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omments1.xml" ContentType="application/vnd.openxmlformats-officedocument.spreadsheetml.comments+xml"/>
  <Override PartName="/xl/tables/table3.xml" ContentType="application/vnd.openxmlformats-officedocument.spreadsheetml.table+xml"/>
  <Override PartName="/xl/comments2.xml" ContentType="application/vnd.openxmlformats-officedocument.spreadsheetml.comment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mc:AlternateContent xmlns:mc="http://schemas.openxmlformats.org/markup-compatibility/2006">
    <mc:Choice Requires="x15">
      <x15ac:absPath xmlns:x15ac="http://schemas.microsoft.com/office/spreadsheetml/2010/11/ac" url="E:\Questions_extraction\cbse\"/>
    </mc:Choice>
  </mc:AlternateContent>
  <xr:revisionPtr revIDLastSave="0" documentId="8_{45948F18-8294-4EA9-A3E2-1599F88E521A}" xr6:coauthVersionLast="47" xr6:coauthVersionMax="47" xr10:uidLastSave="{00000000-0000-0000-0000-000000000000}"/>
  <bookViews>
    <workbookView xWindow="-108" yWindow="-108" windowWidth="23256" windowHeight="12456" activeTab="5" xr2:uid="{00000000-000D-0000-FFFF-FFFF00000000}"/>
  </bookViews>
  <sheets>
    <sheet name="G6 Maths Ganita Prakash" sheetId="1" r:id="rId1"/>
    <sheet name="G6 Maths" sheetId="2" r:id="rId2"/>
    <sheet name="G7 Maths" sheetId="3" r:id="rId3"/>
    <sheet name="G8 Maths" sheetId="4" r:id="rId4"/>
    <sheet name="G9 Maths" sheetId="5" r:id="rId5"/>
    <sheet name="G10 Maths" sheetId="6" r:id="rId6"/>
    <sheet name="G6 Sci_Curiosity" sheetId="7" r:id="rId7"/>
    <sheet name="G6 Science" sheetId="8" r:id="rId8"/>
    <sheet name="G7 Science" sheetId="9" r:id="rId9"/>
    <sheet name="G8 Science" sheetId="10" r:id="rId10"/>
    <sheet name="G9 Science" sheetId="11" r:id="rId11"/>
    <sheet name="G10 Science" sheetId="12" r:id="rId12"/>
    <sheet name="List of repeated LUs " sheetId="13" state="hidden" r:id="rId13"/>
    <sheet name="G10 Maths Course conclusions" sheetId="14" r:id="rId14"/>
    <sheet name="Topic-LU Count" sheetId="15" r:id="rId15"/>
    <sheet name="Topic Name-LU Count" sheetId="16" r:id="rId16"/>
    <sheet name="Cumulative" sheetId="17" state="hidden" r:id="rId17"/>
  </sheets>
  <definedNames>
    <definedName name="Z_8E5FD777_F8E9_423F_B70C_DD1B63F38FB2_.wvu.FilterData" localSheetId="6" hidden="1">'G6 Sci_Curiosity'!$A$1:$T$106</definedName>
    <definedName name="Z_8E5FD777_F8E9_423F_B70C_DD1B63F38FB2_.wvu.FilterData" localSheetId="7" hidden="1">'G6 Science'!$A$1:$T$105</definedName>
    <definedName name="Z_8E5FD777_F8E9_423F_B70C_DD1B63F38FB2_.wvu.FilterData" localSheetId="8" hidden="1">'G7 Science'!$A$1:$T$134</definedName>
    <definedName name="Z_8E5FD777_F8E9_423F_B70C_DD1B63F38FB2_.wvu.FilterData" localSheetId="9" hidden="1">'G8 Science'!$E$1:$E$991</definedName>
    <definedName name="Z_8E5FD777_F8E9_423F_B70C_DD1B63F38FB2_.wvu.FilterData" localSheetId="10" hidden="1">'G9 Science'!$E$1:$E$978</definedName>
  </definedNames>
  <calcPr calcId="191029"/>
  <customWorkbookViews>
    <customWorkbookView name="Filter 1" guid="{8E5FD777-F8E9-423F-B70C-DD1B63F38FB2}" maximized="1" windowWidth="0" windowHeight="0" activeSheetId="0"/>
  </customWorkbookViews>
  <pivotCaches>
    <pivotCache cacheId="10" r:id="rId18"/>
    <pivotCache cacheId="17" r:id="rId19"/>
    <pivotCache cacheId="24" r:id="rId20"/>
  </pivotCaches>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922" i="17" l="1"/>
  <c r="A922" i="17"/>
  <c r="B921" i="17"/>
  <c r="A921" i="17"/>
  <c r="B920" i="17"/>
  <c r="A920" i="17"/>
  <c r="B919" i="17"/>
  <c r="A919" i="17"/>
  <c r="B918" i="17"/>
  <c r="A918" i="17"/>
  <c r="B917" i="17"/>
  <c r="A917" i="17"/>
  <c r="B916" i="17"/>
  <c r="A916" i="17"/>
  <c r="B915" i="17"/>
  <c r="A915" i="17"/>
  <c r="B914" i="17"/>
  <c r="A914" i="17"/>
  <c r="B913" i="17"/>
  <c r="A913" i="17"/>
  <c r="B912" i="17"/>
  <c r="A912" i="17"/>
  <c r="B911" i="17"/>
  <c r="A911" i="17"/>
  <c r="B910" i="17"/>
  <c r="A910" i="17"/>
  <c r="B909" i="17"/>
  <c r="A909" i="17"/>
  <c r="B908" i="17"/>
  <c r="A908" i="17"/>
  <c r="B907" i="17"/>
  <c r="A907" i="17"/>
  <c r="B906" i="17"/>
  <c r="A906" i="17"/>
  <c r="B905" i="17"/>
  <c r="A905" i="17"/>
  <c r="B904" i="17"/>
  <c r="A904" i="17"/>
  <c r="B903" i="17"/>
  <c r="A903" i="17"/>
  <c r="B902" i="17"/>
  <c r="A902" i="17"/>
  <c r="B901" i="17"/>
  <c r="A901" i="17"/>
  <c r="B900" i="17"/>
  <c r="A900" i="17"/>
  <c r="B899" i="17"/>
  <c r="A899" i="17"/>
  <c r="B898" i="17"/>
  <c r="A898" i="17"/>
  <c r="B897" i="17"/>
  <c r="A897" i="17"/>
  <c r="B896" i="17"/>
  <c r="A896" i="17"/>
  <c r="B895" i="17"/>
  <c r="A895" i="17"/>
  <c r="B894" i="17"/>
  <c r="A894" i="17"/>
  <c r="B893" i="17"/>
  <c r="A893" i="17"/>
  <c r="B892" i="17"/>
  <c r="A892" i="17"/>
  <c r="B891" i="17"/>
  <c r="A891" i="17"/>
  <c r="B890" i="17"/>
  <c r="A890" i="17"/>
  <c r="B889" i="17"/>
  <c r="A889" i="17"/>
  <c r="B888" i="17"/>
  <c r="A888" i="17"/>
  <c r="B887" i="17"/>
  <c r="A887" i="17"/>
  <c r="B886" i="17"/>
  <c r="A886" i="17"/>
  <c r="B885" i="17"/>
  <c r="A885" i="17"/>
  <c r="B884" i="17"/>
  <c r="A884" i="17"/>
  <c r="B883" i="17"/>
  <c r="A883" i="17"/>
  <c r="B882" i="17"/>
  <c r="A882" i="17"/>
  <c r="B881" i="17"/>
  <c r="A881" i="17"/>
  <c r="B880" i="17"/>
  <c r="A880" i="17"/>
  <c r="B879" i="17"/>
  <c r="A879" i="17"/>
  <c r="B878" i="17"/>
  <c r="A878" i="17"/>
  <c r="B877" i="17"/>
  <c r="A877" i="17"/>
  <c r="B876" i="17"/>
  <c r="A876" i="17"/>
  <c r="B875" i="17"/>
  <c r="A875" i="17"/>
  <c r="B874" i="17"/>
  <c r="A874" i="17"/>
  <c r="B873" i="17"/>
  <c r="A873" i="17"/>
  <c r="B872" i="17"/>
  <c r="A872" i="17"/>
  <c r="B871" i="17"/>
  <c r="A871" i="17"/>
  <c r="B870" i="17"/>
  <c r="A870" i="17"/>
  <c r="B869" i="17"/>
  <c r="A869" i="17"/>
  <c r="B868" i="17"/>
  <c r="A868" i="17"/>
  <c r="B867" i="17"/>
  <c r="A867" i="17"/>
  <c r="B866" i="17"/>
  <c r="A866" i="17"/>
  <c r="B865" i="17"/>
  <c r="A865" i="17"/>
  <c r="B864" i="17"/>
  <c r="A864" i="17"/>
  <c r="B863" i="17"/>
  <c r="A863" i="17"/>
  <c r="B862" i="17"/>
  <c r="A862" i="17"/>
  <c r="B861" i="17"/>
  <c r="A861" i="17"/>
  <c r="B860" i="17"/>
  <c r="A860" i="17"/>
  <c r="B859" i="17"/>
  <c r="A859" i="17"/>
  <c r="B858" i="17"/>
  <c r="A858" i="17"/>
  <c r="B857" i="17"/>
  <c r="A857" i="17"/>
  <c r="B856" i="17"/>
  <c r="A856" i="17"/>
  <c r="B855" i="17"/>
  <c r="A855" i="17"/>
  <c r="B854" i="17"/>
  <c r="A854" i="17"/>
  <c r="B853" i="17"/>
  <c r="A853" i="17"/>
  <c r="B852" i="17"/>
  <c r="A852" i="17"/>
  <c r="B851" i="17"/>
  <c r="A851" i="17"/>
  <c r="B850" i="17"/>
  <c r="A850" i="17"/>
  <c r="B849" i="17"/>
  <c r="A849" i="17"/>
  <c r="B848" i="17"/>
  <c r="A848" i="17"/>
  <c r="B847" i="17"/>
  <c r="A847" i="17"/>
  <c r="B846" i="17"/>
  <c r="A846" i="17"/>
  <c r="B845" i="17"/>
  <c r="A845" i="17"/>
  <c r="B844" i="17"/>
  <c r="A844" i="17"/>
  <c r="B843" i="17"/>
  <c r="A843" i="17"/>
  <c r="B842" i="17"/>
  <c r="A842" i="17"/>
  <c r="B841" i="17"/>
  <c r="A841" i="17"/>
  <c r="B840" i="17"/>
  <c r="A840" i="17"/>
  <c r="B839" i="17"/>
  <c r="A839" i="17"/>
  <c r="B838" i="17"/>
  <c r="A838" i="17"/>
  <c r="B837" i="17"/>
  <c r="A837" i="17"/>
  <c r="B836" i="17"/>
  <c r="A836" i="17"/>
  <c r="B835" i="17"/>
  <c r="A835" i="17"/>
  <c r="B834" i="17"/>
  <c r="A834" i="17"/>
  <c r="B833" i="17"/>
  <c r="A833" i="17"/>
  <c r="B832" i="17"/>
  <c r="A832" i="17"/>
  <c r="B831" i="17"/>
  <c r="A831" i="17"/>
  <c r="B830" i="17"/>
  <c r="A830" i="17"/>
  <c r="B829" i="17"/>
  <c r="A829" i="17"/>
  <c r="B828" i="17"/>
  <c r="A828" i="17"/>
  <c r="B827" i="17"/>
  <c r="A827" i="17"/>
  <c r="B826" i="17"/>
  <c r="A826" i="17"/>
  <c r="B825" i="17"/>
  <c r="A825" i="17"/>
  <c r="B824" i="17"/>
  <c r="A824" i="17"/>
  <c r="B823" i="17"/>
  <c r="A823" i="17"/>
  <c r="B822" i="17"/>
  <c r="A822" i="17"/>
  <c r="B821" i="17"/>
  <c r="A821" i="17"/>
  <c r="B820" i="17"/>
  <c r="A820" i="17"/>
  <c r="B819" i="17"/>
  <c r="A819" i="17"/>
  <c r="B818" i="17"/>
  <c r="A818" i="17"/>
  <c r="B817" i="17"/>
  <c r="A817" i="17"/>
  <c r="B816" i="17"/>
  <c r="A816" i="17"/>
  <c r="B815" i="17"/>
  <c r="A815" i="17"/>
  <c r="B814" i="17"/>
  <c r="A814" i="17"/>
  <c r="B813" i="17"/>
  <c r="A813" i="17"/>
  <c r="B812" i="17"/>
  <c r="A812" i="17"/>
  <c r="B811" i="17"/>
  <c r="A811" i="17"/>
  <c r="B810" i="17"/>
  <c r="A810" i="17"/>
  <c r="B809" i="17"/>
  <c r="A809" i="17"/>
  <c r="B808" i="17"/>
  <c r="A808" i="17"/>
  <c r="B807" i="17"/>
  <c r="A807" i="17"/>
  <c r="B806" i="17"/>
  <c r="A806" i="17"/>
  <c r="B805" i="17"/>
  <c r="A805" i="17"/>
  <c r="B804" i="17"/>
  <c r="A804" i="17"/>
  <c r="B803" i="17"/>
  <c r="A803" i="17"/>
  <c r="B802" i="17"/>
  <c r="A802" i="17"/>
  <c r="B801" i="17"/>
  <c r="A801" i="17"/>
  <c r="B800" i="17"/>
  <c r="A800" i="17"/>
  <c r="B799" i="17"/>
  <c r="A799" i="17"/>
  <c r="B798" i="17"/>
  <c r="A798" i="17"/>
  <c r="B797" i="17"/>
  <c r="A797" i="17"/>
  <c r="B796" i="17"/>
  <c r="A796" i="17"/>
  <c r="B795" i="17"/>
  <c r="A795" i="17"/>
  <c r="B794" i="17"/>
  <c r="A794" i="17"/>
  <c r="B793" i="17"/>
  <c r="A793" i="17"/>
  <c r="B792" i="17"/>
  <c r="A792" i="17"/>
  <c r="B791" i="17"/>
  <c r="A791" i="17"/>
  <c r="B790" i="17"/>
  <c r="A790" i="17"/>
  <c r="B789" i="17"/>
  <c r="A789" i="17"/>
  <c r="B788" i="17"/>
  <c r="A788" i="17"/>
  <c r="B787" i="17"/>
  <c r="A787" i="17"/>
  <c r="B786" i="17"/>
  <c r="A786" i="17"/>
  <c r="B785" i="17"/>
  <c r="A785" i="17"/>
  <c r="B784" i="17"/>
  <c r="A784" i="17"/>
  <c r="B783" i="17"/>
  <c r="A783" i="17"/>
  <c r="B782" i="17"/>
  <c r="A782" i="17"/>
  <c r="B781" i="17"/>
  <c r="A781" i="17"/>
  <c r="B780" i="17"/>
  <c r="A780" i="17"/>
  <c r="B779" i="17"/>
  <c r="A779" i="17"/>
  <c r="B778" i="17"/>
  <c r="A778" i="17"/>
  <c r="B777" i="17"/>
  <c r="A777" i="17"/>
  <c r="B776" i="17"/>
  <c r="A776" i="17"/>
  <c r="B775" i="17"/>
  <c r="A775" i="17"/>
  <c r="B774" i="17"/>
  <c r="A774" i="17"/>
  <c r="B773" i="17"/>
  <c r="A773" i="17"/>
  <c r="B772" i="17"/>
  <c r="A772" i="17"/>
  <c r="B771" i="17"/>
  <c r="A771" i="17"/>
  <c r="B770" i="17"/>
  <c r="A770" i="17"/>
  <c r="B769" i="17"/>
  <c r="A769" i="17"/>
  <c r="B768" i="17"/>
  <c r="A768" i="17"/>
  <c r="B767" i="17"/>
  <c r="A767" i="17"/>
  <c r="B766" i="17"/>
  <c r="A766" i="17"/>
  <c r="B765" i="17"/>
  <c r="A765" i="17"/>
  <c r="B764" i="17"/>
  <c r="A764" i="17"/>
  <c r="B763" i="17"/>
  <c r="A763" i="17"/>
  <c r="B762" i="17"/>
  <c r="A762" i="17"/>
  <c r="B761" i="17"/>
  <c r="A761" i="17"/>
  <c r="B760" i="17"/>
  <c r="A760" i="17"/>
  <c r="B759" i="17"/>
  <c r="A759" i="17"/>
  <c r="B758" i="17"/>
  <c r="A758" i="17"/>
  <c r="B757" i="17"/>
  <c r="A757" i="17"/>
  <c r="B756" i="17"/>
  <c r="A756" i="17"/>
  <c r="B755" i="17"/>
  <c r="A755" i="17"/>
  <c r="B754" i="17"/>
  <c r="A754" i="17"/>
  <c r="B753" i="17"/>
  <c r="A753" i="17"/>
  <c r="B752" i="17"/>
  <c r="A752" i="17"/>
  <c r="B751" i="17"/>
  <c r="A751" i="17"/>
  <c r="B750" i="17"/>
  <c r="A750" i="17"/>
  <c r="B749" i="17"/>
  <c r="A749" i="17"/>
  <c r="B748" i="17"/>
  <c r="A748" i="17"/>
  <c r="B747" i="17"/>
  <c r="A747" i="17"/>
  <c r="B746" i="17"/>
  <c r="A746" i="17"/>
  <c r="B745" i="17"/>
  <c r="A745" i="17"/>
  <c r="B744" i="17"/>
  <c r="A744" i="17"/>
  <c r="B743" i="17"/>
  <c r="A743" i="17"/>
  <c r="B742" i="17"/>
  <c r="A742" i="17"/>
  <c r="B741" i="17"/>
  <c r="A741" i="17"/>
  <c r="B740" i="17"/>
  <c r="A740" i="17"/>
  <c r="B739" i="17"/>
  <c r="A739" i="17"/>
  <c r="B738" i="17"/>
  <c r="A738" i="17"/>
  <c r="B737" i="17"/>
  <c r="A737" i="17"/>
  <c r="B736" i="17"/>
  <c r="A736" i="17"/>
  <c r="B735" i="17"/>
  <c r="A735" i="17"/>
  <c r="B734" i="17"/>
  <c r="A734" i="17"/>
  <c r="B733" i="17"/>
  <c r="A733" i="17"/>
  <c r="B732" i="17"/>
  <c r="A732" i="17"/>
  <c r="B731" i="17"/>
  <c r="A731" i="17"/>
  <c r="B730" i="17"/>
  <c r="A730" i="17"/>
  <c r="B729" i="17"/>
  <c r="A729" i="17"/>
  <c r="B728" i="17"/>
  <c r="A728" i="17"/>
  <c r="B727" i="17"/>
  <c r="A727" i="17"/>
  <c r="B726" i="17"/>
  <c r="A726" i="17"/>
  <c r="B725" i="17"/>
  <c r="A725" i="17"/>
  <c r="B724" i="17"/>
  <c r="A724" i="17"/>
  <c r="B723" i="17"/>
  <c r="A723" i="17"/>
  <c r="B722" i="17"/>
  <c r="A722" i="17"/>
  <c r="B721" i="17"/>
  <c r="A721" i="17"/>
  <c r="B720" i="17"/>
  <c r="A720" i="17"/>
  <c r="B719" i="17"/>
  <c r="A719" i="17"/>
  <c r="B718" i="17"/>
  <c r="A718" i="17"/>
  <c r="B717" i="17"/>
  <c r="A717" i="17"/>
  <c r="B716" i="17"/>
  <c r="A716" i="17"/>
  <c r="B715" i="17"/>
  <c r="A715" i="17"/>
  <c r="B714" i="17"/>
  <c r="A714" i="17"/>
  <c r="B713" i="17"/>
  <c r="A713" i="17"/>
  <c r="B712" i="17"/>
  <c r="A712" i="17"/>
  <c r="B711" i="17"/>
  <c r="A711" i="17"/>
  <c r="B710" i="17"/>
  <c r="A710" i="17"/>
  <c r="B709" i="17"/>
  <c r="A709" i="17"/>
  <c r="B708" i="17"/>
  <c r="A708" i="17"/>
  <c r="B707" i="17"/>
  <c r="A707" i="17"/>
  <c r="B706" i="17"/>
  <c r="A706" i="17"/>
  <c r="B705" i="17"/>
  <c r="A705" i="17"/>
  <c r="B704" i="17"/>
  <c r="A704" i="17"/>
  <c r="B703" i="17"/>
  <c r="A703" i="17"/>
  <c r="B702" i="17"/>
  <c r="A702" i="17"/>
  <c r="B701" i="17"/>
  <c r="A701" i="17"/>
  <c r="B700" i="17"/>
  <c r="A700" i="17"/>
  <c r="B699" i="17"/>
  <c r="A699" i="17"/>
  <c r="B698" i="17"/>
  <c r="A698" i="17"/>
  <c r="B697" i="17"/>
  <c r="A697" i="17"/>
  <c r="B696" i="17"/>
  <c r="A696" i="17"/>
  <c r="B695" i="17"/>
  <c r="A695" i="17"/>
  <c r="B694" i="17"/>
  <c r="A694" i="17"/>
  <c r="B693" i="17"/>
  <c r="A693" i="17"/>
  <c r="B692" i="17"/>
  <c r="A692" i="17"/>
  <c r="B691" i="17"/>
  <c r="A691" i="17"/>
  <c r="B690" i="17"/>
  <c r="A690" i="17"/>
  <c r="B689" i="17"/>
  <c r="A689" i="17"/>
  <c r="B688" i="17"/>
  <c r="A688" i="17"/>
  <c r="B687" i="17"/>
  <c r="A687" i="17"/>
  <c r="B686" i="17"/>
  <c r="A686" i="17"/>
  <c r="B685" i="17"/>
  <c r="A685" i="17"/>
  <c r="B684" i="17"/>
  <c r="A684" i="17"/>
  <c r="B683" i="17"/>
  <c r="A683" i="17"/>
  <c r="B682" i="17"/>
  <c r="A682" i="17"/>
  <c r="B681" i="17"/>
  <c r="A681" i="17"/>
  <c r="B680" i="17"/>
  <c r="A680" i="17"/>
  <c r="B679" i="17"/>
  <c r="A679" i="17"/>
  <c r="B678" i="17"/>
  <c r="A678" i="17"/>
  <c r="B677" i="17"/>
  <c r="A677" i="17"/>
  <c r="B676" i="17"/>
  <c r="A676" i="17"/>
  <c r="B675" i="17"/>
  <c r="A675" i="17"/>
  <c r="B674" i="17"/>
  <c r="A674" i="17"/>
  <c r="B673" i="17"/>
  <c r="A673" i="17"/>
  <c r="B672" i="17"/>
  <c r="A672" i="17"/>
  <c r="B671" i="17"/>
  <c r="A671" i="17"/>
  <c r="B670" i="17"/>
  <c r="A670" i="17"/>
  <c r="B669" i="17"/>
  <c r="A669" i="17"/>
  <c r="B668" i="17"/>
  <c r="A668" i="17"/>
  <c r="B667" i="17"/>
  <c r="A667" i="17"/>
  <c r="B666" i="17"/>
  <c r="A666" i="17"/>
  <c r="B665" i="17"/>
  <c r="A665" i="17"/>
  <c r="B664" i="17"/>
  <c r="A664" i="17"/>
  <c r="B663" i="17"/>
  <c r="A663" i="17"/>
  <c r="B662" i="17"/>
  <c r="A662" i="17"/>
  <c r="B661" i="17"/>
  <c r="A661" i="17"/>
  <c r="B660" i="17"/>
  <c r="A660" i="17"/>
  <c r="B659" i="17"/>
  <c r="A659" i="17"/>
  <c r="B658" i="17"/>
  <c r="A658" i="17"/>
  <c r="B657" i="17"/>
  <c r="A657" i="17"/>
  <c r="B656" i="17"/>
  <c r="A656" i="17"/>
  <c r="B655" i="17"/>
  <c r="A655" i="17"/>
  <c r="B654" i="17"/>
  <c r="A654" i="17"/>
  <c r="B653" i="17"/>
  <c r="A653" i="17"/>
  <c r="B652" i="17"/>
  <c r="A652" i="17"/>
  <c r="B651" i="17"/>
  <c r="A651" i="17"/>
  <c r="B650" i="17"/>
  <c r="A650" i="17"/>
  <c r="B649" i="17"/>
  <c r="A649" i="17"/>
  <c r="B648" i="17"/>
  <c r="A648" i="17"/>
  <c r="B647" i="17"/>
  <c r="A647" i="17"/>
  <c r="B646" i="17"/>
  <c r="A646" i="17"/>
  <c r="B645" i="17"/>
  <c r="A645" i="17"/>
  <c r="B644" i="17"/>
  <c r="A644" i="17"/>
  <c r="B643" i="17"/>
  <c r="A643" i="17"/>
  <c r="B642" i="17"/>
  <c r="A642" i="17"/>
  <c r="B641" i="17"/>
  <c r="A641" i="17"/>
  <c r="B640" i="17"/>
  <c r="A640" i="17"/>
  <c r="B639" i="17"/>
  <c r="A639" i="17"/>
  <c r="B638" i="17"/>
  <c r="A638" i="17"/>
  <c r="B637" i="17"/>
  <c r="A637" i="17"/>
  <c r="B636" i="17"/>
  <c r="A636" i="17"/>
  <c r="B635" i="17"/>
  <c r="A635" i="17"/>
  <c r="B634" i="17"/>
  <c r="A634" i="17"/>
  <c r="B633" i="17"/>
  <c r="A633" i="17"/>
  <c r="B632" i="17"/>
  <c r="A632" i="17"/>
  <c r="B631" i="17"/>
  <c r="A631" i="17"/>
  <c r="B630" i="17"/>
  <c r="A630" i="17"/>
  <c r="B629" i="17"/>
  <c r="A629" i="17"/>
  <c r="B628" i="17"/>
  <c r="A628" i="17"/>
  <c r="B627" i="17"/>
  <c r="A627" i="17"/>
  <c r="B626" i="17"/>
  <c r="A626" i="17"/>
  <c r="B625" i="17"/>
  <c r="A625" i="17"/>
  <c r="B624" i="17"/>
  <c r="A624" i="17"/>
  <c r="B623" i="17"/>
  <c r="A623" i="17"/>
  <c r="B622" i="17"/>
  <c r="A622" i="17"/>
  <c r="B621" i="17"/>
  <c r="A621" i="17"/>
  <c r="B620" i="17"/>
  <c r="A620" i="17"/>
  <c r="B619" i="17"/>
  <c r="A619" i="17"/>
  <c r="B618" i="17"/>
  <c r="A618" i="17"/>
  <c r="B617" i="17"/>
  <c r="A617" i="17"/>
  <c r="B616" i="17"/>
  <c r="A616" i="17"/>
  <c r="B615" i="17"/>
  <c r="A615" i="17"/>
  <c r="B614" i="17"/>
  <c r="A614" i="17"/>
  <c r="B613" i="17"/>
  <c r="A613" i="17"/>
  <c r="B612" i="17"/>
  <c r="A612" i="17"/>
  <c r="B611" i="17"/>
  <c r="A611" i="17"/>
  <c r="B610" i="17"/>
  <c r="A610" i="17"/>
  <c r="B609" i="17"/>
  <c r="A609" i="17"/>
  <c r="B608" i="17"/>
  <c r="A608" i="17"/>
  <c r="B607" i="17"/>
  <c r="A607" i="17"/>
  <c r="B606" i="17"/>
  <c r="A606" i="17"/>
  <c r="B605" i="17"/>
  <c r="A605" i="17"/>
  <c r="B604" i="17"/>
  <c r="A604" i="17"/>
  <c r="B603" i="17"/>
  <c r="A603" i="17"/>
  <c r="B602" i="17"/>
  <c r="A602" i="17"/>
  <c r="B601" i="17"/>
  <c r="A601" i="17"/>
  <c r="B600" i="17"/>
  <c r="A600" i="17"/>
  <c r="B599" i="17"/>
  <c r="A599" i="17"/>
  <c r="B598" i="17"/>
  <c r="A598" i="17"/>
  <c r="B597" i="17"/>
  <c r="A597" i="17"/>
  <c r="B596" i="17"/>
  <c r="A596" i="17"/>
  <c r="B595" i="17"/>
  <c r="A595" i="17"/>
  <c r="B594" i="17"/>
  <c r="A594" i="17"/>
  <c r="B593" i="17"/>
  <c r="A593" i="17"/>
  <c r="B592" i="17"/>
  <c r="A592" i="17"/>
  <c r="B591" i="17"/>
  <c r="A591" i="17"/>
  <c r="B590" i="17"/>
  <c r="A590" i="17"/>
  <c r="B589" i="17"/>
  <c r="A589" i="17"/>
  <c r="B588" i="17"/>
  <c r="A588" i="17"/>
  <c r="B587" i="17"/>
  <c r="A587" i="17"/>
  <c r="B586" i="17"/>
  <c r="A586" i="17"/>
  <c r="B585" i="17"/>
  <c r="A585" i="17"/>
  <c r="B584" i="17"/>
  <c r="A584" i="17"/>
  <c r="B583" i="17"/>
  <c r="A583" i="17"/>
  <c r="B582" i="17"/>
  <c r="A582" i="17"/>
  <c r="B581" i="17"/>
  <c r="A581" i="17"/>
  <c r="B580" i="17"/>
  <c r="A580" i="17"/>
  <c r="B579" i="17"/>
  <c r="A579" i="17"/>
  <c r="B578" i="17"/>
  <c r="A578" i="17"/>
  <c r="B577" i="17"/>
  <c r="A577" i="17"/>
  <c r="B576" i="17"/>
  <c r="A576" i="17"/>
  <c r="B575" i="17"/>
  <c r="A575" i="17"/>
  <c r="B574" i="17"/>
  <c r="A574" i="17"/>
  <c r="B573" i="17"/>
  <c r="A573" i="17"/>
  <c r="B572" i="17"/>
  <c r="A572" i="17"/>
  <c r="B571" i="17"/>
  <c r="A571" i="17"/>
  <c r="B570" i="17"/>
  <c r="A570" i="17"/>
  <c r="B569" i="17"/>
  <c r="A569" i="17"/>
  <c r="B568" i="17"/>
  <c r="A568" i="17"/>
  <c r="B567" i="17"/>
  <c r="A567" i="17"/>
  <c r="B566" i="17"/>
  <c r="A566" i="17"/>
  <c r="B565" i="17"/>
  <c r="A565" i="17"/>
  <c r="B564" i="17"/>
  <c r="A564" i="17"/>
  <c r="B563" i="17"/>
  <c r="A563" i="17"/>
  <c r="B562" i="17"/>
  <c r="A562" i="17"/>
  <c r="B561" i="17"/>
  <c r="A561" i="17"/>
  <c r="B560" i="17"/>
  <c r="A560" i="17"/>
  <c r="B559" i="17"/>
  <c r="A559" i="17"/>
  <c r="B558" i="17"/>
  <c r="A558" i="17"/>
  <c r="B557" i="17"/>
  <c r="A557" i="17"/>
  <c r="B556" i="17"/>
  <c r="A556" i="17"/>
  <c r="B555" i="17"/>
  <c r="A555" i="17"/>
  <c r="B554" i="17"/>
  <c r="A554" i="17"/>
  <c r="B553" i="17"/>
  <c r="A553" i="17"/>
  <c r="B552" i="17"/>
  <c r="A552" i="17"/>
  <c r="B551" i="17"/>
  <c r="A551" i="17"/>
  <c r="B550" i="17"/>
  <c r="A550" i="17"/>
  <c r="B549" i="17"/>
  <c r="A549" i="17"/>
  <c r="B548" i="17"/>
  <c r="A548" i="17"/>
  <c r="B547" i="17"/>
  <c r="A547" i="17"/>
  <c r="B546" i="17"/>
  <c r="A546" i="17"/>
  <c r="B545" i="17"/>
  <c r="A545" i="17"/>
  <c r="B544" i="17"/>
  <c r="A544" i="17"/>
  <c r="B543" i="17"/>
  <c r="A543" i="17"/>
  <c r="B542" i="17"/>
  <c r="A542" i="17"/>
  <c r="B541" i="17"/>
  <c r="A541" i="17"/>
  <c r="B540" i="17"/>
  <c r="A540" i="17"/>
  <c r="B539" i="17"/>
  <c r="A539" i="17"/>
  <c r="B538" i="17"/>
  <c r="A538" i="17"/>
  <c r="B537" i="17"/>
  <c r="A537" i="17"/>
  <c r="B536" i="17"/>
  <c r="A536" i="17"/>
  <c r="B535" i="17"/>
  <c r="A535" i="17"/>
  <c r="B534" i="17"/>
  <c r="A534" i="17"/>
  <c r="B533" i="17"/>
  <c r="A533" i="17"/>
  <c r="B532" i="17"/>
  <c r="A532" i="17"/>
  <c r="B531" i="17"/>
  <c r="A531" i="17"/>
  <c r="B530" i="17"/>
  <c r="A530" i="17"/>
  <c r="B529" i="17"/>
  <c r="A529" i="17"/>
  <c r="B528" i="17"/>
  <c r="A528" i="17"/>
  <c r="B527" i="17"/>
  <c r="A527" i="17"/>
  <c r="B526" i="17"/>
  <c r="A526" i="17"/>
  <c r="B525" i="17"/>
  <c r="A525" i="17"/>
  <c r="B524" i="17"/>
  <c r="A524" i="17"/>
  <c r="B523" i="17"/>
  <c r="A523" i="17"/>
  <c r="B522" i="17"/>
  <c r="A522" i="17"/>
  <c r="B521" i="17"/>
  <c r="A521" i="17"/>
  <c r="B520" i="17"/>
  <c r="A520" i="17"/>
  <c r="B519" i="17"/>
  <c r="A519" i="17"/>
  <c r="B518" i="17"/>
  <c r="A518" i="17"/>
  <c r="B517" i="17"/>
  <c r="A517" i="17"/>
  <c r="B516" i="17"/>
  <c r="A516" i="17"/>
  <c r="B515" i="17"/>
  <c r="A515" i="17"/>
  <c r="B514" i="17"/>
  <c r="A514" i="17"/>
  <c r="B513" i="17"/>
  <c r="A513" i="17"/>
  <c r="B512" i="17"/>
  <c r="A512" i="17"/>
  <c r="B511" i="17"/>
  <c r="A511" i="17"/>
  <c r="B510" i="17"/>
  <c r="A510" i="17"/>
  <c r="B509" i="17"/>
  <c r="A509" i="17"/>
  <c r="B508" i="17"/>
  <c r="A508" i="17"/>
  <c r="B507" i="17"/>
  <c r="A507" i="17"/>
  <c r="B506" i="17"/>
  <c r="A506" i="17"/>
  <c r="B505" i="17"/>
  <c r="A505" i="17"/>
  <c r="B504" i="17"/>
  <c r="A504" i="17"/>
  <c r="B503" i="17"/>
  <c r="A503" i="17"/>
  <c r="B502" i="17"/>
  <c r="A502" i="17"/>
  <c r="B501" i="17"/>
  <c r="A501" i="17"/>
  <c r="B500" i="17"/>
  <c r="A500" i="17"/>
  <c r="B499" i="17"/>
  <c r="A499" i="17"/>
  <c r="B498" i="17"/>
  <c r="A498" i="17"/>
  <c r="B497" i="17"/>
  <c r="A497" i="17"/>
  <c r="B496" i="17"/>
  <c r="A496" i="17"/>
  <c r="B495" i="17"/>
  <c r="A495" i="17"/>
  <c r="B494" i="17"/>
  <c r="A494" i="17"/>
  <c r="B493" i="17"/>
  <c r="A493" i="17"/>
  <c r="B492" i="17"/>
  <c r="A492" i="17"/>
  <c r="B491" i="17"/>
  <c r="A491" i="17"/>
  <c r="B490" i="17"/>
  <c r="A490" i="17"/>
  <c r="B489" i="17"/>
  <c r="A489" i="17"/>
  <c r="B488" i="17"/>
  <c r="A488" i="17"/>
  <c r="B487" i="17"/>
  <c r="A487" i="17"/>
  <c r="B486" i="17"/>
  <c r="A486" i="17"/>
  <c r="B485" i="17"/>
  <c r="A485" i="17"/>
  <c r="B484" i="17"/>
  <c r="A484" i="17"/>
  <c r="B483" i="17"/>
  <c r="A483" i="17"/>
  <c r="B482" i="17"/>
  <c r="A482" i="17"/>
  <c r="B481" i="17"/>
  <c r="A481" i="17"/>
  <c r="B480" i="17"/>
  <c r="A480" i="17"/>
  <c r="B479" i="17"/>
  <c r="A479" i="17"/>
  <c r="B478" i="17"/>
  <c r="A478" i="17"/>
  <c r="B477" i="17"/>
  <c r="A477" i="17"/>
  <c r="B476" i="17"/>
  <c r="A476" i="17"/>
  <c r="B475" i="17"/>
  <c r="A475" i="17"/>
  <c r="B474" i="17"/>
  <c r="A474" i="17"/>
  <c r="B473" i="17"/>
  <c r="A473" i="17"/>
  <c r="B472" i="17"/>
  <c r="A472" i="17"/>
  <c r="B471" i="17"/>
  <c r="A471" i="17"/>
  <c r="B470" i="17"/>
  <c r="A470" i="17"/>
  <c r="B469" i="17"/>
  <c r="A469" i="17"/>
  <c r="B468" i="17"/>
  <c r="A468" i="17"/>
  <c r="B467" i="17"/>
  <c r="A467" i="17"/>
  <c r="B466" i="17"/>
  <c r="A466" i="17"/>
  <c r="B465" i="17"/>
  <c r="A465" i="17"/>
  <c r="B464" i="17"/>
  <c r="A464" i="17"/>
  <c r="B463" i="17"/>
  <c r="A463" i="17"/>
  <c r="B462" i="17"/>
  <c r="A462" i="17"/>
  <c r="B461" i="17"/>
  <c r="A461" i="17"/>
  <c r="B460" i="17"/>
  <c r="A460" i="17"/>
  <c r="B459" i="17"/>
  <c r="A459" i="17"/>
  <c r="B458" i="17"/>
  <c r="A458" i="17"/>
  <c r="B457" i="17"/>
  <c r="A457" i="17"/>
  <c r="B456" i="17"/>
  <c r="A456" i="17"/>
  <c r="B455" i="17"/>
  <c r="A455" i="17"/>
  <c r="B454" i="17"/>
  <c r="A454" i="17"/>
  <c r="B453" i="17"/>
  <c r="A453" i="17"/>
  <c r="B452" i="17"/>
  <c r="A452" i="17"/>
  <c r="B451" i="17"/>
  <c r="A451" i="17"/>
  <c r="B450" i="17"/>
  <c r="A450" i="17"/>
  <c r="B449" i="17"/>
  <c r="A449" i="17"/>
  <c r="B448" i="17"/>
  <c r="A448" i="17"/>
  <c r="B447" i="17"/>
  <c r="A447" i="17"/>
  <c r="B446" i="17"/>
  <c r="A446" i="17"/>
  <c r="B445" i="17"/>
  <c r="A445" i="17"/>
  <c r="B444" i="17"/>
  <c r="A444" i="17"/>
  <c r="B443" i="17"/>
  <c r="A443" i="17"/>
  <c r="B442" i="17"/>
  <c r="A442" i="17"/>
  <c r="B441" i="17"/>
  <c r="A441" i="17"/>
  <c r="B440" i="17"/>
  <c r="A440" i="17"/>
  <c r="B439" i="17"/>
  <c r="A439" i="17"/>
  <c r="B438" i="17"/>
  <c r="A438" i="17"/>
  <c r="B437" i="17"/>
  <c r="A437" i="17"/>
  <c r="B436" i="17"/>
  <c r="A436" i="17"/>
  <c r="B435" i="17"/>
  <c r="A435" i="17"/>
  <c r="B434" i="17"/>
  <c r="A434" i="17"/>
  <c r="B433" i="17"/>
  <c r="A433" i="17"/>
  <c r="B432" i="17"/>
  <c r="A432" i="17"/>
  <c r="B431" i="17"/>
  <c r="A431" i="17"/>
  <c r="B430" i="17"/>
  <c r="A430" i="17"/>
  <c r="B429" i="17"/>
  <c r="A429" i="17"/>
  <c r="B428" i="17"/>
  <c r="A428" i="17"/>
  <c r="B427" i="17"/>
  <c r="A427" i="17"/>
  <c r="B426" i="17"/>
  <c r="A426" i="17"/>
  <c r="B425" i="17"/>
  <c r="A425" i="17"/>
  <c r="B424" i="17"/>
  <c r="A424" i="17"/>
  <c r="B423" i="17"/>
  <c r="A423" i="17"/>
  <c r="B422" i="17"/>
  <c r="A422" i="17"/>
  <c r="B421" i="17"/>
  <c r="A421" i="17"/>
  <c r="B420" i="17"/>
  <c r="A420" i="17"/>
  <c r="B419" i="17"/>
  <c r="A419" i="17"/>
  <c r="B418" i="17"/>
  <c r="A418" i="17"/>
  <c r="B417" i="17"/>
  <c r="A417" i="17"/>
  <c r="B416" i="17"/>
  <c r="A416" i="17"/>
  <c r="B415" i="17"/>
  <c r="A415" i="17"/>
  <c r="B414" i="17"/>
  <c r="A414" i="17"/>
  <c r="B413" i="17"/>
  <c r="A413" i="17"/>
  <c r="B412" i="17"/>
  <c r="A412" i="17"/>
  <c r="B411" i="17"/>
  <c r="A411" i="17"/>
  <c r="B410" i="17"/>
  <c r="A410" i="17"/>
  <c r="B409" i="17"/>
  <c r="A409" i="17"/>
  <c r="B408" i="17"/>
  <c r="A408" i="17"/>
  <c r="B407" i="17"/>
  <c r="A407" i="17"/>
  <c r="B406" i="17"/>
  <c r="A406" i="17"/>
  <c r="B405" i="17"/>
  <c r="A405" i="17"/>
  <c r="B404" i="17"/>
  <c r="A404" i="17"/>
  <c r="B403" i="17"/>
  <c r="A403" i="17"/>
  <c r="B402" i="17"/>
  <c r="A402" i="17"/>
  <c r="B401" i="17"/>
  <c r="A401" i="17"/>
  <c r="B400" i="17"/>
  <c r="A400" i="17"/>
  <c r="B399" i="17"/>
  <c r="A399" i="17"/>
  <c r="B398" i="17"/>
  <c r="A398" i="17"/>
  <c r="B397" i="17"/>
  <c r="A397" i="17"/>
  <c r="B396" i="17"/>
  <c r="A396" i="17"/>
  <c r="B395" i="17"/>
  <c r="A395" i="17"/>
  <c r="B394" i="17"/>
  <c r="A394" i="17"/>
  <c r="B393" i="17"/>
  <c r="A393" i="17"/>
  <c r="B392" i="17"/>
  <c r="A392" i="17"/>
  <c r="B391" i="17"/>
  <c r="A391" i="17"/>
  <c r="B390" i="17"/>
  <c r="A390" i="17"/>
  <c r="B389" i="17"/>
  <c r="A389" i="17"/>
  <c r="B388" i="17"/>
  <c r="A388" i="17"/>
  <c r="B387" i="17"/>
  <c r="A387" i="17"/>
  <c r="B386" i="17"/>
  <c r="A386" i="17"/>
  <c r="B385" i="17"/>
  <c r="A385" i="17"/>
  <c r="B384" i="17"/>
  <c r="A384" i="17"/>
  <c r="B383" i="17"/>
  <c r="A383" i="17"/>
  <c r="B382" i="17"/>
  <c r="A382" i="17"/>
  <c r="B381" i="17"/>
  <c r="A381" i="17"/>
  <c r="B380" i="17"/>
  <c r="A380" i="17"/>
  <c r="B379" i="17"/>
  <c r="A379" i="17"/>
  <c r="B378" i="17"/>
  <c r="A378" i="17"/>
  <c r="B377" i="17"/>
  <c r="A377" i="17"/>
  <c r="B376" i="17"/>
  <c r="A376" i="17"/>
  <c r="B375" i="17"/>
  <c r="A375" i="17"/>
  <c r="B374" i="17"/>
  <c r="A374" i="17"/>
  <c r="B373" i="17"/>
  <c r="A373" i="17"/>
  <c r="B372" i="17"/>
  <c r="A372" i="17"/>
  <c r="B371" i="17"/>
  <c r="A371" i="17"/>
  <c r="B370" i="17"/>
  <c r="A370" i="17"/>
  <c r="B369" i="17"/>
  <c r="A369" i="17"/>
  <c r="B368" i="17"/>
  <c r="A368" i="17"/>
  <c r="B367" i="17"/>
  <c r="A367" i="17"/>
  <c r="B366" i="17"/>
  <c r="A366" i="17"/>
  <c r="B365" i="17"/>
  <c r="A365" i="17"/>
  <c r="B364" i="17"/>
  <c r="A364" i="17"/>
  <c r="B363" i="17"/>
  <c r="A363" i="17"/>
  <c r="B362" i="17"/>
  <c r="A362" i="17"/>
  <c r="B361" i="17"/>
  <c r="A361" i="17"/>
  <c r="B360" i="17"/>
  <c r="A360" i="17"/>
  <c r="B359" i="17"/>
  <c r="A359" i="17"/>
  <c r="B358" i="17"/>
  <c r="A358" i="17"/>
  <c r="B357" i="17"/>
  <c r="A357" i="17"/>
  <c r="B356" i="17"/>
  <c r="A356" i="17"/>
  <c r="B355" i="17"/>
  <c r="A355" i="17"/>
  <c r="B354" i="17"/>
  <c r="A354" i="17"/>
  <c r="B353" i="17"/>
  <c r="A353" i="17"/>
  <c r="B352" i="17"/>
  <c r="A352" i="17"/>
  <c r="B351" i="17"/>
  <c r="A351" i="17"/>
  <c r="B350" i="17"/>
  <c r="A350" i="17"/>
  <c r="B349" i="17"/>
  <c r="A349" i="17"/>
  <c r="B348" i="17"/>
  <c r="A348" i="17"/>
  <c r="B347" i="17"/>
  <c r="A347" i="17"/>
  <c r="B346" i="17"/>
  <c r="A346" i="17"/>
  <c r="B345" i="17"/>
  <c r="A345" i="17"/>
  <c r="B344" i="17"/>
  <c r="A344" i="17"/>
  <c r="B343" i="17"/>
  <c r="A343" i="17"/>
  <c r="B342" i="17"/>
  <c r="A342" i="17"/>
  <c r="B341" i="17"/>
  <c r="A341" i="17"/>
  <c r="B340" i="17"/>
  <c r="A340" i="17"/>
  <c r="B339" i="17"/>
  <c r="A339" i="17"/>
  <c r="B338" i="17"/>
  <c r="A338" i="17"/>
  <c r="B337" i="17"/>
  <c r="A337" i="17"/>
  <c r="B336" i="17"/>
  <c r="A336" i="17"/>
  <c r="B335" i="17"/>
  <c r="A335" i="17"/>
  <c r="B334" i="17"/>
  <c r="A334" i="17"/>
  <c r="B333" i="17"/>
  <c r="A333" i="17"/>
  <c r="B332" i="17"/>
  <c r="A332" i="17"/>
  <c r="B331" i="17"/>
  <c r="A331" i="17"/>
  <c r="B330" i="17"/>
  <c r="A330" i="17"/>
  <c r="B329" i="17"/>
  <c r="A329" i="17"/>
  <c r="B328" i="17"/>
  <c r="A328" i="17"/>
  <c r="B327" i="17"/>
  <c r="A327" i="17"/>
  <c r="B326" i="17"/>
  <c r="A326" i="17"/>
  <c r="B325" i="17"/>
  <c r="A325" i="17"/>
  <c r="B324" i="17"/>
  <c r="A324" i="17"/>
  <c r="B323" i="17"/>
  <c r="A323" i="17"/>
  <c r="B322" i="17"/>
  <c r="A322" i="17"/>
  <c r="B321" i="17"/>
  <c r="A321" i="17"/>
  <c r="B320" i="17"/>
  <c r="A320" i="17"/>
  <c r="B319" i="17"/>
  <c r="A319" i="17"/>
  <c r="B318" i="17"/>
  <c r="A318" i="17"/>
  <c r="B317" i="17"/>
  <c r="A317" i="17"/>
  <c r="B316" i="17"/>
  <c r="A316" i="17"/>
  <c r="B315" i="17"/>
  <c r="A315" i="17"/>
  <c r="B314" i="17"/>
  <c r="A314" i="17"/>
  <c r="B313" i="17"/>
  <c r="A313" i="17"/>
  <c r="B312" i="17"/>
  <c r="A312" i="17"/>
  <c r="B311" i="17"/>
  <c r="A311" i="17"/>
  <c r="B310" i="17"/>
  <c r="A310" i="17"/>
  <c r="B309" i="17"/>
  <c r="A309" i="17"/>
  <c r="B308" i="17"/>
  <c r="A308" i="17"/>
  <c r="B307" i="17"/>
  <c r="A307" i="17"/>
  <c r="B306" i="17"/>
  <c r="A306" i="17"/>
  <c r="B305" i="17"/>
  <c r="A305" i="17"/>
  <c r="B304" i="17"/>
  <c r="A304" i="17"/>
  <c r="B303" i="17"/>
  <c r="A303" i="17"/>
  <c r="B302" i="17"/>
  <c r="A302" i="17"/>
  <c r="B301" i="17"/>
  <c r="A301" i="17"/>
  <c r="B300" i="17"/>
  <c r="A300" i="17"/>
  <c r="B299" i="17"/>
  <c r="A299" i="17"/>
  <c r="B298" i="17"/>
  <c r="A298" i="17"/>
  <c r="B297" i="17"/>
  <c r="A297" i="17"/>
  <c r="B296" i="17"/>
  <c r="A296" i="17"/>
  <c r="B295" i="17"/>
  <c r="A295" i="17"/>
  <c r="B294" i="17"/>
  <c r="A294" i="17"/>
  <c r="B293" i="17"/>
  <c r="A293" i="17"/>
  <c r="B292" i="17"/>
  <c r="A292" i="17"/>
  <c r="B291" i="17"/>
  <c r="A291" i="17"/>
  <c r="B290" i="17"/>
  <c r="A290" i="17"/>
  <c r="B289" i="17"/>
  <c r="A289" i="17"/>
  <c r="B288" i="17"/>
  <c r="A288" i="17"/>
  <c r="B287" i="17"/>
  <c r="A287" i="17"/>
  <c r="B286" i="17"/>
  <c r="A286" i="17"/>
  <c r="B285" i="17"/>
  <c r="A285" i="17"/>
  <c r="B284" i="17"/>
  <c r="A284" i="17"/>
  <c r="B283" i="17"/>
  <c r="A283" i="17"/>
  <c r="B282" i="17"/>
  <c r="A282" i="17"/>
  <c r="B281" i="17"/>
  <c r="A281" i="17"/>
  <c r="B280" i="17"/>
  <c r="A280" i="17"/>
  <c r="B279" i="17"/>
  <c r="A279" i="17"/>
  <c r="B278" i="17"/>
  <c r="A278" i="17"/>
  <c r="B277" i="17"/>
  <c r="A277" i="17"/>
  <c r="B276" i="17"/>
  <c r="A276" i="17"/>
  <c r="B275" i="17"/>
  <c r="A275" i="17"/>
  <c r="B274" i="17"/>
  <c r="A274" i="17"/>
  <c r="B273" i="17"/>
  <c r="A273" i="17"/>
  <c r="B272" i="17"/>
  <c r="A272" i="17"/>
  <c r="B271" i="17"/>
  <c r="A271" i="17"/>
  <c r="B270" i="17"/>
  <c r="A270" i="17"/>
  <c r="B269" i="17"/>
  <c r="A269" i="17"/>
  <c r="B268" i="17"/>
  <c r="A268" i="17"/>
  <c r="B267" i="17"/>
  <c r="A267" i="17"/>
  <c r="B266" i="17"/>
  <c r="A266" i="17"/>
  <c r="B265" i="17"/>
  <c r="A265" i="17"/>
  <c r="B264" i="17"/>
  <c r="A264" i="17"/>
  <c r="B263" i="17"/>
  <c r="A263" i="17"/>
  <c r="B262" i="17"/>
  <c r="A262" i="17"/>
  <c r="B261" i="17"/>
  <c r="A261" i="17"/>
  <c r="B260" i="17"/>
  <c r="A260" i="17"/>
  <c r="B259" i="17"/>
  <c r="A259" i="17"/>
  <c r="B258" i="17"/>
  <c r="A258" i="17"/>
  <c r="B257" i="17"/>
  <c r="A257" i="17"/>
  <c r="B256" i="17"/>
  <c r="A256" i="17"/>
  <c r="B255" i="17"/>
  <c r="A255" i="17"/>
  <c r="B254" i="17"/>
  <c r="A254" i="17"/>
  <c r="B253" i="17"/>
  <c r="A253" i="17"/>
  <c r="B252" i="17"/>
  <c r="A252" i="17"/>
  <c r="B251" i="17"/>
  <c r="A251" i="17"/>
  <c r="B250" i="17"/>
  <c r="A250" i="17"/>
  <c r="B249" i="17"/>
  <c r="A249" i="17"/>
  <c r="B248" i="17"/>
  <c r="A248" i="17"/>
  <c r="B247" i="17"/>
  <c r="A247" i="17"/>
  <c r="B246" i="17"/>
  <c r="A246" i="17"/>
  <c r="B245" i="17"/>
  <c r="A245" i="17"/>
  <c r="B244" i="17"/>
  <c r="A244" i="17"/>
  <c r="B243" i="17"/>
  <c r="A243" i="17"/>
  <c r="B242" i="17"/>
  <c r="A242" i="17"/>
  <c r="B241" i="17"/>
  <c r="A241" i="17"/>
  <c r="B240" i="17"/>
  <c r="A240" i="17"/>
  <c r="B239" i="17"/>
  <c r="A239" i="17"/>
  <c r="B238" i="17"/>
  <c r="A238" i="17"/>
  <c r="B237" i="17"/>
  <c r="A237" i="17"/>
  <c r="B236" i="17"/>
  <c r="A236" i="17"/>
  <c r="B235" i="17"/>
  <c r="A235" i="17"/>
  <c r="B234" i="17"/>
  <c r="A234" i="17"/>
  <c r="B233" i="17"/>
  <c r="A233" i="17"/>
  <c r="B232" i="17"/>
  <c r="A232" i="17"/>
  <c r="B231" i="17"/>
  <c r="A231" i="17"/>
  <c r="B230" i="17"/>
  <c r="A230" i="17"/>
  <c r="B229" i="17"/>
  <c r="A229" i="17"/>
  <c r="B228" i="17"/>
  <c r="A228" i="17"/>
  <c r="B227" i="17"/>
  <c r="A227" i="17"/>
  <c r="B226" i="17"/>
  <c r="A226" i="17"/>
  <c r="B225" i="17"/>
  <c r="A225" i="17"/>
  <c r="B224" i="17"/>
  <c r="A224" i="17"/>
  <c r="B223" i="17"/>
  <c r="A223" i="17"/>
  <c r="B222" i="17"/>
  <c r="A222" i="17"/>
  <c r="B221" i="17"/>
  <c r="A221" i="17"/>
  <c r="B220" i="17"/>
  <c r="A220" i="17"/>
  <c r="B219" i="17"/>
  <c r="A219" i="17"/>
  <c r="B218" i="17"/>
  <c r="A218" i="17"/>
  <c r="B217" i="17"/>
  <c r="A217" i="17"/>
  <c r="B216" i="17"/>
  <c r="A216" i="17"/>
  <c r="B215" i="17"/>
  <c r="A215" i="17"/>
  <c r="B214" i="17"/>
  <c r="A214" i="17"/>
  <c r="B213" i="17"/>
  <c r="A213" i="17"/>
  <c r="B212" i="17"/>
  <c r="A212" i="17"/>
  <c r="B211" i="17"/>
  <c r="A211" i="17"/>
  <c r="B210" i="17"/>
  <c r="A210" i="17"/>
  <c r="B209" i="17"/>
  <c r="A209" i="17"/>
  <c r="B208" i="17"/>
  <c r="A208" i="17"/>
  <c r="B207" i="17"/>
  <c r="A207" i="17"/>
  <c r="B206" i="17"/>
  <c r="A206" i="17"/>
  <c r="B205" i="17"/>
  <c r="A205" i="17"/>
  <c r="B204" i="17"/>
  <c r="A204" i="17"/>
  <c r="B203" i="17"/>
  <c r="A203" i="17"/>
  <c r="B202" i="17"/>
  <c r="A202" i="17"/>
  <c r="B201" i="17"/>
  <c r="A201" i="17"/>
  <c r="B200" i="17"/>
  <c r="A200" i="17"/>
  <c r="B199" i="17"/>
  <c r="A199" i="17"/>
  <c r="B198" i="17"/>
  <c r="A198" i="17"/>
  <c r="B197" i="17"/>
  <c r="A197" i="17"/>
  <c r="B196" i="17"/>
  <c r="A196" i="17"/>
  <c r="B195" i="17"/>
  <c r="A195" i="17"/>
  <c r="B194" i="17"/>
  <c r="A194" i="17"/>
  <c r="B193" i="17"/>
  <c r="A193" i="17"/>
  <c r="B192" i="17"/>
  <c r="A192" i="17"/>
  <c r="B191" i="17"/>
  <c r="A191" i="17"/>
  <c r="B190" i="17"/>
  <c r="A190" i="17"/>
  <c r="B189" i="17"/>
  <c r="A189" i="17"/>
  <c r="B188" i="17"/>
  <c r="A188" i="17"/>
  <c r="B187" i="17"/>
  <c r="A187" i="17"/>
  <c r="B186" i="17"/>
  <c r="A186" i="17"/>
  <c r="B185" i="17"/>
  <c r="A185" i="17"/>
  <c r="B184" i="17"/>
  <c r="A184" i="17"/>
  <c r="B183" i="17"/>
  <c r="A183" i="17"/>
  <c r="B182" i="17"/>
  <c r="A182" i="17"/>
  <c r="B181" i="17"/>
  <c r="A181" i="17"/>
  <c r="B180" i="17"/>
  <c r="A180" i="17"/>
  <c r="B179" i="17"/>
  <c r="A179" i="17"/>
  <c r="B178" i="17"/>
  <c r="A178" i="17"/>
  <c r="B177" i="17"/>
  <c r="A177" i="17"/>
  <c r="B176" i="17"/>
  <c r="A176" i="17"/>
  <c r="B175" i="17"/>
  <c r="A175" i="17"/>
  <c r="B174" i="17"/>
  <c r="A174" i="17"/>
  <c r="B173" i="17"/>
  <c r="A173" i="17"/>
  <c r="B172" i="17"/>
  <c r="A172" i="17"/>
  <c r="B171" i="17"/>
  <c r="A171" i="17"/>
  <c r="B170" i="17"/>
  <c r="A170" i="17"/>
  <c r="B169" i="17"/>
  <c r="A169" i="17"/>
  <c r="B168" i="17"/>
  <c r="A168" i="17"/>
  <c r="B167" i="17"/>
  <c r="A167" i="17"/>
  <c r="B166" i="17"/>
  <c r="A166" i="17"/>
  <c r="B165" i="17"/>
  <c r="A165" i="17"/>
  <c r="B164" i="17"/>
  <c r="A164" i="17"/>
  <c r="B163" i="17"/>
  <c r="A163" i="17"/>
  <c r="B162" i="17"/>
  <c r="A162" i="17"/>
  <c r="B161" i="17"/>
  <c r="A161" i="17"/>
  <c r="B160" i="17"/>
  <c r="A160" i="17"/>
  <c r="B159" i="17"/>
  <c r="A159" i="17"/>
  <c r="B158" i="17"/>
  <c r="A158" i="17"/>
  <c r="B157" i="17"/>
  <c r="A157" i="17"/>
  <c r="B156" i="17"/>
  <c r="A156" i="17"/>
  <c r="B155" i="17"/>
  <c r="A155" i="17"/>
  <c r="B154" i="17"/>
  <c r="A154" i="17"/>
  <c r="B153" i="17"/>
  <c r="A153" i="17"/>
  <c r="B152" i="17"/>
  <c r="A152" i="17"/>
  <c r="B151" i="17"/>
  <c r="A151" i="17"/>
  <c r="B150" i="17"/>
  <c r="A150" i="17"/>
  <c r="B149" i="17"/>
  <c r="A149" i="17"/>
  <c r="B148" i="17"/>
  <c r="A148" i="17"/>
  <c r="B147" i="17"/>
  <c r="A147" i="17"/>
  <c r="B146" i="17"/>
  <c r="A146" i="17"/>
  <c r="B145" i="17"/>
  <c r="A145" i="17"/>
  <c r="B144" i="17"/>
  <c r="A144" i="17"/>
  <c r="B143" i="17"/>
  <c r="A143" i="17"/>
  <c r="B142" i="17"/>
  <c r="A142" i="17"/>
  <c r="B141" i="17"/>
  <c r="A141" i="17"/>
  <c r="B140" i="17"/>
  <c r="A140" i="17"/>
  <c r="B139" i="17"/>
  <c r="A139" i="17"/>
  <c r="B138" i="17"/>
  <c r="A138" i="17"/>
  <c r="B137" i="17"/>
  <c r="A137" i="17"/>
  <c r="B136" i="17"/>
  <c r="A136" i="17"/>
  <c r="B135" i="17"/>
  <c r="A135" i="17"/>
  <c r="B134" i="17"/>
  <c r="A134" i="17"/>
  <c r="B133" i="17"/>
  <c r="A133" i="17"/>
  <c r="B132" i="17"/>
  <c r="A132" i="17"/>
  <c r="B131" i="17"/>
  <c r="A131" i="17"/>
  <c r="B130" i="17"/>
  <c r="A130" i="17"/>
  <c r="B129" i="17"/>
  <c r="A129" i="17"/>
  <c r="B128" i="17"/>
  <c r="A128" i="17"/>
  <c r="B127" i="17"/>
  <c r="A127" i="17"/>
  <c r="B126" i="17"/>
  <c r="A126" i="17"/>
  <c r="B125" i="17"/>
  <c r="A125" i="17"/>
  <c r="B124" i="17"/>
  <c r="A124" i="17"/>
  <c r="B123" i="17"/>
  <c r="A123" i="17"/>
  <c r="B122" i="17"/>
  <c r="A122" i="17"/>
  <c r="B121" i="17"/>
  <c r="A121" i="17"/>
  <c r="B120" i="17"/>
  <c r="A120" i="17"/>
  <c r="B119" i="17"/>
  <c r="A119" i="17"/>
  <c r="B118" i="17"/>
  <c r="A118" i="17"/>
  <c r="B117" i="17"/>
  <c r="A117" i="17"/>
  <c r="B116" i="17"/>
  <c r="A116" i="17"/>
  <c r="B115" i="17"/>
  <c r="A115" i="17"/>
  <c r="B114" i="17"/>
  <c r="A114" i="17"/>
  <c r="B113" i="17"/>
  <c r="A113" i="17"/>
  <c r="B112" i="17"/>
  <c r="A112" i="17"/>
  <c r="B111" i="17"/>
  <c r="A111" i="17"/>
  <c r="B110" i="17"/>
  <c r="A110" i="17"/>
  <c r="B109" i="17"/>
  <c r="A109" i="17"/>
  <c r="B108" i="17"/>
  <c r="A108" i="17"/>
  <c r="B107" i="17"/>
  <c r="A107" i="17"/>
  <c r="B106" i="17"/>
  <c r="A106" i="17"/>
  <c r="B105" i="17"/>
  <c r="A105" i="17"/>
  <c r="B104" i="17"/>
  <c r="A104" i="17"/>
  <c r="B103" i="17"/>
  <c r="A103" i="17"/>
  <c r="B102" i="17"/>
  <c r="A102" i="17"/>
  <c r="B101" i="17"/>
  <c r="A101" i="17"/>
  <c r="B100" i="17"/>
  <c r="A100" i="17"/>
  <c r="B99" i="17"/>
  <c r="A99" i="17"/>
  <c r="B98" i="17"/>
  <c r="A98" i="17"/>
  <c r="B97" i="17"/>
  <c r="A97" i="17"/>
  <c r="B96" i="17"/>
  <c r="A96" i="17"/>
  <c r="B95" i="17"/>
  <c r="A95" i="17"/>
  <c r="B94" i="17"/>
  <c r="A94" i="17"/>
  <c r="B93" i="17"/>
  <c r="A93" i="17"/>
  <c r="B92" i="17"/>
  <c r="A92" i="17"/>
  <c r="B91" i="17"/>
  <c r="A91" i="17"/>
  <c r="B90" i="17"/>
  <c r="A90" i="17"/>
  <c r="B89" i="17"/>
  <c r="A89" i="17"/>
  <c r="B88" i="17"/>
  <c r="A88" i="17"/>
  <c r="B87" i="17"/>
  <c r="A87" i="17"/>
  <c r="B86" i="17"/>
  <c r="A86" i="17"/>
  <c r="B85" i="17"/>
  <c r="A85" i="17"/>
  <c r="B84" i="17"/>
  <c r="A84" i="17"/>
  <c r="B83" i="17"/>
  <c r="A83" i="17"/>
  <c r="B82" i="17"/>
  <c r="A82" i="17"/>
  <c r="B81" i="17"/>
  <c r="A81" i="17"/>
  <c r="B80" i="17"/>
  <c r="A80" i="17"/>
  <c r="B79" i="17"/>
  <c r="A79" i="17"/>
  <c r="B78" i="17"/>
  <c r="A78" i="17"/>
  <c r="B77" i="17"/>
  <c r="A77" i="17"/>
  <c r="B76" i="17"/>
  <c r="A76" i="17"/>
  <c r="B75" i="17"/>
  <c r="A75" i="17"/>
  <c r="B74" i="17"/>
  <c r="A74" i="17"/>
  <c r="B73" i="17"/>
  <c r="A73" i="17"/>
  <c r="B72" i="17"/>
  <c r="A72" i="17"/>
  <c r="B71" i="17"/>
  <c r="A71" i="17"/>
  <c r="B70" i="17"/>
  <c r="A70" i="17"/>
  <c r="B69" i="17"/>
  <c r="A69" i="17"/>
  <c r="B68" i="17"/>
  <c r="A68" i="17"/>
  <c r="B67" i="17"/>
  <c r="A67" i="17"/>
  <c r="B66" i="17"/>
  <c r="A66" i="17"/>
  <c r="B65" i="17"/>
  <c r="A65" i="17"/>
  <c r="B64" i="17"/>
  <c r="A64" i="17"/>
  <c r="B63" i="17"/>
  <c r="A63" i="17"/>
  <c r="B62" i="17"/>
  <c r="A62" i="17"/>
  <c r="B61" i="17"/>
  <c r="A61" i="17"/>
  <c r="B60" i="17"/>
  <c r="A60" i="17"/>
  <c r="B59" i="17"/>
  <c r="A59" i="17"/>
  <c r="B58" i="17"/>
  <c r="A58" i="17"/>
  <c r="B57" i="17"/>
  <c r="A57" i="17"/>
  <c r="B56" i="17"/>
  <c r="A56" i="17"/>
  <c r="B55" i="17"/>
  <c r="A55" i="17"/>
  <c r="B54" i="17"/>
  <c r="A54" i="17"/>
  <c r="B53" i="17"/>
  <c r="A53" i="17"/>
  <c r="B52" i="17"/>
  <c r="A52" i="17"/>
  <c r="B51" i="17"/>
  <c r="A51" i="17"/>
  <c r="B50" i="17"/>
  <c r="A50" i="17"/>
  <c r="B49" i="17"/>
  <c r="A49" i="17"/>
  <c r="B48" i="17"/>
  <c r="A48" i="17"/>
  <c r="B47" i="17"/>
  <c r="A47" i="17"/>
  <c r="B46" i="17"/>
  <c r="A46" i="17"/>
  <c r="B45" i="17"/>
  <c r="A45" i="17"/>
  <c r="B44" i="17"/>
  <c r="A44" i="17"/>
  <c r="B43" i="17"/>
  <c r="A43" i="17"/>
  <c r="B42" i="17"/>
  <c r="A42" i="17"/>
  <c r="B41" i="17"/>
  <c r="A41" i="17"/>
  <c r="B40" i="17"/>
  <c r="A40" i="17"/>
  <c r="B39" i="17"/>
  <c r="A39" i="17"/>
  <c r="B38" i="17"/>
  <c r="A38" i="17"/>
  <c r="B37" i="17"/>
  <c r="A37" i="17"/>
  <c r="B36" i="17"/>
  <c r="A36" i="17"/>
  <c r="B35" i="17"/>
  <c r="A35" i="17"/>
  <c r="B34" i="17"/>
  <c r="A34" i="17"/>
  <c r="B33" i="17"/>
  <c r="A33" i="17"/>
  <c r="B32" i="17"/>
  <c r="A32" i="17"/>
  <c r="B31" i="17"/>
  <c r="A31" i="17"/>
  <c r="B30" i="17"/>
  <c r="A30" i="17"/>
  <c r="B29" i="17"/>
  <c r="A29" i="17"/>
  <c r="B28" i="17"/>
  <c r="A28" i="17"/>
  <c r="B27" i="17"/>
  <c r="A27" i="17"/>
  <c r="B26" i="17"/>
  <c r="A26" i="17"/>
  <c r="B25" i="17"/>
  <c r="A25" i="17"/>
  <c r="B24" i="17"/>
  <c r="A24" i="17"/>
  <c r="B23" i="17"/>
  <c r="A23" i="17"/>
  <c r="B22" i="17"/>
  <c r="A22" i="17"/>
  <c r="B21" i="17"/>
  <c r="A21" i="17"/>
  <c r="B20" i="17"/>
  <c r="A20" i="17"/>
  <c r="B19" i="17"/>
  <c r="A19" i="17"/>
  <c r="B18" i="17"/>
  <c r="A18" i="17"/>
  <c r="B17" i="17"/>
  <c r="A17" i="17"/>
  <c r="B16" i="17"/>
  <c r="A16" i="17"/>
  <c r="B15" i="17"/>
  <c r="A15" i="17"/>
  <c r="B14" i="17"/>
  <c r="A14" i="17"/>
  <c r="B13" i="17"/>
  <c r="A13" i="17"/>
  <c r="B12" i="17"/>
  <c r="A12" i="17"/>
  <c r="B11" i="17"/>
  <c r="A11" i="17"/>
  <c r="B10" i="17"/>
  <c r="A10" i="17"/>
  <c r="B9" i="17"/>
  <c r="A9" i="17"/>
  <c r="B8" i="17"/>
  <c r="A8" i="17"/>
  <c r="B7" i="17"/>
  <c r="A7" i="17"/>
  <c r="B6" i="17"/>
  <c r="A6" i="17"/>
  <c r="B5" i="17"/>
  <c r="A5" i="17"/>
  <c r="B4" i="17"/>
  <c r="A4" i="17"/>
  <c r="B3" i="17"/>
  <c r="A3" i="17"/>
  <c r="B2" i="17"/>
  <c r="A2" i="17"/>
  <c r="B1" i="17"/>
  <c r="A1" i="17"/>
  <c r="B22" i="15"/>
  <c r="B21" i="15"/>
  <c r="AH152" i="12"/>
  <c r="AG152" i="12"/>
  <c r="AF152" i="12"/>
  <c r="AE152" i="12"/>
  <c r="AD152" i="12"/>
  <c r="AC152" i="12"/>
  <c r="AB152" i="12"/>
  <c r="AA152" i="12"/>
  <c r="Z152" i="12"/>
  <c r="Y152" i="12"/>
  <c r="X152" i="12"/>
  <c r="W152" i="12"/>
  <c r="V152" i="12"/>
  <c r="U152" i="12"/>
  <c r="T152" i="12"/>
  <c r="S152" i="12"/>
  <c r="R152" i="12"/>
  <c r="Q152" i="12"/>
  <c r="P152" i="12"/>
  <c r="O152" i="12"/>
  <c r="N152" i="12"/>
  <c r="M152" i="12"/>
  <c r="L152" i="12"/>
  <c r="K152" i="12"/>
  <c r="J152" i="12"/>
  <c r="I152" i="12"/>
  <c r="H152" i="12"/>
  <c r="AJ151" i="12"/>
  <c r="AI151" i="12"/>
  <c r="AH151" i="12"/>
  <c r="AG151" i="12"/>
  <c r="AF151" i="12"/>
  <c r="AE151" i="12"/>
  <c r="AD151" i="12"/>
  <c r="AC151" i="12"/>
  <c r="AB151" i="12"/>
  <c r="AA151" i="12"/>
  <c r="Z151" i="12"/>
  <c r="Y151" i="12"/>
  <c r="X151" i="12"/>
  <c r="W151" i="12"/>
  <c r="V151" i="12"/>
  <c r="U151" i="12"/>
  <c r="T151" i="12"/>
  <c r="S151" i="12"/>
  <c r="R151" i="12"/>
  <c r="Q151" i="12"/>
  <c r="P151" i="12"/>
  <c r="O151" i="12"/>
  <c r="N151" i="12"/>
  <c r="M151" i="12"/>
  <c r="L151" i="12"/>
  <c r="K151" i="12"/>
  <c r="J151" i="12"/>
  <c r="I151" i="12"/>
  <c r="H151" i="12"/>
  <c r="AJ150" i="12"/>
  <c r="AI150" i="12"/>
  <c r="AH150" i="12"/>
  <c r="AG150" i="12"/>
  <c r="AF150" i="12"/>
  <c r="AE150" i="12"/>
  <c r="AD150" i="12"/>
  <c r="AC150" i="12"/>
  <c r="AB150" i="12"/>
  <c r="AA150" i="12"/>
  <c r="Z150" i="12"/>
  <c r="Y150" i="12"/>
  <c r="X150" i="12"/>
  <c r="W150" i="12"/>
  <c r="V150" i="12"/>
  <c r="U150" i="12"/>
  <c r="T150" i="12"/>
  <c r="S150" i="12"/>
  <c r="R150" i="12"/>
  <c r="Q150" i="12"/>
  <c r="P150" i="12"/>
  <c r="O150" i="12"/>
  <c r="N150" i="12"/>
  <c r="M150" i="12"/>
  <c r="L150" i="12"/>
  <c r="K150" i="12"/>
  <c r="J150" i="12"/>
  <c r="I150" i="12"/>
  <c r="H150" i="12"/>
  <c r="AH149" i="12"/>
  <c r="AG149" i="12"/>
  <c r="AF149" i="12"/>
  <c r="AE149" i="12"/>
  <c r="AD149" i="12"/>
  <c r="AC149" i="12"/>
  <c r="AB149" i="12"/>
  <c r="AA149" i="12"/>
  <c r="Z149" i="12"/>
  <c r="Y149" i="12"/>
  <c r="X149" i="12"/>
  <c r="W149" i="12"/>
  <c r="V149" i="12"/>
  <c r="U149" i="12"/>
  <c r="T149" i="12"/>
  <c r="S149" i="12"/>
  <c r="R149" i="12"/>
  <c r="Q149" i="12"/>
  <c r="P149" i="12"/>
  <c r="O149" i="12"/>
  <c r="N149" i="12"/>
  <c r="M149" i="12"/>
  <c r="L149" i="12"/>
  <c r="K149" i="12"/>
  <c r="J149" i="12"/>
  <c r="I149" i="12"/>
  <c r="H149" i="12"/>
  <c r="AH148" i="12"/>
  <c r="AG148" i="12"/>
  <c r="AF148" i="12"/>
  <c r="AE148" i="12"/>
  <c r="AD148" i="12"/>
  <c r="AC148" i="12"/>
  <c r="AB148" i="12"/>
  <c r="AA148" i="12"/>
  <c r="Z148" i="12"/>
  <c r="Y148" i="12"/>
  <c r="X148" i="12"/>
  <c r="W148" i="12"/>
  <c r="V148" i="12"/>
  <c r="U148" i="12"/>
  <c r="T148" i="12"/>
  <c r="S148" i="12"/>
  <c r="R148" i="12"/>
  <c r="Q148" i="12"/>
  <c r="P148" i="12"/>
  <c r="O148" i="12"/>
  <c r="N148" i="12"/>
  <c r="M148" i="12"/>
  <c r="L148" i="12"/>
  <c r="K148" i="12"/>
  <c r="J148" i="12"/>
  <c r="I148" i="12"/>
  <c r="H148" i="12"/>
  <c r="AH147" i="12"/>
  <c r="AG147" i="12"/>
  <c r="AF147" i="12"/>
  <c r="AE147" i="12"/>
  <c r="AD147" i="12"/>
  <c r="AC147" i="12"/>
  <c r="AB147" i="12"/>
  <c r="AA147" i="12"/>
  <c r="Z147" i="12"/>
  <c r="Y147" i="12"/>
  <c r="X147" i="12"/>
  <c r="W147" i="12"/>
  <c r="V147" i="12"/>
  <c r="U147" i="12"/>
  <c r="T147" i="12"/>
  <c r="S147" i="12"/>
  <c r="R147" i="12"/>
  <c r="Q147" i="12"/>
  <c r="P147" i="12"/>
  <c r="O147" i="12"/>
  <c r="N147" i="12"/>
  <c r="M147" i="12"/>
  <c r="L147" i="12"/>
  <c r="K147" i="12"/>
  <c r="J147" i="12"/>
  <c r="I147" i="12"/>
  <c r="H147" i="12"/>
  <c r="AH146" i="12"/>
  <c r="AG146" i="12"/>
  <c r="AF146" i="12"/>
  <c r="AE146" i="12"/>
  <c r="AD146" i="12"/>
  <c r="AC146" i="12"/>
  <c r="AB146" i="12"/>
  <c r="AA146" i="12"/>
  <c r="Z146" i="12"/>
  <c r="Y146" i="12"/>
  <c r="X146" i="12"/>
  <c r="W146" i="12"/>
  <c r="V146" i="12"/>
  <c r="U146" i="12"/>
  <c r="T146" i="12"/>
  <c r="S146" i="12"/>
  <c r="R146" i="12"/>
  <c r="Q146" i="12"/>
  <c r="P146" i="12"/>
  <c r="O146" i="12"/>
  <c r="N146" i="12"/>
  <c r="M146" i="12"/>
  <c r="L146" i="12"/>
  <c r="K146" i="12"/>
  <c r="J146" i="12"/>
  <c r="I146" i="12"/>
  <c r="H146" i="12"/>
  <c r="AH145" i="12"/>
  <c r="AG145" i="12"/>
  <c r="AF145" i="12"/>
  <c r="AE145" i="12"/>
  <c r="AD145" i="12"/>
  <c r="AC145" i="12"/>
  <c r="AB145" i="12"/>
  <c r="AA145" i="12"/>
  <c r="Z145" i="12"/>
  <c r="Y145" i="12"/>
  <c r="X145" i="12"/>
  <c r="W145" i="12"/>
  <c r="V145" i="12"/>
  <c r="U145" i="12"/>
  <c r="T145" i="12"/>
  <c r="S145" i="12"/>
  <c r="R145" i="12"/>
  <c r="Q145" i="12"/>
  <c r="P145" i="12"/>
  <c r="O145" i="12"/>
  <c r="N145" i="12"/>
  <c r="M145" i="12"/>
  <c r="L145" i="12"/>
  <c r="K145" i="12"/>
  <c r="J145" i="12"/>
  <c r="I145" i="12"/>
  <c r="H145" i="12"/>
  <c r="AH144" i="12"/>
  <c r="AG144" i="12"/>
  <c r="AF144" i="12"/>
  <c r="AE144" i="12"/>
  <c r="AD144" i="12"/>
  <c r="AC144" i="12"/>
  <c r="AB144" i="12"/>
  <c r="AA144" i="12"/>
  <c r="Z144" i="12"/>
  <c r="Y144" i="12"/>
  <c r="X144" i="12"/>
  <c r="W144" i="12"/>
  <c r="V144" i="12"/>
  <c r="U144" i="12"/>
  <c r="T144" i="12"/>
  <c r="S144" i="12"/>
  <c r="R144" i="12"/>
  <c r="Q144" i="12"/>
  <c r="P144" i="12"/>
  <c r="O144" i="12"/>
  <c r="N144" i="12"/>
  <c r="M144" i="12"/>
  <c r="L144" i="12"/>
  <c r="K144" i="12"/>
  <c r="J144" i="12"/>
  <c r="I144" i="12"/>
  <c r="H144" i="12"/>
  <c r="AH143" i="12"/>
  <c r="AG143" i="12"/>
  <c r="AF143" i="12"/>
  <c r="AE143" i="12"/>
  <c r="AD143" i="12"/>
  <c r="AC143" i="12"/>
  <c r="AB143" i="12"/>
  <c r="AA143" i="12"/>
  <c r="Z143" i="12"/>
  <c r="Y143" i="12"/>
  <c r="X143" i="12"/>
  <c r="W143" i="12"/>
  <c r="V143" i="12"/>
  <c r="U143" i="12"/>
  <c r="T143" i="12"/>
  <c r="S143" i="12"/>
  <c r="R143" i="12"/>
  <c r="Q143" i="12"/>
  <c r="P143" i="12"/>
  <c r="O143" i="12"/>
  <c r="N143" i="12"/>
  <c r="M143" i="12"/>
  <c r="L143" i="12"/>
  <c r="K143" i="12"/>
  <c r="J143" i="12"/>
  <c r="I143" i="12"/>
  <c r="H143" i="12"/>
  <c r="AH142" i="12"/>
  <c r="AG142" i="12"/>
  <c r="AF142" i="12"/>
  <c r="AE142" i="12"/>
  <c r="AD142" i="12"/>
  <c r="AC142" i="12"/>
  <c r="AB142" i="12"/>
  <c r="AA142" i="12"/>
  <c r="Z142" i="12"/>
  <c r="Y142" i="12"/>
  <c r="X142" i="12"/>
  <c r="W142" i="12"/>
  <c r="V142" i="12"/>
  <c r="U142" i="12"/>
  <c r="T142" i="12"/>
  <c r="S142" i="12"/>
  <c r="R142" i="12"/>
  <c r="Q142" i="12"/>
  <c r="P142" i="12"/>
  <c r="O142" i="12"/>
  <c r="N142" i="12"/>
  <c r="M142" i="12"/>
  <c r="L142" i="12"/>
  <c r="K142" i="12"/>
  <c r="J142" i="12"/>
  <c r="I142" i="12"/>
  <c r="H142" i="12"/>
  <c r="AH141" i="12"/>
  <c r="AG141" i="12"/>
  <c r="AF141" i="12"/>
  <c r="AE141" i="12"/>
  <c r="AD141" i="12"/>
  <c r="AC141" i="12"/>
  <c r="AB141" i="12"/>
  <c r="AA141" i="12"/>
  <c r="Z141" i="12"/>
  <c r="Y141" i="12"/>
  <c r="X141" i="12"/>
  <c r="W141" i="12"/>
  <c r="V141" i="12"/>
  <c r="U141" i="12"/>
  <c r="T141" i="12"/>
  <c r="S141" i="12"/>
  <c r="R141" i="12"/>
  <c r="Q141" i="12"/>
  <c r="P141" i="12"/>
  <c r="O141" i="12"/>
  <c r="N141" i="12"/>
  <c r="M141" i="12"/>
  <c r="L141" i="12"/>
  <c r="K141" i="12"/>
  <c r="J141" i="12"/>
  <c r="I141" i="12"/>
  <c r="H141" i="12"/>
  <c r="AH140" i="12"/>
  <c r="AG140" i="12"/>
  <c r="AF140" i="12"/>
  <c r="AE140" i="12"/>
  <c r="AD140" i="12"/>
  <c r="AC140" i="12"/>
  <c r="AB140" i="12"/>
  <c r="AA140" i="12"/>
  <c r="Z140" i="12"/>
  <c r="Y140" i="12"/>
  <c r="X140" i="12"/>
  <c r="W140" i="12"/>
  <c r="V140" i="12"/>
  <c r="U140" i="12"/>
  <c r="T140" i="12"/>
  <c r="S140" i="12"/>
  <c r="R140" i="12"/>
  <c r="Q140" i="12"/>
  <c r="P140" i="12"/>
  <c r="O140" i="12"/>
  <c r="N140" i="12"/>
  <c r="M140" i="12"/>
  <c r="L140" i="12"/>
  <c r="K140" i="12"/>
  <c r="J140" i="12"/>
  <c r="I140" i="12"/>
  <c r="H140" i="12"/>
  <c r="AH139" i="12"/>
  <c r="AG139" i="12"/>
  <c r="AF139" i="12"/>
  <c r="AE139" i="12"/>
  <c r="AD139" i="12"/>
  <c r="AC139" i="12"/>
  <c r="AB139" i="12"/>
  <c r="AA139" i="12"/>
  <c r="Z139" i="12"/>
  <c r="Y139" i="12"/>
  <c r="X139" i="12"/>
  <c r="W139" i="12"/>
  <c r="V139" i="12"/>
  <c r="U139" i="12"/>
  <c r="T139" i="12"/>
  <c r="S139" i="12"/>
  <c r="R139" i="12"/>
  <c r="Q139" i="12"/>
  <c r="P139" i="12"/>
  <c r="O139" i="12"/>
  <c r="N139" i="12"/>
  <c r="M139" i="12"/>
  <c r="L139" i="12"/>
  <c r="K139" i="12"/>
  <c r="J139" i="12"/>
  <c r="I139" i="12"/>
  <c r="H139" i="12"/>
  <c r="AH138" i="12"/>
  <c r="AG138" i="12"/>
  <c r="AF138" i="12"/>
  <c r="AE138" i="12"/>
  <c r="AD138" i="12"/>
  <c r="AC138" i="12"/>
  <c r="AB138" i="12"/>
  <c r="AA138" i="12"/>
  <c r="Z138" i="12"/>
  <c r="Y138" i="12"/>
  <c r="X138" i="12"/>
  <c r="W138" i="12"/>
  <c r="V138" i="12"/>
  <c r="U138" i="12"/>
  <c r="T138" i="12"/>
  <c r="S138" i="12"/>
  <c r="R138" i="12"/>
  <c r="Q138" i="12"/>
  <c r="P138" i="12"/>
  <c r="O138" i="12"/>
  <c r="N138" i="12"/>
  <c r="M138" i="12"/>
  <c r="L138" i="12"/>
  <c r="K138" i="12"/>
  <c r="J138" i="12"/>
  <c r="I138" i="12"/>
  <c r="H138" i="12"/>
  <c r="AH137" i="12"/>
  <c r="AG137" i="12"/>
  <c r="AF137" i="12"/>
  <c r="AE137" i="12"/>
  <c r="AD137" i="12"/>
  <c r="AC137" i="12"/>
  <c r="AB137" i="12"/>
  <c r="AA137" i="12"/>
  <c r="Z137" i="12"/>
  <c r="Y137" i="12"/>
  <c r="X137" i="12"/>
  <c r="W137" i="12"/>
  <c r="V137" i="12"/>
  <c r="U137" i="12"/>
  <c r="T137" i="12"/>
  <c r="S137" i="12"/>
  <c r="R137" i="12"/>
  <c r="Q137" i="12"/>
  <c r="P137" i="12"/>
  <c r="O137" i="12"/>
  <c r="N137" i="12"/>
  <c r="M137" i="12"/>
  <c r="L137" i="12"/>
  <c r="K137" i="12"/>
  <c r="J137" i="12"/>
  <c r="I137" i="12"/>
  <c r="H137" i="12"/>
  <c r="AH136" i="12"/>
  <c r="AG136" i="12"/>
  <c r="AF136" i="12"/>
  <c r="AE136" i="12"/>
  <c r="AD136" i="12"/>
  <c r="AC136" i="12"/>
  <c r="AB136" i="12"/>
  <c r="AA136" i="12"/>
  <c r="Z136" i="12"/>
  <c r="Y136" i="12"/>
  <c r="X136" i="12"/>
  <c r="W136" i="12"/>
  <c r="V136" i="12"/>
  <c r="U136" i="12"/>
  <c r="T136" i="12"/>
  <c r="S136" i="12"/>
  <c r="R136" i="12"/>
  <c r="Q136" i="12"/>
  <c r="P136" i="12"/>
  <c r="O136" i="12"/>
  <c r="N136" i="12"/>
  <c r="M136" i="12"/>
  <c r="L136" i="12"/>
  <c r="K136" i="12"/>
  <c r="J136" i="12"/>
  <c r="I136" i="12"/>
  <c r="H136" i="12"/>
  <c r="AH135" i="12"/>
  <c r="AG135" i="12"/>
  <c r="AF135" i="12"/>
  <c r="AE135" i="12"/>
  <c r="AD135" i="12"/>
  <c r="AC135" i="12"/>
  <c r="AB135" i="12"/>
  <c r="AA135" i="12"/>
  <c r="Z135" i="12"/>
  <c r="Y135" i="12"/>
  <c r="X135" i="12"/>
  <c r="W135" i="12"/>
  <c r="V135" i="12"/>
  <c r="U135" i="12"/>
  <c r="T135" i="12"/>
  <c r="S135" i="12"/>
  <c r="R135" i="12"/>
  <c r="Q135" i="12"/>
  <c r="P135" i="12"/>
  <c r="O135" i="12"/>
  <c r="N135" i="12"/>
  <c r="M135" i="12"/>
  <c r="L135" i="12"/>
  <c r="K135" i="12"/>
  <c r="J135" i="12"/>
  <c r="I135" i="12"/>
  <c r="H135" i="12"/>
  <c r="AH134" i="12"/>
  <c r="AG134" i="12"/>
  <c r="AF134" i="12"/>
  <c r="AE134" i="12"/>
  <c r="AD134" i="12"/>
  <c r="AC134" i="12"/>
  <c r="AB134" i="12"/>
  <c r="AA134" i="12"/>
  <c r="Z134" i="12"/>
  <c r="Y134" i="12"/>
  <c r="X134" i="12"/>
  <c r="W134" i="12"/>
  <c r="V134" i="12"/>
  <c r="U134" i="12"/>
  <c r="T134" i="12"/>
  <c r="S134" i="12"/>
  <c r="R134" i="12"/>
  <c r="Q134" i="12"/>
  <c r="P134" i="12"/>
  <c r="O134" i="12"/>
  <c r="N134" i="12"/>
  <c r="M134" i="12"/>
  <c r="L134" i="12"/>
  <c r="K134" i="12"/>
  <c r="J134" i="12"/>
  <c r="I134" i="12"/>
  <c r="H134" i="12"/>
  <c r="AH133" i="12"/>
  <c r="AG133" i="12"/>
  <c r="AF133" i="12"/>
  <c r="AE133" i="12"/>
  <c r="AD133" i="12"/>
  <c r="AC133" i="12"/>
  <c r="AB133" i="12"/>
  <c r="AA133" i="12"/>
  <c r="Z133" i="12"/>
  <c r="Y133" i="12"/>
  <c r="X133" i="12"/>
  <c r="W133" i="12"/>
  <c r="V133" i="12"/>
  <c r="U133" i="12"/>
  <c r="T133" i="12"/>
  <c r="S133" i="12"/>
  <c r="R133" i="12"/>
  <c r="Q133" i="12"/>
  <c r="P133" i="12"/>
  <c r="O133" i="12"/>
  <c r="N133" i="12"/>
  <c r="M133" i="12"/>
  <c r="L133" i="12"/>
  <c r="K133" i="12"/>
  <c r="J133" i="12"/>
  <c r="I133" i="12"/>
  <c r="H133" i="12"/>
  <c r="AH132" i="12"/>
  <c r="AG132" i="12"/>
  <c r="AF132" i="12"/>
  <c r="AE132" i="12"/>
  <c r="AD132" i="12"/>
  <c r="AC132" i="12"/>
  <c r="AB132" i="12"/>
  <c r="AA132" i="12"/>
  <c r="Z132" i="12"/>
  <c r="Y132" i="12"/>
  <c r="X132" i="12"/>
  <c r="W132" i="12"/>
  <c r="V132" i="12"/>
  <c r="U132" i="12"/>
  <c r="T132" i="12"/>
  <c r="S132" i="12"/>
  <c r="R132" i="12"/>
  <c r="Q132" i="12"/>
  <c r="P132" i="12"/>
  <c r="O132" i="12"/>
  <c r="N132" i="12"/>
  <c r="M132" i="12"/>
  <c r="L132" i="12"/>
  <c r="K132" i="12"/>
  <c r="J132" i="12"/>
  <c r="I132" i="12"/>
  <c r="H132" i="12"/>
  <c r="AH131" i="12"/>
  <c r="AG131" i="12"/>
  <c r="AF131" i="12"/>
  <c r="AE131" i="12"/>
  <c r="AD131" i="12"/>
  <c r="AC131" i="12"/>
  <c r="AB131" i="12"/>
  <c r="AA131" i="12"/>
  <c r="Z131" i="12"/>
  <c r="Y131" i="12"/>
  <c r="X131" i="12"/>
  <c r="W131" i="12"/>
  <c r="V131" i="12"/>
  <c r="U131" i="12"/>
  <c r="T131" i="12"/>
  <c r="S131" i="12"/>
  <c r="R131" i="12"/>
  <c r="Q131" i="12"/>
  <c r="P131" i="12"/>
  <c r="O131" i="12"/>
  <c r="N131" i="12"/>
  <c r="M131" i="12"/>
  <c r="L131" i="12"/>
  <c r="K131" i="12"/>
  <c r="J131" i="12"/>
  <c r="I131" i="12"/>
  <c r="H131" i="12"/>
  <c r="AH130" i="12"/>
  <c r="AG130" i="12"/>
  <c r="AF130" i="12"/>
  <c r="AE130" i="12"/>
  <c r="AD130" i="12"/>
  <c r="AC130" i="12"/>
  <c r="AB130" i="12"/>
  <c r="AA130" i="12"/>
  <c r="Z130" i="12"/>
  <c r="Y130" i="12"/>
  <c r="X130" i="12"/>
  <c r="W130" i="12"/>
  <c r="V130" i="12"/>
  <c r="U130" i="12"/>
  <c r="T130" i="12"/>
  <c r="S130" i="12"/>
  <c r="R130" i="12"/>
  <c r="Q130" i="12"/>
  <c r="P130" i="12"/>
  <c r="O130" i="12"/>
  <c r="N130" i="12"/>
  <c r="M130" i="12"/>
  <c r="L130" i="12"/>
  <c r="K130" i="12"/>
  <c r="J130" i="12"/>
  <c r="I130" i="12"/>
  <c r="H130" i="12"/>
  <c r="AH129" i="12"/>
  <c r="AG129" i="12"/>
  <c r="AF129" i="12"/>
  <c r="AE129" i="12"/>
  <c r="AD129" i="12"/>
  <c r="AC129" i="12"/>
  <c r="AB129" i="12"/>
  <c r="AA129" i="12"/>
  <c r="Z129" i="12"/>
  <c r="Y129" i="12"/>
  <c r="X129" i="12"/>
  <c r="W129" i="12"/>
  <c r="V129" i="12"/>
  <c r="U129" i="12"/>
  <c r="T129" i="12"/>
  <c r="S129" i="12"/>
  <c r="R129" i="12"/>
  <c r="Q129" i="12"/>
  <c r="P129" i="12"/>
  <c r="O129" i="12"/>
  <c r="N129" i="12"/>
  <c r="M129" i="12"/>
  <c r="L129" i="12"/>
  <c r="K129" i="12"/>
  <c r="J129" i="12"/>
  <c r="I129" i="12"/>
  <c r="H129" i="12"/>
  <c r="AH128" i="12"/>
  <c r="AG128" i="12"/>
  <c r="AF128" i="12"/>
  <c r="AE128" i="12"/>
  <c r="AD128" i="12"/>
  <c r="AC128" i="12"/>
  <c r="AB128" i="12"/>
  <c r="AA128" i="12"/>
  <c r="Z128" i="12"/>
  <c r="Y128" i="12"/>
  <c r="X128" i="12"/>
  <c r="W128" i="12"/>
  <c r="V128" i="12"/>
  <c r="U128" i="12"/>
  <c r="T128" i="12"/>
  <c r="S128" i="12"/>
  <c r="R128" i="12"/>
  <c r="Q128" i="12"/>
  <c r="P128" i="12"/>
  <c r="O128" i="12"/>
  <c r="N128" i="12"/>
  <c r="M128" i="12"/>
  <c r="L128" i="12"/>
  <c r="K128" i="12"/>
  <c r="J128" i="12"/>
  <c r="I128" i="12"/>
  <c r="H128" i="12"/>
  <c r="AH127" i="12"/>
  <c r="AG127" i="12"/>
  <c r="AF127" i="12"/>
  <c r="AE127" i="12"/>
  <c r="AD127" i="12"/>
  <c r="AC127" i="12"/>
  <c r="AB127" i="12"/>
  <c r="AA127" i="12"/>
  <c r="Z127" i="12"/>
  <c r="Y127" i="12"/>
  <c r="X127" i="12"/>
  <c r="W127" i="12"/>
  <c r="V127" i="12"/>
  <c r="U127" i="12"/>
  <c r="T127" i="12"/>
  <c r="S127" i="12"/>
  <c r="R127" i="12"/>
  <c r="Q127" i="12"/>
  <c r="P127" i="12"/>
  <c r="O127" i="12"/>
  <c r="N127" i="12"/>
  <c r="M127" i="12"/>
  <c r="L127" i="12"/>
  <c r="K127" i="12"/>
  <c r="J127" i="12"/>
  <c r="I127" i="12"/>
  <c r="H127" i="12"/>
  <c r="AH126" i="12"/>
  <c r="AG126" i="12"/>
  <c r="AF126" i="12"/>
  <c r="AE126" i="12"/>
  <c r="AD126" i="12"/>
  <c r="AC126" i="12"/>
  <c r="AB126" i="12"/>
  <c r="AA126" i="12"/>
  <c r="Z126" i="12"/>
  <c r="Y126" i="12"/>
  <c r="X126" i="12"/>
  <c r="W126" i="12"/>
  <c r="V126" i="12"/>
  <c r="U126" i="12"/>
  <c r="T126" i="12"/>
  <c r="S126" i="12"/>
  <c r="R126" i="12"/>
  <c r="Q126" i="12"/>
  <c r="P126" i="12"/>
  <c r="O126" i="12"/>
  <c r="N126" i="12"/>
  <c r="M126" i="12"/>
  <c r="L126" i="12"/>
  <c r="K126" i="12"/>
  <c r="J126" i="12"/>
  <c r="I126" i="12"/>
  <c r="H126" i="12"/>
  <c r="AH125" i="12"/>
  <c r="AG125" i="12"/>
  <c r="AF125" i="12"/>
  <c r="AE125" i="12"/>
  <c r="AD125" i="12"/>
  <c r="AC125" i="12"/>
  <c r="AB125" i="12"/>
  <c r="AA125" i="12"/>
  <c r="Z125" i="12"/>
  <c r="Y125" i="12"/>
  <c r="X125" i="12"/>
  <c r="W125" i="12"/>
  <c r="V125" i="12"/>
  <c r="U125" i="12"/>
  <c r="T125" i="12"/>
  <c r="S125" i="12"/>
  <c r="R125" i="12"/>
  <c r="Q125" i="12"/>
  <c r="P125" i="12"/>
  <c r="O125" i="12"/>
  <c r="N125" i="12"/>
  <c r="M125" i="12"/>
  <c r="L125" i="12"/>
  <c r="K125" i="12"/>
  <c r="J125" i="12"/>
  <c r="I125" i="12"/>
  <c r="H125" i="12"/>
  <c r="AH124" i="12"/>
  <c r="AG124" i="12"/>
  <c r="AF124" i="12"/>
  <c r="AE124" i="12"/>
  <c r="AD124" i="12"/>
  <c r="AC124" i="12"/>
  <c r="AB124" i="12"/>
  <c r="AA124" i="12"/>
  <c r="Z124" i="12"/>
  <c r="Y124" i="12"/>
  <c r="X124" i="12"/>
  <c r="W124" i="12"/>
  <c r="V124" i="12"/>
  <c r="U124" i="12"/>
  <c r="T124" i="12"/>
  <c r="S124" i="12"/>
  <c r="R124" i="12"/>
  <c r="Q124" i="12"/>
  <c r="P124" i="12"/>
  <c r="O124" i="12"/>
  <c r="N124" i="12"/>
  <c r="M124" i="12"/>
  <c r="L124" i="12"/>
  <c r="K124" i="12"/>
  <c r="J124" i="12"/>
  <c r="I124" i="12"/>
  <c r="H124" i="12"/>
  <c r="AH123" i="12"/>
  <c r="AG123" i="12"/>
  <c r="AF123" i="12"/>
  <c r="AE123" i="12"/>
  <c r="AD123" i="12"/>
  <c r="AC123" i="12"/>
  <c r="AB123" i="12"/>
  <c r="AA123" i="12"/>
  <c r="Z123" i="12"/>
  <c r="Y123" i="12"/>
  <c r="X123" i="12"/>
  <c r="W123" i="12"/>
  <c r="V123" i="12"/>
  <c r="U123" i="12"/>
  <c r="T123" i="12"/>
  <c r="S123" i="12"/>
  <c r="R123" i="12"/>
  <c r="Q123" i="12"/>
  <c r="P123" i="12"/>
  <c r="O123" i="12"/>
  <c r="N123" i="12"/>
  <c r="M123" i="12"/>
  <c r="L123" i="12"/>
  <c r="K123" i="12"/>
  <c r="J123" i="12"/>
  <c r="I123" i="12"/>
  <c r="H123" i="12"/>
  <c r="AH122" i="12"/>
  <c r="AG122" i="12"/>
  <c r="AF122" i="12"/>
  <c r="AE122" i="12"/>
  <c r="AD122" i="12"/>
  <c r="AC122" i="12"/>
  <c r="AB122" i="12"/>
  <c r="AA122" i="12"/>
  <c r="Z122" i="12"/>
  <c r="Y122" i="12"/>
  <c r="X122" i="12"/>
  <c r="W122" i="12"/>
  <c r="V122" i="12"/>
  <c r="U122" i="12"/>
  <c r="T122" i="12"/>
  <c r="S122" i="12"/>
  <c r="R122" i="12"/>
  <c r="Q122" i="12"/>
  <c r="P122" i="12"/>
  <c r="O122" i="12"/>
  <c r="N122" i="12"/>
  <c r="M122" i="12"/>
  <c r="L122" i="12"/>
  <c r="K122" i="12"/>
  <c r="J122" i="12"/>
  <c r="I122" i="12"/>
  <c r="H122" i="12"/>
  <c r="AH121" i="12"/>
  <c r="AG121" i="12"/>
  <c r="AF121" i="12"/>
  <c r="AE121" i="12"/>
  <c r="AD121" i="12"/>
  <c r="AC121" i="12"/>
  <c r="AB121" i="12"/>
  <c r="AA121" i="12"/>
  <c r="Z121" i="12"/>
  <c r="Y121" i="12"/>
  <c r="X121" i="12"/>
  <c r="W121" i="12"/>
  <c r="V121" i="12"/>
  <c r="U121" i="12"/>
  <c r="T121" i="12"/>
  <c r="S121" i="12"/>
  <c r="R121" i="12"/>
  <c r="Q121" i="12"/>
  <c r="P121" i="12"/>
  <c r="O121" i="12"/>
  <c r="N121" i="12"/>
  <c r="M121" i="12"/>
  <c r="L121" i="12"/>
  <c r="K121" i="12"/>
  <c r="J121" i="12"/>
  <c r="I121" i="12"/>
  <c r="H121" i="12"/>
  <c r="AH120" i="12"/>
  <c r="AG120" i="12"/>
  <c r="AF120" i="12"/>
  <c r="AE120" i="12"/>
  <c r="AD120" i="12"/>
  <c r="AC120" i="12"/>
  <c r="AB120" i="12"/>
  <c r="AA120" i="12"/>
  <c r="Z120" i="12"/>
  <c r="Y120" i="12"/>
  <c r="X120" i="12"/>
  <c r="W120" i="12"/>
  <c r="V120" i="12"/>
  <c r="U120" i="12"/>
  <c r="T120" i="12"/>
  <c r="S120" i="12"/>
  <c r="R120" i="12"/>
  <c r="Q120" i="12"/>
  <c r="P120" i="12"/>
  <c r="O120" i="12"/>
  <c r="N120" i="12"/>
  <c r="M120" i="12"/>
  <c r="L120" i="12"/>
  <c r="K120" i="12"/>
  <c r="J120" i="12"/>
  <c r="I120" i="12"/>
  <c r="H120" i="12"/>
  <c r="AH119" i="12"/>
  <c r="AG119" i="12"/>
  <c r="AF119" i="12"/>
  <c r="AE119" i="12"/>
  <c r="AD119" i="12"/>
  <c r="AC119" i="12"/>
  <c r="AB119" i="12"/>
  <c r="AA119" i="12"/>
  <c r="Z119" i="12"/>
  <c r="Y119" i="12"/>
  <c r="X119" i="12"/>
  <c r="W119" i="12"/>
  <c r="V119" i="12"/>
  <c r="U119" i="12"/>
  <c r="T119" i="12"/>
  <c r="S119" i="12"/>
  <c r="R119" i="12"/>
  <c r="Q119" i="12"/>
  <c r="P119" i="12"/>
  <c r="O119" i="12"/>
  <c r="N119" i="12"/>
  <c r="M119" i="12"/>
  <c r="L119" i="12"/>
  <c r="K119" i="12"/>
  <c r="J119" i="12"/>
  <c r="I119" i="12"/>
  <c r="H119" i="12"/>
  <c r="AH118" i="12"/>
  <c r="AG118" i="12"/>
  <c r="AF118" i="12"/>
  <c r="AE118" i="12"/>
  <c r="AD118" i="12"/>
  <c r="AC118" i="12"/>
  <c r="AB118" i="12"/>
  <c r="AA118" i="12"/>
  <c r="Z118" i="12"/>
  <c r="Y118" i="12"/>
  <c r="X118" i="12"/>
  <c r="W118" i="12"/>
  <c r="V118" i="12"/>
  <c r="U118" i="12"/>
  <c r="T118" i="12"/>
  <c r="S118" i="12"/>
  <c r="R118" i="12"/>
  <c r="Q118" i="12"/>
  <c r="P118" i="12"/>
  <c r="O118" i="12"/>
  <c r="N118" i="12"/>
  <c r="M118" i="12"/>
  <c r="L118" i="12"/>
  <c r="K118" i="12"/>
  <c r="J118" i="12"/>
  <c r="I118" i="12"/>
  <c r="H118" i="12"/>
  <c r="AH117" i="12"/>
  <c r="AG117" i="12"/>
  <c r="AF117" i="12"/>
  <c r="AE117" i="12"/>
  <c r="AD117" i="12"/>
  <c r="AC117" i="12"/>
  <c r="AB117" i="12"/>
  <c r="AA117" i="12"/>
  <c r="Z117" i="12"/>
  <c r="Y117" i="12"/>
  <c r="X117" i="12"/>
  <c r="W117" i="12"/>
  <c r="V117" i="12"/>
  <c r="U117" i="12"/>
  <c r="T117" i="12"/>
  <c r="S117" i="12"/>
  <c r="R117" i="12"/>
  <c r="Q117" i="12"/>
  <c r="P117" i="12"/>
  <c r="O117" i="12"/>
  <c r="N117" i="12"/>
  <c r="M117" i="12"/>
  <c r="L117" i="12"/>
  <c r="K117" i="12"/>
  <c r="J117" i="12"/>
  <c r="I117" i="12"/>
  <c r="H117" i="12"/>
  <c r="AH116" i="12"/>
  <c r="AG116" i="12"/>
  <c r="AF116" i="12"/>
  <c r="AE116" i="12"/>
  <c r="AD116" i="12"/>
  <c r="AC116" i="12"/>
  <c r="AB116" i="12"/>
  <c r="AA116" i="12"/>
  <c r="Z116" i="12"/>
  <c r="Y116" i="12"/>
  <c r="X116" i="12"/>
  <c r="W116" i="12"/>
  <c r="V116" i="12"/>
  <c r="U116" i="12"/>
  <c r="T116" i="12"/>
  <c r="S116" i="12"/>
  <c r="R116" i="12"/>
  <c r="Q116" i="12"/>
  <c r="P116" i="12"/>
  <c r="O116" i="12"/>
  <c r="N116" i="12"/>
  <c r="M116" i="12"/>
  <c r="L116" i="12"/>
  <c r="K116" i="12"/>
  <c r="J116" i="12"/>
  <c r="I116" i="12"/>
  <c r="H116" i="12"/>
  <c r="AH115" i="12"/>
  <c r="AG115" i="12"/>
  <c r="AF115" i="12"/>
  <c r="AE115" i="12"/>
  <c r="AD115" i="12"/>
  <c r="AC115" i="12"/>
  <c r="AB115" i="12"/>
  <c r="AA115" i="12"/>
  <c r="Z115" i="12"/>
  <c r="Y115" i="12"/>
  <c r="X115" i="12"/>
  <c r="W115" i="12"/>
  <c r="V115" i="12"/>
  <c r="U115" i="12"/>
  <c r="T115" i="12"/>
  <c r="S115" i="12"/>
  <c r="R115" i="12"/>
  <c r="Q115" i="12"/>
  <c r="P115" i="12"/>
  <c r="O115" i="12"/>
  <c r="N115" i="12"/>
  <c r="M115" i="12"/>
  <c r="L115" i="12"/>
  <c r="K115" i="12"/>
  <c r="J115" i="12"/>
  <c r="I115" i="12"/>
  <c r="H115" i="12"/>
  <c r="AH114" i="12"/>
  <c r="AG114" i="12"/>
  <c r="AF114" i="12"/>
  <c r="AE114" i="12"/>
  <c r="AD114" i="12"/>
  <c r="AC114" i="12"/>
  <c r="AB114" i="12"/>
  <c r="AA114" i="12"/>
  <c r="Z114" i="12"/>
  <c r="Y114" i="12"/>
  <c r="X114" i="12"/>
  <c r="W114" i="12"/>
  <c r="V114" i="12"/>
  <c r="U114" i="12"/>
  <c r="T114" i="12"/>
  <c r="S114" i="12"/>
  <c r="R114" i="12"/>
  <c r="Q114" i="12"/>
  <c r="P114" i="12"/>
  <c r="O114" i="12"/>
  <c r="N114" i="12"/>
  <c r="M114" i="12"/>
  <c r="L114" i="12"/>
  <c r="K114" i="12"/>
  <c r="J114" i="12"/>
  <c r="I114" i="12"/>
  <c r="H114" i="12"/>
  <c r="AH113" i="12"/>
  <c r="AG113" i="12"/>
  <c r="AF113" i="12"/>
  <c r="AE113" i="12"/>
  <c r="AD113" i="12"/>
  <c r="AC113" i="12"/>
  <c r="AB113" i="12"/>
  <c r="AA113" i="12"/>
  <c r="Z113" i="12"/>
  <c r="Y113" i="12"/>
  <c r="X113" i="12"/>
  <c r="W113" i="12"/>
  <c r="V113" i="12"/>
  <c r="U113" i="12"/>
  <c r="T113" i="12"/>
  <c r="S113" i="12"/>
  <c r="R113" i="12"/>
  <c r="Q113" i="12"/>
  <c r="P113" i="12"/>
  <c r="O113" i="12"/>
  <c r="N113" i="12"/>
  <c r="M113" i="12"/>
  <c r="L113" i="12"/>
  <c r="K113" i="12"/>
  <c r="J113" i="12"/>
  <c r="I113" i="12"/>
  <c r="H113" i="12"/>
  <c r="AH112" i="12"/>
  <c r="AG112" i="12"/>
  <c r="AF112" i="12"/>
  <c r="AE112" i="12"/>
  <c r="AD112" i="12"/>
  <c r="AC112" i="12"/>
  <c r="AB112" i="12"/>
  <c r="AA112" i="12"/>
  <c r="Z112" i="12"/>
  <c r="Y112" i="12"/>
  <c r="X112" i="12"/>
  <c r="W112" i="12"/>
  <c r="V112" i="12"/>
  <c r="U112" i="12"/>
  <c r="T112" i="12"/>
  <c r="S112" i="12"/>
  <c r="R112" i="12"/>
  <c r="Q112" i="12"/>
  <c r="P112" i="12"/>
  <c r="O112" i="12"/>
  <c r="N112" i="12"/>
  <c r="M112" i="12"/>
  <c r="L112" i="12"/>
  <c r="K112" i="12"/>
  <c r="J112" i="12"/>
  <c r="I112" i="12"/>
  <c r="H112" i="12"/>
  <c r="AH111" i="12"/>
  <c r="AG111" i="12"/>
  <c r="AF111" i="12"/>
  <c r="AE111" i="12"/>
  <c r="AD111" i="12"/>
  <c r="AC111" i="12"/>
  <c r="AB111" i="12"/>
  <c r="AA111" i="12"/>
  <c r="Z111" i="12"/>
  <c r="Y111" i="12"/>
  <c r="X111" i="12"/>
  <c r="W111" i="12"/>
  <c r="V111" i="12"/>
  <c r="U111" i="12"/>
  <c r="T111" i="12"/>
  <c r="S111" i="12"/>
  <c r="R111" i="12"/>
  <c r="Q111" i="12"/>
  <c r="P111" i="12"/>
  <c r="O111" i="12"/>
  <c r="N111" i="12"/>
  <c r="M111" i="12"/>
  <c r="L111" i="12"/>
  <c r="K111" i="12"/>
  <c r="J111" i="12"/>
  <c r="I111" i="12"/>
  <c r="H111" i="12"/>
  <c r="AH110" i="12"/>
  <c r="AG110" i="12"/>
  <c r="AF110" i="12"/>
  <c r="AE110" i="12"/>
  <c r="AD110" i="12"/>
  <c r="AC110" i="12"/>
  <c r="AB110" i="12"/>
  <c r="AA110" i="12"/>
  <c r="Z110" i="12"/>
  <c r="Y110" i="12"/>
  <c r="X110" i="12"/>
  <c r="W110" i="12"/>
  <c r="V110" i="12"/>
  <c r="U110" i="12"/>
  <c r="T110" i="12"/>
  <c r="S110" i="12"/>
  <c r="R110" i="12"/>
  <c r="Q110" i="12"/>
  <c r="P110" i="12"/>
  <c r="O110" i="12"/>
  <c r="N110" i="12"/>
  <c r="M110" i="12"/>
  <c r="L110" i="12"/>
  <c r="K110" i="12"/>
  <c r="J110" i="12"/>
  <c r="I110" i="12"/>
  <c r="H110" i="12"/>
  <c r="AH109" i="12"/>
  <c r="AG109" i="12"/>
  <c r="AF109" i="12"/>
  <c r="AE109" i="12"/>
  <c r="AD109" i="12"/>
  <c r="AC109" i="12"/>
  <c r="AB109" i="12"/>
  <c r="AA109" i="12"/>
  <c r="Z109" i="12"/>
  <c r="Y109" i="12"/>
  <c r="X109" i="12"/>
  <c r="W109" i="12"/>
  <c r="V109" i="12"/>
  <c r="U109" i="12"/>
  <c r="T109" i="12"/>
  <c r="S109" i="12"/>
  <c r="R109" i="12"/>
  <c r="Q109" i="12"/>
  <c r="P109" i="12"/>
  <c r="O109" i="12"/>
  <c r="N109" i="12"/>
  <c r="M109" i="12"/>
  <c r="L109" i="12"/>
  <c r="K109" i="12"/>
  <c r="J109" i="12"/>
  <c r="I109" i="12"/>
  <c r="H109" i="12"/>
  <c r="AH108" i="12"/>
  <c r="AG108" i="12"/>
  <c r="AB108" i="12"/>
  <c r="AA108" i="12"/>
  <c r="Z108" i="12"/>
  <c r="Y108" i="12"/>
  <c r="X108" i="12"/>
  <c r="W108" i="12"/>
  <c r="V108" i="12"/>
  <c r="U108" i="12"/>
  <c r="T108" i="12"/>
  <c r="S108" i="12"/>
  <c r="R108" i="12"/>
  <c r="Q108" i="12"/>
  <c r="P108" i="12"/>
  <c r="O108" i="12"/>
  <c r="N108" i="12"/>
  <c r="M108" i="12"/>
  <c r="L108" i="12"/>
  <c r="K108" i="12"/>
  <c r="J108" i="12"/>
  <c r="I108" i="12"/>
  <c r="H108" i="12"/>
  <c r="AJ107" i="12"/>
  <c r="AI107" i="12"/>
  <c r="AH107" i="12"/>
  <c r="AG107" i="12"/>
  <c r="AF107" i="12"/>
  <c r="AE107" i="12"/>
  <c r="AD107" i="12"/>
  <c r="AC107" i="12"/>
  <c r="AB107" i="12"/>
  <c r="AA107" i="12"/>
  <c r="Z107" i="12"/>
  <c r="Y107" i="12"/>
  <c r="X107" i="12"/>
  <c r="W107" i="12"/>
  <c r="V107" i="12"/>
  <c r="U107" i="12"/>
  <c r="T107" i="12"/>
  <c r="S107" i="12"/>
  <c r="R107" i="12"/>
  <c r="Q107" i="12"/>
  <c r="P107" i="12"/>
  <c r="O107" i="12"/>
  <c r="N107" i="12"/>
  <c r="M107" i="12"/>
  <c r="L107" i="12"/>
  <c r="K107" i="12"/>
  <c r="J107" i="12"/>
  <c r="I107" i="12"/>
  <c r="H107" i="12"/>
  <c r="AJ106" i="12"/>
  <c r="AI106" i="12"/>
  <c r="AH106" i="12"/>
  <c r="AG106" i="12"/>
  <c r="AF106" i="12"/>
  <c r="AE106" i="12"/>
  <c r="AD106" i="12"/>
  <c r="AC106" i="12"/>
  <c r="AB106" i="12"/>
  <c r="AA106" i="12"/>
  <c r="Z106" i="12"/>
  <c r="Y106" i="12"/>
  <c r="X106" i="12"/>
  <c r="W106" i="12"/>
  <c r="V106" i="12"/>
  <c r="U106" i="12"/>
  <c r="T106" i="12"/>
  <c r="S106" i="12"/>
  <c r="R106" i="12"/>
  <c r="Q106" i="12"/>
  <c r="P106" i="12"/>
  <c r="O106" i="12"/>
  <c r="N106" i="12"/>
  <c r="M106" i="12"/>
  <c r="L106" i="12"/>
  <c r="K106" i="12"/>
  <c r="J106" i="12"/>
  <c r="I106" i="12"/>
  <c r="H106" i="12"/>
  <c r="AJ105" i="12"/>
  <c r="AI105" i="12"/>
  <c r="AH105" i="12"/>
  <c r="AG105" i="12"/>
  <c r="AF105" i="12"/>
  <c r="AE105" i="12"/>
  <c r="AD105" i="12"/>
  <c r="AC105" i="12"/>
  <c r="AB105" i="12"/>
  <c r="AA105" i="12"/>
  <c r="Z105" i="12"/>
  <c r="Y105" i="12"/>
  <c r="X105" i="12"/>
  <c r="W105" i="12"/>
  <c r="V105" i="12"/>
  <c r="U105" i="12"/>
  <c r="T105" i="12"/>
  <c r="S105" i="12"/>
  <c r="R105" i="12"/>
  <c r="Q105" i="12"/>
  <c r="P105" i="12"/>
  <c r="O105" i="12"/>
  <c r="N105" i="12"/>
  <c r="M105" i="12"/>
  <c r="L105" i="12"/>
  <c r="K105" i="12"/>
  <c r="J105" i="12"/>
  <c r="I105" i="12"/>
  <c r="H105" i="12"/>
  <c r="AJ104" i="12"/>
  <c r="AI104" i="12"/>
  <c r="AH104" i="12"/>
  <c r="AG104" i="12"/>
  <c r="AF104" i="12"/>
  <c r="AE104" i="12"/>
  <c r="AD104" i="12"/>
  <c r="AC104" i="12"/>
  <c r="AB104" i="12"/>
  <c r="AA104" i="12"/>
  <c r="Z104" i="12"/>
  <c r="Y104" i="12"/>
  <c r="X104" i="12"/>
  <c r="W104" i="12"/>
  <c r="V104" i="12"/>
  <c r="U104" i="12"/>
  <c r="T104" i="12"/>
  <c r="S104" i="12"/>
  <c r="R104" i="12"/>
  <c r="Q104" i="12"/>
  <c r="P104" i="12"/>
  <c r="O104" i="12"/>
  <c r="N104" i="12"/>
  <c r="M104" i="12"/>
  <c r="L104" i="12"/>
  <c r="K104" i="12"/>
  <c r="J104" i="12"/>
  <c r="I104" i="12"/>
  <c r="H104" i="12"/>
  <c r="AJ103" i="12"/>
  <c r="AI103" i="12"/>
  <c r="AH103" i="12"/>
  <c r="AG103" i="12"/>
  <c r="AF103" i="12"/>
  <c r="AE103" i="12"/>
  <c r="AD103" i="12"/>
  <c r="AC103" i="12"/>
  <c r="AB103" i="12"/>
  <c r="AA103" i="12"/>
  <c r="Z103" i="12"/>
  <c r="Y103" i="12"/>
  <c r="X103" i="12"/>
  <c r="W103" i="12"/>
  <c r="V103" i="12"/>
  <c r="U103" i="12"/>
  <c r="T103" i="12"/>
  <c r="S103" i="12"/>
  <c r="R103" i="12"/>
  <c r="Q103" i="12"/>
  <c r="P103" i="12"/>
  <c r="O103" i="12"/>
  <c r="N103" i="12"/>
  <c r="M103" i="12"/>
  <c r="L103" i="12"/>
  <c r="K103" i="12"/>
  <c r="J103" i="12"/>
  <c r="I103" i="12"/>
  <c r="H103" i="12"/>
  <c r="AJ102" i="12"/>
  <c r="AI102" i="12"/>
  <c r="AH102" i="12"/>
  <c r="AG102" i="12"/>
  <c r="AF102" i="12"/>
  <c r="AE102" i="12"/>
  <c r="AD102" i="12"/>
  <c r="AC102" i="12"/>
  <c r="AB102" i="12"/>
  <c r="AA102" i="12"/>
  <c r="Z102" i="12"/>
  <c r="Y102" i="12"/>
  <c r="X102" i="12"/>
  <c r="W102" i="12"/>
  <c r="V102" i="12"/>
  <c r="U102" i="12"/>
  <c r="T102" i="12"/>
  <c r="S102" i="12"/>
  <c r="R102" i="12"/>
  <c r="Q102" i="12"/>
  <c r="P102" i="12"/>
  <c r="O102" i="12"/>
  <c r="N102" i="12"/>
  <c r="M102" i="12"/>
  <c r="L102" i="12"/>
  <c r="K102" i="12"/>
  <c r="J102" i="12"/>
  <c r="I102" i="12"/>
  <c r="H102" i="12"/>
  <c r="AH101" i="12"/>
  <c r="AG101" i="12"/>
  <c r="AF101" i="12"/>
  <c r="AE101" i="12"/>
  <c r="AD101" i="12"/>
  <c r="AC101" i="12"/>
  <c r="AB101" i="12"/>
  <c r="AA101" i="12"/>
  <c r="Z101" i="12"/>
  <c r="Y101" i="12"/>
  <c r="X101" i="12"/>
  <c r="W101" i="12"/>
  <c r="V101" i="12"/>
  <c r="U101" i="12"/>
  <c r="T101" i="12"/>
  <c r="S101" i="12"/>
  <c r="R101" i="12"/>
  <c r="Q101" i="12"/>
  <c r="P101" i="12"/>
  <c r="O101" i="12"/>
  <c r="N101" i="12"/>
  <c r="M101" i="12"/>
  <c r="L101" i="12"/>
  <c r="K101" i="12"/>
  <c r="J101" i="12"/>
  <c r="I101" i="12"/>
  <c r="H101" i="12"/>
  <c r="AH100" i="12"/>
  <c r="AG100" i="12"/>
  <c r="AF100" i="12"/>
  <c r="AE100" i="12"/>
  <c r="AD100" i="12"/>
  <c r="AC100" i="12"/>
  <c r="AB100" i="12"/>
  <c r="AA100" i="12"/>
  <c r="Z100" i="12"/>
  <c r="Y100" i="12"/>
  <c r="X100" i="12"/>
  <c r="W100" i="12"/>
  <c r="V100" i="12"/>
  <c r="U100" i="12"/>
  <c r="T100" i="12"/>
  <c r="S100" i="12"/>
  <c r="R100" i="12"/>
  <c r="Q100" i="12"/>
  <c r="P100" i="12"/>
  <c r="O100" i="12"/>
  <c r="N100" i="12"/>
  <c r="M100" i="12"/>
  <c r="L100" i="12"/>
  <c r="K100" i="12"/>
  <c r="J100" i="12"/>
  <c r="I100" i="12"/>
  <c r="H100" i="12"/>
  <c r="AH99" i="12"/>
  <c r="AG99" i="12"/>
  <c r="AF99" i="12"/>
  <c r="AE99" i="12"/>
  <c r="AD99" i="12"/>
  <c r="AC99" i="12"/>
  <c r="AB99" i="12"/>
  <c r="AA99" i="12"/>
  <c r="Z99" i="12"/>
  <c r="Y99" i="12"/>
  <c r="X99" i="12"/>
  <c r="W99" i="12"/>
  <c r="V99" i="12"/>
  <c r="U99" i="12"/>
  <c r="T99" i="12"/>
  <c r="S99" i="12"/>
  <c r="R99" i="12"/>
  <c r="Q99" i="12"/>
  <c r="P99" i="12"/>
  <c r="O99" i="12"/>
  <c r="N99" i="12"/>
  <c r="M99" i="12"/>
  <c r="L99" i="12"/>
  <c r="K99" i="12"/>
  <c r="J99" i="12"/>
  <c r="I99" i="12"/>
  <c r="H99" i="12"/>
  <c r="AH98" i="12"/>
  <c r="AG98" i="12"/>
  <c r="AB98" i="12"/>
  <c r="AA98" i="12"/>
  <c r="Z98" i="12"/>
  <c r="Y98" i="12"/>
  <c r="X98" i="12"/>
  <c r="W98" i="12"/>
  <c r="V98" i="12"/>
  <c r="U98" i="12"/>
  <c r="T98" i="12"/>
  <c r="S98" i="12"/>
  <c r="R98" i="12"/>
  <c r="Q98" i="12"/>
  <c r="P98" i="12"/>
  <c r="O98" i="12"/>
  <c r="N98" i="12"/>
  <c r="M98" i="12"/>
  <c r="L98" i="12"/>
  <c r="K98" i="12"/>
  <c r="J98" i="12"/>
  <c r="I98" i="12"/>
  <c r="H98" i="12"/>
  <c r="AH97" i="12"/>
  <c r="AG97" i="12"/>
  <c r="AF97" i="12"/>
  <c r="AE97" i="12"/>
  <c r="AD97" i="12"/>
  <c r="AC97" i="12"/>
  <c r="AB97" i="12"/>
  <c r="AA97" i="12"/>
  <c r="Z97" i="12"/>
  <c r="Y97" i="12"/>
  <c r="X97" i="12"/>
  <c r="W97" i="12"/>
  <c r="V97" i="12"/>
  <c r="U97" i="12"/>
  <c r="T97" i="12"/>
  <c r="S97" i="12"/>
  <c r="R97" i="12"/>
  <c r="Q97" i="12"/>
  <c r="P97" i="12"/>
  <c r="O97" i="12"/>
  <c r="N97" i="12"/>
  <c r="M97" i="12"/>
  <c r="L97" i="12"/>
  <c r="K97" i="12"/>
  <c r="J97" i="12"/>
  <c r="I97" i="12"/>
  <c r="H97" i="12"/>
  <c r="AJ96" i="12"/>
  <c r="AI96" i="12"/>
  <c r="AH96" i="12"/>
  <c r="AG96" i="12"/>
  <c r="AF96" i="12"/>
  <c r="AE96" i="12"/>
  <c r="AD96" i="12"/>
  <c r="AC96" i="12"/>
  <c r="AB96" i="12"/>
  <c r="AA96" i="12"/>
  <c r="Z96" i="12"/>
  <c r="Y96" i="12"/>
  <c r="X96" i="12"/>
  <c r="W96" i="12"/>
  <c r="V96" i="12"/>
  <c r="U96" i="12"/>
  <c r="T96" i="12"/>
  <c r="S96" i="12"/>
  <c r="R96" i="12"/>
  <c r="Q96" i="12"/>
  <c r="P96" i="12"/>
  <c r="O96" i="12"/>
  <c r="N96" i="12"/>
  <c r="M96" i="12"/>
  <c r="L96" i="12"/>
  <c r="K96" i="12"/>
  <c r="J96" i="12"/>
  <c r="I96" i="12"/>
  <c r="H96" i="12"/>
  <c r="AJ95" i="12"/>
  <c r="AI95" i="12"/>
  <c r="AH95" i="12"/>
  <c r="AG95" i="12"/>
  <c r="AF95" i="12"/>
  <c r="AE95" i="12"/>
  <c r="AD95" i="12"/>
  <c r="AC95" i="12"/>
  <c r="AB95" i="12"/>
  <c r="AA95" i="12"/>
  <c r="Z95" i="12"/>
  <c r="Y95" i="12"/>
  <c r="X95" i="12"/>
  <c r="W95" i="12"/>
  <c r="V95" i="12"/>
  <c r="U95" i="12"/>
  <c r="T95" i="12"/>
  <c r="S95" i="12"/>
  <c r="R95" i="12"/>
  <c r="Q95" i="12"/>
  <c r="P95" i="12"/>
  <c r="O95" i="12"/>
  <c r="N95" i="12"/>
  <c r="M95" i="12"/>
  <c r="L95" i="12"/>
  <c r="K95" i="12"/>
  <c r="J95" i="12"/>
  <c r="I95" i="12"/>
  <c r="H95" i="12"/>
  <c r="AJ94" i="12"/>
  <c r="AI94" i="12"/>
  <c r="AH94" i="12"/>
  <c r="AG94" i="12"/>
  <c r="AF94" i="12"/>
  <c r="AE94" i="12"/>
  <c r="AD94" i="12"/>
  <c r="AC94" i="12"/>
  <c r="AB94" i="12"/>
  <c r="AA94" i="12"/>
  <c r="Z94" i="12"/>
  <c r="Y94" i="12"/>
  <c r="X94" i="12"/>
  <c r="W94" i="12"/>
  <c r="V94" i="12"/>
  <c r="U94" i="12"/>
  <c r="T94" i="12"/>
  <c r="S94" i="12"/>
  <c r="R94" i="12"/>
  <c r="Q94" i="12"/>
  <c r="P94" i="12"/>
  <c r="O94" i="12"/>
  <c r="N94" i="12"/>
  <c r="M94" i="12"/>
  <c r="L94" i="12"/>
  <c r="K94" i="12"/>
  <c r="J94" i="12"/>
  <c r="I94" i="12"/>
  <c r="H94" i="12"/>
  <c r="AL93" i="12"/>
  <c r="AK93" i="12"/>
  <c r="AJ93" i="12"/>
  <c r="AI93" i="12"/>
  <c r="AH93" i="12"/>
  <c r="AG93" i="12"/>
  <c r="AF93" i="12"/>
  <c r="AE93" i="12"/>
  <c r="AD93" i="12"/>
  <c r="AC93" i="12"/>
  <c r="AB93" i="12"/>
  <c r="AA93" i="12"/>
  <c r="Z93" i="12"/>
  <c r="Y93" i="12"/>
  <c r="X93" i="12"/>
  <c r="W93" i="12"/>
  <c r="V93" i="12"/>
  <c r="U93" i="12"/>
  <c r="T93" i="12"/>
  <c r="S93" i="12"/>
  <c r="R93" i="12"/>
  <c r="Q93" i="12"/>
  <c r="P93" i="12"/>
  <c r="O93" i="12"/>
  <c r="N93" i="12"/>
  <c r="M93" i="12"/>
  <c r="L93" i="12"/>
  <c r="K93" i="12"/>
  <c r="J93" i="12"/>
  <c r="I93" i="12"/>
  <c r="H93" i="12"/>
  <c r="AH92" i="12"/>
  <c r="AG92" i="12"/>
  <c r="AF92" i="12"/>
  <c r="AE92" i="12"/>
  <c r="AD92" i="12"/>
  <c r="AC92" i="12"/>
  <c r="AB92" i="12"/>
  <c r="AA92" i="12"/>
  <c r="Z92" i="12"/>
  <c r="Y92" i="12"/>
  <c r="X92" i="12"/>
  <c r="W92" i="12"/>
  <c r="V92" i="12"/>
  <c r="U92" i="12"/>
  <c r="T92" i="12"/>
  <c r="S92" i="12"/>
  <c r="R92" i="12"/>
  <c r="Q92" i="12"/>
  <c r="P92" i="12"/>
  <c r="O92" i="12"/>
  <c r="N92" i="12"/>
  <c r="M92" i="12"/>
  <c r="L92" i="12"/>
  <c r="K92" i="12"/>
  <c r="J92" i="12"/>
  <c r="I92" i="12"/>
  <c r="H92" i="12"/>
  <c r="AJ91" i="12"/>
  <c r="AI91" i="12"/>
  <c r="AH91" i="12"/>
  <c r="AG91" i="12"/>
  <c r="AF91" i="12"/>
  <c r="AE91" i="12"/>
  <c r="AD91" i="12"/>
  <c r="AC91" i="12"/>
  <c r="AB91" i="12"/>
  <c r="AA91" i="12"/>
  <c r="Z91" i="12"/>
  <c r="Y91" i="12"/>
  <c r="X91" i="12"/>
  <c r="W91" i="12"/>
  <c r="V91" i="12"/>
  <c r="U91" i="12"/>
  <c r="T91" i="12"/>
  <c r="S91" i="12"/>
  <c r="R91" i="12"/>
  <c r="Q91" i="12"/>
  <c r="P91" i="12"/>
  <c r="O91" i="12"/>
  <c r="N91" i="12"/>
  <c r="M91" i="12"/>
  <c r="L91" i="12"/>
  <c r="K91" i="12"/>
  <c r="J91" i="12"/>
  <c r="I91" i="12"/>
  <c r="H91" i="12"/>
  <c r="AL90" i="12"/>
  <c r="AK90" i="12"/>
  <c r="AJ90" i="12"/>
  <c r="AI90" i="12"/>
  <c r="AH90" i="12"/>
  <c r="AG90" i="12"/>
  <c r="AF90" i="12"/>
  <c r="AE90" i="12"/>
  <c r="AD90" i="12"/>
  <c r="AC90" i="12"/>
  <c r="AB90" i="12"/>
  <c r="AA90" i="12"/>
  <c r="Z90" i="12"/>
  <c r="Y90" i="12"/>
  <c r="X90" i="12"/>
  <c r="W90" i="12"/>
  <c r="V90" i="12"/>
  <c r="U90" i="12"/>
  <c r="T90" i="12"/>
  <c r="S90" i="12"/>
  <c r="R90" i="12"/>
  <c r="Q90" i="12"/>
  <c r="P90" i="12"/>
  <c r="O90" i="12"/>
  <c r="N90" i="12"/>
  <c r="M90" i="12"/>
  <c r="L90" i="12"/>
  <c r="K90" i="12"/>
  <c r="J90" i="12"/>
  <c r="I90" i="12"/>
  <c r="H90" i="12"/>
  <c r="AJ89" i="12"/>
  <c r="AI89" i="12"/>
  <c r="AH89" i="12"/>
  <c r="AG89" i="12"/>
  <c r="AF89" i="12"/>
  <c r="AE89" i="12"/>
  <c r="AD89" i="12"/>
  <c r="AC89" i="12"/>
  <c r="AB89" i="12"/>
  <c r="AA89" i="12"/>
  <c r="Z89" i="12"/>
  <c r="Y89" i="12"/>
  <c r="X89" i="12"/>
  <c r="W89" i="12"/>
  <c r="V89" i="12"/>
  <c r="U89" i="12"/>
  <c r="T89" i="12"/>
  <c r="S89" i="12"/>
  <c r="R89" i="12"/>
  <c r="Q89" i="12"/>
  <c r="P89" i="12"/>
  <c r="O89" i="12"/>
  <c r="N89" i="12"/>
  <c r="M89" i="12"/>
  <c r="L89" i="12"/>
  <c r="K89" i="12"/>
  <c r="J89" i="12"/>
  <c r="I89" i="12"/>
  <c r="H89" i="12"/>
  <c r="AH88" i="12"/>
  <c r="AG88" i="12"/>
  <c r="AF88" i="12"/>
  <c r="AE88" i="12"/>
  <c r="AD88" i="12"/>
  <c r="AC88" i="12"/>
  <c r="AB88" i="12"/>
  <c r="AA88" i="12"/>
  <c r="Z88" i="12"/>
  <c r="Y88" i="12"/>
  <c r="X88" i="12"/>
  <c r="W88" i="12"/>
  <c r="V88" i="12"/>
  <c r="U88" i="12"/>
  <c r="T88" i="12"/>
  <c r="S88" i="12"/>
  <c r="R88" i="12"/>
  <c r="Q88" i="12"/>
  <c r="P88" i="12"/>
  <c r="O88" i="12"/>
  <c r="N88" i="12"/>
  <c r="M88" i="12"/>
  <c r="L88" i="12"/>
  <c r="K88" i="12"/>
  <c r="J88" i="12"/>
  <c r="I88" i="12"/>
  <c r="H88" i="12"/>
  <c r="AJ87" i="12"/>
  <c r="AI87" i="12"/>
  <c r="AH87" i="12"/>
  <c r="AG87" i="12"/>
  <c r="AF87" i="12"/>
  <c r="AE87" i="12"/>
  <c r="AD87" i="12"/>
  <c r="AC87" i="12"/>
  <c r="AB87" i="12"/>
  <c r="AA87" i="12"/>
  <c r="Z87" i="12"/>
  <c r="Y87" i="12"/>
  <c r="X87" i="12"/>
  <c r="W87" i="12"/>
  <c r="V87" i="12"/>
  <c r="U87" i="12"/>
  <c r="T87" i="12"/>
  <c r="S87" i="12"/>
  <c r="R87" i="12"/>
  <c r="Q87" i="12"/>
  <c r="P87" i="12"/>
  <c r="O87" i="12"/>
  <c r="N87" i="12"/>
  <c r="M87" i="12"/>
  <c r="L87" i="12"/>
  <c r="K87" i="12"/>
  <c r="J87" i="12"/>
  <c r="I87" i="12"/>
  <c r="H87" i="12"/>
  <c r="AJ86" i="12"/>
  <c r="AI86" i="12"/>
  <c r="AH86" i="12"/>
  <c r="AG86" i="12"/>
  <c r="AF86" i="12"/>
  <c r="AE86" i="12"/>
  <c r="AD86" i="12"/>
  <c r="AC86" i="12"/>
  <c r="AB86" i="12"/>
  <c r="AA86" i="12"/>
  <c r="Z86" i="12"/>
  <c r="Y86" i="12"/>
  <c r="X86" i="12"/>
  <c r="W86" i="12"/>
  <c r="V86" i="12"/>
  <c r="U86" i="12"/>
  <c r="T86" i="12"/>
  <c r="S86" i="12"/>
  <c r="R86" i="12"/>
  <c r="Q86" i="12"/>
  <c r="P86" i="12"/>
  <c r="O86" i="12"/>
  <c r="N86" i="12"/>
  <c r="M86" i="12"/>
  <c r="L86" i="12"/>
  <c r="K86" i="12"/>
  <c r="J86" i="12"/>
  <c r="I86" i="12"/>
  <c r="H86" i="12"/>
  <c r="AJ85" i="12"/>
  <c r="AI85" i="12"/>
  <c r="AH85" i="12"/>
  <c r="AG85" i="12"/>
  <c r="AF85" i="12"/>
  <c r="AE85" i="12"/>
  <c r="AD85" i="12"/>
  <c r="AC85" i="12"/>
  <c r="AB85" i="12"/>
  <c r="AA85" i="12"/>
  <c r="Z85" i="12"/>
  <c r="Y85" i="12"/>
  <c r="X85" i="12"/>
  <c r="W85" i="12"/>
  <c r="V85" i="12"/>
  <c r="U85" i="12"/>
  <c r="T85" i="12"/>
  <c r="S85" i="12"/>
  <c r="R85" i="12"/>
  <c r="Q85" i="12"/>
  <c r="P85" i="12"/>
  <c r="O85" i="12"/>
  <c r="N85" i="12"/>
  <c r="M85" i="12"/>
  <c r="L85" i="12"/>
  <c r="K85" i="12"/>
  <c r="J85" i="12"/>
  <c r="I85" i="12"/>
  <c r="H85" i="12"/>
  <c r="AH84" i="12"/>
  <c r="AG84" i="12"/>
  <c r="AF84" i="12"/>
  <c r="AE84" i="12"/>
  <c r="AD84" i="12"/>
  <c r="AC84" i="12"/>
  <c r="AB84" i="12"/>
  <c r="AA84" i="12"/>
  <c r="Z84" i="12"/>
  <c r="Y84" i="12"/>
  <c r="X84" i="12"/>
  <c r="W84" i="12"/>
  <c r="V84" i="12"/>
  <c r="U84" i="12"/>
  <c r="T84" i="12"/>
  <c r="S84" i="12"/>
  <c r="R84" i="12"/>
  <c r="Q84" i="12"/>
  <c r="P84" i="12"/>
  <c r="O84" i="12"/>
  <c r="N84" i="12"/>
  <c r="M84" i="12"/>
  <c r="L84" i="12"/>
  <c r="K84" i="12"/>
  <c r="J84" i="12"/>
  <c r="I84" i="12"/>
  <c r="H84" i="12"/>
  <c r="AJ83" i="12"/>
  <c r="AI83" i="12"/>
  <c r="AH83" i="12"/>
  <c r="AG83" i="12"/>
  <c r="AF83" i="12"/>
  <c r="AE83" i="12"/>
  <c r="AD83" i="12"/>
  <c r="AC83" i="12"/>
  <c r="AB83" i="12"/>
  <c r="AA83" i="12"/>
  <c r="Z83" i="12"/>
  <c r="Y83" i="12"/>
  <c r="X83" i="12"/>
  <c r="W83" i="12"/>
  <c r="V83" i="12"/>
  <c r="U83" i="12"/>
  <c r="T83" i="12"/>
  <c r="S83" i="12"/>
  <c r="R83" i="12"/>
  <c r="Q83" i="12"/>
  <c r="P83" i="12"/>
  <c r="O83" i="12"/>
  <c r="N83" i="12"/>
  <c r="M83" i="12"/>
  <c r="L83" i="12"/>
  <c r="K83" i="12"/>
  <c r="J83" i="12"/>
  <c r="I83" i="12"/>
  <c r="H83" i="12"/>
  <c r="AJ82" i="12"/>
  <c r="AI82" i="12"/>
  <c r="AH82" i="12"/>
  <c r="AG82" i="12"/>
  <c r="AF82" i="12"/>
  <c r="AE82" i="12"/>
  <c r="AD82" i="12"/>
  <c r="AC82" i="12"/>
  <c r="AB82" i="12"/>
  <c r="AA82" i="12"/>
  <c r="Z82" i="12"/>
  <c r="Y82" i="12"/>
  <c r="X82" i="12"/>
  <c r="W82" i="12"/>
  <c r="V82" i="12"/>
  <c r="U82" i="12"/>
  <c r="T82" i="12"/>
  <c r="S82" i="12"/>
  <c r="R82" i="12"/>
  <c r="Q82" i="12"/>
  <c r="P82" i="12"/>
  <c r="O82" i="12"/>
  <c r="N82" i="12"/>
  <c r="M82" i="12"/>
  <c r="L82" i="12"/>
  <c r="K82" i="12"/>
  <c r="J82" i="12"/>
  <c r="I82" i="12"/>
  <c r="H82" i="12"/>
  <c r="AJ81" i="12"/>
  <c r="AI81" i="12"/>
  <c r="AH81" i="12"/>
  <c r="AG81" i="12"/>
  <c r="AF81" i="12"/>
  <c r="AE81" i="12"/>
  <c r="AD81" i="12"/>
  <c r="AC81" i="12"/>
  <c r="AB81" i="12"/>
  <c r="AA81" i="12"/>
  <c r="Z81" i="12"/>
  <c r="Y81" i="12"/>
  <c r="X81" i="12"/>
  <c r="W81" i="12"/>
  <c r="V81" i="12"/>
  <c r="U81" i="12"/>
  <c r="T81" i="12"/>
  <c r="S81" i="12"/>
  <c r="R81" i="12"/>
  <c r="Q81" i="12"/>
  <c r="P81" i="12"/>
  <c r="O81" i="12"/>
  <c r="N81" i="12"/>
  <c r="M81" i="12"/>
  <c r="L81" i="12"/>
  <c r="K81" i="12"/>
  <c r="J81" i="12"/>
  <c r="I81" i="12"/>
  <c r="H81" i="12"/>
  <c r="AL80" i="12"/>
  <c r="AK80" i="12"/>
  <c r="AJ80" i="12"/>
  <c r="AI80" i="12"/>
  <c r="AH80" i="12"/>
  <c r="AG80" i="12"/>
  <c r="AF80" i="12"/>
  <c r="AE80" i="12"/>
  <c r="AD80" i="12"/>
  <c r="AC80" i="12"/>
  <c r="AB80" i="12"/>
  <c r="AA80" i="12"/>
  <c r="Z80" i="12"/>
  <c r="Y80" i="12"/>
  <c r="X80" i="12"/>
  <c r="W80" i="12"/>
  <c r="V80" i="12"/>
  <c r="U80" i="12"/>
  <c r="T80" i="12"/>
  <c r="S80" i="12"/>
  <c r="R80" i="12"/>
  <c r="Q80" i="12"/>
  <c r="P80" i="12"/>
  <c r="O80" i="12"/>
  <c r="N80" i="12"/>
  <c r="M80" i="12"/>
  <c r="L80" i="12"/>
  <c r="K80" i="12"/>
  <c r="J80" i="12"/>
  <c r="I80" i="12"/>
  <c r="H80" i="12"/>
  <c r="AJ79" i="12"/>
  <c r="AI79" i="12"/>
  <c r="AH79" i="12"/>
  <c r="AG79" i="12"/>
  <c r="AF79" i="12"/>
  <c r="AE79" i="12"/>
  <c r="AD79" i="12"/>
  <c r="AC79" i="12"/>
  <c r="AB79" i="12"/>
  <c r="AA79" i="12"/>
  <c r="Z79" i="12"/>
  <c r="Y79" i="12"/>
  <c r="X79" i="12"/>
  <c r="W79" i="12"/>
  <c r="V79" i="12"/>
  <c r="U79" i="12"/>
  <c r="T79" i="12"/>
  <c r="S79" i="12"/>
  <c r="R79" i="12"/>
  <c r="Q79" i="12"/>
  <c r="P79" i="12"/>
  <c r="O79" i="12"/>
  <c r="N79" i="12"/>
  <c r="M79" i="12"/>
  <c r="L79" i="12"/>
  <c r="K79" i="12"/>
  <c r="J79" i="12"/>
  <c r="I79" i="12"/>
  <c r="H79" i="12"/>
  <c r="AJ78" i="12"/>
  <c r="AI78" i="12"/>
  <c r="AH78" i="12"/>
  <c r="AG78" i="12"/>
  <c r="AF78" i="12"/>
  <c r="AE78" i="12"/>
  <c r="AD78" i="12"/>
  <c r="AC78" i="12"/>
  <c r="AB78" i="12"/>
  <c r="AA78" i="12"/>
  <c r="Z78" i="12"/>
  <c r="Y78" i="12"/>
  <c r="X78" i="12"/>
  <c r="W78" i="12"/>
  <c r="V78" i="12"/>
  <c r="U78" i="12"/>
  <c r="T78" i="12"/>
  <c r="S78" i="12"/>
  <c r="R78" i="12"/>
  <c r="Q78" i="12"/>
  <c r="P78" i="12"/>
  <c r="O78" i="12"/>
  <c r="N78" i="12"/>
  <c r="M78" i="12"/>
  <c r="L78" i="12"/>
  <c r="K78" i="12"/>
  <c r="J78" i="12"/>
  <c r="I78" i="12"/>
  <c r="H78" i="12"/>
  <c r="AH77" i="12"/>
  <c r="AG77" i="12"/>
  <c r="AF77" i="12"/>
  <c r="AE77" i="12"/>
  <c r="AD77" i="12"/>
  <c r="AC77" i="12"/>
  <c r="AB77" i="12"/>
  <c r="AA77" i="12"/>
  <c r="Z77" i="12"/>
  <c r="Y77" i="12"/>
  <c r="X77" i="12"/>
  <c r="W77" i="12"/>
  <c r="V77" i="12"/>
  <c r="U77" i="12"/>
  <c r="T77" i="12"/>
  <c r="S77" i="12"/>
  <c r="R77" i="12"/>
  <c r="Q77" i="12"/>
  <c r="P77" i="12"/>
  <c r="O77" i="12"/>
  <c r="N77" i="12"/>
  <c r="M77" i="12"/>
  <c r="L77" i="12"/>
  <c r="K77" i="12"/>
  <c r="J77" i="12"/>
  <c r="I77" i="12"/>
  <c r="H77" i="12"/>
  <c r="AH76" i="12"/>
  <c r="AG76" i="12"/>
  <c r="AF76" i="12"/>
  <c r="AE76" i="12"/>
  <c r="AD76" i="12"/>
  <c r="AC76" i="12"/>
  <c r="AB76" i="12"/>
  <c r="AA76" i="12"/>
  <c r="Z76" i="12"/>
  <c r="Y76" i="12"/>
  <c r="X76" i="12"/>
  <c r="W76" i="12"/>
  <c r="V76" i="12"/>
  <c r="U76" i="12"/>
  <c r="T76" i="12"/>
  <c r="S76" i="12"/>
  <c r="R76" i="12"/>
  <c r="Q76" i="12"/>
  <c r="P76" i="12"/>
  <c r="O76" i="12"/>
  <c r="N76" i="12"/>
  <c r="M76" i="12"/>
  <c r="L76" i="12"/>
  <c r="K76" i="12"/>
  <c r="J76" i="12"/>
  <c r="I76" i="12"/>
  <c r="H76" i="12"/>
  <c r="AJ75" i="12"/>
  <c r="AI75" i="12"/>
  <c r="AH75" i="12"/>
  <c r="AG75" i="12"/>
  <c r="AF75" i="12"/>
  <c r="AE75" i="12"/>
  <c r="AD75" i="12"/>
  <c r="AC75" i="12"/>
  <c r="AB75" i="12"/>
  <c r="AA75" i="12"/>
  <c r="Z75" i="12"/>
  <c r="Y75" i="12"/>
  <c r="X75" i="12"/>
  <c r="W75" i="12"/>
  <c r="V75" i="12"/>
  <c r="U75" i="12"/>
  <c r="T75" i="12"/>
  <c r="S75" i="12"/>
  <c r="R75" i="12"/>
  <c r="Q75" i="12"/>
  <c r="P75" i="12"/>
  <c r="O75" i="12"/>
  <c r="N75" i="12"/>
  <c r="M75" i="12"/>
  <c r="L75" i="12"/>
  <c r="K75" i="12"/>
  <c r="J75" i="12"/>
  <c r="I75" i="12"/>
  <c r="H75" i="12"/>
  <c r="AJ74" i="12"/>
  <c r="AI74" i="12"/>
  <c r="AH74" i="12"/>
  <c r="AG74" i="12"/>
  <c r="AF74" i="12"/>
  <c r="AE74" i="12"/>
  <c r="AD74" i="12"/>
  <c r="AC74" i="12"/>
  <c r="AB74" i="12"/>
  <c r="AA74" i="12"/>
  <c r="Z74" i="12"/>
  <c r="Y74" i="12"/>
  <c r="X74" i="12"/>
  <c r="W74" i="12"/>
  <c r="V74" i="12"/>
  <c r="U74" i="12"/>
  <c r="T74" i="12"/>
  <c r="S74" i="12"/>
  <c r="R74" i="12"/>
  <c r="Q74" i="12"/>
  <c r="P74" i="12"/>
  <c r="O74" i="12"/>
  <c r="N74" i="12"/>
  <c r="M74" i="12"/>
  <c r="L74" i="12"/>
  <c r="K74" i="12"/>
  <c r="J74" i="12"/>
  <c r="I74" i="12"/>
  <c r="H74" i="12"/>
  <c r="AL73" i="12"/>
  <c r="AK73" i="12"/>
  <c r="AJ73" i="12"/>
  <c r="AI73" i="12"/>
  <c r="AH73" i="12"/>
  <c r="AG73" i="12"/>
  <c r="AF73" i="12"/>
  <c r="AE73" i="12"/>
  <c r="AD73" i="12"/>
  <c r="AC73" i="12"/>
  <c r="AB73" i="12"/>
  <c r="AA73" i="12"/>
  <c r="Z73" i="12"/>
  <c r="Y73" i="12"/>
  <c r="X73" i="12"/>
  <c r="W73" i="12"/>
  <c r="V73" i="12"/>
  <c r="U73" i="12"/>
  <c r="T73" i="12"/>
  <c r="S73" i="12"/>
  <c r="R73" i="12"/>
  <c r="Q73" i="12"/>
  <c r="P73" i="12"/>
  <c r="O73" i="12"/>
  <c r="N73" i="12"/>
  <c r="M73" i="12"/>
  <c r="L73" i="12"/>
  <c r="K73" i="12"/>
  <c r="J73" i="12"/>
  <c r="I73" i="12"/>
  <c r="H73" i="12"/>
  <c r="AH72" i="12"/>
  <c r="AG72" i="12"/>
  <c r="AF72" i="12"/>
  <c r="AE72" i="12"/>
  <c r="AD72" i="12"/>
  <c r="AC72" i="12"/>
  <c r="AB72" i="12"/>
  <c r="AA72" i="12"/>
  <c r="Z72" i="12"/>
  <c r="Y72" i="12"/>
  <c r="X72" i="12"/>
  <c r="W72" i="12"/>
  <c r="V72" i="12"/>
  <c r="U72" i="12"/>
  <c r="T72" i="12"/>
  <c r="S72" i="12"/>
  <c r="R72" i="12"/>
  <c r="Q72" i="12"/>
  <c r="P72" i="12"/>
  <c r="O72" i="12"/>
  <c r="N72" i="12"/>
  <c r="M72" i="12"/>
  <c r="L72" i="12"/>
  <c r="K72" i="12"/>
  <c r="J72" i="12"/>
  <c r="I72" i="12"/>
  <c r="AL71" i="12"/>
  <c r="AK71" i="12"/>
  <c r="AJ71" i="12"/>
  <c r="AI71" i="12"/>
  <c r="AH71" i="12"/>
  <c r="AG71" i="12"/>
  <c r="AF71" i="12"/>
  <c r="AE71" i="12"/>
  <c r="AD71" i="12"/>
  <c r="AC71" i="12"/>
  <c r="AB71" i="12"/>
  <c r="AA71" i="12"/>
  <c r="Z71" i="12"/>
  <c r="Y71" i="12"/>
  <c r="X71" i="12"/>
  <c r="W71" i="12"/>
  <c r="V71" i="12"/>
  <c r="U71" i="12"/>
  <c r="T71" i="12"/>
  <c r="S71" i="12"/>
  <c r="R71" i="12"/>
  <c r="Q71" i="12"/>
  <c r="P71" i="12"/>
  <c r="O71" i="12"/>
  <c r="N71" i="12"/>
  <c r="M71" i="12"/>
  <c r="L71" i="12"/>
  <c r="K71" i="12"/>
  <c r="J71" i="12"/>
  <c r="I71" i="12"/>
  <c r="H71" i="12"/>
  <c r="AH70" i="12"/>
  <c r="AG70" i="12"/>
  <c r="AF70" i="12"/>
  <c r="AE70" i="12"/>
  <c r="AD70" i="12"/>
  <c r="AC70" i="12"/>
  <c r="AB70" i="12"/>
  <c r="AA70" i="12"/>
  <c r="Z70" i="12"/>
  <c r="Y70" i="12"/>
  <c r="X70" i="12"/>
  <c r="W70" i="12"/>
  <c r="V70" i="12"/>
  <c r="U70" i="12"/>
  <c r="T70" i="12"/>
  <c r="S70" i="12"/>
  <c r="R70" i="12"/>
  <c r="Q70" i="12"/>
  <c r="P70" i="12"/>
  <c r="O70" i="12"/>
  <c r="N70" i="12"/>
  <c r="M70" i="12"/>
  <c r="L70" i="12"/>
  <c r="K70" i="12"/>
  <c r="J70" i="12"/>
  <c r="I70" i="12"/>
  <c r="H70" i="12"/>
  <c r="AJ69" i="12"/>
  <c r="AI69" i="12"/>
  <c r="AH69" i="12"/>
  <c r="AG69" i="12"/>
  <c r="AF69" i="12"/>
  <c r="AE69" i="12"/>
  <c r="AD69" i="12"/>
  <c r="AC69" i="12"/>
  <c r="AB69" i="12"/>
  <c r="AA69" i="12"/>
  <c r="Z69" i="12"/>
  <c r="Y69" i="12"/>
  <c r="X69" i="12"/>
  <c r="W69" i="12"/>
  <c r="V69" i="12"/>
  <c r="U69" i="12"/>
  <c r="T69" i="12"/>
  <c r="S69" i="12"/>
  <c r="R69" i="12"/>
  <c r="Q69" i="12"/>
  <c r="P69" i="12"/>
  <c r="O69" i="12"/>
  <c r="N69" i="12"/>
  <c r="M69" i="12"/>
  <c r="L69" i="12"/>
  <c r="K69" i="12"/>
  <c r="J69" i="12"/>
  <c r="I69" i="12"/>
  <c r="H69" i="12"/>
  <c r="AJ68" i="12"/>
  <c r="AI68" i="12"/>
  <c r="AH68" i="12"/>
  <c r="AG68" i="12"/>
  <c r="AF68" i="12"/>
  <c r="AE68" i="12"/>
  <c r="AD68" i="12"/>
  <c r="AC68" i="12"/>
  <c r="AB68" i="12"/>
  <c r="AA68" i="12"/>
  <c r="Z68" i="12"/>
  <c r="Y68" i="12"/>
  <c r="X68" i="12"/>
  <c r="W68" i="12"/>
  <c r="V68" i="12"/>
  <c r="U68" i="12"/>
  <c r="T68" i="12"/>
  <c r="S68" i="12"/>
  <c r="R68" i="12"/>
  <c r="Q68" i="12"/>
  <c r="P68" i="12"/>
  <c r="O68" i="12"/>
  <c r="N68" i="12"/>
  <c r="M68" i="12"/>
  <c r="L68" i="12"/>
  <c r="K68" i="12"/>
  <c r="J68" i="12"/>
  <c r="I68" i="12"/>
  <c r="H68" i="12"/>
  <c r="AJ67" i="12"/>
  <c r="AI67" i="12"/>
  <c r="AH67" i="12"/>
  <c r="AG67" i="12"/>
  <c r="AF67" i="12"/>
  <c r="AE67" i="12"/>
  <c r="AD67" i="12"/>
  <c r="AC67" i="12"/>
  <c r="AB67" i="12"/>
  <c r="AA67" i="12"/>
  <c r="Z67" i="12"/>
  <c r="Y67" i="12"/>
  <c r="X67" i="12"/>
  <c r="W67" i="12"/>
  <c r="V67" i="12"/>
  <c r="U67" i="12"/>
  <c r="T67" i="12"/>
  <c r="S67" i="12"/>
  <c r="R67" i="12"/>
  <c r="Q67" i="12"/>
  <c r="P67" i="12"/>
  <c r="O67" i="12"/>
  <c r="N67" i="12"/>
  <c r="M67" i="12"/>
  <c r="L67" i="12"/>
  <c r="K67" i="12"/>
  <c r="J67" i="12"/>
  <c r="I67" i="12"/>
  <c r="H67" i="12"/>
  <c r="AJ66" i="12"/>
  <c r="AI66" i="12"/>
  <c r="AH66" i="12"/>
  <c r="AG66" i="12"/>
  <c r="AF66" i="12"/>
  <c r="AE66" i="12"/>
  <c r="AD66" i="12"/>
  <c r="AC66" i="12"/>
  <c r="AB66" i="12"/>
  <c r="AA66" i="12"/>
  <c r="Z66" i="12"/>
  <c r="Y66" i="12"/>
  <c r="X66" i="12"/>
  <c r="W66" i="12"/>
  <c r="V66" i="12"/>
  <c r="U66" i="12"/>
  <c r="T66" i="12"/>
  <c r="S66" i="12"/>
  <c r="R66" i="12"/>
  <c r="Q66" i="12"/>
  <c r="P66" i="12"/>
  <c r="O66" i="12"/>
  <c r="N66" i="12"/>
  <c r="M66" i="12"/>
  <c r="L66" i="12"/>
  <c r="K66" i="12"/>
  <c r="J66" i="12"/>
  <c r="I66" i="12"/>
  <c r="H66" i="12"/>
  <c r="AL65" i="12"/>
  <c r="AK65" i="12"/>
  <c r="AJ65" i="12"/>
  <c r="AI65" i="12"/>
  <c r="AH65" i="12"/>
  <c r="AG65" i="12"/>
  <c r="AF65" i="12"/>
  <c r="AE65" i="12"/>
  <c r="AD65" i="12"/>
  <c r="AC65" i="12"/>
  <c r="AB65" i="12"/>
  <c r="AA65" i="12"/>
  <c r="Z65" i="12"/>
  <c r="Y65" i="12"/>
  <c r="X65" i="12"/>
  <c r="W65" i="12"/>
  <c r="V65" i="12"/>
  <c r="U65" i="12"/>
  <c r="T65" i="12"/>
  <c r="S65" i="12"/>
  <c r="R65" i="12"/>
  <c r="Q65" i="12"/>
  <c r="P65" i="12"/>
  <c r="O65" i="12"/>
  <c r="N65" i="12"/>
  <c r="M65" i="12"/>
  <c r="L65" i="12"/>
  <c r="K65" i="12"/>
  <c r="J65" i="12"/>
  <c r="I65" i="12"/>
  <c r="H65" i="12"/>
  <c r="AH64" i="12"/>
  <c r="AG64" i="12"/>
  <c r="AF64" i="12"/>
  <c r="AE64" i="12"/>
  <c r="AD64" i="12"/>
  <c r="AC64" i="12"/>
  <c r="AB64" i="12"/>
  <c r="AA64" i="12"/>
  <c r="Z64" i="12"/>
  <c r="Y64" i="12"/>
  <c r="X64" i="12"/>
  <c r="W64" i="12"/>
  <c r="V64" i="12"/>
  <c r="U64" i="12"/>
  <c r="T64" i="12"/>
  <c r="S64" i="12"/>
  <c r="R64" i="12"/>
  <c r="Q64" i="12"/>
  <c r="P64" i="12"/>
  <c r="O64" i="12"/>
  <c r="N64" i="12"/>
  <c r="M64" i="12"/>
  <c r="L64" i="12"/>
  <c r="K64" i="12"/>
  <c r="J64" i="12"/>
  <c r="I64" i="12"/>
  <c r="H64" i="12"/>
  <c r="AH63" i="12"/>
  <c r="AG63" i="12"/>
  <c r="AF63" i="12"/>
  <c r="AE63" i="12"/>
  <c r="AD63" i="12"/>
  <c r="AC63" i="12"/>
  <c r="AB63" i="12"/>
  <c r="AA63" i="12"/>
  <c r="Z63" i="12"/>
  <c r="Y63" i="12"/>
  <c r="X63" i="12"/>
  <c r="W63" i="12"/>
  <c r="V63" i="12"/>
  <c r="U63" i="12"/>
  <c r="T63" i="12"/>
  <c r="S63" i="12"/>
  <c r="R63" i="12"/>
  <c r="Q63" i="12"/>
  <c r="P63" i="12"/>
  <c r="O63" i="12"/>
  <c r="N63" i="12"/>
  <c r="M63" i="12"/>
  <c r="L63" i="12"/>
  <c r="K63" i="12"/>
  <c r="J63" i="12"/>
  <c r="I63" i="12"/>
  <c r="H63" i="12"/>
  <c r="AH62" i="12"/>
  <c r="AG62" i="12"/>
  <c r="AF62" i="12"/>
  <c r="AE62" i="12"/>
  <c r="AD62" i="12"/>
  <c r="AC62" i="12"/>
  <c r="AB62" i="12"/>
  <c r="AA62" i="12"/>
  <c r="Z62" i="12"/>
  <c r="Y62" i="12"/>
  <c r="X62" i="12"/>
  <c r="W62" i="12"/>
  <c r="V62" i="12"/>
  <c r="U62" i="12"/>
  <c r="T62" i="12"/>
  <c r="S62" i="12"/>
  <c r="R62" i="12"/>
  <c r="Q62" i="12"/>
  <c r="P62" i="12"/>
  <c r="O62" i="12"/>
  <c r="N62" i="12"/>
  <c r="M62" i="12"/>
  <c r="L62" i="12"/>
  <c r="K62" i="12"/>
  <c r="J62" i="12"/>
  <c r="I62" i="12"/>
  <c r="H62" i="12"/>
  <c r="AJ61" i="12"/>
  <c r="AI61" i="12"/>
  <c r="AH61" i="12"/>
  <c r="AG61" i="12"/>
  <c r="AF61" i="12"/>
  <c r="AE61" i="12"/>
  <c r="AD61" i="12"/>
  <c r="AC61" i="12"/>
  <c r="AB61" i="12"/>
  <c r="AA61" i="12"/>
  <c r="Z61" i="12"/>
  <c r="Y61" i="12"/>
  <c r="X61" i="12"/>
  <c r="W61" i="12"/>
  <c r="V61" i="12"/>
  <c r="U61" i="12"/>
  <c r="T61" i="12"/>
  <c r="S61" i="12"/>
  <c r="R61" i="12"/>
  <c r="Q61" i="12"/>
  <c r="P61" i="12"/>
  <c r="O61" i="12"/>
  <c r="N61" i="12"/>
  <c r="M61" i="12"/>
  <c r="L61" i="12"/>
  <c r="K61" i="12"/>
  <c r="J61" i="12"/>
  <c r="I61" i="12"/>
  <c r="H61" i="12"/>
  <c r="AJ60" i="12"/>
  <c r="AI60" i="12"/>
  <c r="AH60" i="12"/>
  <c r="AG60" i="12"/>
  <c r="AF60" i="12"/>
  <c r="AE60" i="12"/>
  <c r="AD60" i="12"/>
  <c r="AC60" i="12"/>
  <c r="AB60" i="12"/>
  <c r="AA60" i="12"/>
  <c r="Z60" i="12"/>
  <c r="Y60" i="12"/>
  <c r="X60" i="12"/>
  <c r="W60" i="12"/>
  <c r="V60" i="12"/>
  <c r="U60" i="12"/>
  <c r="T60" i="12"/>
  <c r="S60" i="12"/>
  <c r="R60" i="12"/>
  <c r="Q60" i="12"/>
  <c r="P60" i="12"/>
  <c r="O60" i="12"/>
  <c r="N60" i="12"/>
  <c r="M60" i="12"/>
  <c r="L60" i="12"/>
  <c r="K60" i="12"/>
  <c r="J60" i="12"/>
  <c r="I60" i="12"/>
  <c r="H60" i="12"/>
  <c r="AJ59" i="12"/>
  <c r="AI59" i="12"/>
  <c r="AH59" i="12"/>
  <c r="AG59" i="12"/>
  <c r="AF59" i="12"/>
  <c r="AE59" i="12"/>
  <c r="AD59" i="12"/>
  <c r="AC59" i="12"/>
  <c r="AB59" i="12"/>
  <c r="AA59" i="12"/>
  <c r="Z59" i="12"/>
  <c r="Y59" i="12"/>
  <c r="X59" i="12"/>
  <c r="W59" i="12"/>
  <c r="V59" i="12"/>
  <c r="U59" i="12"/>
  <c r="T59" i="12"/>
  <c r="S59" i="12"/>
  <c r="R59" i="12"/>
  <c r="Q59" i="12"/>
  <c r="P59" i="12"/>
  <c r="O59" i="12"/>
  <c r="N59" i="12"/>
  <c r="M59" i="12"/>
  <c r="L59" i="12"/>
  <c r="K59" i="12"/>
  <c r="J59" i="12"/>
  <c r="I59" i="12"/>
  <c r="H59" i="12"/>
  <c r="AH58" i="12"/>
  <c r="AG58" i="12"/>
  <c r="AF58" i="12"/>
  <c r="AE58" i="12"/>
  <c r="AD58" i="12"/>
  <c r="AC58" i="12"/>
  <c r="AB58" i="12"/>
  <c r="AA58" i="12"/>
  <c r="Z58" i="12"/>
  <c r="Y58" i="12"/>
  <c r="X58" i="12"/>
  <c r="W58" i="12"/>
  <c r="V58" i="12"/>
  <c r="U58" i="12"/>
  <c r="T58" i="12"/>
  <c r="S58" i="12"/>
  <c r="R58" i="12"/>
  <c r="Q58" i="12"/>
  <c r="P58" i="12"/>
  <c r="O58" i="12"/>
  <c r="N58" i="12"/>
  <c r="M58" i="12"/>
  <c r="L58" i="12"/>
  <c r="K58" i="12"/>
  <c r="J58" i="12"/>
  <c r="I58" i="12"/>
  <c r="H58" i="12"/>
  <c r="AL57" i="12"/>
  <c r="AK57" i="12"/>
  <c r="AJ57" i="12"/>
  <c r="AI57" i="12"/>
  <c r="AH57" i="12"/>
  <c r="AG57" i="12"/>
  <c r="AF57" i="12"/>
  <c r="AE57" i="12"/>
  <c r="AD57" i="12"/>
  <c r="AC57" i="12"/>
  <c r="AB57" i="12"/>
  <c r="AA57" i="12"/>
  <c r="Z57" i="12"/>
  <c r="Y57" i="12"/>
  <c r="X57" i="12"/>
  <c r="W57" i="12"/>
  <c r="V57" i="12"/>
  <c r="U57" i="12"/>
  <c r="T57" i="12"/>
  <c r="S57" i="12"/>
  <c r="R57" i="12"/>
  <c r="Q57" i="12"/>
  <c r="P57" i="12"/>
  <c r="O57" i="12"/>
  <c r="N57" i="12"/>
  <c r="M57" i="12"/>
  <c r="L57" i="12"/>
  <c r="K57" i="12"/>
  <c r="J57" i="12"/>
  <c r="I57" i="12"/>
  <c r="H57" i="12"/>
  <c r="AL56" i="12"/>
  <c r="AK56" i="12"/>
  <c r="AJ56" i="12"/>
  <c r="AI56" i="12"/>
  <c r="AH56" i="12"/>
  <c r="AG56" i="12"/>
  <c r="AF56" i="12"/>
  <c r="AE56" i="12"/>
  <c r="AD56" i="12"/>
  <c r="AC56" i="12"/>
  <c r="AB56" i="12"/>
  <c r="AA56" i="12"/>
  <c r="Z56" i="12"/>
  <c r="Y56" i="12"/>
  <c r="X56" i="12"/>
  <c r="W56" i="12"/>
  <c r="V56" i="12"/>
  <c r="U56" i="12"/>
  <c r="T56" i="12"/>
  <c r="S56" i="12"/>
  <c r="R56" i="12"/>
  <c r="Q56" i="12"/>
  <c r="P56" i="12"/>
  <c r="O56" i="12"/>
  <c r="N56" i="12"/>
  <c r="M56" i="12"/>
  <c r="L56" i="12"/>
  <c r="K56" i="12"/>
  <c r="J56" i="12"/>
  <c r="I56" i="12"/>
  <c r="H56" i="12"/>
  <c r="AG55" i="12"/>
  <c r="AF55" i="12"/>
  <c r="AE55" i="12"/>
  <c r="AD55" i="12"/>
  <c r="AC55" i="12"/>
  <c r="AB55" i="12"/>
  <c r="AA55" i="12"/>
  <c r="Z55" i="12"/>
  <c r="Y55" i="12"/>
  <c r="X55" i="12"/>
  <c r="W55" i="12"/>
  <c r="V55" i="12"/>
  <c r="U55" i="12"/>
  <c r="T55" i="12"/>
  <c r="S55" i="12"/>
  <c r="R55" i="12"/>
  <c r="Q55" i="12"/>
  <c r="P55" i="12"/>
  <c r="O55" i="12"/>
  <c r="N55" i="12"/>
  <c r="M55" i="12"/>
  <c r="L55" i="12"/>
  <c r="K55" i="12"/>
  <c r="J55" i="12"/>
  <c r="I55" i="12"/>
  <c r="H55" i="12"/>
  <c r="AL54" i="12"/>
  <c r="AK54" i="12"/>
  <c r="AJ54" i="12"/>
  <c r="AI54" i="12"/>
  <c r="AH54" i="12"/>
  <c r="AG54" i="12"/>
  <c r="AF54" i="12"/>
  <c r="AE54" i="12"/>
  <c r="AD54" i="12"/>
  <c r="AC54" i="12"/>
  <c r="AB54" i="12"/>
  <c r="AA54" i="12"/>
  <c r="Z54" i="12"/>
  <c r="Y54" i="12"/>
  <c r="X54" i="12"/>
  <c r="W54" i="12"/>
  <c r="V54" i="12"/>
  <c r="U54" i="12"/>
  <c r="T54" i="12"/>
  <c r="S54" i="12"/>
  <c r="R54" i="12"/>
  <c r="Q54" i="12"/>
  <c r="P54" i="12"/>
  <c r="O54" i="12"/>
  <c r="N54" i="12"/>
  <c r="M54" i="12"/>
  <c r="L54" i="12"/>
  <c r="K54" i="12"/>
  <c r="J54" i="12"/>
  <c r="I54" i="12"/>
  <c r="H54" i="12"/>
  <c r="AL53" i="12"/>
  <c r="AK53" i="12"/>
  <c r="AJ53" i="12"/>
  <c r="AI53" i="12"/>
  <c r="AH53" i="12"/>
  <c r="AG53" i="12"/>
  <c r="AF53" i="12"/>
  <c r="AE53" i="12"/>
  <c r="AD53" i="12"/>
  <c r="AC53" i="12"/>
  <c r="AB53" i="12"/>
  <c r="AA53" i="12"/>
  <c r="Z53" i="12"/>
  <c r="Y53" i="12"/>
  <c r="X53" i="12"/>
  <c r="W53" i="12"/>
  <c r="V53" i="12"/>
  <c r="U53" i="12"/>
  <c r="T53" i="12"/>
  <c r="S53" i="12"/>
  <c r="R53" i="12"/>
  <c r="Q53" i="12"/>
  <c r="P53" i="12"/>
  <c r="O53" i="12"/>
  <c r="N53" i="12"/>
  <c r="M53" i="12"/>
  <c r="L53" i="12"/>
  <c r="K53" i="12"/>
  <c r="J53" i="12"/>
  <c r="I53" i="12"/>
  <c r="H53" i="12"/>
  <c r="AJ52" i="12"/>
  <c r="AI52" i="12"/>
  <c r="AH52" i="12"/>
  <c r="AG52" i="12"/>
  <c r="AF52" i="12"/>
  <c r="AE52" i="12"/>
  <c r="AD52" i="12"/>
  <c r="AC52" i="12"/>
  <c r="AB52" i="12"/>
  <c r="AA52" i="12"/>
  <c r="Z52" i="12"/>
  <c r="Y52" i="12"/>
  <c r="X52" i="12"/>
  <c r="W52" i="12"/>
  <c r="V52" i="12"/>
  <c r="U52" i="12"/>
  <c r="T52" i="12"/>
  <c r="S52" i="12"/>
  <c r="R52" i="12"/>
  <c r="Q52" i="12"/>
  <c r="P52" i="12"/>
  <c r="O52" i="12"/>
  <c r="N52" i="12"/>
  <c r="M52" i="12"/>
  <c r="L52" i="12"/>
  <c r="K52" i="12"/>
  <c r="J52" i="12"/>
  <c r="I52" i="12"/>
  <c r="H52" i="12"/>
  <c r="AJ51" i="12"/>
  <c r="AI51" i="12"/>
  <c r="AH51" i="12"/>
  <c r="AG51" i="12"/>
  <c r="AB51" i="12"/>
  <c r="AA51" i="12"/>
  <c r="Z51" i="12"/>
  <c r="Y51" i="12"/>
  <c r="X51" i="12"/>
  <c r="W51" i="12"/>
  <c r="V51" i="12"/>
  <c r="U51" i="12"/>
  <c r="T51" i="12"/>
  <c r="S51" i="12"/>
  <c r="R51" i="12"/>
  <c r="Q51" i="12"/>
  <c r="P51" i="12"/>
  <c r="O51" i="12"/>
  <c r="N51" i="12"/>
  <c r="M51" i="12"/>
  <c r="L51" i="12"/>
  <c r="K51" i="12"/>
  <c r="J51" i="12"/>
  <c r="I51" i="12"/>
  <c r="H51" i="12"/>
  <c r="AL50" i="12"/>
  <c r="AK50" i="12"/>
  <c r="AJ50" i="12"/>
  <c r="AI50" i="12"/>
  <c r="AH50" i="12"/>
  <c r="AG50" i="12"/>
  <c r="AB50" i="12"/>
  <c r="AA50" i="12"/>
  <c r="Z50" i="12"/>
  <c r="Y50" i="12"/>
  <c r="X50" i="12"/>
  <c r="W50" i="12"/>
  <c r="V50" i="12"/>
  <c r="U50" i="12"/>
  <c r="T50" i="12"/>
  <c r="S50" i="12"/>
  <c r="R50" i="12"/>
  <c r="Q50" i="12"/>
  <c r="P50" i="12"/>
  <c r="O50" i="12"/>
  <c r="N50" i="12"/>
  <c r="M50" i="12"/>
  <c r="L50" i="12"/>
  <c r="K50" i="12"/>
  <c r="J50" i="12"/>
  <c r="I50" i="12"/>
  <c r="H50" i="12"/>
  <c r="AL49" i="12"/>
  <c r="AK49" i="12"/>
  <c r="AJ49" i="12"/>
  <c r="AI49" i="12"/>
  <c r="AH49" i="12"/>
  <c r="AG49" i="12"/>
  <c r="AF49" i="12"/>
  <c r="AE49" i="12"/>
  <c r="AD49" i="12"/>
  <c r="AC49" i="12"/>
  <c r="AB49" i="12"/>
  <c r="AA49" i="12"/>
  <c r="Z49" i="12"/>
  <c r="Y49" i="12"/>
  <c r="X49" i="12"/>
  <c r="W49" i="12"/>
  <c r="V49" i="12"/>
  <c r="U49" i="12"/>
  <c r="T49" i="12"/>
  <c r="S49" i="12"/>
  <c r="R49" i="12"/>
  <c r="Q49" i="12"/>
  <c r="P49" i="12"/>
  <c r="O49" i="12"/>
  <c r="N49" i="12"/>
  <c r="M49" i="12"/>
  <c r="L49" i="12"/>
  <c r="K49" i="12"/>
  <c r="J49" i="12"/>
  <c r="I49" i="12"/>
  <c r="H49" i="12"/>
  <c r="AJ48" i="12"/>
  <c r="AI48" i="12"/>
  <c r="AH48" i="12"/>
  <c r="AG48" i="12"/>
  <c r="AF48" i="12"/>
  <c r="AE48" i="12"/>
  <c r="AD48" i="12"/>
  <c r="AC48" i="12"/>
  <c r="AB48" i="12"/>
  <c r="AA48" i="12"/>
  <c r="Z48" i="12"/>
  <c r="Y48" i="12"/>
  <c r="X48" i="12"/>
  <c r="W48" i="12"/>
  <c r="V48" i="12"/>
  <c r="U48" i="12"/>
  <c r="T48" i="12"/>
  <c r="S48" i="12"/>
  <c r="R48" i="12"/>
  <c r="Q48" i="12"/>
  <c r="P48" i="12"/>
  <c r="O48" i="12"/>
  <c r="N48" i="12"/>
  <c r="M48" i="12"/>
  <c r="L48" i="12"/>
  <c r="K48" i="12"/>
  <c r="J48" i="12"/>
  <c r="I48" i="12"/>
  <c r="H48" i="12"/>
  <c r="AJ47" i="12"/>
  <c r="AI47" i="12"/>
  <c r="AH47" i="12"/>
  <c r="AG47" i="12"/>
  <c r="AF47" i="12"/>
  <c r="AE47" i="12"/>
  <c r="AD47" i="12"/>
  <c r="AC47" i="12"/>
  <c r="AB47" i="12"/>
  <c r="AA47" i="12"/>
  <c r="Z47" i="12"/>
  <c r="Y47" i="12"/>
  <c r="X47" i="12"/>
  <c r="W47" i="12"/>
  <c r="V47" i="12"/>
  <c r="U47" i="12"/>
  <c r="T47" i="12"/>
  <c r="S47" i="12"/>
  <c r="R47" i="12"/>
  <c r="Q47" i="12"/>
  <c r="P47" i="12"/>
  <c r="O47" i="12"/>
  <c r="N47" i="12"/>
  <c r="M47" i="12"/>
  <c r="L47" i="12"/>
  <c r="K47" i="12"/>
  <c r="J47" i="12"/>
  <c r="I47" i="12"/>
  <c r="H47" i="12"/>
  <c r="AJ46" i="12"/>
  <c r="AI46" i="12"/>
  <c r="AH46" i="12"/>
  <c r="AG46" i="12"/>
  <c r="AF46" i="12"/>
  <c r="AE46" i="12"/>
  <c r="AD46" i="12"/>
  <c r="AC46" i="12"/>
  <c r="AB46" i="12"/>
  <c r="AA46" i="12"/>
  <c r="Z46" i="12"/>
  <c r="Y46" i="12"/>
  <c r="X46" i="12"/>
  <c r="W46" i="12"/>
  <c r="V46" i="12"/>
  <c r="U46" i="12"/>
  <c r="T46" i="12"/>
  <c r="S46" i="12"/>
  <c r="R46" i="12"/>
  <c r="Q46" i="12"/>
  <c r="P46" i="12"/>
  <c r="O46" i="12"/>
  <c r="N46" i="12"/>
  <c r="M46" i="12"/>
  <c r="L46" i="12"/>
  <c r="K46" i="12"/>
  <c r="J46" i="12"/>
  <c r="I46" i="12"/>
  <c r="H46" i="12"/>
  <c r="AL45" i="12"/>
  <c r="AK45" i="12"/>
  <c r="AJ45" i="12"/>
  <c r="AI45" i="12"/>
  <c r="AH45" i="12"/>
  <c r="AG45" i="12"/>
  <c r="AF45" i="12"/>
  <c r="AE45" i="12"/>
  <c r="AD45" i="12"/>
  <c r="AC45" i="12"/>
  <c r="AB45" i="12"/>
  <c r="AA45" i="12"/>
  <c r="Z45" i="12"/>
  <c r="Y45" i="12"/>
  <c r="X45" i="12"/>
  <c r="W45" i="12"/>
  <c r="V45" i="12"/>
  <c r="U45" i="12"/>
  <c r="T45" i="12"/>
  <c r="S45" i="12"/>
  <c r="R45" i="12"/>
  <c r="Q45" i="12"/>
  <c r="P45" i="12"/>
  <c r="O45" i="12"/>
  <c r="N45" i="12"/>
  <c r="M45" i="12"/>
  <c r="L45" i="12"/>
  <c r="K45" i="12"/>
  <c r="J45" i="12"/>
  <c r="I45" i="12"/>
  <c r="H45" i="12"/>
  <c r="AJ44" i="12"/>
  <c r="AI44" i="12"/>
  <c r="AH44" i="12"/>
  <c r="AG44" i="12"/>
  <c r="AF44" i="12"/>
  <c r="AE44" i="12"/>
  <c r="AD44" i="12"/>
  <c r="AC44" i="12"/>
  <c r="AB44" i="12"/>
  <c r="AA44" i="12"/>
  <c r="Z44" i="12"/>
  <c r="Y44" i="12"/>
  <c r="X44" i="12"/>
  <c r="W44" i="12"/>
  <c r="V44" i="12"/>
  <c r="U44" i="12"/>
  <c r="T44" i="12"/>
  <c r="S44" i="12"/>
  <c r="R44" i="12"/>
  <c r="Q44" i="12"/>
  <c r="P44" i="12"/>
  <c r="O44" i="12"/>
  <c r="N44" i="12"/>
  <c r="M44" i="12"/>
  <c r="L44" i="12"/>
  <c r="K44" i="12"/>
  <c r="J44" i="12"/>
  <c r="I44" i="12"/>
  <c r="H44" i="12"/>
  <c r="AJ43" i="12"/>
  <c r="AI43" i="12"/>
  <c r="AH43" i="12"/>
  <c r="AG43" i="12"/>
  <c r="AF43" i="12"/>
  <c r="AE43" i="12"/>
  <c r="AD43" i="12"/>
  <c r="AC43" i="12"/>
  <c r="AB43" i="12"/>
  <c r="AA43" i="12"/>
  <c r="Z43" i="12"/>
  <c r="Y43" i="12"/>
  <c r="X43" i="12"/>
  <c r="W43" i="12"/>
  <c r="V43" i="12"/>
  <c r="U43" i="12"/>
  <c r="T43" i="12"/>
  <c r="S43" i="12"/>
  <c r="R43" i="12"/>
  <c r="Q43" i="12"/>
  <c r="P43" i="12"/>
  <c r="O43" i="12"/>
  <c r="N43" i="12"/>
  <c r="M43" i="12"/>
  <c r="L43" i="12"/>
  <c r="K43" i="12"/>
  <c r="J43" i="12"/>
  <c r="I43" i="12"/>
  <c r="H43" i="12"/>
  <c r="AL42" i="12"/>
  <c r="AK42" i="12"/>
  <c r="AJ42" i="12"/>
  <c r="AI42" i="12"/>
  <c r="AH42" i="12"/>
  <c r="AG42" i="12"/>
  <c r="AF42" i="12"/>
  <c r="AE42" i="12"/>
  <c r="AD42" i="12"/>
  <c r="AC42" i="12"/>
  <c r="AB42" i="12"/>
  <c r="AA42" i="12"/>
  <c r="Z42" i="12"/>
  <c r="Y42" i="12"/>
  <c r="X42" i="12"/>
  <c r="W42" i="12"/>
  <c r="V42" i="12"/>
  <c r="U42" i="12"/>
  <c r="T42" i="12"/>
  <c r="S42" i="12"/>
  <c r="R42" i="12"/>
  <c r="Q42" i="12"/>
  <c r="P42" i="12"/>
  <c r="O42" i="12"/>
  <c r="N42" i="12"/>
  <c r="M42" i="12"/>
  <c r="L42" i="12"/>
  <c r="K42" i="12"/>
  <c r="J42" i="12"/>
  <c r="I42" i="12"/>
  <c r="H42" i="12"/>
  <c r="AJ41" i="12"/>
  <c r="AI41" i="12"/>
  <c r="AH41" i="12"/>
  <c r="AG41" i="12"/>
  <c r="AF41" i="12"/>
  <c r="AE41" i="12"/>
  <c r="AD41" i="12"/>
  <c r="AC41" i="12"/>
  <c r="AB41" i="12"/>
  <c r="AA41" i="12"/>
  <c r="Z41" i="12"/>
  <c r="Y41" i="12"/>
  <c r="X41" i="12"/>
  <c r="W41" i="12"/>
  <c r="V41" i="12"/>
  <c r="U41" i="12"/>
  <c r="T41" i="12"/>
  <c r="S41" i="12"/>
  <c r="R41" i="12"/>
  <c r="Q41" i="12"/>
  <c r="P41" i="12"/>
  <c r="O41" i="12"/>
  <c r="N41" i="12"/>
  <c r="M41" i="12"/>
  <c r="L41" i="12"/>
  <c r="K41" i="12"/>
  <c r="J41" i="12"/>
  <c r="I41" i="12"/>
  <c r="H41" i="12"/>
  <c r="AL40" i="12"/>
  <c r="AK40" i="12"/>
  <c r="AJ40" i="12"/>
  <c r="AI40" i="12"/>
  <c r="AH40" i="12"/>
  <c r="AG40" i="12"/>
  <c r="AF40" i="12"/>
  <c r="AE40" i="12"/>
  <c r="AD40" i="12"/>
  <c r="AC40" i="12"/>
  <c r="AB40" i="12"/>
  <c r="AA40" i="12"/>
  <c r="Z40" i="12"/>
  <c r="Y40" i="12"/>
  <c r="X40" i="12"/>
  <c r="W40" i="12"/>
  <c r="V40" i="12"/>
  <c r="U40" i="12"/>
  <c r="T40" i="12"/>
  <c r="S40" i="12"/>
  <c r="R40" i="12"/>
  <c r="Q40" i="12"/>
  <c r="P40" i="12"/>
  <c r="O40" i="12"/>
  <c r="N40" i="12"/>
  <c r="M40" i="12"/>
  <c r="L40" i="12"/>
  <c r="K40" i="12"/>
  <c r="J40" i="12"/>
  <c r="I40" i="12"/>
  <c r="H40" i="12"/>
  <c r="AL39" i="12"/>
  <c r="AK39" i="12"/>
  <c r="AJ39" i="12"/>
  <c r="AI39" i="12"/>
  <c r="AH39" i="12"/>
  <c r="AG39" i="12"/>
  <c r="AF39" i="12"/>
  <c r="AE39" i="12"/>
  <c r="AD39" i="12"/>
  <c r="AC39" i="12"/>
  <c r="AB39" i="12"/>
  <c r="AA39" i="12"/>
  <c r="Z39" i="12"/>
  <c r="Y39" i="12"/>
  <c r="X39" i="12"/>
  <c r="W39" i="12"/>
  <c r="V39" i="12"/>
  <c r="U39" i="12"/>
  <c r="T39" i="12"/>
  <c r="S39" i="12"/>
  <c r="R39" i="12"/>
  <c r="Q39" i="12"/>
  <c r="P39" i="12"/>
  <c r="O39" i="12"/>
  <c r="N39" i="12"/>
  <c r="M39" i="12"/>
  <c r="L39" i="12"/>
  <c r="K39" i="12"/>
  <c r="J39" i="12"/>
  <c r="I39" i="12"/>
  <c r="H39" i="12"/>
  <c r="AL38" i="12"/>
  <c r="AK38" i="12"/>
  <c r="AJ38" i="12"/>
  <c r="AI38" i="12"/>
  <c r="AH38" i="12"/>
  <c r="AG38" i="12"/>
  <c r="AF38" i="12"/>
  <c r="AE38" i="12"/>
  <c r="AD38" i="12"/>
  <c r="AC38" i="12"/>
  <c r="AB38" i="12"/>
  <c r="AA38" i="12"/>
  <c r="Z38" i="12"/>
  <c r="Y38" i="12"/>
  <c r="X38" i="12"/>
  <c r="W38" i="12"/>
  <c r="V38" i="12"/>
  <c r="U38" i="12"/>
  <c r="T38" i="12"/>
  <c r="S38" i="12"/>
  <c r="R38" i="12"/>
  <c r="Q38" i="12"/>
  <c r="P38" i="12"/>
  <c r="O38" i="12"/>
  <c r="N38" i="12"/>
  <c r="M38" i="12"/>
  <c r="L38" i="12"/>
  <c r="K38" i="12"/>
  <c r="J38" i="12"/>
  <c r="I38" i="12"/>
  <c r="H38" i="12"/>
  <c r="AJ37" i="12"/>
  <c r="AI37" i="12"/>
  <c r="AH37" i="12"/>
  <c r="AG37" i="12"/>
  <c r="AB37" i="12"/>
  <c r="AA37" i="12"/>
  <c r="Z37" i="12"/>
  <c r="Y37" i="12"/>
  <c r="X37" i="12"/>
  <c r="W37" i="12"/>
  <c r="V37" i="12"/>
  <c r="U37" i="12"/>
  <c r="T37" i="12"/>
  <c r="S37" i="12"/>
  <c r="R37" i="12"/>
  <c r="Q37" i="12"/>
  <c r="P37" i="12"/>
  <c r="O37" i="12"/>
  <c r="N37" i="12"/>
  <c r="M37" i="12"/>
  <c r="L37" i="12"/>
  <c r="K37" i="12"/>
  <c r="J37" i="12"/>
  <c r="I37" i="12"/>
  <c r="H37" i="12"/>
  <c r="AJ36" i="12"/>
  <c r="AI36" i="12"/>
  <c r="AH36" i="12"/>
  <c r="AG36" i="12"/>
  <c r="AF36" i="12"/>
  <c r="AE36" i="12"/>
  <c r="AD36" i="12"/>
  <c r="AC36" i="12"/>
  <c r="AB36" i="12"/>
  <c r="AA36" i="12"/>
  <c r="Z36" i="12"/>
  <c r="Y36" i="12"/>
  <c r="X36" i="12"/>
  <c r="W36" i="12"/>
  <c r="V36" i="12"/>
  <c r="U36" i="12"/>
  <c r="T36" i="12"/>
  <c r="S36" i="12"/>
  <c r="R36" i="12"/>
  <c r="Q36" i="12"/>
  <c r="P36" i="12"/>
  <c r="O36" i="12"/>
  <c r="N36" i="12"/>
  <c r="M36" i="12"/>
  <c r="L36" i="12"/>
  <c r="K36" i="12"/>
  <c r="J36" i="12"/>
  <c r="I36" i="12"/>
  <c r="H36" i="12"/>
  <c r="AJ35" i="12"/>
  <c r="AI35" i="12"/>
  <c r="AH35" i="12"/>
  <c r="AG35" i="12"/>
  <c r="AB35" i="12"/>
  <c r="AA35" i="12"/>
  <c r="Z35" i="12"/>
  <c r="Y35" i="12"/>
  <c r="X35" i="12"/>
  <c r="W35" i="12"/>
  <c r="V35" i="12"/>
  <c r="U35" i="12"/>
  <c r="T35" i="12"/>
  <c r="S35" i="12"/>
  <c r="R35" i="12"/>
  <c r="Q35" i="12"/>
  <c r="P35" i="12"/>
  <c r="O35" i="12"/>
  <c r="N35" i="12"/>
  <c r="M35" i="12"/>
  <c r="L35" i="12"/>
  <c r="K35" i="12"/>
  <c r="J35" i="12"/>
  <c r="I35" i="12"/>
  <c r="H35" i="12"/>
  <c r="AJ34" i="12"/>
  <c r="AI34" i="12"/>
  <c r="AH34" i="12"/>
  <c r="AG34" i="12"/>
  <c r="AF34" i="12"/>
  <c r="AE34" i="12"/>
  <c r="AD34" i="12"/>
  <c r="AC34" i="12"/>
  <c r="AB34" i="12"/>
  <c r="AA34" i="12"/>
  <c r="Z34" i="12"/>
  <c r="Y34" i="12"/>
  <c r="X34" i="12"/>
  <c r="W34" i="12"/>
  <c r="V34" i="12"/>
  <c r="U34" i="12"/>
  <c r="T34" i="12"/>
  <c r="S34" i="12"/>
  <c r="R34" i="12"/>
  <c r="Q34" i="12"/>
  <c r="P34" i="12"/>
  <c r="O34" i="12"/>
  <c r="N34" i="12"/>
  <c r="M34" i="12"/>
  <c r="L34" i="12"/>
  <c r="K34" i="12"/>
  <c r="J34" i="12"/>
  <c r="I34" i="12"/>
  <c r="H34" i="12"/>
  <c r="AJ33" i="12"/>
  <c r="AI33" i="12"/>
  <c r="AH33" i="12"/>
  <c r="AG33" i="12"/>
  <c r="AF33" i="12"/>
  <c r="AE33" i="12"/>
  <c r="AD33" i="12"/>
  <c r="AC33" i="12"/>
  <c r="AB33" i="12"/>
  <c r="AA33" i="12"/>
  <c r="Z33" i="12"/>
  <c r="Y33" i="12"/>
  <c r="X33" i="12"/>
  <c r="W33" i="12"/>
  <c r="V33" i="12"/>
  <c r="U33" i="12"/>
  <c r="T33" i="12"/>
  <c r="S33" i="12"/>
  <c r="R33" i="12"/>
  <c r="Q33" i="12"/>
  <c r="P33" i="12"/>
  <c r="O33" i="12"/>
  <c r="N33" i="12"/>
  <c r="M33" i="12"/>
  <c r="L33" i="12"/>
  <c r="K33" i="12"/>
  <c r="J33" i="12"/>
  <c r="I33" i="12"/>
  <c r="H33" i="12"/>
  <c r="AJ32" i="12"/>
  <c r="AI32" i="12"/>
  <c r="AH32" i="12"/>
  <c r="AG32" i="12"/>
  <c r="AF32" i="12"/>
  <c r="AE32" i="12"/>
  <c r="AD32" i="12"/>
  <c r="AC32" i="12"/>
  <c r="AB32" i="12"/>
  <c r="AA32" i="12"/>
  <c r="Z32" i="12"/>
  <c r="Y32" i="12"/>
  <c r="X32" i="12"/>
  <c r="W32" i="12"/>
  <c r="V32" i="12"/>
  <c r="U32" i="12"/>
  <c r="T32" i="12"/>
  <c r="S32" i="12"/>
  <c r="R32" i="12"/>
  <c r="Q32" i="12"/>
  <c r="P32" i="12"/>
  <c r="O32" i="12"/>
  <c r="N32" i="12"/>
  <c r="M32" i="12"/>
  <c r="L32" i="12"/>
  <c r="K32" i="12"/>
  <c r="J32" i="12"/>
  <c r="I32" i="12"/>
  <c r="H32" i="12"/>
  <c r="AH31" i="12"/>
  <c r="AG31" i="12"/>
  <c r="AF31" i="12"/>
  <c r="AE31" i="12"/>
  <c r="AD31" i="12"/>
  <c r="AC31" i="12"/>
  <c r="AB31" i="12"/>
  <c r="AA31" i="12"/>
  <c r="Z31" i="12"/>
  <c r="Y31" i="12"/>
  <c r="X31" i="12"/>
  <c r="W31" i="12"/>
  <c r="V31" i="12"/>
  <c r="U31" i="12"/>
  <c r="T31" i="12"/>
  <c r="S31" i="12"/>
  <c r="R31" i="12"/>
  <c r="Q31" i="12"/>
  <c r="P31" i="12"/>
  <c r="O31" i="12"/>
  <c r="N31" i="12"/>
  <c r="M31" i="12"/>
  <c r="L31" i="12"/>
  <c r="K31" i="12"/>
  <c r="J31" i="12"/>
  <c r="I31" i="12"/>
  <c r="H31" i="12"/>
  <c r="AH30" i="12"/>
  <c r="AG30" i="12"/>
  <c r="AF30" i="12"/>
  <c r="AE30" i="12"/>
  <c r="AD30" i="12"/>
  <c r="AC30" i="12"/>
  <c r="AB30" i="12"/>
  <c r="AA30" i="12"/>
  <c r="Z30" i="12"/>
  <c r="Y30" i="12"/>
  <c r="X30" i="12"/>
  <c r="W30" i="12"/>
  <c r="V30" i="12"/>
  <c r="U30" i="12"/>
  <c r="T30" i="12"/>
  <c r="S30" i="12"/>
  <c r="R30" i="12"/>
  <c r="Q30" i="12"/>
  <c r="P30" i="12"/>
  <c r="O30" i="12"/>
  <c r="N30" i="12"/>
  <c r="M30" i="12"/>
  <c r="L30" i="12"/>
  <c r="K30" i="12"/>
  <c r="J30" i="12"/>
  <c r="I30" i="12"/>
  <c r="H30" i="12"/>
  <c r="AG29" i="12"/>
  <c r="AF29" i="12"/>
  <c r="AE29" i="12"/>
  <c r="AD29" i="12"/>
  <c r="AC29" i="12"/>
  <c r="AB29" i="12"/>
  <c r="AA29" i="12"/>
  <c r="Z29" i="12"/>
  <c r="Y29" i="12"/>
  <c r="X29" i="12"/>
  <c r="W29" i="12"/>
  <c r="V29" i="12"/>
  <c r="U29" i="12"/>
  <c r="T29" i="12"/>
  <c r="S29" i="12"/>
  <c r="R29" i="12"/>
  <c r="Q29" i="12"/>
  <c r="P29" i="12"/>
  <c r="O29" i="12"/>
  <c r="N29" i="12"/>
  <c r="M29" i="12"/>
  <c r="L29" i="12"/>
  <c r="K29" i="12"/>
  <c r="J29" i="12"/>
  <c r="I29" i="12"/>
  <c r="H29" i="12"/>
  <c r="AG28" i="12"/>
  <c r="AF28" i="12"/>
  <c r="AE28" i="12"/>
  <c r="AD28" i="12"/>
  <c r="AC28" i="12"/>
  <c r="AB28" i="12"/>
  <c r="AA28" i="12"/>
  <c r="Z28" i="12"/>
  <c r="Y28" i="12"/>
  <c r="X28" i="12"/>
  <c r="W28" i="12"/>
  <c r="V28" i="12"/>
  <c r="U28" i="12"/>
  <c r="T28" i="12"/>
  <c r="S28" i="12"/>
  <c r="R28" i="12"/>
  <c r="Q28" i="12"/>
  <c r="P28" i="12"/>
  <c r="O28" i="12"/>
  <c r="N28" i="12"/>
  <c r="M28" i="12"/>
  <c r="L28" i="12"/>
  <c r="K28" i="12"/>
  <c r="J28" i="12"/>
  <c r="I28" i="12"/>
  <c r="H28" i="12"/>
  <c r="AG27" i="12"/>
  <c r="AF27" i="12"/>
  <c r="AE27" i="12"/>
  <c r="AD27" i="12"/>
  <c r="AC27" i="12"/>
  <c r="AB27" i="12"/>
  <c r="AA27" i="12"/>
  <c r="Z27" i="12"/>
  <c r="Y27" i="12"/>
  <c r="X27" i="12"/>
  <c r="W27" i="12"/>
  <c r="V27" i="12"/>
  <c r="U27" i="12"/>
  <c r="T27" i="12"/>
  <c r="S27" i="12"/>
  <c r="R27" i="12"/>
  <c r="Q27" i="12"/>
  <c r="P27" i="12"/>
  <c r="O27" i="12"/>
  <c r="N27" i="12"/>
  <c r="M27" i="12"/>
  <c r="L27" i="12"/>
  <c r="K27" i="12"/>
  <c r="J27" i="12"/>
  <c r="I27" i="12"/>
  <c r="H27" i="12"/>
  <c r="AJ26" i="12"/>
  <c r="AI26" i="12"/>
  <c r="AH26" i="12"/>
  <c r="AG26" i="12"/>
  <c r="AF26" i="12"/>
  <c r="AE26" i="12"/>
  <c r="AD26" i="12"/>
  <c r="AC26" i="12"/>
  <c r="AB26" i="12"/>
  <c r="AA26" i="12"/>
  <c r="Z26" i="12"/>
  <c r="Y26" i="12"/>
  <c r="X26" i="12"/>
  <c r="W26" i="12"/>
  <c r="V26" i="12"/>
  <c r="U26" i="12"/>
  <c r="T26" i="12"/>
  <c r="S26" i="12"/>
  <c r="R26" i="12"/>
  <c r="Q26" i="12"/>
  <c r="P26" i="12"/>
  <c r="O26" i="12"/>
  <c r="N26" i="12"/>
  <c r="M26" i="12"/>
  <c r="L26" i="12"/>
  <c r="K26" i="12"/>
  <c r="J26" i="12"/>
  <c r="I26" i="12"/>
  <c r="H26" i="12"/>
  <c r="AH25" i="12"/>
  <c r="AG25" i="12"/>
  <c r="AF25" i="12"/>
  <c r="AE25" i="12"/>
  <c r="AD25" i="12"/>
  <c r="AC25" i="12"/>
  <c r="AB25" i="12"/>
  <c r="AA25" i="12"/>
  <c r="Z25" i="12"/>
  <c r="Y25" i="12"/>
  <c r="X25" i="12"/>
  <c r="W25" i="12"/>
  <c r="V25" i="12"/>
  <c r="U25" i="12"/>
  <c r="T25" i="12"/>
  <c r="S25" i="12"/>
  <c r="R25" i="12"/>
  <c r="Q25" i="12"/>
  <c r="P25" i="12"/>
  <c r="O25" i="12"/>
  <c r="N25" i="12"/>
  <c r="M25" i="12"/>
  <c r="L25" i="12"/>
  <c r="K25" i="12"/>
  <c r="J25" i="12"/>
  <c r="I25" i="12"/>
  <c r="H25" i="12"/>
  <c r="AL24" i="12"/>
  <c r="AK24" i="12"/>
  <c r="AJ24" i="12"/>
  <c r="AI24" i="12"/>
  <c r="AH24" i="12"/>
  <c r="AG24" i="12"/>
  <c r="AF24" i="12"/>
  <c r="AE24" i="12"/>
  <c r="AD24" i="12"/>
  <c r="AC24" i="12"/>
  <c r="AB24" i="12"/>
  <c r="AA24" i="12"/>
  <c r="Z24" i="12"/>
  <c r="Y24" i="12"/>
  <c r="X24" i="12"/>
  <c r="W24" i="12"/>
  <c r="V24" i="12"/>
  <c r="U24" i="12"/>
  <c r="T24" i="12"/>
  <c r="S24" i="12"/>
  <c r="R24" i="12"/>
  <c r="Q24" i="12"/>
  <c r="P24" i="12"/>
  <c r="O24" i="12"/>
  <c r="N24" i="12"/>
  <c r="M24" i="12"/>
  <c r="L24" i="12"/>
  <c r="K24" i="12"/>
  <c r="J24" i="12"/>
  <c r="I24" i="12"/>
  <c r="H24" i="12"/>
  <c r="AL23" i="12"/>
  <c r="AK23" i="12"/>
  <c r="AJ23" i="12"/>
  <c r="AI23" i="12"/>
  <c r="AH23" i="12"/>
  <c r="AG23" i="12"/>
  <c r="AF23" i="12"/>
  <c r="AE23" i="12"/>
  <c r="AD23" i="12"/>
  <c r="AC23" i="12"/>
  <c r="AB23" i="12"/>
  <c r="AA23" i="12"/>
  <c r="Z23" i="12"/>
  <c r="Y23" i="12"/>
  <c r="X23" i="12"/>
  <c r="W23" i="12"/>
  <c r="V23" i="12"/>
  <c r="U23" i="12"/>
  <c r="T23" i="12"/>
  <c r="S23" i="12"/>
  <c r="R23" i="12"/>
  <c r="Q23" i="12"/>
  <c r="P23" i="12"/>
  <c r="O23" i="12"/>
  <c r="N23" i="12"/>
  <c r="M23" i="12"/>
  <c r="L23" i="12"/>
  <c r="K23" i="12"/>
  <c r="J23" i="12"/>
  <c r="I23" i="12"/>
  <c r="H23" i="12"/>
  <c r="AJ22" i="12"/>
  <c r="AI22" i="12"/>
  <c r="AH22" i="12"/>
  <c r="AG22" i="12"/>
  <c r="AF22" i="12"/>
  <c r="AE22" i="12"/>
  <c r="AD22" i="12"/>
  <c r="AC22" i="12"/>
  <c r="AB22" i="12"/>
  <c r="AA22" i="12"/>
  <c r="Z22" i="12"/>
  <c r="Y22" i="12"/>
  <c r="X22" i="12"/>
  <c r="W22" i="12"/>
  <c r="V22" i="12"/>
  <c r="U22" i="12"/>
  <c r="T22" i="12"/>
  <c r="S22" i="12"/>
  <c r="R22" i="12"/>
  <c r="Q22" i="12"/>
  <c r="P22" i="12"/>
  <c r="O22" i="12"/>
  <c r="N22" i="12"/>
  <c r="M22" i="12"/>
  <c r="L22" i="12"/>
  <c r="K22" i="12"/>
  <c r="J22" i="12"/>
  <c r="I22" i="12"/>
  <c r="H22" i="12"/>
  <c r="AJ21" i="12"/>
  <c r="AI21" i="12"/>
  <c r="AH21" i="12"/>
  <c r="AG21" i="12"/>
  <c r="AF21" i="12"/>
  <c r="AE21" i="12"/>
  <c r="AD21" i="12"/>
  <c r="AC21" i="12"/>
  <c r="AB21" i="12"/>
  <c r="AA21" i="12"/>
  <c r="Z21" i="12"/>
  <c r="Y21" i="12"/>
  <c r="X21" i="12"/>
  <c r="W21" i="12"/>
  <c r="V21" i="12"/>
  <c r="U21" i="12"/>
  <c r="T21" i="12"/>
  <c r="S21" i="12"/>
  <c r="R21" i="12"/>
  <c r="Q21" i="12"/>
  <c r="P21" i="12"/>
  <c r="O21" i="12"/>
  <c r="N21" i="12"/>
  <c r="M21" i="12"/>
  <c r="L21" i="12"/>
  <c r="K21" i="12"/>
  <c r="J21" i="12"/>
  <c r="I21" i="12"/>
  <c r="H21" i="12"/>
  <c r="AJ20" i="12"/>
  <c r="AI20" i="12"/>
  <c r="AH20" i="12"/>
  <c r="AG20" i="12"/>
  <c r="AF20" i="12"/>
  <c r="AE20" i="12"/>
  <c r="AD20" i="12"/>
  <c r="AC20" i="12"/>
  <c r="AB20" i="12"/>
  <c r="AA20" i="12"/>
  <c r="Z20" i="12"/>
  <c r="Y20" i="12"/>
  <c r="X20" i="12"/>
  <c r="W20" i="12"/>
  <c r="V20" i="12"/>
  <c r="U20" i="12"/>
  <c r="T20" i="12"/>
  <c r="S20" i="12"/>
  <c r="R20" i="12"/>
  <c r="Q20" i="12"/>
  <c r="P20" i="12"/>
  <c r="O20" i="12"/>
  <c r="N20" i="12"/>
  <c r="M20" i="12"/>
  <c r="L20" i="12"/>
  <c r="K20" i="12"/>
  <c r="J20" i="12"/>
  <c r="I20" i="12"/>
  <c r="H20" i="12"/>
  <c r="AJ19" i="12"/>
  <c r="AI19" i="12"/>
  <c r="AH19" i="12"/>
  <c r="AG19" i="12"/>
  <c r="AF19" i="12"/>
  <c r="AE19" i="12"/>
  <c r="AD19" i="12"/>
  <c r="AC19" i="12"/>
  <c r="AB19" i="12"/>
  <c r="AA19" i="12"/>
  <c r="Z19" i="12"/>
  <c r="Y19" i="12"/>
  <c r="X19" i="12"/>
  <c r="W19" i="12"/>
  <c r="V19" i="12"/>
  <c r="U19" i="12"/>
  <c r="T19" i="12"/>
  <c r="S19" i="12"/>
  <c r="R19" i="12"/>
  <c r="Q19" i="12"/>
  <c r="P19" i="12"/>
  <c r="O19" i="12"/>
  <c r="N19" i="12"/>
  <c r="M19" i="12"/>
  <c r="L19" i="12"/>
  <c r="K19" i="12"/>
  <c r="J19" i="12"/>
  <c r="I19" i="12"/>
  <c r="H19" i="12"/>
  <c r="AJ18" i="12"/>
  <c r="AI18" i="12"/>
  <c r="AH18" i="12"/>
  <c r="AG18" i="12"/>
  <c r="AF18" i="12"/>
  <c r="AE18" i="12"/>
  <c r="AD18" i="12"/>
  <c r="AC18" i="12"/>
  <c r="AB18" i="12"/>
  <c r="AA18" i="12"/>
  <c r="Z18" i="12"/>
  <c r="Y18" i="12"/>
  <c r="X18" i="12"/>
  <c r="W18" i="12"/>
  <c r="V18" i="12"/>
  <c r="U18" i="12"/>
  <c r="T18" i="12"/>
  <c r="S18" i="12"/>
  <c r="R18" i="12"/>
  <c r="Q18" i="12"/>
  <c r="P18" i="12"/>
  <c r="O18" i="12"/>
  <c r="N18" i="12"/>
  <c r="M18" i="12"/>
  <c r="L18" i="12"/>
  <c r="K18" i="12"/>
  <c r="J18" i="12"/>
  <c r="I18" i="12"/>
  <c r="H18" i="12"/>
  <c r="AG17" i="12"/>
  <c r="AF17" i="12"/>
  <c r="AE17" i="12"/>
  <c r="AD17" i="12"/>
  <c r="AC17" i="12"/>
  <c r="AB17" i="12"/>
  <c r="AA17" i="12"/>
  <c r="Z17" i="12"/>
  <c r="Y17" i="12"/>
  <c r="X17" i="12"/>
  <c r="W17" i="12"/>
  <c r="V17" i="12"/>
  <c r="U17" i="12"/>
  <c r="T17" i="12"/>
  <c r="S17" i="12"/>
  <c r="R17" i="12"/>
  <c r="Q17" i="12"/>
  <c r="P17" i="12"/>
  <c r="O17" i="12"/>
  <c r="N17" i="12"/>
  <c r="M17" i="12"/>
  <c r="L17" i="12"/>
  <c r="K17" i="12"/>
  <c r="J17" i="12"/>
  <c r="I17" i="12"/>
  <c r="H17" i="12"/>
  <c r="AJ16" i="12"/>
  <c r="AI16" i="12"/>
  <c r="AH16" i="12"/>
  <c r="AG16" i="12"/>
  <c r="AF16" i="12"/>
  <c r="AE16" i="12"/>
  <c r="AD16" i="12"/>
  <c r="AC16" i="12"/>
  <c r="AB16" i="12"/>
  <c r="AA16" i="12"/>
  <c r="Z16" i="12"/>
  <c r="Y16" i="12"/>
  <c r="X16" i="12"/>
  <c r="W16" i="12"/>
  <c r="V16" i="12"/>
  <c r="U16" i="12"/>
  <c r="T16" i="12"/>
  <c r="S16" i="12"/>
  <c r="R16" i="12"/>
  <c r="Q16" i="12"/>
  <c r="P16" i="12"/>
  <c r="O16" i="12"/>
  <c r="N16" i="12"/>
  <c r="M16" i="12"/>
  <c r="L16" i="12"/>
  <c r="K16" i="12"/>
  <c r="J16" i="12"/>
  <c r="I16" i="12"/>
  <c r="H16" i="12"/>
  <c r="AL15" i="12"/>
  <c r="AK15" i="12"/>
  <c r="AJ15" i="12"/>
  <c r="AI15" i="12"/>
  <c r="AH15" i="12"/>
  <c r="AG15" i="12"/>
  <c r="AF15" i="12"/>
  <c r="AE15" i="12"/>
  <c r="AD15" i="12"/>
  <c r="AC15" i="12"/>
  <c r="AB15" i="12"/>
  <c r="AA15" i="12"/>
  <c r="Z15" i="12"/>
  <c r="Y15" i="12"/>
  <c r="X15" i="12"/>
  <c r="W15" i="12"/>
  <c r="V15" i="12"/>
  <c r="U15" i="12"/>
  <c r="T15" i="12"/>
  <c r="S15" i="12"/>
  <c r="R15" i="12"/>
  <c r="Q15" i="12"/>
  <c r="P15" i="12"/>
  <c r="O15" i="12"/>
  <c r="N15" i="12"/>
  <c r="M15" i="12"/>
  <c r="L15" i="12"/>
  <c r="K15" i="12"/>
  <c r="J15" i="12"/>
  <c r="I15" i="12"/>
  <c r="H15" i="12"/>
  <c r="AL14" i="12"/>
  <c r="AK14" i="12"/>
  <c r="AJ14" i="12"/>
  <c r="AI14" i="12"/>
  <c r="AH14" i="12"/>
  <c r="AG14" i="12"/>
  <c r="AF14" i="12"/>
  <c r="AE14" i="12"/>
  <c r="AD14" i="12"/>
  <c r="AC14" i="12"/>
  <c r="AB14" i="12"/>
  <c r="AA14" i="12"/>
  <c r="Z14" i="12"/>
  <c r="Y14" i="12"/>
  <c r="X14" i="12"/>
  <c r="W14" i="12"/>
  <c r="V14" i="12"/>
  <c r="U14" i="12"/>
  <c r="T14" i="12"/>
  <c r="S14" i="12"/>
  <c r="R14" i="12"/>
  <c r="Q14" i="12"/>
  <c r="P14" i="12"/>
  <c r="O14" i="12"/>
  <c r="N14" i="12"/>
  <c r="M14" i="12"/>
  <c r="L14" i="12"/>
  <c r="K14" i="12"/>
  <c r="J14" i="12"/>
  <c r="I14" i="12"/>
  <c r="H14" i="12"/>
  <c r="AJ13" i="12"/>
  <c r="AI13" i="12"/>
  <c r="AH13" i="12"/>
  <c r="AG13" i="12"/>
  <c r="AF13" i="12"/>
  <c r="AE13" i="12"/>
  <c r="AD13" i="12"/>
  <c r="AC13" i="12"/>
  <c r="AB13" i="12"/>
  <c r="AA13" i="12"/>
  <c r="Z13" i="12"/>
  <c r="Y13" i="12"/>
  <c r="X13" i="12"/>
  <c r="W13" i="12"/>
  <c r="V13" i="12"/>
  <c r="U13" i="12"/>
  <c r="T13" i="12"/>
  <c r="S13" i="12"/>
  <c r="R13" i="12"/>
  <c r="Q13" i="12"/>
  <c r="P13" i="12"/>
  <c r="O13" i="12"/>
  <c r="N13" i="12"/>
  <c r="M13" i="12"/>
  <c r="L13" i="12"/>
  <c r="K13" i="12"/>
  <c r="J13" i="12"/>
  <c r="I13" i="12"/>
  <c r="H13" i="12"/>
  <c r="AJ12" i="12"/>
  <c r="AI12" i="12"/>
  <c r="AH12" i="12"/>
  <c r="AG12" i="12"/>
  <c r="AF12" i="12"/>
  <c r="AE12" i="12"/>
  <c r="AD12" i="12"/>
  <c r="AC12" i="12"/>
  <c r="AB12" i="12"/>
  <c r="AA12" i="12"/>
  <c r="Z12" i="12"/>
  <c r="Y12" i="12"/>
  <c r="X12" i="12"/>
  <c r="W12" i="12"/>
  <c r="V12" i="12"/>
  <c r="U12" i="12"/>
  <c r="T12" i="12"/>
  <c r="S12" i="12"/>
  <c r="R12" i="12"/>
  <c r="Q12" i="12"/>
  <c r="P12" i="12"/>
  <c r="O12" i="12"/>
  <c r="N12" i="12"/>
  <c r="M12" i="12"/>
  <c r="L12" i="12"/>
  <c r="K12" i="12"/>
  <c r="J12" i="12"/>
  <c r="I12" i="12"/>
  <c r="H12" i="12"/>
  <c r="AJ11" i="12"/>
  <c r="AI11" i="12"/>
  <c r="AH11" i="12"/>
  <c r="AG11" i="12"/>
  <c r="AF11" i="12"/>
  <c r="AE11" i="12"/>
  <c r="AD11" i="12"/>
  <c r="AC11" i="12"/>
  <c r="AB11" i="12"/>
  <c r="AA11" i="12"/>
  <c r="Z11" i="12"/>
  <c r="Y11" i="12"/>
  <c r="X11" i="12"/>
  <c r="W11" i="12"/>
  <c r="V11" i="12"/>
  <c r="U11" i="12"/>
  <c r="T11" i="12"/>
  <c r="S11" i="12"/>
  <c r="R11" i="12"/>
  <c r="Q11" i="12"/>
  <c r="P11" i="12"/>
  <c r="O11" i="12"/>
  <c r="N11" i="12"/>
  <c r="M11" i="12"/>
  <c r="L11" i="12"/>
  <c r="K11" i="12"/>
  <c r="J11" i="12"/>
  <c r="I11" i="12"/>
  <c r="H11" i="12"/>
  <c r="AL10" i="12"/>
  <c r="AK10" i="12"/>
  <c r="AJ10" i="12"/>
  <c r="AI10" i="12"/>
  <c r="AH10" i="12"/>
  <c r="AG10" i="12"/>
  <c r="AF10" i="12"/>
  <c r="AE10" i="12"/>
  <c r="AD10" i="12"/>
  <c r="AC10" i="12"/>
  <c r="AB10" i="12"/>
  <c r="AA10" i="12"/>
  <c r="Z10" i="12"/>
  <c r="Y10" i="12"/>
  <c r="X10" i="12"/>
  <c r="W10" i="12"/>
  <c r="V10" i="12"/>
  <c r="U10" i="12"/>
  <c r="T10" i="12"/>
  <c r="S10" i="12"/>
  <c r="R10" i="12"/>
  <c r="Q10" i="12"/>
  <c r="P10" i="12"/>
  <c r="O10" i="12"/>
  <c r="N10" i="12"/>
  <c r="M10" i="12"/>
  <c r="L10" i="12"/>
  <c r="K10" i="12"/>
  <c r="J10" i="12"/>
  <c r="I10" i="12"/>
  <c r="H10" i="12"/>
  <c r="AL9" i="12"/>
  <c r="AK9" i="12"/>
  <c r="AJ9" i="12"/>
  <c r="AI9" i="12"/>
  <c r="AH9" i="12"/>
  <c r="AG9" i="12"/>
  <c r="AB9" i="12"/>
  <c r="AA9" i="12"/>
  <c r="Z9" i="12"/>
  <c r="Y9" i="12"/>
  <c r="X9" i="12"/>
  <c r="W9" i="12"/>
  <c r="V9" i="12"/>
  <c r="U9" i="12"/>
  <c r="T9" i="12"/>
  <c r="S9" i="12"/>
  <c r="R9" i="12"/>
  <c r="Q9" i="12"/>
  <c r="P9" i="12"/>
  <c r="O9" i="12"/>
  <c r="N9" i="12"/>
  <c r="M9" i="12"/>
  <c r="L9" i="12"/>
  <c r="K9" i="12"/>
  <c r="J9" i="12"/>
  <c r="I9" i="12"/>
  <c r="H9" i="12"/>
  <c r="AL8" i="12"/>
  <c r="AK8" i="12"/>
  <c r="AJ8" i="12"/>
  <c r="AI8" i="12"/>
  <c r="AH8" i="12"/>
  <c r="AG8" i="12"/>
  <c r="AF8" i="12"/>
  <c r="AE8" i="12"/>
  <c r="AD8" i="12"/>
  <c r="AC8" i="12"/>
  <c r="AB8" i="12"/>
  <c r="AA8" i="12"/>
  <c r="Z8" i="12"/>
  <c r="Y8" i="12"/>
  <c r="X8" i="12"/>
  <c r="W8" i="12"/>
  <c r="V8" i="12"/>
  <c r="U8" i="12"/>
  <c r="T8" i="12"/>
  <c r="S8" i="12"/>
  <c r="R8" i="12"/>
  <c r="Q8" i="12"/>
  <c r="P8" i="12"/>
  <c r="O8" i="12"/>
  <c r="N8" i="12"/>
  <c r="M8" i="12"/>
  <c r="L8" i="12"/>
  <c r="K8" i="12"/>
  <c r="J8" i="12"/>
  <c r="I8" i="12"/>
  <c r="H8" i="12"/>
  <c r="AJ7" i="12"/>
  <c r="AI7" i="12"/>
  <c r="AH7" i="12"/>
  <c r="AG7" i="12"/>
  <c r="AF7" i="12"/>
  <c r="AE7" i="12"/>
  <c r="AD7" i="12"/>
  <c r="AC7" i="12"/>
  <c r="AB7" i="12"/>
  <c r="AA7" i="12"/>
  <c r="Z7" i="12"/>
  <c r="Y7" i="12"/>
  <c r="X7" i="12"/>
  <c r="W7" i="12"/>
  <c r="V7" i="12"/>
  <c r="U7" i="12"/>
  <c r="T7" i="12"/>
  <c r="S7" i="12"/>
  <c r="R7" i="12"/>
  <c r="Q7" i="12"/>
  <c r="P7" i="12"/>
  <c r="O7" i="12"/>
  <c r="N7" i="12"/>
  <c r="M7" i="12"/>
  <c r="L7" i="12"/>
  <c r="K7" i="12"/>
  <c r="J7" i="12"/>
  <c r="I7" i="12"/>
  <c r="H7" i="12"/>
  <c r="AL6" i="12"/>
  <c r="AK6" i="12"/>
  <c r="AJ6" i="12"/>
  <c r="AI6" i="12"/>
  <c r="AH6" i="12"/>
  <c r="AG6" i="12"/>
  <c r="AF6" i="12"/>
  <c r="AE6" i="12"/>
  <c r="AD6" i="12"/>
  <c r="AC6" i="12"/>
  <c r="AB6" i="12"/>
  <c r="AA6" i="12"/>
  <c r="Z6" i="12"/>
  <c r="Y6" i="12"/>
  <c r="X6" i="12"/>
  <c r="W6" i="12"/>
  <c r="V6" i="12"/>
  <c r="U6" i="12"/>
  <c r="T6" i="12"/>
  <c r="S6" i="12"/>
  <c r="R6" i="12"/>
  <c r="Q6" i="12"/>
  <c r="P6" i="12"/>
  <c r="O6" i="12"/>
  <c r="N6" i="12"/>
  <c r="M6" i="12"/>
  <c r="L6" i="12"/>
  <c r="K6" i="12"/>
  <c r="J6" i="12"/>
  <c r="I6" i="12"/>
  <c r="H6" i="12"/>
  <c r="AL5" i="12"/>
  <c r="AK5" i="12"/>
  <c r="AJ5" i="12"/>
  <c r="AI5" i="12"/>
  <c r="AH5" i="12"/>
  <c r="AG5" i="12"/>
  <c r="AB5" i="12"/>
  <c r="AA5" i="12"/>
  <c r="Z5" i="12"/>
  <c r="Y5" i="12"/>
  <c r="X5" i="12"/>
  <c r="W5" i="12"/>
  <c r="V5" i="12"/>
  <c r="U5" i="12"/>
  <c r="T5" i="12"/>
  <c r="S5" i="12"/>
  <c r="R5" i="12"/>
  <c r="Q5" i="12"/>
  <c r="P5" i="12"/>
  <c r="O5" i="12"/>
  <c r="N5" i="12"/>
  <c r="M5" i="12"/>
  <c r="L5" i="12"/>
  <c r="K5" i="12"/>
  <c r="J5" i="12"/>
  <c r="I5" i="12"/>
  <c r="H5" i="12"/>
  <c r="AJ4" i="12"/>
  <c r="AI4" i="12"/>
  <c r="AH4" i="12"/>
  <c r="AG4" i="12"/>
  <c r="AF4" i="12"/>
  <c r="AE4" i="12"/>
  <c r="AD4" i="12"/>
  <c r="AC4" i="12"/>
  <c r="AB4" i="12"/>
  <c r="AA4" i="12"/>
  <c r="Z4" i="12"/>
  <c r="Y4" i="12"/>
  <c r="X4" i="12"/>
  <c r="W4" i="12"/>
  <c r="V4" i="12"/>
  <c r="U4" i="12"/>
  <c r="T4" i="12"/>
  <c r="S4" i="12"/>
  <c r="R4" i="12"/>
  <c r="Q4" i="12"/>
  <c r="P4" i="12"/>
  <c r="O4" i="12"/>
  <c r="N4" i="12"/>
  <c r="M4" i="12"/>
  <c r="L4" i="12"/>
  <c r="K4" i="12"/>
  <c r="J4" i="12"/>
  <c r="I4" i="12"/>
  <c r="H4" i="12"/>
  <c r="AJ3" i="12"/>
  <c r="AI3" i="12"/>
  <c r="AH3" i="12"/>
  <c r="AG3" i="12"/>
  <c r="AF3" i="12"/>
  <c r="AE3" i="12"/>
  <c r="AD3" i="12"/>
  <c r="AC3" i="12"/>
  <c r="AB3" i="12"/>
  <c r="AA3" i="12"/>
  <c r="Z3" i="12"/>
  <c r="Y3" i="12"/>
  <c r="X3" i="12"/>
  <c r="W3" i="12"/>
  <c r="V3" i="12"/>
  <c r="U3" i="12"/>
  <c r="T3" i="12"/>
  <c r="S3" i="12"/>
  <c r="R3" i="12"/>
  <c r="Q3" i="12"/>
  <c r="P3" i="12"/>
  <c r="O3" i="12"/>
  <c r="N3" i="12"/>
  <c r="M3" i="12"/>
  <c r="L3" i="12"/>
  <c r="K3" i="12"/>
  <c r="J3" i="12"/>
  <c r="I3" i="12"/>
  <c r="H3" i="12"/>
  <c r="AL2" i="12"/>
  <c r="AK2" i="12"/>
  <c r="AJ2" i="12"/>
  <c r="AI2" i="12"/>
  <c r="AH2" i="12"/>
  <c r="AG2" i="12"/>
  <c r="AF2" i="12"/>
  <c r="AE2" i="12"/>
  <c r="AD2" i="12"/>
  <c r="AC2" i="12"/>
  <c r="AB2" i="12"/>
  <c r="AA2" i="12"/>
  <c r="Z2" i="12"/>
  <c r="Y2" i="12"/>
  <c r="X2" i="12"/>
  <c r="W2" i="12"/>
  <c r="V2" i="12"/>
  <c r="U2" i="12"/>
  <c r="T2" i="12"/>
  <c r="S2" i="12"/>
  <c r="R2" i="12"/>
  <c r="Q2" i="12"/>
  <c r="P2" i="12"/>
  <c r="O2" i="12"/>
  <c r="N2" i="12"/>
  <c r="M2" i="12"/>
  <c r="L2" i="12"/>
  <c r="K2" i="12"/>
  <c r="J2" i="12"/>
  <c r="I2" i="12"/>
  <c r="H2" i="12"/>
  <c r="AG152" i="11"/>
  <c r="AF152" i="11"/>
  <c r="AE152" i="11"/>
  <c r="AD152" i="11"/>
  <c r="AC152" i="11"/>
  <c r="AB152" i="11"/>
  <c r="AA152" i="11"/>
  <c r="Z152" i="11"/>
  <c r="Y152" i="11"/>
  <c r="X152" i="11"/>
  <c r="W152" i="11"/>
  <c r="V152" i="11"/>
  <c r="U152" i="11"/>
  <c r="T152" i="11"/>
  <c r="S152" i="11"/>
  <c r="R152" i="11"/>
  <c r="Q152" i="11"/>
  <c r="P152" i="11"/>
  <c r="O152" i="11"/>
  <c r="N152" i="11"/>
  <c r="M152" i="11"/>
  <c r="L152" i="11"/>
  <c r="K152" i="11"/>
  <c r="J152" i="11"/>
  <c r="I152" i="11"/>
  <c r="H152" i="11"/>
  <c r="AG151" i="11"/>
  <c r="AF151" i="11"/>
  <c r="AE151" i="11"/>
  <c r="AD151" i="11"/>
  <c r="AC151" i="11"/>
  <c r="AB151" i="11"/>
  <c r="AA151" i="11"/>
  <c r="Z151" i="11"/>
  <c r="Y151" i="11"/>
  <c r="X151" i="11"/>
  <c r="W151" i="11"/>
  <c r="V151" i="11"/>
  <c r="U151" i="11"/>
  <c r="T151" i="11"/>
  <c r="S151" i="11"/>
  <c r="R151" i="11"/>
  <c r="Q151" i="11"/>
  <c r="P151" i="11"/>
  <c r="O151" i="11"/>
  <c r="N151" i="11"/>
  <c r="M151" i="11"/>
  <c r="L151" i="11"/>
  <c r="K151" i="11"/>
  <c r="J151" i="11"/>
  <c r="I151" i="11"/>
  <c r="H151" i="11"/>
  <c r="AG150" i="11"/>
  <c r="AF150" i="11"/>
  <c r="AE150" i="11"/>
  <c r="AD150" i="11"/>
  <c r="AC150" i="11"/>
  <c r="AB150" i="11"/>
  <c r="AA150" i="11"/>
  <c r="Z150" i="11"/>
  <c r="Y150" i="11"/>
  <c r="X150" i="11"/>
  <c r="W150" i="11"/>
  <c r="V150" i="11"/>
  <c r="U150" i="11"/>
  <c r="T150" i="11"/>
  <c r="S150" i="11"/>
  <c r="R150" i="11"/>
  <c r="Q150" i="11"/>
  <c r="P150" i="11"/>
  <c r="O150" i="11"/>
  <c r="N150" i="11"/>
  <c r="M150" i="11"/>
  <c r="L150" i="11"/>
  <c r="K150" i="11"/>
  <c r="J150" i="11"/>
  <c r="I150" i="11"/>
  <c r="H150" i="11"/>
  <c r="AG149" i="11"/>
  <c r="AF149" i="11"/>
  <c r="AE149" i="11"/>
  <c r="AD149" i="11"/>
  <c r="AC149" i="11"/>
  <c r="AB149" i="11"/>
  <c r="AA149" i="11"/>
  <c r="Z149" i="11"/>
  <c r="Y149" i="11"/>
  <c r="X149" i="11"/>
  <c r="W149" i="11"/>
  <c r="V149" i="11"/>
  <c r="U149" i="11"/>
  <c r="T149" i="11"/>
  <c r="S149" i="11"/>
  <c r="R149" i="11"/>
  <c r="Q149" i="11"/>
  <c r="P149" i="11"/>
  <c r="O149" i="11"/>
  <c r="N149" i="11"/>
  <c r="M149" i="11"/>
  <c r="L149" i="11"/>
  <c r="K149" i="11"/>
  <c r="J149" i="11"/>
  <c r="I149" i="11"/>
  <c r="H149" i="11"/>
  <c r="AJ148" i="11"/>
  <c r="AI148" i="11"/>
  <c r="AH148" i="11"/>
  <c r="AG148" i="11"/>
  <c r="AF148" i="11"/>
  <c r="AE148" i="11"/>
  <c r="AD148" i="11"/>
  <c r="AC148" i="11"/>
  <c r="AB148" i="11"/>
  <c r="AA148" i="11"/>
  <c r="Z148" i="11"/>
  <c r="Y148" i="11"/>
  <c r="X148" i="11"/>
  <c r="W148" i="11"/>
  <c r="V148" i="11"/>
  <c r="U148" i="11"/>
  <c r="T148" i="11"/>
  <c r="S148" i="11"/>
  <c r="R148" i="11"/>
  <c r="Q148" i="11"/>
  <c r="P148" i="11"/>
  <c r="O148" i="11"/>
  <c r="N148" i="11"/>
  <c r="M148" i="11"/>
  <c r="L148" i="11"/>
  <c r="K148" i="11"/>
  <c r="J148" i="11"/>
  <c r="I148" i="11"/>
  <c r="H148" i="11"/>
  <c r="AL147" i="11"/>
  <c r="AK147" i="11"/>
  <c r="AJ147" i="11"/>
  <c r="AI147" i="11"/>
  <c r="AH147" i="11"/>
  <c r="AG147" i="11"/>
  <c r="AF147" i="11"/>
  <c r="AE147" i="11"/>
  <c r="AD147" i="11"/>
  <c r="AC147" i="11"/>
  <c r="AB147" i="11"/>
  <c r="AA147" i="11"/>
  <c r="Z147" i="11"/>
  <c r="Y147" i="11"/>
  <c r="X147" i="11"/>
  <c r="W147" i="11"/>
  <c r="V147" i="11"/>
  <c r="U147" i="11"/>
  <c r="T147" i="11"/>
  <c r="S147" i="11"/>
  <c r="R147" i="11"/>
  <c r="Q147" i="11"/>
  <c r="P147" i="11"/>
  <c r="O147" i="11"/>
  <c r="N147" i="11"/>
  <c r="M147" i="11"/>
  <c r="L147" i="11"/>
  <c r="K147" i="11"/>
  <c r="J147" i="11"/>
  <c r="I147" i="11"/>
  <c r="H147" i="11"/>
  <c r="AJ146" i="11"/>
  <c r="AI146" i="11"/>
  <c r="AH146" i="11"/>
  <c r="AG146" i="11"/>
  <c r="AF146" i="11"/>
  <c r="AE146" i="11"/>
  <c r="AD146" i="11"/>
  <c r="AC146" i="11"/>
  <c r="AB146" i="11"/>
  <c r="AA146" i="11"/>
  <c r="Z146" i="11"/>
  <c r="Y146" i="11"/>
  <c r="X146" i="11"/>
  <c r="W146" i="11"/>
  <c r="V146" i="11"/>
  <c r="U146" i="11"/>
  <c r="T146" i="11"/>
  <c r="S146" i="11"/>
  <c r="R146" i="11"/>
  <c r="Q146" i="11"/>
  <c r="P146" i="11"/>
  <c r="O146" i="11"/>
  <c r="N146" i="11"/>
  <c r="M146" i="11"/>
  <c r="L146" i="11"/>
  <c r="K146" i="11"/>
  <c r="J146" i="11"/>
  <c r="I146" i="11"/>
  <c r="H146" i="11"/>
  <c r="AJ145" i="11"/>
  <c r="AI145" i="11"/>
  <c r="AH145" i="11"/>
  <c r="AG145" i="11"/>
  <c r="AF145" i="11"/>
  <c r="AE145" i="11"/>
  <c r="AD145" i="11"/>
  <c r="AC145" i="11"/>
  <c r="AB145" i="11"/>
  <c r="AA145" i="11"/>
  <c r="Z145" i="11"/>
  <c r="Y145" i="11"/>
  <c r="X145" i="11"/>
  <c r="W145" i="11"/>
  <c r="V145" i="11"/>
  <c r="U145" i="11"/>
  <c r="T145" i="11"/>
  <c r="S145" i="11"/>
  <c r="R145" i="11"/>
  <c r="Q145" i="11"/>
  <c r="P145" i="11"/>
  <c r="O145" i="11"/>
  <c r="N145" i="11"/>
  <c r="M145" i="11"/>
  <c r="L145" i="11"/>
  <c r="K145" i="11"/>
  <c r="J145" i="11"/>
  <c r="I145" i="11"/>
  <c r="H145" i="11"/>
  <c r="AL144" i="11"/>
  <c r="AK144" i="11"/>
  <c r="AJ144" i="11"/>
  <c r="AI144" i="11"/>
  <c r="AH144" i="11"/>
  <c r="AG144" i="11"/>
  <c r="AF144" i="11"/>
  <c r="AE144" i="11"/>
  <c r="AD144" i="11"/>
  <c r="AC144" i="11"/>
  <c r="AB144" i="11"/>
  <c r="AA144" i="11"/>
  <c r="Z144" i="11"/>
  <c r="Y144" i="11"/>
  <c r="X144" i="11"/>
  <c r="W144" i="11"/>
  <c r="V144" i="11"/>
  <c r="U144" i="11"/>
  <c r="T144" i="11"/>
  <c r="S144" i="11"/>
  <c r="R144" i="11"/>
  <c r="Q144" i="11"/>
  <c r="P144" i="11"/>
  <c r="O144" i="11"/>
  <c r="N144" i="11"/>
  <c r="M144" i="11"/>
  <c r="L144" i="11"/>
  <c r="K144" i="11"/>
  <c r="J144" i="11"/>
  <c r="I144" i="11"/>
  <c r="H144" i="11"/>
  <c r="AG143" i="11"/>
  <c r="AF143" i="11"/>
  <c r="AE143" i="11"/>
  <c r="AD143" i="11"/>
  <c r="AC143" i="11"/>
  <c r="AB143" i="11"/>
  <c r="AA143" i="11"/>
  <c r="Z143" i="11"/>
  <c r="Y143" i="11"/>
  <c r="X143" i="11"/>
  <c r="W143" i="11"/>
  <c r="V143" i="11"/>
  <c r="U143" i="11"/>
  <c r="T143" i="11"/>
  <c r="S143" i="11"/>
  <c r="R143" i="11"/>
  <c r="Q143" i="11"/>
  <c r="P143" i="11"/>
  <c r="O143" i="11"/>
  <c r="N143" i="11"/>
  <c r="M143" i="11"/>
  <c r="L143" i="11"/>
  <c r="K143" i="11"/>
  <c r="J143" i="11"/>
  <c r="I143" i="11"/>
  <c r="H143" i="11"/>
  <c r="AL142" i="11"/>
  <c r="AK142" i="11"/>
  <c r="AJ142" i="11"/>
  <c r="AI142" i="11"/>
  <c r="AH142" i="11"/>
  <c r="AG142" i="11"/>
  <c r="AF142" i="11"/>
  <c r="AE142" i="11"/>
  <c r="AD142" i="11"/>
  <c r="AC142" i="11"/>
  <c r="AB142" i="11"/>
  <c r="AA142" i="11"/>
  <c r="Z142" i="11"/>
  <c r="Y142" i="11"/>
  <c r="X142" i="11"/>
  <c r="W142" i="11"/>
  <c r="V142" i="11"/>
  <c r="U142" i="11"/>
  <c r="T142" i="11"/>
  <c r="S142" i="11"/>
  <c r="R142" i="11"/>
  <c r="Q142" i="11"/>
  <c r="P142" i="11"/>
  <c r="O142" i="11"/>
  <c r="N142" i="11"/>
  <c r="M142" i="11"/>
  <c r="L142" i="11"/>
  <c r="K142" i="11"/>
  <c r="J142" i="11"/>
  <c r="I142" i="11"/>
  <c r="H142" i="11"/>
  <c r="AJ141" i="11"/>
  <c r="AI141" i="11"/>
  <c r="AH141" i="11"/>
  <c r="AG141" i="11"/>
  <c r="AF141" i="11"/>
  <c r="AE141" i="11"/>
  <c r="AD141" i="11"/>
  <c r="AC141" i="11"/>
  <c r="AB141" i="11"/>
  <c r="AA141" i="11"/>
  <c r="Z141" i="11"/>
  <c r="Y141" i="11"/>
  <c r="X141" i="11"/>
  <c r="W141" i="11"/>
  <c r="V141" i="11"/>
  <c r="U141" i="11"/>
  <c r="T141" i="11"/>
  <c r="S141" i="11"/>
  <c r="R141" i="11"/>
  <c r="Q141" i="11"/>
  <c r="P141" i="11"/>
  <c r="O141" i="11"/>
  <c r="N141" i="11"/>
  <c r="M141" i="11"/>
  <c r="L141" i="11"/>
  <c r="K141" i="11"/>
  <c r="J141" i="11"/>
  <c r="I141" i="11"/>
  <c r="H141" i="11"/>
  <c r="AH140" i="11"/>
  <c r="AG140" i="11"/>
  <c r="AF140" i="11"/>
  <c r="AE140" i="11"/>
  <c r="AD140" i="11"/>
  <c r="AC140" i="11"/>
  <c r="AB140" i="11"/>
  <c r="AA140" i="11"/>
  <c r="Z140" i="11"/>
  <c r="Y140" i="11"/>
  <c r="X140" i="11"/>
  <c r="W140" i="11"/>
  <c r="V140" i="11"/>
  <c r="U140" i="11"/>
  <c r="T140" i="11"/>
  <c r="S140" i="11"/>
  <c r="R140" i="11"/>
  <c r="Q140" i="11"/>
  <c r="P140" i="11"/>
  <c r="O140" i="11"/>
  <c r="N140" i="11"/>
  <c r="M140" i="11"/>
  <c r="L140" i="11"/>
  <c r="K140" i="11"/>
  <c r="J140" i="11"/>
  <c r="I140" i="11"/>
  <c r="H140" i="11"/>
  <c r="AL139" i="11"/>
  <c r="AK139" i="11"/>
  <c r="AJ139" i="11"/>
  <c r="AI139" i="11"/>
  <c r="AH139" i="11"/>
  <c r="AG139" i="11"/>
  <c r="AF139" i="11"/>
  <c r="AE139" i="11"/>
  <c r="AD139" i="11"/>
  <c r="AC139" i="11"/>
  <c r="AB139" i="11"/>
  <c r="AA139" i="11"/>
  <c r="Z139" i="11"/>
  <c r="Y139" i="11"/>
  <c r="X139" i="11"/>
  <c r="W139" i="11"/>
  <c r="V139" i="11"/>
  <c r="U139" i="11"/>
  <c r="T139" i="11"/>
  <c r="S139" i="11"/>
  <c r="R139" i="11"/>
  <c r="Q139" i="11"/>
  <c r="P139" i="11"/>
  <c r="O139" i="11"/>
  <c r="N139" i="11"/>
  <c r="M139" i="11"/>
  <c r="L139" i="11"/>
  <c r="K139" i="11"/>
  <c r="J139" i="11"/>
  <c r="I139" i="11"/>
  <c r="H139" i="11"/>
  <c r="AH138" i="11"/>
  <c r="AG138" i="11"/>
  <c r="AF138" i="11"/>
  <c r="AE138" i="11"/>
  <c r="AD138" i="11"/>
  <c r="AC138" i="11"/>
  <c r="AB138" i="11"/>
  <c r="AA138" i="11"/>
  <c r="Z138" i="11"/>
  <c r="Y138" i="11"/>
  <c r="X138" i="11"/>
  <c r="W138" i="11"/>
  <c r="V138" i="11"/>
  <c r="U138" i="11"/>
  <c r="T138" i="11"/>
  <c r="S138" i="11"/>
  <c r="R138" i="11"/>
  <c r="Q138" i="11"/>
  <c r="P138" i="11"/>
  <c r="O138" i="11"/>
  <c r="N138" i="11"/>
  <c r="M138" i="11"/>
  <c r="L138" i="11"/>
  <c r="K138" i="11"/>
  <c r="J138" i="11"/>
  <c r="I138" i="11"/>
  <c r="H138" i="11"/>
  <c r="AJ137" i="11"/>
  <c r="AI137" i="11"/>
  <c r="AH137" i="11"/>
  <c r="AG137" i="11"/>
  <c r="AF137" i="11"/>
  <c r="AE137" i="11"/>
  <c r="AD137" i="11"/>
  <c r="AC137" i="11"/>
  <c r="AB137" i="11"/>
  <c r="AA137" i="11"/>
  <c r="Z137" i="11"/>
  <c r="Y137" i="11"/>
  <c r="X137" i="11"/>
  <c r="W137" i="11"/>
  <c r="V137" i="11"/>
  <c r="U137" i="11"/>
  <c r="T137" i="11"/>
  <c r="S137" i="11"/>
  <c r="R137" i="11"/>
  <c r="Q137" i="11"/>
  <c r="P137" i="11"/>
  <c r="O137" i="11"/>
  <c r="N137" i="11"/>
  <c r="M137" i="11"/>
  <c r="L137" i="11"/>
  <c r="K137" i="11"/>
  <c r="J137" i="11"/>
  <c r="I137" i="11"/>
  <c r="H137" i="11"/>
  <c r="AL136" i="11"/>
  <c r="AK136" i="11"/>
  <c r="AJ136" i="11"/>
  <c r="AI136" i="11"/>
  <c r="AH136" i="11"/>
  <c r="AG136" i="11"/>
  <c r="AF136" i="11"/>
  <c r="AE136" i="11"/>
  <c r="AD136" i="11"/>
  <c r="AC136" i="11"/>
  <c r="AB136" i="11"/>
  <c r="AA136" i="11"/>
  <c r="Z136" i="11"/>
  <c r="Y136" i="11"/>
  <c r="X136" i="11"/>
  <c r="W136" i="11"/>
  <c r="V136" i="11"/>
  <c r="U136" i="11"/>
  <c r="T136" i="11"/>
  <c r="S136" i="11"/>
  <c r="R136" i="11"/>
  <c r="Q136" i="11"/>
  <c r="P136" i="11"/>
  <c r="O136" i="11"/>
  <c r="N136" i="11"/>
  <c r="M136" i="11"/>
  <c r="L136" i="11"/>
  <c r="K136" i="11"/>
  <c r="J136" i="11"/>
  <c r="I136" i="11"/>
  <c r="H136" i="11"/>
  <c r="AN135" i="11"/>
  <c r="AM135" i="11"/>
  <c r="AL135" i="11"/>
  <c r="AK135" i="11"/>
  <c r="AJ135" i="11"/>
  <c r="AI135" i="11"/>
  <c r="AH135" i="11"/>
  <c r="AG135" i="11"/>
  <c r="AF135" i="11"/>
  <c r="AE135" i="11"/>
  <c r="AD135" i="11"/>
  <c r="AC135" i="11"/>
  <c r="AB135" i="11"/>
  <c r="AA135" i="11"/>
  <c r="Z135" i="11"/>
  <c r="Y135" i="11"/>
  <c r="X135" i="11"/>
  <c r="W135" i="11"/>
  <c r="V135" i="11"/>
  <c r="U135" i="11"/>
  <c r="T135" i="11"/>
  <c r="S135" i="11"/>
  <c r="R135" i="11"/>
  <c r="Q135" i="11"/>
  <c r="P135" i="11"/>
  <c r="O135" i="11"/>
  <c r="N135" i="11"/>
  <c r="M135" i="11"/>
  <c r="L135" i="11"/>
  <c r="K135" i="11"/>
  <c r="J135" i="11"/>
  <c r="I135" i="11"/>
  <c r="H135" i="11"/>
  <c r="AN134" i="11"/>
  <c r="AM134" i="11"/>
  <c r="AL134" i="11"/>
  <c r="AK134" i="11"/>
  <c r="AJ134" i="11"/>
  <c r="AI134" i="11"/>
  <c r="AH134" i="11"/>
  <c r="AG134" i="11"/>
  <c r="AF134" i="11"/>
  <c r="AE134" i="11"/>
  <c r="AD134" i="11"/>
  <c r="AC134" i="11"/>
  <c r="AB134" i="11"/>
  <c r="AA134" i="11"/>
  <c r="Z134" i="11"/>
  <c r="Y134" i="11"/>
  <c r="X134" i="11"/>
  <c r="W134" i="11"/>
  <c r="V134" i="11"/>
  <c r="U134" i="11"/>
  <c r="T134" i="11"/>
  <c r="S134" i="11"/>
  <c r="R134" i="11"/>
  <c r="Q134" i="11"/>
  <c r="P134" i="11"/>
  <c r="O134" i="11"/>
  <c r="N134" i="11"/>
  <c r="M134" i="11"/>
  <c r="L134" i="11"/>
  <c r="K134" i="11"/>
  <c r="J134" i="11"/>
  <c r="I134" i="11"/>
  <c r="H134" i="11"/>
  <c r="AL133" i="11"/>
  <c r="AK133" i="11"/>
  <c r="AJ133" i="11"/>
  <c r="AI133" i="11"/>
  <c r="AH133" i="11"/>
  <c r="AG133" i="11"/>
  <c r="AF133" i="11"/>
  <c r="AE133" i="11"/>
  <c r="AD133" i="11"/>
  <c r="AC133" i="11"/>
  <c r="AB133" i="11"/>
  <c r="AA133" i="11"/>
  <c r="Z133" i="11"/>
  <c r="Y133" i="11"/>
  <c r="X133" i="11"/>
  <c r="W133" i="11"/>
  <c r="V133" i="11"/>
  <c r="U133" i="11"/>
  <c r="T133" i="11"/>
  <c r="S133" i="11"/>
  <c r="R133" i="11"/>
  <c r="Q133" i="11"/>
  <c r="P133" i="11"/>
  <c r="O133" i="11"/>
  <c r="N133" i="11"/>
  <c r="M133" i="11"/>
  <c r="L133" i="11"/>
  <c r="K133" i="11"/>
  <c r="J133" i="11"/>
  <c r="I133" i="11"/>
  <c r="H133" i="11"/>
  <c r="AL132" i="11"/>
  <c r="AK132" i="11"/>
  <c r="AJ132" i="11"/>
  <c r="AI132" i="11"/>
  <c r="AH132" i="11"/>
  <c r="AG132" i="11"/>
  <c r="AF132" i="11"/>
  <c r="AE132" i="11"/>
  <c r="AD132" i="11"/>
  <c r="AC132" i="11"/>
  <c r="AB132" i="11"/>
  <c r="AA132" i="11"/>
  <c r="Z132" i="11"/>
  <c r="Y132" i="11"/>
  <c r="X132" i="11"/>
  <c r="W132" i="11"/>
  <c r="V132" i="11"/>
  <c r="U132" i="11"/>
  <c r="T132" i="11"/>
  <c r="S132" i="11"/>
  <c r="R132" i="11"/>
  <c r="Q132" i="11"/>
  <c r="P132" i="11"/>
  <c r="O132" i="11"/>
  <c r="N132" i="11"/>
  <c r="M132" i="11"/>
  <c r="L132" i="11"/>
  <c r="K132" i="11"/>
  <c r="J132" i="11"/>
  <c r="I132" i="11"/>
  <c r="H132" i="11"/>
  <c r="AL131" i="11"/>
  <c r="AK131" i="11"/>
  <c r="AJ131" i="11"/>
  <c r="AI131" i="11"/>
  <c r="AH131" i="11"/>
  <c r="AG131" i="11"/>
  <c r="AF131" i="11"/>
  <c r="AE131" i="11"/>
  <c r="AD131" i="11"/>
  <c r="AC131" i="11"/>
  <c r="AB131" i="11"/>
  <c r="AA131" i="11"/>
  <c r="Z131" i="11"/>
  <c r="Y131" i="11"/>
  <c r="X131" i="11"/>
  <c r="W131" i="11"/>
  <c r="V131" i="11"/>
  <c r="U131" i="11"/>
  <c r="T131" i="11"/>
  <c r="S131" i="11"/>
  <c r="R131" i="11"/>
  <c r="Q131" i="11"/>
  <c r="P131" i="11"/>
  <c r="O131" i="11"/>
  <c r="N131" i="11"/>
  <c r="M131" i="11"/>
  <c r="L131" i="11"/>
  <c r="K131" i="11"/>
  <c r="J131" i="11"/>
  <c r="I131" i="11"/>
  <c r="H131" i="11"/>
  <c r="AH130" i="11"/>
  <c r="AG130" i="11"/>
  <c r="AF130" i="11"/>
  <c r="AE130" i="11"/>
  <c r="AD130" i="11"/>
  <c r="AC130" i="11"/>
  <c r="AB130" i="11"/>
  <c r="AA130" i="11"/>
  <c r="Z130" i="11"/>
  <c r="Y130" i="11"/>
  <c r="X130" i="11"/>
  <c r="W130" i="11"/>
  <c r="V130" i="11"/>
  <c r="U130" i="11"/>
  <c r="T130" i="11"/>
  <c r="S130" i="11"/>
  <c r="R130" i="11"/>
  <c r="Q130" i="11"/>
  <c r="P130" i="11"/>
  <c r="O130" i="11"/>
  <c r="N130" i="11"/>
  <c r="M130" i="11"/>
  <c r="L130" i="11"/>
  <c r="K130" i="11"/>
  <c r="J130" i="11"/>
  <c r="I130" i="11"/>
  <c r="H130" i="11"/>
  <c r="AJ129" i="11"/>
  <c r="AI129" i="11"/>
  <c r="AH129" i="11"/>
  <c r="AG129" i="11"/>
  <c r="AF129" i="11"/>
  <c r="AE129" i="11"/>
  <c r="AD129" i="11"/>
  <c r="AC129" i="11"/>
  <c r="AB129" i="11"/>
  <c r="AA129" i="11"/>
  <c r="Z129" i="11"/>
  <c r="Y129" i="11"/>
  <c r="X129" i="11"/>
  <c r="W129" i="11"/>
  <c r="V129" i="11"/>
  <c r="U129" i="11"/>
  <c r="T129" i="11"/>
  <c r="S129" i="11"/>
  <c r="R129" i="11"/>
  <c r="Q129" i="11"/>
  <c r="P129" i="11"/>
  <c r="O129" i="11"/>
  <c r="N129" i="11"/>
  <c r="M129" i="11"/>
  <c r="L129" i="11"/>
  <c r="K129" i="11"/>
  <c r="J129" i="11"/>
  <c r="I129" i="11"/>
  <c r="H129" i="11"/>
  <c r="AJ128" i="11"/>
  <c r="AI128" i="11"/>
  <c r="AH128" i="11"/>
  <c r="AG128" i="11"/>
  <c r="AF128" i="11"/>
  <c r="AE128" i="11"/>
  <c r="AD128" i="11"/>
  <c r="AC128" i="11"/>
  <c r="AB128" i="11"/>
  <c r="AA128" i="11"/>
  <c r="Z128" i="11"/>
  <c r="Y128" i="11"/>
  <c r="X128" i="11"/>
  <c r="W128" i="11"/>
  <c r="V128" i="11"/>
  <c r="U128" i="11"/>
  <c r="T128" i="11"/>
  <c r="S128" i="11"/>
  <c r="R128" i="11"/>
  <c r="Q128" i="11"/>
  <c r="P128" i="11"/>
  <c r="O128" i="11"/>
  <c r="N128" i="11"/>
  <c r="M128" i="11"/>
  <c r="L128" i="11"/>
  <c r="K128" i="11"/>
  <c r="J128" i="11"/>
  <c r="I128" i="11"/>
  <c r="H128" i="11"/>
  <c r="AH127" i="11"/>
  <c r="AG127" i="11"/>
  <c r="AB127" i="11"/>
  <c r="AA127" i="11"/>
  <c r="Z127" i="11"/>
  <c r="Y127" i="11"/>
  <c r="X127" i="11"/>
  <c r="W127" i="11"/>
  <c r="V127" i="11"/>
  <c r="U127" i="11"/>
  <c r="T127" i="11"/>
  <c r="S127" i="11"/>
  <c r="R127" i="11"/>
  <c r="Q127" i="11"/>
  <c r="P127" i="11"/>
  <c r="O127" i="11"/>
  <c r="N127" i="11"/>
  <c r="M127" i="11"/>
  <c r="L127" i="11"/>
  <c r="K127" i="11"/>
  <c r="J127" i="11"/>
  <c r="I127" i="11"/>
  <c r="H127" i="11"/>
  <c r="AJ126" i="11"/>
  <c r="AI126" i="11"/>
  <c r="AH126" i="11"/>
  <c r="AG126" i="11"/>
  <c r="AF126" i="11"/>
  <c r="AE126" i="11"/>
  <c r="AD126" i="11"/>
  <c r="AC126" i="11"/>
  <c r="AB126" i="11"/>
  <c r="AA126" i="11"/>
  <c r="Z126" i="11"/>
  <c r="Y126" i="11"/>
  <c r="X126" i="11"/>
  <c r="W126" i="11"/>
  <c r="V126" i="11"/>
  <c r="U126" i="11"/>
  <c r="T126" i="11"/>
  <c r="S126" i="11"/>
  <c r="R126" i="11"/>
  <c r="Q126" i="11"/>
  <c r="P126" i="11"/>
  <c r="O126" i="11"/>
  <c r="N126" i="11"/>
  <c r="M126" i="11"/>
  <c r="L126" i="11"/>
  <c r="K126" i="11"/>
  <c r="J126" i="11"/>
  <c r="I126" i="11"/>
  <c r="H126" i="11"/>
  <c r="AL125" i="11"/>
  <c r="AK125" i="11"/>
  <c r="AJ125" i="11"/>
  <c r="AI125" i="11"/>
  <c r="AH125" i="11"/>
  <c r="AG125" i="11"/>
  <c r="AF125" i="11"/>
  <c r="AE125" i="11"/>
  <c r="AD125" i="11"/>
  <c r="AC125" i="11"/>
  <c r="AB125" i="11"/>
  <c r="AA125" i="11"/>
  <c r="Z125" i="11"/>
  <c r="Y125" i="11"/>
  <c r="X125" i="11"/>
  <c r="W125" i="11"/>
  <c r="V125" i="11"/>
  <c r="U125" i="11"/>
  <c r="T125" i="11"/>
  <c r="S125" i="11"/>
  <c r="R125" i="11"/>
  <c r="Q125" i="11"/>
  <c r="P125" i="11"/>
  <c r="O125" i="11"/>
  <c r="N125" i="11"/>
  <c r="M125" i="11"/>
  <c r="L125" i="11"/>
  <c r="K125" i="11"/>
  <c r="J125" i="11"/>
  <c r="I125" i="11"/>
  <c r="H125" i="11"/>
  <c r="AL124" i="11"/>
  <c r="AK124" i="11"/>
  <c r="AJ124" i="11"/>
  <c r="AI124" i="11"/>
  <c r="AH124" i="11"/>
  <c r="AG124" i="11"/>
  <c r="AF124" i="11"/>
  <c r="AE124" i="11"/>
  <c r="AD124" i="11"/>
  <c r="AC124" i="11"/>
  <c r="AB124" i="11"/>
  <c r="AA124" i="11"/>
  <c r="Z124" i="11"/>
  <c r="Y124" i="11"/>
  <c r="X124" i="11"/>
  <c r="W124" i="11"/>
  <c r="V124" i="11"/>
  <c r="U124" i="11"/>
  <c r="T124" i="11"/>
  <c r="S124" i="11"/>
  <c r="R124" i="11"/>
  <c r="Q124" i="11"/>
  <c r="P124" i="11"/>
  <c r="O124" i="11"/>
  <c r="N124" i="11"/>
  <c r="M124" i="11"/>
  <c r="L124" i="11"/>
  <c r="K124" i="11"/>
  <c r="J124" i="11"/>
  <c r="I124" i="11"/>
  <c r="H124" i="11"/>
  <c r="AJ123" i="11"/>
  <c r="AI123" i="11"/>
  <c r="AH123" i="11"/>
  <c r="AG123" i="11"/>
  <c r="AF123" i="11"/>
  <c r="AE123" i="11"/>
  <c r="AD123" i="11"/>
  <c r="AC123" i="11"/>
  <c r="AB123" i="11"/>
  <c r="AA123" i="11"/>
  <c r="Z123" i="11"/>
  <c r="Y123" i="11"/>
  <c r="X123" i="11"/>
  <c r="W123" i="11"/>
  <c r="V123" i="11"/>
  <c r="U123" i="11"/>
  <c r="T123" i="11"/>
  <c r="S123" i="11"/>
  <c r="R123" i="11"/>
  <c r="Q123" i="11"/>
  <c r="P123" i="11"/>
  <c r="O123" i="11"/>
  <c r="N123" i="11"/>
  <c r="M123" i="11"/>
  <c r="L123" i="11"/>
  <c r="K123" i="11"/>
  <c r="J123" i="11"/>
  <c r="I123" i="11"/>
  <c r="H123" i="11"/>
  <c r="AL122" i="11"/>
  <c r="AK122" i="11"/>
  <c r="AJ122" i="11"/>
  <c r="AI122" i="11"/>
  <c r="AH122" i="11"/>
  <c r="AG122" i="11"/>
  <c r="AF122" i="11"/>
  <c r="AE122" i="11"/>
  <c r="AD122" i="11"/>
  <c r="AC122" i="11"/>
  <c r="AB122" i="11"/>
  <c r="AA122" i="11"/>
  <c r="Z122" i="11"/>
  <c r="Y122" i="11"/>
  <c r="X122" i="11"/>
  <c r="W122" i="11"/>
  <c r="V122" i="11"/>
  <c r="U122" i="11"/>
  <c r="T122" i="11"/>
  <c r="S122" i="11"/>
  <c r="R122" i="11"/>
  <c r="Q122" i="11"/>
  <c r="P122" i="11"/>
  <c r="O122" i="11"/>
  <c r="N122" i="11"/>
  <c r="M122" i="11"/>
  <c r="L122" i="11"/>
  <c r="K122" i="11"/>
  <c r="J122" i="11"/>
  <c r="I122" i="11"/>
  <c r="H122" i="11"/>
  <c r="AJ121" i="11"/>
  <c r="AI121" i="11"/>
  <c r="AH121" i="11"/>
  <c r="AG121" i="11"/>
  <c r="AF121" i="11"/>
  <c r="AE121" i="11"/>
  <c r="AD121" i="11"/>
  <c r="AC121" i="11"/>
  <c r="AB121" i="11"/>
  <c r="AA121" i="11"/>
  <c r="Z121" i="11"/>
  <c r="Y121" i="11"/>
  <c r="X121" i="11"/>
  <c r="W121" i="11"/>
  <c r="V121" i="11"/>
  <c r="U121" i="11"/>
  <c r="T121" i="11"/>
  <c r="S121" i="11"/>
  <c r="R121" i="11"/>
  <c r="Q121" i="11"/>
  <c r="P121" i="11"/>
  <c r="O121" i="11"/>
  <c r="N121" i="11"/>
  <c r="M121" i="11"/>
  <c r="L121" i="11"/>
  <c r="K121" i="11"/>
  <c r="J121" i="11"/>
  <c r="I121" i="11"/>
  <c r="H121" i="11"/>
  <c r="AL120" i="11"/>
  <c r="AK120" i="11"/>
  <c r="AJ120" i="11"/>
  <c r="AI120" i="11"/>
  <c r="AH120" i="11"/>
  <c r="AG120" i="11"/>
  <c r="AF120" i="11"/>
  <c r="AE120" i="11"/>
  <c r="AD120" i="11"/>
  <c r="AC120" i="11"/>
  <c r="AB120" i="11"/>
  <c r="AA120" i="11"/>
  <c r="Z120" i="11"/>
  <c r="Y120" i="11"/>
  <c r="X120" i="11"/>
  <c r="W120" i="11"/>
  <c r="V120" i="11"/>
  <c r="U120" i="11"/>
  <c r="T120" i="11"/>
  <c r="S120" i="11"/>
  <c r="R120" i="11"/>
  <c r="Q120" i="11"/>
  <c r="P120" i="11"/>
  <c r="O120" i="11"/>
  <c r="N120" i="11"/>
  <c r="M120" i="11"/>
  <c r="L120" i="11"/>
  <c r="K120" i="11"/>
  <c r="J120" i="11"/>
  <c r="I120" i="11"/>
  <c r="H120" i="11"/>
  <c r="AJ119" i="11"/>
  <c r="AI119" i="11"/>
  <c r="AH119" i="11"/>
  <c r="AG119" i="11"/>
  <c r="AF119" i="11"/>
  <c r="AE119" i="11"/>
  <c r="AD119" i="11"/>
  <c r="AC119" i="11"/>
  <c r="AB119" i="11"/>
  <c r="AA119" i="11"/>
  <c r="Z119" i="11"/>
  <c r="Y119" i="11"/>
  <c r="X119" i="11"/>
  <c r="W119" i="11"/>
  <c r="V119" i="11"/>
  <c r="U119" i="11"/>
  <c r="T119" i="11"/>
  <c r="S119" i="11"/>
  <c r="R119" i="11"/>
  <c r="Q119" i="11"/>
  <c r="P119" i="11"/>
  <c r="O119" i="11"/>
  <c r="N119" i="11"/>
  <c r="M119" i="11"/>
  <c r="L119" i="11"/>
  <c r="K119" i="11"/>
  <c r="J119" i="11"/>
  <c r="I119" i="11"/>
  <c r="H119" i="11"/>
  <c r="AL118" i="11"/>
  <c r="AK118" i="11"/>
  <c r="AJ118" i="11"/>
  <c r="AI118" i="11"/>
  <c r="AH118" i="11"/>
  <c r="AG118" i="11"/>
  <c r="AF118" i="11"/>
  <c r="AE118" i="11"/>
  <c r="AD118" i="11"/>
  <c r="AC118" i="11"/>
  <c r="AB118" i="11"/>
  <c r="AA118" i="11"/>
  <c r="Z118" i="11"/>
  <c r="Y118" i="11"/>
  <c r="X118" i="11"/>
  <c r="W118" i="11"/>
  <c r="V118" i="11"/>
  <c r="U118" i="11"/>
  <c r="T118" i="11"/>
  <c r="S118" i="11"/>
  <c r="R118" i="11"/>
  <c r="Q118" i="11"/>
  <c r="P118" i="11"/>
  <c r="O118" i="11"/>
  <c r="N118" i="11"/>
  <c r="M118" i="11"/>
  <c r="L118" i="11"/>
  <c r="K118" i="11"/>
  <c r="J118" i="11"/>
  <c r="I118" i="11"/>
  <c r="H118" i="11"/>
  <c r="AJ117" i="11"/>
  <c r="AI117" i="11"/>
  <c r="AH117" i="11"/>
  <c r="AG117" i="11"/>
  <c r="AF117" i="11"/>
  <c r="AE117" i="11"/>
  <c r="AD117" i="11"/>
  <c r="AC117" i="11"/>
  <c r="AB117" i="11"/>
  <c r="AA117" i="11"/>
  <c r="Z117" i="11"/>
  <c r="Y117" i="11"/>
  <c r="X117" i="11"/>
  <c r="W117" i="11"/>
  <c r="V117" i="11"/>
  <c r="U117" i="11"/>
  <c r="T117" i="11"/>
  <c r="S117" i="11"/>
  <c r="R117" i="11"/>
  <c r="Q117" i="11"/>
  <c r="P117" i="11"/>
  <c r="O117" i="11"/>
  <c r="N117" i="11"/>
  <c r="M117" i="11"/>
  <c r="L117" i="11"/>
  <c r="K117" i="11"/>
  <c r="J117" i="11"/>
  <c r="I117" i="11"/>
  <c r="H117" i="11"/>
  <c r="AL116" i="11"/>
  <c r="AK116" i="11"/>
  <c r="AJ116" i="11"/>
  <c r="AI116" i="11"/>
  <c r="AH116" i="11"/>
  <c r="AG116" i="11"/>
  <c r="AF116" i="11"/>
  <c r="AE116" i="11"/>
  <c r="AD116" i="11"/>
  <c r="AC116" i="11"/>
  <c r="AB116" i="11"/>
  <c r="AA116" i="11"/>
  <c r="Z116" i="11"/>
  <c r="Y116" i="11"/>
  <c r="X116" i="11"/>
  <c r="W116" i="11"/>
  <c r="V116" i="11"/>
  <c r="U116" i="11"/>
  <c r="T116" i="11"/>
  <c r="S116" i="11"/>
  <c r="R116" i="11"/>
  <c r="Q116" i="11"/>
  <c r="P116" i="11"/>
  <c r="O116" i="11"/>
  <c r="N116" i="11"/>
  <c r="M116" i="11"/>
  <c r="L116" i="11"/>
  <c r="K116" i="11"/>
  <c r="J116" i="11"/>
  <c r="I116" i="11"/>
  <c r="H116" i="11"/>
  <c r="AG115" i="11"/>
  <c r="AB115" i="11"/>
  <c r="AA115" i="11"/>
  <c r="Z115" i="11"/>
  <c r="Y115" i="11"/>
  <c r="X115" i="11"/>
  <c r="W115" i="11"/>
  <c r="V115" i="11"/>
  <c r="U115" i="11"/>
  <c r="T115" i="11"/>
  <c r="S115" i="11"/>
  <c r="R115" i="11"/>
  <c r="Q115" i="11"/>
  <c r="P115" i="11"/>
  <c r="O115" i="11"/>
  <c r="N115" i="11"/>
  <c r="M115" i="11"/>
  <c r="L115" i="11"/>
  <c r="K115" i="11"/>
  <c r="J115" i="11"/>
  <c r="I115" i="11"/>
  <c r="H115" i="11"/>
  <c r="AJ114" i="11"/>
  <c r="AI114" i="11"/>
  <c r="AH114" i="11"/>
  <c r="AG114" i="11"/>
  <c r="AF114" i="11"/>
  <c r="AE114" i="11"/>
  <c r="AD114" i="11"/>
  <c r="AC114" i="11"/>
  <c r="AB114" i="11"/>
  <c r="AA114" i="11"/>
  <c r="Z114" i="11"/>
  <c r="Y114" i="11"/>
  <c r="X114" i="11"/>
  <c r="W114" i="11"/>
  <c r="V114" i="11"/>
  <c r="U114" i="11"/>
  <c r="T114" i="11"/>
  <c r="S114" i="11"/>
  <c r="R114" i="11"/>
  <c r="Q114" i="11"/>
  <c r="P114" i="11"/>
  <c r="O114" i="11"/>
  <c r="N114" i="11"/>
  <c r="M114" i="11"/>
  <c r="L114" i="11"/>
  <c r="K114" i="11"/>
  <c r="J114" i="11"/>
  <c r="I114" i="11"/>
  <c r="H114" i="11"/>
  <c r="AJ113" i="11"/>
  <c r="AI113" i="11"/>
  <c r="AH113" i="11"/>
  <c r="AG113" i="11"/>
  <c r="AF113" i="11"/>
  <c r="AE113" i="11"/>
  <c r="AD113" i="11"/>
  <c r="AC113" i="11"/>
  <c r="AB113" i="11"/>
  <c r="AA113" i="11"/>
  <c r="Z113" i="11"/>
  <c r="Y113" i="11"/>
  <c r="X113" i="11"/>
  <c r="W113" i="11"/>
  <c r="V113" i="11"/>
  <c r="U113" i="11"/>
  <c r="T113" i="11"/>
  <c r="S113" i="11"/>
  <c r="R113" i="11"/>
  <c r="Q113" i="11"/>
  <c r="P113" i="11"/>
  <c r="O113" i="11"/>
  <c r="N113" i="11"/>
  <c r="M113" i="11"/>
  <c r="L113" i="11"/>
  <c r="K113" i="11"/>
  <c r="J113" i="11"/>
  <c r="I113" i="11"/>
  <c r="H113" i="11"/>
  <c r="AL112" i="11"/>
  <c r="AK112" i="11"/>
  <c r="AJ112" i="11"/>
  <c r="AI112" i="11"/>
  <c r="AH112" i="11"/>
  <c r="AG112" i="11"/>
  <c r="AF112" i="11"/>
  <c r="AE112" i="11"/>
  <c r="AD112" i="11"/>
  <c r="AC112" i="11"/>
  <c r="AB112" i="11"/>
  <c r="AA112" i="11"/>
  <c r="Z112" i="11"/>
  <c r="Y112" i="11"/>
  <c r="X112" i="11"/>
  <c r="W112" i="11"/>
  <c r="V112" i="11"/>
  <c r="U112" i="11"/>
  <c r="T112" i="11"/>
  <c r="S112" i="11"/>
  <c r="R112" i="11"/>
  <c r="Q112" i="11"/>
  <c r="P112" i="11"/>
  <c r="O112" i="11"/>
  <c r="N112" i="11"/>
  <c r="M112" i="11"/>
  <c r="L112" i="11"/>
  <c r="K112" i="11"/>
  <c r="J112" i="11"/>
  <c r="I112" i="11"/>
  <c r="H112" i="11"/>
  <c r="AJ111" i="11"/>
  <c r="AI111" i="11"/>
  <c r="AH111" i="11"/>
  <c r="AG111" i="11"/>
  <c r="AF111" i="11"/>
  <c r="AE111" i="11"/>
  <c r="AD111" i="11"/>
  <c r="AC111" i="11"/>
  <c r="AB111" i="11"/>
  <c r="AA111" i="11"/>
  <c r="Z111" i="11"/>
  <c r="Y111" i="11"/>
  <c r="X111" i="11"/>
  <c r="W111" i="11"/>
  <c r="V111" i="11"/>
  <c r="U111" i="11"/>
  <c r="T111" i="11"/>
  <c r="S111" i="11"/>
  <c r="R111" i="11"/>
  <c r="Q111" i="11"/>
  <c r="P111" i="11"/>
  <c r="O111" i="11"/>
  <c r="N111" i="11"/>
  <c r="M111" i="11"/>
  <c r="L111" i="11"/>
  <c r="K111" i="11"/>
  <c r="J111" i="11"/>
  <c r="I111" i="11"/>
  <c r="H111" i="11"/>
  <c r="AL110" i="11"/>
  <c r="AK110" i="11"/>
  <c r="AJ110" i="11"/>
  <c r="AI110" i="11"/>
  <c r="AH110" i="11"/>
  <c r="AG110" i="11"/>
  <c r="AF110" i="11"/>
  <c r="AE110" i="11"/>
  <c r="AD110" i="11"/>
  <c r="AC110" i="11"/>
  <c r="AB110" i="11"/>
  <c r="AA110" i="11"/>
  <c r="Z110" i="11"/>
  <c r="Y110" i="11"/>
  <c r="X110" i="11"/>
  <c r="W110" i="11"/>
  <c r="V110" i="11"/>
  <c r="U110" i="11"/>
  <c r="T110" i="11"/>
  <c r="S110" i="11"/>
  <c r="R110" i="11"/>
  <c r="Q110" i="11"/>
  <c r="P110" i="11"/>
  <c r="O110" i="11"/>
  <c r="N110" i="11"/>
  <c r="M110" i="11"/>
  <c r="L110" i="11"/>
  <c r="K110" i="11"/>
  <c r="J110" i="11"/>
  <c r="I110" i="11"/>
  <c r="H110" i="11"/>
  <c r="AL109" i="11"/>
  <c r="AK109" i="11"/>
  <c r="AJ109" i="11"/>
  <c r="AI109" i="11"/>
  <c r="AH109" i="11"/>
  <c r="AG109" i="11"/>
  <c r="AF109" i="11"/>
  <c r="AE109" i="11"/>
  <c r="AD109" i="11"/>
  <c r="AC109" i="11"/>
  <c r="AB109" i="11"/>
  <c r="AA109" i="11"/>
  <c r="Z109" i="11"/>
  <c r="Y109" i="11"/>
  <c r="X109" i="11"/>
  <c r="W109" i="11"/>
  <c r="V109" i="11"/>
  <c r="U109" i="11"/>
  <c r="T109" i="11"/>
  <c r="S109" i="11"/>
  <c r="R109" i="11"/>
  <c r="Q109" i="11"/>
  <c r="P109" i="11"/>
  <c r="O109" i="11"/>
  <c r="N109" i="11"/>
  <c r="M109" i="11"/>
  <c r="L109" i="11"/>
  <c r="K109" i="11"/>
  <c r="J109" i="11"/>
  <c r="I109" i="11"/>
  <c r="H109" i="11"/>
  <c r="AL108" i="11"/>
  <c r="AK108" i="11"/>
  <c r="AJ108" i="11"/>
  <c r="AI108" i="11"/>
  <c r="AH108" i="11"/>
  <c r="AG108" i="11"/>
  <c r="AF108" i="11"/>
  <c r="AE108" i="11"/>
  <c r="AD108" i="11"/>
  <c r="AC108" i="11"/>
  <c r="AB108" i="11"/>
  <c r="AA108" i="11"/>
  <c r="Z108" i="11"/>
  <c r="Y108" i="11"/>
  <c r="X108" i="11"/>
  <c r="W108" i="11"/>
  <c r="V108" i="11"/>
  <c r="U108" i="11"/>
  <c r="T108" i="11"/>
  <c r="S108" i="11"/>
  <c r="R108" i="11"/>
  <c r="Q108" i="11"/>
  <c r="P108" i="11"/>
  <c r="O108" i="11"/>
  <c r="N108" i="11"/>
  <c r="M108" i="11"/>
  <c r="L108" i="11"/>
  <c r="K108" i="11"/>
  <c r="J108" i="11"/>
  <c r="I108" i="11"/>
  <c r="H108" i="11"/>
  <c r="AJ107" i="11"/>
  <c r="AI107" i="11"/>
  <c r="AH107" i="11"/>
  <c r="AG107" i="11"/>
  <c r="AF107" i="11"/>
  <c r="AE107" i="11"/>
  <c r="AD107" i="11"/>
  <c r="AC107" i="11"/>
  <c r="AB107" i="11"/>
  <c r="AA107" i="11"/>
  <c r="Z107" i="11"/>
  <c r="Y107" i="11"/>
  <c r="X107" i="11"/>
  <c r="W107" i="11"/>
  <c r="V107" i="11"/>
  <c r="U107" i="11"/>
  <c r="T107" i="11"/>
  <c r="S107" i="11"/>
  <c r="R107" i="11"/>
  <c r="Q107" i="11"/>
  <c r="P107" i="11"/>
  <c r="O107" i="11"/>
  <c r="N107" i="11"/>
  <c r="M107" i="11"/>
  <c r="L107" i="11"/>
  <c r="K107" i="11"/>
  <c r="J107" i="11"/>
  <c r="I107" i="11"/>
  <c r="H107" i="11"/>
  <c r="AL106" i="11"/>
  <c r="AK106" i="11"/>
  <c r="AJ106" i="11"/>
  <c r="AI106" i="11"/>
  <c r="AH106" i="11"/>
  <c r="AG106" i="11"/>
  <c r="AF106" i="11"/>
  <c r="AE106" i="11"/>
  <c r="AD106" i="11"/>
  <c r="AC106" i="11"/>
  <c r="AB106" i="11"/>
  <c r="AA106" i="11"/>
  <c r="Z106" i="11"/>
  <c r="Y106" i="11"/>
  <c r="X106" i="11"/>
  <c r="W106" i="11"/>
  <c r="V106" i="11"/>
  <c r="U106" i="11"/>
  <c r="T106" i="11"/>
  <c r="S106" i="11"/>
  <c r="R106" i="11"/>
  <c r="Q106" i="11"/>
  <c r="P106" i="11"/>
  <c r="O106" i="11"/>
  <c r="N106" i="11"/>
  <c r="M106" i="11"/>
  <c r="L106" i="11"/>
  <c r="K106" i="11"/>
  <c r="J106" i="11"/>
  <c r="I106" i="11"/>
  <c r="H106" i="11"/>
  <c r="AL105" i="11"/>
  <c r="AK105" i="11"/>
  <c r="AJ105" i="11"/>
  <c r="AI105" i="11"/>
  <c r="AH105" i="11"/>
  <c r="AG105" i="11"/>
  <c r="AF105" i="11"/>
  <c r="AE105" i="11"/>
  <c r="AD105" i="11"/>
  <c r="AC105" i="11"/>
  <c r="AB105" i="11"/>
  <c r="AA105" i="11"/>
  <c r="Z105" i="11"/>
  <c r="Y105" i="11"/>
  <c r="X105" i="11"/>
  <c r="W105" i="11"/>
  <c r="V105" i="11"/>
  <c r="U105" i="11"/>
  <c r="T105" i="11"/>
  <c r="S105" i="11"/>
  <c r="R105" i="11"/>
  <c r="Q105" i="11"/>
  <c r="P105" i="11"/>
  <c r="O105" i="11"/>
  <c r="N105" i="11"/>
  <c r="M105" i="11"/>
  <c r="L105" i="11"/>
  <c r="K105" i="11"/>
  <c r="J105" i="11"/>
  <c r="I105" i="11"/>
  <c r="H105" i="11"/>
  <c r="AL104" i="11"/>
  <c r="AK104" i="11"/>
  <c r="AJ104" i="11"/>
  <c r="AI104" i="11"/>
  <c r="AH104" i="11"/>
  <c r="AG104" i="11"/>
  <c r="AF104" i="11"/>
  <c r="AE104" i="11"/>
  <c r="AD104" i="11"/>
  <c r="AC104" i="11"/>
  <c r="AB104" i="11"/>
  <c r="AA104" i="11"/>
  <c r="Z104" i="11"/>
  <c r="Y104" i="11"/>
  <c r="X104" i="11"/>
  <c r="W104" i="11"/>
  <c r="V104" i="11"/>
  <c r="U104" i="11"/>
  <c r="T104" i="11"/>
  <c r="S104" i="11"/>
  <c r="R104" i="11"/>
  <c r="Q104" i="11"/>
  <c r="P104" i="11"/>
  <c r="O104" i="11"/>
  <c r="N104" i="11"/>
  <c r="M104" i="11"/>
  <c r="L104" i="11"/>
  <c r="K104" i="11"/>
  <c r="J104" i="11"/>
  <c r="I104" i="11"/>
  <c r="H104" i="11"/>
  <c r="AL103" i="11"/>
  <c r="AK103" i="11"/>
  <c r="AJ103" i="11"/>
  <c r="AI103" i="11"/>
  <c r="AH103" i="11"/>
  <c r="AG103" i="11"/>
  <c r="AF103" i="11"/>
  <c r="AE103" i="11"/>
  <c r="AD103" i="11"/>
  <c r="AC103" i="11"/>
  <c r="AB103" i="11"/>
  <c r="AA103" i="11"/>
  <c r="Z103" i="11"/>
  <c r="Y103" i="11"/>
  <c r="X103" i="11"/>
  <c r="W103" i="11"/>
  <c r="V103" i="11"/>
  <c r="U103" i="11"/>
  <c r="T103" i="11"/>
  <c r="S103" i="11"/>
  <c r="R103" i="11"/>
  <c r="Q103" i="11"/>
  <c r="P103" i="11"/>
  <c r="O103" i="11"/>
  <c r="N103" i="11"/>
  <c r="M103" i="11"/>
  <c r="L103" i="11"/>
  <c r="K103" i="11"/>
  <c r="J103" i="11"/>
  <c r="I103" i="11"/>
  <c r="H103" i="11"/>
  <c r="AN102" i="11"/>
  <c r="AM102" i="11"/>
  <c r="AL102" i="11"/>
  <c r="AK102" i="11"/>
  <c r="AJ102" i="11"/>
  <c r="AI102" i="11"/>
  <c r="AH102" i="11"/>
  <c r="AG102" i="11"/>
  <c r="AF102" i="11"/>
  <c r="AE102" i="11"/>
  <c r="AD102" i="11"/>
  <c r="AC102" i="11"/>
  <c r="AB102" i="11"/>
  <c r="AA102" i="11"/>
  <c r="Z102" i="11"/>
  <c r="Y102" i="11"/>
  <c r="X102" i="11"/>
  <c r="W102" i="11"/>
  <c r="V102" i="11"/>
  <c r="U102" i="11"/>
  <c r="T102" i="11"/>
  <c r="S102" i="11"/>
  <c r="R102" i="11"/>
  <c r="Q102" i="11"/>
  <c r="P102" i="11"/>
  <c r="O102" i="11"/>
  <c r="N102" i="11"/>
  <c r="M102" i="11"/>
  <c r="L102" i="11"/>
  <c r="K102" i="11"/>
  <c r="J102" i="11"/>
  <c r="I102" i="11"/>
  <c r="H102" i="11"/>
  <c r="AL101" i="11"/>
  <c r="AK101" i="11"/>
  <c r="AJ101" i="11"/>
  <c r="AI101" i="11"/>
  <c r="AH101" i="11"/>
  <c r="AG101" i="11"/>
  <c r="AF101" i="11"/>
  <c r="AE101" i="11"/>
  <c r="AD101" i="11"/>
  <c r="AC101" i="11"/>
  <c r="AB101" i="11"/>
  <c r="AA101" i="11"/>
  <c r="Z101" i="11"/>
  <c r="Y101" i="11"/>
  <c r="X101" i="11"/>
  <c r="W101" i="11"/>
  <c r="V101" i="11"/>
  <c r="U101" i="11"/>
  <c r="T101" i="11"/>
  <c r="S101" i="11"/>
  <c r="R101" i="11"/>
  <c r="Q101" i="11"/>
  <c r="P101" i="11"/>
  <c r="O101" i="11"/>
  <c r="N101" i="11"/>
  <c r="M101" i="11"/>
  <c r="L101" i="11"/>
  <c r="K101" i="11"/>
  <c r="J101" i="11"/>
  <c r="I101" i="11"/>
  <c r="H101" i="11"/>
  <c r="AL100" i="11"/>
  <c r="AK100" i="11"/>
  <c r="AJ100" i="11"/>
  <c r="AI100" i="11"/>
  <c r="AH100" i="11"/>
  <c r="AG100" i="11"/>
  <c r="AF100" i="11"/>
  <c r="AE100" i="11"/>
  <c r="AD100" i="11"/>
  <c r="AC100" i="11"/>
  <c r="AB100" i="11"/>
  <c r="AA100" i="11"/>
  <c r="Z100" i="11"/>
  <c r="Y100" i="11"/>
  <c r="X100" i="11"/>
  <c r="W100" i="11"/>
  <c r="V100" i="11"/>
  <c r="U100" i="11"/>
  <c r="T100" i="11"/>
  <c r="S100" i="11"/>
  <c r="R100" i="11"/>
  <c r="Q100" i="11"/>
  <c r="P100" i="11"/>
  <c r="O100" i="11"/>
  <c r="N100" i="11"/>
  <c r="M100" i="11"/>
  <c r="L100" i="11"/>
  <c r="K100" i="11"/>
  <c r="J100" i="11"/>
  <c r="I100" i="11"/>
  <c r="H100" i="11"/>
  <c r="AL99" i="11"/>
  <c r="AK99" i="11"/>
  <c r="AJ99" i="11"/>
  <c r="AI99" i="11"/>
  <c r="AH99" i="11"/>
  <c r="AG99" i="11"/>
  <c r="AF99" i="11"/>
  <c r="AE99" i="11"/>
  <c r="AD99" i="11"/>
  <c r="AC99" i="11"/>
  <c r="AB99" i="11"/>
  <c r="AA99" i="11"/>
  <c r="Z99" i="11"/>
  <c r="Y99" i="11"/>
  <c r="X99" i="11"/>
  <c r="W99" i="11"/>
  <c r="V99" i="11"/>
  <c r="U99" i="11"/>
  <c r="T99" i="11"/>
  <c r="S99" i="11"/>
  <c r="R99" i="11"/>
  <c r="Q99" i="11"/>
  <c r="P99" i="11"/>
  <c r="O99" i="11"/>
  <c r="N99" i="11"/>
  <c r="M99" i="11"/>
  <c r="L99" i="11"/>
  <c r="K99" i="11"/>
  <c r="J99" i="11"/>
  <c r="I99" i="11"/>
  <c r="H99" i="11"/>
  <c r="AL98" i="11"/>
  <c r="AK98" i="11"/>
  <c r="AJ98" i="11"/>
  <c r="AI98" i="11"/>
  <c r="AH98" i="11"/>
  <c r="AG98" i="11"/>
  <c r="AF98" i="11"/>
  <c r="AE98" i="11"/>
  <c r="AD98" i="11"/>
  <c r="AC98" i="11"/>
  <c r="AB98" i="11"/>
  <c r="AA98" i="11"/>
  <c r="Z98" i="11"/>
  <c r="Y98" i="11"/>
  <c r="X98" i="11"/>
  <c r="W98" i="11"/>
  <c r="V98" i="11"/>
  <c r="U98" i="11"/>
  <c r="T98" i="11"/>
  <c r="S98" i="11"/>
  <c r="R98" i="11"/>
  <c r="Q98" i="11"/>
  <c r="P98" i="11"/>
  <c r="O98" i="11"/>
  <c r="N98" i="11"/>
  <c r="M98" i="11"/>
  <c r="L98" i="11"/>
  <c r="K98" i="11"/>
  <c r="J98" i="11"/>
  <c r="I98" i="11"/>
  <c r="H98" i="11"/>
  <c r="AJ97" i="11"/>
  <c r="AI97" i="11"/>
  <c r="AH97" i="11"/>
  <c r="AG97" i="11"/>
  <c r="AF97" i="11"/>
  <c r="AE97" i="11"/>
  <c r="AD97" i="11"/>
  <c r="AC97" i="11"/>
  <c r="AB97" i="11"/>
  <c r="AA97" i="11"/>
  <c r="Z97" i="11"/>
  <c r="Y97" i="11"/>
  <c r="X97" i="11"/>
  <c r="W97" i="11"/>
  <c r="V97" i="11"/>
  <c r="U97" i="11"/>
  <c r="T97" i="11"/>
  <c r="S97" i="11"/>
  <c r="R97" i="11"/>
  <c r="Q97" i="11"/>
  <c r="P97" i="11"/>
  <c r="O97" i="11"/>
  <c r="N97" i="11"/>
  <c r="M97" i="11"/>
  <c r="L97" i="11"/>
  <c r="K97" i="11"/>
  <c r="J97" i="11"/>
  <c r="I97" i="11"/>
  <c r="H97" i="11"/>
  <c r="AG96" i="11"/>
  <c r="AB96" i="11"/>
  <c r="AA96" i="11"/>
  <c r="Z96" i="11"/>
  <c r="Y96" i="11"/>
  <c r="X96" i="11"/>
  <c r="W96" i="11"/>
  <c r="V96" i="11"/>
  <c r="U96" i="11"/>
  <c r="T96" i="11"/>
  <c r="S96" i="11"/>
  <c r="R96" i="11"/>
  <c r="Q96" i="11"/>
  <c r="P96" i="11"/>
  <c r="O96" i="11"/>
  <c r="N96" i="11"/>
  <c r="M96" i="11"/>
  <c r="L96" i="11"/>
  <c r="K96" i="11"/>
  <c r="J96" i="11"/>
  <c r="I96" i="11"/>
  <c r="H96" i="11"/>
  <c r="AG95" i="11"/>
  <c r="AB95" i="11"/>
  <c r="AA95" i="11"/>
  <c r="Z95" i="11"/>
  <c r="Y95" i="11"/>
  <c r="X95" i="11"/>
  <c r="W95" i="11"/>
  <c r="V95" i="11"/>
  <c r="U95" i="11"/>
  <c r="T95" i="11"/>
  <c r="S95" i="11"/>
  <c r="R95" i="11"/>
  <c r="Q95" i="11"/>
  <c r="P95" i="11"/>
  <c r="O95" i="11"/>
  <c r="N95" i="11"/>
  <c r="M95" i="11"/>
  <c r="L95" i="11"/>
  <c r="K95" i="11"/>
  <c r="J95" i="11"/>
  <c r="I95" i="11"/>
  <c r="H95" i="11"/>
  <c r="AL94" i="11"/>
  <c r="AK94" i="11"/>
  <c r="AJ94" i="11"/>
  <c r="AI94" i="11"/>
  <c r="AH94" i="11"/>
  <c r="AG94" i="11"/>
  <c r="AF94" i="11"/>
  <c r="AE94" i="11"/>
  <c r="AD94" i="11"/>
  <c r="AC94" i="11"/>
  <c r="AB94" i="11"/>
  <c r="AA94" i="11"/>
  <c r="Z94" i="11"/>
  <c r="Y94" i="11"/>
  <c r="X94" i="11"/>
  <c r="W94" i="11"/>
  <c r="V94" i="11"/>
  <c r="U94" i="11"/>
  <c r="T94" i="11"/>
  <c r="S94" i="11"/>
  <c r="R94" i="11"/>
  <c r="Q94" i="11"/>
  <c r="P94" i="11"/>
  <c r="O94" i="11"/>
  <c r="N94" i="11"/>
  <c r="M94" i="11"/>
  <c r="L94" i="11"/>
  <c r="K94" i="11"/>
  <c r="J94" i="11"/>
  <c r="I94" i="11"/>
  <c r="H94" i="11"/>
  <c r="AL93" i="11"/>
  <c r="AK93" i="11"/>
  <c r="AJ93" i="11"/>
  <c r="AI93" i="11"/>
  <c r="AH93" i="11"/>
  <c r="AG93" i="11"/>
  <c r="AF93" i="11"/>
  <c r="AE93" i="11"/>
  <c r="AD93" i="11"/>
  <c r="AC93" i="11"/>
  <c r="AB93" i="11"/>
  <c r="AA93" i="11"/>
  <c r="Z93" i="11"/>
  <c r="Y93" i="11"/>
  <c r="X93" i="11"/>
  <c r="W93" i="11"/>
  <c r="V93" i="11"/>
  <c r="U93" i="11"/>
  <c r="T93" i="11"/>
  <c r="S93" i="11"/>
  <c r="R93" i="11"/>
  <c r="Q93" i="11"/>
  <c r="P93" i="11"/>
  <c r="O93" i="11"/>
  <c r="N93" i="11"/>
  <c r="M93" i="11"/>
  <c r="L93" i="11"/>
  <c r="K93" i="11"/>
  <c r="J93" i="11"/>
  <c r="I93" i="11"/>
  <c r="H93" i="11"/>
  <c r="AL92" i="11"/>
  <c r="AK92" i="11"/>
  <c r="AJ92" i="11"/>
  <c r="AI92" i="11"/>
  <c r="AH92" i="11"/>
  <c r="AG92" i="11"/>
  <c r="AF92" i="11"/>
  <c r="AE92" i="11"/>
  <c r="AD92" i="11"/>
  <c r="AC92" i="11"/>
  <c r="AB92" i="11"/>
  <c r="AA92" i="11"/>
  <c r="Z92" i="11"/>
  <c r="Y92" i="11"/>
  <c r="X92" i="11"/>
  <c r="W92" i="11"/>
  <c r="V92" i="11"/>
  <c r="U92" i="11"/>
  <c r="T92" i="11"/>
  <c r="S92" i="11"/>
  <c r="R92" i="11"/>
  <c r="Q92" i="11"/>
  <c r="P92" i="11"/>
  <c r="O92" i="11"/>
  <c r="N92" i="11"/>
  <c r="M92" i="11"/>
  <c r="L92" i="11"/>
  <c r="K92" i="11"/>
  <c r="J92" i="11"/>
  <c r="I92" i="11"/>
  <c r="H92" i="11"/>
  <c r="AL91" i="11"/>
  <c r="AK91" i="11"/>
  <c r="AJ91" i="11"/>
  <c r="AI91" i="11"/>
  <c r="AH91" i="11"/>
  <c r="AG91" i="11"/>
  <c r="AF91" i="11"/>
  <c r="AE91" i="11"/>
  <c r="AD91" i="11"/>
  <c r="AC91" i="11"/>
  <c r="AB91" i="11"/>
  <c r="AA91" i="11"/>
  <c r="Z91" i="11"/>
  <c r="Y91" i="11"/>
  <c r="X91" i="11"/>
  <c r="W91" i="11"/>
  <c r="V91" i="11"/>
  <c r="U91" i="11"/>
  <c r="T91" i="11"/>
  <c r="S91" i="11"/>
  <c r="R91" i="11"/>
  <c r="Q91" i="11"/>
  <c r="P91" i="11"/>
  <c r="O91" i="11"/>
  <c r="N91" i="11"/>
  <c r="M91" i="11"/>
  <c r="L91" i="11"/>
  <c r="K91" i="11"/>
  <c r="J91" i="11"/>
  <c r="I91" i="11"/>
  <c r="H91" i="11"/>
  <c r="AJ90" i="11"/>
  <c r="AI90" i="11"/>
  <c r="AH90" i="11"/>
  <c r="AG90" i="11"/>
  <c r="AF90" i="11"/>
  <c r="AE90" i="11"/>
  <c r="AD90" i="11"/>
  <c r="AC90" i="11"/>
  <c r="AB90" i="11"/>
  <c r="AA90" i="11"/>
  <c r="Z90" i="11"/>
  <c r="Y90" i="11"/>
  <c r="X90" i="11"/>
  <c r="W90" i="11"/>
  <c r="V90" i="11"/>
  <c r="U90" i="11"/>
  <c r="T90" i="11"/>
  <c r="S90" i="11"/>
  <c r="R90" i="11"/>
  <c r="Q90" i="11"/>
  <c r="P90" i="11"/>
  <c r="O90" i="11"/>
  <c r="N90" i="11"/>
  <c r="M90" i="11"/>
  <c r="L90" i="11"/>
  <c r="K90" i="11"/>
  <c r="J90" i="11"/>
  <c r="I90" i="11"/>
  <c r="H90" i="11"/>
  <c r="AL89" i="11"/>
  <c r="AK89" i="11"/>
  <c r="AJ89" i="11"/>
  <c r="AI89" i="11"/>
  <c r="AH89" i="11"/>
  <c r="AG89" i="11"/>
  <c r="AF89" i="11"/>
  <c r="AE89" i="11"/>
  <c r="AD89" i="11"/>
  <c r="AC89" i="11"/>
  <c r="AB89" i="11"/>
  <c r="AA89" i="11"/>
  <c r="Z89" i="11"/>
  <c r="Y89" i="11"/>
  <c r="X89" i="11"/>
  <c r="W89" i="11"/>
  <c r="V89" i="11"/>
  <c r="U89" i="11"/>
  <c r="T89" i="11"/>
  <c r="S89" i="11"/>
  <c r="R89" i="11"/>
  <c r="Q89" i="11"/>
  <c r="P89" i="11"/>
  <c r="O89" i="11"/>
  <c r="N89" i="11"/>
  <c r="M89" i="11"/>
  <c r="L89" i="11"/>
  <c r="K89" i="11"/>
  <c r="J89" i="11"/>
  <c r="I89" i="11"/>
  <c r="H89" i="11"/>
  <c r="AH88" i="11"/>
  <c r="AG88" i="11"/>
  <c r="AB88" i="11"/>
  <c r="AA88" i="11"/>
  <c r="Z88" i="11"/>
  <c r="Y88" i="11"/>
  <c r="X88" i="11"/>
  <c r="W88" i="11"/>
  <c r="V88" i="11"/>
  <c r="U88" i="11"/>
  <c r="T88" i="11"/>
  <c r="S88" i="11"/>
  <c r="R88" i="11"/>
  <c r="Q88" i="11"/>
  <c r="P88" i="11"/>
  <c r="O88" i="11"/>
  <c r="N88" i="11"/>
  <c r="M88" i="11"/>
  <c r="L88" i="11"/>
  <c r="K88" i="11"/>
  <c r="J88" i="11"/>
  <c r="I88" i="11"/>
  <c r="H88" i="11"/>
  <c r="AJ87" i="11"/>
  <c r="AI87" i="11"/>
  <c r="AH87" i="11"/>
  <c r="AG87" i="11"/>
  <c r="AF87" i="11"/>
  <c r="AE87" i="11"/>
  <c r="AD87" i="11"/>
  <c r="AC87" i="11"/>
  <c r="AB87" i="11"/>
  <c r="AA87" i="11"/>
  <c r="Z87" i="11"/>
  <c r="Y87" i="11"/>
  <c r="X87" i="11"/>
  <c r="W87" i="11"/>
  <c r="V87" i="11"/>
  <c r="U87" i="11"/>
  <c r="T87" i="11"/>
  <c r="S87" i="11"/>
  <c r="R87" i="11"/>
  <c r="Q87" i="11"/>
  <c r="P87" i="11"/>
  <c r="O87" i="11"/>
  <c r="N87" i="11"/>
  <c r="M87" i="11"/>
  <c r="L87" i="11"/>
  <c r="K87" i="11"/>
  <c r="J87" i="11"/>
  <c r="I87" i="11"/>
  <c r="H87" i="11"/>
  <c r="AL86" i="11"/>
  <c r="AK86" i="11"/>
  <c r="AJ86" i="11"/>
  <c r="AI86" i="11"/>
  <c r="AH86" i="11"/>
  <c r="AG86" i="11"/>
  <c r="AF86" i="11"/>
  <c r="AE86" i="11"/>
  <c r="AD86" i="11"/>
  <c r="AC86" i="11"/>
  <c r="AB86" i="11"/>
  <c r="AA86" i="11"/>
  <c r="Z86" i="11"/>
  <c r="Y86" i="11"/>
  <c r="X86" i="11"/>
  <c r="W86" i="11"/>
  <c r="V86" i="11"/>
  <c r="U86" i="11"/>
  <c r="T86" i="11"/>
  <c r="S86" i="11"/>
  <c r="R86" i="11"/>
  <c r="Q86" i="11"/>
  <c r="P86" i="11"/>
  <c r="O86" i="11"/>
  <c r="N86" i="11"/>
  <c r="M86" i="11"/>
  <c r="L86" i="11"/>
  <c r="K86" i="11"/>
  <c r="J86" i="11"/>
  <c r="I86" i="11"/>
  <c r="H86" i="11"/>
  <c r="AL85" i="11"/>
  <c r="AK85" i="11"/>
  <c r="AJ85" i="11"/>
  <c r="AI85" i="11"/>
  <c r="AH85" i="11"/>
  <c r="AG85" i="11"/>
  <c r="AF85" i="11"/>
  <c r="AE85" i="11"/>
  <c r="AD85" i="11"/>
  <c r="AC85" i="11"/>
  <c r="AB85" i="11"/>
  <c r="AA85" i="11"/>
  <c r="Z85" i="11"/>
  <c r="Y85" i="11"/>
  <c r="X85" i="11"/>
  <c r="W85" i="11"/>
  <c r="V85" i="11"/>
  <c r="U85" i="11"/>
  <c r="T85" i="11"/>
  <c r="S85" i="11"/>
  <c r="R85" i="11"/>
  <c r="Q85" i="11"/>
  <c r="P85" i="11"/>
  <c r="O85" i="11"/>
  <c r="N85" i="11"/>
  <c r="M85" i="11"/>
  <c r="L85" i="11"/>
  <c r="K85" i="11"/>
  <c r="J85" i="11"/>
  <c r="I85" i="11"/>
  <c r="H85" i="11"/>
  <c r="AG84" i="11"/>
  <c r="AB84" i="11"/>
  <c r="AA84" i="11"/>
  <c r="Z84" i="11"/>
  <c r="Y84" i="11"/>
  <c r="X84" i="11"/>
  <c r="W84" i="11"/>
  <c r="V84" i="11"/>
  <c r="U84" i="11"/>
  <c r="T84" i="11"/>
  <c r="S84" i="11"/>
  <c r="R84" i="11"/>
  <c r="Q84" i="11"/>
  <c r="P84" i="11"/>
  <c r="O84" i="11"/>
  <c r="N84" i="11"/>
  <c r="M84" i="11"/>
  <c r="L84" i="11"/>
  <c r="K84" i="11"/>
  <c r="J84" i="11"/>
  <c r="I84" i="11"/>
  <c r="H84" i="11"/>
  <c r="AG83" i="11"/>
  <c r="AF83" i="11"/>
  <c r="AD83" i="11"/>
  <c r="AC83" i="11"/>
  <c r="AB83" i="11"/>
  <c r="AA83" i="11"/>
  <c r="Z83" i="11"/>
  <c r="Y83" i="11"/>
  <c r="X83" i="11"/>
  <c r="W83" i="11"/>
  <c r="V83" i="11"/>
  <c r="U83" i="11"/>
  <c r="T83" i="11"/>
  <c r="S83" i="11"/>
  <c r="R83" i="11"/>
  <c r="Q83" i="11"/>
  <c r="P83" i="11"/>
  <c r="O83" i="11"/>
  <c r="N83" i="11"/>
  <c r="M83" i="11"/>
  <c r="L83" i="11"/>
  <c r="K83" i="11"/>
  <c r="J83" i="11"/>
  <c r="I83" i="11"/>
  <c r="H83" i="11"/>
  <c r="AJ82" i="11"/>
  <c r="AI82" i="11"/>
  <c r="AH82" i="11"/>
  <c r="AG82" i="11"/>
  <c r="AF82" i="11"/>
  <c r="AE82" i="11"/>
  <c r="AD82" i="11"/>
  <c r="AC82" i="11"/>
  <c r="AB82" i="11"/>
  <c r="AA82" i="11"/>
  <c r="Z82" i="11"/>
  <c r="Y82" i="11"/>
  <c r="X82" i="11"/>
  <c r="W82" i="11"/>
  <c r="V82" i="11"/>
  <c r="U82" i="11"/>
  <c r="T82" i="11"/>
  <c r="S82" i="11"/>
  <c r="R82" i="11"/>
  <c r="Q82" i="11"/>
  <c r="P82" i="11"/>
  <c r="O82" i="11"/>
  <c r="N82" i="11"/>
  <c r="M82" i="11"/>
  <c r="L82" i="11"/>
  <c r="K82" i="11"/>
  <c r="J82" i="11"/>
  <c r="I82" i="11"/>
  <c r="H82" i="11"/>
  <c r="AJ81" i="11"/>
  <c r="AI81" i="11"/>
  <c r="AH81" i="11"/>
  <c r="AG81" i="11"/>
  <c r="AF81" i="11"/>
  <c r="AE81" i="11"/>
  <c r="AD81" i="11"/>
  <c r="AC81" i="11"/>
  <c r="AB81" i="11"/>
  <c r="AA81" i="11"/>
  <c r="Z81" i="11"/>
  <c r="Y81" i="11"/>
  <c r="X81" i="11"/>
  <c r="W81" i="11"/>
  <c r="V81" i="11"/>
  <c r="U81" i="11"/>
  <c r="T81" i="11"/>
  <c r="S81" i="11"/>
  <c r="R81" i="11"/>
  <c r="Q81" i="11"/>
  <c r="P81" i="11"/>
  <c r="O81" i="11"/>
  <c r="N81" i="11"/>
  <c r="M81" i="11"/>
  <c r="L81" i="11"/>
  <c r="K81" i="11"/>
  <c r="J81" i="11"/>
  <c r="I81" i="11"/>
  <c r="H81" i="11"/>
  <c r="AH80" i="11"/>
  <c r="AG80" i="11"/>
  <c r="AF80" i="11"/>
  <c r="AE80" i="11"/>
  <c r="AD80" i="11"/>
  <c r="AC80" i="11"/>
  <c r="AB80" i="11"/>
  <c r="AA80" i="11"/>
  <c r="Z80" i="11"/>
  <c r="Y80" i="11"/>
  <c r="X80" i="11"/>
  <c r="W80" i="11"/>
  <c r="V80" i="11"/>
  <c r="U80" i="11"/>
  <c r="T80" i="11"/>
  <c r="S80" i="11"/>
  <c r="R80" i="11"/>
  <c r="Q80" i="11"/>
  <c r="P80" i="11"/>
  <c r="O80" i="11"/>
  <c r="N80" i="11"/>
  <c r="M80" i="11"/>
  <c r="L80" i="11"/>
  <c r="K80" i="11"/>
  <c r="J80" i="11"/>
  <c r="I80" i="11"/>
  <c r="H80" i="11"/>
  <c r="AH79" i="11"/>
  <c r="AG79" i="11"/>
  <c r="AF79" i="11"/>
  <c r="AE79" i="11"/>
  <c r="AD79" i="11"/>
  <c r="AC79" i="11"/>
  <c r="AB79" i="11"/>
  <c r="AA79" i="11"/>
  <c r="Z79" i="11"/>
  <c r="Y79" i="11"/>
  <c r="X79" i="11"/>
  <c r="W79" i="11"/>
  <c r="V79" i="11"/>
  <c r="U79" i="11"/>
  <c r="T79" i="11"/>
  <c r="S79" i="11"/>
  <c r="R79" i="11"/>
  <c r="Q79" i="11"/>
  <c r="P79" i="11"/>
  <c r="O79" i="11"/>
  <c r="N79" i="11"/>
  <c r="M79" i="11"/>
  <c r="L79" i="11"/>
  <c r="K79" i="11"/>
  <c r="J79" i="11"/>
  <c r="I79" i="11"/>
  <c r="H79" i="11"/>
  <c r="AJ78" i="11"/>
  <c r="AI78" i="11"/>
  <c r="AH78" i="11"/>
  <c r="AG78" i="11"/>
  <c r="AF78" i="11"/>
  <c r="AE78" i="11"/>
  <c r="AD78" i="11"/>
  <c r="AC78" i="11"/>
  <c r="AB78" i="11"/>
  <c r="AA78" i="11"/>
  <c r="Z78" i="11"/>
  <c r="Y78" i="11"/>
  <c r="X78" i="11"/>
  <c r="W78" i="11"/>
  <c r="V78" i="11"/>
  <c r="U78" i="11"/>
  <c r="T78" i="11"/>
  <c r="S78" i="11"/>
  <c r="R78" i="11"/>
  <c r="Q78" i="11"/>
  <c r="P78" i="11"/>
  <c r="O78" i="11"/>
  <c r="N78" i="11"/>
  <c r="M78" i="11"/>
  <c r="L78" i="11"/>
  <c r="K78" i="11"/>
  <c r="J78" i="11"/>
  <c r="I78" i="11"/>
  <c r="H78" i="11"/>
  <c r="AJ77" i="11"/>
  <c r="AI77" i="11"/>
  <c r="AH77" i="11"/>
  <c r="AG77" i="11"/>
  <c r="AF77" i="11"/>
  <c r="AE77" i="11"/>
  <c r="AD77" i="11"/>
  <c r="AC77" i="11"/>
  <c r="AB77" i="11"/>
  <c r="AA77" i="11"/>
  <c r="Z77" i="11"/>
  <c r="Y77" i="11"/>
  <c r="X77" i="11"/>
  <c r="W77" i="11"/>
  <c r="V77" i="11"/>
  <c r="U77" i="11"/>
  <c r="T77" i="11"/>
  <c r="S77" i="11"/>
  <c r="R77" i="11"/>
  <c r="Q77" i="11"/>
  <c r="P77" i="11"/>
  <c r="O77" i="11"/>
  <c r="N77" i="11"/>
  <c r="M77" i="11"/>
  <c r="L77" i="11"/>
  <c r="K77" i="11"/>
  <c r="J77" i="11"/>
  <c r="I77" i="11"/>
  <c r="H77" i="11"/>
  <c r="AJ76" i="11"/>
  <c r="AI76" i="11"/>
  <c r="AH76" i="11"/>
  <c r="AG76" i="11"/>
  <c r="AF76" i="11"/>
  <c r="AE76" i="11"/>
  <c r="AD76" i="11"/>
  <c r="AC76" i="11"/>
  <c r="AB76" i="11"/>
  <c r="AA76" i="11"/>
  <c r="Z76" i="11"/>
  <c r="Y76" i="11"/>
  <c r="X76" i="11"/>
  <c r="W76" i="11"/>
  <c r="V76" i="11"/>
  <c r="U76" i="11"/>
  <c r="T76" i="11"/>
  <c r="S76" i="11"/>
  <c r="R76" i="11"/>
  <c r="Q76" i="11"/>
  <c r="P76" i="11"/>
  <c r="O76" i="11"/>
  <c r="N76" i="11"/>
  <c r="M76" i="11"/>
  <c r="L76" i="11"/>
  <c r="K76" i="11"/>
  <c r="J76" i="11"/>
  <c r="I76" i="11"/>
  <c r="H76" i="11"/>
  <c r="AJ75" i="11"/>
  <c r="AI75" i="11"/>
  <c r="AH75" i="11"/>
  <c r="AG75" i="11"/>
  <c r="AF75" i="11"/>
  <c r="AE75" i="11"/>
  <c r="AD75" i="11"/>
  <c r="AC75" i="11"/>
  <c r="AB75" i="11"/>
  <c r="AA75" i="11"/>
  <c r="Z75" i="11"/>
  <c r="Y75" i="11"/>
  <c r="X75" i="11"/>
  <c r="W75" i="11"/>
  <c r="V75" i="11"/>
  <c r="U75" i="11"/>
  <c r="T75" i="11"/>
  <c r="S75" i="11"/>
  <c r="R75" i="11"/>
  <c r="Q75" i="11"/>
  <c r="P75" i="11"/>
  <c r="O75" i="11"/>
  <c r="N75" i="11"/>
  <c r="M75" i="11"/>
  <c r="L75" i="11"/>
  <c r="K75" i="11"/>
  <c r="J75" i="11"/>
  <c r="I75" i="11"/>
  <c r="H75" i="11"/>
  <c r="AJ74" i="11"/>
  <c r="AI74" i="11"/>
  <c r="AH74" i="11"/>
  <c r="AG74" i="11"/>
  <c r="AF74" i="11"/>
  <c r="AE74" i="11"/>
  <c r="AD74" i="11"/>
  <c r="AC74" i="11"/>
  <c r="AB74" i="11"/>
  <c r="AA74" i="11"/>
  <c r="Z74" i="11"/>
  <c r="Y74" i="11"/>
  <c r="X74" i="11"/>
  <c r="W74" i="11"/>
  <c r="V74" i="11"/>
  <c r="U74" i="11"/>
  <c r="T74" i="11"/>
  <c r="S74" i="11"/>
  <c r="R74" i="11"/>
  <c r="Q74" i="11"/>
  <c r="P74" i="11"/>
  <c r="O74" i="11"/>
  <c r="N74" i="11"/>
  <c r="M74" i="11"/>
  <c r="L74" i="11"/>
  <c r="K74" i="11"/>
  <c r="J74" i="11"/>
  <c r="I74" i="11"/>
  <c r="H74" i="11"/>
  <c r="AL73" i="11"/>
  <c r="AK73" i="11"/>
  <c r="AJ73" i="11"/>
  <c r="AI73" i="11"/>
  <c r="AH73" i="11"/>
  <c r="AG73" i="11"/>
  <c r="AF73" i="11"/>
  <c r="AE73" i="11"/>
  <c r="AD73" i="11"/>
  <c r="AC73" i="11"/>
  <c r="AB73" i="11"/>
  <c r="AA73" i="11"/>
  <c r="Z73" i="11"/>
  <c r="Y73" i="11"/>
  <c r="X73" i="11"/>
  <c r="W73" i="11"/>
  <c r="V73" i="11"/>
  <c r="U73" i="11"/>
  <c r="T73" i="11"/>
  <c r="S73" i="11"/>
  <c r="R73" i="11"/>
  <c r="Q73" i="11"/>
  <c r="P73" i="11"/>
  <c r="O73" i="11"/>
  <c r="N73" i="11"/>
  <c r="M73" i="11"/>
  <c r="L73" i="11"/>
  <c r="K73" i="11"/>
  <c r="J73" i="11"/>
  <c r="I73" i="11"/>
  <c r="H73" i="11"/>
  <c r="AL72" i="11"/>
  <c r="AK72" i="11"/>
  <c r="AJ72" i="11"/>
  <c r="AI72" i="11"/>
  <c r="AH72" i="11"/>
  <c r="AG72" i="11"/>
  <c r="AF72" i="11"/>
  <c r="AE72" i="11"/>
  <c r="AD72" i="11"/>
  <c r="AC72" i="11"/>
  <c r="AB72" i="11"/>
  <c r="AA72" i="11"/>
  <c r="Z72" i="11"/>
  <c r="Y72" i="11"/>
  <c r="X72" i="11"/>
  <c r="W72" i="11"/>
  <c r="V72" i="11"/>
  <c r="U72" i="11"/>
  <c r="T72" i="11"/>
  <c r="S72" i="11"/>
  <c r="R72" i="11"/>
  <c r="Q72" i="11"/>
  <c r="P72" i="11"/>
  <c r="O72" i="11"/>
  <c r="N72" i="11"/>
  <c r="M72" i="11"/>
  <c r="L72" i="11"/>
  <c r="K72" i="11"/>
  <c r="J72" i="11"/>
  <c r="I72" i="11"/>
  <c r="H72" i="11"/>
  <c r="AL71" i="11"/>
  <c r="AK71" i="11"/>
  <c r="AJ71" i="11"/>
  <c r="AI71" i="11"/>
  <c r="AH71" i="11"/>
  <c r="AG71" i="11"/>
  <c r="AF71" i="11"/>
  <c r="AE71" i="11"/>
  <c r="AD71" i="11"/>
  <c r="AC71" i="11"/>
  <c r="AB71" i="11"/>
  <c r="AA71" i="11"/>
  <c r="Z71" i="11"/>
  <c r="Y71" i="11"/>
  <c r="X71" i="11"/>
  <c r="W71" i="11"/>
  <c r="V71" i="11"/>
  <c r="U71" i="11"/>
  <c r="T71" i="11"/>
  <c r="S71" i="11"/>
  <c r="R71" i="11"/>
  <c r="Q71" i="11"/>
  <c r="P71" i="11"/>
  <c r="O71" i="11"/>
  <c r="N71" i="11"/>
  <c r="M71" i="11"/>
  <c r="L71" i="11"/>
  <c r="K71" i="11"/>
  <c r="J71" i="11"/>
  <c r="I71" i="11"/>
  <c r="H71" i="11"/>
  <c r="AL70" i="11"/>
  <c r="AK70" i="11"/>
  <c r="AJ70" i="11"/>
  <c r="AI70" i="11"/>
  <c r="AH70" i="11"/>
  <c r="AG70" i="11"/>
  <c r="AF70" i="11"/>
  <c r="AE70" i="11"/>
  <c r="AD70" i="11"/>
  <c r="AC70" i="11"/>
  <c r="AB70" i="11"/>
  <c r="AA70" i="11"/>
  <c r="Z70" i="11"/>
  <c r="Y70" i="11"/>
  <c r="X70" i="11"/>
  <c r="W70" i="11"/>
  <c r="V70" i="11"/>
  <c r="U70" i="11"/>
  <c r="T70" i="11"/>
  <c r="S70" i="11"/>
  <c r="R70" i="11"/>
  <c r="Q70" i="11"/>
  <c r="P70" i="11"/>
  <c r="O70" i="11"/>
  <c r="N70" i="11"/>
  <c r="M70" i="11"/>
  <c r="L70" i="11"/>
  <c r="K70" i="11"/>
  <c r="J70" i="11"/>
  <c r="I70" i="11"/>
  <c r="H70" i="11"/>
  <c r="AL69" i="11"/>
  <c r="AK69" i="11"/>
  <c r="AJ69" i="11"/>
  <c r="AI69" i="11"/>
  <c r="AH69" i="11"/>
  <c r="AG69" i="11"/>
  <c r="AF69" i="11"/>
  <c r="AE69" i="11"/>
  <c r="AD69" i="11"/>
  <c r="AC69" i="11"/>
  <c r="AB69" i="11"/>
  <c r="AA69" i="11"/>
  <c r="Z69" i="11"/>
  <c r="Y69" i="11"/>
  <c r="X69" i="11"/>
  <c r="W69" i="11"/>
  <c r="V69" i="11"/>
  <c r="U69" i="11"/>
  <c r="T69" i="11"/>
  <c r="S69" i="11"/>
  <c r="R69" i="11"/>
  <c r="Q69" i="11"/>
  <c r="P69" i="11"/>
  <c r="O69" i="11"/>
  <c r="N69" i="11"/>
  <c r="M69" i="11"/>
  <c r="L69" i="11"/>
  <c r="K69" i="11"/>
  <c r="J69" i="11"/>
  <c r="I69" i="11"/>
  <c r="H69" i="11"/>
  <c r="AJ68" i="11"/>
  <c r="AI68" i="11"/>
  <c r="AH68" i="11"/>
  <c r="AG68" i="11"/>
  <c r="AF68" i="11"/>
  <c r="AE68" i="11"/>
  <c r="AD68" i="11"/>
  <c r="AC68" i="11"/>
  <c r="AB68" i="11"/>
  <c r="AA68" i="11"/>
  <c r="Z68" i="11"/>
  <c r="Y68" i="11"/>
  <c r="X68" i="11"/>
  <c r="W68" i="11"/>
  <c r="V68" i="11"/>
  <c r="U68" i="11"/>
  <c r="T68" i="11"/>
  <c r="S68" i="11"/>
  <c r="R68" i="11"/>
  <c r="Q68" i="11"/>
  <c r="P68" i="11"/>
  <c r="O68" i="11"/>
  <c r="N68" i="11"/>
  <c r="M68" i="11"/>
  <c r="L68" i="11"/>
  <c r="K68" i="11"/>
  <c r="J68" i="11"/>
  <c r="I68" i="11"/>
  <c r="H68" i="11"/>
  <c r="AL67" i="11"/>
  <c r="AK67" i="11"/>
  <c r="AJ67" i="11"/>
  <c r="AI67" i="11"/>
  <c r="AH67" i="11"/>
  <c r="AG67" i="11"/>
  <c r="AF67" i="11"/>
  <c r="AE67" i="11"/>
  <c r="AD67" i="11"/>
  <c r="AC67" i="11"/>
  <c r="AB67" i="11"/>
  <c r="AA67" i="11"/>
  <c r="Z67" i="11"/>
  <c r="Y67" i="11"/>
  <c r="X67" i="11"/>
  <c r="W67" i="11"/>
  <c r="V67" i="11"/>
  <c r="U67" i="11"/>
  <c r="T67" i="11"/>
  <c r="S67" i="11"/>
  <c r="R67" i="11"/>
  <c r="Q67" i="11"/>
  <c r="P67" i="11"/>
  <c r="O67" i="11"/>
  <c r="N67" i="11"/>
  <c r="M67" i="11"/>
  <c r="L67" i="11"/>
  <c r="K67" i="11"/>
  <c r="J67" i="11"/>
  <c r="I67" i="11"/>
  <c r="H67" i="11"/>
  <c r="AL66" i="11"/>
  <c r="AK66" i="11"/>
  <c r="AJ66" i="11"/>
  <c r="AI66" i="11"/>
  <c r="AH66" i="11"/>
  <c r="AG66" i="11"/>
  <c r="AF66" i="11"/>
  <c r="AE66" i="11"/>
  <c r="AD66" i="11"/>
  <c r="AC66" i="11"/>
  <c r="AB66" i="11"/>
  <c r="AA66" i="11"/>
  <c r="Z66" i="11"/>
  <c r="Y66" i="11"/>
  <c r="X66" i="11"/>
  <c r="W66" i="11"/>
  <c r="V66" i="11"/>
  <c r="U66" i="11"/>
  <c r="T66" i="11"/>
  <c r="S66" i="11"/>
  <c r="R66" i="11"/>
  <c r="Q66" i="11"/>
  <c r="P66" i="11"/>
  <c r="O66" i="11"/>
  <c r="N66" i="11"/>
  <c r="M66" i="11"/>
  <c r="L66" i="11"/>
  <c r="K66" i="11"/>
  <c r="J66" i="11"/>
  <c r="I66" i="11"/>
  <c r="H66" i="11"/>
  <c r="AL65" i="11"/>
  <c r="AK65" i="11"/>
  <c r="AJ65" i="11"/>
  <c r="AI65" i="11"/>
  <c r="AH65" i="11"/>
  <c r="AG65" i="11"/>
  <c r="AF65" i="11"/>
  <c r="AE65" i="11"/>
  <c r="AD65" i="11"/>
  <c r="AC65" i="11"/>
  <c r="AB65" i="11"/>
  <c r="AA65" i="11"/>
  <c r="Z65" i="11"/>
  <c r="Y65" i="11"/>
  <c r="X65" i="11"/>
  <c r="W65" i="11"/>
  <c r="V65" i="11"/>
  <c r="U65" i="11"/>
  <c r="T65" i="11"/>
  <c r="S65" i="11"/>
  <c r="R65" i="11"/>
  <c r="Q65" i="11"/>
  <c r="P65" i="11"/>
  <c r="O65" i="11"/>
  <c r="N65" i="11"/>
  <c r="M65" i="11"/>
  <c r="L65" i="11"/>
  <c r="K65" i="11"/>
  <c r="J65" i="11"/>
  <c r="I65" i="11"/>
  <c r="H65" i="11"/>
  <c r="AL64" i="11"/>
  <c r="AK64" i="11"/>
  <c r="AJ64" i="11"/>
  <c r="AI64" i="11"/>
  <c r="AH64" i="11"/>
  <c r="AG64" i="11"/>
  <c r="AF64" i="11"/>
  <c r="AE64" i="11"/>
  <c r="AD64" i="11"/>
  <c r="AC64" i="11"/>
  <c r="AB64" i="11"/>
  <c r="AA64" i="11"/>
  <c r="Z64" i="11"/>
  <c r="Y64" i="11"/>
  <c r="X64" i="11"/>
  <c r="W64" i="11"/>
  <c r="V64" i="11"/>
  <c r="U64" i="11"/>
  <c r="T64" i="11"/>
  <c r="S64" i="11"/>
  <c r="R64" i="11"/>
  <c r="Q64" i="11"/>
  <c r="P64" i="11"/>
  <c r="O64" i="11"/>
  <c r="N64" i="11"/>
  <c r="M64" i="11"/>
  <c r="L64" i="11"/>
  <c r="K64" i="11"/>
  <c r="J64" i="11"/>
  <c r="I64" i="11"/>
  <c r="H64" i="11"/>
  <c r="AL63" i="11"/>
  <c r="AK63" i="11"/>
  <c r="AJ63" i="11"/>
  <c r="AI63" i="11"/>
  <c r="AH63" i="11"/>
  <c r="AG63" i="11"/>
  <c r="AF63" i="11"/>
  <c r="AE63" i="11"/>
  <c r="AD63" i="11"/>
  <c r="AC63" i="11"/>
  <c r="AB63" i="11"/>
  <c r="AA63" i="11"/>
  <c r="Z63" i="11"/>
  <c r="Y63" i="11"/>
  <c r="X63" i="11"/>
  <c r="W63" i="11"/>
  <c r="V63" i="11"/>
  <c r="U63" i="11"/>
  <c r="T63" i="11"/>
  <c r="S63" i="11"/>
  <c r="R63" i="11"/>
  <c r="Q63" i="11"/>
  <c r="P63" i="11"/>
  <c r="O63" i="11"/>
  <c r="N63" i="11"/>
  <c r="M63" i="11"/>
  <c r="L63" i="11"/>
  <c r="K63" i="11"/>
  <c r="J63" i="11"/>
  <c r="I63" i="11"/>
  <c r="H63" i="11"/>
  <c r="AL62" i="11"/>
  <c r="AK62" i="11"/>
  <c r="AJ62" i="11"/>
  <c r="AI62" i="11"/>
  <c r="AH62" i="11"/>
  <c r="AG62" i="11"/>
  <c r="AF62" i="11"/>
  <c r="AE62" i="11"/>
  <c r="AD62" i="11"/>
  <c r="AC62" i="11"/>
  <c r="AB62" i="11"/>
  <c r="AA62" i="11"/>
  <c r="Z62" i="11"/>
  <c r="Y62" i="11"/>
  <c r="X62" i="11"/>
  <c r="W62" i="11"/>
  <c r="V62" i="11"/>
  <c r="U62" i="11"/>
  <c r="T62" i="11"/>
  <c r="S62" i="11"/>
  <c r="R62" i="11"/>
  <c r="Q62" i="11"/>
  <c r="P62" i="11"/>
  <c r="O62" i="11"/>
  <c r="N62" i="11"/>
  <c r="M62" i="11"/>
  <c r="L62" i="11"/>
  <c r="K62" i="11"/>
  <c r="J62" i="11"/>
  <c r="I62" i="11"/>
  <c r="H62" i="11"/>
  <c r="AL61" i="11"/>
  <c r="AK61" i="11"/>
  <c r="AJ61" i="11"/>
  <c r="AI61" i="11"/>
  <c r="AH61" i="11"/>
  <c r="AG61" i="11"/>
  <c r="AF61" i="11"/>
  <c r="AE61" i="11"/>
  <c r="AD61" i="11"/>
  <c r="AC61" i="11"/>
  <c r="AB61" i="11"/>
  <c r="AA61" i="11"/>
  <c r="Z61" i="11"/>
  <c r="Y61" i="11"/>
  <c r="X61" i="11"/>
  <c r="W61" i="11"/>
  <c r="V61" i="11"/>
  <c r="U61" i="11"/>
  <c r="T61" i="11"/>
  <c r="S61" i="11"/>
  <c r="R61" i="11"/>
  <c r="Q61" i="11"/>
  <c r="P61" i="11"/>
  <c r="O61" i="11"/>
  <c r="N61" i="11"/>
  <c r="M61" i="11"/>
  <c r="L61" i="11"/>
  <c r="K61" i="11"/>
  <c r="J61" i="11"/>
  <c r="I61" i="11"/>
  <c r="H61" i="11"/>
  <c r="AL60" i="11"/>
  <c r="AK60" i="11"/>
  <c r="AJ60" i="11"/>
  <c r="AI60" i="11"/>
  <c r="AH60" i="11"/>
  <c r="AG60" i="11"/>
  <c r="AF60" i="11"/>
  <c r="AE60" i="11"/>
  <c r="AD60" i="11"/>
  <c r="AC60" i="11"/>
  <c r="AB60" i="11"/>
  <c r="AA60" i="11"/>
  <c r="Z60" i="11"/>
  <c r="Y60" i="11"/>
  <c r="X60" i="11"/>
  <c r="W60" i="11"/>
  <c r="V60" i="11"/>
  <c r="U60" i="11"/>
  <c r="T60" i="11"/>
  <c r="S60" i="11"/>
  <c r="R60" i="11"/>
  <c r="Q60" i="11"/>
  <c r="P60" i="11"/>
  <c r="O60" i="11"/>
  <c r="N60" i="11"/>
  <c r="M60" i="11"/>
  <c r="L60" i="11"/>
  <c r="K60" i="11"/>
  <c r="J60" i="11"/>
  <c r="I60" i="11"/>
  <c r="H60" i="11"/>
  <c r="AJ59" i="11"/>
  <c r="AI59" i="11"/>
  <c r="AH59" i="11"/>
  <c r="AG59" i="11"/>
  <c r="AF59" i="11"/>
  <c r="AE59" i="11"/>
  <c r="AD59" i="11"/>
  <c r="AC59" i="11"/>
  <c r="AB59" i="11"/>
  <c r="AA59" i="11"/>
  <c r="Z59" i="11"/>
  <c r="Y59" i="11"/>
  <c r="X59" i="11"/>
  <c r="W59" i="11"/>
  <c r="V59" i="11"/>
  <c r="U59" i="11"/>
  <c r="T59" i="11"/>
  <c r="S59" i="11"/>
  <c r="R59" i="11"/>
  <c r="Q59" i="11"/>
  <c r="P59" i="11"/>
  <c r="O59" i="11"/>
  <c r="N59" i="11"/>
  <c r="M59" i="11"/>
  <c r="L59" i="11"/>
  <c r="K59" i="11"/>
  <c r="J59" i="11"/>
  <c r="I59" i="11"/>
  <c r="H59" i="11"/>
  <c r="AJ58" i="11"/>
  <c r="AI58" i="11"/>
  <c r="AH58" i="11"/>
  <c r="AG58" i="11"/>
  <c r="AF58" i="11"/>
  <c r="AE58" i="11"/>
  <c r="AD58" i="11"/>
  <c r="AC58" i="11"/>
  <c r="AB58" i="11"/>
  <c r="AA58" i="11"/>
  <c r="Z58" i="11"/>
  <c r="Y58" i="11"/>
  <c r="X58" i="11"/>
  <c r="W58" i="11"/>
  <c r="V58" i="11"/>
  <c r="U58" i="11"/>
  <c r="T58" i="11"/>
  <c r="S58" i="11"/>
  <c r="R58" i="11"/>
  <c r="Q58" i="11"/>
  <c r="P58" i="11"/>
  <c r="O58" i="11"/>
  <c r="N58" i="11"/>
  <c r="M58" i="11"/>
  <c r="L58" i="11"/>
  <c r="K58" i="11"/>
  <c r="J58" i="11"/>
  <c r="I58" i="11"/>
  <c r="H58" i="11"/>
  <c r="AJ57" i="11"/>
  <c r="AI57" i="11"/>
  <c r="AH57" i="11"/>
  <c r="AG57" i="11"/>
  <c r="AF57" i="11"/>
  <c r="AE57" i="11"/>
  <c r="AD57" i="11"/>
  <c r="AC57" i="11"/>
  <c r="AB57" i="11"/>
  <c r="AA57" i="11"/>
  <c r="Z57" i="11"/>
  <c r="Y57" i="11"/>
  <c r="X57" i="11"/>
  <c r="W57" i="11"/>
  <c r="V57" i="11"/>
  <c r="U57" i="11"/>
  <c r="T57" i="11"/>
  <c r="S57" i="11"/>
  <c r="R57" i="11"/>
  <c r="Q57" i="11"/>
  <c r="P57" i="11"/>
  <c r="O57" i="11"/>
  <c r="N57" i="11"/>
  <c r="M57" i="11"/>
  <c r="L57" i="11"/>
  <c r="K57" i="11"/>
  <c r="J57" i="11"/>
  <c r="I57" i="11"/>
  <c r="H57" i="11"/>
  <c r="AL56" i="11"/>
  <c r="AK56" i="11"/>
  <c r="AJ56" i="11"/>
  <c r="AI56" i="11"/>
  <c r="AH56" i="11"/>
  <c r="AG56" i="11"/>
  <c r="AF56" i="11"/>
  <c r="AE56" i="11"/>
  <c r="AD56" i="11"/>
  <c r="AC56" i="11"/>
  <c r="AB56" i="11"/>
  <c r="AA56" i="11"/>
  <c r="Z56" i="11"/>
  <c r="Y56" i="11"/>
  <c r="X56" i="11"/>
  <c r="W56" i="11"/>
  <c r="V56" i="11"/>
  <c r="U56" i="11"/>
  <c r="T56" i="11"/>
  <c r="S56" i="11"/>
  <c r="R56" i="11"/>
  <c r="Q56" i="11"/>
  <c r="P56" i="11"/>
  <c r="O56" i="11"/>
  <c r="N56" i="11"/>
  <c r="M56" i="11"/>
  <c r="L56" i="11"/>
  <c r="K56" i="11"/>
  <c r="J56" i="11"/>
  <c r="I56" i="11"/>
  <c r="H56" i="11"/>
  <c r="AL55" i="11"/>
  <c r="AK55" i="11"/>
  <c r="AJ55" i="11"/>
  <c r="AI55" i="11"/>
  <c r="AH55" i="11"/>
  <c r="AG55" i="11"/>
  <c r="AF55" i="11"/>
  <c r="AE55" i="11"/>
  <c r="AD55" i="11"/>
  <c r="AC55" i="11"/>
  <c r="AB55" i="11"/>
  <c r="AA55" i="11"/>
  <c r="Z55" i="11"/>
  <c r="Y55" i="11"/>
  <c r="X55" i="11"/>
  <c r="W55" i="11"/>
  <c r="V55" i="11"/>
  <c r="U55" i="11"/>
  <c r="T55" i="11"/>
  <c r="S55" i="11"/>
  <c r="R55" i="11"/>
  <c r="Q55" i="11"/>
  <c r="P55" i="11"/>
  <c r="O55" i="11"/>
  <c r="N55" i="11"/>
  <c r="M55" i="11"/>
  <c r="L55" i="11"/>
  <c r="K55" i="11"/>
  <c r="J55" i="11"/>
  <c r="I55" i="11"/>
  <c r="H55" i="11"/>
  <c r="AJ54" i="11"/>
  <c r="AI54" i="11"/>
  <c r="AH54" i="11"/>
  <c r="AG54" i="11"/>
  <c r="AF54" i="11"/>
  <c r="AE54" i="11"/>
  <c r="AD54" i="11"/>
  <c r="AC54" i="11"/>
  <c r="AB54" i="11"/>
  <c r="AA54" i="11"/>
  <c r="Z54" i="11"/>
  <c r="Y54" i="11"/>
  <c r="X54" i="11"/>
  <c r="W54" i="11"/>
  <c r="V54" i="11"/>
  <c r="U54" i="11"/>
  <c r="T54" i="11"/>
  <c r="S54" i="11"/>
  <c r="R54" i="11"/>
  <c r="Q54" i="11"/>
  <c r="P54" i="11"/>
  <c r="O54" i="11"/>
  <c r="N54" i="11"/>
  <c r="M54" i="11"/>
  <c r="L54" i="11"/>
  <c r="K54" i="11"/>
  <c r="J54" i="11"/>
  <c r="I54" i="11"/>
  <c r="H54" i="11"/>
  <c r="AH53" i="11"/>
  <c r="AG53" i="11"/>
  <c r="AB53" i="11"/>
  <c r="AA53" i="11"/>
  <c r="Z53" i="11"/>
  <c r="Y53" i="11"/>
  <c r="X53" i="11"/>
  <c r="W53" i="11"/>
  <c r="V53" i="11"/>
  <c r="U53" i="11"/>
  <c r="T53" i="11"/>
  <c r="S53" i="11"/>
  <c r="R53" i="11"/>
  <c r="Q53" i="11"/>
  <c r="P53" i="11"/>
  <c r="O53" i="11"/>
  <c r="N53" i="11"/>
  <c r="M53" i="11"/>
  <c r="L53" i="11"/>
  <c r="K53" i="11"/>
  <c r="J53" i="11"/>
  <c r="I53" i="11"/>
  <c r="H53" i="11"/>
  <c r="AH52" i="11"/>
  <c r="AG52" i="11"/>
  <c r="AF52" i="11"/>
  <c r="AE52" i="11"/>
  <c r="AD52" i="11"/>
  <c r="AC52" i="11"/>
  <c r="AB52" i="11"/>
  <c r="AA52" i="11"/>
  <c r="Z52" i="11"/>
  <c r="Y52" i="11"/>
  <c r="X52" i="11"/>
  <c r="W52" i="11"/>
  <c r="V52" i="11"/>
  <c r="U52" i="11"/>
  <c r="T52" i="11"/>
  <c r="S52" i="11"/>
  <c r="R52" i="11"/>
  <c r="Q52" i="11"/>
  <c r="P52" i="11"/>
  <c r="O52" i="11"/>
  <c r="N52" i="11"/>
  <c r="M52" i="11"/>
  <c r="L52" i="11"/>
  <c r="K52" i="11"/>
  <c r="J52" i="11"/>
  <c r="I52" i="11"/>
  <c r="H52" i="11"/>
  <c r="AH51" i="11"/>
  <c r="AG51" i="11"/>
  <c r="AF51" i="11"/>
  <c r="AE51" i="11"/>
  <c r="AD51" i="11"/>
  <c r="AC51" i="11"/>
  <c r="AB51" i="11"/>
  <c r="AA51" i="11"/>
  <c r="Z51" i="11"/>
  <c r="Y51" i="11"/>
  <c r="X51" i="11"/>
  <c r="W51" i="11"/>
  <c r="V51" i="11"/>
  <c r="U51" i="11"/>
  <c r="T51" i="11"/>
  <c r="S51" i="11"/>
  <c r="R51" i="11"/>
  <c r="Q51" i="11"/>
  <c r="P51" i="11"/>
  <c r="O51" i="11"/>
  <c r="N51" i="11"/>
  <c r="M51" i="11"/>
  <c r="L51" i="11"/>
  <c r="K51" i="11"/>
  <c r="J51" i="11"/>
  <c r="I51" i="11"/>
  <c r="H51" i="11"/>
  <c r="AH50" i="11"/>
  <c r="AG50" i="11"/>
  <c r="AF50" i="11"/>
  <c r="AE50" i="11"/>
  <c r="AD50" i="11"/>
  <c r="AC50" i="11"/>
  <c r="AB50" i="11"/>
  <c r="AA50" i="11"/>
  <c r="Z50" i="11"/>
  <c r="Y50" i="11"/>
  <c r="X50" i="11"/>
  <c r="W50" i="11"/>
  <c r="V50" i="11"/>
  <c r="U50" i="11"/>
  <c r="T50" i="11"/>
  <c r="S50" i="11"/>
  <c r="R50" i="11"/>
  <c r="Q50" i="11"/>
  <c r="P50" i="11"/>
  <c r="O50" i="11"/>
  <c r="N50" i="11"/>
  <c r="M50" i="11"/>
  <c r="L50" i="11"/>
  <c r="K50" i="11"/>
  <c r="J50" i="11"/>
  <c r="I50" i="11"/>
  <c r="H50" i="11"/>
  <c r="AH49" i="11"/>
  <c r="AG49" i="11"/>
  <c r="AF49" i="11"/>
  <c r="AE49" i="11"/>
  <c r="AD49" i="11"/>
  <c r="AC49" i="11"/>
  <c r="AB49" i="11"/>
  <c r="AA49" i="11"/>
  <c r="Z49" i="11"/>
  <c r="Y49" i="11"/>
  <c r="X49" i="11"/>
  <c r="W49" i="11"/>
  <c r="V49" i="11"/>
  <c r="U49" i="11"/>
  <c r="T49" i="11"/>
  <c r="S49" i="11"/>
  <c r="R49" i="11"/>
  <c r="Q49" i="11"/>
  <c r="P49" i="11"/>
  <c r="O49" i="11"/>
  <c r="N49" i="11"/>
  <c r="M49" i="11"/>
  <c r="L49" i="11"/>
  <c r="K49" i="11"/>
  <c r="J49" i="11"/>
  <c r="I49" i="11"/>
  <c r="H49" i="11"/>
  <c r="AH48" i="11"/>
  <c r="AG48" i="11"/>
  <c r="AF48" i="11"/>
  <c r="AE48" i="11"/>
  <c r="AD48" i="11"/>
  <c r="AC48" i="11"/>
  <c r="AB48" i="11"/>
  <c r="AA48" i="11"/>
  <c r="Z48" i="11"/>
  <c r="Y48" i="11"/>
  <c r="X48" i="11"/>
  <c r="W48" i="11"/>
  <c r="V48" i="11"/>
  <c r="U48" i="11"/>
  <c r="T48" i="11"/>
  <c r="S48" i="11"/>
  <c r="R48" i="11"/>
  <c r="Q48" i="11"/>
  <c r="P48" i="11"/>
  <c r="O48" i="11"/>
  <c r="N48" i="11"/>
  <c r="M48" i="11"/>
  <c r="L48" i="11"/>
  <c r="K48" i="11"/>
  <c r="J48" i="11"/>
  <c r="I48" i="11"/>
  <c r="H48" i="11"/>
  <c r="AH47" i="11"/>
  <c r="AG47" i="11"/>
  <c r="AF47" i="11"/>
  <c r="AE47" i="11"/>
  <c r="AD47" i="11"/>
  <c r="AC47" i="11"/>
  <c r="AB47" i="11"/>
  <c r="AA47" i="11"/>
  <c r="Z47" i="11"/>
  <c r="Y47" i="11"/>
  <c r="X47" i="11"/>
  <c r="W47" i="11"/>
  <c r="V47" i="11"/>
  <c r="U47" i="11"/>
  <c r="T47" i="11"/>
  <c r="S47" i="11"/>
  <c r="R47" i="11"/>
  <c r="Q47" i="11"/>
  <c r="P47" i="11"/>
  <c r="O47" i="11"/>
  <c r="N47" i="11"/>
  <c r="M47" i="11"/>
  <c r="L47" i="11"/>
  <c r="K47" i="11"/>
  <c r="J47" i="11"/>
  <c r="I47" i="11"/>
  <c r="H47" i="11"/>
  <c r="AH46" i="11"/>
  <c r="AG46" i="11"/>
  <c r="AF46" i="11"/>
  <c r="AE46" i="11"/>
  <c r="AD46" i="11"/>
  <c r="AC46" i="11"/>
  <c r="AB46" i="11"/>
  <c r="AA46" i="11"/>
  <c r="Z46" i="11"/>
  <c r="Y46" i="11"/>
  <c r="X46" i="11"/>
  <c r="W46" i="11"/>
  <c r="V46" i="11"/>
  <c r="U46" i="11"/>
  <c r="T46" i="11"/>
  <c r="S46" i="11"/>
  <c r="R46" i="11"/>
  <c r="Q46" i="11"/>
  <c r="P46" i="11"/>
  <c r="O46" i="11"/>
  <c r="N46" i="11"/>
  <c r="M46" i="11"/>
  <c r="L46" i="11"/>
  <c r="K46" i="11"/>
  <c r="J46" i="11"/>
  <c r="I46" i="11"/>
  <c r="H46" i="11"/>
  <c r="AH45" i="11"/>
  <c r="AG45" i="11"/>
  <c r="AF45" i="11"/>
  <c r="AE45" i="11"/>
  <c r="AD45" i="11"/>
  <c r="AC45" i="11"/>
  <c r="AB45" i="11"/>
  <c r="AA45" i="11"/>
  <c r="Z45" i="11"/>
  <c r="Y45" i="11"/>
  <c r="X45" i="11"/>
  <c r="W45" i="11"/>
  <c r="V45" i="11"/>
  <c r="U45" i="11"/>
  <c r="T45" i="11"/>
  <c r="S45" i="11"/>
  <c r="R45" i="11"/>
  <c r="Q45" i="11"/>
  <c r="P45" i="11"/>
  <c r="O45" i="11"/>
  <c r="N45" i="11"/>
  <c r="M45" i="11"/>
  <c r="L45" i="11"/>
  <c r="K45" i="11"/>
  <c r="J45" i="11"/>
  <c r="I45" i="11"/>
  <c r="H45" i="11"/>
  <c r="AH44" i="11"/>
  <c r="AG44" i="11"/>
  <c r="AF44" i="11"/>
  <c r="AE44" i="11"/>
  <c r="AD44" i="11"/>
  <c r="AC44" i="11"/>
  <c r="AB44" i="11"/>
  <c r="AA44" i="11"/>
  <c r="Z44" i="11"/>
  <c r="Y44" i="11"/>
  <c r="X44" i="11"/>
  <c r="W44" i="11"/>
  <c r="V44" i="11"/>
  <c r="U44" i="11"/>
  <c r="T44" i="11"/>
  <c r="S44" i="11"/>
  <c r="R44" i="11"/>
  <c r="Q44" i="11"/>
  <c r="P44" i="11"/>
  <c r="O44" i="11"/>
  <c r="N44" i="11"/>
  <c r="M44" i="11"/>
  <c r="L44" i="11"/>
  <c r="K44" i="11"/>
  <c r="J44" i="11"/>
  <c r="I44" i="11"/>
  <c r="H44" i="11"/>
  <c r="AH43" i="11"/>
  <c r="AG43" i="11"/>
  <c r="AF43" i="11"/>
  <c r="AE43" i="11"/>
  <c r="AD43" i="11"/>
  <c r="AC43" i="11"/>
  <c r="AB43" i="11"/>
  <c r="AA43" i="11"/>
  <c r="Z43" i="11"/>
  <c r="Y43" i="11"/>
  <c r="X43" i="11"/>
  <c r="W43" i="11"/>
  <c r="V43" i="11"/>
  <c r="U43" i="11"/>
  <c r="T43" i="11"/>
  <c r="S43" i="11"/>
  <c r="R43" i="11"/>
  <c r="Q43" i="11"/>
  <c r="P43" i="11"/>
  <c r="O43" i="11"/>
  <c r="N43" i="11"/>
  <c r="M43" i="11"/>
  <c r="L43" i="11"/>
  <c r="K43" i="11"/>
  <c r="J43" i="11"/>
  <c r="I43" i="11"/>
  <c r="H43" i="11"/>
  <c r="AH42" i="11"/>
  <c r="AG42" i="11"/>
  <c r="AF42" i="11"/>
  <c r="AE42" i="11"/>
  <c r="AD42" i="11"/>
  <c r="AC42" i="11"/>
  <c r="AB42" i="11"/>
  <c r="AA42" i="11"/>
  <c r="Z42" i="11"/>
  <c r="Y42" i="11"/>
  <c r="X42" i="11"/>
  <c r="W42" i="11"/>
  <c r="V42" i="11"/>
  <c r="U42" i="11"/>
  <c r="T42" i="11"/>
  <c r="S42" i="11"/>
  <c r="R42" i="11"/>
  <c r="Q42" i="11"/>
  <c r="P42" i="11"/>
  <c r="O42" i="11"/>
  <c r="N42" i="11"/>
  <c r="M42" i="11"/>
  <c r="L42" i="11"/>
  <c r="K42" i="11"/>
  <c r="J42" i="11"/>
  <c r="I42" i="11"/>
  <c r="H42" i="11"/>
  <c r="AH41" i="11"/>
  <c r="AG41" i="11"/>
  <c r="AF41" i="11"/>
  <c r="AE41" i="11"/>
  <c r="AD41" i="11"/>
  <c r="AC41" i="11"/>
  <c r="AB41" i="11"/>
  <c r="AA41" i="11"/>
  <c r="Z41" i="11"/>
  <c r="Y41" i="11"/>
  <c r="X41" i="11"/>
  <c r="W41" i="11"/>
  <c r="V41" i="11"/>
  <c r="U41" i="11"/>
  <c r="T41" i="11"/>
  <c r="S41" i="11"/>
  <c r="R41" i="11"/>
  <c r="Q41" i="11"/>
  <c r="P41" i="11"/>
  <c r="O41" i="11"/>
  <c r="N41" i="11"/>
  <c r="M41" i="11"/>
  <c r="L41" i="11"/>
  <c r="K41" i="11"/>
  <c r="J41" i="11"/>
  <c r="I41" i="11"/>
  <c r="H41" i="11"/>
  <c r="AH40" i="11"/>
  <c r="AG40" i="11"/>
  <c r="AF40" i="11"/>
  <c r="AE40" i="11"/>
  <c r="AD40" i="11"/>
  <c r="AC40" i="11"/>
  <c r="AB40" i="11"/>
  <c r="AA40" i="11"/>
  <c r="Z40" i="11"/>
  <c r="Y40" i="11"/>
  <c r="X40" i="11"/>
  <c r="W40" i="11"/>
  <c r="V40" i="11"/>
  <c r="U40" i="11"/>
  <c r="T40" i="11"/>
  <c r="S40" i="11"/>
  <c r="R40" i="11"/>
  <c r="Q40" i="11"/>
  <c r="P40" i="11"/>
  <c r="O40" i="11"/>
  <c r="N40" i="11"/>
  <c r="M40" i="11"/>
  <c r="L40" i="11"/>
  <c r="K40" i="11"/>
  <c r="J40" i="11"/>
  <c r="I40" i="11"/>
  <c r="H40" i="11"/>
  <c r="AH39" i="11"/>
  <c r="AG39" i="11"/>
  <c r="AF39" i="11"/>
  <c r="AE39" i="11"/>
  <c r="AD39" i="11"/>
  <c r="AC39" i="11"/>
  <c r="AB39" i="11"/>
  <c r="AA39" i="11"/>
  <c r="Z39" i="11"/>
  <c r="Y39" i="11"/>
  <c r="X39" i="11"/>
  <c r="W39" i="11"/>
  <c r="V39" i="11"/>
  <c r="U39" i="11"/>
  <c r="T39" i="11"/>
  <c r="S39" i="11"/>
  <c r="R39" i="11"/>
  <c r="Q39" i="11"/>
  <c r="P39" i="11"/>
  <c r="O39" i="11"/>
  <c r="N39" i="11"/>
  <c r="M39" i="11"/>
  <c r="L39" i="11"/>
  <c r="K39" i="11"/>
  <c r="J39" i="11"/>
  <c r="I39" i="11"/>
  <c r="H39" i="11"/>
  <c r="AH38" i="11"/>
  <c r="AG38" i="11"/>
  <c r="AF38" i="11"/>
  <c r="AE38" i="11"/>
  <c r="AD38" i="11"/>
  <c r="AC38" i="11"/>
  <c r="AB38" i="11"/>
  <c r="AA38" i="11"/>
  <c r="Z38" i="11"/>
  <c r="Y38" i="11"/>
  <c r="X38" i="11"/>
  <c r="W38" i="11"/>
  <c r="V38" i="11"/>
  <c r="U38" i="11"/>
  <c r="T38" i="11"/>
  <c r="S38" i="11"/>
  <c r="R38" i="11"/>
  <c r="Q38" i="11"/>
  <c r="P38" i="11"/>
  <c r="O38" i="11"/>
  <c r="N38" i="11"/>
  <c r="M38" i="11"/>
  <c r="L38" i="11"/>
  <c r="K38" i="11"/>
  <c r="J38" i="11"/>
  <c r="I38" i="11"/>
  <c r="AJ37" i="11"/>
  <c r="AI37" i="11"/>
  <c r="AH37" i="11"/>
  <c r="AG37" i="11"/>
  <c r="AF37" i="11"/>
  <c r="AE37" i="11"/>
  <c r="AD37" i="11"/>
  <c r="AC37" i="11"/>
  <c r="AB37" i="11"/>
  <c r="AA37" i="11"/>
  <c r="Z37" i="11"/>
  <c r="Y37" i="11"/>
  <c r="X37" i="11"/>
  <c r="W37" i="11"/>
  <c r="V37" i="11"/>
  <c r="U37" i="11"/>
  <c r="T37" i="11"/>
  <c r="S37" i="11"/>
  <c r="R37" i="11"/>
  <c r="Q37" i="11"/>
  <c r="P37" i="11"/>
  <c r="O37" i="11"/>
  <c r="N37" i="11"/>
  <c r="M37" i="11"/>
  <c r="L37" i="11"/>
  <c r="K37" i="11"/>
  <c r="J37" i="11"/>
  <c r="I37" i="11"/>
  <c r="H37" i="11"/>
  <c r="AH36" i="11"/>
  <c r="AG36" i="11"/>
  <c r="AF36" i="11"/>
  <c r="AE36" i="11"/>
  <c r="AD36" i="11"/>
  <c r="AC36" i="11"/>
  <c r="AB36" i="11"/>
  <c r="AA36" i="11"/>
  <c r="Z36" i="11"/>
  <c r="Y36" i="11"/>
  <c r="X36" i="11"/>
  <c r="W36" i="11"/>
  <c r="V36" i="11"/>
  <c r="U36" i="11"/>
  <c r="T36" i="11"/>
  <c r="S36" i="11"/>
  <c r="R36" i="11"/>
  <c r="Q36" i="11"/>
  <c r="P36" i="11"/>
  <c r="O36" i="11"/>
  <c r="N36" i="11"/>
  <c r="M36" i="11"/>
  <c r="L36" i="11"/>
  <c r="K36" i="11"/>
  <c r="J36" i="11"/>
  <c r="I36" i="11"/>
  <c r="H36" i="11"/>
  <c r="AG35" i="11"/>
  <c r="AF35" i="11"/>
  <c r="AE35" i="11"/>
  <c r="AD35" i="11"/>
  <c r="AC35" i="11"/>
  <c r="AB35" i="11"/>
  <c r="AA35" i="11"/>
  <c r="Z35" i="11"/>
  <c r="Y35" i="11"/>
  <c r="X35" i="11"/>
  <c r="W35" i="11"/>
  <c r="V35" i="11"/>
  <c r="U35" i="11"/>
  <c r="T35" i="11"/>
  <c r="S35" i="11"/>
  <c r="R35" i="11"/>
  <c r="Q35" i="11"/>
  <c r="P35" i="11"/>
  <c r="O35" i="11"/>
  <c r="N35" i="11"/>
  <c r="M35" i="11"/>
  <c r="L35" i="11"/>
  <c r="K35" i="11"/>
  <c r="J35" i="11"/>
  <c r="I35" i="11"/>
  <c r="AG34" i="11"/>
  <c r="AF34" i="11"/>
  <c r="AE34" i="11"/>
  <c r="AD34" i="11"/>
  <c r="AC34" i="11"/>
  <c r="AB34" i="11"/>
  <c r="AA34" i="11"/>
  <c r="Z34" i="11"/>
  <c r="Y34" i="11"/>
  <c r="X34" i="11"/>
  <c r="W34" i="11"/>
  <c r="V34" i="11"/>
  <c r="U34" i="11"/>
  <c r="T34" i="11"/>
  <c r="S34" i="11"/>
  <c r="R34" i="11"/>
  <c r="Q34" i="11"/>
  <c r="P34" i="11"/>
  <c r="O34" i="11"/>
  <c r="N34" i="11"/>
  <c r="M34" i="11"/>
  <c r="L34" i="11"/>
  <c r="K34" i="11"/>
  <c r="J34" i="11"/>
  <c r="I34" i="11"/>
  <c r="H34" i="11"/>
  <c r="AH33" i="11"/>
  <c r="AG33" i="11"/>
  <c r="AF33" i="11"/>
  <c r="AE33" i="11"/>
  <c r="AD33" i="11"/>
  <c r="AC33" i="11"/>
  <c r="AB33" i="11"/>
  <c r="AA33" i="11"/>
  <c r="Z33" i="11"/>
  <c r="Y33" i="11"/>
  <c r="X33" i="11"/>
  <c r="W33" i="11"/>
  <c r="V33" i="11"/>
  <c r="U33" i="11"/>
  <c r="T33" i="11"/>
  <c r="S33" i="11"/>
  <c r="R33" i="11"/>
  <c r="Q33" i="11"/>
  <c r="P33" i="11"/>
  <c r="O33" i="11"/>
  <c r="N33" i="11"/>
  <c r="M33" i="11"/>
  <c r="L33" i="11"/>
  <c r="K33" i="11"/>
  <c r="J33" i="11"/>
  <c r="I33" i="11"/>
  <c r="H33" i="11"/>
  <c r="AH32" i="11"/>
  <c r="AG32" i="11"/>
  <c r="AF32" i="11"/>
  <c r="AE32" i="11"/>
  <c r="AD32" i="11"/>
  <c r="AC32" i="11"/>
  <c r="AB32" i="11"/>
  <c r="AA32" i="11"/>
  <c r="Z32" i="11"/>
  <c r="Y32" i="11"/>
  <c r="X32" i="11"/>
  <c r="W32" i="11"/>
  <c r="V32" i="11"/>
  <c r="U32" i="11"/>
  <c r="T32" i="11"/>
  <c r="S32" i="11"/>
  <c r="R32" i="11"/>
  <c r="Q32" i="11"/>
  <c r="P32" i="11"/>
  <c r="O32" i="11"/>
  <c r="N32" i="11"/>
  <c r="M32" i="11"/>
  <c r="L32" i="11"/>
  <c r="K32" i="11"/>
  <c r="J32" i="11"/>
  <c r="I32" i="11"/>
  <c r="H32" i="11"/>
  <c r="AG31" i="11"/>
  <c r="AF31" i="11"/>
  <c r="AE31" i="11"/>
  <c r="AD31" i="11"/>
  <c r="AC31" i="11"/>
  <c r="AB31" i="11"/>
  <c r="AA31" i="11"/>
  <c r="Z31" i="11"/>
  <c r="Y31" i="11"/>
  <c r="X31" i="11"/>
  <c r="W31" i="11"/>
  <c r="V31" i="11"/>
  <c r="U31" i="11"/>
  <c r="T31" i="11"/>
  <c r="S31" i="11"/>
  <c r="R31" i="11"/>
  <c r="Q31" i="11"/>
  <c r="P31" i="11"/>
  <c r="O31" i="11"/>
  <c r="N31" i="11"/>
  <c r="M31" i="11"/>
  <c r="L31" i="11"/>
  <c r="K31" i="11"/>
  <c r="J31" i="11"/>
  <c r="I31" i="11"/>
  <c r="H31" i="11"/>
  <c r="AH30" i="11"/>
  <c r="AG30" i="11"/>
  <c r="AF30" i="11"/>
  <c r="AE30" i="11"/>
  <c r="AD30" i="11"/>
  <c r="AC30" i="11"/>
  <c r="AB30" i="11"/>
  <c r="AA30" i="11"/>
  <c r="Z30" i="11"/>
  <c r="Y30" i="11"/>
  <c r="X30" i="11"/>
  <c r="W30" i="11"/>
  <c r="V30" i="11"/>
  <c r="U30" i="11"/>
  <c r="T30" i="11"/>
  <c r="S30" i="11"/>
  <c r="R30" i="11"/>
  <c r="Q30" i="11"/>
  <c r="P30" i="11"/>
  <c r="O30" i="11"/>
  <c r="N30" i="11"/>
  <c r="M30" i="11"/>
  <c r="L30" i="11"/>
  <c r="K30" i="11"/>
  <c r="J30" i="11"/>
  <c r="I30" i="11"/>
  <c r="H30" i="11"/>
  <c r="AH29" i="11"/>
  <c r="AG29" i="11"/>
  <c r="AF29" i="11"/>
  <c r="AE29" i="11"/>
  <c r="AD29" i="11"/>
  <c r="AC29" i="11"/>
  <c r="AB29" i="11"/>
  <c r="AA29" i="11"/>
  <c r="Z29" i="11"/>
  <c r="Y29" i="11"/>
  <c r="X29" i="11"/>
  <c r="W29" i="11"/>
  <c r="V29" i="11"/>
  <c r="U29" i="11"/>
  <c r="T29" i="11"/>
  <c r="S29" i="11"/>
  <c r="R29" i="11"/>
  <c r="Q29" i="11"/>
  <c r="P29" i="11"/>
  <c r="O29" i="11"/>
  <c r="N29" i="11"/>
  <c r="M29" i="11"/>
  <c r="L29" i="11"/>
  <c r="K29" i="11"/>
  <c r="J29" i="11"/>
  <c r="I29" i="11"/>
  <c r="H29" i="11"/>
  <c r="AH28" i="11"/>
  <c r="AG28" i="11"/>
  <c r="AF28" i="11"/>
  <c r="AE28" i="11"/>
  <c r="AD28" i="11"/>
  <c r="AC28" i="11"/>
  <c r="AB28" i="11"/>
  <c r="AA28" i="11"/>
  <c r="Z28" i="11"/>
  <c r="Y28" i="11"/>
  <c r="X28" i="11"/>
  <c r="W28" i="11"/>
  <c r="V28" i="11"/>
  <c r="U28" i="11"/>
  <c r="T28" i="11"/>
  <c r="S28" i="11"/>
  <c r="R28" i="11"/>
  <c r="Q28" i="11"/>
  <c r="P28" i="11"/>
  <c r="O28" i="11"/>
  <c r="N28" i="11"/>
  <c r="M28" i="11"/>
  <c r="L28" i="11"/>
  <c r="K28" i="11"/>
  <c r="J28" i="11"/>
  <c r="I28" i="11"/>
  <c r="H28" i="11"/>
  <c r="AH27" i="11"/>
  <c r="AG27" i="11"/>
  <c r="AB27" i="11"/>
  <c r="AA27" i="11"/>
  <c r="Z27" i="11"/>
  <c r="Y27" i="11"/>
  <c r="X27" i="11"/>
  <c r="W27" i="11"/>
  <c r="V27" i="11"/>
  <c r="U27" i="11"/>
  <c r="T27" i="11"/>
  <c r="S27" i="11"/>
  <c r="R27" i="11"/>
  <c r="Q27" i="11"/>
  <c r="P27" i="11"/>
  <c r="O27" i="11"/>
  <c r="N27" i="11"/>
  <c r="M27" i="11"/>
  <c r="L27" i="11"/>
  <c r="K27" i="11"/>
  <c r="J27" i="11"/>
  <c r="I27" i="11"/>
  <c r="H27" i="11"/>
  <c r="AH26" i="11"/>
  <c r="AG26" i="11"/>
  <c r="AB26" i="11"/>
  <c r="AA26" i="11"/>
  <c r="Z26" i="11"/>
  <c r="Y26" i="11"/>
  <c r="X26" i="11"/>
  <c r="W26" i="11"/>
  <c r="V26" i="11"/>
  <c r="U26" i="11"/>
  <c r="T26" i="11"/>
  <c r="S26" i="11"/>
  <c r="R26" i="11"/>
  <c r="Q26" i="11"/>
  <c r="P26" i="11"/>
  <c r="O26" i="11"/>
  <c r="N26" i="11"/>
  <c r="M26" i="11"/>
  <c r="L26" i="11"/>
  <c r="K26" i="11"/>
  <c r="J26" i="11"/>
  <c r="I26" i="11"/>
  <c r="H26" i="11"/>
  <c r="AL25" i="11"/>
  <c r="AK25" i="11"/>
  <c r="AJ25" i="11"/>
  <c r="AI25" i="11"/>
  <c r="AH25" i="11"/>
  <c r="AG25" i="11"/>
  <c r="AF25" i="11"/>
  <c r="AE25" i="11"/>
  <c r="AD25" i="11"/>
  <c r="AC25" i="11"/>
  <c r="AB25" i="11"/>
  <c r="AA25" i="11"/>
  <c r="Z25" i="11"/>
  <c r="Y25" i="11"/>
  <c r="X25" i="11"/>
  <c r="W25" i="11"/>
  <c r="V25" i="11"/>
  <c r="U25" i="11"/>
  <c r="T25" i="11"/>
  <c r="S25" i="11"/>
  <c r="R25" i="11"/>
  <c r="Q25" i="11"/>
  <c r="P25" i="11"/>
  <c r="O25" i="11"/>
  <c r="N25" i="11"/>
  <c r="M25" i="11"/>
  <c r="L25" i="11"/>
  <c r="K25" i="11"/>
  <c r="J25" i="11"/>
  <c r="I25" i="11"/>
  <c r="H25" i="11"/>
  <c r="AH24" i="11"/>
  <c r="AG24" i="11"/>
  <c r="AF24" i="11"/>
  <c r="AE24" i="11"/>
  <c r="AD24" i="11"/>
  <c r="AC24" i="11"/>
  <c r="AB24" i="11"/>
  <c r="AA24" i="11"/>
  <c r="Z24" i="11"/>
  <c r="Y24" i="11"/>
  <c r="X24" i="11"/>
  <c r="W24" i="11"/>
  <c r="V24" i="11"/>
  <c r="U24" i="11"/>
  <c r="T24" i="11"/>
  <c r="S24" i="11"/>
  <c r="R24" i="11"/>
  <c r="Q24" i="11"/>
  <c r="P24" i="11"/>
  <c r="O24" i="11"/>
  <c r="N24" i="11"/>
  <c r="M24" i="11"/>
  <c r="L24" i="11"/>
  <c r="K24" i="11"/>
  <c r="J24" i="11"/>
  <c r="I24" i="11"/>
  <c r="H24" i="11"/>
  <c r="AH23" i="11"/>
  <c r="AG23" i="11"/>
  <c r="AF23" i="11"/>
  <c r="AE23" i="11"/>
  <c r="AD23" i="11"/>
  <c r="AC23" i="11"/>
  <c r="AB23" i="11"/>
  <c r="AA23" i="11"/>
  <c r="Z23" i="11"/>
  <c r="Y23" i="11"/>
  <c r="X23" i="11"/>
  <c r="W23" i="11"/>
  <c r="V23" i="11"/>
  <c r="U23" i="11"/>
  <c r="T23" i="11"/>
  <c r="S23" i="11"/>
  <c r="R23" i="11"/>
  <c r="Q23" i="11"/>
  <c r="P23" i="11"/>
  <c r="O23" i="11"/>
  <c r="N23" i="11"/>
  <c r="M23" i="11"/>
  <c r="L23" i="11"/>
  <c r="K23" i="11"/>
  <c r="J23" i="11"/>
  <c r="I23" i="11"/>
  <c r="H23" i="11"/>
  <c r="AH22" i="11"/>
  <c r="AG22" i="11"/>
  <c r="AF22" i="11"/>
  <c r="AE22" i="11"/>
  <c r="AD22" i="11"/>
  <c r="AC22" i="11"/>
  <c r="AB22" i="11"/>
  <c r="AA22" i="11"/>
  <c r="Z22" i="11"/>
  <c r="Y22" i="11"/>
  <c r="X22" i="11"/>
  <c r="W22" i="11"/>
  <c r="V22" i="11"/>
  <c r="U22" i="11"/>
  <c r="T22" i="11"/>
  <c r="S22" i="11"/>
  <c r="R22" i="11"/>
  <c r="Q22" i="11"/>
  <c r="P22" i="11"/>
  <c r="O22" i="11"/>
  <c r="N22" i="11"/>
  <c r="M22" i="11"/>
  <c r="L22" i="11"/>
  <c r="K22" i="11"/>
  <c r="J22" i="11"/>
  <c r="I22" i="11"/>
  <c r="H22" i="11"/>
  <c r="AH21" i="11"/>
  <c r="AG21" i="11"/>
  <c r="AF21" i="11"/>
  <c r="AE21" i="11"/>
  <c r="AD21" i="11"/>
  <c r="AC21" i="11"/>
  <c r="AB21" i="11"/>
  <c r="AA21" i="11"/>
  <c r="Z21" i="11"/>
  <c r="Y21" i="11"/>
  <c r="X21" i="11"/>
  <c r="W21" i="11"/>
  <c r="V21" i="11"/>
  <c r="U21" i="11"/>
  <c r="T21" i="11"/>
  <c r="S21" i="11"/>
  <c r="R21" i="11"/>
  <c r="Q21" i="11"/>
  <c r="P21" i="11"/>
  <c r="O21" i="11"/>
  <c r="N21" i="11"/>
  <c r="M21" i="11"/>
  <c r="L21" i="11"/>
  <c r="K21" i="11"/>
  <c r="J21" i="11"/>
  <c r="I21" i="11"/>
  <c r="H21" i="11"/>
  <c r="AH20" i="11"/>
  <c r="AG20" i="11"/>
  <c r="AF20" i="11"/>
  <c r="AE20" i="11"/>
  <c r="AD20" i="11"/>
  <c r="AC20" i="11"/>
  <c r="AB20" i="11"/>
  <c r="AA20" i="11"/>
  <c r="Z20" i="11"/>
  <c r="Y20" i="11"/>
  <c r="X20" i="11"/>
  <c r="W20" i="11"/>
  <c r="V20" i="11"/>
  <c r="U20" i="11"/>
  <c r="T20" i="11"/>
  <c r="S20" i="11"/>
  <c r="R20" i="11"/>
  <c r="Q20" i="11"/>
  <c r="P20" i="11"/>
  <c r="O20" i="11"/>
  <c r="N20" i="11"/>
  <c r="M20" i="11"/>
  <c r="L20" i="11"/>
  <c r="K20" i="11"/>
  <c r="J20" i="11"/>
  <c r="I20" i="11"/>
  <c r="H20" i="11"/>
  <c r="AH19" i="11"/>
  <c r="AG19" i="11"/>
  <c r="AF19" i="11"/>
  <c r="AE19" i="11"/>
  <c r="AD19" i="11"/>
  <c r="AC19" i="11"/>
  <c r="AB19" i="11"/>
  <c r="AA19" i="11"/>
  <c r="Z19" i="11"/>
  <c r="Y19" i="11"/>
  <c r="X19" i="11"/>
  <c r="W19" i="11"/>
  <c r="V19" i="11"/>
  <c r="U19" i="11"/>
  <c r="T19" i="11"/>
  <c r="S19" i="11"/>
  <c r="R19" i="11"/>
  <c r="Q19" i="11"/>
  <c r="P19" i="11"/>
  <c r="O19" i="11"/>
  <c r="N19" i="11"/>
  <c r="M19" i="11"/>
  <c r="L19" i="11"/>
  <c r="K19" i="11"/>
  <c r="J19" i="11"/>
  <c r="I19" i="11"/>
  <c r="H19" i="11"/>
  <c r="AG18" i="11"/>
  <c r="AF18" i="11"/>
  <c r="AE18" i="11"/>
  <c r="AD18" i="11"/>
  <c r="AC18" i="11"/>
  <c r="AB18" i="11"/>
  <c r="AA18" i="11"/>
  <c r="Z18" i="11"/>
  <c r="Y18" i="11"/>
  <c r="X18" i="11"/>
  <c r="W18" i="11"/>
  <c r="V18" i="11"/>
  <c r="U18" i="11"/>
  <c r="T18" i="11"/>
  <c r="S18" i="11"/>
  <c r="R18" i="11"/>
  <c r="Q18" i="11"/>
  <c r="P18" i="11"/>
  <c r="O18" i="11"/>
  <c r="N18" i="11"/>
  <c r="M18" i="11"/>
  <c r="L18" i="11"/>
  <c r="K18" i="11"/>
  <c r="J18" i="11"/>
  <c r="I18" i="11"/>
  <c r="H18" i="11"/>
  <c r="AH17" i="11"/>
  <c r="AG17" i="11"/>
  <c r="AF17" i="11"/>
  <c r="AE17" i="11"/>
  <c r="AD17" i="11"/>
  <c r="AC17" i="11"/>
  <c r="AB17" i="11"/>
  <c r="AA17" i="11"/>
  <c r="Z17" i="11"/>
  <c r="Y17" i="11"/>
  <c r="X17" i="11"/>
  <c r="W17" i="11"/>
  <c r="V17" i="11"/>
  <c r="U17" i="11"/>
  <c r="T17" i="11"/>
  <c r="S17" i="11"/>
  <c r="R17" i="11"/>
  <c r="Q17" i="11"/>
  <c r="P17" i="11"/>
  <c r="O17" i="11"/>
  <c r="N17" i="11"/>
  <c r="M17" i="11"/>
  <c r="L17" i="11"/>
  <c r="K17" i="11"/>
  <c r="J17" i="11"/>
  <c r="I17" i="11"/>
  <c r="H17" i="11"/>
  <c r="AH16" i="11"/>
  <c r="AG16" i="11"/>
  <c r="AF16" i="11"/>
  <c r="AE16" i="11"/>
  <c r="AD16" i="11"/>
  <c r="AC16" i="11"/>
  <c r="AB16" i="11"/>
  <c r="AA16" i="11"/>
  <c r="Z16" i="11"/>
  <c r="Y16" i="11"/>
  <c r="X16" i="11"/>
  <c r="W16" i="11"/>
  <c r="V16" i="11"/>
  <c r="U16" i="11"/>
  <c r="T16" i="11"/>
  <c r="S16" i="11"/>
  <c r="R16" i="11"/>
  <c r="Q16" i="11"/>
  <c r="P16" i="11"/>
  <c r="O16" i="11"/>
  <c r="N16" i="11"/>
  <c r="M16" i="11"/>
  <c r="L16" i="11"/>
  <c r="K16" i="11"/>
  <c r="J16" i="11"/>
  <c r="I16" i="11"/>
  <c r="H16" i="11"/>
  <c r="AH15" i="11"/>
  <c r="AG15" i="11"/>
  <c r="AF15" i="11"/>
  <c r="AE15" i="11"/>
  <c r="AD15" i="11"/>
  <c r="AC15" i="11"/>
  <c r="AB15" i="11"/>
  <c r="AA15" i="11"/>
  <c r="Z15" i="11"/>
  <c r="Y15" i="11"/>
  <c r="X15" i="11"/>
  <c r="W15" i="11"/>
  <c r="V15" i="11"/>
  <c r="U15" i="11"/>
  <c r="T15" i="11"/>
  <c r="S15" i="11"/>
  <c r="R15" i="11"/>
  <c r="Q15" i="11"/>
  <c r="P15" i="11"/>
  <c r="O15" i="11"/>
  <c r="N15" i="11"/>
  <c r="M15" i="11"/>
  <c r="L15" i="11"/>
  <c r="K15" i="11"/>
  <c r="J15" i="11"/>
  <c r="I15" i="11"/>
  <c r="H15" i="11"/>
  <c r="AH14" i="11"/>
  <c r="AG14" i="11"/>
  <c r="AF14" i="11"/>
  <c r="AE14" i="11"/>
  <c r="AD14" i="11"/>
  <c r="AC14" i="11"/>
  <c r="AB14" i="11"/>
  <c r="AA14" i="11"/>
  <c r="Z14" i="11"/>
  <c r="Y14" i="11"/>
  <c r="X14" i="11"/>
  <c r="W14" i="11"/>
  <c r="V14" i="11"/>
  <c r="U14" i="11"/>
  <c r="T14" i="11"/>
  <c r="S14" i="11"/>
  <c r="R14" i="11"/>
  <c r="Q14" i="11"/>
  <c r="P14" i="11"/>
  <c r="O14" i="11"/>
  <c r="N14" i="11"/>
  <c r="M14" i="11"/>
  <c r="L14" i="11"/>
  <c r="K14" i="11"/>
  <c r="J14" i="11"/>
  <c r="I14" i="11"/>
  <c r="H14" i="11"/>
  <c r="AH13" i="11"/>
  <c r="AG13" i="11"/>
  <c r="AF13" i="11"/>
  <c r="AE13" i="11"/>
  <c r="AD13" i="11"/>
  <c r="AC13" i="11"/>
  <c r="AB13" i="11"/>
  <c r="AA13" i="11"/>
  <c r="Z13" i="11"/>
  <c r="Y13" i="11"/>
  <c r="X13" i="11"/>
  <c r="W13" i="11"/>
  <c r="V13" i="11"/>
  <c r="U13" i="11"/>
  <c r="T13" i="11"/>
  <c r="S13" i="11"/>
  <c r="R13" i="11"/>
  <c r="Q13" i="11"/>
  <c r="P13" i="11"/>
  <c r="O13" i="11"/>
  <c r="N13" i="11"/>
  <c r="M13" i="11"/>
  <c r="L13" i="11"/>
  <c r="K13" i="11"/>
  <c r="J13" i="11"/>
  <c r="I13" i="11"/>
  <c r="H13" i="11"/>
  <c r="AH12" i="11"/>
  <c r="AG12" i="11"/>
  <c r="AF12" i="11"/>
  <c r="AE12" i="11"/>
  <c r="AD12" i="11"/>
  <c r="AC12" i="11"/>
  <c r="AB12" i="11"/>
  <c r="AA12" i="11"/>
  <c r="Z12" i="11"/>
  <c r="Y12" i="11"/>
  <c r="X12" i="11"/>
  <c r="W12" i="11"/>
  <c r="V12" i="11"/>
  <c r="U12" i="11"/>
  <c r="T12" i="11"/>
  <c r="S12" i="11"/>
  <c r="R12" i="11"/>
  <c r="Q12" i="11"/>
  <c r="P12" i="11"/>
  <c r="O12" i="11"/>
  <c r="N12" i="11"/>
  <c r="M12" i="11"/>
  <c r="L12" i="11"/>
  <c r="K12" i="11"/>
  <c r="J12" i="11"/>
  <c r="I12" i="11"/>
  <c r="H12" i="11"/>
  <c r="AH11" i="11"/>
  <c r="AG11" i="11"/>
  <c r="AF11" i="11"/>
  <c r="AE11" i="11"/>
  <c r="AD11" i="11"/>
  <c r="AC11" i="11"/>
  <c r="AB11" i="11"/>
  <c r="AA11" i="11"/>
  <c r="Z11" i="11"/>
  <c r="Y11" i="11"/>
  <c r="X11" i="11"/>
  <c r="W11" i="11"/>
  <c r="V11" i="11"/>
  <c r="U11" i="11"/>
  <c r="T11" i="11"/>
  <c r="S11" i="11"/>
  <c r="R11" i="11"/>
  <c r="Q11" i="11"/>
  <c r="P11" i="11"/>
  <c r="O11" i="11"/>
  <c r="N11" i="11"/>
  <c r="M11" i="11"/>
  <c r="L11" i="11"/>
  <c r="K11" i="11"/>
  <c r="J11" i="11"/>
  <c r="I11" i="11"/>
  <c r="H11" i="11"/>
  <c r="AH10" i="11"/>
  <c r="AG10" i="11"/>
  <c r="AF10" i="11"/>
  <c r="AE10" i="11"/>
  <c r="AD10" i="11"/>
  <c r="AC10" i="11"/>
  <c r="AB10" i="11"/>
  <c r="AA10" i="11"/>
  <c r="Z10" i="11"/>
  <c r="Y10" i="11"/>
  <c r="X10" i="11"/>
  <c r="W10" i="11"/>
  <c r="V10" i="11"/>
  <c r="U10" i="11"/>
  <c r="T10" i="11"/>
  <c r="S10" i="11"/>
  <c r="R10" i="11"/>
  <c r="Q10" i="11"/>
  <c r="P10" i="11"/>
  <c r="O10" i="11"/>
  <c r="N10" i="11"/>
  <c r="M10" i="11"/>
  <c r="L10" i="11"/>
  <c r="K10" i="11"/>
  <c r="J10" i="11"/>
  <c r="I10" i="11"/>
  <c r="H10" i="11"/>
  <c r="AH9" i="11"/>
  <c r="AG9" i="11"/>
  <c r="AF9" i="11"/>
  <c r="AE9" i="11"/>
  <c r="AD9" i="11"/>
  <c r="AC9" i="11"/>
  <c r="AB9" i="11"/>
  <c r="AA9" i="11"/>
  <c r="Z9" i="11"/>
  <c r="Y9" i="11"/>
  <c r="X9" i="11"/>
  <c r="W9" i="11"/>
  <c r="V9" i="11"/>
  <c r="U9" i="11"/>
  <c r="T9" i="11"/>
  <c r="S9" i="11"/>
  <c r="R9" i="11"/>
  <c r="Q9" i="11"/>
  <c r="P9" i="11"/>
  <c r="O9" i="11"/>
  <c r="N9" i="11"/>
  <c r="M9" i="11"/>
  <c r="L9" i="11"/>
  <c r="K9" i="11"/>
  <c r="J9" i="11"/>
  <c r="I9" i="11"/>
  <c r="H9" i="11"/>
  <c r="AH8" i="11"/>
  <c r="AG8" i="11"/>
  <c r="AF8" i="11"/>
  <c r="AE8" i="11"/>
  <c r="AD8" i="11"/>
  <c r="AC8" i="11"/>
  <c r="AB8" i="11"/>
  <c r="AA8" i="11"/>
  <c r="Z8" i="11"/>
  <c r="Y8" i="11"/>
  <c r="X8" i="11"/>
  <c r="W8" i="11"/>
  <c r="V8" i="11"/>
  <c r="U8" i="11"/>
  <c r="T8" i="11"/>
  <c r="S8" i="11"/>
  <c r="R8" i="11"/>
  <c r="Q8" i="11"/>
  <c r="P8" i="11"/>
  <c r="O8" i="11"/>
  <c r="N8" i="11"/>
  <c r="M8" i="11"/>
  <c r="L8" i="11"/>
  <c r="K8" i="11"/>
  <c r="J8" i="11"/>
  <c r="I8" i="11"/>
  <c r="H8" i="11"/>
  <c r="AH7" i="11"/>
  <c r="AG7" i="11"/>
  <c r="AF7" i="11"/>
  <c r="AE7" i="11"/>
  <c r="AD7" i="11"/>
  <c r="AC7" i="11"/>
  <c r="AB7" i="11"/>
  <c r="AA7" i="11"/>
  <c r="Z7" i="11"/>
  <c r="Y7" i="11"/>
  <c r="X7" i="11"/>
  <c r="W7" i="11"/>
  <c r="V7" i="11"/>
  <c r="U7" i="11"/>
  <c r="T7" i="11"/>
  <c r="S7" i="11"/>
  <c r="R7" i="11"/>
  <c r="Q7" i="11"/>
  <c r="P7" i="11"/>
  <c r="O7" i="11"/>
  <c r="N7" i="11"/>
  <c r="M7" i="11"/>
  <c r="L7" i="11"/>
  <c r="K7" i="11"/>
  <c r="J7" i="11"/>
  <c r="I7" i="11"/>
  <c r="H7" i="11"/>
  <c r="AH6" i="11"/>
  <c r="AG6" i="11"/>
  <c r="AF6" i="11"/>
  <c r="AE6" i="11"/>
  <c r="AD6" i="11"/>
  <c r="AC6" i="11"/>
  <c r="AB6" i="11"/>
  <c r="AA6" i="11"/>
  <c r="Z6" i="11"/>
  <c r="Y6" i="11"/>
  <c r="X6" i="11"/>
  <c r="W6" i="11"/>
  <c r="V6" i="11"/>
  <c r="U6" i="11"/>
  <c r="T6" i="11"/>
  <c r="S6" i="11"/>
  <c r="R6" i="11"/>
  <c r="Q6" i="11"/>
  <c r="P6" i="11"/>
  <c r="O6" i="11"/>
  <c r="N6" i="11"/>
  <c r="M6" i="11"/>
  <c r="L6" i="11"/>
  <c r="K6" i="11"/>
  <c r="J6" i="11"/>
  <c r="I6" i="11"/>
  <c r="H6" i="11"/>
  <c r="AH5" i="11"/>
  <c r="AG5" i="11"/>
  <c r="AF5" i="11"/>
  <c r="AE5" i="11"/>
  <c r="AD5" i="11"/>
  <c r="AC5" i="11"/>
  <c r="AB5" i="11"/>
  <c r="AA5" i="11"/>
  <c r="Z5" i="11"/>
  <c r="Y5" i="11"/>
  <c r="X5" i="11"/>
  <c r="W5" i="11"/>
  <c r="V5" i="11"/>
  <c r="U5" i="11"/>
  <c r="T5" i="11"/>
  <c r="S5" i="11"/>
  <c r="R5" i="11"/>
  <c r="Q5" i="11"/>
  <c r="P5" i="11"/>
  <c r="O5" i="11"/>
  <c r="N5" i="11"/>
  <c r="M5" i="11"/>
  <c r="L5" i="11"/>
  <c r="K5" i="11"/>
  <c r="J5" i="11"/>
  <c r="I5" i="11"/>
  <c r="H5" i="11"/>
  <c r="AH4" i="11"/>
  <c r="AG4" i="11"/>
  <c r="AF4" i="11"/>
  <c r="AE4" i="11"/>
  <c r="AD4" i="11"/>
  <c r="AC4" i="11"/>
  <c r="AB4" i="11"/>
  <c r="AA4" i="11"/>
  <c r="Z4" i="11"/>
  <c r="Y4" i="11"/>
  <c r="X4" i="11"/>
  <c r="W4" i="11"/>
  <c r="V4" i="11"/>
  <c r="U4" i="11"/>
  <c r="T4" i="11"/>
  <c r="S4" i="11"/>
  <c r="R4" i="11"/>
  <c r="Q4" i="11"/>
  <c r="P4" i="11"/>
  <c r="O4" i="11"/>
  <c r="N4" i="11"/>
  <c r="M4" i="11"/>
  <c r="L4" i="11"/>
  <c r="K4" i="11"/>
  <c r="J4" i="11"/>
  <c r="I4" i="11"/>
  <c r="H4" i="11"/>
  <c r="AH3" i="11"/>
  <c r="AG3" i="11"/>
  <c r="AF3" i="11"/>
  <c r="AE3" i="11"/>
  <c r="AD3" i="11"/>
  <c r="AC3" i="11"/>
  <c r="AB3" i="11"/>
  <c r="AA3" i="11"/>
  <c r="Z3" i="11"/>
  <c r="Y3" i="11"/>
  <c r="X3" i="11"/>
  <c r="W3" i="11"/>
  <c r="V3" i="11"/>
  <c r="U3" i="11"/>
  <c r="T3" i="11"/>
  <c r="S3" i="11"/>
  <c r="R3" i="11"/>
  <c r="Q3" i="11"/>
  <c r="P3" i="11"/>
  <c r="O3" i="11"/>
  <c r="N3" i="11"/>
  <c r="M3" i="11"/>
  <c r="L3" i="11"/>
  <c r="K3" i="11"/>
  <c r="J3" i="11"/>
  <c r="I3" i="11"/>
  <c r="H3" i="11"/>
  <c r="AG2" i="11"/>
  <c r="AB2" i="11"/>
  <c r="AA2" i="11"/>
  <c r="Z2" i="11"/>
  <c r="Y2" i="11"/>
  <c r="X2" i="11"/>
  <c r="W2" i="11"/>
  <c r="V2" i="11"/>
  <c r="U2" i="11"/>
  <c r="T2" i="11"/>
  <c r="S2" i="11"/>
  <c r="R2" i="11"/>
  <c r="Q2" i="11"/>
  <c r="P2" i="11"/>
  <c r="O2" i="11"/>
  <c r="N2" i="11"/>
  <c r="M2" i="11"/>
  <c r="L2" i="11"/>
  <c r="K2" i="11"/>
  <c r="J2" i="11"/>
  <c r="I2" i="11"/>
  <c r="H2" i="11"/>
  <c r="AH130" i="10"/>
  <c r="AG130" i="10"/>
  <c r="AB130" i="10"/>
  <c r="AA130" i="10"/>
  <c r="Z130" i="10"/>
  <c r="Y130" i="10"/>
  <c r="X130" i="10"/>
  <c r="W130" i="10"/>
  <c r="V130" i="10"/>
  <c r="U130" i="10"/>
  <c r="T130" i="10"/>
  <c r="S130" i="10"/>
  <c r="R130" i="10"/>
  <c r="Q130" i="10"/>
  <c r="P130" i="10"/>
  <c r="O130" i="10"/>
  <c r="N130" i="10"/>
  <c r="M130" i="10"/>
  <c r="L130" i="10"/>
  <c r="K130" i="10"/>
  <c r="J130" i="10"/>
  <c r="I130" i="10"/>
  <c r="H130" i="10"/>
  <c r="AH129" i="10"/>
  <c r="AG129" i="10"/>
  <c r="AB129" i="10"/>
  <c r="AA129" i="10"/>
  <c r="Z129" i="10"/>
  <c r="Y129" i="10"/>
  <c r="X129" i="10"/>
  <c r="W129" i="10"/>
  <c r="V129" i="10"/>
  <c r="U129" i="10"/>
  <c r="T129" i="10"/>
  <c r="S129" i="10"/>
  <c r="R129" i="10"/>
  <c r="Q129" i="10"/>
  <c r="P129" i="10"/>
  <c r="O129" i="10"/>
  <c r="N129" i="10"/>
  <c r="M129" i="10"/>
  <c r="L129" i="10"/>
  <c r="K129" i="10"/>
  <c r="J129" i="10"/>
  <c r="I129" i="10"/>
  <c r="H129" i="10"/>
  <c r="AH128" i="10"/>
  <c r="AG128" i="10"/>
  <c r="AB128" i="10"/>
  <c r="AA128" i="10"/>
  <c r="Z128" i="10"/>
  <c r="Y128" i="10"/>
  <c r="X128" i="10"/>
  <c r="W128" i="10"/>
  <c r="V128" i="10"/>
  <c r="U128" i="10"/>
  <c r="T128" i="10"/>
  <c r="S128" i="10"/>
  <c r="R128" i="10"/>
  <c r="Q128" i="10"/>
  <c r="P128" i="10"/>
  <c r="O128" i="10"/>
  <c r="N128" i="10"/>
  <c r="M128" i="10"/>
  <c r="L128" i="10"/>
  <c r="K128" i="10"/>
  <c r="J128" i="10"/>
  <c r="I128" i="10"/>
  <c r="H128" i="10"/>
  <c r="AH127" i="10"/>
  <c r="AG127" i="10"/>
  <c r="AB127" i="10"/>
  <c r="AA127" i="10"/>
  <c r="Z127" i="10"/>
  <c r="Y127" i="10"/>
  <c r="X127" i="10"/>
  <c r="W127" i="10"/>
  <c r="V127" i="10"/>
  <c r="U127" i="10"/>
  <c r="T127" i="10"/>
  <c r="S127" i="10"/>
  <c r="R127" i="10"/>
  <c r="Q127" i="10"/>
  <c r="P127" i="10"/>
  <c r="O127" i="10"/>
  <c r="N127" i="10"/>
  <c r="M127" i="10"/>
  <c r="L127" i="10"/>
  <c r="K127" i="10"/>
  <c r="J127" i="10"/>
  <c r="I127" i="10"/>
  <c r="H127" i="10"/>
  <c r="AH126" i="10"/>
  <c r="AG126" i="10"/>
  <c r="AB126" i="10"/>
  <c r="AA126" i="10"/>
  <c r="Z126" i="10"/>
  <c r="Y126" i="10"/>
  <c r="X126" i="10"/>
  <c r="W126" i="10"/>
  <c r="V126" i="10"/>
  <c r="U126" i="10"/>
  <c r="T126" i="10"/>
  <c r="S126" i="10"/>
  <c r="R126" i="10"/>
  <c r="Q126" i="10"/>
  <c r="P126" i="10"/>
  <c r="O126" i="10"/>
  <c r="N126" i="10"/>
  <c r="M126" i="10"/>
  <c r="L126" i="10"/>
  <c r="K126" i="10"/>
  <c r="J126" i="10"/>
  <c r="I126" i="10"/>
  <c r="H126" i="10"/>
  <c r="AH125" i="10"/>
  <c r="AG125" i="10"/>
  <c r="AB125" i="10"/>
  <c r="AA125" i="10"/>
  <c r="Z125" i="10"/>
  <c r="Y125" i="10"/>
  <c r="X125" i="10"/>
  <c r="W125" i="10"/>
  <c r="V125" i="10"/>
  <c r="U125" i="10"/>
  <c r="T125" i="10"/>
  <c r="S125" i="10"/>
  <c r="R125" i="10"/>
  <c r="Q125" i="10"/>
  <c r="P125" i="10"/>
  <c r="O125" i="10"/>
  <c r="N125" i="10"/>
  <c r="M125" i="10"/>
  <c r="L125" i="10"/>
  <c r="K125" i="10"/>
  <c r="J125" i="10"/>
  <c r="I125" i="10"/>
  <c r="H125" i="10"/>
  <c r="AH124" i="10"/>
  <c r="AG124" i="10"/>
  <c r="AB124" i="10"/>
  <c r="AA124" i="10"/>
  <c r="Z124" i="10"/>
  <c r="Y124" i="10"/>
  <c r="X124" i="10"/>
  <c r="W124" i="10"/>
  <c r="V124" i="10"/>
  <c r="U124" i="10"/>
  <c r="T124" i="10"/>
  <c r="S124" i="10"/>
  <c r="R124" i="10"/>
  <c r="Q124" i="10"/>
  <c r="P124" i="10"/>
  <c r="O124" i="10"/>
  <c r="N124" i="10"/>
  <c r="M124" i="10"/>
  <c r="L124" i="10"/>
  <c r="K124" i="10"/>
  <c r="J124" i="10"/>
  <c r="I124" i="10"/>
  <c r="H124" i="10"/>
  <c r="AJ123" i="10"/>
  <c r="AI123" i="10"/>
  <c r="AH123" i="10"/>
  <c r="AG123" i="10"/>
  <c r="AB123" i="10"/>
  <c r="AA123" i="10"/>
  <c r="Z123" i="10"/>
  <c r="Y123" i="10"/>
  <c r="X123" i="10"/>
  <c r="W123" i="10"/>
  <c r="V123" i="10"/>
  <c r="U123" i="10"/>
  <c r="T123" i="10"/>
  <c r="S123" i="10"/>
  <c r="R123" i="10"/>
  <c r="Q123" i="10"/>
  <c r="P123" i="10"/>
  <c r="O123" i="10"/>
  <c r="N123" i="10"/>
  <c r="M123" i="10"/>
  <c r="L123" i="10"/>
  <c r="K123" i="10"/>
  <c r="J123" i="10"/>
  <c r="I123" i="10"/>
  <c r="H123" i="10"/>
  <c r="AH122" i="10"/>
  <c r="AG122" i="10"/>
  <c r="AB122" i="10"/>
  <c r="AA122" i="10"/>
  <c r="Z122" i="10"/>
  <c r="Y122" i="10"/>
  <c r="X122" i="10"/>
  <c r="W122" i="10"/>
  <c r="V122" i="10"/>
  <c r="U122" i="10"/>
  <c r="T122" i="10"/>
  <c r="S122" i="10"/>
  <c r="R122" i="10"/>
  <c r="Q122" i="10"/>
  <c r="P122" i="10"/>
  <c r="O122" i="10"/>
  <c r="N122" i="10"/>
  <c r="M122" i="10"/>
  <c r="L122" i="10"/>
  <c r="K122" i="10"/>
  <c r="J122" i="10"/>
  <c r="I122" i="10"/>
  <c r="H122" i="10"/>
  <c r="AL121" i="10"/>
  <c r="AK121" i="10"/>
  <c r="AJ121" i="10"/>
  <c r="AI121" i="10"/>
  <c r="AH121" i="10"/>
  <c r="AG121" i="10"/>
  <c r="AB121" i="10"/>
  <c r="AA121" i="10"/>
  <c r="Z121" i="10"/>
  <c r="Y121" i="10"/>
  <c r="X121" i="10"/>
  <c r="W121" i="10"/>
  <c r="V121" i="10"/>
  <c r="U121" i="10"/>
  <c r="T121" i="10"/>
  <c r="S121" i="10"/>
  <c r="R121" i="10"/>
  <c r="Q121" i="10"/>
  <c r="P121" i="10"/>
  <c r="O121" i="10"/>
  <c r="N121" i="10"/>
  <c r="M121" i="10"/>
  <c r="L121" i="10"/>
  <c r="K121" i="10"/>
  <c r="J121" i="10"/>
  <c r="I121" i="10"/>
  <c r="H121" i="10"/>
  <c r="AL120" i="10"/>
  <c r="AK120" i="10"/>
  <c r="AJ120" i="10"/>
  <c r="AI120" i="10"/>
  <c r="AH120" i="10"/>
  <c r="AG120" i="10"/>
  <c r="AB120" i="10"/>
  <c r="AA120" i="10"/>
  <c r="Z120" i="10"/>
  <c r="Y120" i="10"/>
  <c r="X120" i="10"/>
  <c r="W120" i="10"/>
  <c r="V120" i="10"/>
  <c r="U120" i="10"/>
  <c r="T120" i="10"/>
  <c r="S120" i="10"/>
  <c r="R120" i="10"/>
  <c r="Q120" i="10"/>
  <c r="P120" i="10"/>
  <c r="O120" i="10"/>
  <c r="N120" i="10"/>
  <c r="M120" i="10"/>
  <c r="L120" i="10"/>
  <c r="K120" i="10"/>
  <c r="J120" i="10"/>
  <c r="I120" i="10"/>
  <c r="H120" i="10"/>
  <c r="AJ119" i="10"/>
  <c r="AI119" i="10"/>
  <c r="AH119" i="10"/>
  <c r="AG119" i="10"/>
  <c r="AB119" i="10"/>
  <c r="AA119" i="10"/>
  <c r="Z119" i="10"/>
  <c r="Y119" i="10"/>
  <c r="X119" i="10"/>
  <c r="W119" i="10"/>
  <c r="V119" i="10"/>
  <c r="U119" i="10"/>
  <c r="T119" i="10"/>
  <c r="S119" i="10"/>
  <c r="R119" i="10"/>
  <c r="Q119" i="10"/>
  <c r="P119" i="10"/>
  <c r="O119" i="10"/>
  <c r="N119" i="10"/>
  <c r="M119" i="10"/>
  <c r="L119" i="10"/>
  <c r="K119" i="10"/>
  <c r="J119" i="10"/>
  <c r="I119" i="10"/>
  <c r="AJ118" i="10"/>
  <c r="AI118" i="10"/>
  <c r="AH118" i="10"/>
  <c r="AG118" i="10"/>
  <c r="AB118" i="10"/>
  <c r="AA118" i="10"/>
  <c r="Z118" i="10"/>
  <c r="Y118" i="10"/>
  <c r="X118" i="10"/>
  <c r="W118" i="10"/>
  <c r="V118" i="10"/>
  <c r="U118" i="10"/>
  <c r="T118" i="10"/>
  <c r="S118" i="10"/>
  <c r="R118" i="10"/>
  <c r="Q118" i="10"/>
  <c r="P118" i="10"/>
  <c r="O118" i="10"/>
  <c r="N118" i="10"/>
  <c r="M118" i="10"/>
  <c r="L118" i="10"/>
  <c r="K118" i="10"/>
  <c r="J118" i="10"/>
  <c r="I118" i="10"/>
  <c r="AJ117" i="10"/>
  <c r="AI117" i="10"/>
  <c r="AH117" i="10"/>
  <c r="AG117" i="10"/>
  <c r="AB117" i="10"/>
  <c r="AA117" i="10"/>
  <c r="Z117" i="10"/>
  <c r="Y117" i="10"/>
  <c r="X117" i="10"/>
  <c r="W117" i="10"/>
  <c r="V117" i="10"/>
  <c r="U117" i="10"/>
  <c r="T117" i="10"/>
  <c r="S117" i="10"/>
  <c r="R117" i="10"/>
  <c r="Q117" i="10"/>
  <c r="P117" i="10"/>
  <c r="O117" i="10"/>
  <c r="N117" i="10"/>
  <c r="M117" i="10"/>
  <c r="L117" i="10"/>
  <c r="K117" i="10"/>
  <c r="J117" i="10"/>
  <c r="I117" i="10"/>
  <c r="H117" i="10"/>
  <c r="AJ116" i="10"/>
  <c r="AI116" i="10"/>
  <c r="AH116" i="10"/>
  <c r="AG116" i="10"/>
  <c r="AB116" i="10"/>
  <c r="AA116" i="10"/>
  <c r="Z116" i="10"/>
  <c r="Y116" i="10"/>
  <c r="X116" i="10"/>
  <c r="W116" i="10"/>
  <c r="V116" i="10"/>
  <c r="U116" i="10"/>
  <c r="T116" i="10"/>
  <c r="S116" i="10"/>
  <c r="R116" i="10"/>
  <c r="Q116" i="10"/>
  <c r="P116" i="10"/>
  <c r="O116" i="10"/>
  <c r="N116" i="10"/>
  <c r="M116" i="10"/>
  <c r="L116" i="10"/>
  <c r="K116" i="10"/>
  <c r="J116" i="10"/>
  <c r="I116" i="10"/>
  <c r="H116" i="10"/>
  <c r="AH115" i="10"/>
  <c r="AG115" i="10"/>
  <c r="AB115" i="10"/>
  <c r="AA115" i="10"/>
  <c r="Z115" i="10"/>
  <c r="Y115" i="10"/>
  <c r="X115" i="10"/>
  <c r="W115" i="10"/>
  <c r="V115" i="10"/>
  <c r="U115" i="10"/>
  <c r="T115" i="10"/>
  <c r="S115" i="10"/>
  <c r="R115" i="10"/>
  <c r="Q115" i="10"/>
  <c r="P115" i="10"/>
  <c r="O115" i="10"/>
  <c r="N115" i="10"/>
  <c r="M115" i="10"/>
  <c r="L115" i="10"/>
  <c r="K115" i="10"/>
  <c r="J115" i="10"/>
  <c r="I115" i="10"/>
  <c r="H115" i="10"/>
  <c r="AJ114" i="10"/>
  <c r="AI114" i="10"/>
  <c r="AH114" i="10"/>
  <c r="AG114" i="10"/>
  <c r="AB114" i="10"/>
  <c r="AA114" i="10"/>
  <c r="Z114" i="10"/>
  <c r="Y114" i="10"/>
  <c r="X114" i="10"/>
  <c r="W114" i="10"/>
  <c r="V114" i="10"/>
  <c r="U114" i="10"/>
  <c r="T114" i="10"/>
  <c r="S114" i="10"/>
  <c r="R114" i="10"/>
  <c r="Q114" i="10"/>
  <c r="P114" i="10"/>
  <c r="O114" i="10"/>
  <c r="N114" i="10"/>
  <c r="M114" i="10"/>
  <c r="L114" i="10"/>
  <c r="K114" i="10"/>
  <c r="J114" i="10"/>
  <c r="I114" i="10"/>
  <c r="H114" i="10"/>
  <c r="AH113" i="10"/>
  <c r="AG113" i="10"/>
  <c r="AB113" i="10"/>
  <c r="AA113" i="10"/>
  <c r="Z113" i="10"/>
  <c r="Y113" i="10"/>
  <c r="X113" i="10"/>
  <c r="W113" i="10"/>
  <c r="V113" i="10"/>
  <c r="U113" i="10"/>
  <c r="T113" i="10"/>
  <c r="S113" i="10"/>
  <c r="R113" i="10"/>
  <c r="Q113" i="10"/>
  <c r="P113" i="10"/>
  <c r="O113" i="10"/>
  <c r="N113" i="10"/>
  <c r="M113" i="10"/>
  <c r="L113" i="10"/>
  <c r="K113" i="10"/>
  <c r="J113" i="10"/>
  <c r="I113" i="10"/>
  <c r="H113" i="10"/>
  <c r="AH112" i="10"/>
  <c r="AG112" i="10"/>
  <c r="AB112" i="10"/>
  <c r="AA112" i="10"/>
  <c r="Z112" i="10"/>
  <c r="Y112" i="10"/>
  <c r="X112" i="10"/>
  <c r="W112" i="10"/>
  <c r="V112" i="10"/>
  <c r="U112" i="10"/>
  <c r="T112" i="10"/>
  <c r="S112" i="10"/>
  <c r="R112" i="10"/>
  <c r="Q112" i="10"/>
  <c r="P112" i="10"/>
  <c r="O112" i="10"/>
  <c r="N112" i="10"/>
  <c r="M112" i="10"/>
  <c r="L112" i="10"/>
  <c r="K112" i="10"/>
  <c r="J112" i="10"/>
  <c r="I112" i="10"/>
  <c r="H112" i="10"/>
  <c r="AJ111" i="10"/>
  <c r="AI111" i="10"/>
  <c r="AH111" i="10"/>
  <c r="AG111" i="10"/>
  <c r="AB111" i="10"/>
  <c r="AA111" i="10"/>
  <c r="Z111" i="10"/>
  <c r="Y111" i="10"/>
  <c r="X111" i="10"/>
  <c r="W111" i="10"/>
  <c r="V111" i="10"/>
  <c r="U111" i="10"/>
  <c r="T111" i="10"/>
  <c r="S111" i="10"/>
  <c r="R111" i="10"/>
  <c r="Q111" i="10"/>
  <c r="P111" i="10"/>
  <c r="O111" i="10"/>
  <c r="N111" i="10"/>
  <c r="M111" i="10"/>
  <c r="L111" i="10"/>
  <c r="K111" i="10"/>
  <c r="J111" i="10"/>
  <c r="I111" i="10"/>
  <c r="H111" i="10"/>
  <c r="AH110" i="10"/>
  <c r="AG110" i="10"/>
  <c r="AB110" i="10"/>
  <c r="AA110" i="10"/>
  <c r="Z110" i="10"/>
  <c r="Y110" i="10"/>
  <c r="X110" i="10"/>
  <c r="W110" i="10"/>
  <c r="V110" i="10"/>
  <c r="U110" i="10"/>
  <c r="T110" i="10"/>
  <c r="S110" i="10"/>
  <c r="R110" i="10"/>
  <c r="Q110" i="10"/>
  <c r="P110" i="10"/>
  <c r="O110" i="10"/>
  <c r="N110" i="10"/>
  <c r="M110" i="10"/>
  <c r="L110" i="10"/>
  <c r="K110" i="10"/>
  <c r="J110" i="10"/>
  <c r="I110" i="10"/>
  <c r="H110" i="10"/>
  <c r="AJ109" i="10"/>
  <c r="AI109" i="10"/>
  <c r="AH109" i="10"/>
  <c r="AG109" i="10"/>
  <c r="AB109" i="10"/>
  <c r="AA109" i="10"/>
  <c r="Z109" i="10"/>
  <c r="Y109" i="10"/>
  <c r="X109" i="10"/>
  <c r="W109" i="10"/>
  <c r="V109" i="10"/>
  <c r="U109" i="10"/>
  <c r="T109" i="10"/>
  <c r="S109" i="10"/>
  <c r="R109" i="10"/>
  <c r="Q109" i="10"/>
  <c r="P109" i="10"/>
  <c r="O109" i="10"/>
  <c r="N109" i="10"/>
  <c r="M109" i="10"/>
  <c r="L109" i="10"/>
  <c r="K109" i="10"/>
  <c r="J109" i="10"/>
  <c r="I109" i="10"/>
  <c r="H109" i="10"/>
  <c r="AJ108" i="10"/>
  <c r="AI108" i="10"/>
  <c r="AH108" i="10"/>
  <c r="AG108" i="10"/>
  <c r="AB108" i="10"/>
  <c r="AA108" i="10"/>
  <c r="Z108" i="10"/>
  <c r="Y108" i="10"/>
  <c r="X108" i="10"/>
  <c r="W108" i="10"/>
  <c r="V108" i="10"/>
  <c r="U108" i="10"/>
  <c r="T108" i="10"/>
  <c r="S108" i="10"/>
  <c r="R108" i="10"/>
  <c r="Q108" i="10"/>
  <c r="P108" i="10"/>
  <c r="O108" i="10"/>
  <c r="N108" i="10"/>
  <c r="M108" i="10"/>
  <c r="L108" i="10"/>
  <c r="K108" i="10"/>
  <c r="J108" i="10"/>
  <c r="I108" i="10"/>
  <c r="H108" i="10"/>
  <c r="AH107" i="10"/>
  <c r="AG107" i="10"/>
  <c r="AB107" i="10"/>
  <c r="AA107" i="10"/>
  <c r="Z107" i="10"/>
  <c r="Y107" i="10"/>
  <c r="X107" i="10"/>
  <c r="W107" i="10"/>
  <c r="V107" i="10"/>
  <c r="U107" i="10"/>
  <c r="T107" i="10"/>
  <c r="S107" i="10"/>
  <c r="R107" i="10"/>
  <c r="Q107" i="10"/>
  <c r="P107" i="10"/>
  <c r="O107" i="10"/>
  <c r="N107" i="10"/>
  <c r="M107" i="10"/>
  <c r="L107" i="10"/>
  <c r="K107" i="10"/>
  <c r="J107" i="10"/>
  <c r="I107" i="10"/>
  <c r="H107" i="10"/>
  <c r="AL106" i="10"/>
  <c r="AK106" i="10"/>
  <c r="AJ106" i="10"/>
  <c r="AI106" i="10"/>
  <c r="AH106" i="10"/>
  <c r="AG106" i="10"/>
  <c r="AB106" i="10"/>
  <c r="AA106" i="10"/>
  <c r="Z106" i="10"/>
  <c r="Y106" i="10"/>
  <c r="X106" i="10"/>
  <c r="W106" i="10"/>
  <c r="V106" i="10"/>
  <c r="U106" i="10"/>
  <c r="T106" i="10"/>
  <c r="S106" i="10"/>
  <c r="R106" i="10"/>
  <c r="Q106" i="10"/>
  <c r="P106" i="10"/>
  <c r="O106" i="10"/>
  <c r="N106" i="10"/>
  <c r="M106" i="10"/>
  <c r="L106" i="10"/>
  <c r="K106" i="10"/>
  <c r="J106" i="10"/>
  <c r="I106" i="10"/>
  <c r="H106" i="10"/>
  <c r="AL105" i="10"/>
  <c r="AK105" i="10"/>
  <c r="AJ105" i="10"/>
  <c r="AI105" i="10"/>
  <c r="AH105" i="10"/>
  <c r="AG105" i="10"/>
  <c r="AB105" i="10"/>
  <c r="AA105" i="10"/>
  <c r="Z105" i="10"/>
  <c r="Y105" i="10"/>
  <c r="X105" i="10"/>
  <c r="W105" i="10"/>
  <c r="V105" i="10"/>
  <c r="U105" i="10"/>
  <c r="T105" i="10"/>
  <c r="S105" i="10"/>
  <c r="R105" i="10"/>
  <c r="Q105" i="10"/>
  <c r="P105" i="10"/>
  <c r="O105" i="10"/>
  <c r="N105" i="10"/>
  <c r="M105" i="10"/>
  <c r="L105" i="10"/>
  <c r="K105" i="10"/>
  <c r="J105" i="10"/>
  <c r="I105" i="10"/>
  <c r="H105" i="10"/>
  <c r="AJ104" i="10"/>
  <c r="AI104" i="10"/>
  <c r="AH104" i="10"/>
  <c r="AG104" i="10"/>
  <c r="AB104" i="10"/>
  <c r="AA104" i="10"/>
  <c r="Z104" i="10"/>
  <c r="Y104" i="10"/>
  <c r="X104" i="10"/>
  <c r="W104" i="10"/>
  <c r="V104" i="10"/>
  <c r="U104" i="10"/>
  <c r="T104" i="10"/>
  <c r="S104" i="10"/>
  <c r="R104" i="10"/>
  <c r="Q104" i="10"/>
  <c r="P104" i="10"/>
  <c r="O104" i="10"/>
  <c r="N104" i="10"/>
  <c r="M104" i="10"/>
  <c r="L104" i="10"/>
  <c r="K104" i="10"/>
  <c r="J104" i="10"/>
  <c r="I104" i="10"/>
  <c r="H104" i="10"/>
  <c r="AH103" i="10"/>
  <c r="AG103" i="10"/>
  <c r="AB103" i="10"/>
  <c r="AA103" i="10"/>
  <c r="Z103" i="10"/>
  <c r="Y103" i="10"/>
  <c r="X103" i="10"/>
  <c r="W103" i="10"/>
  <c r="V103" i="10"/>
  <c r="U103" i="10"/>
  <c r="T103" i="10"/>
  <c r="S103" i="10"/>
  <c r="R103" i="10"/>
  <c r="Q103" i="10"/>
  <c r="P103" i="10"/>
  <c r="O103" i="10"/>
  <c r="N103" i="10"/>
  <c r="M103" i="10"/>
  <c r="L103" i="10"/>
  <c r="K103" i="10"/>
  <c r="J103" i="10"/>
  <c r="I103" i="10"/>
  <c r="H103" i="10"/>
  <c r="AH102" i="10"/>
  <c r="AG102" i="10"/>
  <c r="AB102" i="10"/>
  <c r="AA102" i="10"/>
  <c r="Z102" i="10"/>
  <c r="Y102" i="10"/>
  <c r="X102" i="10"/>
  <c r="W102" i="10"/>
  <c r="V102" i="10"/>
  <c r="U102" i="10"/>
  <c r="T102" i="10"/>
  <c r="S102" i="10"/>
  <c r="R102" i="10"/>
  <c r="Q102" i="10"/>
  <c r="P102" i="10"/>
  <c r="O102" i="10"/>
  <c r="N102" i="10"/>
  <c r="M102" i="10"/>
  <c r="L102" i="10"/>
  <c r="K102" i="10"/>
  <c r="J102" i="10"/>
  <c r="I102" i="10"/>
  <c r="H102" i="10"/>
  <c r="AH101" i="10"/>
  <c r="AG101" i="10"/>
  <c r="AB101" i="10"/>
  <c r="AA101" i="10"/>
  <c r="Z101" i="10"/>
  <c r="Y101" i="10"/>
  <c r="X101" i="10"/>
  <c r="W101" i="10"/>
  <c r="V101" i="10"/>
  <c r="U101" i="10"/>
  <c r="T101" i="10"/>
  <c r="S101" i="10"/>
  <c r="R101" i="10"/>
  <c r="Q101" i="10"/>
  <c r="P101" i="10"/>
  <c r="O101" i="10"/>
  <c r="N101" i="10"/>
  <c r="M101" i="10"/>
  <c r="L101" i="10"/>
  <c r="K101" i="10"/>
  <c r="J101" i="10"/>
  <c r="I101" i="10"/>
  <c r="H101" i="10"/>
  <c r="AL100" i="10"/>
  <c r="AK100" i="10"/>
  <c r="AJ100" i="10"/>
  <c r="AI100" i="10"/>
  <c r="AH100" i="10"/>
  <c r="AG100" i="10"/>
  <c r="AB100" i="10"/>
  <c r="AA100" i="10"/>
  <c r="Z100" i="10"/>
  <c r="Y100" i="10"/>
  <c r="X100" i="10"/>
  <c r="W100" i="10"/>
  <c r="V100" i="10"/>
  <c r="U100" i="10"/>
  <c r="T100" i="10"/>
  <c r="S100" i="10"/>
  <c r="R100" i="10"/>
  <c r="Q100" i="10"/>
  <c r="P100" i="10"/>
  <c r="O100" i="10"/>
  <c r="N100" i="10"/>
  <c r="M100" i="10"/>
  <c r="L100" i="10"/>
  <c r="K100" i="10"/>
  <c r="J100" i="10"/>
  <c r="I100" i="10"/>
  <c r="H100" i="10"/>
  <c r="AJ99" i="10"/>
  <c r="AI99" i="10"/>
  <c r="AH99" i="10"/>
  <c r="AG99" i="10"/>
  <c r="AB99" i="10"/>
  <c r="AA99" i="10"/>
  <c r="Z99" i="10"/>
  <c r="Y99" i="10"/>
  <c r="X99" i="10"/>
  <c r="W99" i="10"/>
  <c r="V99" i="10"/>
  <c r="U99" i="10"/>
  <c r="T99" i="10"/>
  <c r="S99" i="10"/>
  <c r="R99" i="10"/>
  <c r="Q99" i="10"/>
  <c r="P99" i="10"/>
  <c r="O99" i="10"/>
  <c r="N99" i="10"/>
  <c r="M99" i="10"/>
  <c r="L99" i="10"/>
  <c r="K99" i="10"/>
  <c r="J99" i="10"/>
  <c r="I99" i="10"/>
  <c r="H99" i="10"/>
  <c r="AH98" i="10"/>
  <c r="AG98" i="10"/>
  <c r="AB98" i="10"/>
  <c r="AA98" i="10"/>
  <c r="Z98" i="10"/>
  <c r="Y98" i="10"/>
  <c r="X98" i="10"/>
  <c r="W98" i="10"/>
  <c r="V98" i="10"/>
  <c r="U98" i="10"/>
  <c r="T98" i="10"/>
  <c r="S98" i="10"/>
  <c r="R98" i="10"/>
  <c r="Q98" i="10"/>
  <c r="P98" i="10"/>
  <c r="O98" i="10"/>
  <c r="N98" i="10"/>
  <c r="M98" i="10"/>
  <c r="L98" i="10"/>
  <c r="K98" i="10"/>
  <c r="J98" i="10"/>
  <c r="I98" i="10"/>
  <c r="H98" i="10"/>
  <c r="AJ97" i="10"/>
  <c r="AI97" i="10"/>
  <c r="AH97" i="10"/>
  <c r="AG97" i="10"/>
  <c r="AB97" i="10"/>
  <c r="AA97" i="10"/>
  <c r="Z97" i="10"/>
  <c r="Y97" i="10"/>
  <c r="X97" i="10"/>
  <c r="W97" i="10"/>
  <c r="V97" i="10"/>
  <c r="U97" i="10"/>
  <c r="T97" i="10"/>
  <c r="S97" i="10"/>
  <c r="R97" i="10"/>
  <c r="Q97" i="10"/>
  <c r="P97" i="10"/>
  <c r="O97" i="10"/>
  <c r="N97" i="10"/>
  <c r="M97" i="10"/>
  <c r="L97" i="10"/>
  <c r="K97" i="10"/>
  <c r="J97" i="10"/>
  <c r="I97" i="10"/>
  <c r="H97" i="10"/>
  <c r="AL96" i="10"/>
  <c r="AK96" i="10"/>
  <c r="AJ96" i="10"/>
  <c r="AI96" i="10"/>
  <c r="AH96" i="10"/>
  <c r="AG96" i="10"/>
  <c r="AB96" i="10"/>
  <c r="AA96" i="10"/>
  <c r="Z96" i="10"/>
  <c r="Y96" i="10"/>
  <c r="X96" i="10"/>
  <c r="W96" i="10"/>
  <c r="V96" i="10"/>
  <c r="U96" i="10"/>
  <c r="T96" i="10"/>
  <c r="S96" i="10"/>
  <c r="R96" i="10"/>
  <c r="Q96" i="10"/>
  <c r="P96" i="10"/>
  <c r="O96" i="10"/>
  <c r="N96" i="10"/>
  <c r="M96" i="10"/>
  <c r="L96" i="10"/>
  <c r="K96" i="10"/>
  <c r="J96" i="10"/>
  <c r="I96" i="10"/>
  <c r="H96" i="10"/>
  <c r="AJ95" i="10"/>
  <c r="AI95" i="10"/>
  <c r="AH95" i="10"/>
  <c r="AG95" i="10"/>
  <c r="AB95" i="10"/>
  <c r="AA95" i="10"/>
  <c r="Z95" i="10"/>
  <c r="Y95" i="10"/>
  <c r="X95" i="10"/>
  <c r="W95" i="10"/>
  <c r="V95" i="10"/>
  <c r="U95" i="10"/>
  <c r="T95" i="10"/>
  <c r="S95" i="10"/>
  <c r="R95" i="10"/>
  <c r="Q95" i="10"/>
  <c r="P95" i="10"/>
  <c r="O95" i="10"/>
  <c r="N95" i="10"/>
  <c r="M95" i="10"/>
  <c r="L95" i="10"/>
  <c r="K95" i="10"/>
  <c r="J95" i="10"/>
  <c r="I95" i="10"/>
  <c r="H95" i="10"/>
  <c r="AH94" i="10"/>
  <c r="AG94" i="10"/>
  <c r="AB94" i="10"/>
  <c r="AA94" i="10"/>
  <c r="Z94" i="10"/>
  <c r="Y94" i="10"/>
  <c r="X94" i="10"/>
  <c r="W94" i="10"/>
  <c r="V94" i="10"/>
  <c r="U94" i="10"/>
  <c r="T94" i="10"/>
  <c r="S94" i="10"/>
  <c r="R94" i="10"/>
  <c r="Q94" i="10"/>
  <c r="P94" i="10"/>
  <c r="O94" i="10"/>
  <c r="N94" i="10"/>
  <c r="M94" i="10"/>
  <c r="L94" i="10"/>
  <c r="K94" i="10"/>
  <c r="J94" i="10"/>
  <c r="I94" i="10"/>
  <c r="H94" i="10"/>
  <c r="AH93" i="10"/>
  <c r="AG93" i="10"/>
  <c r="AB93" i="10"/>
  <c r="AA93" i="10"/>
  <c r="Z93" i="10"/>
  <c r="Y93" i="10"/>
  <c r="X93" i="10"/>
  <c r="W93" i="10"/>
  <c r="V93" i="10"/>
  <c r="U93" i="10"/>
  <c r="T93" i="10"/>
  <c r="S93" i="10"/>
  <c r="R93" i="10"/>
  <c r="Q93" i="10"/>
  <c r="P93" i="10"/>
  <c r="O93" i="10"/>
  <c r="N93" i="10"/>
  <c r="M93" i="10"/>
  <c r="L93" i="10"/>
  <c r="K93" i="10"/>
  <c r="J93" i="10"/>
  <c r="I93" i="10"/>
  <c r="H93" i="10"/>
  <c r="AJ92" i="10"/>
  <c r="AI92" i="10"/>
  <c r="AH92" i="10"/>
  <c r="AG92" i="10"/>
  <c r="AB92" i="10"/>
  <c r="AA92" i="10"/>
  <c r="Z92" i="10"/>
  <c r="Y92" i="10"/>
  <c r="X92" i="10"/>
  <c r="W92" i="10"/>
  <c r="V92" i="10"/>
  <c r="U92" i="10"/>
  <c r="T92" i="10"/>
  <c r="S92" i="10"/>
  <c r="R92" i="10"/>
  <c r="Q92" i="10"/>
  <c r="P92" i="10"/>
  <c r="O92" i="10"/>
  <c r="N92" i="10"/>
  <c r="M92" i="10"/>
  <c r="L92" i="10"/>
  <c r="K92" i="10"/>
  <c r="J92" i="10"/>
  <c r="I92" i="10"/>
  <c r="H92" i="10"/>
  <c r="AJ91" i="10"/>
  <c r="AI91" i="10"/>
  <c r="AH91" i="10"/>
  <c r="AG91" i="10"/>
  <c r="AB91" i="10"/>
  <c r="AA91" i="10"/>
  <c r="Z91" i="10"/>
  <c r="Y91" i="10"/>
  <c r="X91" i="10"/>
  <c r="W91" i="10"/>
  <c r="V91" i="10"/>
  <c r="U91" i="10"/>
  <c r="T91" i="10"/>
  <c r="S91" i="10"/>
  <c r="R91" i="10"/>
  <c r="Q91" i="10"/>
  <c r="P91" i="10"/>
  <c r="O91" i="10"/>
  <c r="N91" i="10"/>
  <c r="M91" i="10"/>
  <c r="L91" i="10"/>
  <c r="K91" i="10"/>
  <c r="J91" i="10"/>
  <c r="I91" i="10"/>
  <c r="H91" i="10"/>
  <c r="AH90" i="10"/>
  <c r="AG90" i="10"/>
  <c r="AB90" i="10"/>
  <c r="AA90" i="10"/>
  <c r="Z90" i="10"/>
  <c r="Y90" i="10"/>
  <c r="X90" i="10"/>
  <c r="W90" i="10"/>
  <c r="V90" i="10"/>
  <c r="U90" i="10"/>
  <c r="T90" i="10"/>
  <c r="S90" i="10"/>
  <c r="R90" i="10"/>
  <c r="Q90" i="10"/>
  <c r="P90" i="10"/>
  <c r="O90" i="10"/>
  <c r="N90" i="10"/>
  <c r="M90" i="10"/>
  <c r="L90" i="10"/>
  <c r="K90" i="10"/>
  <c r="J90" i="10"/>
  <c r="I90" i="10"/>
  <c r="H90" i="10"/>
  <c r="AJ89" i="10"/>
  <c r="AI89" i="10"/>
  <c r="AH89" i="10"/>
  <c r="AG89" i="10"/>
  <c r="AB89" i="10"/>
  <c r="AA89" i="10"/>
  <c r="Z89" i="10"/>
  <c r="Y89" i="10"/>
  <c r="X89" i="10"/>
  <c r="W89" i="10"/>
  <c r="V89" i="10"/>
  <c r="U89" i="10"/>
  <c r="T89" i="10"/>
  <c r="S89" i="10"/>
  <c r="R89" i="10"/>
  <c r="Q89" i="10"/>
  <c r="P89" i="10"/>
  <c r="O89" i="10"/>
  <c r="N89" i="10"/>
  <c r="M89" i="10"/>
  <c r="L89" i="10"/>
  <c r="K89" i="10"/>
  <c r="J89" i="10"/>
  <c r="I89" i="10"/>
  <c r="H89" i="10"/>
  <c r="AH88" i="10"/>
  <c r="AG88" i="10"/>
  <c r="AB88" i="10"/>
  <c r="AA88" i="10"/>
  <c r="Z88" i="10"/>
  <c r="Y88" i="10"/>
  <c r="X88" i="10"/>
  <c r="W88" i="10"/>
  <c r="V88" i="10"/>
  <c r="U88" i="10"/>
  <c r="T88" i="10"/>
  <c r="S88" i="10"/>
  <c r="R88" i="10"/>
  <c r="Q88" i="10"/>
  <c r="P88" i="10"/>
  <c r="O88" i="10"/>
  <c r="N88" i="10"/>
  <c r="M88" i="10"/>
  <c r="L88" i="10"/>
  <c r="K88" i="10"/>
  <c r="J88" i="10"/>
  <c r="I88" i="10"/>
  <c r="H88" i="10"/>
  <c r="AJ87" i="10"/>
  <c r="AI87" i="10"/>
  <c r="AH87" i="10"/>
  <c r="AG87" i="10"/>
  <c r="AB87" i="10"/>
  <c r="AA87" i="10"/>
  <c r="Z87" i="10"/>
  <c r="Y87" i="10"/>
  <c r="X87" i="10"/>
  <c r="W87" i="10"/>
  <c r="V87" i="10"/>
  <c r="U87" i="10"/>
  <c r="T87" i="10"/>
  <c r="S87" i="10"/>
  <c r="R87" i="10"/>
  <c r="Q87" i="10"/>
  <c r="P87" i="10"/>
  <c r="O87" i="10"/>
  <c r="N87" i="10"/>
  <c r="M87" i="10"/>
  <c r="L87" i="10"/>
  <c r="K87" i="10"/>
  <c r="J87" i="10"/>
  <c r="I87" i="10"/>
  <c r="H87" i="10"/>
  <c r="AH86" i="10"/>
  <c r="AG86" i="10"/>
  <c r="AB86" i="10"/>
  <c r="AA86" i="10"/>
  <c r="Z86" i="10"/>
  <c r="Y86" i="10"/>
  <c r="X86" i="10"/>
  <c r="W86" i="10"/>
  <c r="V86" i="10"/>
  <c r="U86" i="10"/>
  <c r="T86" i="10"/>
  <c r="S86" i="10"/>
  <c r="R86" i="10"/>
  <c r="Q86" i="10"/>
  <c r="P86" i="10"/>
  <c r="O86" i="10"/>
  <c r="N86" i="10"/>
  <c r="M86" i="10"/>
  <c r="L86" i="10"/>
  <c r="K86" i="10"/>
  <c r="J86" i="10"/>
  <c r="I86" i="10"/>
  <c r="H86" i="10"/>
  <c r="AL85" i="10"/>
  <c r="AK85" i="10"/>
  <c r="AJ85" i="10"/>
  <c r="AI85" i="10"/>
  <c r="AH85" i="10"/>
  <c r="AG85" i="10"/>
  <c r="AB85" i="10"/>
  <c r="AA85" i="10"/>
  <c r="Z85" i="10"/>
  <c r="Y85" i="10"/>
  <c r="X85" i="10"/>
  <c r="W85" i="10"/>
  <c r="V85" i="10"/>
  <c r="U85" i="10"/>
  <c r="T85" i="10"/>
  <c r="S85" i="10"/>
  <c r="R85" i="10"/>
  <c r="Q85" i="10"/>
  <c r="P85" i="10"/>
  <c r="O85" i="10"/>
  <c r="N85" i="10"/>
  <c r="M85" i="10"/>
  <c r="L85" i="10"/>
  <c r="K85" i="10"/>
  <c r="J85" i="10"/>
  <c r="I85" i="10"/>
  <c r="H85" i="10"/>
  <c r="AL84" i="10"/>
  <c r="AK84" i="10"/>
  <c r="AJ84" i="10"/>
  <c r="AI84" i="10"/>
  <c r="AH84" i="10"/>
  <c r="AG84" i="10"/>
  <c r="AB84" i="10"/>
  <c r="AA84" i="10"/>
  <c r="Z84" i="10"/>
  <c r="Y84" i="10"/>
  <c r="X84" i="10"/>
  <c r="W84" i="10"/>
  <c r="V84" i="10"/>
  <c r="U84" i="10"/>
  <c r="T84" i="10"/>
  <c r="S84" i="10"/>
  <c r="R84" i="10"/>
  <c r="Q84" i="10"/>
  <c r="P84" i="10"/>
  <c r="O84" i="10"/>
  <c r="N84" i="10"/>
  <c r="M84" i="10"/>
  <c r="L84" i="10"/>
  <c r="K84" i="10"/>
  <c r="J84" i="10"/>
  <c r="I84" i="10"/>
  <c r="H84" i="10"/>
  <c r="AL83" i="10"/>
  <c r="AK83" i="10"/>
  <c r="AJ83" i="10"/>
  <c r="AI83" i="10"/>
  <c r="AH83" i="10"/>
  <c r="AG83" i="10"/>
  <c r="AB83" i="10"/>
  <c r="AA83" i="10"/>
  <c r="Z83" i="10"/>
  <c r="Y83" i="10"/>
  <c r="X83" i="10"/>
  <c r="W83" i="10"/>
  <c r="V83" i="10"/>
  <c r="U83" i="10"/>
  <c r="T83" i="10"/>
  <c r="S83" i="10"/>
  <c r="R83" i="10"/>
  <c r="Q83" i="10"/>
  <c r="P83" i="10"/>
  <c r="O83" i="10"/>
  <c r="N83" i="10"/>
  <c r="M83" i="10"/>
  <c r="L83" i="10"/>
  <c r="K83" i="10"/>
  <c r="J83" i="10"/>
  <c r="I83" i="10"/>
  <c r="H83" i="10"/>
  <c r="AL82" i="10"/>
  <c r="AK82" i="10"/>
  <c r="AJ82" i="10"/>
  <c r="AI82" i="10"/>
  <c r="AH82" i="10"/>
  <c r="AG82" i="10"/>
  <c r="AB82" i="10"/>
  <c r="AA82" i="10"/>
  <c r="Z82" i="10"/>
  <c r="Y82" i="10"/>
  <c r="X82" i="10"/>
  <c r="W82" i="10"/>
  <c r="V82" i="10"/>
  <c r="U82" i="10"/>
  <c r="T82" i="10"/>
  <c r="S82" i="10"/>
  <c r="R82" i="10"/>
  <c r="Q82" i="10"/>
  <c r="P82" i="10"/>
  <c r="O82" i="10"/>
  <c r="N82" i="10"/>
  <c r="M82" i="10"/>
  <c r="L82" i="10"/>
  <c r="K82" i="10"/>
  <c r="J82" i="10"/>
  <c r="I82" i="10"/>
  <c r="H82" i="10"/>
  <c r="AJ81" i="10"/>
  <c r="AI81" i="10"/>
  <c r="AH81" i="10"/>
  <c r="AG81" i="10"/>
  <c r="AB81" i="10"/>
  <c r="AA81" i="10"/>
  <c r="Z81" i="10"/>
  <c r="Y81" i="10"/>
  <c r="X81" i="10"/>
  <c r="W81" i="10"/>
  <c r="V81" i="10"/>
  <c r="U81" i="10"/>
  <c r="T81" i="10"/>
  <c r="S81" i="10"/>
  <c r="R81" i="10"/>
  <c r="Q81" i="10"/>
  <c r="P81" i="10"/>
  <c r="O81" i="10"/>
  <c r="N81" i="10"/>
  <c r="M81" i="10"/>
  <c r="L81" i="10"/>
  <c r="K81" i="10"/>
  <c r="J81" i="10"/>
  <c r="I81" i="10"/>
  <c r="H81" i="10"/>
  <c r="AJ80" i="10"/>
  <c r="AI80" i="10"/>
  <c r="AH80" i="10"/>
  <c r="AG80" i="10"/>
  <c r="AB80" i="10"/>
  <c r="AA80" i="10"/>
  <c r="Z80" i="10"/>
  <c r="Y80" i="10"/>
  <c r="X80" i="10"/>
  <c r="W80" i="10"/>
  <c r="V80" i="10"/>
  <c r="U80" i="10"/>
  <c r="T80" i="10"/>
  <c r="S80" i="10"/>
  <c r="R80" i="10"/>
  <c r="Q80" i="10"/>
  <c r="P80" i="10"/>
  <c r="O80" i="10"/>
  <c r="N80" i="10"/>
  <c r="M80" i="10"/>
  <c r="L80" i="10"/>
  <c r="K80" i="10"/>
  <c r="J80" i="10"/>
  <c r="I80" i="10"/>
  <c r="H80" i="10"/>
  <c r="AL79" i="10"/>
  <c r="AK79" i="10"/>
  <c r="AJ79" i="10"/>
  <c r="AI79" i="10"/>
  <c r="AH79" i="10"/>
  <c r="AG79" i="10"/>
  <c r="AB79" i="10"/>
  <c r="AA79" i="10"/>
  <c r="Z79" i="10"/>
  <c r="Y79" i="10"/>
  <c r="X79" i="10"/>
  <c r="W79" i="10"/>
  <c r="V79" i="10"/>
  <c r="U79" i="10"/>
  <c r="T79" i="10"/>
  <c r="S79" i="10"/>
  <c r="R79" i="10"/>
  <c r="Q79" i="10"/>
  <c r="P79" i="10"/>
  <c r="O79" i="10"/>
  <c r="N79" i="10"/>
  <c r="M79" i="10"/>
  <c r="L79" i="10"/>
  <c r="K79" i="10"/>
  <c r="J79" i="10"/>
  <c r="I79" i="10"/>
  <c r="H79" i="10"/>
  <c r="AJ78" i="10"/>
  <c r="AI78" i="10"/>
  <c r="AH78" i="10"/>
  <c r="AG78" i="10"/>
  <c r="AB78" i="10"/>
  <c r="AA78" i="10"/>
  <c r="Z78" i="10"/>
  <c r="Y78" i="10"/>
  <c r="X78" i="10"/>
  <c r="W78" i="10"/>
  <c r="V78" i="10"/>
  <c r="U78" i="10"/>
  <c r="T78" i="10"/>
  <c r="S78" i="10"/>
  <c r="R78" i="10"/>
  <c r="Q78" i="10"/>
  <c r="P78" i="10"/>
  <c r="O78" i="10"/>
  <c r="N78" i="10"/>
  <c r="M78" i="10"/>
  <c r="L78" i="10"/>
  <c r="K78" i="10"/>
  <c r="J78" i="10"/>
  <c r="I78" i="10"/>
  <c r="H78" i="10"/>
  <c r="AL77" i="10"/>
  <c r="AK77" i="10"/>
  <c r="AJ77" i="10"/>
  <c r="AI77" i="10"/>
  <c r="AH77" i="10"/>
  <c r="AG77" i="10"/>
  <c r="AB77" i="10"/>
  <c r="AA77" i="10"/>
  <c r="Z77" i="10"/>
  <c r="Y77" i="10"/>
  <c r="X77" i="10"/>
  <c r="W77" i="10"/>
  <c r="V77" i="10"/>
  <c r="U77" i="10"/>
  <c r="T77" i="10"/>
  <c r="S77" i="10"/>
  <c r="R77" i="10"/>
  <c r="Q77" i="10"/>
  <c r="P77" i="10"/>
  <c r="O77" i="10"/>
  <c r="N77" i="10"/>
  <c r="M77" i="10"/>
  <c r="L77" i="10"/>
  <c r="K77" i="10"/>
  <c r="J77" i="10"/>
  <c r="I77" i="10"/>
  <c r="H77" i="10"/>
  <c r="AJ76" i="10"/>
  <c r="AI76" i="10"/>
  <c r="AH76" i="10"/>
  <c r="AG76" i="10"/>
  <c r="AB76" i="10"/>
  <c r="AA76" i="10"/>
  <c r="Z76" i="10"/>
  <c r="Y76" i="10"/>
  <c r="X76" i="10"/>
  <c r="W76" i="10"/>
  <c r="V76" i="10"/>
  <c r="U76" i="10"/>
  <c r="T76" i="10"/>
  <c r="S76" i="10"/>
  <c r="R76" i="10"/>
  <c r="Q76" i="10"/>
  <c r="P76" i="10"/>
  <c r="O76" i="10"/>
  <c r="N76" i="10"/>
  <c r="M76" i="10"/>
  <c r="L76" i="10"/>
  <c r="K76" i="10"/>
  <c r="J76" i="10"/>
  <c r="I76" i="10"/>
  <c r="H76" i="10"/>
  <c r="AL75" i="10"/>
  <c r="AK75" i="10"/>
  <c r="AJ75" i="10"/>
  <c r="AI75" i="10"/>
  <c r="AH75" i="10"/>
  <c r="AG75" i="10"/>
  <c r="AB75" i="10"/>
  <c r="AA75" i="10"/>
  <c r="Z75" i="10"/>
  <c r="Y75" i="10"/>
  <c r="X75" i="10"/>
  <c r="W75" i="10"/>
  <c r="V75" i="10"/>
  <c r="U75" i="10"/>
  <c r="T75" i="10"/>
  <c r="S75" i="10"/>
  <c r="R75" i="10"/>
  <c r="Q75" i="10"/>
  <c r="P75" i="10"/>
  <c r="O75" i="10"/>
  <c r="N75" i="10"/>
  <c r="M75" i="10"/>
  <c r="L75" i="10"/>
  <c r="K75" i="10"/>
  <c r="J75" i="10"/>
  <c r="I75" i="10"/>
  <c r="H75" i="10"/>
  <c r="AJ74" i="10"/>
  <c r="AI74" i="10"/>
  <c r="AH74" i="10"/>
  <c r="AG74" i="10"/>
  <c r="AB74" i="10"/>
  <c r="AA74" i="10"/>
  <c r="Z74" i="10"/>
  <c r="Y74" i="10"/>
  <c r="X74" i="10"/>
  <c r="W74" i="10"/>
  <c r="V74" i="10"/>
  <c r="U74" i="10"/>
  <c r="T74" i="10"/>
  <c r="S74" i="10"/>
  <c r="R74" i="10"/>
  <c r="Q74" i="10"/>
  <c r="P74" i="10"/>
  <c r="O74" i="10"/>
  <c r="N74" i="10"/>
  <c r="M74" i="10"/>
  <c r="L74" i="10"/>
  <c r="K74" i="10"/>
  <c r="J74" i="10"/>
  <c r="I74" i="10"/>
  <c r="H74" i="10"/>
  <c r="AH73" i="10"/>
  <c r="AG73" i="10"/>
  <c r="AB73" i="10"/>
  <c r="AA73" i="10"/>
  <c r="Z73" i="10"/>
  <c r="Y73" i="10"/>
  <c r="X73" i="10"/>
  <c r="W73" i="10"/>
  <c r="V73" i="10"/>
  <c r="U73" i="10"/>
  <c r="T73" i="10"/>
  <c r="S73" i="10"/>
  <c r="R73" i="10"/>
  <c r="Q73" i="10"/>
  <c r="P73" i="10"/>
  <c r="O73" i="10"/>
  <c r="N73" i="10"/>
  <c r="M73" i="10"/>
  <c r="L73" i="10"/>
  <c r="K73" i="10"/>
  <c r="J73" i="10"/>
  <c r="I73" i="10"/>
  <c r="H73" i="10"/>
  <c r="AL72" i="10"/>
  <c r="AK72" i="10"/>
  <c r="AJ72" i="10"/>
  <c r="AI72" i="10"/>
  <c r="AH72" i="10"/>
  <c r="AG72" i="10"/>
  <c r="AB72" i="10"/>
  <c r="AA72" i="10"/>
  <c r="Z72" i="10"/>
  <c r="Y72" i="10"/>
  <c r="X72" i="10"/>
  <c r="W72" i="10"/>
  <c r="V72" i="10"/>
  <c r="U72" i="10"/>
  <c r="T72" i="10"/>
  <c r="S72" i="10"/>
  <c r="R72" i="10"/>
  <c r="Q72" i="10"/>
  <c r="P72" i="10"/>
  <c r="O72" i="10"/>
  <c r="N72" i="10"/>
  <c r="M72" i="10"/>
  <c r="L72" i="10"/>
  <c r="K72" i="10"/>
  <c r="J72" i="10"/>
  <c r="I72" i="10"/>
  <c r="H72" i="10"/>
  <c r="AL71" i="10"/>
  <c r="AK71" i="10"/>
  <c r="AJ71" i="10"/>
  <c r="AI71" i="10"/>
  <c r="AH71" i="10"/>
  <c r="AG71" i="10"/>
  <c r="AB71" i="10"/>
  <c r="AA71" i="10"/>
  <c r="Z71" i="10"/>
  <c r="Y71" i="10"/>
  <c r="X71" i="10"/>
  <c r="W71" i="10"/>
  <c r="V71" i="10"/>
  <c r="U71" i="10"/>
  <c r="T71" i="10"/>
  <c r="S71" i="10"/>
  <c r="R71" i="10"/>
  <c r="Q71" i="10"/>
  <c r="P71" i="10"/>
  <c r="O71" i="10"/>
  <c r="N71" i="10"/>
  <c r="M71" i="10"/>
  <c r="L71" i="10"/>
  <c r="K71" i="10"/>
  <c r="J71" i="10"/>
  <c r="I71" i="10"/>
  <c r="H71" i="10"/>
  <c r="AJ70" i="10"/>
  <c r="AI70" i="10"/>
  <c r="AH70" i="10"/>
  <c r="AG70" i="10"/>
  <c r="AB70" i="10"/>
  <c r="AA70" i="10"/>
  <c r="Z70" i="10"/>
  <c r="Y70" i="10"/>
  <c r="X70" i="10"/>
  <c r="W70" i="10"/>
  <c r="V70" i="10"/>
  <c r="U70" i="10"/>
  <c r="T70" i="10"/>
  <c r="S70" i="10"/>
  <c r="R70" i="10"/>
  <c r="Q70" i="10"/>
  <c r="P70" i="10"/>
  <c r="O70" i="10"/>
  <c r="N70" i="10"/>
  <c r="M70" i="10"/>
  <c r="L70" i="10"/>
  <c r="K70" i="10"/>
  <c r="J70" i="10"/>
  <c r="I70" i="10"/>
  <c r="H70" i="10"/>
  <c r="AL69" i="10"/>
  <c r="AK69" i="10"/>
  <c r="AJ69" i="10"/>
  <c r="AI69" i="10"/>
  <c r="AH69" i="10"/>
  <c r="AG69" i="10"/>
  <c r="AB69" i="10"/>
  <c r="AA69" i="10"/>
  <c r="Z69" i="10"/>
  <c r="Y69" i="10"/>
  <c r="X69" i="10"/>
  <c r="W69" i="10"/>
  <c r="V69" i="10"/>
  <c r="U69" i="10"/>
  <c r="T69" i="10"/>
  <c r="S69" i="10"/>
  <c r="R69" i="10"/>
  <c r="Q69" i="10"/>
  <c r="P69" i="10"/>
  <c r="O69" i="10"/>
  <c r="N69" i="10"/>
  <c r="M69" i="10"/>
  <c r="L69" i="10"/>
  <c r="K69" i="10"/>
  <c r="J69" i="10"/>
  <c r="I69" i="10"/>
  <c r="H69" i="10"/>
  <c r="AH68" i="10"/>
  <c r="AG68" i="10"/>
  <c r="AB68" i="10"/>
  <c r="AA68" i="10"/>
  <c r="Z68" i="10"/>
  <c r="Y68" i="10"/>
  <c r="X68" i="10"/>
  <c r="W68" i="10"/>
  <c r="V68" i="10"/>
  <c r="U68" i="10"/>
  <c r="T68" i="10"/>
  <c r="S68" i="10"/>
  <c r="R68" i="10"/>
  <c r="Q68" i="10"/>
  <c r="P68" i="10"/>
  <c r="O68" i="10"/>
  <c r="N68" i="10"/>
  <c r="M68" i="10"/>
  <c r="L68" i="10"/>
  <c r="K68" i="10"/>
  <c r="J68" i="10"/>
  <c r="I68" i="10"/>
  <c r="H68" i="10"/>
  <c r="AJ67" i="10"/>
  <c r="AI67" i="10"/>
  <c r="AH67" i="10"/>
  <c r="AG67" i="10"/>
  <c r="AB67" i="10"/>
  <c r="AA67" i="10"/>
  <c r="Z67" i="10"/>
  <c r="Y67" i="10"/>
  <c r="X67" i="10"/>
  <c r="W67" i="10"/>
  <c r="V67" i="10"/>
  <c r="U67" i="10"/>
  <c r="T67" i="10"/>
  <c r="S67" i="10"/>
  <c r="R67" i="10"/>
  <c r="Q67" i="10"/>
  <c r="P67" i="10"/>
  <c r="O67" i="10"/>
  <c r="N67" i="10"/>
  <c r="M67" i="10"/>
  <c r="L67" i="10"/>
  <c r="K67" i="10"/>
  <c r="J67" i="10"/>
  <c r="I67" i="10"/>
  <c r="H67" i="10"/>
  <c r="AH66" i="10"/>
  <c r="AG66" i="10"/>
  <c r="AB66" i="10"/>
  <c r="AA66" i="10"/>
  <c r="Z66" i="10"/>
  <c r="Y66" i="10"/>
  <c r="X66" i="10"/>
  <c r="W66" i="10"/>
  <c r="V66" i="10"/>
  <c r="U66" i="10"/>
  <c r="T66" i="10"/>
  <c r="S66" i="10"/>
  <c r="R66" i="10"/>
  <c r="Q66" i="10"/>
  <c r="P66" i="10"/>
  <c r="O66" i="10"/>
  <c r="N66" i="10"/>
  <c r="M66" i="10"/>
  <c r="L66" i="10"/>
  <c r="K66" i="10"/>
  <c r="J66" i="10"/>
  <c r="I66" i="10"/>
  <c r="H66" i="10"/>
  <c r="AJ65" i="10"/>
  <c r="AI65" i="10"/>
  <c r="AH65" i="10"/>
  <c r="AG65" i="10"/>
  <c r="AB65" i="10"/>
  <c r="AA65" i="10"/>
  <c r="Z65" i="10"/>
  <c r="Y65" i="10"/>
  <c r="X65" i="10"/>
  <c r="W65" i="10"/>
  <c r="V65" i="10"/>
  <c r="U65" i="10"/>
  <c r="T65" i="10"/>
  <c r="S65" i="10"/>
  <c r="R65" i="10"/>
  <c r="Q65" i="10"/>
  <c r="P65" i="10"/>
  <c r="O65" i="10"/>
  <c r="N65" i="10"/>
  <c r="M65" i="10"/>
  <c r="L65" i="10"/>
  <c r="K65" i="10"/>
  <c r="J65" i="10"/>
  <c r="I65" i="10"/>
  <c r="H65" i="10"/>
  <c r="AH64" i="10"/>
  <c r="AG64" i="10"/>
  <c r="AB64" i="10"/>
  <c r="AA64" i="10"/>
  <c r="Z64" i="10"/>
  <c r="Y64" i="10"/>
  <c r="X64" i="10"/>
  <c r="W64" i="10"/>
  <c r="V64" i="10"/>
  <c r="U64" i="10"/>
  <c r="T64" i="10"/>
  <c r="S64" i="10"/>
  <c r="R64" i="10"/>
  <c r="Q64" i="10"/>
  <c r="P64" i="10"/>
  <c r="O64" i="10"/>
  <c r="N64" i="10"/>
  <c r="M64" i="10"/>
  <c r="L64" i="10"/>
  <c r="K64" i="10"/>
  <c r="J64" i="10"/>
  <c r="I64" i="10"/>
  <c r="H64" i="10"/>
  <c r="AL63" i="10"/>
  <c r="AK63" i="10"/>
  <c r="AJ63" i="10"/>
  <c r="AI63" i="10"/>
  <c r="AH63" i="10"/>
  <c r="AG63" i="10"/>
  <c r="AB63" i="10"/>
  <c r="AA63" i="10"/>
  <c r="Z63" i="10"/>
  <c r="Y63" i="10"/>
  <c r="X63" i="10"/>
  <c r="W63" i="10"/>
  <c r="V63" i="10"/>
  <c r="U63" i="10"/>
  <c r="T63" i="10"/>
  <c r="S63" i="10"/>
  <c r="R63" i="10"/>
  <c r="Q63" i="10"/>
  <c r="P63" i="10"/>
  <c r="O63" i="10"/>
  <c r="N63" i="10"/>
  <c r="M63" i="10"/>
  <c r="L63" i="10"/>
  <c r="K63" i="10"/>
  <c r="J63" i="10"/>
  <c r="I63" i="10"/>
  <c r="H63" i="10"/>
  <c r="AL62" i="10"/>
  <c r="AK62" i="10"/>
  <c r="AJ62" i="10"/>
  <c r="AI62" i="10"/>
  <c r="AH62" i="10"/>
  <c r="AG62" i="10"/>
  <c r="AB62" i="10"/>
  <c r="AA62" i="10"/>
  <c r="Z62" i="10"/>
  <c r="Y62" i="10"/>
  <c r="X62" i="10"/>
  <c r="W62" i="10"/>
  <c r="V62" i="10"/>
  <c r="U62" i="10"/>
  <c r="T62" i="10"/>
  <c r="S62" i="10"/>
  <c r="R62" i="10"/>
  <c r="Q62" i="10"/>
  <c r="P62" i="10"/>
  <c r="O62" i="10"/>
  <c r="N62" i="10"/>
  <c r="M62" i="10"/>
  <c r="L62" i="10"/>
  <c r="K62" i="10"/>
  <c r="J62" i="10"/>
  <c r="I62" i="10"/>
  <c r="H62" i="10"/>
  <c r="AJ61" i="10"/>
  <c r="AI61" i="10"/>
  <c r="AH61" i="10"/>
  <c r="AG61" i="10"/>
  <c r="AB61" i="10"/>
  <c r="AA61" i="10"/>
  <c r="Z61" i="10"/>
  <c r="Y61" i="10"/>
  <c r="X61" i="10"/>
  <c r="W61" i="10"/>
  <c r="V61" i="10"/>
  <c r="U61" i="10"/>
  <c r="T61" i="10"/>
  <c r="S61" i="10"/>
  <c r="R61" i="10"/>
  <c r="Q61" i="10"/>
  <c r="P61" i="10"/>
  <c r="O61" i="10"/>
  <c r="N61" i="10"/>
  <c r="M61" i="10"/>
  <c r="L61" i="10"/>
  <c r="K61" i="10"/>
  <c r="J61" i="10"/>
  <c r="I61" i="10"/>
  <c r="H61" i="10"/>
  <c r="AH60" i="10"/>
  <c r="AG60" i="10"/>
  <c r="AB60" i="10"/>
  <c r="AA60" i="10"/>
  <c r="Z60" i="10"/>
  <c r="Y60" i="10"/>
  <c r="X60" i="10"/>
  <c r="W60" i="10"/>
  <c r="V60" i="10"/>
  <c r="U60" i="10"/>
  <c r="T60" i="10"/>
  <c r="S60" i="10"/>
  <c r="R60" i="10"/>
  <c r="Q60" i="10"/>
  <c r="P60" i="10"/>
  <c r="O60" i="10"/>
  <c r="N60" i="10"/>
  <c r="M60" i="10"/>
  <c r="L60" i="10"/>
  <c r="K60" i="10"/>
  <c r="J60" i="10"/>
  <c r="I60" i="10"/>
  <c r="H60" i="10"/>
  <c r="AG59" i="10"/>
  <c r="AB59" i="10"/>
  <c r="AA59" i="10"/>
  <c r="Z59" i="10"/>
  <c r="Y59" i="10"/>
  <c r="X59" i="10"/>
  <c r="W59" i="10"/>
  <c r="V59" i="10"/>
  <c r="U59" i="10"/>
  <c r="T59" i="10"/>
  <c r="S59" i="10"/>
  <c r="R59" i="10"/>
  <c r="Q59" i="10"/>
  <c r="P59" i="10"/>
  <c r="O59" i="10"/>
  <c r="N59" i="10"/>
  <c r="M59" i="10"/>
  <c r="L59" i="10"/>
  <c r="K59" i="10"/>
  <c r="J59" i="10"/>
  <c r="I59" i="10"/>
  <c r="H59" i="10"/>
  <c r="AL58" i="10"/>
  <c r="AK58" i="10"/>
  <c r="AJ58" i="10"/>
  <c r="AI58" i="10"/>
  <c r="AH58" i="10"/>
  <c r="AG58" i="10"/>
  <c r="AB58" i="10"/>
  <c r="AA58" i="10"/>
  <c r="Z58" i="10"/>
  <c r="Y58" i="10"/>
  <c r="X58" i="10"/>
  <c r="W58" i="10"/>
  <c r="V58" i="10"/>
  <c r="U58" i="10"/>
  <c r="T58" i="10"/>
  <c r="S58" i="10"/>
  <c r="R58" i="10"/>
  <c r="Q58" i="10"/>
  <c r="P58" i="10"/>
  <c r="O58" i="10"/>
  <c r="N58" i="10"/>
  <c r="M58" i="10"/>
  <c r="L58" i="10"/>
  <c r="K58" i="10"/>
  <c r="J58" i="10"/>
  <c r="I58" i="10"/>
  <c r="H58" i="10"/>
  <c r="AL57" i="10"/>
  <c r="AK57" i="10"/>
  <c r="AJ57" i="10"/>
  <c r="AI57" i="10"/>
  <c r="AH57" i="10"/>
  <c r="AG57" i="10"/>
  <c r="AB57" i="10"/>
  <c r="AA57" i="10"/>
  <c r="Z57" i="10"/>
  <c r="Y57" i="10"/>
  <c r="X57" i="10"/>
  <c r="W57" i="10"/>
  <c r="V57" i="10"/>
  <c r="U57" i="10"/>
  <c r="T57" i="10"/>
  <c r="S57" i="10"/>
  <c r="R57" i="10"/>
  <c r="Q57" i="10"/>
  <c r="P57" i="10"/>
  <c r="O57" i="10"/>
  <c r="N57" i="10"/>
  <c r="M57" i="10"/>
  <c r="L57" i="10"/>
  <c r="K57" i="10"/>
  <c r="J57" i="10"/>
  <c r="I57" i="10"/>
  <c r="H57" i="10"/>
  <c r="AL56" i="10"/>
  <c r="AK56" i="10"/>
  <c r="AJ56" i="10"/>
  <c r="AI56" i="10"/>
  <c r="AH56" i="10"/>
  <c r="AG56" i="10"/>
  <c r="AB56" i="10"/>
  <c r="AA56" i="10"/>
  <c r="Z56" i="10"/>
  <c r="Y56" i="10"/>
  <c r="X56" i="10"/>
  <c r="W56" i="10"/>
  <c r="V56" i="10"/>
  <c r="U56" i="10"/>
  <c r="T56" i="10"/>
  <c r="S56" i="10"/>
  <c r="R56" i="10"/>
  <c r="Q56" i="10"/>
  <c r="P56" i="10"/>
  <c r="O56" i="10"/>
  <c r="N56" i="10"/>
  <c r="M56" i="10"/>
  <c r="L56" i="10"/>
  <c r="K56" i="10"/>
  <c r="J56" i="10"/>
  <c r="I56" i="10"/>
  <c r="H56" i="10"/>
  <c r="AJ55" i="10"/>
  <c r="AI55" i="10"/>
  <c r="AH55" i="10"/>
  <c r="AG55" i="10"/>
  <c r="AB55" i="10"/>
  <c r="AA55" i="10"/>
  <c r="Z55" i="10"/>
  <c r="Y55" i="10"/>
  <c r="X55" i="10"/>
  <c r="W55" i="10"/>
  <c r="V55" i="10"/>
  <c r="U55" i="10"/>
  <c r="T55" i="10"/>
  <c r="S55" i="10"/>
  <c r="R55" i="10"/>
  <c r="Q55" i="10"/>
  <c r="P55" i="10"/>
  <c r="O55" i="10"/>
  <c r="N55" i="10"/>
  <c r="M55" i="10"/>
  <c r="L55" i="10"/>
  <c r="K55" i="10"/>
  <c r="J55" i="10"/>
  <c r="I55" i="10"/>
  <c r="H55" i="10"/>
  <c r="AL54" i="10"/>
  <c r="AK54" i="10"/>
  <c r="AJ54" i="10"/>
  <c r="AI54" i="10"/>
  <c r="AH54" i="10"/>
  <c r="AG54" i="10"/>
  <c r="AB54" i="10"/>
  <c r="AA54" i="10"/>
  <c r="Z54" i="10"/>
  <c r="Y54" i="10"/>
  <c r="X54" i="10"/>
  <c r="W54" i="10"/>
  <c r="V54" i="10"/>
  <c r="U54" i="10"/>
  <c r="T54" i="10"/>
  <c r="S54" i="10"/>
  <c r="R54" i="10"/>
  <c r="Q54" i="10"/>
  <c r="P54" i="10"/>
  <c r="O54" i="10"/>
  <c r="N54" i="10"/>
  <c r="M54" i="10"/>
  <c r="L54" i="10"/>
  <c r="K54" i="10"/>
  <c r="J54" i="10"/>
  <c r="I54" i="10"/>
  <c r="H54" i="10"/>
  <c r="AJ53" i="10"/>
  <c r="AI53" i="10"/>
  <c r="AH53" i="10"/>
  <c r="AG53" i="10"/>
  <c r="AB53" i="10"/>
  <c r="AA53" i="10"/>
  <c r="Z53" i="10"/>
  <c r="Y53" i="10"/>
  <c r="X53" i="10"/>
  <c r="W53" i="10"/>
  <c r="V53" i="10"/>
  <c r="U53" i="10"/>
  <c r="T53" i="10"/>
  <c r="S53" i="10"/>
  <c r="R53" i="10"/>
  <c r="Q53" i="10"/>
  <c r="P53" i="10"/>
  <c r="O53" i="10"/>
  <c r="N53" i="10"/>
  <c r="M53" i="10"/>
  <c r="L53" i="10"/>
  <c r="K53" i="10"/>
  <c r="J53" i="10"/>
  <c r="I53" i="10"/>
  <c r="H53" i="10"/>
  <c r="AH52" i="10"/>
  <c r="AG52" i="10"/>
  <c r="AB52" i="10"/>
  <c r="AA52" i="10"/>
  <c r="Z52" i="10"/>
  <c r="Y52" i="10"/>
  <c r="X52" i="10"/>
  <c r="W52" i="10"/>
  <c r="V52" i="10"/>
  <c r="U52" i="10"/>
  <c r="T52" i="10"/>
  <c r="S52" i="10"/>
  <c r="R52" i="10"/>
  <c r="Q52" i="10"/>
  <c r="P52" i="10"/>
  <c r="O52" i="10"/>
  <c r="N52" i="10"/>
  <c r="M52" i="10"/>
  <c r="L52" i="10"/>
  <c r="K52" i="10"/>
  <c r="J52" i="10"/>
  <c r="I52" i="10"/>
  <c r="H52" i="10"/>
  <c r="AJ51" i="10"/>
  <c r="AI51" i="10"/>
  <c r="AH51" i="10"/>
  <c r="AG51" i="10"/>
  <c r="AB51" i="10"/>
  <c r="AA51" i="10"/>
  <c r="Z51" i="10"/>
  <c r="Y51" i="10"/>
  <c r="X51" i="10"/>
  <c r="W51" i="10"/>
  <c r="V51" i="10"/>
  <c r="U51" i="10"/>
  <c r="T51" i="10"/>
  <c r="S51" i="10"/>
  <c r="R51" i="10"/>
  <c r="Q51" i="10"/>
  <c r="P51" i="10"/>
  <c r="O51" i="10"/>
  <c r="N51" i="10"/>
  <c r="M51" i="10"/>
  <c r="L51" i="10"/>
  <c r="K51" i="10"/>
  <c r="J51" i="10"/>
  <c r="I51" i="10"/>
  <c r="H51" i="10"/>
  <c r="AJ50" i="10"/>
  <c r="AI50" i="10"/>
  <c r="AH50" i="10"/>
  <c r="AG50" i="10"/>
  <c r="AB50" i="10"/>
  <c r="AA50" i="10"/>
  <c r="Z50" i="10"/>
  <c r="Y50" i="10"/>
  <c r="X50" i="10"/>
  <c r="W50" i="10"/>
  <c r="V50" i="10"/>
  <c r="U50" i="10"/>
  <c r="T50" i="10"/>
  <c r="S50" i="10"/>
  <c r="R50" i="10"/>
  <c r="Q50" i="10"/>
  <c r="P50" i="10"/>
  <c r="O50" i="10"/>
  <c r="N50" i="10"/>
  <c r="M50" i="10"/>
  <c r="L50" i="10"/>
  <c r="K50" i="10"/>
  <c r="J50" i="10"/>
  <c r="I50" i="10"/>
  <c r="H50" i="10"/>
  <c r="AJ49" i="10"/>
  <c r="AI49" i="10"/>
  <c r="AH49" i="10"/>
  <c r="AG49" i="10"/>
  <c r="AB49" i="10"/>
  <c r="AA49" i="10"/>
  <c r="Z49" i="10"/>
  <c r="Y49" i="10"/>
  <c r="X49" i="10"/>
  <c r="W49" i="10"/>
  <c r="V49" i="10"/>
  <c r="U49" i="10"/>
  <c r="T49" i="10"/>
  <c r="S49" i="10"/>
  <c r="R49" i="10"/>
  <c r="Q49" i="10"/>
  <c r="P49" i="10"/>
  <c r="O49" i="10"/>
  <c r="N49" i="10"/>
  <c r="M49" i="10"/>
  <c r="L49" i="10"/>
  <c r="K49" i="10"/>
  <c r="J49" i="10"/>
  <c r="I49" i="10"/>
  <c r="H49" i="10"/>
  <c r="AH48" i="10"/>
  <c r="AG48" i="10"/>
  <c r="AB48" i="10"/>
  <c r="AA48" i="10"/>
  <c r="Z48" i="10"/>
  <c r="Y48" i="10"/>
  <c r="X48" i="10"/>
  <c r="W48" i="10"/>
  <c r="V48" i="10"/>
  <c r="U48" i="10"/>
  <c r="T48" i="10"/>
  <c r="S48" i="10"/>
  <c r="R48" i="10"/>
  <c r="Q48" i="10"/>
  <c r="P48" i="10"/>
  <c r="O48" i="10"/>
  <c r="N48" i="10"/>
  <c r="M48" i="10"/>
  <c r="L48" i="10"/>
  <c r="K48" i="10"/>
  <c r="J48" i="10"/>
  <c r="I48" i="10"/>
  <c r="H48" i="10"/>
  <c r="AL47" i="10"/>
  <c r="AK47" i="10"/>
  <c r="AJ47" i="10"/>
  <c r="AI47" i="10"/>
  <c r="AH47" i="10"/>
  <c r="AG47" i="10"/>
  <c r="AB47" i="10"/>
  <c r="AA47" i="10"/>
  <c r="Z47" i="10"/>
  <c r="Y47" i="10"/>
  <c r="X47" i="10"/>
  <c r="W47" i="10"/>
  <c r="V47" i="10"/>
  <c r="U47" i="10"/>
  <c r="T47" i="10"/>
  <c r="S47" i="10"/>
  <c r="R47" i="10"/>
  <c r="Q47" i="10"/>
  <c r="P47" i="10"/>
  <c r="O47" i="10"/>
  <c r="N47" i="10"/>
  <c r="M47" i="10"/>
  <c r="L47" i="10"/>
  <c r="K47" i="10"/>
  <c r="J47" i="10"/>
  <c r="I47" i="10"/>
  <c r="H47" i="10"/>
  <c r="AH46" i="10"/>
  <c r="AG46" i="10"/>
  <c r="AB46" i="10"/>
  <c r="AA46" i="10"/>
  <c r="Z46" i="10"/>
  <c r="Y46" i="10"/>
  <c r="X46" i="10"/>
  <c r="W46" i="10"/>
  <c r="V46" i="10"/>
  <c r="U46" i="10"/>
  <c r="T46" i="10"/>
  <c r="S46" i="10"/>
  <c r="R46" i="10"/>
  <c r="Q46" i="10"/>
  <c r="P46" i="10"/>
  <c r="O46" i="10"/>
  <c r="N46" i="10"/>
  <c r="M46" i="10"/>
  <c r="L46" i="10"/>
  <c r="K46" i="10"/>
  <c r="J46" i="10"/>
  <c r="I46" i="10"/>
  <c r="H46" i="10"/>
  <c r="AH45" i="10"/>
  <c r="AG45" i="10"/>
  <c r="AB45" i="10"/>
  <c r="AA45" i="10"/>
  <c r="Z45" i="10"/>
  <c r="Y45" i="10"/>
  <c r="X45" i="10"/>
  <c r="W45" i="10"/>
  <c r="V45" i="10"/>
  <c r="U45" i="10"/>
  <c r="T45" i="10"/>
  <c r="S45" i="10"/>
  <c r="R45" i="10"/>
  <c r="Q45" i="10"/>
  <c r="P45" i="10"/>
  <c r="O45" i="10"/>
  <c r="N45" i="10"/>
  <c r="M45" i="10"/>
  <c r="L45" i="10"/>
  <c r="K45" i="10"/>
  <c r="J45" i="10"/>
  <c r="I45" i="10"/>
  <c r="H45" i="10"/>
  <c r="AL44" i="10"/>
  <c r="AK44" i="10"/>
  <c r="AJ44" i="10"/>
  <c r="AI44" i="10"/>
  <c r="AH44" i="10"/>
  <c r="AG44" i="10"/>
  <c r="AB44" i="10"/>
  <c r="AA44" i="10"/>
  <c r="Z44" i="10"/>
  <c r="Y44" i="10"/>
  <c r="X44" i="10"/>
  <c r="W44" i="10"/>
  <c r="V44" i="10"/>
  <c r="U44" i="10"/>
  <c r="T44" i="10"/>
  <c r="S44" i="10"/>
  <c r="R44" i="10"/>
  <c r="Q44" i="10"/>
  <c r="P44" i="10"/>
  <c r="O44" i="10"/>
  <c r="N44" i="10"/>
  <c r="M44" i="10"/>
  <c r="L44" i="10"/>
  <c r="K44" i="10"/>
  <c r="J44" i="10"/>
  <c r="I44" i="10"/>
  <c r="H44" i="10"/>
  <c r="AL43" i="10"/>
  <c r="AK43" i="10"/>
  <c r="AJ43" i="10"/>
  <c r="AI43" i="10"/>
  <c r="AH43" i="10"/>
  <c r="AG43" i="10"/>
  <c r="AB43" i="10"/>
  <c r="AA43" i="10"/>
  <c r="Z43" i="10"/>
  <c r="Y43" i="10"/>
  <c r="X43" i="10"/>
  <c r="W43" i="10"/>
  <c r="V43" i="10"/>
  <c r="U43" i="10"/>
  <c r="T43" i="10"/>
  <c r="S43" i="10"/>
  <c r="R43" i="10"/>
  <c r="Q43" i="10"/>
  <c r="P43" i="10"/>
  <c r="O43" i="10"/>
  <c r="N43" i="10"/>
  <c r="M43" i="10"/>
  <c r="L43" i="10"/>
  <c r="K43" i="10"/>
  <c r="J43" i="10"/>
  <c r="I43" i="10"/>
  <c r="H43" i="10"/>
  <c r="AJ42" i="10"/>
  <c r="AI42" i="10"/>
  <c r="AH42" i="10"/>
  <c r="AG42" i="10"/>
  <c r="AB42" i="10"/>
  <c r="AA42" i="10"/>
  <c r="Z42" i="10"/>
  <c r="Y42" i="10"/>
  <c r="X42" i="10"/>
  <c r="W42" i="10"/>
  <c r="V42" i="10"/>
  <c r="U42" i="10"/>
  <c r="T42" i="10"/>
  <c r="S42" i="10"/>
  <c r="R42" i="10"/>
  <c r="Q42" i="10"/>
  <c r="P42" i="10"/>
  <c r="O42" i="10"/>
  <c r="N42" i="10"/>
  <c r="M42" i="10"/>
  <c r="L42" i="10"/>
  <c r="K42" i="10"/>
  <c r="J42" i="10"/>
  <c r="I42" i="10"/>
  <c r="H42" i="10"/>
  <c r="AJ41" i="10"/>
  <c r="AI41" i="10"/>
  <c r="AH41" i="10"/>
  <c r="AG41" i="10"/>
  <c r="AB41" i="10"/>
  <c r="AA41" i="10"/>
  <c r="Z41" i="10"/>
  <c r="Y41" i="10"/>
  <c r="X41" i="10"/>
  <c r="W41" i="10"/>
  <c r="V41" i="10"/>
  <c r="U41" i="10"/>
  <c r="T41" i="10"/>
  <c r="S41" i="10"/>
  <c r="R41" i="10"/>
  <c r="Q41" i="10"/>
  <c r="P41" i="10"/>
  <c r="O41" i="10"/>
  <c r="N41" i="10"/>
  <c r="M41" i="10"/>
  <c r="L41" i="10"/>
  <c r="K41" i="10"/>
  <c r="J41" i="10"/>
  <c r="I41" i="10"/>
  <c r="H41" i="10"/>
  <c r="AJ40" i="10"/>
  <c r="AI40" i="10"/>
  <c r="AH40" i="10"/>
  <c r="AG40" i="10"/>
  <c r="AB40" i="10"/>
  <c r="AA40" i="10"/>
  <c r="Z40" i="10"/>
  <c r="Y40" i="10"/>
  <c r="X40" i="10"/>
  <c r="W40" i="10"/>
  <c r="V40" i="10"/>
  <c r="U40" i="10"/>
  <c r="T40" i="10"/>
  <c r="S40" i="10"/>
  <c r="R40" i="10"/>
  <c r="Q40" i="10"/>
  <c r="P40" i="10"/>
  <c r="O40" i="10"/>
  <c r="N40" i="10"/>
  <c r="M40" i="10"/>
  <c r="L40" i="10"/>
  <c r="K40" i="10"/>
  <c r="J40" i="10"/>
  <c r="I40" i="10"/>
  <c r="H40" i="10"/>
  <c r="AJ39" i="10"/>
  <c r="AI39" i="10"/>
  <c r="AH39" i="10"/>
  <c r="AG39" i="10"/>
  <c r="AB39" i="10"/>
  <c r="AA39" i="10"/>
  <c r="Z39" i="10"/>
  <c r="Y39" i="10"/>
  <c r="X39" i="10"/>
  <c r="W39" i="10"/>
  <c r="V39" i="10"/>
  <c r="U39" i="10"/>
  <c r="T39" i="10"/>
  <c r="S39" i="10"/>
  <c r="R39" i="10"/>
  <c r="Q39" i="10"/>
  <c r="P39" i="10"/>
  <c r="O39" i="10"/>
  <c r="N39" i="10"/>
  <c r="M39" i="10"/>
  <c r="L39" i="10"/>
  <c r="K39" i="10"/>
  <c r="J39" i="10"/>
  <c r="I39" i="10"/>
  <c r="H39" i="10"/>
  <c r="AJ38" i="10"/>
  <c r="AI38" i="10"/>
  <c r="AH38" i="10"/>
  <c r="AG38" i="10"/>
  <c r="AB38" i="10"/>
  <c r="AA38" i="10"/>
  <c r="Z38" i="10"/>
  <c r="Y38" i="10"/>
  <c r="X38" i="10"/>
  <c r="W38" i="10"/>
  <c r="V38" i="10"/>
  <c r="U38" i="10"/>
  <c r="T38" i="10"/>
  <c r="S38" i="10"/>
  <c r="R38" i="10"/>
  <c r="Q38" i="10"/>
  <c r="P38" i="10"/>
  <c r="O38" i="10"/>
  <c r="N38" i="10"/>
  <c r="M38" i="10"/>
  <c r="L38" i="10"/>
  <c r="K38" i="10"/>
  <c r="J38" i="10"/>
  <c r="I38" i="10"/>
  <c r="H38" i="10"/>
  <c r="AJ37" i="10"/>
  <c r="AI37" i="10"/>
  <c r="AH37" i="10"/>
  <c r="AG37" i="10"/>
  <c r="AB37" i="10"/>
  <c r="AA37" i="10"/>
  <c r="Z37" i="10"/>
  <c r="Y37" i="10"/>
  <c r="X37" i="10"/>
  <c r="W37" i="10"/>
  <c r="V37" i="10"/>
  <c r="U37" i="10"/>
  <c r="T37" i="10"/>
  <c r="S37" i="10"/>
  <c r="R37" i="10"/>
  <c r="Q37" i="10"/>
  <c r="P37" i="10"/>
  <c r="O37" i="10"/>
  <c r="N37" i="10"/>
  <c r="M37" i="10"/>
  <c r="L37" i="10"/>
  <c r="K37" i="10"/>
  <c r="J37" i="10"/>
  <c r="I37" i="10"/>
  <c r="H37" i="10"/>
  <c r="AH36" i="10"/>
  <c r="AG36" i="10"/>
  <c r="AB36" i="10"/>
  <c r="AA36" i="10"/>
  <c r="Z36" i="10"/>
  <c r="Y36" i="10"/>
  <c r="X36" i="10"/>
  <c r="W36" i="10"/>
  <c r="V36" i="10"/>
  <c r="U36" i="10"/>
  <c r="T36" i="10"/>
  <c r="S36" i="10"/>
  <c r="R36" i="10"/>
  <c r="Q36" i="10"/>
  <c r="P36" i="10"/>
  <c r="O36" i="10"/>
  <c r="N36" i="10"/>
  <c r="M36" i="10"/>
  <c r="L36" i="10"/>
  <c r="K36" i="10"/>
  <c r="J36" i="10"/>
  <c r="I36" i="10"/>
  <c r="H36" i="10"/>
  <c r="AH35" i="10"/>
  <c r="AG35" i="10"/>
  <c r="AB35" i="10"/>
  <c r="AA35" i="10"/>
  <c r="Z35" i="10"/>
  <c r="Y35" i="10"/>
  <c r="X35" i="10"/>
  <c r="W35" i="10"/>
  <c r="V35" i="10"/>
  <c r="U35" i="10"/>
  <c r="T35" i="10"/>
  <c r="S35" i="10"/>
  <c r="R35" i="10"/>
  <c r="Q35" i="10"/>
  <c r="P35" i="10"/>
  <c r="O35" i="10"/>
  <c r="N35" i="10"/>
  <c r="M35" i="10"/>
  <c r="L35" i="10"/>
  <c r="K35" i="10"/>
  <c r="J35" i="10"/>
  <c r="I35" i="10"/>
  <c r="H35" i="10"/>
  <c r="AJ34" i="10"/>
  <c r="AI34" i="10"/>
  <c r="AH34" i="10"/>
  <c r="AG34" i="10"/>
  <c r="AB34" i="10"/>
  <c r="AA34" i="10"/>
  <c r="Z34" i="10"/>
  <c r="Y34" i="10"/>
  <c r="X34" i="10"/>
  <c r="W34" i="10"/>
  <c r="V34" i="10"/>
  <c r="U34" i="10"/>
  <c r="T34" i="10"/>
  <c r="S34" i="10"/>
  <c r="R34" i="10"/>
  <c r="Q34" i="10"/>
  <c r="P34" i="10"/>
  <c r="O34" i="10"/>
  <c r="N34" i="10"/>
  <c r="M34" i="10"/>
  <c r="L34" i="10"/>
  <c r="K34" i="10"/>
  <c r="J34" i="10"/>
  <c r="I34" i="10"/>
  <c r="H34" i="10"/>
  <c r="AH33" i="10"/>
  <c r="AG33" i="10"/>
  <c r="AB33" i="10"/>
  <c r="AA33" i="10"/>
  <c r="Z33" i="10"/>
  <c r="Y33" i="10"/>
  <c r="X33" i="10"/>
  <c r="W33" i="10"/>
  <c r="V33" i="10"/>
  <c r="U33" i="10"/>
  <c r="T33" i="10"/>
  <c r="S33" i="10"/>
  <c r="R33" i="10"/>
  <c r="Q33" i="10"/>
  <c r="P33" i="10"/>
  <c r="O33" i="10"/>
  <c r="N33" i="10"/>
  <c r="M33" i="10"/>
  <c r="L33" i="10"/>
  <c r="K33" i="10"/>
  <c r="J33" i="10"/>
  <c r="I33" i="10"/>
  <c r="H33" i="10"/>
  <c r="AJ32" i="10"/>
  <c r="AI32" i="10"/>
  <c r="AH32" i="10"/>
  <c r="AG32" i="10"/>
  <c r="AB32" i="10"/>
  <c r="AA32" i="10"/>
  <c r="Z32" i="10"/>
  <c r="Y32" i="10"/>
  <c r="X32" i="10"/>
  <c r="W32" i="10"/>
  <c r="V32" i="10"/>
  <c r="U32" i="10"/>
  <c r="T32" i="10"/>
  <c r="S32" i="10"/>
  <c r="R32" i="10"/>
  <c r="Q32" i="10"/>
  <c r="P32" i="10"/>
  <c r="O32" i="10"/>
  <c r="N32" i="10"/>
  <c r="M32" i="10"/>
  <c r="L32" i="10"/>
  <c r="K32" i="10"/>
  <c r="J32" i="10"/>
  <c r="I32" i="10"/>
  <c r="H32" i="10"/>
  <c r="AL31" i="10"/>
  <c r="AK31" i="10"/>
  <c r="AJ31" i="10"/>
  <c r="AI31" i="10"/>
  <c r="AH31" i="10"/>
  <c r="AG31" i="10"/>
  <c r="AB31" i="10"/>
  <c r="AA31" i="10"/>
  <c r="Z31" i="10"/>
  <c r="Y31" i="10"/>
  <c r="X31" i="10"/>
  <c r="W31" i="10"/>
  <c r="V31" i="10"/>
  <c r="U31" i="10"/>
  <c r="T31" i="10"/>
  <c r="S31" i="10"/>
  <c r="R31" i="10"/>
  <c r="Q31" i="10"/>
  <c r="P31" i="10"/>
  <c r="O31" i="10"/>
  <c r="N31" i="10"/>
  <c r="M31" i="10"/>
  <c r="L31" i="10"/>
  <c r="K31" i="10"/>
  <c r="J31" i="10"/>
  <c r="I31" i="10"/>
  <c r="H31" i="10"/>
  <c r="AL30" i="10"/>
  <c r="AK30" i="10"/>
  <c r="AJ30" i="10"/>
  <c r="AI30" i="10"/>
  <c r="AH30" i="10"/>
  <c r="AG30" i="10"/>
  <c r="AB30" i="10"/>
  <c r="AA30" i="10"/>
  <c r="Z30" i="10"/>
  <c r="Y30" i="10"/>
  <c r="X30" i="10"/>
  <c r="W30" i="10"/>
  <c r="V30" i="10"/>
  <c r="U30" i="10"/>
  <c r="T30" i="10"/>
  <c r="S30" i="10"/>
  <c r="R30" i="10"/>
  <c r="Q30" i="10"/>
  <c r="P30" i="10"/>
  <c r="O30" i="10"/>
  <c r="N30" i="10"/>
  <c r="M30" i="10"/>
  <c r="L30" i="10"/>
  <c r="K30" i="10"/>
  <c r="J30" i="10"/>
  <c r="I30" i="10"/>
  <c r="H30" i="10"/>
  <c r="AJ29" i="10"/>
  <c r="AI29" i="10"/>
  <c r="AH29" i="10"/>
  <c r="AG29" i="10"/>
  <c r="AB29" i="10"/>
  <c r="AA29" i="10"/>
  <c r="Z29" i="10"/>
  <c r="Y29" i="10"/>
  <c r="X29" i="10"/>
  <c r="W29" i="10"/>
  <c r="V29" i="10"/>
  <c r="U29" i="10"/>
  <c r="T29" i="10"/>
  <c r="S29" i="10"/>
  <c r="R29" i="10"/>
  <c r="Q29" i="10"/>
  <c r="P29" i="10"/>
  <c r="O29" i="10"/>
  <c r="N29" i="10"/>
  <c r="M29" i="10"/>
  <c r="L29" i="10"/>
  <c r="K29" i="10"/>
  <c r="J29" i="10"/>
  <c r="I29" i="10"/>
  <c r="H29" i="10"/>
  <c r="AH28" i="10"/>
  <c r="AG28" i="10"/>
  <c r="AB28" i="10"/>
  <c r="AA28" i="10"/>
  <c r="Z28" i="10"/>
  <c r="Y28" i="10"/>
  <c r="X28" i="10"/>
  <c r="W28" i="10"/>
  <c r="V28" i="10"/>
  <c r="U28" i="10"/>
  <c r="T28" i="10"/>
  <c r="S28" i="10"/>
  <c r="R28" i="10"/>
  <c r="Q28" i="10"/>
  <c r="P28" i="10"/>
  <c r="O28" i="10"/>
  <c r="N28" i="10"/>
  <c r="M28" i="10"/>
  <c r="L28" i="10"/>
  <c r="K28" i="10"/>
  <c r="J28" i="10"/>
  <c r="I28" i="10"/>
  <c r="H28" i="10"/>
  <c r="AJ27" i="10"/>
  <c r="AI27" i="10"/>
  <c r="AH27" i="10"/>
  <c r="AG27" i="10"/>
  <c r="AB27" i="10"/>
  <c r="AA27" i="10"/>
  <c r="Z27" i="10"/>
  <c r="Y27" i="10"/>
  <c r="X27" i="10"/>
  <c r="W27" i="10"/>
  <c r="V27" i="10"/>
  <c r="U27" i="10"/>
  <c r="T27" i="10"/>
  <c r="S27" i="10"/>
  <c r="R27" i="10"/>
  <c r="Q27" i="10"/>
  <c r="P27" i="10"/>
  <c r="O27" i="10"/>
  <c r="N27" i="10"/>
  <c r="M27" i="10"/>
  <c r="L27" i="10"/>
  <c r="K27" i="10"/>
  <c r="J27" i="10"/>
  <c r="I27" i="10"/>
  <c r="H27" i="10"/>
  <c r="AL26" i="10"/>
  <c r="AK26" i="10"/>
  <c r="AJ26" i="10"/>
  <c r="AI26" i="10"/>
  <c r="AH26" i="10"/>
  <c r="AG26" i="10"/>
  <c r="AB26" i="10"/>
  <c r="AA26" i="10"/>
  <c r="Z26" i="10"/>
  <c r="Y26" i="10"/>
  <c r="X26" i="10"/>
  <c r="W26" i="10"/>
  <c r="V26" i="10"/>
  <c r="U26" i="10"/>
  <c r="T26" i="10"/>
  <c r="S26" i="10"/>
  <c r="R26" i="10"/>
  <c r="Q26" i="10"/>
  <c r="P26" i="10"/>
  <c r="O26" i="10"/>
  <c r="N26" i="10"/>
  <c r="M26" i="10"/>
  <c r="L26" i="10"/>
  <c r="K26" i="10"/>
  <c r="J26" i="10"/>
  <c r="I26" i="10"/>
  <c r="H26" i="10"/>
  <c r="AH25" i="10"/>
  <c r="AG25" i="10"/>
  <c r="AB25" i="10"/>
  <c r="AA25" i="10"/>
  <c r="Z25" i="10"/>
  <c r="Y25" i="10"/>
  <c r="X25" i="10"/>
  <c r="W25" i="10"/>
  <c r="V25" i="10"/>
  <c r="U25" i="10"/>
  <c r="T25" i="10"/>
  <c r="S25" i="10"/>
  <c r="R25" i="10"/>
  <c r="Q25" i="10"/>
  <c r="P25" i="10"/>
  <c r="O25" i="10"/>
  <c r="N25" i="10"/>
  <c r="M25" i="10"/>
  <c r="L25" i="10"/>
  <c r="K25" i="10"/>
  <c r="J25" i="10"/>
  <c r="I25" i="10"/>
  <c r="H25" i="10"/>
  <c r="AL24" i="10"/>
  <c r="AK24" i="10"/>
  <c r="AJ24" i="10"/>
  <c r="AI24" i="10"/>
  <c r="AH24" i="10"/>
  <c r="AG24" i="10"/>
  <c r="AB24" i="10"/>
  <c r="AA24" i="10"/>
  <c r="Z24" i="10"/>
  <c r="Y24" i="10"/>
  <c r="X24" i="10"/>
  <c r="W24" i="10"/>
  <c r="V24" i="10"/>
  <c r="U24" i="10"/>
  <c r="T24" i="10"/>
  <c r="S24" i="10"/>
  <c r="R24" i="10"/>
  <c r="Q24" i="10"/>
  <c r="P24" i="10"/>
  <c r="O24" i="10"/>
  <c r="N24" i="10"/>
  <c r="M24" i="10"/>
  <c r="L24" i="10"/>
  <c r="K24" i="10"/>
  <c r="J24" i="10"/>
  <c r="I24" i="10"/>
  <c r="H24" i="10"/>
  <c r="AL23" i="10"/>
  <c r="AK23" i="10"/>
  <c r="AJ23" i="10"/>
  <c r="AI23" i="10"/>
  <c r="AH23" i="10"/>
  <c r="AG23" i="10"/>
  <c r="AB23" i="10"/>
  <c r="AA23" i="10"/>
  <c r="Z23" i="10"/>
  <c r="Y23" i="10"/>
  <c r="X23" i="10"/>
  <c r="W23" i="10"/>
  <c r="V23" i="10"/>
  <c r="U23" i="10"/>
  <c r="T23" i="10"/>
  <c r="S23" i="10"/>
  <c r="R23" i="10"/>
  <c r="Q23" i="10"/>
  <c r="P23" i="10"/>
  <c r="O23" i="10"/>
  <c r="N23" i="10"/>
  <c r="M23" i="10"/>
  <c r="L23" i="10"/>
  <c r="J23" i="10"/>
  <c r="I23" i="10"/>
  <c r="H23" i="10"/>
  <c r="AJ22" i="10"/>
  <c r="AI22" i="10"/>
  <c r="AH22" i="10"/>
  <c r="AG22" i="10"/>
  <c r="AB22" i="10"/>
  <c r="AA22" i="10"/>
  <c r="Z22" i="10"/>
  <c r="Y22" i="10"/>
  <c r="X22" i="10"/>
  <c r="W22" i="10"/>
  <c r="V22" i="10"/>
  <c r="U22" i="10"/>
  <c r="T22" i="10"/>
  <c r="S22" i="10"/>
  <c r="R22" i="10"/>
  <c r="Q22" i="10"/>
  <c r="P22" i="10"/>
  <c r="O22" i="10"/>
  <c r="N22" i="10"/>
  <c r="M22" i="10"/>
  <c r="L22" i="10"/>
  <c r="K22" i="10"/>
  <c r="J22" i="10"/>
  <c r="I22" i="10"/>
  <c r="H22" i="10"/>
  <c r="AJ21" i="10"/>
  <c r="AI21" i="10"/>
  <c r="AH21" i="10"/>
  <c r="AG21" i="10"/>
  <c r="AB21" i="10"/>
  <c r="AA21" i="10"/>
  <c r="Z21" i="10"/>
  <c r="Y21" i="10"/>
  <c r="X21" i="10"/>
  <c r="W21" i="10"/>
  <c r="V21" i="10"/>
  <c r="U21" i="10"/>
  <c r="T21" i="10"/>
  <c r="S21" i="10"/>
  <c r="R21" i="10"/>
  <c r="Q21" i="10"/>
  <c r="P21" i="10"/>
  <c r="O21" i="10"/>
  <c r="N21" i="10"/>
  <c r="M21" i="10"/>
  <c r="L21" i="10"/>
  <c r="K21" i="10"/>
  <c r="J21" i="10"/>
  <c r="I21" i="10"/>
  <c r="H21" i="10"/>
  <c r="AG20" i="10"/>
  <c r="AB20" i="10"/>
  <c r="AA20" i="10"/>
  <c r="Z20" i="10"/>
  <c r="Y20" i="10"/>
  <c r="X20" i="10"/>
  <c r="W20" i="10"/>
  <c r="V20" i="10"/>
  <c r="U20" i="10"/>
  <c r="T20" i="10"/>
  <c r="S20" i="10"/>
  <c r="R20" i="10"/>
  <c r="Q20" i="10"/>
  <c r="P20" i="10"/>
  <c r="O20" i="10"/>
  <c r="N20" i="10"/>
  <c r="M20" i="10"/>
  <c r="L20" i="10"/>
  <c r="K20" i="10"/>
  <c r="J20" i="10"/>
  <c r="I20" i="10"/>
  <c r="H20" i="10"/>
  <c r="AG19" i="10"/>
  <c r="AB19" i="10"/>
  <c r="AA19" i="10"/>
  <c r="Z19" i="10"/>
  <c r="Y19" i="10"/>
  <c r="X19" i="10"/>
  <c r="W19" i="10"/>
  <c r="V19" i="10"/>
  <c r="U19" i="10"/>
  <c r="T19" i="10"/>
  <c r="S19" i="10"/>
  <c r="R19" i="10"/>
  <c r="Q19" i="10"/>
  <c r="P19" i="10"/>
  <c r="O19" i="10"/>
  <c r="N19" i="10"/>
  <c r="M19" i="10"/>
  <c r="L19" i="10"/>
  <c r="K19" i="10"/>
  <c r="J19" i="10"/>
  <c r="I19" i="10"/>
  <c r="H19" i="10"/>
  <c r="AL18" i="10"/>
  <c r="AK18" i="10"/>
  <c r="AJ18" i="10"/>
  <c r="AI18" i="10"/>
  <c r="AH18" i="10"/>
  <c r="AG18" i="10"/>
  <c r="AB18" i="10"/>
  <c r="AA18" i="10"/>
  <c r="Z18" i="10"/>
  <c r="Y18" i="10"/>
  <c r="X18" i="10"/>
  <c r="W18" i="10"/>
  <c r="V18" i="10"/>
  <c r="U18" i="10"/>
  <c r="T18" i="10"/>
  <c r="S18" i="10"/>
  <c r="R18" i="10"/>
  <c r="Q18" i="10"/>
  <c r="P18" i="10"/>
  <c r="O18" i="10"/>
  <c r="N18" i="10"/>
  <c r="M18" i="10"/>
  <c r="L18" i="10"/>
  <c r="K18" i="10"/>
  <c r="J18" i="10"/>
  <c r="I18" i="10"/>
  <c r="H18" i="10"/>
  <c r="AL17" i="10"/>
  <c r="AK17" i="10"/>
  <c r="AJ17" i="10"/>
  <c r="AI17" i="10"/>
  <c r="AH17" i="10"/>
  <c r="AG17" i="10"/>
  <c r="AB17" i="10"/>
  <c r="AA17" i="10"/>
  <c r="Z17" i="10"/>
  <c r="Y17" i="10"/>
  <c r="X17" i="10"/>
  <c r="W17" i="10"/>
  <c r="V17" i="10"/>
  <c r="U17" i="10"/>
  <c r="T17" i="10"/>
  <c r="S17" i="10"/>
  <c r="R17" i="10"/>
  <c r="Q17" i="10"/>
  <c r="P17" i="10"/>
  <c r="O17" i="10"/>
  <c r="N17" i="10"/>
  <c r="M17" i="10"/>
  <c r="L17" i="10"/>
  <c r="K17" i="10"/>
  <c r="J17" i="10"/>
  <c r="I17" i="10"/>
  <c r="H17" i="10"/>
  <c r="AL16" i="10"/>
  <c r="AK16" i="10"/>
  <c r="AJ16" i="10"/>
  <c r="AI16" i="10"/>
  <c r="AH16" i="10"/>
  <c r="AG16" i="10"/>
  <c r="AB16" i="10"/>
  <c r="AA16" i="10"/>
  <c r="Z16" i="10"/>
  <c r="Y16" i="10"/>
  <c r="X16" i="10"/>
  <c r="W16" i="10"/>
  <c r="V16" i="10"/>
  <c r="U16" i="10"/>
  <c r="T16" i="10"/>
  <c r="S16" i="10"/>
  <c r="R16" i="10"/>
  <c r="Q16" i="10"/>
  <c r="P16" i="10"/>
  <c r="O16" i="10"/>
  <c r="N16" i="10"/>
  <c r="M16" i="10"/>
  <c r="L16" i="10"/>
  <c r="K16" i="10"/>
  <c r="J16" i="10"/>
  <c r="I16" i="10"/>
  <c r="H16" i="10"/>
  <c r="AJ15" i="10"/>
  <c r="AI15" i="10"/>
  <c r="AH15" i="10"/>
  <c r="AG15" i="10"/>
  <c r="AB15" i="10"/>
  <c r="AA15" i="10"/>
  <c r="Z15" i="10"/>
  <c r="Y15" i="10"/>
  <c r="X15" i="10"/>
  <c r="W15" i="10"/>
  <c r="V15" i="10"/>
  <c r="U15" i="10"/>
  <c r="T15" i="10"/>
  <c r="S15" i="10"/>
  <c r="R15" i="10"/>
  <c r="Q15" i="10"/>
  <c r="P15" i="10"/>
  <c r="O15" i="10"/>
  <c r="N15" i="10"/>
  <c r="M15" i="10"/>
  <c r="L15" i="10"/>
  <c r="K15" i="10"/>
  <c r="J15" i="10"/>
  <c r="I15" i="10"/>
  <c r="H15" i="10"/>
  <c r="AJ14" i="10"/>
  <c r="AI14" i="10"/>
  <c r="AH14" i="10"/>
  <c r="AG14" i="10"/>
  <c r="AB14" i="10"/>
  <c r="AA14" i="10"/>
  <c r="Z14" i="10"/>
  <c r="Y14" i="10"/>
  <c r="X14" i="10"/>
  <c r="W14" i="10"/>
  <c r="V14" i="10"/>
  <c r="U14" i="10"/>
  <c r="T14" i="10"/>
  <c r="S14" i="10"/>
  <c r="R14" i="10"/>
  <c r="Q14" i="10"/>
  <c r="P14" i="10"/>
  <c r="O14" i="10"/>
  <c r="N14" i="10"/>
  <c r="M14" i="10"/>
  <c r="L14" i="10"/>
  <c r="K14" i="10"/>
  <c r="J14" i="10"/>
  <c r="I14" i="10"/>
  <c r="H14" i="10"/>
  <c r="AJ13" i="10"/>
  <c r="AI13" i="10"/>
  <c r="AH13" i="10"/>
  <c r="AG13" i="10"/>
  <c r="AB13" i="10"/>
  <c r="AA13" i="10"/>
  <c r="Z13" i="10"/>
  <c r="Y13" i="10"/>
  <c r="X13" i="10"/>
  <c r="W13" i="10"/>
  <c r="V13" i="10"/>
  <c r="U13" i="10"/>
  <c r="T13" i="10"/>
  <c r="S13" i="10"/>
  <c r="R13" i="10"/>
  <c r="Q13" i="10"/>
  <c r="P13" i="10"/>
  <c r="O13" i="10"/>
  <c r="N13" i="10"/>
  <c r="M13" i="10"/>
  <c r="L13" i="10"/>
  <c r="K13" i="10"/>
  <c r="J13" i="10"/>
  <c r="I13" i="10"/>
  <c r="H13" i="10"/>
  <c r="AL12" i="10"/>
  <c r="AK12" i="10"/>
  <c r="AJ12" i="10"/>
  <c r="AI12" i="10"/>
  <c r="AH12" i="10"/>
  <c r="AG12" i="10"/>
  <c r="AB12" i="10"/>
  <c r="AA12" i="10"/>
  <c r="Z12" i="10"/>
  <c r="Y12" i="10"/>
  <c r="X12" i="10"/>
  <c r="W12" i="10"/>
  <c r="V12" i="10"/>
  <c r="U12" i="10"/>
  <c r="T12" i="10"/>
  <c r="S12" i="10"/>
  <c r="R12" i="10"/>
  <c r="Q12" i="10"/>
  <c r="P12" i="10"/>
  <c r="O12" i="10"/>
  <c r="N12" i="10"/>
  <c r="M12" i="10"/>
  <c r="L12" i="10"/>
  <c r="K12" i="10"/>
  <c r="J12" i="10"/>
  <c r="I12" i="10"/>
  <c r="H12" i="10"/>
  <c r="AJ11" i="10"/>
  <c r="AI11" i="10"/>
  <c r="AH11" i="10"/>
  <c r="AG11" i="10"/>
  <c r="AB11" i="10"/>
  <c r="AA11" i="10"/>
  <c r="Z11" i="10"/>
  <c r="Y11" i="10"/>
  <c r="X11" i="10"/>
  <c r="W11" i="10"/>
  <c r="V11" i="10"/>
  <c r="U11" i="10"/>
  <c r="T11" i="10"/>
  <c r="S11" i="10"/>
  <c r="R11" i="10"/>
  <c r="Q11" i="10"/>
  <c r="P11" i="10"/>
  <c r="O11" i="10"/>
  <c r="N11" i="10"/>
  <c r="M11" i="10"/>
  <c r="L11" i="10"/>
  <c r="K11" i="10"/>
  <c r="J11" i="10"/>
  <c r="I11" i="10"/>
  <c r="H11" i="10"/>
  <c r="AG10" i="10"/>
  <c r="AB10" i="10"/>
  <c r="AA10" i="10"/>
  <c r="Z10" i="10"/>
  <c r="Y10" i="10"/>
  <c r="X10" i="10"/>
  <c r="W10" i="10"/>
  <c r="V10" i="10"/>
  <c r="U10" i="10"/>
  <c r="T10" i="10"/>
  <c r="S10" i="10"/>
  <c r="R10" i="10"/>
  <c r="Q10" i="10"/>
  <c r="P10" i="10"/>
  <c r="O10" i="10"/>
  <c r="N10" i="10"/>
  <c r="M10" i="10"/>
  <c r="L10" i="10"/>
  <c r="K10" i="10"/>
  <c r="J10" i="10"/>
  <c r="I10" i="10"/>
  <c r="H10" i="10"/>
  <c r="AL9" i="10"/>
  <c r="AK9" i="10"/>
  <c r="AJ9" i="10"/>
  <c r="AI9" i="10"/>
  <c r="AH9" i="10"/>
  <c r="AG9" i="10"/>
  <c r="AB9" i="10"/>
  <c r="AA9" i="10"/>
  <c r="Z9" i="10"/>
  <c r="Y9" i="10"/>
  <c r="X9" i="10"/>
  <c r="W9" i="10"/>
  <c r="V9" i="10"/>
  <c r="U9" i="10"/>
  <c r="T9" i="10"/>
  <c r="S9" i="10"/>
  <c r="R9" i="10"/>
  <c r="Q9" i="10"/>
  <c r="P9" i="10"/>
  <c r="O9" i="10"/>
  <c r="N9" i="10"/>
  <c r="M9" i="10"/>
  <c r="L9" i="10"/>
  <c r="K9" i="10"/>
  <c r="J9" i="10"/>
  <c r="I9" i="10"/>
  <c r="H9" i="10"/>
  <c r="AL8" i="10"/>
  <c r="AK8" i="10"/>
  <c r="AJ8" i="10"/>
  <c r="AI8" i="10"/>
  <c r="AH8" i="10"/>
  <c r="AG8" i="10"/>
  <c r="AB8" i="10"/>
  <c r="AA8" i="10"/>
  <c r="Z8" i="10"/>
  <c r="Y8" i="10"/>
  <c r="X8" i="10"/>
  <c r="W8" i="10"/>
  <c r="V8" i="10"/>
  <c r="U8" i="10"/>
  <c r="T8" i="10"/>
  <c r="S8" i="10"/>
  <c r="R8" i="10"/>
  <c r="Q8" i="10"/>
  <c r="P8" i="10"/>
  <c r="O8" i="10"/>
  <c r="N8" i="10"/>
  <c r="M8" i="10"/>
  <c r="L8" i="10"/>
  <c r="K8" i="10"/>
  <c r="J8" i="10"/>
  <c r="I8" i="10"/>
  <c r="H8" i="10"/>
  <c r="AL7" i="10"/>
  <c r="AK7" i="10"/>
  <c r="AJ7" i="10"/>
  <c r="AI7" i="10"/>
  <c r="AH7" i="10"/>
  <c r="AG7" i="10"/>
  <c r="AB7" i="10"/>
  <c r="AA7" i="10"/>
  <c r="Z7" i="10"/>
  <c r="Y7" i="10"/>
  <c r="X7" i="10"/>
  <c r="W7" i="10"/>
  <c r="V7" i="10"/>
  <c r="U7" i="10"/>
  <c r="T7" i="10"/>
  <c r="S7" i="10"/>
  <c r="R7" i="10"/>
  <c r="Q7" i="10"/>
  <c r="P7" i="10"/>
  <c r="O7" i="10"/>
  <c r="N7" i="10"/>
  <c r="M7" i="10"/>
  <c r="L7" i="10"/>
  <c r="K7" i="10"/>
  <c r="J7" i="10"/>
  <c r="I7" i="10"/>
  <c r="AJ6" i="10"/>
  <c r="AI6" i="10"/>
  <c r="AH6" i="10"/>
  <c r="AG6" i="10"/>
  <c r="AB6" i="10"/>
  <c r="AA6" i="10"/>
  <c r="Z6" i="10"/>
  <c r="Y6" i="10"/>
  <c r="X6" i="10"/>
  <c r="W6" i="10"/>
  <c r="V6" i="10"/>
  <c r="U6" i="10"/>
  <c r="T6" i="10"/>
  <c r="S6" i="10"/>
  <c r="R6" i="10"/>
  <c r="Q6" i="10"/>
  <c r="P6" i="10"/>
  <c r="O6" i="10"/>
  <c r="N6" i="10"/>
  <c r="M6" i="10"/>
  <c r="L6" i="10"/>
  <c r="K6" i="10"/>
  <c r="J6" i="10"/>
  <c r="I6" i="10"/>
  <c r="AJ5" i="10"/>
  <c r="AI5" i="10"/>
  <c r="AH5" i="10"/>
  <c r="AG5" i="10"/>
  <c r="AB5" i="10"/>
  <c r="AA5" i="10"/>
  <c r="Z5" i="10"/>
  <c r="Y5" i="10"/>
  <c r="X5" i="10"/>
  <c r="W5" i="10"/>
  <c r="V5" i="10"/>
  <c r="U5" i="10"/>
  <c r="T5" i="10"/>
  <c r="S5" i="10"/>
  <c r="R5" i="10"/>
  <c r="Q5" i="10"/>
  <c r="P5" i="10"/>
  <c r="O5" i="10"/>
  <c r="N5" i="10"/>
  <c r="M5" i="10"/>
  <c r="L5" i="10"/>
  <c r="K5" i="10"/>
  <c r="J5" i="10"/>
  <c r="I5" i="10"/>
  <c r="H5" i="10"/>
  <c r="AL4" i="10"/>
  <c r="AK4" i="10"/>
  <c r="AJ4" i="10"/>
  <c r="AI4" i="10"/>
  <c r="AH4" i="10"/>
  <c r="AG4" i="10"/>
  <c r="AB4" i="10"/>
  <c r="AA4" i="10"/>
  <c r="Z4" i="10"/>
  <c r="Y4" i="10"/>
  <c r="X4" i="10"/>
  <c r="W4" i="10"/>
  <c r="V4" i="10"/>
  <c r="U4" i="10"/>
  <c r="T4" i="10"/>
  <c r="S4" i="10"/>
  <c r="R4" i="10"/>
  <c r="Q4" i="10"/>
  <c r="P4" i="10"/>
  <c r="O4" i="10"/>
  <c r="N4" i="10"/>
  <c r="M4" i="10"/>
  <c r="L4" i="10"/>
  <c r="K4" i="10"/>
  <c r="J4" i="10"/>
  <c r="I4" i="10"/>
  <c r="H4" i="10"/>
  <c r="AJ3" i="10"/>
  <c r="AI3" i="10"/>
  <c r="AH3" i="10"/>
  <c r="AG3" i="10"/>
  <c r="AB3" i="10"/>
  <c r="AA3" i="10"/>
  <c r="Z3" i="10"/>
  <c r="Y3" i="10"/>
  <c r="X3" i="10"/>
  <c r="W3" i="10"/>
  <c r="V3" i="10"/>
  <c r="U3" i="10"/>
  <c r="T3" i="10"/>
  <c r="S3" i="10"/>
  <c r="R3" i="10"/>
  <c r="Q3" i="10"/>
  <c r="P3" i="10"/>
  <c r="O3" i="10"/>
  <c r="N3" i="10"/>
  <c r="M3" i="10"/>
  <c r="L3" i="10"/>
  <c r="K3" i="10"/>
  <c r="J3" i="10"/>
  <c r="I3" i="10"/>
  <c r="H3" i="10"/>
  <c r="AG2" i="10"/>
  <c r="AB2" i="10"/>
  <c r="AA2" i="10"/>
  <c r="Z2" i="10"/>
  <c r="Y2" i="10"/>
  <c r="X2" i="10"/>
  <c r="W2" i="10"/>
  <c r="V2" i="10"/>
  <c r="U2" i="10"/>
  <c r="T2" i="10"/>
  <c r="S2" i="10"/>
  <c r="R2" i="10"/>
  <c r="Q2" i="10"/>
  <c r="P2" i="10"/>
  <c r="O2" i="10"/>
  <c r="N2" i="10"/>
  <c r="M2" i="10"/>
  <c r="L2" i="10"/>
  <c r="K2" i="10"/>
  <c r="J2" i="10"/>
  <c r="I2" i="10"/>
  <c r="H2" i="10"/>
  <c r="AH134" i="9"/>
  <c r="AG134" i="9"/>
  <c r="AB134" i="9"/>
  <c r="AA134" i="9"/>
  <c r="Z134" i="9"/>
  <c r="Y134" i="9"/>
  <c r="X134" i="9"/>
  <c r="V134" i="9"/>
  <c r="U134" i="9"/>
  <c r="T134" i="9"/>
  <c r="S134" i="9"/>
  <c r="R134" i="9"/>
  <c r="Q134" i="9"/>
  <c r="P134" i="9"/>
  <c r="O134" i="9"/>
  <c r="N134" i="9"/>
  <c r="M134" i="9"/>
  <c r="L134" i="9"/>
  <c r="K134" i="9"/>
  <c r="J134" i="9"/>
  <c r="I134" i="9"/>
  <c r="AJ133" i="9"/>
  <c r="AI133" i="9"/>
  <c r="AH133" i="9"/>
  <c r="AG133" i="9"/>
  <c r="AB133" i="9"/>
  <c r="AA133" i="9"/>
  <c r="Z133" i="9"/>
  <c r="Y133" i="9"/>
  <c r="X133" i="9"/>
  <c r="W133" i="9"/>
  <c r="V133" i="9"/>
  <c r="U133" i="9"/>
  <c r="T133" i="9"/>
  <c r="S133" i="9"/>
  <c r="R133" i="9"/>
  <c r="Q133" i="9"/>
  <c r="P133" i="9"/>
  <c r="O133" i="9"/>
  <c r="N133" i="9"/>
  <c r="M133" i="9"/>
  <c r="L133" i="9"/>
  <c r="K133" i="9"/>
  <c r="J133" i="9"/>
  <c r="I133" i="9"/>
  <c r="H133" i="9"/>
  <c r="AJ132" i="9"/>
  <c r="AI132" i="9"/>
  <c r="AH132" i="9"/>
  <c r="AG132" i="9"/>
  <c r="AB132" i="9"/>
  <c r="AA132" i="9"/>
  <c r="Z132" i="9"/>
  <c r="Y132" i="9"/>
  <c r="X132" i="9"/>
  <c r="W132" i="9"/>
  <c r="V132" i="9"/>
  <c r="U132" i="9"/>
  <c r="T132" i="9"/>
  <c r="S132" i="9"/>
  <c r="R132" i="9"/>
  <c r="Q132" i="9"/>
  <c r="P132" i="9"/>
  <c r="O132" i="9"/>
  <c r="N132" i="9"/>
  <c r="M132" i="9"/>
  <c r="L132" i="9"/>
  <c r="K132" i="9"/>
  <c r="J132" i="9"/>
  <c r="I132" i="9"/>
  <c r="H132" i="9"/>
  <c r="AH131" i="9"/>
  <c r="AG131" i="9"/>
  <c r="AB131" i="9"/>
  <c r="AA131" i="9"/>
  <c r="Z131" i="9"/>
  <c r="Y131" i="9"/>
  <c r="X131" i="9"/>
  <c r="W131" i="9"/>
  <c r="V131" i="9"/>
  <c r="U131" i="9"/>
  <c r="T131" i="9"/>
  <c r="S131" i="9"/>
  <c r="R131" i="9"/>
  <c r="Q131" i="9"/>
  <c r="P131" i="9"/>
  <c r="O131" i="9"/>
  <c r="N131" i="9"/>
  <c r="M131" i="9"/>
  <c r="L131" i="9"/>
  <c r="K131" i="9"/>
  <c r="J131" i="9"/>
  <c r="I131" i="9"/>
  <c r="H131" i="9"/>
  <c r="AJ130" i="9"/>
  <c r="AI130" i="9"/>
  <c r="AH130" i="9"/>
  <c r="AG130" i="9"/>
  <c r="AF130" i="9"/>
  <c r="AE130" i="9"/>
  <c r="AC130" i="9"/>
  <c r="AB130" i="9"/>
  <c r="Z130" i="9"/>
  <c r="Y130" i="9"/>
  <c r="X130" i="9"/>
  <c r="W130" i="9"/>
  <c r="V130" i="9"/>
  <c r="U130" i="9"/>
  <c r="T130" i="9"/>
  <c r="S130" i="9"/>
  <c r="R130" i="9"/>
  <c r="Q130" i="9"/>
  <c r="P130" i="9"/>
  <c r="O130" i="9"/>
  <c r="N130" i="9"/>
  <c r="M130" i="9"/>
  <c r="L130" i="9"/>
  <c r="K130" i="9"/>
  <c r="J130" i="9"/>
  <c r="I130" i="9"/>
  <c r="H130" i="9"/>
  <c r="AH129" i="9"/>
  <c r="AG129" i="9"/>
  <c r="AB129" i="9"/>
  <c r="AA129" i="9"/>
  <c r="Z129" i="9"/>
  <c r="Y129" i="9"/>
  <c r="X129" i="9"/>
  <c r="V129" i="9"/>
  <c r="U129" i="9"/>
  <c r="T129" i="9"/>
  <c r="S129" i="9"/>
  <c r="R129" i="9"/>
  <c r="Q129" i="9"/>
  <c r="P129" i="9"/>
  <c r="O129" i="9"/>
  <c r="N129" i="9"/>
  <c r="M129" i="9"/>
  <c r="L129" i="9"/>
  <c r="K129" i="9"/>
  <c r="J129" i="9"/>
  <c r="I129" i="9"/>
  <c r="H129" i="9"/>
  <c r="AH128" i="9"/>
  <c r="AG128" i="9"/>
  <c r="AB128" i="9"/>
  <c r="AA128" i="9"/>
  <c r="Z128" i="9"/>
  <c r="Y128" i="9"/>
  <c r="X128" i="9"/>
  <c r="W128" i="9"/>
  <c r="V128" i="9"/>
  <c r="U128" i="9"/>
  <c r="T128" i="9"/>
  <c r="S128" i="9"/>
  <c r="R128" i="9"/>
  <c r="Q128" i="9"/>
  <c r="P128" i="9"/>
  <c r="O128" i="9"/>
  <c r="N128" i="9"/>
  <c r="M128" i="9"/>
  <c r="L128" i="9"/>
  <c r="K128" i="9"/>
  <c r="J128" i="9"/>
  <c r="I128" i="9"/>
  <c r="H128" i="9"/>
  <c r="AG127" i="9"/>
  <c r="AB127" i="9"/>
  <c r="AA127" i="9"/>
  <c r="Z127" i="9"/>
  <c r="Y127" i="9"/>
  <c r="X127" i="9"/>
  <c r="W127" i="9"/>
  <c r="V127" i="9"/>
  <c r="U127" i="9"/>
  <c r="T127" i="9"/>
  <c r="S127" i="9"/>
  <c r="R127" i="9"/>
  <c r="Q127" i="9"/>
  <c r="P127" i="9"/>
  <c r="O127" i="9"/>
  <c r="N127" i="9"/>
  <c r="M127" i="9"/>
  <c r="L127" i="9"/>
  <c r="K127" i="9"/>
  <c r="J127" i="9"/>
  <c r="I127" i="9"/>
  <c r="H127" i="9"/>
  <c r="AH126" i="9"/>
  <c r="AG126" i="9"/>
  <c r="AF126" i="9"/>
  <c r="AD126" i="9"/>
  <c r="AB126" i="9"/>
  <c r="AA126" i="9"/>
  <c r="Z126" i="9"/>
  <c r="Y126" i="9"/>
  <c r="X126" i="9"/>
  <c r="W126" i="9"/>
  <c r="V126" i="9"/>
  <c r="U126" i="9"/>
  <c r="T126" i="9"/>
  <c r="S126" i="9"/>
  <c r="R126" i="9"/>
  <c r="Q126" i="9"/>
  <c r="P126" i="9"/>
  <c r="O126" i="9"/>
  <c r="N126" i="9"/>
  <c r="M126" i="9"/>
  <c r="L126" i="9"/>
  <c r="K126" i="9"/>
  <c r="J126" i="9"/>
  <c r="I126" i="9"/>
  <c r="H126" i="9"/>
  <c r="AJ125" i="9"/>
  <c r="AI125" i="9"/>
  <c r="AH125" i="9"/>
  <c r="AG125" i="9"/>
  <c r="AB125" i="9"/>
  <c r="Z125" i="9"/>
  <c r="Y125" i="9"/>
  <c r="X125" i="9"/>
  <c r="V125" i="9"/>
  <c r="U125" i="9"/>
  <c r="T125" i="9"/>
  <c r="S125" i="9"/>
  <c r="R125" i="9"/>
  <c r="Q125" i="9"/>
  <c r="P125" i="9"/>
  <c r="O125" i="9"/>
  <c r="N125" i="9"/>
  <c r="M125" i="9"/>
  <c r="L125" i="9"/>
  <c r="K125" i="9"/>
  <c r="J125" i="9"/>
  <c r="I125" i="9"/>
  <c r="H125" i="9"/>
  <c r="AL124" i="9"/>
  <c r="AK124" i="9"/>
  <c r="AJ124" i="9"/>
  <c r="AI124" i="9"/>
  <c r="AH124" i="9"/>
  <c r="AG124" i="9"/>
  <c r="AB124" i="9"/>
  <c r="AA124" i="9"/>
  <c r="Z124" i="9"/>
  <c r="Y124" i="9"/>
  <c r="X124" i="9"/>
  <c r="W124" i="9"/>
  <c r="V124" i="9"/>
  <c r="U124" i="9"/>
  <c r="T124" i="9"/>
  <c r="S124" i="9"/>
  <c r="R124" i="9"/>
  <c r="Q124" i="9"/>
  <c r="P124" i="9"/>
  <c r="O124" i="9"/>
  <c r="N124" i="9"/>
  <c r="M124" i="9"/>
  <c r="L124" i="9"/>
  <c r="K124" i="9"/>
  <c r="J124" i="9"/>
  <c r="I124" i="9"/>
  <c r="H124" i="9"/>
  <c r="AL123" i="9"/>
  <c r="AK123" i="9"/>
  <c r="AJ123" i="9"/>
  <c r="AI123" i="9"/>
  <c r="AH123" i="9"/>
  <c r="AG123" i="9"/>
  <c r="AB123" i="9"/>
  <c r="AA123" i="9"/>
  <c r="Z123" i="9"/>
  <c r="Y123" i="9"/>
  <c r="X123" i="9"/>
  <c r="W123" i="9"/>
  <c r="V123" i="9"/>
  <c r="U123" i="9"/>
  <c r="T123" i="9"/>
  <c r="S123" i="9"/>
  <c r="R123" i="9"/>
  <c r="Q123" i="9"/>
  <c r="P123" i="9"/>
  <c r="O123" i="9"/>
  <c r="N123" i="9"/>
  <c r="M123" i="9"/>
  <c r="L123" i="9"/>
  <c r="K123" i="9"/>
  <c r="J123" i="9"/>
  <c r="I123" i="9"/>
  <c r="H123" i="9"/>
  <c r="AL122" i="9"/>
  <c r="AK122" i="9"/>
  <c r="AJ122" i="9"/>
  <c r="AI122" i="9"/>
  <c r="AH122" i="9"/>
  <c r="AG122" i="9"/>
  <c r="AB122" i="9"/>
  <c r="AA122" i="9"/>
  <c r="Z122" i="9"/>
  <c r="Y122" i="9"/>
  <c r="X122" i="9"/>
  <c r="W122" i="9"/>
  <c r="V122" i="9"/>
  <c r="U122" i="9"/>
  <c r="T122" i="9"/>
  <c r="S122" i="9"/>
  <c r="R122" i="9"/>
  <c r="Q122" i="9"/>
  <c r="P122" i="9"/>
  <c r="O122" i="9"/>
  <c r="N122" i="9"/>
  <c r="M122" i="9"/>
  <c r="L122" i="9"/>
  <c r="K122" i="9"/>
  <c r="J122" i="9"/>
  <c r="I122" i="9"/>
  <c r="H122" i="9"/>
  <c r="AJ121" i="9"/>
  <c r="AI121" i="9"/>
  <c r="AH121" i="9"/>
  <c r="AG121" i="9"/>
  <c r="AB121" i="9"/>
  <c r="AA121" i="9"/>
  <c r="Z121" i="9"/>
  <c r="Y121" i="9"/>
  <c r="X121" i="9"/>
  <c r="W121" i="9"/>
  <c r="V121" i="9"/>
  <c r="U121" i="9"/>
  <c r="T121" i="9"/>
  <c r="S121" i="9"/>
  <c r="R121" i="9"/>
  <c r="Q121" i="9"/>
  <c r="P121" i="9"/>
  <c r="O121" i="9"/>
  <c r="N121" i="9"/>
  <c r="M121" i="9"/>
  <c r="L121" i="9"/>
  <c r="K121" i="9"/>
  <c r="J121" i="9"/>
  <c r="I121" i="9"/>
  <c r="H121" i="9"/>
  <c r="AL120" i="9"/>
  <c r="AK120" i="9"/>
  <c r="AJ120" i="9"/>
  <c r="AI120" i="9"/>
  <c r="AH120" i="9"/>
  <c r="AG120" i="9"/>
  <c r="AB120" i="9"/>
  <c r="AA120" i="9"/>
  <c r="Z120" i="9"/>
  <c r="Y120" i="9"/>
  <c r="X120" i="9"/>
  <c r="W120" i="9"/>
  <c r="V120" i="9"/>
  <c r="U120" i="9"/>
  <c r="T120" i="9"/>
  <c r="S120" i="9"/>
  <c r="R120" i="9"/>
  <c r="Q120" i="9"/>
  <c r="P120" i="9"/>
  <c r="O120" i="9"/>
  <c r="N120" i="9"/>
  <c r="M120" i="9"/>
  <c r="L120" i="9"/>
  <c r="K120" i="9"/>
  <c r="J120" i="9"/>
  <c r="I120" i="9"/>
  <c r="H120" i="9"/>
  <c r="AG119" i="9"/>
  <c r="AB119" i="9"/>
  <c r="AA119" i="9"/>
  <c r="Z119" i="9"/>
  <c r="Y119" i="9"/>
  <c r="X119" i="9"/>
  <c r="W119" i="9"/>
  <c r="V119" i="9"/>
  <c r="U119" i="9"/>
  <c r="T119" i="9"/>
  <c r="S119" i="9"/>
  <c r="R119" i="9"/>
  <c r="Q119" i="9"/>
  <c r="P119" i="9"/>
  <c r="O119" i="9"/>
  <c r="N119" i="9"/>
  <c r="M119" i="9"/>
  <c r="L119" i="9"/>
  <c r="K119" i="9"/>
  <c r="J119" i="9"/>
  <c r="I119" i="9"/>
  <c r="H119" i="9"/>
  <c r="AJ118" i="9"/>
  <c r="AI118" i="9"/>
  <c r="AH118" i="9"/>
  <c r="AG118" i="9"/>
  <c r="AB118" i="9"/>
  <c r="AA118" i="9"/>
  <c r="Z118" i="9"/>
  <c r="Y118" i="9"/>
  <c r="X118" i="9"/>
  <c r="W118" i="9"/>
  <c r="V118" i="9"/>
  <c r="U118" i="9"/>
  <c r="T118" i="9"/>
  <c r="S118" i="9"/>
  <c r="R118" i="9"/>
  <c r="Q118" i="9"/>
  <c r="P118" i="9"/>
  <c r="O118" i="9"/>
  <c r="N118" i="9"/>
  <c r="M118" i="9"/>
  <c r="L118" i="9"/>
  <c r="K118" i="9"/>
  <c r="J118" i="9"/>
  <c r="I118" i="9"/>
  <c r="H118" i="9"/>
  <c r="AJ117" i="9"/>
  <c r="AI117" i="9"/>
  <c r="AH117" i="9"/>
  <c r="AG117" i="9"/>
  <c r="AB117" i="9"/>
  <c r="AA117" i="9"/>
  <c r="Z117" i="9"/>
  <c r="Y117" i="9"/>
  <c r="X117" i="9"/>
  <c r="W117" i="9"/>
  <c r="V117" i="9"/>
  <c r="U117" i="9"/>
  <c r="T117" i="9"/>
  <c r="S117" i="9"/>
  <c r="R117" i="9"/>
  <c r="Q117" i="9"/>
  <c r="P117" i="9"/>
  <c r="O117" i="9"/>
  <c r="N117" i="9"/>
  <c r="M117" i="9"/>
  <c r="L117" i="9"/>
  <c r="K117" i="9"/>
  <c r="J117" i="9"/>
  <c r="I117" i="9"/>
  <c r="H117" i="9"/>
  <c r="AJ116" i="9"/>
  <c r="AI116" i="9"/>
  <c r="AH116" i="9"/>
  <c r="AG116" i="9"/>
  <c r="AB116" i="9"/>
  <c r="AA116" i="9"/>
  <c r="Z116" i="9"/>
  <c r="Y116" i="9"/>
  <c r="X116" i="9"/>
  <c r="W116" i="9"/>
  <c r="V116" i="9"/>
  <c r="U116" i="9"/>
  <c r="T116" i="9"/>
  <c r="S116" i="9"/>
  <c r="R116" i="9"/>
  <c r="Q116" i="9"/>
  <c r="P116" i="9"/>
  <c r="O116" i="9"/>
  <c r="N116" i="9"/>
  <c r="M116" i="9"/>
  <c r="L116" i="9"/>
  <c r="K116" i="9"/>
  <c r="J116" i="9"/>
  <c r="I116" i="9"/>
  <c r="H116" i="9"/>
  <c r="AL115" i="9"/>
  <c r="AK115" i="9"/>
  <c r="AJ115" i="9"/>
  <c r="AI115" i="9"/>
  <c r="AH115" i="9"/>
  <c r="AG115" i="9"/>
  <c r="AB115" i="9"/>
  <c r="AA115" i="9"/>
  <c r="Z115" i="9"/>
  <c r="Y115" i="9"/>
  <c r="X115" i="9"/>
  <c r="W115" i="9"/>
  <c r="V115" i="9"/>
  <c r="U115" i="9"/>
  <c r="T115" i="9"/>
  <c r="S115" i="9"/>
  <c r="R115" i="9"/>
  <c r="Q115" i="9"/>
  <c r="P115" i="9"/>
  <c r="O115" i="9"/>
  <c r="N115" i="9"/>
  <c r="M115" i="9"/>
  <c r="L115" i="9"/>
  <c r="K115" i="9"/>
  <c r="J115" i="9"/>
  <c r="I115" i="9"/>
  <c r="H115" i="9"/>
  <c r="AL114" i="9"/>
  <c r="AK114" i="9"/>
  <c r="AJ114" i="9"/>
  <c r="AI114" i="9"/>
  <c r="AH114" i="9"/>
  <c r="AG114" i="9"/>
  <c r="AB114" i="9"/>
  <c r="AA114" i="9"/>
  <c r="Z114" i="9"/>
  <c r="Y114" i="9"/>
  <c r="X114" i="9"/>
  <c r="W114" i="9"/>
  <c r="V114" i="9"/>
  <c r="U114" i="9"/>
  <c r="T114" i="9"/>
  <c r="S114" i="9"/>
  <c r="R114" i="9"/>
  <c r="Q114" i="9"/>
  <c r="P114" i="9"/>
  <c r="O114" i="9"/>
  <c r="N114" i="9"/>
  <c r="M114" i="9"/>
  <c r="L114" i="9"/>
  <c r="K114" i="9"/>
  <c r="J114" i="9"/>
  <c r="I114" i="9"/>
  <c r="H114" i="9"/>
  <c r="AL113" i="9"/>
  <c r="AK113" i="9"/>
  <c r="AJ113" i="9"/>
  <c r="AI113" i="9"/>
  <c r="AH113" i="9"/>
  <c r="AG113" i="9"/>
  <c r="AB113" i="9"/>
  <c r="AA113" i="9"/>
  <c r="Z113" i="9"/>
  <c r="Y113" i="9"/>
  <c r="X113" i="9"/>
  <c r="W113" i="9"/>
  <c r="V113" i="9"/>
  <c r="U113" i="9"/>
  <c r="T113" i="9"/>
  <c r="S113" i="9"/>
  <c r="R113" i="9"/>
  <c r="Q113" i="9"/>
  <c r="P113" i="9"/>
  <c r="O113" i="9"/>
  <c r="N113" i="9"/>
  <c r="M113" i="9"/>
  <c r="L113" i="9"/>
  <c r="K113" i="9"/>
  <c r="J113" i="9"/>
  <c r="I113" i="9"/>
  <c r="H113" i="9"/>
  <c r="AH112" i="9"/>
  <c r="AG112" i="9"/>
  <c r="AB112" i="9"/>
  <c r="AA112" i="9"/>
  <c r="Z112" i="9"/>
  <c r="Y112" i="9"/>
  <c r="X112" i="9"/>
  <c r="W112" i="9"/>
  <c r="V112" i="9"/>
  <c r="U112" i="9"/>
  <c r="T112" i="9"/>
  <c r="S112" i="9"/>
  <c r="R112" i="9"/>
  <c r="Q112" i="9"/>
  <c r="P112" i="9"/>
  <c r="O112" i="9"/>
  <c r="N112" i="9"/>
  <c r="M112" i="9"/>
  <c r="L112" i="9"/>
  <c r="K112" i="9"/>
  <c r="J112" i="9"/>
  <c r="I112" i="9"/>
  <c r="H112" i="9"/>
  <c r="AH111" i="9"/>
  <c r="AG111" i="9"/>
  <c r="AB111" i="9"/>
  <c r="AA111" i="9"/>
  <c r="Z111" i="9"/>
  <c r="Y111" i="9"/>
  <c r="X111" i="9"/>
  <c r="W111" i="9"/>
  <c r="V111" i="9"/>
  <c r="U111" i="9"/>
  <c r="T111" i="9"/>
  <c r="S111" i="9"/>
  <c r="R111" i="9"/>
  <c r="Q111" i="9"/>
  <c r="P111" i="9"/>
  <c r="O111" i="9"/>
  <c r="N111" i="9"/>
  <c r="M111" i="9"/>
  <c r="L111" i="9"/>
  <c r="K111" i="9"/>
  <c r="J111" i="9"/>
  <c r="I111" i="9"/>
  <c r="H111" i="9"/>
  <c r="AL110" i="9"/>
  <c r="AK110" i="9"/>
  <c r="AJ110" i="9"/>
  <c r="AI110" i="9"/>
  <c r="AH110" i="9"/>
  <c r="AG110" i="9"/>
  <c r="AB110" i="9"/>
  <c r="AA110" i="9"/>
  <c r="Z110" i="9"/>
  <c r="Y110" i="9"/>
  <c r="X110" i="9"/>
  <c r="W110" i="9"/>
  <c r="V110" i="9"/>
  <c r="U110" i="9"/>
  <c r="T110" i="9"/>
  <c r="S110" i="9"/>
  <c r="R110" i="9"/>
  <c r="Q110" i="9"/>
  <c r="P110" i="9"/>
  <c r="O110" i="9"/>
  <c r="N110" i="9"/>
  <c r="M110" i="9"/>
  <c r="L110" i="9"/>
  <c r="K110" i="9"/>
  <c r="J110" i="9"/>
  <c r="I110" i="9"/>
  <c r="H110" i="9"/>
  <c r="AL109" i="9"/>
  <c r="AK109" i="9"/>
  <c r="AJ109" i="9"/>
  <c r="AI109" i="9"/>
  <c r="AH109" i="9"/>
  <c r="AG109" i="9"/>
  <c r="AB109" i="9"/>
  <c r="AA109" i="9"/>
  <c r="Z109" i="9"/>
  <c r="Y109" i="9"/>
  <c r="X109" i="9"/>
  <c r="W109" i="9"/>
  <c r="V109" i="9"/>
  <c r="U109" i="9"/>
  <c r="T109" i="9"/>
  <c r="S109" i="9"/>
  <c r="R109" i="9"/>
  <c r="Q109" i="9"/>
  <c r="P109" i="9"/>
  <c r="O109" i="9"/>
  <c r="N109" i="9"/>
  <c r="M109" i="9"/>
  <c r="L109" i="9"/>
  <c r="K109" i="9"/>
  <c r="J109" i="9"/>
  <c r="I109" i="9"/>
  <c r="H109" i="9"/>
  <c r="AJ108" i="9"/>
  <c r="AI108" i="9"/>
  <c r="AH108" i="9"/>
  <c r="AG108" i="9"/>
  <c r="AB108" i="9"/>
  <c r="AA108" i="9"/>
  <c r="Z108" i="9"/>
  <c r="Y108" i="9"/>
  <c r="X108" i="9"/>
  <c r="W108" i="9"/>
  <c r="V108" i="9"/>
  <c r="U108" i="9"/>
  <c r="T108" i="9"/>
  <c r="S108" i="9"/>
  <c r="R108" i="9"/>
  <c r="Q108" i="9"/>
  <c r="P108" i="9"/>
  <c r="O108" i="9"/>
  <c r="N108" i="9"/>
  <c r="M108" i="9"/>
  <c r="L108" i="9"/>
  <c r="K108" i="9"/>
  <c r="J108" i="9"/>
  <c r="I108" i="9"/>
  <c r="H108" i="9"/>
  <c r="AL107" i="9"/>
  <c r="AK107" i="9"/>
  <c r="AJ107" i="9"/>
  <c r="AI107" i="9"/>
  <c r="AH107" i="9"/>
  <c r="AG107" i="9"/>
  <c r="AB107" i="9"/>
  <c r="AA107" i="9"/>
  <c r="Z107" i="9"/>
  <c r="Y107" i="9"/>
  <c r="X107" i="9"/>
  <c r="W107" i="9"/>
  <c r="V107" i="9"/>
  <c r="U107" i="9"/>
  <c r="T107" i="9"/>
  <c r="S107" i="9"/>
  <c r="R107" i="9"/>
  <c r="Q107" i="9"/>
  <c r="P107" i="9"/>
  <c r="O107" i="9"/>
  <c r="N107" i="9"/>
  <c r="M107" i="9"/>
  <c r="L107" i="9"/>
  <c r="K107" i="9"/>
  <c r="J107" i="9"/>
  <c r="I107" i="9"/>
  <c r="H107" i="9"/>
  <c r="AL106" i="9"/>
  <c r="AK106" i="9"/>
  <c r="AJ106" i="9"/>
  <c r="AI106" i="9"/>
  <c r="AH106" i="9"/>
  <c r="AG106" i="9"/>
  <c r="AB106" i="9"/>
  <c r="AA106" i="9"/>
  <c r="Z106" i="9"/>
  <c r="Y106" i="9"/>
  <c r="X106" i="9"/>
  <c r="W106" i="9"/>
  <c r="V106" i="9"/>
  <c r="U106" i="9"/>
  <c r="T106" i="9"/>
  <c r="S106" i="9"/>
  <c r="R106" i="9"/>
  <c r="Q106" i="9"/>
  <c r="P106" i="9"/>
  <c r="O106" i="9"/>
  <c r="N106" i="9"/>
  <c r="M106" i="9"/>
  <c r="L106" i="9"/>
  <c r="K106" i="9"/>
  <c r="J106" i="9"/>
  <c r="I106" i="9"/>
  <c r="H106" i="9"/>
  <c r="AJ105" i="9"/>
  <c r="AI105" i="9"/>
  <c r="AH105" i="9"/>
  <c r="AG105" i="9"/>
  <c r="AB105" i="9"/>
  <c r="AA105" i="9"/>
  <c r="Z105" i="9"/>
  <c r="Y105" i="9"/>
  <c r="X105" i="9"/>
  <c r="W105" i="9"/>
  <c r="V105" i="9"/>
  <c r="U105" i="9"/>
  <c r="T105" i="9"/>
  <c r="S105" i="9"/>
  <c r="R105" i="9"/>
  <c r="Q105" i="9"/>
  <c r="P105" i="9"/>
  <c r="O105" i="9"/>
  <c r="N105" i="9"/>
  <c r="M105" i="9"/>
  <c r="L105" i="9"/>
  <c r="K105" i="9"/>
  <c r="J105" i="9"/>
  <c r="I105" i="9"/>
  <c r="H105" i="9"/>
  <c r="AJ104" i="9"/>
  <c r="AI104" i="9"/>
  <c r="AH104" i="9"/>
  <c r="AG104" i="9"/>
  <c r="AB104" i="9"/>
  <c r="AA104" i="9"/>
  <c r="Z104" i="9"/>
  <c r="Y104" i="9"/>
  <c r="X104" i="9"/>
  <c r="W104" i="9"/>
  <c r="V104" i="9"/>
  <c r="U104" i="9"/>
  <c r="T104" i="9"/>
  <c r="S104" i="9"/>
  <c r="R104" i="9"/>
  <c r="Q104" i="9"/>
  <c r="P104" i="9"/>
  <c r="O104" i="9"/>
  <c r="N104" i="9"/>
  <c r="M104" i="9"/>
  <c r="L104" i="9"/>
  <c r="K104" i="9"/>
  <c r="J104" i="9"/>
  <c r="I104" i="9"/>
  <c r="H104" i="9"/>
  <c r="AJ103" i="9"/>
  <c r="AI103" i="9"/>
  <c r="AH103" i="9"/>
  <c r="AG103" i="9"/>
  <c r="AF103" i="9"/>
  <c r="AC103" i="9"/>
  <c r="AB103" i="9"/>
  <c r="AA103" i="9"/>
  <c r="Z103" i="9"/>
  <c r="Y103" i="9"/>
  <c r="X103" i="9"/>
  <c r="W103" i="9"/>
  <c r="V103" i="9"/>
  <c r="U103" i="9"/>
  <c r="T103" i="9"/>
  <c r="S103" i="9"/>
  <c r="R103" i="9"/>
  <c r="Q103" i="9"/>
  <c r="P103" i="9"/>
  <c r="O103" i="9"/>
  <c r="N103" i="9"/>
  <c r="M103" i="9"/>
  <c r="L103" i="9"/>
  <c r="K103" i="9"/>
  <c r="J103" i="9"/>
  <c r="I103" i="9"/>
  <c r="H103" i="9"/>
  <c r="AG102" i="9"/>
  <c r="AB102" i="9"/>
  <c r="AA102" i="9"/>
  <c r="Z102" i="9"/>
  <c r="Y102" i="9"/>
  <c r="X102" i="9"/>
  <c r="W102" i="9"/>
  <c r="V102" i="9"/>
  <c r="U102" i="9"/>
  <c r="T102" i="9"/>
  <c r="S102" i="9"/>
  <c r="R102" i="9"/>
  <c r="Q102" i="9"/>
  <c r="P102" i="9"/>
  <c r="O102" i="9"/>
  <c r="N102" i="9"/>
  <c r="M102" i="9"/>
  <c r="L102" i="9"/>
  <c r="K102" i="9"/>
  <c r="J102" i="9"/>
  <c r="I102" i="9"/>
  <c r="H102" i="9"/>
  <c r="AL101" i="9"/>
  <c r="AK101" i="9"/>
  <c r="AJ101" i="9"/>
  <c r="AI101" i="9"/>
  <c r="AH101" i="9"/>
  <c r="AG101" i="9"/>
  <c r="AB101" i="9"/>
  <c r="AA101" i="9"/>
  <c r="Z101" i="9"/>
  <c r="Y101" i="9"/>
  <c r="X101" i="9"/>
  <c r="W101" i="9"/>
  <c r="V101" i="9"/>
  <c r="U101" i="9"/>
  <c r="T101" i="9"/>
  <c r="S101" i="9"/>
  <c r="R101" i="9"/>
  <c r="Q101" i="9"/>
  <c r="P101" i="9"/>
  <c r="O101" i="9"/>
  <c r="N101" i="9"/>
  <c r="M101" i="9"/>
  <c r="L101" i="9"/>
  <c r="K101" i="9"/>
  <c r="J101" i="9"/>
  <c r="I101" i="9"/>
  <c r="H101" i="9"/>
  <c r="AJ100" i="9"/>
  <c r="AI100" i="9"/>
  <c r="AH100" i="9"/>
  <c r="AG100" i="9"/>
  <c r="AB100" i="9"/>
  <c r="AA100" i="9"/>
  <c r="Z100" i="9"/>
  <c r="Y100" i="9"/>
  <c r="X100" i="9"/>
  <c r="W100" i="9"/>
  <c r="V100" i="9"/>
  <c r="U100" i="9"/>
  <c r="T100" i="9"/>
  <c r="S100" i="9"/>
  <c r="R100" i="9"/>
  <c r="Q100" i="9"/>
  <c r="P100" i="9"/>
  <c r="O100" i="9"/>
  <c r="N100" i="9"/>
  <c r="M100" i="9"/>
  <c r="L100" i="9"/>
  <c r="K100" i="9"/>
  <c r="J100" i="9"/>
  <c r="I100" i="9"/>
  <c r="H100" i="9"/>
  <c r="AL99" i="9"/>
  <c r="AK99" i="9"/>
  <c r="AJ99" i="9"/>
  <c r="AI99" i="9"/>
  <c r="AH99" i="9"/>
  <c r="AG99" i="9"/>
  <c r="AB99" i="9"/>
  <c r="AA99" i="9"/>
  <c r="Z99" i="9"/>
  <c r="Y99" i="9"/>
  <c r="X99" i="9"/>
  <c r="W99" i="9"/>
  <c r="V99" i="9"/>
  <c r="U99" i="9"/>
  <c r="T99" i="9"/>
  <c r="S99" i="9"/>
  <c r="R99" i="9"/>
  <c r="Q99" i="9"/>
  <c r="P99" i="9"/>
  <c r="O99" i="9"/>
  <c r="N99" i="9"/>
  <c r="M99" i="9"/>
  <c r="L99" i="9"/>
  <c r="K99" i="9"/>
  <c r="J99" i="9"/>
  <c r="I99" i="9"/>
  <c r="H99" i="9"/>
  <c r="AL98" i="9"/>
  <c r="AK98" i="9"/>
  <c r="AJ98" i="9"/>
  <c r="AI98" i="9"/>
  <c r="AH98" i="9"/>
  <c r="AG98" i="9"/>
  <c r="AB98" i="9"/>
  <c r="AA98" i="9"/>
  <c r="Z98" i="9"/>
  <c r="Y98" i="9"/>
  <c r="X98" i="9"/>
  <c r="W98" i="9"/>
  <c r="V98" i="9"/>
  <c r="U98" i="9"/>
  <c r="T98" i="9"/>
  <c r="S98" i="9"/>
  <c r="R98" i="9"/>
  <c r="Q98" i="9"/>
  <c r="P98" i="9"/>
  <c r="O98" i="9"/>
  <c r="N98" i="9"/>
  <c r="M98" i="9"/>
  <c r="L98" i="9"/>
  <c r="K98" i="9"/>
  <c r="J98" i="9"/>
  <c r="I98" i="9"/>
  <c r="H98" i="9"/>
  <c r="AJ97" i="9"/>
  <c r="AI97" i="9"/>
  <c r="AH97" i="9"/>
  <c r="AG97" i="9"/>
  <c r="AB97" i="9"/>
  <c r="AA97" i="9"/>
  <c r="Z97" i="9"/>
  <c r="Y97" i="9"/>
  <c r="X97" i="9"/>
  <c r="W97" i="9"/>
  <c r="V97" i="9"/>
  <c r="U97" i="9"/>
  <c r="T97" i="9"/>
  <c r="S97" i="9"/>
  <c r="R97" i="9"/>
  <c r="Q97" i="9"/>
  <c r="P97" i="9"/>
  <c r="O97" i="9"/>
  <c r="N97" i="9"/>
  <c r="M97" i="9"/>
  <c r="L97" i="9"/>
  <c r="K97" i="9"/>
  <c r="J97" i="9"/>
  <c r="I97" i="9"/>
  <c r="H97" i="9"/>
  <c r="AJ96" i="9"/>
  <c r="AI96" i="9"/>
  <c r="AH96" i="9"/>
  <c r="AG96" i="9"/>
  <c r="AB96" i="9"/>
  <c r="AA96" i="9"/>
  <c r="Z96" i="9"/>
  <c r="Y96" i="9"/>
  <c r="X96" i="9"/>
  <c r="W96" i="9"/>
  <c r="V96" i="9"/>
  <c r="U96" i="9"/>
  <c r="T96" i="9"/>
  <c r="S96" i="9"/>
  <c r="R96" i="9"/>
  <c r="Q96" i="9"/>
  <c r="P96" i="9"/>
  <c r="O96" i="9"/>
  <c r="N96" i="9"/>
  <c r="M96" i="9"/>
  <c r="L96" i="9"/>
  <c r="K96" i="9"/>
  <c r="J96" i="9"/>
  <c r="I96" i="9"/>
  <c r="H96" i="9"/>
  <c r="AJ95" i="9"/>
  <c r="AI95" i="9"/>
  <c r="AH95" i="9"/>
  <c r="AG95" i="9"/>
  <c r="AF95" i="9"/>
  <c r="AD95" i="9"/>
  <c r="AC95" i="9"/>
  <c r="AB95" i="9"/>
  <c r="AA95" i="9"/>
  <c r="Z95" i="9"/>
  <c r="Y95" i="9"/>
  <c r="X95" i="9"/>
  <c r="W95" i="9"/>
  <c r="V95" i="9"/>
  <c r="U95" i="9"/>
  <c r="T95" i="9"/>
  <c r="S95" i="9"/>
  <c r="R95" i="9"/>
  <c r="Q95" i="9"/>
  <c r="P95" i="9"/>
  <c r="O95" i="9"/>
  <c r="N95" i="9"/>
  <c r="M95" i="9"/>
  <c r="L95" i="9"/>
  <c r="K95" i="9"/>
  <c r="J95" i="9"/>
  <c r="I95" i="9"/>
  <c r="H95" i="9"/>
  <c r="AL94" i="9"/>
  <c r="AK94" i="9"/>
  <c r="AJ94" i="9"/>
  <c r="AI94" i="9"/>
  <c r="AH94" i="9"/>
  <c r="AG94" i="9"/>
  <c r="AB94" i="9"/>
  <c r="AA94" i="9"/>
  <c r="Z94" i="9"/>
  <c r="Y94" i="9"/>
  <c r="X94" i="9"/>
  <c r="W94" i="9"/>
  <c r="V94" i="9"/>
  <c r="U94" i="9"/>
  <c r="T94" i="9"/>
  <c r="S94" i="9"/>
  <c r="R94" i="9"/>
  <c r="Q94" i="9"/>
  <c r="P94" i="9"/>
  <c r="O94" i="9"/>
  <c r="N94" i="9"/>
  <c r="M94" i="9"/>
  <c r="L94" i="9"/>
  <c r="K94" i="9"/>
  <c r="J94" i="9"/>
  <c r="I94" i="9"/>
  <c r="H94" i="9"/>
  <c r="AJ93" i="9"/>
  <c r="AI93" i="9"/>
  <c r="AH93" i="9"/>
  <c r="AG93" i="9"/>
  <c r="AB93" i="9"/>
  <c r="AA93" i="9"/>
  <c r="Z93" i="9"/>
  <c r="Y93" i="9"/>
  <c r="X93" i="9"/>
  <c r="W93" i="9"/>
  <c r="V93" i="9"/>
  <c r="U93" i="9"/>
  <c r="T93" i="9"/>
  <c r="S93" i="9"/>
  <c r="R93" i="9"/>
  <c r="Q93" i="9"/>
  <c r="P93" i="9"/>
  <c r="O93" i="9"/>
  <c r="N93" i="9"/>
  <c r="M93" i="9"/>
  <c r="L93" i="9"/>
  <c r="K93" i="9"/>
  <c r="J93" i="9"/>
  <c r="I93" i="9"/>
  <c r="H93" i="9"/>
  <c r="AH92" i="9"/>
  <c r="AG92" i="9"/>
  <c r="AB92" i="9"/>
  <c r="AA92" i="9"/>
  <c r="Z92" i="9"/>
  <c r="Y92" i="9"/>
  <c r="X92" i="9"/>
  <c r="W92" i="9"/>
  <c r="V92" i="9"/>
  <c r="U92" i="9"/>
  <c r="T92" i="9"/>
  <c r="S92" i="9"/>
  <c r="R92" i="9"/>
  <c r="Q92" i="9"/>
  <c r="P92" i="9"/>
  <c r="O92" i="9"/>
  <c r="N92" i="9"/>
  <c r="M92" i="9"/>
  <c r="L92" i="9"/>
  <c r="K92" i="9"/>
  <c r="J92" i="9"/>
  <c r="I92" i="9"/>
  <c r="H92" i="9"/>
  <c r="AL91" i="9"/>
  <c r="AK91" i="9"/>
  <c r="AJ91" i="9"/>
  <c r="AI91" i="9"/>
  <c r="AH91" i="9"/>
  <c r="AG91" i="9"/>
  <c r="AB91" i="9"/>
  <c r="AA91" i="9"/>
  <c r="Z91" i="9"/>
  <c r="Y91" i="9"/>
  <c r="X91" i="9"/>
  <c r="W91" i="9"/>
  <c r="V91" i="9"/>
  <c r="U91" i="9"/>
  <c r="T91" i="9"/>
  <c r="S91" i="9"/>
  <c r="R91" i="9"/>
  <c r="Q91" i="9"/>
  <c r="P91" i="9"/>
  <c r="O91" i="9"/>
  <c r="N91" i="9"/>
  <c r="M91" i="9"/>
  <c r="L91" i="9"/>
  <c r="K91" i="9"/>
  <c r="J91" i="9"/>
  <c r="I91" i="9"/>
  <c r="H91" i="9"/>
  <c r="AJ90" i="9"/>
  <c r="AI90" i="9"/>
  <c r="AH90" i="9"/>
  <c r="AG90" i="9"/>
  <c r="AB90" i="9"/>
  <c r="AA90" i="9"/>
  <c r="Z90" i="9"/>
  <c r="Y90" i="9"/>
  <c r="X90" i="9"/>
  <c r="W90" i="9"/>
  <c r="V90" i="9"/>
  <c r="U90" i="9"/>
  <c r="T90" i="9"/>
  <c r="S90" i="9"/>
  <c r="R90" i="9"/>
  <c r="Q90" i="9"/>
  <c r="P90" i="9"/>
  <c r="O90" i="9"/>
  <c r="N90" i="9"/>
  <c r="M90" i="9"/>
  <c r="L90" i="9"/>
  <c r="K90" i="9"/>
  <c r="J90" i="9"/>
  <c r="I90" i="9"/>
  <c r="H90" i="9"/>
  <c r="AJ89" i="9"/>
  <c r="AI89" i="9"/>
  <c r="AH89" i="9"/>
  <c r="AG89" i="9"/>
  <c r="AB89" i="9"/>
  <c r="AA89" i="9"/>
  <c r="Z89" i="9"/>
  <c r="Y89" i="9"/>
  <c r="X89" i="9"/>
  <c r="W89" i="9"/>
  <c r="V89" i="9"/>
  <c r="U89" i="9"/>
  <c r="T89" i="9"/>
  <c r="S89" i="9"/>
  <c r="R89" i="9"/>
  <c r="Q89" i="9"/>
  <c r="P89" i="9"/>
  <c r="O89" i="9"/>
  <c r="N89" i="9"/>
  <c r="M89" i="9"/>
  <c r="L89" i="9"/>
  <c r="K89" i="9"/>
  <c r="J89" i="9"/>
  <c r="I89" i="9"/>
  <c r="H89" i="9"/>
  <c r="AH88" i="9"/>
  <c r="AG88" i="9"/>
  <c r="AB88" i="9"/>
  <c r="AA88" i="9"/>
  <c r="Z88" i="9"/>
  <c r="Y88" i="9"/>
  <c r="X88" i="9"/>
  <c r="W88" i="9"/>
  <c r="V88" i="9"/>
  <c r="U88" i="9"/>
  <c r="T88" i="9"/>
  <c r="S88" i="9"/>
  <c r="R88" i="9"/>
  <c r="Q88" i="9"/>
  <c r="P88" i="9"/>
  <c r="O88" i="9"/>
  <c r="N88" i="9"/>
  <c r="M88" i="9"/>
  <c r="L88" i="9"/>
  <c r="K88" i="9"/>
  <c r="J88" i="9"/>
  <c r="I88" i="9"/>
  <c r="H88" i="9"/>
  <c r="AH87" i="9"/>
  <c r="AG87" i="9"/>
  <c r="AB87" i="9"/>
  <c r="AA87" i="9"/>
  <c r="Z87" i="9"/>
  <c r="Y87" i="9"/>
  <c r="X87" i="9"/>
  <c r="W87" i="9"/>
  <c r="V87" i="9"/>
  <c r="U87" i="9"/>
  <c r="T87" i="9"/>
  <c r="S87" i="9"/>
  <c r="R87" i="9"/>
  <c r="Q87" i="9"/>
  <c r="P87" i="9"/>
  <c r="O87" i="9"/>
  <c r="N87" i="9"/>
  <c r="M87" i="9"/>
  <c r="L87" i="9"/>
  <c r="K87" i="9"/>
  <c r="J87" i="9"/>
  <c r="I87" i="9"/>
  <c r="H87" i="9"/>
  <c r="AL86" i="9"/>
  <c r="AK86" i="9"/>
  <c r="AJ86" i="9"/>
  <c r="AI86" i="9"/>
  <c r="AH86" i="9"/>
  <c r="AG86" i="9"/>
  <c r="AB86" i="9"/>
  <c r="AA86" i="9"/>
  <c r="Z86" i="9"/>
  <c r="Y86" i="9"/>
  <c r="X86" i="9"/>
  <c r="W86" i="9"/>
  <c r="V86" i="9"/>
  <c r="U86" i="9"/>
  <c r="T86" i="9"/>
  <c r="S86" i="9"/>
  <c r="R86" i="9"/>
  <c r="Q86" i="9"/>
  <c r="P86" i="9"/>
  <c r="O86" i="9"/>
  <c r="N86" i="9"/>
  <c r="M86" i="9"/>
  <c r="L86" i="9"/>
  <c r="K86" i="9"/>
  <c r="J86" i="9"/>
  <c r="I86" i="9"/>
  <c r="H86" i="9"/>
  <c r="AL85" i="9"/>
  <c r="AK85" i="9"/>
  <c r="AJ85" i="9"/>
  <c r="AI85" i="9"/>
  <c r="AH85" i="9"/>
  <c r="AG85" i="9"/>
  <c r="AB85" i="9"/>
  <c r="AA85" i="9"/>
  <c r="Z85" i="9"/>
  <c r="Y85" i="9"/>
  <c r="X85" i="9"/>
  <c r="W85" i="9"/>
  <c r="V85" i="9"/>
  <c r="U85" i="9"/>
  <c r="T85" i="9"/>
  <c r="S85" i="9"/>
  <c r="R85" i="9"/>
  <c r="Q85" i="9"/>
  <c r="P85" i="9"/>
  <c r="O85" i="9"/>
  <c r="N85" i="9"/>
  <c r="M85" i="9"/>
  <c r="L85" i="9"/>
  <c r="K85" i="9"/>
  <c r="J85" i="9"/>
  <c r="I85" i="9"/>
  <c r="H85" i="9"/>
  <c r="AL84" i="9"/>
  <c r="AK84" i="9"/>
  <c r="AJ84" i="9"/>
  <c r="AI84" i="9"/>
  <c r="AH84" i="9"/>
  <c r="AG84" i="9"/>
  <c r="AF84" i="9"/>
  <c r="AC84" i="9"/>
  <c r="AB84" i="9"/>
  <c r="AA84" i="9"/>
  <c r="Z84" i="9"/>
  <c r="Y84" i="9"/>
  <c r="X84" i="9"/>
  <c r="W84" i="9"/>
  <c r="V84" i="9"/>
  <c r="U84" i="9"/>
  <c r="T84" i="9"/>
  <c r="S84" i="9"/>
  <c r="R84" i="9"/>
  <c r="Q84" i="9"/>
  <c r="P84" i="9"/>
  <c r="O84" i="9"/>
  <c r="N84" i="9"/>
  <c r="M84" i="9"/>
  <c r="L84" i="9"/>
  <c r="K84" i="9"/>
  <c r="J84" i="9"/>
  <c r="I84" i="9"/>
  <c r="H84" i="9"/>
  <c r="AJ83" i="9"/>
  <c r="AI83" i="9"/>
  <c r="AH83" i="9"/>
  <c r="AG83" i="9"/>
  <c r="AB83" i="9"/>
  <c r="AA83" i="9"/>
  <c r="Z83" i="9"/>
  <c r="Y83" i="9"/>
  <c r="X83" i="9"/>
  <c r="W83" i="9"/>
  <c r="V83" i="9"/>
  <c r="U83" i="9"/>
  <c r="T83" i="9"/>
  <c r="S83" i="9"/>
  <c r="R83" i="9"/>
  <c r="Q83" i="9"/>
  <c r="P83" i="9"/>
  <c r="O83" i="9"/>
  <c r="N83" i="9"/>
  <c r="M83" i="9"/>
  <c r="L83" i="9"/>
  <c r="K83" i="9"/>
  <c r="J83" i="9"/>
  <c r="I83" i="9"/>
  <c r="H83" i="9"/>
  <c r="AJ82" i="9"/>
  <c r="AI82" i="9"/>
  <c r="AH82" i="9"/>
  <c r="AG82" i="9"/>
  <c r="AB82" i="9"/>
  <c r="AA82" i="9"/>
  <c r="Z82" i="9"/>
  <c r="Y82" i="9"/>
  <c r="X82" i="9"/>
  <c r="W82" i="9"/>
  <c r="V82" i="9"/>
  <c r="U82" i="9"/>
  <c r="T82" i="9"/>
  <c r="S82" i="9"/>
  <c r="R82" i="9"/>
  <c r="Q82" i="9"/>
  <c r="P82" i="9"/>
  <c r="O82" i="9"/>
  <c r="N82" i="9"/>
  <c r="M82" i="9"/>
  <c r="L82" i="9"/>
  <c r="K82" i="9"/>
  <c r="J82" i="9"/>
  <c r="I82" i="9"/>
  <c r="H82" i="9"/>
  <c r="AJ81" i="9"/>
  <c r="AI81" i="9"/>
  <c r="AH81" i="9"/>
  <c r="AG81" i="9"/>
  <c r="AB81" i="9"/>
  <c r="AA81" i="9"/>
  <c r="Z81" i="9"/>
  <c r="Y81" i="9"/>
  <c r="X81" i="9"/>
  <c r="W81" i="9"/>
  <c r="V81" i="9"/>
  <c r="U81" i="9"/>
  <c r="T81" i="9"/>
  <c r="S81" i="9"/>
  <c r="R81" i="9"/>
  <c r="Q81" i="9"/>
  <c r="P81" i="9"/>
  <c r="O81" i="9"/>
  <c r="N81" i="9"/>
  <c r="M81" i="9"/>
  <c r="L81" i="9"/>
  <c r="K81" i="9"/>
  <c r="J81" i="9"/>
  <c r="I81" i="9"/>
  <c r="H81" i="9"/>
  <c r="AH80" i="9"/>
  <c r="AG80" i="9"/>
  <c r="AB80" i="9"/>
  <c r="AA80" i="9"/>
  <c r="Z80" i="9"/>
  <c r="Y80" i="9"/>
  <c r="X80" i="9"/>
  <c r="W80" i="9"/>
  <c r="V80" i="9"/>
  <c r="U80" i="9"/>
  <c r="T80" i="9"/>
  <c r="S80" i="9"/>
  <c r="R80" i="9"/>
  <c r="Q80" i="9"/>
  <c r="P80" i="9"/>
  <c r="O80" i="9"/>
  <c r="N80" i="9"/>
  <c r="M80" i="9"/>
  <c r="L80" i="9"/>
  <c r="K80" i="9"/>
  <c r="J80" i="9"/>
  <c r="I80" i="9"/>
  <c r="H80" i="9"/>
  <c r="AJ79" i="9"/>
  <c r="AI79" i="9"/>
  <c r="AH79" i="9"/>
  <c r="AG79" i="9"/>
  <c r="AB79" i="9"/>
  <c r="AA79" i="9"/>
  <c r="Z79" i="9"/>
  <c r="Y79" i="9"/>
  <c r="X79" i="9"/>
  <c r="W79" i="9"/>
  <c r="V79" i="9"/>
  <c r="U79" i="9"/>
  <c r="T79" i="9"/>
  <c r="S79" i="9"/>
  <c r="R79" i="9"/>
  <c r="Q79" i="9"/>
  <c r="P79" i="9"/>
  <c r="O79" i="9"/>
  <c r="N79" i="9"/>
  <c r="M79" i="9"/>
  <c r="L79" i="9"/>
  <c r="K79" i="9"/>
  <c r="J79" i="9"/>
  <c r="I79" i="9"/>
  <c r="H79" i="9"/>
  <c r="AL78" i="9"/>
  <c r="AK78" i="9"/>
  <c r="AJ78" i="9"/>
  <c r="AI78" i="9"/>
  <c r="AH78" i="9"/>
  <c r="AG78" i="9"/>
  <c r="AB78" i="9"/>
  <c r="AA78" i="9"/>
  <c r="Z78" i="9"/>
  <c r="Y78" i="9"/>
  <c r="X78" i="9"/>
  <c r="W78" i="9"/>
  <c r="V78" i="9"/>
  <c r="U78" i="9"/>
  <c r="T78" i="9"/>
  <c r="S78" i="9"/>
  <c r="R78" i="9"/>
  <c r="Q78" i="9"/>
  <c r="P78" i="9"/>
  <c r="O78" i="9"/>
  <c r="N78" i="9"/>
  <c r="M78" i="9"/>
  <c r="L78" i="9"/>
  <c r="K78" i="9"/>
  <c r="J78" i="9"/>
  <c r="I78" i="9"/>
  <c r="H78" i="9"/>
  <c r="AJ77" i="9"/>
  <c r="AI77" i="9"/>
  <c r="AH77" i="9"/>
  <c r="AG77" i="9"/>
  <c r="AB77" i="9"/>
  <c r="Z77" i="9"/>
  <c r="Y77" i="9"/>
  <c r="X77" i="9"/>
  <c r="W77" i="9"/>
  <c r="V77" i="9"/>
  <c r="U77" i="9"/>
  <c r="T77" i="9"/>
  <c r="S77" i="9"/>
  <c r="R77" i="9"/>
  <c r="Q77" i="9"/>
  <c r="P77" i="9"/>
  <c r="O77" i="9"/>
  <c r="N77" i="9"/>
  <c r="M77" i="9"/>
  <c r="L77" i="9"/>
  <c r="K77" i="9"/>
  <c r="J77" i="9"/>
  <c r="I77" i="9"/>
  <c r="H77" i="9"/>
  <c r="AL76" i="9"/>
  <c r="AK76" i="9"/>
  <c r="AJ76" i="9"/>
  <c r="AI76" i="9"/>
  <c r="AH76" i="9"/>
  <c r="AG76" i="9"/>
  <c r="AB76" i="9"/>
  <c r="AA76" i="9"/>
  <c r="Z76" i="9"/>
  <c r="Y76" i="9"/>
  <c r="X76" i="9"/>
  <c r="W76" i="9"/>
  <c r="V76" i="9"/>
  <c r="U76" i="9"/>
  <c r="T76" i="9"/>
  <c r="S76" i="9"/>
  <c r="R76" i="9"/>
  <c r="Q76" i="9"/>
  <c r="P76" i="9"/>
  <c r="O76" i="9"/>
  <c r="N76" i="9"/>
  <c r="M76" i="9"/>
  <c r="L76" i="9"/>
  <c r="K76" i="9"/>
  <c r="J76" i="9"/>
  <c r="I76" i="9"/>
  <c r="H76" i="9"/>
  <c r="AJ75" i="9"/>
  <c r="AI75" i="9"/>
  <c r="AH75" i="9"/>
  <c r="AG75" i="9"/>
  <c r="AB75" i="9"/>
  <c r="AA75" i="9"/>
  <c r="Z75" i="9"/>
  <c r="Y75" i="9"/>
  <c r="X75" i="9"/>
  <c r="W75" i="9"/>
  <c r="V75" i="9"/>
  <c r="U75" i="9"/>
  <c r="T75" i="9"/>
  <c r="S75" i="9"/>
  <c r="R75" i="9"/>
  <c r="Q75" i="9"/>
  <c r="P75" i="9"/>
  <c r="O75" i="9"/>
  <c r="N75" i="9"/>
  <c r="M75" i="9"/>
  <c r="L75" i="9"/>
  <c r="K75" i="9"/>
  <c r="J75" i="9"/>
  <c r="I75" i="9"/>
  <c r="H75" i="9"/>
  <c r="AG74" i="9"/>
  <c r="AB74" i="9"/>
  <c r="AA74" i="9"/>
  <c r="Z74" i="9"/>
  <c r="Y74" i="9"/>
  <c r="X74" i="9"/>
  <c r="W74" i="9"/>
  <c r="V74" i="9"/>
  <c r="U74" i="9"/>
  <c r="T74" i="9"/>
  <c r="S74" i="9"/>
  <c r="R74" i="9"/>
  <c r="Q74" i="9"/>
  <c r="P74" i="9"/>
  <c r="O74" i="9"/>
  <c r="N74" i="9"/>
  <c r="M74" i="9"/>
  <c r="L74" i="9"/>
  <c r="K74" i="9"/>
  <c r="J74" i="9"/>
  <c r="I74" i="9"/>
  <c r="H74" i="9"/>
  <c r="AH73" i="9"/>
  <c r="AG73" i="9"/>
  <c r="AB73" i="9"/>
  <c r="AA73" i="9"/>
  <c r="Z73" i="9"/>
  <c r="Y73" i="9"/>
  <c r="X73" i="9"/>
  <c r="W73" i="9"/>
  <c r="V73" i="9"/>
  <c r="U73" i="9"/>
  <c r="T73" i="9"/>
  <c r="S73" i="9"/>
  <c r="R73" i="9"/>
  <c r="Q73" i="9"/>
  <c r="P73" i="9"/>
  <c r="O73" i="9"/>
  <c r="N73" i="9"/>
  <c r="M73" i="9"/>
  <c r="L73" i="9"/>
  <c r="K73" i="9"/>
  <c r="J73" i="9"/>
  <c r="I73" i="9"/>
  <c r="H73" i="9"/>
  <c r="AJ72" i="9"/>
  <c r="AI72" i="9"/>
  <c r="AH72" i="9"/>
  <c r="AG72" i="9"/>
  <c r="AB72" i="9"/>
  <c r="AA72" i="9"/>
  <c r="Z72" i="9"/>
  <c r="Y72" i="9"/>
  <c r="X72" i="9"/>
  <c r="W72" i="9"/>
  <c r="V72" i="9"/>
  <c r="U72" i="9"/>
  <c r="T72" i="9"/>
  <c r="S72" i="9"/>
  <c r="R72" i="9"/>
  <c r="Q72" i="9"/>
  <c r="P72" i="9"/>
  <c r="O72" i="9"/>
  <c r="N72" i="9"/>
  <c r="M72" i="9"/>
  <c r="L72" i="9"/>
  <c r="K72" i="9"/>
  <c r="J72" i="9"/>
  <c r="I72" i="9"/>
  <c r="H72" i="9"/>
  <c r="AL71" i="9"/>
  <c r="AK71" i="9"/>
  <c r="AJ71" i="9"/>
  <c r="AI71" i="9"/>
  <c r="AH71" i="9"/>
  <c r="AG71" i="9"/>
  <c r="AB71" i="9"/>
  <c r="AA71" i="9"/>
  <c r="Z71" i="9"/>
  <c r="Y71" i="9"/>
  <c r="X71" i="9"/>
  <c r="W71" i="9"/>
  <c r="V71" i="9"/>
  <c r="U71" i="9"/>
  <c r="T71" i="9"/>
  <c r="S71" i="9"/>
  <c r="R71" i="9"/>
  <c r="Q71" i="9"/>
  <c r="P71" i="9"/>
  <c r="O71" i="9"/>
  <c r="N71" i="9"/>
  <c r="M71" i="9"/>
  <c r="L71" i="9"/>
  <c r="K71" i="9"/>
  <c r="J71" i="9"/>
  <c r="I71" i="9"/>
  <c r="H71" i="9"/>
  <c r="AL70" i="9"/>
  <c r="AK70" i="9"/>
  <c r="AJ70" i="9"/>
  <c r="AI70" i="9"/>
  <c r="AH70" i="9"/>
  <c r="AG70" i="9"/>
  <c r="AB70" i="9"/>
  <c r="Z70" i="9"/>
  <c r="Y70" i="9"/>
  <c r="X70" i="9"/>
  <c r="V70" i="9"/>
  <c r="U70" i="9"/>
  <c r="T70" i="9"/>
  <c r="S70" i="9"/>
  <c r="R70" i="9"/>
  <c r="Q70" i="9"/>
  <c r="P70" i="9"/>
  <c r="O70" i="9"/>
  <c r="N70" i="9"/>
  <c r="M70" i="9"/>
  <c r="L70" i="9"/>
  <c r="K70" i="9"/>
  <c r="J70" i="9"/>
  <c r="I70" i="9"/>
  <c r="H70" i="9"/>
  <c r="AL69" i="9"/>
  <c r="AK69" i="9"/>
  <c r="AJ69" i="9"/>
  <c r="AI69" i="9"/>
  <c r="AH69" i="9"/>
  <c r="AG69" i="9"/>
  <c r="AB69" i="9"/>
  <c r="AA69" i="9"/>
  <c r="Z69" i="9"/>
  <c r="Y69" i="9"/>
  <c r="X69" i="9"/>
  <c r="W69" i="9"/>
  <c r="V69" i="9"/>
  <c r="U69" i="9"/>
  <c r="T69" i="9"/>
  <c r="S69" i="9"/>
  <c r="R69" i="9"/>
  <c r="Q69" i="9"/>
  <c r="P69" i="9"/>
  <c r="O69" i="9"/>
  <c r="N69" i="9"/>
  <c r="M69" i="9"/>
  <c r="L69" i="9"/>
  <c r="K69" i="9"/>
  <c r="J69" i="9"/>
  <c r="I69" i="9"/>
  <c r="H69" i="9"/>
  <c r="AH68" i="9"/>
  <c r="AG68" i="9"/>
  <c r="AB68" i="9"/>
  <c r="AA68" i="9"/>
  <c r="Z68" i="9"/>
  <c r="Y68" i="9"/>
  <c r="X68" i="9"/>
  <c r="W68" i="9"/>
  <c r="V68" i="9"/>
  <c r="U68" i="9"/>
  <c r="T68" i="9"/>
  <c r="S68" i="9"/>
  <c r="R68" i="9"/>
  <c r="Q68" i="9"/>
  <c r="P68" i="9"/>
  <c r="O68" i="9"/>
  <c r="N68" i="9"/>
  <c r="M68" i="9"/>
  <c r="L68" i="9"/>
  <c r="K68" i="9"/>
  <c r="J68" i="9"/>
  <c r="I68" i="9"/>
  <c r="H68" i="9"/>
  <c r="AH67" i="9"/>
  <c r="AG67" i="9"/>
  <c r="AB67" i="9"/>
  <c r="AA67" i="9"/>
  <c r="Z67" i="9"/>
  <c r="Y67" i="9"/>
  <c r="X67" i="9"/>
  <c r="W67" i="9"/>
  <c r="V67" i="9"/>
  <c r="U67" i="9"/>
  <c r="T67" i="9"/>
  <c r="S67" i="9"/>
  <c r="R67" i="9"/>
  <c r="Q67" i="9"/>
  <c r="P67" i="9"/>
  <c r="O67" i="9"/>
  <c r="N67" i="9"/>
  <c r="M67" i="9"/>
  <c r="L67" i="9"/>
  <c r="K67" i="9"/>
  <c r="J67" i="9"/>
  <c r="I67" i="9"/>
  <c r="H67" i="9"/>
  <c r="AL66" i="9"/>
  <c r="AK66" i="9"/>
  <c r="AJ66" i="9"/>
  <c r="AI66" i="9"/>
  <c r="AH66" i="9"/>
  <c r="AG66" i="9"/>
  <c r="AB66" i="9"/>
  <c r="AA66" i="9"/>
  <c r="Z66" i="9"/>
  <c r="Y66" i="9"/>
  <c r="X66" i="9"/>
  <c r="W66" i="9"/>
  <c r="V66" i="9"/>
  <c r="U66" i="9"/>
  <c r="T66" i="9"/>
  <c r="S66" i="9"/>
  <c r="R66" i="9"/>
  <c r="Q66" i="9"/>
  <c r="P66" i="9"/>
  <c r="O66" i="9"/>
  <c r="N66" i="9"/>
  <c r="M66" i="9"/>
  <c r="L66" i="9"/>
  <c r="K66" i="9"/>
  <c r="J66" i="9"/>
  <c r="I66" i="9"/>
  <c r="H66" i="9"/>
  <c r="AJ65" i="9"/>
  <c r="AI65" i="9"/>
  <c r="AH65" i="9"/>
  <c r="AG65" i="9"/>
  <c r="AB65" i="9"/>
  <c r="Z65" i="9"/>
  <c r="Y65" i="9"/>
  <c r="X65" i="9"/>
  <c r="W65" i="9"/>
  <c r="V65" i="9"/>
  <c r="U65" i="9"/>
  <c r="T65" i="9"/>
  <c r="S65" i="9"/>
  <c r="R65" i="9"/>
  <c r="Q65" i="9"/>
  <c r="P65" i="9"/>
  <c r="O65" i="9"/>
  <c r="N65" i="9"/>
  <c r="M65" i="9"/>
  <c r="L65" i="9"/>
  <c r="K65" i="9"/>
  <c r="J65" i="9"/>
  <c r="I65" i="9"/>
  <c r="H65" i="9"/>
  <c r="AJ64" i="9"/>
  <c r="AI64" i="9"/>
  <c r="AH64" i="9"/>
  <c r="AG64" i="9"/>
  <c r="AB64" i="9"/>
  <c r="AA64" i="9"/>
  <c r="Z64" i="9"/>
  <c r="Y64" i="9"/>
  <c r="X64" i="9"/>
  <c r="W64" i="9"/>
  <c r="V64" i="9"/>
  <c r="U64" i="9"/>
  <c r="T64" i="9"/>
  <c r="S64" i="9"/>
  <c r="R64" i="9"/>
  <c r="Q64" i="9"/>
  <c r="P64" i="9"/>
  <c r="O64" i="9"/>
  <c r="N64" i="9"/>
  <c r="M64" i="9"/>
  <c r="L64" i="9"/>
  <c r="K64" i="9"/>
  <c r="J64" i="9"/>
  <c r="I64" i="9"/>
  <c r="H64" i="9"/>
  <c r="AJ63" i="9"/>
  <c r="AI63" i="9"/>
  <c r="AH63" i="9"/>
  <c r="AG63" i="9"/>
  <c r="AB63" i="9"/>
  <c r="AA63" i="9"/>
  <c r="Z63" i="9"/>
  <c r="Y63" i="9"/>
  <c r="X63" i="9"/>
  <c r="W63" i="9"/>
  <c r="V63" i="9"/>
  <c r="U63" i="9"/>
  <c r="T63" i="9"/>
  <c r="S63" i="9"/>
  <c r="R63" i="9"/>
  <c r="Q63" i="9"/>
  <c r="P63" i="9"/>
  <c r="O63" i="9"/>
  <c r="N63" i="9"/>
  <c r="M63" i="9"/>
  <c r="L63" i="9"/>
  <c r="K63" i="9"/>
  <c r="J63" i="9"/>
  <c r="I63" i="9"/>
  <c r="H63" i="9"/>
  <c r="AH62" i="9"/>
  <c r="AG62" i="9"/>
  <c r="AB62" i="9"/>
  <c r="AA62" i="9"/>
  <c r="Z62" i="9"/>
  <c r="Y62" i="9"/>
  <c r="X62" i="9"/>
  <c r="W62" i="9"/>
  <c r="V62" i="9"/>
  <c r="U62" i="9"/>
  <c r="T62" i="9"/>
  <c r="S62" i="9"/>
  <c r="R62" i="9"/>
  <c r="Q62" i="9"/>
  <c r="P62" i="9"/>
  <c r="O62" i="9"/>
  <c r="N62" i="9"/>
  <c r="M62" i="9"/>
  <c r="L62" i="9"/>
  <c r="K62" i="9"/>
  <c r="J62" i="9"/>
  <c r="I62" i="9"/>
  <c r="H62" i="9"/>
  <c r="AL61" i="9"/>
  <c r="AK61" i="9"/>
  <c r="AJ61" i="9"/>
  <c r="AI61" i="9"/>
  <c r="AH61" i="9"/>
  <c r="AG61" i="9"/>
  <c r="AB61" i="9"/>
  <c r="AA61" i="9"/>
  <c r="Z61" i="9"/>
  <c r="Y61" i="9"/>
  <c r="X61" i="9"/>
  <c r="W61" i="9"/>
  <c r="V61" i="9"/>
  <c r="U61" i="9"/>
  <c r="T61" i="9"/>
  <c r="S61" i="9"/>
  <c r="R61" i="9"/>
  <c r="Q61" i="9"/>
  <c r="P61" i="9"/>
  <c r="O61" i="9"/>
  <c r="N61" i="9"/>
  <c r="M61" i="9"/>
  <c r="L61" i="9"/>
  <c r="K61" i="9"/>
  <c r="J61" i="9"/>
  <c r="I61" i="9"/>
  <c r="H61" i="9"/>
  <c r="AH60" i="9"/>
  <c r="AG60" i="9"/>
  <c r="AB60" i="9"/>
  <c r="AA60" i="9"/>
  <c r="Z60" i="9"/>
  <c r="Y60" i="9"/>
  <c r="X60" i="9"/>
  <c r="V60" i="9"/>
  <c r="U60" i="9"/>
  <c r="T60" i="9"/>
  <c r="S60" i="9"/>
  <c r="R60" i="9"/>
  <c r="Q60" i="9"/>
  <c r="P60" i="9"/>
  <c r="O60" i="9"/>
  <c r="N60" i="9"/>
  <c r="M60" i="9"/>
  <c r="L60" i="9"/>
  <c r="K60" i="9"/>
  <c r="J60" i="9"/>
  <c r="I60" i="9"/>
  <c r="H60" i="9"/>
  <c r="AL59" i="9"/>
  <c r="AK59" i="9"/>
  <c r="AJ59" i="9"/>
  <c r="AI59" i="9"/>
  <c r="AH59" i="9"/>
  <c r="AG59" i="9"/>
  <c r="AB59" i="9"/>
  <c r="AA59" i="9"/>
  <c r="Z59" i="9"/>
  <c r="Y59" i="9"/>
  <c r="X59" i="9"/>
  <c r="W59" i="9"/>
  <c r="V59" i="9"/>
  <c r="U59" i="9"/>
  <c r="T59" i="9"/>
  <c r="S59" i="9"/>
  <c r="R59" i="9"/>
  <c r="Q59" i="9"/>
  <c r="P59" i="9"/>
  <c r="O59" i="9"/>
  <c r="N59" i="9"/>
  <c r="M59" i="9"/>
  <c r="L59" i="9"/>
  <c r="K59" i="9"/>
  <c r="J59" i="9"/>
  <c r="I59" i="9"/>
  <c r="H59" i="9"/>
  <c r="AL58" i="9"/>
  <c r="AK58" i="9"/>
  <c r="AJ58" i="9"/>
  <c r="AI58" i="9"/>
  <c r="AH58" i="9"/>
  <c r="AG58" i="9"/>
  <c r="AB58" i="9"/>
  <c r="AA58" i="9"/>
  <c r="Z58" i="9"/>
  <c r="Y58" i="9"/>
  <c r="X58" i="9"/>
  <c r="W58" i="9"/>
  <c r="V58" i="9"/>
  <c r="U58" i="9"/>
  <c r="T58" i="9"/>
  <c r="S58" i="9"/>
  <c r="R58" i="9"/>
  <c r="Q58" i="9"/>
  <c r="P58" i="9"/>
  <c r="O58" i="9"/>
  <c r="N58" i="9"/>
  <c r="M58" i="9"/>
  <c r="L58" i="9"/>
  <c r="K58" i="9"/>
  <c r="J58" i="9"/>
  <c r="I58" i="9"/>
  <c r="H58" i="9"/>
  <c r="AJ57" i="9"/>
  <c r="AI57" i="9"/>
  <c r="AH57" i="9"/>
  <c r="AG57" i="9"/>
  <c r="AB57" i="9"/>
  <c r="AA57" i="9"/>
  <c r="Z57" i="9"/>
  <c r="Y57" i="9"/>
  <c r="X57" i="9"/>
  <c r="W57" i="9"/>
  <c r="V57" i="9"/>
  <c r="U57" i="9"/>
  <c r="T57" i="9"/>
  <c r="S57" i="9"/>
  <c r="R57" i="9"/>
  <c r="Q57" i="9"/>
  <c r="P57" i="9"/>
  <c r="O57" i="9"/>
  <c r="N57" i="9"/>
  <c r="M57" i="9"/>
  <c r="L57" i="9"/>
  <c r="K57" i="9"/>
  <c r="J57" i="9"/>
  <c r="I57" i="9"/>
  <c r="H57" i="9"/>
  <c r="AJ56" i="9"/>
  <c r="AI56" i="9"/>
  <c r="AH56" i="9"/>
  <c r="AG56" i="9"/>
  <c r="AB56" i="9"/>
  <c r="AA56" i="9"/>
  <c r="Z56" i="9"/>
  <c r="Y56" i="9"/>
  <c r="X56" i="9"/>
  <c r="W56" i="9"/>
  <c r="V56" i="9"/>
  <c r="U56" i="9"/>
  <c r="T56" i="9"/>
  <c r="S56" i="9"/>
  <c r="R56" i="9"/>
  <c r="Q56" i="9"/>
  <c r="P56" i="9"/>
  <c r="O56" i="9"/>
  <c r="N56" i="9"/>
  <c r="M56" i="9"/>
  <c r="L56" i="9"/>
  <c r="K56" i="9"/>
  <c r="J56" i="9"/>
  <c r="I56" i="9"/>
  <c r="H56" i="9"/>
  <c r="AL55" i="9"/>
  <c r="AK55" i="9"/>
  <c r="AJ55" i="9"/>
  <c r="AI55" i="9"/>
  <c r="AH55" i="9"/>
  <c r="AG55" i="9"/>
  <c r="AF55" i="9"/>
  <c r="AD55" i="9"/>
  <c r="AB55" i="9"/>
  <c r="AA55" i="9"/>
  <c r="Z55" i="9"/>
  <c r="Y55" i="9"/>
  <c r="X55" i="9"/>
  <c r="W55" i="9"/>
  <c r="V55" i="9"/>
  <c r="U55" i="9"/>
  <c r="T55" i="9"/>
  <c r="S55" i="9"/>
  <c r="R55" i="9"/>
  <c r="Q55" i="9"/>
  <c r="P55" i="9"/>
  <c r="O55" i="9"/>
  <c r="N55" i="9"/>
  <c r="M55" i="9"/>
  <c r="L55" i="9"/>
  <c r="K55" i="9"/>
  <c r="J55" i="9"/>
  <c r="I55" i="9"/>
  <c r="H55" i="9"/>
  <c r="AL54" i="9"/>
  <c r="AK54" i="9"/>
  <c r="AJ54" i="9"/>
  <c r="AI54" i="9"/>
  <c r="AH54" i="9"/>
  <c r="AG54" i="9"/>
  <c r="AB54" i="9"/>
  <c r="AA54" i="9"/>
  <c r="Z54" i="9"/>
  <c r="Y54" i="9"/>
  <c r="X54" i="9"/>
  <c r="W54" i="9"/>
  <c r="V54" i="9"/>
  <c r="U54" i="9"/>
  <c r="T54" i="9"/>
  <c r="S54" i="9"/>
  <c r="R54" i="9"/>
  <c r="Q54" i="9"/>
  <c r="P54" i="9"/>
  <c r="O54" i="9"/>
  <c r="N54" i="9"/>
  <c r="M54" i="9"/>
  <c r="L54" i="9"/>
  <c r="K54" i="9"/>
  <c r="J54" i="9"/>
  <c r="I54" i="9"/>
  <c r="H54" i="9"/>
  <c r="AJ53" i="9"/>
  <c r="AI53" i="9"/>
  <c r="AH53" i="9"/>
  <c r="AG53" i="9"/>
  <c r="AB53" i="9"/>
  <c r="AA53" i="9"/>
  <c r="Z53" i="9"/>
  <c r="Y53" i="9"/>
  <c r="X53" i="9"/>
  <c r="W53" i="9"/>
  <c r="V53" i="9"/>
  <c r="U53" i="9"/>
  <c r="T53" i="9"/>
  <c r="S53" i="9"/>
  <c r="R53" i="9"/>
  <c r="Q53" i="9"/>
  <c r="P53" i="9"/>
  <c r="O53" i="9"/>
  <c r="N53" i="9"/>
  <c r="M53" i="9"/>
  <c r="L53" i="9"/>
  <c r="K53" i="9"/>
  <c r="J53" i="9"/>
  <c r="I53" i="9"/>
  <c r="H53" i="9"/>
  <c r="AJ52" i="9"/>
  <c r="AI52" i="9"/>
  <c r="AH52" i="9"/>
  <c r="AG52" i="9"/>
  <c r="AB52" i="9"/>
  <c r="AA52" i="9"/>
  <c r="Z52" i="9"/>
  <c r="Y52" i="9"/>
  <c r="X52" i="9"/>
  <c r="W52" i="9"/>
  <c r="V52" i="9"/>
  <c r="U52" i="9"/>
  <c r="T52" i="9"/>
  <c r="S52" i="9"/>
  <c r="R52" i="9"/>
  <c r="Q52" i="9"/>
  <c r="P52" i="9"/>
  <c r="O52" i="9"/>
  <c r="N52" i="9"/>
  <c r="M52" i="9"/>
  <c r="L52" i="9"/>
  <c r="K52" i="9"/>
  <c r="J52" i="9"/>
  <c r="I52" i="9"/>
  <c r="H52" i="9"/>
  <c r="AJ51" i="9"/>
  <c r="AI51" i="9"/>
  <c r="AH51" i="9"/>
  <c r="AG51" i="9"/>
  <c r="AB51" i="9"/>
  <c r="AA51" i="9"/>
  <c r="Z51" i="9"/>
  <c r="Y51" i="9"/>
  <c r="X51" i="9"/>
  <c r="W51" i="9"/>
  <c r="V51" i="9"/>
  <c r="U51" i="9"/>
  <c r="T51" i="9"/>
  <c r="S51" i="9"/>
  <c r="R51" i="9"/>
  <c r="Q51" i="9"/>
  <c r="P51" i="9"/>
  <c r="O51" i="9"/>
  <c r="N51" i="9"/>
  <c r="M51" i="9"/>
  <c r="L51" i="9"/>
  <c r="K51" i="9"/>
  <c r="J51" i="9"/>
  <c r="I51" i="9"/>
  <c r="H51" i="9"/>
  <c r="AL50" i="9"/>
  <c r="AK50" i="9"/>
  <c r="AJ50" i="9"/>
  <c r="AI50" i="9"/>
  <c r="AH50" i="9"/>
  <c r="AG50" i="9"/>
  <c r="AB50" i="9"/>
  <c r="AA50" i="9"/>
  <c r="Z50" i="9"/>
  <c r="Y50" i="9"/>
  <c r="X50" i="9"/>
  <c r="W50" i="9"/>
  <c r="V50" i="9"/>
  <c r="U50" i="9"/>
  <c r="T50" i="9"/>
  <c r="S50" i="9"/>
  <c r="R50" i="9"/>
  <c r="Q50" i="9"/>
  <c r="P50" i="9"/>
  <c r="O50" i="9"/>
  <c r="N50" i="9"/>
  <c r="M50" i="9"/>
  <c r="L50" i="9"/>
  <c r="K50" i="9"/>
  <c r="J50" i="9"/>
  <c r="I50" i="9"/>
  <c r="H50" i="9"/>
  <c r="AJ49" i="9"/>
  <c r="AI49" i="9"/>
  <c r="AH49" i="9"/>
  <c r="AG49" i="9"/>
  <c r="AB49" i="9"/>
  <c r="AA49" i="9"/>
  <c r="Z49" i="9"/>
  <c r="Y49" i="9"/>
  <c r="X49" i="9"/>
  <c r="W49" i="9"/>
  <c r="V49" i="9"/>
  <c r="U49" i="9"/>
  <c r="T49" i="9"/>
  <c r="S49" i="9"/>
  <c r="R49" i="9"/>
  <c r="Q49" i="9"/>
  <c r="P49" i="9"/>
  <c r="O49" i="9"/>
  <c r="N49" i="9"/>
  <c r="M49" i="9"/>
  <c r="L49" i="9"/>
  <c r="K49" i="9"/>
  <c r="J49" i="9"/>
  <c r="I49" i="9"/>
  <c r="H49" i="9"/>
  <c r="AL48" i="9"/>
  <c r="AK48" i="9"/>
  <c r="AJ48" i="9"/>
  <c r="AI48" i="9"/>
  <c r="AH48" i="9"/>
  <c r="AG48" i="9"/>
  <c r="AB48" i="9"/>
  <c r="AA48" i="9"/>
  <c r="Z48" i="9"/>
  <c r="Y48" i="9"/>
  <c r="X48" i="9"/>
  <c r="W48" i="9"/>
  <c r="V48" i="9"/>
  <c r="U48" i="9"/>
  <c r="T48" i="9"/>
  <c r="S48" i="9"/>
  <c r="R48" i="9"/>
  <c r="Q48" i="9"/>
  <c r="P48" i="9"/>
  <c r="O48" i="9"/>
  <c r="N48" i="9"/>
  <c r="M48" i="9"/>
  <c r="L48" i="9"/>
  <c r="K48" i="9"/>
  <c r="J48" i="9"/>
  <c r="I48" i="9"/>
  <c r="H48" i="9"/>
  <c r="AJ47" i="9"/>
  <c r="AI47" i="9"/>
  <c r="AH47" i="9"/>
  <c r="AG47" i="9"/>
  <c r="AB47" i="9"/>
  <c r="AA47" i="9"/>
  <c r="Z47" i="9"/>
  <c r="Y47" i="9"/>
  <c r="X47" i="9"/>
  <c r="W47" i="9"/>
  <c r="V47" i="9"/>
  <c r="U47" i="9"/>
  <c r="T47" i="9"/>
  <c r="S47" i="9"/>
  <c r="R47" i="9"/>
  <c r="Q47" i="9"/>
  <c r="P47" i="9"/>
  <c r="O47" i="9"/>
  <c r="N47" i="9"/>
  <c r="M47" i="9"/>
  <c r="L47" i="9"/>
  <c r="K47" i="9"/>
  <c r="J47" i="9"/>
  <c r="I47" i="9"/>
  <c r="H47" i="9"/>
  <c r="AH46" i="9"/>
  <c r="AG46" i="9"/>
  <c r="AB46" i="9"/>
  <c r="AA46" i="9"/>
  <c r="Z46" i="9"/>
  <c r="Y46" i="9"/>
  <c r="X46" i="9"/>
  <c r="W46" i="9"/>
  <c r="V46" i="9"/>
  <c r="U46" i="9"/>
  <c r="T46" i="9"/>
  <c r="S46" i="9"/>
  <c r="R46" i="9"/>
  <c r="Q46" i="9"/>
  <c r="P46" i="9"/>
  <c r="O46" i="9"/>
  <c r="N46" i="9"/>
  <c r="M46" i="9"/>
  <c r="L46" i="9"/>
  <c r="K46" i="9"/>
  <c r="J46" i="9"/>
  <c r="I46" i="9"/>
  <c r="H46" i="9"/>
  <c r="AL45" i="9"/>
  <c r="AK45" i="9"/>
  <c r="AJ45" i="9"/>
  <c r="AI45" i="9"/>
  <c r="AH45" i="9"/>
  <c r="AG45" i="9"/>
  <c r="AB45" i="9"/>
  <c r="AA45" i="9"/>
  <c r="Z45" i="9"/>
  <c r="Y45" i="9"/>
  <c r="X45" i="9"/>
  <c r="W45" i="9"/>
  <c r="V45" i="9"/>
  <c r="U45" i="9"/>
  <c r="T45" i="9"/>
  <c r="S45" i="9"/>
  <c r="R45" i="9"/>
  <c r="Q45" i="9"/>
  <c r="P45" i="9"/>
  <c r="O45" i="9"/>
  <c r="N45" i="9"/>
  <c r="M45" i="9"/>
  <c r="L45" i="9"/>
  <c r="K45" i="9"/>
  <c r="J45" i="9"/>
  <c r="I45" i="9"/>
  <c r="H45" i="9"/>
  <c r="AL44" i="9"/>
  <c r="AK44" i="9"/>
  <c r="AJ44" i="9"/>
  <c r="AI44" i="9"/>
  <c r="AH44" i="9"/>
  <c r="AG44" i="9"/>
  <c r="AB44" i="9"/>
  <c r="AA44" i="9"/>
  <c r="Z44" i="9"/>
  <c r="Y44" i="9"/>
  <c r="X44" i="9"/>
  <c r="W44" i="9"/>
  <c r="V44" i="9"/>
  <c r="U44" i="9"/>
  <c r="T44" i="9"/>
  <c r="S44" i="9"/>
  <c r="R44" i="9"/>
  <c r="Q44" i="9"/>
  <c r="P44" i="9"/>
  <c r="O44" i="9"/>
  <c r="N44" i="9"/>
  <c r="M44" i="9"/>
  <c r="L44" i="9"/>
  <c r="K44" i="9"/>
  <c r="J44" i="9"/>
  <c r="I44" i="9"/>
  <c r="H44" i="9"/>
  <c r="AH43" i="9"/>
  <c r="AG43" i="9"/>
  <c r="AB43" i="9"/>
  <c r="AA43" i="9"/>
  <c r="Z43" i="9"/>
  <c r="Y43" i="9"/>
  <c r="X43" i="9"/>
  <c r="W43" i="9"/>
  <c r="V43" i="9"/>
  <c r="U43" i="9"/>
  <c r="T43" i="9"/>
  <c r="S43" i="9"/>
  <c r="R43" i="9"/>
  <c r="Q43" i="9"/>
  <c r="P43" i="9"/>
  <c r="O43" i="9"/>
  <c r="N43" i="9"/>
  <c r="M43" i="9"/>
  <c r="L43" i="9"/>
  <c r="K43" i="9"/>
  <c r="J43" i="9"/>
  <c r="I43" i="9"/>
  <c r="H43" i="9"/>
  <c r="AJ42" i="9"/>
  <c r="AI42" i="9"/>
  <c r="AH42" i="9"/>
  <c r="AG42" i="9"/>
  <c r="AB42" i="9"/>
  <c r="AA42" i="9"/>
  <c r="Z42" i="9"/>
  <c r="Y42" i="9"/>
  <c r="X42" i="9"/>
  <c r="W42" i="9"/>
  <c r="V42" i="9"/>
  <c r="U42" i="9"/>
  <c r="T42" i="9"/>
  <c r="S42" i="9"/>
  <c r="R42" i="9"/>
  <c r="Q42" i="9"/>
  <c r="P42" i="9"/>
  <c r="O42" i="9"/>
  <c r="N42" i="9"/>
  <c r="M42" i="9"/>
  <c r="L42" i="9"/>
  <c r="K42" i="9"/>
  <c r="J42" i="9"/>
  <c r="I42" i="9"/>
  <c r="H42" i="9"/>
  <c r="AJ41" i="9"/>
  <c r="AI41" i="9"/>
  <c r="AH41" i="9"/>
  <c r="AG41" i="9"/>
  <c r="AB41" i="9"/>
  <c r="AA41" i="9"/>
  <c r="Z41" i="9"/>
  <c r="Y41" i="9"/>
  <c r="X41" i="9"/>
  <c r="W41" i="9"/>
  <c r="V41" i="9"/>
  <c r="U41" i="9"/>
  <c r="T41" i="9"/>
  <c r="S41" i="9"/>
  <c r="R41" i="9"/>
  <c r="Q41" i="9"/>
  <c r="P41" i="9"/>
  <c r="O41" i="9"/>
  <c r="N41" i="9"/>
  <c r="M41" i="9"/>
  <c r="L41" i="9"/>
  <c r="K41" i="9"/>
  <c r="J41" i="9"/>
  <c r="I41" i="9"/>
  <c r="H41" i="9"/>
  <c r="AJ40" i="9"/>
  <c r="AI40" i="9"/>
  <c r="AH40" i="9"/>
  <c r="AG40" i="9"/>
  <c r="AB40" i="9"/>
  <c r="AA40" i="9"/>
  <c r="Z40" i="9"/>
  <c r="Y40" i="9"/>
  <c r="X40" i="9"/>
  <c r="W40" i="9"/>
  <c r="V40" i="9"/>
  <c r="U40" i="9"/>
  <c r="T40" i="9"/>
  <c r="S40" i="9"/>
  <c r="R40" i="9"/>
  <c r="Q40" i="9"/>
  <c r="P40" i="9"/>
  <c r="O40" i="9"/>
  <c r="N40" i="9"/>
  <c r="M40" i="9"/>
  <c r="L40" i="9"/>
  <c r="K40" i="9"/>
  <c r="J40" i="9"/>
  <c r="I40" i="9"/>
  <c r="H40" i="9"/>
  <c r="AJ39" i="9"/>
  <c r="AI39" i="9"/>
  <c r="AH39" i="9"/>
  <c r="AG39" i="9"/>
  <c r="AB39" i="9"/>
  <c r="AA39" i="9"/>
  <c r="Z39" i="9"/>
  <c r="Y39" i="9"/>
  <c r="X39" i="9"/>
  <c r="W39" i="9"/>
  <c r="V39" i="9"/>
  <c r="U39" i="9"/>
  <c r="T39" i="9"/>
  <c r="S39" i="9"/>
  <c r="R39" i="9"/>
  <c r="Q39" i="9"/>
  <c r="P39" i="9"/>
  <c r="O39" i="9"/>
  <c r="N39" i="9"/>
  <c r="M39" i="9"/>
  <c r="L39" i="9"/>
  <c r="K39" i="9"/>
  <c r="J39" i="9"/>
  <c r="I39" i="9"/>
  <c r="H39" i="9"/>
  <c r="AH38" i="9"/>
  <c r="AG38" i="9"/>
  <c r="AB38" i="9"/>
  <c r="AA38" i="9"/>
  <c r="Z38" i="9"/>
  <c r="Y38" i="9"/>
  <c r="X38" i="9"/>
  <c r="W38" i="9"/>
  <c r="V38" i="9"/>
  <c r="U38" i="9"/>
  <c r="T38" i="9"/>
  <c r="S38" i="9"/>
  <c r="R38" i="9"/>
  <c r="Q38" i="9"/>
  <c r="P38" i="9"/>
  <c r="O38" i="9"/>
  <c r="N38" i="9"/>
  <c r="M38" i="9"/>
  <c r="L38" i="9"/>
  <c r="K38" i="9"/>
  <c r="J38" i="9"/>
  <c r="I38" i="9"/>
  <c r="H38" i="9"/>
  <c r="AH37" i="9"/>
  <c r="AG37" i="9"/>
  <c r="AB37" i="9"/>
  <c r="AA37" i="9"/>
  <c r="Z37" i="9"/>
  <c r="Y37" i="9"/>
  <c r="X37" i="9"/>
  <c r="W37" i="9"/>
  <c r="V37" i="9"/>
  <c r="U37" i="9"/>
  <c r="T37" i="9"/>
  <c r="S37" i="9"/>
  <c r="R37" i="9"/>
  <c r="Q37" i="9"/>
  <c r="P37" i="9"/>
  <c r="O37" i="9"/>
  <c r="N37" i="9"/>
  <c r="M37" i="9"/>
  <c r="L37" i="9"/>
  <c r="K37" i="9"/>
  <c r="J37" i="9"/>
  <c r="I37" i="9"/>
  <c r="H37" i="9"/>
  <c r="AL36" i="9"/>
  <c r="AK36" i="9"/>
  <c r="AJ36" i="9"/>
  <c r="AI36" i="9"/>
  <c r="AH36" i="9"/>
  <c r="AG36" i="9"/>
  <c r="AB36" i="9"/>
  <c r="AA36" i="9"/>
  <c r="Z36" i="9"/>
  <c r="Y36" i="9"/>
  <c r="X36" i="9"/>
  <c r="W36" i="9"/>
  <c r="V36" i="9"/>
  <c r="U36" i="9"/>
  <c r="T36" i="9"/>
  <c r="S36" i="9"/>
  <c r="R36" i="9"/>
  <c r="Q36" i="9"/>
  <c r="P36" i="9"/>
  <c r="O36" i="9"/>
  <c r="N36" i="9"/>
  <c r="M36" i="9"/>
  <c r="L36" i="9"/>
  <c r="K36" i="9"/>
  <c r="J36" i="9"/>
  <c r="I36" i="9"/>
  <c r="H36" i="9"/>
  <c r="AL35" i="9"/>
  <c r="AK35" i="9"/>
  <c r="AJ35" i="9"/>
  <c r="AI35" i="9"/>
  <c r="AH35" i="9"/>
  <c r="AG35" i="9"/>
  <c r="AB35" i="9"/>
  <c r="AA35" i="9"/>
  <c r="Z35" i="9"/>
  <c r="Y35" i="9"/>
  <c r="X35" i="9"/>
  <c r="V35" i="9"/>
  <c r="U35" i="9"/>
  <c r="T35" i="9"/>
  <c r="S35" i="9"/>
  <c r="R35" i="9"/>
  <c r="Q35" i="9"/>
  <c r="P35" i="9"/>
  <c r="O35" i="9"/>
  <c r="N35" i="9"/>
  <c r="M35" i="9"/>
  <c r="L35" i="9"/>
  <c r="K35" i="9"/>
  <c r="J35" i="9"/>
  <c r="I35" i="9"/>
  <c r="H35" i="9"/>
  <c r="AL34" i="9"/>
  <c r="AK34" i="9"/>
  <c r="AJ34" i="9"/>
  <c r="AI34" i="9"/>
  <c r="AH34" i="9"/>
  <c r="AG34" i="9"/>
  <c r="AB34" i="9"/>
  <c r="AA34" i="9"/>
  <c r="Z34" i="9"/>
  <c r="Y34" i="9"/>
  <c r="X34" i="9"/>
  <c r="W34" i="9"/>
  <c r="V34" i="9"/>
  <c r="U34" i="9"/>
  <c r="T34" i="9"/>
  <c r="S34" i="9"/>
  <c r="R34" i="9"/>
  <c r="Q34" i="9"/>
  <c r="P34" i="9"/>
  <c r="O34" i="9"/>
  <c r="N34" i="9"/>
  <c r="M34" i="9"/>
  <c r="L34" i="9"/>
  <c r="K34" i="9"/>
  <c r="J34" i="9"/>
  <c r="I34" i="9"/>
  <c r="H34" i="9"/>
  <c r="AL33" i="9"/>
  <c r="AK33" i="9"/>
  <c r="AJ33" i="9"/>
  <c r="AI33" i="9"/>
  <c r="AH33" i="9"/>
  <c r="AG33" i="9"/>
  <c r="AB33" i="9"/>
  <c r="AA33" i="9"/>
  <c r="Z33" i="9"/>
  <c r="Y33" i="9"/>
  <c r="X33" i="9"/>
  <c r="W33" i="9"/>
  <c r="V33" i="9"/>
  <c r="U33" i="9"/>
  <c r="T33" i="9"/>
  <c r="S33" i="9"/>
  <c r="R33" i="9"/>
  <c r="Q33" i="9"/>
  <c r="P33" i="9"/>
  <c r="O33" i="9"/>
  <c r="N33" i="9"/>
  <c r="M33" i="9"/>
  <c r="L33" i="9"/>
  <c r="K33" i="9"/>
  <c r="J33" i="9"/>
  <c r="I33" i="9"/>
  <c r="H33" i="9"/>
  <c r="AL32" i="9"/>
  <c r="AK32" i="9"/>
  <c r="AJ32" i="9"/>
  <c r="AI32" i="9"/>
  <c r="AH32" i="9"/>
  <c r="AG32" i="9"/>
  <c r="AB32" i="9"/>
  <c r="AA32" i="9"/>
  <c r="Z32" i="9"/>
  <c r="Y32" i="9"/>
  <c r="X32" i="9"/>
  <c r="W32" i="9"/>
  <c r="V32" i="9"/>
  <c r="U32" i="9"/>
  <c r="T32" i="9"/>
  <c r="S32" i="9"/>
  <c r="R32" i="9"/>
  <c r="Q32" i="9"/>
  <c r="P32" i="9"/>
  <c r="O32" i="9"/>
  <c r="N32" i="9"/>
  <c r="M32" i="9"/>
  <c r="L32" i="9"/>
  <c r="K32" i="9"/>
  <c r="J32" i="9"/>
  <c r="I32" i="9"/>
  <c r="H32" i="9"/>
  <c r="AL31" i="9"/>
  <c r="AK31" i="9"/>
  <c r="AJ31" i="9"/>
  <c r="AI31" i="9"/>
  <c r="AH31" i="9"/>
  <c r="AG31" i="9"/>
  <c r="AB31" i="9"/>
  <c r="AA31" i="9"/>
  <c r="Z31" i="9"/>
  <c r="Y31" i="9"/>
  <c r="X31" i="9"/>
  <c r="W31" i="9"/>
  <c r="V31" i="9"/>
  <c r="U31" i="9"/>
  <c r="T31" i="9"/>
  <c r="S31" i="9"/>
  <c r="R31" i="9"/>
  <c r="Q31" i="9"/>
  <c r="P31" i="9"/>
  <c r="O31" i="9"/>
  <c r="N31" i="9"/>
  <c r="M31" i="9"/>
  <c r="L31" i="9"/>
  <c r="K31" i="9"/>
  <c r="J31" i="9"/>
  <c r="I31" i="9"/>
  <c r="H31" i="9"/>
  <c r="AJ30" i="9"/>
  <c r="AI30" i="9"/>
  <c r="AH30" i="9"/>
  <c r="AG30" i="9"/>
  <c r="AB30" i="9"/>
  <c r="AA30" i="9"/>
  <c r="Z30" i="9"/>
  <c r="Y30" i="9"/>
  <c r="X30" i="9"/>
  <c r="W30" i="9"/>
  <c r="V30" i="9"/>
  <c r="U30" i="9"/>
  <c r="T30" i="9"/>
  <c r="S30" i="9"/>
  <c r="R30" i="9"/>
  <c r="Q30" i="9"/>
  <c r="P30" i="9"/>
  <c r="O30" i="9"/>
  <c r="N30" i="9"/>
  <c r="M30" i="9"/>
  <c r="L30" i="9"/>
  <c r="K30" i="9"/>
  <c r="J30" i="9"/>
  <c r="I30" i="9"/>
  <c r="H30" i="9"/>
  <c r="AG29" i="9"/>
  <c r="AB29" i="9"/>
  <c r="AA29" i="9"/>
  <c r="Z29" i="9"/>
  <c r="Y29" i="9"/>
  <c r="X29" i="9"/>
  <c r="W29" i="9"/>
  <c r="V29" i="9"/>
  <c r="U29" i="9"/>
  <c r="T29" i="9"/>
  <c r="S29" i="9"/>
  <c r="R29" i="9"/>
  <c r="Q29" i="9"/>
  <c r="P29" i="9"/>
  <c r="O29" i="9"/>
  <c r="N29" i="9"/>
  <c r="M29" i="9"/>
  <c r="L29" i="9"/>
  <c r="K29" i="9"/>
  <c r="J29" i="9"/>
  <c r="I29" i="9"/>
  <c r="H29" i="9"/>
  <c r="AL28" i="9"/>
  <c r="AK28" i="9"/>
  <c r="AJ28" i="9"/>
  <c r="AI28" i="9"/>
  <c r="AH28" i="9"/>
  <c r="AG28" i="9"/>
  <c r="AB28" i="9"/>
  <c r="AA28" i="9"/>
  <c r="Z28" i="9"/>
  <c r="Y28" i="9"/>
  <c r="X28" i="9"/>
  <c r="W28" i="9"/>
  <c r="V28" i="9"/>
  <c r="U28" i="9"/>
  <c r="T28" i="9"/>
  <c r="S28" i="9"/>
  <c r="R28" i="9"/>
  <c r="Q28" i="9"/>
  <c r="P28" i="9"/>
  <c r="O28" i="9"/>
  <c r="N28" i="9"/>
  <c r="M28" i="9"/>
  <c r="L28" i="9"/>
  <c r="K28" i="9"/>
  <c r="J28" i="9"/>
  <c r="I28" i="9"/>
  <c r="H28" i="9"/>
  <c r="AL27" i="9"/>
  <c r="AK27" i="9"/>
  <c r="AJ27" i="9"/>
  <c r="AI27" i="9"/>
  <c r="AH27" i="9"/>
  <c r="AG27" i="9"/>
  <c r="AF27" i="9"/>
  <c r="AD27" i="9"/>
  <c r="AB27" i="9"/>
  <c r="AA27" i="9"/>
  <c r="Z27" i="9"/>
  <c r="Y27" i="9"/>
  <c r="X27" i="9"/>
  <c r="W27" i="9"/>
  <c r="V27" i="9"/>
  <c r="U27" i="9"/>
  <c r="T27" i="9"/>
  <c r="S27" i="9"/>
  <c r="R27" i="9"/>
  <c r="Q27" i="9"/>
  <c r="P27" i="9"/>
  <c r="O27" i="9"/>
  <c r="N27" i="9"/>
  <c r="M27" i="9"/>
  <c r="L27" i="9"/>
  <c r="K27" i="9"/>
  <c r="J27" i="9"/>
  <c r="I27" i="9"/>
  <c r="H27" i="9"/>
  <c r="AL26" i="9"/>
  <c r="AK26" i="9"/>
  <c r="AJ26" i="9"/>
  <c r="AI26" i="9"/>
  <c r="AH26" i="9"/>
  <c r="AG26" i="9"/>
  <c r="AB26" i="9"/>
  <c r="AA26" i="9"/>
  <c r="Z26" i="9"/>
  <c r="Y26" i="9"/>
  <c r="X26" i="9"/>
  <c r="W26" i="9"/>
  <c r="V26" i="9"/>
  <c r="U26" i="9"/>
  <c r="T26" i="9"/>
  <c r="S26" i="9"/>
  <c r="R26" i="9"/>
  <c r="Q26" i="9"/>
  <c r="P26" i="9"/>
  <c r="O26" i="9"/>
  <c r="N26" i="9"/>
  <c r="M26" i="9"/>
  <c r="L26" i="9"/>
  <c r="K26" i="9"/>
  <c r="J26" i="9"/>
  <c r="I26" i="9"/>
  <c r="H26" i="9"/>
  <c r="AL25" i="9"/>
  <c r="AK25" i="9"/>
  <c r="AJ25" i="9"/>
  <c r="AI25" i="9"/>
  <c r="AH25" i="9"/>
  <c r="AG25" i="9"/>
  <c r="AB25" i="9"/>
  <c r="AA25" i="9"/>
  <c r="Z25" i="9"/>
  <c r="Y25" i="9"/>
  <c r="X25" i="9"/>
  <c r="W25" i="9"/>
  <c r="V25" i="9"/>
  <c r="U25" i="9"/>
  <c r="T25" i="9"/>
  <c r="S25" i="9"/>
  <c r="R25" i="9"/>
  <c r="Q25" i="9"/>
  <c r="P25" i="9"/>
  <c r="O25" i="9"/>
  <c r="N25" i="9"/>
  <c r="M25" i="9"/>
  <c r="L25" i="9"/>
  <c r="K25" i="9"/>
  <c r="J25" i="9"/>
  <c r="I25" i="9"/>
  <c r="H25" i="9"/>
  <c r="AJ24" i="9"/>
  <c r="AI24" i="9"/>
  <c r="AH24" i="9"/>
  <c r="AG24" i="9"/>
  <c r="AB24" i="9"/>
  <c r="AA24" i="9"/>
  <c r="Z24" i="9"/>
  <c r="Y24" i="9"/>
  <c r="X24" i="9"/>
  <c r="W24" i="9"/>
  <c r="V24" i="9"/>
  <c r="U24" i="9"/>
  <c r="T24" i="9"/>
  <c r="S24" i="9"/>
  <c r="R24" i="9"/>
  <c r="Q24" i="9"/>
  <c r="P24" i="9"/>
  <c r="O24" i="9"/>
  <c r="N24" i="9"/>
  <c r="M24" i="9"/>
  <c r="L24" i="9"/>
  <c r="K24" i="9"/>
  <c r="J24" i="9"/>
  <c r="I24" i="9"/>
  <c r="H24" i="9"/>
  <c r="AH23" i="9"/>
  <c r="AG23" i="9"/>
  <c r="AB23" i="9"/>
  <c r="AA23" i="9"/>
  <c r="Z23" i="9"/>
  <c r="Y23" i="9"/>
  <c r="X23" i="9"/>
  <c r="W23" i="9"/>
  <c r="V23" i="9"/>
  <c r="U23" i="9"/>
  <c r="T23" i="9"/>
  <c r="S23" i="9"/>
  <c r="R23" i="9"/>
  <c r="Q23" i="9"/>
  <c r="P23" i="9"/>
  <c r="O23" i="9"/>
  <c r="N23" i="9"/>
  <c r="M23" i="9"/>
  <c r="L23" i="9"/>
  <c r="K23" i="9"/>
  <c r="J23" i="9"/>
  <c r="I23" i="9"/>
  <c r="H23" i="9"/>
  <c r="AH22" i="9"/>
  <c r="AG22" i="9"/>
  <c r="AB22" i="9"/>
  <c r="AA22" i="9"/>
  <c r="Z22" i="9"/>
  <c r="Y22" i="9"/>
  <c r="X22" i="9"/>
  <c r="W22" i="9"/>
  <c r="V22" i="9"/>
  <c r="U22" i="9"/>
  <c r="T22" i="9"/>
  <c r="S22" i="9"/>
  <c r="R22" i="9"/>
  <c r="Q22" i="9"/>
  <c r="P22" i="9"/>
  <c r="O22" i="9"/>
  <c r="N22" i="9"/>
  <c r="M22" i="9"/>
  <c r="L22" i="9"/>
  <c r="K22" i="9"/>
  <c r="J22" i="9"/>
  <c r="I22" i="9"/>
  <c r="H22" i="9"/>
  <c r="AH21" i="9"/>
  <c r="AG21" i="9"/>
  <c r="AF21" i="9"/>
  <c r="AE21" i="9"/>
  <c r="AB21" i="9"/>
  <c r="AA21" i="9"/>
  <c r="Z21" i="9"/>
  <c r="Y21" i="9"/>
  <c r="X21" i="9"/>
  <c r="W21" i="9"/>
  <c r="V21" i="9"/>
  <c r="U21" i="9"/>
  <c r="T21" i="9"/>
  <c r="S21" i="9"/>
  <c r="R21" i="9"/>
  <c r="Q21" i="9"/>
  <c r="P21" i="9"/>
  <c r="O21" i="9"/>
  <c r="N21" i="9"/>
  <c r="M21" i="9"/>
  <c r="L21" i="9"/>
  <c r="K21" i="9"/>
  <c r="J21" i="9"/>
  <c r="I21" i="9"/>
  <c r="H21" i="9"/>
  <c r="AJ20" i="9"/>
  <c r="AI20" i="9"/>
  <c r="AH20" i="9"/>
  <c r="AG20" i="9"/>
  <c r="AB20" i="9"/>
  <c r="AA20" i="9"/>
  <c r="Z20" i="9"/>
  <c r="Y20" i="9"/>
  <c r="X20" i="9"/>
  <c r="W20" i="9"/>
  <c r="V20" i="9"/>
  <c r="U20" i="9"/>
  <c r="T20" i="9"/>
  <c r="S20" i="9"/>
  <c r="R20" i="9"/>
  <c r="Q20" i="9"/>
  <c r="P20" i="9"/>
  <c r="O20" i="9"/>
  <c r="N20" i="9"/>
  <c r="M20" i="9"/>
  <c r="L20" i="9"/>
  <c r="K20" i="9"/>
  <c r="J20" i="9"/>
  <c r="I20" i="9"/>
  <c r="H20" i="9"/>
  <c r="AH19" i="9"/>
  <c r="AG19" i="9"/>
  <c r="AB19" i="9"/>
  <c r="AA19" i="9"/>
  <c r="Z19" i="9"/>
  <c r="Y19" i="9"/>
  <c r="X19" i="9"/>
  <c r="V19" i="9"/>
  <c r="U19" i="9"/>
  <c r="T19" i="9"/>
  <c r="S19" i="9"/>
  <c r="R19" i="9"/>
  <c r="Q19" i="9"/>
  <c r="P19" i="9"/>
  <c r="O19" i="9"/>
  <c r="N19" i="9"/>
  <c r="M19" i="9"/>
  <c r="L19" i="9"/>
  <c r="K19" i="9"/>
  <c r="J19" i="9"/>
  <c r="I19" i="9"/>
  <c r="H19" i="9"/>
  <c r="AL18" i="9"/>
  <c r="AK18" i="9"/>
  <c r="AJ18" i="9"/>
  <c r="AI18" i="9"/>
  <c r="AH18" i="9"/>
  <c r="AG18" i="9"/>
  <c r="AB18" i="9"/>
  <c r="AA18" i="9"/>
  <c r="Z18" i="9"/>
  <c r="Y18" i="9"/>
  <c r="X18" i="9"/>
  <c r="W18" i="9"/>
  <c r="V18" i="9"/>
  <c r="U18" i="9"/>
  <c r="T18" i="9"/>
  <c r="S18" i="9"/>
  <c r="R18" i="9"/>
  <c r="Q18" i="9"/>
  <c r="P18" i="9"/>
  <c r="O18" i="9"/>
  <c r="N18" i="9"/>
  <c r="M18" i="9"/>
  <c r="L18" i="9"/>
  <c r="K18" i="9"/>
  <c r="J18" i="9"/>
  <c r="I18" i="9"/>
  <c r="H18" i="9"/>
  <c r="AL17" i="9"/>
  <c r="AK17" i="9"/>
  <c r="AJ17" i="9"/>
  <c r="AI17" i="9"/>
  <c r="AH17" i="9"/>
  <c r="AG17" i="9"/>
  <c r="AB17" i="9"/>
  <c r="AA17" i="9"/>
  <c r="Z17" i="9"/>
  <c r="Y17" i="9"/>
  <c r="X17" i="9"/>
  <c r="W17" i="9"/>
  <c r="V17" i="9"/>
  <c r="U17" i="9"/>
  <c r="T17" i="9"/>
  <c r="S17" i="9"/>
  <c r="R17" i="9"/>
  <c r="Q17" i="9"/>
  <c r="P17" i="9"/>
  <c r="O17" i="9"/>
  <c r="N17" i="9"/>
  <c r="M17" i="9"/>
  <c r="L17" i="9"/>
  <c r="K17" i="9"/>
  <c r="J17" i="9"/>
  <c r="I17" i="9"/>
  <c r="H17" i="9"/>
  <c r="AL16" i="9"/>
  <c r="AK16" i="9"/>
  <c r="AJ16" i="9"/>
  <c r="AI16" i="9"/>
  <c r="AH16" i="9"/>
  <c r="AG16" i="9"/>
  <c r="AB16" i="9"/>
  <c r="Z16" i="9"/>
  <c r="Y16" i="9"/>
  <c r="X16" i="9"/>
  <c r="W16" i="9"/>
  <c r="V16" i="9"/>
  <c r="U16" i="9"/>
  <c r="T16" i="9"/>
  <c r="S16" i="9"/>
  <c r="R16" i="9"/>
  <c r="Q16" i="9"/>
  <c r="P16" i="9"/>
  <c r="O16" i="9"/>
  <c r="N16" i="9"/>
  <c r="M16" i="9"/>
  <c r="L16" i="9"/>
  <c r="K16" i="9"/>
  <c r="J16" i="9"/>
  <c r="I16" i="9"/>
  <c r="H16" i="9"/>
  <c r="AL15" i="9"/>
  <c r="AK15" i="9"/>
  <c r="AJ15" i="9"/>
  <c r="AI15" i="9"/>
  <c r="AH15" i="9"/>
  <c r="AG15" i="9"/>
  <c r="AB15" i="9"/>
  <c r="AA15" i="9"/>
  <c r="Z15" i="9"/>
  <c r="Y15" i="9"/>
  <c r="X15" i="9"/>
  <c r="W15" i="9"/>
  <c r="V15" i="9"/>
  <c r="U15" i="9"/>
  <c r="T15" i="9"/>
  <c r="S15" i="9"/>
  <c r="R15" i="9"/>
  <c r="Q15" i="9"/>
  <c r="P15" i="9"/>
  <c r="O15" i="9"/>
  <c r="N15" i="9"/>
  <c r="M15" i="9"/>
  <c r="L15" i="9"/>
  <c r="K15" i="9"/>
  <c r="J15" i="9"/>
  <c r="I15" i="9"/>
  <c r="H15" i="9"/>
  <c r="AL14" i="9"/>
  <c r="AK14" i="9"/>
  <c r="AJ14" i="9"/>
  <c r="AI14" i="9"/>
  <c r="AH14" i="9"/>
  <c r="AG14" i="9"/>
  <c r="AB14" i="9"/>
  <c r="AA14" i="9"/>
  <c r="Z14" i="9"/>
  <c r="Y14" i="9"/>
  <c r="X14" i="9"/>
  <c r="W14" i="9"/>
  <c r="V14" i="9"/>
  <c r="U14" i="9"/>
  <c r="T14" i="9"/>
  <c r="S14" i="9"/>
  <c r="R14" i="9"/>
  <c r="Q14" i="9"/>
  <c r="P14" i="9"/>
  <c r="O14" i="9"/>
  <c r="N14" i="9"/>
  <c r="M14" i="9"/>
  <c r="L14" i="9"/>
  <c r="K14" i="9"/>
  <c r="J14" i="9"/>
  <c r="I14" i="9"/>
  <c r="H14" i="9"/>
  <c r="AL13" i="9"/>
  <c r="AK13" i="9"/>
  <c r="AJ13" i="9"/>
  <c r="AI13" i="9"/>
  <c r="AH13" i="9"/>
  <c r="AG13" i="9"/>
  <c r="AB13" i="9"/>
  <c r="AA13" i="9"/>
  <c r="Z13" i="9"/>
  <c r="Y13" i="9"/>
  <c r="X13" i="9"/>
  <c r="W13" i="9"/>
  <c r="V13" i="9"/>
  <c r="U13" i="9"/>
  <c r="T13" i="9"/>
  <c r="S13" i="9"/>
  <c r="R13" i="9"/>
  <c r="Q13" i="9"/>
  <c r="P13" i="9"/>
  <c r="O13" i="9"/>
  <c r="N13" i="9"/>
  <c r="M13" i="9"/>
  <c r="L13" i="9"/>
  <c r="K13" i="9"/>
  <c r="J13" i="9"/>
  <c r="I13" i="9"/>
  <c r="H13" i="9"/>
  <c r="AL12" i="9"/>
  <c r="AK12" i="9"/>
  <c r="AJ12" i="9"/>
  <c r="AI12" i="9"/>
  <c r="AH12" i="9"/>
  <c r="AG12" i="9"/>
  <c r="AB12" i="9"/>
  <c r="AA12" i="9"/>
  <c r="Z12" i="9"/>
  <c r="Y12" i="9"/>
  <c r="X12" i="9"/>
  <c r="W12" i="9"/>
  <c r="V12" i="9"/>
  <c r="U12" i="9"/>
  <c r="T12" i="9"/>
  <c r="S12" i="9"/>
  <c r="R12" i="9"/>
  <c r="Q12" i="9"/>
  <c r="P12" i="9"/>
  <c r="O12" i="9"/>
  <c r="N12" i="9"/>
  <c r="M12" i="9"/>
  <c r="L12" i="9"/>
  <c r="K12" i="9"/>
  <c r="J12" i="9"/>
  <c r="I12" i="9"/>
  <c r="H12" i="9"/>
  <c r="AG11" i="9"/>
  <c r="AB11" i="9"/>
  <c r="AA11" i="9"/>
  <c r="Z11" i="9"/>
  <c r="Y11" i="9"/>
  <c r="X11" i="9"/>
  <c r="W11" i="9"/>
  <c r="V11" i="9"/>
  <c r="U11" i="9"/>
  <c r="T11" i="9"/>
  <c r="S11" i="9"/>
  <c r="R11" i="9"/>
  <c r="Q11" i="9"/>
  <c r="P11" i="9"/>
  <c r="O11" i="9"/>
  <c r="N11" i="9"/>
  <c r="M11" i="9"/>
  <c r="L11" i="9"/>
  <c r="K11" i="9"/>
  <c r="J11" i="9"/>
  <c r="I11" i="9"/>
  <c r="H11" i="9"/>
  <c r="AJ10" i="9"/>
  <c r="AI10" i="9"/>
  <c r="AH10" i="9"/>
  <c r="AG10" i="9"/>
  <c r="AB10" i="9"/>
  <c r="Z10" i="9"/>
  <c r="Y10" i="9"/>
  <c r="X10" i="9"/>
  <c r="W10" i="9"/>
  <c r="U10" i="9"/>
  <c r="T10" i="9"/>
  <c r="S10" i="9"/>
  <c r="R10" i="9"/>
  <c r="Q10" i="9"/>
  <c r="P10" i="9"/>
  <c r="O10" i="9"/>
  <c r="N10" i="9"/>
  <c r="M10" i="9"/>
  <c r="L10" i="9"/>
  <c r="K10" i="9"/>
  <c r="J10" i="9"/>
  <c r="I10" i="9"/>
  <c r="H10" i="9"/>
  <c r="AL9" i="9"/>
  <c r="AK9" i="9"/>
  <c r="AJ9" i="9"/>
  <c r="AI9" i="9"/>
  <c r="AH9" i="9"/>
  <c r="AG9" i="9"/>
  <c r="AB9" i="9"/>
  <c r="AA9" i="9"/>
  <c r="Z9" i="9"/>
  <c r="Y9" i="9"/>
  <c r="X9" i="9"/>
  <c r="U9" i="9"/>
  <c r="T9" i="9"/>
  <c r="S9" i="9"/>
  <c r="R9" i="9"/>
  <c r="Q9" i="9"/>
  <c r="P9" i="9"/>
  <c r="O9" i="9"/>
  <c r="N9" i="9"/>
  <c r="M9" i="9"/>
  <c r="L9" i="9"/>
  <c r="K9" i="9"/>
  <c r="J9" i="9"/>
  <c r="I9" i="9"/>
  <c r="H9" i="9"/>
  <c r="AL8" i="9"/>
  <c r="AK8" i="9"/>
  <c r="AJ8" i="9"/>
  <c r="AI8" i="9"/>
  <c r="AH8" i="9"/>
  <c r="AG8" i="9"/>
  <c r="AB8" i="9"/>
  <c r="AA8" i="9"/>
  <c r="Z8" i="9"/>
  <c r="Y8" i="9"/>
  <c r="X8" i="9"/>
  <c r="V8" i="9"/>
  <c r="U8" i="9"/>
  <c r="T8" i="9"/>
  <c r="S8" i="9"/>
  <c r="R8" i="9"/>
  <c r="Q8" i="9"/>
  <c r="P8" i="9"/>
  <c r="O8" i="9"/>
  <c r="N8" i="9"/>
  <c r="M8" i="9"/>
  <c r="L8" i="9"/>
  <c r="K8" i="9"/>
  <c r="J8" i="9"/>
  <c r="I8" i="9"/>
  <c r="H8" i="9"/>
  <c r="AL7" i="9"/>
  <c r="AK7" i="9"/>
  <c r="AJ7" i="9"/>
  <c r="AI7" i="9"/>
  <c r="AH7" i="9"/>
  <c r="AG7" i="9"/>
  <c r="AB7" i="9"/>
  <c r="Z7" i="9"/>
  <c r="Y7" i="9"/>
  <c r="X7" i="9"/>
  <c r="W7" i="9"/>
  <c r="V7" i="9"/>
  <c r="U7" i="9"/>
  <c r="T7" i="9"/>
  <c r="S7" i="9"/>
  <c r="R7" i="9"/>
  <c r="Q7" i="9"/>
  <c r="P7" i="9"/>
  <c r="O7" i="9"/>
  <c r="N7" i="9"/>
  <c r="M7" i="9"/>
  <c r="L7" i="9"/>
  <c r="K7" i="9"/>
  <c r="J7" i="9"/>
  <c r="I7" i="9"/>
  <c r="H7" i="9"/>
  <c r="AJ6" i="9"/>
  <c r="AI6" i="9"/>
  <c r="AH6" i="9"/>
  <c r="AG6" i="9"/>
  <c r="AB6" i="9"/>
  <c r="AA6" i="9"/>
  <c r="Z6" i="9"/>
  <c r="Y6" i="9"/>
  <c r="U6" i="9"/>
  <c r="T6" i="9"/>
  <c r="S6" i="9"/>
  <c r="R6" i="9"/>
  <c r="Q6" i="9"/>
  <c r="P6" i="9"/>
  <c r="O6" i="9"/>
  <c r="N6" i="9"/>
  <c r="M6" i="9"/>
  <c r="L6" i="9"/>
  <c r="K6" i="9"/>
  <c r="J6" i="9"/>
  <c r="I6" i="9"/>
  <c r="H6" i="9"/>
  <c r="AG5" i="9"/>
  <c r="AB5" i="9"/>
  <c r="AA5" i="9"/>
  <c r="Z5" i="9"/>
  <c r="Y5" i="9"/>
  <c r="X5" i="9"/>
  <c r="W5" i="9"/>
  <c r="V5" i="9"/>
  <c r="U5" i="9"/>
  <c r="T5" i="9"/>
  <c r="S5" i="9"/>
  <c r="R5" i="9"/>
  <c r="Q5" i="9"/>
  <c r="P5" i="9"/>
  <c r="O5" i="9"/>
  <c r="N5" i="9"/>
  <c r="M5" i="9"/>
  <c r="L5" i="9"/>
  <c r="K5" i="9"/>
  <c r="J5" i="9"/>
  <c r="I5" i="9"/>
  <c r="H5" i="9"/>
  <c r="AL4" i="9"/>
  <c r="AK4" i="9"/>
  <c r="AJ4" i="9"/>
  <c r="AI4" i="9"/>
  <c r="AH4" i="9"/>
  <c r="AG4" i="9"/>
  <c r="AB4" i="9"/>
  <c r="AA4" i="9"/>
  <c r="Z4" i="9"/>
  <c r="Y4" i="9"/>
  <c r="X4" i="9"/>
  <c r="W4" i="9"/>
  <c r="V4" i="9"/>
  <c r="U4" i="9"/>
  <c r="T4" i="9"/>
  <c r="S4" i="9"/>
  <c r="R4" i="9"/>
  <c r="Q4" i="9"/>
  <c r="P4" i="9"/>
  <c r="O4" i="9"/>
  <c r="N4" i="9"/>
  <c r="M4" i="9"/>
  <c r="L4" i="9"/>
  <c r="K4" i="9"/>
  <c r="J4" i="9"/>
  <c r="I4" i="9"/>
  <c r="H4" i="9"/>
  <c r="AJ3" i="9"/>
  <c r="AI3" i="9"/>
  <c r="AH3" i="9"/>
  <c r="AG3" i="9"/>
  <c r="AB3" i="9"/>
  <c r="AA3" i="9"/>
  <c r="Z3" i="9"/>
  <c r="Y3" i="9"/>
  <c r="X3" i="9"/>
  <c r="W3" i="9"/>
  <c r="V3" i="9"/>
  <c r="U3" i="9"/>
  <c r="T3" i="9"/>
  <c r="S3" i="9"/>
  <c r="R3" i="9"/>
  <c r="Q3" i="9"/>
  <c r="P3" i="9"/>
  <c r="O3" i="9"/>
  <c r="N3" i="9"/>
  <c r="M3" i="9"/>
  <c r="L3" i="9"/>
  <c r="K3" i="9"/>
  <c r="J3" i="9"/>
  <c r="I3" i="9"/>
  <c r="H3" i="9"/>
  <c r="AH2" i="9"/>
  <c r="AG2" i="9"/>
  <c r="AB2" i="9"/>
  <c r="AA2" i="9"/>
  <c r="Z2" i="9"/>
  <c r="Y2" i="9"/>
  <c r="X2" i="9"/>
  <c r="W2" i="9"/>
  <c r="V2" i="9"/>
  <c r="U2" i="9"/>
  <c r="T2" i="9"/>
  <c r="S2" i="9"/>
  <c r="R2" i="9"/>
  <c r="Q2" i="9"/>
  <c r="P2" i="9"/>
  <c r="O2" i="9"/>
  <c r="N2" i="9"/>
  <c r="M2" i="9"/>
  <c r="L2" i="9"/>
  <c r="K2" i="9"/>
  <c r="J2" i="9"/>
  <c r="I2" i="9"/>
  <c r="H2" i="9"/>
  <c r="AG105" i="8"/>
  <c r="AB105" i="8"/>
  <c r="AA105" i="8"/>
  <c r="Z105" i="8"/>
  <c r="Y105" i="8"/>
  <c r="X105" i="8"/>
  <c r="W105" i="8"/>
  <c r="V105" i="8"/>
  <c r="U105" i="8"/>
  <c r="T105" i="8"/>
  <c r="S105" i="8"/>
  <c r="R105" i="8"/>
  <c r="Q105" i="8"/>
  <c r="P105" i="8"/>
  <c r="O105" i="8"/>
  <c r="N105" i="8"/>
  <c r="M105" i="8"/>
  <c r="L105" i="8"/>
  <c r="K105" i="8"/>
  <c r="J105" i="8"/>
  <c r="I105" i="8"/>
  <c r="H105" i="8"/>
  <c r="AH104" i="8"/>
  <c r="AG104" i="8"/>
  <c r="AB104" i="8"/>
  <c r="AA104" i="8"/>
  <c r="Z104" i="8"/>
  <c r="Y104" i="8"/>
  <c r="X104" i="8"/>
  <c r="W104" i="8"/>
  <c r="V104" i="8"/>
  <c r="U104" i="8"/>
  <c r="T104" i="8"/>
  <c r="S104" i="8"/>
  <c r="R104" i="8"/>
  <c r="Q104" i="8"/>
  <c r="P104" i="8"/>
  <c r="O104" i="8"/>
  <c r="N104" i="8"/>
  <c r="M104" i="8"/>
  <c r="L104" i="8"/>
  <c r="K104" i="8"/>
  <c r="J104" i="8"/>
  <c r="I104" i="8"/>
  <c r="H104" i="8"/>
  <c r="AH103" i="8"/>
  <c r="AG103" i="8"/>
  <c r="AB103" i="8"/>
  <c r="AA103" i="8"/>
  <c r="Z103" i="8"/>
  <c r="Y103" i="8"/>
  <c r="X103" i="8"/>
  <c r="V103" i="8"/>
  <c r="U103" i="8"/>
  <c r="T103" i="8"/>
  <c r="S103" i="8"/>
  <c r="R103" i="8"/>
  <c r="Q103" i="8"/>
  <c r="P103" i="8"/>
  <c r="O103" i="8"/>
  <c r="N103" i="8"/>
  <c r="M103" i="8"/>
  <c r="L103" i="8"/>
  <c r="K103" i="8"/>
  <c r="J103" i="8"/>
  <c r="I103" i="8"/>
  <c r="H103" i="8"/>
  <c r="AH102" i="8"/>
  <c r="AG102" i="8"/>
  <c r="AB102" i="8"/>
  <c r="AA102" i="8"/>
  <c r="Z102" i="8"/>
  <c r="Y102" i="8"/>
  <c r="X102" i="8"/>
  <c r="W102" i="8"/>
  <c r="V102" i="8"/>
  <c r="U102" i="8"/>
  <c r="T102" i="8"/>
  <c r="S102" i="8"/>
  <c r="R102" i="8"/>
  <c r="Q102" i="8"/>
  <c r="P102" i="8"/>
  <c r="O102" i="8"/>
  <c r="N102" i="8"/>
  <c r="M102" i="8"/>
  <c r="L102" i="8"/>
  <c r="K102" i="8"/>
  <c r="J102" i="8"/>
  <c r="I102" i="8"/>
  <c r="H102" i="8"/>
  <c r="AN101" i="8"/>
  <c r="AM101" i="8"/>
  <c r="AL101" i="8"/>
  <c r="AK101" i="8"/>
  <c r="AJ101" i="8"/>
  <c r="AI101" i="8"/>
  <c r="AH101" i="8"/>
  <c r="AG101" i="8"/>
  <c r="AB101" i="8"/>
  <c r="AA101" i="8"/>
  <c r="Z101" i="8"/>
  <c r="Y101" i="8"/>
  <c r="X101" i="8"/>
  <c r="W101" i="8"/>
  <c r="V101" i="8"/>
  <c r="U101" i="8"/>
  <c r="T101" i="8"/>
  <c r="S101" i="8"/>
  <c r="R101" i="8"/>
  <c r="Q101" i="8"/>
  <c r="P101" i="8"/>
  <c r="O101" i="8"/>
  <c r="N101" i="8"/>
  <c r="M101" i="8"/>
  <c r="L101" i="8"/>
  <c r="K101" i="8"/>
  <c r="J101" i="8"/>
  <c r="I101" i="8"/>
  <c r="H101" i="8"/>
  <c r="AN100" i="8"/>
  <c r="AM100" i="8"/>
  <c r="AL100" i="8"/>
  <c r="AK100" i="8"/>
  <c r="AJ100" i="8"/>
  <c r="AI100" i="8"/>
  <c r="AH100" i="8"/>
  <c r="AG100" i="8"/>
  <c r="AB100" i="8"/>
  <c r="AA100" i="8"/>
  <c r="Z100" i="8"/>
  <c r="Y100" i="8"/>
  <c r="X100" i="8"/>
  <c r="W100" i="8"/>
  <c r="V100" i="8"/>
  <c r="U100" i="8"/>
  <c r="T100" i="8"/>
  <c r="S100" i="8"/>
  <c r="R100" i="8"/>
  <c r="Q100" i="8"/>
  <c r="P100" i="8"/>
  <c r="O100" i="8"/>
  <c r="N100" i="8"/>
  <c r="M100" i="8"/>
  <c r="L100" i="8"/>
  <c r="K100" i="8"/>
  <c r="J100" i="8"/>
  <c r="I100" i="8"/>
  <c r="H100" i="8"/>
  <c r="AN99" i="8"/>
  <c r="AM99" i="8"/>
  <c r="AL99" i="8"/>
  <c r="AK99" i="8"/>
  <c r="AJ99" i="8"/>
  <c r="AI99" i="8"/>
  <c r="AH99" i="8"/>
  <c r="AG99" i="8"/>
  <c r="AB99" i="8"/>
  <c r="AA99" i="8"/>
  <c r="Z99" i="8"/>
  <c r="Y99" i="8"/>
  <c r="X99" i="8"/>
  <c r="W99" i="8"/>
  <c r="V99" i="8"/>
  <c r="U99" i="8"/>
  <c r="T99" i="8"/>
  <c r="S99" i="8"/>
  <c r="R99" i="8"/>
  <c r="Q99" i="8"/>
  <c r="P99" i="8"/>
  <c r="O99" i="8"/>
  <c r="N99" i="8"/>
  <c r="M99" i="8"/>
  <c r="L99" i="8"/>
  <c r="K99" i="8"/>
  <c r="J99" i="8"/>
  <c r="I99" i="8"/>
  <c r="H99" i="8"/>
  <c r="AJ98" i="8"/>
  <c r="AI98" i="8"/>
  <c r="AH98" i="8"/>
  <c r="AG98" i="8"/>
  <c r="AB98" i="8"/>
  <c r="AA98" i="8"/>
  <c r="Z98" i="8"/>
  <c r="Y98" i="8"/>
  <c r="X98" i="8"/>
  <c r="W98" i="8"/>
  <c r="V98" i="8"/>
  <c r="U98" i="8"/>
  <c r="T98" i="8"/>
  <c r="S98" i="8"/>
  <c r="R98" i="8"/>
  <c r="Q98" i="8"/>
  <c r="P98" i="8"/>
  <c r="O98" i="8"/>
  <c r="N98" i="8"/>
  <c r="M98" i="8"/>
  <c r="L98" i="8"/>
  <c r="K98" i="8"/>
  <c r="J98" i="8"/>
  <c r="I98" i="8"/>
  <c r="H98" i="8"/>
  <c r="AL97" i="8"/>
  <c r="AK97" i="8"/>
  <c r="AJ97" i="8"/>
  <c r="AI97" i="8"/>
  <c r="AH97" i="8"/>
  <c r="AG97" i="8"/>
  <c r="AB97" i="8"/>
  <c r="Z97" i="8"/>
  <c r="Y97" i="8"/>
  <c r="X97" i="8"/>
  <c r="W97" i="8"/>
  <c r="V97" i="8"/>
  <c r="U97" i="8"/>
  <c r="T97" i="8"/>
  <c r="S97" i="8"/>
  <c r="R97" i="8"/>
  <c r="Q97" i="8"/>
  <c r="P97" i="8"/>
  <c r="O97" i="8"/>
  <c r="N97" i="8"/>
  <c r="M97" i="8"/>
  <c r="L97" i="8"/>
  <c r="K97" i="8"/>
  <c r="J97" i="8"/>
  <c r="I97" i="8"/>
  <c r="H97" i="8"/>
  <c r="AL96" i="8"/>
  <c r="AK96" i="8"/>
  <c r="AJ96" i="8"/>
  <c r="AI96" i="8"/>
  <c r="AH96" i="8"/>
  <c r="AG96" i="8"/>
  <c r="AB96" i="8"/>
  <c r="AA96" i="8"/>
  <c r="Z96" i="8"/>
  <c r="Y96" i="8"/>
  <c r="X96" i="8"/>
  <c r="W96" i="8"/>
  <c r="V96" i="8"/>
  <c r="U96" i="8"/>
  <c r="T96" i="8"/>
  <c r="S96" i="8"/>
  <c r="R96" i="8"/>
  <c r="Q96" i="8"/>
  <c r="P96" i="8"/>
  <c r="O96" i="8"/>
  <c r="N96" i="8"/>
  <c r="M96" i="8"/>
  <c r="L96" i="8"/>
  <c r="K96" i="8"/>
  <c r="J96" i="8"/>
  <c r="I96" i="8"/>
  <c r="H96" i="8"/>
  <c r="AJ95" i="8"/>
  <c r="AI95" i="8"/>
  <c r="AH95" i="8"/>
  <c r="AG95" i="8"/>
  <c r="AB95" i="8"/>
  <c r="AA95" i="8"/>
  <c r="Z95" i="8"/>
  <c r="Y95" i="8"/>
  <c r="X95" i="8"/>
  <c r="W95" i="8"/>
  <c r="V95" i="8"/>
  <c r="U95" i="8"/>
  <c r="T95" i="8"/>
  <c r="S95" i="8"/>
  <c r="R95" i="8"/>
  <c r="Q95" i="8"/>
  <c r="P95" i="8"/>
  <c r="O95" i="8"/>
  <c r="N95" i="8"/>
  <c r="M95" i="8"/>
  <c r="L95" i="8"/>
  <c r="K95" i="8"/>
  <c r="J95" i="8"/>
  <c r="I95" i="8"/>
  <c r="H95" i="8"/>
  <c r="AH94" i="8"/>
  <c r="AG94" i="8"/>
  <c r="AB94" i="8"/>
  <c r="AA94" i="8"/>
  <c r="Z94" i="8"/>
  <c r="Y94" i="8"/>
  <c r="X94" i="8"/>
  <c r="W94" i="8"/>
  <c r="V94" i="8"/>
  <c r="U94" i="8"/>
  <c r="T94" i="8"/>
  <c r="S94" i="8"/>
  <c r="R94" i="8"/>
  <c r="Q94" i="8"/>
  <c r="P94" i="8"/>
  <c r="O94" i="8"/>
  <c r="N94" i="8"/>
  <c r="M94" i="8"/>
  <c r="L94" i="8"/>
  <c r="K94" i="8"/>
  <c r="J94" i="8"/>
  <c r="I94" i="8"/>
  <c r="H94" i="8"/>
  <c r="AG93" i="8"/>
  <c r="AB93" i="8"/>
  <c r="AA93" i="8"/>
  <c r="Z93" i="8"/>
  <c r="Y93" i="8"/>
  <c r="X93" i="8"/>
  <c r="W93" i="8"/>
  <c r="V93" i="8"/>
  <c r="U93" i="8"/>
  <c r="T93" i="8"/>
  <c r="S93" i="8"/>
  <c r="R93" i="8"/>
  <c r="Q93" i="8"/>
  <c r="P93" i="8"/>
  <c r="O93" i="8"/>
  <c r="N93" i="8"/>
  <c r="M93" i="8"/>
  <c r="L93" i="8"/>
  <c r="K93" i="8"/>
  <c r="J93" i="8"/>
  <c r="I93" i="8"/>
  <c r="H93" i="8"/>
  <c r="AJ92" i="8"/>
  <c r="AI92" i="8"/>
  <c r="AH92" i="8"/>
  <c r="AG92" i="8"/>
  <c r="AB92" i="8"/>
  <c r="AA92" i="8"/>
  <c r="Z92" i="8"/>
  <c r="Y92" i="8"/>
  <c r="X92" i="8"/>
  <c r="W92" i="8"/>
  <c r="V92" i="8"/>
  <c r="U92" i="8"/>
  <c r="T92" i="8"/>
  <c r="S92" i="8"/>
  <c r="R92" i="8"/>
  <c r="Q92" i="8"/>
  <c r="P92" i="8"/>
  <c r="O92" i="8"/>
  <c r="N92" i="8"/>
  <c r="M92" i="8"/>
  <c r="L92" i="8"/>
  <c r="K92" i="8"/>
  <c r="J92" i="8"/>
  <c r="I92" i="8"/>
  <c r="H92" i="8"/>
  <c r="AH91" i="8"/>
  <c r="AG91" i="8"/>
  <c r="AB91" i="8"/>
  <c r="AA91" i="8"/>
  <c r="Z91" i="8"/>
  <c r="Y91" i="8"/>
  <c r="X91" i="8"/>
  <c r="W91" i="8"/>
  <c r="V91" i="8"/>
  <c r="U91" i="8"/>
  <c r="T91" i="8"/>
  <c r="S91" i="8"/>
  <c r="R91" i="8"/>
  <c r="Q91" i="8"/>
  <c r="P91" i="8"/>
  <c r="O91" i="8"/>
  <c r="N91" i="8"/>
  <c r="M91" i="8"/>
  <c r="L91" i="8"/>
  <c r="K91" i="8"/>
  <c r="J91" i="8"/>
  <c r="I91" i="8"/>
  <c r="H91" i="8"/>
  <c r="AL90" i="8"/>
  <c r="AK90" i="8"/>
  <c r="AJ90" i="8"/>
  <c r="AI90" i="8"/>
  <c r="AH90" i="8"/>
  <c r="AG90" i="8"/>
  <c r="AB90" i="8"/>
  <c r="AA90" i="8"/>
  <c r="Z90" i="8"/>
  <c r="Y90" i="8"/>
  <c r="X90" i="8"/>
  <c r="W90" i="8"/>
  <c r="V90" i="8"/>
  <c r="U90" i="8"/>
  <c r="T90" i="8"/>
  <c r="S90" i="8"/>
  <c r="R90" i="8"/>
  <c r="Q90" i="8"/>
  <c r="P90" i="8"/>
  <c r="O90" i="8"/>
  <c r="N90" i="8"/>
  <c r="M90" i="8"/>
  <c r="L90" i="8"/>
  <c r="K90" i="8"/>
  <c r="J90" i="8"/>
  <c r="I90" i="8"/>
  <c r="H90" i="8"/>
  <c r="AJ89" i="8"/>
  <c r="AI89" i="8"/>
  <c r="AH89" i="8"/>
  <c r="AG89" i="8"/>
  <c r="AB89" i="8"/>
  <c r="AA89" i="8"/>
  <c r="Z89" i="8"/>
  <c r="Y89" i="8"/>
  <c r="X89" i="8"/>
  <c r="W89" i="8"/>
  <c r="V89" i="8"/>
  <c r="U89" i="8"/>
  <c r="T89" i="8"/>
  <c r="S89" i="8"/>
  <c r="R89" i="8"/>
  <c r="Q89" i="8"/>
  <c r="P89" i="8"/>
  <c r="O89" i="8"/>
  <c r="N89" i="8"/>
  <c r="M89" i="8"/>
  <c r="L89" i="8"/>
  <c r="K89" i="8"/>
  <c r="J89" i="8"/>
  <c r="I89" i="8"/>
  <c r="H89" i="8"/>
  <c r="AJ88" i="8"/>
  <c r="AI88" i="8"/>
  <c r="AH88" i="8"/>
  <c r="AG88" i="8"/>
  <c r="AB88" i="8"/>
  <c r="AA88" i="8"/>
  <c r="Z88" i="8"/>
  <c r="Y88" i="8"/>
  <c r="X88" i="8"/>
  <c r="W88" i="8"/>
  <c r="V88" i="8"/>
  <c r="U88" i="8"/>
  <c r="T88" i="8"/>
  <c r="S88" i="8"/>
  <c r="R88" i="8"/>
  <c r="Q88" i="8"/>
  <c r="P88" i="8"/>
  <c r="O88" i="8"/>
  <c r="N88" i="8"/>
  <c r="M88" i="8"/>
  <c r="L88" i="8"/>
  <c r="K88" i="8"/>
  <c r="J88" i="8"/>
  <c r="I88" i="8"/>
  <c r="H88" i="8"/>
  <c r="AJ87" i="8"/>
  <c r="AI87" i="8"/>
  <c r="AH87" i="8"/>
  <c r="AG87" i="8"/>
  <c r="AB87" i="8"/>
  <c r="AA87" i="8"/>
  <c r="Z87" i="8"/>
  <c r="Y87" i="8"/>
  <c r="X87" i="8"/>
  <c r="W87" i="8"/>
  <c r="V87" i="8"/>
  <c r="U87" i="8"/>
  <c r="T87" i="8"/>
  <c r="S87" i="8"/>
  <c r="R87" i="8"/>
  <c r="Q87" i="8"/>
  <c r="P87" i="8"/>
  <c r="O87" i="8"/>
  <c r="N87" i="8"/>
  <c r="M87" i="8"/>
  <c r="L87" i="8"/>
  <c r="K87" i="8"/>
  <c r="J87" i="8"/>
  <c r="I87" i="8"/>
  <c r="H87" i="8"/>
  <c r="AH86" i="8"/>
  <c r="AG86" i="8"/>
  <c r="AB86" i="8"/>
  <c r="AA86" i="8"/>
  <c r="Z86" i="8"/>
  <c r="Y86" i="8"/>
  <c r="X86" i="8"/>
  <c r="W86" i="8"/>
  <c r="V86" i="8"/>
  <c r="U86" i="8"/>
  <c r="T86" i="8"/>
  <c r="S86" i="8"/>
  <c r="R86" i="8"/>
  <c r="Q86" i="8"/>
  <c r="P86" i="8"/>
  <c r="O86" i="8"/>
  <c r="N86" i="8"/>
  <c r="M86" i="8"/>
  <c r="L86" i="8"/>
  <c r="K86" i="8"/>
  <c r="J86" i="8"/>
  <c r="I86" i="8"/>
  <c r="H86" i="8"/>
  <c r="AH85" i="8"/>
  <c r="AG85" i="8"/>
  <c r="AB85" i="8"/>
  <c r="AA85" i="8"/>
  <c r="Z85" i="8"/>
  <c r="Y85" i="8"/>
  <c r="X85" i="8"/>
  <c r="W85" i="8"/>
  <c r="V85" i="8"/>
  <c r="U85" i="8"/>
  <c r="T85" i="8"/>
  <c r="S85" i="8"/>
  <c r="R85" i="8"/>
  <c r="Q85" i="8"/>
  <c r="P85" i="8"/>
  <c r="O85" i="8"/>
  <c r="N85" i="8"/>
  <c r="M85" i="8"/>
  <c r="L85" i="8"/>
  <c r="K85" i="8"/>
  <c r="J85" i="8"/>
  <c r="I85" i="8"/>
  <c r="H85" i="8"/>
  <c r="AH84" i="8"/>
  <c r="AG84" i="8"/>
  <c r="AB84" i="8"/>
  <c r="AA84" i="8"/>
  <c r="Z84" i="8"/>
  <c r="Y84" i="8"/>
  <c r="X84" i="8"/>
  <c r="W84" i="8"/>
  <c r="V84" i="8"/>
  <c r="U84" i="8"/>
  <c r="T84" i="8"/>
  <c r="S84" i="8"/>
  <c r="R84" i="8"/>
  <c r="Q84" i="8"/>
  <c r="P84" i="8"/>
  <c r="O84" i="8"/>
  <c r="N84" i="8"/>
  <c r="M84" i="8"/>
  <c r="L84" i="8"/>
  <c r="K84" i="8"/>
  <c r="J84" i="8"/>
  <c r="I84" i="8"/>
  <c r="H84" i="8"/>
  <c r="AH83" i="8"/>
  <c r="AG83" i="8"/>
  <c r="AB83" i="8"/>
  <c r="AA83" i="8"/>
  <c r="Z83" i="8"/>
  <c r="Y83" i="8"/>
  <c r="X83" i="8"/>
  <c r="W83" i="8"/>
  <c r="V83" i="8"/>
  <c r="U83" i="8"/>
  <c r="T83" i="8"/>
  <c r="S83" i="8"/>
  <c r="R83" i="8"/>
  <c r="Q83" i="8"/>
  <c r="P83" i="8"/>
  <c r="O83" i="8"/>
  <c r="N83" i="8"/>
  <c r="M83" i="8"/>
  <c r="L83" i="8"/>
  <c r="K83" i="8"/>
  <c r="J83" i="8"/>
  <c r="I83" i="8"/>
  <c r="H83" i="8"/>
  <c r="AG82" i="8"/>
  <c r="AB82" i="8"/>
  <c r="AA82" i="8"/>
  <c r="Z82" i="8"/>
  <c r="Y82" i="8"/>
  <c r="X82" i="8"/>
  <c r="W82" i="8"/>
  <c r="V82" i="8"/>
  <c r="U82" i="8"/>
  <c r="T82" i="8"/>
  <c r="S82" i="8"/>
  <c r="R82" i="8"/>
  <c r="Q82" i="8"/>
  <c r="P82" i="8"/>
  <c r="O82" i="8"/>
  <c r="N82" i="8"/>
  <c r="M82" i="8"/>
  <c r="L82" i="8"/>
  <c r="K82" i="8"/>
  <c r="J82" i="8"/>
  <c r="I82" i="8"/>
  <c r="H82" i="8"/>
  <c r="AJ81" i="8"/>
  <c r="AI81" i="8"/>
  <c r="AH81" i="8"/>
  <c r="AG81" i="8"/>
  <c r="AB81" i="8"/>
  <c r="AA81" i="8"/>
  <c r="Z81" i="8"/>
  <c r="Y81" i="8"/>
  <c r="X81" i="8"/>
  <c r="W81" i="8"/>
  <c r="V81" i="8"/>
  <c r="U81" i="8"/>
  <c r="T81" i="8"/>
  <c r="S81" i="8"/>
  <c r="R81" i="8"/>
  <c r="Q81" i="8"/>
  <c r="P81" i="8"/>
  <c r="O81" i="8"/>
  <c r="N81" i="8"/>
  <c r="M81" i="8"/>
  <c r="L81" i="8"/>
  <c r="K81" i="8"/>
  <c r="J81" i="8"/>
  <c r="I81" i="8"/>
  <c r="H81" i="8"/>
  <c r="AH80" i="8"/>
  <c r="AG80" i="8"/>
  <c r="AB80" i="8"/>
  <c r="AA80" i="8"/>
  <c r="Z80" i="8"/>
  <c r="Y80" i="8"/>
  <c r="X80" i="8"/>
  <c r="W80" i="8"/>
  <c r="V80" i="8"/>
  <c r="U80" i="8"/>
  <c r="T80" i="8"/>
  <c r="S80" i="8"/>
  <c r="R80" i="8"/>
  <c r="Q80" i="8"/>
  <c r="P80" i="8"/>
  <c r="O80" i="8"/>
  <c r="N80" i="8"/>
  <c r="M80" i="8"/>
  <c r="L80" i="8"/>
  <c r="K80" i="8"/>
  <c r="J80" i="8"/>
  <c r="I80" i="8"/>
  <c r="H80" i="8"/>
  <c r="AH79" i="8"/>
  <c r="AG79" i="8"/>
  <c r="AB79" i="8"/>
  <c r="AA79" i="8"/>
  <c r="Z79" i="8"/>
  <c r="Y79" i="8"/>
  <c r="X79" i="8"/>
  <c r="W79" i="8"/>
  <c r="V79" i="8"/>
  <c r="U79" i="8"/>
  <c r="T79" i="8"/>
  <c r="S79" i="8"/>
  <c r="R79" i="8"/>
  <c r="Q79" i="8"/>
  <c r="P79" i="8"/>
  <c r="O79" i="8"/>
  <c r="N79" i="8"/>
  <c r="M79" i="8"/>
  <c r="L79" i="8"/>
  <c r="K79" i="8"/>
  <c r="J79" i="8"/>
  <c r="I79" i="8"/>
  <c r="H79" i="8"/>
  <c r="AJ78" i="8"/>
  <c r="AI78" i="8"/>
  <c r="AH78" i="8"/>
  <c r="AG78" i="8"/>
  <c r="AB78" i="8"/>
  <c r="AA78" i="8"/>
  <c r="Z78" i="8"/>
  <c r="Y78" i="8"/>
  <c r="X78" i="8"/>
  <c r="W78" i="8"/>
  <c r="V78" i="8"/>
  <c r="U78" i="8"/>
  <c r="T78" i="8"/>
  <c r="S78" i="8"/>
  <c r="R78" i="8"/>
  <c r="Q78" i="8"/>
  <c r="P78" i="8"/>
  <c r="O78" i="8"/>
  <c r="N78" i="8"/>
  <c r="M78" i="8"/>
  <c r="L78" i="8"/>
  <c r="K78" i="8"/>
  <c r="J78" i="8"/>
  <c r="I78" i="8"/>
  <c r="H78" i="8"/>
  <c r="AJ77" i="8"/>
  <c r="AI77" i="8"/>
  <c r="AH77" i="8"/>
  <c r="AG77" i="8"/>
  <c r="AB77" i="8"/>
  <c r="AA77" i="8"/>
  <c r="Z77" i="8"/>
  <c r="Y77" i="8"/>
  <c r="X77" i="8"/>
  <c r="W77" i="8"/>
  <c r="V77" i="8"/>
  <c r="U77" i="8"/>
  <c r="T77" i="8"/>
  <c r="S77" i="8"/>
  <c r="R77" i="8"/>
  <c r="Q77" i="8"/>
  <c r="P77" i="8"/>
  <c r="O77" i="8"/>
  <c r="N77" i="8"/>
  <c r="M77" i="8"/>
  <c r="L77" i="8"/>
  <c r="K77" i="8"/>
  <c r="J77" i="8"/>
  <c r="I77" i="8"/>
  <c r="H77" i="8"/>
  <c r="AL76" i="8"/>
  <c r="AK76" i="8"/>
  <c r="AJ76" i="8"/>
  <c r="AI76" i="8"/>
  <c r="AH76" i="8"/>
  <c r="AG76" i="8"/>
  <c r="AF76" i="8"/>
  <c r="AC76" i="8"/>
  <c r="AB76" i="8"/>
  <c r="AA76" i="8"/>
  <c r="Z76" i="8"/>
  <c r="Y76" i="8"/>
  <c r="X76" i="8"/>
  <c r="W76" i="8"/>
  <c r="V76" i="8"/>
  <c r="U76" i="8"/>
  <c r="T76" i="8"/>
  <c r="S76" i="8"/>
  <c r="R76" i="8"/>
  <c r="Q76" i="8"/>
  <c r="P76" i="8"/>
  <c r="O76" i="8"/>
  <c r="N76" i="8"/>
  <c r="M76" i="8"/>
  <c r="L76" i="8"/>
  <c r="K76" i="8"/>
  <c r="J76" i="8"/>
  <c r="I76" i="8"/>
  <c r="H76" i="8"/>
  <c r="AJ75" i="8"/>
  <c r="AI75" i="8"/>
  <c r="AH75" i="8"/>
  <c r="AG75" i="8"/>
  <c r="AB75" i="8"/>
  <c r="AA75" i="8"/>
  <c r="Z75" i="8"/>
  <c r="Y75" i="8"/>
  <c r="X75" i="8"/>
  <c r="W75" i="8"/>
  <c r="V75" i="8"/>
  <c r="U75" i="8"/>
  <c r="T75" i="8"/>
  <c r="S75" i="8"/>
  <c r="R75" i="8"/>
  <c r="Q75" i="8"/>
  <c r="P75" i="8"/>
  <c r="O75" i="8"/>
  <c r="N75" i="8"/>
  <c r="M75" i="8"/>
  <c r="L75" i="8"/>
  <c r="K75" i="8"/>
  <c r="J75" i="8"/>
  <c r="I75" i="8"/>
  <c r="H75" i="8"/>
  <c r="AJ74" i="8"/>
  <c r="AI74" i="8"/>
  <c r="AH74" i="8"/>
  <c r="AG74" i="8"/>
  <c r="AB74" i="8"/>
  <c r="AA74" i="8"/>
  <c r="Z74" i="8"/>
  <c r="Y74" i="8"/>
  <c r="X74" i="8"/>
  <c r="W74" i="8"/>
  <c r="V74" i="8"/>
  <c r="U74" i="8"/>
  <c r="T74" i="8"/>
  <c r="S74" i="8"/>
  <c r="R74" i="8"/>
  <c r="Q74" i="8"/>
  <c r="P74" i="8"/>
  <c r="O74" i="8"/>
  <c r="N74" i="8"/>
  <c r="M74" i="8"/>
  <c r="L74" i="8"/>
  <c r="K74" i="8"/>
  <c r="J74" i="8"/>
  <c r="I74" i="8"/>
  <c r="H74" i="8"/>
  <c r="AJ73" i="8"/>
  <c r="AI73" i="8"/>
  <c r="AH73" i="8"/>
  <c r="AG73" i="8"/>
  <c r="AB73" i="8"/>
  <c r="AA73" i="8"/>
  <c r="Z73" i="8"/>
  <c r="Y73" i="8"/>
  <c r="X73" i="8"/>
  <c r="W73" i="8"/>
  <c r="V73" i="8"/>
  <c r="U73" i="8"/>
  <c r="T73" i="8"/>
  <c r="S73" i="8"/>
  <c r="R73" i="8"/>
  <c r="Q73" i="8"/>
  <c r="P73" i="8"/>
  <c r="O73" i="8"/>
  <c r="N73" i="8"/>
  <c r="M73" i="8"/>
  <c r="L73" i="8"/>
  <c r="K73" i="8"/>
  <c r="J73" i="8"/>
  <c r="I73" i="8"/>
  <c r="H73" i="8"/>
  <c r="AG72" i="8"/>
  <c r="AB72" i="8"/>
  <c r="AA72" i="8"/>
  <c r="Z72" i="8"/>
  <c r="Y72" i="8"/>
  <c r="X72" i="8"/>
  <c r="W72" i="8"/>
  <c r="V72" i="8"/>
  <c r="U72" i="8"/>
  <c r="T72" i="8"/>
  <c r="S72" i="8"/>
  <c r="R72" i="8"/>
  <c r="Q72" i="8"/>
  <c r="P72" i="8"/>
  <c r="O72" i="8"/>
  <c r="N72" i="8"/>
  <c r="M72" i="8"/>
  <c r="L72" i="8"/>
  <c r="K72" i="8"/>
  <c r="J72" i="8"/>
  <c r="I72" i="8"/>
  <c r="H72" i="8"/>
  <c r="AH71" i="8"/>
  <c r="AG71" i="8"/>
  <c r="AB71" i="8"/>
  <c r="AA71" i="8"/>
  <c r="Z71" i="8"/>
  <c r="Y71" i="8"/>
  <c r="X71" i="8"/>
  <c r="W71" i="8"/>
  <c r="V71" i="8"/>
  <c r="U71" i="8"/>
  <c r="T71" i="8"/>
  <c r="S71" i="8"/>
  <c r="R71" i="8"/>
  <c r="Q71" i="8"/>
  <c r="P71" i="8"/>
  <c r="O71" i="8"/>
  <c r="N71" i="8"/>
  <c r="M71" i="8"/>
  <c r="L71" i="8"/>
  <c r="K71" i="8"/>
  <c r="J71" i="8"/>
  <c r="I71" i="8"/>
  <c r="H71" i="8"/>
  <c r="AG70" i="8"/>
  <c r="AB70" i="8"/>
  <c r="AA70" i="8"/>
  <c r="Z70" i="8"/>
  <c r="Y70" i="8"/>
  <c r="X70" i="8"/>
  <c r="W70" i="8"/>
  <c r="V70" i="8"/>
  <c r="U70" i="8"/>
  <c r="T70" i="8"/>
  <c r="S70" i="8"/>
  <c r="R70" i="8"/>
  <c r="Q70" i="8"/>
  <c r="P70" i="8"/>
  <c r="O70" i="8"/>
  <c r="N70" i="8"/>
  <c r="M70" i="8"/>
  <c r="L70" i="8"/>
  <c r="K70" i="8"/>
  <c r="J70" i="8"/>
  <c r="I70" i="8"/>
  <c r="H70" i="8"/>
  <c r="AH69" i="8"/>
  <c r="AG69" i="8"/>
  <c r="AF69" i="8"/>
  <c r="AD69" i="8"/>
  <c r="AC69" i="8"/>
  <c r="AB69" i="8"/>
  <c r="AA69" i="8"/>
  <c r="Z69" i="8"/>
  <c r="Y69" i="8"/>
  <c r="X69" i="8"/>
  <c r="W69" i="8"/>
  <c r="V69" i="8"/>
  <c r="U69" i="8"/>
  <c r="T69" i="8"/>
  <c r="S69" i="8"/>
  <c r="R69" i="8"/>
  <c r="Q69" i="8"/>
  <c r="P69" i="8"/>
  <c r="O69" i="8"/>
  <c r="N69" i="8"/>
  <c r="M69" i="8"/>
  <c r="L69" i="8"/>
  <c r="K69" i="8"/>
  <c r="J69" i="8"/>
  <c r="I69" i="8"/>
  <c r="H69" i="8"/>
  <c r="AL68" i="8"/>
  <c r="AK68" i="8"/>
  <c r="AJ68" i="8"/>
  <c r="AI68" i="8"/>
  <c r="AH68" i="8"/>
  <c r="AG68" i="8"/>
  <c r="AB68" i="8"/>
  <c r="AA68" i="8"/>
  <c r="Z68" i="8"/>
  <c r="Y68" i="8"/>
  <c r="X68" i="8"/>
  <c r="W68" i="8"/>
  <c r="V68" i="8"/>
  <c r="U68" i="8"/>
  <c r="T68" i="8"/>
  <c r="S68" i="8"/>
  <c r="R68" i="8"/>
  <c r="Q68" i="8"/>
  <c r="P68" i="8"/>
  <c r="O68" i="8"/>
  <c r="N68" i="8"/>
  <c r="M68" i="8"/>
  <c r="L68" i="8"/>
  <c r="K68" i="8"/>
  <c r="J68" i="8"/>
  <c r="I68" i="8"/>
  <c r="H68" i="8"/>
  <c r="AJ67" i="8"/>
  <c r="AI67" i="8"/>
  <c r="AH67" i="8"/>
  <c r="AG67" i="8"/>
  <c r="AB67" i="8"/>
  <c r="AA67" i="8"/>
  <c r="Z67" i="8"/>
  <c r="Y67" i="8"/>
  <c r="X67" i="8"/>
  <c r="W67" i="8"/>
  <c r="V67" i="8"/>
  <c r="U67" i="8"/>
  <c r="T67" i="8"/>
  <c r="S67" i="8"/>
  <c r="R67" i="8"/>
  <c r="Q67" i="8"/>
  <c r="P67" i="8"/>
  <c r="O67" i="8"/>
  <c r="N67" i="8"/>
  <c r="M67" i="8"/>
  <c r="L67" i="8"/>
  <c r="K67" i="8"/>
  <c r="J67" i="8"/>
  <c r="I67" i="8"/>
  <c r="H67" i="8"/>
  <c r="AH66" i="8"/>
  <c r="AG66" i="8"/>
  <c r="AB66" i="8"/>
  <c r="AA66" i="8"/>
  <c r="Z66" i="8"/>
  <c r="Y66" i="8"/>
  <c r="X66" i="8"/>
  <c r="W66" i="8"/>
  <c r="V66" i="8"/>
  <c r="U66" i="8"/>
  <c r="T66" i="8"/>
  <c r="S66" i="8"/>
  <c r="R66" i="8"/>
  <c r="Q66" i="8"/>
  <c r="P66" i="8"/>
  <c r="O66" i="8"/>
  <c r="N66" i="8"/>
  <c r="M66" i="8"/>
  <c r="L66" i="8"/>
  <c r="K66" i="8"/>
  <c r="J66" i="8"/>
  <c r="I66" i="8"/>
  <c r="H66" i="8"/>
  <c r="AH65" i="8"/>
  <c r="AG65" i="8"/>
  <c r="AB65" i="8"/>
  <c r="AA65" i="8"/>
  <c r="Z65" i="8"/>
  <c r="Y65" i="8"/>
  <c r="X65" i="8"/>
  <c r="W65" i="8"/>
  <c r="V65" i="8"/>
  <c r="U65" i="8"/>
  <c r="T65" i="8"/>
  <c r="S65" i="8"/>
  <c r="R65" i="8"/>
  <c r="Q65" i="8"/>
  <c r="P65" i="8"/>
  <c r="O65" i="8"/>
  <c r="N65" i="8"/>
  <c r="M65" i="8"/>
  <c r="L65" i="8"/>
  <c r="K65" i="8"/>
  <c r="J65" i="8"/>
  <c r="I65" i="8"/>
  <c r="H65" i="8"/>
  <c r="AH64" i="8"/>
  <c r="AG64" i="8"/>
  <c r="AB64" i="8"/>
  <c r="AA64" i="8"/>
  <c r="Z64" i="8"/>
  <c r="Y64" i="8"/>
  <c r="X64" i="8"/>
  <c r="W64" i="8"/>
  <c r="V64" i="8"/>
  <c r="U64" i="8"/>
  <c r="T64" i="8"/>
  <c r="S64" i="8"/>
  <c r="R64" i="8"/>
  <c r="Q64" i="8"/>
  <c r="P64" i="8"/>
  <c r="O64" i="8"/>
  <c r="N64" i="8"/>
  <c r="M64" i="8"/>
  <c r="L64" i="8"/>
  <c r="K64" i="8"/>
  <c r="J64" i="8"/>
  <c r="I64" i="8"/>
  <c r="H64" i="8"/>
  <c r="AG63" i="8"/>
  <c r="AB63" i="8"/>
  <c r="AA63" i="8"/>
  <c r="Z63" i="8"/>
  <c r="Y63" i="8"/>
  <c r="X63" i="8"/>
  <c r="W63" i="8"/>
  <c r="V63" i="8"/>
  <c r="U63" i="8"/>
  <c r="T63" i="8"/>
  <c r="S63" i="8"/>
  <c r="R63" i="8"/>
  <c r="Q63" i="8"/>
  <c r="P63" i="8"/>
  <c r="O63" i="8"/>
  <c r="N63" i="8"/>
  <c r="M63" i="8"/>
  <c r="L63" i="8"/>
  <c r="K63" i="8"/>
  <c r="J63" i="8"/>
  <c r="I63" i="8"/>
  <c r="H63" i="8"/>
  <c r="AJ62" i="8"/>
  <c r="AI62" i="8"/>
  <c r="AH62" i="8"/>
  <c r="AG62" i="8"/>
  <c r="AB62" i="8"/>
  <c r="AA62" i="8"/>
  <c r="Z62" i="8"/>
  <c r="Y62" i="8"/>
  <c r="X62" i="8"/>
  <c r="W62" i="8"/>
  <c r="V62" i="8"/>
  <c r="U62" i="8"/>
  <c r="T62" i="8"/>
  <c r="S62" i="8"/>
  <c r="R62" i="8"/>
  <c r="Q62" i="8"/>
  <c r="P62" i="8"/>
  <c r="O62" i="8"/>
  <c r="N62" i="8"/>
  <c r="M62" i="8"/>
  <c r="L62" i="8"/>
  <c r="K62" i="8"/>
  <c r="J62" i="8"/>
  <c r="I62" i="8"/>
  <c r="H62" i="8"/>
  <c r="AJ61" i="8"/>
  <c r="AI61" i="8"/>
  <c r="AH61" i="8"/>
  <c r="AG61" i="8"/>
  <c r="AB61" i="8"/>
  <c r="AA61" i="8"/>
  <c r="Z61" i="8"/>
  <c r="Y61" i="8"/>
  <c r="X61" i="8"/>
  <c r="W61" i="8"/>
  <c r="V61" i="8"/>
  <c r="U61" i="8"/>
  <c r="T61" i="8"/>
  <c r="S61" i="8"/>
  <c r="R61" i="8"/>
  <c r="Q61" i="8"/>
  <c r="P61" i="8"/>
  <c r="O61" i="8"/>
  <c r="N61" i="8"/>
  <c r="M61" i="8"/>
  <c r="L61" i="8"/>
  <c r="K61" i="8"/>
  <c r="J61" i="8"/>
  <c r="I61" i="8"/>
  <c r="H61" i="8"/>
  <c r="AH60" i="8"/>
  <c r="AG60" i="8"/>
  <c r="AB60" i="8"/>
  <c r="AA60" i="8"/>
  <c r="Z60" i="8"/>
  <c r="Y60" i="8"/>
  <c r="X60" i="8"/>
  <c r="W60" i="8"/>
  <c r="V60" i="8"/>
  <c r="U60" i="8"/>
  <c r="T60" i="8"/>
  <c r="S60" i="8"/>
  <c r="R60" i="8"/>
  <c r="Q60" i="8"/>
  <c r="P60" i="8"/>
  <c r="O60" i="8"/>
  <c r="N60" i="8"/>
  <c r="M60" i="8"/>
  <c r="L60" i="8"/>
  <c r="K60" i="8"/>
  <c r="J60" i="8"/>
  <c r="I60" i="8"/>
  <c r="H60" i="8"/>
  <c r="AJ59" i="8"/>
  <c r="AI59" i="8"/>
  <c r="AH59" i="8"/>
  <c r="AG59" i="8"/>
  <c r="AB59" i="8"/>
  <c r="AA59" i="8"/>
  <c r="Z59" i="8"/>
  <c r="Y59" i="8"/>
  <c r="X59" i="8"/>
  <c r="W59" i="8"/>
  <c r="V59" i="8"/>
  <c r="U59" i="8"/>
  <c r="T59" i="8"/>
  <c r="S59" i="8"/>
  <c r="R59" i="8"/>
  <c r="Q59" i="8"/>
  <c r="P59" i="8"/>
  <c r="O59" i="8"/>
  <c r="N59" i="8"/>
  <c r="M59" i="8"/>
  <c r="L59" i="8"/>
  <c r="K59" i="8"/>
  <c r="J59" i="8"/>
  <c r="I59" i="8"/>
  <c r="H59" i="8"/>
  <c r="AJ58" i="8"/>
  <c r="AI58" i="8"/>
  <c r="AH58" i="8"/>
  <c r="AG58" i="8"/>
  <c r="AB58" i="8"/>
  <c r="Z58" i="8"/>
  <c r="Y58" i="8"/>
  <c r="X58" i="8"/>
  <c r="V58" i="8"/>
  <c r="U58" i="8"/>
  <c r="T58" i="8"/>
  <c r="S58" i="8"/>
  <c r="R58" i="8"/>
  <c r="Q58" i="8"/>
  <c r="P58" i="8"/>
  <c r="O58" i="8"/>
  <c r="N58" i="8"/>
  <c r="M58" i="8"/>
  <c r="L58" i="8"/>
  <c r="K58" i="8"/>
  <c r="J58" i="8"/>
  <c r="I58" i="8"/>
  <c r="H58" i="8"/>
  <c r="AG57" i="8"/>
  <c r="AF57" i="8"/>
  <c r="AC57" i="8"/>
  <c r="AB57" i="8"/>
  <c r="AA57" i="8"/>
  <c r="Z57" i="8"/>
  <c r="Y57" i="8"/>
  <c r="X57" i="8"/>
  <c r="V57" i="8"/>
  <c r="U57" i="8"/>
  <c r="T57" i="8"/>
  <c r="S57" i="8"/>
  <c r="R57" i="8"/>
  <c r="Q57" i="8"/>
  <c r="P57" i="8"/>
  <c r="O57" i="8"/>
  <c r="N57" i="8"/>
  <c r="M57" i="8"/>
  <c r="L57" i="8"/>
  <c r="K57" i="8"/>
  <c r="J57" i="8"/>
  <c r="I57" i="8"/>
  <c r="H57" i="8"/>
  <c r="AJ56" i="8"/>
  <c r="AI56" i="8"/>
  <c r="AH56" i="8"/>
  <c r="AG56" i="8"/>
  <c r="AF56" i="8"/>
  <c r="AE56" i="8"/>
  <c r="AB56" i="8"/>
  <c r="Z56" i="8"/>
  <c r="Y56" i="8"/>
  <c r="X56" i="8"/>
  <c r="W56" i="8"/>
  <c r="V56" i="8"/>
  <c r="U56" i="8"/>
  <c r="T56" i="8"/>
  <c r="S56" i="8"/>
  <c r="R56" i="8"/>
  <c r="Q56" i="8"/>
  <c r="P56" i="8"/>
  <c r="O56" i="8"/>
  <c r="N56" i="8"/>
  <c r="M56" i="8"/>
  <c r="L56" i="8"/>
  <c r="K56" i="8"/>
  <c r="J56" i="8"/>
  <c r="I56" i="8"/>
  <c r="H56" i="8"/>
  <c r="AL55" i="8"/>
  <c r="AK55" i="8"/>
  <c r="AJ55" i="8"/>
  <c r="AI55" i="8"/>
  <c r="AH55" i="8"/>
  <c r="AG55" i="8"/>
  <c r="AB55" i="8"/>
  <c r="AA55" i="8"/>
  <c r="Z55" i="8"/>
  <c r="Y55" i="8"/>
  <c r="X55" i="8"/>
  <c r="W55" i="8"/>
  <c r="V55" i="8"/>
  <c r="U55" i="8"/>
  <c r="T55" i="8"/>
  <c r="S55" i="8"/>
  <c r="R55" i="8"/>
  <c r="Q55" i="8"/>
  <c r="P55" i="8"/>
  <c r="O55" i="8"/>
  <c r="N55" i="8"/>
  <c r="M55" i="8"/>
  <c r="L55" i="8"/>
  <c r="K55" i="8"/>
  <c r="J55" i="8"/>
  <c r="I55" i="8"/>
  <c r="H55" i="8"/>
  <c r="AJ54" i="8"/>
  <c r="AI54" i="8"/>
  <c r="AH54" i="8"/>
  <c r="AG54" i="8"/>
  <c r="AB54" i="8"/>
  <c r="AA54" i="8"/>
  <c r="Z54" i="8"/>
  <c r="Y54" i="8"/>
  <c r="X54" i="8"/>
  <c r="W54" i="8"/>
  <c r="V54" i="8"/>
  <c r="U54" i="8"/>
  <c r="T54" i="8"/>
  <c r="S54" i="8"/>
  <c r="R54" i="8"/>
  <c r="Q54" i="8"/>
  <c r="P54" i="8"/>
  <c r="O54" i="8"/>
  <c r="N54" i="8"/>
  <c r="M54" i="8"/>
  <c r="L54" i="8"/>
  <c r="K54" i="8"/>
  <c r="J54" i="8"/>
  <c r="I54" i="8"/>
  <c r="H54" i="8"/>
  <c r="AG53" i="8"/>
  <c r="AB53" i="8"/>
  <c r="AA53" i="8"/>
  <c r="Z53" i="8"/>
  <c r="Y53" i="8"/>
  <c r="X53" i="8"/>
  <c r="W53" i="8"/>
  <c r="V53" i="8"/>
  <c r="U53" i="8"/>
  <c r="T53" i="8"/>
  <c r="S53" i="8"/>
  <c r="R53" i="8"/>
  <c r="Q53" i="8"/>
  <c r="P53" i="8"/>
  <c r="O53" i="8"/>
  <c r="N53" i="8"/>
  <c r="M53" i="8"/>
  <c r="L53" i="8"/>
  <c r="K53" i="8"/>
  <c r="J53" i="8"/>
  <c r="I53" i="8"/>
  <c r="AH52" i="8"/>
  <c r="AG52" i="8"/>
  <c r="AB52" i="8"/>
  <c r="AA52" i="8"/>
  <c r="Z52" i="8"/>
  <c r="Y52" i="8"/>
  <c r="X52" i="8"/>
  <c r="W52" i="8"/>
  <c r="V52" i="8"/>
  <c r="U52" i="8"/>
  <c r="T52" i="8"/>
  <c r="S52" i="8"/>
  <c r="R52" i="8"/>
  <c r="Q52" i="8"/>
  <c r="P52" i="8"/>
  <c r="O52" i="8"/>
  <c r="N52" i="8"/>
  <c r="M52" i="8"/>
  <c r="L52" i="8"/>
  <c r="K52" i="8"/>
  <c r="J52" i="8"/>
  <c r="I52" i="8"/>
  <c r="H52" i="8"/>
  <c r="AH51" i="8"/>
  <c r="AG51" i="8"/>
  <c r="AB51" i="8"/>
  <c r="AA51" i="8"/>
  <c r="Z51" i="8"/>
  <c r="Y51" i="8"/>
  <c r="X51" i="8"/>
  <c r="W51" i="8"/>
  <c r="V51" i="8"/>
  <c r="U51" i="8"/>
  <c r="T51" i="8"/>
  <c r="S51" i="8"/>
  <c r="R51" i="8"/>
  <c r="Q51" i="8"/>
  <c r="P51" i="8"/>
  <c r="O51" i="8"/>
  <c r="N51" i="8"/>
  <c r="M51" i="8"/>
  <c r="L51" i="8"/>
  <c r="K51" i="8"/>
  <c r="J51" i="8"/>
  <c r="I51" i="8"/>
  <c r="H51" i="8"/>
  <c r="AH50" i="8"/>
  <c r="AG50" i="8"/>
  <c r="AB50" i="8"/>
  <c r="AA50" i="8"/>
  <c r="Z50" i="8"/>
  <c r="Y50" i="8"/>
  <c r="X50" i="8"/>
  <c r="W50" i="8"/>
  <c r="V50" i="8"/>
  <c r="U50" i="8"/>
  <c r="T50" i="8"/>
  <c r="S50" i="8"/>
  <c r="R50" i="8"/>
  <c r="Q50" i="8"/>
  <c r="P50" i="8"/>
  <c r="O50" i="8"/>
  <c r="N50" i="8"/>
  <c r="M50" i="8"/>
  <c r="L50" i="8"/>
  <c r="K50" i="8"/>
  <c r="J50" i="8"/>
  <c r="I50" i="8"/>
  <c r="H50" i="8"/>
  <c r="AL49" i="8"/>
  <c r="AK49" i="8"/>
  <c r="AJ49" i="8"/>
  <c r="AI49" i="8"/>
  <c r="AH49" i="8"/>
  <c r="AG49" i="8"/>
  <c r="AB49" i="8"/>
  <c r="AA49" i="8"/>
  <c r="Z49" i="8"/>
  <c r="Y49" i="8"/>
  <c r="X49" i="8"/>
  <c r="W49" i="8"/>
  <c r="V49" i="8"/>
  <c r="U49" i="8"/>
  <c r="T49" i="8"/>
  <c r="S49" i="8"/>
  <c r="R49" i="8"/>
  <c r="Q49" i="8"/>
  <c r="P49" i="8"/>
  <c r="O49" i="8"/>
  <c r="N49" i="8"/>
  <c r="M49" i="8"/>
  <c r="L49" i="8"/>
  <c r="K49" i="8"/>
  <c r="J49" i="8"/>
  <c r="I49" i="8"/>
  <c r="H49" i="8"/>
  <c r="AJ48" i="8"/>
  <c r="AI48" i="8"/>
  <c r="AH48" i="8"/>
  <c r="AG48" i="8"/>
  <c r="AB48" i="8"/>
  <c r="AA48" i="8"/>
  <c r="Z48" i="8"/>
  <c r="Y48" i="8"/>
  <c r="X48" i="8"/>
  <c r="W48" i="8"/>
  <c r="V48" i="8"/>
  <c r="U48" i="8"/>
  <c r="T48" i="8"/>
  <c r="S48" i="8"/>
  <c r="R48" i="8"/>
  <c r="Q48" i="8"/>
  <c r="P48" i="8"/>
  <c r="O48" i="8"/>
  <c r="N48" i="8"/>
  <c r="M48" i="8"/>
  <c r="L48" i="8"/>
  <c r="K48" i="8"/>
  <c r="J48" i="8"/>
  <c r="I48" i="8"/>
  <c r="H48" i="8"/>
  <c r="AJ47" i="8"/>
  <c r="AI47" i="8"/>
  <c r="AH47" i="8"/>
  <c r="AG47" i="8"/>
  <c r="AB47" i="8"/>
  <c r="Z47" i="8"/>
  <c r="Y47" i="8"/>
  <c r="X47" i="8"/>
  <c r="W47" i="8"/>
  <c r="V47" i="8"/>
  <c r="U47" i="8"/>
  <c r="T47" i="8"/>
  <c r="S47" i="8"/>
  <c r="R47" i="8"/>
  <c r="Q47" i="8"/>
  <c r="P47" i="8"/>
  <c r="O47" i="8"/>
  <c r="N47" i="8"/>
  <c r="M47" i="8"/>
  <c r="L47" i="8"/>
  <c r="K47" i="8"/>
  <c r="J47" i="8"/>
  <c r="I47" i="8"/>
  <c r="H47" i="8"/>
  <c r="AH46" i="8"/>
  <c r="AG46" i="8"/>
  <c r="AB46" i="8"/>
  <c r="AA46" i="8"/>
  <c r="Z46" i="8"/>
  <c r="Y46" i="8"/>
  <c r="X46" i="8"/>
  <c r="W46" i="8"/>
  <c r="V46" i="8"/>
  <c r="U46" i="8"/>
  <c r="T46" i="8"/>
  <c r="S46" i="8"/>
  <c r="R46" i="8"/>
  <c r="Q46" i="8"/>
  <c r="P46" i="8"/>
  <c r="O46" i="8"/>
  <c r="N46" i="8"/>
  <c r="M46" i="8"/>
  <c r="L46" i="8"/>
  <c r="K46" i="8"/>
  <c r="J46" i="8"/>
  <c r="I46" i="8"/>
  <c r="H46" i="8"/>
  <c r="AH45" i="8"/>
  <c r="AG45" i="8"/>
  <c r="AB45" i="8"/>
  <c r="AA45" i="8"/>
  <c r="Z45" i="8"/>
  <c r="Y45" i="8"/>
  <c r="X45" i="8"/>
  <c r="W45" i="8"/>
  <c r="V45" i="8"/>
  <c r="U45" i="8"/>
  <c r="T45" i="8"/>
  <c r="S45" i="8"/>
  <c r="R45" i="8"/>
  <c r="Q45" i="8"/>
  <c r="P45" i="8"/>
  <c r="O45" i="8"/>
  <c r="N45" i="8"/>
  <c r="M45" i="8"/>
  <c r="L45" i="8"/>
  <c r="K45" i="8"/>
  <c r="J45" i="8"/>
  <c r="I45" i="8"/>
  <c r="H45" i="8"/>
  <c r="AG44" i="8"/>
  <c r="AB44" i="8"/>
  <c r="AA44" i="8"/>
  <c r="Z44" i="8"/>
  <c r="Y44" i="8"/>
  <c r="X44" i="8"/>
  <c r="W44" i="8"/>
  <c r="V44" i="8"/>
  <c r="U44" i="8"/>
  <c r="T44" i="8"/>
  <c r="S44" i="8"/>
  <c r="R44" i="8"/>
  <c r="Q44" i="8"/>
  <c r="P44" i="8"/>
  <c r="O44" i="8"/>
  <c r="N44" i="8"/>
  <c r="M44" i="8"/>
  <c r="L44" i="8"/>
  <c r="K44" i="8"/>
  <c r="J44" i="8"/>
  <c r="I44" i="8"/>
  <c r="H44" i="8"/>
  <c r="AJ43" i="8"/>
  <c r="AI43" i="8"/>
  <c r="AH43" i="8"/>
  <c r="AG43" i="8"/>
  <c r="AF43" i="8"/>
  <c r="AC43" i="8"/>
  <c r="AB43" i="8"/>
  <c r="AA43" i="8"/>
  <c r="Z43" i="8"/>
  <c r="Y43" i="8"/>
  <c r="X43" i="8"/>
  <c r="W43" i="8"/>
  <c r="V43" i="8"/>
  <c r="U43" i="8"/>
  <c r="T43" i="8"/>
  <c r="S43" i="8"/>
  <c r="R43" i="8"/>
  <c r="Q43" i="8"/>
  <c r="P43" i="8"/>
  <c r="O43" i="8"/>
  <c r="N43" i="8"/>
  <c r="M43" i="8"/>
  <c r="L43" i="8"/>
  <c r="K43" i="8"/>
  <c r="J43" i="8"/>
  <c r="I43" i="8"/>
  <c r="H43" i="8"/>
  <c r="AJ42" i="8"/>
  <c r="AI42" i="8"/>
  <c r="AH42" i="8"/>
  <c r="AG42" i="8"/>
  <c r="AB42" i="8"/>
  <c r="AA42" i="8"/>
  <c r="Z42" i="8"/>
  <c r="Y42" i="8"/>
  <c r="X42" i="8"/>
  <c r="W42" i="8"/>
  <c r="V42" i="8"/>
  <c r="U42" i="8"/>
  <c r="T42" i="8"/>
  <c r="S42" i="8"/>
  <c r="R42" i="8"/>
  <c r="Q42" i="8"/>
  <c r="P42" i="8"/>
  <c r="O42" i="8"/>
  <c r="N42" i="8"/>
  <c r="M42" i="8"/>
  <c r="L42" i="8"/>
  <c r="K42" i="8"/>
  <c r="J42" i="8"/>
  <c r="I42" i="8"/>
  <c r="H42" i="8"/>
  <c r="AJ41" i="8"/>
  <c r="AI41" i="8"/>
  <c r="AH41" i="8"/>
  <c r="AG41" i="8"/>
  <c r="AB41" i="8"/>
  <c r="AA41" i="8"/>
  <c r="Z41" i="8"/>
  <c r="Y41" i="8"/>
  <c r="X41" i="8"/>
  <c r="W41" i="8"/>
  <c r="V41" i="8"/>
  <c r="U41" i="8"/>
  <c r="T41" i="8"/>
  <c r="S41" i="8"/>
  <c r="R41" i="8"/>
  <c r="Q41" i="8"/>
  <c r="P41" i="8"/>
  <c r="O41" i="8"/>
  <c r="N41" i="8"/>
  <c r="M41" i="8"/>
  <c r="L41" i="8"/>
  <c r="K41" i="8"/>
  <c r="J41" i="8"/>
  <c r="I41" i="8"/>
  <c r="H41" i="8"/>
  <c r="AH40" i="8"/>
  <c r="AG40" i="8"/>
  <c r="AB40" i="8"/>
  <c r="AA40" i="8"/>
  <c r="Z40" i="8"/>
  <c r="Y40" i="8"/>
  <c r="X40" i="8"/>
  <c r="W40" i="8"/>
  <c r="V40" i="8"/>
  <c r="U40" i="8"/>
  <c r="T40" i="8"/>
  <c r="S40" i="8"/>
  <c r="R40" i="8"/>
  <c r="Q40" i="8"/>
  <c r="P40" i="8"/>
  <c r="O40" i="8"/>
  <c r="N40" i="8"/>
  <c r="M40" i="8"/>
  <c r="L40" i="8"/>
  <c r="K40" i="8"/>
  <c r="J40" i="8"/>
  <c r="I40" i="8"/>
  <c r="H40" i="8"/>
  <c r="AH39" i="8"/>
  <c r="AG39" i="8"/>
  <c r="AB39" i="8"/>
  <c r="AA39" i="8"/>
  <c r="Z39" i="8"/>
  <c r="Y39" i="8"/>
  <c r="X39" i="8"/>
  <c r="W39" i="8"/>
  <c r="V39" i="8"/>
  <c r="U39" i="8"/>
  <c r="T39" i="8"/>
  <c r="S39" i="8"/>
  <c r="R39" i="8"/>
  <c r="Q39" i="8"/>
  <c r="P39" i="8"/>
  <c r="O39" i="8"/>
  <c r="N39" i="8"/>
  <c r="M39" i="8"/>
  <c r="L39" i="8"/>
  <c r="K39" i="8"/>
  <c r="J39" i="8"/>
  <c r="I39" i="8"/>
  <c r="H39" i="8"/>
  <c r="AH38" i="8"/>
  <c r="AG38" i="8"/>
  <c r="AB38" i="8"/>
  <c r="AA38" i="8"/>
  <c r="Z38" i="8"/>
  <c r="Y38" i="8"/>
  <c r="X38" i="8"/>
  <c r="W38" i="8"/>
  <c r="V38" i="8"/>
  <c r="U38" i="8"/>
  <c r="T38" i="8"/>
  <c r="S38" i="8"/>
  <c r="R38" i="8"/>
  <c r="Q38" i="8"/>
  <c r="P38" i="8"/>
  <c r="O38" i="8"/>
  <c r="N38" i="8"/>
  <c r="M38" i="8"/>
  <c r="L38" i="8"/>
  <c r="K38" i="8"/>
  <c r="J38" i="8"/>
  <c r="I38" i="8"/>
  <c r="H38" i="8"/>
  <c r="AH37" i="8"/>
  <c r="AG37" i="8"/>
  <c r="AB37" i="8"/>
  <c r="AA37" i="8"/>
  <c r="Z37" i="8"/>
  <c r="Y37" i="8"/>
  <c r="X37" i="8"/>
  <c r="V37" i="8"/>
  <c r="U37" i="8"/>
  <c r="T37" i="8"/>
  <c r="S37" i="8"/>
  <c r="R37" i="8"/>
  <c r="Q37" i="8"/>
  <c r="P37" i="8"/>
  <c r="O37" i="8"/>
  <c r="N37" i="8"/>
  <c r="M37" i="8"/>
  <c r="L37" i="8"/>
  <c r="K37" i="8"/>
  <c r="J37" i="8"/>
  <c r="I37" i="8"/>
  <c r="H37" i="8"/>
  <c r="AH36" i="8"/>
  <c r="AG36" i="8"/>
  <c r="AB36" i="8"/>
  <c r="AA36" i="8"/>
  <c r="Z36" i="8"/>
  <c r="Y36" i="8"/>
  <c r="X36" i="8"/>
  <c r="W36" i="8"/>
  <c r="V36" i="8"/>
  <c r="U36" i="8"/>
  <c r="T36" i="8"/>
  <c r="S36" i="8"/>
  <c r="R36" i="8"/>
  <c r="Q36" i="8"/>
  <c r="P36" i="8"/>
  <c r="O36" i="8"/>
  <c r="N36" i="8"/>
  <c r="M36" i="8"/>
  <c r="L36" i="8"/>
  <c r="K36" i="8"/>
  <c r="J36" i="8"/>
  <c r="I36" i="8"/>
  <c r="H36" i="8"/>
  <c r="AG35" i="8"/>
  <c r="AB35" i="8"/>
  <c r="AA35" i="8"/>
  <c r="Z35" i="8"/>
  <c r="Y35" i="8"/>
  <c r="X35" i="8"/>
  <c r="W35" i="8"/>
  <c r="V35" i="8"/>
  <c r="U35" i="8"/>
  <c r="T35" i="8"/>
  <c r="S35" i="8"/>
  <c r="R35" i="8"/>
  <c r="Q35" i="8"/>
  <c r="P35" i="8"/>
  <c r="O35" i="8"/>
  <c r="N35" i="8"/>
  <c r="M35" i="8"/>
  <c r="L35" i="8"/>
  <c r="K35" i="8"/>
  <c r="J35" i="8"/>
  <c r="I35" i="8"/>
  <c r="H35" i="8"/>
  <c r="AH34" i="8"/>
  <c r="AG34" i="8"/>
  <c r="AB34" i="8"/>
  <c r="AA34" i="8"/>
  <c r="Z34" i="8"/>
  <c r="Y34" i="8"/>
  <c r="X34" i="8"/>
  <c r="W34" i="8"/>
  <c r="V34" i="8"/>
  <c r="U34" i="8"/>
  <c r="T34" i="8"/>
  <c r="S34" i="8"/>
  <c r="R34" i="8"/>
  <c r="Q34" i="8"/>
  <c r="P34" i="8"/>
  <c r="O34" i="8"/>
  <c r="N34" i="8"/>
  <c r="M34" i="8"/>
  <c r="L34" i="8"/>
  <c r="K34" i="8"/>
  <c r="J34" i="8"/>
  <c r="I34" i="8"/>
  <c r="H34" i="8"/>
  <c r="AJ33" i="8"/>
  <c r="AI33" i="8"/>
  <c r="AH33" i="8"/>
  <c r="AG33" i="8"/>
  <c r="AB33" i="8"/>
  <c r="AA33" i="8"/>
  <c r="Z33" i="8"/>
  <c r="Y33" i="8"/>
  <c r="X33" i="8"/>
  <c r="W33" i="8"/>
  <c r="V33" i="8"/>
  <c r="U33" i="8"/>
  <c r="T33" i="8"/>
  <c r="S33" i="8"/>
  <c r="R33" i="8"/>
  <c r="Q33" i="8"/>
  <c r="P33" i="8"/>
  <c r="O33" i="8"/>
  <c r="N33" i="8"/>
  <c r="M33" i="8"/>
  <c r="L33" i="8"/>
  <c r="K33" i="8"/>
  <c r="J33" i="8"/>
  <c r="I33" i="8"/>
  <c r="H33" i="8"/>
  <c r="AH32" i="8"/>
  <c r="AG32" i="8"/>
  <c r="AB32" i="8"/>
  <c r="AA32" i="8"/>
  <c r="Z32" i="8"/>
  <c r="Y32" i="8"/>
  <c r="X32" i="8"/>
  <c r="W32" i="8"/>
  <c r="V32" i="8"/>
  <c r="U32" i="8"/>
  <c r="T32" i="8"/>
  <c r="S32" i="8"/>
  <c r="R32" i="8"/>
  <c r="Q32" i="8"/>
  <c r="P32" i="8"/>
  <c r="O32" i="8"/>
  <c r="N32" i="8"/>
  <c r="M32" i="8"/>
  <c r="L32" i="8"/>
  <c r="K32" i="8"/>
  <c r="J32" i="8"/>
  <c r="I32" i="8"/>
  <c r="H32" i="8"/>
  <c r="AL31" i="8"/>
  <c r="AK31" i="8"/>
  <c r="AJ31" i="8"/>
  <c r="AI31" i="8"/>
  <c r="AH31" i="8"/>
  <c r="AG31" i="8"/>
  <c r="AB31" i="8"/>
  <c r="AA31" i="8"/>
  <c r="Z31" i="8"/>
  <c r="Y31" i="8"/>
  <c r="X31" i="8"/>
  <c r="W31" i="8"/>
  <c r="V31" i="8"/>
  <c r="U31" i="8"/>
  <c r="T31" i="8"/>
  <c r="S31" i="8"/>
  <c r="R31" i="8"/>
  <c r="Q31" i="8"/>
  <c r="P31" i="8"/>
  <c r="O31" i="8"/>
  <c r="N31" i="8"/>
  <c r="M31" i="8"/>
  <c r="L31" i="8"/>
  <c r="K31" i="8"/>
  <c r="J31" i="8"/>
  <c r="I31" i="8"/>
  <c r="H31" i="8"/>
  <c r="AL30" i="8"/>
  <c r="AK30" i="8"/>
  <c r="AJ30" i="8"/>
  <c r="AI30" i="8"/>
  <c r="AH30" i="8"/>
  <c r="AG30" i="8"/>
  <c r="AB30" i="8"/>
  <c r="AA30" i="8"/>
  <c r="Z30" i="8"/>
  <c r="Y30" i="8"/>
  <c r="X30" i="8"/>
  <c r="W30" i="8"/>
  <c r="V30" i="8"/>
  <c r="U30" i="8"/>
  <c r="T30" i="8"/>
  <c r="S30" i="8"/>
  <c r="R30" i="8"/>
  <c r="Q30" i="8"/>
  <c r="P30" i="8"/>
  <c r="O30" i="8"/>
  <c r="N30" i="8"/>
  <c r="M30" i="8"/>
  <c r="L30" i="8"/>
  <c r="K30" i="8"/>
  <c r="J30" i="8"/>
  <c r="I30" i="8"/>
  <c r="H30" i="8"/>
  <c r="AJ29" i="8"/>
  <c r="AI29" i="8"/>
  <c r="AH29" i="8"/>
  <c r="AG29" i="8"/>
  <c r="AB29" i="8"/>
  <c r="AA29" i="8"/>
  <c r="Z29" i="8"/>
  <c r="Y29" i="8"/>
  <c r="X29" i="8"/>
  <c r="W29" i="8"/>
  <c r="V29" i="8"/>
  <c r="U29" i="8"/>
  <c r="T29" i="8"/>
  <c r="S29" i="8"/>
  <c r="R29" i="8"/>
  <c r="Q29" i="8"/>
  <c r="P29" i="8"/>
  <c r="O29" i="8"/>
  <c r="N29" i="8"/>
  <c r="M29" i="8"/>
  <c r="L29" i="8"/>
  <c r="K29" i="8"/>
  <c r="J29" i="8"/>
  <c r="I29" i="8"/>
  <c r="H29" i="8"/>
  <c r="AH28" i="8"/>
  <c r="AG28" i="8"/>
  <c r="AB28" i="8"/>
  <c r="AA28" i="8"/>
  <c r="Z28" i="8"/>
  <c r="Y28" i="8"/>
  <c r="X28" i="8"/>
  <c r="W28" i="8"/>
  <c r="V28" i="8"/>
  <c r="U28" i="8"/>
  <c r="T28" i="8"/>
  <c r="S28" i="8"/>
  <c r="R28" i="8"/>
  <c r="Q28" i="8"/>
  <c r="P28" i="8"/>
  <c r="O28" i="8"/>
  <c r="N28" i="8"/>
  <c r="M28" i="8"/>
  <c r="L28" i="8"/>
  <c r="K28" i="8"/>
  <c r="J28" i="8"/>
  <c r="I28" i="8"/>
  <c r="H28" i="8"/>
  <c r="AH27" i="8"/>
  <c r="AG27" i="8"/>
  <c r="AB27" i="8"/>
  <c r="AA27" i="8"/>
  <c r="Z27" i="8"/>
  <c r="Y27" i="8"/>
  <c r="X27" i="8"/>
  <c r="W27" i="8"/>
  <c r="V27" i="8"/>
  <c r="U27" i="8"/>
  <c r="T27" i="8"/>
  <c r="S27" i="8"/>
  <c r="R27" i="8"/>
  <c r="Q27" i="8"/>
  <c r="P27" i="8"/>
  <c r="O27" i="8"/>
  <c r="N27" i="8"/>
  <c r="M27" i="8"/>
  <c r="L27" i="8"/>
  <c r="K27" i="8"/>
  <c r="J27" i="8"/>
  <c r="I27" i="8"/>
  <c r="H27" i="8"/>
  <c r="AH26" i="8"/>
  <c r="AG26" i="8"/>
  <c r="AB26" i="8"/>
  <c r="AA26" i="8"/>
  <c r="Z26" i="8"/>
  <c r="Y26" i="8"/>
  <c r="X26" i="8"/>
  <c r="W26" i="8"/>
  <c r="V26" i="8"/>
  <c r="U26" i="8"/>
  <c r="T26" i="8"/>
  <c r="S26" i="8"/>
  <c r="R26" i="8"/>
  <c r="Q26" i="8"/>
  <c r="P26" i="8"/>
  <c r="O26" i="8"/>
  <c r="N26" i="8"/>
  <c r="M26" i="8"/>
  <c r="L26" i="8"/>
  <c r="K26" i="8"/>
  <c r="J26" i="8"/>
  <c r="I26" i="8"/>
  <c r="H26" i="8"/>
  <c r="AG25" i="8"/>
  <c r="AB25" i="8"/>
  <c r="AA25" i="8"/>
  <c r="Z25" i="8"/>
  <c r="Y25" i="8"/>
  <c r="X25" i="8"/>
  <c r="W25" i="8"/>
  <c r="V25" i="8"/>
  <c r="U25" i="8"/>
  <c r="T25" i="8"/>
  <c r="S25" i="8"/>
  <c r="R25" i="8"/>
  <c r="Q25" i="8"/>
  <c r="P25" i="8"/>
  <c r="O25" i="8"/>
  <c r="N25" i="8"/>
  <c r="M25" i="8"/>
  <c r="L25" i="8"/>
  <c r="K25" i="8"/>
  <c r="J25" i="8"/>
  <c r="I25" i="8"/>
  <c r="H25" i="8"/>
  <c r="AH24" i="8"/>
  <c r="AG24" i="8"/>
  <c r="AF24" i="8"/>
  <c r="AC24" i="8"/>
  <c r="AB24" i="8"/>
  <c r="AA24" i="8"/>
  <c r="Z24" i="8"/>
  <c r="Y24" i="8"/>
  <c r="X24" i="8"/>
  <c r="W24" i="8"/>
  <c r="V24" i="8"/>
  <c r="U24" i="8"/>
  <c r="T24" i="8"/>
  <c r="S24" i="8"/>
  <c r="R24" i="8"/>
  <c r="Q24" i="8"/>
  <c r="P24" i="8"/>
  <c r="O24" i="8"/>
  <c r="N24" i="8"/>
  <c r="M24" i="8"/>
  <c r="L24" i="8"/>
  <c r="K24" i="8"/>
  <c r="J24" i="8"/>
  <c r="I24" i="8"/>
  <c r="H24" i="8"/>
  <c r="AL23" i="8"/>
  <c r="AK23" i="8"/>
  <c r="AJ23" i="8"/>
  <c r="AI23" i="8"/>
  <c r="AH23" i="8"/>
  <c r="AG23" i="8"/>
  <c r="AB23" i="8"/>
  <c r="AA23" i="8"/>
  <c r="Z23" i="8"/>
  <c r="Y23" i="8"/>
  <c r="X23" i="8"/>
  <c r="W23" i="8"/>
  <c r="V23" i="8"/>
  <c r="U23" i="8"/>
  <c r="T23" i="8"/>
  <c r="S23" i="8"/>
  <c r="R23" i="8"/>
  <c r="Q23" i="8"/>
  <c r="P23" i="8"/>
  <c r="O23" i="8"/>
  <c r="N23" i="8"/>
  <c r="M23" i="8"/>
  <c r="L23" i="8"/>
  <c r="K23" i="8"/>
  <c r="J23" i="8"/>
  <c r="I23" i="8"/>
  <c r="H23" i="8"/>
  <c r="AJ22" i="8"/>
  <c r="AI22" i="8"/>
  <c r="AH22" i="8"/>
  <c r="AG22" i="8"/>
  <c r="AB22" i="8"/>
  <c r="AA22" i="8"/>
  <c r="Z22" i="8"/>
  <c r="Y22" i="8"/>
  <c r="X22" i="8"/>
  <c r="W22" i="8"/>
  <c r="V22" i="8"/>
  <c r="U22" i="8"/>
  <c r="T22" i="8"/>
  <c r="S22" i="8"/>
  <c r="R22" i="8"/>
  <c r="Q22" i="8"/>
  <c r="P22" i="8"/>
  <c r="O22" i="8"/>
  <c r="N22" i="8"/>
  <c r="M22" i="8"/>
  <c r="L22" i="8"/>
  <c r="K22" i="8"/>
  <c r="J22" i="8"/>
  <c r="I22" i="8"/>
  <c r="H22" i="8"/>
  <c r="AL21" i="8"/>
  <c r="AK21" i="8"/>
  <c r="AJ21" i="8"/>
  <c r="AI21" i="8"/>
  <c r="AH21" i="8"/>
  <c r="AG21" i="8"/>
  <c r="AB21" i="8"/>
  <c r="AA21" i="8"/>
  <c r="Z21" i="8"/>
  <c r="Y21" i="8"/>
  <c r="X21" i="8"/>
  <c r="W21" i="8"/>
  <c r="V21" i="8"/>
  <c r="U21" i="8"/>
  <c r="T21" i="8"/>
  <c r="S21" i="8"/>
  <c r="R21" i="8"/>
  <c r="Q21" i="8"/>
  <c r="P21" i="8"/>
  <c r="O21" i="8"/>
  <c r="N21" i="8"/>
  <c r="M21" i="8"/>
  <c r="L21" i="8"/>
  <c r="K21" i="8"/>
  <c r="J21" i="8"/>
  <c r="I21" i="8"/>
  <c r="H21" i="8"/>
  <c r="AJ20" i="8"/>
  <c r="AI20" i="8"/>
  <c r="AH20" i="8"/>
  <c r="AG20" i="8"/>
  <c r="AB20" i="8"/>
  <c r="AA20" i="8"/>
  <c r="Z20" i="8"/>
  <c r="Y20" i="8"/>
  <c r="X20" i="8"/>
  <c r="W20" i="8"/>
  <c r="V20" i="8"/>
  <c r="U20" i="8"/>
  <c r="T20" i="8"/>
  <c r="S20" i="8"/>
  <c r="R20" i="8"/>
  <c r="Q20" i="8"/>
  <c r="P20" i="8"/>
  <c r="O20" i="8"/>
  <c r="N20" i="8"/>
  <c r="M20" i="8"/>
  <c r="L20" i="8"/>
  <c r="K20" i="8"/>
  <c r="J20" i="8"/>
  <c r="I20" i="8"/>
  <c r="H20" i="8"/>
  <c r="AH19" i="8"/>
  <c r="AG19" i="8"/>
  <c r="AB19" i="8"/>
  <c r="AA19" i="8"/>
  <c r="Z19" i="8"/>
  <c r="Y19" i="8"/>
  <c r="X19" i="8"/>
  <c r="W19" i="8"/>
  <c r="V19" i="8"/>
  <c r="U19" i="8"/>
  <c r="T19" i="8"/>
  <c r="S19" i="8"/>
  <c r="R19" i="8"/>
  <c r="Q19" i="8"/>
  <c r="P19" i="8"/>
  <c r="O19" i="8"/>
  <c r="N19" i="8"/>
  <c r="M19" i="8"/>
  <c r="L19" i="8"/>
  <c r="K19" i="8"/>
  <c r="J19" i="8"/>
  <c r="I19" i="8"/>
  <c r="H19" i="8"/>
  <c r="AJ18" i="8"/>
  <c r="AI18" i="8"/>
  <c r="AH18" i="8"/>
  <c r="AG18" i="8"/>
  <c r="AB18" i="8"/>
  <c r="AA18" i="8"/>
  <c r="Z18" i="8"/>
  <c r="Y18" i="8"/>
  <c r="X18" i="8"/>
  <c r="W18" i="8"/>
  <c r="V18" i="8"/>
  <c r="U18" i="8"/>
  <c r="T18" i="8"/>
  <c r="S18" i="8"/>
  <c r="R18" i="8"/>
  <c r="Q18" i="8"/>
  <c r="P18" i="8"/>
  <c r="O18" i="8"/>
  <c r="N18" i="8"/>
  <c r="M18" i="8"/>
  <c r="L18" i="8"/>
  <c r="K18" i="8"/>
  <c r="J18" i="8"/>
  <c r="I18" i="8"/>
  <c r="H18" i="8"/>
  <c r="AJ17" i="8"/>
  <c r="AI17" i="8"/>
  <c r="AH17" i="8"/>
  <c r="AG17" i="8"/>
  <c r="AB17" i="8"/>
  <c r="AA17" i="8"/>
  <c r="Z17" i="8"/>
  <c r="Y17" i="8"/>
  <c r="X17" i="8"/>
  <c r="W17" i="8"/>
  <c r="V17" i="8"/>
  <c r="U17" i="8"/>
  <c r="T17" i="8"/>
  <c r="S17" i="8"/>
  <c r="R17" i="8"/>
  <c r="Q17" i="8"/>
  <c r="P17" i="8"/>
  <c r="O17" i="8"/>
  <c r="N17" i="8"/>
  <c r="M17" i="8"/>
  <c r="L17" i="8"/>
  <c r="K17" i="8"/>
  <c r="J17" i="8"/>
  <c r="I17" i="8"/>
  <c r="H17" i="8"/>
  <c r="AH16" i="8"/>
  <c r="AG16" i="8"/>
  <c r="AF16" i="8"/>
  <c r="AD16" i="8"/>
  <c r="AB16" i="8"/>
  <c r="AA16" i="8"/>
  <c r="Z16" i="8"/>
  <c r="Y16" i="8"/>
  <c r="X16" i="8"/>
  <c r="W16" i="8"/>
  <c r="V16" i="8"/>
  <c r="U16" i="8"/>
  <c r="T16" i="8"/>
  <c r="S16" i="8"/>
  <c r="R16" i="8"/>
  <c r="Q16" i="8"/>
  <c r="P16" i="8"/>
  <c r="O16" i="8"/>
  <c r="N16" i="8"/>
  <c r="M16" i="8"/>
  <c r="L16" i="8"/>
  <c r="K16" i="8"/>
  <c r="J16" i="8"/>
  <c r="I16" i="8"/>
  <c r="H16" i="8"/>
  <c r="AH15" i="8"/>
  <c r="AG15" i="8"/>
  <c r="AF15" i="8"/>
  <c r="AD15" i="8"/>
  <c r="AB15" i="8"/>
  <c r="AA15" i="8"/>
  <c r="Z15" i="8"/>
  <c r="Y15" i="8"/>
  <c r="X15" i="8"/>
  <c r="W15" i="8"/>
  <c r="V15" i="8"/>
  <c r="U15" i="8"/>
  <c r="T15" i="8"/>
  <c r="S15" i="8"/>
  <c r="R15" i="8"/>
  <c r="Q15" i="8"/>
  <c r="P15" i="8"/>
  <c r="O15" i="8"/>
  <c r="N15" i="8"/>
  <c r="M15" i="8"/>
  <c r="L15" i="8"/>
  <c r="K15" i="8"/>
  <c r="J15" i="8"/>
  <c r="I15" i="8"/>
  <c r="H15" i="8"/>
  <c r="AJ14" i="8"/>
  <c r="AI14" i="8"/>
  <c r="AH14" i="8"/>
  <c r="AG14" i="8"/>
  <c r="AB14" i="8"/>
  <c r="AA14" i="8"/>
  <c r="Z14" i="8"/>
  <c r="Y14" i="8"/>
  <c r="X14" i="8"/>
  <c r="W14" i="8"/>
  <c r="V14" i="8"/>
  <c r="U14" i="8"/>
  <c r="T14" i="8"/>
  <c r="S14" i="8"/>
  <c r="R14" i="8"/>
  <c r="Q14" i="8"/>
  <c r="P14" i="8"/>
  <c r="O14" i="8"/>
  <c r="N14" i="8"/>
  <c r="M14" i="8"/>
  <c r="L14" i="8"/>
  <c r="K14" i="8"/>
  <c r="J14" i="8"/>
  <c r="I14" i="8"/>
  <c r="H14" i="8"/>
  <c r="AH13" i="8"/>
  <c r="AG13" i="8"/>
  <c r="AB13" i="8"/>
  <c r="AA13" i="8"/>
  <c r="Z13" i="8"/>
  <c r="Y13" i="8"/>
  <c r="X13" i="8"/>
  <c r="W13" i="8"/>
  <c r="V13" i="8"/>
  <c r="U13" i="8"/>
  <c r="T13" i="8"/>
  <c r="S13" i="8"/>
  <c r="R13" i="8"/>
  <c r="Q13" i="8"/>
  <c r="P13" i="8"/>
  <c r="O13" i="8"/>
  <c r="N13" i="8"/>
  <c r="M13" i="8"/>
  <c r="L13" i="8"/>
  <c r="K13" i="8"/>
  <c r="J13" i="8"/>
  <c r="I13" i="8"/>
  <c r="H13" i="8"/>
  <c r="AG12" i="8"/>
  <c r="AB12" i="8"/>
  <c r="AA12" i="8"/>
  <c r="Z12" i="8"/>
  <c r="Y12" i="8"/>
  <c r="X12" i="8"/>
  <c r="W12" i="8"/>
  <c r="V12" i="8"/>
  <c r="U12" i="8"/>
  <c r="T12" i="8"/>
  <c r="S12" i="8"/>
  <c r="R12" i="8"/>
  <c r="Q12" i="8"/>
  <c r="P12" i="8"/>
  <c r="O12" i="8"/>
  <c r="N12" i="8"/>
  <c r="M12" i="8"/>
  <c r="L12" i="8"/>
  <c r="K12" i="8"/>
  <c r="J12" i="8"/>
  <c r="I12" i="8"/>
  <c r="H12" i="8"/>
  <c r="AN11" i="8"/>
  <c r="AM11" i="8"/>
  <c r="AL11" i="8"/>
  <c r="AK11" i="8"/>
  <c r="AJ11" i="8"/>
  <c r="AI11" i="8"/>
  <c r="AH11" i="8"/>
  <c r="AG11" i="8"/>
  <c r="AB11" i="8"/>
  <c r="AA11" i="8"/>
  <c r="Z11" i="8"/>
  <c r="Y11" i="8"/>
  <c r="X11" i="8"/>
  <c r="W11" i="8"/>
  <c r="V11" i="8"/>
  <c r="U11" i="8"/>
  <c r="T11" i="8"/>
  <c r="S11" i="8"/>
  <c r="R11" i="8"/>
  <c r="Q11" i="8"/>
  <c r="P11" i="8"/>
  <c r="O11" i="8"/>
  <c r="N11" i="8"/>
  <c r="M11" i="8"/>
  <c r="L11" i="8"/>
  <c r="K11" i="8"/>
  <c r="J11" i="8"/>
  <c r="I11" i="8"/>
  <c r="H11" i="8"/>
  <c r="AN10" i="8"/>
  <c r="AM10" i="8"/>
  <c r="AL10" i="8"/>
  <c r="AK10" i="8"/>
  <c r="AJ10" i="8"/>
  <c r="AI10" i="8"/>
  <c r="AH10" i="8"/>
  <c r="AG10" i="8"/>
  <c r="AB10" i="8"/>
  <c r="AA10" i="8"/>
  <c r="Z10" i="8"/>
  <c r="Y10" i="8"/>
  <c r="X10" i="8"/>
  <c r="W10" i="8"/>
  <c r="V10" i="8"/>
  <c r="U10" i="8"/>
  <c r="T10" i="8"/>
  <c r="S10" i="8"/>
  <c r="R10" i="8"/>
  <c r="Q10" i="8"/>
  <c r="P10" i="8"/>
  <c r="O10" i="8"/>
  <c r="N10" i="8"/>
  <c r="M10" i="8"/>
  <c r="L10" i="8"/>
  <c r="K10" i="8"/>
  <c r="J10" i="8"/>
  <c r="I10" i="8"/>
  <c r="H10" i="8"/>
  <c r="AN9" i="8"/>
  <c r="AM9" i="8"/>
  <c r="AL9" i="8"/>
  <c r="AK9" i="8"/>
  <c r="AJ9" i="8"/>
  <c r="AI9" i="8"/>
  <c r="AH9" i="8"/>
  <c r="AG9" i="8"/>
  <c r="AB9" i="8"/>
  <c r="AA9" i="8"/>
  <c r="Z9" i="8"/>
  <c r="Y9" i="8"/>
  <c r="X9" i="8"/>
  <c r="W9" i="8"/>
  <c r="V9" i="8"/>
  <c r="U9" i="8"/>
  <c r="T9" i="8"/>
  <c r="S9" i="8"/>
  <c r="R9" i="8"/>
  <c r="Q9" i="8"/>
  <c r="P9" i="8"/>
  <c r="O9" i="8"/>
  <c r="N9" i="8"/>
  <c r="M9" i="8"/>
  <c r="L9" i="8"/>
  <c r="K9" i="8"/>
  <c r="J9" i="8"/>
  <c r="I9" i="8"/>
  <c r="H9" i="8"/>
  <c r="AJ8" i="8"/>
  <c r="AI8" i="8"/>
  <c r="AH8" i="8"/>
  <c r="AG8" i="8"/>
  <c r="AB8" i="8"/>
  <c r="AA8" i="8"/>
  <c r="Z8" i="8"/>
  <c r="Y8" i="8"/>
  <c r="X8" i="8"/>
  <c r="W8" i="8"/>
  <c r="V8" i="8"/>
  <c r="U8" i="8"/>
  <c r="T8" i="8"/>
  <c r="S8" i="8"/>
  <c r="R8" i="8"/>
  <c r="Q8" i="8"/>
  <c r="P8" i="8"/>
  <c r="O8" i="8"/>
  <c r="N8" i="8"/>
  <c r="M8" i="8"/>
  <c r="L8" i="8"/>
  <c r="K8" i="8"/>
  <c r="J8" i="8"/>
  <c r="I8" i="8"/>
  <c r="H8" i="8"/>
  <c r="AJ7" i="8"/>
  <c r="AI7" i="8"/>
  <c r="AH7" i="8"/>
  <c r="AG7" i="8"/>
  <c r="AB7" i="8"/>
  <c r="AA7" i="8"/>
  <c r="Z7" i="8"/>
  <c r="Y7" i="8"/>
  <c r="X7" i="8"/>
  <c r="W7" i="8"/>
  <c r="V7" i="8"/>
  <c r="U7" i="8"/>
  <c r="T7" i="8"/>
  <c r="S7" i="8"/>
  <c r="R7" i="8"/>
  <c r="Q7" i="8"/>
  <c r="P7" i="8"/>
  <c r="O7" i="8"/>
  <c r="N7" i="8"/>
  <c r="M7" i="8"/>
  <c r="L7" i="8"/>
  <c r="K7" i="8"/>
  <c r="J7" i="8"/>
  <c r="I7" i="8"/>
  <c r="H7" i="8"/>
  <c r="AJ6" i="8"/>
  <c r="AI6" i="8"/>
  <c r="AH6" i="8"/>
  <c r="AG6" i="8"/>
  <c r="AB6" i="8"/>
  <c r="AA6" i="8"/>
  <c r="Z6" i="8"/>
  <c r="Y6" i="8"/>
  <c r="X6" i="8"/>
  <c r="W6" i="8"/>
  <c r="V6" i="8"/>
  <c r="U6" i="8"/>
  <c r="T6" i="8"/>
  <c r="S6" i="8"/>
  <c r="R6" i="8"/>
  <c r="Q6" i="8"/>
  <c r="P6" i="8"/>
  <c r="O6" i="8"/>
  <c r="N6" i="8"/>
  <c r="M6" i="8"/>
  <c r="L6" i="8"/>
  <c r="K6" i="8"/>
  <c r="J6" i="8"/>
  <c r="I6" i="8"/>
  <c r="H6" i="8"/>
  <c r="AJ5" i="8"/>
  <c r="AI5" i="8"/>
  <c r="AH5" i="8"/>
  <c r="AG5" i="8"/>
  <c r="AB5" i="8"/>
  <c r="AA5" i="8"/>
  <c r="Z5" i="8"/>
  <c r="Y5" i="8"/>
  <c r="X5" i="8"/>
  <c r="W5" i="8"/>
  <c r="V5" i="8"/>
  <c r="U5" i="8"/>
  <c r="T5" i="8"/>
  <c r="S5" i="8"/>
  <c r="R5" i="8"/>
  <c r="Q5" i="8"/>
  <c r="P5" i="8"/>
  <c r="O5" i="8"/>
  <c r="N5" i="8"/>
  <c r="M5" i="8"/>
  <c r="L5" i="8"/>
  <c r="K5" i="8"/>
  <c r="J5" i="8"/>
  <c r="I5" i="8"/>
  <c r="H5" i="8"/>
  <c r="AJ4" i="8"/>
  <c r="AI4" i="8"/>
  <c r="AH4" i="8"/>
  <c r="AG4" i="8"/>
  <c r="AB4" i="8"/>
  <c r="AA4" i="8"/>
  <c r="Z4" i="8"/>
  <c r="Y4" i="8"/>
  <c r="X4" i="8"/>
  <c r="W4" i="8"/>
  <c r="V4" i="8"/>
  <c r="U4" i="8"/>
  <c r="T4" i="8"/>
  <c r="S4" i="8"/>
  <c r="R4" i="8"/>
  <c r="Q4" i="8"/>
  <c r="P4" i="8"/>
  <c r="O4" i="8"/>
  <c r="N4" i="8"/>
  <c r="M4" i="8"/>
  <c r="L4" i="8"/>
  <c r="K4" i="8"/>
  <c r="J4" i="8"/>
  <c r="I4" i="8"/>
  <c r="H4" i="8"/>
  <c r="AJ3" i="8"/>
  <c r="AI3" i="8"/>
  <c r="AH3" i="8"/>
  <c r="AG3" i="8"/>
  <c r="AB3" i="8"/>
  <c r="Z3" i="8"/>
  <c r="Y3" i="8"/>
  <c r="X3" i="8"/>
  <c r="W3" i="8"/>
  <c r="V3" i="8"/>
  <c r="U3" i="8"/>
  <c r="T3" i="8"/>
  <c r="S3" i="8"/>
  <c r="R3" i="8"/>
  <c r="Q3" i="8"/>
  <c r="P3" i="8"/>
  <c r="O3" i="8"/>
  <c r="N3" i="8"/>
  <c r="M3" i="8"/>
  <c r="L3" i="8"/>
  <c r="K3" i="8"/>
  <c r="J3" i="8"/>
  <c r="I3" i="8"/>
  <c r="H3" i="8"/>
  <c r="AL2" i="8"/>
  <c r="AK2" i="8"/>
  <c r="AJ2" i="8"/>
  <c r="AI2" i="8"/>
  <c r="AH2" i="8"/>
  <c r="AG2" i="8"/>
  <c r="AB2" i="8"/>
  <c r="AA2" i="8"/>
  <c r="Z2" i="8"/>
  <c r="Y2" i="8"/>
  <c r="X2" i="8"/>
  <c r="W2" i="8"/>
  <c r="V2" i="8"/>
  <c r="U2" i="8"/>
  <c r="T2" i="8"/>
  <c r="S2" i="8"/>
  <c r="R2" i="8"/>
  <c r="Q2" i="8"/>
  <c r="P2" i="8"/>
  <c r="O2" i="8"/>
  <c r="N2" i="8"/>
  <c r="M2" i="8"/>
  <c r="L2" i="8"/>
  <c r="K2" i="8"/>
  <c r="J2" i="8"/>
  <c r="I2" i="8"/>
  <c r="H2" i="8"/>
  <c r="AH106" i="7"/>
  <c r="AG106" i="7"/>
  <c r="AB106" i="7"/>
  <c r="AA106" i="7"/>
  <c r="Z106" i="7"/>
  <c r="Y106" i="7"/>
  <c r="X106" i="7"/>
  <c r="W106" i="7"/>
  <c r="V106" i="7"/>
  <c r="U106" i="7"/>
  <c r="T106" i="7"/>
  <c r="S106" i="7"/>
  <c r="R106" i="7"/>
  <c r="Q106" i="7"/>
  <c r="P106" i="7"/>
  <c r="O106" i="7"/>
  <c r="N106" i="7"/>
  <c r="M106" i="7"/>
  <c r="L106" i="7"/>
  <c r="K106" i="7"/>
  <c r="J106" i="7"/>
  <c r="I106" i="7"/>
  <c r="AH105" i="7"/>
  <c r="AG105" i="7"/>
  <c r="AB105" i="7"/>
  <c r="AA105" i="7"/>
  <c r="Z105" i="7"/>
  <c r="Y105" i="7"/>
  <c r="X105" i="7"/>
  <c r="W105" i="7"/>
  <c r="V105" i="7"/>
  <c r="U105" i="7"/>
  <c r="T105" i="7"/>
  <c r="S105" i="7"/>
  <c r="R105" i="7"/>
  <c r="Q105" i="7"/>
  <c r="P105" i="7"/>
  <c r="O105" i="7"/>
  <c r="N105" i="7"/>
  <c r="M105" i="7"/>
  <c r="L105" i="7"/>
  <c r="K105" i="7"/>
  <c r="J105" i="7"/>
  <c r="I105" i="7"/>
  <c r="AJ104" i="7"/>
  <c r="AI104" i="7"/>
  <c r="AH104" i="7"/>
  <c r="AG104" i="7"/>
  <c r="AB104" i="7"/>
  <c r="AA104" i="7"/>
  <c r="Z104" i="7"/>
  <c r="Y104" i="7"/>
  <c r="X104" i="7"/>
  <c r="W104" i="7"/>
  <c r="V104" i="7"/>
  <c r="U104" i="7"/>
  <c r="T104" i="7"/>
  <c r="S104" i="7"/>
  <c r="R104" i="7"/>
  <c r="Q104" i="7"/>
  <c r="P104" i="7"/>
  <c r="O104" i="7"/>
  <c r="N104" i="7"/>
  <c r="M104" i="7"/>
  <c r="L104" i="7"/>
  <c r="K104" i="7"/>
  <c r="J104" i="7"/>
  <c r="I104" i="7"/>
  <c r="AJ103" i="7"/>
  <c r="AI103" i="7"/>
  <c r="AH103" i="7"/>
  <c r="AG103" i="7"/>
  <c r="AB103" i="7"/>
  <c r="AA103" i="7"/>
  <c r="Z103" i="7"/>
  <c r="Y103" i="7"/>
  <c r="X103" i="7"/>
  <c r="W103" i="7"/>
  <c r="V103" i="7"/>
  <c r="U103" i="7"/>
  <c r="T103" i="7"/>
  <c r="S103" i="7"/>
  <c r="R103" i="7"/>
  <c r="Q103" i="7"/>
  <c r="P103" i="7"/>
  <c r="O103" i="7"/>
  <c r="N103" i="7"/>
  <c r="M103" i="7"/>
  <c r="L103" i="7"/>
  <c r="K103" i="7"/>
  <c r="J103" i="7"/>
  <c r="I103" i="7"/>
  <c r="AL102" i="7"/>
  <c r="AK102" i="7"/>
  <c r="AJ102" i="7"/>
  <c r="AI102" i="7"/>
  <c r="AH102" i="7"/>
  <c r="AG102" i="7"/>
  <c r="AB102" i="7"/>
  <c r="AA102" i="7"/>
  <c r="Z102" i="7"/>
  <c r="Y102" i="7"/>
  <c r="X102" i="7"/>
  <c r="W102" i="7"/>
  <c r="V102" i="7"/>
  <c r="U102" i="7"/>
  <c r="T102" i="7"/>
  <c r="S102" i="7"/>
  <c r="R102" i="7"/>
  <c r="Q102" i="7"/>
  <c r="P102" i="7"/>
  <c r="O102" i="7"/>
  <c r="N102" i="7"/>
  <c r="M102" i="7"/>
  <c r="L102" i="7"/>
  <c r="K102" i="7"/>
  <c r="J102" i="7"/>
  <c r="I102" i="7"/>
  <c r="AL101" i="7"/>
  <c r="AK101" i="7"/>
  <c r="AJ101" i="7"/>
  <c r="AI101" i="7"/>
  <c r="AH101" i="7"/>
  <c r="AG101" i="7"/>
  <c r="AB101" i="7"/>
  <c r="AA101" i="7"/>
  <c r="Z101" i="7"/>
  <c r="Y101" i="7"/>
  <c r="X101" i="7"/>
  <c r="W101" i="7"/>
  <c r="V101" i="7"/>
  <c r="U101" i="7"/>
  <c r="T101" i="7"/>
  <c r="S101" i="7"/>
  <c r="R101" i="7"/>
  <c r="Q101" i="7"/>
  <c r="P101" i="7"/>
  <c r="O101" i="7"/>
  <c r="N101" i="7"/>
  <c r="M101" i="7"/>
  <c r="L101" i="7"/>
  <c r="K101" i="7"/>
  <c r="J101" i="7"/>
  <c r="I101" i="7"/>
  <c r="AL100" i="7"/>
  <c r="AK100" i="7"/>
  <c r="AJ100" i="7"/>
  <c r="AI100" i="7"/>
  <c r="AH100" i="7"/>
  <c r="AG100" i="7"/>
  <c r="AB100" i="7"/>
  <c r="AA100" i="7"/>
  <c r="Z100" i="7"/>
  <c r="Y100" i="7"/>
  <c r="X100" i="7"/>
  <c r="W100" i="7"/>
  <c r="V100" i="7"/>
  <c r="U100" i="7"/>
  <c r="T100" i="7"/>
  <c r="S100" i="7"/>
  <c r="R100" i="7"/>
  <c r="Q100" i="7"/>
  <c r="P100" i="7"/>
  <c r="O100" i="7"/>
  <c r="N100" i="7"/>
  <c r="M100" i="7"/>
  <c r="L100" i="7"/>
  <c r="K100" i="7"/>
  <c r="J100" i="7"/>
  <c r="I100" i="7"/>
  <c r="AG99" i="7"/>
  <c r="AB99" i="7"/>
  <c r="AA99" i="7"/>
  <c r="Z99" i="7"/>
  <c r="Y99" i="7"/>
  <c r="X99" i="7"/>
  <c r="W99" i="7"/>
  <c r="V99" i="7"/>
  <c r="U99" i="7"/>
  <c r="T99" i="7"/>
  <c r="S99" i="7"/>
  <c r="R99" i="7"/>
  <c r="Q99" i="7"/>
  <c r="P99" i="7"/>
  <c r="O99" i="7"/>
  <c r="N99" i="7"/>
  <c r="M99" i="7"/>
  <c r="L99" i="7"/>
  <c r="K99" i="7"/>
  <c r="J99" i="7"/>
  <c r="I99" i="7"/>
  <c r="AH98" i="7"/>
  <c r="AG98" i="7"/>
  <c r="AB98" i="7"/>
  <c r="AA98" i="7"/>
  <c r="Z98" i="7"/>
  <c r="Y98" i="7"/>
  <c r="X98" i="7"/>
  <c r="W98" i="7"/>
  <c r="V98" i="7"/>
  <c r="U98" i="7"/>
  <c r="T98" i="7"/>
  <c r="S98" i="7"/>
  <c r="R98" i="7"/>
  <c r="Q98" i="7"/>
  <c r="P98" i="7"/>
  <c r="O98" i="7"/>
  <c r="N98" i="7"/>
  <c r="M98" i="7"/>
  <c r="L98" i="7"/>
  <c r="K98" i="7"/>
  <c r="J98" i="7"/>
  <c r="I98" i="7"/>
  <c r="AG97" i="7"/>
  <c r="AB97" i="7"/>
  <c r="AA97" i="7"/>
  <c r="Z97" i="7"/>
  <c r="Y97" i="7"/>
  <c r="X97" i="7"/>
  <c r="W97" i="7"/>
  <c r="V97" i="7"/>
  <c r="U97" i="7"/>
  <c r="T97" i="7"/>
  <c r="S97" i="7"/>
  <c r="R97" i="7"/>
  <c r="Q97" i="7"/>
  <c r="P97" i="7"/>
  <c r="O97" i="7"/>
  <c r="N97" i="7"/>
  <c r="M97" i="7"/>
  <c r="L97" i="7"/>
  <c r="K97" i="7"/>
  <c r="J97" i="7"/>
  <c r="I97" i="7"/>
  <c r="AG96" i="7"/>
  <c r="AB96" i="7"/>
  <c r="AA96" i="7"/>
  <c r="Z96" i="7"/>
  <c r="Y96" i="7"/>
  <c r="X96" i="7"/>
  <c r="W96" i="7"/>
  <c r="V96" i="7"/>
  <c r="U96" i="7"/>
  <c r="T96" i="7"/>
  <c r="S96" i="7"/>
  <c r="R96" i="7"/>
  <c r="Q96" i="7"/>
  <c r="P96" i="7"/>
  <c r="O96" i="7"/>
  <c r="N96" i="7"/>
  <c r="M96" i="7"/>
  <c r="L96" i="7"/>
  <c r="K96" i="7"/>
  <c r="J96" i="7"/>
  <c r="I96" i="7"/>
  <c r="AH95" i="7"/>
  <c r="AG95" i="7"/>
  <c r="AB95" i="7"/>
  <c r="AA95" i="7"/>
  <c r="Z95" i="7"/>
  <c r="Y95" i="7"/>
  <c r="X95" i="7"/>
  <c r="W95" i="7"/>
  <c r="V95" i="7"/>
  <c r="U95" i="7"/>
  <c r="T95" i="7"/>
  <c r="S95" i="7"/>
  <c r="R95" i="7"/>
  <c r="Q95" i="7"/>
  <c r="P95" i="7"/>
  <c r="O95" i="7"/>
  <c r="N95" i="7"/>
  <c r="M95" i="7"/>
  <c r="L95" i="7"/>
  <c r="K95" i="7"/>
  <c r="J95" i="7"/>
  <c r="I95" i="7"/>
  <c r="AG94" i="7"/>
  <c r="AB94" i="7"/>
  <c r="AA94" i="7"/>
  <c r="Z94" i="7"/>
  <c r="Y94" i="7"/>
  <c r="X94" i="7"/>
  <c r="W94" i="7"/>
  <c r="V94" i="7"/>
  <c r="U94" i="7"/>
  <c r="T94" i="7"/>
  <c r="S94" i="7"/>
  <c r="R94" i="7"/>
  <c r="Q94" i="7"/>
  <c r="P94" i="7"/>
  <c r="O94" i="7"/>
  <c r="N94" i="7"/>
  <c r="M94" i="7"/>
  <c r="L94" i="7"/>
  <c r="K94" i="7"/>
  <c r="J94" i="7"/>
  <c r="I94" i="7"/>
  <c r="AL93" i="7"/>
  <c r="AK93" i="7"/>
  <c r="AJ93" i="7"/>
  <c r="AI93" i="7"/>
  <c r="AH93" i="7"/>
  <c r="AG93" i="7"/>
  <c r="AB93" i="7"/>
  <c r="AA93" i="7"/>
  <c r="Z93" i="7"/>
  <c r="Y93" i="7"/>
  <c r="X93" i="7"/>
  <c r="W93" i="7"/>
  <c r="V93" i="7"/>
  <c r="U93" i="7"/>
  <c r="T93" i="7"/>
  <c r="S93" i="7"/>
  <c r="R93" i="7"/>
  <c r="Q93" i="7"/>
  <c r="P93" i="7"/>
  <c r="O93" i="7"/>
  <c r="N93" i="7"/>
  <c r="M93" i="7"/>
  <c r="L93" i="7"/>
  <c r="K93" i="7"/>
  <c r="J93" i="7"/>
  <c r="I93" i="7"/>
  <c r="AL92" i="7"/>
  <c r="AK92" i="7"/>
  <c r="AJ92" i="7"/>
  <c r="AI92" i="7"/>
  <c r="AH92" i="7"/>
  <c r="AG92" i="7"/>
  <c r="AB92" i="7"/>
  <c r="AA92" i="7"/>
  <c r="Z92" i="7"/>
  <c r="Y92" i="7"/>
  <c r="X92" i="7"/>
  <c r="W92" i="7"/>
  <c r="V92" i="7"/>
  <c r="U92" i="7"/>
  <c r="T92" i="7"/>
  <c r="S92" i="7"/>
  <c r="R92" i="7"/>
  <c r="Q92" i="7"/>
  <c r="P92" i="7"/>
  <c r="O92" i="7"/>
  <c r="N92" i="7"/>
  <c r="M92" i="7"/>
  <c r="L92" i="7"/>
  <c r="K92" i="7"/>
  <c r="J92" i="7"/>
  <c r="I92" i="7"/>
  <c r="AH91" i="7"/>
  <c r="AG91" i="7"/>
  <c r="AB91" i="7"/>
  <c r="AA91" i="7"/>
  <c r="Z91" i="7"/>
  <c r="Y91" i="7"/>
  <c r="X91" i="7"/>
  <c r="W91" i="7"/>
  <c r="V91" i="7"/>
  <c r="U91" i="7"/>
  <c r="T91" i="7"/>
  <c r="S91" i="7"/>
  <c r="R91" i="7"/>
  <c r="Q91" i="7"/>
  <c r="P91" i="7"/>
  <c r="O91" i="7"/>
  <c r="N91" i="7"/>
  <c r="M91" i="7"/>
  <c r="L91" i="7"/>
  <c r="K91" i="7"/>
  <c r="J91" i="7"/>
  <c r="I91" i="7"/>
  <c r="AG90" i="7"/>
  <c r="AB90" i="7"/>
  <c r="AA90" i="7"/>
  <c r="Z90" i="7"/>
  <c r="Y90" i="7"/>
  <c r="X90" i="7"/>
  <c r="W90" i="7"/>
  <c r="V90" i="7"/>
  <c r="U90" i="7"/>
  <c r="T90" i="7"/>
  <c r="S90" i="7"/>
  <c r="R90" i="7"/>
  <c r="Q90" i="7"/>
  <c r="P90" i="7"/>
  <c r="O90" i="7"/>
  <c r="N90" i="7"/>
  <c r="M90" i="7"/>
  <c r="L90" i="7"/>
  <c r="K90" i="7"/>
  <c r="J90" i="7"/>
  <c r="I90" i="7"/>
  <c r="AG89" i="7"/>
  <c r="AB89" i="7"/>
  <c r="AA89" i="7"/>
  <c r="Z89" i="7"/>
  <c r="Y89" i="7"/>
  <c r="X89" i="7"/>
  <c r="W89" i="7"/>
  <c r="V89" i="7"/>
  <c r="U89" i="7"/>
  <c r="T89" i="7"/>
  <c r="S89" i="7"/>
  <c r="R89" i="7"/>
  <c r="Q89" i="7"/>
  <c r="P89" i="7"/>
  <c r="O89" i="7"/>
  <c r="N89" i="7"/>
  <c r="M89" i="7"/>
  <c r="L89" i="7"/>
  <c r="K89" i="7"/>
  <c r="J89" i="7"/>
  <c r="I89" i="7"/>
  <c r="AH88" i="7"/>
  <c r="AG88" i="7"/>
  <c r="AB88" i="7"/>
  <c r="AA88" i="7"/>
  <c r="Z88" i="7"/>
  <c r="Y88" i="7"/>
  <c r="X88" i="7"/>
  <c r="W88" i="7"/>
  <c r="V88" i="7"/>
  <c r="U88" i="7"/>
  <c r="T88" i="7"/>
  <c r="S88" i="7"/>
  <c r="R88" i="7"/>
  <c r="Q88" i="7"/>
  <c r="P88" i="7"/>
  <c r="O88" i="7"/>
  <c r="N88" i="7"/>
  <c r="M88" i="7"/>
  <c r="L88" i="7"/>
  <c r="K88" i="7"/>
  <c r="J88" i="7"/>
  <c r="I88" i="7"/>
  <c r="AJ87" i="7"/>
  <c r="AI87" i="7"/>
  <c r="AH87" i="7"/>
  <c r="AG87" i="7"/>
  <c r="AB87" i="7"/>
  <c r="AA87" i="7"/>
  <c r="Z87" i="7"/>
  <c r="Y87" i="7"/>
  <c r="X87" i="7"/>
  <c r="W87" i="7"/>
  <c r="V87" i="7"/>
  <c r="U87" i="7"/>
  <c r="T87" i="7"/>
  <c r="S87" i="7"/>
  <c r="R87" i="7"/>
  <c r="Q87" i="7"/>
  <c r="P87" i="7"/>
  <c r="O87" i="7"/>
  <c r="N87" i="7"/>
  <c r="M87" i="7"/>
  <c r="L87" i="7"/>
  <c r="K87" i="7"/>
  <c r="J87" i="7"/>
  <c r="I87" i="7"/>
  <c r="AG86" i="7"/>
  <c r="AB86" i="7"/>
  <c r="AA86" i="7"/>
  <c r="Z86" i="7"/>
  <c r="Y86" i="7"/>
  <c r="X86" i="7"/>
  <c r="W86" i="7"/>
  <c r="V86" i="7"/>
  <c r="U86" i="7"/>
  <c r="T86" i="7"/>
  <c r="S86" i="7"/>
  <c r="R86" i="7"/>
  <c r="Q86" i="7"/>
  <c r="P86" i="7"/>
  <c r="O86" i="7"/>
  <c r="N86" i="7"/>
  <c r="M86" i="7"/>
  <c r="L86" i="7"/>
  <c r="K86" i="7"/>
  <c r="J86" i="7"/>
  <c r="I86" i="7"/>
  <c r="AH85" i="7"/>
  <c r="AG85" i="7"/>
  <c r="AB85" i="7"/>
  <c r="AA85" i="7"/>
  <c r="Z85" i="7"/>
  <c r="Y85" i="7"/>
  <c r="X85" i="7"/>
  <c r="W85" i="7"/>
  <c r="V85" i="7"/>
  <c r="U85" i="7"/>
  <c r="T85" i="7"/>
  <c r="S85" i="7"/>
  <c r="R85" i="7"/>
  <c r="Q85" i="7"/>
  <c r="P85" i="7"/>
  <c r="O85" i="7"/>
  <c r="N85" i="7"/>
  <c r="M85" i="7"/>
  <c r="L85" i="7"/>
  <c r="K85" i="7"/>
  <c r="J85" i="7"/>
  <c r="I85" i="7"/>
  <c r="AH84" i="7"/>
  <c r="AG84" i="7"/>
  <c r="AB84" i="7"/>
  <c r="AA84" i="7"/>
  <c r="Z84" i="7"/>
  <c r="Y84" i="7"/>
  <c r="X84" i="7"/>
  <c r="W84" i="7"/>
  <c r="V84" i="7"/>
  <c r="U84" i="7"/>
  <c r="T84" i="7"/>
  <c r="S84" i="7"/>
  <c r="R84" i="7"/>
  <c r="Q84" i="7"/>
  <c r="P84" i="7"/>
  <c r="O84" i="7"/>
  <c r="N84" i="7"/>
  <c r="M84" i="7"/>
  <c r="L84" i="7"/>
  <c r="K84" i="7"/>
  <c r="J84" i="7"/>
  <c r="I84" i="7"/>
  <c r="AG83" i="7"/>
  <c r="AB83" i="7"/>
  <c r="AA83" i="7"/>
  <c r="Z83" i="7"/>
  <c r="Y83" i="7"/>
  <c r="X83" i="7"/>
  <c r="W83" i="7"/>
  <c r="V83" i="7"/>
  <c r="U83" i="7"/>
  <c r="T83" i="7"/>
  <c r="S83" i="7"/>
  <c r="R83" i="7"/>
  <c r="Q83" i="7"/>
  <c r="P83" i="7"/>
  <c r="O83" i="7"/>
  <c r="N83" i="7"/>
  <c r="M83" i="7"/>
  <c r="L83" i="7"/>
  <c r="K83" i="7"/>
  <c r="J83" i="7"/>
  <c r="I83" i="7"/>
  <c r="AG82" i="7"/>
  <c r="AB82" i="7"/>
  <c r="AA82" i="7"/>
  <c r="Z82" i="7"/>
  <c r="Y82" i="7"/>
  <c r="X82" i="7"/>
  <c r="W82" i="7"/>
  <c r="V82" i="7"/>
  <c r="U82" i="7"/>
  <c r="T82" i="7"/>
  <c r="S82" i="7"/>
  <c r="R82" i="7"/>
  <c r="Q82" i="7"/>
  <c r="P82" i="7"/>
  <c r="O82" i="7"/>
  <c r="N82" i="7"/>
  <c r="M82" i="7"/>
  <c r="L82" i="7"/>
  <c r="K82" i="7"/>
  <c r="J82" i="7"/>
  <c r="I82" i="7"/>
  <c r="AH81" i="7"/>
  <c r="AG81" i="7"/>
  <c r="T81" i="7"/>
  <c r="S81" i="7"/>
  <c r="R81" i="7"/>
  <c r="Q81" i="7"/>
  <c r="P81" i="7"/>
  <c r="O81" i="7"/>
  <c r="N81" i="7"/>
  <c r="M81" i="7"/>
  <c r="L81" i="7"/>
  <c r="K81" i="7"/>
  <c r="J81" i="7"/>
  <c r="I81" i="7"/>
  <c r="AJ80" i="7"/>
  <c r="AI80" i="7"/>
  <c r="AH80" i="7"/>
  <c r="AG80" i="7"/>
  <c r="AB80" i="7"/>
  <c r="AA80" i="7"/>
  <c r="Z80" i="7"/>
  <c r="Y80" i="7"/>
  <c r="X80" i="7"/>
  <c r="W80" i="7"/>
  <c r="V80" i="7"/>
  <c r="U80" i="7"/>
  <c r="T80" i="7"/>
  <c r="S80" i="7"/>
  <c r="R80" i="7"/>
  <c r="Q80" i="7"/>
  <c r="P80" i="7"/>
  <c r="O80" i="7"/>
  <c r="N80" i="7"/>
  <c r="M80" i="7"/>
  <c r="L80" i="7"/>
  <c r="K80" i="7"/>
  <c r="J80" i="7"/>
  <c r="I80" i="7"/>
  <c r="AJ79" i="7"/>
  <c r="AI79" i="7"/>
  <c r="AH79" i="7"/>
  <c r="AG79" i="7"/>
  <c r="AB79" i="7"/>
  <c r="AA79" i="7"/>
  <c r="Z79" i="7"/>
  <c r="Y79" i="7"/>
  <c r="X79" i="7"/>
  <c r="W79" i="7"/>
  <c r="V79" i="7"/>
  <c r="U79" i="7"/>
  <c r="T79" i="7"/>
  <c r="S79" i="7"/>
  <c r="R79" i="7"/>
  <c r="Q79" i="7"/>
  <c r="P79" i="7"/>
  <c r="O79" i="7"/>
  <c r="N79" i="7"/>
  <c r="M79" i="7"/>
  <c r="L79" i="7"/>
  <c r="K79" i="7"/>
  <c r="J79" i="7"/>
  <c r="I79" i="7"/>
  <c r="AJ78" i="7"/>
  <c r="AI78" i="7"/>
  <c r="AH78" i="7"/>
  <c r="AG78" i="7"/>
  <c r="AB78" i="7"/>
  <c r="AA78" i="7"/>
  <c r="Z78" i="7"/>
  <c r="Y78" i="7"/>
  <c r="X78" i="7"/>
  <c r="W78" i="7"/>
  <c r="V78" i="7"/>
  <c r="U78" i="7"/>
  <c r="T78" i="7"/>
  <c r="S78" i="7"/>
  <c r="R78" i="7"/>
  <c r="Q78" i="7"/>
  <c r="P78" i="7"/>
  <c r="O78" i="7"/>
  <c r="N78" i="7"/>
  <c r="M78" i="7"/>
  <c r="L78" i="7"/>
  <c r="K78" i="7"/>
  <c r="J78" i="7"/>
  <c r="I78" i="7"/>
  <c r="AL77" i="7"/>
  <c r="AK77" i="7"/>
  <c r="AJ77" i="7"/>
  <c r="AI77" i="7"/>
  <c r="AH77" i="7"/>
  <c r="AG77" i="7"/>
  <c r="AF77" i="7"/>
  <c r="AC77" i="7"/>
  <c r="AB77" i="7"/>
  <c r="AA77" i="7"/>
  <c r="Z77" i="7"/>
  <c r="Y77" i="7"/>
  <c r="X77" i="7"/>
  <c r="W77" i="7"/>
  <c r="V77" i="7"/>
  <c r="U77" i="7"/>
  <c r="T77" i="7"/>
  <c r="S77" i="7"/>
  <c r="R77" i="7"/>
  <c r="Q77" i="7"/>
  <c r="P77" i="7"/>
  <c r="O77" i="7"/>
  <c r="N77" i="7"/>
  <c r="M77" i="7"/>
  <c r="L77" i="7"/>
  <c r="K77" i="7"/>
  <c r="J77" i="7"/>
  <c r="I77" i="7"/>
  <c r="AJ76" i="7"/>
  <c r="AI76" i="7"/>
  <c r="AH76" i="7"/>
  <c r="AG76" i="7"/>
  <c r="AB76" i="7"/>
  <c r="AA76" i="7"/>
  <c r="Z76" i="7"/>
  <c r="Y76" i="7"/>
  <c r="X76" i="7"/>
  <c r="W76" i="7"/>
  <c r="V76" i="7"/>
  <c r="U76" i="7"/>
  <c r="T76" i="7"/>
  <c r="S76" i="7"/>
  <c r="R76" i="7"/>
  <c r="Q76" i="7"/>
  <c r="P76" i="7"/>
  <c r="O76" i="7"/>
  <c r="N76" i="7"/>
  <c r="M76" i="7"/>
  <c r="L76" i="7"/>
  <c r="K76" i="7"/>
  <c r="J76" i="7"/>
  <c r="I76" i="7"/>
  <c r="AJ75" i="7"/>
  <c r="AI75" i="7"/>
  <c r="AH75" i="7"/>
  <c r="AG75" i="7"/>
  <c r="AB75" i="7"/>
  <c r="AA75" i="7"/>
  <c r="Z75" i="7"/>
  <c r="Y75" i="7"/>
  <c r="X75" i="7"/>
  <c r="W75" i="7"/>
  <c r="V75" i="7"/>
  <c r="U75" i="7"/>
  <c r="T75" i="7"/>
  <c r="S75" i="7"/>
  <c r="R75" i="7"/>
  <c r="Q75" i="7"/>
  <c r="P75" i="7"/>
  <c r="O75" i="7"/>
  <c r="N75" i="7"/>
  <c r="M75" i="7"/>
  <c r="L75" i="7"/>
  <c r="K75" i="7"/>
  <c r="J75" i="7"/>
  <c r="I75" i="7"/>
  <c r="AJ74" i="7"/>
  <c r="AI74" i="7"/>
  <c r="AH74" i="7"/>
  <c r="AG74" i="7"/>
  <c r="AB74" i="7"/>
  <c r="AA74" i="7"/>
  <c r="Z74" i="7"/>
  <c r="Y74" i="7"/>
  <c r="X74" i="7"/>
  <c r="W74" i="7"/>
  <c r="V74" i="7"/>
  <c r="U74" i="7"/>
  <c r="T74" i="7"/>
  <c r="S74" i="7"/>
  <c r="R74" i="7"/>
  <c r="Q74" i="7"/>
  <c r="P74" i="7"/>
  <c r="O74" i="7"/>
  <c r="N74" i="7"/>
  <c r="M74" i="7"/>
  <c r="L74" i="7"/>
  <c r="K74" i="7"/>
  <c r="J74" i="7"/>
  <c r="I74" i="7"/>
  <c r="AG73" i="7"/>
  <c r="AB73" i="7"/>
  <c r="AA73" i="7"/>
  <c r="Z73" i="7"/>
  <c r="Y73" i="7"/>
  <c r="X73" i="7"/>
  <c r="W73" i="7"/>
  <c r="V73" i="7"/>
  <c r="U73" i="7"/>
  <c r="T73" i="7"/>
  <c r="S73" i="7"/>
  <c r="R73" i="7"/>
  <c r="Q73" i="7"/>
  <c r="P73" i="7"/>
  <c r="O73" i="7"/>
  <c r="N73" i="7"/>
  <c r="M73" i="7"/>
  <c r="L73" i="7"/>
  <c r="K73" i="7"/>
  <c r="J73" i="7"/>
  <c r="I73" i="7"/>
  <c r="AH72" i="7"/>
  <c r="AG72" i="7"/>
  <c r="AB72" i="7"/>
  <c r="AA72" i="7"/>
  <c r="Z72" i="7"/>
  <c r="Y72" i="7"/>
  <c r="X72" i="7"/>
  <c r="W72" i="7"/>
  <c r="V72" i="7"/>
  <c r="U72" i="7"/>
  <c r="T72" i="7"/>
  <c r="S72" i="7"/>
  <c r="R72" i="7"/>
  <c r="Q72" i="7"/>
  <c r="P72" i="7"/>
  <c r="O72" i="7"/>
  <c r="N72" i="7"/>
  <c r="M72" i="7"/>
  <c r="L72" i="7"/>
  <c r="K72" i="7"/>
  <c r="J72" i="7"/>
  <c r="I72" i="7"/>
  <c r="AG71" i="7"/>
  <c r="AB71" i="7"/>
  <c r="AA71" i="7"/>
  <c r="Z71" i="7"/>
  <c r="Y71" i="7"/>
  <c r="X71" i="7"/>
  <c r="W71" i="7"/>
  <c r="V71" i="7"/>
  <c r="U71" i="7"/>
  <c r="T71" i="7"/>
  <c r="S71" i="7"/>
  <c r="R71" i="7"/>
  <c r="Q71" i="7"/>
  <c r="P71" i="7"/>
  <c r="O71" i="7"/>
  <c r="N71" i="7"/>
  <c r="M71" i="7"/>
  <c r="L71" i="7"/>
  <c r="K71" i="7"/>
  <c r="J71" i="7"/>
  <c r="I71" i="7"/>
  <c r="AH70" i="7"/>
  <c r="AG70" i="7"/>
  <c r="AB70" i="7"/>
  <c r="AA70" i="7"/>
  <c r="Z70" i="7"/>
  <c r="Y70" i="7"/>
  <c r="X70" i="7"/>
  <c r="W70" i="7"/>
  <c r="V70" i="7"/>
  <c r="U70" i="7"/>
  <c r="T70" i="7"/>
  <c r="S70" i="7"/>
  <c r="R70" i="7"/>
  <c r="Q70" i="7"/>
  <c r="P70" i="7"/>
  <c r="O70" i="7"/>
  <c r="N70" i="7"/>
  <c r="M70" i="7"/>
  <c r="L70" i="7"/>
  <c r="K70" i="7"/>
  <c r="J70" i="7"/>
  <c r="I70" i="7"/>
  <c r="AJ69" i="7"/>
  <c r="AI69" i="7"/>
  <c r="AH69" i="7"/>
  <c r="AG69" i="7"/>
  <c r="AB69" i="7"/>
  <c r="AA69" i="7"/>
  <c r="Z69" i="7"/>
  <c r="Y69" i="7"/>
  <c r="X69" i="7"/>
  <c r="W69" i="7"/>
  <c r="V69" i="7"/>
  <c r="U69" i="7"/>
  <c r="T69" i="7"/>
  <c r="S69" i="7"/>
  <c r="R69" i="7"/>
  <c r="Q69" i="7"/>
  <c r="P69" i="7"/>
  <c r="O69" i="7"/>
  <c r="N69" i="7"/>
  <c r="M69" i="7"/>
  <c r="L69" i="7"/>
  <c r="K69" i="7"/>
  <c r="J69" i="7"/>
  <c r="I69" i="7"/>
  <c r="AL68" i="7"/>
  <c r="AK68" i="7"/>
  <c r="AJ68" i="7"/>
  <c r="AI68" i="7"/>
  <c r="AH68" i="7"/>
  <c r="AG68" i="7"/>
  <c r="AB68" i="7"/>
  <c r="AA68" i="7"/>
  <c r="Z68" i="7"/>
  <c r="Y68" i="7"/>
  <c r="X68" i="7"/>
  <c r="W68" i="7"/>
  <c r="V68" i="7"/>
  <c r="U68" i="7"/>
  <c r="T68" i="7"/>
  <c r="S68" i="7"/>
  <c r="R68" i="7"/>
  <c r="Q68" i="7"/>
  <c r="P68" i="7"/>
  <c r="O68" i="7"/>
  <c r="N68" i="7"/>
  <c r="M68" i="7"/>
  <c r="L68" i="7"/>
  <c r="K68" i="7"/>
  <c r="J68" i="7"/>
  <c r="I68" i="7"/>
  <c r="AL67" i="7"/>
  <c r="AK67" i="7"/>
  <c r="AJ67" i="7"/>
  <c r="AI67" i="7"/>
  <c r="AH67" i="7"/>
  <c r="AG67" i="7"/>
  <c r="AF67" i="7"/>
  <c r="AD67" i="7"/>
  <c r="AB67" i="7"/>
  <c r="AA67" i="7"/>
  <c r="Z67" i="7"/>
  <c r="Y67" i="7"/>
  <c r="X67" i="7"/>
  <c r="W67" i="7"/>
  <c r="V67" i="7"/>
  <c r="U67" i="7"/>
  <c r="T67" i="7"/>
  <c r="S67" i="7"/>
  <c r="R67" i="7"/>
  <c r="Q67" i="7"/>
  <c r="P67" i="7"/>
  <c r="O67" i="7"/>
  <c r="N67" i="7"/>
  <c r="M67" i="7"/>
  <c r="L67" i="7"/>
  <c r="K67" i="7"/>
  <c r="J67" i="7"/>
  <c r="I67" i="7"/>
  <c r="AL66" i="7"/>
  <c r="AK66" i="7"/>
  <c r="AJ66" i="7"/>
  <c r="AI66" i="7"/>
  <c r="AH66" i="7"/>
  <c r="AG66" i="7"/>
  <c r="AB66" i="7"/>
  <c r="AA66" i="7"/>
  <c r="Z66" i="7"/>
  <c r="Y66" i="7"/>
  <c r="X66" i="7"/>
  <c r="W66" i="7"/>
  <c r="V66" i="7"/>
  <c r="U66" i="7"/>
  <c r="T66" i="7"/>
  <c r="S66" i="7"/>
  <c r="R66" i="7"/>
  <c r="Q66" i="7"/>
  <c r="P66" i="7"/>
  <c r="O66" i="7"/>
  <c r="N66" i="7"/>
  <c r="M66" i="7"/>
  <c r="L66" i="7"/>
  <c r="K66" i="7"/>
  <c r="J66" i="7"/>
  <c r="I66" i="7"/>
  <c r="AJ65" i="7"/>
  <c r="AI65" i="7"/>
  <c r="AH65" i="7"/>
  <c r="AG65" i="7"/>
  <c r="AB65" i="7"/>
  <c r="AA65" i="7"/>
  <c r="Z65" i="7"/>
  <c r="Y65" i="7"/>
  <c r="X65" i="7"/>
  <c r="W65" i="7"/>
  <c r="V65" i="7"/>
  <c r="U65" i="7"/>
  <c r="T65" i="7"/>
  <c r="S65" i="7"/>
  <c r="R65" i="7"/>
  <c r="Q65" i="7"/>
  <c r="P65" i="7"/>
  <c r="O65" i="7"/>
  <c r="N65" i="7"/>
  <c r="M65" i="7"/>
  <c r="L65" i="7"/>
  <c r="K65" i="7"/>
  <c r="J65" i="7"/>
  <c r="I65" i="7"/>
  <c r="AJ64" i="7"/>
  <c r="AI64" i="7"/>
  <c r="AH64" i="7"/>
  <c r="AG64" i="7"/>
  <c r="AB64" i="7"/>
  <c r="AA64" i="7"/>
  <c r="Z64" i="7"/>
  <c r="Y64" i="7"/>
  <c r="X64" i="7"/>
  <c r="W64" i="7"/>
  <c r="V64" i="7"/>
  <c r="U64" i="7"/>
  <c r="T64" i="7"/>
  <c r="S64" i="7"/>
  <c r="R64" i="7"/>
  <c r="Q64" i="7"/>
  <c r="P64" i="7"/>
  <c r="O64" i="7"/>
  <c r="N64" i="7"/>
  <c r="M64" i="7"/>
  <c r="L64" i="7"/>
  <c r="K64" i="7"/>
  <c r="J64" i="7"/>
  <c r="I64" i="7"/>
  <c r="AH63" i="7"/>
  <c r="AG63" i="7"/>
  <c r="AB63" i="7"/>
  <c r="AA63" i="7"/>
  <c r="Z63" i="7"/>
  <c r="Y63" i="7"/>
  <c r="X63" i="7"/>
  <c r="W63" i="7"/>
  <c r="V63" i="7"/>
  <c r="U63" i="7"/>
  <c r="T63" i="7"/>
  <c r="S63" i="7"/>
  <c r="R63" i="7"/>
  <c r="Q63" i="7"/>
  <c r="P63" i="7"/>
  <c r="O63" i="7"/>
  <c r="N63" i="7"/>
  <c r="M63" i="7"/>
  <c r="L63" i="7"/>
  <c r="K63" i="7"/>
  <c r="J63" i="7"/>
  <c r="I63" i="7"/>
  <c r="AH62" i="7"/>
  <c r="AG62" i="7"/>
  <c r="AB62" i="7"/>
  <c r="AA62" i="7"/>
  <c r="Z62" i="7"/>
  <c r="Y62" i="7"/>
  <c r="X62" i="7"/>
  <c r="W62" i="7"/>
  <c r="V62" i="7"/>
  <c r="U62" i="7"/>
  <c r="T62" i="7"/>
  <c r="S62" i="7"/>
  <c r="R62" i="7"/>
  <c r="Q62" i="7"/>
  <c r="P62" i="7"/>
  <c r="O62" i="7"/>
  <c r="N62" i="7"/>
  <c r="M62" i="7"/>
  <c r="L62" i="7"/>
  <c r="K62" i="7"/>
  <c r="J62" i="7"/>
  <c r="I62" i="7"/>
  <c r="AH61" i="7"/>
  <c r="AG61" i="7"/>
  <c r="AF61" i="7"/>
  <c r="AE61" i="7"/>
  <c r="AB61" i="7"/>
  <c r="AA61" i="7"/>
  <c r="Z61" i="7"/>
  <c r="Y61" i="7"/>
  <c r="X61" i="7"/>
  <c r="W61" i="7"/>
  <c r="V61" i="7"/>
  <c r="U61" i="7"/>
  <c r="T61" i="7"/>
  <c r="S61" i="7"/>
  <c r="R61" i="7"/>
  <c r="Q61" i="7"/>
  <c r="P61" i="7"/>
  <c r="O61" i="7"/>
  <c r="N61" i="7"/>
  <c r="M61" i="7"/>
  <c r="L61" i="7"/>
  <c r="K61" i="7"/>
  <c r="J61" i="7"/>
  <c r="I61" i="7"/>
  <c r="AL60" i="7"/>
  <c r="AK60" i="7"/>
  <c r="AJ60" i="7"/>
  <c r="AI60" i="7"/>
  <c r="AH60" i="7"/>
  <c r="AG60" i="7"/>
  <c r="AB60" i="7"/>
  <c r="AA60" i="7"/>
  <c r="Z60" i="7"/>
  <c r="Y60" i="7"/>
  <c r="X60" i="7"/>
  <c r="W60" i="7"/>
  <c r="V60" i="7"/>
  <c r="U60" i="7"/>
  <c r="T60" i="7"/>
  <c r="S60" i="7"/>
  <c r="R60" i="7"/>
  <c r="Q60" i="7"/>
  <c r="P60" i="7"/>
  <c r="O60" i="7"/>
  <c r="N60" i="7"/>
  <c r="M60" i="7"/>
  <c r="L60" i="7"/>
  <c r="K60" i="7"/>
  <c r="J60" i="7"/>
  <c r="I60" i="7"/>
  <c r="AJ59" i="7"/>
  <c r="AI59" i="7"/>
  <c r="AH59" i="7"/>
  <c r="AG59" i="7"/>
  <c r="AB59" i="7"/>
  <c r="AA59" i="7"/>
  <c r="Z59" i="7"/>
  <c r="Y59" i="7"/>
  <c r="X59" i="7"/>
  <c r="W59" i="7"/>
  <c r="V59" i="7"/>
  <c r="U59" i="7"/>
  <c r="T59" i="7"/>
  <c r="S59" i="7"/>
  <c r="R59" i="7"/>
  <c r="Q59" i="7"/>
  <c r="P59" i="7"/>
  <c r="O59" i="7"/>
  <c r="N59" i="7"/>
  <c r="M59" i="7"/>
  <c r="L59" i="7"/>
  <c r="K59" i="7"/>
  <c r="J59" i="7"/>
  <c r="I59" i="7"/>
  <c r="AJ58" i="7"/>
  <c r="AI58" i="7"/>
  <c r="AH58" i="7"/>
  <c r="AG58" i="7"/>
  <c r="AB58" i="7"/>
  <c r="AA58" i="7"/>
  <c r="Z58" i="7"/>
  <c r="Y58" i="7"/>
  <c r="X58" i="7"/>
  <c r="W58" i="7"/>
  <c r="V58" i="7"/>
  <c r="U58" i="7"/>
  <c r="T58" i="7"/>
  <c r="S58" i="7"/>
  <c r="R58" i="7"/>
  <c r="Q58" i="7"/>
  <c r="P58" i="7"/>
  <c r="O58" i="7"/>
  <c r="N58" i="7"/>
  <c r="M58" i="7"/>
  <c r="L58" i="7"/>
  <c r="K58" i="7"/>
  <c r="J58" i="7"/>
  <c r="I58" i="7"/>
  <c r="AL57" i="7"/>
  <c r="AK57" i="7"/>
  <c r="AJ57" i="7"/>
  <c r="AI57" i="7"/>
  <c r="AH57" i="7"/>
  <c r="AG57" i="7"/>
  <c r="AF57" i="7"/>
  <c r="AE57" i="7"/>
  <c r="AD57" i="7"/>
  <c r="AC57" i="7"/>
  <c r="AB57" i="7"/>
  <c r="AA57" i="7"/>
  <c r="Z57" i="7"/>
  <c r="Y57" i="7"/>
  <c r="X57" i="7"/>
  <c r="W57" i="7"/>
  <c r="V57" i="7"/>
  <c r="U57" i="7"/>
  <c r="T57" i="7"/>
  <c r="S57" i="7"/>
  <c r="R57" i="7"/>
  <c r="Q57" i="7"/>
  <c r="P57" i="7"/>
  <c r="O57" i="7"/>
  <c r="N57" i="7"/>
  <c r="M57" i="7"/>
  <c r="L57" i="7"/>
  <c r="K57" i="7"/>
  <c r="J57" i="7"/>
  <c r="I57" i="7"/>
  <c r="AL56" i="7"/>
  <c r="AK56" i="7"/>
  <c r="AJ56" i="7"/>
  <c r="AI56" i="7"/>
  <c r="AH56" i="7"/>
  <c r="AG56" i="7"/>
  <c r="AB56" i="7"/>
  <c r="AA56" i="7"/>
  <c r="Z56" i="7"/>
  <c r="Y56" i="7"/>
  <c r="X56" i="7"/>
  <c r="W56" i="7"/>
  <c r="V56" i="7"/>
  <c r="U56" i="7"/>
  <c r="T56" i="7"/>
  <c r="S56" i="7"/>
  <c r="R56" i="7"/>
  <c r="Q56" i="7"/>
  <c r="P56" i="7"/>
  <c r="O56" i="7"/>
  <c r="N56" i="7"/>
  <c r="M56" i="7"/>
  <c r="L56" i="7"/>
  <c r="K56" i="7"/>
  <c r="J56" i="7"/>
  <c r="I56" i="7"/>
  <c r="AL55" i="7"/>
  <c r="AK55" i="7"/>
  <c r="AJ55" i="7"/>
  <c r="AI55" i="7"/>
  <c r="AH55" i="7"/>
  <c r="AG55" i="7"/>
  <c r="AB55" i="7"/>
  <c r="AA55" i="7"/>
  <c r="Z55" i="7"/>
  <c r="Y55" i="7"/>
  <c r="X55" i="7"/>
  <c r="W55" i="7"/>
  <c r="V55" i="7"/>
  <c r="U55" i="7"/>
  <c r="T55" i="7"/>
  <c r="S55" i="7"/>
  <c r="R55" i="7"/>
  <c r="Q55" i="7"/>
  <c r="P55" i="7"/>
  <c r="O55" i="7"/>
  <c r="N55" i="7"/>
  <c r="M55" i="7"/>
  <c r="L55" i="7"/>
  <c r="K55" i="7"/>
  <c r="J55" i="7"/>
  <c r="I55" i="7"/>
  <c r="AH54" i="7"/>
  <c r="AG54" i="7"/>
  <c r="AB54" i="7"/>
  <c r="AA54" i="7"/>
  <c r="Z54" i="7"/>
  <c r="Y54" i="7"/>
  <c r="X54" i="7"/>
  <c r="W54" i="7"/>
  <c r="V54" i="7"/>
  <c r="U54" i="7"/>
  <c r="T54" i="7"/>
  <c r="S54" i="7"/>
  <c r="R54" i="7"/>
  <c r="Q54" i="7"/>
  <c r="P54" i="7"/>
  <c r="O54" i="7"/>
  <c r="N54" i="7"/>
  <c r="M54" i="7"/>
  <c r="L54" i="7"/>
  <c r="K54" i="7"/>
  <c r="J54" i="7"/>
  <c r="I54" i="7"/>
  <c r="AH53" i="7"/>
  <c r="AG53" i="7"/>
  <c r="AB53" i="7"/>
  <c r="AA53" i="7"/>
  <c r="Z53" i="7"/>
  <c r="Y53" i="7"/>
  <c r="X53" i="7"/>
  <c r="W53" i="7"/>
  <c r="V53" i="7"/>
  <c r="U53" i="7"/>
  <c r="T53" i="7"/>
  <c r="S53" i="7"/>
  <c r="R53" i="7"/>
  <c r="Q53" i="7"/>
  <c r="P53" i="7"/>
  <c r="O53" i="7"/>
  <c r="N53" i="7"/>
  <c r="M53" i="7"/>
  <c r="L53" i="7"/>
  <c r="K53" i="7"/>
  <c r="J53" i="7"/>
  <c r="I53" i="7"/>
  <c r="AJ52" i="7"/>
  <c r="AI52" i="7"/>
  <c r="AH52" i="7"/>
  <c r="AG52" i="7"/>
  <c r="AB52" i="7"/>
  <c r="AA52" i="7"/>
  <c r="Z52" i="7"/>
  <c r="Y52" i="7"/>
  <c r="X52" i="7"/>
  <c r="W52" i="7"/>
  <c r="V52" i="7"/>
  <c r="U52" i="7"/>
  <c r="T52" i="7"/>
  <c r="S52" i="7"/>
  <c r="R52" i="7"/>
  <c r="Q52" i="7"/>
  <c r="P52" i="7"/>
  <c r="O52" i="7"/>
  <c r="N52" i="7"/>
  <c r="M52" i="7"/>
  <c r="L52" i="7"/>
  <c r="K52" i="7"/>
  <c r="J52" i="7"/>
  <c r="I52" i="7"/>
  <c r="AJ51" i="7"/>
  <c r="AI51" i="7"/>
  <c r="AH51" i="7"/>
  <c r="AG51" i="7"/>
  <c r="AB51" i="7"/>
  <c r="AA51" i="7"/>
  <c r="Z51" i="7"/>
  <c r="Y51" i="7"/>
  <c r="X51" i="7"/>
  <c r="W51" i="7"/>
  <c r="V51" i="7"/>
  <c r="U51" i="7"/>
  <c r="T51" i="7"/>
  <c r="S51" i="7"/>
  <c r="R51" i="7"/>
  <c r="Q51" i="7"/>
  <c r="P51" i="7"/>
  <c r="O51" i="7"/>
  <c r="N51" i="7"/>
  <c r="M51" i="7"/>
  <c r="L51" i="7"/>
  <c r="K51" i="7"/>
  <c r="J51" i="7"/>
  <c r="I51" i="7"/>
  <c r="AH50" i="7"/>
  <c r="AG50" i="7"/>
  <c r="AB50" i="7"/>
  <c r="AA50" i="7"/>
  <c r="Z50" i="7"/>
  <c r="Y50" i="7"/>
  <c r="X50" i="7"/>
  <c r="W50" i="7"/>
  <c r="V50" i="7"/>
  <c r="U50" i="7"/>
  <c r="T50" i="7"/>
  <c r="S50" i="7"/>
  <c r="R50" i="7"/>
  <c r="Q50" i="7"/>
  <c r="P50" i="7"/>
  <c r="O50" i="7"/>
  <c r="N50" i="7"/>
  <c r="M50" i="7"/>
  <c r="L50" i="7"/>
  <c r="K50" i="7"/>
  <c r="J50" i="7"/>
  <c r="I50" i="7"/>
  <c r="AH49" i="7"/>
  <c r="AG49" i="7"/>
  <c r="AB49" i="7"/>
  <c r="AA49" i="7"/>
  <c r="Z49" i="7"/>
  <c r="Y49" i="7"/>
  <c r="X49" i="7"/>
  <c r="W49" i="7"/>
  <c r="V49" i="7"/>
  <c r="U49" i="7"/>
  <c r="T49" i="7"/>
  <c r="S49" i="7"/>
  <c r="R49" i="7"/>
  <c r="Q49" i="7"/>
  <c r="P49" i="7"/>
  <c r="O49" i="7"/>
  <c r="N49" i="7"/>
  <c r="M49" i="7"/>
  <c r="L49" i="7"/>
  <c r="K49" i="7"/>
  <c r="J49" i="7"/>
  <c r="I49" i="7"/>
  <c r="AG48" i="7"/>
  <c r="AB48" i="7"/>
  <c r="AA48" i="7"/>
  <c r="Z48" i="7"/>
  <c r="Y48" i="7"/>
  <c r="X48" i="7"/>
  <c r="W48" i="7"/>
  <c r="V48" i="7"/>
  <c r="U48" i="7"/>
  <c r="T48" i="7"/>
  <c r="S48" i="7"/>
  <c r="R48" i="7"/>
  <c r="Q48" i="7"/>
  <c r="P48" i="7"/>
  <c r="O48" i="7"/>
  <c r="N48" i="7"/>
  <c r="M48" i="7"/>
  <c r="L48" i="7"/>
  <c r="K48" i="7"/>
  <c r="J48" i="7"/>
  <c r="I48" i="7"/>
  <c r="AH47" i="7"/>
  <c r="AG47" i="7"/>
  <c r="AF47" i="7"/>
  <c r="AE47" i="7"/>
  <c r="AD47" i="7"/>
  <c r="AC47" i="7"/>
  <c r="AB47" i="7"/>
  <c r="AA47" i="7"/>
  <c r="Z47" i="7"/>
  <c r="Y47" i="7"/>
  <c r="X47" i="7"/>
  <c r="W47" i="7"/>
  <c r="V47" i="7"/>
  <c r="U47" i="7"/>
  <c r="T47" i="7"/>
  <c r="S47" i="7"/>
  <c r="R47" i="7"/>
  <c r="Q47" i="7"/>
  <c r="P47" i="7"/>
  <c r="O47" i="7"/>
  <c r="N47" i="7"/>
  <c r="M47" i="7"/>
  <c r="L47" i="7"/>
  <c r="K47" i="7"/>
  <c r="J47" i="7"/>
  <c r="I47" i="7"/>
  <c r="AJ46" i="7"/>
  <c r="AI46" i="7"/>
  <c r="AH46" i="7"/>
  <c r="AG46" i="7"/>
  <c r="AF46" i="7"/>
  <c r="AC46" i="7"/>
  <c r="AB46" i="7"/>
  <c r="AA46" i="7"/>
  <c r="Z46" i="7"/>
  <c r="Y46" i="7"/>
  <c r="X46" i="7"/>
  <c r="W46" i="7"/>
  <c r="V46" i="7"/>
  <c r="U46" i="7"/>
  <c r="T46" i="7"/>
  <c r="S46" i="7"/>
  <c r="R46" i="7"/>
  <c r="Q46" i="7"/>
  <c r="P46" i="7"/>
  <c r="O46" i="7"/>
  <c r="N46" i="7"/>
  <c r="M46" i="7"/>
  <c r="L46" i="7"/>
  <c r="K46" i="7"/>
  <c r="J46" i="7"/>
  <c r="I46" i="7"/>
  <c r="AJ45" i="7"/>
  <c r="AI45" i="7"/>
  <c r="AH45" i="7"/>
  <c r="AG45" i="7"/>
  <c r="AB45" i="7"/>
  <c r="AA45" i="7"/>
  <c r="Z45" i="7"/>
  <c r="Y45" i="7"/>
  <c r="X45" i="7"/>
  <c r="W45" i="7"/>
  <c r="V45" i="7"/>
  <c r="U45" i="7"/>
  <c r="T45" i="7"/>
  <c r="S45" i="7"/>
  <c r="R45" i="7"/>
  <c r="Q45" i="7"/>
  <c r="P45" i="7"/>
  <c r="O45" i="7"/>
  <c r="N45" i="7"/>
  <c r="M45" i="7"/>
  <c r="L45" i="7"/>
  <c r="K45" i="7"/>
  <c r="J45" i="7"/>
  <c r="I45" i="7"/>
  <c r="AH44" i="7"/>
  <c r="AG44" i="7"/>
  <c r="AB44" i="7"/>
  <c r="AA44" i="7"/>
  <c r="Z44" i="7"/>
  <c r="Y44" i="7"/>
  <c r="X44" i="7"/>
  <c r="W44" i="7"/>
  <c r="V44" i="7"/>
  <c r="U44" i="7"/>
  <c r="T44" i="7"/>
  <c r="S44" i="7"/>
  <c r="R44" i="7"/>
  <c r="Q44" i="7"/>
  <c r="P44" i="7"/>
  <c r="O44" i="7"/>
  <c r="N44" i="7"/>
  <c r="M44" i="7"/>
  <c r="L44" i="7"/>
  <c r="K44" i="7"/>
  <c r="J44" i="7"/>
  <c r="I44" i="7"/>
  <c r="AH43" i="7"/>
  <c r="AG43" i="7"/>
  <c r="AB43" i="7"/>
  <c r="AA43" i="7"/>
  <c r="Z43" i="7"/>
  <c r="Y43" i="7"/>
  <c r="X43" i="7"/>
  <c r="W43" i="7"/>
  <c r="V43" i="7"/>
  <c r="U43" i="7"/>
  <c r="T43" i="7"/>
  <c r="S43" i="7"/>
  <c r="R43" i="7"/>
  <c r="Q43" i="7"/>
  <c r="P43" i="7"/>
  <c r="O43" i="7"/>
  <c r="N43" i="7"/>
  <c r="M43" i="7"/>
  <c r="L43" i="7"/>
  <c r="K43" i="7"/>
  <c r="J43" i="7"/>
  <c r="I43" i="7"/>
  <c r="AH42" i="7"/>
  <c r="AG42" i="7"/>
  <c r="AB42" i="7"/>
  <c r="AA42" i="7"/>
  <c r="Z42" i="7"/>
  <c r="Y42" i="7"/>
  <c r="X42" i="7"/>
  <c r="V42" i="7"/>
  <c r="U42" i="7"/>
  <c r="T42" i="7"/>
  <c r="S42" i="7"/>
  <c r="R42" i="7"/>
  <c r="Q42" i="7"/>
  <c r="P42" i="7"/>
  <c r="O42" i="7"/>
  <c r="N42" i="7"/>
  <c r="M42" i="7"/>
  <c r="L42" i="7"/>
  <c r="K42" i="7"/>
  <c r="J42" i="7"/>
  <c r="I42" i="7"/>
  <c r="AH41" i="7"/>
  <c r="AG41" i="7"/>
  <c r="AB41" i="7"/>
  <c r="AA41" i="7"/>
  <c r="Z41" i="7"/>
  <c r="Y41" i="7"/>
  <c r="X41" i="7"/>
  <c r="W41" i="7"/>
  <c r="V41" i="7"/>
  <c r="U41" i="7"/>
  <c r="T41" i="7"/>
  <c r="S41" i="7"/>
  <c r="R41" i="7"/>
  <c r="Q41" i="7"/>
  <c r="P41" i="7"/>
  <c r="O41" i="7"/>
  <c r="N41" i="7"/>
  <c r="M41" i="7"/>
  <c r="L41" i="7"/>
  <c r="K41" i="7"/>
  <c r="J41" i="7"/>
  <c r="I41" i="7"/>
  <c r="AJ40" i="7"/>
  <c r="AI40" i="7"/>
  <c r="AH40" i="7"/>
  <c r="AG40" i="7"/>
  <c r="AB40" i="7"/>
  <c r="AA40" i="7"/>
  <c r="Z40" i="7"/>
  <c r="Y40" i="7"/>
  <c r="X40" i="7"/>
  <c r="W40" i="7"/>
  <c r="V40" i="7"/>
  <c r="U40" i="7"/>
  <c r="T40" i="7"/>
  <c r="S40" i="7"/>
  <c r="R40" i="7"/>
  <c r="Q40" i="7"/>
  <c r="P40" i="7"/>
  <c r="O40" i="7"/>
  <c r="N40" i="7"/>
  <c r="M40" i="7"/>
  <c r="L40" i="7"/>
  <c r="K40" i="7"/>
  <c r="J40" i="7"/>
  <c r="I40" i="7"/>
  <c r="AH39" i="7"/>
  <c r="AG39" i="7"/>
  <c r="AB39" i="7"/>
  <c r="AA39" i="7"/>
  <c r="Z39" i="7"/>
  <c r="Y39" i="7"/>
  <c r="X39" i="7"/>
  <c r="W39" i="7"/>
  <c r="V39" i="7"/>
  <c r="U39" i="7"/>
  <c r="T39" i="7"/>
  <c r="S39" i="7"/>
  <c r="R39" i="7"/>
  <c r="Q39" i="7"/>
  <c r="P39" i="7"/>
  <c r="O39" i="7"/>
  <c r="N39" i="7"/>
  <c r="M39" i="7"/>
  <c r="L39" i="7"/>
  <c r="K39" i="7"/>
  <c r="J39" i="7"/>
  <c r="I39" i="7"/>
  <c r="AG38" i="7"/>
  <c r="AB38" i="7"/>
  <c r="AA38" i="7"/>
  <c r="Z38" i="7"/>
  <c r="Y38" i="7"/>
  <c r="X38" i="7"/>
  <c r="W38" i="7"/>
  <c r="V38" i="7"/>
  <c r="U38" i="7"/>
  <c r="T38" i="7"/>
  <c r="S38" i="7"/>
  <c r="R38" i="7"/>
  <c r="Q38" i="7"/>
  <c r="P38" i="7"/>
  <c r="O38" i="7"/>
  <c r="N38" i="7"/>
  <c r="M38" i="7"/>
  <c r="L38" i="7"/>
  <c r="K38" i="7"/>
  <c r="J38" i="7"/>
  <c r="I38" i="7"/>
  <c r="AG37" i="7"/>
  <c r="AB37" i="7"/>
  <c r="AA37" i="7"/>
  <c r="Z37" i="7"/>
  <c r="Y37" i="7"/>
  <c r="X37" i="7"/>
  <c r="W37" i="7"/>
  <c r="V37" i="7"/>
  <c r="U37" i="7"/>
  <c r="T37" i="7"/>
  <c r="S37" i="7"/>
  <c r="R37" i="7"/>
  <c r="Q37" i="7"/>
  <c r="P37" i="7"/>
  <c r="O37" i="7"/>
  <c r="N37" i="7"/>
  <c r="M37" i="7"/>
  <c r="L37" i="7"/>
  <c r="K37" i="7"/>
  <c r="J37" i="7"/>
  <c r="I37" i="7"/>
  <c r="AH36" i="7"/>
  <c r="AG36" i="7"/>
  <c r="AB36" i="7"/>
  <c r="AA36" i="7"/>
  <c r="Z36" i="7"/>
  <c r="Y36" i="7"/>
  <c r="X36" i="7"/>
  <c r="W36" i="7"/>
  <c r="V36" i="7"/>
  <c r="U36" i="7"/>
  <c r="T36" i="7"/>
  <c r="S36" i="7"/>
  <c r="R36" i="7"/>
  <c r="Q36" i="7"/>
  <c r="P36" i="7"/>
  <c r="O36" i="7"/>
  <c r="N36" i="7"/>
  <c r="M36" i="7"/>
  <c r="L36" i="7"/>
  <c r="K36" i="7"/>
  <c r="J36" i="7"/>
  <c r="I36" i="7"/>
  <c r="AH35" i="7"/>
  <c r="AG35" i="7"/>
  <c r="AB35" i="7"/>
  <c r="AA35" i="7"/>
  <c r="Z35" i="7"/>
  <c r="Y35" i="7"/>
  <c r="X35" i="7"/>
  <c r="W35" i="7"/>
  <c r="V35" i="7"/>
  <c r="U35" i="7"/>
  <c r="T35" i="7"/>
  <c r="S35" i="7"/>
  <c r="R35" i="7"/>
  <c r="Q35" i="7"/>
  <c r="P35" i="7"/>
  <c r="O35" i="7"/>
  <c r="N35" i="7"/>
  <c r="M35" i="7"/>
  <c r="L35" i="7"/>
  <c r="K35" i="7"/>
  <c r="J35" i="7"/>
  <c r="I35" i="7"/>
  <c r="AH34" i="7"/>
  <c r="AG34" i="7"/>
  <c r="AB34" i="7"/>
  <c r="AA34" i="7"/>
  <c r="Z34" i="7"/>
  <c r="Y34" i="7"/>
  <c r="X34" i="7"/>
  <c r="W34" i="7"/>
  <c r="V34" i="7"/>
  <c r="U34" i="7"/>
  <c r="T34" i="7"/>
  <c r="S34" i="7"/>
  <c r="R34" i="7"/>
  <c r="Q34" i="7"/>
  <c r="P34" i="7"/>
  <c r="O34" i="7"/>
  <c r="N34" i="7"/>
  <c r="M34" i="7"/>
  <c r="L34" i="7"/>
  <c r="K34" i="7"/>
  <c r="J34" i="7"/>
  <c r="I34" i="7"/>
  <c r="AT33" i="7"/>
  <c r="AS33" i="7"/>
  <c r="AR33" i="7"/>
  <c r="AQ33" i="7"/>
  <c r="AP33" i="7"/>
  <c r="AO33" i="7"/>
  <c r="AN33" i="7"/>
  <c r="AM33" i="7"/>
  <c r="AL33" i="7"/>
  <c r="AK33" i="7"/>
  <c r="AJ33" i="7"/>
  <c r="AI33" i="7"/>
  <c r="AH33" i="7"/>
  <c r="AG33" i="7"/>
  <c r="AB33" i="7"/>
  <c r="AA33" i="7"/>
  <c r="Z33" i="7"/>
  <c r="Y33" i="7"/>
  <c r="X33" i="7"/>
  <c r="W33" i="7"/>
  <c r="V33" i="7"/>
  <c r="U33" i="7"/>
  <c r="T33" i="7"/>
  <c r="S33" i="7"/>
  <c r="R33" i="7"/>
  <c r="Q33" i="7"/>
  <c r="P33" i="7"/>
  <c r="O33" i="7"/>
  <c r="N33" i="7"/>
  <c r="M33" i="7"/>
  <c r="L33" i="7"/>
  <c r="K33" i="7"/>
  <c r="J33" i="7"/>
  <c r="I33" i="7"/>
  <c r="AJ32" i="7"/>
  <c r="AI32" i="7"/>
  <c r="AH32" i="7"/>
  <c r="AG32" i="7"/>
  <c r="AB32" i="7"/>
  <c r="AA32" i="7"/>
  <c r="Z32" i="7"/>
  <c r="Y32" i="7"/>
  <c r="X32" i="7"/>
  <c r="W32" i="7"/>
  <c r="V32" i="7"/>
  <c r="U32" i="7"/>
  <c r="T32" i="7"/>
  <c r="S32" i="7"/>
  <c r="R32" i="7"/>
  <c r="Q32" i="7"/>
  <c r="P32" i="7"/>
  <c r="O32" i="7"/>
  <c r="N32" i="7"/>
  <c r="M32" i="7"/>
  <c r="L32" i="7"/>
  <c r="K32" i="7"/>
  <c r="J32" i="7"/>
  <c r="I32" i="7"/>
  <c r="AH31" i="7"/>
  <c r="AG31" i="7"/>
  <c r="AB31" i="7"/>
  <c r="AA31" i="7"/>
  <c r="Z31" i="7"/>
  <c r="Y31" i="7"/>
  <c r="X31" i="7"/>
  <c r="W31" i="7"/>
  <c r="V31" i="7"/>
  <c r="U31" i="7"/>
  <c r="T31" i="7"/>
  <c r="S31" i="7"/>
  <c r="R31" i="7"/>
  <c r="Q31" i="7"/>
  <c r="P31" i="7"/>
  <c r="O31" i="7"/>
  <c r="N31" i="7"/>
  <c r="M31" i="7"/>
  <c r="L31" i="7"/>
  <c r="K31" i="7"/>
  <c r="J31" i="7"/>
  <c r="I31" i="7"/>
  <c r="AL30" i="7"/>
  <c r="AK30" i="7"/>
  <c r="AJ30" i="7"/>
  <c r="AI30" i="7"/>
  <c r="AH30" i="7"/>
  <c r="AG30" i="7"/>
  <c r="AB30" i="7"/>
  <c r="AA30" i="7"/>
  <c r="Z30" i="7"/>
  <c r="Y30" i="7"/>
  <c r="X30" i="7"/>
  <c r="W30" i="7"/>
  <c r="V30" i="7"/>
  <c r="U30" i="7"/>
  <c r="T30" i="7"/>
  <c r="S30" i="7"/>
  <c r="R30" i="7"/>
  <c r="Q30" i="7"/>
  <c r="P30" i="7"/>
  <c r="O30" i="7"/>
  <c r="N30" i="7"/>
  <c r="M30" i="7"/>
  <c r="L30" i="7"/>
  <c r="K30" i="7"/>
  <c r="J30" i="7"/>
  <c r="I30" i="7"/>
  <c r="AG29" i="7"/>
  <c r="AB29" i="7"/>
  <c r="AA29" i="7"/>
  <c r="Z29" i="7"/>
  <c r="Y29" i="7"/>
  <c r="X29" i="7"/>
  <c r="W29" i="7"/>
  <c r="V29" i="7"/>
  <c r="U29" i="7"/>
  <c r="T29" i="7"/>
  <c r="S29" i="7"/>
  <c r="R29" i="7"/>
  <c r="Q29" i="7"/>
  <c r="P29" i="7"/>
  <c r="O29" i="7"/>
  <c r="N29" i="7"/>
  <c r="M29" i="7"/>
  <c r="L29" i="7"/>
  <c r="K29" i="7"/>
  <c r="J29" i="7"/>
  <c r="I29" i="7"/>
  <c r="AL28" i="7"/>
  <c r="AK28" i="7"/>
  <c r="AJ28" i="7"/>
  <c r="AI28" i="7"/>
  <c r="AH28" i="7"/>
  <c r="AG28" i="7"/>
  <c r="AB28" i="7"/>
  <c r="AA28" i="7"/>
  <c r="Z28" i="7"/>
  <c r="Y28" i="7"/>
  <c r="X28" i="7"/>
  <c r="W28" i="7"/>
  <c r="V28" i="7"/>
  <c r="U28" i="7"/>
  <c r="T28" i="7"/>
  <c r="S28" i="7"/>
  <c r="R28" i="7"/>
  <c r="Q28" i="7"/>
  <c r="P28" i="7"/>
  <c r="O28" i="7"/>
  <c r="N28" i="7"/>
  <c r="M28" i="7"/>
  <c r="L28" i="7"/>
  <c r="K28" i="7"/>
  <c r="J28" i="7"/>
  <c r="I28" i="7"/>
  <c r="AJ27" i="7"/>
  <c r="AI27" i="7"/>
  <c r="AH27" i="7"/>
  <c r="AG27" i="7"/>
  <c r="AB27" i="7"/>
  <c r="AA27" i="7"/>
  <c r="Z27" i="7"/>
  <c r="Y27" i="7"/>
  <c r="X27" i="7"/>
  <c r="W27" i="7"/>
  <c r="V27" i="7"/>
  <c r="U27" i="7"/>
  <c r="T27" i="7"/>
  <c r="S27" i="7"/>
  <c r="R27" i="7"/>
  <c r="Q27" i="7"/>
  <c r="P27" i="7"/>
  <c r="O27" i="7"/>
  <c r="N27" i="7"/>
  <c r="M27" i="7"/>
  <c r="L27" i="7"/>
  <c r="K27" i="7"/>
  <c r="J27" i="7"/>
  <c r="I27" i="7"/>
  <c r="AJ26" i="7"/>
  <c r="AI26" i="7"/>
  <c r="AH26" i="7"/>
  <c r="AG26" i="7"/>
  <c r="AB26" i="7"/>
  <c r="AA26" i="7"/>
  <c r="Z26" i="7"/>
  <c r="Y26" i="7"/>
  <c r="X26" i="7"/>
  <c r="W26" i="7"/>
  <c r="V26" i="7"/>
  <c r="U26" i="7"/>
  <c r="T26" i="7"/>
  <c r="S26" i="7"/>
  <c r="R26" i="7"/>
  <c r="Q26" i="7"/>
  <c r="P26" i="7"/>
  <c r="O26" i="7"/>
  <c r="N26" i="7"/>
  <c r="M26" i="7"/>
  <c r="L26" i="7"/>
  <c r="K26" i="7"/>
  <c r="J26" i="7"/>
  <c r="I26" i="7"/>
  <c r="AH25" i="7"/>
  <c r="AG25" i="7"/>
  <c r="AB25" i="7"/>
  <c r="AA25" i="7"/>
  <c r="Z25" i="7"/>
  <c r="Y25" i="7"/>
  <c r="X25" i="7"/>
  <c r="W25" i="7"/>
  <c r="V25" i="7"/>
  <c r="U25" i="7"/>
  <c r="T25" i="7"/>
  <c r="S25" i="7"/>
  <c r="R25" i="7"/>
  <c r="Q25" i="7"/>
  <c r="P25" i="7"/>
  <c r="O25" i="7"/>
  <c r="N25" i="7"/>
  <c r="M25" i="7"/>
  <c r="L25" i="7"/>
  <c r="K25" i="7"/>
  <c r="J25" i="7"/>
  <c r="I25" i="7"/>
  <c r="AJ24" i="7"/>
  <c r="AI24" i="7"/>
  <c r="AH24" i="7"/>
  <c r="AG24" i="7"/>
  <c r="AB24" i="7"/>
  <c r="AA24" i="7"/>
  <c r="Z24" i="7"/>
  <c r="Y24" i="7"/>
  <c r="X24" i="7"/>
  <c r="W24" i="7"/>
  <c r="V24" i="7"/>
  <c r="U24" i="7"/>
  <c r="T24" i="7"/>
  <c r="S24" i="7"/>
  <c r="R24" i="7"/>
  <c r="Q24" i="7"/>
  <c r="P24" i="7"/>
  <c r="O24" i="7"/>
  <c r="N24" i="7"/>
  <c r="M24" i="7"/>
  <c r="L24" i="7"/>
  <c r="K24" i="7"/>
  <c r="J24" i="7"/>
  <c r="I24" i="7"/>
  <c r="AG23" i="7"/>
  <c r="AB23" i="7"/>
  <c r="AA23" i="7"/>
  <c r="Z23" i="7"/>
  <c r="Y23" i="7"/>
  <c r="X23" i="7"/>
  <c r="W23" i="7"/>
  <c r="V23" i="7"/>
  <c r="U23" i="7"/>
  <c r="T23" i="7"/>
  <c r="S23" i="7"/>
  <c r="R23" i="7"/>
  <c r="Q23" i="7"/>
  <c r="P23" i="7"/>
  <c r="O23" i="7"/>
  <c r="N23" i="7"/>
  <c r="M23" i="7"/>
  <c r="L23" i="7"/>
  <c r="K23" i="7"/>
  <c r="J23" i="7"/>
  <c r="I23" i="7"/>
  <c r="AG22" i="7"/>
  <c r="AB22" i="7"/>
  <c r="AA22" i="7"/>
  <c r="Z22" i="7"/>
  <c r="Y22" i="7"/>
  <c r="X22" i="7"/>
  <c r="W22" i="7"/>
  <c r="V22" i="7"/>
  <c r="U22" i="7"/>
  <c r="T22" i="7"/>
  <c r="S22" i="7"/>
  <c r="R22" i="7"/>
  <c r="Q22" i="7"/>
  <c r="P22" i="7"/>
  <c r="O22" i="7"/>
  <c r="N22" i="7"/>
  <c r="M22" i="7"/>
  <c r="L22" i="7"/>
  <c r="K22" i="7"/>
  <c r="J22" i="7"/>
  <c r="I22" i="7"/>
  <c r="AH21" i="7"/>
  <c r="AG21" i="7"/>
  <c r="AF21" i="7"/>
  <c r="AD21" i="7"/>
  <c r="AB21" i="7"/>
  <c r="AA21" i="7"/>
  <c r="Z21" i="7"/>
  <c r="Y21" i="7"/>
  <c r="X21" i="7"/>
  <c r="W21" i="7"/>
  <c r="V21" i="7"/>
  <c r="U21" i="7"/>
  <c r="T21" i="7"/>
  <c r="S21" i="7"/>
  <c r="R21" i="7"/>
  <c r="Q21" i="7"/>
  <c r="P21" i="7"/>
  <c r="O21" i="7"/>
  <c r="N21" i="7"/>
  <c r="M21" i="7"/>
  <c r="L21" i="7"/>
  <c r="K21" i="7"/>
  <c r="J21" i="7"/>
  <c r="I21" i="7"/>
  <c r="AH20" i="7"/>
  <c r="AG20" i="7"/>
  <c r="AF20" i="7"/>
  <c r="AD20" i="7"/>
  <c r="AB20" i="7"/>
  <c r="AA20" i="7"/>
  <c r="Z20" i="7"/>
  <c r="Y20" i="7"/>
  <c r="X20" i="7"/>
  <c r="W20" i="7"/>
  <c r="V20" i="7"/>
  <c r="U20" i="7"/>
  <c r="T20" i="7"/>
  <c r="S20" i="7"/>
  <c r="R20" i="7"/>
  <c r="Q20" i="7"/>
  <c r="P20" i="7"/>
  <c r="O20" i="7"/>
  <c r="N20" i="7"/>
  <c r="M20" i="7"/>
  <c r="L20" i="7"/>
  <c r="K20" i="7"/>
  <c r="J20" i="7"/>
  <c r="I20" i="7"/>
  <c r="AJ19" i="7"/>
  <c r="AI19" i="7"/>
  <c r="AH19" i="7"/>
  <c r="AG19" i="7"/>
  <c r="AB19" i="7"/>
  <c r="AA19" i="7"/>
  <c r="Z19" i="7"/>
  <c r="Y19" i="7"/>
  <c r="X19" i="7"/>
  <c r="W19" i="7"/>
  <c r="V19" i="7"/>
  <c r="U19" i="7"/>
  <c r="T19" i="7"/>
  <c r="S19" i="7"/>
  <c r="R19" i="7"/>
  <c r="Q19" i="7"/>
  <c r="P19" i="7"/>
  <c r="O19" i="7"/>
  <c r="N19" i="7"/>
  <c r="M19" i="7"/>
  <c r="L19" i="7"/>
  <c r="K19" i="7"/>
  <c r="J19" i="7"/>
  <c r="I19" i="7"/>
  <c r="AJ18" i="7"/>
  <c r="AI18" i="7"/>
  <c r="AH18" i="7"/>
  <c r="AG18" i="7"/>
  <c r="AB18" i="7"/>
  <c r="AA18" i="7"/>
  <c r="Z18" i="7"/>
  <c r="Y18" i="7"/>
  <c r="X18" i="7"/>
  <c r="W18" i="7"/>
  <c r="V18" i="7"/>
  <c r="U18" i="7"/>
  <c r="T18" i="7"/>
  <c r="S18" i="7"/>
  <c r="R18" i="7"/>
  <c r="Q18" i="7"/>
  <c r="P18" i="7"/>
  <c r="O18" i="7"/>
  <c r="N18" i="7"/>
  <c r="M18" i="7"/>
  <c r="L18" i="7"/>
  <c r="K18" i="7"/>
  <c r="J18" i="7"/>
  <c r="I18" i="7"/>
  <c r="AH17" i="7"/>
  <c r="AG17" i="7"/>
  <c r="AB17" i="7"/>
  <c r="AA17" i="7"/>
  <c r="Z17" i="7"/>
  <c r="Y17" i="7"/>
  <c r="X17" i="7"/>
  <c r="W17" i="7"/>
  <c r="V17" i="7"/>
  <c r="U17" i="7"/>
  <c r="T17" i="7"/>
  <c r="S17" i="7"/>
  <c r="R17" i="7"/>
  <c r="Q17" i="7"/>
  <c r="P17" i="7"/>
  <c r="O17" i="7"/>
  <c r="N17" i="7"/>
  <c r="M17" i="7"/>
  <c r="L17" i="7"/>
  <c r="K17" i="7"/>
  <c r="J17" i="7"/>
  <c r="I17" i="7"/>
  <c r="AG16" i="7"/>
  <c r="AB16" i="7"/>
  <c r="AA16" i="7"/>
  <c r="Z16" i="7"/>
  <c r="Y16" i="7"/>
  <c r="X16" i="7"/>
  <c r="W16" i="7"/>
  <c r="V16" i="7"/>
  <c r="U16" i="7"/>
  <c r="T16" i="7"/>
  <c r="S16" i="7"/>
  <c r="R16" i="7"/>
  <c r="Q16" i="7"/>
  <c r="P16" i="7"/>
  <c r="O16" i="7"/>
  <c r="N16" i="7"/>
  <c r="M16" i="7"/>
  <c r="L16" i="7"/>
  <c r="K16" i="7"/>
  <c r="J16" i="7"/>
  <c r="I16" i="7"/>
  <c r="AG15" i="7"/>
  <c r="AB15" i="7"/>
  <c r="AA15" i="7"/>
  <c r="Z15" i="7"/>
  <c r="Y15" i="7"/>
  <c r="X15" i="7"/>
  <c r="W15" i="7"/>
  <c r="V15" i="7"/>
  <c r="U15" i="7"/>
  <c r="T15" i="7"/>
  <c r="S15" i="7"/>
  <c r="R15" i="7"/>
  <c r="Q15" i="7"/>
  <c r="P15" i="7"/>
  <c r="O15" i="7"/>
  <c r="N15" i="7"/>
  <c r="M15" i="7"/>
  <c r="L15" i="7"/>
  <c r="K15" i="7"/>
  <c r="J15" i="7"/>
  <c r="I15" i="7"/>
  <c r="AL14" i="7"/>
  <c r="AK14" i="7"/>
  <c r="AJ14" i="7"/>
  <c r="AI14" i="7"/>
  <c r="AH14" i="7"/>
  <c r="AG14" i="7"/>
  <c r="AB14" i="7"/>
  <c r="AA14" i="7"/>
  <c r="Z14" i="7"/>
  <c r="Y14" i="7"/>
  <c r="X14" i="7"/>
  <c r="W14" i="7"/>
  <c r="V14" i="7"/>
  <c r="U14" i="7"/>
  <c r="T14" i="7"/>
  <c r="S14" i="7"/>
  <c r="R14" i="7"/>
  <c r="Q14" i="7"/>
  <c r="P14" i="7"/>
  <c r="O14" i="7"/>
  <c r="N14" i="7"/>
  <c r="M14" i="7"/>
  <c r="L14" i="7"/>
  <c r="K14" i="7"/>
  <c r="J14" i="7"/>
  <c r="I14" i="7"/>
  <c r="AL13" i="7"/>
  <c r="AK13" i="7"/>
  <c r="AJ13" i="7"/>
  <c r="AI13" i="7"/>
  <c r="AH13" i="7"/>
  <c r="AG13" i="7"/>
  <c r="AB13" i="7"/>
  <c r="AA13" i="7"/>
  <c r="Z13" i="7"/>
  <c r="Y13" i="7"/>
  <c r="X13" i="7"/>
  <c r="W13" i="7"/>
  <c r="V13" i="7"/>
  <c r="U13" i="7"/>
  <c r="T13" i="7"/>
  <c r="S13" i="7"/>
  <c r="R13" i="7"/>
  <c r="Q13" i="7"/>
  <c r="P13" i="7"/>
  <c r="O13" i="7"/>
  <c r="N13" i="7"/>
  <c r="M13" i="7"/>
  <c r="L13" i="7"/>
  <c r="K13" i="7"/>
  <c r="J13" i="7"/>
  <c r="I13" i="7"/>
  <c r="AL12" i="7"/>
  <c r="AK12" i="7"/>
  <c r="AJ12" i="7"/>
  <c r="AI12" i="7"/>
  <c r="AH12" i="7"/>
  <c r="AG12" i="7"/>
  <c r="AB12" i="7"/>
  <c r="AA12" i="7"/>
  <c r="Z12" i="7"/>
  <c r="Y12" i="7"/>
  <c r="X12" i="7"/>
  <c r="W12" i="7"/>
  <c r="V12" i="7"/>
  <c r="U12" i="7"/>
  <c r="T12" i="7"/>
  <c r="S12" i="7"/>
  <c r="R12" i="7"/>
  <c r="Q12" i="7"/>
  <c r="P12" i="7"/>
  <c r="O12" i="7"/>
  <c r="N12" i="7"/>
  <c r="M12" i="7"/>
  <c r="L12" i="7"/>
  <c r="K12" i="7"/>
  <c r="J12" i="7"/>
  <c r="I12" i="7"/>
  <c r="AJ11" i="7"/>
  <c r="AI11" i="7"/>
  <c r="AH11" i="7"/>
  <c r="AG11" i="7"/>
  <c r="AB11" i="7"/>
  <c r="AA11" i="7"/>
  <c r="Z11" i="7"/>
  <c r="Y11" i="7"/>
  <c r="X11" i="7"/>
  <c r="W11" i="7"/>
  <c r="V11" i="7"/>
  <c r="U11" i="7"/>
  <c r="T11" i="7"/>
  <c r="S11" i="7"/>
  <c r="R11" i="7"/>
  <c r="Q11" i="7"/>
  <c r="P11" i="7"/>
  <c r="O11" i="7"/>
  <c r="N11" i="7"/>
  <c r="M11" i="7"/>
  <c r="L11" i="7"/>
  <c r="K11" i="7"/>
  <c r="J11" i="7"/>
  <c r="I11" i="7"/>
  <c r="AJ10" i="7"/>
  <c r="AI10" i="7"/>
  <c r="AH10" i="7"/>
  <c r="AG10" i="7"/>
  <c r="AB10" i="7"/>
  <c r="AA10" i="7"/>
  <c r="Z10" i="7"/>
  <c r="Y10" i="7"/>
  <c r="X10" i="7"/>
  <c r="W10" i="7"/>
  <c r="V10" i="7"/>
  <c r="U10" i="7"/>
  <c r="T10" i="7"/>
  <c r="S10" i="7"/>
  <c r="R10" i="7"/>
  <c r="Q10" i="7"/>
  <c r="P10" i="7"/>
  <c r="O10" i="7"/>
  <c r="N10" i="7"/>
  <c r="M10" i="7"/>
  <c r="L10" i="7"/>
  <c r="K10" i="7"/>
  <c r="J10" i="7"/>
  <c r="I10" i="7"/>
  <c r="AJ9" i="7"/>
  <c r="AI9" i="7"/>
  <c r="AH9" i="7"/>
  <c r="AG9" i="7"/>
  <c r="AB9" i="7"/>
  <c r="AA9" i="7"/>
  <c r="Z9" i="7"/>
  <c r="Y9" i="7"/>
  <c r="X9" i="7"/>
  <c r="W9" i="7"/>
  <c r="V9" i="7"/>
  <c r="U9" i="7"/>
  <c r="T9" i="7"/>
  <c r="S9" i="7"/>
  <c r="R9" i="7"/>
  <c r="Q9" i="7"/>
  <c r="P9" i="7"/>
  <c r="O9" i="7"/>
  <c r="N9" i="7"/>
  <c r="M9" i="7"/>
  <c r="L9" i="7"/>
  <c r="K9" i="7"/>
  <c r="J9" i="7"/>
  <c r="I9" i="7"/>
  <c r="AJ8" i="7"/>
  <c r="AI8" i="7"/>
  <c r="AH8" i="7"/>
  <c r="AG8" i="7"/>
  <c r="AB8" i="7"/>
  <c r="AA8" i="7"/>
  <c r="Z8" i="7"/>
  <c r="Y8" i="7"/>
  <c r="X8" i="7"/>
  <c r="W8" i="7"/>
  <c r="V8" i="7"/>
  <c r="U8" i="7"/>
  <c r="T8" i="7"/>
  <c r="S8" i="7"/>
  <c r="R8" i="7"/>
  <c r="Q8" i="7"/>
  <c r="P8" i="7"/>
  <c r="O8" i="7"/>
  <c r="N8" i="7"/>
  <c r="M8" i="7"/>
  <c r="L8" i="7"/>
  <c r="K8" i="7"/>
  <c r="J8" i="7"/>
  <c r="I8" i="7"/>
  <c r="AJ7" i="7"/>
  <c r="AI7" i="7"/>
  <c r="AH7" i="7"/>
  <c r="AG7" i="7"/>
  <c r="AB7" i="7"/>
  <c r="AA7" i="7"/>
  <c r="Z7" i="7"/>
  <c r="Y7" i="7"/>
  <c r="X7" i="7"/>
  <c r="W7" i="7"/>
  <c r="V7" i="7"/>
  <c r="U7" i="7"/>
  <c r="T7" i="7"/>
  <c r="S7" i="7"/>
  <c r="R7" i="7"/>
  <c r="Q7" i="7"/>
  <c r="P7" i="7"/>
  <c r="O7" i="7"/>
  <c r="N7" i="7"/>
  <c r="M7" i="7"/>
  <c r="L7" i="7"/>
  <c r="K7" i="7"/>
  <c r="J7" i="7"/>
  <c r="I7" i="7"/>
  <c r="AJ6" i="7"/>
  <c r="AI6" i="7"/>
  <c r="AH6" i="7"/>
  <c r="AG6" i="7"/>
  <c r="AB6" i="7"/>
  <c r="Z6" i="7"/>
  <c r="Y6" i="7"/>
  <c r="X6" i="7"/>
  <c r="W6" i="7"/>
  <c r="V6" i="7"/>
  <c r="U6" i="7"/>
  <c r="T6" i="7"/>
  <c r="S6" i="7"/>
  <c r="R6" i="7"/>
  <c r="Q6" i="7"/>
  <c r="P6" i="7"/>
  <c r="O6" i="7"/>
  <c r="N6" i="7"/>
  <c r="M6" i="7"/>
  <c r="L6" i="7"/>
  <c r="K6" i="7"/>
  <c r="J6" i="7"/>
  <c r="I6" i="7"/>
  <c r="AL5" i="7"/>
  <c r="AK5" i="7"/>
  <c r="AJ5" i="7"/>
  <c r="AI5" i="7"/>
  <c r="AH5" i="7"/>
  <c r="AG5" i="7"/>
  <c r="AB5" i="7"/>
  <c r="AA5" i="7"/>
  <c r="Z5" i="7"/>
  <c r="Y5" i="7"/>
  <c r="X5" i="7"/>
  <c r="W5" i="7"/>
  <c r="V5" i="7"/>
  <c r="U5" i="7"/>
  <c r="T5" i="7"/>
  <c r="S5" i="7"/>
  <c r="R5" i="7"/>
  <c r="Q5" i="7"/>
  <c r="P5" i="7"/>
  <c r="O5" i="7"/>
  <c r="N5" i="7"/>
  <c r="M5" i="7"/>
  <c r="L5" i="7"/>
  <c r="K5" i="7"/>
  <c r="J5" i="7"/>
  <c r="I5" i="7"/>
  <c r="AG4" i="7"/>
  <c r="AB4" i="7"/>
  <c r="AA4" i="7"/>
  <c r="Z4" i="7"/>
  <c r="Y4" i="7"/>
  <c r="X4" i="7"/>
  <c r="W4" i="7"/>
  <c r="V4" i="7"/>
  <c r="U4" i="7"/>
  <c r="T4" i="7"/>
  <c r="S4" i="7"/>
  <c r="R4" i="7"/>
  <c r="Q4" i="7"/>
  <c r="P4" i="7"/>
  <c r="O4" i="7"/>
  <c r="N4" i="7"/>
  <c r="M4" i="7"/>
  <c r="L4" i="7"/>
  <c r="K4" i="7"/>
  <c r="J4" i="7"/>
  <c r="I4" i="7"/>
  <c r="AH3" i="7"/>
  <c r="AG3" i="7"/>
  <c r="AB3" i="7"/>
  <c r="AA3" i="7"/>
  <c r="Z3" i="7"/>
  <c r="Y3" i="7"/>
  <c r="X3" i="7"/>
  <c r="W3" i="7"/>
  <c r="V3" i="7"/>
  <c r="U3" i="7"/>
  <c r="T3" i="7"/>
  <c r="S3" i="7"/>
  <c r="R3" i="7"/>
  <c r="Q3" i="7"/>
  <c r="P3" i="7"/>
  <c r="O3" i="7"/>
  <c r="N3" i="7"/>
  <c r="M3" i="7"/>
  <c r="L3" i="7"/>
  <c r="K3" i="7"/>
  <c r="J3" i="7"/>
  <c r="I3" i="7"/>
  <c r="AH2" i="7"/>
  <c r="AG2" i="7"/>
  <c r="AB2" i="7"/>
  <c r="AA2" i="7"/>
  <c r="Z2" i="7"/>
  <c r="Y2" i="7"/>
  <c r="X2" i="7"/>
  <c r="W2" i="7"/>
  <c r="V2" i="7"/>
  <c r="U2" i="7"/>
  <c r="T2" i="7"/>
  <c r="S2" i="7"/>
  <c r="R2" i="7"/>
  <c r="Q2" i="7"/>
  <c r="P2" i="7"/>
  <c r="O2" i="7"/>
  <c r="N2" i="7"/>
  <c r="M2" i="7"/>
  <c r="L2" i="7"/>
  <c r="K2" i="7"/>
  <c r="J2" i="7"/>
  <c r="I2" i="7"/>
  <c r="AL87" i="6"/>
  <c r="AK87" i="6"/>
  <c r="AJ87" i="6"/>
  <c r="AI87" i="6"/>
  <c r="AH87" i="6"/>
  <c r="AG87" i="6"/>
  <c r="AF87" i="6"/>
  <c r="AE87" i="6"/>
  <c r="AD87" i="6"/>
  <c r="AC87" i="6"/>
  <c r="AB87" i="6"/>
  <c r="AA87" i="6"/>
  <c r="Z87" i="6"/>
  <c r="Y87" i="6"/>
  <c r="X87" i="6"/>
  <c r="W87" i="6"/>
  <c r="V87" i="6"/>
  <c r="U87" i="6"/>
  <c r="T87" i="6"/>
  <c r="S87" i="6"/>
  <c r="R87" i="6"/>
  <c r="Q87" i="6"/>
  <c r="P87" i="6"/>
  <c r="O87" i="6"/>
  <c r="N87" i="6"/>
  <c r="M87" i="6"/>
  <c r="L87" i="6"/>
  <c r="K87" i="6"/>
  <c r="J87" i="6"/>
  <c r="I87" i="6"/>
  <c r="AJ86" i="6"/>
  <c r="AI86" i="6"/>
  <c r="AH86" i="6"/>
  <c r="AG86" i="6"/>
  <c r="AF86" i="6"/>
  <c r="AE86" i="6"/>
  <c r="AD86" i="6"/>
  <c r="AC86" i="6"/>
  <c r="AB86" i="6"/>
  <c r="AA86" i="6"/>
  <c r="Z86" i="6"/>
  <c r="Y86" i="6"/>
  <c r="X86" i="6"/>
  <c r="W86" i="6"/>
  <c r="V86" i="6"/>
  <c r="U86" i="6"/>
  <c r="T86" i="6"/>
  <c r="S86" i="6"/>
  <c r="R86" i="6"/>
  <c r="Q86" i="6"/>
  <c r="P86" i="6"/>
  <c r="O86" i="6"/>
  <c r="N86" i="6"/>
  <c r="M86" i="6"/>
  <c r="L86" i="6"/>
  <c r="K86" i="6"/>
  <c r="J86" i="6"/>
  <c r="I86" i="6"/>
  <c r="AL85" i="6"/>
  <c r="AK85" i="6"/>
  <c r="AJ85" i="6"/>
  <c r="AI85" i="6"/>
  <c r="AH85" i="6"/>
  <c r="AG85" i="6"/>
  <c r="AF85" i="6"/>
  <c r="AE85" i="6"/>
  <c r="AD85" i="6"/>
  <c r="AC85" i="6"/>
  <c r="AB85" i="6"/>
  <c r="AA85" i="6"/>
  <c r="Z85" i="6"/>
  <c r="Y85" i="6"/>
  <c r="X85" i="6"/>
  <c r="W85" i="6"/>
  <c r="V85" i="6"/>
  <c r="U85" i="6"/>
  <c r="T85" i="6"/>
  <c r="S85" i="6"/>
  <c r="R85" i="6"/>
  <c r="Q85" i="6"/>
  <c r="P85" i="6"/>
  <c r="O85" i="6"/>
  <c r="N85" i="6"/>
  <c r="M85" i="6"/>
  <c r="L85" i="6"/>
  <c r="K85" i="6"/>
  <c r="J85" i="6"/>
  <c r="I85" i="6"/>
  <c r="AJ84" i="6"/>
  <c r="AI84" i="6"/>
  <c r="AH84" i="6"/>
  <c r="AG84" i="6"/>
  <c r="AF84" i="6"/>
  <c r="AE84" i="6"/>
  <c r="AD84" i="6"/>
  <c r="AC84" i="6"/>
  <c r="AB84" i="6"/>
  <c r="AA84" i="6"/>
  <c r="Z84" i="6"/>
  <c r="Y84" i="6"/>
  <c r="X84" i="6"/>
  <c r="W84" i="6"/>
  <c r="V84" i="6"/>
  <c r="U84" i="6"/>
  <c r="T84" i="6"/>
  <c r="S84" i="6"/>
  <c r="R84" i="6"/>
  <c r="Q84" i="6"/>
  <c r="P84" i="6"/>
  <c r="O84" i="6"/>
  <c r="N84" i="6"/>
  <c r="M84" i="6"/>
  <c r="L84" i="6"/>
  <c r="K84" i="6"/>
  <c r="J84" i="6"/>
  <c r="I84" i="6"/>
  <c r="AJ83" i="6"/>
  <c r="AI83" i="6"/>
  <c r="AH83" i="6"/>
  <c r="AG83" i="6"/>
  <c r="AF83" i="6"/>
  <c r="AE83" i="6"/>
  <c r="AD83" i="6"/>
  <c r="AC83" i="6"/>
  <c r="AB83" i="6"/>
  <c r="AA83" i="6"/>
  <c r="Z83" i="6"/>
  <c r="Y83" i="6"/>
  <c r="X83" i="6"/>
  <c r="W83" i="6"/>
  <c r="V83" i="6"/>
  <c r="U83" i="6"/>
  <c r="T83" i="6"/>
  <c r="S83" i="6"/>
  <c r="R83" i="6"/>
  <c r="Q83" i="6"/>
  <c r="P83" i="6"/>
  <c r="O83" i="6"/>
  <c r="N83" i="6"/>
  <c r="M83" i="6"/>
  <c r="L83" i="6"/>
  <c r="K83" i="6"/>
  <c r="J83" i="6"/>
  <c r="I83" i="6"/>
  <c r="AL82" i="6"/>
  <c r="AK82" i="6"/>
  <c r="AJ82" i="6"/>
  <c r="AI82" i="6"/>
  <c r="AH82" i="6"/>
  <c r="AG82" i="6"/>
  <c r="AF82" i="6"/>
  <c r="AE82" i="6"/>
  <c r="AD82" i="6"/>
  <c r="AC82" i="6"/>
  <c r="AB82" i="6"/>
  <c r="AA82" i="6"/>
  <c r="Z82" i="6"/>
  <c r="Y82" i="6"/>
  <c r="X82" i="6"/>
  <c r="W82" i="6"/>
  <c r="V82" i="6"/>
  <c r="U82" i="6"/>
  <c r="T82" i="6"/>
  <c r="S82" i="6"/>
  <c r="R82" i="6"/>
  <c r="Q82" i="6"/>
  <c r="P82" i="6"/>
  <c r="O82" i="6"/>
  <c r="N82" i="6"/>
  <c r="M82" i="6"/>
  <c r="L82" i="6"/>
  <c r="K82" i="6"/>
  <c r="J82" i="6"/>
  <c r="I82" i="6"/>
  <c r="AL81" i="6"/>
  <c r="AK81" i="6"/>
  <c r="AJ81" i="6"/>
  <c r="AI81" i="6"/>
  <c r="AH81" i="6"/>
  <c r="AG81" i="6"/>
  <c r="AF81" i="6"/>
  <c r="AE81" i="6"/>
  <c r="AD81" i="6"/>
  <c r="AC81" i="6"/>
  <c r="AB81" i="6"/>
  <c r="AA81" i="6"/>
  <c r="Z81" i="6"/>
  <c r="Y81" i="6"/>
  <c r="X81" i="6"/>
  <c r="W81" i="6"/>
  <c r="V81" i="6"/>
  <c r="U81" i="6"/>
  <c r="T81" i="6"/>
  <c r="S81" i="6"/>
  <c r="R81" i="6"/>
  <c r="Q81" i="6"/>
  <c r="P81" i="6"/>
  <c r="O81" i="6"/>
  <c r="N81" i="6"/>
  <c r="M81" i="6"/>
  <c r="L81" i="6"/>
  <c r="K81" i="6"/>
  <c r="J81" i="6"/>
  <c r="I81" i="6"/>
  <c r="AJ80" i="6"/>
  <c r="AI80" i="6"/>
  <c r="AH80" i="6"/>
  <c r="AG80" i="6"/>
  <c r="AF80" i="6"/>
  <c r="AE80" i="6"/>
  <c r="AD80" i="6"/>
  <c r="AC80" i="6"/>
  <c r="AB80" i="6"/>
  <c r="AA80" i="6"/>
  <c r="Z80" i="6"/>
  <c r="Y80" i="6"/>
  <c r="X80" i="6"/>
  <c r="W80" i="6"/>
  <c r="V80" i="6"/>
  <c r="U80" i="6"/>
  <c r="T80" i="6"/>
  <c r="S80" i="6"/>
  <c r="R80" i="6"/>
  <c r="Q80" i="6"/>
  <c r="P80" i="6"/>
  <c r="O80" i="6"/>
  <c r="N80" i="6"/>
  <c r="M80" i="6"/>
  <c r="L80" i="6"/>
  <c r="K80" i="6"/>
  <c r="J80" i="6"/>
  <c r="I80" i="6"/>
  <c r="AH79" i="6"/>
  <c r="AG79" i="6"/>
  <c r="AF79" i="6"/>
  <c r="AE79" i="6"/>
  <c r="AD79" i="6"/>
  <c r="AC79" i="6"/>
  <c r="AB79" i="6"/>
  <c r="AA79" i="6"/>
  <c r="Z79" i="6"/>
  <c r="Y79" i="6"/>
  <c r="X79" i="6"/>
  <c r="W79" i="6"/>
  <c r="V79" i="6"/>
  <c r="U79" i="6"/>
  <c r="T79" i="6"/>
  <c r="S79" i="6"/>
  <c r="R79" i="6"/>
  <c r="Q79" i="6"/>
  <c r="P79" i="6"/>
  <c r="O79" i="6"/>
  <c r="N79" i="6"/>
  <c r="M79" i="6"/>
  <c r="L79" i="6"/>
  <c r="K79" i="6"/>
  <c r="J79" i="6"/>
  <c r="I79" i="6"/>
  <c r="AL78" i="6"/>
  <c r="AK78" i="6"/>
  <c r="AJ78" i="6"/>
  <c r="AI78" i="6"/>
  <c r="AH78" i="6"/>
  <c r="AG78" i="6"/>
  <c r="AF78" i="6"/>
  <c r="AE78" i="6"/>
  <c r="AD78" i="6"/>
  <c r="AC78" i="6"/>
  <c r="AB78" i="6"/>
  <c r="AA78" i="6"/>
  <c r="Z78" i="6"/>
  <c r="Y78" i="6"/>
  <c r="X78" i="6"/>
  <c r="W78" i="6"/>
  <c r="V78" i="6"/>
  <c r="U78" i="6"/>
  <c r="T78" i="6"/>
  <c r="S78" i="6"/>
  <c r="R78" i="6"/>
  <c r="Q78" i="6"/>
  <c r="P78" i="6"/>
  <c r="O78" i="6"/>
  <c r="N78" i="6"/>
  <c r="M78" i="6"/>
  <c r="L78" i="6"/>
  <c r="K78" i="6"/>
  <c r="J78" i="6"/>
  <c r="I78" i="6"/>
  <c r="AH77" i="6"/>
  <c r="AG77" i="6"/>
  <c r="AF77" i="6"/>
  <c r="AE77" i="6"/>
  <c r="AD77" i="6"/>
  <c r="AC77" i="6"/>
  <c r="AB77" i="6"/>
  <c r="AA77" i="6"/>
  <c r="Z77" i="6"/>
  <c r="Y77" i="6"/>
  <c r="X77" i="6"/>
  <c r="W77" i="6"/>
  <c r="V77" i="6"/>
  <c r="U77" i="6"/>
  <c r="T77" i="6"/>
  <c r="S77" i="6"/>
  <c r="R77" i="6"/>
  <c r="Q77" i="6"/>
  <c r="P77" i="6"/>
  <c r="O77" i="6"/>
  <c r="N77" i="6"/>
  <c r="M77" i="6"/>
  <c r="L77" i="6"/>
  <c r="K77" i="6"/>
  <c r="J77" i="6"/>
  <c r="I77" i="6"/>
  <c r="AH76" i="6"/>
  <c r="AG76" i="6"/>
  <c r="AF76" i="6"/>
  <c r="AE76" i="6"/>
  <c r="AD76" i="6"/>
  <c r="AC76" i="6"/>
  <c r="AB76" i="6"/>
  <c r="AA76" i="6"/>
  <c r="Z76" i="6"/>
  <c r="Y76" i="6"/>
  <c r="X76" i="6"/>
  <c r="W76" i="6"/>
  <c r="V76" i="6"/>
  <c r="U76" i="6"/>
  <c r="T76" i="6"/>
  <c r="S76" i="6"/>
  <c r="R76" i="6"/>
  <c r="Q76" i="6"/>
  <c r="P76" i="6"/>
  <c r="O76" i="6"/>
  <c r="N76" i="6"/>
  <c r="M76" i="6"/>
  <c r="L76" i="6"/>
  <c r="K76" i="6"/>
  <c r="J76" i="6"/>
  <c r="I76" i="6"/>
  <c r="AL75" i="6"/>
  <c r="AK75" i="6"/>
  <c r="AJ75" i="6"/>
  <c r="AI75" i="6"/>
  <c r="AH75" i="6"/>
  <c r="AG75" i="6"/>
  <c r="AF75" i="6"/>
  <c r="AE75" i="6"/>
  <c r="AD75" i="6"/>
  <c r="AC75" i="6"/>
  <c r="AB75" i="6"/>
  <c r="AA75" i="6"/>
  <c r="Z75" i="6"/>
  <c r="Y75" i="6"/>
  <c r="X75" i="6"/>
  <c r="W75" i="6"/>
  <c r="V75" i="6"/>
  <c r="U75" i="6"/>
  <c r="T75" i="6"/>
  <c r="S75" i="6"/>
  <c r="R75" i="6"/>
  <c r="Q75" i="6"/>
  <c r="P75" i="6"/>
  <c r="O75" i="6"/>
  <c r="N75" i="6"/>
  <c r="M75" i="6"/>
  <c r="L75" i="6"/>
  <c r="K75" i="6"/>
  <c r="J75" i="6"/>
  <c r="I75" i="6"/>
  <c r="AJ74" i="6"/>
  <c r="AI74" i="6"/>
  <c r="AH74" i="6"/>
  <c r="AG74" i="6"/>
  <c r="AF74" i="6"/>
  <c r="AE74" i="6"/>
  <c r="AD74" i="6"/>
  <c r="AC74" i="6"/>
  <c r="AB74" i="6"/>
  <c r="AA74" i="6"/>
  <c r="Z74" i="6"/>
  <c r="Y74" i="6"/>
  <c r="X74" i="6"/>
  <c r="W74" i="6"/>
  <c r="V74" i="6"/>
  <c r="U74" i="6"/>
  <c r="T74" i="6"/>
  <c r="S74" i="6"/>
  <c r="R74" i="6"/>
  <c r="Q74" i="6"/>
  <c r="P74" i="6"/>
  <c r="O74" i="6"/>
  <c r="N74" i="6"/>
  <c r="M74" i="6"/>
  <c r="L74" i="6"/>
  <c r="K74" i="6"/>
  <c r="J74" i="6"/>
  <c r="I74" i="6"/>
  <c r="AP73" i="6"/>
  <c r="AO73" i="6"/>
  <c r="AN73" i="6"/>
  <c r="AM73" i="6"/>
  <c r="AL73" i="6"/>
  <c r="AK73" i="6"/>
  <c r="AJ73" i="6"/>
  <c r="AI73" i="6"/>
  <c r="AH73" i="6"/>
  <c r="AG73" i="6"/>
  <c r="AF73" i="6"/>
  <c r="AE73" i="6"/>
  <c r="AD73" i="6"/>
  <c r="AC73" i="6"/>
  <c r="AB73" i="6"/>
  <c r="AA73" i="6"/>
  <c r="Z73" i="6"/>
  <c r="Y73" i="6"/>
  <c r="X73" i="6"/>
  <c r="W73" i="6"/>
  <c r="V73" i="6"/>
  <c r="U73" i="6"/>
  <c r="T73" i="6"/>
  <c r="S73" i="6"/>
  <c r="R73" i="6"/>
  <c r="Q73" i="6"/>
  <c r="P73" i="6"/>
  <c r="O73" i="6"/>
  <c r="N73" i="6"/>
  <c r="M73" i="6"/>
  <c r="L73" i="6"/>
  <c r="K73" i="6"/>
  <c r="J73" i="6"/>
  <c r="I73" i="6"/>
  <c r="AP72" i="6"/>
  <c r="AO72" i="6"/>
  <c r="AN72" i="6"/>
  <c r="AM72" i="6"/>
  <c r="AL72" i="6"/>
  <c r="AK72" i="6"/>
  <c r="AJ72" i="6"/>
  <c r="AI72" i="6"/>
  <c r="AH72" i="6"/>
  <c r="AG72" i="6"/>
  <c r="AF72" i="6"/>
  <c r="AE72" i="6"/>
  <c r="AD72" i="6"/>
  <c r="AC72" i="6"/>
  <c r="AB72" i="6"/>
  <c r="AA72" i="6"/>
  <c r="Z72" i="6"/>
  <c r="Y72" i="6"/>
  <c r="X72" i="6"/>
  <c r="W72" i="6"/>
  <c r="V72" i="6"/>
  <c r="U72" i="6"/>
  <c r="T72" i="6"/>
  <c r="S72" i="6"/>
  <c r="R72" i="6"/>
  <c r="Q72" i="6"/>
  <c r="P72" i="6"/>
  <c r="O72" i="6"/>
  <c r="N72" i="6"/>
  <c r="M72" i="6"/>
  <c r="L72" i="6"/>
  <c r="K72" i="6"/>
  <c r="J72" i="6"/>
  <c r="I72" i="6"/>
  <c r="AN71" i="6"/>
  <c r="AM71" i="6"/>
  <c r="AL71" i="6"/>
  <c r="AK71" i="6"/>
  <c r="AJ71" i="6"/>
  <c r="AI71" i="6"/>
  <c r="AH71" i="6"/>
  <c r="AG71" i="6"/>
  <c r="AF71" i="6"/>
  <c r="AE71" i="6"/>
  <c r="AD71" i="6"/>
  <c r="AC71" i="6"/>
  <c r="AB71" i="6"/>
  <c r="AA71" i="6"/>
  <c r="Z71" i="6"/>
  <c r="Y71" i="6"/>
  <c r="X71" i="6"/>
  <c r="W71" i="6"/>
  <c r="V71" i="6"/>
  <c r="U71" i="6"/>
  <c r="T71" i="6"/>
  <c r="S71" i="6"/>
  <c r="R71" i="6"/>
  <c r="Q71" i="6"/>
  <c r="P71" i="6"/>
  <c r="O71" i="6"/>
  <c r="N71" i="6"/>
  <c r="M71" i="6"/>
  <c r="L71" i="6"/>
  <c r="K71" i="6"/>
  <c r="J71" i="6"/>
  <c r="I71" i="6"/>
  <c r="AL70" i="6"/>
  <c r="AK70" i="6"/>
  <c r="AJ70" i="6"/>
  <c r="AI70" i="6"/>
  <c r="AH70" i="6"/>
  <c r="AG70" i="6"/>
  <c r="AF70" i="6"/>
  <c r="AE70" i="6"/>
  <c r="AD70" i="6"/>
  <c r="AC70" i="6"/>
  <c r="AB70" i="6"/>
  <c r="AA70" i="6"/>
  <c r="Z70" i="6"/>
  <c r="Y70" i="6"/>
  <c r="X70" i="6"/>
  <c r="W70" i="6"/>
  <c r="V70" i="6"/>
  <c r="U70" i="6"/>
  <c r="T70" i="6"/>
  <c r="S70" i="6"/>
  <c r="R70" i="6"/>
  <c r="Q70" i="6"/>
  <c r="P70" i="6"/>
  <c r="O70" i="6"/>
  <c r="N70" i="6"/>
  <c r="M70" i="6"/>
  <c r="L70" i="6"/>
  <c r="K70" i="6"/>
  <c r="J70" i="6"/>
  <c r="I70" i="6"/>
  <c r="AL69" i="6"/>
  <c r="AK69" i="6"/>
  <c r="AJ69" i="6"/>
  <c r="AI69" i="6"/>
  <c r="AH69" i="6"/>
  <c r="AG69" i="6"/>
  <c r="AF69" i="6"/>
  <c r="AE69" i="6"/>
  <c r="AD69" i="6"/>
  <c r="AC69" i="6"/>
  <c r="AB69" i="6"/>
  <c r="AA69" i="6"/>
  <c r="Z69" i="6"/>
  <c r="Y69" i="6"/>
  <c r="X69" i="6"/>
  <c r="W69" i="6"/>
  <c r="V69" i="6"/>
  <c r="U69" i="6"/>
  <c r="T69" i="6"/>
  <c r="S69" i="6"/>
  <c r="R69" i="6"/>
  <c r="Q69" i="6"/>
  <c r="P69" i="6"/>
  <c r="O69" i="6"/>
  <c r="N69" i="6"/>
  <c r="M69" i="6"/>
  <c r="L69" i="6"/>
  <c r="K69" i="6"/>
  <c r="J69" i="6"/>
  <c r="I69" i="6"/>
  <c r="AN68" i="6"/>
  <c r="AM68" i="6"/>
  <c r="AL68" i="6"/>
  <c r="AK68" i="6"/>
  <c r="AJ68" i="6"/>
  <c r="AI68" i="6"/>
  <c r="AH68" i="6"/>
  <c r="AG68" i="6"/>
  <c r="AF68" i="6"/>
  <c r="AE68" i="6"/>
  <c r="AD68" i="6"/>
  <c r="AC68" i="6"/>
  <c r="AB68" i="6"/>
  <c r="AA68" i="6"/>
  <c r="Z68" i="6"/>
  <c r="Y68" i="6"/>
  <c r="X68" i="6"/>
  <c r="W68" i="6"/>
  <c r="V68" i="6"/>
  <c r="U68" i="6"/>
  <c r="T68" i="6"/>
  <c r="S68" i="6"/>
  <c r="R68" i="6"/>
  <c r="Q68" i="6"/>
  <c r="P68" i="6"/>
  <c r="O68" i="6"/>
  <c r="N68" i="6"/>
  <c r="M68" i="6"/>
  <c r="L68" i="6"/>
  <c r="K68" i="6"/>
  <c r="J68" i="6"/>
  <c r="I68" i="6"/>
  <c r="AL67" i="6"/>
  <c r="AK67" i="6"/>
  <c r="AJ67" i="6"/>
  <c r="AI67" i="6"/>
  <c r="AH67" i="6"/>
  <c r="AG67" i="6"/>
  <c r="AF67" i="6"/>
  <c r="AE67" i="6"/>
  <c r="AD67" i="6"/>
  <c r="AC67" i="6"/>
  <c r="AB67" i="6"/>
  <c r="AA67" i="6"/>
  <c r="Z67" i="6"/>
  <c r="Y67" i="6"/>
  <c r="X67" i="6"/>
  <c r="W67" i="6"/>
  <c r="V67" i="6"/>
  <c r="U67" i="6"/>
  <c r="T67" i="6"/>
  <c r="S67" i="6"/>
  <c r="R67" i="6"/>
  <c r="Q67" i="6"/>
  <c r="P67" i="6"/>
  <c r="O67" i="6"/>
  <c r="N67" i="6"/>
  <c r="M67" i="6"/>
  <c r="L67" i="6"/>
  <c r="K67" i="6"/>
  <c r="J67" i="6"/>
  <c r="I67" i="6"/>
  <c r="AH66" i="6"/>
  <c r="AG66" i="6"/>
  <c r="AF66" i="6"/>
  <c r="AE66" i="6"/>
  <c r="AD66" i="6"/>
  <c r="AC66" i="6"/>
  <c r="AB66" i="6"/>
  <c r="AA66" i="6"/>
  <c r="Z66" i="6"/>
  <c r="Y66" i="6"/>
  <c r="X66" i="6"/>
  <c r="W66" i="6"/>
  <c r="V66" i="6"/>
  <c r="U66" i="6"/>
  <c r="T66" i="6"/>
  <c r="S66" i="6"/>
  <c r="R66" i="6"/>
  <c r="Q66" i="6"/>
  <c r="P66" i="6"/>
  <c r="O66" i="6"/>
  <c r="N66" i="6"/>
  <c r="M66" i="6"/>
  <c r="L66" i="6"/>
  <c r="K66" i="6"/>
  <c r="J66" i="6"/>
  <c r="I66" i="6"/>
  <c r="AH65" i="6"/>
  <c r="AG65" i="6"/>
  <c r="AF65" i="6"/>
  <c r="AE65" i="6"/>
  <c r="AD65" i="6"/>
  <c r="AC65" i="6"/>
  <c r="AB65" i="6"/>
  <c r="AA65" i="6"/>
  <c r="Z65" i="6"/>
  <c r="Y65" i="6"/>
  <c r="X65" i="6"/>
  <c r="W65" i="6"/>
  <c r="V65" i="6"/>
  <c r="U65" i="6"/>
  <c r="T65" i="6"/>
  <c r="S65" i="6"/>
  <c r="R65" i="6"/>
  <c r="Q65" i="6"/>
  <c r="P65" i="6"/>
  <c r="O65" i="6"/>
  <c r="N65" i="6"/>
  <c r="M65" i="6"/>
  <c r="L65" i="6"/>
  <c r="K65" i="6"/>
  <c r="J65" i="6"/>
  <c r="I65" i="6"/>
  <c r="AL64" i="6"/>
  <c r="AK64" i="6"/>
  <c r="AJ64" i="6"/>
  <c r="AI64" i="6"/>
  <c r="AH64" i="6"/>
  <c r="AG64" i="6"/>
  <c r="AF64" i="6"/>
  <c r="AE64" i="6"/>
  <c r="AD64" i="6"/>
  <c r="AC64" i="6"/>
  <c r="AB64" i="6"/>
  <c r="AA64" i="6"/>
  <c r="Z64" i="6"/>
  <c r="Y64" i="6"/>
  <c r="X64" i="6"/>
  <c r="W64" i="6"/>
  <c r="V64" i="6"/>
  <c r="U64" i="6"/>
  <c r="T64" i="6"/>
  <c r="S64" i="6"/>
  <c r="R64" i="6"/>
  <c r="Q64" i="6"/>
  <c r="P64" i="6"/>
  <c r="O64" i="6"/>
  <c r="N64" i="6"/>
  <c r="M64" i="6"/>
  <c r="L64" i="6"/>
  <c r="K64" i="6"/>
  <c r="J64" i="6"/>
  <c r="I64" i="6"/>
  <c r="AH63" i="6"/>
  <c r="AG63" i="6"/>
  <c r="AF63" i="6"/>
  <c r="AE63" i="6"/>
  <c r="AD63" i="6"/>
  <c r="AC63" i="6"/>
  <c r="AB63" i="6"/>
  <c r="AA63" i="6"/>
  <c r="Z63" i="6"/>
  <c r="Y63" i="6"/>
  <c r="X63" i="6"/>
  <c r="W63" i="6"/>
  <c r="V63" i="6"/>
  <c r="U63" i="6"/>
  <c r="T63" i="6"/>
  <c r="S63" i="6"/>
  <c r="R63" i="6"/>
  <c r="Q63" i="6"/>
  <c r="P63" i="6"/>
  <c r="O63" i="6"/>
  <c r="N63" i="6"/>
  <c r="M63" i="6"/>
  <c r="L63" i="6"/>
  <c r="K63" i="6"/>
  <c r="J63" i="6"/>
  <c r="I63" i="6"/>
  <c r="AH62" i="6"/>
  <c r="AG62" i="6"/>
  <c r="AF62" i="6"/>
  <c r="AE62" i="6"/>
  <c r="AD62" i="6"/>
  <c r="AC62" i="6"/>
  <c r="AB62" i="6"/>
  <c r="AA62" i="6"/>
  <c r="Z62" i="6"/>
  <c r="Y62" i="6"/>
  <c r="X62" i="6"/>
  <c r="W62" i="6"/>
  <c r="V62" i="6"/>
  <c r="U62" i="6"/>
  <c r="T62" i="6"/>
  <c r="S62" i="6"/>
  <c r="R62" i="6"/>
  <c r="Q62" i="6"/>
  <c r="P62" i="6"/>
  <c r="O62" i="6"/>
  <c r="N62" i="6"/>
  <c r="M62" i="6"/>
  <c r="L62" i="6"/>
  <c r="K62" i="6"/>
  <c r="J62" i="6"/>
  <c r="I62" i="6"/>
  <c r="AJ61" i="6"/>
  <c r="AI61" i="6"/>
  <c r="AH61" i="6"/>
  <c r="AG61" i="6"/>
  <c r="AF61" i="6"/>
  <c r="AE61" i="6"/>
  <c r="AD61" i="6"/>
  <c r="AC61" i="6"/>
  <c r="AB61" i="6"/>
  <c r="AA61" i="6"/>
  <c r="Z61" i="6"/>
  <c r="Y61" i="6"/>
  <c r="X61" i="6"/>
  <c r="W61" i="6"/>
  <c r="V61" i="6"/>
  <c r="U61" i="6"/>
  <c r="T61" i="6"/>
  <c r="S61" i="6"/>
  <c r="R61" i="6"/>
  <c r="Q61" i="6"/>
  <c r="P61" i="6"/>
  <c r="O61" i="6"/>
  <c r="N61" i="6"/>
  <c r="M61" i="6"/>
  <c r="L61" i="6"/>
  <c r="K61" i="6"/>
  <c r="J61" i="6"/>
  <c r="I61" i="6"/>
  <c r="AH60" i="6"/>
  <c r="AG60" i="6"/>
  <c r="AF60" i="6"/>
  <c r="AE60" i="6"/>
  <c r="AD60" i="6"/>
  <c r="AC60" i="6"/>
  <c r="AB60" i="6"/>
  <c r="AA60" i="6"/>
  <c r="Z60" i="6"/>
  <c r="Y60" i="6"/>
  <c r="X60" i="6"/>
  <c r="W60" i="6"/>
  <c r="V60" i="6"/>
  <c r="U60" i="6"/>
  <c r="T60" i="6"/>
  <c r="S60" i="6"/>
  <c r="R60" i="6"/>
  <c r="Q60" i="6"/>
  <c r="P60" i="6"/>
  <c r="O60" i="6"/>
  <c r="N60" i="6"/>
  <c r="M60" i="6"/>
  <c r="L60" i="6"/>
  <c r="K60" i="6"/>
  <c r="J60" i="6"/>
  <c r="I60" i="6"/>
  <c r="AH59" i="6"/>
  <c r="AG59" i="6"/>
  <c r="AF59" i="6"/>
  <c r="AE59" i="6"/>
  <c r="AD59" i="6"/>
  <c r="AC59" i="6"/>
  <c r="AB59" i="6"/>
  <c r="AA59" i="6"/>
  <c r="Z59" i="6"/>
  <c r="Y59" i="6"/>
  <c r="X59" i="6"/>
  <c r="W59" i="6"/>
  <c r="V59" i="6"/>
  <c r="U59" i="6"/>
  <c r="T59" i="6"/>
  <c r="S59" i="6"/>
  <c r="R59" i="6"/>
  <c r="Q59" i="6"/>
  <c r="P59" i="6"/>
  <c r="O59" i="6"/>
  <c r="N59" i="6"/>
  <c r="M59" i="6"/>
  <c r="L59" i="6"/>
  <c r="K59" i="6"/>
  <c r="J59" i="6"/>
  <c r="I59" i="6"/>
  <c r="AN58" i="6"/>
  <c r="AM58" i="6"/>
  <c r="AL58" i="6"/>
  <c r="AK58" i="6"/>
  <c r="AJ58" i="6"/>
  <c r="AI58" i="6"/>
  <c r="AH58" i="6"/>
  <c r="AG58" i="6"/>
  <c r="AF58" i="6"/>
  <c r="AE58" i="6"/>
  <c r="AD58" i="6"/>
  <c r="AC58" i="6"/>
  <c r="AB58" i="6"/>
  <c r="AA58" i="6"/>
  <c r="Z58" i="6"/>
  <c r="Y58" i="6"/>
  <c r="X58" i="6"/>
  <c r="W58" i="6"/>
  <c r="V58" i="6"/>
  <c r="U58" i="6"/>
  <c r="T58" i="6"/>
  <c r="S58" i="6"/>
  <c r="R58" i="6"/>
  <c r="Q58" i="6"/>
  <c r="P58" i="6"/>
  <c r="O58" i="6"/>
  <c r="N58" i="6"/>
  <c r="M58" i="6"/>
  <c r="L58" i="6"/>
  <c r="K58" i="6"/>
  <c r="J58" i="6"/>
  <c r="I58" i="6"/>
  <c r="AT57" i="6"/>
  <c r="AS57" i="6"/>
  <c r="AR57" i="6"/>
  <c r="AQ57" i="6"/>
  <c r="AP57" i="6"/>
  <c r="AO57" i="6"/>
  <c r="AN57" i="6"/>
  <c r="AM57" i="6"/>
  <c r="AL57" i="6"/>
  <c r="AK57" i="6"/>
  <c r="AJ57" i="6"/>
  <c r="AI57" i="6"/>
  <c r="AH57" i="6"/>
  <c r="AG57" i="6"/>
  <c r="AF57" i="6"/>
  <c r="AE57" i="6"/>
  <c r="AD57" i="6"/>
  <c r="AC57" i="6"/>
  <c r="AB57" i="6"/>
  <c r="AA57" i="6"/>
  <c r="Z57" i="6"/>
  <c r="Y57" i="6"/>
  <c r="X57" i="6"/>
  <c r="W57" i="6"/>
  <c r="V57" i="6"/>
  <c r="U57" i="6"/>
  <c r="T57" i="6"/>
  <c r="S57" i="6"/>
  <c r="R57" i="6"/>
  <c r="Q57" i="6"/>
  <c r="P57" i="6"/>
  <c r="O57" i="6"/>
  <c r="N57" i="6"/>
  <c r="M57" i="6"/>
  <c r="L57" i="6"/>
  <c r="K57" i="6"/>
  <c r="J57" i="6"/>
  <c r="I57" i="6"/>
  <c r="AH56" i="6"/>
  <c r="AG56" i="6"/>
  <c r="AF56" i="6"/>
  <c r="AE56" i="6"/>
  <c r="AD56" i="6"/>
  <c r="AC56" i="6"/>
  <c r="AB56" i="6"/>
  <c r="AA56" i="6"/>
  <c r="Z56" i="6"/>
  <c r="Y56" i="6"/>
  <c r="X56" i="6"/>
  <c r="W56" i="6"/>
  <c r="V56" i="6"/>
  <c r="U56" i="6"/>
  <c r="T56" i="6"/>
  <c r="S56" i="6"/>
  <c r="R56" i="6"/>
  <c r="Q56" i="6"/>
  <c r="P56" i="6"/>
  <c r="O56" i="6"/>
  <c r="N56" i="6"/>
  <c r="M56" i="6"/>
  <c r="L56" i="6"/>
  <c r="K56" i="6"/>
  <c r="J56" i="6"/>
  <c r="I56" i="6"/>
  <c r="AL55" i="6"/>
  <c r="AK55" i="6"/>
  <c r="AJ55" i="6"/>
  <c r="AI55" i="6"/>
  <c r="AH55" i="6"/>
  <c r="AG55" i="6"/>
  <c r="AF55" i="6"/>
  <c r="AE55" i="6"/>
  <c r="AD55" i="6"/>
  <c r="AC55" i="6"/>
  <c r="AB55" i="6"/>
  <c r="AA55" i="6"/>
  <c r="Z55" i="6"/>
  <c r="Y55" i="6"/>
  <c r="X55" i="6"/>
  <c r="W55" i="6"/>
  <c r="V55" i="6"/>
  <c r="U55" i="6"/>
  <c r="T55" i="6"/>
  <c r="S55" i="6"/>
  <c r="R55" i="6"/>
  <c r="Q55" i="6"/>
  <c r="P55" i="6"/>
  <c r="O55" i="6"/>
  <c r="N55" i="6"/>
  <c r="M55" i="6"/>
  <c r="L55" i="6"/>
  <c r="K55" i="6"/>
  <c r="J55" i="6"/>
  <c r="I55" i="6"/>
  <c r="AH54" i="6"/>
  <c r="AG54" i="6"/>
  <c r="AF54" i="6"/>
  <c r="AE54" i="6"/>
  <c r="AD54" i="6"/>
  <c r="AC54" i="6"/>
  <c r="AB54" i="6"/>
  <c r="AA54" i="6"/>
  <c r="Z54" i="6"/>
  <c r="Y54" i="6"/>
  <c r="X54" i="6"/>
  <c r="W54" i="6"/>
  <c r="V54" i="6"/>
  <c r="U54" i="6"/>
  <c r="T54" i="6"/>
  <c r="S54" i="6"/>
  <c r="R54" i="6"/>
  <c r="Q54" i="6"/>
  <c r="P54" i="6"/>
  <c r="O54" i="6"/>
  <c r="N54" i="6"/>
  <c r="M54" i="6"/>
  <c r="L54" i="6"/>
  <c r="K54" i="6"/>
  <c r="J54" i="6"/>
  <c r="I54" i="6"/>
  <c r="AN53" i="6"/>
  <c r="AM53" i="6"/>
  <c r="AL53" i="6"/>
  <c r="AK53" i="6"/>
  <c r="AJ53" i="6"/>
  <c r="AI53" i="6"/>
  <c r="AH53" i="6"/>
  <c r="AG53" i="6"/>
  <c r="AF53" i="6"/>
  <c r="AE53" i="6"/>
  <c r="AD53" i="6"/>
  <c r="AC53" i="6"/>
  <c r="AB53" i="6"/>
  <c r="AA53" i="6"/>
  <c r="Z53" i="6"/>
  <c r="Y53" i="6"/>
  <c r="X53" i="6"/>
  <c r="W53" i="6"/>
  <c r="V53" i="6"/>
  <c r="U53" i="6"/>
  <c r="T53" i="6"/>
  <c r="S53" i="6"/>
  <c r="R53" i="6"/>
  <c r="Q53" i="6"/>
  <c r="P53" i="6"/>
  <c r="O53" i="6"/>
  <c r="N53" i="6"/>
  <c r="M53" i="6"/>
  <c r="L53" i="6"/>
  <c r="K53" i="6"/>
  <c r="J53" i="6"/>
  <c r="I53" i="6"/>
  <c r="AN52" i="6"/>
  <c r="AM52" i="6"/>
  <c r="AL52" i="6"/>
  <c r="AK52" i="6"/>
  <c r="AJ52" i="6"/>
  <c r="AI52" i="6"/>
  <c r="AH52" i="6"/>
  <c r="AG52" i="6"/>
  <c r="AF52" i="6"/>
  <c r="AE52" i="6"/>
  <c r="AD52" i="6"/>
  <c r="AC52" i="6"/>
  <c r="AB52" i="6"/>
  <c r="AA52" i="6"/>
  <c r="Z52" i="6"/>
  <c r="Y52" i="6"/>
  <c r="X52" i="6"/>
  <c r="W52" i="6"/>
  <c r="V52" i="6"/>
  <c r="U52" i="6"/>
  <c r="T52" i="6"/>
  <c r="S52" i="6"/>
  <c r="R52" i="6"/>
  <c r="Q52" i="6"/>
  <c r="P52" i="6"/>
  <c r="O52" i="6"/>
  <c r="N52" i="6"/>
  <c r="M52" i="6"/>
  <c r="L52" i="6"/>
  <c r="K52" i="6"/>
  <c r="J52" i="6"/>
  <c r="I52" i="6"/>
  <c r="AR51" i="6"/>
  <c r="AQ51" i="6"/>
  <c r="AP51" i="6"/>
  <c r="AO51" i="6"/>
  <c r="AN51" i="6"/>
  <c r="AM51" i="6"/>
  <c r="AL51" i="6"/>
  <c r="AK51" i="6"/>
  <c r="AJ51" i="6"/>
  <c r="AI51" i="6"/>
  <c r="AH51" i="6"/>
  <c r="AG51" i="6"/>
  <c r="AF51" i="6"/>
  <c r="AE51" i="6"/>
  <c r="AD51" i="6"/>
  <c r="AC51" i="6"/>
  <c r="AB51" i="6"/>
  <c r="AA51" i="6"/>
  <c r="Z51" i="6"/>
  <c r="Y51" i="6"/>
  <c r="X51" i="6"/>
  <c r="W51" i="6"/>
  <c r="V51" i="6"/>
  <c r="U51" i="6"/>
  <c r="T51" i="6"/>
  <c r="S51" i="6"/>
  <c r="R51" i="6"/>
  <c r="Q51" i="6"/>
  <c r="P51" i="6"/>
  <c r="O51" i="6"/>
  <c r="N51" i="6"/>
  <c r="M51" i="6"/>
  <c r="L51" i="6"/>
  <c r="K51" i="6"/>
  <c r="J51" i="6"/>
  <c r="I51" i="6"/>
  <c r="AR50" i="6"/>
  <c r="AQ50" i="6"/>
  <c r="AP50" i="6"/>
  <c r="AO50" i="6"/>
  <c r="AN50" i="6"/>
  <c r="AM50" i="6"/>
  <c r="AL50" i="6"/>
  <c r="AK50" i="6"/>
  <c r="AJ50" i="6"/>
  <c r="AI50" i="6"/>
  <c r="AH50" i="6"/>
  <c r="AG50" i="6"/>
  <c r="AF50" i="6"/>
  <c r="AE50" i="6"/>
  <c r="AD50" i="6"/>
  <c r="AC50" i="6"/>
  <c r="AB50" i="6"/>
  <c r="AA50" i="6"/>
  <c r="Z50" i="6"/>
  <c r="Y50" i="6"/>
  <c r="X50" i="6"/>
  <c r="W50" i="6"/>
  <c r="V50" i="6"/>
  <c r="U50" i="6"/>
  <c r="T50" i="6"/>
  <c r="S50" i="6"/>
  <c r="R50" i="6"/>
  <c r="Q50" i="6"/>
  <c r="P50" i="6"/>
  <c r="O50" i="6"/>
  <c r="N50" i="6"/>
  <c r="M50" i="6"/>
  <c r="L50" i="6"/>
  <c r="K50" i="6"/>
  <c r="J50" i="6"/>
  <c r="I50" i="6"/>
  <c r="AJ49" i="6"/>
  <c r="AI49" i="6"/>
  <c r="AH49" i="6"/>
  <c r="AG49" i="6"/>
  <c r="AF49" i="6"/>
  <c r="AE49" i="6"/>
  <c r="AD49" i="6"/>
  <c r="AC49" i="6"/>
  <c r="AB49" i="6"/>
  <c r="AA49" i="6"/>
  <c r="Z49" i="6"/>
  <c r="Y49" i="6"/>
  <c r="X49" i="6"/>
  <c r="W49" i="6"/>
  <c r="V49" i="6"/>
  <c r="U49" i="6"/>
  <c r="T49" i="6"/>
  <c r="S49" i="6"/>
  <c r="R49" i="6"/>
  <c r="Q49" i="6"/>
  <c r="P49" i="6"/>
  <c r="O49" i="6"/>
  <c r="N49" i="6"/>
  <c r="M49" i="6"/>
  <c r="L49" i="6"/>
  <c r="K49" i="6"/>
  <c r="J49" i="6"/>
  <c r="I49" i="6"/>
  <c r="AH48" i="6"/>
  <c r="AG48" i="6"/>
  <c r="AF48" i="6"/>
  <c r="AE48" i="6"/>
  <c r="AD48" i="6"/>
  <c r="AC48" i="6"/>
  <c r="AB48" i="6"/>
  <c r="AA48" i="6"/>
  <c r="Z48" i="6"/>
  <c r="Y48" i="6"/>
  <c r="X48" i="6"/>
  <c r="W48" i="6"/>
  <c r="V48" i="6"/>
  <c r="U48" i="6"/>
  <c r="T48" i="6"/>
  <c r="S48" i="6"/>
  <c r="R48" i="6"/>
  <c r="Q48" i="6"/>
  <c r="P48" i="6"/>
  <c r="O48" i="6"/>
  <c r="N48" i="6"/>
  <c r="M48" i="6"/>
  <c r="L48" i="6"/>
  <c r="K48" i="6"/>
  <c r="J48" i="6"/>
  <c r="I48" i="6"/>
  <c r="AR47" i="6"/>
  <c r="AQ47" i="6"/>
  <c r="AP47" i="6"/>
  <c r="AO47" i="6"/>
  <c r="AH47" i="6"/>
  <c r="AG47" i="6"/>
  <c r="AF47" i="6"/>
  <c r="AE47" i="6"/>
  <c r="AD47" i="6"/>
  <c r="AC47" i="6"/>
  <c r="AB47" i="6"/>
  <c r="AA47" i="6"/>
  <c r="Z47" i="6"/>
  <c r="Y47" i="6"/>
  <c r="X47" i="6"/>
  <c r="W47" i="6"/>
  <c r="V47" i="6"/>
  <c r="U47" i="6"/>
  <c r="T47" i="6"/>
  <c r="S47" i="6"/>
  <c r="R47" i="6"/>
  <c r="Q47" i="6"/>
  <c r="P47" i="6"/>
  <c r="O47" i="6"/>
  <c r="N47" i="6"/>
  <c r="M47" i="6"/>
  <c r="L47" i="6"/>
  <c r="K47" i="6"/>
  <c r="J47" i="6"/>
  <c r="I47" i="6"/>
  <c r="AJ46" i="6"/>
  <c r="AI46" i="6"/>
  <c r="AH46" i="6"/>
  <c r="AG46" i="6"/>
  <c r="AF46" i="6"/>
  <c r="AE46" i="6"/>
  <c r="AD46" i="6"/>
  <c r="AC46" i="6"/>
  <c r="AB46" i="6"/>
  <c r="AA46" i="6"/>
  <c r="Z46" i="6"/>
  <c r="Y46" i="6"/>
  <c r="X46" i="6"/>
  <c r="W46" i="6"/>
  <c r="V46" i="6"/>
  <c r="U46" i="6"/>
  <c r="T46" i="6"/>
  <c r="S46" i="6"/>
  <c r="R46" i="6"/>
  <c r="Q46" i="6"/>
  <c r="P46" i="6"/>
  <c r="O46" i="6"/>
  <c r="N46" i="6"/>
  <c r="M46" i="6"/>
  <c r="L46" i="6"/>
  <c r="K46" i="6"/>
  <c r="J46" i="6"/>
  <c r="I46" i="6"/>
  <c r="AN45" i="6"/>
  <c r="AM45" i="6"/>
  <c r="AL45" i="6"/>
  <c r="AK45" i="6"/>
  <c r="AJ45" i="6"/>
  <c r="AI45" i="6"/>
  <c r="AH45" i="6"/>
  <c r="AG45" i="6"/>
  <c r="AF45" i="6"/>
  <c r="AE45" i="6"/>
  <c r="AD45" i="6"/>
  <c r="AC45" i="6"/>
  <c r="AB45" i="6"/>
  <c r="AA45" i="6"/>
  <c r="Z45" i="6"/>
  <c r="Y45" i="6"/>
  <c r="X45" i="6"/>
  <c r="W45" i="6"/>
  <c r="V45" i="6"/>
  <c r="U45" i="6"/>
  <c r="T45" i="6"/>
  <c r="S45" i="6"/>
  <c r="R45" i="6"/>
  <c r="Q45" i="6"/>
  <c r="P45" i="6"/>
  <c r="O45" i="6"/>
  <c r="N45" i="6"/>
  <c r="M45" i="6"/>
  <c r="L45" i="6"/>
  <c r="K45" i="6"/>
  <c r="J45" i="6"/>
  <c r="I45" i="6"/>
  <c r="AJ44" i="6"/>
  <c r="AI44" i="6"/>
  <c r="AH44" i="6"/>
  <c r="AG44" i="6"/>
  <c r="AF44" i="6"/>
  <c r="AE44" i="6"/>
  <c r="AD44" i="6"/>
  <c r="AC44" i="6"/>
  <c r="AB44" i="6"/>
  <c r="AA44" i="6"/>
  <c r="Z44" i="6"/>
  <c r="Y44" i="6"/>
  <c r="X44" i="6"/>
  <c r="W44" i="6"/>
  <c r="V44" i="6"/>
  <c r="U44" i="6"/>
  <c r="T44" i="6"/>
  <c r="S44" i="6"/>
  <c r="R44" i="6"/>
  <c r="Q44" i="6"/>
  <c r="P44" i="6"/>
  <c r="O44" i="6"/>
  <c r="N44" i="6"/>
  <c r="M44" i="6"/>
  <c r="L44" i="6"/>
  <c r="K44" i="6"/>
  <c r="J44" i="6"/>
  <c r="I44" i="6"/>
  <c r="AJ43" i="6"/>
  <c r="AI43" i="6"/>
  <c r="AH43" i="6"/>
  <c r="AG43" i="6"/>
  <c r="AF43" i="6"/>
  <c r="AE43" i="6"/>
  <c r="AD43" i="6"/>
  <c r="AC43" i="6"/>
  <c r="AB43" i="6"/>
  <c r="AA43" i="6"/>
  <c r="Z43" i="6"/>
  <c r="Y43" i="6"/>
  <c r="X43" i="6"/>
  <c r="W43" i="6"/>
  <c r="V43" i="6"/>
  <c r="U43" i="6"/>
  <c r="T43" i="6"/>
  <c r="S43" i="6"/>
  <c r="R43" i="6"/>
  <c r="Q43" i="6"/>
  <c r="P43" i="6"/>
  <c r="O43" i="6"/>
  <c r="N43" i="6"/>
  <c r="M43" i="6"/>
  <c r="L43" i="6"/>
  <c r="K43" i="6"/>
  <c r="J43" i="6"/>
  <c r="I43" i="6"/>
  <c r="AH42" i="6"/>
  <c r="AG42" i="6"/>
  <c r="AF42" i="6"/>
  <c r="AE42" i="6"/>
  <c r="AD42" i="6"/>
  <c r="AC42" i="6"/>
  <c r="AB42" i="6"/>
  <c r="AA42" i="6"/>
  <c r="Z42" i="6"/>
  <c r="Y42" i="6"/>
  <c r="X42" i="6"/>
  <c r="W42" i="6"/>
  <c r="V42" i="6"/>
  <c r="U42" i="6"/>
  <c r="T42" i="6"/>
  <c r="S42" i="6"/>
  <c r="R42" i="6"/>
  <c r="Q42" i="6"/>
  <c r="P42" i="6"/>
  <c r="O42" i="6"/>
  <c r="N42" i="6"/>
  <c r="M42" i="6"/>
  <c r="L42" i="6"/>
  <c r="K42" i="6"/>
  <c r="J42" i="6"/>
  <c r="I42" i="6"/>
  <c r="AJ41" i="6"/>
  <c r="AI41" i="6"/>
  <c r="AH41" i="6"/>
  <c r="AG41" i="6"/>
  <c r="AF41" i="6"/>
  <c r="AE41" i="6"/>
  <c r="AD41" i="6"/>
  <c r="AC41" i="6"/>
  <c r="AB41" i="6"/>
  <c r="AA41" i="6"/>
  <c r="Z41" i="6"/>
  <c r="Y41" i="6"/>
  <c r="X41" i="6"/>
  <c r="W41" i="6"/>
  <c r="V41" i="6"/>
  <c r="U41" i="6"/>
  <c r="T41" i="6"/>
  <c r="S41" i="6"/>
  <c r="R41" i="6"/>
  <c r="Q41" i="6"/>
  <c r="P41" i="6"/>
  <c r="O41" i="6"/>
  <c r="N41" i="6"/>
  <c r="M41" i="6"/>
  <c r="L41" i="6"/>
  <c r="K41" i="6"/>
  <c r="J41" i="6"/>
  <c r="I41" i="6"/>
  <c r="AL40" i="6"/>
  <c r="AK40" i="6"/>
  <c r="AJ40" i="6"/>
  <c r="AI40" i="6"/>
  <c r="AH40" i="6"/>
  <c r="AG40" i="6"/>
  <c r="AF40" i="6"/>
  <c r="AE40" i="6"/>
  <c r="AD40" i="6"/>
  <c r="AC40" i="6"/>
  <c r="AB40" i="6"/>
  <c r="AA40" i="6"/>
  <c r="Z40" i="6"/>
  <c r="Y40" i="6"/>
  <c r="X40" i="6"/>
  <c r="W40" i="6"/>
  <c r="V40" i="6"/>
  <c r="U40" i="6"/>
  <c r="T40" i="6"/>
  <c r="S40" i="6"/>
  <c r="R40" i="6"/>
  <c r="Q40" i="6"/>
  <c r="P40" i="6"/>
  <c r="O40" i="6"/>
  <c r="N40" i="6"/>
  <c r="M40" i="6"/>
  <c r="L40" i="6"/>
  <c r="K40" i="6"/>
  <c r="J40" i="6"/>
  <c r="I40" i="6"/>
  <c r="AL39" i="6"/>
  <c r="AK39" i="6"/>
  <c r="AJ39" i="6"/>
  <c r="AI39" i="6"/>
  <c r="AH39" i="6"/>
  <c r="AG39" i="6"/>
  <c r="AF39" i="6"/>
  <c r="AE39" i="6"/>
  <c r="AD39" i="6"/>
  <c r="AC39" i="6"/>
  <c r="AB39" i="6"/>
  <c r="AA39" i="6"/>
  <c r="Z39" i="6"/>
  <c r="Y39" i="6"/>
  <c r="X39" i="6"/>
  <c r="W39" i="6"/>
  <c r="V39" i="6"/>
  <c r="U39" i="6"/>
  <c r="T39" i="6"/>
  <c r="S39" i="6"/>
  <c r="R39" i="6"/>
  <c r="Q39" i="6"/>
  <c r="P39" i="6"/>
  <c r="O39" i="6"/>
  <c r="N39" i="6"/>
  <c r="M39" i="6"/>
  <c r="L39" i="6"/>
  <c r="K39" i="6"/>
  <c r="J39" i="6"/>
  <c r="I39" i="6"/>
  <c r="AJ38" i="6"/>
  <c r="AI38" i="6"/>
  <c r="AH38" i="6"/>
  <c r="AG38" i="6"/>
  <c r="AF38" i="6"/>
  <c r="AE38" i="6"/>
  <c r="AD38" i="6"/>
  <c r="AC38" i="6"/>
  <c r="AB38" i="6"/>
  <c r="AA38" i="6"/>
  <c r="Z38" i="6"/>
  <c r="Y38" i="6"/>
  <c r="X38" i="6"/>
  <c r="W38" i="6"/>
  <c r="V38" i="6"/>
  <c r="U38" i="6"/>
  <c r="T38" i="6"/>
  <c r="S38" i="6"/>
  <c r="R38" i="6"/>
  <c r="Q38" i="6"/>
  <c r="P38" i="6"/>
  <c r="O38" i="6"/>
  <c r="N38" i="6"/>
  <c r="M38" i="6"/>
  <c r="L38" i="6"/>
  <c r="K38" i="6"/>
  <c r="J38" i="6"/>
  <c r="I38" i="6"/>
  <c r="AH37" i="6"/>
  <c r="AG37" i="6"/>
  <c r="AF37" i="6"/>
  <c r="AE37" i="6"/>
  <c r="AD37" i="6"/>
  <c r="AC37" i="6"/>
  <c r="AB37" i="6"/>
  <c r="AA37" i="6"/>
  <c r="Z37" i="6"/>
  <c r="Y37" i="6"/>
  <c r="X37" i="6"/>
  <c r="W37" i="6"/>
  <c r="V37" i="6"/>
  <c r="U37" i="6"/>
  <c r="T37" i="6"/>
  <c r="S37" i="6"/>
  <c r="R37" i="6"/>
  <c r="Q37" i="6"/>
  <c r="P37" i="6"/>
  <c r="O37" i="6"/>
  <c r="N37" i="6"/>
  <c r="M37" i="6"/>
  <c r="L37" i="6"/>
  <c r="K37" i="6"/>
  <c r="J37" i="6"/>
  <c r="I37" i="6"/>
  <c r="AJ36" i="6"/>
  <c r="AI36" i="6"/>
  <c r="AH36" i="6"/>
  <c r="AG36" i="6"/>
  <c r="AF36" i="6"/>
  <c r="AE36" i="6"/>
  <c r="AD36" i="6"/>
  <c r="AC36" i="6"/>
  <c r="AB36" i="6"/>
  <c r="AA36" i="6"/>
  <c r="Z36" i="6"/>
  <c r="Y36" i="6"/>
  <c r="X36" i="6"/>
  <c r="W36" i="6"/>
  <c r="V36" i="6"/>
  <c r="U36" i="6"/>
  <c r="T36" i="6"/>
  <c r="S36" i="6"/>
  <c r="R36" i="6"/>
  <c r="Q36" i="6"/>
  <c r="P36" i="6"/>
  <c r="O36" i="6"/>
  <c r="N36" i="6"/>
  <c r="M36" i="6"/>
  <c r="L36" i="6"/>
  <c r="K36" i="6"/>
  <c r="J36" i="6"/>
  <c r="I36" i="6"/>
  <c r="AJ35" i="6"/>
  <c r="AI35" i="6"/>
  <c r="AH35" i="6"/>
  <c r="AG35" i="6"/>
  <c r="AF35" i="6"/>
  <c r="AE35" i="6"/>
  <c r="AD35" i="6"/>
  <c r="AC35" i="6"/>
  <c r="AB35" i="6"/>
  <c r="AA35" i="6"/>
  <c r="Z35" i="6"/>
  <c r="Y35" i="6"/>
  <c r="X35" i="6"/>
  <c r="W35" i="6"/>
  <c r="V35" i="6"/>
  <c r="U35" i="6"/>
  <c r="T35" i="6"/>
  <c r="S35" i="6"/>
  <c r="R35" i="6"/>
  <c r="Q35" i="6"/>
  <c r="P35" i="6"/>
  <c r="O35" i="6"/>
  <c r="N35" i="6"/>
  <c r="M35" i="6"/>
  <c r="L35" i="6"/>
  <c r="K35" i="6"/>
  <c r="J35" i="6"/>
  <c r="I35" i="6"/>
  <c r="AL34" i="6"/>
  <c r="AK34" i="6"/>
  <c r="AJ34" i="6"/>
  <c r="AI34" i="6"/>
  <c r="AH34" i="6"/>
  <c r="AG34" i="6"/>
  <c r="AF34" i="6"/>
  <c r="AE34" i="6"/>
  <c r="AD34" i="6"/>
  <c r="AC34" i="6"/>
  <c r="AB34" i="6"/>
  <c r="AA34" i="6"/>
  <c r="Z34" i="6"/>
  <c r="Y34" i="6"/>
  <c r="X34" i="6"/>
  <c r="W34" i="6"/>
  <c r="V34" i="6"/>
  <c r="U34" i="6"/>
  <c r="T34" i="6"/>
  <c r="S34" i="6"/>
  <c r="R34" i="6"/>
  <c r="Q34" i="6"/>
  <c r="P34" i="6"/>
  <c r="O34" i="6"/>
  <c r="N34" i="6"/>
  <c r="M34" i="6"/>
  <c r="L34" i="6"/>
  <c r="K34" i="6"/>
  <c r="J34" i="6"/>
  <c r="I34" i="6"/>
  <c r="AJ33" i="6"/>
  <c r="AI33" i="6"/>
  <c r="AH33" i="6"/>
  <c r="AG33" i="6"/>
  <c r="AF33" i="6"/>
  <c r="AE33" i="6"/>
  <c r="AD33" i="6"/>
  <c r="AC33" i="6"/>
  <c r="AB33" i="6"/>
  <c r="AA33" i="6"/>
  <c r="Z33" i="6"/>
  <c r="Y33" i="6"/>
  <c r="X33" i="6"/>
  <c r="W33" i="6"/>
  <c r="V33" i="6"/>
  <c r="U33" i="6"/>
  <c r="T33" i="6"/>
  <c r="S33" i="6"/>
  <c r="R33" i="6"/>
  <c r="Q33" i="6"/>
  <c r="P33" i="6"/>
  <c r="O33" i="6"/>
  <c r="N33" i="6"/>
  <c r="M33" i="6"/>
  <c r="L33" i="6"/>
  <c r="K33" i="6"/>
  <c r="J33" i="6"/>
  <c r="I33" i="6"/>
  <c r="AJ32" i="6"/>
  <c r="AI32" i="6"/>
  <c r="AH32" i="6"/>
  <c r="AG32" i="6"/>
  <c r="AF32" i="6"/>
  <c r="AE32" i="6"/>
  <c r="AD32" i="6"/>
  <c r="AC32" i="6"/>
  <c r="AB32" i="6"/>
  <c r="AA32" i="6"/>
  <c r="Z32" i="6"/>
  <c r="Y32" i="6"/>
  <c r="X32" i="6"/>
  <c r="W32" i="6"/>
  <c r="V32" i="6"/>
  <c r="U32" i="6"/>
  <c r="T32" i="6"/>
  <c r="S32" i="6"/>
  <c r="R32" i="6"/>
  <c r="Q32" i="6"/>
  <c r="P32" i="6"/>
  <c r="O32" i="6"/>
  <c r="N32" i="6"/>
  <c r="M32" i="6"/>
  <c r="L32" i="6"/>
  <c r="K32" i="6"/>
  <c r="J32" i="6"/>
  <c r="I32" i="6"/>
  <c r="AJ31" i="6"/>
  <c r="AI31" i="6"/>
  <c r="AH31" i="6"/>
  <c r="AG31" i="6"/>
  <c r="AF31" i="6"/>
  <c r="AE31" i="6"/>
  <c r="AD31" i="6"/>
  <c r="AC31" i="6"/>
  <c r="AB31" i="6"/>
  <c r="AA31" i="6"/>
  <c r="Z31" i="6"/>
  <c r="Y31" i="6"/>
  <c r="X31" i="6"/>
  <c r="W31" i="6"/>
  <c r="V31" i="6"/>
  <c r="U31" i="6"/>
  <c r="T31" i="6"/>
  <c r="S31" i="6"/>
  <c r="R31" i="6"/>
  <c r="Q31" i="6"/>
  <c r="P31" i="6"/>
  <c r="O31" i="6"/>
  <c r="N31" i="6"/>
  <c r="M31" i="6"/>
  <c r="L31" i="6"/>
  <c r="K31" i="6"/>
  <c r="J31" i="6"/>
  <c r="I31" i="6"/>
  <c r="AH30" i="6"/>
  <c r="AG30" i="6"/>
  <c r="AF30" i="6"/>
  <c r="AE30" i="6"/>
  <c r="AD30" i="6"/>
  <c r="AC30" i="6"/>
  <c r="AB30" i="6"/>
  <c r="AA30" i="6"/>
  <c r="Z30" i="6"/>
  <c r="Y30" i="6"/>
  <c r="X30" i="6"/>
  <c r="W30" i="6"/>
  <c r="V30" i="6"/>
  <c r="U30" i="6"/>
  <c r="T30" i="6"/>
  <c r="S30" i="6"/>
  <c r="R30" i="6"/>
  <c r="Q30" i="6"/>
  <c r="P30" i="6"/>
  <c r="O30" i="6"/>
  <c r="N30" i="6"/>
  <c r="M30" i="6"/>
  <c r="L30" i="6"/>
  <c r="K30" i="6"/>
  <c r="J30" i="6"/>
  <c r="I30" i="6"/>
  <c r="AL29" i="6"/>
  <c r="AK29" i="6"/>
  <c r="AJ29" i="6"/>
  <c r="AI29" i="6"/>
  <c r="AH29" i="6"/>
  <c r="AG29" i="6"/>
  <c r="AF29" i="6"/>
  <c r="AE29" i="6"/>
  <c r="AD29" i="6"/>
  <c r="AC29" i="6"/>
  <c r="AB29" i="6"/>
  <c r="AA29" i="6"/>
  <c r="Z29" i="6"/>
  <c r="Y29" i="6"/>
  <c r="X29" i="6"/>
  <c r="W29" i="6"/>
  <c r="V29" i="6"/>
  <c r="U29" i="6"/>
  <c r="T29" i="6"/>
  <c r="S29" i="6"/>
  <c r="R29" i="6"/>
  <c r="Q29" i="6"/>
  <c r="P29" i="6"/>
  <c r="O29" i="6"/>
  <c r="N29" i="6"/>
  <c r="M29" i="6"/>
  <c r="L29" i="6"/>
  <c r="K29" i="6"/>
  <c r="J29" i="6"/>
  <c r="I29" i="6"/>
  <c r="AH28" i="6"/>
  <c r="AG28" i="6"/>
  <c r="AF28" i="6"/>
  <c r="AE28" i="6"/>
  <c r="AD28" i="6"/>
  <c r="AC28" i="6"/>
  <c r="AB28" i="6"/>
  <c r="AA28" i="6"/>
  <c r="Z28" i="6"/>
  <c r="Y28" i="6"/>
  <c r="X28" i="6"/>
  <c r="W28" i="6"/>
  <c r="V28" i="6"/>
  <c r="U28" i="6"/>
  <c r="T28" i="6"/>
  <c r="S28" i="6"/>
  <c r="R28" i="6"/>
  <c r="Q28" i="6"/>
  <c r="P28" i="6"/>
  <c r="O28" i="6"/>
  <c r="N28" i="6"/>
  <c r="M28" i="6"/>
  <c r="L28" i="6"/>
  <c r="K28" i="6"/>
  <c r="J28" i="6"/>
  <c r="I28" i="6"/>
  <c r="AJ27" i="6"/>
  <c r="AI27" i="6"/>
  <c r="AH27" i="6"/>
  <c r="AG27" i="6"/>
  <c r="AF27" i="6"/>
  <c r="AE27" i="6"/>
  <c r="AD27" i="6"/>
  <c r="AC27" i="6"/>
  <c r="AB27" i="6"/>
  <c r="AA27" i="6"/>
  <c r="Z27" i="6"/>
  <c r="Y27" i="6"/>
  <c r="X27" i="6"/>
  <c r="W27" i="6"/>
  <c r="V27" i="6"/>
  <c r="U27" i="6"/>
  <c r="T27" i="6"/>
  <c r="S27" i="6"/>
  <c r="R27" i="6"/>
  <c r="Q27" i="6"/>
  <c r="P27" i="6"/>
  <c r="O27" i="6"/>
  <c r="N27" i="6"/>
  <c r="M27" i="6"/>
  <c r="L27" i="6"/>
  <c r="K27" i="6"/>
  <c r="J27" i="6"/>
  <c r="I27" i="6"/>
  <c r="AJ26" i="6"/>
  <c r="AI26" i="6"/>
  <c r="AH26" i="6"/>
  <c r="AG26" i="6"/>
  <c r="AF26" i="6"/>
  <c r="AE26" i="6"/>
  <c r="AD26" i="6"/>
  <c r="AC26" i="6"/>
  <c r="AB26" i="6"/>
  <c r="AA26" i="6"/>
  <c r="Z26" i="6"/>
  <c r="Y26" i="6"/>
  <c r="X26" i="6"/>
  <c r="W26" i="6"/>
  <c r="V26" i="6"/>
  <c r="U26" i="6"/>
  <c r="T26" i="6"/>
  <c r="S26" i="6"/>
  <c r="R26" i="6"/>
  <c r="Q26" i="6"/>
  <c r="P26" i="6"/>
  <c r="O26" i="6"/>
  <c r="N26" i="6"/>
  <c r="M26" i="6"/>
  <c r="L26" i="6"/>
  <c r="K26" i="6"/>
  <c r="J26" i="6"/>
  <c r="I26" i="6"/>
  <c r="AJ25" i="6"/>
  <c r="AI25" i="6"/>
  <c r="AH25" i="6"/>
  <c r="AG25" i="6"/>
  <c r="AF25" i="6"/>
  <c r="AE25" i="6"/>
  <c r="AD25" i="6"/>
  <c r="AC25" i="6"/>
  <c r="AB25" i="6"/>
  <c r="AA25" i="6"/>
  <c r="Z25" i="6"/>
  <c r="Y25" i="6"/>
  <c r="X25" i="6"/>
  <c r="W25" i="6"/>
  <c r="V25" i="6"/>
  <c r="U25" i="6"/>
  <c r="T25" i="6"/>
  <c r="S25" i="6"/>
  <c r="R25" i="6"/>
  <c r="Q25" i="6"/>
  <c r="P25" i="6"/>
  <c r="O25" i="6"/>
  <c r="N25" i="6"/>
  <c r="M25" i="6"/>
  <c r="L25" i="6"/>
  <c r="K25" i="6"/>
  <c r="J25" i="6"/>
  <c r="I25" i="6"/>
  <c r="AL24" i="6"/>
  <c r="AK24" i="6"/>
  <c r="AJ24" i="6"/>
  <c r="AI24" i="6"/>
  <c r="AH24" i="6"/>
  <c r="AG24" i="6"/>
  <c r="AF24" i="6"/>
  <c r="AE24" i="6"/>
  <c r="AD24" i="6"/>
  <c r="AC24" i="6"/>
  <c r="AB24" i="6"/>
  <c r="AA24" i="6"/>
  <c r="Z24" i="6"/>
  <c r="Y24" i="6"/>
  <c r="X24" i="6"/>
  <c r="W24" i="6"/>
  <c r="V24" i="6"/>
  <c r="U24" i="6"/>
  <c r="T24" i="6"/>
  <c r="S24" i="6"/>
  <c r="R24" i="6"/>
  <c r="Q24" i="6"/>
  <c r="P24" i="6"/>
  <c r="O24" i="6"/>
  <c r="N24" i="6"/>
  <c r="M24" i="6"/>
  <c r="L24" i="6"/>
  <c r="K24" i="6"/>
  <c r="J24" i="6"/>
  <c r="I24" i="6"/>
  <c r="AL23" i="6"/>
  <c r="AK23" i="6"/>
  <c r="AJ23" i="6"/>
  <c r="AI23" i="6"/>
  <c r="AH23" i="6"/>
  <c r="AG23" i="6"/>
  <c r="AF23" i="6"/>
  <c r="AE23" i="6"/>
  <c r="AD23" i="6"/>
  <c r="AC23" i="6"/>
  <c r="AB23" i="6"/>
  <c r="AA23" i="6"/>
  <c r="Z23" i="6"/>
  <c r="Y23" i="6"/>
  <c r="X23" i="6"/>
  <c r="W23" i="6"/>
  <c r="V23" i="6"/>
  <c r="U23" i="6"/>
  <c r="T23" i="6"/>
  <c r="S23" i="6"/>
  <c r="R23" i="6"/>
  <c r="Q23" i="6"/>
  <c r="P23" i="6"/>
  <c r="O23" i="6"/>
  <c r="N23" i="6"/>
  <c r="M23" i="6"/>
  <c r="L23" i="6"/>
  <c r="K23" i="6"/>
  <c r="J23" i="6"/>
  <c r="I23" i="6"/>
  <c r="AH22" i="6"/>
  <c r="AG22" i="6"/>
  <c r="AF22" i="6"/>
  <c r="AE22" i="6"/>
  <c r="AD22" i="6"/>
  <c r="AC22" i="6"/>
  <c r="AB22" i="6"/>
  <c r="AA22" i="6"/>
  <c r="Z22" i="6"/>
  <c r="Y22" i="6"/>
  <c r="X22" i="6"/>
  <c r="W22" i="6"/>
  <c r="V22" i="6"/>
  <c r="U22" i="6"/>
  <c r="T22" i="6"/>
  <c r="S22" i="6"/>
  <c r="R22" i="6"/>
  <c r="Q22" i="6"/>
  <c r="P22" i="6"/>
  <c r="O22" i="6"/>
  <c r="N22" i="6"/>
  <c r="M22" i="6"/>
  <c r="L22" i="6"/>
  <c r="K22" i="6"/>
  <c r="J22" i="6"/>
  <c r="I22" i="6"/>
  <c r="AJ21" i="6"/>
  <c r="AI21" i="6"/>
  <c r="AH21" i="6"/>
  <c r="AG21" i="6"/>
  <c r="AF21" i="6"/>
  <c r="AE21" i="6"/>
  <c r="AD21" i="6"/>
  <c r="AC21" i="6"/>
  <c r="AB21" i="6"/>
  <c r="AA21" i="6"/>
  <c r="Z21" i="6"/>
  <c r="Y21" i="6"/>
  <c r="X21" i="6"/>
  <c r="W21" i="6"/>
  <c r="V21" i="6"/>
  <c r="U21" i="6"/>
  <c r="T21" i="6"/>
  <c r="S21" i="6"/>
  <c r="R21" i="6"/>
  <c r="Q21" i="6"/>
  <c r="P21" i="6"/>
  <c r="O21" i="6"/>
  <c r="N21" i="6"/>
  <c r="M21" i="6"/>
  <c r="L21" i="6"/>
  <c r="K21" i="6"/>
  <c r="J21" i="6"/>
  <c r="I21" i="6"/>
  <c r="AP20" i="6"/>
  <c r="AJ20" i="6"/>
  <c r="AI20" i="6"/>
  <c r="AH20" i="6"/>
  <c r="AG20" i="6"/>
  <c r="AF20" i="6"/>
  <c r="AE20" i="6"/>
  <c r="AD20" i="6"/>
  <c r="AC20" i="6"/>
  <c r="AB20" i="6"/>
  <c r="AA20" i="6"/>
  <c r="Z20" i="6"/>
  <c r="Y20" i="6"/>
  <c r="X20" i="6"/>
  <c r="W20" i="6"/>
  <c r="V20" i="6"/>
  <c r="U20" i="6"/>
  <c r="T20" i="6"/>
  <c r="S20" i="6"/>
  <c r="R20" i="6"/>
  <c r="Q20" i="6"/>
  <c r="P20" i="6"/>
  <c r="O20" i="6"/>
  <c r="N20" i="6"/>
  <c r="M20" i="6"/>
  <c r="L20" i="6"/>
  <c r="K20" i="6"/>
  <c r="J20" i="6"/>
  <c r="I20" i="6"/>
  <c r="AJ19" i="6"/>
  <c r="AI19" i="6"/>
  <c r="AH19" i="6"/>
  <c r="AG19" i="6"/>
  <c r="AF19" i="6"/>
  <c r="AE19" i="6"/>
  <c r="AD19" i="6"/>
  <c r="AC19" i="6"/>
  <c r="AB19" i="6"/>
  <c r="AA19" i="6"/>
  <c r="Z19" i="6"/>
  <c r="Y19" i="6"/>
  <c r="X19" i="6"/>
  <c r="W19" i="6"/>
  <c r="V19" i="6"/>
  <c r="U19" i="6"/>
  <c r="T19" i="6"/>
  <c r="S19" i="6"/>
  <c r="R19" i="6"/>
  <c r="Q19" i="6"/>
  <c r="P19" i="6"/>
  <c r="O19" i="6"/>
  <c r="N19" i="6"/>
  <c r="M19" i="6"/>
  <c r="L19" i="6"/>
  <c r="K19" i="6"/>
  <c r="J19" i="6"/>
  <c r="I19" i="6"/>
  <c r="AJ18" i="6"/>
  <c r="AI18" i="6"/>
  <c r="AH18" i="6"/>
  <c r="AG18" i="6"/>
  <c r="AF18" i="6"/>
  <c r="AE18" i="6"/>
  <c r="AD18" i="6"/>
  <c r="AC18" i="6"/>
  <c r="AB18" i="6"/>
  <c r="AA18" i="6"/>
  <c r="Z18" i="6"/>
  <c r="Y18" i="6"/>
  <c r="X18" i="6"/>
  <c r="W18" i="6"/>
  <c r="V18" i="6"/>
  <c r="U18" i="6"/>
  <c r="T18" i="6"/>
  <c r="S18" i="6"/>
  <c r="R18" i="6"/>
  <c r="Q18" i="6"/>
  <c r="P18" i="6"/>
  <c r="O18" i="6"/>
  <c r="N18" i="6"/>
  <c r="M18" i="6"/>
  <c r="L18" i="6"/>
  <c r="K18" i="6"/>
  <c r="J18" i="6"/>
  <c r="I18" i="6"/>
  <c r="AH17" i="6"/>
  <c r="AG17" i="6"/>
  <c r="AF17" i="6"/>
  <c r="AE17" i="6"/>
  <c r="AD17" i="6"/>
  <c r="AC17" i="6"/>
  <c r="AB17" i="6"/>
  <c r="AA17" i="6"/>
  <c r="Z17" i="6"/>
  <c r="Y17" i="6"/>
  <c r="X17" i="6"/>
  <c r="W17" i="6"/>
  <c r="V17" i="6"/>
  <c r="U17" i="6"/>
  <c r="T17" i="6"/>
  <c r="S17" i="6"/>
  <c r="R17" i="6"/>
  <c r="Q17" i="6"/>
  <c r="P17" i="6"/>
  <c r="O17" i="6"/>
  <c r="N17" i="6"/>
  <c r="M17" i="6"/>
  <c r="L17" i="6"/>
  <c r="K17" i="6"/>
  <c r="J17" i="6"/>
  <c r="I17" i="6"/>
  <c r="AH16" i="6"/>
  <c r="AG16" i="6"/>
  <c r="AF16" i="6"/>
  <c r="AE16" i="6"/>
  <c r="AD16" i="6"/>
  <c r="AC16" i="6"/>
  <c r="AB16" i="6"/>
  <c r="AA16" i="6"/>
  <c r="Z16" i="6"/>
  <c r="Y16" i="6"/>
  <c r="X16" i="6"/>
  <c r="W16" i="6"/>
  <c r="V16" i="6"/>
  <c r="U16" i="6"/>
  <c r="T16" i="6"/>
  <c r="S16" i="6"/>
  <c r="R16" i="6"/>
  <c r="Q16" i="6"/>
  <c r="P16" i="6"/>
  <c r="O16" i="6"/>
  <c r="N16" i="6"/>
  <c r="M16" i="6"/>
  <c r="L16" i="6"/>
  <c r="K16" i="6"/>
  <c r="J16" i="6"/>
  <c r="I16" i="6"/>
  <c r="AH15" i="6"/>
  <c r="AG15" i="6"/>
  <c r="AF15" i="6"/>
  <c r="AE15" i="6"/>
  <c r="AD15" i="6"/>
  <c r="AC15" i="6"/>
  <c r="AB15" i="6"/>
  <c r="AA15" i="6"/>
  <c r="Z15" i="6"/>
  <c r="Y15" i="6"/>
  <c r="X15" i="6"/>
  <c r="W15" i="6"/>
  <c r="V15" i="6"/>
  <c r="U15" i="6"/>
  <c r="T15" i="6"/>
  <c r="S15" i="6"/>
  <c r="R15" i="6"/>
  <c r="Q15" i="6"/>
  <c r="P15" i="6"/>
  <c r="O15" i="6"/>
  <c r="N15" i="6"/>
  <c r="M15" i="6"/>
  <c r="L15" i="6"/>
  <c r="K15" i="6"/>
  <c r="J15" i="6"/>
  <c r="I15" i="6"/>
  <c r="AJ14" i="6"/>
  <c r="AI14" i="6"/>
  <c r="AH14" i="6"/>
  <c r="AG14" i="6"/>
  <c r="AF14" i="6"/>
  <c r="AE14" i="6"/>
  <c r="AD14" i="6"/>
  <c r="AC14" i="6"/>
  <c r="AB14" i="6"/>
  <c r="AA14" i="6"/>
  <c r="Z14" i="6"/>
  <c r="Y14" i="6"/>
  <c r="X14" i="6"/>
  <c r="W14" i="6"/>
  <c r="V14" i="6"/>
  <c r="U14" i="6"/>
  <c r="T14" i="6"/>
  <c r="S14" i="6"/>
  <c r="R14" i="6"/>
  <c r="Q14" i="6"/>
  <c r="P14" i="6"/>
  <c r="O14" i="6"/>
  <c r="N14" i="6"/>
  <c r="M14" i="6"/>
  <c r="L14" i="6"/>
  <c r="K14" i="6"/>
  <c r="J14" i="6"/>
  <c r="I14" i="6"/>
  <c r="AH13" i="6"/>
  <c r="AG13" i="6"/>
  <c r="AF13" i="6"/>
  <c r="AE13" i="6"/>
  <c r="AD13" i="6"/>
  <c r="AC13" i="6"/>
  <c r="AB13" i="6"/>
  <c r="AA13" i="6"/>
  <c r="Z13" i="6"/>
  <c r="Y13" i="6"/>
  <c r="X13" i="6"/>
  <c r="W13" i="6"/>
  <c r="V13" i="6"/>
  <c r="U13" i="6"/>
  <c r="T13" i="6"/>
  <c r="S13" i="6"/>
  <c r="R13" i="6"/>
  <c r="Q13" i="6"/>
  <c r="P13" i="6"/>
  <c r="O13" i="6"/>
  <c r="N13" i="6"/>
  <c r="M13" i="6"/>
  <c r="L13" i="6"/>
  <c r="K13" i="6"/>
  <c r="J13" i="6"/>
  <c r="I13" i="6"/>
  <c r="AL12" i="6"/>
  <c r="AK12" i="6"/>
  <c r="AJ12" i="6"/>
  <c r="AI12" i="6"/>
  <c r="AH12" i="6"/>
  <c r="AG12" i="6"/>
  <c r="AF12" i="6"/>
  <c r="AE12" i="6"/>
  <c r="AD12" i="6"/>
  <c r="AC12" i="6"/>
  <c r="AB12" i="6"/>
  <c r="AA12" i="6"/>
  <c r="Z12" i="6"/>
  <c r="Y12" i="6"/>
  <c r="X12" i="6"/>
  <c r="W12" i="6"/>
  <c r="V12" i="6"/>
  <c r="U12" i="6"/>
  <c r="T12" i="6"/>
  <c r="S12" i="6"/>
  <c r="R12" i="6"/>
  <c r="Q12" i="6"/>
  <c r="P12" i="6"/>
  <c r="O12" i="6"/>
  <c r="N12" i="6"/>
  <c r="M12" i="6"/>
  <c r="L12" i="6"/>
  <c r="K12" i="6"/>
  <c r="J12" i="6"/>
  <c r="I12" i="6"/>
  <c r="AJ11" i="6"/>
  <c r="AI11" i="6"/>
  <c r="AH11" i="6"/>
  <c r="AG11" i="6"/>
  <c r="AF11" i="6"/>
  <c r="AE11" i="6"/>
  <c r="AD11" i="6"/>
  <c r="AC11" i="6"/>
  <c r="AB11" i="6"/>
  <c r="AA11" i="6"/>
  <c r="Z11" i="6"/>
  <c r="Y11" i="6"/>
  <c r="X11" i="6"/>
  <c r="W11" i="6"/>
  <c r="V11" i="6"/>
  <c r="U11" i="6"/>
  <c r="T11" i="6"/>
  <c r="S11" i="6"/>
  <c r="R11" i="6"/>
  <c r="Q11" i="6"/>
  <c r="P11" i="6"/>
  <c r="O11" i="6"/>
  <c r="N11" i="6"/>
  <c r="M11" i="6"/>
  <c r="L11" i="6"/>
  <c r="K11" i="6"/>
  <c r="J11" i="6"/>
  <c r="I11" i="6"/>
  <c r="AL10" i="6"/>
  <c r="AK10" i="6"/>
  <c r="AJ10" i="6"/>
  <c r="AI10" i="6"/>
  <c r="AH10" i="6"/>
  <c r="AG10" i="6"/>
  <c r="AF10" i="6"/>
  <c r="AE10" i="6"/>
  <c r="AD10" i="6"/>
  <c r="AC10" i="6"/>
  <c r="AB10" i="6"/>
  <c r="AA10" i="6"/>
  <c r="Z10" i="6"/>
  <c r="Y10" i="6"/>
  <c r="X10" i="6"/>
  <c r="W10" i="6"/>
  <c r="V10" i="6"/>
  <c r="U10" i="6"/>
  <c r="T10" i="6"/>
  <c r="S10" i="6"/>
  <c r="R10" i="6"/>
  <c r="Q10" i="6"/>
  <c r="P10" i="6"/>
  <c r="O10" i="6"/>
  <c r="N10" i="6"/>
  <c r="M10" i="6"/>
  <c r="L10" i="6"/>
  <c r="K10" i="6"/>
  <c r="J10" i="6"/>
  <c r="I10" i="6"/>
  <c r="AJ9" i="6"/>
  <c r="AI9" i="6"/>
  <c r="AH9" i="6"/>
  <c r="AG9" i="6"/>
  <c r="AF9" i="6"/>
  <c r="AE9" i="6"/>
  <c r="AD9" i="6"/>
  <c r="AC9" i="6"/>
  <c r="AB9" i="6"/>
  <c r="AA9" i="6"/>
  <c r="Z9" i="6"/>
  <c r="Y9" i="6"/>
  <c r="X9" i="6"/>
  <c r="W9" i="6"/>
  <c r="V9" i="6"/>
  <c r="U9" i="6"/>
  <c r="T9" i="6"/>
  <c r="S9" i="6"/>
  <c r="R9" i="6"/>
  <c r="Q9" i="6"/>
  <c r="P9" i="6"/>
  <c r="O9" i="6"/>
  <c r="N9" i="6"/>
  <c r="M9" i="6"/>
  <c r="L9" i="6"/>
  <c r="K9" i="6"/>
  <c r="J9" i="6"/>
  <c r="I9" i="6"/>
  <c r="AJ8" i="6"/>
  <c r="AI8" i="6"/>
  <c r="AH8" i="6"/>
  <c r="AG8" i="6"/>
  <c r="AF8" i="6"/>
  <c r="AE8" i="6"/>
  <c r="AD8" i="6"/>
  <c r="AC8" i="6"/>
  <c r="AB8" i="6"/>
  <c r="AA8" i="6"/>
  <c r="Z8" i="6"/>
  <c r="Y8" i="6"/>
  <c r="X8" i="6"/>
  <c r="W8" i="6"/>
  <c r="V8" i="6"/>
  <c r="U8" i="6"/>
  <c r="T8" i="6"/>
  <c r="S8" i="6"/>
  <c r="R8" i="6"/>
  <c r="Q8" i="6"/>
  <c r="P8" i="6"/>
  <c r="O8" i="6"/>
  <c r="N8" i="6"/>
  <c r="M8" i="6"/>
  <c r="L8" i="6"/>
  <c r="K8" i="6"/>
  <c r="J8" i="6"/>
  <c r="I8" i="6"/>
  <c r="AJ7" i="6"/>
  <c r="AI7" i="6"/>
  <c r="AH7" i="6"/>
  <c r="AG7" i="6"/>
  <c r="AF7" i="6"/>
  <c r="AE7" i="6"/>
  <c r="AD7" i="6"/>
  <c r="AC7" i="6"/>
  <c r="AB7" i="6"/>
  <c r="AA7" i="6"/>
  <c r="Z7" i="6"/>
  <c r="Y7" i="6"/>
  <c r="X7" i="6"/>
  <c r="W7" i="6"/>
  <c r="V7" i="6"/>
  <c r="U7" i="6"/>
  <c r="T7" i="6"/>
  <c r="S7" i="6"/>
  <c r="R7" i="6"/>
  <c r="Q7" i="6"/>
  <c r="P7" i="6"/>
  <c r="O7" i="6"/>
  <c r="N7" i="6"/>
  <c r="M7" i="6"/>
  <c r="L7" i="6"/>
  <c r="K7" i="6"/>
  <c r="J7" i="6"/>
  <c r="I7" i="6"/>
  <c r="AJ6" i="6"/>
  <c r="AI6" i="6"/>
  <c r="AH6" i="6"/>
  <c r="AG6" i="6"/>
  <c r="AF6" i="6"/>
  <c r="AE6" i="6"/>
  <c r="AD6" i="6"/>
  <c r="AC6" i="6"/>
  <c r="AB6" i="6"/>
  <c r="AA6" i="6"/>
  <c r="Z6" i="6"/>
  <c r="Y6" i="6"/>
  <c r="X6" i="6"/>
  <c r="W6" i="6"/>
  <c r="V6" i="6"/>
  <c r="U6" i="6"/>
  <c r="T6" i="6"/>
  <c r="S6" i="6"/>
  <c r="R6" i="6"/>
  <c r="Q6" i="6"/>
  <c r="P6" i="6"/>
  <c r="O6" i="6"/>
  <c r="N6" i="6"/>
  <c r="M6" i="6"/>
  <c r="L6" i="6"/>
  <c r="K6" i="6"/>
  <c r="J6" i="6"/>
  <c r="I6" i="6"/>
  <c r="AL5" i="6"/>
  <c r="AK5" i="6"/>
  <c r="AJ5" i="6"/>
  <c r="AI5" i="6"/>
  <c r="AH5" i="6"/>
  <c r="AG5" i="6"/>
  <c r="AF5" i="6"/>
  <c r="AE5" i="6"/>
  <c r="AD5" i="6"/>
  <c r="AC5" i="6"/>
  <c r="AB5" i="6"/>
  <c r="AA5" i="6"/>
  <c r="Z5" i="6"/>
  <c r="Y5" i="6"/>
  <c r="X5" i="6"/>
  <c r="W5" i="6"/>
  <c r="V5" i="6"/>
  <c r="U5" i="6"/>
  <c r="T5" i="6"/>
  <c r="S5" i="6"/>
  <c r="R5" i="6"/>
  <c r="Q5" i="6"/>
  <c r="P5" i="6"/>
  <c r="O5" i="6"/>
  <c r="N5" i="6"/>
  <c r="M5" i="6"/>
  <c r="L5" i="6"/>
  <c r="K5" i="6"/>
  <c r="J5" i="6"/>
  <c r="I5" i="6"/>
  <c r="AH4" i="6"/>
  <c r="AG4" i="6"/>
  <c r="AF4" i="6"/>
  <c r="AE4" i="6"/>
  <c r="AD4" i="6"/>
  <c r="AC4" i="6"/>
  <c r="AB4" i="6"/>
  <c r="AA4" i="6"/>
  <c r="Z4" i="6"/>
  <c r="Y4" i="6"/>
  <c r="X4" i="6"/>
  <c r="W4" i="6"/>
  <c r="V4" i="6"/>
  <c r="U4" i="6"/>
  <c r="T4" i="6"/>
  <c r="S4" i="6"/>
  <c r="R4" i="6"/>
  <c r="Q4" i="6"/>
  <c r="P4" i="6"/>
  <c r="O4" i="6"/>
  <c r="N4" i="6"/>
  <c r="M4" i="6"/>
  <c r="L4" i="6"/>
  <c r="K4" i="6"/>
  <c r="J4" i="6"/>
  <c r="I4" i="6"/>
  <c r="AL3" i="6"/>
  <c r="AK3" i="6"/>
  <c r="AJ3" i="6"/>
  <c r="AI3" i="6"/>
  <c r="AH3" i="6"/>
  <c r="AG3" i="6"/>
  <c r="AB3" i="6"/>
  <c r="Z3" i="6"/>
  <c r="U3" i="6"/>
  <c r="T3" i="6"/>
  <c r="S3" i="6"/>
  <c r="R3" i="6"/>
  <c r="Q3" i="6"/>
  <c r="P3" i="6"/>
  <c r="O3" i="6"/>
  <c r="N3" i="6"/>
  <c r="M3" i="6"/>
  <c r="L3" i="6"/>
  <c r="K3" i="6"/>
  <c r="J3" i="6"/>
  <c r="I3" i="6"/>
  <c r="AL2" i="6"/>
  <c r="AK2" i="6"/>
  <c r="AJ2" i="6"/>
  <c r="AI2" i="6"/>
  <c r="AH2" i="6"/>
  <c r="AG2" i="6"/>
  <c r="AF2" i="6"/>
  <c r="AE2" i="6"/>
  <c r="AD2" i="6"/>
  <c r="AC2" i="6"/>
  <c r="AB2" i="6"/>
  <c r="AA2" i="6"/>
  <c r="Z2" i="6"/>
  <c r="Y2" i="6"/>
  <c r="X2" i="6"/>
  <c r="W2" i="6"/>
  <c r="V2" i="6"/>
  <c r="U2" i="6"/>
  <c r="T2" i="6"/>
  <c r="S2" i="6"/>
  <c r="R2" i="6"/>
  <c r="Q2" i="6"/>
  <c r="P2" i="6"/>
  <c r="O2" i="6"/>
  <c r="N2" i="6"/>
  <c r="M2" i="6"/>
  <c r="L2" i="6"/>
  <c r="K2" i="6"/>
  <c r="J2" i="6"/>
  <c r="I2" i="6"/>
  <c r="AH119" i="5"/>
  <c r="AG119" i="5"/>
  <c r="AF119" i="5"/>
  <c r="AE119" i="5"/>
  <c r="AD119" i="5"/>
  <c r="AC119" i="5"/>
  <c r="AB119" i="5"/>
  <c r="AA119" i="5"/>
  <c r="Z119" i="5"/>
  <c r="Y119" i="5"/>
  <c r="X119" i="5"/>
  <c r="W119" i="5"/>
  <c r="V119" i="5"/>
  <c r="U119" i="5"/>
  <c r="T119" i="5"/>
  <c r="S119" i="5"/>
  <c r="R119" i="5"/>
  <c r="Q119" i="5"/>
  <c r="P119" i="5"/>
  <c r="O119" i="5"/>
  <c r="N119" i="5"/>
  <c r="M119" i="5"/>
  <c r="L119" i="5"/>
  <c r="K119" i="5"/>
  <c r="J119" i="5"/>
  <c r="I119" i="5"/>
  <c r="H119" i="5"/>
  <c r="AH118" i="5"/>
  <c r="AG118" i="5"/>
  <c r="AF118" i="5"/>
  <c r="AE118" i="5"/>
  <c r="AD118" i="5"/>
  <c r="AC118" i="5"/>
  <c r="AB118" i="5"/>
  <c r="AA118" i="5"/>
  <c r="Z118" i="5"/>
  <c r="Y118" i="5"/>
  <c r="X118" i="5"/>
  <c r="W118" i="5"/>
  <c r="V118" i="5"/>
  <c r="U118" i="5"/>
  <c r="T118" i="5"/>
  <c r="S118" i="5"/>
  <c r="R118" i="5"/>
  <c r="Q118" i="5"/>
  <c r="P118" i="5"/>
  <c r="O118" i="5"/>
  <c r="N118" i="5"/>
  <c r="M118" i="5"/>
  <c r="L118" i="5"/>
  <c r="K118" i="5"/>
  <c r="J118" i="5"/>
  <c r="I118" i="5"/>
  <c r="H118" i="5"/>
  <c r="AJ117" i="5"/>
  <c r="AI117" i="5"/>
  <c r="AH117" i="5"/>
  <c r="AG117" i="5"/>
  <c r="AF117" i="5"/>
  <c r="AE117" i="5"/>
  <c r="AD117" i="5"/>
  <c r="AC117" i="5"/>
  <c r="AB117" i="5"/>
  <c r="AA117" i="5"/>
  <c r="Z117" i="5"/>
  <c r="Y117" i="5"/>
  <c r="X117" i="5"/>
  <c r="W117" i="5"/>
  <c r="V117" i="5"/>
  <c r="U117" i="5"/>
  <c r="T117" i="5"/>
  <c r="S117" i="5"/>
  <c r="R117" i="5"/>
  <c r="Q117" i="5"/>
  <c r="P117" i="5"/>
  <c r="O117" i="5"/>
  <c r="N117" i="5"/>
  <c r="M117" i="5"/>
  <c r="L117" i="5"/>
  <c r="K117" i="5"/>
  <c r="J117" i="5"/>
  <c r="I117" i="5"/>
  <c r="H117" i="5"/>
  <c r="AI116" i="5"/>
  <c r="AH116" i="5"/>
  <c r="AG116" i="5"/>
  <c r="AF116" i="5"/>
  <c r="AE116" i="5"/>
  <c r="AD116" i="5"/>
  <c r="AC116" i="5"/>
  <c r="AB116" i="5"/>
  <c r="AA116" i="5"/>
  <c r="Z116" i="5"/>
  <c r="Y116" i="5"/>
  <c r="X116" i="5"/>
  <c r="W116" i="5"/>
  <c r="V116" i="5"/>
  <c r="U116" i="5"/>
  <c r="T116" i="5"/>
  <c r="S116" i="5"/>
  <c r="R116" i="5"/>
  <c r="Q116" i="5"/>
  <c r="P116" i="5"/>
  <c r="O116" i="5"/>
  <c r="N116" i="5"/>
  <c r="M116" i="5"/>
  <c r="L116" i="5"/>
  <c r="K116" i="5"/>
  <c r="J116" i="5"/>
  <c r="I116" i="5"/>
  <c r="H116" i="5"/>
  <c r="AL115" i="5"/>
  <c r="AK115" i="5"/>
  <c r="AJ115" i="5"/>
  <c r="AI115" i="5"/>
  <c r="AH115" i="5"/>
  <c r="AG115" i="5"/>
  <c r="AF115" i="5"/>
  <c r="AE115" i="5"/>
  <c r="AD115" i="5"/>
  <c r="AC115" i="5"/>
  <c r="AB115" i="5"/>
  <c r="AA115" i="5"/>
  <c r="Z115" i="5"/>
  <c r="Y115" i="5"/>
  <c r="X115" i="5"/>
  <c r="W115" i="5"/>
  <c r="V115" i="5"/>
  <c r="U115" i="5"/>
  <c r="T115" i="5"/>
  <c r="S115" i="5"/>
  <c r="R115" i="5"/>
  <c r="Q115" i="5"/>
  <c r="P115" i="5"/>
  <c r="O115" i="5"/>
  <c r="N115" i="5"/>
  <c r="M115" i="5"/>
  <c r="L115" i="5"/>
  <c r="K115" i="5"/>
  <c r="J115" i="5"/>
  <c r="I115" i="5"/>
  <c r="H115" i="5"/>
  <c r="AJ114" i="5"/>
  <c r="AI114" i="5"/>
  <c r="AH114" i="5"/>
  <c r="AG114" i="5"/>
  <c r="AF114" i="5"/>
  <c r="AE114" i="5"/>
  <c r="AD114" i="5"/>
  <c r="AC114" i="5"/>
  <c r="AB114" i="5"/>
  <c r="AA114" i="5"/>
  <c r="Z114" i="5"/>
  <c r="Y114" i="5"/>
  <c r="X114" i="5"/>
  <c r="W114" i="5"/>
  <c r="V114" i="5"/>
  <c r="U114" i="5"/>
  <c r="T114" i="5"/>
  <c r="S114" i="5"/>
  <c r="R114" i="5"/>
  <c r="Q114" i="5"/>
  <c r="P114" i="5"/>
  <c r="O114" i="5"/>
  <c r="N114" i="5"/>
  <c r="M114" i="5"/>
  <c r="L114" i="5"/>
  <c r="K114" i="5"/>
  <c r="J114" i="5"/>
  <c r="I114" i="5"/>
  <c r="H114" i="5"/>
  <c r="AL113" i="5"/>
  <c r="AK113" i="5"/>
  <c r="AJ113" i="5"/>
  <c r="AI113" i="5"/>
  <c r="AH113" i="5"/>
  <c r="AG113" i="5"/>
  <c r="AF113" i="5"/>
  <c r="AE113" i="5"/>
  <c r="AD113" i="5"/>
  <c r="AC113" i="5"/>
  <c r="AB113" i="5"/>
  <c r="AA113" i="5"/>
  <c r="Z113" i="5"/>
  <c r="Y113" i="5"/>
  <c r="X113" i="5"/>
  <c r="W113" i="5"/>
  <c r="V113" i="5"/>
  <c r="U113" i="5"/>
  <c r="T113" i="5"/>
  <c r="S113" i="5"/>
  <c r="R113" i="5"/>
  <c r="Q113" i="5"/>
  <c r="P113" i="5"/>
  <c r="O113" i="5"/>
  <c r="N113" i="5"/>
  <c r="M113" i="5"/>
  <c r="L113" i="5"/>
  <c r="K113" i="5"/>
  <c r="J113" i="5"/>
  <c r="I113" i="5"/>
  <c r="H113" i="5"/>
  <c r="AJ112" i="5"/>
  <c r="AI112" i="5"/>
  <c r="AH112" i="5"/>
  <c r="AG112" i="5"/>
  <c r="AF112" i="5"/>
  <c r="AE112" i="5"/>
  <c r="AD112" i="5"/>
  <c r="AC112" i="5"/>
  <c r="AB112" i="5"/>
  <c r="AA112" i="5"/>
  <c r="Z112" i="5"/>
  <c r="Y112" i="5"/>
  <c r="X112" i="5"/>
  <c r="W112" i="5"/>
  <c r="V112" i="5"/>
  <c r="U112" i="5"/>
  <c r="T112" i="5"/>
  <c r="S112" i="5"/>
  <c r="R112" i="5"/>
  <c r="Q112" i="5"/>
  <c r="P112" i="5"/>
  <c r="O112" i="5"/>
  <c r="N112" i="5"/>
  <c r="M112" i="5"/>
  <c r="L112" i="5"/>
  <c r="K112" i="5"/>
  <c r="J112" i="5"/>
  <c r="I112" i="5"/>
  <c r="H112" i="5"/>
  <c r="AH111" i="5"/>
  <c r="AG111" i="5"/>
  <c r="AF111" i="5"/>
  <c r="AE111" i="5"/>
  <c r="AD111" i="5"/>
  <c r="AC111" i="5"/>
  <c r="AB111" i="5"/>
  <c r="AA111" i="5"/>
  <c r="Z111" i="5"/>
  <c r="Y111" i="5"/>
  <c r="X111" i="5"/>
  <c r="W111" i="5"/>
  <c r="V111" i="5"/>
  <c r="U111" i="5"/>
  <c r="T111" i="5"/>
  <c r="S111" i="5"/>
  <c r="R111" i="5"/>
  <c r="Q111" i="5"/>
  <c r="P111" i="5"/>
  <c r="O111" i="5"/>
  <c r="N111" i="5"/>
  <c r="M111" i="5"/>
  <c r="L111" i="5"/>
  <c r="K111" i="5"/>
  <c r="J111" i="5"/>
  <c r="I111" i="5"/>
  <c r="H111" i="5"/>
  <c r="AH110" i="5"/>
  <c r="AG110" i="5"/>
  <c r="AF110" i="5"/>
  <c r="AE110" i="5"/>
  <c r="AD110" i="5"/>
  <c r="AC110" i="5"/>
  <c r="AB110" i="5"/>
  <c r="AA110" i="5"/>
  <c r="Z110" i="5"/>
  <c r="Y110" i="5"/>
  <c r="X110" i="5"/>
  <c r="W110" i="5"/>
  <c r="V110" i="5"/>
  <c r="U110" i="5"/>
  <c r="T110" i="5"/>
  <c r="S110" i="5"/>
  <c r="R110" i="5"/>
  <c r="Q110" i="5"/>
  <c r="P110" i="5"/>
  <c r="O110" i="5"/>
  <c r="N110" i="5"/>
  <c r="M110" i="5"/>
  <c r="L110" i="5"/>
  <c r="K110" i="5"/>
  <c r="J110" i="5"/>
  <c r="I110" i="5"/>
  <c r="H110" i="5"/>
  <c r="AJ109" i="5"/>
  <c r="AI109" i="5"/>
  <c r="AH109" i="5"/>
  <c r="AG109" i="5"/>
  <c r="AF109" i="5"/>
  <c r="AE109" i="5"/>
  <c r="AD109" i="5"/>
  <c r="AC109" i="5"/>
  <c r="AB109" i="5"/>
  <c r="AA109" i="5"/>
  <c r="Z109" i="5"/>
  <c r="Y109" i="5"/>
  <c r="X109" i="5"/>
  <c r="W109" i="5"/>
  <c r="V109" i="5"/>
  <c r="U109" i="5"/>
  <c r="T109" i="5"/>
  <c r="S109" i="5"/>
  <c r="R109" i="5"/>
  <c r="Q109" i="5"/>
  <c r="P109" i="5"/>
  <c r="O109" i="5"/>
  <c r="N109" i="5"/>
  <c r="M109" i="5"/>
  <c r="L109" i="5"/>
  <c r="K109" i="5"/>
  <c r="J109" i="5"/>
  <c r="I109" i="5"/>
  <c r="H109" i="5"/>
  <c r="AJ108" i="5"/>
  <c r="AI108" i="5"/>
  <c r="AH108" i="5"/>
  <c r="AG108" i="5"/>
  <c r="AF108" i="5"/>
  <c r="AE108" i="5"/>
  <c r="AD108" i="5"/>
  <c r="AC108" i="5"/>
  <c r="AB108" i="5"/>
  <c r="AA108" i="5"/>
  <c r="Z108" i="5"/>
  <c r="Y108" i="5"/>
  <c r="X108" i="5"/>
  <c r="W108" i="5"/>
  <c r="V108" i="5"/>
  <c r="U108" i="5"/>
  <c r="T108" i="5"/>
  <c r="S108" i="5"/>
  <c r="R108" i="5"/>
  <c r="Q108" i="5"/>
  <c r="P108" i="5"/>
  <c r="O108" i="5"/>
  <c r="N108" i="5"/>
  <c r="M108" i="5"/>
  <c r="L108" i="5"/>
  <c r="K108" i="5"/>
  <c r="J108" i="5"/>
  <c r="I108" i="5"/>
  <c r="H108" i="5"/>
  <c r="AJ107" i="5"/>
  <c r="AI107" i="5"/>
  <c r="AH107" i="5"/>
  <c r="AG107" i="5"/>
  <c r="AF107" i="5"/>
  <c r="AE107" i="5"/>
  <c r="AD107" i="5"/>
  <c r="AC107" i="5"/>
  <c r="AB107" i="5"/>
  <c r="AA107" i="5"/>
  <c r="Z107" i="5"/>
  <c r="Y107" i="5"/>
  <c r="X107" i="5"/>
  <c r="W107" i="5"/>
  <c r="V107" i="5"/>
  <c r="U107" i="5"/>
  <c r="T107" i="5"/>
  <c r="S107" i="5"/>
  <c r="R107" i="5"/>
  <c r="Q107" i="5"/>
  <c r="P107" i="5"/>
  <c r="O107" i="5"/>
  <c r="N107" i="5"/>
  <c r="M107" i="5"/>
  <c r="L107" i="5"/>
  <c r="K107" i="5"/>
  <c r="J107" i="5"/>
  <c r="I107" i="5"/>
  <c r="H107" i="5"/>
  <c r="AL106" i="5"/>
  <c r="AK106" i="5"/>
  <c r="AJ106" i="5"/>
  <c r="AI106" i="5"/>
  <c r="AH106" i="5"/>
  <c r="AG106" i="5"/>
  <c r="AF106" i="5"/>
  <c r="AE106" i="5"/>
  <c r="AD106" i="5"/>
  <c r="AC106" i="5"/>
  <c r="AB106" i="5"/>
  <c r="AA106" i="5"/>
  <c r="Z106" i="5"/>
  <c r="Y106" i="5"/>
  <c r="X106" i="5"/>
  <c r="W106" i="5"/>
  <c r="V106" i="5"/>
  <c r="U106" i="5"/>
  <c r="T106" i="5"/>
  <c r="S106" i="5"/>
  <c r="R106" i="5"/>
  <c r="Q106" i="5"/>
  <c r="P106" i="5"/>
  <c r="O106" i="5"/>
  <c r="N106" i="5"/>
  <c r="M106" i="5"/>
  <c r="L106" i="5"/>
  <c r="K106" i="5"/>
  <c r="J106" i="5"/>
  <c r="I106" i="5"/>
  <c r="H106" i="5"/>
  <c r="AJ105" i="5"/>
  <c r="AI105" i="5"/>
  <c r="AH105" i="5"/>
  <c r="AG105" i="5"/>
  <c r="AF105" i="5"/>
  <c r="AE105" i="5"/>
  <c r="AD105" i="5"/>
  <c r="AC105" i="5"/>
  <c r="AB105" i="5"/>
  <c r="AA105" i="5"/>
  <c r="Z105" i="5"/>
  <c r="Y105" i="5"/>
  <c r="X105" i="5"/>
  <c r="W105" i="5"/>
  <c r="V105" i="5"/>
  <c r="U105" i="5"/>
  <c r="T105" i="5"/>
  <c r="S105" i="5"/>
  <c r="R105" i="5"/>
  <c r="Q105" i="5"/>
  <c r="P105" i="5"/>
  <c r="O105" i="5"/>
  <c r="N105" i="5"/>
  <c r="M105" i="5"/>
  <c r="L105" i="5"/>
  <c r="K105" i="5"/>
  <c r="J105" i="5"/>
  <c r="I105" i="5"/>
  <c r="H105" i="5"/>
  <c r="AJ104" i="5"/>
  <c r="AI104" i="5"/>
  <c r="AH104" i="5"/>
  <c r="AG104" i="5"/>
  <c r="AF104" i="5"/>
  <c r="AE104" i="5"/>
  <c r="AD104" i="5"/>
  <c r="AC104" i="5"/>
  <c r="AB104" i="5"/>
  <c r="AA104" i="5"/>
  <c r="Z104" i="5"/>
  <c r="Y104" i="5"/>
  <c r="X104" i="5"/>
  <c r="W104" i="5"/>
  <c r="V104" i="5"/>
  <c r="U104" i="5"/>
  <c r="T104" i="5"/>
  <c r="S104" i="5"/>
  <c r="R104" i="5"/>
  <c r="Q104" i="5"/>
  <c r="P104" i="5"/>
  <c r="O104" i="5"/>
  <c r="N104" i="5"/>
  <c r="M104" i="5"/>
  <c r="L104" i="5"/>
  <c r="K104" i="5"/>
  <c r="J104" i="5"/>
  <c r="I104" i="5"/>
  <c r="H104" i="5"/>
  <c r="AJ103" i="5"/>
  <c r="AI103" i="5"/>
  <c r="AH103" i="5"/>
  <c r="AG103" i="5"/>
  <c r="AF103" i="5"/>
  <c r="AE103" i="5"/>
  <c r="AD103" i="5"/>
  <c r="AC103" i="5"/>
  <c r="AB103" i="5"/>
  <c r="AA103" i="5"/>
  <c r="Z103" i="5"/>
  <c r="Y103" i="5"/>
  <c r="X103" i="5"/>
  <c r="W103" i="5"/>
  <c r="V103" i="5"/>
  <c r="U103" i="5"/>
  <c r="T103" i="5"/>
  <c r="S103" i="5"/>
  <c r="R103" i="5"/>
  <c r="Q103" i="5"/>
  <c r="P103" i="5"/>
  <c r="O103" i="5"/>
  <c r="N103" i="5"/>
  <c r="M103" i="5"/>
  <c r="L103" i="5"/>
  <c r="K103" i="5"/>
  <c r="J103" i="5"/>
  <c r="I103" i="5"/>
  <c r="H103" i="5"/>
  <c r="AJ102" i="5"/>
  <c r="AI102" i="5"/>
  <c r="AH102" i="5"/>
  <c r="AG102" i="5"/>
  <c r="AF102" i="5"/>
  <c r="AE102" i="5"/>
  <c r="AD102" i="5"/>
  <c r="AC102" i="5"/>
  <c r="AB102" i="5"/>
  <c r="AA102" i="5"/>
  <c r="Z102" i="5"/>
  <c r="Y102" i="5"/>
  <c r="X102" i="5"/>
  <c r="W102" i="5"/>
  <c r="V102" i="5"/>
  <c r="U102" i="5"/>
  <c r="T102" i="5"/>
  <c r="S102" i="5"/>
  <c r="R102" i="5"/>
  <c r="Q102" i="5"/>
  <c r="P102" i="5"/>
  <c r="O102" i="5"/>
  <c r="N102" i="5"/>
  <c r="M102" i="5"/>
  <c r="L102" i="5"/>
  <c r="K102" i="5"/>
  <c r="J102" i="5"/>
  <c r="I102" i="5"/>
  <c r="H102" i="5"/>
  <c r="AJ101" i="5"/>
  <c r="AI101" i="5"/>
  <c r="AH101" i="5"/>
  <c r="AG101" i="5"/>
  <c r="AF101" i="5"/>
  <c r="AE101" i="5"/>
  <c r="AD101" i="5"/>
  <c r="AC101" i="5"/>
  <c r="AB101" i="5"/>
  <c r="AA101" i="5"/>
  <c r="Z101" i="5"/>
  <c r="Y101" i="5"/>
  <c r="X101" i="5"/>
  <c r="W101" i="5"/>
  <c r="V101" i="5"/>
  <c r="U101" i="5"/>
  <c r="T101" i="5"/>
  <c r="S101" i="5"/>
  <c r="R101" i="5"/>
  <c r="Q101" i="5"/>
  <c r="P101" i="5"/>
  <c r="O101" i="5"/>
  <c r="N101" i="5"/>
  <c r="M101" i="5"/>
  <c r="L101" i="5"/>
  <c r="K101" i="5"/>
  <c r="J101" i="5"/>
  <c r="I101" i="5"/>
  <c r="H101" i="5"/>
  <c r="AL100" i="5"/>
  <c r="AK100" i="5"/>
  <c r="AJ100" i="5"/>
  <c r="AI100" i="5"/>
  <c r="AH100" i="5"/>
  <c r="AG100" i="5"/>
  <c r="AF100" i="5"/>
  <c r="AE100" i="5"/>
  <c r="AD100" i="5"/>
  <c r="AC100" i="5"/>
  <c r="AB100" i="5"/>
  <c r="AA100" i="5"/>
  <c r="Z100" i="5"/>
  <c r="Y100" i="5"/>
  <c r="X100" i="5"/>
  <c r="W100" i="5"/>
  <c r="V100" i="5"/>
  <c r="U100" i="5"/>
  <c r="T100" i="5"/>
  <c r="S100" i="5"/>
  <c r="R100" i="5"/>
  <c r="Q100" i="5"/>
  <c r="P100" i="5"/>
  <c r="O100" i="5"/>
  <c r="N100" i="5"/>
  <c r="M100" i="5"/>
  <c r="L100" i="5"/>
  <c r="K100" i="5"/>
  <c r="J100" i="5"/>
  <c r="I100" i="5"/>
  <c r="H100" i="5"/>
  <c r="AJ99" i="5"/>
  <c r="AI99" i="5"/>
  <c r="AH99" i="5"/>
  <c r="AG99" i="5"/>
  <c r="AF99" i="5"/>
  <c r="AE99" i="5"/>
  <c r="AD99" i="5"/>
  <c r="AC99" i="5"/>
  <c r="AB99" i="5"/>
  <c r="AA99" i="5"/>
  <c r="Z99" i="5"/>
  <c r="Y99" i="5"/>
  <c r="X99" i="5"/>
  <c r="W99" i="5"/>
  <c r="V99" i="5"/>
  <c r="U99" i="5"/>
  <c r="T99" i="5"/>
  <c r="S99" i="5"/>
  <c r="R99" i="5"/>
  <c r="Q99" i="5"/>
  <c r="P99" i="5"/>
  <c r="O99" i="5"/>
  <c r="N99" i="5"/>
  <c r="M99" i="5"/>
  <c r="L99" i="5"/>
  <c r="K99" i="5"/>
  <c r="J99" i="5"/>
  <c r="I99" i="5"/>
  <c r="H99" i="5"/>
  <c r="AJ98" i="5"/>
  <c r="AI98" i="5"/>
  <c r="AH98" i="5"/>
  <c r="AG98" i="5"/>
  <c r="AF98" i="5"/>
  <c r="AE98" i="5"/>
  <c r="AD98" i="5"/>
  <c r="AC98" i="5"/>
  <c r="AB98" i="5"/>
  <c r="AA98" i="5"/>
  <c r="Z98" i="5"/>
  <c r="Y98" i="5"/>
  <c r="X98" i="5"/>
  <c r="W98" i="5"/>
  <c r="V98" i="5"/>
  <c r="U98" i="5"/>
  <c r="T98" i="5"/>
  <c r="S98" i="5"/>
  <c r="R98" i="5"/>
  <c r="Q98" i="5"/>
  <c r="P98" i="5"/>
  <c r="O98" i="5"/>
  <c r="N98" i="5"/>
  <c r="M98" i="5"/>
  <c r="L98" i="5"/>
  <c r="K98" i="5"/>
  <c r="J98" i="5"/>
  <c r="I98" i="5"/>
  <c r="H98" i="5"/>
  <c r="AH97" i="5"/>
  <c r="AG97" i="5"/>
  <c r="AF97" i="5"/>
  <c r="AE97" i="5"/>
  <c r="AD97" i="5"/>
  <c r="AC97" i="5"/>
  <c r="AB97" i="5"/>
  <c r="AA97" i="5"/>
  <c r="Z97" i="5"/>
  <c r="Y97" i="5"/>
  <c r="X97" i="5"/>
  <c r="W97" i="5"/>
  <c r="V97" i="5"/>
  <c r="U97" i="5"/>
  <c r="T97" i="5"/>
  <c r="S97" i="5"/>
  <c r="R97" i="5"/>
  <c r="Q97" i="5"/>
  <c r="P97" i="5"/>
  <c r="O97" i="5"/>
  <c r="N97" i="5"/>
  <c r="M97" i="5"/>
  <c r="L97" i="5"/>
  <c r="K97" i="5"/>
  <c r="J97" i="5"/>
  <c r="I97" i="5"/>
  <c r="H97" i="5"/>
  <c r="AL96" i="5"/>
  <c r="AK96" i="5"/>
  <c r="AJ96" i="5"/>
  <c r="AI96" i="5"/>
  <c r="AH96" i="5"/>
  <c r="AG96" i="5"/>
  <c r="AF96" i="5"/>
  <c r="AE96" i="5"/>
  <c r="AD96" i="5"/>
  <c r="AC96" i="5"/>
  <c r="AB96" i="5"/>
  <c r="AA96" i="5"/>
  <c r="Z96" i="5"/>
  <c r="Y96" i="5"/>
  <c r="X96" i="5"/>
  <c r="W96" i="5"/>
  <c r="V96" i="5"/>
  <c r="U96" i="5"/>
  <c r="T96" i="5"/>
  <c r="S96" i="5"/>
  <c r="R96" i="5"/>
  <c r="Q96" i="5"/>
  <c r="P96" i="5"/>
  <c r="O96" i="5"/>
  <c r="N96" i="5"/>
  <c r="M96" i="5"/>
  <c r="L96" i="5"/>
  <c r="K96" i="5"/>
  <c r="J96" i="5"/>
  <c r="I96" i="5"/>
  <c r="H96" i="5"/>
  <c r="AL95" i="5"/>
  <c r="AK95" i="5"/>
  <c r="AJ95" i="5"/>
  <c r="AI95" i="5"/>
  <c r="AH95" i="5"/>
  <c r="AG95" i="5"/>
  <c r="AF95" i="5"/>
  <c r="AE95" i="5"/>
  <c r="AD95" i="5"/>
  <c r="AC95" i="5"/>
  <c r="AB95" i="5"/>
  <c r="AA95" i="5"/>
  <c r="Z95" i="5"/>
  <c r="Y95" i="5"/>
  <c r="X95" i="5"/>
  <c r="W95" i="5"/>
  <c r="V95" i="5"/>
  <c r="U95" i="5"/>
  <c r="T95" i="5"/>
  <c r="S95" i="5"/>
  <c r="R95" i="5"/>
  <c r="Q95" i="5"/>
  <c r="P95" i="5"/>
  <c r="O95" i="5"/>
  <c r="N95" i="5"/>
  <c r="M95" i="5"/>
  <c r="L95" i="5"/>
  <c r="K95" i="5"/>
  <c r="J95" i="5"/>
  <c r="I95" i="5"/>
  <c r="H95" i="5"/>
  <c r="AJ94" i="5"/>
  <c r="AI94" i="5"/>
  <c r="AH94" i="5"/>
  <c r="AG94" i="5"/>
  <c r="AF94" i="5"/>
  <c r="AE94" i="5"/>
  <c r="AD94" i="5"/>
  <c r="AC94" i="5"/>
  <c r="AB94" i="5"/>
  <c r="AA94" i="5"/>
  <c r="Z94" i="5"/>
  <c r="Y94" i="5"/>
  <c r="X94" i="5"/>
  <c r="W94" i="5"/>
  <c r="V94" i="5"/>
  <c r="U94" i="5"/>
  <c r="T94" i="5"/>
  <c r="S94" i="5"/>
  <c r="R94" i="5"/>
  <c r="Q94" i="5"/>
  <c r="P94" i="5"/>
  <c r="O94" i="5"/>
  <c r="N94" i="5"/>
  <c r="M94" i="5"/>
  <c r="L94" i="5"/>
  <c r="K94" i="5"/>
  <c r="J94" i="5"/>
  <c r="I94" i="5"/>
  <c r="H94" i="5"/>
  <c r="AL93" i="5"/>
  <c r="AK93" i="5"/>
  <c r="AJ93" i="5"/>
  <c r="AI93" i="5"/>
  <c r="AH93" i="5"/>
  <c r="AG93" i="5"/>
  <c r="AF93" i="5"/>
  <c r="AE93" i="5"/>
  <c r="AD93" i="5"/>
  <c r="AC93" i="5"/>
  <c r="AB93" i="5"/>
  <c r="AA93" i="5"/>
  <c r="Z93" i="5"/>
  <c r="Y93" i="5"/>
  <c r="X93" i="5"/>
  <c r="W93" i="5"/>
  <c r="V93" i="5"/>
  <c r="U93" i="5"/>
  <c r="T93" i="5"/>
  <c r="S93" i="5"/>
  <c r="R93" i="5"/>
  <c r="Q93" i="5"/>
  <c r="P93" i="5"/>
  <c r="O93" i="5"/>
  <c r="N93" i="5"/>
  <c r="M93" i="5"/>
  <c r="L93" i="5"/>
  <c r="K93" i="5"/>
  <c r="J93" i="5"/>
  <c r="I93" i="5"/>
  <c r="H93" i="5"/>
  <c r="AL92" i="5"/>
  <c r="AK92" i="5"/>
  <c r="AJ92" i="5"/>
  <c r="AI92" i="5"/>
  <c r="AH92" i="5"/>
  <c r="AG92" i="5"/>
  <c r="AF92" i="5"/>
  <c r="AE92" i="5"/>
  <c r="AD92" i="5"/>
  <c r="AC92" i="5"/>
  <c r="AB92" i="5"/>
  <c r="AA92" i="5"/>
  <c r="Z92" i="5"/>
  <c r="Y92" i="5"/>
  <c r="X92" i="5"/>
  <c r="W92" i="5"/>
  <c r="V92" i="5"/>
  <c r="U92" i="5"/>
  <c r="T92" i="5"/>
  <c r="S92" i="5"/>
  <c r="R92" i="5"/>
  <c r="Q92" i="5"/>
  <c r="P92" i="5"/>
  <c r="O92" i="5"/>
  <c r="N92" i="5"/>
  <c r="M92" i="5"/>
  <c r="L92" i="5"/>
  <c r="K92" i="5"/>
  <c r="J92" i="5"/>
  <c r="I92" i="5"/>
  <c r="H92" i="5"/>
  <c r="AJ91" i="5"/>
  <c r="AI91" i="5"/>
  <c r="AH91" i="5"/>
  <c r="AG91" i="5"/>
  <c r="AF91" i="5"/>
  <c r="AE91" i="5"/>
  <c r="AD91" i="5"/>
  <c r="AC91" i="5"/>
  <c r="AB91" i="5"/>
  <c r="AA91" i="5"/>
  <c r="Z91" i="5"/>
  <c r="Y91" i="5"/>
  <c r="X91" i="5"/>
  <c r="W91" i="5"/>
  <c r="V91" i="5"/>
  <c r="U91" i="5"/>
  <c r="T91" i="5"/>
  <c r="S91" i="5"/>
  <c r="R91" i="5"/>
  <c r="Q91" i="5"/>
  <c r="P91" i="5"/>
  <c r="O91" i="5"/>
  <c r="N91" i="5"/>
  <c r="M91" i="5"/>
  <c r="L91" i="5"/>
  <c r="K91" i="5"/>
  <c r="J91" i="5"/>
  <c r="I91" i="5"/>
  <c r="H91" i="5"/>
  <c r="AJ90" i="5"/>
  <c r="AI90" i="5"/>
  <c r="AH90" i="5"/>
  <c r="AG90" i="5"/>
  <c r="AF90" i="5"/>
  <c r="AE90" i="5"/>
  <c r="AD90" i="5"/>
  <c r="AC90" i="5"/>
  <c r="AB90" i="5"/>
  <c r="AA90" i="5"/>
  <c r="Z90" i="5"/>
  <c r="Y90" i="5"/>
  <c r="X90" i="5"/>
  <c r="W90" i="5"/>
  <c r="V90" i="5"/>
  <c r="U90" i="5"/>
  <c r="T90" i="5"/>
  <c r="S90" i="5"/>
  <c r="R90" i="5"/>
  <c r="Q90" i="5"/>
  <c r="P90" i="5"/>
  <c r="O90" i="5"/>
  <c r="N90" i="5"/>
  <c r="M90" i="5"/>
  <c r="L90" i="5"/>
  <c r="K90" i="5"/>
  <c r="J90" i="5"/>
  <c r="I90" i="5"/>
  <c r="H90" i="5"/>
  <c r="AJ89" i="5"/>
  <c r="AI89" i="5"/>
  <c r="AH89" i="5"/>
  <c r="AG89" i="5"/>
  <c r="AF89" i="5"/>
  <c r="AE89" i="5"/>
  <c r="AD89" i="5"/>
  <c r="AC89" i="5"/>
  <c r="AB89" i="5"/>
  <c r="AA89" i="5"/>
  <c r="Z89" i="5"/>
  <c r="Y89" i="5"/>
  <c r="X89" i="5"/>
  <c r="W89" i="5"/>
  <c r="V89" i="5"/>
  <c r="U89" i="5"/>
  <c r="T89" i="5"/>
  <c r="S89" i="5"/>
  <c r="R89" i="5"/>
  <c r="Q89" i="5"/>
  <c r="P89" i="5"/>
  <c r="O89" i="5"/>
  <c r="N89" i="5"/>
  <c r="M89" i="5"/>
  <c r="L89" i="5"/>
  <c r="K89" i="5"/>
  <c r="J89" i="5"/>
  <c r="I89" i="5"/>
  <c r="H89" i="5"/>
  <c r="AJ88" i="5"/>
  <c r="AI88" i="5"/>
  <c r="AH88" i="5"/>
  <c r="AG88" i="5"/>
  <c r="AF88" i="5"/>
  <c r="AE88" i="5"/>
  <c r="AD88" i="5"/>
  <c r="AC88" i="5"/>
  <c r="AB88" i="5"/>
  <c r="AA88" i="5"/>
  <c r="Z88" i="5"/>
  <c r="Y88" i="5"/>
  <c r="X88" i="5"/>
  <c r="W88" i="5"/>
  <c r="V88" i="5"/>
  <c r="U88" i="5"/>
  <c r="T88" i="5"/>
  <c r="S88" i="5"/>
  <c r="R88" i="5"/>
  <c r="Q88" i="5"/>
  <c r="P88" i="5"/>
  <c r="O88" i="5"/>
  <c r="N88" i="5"/>
  <c r="M88" i="5"/>
  <c r="L88" i="5"/>
  <c r="K88" i="5"/>
  <c r="J88" i="5"/>
  <c r="I88" i="5"/>
  <c r="H88" i="5"/>
  <c r="AJ87" i="5"/>
  <c r="AI87" i="5"/>
  <c r="AH87" i="5"/>
  <c r="AG87" i="5"/>
  <c r="AF87" i="5"/>
  <c r="AE87" i="5"/>
  <c r="AD87" i="5"/>
  <c r="AC87" i="5"/>
  <c r="AB87" i="5"/>
  <c r="AA87" i="5"/>
  <c r="Z87" i="5"/>
  <c r="Y87" i="5"/>
  <c r="X87" i="5"/>
  <c r="W87" i="5"/>
  <c r="V87" i="5"/>
  <c r="U87" i="5"/>
  <c r="T87" i="5"/>
  <c r="S87" i="5"/>
  <c r="R87" i="5"/>
  <c r="Q87" i="5"/>
  <c r="P87" i="5"/>
  <c r="O87" i="5"/>
  <c r="N87" i="5"/>
  <c r="M87" i="5"/>
  <c r="L87" i="5"/>
  <c r="K87" i="5"/>
  <c r="J87" i="5"/>
  <c r="I87" i="5"/>
  <c r="H87" i="5"/>
  <c r="AJ86" i="5"/>
  <c r="AI86" i="5"/>
  <c r="AH86" i="5"/>
  <c r="AG86" i="5"/>
  <c r="AF86" i="5"/>
  <c r="AE86" i="5"/>
  <c r="AD86" i="5"/>
  <c r="AC86" i="5"/>
  <c r="AB86" i="5"/>
  <c r="AA86" i="5"/>
  <c r="Z86" i="5"/>
  <c r="Y86" i="5"/>
  <c r="X86" i="5"/>
  <c r="W86" i="5"/>
  <c r="V86" i="5"/>
  <c r="U86" i="5"/>
  <c r="T86" i="5"/>
  <c r="S86" i="5"/>
  <c r="R86" i="5"/>
  <c r="Q86" i="5"/>
  <c r="P86" i="5"/>
  <c r="O86" i="5"/>
  <c r="N86" i="5"/>
  <c r="M86" i="5"/>
  <c r="L86" i="5"/>
  <c r="K86" i="5"/>
  <c r="J86" i="5"/>
  <c r="I86" i="5"/>
  <c r="H86" i="5"/>
  <c r="AL85" i="5"/>
  <c r="AK85" i="5"/>
  <c r="AJ85" i="5"/>
  <c r="AI85" i="5"/>
  <c r="AH85" i="5"/>
  <c r="AG85" i="5"/>
  <c r="AF85" i="5"/>
  <c r="AE85" i="5"/>
  <c r="AD85" i="5"/>
  <c r="AC85" i="5"/>
  <c r="AB85" i="5"/>
  <c r="AA85" i="5"/>
  <c r="Z85" i="5"/>
  <c r="Y85" i="5"/>
  <c r="X85" i="5"/>
  <c r="W85" i="5"/>
  <c r="V85" i="5"/>
  <c r="U85" i="5"/>
  <c r="T85" i="5"/>
  <c r="S85" i="5"/>
  <c r="R85" i="5"/>
  <c r="Q85" i="5"/>
  <c r="P85" i="5"/>
  <c r="O85" i="5"/>
  <c r="N85" i="5"/>
  <c r="M85" i="5"/>
  <c r="L85" i="5"/>
  <c r="K85" i="5"/>
  <c r="J85" i="5"/>
  <c r="I85" i="5"/>
  <c r="H85" i="5"/>
  <c r="AL84" i="5"/>
  <c r="AK84" i="5"/>
  <c r="AJ84" i="5"/>
  <c r="AI84" i="5"/>
  <c r="AH84" i="5"/>
  <c r="AG84" i="5"/>
  <c r="AF84" i="5"/>
  <c r="AE84" i="5"/>
  <c r="AD84" i="5"/>
  <c r="AC84" i="5"/>
  <c r="AB84" i="5"/>
  <c r="AA84" i="5"/>
  <c r="Z84" i="5"/>
  <c r="Y84" i="5"/>
  <c r="X84" i="5"/>
  <c r="W84" i="5"/>
  <c r="V84" i="5"/>
  <c r="U84" i="5"/>
  <c r="T84" i="5"/>
  <c r="S84" i="5"/>
  <c r="R84" i="5"/>
  <c r="Q84" i="5"/>
  <c r="P84" i="5"/>
  <c r="O84" i="5"/>
  <c r="N84" i="5"/>
  <c r="M84" i="5"/>
  <c r="L84" i="5"/>
  <c r="K84" i="5"/>
  <c r="J84" i="5"/>
  <c r="I84" i="5"/>
  <c r="H84" i="5"/>
  <c r="AJ83" i="5"/>
  <c r="AI83" i="5"/>
  <c r="AH83" i="5"/>
  <c r="AG83" i="5"/>
  <c r="AF83" i="5"/>
  <c r="AE83" i="5"/>
  <c r="AD83" i="5"/>
  <c r="AC83" i="5"/>
  <c r="AB83" i="5"/>
  <c r="AA83" i="5"/>
  <c r="Z83" i="5"/>
  <c r="Y83" i="5"/>
  <c r="X83" i="5"/>
  <c r="W83" i="5"/>
  <c r="V83" i="5"/>
  <c r="U83" i="5"/>
  <c r="T83" i="5"/>
  <c r="S83" i="5"/>
  <c r="R83" i="5"/>
  <c r="Q83" i="5"/>
  <c r="P83" i="5"/>
  <c r="O83" i="5"/>
  <c r="N83" i="5"/>
  <c r="M83" i="5"/>
  <c r="L83" i="5"/>
  <c r="K83" i="5"/>
  <c r="J83" i="5"/>
  <c r="I83" i="5"/>
  <c r="H83" i="5"/>
  <c r="AJ82" i="5"/>
  <c r="AI82" i="5"/>
  <c r="AH82" i="5"/>
  <c r="AG82" i="5"/>
  <c r="AF82" i="5"/>
  <c r="AE82" i="5"/>
  <c r="AD82" i="5"/>
  <c r="AC82" i="5"/>
  <c r="AB82" i="5"/>
  <c r="AA82" i="5"/>
  <c r="Z82" i="5"/>
  <c r="Y82" i="5"/>
  <c r="X82" i="5"/>
  <c r="W82" i="5"/>
  <c r="V82" i="5"/>
  <c r="U82" i="5"/>
  <c r="T82" i="5"/>
  <c r="S82" i="5"/>
  <c r="R82" i="5"/>
  <c r="Q82" i="5"/>
  <c r="P82" i="5"/>
  <c r="O82" i="5"/>
  <c r="N82" i="5"/>
  <c r="M82" i="5"/>
  <c r="L82" i="5"/>
  <c r="K82" i="5"/>
  <c r="J82" i="5"/>
  <c r="I82" i="5"/>
  <c r="H82" i="5"/>
  <c r="AJ81" i="5"/>
  <c r="AI81" i="5"/>
  <c r="AH81" i="5"/>
  <c r="AG81" i="5"/>
  <c r="AF81" i="5"/>
  <c r="AE81" i="5"/>
  <c r="AD81" i="5"/>
  <c r="AC81" i="5"/>
  <c r="AB81" i="5"/>
  <c r="AA81" i="5"/>
  <c r="Z81" i="5"/>
  <c r="Y81" i="5"/>
  <c r="X81" i="5"/>
  <c r="W81" i="5"/>
  <c r="V81" i="5"/>
  <c r="U81" i="5"/>
  <c r="T81" i="5"/>
  <c r="S81" i="5"/>
  <c r="R81" i="5"/>
  <c r="Q81" i="5"/>
  <c r="P81" i="5"/>
  <c r="O81" i="5"/>
  <c r="N81" i="5"/>
  <c r="M81" i="5"/>
  <c r="L81" i="5"/>
  <c r="K81" i="5"/>
  <c r="J81" i="5"/>
  <c r="I81" i="5"/>
  <c r="H81" i="5"/>
  <c r="AJ80" i="5"/>
  <c r="AI80" i="5"/>
  <c r="AH80" i="5"/>
  <c r="AG80" i="5"/>
  <c r="AF80" i="5"/>
  <c r="AE80" i="5"/>
  <c r="AD80" i="5"/>
  <c r="AC80" i="5"/>
  <c r="AB80" i="5"/>
  <c r="AA80" i="5"/>
  <c r="Z80" i="5"/>
  <c r="Y80" i="5"/>
  <c r="X80" i="5"/>
  <c r="W80" i="5"/>
  <c r="V80" i="5"/>
  <c r="U80" i="5"/>
  <c r="T80" i="5"/>
  <c r="S80" i="5"/>
  <c r="R80" i="5"/>
  <c r="Q80" i="5"/>
  <c r="P80" i="5"/>
  <c r="O80" i="5"/>
  <c r="N80" i="5"/>
  <c r="M80" i="5"/>
  <c r="L80" i="5"/>
  <c r="K80" i="5"/>
  <c r="J80" i="5"/>
  <c r="I80" i="5"/>
  <c r="H80" i="5"/>
  <c r="AJ79" i="5"/>
  <c r="AI79" i="5"/>
  <c r="AH79" i="5"/>
  <c r="AG79" i="5"/>
  <c r="AF79" i="5"/>
  <c r="AE79" i="5"/>
  <c r="AD79" i="5"/>
  <c r="AC79" i="5"/>
  <c r="AB79" i="5"/>
  <c r="AA79" i="5"/>
  <c r="Z79" i="5"/>
  <c r="Y79" i="5"/>
  <c r="X79" i="5"/>
  <c r="W79" i="5"/>
  <c r="V79" i="5"/>
  <c r="U79" i="5"/>
  <c r="T79" i="5"/>
  <c r="S79" i="5"/>
  <c r="R79" i="5"/>
  <c r="Q79" i="5"/>
  <c r="P79" i="5"/>
  <c r="O79" i="5"/>
  <c r="N79" i="5"/>
  <c r="M79" i="5"/>
  <c r="L79" i="5"/>
  <c r="K79" i="5"/>
  <c r="J79" i="5"/>
  <c r="I79" i="5"/>
  <c r="H79" i="5"/>
  <c r="AJ78" i="5"/>
  <c r="AI78" i="5"/>
  <c r="AH78" i="5"/>
  <c r="AG78" i="5"/>
  <c r="AF78" i="5"/>
  <c r="AE78" i="5"/>
  <c r="AD78" i="5"/>
  <c r="AC78" i="5"/>
  <c r="AB78" i="5"/>
  <c r="AA78" i="5"/>
  <c r="Z78" i="5"/>
  <c r="Y78" i="5"/>
  <c r="X78" i="5"/>
  <c r="W78" i="5"/>
  <c r="V78" i="5"/>
  <c r="U78" i="5"/>
  <c r="T78" i="5"/>
  <c r="S78" i="5"/>
  <c r="R78" i="5"/>
  <c r="Q78" i="5"/>
  <c r="P78" i="5"/>
  <c r="O78" i="5"/>
  <c r="N78" i="5"/>
  <c r="M78" i="5"/>
  <c r="L78" i="5"/>
  <c r="K78" i="5"/>
  <c r="J78" i="5"/>
  <c r="I78" i="5"/>
  <c r="H78" i="5"/>
  <c r="AL77" i="5"/>
  <c r="AK77" i="5"/>
  <c r="AJ77" i="5"/>
  <c r="AI77" i="5"/>
  <c r="AH77" i="5"/>
  <c r="AG77" i="5"/>
  <c r="AF77" i="5"/>
  <c r="AE77" i="5"/>
  <c r="AD77" i="5"/>
  <c r="AC77" i="5"/>
  <c r="AB77" i="5"/>
  <c r="AA77" i="5"/>
  <c r="Z77" i="5"/>
  <c r="Y77" i="5"/>
  <c r="X77" i="5"/>
  <c r="W77" i="5"/>
  <c r="V77" i="5"/>
  <c r="U77" i="5"/>
  <c r="T77" i="5"/>
  <c r="S77" i="5"/>
  <c r="R77" i="5"/>
  <c r="Q77" i="5"/>
  <c r="P77" i="5"/>
  <c r="O77" i="5"/>
  <c r="N77" i="5"/>
  <c r="M77" i="5"/>
  <c r="L77" i="5"/>
  <c r="K77" i="5"/>
  <c r="J77" i="5"/>
  <c r="I77" i="5"/>
  <c r="H77" i="5"/>
  <c r="AJ76" i="5"/>
  <c r="AI76" i="5"/>
  <c r="AH76" i="5"/>
  <c r="AG76" i="5"/>
  <c r="AF76" i="5"/>
  <c r="AE76" i="5"/>
  <c r="AD76" i="5"/>
  <c r="AC76" i="5"/>
  <c r="AB76" i="5"/>
  <c r="AA76" i="5"/>
  <c r="Z76" i="5"/>
  <c r="Y76" i="5"/>
  <c r="X76" i="5"/>
  <c r="W76" i="5"/>
  <c r="V76" i="5"/>
  <c r="U76" i="5"/>
  <c r="T76" i="5"/>
  <c r="S76" i="5"/>
  <c r="R76" i="5"/>
  <c r="Q76" i="5"/>
  <c r="P76" i="5"/>
  <c r="O76" i="5"/>
  <c r="N76" i="5"/>
  <c r="M76" i="5"/>
  <c r="L76" i="5"/>
  <c r="K76" i="5"/>
  <c r="J76" i="5"/>
  <c r="I76" i="5"/>
  <c r="H76" i="5"/>
  <c r="AJ75" i="5"/>
  <c r="AI75" i="5"/>
  <c r="AH75" i="5"/>
  <c r="AG75" i="5"/>
  <c r="AF75" i="5"/>
  <c r="AE75" i="5"/>
  <c r="AD75" i="5"/>
  <c r="AC75" i="5"/>
  <c r="AB75" i="5"/>
  <c r="AA75" i="5"/>
  <c r="Z75" i="5"/>
  <c r="Y75" i="5"/>
  <c r="X75" i="5"/>
  <c r="W75" i="5"/>
  <c r="V75" i="5"/>
  <c r="U75" i="5"/>
  <c r="T75" i="5"/>
  <c r="S75" i="5"/>
  <c r="R75" i="5"/>
  <c r="Q75" i="5"/>
  <c r="P75" i="5"/>
  <c r="O75" i="5"/>
  <c r="N75" i="5"/>
  <c r="M75" i="5"/>
  <c r="L75" i="5"/>
  <c r="K75" i="5"/>
  <c r="J75" i="5"/>
  <c r="I75" i="5"/>
  <c r="H75" i="5"/>
  <c r="AL74" i="5"/>
  <c r="AK74" i="5"/>
  <c r="AJ74" i="5"/>
  <c r="AI74" i="5"/>
  <c r="AH74" i="5"/>
  <c r="AG74" i="5"/>
  <c r="AF74" i="5"/>
  <c r="AE74" i="5"/>
  <c r="AD74" i="5"/>
  <c r="AC74" i="5"/>
  <c r="AB74" i="5"/>
  <c r="AA74" i="5"/>
  <c r="Z74" i="5"/>
  <c r="Y74" i="5"/>
  <c r="X74" i="5"/>
  <c r="W74" i="5"/>
  <c r="V74" i="5"/>
  <c r="U74" i="5"/>
  <c r="T74" i="5"/>
  <c r="S74" i="5"/>
  <c r="R74" i="5"/>
  <c r="Q74" i="5"/>
  <c r="P74" i="5"/>
  <c r="O74" i="5"/>
  <c r="N74" i="5"/>
  <c r="M74" i="5"/>
  <c r="L74" i="5"/>
  <c r="K74" i="5"/>
  <c r="J74" i="5"/>
  <c r="I74" i="5"/>
  <c r="H74" i="5"/>
  <c r="AH73" i="5"/>
  <c r="AG73" i="5"/>
  <c r="AF73" i="5"/>
  <c r="AE73" i="5"/>
  <c r="AD73" i="5"/>
  <c r="AC73" i="5"/>
  <c r="AB73" i="5"/>
  <c r="AA73" i="5"/>
  <c r="Z73" i="5"/>
  <c r="Y73" i="5"/>
  <c r="X73" i="5"/>
  <c r="W73" i="5"/>
  <c r="V73" i="5"/>
  <c r="U73" i="5"/>
  <c r="T73" i="5"/>
  <c r="S73" i="5"/>
  <c r="R73" i="5"/>
  <c r="Q73" i="5"/>
  <c r="P73" i="5"/>
  <c r="O73" i="5"/>
  <c r="N73" i="5"/>
  <c r="M73" i="5"/>
  <c r="L73" i="5"/>
  <c r="K73" i="5"/>
  <c r="J73" i="5"/>
  <c r="I73" i="5"/>
  <c r="H73" i="5"/>
  <c r="AH72" i="5"/>
  <c r="AG72" i="5"/>
  <c r="AF72" i="5"/>
  <c r="AE72" i="5"/>
  <c r="AD72" i="5"/>
  <c r="AC72" i="5"/>
  <c r="AB72" i="5"/>
  <c r="AA72" i="5"/>
  <c r="Z72" i="5"/>
  <c r="Y72" i="5"/>
  <c r="X72" i="5"/>
  <c r="W72" i="5"/>
  <c r="V72" i="5"/>
  <c r="U72" i="5"/>
  <c r="T72" i="5"/>
  <c r="S72" i="5"/>
  <c r="R72" i="5"/>
  <c r="Q72" i="5"/>
  <c r="P72" i="5"/>
  <c r="O72" i="5"/>
  <c r="N72" i="5"/>
  <c r="M72" i="5"/>
  <c r="L72" i="5"/>
  <c r="K72" i="5"/>
  <c r="J72" i="5"/>
  <c r="I72" i="5"/>
  <c r="H72" i="5"/>
  <c r="AL71" i="5"/>
  <c r="AK71" i="5"/>
  <c r="AJ71" i="5"/>
  <c r="AI71" i="5"/>
  <c r="AH71" i="5"/>
  <c r="AG71" i="5"/>
  <c r="AF71" i="5"/>
  <c r="AE71" i="5"/>
  <c r="AD71" i="5"/>
  <c r="AC71" i="5"/>
  <c r="AB71" i="5"/>
  <c r="AA71" i="5"/>
  <c r="Z71" i="5"/>
  <c r="Y71" i="5"/>
  <c r="X71" i="5"/>
  <c r="W71" i="5"/>
  <c r="V71" i="5"/>
  <c r="U71" i="5"/>
  <c r="T71" i="5"/>
  <c r="S71" i="5"/>
  <c r="R71" i="5"/>
  <c r="Q71" i="5"/>
  <c r="P71" i="5"/>
  <c r="O71" i="5"/>
  <c r="N71" i="5"/>
  <c r="M71" i="5"/>
  <c r="L71" i="5"/>
  <c r="K71" i="5"/>
  <c r="J71" i="5"/>
  <c r="I71" i="5"/>
  <c r="H71" i="5"/>
  <c r="AJ70" i="5"/>
  <c r="AI70" i="5"/>
  <c r="AH70" i="5"/>
  <c r="AG70" i="5"/>
  <c r="AF70" i="5"/>
  <c r="AE70" i="5"/>
  <c r="AD70" i="5"/>
  <c r="AC70" i="5"/>
  <c r="AB70" i="5"/>
  <c r="AA70" i="5"/>
  <c r="Z70" i="5"/>
  <c r="Y70" i="5"/>
  <c r="X70" i="5"/>
  <c r="W70" i="5"/>
  <c r="V70" i="5"/>
  <c r="U70" i="5"/>
  <c r="T70" i="5"/>
  <c r="S70" i="5"/>
  <c r="R70" i="5"/>
  <c r="Q70" i="5"/>
  <c r="P70" i="5"/>
  <c r="O70" i="5"/>
  <c r="N70" i="5"/>
  <c r="M70" i="5"/>
  <c r="L70" i="5"/>
  <c r="K70" i="5"/>
  <c r="J70" i="5"/>
  <c r="I70" i="5"/>
  <c r="H70" i="5"/>
  <c r="AL69" i="5"/>
  <c r="AK69" i="5"/>
  <c r="AJ69" i="5"/>
  <c r="AI69" i="5"/>
  <c r="AH69" i="5"/>
  <c r="AG69" i="5"/>
  <c r="AF69" i="5"/>
  <c r="AE69" i="5"/>
  <c r="AD69" i="5"/>
  <c r="AC69" i="5"/>
  <c r="AB69" i="5"/>
  <c r="AA69" i="5"/>
  <c r="Z69" i="5"/>
  <c r="Y69" i="5"/>
  <c r="X69" i="5"/>
  <c r="W69" i="5"/>
  <c r="V69" i="5"/>
  <c r="U69" i="5"/>
  <c r="T69" i="5"/>
  <c r="S69" i="5"/>
  <c r="R69" i="5"/>
  <c r="Q69" i="5"/>
  <c r="P69" i="5"/>
  <c r="O69" i="5"/>
  <c r="N69" i="5"/>
  <c r="M69" i="5"/>
  <c r="L69" i="5"/>
  <c r="K69" i="5"/>
  <c r="J69" i="5"/>
  <c r="I69" i="5"/>
  <c r="H69" i="5"/>
  <c r="AL68" i="5"/>
  <c r="AK68" i="5"/>
  <c r="AJ68" i="5"/>
  <c r="AI68" i="5"/>
  <c r="AH68" i="5"/>
  <c r="AG68" i="5"/>
  <c r="AF68" i="5"/>
  <c r="AE68" i="5"/>
  <c r="AD68" i="5"/>
  <c r="AC68" i="5"/>
  <c r="AB68" i="5"/>
  <c r="AA68" i="5"/>
  <c r="Z68" i="5"/>
  <c r="Y68" i="5"/>
  <c r="X68" i="5"/>
  <c r="W68" i="5"/>
  <c r="V68" i="5"/>
  <c r="U68" i="5"/>
  <c r="T68" i="5"/>
  <c r="S68" i="5"/>
  <c r="R68" i="5"/>
  <c r="Q68" i="5"/>
  <c r="P68" i="5"/>
  <c r="O68" i="5"/>
  <c r="N68" i="5"/>
  <c r="M68" i="5"/>
  <c r="L68" i="5"/>
  <c r="K68" i="5"/>
  <c r="J68" i="5"/>
  <c r="I68" i="5"/>
  <c r="H68" i="5"/>
  <c r="AN67" i="5"/>
  <c r="AM67" i="5"/>
  <c r="AL67" i="5"/>
  <c r="AK67" i="5"/>
  <c r="AJ67" i="5"/>
  <c r="AI67" i="5"/>
  <c r="AH67" i="5"/>
  <c r="AG67" i="5"/>
  <c r="AF67" i="5"/>
  <c r="AE67" i="5"/>
  <c r="AD67" i="5"/>
  <c r="AC67" i="5"/>
  <c r="AB67" i="5"/>
  <c r="AA67" i="5"/>
  <c r="Z67" i="5"/>
  <c r="Y67" i="5"/>
  <c r="X67" i="5"/>
  <c r="W67" i="5"/>
  <c r="V67" i="5"/>
  <c r="U67" i="5"/>
  <c r="T67" i="5"/>
  <c r="S67" i="5"/>
  <c r="R67" i="5"/>
  <c r="Q67" i="5"/>
  <c r="P67" i="5"/>
  <c r="O67" i="5"/>
  <c r="N67" i="5"/>
  <c r="M67" i="5"/>
  <c r="L67" i="5"/>
  <c r="K67" i="5"/>
  <c r="J67" i="5"/>
  <c r="I67" i="5"/>
  <c r="H67" i="5"/>
  <c r="AG66" i="5"/>
  <c r="AF66" i="5"/>
  <c r="AE66" i="5"/>
  <c r="AD66" i="5"/>
  <c r="AC66" i="5"/>
  <c r="AB66" i="5"/>
  <c r="AA66" i="5"/>
  <c r="Z66" i="5"/>
  <c r="Y66" i="5"/>
  <c r="X66" i="5"/>
  <c r="W66" i="5"/>
  <c r="V66" i="5"/>
  <c r="U66" i="5"/>
  <c r="T66" i="5"/>
  <c r="S66" i="5"/>
  <c r="R66" i="5"/>
  <c r="Q66" i="5"/>
  <c r="P66" i="5"/>
  <c r="O66" i="5"/>
  <c r="N66" i="5"/>
  <c r="M66" i="5"/>
  <c r="L66" i="5"/>
  <c r="K66" i="5"/>
  <c r="J66" i="5"/>
  <c r="I66" i="5"/>
  <c r="H66" i="5"/>
  <c r="AJ65" i="5"/>
  <c r="AI65" i="5"/>
  <c r="AH65" i="5"/>
  <c r="AG65" i="5"/>
  <c r="AF65" i="5"/>
  <c r="AE65" i="5"/>
  <c r="AD65" i="5"/>
  <c r="AC65" i="5"/>
  <c r="AB65" i="5"/>
  <c r="AA65" i="5"/>
  <c r="Z65" i="5"/>
  <c r="Y65" i="5"/>
  <c r="X65" i="5"/>
  <c r="W65" i="5"/>
  <c r="V65" i="5"/>
  <c r="U65" i="5"/>
  <c r="T65" i="5"/>
  <c r="S65" i="5"/>
  <c r="R65" i="5"/>
  <c r="Q65" i="5"/>
  <c r="P65" i="5"/>
  <c r="O65" i="5"/>
  <c r="N65" i="5"/>
  <c r="M65" i="5"/>
  <c r="L65" i="5"/>
  <c r="K65" i="5"/>
  <c r="J65" i="5"/>
  <c r="I65" i="5"/>
  <c r="H65" i="5"/>
  <c r="AJ64" i="5"/>
  <c r="AI64" i="5"/>
  <c r="AH64" i="5"/>
  <c r="AG64" i="5"/>
  <c r="AF64" i="5"/>
  <c r="AE64" i="5"/>
  <c r="AD64" i="5"/>
  <c r="AC64" i="5"/>
  <c r="AB64" i="5"/>
  <c r="AA64" i="5"/>
  <c r="Z64" i="5"/>
  <c r="Y64" i="5"/>
  <c r="X64" i="5"/>
  <c r="W64" i="5"/>
  <c r="V64" i="5"/>
  <c r="U64" i="5"/>
  <c r="T64" i="5"/>
  <c r="S64" i="5"/>
  <c r="R64" i="5"/>
  <c r="Q64" i="5"/>
  <c r="P64" i="5"/>
  <c r="O64" i="5"/>
  <c r="N64" i="5"/>
  <c r="M64" i="5"/>
  <c r="L64" i="5"/>
  <c r="K64" i="5"/>
  <c r="J64" i="5"/>
  <c r="I64" i="5"/>
  <c r="H64" i="5"/>
  <c r="AJ63" i="5"/>
  <c r="AI63" i="5"/>
  <c r="AH63" i="5"/>
  <c r="AG63" i="5"/>
  <c r="AF63" i="5"/>
  <c r="AE63" i="5"/>
  <c r="AD63" i="5"/>
  <c r="AC63" i="5"/>
  <c r="AB63" i="5"/>
  <c r="AA63" i="5"/>
  <c r="Z63" i="5"/>
  <c r="Y63" i="5"/>
  <c r="X63" i="5"/>
  <c r="W63" i="5"/>
  <c r="V63" i="5"/>
  <c r="U63" i="5"/>
  <c r="T63" i="5"/>
  <c r="S63" i="5"/>
  <c r="R63" i="5"/>
  <c r="Q63" i="5"/>
  <c r="P63" i="5"/>
  <c r="O63" i="5"/>
  <c r="N63" i="5"/>
  <c r="M63" i="5"/>
  <c r="L63" i="5"/>
  <c r="K63" i="5"/>
  <c r="J63" i="5"/>
  <c r="I63" i="5"/>
  <c r="H63" i="5"/>
  <c r="AJ62" i="5"/>
  <c r="AI62" i="5"/>
  <c r="AH62" i="5"/>
  <c r="AG62" i="5"/>
  <c r="AF62" i="5"/>
  <c r="AE62" i="5"/>
  <c r="AD62" i="5"/>
  <c r="AC62" i="5"/>
  <c r="AB62" i="5"/>
  <c r="AA62" i="5"/>
  <c r="Z62" i="5"/>
  <c r="Y62" i="5"/>
  <c r="X62" i="5"/>
  <c r="W62" i="5"/>
  <c r="V62" i="5"/>
  <c r="U62" i="5"/>
  <c r="T62" i="5"/>
  <c r="S62" i="5"/>
  <c r="R62" i="5"/>
  <c r="Q62" i="5"/>
  <c r="P62" i="5"/>
  <c r="O62" i="5"/>
  <c r="N62" i="5"/>
  <c r="M62" i="5"/>
  <c r="L62" i="5"/>
  <c r="K62" i="5"/>
  <c r="J62" i="5"/>
  <c r="I62" i="5"/>
  <c r="H62" i="5"/>
  <c r="AJ61" i="5"/>
  <c r="AI61" i="5"/>
  <c r="AH61" i="5"/>
  <c r="AG61" i="5"/>
  <c r="AF61" i="5"/>
  <c r="AE61" i="5"/>
  <c r="AD61" i="5"/>
  <c r="AC61" i="5"/>
  <c r="AB61" i="5"/>
  <c r="AA61" i="5"/>
  <c r="Z61" i="5"/>
  <c r="Y61" i="5"/>
  <c r="X61" i="5"/>
  <c r="W61" i="5"/>
  <c r="V61" i="5"/>
  <c r="U61" i="5"/>
  <c r="T61" i="5"/>
  <c r="S61" i="5"/>
  <c r="R61" i="5"/>
  <c r="Q61" i="5"/>
  <c r="P61" i="5"/>
  <c r="O61" i="5"/>
  <c r="N61" i="5"/>
  <c r="M61" i="5"/>
  <c r="L61" i="5"/>
  <c r="K61" i="5"/>
  <c r="J61" i="5"/>
  <c r="I61" i="5"/>
  <c r="H61" i="5"/>
  <c r="AJ60" i="5"/>
  <c r="AI60" i="5"/>
  <c r="AH60" i="5"/>
  <c r="AG60" i="5"/>
  <c r="AF60" i="5"/>
  <c r="AE60" i="5"/>
  <c r="AD60" i="5"/>
  <c r="AC60" i="5"/>
  <c r="AB60" i="5"/>
  <c r="AA60" i="5"/>
  <c r="Z60" i="5"/>
  <c r="Y60" i="5"/>
  <c r="X60" i="5"/>
  <c r="W60" i="5"/>
  <c r="V60" i="5"/>
  <c r="U60" i="5"/>
  <c r="T60" i="5"/>
  <c r="S60" i="5"/>
  <c r="R60" i="5"/>
  <c r="Q60" i="5"/>
  <c r="P60" i="5"/>
  <c r="O60" i="5"/>
  <c r="N60" i="5"/>
  <c r="M60" i="5"/>
  <c r="L60" i="5"/>
  <c r="K60" i="5"/>
  <c r="J60" i="5"/>
  <c r="I60" i="5"/>
  <c r="H60" i="5"/>
  <c r="AJ59" i="5"/>
  <c r="AI59" i="5"/>
  <c r="AH59" i="5"/>
  <c r="AG59" i="5"/>
  <c r="AF59" i="5"/>
  <c r="AE59" i="5"/>
  <c r="AD59" i="5"/>
  <c r="AC59" i="5"/>
  <c r="AB59" i="5"/>
  <c r="AA59" i="5"/>
  <c r="Z59" i="5"/>
  <c r="Y59" i="5"/>
  <c r="X59" i="5"/>
  <c r="W59" i="5"/>
  <c r="V59" i="5"/>
  <c r="U59" i="5"/>
  <c r="T59" i="5"/>
  <c r="S59" i="5"/>
  <c r="R59" i="5"/>
  <c r="Q59" i="5"/>
  <c r="P59" i="5"/>
  <c r="O59" i="5"/>
  <c r="N59" i="5"/>
  <c r="M59" i="5"/>
  <c r="L59" i="5"/>
  <c r="K59" i="5"/>
  <c r="J59" i="5"/>
  <c r="I59" i="5"/>
  <c r="H59" i="5"/>
  <c r="AJ58" i="5"/>
  <c r="AI58" i="5"/>
  <c r="AH58" i="5"/>
  <c r="AG58" i="5"/>
  <c r="AF58" i="5"/>
  <c r="AE58" i="5"/>
  <c r="AD58" i="5"/>
  <c r="AC58" i="5"/>
  <c r="AB58" i="5"/>
  <c r="AA58" i="5"/>
  <c r="Z58" i="5"/>
  <c r="Y58" i="5"/>
  <c r="X58" i="5"/>
  <c r="W58" i="5"/>
  <c r="V58" i="5"/>
  <c r="U58" i="5"/>
  <c r="T58" i="5"/>
  <c r="S58" i="5"/>
  <c r="R58" i="5"/>
  <c r="Q58" i="5"/>
  <c r="P58" i="5"/>
  <c r="O58" i="5"/>
  <c r="N58" i="5"/>
  <c r="M58" i="5"/>
  <c r="L58" i="5"/>
  <c r="K58" i="5"/>
  <c r="J58" i="5"/>
  <c r="I58" i="5"/>
  <c r="H58" i="5"/>
  <c r="AH57" i="5"/>
  <c r="AG57" i="5"/>
  <c r="AF57" i="5"/>
  <c r="AE57" i="5"/>
  <c r="AD57" i="5"/>
  <c r="AC57" i="5"/>
  <c r="AB57" i="5"/>
  <c r="AA57" i="5"/>
  <c r="Z57" i="5"/>
  <c r="Y57" i="5"/>
  <c r="X57" i="5"/>
  <c r="W57" i="5"/>
  <c r="V57" i="5"/>
  <c r="U57" i="5"/>
  <c r="T57" i="5"/>
  <c r="S57" i="5"/>
  <c r="R57" i="5"/>
  <c r="Q57" i="5"/>
  <c r="P57" i="5"/>
  <c r="O57" i="5"/>
  <c r="N57" i="5"/>
  <c r="M57" i="5"/>
  <c r="L57" i="5"/>
  <c r="K57" i="5"/>
  <c r="J57" i="5"/>
  <c r="I57" i="5"/>
  <c r="H57" i="5"/>
  <c r="AJ56" i="5"/>
  <c r="AI56" i="5"/>
  <c r="AH56" i="5"/>
  <c r="AG56" i="5"/>
  <c r="AB56" i="5"/>
  <c r="AA56" i="5"/>
  <c r="Z56" i="5"/>
  <c r="Y56" i="5"/>
  <c r="U56" i="5"/>
  <c r="T56" i="5"/>
  <c r="S56" i="5"/>
  <c r="R56" i="5"/>
  <c r="Q56" i="5"/>
  <c r="P56" i="5"/>
  <c r="O56" i="5"/>
  <c r="N56" i="5"/>
  <c r="M56" i="5"/>
  <c r="L56" i="5"/>
  <c r="K56" i="5"/>
  <c r="J56" i="5"/>
  <c r="I56" i="5"/>
  <c r="H56" i="5"/>
  <c r="AH55" i="5"/>
  <c r="AG55" i="5"/>
  <c r="AB55" i="5"/>
  <c r="AA55" i="5"/>
  <c r="Z55" i="5"/>
  <c r="Y55" i="5"/>
  <c r="U55" i="5"/>
  <c r="T55" i="5"/>
  <c r="S55" i="5"/>
  <c r="R55" i="5"/>
  <c r="Q55" i="5"/>
  <c r="P55" i="5"/>
  <c r="O55" i="5"/>
  <c r="N55" i="5"/>
  <c r="M55" i="5"/>
  <c r="L55" i="5"/>
  <c r="K55" i="5"/>
  <c r="J55" i="5"/>
  <c r="I55" i="5"/>
  <c r="H55" i="5"/>
  <c r="AJ54" i="5"/>
  <c r="AI54" i="5"/>
  <c r="AH54" i="5"/>
  <c r="AG54" i="5"/>
  <c r="AF54" i="5"/>
  <c r="AE54" i="5"/>
  <c r="AD54" i="5"/>
  <c r="AC54" i="5"/>
  <c r="AB54" i="5"/>
  <c r="AA54" i="5"/>
  <c r="Z54" i="5"/>
  <c r="Y54" i="5"/>
  <c r="X54" i="5"/>
  <c r="W54" i="5"/>
  <c r="V54" i="5"/>
  <c r="U54" i="5"/>
  <c r="T54" i="5"/>
  <c r="S54" i="5"/>
  <c r="R54" i="5"/>
  <c r="Q54" i="5"/>
  <c r="P54" i="5"/>
  <c r="O54" i="5"/>
  <c r="N54" i="5"/>
  <c r="M54" i="5"/>
  <c r="L54" i="5"/>
  <c r="K54" i="5"/>
  <c r="J54" i="5"/>
  <c r="I54" i="5"/>
  <c r="H54" i="5"/>
  <c r="AL53" i="5"/>
  <c r="AK53" i="5"/>
  <c r="AJ53" i="5"/>
  <c r="AI53" i="5"/>
  <c r="AH53" i="5"/>
  <c r="AG53" i="5"/>
  <c r="AF53" i="5"/>
  <c r="AE53" i="5"/>
  <c r="AD53" i="5"/>
  <c r="AC53" i="5"/>
  <c r="AB53" i="5"/>
  <c r="AA53" i="5"/>
  <c r="Z53" i="5"/>
  <c r="Y53" i="5"/>
  <c r="X53" i="5"/>
  <c r="W53" i="5"/>
  <c r="V53" i="5"/>
  <c r="U53" i="5"/>
  <c r="T53" i="5"/>
  <c r="S53" i="5"/>
  <c r="R53" i="5"/>
  <c r="Q53" i="5"/>
  <c r="P53" i="5"/>
  <c r="O53" i="5"/>
  <c r="N53" i="5"/>
  <c r="M53" i="5"/>
  <c r="L53" i="5"/>
  <c r="K53" i="5"/>
  <c r="J53" i="5"/>
  <c r="I53" i="5"/>
  <c r="H53" i="5"/>
  <c r="AJ52" i="5"/>
  <c r="AI52" i="5"/>
  <c r="AH52" i="5"/>
  <c r="AG52" i="5"/>
  <c r="AF52" i="5"/>
  <c r="AE52" i="5"/>
  <c r="AD52" i="5"/>
  <c r="AC52" i="5"/>
  <c r="AB52" i="5"/>
  <c r="AA52" i="5"/>
  <c r="Z52" i="5"/>
  <c r="Y52" i="5"/>
  <c r="X52" i="5"/>
  <c r="W52" i="5"/>
  <c r="V52" i="5"/>
  <c r="U52" i="5"/>
  <c r="T52" i="5"/>
  <c r="S52" i="5"/>
  <c r="R52" i="5"/>
  <c r="Q52" i="5"/>
  <c r="P52" i="5"/>
  <c r="O52" i="5"/>
  <c r="N52" i="5"/>
  <c r="M52" i="5"/>
  <c r="L52" i="5"/>
  <c r="K52" i="5"/>
  <c r="J52" i="5"/>
  <c r="I52" i="5"/>
  <c r="H52" i="5"/>
  <c r="AL51" i="5"/>
  <c r="AK51" i="5"/>
  <c r="AJ51" i="5"/>
  <c r="AI51" i="5"/>
  <c r="AH51" i="5"/>
  <c r="AG51" i="5"/>
  <c r="AF51" i="5"/>
  <c r="AE51" i="5"/>
  <c r="AD51" i="5"/>
  <c r="AC51" i="5"/>
  <c r="AB51" i="5"/>
  <c r="AA51" i="5"/>
  <c r="Z51" i="5"/>
  <c r="Y51" i="5"/>
  <c r="X51" i="5"/>
  <c r="W51" i="5"/>
  <c r="V51" i="5"/>
  <c r="U51" i="5"/>
  <c r="T51" i="5"/>
  <c r="S51" i="5"/>
  <c r="R51" i="5"/>
  <c r="Q51" i="5"/>
  <c r="P51" i="5"/>
  <c r="O51" i="5"/>
  <c r="N51" i="5"/>
  <c r="M51" i="5"/>
  <c r="L51" i="5"/>
  <c r="K51" i="5"/>
  <c r="J51" i="5"/>
  <c r="I51" i="5"/>
  <c r="H51" i="5"/>
  <c r="AJ50" i="5"/>
  <c r="AI50" i="5"/>
  <c r="AH50" i="5"/>
  <c r="AG50" i="5"/>
  <c r="AF50" i="5"/>
  <c r="AE50" i="5"/>
  <c r="AD50" i="5"/>
  <c r="AC50" i="5"/>
  <c r="AB50" i="5"/>
  <c r="AA50" i="5"/>
  <c r="Z50" i="5"/>
  <c r="Y50" i="5"/>
  <c r="X50" i="5"/>
  <c r="W50" i="5"/>
  <c r="V50" i="5"/>
  <c r="U50" i="5"/>
  <c r="T50" i="5"/>
  <c r="S50" i="5"/>
  <c r="R50" i="5"/>
  <c r="Q50" i="5"/>
  <c r="P50" i="5"/>
  <c r="O50" i="5"/>
  <c r="N50" i="5"/>
  <c r="M50" i="5"/>
  <c r="L50" i="5"/>
  <c r="K50" i="5"/>
  <c r="J50" i="5"/>
  <c r="I50" i="5"/>
  <c r="H50" i="5"/>
  <c r="AJ49" i="5"/>
  <c r="AI49" i="5"/>
  <c r="AH49" i="5"/>
  <c r="AG49" i="5"/>
  <c r="AF49" i="5"/>
  <c r="AE49" i="5"/>
  <c r="AD49" i="5"/>
  <c r="AC49" i="5"/>
  <c r="AB49" i="5"/>
  <c r="AA49" i="5"/>
  <c r="Z49" i="5"/>
  <c r="Y49" i="5"/>
  <c r="X49" i="5"/>
  <c r="W49" i="5"/>
  <c r="V49" i="5"/>
  <c r="U49" i="5"/>
  <c r="T49" i="5"/>
  <c r="S49" i="5"/>
  <c r="R49" i="5"/>
  <c r="Q49" i="5"/>
  <c r="P49" i="5"/>
  <c r="O49" i="5"/>
  <c r="N49" i="5"/>
  <c r="M49" i="5"/>
  <c r="L49" i="5"/>
  <c r="K49" i="5"/>
  <c r="J49" i="5"/>
  <c r="I49" i="5"/>
  <c r="H49" i="5"/>
  <c r="AJ48" i="5"/>
  <c r="AI48" i="5"/>
  <c r="AH48" i="5"/>
  <c r="AG48" i="5"/>
  <c r="AF48" i="5"/>
  <c r="AE48" i="5"/>
  <c r="AD48" i="5"/>
  <c r="AC48" i="5"/>
  <c r="AB48" i="5"/>
  <c r="AA48" i="5"/>
  <c r="Z48" i="5"/>
  <c r="Y48" i="5"/>
  <c r="X48" i="5"/>
  <c r="W48" i="5"/>
  <c r="V48" i="5"/>
  <c r="U48" i="5"/>
  <c r="T48" i="5"/>
  <c r="S48" i="5"/>
  <c r="R48" i="5"/>
  <c r="Q48" i="5"/>
  <c r="P48" i="5"/>
  <c r="O48" i="5"/>
  <c r="N48" i="5"/>
  <c r="M48" i="5"/>
  <c r="L48" i="5"/>
  <c r="K48" i="5"/>
  <c r="J48" i="5"/>
  <c r="I48" i="5"/>
  <c r="H48" i="5"/>
  <c r="AJ47" i="5"/>
  <c r="AI47" i="5"/>
  <c r="AH47" i="5"/>
  <c r="AG47" i="5"/>
  <c r="AF47" i="5"/>
  <c r="AE47" i="5"/>
  <c r="AD47" i="5"/>
  <c r="AC47" i="5"/>
  <c r="AB47" i="5"/>
  <c r="AA47" i="5"/>
  <c r="Z47" i="5"/>
  <c r="Y47" i="5"/>
  <c r="X47" i="5"/>
  <c r="W47" i="5"/>
  <c r="V47" i="5"/>
  <c r="U47" i="5"/>
  <c r="T47" i="5"/>
  <c r="S47" i="5"/>
  <c r="R47" i="5"/>
  <c r="Q47" i="5"/>
  <c r="P47" i="5"/>
  <c r="O47" i="5"/>
  <c r="N47" i="5"/>
  <c r="M47" i="5"/>
  <c r="L47" i="5"/>
  <c r="K47" i="5"/>
  <c r="J47" i="5"/>
  <c r="I47" i="5"/>
  <c r="H47" i="5"/>
  <c r="AN46" i="5"/>
  <c r="AM46" i="5"/>
  <c r="AL46" i="5"/>
  <c r="AK46" i="5"/>
  <c r="AJ46" i="5"/>
  <c r="AI46" i="5"/>
  <c r="AH46" i="5"/>
  <c r="AG46" i="5"/>
  <c r="AF46" i="5"/>
  <c r="AE46" i="5"/>
  <c r="AD46" i="5"/>
  <c r="AC46" i="5"/>
  <c r="AB46" i="5"/>
  <c r="AA46" i="5"/>
  <c r="Z46" i="5"/>
  <c r="Y46" i="5"/>
  <c r="X46" i="5"/>
  <c r="W46" i="5"/>
  <c r="V46" i="5"/>
  <c r="U46" i="5"/>
  <c r="T46" i="5"/>
  <c r="S46" i="5"/>
  <c r="R46" i="5"/>
  <c r="Q46" i="5"/>
  <c r="P46" i="5"/>
  <c r="O46" i="5"/>
  <c r="N46" i="5"/>
  <c r="M46" i="5"/>
  <c r="L46" i="5"/>
  <c r="K46" i="5"/>
  <c r="J46" i="5"/>
  <c r="I46" i="5"/>
  <c r="H46" i="5"/>
  <c r="AJ45" i="5"/>
  <c r="AI45" i="5"/>
  <c r="AH45" i="5"/>
  <c r="AG45" i="5"/>
  <c r="AF45" i="5"/>
  <c r="AE45" i="5"/>
  <c r="AD45" i="5"/>
  <c r="AC45" i="5"/>
  <c r="AB45" i="5"/>
  <c r="AA45" i="5"/>
  <c r="Z45" i="5"/>
  <c r="Y45" i="5"/>
  <c r="X45" i="5"/>
  <c r="W45" i="5"/>
  <c r="V45" i="5"/>
  <c r="U45" i="5"/>
  <c r="T45" i="5"/>
  <c r="S45" i="5"/>
  <c r="R45" i="5"/>
  <c r="Q45" i="5"/>
  <c r="P45" i="5"/>
  <c r="O45" i="5"/>
  <c r="N45" i="5"/>
  <c r="M45" i="5"/>
  <c r="L45" i="5"/>
  <c r="K45" i="5"/>
  <c r="J45" i="5"/>
  <c r="I45" i="5"/>
  <c r="H45" i="5"/>
  <c r="AJ44" i="5"/>
  <c r="AI44" i="5"/>
  <c r="AH44" i="5"/>
  <c r="AG44" i="5"/>
  <c r="AF44" i="5"/>
  <c r="AE44" i="5"/>
  <c r="AD44" i="5"/>
  <c r="AC44" i="5"/>
  <c r="AB44" i="5"/>
  <c r="AA44" i="5"/>
  <c r="Z44" i="5"/>
  <c r="Y44" i="5"/>
  <c r="X44" i="5"/>
  <c r="W44" i="5"/>
  <c r="V44" i="5"/>
  <c r="U44" i="5"/>
  <c r="T44" i="5"/>
  <c r="S44" i="5"/>
  <c r="R44" i="5"/>
  <c r="Q44" i="5"/>
  <c r="P44" i="5"/>
  <c r="O44" i="5"/>
  <c r="N44" i="5"/>
  <c r="M44" i="5"/>
  <c r="L44" i="5"/>
  <c r="K44" i="5"/>
  <c r="J44" i="5"/>
  <c r="I44" i="5"/>
  <c r="H44" i="5"/>
  <c r="AL43" i="5"/>
  <c r="AK43" i="5"/>
  <c r="AJ43" i="5"/>
  <c r="AI43" i="5"/>
  <c r="AH43" i="5"/>
  <c r="AG43" i="5"/>
  <c r="AF43" i="5"/>
  <c r="AE43" i="5"/>
  <c r="AD43" i="5"/>
  <c r="AC43" i="5"/>
  <c r="AB43" i="5"/>
  <c r="AA43" i="5"/>
  <c r="Z43" i="5"/>
  <c r="Y43" i="5"/>
  <c r="X43" i="5"/>
  <c r="W43" i="5"/>
  <c r="V43" i="5"/>
  <c r="U43" i="5"/>
  <c r="T43" i="5"/>
  <c r="S43" i="5"/>
  <c r="R43" i="5"/>
  <c r="Q43" i="5"/>
  <c r="P43" i="5"/>
  <c r="O43" i="5"/>
  <c r="N43" i="5"/>
  <c r="M43" i="5"/>
  <c r="L43" i="5"/>
  <c r="K43" i="5"/>
  <c r="J43" i="5"/>
  <c r="I43" i="5"/>
  <c r="H43" i="5"/>
  <c r="AJ42" i="5"/>
  <c r="AI42" i="5"/>
  <c r="AH42" i="5"/>
  <c r="AG42" i="5"/>
  <c r="AF42" i="5"/>
  <c r="AE42" i="5"/>
  <c r="AD42" i="5"/>
  <c r="AC42" i="5"/>
  <c r="AB42" i="5"/>
  <c r="AA42" i="5"/>
  <c r="Z42" i="5"/>
  <c r="Y42" i="5"/>
  <c r="X42" i="5"/>
  <c r="W42" i="5"/>
  <c r="V42" i="5"/>
  <c r="U42" i="5"/>
  <c r="T42" i="5"/>
  <c r="S42" i="5"/>
  <c r="R42" i="5"/>
  <c r="Q42" i="5"/>
  <c r="P42" i="5"/>
  <c r="O42" i="5"/>
  <c r="N42" i="5"/>
  <c r="M42" i="5"/>
  <c r="L42" i="5"/>
  <c r="K42" i="5"/>
  <c r="J42" i="5"/>
  <c r="I42" i="5"/>
  <c r="H42" i="5"/>
  <c r="AL41" i="5"/>
  <c r="AK41" i="5"/>
  <c r="AJ41" i="5"/>
  <c r="AI41" i="5"/>
  <c r="AH41" i="5"/>
  <c r="AG41" i="5"/>
  <c r="AF41" i="5"/>
  <c r="AE41" i="5"/>
  <c r="AD41" i="5"/>
  <c r="AC41" i="5"/>
  <c r="AB41" i="5"/>
  <c r="AA41" i="5"/>
  <c r="Z41" i="5"/>
  <c r="Y41" i="5"/>
  <c r="X41" i="5"/>
  <c r="W41" i="5"/>
  <c r="V41" i="5"/>
  <c r="U41" i="5"/>
  <c r="T41" i="5"/>
  <c r="S41" i="5"/>
  <c r="R41" i="5"/>
  <c r="Q41" i="5"/>
  <c r="P41" i="5"/>
  <c r="O41" i="5"/>
  <c r="N41" i="5"/>
  <c r="M41" i="5"/>
  <c r="L41" i="5"/>
  <c r="K41" i="5"/>
  <c r="J41" i="5"/>
  <c r="I41" i="5"/>
  <c r="H41" i="5"/>
  <c r="AJ40" i="5"/>
  <c r="AI40" i="5"/>
  <c r="AH40" i="5"/>
  <c r="AG40" i="5"/>
  <c r="AF40" i="5"/>
  <c r="AE40" i="5"/>
  <c r="AD40" i="5"/>
  <c r="AC40" i="5"/>
  <c r="AB40" i="5"/>
  <c r="AA40" i="5"/>
  <c r="Z40" i="5"/>
  <c r="Y40" i="5"/>
  <c r="X40" i="5"/>
  <c r="W40" i="5"/>
  <c r="V40" i="5"/>
  <c r="U40" i="5"/>
  <c r="T40" i="5"/>
  <c r="S40" i="5"/>
  <c r="R40" i="5"/>
  <c r="Q40" i="5"/>
  <c r="P40" i="5"/>
  <c r="O40" i="5"/>
  <c r="N40" i="5"/>
  <c r="M40" i="5"/>
  <c r="L40" i="5"/>
  <c r="K40" i="5"/>
  <c r="J40" i="5"/>
  <c r="I40" i="5"/>
  <c r="H40" i="5"/>
  <c r="AJ39" i="5"/>
  <c r="AI39" i="5"/>
  <c r="AH39" i="5"/>
  <c r="AG39" i="5"/>
  <c r="AF39" i="5"/>
  <c r="AE39" i="5"/>
  <c r="AD39" i="5"/>
  <c r="AC39" i="5"/>
  <c r="AB39" i="5"/>
  <c r="AA39" i="5"/>
  <c r="Z39" i="5"/>
  <c r="Y39" i="5"/>
  <c r="X39" i="5"/>
  <c r="W39" i="5"/>
  <c r="V39" i="5"/>
  <c r="U39" i="5"/>
  <c r="T39" i="5"/>
  <c r="S39" i="5"/>
  <c r="R39" i="5"/>
  <c r="Q39" i="5"/>
  <c r="P39" i="5"/>
  <c r="O39" i="5"/>
  <c r="N39" i="5"/>
  <c r="M39" i="5"/>
  <c r="L39" i="5"/>
  <c r="K39" i="5"/>
  <c r="J39" i="5"/>
  <c r="I39" i="5"/>
  <c r="H39" i="5"/>
  <c r="AJ38" i="5"/>
  <c r="AI38" i="5"/>
  <c r="AH38" i="5"/>
  <c r="AG38" i="5"/>
  <c r="AF38" i="5"/>
  <c r="AE38" i="5"/>
  <c r="AD38" i="5"/>
  <c r="AC38" i="5"/>
  <c r="AB38" i="5"/>
  <c r="AA38" i="5"/>
  <c r="Z38" i="5"/>
  <c r="Y38" i="5"/>
  <c r="X38" i="5"/>
  <c r="W38" i="5"/>
  <c r="V38" i="5"/>
  <c r="U38" i="5"/>
  <c r="T38" i="5"/>
  <c r="S38" i="5"/>
  <c r="R38" i="5"/>
  <c r="Q38" i="5"/>
  <c r="P38" i="5"/>
  <c r="O38" i="5"/>
  <c r="N38" i="5"/>
  <c r="M38" i="5"/>
  <c r="L38" i="5"/>
  <c r="K38" i="5"/>
  <c r="J38" i="5"/>
  <c r="I38" i="5"/>
  <c r="H38" i="5"/>
  <c r="AJ37" i="5"/>
  <c r="AI37" i="5"/>
  <c r="AH37" i="5"/>
  <c r="AG37" i="5"/>
  <c r="AF37" i="5"/>
  <c r="AE37" i="5"/>
  <c r="AD37" i="5"/>
  <c r="AC37" i="5"/>
  <c r="AB37" i="5"/>
  <c r="AA37" i="5"/>
  <c r="Z37" i="5"/>
  <c r="Y37" i="5"/>
  <c r="X37" i="5"/>
  <c r="W37" i="5"/>
  <c r="V37" i="5"/>
  <c r="U37" i="5"/>
  <c r="T37" i="5"/>
  <c r="S37" i="5"/>
  <c r="R37" i="5"/>
  <c r="Q37" i="5"/>
  <c r="P37" i="5"/>
  <c r="O37" i="5"/>
  <c r="N37" i="5"/>
  <c r="M37" i="5"/>
  <c r="L37" i="5"/>
  <c r="K37" i="5"/>
  <c r="J37" i="5"/>
  <c r="I37" i="5"/>
  <c r="H37" i="5"/>
  <c r="AL36" i="5"/>
  <c r="AK36" i="5"/>
  <c r="AJ36" i="5"/>
  <c r="AI36" i="5"/>
  <c r="AH36" i="5"/>
  <c r="AG36" i="5"/>
  <c r="AB36" i="5"/>
  <c r="AA36" i="5"/>
  <c r="Z36" i="5"/>
  <c r="Y36" i="5"/>
  <c r="X36" i="5"/>
  <c r="W36" i="5"/>
  <c r="V36" i="5"/>
  <c r="U36" i="5"/>
  <c r="T36" i="5"/>
  <c r="S36" i="5"/>
  <c r="R36" i="5"/>
  <c r="Q36" i="5"/>
  <c r="P36" i="5"/>
  <c r="O36" i="5"/>
  <c r="N36" i="5"/>
  <c r="M36" i="5"/>
  <c r="L36" i="5"/>
  <c r="K36" i="5"/>
  <c r="J36" i="5"/>
  <c r="I36" i="5"/>
  <c r="H36" i="5"/>
  <c r="AJ35" i="5"/>
  <c r="AI35" i="5"/>
  <c r="AH35" i="5"/>
  <c r="AG35" i="5"/>
  <c r="AF35" i="5"/>
  <c r="AE35" i="5"/>
  <c r="AD35" i="5"/>
  <c r="AC35" i="5"/>
  <c r="AB35" i="5"/>
  <c r="AA35" i="5"/>
  <c r="Z35" i="5"/>
  <c r="Y35" i="5"/>
  <c r="X35" i="5"/>
  <c r="W35" i="5"/>
  <c r="V35" i="5"/>
  <c r="U35" i="5"/>
  <c r="T35" i="5"/>
  <c r="S35" i="5"/>
  <c r="R35" i="5"/>
  <c r="Q35" i="5"/>
  <c r="P35" i="5"/>
  <c r="O35" i="5"/>
  <c r="N35" i="5"/>
  <c r="M35" i="5"/>
  <c r="L35" i="5"/>
  <c r="K35" i="5"/>
  <c r="J35" i="5"/>
  <c r="I35" i="5"/>
  <c r="H35" i="5"/>
  <c r="AL34" i="5"/>
  <c r="AK34" i="5"/>
  <c r="AJ34" i="5"/>
  <c r="AI34" i="5"/>
  <c r="AH34" i="5"/>
  <c r="AG34" i="5"/>
  <c r="AF34" i="5"/>
  <c r="AE34" i="5"/>
  <c r="AD34" i="5"/>
  <c r="AC34" i="5"/>
  <c r="AB34" i="5"/>
  <c r="AA34" i="5"/>
  <c r="Z34" i="5"/>
  <c r="Y34" i="5"/>
  <c r="X34" i="5"/>
  <c r="W34" i="5"/>
  <c r="V34" i="5"/>
  <c r="U34" i="5"/>
  <c r="T34" i="5"/>
  <c r="S34" i="5"/>
  <c r="R34" i="5"/>
  <c r="Q34" i="5"/>
  <c r="P34" i="5"/>
  <c r="O34" i="5"/>
  <c r="N34" i="5"/>
  <c r="M34" i="5"/>
  <c r="L34" i="5"/>
  <c r="K34" i="5"/>
  <c r="J34" i="5"/>
  <c r="I34" i="5"/>
  <c r="H34" i="5"/>
  <c r="AN33" i="5"/>
  <c r="AM33" i="5"/>
  <c r="AL33" i="5"/>
  <c r="AK33" i="5"/>
  <c r="AJ33" i="5"/>
  <c r="AI33" i="5"/>
  <c r="AH33" i="5"/>
  <c r="AG33" i="5"/>
  <c r="AB33" i="5"/>
  <c r="AA33" i="5"/>
  <c r="Z33" i="5"/>
  <c r="Y33" i="5"/>
  <c r="X33" i="5"/>
  <c r="W33" i="5"/>
  <c r="V33" i="5"/>
  <c r="U33" i="5"/>
  <c r="T33" i="5"/>
  <c r="S33" i="5"/>
  <c r="R33" i="5"/>
  <c r="Q33" i="5"/>
  <c r="P33" i="5"/>
  <c r="O33" i="5"/>
  <c r="N33" i="5"/>
  <c r="M33" i="5"/>
  <c r="L33" i="5"/>
  <c r="K33" i="5"/>
  <c r="J33" i="5"/>
  <c r="I33" i="5"/>
  <c r="H33" i="5"/>
  <c r="AJ32" i="5"/>
  <c r="AI32" i="5"/>
  <c r="AH32" i="5"/>
  <c r="AG32" i="5"/>
  <c r="AF32" i="5"/>
  <c r="AE32" i="5"/>
  <c r="AD32" i="5"/>
  <c r="AC32" i="5"/>
  <c r="AB32" i="5"/>
  <c r="AA32" i="5"/>
  <c r="Z32" i="5"/>
  <c r="Y32" i="5"/>
  <c r="X32" i="5"/>
  <c r="W32" i="5"/>
  <c r="V32" i="5"/>
  <c r="U32" i="5"/>
  <c r="T32" i="5"/>
  <c r="S32" i="5"/>
  <c r="R32" i="5"/>
  <c r="Q32" i="5"/>
  <c r="P32" i="5"/>
  <c r="O32" i="5"/>
  <c r="N32" i="5"/>
  <c r="M32" i="5"/>
  <c r="L32" i="5"/>
  <c r="K32" i="5"/>
  <c r="J32" i="5"/>
  <c r="I32" i="5"/>
  <c r="H32" i="5"/>
  <c r="AL31" i="5"/>
  <c r="AK31" i="5"/>
  <c r="AJ31" i="5"/>
  <c r="AI31" i="5"/>
  <c r="AH31" i="5"/>
  <c r="AG31" i="5"/>
  <c r="AF31" i="5"/>
  <c r="AE31" i="5"/>
  <c r="AD31" i="5"/>
  <c r="AC31" i="5"/>
  <c r="AB31" i="5"/>
  <c r="AA31" i="5"/>
  <c r="Z31" i="5"/>
  <c r="Y31" i="5"/>
  <c r="X31" i="5"/>
  <c r="W31" i="5"/>
  <c r="V31" i="5"/>
  <c r="U31" i="5"/>
  <c r="T31" i="5"/>
  <c r="S31" i="5"/>
  <c r="R31" i="5"/>
  <c r="Q31" i="5"/>
  <c r="P31" i="5"/>
  <c r="O31" i="5"/>
  <c r="N31" i="5"/>
  <c r="M31" i="5"/>
  <c r="L31" i="5"/>
  <c r="K31" i="5"/>
  <c r="J31" i="5"/>
  <c r="I31" i="5"/>
  <c r="H31" i="5"/>
  <c r="AL30" i="5"/>
  <c r="AK30" i="5"/>
  <c r="AJ30" i="5"/>
  <c r="AI30" i="5"/>
  <c r="AH30" i="5"/>
  <c r="AG30" i="5"/>
  <c r="AF30" i="5"/>
  <c r="AE30" i="5"/>
  <c r="AD30" i="5"/>
  <c r="AC30" i="5"/>
  <c r="AB30" i="5"/>
  <c r="AA30" i="5"/>
  <c r="Z30" i="5"/>
  <c r="Y30" i="5"/>
  <c r="X30" i="5"/>
  <c r="W30" i="5"/>
  <c r="V30" i="5"/>
  <c r="U30" i="5"/>
  <c r="T30" i="5"/>
  <c r="S30" i="5"/>
  <c r="R30" i="5"/>
  <c r="Q30" i="5"/>
  <c r="P30" i="5"/>
  <c r="O30" i="5"/>
  <c r="N30" i="5"/>
  <c r="M30" i="5"/>
  <c r="L30" i="5"/>
  <c r="K30" i="5"/>
  <c r="J30" i="5"/>
  <c r="I30" i="5"/>
  <c r="H30" i="5"/>
  <c r="AL29" i="5"/>
  <c r="AK29" i="5"/>
  <c r="AJ29" i="5"/>
  <c r="AI29" i="5"/>
  <c r="AH29" i="5"/>
  <c r="AG29" i="5"/>
  <c r="AF29" i="5"/>
  <c r="AE29" i="5"/>
  <c r="AD29" i="5"/>
  <c r="AC29" i="5"/>
  <c r="AB29" i="5"/>
  <c r="AA29" i="5"/>
  <c r="Z29" i="5"/>
  <c r="Y29" i="5"/>
  <c r="X29" i="5"/>
  <c r="W29" i="5"/>
  <c r="V29" i="5"/>
  <c r="U29" i="5"/>
  <c r="T29" i="5"/>
  <c r="S29" i="5"/>
  <c r="R29" i="5"/>
  <c r="Q29" i="5"/>
  <c r="P29" i="5"/>
  <c r="O29" i="5"/>
  <c r="N29" i="5"/>
  <c r="M29" i="5"/>
  <c r="L29" i="5"/>
  <c r="K29" i="5"/>
  <c r="J29" i="5"/>
  <c r="I29" i="5"/>
  <c r="H29" i="5"/>
  <c r="AJ28" i="5"/>
  <c r="AI28" i="5"/>
  <c r="AH28" i="5"/>
  <c r="AG28" i="5"/>
  <c r="AF28" i="5"/>
  <c r="AE28" i="5"/>
  <c r="AD28" i="5"/>
  <c r="AC28" i="5"/>
  <c r="AB28" i="5"/>
  <c r="AA28" i="5"/>
  <c r="Z28" i="5"/>
  <c r="Y28" i="5"/>
  <c r="X28" i="5"/>
  <c r="W28" i="5"/>
  <c r="V28" i="5"/>
  <c r="U28" i="5"/>
  <c r="T28" i="5"/>
  <c r="S28" i="5"/>
  <c r="R28" i="5"/>
  <c r="Q28" i="5"/>
  <c r="P28" i="5"/>
  <c r="O28" i="5"/>
  <c r="N28" i="5"/>
  <c r="M28" i="5"/>
  <c r="L28" i="5"/>
  <c r="K28" i="5"/>
  <c r="J28" i="5"/>
  <c r="I28" i="5"/>
  <c r="H28" i="5"/>
  <c r="AJ27" i="5"/>
  <c r="AI27" i="5"/>
  <c r="AH27" i="5"/>
  <c r="AG27" i="5"/>
  <c r="AF27" i="5"/>
  <c r="AE27" i="5"/>
  <c r="AD27" i="5"/>
  <c r="AC27" i="5"/>
  <c r="AB27" i="5"/>
  <c r="AA27" i="5"/>
  <c r="Z27" i="5"/>
  <c r="Y27" i="5"/>
  <c r="X27" i="5"/>
  <c r="W27" i="5"/>
  <c r="V27" i="5"/>
  <c r="U27" i="5"/>
  <c r="T27" i="5"/>
  <c r="S27" i="5"/>
  <c r="R27" i="5"/>
  <c r="Q27" i="5"/>
  <c r="P27" i="5"/>
  <c r="O27" i="5"/>
  <c r="N27" i="5"/>
  <c r="M27" i="5"/>
  <c r="L27" i="5"/>
  <c r="K27" i="5"/>
  <c r="J27" i="5"/>
  <c r="I27" i="5"/>
  <c r="H27" i="5"/>
  <c r="AJ26" i="5"/>
  <c r="AI26" i="5"/>
  <c r="AH26" i="5"/>
  <c r="AG26" i="5"/>
  <c r="AF26" i="5"/>
  <c r="AE26" i="5"/>
  <c r="AD26" i="5"/>
  <c r="AC26" i="5"/>
  <c r="AB26" i="5"/>
  <c r="AA26" i="5"/>
  <c r="Z26" i="5"/>
  <c r="Y26" i="5"/>
  <c r="X26" i="5"/>
  <c r="W26" i="5"/>
  <c r="V26" i="5"/>
  <c r="U26" i="5"/>
  <c r="T26" i="5"/>
  <c r="S26" i="5"/>
  <c r="R26" i="5"/>
  <c r="Q26" i="5"/>
  <c r="P26" i="5"/>
  <c r="O26" i="5"/>
  <c r="N26" i="5"/>
  <c r="M26" i="5"/>
  <c r="L26" i="5"/>
  <c r="K26" i="5"/>
  <c r="J26" i="5"/>
  <c r="I26" i="5"/>
  <c r="H26" i="5"/>
  <c r="AJ25" i="5"/>
  <c r="AI25" i="5"/>
  <c r="AH25" i="5"/>
  <c r="AG25" i="5"/>
  <c r="AF25" i="5"/>
  <c r="AE25" i="5"/>
  <c r="AD25" i="5"/>
  <c r="AC25" i="5"/>
  <c r="AB25" i="5"/>
  <c r="AA25" i="5"/>
  <c r="Z25" i="5"/>
  <c r="Y25" i="5"/>
  <c r="X25" i="5"/>
  <c r="W25" i="5"/>
  <c r="V25" i="5"/>
  <c r="U25" i="5"/>
  <c r="T25" i="5"/>
  <c r="S25" i="5"/>
  <c r="R25" i="5"/>
  <c r="Q25" i="5"/>
  <c r="P25" i="5"/>
  <c r="O25" i="5"/>
  <c r="N25" i="5"/>
  <c r="M25" i="5"/>
  <c r="L25" i="5"/>
  <c r="K25" i="5"/>
  <c r="J25" i="5"/>
  <c r="I25" i="5"/>
  <c r="H25" i="5"/>
  <c r="AL24" i="5"/>
  <c r="AK24" i="5"/>
  <c r="AJ24" i="5"/>
  <c r="AI24" i="5"/>
  <c r="AH24" i="5"/>
  <c r="AG24" i="5"/>
  <c r="AF24" i="5"/>
  <c r="AE24" i="5"/>
  <c r="AD24" i="5"/>
  <c r="AC24" i="5"/>
  <c r="AB24" i="5"/>
  <c r="AA24" i="5"/>
  <c r="Z24" i="5"/>
  <c r="Y24" i="5"/>
  <c r="X24" i="5"/>
  <c r="W24" i="5"/>
  <c r="V24" i="5"/>
  <c r="U24" i="5"/>
  <c r="T24" i="5"/>
  <c r="S24" i="5"/>
  <c r="R24" i="5"/>
  <c r="Q24" i="5"/>
  <c r="P24" i="5"/>
  <c r="O24" i="5"/>
  <c r="N24" i="5"/>
  <c r="M24" i="5"/>
  <c r="L24" i="5"/>
  <c r="K24" i="5"/>
  <c r="J24" i="5"/>
  <c r="I24" i="5"/>
  <c r="H24" i="5"/>
  <c r="AH23" i="5"/>
  <c r="AG23" i="5"/>
  <c r="AF23" i="5"/>
  <c r="AE23" i="5"/>
  <c r="AD23" i="5"/>
  <c r="AC23" i="5"/>
  <c r="AB23" i="5"/>
  <c r="AA23" i="5"/>
  <c r="Z23" i="5"/>
  <c r="Y23" i="5"/>
  <c r="X23" i="5"/>
  <c r="W23" i="5"/>
  <c r="V23" i="5"/>
  <c r="U23" i="5"/>
  <c r="T23" i="5"/>
  <c r="S23" i="5"/>
  <c r="R23" i="5"/>
  <c r="Q23" i="5"/>
  <c r="P23" i="5"/>
  <c r="O23" i="5"/>
  <c r="N23" i="5"/>
  <c r="M23" i="5"/>
  <c r="L23" i="5"/>
  <c r="K23" i="5"/>
  <c r="J23" i="5"/>
  <c r="I23" i="5"/>
  <c r="H23" i="5"/>
  <c r="AL22" i="5"/>
  <c r="AK22" i="5"/>
  <c r="AJ22" i="5"/>
  <c r="AI22" i="5"/>
  <c r="AH22" i="5"/>
  <c r="AG22" i="5"/>
  <c r="AF22" i="5"/>
  <c r="AE22" i="5"/>
  <c r="AD22" i="5"/>
  <c r="AC22" i="5"/>
  <c r="AB22" i="5"/>
  <c r="AA22" i="5"/>
  <c r="Z22" i="5"/>
  <c r="Y22" i="5"/>
  <c r="X22" i="5"/>
  <c r="W22" i="5"/>
  <c r="V22" i="5"/>
  <c r="U22" i="5"/>
  <c r="T22" i="5"/>
  <c r="S22" i="5"/>
  <c r="R22" i="5"/>
  <c r="Q22" i="5"/>
  <c r="P22" i="5"/>
  <c r="O22" i="5"/>
  <c r="N22" i="5"/>
  <c r="M22" i="5"/>
  <c r="L22" i="5"/>
  <c r="K22" i="5"/>
  <c r="J22" i="5"/>
  <c r="I22" i="5"/>
  <c r="H22" i="5"/>
  <c r="AJ21" i="5"/>
  <c r="AI21" i="5"/>
  <c r="AH21" i="5"/>
  <c r="AG21" i="5"/>
  <c r="AF21" i="5"/>
  <c r="AE21" i="5"/>
  <c r="AD21" i="5"/>
  <c r="AC21" i="5"/>
  <c r="AB21" i="5"/>
  <c r="AA21" i="5"/>
  <c r="Z21" i="5"/>
  <c r="Y21" i="5"/>
  <c r="X21" i="5"/>
  <c r="W21" i="5"/>
  <c r="V21" i="5"/>
  <c r="U21" i="5"/>
  <c r="T21" i="5"/>
  <c r="S21" i="5"/>
  <c r="R21" i="5"/>
  <c r="Q21" i="5"/>
  <c r="P21" i="5"/>
  <c r="O21" i="5"/>
  <c r="N21" i="5"/>
  <c r="M21" i="5"/>
  <c r="L21" i="5"/>
  <c r="K21" i="5"/>
  <c r="J21" i="5"/>
  <c r="I21" i="5"/>
  <c r="H21" i="5"/>
  <c r="AJ20" i="5"/>
  <c r="AI20" i="5"/>
  <c r="AH20" i="5"/>
  <c r="AG20" i="5"/>
  <c r="AF20" i="5"/>
  <c r="AE20" i="5"/>
  <c r="AD20" i="5"/>
  <c r="AC20" i="5"/>
  <c r="AB20" i="5"/>
  <c r="AA20" i="5"/>
  <c r="Z20" i="5"/>
  <c r="Y20" i="5"/>
  <c r="X20" i="5"/>
  <c r="W20" i="5"/>
  <c r="V20" i="5"/>
  <c r="U20" i="5"/>
  <c r="T20" i="5"/>
  <c r="S20" i="5"/>
  <c r="R20" i="5"/>
  <c r="Q20" i="5"/>
  <c r="P20" i="5"/>
  <c r="O20" i="5"/>
  <c r="N20" i="5"/>
  <c r="M20" i="5"/>
  <c r="L20" i="5"/>
  <c r="K20" i="5"/>
  <c r="J20" i="5"/>
  <c r="I20" i="5"/>
  <c r="H20" i="5"/>
  <c r="AJ19" i="5"/>
  <c r="AI19" i="5"/>
  <c r="AH19" i="5"/>
  <c r="AG19" i="5"/>
  <c r="AF19" i="5"/>
  <c r="AE19" i="5"/>
  <c r="AD19" i="5"/>
  <c r="AC19" i="5"/>
  <c r="AB19" i="5"/>
  <c r="AA19" i="5"/>
  <c r="Z19" i="5"/>
  <c r="Y19" i="5"/>
  <c r="X19" i="5"/>
  <c r="W19" i="5"/>
  <c r="V19" i="5"/>
  <c r="U19" i="5"/>
  <c r="T19" i="5"/>
  <c r="S19" i="5"/>
  <c r="R19" i="5"/>
  <c r="Q19" i="5"/>
  <c r="P19" i="5"/>
  <c r="O19" i="5"/>
  <c r="N19" i="5"/>
  <c r="M19" i="5"/>
  <c r="L19" i="5"/>
  <c r="K19" i="5"/>
  <c r="J19" i="5"/>
  <c r="I19" i="5"/>
  <c r="H19" i="5"/>
  <c r="AH18" i="5"/>
  <c r="AG18" i="5"/>
  <c r="AF18" i="5"/>
  <c r="AE18" i="5"/>
  <c r="AD18" i="5"/>
  <c r="AC18" i="5"/>
  <c r="AB18" i="5"/>
  <c r="AA18" i="5"/>
  <c r="Z18" i="5"/>
  <c r="Y18" i="5"/>
  <c r="X18" i="5"/>
  <c r="W18" i="5"/>
  <c r="V18" i="5"/>
  <c r="U18" i="5"/>
  <c r="T18" i="5"/>
  <c r="S18" i="5"/>
  <c r="R18" i="5"/>
  <c r="Q18" i="5"/>
  <c r="P18" i="5"/>
  <c r="O18" i="5"/>
  <c r="N18" i="5"/>
  <c r="M18" i="5"/>
  <c r="L18" i="5"/>
  <c r="K18" i="5"/>
  <c r="J18" i="5"/>
  <c r="I18" i="5"/>
  <c r="H18" i="5"/>
  <c r="AN17" i="5"/>
  <c r="AM17" i="5"/>
  <c r="AL17" i="5"/>
  <c r="AK17" i="5"/>
  <c r="AJ17" i="5"/>
  <c r="AI17" i="5"/>
  <c r="AH17" i="5"/>
  <c r="AG17" i="5"/>
  <c r="AF17" i="5"/>
  <c r="AE17" i="5"/>
  <c r="AD17" i="5"/>
  <c r="AC17" i="5"/>
  <c r="AB17" i="5"/>
  <c r="AA17" i="5"/>
  <c r="Z17" i="5"/>
  <c r="Y17" i="5"/>
  <c r="X17" i="5"/>
  <c r="W17" i="5"/>
  <c r="V17" i="5"/>
  <c r="U17" i="5"/>
  <c r="T17" i="5"/>
  <c r="S17" i="5"/>
  <c r="R17" i="5"/>
  <c r="Q17" i="5"/>
  <c r="P17" i="5"/>
  <c r="O17" i="5"/>
  <c r="N17" i="5"/>
  <c r="M17" i="5"/>
  <c r="L17" i="5"/>
  <c r="K17" i="5"/>
  <c r="J17" i="5"/>
  <c r="I17" i="5"/>
  <c r="H17" i="5"/>
  <c r="AJ16" i="5"/>
  <c r="AI16" i="5"/>
  <c r="AH16" i="5"/>
  <c r="AG16" i="5"/>
  <c r="AF16" i="5"/>
  <c r="AE16" i="5"/>
  <c r="AD16" i="5"/>
  <c r="AC16" i="5"/>
  <c r="AB16" i="5"/>
  <c r="AA16" i="5"/>
  <c r="Z16" i="5"/>
  <c r="Y16" i="5"/>
  <c r="X16" i="5"/>
  <c r="W16" i="5"/>
  <c r="V16" i="5"/>
  <c r="U16" i="5"/>
  <c r="T16" i="5"/>
  <c r="S16" i="5"/>
  <c r="R16" i="5"/>
  <c r="Q16" i="5"/>
  <c r="P16" i="5"/>
  <c r="O16" i="5"/>
  <c r="N16" i="5"/>
  <c r="M16" i="5"/>
  <c r="L16" i="5"/>
  <c r="K16" i="5"/>
  <c r="J16" i="5"/>
  <c r="I16" i="5"/>
  <c r="H16" i="5"/>
  <c r="AL15" i="5"/>
  <c r="AK15" i="5"/>
  <c r="AJ15" i="5"/>
  <c r="AI15" i="5"/>
  <c r="AH15" i="5"/>
  <c r="AG15" i="5"/>
  <c r="AF15" i="5"/>
  <c r="AE15" i="5"/>
  <c r="AD15" i="5"/>
  <c r="AC15" i="5"/>
  <c r="AB15" i="5"/>
  <c r="AA15" i="5"/>
  <c r="Z15" i="5"/>
  <c r="Y15" i="5"/>
  <c r="X15" i="5"/>
  <c r="W15" i="5"/>
  <c r="V15" i="5"/>
  <c r="U15" i="5"/>
  <c r="T15" i="5"/>
  <c r="S15" i="5"/>
  <c r="R15" i="5"/>
  <c r="Q15" i="5"/>
  <c r="P15" i="5"/>
  <c r="O15" i="5"/>
  <c r="N15" i="5"/>
  <c r="M15" i="5"/>
  <c r="L15" i="5"/>
  <c r="K15" i="5"/>
  <c r="J15" i="5"/>
  <c r="I15" i="5"/>
  <c r="H15" i="5"/>
  <c r="AJ14" i="5"/>
  <c r="AI14" i="5"/>
  <c r="AH14" i="5"/>
  <c r="AG14" i="5"/>
  <c r="AF14" i="5"/>
  <c r="AE14" i="5"/>
  <c r="AD14" i="5"/>
  <c r="AC14" i="5"/>
  <c r="AB14" i="5"/>
  <c r="AA14" i="5"/>
  <c r="Z14" i="5"/>
  <c r="Y14" i="5"/>
  <c r="X14" i="5"/>
  <c r="W14" i="5"/>
  <c r="V14" i="5"/>
  <c r="U14" i="5"/>
  <c r="T14" i="5"/>
  <c r="S14" i="5"/>
  <c r="R14" i="5"/>
  <c r="Q14" i="5"/>
  <c r="P14" i="5"/>
  <c r="O14" i="5"/>
  <c r="N14" i="5"/>
  <c r="M14" i="5"/>
  <c r="L14" i="5"/>
  <c r="K14" i="5"/>
  <c r="J14" i="5"/>
  <c r="I14" i="5"/>
  <c r="H14" i="5"/>
  <c r="AL13" i="5"/>
  <c r="AK13" i="5"/>
  <c r="AJ13" i="5"/>
  <c r="AI13" i="5"/>
  <c r="AH13" i="5"/>
  <c r="AG13" i="5"/>
  <c r="AF13" i="5"/>
  <c r="AE13" i="5"/>
  <c r="AD13" i="5"/>
  <c r="AC13" i="5"/>
  <c r="AB13" i="5"/>
  <c r="AA13" i="5"/>
  <c r="Z13" i="5"/>
  <c r="Y13" i="5"/>
  <c r="X13" i="5"/>
  <c r="W13" i="5"/>
  <c r="V13" i="5"/>
  <c r="U13" i="5"/>
  <c r="T13" i="5"/>
  <c r="S13" i="5"/>
  <c r="R13" i="5"/>
  <c r="Q13" i="5"/>
  <c r="P13" i="5"/>
  <c r="O13" i="5"/>
  <c r="N13" i="5"/>
  <c r="M13" i="5"/>
  <c r="L13" i="5"/>
  <c r="K13" i="5"/>
  <c r="J13" i="5"/>
  <c r="I13" i="5"/>
  <c r="H13" i="5"/>
  <c r="AJ12" i="5"/>
  <c r="AI12" i="5"/>
  <c r="AH12" i="5"/>
  <c r="AG12" i="5"/>
  <c r="AF12" i="5"/>
  <c r="AE12" i="5"/>
  <c r="AD12" i="5"/>
  <c r="AC12" i="5"/>
  <c r="AB12" i="5"/>
  <c r="AA12" i="5"/>
  <c r="Z12" i="5"/>
  <c r="Y12" i="5"/>
  <c r="X12" i="5"/>
  <c r="W12" i="5"/>
  <c r="V12" i="5"/>
  <c r="U12" i="5"/>
  <c r="T12" i="5"/>
  <c r="S12" i="5"/>
  <c r="R12" i="5"/>
  <c r="Q12" i="5"/>
  <c r="P12" i="5"/>
  <c r="O12" i="5"/>
  <c r="N12" i="5"/>
  <c r="M12" i="5"/>
  <c r="L12" i="5"/>
  <c r="K12" i="5"/>
  <c r="J12" i="5"/>
  <c r="I12" i="5"/>
  <c r="H12" i="5"/>
  <c r="AJ11" i="5"/>
  <c r="AI11" i="5"/>
  <c r="AH11" i="5"/>
  <c r="AG11" i="5"/>
  <c r="AF11" i="5"/>
  <c r="AE11" i="5"/>
  <c r="AD11" i="5"/>
  <c r="AC11" i="5"/>
  <c r="AB11" i="5"/>
  <c r="AA11" i="5"/>
  <c r="Z11" i="5"/>
  <c r="Y11" i="5"/>
  <c r="X11" i="5"/>
  <c r="W11" i="5"/>
  <c r="V11" i="5"/>
  <c r="U11" i="5"/>
  <c r="T11" i="5"/>
  <c r="S11" i="5"/>
  <c r="R11" i="5"/>
  <c r="Q11" i="5"/>
  <c r="P11" i="5"/>
  <c r="O11" i="5"/>
  <c r="N11" i="5"/>
  <c r="M11" i="5"/>
  <c r="L11" i="5"/>
  <c r="K11" i="5"/>
  <c r="J11" i="5"/>
  <c r="I11" i="5"/>
  <c r="H11" i="5"/>
  <c r="AJ10" i="5"/>
  <c r="AI10" i="5"/>
  <c r="AH10" i="5"/>
  <c r="AG10" i="5"/>
  <c r="AF10" i="5"/>
  <c r="AE10" i="5"/>
  <c r="AD10" i="5"/>
  <c r="AC10" i="5"/>
  <c r="AB10" i="5"/>
  <c r="AA10" i="5"/>
  <c r="Z10" i="5"/>
  <c r="Y10" i="5"/>
  <c r="X10" i="5"/>
  <c r="W10" i="5"/>
  <c r="V10" i="5"/>
  <c r="U10" i="5"/>
  <c r="T10" i="5"/>
  <c r="S10" i="5"/>
  <c r="R10" i="5"/>
  <c r="Q10" i="5"/>
  <c r="P10" i="5"/>
  <c r="O10" i="5"/>
  <c r="N10" i="5"/>
  <c r="M10" i="5"/>
  <c r="L10" i="5"/>
  <c r="K10" i="5"/>
  <c r="J10" i="5"/>
  <c r="I10" i="5"/>
  <c r="H10" i="5"/>
  <c r="AJ9" i="5"/>
  <c r="AI9" i="5"/>
  <c r="AH9" i="5"/>
  <c r="AG9" i="5"/>
  <c r="AF9" i="5"/>
  <c r="AE9" i="5"/>
  <c r="AD9" i="5"/>
  <c r="AC9" i="5"/>
  <c r="AB9" i="5"/>
  <c r="AA9" i="5"/>
  <c r="Z9" i="5"/>
  <c r="Y9" i="5"/>
  <c r="X9" i="5"/>
  <c r="W9" i="5"/>
  <c r="V9" i="5"/>
  <c r="U9" i="5"/>
  <c r="T9" i="5"/>
  <c r="S9" i="5"/>
  <c r="R9" i="5"/>
  <c r="Q9" i="5"/>
  <c r="P9" i="5"/>
  <c r="O9" i="5"/>
  <c r="N9" i="5"/>
  <c r="M9" i="5"/>
  <c r="L9" i="5"/>
  <c r="K9" i="5"/>
  <c r="J9" i="5"/>
  <c r="I9" i="5"/>
  <c r="H9" i="5"/>
  <c r="AH8" i="5"/>
  <c r="AG8" i="5"/>
  <c r="AF8" i="5"/>
  <c r="AE8" i="5"/>
  <c r="AD8" i="5"/>
  <c r="AC8" i="5"/>
  <c r="AB8" i="5"/>
  <c r="AA8" i="5"/>
  <c r="Z8" i="5"/>
  <c r="Y8" i="5"/>
  <c r="X8" i="5"/>
  <c r="W8" i="5"/>
  <c r="V8" i="5"/>
  <c r="U8" i="5"/>
  <c r="T8" i="5"/>
  <c r="S8" i="5"/>
  <c r="R8" i="5"/>
  <c r="Q8" i="5"/>
  <c r="P8" i="5"/>
  <c r="O8" i="5"/>
  <c r="N8" i="5"/>
  <c r="M8" i="5"/>
  <c r="L8" i="5"/>
  <c r="K8" i="5"/>
  <c r="J8" i="5"/>
  <c r="I8" i="5"/>
  <c r="H8" i="5"/>
  <c r="AJ7" i="5"/>
  <c r="AI7" i="5"/>
  <c r="AH7" i="5"/>
  <c r="AG7" i="5"/>
  <c r="AF7" i="5"/>
  <c r="AE7" i="5"/>
  <c r="AD7" i="5"/>
  <c r="AC7" i="5"/>
  <c r="AB7" i="5"/>
  <c r="AA7" i="5"/>
  <c r="Z7" i="5"/>
  <c r="Y7" i="5"/>
  <c r="X7" i="5"/>
  <c r="W7" i="5"/>
  <c r="V7" i="5"/>
  <c r="U7" i="5"/>
  <c r="T7" i="5"/>
  <c r="S7" i="5"/>
  <c r="R7" i="5"/>
  <c r="Q7" i="5"/>
  <c r="P7" i="5"/>
  <c r="O7" i="5"/>
  <c r="N7" i="5"/>
  <c r="M7" i="5"/>
  <c r="L7" i="5"/>
  <c r="K7" i="5"/>
  <c r="J7" i="5"/>
  <c r="I7" i="5"/>
  <c r="H7" i="5"/>
  <c r="AL6" i="5"/>
  <c r="AK6" i="5"/>
  <c r="AJ6" i="5"/>
  <c r="AI6" i="5"/>
  <c r="AH6" i="5"/>
  <c r="AG6" i="5"/>
  <c r="AF6" i="5"/>
  <c r="AE6" i="5"/>
  <c r="AD6" i="5"/>
  <c r="AC6" i="5"/>
  <c r="AB6" i="5"/>
  <c r="AA6" i="5"/>
  <c r="Z6" i="5"/>
  <c r="Y6" i="5"/>
  <c r="X6" i="5"/>
  <c r="W6" i="5"/>
  <c r="V6" i="5"/>
  <c r="U6" i="5"/>
  <c r="T6" i="5"/>
  <c r="S6" i="5"/>
  <c r="R6" i="5"/>
  <c r="Q6" i="5"/>
  <c r="P6" i="5"/>
  <c r="O6" i="5"/>
  <c r="N6" i="5"/>
  <c r="M6" i="5"/>
  <c r="L6" i="5"/>
  <c r="K6" i="5"/>
  <c r="J6" i="5"/>
  <c r="I6" i="5"/>
  <c r="H6" i="5"/>
  <c r="AJ5" i="5"/>
  <c r="AI5" i="5"/>
  <c r="AH5" i="5"/>
  <c r="AG5" i="5"/>
  <c r="AF5" i="5"/>
  <c r="AE5" i="5"/>
  <c r="AD5" i="5"/>
  <c r="AC5" i="5"/>
  <c r="AB5" i="5"/>
  <c r="AA5" i="5"/>
  <c r="Z5" i="5"/>
  <c r="Y5" i="5"/>
  <c r="X5" i="5"/>
  <c r="W5" i="5"/>
  <c r="V5" i="5"/>
  <c r="U5" i="5"/>
  <c r="T5" i="5"/>
  <c r="S5" i="5"/>
  <c r="R5" i="5"/>
  <c r="Q5" i="5"/>
  <c r="P5" i="5"/>
  <c r="O5" i="5"/>
  <c r="N5" i="5"/>
  <c r="M5" i="5"/>
  <c r="L5" i="5"/>
  <c r="K5" i="5"/>
  <c r="J5" i="5"/>
  <c r="I5" i="5"/>
  <c r="H5" i="5"/>
  <c r="AL4" i="5"/>
  <c r="AK4" i="5"/>
  <c r="AJ4" i="5"/>
  <c r="AI4" i="5"/>
  <c r="AH4" i="5"/>
  <c r="AG4" i="5"/>
  <c r="AF4" i="5"/>
  <c r="AE4" i="5"/>
  <c r="AD4" i="5"/>
  <c r="AC4" i="5"/>
  <c r="AB4" i="5"/>
  <c r="AA4" i="5"/>
  <c r="Z4" i="5"/>
  <c r="Y4" i="5"/>
  <c r="X4" i="5"/>
  <c r="W4" i="5"/>
  <c r="V4" i="5"/>
  <c r="U4" i="5"/>
  <c r="T4" i="5"/>
  <c r="S4" i="5"/>
  <c r="R4" i="5"/>
  <c r="Q4" i="5"/>
  <c r="P4" i="5"/>
  <c r="O4" i="5"/>
  <c r="N4" i="5"/>
  <c r="M4" i="5"/>
  <c r="L4" i="5"/>
  <c r="K4" i="5"/>
  <c r="J4" i="5"/>
  <c r="I4" i="5"/>
  <c r="H4" i="5"/>
  <c r="AH3" i="5"/>
  <c r="AG3" i="5"/>
  <c r="AF3" i="5"/>
  <c r="AE3" i="5"/>
  <c r="AD3" i="5"/>
  <c r="AC3" i="5"/>
  <c r="AB3" i="5"/>
  <c r="AA3" i="5"/>
  <c r="Z3" i="5"/>
  <c r="Y3" i="5"/>
  <c r="X3" i="5"/>
  <c r="W3" i="5"/>
  <c r="V3" i="5"/>
  <c r="U3" i="5"/>
  <c r="T3" i="5"/>
  <c r="S3" i="5"/>
  <c r="R3" i="5"/>
  <c r="Q3" i="5"/>
  <c r="P3" i="5"/>
  <c r="O3" i="5"/>
  <c r="N3" i="5"/>
  <c r="M3" i="5"/>
  <c r="L3" i="5"/>
  <c r="K3" i="5"/>
  <c r="J3" i="5"/>
  <c r="I3" i="5"/>
  <c r="H3" i="5"/>
  <c r="AJ2" i="5"/>
  <c r="AI2" i="5"/>
  <c r="AH2" i="5"/>
  <c r="AG2" i="5"/>
  <c r="AF2" i="5"/>
  <c r="AE2" i="5"/>
  <c r="AD2" i="5"/>
  <c r="AC2" i="5"/>
  <c r="AB2" i="5"/>
  <c r="AA2" i="5"/>
  <c r="Z2" i="5"/>
  <c r="Y2" i="5"/>
  <c r="X2" i="5"/>
  <c r="W2" i="5"/>
  <c r="V2" i="5"/>
  <c r="U2" i="5"/>
  <c r="T2" i="5"/>
  <c r="S2" i="5"/>
  <c r="R2" i="5"/>
  <c r="Q2" i="5"/>
  <c r="P2" i="5"/>
  <c r="O2" i="5"/>
  <c r="N2" i="5"/>
  <c r="M2" i="5"/>
  <c r="L2" i="5"/>
  <c r="K2" i="5"/>
  <c r="J2" i="5"/>
  <c r="I2" i="5"/>
  <c r="H2" i="5"/>
  <c r="AH163" i="4"/>
  <c r="AG163" i="4"/>
  <c r="AB163" i="4"/>
  <c r="AA163" i="4"/>
  <c r="Z163" i="4"/>
  <c r="Y163" i="4"/>
  <c r="X163" i="4"/>
  <c r="W163" i="4"/>
  <c r="V163" i="4"/>
  <c r="U163" i="4"/>
  <c r="T163" i="4"/>
  <c r="S163" i="4"/>
  <c r="R163" i="4"/>
  <c r="Q163" i="4"/>
  <c r="P163" i="4"/>
  <c r="O163" i="4"/>
  <c r="N163" i="4"/>
  <c r="M163" i="4"/>
  <c r="L163" i="4"/>
  <c r="K163" i="4"/>
  <c r="J163" i="4"/>
  <c r="I163" i="4"/>
  <c r="H163" i="4"/>
  <c r="AH162" i="4"/>
  <c r="AG162" i="4"/>
  <c r="AB162" i="4"/>
  <c r="AA162" i="4"/>
  <c r="Z162" i="4"/>
  <c r="Y162" i="4"/>
  <c r="X162" i="4"/>
  <c r="W162" i="4"/>
  <c r="V162" i="4"/>
  <c r="U162" i="4"/>
  <c r="T162" i="4"/>
  <c r="S162" i="4"/>
  <c r="R162" i="4"/>
  <c r="Q162" i="4"/>
  <c r="P162" i="4"/>
  <c r="O162" i="4"/>
  <c r="N162" i="4"/>
  <c r="M162" i="4"/>
  <c r="L162" i="4"/>
  <c r="K162" i="4"/>
  <c r="J162" i="4"/>
  <c r="I162" i="4"/>
  <c r="H162" i="4"/>
  <c r="AJ161" i="4"/>
  <c r="AI161" i="4"/>
  <c r="AH161" i="4"/>
  <c r="AG161" i="4"/>
  <c r="AB161" i="4"/>
  <c r="AA161" i="4"/>
  <c r="Z161" i="4"/>
  <c r="Y161" i="4"/>
  <c r="X161" i="4"/>
  <c r="W161" i="4"/>
  <c r="V161" i="4"/>
  <c r="U161" i="4"/>
  <c r="T161" i="4"/>
  <c r="S161" i="4"/>
  <c r="R161" i="4"/>
  <c r="Q161" i="4"/>
  <c r="P161" i="4"/>
  <c r="O161" i="4"/>
  <c r="N161" i="4"/>
  <c r="M161" i="4"/>
  <c r="L161" i="4"/>
  <c r="K161" i="4"/>
  <c r="J161" i="4"/>
  <c r="I161" i="4"/>
  <c r="H161" i="4"/>
  <c r="AH160" i="4"/>
  <c r="AG160" i="4"/>
  <c r="AB160" i="4"/>
  <c r="AA160" i="4"/>
  <c r="Z160" i="4"/>
  <c r="Y160" i="4"/>
  <c r="X160" i="4"/>
  <c r="W160" i="4"/>
  <c r="V160" i="4"/>
  <c r="U160" i="4"/>
  <c r="T160" i="4"/>
  <c r="S160" i="4"/>
  <c r="R160" i="4"/>
  <c r="Q160" i="4"/>
  <c r="P160" i="4"/>
  <c r="O160" i="4"/>
  <c r="N160" i="4"/>
  <c r="M160" i="4"/>
  <c r="L160" i="4"/>
  <c r="K160" i="4"/>
  <c r="J160" i="4"/>
  <c r="I160" i="4"/>
  <c r="H160" i="4"/>
  <c r="AH159" i="4"/>
  <c r="AG159" i="4"/>
  <c r="AB159" i="4"/>
  <c r="AA159" i="4"/>
  <c r="Z159" i="4"/>
  <c r="Y159" i="4"/>
  <c r="X159" i="4"/>
  <c r="W159" i="4"/>
  <c r="V159" i="4"/>
  <c r="U159" i="4"/>
  <c r="T159" i="4"/>
  <c r="S159" i="4"/>
  <c r="R159" i="4"/>
  <c r="Q159" i="4"/>
  <c r="P159" i="4"/>
  <c r="O159" i="4"/>
  <c r="N159" i="4"/>
  <c r="M159" i="4"/>
  <c r="L159" i="4"/>
  <c r="K159" i="4"/>
  <c r="J159" i="4"/>
  <c r="I159" i="4"/>
  <c r="H159" i="4"/>
  <c r="AJ158" i="4"/>
  <c r="AI158" i="4"/>
  <c r="AH158" i="4"/>
  <c r="AG158" i="4"/>
  <c r="AB158" i="4"/>
  <c r="AA158" i="4"/>
  <c r="Z158" i="4"/>
  <c r="Y158" i="4"/>
  <c r="X158" i="4"/>
  <c r="W158" i="4"/>
  <c r="V158" i="4"/>
  <c r="U158" i="4"/>
  <c r="T158" i="4"/>
  <c r="S158" i="4"/>
  <c r="R158" i="4"/>
  <c r="Q158" i="4"/>
  <c r="P158" i="4"/>
  <c r="O158" i="4"/>
  <c r="N158" i="4"/>
  <c r="M158" i="4"/>
  <c r="L158" i="4"/>
  <c r="K158" i="4"/>
  <c r="J158" i="4"/>
  <c r="I158" i="4"/>
  <c r="H158" i="4"/>
  <c r="AG157" i="4"/>
  <c r="AB157" i="4"/>
  <c r="AA157" i="4"/>
  <c r="Z157" i="4"/>
  <c r="Y157" i="4"/>
  <c r="X157" i="4"/>
  <c r="W157" i="4"/>
  <c r="V157" i="4"/>
  <c r="U157" i="4"/>
  <c r="T157" i="4"/>
  <c r="S157" i="4"/>
  <c r="R157" i="4"/>
  <c r="Q157" i="4"/>
  <c r="P157" i="4"/>
  <c r="O157" i="4"/>
  <c r="N157" i="4"/>
  <c r="M157" i="4"/>
  <c r="L157" i="4"/>
  <c r="K157" i="4"/>
  <c r="J157" i="4"/>
  <c r="I157" i="4"/>
  <c r="H157" i="4"/>
  <c r="AL156" i="4"/>
  <c r="AK156" i="4"/>
  <c r="AJ156" i="4"/>
  <c r="AI156" i="4"/>
  <c r="AH156" i="4"/>
  <c r="AG156" i="4"/>
  <c r="AB156" i="4"/>
  <c r="AA156" i="4"/>
  <c r="Z156" i="4"/>
  <c r="Y156" i="4"/>
  <c r="X156" i="4"/>
  <c r="W156" i="4"/>
  <c r="V156" i="4"/>
  <c r="U156" i="4"/>
  <c r="T156" i="4"/>
  <c r="S156" i="4"/>
  <c r="R156" i="4"/>
  <c r="Q156" i="4"/>
  <c r="P156" i="4"/>
  <c r="O156" i="4"/>
  <c r="N156" i="4"/>
  <c r="M156" i="4"/>
  <c r="L156" i="4"/>
  <c r="K156" i="4"/>
  <c r="J156" i="4"/>
  <c r="I156" i="4"/>
  <c r="H156" i="4"/>
  <c r="AL155" i="4"/>
  <c r="AK155" i="4"/>
  <c r="AJ155" i="4"/>
  <c r="AI155" i="4"/>
  <c r="AH155" i="4"/>
  <c r="AG155" i="4"/>
  <c r="AB155" i="4"/>
  <c r="AA155" i="4"/>
  <c r="Z155" i="4"/>
  <c r="Y155" i="4"/>
  <c r="X155" i="4"/>
  <c r="W155" i="4"/>
  <c r="V155" i="4"/>
  <c r="U155" i="4"/>
  <c r="T155" i="4"/>
  <c r="S155" i="4"/>
  <c r="R155" i="4"/>
  <c r="Q155" i="4"/>
  <c r="P155" i="4"/>
  <c r="O155" i="4"/>
  <c r="N155" i="4"/>
  <c r="M155" i="4"/>
  <c r="L155" i="4"/>
  <c r="K155" i="4"/>
  <c r="J155" i="4"/>
  <c r="I155" i="4"/>
  <c r="H155" i="4"/>
  <c r="AL154" i="4"/>
  <c r="AK154" i="4"/>
  <c r="AJ154" i="4"/>
  <c r="AI154" i="4"/>
  <c r="AH154" i="4"/>
  <c r="AG154" i="4"/>
  <c r="AB154" i="4"/>
  <c r="AA154" i="4"/>
  <c r="Z154" i="4"/>
  <c r="Y154" i="4"/>
  <c r="X154" i="4"/>
  <c r="W154" i="4"/>
  <c r="V154" i="4"/>
  <c r="U154" i="4"/>
  <c r="T154" i="4"/>
  <c r="S154" i="4"/>
  <c r="R154" i="4"/>
  <c r="Q154" i="4"/>
  <c r="P154" i="4"/>
  <c r="O154" i="4"/>
  <c r="N154" i="4"/>
  <c r="M154" i="4"/>
  <c r="L154" i="4"/>
  <c r="K154" i="4"/>
  <c r="J154" i="4"/>
  <c r="I154" i="4"/>
  <c r="H154" i="4"/>
  <c r="AJ153" i="4"/>
  <c r="AI153" i="4"/>
  <c r="AH153" i="4"/>
  <c r="AG153" i="4"/>
  <c r="AB153" i="4"/>
  <c r="AA153" i="4"/>
  <c r="Z153" i="4"/>
  <c r="Y153" i="4"/>
  <c r="X153" i="4"/>
  <c r="W153" i="4"/>
  <c r="V153" i="4"/>
  <c r="U153" i="4"/>
  <c r="T153" i="4"/>
  <c r="S153" i="4"/>
  <c r="R153" i="4"/>
  <c r="Q153" i="4"/>
  <c r="P153" i="4"/>
  <c r="O153" i="4"/>
  <c r="N153" i="4"/>
  <c r="M153" i="4"/>
  <c r="L153" i="4"/>
  <c r="K153" i="4"/>
  <c r="J153" i="4"/>
  <c r="I153" i="4"/>
  <c r="H153" i="4"/>
  <c r="AL152" i="4"/>
  <c r="AK152" i="4"/>
  <c r="AJ152" i="4"/>
  <c r="AI152" i="4"/>
  <c r="AH152" i="4"/>
  <c r="AG152" i="4"/>
  <c r="AB152" i="4"/>
  <c r="AA152" i="4"/>
  <c r="Z152" i="4"/>
  <c r="Y152" i="4"/>
  <c r="X152" i="4"/>
  <c r="W152" i="4"/>
  <c r="V152" i="4"/>
  <c r="U152" i="4"/>
  <c r="T152" i="4"/>
  <c r="S152" i="4"/>
  <c r="R152" i="4"/>
  <c r="Q152" i="4"/>
  <c r="P152" i="4"/>
  <c r="O152" i="4"/>
  <c r="N152" i="4"/>
  <c r="M152" i="4"/>
  <c r="L152" i="4"/>
  <c r="K152" i="4"/>
  <c r="J152" i="4"/>
  <c r="I152" i="4"/>
  <c r="H152" i="4"/>
  <c r="AN151" i="4"/>
  <c r="AM151" i="4"/>
  <c r="AL151" i="4"/>
  <c r="AK151" i="4"/>
  <c r="AJ151" i="4"/>
  <c r="AI151" i="4"/>
  <c r="AH151" i="4"/>
  <c r="AG151" i="4"/>
  <c r="AB151" i="4"/>
  <c r="AA151" i="4"/>
  <c r="Z151" i="4"/>
  <c r="Y151" i="4"/>
  <c r="X151" i="4"/>
  <c r="W151" i="4"/>
  <c r="V151" i="4"/>
  <c r="U151" i="4"/>
  <c r="T151" i="4"/>
  <c r="S151" i="4"/>
  <c r="R151" i="4"/>
  <c r="Q151" i="4"/>
  <c r="P151" i="4"/>
  <c r="O151" i="4"/>
  <c r="N151" i="4"/>
  <c r="M151" i="4"/>
  <c r="L151" i="4"/>
  <c r="K151" i="4"/>
  <c r="J151" i="4"/>
  <c r="I151" i="4"/>
  <c r="H151" i="4"/>
  <c r="AN150" i="4"/>
  <c r="AM150" i="4"/>
  <c r="AL150" i="4"/>
  <c r="AK150" i="4"/>
  <c r="AJ150" i="4"/>
  <c r="AI150" i="4"/>
  <c r="AH150" i="4"/>
  <c r="AG150" i="4"/>
  <c r="AB150" i="4"/>
  <c r="AA150" i="4"/>
  <c r="Z150" i="4"/>
  <c r="Y150" i="4"/>
  <c r="X150" i="4"/>
  <c r="W150" i="4"/>
  <c r="V150" i="4"/>
  <c r="U150" i="4"/>
  <c r="T150" i="4"/>
  <c r="S150" i="4"/>
  <c r="R150" i="4"/>
  <c r="Q150" i="4"/>
  <c r="P150" i="4"/>
  <c r="O150" i="4"/>
  <c r="N150" i="4"/>
  <c r="M150" i="4"/>
  <c r="L150" i="4"/>
  <c r="K150" i="4"/>
  <c r="J150" i="4"/>
  <c r="I150" i="4"/>
  <c r="H150" i="4"/>
  <c r="AL149" i="4"/>
  <c r="AK149" i="4"/>
  <c r="AJ149" i="4"/>
  <c r="AI149" i="4"/>
  <c r="AH149" i="4"/>
  <c r="AG149" i="4"/>
  <c r="AB149" i="4"/>
  <c r="AA149" i="4"/>
  <c r="Z149" i="4"/>
  <c r="Y149" i="4"/>
  <c r="X149" i="4"/>
  <c r="W149" i="4"/>
  <c r="V149" i="4"/>
  <c r="U149" i="4"/>
  <c r="T149" i="4"/>
  <c r="S149" i="4"/>
  <c r="R149" i="4"/>
  <c r="Q149" i="4"/>
  <c r="P149" i="4"/>
  <c r="O149" i="4"/>
  <c r="N149" i="4"/>
  <c r="M149" i="4"/>
  <c r="L149" i="4"/>
  <c r="K149" i="4"/>
  <c r="J149" i="4"/>
  <c r="I149" i="4"/>
  <c r="H149" i="4"/>
  <c r="AL148" i="4"/>
  <c r="AK148" i="4"/>
  <c r="AJ148" i="4"/>
  <c r="AI148" i="4"/>
  <c r="AH148" i="4"/>
  <c r="AG148" i="4"/>
  <c r="AB148" i="4"/>
  <c r="AA148" i="4"/>
  <c r="Z148" i="4"/>
  <c r="Y148" i="4"/>
  <c r="X148" i="4"/>
  <c r="W148" i="4"/>
  <c r="V148" i="4"/>
  <c r="U148" i="4"/>
  <c r="T148" i="4"/>
  <c r="S148" i="4"/>
  <c r="R148" i="4"/>
  <c r="Q148" i="4"/>
  <c r="P148" i="4"/>
  <c r="O148" i="4"/>
  <c r="N148" i="4"/>
  <c r="M148" i="4"/>
  <c r="L148" i="4"/>
  <c r="K148" i="4"/>
  <c r="J148" i="4"/>
  <c r="I148" i="4"/>
  <c r="H148" i="4"/>
  <c r="AH147" i="4"/>
  <c r="AG147" i="4"/>
  <c r="AB147" i="4"/>
  <c r="AA147" i="4"/>
  <c r="Z147" i="4"/>
  <c r="Y147" i="4"/>
  <c r="X147" i="4"/>
  <c r="W147" i="4"/>
  <c r="V147" i="4"/>
  <c r="U147" i="4"/>
  <c r="T147" i="4"/>
  <c r="S147" i="4"/>
  <c r="R147" i="4"/>
  <c r="Q147" i="4"/>
  <c r="P147" i="4"/>
  <c r="O147" i="4"/>
  <c r="N147" i="4"/>
  <c r="M147" i="4"/>
  <c r="L147" i="4"/>
  <c r="K147" i="4"/>
  <c r="J147" i="4"/>
  <c r="I147" i="4"/>
  <c r="H147" i="4"/>
  <c r="AL146" i="4"/>
  <c r="AK146" i="4"/>
  <c r="AJ146" i="4"/>
  <c r="AI146" i="4"/>
  <c r="AH146" i="4"/>
  <c r="AG146" i="4"/>
  <c r="AB146" i="4"/>
  <c r="AA146" i="4"/>
  <c r="Z146" i="4"/>
  <c r="Y146" i="4"/>
  <c r="X146" i="4"/>
  <c r="W146" i="4"/>
  <c r="V146" i="4"/>
  <c r="U146" i="4"/>
  <c r="T146" i="4"/>
  <c r="S146" i="4"/>
  <c r="R146" i="4"/>
  <c r="Q146" i="4"/>
  <c r="P146" i="4"/>
  <c r="O146" i="4"/>
  <c r="N146" i="4"/>
  <c r="M146" i="4"/>
  <c r="L146" i="4"/>
  <c r="K146" i="4"/>
  <c r="J146" i="4"/>
  <c r="I146" i="4"/>
  <c r="H146" i="4"/>
  <c r="AH145" i="4"/>
  <c r="AG145" i="4"/>
  <c r="AB145" i="4"/>
  <c r="AA145" i="4"/>
  <c r="Z145" i="4"/>
  <c r="Y145" i="4"/>
  <c r="X145" i="4"/>
  <c r="W145" i="4"/>
  <c r="V145" i="4"/>
  <c r="U145" i="4"/>
  <c r="T145" i="4"/>
  <c r="S145" i="4"/>
  <c r="R145" i="4"/>
  <c r="Q145" i="4"/>
  <c r="P145" i="4"/>
  <c r="O145" i="4"/>
  <c r="N145" i="4"/>
  <c r="M145" i="4"/>
  <c r="L145" i="4"/>
  <c r="K145" i="4"/>
  <c r="J145" i="4"/>
  <c r="I145" i="4"/>
  <c r="H145" i="4"/>
  <c r="AH144" i="4"/>
  <c r="AG144" i="4"/>
  <c r="AB144" i="4"/>
  <c r="AA144" i="4"/>
  <c r="Z144" i="4"/>
  <c r="Y144" i="4"/>
  <c r="X144" i="4"/>
  <c r="W144" i="4"/>
  <c r="V144" i="4"/>
  <c r="U144" i="4"/>
  <c r="T144" i="4"/>
  <c r="S144" i="4"/>
  <c r="R144" i="4"/>
  <c r="Q144" i="4"/>
  <c r="P144" i="4"/>
  <c r="O144" i="4"/>
  <c r="N144" i="4"/>
  <c r="M144" i="4"/>
  <c r="L144" i="4"/>
  <c r="K144" i="4"/>
  <c r="J144" i="4"/>
  <c r="I144" i="4"/>
  <c r="H144" i="4"/>
  <c r="AN143" i="4"/>
  <c r="AM143" i="4"/>
  <c r="AL143" i="4"/>
  <c r="AK143" i="4"/>
  <c r="AJ143" i="4"/>
  <c r="AI143" i="4"/>
  <c r="AH143" i="4"/>
  <c r="AG143" i="4"/>
  <c r="AB143" i="4"/>
  <c r="AA143" i="4"/>
  <c r="Z143" i="4"/>
  <c r="Y143" i="4"/>
  <c r="X143" i="4"/>
  <c r="W143" i="4"/>
  <c r="V143" i="4"/>
  <c r="U143" i="4"/>
  <c r="T143" i="4"/>
  <c r="S143" i="4"/>
  <c r="R143" i="4"/>
  <c r="Q143" i="4"/>
  <c r="P143" i="4"/>
  <c r="O143" i="4"/>
  <c r="N143" i="4"/>
  <c r="M143" i="4"/>
  <c r="L143" i="4"/>
  <c r="K143" i="4"/>
  <c r="J143" i="4"/>
  <c r="I143" i="4"/>
  <c r="H143" i="4"/>
  <c r="AN142" i="4"/>
  <c r="AM142" i="4"/>
  <c r="AL142" i="4"/>
  <c r="AK142" i="4"/>
  <c r="AJ142" i="4"/>
  <c r="AI142" i="4"/>
  <c r="AH142" i="4"/>
  <c r="AG142" i="4"/>
  <c r="AB142" i="4"/>
  <c r="AA142" i="4"/>
  <c r="Z142" i="4"/>
  <c r="Y142" i="4"/>
  <c r="X142" i="4"/>
  <c r="W142" i="4"/>
  <c r="V142" i="4"/>
  <c r="U142" i="4"/>
  <c r="T142" i="4"/>
  <c r="S142" i="4"/>
  <c r="R142" i="4"/>
  <c r="Q142" i="4"/>
  <c r="P142" i="4"/>
  <c r="O142" i="4"/>
  <c r="N142" i="4"/>
  <c r="M142" i="4"/>
  <c r="L142" i="4"/>
  <c r="K142" i="4"/>
  <c r="J142" i="4"/>
  <c r="I142" i="4"/>
  <c r="H142" i="4"/>
  <c r="AP141" i="4"/>
  <c r="AO141" i="4"/>
  <c r="AN141" i="4"/>
  <c r="AM141" i="4"/>
  <c r="AL141" i="4"/>
  <c r="AK141" i="4"/>
  <c r="AJ141" i="4"/>
  <c r="AI141" i="4"/>
  <c r="AH141" i="4"/>
  <c r="AG141" i="4"/>
  <c r="AB141" i="4"/>
  <c r="AA141" i="4"/>
  <c r="Z141" i="4"/>
  <c r="Y141" i="4"/>
  <c r="X141" i="4"/>
  <c r="W141" i="4"/>
  <c r="V141" i="4"/>
  <c r="U141" i="4"/>
  <c r="T141" i="4"/>
  <c r="S141" i="4"/>
  <c r="R141" i="4"/>
  <c r="Q141" i="4"/>
  <c r="P141" i="4"/>
  <c r="O141" i="4"/>
  <c r="N141" i="4"/>
  <c r="M141" i="4"/>
  <c r="L141" i="4"/>
  <c r="K141" i="4"/>
  <c r="J141" i="4"/>
  <c r="I141" i="4"/>
  <c r="H141" i="4"/>
  <c r="AN140" i="4"/>
  <c r="AM140" i="4"/>
  <c r="AL140" i="4"/>
  <c r="AK140" i="4"/>
  <c r="AJ140" i="4"/>
  <c r="AI140" i="4"/>
  <c r="AH140" i="4"/>
  <c r="AG140" i="4"/>
  <c r="AB140" i="4"/>
  <c r="AA140" i="4"/>
  <c r="Z140" i="4"/>
  <c r="Y140" i="4"/>
  <c r="X140" i="4"/>
  <c r="W140" i="4"/>
  <c r="V140" i="4"/>
  <c r="U140" i="4"/>
  <c r="T140" i="4"/>
  <c r="S140" i="4"/>
  <c r="R140" i="4"/>
  <c r="Q140" i="4"/>
  <c r="P140" i="4"/>
  <c r="O140" i="4"/>
  <c r="N140" i="4"/>
  <c r="M140" i="4"/>
  <c r="L140" i="4"/>
  <c r="K140" i="4"/>
  <c r="J140" i="4"/>
  <c r="I140" i="4"/>
  <c r="H140" i="4"/>
  <c r="AN139" i="4"/>
  <c r="AM139" i="4"/>
  <c r="AL139" i="4"/>
  <c r="AK139" i="4"/>
  <c r="AJ139" i="4"/>
  <c r="AI139" i="4"/>
  <c r="AH139" i="4"/>
  <c r="AG139" i="4"/>
  <c r="AB139" i="4"/>
  <c r="AA139" i="4"/>
  <c r="Z139" i="4"/>
  <c r="Y139" i="4"/>
  <c r="X139" i="4"/>
  <c r="W139" i="4"/>
  <c r="V139" i="4"/>
  <c r="U139" i="4"/>
  <c r="T139" i="4"/>
  <c r="S139" i="4"/>
  <c r="R139" i="4"/>
  <c r="Q139" i="4"/>
  <c r="P139" i="4"/>
  <c r="O139" i="4"/>
  <c r="N139" i="4"/>
  <c r="M139" i="4"/>
  <c r="L139" i="4"/>
  <c r="K139" i="4"/>
  <c r="J139" i="4"/>
  <c r="I139" i="4"/>
  <c r="H139" i="4"/>
  <c r="AJ138" i="4"/>
  <c r="AI138" i="4"/>
  <c r="AH138" i="4"/>
  <c r="AG138" i="4"/>
  <c r="AB138" i="4"/>
  <c r="AA138" i="4"/>
  <c r="Z138" i="4"/>
  <c r="Y138" i="4"/>
  <c r="X138" i="4"/>
  <c r="W138" i="4"/>
  <c r="V138" i="4"/>
  <c r="U138" i="4"/>
  <c r="T138" i="4"/>
  <c r="S138" i="4"/>
  <c r="R138" i="4"/>
  <c r="Q138" i="4"/>
  <c r="P138" i="4"/>
  <c r="O138" i="4"/>
  <c r="N138" i="4"/>
  <c r="M138" i="4"/>
  <c r="L138" i="4"/>
  <c r="K138" i="4"/>
  <c r="J138" i="4"/>
  <c r="I138" i="4"/>
  <c r="H138" i="4"/>
  <c r="AL137" i="4"/>
  <c r="AK137" i="4"/>
  <c r="AJ137" i="4"/>
  <c r="AI137" i="4"/>
  <c r="AH137" i="4"/>
  <c r="AG137" i="4"/>
  <c r="AB137" i="4"/>
  <c r="AA137" i="4"/>
  <c r="Z137" i="4"/>
  <c r="Y137" i="4"/>
  <c r="X137" i="4"/>
  <c r="W137" i="4"/>
  <c r="V137" i="4"/>
  <c r="U137" i="4"/>
  <c r="T137" i="4"/>
  <c r="S137" i="4"/>
  <c r="R137" i="4"/>
  <c r="Q137" i="4"/>
  <c r="P137" i="4"/>
  <c r="O137" i="4"/>
  <c r="N137" i="4"/>
  <c r="M137" i="4"/>
  <c r="L137" i="4"/>
  <c r="K137" i="4"/>
  <c r="J137" i="4"/>
  <c r="I137" i="4"/>
  <c r="H137" i="4"/>
  <c r="AL136" i="4"/>
  <c r="AK136" i="4"/>
  <c r="AJ136" i="4"/>
  <c r="AI136" i="4"/>
  <c r="AH136" i="4"/>
  <c r="AG136" i="4"/>
  <c r="AB136" i="4"/>
  <c r="AA136" i="4"/>
  <c r="Z136" i="4"/>
  <c r="Y136" i="4"/>
  <c r="X136" i="4"/>
  <c r="W136" i="4"/>
  <c r="V136" i="4"/>
  <c r="U136" i="4"/>
  <c r="T136" i="4"/>
  <c r="S136" i="4"/>
  <c r="R136" i="4"/>
  <c r="Q136" i="4"/>
  <c r="P136" i="4"/>
  <c r="O136" i="4"/>
  <c r="N136" i="4"/>
  <c r="M136" i="4"/>
  <c r="L136" i="4"/>
  <c r="K136" i="4"/>
  <c r="J136" i="4"/>
  <c r="I136" i="4"/>
  <c r="H136" i="4"/>
  <c r="AJ135" i="4"/>
  <c r="AI135" i="4"/>
  <c r="AH135" i="4"/>
  <c r="AG135" i="4"/>
  <c r="AB135" i="4"/>
  <c r="AA135" i="4"/>
  <c r="Z135" i="4"/>
  <c r="Y135" i="4"/>
  <c r="X135" i="4"/>
  <c r="W135" i="4"/>
  <c r="V135" i="4"/>
  <c r="U135" i="4"/>
  <c r="T135" i="4"/>
  <c r="S135" i="4"/>
  <c r="R135" i="4"/>
  <c r="Q135" i="4"/>
  <c r="P135" i="4"/>
  <c r="O135" i="4"/>
  <c r="N135" i="4"/>
  <c r="M135" i="4"/>
  <c r="L135" i="4"/>
  <c r="K135" i="4"/>
  <c r="J135" i="4"/>
  <c r="I135" i="4"/>
  <c r="H135" i="4"/>
  <c r="AL134" i="4"/>
  <c r="AK134" i="4"/>
  <c r="AJ134" i="4"/>
  <c r="AI134" i="4"/>
  <c r="AH134" i="4"/>
  <c r="AG134" i="4"/>
  <c r="AB134" i="4"/>
  <c r="AA134" i="4"/>
  <c r="Z134" i="4"/>
  <c r="Y134" i="4"/>
  <c r="X134" i="4"/>
  <c r="W134" i="4"/>
  <c r="V134" i="4"/>
  <c r="U134" i="4"/>
  <c r="T134" i="4"/>
  <c r="S134" i="4"/>
  <c r="R134" i="4"/>
  <c r="Q134" i="4"/>
  <c r="P134" i="4"/>
  <c r="O134" i="4"/>
  <c r="N134" i="4"/>
  <c r="M134" i="4"/>
  <c r="L134" i="4"/>
  <c r="K134" i="4"/>
  <c r="J134" i="4"/>
  <c r="I134" i="4"/>
  <c r="H134" i="4"/>
  <c r="AL133" i="4"/>
  <c r="AK133" i="4"/>
  <c r="AJ133" i="4"/>
  <c r="AI133" i="4"/>
  <c r="AH133" i="4"/>
  <c r="AG133" i="4"/>
  <c r="AB133" i="4"/>
  <c r="AA133" i="4"/>
  <c r="Z133" i="4"/>
  <c r="Y133" i="4"/>
  <c r="X133" i="4"/>
  <c r="W133" i="4"/>
  <c r="V133" i="4"/>
  <c r="U133" i="4"/>
  <c r="T133" i="4"/>
  <c r="S133" i="4"/>
  <c r="R133" i="4"/>
  <c r="Q133" i="4"/>
  <c r="P133" i="4"/>
  <c r="O133" i="4"/>
  <c r="N133" i="4"/>
  <c r="M133" i="4"/>
  <c r="L133" i="4"/>
  <c r="K133" i="4"/>
  <c r="J133" i="4"/>
  <c r="I133" i="4"/>
  <c r="H133" i="4"/>
  <c r="AL132" i="4"/>
  <c r="AK132" i="4"/>
  <c r="AJ132" i="4"/>
  <c r="AI132" i="4"/>
  <c r="AH132" i="4"/>
  <c r="AG132" i="4"/>
  <c r="AB132" i="4"/>
  <c r="AA132" i="4"/>
  <c r="Z132" i="4"/>
  <c r="Y132" i="4"/>
  <c r="X132" i="4"/>
  <c r="W132" i="4"/>
  <c r="V132" i="4"/>
  <c r="U132" i="4"/>
  <c r="T132" i="4"/>
  <c r="S132" i="4"/>
  <c r="R132" i="4"/>
  <c r="Q132" i="4"/>
  <c r="P132" i="4"/>
  <c r="O132" i="4"/>
  <c r="N132" i="4"/>
  <c r="M132" i="4"/>
  <c r="L132" i="4"/>
  <c r="K132" i="4"/>
  <c r="J132" i="4"/>
  <c r="I132" i="4"/>
  <c r="H132" i="4"/>
  <c r="AP131" i="4"/>
  <c r="AO131" i="4"/>
  <c r="AN131" i="4"/>
  <c r="AM131" i="4"/>
  <c r="AL131" i="4"/>
  <c r="AK131" i="4"/>
  <c r="AJ131" i="4"/>
  <c r="AI131" i="4"/>
  <c r="AH131" i="4"/>
  <c r="AG131" i="4"/>
  <c r="AB131" i="4"/>
  <c r="AA131" i="4"/>
  <c r="Z131" i="4"/>
  <c r="Y131" i="4"/>
  <c r="X131" i="4"/>
  <c r="W131" i="4"/>
  <c r="V131" i="4"/>
  <c r="U131" i="4"/>
  <c r="T131" i="4"/>
  <c r="S131" i="4"/>
  <c r="R131" i="4"/>
  <c r="Q131" i="4"/>
  <c r="P131" i="4"/>
  <c r="O131" i="4"/>
  <c r="N131" i="4"/>
  <c r="M131" i="4"/>
  <c r="L131" i="4"/>
  <c r="K131" i="4"/>
  <c r="J131" i="4"/>
  <c r="I131" i="4"/>
  <c r="H131" i="4"/>
  <c r="AR130" i="4"/>
  <c r="AQ130" i="4"/>
  <c r="AP130" i="4"/>
  <c r="AO130" i="4"/>
  <c r="AN130" i="4"/>
  <c r="AM130" i="4"/>
  <c r="AL130" i="4"/>
  <c r="AK130" i="4"/>
  <c r="AJ130" i="4"/>
  <c r="AI130" i="4"/>
  <c r="AH130" i="4"/>
  <c r="AG130" i="4"/>
  <c r="AB130" i="4"/>
  <c r="AA130" i="4"/>
  <c r="Z130" i="4"/>
  <c r="Y130" i="4"/>
  <c r="X130" i="4"/>
  <c r="W130" i="4"/>
  <c r="V130" i="4"/>
  <c r="U130" i="4"/>
  <c r="T130" i="4"/>
  <c r="S130" i="4"/>
  <c r="R130" i="4"/>
  <c r="Q130" i="4"/>
  <c r="P130" i="4"/>
  <c r="O130" i="4"/>
  <c r="N130" i="4"/>
  <c r="M130" i="4"/>
  <c r="L130" i="4"/>
  <c r="K130" i="4"/>
  <c r="J130" i="4"/>
  <c r="I130" i="4"/>
  <c r="H130" i="4"/>
  <c r="AR129" i="4"/>
  <c r="AQ129" i="4"/>
  <c r="AP129" i="4"/>
  <c r="AO129" i="4"/>
  <c r="AN129" i="4"/>
  <c r="AM129" i="4"/>
  <c r="AL129" i="4"/>
  <c r="AK129" i="4"/>
  <c r="AJ129" i="4"/>
  <c r="AI129" i="4"/>
  <c r="AH129" i="4"/>
  <c r="AG129" i="4"/>
  <c r="AB129" i="4"/>
  <c r="AA129" i="4"/>
  <c r="Z129" i="4"/>
  <c r="Y129" i="4"/>
  <c r="X129" i="4"/>
  <c r="W129" i="4"/>
  <c r="V129" i="4"/>
  <c r="U129" i="4"/>
  <c r="T129" i="4"/>
  <c r="S129" i="4"/>
  <c r="R129" i="4"/>
  <c r="Q129" i="4"/>
  <c r="P129" i="4"/>
  <c r="O129" i="4"/>
  <c r="N129" i="4"/>
  <c r="M129" i="4"/>
  <c r="L129" i="4"/>
  <c r="K129" i="4"/>
  <c r="J129" i="4"/>
  <c r="I129" i="4"/>
  <c r="H129" i="4"/>
  <c r="AN128" i="4"/>
  <c r="AM128" i="4"/>
  <c r="AL128" i="4"/>
  <c r="AK128" i="4"/>
  <c r="AJ128" i="4"/>
  <c r="AI128" i="4"/>
  <c r="AH128" i="4"/>
  <c r="AG128" i="4"/>
  <c r="AB128" i="4"/>
  <c r="AA128" i="4"/>
  <c r="Z128" i="4"/>
  <c r="Y128" i="4"/>
  <c r="X128" i="4"/>
  <c r="W128" i="4"/>
  <c r="V128" i="4"/>
  <c r="U128" i="4"/>
  <c r="T128" i="4"/>
  <c r="S128" i="4"/>
  <c r="R128" i="4"/>
  <c r="Q128" i="4"/>
  <c r="P128" i="4"/>
  <c r="O128" i="4"/>
  <c r="N128" i="4"/>
  <c r="M128" i="4"/>
  <c r="L128" i="4"/>
  <c r="K128" i="4"/>
  <c r="J128" i="4"/>
  <c r="I128" i="4"/>
  <c r="H128" i="4"/>
  <c r="AT127" i="4"/>
  <c r="AS127" i="4"/>
  <c r="AR127" i="4"/>
  <c r="AQ127" i="4"/>
  <c r="AP127" i="4"/>
  <c r="AO127" i="4"/>
  <c r="AN127" i="4"/>
  <c r="AM127" i="4"/>
  <c r="AL127" i="4"/>
  <c r="AK127" i="4"/>
  <c r="AJ127" i="4"/>
  <c r="AI127" i="4"/>
  <c r="AH127" i="4"/>
  <c r="AG127" i="4"/>
  <c r="AB127" i="4"/>
  <c r="AA127" i="4"/>
  <c r="Z127" i="4"/>
  <c r="Y127" i="4"/>
  <c r="X127" i="4"/>
  <c r="W127" i="4"/>
  <c r="V127" i="4"/>
  <c r="U127" i="4"/>
  <c r="T127" i="4"/>
  <c r="S127" i="4"/>
  <c r="R127" i="4"/>
  <c r="Q127" i="4"/>
  <c r="P127" i="4"/>
  <c r="O127" i="4"/>
  <c r="N127" i="4"/>
  <c r="M127" i="4"/>
  <c r="L127" i="4"/>
  <c r="K127" i="4"/>
  <c r="J127" i="4"/>
  <c r="I127" i="4"/>
  <c r="H127" i="4"/>
  <c r="AT126" i="4"/>
  <c r="AS126" i="4"/>
  <c r="AR126" i="4"/>
  <c r="AQ126" i="4"/>
  <c r="AP126" i="4"/>
  <c r="AO126" i="4"/>
  <c r="AN126" i="4"/>
  <c r="AM126" i="4"/>
  <c r="AL126" i="4"/>
  <c r="AK126" i="4"/>
  <c r="AJ126" i="4"/>
  <c r="AI126" i="4"/>
  <c r="AH126" i="4"/>
  <c r="AG126" i="4"/>
  <c r="AB126" i="4"/>
  <c r="AA126" i="4"/>
  <c r="Z126" i="4"/>
  <c r="Y126" i="4"/>
  <c r="X126" i="4"/>
  <c r="W126" i="4"/>
  <c r="V126" i="4"/>
  <c r="U126" i="4"/>
  <c r="T126" i="4"/>
  <c r="S126" i="4"/>
  <c r="R126" i="4"/>
  <c r="Q126" i="4"/>
  <c r="P126" i="4"/>
  <c r="O126" i="4"/>
  <c r="N126" i="4"/>
  <c r="M126" i="4"/>
  <c r="L126" i="4"/>
  <c r="K126" i="4"/>
  <c r="J126" i="4"/>
  <c r="I126" i="4"/>
  <c r="H126" i="4"/>
  <c r="AN125" i="4"/>
  <c r="AM125" i="4"/>
  <c r="AL125" i="4"/>
  <c r="AK125" i="4"/>
  <c r="AJ125" i="4"/>
  <c r="AI125" i="4"/>
  <c r="AH125" i="4"/>
  <c r="AG125" i="4"/>
  <c r="AB125" i="4"/>
  <c r="AA125" i="4"/>
  <c r="Z125" i="4"/>
  <c r="Y125" i="4"/>
  <c r="X125" i="4"/>
  <c r="W125" i="4"/>
  <c r="V125" i="4"/>
  <c r="U125" i="4"/>
  <c r="T125" i="4"/>
  <c r="S125" i="4"/>
  <c r="R125" i="4"/>
  <c r="Q125" i="4"/>
  <c r="P125" i="4"/>
  <c r="O125" i="4"/>
  <c r="N125" i="4"/>
  <c r="M125" i="4"/>
  <c r="L125" i="4"/>
  <c r="K125" i="4"/>
  <c r="J125" i="4"/>
  <c r="I125" i="4"/>
  <c r="H125" i="4"/>
  <c r="AL124" i="4"/>
  <c r="AK124" i="4"/>
  <c r="AJ124" i="4"/>
  <c r="AI124" i="4"/>
  <c r="AH124" i="4"/>
  <c r="AG124" i="4"/>
  <c r="AB124" i="4"/>
  <c r="AA124" i="4"/>
  <c r="Z124" i="4"/>
  <c r="Y124" i="4"/>
  <c r="X124" i="4"/>
  <c r="W124" i="4"/>
  <c r="V124" i="4"/>
  <c r="U124" i="4"/>
  <c r="T124" i="4"/>
  <c r="S124" i="4"/>
  <c r="R124" i="4"/>
  <c r="Q124" i="4"/>
  <c r="P124" i="4"/>
  <c r="O124" i="4"/>
  <c r="N124" i="4"/>
  <c r="M124" i="4"/>
  <c r="L124" i="4"/>
  <c r="K124" i="4"/>
  <c r="J124" i="4"/>
  <c r="I124" i="4"/>
  <c r="H124" i="4"/>
  <c r="AJ123" i="4"/>
  <c r="AI123" i="4"/>
  <c r="AH123" i="4"/>
  <c r="AG123" i="4"/>
  <c r="AB123" i="4"/>
  <c r="AA123" i="4"/>
  <c r="Z123" i="4"/>
  <c r="Y123" i="4"/>
  <c r="X123" i="4"/>
  <c r="W123" i="4"/>
  <c r="V123" i="4"/>
  <c r="U123" i="4"/>
  <c r="T123" i="4"/>
  <c r="S123" i="4"/>
  <c r="R123" i="4"/>
  <c r="Q123" i="4"/>
  <c r="P123" i="4"/>
  <c r="O123" i="4"/>
  <c r="N123" i="4"/>
  <c r="M123" i="4"/>
  <c r="L123" i="4"/>
  <c r="K123" i="4"/>
  <c r="J123" i="4"/>
  <c r="I123" i="4"/>
  <c r="H123" i="4"/>
  <c r="AP122" i="4"/>
  <c r="AO122" i="4"/>
  <c r="AN122" i="4"/>
  <c r="AM122" i="4"/>
  <c r="AL122" i="4"/>
  <c r="AK122" i="4"/>
  <c r="AJ122" i="4"/>
  <c r="AI122" i="4"/>
  <c r="AH122" i="4"/>
  <c r="AG122" i="4"/>
  <c r="AB122" i="4"/>
  <c r="AA122" i="4"/>
  <c r="Z122" i="4"/>
  <c r="Y122" i="4"/>
  <c r="X122" i="4"/>
  <c r="W122" i="4"/>
  <c r="V122" i="4"/>
  <c r="U122" i="4"/>
  <c r="T122" i="4"/>
  <c r="S122" i="4"/>
  <c r="R122" i="4"/>
  <c r="Q122" i="4"/>
  <c r="P122" i="4"/>
  <c r="O122" i="4"/>
  <c r="N122" i="4"/>
  <c r="M122" i="4"/>
  <c r="L122" i="4"/>
  <c r="K122" i="4"/>
  <c r="J122" i="4"/>
  <c r="I122" i="4"/>
  <c r="H122" i="4"/>
  <c r="AN121" i="4"/>
  <c r="AM121" i="4"/>
  <c r="AL121" i="4"/>
  <c r="AK121" i="4"/>
  <c r="AJ121" i="4"/>
  <c r="AI121" i="4"/>
  <c r="AH121" i="4"/>
  <c r="AG121" i="4"/>
  <c r="AB121" i="4"/>
  <c r="AA121" i="4"/>
  <c r="Z121" i="4"/>
  <c r="Y121" i="4"/>
  <c r="X121" i="4"/>
  <c r="W121" i="4"/>
  <c r="V121" i="4"/>
  <c r="U121" i="4"/>
  <c r="T121" i="4"/>
  <c r="S121" i="4"/>
  <c r="R121" i="4"/>
  <c r="Q121" i="4"/>
  <c r="P121" i="4"/>
  <c r="O121" i="4"/>
  <c r="N121" i="4"/>
  <c r="M121" i="4"/>
  <c r="L121" i="4"/>
  <c r="K121" i="4"/>
  <c r="J121" i="4"/>
  <c r="I121" i="4"/>
  <c r="H121" i="4"/>
  <c r="AL120" i="4"/>
  <c r="AK120" i="4"/>
  <c r="AJ120" i="4"/>
  <c r="AI120" i="4"/>
  <c r="AH120" i="4"/>
  <c r="AG120" i="4"/>
  <c r="AB120" i="4"/>
  <c r="AA120" i="4"/>
  <c r="Z120" i="4"/>
  <c r="Y120" i="4"/>
  <c r="X120" i="4"/>
  <c r="W120" i="4"/>
  <c r="V120" i="4"/>
  <c r="U120" i="4"/>
  <c r="T120" i="4"/>
  <c r="S120" i="4"/>
  <c r="R120" i="4"/>
  <c r="Q120" i="4"/>
  <c r="P120" i="4"/>
  <c r="O120" i="4"/>
  <c r="N120" i="4"/>
  <c r="M120" i="4"/>
  <c r="L120" i="4"/>
  <c r="K120" i="4"/>
  <c r="J120" i="4"/>
  <c r="I120" i="4"/>
  <c r="H120" i="4"/>
  <c r="AL119" i="4"/>
  <c r="AK119" i="4"/>
  <c r="AJ119" i="4"/>
  <c r="AI119" i="4"/>
  <c r="AH119" i="4"/>
  <c r="AG119" i="4"/>
  <c r="AB119" i="4"/>
  <c r="AA119" i="4"/>
  <c r="Z119" i="4"/>
  <c r="Y119" i="4"/>
  <c r="X119" i="4"/>
  <c r="W119" i="4"/>
  <c r="V119" i="4"/>
  <c r="U119" i="4"/>
  <c r="T119" i="4"/>
  <c r="S119" i="4"/>
  <c r="R119" i="4"/>
  <c r="Q119" i="4"/>
  <c r="P119" i="4"/>
  <c r="O119" i="4"/>
  <c r="N119" i="4"/>
  <c r="M119" i="4"/>
  <c r="L119" i="4"/>
  <c r="K119" i="4"/>
  <c r="J119" i="4"/>
  <c r="I119" i="4"/>
  <c r="H119" i="4"/>
  <c r="AL118" i="4"/>
  <c r="AK118" i="4"/>
  <c r="AJ118" i="4"/>
  <c r="AI118" i="4"/>
  <c r="AH118" i="4"/>
  <c r="AG118" i="4"/>
  <c r="AB118" i="4"/>
  <c r="AA118" i="4"/>
  <c r="Z118" i="4"/>
  <c r="Y118" i="4"/>
  <c r="X118" i="4"/>
  <c r="W118" i="4"/>
  <c r="V118" i="4"/>
  <c r="U118" i="4"/>
  <c r="T118" i="4"/>
  <c r="S118" i="4"/>
  <c r="R118" i="4"/>
  <c r="Q118" i="4"/>
  <c r="P118" i="4"/>
  <c r="O118" i="4"/>
  <c r="N118" i="4"/>
  <c r="M118" i="4"/>
  <c r="L118" i="4"/>
  <c r="K118" i="4"/>
  <c r="J118" i="4"/>
  <c r="I118" i="4"/>
  <c r="H118" i="4"/>
  <c r="AP117" i="4"/>
  <c r="AO117" i="4"/>
  <c r="AN117" i="4"/>
  <c r="AM117" i="4"/>
  <c r="AL117" i="4"/>
  <c r="AK117" i="4"/>
  <c r="AJ117" i="4"/>
  <c r="AI117" i="4"/>
  <c r="AH117" i="4"/>
  <c r="AG117" i="4"/>
  <c r="AB117" i="4"/>
  <c r="AA117" i="4"/>
  <c r="Z117" i="4"/>
  <c r="Y117" i="4"/>
  <c r="X117" i="4"/>
  <c r="W117" i="4"/>
  <c r="V117" i="4"/>
  <c r="U117" i="4"/>
  <c r="T117" i="4"/>
  <c r="S117" i="4"/>
  <c r="R117" i="4"/>
  <c r="Q117" i="4"/>
  <c r="P117" i="4"/>
  <c r="O117" i="4"/>
  <c r="N117" i="4"/>
  <c r="M117" i="4"/>
  <c r="L117" i="4"/>
  <c r="K117" i="4"/>
  <c r="J117" i="4"/>
  <c r="I117" i="4"/>
  <c r="H117" i="4"/>
  <c r="AL116" i="4"/>
  <c r="AK116" i="4"/>
  <c r="AJ116" i="4"/>
  <c r="AI116" i="4"/>
  <c r="AH116" i="4"/>
  <c r="AG116" i="4"/>
  <c r="AB116" i="4"/>
  <c r="AA116" i="4"/>
  <c r="Z116" i="4"/>
  <c r="Y116" i="4"/>
  <c r="X116" i="4"/>
  <c r="W116" i="4"/>
  <c r="V116" i="4"/>
  <c r="U116" i="4"/>
  <c r="T116" i="4"/>
  <c r="S116" i="4"/>
  <c r="R116" i="4"/>
  <c r="Q116" i="4"/>
  <c r="P116" i="4"/>
  <c r="O116" i="4"/>
  <c r="N116" i="4"/>
  <c r="M116" i="4"/>
  <c r="L116" i="4"/>
  <c r="K116" i="4"/>
  <c r="J116" i="4"/>
  <c r="I116" i="4"/>
  <c r="H116" i="4"/>
  <c r="AN115" i="4"/>
  <c r="AM115" i="4"/>
  <c r="AL115" i="4"/>
  <c r="AK115" i="4"/>
  <c r="AJ115" i="4"/>
  <c r="AI115" i="4"/>
  <c r="AH115" i="4"/>
  <c r="AG115" i="4"/>
  <c r="AB115" i="4"/>
  <c r="AA115" i="4"/>
  <c r="Z115" i="4"/>
  <c r="Y115" i="4"/>
  <c r="X115" i="4"/>
  <c r="W115" i="4"/>
  <c r="V115" i="4"/>
  <c r="U115" i="4"/>
  <c r="T115" i="4"/>
  <c r="S115" i="4"/>
  <c r="R115" i="4"/>
  <c r="Q115" i="4"/>
  <c r="P115" i="4"/>
  <c r="O115" i="4"/>
  <c r="N115" i="4"/>
  <c r="M115" i="4"/>
  <c r="L115" i="4"/>
  <c r="K115" i="4"/>
  <c r="J115" i="4"/>
  <c r="I115" i="4"/>
  <c r="H115" i="4"/>
  <c r="AN114" i="4"/>
  <c r="AM114" i="4"/>
  <c r="AL114" i="4"/>
  <c r="AK114" i="4"/>
  <c r="AJ114" i="4"/>
  <c r="AI114" i="4"/>
  <c r="AH114" i="4"/>
  <c r="AG114" i="4"/>
  <c r="AB114" i="4"/>
  <c r="AA114" i="4"/>
  <c r="Z114" i="4"/>
  <c r="Y114" i="4"/>
  <c r="X114" i="4"/>
  <c r="W114" i="4"/>
  <c r="V114" i="4"/>
  <c r="U114" i="4"/>
  <c r="T114" i="4"/>
  <c r="S114" i="4"/>
  <c r="R114" i="4"/>
  <c r="Q114" i="4"/>
  <c r="P114" i="4"/>
  <c r="O114" i="4"/>
  <c r="N114" i="4"/>
  <c r="M114" i="4"/>
  <c r="L114" i="4"/>
  <c r="K114" i="4"/>
  <c r="J114" i="4"/>
  <c r="I114" i="4"/>
  <c r="H114" i="4"/>
  <c r="AN113" i="4"/>
  <c r="AM113" i="4"/>
  <c r="AL113" i="4"/>
  <c r="AK113" i="4"/>
  <c r="AJ113" i="4"/>
  <c r="AI113" i="4"/>
  <c r="AH113" i="4"/>
  <c r="AG113" i="4"/>
  <c r="AB113" i="4"/>
  <c r="AA113" i="4"/>
  <c r="Z113" i="4"/>
  <c r="Y113" i="4"/>
  <c r="X113" i="4"/>
  <c r="W113" i="4"/>
  <c r="V113" i="4"/>
  <c r="U113" i="4"/>
  <c r="T113" i="4"/>
  <c r="S113" i="4"/>
  <c r="R113" i="4"/>
  <c r="Q113" i="4"/>
  <c r="P113" i="4"/>
  <c r="O113" i="4"/>
  <c r="N113" i="4"/>
  <c r="M113" i="4"/>
  <c r="L113" i="4"/>
  <c r="K113" i="4"/>
  <c r="J113" i="4"/>
  <c r="I113" i="4"/>
  <c r="H113" i="4"/>
  <c r="AP112" i="4"/>
  <c r="AO112" i="4"/>
  <c r="AN112" i="4"/>
  <c r="AM112" i="4"/>
  <c r="AL112" i="4"/>
  <c r="AK112" i="4"/>
  <c r="AJ112" i="4"/>
  <c r="AI112" i="4"/>
  <c r="AH112" i="4"/>
  <c r="AG112" i="4"/>
  <c r="AB112" i="4"/>
  <c r="AA112" i="4"/>
  <c r="Z112" i="4"/>
  <c r="Y112" i="4"/>
  <c r="X112" i="4"/>
  <c r="W112" i="4"/>
  <c r="V112" i="4"/>
  <c r="U112" i="4"/>
  <c r="T112" i="4"/>
  <c r="S112" i="4"/>
  <c r="R112" i="4"/>
  <c r="Q112" i="4"/>
  <c r="P112" i="4"/>
  <c r="O112" i="4"/>
  <c r="N112" i="4"/>
  <c r="M112" i="4"/>
  <c r="L112" i="4"/>
  <c r="K112" i="4"/>
  <c r="J112" i="4"/>
  <c r="I112" i="4"/>
  <c r="H112" i="4"/>
  <c r="AN111" i="4"/>
  <c r="AM111" i="4"/>
  <c r="AL111" i="4"/>
  <c r="AK111" i="4"/>
  <c r="AJ111" i="4"/>
  <c r="AI111" i="4"/>
  <c r="AH111" i="4"/>
  <c r="AG111" i="4"/>
  <c r="AB111" i="4"/>
  <c r="AA111" i="4"/>
  <c r="Z111" i="4"/>
  <c r="Y111" i="4"/>
  <c r="X111" i="4"/>
  <c r="W111" i="4"/>
  <c r="V111" i="4"/>
  <c r="U111" i="4"/>
  <c r="T111" i="4"/>
  <c r="S111" i="4"/>
  <c r="R111" i="4"/>
  <c r="Q111" i="4"/>
  <c r="P111" i="4"/>
  <c r="O111" i="4"/>
  <c r="N111" i="4"/>
  <c r="M111" i="4"/>
  <c r="L111" i="4"/>
  <c r="K111" i="4"/>
  <c r="J111" i="4"/>
  <c r="I111" i="4"/>
  <c r="H111" i="4"/>
  <c r="AP110" i="4"/>
  <c r="AO110" i="4"/>
  <c r="AN110" i="4"/>
  <c r="AM110" i="4"/>
  <c r="AL110" i="4"/>
  <c r="AK110" i="4"/>
  <c r="AJ110" i="4"/>
  <c r="AI110" i="4"/>
  <c r="AH110" i="4"/>
  <c r="AG110" i="4"/>
  <c r="AB110" i="4"/>
  <c r="AA110" i="4"/>
  <c r="Z110" i="4"/>
  <c r="Y110" i="4"/>
  <c r="X110" i="4"/>
  <c r="W110" i="4"/>
  <c r="V110" i="4"/>
  <c r="U110" i="4"/>
  <c r="T110" i="4"/>
  <c r="S110" i="4"/>
  <c r="R110" i="4"/>
  <c r="Q110" i="4"/>
  <c r="P110" i="4"/>
  <c r="O110" i="4"/>
  <c r="N110" i="4"/>
  <c r="M110" i="4"/>
  <c r="L110" i="4"/>
  <c r="K110" i="4"/>
  <c r="J110" i="4"/>
  <c r="I110" i="4"/>
  <c r="H110" i="4"/>
  <c r="AP109" i="4"/>
  <c r="AO109" i="4"/>
  <c r="AN109" i="4"/>
  <c r="AM109" i="4"/>
  <c r="AL109" i="4"/>
  <c r="AK109" i="4"/>
  <c r="AJ109" i="4"/>
  <c r="AI109" i="4"/>
  <c r="AH109" i="4"/>
  <c r="AG109" i="4"/>
  <c r="AB109" i="4"/>
  <c r="AA109" i="4"/>
  <c r="Z109" i="4"/>
  <c r="Y109" i="4"/>
  <c r="X109" i="4"/>
  <c r="W109" i="4"/>
  <c r="V109" i="4"/>
  <c r="U109" i="4"/>
  <c r="T109" i="4"/>
  <c r="S109" i="4"/>
  <c r="R109" i="4"/>
  <c r="Q109" i="4"/>
  <c r="P109" i="4"/>
  <c r="O109" i="4"/>
  <c r="N109" i="4"/>
  <c r="M109" i="4"/>
  <c r="L109" i="4"/>
  <c r="K109" i="4"/>
  <c r="J109" i="4"/>
  <c r="I109" i="4"/>
  <c r="H109" i="4"/>
  <c r="AP108" i="4"/>
  <c r="AO108" i="4"/>
  <c r="AN108" i="4"/>
  <c r="AM108" i="4"/>
  <c r="AL108" i="4"/>
  <c r="AK108" i="4"/>
  <c r="AJ108" i="4"/>
  <c r="AI108" i="4"/>
  <c r="AH108" i="4"/>
  <c r="AG108" i="4"/>
  <c r="AB108" i="4"/>
  <c r="AA108" i="4"/>
  <c r="Z108" i="4"/>
  <c r="Y108" i="4"/>
  <c r="X108" i="4"/>
  <c r="W108" i="4"/>
  <c r="V108" i="4"/>
  <c r="U108" i="4"/>
  <c r="T108" i="4"/>
  <c r="S108" i="4"/>
  <c r="R108" i="4"/>
  <c r="Q108" i="4"/>
  <c r="P108" i="4"/>
  <c r="O108" i="4"/>
  <c r="N108" i="4"/>
  <c r="M108" i="4"/>
  <c r="L108" i="4"/>
  <c r="K108" i="4"/>
  <c r="J108" i="4"/>
  <c r="I108" i="4"/>
  <c r="H108" i="4"/>
  <c r="AP107" i="4"/>
  <c r="AO107" i="4"/>
  <c r="AN107" i="4"/>
  <c r="AM107" i="4"/>
  <c r="AL107" i="4"/>
  <c r="AK107" i="4"/>
  <c r="AJ107" i="4"/>
  <c r="AI107" i="4"/>
  <c r="AH107" i="4"/>
  <c r="AG107" i="4"/>
  <c r="AB107" i="4"/>
  <c r="AA107" i="4"/>
  <c r="Z107" i="4"/>
  <c r="Y107" i="4"/>
  <c r="X107" i="4"/>
  <c r="W107" i="4"/>
  <c r="V107" i="4"/>
  <c r="U107" i="4"/>
  <c r="T107" i="4"/>
  <c r="S107" i="4"/>
  <c r="R107" i="4"/>
  <c r="Q107" i="4"/>
  <c r="P107" i="4"/>
  <c r="O107" i="4"/>
  <c r="N107" i="4"/>
  <c r="M107" i="4"/>
  <c r="L107" i="4"/>
  <c r="K107" i="4"/>
  <c r="J107" i="4"/>
  <c r="I107" i="4"/>
  <c r="H107" i="4"/>
  <c r="AL106" i="4"/>
  <c r="AK106" i="4"/>
  <c r="AJ106" i="4"/>
  <c r="AI106" i="4"/>
  <c r="AH106" i="4"/>
  <c r="AG106" i="4"/>
  <c r="AB106" i="4"/>
  <c r="AA106" i="4"/>
  <c r="Z106" i="4"/>
  <c r="Y106" i="4"/>
  <c r="X106" i="4"/>
  <c r="W106" i="4"/>
  <c r="V106" i="4"/>
  <c r="U106" i="4"/>
  <c r="T106" i="4"/>
  <c r="S106" i="4"/>
  <c r="R106" i="4"/>
  <c r="Q106" i="4"/>
  <c r="P106" i="4"/>
  <c r="O106" i="4"/>
  <c r="N106" i="4"/>
  <c r="M106" i="4"/>
  <c r="L106" i="4"/>
  <c r="K106" i="4"/>
  <c r="J106" i="4"/>
  <c r="I106" i="4"/>
  <c r="H106" i="4"/>
  <c r="AL105" i="4"/>
  <c r="AK105" i="4"/>
  <c r="AJ105" i="4"/>
  <c r="AI105" i="4"/>
  <c r="AH105" i="4"/>
  <c r="AG105" i="4"/>
  <c r="AB105" i="4"/>
  <c r="AA105" i="4"/>
  <c r="Z105" i="4"/>
  <c r="Y105" i="4"/>
  <c r="X105" i="4"/>
  <c r="W105" i="4"/>
  <c r="V105" i="4"/>
  <c r="U105" i="4"/>
  <c r="T105" i="4"/>
  <c r="S105" i="4"/>
  <c r="R105" i="4"/>
  <c r="Q105" i="4"/>
  <c r="P105" i="4"/>
  <c r="O105" i="4"/>
  <c r="N105" i="4"/>
  <c r="M105" i="4"/>
  <c r="L105" i="4"/>
  <c r="K105" i="4"/>
  <c r="J105" i="4"/>
  <c r="I105" i="4"/>
  <c r="H105" i="4"/>
  <c r="AL104" i="4"/>
  <c r="AK104" i="4"/>
  <c r="AJ104" i="4"/>
  <c r="AI104" i="4"/>
  <c r="AH104" i="4"/>
  <c r="AG104" i="4"/>
  <c r="AB104" i="4"/>
  <c r="AA104" i="4"/>
  <c r="Z104" i="4"/>
  <c r="Y104" i="4"/>
  <c r="X104" i="4"/>
  <c r="W104" i="4"/>
  <c r="V104" i="4"/>
  <c r="U104" i="4"/>
  <c r="T104" i="4"/>
  <c r="S104" i="4"/>
  <c r="R104" i="4"/>
  <c r="Q104" i="4"/>
  <c r="P104" i="4"/>
  <c r="O104" i="4"/>
  <c r="N104" i="4"/>
  <c r="M104" i="4"/>
  <c r="L104" i="4"/>
  <c r="K104" i="4"/>
  <c r="J104" i="4"/>
  <c r="I104" i="4"/>
  <c r="H104" i="4"/>
  <c r="AN103" i="4"/>
  <c r="AM103" i="4"/>
  <c r="AL103" i="4"/>
  <c r="AK103" i="4"/>
  <c r="AJ103" i="4"/>
  <c r="AI103" i="4"/>
  <c r="AH103" i="4"/>
  <c r="AG103" i="4"/>
  <c r="AB103" i="4"/>
  <c r="AA103" i="4"/>
  <c r="Z103" i="4"/>
  <c r="Y103" i="4"/>
  <c r="X103" i="4"/>
  <c r="W103" i="4"/>
  <c r="V103" i="4"/>
  <c r="U103" i="4"/>
  <c r="T103" i="4"/>
  <c r="S103" i="4"/>
  <c r="R103" i="4"/>
  <c r="Q103" i="4"/>
  <c r="P103" i="4"/>
  <c r="O103" i="4"/>
  <c r="N103" i="4"/>
  <c r="M103" i="4"/>
  <c r="L103" i="4"/>
  <c r="K103" i="4"/>
  <c r="J103" i="4"/>
  <c r="I103" i="4"/>
  <c r="H103" i="4"/>
  <c r="AJ102" i="4"/>
  <c r="AI102" i="4"/>
  <c r="AH102" i="4"/>
  <c r="AG102" i="4"/>
  <c r="AB102" i="4"/>
  <c r="AA102" i="4"/>
  <c r="Z102" i="4"/>
  <c r="Y102" i="4"/>
  <c r="X102" i="4"/>
  <c r="W102" i="4"/>
  <c r="V102" i="4"/>
  <c r="U102" i="4"/>
  <c r="T102" i="4"/>
  <c r="S102" i="4"/>
  <c r="R102" i="4"/>
  <c r="Q102" i="4"/>
  <c r="P102" i="4"/>
  <c r="O102" i="4"/>
  <c r="N102" i="4"/>
  <c r="M102" i="4"/>
  <c r="L102" i="4"/>
  <c r="K102" i="4"/>
  <c r="J102" i="4"/>
  <c r="I102" i="4"/>
  <c r="H102" i="4"/>
  <c r="AJ101" i="4"/>
  <c r="AI101" i="4"/>
  <c r="AH101" i="4"/>
  <c r="AG101" i="4"/>
  <c r="AB101" i="4"/>
  <c r="AA101" i="4"/>
  <c r="Z101" i="4"/>
  <c r="Y101" i="4"/>
  <c r="X101" i="4"/>
  <c r="W101" i="4"/>
  <c r="V101" i="4"/>
  <c r="U101" i="4"/>
  <c r="T101" i="4"/>
  <c r="S101" i="4"/>
  <c r="R101" i="4"/>
  <c r="Q101" i="4"/>
  <c r="P101" i="4"/>
  <c r="O101" i="4"/>
  <c r="N101" i="4"/>
  <c r="M101" i="4"/>
  <c r="L101" i="4"/>
  <c r="K101" i="4"/>
  <c r="J101" i="4"/>
  <c r="I101" i="4"/>
  <c r="H101" i="4"/>
  <c r="AH100" i="4"/>
  <c r="AG100" i="4"/>
  <c r="AB100" i="4"/>
  <c r="AA100" i="4"/>
  <c r="Z100" i="4"/>
  <c r="Y100" i="4"/>
  <c r="X100" i="4"/>
  <c r="W100" i="4"/>
  <c r="V100" i="4"/>
  <c r="U100" i="4"/>
  <c r="T100" i="4"/>
  <c r="S100" i="4"/>
  <c r="R100" i="4"/>
  <c r="Q100" i="4"/>
  <c r="P100" i="4"/>
  <c r="O100" i="4"/>
  <c r="N100" i="4"/>
  <c r="M100" i="4"/>
  <c r="L100" i="4"/>
  <c r="K100" i="4"/>
  <c r="J100" i="4"/>
  <c r="I100" i="4"/>
  <c r="H100" i="4"/>
  <c r="AJ99" i="4"/>
  <c r="AI99" i="4"/>
  <c r="AH99" i="4"/>
  <c r="AG99" i="4"/>
  <c r="AB99" i="4"/>
  <c r="AA99" i="4"/>
  <c r="Z99" i="4"/>
  <c r="Y99" i="4"/>
  <c r="X99" i="4"/>
  <c r="W99" i="4"/>
  <c r="V99" i="4"/>
  <c r="U99" i="4"/>
  <c r="T99" i="4"/>
  <c r="S99" i="4"/>
  <c r="R99" i="4"/>
  <c r="Q99" i="4"/>
  <c r="P99" i="4"/>
  <c r="O99" i="4"/>
  <c r="N99" i="4"/>
  <c r="M99" i="4"/>
  <c r="L99" i="4"/>
  <c r="K99" i="4"/>
  <c r="J99" i="4"/>
  <c r="I99" i="4"/>
  <c r="H99" i="4"/>
  <c r="AH98" i="4"/>
  <c r="AG98" i="4"/>
  <c r="AB98" i="4"/>
  <c r="AA98" i="4"/>
  <c r="Z98" i="4"/>
  <c r="Y98" i="4"/>
  <c r="X98" i="4"/>
  <c r="W98" i="4"/>
  <c r="V98" i="4"/>
  <c r="U98" i="4"/>
  <c r="T98" i="4"/>
  <c r="S98" i="4"/>
  <c r="R98" i="4"/>
  <c r="Q98" i="4"/>
  <c r="P98" i="4"/>
  <c r="O98" i="4"/>
  <c r="N98" i="4"/>
  <c r="M98" i="4"/>
  <c r="L98" i="4"/>
  <c r="K98" i="4"/>
  <c r="J98" i="4"/>
  <c r="I98" i="4"/>
  <c r="H98" i="4"/>
  <c r="AL97" i="4"/>
  <c r="AK97" i="4"/>
  <c r="AJ97" i="4"/>
  <c r="AI97" i="4"/>
  <c r="AH97" i="4"/>
  <c r="AG97" i="4"/>
  <c r="AB97" i="4"/>
  <c r="AA97" i="4"/>
  <c r="Z97" i="4"/>
  <c r="Y97" i="4"/>
  <c r="X97" i="4"/>
  <c r="W97" i="4"/>
  <c r="V97" i="4"/>
  <c r="U97" i="4"/>
  <c r="T97" i="4"/>
  <c r="S97" i="4"/>
  <c r="R97" i="4"/>
  <c r="Q97" i="4"/>
  <c r="P97" i="4"/>
  <c r="O97" i="4"/>
  <c r="N97" i="4"/>
  <c r="M97" i="4"/>
  <c r="L97" i="4"/>
  <c r="K97" i="4"/>
  <c r="J97" i="4"/>
  <c r="I97" i="4"/>
  <c r="H97" i="4"/>
  <c r="AJ96" i="4"/>
  <c r="AI96" i="4"/>
  <c r="AH96" i="4"/>
  <c r="AG96" i="4"/>
  <c r="AB96" i="4"/>
  <c r="AA96" i="4"/>
  <c r="Z96" i="4"/>
  <c r="Y96" i="4"/>
  <c r="X96" i="4"/>
  <c r="W96" i="4"/>
  <c r="V96" i="4"/>
  <c r="U96" i="4"/>
  <c r="T96" i="4"/>
  <c r="S96" i="4"/>
  <c r="R96" i="4"/>
  <c r="Q96" i="4"/>
  <c r="P96" i="4"/>
  <c r="O96" i="4"/>
  <c r="N96" i="4"/>
  <c r="M96" i="4"/>
  <c r="L96" i="4"/>
  <c r="K96" i="4"/>
  <c r="J96" i="4"/>
  <c r="I96" i="4"/>
  <c r="H96" i="4"/>
  <c r="AL95" i="4"/>
  <c r="AK95" i="4"/>
  <c r="AJ95" i="4"/>
  <c r="AI95" i="4"/>
  <c r="AH95" i="4"/>
  <c r="AG95" i="4"/>
  <c r="AB95" i="4"/>
  <c r="AA95" i="4"/>
  <c r="Z95" i="4"/>
  <c r="Y95" i="4"/>
  <c r="X95" i="4"/>
  <c r="W95" i="4"/>
  <c r="V95" i="4"/>
  <c r="U95" i="4"/>
  <c r="T95" i="4"/>
  <c r="S95" i="4"/>
  <c r="R95" i="4"/>
  <c r="Q95" i="4"/>
  <c r="P95" i="4"/>
  <c r="O95" i="4"/>
  <c r="N95" i="4"/>
  <c r="M95" i="4"/>
  <c r="L95" i="4"/>
  <c r="K95" i="4"/>
  <c r="J95" i="4"/>
  <c r="I95" i="4"/>
  <c r="H95" i="4"/>
  <c r="AN94" i="4"/>
  <c r="AM94" i="4"/>
  <c r="AL94" i="4"/>
  <c r="AK94" i="4"/>
  <c r="AJ94" i="4"/>
  <c r="AI94" i="4"/>
  <c r="AH94" i="4"/>
  <c r="AG94" i="4"/>
  <c r="AB94" i="4"/>
  <c r="AA94" i="4"/>
  <c r="Z94" i="4"/>
  <c r="Y94" i="4"/>
  <c r="X94" i="4"/>
  <c r="W94" i="4"/>
  <c r="V94" i="4"/>
  <c r="U94" i="4"/>
  <c r="T94" i="4"/>
  <c r="S94" i="4"/>
  <c r="R94" i="4"/>
  <c r="Q94" i="4"/>
  <c r="P94" i="4"/>
  <c r="O94" i="4"/>
  <c r="N94" i="4"/>
  <c r="M94" i="4"/>
  <c r="L94" i="4"/>
  <c r="K94" i="4"/>
  <c r="J94" i="4"/>
  <c r="I94" i="4"/>
  <c r="H94" i="4"/>
  <c r="AH93" i="4"/>
  <c r="AG93" i="4"/>
  <c r="AB93" i="4"/>
  <c r="AA93" i="4"/>
  <c r="Z93" i="4"/>
  <c r="Y93" i="4"/>
  <c r="X93" i="4"/>
  <c r="W93" i="4"/>
  <c r="V93" i="4"/>
  <c r="U93" i="4"/>
  <c r="T93" i="4"/>
  <c r="S93" i="4"/>
  <c r="R93" i="4"/>
  <c r="Q93" i="4"/>
  <c r="P93" i="4"/>
  <c r="O93" i="4"/>
  <c r="N93" i="4"/>
  <c r="M93" i="4"/>
  <c r="L93" i="4"/>
  <c r="K93" i="4"/>
  <c r="J93" i="4"/>
  <c r="I93" i="4"/>
  <c r="H93" i="4"/>
  <c r="AH92" i="4"/>
  <c r="AG92" i="4"/>
  <c r="AB92" i="4"/>
  <c r="AA92" i="4"/>
  <c r="Z92" i="4"/>
  <c r="Y92" i="4"/>
  <c r="X92" i="4"/>
  <c r="W92" i="4"/>
  <c r="V92" i="4"/>
  <c r="U92" i="4"/>
  <c r="T92" i="4"/>
  <c r="S92" i="4"/>
  <c r="R92" i="4"/>
  <c r="Q92" i="4"/>
  <c r="P92" i="4"/>
  <c r="O92" i="4"/>
  <c r="N92" i="4"/>
  <c r="M92" i="4"/>
  <c r="L92" i="4"/>
  <c r="K92" i="4"/>
  <c r="J92" i="4"/>
  <c r="I92" i="4"/>
  <c r="H92" i="4"/>
  <c r="AL91" i="4"/>
  <c r="AK91" i="4"/>
  <c r="AJ91" i="4"/>
  <c r="AI91" i="4"/>
  <c r="AH91" i="4"/>
  <c r="AG91" i="4"/>
  <c r="AB91" i="4"/>
  <c r="AA91" i="4"/>
  <c r="Z91" i="4"/>
  <c r="Y91" i="4"/>
  <c r="X91" i="4"/>
  <c r="W91" i="4"/>
  <c r="V91" i="4"/>
  <c r="U91" i="4"/>
  <c r="T91" i="4"/>
  <c r="S91" i="4"/>
  <c r="R91" i="4"/>
  <c r="Q91" i="4"/>
  <c r="P91" i="4"/>
  <c r="O91" i="4"/>
  <c r="N91" i="4"/>
  <c r="M91" i="4"/>
  <c r="L91" i="4"/>
  <c r="K91" i="4"/>
  <c r="J91" i="4"/>
  <c r="I91" i="4"/>
  <c r="H91" i="4"/>
  <c r="AN90" i="4"/>
  <c r="AM90" i="4"/>
  <c r="AL90" i="4"/>
  <c r="AK90" i="4"/>
  <c r="AJ90" i="4"/>
  <c r="AI90" i="4"/>
  <c r="AH90" i="4"/>
  <c r="AG90" i="4"/>
  <c r="AB90" i="4"/>
  <c r="AA90" i="4"/>
  <c r="Z90" i="4"/>
  <c r="Y90" i="4"/>
  <c r="X90" i="4"/>
  <c r="W90" i="4"/>
  <c r="V90" i="4"/>
  <c r="U90" i="4"/>
  <c r="T90" i="4"/>
  <c r="S90" i="4"/>
  <c r="R90" i="4"/>
  <c r="Q90" i="4"/>
  <c r="P90" i="4"/>
  <c r="O90" i="4"/>
  <c r="N90" i="4"/>
  <c r="M90" i="4"/>
  <c r="L90" i="4"/>
  <c r="K90" i="4"/>
  <c r="J90" i="4"/>
  <c r="I90" i="4"/>
  <c r="H90" i="4"/>
  <c r="AJ89" i="4"/>
  <c r="AI89" i="4"/>
  <c r="AH89" i="4"/>
  <c r="AG89" i="4"/>
  <c r="AB89" i="4"/>
  <c r="AA89" i="4"/>
  <c r="Z89" i="4"/>
  <c r="Y89" i="4"/>
  <c r="X89" i="4"/>
  <c r="W89" i="4"/>
  <c r="V89" i="4"/>
  <c r="U89" i="4"/>
  <c r="T89" i="4"/>
  <c r="S89" i="4"/>
  <c r="R89" i="4"/>
  <c r="Q89" i="4"/>
  <c r="P89" i="4"/>
  <c r="O89" i="4"/>
  <c r="N89" i="4"/>
  <c r="M89" i="4"/>
  <c r="L89" i="4"/>
  <c r="K89" i="4"/>
  <c r="J89" i="4"/>
  <c r="I89" i="4"/>
  <c r="H89" i="4"/>
  <c r="AJ88" i="4"/>
  <c r="AI88" i="4"/>
  <c r="AH88" i="4"/>
  <c r="AG88" i="4"/>
  <c r="AB88" i="4"/>
  <c r="AA88" i="4"/>
  <c r="Z88" i="4"/>
  <c r="Y88" i="4"/>
  <c r="X88" i="4"/>
  <c r="W88" i="4"/>
  <c r="V88" i="4"/>
  <c r="U88" i="4"/>
  <c r="T88" i="4"/>
  <c r="S88" i="4"/>
  <c r="R88" i="4"/>
  <c r="Q88" i="4"/>
  <c r="P88" i="4"/>
  <c r="O88" i="4"/>
  <c r="N88" i="4"/>
  <c r="M88" i="4"/>
  <c r="L88" i="4"/>
  <c r="K88" i="4"/>
  <c r="J88" i="4"/>
  <c r="I88" i="4"/>
  <c r="H88" i="4"/>
  <c r="AL87" i="4"/>
  <c r="AK87" i="4"/>
  <c r="AJ87" i="4"/>
  <c r="AI87" i="4"/>
  <c r="AH87" i="4"/>
  <c r="AG87" i="4"/>
  <c r="AB87" i="4"/>
  <c r="AA87" i="4"/>
  <c r="Z87" i="4"/>
  <c r="Y87" i="4"/>
  <c r="X87" i="4"/>
  <c r="W87" i="4"/>
  <c r="V87" i="4"/>
  <c r="U87" i="4"/>
  <c r="T87" i="4"/>
  <c r="S87" i="4"/>
  <c r="R87" i="4"/>
  <c r="Q87" i="4"/>
  <c r="P87" i="4"/>
  <c r="O87" i="4"/>
  <c r="N87" i="4"/>
  <c r="M87" i="4"/>
  <c r="L87" i="4"/>
  <c r="K87" i="4"/>
  <c r="J87" i="4"/>
  <c r="I87" i="4"/>
  <c r="H87" i="4"/>
  <c r="AL86" i="4"/>
  <c r="AK86" i="4"/>
  <c r="AJ86" i="4"/>
  <c r="AI86" i="4"/>
  <c r="AH86" i="4"/>
  <c r="AG86" i="4"/>
  <c r="AB86" i="4"/>
  <c r="AA86" i="4"/>
  <c r="Z86" i="4"/>
  <c r="Y86" i="4"/>
  <c r="X86" i="4"/>
  <c r="W86" i="4"/>
  <c r="V86" i="4"/>
  <c r="U86" i="4"/>
  <c r="T86" i="4"/>
  <c r="S86" i="4"/>
  <c r="R86" i="4"/>
  <c r="Q86" i="4"/>
  <c r="P86" i="4"/>
  <c r="O86" i="4"/>
  <c r="N86" i="4"/>
  <c r="M86" i="4"/>
  <c r="L86" i="4"/>
  <c r="K86" i="4"/>
  <c r="J86" i="4"/>
  <c r="I86" i="4"/>
  <c r="H86" i="4"/>
  <c r="AL85" i="4"/>
  <c r="AK85" i="4"/>
  <c r="AJ85" i="4"/>
  <c r="AI85" i="4"/>
  <c r="AH85" i="4"/>
  <c r="AG85" i="4"/>
  <c r="AB85" i="4"/>
  <c r="AA85" i="4"/>
  <c r="Z85" i="4"/>
  <c r="Y85" i="4"/>
  <c r="X85" i="4"/>
  <c r="W85" i="4"/>
  <c r="V85" i="4"/>
  <c r="U85" i="4"/>
  <c r="T85" i="4"/>
  <c r="S85" i="4"/>
  <c r="R85" i="4"/>
  <c r="Q85" i="4"/>
  <c r="P85" i="4"/>
  <c r="O85" i="4"/>
  <c r="N85" i="4"/>
  <c r="M85" i="4"/>
  <c r="L85" i="4"/>
  <c r="K85" i="4"/>
  <c r="J85" i="4"/>
  <c r="I85" i="4"/>
  <c r="H85" i="4"/>
  <c r="AL84" i="4"/>
  <c r="AK84" i="4"/>
  <c r="AJ84" i="4"/>
  <c r="AI84" i="4"/>
  <c r="AH84" i="4"/>
  <c r="AG84" i="4"/>
  <c r="AB84" i="4"/>
  <c r="AA84" i="4"/>
  <c r="Z84" i="4"/>
  <c r="Y84" i="4"/>
  <c r="X84" i="4"/>
  <c r="W84" i="4"/>
  <c r="V84" i="4"/>
  <c r="U84" i="4"/>
  <c r="T84" i="4"/>
  <c r="S84" i="4"/>
  <c r="R84" i="4"/>
  <c r="Q84" i="4"/>
  <c r="P84" i="4"/>
  <c r="O84" i="4"/>
  <c r="N84" i="4"/>
  <c r="M84" i="4"/>
  <c r="L84" i="4"/>
  <c r="K84" i="4"/>
  <c r="J84" i="4"/>
  <c r="I84" i="4"/>
  <c r="H84" i="4"/>
  <c r="AJ83" i="4"/>
  <c r="AI83" i="4"/>
  <c r="AH83" i="4"/>
  <c r="AG83" i="4"/>
  <c r="AB83" i="4"/>
  <c r="AA83" i="4"/>
  <c r="Z83" i="4"/>
  <c r="Y83" i="4"/>
  <c r="X83" i="4"/>
  <c r="W83" i="4"/>
  <c r="V83" i="4"/>
  <c r="U83" i="4"/>
  <c r="T83" i="4"/>
  <c r="S83" i="4"/>
  <c r="R83" i="4"/>
  <c r="Q83" i="4"/>
  <c r="P83" i="4"/>
  <c r="O83" i="4"/>
  <c r="N83" i="4"/>
  <c r="M83" i="4"/>
  <c r="L83" i="4"/>
  <c r="K83" i="4"/>
  <c r="J83" i="4"/>
  <c r="I83" i="4"/>
  <c r="H83" i="4"/>
  <c r="AL82" i="4"/>
  <c r="AK82" i="4"/>
  <c r="AJ82" i="4"/>
  <c r="AI82" i="4"/>
  <c r="AH82" i="4"/>
  <c r="AG82" i="4"/>
  <c r="AB82" i="4"/>
  <c r="AA82" i="4"/>
  <c r="Z82" i="4"/>
  <c r="Y82" i="4"/>
  <c r="X82" i="4"/>
  <c r="W82" i="4"/>
  <c r="V82" i="4"/>
  <c r="U82" i="4"/>
  <c r="T82" i="4"/>
  <c r="S82" i="4"/>
  <c r="R82" i="4"/>
  <c r="Q82" i="4"/>
  <c r="P82" i="4"/>
  <c r="O82" i="4"/>
  <c r="N82" i="4"/>
  <c r="M82" i="4"/>
  <c r="L82" i="4"/>
  <c r="K82" i="4"/>
  <c r="J82" i="4"/>
  <c r="I82" i="4"/>
  <c r="H82" i="4"/>
  <c r="AL81" i="4"/>
  <c r="AK81" i="4"/>
  <c r="AJ81" i="4"/>
  <c r="AI81" i="4"/>
  <c r="AH81" i="4"/>
  <c r="AG81" i="4"/>
  <c r="AB81" i="4"/>
  <c r="AA81" i="4"/>
  <c r="Z81" i="4"/>
  <c r="Y81" i="4"/>
  <c r="X81" i="4"/>
  <c r="W81" i="4"/>
  <c r="V81" i="4"/>
  <c r="U81" i="4"/>
  <c r="T81" i="4"/>
  <c r="S81" i="4"/>
  <c r="R81" i="4"/>
  <c r="Q81" i="4"/>
  <c r="P81" i="4"/>
  <c r="O81" i="4"/>
  <c r="N81" i="4"/>
  <c r="M81" i="4"/>
  <c r="L81" i="4"/>
  <c r="K81" i="4"/>
  <c r="J81" i="4"/>
  <c r="I81" i="4"/>
  <c r="H81" i="4"/>
  <c r="AL80" i="4"/>
  <c r="AK80" i="4"/>
  <c r="AJ80" i="4"/>
  <c r="AI80" i="4"/>
  <c r="AH80" i="4"/>
  <c r="AG80" i="4"/>
  <c r="AB80" i="4"/>
  <c r="AA80" i="4"/>
  <c r="Z80" i="4"/>
  <c r="Y80" i="4"/>
  <c r="X80" i="4"/>
  <c r="W80" i="4"/>
  <c r="V80" i="4"/>
  <c r="U80" i="4"/>
  <c r="T80" i="4"/>
  <c r="S80" i="4"/>
  <c r="R80" i="4"/>
  <c r="Q80" i="4"/>
  <c r="P80" i="4"/>
  <c r="O80" i="4"/>
  <c r="N80" i="4"/>
  <c r="M80" i="4"/>
  <c r="L80" i="4"/>
  <c r="K80" i="4"/>
  <c r="J80" i="4"/>
  <c r="I80" i="4"/>
  <c r="H80" i="4"/>
  <c r="AL79" i="4"/>
  <c r="AK79" i="4"/>
  <c r="AJ79" i="4"/>
  <c r="AI79" i="4"/>
  <c r="AH79" i="4"/>
  <c r="AG79" i="4"/>
  <c r="AB79" i="4"/>
  <c r="AA79" i="4"/>
  <c r="Z79" i="4"/>
  <c r="Y79" i="4"/>
  <c r="X79" i="4"/>
  <c r="W79" i="4"/>
  <c r="V79" i="4"/>
  <c r="U79" i="4"/>
  <c r="T79" i="4"/>
  <c r="S79" i="4"/>
  <c r="R79" i="4"/>
  <c r="Q79" i="4"/>
  <c r="P79" i="4"/>
  <c r="O79" i="4"/>
  <c r="N79" i="4"/>
  <c r="M79" i="4"/>
  <c r="L79" i="4"/>
  <c r="K79" i="4"/>
  <c r="J79" i="4"/>
  <c r="I79" i="4"/>
  <c r="H79" i="4"/>
  <c r="AG78" i="4"/>
  <c r="AB78" i="4"/>
  <c r="AA78" i="4"/>
  <c r="Z78" i="4"/>
  <c r="Y78" i="4"/>
  <c r="X78" i="4"/>
  <c r="W78" i="4"/>
  <c r="V78" i="4"/>
  <c r="U78" i="4"/>
  <c r="T78" i="4"/>
  <c r="S78" i="4"/>
  <c r="R78" i="4"/>
  <c r="Q78" i="4"/>
  <c r="P78" i="4"/>
  <c r="O78" i="4"/>
  <c r="N78" i="4"/>
  <c r="M78" i="4"/>
  <c r="L78" i="4"/>
  <c r="K78" i="4"/>
  <c r="J78" i="4"/>
  <c r="I78" i="4"/>
  <c r="H78" i="4"/>
  <c r="AL77" i="4"/>
  <c r="AK77" i="4"/>
  <c r="AJ77" i="4"/>
  <c r="AI77" i="4"/>
  <c r="AH77" i="4"/>
  <c r="AG77" i="4"/>
  <c r="AB77" i="4"/>
  <c r="AA77" i="4"/>
  <c r="Z77" i="4"/>
  <c r="Y77" i="4"/>
  <c r="X77" i="4"/>
  <c r="W77" i="4"/>
  <c r="V77" i="4"/>
  <c r="U77" i="4"/>
  <c r="T77" i="4"/>
  <c r="S77" i="4"/>
  <c r="R77" i="4"/>
  <c r="Q77" i="4"/>
  <c r="P77" i="4"/>
  <c r="O77" i="4"/>
  <c r="N77" i="4"/>
  <c r="M77" i="4"/>
  <c r="L77" i="4"/>
  <c r="K77" i="4"/>
  <c r="J77" i="4"/>
  <c r="I77" i="4"/>
  <c r="H77" i="4"/>
  <c r="AL76" i="4"/>
  <c r="AK76" i="4"/>
  <c r="AJ76" i="4"/>
  <c r="AI76" i="4"/>
  <c r="AH76" i="4"/>
  <c r="AG76" i="4"/>
  <c r="AB76" i="4"/>
  <c r="AA76" i="4"/>
  <c r="Z76" i="4"/>
  <c r="Y76" i="4"/>
  <c r="X76" i="4"/>
  <c r="W76" i="4"/>
  <c r="V76" i="4"/>
  <c r="U76" i="4"/>
  <c r="T76" i="4"/>
  <c r="S76" i="4"/>
  <c r="R76" i="4"/>
  <c r="Q76" i="4"/>
  <c r="P76" i="4"/>
  <c r="O76" i="4"/>
  <c r="N76" i="4"/>
  <c r="M76" i="4"/>
  <c r="L76" i="4"/>
  <c r="K76" i="4"/>
  <c r="J76" i="4"/>
  <c r="I76" i="4"/>
  <c r="H76" i="4"/>
  <c r="AL75" i="4"/>
  <c r="AK75" i="4"/>
  <c r="AJ75" i="4"/>
  <c r="AI75" i="4"/>
  <c r="AH75" i="4"/>
  <c r="AG75" i="4"/>
  <c r="AB75" i="4"/>
  <c r="AA75" i="4"/>
  <c r="Z75" i="4"/>
  <c r="Y75" i="4"/>
  <c r="X75" i="4"/>
  <c r="W75" i="4"/>
  <c r="V75" i="4"/>
  <c r="U75" i="4"/>
  <c r="T75" i="4"/>
  <c r="S75" i="4"/>
  <c r="R75" i="4"/>
  <c r="Q75" i="4"/>
  <c r="P75" i="4"/>
  <c r="O75" i="4"/>
  <c r="N75" i="4"/>
  <c r="M75" i="4"/>
  <c r="L75" i="4"/>
  <c r="K75" i="4"/>
  <c r="J75" i="4"/>
  <c r="I75" i="4"/>
  <c r="H75" i="4"/>
  <c r="AH74" i="4"/>
  <c r="AG74" i="4"/>
  <c r="AB74" i="4"/>
  <c r="AA74" i="4"/>
  <c r="Z74" i="4"/>
  <c r="Y74" i="4"/>
  <c r="X74" i="4"/>
  <c r="W74" i="4"/>
  <c r="V74" i="4"/>
  <c r="U74" i="4"/>
  <c r="T74" i="4"/>
  <c r="S74" i="4"/>
  <c r="R74" i="4"/>
  <c r="Q74" i="4"/>
  <c r="P74" i="4"/>
  <c r="O74" i="4"/>
  <c r="N74" i="4"/>
  <c r="M74" i="4"/>
  <c r="L74" i="4"/>
  <c r="K74" i="4"/>
  <c r="J74" i="4"/>
  <c r="I74" i="4"/>
  <c r="H74" i="4"/>
  <c r="AH73" i="4"/>
  <c r="AG73" i="4"/>
  <c r="AB73" i="4"/>
  <c r="AA73" i="4"/>
  <c r="Z73" i="4"/>
  <c r="Y73" i="4"/>
  <c r="X73" i="4"/>
  <c r="W73" i="4"/>
  <c r="V73" i="4"/>
  <c r="U73" i="4"/>
  <c r="T73" i="4"/>
  <c r="S73" i="4"/>
  <c r="R73" i="4"/>
  <c r="Q73" i="4"/>
  <c r="P73" i="4"/>
  <c r="O73" i="4"/>
  <c r="N73" i="4"/>
  <c r="M73" i="4"/>
  <c r="L73" i="4"/>
  <c r="K73" i="4"/>
  <c r="J73" i="4"/>
  <c r="I73" i="4"/>
  <c r="H73" i="4"/>
  <c r="AG72" i="4"/>
  <c r="AB72" i="4"/>
  <c r="AA72" i="4"/>
  <c r="Z72" i="4"/>
  <c r="Y72" i="4"/>
  <c r="X72" i="4"/>
  <c r="W72" i="4"/>
  <c r="V72" i="4"/>
  <c r="U72" i="4"/>
  <c r="T72" i="4"/>
  <c r="S72" i="4"/>
  <c r="R72" i="4"/>
  <c r="Q72" i="4"/>
  <c r="P72" i="4"/>
  <c r="O72" i="4"/>
  <c r="N72" i="4"/>
  <c r="M72" i="4"/>
  <c r="L72" i="4"/>
  <c r="K72" i="4"/>
  <c r="J72" i="4"/>
  <c r="I72" i="4"/>
  <c r="H72" i="4"/>
  <c r="AJ71" i="4"/>
  <c r="AI71" i="4"/>
  <c r="AH71" i="4"/>
  <c r="AG71" i="4"/>
  <c r="AB71" i="4"/>
  <c r="AA71" i="4"/>
  <c r="Z71" i="4"/>
  <c r="Y71" i="4"/>
  <c r="X71" i="4"/>
  <c r="W71" i="4"/>
  <c r="V71" i="4"/>
  <c r="U71" i="4"/>
  <c r="T71" i="4"/>
  <c r="S71" i="4"/>
  <c r="R71" i="4"/>
  <c r="Q71" i="4"/>
  <c r="P71" i="4"/>
  <c r="O71" i="4"/>
  <c r="N71" i="4"/>
  <c r="M71" i="4"/>
  <c r="L71" i="4"/>
  <c r="K71" i="4"/>
  <c r="J71" i="4"/>
  <c r="I71" i="4"/>
  <c r="H71" i="4"/>
  <c r="AJ70" i="4"/>
  <c r="AI70" i="4"/>
  <c r="AH70" i="4"/>
  <c r="AG70" i="4"/>
  <c r="AB70" i="4"/>
  <c r="AA70" i="4"/>
  <c r="Z70" i="4"/>
  <c r="Y70" i="4"/>
  <c r="X70" i="4"/>
  <c r="W70" i="4"/>
  <c r="V70" i="4"/>
  <c r="U70" i="4"/>
  <c r="T70" i="4"/>
  <c r="S70" i="4"/>
  <c r="R70" i="4"/>
  <c r="Q70" i="4"/>
  <c r="P70" i="4"/>
  <c r="O70" i="4"/>
  <c r="N70" i="4"/>
  <c r="M70" i="4"/>
  <c r="L70" i="4"/>
  <c r="K70" i="4"/>
  <c r="J70" i="4"/>
  <c r="I70" i="4"/>
  <c r="H70" i="4"/>
  <c r="AH69" i="4"/>
  <c r="AG69" i="4"/>
  <c r="AB69" i="4"/>
  <c r="AA69" i="4"/>
  <c r="Z69" i="4"/>
  <c r="Y69" i="4"/>
  <c r="X69" i="4"/>
  <c r="W69" i="4"/>
  <c r="V69" i="4"/>
  <c r="U69" i="4"/>
  <c r="T69" i="4"/>
  <c r="S69" i="4"/>
  <c r="R69" i="4"/>
  <c r="Q69" i="4"/>
  <c r="P69" i="4"/>
  <c r="O69" i="4"/>
  <c r="N69" i="4"/>
  <c r="M69" i="4"/>
  <c r="L69" i="4"/>
  <c r="K69" i="4"/>
  <c r="J69" i="4"/>
  <c r="I69" i="4"/>
  <c r="H69" i="4"/>
  <c r="AJ68" i="4"/>
  <c r="AI68" i="4"/>
  <c r="AH68" i="4"/>
  <c r="AG68" i="4"/>
  <c r="AB68" i="4"/>
  <c r="AA68" i="4"/>
  <c r="Z68" i="4"/>
  <c r="Y68" i="4"/>
  <c r="X68" i="4"/>
  <c r="W68" i="4"/>
  <c r="V68" i="4"/>
  <c r="U68" i="4"/>
  <c r="T68" i="4"/>
  <c r="S68" i="4"/>
  <c r="R68" i="4"/>
  <c r="Q68" i="4"/>
  <c r="P68" i="4"/>
  <c r="O68" i="4"/>
  <c r="N68" i="4"/>
  <c r="M68" i="4"/>
  <c r="L68" i="4"/>
  <c r="K68" i="4"/>
  <c r="J68" i="4"/>
  <c r="I68" i="4"/>
  <c r="H68" i="4"/>
  <c r="AH67" i="4"/>
  <c r="AG67" i="4"/>
  <c r="AB67" i="4"/>
  <c r="AA67" i="4"/>
  <c r="Z67" i="4"/>
  <c r="Y67" i="4"/>
  <c r="X67" i="4"/>
  <c r="W67" i="4"/>
  <c r="V67" i="4"/>
  <c r="U67" i="4"/>
  <c r="T67" i="4"/>
  <c r="S67" i="4"/>
  <c r="R67" i="4"/>
  <c r="Q67" i="4"/>
  <c r="P67" i="4"/>
  <c r="O67" i="4"/>
  <c r="N67" i="4"/>
  <c r="M67" i="4"/>
  <c r="L67" i="4"/>
  <c r="K67" i="4"/>
  <c r="J67" i="4"/>
  <c r="I67" i="4"/>
  <c r="H67" i="4"/>
  <c r="AH66" i="4"/>
  <c r="AG66" i="4"/>
  <c r="AB66" i="4"/>
  <c r="AA66" i="4"/>
  <c r="Z66" i="4"/>
  <c r="Y66" i="4"/>
  <c r="X66" i="4"/>
  <c r="W66" i="4"/>
  <c r="V66" i="4"/>
  <c r="U66" i="4"/>
  <c r="T66" i="4"/>
  <c r="S66" i="4"/>
  <c r="R66" i="4"/>
  <c r="Q66" i="4"/>
  <c r="P66" i="4"/>
  <c r="O66" i="4"/>
  <c r="N66" i="4"/>
  <c r="M66" i="4"/>
  <c r="L66" i="4"/>
  <c r="K66" i="4"/>
  <c r="J66" i="4"/>
  <c r="I66" i="4"/>
  <c r="H66" i="4"/>
  <c r="AH65" i="4"/>
  <c r="AG65" i="4"/>
  <c r="AB65" i="4"/>
  <c r="AA65" i="4"/>
  <c r="Z65" i="4"/>
  <c r="Y65" i="4"/>
  <c r="X65" i="4"/>
  <c r="W65" i="4"/>
  <c r="V65" i="4"/>
  <c r="U65" i="4"/>
  <c r="T65" i="4"/>
  <c r="S65" i="4"/>
  <c r="R65" i="4"/>
  <c r="Q65" i="4"/>
  <c r="P65" i="4"/>
  <c r="O65" i="4"/>
  <c r="N65" i="4"/>
  <c r="M65" i="4"/>
  <c r="L65" i="4"/>
  <c r="K65" i="4"/>
  <c r="J65" i="4"/>
  <c r="I65" i="4"/>
  <c r="H65" i="4"/>
  <c r="AJ64" i="4"/>
  <c r="AI64" i="4"/>
  <c r="AH64" i="4"/>
  <c r="AG64" i="4"/>
  <c r="AB64" i="4"/>
  <c r="AA64" i="4"/>
  <c r="Z64" i="4"/>
  <c r="Y64" i="4"/>
  <c r="X64" i="4"/>
  <c r="W64" i="4"/>
  <c r="V64" i="4"/>
  <c r="U64" i="4"/>
  <c r="T64" i="4"/>
  <c r="S64" i="4"/>
  <c r="R64" i="4"/>
  <c r="Q64" i="4"/>
  <c r="P64" i="4"/>
  <c r="O64" i="4"/>
  <c r="N64" i="4"/>
  <c r="M64" i="4"/>
  <c r="L64" i="4"/>
  <c r="K64" i="4"/>
  <c r="J64" i="4"/>
  <c r="I64" i="4"/>
  <c r="H64" i="4"/>
  <c r="AJ63" i="4"/>
  <c r="AI63" i="4"/>
  <c r="AH63" i="4"/>
  <c r="AG63" i="4"/>
  <c r="AB63" i="4"/>
  <c r="AA63" i="4"/>
  <c r="Z63" i="4"/>
  <c r="Y63" i="4"/>
  <c r="X63" i="4"/>
  <c r="W63" i="4"/>
  <c r="V63" i="4"/>
  <c r="U63" i="4"/>
  <c r="T63" i="4"/>
  <c r="S63" i="4"/>
  <c r="R63" i="4"/>
  <c r="Q63" i="4"/>
  <c r="P63" i="4"/>
  <c r="O63" i="4"/>
  <c r="N63" i="4"/>
  <c r="M63" i="4"/>
  <c r="L63" i="4"/>
  <c r="K63" i="4"/>
  <c r="J63" i="4"/>
  <c r="I63" i="4"/>
  <c r="H63" i="4"/>
  <c r="AJ62" i="4"/>
  <c r="AI62" i="4"/>
  <c r="AH62" i="4"/>
  <c r="AG62" i="4"/>
  <c r="AB62" i="4"/>
  <c r="AA62" i="4"/>
  <c r="Z62" i="4"/>
  <c r="Y62" i="4"/>
  <c r="X62" i="4"/>
  <c r="W62" i="4"/>
  <c r="V62" i="4"/>
  <c r="U62" i="4"/>
  <c r="T62" i="4"/>
  <c r="S62" i="4"/>
  <c r="R62" i="4"/>
  <c r="Q62" i="4"/>
  <c r="P62" i="4"/>
  <c r="O62" i="4"/>
  <c r="N62" i="4"/>
  <c r="M62" i="4"/>
  <c r="L62" i="4"/>
  <c r="K62" i="4"/>
  <c r="J62" i="4"/>
  <c r="I62" i="4"/>
  <c r="H62" i="4"/>
  <c r="AJ61" i="4"/>
  <c r="AI61" i="4"/>
  <c r="AH61" i="4"/>
  <c r="AG61" i="4"/>
  <c r="AB61" i="4"/>
  <c r="AA61" i="4"/>
  <c r="Z61" i="4"/>
  <c r="Y61" i="4"/>
  <c r="X61" i="4"/>
  <c r="W61" i="4"/>
  <c r="V61" i="4"/>
  <c r="U61" i="4"/>
  <c r="T61" i="4"/>
  <c r="S61" i="4"/>
  <c r="R61" i="4"/>
  <c r="Q61" i="4"/>
  <c r="P61" i="4"/>
  <c r="O61" i="4"/>
  <c r="N61" i="4"/>
  <c r="M61" i="4"/>
  <c r="L61" i="4"/>
  <c r="K61" i="4"/>
  <c r="J61" i="4"/>
  <c r="I61" i="4"/>
  <c r="H61" i="4"/>
  <c r="AJ60" i="4"/>
  <c r="AI60" i="4"/>
  <c r="AH60" i="4"/>
  <c r="AG60" i="4"/>
  <c r="AB60" i="4"/>
  <c r="AA60" i="4"/>
  <c r="Z60" i="4"/>
  <c r="Y60" i="4"/>
  <c r="X60" i="4"/>
  <c r="W60" i="4"/>
  <c r="V60" i="4"/>
  <c r="U60" i="4"/>
  <c r="T60" i="4"/>
  <c r="S60" i="4"/>
  <c r="R60" i="4"/>
  <c r="Q60" i="4"/>
  <c r="P60" i="4"/>
  <c r="O60" i="4"/>
  <c r="N60" i="4"/>
  <c r="M60" i="4"/>
  <c r="L60" i="4"/>
  <c r="K60" i="4"/>
  <c r="J60" i="4"/>
  <c r="I60" i="4"/>
  <c r="H60" i="4"/>
  <c r="AJ59" i="4"/>
  <c r="AI59" i="4"/>
  <c r="AH59" i="4"/>
  <c r="AG59" i="4"/>
  <c r="AB59" i="4"/>
  <c r="AA59" i="4"/>
  <c r="Z59" i="4"/>
  <c r="Y59" i="4"/>
  <c r="X59" i="4"/>
  <c r="W59" i="4"/>
  <c r="V59" i="4"/>
  <c r="U59" i="4"/>
  <c r="T59" i="4"/>
  <c r="S59" i="4"/>
  <c r="R59" i="4"/>
  <c r="Q59" i="4"/>
  <c r="P59" i="4"/>
  <c r="O59" i="4"/>
  <c r="N59" i="4"/>
  <c r="M59" i="4"/>
  <c r="L59" i="4"/>
  <c r="K59" i="4"/>
  <c r="J59" i="4"/>
  <c r="I59" i="4"/>
  <c r="H59" i="4"/>
  <c r="AH58" i="4"/>
  <c r="AG58" i="4"/>
  <c r="AB58" i="4"/>
  <c r="AA58" i="4"/>
  <c r="Z58" i="4"/>
  <c r="Y58" i="4"/>
  <c r="X58" i="4"/>
  <c r="W58" i="4"/>
  <c r="V58" i="4"/>
  <c r="U58" i="4"/>
  <c r="T58" i="4"/>
  <c r="S58" i="4"/>
  <c r="R58" i="4"/>
  <c r="Q58" i="4"/>
  <c r="P58" i="4"/>
  <c r="O58" i="4"/>
  <c r="N58" i="4"/>
  <c r="M58" i="4"/>
  <c r="L58" i="4"/>
  <c r="K58" i="4"/>
  <c r="J58" i="4"/>
  <c r="I58" i="4"/>
  <c r="H58" i="4"/>
  <c r="AL57" i="4"/>
  <c r="AK57" i="4"/>
  <c r="AJ57" i="4"/>
  <c r="AI57" i="4"/>
  <c r="AH57" i="4"/>
  <c r="AG57" i="4"/>
  <c r="AB57" i="4"/>
  <c r="AA57" i="4"/>
  <c r="Z57" i="4"/>
  <c r="Y57" i="4"/>
  <c r="X57" i="4"/>
  <c r="W57" i="4"/>
  <c r="V57" i="4"/>
  <c r="U57" i="4"/>
  <c r="T57" i="4"/>
  <c r="S57" i="4"/>
  <c r="R57" i="4"/>
  <c r="Q57" i="4"/>
  <c r="P57" i="4"/>
  <c r="O57" i="4"/>
  <c r="N57" i="4"/>
  <c r="M57" i="4"/>
  <c r="L57" i="4"/>
  <c r="K57" i="4"/>
  <c r="J57" i="4"/>
  <c r="I57" i="4"/>
  <c r="H57" i="4"/>
  <c r="AL56" i="4"/>
  <c r="AK56" i="4"/>
  <c r="AJ56" i="4"/>
  <c r="AI56" i="4"/>
  <c r="AH56" i="4"/>
  <c r="AG56" i="4"/>
  <c r="AB56" i="4"/>
  <c r="AA56" i="4"/>
  <c r="Z56" i="4"/>
  <c r="Y56" i="4"/>
  <c r="X56" i="4"/>
  <c r="W56" i="4"/>
  <c r="V56" i="4"/>
  <c r="U56" i="4"/>
  <c r="T56" i="4"/>
  <c r="S56" i="4"/>
  <c r="R56" i="4"/>
  <c r="Q56" i="4"/>
  <c r="P56" i="4"/>
  <c r="O56" i="4"/>
  <c r="N56" i="4"/>
  <c r="M56" i="4"/>
  <c r="L56" i="4"/>
  <c r="K56" i="4"/>
  <c r="J56" i="4"/>
  <c r="I56" i="4"/>
  <c r="H56" i="4"/>
  <c r="AH55" i="4"/>
  <c r="AG55" i="4"/>
  <c r="AB55" i="4"/>
  <c r="AA55" i="4"/>
  <c r="Z55" i="4"/>
  <c r="Y55" i="4"/>
  <c r="X55" i="4"/>
  <c r="W55" i="4"/>
  <c r="V55" i="4"/>
  <c r="U55" i="4"/>
  <c r="T55" i="4"/>
  <c r="S55" i="4"/>
  <c r="R55" i="4"/>
  <c r="Q55" i="4"/>
  <c r="P55" i="4"/>
  <c r="O55" i="4"/>
  <c r="N55" i="4"/>
  <c r="M55" i="4"/>
  <c r="L55" i="4"/>
  <c r="K55" i="4"/>
  <c r="J55" i="4"/>
  <c r="I55" i="4"/>
  <c r="H55" i="4"/>
  <c r="AH54" i="4"/>
  <c r="AG54" i="4"/>
  <c r="AB54" i="4"/>
  <c r="AA54" i="4"/>
  <c r="Z54" i="4"/>
  <c r="Y54" i="4"/>
  <c r="X54" i="4"/>
  <c r="W54" i="4"/>
  <c r="V54" i="4"/>
  <c r="U54" i="4"/>
  <c r="T54" i="4"/>
  <c r="S54" i="4"/>
  <c r="R54" i="4"/>
  <c r="Q54" i="4"/>
  <c r="P54" i="4"/>
  <c r="O54" i="4"/>
  <c r="N54" i="4"/>
  <c r="M54" i="4"/>
  <c r="L54" i="4"/>
  <c r="K54" i="4"/>
  <c r="J54" i="4"/>
  <c r="I54" i="4"/>
  <c r="H54" i="4"/>
  <c r="AL53" i="4"/>
  <c r="AK53" i="4"/>
  <c r="AJ53" i="4"/>
  <c r="AI53" i="4"/>
  <c r="AH53" i="4"/>
  <c r="AG53" i="4"/>
  <c r="AB53" i="4"/>
  <c r="AA53" i="4"/>
  <c r="Z53" i="4"/>
  <c r="Y53" i="4"/>
  <c r="X53" i="4"/>
  <c r="W53" i="4"/>
  <c r="V53" i="4"/>
  <c r="U53" i="4"/>
  <c r="T53" i="4"/>
  <c r="S53" i="4"/>
  <c r="R53" i="4"/>
  <c r="Q53" i="4"/>
  <c r="P53" i="4"/>
  <c r="O53" i="4"/>
  <c r="N53" i="4"/>
  <c r="M53" i="4"/>
  <c r="L53" i="4"/>
  <c r="K53" i="4"/>
  <c r="J53" i="4"/>
  <c r="I53" i="4"/>
  <c r="H53" i="4"/>
  <c r="AL52" i="4"/>
  <c r="AK52" i="4"/>
  <c r="AJ52" i="4"/>
  <c r="AI52" i="4"/>
  <c r="AH52" i="4"/>
  <c r="AG52" i="4"/>
  <c r="AB52" i="4"/>
  <c r="AA52" i="4"/>
  <c r="Z52" i="4"/>
  <c r="Y52" i="4"/>
  <c r="X52" i="4"/>
  <c r="W52" i="4"/>
  <c r="V52" i="4"/>
  <c r="U52" i="4"/>
  <c r="T52" i="4"/>
  <c r="S52" i="4"/>
  <c r="R52" i="4"/>
  <c r="Q52" i="4"/>
  <c r="P52" i="4"/>
  <c r="O52" i="4"/>
  <c r="N52" i="4"/>
  <c r="M52" i="4"/>
  <c r="L52" i="4"/>
  <c r="K52" i="4"/>
  <c r="J52" i="4"/>
  <c r="I52" i="4"/>
  <c r="H52" i="4"/>
  <c r="AJ51" i="4"/>
  <c r="AI51" i="4"/>
  <c r="AH51" i="4"/>
  <c r="AG51" i="4"/>
  <c r="AB51" i="4"/>
  <c r="AA51" i="4"/>
  <c r="Z51" i="4"/>
  <c r="Y51" i="4"/>
  <c r="X51" i="4"/>
  <c r="W51" i="4"/>
  <c r="V51" i="4"/>
  <c r="U51" i="4"/>
  <c r="T51" i="4"/>
  <c r="S51" i="4"/>
  <c r="R51" i="4"/>
  <c r="Q51" i="4"/>
  <c r="P51" i="4"/>
  <c r="O51" i="4"/>
  <c r="N51" i="4"/>
  <c r="M51" i="4"/>
  <c r="L51" i="4"/>
  <c r="K51" i="4"/>
  <c r="J51" i="4"/>
  <c r="I51" i="4"/>
  <c r="H51" i="4"/>
  <c r="AH50" i="4"/>
  <c r="AG50" i="4"/>
  <c r="AB50" i="4"/>
  <c r="AA50" i="4"/>
  <c r="Z50" i="4"/>
  <c r="Y50" i="4"/>
  <c r="X50" i="4"/>
  <c r="W50" i="4"/>
  <c r="V50" i="4"/>
  <c r="U50" i="4"/>
  <c r="T50" i="4"/>
  <c r="S50" i="4"/>
  <c r="R50" i="4"/>
  <c r="Q50" i="4"/>
  <c r="P50" i="4"/>
  <c r="O50" i="4"/>
  <c r="N50" i="4"/>
  <c r="M50" i="4"/>
  <c r="L50" i="4"/>
  <c r="K50" i="4"/>
  <c r="J50" i="4"/>
  <c r="I50" i="4"/>
  <c r="H50" i="4"/>
  <c r="AH49" i="4"/>
  <c r="AG49" i="4"/>
  <c r="AB49" i="4"/>
  <c r="AA49" i="4"/>
  <c r="Z49" i="4"/>
  <c r="Y49" i="4"/>
  <c r="X49" i="4"/>
  <c r="W49" i="4"/>
  <c r="V49" i="4"/>
  <c r="U49" i="4"/>
  <c r="T49" i="4"/>
  <c r="S49" i="4"/>
  <c r="R49" i="4"/>
  <c r="Q49" i="4"/>
  <c r="P49" i="4"/>
  <c r="O49" i="4"/>
  <c r="N49" i="4"/>
  <c r="M49" i="4"/>
  <c r="L49" i="4"/>
  <c r="K49" i="4"/>
  <c r="J49" i="4"/>
  <c r="I49" i="4"/>
  <c r="H49" i="4"/>
  <c r="AJ48" i="4"/>
  <c r="AI48" i="4"/>
  <c r="AH48" i="4"/>
  <c r="AG48" i="4"/>
  <c r="AB48" i="4"/>
  <c r="AA48" i="4"/>
  <c r="Z48" i="4"/>
  <c r="Y48" i="4"/>
  <c r="X48" i="4"/>
  <c r="W48" i="4"/>
  <c r="V48" i="4"/>
  <c r="U48" i="4"/>
  <c r="T48" i="4"/>
  <c r="S48" i="4"/>
  <c r="R48" i="4"/>
  <c r="Q48" i="4"/>
  <c r="P48" i="4"/>
  <c r="O48" i="4"/>
  <c r="N48" i="4"/>
  <c r="M48" i="4"/>
  <c r="L48" i="4"/>
  <c r="K48" i="4"/>
  <c r="J48" i="4"/>
  <c r="I48" i="4"/>
  <c r="H48" i="4"/>
  <c r="AG47" i="4"/>
  <c r="AB47" i="4"/>
  <c r="AA47" i="4"/>
  <c r="Z47" i="4"/>
  <c r="Y47" i="4"/>
  <c r="X47" i="4"/>
  <c r="W47" i="4"/>
  <c r="V47" i="4"/>
  <c r="U47" i="4"/>
  <c r="T47" i="4"/>
  <c r="S47" i="4"/>
  <c r="R47" i="4"/>
  <c r="Q47" i="4"/>
  <c r="P47" i="4"/>
  <c r="O47" i="4"/>
  <c r="N47" i="4"/>
  <c r="M47" i="4"/>
  <c r="L47" i="4"/>
  <c r="K47" i="4"/>
  <c r="J47" i="4"/>
  <c r="I47" i="4"/>
  <c r="H47" i="4"/>
  <c r="AH46" i="4"/>
  <c r="AG46" i="4"/>
  <c r="AB46" i="4"/>
  <c r="AA46" i="4"/>
  <c r="Z46" i="4"/>
  <c r="Y46" i="4"/>
  <c r="X46" i="4"/>
  <c r="W46" i="4"/>
  <c r="V46" i="4"/>
  <c r="U46" i="4"/>
  <c r="T46" i="4"/>
  <c r="S46" i="4"/>
  <c r="R46" i="4"/>
  <c r="Q46" i="4"/>
  <c r="P46" i="4"/>
  <c r="O46" i="4"/>
  <c r="N46" i="4"/>
  <c r="M46" i="4"/>
  <c r="L46" i="4"/>
  <c r="K46" i="4"/>
  <c r="J46" i="4"/>
  <c r="I46" i="4"/>
  <c r="H46" i="4"/>
  <c r="AJ45" i="4"/>
  <c r="AI45" i="4"/>
  <c r="AH45" i="4"/>
  <c r="AG45" i="4"/>
  <c r="AB45" i="4"/>
  <c r="AA45" i="4"/>
  <c r="Z45" i="4"/>
  <c r="Y45" i="4"/>
  <c r="X45" i="4"/>
  <c r="W45" i="4"/>
  <c r="V45" i="4"/>
  <c r="U45" i="4"/>
  <c r="T45" i="4"/>
  <c r="S45" i="4"/>
  <c r="R45" i="4"/>
  <c r="Q45" i="4"/>
  <c r="P45" i="4"/>
  <c r="O45" i="4"/>
  <c r="N45" i="4"/>
  <c r="M45" i="4"/>
  <c r="L45" i="4"/>
  <c r="K45" i="4"/>
  <c r="J45" i="4"/>
  <c r="I45" i="4"/>
  <c r="H45" i="4"/>
  <c r="AL44" i="4"/>
  <c r="AK44" i="4"/>
  <c r="AJ44" i="4"/>
  <c r="AI44" i="4"/>
  <c r="AH44" i="4"/>
  <c r="AG44" i="4"/>
  <c r="AB44" i="4"/>
  <c r="AA44" i="4"/>
  <c r="Z44" i="4"/>
  <c r="Y44" i="4"/>
  <c r="X44" i="4"/>
  <c r="W44" i="4"/>
  <c r="V44" i="4"/>
  <c r="U44" i="4"/>
  <c r="T44" i="4"/>
  <c r="S44" i="4"/>
  <c r="R44" i="4"/>
  <c r="Q44" i="4"/>
  <c r="P44" i="4"/>
  <c r="O44" i="4"/>
  <c r="N44" i="4"/>
  <c r="M44" i="4"/>
  <c r="L44" i="4"/>
  <c r="K44" i="4"/>
  <c r="J44" i="4"/>
  <c r="I44" i="4"/>
  <c r="H44" i="4"/>
  <c r="AJ43" i="4"/>
  <c r="AI43" i="4"/>
  <c r="AH43" i="4"/>
  <c r="AG43" i="4"/>
  <c r="AB43" i="4"/>
  <c r="AA43" i="4"/>
  <c r="Z43" i="4"/>
  <c r="Y43" i="4"/>
  <c r="X43" i="4"/>
  <c r="W43" i="4"/>
  <c r="V43" i="4"/>
  <c r="U43" i="4"/>
  <c r="T43" i="4"/>
  <c r="S43" i="4"/>
  <c r="R43" i="4"/>
  <c r="Q43" i="4"/>
  <c r="P43" i="4"/>
  <c r="O43" i="4"/>
  <c r="N43" i="4"/>
  <c r="M43" i="4"/>
  <c r="L43" i="4"/>
  <c r="K43" i="4"/>
  <c r="J43" i="4"/>
  <c r="I43" i="4"/>
  <c r="H43" i="4"/>
  <c r="AH42" i="4"/>
  <c r="AG42" i="4"/>
  <c r="AB42" i="4"/>
  <c r="AA42" i="4"/>
  <c r="Z42" i="4"/>
  <c r="Y42" i="4"/>
  <c r="X42" i="4"/>
  <c r="W42" i="4"/>
  <c r="V42" i="4"/>
  <c r="U42" i="4"/>
  <c r="T42" i="4"/>
  <c r="S42" i="4"/>
  <c r="R42" i="4"/>
  <c r="Q42" i="4"/>
  <c r="P42" i="4"/>
  <c r="O42" i="4"/>
  <c r="N42" i="4"/>
  <c r="M42" i="4"/>
  <c r="L42" i="4"/>
  <c r="K42" i="4"/>
  <c r="J42" i="4"/>
  <c r="I42" i="4"/>
  <c r="H42" i="4"/>
  <c r="AG41" i="4"/>
  <c r="AB41" i="4"/>
  <c r="AA41" i="4"/>
  <c r="Z41" i="4"/>
  <c r="Y41" i="4"/>
  <c r="X41" i="4"/>
  <c r="W41" i="4"/>
  <c r="V41" i="4"/>
  <c r="U41" i="4"/>
  <c r="T41" i="4"/>
  <c r="S41" i="4"/>
  <c r="R41" i="4"/>
  <c r="Q41" i="4"/>
  <c r="P41" i="4"/>
  <c r="O41" i="4"/>
  <c r="N41" i="4"/>
  <c r="M41" i="4"/>
  <c r="L41" i="4"/>
  <c r="K41" i="4"/>
  <c r="J41" i="4"/>
  <c r="I41" i="4"/>
  <c r="H41" i="4"/>
  <c r="AL40" i="4"/>
  <c r="AK40" i="4"/>
  <c r="AJ40" i="4"/>
  <c r="AI40" i="4"/>
  <c r="AH40" i="4"/>
  <c r="AG40" i="4"/>
  <c r="AB40" i="4"/>
  <c r="AA40" i="4"/>
  <c r="Z40" i="4"/>
  <c r="Y40" i="4"/>
  <c r="X40" i="4"/>
  <c r="W40" i="4"/>
  <c r="V40" i="4"/>
  <c r="U40" i="4"/>
  <c r="T40" i="4"/>
  <c r="S40" i="4"/>
  <c r="R40" i="4"/>
  <c r="Q40" i="4"/>
  <c r="P40" i="4"/>
  <c r="O40" i="4"/>
  <c r="N40" i="4"/>
  <c r="M40" i="4"/>
  <c r="L40" i="4"/>
  <c r="K40" i="4"/>
  <c r="J40" i="4"/>
  <c r="I40" i="4"/>
  <c r="H40" i="4"/>
  <c r="AJ39" i="4"/>
  <c r="AI39" i="4"/>
  <c r="AH39" i="4"/>
  <c r="AG39" i="4"/>
  <c r="AB39" i="4"/>
  <c r="AA39" i="4"/>
  <c r="Z39" i="4"/>
  <c r="Y39" i="4"/>
  <c r="X39" i="4"/>
  <c r="W39" i="4"/>
  <c r="V39" i="4"/>
  <c r="U39" i="4"/>
  <c r="T39" i="4"/>
  <c r="S39" i="4"/>
  <c r="R39" i="4"/>
  <c r="Q39" i="4"/>
  <c r="P39" i="4"/>
  <c r="O39" i="4"/>
  <c r="N39" i="4"/>
  <c r="M39" i="4"/>
  <c r="L39" i="4"/>
  <c r="K39" i="4"/>
  <c r="J39" i="4"/>
  <c r="I39" i="4"/>
  <c r="H39" i="4"/>
  <c r="AL38" i="4"/>
  <c r="AK38" i="4"/>
  <c r="AJ38" i="4"/>
  <c r="AI38" i="4"/>
  <c r="AH38" i="4"/>
  <c r="AG38" i="4"/>
  <c r="AB38" i="4"/>
  <c r="AA38" i="4"/>
  <c r="Z38" i="4"/>
  <c r="Y38" i="4"/>
  <c r="X38" i="4"/>
  <c r="W38" i="4"/>
  <c r="V38" i="4"/>
  <c r="U38" i="4"/>
  <c r="T38" i="4"/>
  <c r="S38" i="4"/>
  <c r="R38" i="4"/>
  <c r="Q38" i="4"/>
  <c r="P38" i="4"/>
  <c r="O38" i="4"/>
  <c r="N38" i="4"/>
  <c r="M38" i="4"/>
  <c r="L38" i="4"/>
  <c r="K38" i="4"/>
  <c r="J38" i="4"/>
  <c r="I38" i="4"/>
  <c r="H38" i="4"/>
  <c r="AJ37" i="4"/>
  <c r="AI37" i="4"/>
  <c r="AH37" i="4"/>
  <c r="AG37" i="4"/>
  <c r="AB37" i="4"/>
  <c r="AA37" i="4"/>
  <c r="Z37" i="4"/>
  <c r="Y37" i="4"/>
  <c r="X37" i="4"/>
  <c r="W37" i="4"/>
  <c r="V37" i="4"/>
  <c r="U37" i="4"/>
  <c r="T37" i="4"/>
  <c r="S37" i="4"/>
  <c r="R37" i="4"/>
  <c r="Q37" i="4"/>
  <c r="P37" i="4"/>
  <c r="O37" i="4"/>
  <c r="N37" i="4"/>
  <c r="M37" i="4"/>
  <c r="L37" i="4"/>
  <c r="K37" i="4"/>
  <c r="J37" i="4"/>
  <c r="I37" i="4"/>
  <c r="H37" i="4"/>
  <c r="AJ36" i="4"/>
  <c r="AI36" i="4"/>
  <c r="AH36" i="4"/>
  <c r="AG36" i="4"/>
  <c r="AB36" i="4"/>
  <c r="AA36" i="4"/>
  <c r="Z36" i="4"/>
  <c r="Y36" i="4"/>
  <c r="X36" i="4"/>
  <c r="W36" i="4"/>
  <c r="V36" i="4"/>
  <c r="U36" i="4"/>
  <c r="T36" i="4"/>
  <c r="S36" i="4"/>
  <c r="R36" i="4"/>
  <c r="Q36" i="4"/>
  <c r="P36" i="4"/>
  <c r="O36" i="4"/>
  <c r="N36" i="4"/>
  <c r="M36" i="4"/>
  <c r="L36" i="4"/>
  <c r="K36" i="4"/>
  <c r="J36" i="4"/>
  <c r="I36" i="4"/>
  <c r="H36" i="4"/>
  <c r="AJ35" i="4"/>
  <c r="AI35" i="4"/>
  <c r="AH35" i="4"/>
  <c r="AG35" i="4"/>
  <c r="AB35" i="4"/>
  <c r="AA35" i="4"/>
  <c r="Z35" i="4"/>
  <c r="Y35" i="4"/>
  <c r="X35" i="4"/>
  <c r="W35" i="4"/>
  <c r="V35" i="4"/>
  <c r="U35" i="4"/>
  <c r="T35" i="4"/>
  <c r="S35" i="4"/>
  <c r="R35" i="4"/>
  <c r="Q35" i="4"/>
  <c r="P35" i="4"/>
  <c r="O35" i="4"/>
  <c r="N35" i="4"/>
  <c r="M35" i="4"/>
  <c r="L35" i="4"/>
  <c r="K35" i="4"/>
  <c r="J35" i="4"/>
  <c r="I35" i="4"/>
  <c r="H35" i="4"/>
  <c r="AH34" i="4"/>
  <c r="AG34" i="4"/>
  <c r="AB34" i="4"/>
  <c r="AA34" i="4"/>
  <c r="Z34" i="4"/>
  <c r="Y34" i="4"/>
  <c r="X34" i="4"/>
  <c r="W34" i="4"/>
  <c r="V34" i="4"/>
  <c r="U34" i="4"/>
  <c r="T34" i="4"/>
  <c r="S34" i="4"/>
  <c r="R34" i="4"/>
  <c r="Q34" i="4"/>
  <c r="P34" i="4"/>
  <c r="O34" i="4"/>
  <c r="N34" i="4"/>
  <c r="M34" i="4"/>
  <c r="L34" i="4"/>
  <c r="K34" i="4"/>
  <c r="J34" i="4"/>
  <c r="I34" i="4"/>
  <c r="H34" i="4"/>
  <c r="AH33" i="4"/>
  <c r="AG33" i="4"/>
  <c r="AB33" i="4"/>
  <c r="AA33" i="4"/>
  <c r="Z33" i="4"/>
  <c r="Y33" i="4"/>
  <c r="X33" i="4"/>
  <c r="W33" i="4"/>
  <c r="V33" i="4"/>
  <c r="U33" i="4"/>
  <c r="T33" i="4"/>
  <c r="S33" i="4"/>
  <c r="R33" i="4"/>
  <c r="Q33" i="4"/>
  <c r="P33" i="4"/>
  <c r="O33" i="4"/>
  <c r="N33" i="4"/>
  <c r="M33" i="4"/>
  <c r="L33" i="4"/>
  <c r="K33" i="4"/>
  <c r="J33" i="4"/>
  <c r="I33" i="4"/>
  <c r="H33" i="4"/>
  <c r="AH32" i="4"/>
  <c r="AG32" i="4"/>
  <c r="AB32" i="4"/>
  <c r="AA32" i="4"/>
  <c r="Z32" i="4"/>
  <c r="Y32" i="4"/>
  <c r="X32" i="4"/>
  <c r="W32" i="4"/>
  <c r="V32" i="4"/>
  <c r="U32" i="4"/>
  <c r="T32" i="4"/>
  <c r="S32" i="4"/>
  <c r="R32" i="4"/>
  <c r="Q32" i="4"/>
  <c r="P32" i="4"/>
  <c r="O32" i="4"/>
  <c r="N32" i="4"/>
  <c r="M32" i="4"/>
  <c r="L32" i="4"/>
  <c r="K32" i="4"/>
  <c r="J32" i="4"/>
  <c r="I32" i="4"/>
  <c r="H32" i="4"/>
  <c r="AH31" i="4"/>
  <c r="AG31" i="4"/>
  <c r="AB31" i="4"/>
  <c r="AA31" i="4"/>
  <c r="Z31" i="4"/>
  <c r="Y31" i="4"/>
  <c r="X31" i="4"/>
  <c r="W31" i="4"/>
  <c r="V31" i="4"/>
  <c r="U31" i="4"/>
  <c r="T31" i="4"/>
  <c r="S31" i="4"/>
  <c r="R31" i="4"/>
  <c r="Q31" i="4"/>
  <c r="P31" i="4"/>
  <c r="O31" i="4"/>
  <c r="N31" i="4"/>
  <c r="M31" i="4"/>
  <c r="L31" i="4"/>
  <c r="K31" i="4"/>
  <c r="J31" i="4"/>
  <c r="I31" i="4"/>
  <c r="H31" i="4"/>
  <c r="AN30" i="4"/>
  <c r="AM30" i="4"/>
  <c r="AL30" i="4"/>
  <c r="AK30" i="4"/>
  <c r="AJ30" i="4"/>
  <c r="AI30" i="4"/>
  <c r="AH30" i="4"/>
  <c r="AG30" i="4"/>
  <c r="AB30" i="4"/>
  <c r="AA30" i="4"/>
  <c r="Z30" i="4"/>
  <c r="Y30" i="4"/>
  <c r="X30" i="4"/>
  <c r="W30" i="4"/>
  <c r="V30" i="4"/>
  <c r="U30" i="4"/>
  <c r="T30" i="4"/>
  <c r="S30" i="4"/>
  <c r="R30" i="4"/>
  <c r="Q30" i="4"/>
  <c r="P30" i="4"/>
  <c r="O30" i="4"/>
  <c r="N30" i="4"/>
  <c r="M30" i="4"/>
  <c r="L30" i="4"/>
  <c r="K30" i="4"/>
  <c r="J30" i="4"/>
  <c r="I30" i="4"/>
  <c r="H30" i="4"/>
  <c r="AL29" i="4"/>
  <c r="AK29" i="4"/>
  <c r="AJ29" i="4"/>
  <c r="AI29" i="4"/>
  <c r="AH29" i="4"/>
  <c r="AG29" i="4"/>
  <c r="AB29" i="4"/>
  <c r="AA29" i="4"/>
  <c r="Z29" i="4"/>
  <c r="Y29" i="4"/>
  <c r="X29" i="4"/>
  <c r="W29" i="4"/>
  <c r="V29" i="4"/>
  <c r="U29" i="4"/>
  <c r="T29" i="4"/>
  <c r="S29" i="4"/>
  <c r="R29" i="4"/>
  <c r="Q29" i="4"/>
  <c r="P29" i="4"/>
  <c r="O29" i="4"/>
  <c r="N29" i="4"/>
  <c r="M29" i="4"/>
  <c r="L29" i="4"/>
  <c r="K29" i="4"/>
  <c r="J29" i="4"/>
  <c r="I29" i="4"/>
  <c r="H29" i="4"/>
  <c r="AL28" i="4"/>
  <c r="AK28" i="4"/>
  <c r="AJ28" i="4"/>
  <c r="AI28" i="4"/>
  <c r="AH28" i="4"/>
  <c r="AG28" i="4"/>
  <c r="AB28" i="4"/>
  <c r="AA28" i="4"/>
  <c r="Z28" i="4"/>
  <c r="Y28" i="4"/>
  <c r="X28" i="4"/>
  <c r="W28" i="4"/>
  <c r="V28" i="4"/>
  <c r="U28" i="4"/>
  <c r="T28" i="4"/>
  <c r="S28" i="4"/>
  <c r="R28" i="4"/>
  <c r="Q28" i="4"/>
  <c r="P28" i="4"/>
  <c r="O28" i="4"/>
  <c r="N28" i="4"/>
  <c r="M28" i="4"/>
  <c r="L28" i="4"/>
  <c r="K28" i="4"/>
  <c r="J28" i="4"/>
  <c r="I28" i="4"/>
  <c r="H28" i="4"/>
  <c r="AL27" i="4"/>
  <c r="AK27" i="4"/>
  <c r="AJ27" i="4"/>
  <c r="AI27" i="4"/>
  <c r="AH27" i="4"/>
  <c r="AG27" i="4"/>
  <c r="AB27" i="4"/>
  <c r="AA27" i="4"/>
  <c r="Z27" i="4"/>
  <c r="Y27" i="4"/>
  <c r="X27" i="4"/>
  <c r="W27" i="4"/>
  <c r="V27" i="4"/>
  <c r="U27" i="4"/>
  <c r="T27" i="4"/>
  <c r="S27" i="4"/>
  <c r="R27" i="4"/>
  <c r="Q27" i="4"/>
  <c r="P27" i="4"/>
  <c r="O27" i="4"/>
  <c r="N27" i="4"/>
  <c r="M27" i="4"/>
  <c r="L27" i="4"/>
  <c r="K27" i="4"/>
  <c r="J27" i="4"/>
  <c r="I27" i="4"/>
  <c r="H27" i="4"/>
  <c r="AL26" i="4"/>
  <c r="AK26" i="4"/>
  <c r="AJ26" i="4"/>
  <c r="AI26" i="4"/>
  <c r="AH26" i="4"/>
  <c r="AG26" i="4"/>
  <c r="AB26" i="4"/>
  <c r="AA26" i="4"/>
  <c r="Z26" i="4"/>
  <c r="Y26" i="4"/>
  <c r="X26" i="4"/>
  <c r="W26" i="4"/>
  <c r="V26" i="4"/>
  <c r="U26" i="4"/>
  <c r="T26" i="4"/>
  <c r="S26" i="4"/>
  <c r="R26" i="4"/>
  <c r="Q26" i="4"/>
  <c r="P26" i="4"/>
  <c r="O26" i="4"/>
  <c r="N26" i="4"/>
  <c r="M26" i="4"/>
  <c r="L26" i="4"/>
  <c r="K26" i="4"/>
  <c r="J26" i="4"/>
  <c r="I26" i="4"/>
  <c r="H26" i="4"/>
  <c r="AH25" i="4"/>
  <c r="AG25" i="4"/>
  <c r="AB25" i="4"/>
  <c r="AA25" i="4"/>
  <c r="Z25" i="4"/>
  <c r="Y25" i="4"/>
  <c r="X25" i="4"/>
  <c r="W25" i="4"/>
  <c r="V25" i="4"/>
  <c r="U25" i="4"/>
  <c r="T25" i="4"/>
  <c r="S25" i="4"/>
  <c r="R25" i="4"/>
  <c r="Q25" i="4"/>
  <c r="P25" i="4"/>
  <c r="O25" i="4"/>
  <c r="N25" i="4"/>
  <c r="M25" i="4"/>
  <c r="L25" i="4"/>
  <c r="K25" i="4"/>
  <c r="J25" i="4"/>
  <c r="I25" i="4"/>
  <c r="H25" i="4"/>
  <c r="AH24" i="4"/>
  <c r="AG24" i="4"/>
  <c r="AB24" i="4"/>
  <c r="AA24" i="4"/>
  <c r="Z24" i="4"/>
  <c r="Y24" i="4"/>
  <c r="X24" i="4"/>
  <c r="W24" i="4"/>
  <c r="V24" i="4"/>
  <c r="U24" i="4"/>
  <c r="T24" i="4"/>
  <c r="S24" i="4"/>
  <c r="R24" i="4"/>
  <c r="Q24" i="4"/>
  <c r="P24" i="4"/>
  <c r="O24" i="4"/>
  <c r="N24" i="4"/>
  <c r="M24" i="4"/>
  <c r="L24" i="4"/>
  <c r="K24" i="4"/>
  <c r="J24" i="4"/>
  <c r="I24" i="4"/>
  <c r="H24" i="4"/>
  <c r="AL23" i="4"/>
  <c r="AK23" i="4"/>
  <c r="AJ23" i="4"/>
  <c r="AI23" i="4"/>
  <c r="AH23" i="4"/>
  <c r="AG23" i="4"/>
  <c r="AB23" i="4"/>
  <c r="AA23" i="4"/>
  <c r="Z23" i="4"/>
  <c r="Y23" i="4"/>
  <c r="X23" i="4"/>
  <c r="W23" i="4"/>
  <c r="V23" i="4"/>
  <c r="U23" i="4"/>
  <c r="T23" i="4"/>
  <c r="S23" i="4"/>
  <c r="R23" i="4"/>
  <c r="Q23" i="4"/>
  <c r="P23" i="4"/>
  <c r="O23" i="4"/>
  <c r="N23" i="4"/>
  <c r="M23" i="4"/>
  <c r="L23" i="4"/>
  <c r="K23" i="4"/>
  <c r="J23" i="4"/>
  <c r="I23" i="4"/>
  <c r="H23" i="4"/>
  <c r="AL22" i="4"/>
  <c r="AK22" i="4"/>
  <c r="AJ22" i="4"/>
  <c r="AI22" i="4"/>
  <c r="AH22" i="4"/>
  <c r="AG22" i="4"/>
  <c r="AB22" i="4"/>
  <c r="AA22" i="4"/>
  <c r="Z22" i="4"/>
  <c r="Y22" i="4"/>
  <c r="X22" i="4"/>
  <c r="W22" i="4"/>
  <c r="V22" i="4"/>
  <c r="U22" i="4"/>
  <c r="T22" i="4"/>
  <c r="S22" i="4"/>
  <c r="R22" i="4"/>
  <c r="Q22" i="4"/>
  <c r="P22" i="4"/>
  <c r="O22" i="4"/>
  <c r="N22" i="4"/>
  <c r="M22" i="4"/>
  <c r="L22" i="4"/>
  <c r="K22" i="4"/>
  <c r="J22" i="4"/>
  <c r="I22" i="4"/>
  <c r="H22" i="4"/>
  <c r="AL21" i="4"/>
  <c r="AK21" i="4"/>
  <c r="AJ21" i="4"/>
  <c r="AI21" i="4"/>
  <c r="AH21" i="4"/>
  <c r="AG21" i="4"/>
  <c r="AB21" i="4"/>
  <c r="AA21" i="4"/>
  <c r="Z21" i="4"/>
  <c r="Y21" i="4"/>
  <c r="X21" i="4"/>
  <c r="W21" i="4"/>
  <c r="V21" i="4"/>
  <c r="U21" i="4"/>
  <c r="T21" i="4"/>
  <c r="S21" i="4"/>
  <c r="R21" i="4"/>
  <c r="Q21" i="4"/>
  <c r="P21" i="4"/>
  <c r="O21" i="4"/>
  <c r="N21" i="4"/>
  <c r="M21" i="4"/>
  <c r="L21" i="4"/>
  <c r="K21" i="4"/>
  <c r="J21" i="4"/>
  <c r="I21" i="4"/>
  <c r="H21" i="4"/>
  <c r="AP20" i="4"/>
  <c r="AO20" i="4"/>
  <c r="AN20" i="4"/>
  <c r="AM20" i="4"/>
  <c r="AL20" i="4"/>
  <c r="AK20" i="4"/>
  <c r="AJ20" i="4"/>
  <c r="AI20" i="4"/>
  <c r="AH20" i="4"/>
  <c r="AG20" i="4"/>
  <c r="AB20" i="4"/>
  <c r="AA20" i="4"/>
  <c r="Z20" i="4"/>
  <c r="Y20" i="4"/>
  <c r="X20" i="4"/>
  <c r="W20" i="4"/>
  <c r="V20" i="4"/>
  <c r="U20" i="4"/>
  <c r="T20" i="4"/>
  <c r="S20" i="4"/>
  <c r="R20" i="4"/>
  <c r="Q20" i="4"/>
  <c r="P20" i="4"/>
  <c r="O20" i="4"/>
  <c r="N20" i="4"/>
  <c r="M20" i="4"/>
  <c r="L20" i="4"/>
  <c r="K20" i="4"/>
  <c r="J20" i="4"/>
  <c r="I20" i="4"/>
  <c r="H20" i="4"/>
  <c r="AL19" i="4"/>
  <c r="AK19" i="4"/>
  <c r="AJ19" i="4"/>
  <c r="AI19" i="4"/>
  <c r="AH19" i="4"/>
  <c r="AG19" i="4"/>
  <c r="AB19" i="4"/>
  <c r="AA19" i="4"/>
  <c r="Z19" i="4"/>
  <c r="Y19" i="4"/>
  <c r="X19" i="4"/>
  <c r="W19" i="4"/>
  <c r="V19" i="4"/>
  <c r="U19" i="4"/>
  <c r="T19" i="4"/>
  <c r="S19" i="4"/>
  <c r="R19" i="4"/>
  <c r="Q19" i="4"/>
  <c r="P19" i="4"/>
  <c r="O19" i="4"/>
  <c r="N19" i="4"/>
  <c r="M19" i="4"/>
  <c r="L19" i="4"/>
  <c r="K19" i="4"/>
  <c r="J19" i="4"/>
  <c r="I19" i="4"/>
  <c r="H19" i="4"/>
  <c r="AN18" i="4"/>
  <c r="AM18" i="4"/>
  <c r="AL18" i="4"/>
  <c r="AK18" i="4"/>
  <c r="AJ18" i="4"/>
  <c r="AI18" i="4"/>
  <c r="AH18" i="4"/>
  <c r="AG18" i="4"/>
  <c r="AB18" i="4"/>
  <c r="AA18" i="4"/>
  <c r="Z18" i="4"/>
  <c r="Y18" i="4"/>
  <c r="X18" i="4"/>
  <c r="W18" i="4"/>
  <c r="V18" i="4"/>
  <c r="U18" i="4"/>
  <c r="T18" i="4"/>
  <c r="S18" i="4"/>
  <c r="R18" i="4"/>
  <c r="Q18" i="4"/>
  <c r="P18" i="4"/>
  <c r="O18" i="4"/>
  <c r="N18" i="4"/>
  <c r="M18" i="4"/>
  <c r="L18" i="4"/>
  <c r="K18" i="4"/>
  <c r="J18" i="4"/>
  <c r="I18" i="4"/>
  <c r="H18" i="4"/>
  <c r="AN17" i="4"/>
  <c r="AM17" i="4"/>
  <c r="AL17" i="4"/>
  <c r="AK17" i="4"/>
  <c r="AJ17" i="4"/>
  <c r="AI17" i="4"/>
  <c r="AH17" i="4"/>
  <c r="AG17" i="4"/>
  <c r="AB17" i="4"/>
  <c r="AA17" i="4"/>
  <c r="Z17" i="4"/>
  <c r="Y17" i="4"/>
  <c r="X17" i="4"/>
  <c r="W17" i="4"/>
  <c r="V17" i="4"/>
  <c r="U17" i="4"/>
  <c r="T17" i="4"/>
  <c r="S17" i="4"/>
  <c r="R17" i="4"/>
  <c r="Q17" i="4"/>
  <c r="P17" i="4"/>
  <c r="O17" i="4"/>
  <c r="N17" i="4"/>
  <c r="M17" i="4"/>
  <c r="L17" i="4"/>
  <c r="K17" i="4"/>
  <c r="J17" i="4"/>
  <c r="I17" i="4"/>
  <c r="H17" i="4"/>
  <c r="AN16" i="4"/>
  <c r="AM16" i="4"/>
  <c r="AL16" i="4"/>
  <c r="AK16" i="4"/>
  <c r="AJ16" i="4"/>
  <c r="AI16" i="4"/>
  <c r="AH16" i="4"/>
  <c r="AG16" i="4"/>
  <c r="AB16" i="4"/>
  <c r="AA16" i="4"/>
  <c r="Z16" i="4"/>
  <c r="Y16" i="4"/>
  <c r="X16" i="4"/>
  <c r="W16" i="4"/>
  <c r="V16" i="4"/>
  <c r="U16" i="4"/>
  <c r="T16" i="4"/>
  <c r="S16" i="4"/>
  <c r="R16" i="4"/>
  <c r="Q16" i="4"/>
  <c r="P16" i="4"/>
  <c r="O16" i="4"/>
  <c r="N16" i="4"/>
  <c r="M16" i="4"/>
  <c r="L16" i="4"/>
  <c r="K16" i="4"/>
  <c r="J16" i="4"/>
  <c r="I16" i="4"/>
  <c r="H16" i="4"/>
  <c r="AL15" i="4"/>
  <c r="AK15" i="4"/>
  <c r="AJ15" i="4"/>
  <c r="AI15" i="4"/>
  <c r="AH15" i="4"/>
  <c r="AG15" i="4"/>
  <c r="AB15" i="4"/>
  <c r="AA15" i="4"/>
  <c r="Z15" i="4"/>
  <c r="Y15" i="4"/>
  <c r="X15" i="4"/>
  <c r="W15" i="4"/>
  <c r="V15" i="4"/>
  <c r="U15" i="4"/>
  <c r="T15" i="4"/>
  <c r="S15" i="4"/>
  <c r="R15" i="4"/>
  <c r="Q15" i="4"/>
  <c r="P15" i="4"/>
  <c r="O15" i="4"/>
  <c r="N15" i="4"/>
  <c r="M15" i="4"/>
  <c r="L15" i="4"/>
  <c r="K15" i="4"/>
  <c r="J15" i="4"/>
  <c r="I15" i="4"/>
  <c r="H15" i="4"/>
  <c r="AL14" i="4"/>
  <c r="AK14" i="4"/>
  <c r="AJ14" i="4"/>
  <c r="AI14" i="4"/>
  <c r="AH14" i="4"/>
  <c r="AG14" i="4"/>
  <c r="AB14" i="4"/>
  <c r="AA14" i="4"/>
  <c r="Z14" i="4"/>
  <c r="Y14" i="4"/>
  <c r="X14" i="4"/>
  <c r="W14" i="4"/>
  <c r="V14" i="4"/>
  <c r="U14" i="4"/>
  <c r="T14" i="4"/>
  <c r="S14" i="4"/>
  <c r="R14" i="4"/>
  <c r="Q14" i="4"/>
  <c r="P14" i="4"/>
  <c r="O14" i="4"/>
  <c r="N14" i="4"/>
  <c r="M14" i="4"/>
  <c r="L14" i="4"/>
  <c r="K14" i="4"/>
  <c r="J14" i="4"/>
  <c r="I14" i="4"/>
  <c r="H14" i="4"/>
  <c r="AL13" i="4"/>
  <c r="AK13" i="4"/>
  <c r="AJ13" i="4"/>
  <c r="AI13" i="4"/>
  <c r="AH13" i="4"/>
  <c r="AG13" i="4"/>
  <c r="AB13" i="4"/>
  <c r="AA13" i="4"/>
  <c r="Z13" i="4"/>
  <c r="Y13" i="4"/>
  <c r="X13" i="4"/>
  <c r="W13" i="4"/>
  <c r="V13" i="4"/>
  <c r="U13" i="4"/>
  <c r="T13" i="4"/>
  <c r="S13" i="4"/>
  <c r="R13" i="4"/>
  <c r="Q13" i="4"/>
  <c r="P13" i="4"/>
  <c r="O13" i="4"/>
  <c r="N13" i="4"/>
  <c r="M13" i="4"/>
  <c r="L13" i="4"/>
  <c r="K13" i="4"/>
  <c r="J13" i="4"/>
  <c r="I13" i="4"/>
  <c r="H13" i="4"/>
  <c r="AL12" i="4"/>
  <c r="AK12" i="4"/>
  <c r="AJ12" i="4"/>
  <c r="AI12" i="4"/>
  <c r="AH12" i="4"/>
  <c r="AG12" i="4"/>
  <c r="AB12" i="4"/>
  <c r="AA12" i="4"/>
  <c r="Z12" i="4"/>
  <c r="Y12" i="4"/>
  <c r="X12" i="4"/>
  <c r="W12" i="4"/>
  <c r="V12" i="4"/>
  <c r="U12" i="4"/>
  <c r="T12" i="4"/>
  <c r="S12" i="4"/>
  <c r="R12" i="4"/>
  <c r="Q12" i="4"/>
  <c r="P12" i="4"/>
  <c r="O12" i="4"/>
  <c r="N12" i="4"/>
  <c r="M12" i="4"/>
  <c r="L12" i="4"/>
  <c r="K12" i="4"/>
  <c r="J12" i="4"/>
  <c r="I12" i="4"/>
  <c r="H12" i="4"/>
  <c r="AN11" i="4"/>
  <c r="AM11" i="4"/>
  <c r="AL11" i="4"/>
  <c r="AK11" i="4"/>
  <c r="AJ11" i="4"/>
  <c r="AI11" i="4"/>
  <c r="AH11" i="4"/>
  <c r="AG11" i="4"/>
  <c r="AB11" i="4"/>
  <c r="AA11" i="4"/>
  <c r="Z11" i="4"/>
  <c r="Y11" i="4"/>
  <c r="X11" i="4"/>
  <c r="W11" i="4"/>
  <c r="V11" i="4"/>
  <c r="U11" i="4"/>
  <c r="T11" i="4"/>
  <c r="S11" i="4"/>
  <c r="R11" i="4"/>
  <c r="Q11" i="4"/>
  <c r="P11" i="4"/>
  <c r="O11" i="4"/>
  <c r="N11" i="4"/>
  <c r="M11" i="4"/>
  <c r="L11" i="4"/>
  <c r="K11" i="4"/>
  <c r="J11" i="4"/>
  <c r="I11" i="4"/>
  <c r="H11" i="4"/>
  <c r="AL10" i="4"/>
  <c r="AK10" i="4"/>
  <c r="AJ10" i="4"/>
  <c r="AI10" i="4"/>
  <c r="AH10" i="4"/>
  <c r="AG10" i="4"/>
  <c r="AB10" i="4"/>
  <c r="AA10" i="4"/>
  <c r="Z10" i="4"/>
  <c r="Y10" i="4"/>
  <c r="X10" i="4"/>
  <c r="W10" i="4"/>
  <c r="V10" i="4"/>
  <c r="U10" i="4"/>
  <c r="T10" i="4"/>
  <c r="S10" i="4"/>
  <c r="R10" i="4"/>
  <c r="Q10" i="4"/>
  <c r="P10" i="4"/>
  <c r="O10" i="4"/>
  <c r="N10" i="4"/>
  <c r="M10" i="4"/>
  <c r="L10" i="4"/>
  <c r="K10" i="4"/>
  <c r="J10" i="4"/>
  <c r="I10" i="4"/>
  <c r="H10" i="4"/>
  <c r="AL9" i="4"/>
  <c r="AK9" i="4"/>
  <c r="AJ9" i="4"/>
  <c r="AI9" i="4"/>
  <c r="AH9" i="4"/>
  <c r="AG9" i="4"/>
  <c r="AB9" i="4"/>
  <c r="AA9" i="4"/>
  <c r="Z9" i="4"/>
  <c r="Y9" i="4"/>
  <c r="X9" i="4"/>
  <c r="W9" i="4"/>
  <c r="V9" i="4"/>
  <c r="U9" i="4"/>
  <c r="T9" i="4"/>
  <c r="S9" i="4"/>
  <c r="R9" i="4"/>
  <c r="Q9" i="4"/>
  <c r="P9" i="4"/>
  <c r="O9" i="4"/>
  <c r="N9" i="4"/>
  <c r="M9" i="4"/>
  <c r="L9" i="4"/>
  <c r="K9" i="4"/>
  <c r="J9" i="4"/>
  <c r="I9" i="4"/>
  <c r="H9" i="4"/>
  <c r="AL8" i="4"/>
  <c r="AK8" i="4"/>
  <c r="AJ8" i="4"/>
  <c r="AI8" i="4"/>
  <c r="AH8" i="4"/>
  <c r="AG8" i="4"/>
  <c r="AB8" i="4"/>
  <c r="AA8" i="4"/>
  <c r="Z8" i="4"/>
  <c r="Y8" i="4"/>
  <c r="X8" i="4"/>
  <c r="W8" i="4"/>
  <c r="V8" i="4"/>
  <c r="U8" i="4"/>
  <c r="T8" i="4"/>
  <c r="S8" i="4"/>
  <c r="R8" i="4"/>
  <c r="Q8" i="4"/>
  <c r="P8" i="4"/>
  <c r="O8" i="4"/>
  <c r="N8" i="4"/>
  <c r="M8" i="4"/>
  <c r="L8" i="4"/>
  <c r="K8" i="4"/>
  <c r="J8" i="4"/>
  <c r="I8" i="4"/>
  <c r="H8" i="4"/>
  <c r="AL7" i="4"/>
  <c r="AK7" i="4"/>
  <c r="AJ7" i="4"/>
  <c r="AI7" i="4"/>
  <c r="AH7" i="4"/>
  <c r="AG7" i="4"/>
  <c r="AB7" i="4"/>
  <c r="AA7" i="4"/>
  <c r="Z7" i="4"/>
  <c r="Y7" i="4"/>
  <c r="X7" i="4"/>
  <c r="W7" i="4"/>
  <c r="V7" i="4"/>
  <c r="U7" i="4"/>
  <c r="T7" i="4"/>
  <c r="S7" i="4"/>
  <c r="R7" i="4"/>
  <c r="Q7" i="4"/>
  <c r="P7" i="4"/>
  <c r="O7" i="4"/>
  <c r="N7" i="4"/>
  <c r="M7" i="4"/>
  <c r="L7" i="4"/>
  <c r="K7" i="4"/>
  <c r="J7" i="4"/>
  <c r="I7" i="4"/>
  <c r="H7" i="4"/>
  <c r="AL6" i="4"/>
  <c r="AK6" i="4"/>
  <c r="AJ6" i="4"/>
  <c r="AI6" i="4"/>
  <c r="AH6" i="4"/>
  <c r="AG6" i="4"/>
  <c r="AB6" i="4"/>
  <c r="AA6" i="4"/>
  <c r="Z6" i="4"/>
  <c r="Y6" i="4"/>
  <c r="X6" i="4"/>
  <c r="W6" i="4"/>
  <c r="V6" i="4"/>
  <c r="U6" i="4"/>
  <c r="T6" i="4"/>
  <c r="S6" i="4"/>
  <c r="R6" i="4"/>
  <c r="Q6" i="4"/>
  <c r="P6" i="4"/>
  <c r="O6" i="4"/>
  <c r="N6" i="4"/>
  <c r="M6" i="4"/>
  <c r="L6" i="4"/>
  <c r="K6" i="4"/>
  <c r="J6" i="4"/>
  <c r="I6" i="4"/>
  <c r="H6" i="4"/>
  <c r="AL5" i="4"/>
  <c r="AK5" i="4"/>
  <c r="AJ5" i="4"/>
  <c r="AI5" i="4"/>
  <c r="AH5" i="4"/>
  <c r="AG5" i="4"/>
  <c r="AB5" i="4"/>
  <c r="AA5" i="4"/>
  <c r="Z5" i="4"/>
  <c r="Y5" i="4"/>
  <c r="X5" i="4"/>
  <c r="W5" i="4"/>
  <c r="V5" i="4"/>
  <c r="U5" i="4"/>
  <c r="T5" i="4"/>
  <c r="S5" i="4"/>
  <c r="R5" i="4"/>
  <c r="Q5" i="4"/>
  <c r="P5" i="4"/>
  <c r="O5" i="4"/>
  <c r="N5" i="4"/>
  <c r="M5" i="4"/>
  <c r="L5" i="4"/>
  <c r="K5" i="4"/>
  <c r="J5" i="4"/>
  <c r="I5" i="4"/>
  <c r="H5" i="4"/>
  <c r="AL4" i="4"/>
  <c r="AK4" i="4"/>
  <c r="AJ4" i="4"/>
  <c r="AI4" i="4"/>
  <c r="AH4" i="4"/>
  <c r="AG4" i="4"/>
  <c r="AB4" i="4"/>
  <c r="AA4" i="4"/>
  <c r="Z4" i="4"/>
  <c r="Y4" i="4"/>
  <c r="X4" i="4"/>
  <c r="W4" i="4"/>
  <c r="V4" i="4"/>
  <c r="U4" i="4"/>
  <c r="T4" i="4"/>
  <c r="S4" i="4"/>
  <c r="R4" i="4"/>
  <c r="Q4" i="4"/>
  <c r="P4" i="4"/>
  <c r="O4" i="4"/>
  <c r="N4" i="4"/>
  <c r="M4" i="4"/>
  <c r="L4" i="4"/>
  <c r="K4" i="4"/>
  <c r="J4" i="4"/>
  <c r="I4" i="4"/>
  <c r="H4" i="4"/>
  <c r="AL3" i="4"/>
  <c r="AK3" i="4"/>
  <c r="AJ3" i="4"/>
  <c r="AI3" i="4"/>
  <c r="AH3" i="4"/>
  <c r="AG3" i="4"/>
  <c r="AB3" i="4"/>
  <c r="AA3" i="4"/>
  <c r="Z3" i="4"/>
  <c r="Y3" i="4"/>
  <c r="X3" i="4"/>
  <c r="W3" i="4"/>
  <c r="V3" i="4"/>
  <c r="U3" i="4"/>
  <c r="T3" i="4"/>
  <c r="S3" i="4"/>
  <c r="R3" i="4"/>
  <c r="Q3" i="4"/>
  <c r="P3" i="4"/>
  <c r="O3" i="4"/>
  <c r="N3" i="4"/>
  <c r="M3" i="4"/>
  <c r="L3" i="4"/>
  <c r="K3" i="4"/>
  <c r="J3" i="4"/>
  <c r="I3" i="4"/>
  <c r="H3" i="4"/>
  <c r="AL2" i="4"/>
  <c r="AK2" i="4"/>
  <c r="AJ2" i="4"/>
  <c r="AI2" i="4"/>
  <c r="AH2" i="4"/>
  <c r="AG2" i="4"/>
  <c r="AB2" i="4"/>
  <c r="AA2" i="4"/>
  <c r="Z2" i="4"/>
  <c r="Y2" i="4"/>
  <c r="X2" i="4"/>
  <c r="W2" i="4"/>
  <c r="V2" i="4"/>
  <c r="U2" i="4"/>
  <c r="T2" i="4"/>
  <c r="S2" i="4"/>
  <c r="R2" i="4"/>
  <c r="Q2" i="4"/>
  <c r="P2" i="4"/>
  <c r="O2" i="4"/>
  <c r="N2" i="4"/>
  <c r="M2" i="4"/>
  <c r="L2" i="4"/>
  <c r="K2" i="4"/>
  <c r="J2" i="4"/>
  <c r="I2" i="4"/>
  <c r="H2" i="4"/>
  <c r="AJ215" i="3"/>
  <c r="AI215" i="3"/>
  <c r="AH215" i="3"/>
  <c r="AG215" i="3"/>
  <c r="AB215" i="3"/>
  <c r="AA215" i="3"/>
  <c r="Z215" i="3"/>
  <c r="Y215" i="3"/>
  <c r="X215" i="3"/>
  <c r="W215" i="3"/>
  <c r="V215" i="3"/>
  <c r="U215" i="3"/>
  <c r="T215" i="3"/>
  <c r="S215" i="3"/>
  <c r="R215" i="3"/>
  <c r="Q215" i="3"/>
  <c r="P215" i="3"/>
  <c r="O215" i="3"/>
  <c r="N215" i="3"/>
  <c r="M215" i="3"/>
  <c r="L215" i="3"/>
  <c r="K215" i="3"/>
  <c r="J215" i="3"/>
  <c r="I215" i="3"/>
  <c r="H215" i="3"/>
  <c r="AJ214" i="3"/>
  <c r="AI214" i="3"/>
  <c r="AH214" i="3"/>
  <c r="AG214" i="3"/>
  <c r="AB214" i="3"/>
  <c r="AA214" i="3"/>
  <c r="Z214" i="3"/>
  <c r="Y214" i="3"/>
  <c r="X214" i="3"/>
  <c r="W214" i="3"/>
  <c r="V214" i="3"/>
  <c r="U214" i="3"/>
  <c r="T214" i="3"/>
  <c r="S214" i="3"/>
  <c r="R214" i="3"/>
  <c r="Q214" i="3"/>
  <c r="P214" i="3"/>
  <c r="O214" i="3"/>
  <c r="N214" i="3"/>
  <c r="M214" i="3"/>
  <c r="L214" i="3"/>
  <c r="K214" i="3"/>
  <c r="J214" i="3"/>
  <c r="I214" i="3"/>
  <c r="H214" i="3"/>
  <c r="AP213" i="3"/>
  <c r="AO213" i="3"/>
  <c r="AN213" i="3"/>
  <c r="AM213" i="3"/>
  <c r="AL213" i="3"/>
  <c r="AK213" i="3"/>
  <c r="AJ213" i="3"/>
  <c r="AI213" i="3"/>
  <c r="AH213" i="3"/>
  <c r="AG213" i="3"/>
  <c r="AB213" i="3"/>
  <c r="AA213" i="3"/>
  <c r="Z213" i="3"/>
  <c r="Y213" i="3"/>
  <c r="X213" i="3"/>
  <c r="W213" i="3"/>
  <c r="V213" i="3"/>
  <c r="U213" i="3"/>
  <c r="T213" i="3"/>
  <c r="S213" i="3"/>
  <c r="R213" i="3"/>
  <c r="Q213" i="3"/>
  <c r="P213" i="3"/>
  <c r="O213" i="3"/>
  <c r="N213" i="3"/>
  <c r="M213" i="3"/>
  <c r="L213" i="3"/>
  <c r="K213" i="3"/>
  <c r="J213" i="3"/>
  <c r="I213" i="3"/>
  <c r="H213" i="3"/>
  <c r="AP212" i="3"/>
  <c r="AO212" i="3"/>
  <c r="AN212" i="3"/>
  <c r="AM212" i="3"/>
  <c r="AL212" i="3"/>
  <c r="AK212" i="3"/>
  <c r="AJ212" i="3"/>
  <c r="AI212" i="3"/>
  <c r="AH212" i="3"/>
  <c r="AG212" i="3"/>
  <c r="AB212" i="3"/>
  <c r="AA212" i="3"/>
  <c r="Z212" i="3"/>
  <c r="Y212" i="3"/>
  <c r="X212" i="3"/>
  <c r="W212" i="3"/>
  <c r="V212" i="3"/>
  <c r="U212" i="3"/>
  <c r="T212" i="3"/>
  <c r="S212" i="3"/>
  <c r="R212" i="3"/>
  <c r="Q212" i="3"/>
  <c r="P212" i="3"/>
  <c r="O212" i="3"/>
  <c r="N212" i="3"/>
  <c r="M212" i="3"/>
  <c r="L212" i="3"/>
  <c r="K212" i="3"/>
  <c r="J212" i="3"/>
  <c r="I212" i="3"/>
  <c r="H212" i="3"/>
  <c r="AH211" i="3"/>
  <c r="AG211" i="3"/>
  <c r="AB211" i="3"/>
  <c r="AA211" i="3"/>
  <c r="Z211" i="3"/>
  <c r="Y211" i="3"/>
  <c r="X211" i="3"/>
  <c r="W211" i="3"/>
  <c r="V211" i="3"/>
  <c r="U211" i="3"/>
  <c r="T211" i="3"/>
  <c r="S211" i="3"/>
  <c r="R211" i="3"/>
  <c r="Q211" i="3"/>
  <c r="P211" i="3"/>
  <c r="O211" i="3"/>
  <c r="N211" i="3"/>
  <c r="M211" i="3"/>
  <c r="L211" i="3"/>
  <c r="K211" i="3"/>
  <c r="J211" i="3"/>
  <c r="I211" i="3"/>
  <c r="H211" i="3"/>
  <c r="AH210" i="3"/>
  <c r="AG210" i="3"/>
  <c r="AB210" i="3"/>
  <c r="AA210" i="3"/>
  <c r="Z210" i="3"/>
  <c r="Y210" i="3"/>
  <c r="X210" i="3"/>
  <c r="W210" i="3"/>
  <c r="V210" i="3"/>
  <c r="U210" i="3"/>
  <c r="T210" i="3"/>
  <c r="S210" i="3"/>
  <c r="R210" i="3"/>
  <c r="Q210" i="3"/>
  <c r="P210" i="3"/>
  <c r="O210" i="3"/>
  <c r="N210" i="3"/>
  <c r="M210" i="3"/>
  <c r="L210" i="3"/>
  <c r="K210" i="3"/>
  <c r="J210" i="3"/>
  <c r="I210" i="3"/>
  <c r="H210" i="3"/>
  <c r="AH209" i="3"/>
  <c r="AG209" i="3"/>
  <c r="AB209" i="3"/>
  <c r="AA209" i="3"/>
  <c r="Z209" i="3"/>
  <c r="Y209" i="3"/>
  <c r="X209" i="3"/>
  <c r="W209" i="3"/>
  <c r="V209" i="3"/>
  <c r="U209" i="3"/>
  <c r="T209" i="3"/>
  <c r="S209" i="3"/>
  <c r="R209" i="3"/>
  <c r="Q209" i="3"/>
  <c r="P209" i="3"/>
  <c r="O209" i="3"/>
  <c r="N209" i="3"/>
  <c r="M209" i="3"/>
  <c r="L209" i="3"/>
  <c r="K209" i="3"/>
  <c r="J209" i="3"/>
  <c r="I209" i="3"/>
  <c r="H209" i="3"/>
  <c r="AH208" i="3"/>
  <c r="AG208" i="3"/>
  <c r="AB208" i="3"/>
  <c r="AA208" i="3"/>
  <c r="Z208" i="3"/>
  <c r="Y208" i="3"/>
  <c r="X208" i="3"/>
  <c r="W208" i="3"/>
  <c r="V208" i="3"/>
  <c r="U208" i="3"/>
  <c r="T208" i="3"/>
  <c r="S208" i="3"/>
  <c r="R208" i="3"/>
  <c r="Q208" i="3"/>
  <c r="P208" i="3"/>
  <c r="O208" i="3"/>
  <c r="N208" i="3"/>
  <c r="M208" i="3"/>
  <c r="L208" i="3"/>
  <c r="K208" i="3"/>
  <c r="J208" i="3"/>
  <c r="I208" i="3"/>
  <c r="H208" i="3"/>
  <c r="AH207" i="3"/>
  <c r="AG207" i="3"/>
  <c r="AB207" i="3"/>
  <c r="AA207" i="3"/>
  <c r="Z207" i="3"/>
  <c r="Y207" i="3"/>
  <c r="X207" i="3"/>
  <c r="W207" i="3"/>
  <c r="V207" i="3"/>
  <c r="U207" i="3"/>
  <c r="T207" i="3"/>
  <c r="S207" i="3"/>
  <c r="R207" i="3"/>
  <c r="Q207" i="3"/>
  <c r="P207" i="3"/>
  <c r="O207" i="3"/>
  <c r="N207" i="3"/>
  <c r="M207" i="3"/>
  <c r="L207" i="3"/>
  <c r="K207" i="3"/>
  <c r="J207" i="3"/>
  <c r="I207" i="3"/>
  <c r="H207" i="3"/>
  <c r="AH206" i="3"/>
  <c r="AG206" i="3"/>
  <c r="AB206" i="3"/>
  <c r="AA206" i="3"/>
  <c r="Z206" i="3"/>
  <c r="Y206" i="3"/>
  <c r="X206" i="3"/>
  <c r="W206" i="3"/>
  <c r="V206" i="3"/>
  <c r="U206" i="3"/>
  <c r="T206" i="3"/>
  <c r="S206" i="3"/>
  <c r="R206" i="3"/>
  <c r="Q206" i="3"/>
  <c r="P206" i="3"/>
  <c r="O206" i="3"/>
  <c r="N206" i="3"/>
  <c r="M206" i="3"/>
  <c r="L206" i="3"/>
  <c r="K206" i="3"/>
  <c r="J206" i="3"/>
  <c r="I206" i="3"/>
  <c r="H206" i="3"/>
  <c r="AL205" i="3"/>
  <c r="AK205" i="3"/>
  <c r="AJ205" i="3"/>
  <c r="AI205" i="3"/>
  <c r="AH205" i="3"/>
  <c r="AG205" i="3"/>
  <c r="AB205" i="3"/>
  <c r="AA205" i="3"/>
  <c r="Z205" i="3"/>
  <c r="Y205" i="3"/>
  <c r="X205" i="3"/>
  <c r="W205" i="3"/>
  <c r="V205" i="3"/>
  <c r="U205" i="3"/>
  <c r="T205" i="3"/>
  <c r="S205" i="3"/>
  <c r="R205" i="3"/>
  <c r="Q205" i="3"/>
  <c r="P205" i="3"/>
  <c r="O205" i="3"/>
  <c r="N205" i="3"/>
  <c r="M205" i="3"/>
  <c r="L205" i="3"/>
  <c r="K205" i="3"/>
  <c r="J205" i="3"/>
  <c r="I205" i="3"/>
  <c r="H205" i="3"/>
  <c r="AH204" i="3"/>
  <c r="AG204" i="3"/>
  <c r="AB204" i="3"/>
  <c r="AA204" i="3"/>
  <c r="Z204" i="3"/>
  <c r="Y204" i="3"/>
  <c r="X204" i="3"/>
  <c r="W204" i="3"/>
  <c r="V204" i="3"/>
  <c r="U204" i="3"/>
  <c r="T204" i="3"/>
  <c r="S204" i="3"/>
  <c r="R204" i="3"/>
  <c r="Q204" i="3"/>
  <c r="P204" i="3"/>
  <c r="O204" i="3"/>
  <c r="N204" i="3"/>
  <c r="M204" i="3"/>
  <c r="L204" i="3"/>
  <c r="K204" i="3"/>
  <c r="J204" i="3"/>
  <c r="I204" i="3"/>
  <c r="H204" i="3"/>
  <c r="AH203" i="3"/>
  <c r="AG203" i="3"/>
  <c r="AB203" i="3"/>
  <c r="AA203" i="3"/>
  <c r="Z203" i="3"/>
  <c r="Y203" i="3"/>
  <c r="X203" i="3"/>
  <c r="W203" i="3"/>
  <c r="V203" i="3"/>
  <c r="U203" i="3"/>
  <c r="T203" i="3"/>
  <c r="S203" i="3"/>
  <c r="R203" i="3"/>
  <c r="Q203" i="3"/>
  <c r="P203" i="3"/>
  <c r="O203" i="3"/>
  <c r="N203" i="3"/>
  <c r="M203" i="3"/>
  <c r="L203" i="3"/>
  <c r="K203" i="3"/>
  <c r="J203" i="3"/>
  <c r="I203" i="3"/>
  <c r="H203" i="3"/>
  <c r="AR202" i="3"/>
  <c r="AQ202" i="3"/>
  <c r="AP202" i="3"/>
  <c r="AO202" i="3"/>
  <c r="AN202" i="3"/>
  <c r="AM202" i="3"/>
  <c r="AL202" i="3"/>
  <c r="AK202" i="3"/>
  <c r="AJ202" i="3"/>
  <c r="AI202" i="3"/>
  <c r="AH202" i="3"/>
  <c r="AG202" i="3"/>
  <c r="AF202" i="3"/>
  <c r="AE202" i="3"/>
  <c r="AB202" i="3"/>
  <c r="AA202" i="3"/>
  <c r="Z202" i="3"/>
  <c r="Y202" i="3"/>
  <c r="X202" i="3"/>
  <c r="W202" i="3"/>
  <c r="V202" i="3"/>
  <c r="U202" i="3"/>
  <c r="T202" i="3"/>
  <c r="S202" i="3"/>
  <c r="R202" i="3"/>
  <c r="Q202" i="3"/>
  <c r="P202" i="3"/>
  <c r="O202" i="3"/>
  <c r="N202" i="3"/>
  <c r="M202" i="3"/>
  <c r="L202" i="3"/>
  <c r="K202" i="3"/>
  <c r="J202" i="3"/>
  <c r="I202" i="3"/>
  <c r="H202" i="3"/>
  <c r="AR201" i="3"/>
  <c r="AQ201" i="3"/>
  <c r="AP201" i="3"/>
  <c r="AO201" i="3"/>
  <c r="AN201" i="3"/>
  <c r="AM201" i="3"/>
  <c r="AL201" i="3"/>
  <c r="AK201" i="3"/>
  <c r="AJ201" i="3"/>
  <c r="AI201" i="3"/>
  <c r="AH201" i="3"/>
  <c r="AG201" i="3"/>
  <c r="AB201" i="3"/>
  <c r="AA201" i="3"/>
  <c r="Z201" i="3"/>
  <c r="Y201" i="3"/>
  <c r="X201" i="3"/>
  <c r="W201" i="3"/>
  <c r="V201" i="3"/>
  <c r="U201" i="3"/>
  <c r="T201" i="3"/>
  <c r="S201" i="3"/>
  <c r="R201" i="3"/>
  <c r="Q201" i="3"/>
  <c r="P201" i="3"/>
  <c r="O201" i="3"/>
  <c r="N201" i="3"/>
  <c r="M201" i="3"/>
  <c r="L201" i="3"/>
  <c r="K201" i="3"/>
  <c r="J201" i="3"/>
  <c r="I201" i="3"/>
  <c r="H201" i="3"/>
  <c r="AR200" i="3"/>
  <c r="AQ200" i="3"/>
  <c r="AP200" i="3"/>
  <c r="AO200" i="3"/>
  <c r="AN200" i="3"/>
  <c r="AM200" i="3"/>
  <c r="AL200" i="3"/>
  <c r="AK200" i="3"/>
  <c r="AJ200" i="3"/>
  <c r="AI200" i="3"/>
  <c r="AH200" i="3"/>
  <c r="AG200" i="3"/>
  <c r="AB200" i="3"/>
  <c r="AA200" i="3"/>
  <c r="Z200" i="3"/>
  <c r="Y200" i="3"/>
  <c r="X200" i="3"/>
  <c r="W200" i="3"/>
  <c r="V200" i="3"/>
  <c r="U200" i="3"/>
  <c r="T200" i="3"/>
  <c r="S200" i="3"/>
  <c r="R200" i="3"/>
  <c r="Q200" i="3"/>
  <c r="P200" i="3"/>
  <c r="O200" i="3"/>
  <c r="N200" i="3"/>
  <c r="M200" i="3"/>
  <c r="L200" i="3"/>
  <c r="K200" i="3"/>
  <c r="J200" i="3"/>
  <c r="I200" i="3"/>
  <c r="H200" i="3"/>
  <c r="AP199" i="3"/>
  <c r="AO199" i="3"/>
  <c r="AN199" i="3"/>
  <c r="AM199" i="3"/>
  <c r="AL199" i="3"/>
  <c r="AK199" i="3"/>
  <c r="AJ199" i="3"/>
  <c r="AI199" i="3"/>
  <c r="AH199" i="3"/>
  <c r="AG199" i="3"/>
  <c r="AB199" i="3"/>
  <c r="AA199" i="3"/>
  <c r="Z199" i="3"/>
  <c r="Y199" i="3"/>
  <c r="X199" i="3"/>
  <c r="W199" i="3"/>
  <c r="V199" i="3"/>
  <c r="U199" i="3"/>
  <c r="T199" i="3"/>
  <c r="S199" i="3"/>
  <c r="R199" i="3"/>
  <c r="Q199" i="3"/>
  <c r="P199" i="3"/>
  <c r="O199" i="3"/>
  <c r="N199" i="3"/>
  <c r="M199" i="3"/>
  <c r="L199" i="3"/>
  <c r="K199" i="3"/>
  <c r="J199" i="3"/>
  <c r="I199" i="3"/>
  <c r="H199" i="3"/>
  <c r="AP198" i="3"/>
  <c r="AO198" i="3"/>
  <c r="AN198" i="3"/>
  <c r="AM198" i="3"/>
  <c r="AL198" i="3"/>
  <c r="AK198" i="3"/>
  <c r="AJ198" i="3"/>
  <c r="AI198" i="3"/>
  <c r="AH198" i="3"/>
  <c r="AG198" i="3"/>
  <c r="AB198" i="3"/>
  <c r="AA198" i="3"/>
  <c r="Z198" i="3"/>
  <c r="Y198" i="3"/>
  <c r="X198" i="3"/>
  <c r="W198" i="3"/>
  <c r="V198" i="3"/>
  <c r="U198" i="3"/>
  <c r="T198" i="3"/>
  <c r="S198" i="3"/>
  <c r="R198" i="3"/>
  <c r="Q198" i="3"/>
  <c r="P198" i="3"/>
  <c r="O198" i="3"/>
  <c r="N198" i="3"/>
  <c r="M198" i="3"/>
  <c r="L198" i="3"/>
  <c r="K198" i="3"/>
  <c r="J198" i="3"/>
  <c r="I198" i="3"/>
  <c r="H198" i="3"/>
  <c r="AP197" i="3"/>
  <c r="AO197" i="3"/>
  <c r="AN197" i="3"/>
  <c r="AM197" i="3"/>
  <c r="AL197" i="3"/>
  <c r="AK197" i="3"/>
  <c r="AJ197" i="3"/>
  <c r="AI197" i="3"/>
  <c r="AH197" i="3"/>
  <c r="AG197" i="3"/>
  <c r="AB197" i="3"/>
  <c r="AA197" i="3"/>
  <c r="Z197" i="3"/>
  <c r="Y197" i="3"/>
  <c r="X197" i="3"/>
  <c r="W197" i="3"/>
  <c r="V197" i="3"/>
  <c r="U197" i="3"/>
  <c r="T197" i="3"/>
  <c r="S197" i="3"/>
  <c r="R197" i="3"/>
  <c r="Q197" i="3"/>
  <c r="P197" i="3"/>
  <c r="O197" i="3"/>
  <c r="N197" i="3"/>
  <c r="M197" i="3"/>
  <c r="L197" i="3"/>
  <c r="K197" i="3"/>
  <c r="J197" i="3"/>
  <c r="I197" i="3"/>
  <c r="H197" i="3"/>
  <c r="AT196" i="3"/>
  <c r="AS196" i="3"/>
  <c r="AR196" i="3"/>
  <c r="AQ196" i="3"/>
  <c r="AP196" i="3"/>
  <c r="AO196" i="3"/>
  <c r="AN196" i="3"/>
  <c r="AM196" i="3"/>
  <c r="AL196" i="3"/>
  <c r="AK196" i="3"/>
  <c r="AJ196" i="3"/>
  <c r="AI196" i="3"/>
  <c r="AH196" i="3"/>
  <c r="AG196" i="3"/>
  <c r="AB196" i="3"/>
  <c r="AA196" i="3"/>
  <c r="Z196" i="3"/>
  <c r="Y196" i="3"/>
  <c r="X196" i="3"/>
  <c r="W196" i="3"/>
  <c r="V196" i="3"/>
  <c r="U196" i="3"/>
  <c r="T196" i="3"/>
  <c r="S196" i="3"/>
  <c r="R196" i="3"/>
  <c r="Q196" i="3"/>
  <c r="P196" i="3"/>
  <c r="O196" i="3"/>
  <c r="N196" i="3"/>
  <c r="M196" i="3"/>
  <c r="L196" i="3"/>
  <c r="K196" i="3"/>
  <c r="J196" i="3"/>
  <c r="I196" i="3"/>
  <c r="H196" i="3"/>
  <c r="AG195" i="3"/>
  <c r="AB195" i="3"/>
  <c r="AA195" i="3"/>
  <c r="Z195" i="3"/>
  <c r="Y195" i="3"/>
  <c r="X195" i="3"/>
  <c r="W195" i="3"/>
  <c r="V195" i="3"/>
  <c r="U195" i="3"/>
  <c r="T195" i="3"/>
  <c r="S195" i="3"/>
  <c r="R195" i="3"/>
  <c r="Q195" i="3"/>
  <c r="P195" i="3"/>
  <c r="O195" i="3"/>
  <c r="N195" i="3"/>
  <c r="M195" i="3"/>
  <c r="L195" i="3"/>
  <c r="K195" i="3"/>
  <c r="J195" i="3"/>
  <c r="I195" i="3"/>
  <c r="H195" i="3"/>
  <c r="AG194" i="3"/>
  <c r="AB194" i="3"/>
  <c r="AA194" i="3"/>
  <c r="Z194" i="3"/>
  <c r="Y194" i="3"/>
  <c r="X194" i="3"/>
  <c r="W194" i="3"/>
  <c r="V194" i="3"/>
  <c r="U194" i="3"/>
  <c r="T194" i="3"/>
  <c r="S194" i="3"/>
  <c r="R194" i="3"/>
  <c r="Q194" i="3"/>
  <c r="P194" i="3"/>
  <c r="O194" i="3"/>
  <c r="N194" i="3"/>
  <c r="M194" i="3"/>
  <c r="L194" i="3"/>
  <c r="K194" i="3"/>
  <c r="J194" i="3"/>
  <c r="I194" i="3"/>
  <c r="H194" i="3"/>
  <c r="AG193" i="3"/>
  <c r="AB193" i="3"/>
  <c r="AA193" i="3"/>
  <c r="Z193" i="3"/>
  <c r="Y193" i="3"/>
  <c r="X193" i="3"/>
  <c r="W193" i="3"/>
  <c r="V193" i="3"/>
  <c r="U193" i="3"/>
  <c r="T193" i="3"/>
  <c r="S193" i="3"/>
  <c r="R193" i="3"/>
  <c r="Q193" i="3"/>
  <c r="P193" i="3"/>
  <c r="O193" i="3"/>
  <c r="N193" i="3"/>
  <c r="M193" i="3"/>
  <c r="L193" i="3"/>
  <c r="K193" i="3"/>
  <c r="J193" i="3"/>
  <c r="I193" i="3"/>
  <c r="H193" i="3"/>
  <c r="AG192" i="3"/>
  <c r="AB192" i="3"/>
  <c r="AA192" i="3"/>
  <c r="Z192" i="3"/>
  <c r="Y192" i="3"/>
  <c r="X192" i="3"/>
  <c r="W192" i="3"/>
  <c r="V192" i="3"/>
  <c r="U192" i="3"/>
  <c r="T192" i="3"/>
  <c r="S192" i="3"/>
  <c r="R192" i="3"/>
  <c r="Q192" i="3"/>
  <c r="P192" i="3"/>
  <c r="O192" i="3"/>
  <c r="N192" i="3"/>
  <c r="M192" i="3"/>
  <c r="L192" i="3"/>
  <c r="K192" i="3"/>
  <c r="J192" i="3"/>
  <c r="I192" i="3"/>
  <c r="H192" i="3"/>
  <c r="AG191" i="3"/>
  <c r="AB191" i="3"/>
  <c r="AA191" i="3"/>
  <c r="Z191" i="3"/>
  <c r="Y191" i="3"/>
  <c r="X191" i="3"/>
  <c r="W191" i="3"/>
  <c r="V191" i="3"/>
  <c r="U191" i="3"/>
  <c r="T191" i="3"/>
  <c r="S191" i="3"/>
  <c r="R191" i="3"/>
  <c r="Q191" i="3"/>
  <c r="P191" i="3"/>
  <c r="O191" i="3"/>
  <c r="N191" i="3"/>
  <c r="M191" i="3"/>
  <c r="L191" i="3"/>
  <c r="K191" i="3"/>
  <c r="J191" i="3"/>
  <c r="I191" i="3"/>
  <c r="H191" i="3"/>
  <c r="AG190" i="3"/>
  <c r="AB190" i="3"/>
  <c r="AA190" i="3"/>
  <c r="Z190" i="3"/>
  <c r="Y190" i="3"/>
  <c r="X190" i="3"/>
  <c r="W190" i="3"/>
  <c r="V190" i="3"/>
  <c r="U190" i="3"/>
  <c r="T190" i="3"/>
  <c r="S190" i="3"/>
  <c r="R190" i="3"/>
  <c r="Q190" i="3"/>
  <c r="P190" i="3"/>
  <c r="O190" i="3"/>
  <c r="N190" i="3"/>
  <c r="M190" i="3"/>
  <c r="L190" i="3"/>
  <c r="K190" i="3"/>
  <c r="J190" i="3"/>
  <c r="I190" i="3"/>
  <c r="H190" i="3"/>
  <c r="AG189" i="3"/>
  <c r="AB189" i="3"/>
  <c r="AA189" i="3"/>
  <c r="Z189" i="3"/>
  <c r="Y189" i="3"/>
  <c r="X189" i="3"/>
  <c r="W189" i="3"/>
  <c r="V189" i="3"/>
  <c r="U189" i="3"/>
  <c r="T189" i="3"/>
  <c r="S189" i="3"/>
  <c r="R189" i="3"/>
  <c r="Q189" i="3"/>
  <c r="P189" i="3"/>
  <c r="O189" i="3"/>
  <c r="N189" i="3"/>
  <c r="M189" i="3"/>
  <c r="L189" i="3"/>
  <c r="K189" i="3"/>
  <c r="J189" i="3"/>
  <c r="I189" i="3"/>
  <c r="H189" i="3"/>
  <c r="AG188" i="3"/>
  <c r="AB188" i="3"/>
  <c r="AA188" i="3"/>
  <c r="Z188" i="3"/>
  <c r="Y188" i="3"/>
  <c r="X188" i="3"/>
  <c r="W188" i="3"/>
  <c r="V188" i="3"/>
  <c r="U188" i="3"/>
  <c r="T188" i="3"/>
  <c r="S188" i="3"/>
  <c r="R188" i="3"/>
  <c r="Q188" i="3"/>
  <c r="P188" i="3"/>
  <c r="O188" i="3"/>
  <c r="N188" i="3"/>
  <c r="M188" i="3"/>
  <c r="L188" i="3"/>
  <c r="K188" i="3"/>
  <c r="J188" i="3"/>
  <c r="I188" i="3"/>
  <c r="H188" i="3"/>
  <c r="AG187" i="3"/>
  <c r="AB187" i="3"/>
  <c r="AA187" i="3"/>
  <c r="Z187" i="3"/>
  <c r="Y187" i="3"/>
  <c r="X187" i="3"/>
  <c r="W187" i="3"/>
  <c r="V187" i="3"/>
  <c r="U187" i="3"/>
  <c r="T187" i="3"/>
  <c r="S187" i="3"/>
  <c r="R187" i="3"/>
  <c r="Q187" i="3"/>
  <c r="P187" i="3"/>
  <c r="O187" i="3"/>
  <c r="N187" i="3"/>
  <c r="M187" i="3"/>
  <c r="L187" i="3"/>
  <c r="K187" i="3"/>
  <c r="J187" i="3"/>
  <c r="I187" i="3"/>
  <c r="H187" i="3"/>
  <c r="AL186" i="3"/>
  <c r="AK186" i="3"/>
  <c r="AJ186" i="3"/>
  <c r="AI186" i="3"/>
  <c r="AH186" i="3"/>
  <c r="AG186" i="3"/>
  <c r="AB186" i="3"/>
  <c r="AA186" i="3"/>
  <c r="Z186" i="3"/>
  <c r="Y186" i="3"/>
  <c r="X186" i="3"/>
  <c r="W186" i="3"/>
  <c r="V186" i="3"/>
  <c r="U186" i="3"/>
  <c r="T186" i="3"/>
  <c r="S186" i="3"/>
  <c r="R186" i="3"/>
  <c r="Q186" i="3"/>
  <c r="P186" i="3"/>
  <c r="O186" i="3"/>
  <c r="N186" i="3"/>
  <c r="M186" i="3"/>
  <c r="L186" i="3"/>
  <c r="K186" i="3"/>
  <c r="J186" i="3"/>
  <c r="I186" i="3"/>
  <c r="H186" i="3"/>
  <c r="AJ185" i="3"/>
  <c r="AI185" i="3"/>
  <c r="AH185" i="3"/>
  <c r="AG185" i="3"/>
  <c r="AB185" i="3"/>
  <c r="AA185" i="3"/>
  <c r="Z185" i="3"/>
  <c r="Y185" i="3"/>
  <c r="X185" i="3"/>
  <c r="W185" i="3"/>
  <c r="V185" i="3"/>
  <c r="U185" i="3"/>
  <c r="T185" i="3"/>
  <c r="S185" i="3"/>
  <c r="R185" i="3"/>
  <c r="Q185" i="3"/>
  <c r="P185" i="3"/>
  <c r="O185" i="3"/>
  <c r="N185" i="3"/>
  <c r="M185" i="3"/>
  <c r="L185" i="3"/>
  <c r="K185" i="3"/>
  <c r="J185" i="3"/>
  <c r="I185" i="3"/>
  <c r="H185" i="3"/>
  <c r="AH184" i="3"/>
  <c r="AG184" i="3"/>
  <c r="AB184" i="3"/>
  <c r="AA184" i="3"/>
  <c r="Z184" i="3"/>
  <c r="Y184" i="3"/>
  <c r="X184" i="3"/>
  <c r="W184" i="3"/>
  <c r="V184" i="3"/>
  <c r="U184" i="3"/>
  <c r="T184" i="3"/>
  <c r="S184" i="3"/>
  <c r="R184" i="3"/>
  <c r="Q184" i="3"/>
  <c r="P184" i="3"/>
  <c r="O184" i="3"/>
  <c r="N184" i="3"/>
  <c r="M184" i="3"/>
  <c r="L184" i="3"/>
  <c r="K184" i="3"/>
  <c r="J184" i="3"/>
  <c r="I184" i="3"/>
  <c r="H184" i="3"/>
  <c r="AH183" i="3"/>
  <c r="AG183" i="3"/>
  <c r="AB183" i="3"/>
  <c r="AA183" i="3"/>
  <c r="Z183" i="3"/>
  <c r="Y183" i="3"/>
  <c r="X183" i="3"/>
  <c r="W183" i="3"/>
  <c r="V183" i="3"/>
  <c r="U183" i="3"/>
  <c r="T183" i="3"/>
  <c r="S183" i="3"/>
  <c r="R183" i="3"/>
  <c r="Q183" i="3"/>
  <c r="P183" i="3"/>
  <c r="O183" i="3"/>
  <c r="N183" i="3"/>
  <c r="M183" i="3"/>
  <c r="L183" i="3"/>
  <c r="K183" i="3"/>
  <c r="J183" i="3"/>
  <c r="I183" i="3"/>
  <c r="H183" i="3"/>
  <c r="AH182" i="3"/>
  <c r="AG182" i="3"/>
  <c r="AB182" i="3"/>
  <c r="AA182" i="3"/>
  <c r="Z182" i="3"/>
  <c r="Y182" i="3"/>
  <c r="X182" i="3"/>
  <c r="W182" i="3"/>
  <c r="V182" i="3"/>
  <c r="U182" i="3"/>
  <c r="T182" i="3"/>
  <c r="S182" i="3"/>
  <c r="R182" i="3"/>
  <c r="Q182" i="3"/>
  <c r="P182" i="3"/>
  <c r="O182" i="3"/>
  <c r="N182" i="3"/>
  <c r="M182" i="3"/>
  <c r="L182" i="3"/>
  <c r="K182" i="3"/>
  <c r="J182" i="3"/>
  <c r="I182" i="3"/>
  <c r="H182" i="3"/>
  <c r="AJ181" i="3"/>
  <c r="AI181" i="3"/>
  <c r="AH181" i="3"/>
  <c r="AG181" i="3"/>
  <c r="AB181" i="3"/>
  <c r="AA181" i="3"/>
  <c r="Z181" i="3"/>
  <c r="Y181" i="3"/>
  <c r="X181" i="3"/>
  <c r="W181" i="3"/>
  <c r="V181" i="3"/>
  <c r="U181" i="3"/>
  <c r="T181" i="3"/>
  <c r="S181" i="3"/>
  <c r="R181" i="3"/>
  <c r="Q181" i="3"/>
  <c r="P181" i="3"/>
  <c r="O181" i="3"/>
  <c r="N181" i="3"/>
  <c r="M181" i="3"/>
  <c r="L181" i="3"/>
  <c r="K181" i="3"/>
  <c r="J181" i="3"/>
  <c r="I181" i="3"/>
  <c r="H181" i="3"/>
  <c r="AJ180" i="3"/>
  <c r="AI180" i="3"/>
  <c r="AH180" i="3"/>
  <c r="AG180" i="3"/>
  <c r="AB180" i="3"/>
  <c r="AA180" i="3"/>
  <c r="Z180" i="3"/>
  <c r="Y180" i="3"/>
  <c r="X180" i="3"/>
  <c r="W180" i="3"/>
  <c r="V180" i="3"/>
  <c r="U180" i="3"/>
  <c r="T180" i="3"/>
  <c r="S180" i="3"/>
  <c r="R180" i="3"/>
  <c r="Q180" i="3"/>
  <c r="P180" i="3"/>
  <c r="O180" i="3"/>
  <c r="N180" i="3"/>
  <c r="M180" i="3"/>
  <c r="L180" i="3"/>
  <c r="K180" i="3"/>
  <c r="J180" i="3"/>
  <c r="I180" i="3"/>
  <c r="H180" i="3"/>
  <c r="AP179" i="3"/>
  <c r="AO179" i="3"/>
  <c r="AN179" i="3"/>
  <c r="AM179" i="3"/>
  <c r="AL179" i="3"/>
  <c r="AK179" i="3"/>
  <c r="AJ179" i="3"/>
  <c r="AI179" i="3"/>
  <c r="AH179" i="3"/>
  <c r="AG179" i="3"/>
  <c r="AB179" i="3"/>
  <c r="AA179" i="3"/>
  <c r="Z179" i="3"/>
  <c r="Y179" i="3"/>
  <c r="X179" i="3"/>
  <c r="W179" i="3"/>
  <c r="V179" i="3"/>
  <c r="U179" i="3"/>
  <c r="T179" i="3"/>
  <c r="S179" i="3"/>
  <c r="R179" i="3"/>
  <c r="Q179" i="3"/>
  <c r="P179" i="3"/>
  <c r="O179" i="3"/>
  <c r="N179" i="3"/>
  <c r="M179" i="3"/>
  <c r="L179" i="3"/>
  <c r="K179" i="3"/>
  <c r="J179" i="3"/>
  <c r="I179" i="3"/>
  <c r="H179" i="3"/>
  <c r="AL178" i="3"/>
  <c r="AK178" i="3"/>
  <c r="AJ178" i="3"/>
  <c r="AI178" i="3"/>
  <c r="AH178" i="3"/>
  <c r="AG178" i="3"/>
  <c r="AB178" i="3"/>
  <c r="AA178" i="3"/>
  <c r="Z178" i="3"/>
  <c r="Y178" i="3"/>
  <c r="X178" i="3"/>
  <c r="W178" i="3"/>
  <c r="V178" i="3"/>
  <c r="U178" i="3"/>
  <c r="T178" i="3"/>
  <c r="S178" i="3"/>
  <c r="R178" i="3"/>
  <c r="Q178" i="3"/>
  <c r="P178" i="3"/>
  <c r="O178" i="3"/>
  <c r="N178" i="3"/>
  <c r="M178" i="3"/>
  <c r="L178" i="3"/>
  <c r="K178" i="3"/>
  <c r="J178" i="3"/>
  <c r="I178" i="3"/>
  <c r="H178" i="3"/>
  <c r="AL177" i="3"/>
  <c r="AK177" i="3"/>
  <c r="AJ177" i="3"/>
  <c r="AI177" i="3"/>
  <c r="AH177" i="3"/>
  <c r="AG177" i="3"/>
  <c r="AB177" i="3"/>
  <c r="AA177" i="3"/>
  <c r="Z177" i="3"/>
  <c r="Y177" i="3"/>
  <c r="X177" i="3"/>
  <c r="W177" i="3"/>
  <c r="V177" i="3"/>
  <c r="U177" i="3"/>
  <c r="T177" i="3"/>
  <c r="S177" i="3"/>
  <c r="R177" i="3"/>
  <c r="Q177" i="3"/>
  <c r="P177" i="3"/>
  <c r="O177" i="3"/>
  <c r="N177" i="3"/>
  <c r="M177" i="3"/>
  <c r="L177" i="3"/>
  <c r="K177" i="3"/>
  <c r="J177" i="3"/>
  <c r="I177" i="3"/>
  <c r="H177" i="3"/>
  <c r="AJ176" i="3"/>
  <c r="AI176" i="3"/>
  <c r="AH176" i="3"/>
  <c r="AG176" i="3"/>
  <c r="AB176" i="3"/>
  <c r="AA176" i="3"/>
  <c r="Z176" i="3"/>
  <c r="Y176" i="3"/>
  <c r="X176" i="3"/>
  <c r="W176" i="3"/>
  <c r="V176" i="3"/>
  <c r="U176" i="3"/>
  <c r="T176" i="3"/>
  <c r="S176" i="3"/>
  <c r="R176" i="3"/>
  <c r="Q176" i="3"/>
  <c r="P176" i="3"/>
  <c r="O176" i="3"/>
  <c r="N176" i="3"/>
  <c r="M176" i="3"/>
  <c r="L176" i="3"/>
  <c r="K176" i="3"/>
  <c r="J176" i="3"/>
  <c r="I176" i="3"/>
  <c r="H176" i="3"/>
  <c r="AL175" i="3"/>
  <c r="AK175" i="3"/>
  <c r="AJ175" i="3"/>
  <c r="AI175" i="3"/>
  <c r="AH175" i="3"/>
  <c r="AG175" i="3"/>
  <c r="AB175" i="3"/>
  <c r="AA175" i="3"/>
  <c r="Z175" i="3"/>
  <c r="Y175" i="3"/>
  <c r="X175" i="3"/>
  <c r="W175" i="3"/>
  <c r="V175" i="3"/>
  <c r="U175" i="3"/>
  <c r="T175" i="3"/>
  <c r="S175" i="3"/>
  <c r="R175" i="3"/>
  <c r="Q175" i="3"/>
  <c r="P175" i="3"/>
  <c r="O175" i="3"/>
  <c r="N175" i="3"/>
  <c r="M175" i="3"/>
  <c r="L175" i="3"/>
  <c r="K175" i="3"/>
  <c r="J175" i="3"/>
  <c r="I175" i="3"/>
  <c r="H175" i="3"/>
  <c r="AJ174" i="3"/>
  <c r="AI174" i="3"/>
  <c r="AH174" i="3"/>
  <c r="AG174" i="3"/>
  <c r="AB174" i="3"/>
  <c r="AA174" i="3"/>
  <c r="Z174" i="3"/>
  <c r="Y174" i="3"/>
  <c r="X174" i="3"/>
  <c r="W174" i="3"/>
  <c r="V174" i="3"/>
  <c r="U174" i="3"/>
  <c r="T174" i="3"/>
  <c r="S174" i="3"/>
  <c r="R174" i="3"/>
  <c r="Q174" i="3"/>
  <c r="P174" i="3"/>
  <c r="O174" i="3"/>
  <c r="N174" i="3"/>
  <c r="M174" i="3"/>
  <c r="L174" i="3"/>
  <c r="K174" i="3"/>
  <c r="J174" i="3"/>
  <c r="I174" i="3"/>
  <c r="H174" i="3"/>
  <c r="AL173" i="3"/>
  <c r="AK173" i="3"/>
  <c r="AJ173" i="3"/>
  <c r="AI173" i="3"/>
  <c r="AH173" i="3"/>
  <c r="AG173" i="3"/>
  <c r="AB173" i="3"/>
  <c r="AA173" i="3"/>
  <c r="Z173" i="3"/>
  <c r="Y173" i="3"/>
  <c r="X173" i="3"/>
  <c r="W173" i="3"/>
  <c r="V173" i="3"/>
  <c r="U173" i="3"/>
  <c r="T173" i="3"/>
  <c r="S173" i="3"/>
  <c r="R173" i="3"/>
  <c r="Q173" i="3"/>
  <c r="P173" i="3"/>
  <c r="O173" i="3"/>
  <c r="N173" i="3"/>
  <c r="M173" i="3"/>
  <c r="L173" i="3"/>
  <c r="K173" i="3"/>
  <c r="J173" i="3"/>
  <c r="I173" i="3"/>
  <c r="H173" i="3"/>
  <c r="AL172" i="3"/>
  <c r="AK172" i="3"/>
  <c r="AJ172" i="3"/>
  <c r="AI172" i="3"/>
  <c r="AH172" i="3"/>
  <c r="AG172" i="3"/>
  <c r="AB172" i="3"/>
  <c r="AA172" i="3"/>
  <c r="Z172" i="3"/>
  <c r="Y172" i="3"/>
  <c r="X172" i="3"/>
  <c r="W172" i="3"/>
  <c r="V172" i="3"/>
  <c r="U172" i="3"/>
  <c r="T172" i="3"/>
  <c r="S172" i="3"/>
  <c r="R172" i="3"/>
  <c r="Q172" i="3"/>
  <c r="P172" i="3"/>
  <c r="O172" i="3"/>
  <c r="N172" i="3"/>
  <c r="M172" i="3"/>
  <c r="L172" i="3"/>
  <c r="K172" i="3"/>
  <c r="J172" i="3"/>
  <c r="I172" i="3"/>
  <c r="H172" i="3"/>
  <c r="AG171" i="3"/>
  <c r="AB171" i="3"/>
  <c r="AA171" i="3"/>
  <c r="Z171" i="3"/>
  <c r="Y171" i="3"/>
  <c r="X171" i="3"/>
  <c r="W171" i="3"/>
  <c r="V171" i="3"/>
  <c r="U171" i="3"/>
  <c r="T171" i="3"/>
  <c r="S171" i="3"/>
  <c r="R171" i="3"/>
  <c r="Q171" i="3"/>
  <c r="P171" i="3"/>
  <c r="O171" i="3"/>
  <c r="N171" i="3"/>
  <c r="M171" i="3"/>
  <c r="L171" i="3"/>
  <c r="K171" i="3"/>
  <c r="J171" i="3"/>
  <c r="I171" i="3"/>
  <c r="H171" i="3"/>
  <c r="AR170" i="3"/>
  <c r="AQ170" i="3"/>
  <c r="AP170" i="3"/>
  <c r="AO170" i="3"/>
  <c r="AN170" i="3"/>
  <c r="AM170" i="3"/>
  <c r="AL170" i="3"/>
  <c r="AK170" i="3"/>
  <c r="AJ170" i="3"/>
  <c r="AI170" i="3"/>
  <c r="AH170" i="3"/>
  <c r="AG170" i="3"/>
  <c r="AB170" i="3"/>
  <c r="AA170" i="3"/>
  <c r="Z170" i="3"/>
  <c r="Y170" i="3"/>
  <c r="X170" i="3"/>
  <c r="W170" i="3"/>
  <c r="V170" i="3"/>
  <c r="U170" i="3"/>
  <c r="T170" i="3"/>
  <c r="S170" i="3"/>
  <c r="R170" i="3"/>
  <c r="Q170" i="3"/>
  <c r="P170" i="3"/>
  <c r="O170" i="3"/>
  <c r="N170" i="3"/>
  <c r="M170" i="3"/>
  <c r="L170" i="3"/>
  <c r="K170" i="3"/>
  <c r="J170" i="3"/>
  <c r="I170" i="3"/>
  <c r="H170" i="3"/>
  <c r="AN169" i="3"/>
  <c r="AM169" i="3"/>
  <c r="AL169" i="3"/>
  <c r="AK169" i="3"/>
  <c r="AJ169" i="3"/>
  <c r="AI169" i="3"/>
  <c r="AH169" i="3"/>
  <c r="AG169" i="3"/>
  <c r="AB169" i="3"/>
  <c r="AA169" i="3"/>
  <c r="Z169" i="3"/>
  <c r="Y169" i="3"/>
  <c r="X169" i="3"/>
  <c r="W169" i="3"/>
  <c r="V169" i="3"/>
  <c r="U169" i="3"/>
  <c r="T169" i="3"/>
  <c r="S169" i="3"/>
  <c r="R169" i="3"/>
  <c r="Q169" i="3"/>
  <c r="P169" i="3"/>
  <c r="O169" i="3"/>
  <c r="N169" i="3"/>
  <c r="M169" i="3"/>
  <c r="L169" i="3"/>
  <c r="K169" i="3"/>
  <c r="J169" i="3"/>
  <c r="I169" i="3"/>
  <c r="H169" i="3"/>
  <c r="AL168" i="3"/>
  <c r="AK168" i="3"/>
  <c r="AJ168" i="3"/>
  <c r="AI168" i="3"/>
  <c r="AH168" i="3"/>
  <c r="AG168" i="3"/>
  <c r="AB168" i="3"/>
  <c r="AA168" i="3"/>
  <c r="Z168" i="3"/>
  <c r="Y168" i="3"/>
  <c r="X168" i="3"/>
  <c r="W168" i="3"/>
  <c r="V168" i="3"/>
  <c r="U168" i="3"/>
  <c r="T168" i="3"/>
  <c r="S168" i="3"/>
  <c r="R168" i="3"/>
  <c r="Q168" i="3"/>
  <c r="P168" i="3"/>
  <c r="O168" i="3"/>
  <c r="N168" i="3"/>
  <c r="M168" i="3"/>
  <c r="L168" i="3"/>
  <c r="K168" i="3"/>
  <c r="J168" i="3"/>
  <c r="I168" i="3"/>
  <c r="H168" i="3"/>
  <c r="AN167" i="3"/>
  <c r="AM167" i="3"/>
  <c r="AL167" i="3"/>
  <c r="AK167" i="3"/>
  <c r="AJ167" i="3"/>
  <c r="AI167" i="3"/>
  <c r="AH167" i="3"/>
  <c r="AG167" i="3"/>
  <c r="AB167" i="3"/>
  <c r="AA167" i="3"/>
  <c r="Z167" i="3"/>
  <c r="Y167" i="3"/>
  <c r="X167" i="3"/>
  <c r="W167" i="3"/>
  <c r="V167" i="3"/>
  <c r="U167" i="3"/>
  <c r="T167" i="3"/>
  <c r="S167" i="3"/>
  <c r="R167" i="3"/>
  <c r="Q167" i="3"/>
  <c r="P167" i="3"/>
  <c r="O167" i="3"/>
  <c r="N167" i="3"/>
  <c r="M167" i="3"/>
  <c r="L167" i="3"/>
  <c r="K167" i="3"/>
  <c r="J167" i="3"/>
  <c r="I167" i="3"/>
  <c r="H167" i="3"/>
  <c r="AL166" i="3"/>
  <c r="AK166" i="3"/>
  <c r="AJ166" i="3"/>
  <c r="AI166" i="3"/>
  <c r="AH166" i="3"/>
  <c r="AG166" i="3"/>
  <c r="AB166" i="3"/>
  <c r="AA166" i="3"/>
  <c r="Z166" i="3"/>
  <c r="Y166" i="3"/>
  <c r="X166" i="3"/>
  <c r="W166" i="3"/>
  <c r="V166" i="3"/>
  <c r="U166" i="3"/>
  <c r="T166" i="3"/>
  <c r="S166" i="3"/>
  <c r="R166" i="3"/>
  <c r="Q166" i="3"/>
  <c r="P166" i="3"/>
  <c r="O166" i="3"/>
  <c r="N166" i="3"/>
  <c r="M166" i="3"/>
  <c r="L166" i="3"/>
  <c r="K166" i="3"/>
  <c r="J166" i="3"/>
  <c r="I166" i="3"/>
  <c r="H166" i="3"/>
  <c r="AP165" i="3"/>
  <c r="AO165" i="3"/>
  <c r="AN165" i="3"/>
  <c r="AM165" i="3"/>
  <c r="AL165" i="3"/>
  <c r="AK165" i="3"/>
  <c r="AJ165" i="3"/>
  <c r="AI165" i="3"/>
  <c r="AH165" i="3"/>
  <c r="AG165" i="3"/>
  <c r="AB165" i="3"/>
  <c r="AA165" i="3"/>
  <c r="Z165" i="3"/>
  <c r="Y165" i="3"/>
  <c r="X165" i="3"/>
  <c r="W165" i="3"/>
  <c r="V165" i="3"/>
  <c r="U165" i="3"/>
  <c r="T165" i="3"/>
  <c r="S165" i="3"/>
  <c r="R165" i="3"/>
  <c r="Q165" i="3"/>
  <c r="P165" i="3"/>
  <c r="O165" i="3"/>
  <c r="N165" i="3"/>
  <c r="M165" i="3"/>
  <c r="L165" i="3"/>
  <c r="K165" i="3"/>
  <c r="J165" i="3"/>
  <c r="I165" i="3"/>
  <c r="H165" i="3"/>
  <c r="AL164" i="3"/>
  <c r="AK164" i="3"/>
  <c r="AJ164" i="3"/>
  <c r="AI164" i="3"/>
  <c r="AH164" i="3"/>
  <c r="AG164" i="3"/>
  <c r="AB164" i="3"/>
  <c r="AA164" i="3"/>
  <c r="Z164" i="3"/>
  <c r="Y164" i="3"/>
  <c r="X164" i="3"/>
  <c r="W164" i="3"/>
  <c r="V164" i="3"/>
  <c r="U164" i="3"/>
  <c r="T164" i="3"/>
  <c r="S164" i="3"/>
  <c r="R164" i="3"/>
  <c r="Q164" i="3"/>
  <c r="P164" i="3"/>
  <c r="O164" i="3"/>
  <c r="N164" i="3"/>
  <c r="M164" i="3"/>
  <c r="L164" i="3"/>
  <c r="K164" i="3"/>
  <c r="J164" i="3"/>
  <c r="I164" i="3"/>
  <c r="H164" i="3"/>
  <c r="AN163" i="3"/>
  <c r="AM163" i="3"/>
  <c r="AL163" i="3"/>
  <c r="AK163" i="3"/>
  <c r="AJ163" i="3"/>
  <c r="AI163" i="3"/>
  <c r="AH163" i="3"/>
  <c r="AG163" i="3"/>
  <c r="AB163" i="3"/>
  <c r="AA163" i="3"/>
  <c r="Z163" i="3"/>
  <c r="Y163" i="3"/>
  <c r="X163" i="3"/>
  <c r="W163" i="3"/>
  <c r="V163" i="3"/>
  <c r="U163" i="3"/>
  <c r="T163" i="3"/>
  <c r="S163" i="3"/>
  <c r="R163" i="3"/>
  <c r="Q163" i="3"/>
  <c r="P163" i="3"/>
  <c r="O163" i="3"/>
  <c r="N163" i="3"/>
  <c r="M163" i="3"/>
  <c r="L163" i="3"/>
  <c r="K163" i="3"/>
  <c r="J163" i="3"/>
  <c r="I163" i="3"/>
  <c r="H163" i="3"/>
  <c r="AL162" i="3"/>
  <c r="AK162" i="3"/>
  <c r="AJ162" i="3"/>
  <c r="AI162" i="3"/>
  <c r="AH162" i="3"/>
  <c r="AG162" i="3"/>
  <c r="AB162" i="3"/>
  <c r="AA162" i="3"/>
  <c r="Z162" i="3"/>
  <c r="Y162" i="3"/>
  <c r="X162" i="3"/>
  <c r="W162" i="3"/>
  <c r="V162" i="3"/>
  <c r="U162" i="3"/>
  <c r="T162" i="3"/>
  <c r="S162" i="3"/>
  <c r="R162" i="3"/>
  <c r="Q162" i="3"/>
  <c r="P162" i="3"/>
  <c r="O162" i="3"/>
  <c r="N162" i="3"/>
  <c r="M162" i="3"/>
  <c r="L162" i="3"/>
  <c r="K162" i="3"/>
  <c r="J162" i="3"/>
  <c r="I162" i="3"/>
  <c r="H162" i="3"/>
  <c r="AP161" i="3"/>
  <c r="AO161" i="3"/>
  <c r="AN161" i="3"/>
  <c r="AM161" i="3"/>
  <c r="AL161" i="3"/>
  <c r="AK161" i="3"/>
  <c r="AJ161" i="3"/>
  <c r="AI161" i="3"/>
  <c r="AH161" i="3"/>
  <c r="AG161" i="3"/>
  <c r="AB161" i="3"/>
  <c r="AA161" i="3"/>
  <c r="Z161" i="3"/>
  <c r="Y161" i="3"/>
  <c r="X161" i="3"/>
  <c r="W161" i="3"/>
  <c r="V161" i="3"/>
  <c r="U161" i="3"/>
  <c r="T161" i="3"/>
  <c r="S161" i="3"/>
  <c r="R161" i="3"/>
  <c r="Q161" i="3"/>
  <c r="P161" i="3"/>
  <c r="O161" i="3"/>
  <c r="N161" i="3"/>
  <c r="M161" i="3"/>
  <c r="L161" i="3"/>
  <c r="K161" i="3"/>
  <c r="J161" i="3"/>
  <c r="I161" i="3"/>
  <c r="H161" i="3"/>
  <c r="AL160" i="3"/>
  <c r="AK160" i="3"/>
  <c r="AJ160" i="3"/>
  <c r="AI160" i="3"/>
  <c r="AH160" i="3"/>
  <c r="AG160" i="3"/>
  <c r="AB160" i="3"/>
  <c r="AA160" i="3"/>
  <c r="Z160" i="3"/>
  <c r="Y160" i="3"/>
  <c r="X160" i="3"/>
  <c r="W160" i="3"/>
  <c r="V160" i="3"/>
  <c r="U160" i="3"/>
  <c r="T160" i="3"/>
  <c r="S160" i="3"/>
  <c r="R160" i="3"/>
  <c r="Q160" i="3"/>
  <c r="P160" i="3"/>
  <c r="O160" i="3"/>
  <c r="N160" i="3"/>
  <c r="M160" i="3"/>
  <c r="L160" i="3"/>
  <c r="K160" i="3"/>
  <c r="J160" i="3"/>
  <c r="I160" i="3"/>
  <c r="H160" i="3"/>
  <c r="AP159" i="3"/>
  <c r="AO159" i="3"/>
  <c r="AN159" i="3"/>
  <c r="AM159" i="3"/>
  <c r="AL159" i="3"/>
  <c r="AK159" i="3"/>
  <c r="AJ159" i="3"/>
  <c r="AI159" i="3"/>
  <c r="AH159" i="3"/>
  <c r="AG159" i="3"/>
  <c r="AB159" i="3"/>
  <c r="AA159" i="3"/>
  <c r="Z159" i="3"/>
  <c r="Y159" i="3"/>
  <c r="X159" i="3"/>
  <c r="W159" i="3"/>
  <c r="V159" i="3"/>
  <c r="U159" i="3"/>
  <c r="T159" i="3"/>
  <c r="S159" i="3"/>
  <c r="R159" i="3"/>
  <c r="Q159" i="3"/>
  <c r="P159" i="3"/>
  <c r="O159" i="3"/>
  <c r="N159" i="3"/>
  <c r="M159" i="3"/>
  <c r="L159" i="3"/>
  <c r="K159" i="3"/>
  <c r="J159" i="3"/>
  <c r="I159" i="3"/>
  <c r="H159" i="3"/>
  <c r="AL158" i="3"/>
  <c r="AK158" i="3"/>
  <c r="AJ158" i="3"/>
  <c r="AI158" i="3"/>
  <c r="AH158" i="3"/>
  <c r="AG158" i="3"/>
  <c r="AB158" i="3"/>
  <c r="AA158" i="3"/>
  <c r="Z158" i="3"/>
  <c r="Y158" i="3"/>
  <c r="X158" i="3"/>
  <c r="W158" i="3"/>
  <c r="V158" i="3"/>
  <c r="U158" i="3"/>
  <c r="T158" i="3"/>
  <c r="S158" i="3"/>
  <c r="R158" i="3"/>
  <c r="Q158" i="3"/>
  <c r="P158" i="3"/>
  <c r="O158" i="3"/>
  <c r="N158" i="3"/>
  <c r="M158" i="3"/>
  <c r="L158" i="3"/>
  <c r="K158" i="3"/>
  <c r="J158" i="3"/>
  <c r="I158" i="3"/>
  <c r="H158" i="3"/>
  <c r="AL157" i="3"/>
  <c r="AK157" i="3"/>
  <c r="AJ157" i="3"/>
  <c r="AI157" i="3"/>
  <c r="AH157" i="3"/>
  <c r="AG157" i="3"/>
  <c r="AB157" i="3"/>
  <c r="AA157" i="3"/>
  <c r="Z157" i="3"/>
  <c r="Y157" i="3"/>
  <c r="X157" i="3"/>
  <c r="W157" i="3"/>
  <c r="V157" i="3"/>
  <c r="U157" i="3"/>
  <c r="T157" i="3"/>
  <c r="S157" i="3"/>
  <c r="R157" i="3"/>
  <c r="Q157" i="3"/>
  <c r="P157" i="3"/>
  <c r="O157" i="3"/>
  <c r="N157" i="3"/>
  <c r="M157" i="3"/>
  <c r="L157" i="3"/>
  <c r="K157" i="3"/>
  <c r="J157" i="3"/>
  <c r="I157" i="3"/>
  <c r="H157" i="3"/>
  <c r="AL156" i="3"/>
  <c r="AK156" i="3"/>
  <c r="AJ156" i="3"/>
  <c r="AI156" i="3"/>
  <c r="AH156" i="3"/>
  <c r="AG156" i="3"/>
  <c r="AB156" i="3"/>
  <c r="AA156" i="3"/>
  <c r="Z156" i="3"/>
  <c r="Y156" i="3"/>
  <c r="X156" i="3"/>
  <c r="W156" i="3"/>
  <c r="V156" i="3"/>
  <c r="U156" i="3"/>
  <c r="T156" i="3"/>
  <c r="S156" i="3"/>
  <c r="R156" i="3"/>
  <c r="Q156" i="3"/>
  <c r="P156" i="3"/>
  <c r="O156" i="3"/>
  <c r="N156" i="3"/>
  <c r="M156" i="3"/>
  <c r="L156" i="3"/>
  <c r="K156" i="3"/>
  <c r="J156" i="3"/>
  <c r="I156" i="3"/>
  <c r="H156" i="3"/>
  <c r="AP155" i="3"/>
  <c r="AO155" i="3"/>
  <c r="AN155" i="3"/>
  <c r="AM155" i="3"/>
  <c r="AL155" i="3"/>
  <c r="AK155" i="3"/>
  <c r="AJ155" i="3"/>
  <c r="AI155" i="3"/>
  <c r="AH155" i="3"/>
  <c r="AG155" i="3"/>
  <c r="AB155" i="3"/>
  <c r="AA155" i="3"/>
  <c r="Z155" i="3"/>
  <c r="Y155" i="3"/>
  <c r="X155" i="3"/>
  <c r="W155" i="3"/>
  <c r="V155" i="3"/>
  <c r="U155" i="3"/>
  <c r="T155" i="3"/>
  <c r="S155" i="3"/>
  <c r="R155" i="3"/>
  <c r="Q155" i="3"/>
  <c r="P155" i="3"/>
  <c r="O155" i="3"/>
  <c r="N155" i="3"/>
  <c r="M155" i="3"/>
  <c r="L155" i="3"/>
  <c r="K155" i="3"/>
  <c r="J155" i="3"/>
  <c r="I155" i="3"/>
  <c r="H155" i="3"/>
  <c r="AT154" i="3"/>
  <c r="AS154" i="3"/>
  <c r="AR154" i="3"/>
  <c r="AQ154" i="3"/>
  <c r="AP154" i="3"/>
  <c r="AO154" i="3"/>
  <c r="AN154" i="3"/>
  <c r="AM154" i="3"/>
  <c r="AL154" i="3"/>
  <c r="AK154" i="3"/>
  <c r="AJ154" i="3"/>
  <c r="AI154" i="3"/>
  <c r="AH154" i="3"/>
  <c r="AG154" i="3"/>
  <c r="AB154" i="3"/>
  <c r="AA154" i="3"/>
  <c r="Z154" i="3"/>
  <c r="Y154" i="3"/>
  <c r="X154" i="3"/>
  <c r="W154" i="3"/>
  <c r="V154" i="3"/>
  <c r="U154" i="3"/>
  <c r="T154" i="3"/>
  <c r="S154" i="3"/>
  <c r="R154" i="3"/>
  <c r="Q154" i="3"/>
  <c r="P154" i="3"/>
  <c r="O154" i="3"/>
  <c r="N154" i="3"/>
  <c r="M154" i="3"/>
  <c r="L154" i="3"/>
  <c r="K154" i="3"/>
  <c r="J154" i="3"/>
  <c r="I154" i="3"/>
  <c r="H154" i="3"/>
  <c r="AP153" i="3"/>
  <c r="AO153" i="3"/>
  <c r="AN153" i="3"/>
  <c r="AM153" i="3"/>
  <c r="AL153" i="3"/>
  <c r="AK153" i="3"/>
  <c r="AJ153" i="3"/>
  <c r="AI153" i="3"/>
  <c r="AH153" i="3"/>
  <c r="AG153" i="3"/>
  <c r="AB153" i="3"/>
  <c r="AA153" i="3"/>
  <c r="Z153" i="3"/>
  <c r="Y153" i="3"/>
  <c r="X153" i="3"/>
  <c r="W153" i="3"/>
  <c r="V153" i="3"/>
  <c r="U153" i="3"/>
  <c r="T153" i="3"/>
  <c r="S153" i="3"/>
  <c r="R153" i="3"/>
  <c r="Q153" i="3"/>
  <c r="P153" i="3"/>
  <c r="O153" i="3"/>
  <c r="N153" i="3"/>
  <c r="M153" i="3"/>
  <c r="L153" i="3"/>
  <c r="K153" i="3"/>
  <c r="J153" i="3"/>
  <c r="I153" i="3"/>
  <c r="H153" i="3"/>
  <c r="AH152" i="3"/>
  <c r="AG152" i="3"/>
  <c r="AB152" i="3"/>
  <c r="AA152" i="3"/>
  <c r="Z152" i="3"/>
  <c r="Y152" i="3"/>
  <c r="X152" i="3"/>
  <c r="W152" i="3"/>
  <c r="V152" i="3"/>
  <c r="U152" i="3"/>
  <c r="T152" i="3"/>
  <c r="S152" i="3"/>
  <c r="R152" i="3"/>
  <c r="Q152" i="3"/>
  <c r="P152" i="3"/>
  <c r="O152" i="3"/>
  <c r="N152" i="3"/>
  <c r="M152" i="3"/>
  <c r="L152" i="3"/>
  <c r="K152" i="3"/>
  <c r="J152" i="3"/>
  <c r="I152" i="3"/>
  <c r="H152" i="3"/>
  <c r="AH151" i="3"/>
  <c r="AG151" i="3"/>
  <c r="AB151" i="3"/>
  <c r="AA151" i="3"/>
  <c r="Z151" i="3"/>
  <c r="Y151" i="3"/>
  <c r="X151" i="3"/>
  <c r="W151" i="3"/>
  <c r="V151" i="3"/>
  <c r="U151" i="3"/>
  <c r="T151" i="3"/>
  <c r="S151" i="3"/>
  <c r="R151" i="3"/>
  <c r="Q151" i="3"/>
  <c r="P151" i="3"/>
  <c r="O151" i="3"/>
  <c r="N151" i="3"/>
  <c r="M151" i="3"/>
  <c r="L151" i="3"/>
  <c r="K151" i="3"/>
  <c r="J151" i="3"/>
  <c r="I151" i="3"/>
  <c r="H151" i="3"/>
  <c r="AN150" i="3"/>
  <c r="AM150" i="3"/>
  <c r="AL150" i="3"/>
  <c r="AK150" i="3"/>
  <c r="AJ150" i="3"/>
  <c r="AI150" i="3"/>
  <c r="AH150" i="3"/>
  <c r="AG150" i="3"/>
  <c r="AB150" i="3"/>
  <c r="AA150" i="3"/>
  <c r="Z150" i="3"/>
  <c r="Y150" i="3"/>
  <c r="X150" i="3"/>
  <c r="W150" i="3"/>
  <c r="V150" i="3"/>
  <c r="U150" i="3"/>
  <c r="T150" i="3"/>
  <c r="S150" i="3"/>
  <c r="R150" i="3"/>
  <c r="Q150" i="3"/>
  <c r="P150" i="3"/>
  <c r="O150" i="3"/>
  <c r="N150" i="3"/>
  <c r="M150" i="3"/>
  <c r="L150" i="3"/>
  <c r="K150" i="3"/>
  <c r="J150" i="3"/>
  <c r="I150" i="3"/>
  <c r="H150" i="3"/>
  <c r="AL149" i="3"/>
  <c r="AK149" i="3"/>
  <c r="AJ149" i="3"/>
  <c r="AI149" i="3"/>
  <c r="AH149" i="3"/>
  <c r="AG149" i="3"/>
  <c r="AB149" i="3"/>
  <c r="AA149" i="3"/>
  <c r="Z149" i="3"/>
  <c r="Y149" i="3"/>
  <c r="X149" i="3"/>
  <c r="W149" i="3"/>
  <c r="V149" i="3"/>
  <c r="U149" i="3"/>
  <c r="T149" i="3"/>
  <c r="S149" i="3"/>
  <c r="R149" i="3"/>
  <c r="Q149" i="3"/>
  <c r="P149" i="3"/>
  <c r="O149" i="3"/>
  <c r="N149" i="3"/>
  <c r="M149" i="3"/>
  <c r="L149" i="3"/>
  <c r="K149" i="3"/>
  <c r="J149" i="3"/>
  <c r="I149" i="3"/>
  <c r="H149" i="3"/>
  <c r="AP148" i="3"/>
  <c r="AO148" i="3"/>
  <c r="AN148" i="3"/>
  <c r="AM148" i="3"/>
  <c r="AL148" i="3"/>
  <c r="AK148" i="3"/>
  <c r="AJ148" i="3"/>
  <c r="AI148" i="3"/>
  <c r="AH148" i="3"/>
  <c r="AG148" i="3"/>
  <c r="AB148" i="3"/>
  <c r="AA148" i="3"/>
  <c r="Z148" i="3"/>
  <c r="Y148" i="3"/>
  <c r="X148" i="3"/>
  <c r="W148" i="3"/>
  <c r="V148" i="3"/>
  <c r="U148" i="3"/>
  <c r="T148" i="3"/>
  <c r="S148" i="3"/>
  <c r="R148" i="3"/>
  <c r="Q148" i="3"/>
  <c r="P148" i="3"/>
  <c r="O148" i="3"/>
  <c r="N148" i="3"/>
  <c r="M148" i="3"/>
  <c r="L148" i="3"/>
  <c r="K148" i="3"/>
  <c r="J148" i="3"/>
  <c r="I148" i="3"/>
  <c r="H148" i="3"/>
  <c r="AN147" i="3"/>
  <c r="AM147" i="3"/>
  <c r="AL147" i="3"/>
  <c r="AK147" i="3"/>
  <c r="AJ147" i="3"/>
  <c r="AI147" i="3"/>
  <c r="AH147" i="3"/>
  <c r="AG147" i="3"/>
  <c r="AB147" i="3"/>
  <c r="AA147" i="3"/>
  <c r="Z147" i="3"/>
  <c r="Y147" i="3"/>
  <c r="X147" i="3"/>
  <c r="W147" i="3"/>
  <c r="V147" i="3"/>
  <c r="U147" i="3"/>
  <c r="T147" i="3"/>
  <c r="S147" i="3"/>
  <c r="R147" i="3"/>
  <c r="Q147" i="3"/>
  <c r="P147" i="3"/>
  <c r="O147" i="3"/>
  <c r="N147" i="3"/>
  <c r="M147" i="3"/>
  <c r="L147" i="3"/>
  <c r="K147" i="3"/>
  <c r="J147" i="3"/>
  <c r="I147" i="3"/>
  <c r="H147" i="3"/>
  <c r="AN146" i="3"/>
  <c r="AM146" i="3"/>
  <c r="AL146" i="3"/>
  <c r="AK146" i="3"/>
  <c r="AJ146" i="3"/>
  <c r="AI146" i="3"/>
  <c r="AH146" i="3"/>
  <c r="AG146" i="3"/>
  <c r="AB146" i="3"/>
  <c r="AA146" i="3"/>
  <c r="Z146" i="3"/>
  <c r="Y146" i="3"/>
  <c r="X146" i="3"/>
  <c r="W146" i="3"/>
  <c r="V146" i="3"/>
  <c r="U146" i="3"/>
  <c r="T146" i="3"/>
  <c r="S146" i="3"/>
  <c r="R146" i="3"/>
  <c r="Q146" i="3"/>
  <c r="P146" i="3"/>
  <c r="O146" i="3"/>
  <c r="N146" i="3"/>
  <c r="M146" i="3"/>
  <c r="L146" i="3"/>
  <c r="K146" i="3"/>
  <c r="J146" i="3"/>
  <c r="I146" i="3"/>
  <c r="H146" i="3"/>
  <c r="AN145" i="3"/>
  <c r="AM145" i="3"/>
  <c r="AL145" i="3"/>
  <c r="AK145" i="3"/>
  <c r="AJ145" i="3"/>
  <c r="AI145" i="3"/>
  <c r="AH145" i="3"/>
  <c r="AG145" i="3"/>
  <c r="AB145" i="3"/>
  <c r="AA145" i="3"/>
  <c r="Z145" i="3"/>
  <c r="Y145" i="3"/>
  <c r="X145" i="3"/>
  <c r="W145" i="3"/>
  <c r="V145" i="3"/>
  <c r="U145" i="3"/>
  <c r="T145" i="3"/>
  <c r="S145" i="3"/>
  <c r="R145" i="3"/>
  <c r="Q145" i="3"/>
  <c r="P145" i="3"/>
  <c r="O145" i="3"/>
  <c r="N145" i="3"/>
  <c r="M145" i="3"/>
  <c r="L145" i="3"/>
  <c r="K145" i="3"/>
  <c r="J145" i="3"/>
  <c r="I145" i="3"/>
  <c r="H145" i="3"/>
  <c r="AL144" i="3"/>
  <c r="AK144" i="3"/>
  <c r="AJ144" i="3"/>
  <c r="AI144" i="3"/>
  <c r="AH144" i="3"/>
  <c r="AG144" i="3"/>
  <c r="AB144" i="3"/>
  <c r="AA144" i="3"/>
  <c r="Z144" i="3"/>
  <c r="Y144" i="3"/>
  <c r="X144" i="3"/>
  <c r="W144" i="3"/>
  <c r="V144" i="3"/>
  <c r="U144" i="3"/>
  <c r="T144" i="3"/>
  <c r="S144" i="3"/>
  <c r="R144" i="3"/>
  <c r="Q144" i="3"/>
  <c r="P144" i="3"/>
  <c r="O144" i="3"/>
  <c r="N144" i="3"/>
  <c r="M144" i="3"/>
  <c r="L144" i="3"/>
  <c r="K144" i="3"/>
  <c r="J144" i="3"/>
  <c r="I144" i="3"/>
  <c r="H144" i="3"/>
  <c r="AJ143" i="3"/>
  <c r="AI143" i="3"/>
  <c r="AH143" i="3"/>
  <c r="AG143" i="3"/>
  <c r="AB143" i="3"/>
  <c r="AA143" i="3"/>
  <c r="Z143" i="3"/>
  <c r="Y143" i="3"/>
  <c r="X143" i="3"/>
  <c r="W143" i="3"/>
  <c r="V143" i="3"/>
  <c r="U143" i="3"/>
  <c r="T143" i="3"/>
  <c r="S143" i="3"/>
  <c r="R143" i="3"/>
  <c r="Q143" i="3"/>
  <c r="P143" i="3"/>
  <c r="O143" i="3"/>
  <c r="N143" i="3"/>
  <c r="M143" i="3"/>
  <c r="L143" i="3"/>
  <c r="K143" i="3"/>
  <c r="J143" i="3"/>
  <c r="I143" i="3"/>
  <c r="H143" i="3"/>
  <c r="AJ142" i="3"/>
  <c r="AI142" i="3"/>
  <c r="AH142" i="3"/>
  <c r="AG142" i="3"/>
  <c r="AB142" i="3"/>
  <c r="AA142" i="3"/>
  <c r="Z142" i="3"/>
  <c r="Y142" i="3"/>
  <c r="X142" i="3"/>
  <c r="W142" i="3"/>
  <c r="V142" i="3"/>
  <c r="U142" i="3"/>
  <c r="T142" i="3"/>
  <c r="S142" i="3"/>
  <c r="R142" i="3"/>
  <c r="Q142" i="3"/>
  <c r="P142" i="3"/>
  <c r="O142" i="3"/>
  <c r="N142" i="3"/>
  <c r="M142" i="3"/>
  <c r="L142" i="3"/>
  <c r="K142" i="3"/>
  <c r="J142" i="3"/>
  <c r="I142" i="3"/>
  <c r="H142" i="3"/>
  <c r="AN141" i="3"/>
  <c r="AM141" i="3"/>
  <c r="AL141" i="3"/>
  <c r="AK141" i="3"/>
  <c r="AJ141" i="3"/>
  <c r="AI141" i="3"/>
  <c r="AH141" i="3"/>
  <c r="AG141" i="3"/>
  <c r="AB141" i="3"/>
  <c r="AA141" i="3"/>
  <c r="Z141" i="3"/>
  <c r="Y141" i="3"/>
  <c r="X141" i="3"/>
  <c r="W141" i="3"/>
  <c r="V141" i="3"/>
  <c r="U141" i="3"/>
  <c r="T141" i="3"/>
  <c r="S141" i="3"/>
  <c r="R141" i="3"/>
  <c r="Q141" i="3"/>
  <c r="P141" i="3"/>
  <c r="O141" i="3"/>
  <c r="N141" i="3"/>
  <c r="M141" i="3"/>
  <c r="L141" i="3"/>
  <c r="K141" i="3"/>
  <c r="J141" i="3"/>
  <c r="I141" i="3"/>
  <c r="H141" i="3"/>
  <c r="AL140" i="3"/>
  <c r="AK140" i="3"/>
  <c r="AJ140" i="3"/>
  <c r="AI140" i="3"/>
  <c r="AH140" i="3"/>
  <c r="AG140" i="3"/>
  <c r="AB140" i="3"/>
  <c r="AA140" i="3"/>
  <c r="Z140" i="3"/>
  <c r="Y140" i="3"/>
  <c r="X140" i="3"/>
  <c r="W140" i="3"/>
  <c r="V140" i="3"/>
  <c r="U140" i="3"/>
  <c r="T140" i="3"/>
  <c r="S140" i="3"/>
  <c r="R140" i="3"/>
  <c r="Q140" i="3"/>
  <c r="P140" i="3"/>
  <c r="O140" i="3"/>
  <c r="N140" i="3"/>
  <c r="M140" i="3"/>
  <c r="L140" i="3"/>
  <c r="K140" i="3"/>
  <c r="J140" i="3"/>
  <c r="I140" i="3"/>
  <c r="H140" i="3"/>
  <c r="AJ139" i="3"/>
  <c r="AI139" i="3"/>
  <c r="AH139" i="3"/>
  <c r="AG139" i="3"/>
  <c r="AB139" i="3"/>
  <c r="AA139" i="3"/>
  <c r="Z139" i="3"/>
  <c r="Y139" i="3"/>
  <c r="X139" i="3"/>
  <c r="W139" i="3"/>
  <c r="V139" i="3"/>
  <c r="U139" i="3"/>
  <c r="T139" i="3"/>
  <c r="S139" i="3"/>
  <c r="R139" i="3"/>
  <c r="Q139" i="3"/>
  <c r="P139" i="3"/>
  <c r="O139" i="3"/>
  <c r="N139" i="3"/>
  <c r="M139" i="3"/>
  <c r="L139" i="3"/>
  <c r="K139" i="3"/>
  <c r="J139" i="3"/>
  <c r="I139" i="3"/>
  <c r="H139" i="3"/>
  <c r="AG138" i="3"/>
  <c r="AB138" i="3"/>
  <c r="AA138" i="3"/>
  <c r="Z138" i="3"/>
  <c r="Y138" i="3"/>
  <c r="X138" i="3"/>
  <c r="W138" i="3"/>
  <c r="V138" i="3"/>
  <c r="U138" i="3"/>
  <c r="T138" i="3"/>
  <c r="S138" i="3"/>
  <c r="R138" i="3"/>
  <c r="Q138" i="3"/>
  <c r="P138" i="3"/>
  <c r="O138" i="3"/>
  <c r="N138" i="3"/>
  <c r="M138" i="3"/>
  <c r="L138" i="3"/>
  <c r="K138" i="3"/>
  <c r="J138" i="3"/>
  <c r="I138" i="3"/>
  <c r="H138" i="3"/>
  <c r="AG137" i="3"/>
  <c r="AB137" i="3"/>
  <c r="AA137" i="3"/>
  <c r="Z137" i="3"/>
  <c r="Y137" i="3"/>
  <c r="X137" i="3"/>
  <c r="W137" i="3"/>
  <c r="V137" i="3"/>
  <c r="U137" i="3"/>
  <c r="T137" i="3"/>
  <c r="S137" i="3"/>
  <c r="R137" i="3"/>
  <c r="Q137" i="3"/>
  <c r="P137" i="3"/>
  <c r="O137" i="3"/>
  <c r="N137" i="3"/>
  <c r="M137" i="3"/>
  <c r="L137" i="3"/>
  <c r="K137" i="3"/>
  <c r="J137" i="3"/>
  <c r="I137" i="3"/>
  <c r="H137" i="3"/>
  <c r="AJ136" i="3"/>
  <c r="AI136" i="3"/>
  <c r="AH136" i="3"/>
  <c r="AG136" i="3"/>
  <c r="AB136" i="3"/>
  <c r="AA136" i="3"/>
  <c r="Z136" i="3"/>
  <c r="Y136" i="3"/>
  <c r="X136" i="3"/>
  <c r="W136" i="3"/>
  <c r="V136" i="3"/>
  <c r="U136" i="3"/>
  <c r="T136" i="3"/>
  <c r="S136" i="3"/>
  <c r="R136" i="3"/>
  <c r="Q136" i="3"/>
  <c r="P136" i="3"/>
  <c r="O136" i="3"/>
  <c r="N136" i="3"/>
  <c r="M136" i="3"/>
  <c r="L136" i="3"/>
  <c r="K136" i="3"/>
  <c r="J136" i="3"/>
  <c r="I136" i="3"/>
  <c r="H136" i="3"/>
  <c r="AJ135" i="3"/>
  <c r="AI135" i="3"/>
  <c r="AH135" i="3"/>
  <c r="AG135" i="3"/>
  <c r="AB135" i="3"/>
  <c r="AA135" i="3"/>
  <c r="Z135" i="3"/>
  <c r="Y135" i="3"/>
  <c r="X135" i="3"/>
  <c r="W135" i="3"/>
  <c r="V135" i="3"/>
  <c r="U135" i="3"/>
  <c r="T135" i="3"/>
  <c r="S135" i="3"/>
  <c r="R135" i="3"/>
  <c r="Q135" i="3"/>
  <c r="P135" i="3"/>
  <c r="O135" i="3"/>
  <c r="N135" i="3"/>
  <c r="M135" i="3"/>
  <c r="L135" i="3"/>
  <c r="K135" i="3"/>
  <c r="J135" i="3"/>
  <c r="I135" i="3"/>
  <c r="H135" i="3"/>
  <c r="AN134" i="3"/>
  <c r="AM134" i="3"/>
  <c r="AL134" i="3"/>
  <c r="AK134" i="3"/>
  <c r="AJ134" i="3"/>
  <c r="AI134" i="3"/>
  <c r="AH134" i="3"/>
  <c r="AG134" i="3"/>
  <c r="AB134" i="3"/>
  <c r="AA134" i="3"/>
  <c r="Z134" i="3"/>
  <c r="Y134" i="3"/>
  <c r="X134" i="3"/>
  <c r="W134" i="3"/>
  <c r="V134" i="3"/>
  <c r="U134" i="3"/>
  <c r="T134" i="3"/>
  <c r="S134" i="3"/>
  <c r="R134" i="3"/>
  <c r="Q134" i="3"/>
  <c r="P134" i="3"/>
  <c r="O134" i="3"/>
  <c r="N134" i="3"/>
  <c r="M134" i="3"/>
  <c r="L134" i="3"/>
  <c r="K134" i="3"/>
  <c r="J134" i="3"/>
  <c r="I134" i="3"/>
  <c r="H134" i="3"/>
  <c r="AN133" i="3"/>
  <c r="AM133" i="3"/>
  <c r="AL133" i="3"/>
  <c r="AK133" i="3"/>
  <c r="AJ133" i="3"/>
  <c r="AI133" i="3"/>
  <c r="AH133" i="3"/>
  <c r="AG133" i="3"/>
  <c r="AF133" i="3"/>
  <c r="AE133" i="3"/>
  <c r="AD133" i="3"/>
  <c r="AC133" i="3"/>
  <c r="AB133" i="3"/>
  <c r="AA133" i="3"/>
  <c r="Z133" i="3"/>
  <c r="Y133" i="3"/>
  <c r="X133" i="3"/>
  <c r="W133" i="3"/>
  <c r="V133" i="3"/>
  <c r="U133" i="3"/>
  <c r="T133" i="3"/>
  <c r="S133" i="3"/>
  <c r="R133" i="3"/>
  <c r="Q133" i="3"/>
  <c r="P133" i="3"/>
  <c r="O133" i="3"/>
  <c r="N133" i="3"/>
  <c r="M133" i="3"/>
  <c r="L133" i="3"/>
  <c r="K133" i="3"/>
  <c r="J133" i="3"/>
  <c r="I133" i="3"/>
  <c r="H133" i="3"/>
  <c r="AL132" i="3"/>
  <c r="AK132" i="3"/>
  <c r="AJ132" i="3"/>
  <c r="AI132" i="3"/>
  <c r="AH132" i="3"/>
  <c r="AG132" i="3"/>
  <c r="AB132" i="3"/>
  <c r="AA132" i="3"/>
  <c r="Z132" i="3"/>
  <c r="Y132" i="3"/>
  <c r="X132" i="3"/>
  <c r="W132" i="3"/>
  <c r="V132" i="3"/>
  <c r="U132" i="3"/>
  <c r="T132" i="3"/>
  <c r="S132" i="3"/>
  <c r="R132" i="3"/>
  <c r="Q132" i="3"/>
  <c r="P132" i="3"/>
  <c r="O132" i="3"/>
  <c r="N132" i="3"/>
  <c r="M132" i="3"/>
  <c r="L132" i="3"/>
  <c r="K132" i="3"/>
  <c r="J132" i="3"/>
  <c r="I132" i="3"/>
  <c r="H132" i="3"/>
  <c r="AJ131" i="3"/>
  <c r="AI131" i="3"/>
  <c r="AH131" i="3"/>
  <c r="AG131" i="3"/>
  <c r="AB131" i="3"/>
  <c r="AA131" i="3"/>
  <c r="Z131" i="3"/>
  <c r="Y131" i="3"/>
  <c r="X131" i="3"/>
  <c r="W131" i="3"/>
  <c r="V131" i="3"/>
  <c r="U131" i="3"/>
  <c r="T131" i="3"/>
  <c r="S131" i="3"/>
  <c r="R131" i="3"/>
  <c r="Q131" i="3"/>
  <c r="P131" i="3"/>
  <c r="O131" i="3"/>
  <c r="N131" i="3"/>
  <c r="M131" i="3"/>
  <c r="L131" i="3"/>
  <c r="K131" i="3"/>
  <c r="J131" i="3"/>
  <c r="I131" i="3"/>
  <c r="H131" i="3"/>
  <c r="AH130" i="3"/>
  <c r="AG130" i="3"/>
  <c r="AB130" i="3"/>
  <c r="AA130" i="3"/>
  <c r="Z130" i="3"/>
  <c r="Y130" i="3"/>
  <c r="X130" i="3"/>
  <c r="W130" i="3"/>
  <c r="V130" i="3"/>
  <c r="U130" i="3"/>
  <c r="T130" i="3"/>
  <c r="S130" i="3"/>
  <c r="R130" i="3"/>
  <c r="Q130" i="3"/>
  <c r="P130" i="3"/>
  <c r="O130" i="3"/>
  <c r="N130" i="3"/>
  <c r="M130" i="3"/>
  <c r="L130" i="3"/>
  <c r="K130" i="3"/>
  <c r="J130" i="3"/>
  <c r="I130" i="3"/>
  <c r="H130" i="3"/>
  <c r="AL129" i="3"/>
  <c r="AK129" i="3"/>
  <c r="AJ129" i="3"/>
  <c r="AI129" i="3"/>
  <c r="AH129" i="3"/>
  <c r="AG129" i="3"/>
  <c r="AB129" i="3"/>
  <c r="AA129" i="3"/>
  <c r="Z129" i="3"/>
  <c r="Y129" i="3"/>
  <c r="X129" i="3"/>
  <c r="W129" i="3"/>
  <c r="V129" i="3"/>
  <c r="U129" i="3"/>
  <c r="T129" i="3"/>
  <c r="S129" i="3"/>
  <c r="R129" i="3"/>
  <c r="Q129" i="3"/>
  <c r="P129" i="3"/>
  <c r="O129" i="3"/>
  <c r="N129" i="3"/>
  <c r="M129" i="3"/>
  <c r="L129" i="3"/>
  <c r="K129" i="3"/>
  <c r="J129" i="3"/>
  <c r="I129" i="3"/>
  <c r="H129" i="3"/>
  <c r="AG128" i="3"/>
  <c r="AB128" i="3"/>
  <c r="AA128" i="3"/>
  <c r="Z128" i="3"/>
  <c r="Y128" i="3"/>
  <c r="X128" i="3"/>
  <c r="W128" i="3"/>
  <c r="V128" i="3"/>
  <c r="U128" i="3"/>
  <c r="T128" i="3"/>
  <c r="S128" i="3"/>
  <c r="R128" i="3"/>
  <c r="Q128" i="3"/>
  <c r="P128" i="3"/>
  <c r="O128" i="3"/>
  <c r="N128" i="3"/>
  <c r="M128" i="3"/>
  <c r="L128" i="3"/>
  <c r="K128" i="3"/>
  <c r="J128" i="3"/>
  <c r="I128" i="3"/>
  <c r="H128" i="3"/>
  <c r="AL127" i="3"/>
  <c r="AK127" i="3"/>
  <c r="AJ127" i="3"/>
  <c r="AI127" i="3"/>
  <c r="AH127" i="3"/>
  <c r="AG127" i="3"/>
  <c r="AF127" i="3"/>
  <c r="AC127" i="3"/>
  <c r="AB127" i="3"/>
  <c r="AA127" i="3"/>
  <c r="Z127" i="3"/>
  <c r="Y127" i="3"/>
  <c r="X127" i="3"/>
  <c r="W127" i="3"/>
  <c r="V127" i="3"/>
  <c r="U127" i="3"/>
  <c r="T127" i="3"/>
  <c r="S127" i="3"/>
  <c r="R127" i="3"/>
  <c r="Q127" i="3"/>
  <c r="P127" i="3"/>
  <c r="O127" i="3"/>
  <c r="N127" i="3"/>
  <c r="M127" i="3"/>
  <c r="L127" i="3"/>
  <c r="K127" i="3"/>
  <c r="J127" i="3"/>
  <c r="I127" i="3"/>
  <c r="H127" i="3"/>
  <c r="AN126" i="3"/>
  <c r="AM126" i="3"/>
  <c r="AL126" i="3"/>
  <c r="AK126" i="3"/>
  <c r="AJ126" i="3"/>
  <c r="AI126" i="3"/>
  <c r="AH126" i="3"/>
  <c r="AG126" i="3"/>
  <c r="AB126" i="3"/>
  <c r="AA126" i="3"/>
  <c r="Z126" i="3"/>
  <c r="Y126" i="3"/>
  <c r="X126" i="3"/>
  <c r="W126" i="3"/>
  <c r="V126" i="3"/>
  <c r="U126" i="3"/>
  <c r="T126" i="3"/>
  <c r="S126" i="3"/>
  <c r="R126" i="3"/>
  <c r="Q126" i="3"/>
  <c r="P126" i="3"/>
  <c r="O126" i="3"/>
  <c r="N126" i="3"/>
  <c r="M126" i="3"/>
  <c r="L126" i="3"/>
  <c r="K126" i="3"/>
  <c r="J126" i="3"/>
  <c r="I126" i="3"/>
  <c r="H126" i="3"/>
  <c r="AN125" i="3"/>
  <c r="AM125" i="3"/>
  <c r="AL125" i="3"/>
  <c r="AK125" i="3"/>
  <c r="AJ125" i="3"/>
  <c r="AI125" i="3"/>
  <c r="AH125" i="3"/>
  <c r="AG125" i="3"/>
  <c r="AB125" i="3"/>
  <c r="AA125" i="3"/>
  <c r="Z125" i="3"/>
  <c r="Y125" i="3"/>
  <c r="X125" i="3"/>
  <c r="W125" i="3"/>
  <c r="V125" i="3"/>
  <c r="U125" i="3"/>
  <c r="T125" i="3"/>
  <c r="S125" i="3"/>
  <c r="R125" i="3"/>
  <c r="Q125" i="3"/>
  <c r="P125" i="3"/>
  <c r="O125" i="3"/>
  <c r="N125" i="3"/>
  <c r="M125" i="3"/>
  <c r="L125" i="3"/>
  <c r="K125" i="3"/>
  <c r="J125" i="3"/>
  <c r="I125" i="3"/>
  <c r="H125" i="3"/>
  <c r="AL124" i="3"/>
  <c r="AK124" i="3"/>
  <c r="AJ124" i="3"/>
  <c r="AI124" i="3"/>
  <c r="AH124" i="3"/>
  <c r="AG124" i="3"/>
  <c r="AF124" i="3"/>
  <c r="AD124" i="3"/>
  <c r="AB124" i="3"/>
  <c r="AA124" i="3"/>
  <c r="Z124" i="3"/>
  <c r="Y124" i="3"/>
  <c r="X124" i="3"/>
  <c r="W124" i="3"/>
  <c r="V124" i="3"/>
  <c r="U124" i="3"/>
  <c r="T124" i="3"/>
  <c r="S124" i="3"/>
  <c r="R124" i="3"/>
  <c r="Q124" i="3"/>
  <c r="P124" i="3"/>
  <c r="O124" i="3"/>
  <c r="N124" i="3"/>
  <c r="M124" i="3"/>
  <c r="L124" i="3"/>
  <c r="K124" i="3"/>
  <c r="J124" i="3"/>
  <c r="I124" i="3"/>
  <c r="H124" i="3"/>
  <c r="AJ123" i="3"/>
  <c r="AI123" i="3"/>
  <c r="AH123" i="3"/>
  <c r="AG123" i="3"/>
  <c r="AB123" i="3"/>
  <c r="AA123" i="3"/>
  <c r="Z123" i="3"/>
  <c r="Y123" i="3"/>
  <c r="X123" i="3"/>
  <c r="W123" i="3"/>
  <c r="V123" i="3"/>
  <c r="U123" i="3"/>
  <c r="T123" i="3"/>
  <c r="S123" i="3"/>
  <c r="R123" i="3"/>
  <c r="Q123" i="3"/>
  <c r="P123" i="3"/>
  <c r="O123" i="3"/>
  <c r="N123" i="3"/>
  <c r="M123" i="3"/>
  <c r="L123" i="3"/>
  <c r="K123" i="3"/>
  <c r="J123" i="3"/>
  <c r="I123" i="3"/>
  <c r="H123" i="3"/>
  <c r="AJ122" i="3"/>
  <c r="AI122" i="3"/>
  <c r="AH122" i="3"/>
  <c r="AG122" i="3"/>
  <c r="AB122" i="3"/>
  <c r="AA122" i="3"/>
  <c r="Z122" i="3"/>
  <c r="Y122" i="3"/>
  <c r="X122" i="3"/>
  <c r="W122" i="3"/>
  <c r="V122" i="3"/>
  <c r="U122" i="3"/>
  <c r="T122" i="3"/>
  <c r="S122" i="3"/>
  <c r="R122" i="3"/>
  <c r="Q122" i="3"/>
  <c r="P122" i="3"/>
  <c r="O122" i="3"/>
  <c r="N122" i="3"/>
  <c r="M122" i="3"/>
  <c r="L122" i="3"/>
  <c r="K122" i="3"/>
  <c r="J122" i="3"/>
  <c r="I122" i="3"/>
  <c r="H122" i="3"/>
  <c r="AP121" i="3"/>
  <c r="AO121" i="3"/>
  <c r="AN121" i="3"/>
  <c r="AM121" i="3"/>
  <c r="AL121" i="3"/>
  <c r="AK121" i="3"/>
  <c r="AJ121" i="3"/>
  <c r="AI121" i="3"/>
  <c r="AH121" i="3"/>
  <c r="AG121" i="3"/>
  <c r="AB121" i="3"/>
  <c r="AA121" i="3"/>
  <c r="Z121" i="3"/>
  <c r="Y121" i="3"/>
  <c r="X121" i="3"/>
  <c r="W121" i="3"/>
  <c r="V121" i="3"/>
  <c r="U121" i="3"/>
  <c r="T121" i="3"/>
  <c r="S121" i="3"/>
  <c r="R121" i="3"/>
  <c r="Q121" i="3"/>
  <c r="P121" i="3"/>
  <c r="O121" i="3"/>
  <c r="N121" i="3"/>
  <c r="M121" i="3"/>
  <c r="L121" i="3"/>
  <c r="K121" i="3"/>
  <c r="J121" i="3"/>
  <c r="I121" i="3"/>
  <c r="H121" i="3"/>
  <c r="AH120" i="3"/>
  <c r="AG120" i="3"/>
  <c r="AB120" i="3"/>
  <c r="AA120" i="3"/>
  <c r="Z120" i="3"/>
  <c r="Y120" i="3"/>
  <c r="X120" i="3"/>
  <c r="W120" i="3"/>
  <c r="V120" i="3"/>
  <c r="U120" i="3"/>
  <c r="T120" i="3"/>
  <c r="S120" i="3"/>
  <c r="R120" i="3"/>
  <c r="Q120" i="3"/>
  <c r="P120" i="3"/>
  <c r="O120" i="3"/>
  <c r="N120" i="3"/>
  <c r="M120" i="3"/>
  <c r="L120" i="3"/>
  <c r="K120" i="3"/>
  <c r="J120" i="3"/>
  <c r="I120" i="3"/>
  <c r="H120" i="3"/>
  <c r="AJ119" i="3"/>
  <c r="AI119" i="3"/>
  <c r="AH119" i="3"/>
  <c r="AG119" i="3"/>
  <c r="AB119" i="3"/>
  <c r="AA119" i="3"/>
  <c r="Z119" i="3"/>
  <c r="Y119" i="3"/>
  <c r="X119" i="3"/>
  <c r="W119" i="3"/>
  <c r="V119" i="3"/>
  <c r="U119" i="3"/>
  <c r="T119" i="3"/>
  <c r="S119" i="3"/>
  <c r="R119" i="3"/>
  <c r="Q119" i="3"/>
  <c r="P119" i="3"/>
  <c r="O119" i="3"/>
  <c r="N119" i="3"/>
  <c r="M119" i="3"/>
  <c r="L119" i="3"/>
  <c r="K119" i="3"/>
  <c r="J119" i="3"/>
  <c r="I119" i="3"/>
  <c r="H119" i="3"/>
  <c r="AN118" i="3"/>
  <c r="AM118" i="3"/>
  <c r="AL118" i="3"/>
  <c r="AK118" i="3"/>
  <c r="AJ118" i="3"/>
  <c r="AI118" i="3"/>
  <c r="AH118" i="3"/>
  <c r="AG118" i="3"/>
  <c r="AB118" i="3"/>
  <c r="AA118" i="3"/>
  <c r="Z118" i="3"/>
  <c r="Y118" i="3"/>
  <c r="X118" i="3"/>
  <c r="W118" i="3"/>
  <c r="V118" i="3"/>
  <c r="U118" i="3"/>
  <c r="T118" i="3"/>
  <c r="S118" i="3"/>
  <c r="R118" i="3"/>
  <c r="Q118" i="3"/>
  <c r="P118" i="3"/>
  <c r="O118" i="3"/>
  <c r="N118" i="3"/>
  <c r="M118" i="3"/>
  <c r="L118" i="3"/>
  <c r="K118" i="3"/>
  <c r="J118" i="3"/>
  <c r="I118" i="3"/>
  <c r="H118" i="3"/>
  <c r="AL117" i="3"/>
  <c r="AK117" i="3"/>
  <c r="AJ117" i="3"/>
  <c r="AI117" i="3"/>
  <c r="AH117" i="3"/>
  <c r="AG117" i="3"/>
  <c r="AB117" i="3"/>
  <c r="AA117" i="3"/>
  <c r="Z117" i="3"/>
  <c r="Y117" i="3"/>
  <c r="X117" i="3"/>
  <c r="W117" i="3"/>
  <c r="V117" i="3"/>
  <c r="U117" i="3"/>
  <c r="T117" i="3"/>
  <c r="S117" i="3"/>
  <c r="R117" i="3"/>
  <c r="Q117" i="3"/>
  <c r="P117" i="3"/>
  <c r="O117" i="3"/>
  <c r="N117" i="3"/>
  <c r="M117" i="3"/>
  <c r="L117" i="3"/>
  <c r="K117" i="3"/>
  <c r="J117" i="3"/>
  <c r="I117" i="3"/>
  <c r="H117" i="3"/>
  <c r="AJ116" i="3"/>
  <c r="AI116" i="3"/>
  <c r="AH116" i="3"/>
  <c r="AG116" i="3"/>
  <c r="AB116" i="3"/>
  <c r="AA116" i="3"/>
  <c r="Z116" i="3"/>
  <c r="Y116" i="3"/>
  <c r="X116" i="3"/>
  <c r="W116" i="3"/>
  <c r="V116" i="3"/>
  <c r="U116" i="3"/>
  <c r="T116" i="3"/>
  <c r="S116" i="3"/>
  <c r="R116" i="3"/>
  <c r="Q116" i="3"/>
  <c r="P116" i="3"/>
  <c r="O116" i="3"/>
  <c r="N116" i="3"/>
  <c r="M116" i="3"/>
  <c r="L116" i="3"/>
  <c r="K116" i="3"/>
  <c r="J116" i="3"/>
  <c r="I116" i="3"/>
  <c r="H116" i="3"/>
  <c r="AP115" i="3"/>
  <c r="AO115" i="3"/>
  <c r="AN115" i="3"/>
  <c r="AM115" i="3"/>
  <c r="AL115" i="3"/>
  <c r="AK115" i="3"/>
  <c r="AJ115" i="3"/>
  <c r="AI115" i="3"/>
  <c r="AH115" i="3"/>
  <c r="AG115" i="3"/>
  <c r="AB115" i="3"/>
  <c r="AA115" i="3"/>
  <c r="Z115" i="3"/>
  <c r="Y115" i="3"/>
  <c r="X115" i="3"/>
  <c r="W115" i="3"/>
  <c r="V115" i="3"/>
  <c r="U115" i="3"/>
  <c r="T115" i="3"/>
  <c r="S115" i="3"/>
  <c r="R115" i="3"/>
  <c r="Q115" i="3"/>
  <c r="P115" i="3"/>
  <c r="O115" i="3"/>
  <c r="N115" i="3"/>
  <c r="M115" i="3"/>
  <c r="L115" i="3"/>
  <c r="K115" i="3"/>
  <c r="J115" i="3"/>
  <c r="I115" i="3"/>
  <c r="H115" i="3"/>
  <c r="AL114" i="3"/>
  <c r="AK114" i="3"/>
  <c r="AJ114" i="3"/>
  <c r="AI114" i="3"/>
  <c r="AH114" i="3"/>
  <c r="AG114" i="3"/>
  <c r="AB114" i="3"/>
  <c r="AA114" i="3"/>
  <c r="Z114" i="3"/>
  <c r="Y114" i="3"/>
  <c r="X114" i="3"/>
  <c r="W114" i="3"/>
  <c r="V114" i="3"/>
  <c r="U114" i="3"/>
  <c r="T114" i="3"/>
  <c r="S114" i="3"/>
  <c r="R114" i="3"/>
  <c r="Q114" i="3"/>
  <c r="P114" i="3"/>
  <c r="O114" i="3"/>
  <c r="N114" i="3"/>
  <c r="M114" i="3"/>
  <c r="L114" i="3"/>
  <c r="K114" i="3"/>
  <c r="J114" i="3"/>
  <c r="I114" i="3"/>
  <c r="H114" i="3"/>
  <c r="AJ113" i="3"/>
  <c r="AI113" i="3"/>
  <c r="AH113" i="3"/>
  <c r="AG113" i="3"/>
  <c r="AB113" i="3"/>
  <c r="AA113" i="3"/>
  <c r="Z113" i="3"/>
  <c r="Y113" i="3"/>
  <c r="X113" i="3"/>
  <c r="W113" i="3"/>
  <c r="V113" i="3"/>
  <c r="U113" i="3"/>
  <c r="T113" i="3"/>
  <c r="S113" i="3"/>
  <c r="R113" i="3"/>
  <c r="Q113" i="3"/>
  <c r="P113" i="3"/>
  <c r="O113" i="3"/>
  <c r="N113" i="3"/>
  <c r="M113" i="3"/>
  <c r="L113" i="3"/>
  <c r="K113" i="3"/>
  <c r="J113" i="3"/>
  <c r="I113" i="3"/>
  <c r="H113" i="3"/>
  <c r="AN112" i="3"/>
  <c r="AM112" i="3"/>
  <c r="AL112" i="3"/>
  <c r="AK112" i="3"/>
  <c r="AJ112" i="3"/>
  <c r="AI112" i="3"/>
  <c r="AH112" i="3"/>
  <c r="AG112" i="3"/>
  <c r="AB112" i="3"/>
  <c r="AA112" i="3"/>
  <c r="Z112" i="3"/>
  <c r="Y112" i="3"/>
  <c r="X112" i="3"/>
  <c r="W112" i="3"/>
  <c r="V112" i="3"/>
  <c r="U112" i="3"/>
  <c r="T112" i="3"/>
  <c r="S112" i="3"/>
  <c r="R112" i="3"/>
  <c r="Q112" i="3"/>
  <c r="P112" i="3"/>
  <c r="O112" i="3"/>
  <c r="N112" i="3"/>
  <c r="M112" i="3"/>
  <c r="L112" i="3"/>
  <c r="K112" i="3"/>
  <c r="J112" i="3"/>
  <c r="I112" i="3"/>
  <c r="H112" i="3"/>
  <c r="AN111" i="3"/>
  <c r="AM111" i="3"/>
  <c r="AL111" i="3"/>
  <c r="AK111" i="3"/>
  <c r="AJ111" i="3"/>
  <c r="AI111" i="3"/>
  <c r="AH111" i="3"/>
  <c r="AG111" i="3"/>
  <c r="AB111" i="3"/>
  <c r="AA111" i="3"/>
  <c r="Z111" i="3"/>
  <c r="Y111" i="3"/>
  <c r="X111" i="3"/>
  <c r="W111" i="3"/>
  <c r="V111" i="3"/>
  <c r="U111" i="3"/>
  <c r="T111" i="3"/>
  <c r="S111" i="3"/>
  <c r="R111" i="3"/>
  <c r="Q111" i="3"/>
  <c r="P111" i="3"/>
  <c r="O111" i="3"/>
  <c r="N111" i="3"/>
  <c r="M111" i="3"/>
  <c r="L111" i="3"/>
  <c r="K111" i="3"/>
  <c r="J111" i="3"/>
  <c r="I111" i="3"/>
  <c r="H111" i="3"/>
  <c r="AN110" i="3"/>
  <c r="AM110" i="3"/>
  <c r="AL110" i="3"/>
  <c r="AK110" i="3"/>
  <c r="AJ110" i="3"/>
  <c r="AI110" i="3"/>
  <c r="AH110" i="3"/>
  <c r="AG110" i="3"/>
  <c r="AB110" i="3"/>
  <c r="AA110" i="3"/>
  <c r="Z110" i="3"/>
  <c r="Y110" i="3"/>
  <c r="X110" i="3"/>
  <c r="W110" i="3"/>
  <c r="V110" i="3"/>
  <c r="U110" i="3"/>
  <c r="T110" i="3"/>
  <c r="S110" i="3"/>
  <c r="R110" i="3"/>
  <c r="Q110" i="3"/>
  <c r="P110" i="3"/>
  <c r="O110" i="3"/>
  <c r="N110" i="3"/>
  <c r="M110" i="3"/>
  <c r="L110" i="3"/>
  <c r="K110" i="3"/>
  <c r="J110" i="3"/>
  <c r="I110" i="3"/>
  <c r="H110" i="3"/>
  <c r="AL109" i="3"/>
  <c r="AK109" i="3"/>
  <c r="AJ109" i="3"/>
  <c r="AI109" i="3"/>
  <c r="AH109" i="3"/>
  <c r="AG109" i="3"/>
  <c r="AB109" i="3"/>
  <c r="AA109" i="3"/>
  <c r="Z109" i="3"/>
  <c r="Y109" i="3"/>
  <c r="X109" i="3"/>
  <c r="W109" i="3"/>
  <c r="V109" i="3"/>
  <c r="U109" i="3"/>
  <c r="T109" i="3"/>
  <c r="S109" i="3"/>
  <c r="R109" i="3"/>
  <c r="Q109" i="3"/>
  <c r="P109" i="3"/>
  <c r="O109" i="3"/>
  <c r="N109" i="3"/>
  <c r="M109" i="3"/>
  <c r="L109" i="3"/>
  <c r="K109" i="3"/>
  <c r="J109" i="3"/>
  <c r="I109" i="3"/>
  <c r="H109" i="3"/>
  <c r="AL108" i="3"/>
  <c r="AK108" i="3"/>
  <c r="AJ108" i="3"/>
  <c r="AI108" i="3"/>
  <c r="AH108" i="3"/>
  <c r="AG108" i="3"/>
  <c r="AB108" i="3"/>
  <c r="AA108" i="3"/>
  <c r="Z108" i="3"/>
  <c r="Y108" i="3"/>
  <c r="X108" i="3"/>
  <c r="W108" i="3"/>
  <c r="V108" i="3"/>
  <c r="U108" i="3"/>
  <c r="T108" i="3"/>
  <c r="S108" i="3"/>
  <c r="R108" i="3"/>
  <c r="Q108" i="3"/>
  <c r="P108" i="3"/>
  <c r="O108" i="3"/>
  <c r="N108" i="3"/>
  <c r="M108" i="3"/>
  <c r="L108" i="3"/>
  <c r="K108" i="3"/>
  <c r="J108" i="3"/>
  <c r="I108" i="3"/>
  <c r="H108" i="3"/>
  <c r="AN107" i="3"/>
  <c r="AM107" i="3"/>
  <c r="AL107" i="3"/>
  <c r="AK107" i="3"/>
  <c r="AJ107" i="3"/>
  <c r="AI107" i="3"/>
  <c r="AH107" i="3"/>
  <c r="AG107" i="3"/>
  <c r="AB107" i="3"/>
  <c r="AA107" i="3"/>
  <c r="Z107" i="3"/>
  <c r="Y107" i="3"/>
  <c r="X107" i="3"/>
  <c r="W107" i="3"/>
  <c r="V107" i="3"/>
  <c r="U107" i="3"/>
  <c r="T107" i="3"/>
  <c r="S107" i="3"/>
  <c r="R107" i="3"/>
  <c r="Q107" i="3"/>
  <c r="P107" i="3"/>
  <c r="O107" i="3"/>
  <c r="N107" i="3"/>
  <c r="M107" i="3"/>
  <c r="L107" i="3"/>
  <c r="K107" i="3"/>
  <c r="J107" i="3"/>
  <c r="I107" i="3"/>
  <c r="H107" i="3"/>
  <c r="AN106" i="3"/>
  <c r="AM106" i="3"/>
  <c r="AL106" i="3"/>
  <c r="AK106" i="3"/>
  <c r="AJ106" i="3"/>
  <c r="AI106" i="3"/>
  <c r="AH106" i="3"/>
  <c r="AG106" i="3"/>
  <c r="AB106" i="3"/>
  <c r="AA106" i="3"/>
  <c r="Z106" i="3"/>
  <c r="Y106" i="3"/>
  <c r="X106" i="3"/>
  <c r="W106" i="3"/>
  <c r="V106" i="3"/>
  <c r="U106" i="3"/>
  <c r="T106" i="3"/>
  <c r="S106" i="3"/>
  <c r="R106" i="3"/>
  <c r="Q106" i="3"/>
  <c r="P106" i="3"/>
  <c r="O106" i="3"/>
  <c r="N106" i="3"/>
  <c r="M106" i="3"/>
  <c r="L106" i="3"/>
  <c r="K106" i="3"/>
  <c r="J106" i="3"/>
  <c r="I106" i="3"/>
  <c r="H106" i="3"/>
  <c r="AJ105" i="3"/>
  <c r="AI105" i="3"/>
  <c r="AH105" i="3"/>
  <c r="AG105" i="3"/>
  <c r="AB105" i="3"/>
  <c r="AA105" i="3"/>
  <c r="Z105" i="3"/>
  <c r="Y105" i="3"/>
  <c r="X105" i="3"/>
  <c r="W105" i="3"/>
  <c r="V105" i="3"/>
  <c r="U105" i="3"/>
  <c r="T105" i="3"/>
  <c r="S105" i="3"/>
  <c r="R105" i="3"/>
  <c r="Q105" i="3"/>
  <c r="P105" i="3"/>
  <c r="O105" i="3"/>
  <c r="N105" i="3"/>
  <c r="M105" i="3"/>
  <c r="L105" i="3"/>
  <c r="K105" i="3"/>
  <c r="J105" i="3"/>
  <c r="I105" i="3"/>
  <c r="H105" i="3"/>
  <c r="AL104" i="3"/>
  <c r="AK104" i="3"/>
  <c r="AJ104" i="3"/>
  <c r="AI104" i="3"/>
  <c r="AH104" i="3"/>
  <c r="AG104" i="3"/>
  <c r="AB104" i="3"/>
  <c r="AA104" i="3"/>
  <c r="Z104" i="3"/>
  <c r="Y104" i="3"/>
  <c r="X104" i="3"/>
  <c r="W104" i="3"/>
  <c r="V104" i="3"/>
  <c r="U104" i="3"/>
  <c r="T104" i="3"/>
  <c r="S104" i="3"/>
  <c r="R104" i="3"/>
  <c r="Q104" i="3"/>
  <c r="P104" i="3"/>
  <c r="O104" i="3"/>
  <c r="N104" i="3"/>
  <c r="M104" i="3"/>
  <c r="L104" i="3"/>
  <c r="K104" i="3"/>
  <c r="J104" i="3"/>
  <c r="I104" i="3"/>
  <c r="H104" i="3"/>
  <c r="AL103" i="3"/>
  <c r="AK103" i="3"/>
  <c r="AJ103" i="3"/>
  <c r="AI103" i="3"/>
  <c r="AH103" i="3"/>
  <c r="AG103" i="3"/>
  <c r="AB103" i="3"/>
  <c r="AA103" i="3"/>
  <c r="Z103" i="3"/>
  <c r="Y103" i="3"/>
  <c r="X103" i="3"/>
  <c r="W103" i="3"/>
  <c r="V103" i="3"/>
  <c r="U103" i="3"/>
  <c r="T103" i="3"/>
  <c r="S103" i="3"/>
  <c r="R103" i="3"/>
  <c r="Q103" i="3"/>
  <c r="P103" i="3"/>
  <c r="O103" i="3"/>
  <c r="N103" i="3"/>
  <c r="M103" i="3"/>
  <c r="L103" i="3"/>
  <c r="K103" i="3"/>
  <c r="J103" i="3"/>
  <c r="I103" i="3"/>
  <c r="H103" i="3"/>
  <c r="AL102" i="3"/>
  <c r="AK102" i="3"/>
  <c r="AH102" i="3"/>
  <c r="AG102" i="3"/>
  <c r="AB102" i="3"/>
  <c r="AA102" i="3"/>
  <c r="Z102" i="3"/>
  <c r="Y102" i="3"/>
  <c r="X102" i="3"/>
  <c r="W102" i="3"/>
  <c r="V102" i="3"/>
  <c r="U102" i="3"/>
  <c r="T102" i="3"/>
  <c r="S102" i="3"/>
  <c r="R102" i="3"/>
  <c r="Q102" i="3"/>
  <c r="P102" i="3"/>
  <c r="O102" i="3"/>
  <c r="N102" i="3"/>
  <c r="M102" i="3"/>
  <c r="L102" i="3"/>
  <c r="K102" i="3"/>
  <c r="J102" i="3"/>
  <c r="I102" i="3"/>
  <c r="H102" i="3"/>
  <c r="AJ101" i="3"/>
  <c r="AI101" i="3"/>
  <c r="AH101" i="3"/>
  <c r="AG101" i="3"/>
  <c r="AB101" i="3"/>
  <c r="AA101" i="3"/>
  <c r="Z101" i="3"/>
  <c r="Y101" i="3"/>
  <c r="X101" i="3"/>
  <c r="W101" i="3"/>
  <c r="V101" i="3"/>
  <c r="U101" i="3"/>
  <c r="T101" i="3"/>
  <c r="S101" i="3"/>
  <c r="R101" i="3"/>
  <c r="Q101" i="3"/>
  <c r="P101" i="3"/>
  <c r="O101" i="3"/>
  <c r="N101" i="3"/>
  <c r="M101" i="3"/>
  <c r="L101" i="3"/>
  <c r="K101" i="3"/>
  <c r="J101" i="3"/>
  <c r="I101" i="3"/>
  <c r="H101" i="3"/>
  <c r="AH100" i="3"/>
  <c r="AG100" i="3"/>
  <c r="AB100" i="3"/>
  <c r="AA100" i="3"/>
  <c r="Z100" i="3"/>
  <c r="Y100" i="3"/>
  <c r="X100" i="3"/>
  <c r="W100" i="3"/>
  <c r="V100" i="3"/>
  <c r="U100" i="3"/>
  <c r="T100" i="3"/>
  <c r="S100" i="3"/>
  <c r="R100" i="3"/>
  <c r="Q100" i="3"/>
  <c r="P100" i="3"/>
  <c r="O100" i="3"/>
  <c r="N100" i="3"/>
  <c r="M100" i="3"/>
  <c r="L100" i="3"/>
  <c r="K100" i="3"/>
  <c r="J100" i="3"/>
  <c r="I100" i="3"/>
  <c r="H100" i="3"/>
  <c r="AG99" i="3"/>
  <c r="AB99" i="3"/>
  <c r="AA99" i="3"/>
  <c r="Z99" i="3"/>
  <c r="Y99" i="3"/>
  <c r="X99" i="3"/>
  <c r="W99" i="3"/>
  <c r="V99" i="3"/>
  <c r="U99" i="3"/>
  <c r="T99" i="3"/>
  <c r="S99" i="3"/>
  <c r="R99" i="3"/>
  <c r="Q99" i="3"/>
  <c r="P99" i="3"/>
  <c r="O99" i="3"/>
  <c r="N99" i="3"/>
  <c r="M99" i="3"/>
  <c r="L99" i="3"/>
  <c r="K99" i="3"/>
  <c r="J99" i="3"/>
  <c r="I99" i="3"/>
  <c r="H99" i="3"/>
  <c r="AT98" i="3"/>
  <c r="AS98" i="3"/>
  <c r="AR98" i="3"/>
  <c r="AQ98" i="3"/>
  <c r="AP98" i="3"/>
  <c r="AO98" i="3"/>
  <c r="AN98" i="3"/>
  <c r="AM98" i="3"/>
  <c r="AL98" i="3"/>
  <c r="AK98" i="3"/>
  <c r="AJ98" i="3"/>
  <c r="AI98" i="3"/>
  <c r="AH98" i="3"/>
  <c r="AG98" i="3"/>
  <c r="AB98" i="3"/>
  <c r="AA98" i="3"/>
  <c r="Z98" i="3"/>
  <c r="Y98" i="3"/>
  <c r="X98" i="3"/>
  <c r="W98" i="3"/>
  <c r="V98" i="3"/>
  <c r="U98" i="3"/>
  <c r="T98" i="3"/>
  <c r="S98" i="3"/>
  <c r="R98" i="3"/>
  <c r="Q98" i="3"/>
  <c r="P98" i="3"/>
  <c r="O98" i="3"/>
  <c r="N98" i="3"/>
  <c r="M98" i="3"/>
  <c r="L98" i="3"/>
  <c r="K98" i="3"/>
  <c r="J98" i="3"/>
  <c r="I98" i="3"/>
  <c r="H98" i="3"/>
  <c r="AT97" i="3"/>
  <c r="AS97" i="3"/>
  <c r="AR97" i="3"/>
  <c r="AQ97" i="3"/>
  <c r="AP97" i="3"/>
  <c r="AO97" i="3"/>
  <c r="AN97" i="3"/>
  <c r="AM97" i="3"/>
  <c r="AL97" i="3"/>
  <c r="AK97" i="3"/>
  <c r="AJ97" i="3"/>
  <c r="AI97" i="3"/>
  <c r="AH97" i="3"/>
  <c r="AG97" i="3"/>
  <c r="AB97" i="3"/>
  <c r="AA97" i="3"/>
  <c r="Z97" i="3"/>
  <c r="Y97" i="3"/>
  <c r="X97" i="3"/>
  <c r="W97" i="3"/>
  <c r="V97" i="3"/>
  <c r="U97" i="3"/>
  <c r="T97" i="3"/>
  <c r="S97" i="3"/>
  <c r="R97" i="3"/>
  <c r="Q97" i="3"/>
  <c r="P97" i="3"/>
  <c r="O97" i="3"/>
  <c r="N97" i="3"/>
  <c r="M97" i="3"/>
  <c r="L97" i="3"/>
  <c r="K97" i="3"/>
  <c r="J97" i="3"/>
  <c r="I97" i="3"/>
  <c r="H97" i="3"/>
  <c r="AJ96" i="3"/>
  <c r="AI96" i="3"/>
  <c r="AH96" i="3"/>
  <c r="AG96" i="3"/>
  <c r="AB96" i="3"/>
  <c r="AA96" i="3"/>
  <c r="Z96" i="3"/>
  <c r="Y96" i="3"/>
  <c r="X96" i="3"/>
  <c r="W96" i="3"/>
  <c r="V96" i="3"/>
  <c r="U96" i="3"/>
  <c r="T96" i="3"/>
  <c r="S96" i="3"/>
  <c r="R96" i="3"/>
  <c r="Q96" i="3"/>
  <c r="P96" i="3"/>
  <c r="O96" i="3"/>
  <c r="N96" i="3"/>
  <c r="M96" i="3"/>
  <c r="L96" i="3"/>
  <c r="K96" i="3"/>
  <c r="J96" i="3"/>
  <c r="I96" i="3"/>
  <c r="H96" i="3"/>
  <c r="AJ95" i="3"/>
  <c r="AI95" i="3"/>
  <c r="AH95" i="3"/>
  <c r="AG95" i="3"/>
  <c r="AB95" i="3"/>
  <c r="AA95" i="3"/>
  <c r="Z95" i="3"/>
  <c r="Y95" i="3"/>
  <c r="X95" i="3"/>
  <c r="W95" i="3"/>
  <c r="V95" i="3"/>
  <c r="U95" i="3"/>
  <c r="T95" i="3"/>
  <c r="S95" i="3"/>
  <c r="R95" i="3"/>
  <c r="Q95" i="3"/>
  <c r="P95" i="3"/>
  <c r="O95" i="3"/>
  <c r="N95" i="3"/>
  <c r="M95" i="3"/>
  <c r="L95" i="3"/>
  <c r="K95" i="3"/>
  <c r="J95" i="3"/>
  <c r="I95" i="3"/>
  <c r="H95" i="3"/>
  <c r="AG94" i="3"/>
  <c r="AB94" i="3"/>
  <c r="AA94" i="3"/>
  <c r="Z94" i="3"/>
  <c r="Y94" i="3"/>
  <c r="X94" i="3"/>
  <c r="W94" i="3"/>
  <c r="V94" i="3"/>
  <c r="U94" i="3"/>
  <c r="T94" i="3"/>
  <c r="S94" i="3"/>
  <c r="R94" i="3"/>
  <c r="Q94" i="3"/>
  <c r="P94" i="3"/>
  <c r="O94" i="3"/>
  <c r="N94" i="3"/>
  <c r="M94" i="3"/>
  <c r="L94" i="3"/>
  <c r="K94" i="3"/>
  <c r="J94" i="3"/>
  <c r="I94" i="3"/>
  <c r="H94" i="3"/>
  <c r="AG93" i="3"/>
  <c r="AB93" i="3"/>
  <c r="AA93" i="3"/>
  <c r="Z93" i="3"/>
  <c r="Y93" i="3"/>
  <c r="X93" i="3"/>
  <c r="W93" i="3"/>
  <c r="V93" i="3"/>
  <c r="U93" i="3"/>
  <c r="T93" i="3"/>
  <c r="S93" i="3"/>
  <c r="R93" i="3"/>
  <c r="Q93" i="3"/>
  <c r="P93" i="3"/>
  <c r="O93" i="3"/>
  <c r="N93" i="3"/>
  <c r="M93" i="3"/>
  <c r="L93" i="3"/>
  <c r="K93" i="3"/>
  <c r="J93" i="3"/>
  <c r="I93" i="3"/>
  <c r="H93" i="3"/>
  <c r="AR92" i="3"/>
  <c r="AQ92" i="3"/>
  <c r="AP92" i="3"/>
  <c r="AO92" i="3"/>
  <c r="AN92" i="3"/>
  <c r="AM92" i="3"/>
  <c r="AL92" i="3"/>
  <c r="AK92" i="3"/>
  <c r="AJ92" i="3"/>
  <c r="AI92" i="3"/>
  <c r="AH92" i="3"/>
  <c r="AG92" i="3"/>
  <c r="AB92" i="3"/>
  <c r="AA92" i="3"/>
  <c r="Z92" i="3"/>
  <c r="Y92" i="3"/>
  <c r="X92" i="3"/>
  <c r="W92" i="3"/>
  <c r="V92" i="3"/>
  <c r="U92" i="3"/>
  <c r="T92" i="3"/>
  <c r="S92" i="3"/>
  <c r="R92" i="3"/>
  <c r="Q92" i="3"/>
  <c r="P92" i="3"/>
  <c r="O92" i="3"/>
  <c r="N92" i="3"/>
  <c r="M92" i="3"/>
  <c r="L92" i="3"/>
  <c r="K92" i="3"/>
  <c r="J92" i="3"/>
  <c r="I92" i="3"/>
  <c r="H92" i="3"/>
  <c r="AR91" i="3"/>
  <c r="AQ91" i="3"/>
  <c r="AP91" i="3"/>
  <c r="AO91" i="3"/>
  <c r="AN91" i="3"/>
  <c r="AM91" i="3"/>
  <c r="AL91" i="3"/>
  <c r="AK91" i="3"/>
  <c r="AJ91" i="3"/>
  <c r="AI91" i="3"/>
  <c r="AH91" i="3"/>
  <c r="AG91" i="3"/>
  <c r="AB91" i="3"/>
  <c r="AA91" i="3"/>
  <c r="Z91" i="3"/>
  <c r="Y91" i="3"/>
  <c r="X91" i="3"/>
  <c r="W91" i="3"/>
  <c r="V91" i="3"/>
  <c r="U91" i="3"/>
  <c r="T91" i="3"/>
  <c r="S91" i="3"/>
  <c r="R91" i="3"/>
  <c r="Q91" i="3"/>
  <c r="P91" i="3"/>
  <c r="O91" i="3"/>
  <c r="N91" i="3"/>
  <c r="M91" i="3"/>
  <c r="L91" i="3"/>
  <c r="K91" i="3"/>
  <c r="J91" i="3"/>
  <c r="I91" i="3"/>
  <c r="H91" i="3"/>
  <c r="AL90" i="3"/>
  <c r="AK90" i="3"/>
  <c r="AJ90" i="3"/>
  <c r="AI90" i="3"/>
  <c r="AH90" i="3"/>
  <c r="AG90" i="3"/>
  <c r="AB90" i="3"/>
  <c r="AA90" i="3"/>
  <c r="Z90" i="3"/>
  <c r="Y90" i="3"/>
  <c r="X90" i="3"/>
  <c r="W90" i="3"/>
  <c r="V90" i="3"/>
  <c r="U90" i="3"/>
  <c r="T90" i="3"/>
  <c r="S90" i="3"/>
  <c r="R90" i="3"/>
  <c r="Q90" i="3"/>
  <c r="P90" i="3"/>
  <c r="O90" i="3"/>
  <c r="N90" i="3"/>
  <c r="M90" i="3"/>
  <c r="L90" i="3"/>
  <c r="K90" i="3"/>
  <c r="J90" i="3"/>
  <c r="I90" i="3"/>
  <c r="H90" i="3"/>
  <c r="AL89" i="3"/>
  <c r="AK89" i="3"/>
  <c r="AJ89" i="3"/>
  <c r="AI89" i="3"/>
  <c r="AH89" i="3"/>
  <c r="AG89" i="3"/>
  <c r="AB89" i="3"/>
  <c r="AA89" i="3"/>
  <c r="Z89" i="3"/>
  <c r="Y89" i="3"/>
  <c r="X89" i="3"/>
  <c r="W89" i="3"/>
  <c r="V89" i="3"/>
  <c r="U89" i="3"/>
  <c r="T89" i="3"/>
  <c r="S89" i="3"/>
  <c r="R89" i="3"/>
  <c r="Q89" i="3"/>
  <c r="P89" i="3"/>
  <c r="O89" i="3"/>
  <c r="N89" i="3"/>
  <c r="M89" i="3"/>
  <c r="L89" i="3"/>
  <c r="K89" i="3"/>
  <c r="J89" i="3"/>
  <c r="I89" i="3"/>
  <c r="H89" i="3"/>
  <c r="AL88" i="3"/>
  <c r="AK88" i="3"/>
  <c r="AJ88" i="3"/>
  <c r="AI88" i="3"/>
  <c r="AH88" i="3"/>
  <c r="AG88" i="3"/>
  <c r="AB88" i="3"/>
  <c r="AA88" i="3"/>
  <c r="Z88" i="3"/>
  <c r="Y88" i="3"/>
  <c r="X88" i="3"/>
  <c r="V88" i="3"/>
  <c r="U88" i="3"/>
  <c r="T88" i="3"/>
  <c r="S88" i="3"/>
  <c r="R88" i="3"/>
  <c r="Q88" i="3"/>
  <c r="P88" i="3"/>
  <c r="O88" i="3"/>
  <c r="N88" i="3"/>
  <c r="M88" i="3"/>
  <c r="L88" i="3"/>
  <c r="K88" i="3"/>
  <c r="J88" i="3"/>
  <c r="I88" i="3"/>
  <c r="H88" i="3"/>
  <c r="AL87" i="3"/>
  <c r="AK87" i="3"/>
  <c r="AJ87" i="3"/>
  <c r="AI87" i="3"/>
  <c r="AH87" i="3"/>
  <c r="AG87" i="3"/>
  <c r="AB87" i="3"/>
  <c r="AA87" i="3"/>
  <c r="Z87" i="3"/>
  <c r="Y87" i="3"/>
  <c r="X87" i="3"/>
  <c r="W87" i="3"/>
  <c r="V87" i="3"/>
  <c r="U87" i="3"/>
  <c r="T87" i="3"/>
  <c r="S87" i="3"/>
  <c r="R87" i="3"/>
  <c r="Q87" i="3"/>
  <c r="P87" i="3"/>
  <c r="O87" i="3"/>
  <c r="N87" i="3"/>
  <c r="M87" i="3"/>
  <c r="L87" i="3"/>
  <c r="K87" i="3"/>
  <c r="J87" i="3"/>
  <c r="I87" i="3"/>
  <c r="H87" i="3"/>
  <c r="AL86" i="3"/>
  <c r="AK86" i="3"/>
  <c r="AJ86" i="3"/>
  <c r="AI86" i="3"/>
  <c r="AH86" i="3"/>
  <c r="AG86" i="3"/>
  <c r="AB86" i="3"/>
  <c r="AA86" i="3"/>
  <c r="Z86" i="3"/>
  <c r="Y86" i="3"/>
  <c r="X86" i="3"/>
  <c r="W86" i="3"/>
  <c r="V86" i="3"/>
  <c r="U86" i="3"/>
  <c r="T86" i="3"/>
  <c r="S86" i="3"/>
  <c r="R86" i="3"/>
  <c r="Q86" i="3"/>
  <c r="P86" i="3"/>
  <c r="O86" i="3"/>
  <c r="N86" i="3"/>
  <c r="M86" i="3"/>
  <c r="L86" i="3"/>
  <c r="K86" i="3"/>
  <c r="J86" i="3"/>
  <c r="I86" i="3"/>
  <c r="H86" i="3"/>
  <c r="AP85" i="3"/>
  <c r="AO85" i="3"/>
  <c r="AN85" i="3"/>
  <c r="AM85" i="3"/>
  <c r="AL85" i="3"/>
  <c r="AK85" i="3"/>
  <c r="AJ85" i="3"/>
  <c r="AI85" i="3"/>
  <c r="AH85" i="3"/>
  <c r="AG85" i="3"/>
  <c r="AB85" i="3"/>
  <c r="AA85" i="3"/>
  <c r="Z85" i="3"/>
  <c r="Y85" i="3"/>
  <c r="X85" i="3"/>
  <c r="W85" i="3"/>
  <c r="V85" i="3"/>
  <c r="U85" i="3"/>
  <c r="T85" i="3"/>
  <c r="S85" i="3"/>
  <c r="R85" i="3"/>
  <c r="Q85" i="3"/>
  <c r="P85" i="3"/>
  <c r="O85" i="3"/>
  <c r="N85" i="3"/>
  <c r="M85" i="3"/>
  <c r="L85" i="3"/>
  <c r="K85" i="3"/>
  <c r="J85" i="3"/>
  <c r="I85" i="3"/>
  <c r="H85" i="3"/>
  <c r="AL84" i="3"/>
  <c r="AK84" i="3"/>
  <c r="AJ84" i="3"/>
  <c r="AI84" i="3"/>
  <c r="AH84" i="3"/>
  <c r="AG84" i="3"/>
  <c r="AB84" i="3"/>
  <c r="AA84" i="3"/>
  <c r="Z84" i="3"/>
  <c r="Y84" i="3"/>
  <c r="X84" i="3"/>
  <c r="W84" i="3"/>
  <c r="V84" i="3"/>
  <c r="U84" i="3"/>
  <c r="T84" i="3"/>
  <c r="S84" i="3"/>
  <c r="R84" i="3"/>
  <c r="Q84" i="3"/>
  <c r="P84" i="3"/>
  <c r="O84" i="3"/>
  <c r="N84" i="3"/>
  <c r="M84" i="3"/>
  <c r="L84" i="3"/>
  <c r="K84" i="3"/>
  <c r="J84" i="3"/>
  <c r="I84" i="3"/>
  <c r="H84" i="3"/>
  <c r="AJ83" i="3"/>
  <c r="AI83" i="3"/>
  <c r="AH83" i="3"/>
  <c r="AG83" i="3"/>
  <c r="AB83" i="3"/>
  <c r="AA83" i="3"/>
  <c r="Z83" i="3"/>
  <c r="Y83" i="3"/>
  <c r="X83" i="3"/>
  <c r="W83" i="3"/>
  <c r="V83" i="3"/>
  <c r="U83" i="3"/>
  <c r="T83" i="3"/>
  <c r="S83" i="3"/>
  <c r="R83" i="3"/>
  <c r="Q83" i="3"/>
  <c r="P83" i="3"/>
  <c r="O83" i="3"/>
  <c r="N83" i="3"/>
  <c r="M83" i="3"/>
  <c r="L83" i="3"/>
  <c r="K83" i="3"/>
  <c r="J83" i="3"/>
  <c r="I83" i="3"/>
  <c r="H83" i="3"/>
  <c r="AJ82" i="3"/>
  <c r="AI82" i="3"/>
  <c r="AH82" i="3"/>
  <c r="AG82" i="3"/>
  <c r="AB82" i="3"/>
  <c r="AA82" i="3"/>
  <c r="Z82" i="3"/>
  <c r="Y82" i="3"/>
  <c r="X82" i="3"/>
  <c r="W82" i="3"/>
  <c r="V82" i="3"/>
  <c r="U82" i="3"/>
  <c r="T82" i="3"/>
  <c r="S82" i="3"/>
  <c r="R82" i="3"/>
  <c r="Q82" i="3"/>
  <c r="P82" i="3"/>
  <c r="O82" i="3"/>
  <c r="N82" i="3"/>
  <c r="M82" i="3"/>
  <c r="L82" i="3"/>
  <c r="K82" i="3"/>
  <c r="J82" i="3"/>
  <c r="I82" i="3"/>
  <c r="H82" i="3"/>
  <c r="AP81" i="3"/>
  <c r="AO81" i="3"/>
  <c r="AN81" i="3"/>
  <c r="AM81" i="3"/>
  <c r="AL81" i="3"/>
  <c r="AK81" i="3"/>
  <c r="AJ81" i="3"/>
  <c r="AI81" i="3"/>
  <c r="AH81" i="3"/>
  <c r="AG81" i="3"/>
  <c r="AB81" i="3"/>
  <c r="AA81" i="3"/>
  <c r="Z81" i="3"/>
  <c r="Y81" i="3"/>
  <c r="X81" i="3"/>
  <c r="W81" i="3"/>
  <c r="V81" i="3"/>
  <c r="U81" i="3"/>
  <c r="T81" i="3"/>
  <c r="S81" i="3"/>
  <c r="R81" i="3"/>
  <c r="Q81" i="3"/>
  <c r="P81" i="3"/>
  <c r="O81" i="3"/>
  <c r="N81" i="3"/>
  <c r="M81" i="3"/>
  <c r="L81" i="3"/>
  <c r="K81" i="3"/>
  <c r="J81" i="3"/>
  <c r="I81" i="3"/>
  <c r="H81" i="3"/>
  <c r="AL80" i="3"/>
  <c r="AK80" i="3"/>
  <c r="AJ80" i="3"/>
  <c r="AI80" i="3"/>
  <c r="AH80" i="3"/>
  <c r="AG80" i="3"/>
  <c r="AB80" i="3"/>
  <c r="AA80" i="3"/>
  <c r="Z80" i="3"/>
  <c r="Y80" i="3"/>
  <c r="X80" i="3"/>
  <c r="W80" i="3"/>
  <c r="V80" i="3"/>
  <c r="U80" i="3"/>
  <c r="T80" i="3"/>
  <c r="S80" i="3"/>
  <c r="R80" i="3"/>
  <c r="Q80" i="3"/>
  <c r="P80" i="3"/>
  <c r="O80" i="3"/>
  <c r="N80" i="3"/>
  <c r="M80" i="3"/>
  <c r="L80" i="3"/>
  <c r="K80" i="3"/>
  <c r="J80" i="3"/>
  <c r="I80" i="3"/>
  <c r="H80" i="3"/>
  <c r="AP79" i="3"/>
  <c r="AO79" i="3"/>
  <c r="AN79" i="3"/>
  <c r="AM79" i="3"/>
  <c r="AL79" i="3"/>
  <c r="AK79" i="3"/>
  <c r="AJ79" i="3"/>
  <c r="AI79" i="3"/>
  <c r="AH79" i="3"/>
  <c r="AG79" i="3"/>
  <c r="AB79" i="3"/>
  <c r="AA79" i="3"/>
  <c r="Z79" i="3"/>
  <c r="Y79" i="3"/>
  <c r="X79" i="3"/>
  <c r="W79" i="3"/>
  <c r="V79" i="3"/>
  <c r="U79" i="3"/>
  <c r="T79" i="3"/>
  <c r="S79" i="3"/>
  <c r="R79" i="3"/>
  <c r="Q79" i="3"/>
  <c r="P79" i="3"/>
  <c r="O79" i="3"/>
  <c r="N79" i="3"/>
  <c r="M79" i="3"/>
  <c r="L79" i="3"/>
  <c r="K79" i="3"/>
  <c r="J79" i="3"/>
  <c r="I79" i="3"/>
  <c r="H79" i="3"/>
  <c r="AP78" i="3"/>
  <c r="AO78" i="3"/>
  <c r="AN78" i="3"/>
  <c r="AM78" i="3"/>
  <c r="AL78" i="3"/>
  <c r="AK78" i="3"/>
  <c r="AJ78" i="3"/>
  <c r="AI78" i="3"/>
  <c r="AH78" i="3"/>
  <c r="AG78" i="3"/>
  <c r="AB78" i="3"/>
  <c r="AA78" i="3"/>
  <c r="Z78" i="3"/>
  <c r="Y78" i="3"/>
  <c r="X78" i="3"/>
  <c r="W78" i="3"/>
  <c r="V78" i="3"/>
  <c r="U78" i="3"/>
  <c r="T78" i="3"/>
  <c r="S78" i="3"/>
  <c r="R78" i="3"/>
  <c r="Q78" i="3"/>
  <c r="P78" i="3"/>
  <c r="O78" i="3"/>
  <c r="N78" i="3"/>
  <c r="M78" i="3"/>
  <c r="L78" i="3"/>
  <c r="K78" i="3"/>
  <c r="J78" i="3"/>
  <c r="I78" i="3"/>
  <c r="H78" i="3"/>
  <c r="AL77" i="3"/>
  <c r="AK77" i="3"/>
  <c r="AJ77" i="3"/>
  <c r="AI77" i="3"/>
  <c r="AH77" i="3"/>
  <c r="AG77" i="3"/>
  <c r="AB77" i="3"/>
  <c r="AA77" i="3"/>
  <c r="Z77" i="3"/>
  <c r="Y77" i="3"/>
  <c r="X77" i="3"/>
  <c r="W77" i="3"/>
  <c r="V77" i="3"/>
  <c r="U77" i="3"/>
  <c r="T77" i="3"/>
  <c r="S77" i="3"/>
  <c r="R77" i="3"/>
  <c r="Q77" i="3"/>
  <c r="P77" i="3"/>
  <c r="O77" i="3"/>
  <c r="N77" i="3"/>
  <c r="M77" i="3"/>
  <c r="L77" i="3"/>
  <c r="K77" i="3"/>
  <c r="J77" i="3"/>
  <c r="I77" i="3"/>
  <c r="H77" i="3"/>
  <c r="AP76" i="3"/>
  <c r="AO76" i="3"/>
  <c r="AN76" i="3"/>
  <c r="AM76" i="3"/>
  <c r="AL76" i="3"/>
  <c r="AK76" i="3"/>
  <c r="AJ76" i="3"/>
  <c r="AI76" i="3"/>
  <c r="AH76" i="3"/>
  <c r="AG76" i="3"/>
  <c r="AB76" i="3"/>
  <c r="AA76" i="3"/>
  <c r="Z76" i="3"/>
  <c r="Y76" i="3"/>
  <c r="X76" i="3"/>
  <c r="W76" i="3"/>
  <c r="V76" i="3"/>
  <c r="U76" i="3"/>
  <c r="T76" i="3"/>
  <c r="S76" i="3"/>
  <c r="R76" i="3"/>
  <c r="Q76" i="3"/>
  <c r="P76" i="3"/>
  <c r="O76" i="3"/>
  <c r="N76" i="3"/>
  <c r="M76" i="3"/>
  <c r="L76" i="3"/>
  <c r="K76" i="3"/>
  <c r="J76" i="3"/>
  <c r="I76" i="3"/>
  <c r="H76" i="3"/>
  <c r="AN75" i="3"/>
  <c r="AM75" i="3"/>
  <c r="AL75" i="3"/>
  <c r="AK75" i="3"/>
  <c r="AJ75" i="3"/>
  <c r="AI75" i="3"/>
  <c r="AH75" i="3"/>
  <c r="AG75" i="3"/>
  <c r="AB75" i="3"/>
  <c r="AA75" i="3"/>
  <c r="Z75" i="3"/>
  <c r="Y75" i="3"/>
  <c r="X75" i="3"/>
  <c r="W75" i="3"/>
  <c r="V75" i="3"/>
  <c r="U75" i="3"/>
  <c r="T75" i="3"/>
  <c r="S75" i="3"/>
  <c r="R75" i="3"/>
  <c r="Q75" i="3"/>
  <c r="P75" i="3"/>
  <c r="O75" i="3"/>
  <c r="N75" i="3"/>
  <c r="M75" i="3"/>
  <c r="L75" i="3"/>
  <c r="K75" i="3"/>
  <c r="J75" i="3"/>
  <c r="I75" i="3"/>
  <c r="H75" i="3"/>
  <c r="AL74" i="3"/>
  <c r="AK74" i="3"/>
  <c r="AJ74" i="3"/>
  <c r="AI74" i="3"/>
  <c r="AH74" i="3"/>
  <c r="AG74" i="3"/>
  <c r="AB74" i="3"/>
  <c r="AA74" i="3"/>
  <c r="Z74" i="3"/>
  <c r="Y74" i="3"/>
  <c r="X74" i="3"/>
  <c r="W74" i="3"/>
  <c r="V74" i="3"/>
  <c r="U74" i="3"/>
  <c r="T74" i="3"/>
  <c r="S74" i="3"/>
  <c r="R74" i="3"/>
  <c r="Q74" i="3"/>
  <c r="P74" i="3"/>
  <c r="O74" i="3"/>
  <c r="N74" i="3"/>
  <c r="M74" i="3"/>
  <c r="L74" i="3"/>
  <c r="K74" i="3"/>
  <c r="J74" i="3"/>
  <c r="I74" i="3"/>
  <c r="H74" i="3"/>
  <c r="AL73" i="3"/>
  <c r="AK73" i="3"/>
  <c r="AJ73" i="3"/>
  <c r="AI73" i="3"/>
  <c r="AH73" i="3"/>
  <c r="AG73" i="3"/>
  <c r="AB73" i="3"/>
  <c r="AA73" i="3"/>
  <c r="Z73" i="3"/>
  <c r="Y73" i="3"/>
  <c r="X73" i="3"/>
  <c r="W73" i="3"/>
  <c r="V73" i="3"/>
  <c r="U73" i="3"/>
  <c r="T73" i="3"/>
  <c r="S73" i="3"/>
  <c r="R73" i="3"/>
  <c r="Q73" i="3"/>
  <c r="P73" i="3"/>
  <c r="O73" i="3"/>
  <c r="N73" i="3"/>
  <c r="M73" i="3"/>
  <c r="L73" i="3"/>
  <c r="K73" i="3"/>
  <c r="J73" i="3"/>
  <c r="I73" i="3"/>
  <c r="H73" i="3"/>
  <c r="AL72" i="3"/>
  <c r="AK72" i="3"/>
  <c r="AJ72" i="3"/>
  <c r="AI72" i="3"/>
  <c r="AH72" i="3"/>
  <c r="AG72" i="3"/>
  <c r="AB72" i="3"/>
  <c r="AA72" i="3"/>
  <c r="Z72" i="3"/>
  <c r="Y72" i="3"/>
  <c r="X72" i="3"/>
  <c r="W72" i="3"/>
  <c r="V72" i="3"/>
  <c r="U72" i="3"/>
  <c r="T72" i="3"/>
  <c r="S72" i="3"/>
  <c r="R72" i="3"/>
  <c r="Q72" i="3"/>
  <c r="P72" i="3"/>
  <c r="O72" i="3"/>
  <c r="N72" i="3"/>
  <c r="M72" i="3"/>
  <c r="L72" i="3"/>
  <c r="K72" i="3"/>
  <c r="J72" i="3"/>
  <c r="I72" i="3"/>
  <c r="H72" i="3"/>
  <c r="AN71" i="3"/>
  <c r="AM71" i="3"/>
  <c r="AL71" i="3"/>
  <c r="AK71" i="3"/>
  <c r="AJ71" i="3"/>
  <c r="AI71" i="3"/>
  <c r="AH71" i="3"/>
  <c r="AG71" i="3"/>
  <c r="AB71" i="3"/>
  <c r="AA71" i="3"/>
  <c r="Z71" i="3"/>
  <c r="Y71" i="3"/>
  <c r="X71" i="3"/>
  <c r="W71" i="3"/>
  <c r="V71" i="3"/>
  <c r="U71" i="3"/>
  <c r="T71" i="3"/>
  <c r="S71" i="3"/>
  <c r="R71" i="3"/>
  <c r="Q71" i="3"/>
  <c r="P71" i="3"/>
  <c r="O71" i="3"/>
  <c r="N71" i="3"/>
  <c r="M71" i="3"/>
  <c r="L71" i="3"/>
  <c r="K71" i="3"/>
  <c r="J71" i="3"/>
  <c r="I71" i="3"/>
  <c r="H71" i="3"/>
  <c r="AJ70" i="3"/>
  <c r="AI70" i="3"/>
  <c r="AH70" i="3"/>
  <c r="AG70" i="3"/>
  <c r="AB70" i="3"/>
  <c r="AA70" i="3"/>
  <c r="Z70" i="3"/>
  <c r="Y70" i="3"/>
  <c r="X70" i="3"/>
  <c r="W70" i="3"/>
  <c r="V70" i="3"/>
  <c r="U70" i="3"/>
  <c r="T70" i="3"/>
  <c r="S70" i="3"/>
  <c r="R70" i="3"/>
  <c r="Q70" i="3"/>
  <c r="P70" i="3"/>
  <c r="O70" i="3"/>
  <c r="N70" i="3"/>
  <c r="M70" i="3"/>
  <c r="L70" i="3"/>
  <c r="K70" i="3"/>
  <c r="J70" i="3"/>
  <c r="I70" i="3"/>
  <c r="H70" i="3"/>
  <c r="AN69" i="3"/>
  <c r="AM69" i="3"/>
  <c r="AL69" i="3"/>
  <c r="AK69" i="3"/>
  <c r="AJ69" i="3"/>
  <c r="AI69" i="3"/>
  <c r="AH69" i="3"/>
  <c r="AG69" i="3"/>
  <c r="AB69" i="3"/>
  <c r="AA69" i="3"/>
  <c r="Z69" i="3"/>
  <c r="Y69" i="3"/>
  <c r="X69" i="3"/>
  <c r="W69" i="3"/>
  <c r="V69" i="3"/>
  <c r="U69" i="3"/>
  <c r="T69" i="3"/>
  <c r="S69" i="3"/>
  <c r="R69" i="3"/>
  <c r="Q69" i="3"/>
  <c r="P69" i="3"/>
  <c r="O69" i="3"/>
  <c r="N69" i="3"/>
  <c r="M69" i="3"/>
  <c r="L69" i="3"/>
  <c r="K69" i="3"/>
  <c r="J69" i="3"/>
  <c r="I69" i="3"/>
  <c r="H69" i="3"/>
  <c r="AN68" i="3"/>
  <c r="AM68" i="3"/>
  <c r="AL68" i="3"/>
  <c r="AK68" i="3"/>
  <c r="AJ68" i="3"/>
  <c r="AI68" i="3"/>
  <c r="AH68" i="3"/>
  <c r="AG68" i="3"/>
  <c r="AB68" i="3"/>
  <c r="AA68" i="3"/>
  <c r="Z68" i="3"/>
  <c r="Y68" i="3"/>
  <c r="X68" i="3"/>
  <c r="W68" i="3"/>
  <c r="V68" i="3"/>
  <c r="U68" i="3"/>
  <c r="T68" i="3"/>
  <c r="S68" i="3"/>
  <c r="R68" i="3"/>
  <c r="Q68" i="3"/>
  <c r="P68" i="3"/>
  <c r="O68" i="3"/>
  <c r="N68" i="3"/>
  <c r="M68" i="3"/>
  <c r="L68" i="3"/>
  <c r="K68" i="3"/>
  <c r="J68" i="3"/>
  <c r="I68" i="3"/>
  <c r="H68" i="3"/>
  <c r="AR67" i="3"/>
  <c r="AQ67" i="3"/>
  <c r="AP67" i="3"/>
  <c r="AO67" i="3"/>
  <c r="AN67" i="3"/>
  <c r="AM67" i="3"/>
  <c r="AL67" i="3"/>
  <c r="AK67" i="3"/>
  <c r="AJ67" i="3"/>
  <c r="AI67" i="3"/>
  <c r="AH67" i="3"/>
  <c r="AG67" i="3"/>
  <c r="AB67" i="3"/>
  <c r="AA67" i="3"/>
  <c r="Z67" i="3"/>
  <c r="Y67" i="3"/>
  <c r="X67" i="3"/>
  <c r="W67" i="3"/>
  <c r="V67" i="3"/>
  <c r="U67" i="3"/>
  <c r="T67" i="3"/>
  <c r="S67" i="3"/>
  <c r="R67" i="3"/>
  <c r="Q67" i="3"/>
  <c r="P67" i="3"/>
  <c r="O67" i="3"/>
  <c r="N67" i="3"/>
  <c r="M67" i="3"/>
  <c r="L67" i="3"/>
  <c r="K67" i="3"/>
  <c r="J67" i="3"/>
  <c r="I67" i="3"/>
  <c r="H67" i="3"/>
  <c r="AT66" i="3"/>
  <c r="AS66" i="3"/>
  <c r="AR66" i="3"/>
  <c r="AQ66" i="3"/>
  <c r="AP66" i="3"/>
  <c r="AO66" i="3"/>
  <c r="AN66" i="3"/>
  <c r="AM66" i="3"/>
  <c r="AL66" i="3"/>
  <c r="AK66" i="3"/>
  <c r="AJ66" i="3"/>
  <c r="AI66" i="3"/>
  <c r="AH66" i="3"/>
  <c r="AG66" i="3"/>
  <c r="AB66" i="3"/>
  <c r="AA66" i="3"/>
  <c r="Z66" i="3"/>
  <c r="Y66" i="3"/>
  <c r="X66" i="3"/>
  <c r="W66" i="3"/>
  <c r="V66" i="3"/>
  <c r="U66" i="3"/>
  <c r="T66" i="3"/>
  <c r="S66" i="3"/>
  <c r="R66" i="3"/>
  <c r="Q66" i="3"/>
  <c r="P66" i="3"/>
  <c r="O66" i="3"/>
  <c r="N66" i="3"/>
  <c r="M66" i="3"/>
  <c r="L66" i="3"/>
  <c r="K66" i="3"/>
  <c r="J66" i="3"/>
  <c r="I66" i="3"/>
  <c r="H66" i="3"/>
  <c r="AN65" i="3"/>
  <c r="AM65" i="3"/>
  <c r="AL65" i="3"/>
  <c r="AK65" i="3"/>
  <c r="AJ65" i="3"/>
  <c r="AI65" i="3"/>
  <c r="AH65" i="3"/>
  <c r="AG65" i="3"/>
  <c r="AB65" i="3"/>
  <c r="AA65" i="3"/>
  <c r="Z65" i="3"/>
  <c r="Y65" i="3"/>
  <c r="X65" i="3"/>
  <c r="W65" i="3"/>
  <c r="V65" i="3"/>
  <c r="U65" i="3"/>
  <c r="T65" i="3"/>
  <c r="S65" i="3"/>
  <c r="R65" i="3"/>
  <c r="Q65" i="3"/>
  <c r="P65" i="3"/>
  <c r="O65" i="3"/>
  <c r="N65" i="3"/>
  <c r="M65" i="3"/>
  <c r="L65" i="3"/>
  <c r="K65" i="3"/>
  <c r="J65" i="3"/>
  <c r="I65" i="3"/>
  <c r="H65" i="3"/>
  <c r="AT64" i="3"/>
  <c r="AS64" i="3"/>
  <c r="AR64" i="3"/>
  <c r="AQ64" i="3"/>
  <c r="AP64" i="3"/>
  <c r="AO64" i="3"/>
  <c r="AN64" i="3"/>
  <c r="AM64" i="3"/>
  <c r="AL64" i="3"/>
  <c r="AK64" i="3"/>
  <c r="AJ64" i="3"/>
  <c r="AI64" i="3"/>
  <c r="AH64" i="3"/>
  <c r="AG64" i="3"/>
  <c r="AB64" i="3"/>
  <c r="AA64" i="3"/>
  <c r="Z64" i="3"/>
  <c r="Y64" i="3"/>
  <c r="X64" i="3"/>
  <c r="W64" i="3"/>
  <c r="V64" i="3"/>
  <c r="U64" i="3"/>
  <c r="T64" i="3"/>
  <c r="S64" i="3"/>
  <c r="R64" i="3"/>
  <c r="Q64" i="3"/>
  <c r="P64" i="3"/>
  <c r="O64" i="3"/>
  <c r="N64" i="3"/>
  <c r="M64" i="3"/>
  <c r="L64" i="3"/>
  <c r="K64" i="3"/>
  <c r="J64" i="3"/>
  <c r="I64" i="3"/>
  <c r="H64" i="3"/>
  <c r="AL63" i="3"/>
  <c r="AK63" i="3"/>
  <c r="AJ63" i="3"/>
  <c r="AI63" i="3"/>
  <c r="AH63" i="3"/>
  <c r="AG63" i="3"/>
  <c r="AB63" i="3"/>
  <c r="AA63" i="3"/>
  <c r="Z63" i="3"/>
  <c r="Y63" i="3"/>
  <c r="X63" i="3"/>
  <c r="W63" i="3"/>
  <c r="V63" i="3"/>
  <c r="U63" i="3"/>
  <c r="T63" i="3"/>
  <c r="S63" i="3"/>
  <c r="R63" i="3"/>
  <c r="Q63" i="3"/>
  <c r="P63" i="3"/>
  <c r="O63" i="3"/>
  <c r="N63" i="3"/>
  <c r="M63" i="3"/>
  <c r="L63" i="3"/>
  <c r="K63" i="3"/>
  <c r="J63" i="3"/>
  <c r="I63" i="3"/>
  <c r="H63" i="3"/>
  <c r="AN62" i="3"/>
  <c r="AM62" i="3"/>
  <c r="AL62" i="3"/>
  <c r="AK62" i="3"/>
  <c r="AJ62" i="3"/>
  <c r="AI62" i="3"/>
  <c r="AH62" i="3"/>
  <c r="AG62" i="3"/>
  <c r="AB62" i="3"/>
  <c r="AA62" i="3"/>
  <c r="Z62" i="3"/>
  <c r="Y62" i="3"/>
  <c r="X62" i="3"/>
  <c r="W62" i="3"/>
  <c r="V62" i="3"/>
  <c r="U62" i="3"/>
  <c r="T62" i="3"/>
  <c r="S62" i="3"/>
  <c r="R62" i="3"/>
  <c r="Q62" i="3"/>
  <c r="P62" i="3"/>
  <c r="O62" i="3"/>
  <c r="N62" i="3"/>
  <c r="M62" i="3"/>
  <c r="L62" i="3"/>
  <c r="K62" i="3"/>
  <c r="J62" i="3"/>
  <c r="I62" i="3"/>
  <c r="H62" i="3"/>
  <c r="AL61" i="3"/>
  <c r="AK61" i="3"/>
  <c r="AJ61" i="3"/>
  <c r="AI61" i="3"/>
  <c r="AH61" i="3"/>
  <c r="AG61" i="3"/>
  <c r="AB61" i="3"/>
  <c r="AA61" i="3"/>
  <c r="Z61" i="3"/>
  <c r="Y61" i="3"/>
  <c r="X61" i="3"/>
  <c r="W61" i="3"/>
  <c r="V61" i="3"/>
  <c r="U61" i="3"/>
  <c r="T61" i="3"/>
  <c r="S61" i="3"/>
  <c r="R61" i="3"/>
  <c r="Q61" i="3"/>
  <c r="P61" i="3"/>
  <c r="O61" i="3"/>
  <c r="N61" i="3"/>
  <c r="M61" i="3"/>
  <c r="L61" i="3"/>
  <c r="K61" i="3"/>
  <c r="J61" i="3"/>
  <c r="I61" i="3"/>
  <c r="H61" i="3"/>
  <c r="AL60" i="3"/>
  <c r="AK60" i="3"/>
  <c r="AJ60" i="3"/>
  <c r="AI60" i="3"/>
  <c r="AH60" i="3"/>
  <c r="AG60" i="3"/>
  <c r="AB60" i="3"/>
  <c r="AA60" i="3"/>
  <c r="Z60" i="3"/>
  <c r="Y60" i="3"/>
  <c r="X60" i="3"/>
  <c r="W60" i="3"/>
  <c r="V60" i="3"/>
  <c r="U60" i="3"/>
  <c r="T60" i="3"/>
  <c r="S60" i="3"/>
  <c r="R60" i="3"/>
  <c r="Q60" i="3"/>
  <c r="P60" i="3"/>
  <c r="O60" i="3"/>
  <c r="N60" i="3"/>
  <c r="M60" i="3"/>
  <c r="L60" i="3"/>
  <c r="K60" i="3"/>
  <c r="J60" i="3"/>
  <c r="I60" i="3"/>
  <c r="H60" i="3"/>
  <c r="AP59" i="3"/>
  <c r="AO59" i="3"/>
  <c r="AN59" i="3"/>
  <c r="AM59" i="3"/>
  <c r="AL59" i="3"/>
  <c r="AK59" i="3"/>
  <c r="AJ59" i="3"/>
  <c r="AI59" i="3"/>
  <c r="AH59" i="3"/>
  <c r="AG59" i="3"/>
  <c r="AB59" i="3"/>
  <c r="AA59" i="3"/>
  <c r="Z59" i="3"/>
  <c r="Y59" i="3"/>
  <c r="X59" i="3"/>
  <c r="W59" i="3"/>
  <c r="V59" i="3"/>
  <c r="U59" i="3"/>
  <c r="T59" i="3"/>
  <c r="S59" i="3"/>
  <c r="R59" i="3"/>
  <c r="Q59" i="3"/>
  <c r="P59" i="3"/>
  <c r="O59" i="3"/>
  <c r="N59" i="3"/>
  <c r="M59" i="3"/>
  <c r="L59" i="3"/>
  <c r="K59" i="3"/>
  <c r="J59" i="3"/>
  <c r="I59" i="3"/>
  <c r="H59" i="3"/>
  <c r="AP58" i="3"/>
  <c r="AO58" i="3"/>
  <c r="AN58" i="3"/>
  <c r="AM58" i="3"/>
  <c r="AL58" i="3"/>
  <c r="AK58" i="3"/>
  <c r="AJ58" i="3"/>
  <c r="AI58" i="3"/>
  <c r="AH58" i="3"/>
  <c r="AG58" i="3"/>
  <c r="AB58" i="3"/>
  <c r="AA58" i="3"/>
  <c r="Z58" i="3"/>
  <c r="Y58" i="3"/>
  <c r="X58" i="3"/>
  <c r="W58" i="3"/>
  <c r="V58" i="3"/>
  <c r="U58" i="3"/>
  <c r="T58" i="3"/>
  <c r="S58" i="3"/>
  <c r="R58" i="3"/>
  <c r="Q58" i="3"/>
  <c r="P58" i="3"/>
  <c r="O58" i="3"/>
  <c r="N58" i="3"/>
  <c r="M58" i="3"/>
  <c r="L58" i="3"/>
  <c r="K58" i="3"/>
  <c r="J58" i="3"/>
  <c r="I58" i="3"/>
  <c r="H58" i="3"/>
  <c r="AN57" i="3"/>
  <c r="AM57" i="3"/>
  <c r="AL57" i="3"/>
  <c r="AK57" i="3"/>
  <c r="AJ57" i="3"/>
  <c r="AI57" i="3"/>
  <c r="AH57" i="3"/>
  <c r="AG57" i="3"/>
  <c r="AB57" i="3"/>
  <c r="AA57" i="3"/>
  <c r="Z57" i="3"/>
  <c r="Y57" i="3"/>
  <c r="X57" i="3"/>
  <c r="W57" i="3"/>
  <c r="V57" i="3"/>
  <c r="U57" i="3"/>
  <c r="T57" i="3"/>
  <c r="S57" i="3"/>
  <c r="R57" i="3"/>
  <c r="Q57" i="3"/>
  <c r="P57" i="3"/>
  <c r="O57" i="3"/>
  <c r="N57" i="3"/>
  <c r="M57" i="3"/>
  <c r="L57" i="3"/>
  <c r="K57" i="3"/>
  <c r="J57" i="3"/>
  <c r="I57" i="3"/>
  <c r="H57" i="3"/>
  <c r="AL56" i="3"/>
  <c r="AK56" i="3"/>
  <c r="AJ56" i="3"/>
  <c r="AI56" i="3"/>
  <c r="AH56" i="3"/>
  <c r="AG56" i="3"/>
  <c r="AB56" i="3"/>
  <c r="AA56" i="3"/>
  <c r="Z56" i="3"/>
  <c r="Y56" i="3"/>
  <c r="X56" i="3"/>
  <c r="W56" i="3"/>
  <c r="V56" i="3"/>
  <c r="U56" i="3"/>
  <c r="T56" i="3"/>
  <c r="S56" i="3"/>
  <c r="R56" i="3"/>
  <c r="Q56" i="3"/>
  <c r="P56" i="3"/>
  <c r="O56" i="3"/>
  <c r="N56" i="3"/>
  <c r="M56" i="3"/>
  <c r="L56" i="3"/>
  <c r="K56" i="3"/>
  <c r="J56" i="3"/>
  <c r="I56" i="3"/>
  <c r="H56" i="3"/>
  <c r="AJ55" i="3"/>
  <c r="AI55" i="3"/>
  <c r="AH55" i="3"/>
  <c r="AG55" i="3"/>
  <c r="AB55" i="3"/>
  <c r="AA55" i="3"/>
  <c r="Z55" i="3"/>
  <c r="Y55" i="3"/>
  <c r="X55" i="3"/>
  <c r="W55" i="3"/>
  <c r="V55" i="3"/>
  <c r="U55" i="3"/>
  <c r="T55" i="3"/>
  <c r="S55" i="3"/>
  <c r="R55" i="3"/>
  <c r="Q55" i="3"/>
  <c r="P55" i="3"/>
  <c r="O55" i="3"/>
  <c r="N55" i="3"/>
  <c r="M55" i="3"/>
  <c r="L55" i="3"/>
  <c r="K55" i="3"/>
  <c r="J55" i="3"/>
  <c r="I55" i="3"/>
  <c r="H55" i="3"/>
  <c r="AL54" i="3"/>
  <c r="AK54" i="3"/>
  <c r="AJ54" i="3"/>
  <c r="AI54" i="3"/>
  <c r="AH54" i="3"/>
  <c r="AG54" i="3"/>
  <c r="AB54" i="3"/>
  <c r="AA54" i="3"/>
  <c r="Z54" i="3"/>
  <c r="Y54" i="3"/>
  <c r="X54" i="3"/>
  <c r="W54" i="3"/>
  <c r="V54" i="3"/>
  <c r="U54" i="3"/>
  <c r="T54" i="3"/>
  <c r="S54" i="3"/>
  <c r="R54" i="3"/>
  <c r="Q54" i="3"/>
  <c r="P54" i="3"/>
  <c r="O54" i="3"/>
  <c r="N54" i="3"/>
  <c r="M54" i="3"/>
  <c r="L54" i="3"/>
  <c r="K54" i="3"/>
  <c r="J54" i="3"/>
  <c r="I54" i="3"/>
  <c r="H54" i="3"/>
  <c r="AG53" i="3"/>
  <c r="AB53" i="3"/>
  <c r="AA53" i="3"/>
  <c r="Z53" i="3"/>
  <c r="Y53" i="3"/>
  <c r="X53" i="3"/>
  <c r="W53" i="3"/>
  <c r="V53" i="3"/>
  <c r="U53" i="3"/>
  <c r="T53" i="3"/>
  <c r="S53" i="3"/>
  <c r="R53" i="3"/>
  <c r="Q53" i="3"/>
  <c r="P53" i="3"/>
  <c r="O53" i="3"/>
  <c r="N53" i="3"/>
  <c r="M53" i="3"/>
  <c r="L53" i="3"/>
  <c r="K53" i="3"/>
  <c r="J53" i="3"/>
  <c r="I53" i="3"/>
  <c r="H53" i="3"/>
  <c r="AN52" i="3"/>
  <c r="AM52" i="3"/>
  <c r="AL52" i="3"/>
  <c r="AK52" i="3"/>
  <c r="AJ52" i="3"/>
  <c r="AI52" i="3"/>
  <c r="AH52" i="3"/>
  <c r="AG52" i="3"/>
  <c r="AB52" i="3"/>
  <c r="AA52" i="3"/>
  <c r="Z52" i="3"/>
  <c r="Y52" i="3"/>
  <c r="X52" i="3"/>
  <c r="W52" i="3"/>
  <c r="V52" i="3"/>
  <c r="U52" i="3"/>
  <c r="T52" i="3"/>
  <c r="S52" i="3"/>
  <c r="R52" i="3"/>
  <c r="Q52" i="3"/>
  <c r="P52" i="3"/>
  <c r="O52" i="3"/>
  <c r="N52" i="3"/>
  <c r="M52" i="3"/>
  <c r="L52" i="3"/>
  <c r="K52" i="3"/>
  <c r="J52" i="3"/>
  <c r="I52" i="3"/>
  <c r="H52" i="3"/>
  <c r="AG51" i="3"/>
  <c r="AB51" i="3"/>
  <c r="AA51" i="3"/>
  <c r="Z51" i="3"/>
  <c r="Y51" i="3"/>
  <c r="X51" i="3"/>
  <c r="W51" i="3"/>
  <c r="V51" i="3"/>
  <c r="U51" i="3"/>
  <c r="T51" i="3"/>
  <c r="S51" i="3"/>
  <c r="R51" i="3"/>
  <c r="Q51" i="3"/>
  <c r="P51" i="3"/>
  <c r="O51" i="3"/>
  <c r="N51" i="3"/>
  <c r="M51" i="3"/>
  <c r="L51" i="3"/>
  <c r="K51" i="3"/>
  <c r="J51" i="3"/>
  <c r="I51" i="3"/>
  <c r="H51" i="3"/>
  <c r="AH50" i="3"/>
  <c r="AG50" i="3"/>
  <c r="AB50" i="3"/>
  <c r="AA50" i="3"/>
  <c r="Z50" i="3"/>
  <c r="Y50" i="3"/>
  <c r="X50" i="3"/>
  <c r="W50" i="3"/>
  <c r="V50" i="3"/>
  <c r="U50" i="3"/>
  <c r="T50" i="3"/>
  <c r="S50" i="3"/>
  <c r="R50" i="3"/>
  <c r="Q50" i="3"/>
  <c r="P50" i="3"/>
  <c r="O50" i="3"/>
  <c r="N50" i="3"/>
  <c r="M50" i="3"/>
  <c r="L50" i="3"/>
  <c r="K50" i="3"/>
  <c r="J50" i="3"/>
  <c r="I50" i="3"/>
  <c r="H50" i="3"/>
  <c r="AG49" i="3"/>
  <c r="AB49" i="3"/>
  <c r="AA49" i="3"/>
  <c r="Z49" i="3"/>
  <c r="Y49" i="3"/>
  <c r="X49" i="3"/>
  <c r="W49" i="3"/>
  <c r="V49" i="3"/>
  <c r="U49" i="3"/>
  <c r="T49" i="3"/>
  <c r="S49" i="3"/>
  <c r="R49" i="3"/>
  <c r="Q49" i="3"/>
  <c r="P49" i="3"/>
  <c r="O49" i="3"/>
  <c r="N49" i="3"/>
  <c r="M49" i="3"/>
  <c r="L49" i="3"/>
  <c r="K49" i="3"/>
  <c r="J49" i="3"/>
  <c r="I49" i="3"/>
  <c r="H49" i="3"/>
  <c r="AG48" i="3"/>
  <c r="AB48" i="3"/>
  <c r="AA48" i="3"/>
  <c r="Z48" i="3"/>
  <c r="Y48" i="3"/>
  <c r="X48" i="3"/>
  <c r="W48" i="3"/>
  <c r="V48" i="3"/>
  <c r="U48" i="3"/>
  <c r="T48" i="3"/>
  <c r="S48" i="3"/>
  <c r="R48" i="3"/>
  <c r="Q48" i="3"/>
  <c r="P48" i="3"/>
  <c r="O48" i="3"/>
  <c r="N48" i="3"/>
  <c r="M48" i="3"/>
  <c r="L48" i="3"/>
  <c r="K48" i="3"/>
  <c r="J48" i="3"/>
  <c r="I48" i="3"/>
  <c r="H48" i="3"/>
  <c r="AG47" i="3"/>
  <c r="AB47" i="3"/>
  <c r="AA47" i="3"/>
  <c r="Z47" i="3"/>
  <c r="Y47" i="3"/>
  <c r="X47" i="3"/>
  <c r="W47" i="3"/>
  <c r="V47" i="3"/>
  <c r="U47" i="3"/>
  <c r="T47" i="3"/>
  <c r="S47" i="3"/>
  <c r="R47" i="3"/>
  <c r="Q47" i="3"/>
  <c r="P47" i="3"/>
  <c r="O47" i="3"/>
  <c r="N47" i="3"/>
  <c r="M47" i="3"/>
  <c r="L47" i="3"/>
  <c r="K47" i="3"/>
  <c r="J47" i="3"/>
  <c r="I47" i="3"/>
  <c r="H47" i="3"/>
  <c r="AR46" i="3"/>
  <c r="AQ46" i="3"/>
  <c r="AP46" i="3"/>
  <c r="AO46" i="3"/>
  <c r="AN46" i="3"/>
  <c r="AM46" i="3"/>
  <c r="AL46" i="3"/>
  <c r="AK46" i="3"/>
  <c r="AJ46" i="3"/>
  <c r="AI46" i="3"/>
  <c r="AH46" i="3"/>
  <c r="AG46" i="3"/>
  <c r="AB46" i="3"/>
  <c r="AA46" i="3"/>
  <c r="Z46" i="3"/>
  <c r="Y46" i="3"/>
  <c r="X46" i="3"/>
  <c r="W46" i="3"/>
  <c r="V46" i="3"/>
  <c r="U46" i="3"/>
  <c r="T46" i="3"/>
  <c r="S46" i="3"/>
  <c r="R46" i="3"/>
  <c r="Q46" i="3"/>
  <c r="P46" i="3"/>
  <c r="O46" i="3"/>
  <c r="N46" i="3"/>
  <c r="M46" i="3"/>
  <c r="L46" i="3"/>
  <c r="K46" i="3"/>
  <c r="J46" i="3"/>
  <c r="I46" i="3"/>
  <c r="H46" i="3"/>
  <c r="AR45" i="3"/>
  <c r="AQ45" i="3"/>
  <c r="AP45" i="3"/>
  <c r="AO45" i="3"/>
  <c r="AN45" i="3"/>
  <c r="AM45" i="3"/>
  <c r="AL45" i="3"/>
  <c r="AK45" i="3"/>
  <c r="AJ45" i="3"/>
  <c r="AI45" i="3"/>
  <c r="AH45" i="3"/>
  <c r="AG45" i="3"/>
  <c r="AB45" i="3"/>
  <c r="AA45" i="3"/>
  <c r="Z45" i="3"/>
  <c r="Y45" i="3"/>
  <c r="X45" i="3"/>
  <c r="W45" i="3"/>
  <c r="V45" i="3"/>
  <c r="U45" i="3"/>
  <c r="T45" i="3"/>
  <c r="S45" i="3"/>
  <c r="R45" i="3"/>
  <c r="Q45" i="3"/>
  <c r="P45" i="3"/>
  <c r="O45" i="3"/>
  <c r="N45" i="3"/>
  <c r="M45" i="3"/>
  <c r="L45" i="3"/>
  <c r="K45" i="3"/>
  <c r="J45" i="3"/>
  <c r="I45" i="3"/>
  <c r="H45" i="3"/>
  <c r="AP44" i="3"/>
  <c r="AO44" i="3"/>
  <c r="AN44" i="3"/>
  <c r="AM44" i="3"/>
  <c r="AL44" i="3"/>
  <c r="AK44" i="3"/>
  <c r="AJ44" i="3"/>
  <c r="AI44" i="3"/>
  <c r="AH44" i="3"/>
  <c r="AG44" i="3"/>
  <c r="AB44" i="3"/>
  <c r="AA44" i="3"/>
  <c r="Z44" i="3"/>
  <c r="Y44" i="3"/>
  <c r="X44" i="3"/>
  <c r="W44" i="3"/>
  <c r="V44" i="3"/>
  <c r="U44" i="3"/>
  <c r="T44" i="3"/>
  <c r="S44" i="3"/>
  <c r="R44" i="3"/>
  <c r="Q44" i="3"/>
  <c r="P44" i="3"/>
  <c r="O44" i="3"/>
  <c r="N44" i="3"/>
  <c r="M44" i="3"/>
  <c r="L44" i="3"/>
  <c r="K44" i="3"/>
  <c r="J44" i="3"/>
  <c r="I44" i="3"/>
  <c r="H44" i="3"/>
  <c r="AT43" i="3"/>
  <c r="AS43" i="3"/>
  <c r="AR43" i="3"/>
  <c r="AQ43" i="3"/>
  <c r="AP43" i="3"/>
  <c r="AO43" i="3"/>
  <c r="AN43" i="3"/>
  <c r="AM43" i="3"/>
  <c r="AL43" i="3"/>
  <c r="AK43" i="3"/>
  <c r="AJ43" i="3"/>
  <c r="AI43" i="3"/>
  <c r="AH43" i="3"/>
  <c r="AG43" i="3"/>
  <c r="AB43" i="3"/>
  <c r="AA43" i="3"/>
  <c r="Z43" i="3"/>
  <c r="Y43" i="3"/>
  <c r="X43" i="3"/>
  <c r="W43" i="3"/>
  <c r="V43" i="3"/>
  <c r="U43" i="3"/>
  <c r="T43" i="3"/>
  <c r="S43" i="3"/>
  <c r="R43" i="3"/>
  <c r="Q43" i="3"/>
  <c r="P43" i="3"/>
  <c r="O43" i="3"/>
  <c r="N43" i="3"/>
  <c r="M43" i="3"/>
  <c r="L43" i="3"/>
  <c r="K43" i="3"/>
  <c r="J43" i="3"/>
  <c r="I43" i="3"/>
  <c r="H43" i="3"/>
  <c r="AR42" i="3"/>
  <c r="AQ42" i="3"/>
  <c r="AP42" i="3"/>
  <c r="AO42" i="3"/>
  <c r="AN42" i="3"/>
  <c r="AM42" i="3"/>
  <c r="AL42" i="3"/>
  <c r="AK42" i="3"/>
  <c r="AJ42" i="3"/>
  <c r="AI42" i="3"/>
  <c r="AH42" i="3"/>
  <c r="AG42" i="3"/>
  <c r="AB42" i="3"/>
  <c r="AA42" i="3"/>
  <c r="Z42" i="3"/>
  <c r="Y42" i="3"/>
  <c r="X42" i="3"/>
  <c r="W42" i="3"/>
  <c r="V42" i="3"/>
  <c r="U42" i="3"/>
  <c r="T42" i="3"/>
  <c r="S42" i="3"/>
  <c r="R42" i="3"/>
  <c r="Q42" i="3"/>
  <c r="P42" i="3"/>
  <c r="O42" i="3"/>
  <c r="N42" i="3"/>
  <c r="M42" i="3"/>
  <c r="L42" i="3"/>
  <c r="K42" i="3"/>
  <c r="J42" i="3"/>
  <c r="I42" i="3"/>
  <c r="H42" i="3"/>
  <c r="AP41" i="3"/>
  <c r="AO41" i="3"/>
  <c r="AN41" i="3"/>
  <c r="AM41" i="3"/>
  <c r="AL41" i="3"/>
  <c r="AK41" i="3"/>
  <c r="AJ41" i="3"/>
  <c r="AI41" i="3"/>
  <c r="AH41" i="3"/>
  <c r="AG41" i="3"/>
  <c r="AB41" i="3"/>
  <c r="AA41" i="3"/>
  <c r="Z41" i="3"/>
  <c r="Y41" i="3"/>
  <c r="X41" i="3"/>
  <c r="W41" i="3"/>
  <c r="V41" i="3"/>
  <c r="U41" i="3"/>
  <c r="T41" i="3"/>
  <c r="S41" i="3"/>
  <c r="R41" i="3"/>
  <c r="Q41" i="3"/>
  <c r="P41" i="3"/>
  <c r="O41" i="3"/>
  <c r="N41" i="3"/>
  <c r="M41" i="3"/>
  <c r="L41" i="3"/>
  <c r="K41" i="3"/>
  <c r="J41" i="3"/>
  <c r="I41" i="3"/>
  <c r="H41" i="3"/>
  <c r="AR40" i="3"/>
  <c r="AQ40" i="3"/>
  <c r="AP40" i="3"/>
  <c r="AO40" i="3"/>
  <c r="AN40" i="3"/>
  <c r="AM40" i="3"/>
  <c r="AL40" i="3"/>
  <c r="AK40" i="3"/>
  <c r="AJ40" i="3"/>
  <c r="AI40" i="3"/>
  <c r="AH40" i="3"/>
  <c r="AG40" i="3"/>
  <c r="AB40" i="3"/>
  <c r="AA40" i="3"/>
  <c r="Z40" i="3"/>
  <c r="Y40" i="3"/>
  <c r="X40" i="3"/>
  <c r="W40" i="3"/>
  <c r="V40" i="3"/>
  <c r="U40" i="3"/>
  <c r="T40" i="3"/>
  <c r="S40" i="3"/>
  <c r="R40" i="3"/>
  <c r="Q40" i="3"/>
  <c r="P40" i="3"/>
  <c r="O40" i="3"/>
  <c r="N40" i="3"/>
  <c r="M40" i="3"/>
  <c r="L40" i="3"/>
  <c r="K40" i="3"/>
  <c r="J40" i="3"/>
  <c r="I40" i="3"/>
  <c r="H40" i="3"/>
  <c r="AR39" i="3"/>
  <c r="AQ39" i="3"/>
  <c r="AP39" i="3"/>
  <c r="AO39" i="3"/>
  <c r="AN39" i="3"/>
  <c r="AM39" i="3"/>
  <c r="AL39" i="3"/>
  <c r="AK39" i="3"/>
  <c r="AJ39" i="3"/>
  <c r="AI39" i="3"/>
  <c r="AH39" i="3"/>
  <c r="AG39" i="3"/>
  <c r="AB39" i="3"/>
  <c r="AA39" i="3"/>
  <c r="Z39" i="3"/>
  <c r="Y39" i="3"/>
  <c r="X39" i="3"/>
  <c r="V39" i="3"/>
  <c r="U39" i="3"/>
  <c r="T39" i="3"/>
  <c r="S39" i="3"/>
  <c r="R39" i="3"/>
  <c r="Q39" i="3"/>
  <c r="P39" i="3"/>
  <c r="O39" i="3"/>
  <c r="N39" i="3"/>
  <c r="M39" i="3"/>
  <c r="L39" i="3"/>
  <c r="K39" i="3"/>
  <c r="J39" i="3"/>
  <c r="I39" i="3"/>
  <c r="H39" i="3"/>
  <c r="AT38" i="3"/>
  <c r="AS38" i="3"/>
  <c r="AR38" i="3"/>
  <c r="AQ38" i="3"/>
  <c r="AP38" i="3"/>
  <c r="AO38" i="3"/>
  <c r="AN38" i="3"/>
  <c r="AM38" i="3"/>
  <c r="AL38" i="3"/>
  <c r="AK38" i="3"/>
  <c r="AJ38" i="3"/>
  <c r="AI38" i="3"/>
  <c r="AH38" i="3"/>
  <c r="AG38" i="3"/>
  <c r="AB38" i="3"/>
  <c r="AA38" i="3"/>
  <c r="Z38" i="3"/>
  <c r="Y38" i="3"/>
  <c r="X38" i="3"/>
  <c r="W38" i="3"/>
  <c r="V38" i="3"/>
  <c r="U38" i="3"/>
  <c r="T38" i="3"/>
  <c r="S38" i="3"/>
  <c r="R38" i="3"/>
  <c r="Q38" i="3"/>
  <c r="P38" i="3"/>
  <c r="O38" i="3"/>
  <c r="N38" i="3"/>
  <c r="M38" i="3"/>
  <c r="L38" i="3"/>
  <c r="K38" i="3"/>
  <c r="J38" i="3"/>
  <c r="I38" i="3"/>
  <c r="H38" i="3"/>
  <c r="AP37" i="3"/>
  <c r="AO37" i="3"/>
  <c r="AN37" i="3"/>
  <c r="AM37" i="3"/>
  <c r="AL37" i="3"/>
  <c r="AK37" i="3"/>
  <c r="AJ37" i="3"/>
  <c r="AI37" i="3"/>
  <c r="AH37" i="3"/>
  <c r="AG37" i="3"/>
  <c r="AB37" i="3"/>
  <c r="AA37" i="3"/>
  <c r="Z37" i="3"/>
  <c r="Y37" i="3"/>
  <c r="X37" i="3"/>
  <c r="W37" i="3"/>
  <c r="V37" i="3"/>
  <c r="U37" i="3"/>
  <c r="T37" i="3"/>
  <c r="S37" i="3"/>
  <c r="R37" i="3"/>
  <c r="Q37" i="3"/>
  <c r="P37" i="3"/>
  <c r="O37" i="3"/>
  <c r="N37" i="3"/>
  <c r="M37" i="3"/>
  <c r="L37" i="3"/>
  <c r="K37" i="3"/>
  <c r="J37" i="3"/>
  <c r="I37" i="3"/>
  <c r="H37" i="3"/>
  <c r="AL36" i="3"/>
  <c r="AK36" i="3"/>
  <c r="AJ36" i="3"/>
  <c r="AI36" i="3"/>
  <c r="AH36" i="3"/>
  <c r="AG36" i="3"/>
  <c r="AB36" i="3"/>
  <c r="AA36" i="3"/>
  <c r="Z36" i="3"/>
  <c r="Y36" i="3"/>
  <c r="X36" i="3"/>
  <c r="W36" i="3"/>
  <c r="V36" i="3"/>
  <c r="U36" i="3"/>
  <c r="T36" i="3"/>
  <c r="S36" i="3"/>
  <c r="R36" i="3"/>
  <c r="Q36" i="3"/>
  <c r="P36" i="3"/>
  <c r="O36" i="3"/>
  <c r="N36" i="3"/>
  <c r="M36" i="3"/>
  <c r="L36" i="3"/>
  <c r="K36" i="3"/>
  <c r="J36" i="3"/>
  <c r="I36" i="3"/>
  <c r="H36" i="3"/>
  <c r="AL35" i="3"/>
  <c r="AK35" i="3"/>
  <c r="AJ35" i="3"/>
  <c r="AI35" i="3"/>
  <c r="AH35" i="3"/>
  <c r="AG35" i="3"/>
  <c r="AB35" i="3"/>
  <c r="AA35" i="3"/>
  <c r="Z35" i="3"/>
  <c r="Y35" i="3"/>
  <c r="X35" i="3"/>
  <c r="W35" i="3"/>
  <c r="V35" i="3"/>
  <c r="U35" i="3"/>
  <c r="T35" i="3"/>
  <c r="S35" i="3"/>
  <c r="R35" i="3"/>
  <c r="Q35" i="3"/>
  <c r="P35" i="3"/>
  <c r="O35" i="3"/>
  <c r="N35" i="3"/>
  <c r="M35" i="3"/>
  <c r="L35" i="3"/>
  <c r="K35" i="3"/>
  <c r="J35" i="3"/>
  <c r="I35" i="3"/>
  <c r="H35" i="3"/>
  <c r="AL34" i="3"/>
  <c r="AK34" i="3"/>
  <c r="AJ34" i="3"/>
  <c r="AI34" i="3"/>
  <c r="AH34" i="3"/>
  <c r="AG34" i="3"/>
  <c r="AB34" i="3"/>
  <c r="AA34" i="3"/>
  <c r="Z34" i="3"/>
  <c r="Y34" i="3"/>
  <c r="X34" i="3"/>
  <c r="W34" i="3"/>
  <c r="V34" i="3"/>
  <c r="U34" i="3"/>
  <c r="T34" i="3"/>
  <c r="S34" i="3"/>
  <c r="R34" i="3"/>
  <c r="Q34" i="3"/>
  <c r="P34" i="3"/>
  <c r="O34" i="3"/>
  <c r="N34" i="3"/>
  <c r="M34" i="3"/>
  <c r="L34" i="3"/>
  <c r="K34" i="3"/>
  <c r="J34" i="3"/>
  <c r="I34" i="3"/>
  <c r="H34" i="3"/>
  <c r="AL33" i="3"/>
  <c r="AK33" i="3"/>
  <c r="AJ33" i="3"/>
  <c r="AI33" i="3"/>
  <c r="AH33" i="3"/>
  <c r="AG33" i="3"/>
  <c r="AB33" i="3"/>
  <c r="AA33" i="3"/>
  <c r="Z33" i="3"/>
  <c r="Y33" i="3"/>
  <c r="X33" i="3"/>
  <c r="W33" i="3"/>
  <c r="V33" i="3"/>
  <c r="U33" i="3"/>
  <c r="T33" i="3"/>
  <c r="S33" i="3"/>
  <c r="R33" i="3"/>
  <c r="Q33" i="3"/>
  <c r="P33" i="3"/>
  <c r="O33" i="3"/>
  <c r="N33" i="3"/>
  <c r="M33" i="3"/>
  <c r="L33" i="3"/>
  <c r="K33" i="3"/>
  <c r="J33" i="3"/>
  <c r="I33" i="3"/>
  <c r="H33" i="3"/>
  <c r="AL32" i="3"/>
  <c r="AK32" i="3"/>
  <c r="AJ32" i="3"/>
  <c r="AI32" i="3"/>
  <c r="AH32" i="3"/>
  <c r="AG32" i="3"/>
  <c r="AB32" i="3"/>
  <c r="AA32" i="3"/>
  <c r="Z32" i="3"/>
  <c r="Y32" i="3"/>
  <c r="X32" i="3"/>
  <c r="W32" i="3"/>
  <c r="V32" i="3"/>
  <c r="U32" i="3"/>
  <c r="T32" i="3"/>
  <c r="S32" i="3"/>
  <c r="R32" i="3"/>
  <c r="Q32" i="3"/>
  <c r="P32" i="3"/>
  <c r="O32" i="3"/>
  <c r="N32" i="3"/>
  <c r="M32" i="3"/>
  <c r="L32" i="3"/>
  <c r="K32" i="3"/>
  <c r="J32" i="3"/>
  <c r="I32" i="3"/>
  <c r="H32" i="3"/>
  <c r="AN31" i="3"/>
  <c r="AM31" i="3"/>
  <c r="AL31" i="3"/>
  <c r="AK31" i="3"/>
  <c r="AJ31" i="3"/>
  <c r="AI31" i="3"/>
  <c r="AH31" i="3"/>
  <c r="AG31" i="3"/>
  <c r="AB31" i="3"/>
  <c r="AA31" i="3"/>
  <c r="Z31" i="3"/>
  <c r="Y31" i="3"/>
  <c r="X31" i="3"/>
  <c r="W31" i="3"/>
  <c r="V31" i="3"/>
  <c r="U31" i="3"/>
  <c r="T31" i="3"/>
  <c r="S31" i="3"/>
  <c r="R31" i="3"/>
  <c r="Q31" i="3"/>
  <c r="P31" i="3"/>
  <c r="O31" i="3"/>
  <c r="N31" i="3"/>
  <c r="M31" i="3"/>
  <c r="L31" i="3"/>
  <c r="K31" i="3"/>
  <c r="J31" i="3"/>
  <c r="I31" i="3"/>
  <c r="H31" i="3"/>
  <c r="AH30" i="3"/>
  <c r="AG30" i="3"/>
  <c r="AB30" i="3"/>
  <c r="AA30" i="3"/>
  <c r="Z30" i="3"/>
  <c r="Y30" i="3"/>
  <c r="X30" i="3"/>
  <c r="W30" i="3"/>
  <c r="V30" i="3"/>
  <c r="U30" i="3"/>
  <c r="T30" i="3"/>
  <c r="S30" i="3"/>
  <c r="R30" i="3"/>
  <c r="Q30" i="3"/>
  <c r="P30" i="3"/>
  <c r="O30" i="3"/>
  <c r="N30" i="3"/>
  <c r="M30" i="3"/>
  <c r="L30" i="3"/>
  <c r="K30" i="3"/>
  <c r="J30" i="3"/>
  <c r="I30" i="3"/>
  <c r="H30" i="3"/>
  <c r="AH29" i="3"/>
  <c r="AG29" i="3"/>
  <c r="AB29" i="3"/>
  <c r="AA29" i="3"/>
  <c r="Z29" i="3"/>
  <c r="Y29" i="3"/>
  <c r="X29" i="3"/>
  <c r="W29" i="3"/>
  <c r="V29" i="3"/>
  <c r="U29" i="3"/>
  <c r="T29" i="3"/>
  <c r="S29" i="3"/>
  <c r="R29" i="3"/>
  <c r="Q29" i="3"/>
  <c r="P29" i="3"/>
  <c r="O29" i="3"/>
  <c r="N29" i="3"/>
  <c r="M29" i="3"/>
  <c r="L29" i="3"/>
  <c r="K29" i="3"/>
  <c r="J29" i="3"/>
  <c r="I29" i="3"/>
  <c r="H29" i="3"/>
  <c r="AR28" i="3"/>
  <c r="AQ28" i="3"/>
  <c r="AP28" i="3"/>
  <c r="AO28" i="3"/>
  <c r="AN28" i="3"/>
  <c r="AM28" i="3"/>
  <c r="AL28" i="3"/>
  <c r="AK28" i="3"/>
  <c r="AJ28" i="3"/>
  <c r="AI28" i="3"/>
  <c r="AH28" i="3"/>
  <c r="AG28" i="3"/>
  <c r="AB28" i="3"/>
  <c r="AA28" i="3"/>
  <c r="Z28" i="3"/>
  <c r="Y28" i="3"/>
  <c r="X28" i="3"/>
  <c r="V28" i="3"/>
  <c r="U28" i="3"/>
  <c r="T28" i="3"/>
  <c r="S28" i="3"/>
  <c r="R28" i="3"/>
  <c r="Q28" i="3"/>
  <c r="P28" i="3"/>
  <c r="O28" i="3"/>
  <c r="N28" i="3"/>
  <c r="M28" i="3"/>
  <c r="L28" i="3"/>
  <c r="K28" i="3"/>
  <c r="J28" i="3"/>
  <c r="I28" i="3"/>
  <c r="H28" i="3"/>
  <c r="AL27" i="3"/>
  <c r="AK27" i="3"/>
  <c r="AJ27" i="3"/>
  <c r="AI27" i="3"/>
  <c r="AH27" i="3"/>
  <c r="AG27" i="3"/>
  <c r="AB27" i="3"/>
  <c r="AA27" i="3"/>
  <c r="Z27" i="3"/>
  <c r="Y27" i="3"/>
  <c r="X27" i="3"/>
  <c r="W27" i="3"/>
  <c r="V27" i="3"/>
  <c r="U27" i="3"/>
  <c r="T27" i="3"/>
  <c r="S27" i="3"/>
  <c r="R27" i="3"/>
  <c r="Q27" i="3"/>
  <c r="P27" i="3"/>
  <c r="O27" i="3"/>
  <c r="N27" i="3"/>
  <c r="M27" i="3"/>
  <c r="L27" i="3"/>
  <c r="K27" i="3"/>
  <c r="J27" i="3"/>
  <c r="I27" i="3"/>
  <c r="H27" i="3"/>
  <c r="AL26" i="3"/>
  <c r="AK26" i="3"/>
  <c r="AJ26" i="3"/>
  <c r="AI26" i="3"/>
  <c r="AH26" i="3"/>
  <c r="AG26" i="3"/>
  <c r="AB26" i="3"/>
  <c r="AA26" i="3"/>
  <c r="Z26" i="3"/>
  <c r="Y26" i="3"/>
  <c r="X26" i="3"/>
  <c r="W26" i="3"/>
  <c r="V26" i="3"/>
  <c r="U26" i="3"/>
  <c r="T26" i="3"/>
  <c r="S26" i="3"/>
  <c r="R26" i="3"/>
  <c r="Q26" i="3"/>
  <c r="P26" i="3"/>
  <c r="O26" i="3"/>
  <c r="N26" i="3"/>
  <c r="M26" i="3"/>
  <c r="L26" i="3"/>
  <c r="K26" i="3"/>
  <c r="J26" i="3"/>
  <c r="I26" i="3"/>
  <c r="H26" i="3"/>
  <c r="AJ25" i="3"/>
  <c r="AI25" i="3"/>
  <c r="AH25" i="3"/>
  <c r="AG25" i="3"/>
  <c r="AB25" i="3"/>
  <c r="AA25" i="3"/>
  <c r="Z25" i="3"/>
  <c r="Y25" i="3"/>
  <c r="X25" i="3"/>
  <c r="W25" i="3"/>
  <c r="V25" i="3"/>
  <c r="U25" i="3"/>
  <c r="T25" i="3"/>
  <c r="S25" i="3"/>
  <c r="R25" i="3"/>
  <c r="Q25" i="3"/>
  <c r="P25" i="3"/>
  <c r="O25" i="3"/>
  <c r="N25" i="3"/>
  <c r="M25" i="3"/>
  <c r="L25" i="3"/>
  <c r="K25" i="3"/>
  <c r="J25" i="3"/>
  <c r="I25" i="3"/>
  <c r="H25" i="3"/>
  <c r="AN24" i="3"/>
  <c r="AM24" i="3"/>
  <c r="AL24" i="3"/>
  <c r="AK24" i="3"/>
  <c r="AJ24" i="3"/>
  <c r="AI24" i="3"/>
  <c r="AH24" i="3"/>
  <c r="AG24" i="3"/>
  <c r="AB24" i="3"/>
  <c r="AA24" i="3"/>
  <c r="Z24" i="3"/>
  <c r="Y24" i="3"/>
  <c r="X24" i="3"/>
  <c r="W24" i="3"/>
  <c r="V24" i="3"/>
  <c r="U24" i="3"/>
  <c r="T24" i="3"/>
  <c r="S24" i="3"/>
  <c r="R24" i="3"/>
  <c r="Q24" i="3"/>
  <c r="P24" i="3"/>
  <c r="O24" i="3"/>
  <c r="N24" i="3"/>
  <c r="M24" i="3"/>
  <c r="L24" i="3"/>
  <c r="K24" i="3"/>
  <c r="J24" i="3"/>
  <c r="I24" i="3"/>
  <c r="H24" i="3"/>
  <c r="AN23" i="3"/>
  <c r="AM23" i="3"/>
  <c r="AL23" i="3"/>
  <c r="AK23" i="3"/>
  <c r="AJ23" i="3"/>
  <c r="AI23" i="3"/>
  <c r="AH23" i="3"/>
  <c r="AG23" i="3"/>
  <c r="AB23" i="3"/>
  <c r="AA23" i="3"/>
  <c r="Z23" i="3"/>
  <c r="Y23" i="3"/>
  <c r="X23" i="3"/>
  <c r="W23" i="3"/>
  <c r="V23" i="3"/>
  <c r="U23" i="3"/>
  <c r="T23" i="3"/>
  <c r="S23" i="3"/>
  <c r="R23" i="3"/>
  <c r="Q23" i="3"/>
  <c r="P23" i="3"/>
  <c r="O23" i="3"/>
  <c r="N23" i="3"/>
  <c r="M23" i="3"/>
  <c r="L23" i="3"/>
  <c r="K23" i="3"/>
  <c r="J23" i="3"/>
  <c r="I23" i="3"/>
  <c r="H23" i="3"/>
  <c r="AN22" i="3"/>
  <c r="AM22" i="3"/>
  <c r="AL22" i="3"/>
  <c r="AK22" i="3"/>
  <c r="AJ22" i="3"/>
  <c r="AI22" i="3"/>
  <c r="AH22" i="3"/>
  <c r="AG22" i="3"/>
  <c r="AB22" i="3"/>
  <c r="AA22" i="3"/>
  <c r="Z22" i="3"/>
  <c r="Y22" i="3"/>
  <c r="X22" i="3"/>
  <c r="W22" i="3"/>
  <c r="V22" i="3"/>
  <c r="U22" i="3"/>
  <c r="T22" i="3"/>
  <c r="S22" i="3"/>
  <c r="R22" i="3"/>
  <c r="Q22" i="3"/>
  <c r="P22" i="3"/>
  <c r="O22" i="3"/>
  <c r="N22" i="3"/>
  <c r="M22" i="3"/>
  <c r="L22" i="3"/>
  <c r="K22" i="3"/>
  <c r="J22" i="3"/>
  <c r="I22" i="3"/>
  <c r="H22" i="3"/>
  <c r="AJ21" i="3"/>
  <c r="AI21" i="3"/>
  <c r="AH21" i="3"/>
  <c r="AG21" i="3"/>
  <c r="AB21" i="3"/>
  <c r="AA21" i="3"/>
  <c r="Z21" i="3"/>
  <c r="Y21" i="3"/>
  <c r="X21" i="3"/>
  <c r="W21" i="3"/>
  <c r="V21" i="3"/>
  <c r="U21" i="3"/>
  <c r="T21" i="3"/>
  <c r="S21" i="3"/>
  <c r="R21" i="3"/>
  <c r="Q21" i="3"/>
  <c r="P21" i="3"/>
  <c r="O21" i="3"/>
  <c r="N21" i="3"/>
  <c r="M21" i="3"/>
  <c r="L21" i="3"/>
  <c r="K21" i="3"/>
  <c r="J21" i="3"/>
  <c r="I21" i="3"/>
  <c r="H21" i="3"/>
  <c r="AJ20" i="3"/>
  <c r="AI20" i="3"/>
  <c r="AH20" i="3"/>
  <c r="AG20" i="3"/>
  <c r="AB20" i="3"/>
  <c r="AA20" i="3"/>
  <c r="Z20" i="3"/>
  <c r="Y20" i="3"/>
  <c r="X20" i="3"/>
  <c r="W20" i="3"/>
  <c r="V20" i="3"/>
  <c r="U20" i="3"/>
  <c r="T20" i="3"/>
  <c r="S20" i="3"/>
  <c r="R20" i="3"/>
  <c r="Q20" i="3"/>
  <c r="P20" i="3"/>
  <c r="O20" i="3"/>
  <c r="N20" i="3"/>
  <c r="M20" i="3"/>
  <c r="L20" i="3"/>
  <c r="K20" i="3"/>
  <c r="J20" i="3"/>
  <c r="I20" i="3"/>
  <c r="H20" i="3"/>
  <c r="AJ19" i="3"/>
  <c r="AI19" i="3"/>
  <c r="AH19" i="3"/>
  <c r="AG19" i="3"/>
  <c r="AB19" i="3"/>
  <c r="AA19" i="3"/>
  <c r="Z19" i="3"/>
  <c r="Y19" i="3"/>
  <c r="X19" i="3"/>
  <c r="W19" i="3"/>
  <c r="V19" i="3"/>
  <c r="U19" i="3"/>
  <c r="T19" i="3"/>
  <c r="S19" i="3"/>
  <c r="R19" i="3"/>
  <c r="Q19" i="3"/>
  <c r="P19" i="3"/>
  <c r="O19" i="3"/>
  <c r="N19" i="3"/>
  <c r="M19" i="3"/>
  <c r="L19" i="3"/>
  <c r="K19" i="3"/>
  <c r="J19" i="3"/>
  <c r="I19" i="3"/>
  <c r="H19" i="3"/>
  <c r="AL18" i="3"/>
  <c r="AK18" i="3"/>
  <c r="AJ18" i="3"/>
  <c r="AI18" i="3"/>
  <c r="AH18" i="3"/>
  <c r="AG18" i="3"/>
  <c r="AB18" i="3"/>
  <c r="AA18" i="3"/>
  <c r="Z18" i="3"/>
  <c r="Y18" i="3"/>
  <c r="X18" i="3"/>
  <c r="W18" i="3"/>
  <c r="V18" i="3"/>
  <c r="U18" i="3"/>
  <c r="T18" i="3"/>
  <c r="S18" i="3"/>
  <c r="R18" i="3"/>
  <c r="Q18" i="3"/>
  <c r="P18" i="3"/>
  <c r="O18" i="3"/>
  <c r="N18" i="3"/>
  <c r="M18" i="3"/>
  <c r="L18" i="3"/>
  <c r="K18" i="3"/>
  <c r="J18" i="3"/>
  <c r="I18" i="3"/>
  <c r="H18" i="3"/>
  <c r="AL17" i="3"/>
  <c r="AK17" i="3"/>
  <c r="AJ17" i="3"/>
  <c r="AI17" i="3"/>
  <c r="AH17" i="3"/>
  <c r="AG17" i="3"/>
  <c r="AF17" i="3"/>
  <c r="AD17" i="3"/>
  <c r="AB17" i="3"/>
  <c r="AA17" i="3"/>
  <c r="Z17" i="3"/>
  <c r="Y17" i="3"/>
  <c r="X17" i="3"/>
  <c r="W17" i="3"/>
  <c r="V17" i="3"/>
  <c r="U17" i="3"/>
  <c r="T17" i="3"/>
  <c r="S17" i="3"/>
  <c r="R17" i="3"/>
  <c r="Q17" i="3"/>
  <c r="P17" i="3"/>
  <c r="O17" i="3"/>
  <c r="N17" i="3"/>
  <c r="M17" i="3"/>
  <c r="L17" i="3"/>
  <c r="K17" i="3"/>
  <c r="J17" i="3"/>
  <c r="I17" i="3"/>
  <c r="H17" i="3"/>
  <c r="AL16" i="3"/>
  <c r="AK16" i="3"/>
  <c r="AJ16" i="3"/>
  <c r="AI16" i="3"/>
  <c r="AH16" i="3"/>
  <c r="AG16" i="3"/>
  <c r="AB16" i="3"/>
  <c r="AA16" i="3"/>
  <c r="Z16" i="3"/>
  <c r="Y16" i="3"/>
  <c r="X16" i="3"/>
  <c r="W16" i="3"/>
  <c r="V16" i="3"/>
  <c r="U16" i="3"/>
  <c r="T16" i="3"/>
  <c r="S16" i="3"/>
  <c r="R16" i="3"/>
  <c r="Q16" i="3"/>
  <c r="P16" i="3"/>
  <c r="O16" i="3"/>
  <c r="N16" i="3"/>
  <c r="M16" i="3"/>
  <c r="L16" i="3"/>
  <c r="K16" i="3"/>
  <c r="J16" i="3"/>
  <c r="I16" i="3"/>
  <c r="H16" i="3"/>
  <c r="AN15" i="3"/>
  <c r="AM15" i="3"/>
  <c r="AL15" i="3"/>
  <c r="AK15" i="3"/>
  <c r="AJ15" i="3"/>
  <c r="AI15" i="3"/>
  <c r="AH15" i="3"/>
  <c r="AG15" i="3"/>
  <c r="AB15" i="3"/>
  <c r="AA15" i="3"/>
  <c r="Z15" i="3"/>
  <c r="Y15" i="3"/>
  <c r="X15" i="3"/>
  <c r="W15" i="3"/>
  <c r="V15" i="3"/>
  <c r="U15" i="3"/>
  <c r="T15" i="3"/>
  <c r="S15" i="3"/>
  <c r="R15" i="3"/>
  <c r="Q15" i="3"/>
  <c r="P15" i="3"/>
  <c r="O15" i="3"/>
  <c r="N15" i="3"/>
  <c r="M15" i="3"/>
  <c r="L15" i="3"/>
  <c r="K15" i="3"/>
  <c r="J15" i="3"/>
  <c r="I15" i="3"/>
  <c r="H15" i="3"/>
  <c r="AL14" i="3"/>
  <c r="AK14" i="3"/>
  <c r="AJ14" i="3"/>
  <c r="AI14" i="3"/>
  <c r="AH14" i="3"/>
  <c r="AG14" i="3"/>
  <c r="AB14" i="3"/>
  <c r="AA14" i="3"/>
  <c r="Z14" i="3"/>
  <c r="Y14" i="3"/>
  <c r="X14" i="3"/>
  <c r="W14" i="3"/>
  <c r="V14" i="3"/>
  <c r="U14" i="3"/>
  <c r="T14" i="3"/>
  <c r="S14" i="3"/>
  <c r="R14" i="3"/>
  <c r="Q14" i="3"/>
  <c r="P14" i="3"/>
  <c r="O14" i="3"/>
  <c r="N14" i="3"/>
  <c r="M14" i="3"/>
  <c r="L14" i="3"/>
  <c r="K14" i="3"/>
  <c r="J14" i="3"/>
  <c r="I14" i="3"/>
  <c r="H14" i="3"/>
  <c r="AP13" i="3"/>
  <c r="AO13" i="3"/>
  <c r="AN13" i="3"/>
  <c r="AM13" i="3"/>
  <c r="AL13" i="3"/>
  <c r="AK13" i="3"/>
  <c r="AJ13" i="3"/>
  <c r="AI13" i="3"/>
  <c r="AH13" i="3"/>
  <c r="AG13" i="3"/>
  <c r="AB13" i="3"/>
  <c r="AA13" i="3"/>
  <c r="Z13" i="3"/>
  <c r="Y13" i="3"/>
  <c r="X13" i="3"/>
  <c r="W13" i="3"/>
  <c r="V13" i="3"/>
  <c r="U13" i="3"/>
  <c r="T13" i="3"/>
  <c r="S13" i="3"/>
  <c r="R13" i="3"/>
  <c r="Q13" i="3"/>
  <c r="P13" i="3"/>
  <c r="O13" i="3"/>
  <c r="N13" i="3"/>
  <c r="M13" i="3"/>
  <c r="L13" i="3"/>
  <c r="K13" i="3"/>
  <c r="J13" i="3"/>
  <c r="I13" i="3"/>
  <c r="H13" i="3"/>
  <c r="AN12" i="3"/>
  <c r="AM12" i="3"/>
  <c r="AL12" i="3"/>
  <c r="AK12" i="3"/>
  <c r="AJ12" i="3"/>
  <c r="AI12" i="3"/>
  <c r="AH12" i="3"/>
  <c r="AG12" i="3"/>
  <c r="AB12" i="3"/>
  <c r="AA12" i="3"/>
  <c r="Z12" i="3"/>
  <c r="Y12" i="3"/>
  <c r="X12" i="3"/>
  <c r="W12" i="3"/>
  <c r="V12" i="3"/>
  <c r="U12" i="3"/>
  <c r="T12" i="3"/>
  <c r="S12" i="3"/>
  <c r="R12" i="3"/>
  <c r="Q12" i="3"/>
  <c r="P12" i="3"/>
  <c r="O12" i="3"/>
  <c r="N12" i="3"/>
  <c r="M12" i="3"/>
  <c r="L12" i="3"/>
  <c r="K12" i="3"/>
  <c r="J12" i="3"/>
  <c r="I12" i="3"/>
  <c r="H12" i="3"/>
  <c r="AN11" i="3"/>
  <c r="AM11" i="3"/>
  <c r="AL11" i="3"/>
  <c r="AK11" i="3"/>
  <c r="AJ11" i="3"/>
  <c r="AI11" i="3"/>
  <c r="AH11" i="3"/>
  <c r="AG11" i="3"/>
  <c r="AB11" i="3"/>
  <c r="AA11" i="3"/>
  <c r="Z11" i="3"/>
  <c r="Y11" i="3"/>
  <c r="X11" i="3"/>
  <c r="W11" i="3"/>
  <c r="V11" i="3"/>
  <c r="U11" i="3"/>
  <c r="T11" i="3"/>
  <c r="S11" i="3"/>
  <c r="R11" i="3"/>
  <c r="Q11" i="3"/>
  <c r="P11" i="3"/>
  <c r="O11" i="3"/>
  <c r="N11" i="3"/>
  <c r="M11" i="3"/>
  <c r="L11" i="3"/>
  <c r="K11" i="3"/>
  <c r="J11" i="3"/>
  <c r="I11" i="3"/>
  <c r="H11" i="3"/>
  <c r="AJ10" i="3"/>
  <c r="AI10" i="3"/>
  <c r="AH10" i="3"/>
  <c r="AG10" i="3"/>
  <c r="AB10" i="3"/>
  <c r="AA10" i="3"/>
  <c r="Z10" i="3"/>
  <c r="Y10" i="3"/>
  <c r="X10" i="3"/>
  <c r="W10" i="3"/>
  <c r="V10" i="3"/>
  <c r="U10" i="3"/>
  <c r="T10" i="3"/>
  <c r="S10" i="3"/>
  <c r="R10" i="3"/>
  <c r="Q10" i="3"/>
  <c r="P10" i="3"/>
  <c r="O10" i="3"/>
  <c r="N10" i="3"/>
  <c r="M10" i="3"/>
  <c r="L10" i="3"/>
  <c r="K10" i="3"/>
  <c r="J10" i="3"/>
  <c r="I10" i="3"/>
  <c r="H10" i="3"/>
  <c r="AN9" i="3"/>
  <c r="AM9" i="3"/>
  <c r="AL9" i="3"/>
  <c r="AK9" i="3"/>
  <c r="AJ9" i="3"/>
  <c r="AI9" i="3"/>
  <c r="AH9" i="3"/>
  <c r="AG9" i="3"/>
  <c r="AB9" i="3"/>
  <c r="AA9" i="3"/>
  <c r="Z9" i="3"/>
  <c r="Y9" i="3"/>
  <c r="X9" i="3"/>
  <c r="W9" i="3"/>
  <c r="V9" i="3"/>
  <c r="U9" i="3"/>
  <c r="T9" i="3"/>
  <c r="S9" i="3"/>
  <c r="R9" i="3"/>
  <c r="Q9" i="3"/>
  <c r="P9" i="3"/>
  <c r="O9" i="3"/>
  <c r="N9" i="3"/>
  <c r="M9" i="3"/>
  <c r="L9" i="3"/>
  <c r="K9" i="3"/>
  <c r="J9" i="3"/>
  <c r="I9" i="3"/>
  <c r="H9" i="3"/>
  <c r="AL8" i="3"/>
  <c r="AK8" i="3"/>
  <c r="AJ8" i="3"/>
  <c r="AI8" i="3"/>
  <c r="AH8" i="3"/>
  <c r="AG8" i="3"/>
  <c r="AB8" i="3"/>
  <c r="AA8" i="3"/>
  <c r="Z8" i="3"/>
  <c r="Y8" i="3"/>
  <c r="X8" i="3"/>
  <c r="W8" i="3"/>
  <c r="V8" i="3"/>
  <c r="U8" i="3"/>
  <c r="T8" i="3"/>
  <c r="S8" i="3"/>
  <c r="R8" i="3"/>
  <c r="Q8" i="3"/>
  <c r="P8" i="3"/>
  <c r="O8" i="3"/>
  <c r="N8" i="3"/>
  <c r="M8" i="3"/>
  <c r="L8" i="3"/>
  <c r="K8" i="3"/>
  <c r="J8" i="3"/>
  <c r="I8" i="3"/>
  <c r="H8" i="3"/>
  <c r="AL7" i="3"/>
  <c r="AK7" i="3"/>
  <c r="AJ7" i="3"/>
  <c r="AI7" i="3"/>
  <c r="AH7" i="3"/>
  <c r="AG7" i="3"/>
  <c r="AB7" i="3"/>
  <c r="AA7" i="3"/>
  <c r="Z7" i="3"/>
  <c r="Y7" i="3"/>
  <c r="X7" i="3"/>
  <c r="W7" i="3"/>
  <c r="V7" i="3"/>
  <c r="U7" i="3"/>
  <c r="T7" i="3"/>
  <c r="S7" i="3"/>
  <c r="R7" i="3"/>
  <c r="Q7" i="3"/>
  <c r="P7" i="3"/>
  <c r="O7" i="3"/>
  <c r="N7" i="3"/>
  <c r="M7" i="3"/>
  <c r="L7" i="3"/>
  <c r="K7" i="3"/>
  <c r="J7" i="3"/>
  <c r="I7" i="3"/>
  <c r="H7" i="3"/>
  <c r="AL6" i="3"/>
  <c r="AK6" i="3"/>
  <c r="AJ6" i="3"/>
  <c r="AI6" i="3"/>
  <c r="AH6" i="3"/>
  <c r="AG6" i="3"/>
  <c r="AB6" i="3"/>
  <c r="AA6" i="3"/>
  <c r="Z6" i="3"/>
  <c r="Y6" i="3"/>
  <c r="X6" i="3"/>
  <c r="W6" i="3"/>
  <c r="V6" i="3"/>
  <c r="U6" i="3"/>
  <c r="T6" i="3"/>
  <c r="S6" i="3"/>
  <c r="R6" i="3"/>
  <c r="Q6" i="3"/>
  <c r="P6" i="3"/>
  <c r="O6" i="3"/>
  <c r="N6" i="3"/>
  <c r="M6" i="3"/>
  <c r="L6" i="3"/>
  <c r="K6" i="3"/>
  <c r="J6" i="3"/>
  <c r="I6" i="3"/>
  <c r="H6" i="3"/>
  <c r="AL5" i="3"/>
  <c r="AK5" i="3"/>
  <c r="AJ5" i="3"/>
  <c r="AI5" i="3"/>
  <c r="AH5" i="3"/>
  <c r="AG5" i="3"/>
  <c r="AB5" i="3"/>
  <c r="AA5" i="3"/>
  <c r="Z5" i="3"/>
  <c r="Y5" i="3"/>
  <c r="X5" i="3"/>
  <c r="W5" i="3"/>
  <c r="V5" i="3"/>
  <c r="U5" i="3"/>
  <c r="T5" i="3"/>
  <c r="S5" i="3"/>
  <c r="R5" i="3"/>
  <c r="Q5" i="3"/>
  <c r="P5" i="3"/>
  <c r="O5" i="3"/>
  <c r="N5" i="3"/>
  <c r="M5" i="3"/>
  <c r="L5" i="3"/>
  <c r="K5" i="3"/>
  <c r="J5" i="3"/>
  <c r="I5" i="3"/>
  <c r="H5" i="3"/>
  <c r="AL4" i="3"/>
  <c r="AK4" i="3"/>
  <c r="AJ4" i="3"/>
  <c r="AI4" i="3"/>
  <c r="AH4" i="3"/>
  <c r="AG4" i="3"/>
  <c r="AB4" i="3"/>
  <c r="AA4" i="3"/>
  <c r="Z4" i="3"/>
  <c r="Y4" i="3"/>
  <c r="X4" i="3"/>
  <c r="W4" i="3"/>
  <c r="V4" i="3"/>
  <c r="U4" i="3"/>
  <c r="T4" i="3"/>
  <c r="S4" i="3"/>
  <c r="R4" i="3"/>
  <c r="Q4" i="3"/>
  <c r="P4" i="3"/>
  <c r="O4" i="3"/>
  <c r="N4" i="3"/>
  <c r="M4" i="3"/>
  <c r="L4" i="3"/>
  <c r="K4" i="3"/>
  <c r="J4" i="3"/>
  <c r="I4" i="3"/>
  <c r="H4" i="3"/>
  <c r="AL3" i="3"/>
  <c r="AK3" i="3"/>
  <c r="AJ3" i="3"/>
  <c r="AI3" i="3"/>
  <c r="AH3" i="3"/>
  <c r="AG3" i="3"/>
  <c r="AB3" i="3"/>
  <c r="AA3" i="3"/>
  <c r="Z3" i="3"/>
  <c r="Y3" i="3"/>
  <c r="X3" i="3"/>
  <c r="W3" i="3"/>
  <c r="V3" i="3"/>
  <c r="U3" i="3"/>
  <c r="T3" i="3"/>
  <c r="S3" i="3"/>
  <c r="R3" i="3"/>
  <c r="Q3" i="3"/>
  <c r="P3" i="3"/>
  <c r="O3" i="3"/>
  <c r="N3" i="3"/>
  <c r="M3" i="3"/>
  <c r="L3" i="3"/>
  <c r="K3" i="3"/>
  <c r="J3" i="3"/>
  <c r="I3" i="3"/>
  <c r="H3" i="3"/>
  <c r="AL2" i="3"/>
  <c r="AK2" i="3"/>
  <c r="AJ2" i="3"/>
  <c r="AI2" i="3"/>
  <c r="AH2" i="3"/>
  <c r="AG2" i="3"/>
  <c r="AB2" i="3"/>
  <c r="AA2" i="3"/>
  <c r="Z2" i="3"/>
  <c r="Y2" i="3"/>
  <c r="X2" i="3"/>
  <c r="W2" i="3"/>
  <c r="V2" i="3"/>
  <c r="U2" i="3"/>
  <c r="T2" i="3"/>
  <c r="S2" i="3"/>
  <c r="R2" i="3"/>
  <c r="Q2" i="3"/>
  <c r="P2" i="3"/>
  <c r="O2" i="3"/>
  <c r="N2" i="3"/>
  <c r="M2" i="3"/>
  <c r="L2" i="3"/>
  <c r="K2" i="3"/>
  <c r="J2" i="3"/>
  <c r="I2" i="3"/>
  <c r="H2" i="3"/>
  <c r="AH175" i="2"/>
  <c r="AG175" i="2"/>
  <c r="AB175" i="2"/>
  <c r="AA175" i="2"/>
  <c r="Z175" i="2"/>
  <c r="Y175" i="2"/>
  <c r="X175" i="2"/>
  <c r="W175" i="2"/>
  <c r="V175" i="2"/>
  <c r="U175" i="2"/>
  <c r="T175" i="2"/>
  <c r="S175" i="2"/>
  <c r="R175" i="2"/>
  <c r="Q175" i="2"/>
  <c r="P175" i="2"/>
  <c r="O175" i="2"/>
  <c r="N175" i="2"/>
  <c r="M175" i="2"/>
  <c r="L175" i="2"/>
  <c r="K175" i="2"/>
  <c r="J175" i="2"/>
  <c r="I175" i="2"/>
  <c r="H175" i="2"/>
  <c r="AJ174" i="2"/>
  <c r="AI174" i="2"/>
  <c r="AH174" i="2"/>
  <c r="AG174" i="2"/>
  <c r="AB174" i="2"/>
  <c r="AA174" i="2"/>
  <c r="Z174" i="2"/>
  <c r="Y174" i="2"/>
  <c r="X174" i="2"/>
  <c r="W174" i="2"/>
  <c r="V174" i="2"/>
  <c r="U174" i="2"/>
  <c r="T174" i="2"/>
  <c r="S174" i="2"/>
  <c r="R174" i="2"/>
  <c r="Q174" i="2"/>
  <c r="P174" i="2"/>
  <c r="O174" i="2"/>
  <c r="N174" i="2"/>
  <c r="M174" i="2"/>
  <c r="L174" i="2"/>
  <c r="K174" i="2"/>
  <c r="J174" i="2"/>
  <c r="I174" i="2"/>
  <c r="H174" i="2"/>
  <c r="AJ173" i="2"/>
  <c r="AI173" i="2"/>
  <c r="AH173" i="2"/>
  <c r="AG173" i="2"/>
  <c r="AB173" i="2"/>
  <c r="AA173" i="2"/>
  <c r="Z173" i="2"/>
  <c r="Y173" i="2"/>
  <c r="X173" i="2"/>
  <c r="W173" i="2"/>
  <c r="V173" i="2"/>
  <c r="U173" i="2"/>
  <c r="T173" i="2"/>
  <c r="S173" i="2"/>
  <c r="R173" i="2"/>
  <c r="Q173" i="2"/>
  <c r="P173" i="2"/>
  <c r="O173" i="2"/>
  <c r="N173" i="2"/>
  <c r="M173" i="2"/>
  <c r="L173" i="2"/>
  <c r="K173" i="2"/>
  <c r="J173" i="2"/>
  <c r="I173" i="2"/>
  <c r="H173" i="2"/>
  <c r="AL172" i="2"/>
  <c r="AK172" i="2"/>
  <c r="AJ172" i="2"/>
  <c r="AI172" i="2"/>
  <c r="AH172" i="2"/>
  <c r="AG172" i="2"/>
  <c r="AB172" i="2"/>
  <c r="AA172" i="2"/>
  <c r="Z172" i="2"/>
  <c r="Y172" i="2"/>
  <c r="X172" i="2"/>
  <c r="W172" i="2"/>
  <c r="V172" i="2"/>
  <c r="U172" i="2"/>
  <c r="T172" i="2"/>
  <c r="S172" i="2"/>
  <c r="R172" i="2"/>
  <c r="Q172" i="2"/>
  <c r="P172" i="2"/>
  <c r="O172" i="2"/>
  <c r="N172" i="2"/>
  <c r="M172" i="2"/>
  <c r="L172" i="2"/>
  <c r="K172" i="2"/>
  <c r="J172" i="2"/>
  <c r="I172" i="2"/>
  <c r="H172" i="2"/>
  <c r="AL171" i="2"/>
  <c r="AK171" i="2"/>
  <c r="AJ171" i="2"/>
  <c r="AI171" i="2"/>
  <c r="AH171" i="2"/>
  <c r="AG171" i="2"/>
  <c r="AB171" i="2"/>
  <c r="AA171" i="2"/>
  <c r="Z171" i="2"/>
  <c r="Y171" i="2"/>
  <c r="X171" i="2"/>
  <c r="W171" i="2"/>
  <c r="V171" i="2"/>
  <c r="U171" i="2"/>
  <c r="T171" i="2"/>
  <c r="S171" i="2"/>
  <c r="R171" i="2"/>
  <c r="Q171" i="2"/>
  <c r="P171" i="2"/>
  <c r="O171" i="2"/>
  <c r="N171" i="2"/>
  <c r="M171" i="2"/>
  <c r="L171" i="2"/>
  <c r="K171" i="2"/>
  <c r="J171" i="2"/>
  <c r="I171" i="2"/>
  <c r="H171" i="2"/>
  <c r="AL170" i="2"/>
  <c r="AK170" i="2"/>
  <c r="AJ170" i="2"/>
  <c r="AI170" i="2"/>
  <c r="AH170" i="2"/>
  <c r="AG170" i="2"/>
  <c r="AB170" i="2"/>
  <c r="AA170" i="2"/>
  <c r="Z170" i="2"/>
  <c r="Y170" i="2"/>
  <c r="X170" i="2"/>
  <c r="W170" i="2"/>
  <c r="V170" i="2"/>
  <c r="U170" i="2"/>
  <c r="T170" i="2"/>
  <c r="S170" i="2"/>
  <c r="R170" i="2"/>
  <c r="Q170" i="2"/>
  <c r="P170" i="2"/>
  <c r="O170" i="2"/>
  <c r="N170" i="2"/>
  <c r="M170" i="2"/>
  <c r="L170" i="2"/>
  <c r="K170" i="2"/>
  <c r="J170" i="2"/>
  <c r="I170" i="2"/>
  <c r="H170" i="2"/>
  <c r="AN169" i="2"/>
  <c r="AM169" i="2"/>
  <c r="AL169" i="2"/>
  <c r="AK169" i="2"/>
  <c r="AJ169" i="2"/>
  <c r="AI169" i="2"/>
  <c r="AH169" i="2"/>
  <c r="AG169" i="2"/>
  <c r="AB169" i="2"/>
  <c r="AA169" i="2"/>
  <c r="Z169" i="2"/>
  <c r="Y169" i="2"/>
  <c r="X169" i="2"/>
  <c r="W169" i="2"/>
  <c r="V169" i="2"/>
  <c r="U169" i="2"/>
  <c r="T169" i="2"/>
  <c r="S169" i="2"/>
  <c r="R169" i="2"/>
  <c r="Q169" i="2"/>
  <c r="P169" i="2"/>
  <c r="O169" i="2"/>
  <c r="N169" i="2"/>
  <c r="M169" i="2"/>
  <c r="L169" i="2"/>
  <c r="K169" i="2"/>
  <c r="J169" i="2"/>
  <c r="I169" i="2"/>
  <c r="H169" i="2"/>
  <c r="AJ168" i="2"/>
  <c r="AI168" i="2"/>
  <c r="AH168" i="2"/>
  <c r="AG168" i="2"/>
  <c r="AB168" i="2"/>
  <c r="AA168" i="2"/>
  <c r="Z168" i="2"/>
  <c r="Y168" i="2"/>
  <c r="X168" i="2"/>
  <c r="W168" i="2"/>
  <c r="V168" i="2"/>
  <c r="U168" i="2"/>
  <c r="T168" i="2"/>
  <c r="S168" i="2"/>
  <c r="R168" i="2"/>
  <c r="Q168" i="2"/>
  <c r="P168" i="2"/>
  <c r="O168" i="2"/>
  <c r="N168" i="2"/>
  <c r="M168" i="2"/>
  <c r="L168" i="2"/>
  <c r="K168" i="2"/>
  <c r="J168" i="2"/>
  <c r="I168" i="2"/>
  <c r="H168" i="2"/>
  <c r="AJ167" i="2"/>
  <c r="AI167" i="2"/>
  <c r="AH167" i="2"/>
  <c r="AG167" i="2"/>
  <c r="AB167" i="2"/>
  <c r="AA167" i="2"/>
  <c r="Z167" i="2"/>
  <c r="Y167" i="2"/>
  <c r="X167" i="2"/>
  <c r="W167" i="2"/>
  <c r="V167" i="2"/>
  <c r="U167" i="2"/>
  <c r="T167" i="2"/>
  <c r="S167" i="2"/>
  <c r="R167" i="2"/>
  <c r="Q167" i="2"/>
  <c r="P167" i="2"/>
  <c r="O167" i="2"/>
  <c r="N167" i="2"/>
  <c r="M167" i="2"/>
  <c r="L167" i="2"/>
  <c r="K167" i="2"/>
  <c r="J167" i="2"/>
  <c r="I167" i="2"/>
  <c r="H167" i="2"/>
  <c r="AH166" i="2"/>
  <c r="AG166" i="2"/>
  <c r="AB166" i="2"/>
  <c r="AA166" i="2"/>
  <c r="Z166" i="2"/>
  <c r="Y166" i="2"/>
  <c r="X166" i="2"/>
  <c r="W166" i="2"/>
  <c r="V166" i="2"/>
  <c r="U166" i="2"/>
  <c r="T166" i="2"/>
  <c r="S166" i="2"/>
  <c r="R166" i="2"/>
  <c r="Q166" i="2"/>
  <c r="P166" i="2"/>
  <c r="O166" i="2"/>
  <c r="N166" i="2"/>
  <c r="M166" i="2"/>
  <c r="L166" i="2"/>
  <c r="K166" i="2"/>
  <c r="J166" i="2"/>
  <c r="I166" i="2"/>
  <c r="H166" i="2"/>
  <c r="AJ165" i="2"/>
  <c r="AI165" i="2"/>
  <c r="AH165" i="2"/>
  <c r="AG165" i="2"/>
  <c r="AB165" i="2"/>
  <c r="AA165" i="2"/>
  <c r="Z165" i="2"/>
  <c r="Y165" i="2"/>
  <c r="X165" i="2"/>
  <c r="W165" i="2"/>
  <c r="V165" i="2"/>
  <c r="U165" i="2"/>
  <c r="T165" i="2"/>
  <c r="S165" i="2"/>
  <c r="R165" i="2"/>
  <c r="Q165" i="2"/>
  <c r="P165" i="2"/>
  <c r="O165" i="2"/>
  <c r="N165" i="2"/>
  <c r="M165" i="2"/>
  <c r="L165" i="2"/>
  <c r="K165" i="2"/>
  <c r="J165" i="2"/>
  <c r="I165" i="2"/>
  <c r="H165" i="2"/>
  <c r="AL164" i="2"/>
  <c r="AK164" i="2"/>
  <c r="AJ164" i="2"/>
  <c r="AI164" i="2"/>
  <c r="AH164" i="2"/>
  <c r="AG164" i="2"/>
  <c r="AB164" i="2"/>
  <c r="AA164" i="2"/>
  <c r="Z164" i="2"/>
  <c r="Y164" i="2"/>
  <c r="X164" i="2"/>
  <c r="W164" i="2"/>
  <c r="V164" i="2"/>
  <c r="U164" i="2"/>
  <c r="T164" i="2"/>
  <c r="S164" i="2"/>
  <c r="R164" i="2"/>
  <c r="Q164" i="2"/>
  <c r="P164" i="2"/>
  <c r="O164" i="2"/>
  <c r="N164" i="2"/>
  <c r="M164" i="2"/>
  <c r="L164" i="2"/>
  <c r="K164" i="2"/>
  <c r="J164" i="2"/>
  <c r="I164" i="2"/>
  <c r="H164" i="2"/>
  <c r="AJ163" i="2"/>
  <c r="AI163" i="2"/>
  <c r="AH163" i="2"/>
  <c r="AG163" i="2"/>
  <c r="AB163" i="2"/>
  <c r="AA163" i="2"/>
  <c r="Z163" i="2"/>
  <c r="Y163" i="2"/>
  <c r="X163" i="2"/>
  <c r="W163" i="2"/>
  <c r="V163" i="2"/>
  <c r="U163" i="2"/>
  <c r="T163" i="2"/>
  <c r="S163" i="2"/>
  <c r="R163" i="2"/>
  <c r="Q163" i="2"/>
  <c r="P163" i="2"/>
  <c r="O163" i="2"/>
  <c r="N163" i="2"/>
  <c r="M163" i="2"/>
  <c r="L163" i="2"/>
  <c r="K163" i="2"/>
  <c r="J163" i="2"/>
  <c r="I163" i="2"/>
  <c r="H163" i="2"/>
  <c r="AH162" i="2"/>
  <c r="AG162" i="2"/>
  <c r="AB162" i="2"/>
  <c r="AA162" i="2"/>
  <c r="Z162" i="2"/>
  <c r="Y162" i="2"/>
  <c r="X162" i="2"/>
  <c r="W162" i="2"/>
  <c r="V162" i="2"/>
  <c r="U162" i="2"/>
  <c r="T162" i="2"/>
  <c r="S162" i="2"/>
  <c r="R162" i="2"/>
  <c r="Q162" i="2"/>
  <c r="P162" i="2"/>
  <c r="O162" i="2"/>
  <c r="N162" i="2"/>
  <c r="M162" i="2"/>
  <c r="L162" i="2"/>
  <c r="K162" i="2"/>
  <c r="J162" i="2"/>
  <c r="I162" i="2"/>
  <c r="H162" i="2"/>
  <c r="AG161" i="2"/>
  <c r="AB161" i="2"/>
  <c r="AA161" i="2"/>
  <c r="Z161" i="2"/>
  <c r="Y161" i="2"/>
  <c r="X161" i="2"/>
  <c r="W161" i="2"/>
  <c r="V161" i="2"/>
  <c r="U161" i="2"/>
  <c r="T161" i="2"/>
  <c r="S161" i="2"/>
  <c r="R161" i="2"/>
  <c r="Q161" i="2"/>
  <c r="P161" i="2"/>
  <c r="O161" i="2"/>
  <c r="N161" i="2"/>
  <c r="M161" i="2"/>
  <c r="L161" i="2"/>
  <c r="K161" i="2"/>
  <c r="J161" i="2"/>
  <c r="I161" i="2"/>
  <c r="H161" i="2"/>
  <c r="AP160" i="2"/>
  <c r="AO160" i="2"/>
  <c r="AN160" i="2"/>
  <c r="AM160" i="2"/>
  <c r="AL160" i="2"/>
  <c r="AK160" i="2"/>
  <c r="AJ160" i="2"/>
  <c r="AI160" i="2"/>
  <c r="AH160" i="2"/>
  <c r="AG160" i="2"/>
  <c r="AB160" i="2"/>
  <c r="AA160" i="2"/>
  <c r="Z160" i="2"/>
  <c r="Y160" i="2"/>
  <c r="X160" i="2"/>
  <c r="W160" i="2"/>
  <c r="V160" i="2"/>
  <c r="U160" i="2"/>
  <c r="T160" i="2"/>
  <c r="S160" i="2"/>
  <c r="R160" i="2"/>
  <c r="Q160" i="2"/>
  <c r="P160" i="2"/>
  <c r="O160" i="2"/>
  <c r="N160" i="2"/>
  <c r="M160" i="2"/>
  <c r="L160" i="2"/>
  <c r="K160" i="2"/>
  <c r="J160" i="2"/>
  <c r="I160" i="2"/>
  <c r="H160" i="2"/>
  <c r="AP159" i="2"/>
  <c r="AO159" i="2"/>
  <c r="AN159" i="2"/>
  <c r="AM159" i="2"/>
  <c r="AL159" i="2"/>
  <c r="AK159" i="2"/>
  <c r="AJ159" i="2"/>
  <c r="AI159" i="2"/>
  <c r="AH159" i="2"/>
  <c r="AG159" i="2"/>
  <c r="AB159" i="2"/>
  <c r="AA159" i="2"/>
  <c r="Z159" i="2"/>
  <c r="Y159" i="2"/>
  <c r="X159" i="2"/>
  <c r="W159" i="2"/>
  <c r="V159" i="2"/>
  <c r="U159" i="2"/>
  <c r="T159" i="2"/>
  <c r="S159" i="2"/>
  <c r="R159" i="2"/>
  <c r="Q159" i="2"/>
  <c r="P159" i="2"/>
  <c r="O159" i="2"/>
  <c r="N159" i="2"/>
  <c r="M159" i="2"/>
  <c r="L159" i="2"/>
  <c r="K159" i="2"/>
  <c r="J159" i="2"/>
  <c r="I159" i="2"/>
  <c r="H159" i="2"/>
  <c r="AP158" i="2"/>
  <c r="AO158" i="2"/>
  <c r="AN158" i="2"/>
  <c r="AM158" i="2"/>
  <c r="AL158" i="2"/>
  <c r="AK158" i="2"/>
  <c r="AJ158" i="2"/>
  <c r="AI158" i="2"/>
  <c r="AH158" i="2"/>
  <c r="AG158" i="2"/>
  <c r="AB158" i="2"/>
  <c r="AA158" i="2"/>
  <c r="Z158" i="2"/>
  <c r="Y158" i="2"/>
  <c r="X158" i="2"/>
  <c r="W158" i="2"/>
  <c r="V158" i="2"/>
  <c r="U158" i="2"/>
  <c r="T158" i="2"/>
  <c r="S158" i="2"/>
  <c r="R158" i="2"/>
  <c r="Q158" i="2"/>
  <c r="P158" i="2"/>
  <c r="O158" i="2"/>
  <c r="N158" i="2"/>
  <c r="M158" i="2"/>
  <c r="L158" i="2"/>
  <c r="K158" i="2"/>
  <c r="J158" i="2"/>
  <c r="I158" i="2"/>
  <c r="H158" i="2"/>
  <c r="AN157" i="2"/>
  <c r="AM157" i="2"/>
  <c r="AL157" i="2"/>
  <c r="AK157" i="2"/>
  <c r="AJ157" i="2"/>
  <c r="AI157" i="2"/>
  <c r="AH157" i="2"/>
  <c r="AG157" i="2"/>
  <c r="AF157" i="2"/>
  <c r="AC157" i="2"/>
  <c r="AB157" i="2"/>
  <c r="AA157" i="2"/>
  <c r="Z157" i="2"/>
  <c r="Y157" i="2"/>
  <c r="X157" i="2"/>
  <c r="W157" i="2"/>
  <c r="V157" i="2"/>
  <c r="U157" i="2"/>
  <c r="T157" i="2"/>
  <c r="S157" i="2"/>
  <c r="R157" i="2"/>
  <c r="Q157" i="2"/>
  <c r="P157" i="2"/>
  <c r="O157" i="2"/>
  <c r="N157" i="2"/>
  <c r="M157" i="2"/>
  <c r="L157" i="2"/>
  <c r="K157" i="2"/>
  <c r="J157" i="2"/>
  <c r="I157" i="2"/>
  <c r="H157" i="2"/>
  <c r="AL156" i="2"/>
  <c r="AK156" i="2"/>
  <c r="AJ156" i="2"/>
  <c r="AI156" i="2"/>
  <c r="AH156" i="2"/>
  <c r="AG156" i="2"/>
  <c r="AB156" i="2"/>
  <c r="AA156" i="2"/>
  <c r="Z156" i="2"/>
  <c r="Y156" i="2"/>
  <c r="X156" i="2"/>
  <c r="W156" i="2"/>
  <c r="V156" i="2"/>
  <c r="U156" i="2"/>
  <c r="T156" i="2"/>
  <c r="S156" i="2"/>
  <c r="R156" i="2"/>
  <c r="Q156" i="2"/>
  <c r="P156" i="2"/>
  <c r="O156" i="2"/>
  <c r="N156" i="2"/>
  <c r="M156" i="2"/>
  <c r="L156" i="2"/>
  <c r="K156" i="2"/>
  <c r="J156" i="2"/>
  <c r="I156" i="2"/>
  <c r="H156" i="2"/>
  <c r="AL155" i="2"/>
  <c r="AK155" i="2"/>
  <c r="AJ155" i="2"/>
  <c r="AI155" i="2"/>
  <c r="AH155" i="2"/>
  <c r="AG155" i="2"/>
  <c r="AB155" i="2"/>
  <c r="AA155" i="2"/>
  <c r="Z155" i="2"/>
  <c r="Y155" i="2"/>
  <c r="X155" i="2"/>
  <c r="W155" i="2"/>
  <c r="V155" i="2"/>
  <c r="U155" i="2"/>
  <c r="T155" i="2"/>
  <c r="S155" i="2"/>
  <c r="R155" i="2"/>
  <c r="Q155" i="2"/>
  <c r="P155" i="2"/>
  <c r="O155" i="2"/>
  <c r="N155" i="2"/>
  <c r="M155" i="2"/>
  <c r="L155" i="2"/>
  <c r="K155" i="2"/>
  <c r="J155" i="2"/>
  <c r="I155" i="2"/>
  <c r="H155" i="2"/>
  <c r="AJ154" i="2"/>
  <c r="AI154" i="2"/>
  <c r="AH154" i="2"/>
  <c r="AG154" i="2"/>
  <c r="AB154" i="2"/>
  <c r="AA154" i="2"/>
  <c r="Z154" i="2"/>
  <c r="Y154" i="2"/>
  <c r="X154" i="2"/>
  <c r="W154" i="2"/>
  <c r="V154" i="2"/>
  <c r="U154" i="2"/>
  <c r="T154" i="2"/>
  <c r="S154" i="2"/>
  <c r="R154" i="2"/>
  <c r="Q154" i="2"/>
  <c r="P154" i="2"/>
  <c r="O154" i="2"/>
  <c r="N154" i="2"/>
  <c r="M154" i="2"/>
  <c r="L154" i="2"/>
  <c r="K154" i="2"/>
  <c r="J154" i="2"/>
  <c r="I154" i="2"/>
  <c r="H154" i="2"/>
  <c r="AL153" i="2"/>
  <c r="AK153" i="2"/>
  <c r="AJ153" i="2"/>
  <c r="AI153" i="2"/>
  <c r="AH153" i="2"/>
  <c r="AG153" i="2"/>
  <c r="AB153" i="2"/>
  <c r="AA153" i="2"/>
  <c r="Z153" i="2"/>
  <c r="Y153" i="2"/>
  <c r="X153" i="2"/>
  <c r="W153" i="2"/>
  <c r="V153" i="2"/>
  <c r="U153" i="2"/>
  <c r="T153" i="2"/>
  <c r="S153" i="2"/>
  <c r="R153" i="2"/>
  <c r="Q153" i="2"/>
  <c r="P153" i="2"/>
  <c r="O153" i="2"/>
  <c r="N153" i="2"/>
  <c r="M153" i="2"/>
  <c r="L153" i="2"/>
  <c r="K153" i="2"/>
  <c r="J153" i="2"/>
  <c r="I153" i="2"/>
  <c r="H153" i="2"/>
  <c r="AL152" i="2"/>
  <c r="AK152" i="2"/>
  <c r="AJ152" i="2"/>
  <c r="AI152" i="2"/>
  <c r="AH152" i="2"/>
  <c r="AG152" i="2"/>
  <c r="AB152" i="2"/>
  <c r="AA152" i="2"/>
  <c r="Z152" i="2"/>
  <c r="Y152" i="2"/>
  <c r="X152" i="2"/>
  <c r="W152" i="2"/>
  <c r="V152" i="2"/>
  <c r="U152" i="2"/>
  <c r="T152" i="2"/>
  <c r="S152" i="2"/>
  <c r="R152" i="2"/>
  <c r="Q152" i="2"/>
  <c r="P152" i="2"/>
  <c r="O152" i="2"/>
  <c r="N152" i="2"/>
  <c r="M152" i="2"/>
  <c r="L152" i="2"/>
  <c r="K152" i="2"/>
  <c r="J152" i="2"/>
  <c r="I152" i="2"/>
  <c r="H152" i="2"/>
  <c r="AJ151" i="2"/>
  <c r="AI151" i="2"/>
  <c r="AH151" i="2"/>
  <c r="AG151" i="2"/>
  <c r="AB151" i="2"/>
  <c r="AA151" i="2"/>
  <c r="Z151" i="2"/>
  <c r="Y151" i="2"/>
  <c r="X151" i="2"/>
  <c r="W151" i="2"/>
  <c r="V151" i="2"/>
  <c r="U151" i="2"/>
  <c r="T151" i="2"/>
  <c r="S151" i="2"/>
  <c r="R151" i="2"/>
  <c r="Q151" i="2"/>
  <c r="P151" i="2"/>
  <c r="O151" i="2"/>
  <c r="N151" i="2"/>
  <c r="M151" i="2"/>
  <c r="L151" i="2"/>
  <c r="K151" i="2"/>
  <c r="J151" i="2"/>
  <c r="I151" i="2"/>
  <c r="H151" i="2"/>
  <c r="AL150" i="2"/>
  <c r="AK150" i="2"/>
  <c r="AJ150" i="2"/>
  <c r="AI150" i="2"/>
  <c r="AH150" i="2"/>
  <c r="AG150" i="2"/>
  <c r="AB150" i="2"/>
  <c r="AA150" i="2"/>
  <c r="Z150" i="2"/>
  <c r="Y150" i="2"/>
  <c r="X150" i="2"/>
  <c r="W150" i="2"/>
  <c r="V150" i="2"/>
  <c r="U150" i="2"/>
  <c r="T150" i="2"/>
  <c r="S150" i="2"/>
  <c r="R150" i="2"/>
  <c r="Q150" i="2"/>
  <c r="P150" i="2"/>
  <c r="O150" i="2"/>
  <c r="N150" i="2"/>
  <c r="M150" i="2"/>
  <c r="L150" i="2"/>
  <c r="K150" i="2"/>
  <c r="J150" i="2"/>
  <c r="I150" i="2"/>
  <c r="H150" i="2"/>
  <c r="AL149" i="2"/>
  <c r="AK149" i="2"/>
  <c r="AJ149" i="2"/>
  <c r="AI149" i="2"/>
  <c r="AH149" i="2"/>
  <c r="AG149" i="2"/>
  <c r="AB149" i="2"/>
  <c r="AA149" i="2"/>
  <c r="Z149" i="2"/>
  <c r="Y149" i="2"/>
  <c r="X149" i="2"/>
  <c r="W149" i="2"/>
  <c r="V149" i="2"/>
  <c r="U149" i="2"/>
  <c r="T149" i="2"/>
  <c r="S149" i="2"/>
  <c r="R149" i="2"/>
  <c r="Q149" i="2"/>
  <c r="P149" i="2"/>
  <c r="O149" i="2"/>
  <c r="N149" i="2"/>
  <c r="M149" i="2"/>
  <c r="L149" i="2"/>
  <c r="K149" i="2"/>
  <c r="J149" i="2"/>
  <c r="I149" i="2"/>
  <c r="H149" i="2"/>
  <c r="AJ148" i="2"/>
  <c r="AI148" i="2"/>
  <c r="AH148" i="2"/>
  <c r="AG148" i="2"/>
  <c r="AB148" i="2"/>
  <c r="AA148" i="2"/>
  <c r="Z148" i="2"/>
  <c r="Y148" i="2"/>
  <c r="X148" i="2"/>
  <c r="W148" i="2"/>
  <c r="V148" i="2"/>
  <c r="U148" i="2"/>
  <c r="T148" i="2"/>
  <c r="S148" i="2"/>
  <c r="R148" i="2"/>
  <c r="Q148" i="2"/>
  <c r="P148" i="2"/>
  <c r="O148" i="2"/>
  <c r="N148" i="2"/>
  <c r="M148" i="2"/>
  <c r="L148" i="2"/>
  <c r="K148" i="2"/>
  <c r="J148" i="2"/>
  <c r="I148" i="2"/>
  <c r="H148" i="2"/>
  <c r="AH147" i="2"/>
  <c r="AG147" i="2"/>
  <c r="AB147" i="2"/>
  <c r="AA147" i="2"/>
  <c r="Z147" i="2"/>
  <c r="Y147" i="2"/>
  <c r="X147" i="2"/>
  <c r="W147" i="2"/>
  <c r="V147" i="2"/>
  <c r="U147" i="2"/>
  <c r="T147" i="2"/>
  <c r="S147" i="2"/>
  <c r="R147" i="2"/>
  <c r="Q147" i="2"/>
  <c r="P147" i="2"/>
  <c r="O147" i="2"/>
  <c r="N147" i="2"/>
  <c r="M147" i="2"/>
  <c r="L147" i="2"/>
  <c r="K147" i="2"/>
  <c r="J147" i="2"/>
  <c r="I147" i="2"/>
  <c r="H147" i="2"/>
  <c r="AG146" i="2"/>
  <c r="AB146" i="2"/>
  <c r="AA146" i="2"/>
  <c r="Z146" i="2"/>
  <c r="Y146" i="2"/>
  <c r="X146" i="2"/>
  <c r="W146" i="2"/>
  <c r="V146" i="2"/>
  <c r="U146" i="2"/>
  <c r="T146" i="2"/>
  <c r="S146" i="2"/>
  <c r="R146" i="2"/>
  <c r="Q146" i="2"/>
  <c r="P146" i="2"/>
  <c r="O146" i="2"/>
  <c r="N146" i="2"/>
  <c r="M146" i="2"/>
  <c r="L146" i="2"/>
  <c r="K146" i="2"/>
  <c r="J146" i="2"/>
  <c r="I146" i="2"/>
  <c r="H146" i="2"/>
  <c r="AL145" i="2"/>
  <c r="AK145" i="2"/>
  <c r="AJ145" i="2"/>
  <c r="AI145" i="2"/>
  <c r="AH145" i="2"/>
  <c r="AG145" i="2"/>
  <c r="AB145" i="2"/>
  <c r="AA145" i="2"/>
  <c r="Z145" i="2"/>
  <c r="Y145" i="2"/>
  <c r="X145" i="2"/>
  <c r="W145" i="2"/>
  <c r="V145" i="2"/>
  <c r="U145" i="2"/>
  <c r="T145" i="2"/>
  <c r="S145" i="2"/>
  <c r="R145" i="2"/>
  <c r="Q145" i="2"/>
  <c r="P145" i="2"/>
  <c r="O145" i="2"/>
  <c r="N145" i="2"/>
  <c r="M145" i="2"/>
  <c r="L145" i="2"/>
  <c r="K145" i="2"/>
  <c r="J145" i="2"/>
  <c r="I145" i="2"/>
  <c r="H145" i="2"/>
  <c r="AJ144" i="2"/>
  <c r="AI144" i="2"/>
  <c r="AH144" i="2"/>
  <c r="AG144" i="2"/>
  <c r="AB144" i="2"/>
  <c r="AA144" i="2"/>
  <c r="Z144" i="2"/>
  <c r="Y144" i="2"/>
  <c r="X144" i="2"/>
  <c r="W144" i="2"/>
  <c r="V144" i="2"/>
  <c r="U144" i="2"/>
  <c r="T144" i="2"/>
  <c r="S144" i="2"/>
  <c r="R144" i="2"/>
  <c r="Q144" i="2"/>
  <c r="P144" i="2"/>
  <c r="O144" i="2"/>
  <c r="N144" i="2"/>
  <c r="M144" i="2"/>
  <c r="L144" i="2"/>
  <c r="K144" i="2"/>
  <c r="J144" i="2"/>
  <c r="I144" i="2"/>
  <c r="H144" i="2"/>
  <c r="AJ143" i="2"/>
  <c r="AI143" i="2"/>
  <c r="AH143" i="2"/>
  <c r="AG143" i="2"/>
  <c r="AB143" i="2"/>
  <c r="AA143" i="2"/>
  <c r="Z143" i="2"/>
  <c r="Y143" i="2"/>
  <c r="X143" i="2"/>
  <c r="W143" i="2"/>
  <c r="V143" i="2"/>
  <c r="U143" i="2"/>
  <c r="T143" i="2"/>
  <c r="S143" i="2"/>
  <c r="R143" i="2"/>
  <c r="Q143" i="2"/>
  <c r="P143" i="2"/>
  <c r="O143" i="2"/>
  <c r="N143" i="2"/>
  <c r="M143" i="2"/>
  <c r="L143" i="2"/>
  <c r="K143" i="2"/>
  <c r="J143" i="2"/>
  <c r="I143" i="2"/>
  <c r="H143" i="2"/>
  <c r="AJ142" i="2"/>
  <c r="AI142" i="2"/>
  <c r="AH142" i="2"/>
  <c r="AG142" i="2"/>
  <c r="AB142" i="2"/>
  <c r="AA142" i="2"/>
  <c r="Z142" i="2"/>
  <c r="Y142" i="2"/>
  <c r="X142" i="2"/>
  <c r="W142" i="2"/>
  <c r="V142" i="2"/>
  <c r="U142" i="2"/>
  <c r="T142" i="2"/>
  <c r="S142" i="2"/>
  <c r="R142" i="2"/>
  <c r="Q142" i="2"/>
  <c r="P142" i="2"/>
  <c r="O142" i="2"/>
  <c r="N142" i="2"/>
  <c r="M142" i="2"/>
  <c r="L142" i="2"/>
  <c r="K142" i="2"/>
  <c r="J142" i="2"/>
  <c r="I142" i="2"/>
  <c r="H142" i="2"/>
  <c r="AL141" i="2"/>
  <c r="AK141" i="2"/>
  <c r="AJ141" i="2"/>
  <c r="AI141" i="2"/>
  <c r="AH141" i="2"/>
  <c r="AG141" i="2"/>
  <c r="AB141" i="2"/>
  <c r="AA141" i="2"/>
  <c r="Z141" i="2"/>
  <c r="Y141" i="2"/>
  <c r="X141" i="2"/>
  <c r="W141" i="2"/>
  <c r="V141" i="2"/>
  <c r="U141" i="2"/>
  <c r="T141" i="2"/>
  <c r="S141" i="2"/>
  <c r="R141" i="2"/>
  <c r="Q141" i="2"/>
  <c r="P141" i="2"/>
  <c r="O141" i="2"/>
  <c r="N141" i="2"/>
  <c r="M141" i="2"/>
  <c r="L141" i="2"/>
  <c r="K141" i="2"/>
  <c r="J141" i="2"/>
  <c r="I141" i="2"/>
  <c r="H141" i="2"/>
  <c r="AL140" i="2"/>
  <c r="AK140" i="2"/>
  <c r="AJ140" i="2"/>
  <c r="AI140" i="2"/>
  <c r="AH140" i="2"/>
  <c r="AG140" i="2"/>
  <c r="AB140" i="2"/>
  <c r="AA140" i="2"/>
  <c r="Z140" i="2"/>
  <c r="Y140" i="2"/>
  <c r="X140" i="2"/>
  <c r="W140" i="2"/>
  <c r="V140" i="2"/>
  <c r="U140" i="2"/>
  <c r="T140" i="2"/>
  <c r="S140" i="2"/>
  <c r="R140" i="2"/>
  <c r="Q140" i="2"/>
  <c r="P140" i="2"/>
  <c r="O140" i="2"/>
  <c r="N140" i="2"/>
  <c r="M140" i="2"/>
  <c r="L140" i="2"/>
  <c r="K140" i="2"/>
  <c r="J140" i="2"/>
  <c r="I140" i="2"/>
  <c r="H140" i="2"/>
  <c r="AL139" i="2"/>
  <c r="AK139" i="2"/>
  <c r="AJ139" i="2"/>
  <c r="AI139" i="2"/>
  <c r="AH139" i="2"/>
  <c r="AG139" i="2"/>
  <c r="AB139" i="2"/>
  <c r="AA139" i="2"/>
  <c r="Z139" i="2"/>
  <c r="Y139" i="2"/>
  <c r="X139" i="2"/>
  <c r="W139" i="2"/>
  <c r="V139" i="2"/>
  <c r="U139" i="2"/>
  <c r="T139" i="2"/>
  <c r="S139" i="2"/>
  <c r="R139" i="2"/>
  <c r="Q139" i="2"/>
  <c r="P139" i="2"/>
  <c r="O139" i="2"/>
  <c r="N139" i="2"/>
  <c r="M139" i="2"/>
  <c r="L139" i="2"/>
  <c r="K139" i="2"/>
  <c r="J139" i="2"/>
  <c r="I139" i="2"/>
  <c r="H139" i="2"/>
  <c r="AL138" i="2"/>
  <c r="AK138" i="2"/>
  <c r="AJ138" i="2"/>
  <c r="AI138" i="2"/>
  <c r="AH138" i="2"/>
  <c r="AG138" i="2"/>
  <c r="AB138" i="2"/>
  <c r="AA138" i="2"/>
  <c r="Z138" i="2"/>
  <c r="Y138" i="2"/>
  <c r="X138" i="2"/>
  <c r="W138" i="2"/>
  <c r="V138" i="2"/>
  <c r="U138" i="2"/>
  <c r="T138" i="2"/>
  <c r="S138" i="2"/>
  <c r="R138" i="2"/>
  <c r="Q138" i="2"/>
  <c r="P138" i="2"/>
  <c r="O138" i="2"/>
  <c r="N138" i="2"/>
  <c r="M138" i="2"/>
  <c r="L138" i="2"/>
  <c r="K138" i="2"/>
  <c r="J138" i="2"/>
  <c r="I138" i="2"/>
  <c r="H138" i="2"/>
  <c r="AJ137" i="2"/>
  <c r="AI137" i="2"/>
  <c r="AH137" i="2"/>
  <c r="AG137" i="2"/>
  <c r="AB137" i="2"/>
  <c r="AA137" i="2"/>
  <c r="Z137" i="2"/>
  <c r="Y137" i="2"/>
  <c r="X137" i="2"/>
  <c r="W137" i="2"/>
  <c r="V137" i="2"/>
  <c r="U137" i="2"/>
  <c r="T137" i="2"/>
  <c r="S137" i="2"/>
  <c r="R137" i="2"/>
  <c r="Q137" i="2"/>
  <c r="P137" i="2"/>
  <c r="O137" i="2"/>
  <c r="N137" i="2"/>
  <c r="M137" i="2"/>
  <c r="L137" i="2"/>
  <c r="K137" i="2"/>
  <c r="J137" i="2"/>
  <c r="I137" i="2"/>
  <c r="H137" i="2"/>
  <c r="AJ136" i="2"/>
  <c r="AI136" i="2"/>
  <c r="AH136" i="2"/>
  <c r="AG136" i="2"/>
  <c r="AB136" i="2"/>
  <c r="AA136" i="2"/>
  <c r="Z136" i="2"/>
  <c r="Y136" i="2"/>
  <c r="X136" i="2"/>
  <c r="W136" i="2"/>
  <c r="V136" i="2"/>
  <c r="U136" i="2"/>
  <c r="T136" i="2"/>
  <c r="S136" i="2"/>
  <c r="R136" i="2"/>
  <c r="Q136" i="2"/>
  <c r="P136" i="2"/>
  <c r="O136" i="2"/>
  <c r="N136" i="2"/>
  <c r="M136" i="2"/>
  <c r="L136" i="2"/>
  <c r="K136" i="2"/>
  <c r="J136" i="2"/>
  <c r="I136" i="2"/>
  <c r="H136" i="2"/>
  <c r="AJ135" i="2"/>
  <c r="AI135" i="2"/>
  <c r="AH135" i="2"/>
  <c r="AG135" i="2"/>
  <c r="AB135" i="2"/>
  <c r="AA135" i="2"/>
  <c r="Z135" i="2"/>
  <c r="Y135" i="2"/>
  <c r="X135" i="2"/>
  <c r="W135" i="2"/>
  <c r="V135" i="2"/>
  <c r="U135" i="2"/>
  <c r="T135" i="2"/>
  <c r="S135" i="2"/>
  <c r="R135" i="2"/>
  <c r="Q135" i="2"/>
  <c r="P135" i="2"/>
  <c r="O135" i="2"/>
  <c r="N135" i="2"/>
  <c r="M135" i="2"/>
  <c r="L135" i="2"/>
  <c r="K135" i="2"/>
  <c r="J135" i="2"/>
  <c r="I135" i="2"/>
  <c r="H135" i="2"/>
  <c r="AN134" i="2"/>
  <c r="AM134" i="2"/>
  <c r="AL134" i="2"/>
  <c r="AK134" i="2"/>
  <c r="AJ134" i="2"/>
  <c r="AI134" i="2"/>
  <c r="AH134" i="2"/>
  <c r="AG134" i="2"/>
  <c r="AF134" i="2"/>
  <c r="AD134" i="2"/>
  <c r="AB134" i="2"/>
  <c r="AA134" i="2"/>
  <c r="Z134" i="2"/>
  <c r="Y134" i="2"/>
  <c r="X134" i="2"/>
  <c r="W134" i="2"/>
  <c r="V134" i="2"/>
  <c r="U134" i="2"/>
  <c r="T134" i="2"/>
  <c r="S134" i="2"/>
  <c r="R134" i="2"/>
  <c r="Q134" i="2"/>
  <c r="P134" i="2"/>
  <c r="O134" i="2"/>
  <c r="N134" i="2"/>
  <c r="M134" i="2"/>
  <c r="L134" i="2"/>
  <c r="K134" i="2"/>
  <c r="J134" i="2"/>
  <c r="I134" i="2"/>
  <c r="H134" i="2"/>
  <c r="AN133" i="2"/>
  <c r="AM133" i="2"/>
  <c r="AL133" i="2"/>
  <c r="AK133" i="2"/>
  <c r="AJ133" i="2"/>
  <c r="AI133" i="2"/>
  <c r="AH133" i="2"/>
  <c r="AG133" i="2"/>
  <c r="AB133" i="2"/>
  <c r="AA133" i="2"/>
  <c r="Z133" i="2"/>
  <c r="Y133" i="2"/>
  <c r="X133" i="2"/>
  <c r="W133" i="2"/>
  <c r="V133" i="2"/>
  <c r="U133" i="2"/>
  <c r="T133" i="2"/>
  <c r="S133" i="2"/>
  <c r="R133" i="2"/>
  <c r="Q133" i="2"/>
  <c r="P133" i="2"/>
  <c r="O133" i="2"/>
  <c r="N133" i="2"/>
  <c r="M133" i="2"/>
  <c r="L133" i="2"/>
  <c r="K133" i="2"/>
  <c r="J133" i="2"/>
  <c r="I133" i="2"/>
  <c r="H133" i="2"/>
  <c r="AN132" i="2"/>
  <c r="AM132" i="2"/>
  <c r="AL132" i="2"/>
  <c r="AK132" i="2"/>
  <c r="AJ132" i="2"/>
  <c r="AI132" i="2"/>
  <c r="AH132" i="2"/>
  <c r="AG132" i="2"/>
  <c r="AB132" i="2"/>
  <c r="AA132" i="2"/>
  <c r="Z132" i="2"/>
  <c r="Y132" i="2"/>
  <c r="X132" i="2"/>
  <c r="W132" i="2"/>
  <c r="V132" i="2"/>
  <c r="U132" i="2"/>
  <c r="T132" i="2"/>
  <c r="S132" i="2"/>
  <c r="R132" i="2"/>
  <c r="Q132" i="2"/>
  <c r="P132" i="2"/>
  <c r="O132" i="2"/>
  <c r="N132" i="2"/>
  <c r="M132" i="2"/>
  <c r="L132" i="2"/>
  <c r="K132" i="2"/>
  <c r="J132" i="2"/>
  <c r="I132" i="2"/>
  <c r="H132" i="2"/>
  <c r="AN131" i="2"/>
  <c r="AM131" i="2"/>
  <c r="AL131" i="2"/>
  <c r="AK131" i="2"/>
  <c r="AJ131" i="2"/>
  <c r="AI131" i="2"/>
  <c r="AH131" i="2"/>
  <c r="AG131" i="2"/>
  <c r="AB131" i="2"/>
  <c r="AA131" i="2"/>
  <c r="Z131" i="2"/>
  <c r="Y131" i="2"/>
  <c r="X131" i="2"/>
  <c r="W131" i="2"/>
  <c r="V131" i="2"/>
  <c r="U131" i="2"/>
  <c r="T131" i="2"/>
  <c r="S131" i="2"/>
  <c r="R131" i="2"/>
  <c r="Q131" i="2"/>
  <c r="P131" i="2"/>
  <c r="O131" i="2"/>
  <c r="N131" i="2"/>
  <c r="M131" i="2"/>
  <c r="L131" i="2"/>
  <c r="K131" i="2"/>
  <c r="J131" i="2"/>
  <c r="I131" i="2"/>
  <c r="H131" i="2"/>
  <c r="AJ130" i="2"/>
  <c r="AI130" i="2"/>
  <c r="AH130" i="2"/>
  <c r="AG130" i="2"/>
  <c r="AB130" i="2"/>
  <c r="AA130" i="2"/>
  <c r="Z130" i="2"/>
  <c r="Y130" i="2"/>
  <c r="X130" i="2"/>
  <c r="W130" i="2"/>
  <c r="V130" i="2"/>
  <c r="U130" i="2"/>
  <c r="T130" i="2"/>
  <c r="S130" i="2"/>
  <c r="R130" i="2"/>
  <c r="Q130" i="2"/>
  <c r="P130" i="2"/>
  <c r="O130" i="2"/>
  <c r="N130" i="2"/>
  <c r="M130" i="2"/>
  <c r="L130" i="2"/>
  <c r="K130" i="2"/>
  <c r="J130" i="2"/>
  <c r="I130" i="2"/>
  <c r="H130" i="2"/>
  <c r="AJ129" i="2"/>
  <c r="AI129" i="2"/>
  <c r="AH129" i="2"/>
  <c r="AG129" i="2"/>
  <c r="AB129" i="2"/>
  <c r="AA129" i="2"/>
  <c r="Z129" i="2"/>
  <c r="Y129" i="2"/>
  <c r="X129" i="2"/>
  <c r="W129" i="2"/>
  <c r="V129" i="2"/>
  <c r="U129" i="2"/>
  <c r="T129" i="2"/>
  <c r="S129" i="2"/>
  <c r="R129" i="2"/>
  <c r="Q129" i="2"/>
  <c r="P129" i="2"/>
  <c r="O129" i="2"/>
  <c r="N129" i="2"/>
  <c r="M129" i="2"/>
  <c r="L129" i="2"/>
  <c r="K129" i="2"/>
  <c r="J129" i="2"/>
  <c r="I129" i="2"/>
  <c r="H129" i="2"/>
  <c r="AL128" i="2"/>
  <c r="AK128" i="2"/>
  <c r="AJ128" i="2"/>
  <c r="AI128" i="2"/>
  <c r="AH128" i="2"/>
  <c r="AG128" i="2"/>
  <c r="AB128" i="2"/>
  <c r="AA128" i="2"/>
  <c r="Z128" i="2"/>
  <c r="Y128" i="2"/>
  <c r="X128" i="2"/>
  <c r="W128" i="2"/>
  <c r="V128" i="2"/>
  <c r="U128" i="2"/>
  <c r="T128" i="2"/>
  <c r="S128" i="2"/>
  <c r="R128" i="2"/>
  <c r="Q128" i="2"/>
  <c r="P128" i="2"/>
  <c r="O128" i="2"/>
  <c r="N128" i="2"/>
  <c r="M128" i="2"/>
  <c r="L128" i="2"/>
  <c r="K128" i="2"/>
  <c r="J128" i="2"/>
  <c r="I128" i="2"/>
  <c r="H128" i="2"/>
  <c r="AJ127" i="2"/>
  <c r="AI127" i="2"/>
  <c r="AH127" i="2"/>
  <c r="AG127" i="2"/>
  <c r="AB127" i="2"/>
  <c r="AA127" i="2"/>
  <c r="Z127" i="2"/>
  <c r="Y127" i="2"/>
  <c r="X127" i="2"/>
  <c r="W127" i="2"/>
  <c r="V127" i="2"/>
  <c r="U127" i="2"/>
  <c r="T127" i="2"/>
  <c r="S127" i="2"/>
  <c r="R127" i="2"/>
  <c r="Q127" i="2"/>
  <c r="P127" i="2"/>
  <c r="O127" i="2"/>
  <c r="N127" i="2"/>
  <c r="M127" i="2"/>
  <c r="L127" i="2"/>
  <c r="K127" i="2"/>
  <c r="J127" i="2"/>
  <c r="I127" i="2"/>
  <c r="H127" i="2"/>
  <c r="AN126" i="2"/>
  <c r="AM126" i="2"/>
  <c r="AL126" i="2"/>
  <c r="AK126" i="2"/>
  <c r="AJ126" i="2"/>
  <c r="AI126" i="2"/>
  <c r="AH126" i="2"/>
  <c r="AG126" i="2"/>
  <c r="AB126" i="2"/>
  <c r="AA126" i="2"/>
  <c r="Z126" i="2"/>
  <c r="Y126" i="2"/>
  <c r="X126" i="2"/>
  <c r="W126" i="2"/>
  <c r="V126" i="2"/>
  <c r="U126" i="2"/>
  <c r="T126" i="2"/>
  <c r="S126" i="2"/>
  <c r="R126" i="2"/>
  <c r="Q126" i="2"/>
  <c r="P126" i="2"/>
  <c r="O126" i="2"/>
  <c r="N126" i="2"/>
  <c r="M126" i="2"/>
  <c r="L126" i="2"/>
  <c r="K126" i="2"/>
  <c r="J126" i="2"/>
  <c r="I126" i="2"/>
  <c r="H126" i="2"/>
  <c r="AN125" i="2"/>
  <c r="AM125" i="2"/>
  <c r="AL125" i="2"/>
  <c r="AK125" i="2"/>
  <c r="AJ125" i="2"/>
  <c r="AI125" i="2"/>
  <c r="AH125" i="2"/>
  <c r="AG125" i="2"/>
  <c r="AB125" i="2"/>
  <c r="AA125" i="2"/>
  <c r="Z125" i="2"/>
  <c r="Y125" i="2"/>
  <c r="X125" i="2"/>
  <c r="W125" i="2"/>
  <c r="V125" i="2"/>
  <c r="U125" i="2"/>
  <c r="T125" i="2"/>
  <c r="S125" i="2"/>
  <c r="R125" i="2"/>
  <c r="Q125" i="2"/>
  <c r="P125" i="2"/>
  <c r="O125" i="2"/>
  <c r="N125" i="2"/>
  <c r="M125" i="2"/>
  <c r="L125" i="2"/>
  <c r="K125" i="2"/>
  <c r="J125" i="2"/>
  <c r="I125" i="2"/>
  <c r="H125" i="2"/>
  <c r="AL124" i="2"/>
  <c r="AK124" i="2"/>
  <c r="AJ124" i="2"/>
  <c r="AI124" i="2"/>
  <c r="AH124" i="2"/>
  <c r="AG124" i="2"/>
  <c r="AB124" i="2"/>
  <c r="AA124" i="2"/>
  <c r="Z124" i="2"/>
  <c r="Y124" i="2"/>
  <c r="X124" i="2"/>
  <c r="W124" i="2"/>
  <c r="V124" i="2"/>
  <c r="U124" i="2"/>
  <c r="T124" i="2"/>
  <c r="S124" i="2"/>
  <c r="R124" i="2"/>
  <c r="Q124" i="2"/>
  <c r="P124" i="2"/>
  <c r="O124" i="2"/>
  <c r="N124" i="2"/>
  <c r="M124" i="2"/>
  <c r="L124" i="2"/>
  <c r="K124" i="2"/>
  <c r="J124" i="2"/>
  <c r="I124" i="2"/>
  <c r="H124" i="2"/>
  <c r="AL123" i="2"/>
  <c r="AK123" i="2"/>
  <c r="AJ123" i="2"/>
  <c r="AI123" i="2"/>
  <c r="AH123" i="2"/>
  <c r="AG123" i="2"/>
  <c r="AB123" i="2"/>
  <c r="AA123" i="2"/>
  <c r="Z123" i="2"/>
  <c r="Y123" i="2"/>
  <c r="X123" i="2"/>
  <c r="W123" i="2"/>
  <c r="V123" i="2"/>
  <c r="U123" i="2"/>
  <c r="T123" i="2"/>
  <c r="S123" i="2"/>
  <c r="R123" i="2"/>
  <c r="Q123" i="2"/>
  <c r="P123" i="2"/>
  <c r="O123" i="2"/>
  <c r="N123" i="2"/>
  <c r="M123" i="2"/>
  <c r="L123" i="2"/>
  <c r="K123" i="2"/>
  <c r="J123" i="2"/>
  <c r="I123" i="2"/>
  <c r="H123" i="2"/>
  <c r="AL122" i="2"/>
  <c r="AK122" i="2"/>
  <c r="AJ122" i="2"/>
  <c r="AI122" i="2"/>
  <c r="AH122" i="2"/>
  <c r="AG122" i="2"/>
  <c r="AB122" i="2"/>
  <c r="AA122" i="2"/>
  <c r="Z122" i="2"/>
  <c r="Y122" i="2"/>
  <c r="X122" i="2"/>
  <c r="W122" i="2"/>
  <c r="V122" i="2"/>
  <c r="U122" i="2"/>
  <c r="T122" i="2"/>
  <c r="S122" i="2"/>
  <c r="R122" i="2"/>
  <c r="Q122" i="2"/>
  <c r="P122" i="2"/>
  <c r="O122" i="2"/>
  <c r="N122" i="2"/>
  <c r="M122" i="2"/>
  <c r="L122" i="2"/>
  <c r="K122" i="2"/>
  <c r="J122" i="2"/>
  <c r="I122" i="2"/>
  <c r="H122" i="2"/>
  <c r="AJ121" i="2"/>
  <c r="AI121" i="2"/>
  <c r="AH121" i="2"/>
  <c r="AG121" i="2"/>
  <c r="AB121" i="2"/>
  <c r="Z121" i="2"/>
  <c r="Y121" i="2"/>
  <c r="X121" i="2"/>
  <c r="W121" i="2"/>
  <c r="V121" i="2"/>
  <c r="U121" i="2"/>
  <c r="T121" i="2"/>
  <c r="S121" i="2"/>
  <c r="R121" i="2"/>
  <c r="Q121" i="2"/>
  <c r="P121" i="2"/>
  <c r="O121" i="2"/>
  <c r="N121" i="2"/>
  <c r="M121" i="2"/>
  <c r="L121" i="2"/>
  <c r="K121" i="2"/>
  <c r="J121" i="2"/>
  <c r="I121" i="2"/>
  <c r="H121" i="2"/>
  <c r="AJ120" i="2"/>
  <c r="AI120" i="2"/>
  <c r="AH120" i="2"/>
  <c r="AG120" i="2"/>
  <c r="AB120" i="2"/>
  <c r="AA120" i="2"/>
  <c r="Z120" i="2"/>
  <c r="Y120" i="2"/>
  <c r="X120" i="2"/>
  <c r="W120" i="2"/>
  <c r="V120" i="2"/>
  <c r="U120" i="2"/>
  <c r="T120" i="2"/>
  <c r="S120" i="2"/>
  <c r="R120" i="2"/>
  <c r="Q120" i="2"/>
  <c r="P120" i="2"/>
  <c r="O120" i="2"/>
  <c r="N120" i="2"/>
  <c r="M120" i="2"/>
  <c r="L120" i="2"/>
  <c r="K120" i="2"/>
  <c r="J120" i="2"/>
  <c r="I120" i="2"/>
  <c r="H120" i="2"/>
  <c r="AL119" i="2"/>
  <c r="AK119" i="2"/>
  <c r="AJ119" i="2"/>
  <c r="AI119" i="2"/>
  <c r="AH119" i="2"/>
  <c r="AG119" i="2"/>
  <c r="AB119" i="2"/>
  <c r="AA119" i="2"/>
  <c r="Z119" i="2"/>
  <c r="Y119" i="2"/>
  <c r="X119" i="2"/>
  <c r="W119" i="2"/>
  <c r="V119" i="2"/>
  <c r="U119" i="2"/>
  <c r="T119" i="2"/>
  <c r="S119" i="2"/>
  <c r="R119" i="2"/>
  <c r="Q119" i="2"/>
  <c r="P119" i="2"/>
  <c r="O119" i="2"/>
  <c r="N119" i="2"/>
  <c r="M119" i="2"/>
  <c r="L119" i="2"/>
  <c r="K119" i="2"/>
  <c r="J119" i="2"/>
  <c r="I119" i="2"/>
  <c r="H119" i="2"/>
  <c r="AL118" i="2"/>
  <c r="AK118" i="2"/>
  <c r="AJ118" i="2"/>
  <c r="AI118" i="2"/>
  <c r="AH118" i="2"/>
  <c r="AG118" i="2"/>
  <c r="AB118" i="2"/>
  <c r="AA118" i="2"/>
  <c r="Z118" i="2"/>
  <c r="Y118" i="2"/>
  <c r="X118" i="2"/>
  <c r="W118" i="2"/>
  <c r="V118" i="2"/>
  <c r="U118" i="2"/>
  <c r="T118" i="2"/>
  <c r="S118" i="2"/>
  <c r="R118" i="2"/>
  <c r="Q118" i="2"/>
  <c r="P118" i="2"/>
  <c r="O118" i="2"/>
  <c r="N118" i="2"/>
  <c r="M118" i="2"/>
  <c r="L118" i="2"/>
  <c r="K118" i="2"/>
  <c r="J118" i="2"/>
  <c r="I118" i="2"/>
  <c r="H118" i="2"/>
  <c r="AH117" i="2"/>
  <c r="AG117" i="2"/>
  <c r="AB117" i="2"/>
  <c r="AA117" i="2"/>
  <c r="Z117" i="2"/>
  <c r="Y117" i="2"/>
  <c r="X117" i="2"/>
  <c r="W117" i="2"/>
  <c r="V117" i="2"/>
  <c r="U117" i="2"/>
  <c r="T117" i="2"/>
  <c r="S117" i="2"/>
  <c r="R117" i="2"/>
  <c r="Q117" i="2"/>
  <c r="P117" i="2"/>
  <c r="O117" i="2"/>
  <c r="N117" i="2"/>
  <c r="M117" i="2"/>
  <c r="L117" i="2"/>
  <c r="K117" i="2"/>
  <c r="J117" i="2"/>
  <c r="I117" i="2"/>
  <c r="H117" i="2"/>
  <c r="AN116" i="2"/>
  <c r="AM116" i="2"/>
  <c r="AL116" i="2"/>
  <c r="AK116" i="2"/>
  <c r="AJ116" i="2"/>
  <c r="AI116" i="2"/>
  <c r="AH116" i="2"/>
  <c r="AG116" i="2"/>
  <c r="AB116" i="2"/>
  <c r="AA116" i="2"/>
  <c r="Z116" i="2"/>
  <c r="Y116" i="2"/>
  <c r="X116" i="2"/>
  <c r="W116" i="2"/>
  <c r="V116" i="2"/>
  <c r="U116" i="2"/>
  <c r="T116" i="2"/>
  <c r="S116" i="2"/>
  <c r="R116" i="2"/>
  <c r="Q116" i="2"/>
  <c r="P116" i="2"/>
  <c r="O116" i="2"/>
  <c r="N116" i="2"/>
  <c r="M116" i="2"/>
  <c r="L116" i="2"/>
  <c r="K116" i="2"/>
  <c r="J116" i="2"/>
  <c r="I116" i="2"/>
  <c r="H116" i="2"/>
  <c r="AP115" i="2"/>
  <c r="AO115" i="2"/>
  <c r="AN115" i="2"/>
  <c r="AM115" i="2"/>
  <c r="AL115" i="2"/>
  <c r="AK115" i="2"/>
  <c r="AJ115" i="2"/>
  <c r="AI115" i="2"/>
  <c r="AH115" i="2"/>
  <c r="AG115" i="2"/>
  <c r="AB115" i="2"/>
  <c r="AA115" i="2"/>
  <c r="Z115" i="2"/>
  <c r="Y115" i="2"/>
  <c r="X115" i="2"/>
  <c r="W115" i="2"/>
  <c r="V115" i="2"/>
  <c r="U115" i="2"/>
  <c r="T115" i="2"/>
  <c r="S115" i="2"/>
  <c r="R115" i="2"/>
  <c r="Q115" i="2"/>
  <c r="P115" i="2"/>
  <c r="O115" i="2"/>
  <c r="N115" i="2"/>
  <c r="M115" i="2"/>
  <c r="L115" i="2"/>
  <c r="K115" i="2"/>
  <c r="J115" i="2"/>
  <c r="I115" i="2"/>
  <c r="H115" i="2"/>
  <c r="AN114" i="2"/>
  <c r="AM114" i="2"/>
  <c r="AL114" i="2"/>
  <c r="AK114" i="2"/>
  <c r="AJ114" i="2"/>
  <c r="AI114" i="2"/>
  <c r="AH114" i="2"/>
  <c r="AG114" i="2"/>
  <c r="AB114" i="2"/>
  <c r="AA114" i="2"/>
  <c r="Z114" i="2"/>
  <c r="Y114" i="2"/>
  <c r="X114" i="2"/>
  <c r="W114" i="2"/>
  <c r="V114" i="2"/>
  <c r="U114" i="2"/>
  <c r="T114" i="2"/>
  <c r="S114" i="2"/>
  <c r="R114" i="2"/>
  <c r="Q114" i="2"/>
  <c r="P114" i="2"/>
  <c r="O114" i="2"/>
  <c r="N114" i="2"/>
  <c r="M114" i="2"/>
  <c r="L114" i="2"/>
  <c r="K114" i="2"/>
  <c r="J114" i="2"/>
  <c r="I114" i="2"/>
  <c r="H114" i="2"/>
  <c r="AL113" i="2"/>
  <c r="AK113" i="2"/>
  <c r="AJ113" i="2"/>
  <c r="AI113" i="2"/>
  <c r="AH113" i="2"/>
  <c r="AG113" i="2"/>
  <c r="AB113" i="2"/>
  <c r="AA113" i="2"/>
  <c r="Z113" i="2"/>
  <c r="Y113" i="2"/>
  <c r="X113" i="2"/>
  <c r="W113" i="2"/>
  <c r="V113" i="2"/>
  <c r="U113" i="2"/>
  <c r="T113" i="2"/>
  <c r="S113" i="2"/>
  <c r="R113" i="2"/>
  <c r="Q113" i="2"/>
  <c r="P113" i="2"/>
  <c r="O113" i="2"/>
  <c r="N113" i="2"/>
  <c r="M113" i="2"/>
  <c r="L113" i="2"/>
  <c r="K113" i="2"/>
  <c r="J113" i="2"/>
  <c r="I113" i="2"/>
  <c r="H113" i="2"/>
  <c r="AN112" i="2"/>
  <c r="AM112" i="2"/>
  <c r="AL112" i="2"/>
  <c r="AK112" i="2"/>
  <c r="AJ112" i="2"/>
  <c r="AI112" i="2"/>
  <c r="AH112" i="2"/>
  <c r="AG112" i="2"/>
  <c r="AB112" i="2"/>
  <c r="AA112" i="2"/>
  <c r="Z112" i="2"/>
  <c r="Y112" i="2"/>
  <c r="X112" i="2"/>
  <c r="W112" i="2"/>
  <c r="V112" i="2"/>
  <c r="U112" i="2"/>
  <c r="T112" i="2"/>
  <c r="S112" i="2"/>
  <c r="R112" i="2"/>
  <c r="Q112" i="2"/>
  <c r="P112" i="2"/>
  <c r="O112" i="2"/>
  <c r="N112" i="2"/>
  <c r="M112" i="2"/>
  <c r="L112" i="2"/>
  <c r="K112" i="2"/>
  <c r="J112" i="2"/>
  <c r="I112" i="2"/>
  <c r="H112" i="2"/>
  <c r="AN111" i="2"/>
  <c r="AM111" i="2"/>
  <c r="AL111" i="2"/>
  <c r="AK111" i="2"/>
  <c r="AJ111" i="2"/>
  <c r="AI111" i="2"/>
  <c r="AH111" i="2"/>
  <c r="AG111" i="2"/>
  <c r="AB111" i="2"/>
  <c r="AA111" i="2"/>
  <c r="Z111" i="2"/>
  <c r="Y111" i="2"/>
  <c r="X111" i="2"/>
  <c r="W111" i="2"/>
  <c r="V111" i="2"/>
  <c r="U111" i="2"/>
  <c r="T111" i="2"/>
  <c r="S111" i="2"/>
  <c r="R111" i="2"/>
  <c r="Q111" i="2"/>
  <c r="P111" i="2"/>
  <c r="O111" i="2"/>
  <c r="N111" i="2"/>
  <c r="M111" i="2"/>
  <c r="L111" i="2"/>
  <c r="K111" i="2"/>
  <c r="J111" i="2"/>
  <c r="I111" i="2"/>
  <c r="H111" i="2"/>
  <c r="AP110" i="2"/>
  <c r="AO110" i="2"/>
  <c r="AN110" i="2"/>
  <c r="AM110" i="2"/>
  <c r="AL110" i="2"/>
  <c r="AK110" i="2"/>
  <c r="AJ110" i="2"/>
  <c r="AI110" i="2"/>
  <c r="AH110" i="2"/>
  <c r="AG110" i="2"/>
  <c r="AB110" i="2"/>
  <c r="AA110" i="2"/>
  <c r="Z110" i="2"/>
  <c r="Y110" i="2"/>
  <c r="X110" i="2"/>
  <c r="W110" i="2"/>
  <c r="V110" i="2"/>
  <c r="U110" i="2"/>
  <c r="T110" i="2"/>
  <c r="S110" i="2"/>
  <c r="R110" i="2"/>
  <c r="Q110" i="2"/>
  <c r="P110" i="2"/>
  <c r="O110" i="2"/>
  <c r="N110" i="2"/>
  <c r="M110" i="2"/>
  <c r="L110" i="2"/>
  <c r="K110" i="2"/>
  <c r="J110" i="2"/>
  <c r="I110" i="2"/>
  <c r="H110" i="2"/>
  <c r="AP109" i="2"/>
  <c r="AO109" i="2"/>
  <c r="AN109" i="2"/>
  <c r="AM109" i="2"/>
  <c r="AL109" i="2"/>
  <c r="AK109" i="2"/>
  <c r="AJ109" i="2"/>
  <c r="AI109" i="2"/>
  <c r="AH109" i="2"/>
  <c r="AG109" i="2"/>
  <c r="AB109" i="2"/>
  <c r="AA109" i="2"/>
  <c r="Z109" i="2"/>
  <c r="Y109" i="2"/>
  <c r="X109" i="2"/>
  <c r="W109" i="2"/>
  <c r="V109" i="2"/>
  <c r="U109" i="2"/>
  <c r="T109" i="2"/>
  <c r="S109" i="2"/>
  <c r="R109" i="2"/>
  <c r="Q109" i="2"/>
  <c r="P109" i="2"/>
  <c r="O109" i="2"/>
  <c r="N109" i="2"/>
  <c r="M109" i="2"/>
  <c r="L109" i="2"/>
  <c r="K109" i="2"/>
  <c r="J109" i="2"/>
  <c r="I109" i="2"/>
  <c r="H109" i="2"/>
  <c r="AP108" i="2"/>
  <c r="AO108" i="2"/>
  <c r="AN108" i="2"/>
  <c r="AM108" i="2"/>
  <c r="AL108" i="2"/>
  <c r="AK108" i="2"/>
  <c r="AJ108" i="2"/>
  <c r="AI108" i="2"/>
  <c r="AH108" i="2"/>
  <c r="AG108" i="2"/>
  <c r="AB108" i="2"/>
  <c r="AA108" i="2"/>
  <c r="Z108" i="2"/>
  <c r="Y108" i="2"/>
  <c r="X108" i="2"/>
  <c r="W108" i="2"/>
  <c r="V108" i="2"/>
  <c r="U108" i="2"/>
  <c r="T108" i="2"/>
  <c r="S108" i="2"/>
  <c r="R108" i="2"/>
  <c r="Q108" i="2"/>
  <c r="P108" i="2"/>
  <c r="O108" i="2"/>
  <c r="N108" i="2"/>
  <c r="M108" i="2"/>
  <c r="L108" i="2"/>
  <c r="K108" i="2"/>
  <c r="J108" i="2"/>
  <c r="I108" i="2"/>
  <c r="H108" i="2"/>
  <c r="AJ107" i="2"/>
  <c r="AI107" i="2"/>
  <c r="AH107" i="2"/>
  <c r="AG107" i="2"/>
  <c r="AB107" i="2"/>
  <c r="AA107" i="2"/>
  <c r="Z107" i="2"/>
  <c r="Y107" i="2"/>
  <c r="X107" i="2"/>
  <c r="W107" i="2"/>
  <c r="V107" i="2"/>
  <c r="U107" i="2"/>
  <c r="T107" i="2"/>
  <c r="S107" i="2"/>
  <c r="R107" i="2"/>
  <c r="Q107" i="2"/>
  <c r="P107" i="2"/>
  <c r="O107" i="2"/>
  <c r="N107" i="2"/>
  <c r="M107" i="2"/>
  <c r="L107" i="2"/>
  <c r="K107" i="2"/>
  <c r="J107" i="2"/>
  <c r="I107" i="2"/>
  <c r="H107" i="2"/>
  <c r="AJ106" i="2"/>
  <c r="AI106" i="2"/>
  <c r="AH106" i="2"/>
  <c r="AG106" i="2"/>
  <c r="AB106" i="2"/>
  <c r="AA106" i="2"/>
  <c r="Z106" i="2"/>
  <c r="Y106" i="2"/>
  <c r="X106" i="2"/>
  <c r="W106" i="2"/>
  <c r="V106" i="2"/>
  <c r="U106" i="2"/>
  <c r="T106" i="2"/>
  <c r="S106" i="2"/>
  <c r="R106" i="2"/>
  <c r="Q106" i="2"/>
  <c r="P106" i="2"/>
  <c r="O106" i="2"/>
  <c r="N106" i="2"/>
  <c r="M106" i="2"/>
  <c r="L106" i="2"/>
  <c r="K106" i="2"/>
  <c r="J106" i="2"/>
  <c r="I106" i="2"/>
  <c r="H106" i="2"/>
  <c r="AL105" i="2"/>
  <c r="AK105" i="2"/>
  <c r="AJ105" i="2"/>
  <c r="AI105" i="2"/>
  <c r="AH105" i="2"/>
  <c r="AG105" i="2"/>
  <c r="AB105" i="2"/>
  <c r="AA105" i="2"/>
  <c r="Z105" i="2"/>
  <c r="Y105" i="2"/>
  <c r="X105" i="2"/>
  <c r="W105" i="2"/>
  <c r="V105" i="2"/>
  <c r="U105" i="2"/>
  <c r="T105" i="2"/>
  <c r="S105" i="2"/>
  <c r="R105" i="2"/>
  <c r="Q105" i="2"/>
  <c r="P105" i="2"/>
  <c r="O105" i="2"/>
  <c r="N105" i="2"/>
  <c r="M105" i="2"/>
  <c r="L105" i="2"/>
  <c r="K105" i="2"/>
  <c r="J105" i="2"/>
  <c r="I105" i="2"/>
  <c r="H105" i="2"/>
  <c r="AJ104" i="2"/>
  <c r="AI104" i="2"/>
  <c r="AH104" i="2"/>
  <c r="AG104" i="2"/>
  <c r="AB104" i="2"/>
  <c r="AA104" i="2"/>
  <c r="Z104" i="2"/>
  <c r="Y104" i="2"/>
  <c r="X104" i="2"/>
  <c r="W104" i="2"/>
  <c r="V104" i="2"/>
  <c r="U104" i="2"/>
  <c r="T104" i="2"/>
  <c r="S104" i="2"/>
  <c r="R104" i="2"/>
  <c r="Q104" i="2"/>
  <c r="P104" i="2"/>
  <c r="O104" i="2"/>
  <c r="N104" i="2"/>
  <c r="M104" i="2"/>
  <c r="L104" i="2"/>
  <c r="K104" i="2"/>
  <c r="J104" i="2"/>
  <c r="I104" i="2"/>
  <c r="H104" i="2"/>
  <c r="AL103" i="2"/>
  <c r="AK103" i="2"/>
  <c r="AJ103" i="2"/>
  <c r="AI103" i="2"/>
  <c r="AH103" i="2"/>
  <c r="AG103" i="2"/>
  <c r="AB103" i="2"/>
  <c r="AA103" i="2"/>
  <c r="Z103" i="2"/>
  <c r="Y103" i="2"/>
  <c r="X103" i="2"/>
  <c r="W103" i="2"/>
  <c r="V103" i="2"/>
  <c r="U103" i="2"/>
  <c r="T103" i="2"/>
  <c r="S103" i="2"/>
  <c r="R103" i="2"/>
  <c r="Q103" i="2"/>
  <c r="P103" i="2"/>
  <c r="O103" i="2"/>
  <c r="N103" i="2"/>
  <c r="M103" i="2"/>
  <c r="L103" i="2"/>
  <c r="K103" i="2"/>
  <c r="J103" i="2"/>
  <c r="I103" i="2"/>
  <c r="H103" i="2"/>
  <c r="AJ102" i="2"/>
  <c r="AI102" i="2"/>
  <c r="AH102" i="2"/>
  <c r="AG102" i="2"/>
  <c r="AB102" i="2"/>
  <c r="AA102" i="2"/>
  <c r="Z102" i="2"/>
  <c r="Y102" i="2"/>
  <c r="X102" i="2"/>
  <c r="W102" i="2"/>
  <c r="V102" i="2"/>
  <c r="U102" i="2"/>
  <c r="T102" i="2"/>
  <c r="S102" i="2"/>
  <c r="R102" i="2"/>
  <c r="Q102" i="2"/>
  <c r="P102" i="2"/>
  <c r="O102" i="2"/>
  <c r="N102" i="2"/>
  <c r="M102" i="2"/>
  <c r="L102" i="2"/>
  <c r="K102" i="2"/>
  <c r="J102" i="2"/>
  <c r="I102" i="2"/>
  <c r="H102" i="2"/>
  <c r="AJ101" i="2"/>
  <c r="AI101" i="2"/>
  <c r="AH101" i="2"/>
  <c r="AG101" i="2"/>
  <c r="AB101" i="2"/>
  <c r="AA101" i="2"/>
  <c r="Z101" i="2"/>
  <c r="Y101" i="2"/>
  <c r="X101" i="2"/>
  <c r="W101" i="2"/>
  <c r="V101" i="2"/>
  <c r="U101" i="2"/>
  <c r="T101" i="2"/>
  <c r="S101" i="2"/>
  <c r="R101" i="2"/>
  <c r="Q101" i="2"/>
  <c r="P101" i="2"/>
  <c r="O101" i="2"/>
  <c r="N101" i="2"/>
  <c r="M101" i="2"/>
  <c r="L101" i="2"/>
  <c r="K101" i="2"/>
  <c r="J101" i="2"/>
  <c r="I101" i="2"/>
  <c r="H101" i="2"/>
  <c r="AJ100" i="2"/>
  <c r="AI100" i="2"/>
  <c r="AH100" i="2"/>
  <c r="AG100" i="2"/>
  <c r="AB100" i="2"/>
  <c r="AA100" i="2"/>
  <c r="Z100" i="2"/>
  <c r="Y100" i="2"/>
  <c r="X100" i="2"/>
  <c r="W100" i="2"/>
  <c r="V100" i="2"/>
  <c r="U100" i="2"/>
  <c r="T100" i="2"/>
  <c r="S100" i="2"/>
  <c r="R100" i="2"/>
  <c r="Q100" i="2"/>
  <c r="P100" i="2"/>
  <c r="O100" i="2"/>
  <c r="N100" i="2"/>
  <c r="M100" i="2"/>
  <c r="L100" i="2"/>
  <c r="K100" i="2"/>
  <c r="J100" i="2"/>
  <c r="I100" i="2"/>
  <c r="H100" i="2"/>
  <c r="AL99" i="2"/>
  <c r="AK99" i="2"/>
  <c r="AJ99" i="2"/>
  <c r="AI99" i="2"/>
  <c r="AH99" i="2"/>
  <c r="AG99" i="2"/>
  <c r="AB99" i="2"/>
  <c r="AA99" i="2"/>
  <c r="Z99" i="2"/>
  <c r="Y99" i="2"/>
  <c r="X99" i="2"/>
  <c r="W99" i="2"/>
  <c r="V99" i="2"/>
  <c r="U99" i="2"/>
  <c r="T99" i="2"/>
  <c r="S99" i="2"/>
  <c r="R99" i="2"/>
  <c r="Q99" i="2"/>
  <c r="P99" i="2"/>
  <c r="O99" i="2"/>
  <c r="N99" i="2"/>
  <c r="M99" i="2"/>
  <c r="L99" i="2"/>
  <c r="K99" i="2"/>
  <c r="J99" i="2"/>
  <c r="I99" i="2"/>
  <c r="H99" i="2"/>
  <c r="AL98" i="2"/>
  <c r="AK98" i="2"/>
  <c r="AJ98" i="2"/>
  <c r="AI98" i="2"/>
  <c r="AH98" i="2"/>
  <c r="AG98" i="2"/>
  <c r="AB98" i="2"/>
  <c r="AA98" i="2"/>
  <c r="Z98" i="2"/>
  <c r="Y98" i="2"/>
  <c r="X98" i="2"/>
  <c r="W98" i="2"/>
  <c r="V98" i="2"/>
  <c r="U98" i="2"/>
  <c r="T98" i="2"/>
  <c r="S98" i="2"/>
  <c r="R98" i="2"/>
  <c r="Q98" i="2"/>
  <c r="P98" i="2"/>
  <c r="O98" i="2"/>
  <c r="N98" i="2"/>
  <c r="M98" i="2"/>
  <c r="L98" i="2"/>
  <c r="K98" i="2"/>
  <c r="J98" i="2"/>
  <c r="I98" i="2"/>
  <c r="H98" i="2"/>
  <c r="AL97" i="2"/>
  <c r="AK97" i="2"/>
  <c r="AJ97" i="2"/>
  <c r="AI97" i="2"/>
  <c r="AH97" i="2"/>
  <c r="AG97" i="2"/>
  <c r="AB97" i="2"/>
  <c r="AA97" i="2"/>
  <c r="Z97" i="2"/>
  <c r="Y97" i="2"/>
  <c r="X97" i="2"/>
  <c r="W97" i="2"/>
  <c r="V97" i="2"/>
  <c r="U97" i="2"/>
  <c r="T97" i="2"/>
  <c r="S97" i="2"/>
  <c r="R97" i="2"/>
  <c r="Q97" i="2"/>
  <c r="P97" i="2"/>
  <c r="O97" i="2"/>
  <c r="N97" i="2"/>
  <c r="M97" i="2"/>
  <c r="L97" i="2"/>
  <c r="K97" i="2"/>
  <c r="J97" i="2"/>
  <c r="I97" i="2"/>
  <c r="H97" i="2"/>
  <c r="AL96" i="2"/>
  <c r="AK96" i="2"/>
  <c r="AJ96" i="2"/>
  <c r="AI96" i="2"/>
  <c r="AH96" i="2"/>
  <c r="AG96" i="2"/>
  <c r="AB96" i="2"/>
  <c r="AA96" i="2"/>
  <c r="Z96" i="2"/>
  <c r="Y96" i="2"/>
  <c r="X96" i="2"/>
  <c r="W96" i="2"/>
  <c r="V96" i="2"/>
  <c r="U96" i="2"/>
  <c r="T96" i="2"/>
  <c r="S96" i="2"/>
  <c r="R96" i="2"/>
  <c r="Q96" i="2"/>
  <c r="P96" i="2"/>
  <c r="O96" i="2"/>
  <c r="N96" i="2"/>
  <c r="M96" i="2"/>
  <c r="L96" i="2"/>
  <c r="K96" i="2"/>
  <c r="J96" i="2"/>
  <c r="I96" i="2"/>
  <c r="H96" i="2"/>
  <c r="AL95" i="2"/>
  <c r="AK95" i="2"/>
  <c r="AJ95" i="2"/>
  <c r="AI95" i="2"/>
  <c r="AH95" i="2"/>
  <c r="AG95" i="2"/>
  <c r="AB95" i="2"/>
  <c r="AA95" i="2"/>
  <c r="Z95" i="2"/>
  <c r="Y95" i="2"/>
  <c r="X95" i="2"/>
  <c r="W95" i="2"/>
  <c r="V95" i="2"/>
  <c r="U95" i="2"/>
  <c r="T95" i="2"/>
  <c r="S95" i="2"/>
  <c r="R95" i="2"/>
  <c r="Q95" i="2"/>
  <c r="P95" i="2"/>
  <c r="O95" i="2"/>
  <c r="N95" i="2"/>
  <c r="M95" i="2"/>
  <c r="L95" i="2"/>
  <c r="K95" i="2"/>
  <c r="J95" i="2"/>
  <c r="I95" i="2"/>
  <c r="H95" i="2"/>
  <c r="AN94" i="2"/>
  <c r="AM94" i="2"/>
  <c r="AL94" i="2"/>
  <c r="AK94" i="2"/>
  <c r="AJ94" i="2"/>
  <c r="AI94" i="2"/>
  <c r="AH94" i="2"/>
  <c r="AG94" i="2"/>
  <c r="AB94" i="2"/>
  <c r="AA94" i="2"/>
  <c r="Z94" i="2"/>
  <c r="Y94" i="2"/>
  <c r="X94" i="2"/>
  <c r="W94" i="2"/>
  <c r="V94" i="2"/>
  <c r="U94" i="2"/>
  <c r="T94" i="2"/>
  <c r="S94" i="2"/>
  <c r="R94" i="2"/>
  <c r="Q94" i="2"/>
  <c r="P94" i="2"/>
  <c r="O94" i="2"/>
  <c r="N94" i="2"/>
  <c r="M94" i="2"/>
  <c r="L94" i="2"/>
  <c r="K94" i="2"/>
  <c r="J94" i="2"/>
  <c r="I94" i="2"/>
  <c r="H94" i="2"/>
  <c r="AP93" i="2"/>
  <c r="AO93" i="2"/>
  <c r="AN93" i="2"/>
  <c r="AM93" i="2"/>
  <c r="AL93" i="2"/>
  <c r="AK93" i="2"/>
  <c r="AJ93" i="2"/>
  <c r="AI93" i="2"/>
  <c r="AH93" i="2"/>
  <c r="AG93" i="2"/>
  <c r="AB93" i="2"/>
  <c r="AA93" i="2"/>
  <c r="Z93" i="2"/>
  <c r="Y93" i="2"/>
  <c r="X93" i="2"/>
  <c r="W93" i="2"/>
  <c r="V93" i="2"/>
  <c r="U93" i="2"/>
  <c r="T93" i="2"/>
  <c r="S93" i="2"/>
  <c r="R93" i="2"/>
  <c r="Q93" i="2"/>
  <c r="P93" i="2"/>
  <c r="O93" i="2"/>
  <c r="N93" i="2"/>
  <c r="M93" i="2"/>
  <c r="L93" i="2"/>
  <c r="K93" i="2"/>
  <c r="J93" i="2"/>
  <c r="I93" i="2"/>
  <c r="H93" i="2"/>
  <c r="AP92" i="2"/>
  <c r="AO92" i="2"/>
  <c r="AN92" i="2"/>
  <c r="AM92" i="2"/>
  <c r="AL92" i="2"/>
  <c r="AK92" i="2"/>
  <c r="AJ92" i="2"/>
  <c r="AI92" i="2"/>
  <c r="AH92" i="2"/>
  <c r="AG92" i="2"/>
  <c r="AB92" i="2"/>
  <c r="AA92" i="2"/>
  <c r="Z92" i="2"/>
  <c r="Y92" i="2"/>
  <c r="X92" i="2"/>
  <c r="W92" i="2"/>
  <c r="V92" i="2"/>
  <c r="U92" i="2"/>
  <c r="T92" i="2"/>
  <c r="S92" i="2"/>
  <c r="R92" i="2"/>
  <c r="Q92" i="2"/>
  <c r="P92" i="2"/>
  <c r="O92" i="2"/>
  <c r="N92" i="2"/>
  <c r="M92" i="2"/>
  <c r="L92" i="2"/>
  <c r="K92" i="2"/>
  <c r="J92" i="2"/>
  <c r="I92" i="2"/>
  <c r="H92" i="2"/>
  <c r="AL91" i="2"/>
  <c r="AK91" i="2"/>
  <c r="AJ91" i="2"/>
  <c r="AI91" i="2"/>
  <c r="AH91" i="2"/>
  <c r="AG91" i="2"/>
  <c r="AB91" i="2"/>
  <c r="AA91" i="2"/>
  <c r="Z91" i="2"/>
  <c r="Y91" i="2"/>
  <c r="X91" i="2"/>
  <c r="W91" i="2"/>
  <c r="V91" i="2"/>
  <c r="U91" i="2"/>
  <c r="T91" i="2"/>
  <c r="S91" i="2"/>
  <c r="R91" i="2"/>
  <c r="Q91" i="2"/>
  <c r="P91" i="2"/>
  <c r="O91" i="2"/>
  <c r="N91" i="2"/>
  <c r="M91" i="2"/>
  <c r="L91" i="2"/>
  <c r="K91" i="2"/>
  <c r="J91" i="2"/>
  <c r="I91" i="2"/>
  <c r="H91" i="2"/>
  <c r="AL90" i="2"/>
  <c r="AK90" i="2"/>
  <c r="AJ90" i="2"/>
  <c r="AI90" i="2"/>
  <c r="AH90" i="2"/>
  <c r="AG90" i="2"/>
  <c r="AB90" i="2"/>
  <c r="AA90" i="2"/>
  <c r="Z90" i="2"/>
  <c r="Y90" i="2"/>
  <c r="X90" i="2"/>
  <c r="W90" i="2"/>
  <c r="V90" i="2"/>
  <c r="U90" i="2"/>
  <c r="T90" i="2"/>
  <c r="S90" i="2"/>
  <c r="R90" i="2"/>
  <c r="Q90" i="2"/>
  <c r="P90" i="2"/>
  <c r="O90" i="2"/>
  <c r="N90" i="2"/>
  <c r="M90" i="2"/>
  <c r="L90" i="2"/>
  <c r="K90" i="2"/>
  <c r="J90" i="2"/>
  <c r="I90" i="2"/>
  <c r="H90" i="2"/>
  <c r="AL89" i="2"/>
  <c r="AK89" i="2"/>
  <c r="AJ89" i="2"/>
  <c r="AI89" i="2"/>
  <c r="AH89" i="2"/>
  <c r="AG89" i="2"/>
  <c r="AB89" i="2"/>
  <c r="AA89" i="2"/>
  <c r="Z89" i="2"/>
  <c r="Y89" i="2"/>
  <c r="X89" i="2"/>
  <c r="W89" i="2"/>
  <c r="V89" i="2"/>
  <c r="U89" i="2"/>
  <c r="T89" i="2"/>
  <c r="S89" i="2"/>
  <c r="R89" i="2"/>
  <c r="Q89" i="2"/>
  <c r="P89" i="2"/>
  <c r="O89" i="2"/>
  <c r="N89" i="2"/>
  <c r="M89" i="2"/>
  <c r="L89" i="2"/>
  <c r="K89" i="2"/>
  <c r="J89" i="2"/>
  <c r="I89" i="2"/>
  <c r="H89" i="2"/>
  <c r="AL88" i="2"/>
  <c r="AK88" i="2"/>
  <c r="AJ88" i="2"/>
  <c r="AI88" i="2"/>
  <c r="AH88" i="2"/>
  <c r="AG88" i="2"/>
  <c r="AB88" i="2"/>
  <c r="AA88" i="2"/>
  <c r="Z88" i="2"/>
  <c r="Y88" i="2"/>
  <c r="X88" i="2"/>
  <c r="W88" i="2"/>
  <c r="V88" i="2"/>
  <c r="U88" i="2"/>
  <c r="T88" i="2"/>
  <c r="S88" i="2"/>
  <c r="R88" i="2"/>
  <c r="Q88" i="2"/>
  <c r="P88" i="2"/>
  <c r="O88" i="2"/>
  <c r="N88" i="2"/>
  <c r="M88" i="2"/>
  <c r="L88" i="2"/>
  <c r="K88" i="2"/>
  <c r="J88" i="2"/>
  <c r="I88" i="2"/>
  <c r="H88" i="2"/>
  <c r="AL87" i="2"/>
  <c r="AK87" i="2"/>
  <c r="AJ87" i="2"/>
  <c r="AI87" i="2"/>
  <c r="AH87" i="2"/>
  <c r="AG87" i="2"/>
  <c r="AB87" i="2"/>
  <c r="AA87" i="2"/>
  <c r="Z87" i="2"/>
  <c r="Y87" i="2"/>
  <c r="X87" i="2"/>
  <c r="W87" i="2"/>
  <c r="V87" i="2"/>
  <c r="U87" i="2"/>
  <c r="T87" i="2"/>
  <c r="S87" i="2"/>
  <c r="R87" i="2"/>
  <c r="Q87" i="2"/>
  <c r="P87" i="2"/>
  <c r="O87" i="2"/>
  <c r="N87" i="2"/>
  <c r="M87" i="2"/>
  <c r="L87" i="2"/>
  <c r="K87" i="2"/>
  <c r="J87" i="2"/>
  <c r="I87" i="2"/>
  <c r="H87" i="2"/>
  <c r="AL86" i="2"/>
  <c r="AK86" i="2"/>
  <c r="AJ86" i="2"/>
  <c r="AI86" i="2"/>
  <c r="AH86" i="2"/>
  <c r="AG86" i="2"/>
  <c r="AB86" i="2"/>
  <c r="AA86" i="2"/>
  <c r="Z86" i="2"/>
  <c r="Y86" i="2"/>
  <c r="X86" i="2"/>
  <c r="W86" i="2"/>
  <c r="V86" i="2"/>
  <c r="U86" i="2"/>
  <c r="T86" i="2"/>
  <c r="S86" i="2"/>
  <c r="R86" i="2"/>
  <c r="Q86" i="2"/>
  <c r="P86" i="2"/>
  <c r="O86" i="2"/>
  <c r="N86" i="2"/>
  <c r="M86" i="2"/>
  <c r="L86" i="2"/>
  <c r="K86" i="2"/>
  <c r="J86" i="2"/>
  <c r="I86" i="2"/>
  <c r="H86" i="2"/>
  <c r="AN85" i="2"/>
  <c r="AM85" i="2"/>
  <c r="AL85" i="2"/>
  <c r="AK85" i="2"/>
  <c r="AJ85" i="2"/>
  <c r="AI85" i="2"/>
  <c r="AH85" i="2"/>
  <c r="AG85" i="2"/>
  <c r="AB85" i="2"/>
  <c r="AA85" i="2"/>
  <c r="Z85" i="2"/>
  <c r="Y85" i="2"/>
  <c r="X85" i="2"/>
  <c r="W85" i="2"/>
  <c r="V85" i="2"/>
  <c r="U85" i="2"/>
  <c r="T85" i="2"/>
  <c r="S85" i="2"/>
  <c r="R85" i="2"/>
  <c r="Q85" i="2"/>
  <c r="P85" i="2"/>
  <c r="O85" i="2"/>
  <c r="N85" i="2"/>
  <c r="M85" i="2"/>
  <c r="L85" i="2"/>
  <c r="K85" i="2"/>
  <c r="J85" i="2"/>
  <c r="I85" i="2"/>
  <c r="H85" i="2"/>
  <c r="AL84" i="2"/>
  <c r="AK84" i="2"/>
  <c r="AJ84" i="2"/>
  <c r="AI84" i="2"/>
  <c r="AH84" i="2"/>
  <c r="AG84" i="2"/>
  <c r="AB84" i="2"/>
  <c r="AA84" i="2"/>
  <c r="Z84" i="2"/>
  <c r="Y84" i="2"/>
  <c r="X84" i="2"/>
  <c r="W84" i="2"/>
  <c r="V84" i="2"/>
  <c r="U84" i="2"/>
  <c r="T84" i="2"/>
  <c r="S84" i="2"/>
  <c r="R84" i="2"/>
  <c r="Q84" i="2"/>
  <c r="P84" i="2"/>
  <c r="O84" i="2"/>
  <c r="N84" i="2"/>
  <c r="M84" i="2"/>
  <c r="L84" i="2"/>
  <c r="K84" i="2"/>
  <c r="J84" i="2"/>
  <c r="I84" i="2"/>
  <c r="H84" i="2"/>
  <c r="AL83" i="2"/>
  <c r="AK83" i="2"/>
  <c r="AJ83" i="2"/>
  <c r="AI83" i="2"/>
  <c r="AH83" i="2"/>
  <c r="AG83" i="2"/>
  <c r="AB83" i="2"/>
  <c r="AA83" i="2"/>
  <c r="Z83" i="2"/>
  <c r="Y83" i="2"/>
  <c r="X83" i="2"/>
  <c r="W83" i="2"/>
  <c r="V83" i="2"/>
  <c r="U83" i="2"/>
  <c r="T83" i="2"/>
  <c r="S83" i="2"/>
  <c r="R83" i="2"/>
  <c r="Q83" i="2"/>
  <c r="P83" i="2"/>
  <c r="O83" i="2"/>
  <c r="N83" i="2"/>
  <c r="M83" i="2"/>
  <c r="L83" i="2"/>
  <c r="K83" i="2"/>
  <c r="J83" i="2"/>
  <c r="I83" i="2"/>
  <c r="H83" i="2"/>
  <c r="AN82" i="2"/>
  <c r="AM82" i="2"/>
  <c r="AL82" i="2"/>
  <c r="AK82" i="2"/>
  <c r="AJ82" i="2"/>
  <c r="AI82" i="2"/>
  <c r="AH82" i="2"/>
  <c r="AG82" i="2"/>
  <c r="AB82" i="2"/>
  <c r="AA82" i="2"/>
  <c r="Z82" i="2"/>
  <c r="Y82" i="2"/>
  <c r="X82" i="2"/>
  <c r="W82" i="2"/>
  <c r="V82" i="2"/>
  <c r="U82" i="2"/>
  <c r="T82" i="2"/>
  <c r="S82" i="2"/>
  <c r="R82" i="2"/>
  <c r="Q82" i="2"/>
  <c r="P82" i="2"/>
  <c r="O82" i="2"/>
  <c r="N82" i="2"/>
  <c r="M82" i="2"/>
  <c r="L82" i="2"/>
  <c r="K82" i="2"/>
  <c r="J82" i="2"/>
  <c r="I82" i="2"/>
  <c r="H82" i="2"/>
  <c r="AP81" i="2"/>
  <c r="AO81" i="2"/>
  <c r="AN81" i="2"/>
  <c r="AM81" i="2"/>
  <c r="AL81" i="2"/>
  <c r="AK81" i="2"/>
  <c r="AJ81" i="2"/>
  <c r="AI81" i="2"/>
  <c r="AH81" i="2"/>
  <c r="AG81" i="2"/>
  <c r="AB81" i="2"/>
  <c r="AA81" i="2"/>
  <c r="Z81" i="2"/>
  <c r="Y81" i="2"/>
  <c r="X81" i="2"/>
  <c r="W81" i="2"/>
  <c r="V81" i="2"/>
  <c r="U81" i="2"/>
  <c r="T81" i="2"/>
  <c r="S81" i="2"/>
  <c r="R81" i="2"/>
  <c r="Q81" i="2"/>
  <c r="P81" i="2"/>
  <c r="O81" i="2"/>
  <c r="N81" i="2"/>
  <c r="M81" i="2"/>
  <c r="L81" i="2"/>
  <c r="K81" i="2"/>
  <c r="J81" i="2"/>
  <c r="I81" i="2"/>
  <c r="H81" i="2"/>
  <c r="AL80" i="2"/>
  <c r="AK80" i="2"/>
  <c r="AJ80" i="2"/>
  <c r="AI80" i="2"/>
  <c r="AH80" i="2"/>
  <c r="AG80" i="2"/>
  <c r="AB80" i="2"/>
  <c r="AA80" i="2"/>
  <c r="Z80" i="2"/>
  <c r="Y80" i="2"/>
  <c r="X80" i="2"/>
  <c r="W80" i="2"/>
  <c r="V80" i="2"/>
  <c r="U80" i="2"/>
  <c r="T80" i="2"/>
  <c r="S80" i="2"/>
  <c r="R80" i="2"/>
  <c r="Q80" i="2"/>
  <c r="P80" i="2"/>
  <c r="O80" i="2"/>
  <c r="N80" i="2"/>
  <c r="M80" i="2"/>
  <c r="L80" i="2"/>
  <c r="K80" i="2"/>
  <c r="J80" i="2"/>
  <c r="I80" i="2"/>
  <c r="H80" i="2"/>
  <c r="AP79" i="2"/>
  <c r="AO79" i="2"/>
  <c r="AN79" i="2"/>
  <c r="AM79" i="2"/>
  <c r="AL79" i="2"/>
  <c r="AK79" i="2"/>
  <c r="AJ79" i="2"/>
  <c r="AI79" i="2"/>
  <c r="AH79" i="2"/>
  <c r="AG79" i="2"/>
  <c r="AB79" i="2"/>
  <c r="AA79" i="2"/>
  <c r="Z79" i="2"/>
  <c r="Y79" i="2"/>
  <c r="X79" i="2"/>
  <c r="W79" i="2"/>
  <c r="V79" i="2"/>
  <c r="U79" i="2"/>
  <c r="T79" i="2"/>
  <c r="S79" i="2"/>
  <c r="R79" i="2"/>
  <c r="Q79" i="2"/>
  <c r="P79" i="2"/>
  <c r="O79" i="2"/>
  <c r="N79" i="2"/>
  <c r="M79" i="2"/>
  <c r="L79" i="2"/>
  <c r="K79" i="2"/>
  <c r="J79" i="2"/>
  <c r="I79" i="2"/>
  <c r="H79" i="2"/>
  <c r="AL78" i="2"/>
  <c r="AK78" i="2"/>
  <c r="AJ78" i="2"/>
  <c r="AI78" i="2"/>
  <c r="AH78" i="2"/>
  <c r="AG78" i="2"/>
  <c r="AB78" i="2"/>
  <c r="AA78" i="2"/>
  <c r="Z78" i="2"/>
  <c r="Y78" i="2"/>
  <c r="X78" i="2"/>
  <c r="W78" i="2"/>
  <c r="V78" i="2"/>
  <c r="U78" i="2"/>
  <c r="T78" i="2"/>
  <c r="S78" i="2"/>
  <c r="R78" i="2"/>
  <c r="Q78" i="2"/>
  <c r="P78" i="2"/>
  <c r="O78" i="2"/>
  <c r="N78" i="2"/>
  <c r="M78" i="2"/>
  <c r="L78" i="2"/>
  <c r="K78" i="2"/>
  <c r="J78" i="2"/>
  <c r="I78" i="2"/>
  <c r="H78" i="2"/>
  <c r="AN77" i="2"/>
  <c r="AM77" i="2"/>
  <c r="AL77" i="2"/>
  <c r="AK77" i="2"/>
  <c r="AJ77" i="2"/>
  <c r="AI77" i="2"/>
  <c r="AH77" i="2"/>
  <c r="AG77" i="2"/>
  <c r="AB77" i="2"/>
  <c r="AA77" i="2"/>
  <c r="Z77" i="2"/>
  <c r="Y77" i="2"/>
  <c r="X77" i="2"/>
  <c r="W77" i="2"/>
  <c r="V77" i="2"/>
  <c r="U77" i="2"/>
  <c r="T77" i="2"/>
  <c r="S77" i="2"/>
  <c r="R77" i="2"/>
  <c r="Q77" i="2"/>
  <c r="P77" i="2"/>
  <c r="O77" i="2"/>
  <c r="N77" i="2"/>
  <c r="M77" i="2"/>
  <c r="L77" i="2"/>
  <c r="K77" i="2"/>
  <c r="J77" i="2"/>
  <c r="I77" i="2"/>
  <c r="H77" i="2"/>
  <c r="AL76" i="2"/>
  <c r="AK76" i="2"/>
  <c r="AJ76" i="2"/>
  <c r="AI76" i="2"/>
  <c r="AH76" i="2"/>
  <c r="AG76" i="2"/>
  <c r="AB76" i="2"/>
  <c r="AA76" i="2"/>
  <c r="Z76" i="2"/>
  <c r="Y76" i="2"/>
  <c r="X76" i="2"/>
  <c r="W76" i="2"/>
  <c r="V76" i="2"/>
  <c r="U76" i="2"/>
  <c r="T76" i="2"/>
  <c r="S76" i="2"/>
  <c r="R76" i="2"/>
  <c r="Q76" i="2"/>
  <c r="P76" i="2"/>
  <c r="O76" i="2"/>
  <c r="N76" i="2"/>
  <c r="M76" i="2"/>
  <c r="L76" i="2"/>
  <c r="K76" i="2"/>
  <c r="J76" i="2"/>
  <c r="I76" i="2"/>
  <c r="H76" i="2"/>
  <c r="AP75" i="2"/>
  <c r="AO75" i="2"/>
  <c r="AN75" i="2"/>
  <c r="AM75" i="2"/>
  <c r="AL75" i="2"/>
  <c r="AK75" i="2"/>
  <c r="AJ75" i="2"/>
  <c r="AI75" i="2"/>
  <c r="AH75" i="2"/>
  <c r="AG75" i="2"/>
  <c r="AB75" i="2"/>
  <c r="AA75" i="2"/>
  <c r="Z75" i="2"/>
  <c r="Y75" i="2"/>
  <c r="X75" i="2"/>
  <c r="V75" i="2"/>
  <c r="U75" i="2"/>
  <c r="T75" i="2"/>
  <c r="S75" i="2"/>
  <c r="R75" i="2"/>
  <c r="Q75" i="2"/>
  <c r="P75" i="2"/>
  <c r="O75" i="2"/>
  <c r="N75" i="2"/>
  <c r="M75" i="2"/>
  <c r="L75" i="2"/>
  <c r="K75" i="2"/>
  <c r="J75" i="2"/>
  <c r="I75" i="2"/>
  <c r="H75" i="2"/>
  <c r="AL74" i="2"/>
  <c r="AK74" i="2"/>
  <c r="AJ74" i="2"/>
  <c r="AI74" i="2"/>
  <c r="AH74" i="2"/>
  <c r="AG74" i="2"/>
  <c r="AB74" i="2"/>
  <c r="AA74" i="2"/>
  <c r="Z74" i="2"/>
  <c r="Y74" i="2"/>
  <c r="X74" i="2"/>
  <c r="W74" i="2"/>
  <c r="V74" i="2"/>
  <c r="U74" i="2"/>
  <c r="T74" i="2"/>
  <c r="S74" i="2"/>
  <c r="R74" i="2"/>
  <c r="Q74" i="2"/>
  <c r="P74" i="2"/>
  <c r="O74" i="2"/>
  <c r="N74" i="2"/>
  <c r="M74" i="2"/>
  <c r="L74" i="2"/>
  <c r="K74" i="2"/>
  <c r="J74" i="2"/>
  <c r="I74" i="2"/>
  <c r="H74" i="2"/>
  <c r="AJ73" i="2"/>
  <c r="AI73" i="2"/>
  <c r="AH73" i="2"/>
  <c r="AG73" i="2"/>
  <c r="AB73" i="2"/>
  <c r="AA73" i="2"/>
  <c r="Z73" i="2"/>
  <c r="Y73" i="2"/>
  <c r="X73" i="2"/>
  <c r="W73" i="2"/>
  <c r="V73" i="2"/>
  <c r="U73" i="2"/>
  <c r="T73" i="2"/>
  <c r="S73" i="2"/>
  <c r="R73" i="2"/>
  <c r="Q73" i="2"/>
  <c r="P73" i="2"/>
  <c r="O73" i="2"/>
  <c r="N73" i="2"/>
  <c r="M73" i="2"/>
  <c r="L73" i="2"/>
  <c r="K73" i="2"/>
  <c r="J73" i="2"/>
  <c r="I73" i="2"/>
  <c r="H73" i="2"/>
  <c r="AP72" i="2"/>
  <c r="AO72" i="2"/>
  <c r="AN72" i="2"/>
  <c r="AM72" i="2"/>
  <c r="AL72" i="2"/>
  <c r="AK72" i="2"/>
  <c r="AJ72" i="2"/>
  <c r="AI72" i="2"/>
  <c r="AH72" i="2"/>
  <c r="AG72" i="2"/>
  <c r="AB72" i="2"/>
  <c r="AA72" i="2"/>
  <c r="Z72" i="2"/>
  <c r="Y72" i="2"/>
  <c r="X72" i="2"/>
  <c r="W72" i="2"/>
  <c r="V72" i="2"/>
  <c r="U72" i="2"/>
  <c r="T72" i="2"/>
  <c r="S72" i="2"/>
  <c r="R72" i="2"/>
  <c r="Q72" i="2"/>
  <c r="P72" i="2"/>
  <c r="O72" i="2"/>
  <c r="N72" i="2"/>
  <c r="M72" i="2"/>
  <c r="L72" i="2"/>
  <c r="K72" i="2"/>
  <c r="J72" i="2"/>
  <c r="I72" i="2"/>
  <c r="H72" i="2"/>
  <c r="AN71" i="2"/>
  <c r="AM71" i="2"/>
  <c r="AL71" i="2"/>
  <c r="AK71" i="2"/>
  <c r="AJ71" i="2"/>
  <c r="AI71" i="2"/>
  <c r="AH71" i="2"/>
  <c r="AG71" i="2"/>
  <c r="AB71" i="2"/>
  <c r="AA71" i="2"/>
  <c r="Z71" i="2"/>
  <c r="Y71" i="2"/>
  <c r="X71" i="2"/>
  <c r="W71" i="2"/>
  <c r="V71" i="2"/>
  <c r="U71" i="2"/>
  <c r="T71" i="2"/>
  <c r="S71" i="2"/>
  <c r="R71" i="2"/>
  <c r="Q71" i="2"/>
  <c r="P71" i="2"/>
  <c r="O71" i="2"/>
  <c r="N71" i="2"/>
  <c r="M71" i="2"/>
  <c r="L71" i="2"/>
  <c r="K71" i="2"/>
  <c r="J71" i="2"/>
  <c r="I71" i="2"/>
  <c r="H71" i="2"/>
  <c r="AL70" i="2"/>
  <c r="AK70" i="2"/>
  <c r="AJ70" i="2"/>
  <c r="AI70" i="2"/>
  <c r="AH70" i="2"/>
  <c r="AG70" i="2"/>
  <c r="AB70" i="2"/>
  <c r="AA70" i="2"/>
  <c r="Z70" i="2"/>
  <c r="Y70" i="2"/>
  <c r="X70" i="2"/>
  <c r="W70" i="2"/>
  <c r="V70" i="2"/>
  <c r="U70" i="2"/>
  <c r="T70" i="2"/>
  <c r="S70" i="2"/>
  <c r="R70" i="2"/>
  <c r="Q70" i="2"/>
  <c r="P70" i="2"/>
  <c r="O70" i="2"/>
  <c r="N70" i="2"/>
  <c r="M70" i="2"/>
  <c r="L70" i="2"/>
  <c r="K70" i="2"/>
  <c r="J70" i="2"/>
  <c r="I70" i="2"/>
  <c r="H70" i="2"/>
  <c r="AN69" i="2"/>
  <c r="AM69" i="2"/>
  <c r="AL69" i="2"/>
  <c r="AK69" i="2"/>
  <c r="AJ69" i="2"/>
  <c r="AI69" i="2"/>
  <c r="AH69" i="2"/>
  <c r="AG69" i="2"/>
  <c r="AB69" i="2"/>
  <c r="AA69" i="2"/>
  <c r="Z69" i="2"/>
  <c r="Y69" i="2"/>
  <c r="X69" i="2"/>
  <c r="W69" i="2"/>
  <c r="V69" i="2"/>
  <c r="U69" i="2"/>
  <c r="T69" i="2"/>
  <c r="S69" i="2"/>
  <c r="R69" i="2"/>
  <c r="Q69" i="2"/>
  <c r="P69" i="2"/>
  <c r="O69" i="2"/>
  <c r="N69" i="2"/>
  <c r="M69" i="2"/>
  <c r="L69" i="2"/>
  <c r="K69" i="2"/>
  <c r="J69" i="2"/>
  <c r="I69" i="2"/>
  <c r="H69" i="2"/>
  <c r="AL68" i="2"/>
  <c r="AK68" i="2"/>
  <c r="AJ68" i="2"/>
  <c r="AI68" i="2"/>
  <c r="AH68" i="2"/>
  <c r="AG68" i="2"/>
  <c r="AB68" i="2"/>
  <c r="AA68" i="2"/>
  <c r="Z68" i="2"/>
  <c r="Y68" i="2"/>
  <c r="X68" i="2"/>
  <c r="W68" i="2"/>
  <c r="V68" i="2"/>
  <c r="U68" i="2"/>
  <c r="T68" i="2"/>
  <c r="S68" i="2"/>
  <c r="R68" i="2"/>
  <c r="Q68" i="2"/>
  <c r="P68" i="2"/>
  <c r="O68" i="2"/>
  <c r="N68" i="2"/>
  <c r="M68" i="2"/>
  <c r="L68" i="2"/>
  <c r="K68" i="2"/>
  <c r="J68" i="2"/>
  <c r="I68" i="2"/>
  <c r="H68" i="2"/>
  <c r="AN67" i="2"/>
  <c r="AM67" i="2"/>
  <c r="AL67" i="2"/>
  <c r="AK67" i="2"/>
  <c r="AJ67" i="2"/>
  <c r="AI67" i="2"/>
  <c r="AH67" i="2"/>
  <c r="AG67" i="2"/>
  <c r="AB67" i="2"/>
  <c r="AA67" i="2"/>
  <c r="Z67" i="2"/>
  <c r="Y67" i="2"/>
  <c r="X67" i="2"/>
  <c r="W67" i="2"/>
  <c r="V67" i="2"/>
  <c r="U67" i="2"/>
  <c r="T67" i="2"/>
  <c r="S67" i="2"/>
  <c r="R67" i="2"/>
  <c r="Q67" i="2"/>
  <c r="P67" i="2"/>
  <c r="O67" i="2"/>
  <c r="N67" i="2"/>
  <c r="M67" i="2"/>
  <c r="L67" i="2"/>
  <c r="K67" i="2"/>
  <c r="J67" i="2"/>
  <c r="I67" i="2"/>
  <c r="H67" i="2"/>
  <c r="AP66" i="2"/>
  <c r="AO66" i="2"/>
  <c r="AN66" i="2"/>
  <c r="AM66" i="2"/>
  <c r="AL66" i="2"/>
  <c r="AK66" i="2"/>
  <c r="AJ66" i="2"/>
  <c r="AI66" i="2"/>
  <c r="AH66" i="2"/>
  <c r="AG66" i="2"/>
  <c r="AB66" i="2"/>
  <c r="AA66" i="2"/>
  <c r="Z66" i="2"/>
  <c r="Y66" i="2"/>
  <c r="X66" i="2"/>
  <c r="W66" i="2"/>
  <c r="V66" i="2"/>
  <c r="U66" i="2"/>
  <c r="T66" i="2"/>
  <c r="S66" i="2"/>
  <c r="R66" i="2"/>
  <c r="Q66" i="2"/>
  <c r="P66" i="2"/>
  <c r="O66" i="2"/>
  <c r="N66" i="2"/>
  <c r="M66" i="2"/>
  <c r="L66" i="2"/>
  <c r="K66" i="2"/>
  <c r="J66" i="2"/>
  <c r="I66" i="2"/>
  <c r="H66" i="2"/>
  <c r="AN65" i="2"/>
  <c r="AM65" i="2"/>
  <c r="AL65" i="2"/>
  <c r="AK65" i="2"/>
  <c r="AJ65" i="2"/>
  <c r="AI65" i="2"/>
  <c r="AH65" i="2"/>
  <c r="AG65" i="2"/>
  <c r="AB65" i="2"/>
  <c r="AA65" i="2"/>
  <c r="Z65" i="2"/>
  <c r="Y65" i="2"/>
  <c r="X65" i="2"/>
  <c r="W65" i="2"/>
  <c r="V65" i="2"/>
  <c r="U65" i="2"/>
  <c r="T65" i="2"/>
  <c r="S65" i="2"/>
  <c r="R65" i="2"/>
  <c r="Q65" i="2"/>
  <c r="P65" i="2"/>
  <c r="O65" i="2"/>
  <c r="N65" i="2"/>
  <c r="M65" i="2"/>
  <c r="L65" i="2"/>
  <c r="K65" i="2"/>
  <c r="J65" i="2"/>
  <c r="I65" i="2"/>
  <c r="H65" i="2"/>
  <c r="AN64" i="2"/>
  <c r="AM64" i="2"/>
  <c r="AL64" i="2"/>
  <c r="AK64" i="2"/>
  <c r="AJ64" i="2"/>
  <c r="AI64" i="2"/>
  <c r="AH64" i="2"/>
  <c r="AG64" i="2"/>
  <c r="AB64" i="2"/>
  <c r="AA64" i="2"/>
  <c r="Z64" i="2"/>
  <c r="Y64" i="2"/>
  <c r="X64" i="2"/>
  <c r="W64" i="2"/>
  <c r="V64" i="2"/>
  <c r="U64" i="2"/>
  <c r="T64" i="2"/>
  <c r="S64" i="2"/>
  <c r="R64" i="2"/>
  <c r="Q64" i="2"/>
  <c r="P64" i="2"/>
  <c r="O64" i="2"/>
  <c r="N64" i="2"/>
  <c r="M64" i="2"/>
  <c r="L64" i="2"/>
  <c r="K64" i="2"/>
  <c r="J64" i="2"/>
  <c r="I64" i="2"/>
  <c r="H64" i="2"/>
  <c r="AL63" i="2"/>
  <c r="AK63" i="2"/>
  <c r="AJ63" i="2"/>
  <c r="AI63" i="2"/>
  <c r="AH63" i="2"/>
  <c r="AG63" i="2"/>
  <c r="AB63" i="2"/>
  <c r="AA63" i="2"/>
  <c r="Z63" i="2"/>
  <c r="Y63" i="2"/>
  <c r="X63" i="2"/>
  <c r="W63" i="2"/>
  <c r="V63" i="2"/>
  <c r="U63" i="2"/>
  <c r="T63" i="2"/>
  <c r="S63" i="2"/>
  <c r="R63" i="2"/>
  <c r="Q63" i="2"/>
  <c r="P63" i="2"/>
  <c r="O63" i="2"/>
  <c r="N63" i="2"/>
  <c r="M63" i="2"/>
  <c r="L63" i="2"/>
  <c r="K63" i="2"/>
  <c r="J63" i="2"/>
  <c r="I63" i="2"/>
  <c r="H63" i="2"/>
  <c r="AN62" i="2"/>
  <c r="AM62" i="2"/>
  <c r="AL62" i="2"/>
  <c r="AK62" i="2"/>
  <c r="AJ62" i="2"/>
  <c r="AI62" i="2"/>
  <c r="AH62" i="2"/>
  <c r="AG62" i="2"/>
  <c r="AB62" i="2"/>
  <c r="AA62" i="2"/>
  <c r="Z62" i="2"/>
  <c r="Y62" i="2"/>
  <c r="X62" i="2"/>
  <c r="W62" i="2"/>
  <c r="V62" i="2"/>
  <c r="U62" i="2"/>
  <c r="T62" i="2"/>
  <c r="S62" i="2"/>
  <c r="R62" i="2"/>
  <c r="Q62" i="2"/>
  <c r="P62" i="2"/>
  <c r="O62" i="2"/>
  <c r="N62" i="2"/>
  <c r="M62" i="2"/>
  <c r="L62" i="2"/>
  <c r="K62" i="2"/>
  <c r="J62" i="2"/>
  <c r="I62" i="2"/>
  <c r="H62" i="2"/>
  <c r="AG61" i="2"/>
  <c r="AB61" i="2"/>
  <c r="AA61" i="2"/>
  <c r="Z61" i="2"/>
  <c r="Y61" i="2"/>
  <c r="X61" i="2"/>
  <c r="W61" i="2"/>
  <c r="V61" i="2"/>
  <c r="U61" i="2"/>
  <c r="T61" i="2"/>
  <c r="S61" i="2"/>
  <c r="R61" i="2"/>
  <c r="Q61" i="2"/>
  <c r="P61" i="2"/>
  <c r="O61" i="2"/>
  <c r="N61" i="2"/>
  <c r="M61" i="2"/>
  <c r="L61" i="2"/>
  <c r="K61" i="2"/>
  <c r="J61" i="2"/>
  <c r="I61" i="2"/>
  <c r="H61" i="2"/>
  <c r="AL60" i="2"/>
  <c r="AK60" i="2"/>
  <c r="AJ60" i="2"/>
  <c r="AI60" i="2"/>
  <c r="AH60" i="2"/>
  <c r="AG60" i="2"/>
  <c r="AB60" i="2"/>
  <c r="AA60" i="2"/>
  <c r="Z60" i="2"/>
  <c r="Y60" i="2"/>
  <c r="X60" i="2"/>
  <c r="W60" i="2"/>
  <c r="V60" i="2"/>
  <c r="U60" i="2"/>
  <c r="T60" i="2"/>
  <c r="S60" i="2"/>
  <c r="R60" i="2"/>
  <c r="Q60" i="2"/>
  <c r="P60" i="2"/>
  <c r="O60" i="2"/>
  <c r="N60" i="2"/>
  <c r="M60" i="2"/>
  <c r="L60" i="2"/>
  <c r="K60" i="2"/>
  <c r="J60" i="2"/>
  <c r="I60" i="2"/>
  <c r="H60" i="2"/>
  <c r="AL59" i="2"/>
  <c r="AK59" i="2"/>
  <c r="AJ59" i="2"/>
  <c r="AI59" i="2"/>
  <c r="AH59" i="2"/>
  <c r="AG59" i="2"/>
  <c r="AB59" i="2"/>
  <c r="AA59" i="2"/>
  <c r="Z59" i="2"/>
  <c r="Y59" i="2"/>
  <c r="X59" i="2"/>
  <c r="W59" i="2"/>
  <c r="V59" i="2"/>
  <c r="U59" i="2"/>
  <c r="T59" i="2"/>
  <c r="S59" i="2"/>
  <c r="R59" i="2"/>
  <c r="Q59" i="2"/>
  <c r="P59" i="2"/>
  <c r="O59" i="2"/>
  <c r="N59" i="2"/>
  <c r="M59" i="2"/>
  <c r="L59" i="2"/>
  <c r="K59" i="2"/>
  <c r="J59" i="2"/>
  <c r="I59" i="2"/>
  <c r="H59" i="2"/>
  <c r="AL58" i="2"/>
  <c r="AK58" i="2"/>
  <c r="AJ58" i="2"/>
  <c r="AI58" i="2"/>
  <c r="AH58" i="2"/>
  <c r="AG58" i="2"/>
  <c r="AB58" i="2"/>
  <c r="AA58" i="2"/>
  <c r="Z58" i="2"/>
  <c r="Y58" i="2"/>
  <c r="X58" i="2"/>
  <c r="W58" i="2"/>
  <c r="V58" i="2"/>
  <c r="U58" i="2"/>
  <c r="T58" i="2"/>
  <c r="S58" i="2"/>
  <c r="R58" i="2"/>
  <c r="Q58" i="2"/>
  <c r="P58" i="2"/>
  <c r="O58" i="2"/>
  <c r="N58" i="2"/>
  <c r="M58" i="2"/>
  <c r="L58" i="2"/>
  <c r="K58" i="2"/>
  <c r="J58" i="2"/>
  <c r="I58" i="2"/>
  <c r="H58" i="2"/>
  <c r="AJ57" i="2"/>
  <c r="AI57" i="2"/>
  <c r="AH57" i="2"/>
  <c r="AG57" i="2"/>
  <c r="AB57" i="2"/>
  <c r="AA57" i="2"/>
  <c r="Z57" i="2"/>
  <c r="Y57" i="2"/>
  <c r="X57" i="2"/>
  <c r="W57" i="2"/>
  <c r="V57" i="2"/>
  <c r="U57" i="2"/>
  <c r="T57" i="2"/>
  <c r="S57" i="2"/>
  <c r="R57" i="2"/>
  <c r="Q57" i="2"/>
  <c r="P57" i="2"/>
  <c r="O57" i="2"/>
  <c r="N57" i="2"/>
  <c r="M57" i="2"/>
  <c r="L57" i="2"/>
  <c r="K57" i="2"/>
  <c r="J57" i="2"/>
  <c r="I57" i="2"/>
  <c r="H57" i="2"/>
  <c r="AH56" i="2"/>
  <c r="AG56" i="2"/>
  <c r="AB56" i="2"/>
  <c r="AA56" i="2"/>
  <c r="Z56" i="2"/>
  <c r="Y56" i="2"/>
  <c r="X56" i="2"/>
  <c r="W56" i="2"/>
  <c r="V56" i="2"/>
  <c r="U56" i="2"/>
  <c r="T56" i="2"/>
  <c r="S56" i="2"/>
  <c r="R56" i="2"/>
  <c r="Q56" i="2"/>
  <c r="P56" i="2"/>
  <c r="O56" i="2"/>
  <c r="N56" i="2"/>
  <c r="M56" i="2"/>
  <c r="L56" i="2"/>
  <c r="K56" i="2"/>
  <c r="J56" i="2"/>
  <c r="I56" i="2"/>
  <c r="H56" i="2"/>
  <c r="AG55" i="2"/>
  <c r="AB55" i="2"/>
  <c r="AA55" i="2"/>
  <c r="Z55" i="2"/>
  <c r="Y55" i="2"/>
  <c r="X55" i="2"/>
  <c r="W55" i="2"/>
  <c r="V55" i="2"/>
  <c r="U55" i="2"/>
  <c r="T55" i="2"/>
  <c r="S55" i="2"/>
  <c r="R55" i="2"/>
  <c r="Q55" i="2"/>
  <c r="P55" i="2"/>
  <c r="O55" i="2"/>
  <c r="N55" i="2"/>
  <c r="M55" i="2"/>
  <c r="L55" i="2"/>
  <c r="K55" i="2"/>
  <c r="J55" i="2"/>
  <c r="I55" i="2"/>
  <c r="H55" i="2"/>
  <c r="AP54" i="2"/>
  <c r="AO54" i="2"/>
  <c r="AN54" i="2"/>
  <c r="AM54" i="2"/>
  <c r="AL54" i="2"/>
  <c r="AK54" i="2"/>
  <c r="AJ54" i="2"/>
  <c r="AI54" i="2"/>
  <c r="AH54" i="2"/>
  <c r="AG54" i="2"/>
  <c r="AB54" i="2"/>
  <c r="AA54" i="2"/>
  <c r="Z54" i="2"/>
  <c r="Y54" i="2"/>
  <c r="X54" i="2"/>
  <c r="W54" i="2"/>
  <c r="V54" i="2"/>
  <c r="U54" i="2"/>
  <c r="T54" i="2"/>
  <c r="S54" i="2"/>
  <c r="R54" i="2"/>
  <c r="Q54" i="2"/>
  <c r="P54" i="2"/>
  <c r="O54" i="2"/>
  <c r="N54" i="2"/>
  <c r="M54" i="2"/>
  <c r="L54" i="2"/>
  <c r="K54" i="2"/>
  <c r="J54" i="2"/>
  <c r="I54" i="2"/>
  <c r="H54" i="2"/>
  <c r="AP53" i="2"/>
  <c r="AO53" i="2"/>
  <c r="AN53" i="2"/>
  <c r="AM53" i="2"/>
  <c r="AL53" i="2"/>
  <c r="AK53" i="2"/>
  <c r="AJ53" i="2"/>
  <c r="AI53" i="2"/>
  <c r="AH53" i="2"/>
  <c r="AG53" i="2"/>
  <c r="AB53" i="2"/>
  <c r="AA53" i="2"/>
  <c r="Z53" i="2"/>
  <c r="Y53" i="2"/>
  <c r="X53" i="2"/>
  <c r="W53" i="2"/>
  <c r="V53" i="2"/>
  <c r="U53" i="2"/>
  <c r="T53" i="2"/>
  <c r="S53" i="2"/>
  <c r="R53" i="2"/>
  <c r="Q53" i="2"/>
  <c r="P53" i="2"/>
  <c r="O53" i="2"/>
  <c r="N53" i="2"/>
  <c r="M53" i="2"/>
  <c r="L53" i="2"/>
  <c r="K53" i="2"/>
  <c r="J53" i="2"/>
  <c r="I53" i="2"/>
  <c r="H53" i="2"/>
  <c r="AL52" i="2"/>
  <c r="AK52" i="2"/>
  <c r="AJ52" i="2"/>
  <c r="AI52" i="2"/>
  <c r="AH52" i="2"/>
  <c r="AG52" i="2"/>
  <c r="AB52" i="2"/>
  <c r="AA52" i="2"/>
  <c r="Z52" i="2"/>
  <c r="Y52" i="2"/>
  <c r="X52" i="2"/>
  <c r="W52" i="2"/>
  <c r="V52" i="2"/>
  <c r="U52" i="2"/>
  <c r="T52" i="2"/>
  <c r="S52" i="2"/>
  <c r="R52" i="2"/>
  <c r="Q52" i="2"/>
  <c r="P52" i="2"/>
  <c r="O52" i="2"/>
  <c r="N52" i="2"/>
  <c r="M52" i="2"/>
  <c r="L52" i="2"/>
  <c r="K52" i="2"/>
  <c r="J52" i="2"/>
  <c r="I52" i="2"/>
  <c r="H52" i="2"/>
  <c r="AN51" i="2"/>
  <c r="AM51" i="2"/>
  <c r="AL51" i="2"/>
  <c r="AK51" i="2"/>
  <c r="AJ51" i="2"/>
  <c r="AI51" i="2"/>
  <c r="AH51" i="2"/>
  <c r="AG51" i="2"/>
  <c r="AF51" i="2"/>
  <c r="AD51" i="2"/>
  <c r="AB51" i="2"/>
  <c r="AA51" i="2"/>
  <c r="Z51" i="2"/>
  <c r="Y51" i="2"/>
  <c r="X51" i="2"/>
  <c r="W51" i="2"/>
  <c r="V51" i="2"/>
  <c r="U51" i="2"/>
  <c r="T51" i="2"/>
  <c r="S51" i="2"/>
  <c r="R51" i="2"/>
  <c r="Q51" i="2"/>
  <c r="P51" i="2"/>
  <c r="O51" i="2"/>
  <c r="N51" i="2"/>
  <c r="M51" i="2"/>
  <c r="L51" i="2"/>
  <c r="K51" i="2"/>
  <c r="J51" i="2"/>
  <c r="I51" i="2"/>
  <c r="H51" i="2"/>
  <c r="AL50" i="2"/>
  <c r="AK50" i="2"/>
  <c r="AJ50" i="2"/>
  <c r="AI50" i="2"/>
  <c r="AH50" i="2"/>
  <c r="AG50" i="2"/>
  <c r="AB50" i="2"/>
  <c r="AA50" i="2"/>
  <c r="Z50" i="2"/>
  <c r="Y50" i="2"/>
  <c r="X50" i="2"/>
  <c r="W50" i="2"/>
  <c r="V50" i="2"/>
  <c r="U50" i="2"/>
  <c r="T50" i="2"/>
  <c r="S50" i="2"/>
  <c r="R50" i="2"/>
  <c r="Q50" i="2"/>
  <c r="P50" i="2"/>
  <c r="O50" i="2"/>
  <c r="N50" i="2"/>
  <c r="M50" i="2"/>
  <c r="L50" i="2"/>
  <c r="K50" i="2"/>
  <c r="J50" i="2"/>
  <c r="I50" i="2"/>
  <c r="H50" i="2"/>
  <c r="AL49" i="2"/>
  <c r="AK49" i="2"/>
  <c r="AJ49" i="2"/>
  <c r="AI49" i="2"/>
  <c r="AH49" i="2"/>
  <c r="AG49" i="2"/>
  <c r="AB49" i="2"/>
  <c r="AA49" i="2"/>
  <c r="Z49" i="2"/>
  <c r="Y49" i="2"/>
  <c r="X49" i="2"/>
  <c r="V49" i="2"/>
  <c r="U49" i="2"/>
  <c r="T49" i="2"/>
  <c r="S49" i="2"/>
  <c r="R49" i="2"/>
  <c r="Q49" i="2"/>
  <c r="P49" i="2"/>
  <c r="O49" i="2"/>
  <c r="N49" i="2"/>
  <c r="M49" i="2"/>
  <c r="L49" i="2"/>
  <c r="K49" i="2"/>
  <c r="J49" i="2"/>
  <c r="I49" i="2"/>
  <c r="H49" i="2"/>
  <c r="AP48" i="2"/>
  <c r="AO48" i="2"/>
  <c r="AN48" i="2"/>
  <c r="AM48" i="2"/>
  <c r="AL48" i="2"/>
  <c r="AK48" i="2"/>
  <c r="AJ48" i="2"/>
  <c r="AI48" i="2"/>
  <c r="AH48" i="2"/>
  <c r="AG48" i="2"/>
  <c r="AB48" i="2"/>
  <c r="AA48" i="2"/>
  <c r="Z48" i="2"/>
  <c r="Y48" i="2"/>
  <c r="X48" i="2"/>
  <c r="W48" i="2"/>
  <c r="V48" i="2"/>
  <c r="U48" i="2"/>
  <c r="T48" i="2"/>
  <c r="S48" i="2"/>
  <c r="R48" i="2"/>
  <c r="Q48" i="2"/>
  <c r="P48" i="2"/>
  <c r="O48" i="2"/>
  <c r="N48" i="2"/>
  <c r="M48" i="2"/>
  <c r="L48" i="2"/>
  <c r="K48" i="2"/>
  <c r="J48" i="2"/>
  <c r="I48" i="2"/>
  <c r="H48" i="2"/>
  <c r="AP47" i="2"/>
  <c r="AO47" i="2"/>
  <c r="AN47" i="2"/>
  <c r="AM47" i="2"/>
  <c r="AL47" i="2"/>
  <c r="AK47" i="2"/>
  <c r="AJ47" i="2"/>
  <c r="AI47" i="2"/>
  <c r="AH47" i="2"/>
  <c r="AG47" i="2"/>
  <c r="AB47" i="2"/>
  <c r="AA47" i="2"/>
  <c r="Z47" i="2"/>
  <c r="Y47" i="2"/>
  <c r="X47" i="2"/>
  <c r="W47" i="2"/>
  <c r="V47" i="2"/>
  <c r="U47" i="2"/>
  <c r="T47" i="2"/>
  <c r="S47" i="2"/>
  <c r="R47" i="2"/>
  <c r="Q47" i="2"/>
  <c r="P47" i="2"/>
  <c r="O47" i="2"/>
  <c r="N47" i="2"/>
  <c r="M47" i="2"/>
  <c r="L47" i="2"/>
  <c r="K47" i="2"/>
  <c r="J47" i="2"/>
  <c r="I47" i="2"/>
  <c r="H47" i="2"/>
  <c r="AN46" i="2"/>
  <c r="AM46" i="2"/>
  <c r="AL46" i="2"/>
  <c r="AK46" i="2"/>
  <c r="AJ46" i="2"/>
  <c r="AI46" i="2"/>
  <c r="AH46" i="2"/>
  <c r="AG46" i="2"/>
  <c r="AB46" i="2"/>
  <c r="AA46" i="2"/>
  <c r="Z46" i="2"/>
  <c r="Y46" i="2"/>
  <c r="X46" i="2"/>
  <c r="W46" i="2"/>
  <c r="V46" i="2"/>
  <c r="U46" i="2"/>
  <c r="T46" i="2"/>
  <c r="S46" i="2"/>
  <c r="R46" i="2"/>
  <c r="Q46" i="2"/>
  <c r="P46" i="2"/>
  <c r="O46" i="2"/>
  <c r="N46" i="2"/>
  <c r="M46" i="2"/>
  <c r="L46" i="2"/>
  <c r="K46" i="2"/>
  <c r="J46" i="2"/>
  <c r="I46" i="2"/>
  <c r="H46" i="2"/>
  <c r="AN45" i="2"/>
  <c r="AM45" i="2"/>
  <c r="AL45" i="2"/>
  <c r="AK45" i="2"/>
  <c r="AJ45" i="2"/>
  <c r="AI45" i="2"/>
  <c r="AH45" i="2"/>
  <c r="AG45" i="2"/>
  <c r="AB45" i="2"/>
  <c r="AA45" i="2"/>
  <c r="Z45" i="2"/>
  <c r="Y45" i="2"/>
  <c r="X45" i="2"/>
  <c r="W45" i="2"/>
  <c r="V45" i="2"/>
  <c r="U45" i="2"/>
  <c r="T45" i="2"/>
  <c r="S45" i="2"/>
  <c r="R45" i="2"/>
  <c r="Q45" i="2"/>
  <c r="P45" i="2"/>
  <c r="O45" i="2"/>
  <c r="N45" i="2"/>
  <c r="M45" i="2"/>
  <c r="L45" i="2"/>
  <c r="K45" i="2"/>
  <c r="J45" i="2"/>
  <c r="I45" i="2"/>
  <c r="H45" i="2"/>
  <c r="AN44" i="2"/>
  <c r="AM44" i="2"/>
  <c r="AL44" i="2"/>
  <c r="AK44" i="2"/>
  <c r="AJ44" i="2"/>
  <c r="AI44" i="2"/>
  <c r="AH44" i="2"/>
  <c r="AG44" i="2"/>
  <c r="AB44" i="2"/>
  <c r="AA44" i="2"/>
  <c r="Z44" i="2"/>
  <c r="Y44" i="2"/>
  <c r="X44" i="2"/>
  <c r="W44" i="2"/>
  <c r="V44" i="2"/>
  <c r="U44" i="2"/>
  <c r="T44" i="2"/>
  <c r="S44" i="2"/>
  <c r="R44" i="2"/>
  <c r="Q44" i="2"/>
  <c r="P44" i="2"/>
  <c r="O44" i="2"/>
  <c r="N44" i="2"/>
  <c r="M44" i="2"/>
  <c r="L44" i="2"/>
  <c r="K44" i="2"/>
  <c r="J44" i="2"/>
  <c r="I44" i="2"/>
  <c r="H44" i="2"/>
  <c r="AN43" i="2"/>
  <c r="AM43" i="2"/>
  <c r="AL43" i="2"/>
  <c r="AK43" i="2"/>
  <c r="AJ43" i="2"/>
  <c r="AI43" i="2"/>
  <c r="AH43" i="2"/>
  <c r="AG43" i="2"/>
  <c r="AB43" i="2"/>
  <c r="AA43" i="2"/>
  <c r="Z43" i="2"/>
  <c r="Y43" i="2"/>
  <c r="X43" i="2"/>
  <c r="W43" i="2"/>
  <c r="V43" i="2"/>
  <c r="U43" i="2"/>
  <c r="T43" i="2"/>
  <c r="S43" i="2"/>
  <c r="R43" i="2"/>
  <c r="Q43" i="2"/>
  <c r="P43" i="2"/>
  <c r="O43" i="2"/>
  <c r="N43" i="2"/>
  <c r="M43" i="2"/>
  <c r="L43" i="2"/>
  <c r="K43" i="2"/>
  <c r="J43" i="2"/>
  <c r="I43" i="2"/>
  <c r="H43" i="2"/>
  <c r="AN42" i="2"/>
  <c r="AM42" i="2"/>
  <c r="AL42" i="2"/>
  <c r="AK42" i="2"/>
  <c r="AJ42" i="2"/>
  <c r="AI42" i="2"/>
  <c r="AH42" i="2"/>
  <c r="AG42" i="2"/>
  <c r="AB42" i="2"/>
  <c r="AA42" i="2"/>
  <c r="Z42" i="2"/>
  <c r="Y42" i="2"/>
  <c r="X42" i="2"/>
  <c r="W42" i="2"/>
  <c r="V42" i="2"/>
  <c r="U42" i="2"/>
  <c r="T42" i="2"/>
  <c r="S42" i="2"/>
  <c r="R42" i="2"/>
  <c r="Q42" i="2"/>
  <c r="P42" i="2"/>
  <c r="O42" i="2"/>
  <c r="N42" i="2"/>
  <c r="M42" i="2"/>
  <c r="L42" i="2"/>
  <c r="K42" i="2"/>
  <c r="J42" i="2"/>
  <c r="I42" i="2"/>
  <c r="H42" i="2"/>
  <c r="AL41" i="2"/>
  <c r="AK41" i="2"/>
  <c r="AJ41" i="2"/>
  <c r="AI41" i="2"/>
  <c r="AH41" i="2"/>
  <c r="AG41" i="2"/>
  <c r="AF41" i="2"/>
  <c r="AC41" i="2"/>
  <c r="AB41" i="2"/>
  <c r="AA41" i="2"/>
  <c r="Z41" i="2"/>
  <c r="Y41" i="2"/>
  <c r="X41" i="2"/>
  <c r="W41" i="2"/>
  <c r="V41" i="2"/>
  <c r="U41" i="2"/>
  <c r="T41" i="2"/>
  <c r="S41" i="2"/>
  <c r="R41" i="2"/>
  <c r="Q41" i="2"/>
  <c r="P41" i="2"/>
  <c r="O41" i="2"/>
  <c r="N41" i="2"/>
  <c r="M41" i="2"/>
  <c r="L41" i="2"/>
  <c r="K41" i="2"/>
  <c r="J41" i="2"/>
  <c r="I41" i="2"/>
  <c r="H41" i="2"/>
  <c r="AL40" i="2"/>
  <c r="AK40" i="2"/>
  <c r="AJ40" i="2"/>
  <c r="AI40" i="2"/>
  <c r="AH40" i="2"/>
  <c r="AG40" i="2"/>
  <c r="AB40" i="2"/>
  <c r="AA40" i="2"/>
  <c r="Z40" i="2"/>
  <c r="Y40" i="2"/>
  <c r="X40" i="2"/>
  <c r="W40" i="2"/>
  <c r="V40" i="2"/>
  <c r="U40" i="2"/>
  <c r="T40" i="2"/>
  <c r="S40" i="2"/>
  <c r="R40" i="2"/>
  <c r="Q40" i="2"/>
  <c r="P40" i="2"/>
  <c r="O40" i="2"/>
  <c r="N40" i="2"/>
  <c r="M40" i="2"/>
  <c r="L40" i="2"/>
  <c r="K40" i="2"/>
  <c r="J40" i="2"/>
  <c r="I40" i="2"/>
  <c r="H40" i="2"/>
  <c r="AJ39" i="2"/>
  <c r="AI39" i="2"/>
  <c r="AH39" i="2"/>
  <c r="AG39" i="2"/>
  <c r="AB39" i="2"/>
  <c r="AA39" i="2"/>
  <c r="Z39" i="2"/>
  <c r="Y39" i="2"/>
  <c r="X39" i="2"/>
  <c r="W39" i="2"/>
  <c r="V39" i="2"/>
  <c r="U39" i="2"/>
  <c r="T39" i="2"/>
  <c r="S39" i="2"/>
  <c r="R39" i="2"/>
  <c r="Q39" i="2"/>
  <c r="P39" i="2"/>
  <c r="O39" i="2"/>
  <c r="N39" i="2"/>
  <c r="M39" i="2"/>
  <c r="L39" i="2"/>
  <c r="K39" i="2"/>
  <c r="J39" i="2"/>
  <c r="I39" i="2"/>
  <c r="H39" i="2"/>
  <c r="AG38" i="2"/>
  <c r="AB38" i="2"/>
  <c r="AA38" i="2"/>
  <c r="Z38" i="2"/>
  <c r="Y38" i="2"/>
  <c r="X38" i="2"/>
  <c r="W38" i="2"/>
  <c r="V38" i="2"/>
  <c r="U38" i="2"/>
  <c r="T38" i="2"/>
  <c r="S38" i="2"/>
  <c r="R38" i="2"/>
  <c r="Q38" i="2"/>
  <c r="P38" i="2"/>
  <c r="O38" i="2"/>
  <c r="N38" i="2"/>
  <c r="M38" i="2"/>
  <c r="L38" i="2"/>
  <c r="K38" i="2"/>
  <c r="J38" i="2"/>
  <c r="I38" i="2"/>
  <c r="H38" i="2"/>
  <c r="AG37" i="2"/>
  <c r="AB37" i="2"/>
  <c r="AA37" i="2"/>
  <c r="Z37" i="2"/>
  <c r="Y37" i="2"/>
  <c r="X37" i="2"/>
  <c r="W37" i="2"/>
  <c r="V37" i="2"/>
  <c r="U37" i="2"/>
  <c r="T37" i="2"/>
  <c r="S37" i="2"/>
  <c r="R37" i="2"/>
  <c r="Q37" i="2"/>
  <c r="P37" i="2"/>
  <c r="O37" i="2"/>
  <c r="N37" i="2"/>
  <c r="M37" i="2"/>
  <c r="L37" i="2"/>
  <c r="K37" i="2"/>
  <c r="J37" i="2"/>
  <c r="I37" i="2"/>
  <c r="H37" i="2"/>
  <c r="AJ36" i="2"/>
  <c r="AI36" i="2"/>
  <c r="AH36" i="2"/>
  <c r="AG36" i="2"/>
  <c r="AB36" i="2"/>
  <c r="AA36" i="2"/>
  <c r="Z36" i="2"/>
  <c r="Y36" i="2"/>
  <c r="X36" i="2"/>
  <c r="W36" i="2"/>
  <c r="V36" i="2"/>
  <c r="U36" i="2"/>
  <c r="T36" i="2"/>
  <c r="S36" i="2"/>
  <c r="R36" i="2"/>
  <c r="Q36" i="2"/>
  <c r="P36" i="2"/>
  <c r="O36" i="2"/>
  <c r="N36" i="2"/>
  <c r="M36" i="2"/>
  <c r="L36" i="2"/>
  <c r="K36" i="2"/>
  <c r="J36" i="2"/>
  <c r="I36" i="2"/>
  <c r="H36" i="2"/>
  <c r="AH35" i="2"/>
  <c r="AG35" i="2"/>
  <c r="AB35" i="2"/>
  <c r="AA35" i="2"/>
  <c r="Z35" i="2"/>
  <c r="Y35" i="2"/>
  <c r="X35" i="2"/>
  <c r="W35" i="2"/>
  <c r="V35" i="2"/>
  <c r="U35" i="2"/>
  <c r="T35" i="2"/>
  <c r="S35" i="2"/>
  <c r="R35" i="2"/>
  <c r="Q35" i="2"/>
  <c r="P35" i="2"/>
  <c r="O35" i="2"/>
  <c r="N35" i="2"/>
  <c r="M35" i="2"/>
  <c r="L35" i="2"/>
  <c r="K35" i="2"/>
  <c r="J35" i="2"/>
  <c r="I35" i="2"/>
  <c r="H35" i="2"/>
  <c r="AH34" i="2"/>
  <c r="AG34" i="2"/>
  <c r="AB34" i="2"/>
  <c r="AA34" i="2"/>
  <c r="Z34" i="2"/>
  <c r="Y34" i="2"/>
  <c r="X34" i="2"/>
  <c r="W34" i="2"/>
  <c r="V34" i="2"/>
  <c r="U34" i="2"/>
  <c r="T34" i="2"/>
  <c r="S34" i="2"/>
  <c r="R34" i="2"/>
  <c r="Q34" i="2"/>
  <c r="P34" i="2"/>
  <c r="O34" i="2"/>
  <c r="N34" i="2"/>
  <c r="M34" i="2"/>
  <c r="L34" i="2"/>
  <c r="K34" i="2"/>
  <c r="J34" i="2"/>
  <c r="I34" i="2"/>
  <c r="H34" i="2"/>
  <c r="AH33" i="2"/>
  <c r="AG33" i="2"/>
  <c r="AB33" i="2"/>
  <c r="AA33" i="2"/>
  <c r="Z33" i="2"/>
  <c r="Y33" i="2"/>
  <c r="X33" i="2"/>
  <c r="W33" i="2"/>
  <c r="V33" i="2"/>
  <c r="U33" i="2"/>
  <c r="T33" i="2"/>
  <c r="S33" i="2"/>
  <c r="R33" i="2"/>
  <c r="Q33" i="2"/>
  <c r="P33" i="2"/>
  <c r="O33" i="2"/>
  <c r="N33" i="2"/>
  <c r="M33" i="2"/>
  <c r="L33" i="2"/>
  <c r="K33" i="2"/>
  <c r="J33" i="2"/>
  <c r="I33" i="2"/>
  <c r="H33" i="2"/>
  <c r="AG32" i="2"/>
  <c r="AB32" i="2"/>
  <c r="AA32" i="2"/>
  <c r="Z32" i="2"/>
  <c r="Y32" i="2"/>
  <c r="X32" i="2"/>
  <c r="W32" i="2"/>
  <c r="V32" i="2"/>
  <c r="U32" i="2"/>
  <c r="T32" i="2"/>
  <c r="S32" i="2"/>
  <c r="R32" i="2"/>
  <c r="Q32" i="2"/>
  <c r="P32" i="2"/>
  <c r="O32" i="2"/>
  <c r="N32" i="2"/>
  <c r="M32" i="2"/>
  <c r="L32" i="2"/>
  <c r="K32" i="2"/>
  <c r="J32" i="2"/>
  <c r="I32" i="2"/>
  <c r="H32" i="2"/>
  <c r="AG31" i="2"/>
  <c r="AB31" i="2"/>
  <c r="AA31" i="2"/>
  <c r="Z31" i="2"/>
  <c r="Y31" i="2"/>
  <c r="X31" i="2"/>
  <c r="W31" i="2"/>
  <c r="V31" i="2"/>
  <c r="U31" i="2"/>
  <c r="T31" i="2"/>
  <c r="S31" i="2"/>
  <c r="R31" i="2"/>
  <c r="Q31" i="2"/>
  <c r="P31" i="2"/>
  <c r="O31" i="2"/>
  <c r="N31" i="2"/>
  <c r="M31" i="2"/>
  <c r="L31" i="2"/>
  <c r="K31" i="2"/>
  <c r="J31" i="2"/>
  <c r="I31" i="2"/>
  <c r="H31" i="2"/>
  <c r="AN30" i="2"/>
  <c r="AM30" i="2"/>
  <c r="AL30" i="2"/>
  <c r="AK30" i="2"/>
  <c r="AJ30" i="2"/>
  <c r="AI30" i="2"/>
  <c r="AH30" i="2"/>
  <c r="AG30" i="2"/>
  <c r="AB30" i="2"/>
  <c r="AA30" i="2"/>
  <c r="Z30" i="2"/>
  <c r="Y30" i="2"/>
  <c r="X30" i="2"/>
  <c r="W30" i="2"/>
  <c r="V30" i="2"/>
  <c r="U30" i="2"/>
  <c r="T30" i="2"/>
  <c r="S30" i="2"/>
  <c r="R30" i="2"/>
  <c r="Q30" i="2"/>
  <c r="P30" i="2"/>
  <c r="O30" i="2"/>
  <c r="N30" i="2"/>
  <c r="M30" i="2"/>
  <c r="L30" i="2"/>
  <c r="K30" i="2"/>
  <c r="J30" i="2"/>
  <c r="I30" i="2"/>
  <c r="H30" i="2"/>
  <c r="AN29" i="2"/>
  <c r="AM29" i="2"/>
  <c r="AL29" i="2"/>
  <c r="AK29" i="2"/>
  <c r="AJ29" i="2"/>
  <c r="AI29" i="2"/>
  <c r="AH29" i="2"/>
  <c r="AG29" i="2"/>
  <c r="AB29" i="2"/>
  <c r="AA29" i="2"/>
  <c r="Z29" i="2"/>
  <c r="Y29" i="2"/>
  <c r="X29" i="2"/>
  <c r="W29" i="2"/>
  <c r="V29" i="2"/>
  <c r="U29" i="2"/>
  <c r="T29" i="2"/>
  <c r="S29" i="2"/>
  <c r="R29" i="2"/>
  <c r="Q29" i="2"/>
  <c r="P29" i="2"/>
  <c r="O29" i="2"/>
  <c r="N29" i="2"/>
  <c r="M29" i="2"/>
  <c r="L29" i="2"/>
  <c r="K29" i="2"/>
  <c r="J29" i="2"/>
  <c r="I29" i="2"/>
  <c r="H29" i="2"/>
  <c r="AN28" i="2"/>
  <c r="AM28" i="2"/>
  <c r="AL28" i="2"/>
  <c r="AK28" i="2"/>
  <c r="AJ28" i="2"/>
  <c r="AI28" i="2"/>
  <c r="AH28" i="2"/>
  <c r="AG28" i="2"/>
  <c r="AB28" i="2"/>
  <c r="AA28" i="2"/>
  <c r="Z28" i="2"/>
  <c r="Y28" i="2"/>
  <c r="X28" i="2"/>
  <c r="W28" i="2"/>
  <c r="V28" i="2"/>
  <c r="U28" i="2"/>
  <c r="T28" i="2"/>
  <c r="S28" i="2"/>
  <c r="R28" i="2"/>
  <c r="Q28" i="2"/>
  <c r="P28" i="2"/>
  <c r="O28" i="2"/>
  <c r="N28" i="2"/>
  <c r="M28" i="2"/>
  <c r="L28" i="2"/>
  <c r="K28" i="2"/>
  <c r="J28" i="2"/>
  <c r="I28" i="2"/>
  <c r="H28" i="2"/>
  <c r="AJ27" i="2"/>
  <c r="AI27" i="2"/>
  <c r="AH27" i="2"/>
  <c r="AG27" i="2"/>
  <c r="AB27" i="2"/>
  <c r="AA27" i="2"/>
  <c r="Z27" i="2"/>
  <c r="Y27" i="2"/>
  <c r="X27" i="2"/>
  <c r="W27" i="2"/>
  <c r="V27" i="2"/>
  <c r="U27" i="2"/>
  <c r="T27" i="2"/>
  <c r="S27" i="2"/>
  <c r="R27" i="2"/>
  <c r="Q27" i="2"/>
  <c r="P27" i="2"/>
  <c r="O27" i="2"/>
  <c r="N27" i="2"/>
  <c r="M27" i="2"/>
  <c r="L27" i="2"/>
  <c r="K27" i="2"/>
  <c r="J27" i="2"/>
  <c r="I27" i="2"/>
  <c r="H27" i="2"/>
  <c r="AJ26" i="2"/>
  <c r="AI26" i="2"/>
  <c r="AH26" i="2"/>
  <c r="AG26" i="2"/>
  <c r="AB26" i="2"/>
  <c r="AA26" i="2"/>
  <c r="Z26" i="2"/>
  <c r="Y26" i="2"/>
  <c r="X26" i="2"/>
  <c r="W26" i="2"/>
  <c r="V26" i="2"/>
  <c r="U26" i="2"/>
  <c r="T26" i="2"/>
  <c r="S26" i="2"/>
  <c r="R26" i="2"/>
  <c r="Q26" i="2"/>
  <c r="P26" i="2"/>
  <c r="O26" i="2"/>
  <c r="N26" i="2"/>
  <c r="M26" i="2"/>
  <c r="L26" i="2"/>
  <c r="K26" i="2"/>
  <c r="J26" i="2"/>
  <c r="I26" i="2"/>
  <c r="H26" i="2"/>
  <c r="AJ25" i="2"/>
  <c r="AI25" i="2"/>
  <c r="AH25" i="2"/>
  <c r="AG25" i="2"/>
  <c r="AB25" i="2"/>
  <c r="AA25" i="2"/>
  <c r="Z25" i="2"/>
  <c r="Y25" i="2"/>
  <c r="X25" i="2"/>
  <c r="W25" i="2"/>
  <c r="V25" i="2"/>
  <c r="U25" i="2"/>
  <c r="T25" i="2"/>
  <c r="S25" i="2"/>
  <c r="R25" i="2"/>
  <c r="Q25" i="2"/>
  <c r="P25" i="2"/>
  <c r="O25" i="2"/>
  <c r="N25" i="2"/>
  <c r="M25" i="2"/>
  <c r="L25" i="2"/>
  <c r="K25" i="2"/>
  <c r="J25" i="2"/>
  <c r="I25" i="2"/>
  <c r="H25" i="2"/>
  <c r="AJ24" i="2"/>
  <c r="AI24" i="2"/>
  <c r="AH24" i="2"/>
  <c r="AG24" i="2"/>
  <c r="AB24" i="2"/>
  <c r="AA24" i="2"/>
  <c r="Z24" i="2"/>
  <c r="Y24" i="2"/>
  <c r="X24" i="2"/>
  <c r="W24" i="2"/>
  <c r="V24" i="2"/>
  <c r="U24" i="2"/>
  <c r="T24" i="2"/>
  <c r="S24" i="2"/>
  <c r="R24" i="2"/>
  <c r="Q24" i="2"/>
  <c r="P24" i="2"/>
  <c r="O24" i="2"/>
  <c r="N24" i="2"/>
  <c r="M24" i="2"/>
  <c r="L24" i="2"/>
  <c r="K24" i="2"/>
  <c r="J24" i="2"/>
  <c r="I24" i="2"/>
  <c r="H24" i="2"/>
  <c r="AN23" i="2"/>
  <c r="AM23" i="2"/>
  <c r="AL23" i="2"/>
  <c r="AK23" i="2"/>
  <c r="AJ23" i="2"/>
  <c r="AI23" i="2"/>
  <c r="AH23" i="2"/>
  <c r="AG23" i="2"/>
  <c r="AB23" i="2"/>
  <c r="AA23" i="2"/>
  <c r="Z23" i="2"/>
  <c r="Y23" i="2"/>
  <c r="X23" i="2"/>
  <c r="W23" i="2"/>
  <c r="V23" i="2"/>
  <c r="U23" i="2"/>
  <c r="T23" i="2"/>
  <c r="S23" i="2"/>
  <c r="R23" i="2"/>
  <c r="Q23" i="2"/>
  <c r="P23" i="2"/>
  <c r="O23" i="2"/>
  <c r="N23" i="2"/>
  <c r="M23" i="2"/>
  <c r="L23" i="2"/>
  <c r="K23" i="2"/>
  <c r="J23" i="2"/>
  <c r="I23" i="2"/>
  <c r="H23" i="2"/>
  <c r="AH22" i="2"/>
  <c r="AG22" i="2"/>
  <c r="AB22" i="2"/>
  <c r="AA22" i="2"/>
  <c r="Z22" i="2"/>
  <c r="Y22" i="2"/>
  <c r="X22" i="2"/>
  <c r="W22" i="2"/>
  <c r="V22" i="2"/>
  <c r="U22" i="2"/>
  <c r="T22" i="2"/>
  <c r="S22" i="2"/>
  <c r="R22" i="2"/>
  <c r="Q22" i="2"/>
  <c r="P22" i="2"/>
  <c r="O22" i="2"/>
  <c r="N22" i="2"/>
  <c r="M22" i="2"/>
  <c r="L22" i="2"/>
  <c r="K22" i="2"/>
  <c r="J22" i="2"/>
  <c r="I22" i="2"/>
  <c r="H22" i="2"/>
  <c r="AG21" i="2"/>
  <c r="AB21" i="2"/>
  <c r="AA21" i="2"/>
  <c r="Z21" i="2"/>
  <c r="Y21" i="2"/>
  <c r="X21" i="2"/>
  <c r="W21" i="2"/>
  <c r="V21" i="2"/>
  <c r="U21" i="2"/>
  <c r="T21" i="2"/>
  <c r="S21" i="2"/>
  <c r="R21" i="2"/>
  <c r="Q21" i="2"/>
  <c r="P21" i="2"/>
  <c r="O21" i="2"/>
  <c r="N21" i="2"/>
  <c r="M21" i="2"/>
  <c r="L21" i="2"/>
  <c r="K21" i="2"/>
  <c r="J21" i="2"/>
  <c r="I21" i="2"/>
  <c r="H21" i="2"/>
  <c r="AL20" i="2"/>
  <c r="AK20" i="2"/>
  <c r="AJ20" i="2"/>
  <c r="AI20" i="2"/>
  <c r="AH20" i="2"/>
  <c r="AG20" i="2"/>
  <c r="AB20" i="2"/>
  <c r="AA20" i="2"/>
  <c r="Z20" i="2"/>
  <c r="Y20" i="2"/>
  <c r="X20" i="2"/>
  <c r="W20" i="2"/>
  <c r="V20" i="2"/>
  <c r="U20" i="2"/>
  <c r="T20" i="2"/>
  <c r="S20" i="2"/>
  <c r="R20" i="2"/>
  <c r="Q20" i="2"/>
  <c r="P20" i="2"/>
  <c r="O20" i="2"/>
  <c r="N20" i="2"/>
  <c r="M20" i="2"/>
  <c r="L20" i="2"/>
  <c r="K20" i="2"/>
  <c r="J20" i="2"/>
  <c r="I20" i="2"/>
  <c r="H20" i="2"/>
  <c r="AJ19" i="2"/>
  <c r="AI19" i="2"/>
  <c r="AH19" i="2"/>
  <c r="AG19" i="2"/>
  <c r="AB19" i="2"/>
  <c r="AA19" i="2"/>
  <c r="Z19" i="2"/>
  <c r="Y19" i="2"/>
  <c r="X19" i="2"/>
  <c r="W19" i="2"/>
  <c r="V19" i="2"/>
  <c r="U19" i="2"/>
  <c r="T19" i="2"/>
  <c r="S19" i="2"/>
  <c r="R19" i="2"/>
  <c r="Q19" i="2"/>
  <c r="P19" i="2"/>
  <c r="O19" i="2"/>
  <c r="N19" i="2"/>
  <c r="M19" i="2"/>
  <c r="L19" i="2"/>
  <c r="K19" i="2"/>
  <c r="J19" i="2"/>
  <c r="I19" i="2"/>
  <c r="H19" i="2"/>
  <c r="AJ18" i="2"/>
  <c r="AI18" i="2"/>
  <c r="AH18" i="2"/>
  <c r="AG18" i="2"/>
  <c r="AB18" i="2"/>
  <c r="AA18" i="2"/>
  <c r="Z18" i="2"/>
  <c r="Y18" i="2"/>
  <c r="X18" i="2"/>
  <c r="W18" i="2"/>
  <c r="V18" i="2"/>
  <c r="U18" i="2"/>
  <c r="T18" i="2"/>
  <c r="S18" i="2"/>
  <c r="R18" i="2"/>
  <c r="Q18" i="2"/>
  <c r="P18" i="2"/>
  <c r="O18" i="2"/>
  <c r="N18" i="2"/>
  <c r="M18" i="2"/>
  <c r="L18" i="2"/>
  <c r="K18" i="2"/>
  <c r="J18" i="2"/>
  <c r="I18" i="2"/>
  <c r="H18" i="2"/>
  <c r="AJ17" i="2"/>
  <c r="AI17" i="2"/>
  <c r="AH17" i="2"/>
  <c r="AG17" i="2"/>
  <c r="AB17" i="2"/>
  <c r="AA17" i="2"/>
  <c r="Z17" i="2"/>
  <c r="Y17" i="2"/>
  <c r="X17" i="2"/>
  <c r="W17" i="2"/>
  <c r="V17" i="2"/>
  <c r="U17" i="2"/>
  <c r="T17" i="2"/>
  <c r="S17" i="2"/>
  <c r="R17" i="2"/>
  <c r="Q17" i="2"/>
  <c r="P17" i="2"/>
  <c r="O17" i="2"/>
  <c r="N17" i="2"/>
  <c r="M17" i="2"/>
  <c r="L17" i="2"/>
  <c r="K17" i="2"/>
  <c r="J17" i="2"/>
  <c r="I17" i="2"/>
  <c r="H17" i="2"/>
  <c r="AL16" i="2"/>
  <c r="AK16" i="2"/>
  <c r="AJ16" i="2"/>
  <c r="AI16" i="2"/>
  <c r="AH16" i="2"/>
  <c r="AG16" i="2"/>
  <c r="AB16" i="2"/>
  <c r="AA16" i="2"/>
  <c r="Z16" i="2"/>
  <c r="Y16" i="2"/>
  <c r="X16" i="2"/>
  <c r="W16" i="2"/>
  <c r="V16" i="2"/>
  <c r="U16" i="2"/>
  <c r="T16" i="2"/>
  <c r="S16" i="2"/>
  <c r="R16" i="2"/>
  <c r="Q16" i="2"/>
  <c r="P16" i="2"/>
  <c r="O16" i="2"/>
  <c r="N16" i="2"/>
  <c r="M16" i="2"/>
  <c r="L16" i="2"/>
  <c r="K16" i="2"/>
  <c r="J16" i="2"/>
  <c r="I16" i="2"/>
  <c r="H16" i="2"/>
  <c r="AL15" i="2"/>
  <c r="AK15" i="2"/>
  <c r="AJ15" i="2"/>
  <c r="AI15" i="2"/>
  <c r="AH15" i="2"/>
  <c r="AG15" i="2"/>
  <c r="AB15" i="2"/>
  <c r="AA15" i="2"/>
  <c r="Z15" i="2"/>
  <c r="Y15" i="2"/>
  <c r="X15" i="2"/>
  <c r="W15" i="2"/>
  <c r="V15" i="2"/>
  <c r="U15" i="2"/>
  <c r="T15" i="2"/>
  <c r="S15" i="2"/>
  <c r="R15" i="2"/>
  <c r="Q15" i="2"/>
  <c r="P15" i="2"/>
  <c r="O15" i="2"/>
  <c r="N15" i="2"/>
  <c r="M15" i="2"/>
  <c r="L15" i="2"/>
  <c r="K15" i="2"/>
  <c r="J15" i="2"/>
  <c r="I15" i="2"/>
  <c r="H15" i="2"/>
  <c r="AL14" i="2"/>
  <c r="AK14" i="2"/>
  <c r="AJ14" i="2"/>
  <c r="AI14" i="2"/>
  <c r="AH14" i="2"/>
  <c r="AG14" i="2"/>
  <c r="AB14" i="2"/>
  <c r="AA14" i="2"/>
  <c r="Z14" i="2"/>
  <c r="Y14" i="2"/>
  <c r="X14" i="2"/>
  <c r="W14" i="2"/>
  <c r="V14" i="2"/>
  <c r="U14" i="2"/>
  <c r="T14" i="2"/>
  <c r="S14" i="2"/>
  <c r="R14" i="2"/>
  <c r="Q14" i="2"/>
  <c r="P14" i="2"/>
  <c r="O14" i="2"/>
  <c r="N14" i="2"/>
  <c r="M14" i="2"/>
  <c r="L14" i="2"/>
  <c r="K14" i="2"/>
  <c r="J14" i="2"/>
  <c r="I14" i="2"/>
  <c r="H14" i="2"/>
  <c r="AG13" i="2"/>
  <c r="AB13" i="2"/>
  <c r="AA13" i="2"/>
  <c r="Z13" i="2"/>
  <c r="Y13" i="2"/>
  <c r="X13" i="2"/>
  <c r="W13" i="2"/>
  <c r="V13" i="2"/>
  <c r="U13" i="2"/>
  <c r="T13" i="2"/>
  <c r="S13" i="2"/>
  <c r="R13" i="2"/>
  <c r="Q13" i="2"/>
  <c r="P13" i="2"/>
  <c r="O13" i="2"/>
  <c r="N13" i="2"/>
  <c r="M13" i="2"/>
  <c r="L13" i="2"/>
  <c r="K13" i="2"/>
  <c r="J13" i="2"/>
  <c r="I13" i="2"/>
  <c r="H13" i="2"/>
  <c r="AN12" i="2"/>
  <c r="AM12" i="2"/>
  <c r="AL12" i="2"/>
  <c r="AK12" i="2"/>
  <c r="AJ12" i="2"/>
  <c r="AI12" i="2"/>
  <c r="AH12" i="2"/>
  <c r="AG12" i="2"/>
  <c r="AB12" i="2"/>
  <c r="AA12" i="2"/>
  <c r="Z12" i="2"/>
  <c r="Y12" i="2"/>
  <c r="X12" i="2"/>
  <c r="W12" i="2"/>
  <c r="V12" i="2"/>
  <c r="U12" i="2"/>
  <c r="T12" i="2"/>
  <c r="S12" i="2"/>
  <c r="R12" i="2"/>
  <c r="Q12" i="2"/>
  <c r="P12" i="2"/>
  <c r="O12" i="2"/>
  <c r="N12" i="2"/>
  <c r="M12" i="2"/>
  <c r="L12" i="2"/>
  <c r="K12" i="2"/>
  <c r="J12" i="2"/>
  <c r="I12" i="2"/>
  <c r="H12" i="2"/>
  <c r="AJ11" i="2"/>
  <c r="AI11" i="2"/>
  <c r="AH11" i="2"/>
  <c r="AG11" i="2"/>
  <c r="AB11" i="2"/>
  <c r="AA11" i="2"/>
  <c r="Z11" i="2"/>
  <c r="Y11" i="2"/>
  <c r="X11" i="2"/>
  <c r="W11" i="2"/>
  <c r="V11" i="2"/>
  <c r="U11" i="2"/>
  <c r="T11" i="2"/>
  <c r="S11" i="2"/>
  <c r="R11" i="2"/>
  <c r="Q11" i="2"/>
  <c r="P11" i="2"/>
  <c r="O11" i="2"/>
  <c r="N11" i="2"/>
  <c r="M11" i="2"/>
  <c r="L11" i="2"/>
  <c r="K11" i="2"/>
  <c r="J11" i="2"/>
  <c r="I11" i="2"/>
  <c r="H11" i="2"/>
  <c r="AJ10" i="2"/>
  <c r="AI10" i="2"/>
  <c r="AH10" i="2"/>
  <c r="AG10" i="2"/>
  <c r="AF10" i="2"/>
  <c r="AE10" i="2"/>
  <c r="AB10" i="2"/>
  <c r="AA10" i="2"/>
  <c r="Z10" i="2"/>
  <c r="Y10" i="2"/>
  <c r="X10" i="2"/>
  <c r="W10" i="2"/>
  <c r="V10" i="2"/>
  <c r="U10" i="2"/>
  <c r="T10" i="2"/>
  <c r="S10" i="2"/>
  <c r="R10" i="2"/>
  <c r="Q10" i="2"/>
  <c r="P10" i="2"/>
  <c r="O10" i="2"/>
  <c r="N10" i="2"/>
  <c r="M10" i="2"/>
  <c r="L10" i="2"/>
  <c r="K10" i="2"/>
  <c r="J10" i="2"/>
  <c r="I10" i="2"/>
  <c r="H10" i="2"/>
  <c r="AL9" i="2"/>
  <c r="AK9" i="2"/>
  <c r="AJ9" i="2"/>
  <c r="AI9" i="2"/>
  <c r="AH9" i="2"/>
  <c r="AG9" i="2"/>
  <c r="AF9" i="2"/>
  <c r="AD9" i="2"/>
  <c r="AB9" i="2"/>
  <c r="AA9" i="2"/>
  <c r="Z9" i="2"/>
  <c r="Y9" i="2"/>
  <c r="X9" i="2"/>
  <c r="W9" i="2"/>
  <c r="V9" i="2"/>
  <c r="U9" i="2"/>
  <c r="T9" i="2"/>
  <c r="S9" i="2"/>
  <c r="R9" i="2"/>
  <c r="Q9" i="2"/>
  <c r="P9" i="2"/>
  <c r="O9" i="2"/>
  <c r="N9" i="2"/>
  <c r="M9" i="2"/>
  <c r="L9" i="2"/>
  <c r="K9" i="2"/>
  <c r="J9" i="2"/>
  <c r="I9" i="2"/>
  <c r="H9" i="2"/>
  <c r="AL8" i="2"/>
  <c r="AK8" i="2"/>
  <c r="AJ8" i="2"/>
  <c r="AI8" i="2"/>
  <c r="AH8" i="2"/>
  <c r="AG8" i="2"/>
  <c r="AB8" i="2"/>
  <c r="AA8" i="2"/>
  <c r="Z8" i="2"/>
  <c r="Y8" i="2"/>
  <c r="X8" i="2"/>
  <c r="W8" i="2"/>
  <c r="V8" i="2"/>
  <c r="U8" i="2"/>
  <c r="T8" i="2"/>
  <c r="S8" i="2"/>
  <c r="R8" i="2"/>
  <c r="Q8" i="2"/>
  <c r="P8" i="2"/>
  <c r="O8" i="2"/>
  <c r="N8" i="2"/>
  <c r="M8" i="2"/>
  <c r="L8" i="2"/>
  <c r="K8" i="2"/>
  <c r="J8" i="2"/>
  <c r="I8" i="2"/>
  <c r="H8" i="2"/>
  <c r="AJ7" i="2"/>
  <c r="AI7" i="2"/>
  <c r="AH7" i="2"/>
  <c r="AG7" i="2"/>
  <c r="AB7" i="2"/>
  <c r="AA7" i="2"/>
  <c r="Z7" i="2"/>
  <c r="Y7" i="2"/>
  <c r="X7" i="2"/>
  <c r="W7" i="2"/>
  <c r="V7" i="2"/>
  <c r="U7" i="2"/>
  <c r="T7" i="2"/>
  <c r="S7" i="2"/>
  <c r="R7" i="2"/>
  <c r="Q7" i="2"/>
  <c r="P7" i="2"/>
  <c r="O7" i="2"/>
  <c r="N7" i="2"/>
  <c r="M7" i="2"/>
  <c r="L7" i="2"/>
  <c r="K7" i="2"/>
  <c r="J7" i="2"/>
  <c r="I7" i="2"/>
  <c r="H7" i="2"/>
  <c r="AH6" i="2"/>
  <c r="AG6" i="2"/>
  <c r="AB6" i="2"/>
  <c r="AA6" i="2"/>
  <c r="Z6" i="2"/>
  <c r="Y6" i="2"/>
  <c r="X6" i="2"/>
  <c r="W6" i="2"/>
  <c r="V6" i="2"/>
  <c r="U6" i="2"/>
  <c r="T6" i="2"/>
  <c r="S6" i="2"/>
  <c r="R6" i="2"/>
  <c r="Q6" i="2"/>
  <c r="P6" i="2"/>
  <c r="O6" i="2"/>
  <c r="N6" i="2"/>
  <c r="M6" i="2"/>
  <c r="L6" i="2"/>
  <c r="K6" i="2"/>
  <c r="J6" i="2"/>
  <c r="I6" i="2"/>
  <c r="H6" i="2"/>
  <c r="AJ5" i="2"/>
  <c r="AI5" i="2"/>
  <c r="AH5" i="2"/>
  <c r="AG5" i="2"/>
  <c r="AB5" i="2"/>
  <c r="AA5" i="2"/>
  <c r="Z5" i="2"/>
  <c r="Y5" i="2"/>
  <c r="X5" i="2"/>
  <c r="W5" i="2"/>
  <c r="V5" i="2"/>
  <c r="U5" i="2"/>
  <c r="T5" i="2"/>
  <c r="S5" i="2"/>
  <c r="R5" i="2"/>
  <c r="Q5" i="2"/>
  <c r="P5" i="2"/>
  <c r="O5" i="2"/>
  <c r="N5" i="2"/>
  <c r="M5" i="2"/>
  <c r="L5" i="2"/>
  <c r="K5" i="2"/>
  <c r="J5" i="2"/>
  <c r="I5" i="2"/>
  <c r="H5" i="2"/>
  <c r="AJ4" i="2"/>
  <c r="AI4" i="2"/>
  <c r="AH4" i="2"/>
  <c r="AG4" i="2"/>
  <c r="AB4" i="2"/>
  <c r="AA4" i="2"/>
  <c r="Z4" i="2"/>
  <c r="Y4" i="2"/>
  <c r="X4" i="2"/>
  <c r="W4" i="2"/>
  <c r="V4" i="2"/>
  <c r="U4" i="2"/>
  <c r="T4" i="2"/>
  <c r="S4" i="2"/>
  <c r="R4" i="2"/>
  <c r="Q4" i="2"/>
  <c r="P4" i="2"/>
  <c r="O4" i="2"/>
  <c r="N4" i="2"/>
  <c r="M4" i="2"/>
  <c r="L4" i="2"/>
  <c r="K4" i="2"/>
  <c r="J4" i="2"/>
  <c r="I4" i="2"/>
  <c r="H4" i="2"/>
  <c r="AJ3" i="2"/>
  <c r="AI3" i="2"/>
  <c r="AH3" i="2"/>
  <c r="AG3" i="2"/>
  <c r="AB3" i="2"/>
  <c r="AA3" i="2"/>
  <c r="Z3" i="2"/>
  <c r="Y3" i="2"/>
  <c r="X3" i="2"/>
  <c r="W3" i="2"/>
  <c r="V3" i="2"/>
  <c r="U3" i="2"/>
  <c r="T3" i="2"/>
  <c r="S3" i="2"/>
  <c r="R3" i="2"/>
  <c r="Q3" i="2"/>
  <c r="P3" i="2"/>
  <c r="O3" i="2"/>
  <c r="N3" i="2"/>
  <c r="M3" i="2"/>
  <c r="L3" i="2"/>
  <c r="K3" i="2"/>
  <c r="J3" i="2"/>
  <c r="I3" i="2"/>
  <c r="H3" i="2"/>
  <c r="AG2" i="2"/>
  <c r="AB2" i="2"/>
  <c r="AA2" i="2"/>
  <c r="Z2" i="2"/>
  <c r="Y2" i="2"/>
  <c r="X2" i="2"/>
  <c r="W2" i="2"/>
  <c r="V2" i="2"/>
  <c r="U2" i="2"/>
  <c r="T2" i="2"/>
  <c r="S2" i="2"/>
  <c r="R2" i="2"/>
  <c r="Q2" i="2"/>
  <c r="P2" i="2"/>
  <c r="O2" i="2"/>
  <c r="N2" i="2"/>
  <c r="M2" i="2"/>
  <c r="L2" i="2"/>
  <c r="K2" i="2"/>
  <c r="J2" i="2"/>
  <c r="I2" i="2"/>
  <c r="H2" i="2"/>
  <c r="AJ126" i="1"/>
  <c r="AI126" i="1"/>
  <c r="AH126" i="1"/>
  <c r="AG126" i="1"/>
  <c r="AF126" i="1"/>
  <c r="AE126" i="1"/>
  <c r="AD126" i="1"/>
  <c r="AC126" i="1"/>
  <c r="AB126" i="1"/>
  <c r="AA126" i="1"/>
  <c r="Z126" i="1"/>
  <c r="Y126" i="1"/>
  <c r="X126" i="1"/>
  <c r="W126" i="1"/>
  <c r="V126" i="1"/>
  <c r="U126" i="1"/>
  <c r="T126" i="1"/>
  <c r="S126" i="1"/>
  <c r="R126" i="1"/>
  <c r="Q126" i="1"/>
  <c r="P126" i="1"/>
  <c r="O126" i="1"/>
  <c r="N126" i="1"/>
  <c r="M126" i="1"/>
  <c r="L126" i="1"/>
  <c r="K126" i="1"/>
  <c r="J126" i="1"/>
  <c r="I126" i="1"/>
  <c r="H126" i="1"/>
  <c r="AN125" i="1"/>
  <c r="AM125" i="1"/>
  <c r="AL125" i="1"/>
  <c r="AK125" i="1"/>
  <c r="AJ125" i="1"/>
  <c r="AI125" i="1"/>
  <c r="AH125" i="1"/>
  <c r="AG125" i="1"/>
  <c r="AB125" i="1"/>
  <c r="AA125" i="1"/>
  <c r="Z125" i="1"/>
  <c r="Y125" i="1"/>
  <c r="X125" i="1"/>
  <c r="W125" i="1"/>
  <c r="V125" i="1"/>
  <c r="U125" i="1"/>
  <c r="T125" i="1"/>
  <c r="S125" i="1"/>
  <c r="R125" i="1"/>
  <c r="Q125" i="1"/>
  <c r="P125" i="1"/>
  <c r="O125" i="1"/>
  <c r="N125" i="1"/>
  <c r="M125" i="1"/>
  <c r="L125" i="1"/>
  <c r="K125" i="1"/>
  <c r="J125" i="1"/>
  <c r="I125" i="1"/>
  <c r="H125" i="1"/>
  <c r="AP124" i="1"/>
  <c r="AO124" i="1"/>
  <c r="AN124" i="1"/>
  <c r="AM124" i="1"/>
  <c r="AL124" i="1"/>
  <c r="AK124" i="1"/>
  <c r="AJ124" i="1"/>
  <c r="AI124" i="1"/>
  <c r="AH124" i="1"/>
  <c r="AG124" i="1"/>
  <c r="AB124" i="1"/>
  <c r="AA124" i="1"/>
  <c r="Z124" i="1"/>
  <c r="Y124" i="1"/>
  <c r="X124" i="1"/>
  <c r="W124" i="1"/>
  <c r="V124" i="1"/>
  <c r="U124" i="1"/>
  <c r="T124" i="1"/>
  <c r="S124" i="1"/>
  <c r="R124" i="1"/>
  <c r="Q124" i="1"/>
  <c r="P124" i="1"/>
  <c r="O124" i="1"/>
  <c r="N124" i="1"/>
  <c r="M124" i="1"/>
  <c r="L124" i="1"/>
  <c r="K124" i="1"/>
  <c r="J124" i="1"/>
  <c r="I124" i="1"/>
  <c r="H124" i="1"/>
  <c r="AN123" i="1"/>
  <c r="AM123" i="1"/>
  <c r="AL123" i="1"/>
  <c r="AK123" i="1"/>
  <c r="AJ123" i="1"/>
  <c r="AI123" i="1"/>
  <c r="AH123" i="1"/>
  <c r="AG123" i="1"/>
  <c r="AB123" i="1"/>
  <c r="AA123" i="1"/>
  <c r="Z123" i="1"/>
  <c r="Y123" i="1"/>
  <c r="X123" i="1"/>
  <c r="W123" i="1"/>
  <c r="V123" i="1"/>
  <c r="U123" i="1"/>
  <c r="T123" i="1"/>
  <c r="S123" i="1"/>
  <c r="R123" i="1"/>
  <c r="Q123" i="1"/>
  <c r="P123" i="1"/>
  <c r="O123" i="1"/>
  <c r="N123" i="1"/>
  <c r="M123" i="1"/>
  <c r="L123" i="1"/>
  <c r="K123" i="1"/>
  <c r="J123" i="1"/>
  <c r="I123" i="1"/>
  <c r="H123" i="1"/>
  <c r="AL122" i="1"/>
  <c r="AK122" i="1"/>
  <c r="AJ122" i="1"/>
  <c r="AI122" i="1"/>
  <c r="AH122" i="1"/>
  <c r="AG122" i="1"/>
  <c r="AB122" i="1"/>
  <c r="AA122" i="1"/>
  <c r="Z122" i="1"/>
  <c r="Y122" i="1"/>
  <c r="X122" i="1"/>
  <c r="W122" i="1"/>
  <c r="V122" i="1"/>
  <c r="U122" i="1"/>
  <c r="T122" i="1"/>
  <c r="S122" i="1"/>
  <c r="R122" i="1"/>
  <c r="Q122" i="1"/>
  <c r="P122" i="1"/>
  <c r="O122" i="1"/>
  <c r="N122" i="1"/>
  <c r="M122" i="1"/>
  <c r="L122" i="1"/>
  <c r="K122" i="1"/>
  <c r="J122" i="1"/>
  <c r="I122" i="1"/>
  <c r="H122" i="1"/>
  <c r="AN121" i="1"/>
  <c r="AM121" i="1"/>
  <c r="AL121" i="1"/>
  <c r="AK121" i="1"/>
  <c r="AJ121" i="1"/>
  <c r="AI121" i="1"/>
  <c r="AH121" i="1"/>
  <c r="AG121" i="1"/>
  <c r="AB121" i="1"/>
  <c r="AA121" i="1"/>
  <c r="Z121" i="1"/>
  <c r="Y121" i="1"/>
  <c r="X121" i="1"/>
  <c r="W121" i="1"/>
  <c r="V121" i="1"/>
  <c r="U121" i="1"/>
  <c r="T121" i="1"/>
  <c r="S121" i="1"/>
  <c r="R121" i="1"/>
  <c r="Q121" i="1"/>
  <c r="P121" i="1"/>
  <c r="O121" i="1"/>
  <c r="N121" i="1"/>
  <c r="M121" i="1"/>
  <c r="L121" i="1"/>
  <c r="K121" i="1"/>
  <c r="J121" i="1"/>
  <c r="I121" i="1"/>
  <c r="H121" i="1"/>
  <c r="AN120" i="1"/>
  <c r="AM120" i="1"/>
  <c r="AL120" i="1"/>
  <c r="AK120" i="1"/>
  <c r="AJ120" i="1"/>
  <c r="AI120" i="1"/>
  <c r="AH120" i="1"/>
  <c r="AG120" i="1"/>
  <c r="AB120" i="1"/>
  <c r="AA120" i="1"/>
  <c r="Z120" i="1"/>
  <c r="Y120" i="1"/>
  <c r="X120" i="1"/>
  <c r="W120" i="1"/>
  <c r="V120" i="1"/>
  <c r="U120" i="1"/>
  <c r="T120" i="1"/>
  <c r="S120" i="1"/>
  <c r="R120" i="1"/>
  <c r="Q120" i="1"/>
  <c r="P120" i="1"/>
  <c r="O120" i="1"/>
  <c r="N120" i="1"/>
  <c r="M120" i="1"/>
  <c r="L120" i="1"/>
  <c r="K120" i="1"/>
  <c r="J120" i="1"/>
  <c r="I120" i="1"/>
  <c r="H120" i="1"/>
  <c r="AP119" i="1"/>
  <c r="AO119" i="1"/>
  <c r="AN119" i="1"/>
  <c r="AM119" i="1"/>
  <c r="AL119" i="1"/>
  <c r="AK119" i="1"/>
  <c r="AJ119" i="1"/>
  <c r="AI119" i="1"/>
  <c r="AH119" i="1"/>
  <c r="AG119" i="1"/>
  <c r="AB119" i="1"/>
  <c r="AA119" i="1"/>
  <c r="Z119" i="1"/>
  <c r="Y119" i="1"/>
  <c r="X119" i="1"/>
  <c r="W119" i="1"/>
  <c r="V119" i="1"/>
  <c r="U119" i="1"/>
  <c r="T119" i="1"/>
  <c r="S119" i="1"/>
  <c r="R119" i="1"/>
  <c r="Q119" i="1"/>
  <c r="P119" i="1"/>
  <c r="O119" i="1"/>
  <c r="N119" i="1"/>
  <c r="M119" i="1"/>
  <c r="L119" i="1"/>
  <c r="K119" i="1"/>
  <c r="J119" i="1"/>
  <c r="I119" i="1"/>
  <c r="H119" i="1"/>
  <c r="AP118" i="1"/>
  <c r="AO118" i="1"/>
  <c r="AN118" i="1"/>
  <c r="AM118" i="1"/>
  <c r="AL118" i="1"/>
  <c r="AK118" i="1"/>
  <c r="AJ118" i="1"/>
  <c r="AI118" i="1"/>
  <c r="AH118" i="1"/>
  <c r="AG118" i="1"/>
  <c r="AB118" i="1"/>
  <c r="AA118" i="1"/>
  <c r="Z118" i="1"/>
  <c r="Y118" i="1"/>
  <c r="X118" i="1"/>
  <c r="W118" i="1"/>
  <c r="V118" i="1"/>
  <c r="U118" i="1"/>
  <c r="T118" i="1"/>
  <c r="S118" i="1"/>
  <c r="R118" i="1"/>
  <c r="Q118" i="1"/>
  <c r="P118" i="1"/>
  <c r="O118" i="1"/>
  <c r="N118" i="1"/>
  <c r="M118" i="1"/>
  <c r="L118" i="1"/>
  <c r="K118" i="1"/>
  <c r="J118" i="1"/>
  <c r="I118" i="1"/>
  <c r="H118" i="1"/>
  <c r="AP117" i="1"/>
  <c r="AO117" i="1"/>
  <c r="AN117" i="1"/>
  <c r="AM117" i="1"/>
  <c r="AL117" i="1"/>
  <c r="AK117" i="1"/>
  <c r="AJ117" i="1"/>
  <c r="AI117" i="1"/>
  <c r="AH117" i="1"/>
  <c r="AG117" i="1"/>
  <c r="AB117" i="1"/>
  <c r="AA117" i="1"/>
  <c r="Z117" i="1"/>
  <c r="Y117" i="1"/>
  <c r="X117" i="1"/>
  <c r="W117" i="1"/>
  <c r="V117" i="1"/>
  <c r="U117" i="1"/>
  <c r="T117" i="1"/>
  <c r="S117" i="1"/>
  <c r="R117" i="1"/>
  <c r="Q117" i="1"/>
  <c r="P117" i="1"/>
  <c r="O117" i="1"/>
  <c r="N117" i="1"/>
  <c r="M117" i="1"/>
  <c r="L117" i="1"/>
  <c r="K117" i="1"/>
  <c r="J117" i="1"/>
  <c r="I117" i="1"/>
  <c r="H117" i="1"/>
  <c r="AL116" i="1"/>
  <c r="AK116" i="1"/>
  <c r="AJ116" i="1"/>
  <c r="AI116" i="1"/>
  <c r="AH116" i="1"/>
  <c r="AG116" i="1"/>
  <c r="AB116" i="1"/>
  <c r="AA116" i="1"/>
  <c r="Z116" i="1"/>
  <c r="Y116" i="1"/>
  <c r="X116" i="1"/>
  <c r="W116" i="1"/>
  <c r="V116" i="1"/>
  <c r="U116" i="1"/>
  <c r="T116" i="1"/>
  <c r="S116" i="1"/>
  <c r="R116" i="1"/>
  <c r="Q116" i="1"/>
  <c r="P116" i="1"/>
  <c r="O116" i="1"/>
  <c r="N116" i="1"/>
  <c r="M116" i="1"/>
  <c r="L116" i="1"/>
  <c r="K116" i="1"/>
  <c r="J116" i="1"/>
  <c r="I116" i="1"/>
  <c r="H116" i="1"/>
  <c r="AJ115" i="1"/>
  <c r="AI115" i="1"/>
  <c r="AH115" i="1"/>
  <c r="AG115" i="1"/>
  <c r="AB115" i="1"/>
  <c r="AA115" i="1"/>
  <c r="Z115" i="1"/>
  <c r="Y115" i="1"/>
  <c r="X115" i="1"/>
  <c r="W115" i="1"/>
  <c r="V115" i="1"/>
  <c r="U115" i="1"/>
  <c r="T115" i="1"/>
  <c r="S115" i="1"/>
  <c r="R115" i="1"/>
  <c r="Q115" i="1"/>
  <c r="P115" i="1"/>
  <c r="O115" i="1"/>
  <c r="N115" i="1"/>
  <c r="M115" i="1"/>
  <c r="L115" i="1"/>
  <c r="K115" i="1"/>
  <c r="J115" i="1"/>
  <c r="I115" i="1"/>
  <c r="H115" i="1"/>
  <c r="AL114" i="1"/>
  <c r="AK114" i="1"/>
  <c r="AJ114" i="1"/>
  <c r="AI114" i="1"/>
  <c r="AH114" i="1"/>
  <c r="AG114" i="1"/>
  <c r="AB114" i="1"/>
  <c r="AA114" i="1"/>
  <c r="Z114" i="1"/>
  <c r="Y114" i="1"/>
  <c r="X114" i="1"/>
  <c r="W114" i="1"/>
  <c r="V114" i="1"/>
  <c r="U114" i="1"/>
  <c r="T114" i="1"/>
  <c r="S114" i="1"/>
  <c r="R114" i="1"/>
  <c r="Q114" i="1"/>
  <c r="P114" i="1"/>
  <c r="O114" i="1"/>
  <c r="N114" i="1"/>
  <c r="M114" i="1"/>
  <c r="L114" i="1"/>
  <c r="K114" i="1"/>
  <c r="J114" i="1"/>
  <c r="I114" i="1"/>
  <c r="H114" i="1"/>
  <c r="AJ113" i="1"/>
  <c r="AI113" i="1"/>
  <c r="AH113" i="1"/>
  <c r="AG113" i="1"/>
  <c r="AB113" i="1"/>
  <c r="AA113" i="1"/>
  <c r="Z113" i="1"/>
  <c r="Y113" i="1"/>
  <c r="X113" i="1"/>
  <c r="W113" i="1"/>
  <c r="V113" i="1"/>
  <c r="U113" i="1"/>
  <c r="T113" i="1"/>
  <c r="S113" i="1"/>
  <c r="R113" i="1"/>
  <c r="Q113" i="1"/>
  <c r="P113" i="1"/>
  <c r="O113" i="1"/>
  <c r="N113" i="1"/>
  <c r="M113" i="1"/>
  <c r="L113" i="1"/>
  <c r="K113" i="1"/>
  <c r="J113" i="1"/>
  <c r="I113" i="1"/>
  <c r="H113" i="1"/>
  <c r="AL112" i="1"/>
  <c r="AK112" i="1"/>
  <c r="AJ112" i="1"/>
  <c r="AI112" i="1"/>
  <c r="AH112" i="1"/>
  <c r="AG112" i="1"/>
  <c r="AB112" i="1"/>
  <c r="AA112" i="1"/>
  <c r="Z112" i="1"/>
  <c r="Y112" i="1"/>
  <c r="X112" i="1"/>
  <c r="W112" i="1"/>
  <c r="V112" i="1"/>
  <c r="U112" i="1"/>
  <c r="T112" i="1"/>
  <c r="S112" i="1"/>
  <c r="R112" i="1"/>
  <c r="Q112" i="1"/>
  <c r="P112" i="1"/>
  <c r="O112" i="1"/>
  <c r="N112" i="1"/>
  <c r="M112" i="1"/>
  <c r="L112" i="1"/>
  <c r="K112" i="1"/>
  <c r="J112" i="1"/>
  <c r="I112" i="1"/>
  <c r="H112" i="1"/>
  <c r="AG111" i="1"/>
  <c r="AB111" i="1"/>
  <c r="AA111" i="1"/>
  <c r="Z111" i="1"/>
  <c r="Y111" i="1"/>
  <c r="X111" i="1"/>
  <c r="W111" i="1"/>
  <c r="V111" i="1"/>
  <c r="U111" i="1"/>
  <c r="T111" i="1"/>
  <c r="S111" i="1"/>
  <c r="R111" i="1"/>
  <c r="Q111" i="1"/>
  <c r="P111" i="1"/>
  <c r="O111" i="1"/>
  <c r="N111" i="1"/>
  <c r="M111" i="1"/>
  <c r="L111" i="1"/>
  <c r="K111" i="1"/>
  <c r="J111" i="1"/>
  <c r="I111" i="1"/>
  <c r="H111" i="1"/>
  <c r="AG110" i="1"/>
  <c r="AB110" i="1"/>
  <c r="AA110" i="1"/>
  <c r="Z110" i="1"/>
  <c r="Y110" i="1"/>
  <c r="X110" i="1"/>
  <c r="W110" i="1"/>
  <c r="V110" i="1"/>
  <c r="U110" i="1"/>
  <c r="T110" i="1"/>
  <c r="S110" i="1"/>
  <c r="R110" i="1"/>
  <c r="Q110" i="1"/>
  <c r="P110" i="1"/>
  <c r="O110" i="1"/>
  <c r="N110" i="1"/>
  <c r="M110" i="1"/>
  <c r="L110" i="1"/>
  <c r="K110" i="1"/>
  <c r="J110" i="1"/>
  <c r="I110" i="1"/>
  <c r="H110" i="1"/>
  <c r="AJ109" i="1"/>
  <c r="AI109" i="1"/>
  <c r="AH109" i="1"/>
  <c r="AG109" i="1"/>
  <c r="AB109" i="1"/>
  <c r="AA109" i="1"/>
  <c r="Z109" i="1"/>
  <c r="Y109" i="1"/>
  <c r="X109" i="1"/>
  <c r="W109" i="1"/>
  <c r="V109" i="1"/>
  <c r="U109" i="1"/>
  <c r="T109" i="1"/>
  <c r="S109" i="1"/>
  <c r="R109" i="1"/>
  <c r="Q109" i="1"/>
  <c r="P109" i="1"/>
  <c r="O109" i="1"/>
  <c r="N109" i="1"/>
  <c r="M109" i="1"/>
  <c r="L109" i="1"/>
  <c r="K109" i="1"/>
  <c r="J109" i="1"/>
  <c r="I109" i="1"/>
  <c r="H109" i="1"/>
  <c r="AN108" i="1"/>
  <c r="AM108" i="1"/>
  <c r="AL108" i="1"/>
  <c r="AK108" i="1"/>
  <c r="AJ108" i="1"/>
  <c r="AI108" i="1"/>
  <c r="AH108" i="1"/>
  <c r="AG108" i="1"/>
  <c r="AB108" i="1"/>
  <c r="AA108" i="1"/>
  <c r="Z108" i="1"/>
  <c r="Y108" i="1"/>
  <c r="X108" i="1"/>
  <c r="W108" i="1"/>
  <c r="V108" i="1"/>
  <c r="U108" i="1"/>
  <c r="T108" i="1"/>
  <c r="S108" i="1"/>
  <c r="R108" i="1"/>
  <c r="Q108" i="1"/>
  <c r="P108" i="1"/>
  <c r="O108" i="1"/>
  <c r="N108" i="1"/>
  <c r="M108" i="1"/>
  <c r="L108" i="1"/>
  <c r="K108" i="1"/>
  <c r="J108" i="1"/>
  <c r="I108" i="1"/>
  <c r="H108" i="1"/>
  <c r="AN107" i="1"/>
  <c r="AM107" i="1"/>
  <c r="AL107" i="1"/>
  <c r="AK107" i="1"/>
  <c r="AJ107" i="1"/>
  <c r="AI107" i="1"/>
  <c r="AH107" i="1"/>
  <c r="AG107" i="1"/>
  <c r="AF107" i="1"/>
  <c r="AE107" i="1"/>
  <c r="AD107" i="1"/>
  <c r="AC107" i="1"/>
  <c r="AB107" i="1"/>
  <c r="AA107" i="1"/>
  <c r="Z107" i="1"/>
  <c r="Y107" i="1"/>
  <c r="X107" i="1"/>
  <c r="W107" i="1"/>
  <c r="V107" i="1"/>
  <c r="U107" i="1"/>
  <c r="T107" i="1"/>
  <c r="S107" i="1"/>
  <c r="R107" i="1"/>
  <c r="Q107" i="1"/>
  <c r="P107" i="1"/>
  <c r="O107" i="1"/>
  <c r="N107" i="1"/>
  <c r="M107" i="1"/>
  <c r="L107" i="1"/>
  <c r="K107" i="1"/>
  <c r="J107" i="1"/>
  <c r="I107" i="1"/>
  <c r="H107" i="1"/>
  <c r="AL106" i="1"/>
  <c r="AK106" i="1"/>
  <c r="AJ106" i="1"/>
  <c r="AI106" i="1"/>
  <c r="AH106" i="1"/>
  <c r="AG106" i="1"/>
  <c r="AB106" i="1"/>
  <c r="AA106" i="1"/>
  <c r="Z106" i="1"/>
  <c r="Y106" i="1"/>
  <c r="X106" i="1"/>
  <c r="W106" i="1"/>
  <c r="V106" i="1"/>
  <c r="U106" i="1"/>
  <c r="T106" i="1"/>
  <c r="S106" i="1"/>
  <c r="R106" i="1"/>
  <c r="Q106" i="1"/>
  <c r="P106" i="1"/>
  <c r="O106" i="1"/>
  <c r="N106" i="1"/>
  <c r="M106" i="1"/>
  <c r="L106" i="1"/>
  <c r="K106" i="1"/>
  <c r="J106" i="1"/>
  <c r="I106" i="1"/>
  <c r="H106" i="1"/>
  <c r="AJ105" i="1"/>
  <c r="AI105" i="1"/>
  <c r="AH105" i="1"/>
  <c r="AG105" i="1"/>
  <c r="AB105" i="1"/>
  <c r="AA105" i="1"/>
  <c r="Z105" i="1"/>
  <c r="Y105" i="1"/>
  <c r="X105" i="1"/>
  <c r="W105" i="1"/>
  <c r="V105" i="1"/>
  <c r="U105" i="1"/>
  <c r="T105" i="1"/>
  <c r="S105" i="1"/>
  <c r="R105" i="1"/>
  <c r="Q105" i="1"/>
  <c r="P105" i="1"/>
  <c r="O105" i="1"/>
  <c r="N105" i="1"/>
  <c r="M105" i="1"/>
  <c r="L105" i="1"/>
  <c r="K105" i="1"/>
  <c r="J105" i="1"/>
  <c r="I105" i="1"/>
  <c r="H105" i="1"/>
  <c r="AL104" i="1"/>
  <c r="AK104" i="1"/>
  <c r="AJ104" i="1"/>
  <c r="AI104" i="1"/>
  <c r="AH104" i="1"/>
  <c r="AG104" i="1"/>
  <c r="AB104" i="1"/>
  <c r="AA104" i="1"/>
  <c r="Z104" i="1"/>
  <c r="Y104" i="1"/>
  <c r="X104" i="1"/>
  <c r="W104" i="1"/>
  <c r="V104" i="1"/>
  <c r="U104" i="1"/>
  <c r="T104" i="1"/>
  <c r="S104" i="1"/>
  <c r="R104" i="1"/>
  <c r="Q104" i="1"/>
  <c r="P104" i="1"/>
  <c r="O104" i="1"/>
  <c r="N104" i="1"/>
  <c r="M104" i="1"/>
  <c r="L104" i="1"/>
  <c r="K104" i="1"/>
  <c r="J104" i="1"/>
  <c r="I104" i="1"/>
  <c r="H104" i="1"/>
  <c r="AJ103" i="1"/>
  <c r="AI103" i="1"/>
  <c r="AH103" i="1"/>
  <c r="AG103" i="1"/>
  <c r="AB103" i="1"/>
  <c r="AA103" i="1"/>
  <c r="Z103" i="1"/>
  <c r="Y103" i="1"/>
  <c r="X103" i="1"/>
  <c r="W103" i="1"/>
  <c r="V103" i="1"/>
  <c r="U103" i="1"/>
  <c r="T103" i="1"/>
  <c r="S103" i="1"/>
  <c r="R103" i="1"/>
  <c r="Q103" i="1"/>
  <c r="P103" i="1"/>
  <c r="O103" i="1"/>
  <c r="N103" i="1"/>
  <c r="M103" i="1"/>
  <c r="L103" i="1"/>
  <c r="K103" i="1"/>
  <c r="J103" i="1"/>
  <c r="I103" i="1"/>
  <c r="H103" i="1"/>
  <c r="AH102" i="1"/>
  <c r="AG102" i="1"/>
  <c r="AB102" i="1"/>
  <c r="AA102" i="1"/>
  <c r="Z102" i="1"/>
  <c r="Y102" i="1"/>
  <c r="X102" i="1"/>
  <c r="W102" i="1"/>
  <c r="V102" i="1"/>
  <c r="U102" i="1"/>
  <c r="T102" i="1"/>
  <c r="S102" i="1"/>
  <c r="R102" i="1"/>
  <c r="Q102" i="1"/>
  <c r="P102" i="1"/>
  <c r="O102" i="1"/>
  <c r="N102" i="1"/>
  <c r="M102" i="1"/>
  <c r="L102" i="1"/>
  <c r="K102" i="1"/>
  <c r="J102" i="1"/>
  <c r="I102" i="1"/>
  <c r="H102" i="1"/>
  <c r="AJ101" i="1"/>
  <c r="AI101" i="1"/>
  <c r="AH101" i="1"/>
  <c r="AG101" i="1"/>
  <c r="AB101" i="1"/>
  <c r="AA101" i="1"/>
  <c r="Z101" i="1"/>
  <c r="Y101" i="1"/>
  <c r="X101" i="1"/>
  <c r="V101" i="1"/>
  <c r="U101" i="1"/>
  <c r="T101" i="1"/>
  <c r="S101" i="1"/>
  <c r="R101" i="1"/>
  <c r="Q101" i="1"/>
  <c r="P101" i="1"/>
  <c r="O101" i="1"/>
  <c r="N101" i="1"/>
  <c r="M101" i="1"/>
  <c r="L101" i="1"/>
  <c r="K101" i="1"/>
  <c r="J101" i="1"/>
  <c r="I101" i="1"/>
  <c r="H101" i="1"/>
  <c r="AL100" i="1"/>
  <c r="AK100" i="1"/>
  <c r="AJ100" i="1"/>
  <c r="AI100" i="1"/>
  <c r="AH100" i="1"/>
  <c r="AG100" i="1"/>
  <c r="AB100" i="1"/>
  <c r="AA100" i="1"/>
  <c r="Z100" i="1"/>
  <c r="Y100" i="1"/>
  <c r="X100" i="1"/>
  <c r="W100" i="1"/>
  <c r="V100" i="1"/>
  <c r="U100" i="1"/>
  <c r="T100" i="1"/>
  <c r="S100" i="1"/>
  <c r="R100" i="1"/>
  <c r="Q100" i="1"/>
  <c r="P100" i="1"/>
  <c r="O100" i="1"/>
  <c r="N100" i="1"/>
  <c r="M100" i="1"/>
  <c r="L100" i="1"/>
  <c r="K100" i="1"/>
  <c r="J100" i="1"/>
  <c r="I100" i="1"/>
  <c r="H100" i="1"/>
  <c r="AJ99" i="1"/>
  <c r="AI99" i="1"/>
  <c r="AH99" i="1"/>
  <c r="AG99" i="1"/>
  <c r="AB99" i="1"/>
  <c r="AA99" i="1"/>
  <c r="Z99" i="1"/>
  <c r="Y99" i="1"/>
  <c r="X99" i="1"/>
  <c r="W99" i="1"/>
  <c r="V99" i="1"/>
  <c r="U99" i="1"/>
  <c r="T99" i="1"/>
  <c r="S99" i="1"/>
  <c r="R99" i="1"/>
  <c r="Q99" i="1"/>
  <c r="P99" i="1"/>
  <c r="O99" i="1"/>
  <c r="N99" i="1"/>
  <c r="M99" i="1"/>
  <c r="L99" i="1"/>
  <c r="K99" i="1"/>
  <c r="J99" i="1"/>
  <c r="I99" i="1"/>
  <c r="H99" i="1"/>
  <c r="AJ98" i="1"/>
  <c r="AI98" i="1"/>
  <c r="AH98" i="1"/>
  <c r="AG98" i="1"/>
  <c r="AB98" i="1"/>
  <c r="AA98" i="1"/>
  <c r="Z98" i="1"/>
  <c r="Y98" i="1"/>
  <c r="X98" i="1"/>
  <c r="W98" i="1"/>
  <c r="V98" i="1"/>
  <c r="U98" i="1"/>
  <c r="T98" i="1"/>
  <c r="S98" i="1"/>
  <c r="R98" i="1"/>
  <c r="Q98" i="1"/>
  <c r="P98" i="1"/>
  <c r="O98" i="1"/>
  <c r="N98" i="1"/>
  <c r="M98" i="1"/>
  <c r="L98" i="1"/>
  <c r="K98" i="1"/>
  <c r="J98" i="1"/>
  <c r="I98" i="1"/>
  <c r="H98" i="1"/>
  <c r="AL97" i="1"/>
  <c r="AK97" i="1"/>
  <c r="AJ97" i="1"/>
  <c r="AI97" i="1"/>
  <c r="AH97" i="1"/>
  <c r="AG97" i="1"/>
  <c r="AB97" i="1"/>
  <c r="AA97" i="1"/>
  <c r="Z97" i="1"/>
  <c r="Y97" i="1"/>
  <c r="X97" i="1"/>
  <c r="W97" i="1"/>
  <c r="V97" i="1"/>
  <c r="U97" i="1"/>
  <c r="T97" i="1"/>
  <c r="S97" i="1"/>
  <c r="R97" i="1"/>
  <c r="Q97" i="1"/>
  <c r="P97" i="1"/>
  <c r="O97" i="1"/>
  <c r="N97" i="1"/>
  <c r="M97" i="1"/>
  <c r="L97" i="1"/>
  <c r="K97" i="1"/>
  <c r="J97" i="1"/>
  <c r="I97" i="1"/>
  <c r="H97" i="1"/>
  <c r="AL96" i="1"/>
  <c r="AK96" i="1"/>
  <c r="AJ96" i="1"/>
  <c r="AI96" i="1"/>
  <c r="AH96" i="1"/>
  <c r="AG96" i="1"/>
  <c r="AB96" i="1"/>
  <c r="AA96" i="1"/>
  <c r="Z96" i="1"/>
  <c r="Y96" i="1"/>
  <c r="X96" i="1"/>
  <c r="W96" i="1"/>
  <c r="V96" i="1"/>
  <c r="U96" i="1"/>
  <c r="T96" i="1"/>
  <c r="S96" i="1"/>
  <c r="R96" i="1"/>
  <c r="Q96" i="1"/>
  <c r="P96" i="1"/>
  <c r="O96" i="1"/>
  <c r="N96" i="1"/>
  <c r="M96" i="1"/>
  <c r="L96" i="1"/>
  <c r="K96" i="1"/>
  <c r="J96" i="1"/>
  <c r="I96" i="1"/>
  <c r="H96" i="1"/>
  <c r="AJ95" i="1"/>
  <c r="AI95" i="1"/>
  <c r="AH95" i="1"/>
  <c r="AG95" i="1"/>
  <c r="AB95" i="1"/>
  <c r="AA95" i="1"/>
  <c r="Z95" i="1"/>
  <c r="Y95" i="1"/>
  <c r="X95" i="1"/>
  <c r="W95" i="1"/>
  <c r="V95" i="1"/>
  <c r="U95" i="1"/>
  <c r="T95" i="1"/>
  <c r="S95" i="1"/>
  <c r="R95" i="1"/>
  <c r="Q95" i="1"/>
  <c r="P95" i="1"/>
  <c r="O95" i="1"/>
  <c r="N95" i="1"/>
  <c r="M95" i="1"/>
  <c r="L95" i="1"/>
  <c r="K95" i="1"/>
  <c r="J95" i="1"/>
  <c r="I95" i="1"/>
  <c r="H95" i="1"/>
  <c r="AL94" i="1"/>
  <c r="AK94" i="1"/>
  <c r="AJ94" i="1"/>
  <c r="AI94" i="1"/>
  <c r="AH94" i="1"/>
  <c r="AG94" i="1"/>
  <c r="AB94" i="1"/>
  <c r="AA94" i="1"/>
  <c r="Z94" i="1"/>
  <c r="Y94" i="1"/>
  <c r="X94" i="1"/>
  <c r="W94" i="1"/>
  <c r="V94" i="1"/>
  <c r="U94" i="1"/>
  <c r="T94" i="1"/>
  <c r="S94" i="1"/>
  <c r="R94" i="1"/>
  <c r="Q94" i="1"/>
  <c r="P94" i="1"/>
  <c r="O94" i="1"/>
  <c r="N94" i="1"/>
  <c r="M94" i="1"/>
  <c r="L94" i="1"/>
  <c r="K94" i="1"/>
  <c r="J94" i="1"/>
  <c r="I94" i="1"/>
  <c r="H94" i="1"/>
  <c r="AN93" i="1"/>
  <c r="AM93" i="1"/>
  <c r="AL93" i="1"/>
  <c r="AK93" i="1"/>
  <c r="AJ93" i="1"/>
  <c r="AI93" i="1"/>
  <c r="AH93" i="1"/>
  <c r="AG93" i="1"/>
  <c r="AB93" i="1"/>
  <c r="AA93" i="1"/>
  <c r="Z93" i="1"/>
  <c r="Y93" i="1"/>
  <c r="X93" i="1"/>
  <c r="W93" i="1"/>
  <c r="V93" i="1"/>
  <c r="U93" i="1"/>
  <c r="T93" i="1"/>
  <c r="S93" i="1"/>
  <c r="R93" i="1"/>
  <c r="Q93" i="1"/>
  <c r="P93" i="1"/>
  <c r="O93" i="1"/>
  <c r="N93" i="1"/>
  <c r="M93" i="1"/>
  <c r="L93" i="1"/>
  <c r="K93" i="1"/>
  <c r="J93" i="1"/>
  <c r="I93" i="1"/>
  <c r="H93" i="1"/>
  <c r="AJ92" i="1"/>
  <c r="AI92" i="1"/>
  <c r="AH92" i="1"/>
  <c r="AG92" i="1"/>
  <c r="AB92" i="1"/>
  <c r="AA92" i="1"/>
  <c r="Z92" i="1"/>
  <c r="Y92" i="1"/>
  <c r="X92" i="1"/>
  <c r="W92" i="1"/>
  <c r="V92" i="1"/>
  <c r="U92" i="1"/>
  <c r="T92" i="1"/>
  <c r="S92" i="1"/>
  <c r="R92" i="1"/>
  <c r="Q92" i="1"/>
  <c r="P92" i="1"/>
  <c r="O92" i="1"/>
  <c r="N92" i="1"/>
  <c r="M92" i="1"/>
  <c r="L92" i="1"/>
  <c r="K92" i="1"/>
  <c r="J92" i="1"/>
  <c r="I92" i="1"/>
  <c r="H92" i="1"/>
  <c r="AN91" i="1"/>
  <c r="AM91" i="1"/>
  <c r="AL91" i="1"/>
  <c r="AK91" i="1"/>
  <c r="AJ91" i="1"/>
  <c r="AI91" i="1"/>
  <c r="AH91" i="1"/>
  <c r="AG91" i="1"/>
  <c r="AB91" i="1"/>
  <c r="AA91" i="1"/>
  <c r="Z91" i="1"/>
  <c r="Y91" i="1"/>
  <c r="X91" i="1"/>
  <c r="W91" i="1"/>
  <c r="V91" i="1"/>
  <c r="U91" i="1"/>
  <c r="T91" i="1"/>
  <c r="S91" i="1"/>
  <c r="R91" i="1"/>
  <c r="Q91" i="1"/>
  <c r="P91" i="1"/>
  <c r="O91" i="1"/>
  <c r="N91" i="1"/>
  <c r="M91" i="1"/>
  <c r="L91" i="1"/>
  <c r="K91" i="1"/>
  <c r="J91" i="1"/>
  <c r="I91" i="1"/>
  <c r="H91" i="1"/>
  <c r="AN90" i="1"/>
  <c r="AM90" i="1"/>
  <c r="AL90" i="1"/>
  <c r="AK90" i="1"/>
  <c r="AJ90" i="1"/>
  <c r="AI90" i="1"/>
  <c r="AH90" i="1"/>
  <c r="AG90" i="1"/>
  <c r="AB90" i="1"/>
  <c r="AA90" i="1"/>
  <c r="Z90" i="1"/>
  <c r="Y90" i="1"/>
  <c r="X90" i="1"/>
  <c r="W90" i="1"/>
  <c r="V90" i="1"/>
  <c r="U90" i="1"/>
  <c r="T90" i="1"/>
  <c r="S90" i="1"/>
  <c r="R90" i="1"/>
  <c r="Q90" i="1"/>
  <c r="P90" i="1"/>
  <c r="O90" i="1"/>
  <c r="N90" i="1"/>
  <c r="M90" i="1"/>
  <c r="L90" i="1"/>
  <c r="K90" i="1"/>
  <c r="J90" i="1"/>
  <c r="I90" i="1"/>
  <c r="H90" i="1"/>
  <c r="AJ89" i="1"/>
  <c r="AI89" i="1"/>
  <c r="AH89" i="1"/>
  <c r="AG89" i="1"/>
  <c r="AB89" i="1"/>
  <c r="AA89" i="1"/>
  <c r="Z89" i="1"/>
  <c r="Y89" i="1"/>
  <c r="X89" i="1"/>
  <c r="W89" i="1"/>
  <c r="V89" i="1"/>
  <c r="U89" i="1"/>
  <c r="T89" i="1"/>
  <c r="S89" i="1"/>
  <c r="R89" i="1"/>
  <c r="Q89" i="1"/>
  <c r="P89" i="1"/>
  <c r="O89" i="1"/>
  <c r="N89" i="1"/>
  <c r="M89" i="1"/>
  <c r="L89" i="1"/>
  <c r="K89" i="1"/>
  <c r="J89" i="1"/>
  <c r="I89" i="1"/>
  <c r="H89" i="1"/>
  <c r="AJ88" i="1"/>
  <c r="AI88" i="1"/>
  <c r="AH88" i="1"/>
  <c r="AG88" i="1"/>
  <c r="AB88" i="1"/>
  <c r="AA88" i="1"/>
  <c r="Z88" i="1"/>
  <c r="Y88" i="1"/>
  <c r="X88" i="1"/>
  <c r="W88" i="1"/>
  <c r="V88" i="1"/>
  <c r="U88" i="1"/>
  <c r="T88" i="1"/>
  <c r="S88" i="1"/>
  <c r="R88" i="1"/>
  <c r="Q88" i="1"/>
  <c r="P88" i="1"/>
  <c r="O88" i="1"/>
  <c r="N88" i="1"/>
  <c r="M88" i="1"/>
  <c r="L88" i="1"/>
  <c r="K88" i="1"/>
  <c r="J88" i="1"/>
  <c r="I88" i="1"/>
  <c r="H88" i="1"/>
  <c r="AL87" i="1"/>
  <c r="AK87" i="1"/>
  <c r="AJ87" i="1"/>
  <c r="AI87" i="1"/>
  <c r="AH87" i="1"/>
  <c r="AG87" i="1"/>
  <c r="AB87" i="1"/>
  <c r="AA87" i="1"/>
  <c r="Z87" i="1"/>
  <c r="Y87" i="1"/>
  <c r="X87" i="1"/>
  <c r="W87" i="1"/>
  <c r="V87" i="1"/>
  <c r="U87" i="1"/>
  <c r="T87" i="1"/>
  <c r="S87" i="1"/>
  <c r="R87" i="1"/>
  <c r="Q87" i="1"/>
  <c r="P87" i="1"/>
  <c r="O87" i="1"/>
  <c r="N87" i="1"/>
  <c r="M87" i="1"/>
  <c r="L87" i="1"/>
  <c r="K87" i="1"/>
  <c r="J87" i="1"/>
  <c r="I87" i="1"/>
  <c r="H87" i="1"/>
  <c r="AN86" i="1"/>
  <c r="AM86" i="1"/>
  <c r="AL86" i="1"/>
  <c r="AK86" i="1"/>
  <c r="AJ86" i="1"/>
  <c r="AI86" i="1"/>
  <c r="AH86" i="1"/>
  <c r="AG86" i="1"/>
  <c r="AB86" i="1"/>
  <c r="AA86" i="1"/>
  <c r="Z86" i="1"/>
  <c r="Y86" i="1"/>
  <c r="X86" i="1"/>
  <c r="W86" i="1"/>
  <c r="V86" i="1"/>
  <c r="U86" i="1"/>
  <c r="T86" i="1"/>
  <c r="S86" i="1"/>
  <c r="R86" i="1"/>
  <c r="Q86" i="1"/>
  <c r="P86" i="1"/>
  <c r="O86" i="1"/>
  <c r="N86" i="1"/>
  <c r="M86" i="1"/>
  <c r="L86" i="1"/>
  <c r="K86" i="1"/>
  <c r="J86" i="1"/>
  <c r="I86" i="1"/>
  <c r="H86" i="1"/>
  <c r="AN85" i="1"/>
  <c r="AM85" i="1"/>
  <c r="AL85" i="1"/>
  <c r="AK85" i="1"/>
  <c r="AJ85" i="1"/>
  <c r="AI85" i="1"/>
  <c r="AH85" i="1"/>
  <c r="AG85" i="1"/>
  <c r="AB85" i="1"/>
  <c r="AA85" i="1"/>
  <c r="Z85" i="1"/>
  <c r="Y85" i="1"/>
  <c r="X85" i="1"/>
  <c r="W85" i="1"/>
  <c r="V85" i="1"/>
  <c r="U85" i="1"/>
  <c r="T85" i="1"/>
  <c r="S85" i="1"/>
  <c r="R85" i="1"/>
  <c r="Q85" i="1"/>
  <c r="P85" i="1"/>
  <c r="O85" i="1"/>
  <c r="N85" i="1"/>
  <c r="M85" i="1"/>
  <c r="L85" i="1"/>
  <c r="K85" i="1"/>
  <c r="J85" i="1"/>
  <c r="I85" i="1"/>
  <c r="H85" i="1"/>
  <c r="AL84" i="1"/>
  <c r="AK84" i="1"/>
  <c r="AJ84" i="1"/>
  <c r="AI84" i="1"/>
  <c r="AH84" i="1"/>
  <c r="AG84" i="1"/>
  <c r="AB84" i="1"/>
  <c r="AA84" i="1"/>
  <c r="Z84" i="1"/>
  <c r="Y84" i="1"/>
  <c r="X84" i="1"/>
  <c r="W84" i="1"/>
  <c r="V84" i="1"/>
  <c r="U84" i="1"/>
  <c r="T84" i="1"/>
  <c r="S84" i="1"/>
  <c r="R84" i="1"/>
  <c r="Q84" i="1"/>
  <c r="P84" i="1"/>
  <c r="O84" i="1"/>
  <c r="N84" i="1"/>
  <c r="M84" i="1"/>
  <c r="L84" i="1"/>
  <c r="K84" i="1"/>
  <c r="J84" i="1"/>
  <c r="I84" i="1"/>
  <c r="H84" i="1"/>
  <c r="AL83" i="1"/>
  <c r="AK83" i="1"/>
  <c r="AJ83" i="1"/>
  <c r="AI83" i="1"/>
  <c r="AH83" i="1"/>
  <c r="AG83" i="1"/>
  <c r="AB83" i="1"/>
  <c r="AA83" i="1"/>
  <c r="Z83" i="1"/>
  <c r="Y83" i="1"/>
  <c r="X83" i="1"/>
  <c r="W83" i="1"/>
  <c r="V83" i="1"/>
  <c r="U83" i="1"/>
  <c r="T83" i="1"/>
  <c r="S83" i="1"/>
  <c r="R83" i="1"/>
  <c r="Q83" i="1"/>
  <c r="P83" i="1"/>
  <c r="O83" i="1"/>
  <c r="N83" i="1"/>
  <c r="M83" i="1"/>
  <c r="L83" i="1"/>
  <c r="K83" i="1"/>
  <c r="J83" i="1"/>
  <c r="I83" i="1"/>
  <c r="H83" i="1"/>
  <c r="AL82" i="1"/>
  <c r="AK82" i="1"/>
  <c r="AJ82" i="1"/>
  <c r="AI82" i="1"/>
  <c r="AH82" i="1"/>
  <c r="AG82" i="1"/>
  <c r="AB82" i="1"/>
  <c r="AA82" i="1"/>
  <c r="Z82" i="1"/>
  <c r="Y82" i="1"/>
  <c r="X82" i="1"/>
  <c r="W82" i="1"/>
  <c r="V82" i="1"/>
  <c r="U82" i="1"/>
  <c r="T82" i="1"/>
  <c r="S82" i="1"/>
  <c r="R82" i="1"/>
  <c r="Q82" i="1"/>
  <c r="P82" i="1"/>
  <c r="O82" i="1"/>
  <c r="N82" i="1"/>
  <c r="M82" i="1"/>
  <c r="L82" i="1"/>
  <c r="K82" i="1"/>
  <c r="J82" i="1"/>
  <c r="I82" i="1"/>
  <c r="H82" i="1"/>
  <c r="AJ81" i="1"/>
  <c r="AI81" i="1"/>
  <c r="AH81" i="1"/>
  <c r="AG81" i="1"/>
  <c r="AB81" i="1"/>
  <c r="AA81" i="1"/>
  <c r="Z81" i="1"/>
  <c r="Y81" i="1"/>
  <c r="X81" i="1"/>
  <c r="W81" i="1"/>
  <c r="V81" i="1"/>
  <c r="U81" i="1"/>
  <c r="T81" i="1"/>
  <c r="S81" i="1"/>
  <c r="R81" i="1"/>
  <c r="Q81" i="1"/>
  <c r="P81" i="1"/>
  <c r="O81" i="1"/>
  <c r="N81" i="1"/>
  <c r="M81" i="1"/>
  <c r="L81" i="1"/>
  <c r="K81" i="1"/>
  <c r="J81" i="1"/>
  <c r="I81" i="1"/>
  <c r="H81" i="1"/>
  <c r="AJ80" i="1"/>
  <c r="AI80" i="1"/>
  <c r="AH80" i="1"/>
  <c r="AG80" i="1"/>
  <c r="AB80" i="1"/>
  <c r="AA80" i="1"/>
  <c r="Z80" i="1"/>
  <c r="Y80" i="1"/>
  <c r="X80" i="1"/>
  <c r="W80" i="1"/>
  <c r="V80" i="1"/>
  <c r="U80" i="1"/>
  <c r="T80" i="1"/>
  <c r="S80" i="1"/>
  <c r="R80" i="1"/>
  <c r="Q80" i="1"/>
  <c r="P80" i="1"/>
  <c r="O80" i="1"/>
  <c r="N80" i="1"/>
  <c r="M80" i="1"/>
  <c r="L80" i="1"/>
  <c r="K80" i="1"/>
  <c r="J80" i="1"/>
  <c r="I80" i="1"/>
  <c r="H80" i="1"/>
  <c r="AL79" i="1"/>
  <c r="AK79" i="1"/>
  <c r="AJ79" i="1"/>
  <c r="AI79" i="1"/>
  <c r="AH79" i="1"/>
  <c r="AG79" i="1"/>
  <c r="AB79" i="1"/>
  <c r="AA79" i="1"/>
  <c r="Z79" i="1"/>
  <c r="Y79" i="1"/>
  <c r="X79" i="1"/>
  <c r="W79" i="1"/>
  <c r="V79" i="1"/>
  <c r="U79" i="1"/>
  <c r="T79" i="1"/>
  <c r="S79" i="1"/>
  <c r="R79" i="1"/>
  <c r="Q79" i="1"/>
  <c r="P79" i="1"/>
  <c r="O79" i="1"/>
  <c r="N79" i="1"/>
  <c r="M79" i="1"/>
  <c r="L79" i="1"/>
  <c r="K79" i="1"/>
  <c r="J79" i="1"/>
  <c r="I79" i="1"/>
  <c r="H79" i="1"/>
  <c r="AL78" i="1"/>
  <c r="AK78" i="1"/>
  <c r="AJ78" i="1"/>
  <c r="AI78" i="1"/>
  <c r="AH78" i="1"/>
  <c r="AG78" i="1"/>
  <c r="AB78" i="1"/>
  <c r="AA78" i="1"/>
  <c r="Z78" i="1"/>
  <c r="Y78" i="1"/>
  <c r="X78" i="1"/>
  <c r="W78" i="1"/>
  <c r="V78" i="1"/>
  <c r="U78" i="1"/>
  <c r="T78" i="1"/>
  <c r="S78" i="1"/>
  <c r="R78" i="1"/>
  <c r="Q78" i="1"/>
  <c r="P78" i="1"/>
  <c r="O78" i="1"/>
  <c r="N78" i="1"/>
  <c r="M78" i="1"/>
  <c r="L78" i="1"/>
  <c r="K78" i="1"/>
  <c r="J78" i="1"/>
  <c r="I78" i="1"/>
  <c r="H78" i="1"/>
  <c r="AL77" i="1"/>
  <c r="AK77" i="1"/>
  <c r="AJ77" i="1"/>
  <c r="AI77" i="1"/>
  <c r="AH77" i="1"/>
  <c r="AG77" i="1"/>
  <c r="AB77" i="1"/>
  <c r="AA77" i="1"/>
  <c r="Z77" i="1"/>
  <c r="Y77" i="1"/>
  <c r="X77" i="1"/>
  <c r="W77" i="1"/>
  <c r="V77" i="1"/>
  <c r="U77" i="1"/>
  <c r="T77" i="1"/>
  <c r="S77" i="1"/>
  <c r="R77" i="1"/>
  <c r="Q77" i="1"/>
  <c r="P77" i="1"/>
  <c r="O77" i="1"/>
  <c r="N77" i="1"/>
  <c r="M77" i="1"/>
  <c r="L77" i="1"/>
  <c r="K77" i="1"/>
  <c r="J77" i="1"/>
  <c r="I77" i="1"/>
  <c r="H77" i="1"/>
  <c r="AH76" i="1"/>
  <c r="AG76" i="1"/>
  <c r="AB76" i="1"/>
  <c r="AA76" i="1"/>
  <c r="Z76" i="1"/>
  <c r="Y76" i="1"/>
  <c r="X76" i="1"/>
  <c r="W76" i="1"/>
  <c r="V76" i="1"/>
  <c r="U76" i="1"/>
  <c r="T76" i="1"/>
  <c r="S76" i="1"/>
  <c r="R76" i="1"/>
  <c r="Q76" i="1"/>
  <c r="P76" i="1"/>
  <c r="O76" i="1"/>
  <c r="N76" i="1"/>
  <c r="M76" i="1"/>
  <c r="L76" i="1"/>
  <c r="K76" i="1"/>
  <c r="J76" i="1"/>
  <c r="I76" i="1"/>
  <c r="H76" i="1"/>
  <c r="AJ75" i="1"/>
  <c r="AI75" i="1"/>
  <c r="AH75" i="1"/>
  <c r="AG75" i="1"/>
  <c r="AB75" i="1"/>
  <c r="AA75" i="1"/>
  <c r="Z75" i="1"/>
  <c r="Y75" i="1"/>
  <c r="X75" i="1"/>
  <c r="W75" i="1"/>
  <c r="V75" i="1"/>
  <c r="U75" i="1"/>
  <c r="T75" i="1"/>
  <c r="S75" i="1"/>
  <c r="R75" i="1"/>
  <c r="Q75" i="1"/>
  <c r="P75" i="1"/>
  <c r="O75" i="1"/>
  <c r="N75" i="1"/>
  <c r="M75" i="1"/>
  <c r="L75" i="1"/>
  <c r="K75" i="1"/>
  <c r="J75" i="1"/>
  <c r="I75" i="1"/>
  <c r="H75" i="1"/>
  <c r="AJ74" i="1"/>
  <c r="AI74" i="1"/>
  <c r="AH74" i="1"/>
  <c r="AG74" i="1"/>
  <c r="AB74" i="1"/>
  <c r="AA74" i="1"/>
  <c r="Z74" i="1"/>
  <c r="Y74" i="1"/>
  <c r="X74" i="1"/>
  <c r="W74" i="1"/>
  <c r="V74" i="1"/>
  <c r="U74" i="1"/>
  <c r="T74" i="1"/>
  <c r="S74" i="1"/>
  <c r="R74" i="1"/>
  <c r="Q74" i="1"/>
  <c r="P74" i="1"/>
  <c r="O74" i="1"/>
  <c r="N74" i="1"/>
  <c r="M74" i="1"/>
  <c r="L74" i="1"/>
  <c r="K74" i="1"/>
  <c r="J74" i="1"/>
  <c r="I74" i="1"/>
  <c r="H74" i="1"/>
  <c r="AN73" i="1"/>
  <c r="AM73" i="1"/>
  <c r="AL73" i="1"/>
  <c r="AK73" i="1"/>
  <c r="AJ73" i="1"/>
  <c r="AI73" i="1"/>
  <c r="AH73" i="1"/>
  <c r="AG73" i="1"/>
  <c r="AF73" i="1"/>
  <c r="AC73" i="1"/>
  <c r="AB73" i="1"/>
  <c r="AA73" i="1"/>
  <c r="Z73" i="1"/>
  <c r="Y73" i="1"/>
  <c r="X73" i="1"/>
  <c r="W73" i="1"/>
  <c r="V73" i="1"/>
  <c r="U73" i="1"/>
  <c r="T73" i="1"/>
  <c r="S73" i="1"/>
  <c r="R73" i="1"/>
  <c r="Q73" i="1"/>
  <c r="P73" i="1"/>
  <c r="O73" i="1"/>
  <c r="N73" i="1"/>
  <c r="M73" i="1"/>
  <c r="L73" i="1"/>
  <c r="K73" i="1"/>
  <c r="J73" i="1"/>
  <c r="I73" i="1"/>
  <c r="H73" i="1"/>
  <c r="AP72" i="1"/>
  <c r="AO72" i="1"/>
  <c r="AN72" i="1"/>
  <c r="AM72" i="1"/>
  <c r="AL72" i="1"/>
  <c r="AK72" i="1"/>
  <c r="AJ72" i="1"/>
  <c r="AI72" i="1"/>
  <c r="AH72" i="1"/>
  <c r="AG72" i="1"/>
  <c r="AB72" i="1"/>
  <c r="AA72" i="1"/>
  <c r="Z72" i="1"/>
  <c r="Y72" i="1"/>
  <c r="X72" i="1"/>
  <c r="W72" i="1"/>
  <c r="V72" i="1"/>
  <c r="U72" i="1"/>
  <c r="T72" i="1"/>
  <c r="S72" i="1"/>
  <c r="R72" i="1"/>
  <c r="Q72" i="1"/>
  <c r="P72" i="1"/>
  <c r="O72" i="1"/>
  <c r="N72" i="1"/>
  <c r="M72" i="1"/>
  <c r="L72" i="1"/>
  <c r="K72" i="1"/>
  <c r="J72" i="1"/>
  <c r="I72" i="1"/>
  <c r="H72" i="1"/>
  <c r="AP71" i="1"/>
  <c r="AO71" i="1"/>
  <c r="AN71" i="1"/>
  <c r="AM71" i="1"/>
  <c r="AL71" i="1"/>
  <c r="AK71" i="1"/>
  <c r="AJ71" i="1"/>
  <c r="AI71" i="1"/>
  <c r="AH71" i="1"/>
  <c r="AG71" i="1"/>
  <c r="AB71" i="1"/>
  <c r="AA71" i="1"/>
  <c r="Z71" i="1"/>
  <c r="Y71" i="1"/>
  <c r="X71" i="1"/>
  <c r="W71" i="1"/>
  <c r="V71" i="1"/>
  <c r="U71" i="1"/>
  <c r="T71" i="1"/>
  <c r="S71" i="1"/>
  <c r="R71" i="1"/>
  <c r="Q71" i="1"/>
  <c r="P71" i="1"/>
  <c r="O71" i="1"/>
  <c r="N71" i="1"/>
  <c r="M71" i="1"/>
  <c r="L71" i="1"/>
  <c r="K71" i="1"/>
  <c r="J71" i="1"/>
  <c r="I71" i="1"/>
  <c r="H71" i="1"/>
  <c r="AP70" i="1"/>
  <c r="AO70" i="1"/>
  <c r="AN70" i="1"/>
  <c r="AM70" i="1"/>
  <c r="AL70" i="1"/>
  <c r="AK70" i="1"/>
  <c r="AJ70" i="1"/>
  <c r="AI70" i="1"/>
  <c r="AH70" i="1"/>
  <c r="AG70" i="1"/>
  <c r="AB70" i="1"/>
  <c r="AA70" i="1"/>
  <c r="Z70" i="1"/>
  <c r="Y70" i="1"/>
  <c r="X70" i="1"/>
  <c r="W70" i="1"/>
  <c r="V70" i="1"/>
  <c r="U70" i="1"/>
  <c r="T70" i="1"/>
  <c r="S70" i="1"/>
  <c r="R70" i="1"/>
  <c r="Q70" i="1"/>
  <c r="P70" i="1"/>
  <c r="O70" i="1"/>
  <c r="N70" i="1"/>
  <c r="M70" i="1"/>
  <c r="L70" i="1"/>
  <c r="K70" i="1"/>
  <c r="J70" i="1"/>
  <c r="I70" i="1"/>
  <c r="H70" i="1"/>
  <c r="AJ69" i="1"/>
  <c r="AI69" i="1"/>
  <c r="AH69" i="1"/>
  <c r="AG69" i="1"/>
  <c r="AB69" i="1"/>
  <c r="AA69" i="1"/>
  <c r="Z69" i="1"/>
  <c r="Y69" i="1"/>
  <c r="X69" i="1"/>
  <c r="W69" i="1"/>
  <c r="V69" i="1"/>
  <c r="U69" i="1"/>
  <c r="T69" i="1"/>
  <c r="S69" i="1"/>
  <c r="R69" i="1"/>
  <c r="Q69" i="1"/>
  <c r="P69" i="1"/>
  <c r="O69" i="1"/>
  <c r="N69" i="1"/>
  <c r="M69" i="1"/>
  <c r="L69" i="1"/>
  <c r="K69" i="1"/>
  <c r="J69" i="1"/>
  <c r="I69" i="1"/>
  <c r="H69" i="1"/>
  <c r="AL68" i="1"/>
  <c r="AK68" i="1"/>
  <c r="AJ68" i="1"/>
  <c r="AI68" i="1"/>
  <c r="AH68" i="1"/>
  <c r="AG68" i="1"/>
  <c r="AB68" i="1"/>
  <c r="AA68" i="1"/>
  <c r="Z68" i="1"/>
  <c r="Y68" i="1"/>
  <c r="X68" i="1"/>
  <c r="W68" i="1"/>
  <c r="V68" i="1"/>
  <c r="U68" i="1"/>
  <c r="T68" i="1"/>
  <c r="S68" i="1"/>
  <c r="R68" i="1"/>
  <c r="Q68" i="1"/>
  <c r="P68" i="1"/>
  <c r="O68" i="1"/>
  <c r="N68" i="1"/>
  <c r="M68" i="1"/>
  <c r="L68" i="1"/>
  <c r="K68" i="1"/>
  <c r="J68" i="1"/>
  <c r="I68" i="1"/>
  <c r="H68" i="1"/>
  <c r="AJ67" i="1"/>
  <c r="AI67" i="1"/>
  <c r="AH67" i="1"/>
  <c r="AG67" i="1"/>
  <c r="AB67" i="1"/>
  <c r="AA67" i="1"/>
  <c r="Z67" i="1"/>
  <c r="Y67" i="1"/>
  <c r="X67" i="1"/>
  <c r="W67" i="1"/>
  <c r="V67" i="1"/>
  <c r="U67" i="1"/>
  <c r="T67" i="1"/>
  <c r="S67" i="1"/>
  <c r="R67" i="1"/>
  <c r="Q67" i="1"/>
  <c r="P67" i="1"/>
  <c r="O67" i="1"/>
  <c r="N67" i="1"/>
  <c r="M67" i="1"/>
  <c r="L67" i="1"/>
  <c r="K67" i="1"/>
  <c r="J67" i="1"/>
  <c r="I67" i="1"/>
  <c r="H67" i="1"/>
  <c r="AL66" i="1"/>
  <c r="AK66" i="1"/>
  <c r="AJ66" i="1"/>
  <c r="AI66" i="1"/>
  <c r="AH66" i="1"/>
  <c r="AG66" i="1"/>
  <c r="AB66" i="1"/>
  <c r="AA66" i="1"/>
  <c r="Z66" i="1"/>
  <c r="Y66" i="1"/>
  <c r="X66" i="1"/>
  <c r="W66" i="1"/>
  <c r="V66" i="1"/>
  <c r="U66" i="1"/>
  <c r="T66" i="1"/>
  <c r="S66" i="1"/>
  <c r="R66" i="1"/>
  <c r="Q66" i="1"/>
  <c r="P66" i="1"/>
  <c r="O66" i="1"/>
  <c r="N66" i="1"/>
  <c r="M66" i="1"/>
  <c r="L66" i="1"/>
  <c r="K66" i="1"/>
  <c r="J66" i="1"/>
  <c r="I66" i="1"/>
  <c r="H66" i="1"/>
  <c r="AN65" i="1"/>
  <c r="AM65" i="1"/>
  <c r="AL65" i="1"/>
  <c r="AK65" i="1"/>
  <c r="AJ65" i="1"/>
  <c r="AI65" i="1"/>
  <c r="AH65" i="1"/>
  <c r="AG65" i="1"/>
  <c r="AB65" i="1"/>
  <c r="AA65" i="1"/>
  <c r="Z65" i="1"/>
  <c r="Y65" i="1"/>
  <c r="X65" i="1"/>
  <c r="W65" i="1"/>
  <c r="V65" i="1"/>
  <c r="U65" i="1"/>
  <c r="T65" i="1"/>
  <c r="S65" i="1"/>
  <c r="R65" i="1"/>
  <c r="Q65" i="1"/>
  <c r="P65" i="1"/>
  <c r="O65" i="1"/>
  <c r="N65" i="1"/>
  <c r="M65" i="1"/>
  <c r="L65" i="1"/>
  <c r="K65" i="1"/>
  <c r="J65" i="1"/>
  <c r="I65" i="1"/>
  <c r="H65" i="1"/>
  <c r="AN64" i="1"/>
  <c r="AM64" i="1"/>
  <c r="AL64" i="1"/>
  <c r="AK64" i="1"/>
  <c r="AJ64" i="1"/>
  <c r="AI64" i="1"/>
  <c r="AH64" i="1"/>
  <c r="AG64" i="1"/>
  <c r="AB64" i="1"/>
  <c r="AA64" i="1"/>
  <c r="Z64" i="1"/>
  <c r="Y64" i="1"/>
  <c r="X64" i="1"/>
  <c r="W64" i="1"/>
  <c r="V64" i="1"/>
  <c r="U64" i="1"/>
  <c r="T64" i="1"/>
  <c r="S64" i="1"/>
  <c r="R64" i="1"/>
  <c r="Q64" i="1"/>
  <c r="P64" i="1"/>
  <c r="O64" i="1"/>
  <c r="N64" i="1"/>
  <c r="M64" i="1"/>
  <c r="L64" i="1"/>
  <c r="K64" i="1"/>
  <c r="J64" i="1"/>
  <c r="I64" i="1"/>
  <c r="H64" i="1"/>
  <c r="AL63" i="1"/>
  <c r="AK63" i="1"/>
  <c r="AJ63" i="1"/>
  <c r="AI63" i="1"/>
  <c r="AH63" i="1"/>
  <c r="AG63" i="1"/>
  <c r="AB63" i="1"/>
  <c r="AA63" i="1"/>
  <c r="Z63" i="1"/>
  <c r="Y63" i="1"/>
  <c r="X63" i="1"/>
  <c r="W63" i="1"/>
  <c r="V63" i="1"/>
  <c r="U63" i="1"/>
  <c r="T63" i="1"/>
  <c r="S63" i="1"/>
  <c r="R63" i="1"/>
  <c r="Q63" i="1"/>
  <c r="P63" i="1"/>
  <c r="O63" i="1"/>
  <c r="N63" i="1"/>
  <c r="M63" i="1"/>
  <c r="L63" i="1"/>
  <c r="K63" i="1"/>
  <c r="J63" i="1"/>
  <c r="I63" i="1"/>
  <c r="H63" i="1"/>
  <c r="AN62" i="1"/>
  <c r="AM62" i="1"/>
  <c r="AL62" i="1"/>
  <c r="AK62" i="1"/>
  <c r="AJ62" i="1"/>
  <c r="AI62" i="1"/>
  <c r="AH62" i="1"/>
  <c r="AG62" i="1"/>
  <c r="AB62" i="1"/>
  <c r="AA62" i="1"/>
  <c r="Z62" i="1"/>
  <c r="Y62" i="1"/>
  <c r="X62" i="1"/>
  <c r="W62" i="1"/>
  <c r="V62" i="1"/>
  <c r="U62" i="1"/>
  <c r="T62" i="1"/>
  <c r="S62" i="1"/>
  <c r="R62" i="1"/>
  <c r="Q62" i="1"/>
  <c r="P62" i="1"/>
  <c r="O62" i="1"/>
  <c r="N62" i="1"/>
  <c r="M62" i="1"/>
  <c r="L62" i="1"/>
  <c r="K62" i="1"/>
  <c r="J62" i="1"/>
  <c r="I62" i="1"/>
  <c r="H62" i="1"/>
  <c r="AN61" i="1"/>
  <c r="AM61" i="1"/>
  <c r="AL61" i="1"/>
  <c r="AK61" i="1"/>
  <c r="AJ61" i="1"/>
  <c r="AI61" i="1"/>
  <c r="AH61" i="1"/>
  <c r="AG61" i="1"/>
  <c r="AF61" i="1"/>
  <c r="AC61" i="1"/>
  <c r="AB61" i="1"/>
  <c r="AA61" i="1"/>
  <c r="Z61" i="1"/>
  <c r="Y61" i="1"/>
  <c r="X61" i="1"/>
  <c r="W61" i="1"/>
  <c r="V61" i="1"/>
  <c r="U61" i="1"/>
  <c r="T61" i="1"/>
  <c r="S61" i="1"/>
  <c r="R61" i="1"/>
  <c r="Q61" i="1"/>
  <c r="P61" i="1"/>
  <c r="O61" i="1"/>
  <c r="N61" i="1"/>
  <c r="M61" i="1"/>
  <c r="L61" i="1"/>
  <c r="K61" i="1"/>
  <c r="J61" i="1"/>
  <c r="I61" i="1"/>
  <c r="H61" i="1"/>
  <c r="AL60" i="1"/>
  <c r="AK60" i="1"/>
  <c r="AJ60" i="1"/>
  <c r="AI60" i="1"/>
  <c r="AH60" i="1"/>
  <c r="AG60" i="1"/>
  <c r="AB60" i="1"/>
  <c r="AA60" i="1"/>
  <c r="Z60" i="1"/>
  <c r="Y60" i="1"/>
  <c r="X60" i="1"/>
  <c r="W60" i="1"/>
  <c r="V60" i="1"/>
  <c r="U60" i="1"/>
  <c r="T60" i="1"/>
  <c r="S60" i="1"/>
  <c r="R60" i="1"/>
  <c r="Q60" i="1"/>
  <c r="P60" i="1"/>
  <c r="O60" i="1"/>
  <c r="N60" i="1"/>
  <c r="M60" i="1"/>
  <c r="L60" i="1"/>
  <c r="K60" i="1"/>
  <c r="J60" i="1"/>
  <c r="I60" i="1"/>
  <c r="H60" i="1"/>
  <c r="AJ59" i="1"/>
  <c r="AI59" i="1"/>
  <c r="AH59" i="1"/>
  <c r="AG59" i="1"/>
  <c r="AB59" i="1"/>
  <c r="AA59" i="1"/>
  <c r="Z59" i="1"/>
  <c r="Y59" i="1"/>
  <c r="X59" i="1"/>
  <c r="W59" i="1"/>
  <c r="V59" i="1"/>
  <c r="U59" i="1"/>
  <c r="T59" i="1"/>
  <c r="S59" i="1"/>
  <c r="R59" i="1"/>
  <c r="Q59" i="1"/>
  <c r="P59" i="1"/>
  <c r="O59" i="1"/>
  <c r="N59" i="1"/>
  <c r="M59" i="1"/>
  <c r="L59" i="1"/>
  <c r="K59" i="1"/>
  <c r="J59" i="1"/>
  <c r="I59" i="1"/>
  <c r="H59" i="1"/>
  <c r="AL58" i="1"/>
  <c r="AK58" i="1"/>
  <c r="AJ58" i="1"/>
  <c r="AI58" i="1"/>
  <c r="AH58" i="1"/>
  <c r="AG58" i="1"/>
  <c r="AB58" i="1"/>
  <c r="AA58" i="1"/>
  <c r="Z58" i="1"/>
  <c r="Y58" i="1"/>
  <c r="X58" i="1"/>
  <c r="W58" i="1"/>
  <c r="V58" i="1"/>
  <c r="U58" i="1"/>
  <c r="T58" i="1"/>
  <c r="S58" i="1"/>
  <c r="R58" i="1"/>
  <c r="Q58" i="1"/>
  <c r="P58" i="1"/>
  <c r="O58" i="1"/>
  <c r="N58" i="1"/>
  <c r="M58" i="1"/>
  <c r="L58" i="1"/>
  <c r="K58" i="1"/>
  <c r="J58" i="1"/>
  <c r="I58" i="1"/>
  <c r="H58" i="1"/>
  <c r="AN57" i="1"/>
  <c r="AM57" i="1"/>
  <c r="AL57" i="1"/>
  <c r="AK57" i="1"/>
  <c r="AJ57" i="1"/>
  <c r="AI57" i="1"/>
  <c r="AH57" i="1"/>
  <c r="AG57" i="1"/>
  <c r="AF57" i="1"/>
  <c r="AD57" i="1"/>
  <c r="AB57" i="1"/>
  <c r="AA57" i="1"/>
  <c r="Z57" i="1"/>
  <c r="Y57" i="1"/>
  <c r="X57" i="1"/>
  <c r="W57" i="1"/>
  <c r="V57" i="1"/>
  <c r="U57" i="1"/>
  <c r="T57" i="1"/>
  <c r="S57" i="1"/>
  <c r="R57" i="1"/>
  <c r="Q57" i="1"/>
  <c r="P57" i="1"/>
  <c r="O57" i="1"/>
  <c r="N57" i="1"/>
  <c r="M57" i="1"/>
  <c r="L57" i="1"/>
  <c r="K57" i="1"/>
  <c r="J57" i="1"/>
  <c r="I57" i="1"/>
  <c r="H57" i="1"/>
  <c r="AJ56" i="1"/>
  <c r="AI56" i="1"/>
  <c r="AH56" i="1"/>
  <c r="AG56" i="1"/>
  <c r="AB56" i="1"/>
  <c r="AA56" i="1"/>
  <c r="Z56" i="1"/>
  <c r="Y56" i="1"/>
  <c r="X56" i="1"/>
  <c r="W56" i="1"/>
  <c r="V56" i="1"/>
  <c r="U56" i="1"/>
  <c r="T56" i="1"/>
  <c r="S56" i="1"/>
  <c r="R56" i="1"/>
  <c r="Q56" i="1"/>
  <c r="P56" i="1"/>
  <c r="O56" i="1"/>
  <c r="N56" i="1"/>
  <c r="M56" i="1"/>
  <c r="L56" i="1"/>
  <c r="K56" i="1"/>
  <c r="J56" i="1"/>
  <c r="I56" i="1"/>
  <c r="H56" i="1"/>
  <c r="AH55" i="1"/>
  <c r="AG55" i="1"/>
  <c r="AB55" i="1"/>
  <c r="AA55" i="1"/>
  <c r="Z55" i="1"/>
  <c r="Y55" i="1"/>
  <c r="X55" i="1"/>
  <c r="W55" i="1"/>
  <c r="V55" i="1"/>
  <c r="U55" i="1"/>
  <c r="T55" i="1"/>
  <c r="S55" i="1"/>
  <c r="R55" i="1"/>
  <c r="Q55" i="1"/>
  <c r="P55" i="1"/>
  <c r="O55" i="1"/>
  <c r="N55" i="1"/>
  <c r="M55" i="1"/>
  <c r="L55" i="1"/>
  <c r="K55" i="1"/>
  <c r="J55" i="1"/>
  <c r="I55" i="1"/>
  <c r="H55" i="1"/>
  <c r="AH54" i="1"/>
  <c r="AG54" i="1"/>
  <c r="AB54" i="1"/>
  <c r="AA54" i="1"/>
  <c r="Z54" i="1"/>
  <c r="Y54" i="1"/>
  <c r="X54" i="1"/>
  <c r="W54" i="1"/>
  <c r="V54" i="1"/>
  <c r="U54" i="1"/>
  <c r="T54" i="1"/>
  <c r="S54" i="1"/>
  <c r="R54" i="1"/>
  <c r="Q54" i="1"/>
  <c r="P54" i="1"/>
  <c r="O54" i="1"/>
  <c r="N54" i="1"/>
  <c r="M54" i="1"/>
  <c r="L54" i="1"/>
  <c r="K54" i="1"/>
  <c r="J54" i="1"/>
  <c r="I54" i="1"/>
  <c r="H54" i="1"/>
  <c r="AH53" i="1"/>
  <c r="AG53" i="1"/>
  <c r="AB53" i="1"/>
  <c r="AA53" i="1"/>
  <c r="Z53" i="1"/>
  <c r="Y53" i="1"/>
  <c r="X53" i="1"/>
  <c r="W53" i="1"/>
  <c r="V53" i="1"/>
  <c r="U53" i="1"/>
  <c r="T53" i="1"/>
  <c r="S53" i="1"/>
  <c r="R53" i="1"/>
  <c r="Q53" i="1"/>
  <c r="P53" i="1"/>
  <c r="O53" i="1"/>
  <c r="N53" i="1"/>
  <c r="M53" i="1"/>
  <c r="L53" i="1"/>
  <c r="K53" i="1"/>
  <c r="J53" i="1"/>
  <c r="I53" i="1"/>
  <c r="H53" i="1"/>
  <c r="AL52" i="1"/>
  <c r="AK52" i="1"/>
  <c r="AJ52" i="1"/>
  <c r="AI52" i="1"/>
  <c r="AH52" i="1"/>
  <c r="AG52" i="1"/>
  <c r="AB52" i="1"/>
  <c r="AA52" i="1"/>
  <c r="Z52" i="1"/>
  <c r="Y52" i="1"/>
  <c r="X52" i="1"/>
  <c r="V52" i="1"/>
  <c r="U52" i="1"/>
  <c r="T52" i="1"/>
  <c r="S52" i="1"/>
  <c r="R52" i="1"/>
  <c r="Q52" i="1"/>
  <c r="P52" i="1"/>
  <c r="O52" i="1"/>
  <c r="N52" i="1"/>
  <c r="M52" i="1"/>
  <c r="L52" i="1"/>
  <c r="K52" i="1"/>
  <c r="J52" i="1"/>
  <c r="I52" i="1"/>
  <c r="H52" i="1"/>
  <c r="AG51" i="1"/>
  <c r="AB51" i="1"/>
  <c r="AA51" i="1"/>
  <c r="Z51" i="1"/>
  <c r="Y51" i="1"/>
  <c r="X51" i="1"/>
  <c r="W51" i="1"/>
  <c r="V51" i="1"/>
  <c r="U51" i="1"/>
  <c r="T51" i="1"/>
  <c r="S51" i="1"/>
  <c r="R51" i="1"/>
  <c r="Q51" i="1"/>
  <c r="P51" i="1"/>
  <c r="O51" i="1"/>
  <c r="N51" i="1"/>
  <c r="M51" i="1"/>
  <c r="L51" i="1"/>
  <c r="K51" i="1"/>
  <c r="J51" i="1"/>
  <c r="I51" i="1"/>
  <c r="H51" i="1"/>
  <c r="AL50" i="1"/>
  <c r="AK50" i="1"/>
  <c r="AJ50" i="1"/>
  <c r="AI50" i="1"/>
  <c r="AH50" i="1"/>
  <c r="AG50" i="1"/>
  <c r="AB50" i="1"/>
  <c r="AA50" i="1"/>
  <c r="Z50" i="1"/>
  <c r="Y50" i="1"/>
  <c r="X50" i="1"/>
  <c r="W50" i="1"/>
  <c r="V50" i="1"/>
  <c r="U50" i="1"/>
  <c r="T50" i="1"/>
  <c r="S50" i="1"/>
  <c r="R50" i="1"/>
  <c r="Q50" i="1"/>
  <c r="P50" i="1"/>
  <c r="O50" i="1"/>
  <c r="N50" i="1"/>
  <c r="M50" i="1"/>
  <c r="L50" i="1"/>
  <c r="K50" i="1"/>
  <c r="J50" i="1"/>
  <c r="I50" i="1"/>
  <c r="H50" i="1"/>
  <c r="AG49" i="1"/>
  <c r="AB49" i="1"/>
  <c r="AA49" i="1"/>
  <c r="Z49" i="1"/>
  <c r="Y49" i="1"/>
  <c r="X49" i="1"/>
  <c r="W49" i="1"/>
  <c r="V49" i="1"/>
  <c r="U49" i="1"/>
  <c r="T49" i="1"/>
  <c r="S49" i="1"/>
  <c r="R49" i="1"/>
  <c r="Q49" i="1"/>
  <c r="P49" i="1"/>
  <c r="O49" i="1"/>
  <c r="N49" i="1"/>
  <c r="M49" i="1"/>
  <c r="L49" i="1"/>
  <c r="K49" i="1"/>
  <c r="J49" i="1"/>
  <c r="I49" i="1"/>
  <c r="H49" i="1"/>
  <c r="AJ48" i="1"/>
  <c r="AI48" i="1"/>
  <c r="AH48" i="1"/>
  <c r="AG48" i="1"/>
  <c r="AB48" i="1"/>
  <c r="AA48" i="1"/>
  <c r="Z48" i="1"/>
  <c r="Y48" i="1"/>
  <c r="X48" i="1"/>
  <c r="W48" i="1"/>
  <c r="V48" i="1"/>
  <c r="U48" i="1"/>
  <c r="T48" i="1"/>
  <c r="S48" i="1"/>
  <c r="R48" i="1"/>
  <c r="Q48" i="1"/>
  <c r="P48" i="1"/>
  <c r="O48" i="1"/>
  <c r="N48" i="1"/>
  <c r="M48" i="1"/>
  <c r="L48" i="1"/>
  <c r="K48" i="1"/>
  <c r="J48" i="1"/>
  <c r="I48" i="1"/>
  <c r="H48" i="1"/>
  <c r="AP47" i="1"/>
  <c r="AO47" i="1"/>
  <c r="AN47" i="1"/>
  <c r="AM47" i="1"/>
  <c r="AL47" i="1"/>
  <c r="AK47" i="1"/>
  <c r="AJ47" i="1"/>
  <c r="AI47" i="1"/>
  <c r="AH47" i="1"/>
  <c r="AG47" i="1"/>
  <c r="AB47" i="1"/>
  <c r="AA47" i="1"/>
  <c r="Z47" i="1"/>
  <c r="Y47" i="1"/>
  <c r="X47" i="1"/>
  <c r="W47" i="1"/>
  <c r="V47" i="1"/>
  <c r="U47" i="1"/>
  <c r="T47" i="1"/>
  <c r="S47" i="1"/>
  <c r="R47" i="1"/>
  <c r="Q47" i="1"/>
  <c r="P47" i="1"/>
  <c r="O47" i="1"/>
  <c r="N47" i="1"/>
  <c r="M47" i="1"/>
  <c r="L47" i="1"/>
  <c r="K47" i="1"/>
  <c r="J47" i="1"/>
  <c r="I47" i="1"/>
  <c r="H47" i="1"/>
  <c r="AJ46" i="1"/>
  <c r="AI46" i="1"/>
  <c r="AH46" i="1"/>
  <c r="AG46" i="1"/>
  <c r="AB46" i="1"/>
  <c r="AA46" i="1"/>
  <c r="Z46" i="1"/>
  <c r="Y46" i="1"/>
  <c r="X46" i="1"/>
  <c r="W46" i="1"/>
  <c r="V46" i="1"/>
  <c r="U46" i="1"/>
  <c r="T46" i="1"/>
  <c r="S46" i="1"/>
  <c r="R46" i="1"/>
  <c r="Q46" i="1"/>
  <c r="P46" i="1"/>
  <c r="O46" i="1"/>
  <c r="N46" i="1"/>
  <c r="M46" i="1"/>
  <c r="L46" i="1"/>
  <c r="K46" i="1"/>
  <c r="J46" i="1"/>
  <c r="I46" i="1"/>
  <c r="H46" i="1"/>
  <c r="AL45" i="1"/>
  <c r="AK45" i="1"/>
  <c r="AJ45" i="1"/>
  <c r="AI45" i="1"/>
  <c r="AH45" i="1"/>
  <c r="AG45" i="1"/>
  <c r="AB45" i="1"/>
  <c r="AA45" i="1"/>
  <c r="Z45" i="1"/>
  <c r="Y45" i="1"/>
  <c r="X45" i="1"/>
  <c r="W45" i="1"/>
  <c r="V45" i="1"/>
  <c r="U45" i="1"/>
  <c r="T45" i="1"/>
  <c r="S45" i="1"/>
  <c r="R45" i="1"/>
  <c r="Q45" i="1"/>
  <c r="P45" i="1"/>
  <c r="O45" i="1"/>
  <c r="N45" i="1"/>
  <c r="M45" i="1"/>
  <c r="L45" i="1"/>
  <c r="K45" i="1"/>
  <c r="J45" i="1"/>
  <c r="I45" i="1"/>
  <c r="H45" i="1"/>
  <c r="AL44" i="1"/>
  <c r="AK44" i="1"/>
  <c r="AJ44" i="1"/>
  <c r="AI44" i="1"/>
  <c r="AH44" i="1"/>
  <c r="AG44" i="1"/>
  <c r="AB44" i="1"/>
  <c r="AA44" i="1"/>
  <c r="Z44" i="1"/>
  <c r="Y44" i="1"/>
  <c r="X44" i="1"/>
  <c r="W44" i="1"/>
  <c r="V44" i="1"/>
  <c r="U44" i="1"/>
  <c r="T44" i="1"/>
  <c r="S44" i="1"/>
  <c r="R44" i="1"/>
  <c r="Q44" i="1"/>
  <c r="P44" i="1"/>
  <c r="O44" i="1"/>
  <c r="N44" i="1"/>
  <c r="M44" i="1"/>
  <c r="L44" i="1"/>
  <c r="K44" i="1"/>
  <c r="J44" i="1"/>
  <c r="I44" i="1"/>
  <c r="H44" i="1"/>
  <c r="AL43" i="1"/>
  <c r="AK43" i="1"/>
  <c r="AJ43" i="1"/>
  <c r="AI43" i="1"/>
  <c r="AH43" i="1"/>
  <c r="AG43" i="1"/>
  <c r="AB43" i="1"/>
  <c r="AA43" i="1"/>
  <c r="Z43" i="1"/>
  <c r="Y43" i="1"/>
  <c r="X43" i="1"/>
  <c r="W43" i="1"/>
  <c r="V43" i="1"/>
  <c r="U43" i="1"/>
  <c r="T43" i="1"/>
  <c r="S43" i="1"/>
  <c r="R43" i="1"/>
  <c r="Q43" i="1"/>
  <c r="P43" i="1"/>
  <c r="O43" i="1"/>
  <c r="N43" i="1"/>
  <c r="M43" i="1"/>
  <c r="L43" i="1"/>
  <c r="K43" i="1"/>
  <c r="J43" i="1"/>
  <c r="I43" i="1"/>
  <c r="H43" i="1"/>
  <c r="AJ42" i="1"/>
  <c r="AI42" i="1"/>
  <c r="AH42" i="1"/>
  <c r="AG42" i="1"/>
  <c r="AB42" i="1"/>
  <c r="AA42" i="1"/>
  <c r="Z42" i="1"/>
  <c r="Y42" i="1"/>
  <c r="X42" i="1"/>
  <c r="W42" i="1"/>
  <c r="V42" i="1"/>
  <c r="U42" i="1"/>
  <c r="T42" i="1"/>
  <c r="S42" i="1"/>
  <c r="R42" i="1"/>
  <c r="Q42" i="1"/>
  <c r="P42" i="1"/>
  <c r="O42" i="1"/>
  <c r="N42" i="1"/>
  <c r="M42" i="1"/>
  <c r="L42" i="1"/>
  <c r="K42" i="1"/>
  <c r="J42" i="1"/>
  <c r="I42" i="1"/>
  <c r="H42" i="1"/>
  <c r="AL41" i="1"/>
  <c r="AK41" i="1"/>
  <c r="AJ41" i="1"/>
  <c r="AI41" i="1"/>
  <c r="AH41" i="1"/>
  <c r="AG41" i="1"/>
  <c r="AB41" i="1"/>
  <c r="AA41" i="1"/>
  <c r="Z41" i="1"/>
  <c r="Y41" i="1"/>
  <c r="X41" i="1"/>
  <c r="W41" i="1"/>
  <c r="V41" i="1"/>
  <c r="U41" i="1"/>
  <c r="T41" i="1"/>
  <c r="S41" i="1"/>
  <c r="R41" i="1"/>
  <c r="Q41" i="1"/>
  <c r="P41" i="1"/>
  <c r="O41" i="1"/>
  <c r="N41" i="1"/>
  <c r="M41" i="1"/>
  <c r="L41" i="1"/>
  <c r="K41" i="1"/>
  <c r="J41" i="1"/>
  <c r="I41" i="1"/>
  <c r="H41" i="1"/>
  <c r="AL40" i="1"/>
  <c r="AK40" i="1"/>
  <c r="AJ40" i="1"/>
  <c r="AI40" i="1"/>
  <c r="AH40" i="1"/>
  <c r="AG40" i="1"/>
  <c r="AB40" i="1"/>
  <c r="AA40" i="1"/>
  <c r="Z40" i="1"/>
  <c r="Y40" i="1"/>
  <c r="X40" i="1"/>
  <c r="W40" i="1"/>
  <c r="V40" i="1"/>
  <c r="U40" i="1"/>
  <c r="T40" i="1"/>
  <c r="S40" i="1"/>
  <c r="R40" i="1"/>
  <c r="Q40" i="1"/>
  <c r="P40" i="1"/>
  <c r="O40" i="1"/>
  <c r="N40" i="1"/>
  <c r="M40" i="1"/>
  <c r="L40" i="1"/>
  <c r="K40" i="1"/>
  <c r="J40" i="1"/>
  <c r="I40" i="1"/>
  <c r="H40" i="1"/>
  <c r="AJ39" i="1"/>
  <c r="AI39" i="1"/>
  <c r="AH39" i="1"/>
  <c r="AG39" i="1"/>
  <c r="AB39" i="1"/>
  <c r="AA39" i="1"/>
  <c r="Z39" i="1"/>
  <c r="Y39" i="1"/>
  <c r="X39" i="1"/>
  <c r="W39" i="1"/>
  <c r="V39" i="1"/>
  <c r="U39" i="1"/>
  <c r="T39" i="1"/>
  <c r="S39" i="1"/>
  <c r="R39" i="1"/>
  <c r="Q39" i="1"/>
  <c r="P39" i="1"/>
  <c r="O39" i="1"/>
  <c r="N39" i="1"/>
  <c r="M39" i="1"/>
  <c r="L39" i="1"/>
  <c r="K39" i="1"/>
  <c r="J39" i="1"/>
  <c r="I39" i="1"/>
  <c r="H39" i="1"/>
  <c r="AJ38" i="1"/>
  <c r="AI38" i="1"/>
  <c r="AH38" i="1"/>
  <c r="AG38" i="1"/>
  <c r="AB38" i="1"/>
  <c r="AA38" i="1"/>
  <c r="Z38" i="1"/>
  <c r="Y38" i="1"/>
  <c r="X38" i="1"/>
  <c r="W38" i="1"/>
  <c r="V38" i="1"/>
  <c r="U38" i="1"/>
  <c r="T38" i="1"/>
  <c r="S38" i="1"/>
  <c r="R38" i="1"/>
  <c r="Q38" i="1"/>
  <c r="P38" i="1"/>
  <c r="O38" i="1"/>
  <c r="N38" i="1"/>
  <c r="M38" i="1"/>
  <c r="L38" i="1"/>
  <c r="K38" i="1"/>
  <c r="J38" i="1"/>
  <c r="I38" i="1"/>
  <c r="H38" i="1"/>
  <c r="AH37" i="1"/>
  <c r="AG37" i="1"/>
  <c r="AB37" i="1"/>
  <c r="AA37" i="1"/>
  <c r="Z37" i="1"/>
  <c r="Y37" i="1"/>
  <c r="X37" i="1"/>
  <c r="W37" i="1"/>
  <c r="V37" i="1"/>
  <c r="U37" i="1"/>
  <c r="T37" i="1"/>
  <c r="S37" i="1"/>
  <c r="R37" i="1"/>
  <c r="Q37" i="1"/>
  <c r="P37" i="1"/>
  <c r="O37" i="1"/>
  <c r="N37" i="1"/>
  <c r="M37" i="1"/>
  <c r="L37" i="1"/>
  <c r="K37" i="1"/>
  <c r="J37" i="1"/>
  <c r="I37" i="1"/>
  <c r="H37" i="1"/>
  <c r="AG36" i="1"/>
  <c r="AB36" i="1"/>
  <c r="AA36" i="1"/>
  <c r="Z36" i="1"/>
  <c r="Y36" i="1"/>
  <c r="X36" i="1"/>
  <c r="W36" i="1"/>
  <c r="V36" i="1"/>
  <c r="U36" i="1"/>
  <c r="T36" i="1"/>
  <c r="S36" i="1"/>
  <c r="R36" i="1"/>
  <c r="Q36" i="1"/>
  <c r="P36" i="1"/>
  <c r="O36" i="1"/>
  <c r="N36" i="1"/>
  <c r="M36" i="1"/>
  <c r="L36" i="1"/>
  <c r="K36" i="1"/>
  <c r="J36" i="1"/>
  <c r="I36" i="1"/>
  <c r="H36" i="1"/>
  <c r="AL35" i="1"/>
  <c r="AK35" i="1"/>
  <c r="AJ35" i="1"/>
  <c r="AI35" i="1"/>
  <c r="AH35" i="1"/>
  <c r="AG35" i="1"/>
  <c r="AB35" i="1"/>
  <c r="AA35" i="1"/>
  <c r="Z35" i="1"/>
  <c r="Y35" i="1"/>
  <c r="X35" i="1"/>
  <c r="W35" i="1"/>
  <c r="V35" i="1"/>
  <c r="U35" i="1"/>
  <c r="T35" i="1"/>
  <c r="S35" i="1"/>
  <c r="R35" i="1"/>
  <c r="Q35" i="1"/>
  <c r="P35" i="1"/>
  <c r="O35" i="1"/>
  <c r="N35" i="1"/>
  <c r="M35" i="1"/>
  <c r="L35" i="1"/>
  <c r="K35" i="1"/>
  <c r="J35" i="1"/>
  <c r="I35" i="1"/>
  <c r="H35" i="1"/>
  <c r="AJ34" i="1"/>
  <c r="AI34" i="1"/>
  <c r="AH34" i="1"/>
  <c r="AG34" i="1"/>
  <c r="AB34" i="1"/>
  <c r="AA34" i="1"/>
  <c r="Z34" i="1"/>
  <c r="Y34" i="1"/>
  <c r="X34" i="1"/>
  <c r="W34" i="1"/>
  <c r="V34" i="1"/>
  <c r="U34" i="1"/>
  <c r="T34" i="1"/>
  <c r="S34" i="1"/>
  <c r="R34" i="1"/>
  <c r="Q34" i="1"/>
  <c r="P34" i="1"/>
  <c r="O34" i="1"/>
  <c r="N34" i="1"/>
  <c r="M34" i="1"/>
  <c r="L34" i="1"/>
  <c r="K34" i="1"/>
  <c r="J34" i="1"/>
  <c r="I34" i="1"/>
  <c r="H34" i="1"/>
  <c r="AN33" i="1"/>
  <c r="AM33" i="1"/>
  <c r="AL33" i="1"/>
  <c r="AK33" i="1"/>
  <c r="AJ33" i="1"/>
  <c r="AI33" i="1"/>
  <c r="AH33" i="1"/>
  <c r="AG33" i="1"/>
  <c r="AB33" i="1"/>
  <c r="AA33" i="1"/>
  <c r="Z33" i="1"/>
  <c r="Y33" i="1"/>
  <c r="X33" i="1"/>
  <c r="W33" i="1"/>
  <c r="V33" i="1"/>
  <c r="U33" i="1"/>
  <c r="T33" i="1"/>
  <c r="S33" i="1"/>
  <c r="R33" i="1"/>
  <c r="Q33" i="1"/>
  <c r="P33" i="1"/>
  <c r="O33" i="1"/>
  <c r="N33" i="1"/>
  <c r="M33" i="1"/>
  <c r="L33" i="1"/>
  <c r="K33" i="1"/>
  <c r="J33" i="1"/>
  <c r="I33" i="1"/>
  <c r="H33" i="1"/>
  <c r="AN32" i="1"/>
  <c r="AM32" i="1"/>
  <c r="AL32" i="1"/>
  <c r="AK32" i="1"/>
  <c r="AJ32" i="1"/>
  <c r="AI32" i="1"/>
  <c r="AH32" i="1"/>
  <c r="AG32" i="1"/>
  <c r="AB32" i="1"/>
  <c r="AA32" i="1"/>
  <c r="Z32" i="1"/>
  <c r="Y32" i="1"/>
  <c r="X32" i="1"/>
  <c r="W32" i="1"/>
  <c r="V32" i="1"/>
  <c r="U32" i="1"/>
  <c r="T32" i="1"/>
  <c r="S32" i="1"/>
  <c r="R32" i="1"/>
  <c r="Q32" i="1"/>
  <c r="P32" i="1"/>
  <c r="O32" i="1"/>
  <c r="N32" i="1"/>
  <c r="M32" i="1"/>
  <c r="L32" i="1"/>
  <c r="K32" i="1"/>
  <c r="J32" i="1"/>
  <c r="I32" i="1"/>
  <c r="H32" i="1"/>
  <c r="AJ31" i="1"/>
  <c r="AI31" i="1"/>
  <c r="AH31" i="1"/>
  <c r="AG31" i="1"/>
  <c r="AB31" i="1"/>
  <c r="AA31" i="1"/>
  <c r="Z31" i="1"/>
  <c r="Y31" i="1"/>
  <c r="X31" i="1"/>
  <c r="W31" i="1"/>
  <c r="V31" i="1"/>
  <c r="U31" i="1"/>
  <c r="T31" i="1"/>
  <c r="S31" i="1"/>
  <c r="R31" i="1"/>
  <c r="Q31" i="1"/>
  <c r="P31" i="1"/>
  <c r="O31" i="1"/>
  <c r="N31" i="1"/>
  <c r="M31" i="1"/>
  <c r="L31" i="1"/>
  <c r="K31" i="1"/>
  <c r="J31" i="1"/>
  <c r="I31" i="1"/>
  <c r="H31" i="1"/>
  <c r="AJ30" i="1"/>
  <c r="AI30" i="1"/>
  <c r="AH30" i="1"/>
  <c r="AG30" i="1"/>
  <c r="AB30" i="1"/>
  <c r="AA30" i="1"/>
  <c r="Z30" i="1"/>
  <c r="Y30" i="1"/>
  <c r="X30" i="1"/>
  <c r="W30" i="1"/>
  <c r="V30" i="1"/>
  <c r="U30" i="1"/>
  <c r="T30" i="1"/>
  <c r="S30" i="1"/>
  <c r="R30" i="1"/>
  <c r="Q30" i="1"/>
  <c r="P30" i="1"/>
  <c r="O30" i="1"/>
  <c r="N30" i="1"/>
  <c r="M30" i="1"/>
  <c r="L30" i="1"/>
  <c r="K30" i="1"/>
  <c r="J30" i="1"/>
  <c r="I30" i="1"/>
  <c r="H30" i="1"/>
  <c r="AH29" i="1"/>
  <c r="AG29" i="1"/>
  <c r="AB29" i="1"/>
  <c r="AA29" i="1"/>
  <c r="Z29" i="1"/>
  <c r="Y29" i="1"/>
  <c r="X29" i="1"/>
  <c r="W29" i="1"/>
  <c r="V29" i="1"/>
  <c r="U29" i="1"/>
  <c r="T29" i="1"/>
  <c r="S29" i="1"/>
  <c r="R29" i="1"/>
  <c r="Q29" i="1"/>
  <c r="P29" i="1"/>
  <c r="O29" i="1"/>
  <c r="N29" i="1"/>
  <c r="M29" i="1"/>
  <c r="L29" i="1"/>
  <c r="K29" i="1"/>
  <c r="J29" i="1"/>
  <c r="I29" i="1"/>
  <c r="H29" i="1"/>
  <c r="AH28" i="1"/>
  <c r="AG28" i="1"/>
  <c r="AB28" i="1"/>
  <c r="AA28" i="1"/>
  <c r="Z28" i="1"/>
  <c r="Y28" i="1"/>
  <c r="X28" i="1"/>
  <c r="W28" i="1"/>
  <c r="V28" i="1"/>
  <c r="U28" i="1"/>
  <c r="T28" i="1"/>
  <c r="S28" i="1"/>
  <c r="R28" i="1"/>
  <c r="Q28" i="1"/>
  <c r="P28" i="1"/>
  <c r="O28" i="1"/>
  <c r="N28" i="1"/>
  <c r="M28" i="1"/>
  <c r="L28" i="1"/>
  <c r="K28" i="1"/>
  <c r="J28" i="1"/>
  <c r="I28" i="1"/>
  <c r="H28" i="1"/>
  <c r="AH27" i="1"/>
  <c r="AG27" i="1"/>
  <c r="AB27" i="1"/>
  <c r="AA27" i="1"/>
  <c r="Z27" i="1"/>
  <c r="Y27" i="1"/>
  <c r="X27" i="1"/>
  <c r="W27" i="1"/>
  <c r="V27" i="1"/>
  <c r="U27" i="1"/>
  <c r="T27" i="1"/>
  <c r="S27" i="1"/>
  <c r="R27" i="1"/>
  <c r="Q27" i="1"/>
  <c r="P27" i="1"/>
  <c r="O27" i="1"/>
  <c r="N27" i="1"/>
  <c r="M27" i="1"/>
  <c r="L27" i="1"/>
  <c r="K27" i="1"/>
  <c r="J27" i="1"/>
  <c r="I27" i="1"/>
  <c r="H27" i="1"/>
  <c r="AG26" i="1"/>
  <c r="AB26" i="1"/>
  <c r="AA26" i="1"/>
  <c r="Z26" i="1"/>
  <c r="Y26" i="1"/>
  <c r="X26" i="1"/>
  <c r="W26" i="1"/>
  <c r="V26" i="1"/>
  <c r="U26" i="1"/>
  <c r="T26" i="1"/>
  <c r="S26" i="1"/>
  <c r="R26" i="1"/>
  <c r="Q26" i="1"/>
  <c r="P26" i="1"/>
  <c r="O26" i="1"/>
  <c r="N26" i="1"/>
  <c r="M26" i="1"/>
  <c r="L26" i="1"/>
  <c r="K26" i="1"/>
  <c r="J26" i="1"/>
  <c r="I26" i="1"/>
  <c r="H26" i="1"/>
  <c r="AG25" i="1"/>
  <c r="AB25" i="1"/>
  <c r="AA25" i="1"/>
  <c r="Z25" i="1"/>
  <c r="Y25" i="1"/>
  <c r="X25" i="1"/>
  <c r="W25" i="1"/>
  <c r="V25" i="1"/>
  <c r="U25" i="1"/>
  <c r="T25" i="1"/>
  <c r="S25" i="1"/>
  <c r="R25" i="1"/>
  <c r="Q25" i="1"/>
  <c r="P25" i="1"/>
  <c r="O25" i="1"/>
  <c r="N25" i="1"/>
  <c r="M25" i="1"/>
  <c r="L25" i="1"/>
  <c r="K25" i="1"/>
  <c r="J25" i="1"/>
  <c r="I25" i="1"/>
  <c r="H25" i="1"/>
  <c r="AH24" i="1"/>
  <c r="AG24" i="1"/>
  <c r="AB24" i="1"/>
  <c r="AA24" i="1"/>
  <c r="Z24" i="1"/>
  <c r="Y24" i="1"/>
  <c r="X24" i="1"/>
  <c r="W24" i="1"/>
  <c r="V24" i="1"/>
  <c r="U24" i="1"/>
  <c r="T24" i="1"/>
  <c r="S24" i="1"/>
  <c r="R24" i="1"/>
  <c r="Q24" i="1"/>
  <c r="P24" i="1"/>
  <c r="O24" i="1"/>
  <c r="N24" i="1"/>
  <c r="M24" i="1"/>
  <c r="L24" i="1"/>
  <c r="K24" i="1"/>
  <c r="J24" i="1"/>
  <c r="I24" i="1"/>
  <c r="H24" i="1"/>
  <c r="AL23" i="1"/>
  <c r="AK23" i="1"/>
  <c r="AJ23" i="1"/>
  <c r="AI23" i="1"/>
  <c r="AH23" i="1"/>
  <c r="AG23" i="1"/>
  <c r="AB23" i="1"/>
  <c r="AA23" i="1"/>
  <c r="Z23" i="1"/>
  <c r="Y23" i="1"/>
  <c r="X23" i="1"/>
  <c r="W23" i="1"/>
  <c r="V23" i="1"/>
  <c r="U23" i="1"/>
  <c r="T23" i="1"/>
  <c r="S23" i="1"/>
  <c r="R23" i="1"/>
  <c r="Q23" i="1"/>
  <c r="P23" i="1"/>
  <c r="O23" i="1"/>
  <c r="N23" i="1"/>
  <c r="M23" i="1"/>
  <c r="L23" i="1"/>
  <c r="K23" i="1"/>
  <c r="J23" i="1"/>
  <c r="I23" i="1"/>
  <c r="AJ22" i="1"/>
  <c r="AI22" i="1"/>
  <c r="AH22" i="1"/>
  <c r="AG22" i="1"/>
  <c r="AB22" i="1"/>
  <c r="AA22" i="1"/>
  <c r="Z22" i="1"/>
  <c r="Y22" i="1"/>
  <c r="X22" i="1"/>
  <c r="W22" i="1"/>
  <c r="V22" i="1"/>
  <c r="U22" i="1"/>
  <c r="T22" i="1"/>
  <c r="S22" i="1"/>
  <c r="R22" i="1"/>
  <c r="Q22" i="1"/>
  <c r="P22" i="1"/>
  <c r="O22" i="1"/>
  <c r="N22" i="1"/>
  <c r="M22" i="1"/>
  <c r="L22" i="1"/>
  <c r="K22" i="1"/>
  <c r="J22" i="1"/>
  <c r="I22" i="1"/>
  <c r="AN21" i="1"/>
  <c r="AM21" i="1"/>
  <c r="AL21" i="1"/>
  <c r="AK21" i="1"/>
  <c r="AJ21" i="1"/>
  <c r="AI21" i="1"/>
  <c r="AH21" i="1"/>
  <c r="AG21" i="1"/>
  <c r="AB21" i="1"/>
  <c r="AA21" i="1"/>
  <c r="Z21" i="1"/>
  <c r="Y21" i="1"/>
  <c r="X21" i="1"/>
  <c r="W21" i="1"/>
  <c r="V21" i="1"/>
  <c r="U21" i="1"/>
  <c r="T21" i="1"/>
  <c r="S21" i="1"/>
  <c r="R21" i="1"/>
  <c r="Q21" i="1"/>
  <c r="P21" i="1"/>
  <c r="O21" i="1"/>
  <c r="N21" i="1"/>
  <c r="M21" i="1"/>
  <c r="L21" i="1"/>
  <c r="K21" i="1"/>
  <c r="J21" i="1"/>
  <c r="I21" i="1"/>
  <c r="H21" i="1"/>
  <c r="AP20" i="1"/>
  <c r="AO20" i="1"/>
  <c r="AN20" i="1"/>
  <c r="AM20" i="1"/>
  <c r="AL20" i="1"/>
  <c r="AK20" i="1"/>
  <c r="AJ20" i="1"/>
  <c r="AI20" i="1"/>
  <c r="AH20" i="1"/>
  <c r="AG20" i="1"/>
  <c r="AB20" i="1"/>
  <c r="AA20" i="1"/>
  <c r="Z20" i="1"/>
  <c r="Y20" i="1"/>
  <c r="X20" i="1"/>
  <c r="W20" i="1"/>
  <c r="V20" i="1"/>
  <c r="U20" i="1"/>
  <c r="T20" i="1"/>
  <c r="S20" i="1"/>
  <c r="R20" i="1"/>
  <c r="Q20" i="1"/>
  <c r="P20" i="1"/>
  <c r="O20" i="1"/>
  <c r="N20" i="1"/>
  <c r="M20" i="1"/>
  <c r="L20" i="1"/>
  <c r="K20" i="1"/>
  <c r="J20" i="1"/>
  <c r="I20" i="1"/>
  <c r="H20" i="1"/>
  <c r="AL19" i="1"/>
  <c r="AK19" i="1"/>
  <c r="AJ19" i="1"/>
  <c r="AI19" i="1"/>
  <c r="AH19" i="1"/>
  <c r="AG19" i="1"/>
  <c r="AB19" i="1"/>
  <c r="AA19" i="1"/>
  <c r="Z19" i="1"/>
  <c r="Y19" i="1"/>
  <c r="X19" i="1"/>
  <c r="W19" i="1"/>
  <c r="V19" i="1"/>
  <c r="U19" i="1"/>
  <c r="T19" i="1"/>
  <c r="S19" i="1"/>
  <c r="R19" i="1"/>
  <c r="Q19" i="1"/>
  <c r="P19" i="1"/>
  <c r="O19" i="1"/>
  <c r="N19" i="1"/>
  <c r="M19" i="1"/>
  <c r="L19" i="1"/>
  <c r="K19" i="1"/>
  <c r="J19" i="1"/>
  <c r="I19" i="1"/>
  <c r="H19" i="1"/>
  <c r="AJ18" i="1"/>
  <c r="AI18" i="1"/>
  <c r="AH18" i="1"/>
  <c r="AG18" i="1"/>
  <c r="AB18" i="1"/>
  <c r="AA18" i="1"/>
  <c r="Z18" i="1"/>
  <c r="Y18" i="1"/>
  <c r="X18" i="1"/>
  <c r="W18" i="1"/>
  <c r="V18" i="1"/>
  <c r="U18" i="1"/>
  <c r="T18" i="1"/>
  <c r="S18" i="1"/>
  <c r="R18" i="1"/>
  <c r="Q18" i="1"/>
  <c r="P18" i="1"/>
  <c r="O18" i="1"/>
  <c r="N18" i="1"/>
  <c r="M18" i="1"/>
  <c r="L18" i="1"/>
  <c r="K18" i="1"/>
  <c r="J18" i="1"/>
  <c r="I18" i="1"/>
  <c r="H18" i="1"/>
  <c r="AL17" i="1"/>
  <c r="AK17" i="1"/>
  <c r="AJ17" i="1"/>
  <c r="AI17" i="1"/>
  <c r="AH17" i="1"/>
  <c r="AG17" i="1"/>
  <c r="AB17" i="1"/>
  <c r="AA17" i="1"/>
  <c r="Z17" i="1"/>
  <c r="Y17" i="1"/>
  <c r="X17" i="1"/>
  <c r="W17" i="1"/>
  <c r="V17" i="1"/>
  <c r="U17" i="1"/>
  <c r="T17" i="1"/>
  <c r="S17" i="1"/>
  <c r="R17" i="1"/>
  <c r="Q17" i="1"/>
  <c r="P17" i="1"/>
  <c r="O17" i="1"/>
  <c r="N17" i="1"/>
  <c r="M17" i="1"/>
  <c r="L17" i="1"/>
  <c r="K17" i="1"/>
  <c r="J17" i="1"/>
  <c r="I17" i="1"/>
  <c r="H17" i="1"/>
  <c r="AL16" i="1"/>
  <c r="AK16" i="1"/>
  <c r="AJ16" i="1"/>
  <c r="AI16" i="1"/>
  <c r="AH16" i="1"/>
  <c r="AG16" i="1"/>
  <c r="AB16" i="1"/>
  <c r="AA16" i="1"/>
  <c r="Z16" i="1"/>
  <c r="Y16" i="1"/>
  <c r="X16" i="1"/>
  <c r="W16" i="1"/>
  <c r="V16" i="1"/>
  <c r="U16" i="1"/>
  <c r="T16" i="1"/>
  <c r="S16" i="1"/>
  <c r="R16" i="1"/>
  <c r="Q16" i="1"/>
  <c r="P16" i="1"/>
  <c r="O16" i="1"/>
  <c r="N16" i="1"/>
  <c r="M16" i="1"/>
  <c r="L16" i="1"/>
  <c r="K16" i="1"/>
  <c r="J16" i="1"/>
  <c r="I16" i="1"/>
  <c r="H16" i="1"/>
  <c r="AP15" i="1"/>
  <c r="AO15" i="1"/>
  <c r="AN15" i="1"/>
  <c r="AM15" i="1"/>
  <c r="AL15" i="1"/>
  <c r="AK15" i="1"/>
  <c r="AJ15" i="1"/>
  <c r="AI15" i="1"/>
  <c r="AH15" i="1"/>
  <c r="AG15" i="1"/>
  <c r="AB15" i="1"/>
  <c r="AA15" i="1"/>
  <c r="Z15" i="1"/>
  <c r="Y15" i="1"/>
  <c r="X15" i="1"/>
  <c r="W15" i="1"/>
  <c r="V15" i="1"/>
  <c r="U15" i="1"/>
  <c r="T15" i="1"/>
  <c r="S15" i="1"/>
  <c r="R15" i="1"/>
  <c r="Q15" i="1"/>
  <c r="P15" i="1"/>
  <c r="O15" i="1"/>
  <c r="N15" i="1"/>
  <c r="M15" i="1"/>
  <c r="L15" i="1"/>
  <c r="K15" i="1"/>
  <c r="J15" i="1"/>
  <c r="I15" i="1"/>
  <c r="H15" i="1"/>
  <c r="AN14" i="1"/>
  <c r="AM14" i="1"/>
  <c r="AL14" i="1"/>
  <c r="AK14" i="1"/>
  <c r="AJ14" i="1"/>
  <c r="AI14" i="1"/>
  <c r="AH14" i="1"/>
  <c r="AG14" i="1"/>
  <c r="AB14" i="1"/>
  <c r="AA14" i="1"/>
  <c r="Z14" i="1"/>
  <c r="Y14" i="1"/>
  <c r="X14" i="1"/>
  <c r="W14" i="1"/>
  <c r="V14" i="1"/>
  <c r="U14" i="1"/>
  <c r="T14" i="1"/>
  <c r="S14" i="1"/>
  <c r="R14" i="1"/>
  <c r="Q14" i="1"/>
  <c r="P14" i="1"/>
  <c r="O14" i="1"/>
  <c r="N14" i="1"/>
  <c r="M14" i="1"/>
  <c r="L14" i="1"/>
  <c r="K14" i="1"/>
  <c r="J14" i="1"/>
  <c r="I14" i="1"/>
  <c r="H14" i="1"/>
  <c r="AL13" i="1"/>
  <c r="AK13" i="1"/>
  <c r="AJ13" i="1"/>
  <c r="AI13" i="1"/>
  <c r="AH13" i="1"/>
  <c r="AG13" i="1"/>
  <c r="AB13" i="1"/>
  <c r="AA13" i="1"/>
  <c r="Z13" i="1"/>
  <c r="Y13" i="1"/>
  <c r="X13" i="1"/>
  <c r="W13" i="1"/>
  <c r="V13" i="1"/>
  <c r="U13" i="1"/>
  <c r="T13" i="1"/>
  <c r="S13" i="1"/>
  <c r="R13" i="1"/>
  <c r="Q13" i="1"/>
  <c r="P13" i="1"/>
  <c r="O13" i="1"/>
  <c r="N13" i="1"/>
  <c r="M13" i="1"/>
  <c r="L13" i="1"/>
  <c r="K13" i="1"/>
  <c r="J13" i="1"/>
  <c r="I13" i="1"/>
  <c r="H13" i="1"/>
  <c r="AH12" i="1"/>
  <c r="AG12" i="1"/>
  <c r="AB12" i="1"/>
  <c r="AA12" i="1"/>
  <c r="Z12" i="1"/>
  <c r="Y12" i="1"/>
  <c r="X12" i="1"/>
  <c r="W12" i="1"/>
  <c r="V12" i="1"/>
  <c r="U12" i="1"/>
  <c r="T12" i="1"/>
  <c r="S12" i="1"/>
  <c r="R12" i="1"/>
  <c r="Q12" i="1"/>
  <c r="P12" i="1"/>
  <c r="O12" i="1"/>
  <c r="N12" i="1"/>
  <c r="M12" i="1"/>
  <c r="L12" i="1"/>
  <c r="K12" i="1"/>
  <c r="J12" i="1"/>
  <c r="I12" i="1"/>
  <c r="H12" i="1"/>
  <c r="AN11" i="1"/>
  <c r="AM11" i="1"/>
  <c r="AL11" i="1"/>
  <c r="AK11" i="1"/>
  <c r="AJ11" i="1"/>
  <c r="AI11" i="1"/>
  <c r="AH11" i="1"/>
  <c r="AG11" i="1"/>
  <c r="AB11" i="1"/>
  <c r="AA11" i="1"/>
  <c r="Z11" i="1"/>
  <c r="Y11" i="1"/>
  <c r="X11" i="1"/>
  <c r="W11" i="1"/>
  <c r="V11" i="1"/>
  <c r="U11" i="1"/>
  <c r="T11" i="1"/>
  <c r="S11" i="1"/>
  <c r="R11" i="1"/>
  <c r="Q11" i="1"/>
  <c r="P11" i="1"/>
  <c r="O11" i="1"/>
  <c r="N11" i="1"/>
  <c r="M11" i="1"/>
  <c r="L11" i="1"/>
  <c r="K11" i="1"/>
  <c r="J11" i="1"/>
  <c r="I11" i="1"/>
  <c r="H11" i="1"/>
  <c r="AP10" i="1"/>
  <c r="AO10" i="1"/>
  <c r="AN10" i="1"/>
  <c r="AM10" i="1"/>
  <c r="AL10" i="1"/>
  <c r="AK10" i="1"/>
  <c r="AJ10" i="1"/>
  <c r="AI10" i="1"/>
  <c r="AH10" i="1"/>
  <c r="AG10" i="1"/>
  <c r="AB10" i="1"/>
  <c r="AA10" i="1"/>
  <c r="Z10" i="1"/>
  <c r="Y10" i="1"/>
  <c r="X10" i="1"/>
  <c r="W10" i="1"/>
  <c r="V10" i="1"/>
  <c r="U10" i="1"/>
  <c r="T10" i="1"/>
  <c r="S10" i="1"/>
  <c r="R10" i="1"/>
  <c r="Q10" i="1"/>
  <c r="P10" i="1"/>
  <c r="O10" i="1"/>
  <c r="N10" i="1"/>
  <c r="M10" i="1"/>
  <c r="L10" i="1"/>
  <c r="K10" i="1"/>
  <c r="J10" i="1"/>
  <c r="I10" i="1"/>
  <c r="H10" i="1"/>
  <c r="AL9" i="1"/>
  <c r="AK9" i="1"/>
  <c r="AJ9" i="1"/>
  <c r="AI9" i="1"/>
  <c r="AH9" i="1"/>
  <c r="AG9" i="1"/>
  <c r="AB9" i="1"/>
  <c r="AA9" i="1"/>
  <c r="Z9" i="1"/>
  <c r="Y9" i="1"/>
  <c r="X9" i="1"/>
  <c r="W9" i="1"/>
  <c r="V9" i="1"/>
  <c r="U9" i="1"/>
  <c r="T9" i="1"/>
  <c r="S9" i="1"/>
  <c r="R9" i="1"/>
  <c r="Q9" i="1"/>
  <c r="P9" i="1"/>
  <c r="O9" i="1"/>
  <c r="N9" i="1"/>
  <c r="M9" i="1"/>
  <c r="L9" i="1"/>
  <c r="K9" i="1"/>
  <c r="J9" i="1"/>
  <c r="I9" i="1"/>
  <c r="H9" i="1"/>
  <c r="AJ8" i="1"/>
  <c r="AI8" i="1"/>
  <c r="AH8" i="1"/>
  <c r="AG8" i="1"/>
  <c r="AB8" i="1"/>
  <c r="AA8" i="1"/>
  <c r="Z8" i="1"/>
  <c r="Y8" i="1"/>
  <c r="X8" i="1"/>
  <c r="W8" i="1"/>
  <c r="V8" i="1"/>
  <c r="U8" i="1"/>
  <c r="T8" i="1"/>
  <c r="S8" i="1"/>
  <c r="R8" i="1"/>
  <c r="Q8" i="1"/>
  <c r="P8" i="1"/>
  <c r="O8" i="1"/>
  <c r="N8" i="1"/>
  <c r="M8" i="1"/>
  <c r="L8" i="1"/>
  <c r="K8" i="1"/>
  <c r="J8" i="1"/>
  <c r="I8" i="1"/>
  <c r="H8" i="1"/>
  <c r="AH7" i="1"/>
  <c r="AG7" i="1"/>
  <c r="AB7" i="1"/>
  <c r="AA7" i="1"/>
  <c r="Z7" i="1"/>
  <c r="Y7" i="1"/>
  <c r="X7" i="1"/>
  <c r="W7" i="1"/>
  <c r="V7" i="1"/>
  <c r="U7" i="1"/>
  <c r="T7" i="1"/>
  <c r="S7" i="1"/>
  <c r="R7" i="1"/>
  <c r="Q7" i="1"/>
  <c r="P7" i="1"/>
  <c r="O7" i="1"/>
  <c r="N7" i="1"/>
  <c r="M7" i="1"/>
  <c r="L7" i="1"/>
  <c r="K7" i="1"/>
  <c r="J7" i="1"/>
  <c r="I7" i="1"/>
  <c r="H7" i="1"/>
  <c r="AG6" i="1"/>
  <c r="AB6" i="1"/>
  <c r="AA6" i="1"/>
  <c r="Z6" i="1"/>
  <c r="Y6" i="1"/>
  <c r="X6" i="1"/>
  <c r="W6" i="1"/>
  <c r="V6" i="1"/>
  <c r="U6" i="1"/>
  <c r="T6" i="1"/>
  <c r="S6" i="1"/>
  <c r="R6" i="1"/>
  <c r="Q6" i="1"/>
  <c r="P6" i="1"/>
  <c r="O6" i="1"/>
  <c r="N6" i="1"/>
  <c r="M6" i="1"/>
  <c r="L6" i="1"/>
  <c r="K6" i="1"/>
  <c r="J6" i="1"/>
  <c r="I6" i="1"/>
  <c r="H6" i="1"/>
  <c r="AJ5" i="1"/>
  <c r="AI5" i="1"/>
  <c r="AH5" i="1"/>
  <c r="AG5" i="1"/>
  <c r="AB5" i="1"/>
  <c r="AA5" i="1"/>
  <c r="Z5" i="1"/>
  <c r="Y5" i="1"/>
  <c r="X5" i="1"/>
  <c r="W5" i="1"/>
  <c r="V5" i="1"/>
  <c r="U5" i="1"/>
  <c r="T5" i="1"/>
  <c r="S5" i="1"/>
  <c r="R5" i="1"/>
  <c r="Q5" i="1"/>
  <c r="P5" i="1"/>
  <c r="O5" i="1"/>
  <c r="N5" i="1"/>
  <c r="M5" i="1"/>
  <c r="L5" i="1"/>
  <c r="K5" i="1"/>
  <c r="J5" i="1"/>
  <c r="I5" i="1"/>
  <c r="H5" i="1"/>
  <c r="AH4" i="1"/>
  <c r="AG4" i="1"/>
  <c r="AB4" i="1"/>
  <c r="AA4" i="1"/>
  <c r="Z4" i="1"/>
  <c r="Y4" i="1"/>
  <c r="X4" i="1"/>
  <c r="W4" i="1"/>
  <c r="V4" i="1"/>
  <c r="U4" i="1"/>
  <c r="T4" i="1"/>
  <c r="S4" i="1"/>
  <c r="R4" i="1"/>
  <c r="Q4" i="1"/>
  <c r="P4" i="1"/>
  <c r="O4" i="1"/>
  <c r="N4" i="1"/>
  <c r="M4" i="1"/>
  <c r="L4" i="1"/>
  <c r="K4" i="1"/>
  <c r="J4" i="1"/>
  <c r="I4" i="1"/>
  <c r="H4" i="1"/>
  <c r="AH3" i="1"/>
  <c r="AG3" i="1"/>
  <c r="AB3" i="1"/>
  <c r="AA3" i="1"/>
  <c r="Z3" i="1"/>
  <c r="Y3" i="1"/>
  <c r="X3" i="1"/>
  <c r="W3" i="1"/>
  <c r="V3" i="1"/>
  <c r="U3" i="1"/>
  <c r="T3" i="1"/>
  <c r="S3" i="1"/>
  <c r="R3" i="1"/>
  <c r="Q3" i="1"/>
  <c r="P3" i="1"/>
  <c r="O3" i="1"/>
  <c r="N3" i="1"/>
  <c r="M3" i="1"/>
  <c r="L3" i="1"/>
  <c r="K3" i="1"/>
  <c r="J3" i="1"/>
  <c r="I3" i="1"/>
  <c r="H3" i="1"/>
  <c r="AJ2" i="1"/>
  <c r="AI2" i="1"/>
  <c r="AH2" i="1"/>
  <c r="AG2" i="1"/>
  <c r="AB2" i="1"/>
  <c r="AA2" i="1"/>
  <c r="Z2" i="1"/>
  <c r="Y2" i="1"/>
  <c r="X2" i="1"/>
  <c r="W2" i="1"/>
  <c r="V2" i="1"/>
  <c r="U2" i="1"/>
  <c r="T2" i="1"/>
  <c r="S2" i="1"/>
  <c r="R2" i="1"/>
  <c r="Q2" i="1"/>
  <c r="P2" i="1"/>
  <c r="O2" i="1"/>
  <c r="N2" i="1"/>
  <c r="M2" i="1"/>
  <c r="L2" i="1"/>
  <c r="K2" i="1"/>
  <c r="J2" i="1"/>
  <c r="I2" i="1"/>
  <c r="H2"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H65" authorId="0" shapeId="0" xr:uid="{00000000-0006-0000-0200-000001000000}">
      <text>
        <r>
          <rPr>
            <sz val="10"/>
            <color rgb="FF000000"/>
            <rFont val="Arial"/>
            <scheme val="minor"/>
          </rPr>
          <t>do we need this LU?
	-achin sharma</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G127" authorId="0" shapeId="0" xr:uid="{00000000-0006-0000-0A00-000001000000}">
      <text>
        <r>
          <rPr>
            <sz val="10"/>
            <color rgb="FF000000"/>
            <rFont val="Arial"/>
            <scheme val="minor"/>
          </rPr>
          <t>To be removed
	-Apoorva Singh</t>
        </r>
      </text>
    </comment>
  </commentList>
</comments>
</file>

<file path=xl/sharedStrings.xml><?xml version="1.0" encoding="utf-8"?>
<sst xmlns="http://schemas.openxmlformats.org/spreadsheetml/2006/main" count="15328" uniqueCount="2774">
  <si>
    <t>Template</t>
  </si>
  <si>
    <t>Board</t>
  </si>
  <si>
    <t>Grade</t>
  </si>
  <si>
    <t>Subject</t>
  </si>
  <si>
    <t>Chapter (NCERT/AcadAlly's name)</t>
  </si>
  <si>
    <t>Topic</t>
  </si>
  <si>
    <t>LUID</t>
  </si>
  <si>
    <t>LUs Covered</t>
  </si>
  <si>
    <t>LO ID (Remember)</t>
  </si>
  <si>
    <t>LO Name (Remember)</t>
  </si>
  <si>
    <t>LO ID (Understand)</t>
  </si>
  <si>
    <t>LO Name (Understand)</t>
  </si>
  <si>
    <t>LO ID (Apply)</t>
  </si>
  <si>
    <t>LO Name (Apply)</t>
  </si>
  <si>
    <t>LO ID (Analyse)</t>
  </si>
  <si>
    <t>LO Name (Analyse)</t>
  </si>
  <si>
    <t>LO ID (Evaluate)</t>
  </si>
  <si>
    <t>LO Name (Evaluate)</t>
  </si>
  <si>
    <t>LO ID (Create)</t>
  </si>
  <si>
    <t>LO Name (Create)</t>
  </si>
  <si>
    <t>Clone
Level 1</t>
  </si>
  <si>
    <t>Clone
Level 2</t>
  </si>
  <si>
    <t>Clone
Level 3</t>
  </si>
  <si>
    <t>Clone Total</t>
  </si>
  <si>
    <t>Original
Level 1</t>
  </si>
  <si>
    <t>Original
Level 2</t>
  </si>
  <si>
    <t>Original
Level 3</t>
  </si>
  <si>
    <t>Original Total</t>
  </si>
  <si>
    <t>Unknown
Level 1</t>
  </si>
  <si>
    <t>Unknown
Level 2</t>
  </si>
  <si>
    <t>Unknown
Level 3</t>
  </si>
  <si>
    <t>Total</t>
  </si>
  <si>
    <t>Primary LUID_1</t>
  </si>
  <si>
    <t>Primary LU_1</t>
  </si>
  <si>
    <t>Primary LUID_2</t>
  </si>
  <si>
    <t>Primary LU_2</t>
  </si>
  <si>
    <t>Primary LUID_3</t>
  </si>
  <si>
    <t>Primary LU_3</t>
  </si>
  <si>
    <t>Primary LUID_4</t>
  </si>
  <si>
    <t>Primary LU_4</t>
  </si>
  <si>
    <t>Primary LUID_5</t>
  </si>
  <si>
    <t>Primary LU_5</t>
  </si>
  <si>
    <t>Primary LUID_6</t>
  </si>
  <si>
    <t>Primary LU_6</t>
  </si>
  <si>
    <t>Primary LUID_7</t>
  </si>
  <si>
    <t>Primary LU_7</t>
  </si>
  <si>
    <t>NCERT Ganita Prakash 2025</t>
  </si>
  <si>
    <t>CBSE</t>
  </si>
  <si>
    <t>Class 6</t>
  </si>
  <si>
    <t>Math</t>
  </si>
  <si>
    <t>Patterns in Mathematics</t>
  </si>
  <si>
    <t xml:space="preserve">Patterns in Numbers </t>
  </si>
  <si>
    <t>LU001344</t>
  </si>
  <si>
    <t>Relations Among Number Sequences</t>
  </si>
  <si>
    <t>LU001345</t>
  </si>
  <si>
    <t>LU001346</t>
  </si>
  <si>
    <t>Patterns in Shapes</t>
  </si>
  <si>
    <t>LU001347</t>
  </si>
  <si>
    <t>Lines and Angles</t>
  </si>
  <si>
    <t>Introduction to Point and Line Segment</t>
  </si>
  <si>
    <t>LU000218</t>
  </si>
  <si>
    <t>LU000219</t>
  </si>
  <si>
    <t>Introduction to Ray and Line</t>
  </si>
  <si>
    <t>LU000220</t>
  </si>
  <si>
    <t>LU000223</t>
  </si>
  <si>
    <t>Angles</t>
  </si>
  <si>
    <t>LU000228</t>
  </si>
  <si>
    <t>LU001348</t>
  </si>
  <si>
    <t>Types of Angles (Right, Straight, Complete)</t>
  </si>
  <si>
    <t>LU000017</t>
  </si>
  <si>
    <t>LU000259</t>
  </si>
  <si>
    <t>LU000260</t>
  </si>
  <si>
    <t>Relationship between Different Angles</t>
  </si>
  <si>
    <t>LU000241</t>
  </si>
  <si>
    <t>Perpendicular Lines</t>
  </si>
  <si>
    <t>LU000244</t>
  </si>
  <si>
    <t>Angles: Measurement and Construction</t>
  </si>
  <si>
    <t>LU000243</t>
  </si>
  <si>
    <t>LU000818</t>
  </si>
  <si>
    <t>Types of Angles (Acute, Obtuse, Reflex)</t>
  </si>
  <si>
    <t>LU000242</t>
  </si>
  <si>
    <t>LU000257</t>
  </si>
  <si>
    <t>LU000258</t>
  </si>
  <si>
    <t>Number Play</t>
  </si>
  <si>
    <t>Patterns of Numbers</t>
  </si>
  <si>
    <t>LU000154</t>
  </si>
  <si>
    <t>Comparison of whole numbers (upto 9-digit numbers)</t>
  </si>
  <si>
    <t>LU000155</t>
  </si>
  <si>
    <t>Order of whole numbers (upto 9-digit numbers)</t>
  </si>
  <si>
    <t>LU001349</t>
  </si>
  <si>
    <t>Playing with Digits - I</t>
  </si>
  <si>
    <t>LU001350</t>
  </si>
  <si>
    <t>LU000054</t>
  </si>
  <si>
    <t>Playing with Digits - II</t>
  </si>
  <si>
    <t>LU001351</t>
  </si>
  <si>
    <t>LU000945</t>
  </si>
  <si>
    <t>Clock and Calendar Numbers</t>
  </si>
  <si>
    <t>LU001352</t>
  </si>
  <si>
    <t>Addition and Subtraction of Large Whole Numbers</t>
  </si>
  <si>
    <t>LU000948</t>
  </si>
  <si>
    <t>LU000949</t>
  </si>
  <si>
    <t>LU000969</t>
  </si>
  <si>
    <t>Playing with Number Patterns</t>
  </si>
  <si>
    <t>LU001367</t>
  </si>
  <si>
    <t>Estimation by Rounding off</t>
  </si>
  <si>
    <t>LU000168</t>
  </si>
  <si>
    <t>LU000169</t>
  </si>
  <si>
    <t>Data Handling and Presentation</t>
  </si>
  <si>
    <t>Introduction to Data</t>
  </si>
  <si>
    <t>LU000308</t>
  </si>
  <si>
    <t>LU000309</t>
  </si>
  <si>
    <t>LU000400</t>
  </si>
  <si>
    <t>Tally Chart</t>
  </si>
  <si>
    <t>LU000310</t>
  </si>
  <si>
    <t>LU000311</t>
  </si>
  <si>
    <t>LU000312</t>
  </si>
  <si>
    <t>Pictograph</t>
  </si>
  <si>
    <t>LU000313</t>
  </si>
  <si>
    <t>LU000314</t>
  </si>
  <si>
    <t>LU000315</t>
  </si>
  <si>
    <t>Bar Graph</t>
  </si>
  <si>
    <t>LU000316</t>
  </si>
  <si>
    <t>LU000317</t>
  </si>
  <si>
    <t>LU000318</t>
  </si>
  <si>
    <t>Infographics</t>
  </si>
  <si>
    <t>LU001353</t>
  </si>
  <si>
    <t>Prime Time</t>
  </si>
  <si>
    <t>Multiples</t>
  </si>
  <si>
    <t>LU000193</t>
  </si>
  <si>
    <t>LU000058</t>
  </si>
  <si>
    <t>Factors</t>
  </si>
  <si>
    <t>LU000192</t>
  </si>
  <si>
    <t>LU000060</t>
  </si>
  <si>
    <t>LU000194</t>
  </si>
  <si>
    <t>Prime and Composite Numbers</t>
  </si>
  <si>
    <t>LU000195</t>
  </si>
  <si>
    <t>LU000196</t>
  </si>
  <si>
    <t>Twin-prime and Co-prime Numbers</t>
  </si>
  <si>
    <t>LU000213</t>
  </si>
  <si>
    <t>LU000209</t>
  </si>
  <si>
    <t>Prime Factorisation</t>
  </si>
  <si>
    <t>LU000210</t>
  </si>
  <si>
    <t>LU001354</t>
  </si>
  <si>
    <t>LU001355</t>
  </si>
  <si>
    <t>Rules for Divisibility of Numbers (2, 5, and 10)</t>
  </si>
  <si>
    <t>LU000207</t>
  </si>
  <si>
    <t>LU000202</t>
  </si>
  <si>
    <t>LU000199</t>
  </si>
  <si>
    <t>Rules for Divisibility of Numbers (4 and 8)</t>
  </si>
  <si>
    <t>LU000201</t>
  </si>
  <si>
    <t>LU000205</t>
  </si>
  <si>
    <t>Perimeter and Area</t>
  </si>
  <si>
    <t>Perimeter of a Rectangle and Regular Shapes</t>
  </si>
  <si>
    <t>LU000324</t>
  </si>
  <si>
    <t>LU001356</t>
  </si>
  <si>
    <t>LU000325</t>
  </si>
  <si>
    <t>Perimeters of the Figures Using Square Grid</t>
  </si>
  <si>
    <t>LU001357</t>
  </si>
  <si>
    <t>Area of Shapes using Formula</t>
  </si>
  <si>
    <t>LU000327</t>
  </si>
  <si>
    <t>LU000328</t>
  </si>
  <si>
    <t>Area of Composite Shapes</t>
  </si>
  <si>
    <t>LU000926</t>
  </si>
  <si>
    <t>Area of Shapes Using Square Grid Method</t>
  </si>
  <si>
    <t>LU000326</t>
  </si>
  <si>
    <t>Perimeter and Area Relationship</t>
  </si>
  <si>
    <t>LU001358</t>
  </si>
  <si>
    <t>Area of Triangle</t>
  </si>
  <si>
    <t>LU000486</t>
  </si>
  <si>
    <t>Fractions</t>
  </si>
  <si>
    <t>Fractional Unit</t>
  </si>
  <si>
    <t>LU000278</t>
  </si>
  <si>
    <t>LU001054</t>
  </si>
  <si>
    <t>Representation of Fractions</t>
  </si>
  <si>
    <t>LU000279</t>
  </si>
  <si>
    <t>LU000280</t>
  </si>
  <si>
    <t>Types of Fractions</t>
  </si>
  <si>
    <t>LU001369</t>
  </si>
  <si>
    <t>LU001370</t>
  </si>
  <si>
    <t>LU000283</t>
  </si>
  <si>
    <t>Interconversion of Mixed fraction to Improper Fraction</t>
  </si>
  <si>
    <t>LU000975</t>
  </si>
  <si>
    <t>LU000976</t>
  </si>
  <si>
    <t>Equivalent Fractions, Simplest Form of a Fraction</t>
  </si>
  <si>
    <t>LU000285</t>
  </si>
  <si>
    <t>LU000291</t>
  </si>
  <si>
    <t>Comparing Fractions</t>
  </si>
  <si>
    <t>LU000287</t>
  </si>
  <si>
    <t>Addition and Subtraction of Fractions with the Same Denominators</t>
  </si>
  <si>
    <t>LU000977</t>
  </si>
  <si>
    <t>LU000978</t>
  </si>
  <si>
    <t>Brahmagupta’s Method for Addition and Subtraction of Fractions</t>
  </si>
  <si>
    <t>LU000979</t>
  </si>
  <si>
    <t>LU000980</t>
  </si>
  <si>
    <t>LU001359</t>
  </si>
  <si>
    <t>Playing with Constructions</t>
  </si>
  <si>
    <t>Introduction to Circle and its Construction</t>
  </si>
  <si>
    <t>LU000231</t>
  </si>
  <si>
    <t>LU000232</t>
  </si>
  <si>
    <t>LU000807</t>
  </si>
  <si>
    <t>Constructing Rectangles and Squares</t>
  </si>
  <si>
    <t>LU000862</t>
  </si>
  <si>
    <t>LU000864</t>
  </si>
  <si>
    <t>Exploration in Rectangles and Squares</t>
  </si>
  <si>
    <t>LU001360</t>
  </si>
  <si>
    <t>LU001361</t>
  </si>
  <si>
    <t>LU001362</t>
  </si>
  <si>
    <t>Points Equidistant from Two Given Points</t>
  </si>
  <si>
    <t>LU001365</t>
  </si>
  <si>
    <t>Symmetry</t>
  </si>
  <si>
    <t>Symmetry and Reflection in a Mirror</t>
  </si>
  <si>
    <t>LU000789</t>
  </si>
  <si>
    <t>LU000790</t>
  </si>
  <si>
    <t>LU000900</t>
  </si>
  <si>
    <t>Lines of Symmetry - I</t>
  </si>
  <si>
    <t>LU000791</t>
  </si>
  <si>
    <t>LU000796</t>
  </si>
  <si>
    <t>Lines of Symmetry - II</t>
  </si>
  <si>
    <t>LU001176</t>
  </si>
  <si>
    <t>LU000800</t>
  </si>
  <si>
    <t>Rotational Symmetry</t>
  </si>
  <si>
    <t>LU000792</t>
  </si>
  <si>
    <t>LU000793</t>
  </si>
  <si>
    <t>LU000794</t>
  </si>
  <si>
    <t>Line Symmetry and Rotational Symmetry</t>
  </si>
  <si>
    <t>LU000799</t>
  </si>
  <si>
    <t>The Other Side of Zero</t>
  </si>
  <si>
    <t>Introduction to Negative Numbers</t>
  </si>
  <si>
    <t>LU000907</t>
  </si>
  <si>
    <t>Introduction to Integers</t>
  </si>
  <si>
    <t>LU000265</t>
  </si>
  <si>
    <t>LU000266</t>
  </si>
  <si>
    <t>LU000267</t>
  </si>
  <si>
    <t>Ordering and Representation of Integers</t>
  </si>
  <si>
    <t>LU000270</t>
  </si>
  <si>
    <t>LU000908</t>
  </si>
  <si>
    <t>LU000273</t>
  </si>
  <si>
    <t>Operations on Integers - Addition</t>
  </si>
  <si>
    <t>LU000271</t>
  </si>
  <si>
    <t>LU000276</t>
  </si>
  <si>
    <t>LU000274</t>
  </si>
  <si>
    <t>Operations on Integers - Subtraction</t>
  </si>
  <si>
    <t>LU000272</t>
  </si>
  <si>
    <t>LU000277</t>
  </si>
  <si>
    <t>Mixed Operations on Integers - Addition and Subtraction</t>
  </si>
  <si>
    <t>LU000914</t>
  </si>
  <si>
    <t>LU001366</t>
  </si>
  <si>
    <t>NCERT 2025</t>
  </si>
  <si>
    <t>Knowing Our Numbers</t>
  </si>
  <si>
    <t>Place Value in Large Numbers</t>
  </si>
  <si>
    <t>LU000153</t>
  </si>
  <si>
    <t>LU000156</t>
  </si>
  <si>
    <t>Conversion and Interpretation of Large Numbers</t>
  </si>
  <si>
    <t>LU000157</t>
  </si>
  <si>
    <t>LU000158</t>
  </si>
  <si>
    <t>Comparison of Large Numbers</t>
  </si>
  <si>
    <t>Reading and Writing Numbers in Indian and International System of Numeration</t>
  </si>
  <si>
    <t>LU000160</t>
  </si>
  <si>
    <t>LU000162</t>
  </si>
  <si>
    <t>Conversion of Numbers between Indian and International System of Numeration</t>
  </si>
  <si>
    <t>LU000161</t>
  </si>
  <si>
    <t>LU000159</t>
  </si>
  <si>
    <t>Conversion of Units (Length)</t>
  </si>
  <si>
    <t>LU000166</t>
  </si>
  <si>
    <t>LU000163</t>
  </si>
  <si>
    <t>Conversion of Units (Mass and Capacity)</t>
  </si>
  <si>
    <t>LU000164</t>
  </si>
  <si>
    <t>LU000165</t>
  </si>
  <si>
    <t>Addition and Subtraction of Large Numbers</t>
  </si>
  <si>
    <t>Multiplication and Division of Large Numbers</t>
  </si>
  <si>
    <t>LU000950</t>
  </si>
  <si>
    <t>LU000951</t>
  </si>
  <si>
    <t>Whole Numbers</t>
  </si>
  <si>
    <t>Introduction to Whole Numbers</t>
  </si>
  <si>
    <t>LU000175</t>
  </si>
  <si>
    <t>LU000176</t>
  </si>
  <si>
    <t>LU000179</t>
  </si>
  <si>
    <t>Successor and Predecessor of Whole Numbers</t>
  </si>
  <si>
    <t>LU000177</t>
  </si>
  <si>
    <t>LU000178</t>
  </si>
  <si>
    <t>Operations on Whole Numbers (Addition, Subtraction, Multiplication)</t>
  </si>
  <si>
    <t>LU000180</t>
  </si>
  <si>
    <t>LU000181</t>
  </si>
  <si>
    <t>LU000182</t>
  </si>
  <si>
    <t>Mixed Operations on Whole Numbers</t>
  </si>
  <si>
    <t>LU000968</t>
  </si>
  <si>
    <t>Playing with numbers</t>
  </si>
  <si>
    <t>Factors and Multiples</t>
  </si>
  <si>
    <t>Even and Odd Numbers</t>
  </si>
  <si>
    <t>LU000197</t>
  </si>
  <si>
    <t>LU000198</t>
  </si>
  <si>
    <t>Rules for Divisibility of Numbers (3, 6, and 9)</t>
  </si>
  <si>
    <t>LU000200</t>
  </si>
  <si>
    <t>LU000203</t>
  </si>
  <si>
    <t>LU000206</t>
  </si>
  <si>
    <t>Rules for Divisibility of Numbers (4, 8, and 11)</t>
  </si>
  <si>
    <t>LU000208</t>
  </si>
  <si>
    <t>Rules for Divisibility of Numbers (2, 3, 4, 5, 6, 8, 9, 10 and 11)</t>
  </si>
  <si>
    <t>LU000921</t>
  </si>
  <si>
    <t>Common Factors, Common Multiples, Co-primes</t>
  </si>
  <si>
    <t>HCF and LCM</t>
  </si>
  <si>
    <t>LU000211</t>
  </si>
  <si>
    <t>LU000212</t>
  </si>
  <si>
    <t>Basic geometrical ideas</t>
  </si>
  <si>
    <t>Pair of Lines (intersecting and parallel lines)</t>
  </si>
  <si>
    <t>LU000221</t>
  </si>
  <si>
    <t>LU000222</t>
  </si>
  <si>
    <t>Curves</t>
  </si>
  <si>
    <t>LU000224</t>
  </si>
  <si>
    <t>LU000225</t>
  </si>
  <si>
    <t>LU000226</t>
  </si>
  <si>
    <t>Polygons</t>
  </si>
  <si>
    <t>LU000227</t>
  </si>
  <si>
    <t>LU000229</t>
  </si>
  <si>
    <t>Introduction to Circle</t>
  </si>
  <si>
    <t>Sector and Segment of a Circle</t>
  </si>
  <si>
    <t>LU000966</t>
  </si>
  <si>
    <t>LU000967</t>
  </si>
  <si>
    <t>Understanding Elementary Shapes</t>
  </si>
  <si>
    <t>Measuring Line Segments</t>
  </si>
  <si>
    <t>LU000970</t>
  </si>
  <si>
    <t>LU000971</t>
  </si>
  <si>
    <t>Comparison of Line Segments</t>
  </si>
  <si>
    <t>LU000972</t>
  </si>
  <si>
    <t>LU000973</t>
  </si>
  <si>
    <t>LU000974</t>
  </si>
  <si>
    <t>Types of Angles (Straight and Complete)</t>
  </si>
  <si>
    <t>LU000240</t>
  </si>
  <si>
    <t>Measuring Angles</t>
  </si>
  <si>
    <t>LU000250</t>
  </si>
  <si>
    <t>Classification of Triangles (Based on Sides)</t>
  </si>
  <si>
    <t>LU000246</t>
  </si>
  <si>
    <t>LU000263</t>
  </si>
  <si>
    <t>LU000264</t>
  </si>
  <si>
    <t>Classification of Triangles (Based on Angles)</t>
  </si>
  <si>
    <t>LU000247</t>
  </si>
  <si>
    <t>LU000261</t>
  </si>
  <si>
    <t>LU000262</t>
  </si>
  <si>
    <t>Classification of Triangles (Isosceles and Scalene) Based on Angles</t>
  </si>
  <si>
    <t>LU000923</t>
  </si>
  <si>
    <t>LU000924</t>
  </si>
  <si>
    <t>Types of Quadrilaterals: Trapezium, Parallelogram</t>
  </si>
  <si>
    <t>LU000230</t>
  </si>
  <si>
    <t>LU000593</t>
  </si>
  <si>
    <t>LU000595</t>
  </si>
  <si>
    <t>Types of Quadrilaterals: Rhombus, Rectangle and Square</t>
  </si>
  <si>
    <t>LU000596</t>
  </si>
  <si>
    <t>LU000597</t>
  </si>
  <si>
    <t>LU000598</t>
  </si>
  <si>
    <t>Classification of Polygons</t>
  </si>
  <si>
    <t>LU000905</t>
  </si>
  <si>
    <t>LU000245</t>
  </si>
  <si>
    <t>Integers</t>
  </si>
  <si>
    <t>Successor and Predecessor of Integers</t>
  </si>
  <si>
    <t>LU000268</t>
  </si>
  <si>
    <t>LU000269</t>
  </si>
  <si>
    <t>Fractions on a Number Line</t>
  </si>
  <si>
    <t>Types of Fractions - Proper, Improper and Mixed fractions</t>
  </si>
  <si>
    <t>LU000281</t>
  </si>
  <si>
    <t>LU000282</t>
  </si>
  <si>
    <t>Interconversion of mixed fraction to improper fraction</t>
  </si>
  <si>
    <t xml:space="preserve">Like and Unlike Fractions </t>
  </si>
  <si>
    <t>LU000286</t>
  </si>
  <si>
    <t>Addition and Subtraction of Like Fractions</t>
  </si>
  <si>
    <t>Addition and Subtraction of Unlike Fractions</t>
  </si>
  <si>
    <t>Addition and Subtraction of Mixed Fractions</t>
  </si>
  <si>
    <t>LU000981</t>
  </si>
  <si>
    <t>LU000982</t>
  </si>
  <si>
    <t>Decimals</t>
  </si>
  <si>
    <t>Introduction to Decimals</t>
  </si>
  <si>
    <t>LU000292</t>
  </si>
  <si>
    <t>LU000293</t>
  </si>
  <si>
    <t>LU000294</t>
  </si>
  <si>
    <t>Comparison and Representation of Numbers</t>
  </si>
  <si>
    <t>LU000295</t>
  </si>
  <si>
    <t>LU000297</t>
  </si>
  <si>
    <t>Conversion Between Mixed Units into a Single Decimal Representation (Money, Length, Weight)</t>
  </si>
  <si>
    <t>LU000298</t>
  </si>
  <si>
    <t>LU000299</t>
  </si>
  <si>
    <t>LU000300</t>
  </si>
  <si>
    <t>Addition and Subtraction of Decimals</t>
  </si>
  <si>
    <t>LU000302</t>
  </si>
  <si>
    <t>LU000303</t>
  </si>
  <si>
    <t>Mixed Operation on Decimals</t>
  </si>
  <si>
    <t>LU000925</t>
  </si>
  <si>
    <t>Data Handling</t>
  </si>
  <si>
    <t>Mensuration</t>
  </si>
  <si>
    <t>LU000323</t>
  </si>
  <si>
    <t>Area of Shapes using Square Grid Method</t>
  </si>
  <si>
    <t>Area of Shapes Using Formula</t>
  </si>
  <si>
    <t>Algebra</t>
  </si>
  <si>
    <t>Introduction to Variable</t>
  </si>
  <si>
    <t>LU000330</t>
  </si>
  <si>
    <t>Use of Variables in Common Rule -  I</t>
  </si>
  <si>
    <t>LU000936</t>
  </si>
  <si>
    <t>LU000516</t>
  </si>
  <si>
    <t>Use of Variables in Common Rule -  II</t>
  </si>
  <si>
    <t>LU000937</t>
  </si>
  <si>
    <t>LU000938</t>
  </si>
  <si>
    <t>Ratio and proportion</t>
  </si>
  <si>
    <t>Introduction to Ratio</t>
  </si>
  <si>
    <t>LU000342</t>
  </si>
  <si>
    <t>LU000343</t>
  </si>
  <si>
    <t>LU000348</t>
  </si>
  <si>
    <t>Equivalent and Lowest Form of Ratio</t>
  </si>
  <si>
    <t>LU000344</t>
  </si>
  <si>
    <t>LU000349</t>
  </si>
  <si>
    <t>More on Ratios</t>
  </si>
  <si>
    <t>LU000350</t>
  </si>
  <si>
    <t>LU000351</t>
  </si>
  <si>
    <t>Proportion</t>
  </si>
  <si>
    <t>LU000345</t>
  </si>
  <si>
    <t>LU000346</t>
  </si>
  <si>
    <t>Unitary Method</t>
  </si>
  <si>
    <t>LU000347</t>
  </si>
  <si>
    <t>Unknown Total</t>
  </si>
  <si>
    <t>Class 7</t>
  </si>
  <si>
    <t>Closure and Commutative property for Addition of Integers</t>
  </si>
  <si>
    <t>LU000991</t>
  </si>
  <si>
    <t>LU000995</t>
  </si>
  <si>
    <t>Additive Identity and Associative Property for Addition of Integers</t>
  </si>
  <si>
    <t>LU000354</t>
  </si>
  <si>
    <t>LU001001</t>
  </si>
  <si>
    <t>Properties of Subtraction of Integers</t>
  </si>
  <si>
    <t>LU000992</t>
  </si>
  <si>
    <t>LU000996</t>
  </si>
  <si>
    <t>LU001002</t>
  </si>
  <si>
    <t>Multiplication of Integers</t>
  </si>
  <si>
    <t>LU000355</t>
  </si>
  <si>
    <t>LU000358</t>
  </si>
  <si>
    <t>LU000356</t>
  </si>
  <si>
    <t>Closure and Commutative Property for Multiplication of Integers</t>
  </si>
  <si>
    <t>LU000993</t>
  </si>
  <si>
    <t>LU000997</t>
  </si>
  <si>
    <t>Multiplicative Identity and Associative Property for Multiplication of Integers</t>
  </si>
  <si>
    <t>LU000359</t>
  </si>
  <si>
    <t>LU001003</t>
  </si>
  <si>
    <t>Distributive Property</t>
  </si>
  <si>
    <t>LU000999</t>
  </si>
  <si>
    <t>LU001000</t>
  </si>
  <si>
    <t>Division of Integers - I</t>
  </si>
  <si>
    <t>LU000361</t>
  </si>
  <si>
    <t>LU000363</t>
  </si>
  <si>
    <t>Division of Integers - II</t>
  </si>
  <si>
    <t>LU000364</t>
  </si>
  <si>
    <t>LU000365</t>
  </si>
  <si>
    <t>Properties of Division of Integers</t>
  </si>
  <si>
    <t>LU000994</t>
  </si>
  <si>
    <t>LU000998</t>
  </si>
  <si>
    <t>LU001004</t>
  </si>
  <si>
    <t>Fractions and Decimals</t>
  </si>
  <si>
    <t>Multiplication of Fraction by a Whole Number</t>
  </si>
  <si>
    <t>LU001005</t>
  </si>
  <si>
    <t>LU001006</t>
  </si>
  <si>
    <t>LU001007</t>
  </si>
  <si>
    <t>Multiplication of Fraction by a Fraction</t>
  </si>
  <si>
    <t>LU001008</t>
  </si>
  <si>
    <t>LU001009</t>
  </si>
  <si>
    <t>LU001010</t>
  </si>
  <si>
    <t>Multiplication of Fraction by a Fraction - II</t>
  </si>
  <si>
    <t>LU000368</t>
  </si>
  <si>
    <t>Division of a Whole Number by a Fraction</t>
  </si>
  <si>
    <t>LU001011</t>
  </si>
  <si>
    <t>LU001012</t>
  </si>
  <si>
    <t>LU001013</t>
  </si>
  <si>
    <t>Division of a Fraction by a Whole Number</t>
  </si>
  <si>
    <t>LU001014</t>
  </si>
  <si>
    <t>LU001015</t>
  </si>
  <si>
    <t>LU001016</t>
  </si>
  <si>
    <t>Division of a Fraction by Another Fraction</t>
  </si>
  <si>
    <t>LU001017</t>
  </si>
  <si>
    <t>LU001018</t>
  </si>
  <si>
    <t>LU001019</t>
  </si>
  <si>
    <t>Multiplication of Decimal by a Whole Number</t>
  </si>
  <si>
    <t>LU000375</t>
  </si>
  <si>
    <t>LU000376</t>
  </si>
  <si>
    <t>Multiplication of Decimal by Decimal</t>
  </si>
  <si>
    <t>LU000377</t>
  </si>
  <si>
    <t>Division of Decimal by a Whole Number</t>
  </si>
  <si>
    <t>LU000379</t>
  </si>
  <si>
    <t>LU000380</t>
  </si>
  <si>
    <t>Division of Decimal by Decimal</t>
  </si>
  <si>
    <t>LU000381</t>
  </si>
  <si>
    <t>Representative Values (Central Tendency, Arithmetic Mean, Range)</t>
  </si>
  <si>
    <t>LU000386</t>
  </si>
  <si>
    <t>LU000387</t>
  </si>
  <si>
    <t>Mode</t>
  </si>
  <si>
    <t>LU000388</t>
  </si>
  <si>
    <t>Median</t>
  </si>
  <si>
    <t>LU000389</t>
  </si>
  <si>
    <t>LU000920</t>
  </si>
  <si>
    <t>Introduction to Bar Graph</t>
  </si>
  <si>
    <t>LU000319</t>
  </si>
  <si>
    <t>Interpretation and Construction of Bar Graph</t>
  </si>
  <si>
    <t>Double Bar Graph</t>
  </si>
  <si>
    <t>LU000390</t>
  </si>
  <si>
    <t>LU000391</t>
  </si>
  <si>
    <t>LU000392</t>
  </si>
  <si>
    <t>Simple Equations</t>
  </si>
  <si>
    <t>Setting up an Equation</t>
  </si>
  <si>
    <t>LU000404</t>
  </si>
  <si>
    <t>LU000405</t>
  </si>
  <si>
    <t>LU000411</t>
  </si>
  <si>
    <t>Solving Equations by Trial and Error Method</t>
  </si>
  <si>
    <t>LU000336</t>
  </si>
  <si>
    <t>LU000408</t>
  </si>
  <si>
    <t>Solving Equations by a Systematic Method</t>
  </si>
  <si>
    <t>LU000409</t>
  </si>
  <si>
    <t>Solving Equations by Transpose Method</t>
  </si>
  <si>
    <t>LU000410</t>
  </si>
  <si>
    <t>Practical Applications of Simple Equations</t>
  </si>
  <si>
    <t>LU000413</t>
  </si>
  <si>
    <t>Complementary Angles and Supplementary Angles</t>
  </si>
  <si>
    <t>LU000414</t>
  </si>
  <si>
    <t>LU000415</t>
  </si>
  <si>
    <t>Adjacent Angles and Linear Pair</t>
  </si>
  <si>
    <t>LU000416</t>
  </si>
  <si>
    <t>LU000417</t>
  </si>
  <si>
    <t>Vertically Opposite Angles</t>
  </si>
  <si>
    <t>LU000418</t>
  </si>
  <si>
    <t>Transversal</t>
  </si>
  <si>
    <t>LU000419</t>
  </si>
  <si>
    <t>Interior Angles Made by Transversal</t>
  </si>
  <si>
    <t>LU001020</t>
  </si>
  <si>
    <t>LU001022</t>
  </si>
  <si>
    <t>LU001025</t>
  </si>
  <si>
    <t>Exterior Angles Made by Transversal</t>
  </si>
  <si>
    <t>LU001021</t>
  </si>
  <si>
    <t>LU001023</t>
  </si>
  <si>
    <t>LU001026</t>
  </si>
  <si>
    <t>Corresponding Angles Made by Transversal</t>
  </si>
  <si>
    <t>LU001024</t>
  </si>
  <si>
    <t>Check for Parallel Lines</t>
  </si>
  <si>
    <t>LU000422</t>
  </si>
  <si>
    <t>Comparing Quantities</t>
  </si>
  <si>
    <t>Percentage</t>
  </si>
  <si>
    <t>LU000444</t>
  </si>
  <si>
    <t>Convert Fractions/Decimals to Percentages</t>
  </si>
  <si>
    <t>LU000445</t>
  </si>
  <si>
    <t>LU000446</t>
  </si>
  <si>
    <t>Convert Percentages to Fractions/Decimals</t>
  </si>
  <si>
    <t>LU000447</t>
  </si>
  <si>
    <t>LU000448</t>
  </si>
  <si>
    <t>Use of Percentages</t>
  </si>
  <si>
    <t>LU000449</t>
  </si>
  <si>
    <t>LU000450</t>
  </si>
  <si>
    <t>LU000451</t>
  </si>
  <si>
    <t>Ratio to Percentages</t>
  </si>
  <si>
    <t>LU000452</t>
  </si>
  <si>
    <t>Increase or Decrease as Percentage</t>
  </si>
  <si>
    <t>LU001027</t>
  </si>
  <si>
    <t>LU001028</t>
  </si>
  <si>
    <t>Cost Price and Selling Price</t>
  </si>
  <si>
    <t>LU000454</t>
  </si>
  <si>
    <t>LU000455</t>
  </si>
  <si>
    <t>Profit and Loss</t>
  </si>
  <si>
    <t>LU000456</t>
  </si>
  <si>
    <t>LU000457</t>
  </si>
  <si>
    <t>Profit or Loss as Percentage</t>
  </si>
  <si>
    <t>LU000458</t>
  </si>
  <si>
    <t>LU000459</t>
  </si>
  <si>
    <t>Simple Interest - I</t>
  </si>
  <si>
    <t>LU000460</t>
  </si>
  <si>
    <t>LU000461</t>
  </si>
  <si>
    <t>Simple Interest - II</t>
  </si>
  <si>
    <t>LU000462</t>
  </si>
  <si>
    <t>LU000463</t>
  </si>
  <si>
    <t>Rational Numbers</t>
  </si>
  <si>
    <t>Introduction to Rational Numbers</t>
  </si>
  <si>
    <t>LU000464</t>
  </si>
  <si>
    <t>LU000465</t>
  </si>
  <si>
    <t>LU000466</t>
  </si>
  <si>
    <t>Equivalent Rational Numbers</t>
  </si>
  <si>
    <t>LU000467</t>
  </si>
  <si>
    <t>Positive and Negative Rational Numbers</t>
  </si>
  <si>
    <t>LU000468</t>
  </si>
  <si>
    <t>LU000469</t>
  </si>
  <si>
    <t>Rational Numbers on a Number Line</t>
  </si>
  <si>
    <t>LU000470</t>
  </si>
  <si>
    <t>Rational Numbers in Standard Form</t>
  </si>
  <si>
    <t>LU000471</t>
  </si>
  <si>
    <t>Comparison of Rational Numbers</t>
  </si>
  <si>
    <t>LU000472</t>
  </si>
  <si>
    <t>Rational Numbers Between Two Rational Numbers</t>
  </si>
  <si>
    <t>LU000473</t>
  </si>
  <si>
    <t>LU000939</t>
  </si>
  <si>
    <t>Addition of Rational Numbers</t>
  </si>
  <si>
    <t>LU000474</t>
  </si>
  <si>
    <t>Subtraction of Rational Numbers</t>
  </si>
  <si>
    <t>LU000475</t>
  </si>
  <si>
    <t>LU000479</t>
  </si>
  <si>
    <t>Multiplication of Rational Numbers</t>
  </si>
  <si>
    <t>LU000476</t>
  </si>
  <si>
    <t>Division of Rational Numbers</t>
  </si>
  <si>
    <t>LU000477</t>
  </si>
  <si>
    <t>LU000478</t>
  </si>
  <si>
    <t>Algebraic Expressions</t>
  </si>
  <si>
    <t>Introduction to Algebraic Expression</t>
  </si>
  <si>
    <t>LU000935</t>
  </si>
  <si>
    <t>LU000504</t>
  </si>
  <si>
    <t>Terms of Algebraic Expression</t>
  </si>
  <si>
    <t>LU000505</t>
  </si>
  <si>
    <t>LU000507</t>
  </si>
  <si>
    <t>LU000506</t>
  </si>
  <si>
    <t>Like and Unlike terms</t>
  </si>
  <si>
    <t>LU000508</t>
  </si>
  <si>
    <t>Classification of Algebraic Expressions</t>
  </si>
  <si>
    <t>LU000510</t>
  </si>
  <si>
    <t>Evaluation of Algebraic Expressions</t>
  </si>
  <si>
    <t>LU000514</t>
  </si>
  <si>
    <t>LU000896</t>
  </si>
  <si>
    <t xml:space="preserve">Rotational Symmetry </t>
  </si>
  <si>
    <t>LU000795</t>
  </si>
  <si>
    <t>Area of a Parallelogram</t>
  </si>
  <si>
    <t>LU000490</t>
  </si>
  <si>
    <t>Area of a Triangle</t>
  </si>
  <si>
    <t>LU000492</t>
  </si>
  <si>
    <t>Circumference of a Circle</t>
  </si>
  <si>
    <t>LU000493</t>
  </si>
  <si>
    <t>LU000494</t>
  </si>
  <si>
    <t>LU000496</t>
  </si>
  <si>
    <t>Perimeter of Combination of Shapes</t>
  </si>
  <si>
    <t>LU000931</t>
  </si>
  <si>
    <t>Area of a Circle</t>
  </si>
  <si>
    <t>LU000495</t>
  </si>
  <si>
    <t>LU000497</t>
  </si>
  <si>
    <t>Area of Combination of 2D Shapes</t>
  </si>
  <si>
    <t>LU000501</t>
  </si>
  <si>
    <t>Concentric Circles</t>
  </si>
  <si>
    <t>LU000498</t>
  </si>
  <si>
    <t>LU000499</t>
  </si>
  <si>
    <t>Exponents and Powers</t>
  </si>
  <si>
    <t>Introduction to Exponential Form of Numbers</t>
  </si>
  <si>
    <t>LU000517</t>
  </si>
  <si>
    <t>LU000518</t>
  </si>
  <si>
    <t>Converting Whole Numbers and Integers to Exponential Form</t>
  </si>
  <si>
    <t>LU000519</t>
  </si>
  <si>
    <t>LU000934</t>
  </si>
  <si>
    <t>Converting Rational Numbers to Exponential Form</t>
  </si>
  <si>
    <t>LU000547</t>
  </si>
  <si>
    <t>LU000553</t>
  </si>
  <si>
    <t>Comparison of Exponents</t>
  </si>
  <si>
    <t>LU001053</t>
  </si>
  <si>
    <t>Product Law of Powers with Same Base</t>
  </si>
  <si>
    <t>LU000520</t>
  </si>
  <si>
    <t>LU000521</t>
  </si>
  <si>
    <t>Quotient Law of Powers with Same Base</t>
  </si>
  <si>
    <t>LU000523</t>
  </si>
  <si>
    <t>LU000524</t>
  </si>
  <si>
    <t>Product Law of Powers with the Same Exponent</t>
  </si>
  <si>
    <t>LU000529</t>
  </si>
  <si>
    <t>LU000530</t>
  </si>
  <si>
    <t>Quotient Law of Powers with the Same Exponent</t>
  </si>
  <si>
    <t>LU000532</t>
  </si>
  <si>
    <t>LU000533</t>
  </si>
  <si>
    <t>Law of Power of a Power for Whole Numbers and Integers</t>
  </si>
  <si>
    <t>LU000526</t>
  </si>
  <si>
    <t>LU000527</t>
  </si>
  <si>
    <t>Law of Zero Power for Whole numbers and Integers</t>
  </si>
  <si>
    <t>LU000538</t>
  </si>
  <si>
    <t>LU000539</t>
  </si>
  <si>
    <t>Practical Application of Exponent Laws with Whole Numbers</t>
  </si>
  <si>
    <t>LU000541</t>
  </si>
  <si>
    <t>Standard Form</t>
  </si>
  <si>
    <t>LU000542</t>
  </si>
  <si>
    <t>LU000544</t>
  </si>
  <si>
    <t>LU000548</t>
  </si>
  <si>
    <t>The Triangle and its properties</t>
  </si>
  <si>
    <t>Introduction to Median and Altitude of a Triangle</t>
  </si>
  <si>
    <t>LU000423</t>
  </si>
  <si>
    <t>LU000424</t>
  </si>
  <si>
    <t>Exterior Angle Property of a Triangle</t>
  </si>
  <si>
    <t>LU000425</t>
  </si>
  <si>
    <t>LU000426</t>
  </si>
  <si>
    <t>LU000429</t>
  </si>
  <si>
    <t>Angle Sum Property of a Triangle</t>
  </si>
  <si>
    <t>LU000430</t>
  </si>
  <si>
    <t>Two Special Triangles (Equilateral and Isosceles)</t>
  </si>
  <si>
    <t>LU000427</t>
  </si>
  <si>
    <t>LU000428</t>
  </si>
  <si>
    <t>Relation Between Sides of a Triangle</t>
  </si>
  <si>
    <t>LU000431</t>
  </si>
  <si>
    <t>Pythagorean Triplets and Right-Angled Triangle</t>
  </si>
  <si>
    <t>LU000432</t>
  </si>
  <si>
    <t>LU000433</t>
  </si>
  <si>
    <t>Pythagoras Property</t>
  </si>
  <si>
    <t>LU000434</t>
  </si>
  <si>
    <t>LU000435</t>
  </si>
  <si>
    <t>Visualising solid shapes</t>
  </si>
  <si>
    <t>Introduction: Plane Figures and Solid Shapes</t>
  </si>
  <si>
    <t>LU000554</t>
  </si>
  <si>
    <t>LU000248</t>
  </si>
  <si>
    <t>LU000570</t>
  </si>
  <si>
    <t>Faces, Edges, and Vertices of 3-D Shapes (Cube, Cuboid, Prisms)</t>
  </si>
  <si>
    <t>LU000249</t>
  </si>
  <si>
    <t>LU000251</t>
  </si>
  <si>
    <t>LU000255</t>
  </si>
  <si>
    <t>Faces, Edges, and Vertices of 3-D Shapes (Cone, Cylinder)</t>
  </si>
  <si>
    <t>LU000254</t>
  </si>
  <si>
    <t>LU000253</t>
  </si>
  <si>
    <t>Faces, Edges, and Vertices of 3-D Shapes (Pyramid)</t>
  </si>
  <si>
    <t>LU000256</t>
  </si>
  <si>
    <t>LU000555</t>
  </si>
  <si>
    <t>Nets for 3-D Shapes (Cube, Cuboid, Prisms)</t>
  </si>
  <si>
    <t>LU000080</t>
  </si>
  <si>
    <t>LU000081</t>
  </si>
  <si>
    <t>LU000082</t>
  </si>
  <si>
    <t>Nets for 3-D Shapes (Cone, Cylinder, Pyramid)</t>
  </si>
  <si>
    <t>LU000083</t>
  </si>
  <si>
    <t>LU000087</t>
  </si>
  <si>
    <t>LU000091</t>
  </si>
  <si>
    <t>Oblique Sketches of Solids</t>
  </si>
  <si>
    <t>LU001029</t>
  </si>
  <si>
    <t>LU001030</t>
  </si>
  <si>
    <t>Isometric Sketches of Solids</t>
  </si>
  <si>
    <t>LU000558</t>
  </si>
  <si>
    <t>View an Object (Cube, Cuboid, Pyramid) by Cutting or Slicing</t>
  </si>
  <si>
    <t>LU001031</t>
  </si>
  <si>
    <t>LU001032</t>
  </si>
  <si>
    <t>LU001036</t>
  </si>
  <si>
    <t>View an Object (Cone, Cylinder, Sphere) by Cutting or Slicing</t>
  </si>
  <si>
    <t>LU001033</t>
  </si>
  <si>
    <t>LU001034</t>
  </si>
  <si>
    <t>LU001035</t>
  </si>
  <si>
    <t>View an Object (Shadow Play)</t>
  </si>
  <si>
    <t>LU000561</t>
  </si>
  <si>
    <t>View an Object from the Certain Angles</t>
  </si>
  <si>
    <t>LU000562</t>
  </si>
  <si>
    <t>Sectional Views and 3-D Shape Visualization</t>
  </si>
  <si>
    <t>LU000559</t>
  </si>
  <si>
    <t>LU000563</t>
  </si>
  <si>
    <t>Class 8</t>
  </si>
  <si>
    <t>Maths</t>
  </si>
  <si>
    <t>Closure Property for Addition and Subtraction of Rational Numbers</t>
  </si>
  <si>
    <t>LU001037</t>
  </si>
  <si>
    <t>LU001038</t>
  </si>
  <si>
    <t>Closure Property for Multiplication and Division of Rational Numbers</t>
  </si>
  <si>
    <t>LU001039</t>
  </si>
  <si>
    <t>LU001040</t>
  </si>
  <si>
    <t>Commutative Property for Addition and Subtraction of Rational Numbers</t>
  </si>
  <si>
    <t>LU001041</t>
  </si>
  <si>
    <t>LU001042</t>
  </si>
  <si>
    <t>LU000578</t>
  </si>
  <si>
    <t>Commutative Property for Multiplication and Division of Rational Numbers</t>
  </si>
  <si>
    <t>LU001043</t>
  </si>
  <si>
    <t>LU001044</t>
  </si>
  <si>
    <t>LU000579</t>
  </si>
  <si>
    <t>Associative Property for Addition and Subtraction of Rational Numbers</t>
  </si>
  <si>
    <t>LU001045</t>
  </si>
  <si>
    <t>LU001046</t>
  </si>
  <si>
    <t>Associative Property for Multiplication and Division of Rational Numbers</t>
  </si>
  <si>
    <t>LU001047</t>
  </si>
  <si>
    <t>LU001048</t>
  </si>
  <si>
    <t>LU000580</t>
  </si>
  <si>
    <t>LU000901</t>
  </si>
  <si>
    <t>Application of Combination of Properties of Rational Numbers</t>
  </si>
  <si>
    <t>LU000910</t>
  </si>
  <si>
    <t>Linear Equations in One Variable</t>
  </si>
  <si>
    <t>Reducing Equations to Simpler Form</t>
  </si>
  <si>
    <t>LU000584</t>
  </si>
  <si>
    <t>LU000588</t>
  </si>
  <si>
    <t>Solving Equations Having the Variable on Both Sides</t>
  </si>
  <si>
    <t>LU000582</t>
  </si>
  <si>
    <t>LU000583</t>
  </si>
  <si>
    <t>Application of Linear Equations</t>
  </si>
  <si>
    <t>LU000587</t>
  </si>
  <si>
    <t>Understanding Quadrilaterals</t>
  </si>
  <si>
    <t>Convex and Concave Polygons</t>
  </si>
  <si>
    <t>LU000903</t>
  </si>
  <si>
    <t>LU000904</t>
  </si>
  <si>
    <t>Sum of the Measures of an Interior Angle of a Polygon</t>
  </si>
  <si>
    <t>LU000592</t>
  </si>
  <si>
    <t>LU000599</t>
  </si>
  <si>
    <t>LU000608</t>
  </si>
  <si>
    <t>Sum of the Measures of an Exterior Angle of a Polygon</t>
  </si>
  <si>
    <t>LU000591</t>
  </si>
  <si>
    <t>LU000590</t>
  </si>
  <si>
    <t>Trapezium and Its Properties</t>
  </si>
  <si>
    <t>LU000911</t>
  </si>
  <si>
    <t>Kite and Its Properties</t>
  </si>
  <si>
    <t>LU000594</t>
  </si>
  <si>
    <t>LU000601</t>
  </si>
  <si>
    <t>Parallelogram and Its Properties</t>
  </si>
  <si>
    <t>LU000600</t>
  </si>
  <si>
    <t>Rhombus and Its Properties</t>
  </si>
  <si>
    <t>LU000604</t>
  </si>
  <si>
    <t>Rectangle and Its Properties</t>
  </si>
  <si>
    <t>LU000610</t>
  </si>
  <si>
    <t>Square and Its Properties</t>
  </si>
  <si>
    <t>LU000607</t>
  </si>
  <si>
    <t>Circle Graph/Pie Chart</t>
  </si>
  <si>
    <t>LU000622</t>
  </si>
  <si>
    <t>LU000909</t>
  </si>
  <si>
    <t>LU000633</t>
  </si>
  <si>
    <t>Chance and Outcome</t>
  </si>
  <si>
    <t>LU000624</t>
  </si>
  <si>
    <t>LU000394</t>
  </si>
  <si>
    <t>Probability</t>
  </si>
  <si>
    <t>LU000393</t>
  </si>
  <si>
    <t>LU000626</t>
  </si>
  <si>
    <t>Squares and Square Roots</t>
  </si>
  <si>
    <t>Square Numbers and Their Properties</t>
  </si>
  <si>
    <t>LU000636</t>
  </si>
  <si>
    <t>LU000933</t>
  </si>
  <si>
    <t>Triangular Numbers</t>
  </si>
  <si>
    <t>LU000637</t>
  </si>
  <si>
    <t>LU000638</t>
  </si>
  <si>
    <t>Consecutive Square Numbers</t>
  </si>
  <si>
    <t>LU000639</t>
  </si>
  <si>
    <t>LU000915</t>
  </si>
  <si>
    <t>Patterns in Square Numbers - I</t>
  </si>
  <si>
    <t>LU000640</t>
  </si>
  <si>
    <t>LU000641</t>
  </si>
  <si>
    <t>LU000642</t>
  </si>
  <si>
    <t>Patterns in Square Numbers - II</t>
  </si>
  <si>
    <t>LU000643</t>
  </si>
  <si>
    <t>LU000644</t>
  </si>
  <si>
    <t>Finding the Square of a Number</t>
  </si>
  <si>
    <t>LU000645</t>
  </si>
  <si>
    <t>LU000916</t>
  </si>
  <si>
    <t>Square Roots</t>
  </si>
  <si>
    <t>LU000647</t>
  </si>
  <si>
    <t>LU000652</t>
  </si>
  <si>
    <t>Methods of Finding the Square Roots</t>
  </si>
  <si>
    <t>LU000648</t>
  </si>
  <si>
    <t>LU000649</t>
  </si>
  <si>
    <t>LU000650</t>
  </si>
  <si>
    <t>Square and Square Root of Decimals</t>
  </si>
  <si>
    <t>LU000655</t>
  </si>
  <si>
    <t>LU000651</t>
  </si>
  <si>
    <t>Cube and Cube Roots</t>
  </si>
  <si>
    <t>Cube Numbers</t>
  </si>
  <si>
    <t>LU000658</t>
  </si>
  <si>
    <t>LU000661</t>
  </si>
  <si>
    <t>Patterns involving cubic numbers</t>
  </si>
  <si>
    <t>LU000675</t>
  </si>
  <si>
    <t>Cubes and Their Prime Factors</t>
  </si>
  <si>
    <t>LU000663</t>
  </si>
  <si>
    <t>LU000664</t>
  </si>
  <si>
    <t>Cube Roots</t>
  </si>
  <si>
    <t>LU000659</t>
  </si>
  <si>
    <t>LU000666</t>
  </si>
  <si>
    <t>Marked price, Sale price and Discount</t>
  </si>
  <si>
    <t>LU000677</t>
  </si>
  <si>
    <t>LU000678</t>
  </si>
  <si>
    <t>LU000679</t>
  </si>
  <si>
    <t>Discount Percent</t>
  </si>
  <si>
    <t>LU000693</t>
  </si>
  <si>
    <t>LU000680</t>
  </si>
  <si>
    <t>Problems on Discount, Profit and Loss</t>
  </si>
  <si>
    <t>LU000932</t>
  </si>
  <si>
    <t>Overhead Charges and Sales Tax</t>
  </si>
  <si>
    <t>LU000681</t>
  </si>
  <si>
    <t>LU000682</t>
  </si>
  <si>
    <t>VAT and GST</t>
  </si>
  <si>
    <t>LU000683</t>
  </si>
  <si>
    <t>LU000684</t>
  </si>
  <si>
    <t>Compound Interest</t>
  </si>
  <si>
    <t>LU000685</t>
  </si>
  <si>
    <t>LU000687</t>
  </si>
  <si>
    <t>Applications of Compound Interest</t>
  </si>
  <si>
    <t>LU000692</t>
  </si>
  <si>
    <t>LU000690</t>
  </si>
  <si>
    <t>Algebraic Expressions and Identities</t>
  </si>
  <si>
    <t>Addition and Subtraction of Algebraic Expressions</t>
  </si>
  <si>
    <t>LU000511</t>
  </si>
  <si>
    <t>LU000512</t>
  </si>
  <si>
    <t>LU000513</t>
  </si>
  <si>
    <t>Multiplication of Monomials</t>
  </si>
  <si>
    <t>LU000694</t>
  </si>
  <si>
    <t>LU000695</t>
  </si>
  <si>
    <t>Multiplication of Monomial by Polynomial</t>
  </si>
  <si>
    <t>LU000697</t>
  </si>
  <si>
    <t>LU000698</t>
  </si>
  <si>
    <t>LU000696</t>
  </si>
  <si>
    <t>Multiplication of a Binomial by a Polynomial</t>
  </si>
  <si>
    <t>LU000700</t>
  </si>
  <si>
    <t>LU000779</t>
  </si>
  <si>
    <t>LU000701</t>
  </si>
  <si>
    <t>Multiplication of Polynomials</t>
  </si>
  <si>
    <t>LU000699</t>
  </si>
  <si>
    <t>Algebraic Identities - I</t>
  </si>
  <si>
    <t>LU000702</t>
  </si>
  <si>
    <t>LU000705</t>
  </si>
  <si>
    <t>LU000704</t>
  </si>
  <si>
    <t>Algebraic Identities - II</t>
  </si>
  <si>
    <t>LU000703</t>
  </si>
  <si>
    <t>LU000706</t>
  </si>
  <si>
    <t>Area of a Trapezium</t>
  </si>
  <si>
    <t>LU000715</t>
  </si>
  <si>
    <t>Area of a Rhombus</t>
  </si>
  <si>
    <t>LU000491</t>
  </si>
  <si>
    <t>LU000717</t>
  </si>
  <si>
    <t>Area of General Quadrilaterals</t>
  </si>
  <si>
    <t>LU000716</t>
  </si>
  <si>
    <t>Area of Polygon - I</t>
  </si>
  <si>
    <t>LU000728</t>
  </si>
  <si>
    <t>LU000731</t>
  </si>
  <si>
    <t>Area of Polygon - II</t>
  </si>
  <si>
    <t>LU000732</t>
  </si>
  <si>
    <t>LU000733</t>
  </si>
  <si>
    <t>Surface Area of a Cuboid</t>
  </si>
  <si>
    <t>LU000718</t>
  </si>
  <si>
    <t>LU000722</t>
  </si>
  <si>
    <t>LU000734</t>
  </si>
  <si>
    <t>Surface Area of a Cube</t>
  </si>
  <si>
    <t>LU000720</t>
  </si>
  <si>
    <t>LU000721</t>
  </si>
  <si>
    <t>Cylinder and its Surface Area</t>
  </si>
  <si>
    <t>LU000729</t>
  </si>
  <si>
    <t>LU000723</t>
  </si>
  <si>
    <t>Volume of a Cube and Cuboid</t>
  </si>
  <si>
    <t>LU000724</t>
  </si>
  <si>
    <t>LU000725</t>
  </si>
  <si>
    <t>Volume of a Cylinder and Capacity</t>
  </si>
  <si>
    <t>LU000726</t>
  </si>
  <si>
    <t>LU000727</t>
  </si>
  <si>
    <t>LU000942</t>
  </si>
  <si>
    <t>Law of Power with Negative Exponent</t>
  </si>
  <si>
    <t>LU000535</t>
  </si>
  <si>
    <t>LU000536</t>
  </si>
  <si>
    <t>LU000736</t>
  </si>
  <si>
    <t>Application of Multiple Laws of Exponent</t>
  </si>
  <si>
    <t>LU000928</t>
  </si>
  <si>
    <t>LU000929</t>
  </si>
  <si>
    <t>Interconversion Between Numbers and Standard Form</t>
  </si>
  <si>
    <t>LU000543</t>
  </si>
  <si>
    <t>LU000545</t>
  </si>
  <si>
    <t>Comparison of Numbers Involving Exponents</t>
  </si>
  <si>
    <t>LU000744</t>
  </si>
  <si>
    <t>LU000735</t>
  </si>
  <si>
    <t>Addition of Large Numbers Using Exponents</t>
  </si>
  <si>
    <t>LU000740</t>
  </si>
  <si>
    <t>Direct and Inverse Proportions</t>
  </si>
  <si>
    <t>Direct Proportion</t>
  </si>
  <si>
    <t>LU000748</t>
  </si>
  <si>
    <t>LU000750</t>
  </si>
  <si>
    <t>LU000754</t>
  </si>
  <si>
    <t>Inverse Proportion</t>
  </si>
  <si>
    <t>LU000749</t>
  </si>
  <si>
    <t>LU000753</t>
  </si>
  <si>
    <t>LU000755</t>
  </si>
  <si>
    <t>Applications of Direct and Inverse Proportions</t>
  </si>
  <si>
    <t>LU000752</t>
  </si>
  <si>
    <t>LU000751</t>
  </si>
  <si>
    <t>LU000756</t>
  </si>
  <si>
    <t>Factorisation</t>
  </si>
  <si>
    <t>Factorisation of Algebraic Expressions</t>
  </si>
  <si>
    <t>LU000770</t>
  </si>
  <si>
    <t>LU000771</t>
  </si>
  <si>
    <t>LU000757</t>
  </si>
  <si>
    <t>Methods to Factorise an Algebraic Expressions</t>
  </si>
  <si>
    <t>LU000758</t>
  </si>
  <si>
    <t>LU000940</t>
  </si>
  <si>
    <t>LU000759</t>
  </si>
  <si>
    <t>Factorisation of an Algebraic Expressions Using Identities - I</t>
  </si>
  <si>
    <t>LU000768</t>
  </si>
  <si>
    <t>LU000767</t>
  </si>
  <si>
    <t>LU000769</t>
  </si>
  <si>
    <t>Factorisation of an Algebraic Expressions Using Identities - II</t>
  </si>
  <si>
    <t>LU000760</t>
  </si>
  <si>
    <t>LU000761</t>
  </si>
  <si>
    <t>Division of Polynomial by Monomial</t>
  </si>
  <si>
    <t>LU000711</t>
  </si>
  <si>
    <t>LU000708</t>
  </si>
  <si>
    <t>LU000709</t>
  </si>
  <si>
    <t>Division of Polynomial by Bionomial</t>
  </si>
  <si>
    <t>LU000710</t>
  </si>
  <si>
    <t>Introduction to Graphs</t>
  </si>
  <si>
    <t>Points on a Plane</t>
  </si>
  <si>
    <t>LU000776</t>
  </si>
  <si>
    <t xml:space="preserve">Line Graph </t>
  </si>
  <si>
    <t>LU000772</t>
  </si>
  <si>
    <t>LU000781</t>
  </si>
  <si>
    <t>LU000773</t>
  </si>
  <si>
    <t>Linear Graph</t>
  </si>
  <si>
    <t>LU000775</t>
  </si>
  <si>
    <t>LU000780</t>
  </si>
  <si>
    <t>LU000784</t>
  </si>
  <si>
    <t>Class 9</t>
  </si>
  <si>
    <t>Number system</t>
  </si>
  <si>
    <t>Real Numbers and Their Representation on Number Line</t>
  </si>
  <si>
    <t>LU001177</t>
  </si>
  <si>
    <t>LU001178</t>
  </si>
  <si>
    <t>LU001179</t>
  </si>
  <si>
    <t>Real Numbers and Their Decimal Expansions - I</t>
  </si>
  <si>
    <t>LU001180</t>
  </si>
  <si>
    <t>LU001181</t>
  </si>
  <si>
    <t>Real Numbers and Their Decimal Expansions - II</t>
  </si>
  <si>
    <t>LU001182</t>
  </si>
  <si>
    <t>LU001183</t>
  </si>
  <si>
    <t>Operations on Rational and Irrational Numbers - I</t>
  </si>
  <si>
    <t>LU001185</t>
  </si>
  <si>
    <t>LU001186</t>
  </si>
  <si>
    <t>Operations on Rational and Irrational Numbers - II</t>
  </si>
  <si>
    <t>LU001187</t>
  </si>
  <si>
    <t>LU001188</t>
  </si>
  <si>
    <t>Operation on Irrational Numbers - I</t>
  </si>
  <si>
    <t>LU001189</t>
  </si>
  <si>
    <t>LU001190</t>
  </si>
  <si>
    <t>Operation on Irrational Numbers - II</t>
  </si>
  <si>
    <t>LU001191</t>
  </si>
  <si>
    <t>LU001192</t>
  </si>
  <si>
    <t>nth Root of a Positive Real Number</t>
  </si>
  <si>
    <t>LU001193</t>
  </si>
  <si>
    <t>LU001194</t>
  </si>
  <si>
    <t>Simplification of Expressions Involving Square Roots Using Identities</t>
  </si>
  <si>
    <t>LU001195</t>
  </si>
  <si>
    <t>LU001196</t>
  </si>
  <si>
    <t>Square Root Identities for Positive Real Numbers - I</t>
  </si>
  <si>
    <t>LU001197</t>
  </si>
  <si>
    <t>LU001198</t>
  </si>
  <si>
    <t>Square Root Identities for Positive Real Numbers - II</t>
  </si>
  <si>
    <t>LU001199</t>
  </si>
  <si>
    <t>LU001200</t>
  </si>
  <si>
    <t>Applying Square Root Identities</t>
  </si>
  <si>
    <t>LU001201</t>
  </si>
  <si>
    <t>Rationalising the Denominator</t>
  </si>
  <si>
    <t>LU001202</t>
  </si>
  <si>
    <t>LU001203</t>
  </si>
  <si>
    <t>LU001204</t>
  </si>
  <si>
    <t>Laws of Exponents for Real Numbers - I</t>
  </si>
  <si>
    <t>LU001205</t>
  </si>
  <si>
    <t>LU001206</t>
  </si>
  <si>
    <t>Laws of Exponents for Real Numbers - II</t>
  </si>
  <si>
    <t>LU001207</t>
  </si>
  <si>
    <t>LU001208</t>
  </si>
  <si>
    <t>Polynomials</t>
  </si>
  <si>
    <t>Introduction to Polynomial</t>
  </si>
  <si>
    <t>LU000509</t>
  </si>
  <si>
    <t>Classification of Polynomials Based on Degree - I</t>
  </si>
  <si>
    <t>LU000713</t>
  </si>
  <si>
    <t>LU001262</t>
  </si>
  <si>
    <t>LU000712</t>
  </si>
  <si>
    <t>Classification of Polynomials Based on Degree - II</t>
  </si>
  <si>
    <t>LU000763</t>
  </si>
  <si>
    <t>LU000762</t>
  </si>
  <si>
    <t>LU000764</t>
  </si>
  <si>
    <t>General Form and Value of Polynomial in One Variable</t>
  </si>
  <si>
    <t>LU001263</t>
  </si>
  <si>
    <t>LU001264</t>
  </si>
  <si>
    <t>Zeroes of a Polynomial</t>
  </si>
  <si>
    <t>LU001265</t>
  </si>
  <si>
    <t>Factorisation of Polynomials - I</t>
  </si>
  <si>
    <t>LU001267</t>
  </si>
  <si>
    <t>LU001268</t>
  </si>
  <si>
    <t>Factorisation of Polynomials - II</t>
  </si>
  <si>
    <t>LU001269</t>
  </si>
  <si>
    <t>LU001270</t>
  </si>
  <si>
    <t>Factorisation using algebraic identities - I</t>
  </si>
  <si>
    <t>LU000707</t>
  </si>
  <si>
    <t>LU000912</t>
  </si>
  <si>
    <t>Factorisation using algebraic identities - II</t>
  </si>
  <si>
    <t>LU001271</t>
  </si>
  <si>
    <t>LU001273</t>
  </si>
  <si>
    <t>Factorisation using algebraic identities - III</t>
  </si>
  <si>
    <t>LU001272</t>
  </si>
  <si>
    <t>LU001274</t>
  </si>
  <si>
    <t>Factorisation using algebraic identities - IV</t>
  </si>
  <si>
    <t>LU001275</t>
  </si>
  <si>
    <t>LU001276</t>
  </si>
  <si>
    <t>Coordinate Geometry</t>
  </si>
  <si>
    <t>Introduction to Cartesian Plane</t>
  </si>
  <si>
    <t>LU000774</t>
  </si>
  <si>
    <t>LU000782</t>
  </si>
  <si>
    <t>Coordinates of a Point in Different Quadrants - I</t>
  </si>
  <si>
    <t>LU001129</t>
  </si>
  <si>
    <t>LU001130</t>
  </si>
  <si>
    <t>Coordinates of a Point in Different Quadrants - II</t>
  </si>
  <si>
    <t>LU001131</t>
  </si>
  <si>
    <t>LU001132</t>
  </si>
  <si>
    <t>Coordinates of a Point in Different Quadrants - III</t>
  </si>
  <si>
    <t>LU001277</t>
  </si>
  <si>
    <t>Linear Equations in Two Variables</t>
  </si>
  <si>
    <t>Introduction to Linear Equation in Two Variables</t>
  </si>
  <si>
    <t>LU001222</t>
  </si>
  <si>
    <t>Conversion of Statements into Linear Equation in Two Variables</t>
  </si>
  <si>
    <t>LU001223</t>
  </si>
  <si>
    <t>Solution of Linear Equations in Two Variables</t>
  </si>
  <si>
    <t>LU001224</t>
  </si>
  <si>
    <t>Introduction to Euclid's Geometry</t>
  </si>
  <si>
    <t>Euclid's Definitions</t>
  </si>
  <si>
    <t>LU001230</t>
  </si>
  <si>
    <t>Euclid's Axioms</t>
  </si>
  <si>
    <t>LU001231</t>
  </si>
  <si>
    <t>Euclid's Postulates</t>
  </si>
  <si>
    <t>LU001232</t>
  </si>
  <si>
    <t>Pairs of Angles - I</t>
  </si>
  <si>
    <t>LU001278</t>
  </si>
  <si>
    <t>LU001279</t>
  </si>
  <si>
    <t>Pairs of Angles - II</t>
  </si>
  <si>
    <t>LU001280</t>
  </si>
  <si>
    <t>Lines Parallel to the Same Line</t>
  </si>
  <si>
    <t>LU001286</t>
  </si>
  <si>
    <t>Triangles</t>
  </si>
  <si>
    <t>Introduction to Congruence</t>
  </si>
  <si>
    <t>LU000831</t>
  </si>
  <si>
    <t>LU000832</t>
  </si>
  <si>
    <t>LU001234</t>
  </si>
  <si>
    <t>Criteria for Congruence of Triangles</t>
  </si>
  <si>
    <t>LU001235</t>
  </si>
  <si>
    <t>LU001236</t>
  </si>
  <si>
    <t>Properties of a Triangle</t>
  </si>
  <si>
    <t>LU001237</t>
  </si>
  <si>
    <t>LU001238</t>
  </si>
  <si>
    <t>More Criteria for Congruence of Triangles</t>
  </si>
  <si>
    <t>LU001239</t>
  </si>
  <si>
    <t>LU001240</t>
  </si>
  <si>
    <t>Quadrilaterals</t>
  </si>
  <si>
    <t>Theorems of Parallelograms - I</t>
  </si>
  <si>
    <t>LU001308</t>
  </si>
  <si>
    <t>LU001309</t>
  </si>
  <si>
    <t>Theorems of Parallelograms - II</t>
  </si>
  <si>
    <t>LU001310</t>
  </si>
  <si>
    <t>LU001311</t>
  </si>
  <si>
    <t>LU001312</t>
  </si>
  <si>
    <t>Theorems of Parallelograms - III</t>
  </si>
  <si>
    <t>LU001313</t>
  </si>
  <si>
    <t>LU001314</t>
  </si>
  <si>
    <t>Mid Point Theorem and its Converse</t>
  </si>
  <si>
    <t>LU001316</t>
  </si>
  <si>
    <t>LU001317</t>
  </si>
  <si>
    <t>Circles</t>
  </si>
  <si>
    <t>Theorems on Equality of Chords and Angles in a Circle</t>
  </si>
  <si>
    <t>LU001287</t>
  </si>
  <si>
    <t>LU001288</t>
  </si>
  <si>
    <t>Theorems on Perpendicular from the Centre to a Chord</t>
  </si>
  <si>
    <t>LU001289</t>
  </si>
  <si>
    <t>LU001290</t>
  </si>
  <si>
    <t>Equal Chords and their Distances from the Centre</t>
  </si>
  <si>
    <t>LU001296</t>
  </si>
  <si>
    <t>LU001297</t>
  </si>
  <si>
    <t>LU001298</t>
  </si>
  <si>
    <t>Angle Subtended by an Arc of a Circle</t>
  </si>
  <si>
    <t>LU001299</t>
  </si>
  <si>
    <t>LU001300</t>
  </si>
  <si>
    <t>Theorems on Angles in a Segment</t>
  </si>
  <si>
    <t>LU001301</t>
  </si>
  <si>
    <t>LU001302</t>
  </si>
  <si>
    <t>Cyclic Quadrilaterals - I</t>
  </si>
  <si>
    <t>LU001303</t>
  </si>
  <si>
    <t>LU001304</t>
  </si>
  <si>
    <t>Cyclic Quadrilaterals - II</t>
  </si>
  <si>
    <t>LU001305</t>
  </si>
  <si>
    <t>LU001306</t>
  </si>
  <si>
    <t>Heron's formula</t>
  </si>
  <si>
    <t>Area of a Triangle using Heron's Formula</t>
  </si>
  <si>
    <t>LU001150</t>
  </si>
  <si>
    <t>Surface Areas and Volumes</t>
  </si>
  <si>
    <t>Surface Area of a Right Circular Cone</t>
  </si>
  <si>
    <t>LU001249</t>
  </si>
  <si>
    <t>LU001250</t>
  </si>
  <si>
    <t>Surface Area of a Sphere</t>
  </si>
  <si>
    <t>LU001251</t>
  </si>
  <si>
    <t>Surface Area of a Hemisphere</t>
  </si>
  <si>
    <t>LU001253</t>
  </si>
  <si>
    <t>LU001254</t>
  </si>
  <si>
    <t>Volume of a Sphere and Hemisphere</t>
  </si>
  <si>
    <t>LU001255</t>
  </si>
  <si>
    <t>LU001256</t>
  </si>
  <si>
    <t>Volume of a Right Circular Cone</t>
  </si>
  <si>
    <t>LU001257</t>
  </si>
  <si>
    <t>Statistics</t>
  </si>
  <si>
    <t>Histogram</t>
  </si>
  <si>
    <t>LU000634</t>
  </si>
  <si>
    <t>LU000635</t>
  </si>
  <si>
    <t>Frequency Polygon</t>
  </si>
  <si>
    <t>LU001322</t>
  </si>
  <si>
    <t>LU001323</t>
  </si>
  <si>
    <t>Multiple Frequency Polygons</t>
  </si>
  <si>
    <t>LU001326</t>
  </si>
  <si>
    <t>LU001327</t>
  </si>
  <si>
    <t>Class 10</t>
  </si>
  <si>
    <t>Real Numbers</t>
  </si>
  <si>
    <t>The Fundamental Theorem of Arithmetic</t>
  </si>
  <si>
    <t>LU001424</t>
  </si>
  <si>
    <t>Theorem: Fundamental Theorem of Arithmetic</t>
  </si>
  <si>
    <t>LU000214</t>
  </si>
  <si>
    <t>Relationship between product of number, their HCF and LCM</t>
  </si>
  <si>
    <t>Theorems on Irrational Numbers</t>
  </si>
  <si>
    <t>LU001425</t>
  </si>
  <si>
    <t>Theorem: Let p be a prime number. If p divides a^2, then p divides a, where a is a positive integer.</t>
  </si>
  <si>
    <t>LU001426</t>
  </si>
  <si>
    <t>Proof of irrationality of numbers</t>
  </si>
  <si>
    <t>Geometrical Interpretation of the Zeros of Linear and Quadratic Polynomials</t>
  </si>
  <si>
    <t>LU001431</t>
  </si>
  <si>
    <t>Geometrical meaning of zero of a linear polynomial</t>
  </si>
  <si>
    <t>LU001433</t>
  </si>
  <si>
    <t>Geometrical meaning of the zeroes of a quadratic polynomial</t>
  </si>
  <si>
    <t>Geometrical Interpretation of the Zeros of Polynomials of Degree Greater Than 2</t>
  </si>
  <si>
    <t>LU001434</t>
  </si>
  <si>
    <t>Geometrical meaning of the zeroes of a cubic polynomial</t>
  </si>
  <si>
    <t>LU001435</t>
  </si>
  <si>
    <t>Geometrical meaning of the zeroes of a polynomial p(x) of degree n (n&gt;3)</t>
  </si>
  <si>
    <t>Relationship between zeros and coefficients of a polynomial</t>
  </si>
  <si>
    <t>LU001430</t>
  </si>
  <si>
    <t>Relationship between zero and coefficients of a linear polynomial</t>
  </si>
  <si>
    <t>LU001436</t>
  </si>
  <si>
    <t>Relationship between zeroes and coefficients of a quadratic polynomial</t>
  </si>
  <si>
    <t>LU001438</t>
  </si>
  <si>
    <t>Relationship between zeroes and coefficients of a cubic polynomial</t>
  </si>
  <si>
    <t>Formation of polynomial from given sum and product of zeroes</t>
  </si>
  <si>
    <t>LU001437</t>
  </si>
  <si>
    <t>Formation of quadratic polynomial from given sum and product of zeroes</t>
  </si>
  <si>
    <t>Pair of Linear Equations in Two Variables</t>
  </si>
  <si>
    <t>Introduction of linear pair of equations</t>
  </si>
  <si>
    <t>LU001443</t>
  </si>
  <si>
    <t>Representing situations as linear pair of equations</t>
  </si>
  <si>
    <t>Types of Pair of Linear Equations</t>
  </si>
  <si>
    <t>LU001445</t>
  </si>
  <si>
    <t>Consistent pair of linear equations in two variables (Intersecting or coincident)</t>
  </si>
  <si>
    <t>LU001446</t>
  </si>
  <si>
    <t>Inconsistent pair of linear equations in two variables (Parallel lines)</t>
  </si>
  <si>
    <t>LU001447</t>
  </si>
  <si>
    <t>Dependent pair of linear equations in two variables (Coincident)</t>
  </si>
  <si>
    <t>Graphical Method of Solution of a Pair of Linear Equations</t>
  </si>
  <si>
    <t>LU001448</t>
  </si>
  <si>
    <t>Graphical method of solution of consistent pair of equations</t>
  </si>
  <si>
    <t>LU001449</t>
  </si>
  <si>
    <t>Graphical method to check the existance of solution of inconsistent pair of equations</t>
  </si>
  <si>
    <t>Algebraic Methods of Solving a Pair of Linear Equations</t>
  </si>
  <si>
    <t>LU001451</t>
  </si>
  <si>
    <t>Solution of a pair of linear equations by the substitution method</t>
  </si>
  <si>
    <t>LU001452</t>
  </si>
  <si>
    <t>Solution of a pair of linear equations by the elimination method</t>
  </si>
  <si>
    <t>Quadratic Equations</t>
  </si>
  <si>
    <t>Introduction to Quadratic Equations</t>
  </si>
  <si>
    <t>LU001457</t>
  </si>
  <si>
    <t>Definition of quadratic equation and its standard form</t>
  </si>
  <si>
    <t>LU001458</t>
  </si>
  <si>
    <t>Representing situations mathematically as quadratic equations</t>
  </si>
  <si>
    <t>Solutions of Quadratic Equations by Factorisation</t>
  </si>
  <si>
    <t>LU001459</t>
  </si>
  <si>
    <t>Solution/Roots of a quadratic equation by factorisation</t>
  </si>
  <si>
    <t>Nature of Roots of a Quadratic Equation</t>
  </si>
  <si>
    <t>LU001464</t>
  </si>
  <si>
    <t>Discriminant and nature of roots of a quadratic equation</t>
  </si>
  <si>
    <t>LU001465</t>
  </si>
  <si>
    <t>Solution of a quadratic equation using the quadratic formula</t>
  </si>
  <si>
    <t>Arithmetic Progression</t>
  </si>
  <si>
    <t>Introduction to AP</t>
  </si>
  <si>
    <t>LU001468</t>
  </si>
  <si>
    <t>Arithmetic progression and terms related to it</t>
  </si>
  <si>
    <t>LU001469</t>
  </si>
  <si>
    <t>General form of an arithmetic progression</t>
  </si>
  <si>
    <t>nth Term of an AP</t>
  </si>
  <si>
    <t>LU001470</t>
  </si>
  <si>
    <t>nth term (general term) of an arithmetic progression</t>
  </si>
  <si>
    <t>LU001471</t>
  </si>
  <si>
    <t>nth term from the last term of an arithmetic progression</t>
  </si>
  <si>
    <t>Sum of First n Terms of an AP</t>
  </si>
  <si>
    <t>LU001472</t>
  </si>
  <si>
    <t>Sum of first n terms of an arithmetic progression</t>
  </si>
  <si>
    <t>LU001473</t>
  </si>
  <si>
    <t>Sum of all terms of an arithmetic progression using the last term</t>
  </si>
  <si>
    <t>Relationship between the nth term and the sum terms of an AP</t>
  </si>
  <si>
    <t>LU001474</t>
  </si>
  <si>
    <t>Relationship between the nth term and the sum of the first n and (n-1) terms of an AP</t>
  </si>
  <si>
    <t>Application of AP</t>
  </si>
  <si>
    <t>LU001571</t>
  </si>
  <si>
    <t>Application of arithmetic progression</t>
  </si>
  <si>
    <t>Similar Figures</t>
  </si>
  <si>
    <t>LU001476</t>
  </si>
  <si>
    <t>Criteria for similarity of figures</t>
  </si>
  <si>
    <t>Basic Proportionality Theorem</t>
  </si>
  <si>
    <t>LU001477</t>
  </si>
  <si>
    <t>Basic Proportionality Theorem (Thales Theorem)</t>
  </si>
  <si>
    <t>LU001478</t>
  </si>
  <si>
    <t>Converse of Basic Proportionality Theorem (Thales theorem)</t>
  </si>
  <si>
    <t>Criteria for Similarity of Triangles: AAA</t>
  </si>
  <si>
    <t>LU001479</t>
  </si>
  <si>
    <t>Criteria for similarity of triangles: AAA (or AA)</t>
  </si>
  <si>
    <t>Criteria for Similarity of Triangles: SSS</t>
  </si>
  <si>
    <t>LU001480</t>
  </si>
  <si>
    <t>Criteria for similarity of triangles: SSS</t>
  </si>
  <si>
    <t>Criteria for Similarity of Triangles: SAS</t>
  </si>
  <si>
    <t>LU001481</t>
  </si>
  <si>
    <t>Criteria for similarity of triangles: SAS</t>
  </si>
  <si>
    <t>Distance Formula</t>
  </si>
  <si>
    <t>LU001489</t>
  </si>
  <si>
    <t>Distance between two points in a 2D plane using distance formula</t>
  </si>
  <si>
    <t>LU001490</t>
  </si>
  <si>
    <t>Distance of a point from the origin in a 2D plane using distance formula</t>
  </si>
  <si>
    <t>Collinearity of Points</t>
  </si>
  <si>
    <t>LU001491</t>
  </si>
  <si>
    <t>Verification of triangle formation with given vertices by distance formula</t>
  </si>
  <si>
    <t>LU001493</t>
  </si>
  <si>
    <t xml:space="preserve">Collinearity condition of three points using the distance formula in a 2D plane
</t>
  </si>
  <si>
    <t>Application of Distance Formula</t>
  </si>
  <si>
    <t>LU001492</t>
  </si>
  <si>
    <t>Verification of quadrilateral formation with given vertices by distance formula</t>
  </si>
  <si>
    <t>Equidistant Points and Their Geometrical Properties</t>
  </si>
  <si>
    <t>LU001494</t>
  </si>
  <si>
    <t>Point equidistant from two given points in a 2D plane</t>
  </si>
  <si>
    <t>Section Formula</t>
  </si>
  <si>
    <t>LU001495</t>
  </si>
  <si>
    <t>Section formula for internal division in a 2D plane</t>
  </si>
  <si>
    <t>Problems based on Section Formula</t>
  </si>
  <si>
    <t>LU001496</t>
  </si>
  <si>
    <t>Midpoint of a line segment joining two given points in a 2D plane</t>
  </si>
  <si>
    <t>LU001497</t>
  </si>
  <si>
    <t>Trisection of a line segment using section formula in a 2D plane</t>
  </si>
  <si>
    <t>Introduction to Trigonometry</t>
  </si>
  <si>
    <t>Trigonometric Ratios I</t>
  </si>
  <si>
    <t>LU001572</t>
  </si>
  <si>
    <t>Trigonometric ratios of an acute angle: Sine, Cosine, Tangent</t>
  </si>
  <si>
    <t>Trigonometric Ratios II</t>
  </si>
  <si>
    <t>LU001573</t>
  </si>
  <si>
    <t>Trigonometric ratios of an acute angle: Cosecant, Secant, Cotangent</t>
  </si>
  <si>
    <t>Trigonometric Ratios of 45°</t>
  </si>
  <si>
    <t>LU001508</t>
  </si>
  <si>
    <t>Values of trigonometric ratios for angles of 45°</t>
  </si>
  <si>
    <t>Trigonometric Ratios of 30° and 60°</t>
  </si>
  <si>
    <t>LU001509</t>
  </si>
  <si>
    <t>Values of trigonometric ratios for angles of 30°</t>
  </si>
  <si>
    <t>LU001510</t>
  </si>
  <si>
    <t>Values of trigonometric ratios for angles of 60°</t>
  </si>
  <si>
    <t>Trigonometric Ratios of 0° and 90°</t>
  </si>
  <si>
    <t>LU001511</t>
  </si>
  <si>
    <t>Values of trigonometric ratios for angles of 0°</t>
  </si>
  <si>
    <t>LU001512</t>
  </si>
  <si>
    <t>Values of trigonometric ratios for angles of 90°</t>
  </si>
  <si>
    <t>Evaluation of Trigonometric Expressions</t>
  </si>
  <si>
    <t>LU001574</t>
  </si>
  <si>
    <t>Evaluation of trigonometric expressions having specific angles</t>
  </si>
  <si>
    <t>Trigonometric Identities</t>
  </si>
  <si>
    <t>LU001514</t>
  </si>
  <si>
    <t>Trignometric identity: cos^2 A+sin^2 A=1</t>
  </si>
  <si>
    <t>LU001515</t>
  </si>
  <si>
    <t>Trignometric identity: 1+tan^2 A=sec^2 A</t>
  </si>
  <si>
    <t>LU001516</t>
  </si>
  <si>
    <t>Trignometric identity: cot^2 A+1=cosec^2 A</t>
  </si>
  <si>
    <t>Some Applications of Trigonometry</t>
  </si>
  <si>
    <t>Angle of Elevation and Depression</t>
  </si>
  <si>
    <t>LU001575</t>
  </si>
  <si>
    <t>Angle of elevation and depression</t>
  </si>
  <si>
    <t>Heights and Distances</t>
  </si>
  <si>
    <t>LU001519</t>
  </si>
  <si>
    <t>Height and distance using trigonometry (single angle context)</t>
  </si>
  <si>
    <t>LU001520</t>
  </si>
  <si>
    <t>Height and distance using trigonometry (two angles context)</t>
  </si>
  <si>
    <t>Tangent to a Circle</t>
  </si>
  <si>
    <t>LU001522</t>
  </si>
  <si>
    <t>Definition of a tangent to a circle and its existence</t>
  </si>
  <si>
    <t>LU001524</t>
  </si>
  <si>
    <t>Theorem: The tangent at any point of a circle is perpendicular to the radius through the point of contact.</t>
  </si>
  <si>
    <t>Number of Tangents from a Point on a Circle</t>
  </si>
  <si>
    <t>LU001526</t>
  </si>
  <si>
    <t>Number of tangents to a circle drawn from a point</t>
  </si>
  <si>
    <t>LU001528</t>
  </si>
  <si>
    <t>Theorem: The lengths of tangents drawn from an external point to a circle are equal.</t>
  </si>
  <si>
    <t>Application of theorems related to the circles</t>
  </si>
  <si>
    <t>LU001576</t>
  </si>
  <si>
    <t>Area Related to Circles</t>
  </si>
  <si>
    <t>Area of Sector of a Circle</t>
  </si>
  <si>
    <t>LU001534</t>
  </si>
  <si>
    <t>Area of the sector of a circle</t>
  </si>
  <si>
    <t>Arc length of a sector of a circle</t>
  </si>
  <si>
    <t>LU001535</t>
  </si>
  <si>
    <t>Areas of Segment of a Circle</t>
  </si>
  <si>
    <t>LU001536</t>
  </si>
  <si>
    <t>Area of the segment of a circle</t>
  </si>
  <si>
    <t>Surface Area of a Combination of Solids</t>
  </si>
  <si>
    <t>LU001538</t>
  </si>
  <si>
    <t xml:space="preserve">Surface area of a combination of two basic solids </t>
  </si>
  <si>
    <t>Volume of a Combination of Solids</t>
  </si>
  <si>
    <t>LU001539</t>
  </si>
  <si>
    <t>Volume of a combination of two basic solids</t>
  </si>
  <si>
    <t>Arithmetic Mean</t>
  </si>
  <si>
    <t>LU001114</t>
  </si>
  <si>
    <t>Arithmetic mean of frequency distribution</t>
  </si>
  <si>
    <t>LU001546</t>
  </si>
  <si>
    <t>Mean of grouped data: Direct method</t>
  </si>
  <si>
    <t>Mean of Grouped Data</t>
  </si>
  <si>
    <t>LU001547</t>
  </si>
  <si>
    <t>Mean of Grouped Data: Assumed mean method</t>
  </si>
  <si>
    <t>LU001548</t>
  </si>
  <si>
    <t>Mean of Grouped Data: Step Deviation method</t>
  </si>
  <si>
    <t>Mode of Grouped Data</t>
  </si>
  <si>
    <t>LU001550</t>
  </si>
  <si>
    <t>Mode of grouped data</t>
  </si>
  <si>
    <t>Median of Ungrouped Data</t>
  </si>
  <si>
    <t>LU001551</t>
  </si>
  <si>
    <t>Median of ungrouped frequency data</t>
  </si>
  <si>
    <t>Median of Grouped Data</t>
  </si>
  <si>
    <t>LU001552</t>
  </si>
  <si>
    <t>Cumulative frequency distribution of less than /more than type</t>
  </si>
  <si>
    <t>LU001554</t>
  </si>
  <si>
    <t>Median of grouped data with equal class size</t>
  </si>
  <si>
    <t>Relationship Between Mean, Median and Mode</t>
  </si>
  <si>
    <t>LU001115</t>
  </si>
  <si>
    <t>Empirical relationship between mean, median and mode</t>
  </si>
  <si>
    <t>Cumulative Frequency Curve</t>
  </si>
  <si>
    <t>LU001555</t>
  </si>
  <si>
    <t>Cumulative frequency curve: Less or More than Ogive</t>
  </si>
  <si>
    <t>LU001556</t>
  </si>
  <si>
    <t>Medain by drawing both the ogives</t>
  </si>
  <si>
    <t>Probability - A Theoretical Approach</t>
  </si>
  <si>
    <t>LU001558</t>
  </si>
  <si>
    <t>Theoretical (or classical) probability of an event</t>
  </si>
  <si>
    <t>LU001559</t>
  </si>
  <si>
    <t>Types of events related to probability (elementary, complementary, impossible and sure events)</t>
  </si>
  <si>
    <t xml:space="preserve">Problems based on probability </t>
  </si>
  <si>
    <t>LU001562</t>
  </si>
  <si>
    <t xml:space="preserve">Problems based on geometric probability  </t>
  </si>
  <si>
    <t>NCERT Curiosity 2025</t>
  </si>
  <si>
    <t>Biology</t>
  </si>
  <si>
    <t>Mindful Eating: A Path to a Healthy Body</t>
  </si>
  <si>
    <t>Diversity in Food</t>
  </si>
  <si>
    <t>LU005236</t>
  </si>
  <si>
    <t>Variety of Food and Ingredients</t>
  </si>
  <si>
    <t>LU006416</t>
  </si>
  <si>
    <t>Food habits across various Indian States</t>
  </si>
  <si>
    <t>LU006417</t>
  </si>
  <si>
    <t>Changes in Culinary practices</t>
  </si>
  <si>
    <t>Energy Giving Nutrients</t>
  </si>
  <si>
    <t>LU005214</t>
  </si>
  <si>
    <t>Definition of nutrients, types, and their sources.</t>
  </si>
  <si>
    <t>LU005938</t>
  </si>
  <si>
    <t>Definition of carbohydrates and its qualitative tests.</t>
  </si>
  <si>
    <t>LU005939</t>
  </si>
  <si>
    <t>Definition of fats and its qualitative tests.</t>
  </si>
  <si>
    <t>Body Building and Protective Nutrients</t>
  </si>
  <si>
    <t>LU005940</t>
  </si>
  <si>
    <t>Definition of proteins and its qualitative tests.</t>
  </si>
  <si>
    <t>LU005216</t>
  </si>
  <si>
    <t>Definition of vitamins, types, functions and sources</t>
  </si>
  <si>
    <t>LU005942</t>
  </si>
  <si>
    <t>Minerals' functions and sources for human body</t>
  </si>
  <si>
    <t>Balanced diet</t>
  </si>
  <si>
    <t>LU005941</t>
  </si>
  <si>
    <t>Roughage and water's function and source for human body</t>
  </si>
  <si>
    <t>LU005218</t>
  </si>
  <si>
    <t>Concept and constituents of balanced diet</t>
  </si>
  <si>
    <t>LU005219</t>
  </si>
  <si>
    <t>Definition of deficiency diseases</t>
  </si>
  <si>
    <t>Millets and Food Miles</t>
  </si>
  <si>
    <t>LU006418</t>
  </si>
  <si>
    <t>Millets and its health benefits</t>
  </si>
  <si>
    <t>LU005064</t>
  </si>
  <si>
    <t>Journey of a Food Grain</t>
  </si>
  <si>
    <t>Chemistry</t>
  </si>
  <si>
    <t>Materials Around Us</t>
  </si>
  <si>
    <t>Grouping of Materials</t>
  </si>
  <si>
    <t>LU005313</t>
  </si>
  <si>
    <t>Nature of objects around us at material level and grouping of materials</t>
  </si>
  <si>
    <t>Exploring the Physical Properties of Materials</t>
  </si>
  <si>
    <t>LU005314</t>
  </si>
  <si>
    <t>Properties of materials-Appearance and Feel</t>
  </si>
  <si>
    <t>LU005316</t>
  </si>
  <si>
    <t>Properties of materials-Hardness</t>
  </si>
  <si>
    <t>LU005318</t>
  </si>
  <si>
    <t>Properties of materials-Transparency</t>
  </si>
  <si>
    <t>Interactions of Materials with Water</t>
  </si>
  <si>
    <t>LU005317</t>
  </si>
  <si>
    <t>Properties of materials-Solubility in water</t>
  </si>
  <si>
    <t>LU005319</t>
  </si>
  <si>
    <t>Significance of Solubility of Gases in Water</t>
  </si>
  <si>
    <t>Introduction: Mass, Volume and Matter</t>
  </si>
  <si>
    <t>LU006419</t>
  </si>
  <si>
    <t>Properties of material- Mass</t>
  </si>
  <si>
    <t>LU006420</t>
  </si>
  <si>
    <t>Properties of material- Volume</t>
  </si>
  <si>
    <t>LU006421</t>
  </si>
  <si>
    <t>Definition and examples of Matter</t>
  </si>
  <si>
    <t>Methods of Separation in Everyday Life</t>
  </si>
  <si>
    <t>Why Separate Substances?</t>
  </si>
  <si>
    <t>LU005293</t>
  </si>
  <si>
    <t>Purpose for the separation of substances</t>
  </si>
  <si>
    <t>Separate Solid-Solid Mixtures</t>
  </si>
  <si>
    <t>LU005294</t>
  </si>
  <si>
    <t>Handpicking, threshing, winnowing, and sieving</t>
  </si>
  <si>
    <t>Separate Soluble Solids-Liquid Mixtures</t>
  </si>
  <si>
    <t>LU005296</t>
  </si>
  <si>
    <t>Evaporation and condensation as the methods of separation</t>
  </si>
  <si>
    <t>Separate Insoluble Solids-Liquid Mixtures</t>
  </si>
  <si>
    <t>LU005295</t>
  </si>
  <si>
    <t>Sedimentation, decantation and filtration</t>
  </si>
  <si>
    <t>Using Multiple Separation Techniques</t>
  </si>
  <si>
    <t>LU005975</t>
  </si>
  <si>
    <t>Using magnetic property of a substance for separating solid-solid mixture</t>
  </si>
  <si>
    <t>LU005297</t>
  </si>
  <si>
    <t>Using more than one method of separation</t>
  </si>
  <si>
    <t xml:space="preserve">Diversity in the living world </t>
  </si>
  <si>
    <t>What is Biodiversity?</t>
  </si>
  <si>
    <t>LU006410</t>
  </si>
  <si>
    <t>Introduction to the biodiversity of a region</t>
  </si>
  <si>
    <t>LU006411</t>
  </si>
  <si>
    <t>Criteria for Grouping Plants and Animals</t>
  </si>
  <si>
    <t>Height and Stem based Plant Grouping</t>
  </si>
  <si>
    <t>LU005238</t>
  </si>
  <si>
    <t>Herbs, shrubs, trees, and creepers and climbers.</t>
  </si>
  <si>
    <t>Leaf and Root based Plant Grouping</t>
  </si>
  <si>
    <t>LU005943</t>
  </si>
  <si>
    <t>Plant's leaf structure and venation pattern</t>
  </si>
  <si>
    <t>LU005947</t>
  </si>
  <si>
    <t>Types of plant's root</t>
  </si>
  <si>
    <t>Seed based Plant Grouping</t>
  </si>
  <si>
    <t>LU006412</t>
  </si>
  <si>
    <t>Classification of Plants based on the number of cotyledons in seed</t>
  </si>
  <si>
    <t>Diversity in Animals</t>
  </si>
  <si>
    <t>LU006413</t>
  </si>
  <si>
    <t>Movement in Different Animals</t>
  </si>
  <si>
    <t>LU005252</t>
  </si>
  <si>
    <t>Animals, plants, and natural objects in different surroundings</t>
  </si>
  <si>
    <t>Habitats and Adaptation</t>
  </si>
  <si>
    <t>LU005258</t>
  </si>
  <si>
    <t>Definition of habitats and adaptations.</t>
  </si>
  <si>
    <t>LU006414</t>
  </si>
  <si>
    <t>Adaptations found in plants and animals of different regions</t>
  </si>
  <si>
    <t>Physics</t>
  </si>
  <si>
    <t>Measurement of Length and Motion</t>
  </si>
  <si>
    <t>Non-Standard Length Measurement and Its Limitations</t>
  </si>
  <si>
    <t>LU005928</t>
  </si>
  <si>
    <t>Measurement of length using non-standard devices</t>
  </si>
  <si>
    <t>LU005929</t>
  </si>
  <si>
    <t>Limitation of Measuring length using non-standard devices</t>
  </si>
  <si>
    <t>Understanding Units in Measurement</t>
  </si>
  <si>
    <t>LU005182</t>
  </si>
  <si>
    <t>Definition and Importance of Unit in Measurement</t>
  </si>
  <si>
    <t>LU005174</t>
  </si>
  <si>
    <t>Units of length</t>
  </si>
  <si>
    <t>Standard Measurement Techniques</t>
  </si>
  <si>
    <t>LU005175</t>
  </si>
  <si>
    <t>Measurement of length using ruler</t>
  </si>
  <si>
    <t>LU005176</t>
  </si>
  <si>
    <t>Measurement of curved line</t>
  </si>
  <si>
    <t>Describing and Comparing Motion</t>
  </si>
  <si>
    <t>LU006317</t>
  </si>
  <si>
    <t>Use of reference points (origin) to describe the position of an object</t>
  </si>
  <si>
    <t>LU005177</t>
  </si>
  <si>
    <t>Comparison of object in the State of rest vs State of Motion</t>
  </si>
  <si>
    <t>Linear and Circular Motion Basics</t>
  </si>
  <si>
    <t>LU005186</t>
  </si>
  <si>
    <t>Motion in Straight Line</t>
  </si>
  <si>
    <t>LU005187</t>
  </si>
  <si>
    <t>Understanding the Basics of Circular Motion</t>
  </si>
  <si>
    <t>Oscillatory and Periodic Motion Fundamentals</t>
  </si>
  <si>
    <t>LU005190</t>
  </si>
  <si>
    <t>Understanding the Basics of Oscillatory Motion</t>
  </si>
  <si>
    <t>LU005189</t>
  </si>
  <si>
    <t>Understanding the Basics of Periodic and Non-Periodic Motion</t>
  </si>
  <si>
    <t>A Journey through States of Water</t>
  </si>
  <si>
    <t>Evaporation and Condensation of Water</t>
  </si>
  <si>
    <t>LU006427</t>
  </si>
  <si>
    <t>Evaporation of water</t>
  </si>
  <si>
    <t>LU006428</t>
  </si>
  <si>
    <t>Condensation of water</t>
  </si>
  <si>
    <t>Three States of Water</t>
  </si>
  <si>
    <t>LU005775</t>
  </si>
  <si>
    <t>Natural Forms of Water: Liquid, Solid, Gas</t>
  </si>
  <si>
    <t>LU006429</t>
  </si>
  <si>
    <t>Changes in the state of water upon heating and cooling</t>
  </si>
  <si>
    <t>Factors Affecting Evaporation</t>
  </si>
  <si>
    <t>LU006208</t>
  </si>
  <si>
    <t>LU006430</t>
  </si>
  <si>
    <t>Demonstration of cooling effect of evaporation</t>
  </si>
  <si>
    <t>Water Cycle</t>
  </si>
  <si>
    <t>LU005860</t>
  </si>
  <si>
    <t>Understanding how clouds form in the sky</t>
  </si>
  <si>
    <t>LU005776</t>
  </si>
  <si>
    <t>Introduction to the Water Cycle</t>
  </si>
  <si>
    <t xml:space="preserve">Temperature and its Measurement </t>
  </si>
  <si>
    <t>Introduction to Temperature and Its Measurement</t>
  </si>
  <si>
    <t>LU005361</t>
  </si>
  <si>
    <t>Sense of touch as temperature sensor</t>
  </si>
  <si>
    <t>LU006422</t>
  </si>
  <si>
    <t>Temperature, Its Measurement Scales, and Conversion Methods</t>
  </si>
  <si>
    <t>Understanding Thermometers</t>
  </si>
  <si>
    <t>LU005918</t>
  </si>
  <si>
    <t>Definition of Thermometers</t>
  </si>
  <si>
    <t>LU005919</t>
  </si>
  <si>
    <t>Types of Thermometers</t>
  </si>
  <si>
    <t>Comparing and Using Clinical Thermometers</t>
  </si>
  <si>
    <t>LU006423</t>
  </si>
  <si>
    <t>Comparing the types of clinical thermometers</t>
  </si>
  <si>
    <t>LU006424</t>
  </si>
  <si>
    <t>Temperature Measurement of Human Body using digital clinical thermometer</t>
  </si>
  <si>
    <t>Laboratory Thermometers and Their Usage</t>
  </si>
  <si>
    <t>LU005926</t>
  </si>
  <si>
    <t>Physical Components of Laboratory thermometer</t>
  </si>
  <si>
    <t>LU005927</t>
  </si>
  <si>
    <t>Correct Way of using Laboratory thermometer</t>
  </si>
  <si>
    <t>Practical Temperature Measurement</t>
  </si>
  <si>
    <t>LU006425</t>
  </si>
  <si>
    <t>Temperature Measurement of Warm water, Ice and boiling water using Laboratory thermometer</t>
  </si>
  <si>
    <t>LU006426</t>
  </si>
  <si>
    <t>Introduction to Air Temperature</t>
  </si>
  <si>
    <t>Exploring magnets</t>
  </si>
  <si>
    <t>Introduction to Magnets</t>
  </si>
  <si>
    <t>LU005932</t>
  </si>
  <si>
    <t>Classification of magnets as natural and artificial magnets</t>
  </si>
  <si>
    <t>LU005933</t>
  </si>
  <si>
    <t>Identification of types of artificial magnets</t>
  </si>
  <si>
    <t>LU005161</t>
  </si>
  <si>
    <t>Magnetic and Non-magnetic material</t>
  </si>
  <si>
    <t>Poles of Magnet</t>
  </si>
  <si>
    <t>LU005934</t>
  </si>
  <si>
    <t>Identification of poles of different magnets</t>
  </si>
  <si>
    <t>LU005935</t>
  </si>
  <si>
    <t>Distribution of magnetic strength in different magnets</t>
  </si>
  <si>
    <t>Directive Property of a Bar Magnet</t>
  </si>
  <si>
    <t>LU005936</t>
  </si>
  <si>
    <t>LU005937</t>
  </si>
  <si>
    <t>Magnetic compass and its uses</t>
  </si>
  <si>
    <t>Make your own magnet</t>
  </si>
  <si>
    <t>LU005160</t>
  </si>
  <si>
    <t>Lexical explanation of Permanent and temporary magnet</t>
  </si>
  <si>
    <t>Attraction and Repulsion</t>
  </si>
  <si>
    <t>LU005159</t>
  </si>
  <si>
    <t>Interaction between magnets</t>
  </si>
  <si>
    <t>Magnetic Effects Through Materials and Proper Handling of Magnets</t>
  </si>
  <si>
    <t>LU006409</t>
  </si>
  <si>
    <t>Observation of effects of magnets through non magnetic materials</t>
  </si>
  <si>
    <t>LU005157</t>
  </si>
  <si>
    <t>Correct way of storing and handling magnets</t>
  </si>
  <si>
    <t xml:space="preserve">Nature's treasure </t>
  </si>
  <si>
    <t xml:space="preserve">Air </t>
  </si>
  <si>
    <t>LU006435</t>
  </si>
  <si>
    <t xml:space="preserve">Significance and Composition of Air </t>
  </si>
  <si>
    <t>Water</t>
  </si>
  <si>
    <t>LU005779</t>
  </si>
  <si>
    <t>Natural Sources of Water</t>
  </si>
  <si>
    <t>LU006436</t>
  </si>
  <si>
    <t>Wastage of Water</t>
  </si>
  <si>
    <t>LU005864</t>
  </si>
  <si>
    <t>Simple ways of water harvesting at home</t>
  </si>
  <si>
    <t>Sun</t>
  </si>
  <si>
    <t>LU005007</t>
  </si>
  <si>
    <t>Sun the Source of Solar energy</t>
  </si>
  <si>
    <t>Forest and Soil</t>
  </si>
  <si>
    <t>LU005024</t>
  </si>
  <si>
    <t>Importance of Forests for Sustaining Lives</t>
  </si>
  <si>
    <t>LU006157</t>
  </si>
  <si>
    <t>Importance of Soil for sustaining life</t>
  </si>
  <si>
    <t>Rocks and Fossil Fuels</t>
  </si>
  <si>
    <t>LU006437</t>
  </si>
  <si>
    <t>Rocks in Our Surroundings</t>
  </si>
  <si>
    <t>LU005708</t>
  </si>
  <si>
    <t>Overview of Fossil Fuels (Coal, Petroleum, Natural Gas)</t>
  </si>
  <si>
    <t>LU005993</t>
  </si>
  <si>
    <t>Uses of fuel (In domestic work, transportation, machines, electricity)</t>
  </si>
  <si>
    <t>Types of Natural Resources</t>
  </si>
  <si>
    <t>LU006438</t>
  </si>
  <si>
    <t>Types of Resources(natural, human made, renewable, and non-renewable)</t>
  </si>
  <si>
    <t>LU006439</t>
  </si>
  <si>
    <t>Judicial Use of Natural Resources</t>
  </si>
  <si>
    <t>Beyond Earth</t>
  </si>
  <si>
    <t>Exploring Stars and Constellations</t>
  </si>
  <si>
    <t>LU006440</t>
  </si>
  <si>
    <t>Stars and Constellation</t>
  </si>
  <si>
    <t>LU006441</t>
  </si>
  <si>
    <t>Night Sky Navigation</t>
  </si>
  <si>
    <t>The Sun: Our Closest Star</t>
  </si>
  <si>
    <t>LU006443</t>
  </si>
  <si>
    <t>Attributes of Sun</t>
  </si>
  <si>
    <t>The Planets of Our Solar System</t>
  </si>
  <si>
    <t>LU006444</t>
  </si>
  <si>
    <t xml:space="preserve">Attributes of Planets </t>
  </si>
  <si>
    <t>The Moon: Earth's Natural Satellite</t>
  </si>
  <si>
    <t>LU006046</t>
  </si>
  <si>
    <t>Fundamental characteristics of Moon</t>
  </si>
  <si>
    <t>The Minor Bodies of the Solar System</t>
  </si>
  <si>
    <t>LU005020</t>
  </si>
  <si>
    <t>Introduction to Asteroids and Comets</t>
  </si>
  <si>
    <t>Our Place in the Universe</t>
  </si>
  <si>
    <t>LU006442</t>
  </si>
  <si>
    <t>Definition of solar system, milky way galaxy and universe</t>
  </si>
  <si>
    <t>Living Creatures: Exploring their Characteristics</t>
  </si>
  <si>
    <t>What is Alive?</t>
  </si>
  <si>
    <t>LU005265</t>
  </si>
  <si>
    <t>Fundamental Characteristics of Living Organisms</t>
  </si>
  <si>
    <t>Conditions Required for Seed Germinations</t>
  </si>
  <si>
    <t>LU006431</t>
  </si>
  <si>
    <t>Essential Conditions for Seed Germination</t>
  </si>
  <si>
    <t>Growth and Movement in Plants</t>
  </si>
  <si>
    <t>LU006432</t>
  </si>
  <si>
    <t>Life Cycle of a Plant</t>
  </si>
  <si>
    <t>LU005980</t>
  </si>
  <si>
    <t>Summary of the life cycle of a typical flowering plant</t>
  </si>
  <si>
    <t>Life Cycle of Animals</t>
  </si>
  <si>
    <t>LU006433</t>
  </si>
  <si>
    <t>Stages of the Life Cycle of Mosquitoes</t>
  </si>
  <si>
    <t>LU006434</t>
  </si>
  <si>
    <t>Stages of Life Cycle of a Frog</t>
  </si>
  <si>
    <t>Components of Food</t>
  </si>
  <si>
    <t>Nutrients</t>
  </si>
  <si>
    <t>Carbohydrates, Proteins and Fats(Macronutrients)</t>
  </si>
  <si>
    <t>Importance of nutrients</t>
  </si>
  <si>
    <t>Balanced diet and deficiency diseases</t>
  </si>
  <si>
    <t>LU005220</t>
  </si>
  <si>
    <t>Sorting Materials into Groups</t>
  </si>
  <si>
    <t>Objects Around Us</t>
  </si>
  <si>
    <t>Appearance and hardness as the properties of materials</t>
  </si>
  <si>
    <t>Solubility in water as the property of materials</t>
  </si>
  <si>
    <t>LU005315</t>
  </si>
  <si>
    <t>Transparency as a property of materials</t>
  </si>
  <si>
    <t>Separation of Substances</t>
  </si>
  <si>
    <t>Introduction to the need of separating substances</t>
  </si>
  <si>
    <t>Sedimentation, Decantation and filtration</t>
  </si>
  <si>
    <t>Evaporation and condensation</t>
  </si>
  <si>
    <t>Separating substances by combining multiple method of separations</t>
  </si>
  <si>
    <t>Solutions(water as the solvent)</t>
  </si>
  <si>
    <t>LU005298</t>
  </si>
  <si>
    <t>Getting to know plants</t>
  </si>
  <si>
    <t xml:space="preserve">Types of plants
</t>
  </si>
  <si>
    <t>LU005237</t>
  </si>
  <si>
    <t>Stem</t>
  </si>
  <si>
    <t>LU005239</t>
  </si>
  <si>
    <t>Leaf</t>
  </si>
  <si>
    <t>LU005944</t>
  </si>
  <si>
    <t>LU005945</t>
  </si>
  <si>
    <t>Roots</t>
  </si>
  <si>
    <t>LU005946</t>
  </si>
  <si>
    <t>Flower</t>
  </si>
  <si>
    <t>LU005242</t>
  </si>
  <si>
    <t>Motion and Measurement of distances</t>
  </si>
  <si>
    <t>Transportation and Measurement</t>
  </si>
  <si>
    <t>LU005171</t>
  </si>
  <si>
    <t>LU005181</t>
  </si>
  <si>
    <t>Non-Standard Measurement</t>
  </si>
  <si>
    <t>Standard units of measurements</t>
  </si>
  <si>
    <t>LU005930</t>
  </si>
  <si>
    <t>Correct way of measurement</t>
  </si>
  <si>
    <t>LU005931</t>
  </si>
  <si>
    <t>Measurement of curved line and Understanding motion</t>
  </si>
  <si>
    <t>Straight line and Circular Motion</t>
  </si>
  <si>
    <t>Exploring Different Types of Motion</t>
  </si>
  <si>
    <t>LU005188</t>
  </si>
  <si>
    <t>LU005178</t>
  </si>
  <si>
    <t>Light, Shadows and reflections</t>
  </si>
  <si>
    <t>Visibility through Objects</t>
  </si>
  <si>
    <t>LU005170</t>
  </si>
  <si>
    <t>LU005831</t>
  </si>
  <si>
    <t>LU005832</t>
  </si>
  <si>
    <t>Sources of Light</t>
  </si>
  <si>
    <t>LU005836</t>
  </si>
  <si>
    <t>Light and its sources (natural, artificial, luminous and non luminous)</t>
  </si>
  <si>
    <t>Introductions to Shadows</t>
  </si>
  <si>
    <t>LU005169</t>
  </si>
  <si>
    <t>LU005833</t>
  </si>
  <si>
    <t>LU005837</t>
  </si>
  <si>
    <t xml:space="preserve">Path of light </t>
  </si>
  <si>
    <t>LU005166</t>
  </si>
  <si>
    <t>Pinhole camera</t>
  </si>
  <si>
    <t>LU005167</t>
  </si>
  <si>
    <t>LU005834</t>
  </si>
  <si>
    <t>LU005835</t>
  </si>
  <si>
    <t>Reflection</t>
  </si>
  <si>
    <t>LU005838</t>
  </si>
  <si>
    <t>LU005164</t>
  </si>
  <si>
    <t>Electricity and circuits</t>
  </si>
  <si>
    <t>Electricity in daily life</t>
  </si>
  <si>
    <t>LU005156</t>
  </si>
  <si>
    <t>LU005914</t>
  </si>
  <si>
    <t>Electric cell and Electric Bulb</t>
  </si>
  <si>
    <t>LU005155</t>
  </si>
  <si>
    <t>LU005154</t>
  </si>
  <si>
    <t>Electric circuit</t>
  </si>
  <si>
    <t>LU005153</t>
  </si>
  <si>
    <t>Electrical Conductor and Insulator</t>
  </si>
  <si>
    <t>LU005151</t>
  </si>
  <si>
    <t>LU005152</t>
  </si>
  <si>
    <t>Fun with magnets</t>
  </si>
  <si>
    <t>Air around Us</t>
  </si>
  <si>
    <t>Presence of air</t>
  </si>
  <si>
    <t>LU005891</t>
  </si>
  <si>
    <t>LU005892</t>
  </si>
  <si>
    <t>Composition of air</t>
  </si>
  <si>
    <t>LU005881</t>
  </si>
  <si>
    <t>Oxygen for Survival</t>
  </si>
  <si>
    <t>LU005894</t>
  </si>
  <si>
    <t>Importance of air</t>
  </si>
  <si>
    <t>LU005893</t>
  </si>
  <si>
    <t>Body Movements</t>
  </si>
  <si>
    <t>Human body and its movements</t>
  </si>
  <si>
    <t>LU005102</t>
  </si>
  <si>
    <t>LU005193</t>
  </si>
  <si>
    <t>Types of Joints in Humans</t>
  </si>
  <si>
    <t>LU005194</t>
  </si>
  <si>
    <t>Human skeletal system</t>
  </si>
  <si>
    <t>LU005965</t>
  </si>
  <si>
    <t>LU005196</t>
  </si>
  <si>
    <t>X-rays and skeletal muscles</t>
  </si>
  <si>
    <t>LU005195</t>
  </si>
  <si>
    <t>LU005197</t>
  </si>
  <si>
    <t>Gait of animals</t>
  </si>
  <si>
    <t>LU005192</t>
  </si>
  <si>
    <t>The Living Organisms Characteristics and Habitats</t>
  </si>
  <si>
    <t>Diversity of organisms and their surroundings</t>
  </si>
  <si>
    <t>Habitat and Adaptation</t>
  </si>
  <si>
    <t>LU005259</t>
  </si>
  <si>
    <t>LU005253</t>
  </si>
  <si>
    <t>Terrestrial habitat</t>
  </si>
  <si>
    <t>LU005254</t>
  </si>
  <si>
    <t>LU005255</t>
  </si>
  <si>
    <t>LU005256</t>
  </si>
  <si>
    <t>Aquatic Habitat</t>
  </si>
  <si>
    <t>LU005257</t>
  </si>
  <si>
    <t>What is alive?</t>
  </si>
  <si>
    <t>Food: Where does it comes from?</t>
  </si>
  <si>
    <t>Food Variety</t>
  </si>
  <si>
    <t>Sources of Food</t>
  </si>
  <si>
    <t>LU005235</t>
  </si>
  <si>
    <t>Edible parts of Plants</t>
  </si>
  <si>
    <t>LU005951</t>
  </si>
  <si>
    <t>Food Habits of Animals</t>
  </si>
  <si>
    <t>LU005963</t>
  </si>
  <si>
    <t>Chapter</t>
  </si>
  <si>
    <t>Nutrition in Plants</t>
  </si>
  <si>
    <t>Modes of nutrition</t>
  </si>
  <si>
    <t>LU005407</t>
  </si>
  <si>
    <t>Autotrophic nutrition</t>
  </si>
  <si>
    <t>LU005408</t>
  </si>
  <si>
    <t>LU005845</t>
  </si>
  <si>
    <t>Different types of modes of nutrition in plants</t>
  </si>
  <si>
    <t>LU005409</t>
  </si>
  <si>
    <t>LU005410</t>
  </si>
  <si>
    <t>Saprotrophs</t>
  </si>
  <si>
    <t>LU005411</t>
  </si>
  <si>
    <t>Symbiotic relationship</t>
  </si>
  <si>
    <t>LU005412</t>
  </si>
  <si>
    <t>LU005413</t>
  </si>
  <si>
    <t>Nutrition in Animals</t>
  </si>
  <si>
    <t>Modes of procuring food</t>
  </si>
  <si>
    <t>LU005390</t>
  </si>
  <si>
    <t>Human Digestive System</t>
  </si>
  <si>
    <t>LU005389</t>
  </si>
  <si>
    <t>LU005391</t>
  </si>
  <si>
    <t>Upper region of alimentary canal</t>
  </si>
  <si>
    <t>LU005948</t>
  </si>
  <si>
    <t>LU005949</t>
  </si>
  <si>
    <t>LU005950</t>
  </si>
  <si>
    <t>Middle and Lower region of alimentary canal</t>
  </si>
  <si>
    <t>LU005393</t>
  </si>
  <si>
    <t>LU005394</t>
  </si>
  <si>
    <t>Digestion in herbivores and amoeba</t>
  </si>
  <si>
    <t>LU005395</t>
  </si>
  <si>
    <t>LU005396</t>
  </si>
  <si>
    <t>Heat</t>
  </si>
  <si>
    <t>Understanding Temperature and Sensory Perception</t>
  </si>
  <si>
    <t>LU005354</t>
  </si>
  <si>
    <t>Introduction to Thermometers</t>
  </si>
  <si>
    <t>Clinical Thermometer</t>
  </si>
  <si>
    <t>LU005924</t>
  </si>
  <si>
    <t>LU005925</t>
  </si>
  <si>
    <t>Laboratory Thermometer</t>
  </si>
  <si>
    <t>Conduction</t>
  </si>
  <si>
    <t>LU005355</t>
  </si>
  <si>
    <t>LU005359</t>
  </si>
  <si>
    <t>LU005352</t>
  </si>
  <si>
    <t>Convection</t>
  </si>
  <si>
    <t>LU005358</t>
  </si>
  <si>
    <t>LU005351</t>
  </si>
  <si>
    <t>Radiation</t>
  </si>
  <si>
    <t>LU005360</t>
  </si>
  <si>
    <t>LU005353</t>
  </si>
  <si>
    <t>LU005357</t>
  </si>
  <si>
    <t>Acids, Bases, and Salts</t>
  </si>
  <si>
    <t>Acids and Bases</t>
  </si>
  <si>
    <t>LU005475</t>
  </si>
  <si>
    <t>LU005471</t>
  </si>
  <si>
    <t>LU005952</t>
  </si>
  <si>
    <t>Natural Indicators</t>
  </si>
  <si>
    <t>LU005472</t>
  </si>
  <si>
    <t>LU005478</t>
  </si>
  <si>
    <t>LU005953</t>
  </si>
  <si>
    <t>Neutralisation reaction</t>
  </si>
  <si>
    <t>LU005483</t>
  </si>
  <si>
    <t>LU005473</t>
  </si>
  <si>
    <t>LU005481</t>
  </si>
  <si>
    <t>Physical and Chemical Changes</t>
  </si>
  <si>
    <t>Physical changes</t>
  </si>
  <si>
    <t>LU005954</t>
  </si>
  <si>
    <t>LU005494</t>
  </si>
  <si>
    <t>LU005489</t>
  </si>
  <si>
    <t>Chemical changes</t>
  </si>
  <si>
    <t>LU005493</t>
  </si>
  <si>
    <t>LU005488</t>
  </si>
  <si>
    <t>LU005500</t>
  </si>
  <si>
    <t>Physical change vs Chemical change</t>
  </si>
  <si>
    <t>LU005486</t>
  </si>
  <si>
    <t>Crystallisation and Rusting of iron</t>
  </si>
  <si>
    <t>LU005496</t>
  </si>
  <si>
    <t>LU005495</t>
  </si>
  <si>
    <t>LU005485</t>
  </si>
  <si>
    <t>Respiration in Organisms</t>
  </si>
  <si>
    <t>Why do we respire?</t>
  </si>
  <si>
    <t>LU005435</t>
  </si>
  <si>
    <t>LU005436</t>
  </si>
  <si>
    <t>LU005437</t>
  </si>
  <si>
    <t>Breathing in humans</t>
  </si>
  <si>
    <t>LU005438</t>
  </si>
  <si>
    <t>Human Respiratory System</t>
  </si>
  <si>
    <t>LU005439</t>
  </si>
  <si>
    <t>LU005440</t>
  </si>
  <si>
    <t>LU005441</t>
  </si>
  <si>
    <t>What do we breathe out</t>
  </si>
  <si>
    <t>LU005955</t>
  </si>
  <si>
    <t xml:space="preserve"> Breathing in Other Animals 
 </t>
  </si>
  <si>
    <t>LU005442</t>
  </si>
  <si>
    <t>Respiration in Plants</t>
  </si>
  <si>
    <t>LU005443</t>
  </si>
  <si>
    <t>LU005444</t>
  </si>
  <si>
    <t>Transportation in Animals and Plants</t>
  </si>
  <si>
    <t>Organs of human circulatory system</t>
  </si>
  <si>
    <t>LU005454</t>
  </si>
  <si>
    <t>LU005455</t>
  </si>
  <si>
    <t>LU005956</t>
  </si>
  <si>
    <t>Blood circulation in humans</t>
  </si>
  <si>
    <t>LU005957</t>
  </si>
  <si>
    <t>LU005958</t>
  </si>
  <si>
    <t>Heartbeats</t>
  </si>
  <si>
    <t>LU005456</t>
  </si>
  <si>
    <t>LU005459</t>
  </si>
  <si>
    <t>Excretory system in organisms</t>
  </si>
  <si>
    <t>LU005457</t>
  </si>
  <si>
    <t>LU005458</t>
  </si>
  <si>
    <t>Transportation in plants</t>
  </si>
  <si>
    <t>LU005452</t>
  </si>
  <si>
    <t>LU005463</t>
  </si>
  <si>
    <t>Reproduction in Plants</t>
  </si>
  <si>
    <t>Asexual Mode of Reproduction in Plants</t>
  </si>
  <si>
    <t>LU005419</t>
  </si>
  <si>
    <t>LU005421</t>
  </si>
  <si>
    <t xml:space="preserve">Various Asexual Modes of Reproduction </t>
  </si>
  <si>
    <t>LU005420</t>
  </si>
  <si>
    <t>Reproduction in Yeast, Algae and Fungi</t>
  </si>
  <si>
    <t>LU005959</t>
  </si>
  <si>
    <t>LU005960</t>
  </si>
  <si>
    <t>LU005961</t>
  </si>
  <si>
    <t>Terms Associated with Sexual Reproduction in Plants</t>
  </si>
  <si>
    <t>LU005422</t>
  </si>
  <si>
    <t>From Fertilisation to Seed Dispersal Mechanisms in Plants</t>
  </si>
  <si>
    <t>LU005962</t>
  </si>
  <si>
    <t>LU005423</t>
  </si>
  <si>
    <t>Motion and Time</t>
  </si>
  <si>
    <t>Time</t>
  </si>
  <si>
    <t>LU005384</t>
  </si>
  <si>
    <t>LU005383</t>
  </si>
  <si>
    <t>Simple Pendulum</t>
  </si>
  <si>
    <t>LU005379</t>
  </si>
  <si>
    <t>LU005380</t>
  </si>
  <si>
    <t>Fast and Slow Movements</t>
  </si>
  <si>
    <t>LU005378</t>
  </si>
  <si>
    <t>Speed</t>
  </si>
  <si>
    <t>LU005375</t>
  </si>
  <si>
    <t>LU005376</t>
  </si>
  <si>
    <t>LU005386</t>
  </si>
  <si>
    <t>Measuring speed</t>
  </si>
  <si>
    <t>LU005388</t>
  </si>
  <si>
    <t>LU005387</t>
  </si>
  <si>
    <t>Formula of speed</t>
  </si>
  <si>
    <t>LU005381</t>
  </si>
  <si>
    <t>LU005382</t>
  </si>
  <si>
    <t>LU005377</t>
  </si>
  <si>
    <t>Distance-time graph</t>
  </si>
  <si>
    <t>LU005385</t>
  </si>
  <si>
    <t>Electric Current and its Effects</t>
  </si>
  <si>
    <t>Symbols of Electric
Components</t>
  </si>
  <si>
    <t>LU005348</t>
  </si>
  <si>
    <t>LU005346</t>
  </si>
  <si>
    <t>Circuit Diagram</t>
  </si>
  <si>
    <t>LU005345</t>
  </si>
  <si>
    <t>Heating Effect of Electric Current</t>
  </si>
  <si>
    <t>LU005343</t>
  </si>
  <si>
    <t>Electric Fuses and MCBs</t>
  </si>
  <si>
    <t>LU005350</t>
  </si>
  <si>
    <t>LU005913</t>
  </si>
  <si>
    <t>Magnetic Effect of Electric Current</t>
  </si>
  <si>
    <t>LU005344</t>
  </si>
  <si>
    <t>Electromagnet and Electric Bell</t>
  </si>
  <si>
    <t>LU005347</t>
  </si>
  <si>
    <t>LU005349</t>
  </si>
  <si>
    <t>Light</t>
  </si>
  <si>
    <t>Mirrors and Types of Images</t>
  </si>
  <si>
    <t>LU005369</t>
  </si>
  <si>
    <t>LU005374</t>
  </si>
  <si>
    <t>LU005367</t>
  </si>
  <si>
    <t>Concave and Convex Mirror</t>
  </si>
  <si>
    <t>LU005920</t>
  </si>
  <si>
    <t>LU005922</t>
  </si>
  <si>
    <t>Lens</t>
  </si>
  <si>
    <t>LU005368</t>
  </si>
  <si>
    <t>LU005366</t>
  </si>
  <si>
    <t>LU005365</t>
  </si>
  <si>
    <t>Sunlight-white or coloured?</t>
  </si>
  <si>
    <t>LU005373</t>
  </si>
  <si>
    <t>Forests: Our Lifeline</t>
  </si>
  <si>
    <t>Structure of Forest</t>
  </si>
  <si>
    <t>LU005321</t>
  </si>
  <si>
    <t>LU005322</t>
  </si>
  <si>
    <t>Life inside the forest</t>
  </si>
  <si>
    <t>LU005964</t>
  </si>
  <si>
    <t>LU005323</t>
  </si>
  <si>
    <t>A life without forests?</t>
  </si>
  <si>
    <t>LU005324</t>
  </si>
  <si>
    <t>LU005325</t>
  </si>
  <si>
    <t>Wastewater Story</t>
  </si>
  <si>
    <t>Water: Our lifeline</t>
  </si>
  <si>
    <t>LU005339</t>
  </si>
  <si>
    <t>LU005865</t>
  </si>
  <si>
    <t>LU005866</t>
  </si>
  <si>
    <t>Water freshens up</t>
  </si>
  <si>
    <t>LU005338</t>
  </si>
  <si>
    <t>LU005342</t>
  </si>
  <si>
    <t>Wastewater Treatment Plant (WWTP)</t>
  </si>
  <si>
    <t>LU005340</t>
  </si>
  <si>
    <t>Better housekeeping practices</t>
  </si>
  <si>
    <t>LU005336</t>
  </si>
  <si>
    <t>LU005337</t>
  </si>
  <si>
    <t>LU005341</t>
  </si>
  <si>
    <t>Importance of drainage system and sanitization</t>
  </si>
  <si>
    <t>Crop Production and Management</t>
  </si>
  <si>
    <t xml:space="preserve"> Agricultural Practices
</t>
  </si>
  <si>
    <t>LU005614</t>
  </si>
  <si>
    <t>LU005615</t>
  </si>
  <si>
    <t xml:space="preserve">Soil preparation and sowing for crop production
</t>
  </si>
  <si>
    <t>LU005616</t>
  </si>
  <si>
    <t>LU005617</t>
  </si>
  <si>
    <t>Soil replenishment methods for crop production</t>
  </si>
  <si>
    <t>LU005618</t>
  </si>
  <si>
    <t>Different Ways of Soil Replenishment for Crop Production</t>
  </si>
  <si>
    <t>Irrigation methods for crop production</t>
  </si>
  <si>
    <t>LU005619</t>
  </si>
  <si>
    <t>Irrigation for crop production</t>
  </si>
  <si>
    <t>Crop protection, harvesting, and storage methods</t>
  </si>
  <si>
    <t>LU005620</t>
  </si>
  <si>
    <t>LU005621</t>
  </si>
  <si>
    <t>Microorganisms: Friend and Foe</t>
  </si>
  <si>
    <t>Using Microorganisms for Fermentation</t>
  </si>
  <si>
    <t>LU005635</t>
  </si>
  <si>
    <t>LU005645</t>
  </si>
  <si>
    <t>Role of Microbes in environment health</t>
  </si>
  <si>
    <t>LU005649</t>
  </si>
  <si>
    <t>LU005646</t>
  </si>
  <si>
    <t>Medicinal Uses of Microorganisms</t>
  </si>
  <si>
    <t>LU005643</t>
  </si>
  <si>
    <t>LU005647</t>
  </si>
  <si>
    <t>Harmful Microorganisms and food preservation methods</t>
  </si>
  <si>
    <t>LU005637</t>
  </si>
  <si>
    <t>LU005640</t>
  </si>
  <si>
    <t>Nitrogen Cycle</t>
  </si>
  <si>
    <t>LU005642</t>
  </si>
  <si>
    <t>Coal and Petroleum</t>
  </si>
  <si>
    <t>Resources in Nature</t>
  </si>
  <si>
    <t>LU005700</t>
  </si>
  <si>
    <t>Coal: Formation and Products</t>
  </si>
  <si>
    <t>LU005696</t>
  </si>
  <si>
    <t>LU005710</t>
  </si>
  <si>
    <t>Petroleum(formation and products)</t>
  </si>
  <si>
    <t>LU005707</t>
  </si>
  <si>
    <t xml:space="preserve"> 
LU005707.002</t>
  </si>
  <si>
    <t>LU005702</t>
  </si>
  <si>
    <t>Natural gas and Conservation of resources</t>
  </si>
  <si>
    <t>LU005697</t>
  </si>
  <si>
    <t>LU005705</t>
  </si>
  <si>
    <t>Combustion and Flame</t>
  </si>
  <si>
    <t>Combustion</t>
  </si>
  <si>
    <t>LU005683</t>
  </si>
  <si>
    <t>LU005694</t>
  </si>
  <si>
    <t>Requirements for combustion</t>
  </si>
  <si>
    <t>LU005692</t>
  </si>
  <si>
    <t>LU005691</t>
  </si>
  <si>
    <t>How Do We Control Fire?</t>
  </si>
  <si>
    <t>LU005685</t>
  </si>
  <si>
    <t>Types of Combustion</t>
  </si>
  <si>
    <t>LU005687</t>
  </si>
  <si>
    <t>Flame</t>
  </si>
  <si>
    <t>LU005678</t>
  </si>
  <si>
    <t>Fuel and its types</t>
  </si>
  <si>
    <t>LU005681</t>
  </si>
  <si>
    <t>Harmful Effects of Burning Fuels</t>
  </si>
  <si>
    <t>LU005703</t>
  </si>
  <si>
    <t>Conservation of Plants and Animals</t>
  </si>
  <si>
    <t>Deforestation causes and consequences</t>
  </si>
  <si>
    <t>LU005910</t>
  </si>
  <si>
    <t>LU005602</t>
  </si>
  <si>
    <t>LU005601</t>
  </si>
  <si>
    <t>Protected Areas</t>
  </si>
  <si>
    <t>LU005598</t>
  </si>
  <si>
    <t>Conservation of forest and wildlife</t>
  </si>
  <si>
    <t>LU005599</t>
  </si>
  <si>
    <t>LU005605</t>
  </si>
  <si>
    <t>LU005600</t>
  </si>
  <si>
    <t>National Parks and project tiger</t>
  </si>
  <si>
    <t>LU005603</t>
  </si>
  <si>
    <t>Extinct and endangered species (Red data book)and migration of animals</t>
  </si>
  <si>
    <t>LU005604</t>
  </si>
  <si>
    <t>LU005606</t>
  </si>
  <si>
    <t>Recycling of paper and reforestation</t>
  </si>
  <si>
    <t>LU005608</t>
  </si>
  <si>
    <t>LU005607</t>
  </si>
  <si>
    <t>Reproduction in Animals</t>
  </si>
  <si>
    <t>Reproduction and Its Significance</t>
  </si>
  <si>
    <t>LU005911</t>
  </si>
  <si>
    <t>Types of reproduction and asexual mode of reproduction in animals</t>
  </si>
  <si>
    <t>LU005966</t>
  </si>
  <si>
    <t>LU005968</t>
  </si>
  <si>
    <t>LU005661</t>
  </si>
  <si>
    <t>Reproductive System in Humans</t>
  </si>
  <si>
    <t>LU005659</t>
  </si>
  <si>
    <t>LU005658</t>
  </si>
  <si>
    <t>Fertilisation and Post-fertilisation events in Humans</t>
  </si>
  <si>
    <t>LU005660</t>
  </si>
  <si>
    <t>Reproductive Patterns</t>
  </si>
  <si>
    <t>LU005662</t>
  </si>
  <si>
    <t>LU005666</t>
  </si>
  <si>
    <t>LU005663</t>
  </si>
  <si>
    <t>Young ones to adults</t>
  </si>
  <si>
    <t>LU005665</t>
  </si>
  <si>
    <t>Reaching the age of Adolescence</t>
  </si>
  <si>
    <t>Adolescence and Puberty</t>
  </si>
  <si>
    <t>LU005654</t>
  </si>
  <si>
    <t>LU005653</t>
  </si>
  <si>
    <t>LU005656</t>
  </si>
  <si>
    <t>Reproductive phase and sex determination in humans</t>
  </si>
  <si>
    <t>LU005655</t>
  </si>
  <si>
    <t>LU005652</t>
  </si>
  <si>
    <t xml:space="preserve">Role of hormones (other than sex hormones) in humans, insects and frog </t>
  </si>
  <si>
    <t>LU005651</t>
  </si>
  <si>
    <t>Adolescent reproductive health</t>
  </si>
  <si>
    <t>LU005650</t>
  </si>
  <si>
    <t>Force and Pressure</t>
  </si>
  <si>
    <t>Introduction to force</t>
  </si>
  <si>
    <t>LU005179</t>
  </si>
  <si>
    <t>LU005548</t>
  </si>
  <si>
    <t>LU005537</t>
  </si>
  <si>
    <t>Effects of force</t>
  </si>
  <si>
    <t>LU005540</t>
  </si>
  <si>
    <t>LU005541</t>
  </si>
  <si>
    <t>Types of Force</t>
  </si>
  <si>
    <t>LU005538</t>
  </si>
  <si>
    <t>LU005539</t>
  </si>
  <si>
    <t>Introduction to Pressure</t>
  </si>
  <si>
    <t>LU005543</t>
  </si>
  <si>
    <t>LU005544</t>
  </si>
  <si>
    <t xml:space="preserve">Pressure Exerted by Gases
</t>
  </si>
  <si>
    <t>LU005915</t>
  </si>
  <si>
    <t>LU005546</t>
  </si>
  <si>
    <t>Friction</t>
  </si>
  <si>
    <t>Force of friction and the factors affecting it</t>
  </si>
  <si>
    <t>LU005551</t>
  </si>
  <si>
    <t>LU005562</t>
  </si>
  <si>
    <t>LU005552</t>
  </si>
  <si>
    <t>Types of Friction</t>
  </si>
  <si>
    <t>LU005557</t>
  </si>
  <si>
    <t>LU005558</t>
  </si>
  <si>
    <t xml:space="preserve"> Friction : A Friend</t>
  </si>
  <si>
    <t>LU005553</t>
  </si>
  <si>
    <t>LU005554</t>
  </si>
  <si>
    <t xml:space="preserve"> Friction : An Evil</t>
  </si>
  <si>
    <t>LU005555</t>
  </si>
  <si>
    <t>LU005556</t>
  </si>
  <si>
    <t>Fluid Friction</t>
  </si>
  <si>
    <t>LU005559</t>
  </si>
  <si>
    <t>LU005561</t>
  </si>
  <si>
    <t>Sound</t>
  </si>
  <si>
    <t>Vibration and Sound</t>
  </si>
  <si>
    <t>LU005572</t>
  </si>
  <si>
    <t>LU005573</t>
  </si>
  <si>
    <t>Production of Sound in Humans and Animals</t>
  </si>
  <si>
    <t>LU005574</t>
  </si>
  <si>
    <t>Propagation of Sound</t>
  </si>
  <si>
    <t>LU005575</t>
  </si>
  <si>
    <t>Hearing in Humans</t>
  </si>
  <si>
    <t>LU005576</t>
  </si>
  <si>
    <t>Characteristics of Sound</t>
  </si>
  <si>
    <t>LU005577</t>
  </si>
  <si>
    <t>LU005585</t>
  </si>
  <si>
    <t>LU005578</t>
  </si>
  <si>
    <t>Fundamentals of Sound Perception</t>
  </si>
  <si>
    <t>LU005579</t>
  </si>
  <si>
    <t>LU005580</t>
  </si>
  <si>
    <t>Noise Pollution: Causes, Impacts, and Solutions</t>
  </si>
  <si>
    <t>LU005581</t>
  </si>
  <si>
    <t>LU005582</t>
  </si>
  <si>
    <t>LU005583</t>
  </si>
  <si>
    <t>Chemical Effects of Electric Current</t>
  </si>
  <si>
    <t>Conduction through liquids</t>
  </si>
  <si>
    <t>LU005528</t>
  </si>
  <si>
    <t>LU005529</t>
  </si>
  <si>
    <t>Why Do Liquids Conduct Electricity?</t>
  </si>
  <si>
    <t>LU005530</t>
  </si>
  <si>
    <t>Chemical Effects of
Electric Current in Liquids</t>
  </si>
  <si>
    <t>LU005531</t>
  </si>
  <si>
    <t>Electroplating</t>
  </si>
  <si>
    <t>LU005533</t>
  </si>
  <si>
    <t>LU005532</t>
  </si>
  <si>
    <t>Some Natural Phenomenon</t>
  </si>
  <si>
    <t>Charges and their interaction</t>
  </si>
  <si>
    <t>LU005511</t>
  </si>
  <si>
    <t>LU005512</t>
  </si>
  <si>
    <t>Transfer of charge</t>
  </si>
  <si>
    <t>LU005513</t>
  </si>
  <si>
    <t>Lightning</t>
  </si>
  <si>
    <t>LU005515</t>
  </si>
  <si>
    <t>LU005521</t>
  </si>
  <si>
    <t>Lightening Safety</t>
  </si>
  <si>
    <t>LU005520</t>
  </si>
  <si>
    <t>LU005524</t>
  </si>
  <si>
    <t>Earthquakes and its Causes</t>
  </si>
  <si>
    <t>LU005516</t>
  </si>
  <si>
    <t>LU005522</t>
  </si>
  <si>
    <t>Measurement and effects of earthquakes</t>
  </si>
  <si>
    <t>LU005518</t>
  </si>
  <si>
    <t>LU005514</t>
  </si>
  <si>
    <t>Protection against Earthquakes</t>
  </si>
  <si>
    <t>LU005523</t>
  </si>
  <si>
    <t>Overview of Earthquake Effects (e.g., Ground Shaking, Tsunamis)</t>
  </si>
  <si>
    <t>LU005525</t>
  </si>
  <si>
    <t xml:space="preserve">Earthquake Preparedness and Safety Measures
</t>
  </si>
  <si>
    <t>Visibility and Reflection of Light</t>
  </si>
  <si>
    <t>LU005917</t>
  </si>
  <si>
    <t>LU005372</t>
  </si>
  <si>
    <t>Types of Reflection: Regular and Diffused Reflection</t>
  </si>
  <si>
    <t>LU005168</t>
  </si>
  <si>
    <t>Multiple Reflection: Principle and Applications</t>
  </si>
  <si>
    <t>LU005563</t>
  </si>
  <si>
    <t>LU005564</t>
  </si>
  <si>
    <t>Dispersion of Light</t>
  </si>
  <si>
    <t>LU005565</t>
  </si>
  <si>
    <t>Structure of Human Eye</t>
  </si>
  <si>
    <t>LU005566</t>
  </si>
  <si>
    <t>LU005567</t>
  </si>
  <si>
    <t>Working of Human Eye</t>
  </si>
  <si>
    <t>LU005568</t>
  </si>
  <si>
    <t>Aids for visually impaired people</t>
  </si>
  <si>
    <t>LU005570</t>
  </si>
  <si>
    <t>LU005571</t>
  </si>
  <si>
    <t>Matter in Our Surroundings</t>
  </si>
  <si>
    <t>Matter and its significance</t>
  </si>
  <si>
    <t>LU006081</t>
  </si>
  <si>
    <t>Matter and its general properties</t>
  </si>
  <si>
    <t>LU006196</t>
  </si>
  <si>
    <t>LU006197</t>
  </si>
  <si>
    <t>LU006198</t>
  </si>
  <si>
    <t>Three states of matter</t>
  </si>
  <si>
    <t>LU006199</t>
  </si>
  <si>
    <t>LU006200</t>
  </si>
  <si>
    <t>LU006201</t>
  </si>
  <si>
    <t>Comparison of the three states of matter</t>
  </si>
  <si>
    <t>LU005312</t>
  </si>
  <si>
    <t>Factors affecting state of matter</t>
  </si>
  <si>
    <t>LU006202</t>
  </si>
  <si>
    <t>LU006203</t>
  </si>
  <si>
    <t>Effect of temperature on state of matter</t>
  </si>
  <si>
    <t>LU006204</t>
  </si>
  <si>
    <t>LU006205</t>
  </si>
  <si>
    <t>LU006206</t>
  </si>
  <si>
    <t>Effect of pressure on state of matter</t>
  </si>
  <si>
    <t>LU006207</t>
  </si>
  <si>
    <t>Evaporation changing state of matter</t>
  </si>
  <si>
    <t>LU006209</t>
  </si>
  <si>
    <t>Is Matter Around Us Pure?</t>
  </si>
  <si>
    <t>Mixture and its types</t>
  </si>
  <si>
    <t>LU005299</t>
  </si>
  <si>
    <t>LU006082</t>
  </si>
  <si>
    <t>Concentration of solution</t>
  </si>
  <si>
    <t>LU006210</t>
  </si>
  <si>
    <t>LU006212</t>
  </si>
  <si>
    <t>Suspension and Colloids</t>
  </si>
  <si>
    <t>LU006215</t>
  </si>
  <si>
    <t>LU006216</t>
  </si>
  <si>
    <t>LU006218</t>
  </si>
  <si>
    <t>Comparison of different types of solution</t>
  </si>
  <si>
    <t>LU006219</t>
  </si>
  <si>
    <t>Chemical and Physical changes</t>
  </si>
  <si>
    <t>Elements and compounds</t>
  </si>
  <si>
    <t>LU006226</t>
  </si>
  <si>
    <t>LU006227</t>
  </si>
  <si>
    <t>Mixture and pure substances</t>
  </si>
  <si>
    <t>LU006228</t>
  </si>
  <si>
    <t>Atoms and Molecules</t>
  </si>
  <si>
    <t>Laws of Chemical Combination</t>
  </si>
  <si>
    <t>LU006374</t>
  </si>
  <si>
    <t>LU006375</t>
  </si>
  <si>
    <t>LU006376</t>
  </si>
  <si>
    <t xml:space="preserve">Atoms and Elements </t>
  </si>
  <si>
    <t>LU006377</t>
  </si>
  <si>
    <t>LU005503</t>
  </si>
  <si>
    <t>Chemical symbols of Elements</t>
  </si>
  <si>
    <t>Introduction to Atomic Mass</t>
  </si>
  <si>
    <t>LU006378</t>
  </si>
  <si>
    <t>Exploring Molecules and Ions</t>
  </si>
  <si>
    <t>LU006379</t>
  </si>
  <si>
    <t>LU005505</t>
  </si>
  <si>
    <t>Definition and common symbols of Ions</t>
  </si>
  <si>
    <t>Writing Chemical Formula</t>
  </si>
  <si>
    <t>LU006380</t>
  </si>
  <si>
    <t>LU006381</t>
  </si>
  <si>
    <t>Molecular Mass</t>
  </si>
  <si>
    <t>LU006382</t>
  </si>
  <si>
    <t>LU006383</t>
  </si>
  <si>
    <t xml:space="preserve">Structure of  Atom </t>
  </si>
  <si>
    <t xml:space="preserve">Structure of an Atom </t>
  </si>
  <si>
    <t>LU006385</t>
  </si>
  <si>
    <t>LU006386</t>
  </si>
  <si>
    <t>Rutherford Model</t>
  </si>
  <si>
    <t>LU006387</t>
  </si>
  <si>
    <t>Bohr's Model</t>
  </si>
  <si>
    <t>LU006388</t>
  </si>
  <si>
    <t>LU006389</t>
  </si>
  <si>
    <t>Distribution of Electrons in Different Orbits</t>
  </si>
  <si>
    <t>LU006390</t>
  </si>
  <si>
    <t>LU006391</t>
  </si>
  <si>
    <t xml:space="preserve">Atomic and Mass Number </t>
  </si>
  <si>
    <t>LU006392</t>
  </si>
  <si>
    <t>LU006393</t>
  </si>
  <si>
    <t>The Fundamental Unit of Life</t>
  </si>
  <si>
    <t>Smallest unit of Life</t>
  </si>
  <si>
    <t>LU006229</t>
  </si>
  <si>
    <t>LU005844</t>
  </si>
  <si>
    <t xml:space="preserve">Function of Plasma/Cell Membrane </t>
  </si>
  <si>
    <t>LU006230</t>
  </si>
  <si>
    <t>LU006231</t>
  </si>
  <si>
    <t>Function of Cell wall</t>
  </si>
  <si>
    <t>LU006232</t>
  </si>
  <si>
    <t>Nucleus and its significance</t>
  </si>
  <si>
    <t>LU005849</t>
  </si>
  <si>
    <t>LU006233</t>
  </si>
  <si>
    <t>Cytoplasm and basics of cell organelles.</t>
  </si>
  <si>
    <t>LU006234</t>
  </si>
  <si>
    <t>LU006235</t>
  </si>
  <si>
    <t>Golgi Apparatus and Lysosomes</t>
  </si>
  <si>
    <t>LU006236</t>
  </si>
  <si>
    <t>LU006237</t>
  </si>
  <si>
    <t>Cellular organelles-Mitochondria, Plastids, Vacuoles</t>
  </si>
  <si>
    <t>LU006238</t>
  </si>
  <si>
    <t>LU006239</t>
  </si>
  <si>
    <t>LU006240</t>
  </si>
  <si>
    <t>How does a cell divide?</t>
  </si>
  <si>
    <t>LU006241</t>
  </si>
  <si>
    <t>Tissues</t>
  </si>
  <si>
    <t>Variety of tissues</t>
  </si>
  <si>
    <t>LU006242</t>
  </si>
  <si>
    <t>LU006243</t>
  </si>
  <si>
    <t>Types of Plant Tissues</t>
  </si>
  <si>
    <t>LU006244</t>
  </si>
  <si>
    <t>LU006245</t>
  </si>
  <si>
    <t>Types of Simple Permanent Tissues</t>
  </si>
  <si>
    <t>LU006246</t>
  </si>
  <si>
    <t>Types of Complex Permanent Tissues</t>
  </si>
  <si>
    <t>LU006247</t>
  </si>
  <si>
    <t>Simple versus Complex Permanent Tissue</t>
  </si>
  <si>
    <t>LU006248</t>
  </si>
  <si>
    <t>Epithelial tissue and its types</t>
  </si>
  <si>
    <t>LU006249</t>
  </si>
  <si>
    <t>LU006250</t>
  </si>
  <si>
    <t>Connective tissue and its types</t>
  </si>
  <si>
    <t>LU006251</t>
  </si>
  <si>
    <t>LU006252</t>
  </si>
  <si>
    <t>Muscular tissues and Neuron</t>
  </si>
  <si>
    <t>LU006253</t>
  </si>
  <si>
    <t>LU006254</t>
  </si>
  <si>
    <t xml:space="preserve">Motion </t>
  </si>
  <si>
    <t>Motion and Reference Frames</t>
  </si>
  <si>
    <t>LU006316</t>
  </si>
  <si>
    <t>Basics of Motion</t>
  </si>
  <si>
    <t>LU006318</t>
  </si>
  <si>
    <t xml:space="preserve">Measuring the Rate of Motion </t>
  </si>
  <si>
    <t>LU006319</t>
  </si>
  <si>
    <t>LU006320</t>
  </si>
  <si>
    <t>Introduction to Acceleration</t>
  </si>
  <si>
    <t>LU006321</t>
  </si>
  <si>
    <t xml:space="preserve">Graphical Representation of Motion </t>
  </si>
  <si>
    <t>LU006087</t>
  </si>
  <si>
    <t>LU006322</t>
  </si>
  <si>
    <t>Equations of Motion</t>
  </si>
  <si>
    <t>LU006408</t>
  </si>
  <si>
    <t>LU006323</t>
  </si>
  <si>
    <t>LU006324</t>
  </si>
  <si>
    <t>Application of Equations of Motion</t>
  </si>
  <si>
    <t>LU006325</t>
  </si>
  <si>
    <t xml:space="preserve">Circular Motion </t>
  </si>
  <si>
    <t>LU006327</t>
  </si>
  <si>
    <t xml:space="preserve">Force and Laws of Motion </t>
  </si>
  <si>
    <t>Understanding Force</t>
  </si>
  <si>
    <t>LU006329</t>
  </si>
  <si>
    <t xml:space="preserve">Newton's First Law of Motion </t>
  </si>
  <si>
    <t>LU006330</t>
  </si>
  <si>
    <t>LU006331</t>
  </si>
  <si>
    <t>LU006332</t>
  </si>
  <si>
    <t xml:space="preserve">Newton's Second Law of Motion </t>
  </si>
  <si>
    <t>LU006333</t>
  </si>
  <si>
    <t>LU006334</t>
  </si>
  <si>
    <t xml:space="preserve">Newton's Third Law of Motion </t>
  </si>
  <si>
    <t>LU006335</t>
  </si>
  <si>
    <t xml:space="preserve">Gravitation </t>
  </si>
  <si>
    <t xml:space="preserve">Gravitational Force </t>
  </si>
  <si>
    <t>LU006338</t>
  </si>
  <si>
    <t>LU006339</t>
  </si>
  <si>
    <t xml:space="preserve">Universal Law of Gravitation </t>
  </si>
  <si>
    <t>LU006340</t>
  </si>
  <si>
    <t>LU006341</t>
  </si>
  <si>
    <t>Acceleration due to Gravity</t>
  </si>
  <si>
    <t>LU006342</t>
  </si>
  <si>
    <t>LU006343</t>
  </si>
  <si>
    <t>LU006344</t>
  </si>
  <si>
    <t>Motion of Objects Under Gravity</t>
  </si>
  <si>
    <t>LU006345</t>
  </si>
  <si>
    <t>Mass and Weight</t>
  </si>
  <si>
    <t>LU006346</t>
  </si>
  <si>
    <t>LU006347</t>
  </si>
  <si>
    <t xml:space="preserve">Thrust and Pressure </t>
  </si>
  <si>
    <t>LU006348</t>
  </si>
  <si>
    <t xml:space="preserve">Buoyancy </t>
  </si>
  <si>
    <t>LU006349</t>
  </si>
  <si>
    <t>LU006350</t>
  </si>
  <si>
    <t>LU006351</t>
  </si>
  <si>
    <t xml:space="preserve">Work and Energy </t>
  </si>
  <si>
    <t>Work Done by a Constant Force</t>
  </si>
  <si>
    <t>LU006353</t>
  </si>
  <si>
    <t>LU006354</t>
  </si>
  <si>
    <t xml:space="preserve">Understanding Kinetic Energy </t>
  </si>
  <si>
    <t>LU005897</t>
  </si>
  <si>
    <t>LU006355</t>
  </si>
  <si>
    <t>Understanding Potential Energy</t>
  </si>
  <si>
    <t>LU006356</t>
  </si>
  <si>
    <t>LU006357</t>
  </si>
  <si>
    <t xml:space="preserve">Conservation of Energy </t>
  </si>
  <si>
    <t>LU006359</t>
  </si>
  <si>
    <t>Power</t>
  </si>
  <si>
    <t>LU006360</t>
  </si>
  <si>
    <t>Production of Sound</t>
  </si>
  <si>
    <t>LU006362</t>
  </si>
  <si>
    <t>LU006363</t>
  </si>
  <si>
    <t>LU006364</t>
  </si>
  <si>
    <t xml:space="preserve">Graphical Representation of Sound Wave </t>
  </si>
  <si>
    <t>LU006365</t>
  </si>
  <si>
    <t>LU006366</t>
  </si>
  <si>
    <t>LU006367</t>
  </si>
  <si>
    <t xml:space="preserve">Exploring Characteristics of Sound Wave </t>
  </si>
  <si>
    <t>LU006368</t>
  </si>
  <si>
    <t>LU006369</t>
  </si>
  <si>
    <t>LU006370</t>
  </si>
  <si>
    <t xml:space="preserve">Reflection of Sound Wave </t>
  </si>
  <si>
    <t>LU005916</t>
  </si>
  <si>
    <t>LU006371</t>
  </si>
  <si>
    <t>Ultrasound and Infrasound</t>
  </si>
  <si>
    <t>LU006372</t>
  </si>
  <si>
    <t>LU006373</t>
  </si>
  <si>
    <t>Improvement in Food Resources</t>
  </si>
  <si>
    <t>Need  of Better Crops</t>
  </si>
  <si>
    <t>LU006296</t>
  </si>
  <si>
    <t>LU006297</t>
  </si>
  <si>
    <t>Nutrient management for Crops</t>
  </si>
  <si>
    <t>LU006298</t>
  </si>
  <si>
    <t>LU006299</t>
  </si>
  <si>
    <t>Organic farming and cropping patterns</t>
  </si>
  <si>
    <t>LU006301</t>
  </si>
  <si>
    <t>Irrigation practices</t>
  </si>
  <si>
    <t>LU006302</t>
  </si>
  <si>
    <t>Crop protection strategies</t>
  </si>
  <si>
    <t>LU006304</t>
  </si>
  <si>
    <t>LU006306</t>
  </si>
  <si>
    <t>Animal husbandry and Cattle farming</t>
  </si>
  <si>
    <t>LU006307</t>
  </si>
  <si>
    <t>Poultry Farming</t>
  </si>
  <si>
    <t>LU006310</t>
  </si>
  <si>
    <t>Fish production and Bee keeping</t>
  </si>
  <si>
    <t>LU006312</t>
  </si>
  <si>
    <t>LU006315</t>
  </si>
  <si>
    <t xml:space="preserve">Biology </t>
  </si>
  <si>
    <t>Life Processes</t>
  </si>
  <si>
    <t>What are Life Processes?</t>
  </si>
  <si>
    <t>LU006445</t>
  </si>
  <si>
    <t>Autotrophic Nutrition</t>
  </si>
  <si>
    <t>LU006446</t>
  </si>
  <si>
    <t>Heterotrophic Nutrition</t>
  </si>
  <si>
    <t>LU006447</t>
  </si>
  <si>
    <t>Human Digestive System: From Mouth to Stomach</t>
  </si>
  <si>
    <t>LU006448</t>
  </si>
  <si>
    <t>LU006450</t>
  </si>
  <si>
    <t>Role of Digestive Juices and the Intestines</t>
  </si>
  <si>
    <t>LU006449</t>
  </si>
  <si>
    <t>Cellular Respiration and Gas Exchange in Plants</t>
  </si>
  <si>
    <t>LU006451</t>
  </si>
  <si>
    <t>LU006452</t>
  </si>
  <si>
    <t>Gas Exchange in Animals</t>
  </si>
  <si>
    <t>LU006453</t>
  </si>
  <si>
    <t>LU006454</t>
  </si>
  <si>
    <t>Human Circulatory System-Heart</t>
  </si>
  <si>
    <t>LU006585</t>
  </si>
  <si>
    <t>LU006455</t>
  </si>
  <si>
    <t>Blood Circulation</t>
  </si>
  <si>
    <t>LU006456</t>
  </si>
  <si>
    <t>Human Circulatory System-Blood and Blood Pressure</t>
  </si>
  <si>
    <t>LU006457</t>
  </si>
  <si>
    <t>LU006458</t>
  </si>
  <si>
    <t xml:space="preserve">Transportation of Water and Nutrients in Plants </t>
  </si>
  <si>
    <t>LU006460</t>
  </si>
  <si>
    <t>LU006461</t>
  </si>
  <si>
    <t xml:space="preserve">Urine Formation and Dialysis in Humans </t>
  </si>
  <si>
    <t>LU006115</t>
  </si>
  <si>
    <t>LU006462</t>
  </si>
  <si>
    <t>LU006170</t>
  </si>
  <si>
    <t>Excretion in Plants</t>
  </si>
  <si>
    <t>LU006463</t>
  </si>
  <si>
    <t>Control and Coordination</t>
  </si>
  <si>
    <t>Human Nervous System-Fundamentals</t>
  </si>
  <si>
    <t>LU006464</t>
  </si>
  <si>
    <t>LU006465</t>
  </si>
  <si>
    <t>Human Brain and Body Actions</t>
  </si>
  <si>
    <t>LU006466</t>
  </si>
  <si>
    <t>LU006467</t>
  </si>
  <si>
    <t>Movement in Plants</t>
  </si>
  <si>
    <t>LU006468</t>
  </si>
  <si>
    <t>LU006469</t>
  </si>
  <si>
    <t>LU006470</t>
  </si>
  <si>
    <t>Hormones in Humans</t>
  </si>
  <si>
    <t>LU006471</t>
  </si>
  <si>
    <t>How do Organisms Reproduce?</t>
  </si>
  <si>
    <t>Similar and Not Identical</t>
  </si>
  <si>
    <t>LU006472</t>
  </si>
  <si>
    <t>Modes of Asexual Reproduction in Organisms</t>
  </si>
  <si>
    <t>LU006473</t>
  </si>
  <si>
    <t>Asexual Reproduction in Plants</t>
  </si>
  <si>
    <t>Tissue Culture and Sporulation in Fungi</t>
  </si>
  <si>
    <t>LU006474</t>
  </si>
  <si>
    <t xml:space="preserve">Sexual Reproduction and Variation in plants  </t>
  </si>
  <si>
    <t>LU006475</t>
  </si>
  <si>
    <t>LU006476</t>
  </si>
  <si>
    <t xml:space="preserve">Sexual Maturation in humans </t>
  </si>
  <si>
    <t>LU006477</t>
  </si>
  <si>
    <t xml:space="preserve">Gametes formation to birth in humans </t>
  </si>
  <si>
    <t>LU006478</t>
  </si>
  <si>
    <t>LU006479</t>
  </si>
  <si>
    <t>Menstrual Cycle and Reproductive Health</t>
  </si>
  <si>
    <t>LU006480</t>
  </si>
  <si>
    <t>LU006481</t>
  </si>
  <si>
    <t xml:space="preserve">Heredity </t>
  </si>
  <si>
    <t>Variations in Population</t>
  </si>
  <si>
    <t>LU006482</t>
  </si>
  <si>
    <t>Mendelian Genetics</t>
  </si>
  <si>
    <t>LU006485</t>
  </si>
  <si>
    <t>LU006486</t>
  </si>
  <si>
    <t>Traits Expression</t>
  </si>
  <si>
    <t>LU006487</t>
  </si>
  <si>
    <t>LU006488</t>
  </si>
  <si>
    <t xml:space="preserve">Sex Determination </t>
  </si>
  <si>
    <t>Our Environment</t>
  </si>
  <si>
    <t>Ecosystem and its Components</t>
  </si>
  <si>
    <t>LU006489</t>
  </si>
  <si>
    <t>Food Chain and Food Webs</t>
  </si>
  <si>
    <t>LU006490</t>
  </si>
  <si>
    <t>LU006491</t>
  </si>
  <si>
    <t>Human Activities and Environment</t>
  </si>
  <si>
    <t>LU006492</t>
  </si>
  <si>
    <t>LU006493</t>
  </si>
  <si>
    <t xml:space="preserve">Light - Reflection and Refraction </t>
  </si>
  <si>
    <t>Introduction to Spherical Mirror</t>
  </si>
  <si>
    <t>LU006582</t>
  </si>
  <si>
    <t>LU006494</t>
  </si>
  <si>
    <t>Image Formation by Spherical Mirrors</t>
  </si>
  <si>
    <t>LU005921</t>
  </si>
  <si>
    <t>LU005923</t>
  </si>
  <si>
    <t>Sign Convention and Mirror Formula</t>
  </si>
  <si>
    <t>LU006495</t>
  </si>
  <si>
    <t>LU006496</t>
  </si>
  <si>
    <t>Introduction to Refraction of Light</t>
  </si>
  <si>
    <t>LU005586</t>
  </si>
  <si>
    <t>LU006497</t>
  </si>
  <si>
    <t>LU005590</t>
  </si>
  <si>
    <t>Refraction by spherical lenses</t>
  </si>
  <si>
    <t>LU006583</t>
  </si>
  <si>
    <t>Image Formation by Lenses</t>
  </si>
  <si>
    <t>LU005596</t>
  </si>
  <si>
    <t>LU005597</t>
  </si>
  <si>
    <t>Lens Formula and Power of Lens</t>
  </si>
  <si>
    <t>LU006581</t>
  </si>
  <si>
    <t>LU006498</t>
  </si>
  <si>
    <t>The Human Eye and the Colourful World</t>
  </si>
  <si>
    <t>Function of Human Eye</t>
  </si>
  <si>
    <t>LU006499</t>
  </si>
  <si>
    <t>LU006584</t>
  </si>
  <si>
    <t>Power of Accommodation of Eye lens</t>
  </si>
  <si>
    <t>Defects of Vision and Their Correction</t>
  </si>
  <si>
    <t>LU006500</t>
  </si>
  <si>
    <t>Refraction and Dispersion by Prism</t>
  </si>
  <si>
    <t>LU006501</t>
  </si>
  <si>
    <t>LU006502</t>
  </si>
  <si>
    <t>LU006503</t>
  </si>
  <si>
    <t>Atmospheric Refraction</t>
  </si>
  <si>
    <t>LU006504</t>
  </si>
  <si>
    <t>LU006505</t>
  </si>
  <si>
    <t>Electricity</t>
  </si>
  <si>
    <t>Introduction to Electric Current and Potential</t>
  </si>
  <si>
    <t>LU006147</t>
  </si>
  <si>
    <t>LU006507</t>
  </si>
  <si>
    <t>LU006508</t>
  </si>
  <si>
    <t>Ohm's Law</t>
  </si>
  <si>
    <t>LU006509</t>
  </si>
  <si>
    <t>Resistance and Resistivity</t>
  </si>
  <si>
    <t>LU006510</t>
  </si>
  <si>
    <t>LU006511</t>
  </si>
  <si>
    <t>System of Resistors</t>
  </si>
  <si>
    <t>LU006513</t>
  </si>
  <si>
    <t>LU006514</t>
  </si>
  <si>
    <t>LU006515</t>
  </si>
  <si>
    <t>LU006516</t>
  </si>
  <si>
    <t>Electric Power</t>
  </si>
  <si>
    <t>LU006517</t>
  </si>
  <si>
    <t>Magnetic Effects of Electric Current</t>
  </si>
  <si>
    <t>Magnetic Field and Field Lines</t>
  </si>
  <si>
    <t>LU006518</t>
  </si>
  <si>
    <t>LU006519</t>
  </si>
  <si>
    <t>Magnetic Field Due to Loop and Solenoid</t>
  </si>
  <si>
    <t>LU006520</t>
  </si>
  <si>
    <t>LU006521</t>
  </si>
  <si>
    <t>LU006522</t>
  </si>
  <si>
    <t xml:space="preserve">Magnetic Force </t>
  </si>
  <si>
    <t>LU006523</t>
  </si>
  <si>
    <t>Exploring Domestic Circuits</t>
  </si>
  <si>
    <t>LU006524</t>
  </si>
  <si>
    <t>Chemical Reactions and Equations</t>
  </si>
  <si>
    <t>Writing Chemical Reactions and Equations</t>
  </si>
  <si>
    <t>LU006529</t>
  </si>
  <si>
    <t>Balancing Chemical Equations</t>
  </si>
  <si>
    <t>LU005506</t>
  </si>
  <si>
    <t>LU006530</t>
  </si>
  <si>
    <t>Combination and Decomposition Reactions</t>
  </si>
  <si>
    <t>LU006531</t>
  </si>
  <si>
    <t>LU006532</t>
  </si>
  <si>
    <t>LU006533</t>
  </si>
  <si>
    <t xml:space="preserve">Displacement and Double Displacement Reactions </t>
  </si>
  <si>
    <t>LU006534</t>
  </si>
  <si>
    <t>LU006535</t>
  </si>
  <si>
    <t>Redox Reactions and Their Effects</t>
  </si>
  <si>
    <t>LU006536</t>
  </si>
  <si>
    <t>LU006537</t>
  </si>
  <si>
    <t>Acids, Bases and Salts</t>
  </si>
  <si>
    <t>Indicators and Their Types</t>
  </si>
  <si>
    <t>LU006538</t>
  </si>
  <si>
    <t>LU006539</t>
  </si>
  <si>
    <t>Chemical Reactions of Acids and Bases</t>
  </si>
  <si>
    <t>LU006540</t>
  </si>
  <si>
    <t>LU006541</t>
  </si>
  <si>
    <t>LU006542</t>
  </si>
  <si>
    <t>Conductivity and Strength of Acids and Bases</t>
  </si>
  <si>
    <t>LU006543</t>
  </si>
  <si>
    <t>LU006544</t>
  </si>
  <si>
    <t>Importance of pH in everyday life</t>
  </si>
  <si>
    <t>LU006545</t>
  </si>
  <si>
    <t>Nomenclature and Formation of Salts</t>
  </si>
  <si>
    <t>LU006546</t>
  </si>
  <si>
    <t>Chlor-alkali process</t>
  </si>
  <si>
    <t>LU006547</t>
  </si>
  <si>
    <t>Chemicals from Common Salt</t>
  </si>
  <si>
    <t>LU006548</t>
  </si>
  <si>
    <t>LU006549</t>
  </si>
  <si>
    <t>LU006550</t>
  </si>
  <si>
    <t>Water of Crystallisation</t>
  </si>
  <si>
    <t>LU006551</t>
  </si>
  <si>
    <t>Metals and Non-Metals</t>
  </si>
  <si>
    <t>Physical Properties of Metals and Non-metals</t>
  </si>
  <si>
    <t>LU005877</t>
  </si>
  <si>
    <t>LU006552</t>
  </si>
  <si>
    <t>Chemical behaviour of metals towards air</t>
  </si>
  <si>
    <t>LU006553</t>
  </si>
  <si>
    <t>LU006554</t>
  </si>
  <si>
    <t>Reaction of Metals and Their Oxides with Water</t>
  </si>
  <si>
    <t>LU006555</t>
  </si>
  <si>
    <t>LU006556</t>
  </si>
  <si>
    <t>Displacement Reaction of Metals</t>
  </si>
  <si>
    <t>LU006557</t>
  </si>
  <si>
    <t>LU006558</t>
  </si>
  <si>
    <t>Reaction of Metals and Non-metals</t>
  </si>
  <si>
    <t>LU006559</t>
  </si>
  <si>
    <t>LU006560</t>
  </si>
  <si>
    <t>Occurence of metals</t>
  </si>
  <si>
    <t>LU006561</t>
  </si>
  <si>
    <t>Extraction of metals</t>
  </si>
  <si>
    <t>LU006562</t>
  </si>
  <si>
    <t>LU006563</t>
  </si>
  <si>
    <t>LU006564</t>
  </si>
  <si>
    <t>Refining  of metals</t>
  </si>
  <si>
    <t>LU006565</t>
  </si>
  <si>
    <t>Corrosion</t>
  </si>
  <si>
    <t>LU006566</t>
  </si>
  <si>
    <t>Carbon and its Compounds</t>
  </si>
  <si>
    <t>Covalent Bond</t>
  </si>
  <si>
    <t>LU006567</t>
  </si>
  <si>
    <t>Versatile Nature of Carbon</t>
  </si>
  <si>
    <t>LU006568</t>
  </si>
  <si>
    <t>LU006569</t>
  </si>
  <si>
    <t>Bonding in Carbon</t>
  </si>
  <si>
    <t>LU006570</t>
  </si>
  <si>
    <t>LU006571</t>
  </si>
  <si>
    <t>Functional Groups and Homologous Series</t>
  </si>
  <si>
    <t>LU006572</t>
  </si>
  <si>
    <t>LU006573</t>
  </si>
  <si>
    <t>Nomenclature of Organic Compounds</t>
  </si>
  <si>
    <t>LU006574</t>
  </si>
  <si>
    <t>Chemical Properties of Carbon Compounds</t>
  </si>
  <si>
    <t>LU006575</t>
  </si>
  <si>
    <t>LU006576</t>
  </si>
  <si>
    <t>LU006577</t>
  </si>
  <si>
    <t>Compounds of Carbon</t>
  </si>
  <si>
    <t>LU006578</t>
  </si>
  <si>
    <t>LU006579</t>
  </si>
  <si>
    <t xml:space="preserve">Soaps and Detergents </t>
  </si>
  <si>
    <t>LU006580</t>
  </si>
  <si>
    <t>Introduction to photosynthesis process in plants</t>
  </si>
  <si>
    <t>g6 and g7</t>
  </si>
  <si>
    <t>Definition of human digestive system</t>
  </si>
  <si>
    <t>g7 and g10</t>
  </si>
  <si>
    <t>Absorption in the Small Intestine and large intestine</t>
  </si>
  <si>
    <t>Chapter Name</t>
  </si>
  <si>
    <t>LU ID</t>
  </si>
  <si>
    <t>LU Name</t>
  </si>
  <si>
    <t>Removing From Course</t>
  </si>
  <si>
    <t>Creation Required on L1</t>
  </si>
  <si>
    <t>Remark</t>
  </si>
  <si>
    <t>Repeated LUs</t>
  </si>
  <si>
    <t>LU001432</t>
  </si>
  <si>
    <t>Shape of the curve of a quadratic polynomial equation</t>
  </si>
  <si>
    <t>Yes</t>
  </si>
  <si>
    <t>Yes (4 Questions)</t>
  </si>
  <si>
    <t xml:space="preserve">G9 and </t>
  </si>
  <si>
    <t>TBD whether we need to combine both LUs or not based on the question availability of the questions</t>
  </si>
  <si>
    <t>LU001475</t>
  </si>
  <si>
    <t>Introduction to similar figures</t>
  </si>
  <si>
    <t>LU001488</t>
  </si>
  <si>
    <t>Distance between two points in a 2D plane using Pythagoras' theorem</t>
  </si>
  <si>
    <t>LU001502</t>
  </si>
  <si>
    <t>Trigonometric ratios of an acute angle: Sine</t>
  </si>
  <si>
    <t>LU001503</t>
  </si>
  <si>
    <t>Trigonometric ratios of an acute angle: Cosine</t>
  </si>
  <si>
    <t>LU001504</t>
  </si>
  <si>
    <t>Trigonometric ratios of an acute angle: Tangent</t>
  </si>
  <si>
    <t>LU005391
LU005394</t>
  </si>
  <si>
    <t>G7 and G10</t>
  </si>
  <si>
    <t>LU001505</t>
  </si>
  <si>
    <t>Trigonometric ratios of an acute angle: Cosecant</t>
  </si>
  <si>
    <t>G6 and G7</t>
  </si>
  <si>
    <t>LU001506</t>
  </si>
  <si>
    <t>Trigonometric ratios of an acute angle: Secant</t>
  </si>
  <si>
    <t>LU001507</t>
  </si>
  <si>
    <t>Trigonometric ratios of an acute angle: Cotangent</t>
  </si>
  <si>
    <t>LU001517</t>
  </si>
  <si>
    <t>Angle of elevation</t>
  </si>
  <si>
    <t>LU005493
LU005494</t>
  </si>
  <si>
    <t>G7 and G9</t>
  </si>
  <si>
    <t>LU001518</t>
  </si>
  <si>
    <t>Angle of depression</t>
  </si>
  <si>
    <t>LU000616</t>
  </si>
  <si>
    <t>Definition and elements (class interval, lower class limit, upper class limit, class mark) of grouped frequency distribution table</t>
  </si>
  <si>
    <t>LU000930</t>
  </si>
  <si>
    <t>Interpretation of grouped frequency distribution table</t>
  </si>
  <si>
    <t>LU001545</t>
  </si>
  <si>
    <t>Conversion of ungrouped data into grouped data</t>
  </si>
  <si>
    <t>LU001549</t>
  </si>
  <si>
    <t>Definition of modal class and its related terms</t>
  </si>
  <si>
    <t>LU001553</t>
  </si>
  <si>
    <t>Definition of median class and its related terms</t>
  </si>
  <si>
    <t>COUNTUNIQUE of Topic</t>
  </si>
  <si>
    <t>COUNTUNIQUE of LUID</t>
  </si>
  <si>
    <t>No. of topics</t>
  </si>
  <si>
    <t>No. of LUs</t>
  </si>
  <si>
    <t>COUNTA of LUID</t>
  </si>
  <si>
    <t>Ganit Prakash</t>
  </si>
  <si>
    <t>Curiosity</t>
  </si>
  <si>
    <t>Math Total</t>
  </si>
  <si>
    <t>Grand Total</t>
  </si>
  <si>
    <t>Maths Total</t>
  </si>
  <si>
    <t>Class 8 Total</t>
  </si>
  <si>
    <t>Topic-LU Count</t>
  </si>
  <si>
    <t>Science</t>
  </si>
  <si>
    <t xml:space="preserve"> Total</t>
  </si>
  <si>
    <t>NCERT Curiosity 2025 Total</t>
  </si>
  <si>
    <t>NCERT Ganita Prakash 2025 Total</t>
  </si>
  <si>
    <t>(blank)</t>
  </si>
  <si>
    <t>(blank)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</si>
</sst>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3">
    <font>
      <sz val="10"/>
      <color rgb="FF000000"/>
      <name val="Arial"/>
      <scheme val="minor"/>
    </font>
    <font>
      <b/>
      <sz val="10"/>
      <color theme="1"/>
      <name val="Arial"/>
    </font>
    <font>
      <b/>
      <sz val="10"/>
      <color rgb="FF000000"/>
      <name val="Arial"/>
    </font>
    <font>
      <sz val="10"/>
      <color theme="1"/>
      <name val="Arial"/>
      <scheme val="minor"/>
    </font>
    <font>
      <sz val="10"/>
      <color theme="1"/>
      <name val="Arial"/>
    </font>
    <font>
      <sz val="9"/>
      <color rgb="FF000000"/>
      <name val="&quot;Google Sans Mono&quot;"/>
    </font>
    <font>
      <sz val="12"/>
      <color theme="1"/>
      <name val="Times New Roman"/>
    </font>
    <font>
      <sz val="12"/>
      <color theme="1"/>
      <name val="Calibri"/>
    </font>
    <font>
      <sz val="10"/>
      <color rgb="FF1F1F1F"/>
      <name val="Arial"/>
      <scheme val="minor"/>
    </font>
    <font>
      <sz val="10"/>
      <color rgb="FF000000"/>
      <name val="Arial"/>
    </font>
    <font>
      <b/>
      <sz val="11"/>
      <color rgb="FF000000"/>
      <name val="Arial"/>
    </font>
    <font>
      <b/>
      <sz val="11"/>
      <color rgb="FF000000"/>
      <name val="Arial"/>
      <scheme val="minor"/>
    </font>
    <font>
      <sz val="11"/>
      <color rgb="FF000000"/>
      <name val="Arial"/>
      <scheme val="minor"/>
    </font>
    <font>
      <sz val="11"/>
      <color rgb="FF000000"/>
      <name val="Times New Roman"/>
    </font>
    <font>
      <sz val="11"/>
      <color rgb="FF000000"/>
      <name val="Arial"/>
    </font>
    <font>
      <sz val="11"/>
      <color rgb="FF444746"/>
      <name val="&quot;Google Sans&quot;"/>
    </font>
    <font>
      <sz val="11"/>
      <color theme="1"/>
      <name val="Arial"/>
      <scheme val="minor"/>
    </font>
    <font>
      <sz val="11"/>
      <color rgb="FF000000"/>
      <name val="Calibri"/>
    </font>
    <font>
      <sz val="9"/>
      <color theme="1"/>
      <name val="Google Sans Mono"/>
    </font>
    <font>
      <b/>
      <sz val="12"/>
      <color theme="1"/>
      <name val="Arial"/>
    </font>
    <font>
      <sz val="11"/>
      <color theme="1"/>
      <name val="Times New Roman"/>
    </font>
    <font>
      <sz val="10"/>
      <name val="Arial"/>
    </font>
    <font>
      <b/>
      <sz val="10"/>
      <color theme="1"/>
      <name val="Arial"/>
      <scheme val="minor"/>
    </font>
  </fonts>
  <fills count="21">
    <fill>
      <patternFill patternType="none"/>
    </fill>
    <fill>
      <patternFill patternType="gray125"/>
    </fill>
    <fill>
      <patternFill patternType="solid">
        <fgColor rgb="FFD9EAD3"/>
        <bgColor rgb="FFD9EAD3"/>
      </patternFill>
    </fill>
    <fill>
      <patternFill patternType="solid">
        <fgColor rgb="FFFFFFFF"/>
        <bgColor rgb="FFFFFFFF"/>
      </patternFill>
    </fill>
    <fill>
      <patternFill patternType="solid">
        <fgColor rgb="FFF6B26B"/>
        <bgColor rgb="FFF6B26B"/>
      </patternFill>
    </fill>
    <fill>
      <patternFill patternType="solid">
        <fgColor rgb="FFE06666"/>
        <bgColor rgb="FFE06666"/>
      </patternFill>
    </fill>
    <fill>
      <patternFill patternType="solid">
        <fgColor rgb="FF00FF00"/>
        <bgColor rgb="FF00FF00"/>
      </patternFill>
    </fill>
    <fill>
      <patternFill patternType="solid">
        <fgColor rgb="FFEA9999"/>
        <bgColor rgb="FFEA9999"/>
      </patternFill>
    </fill>
    <fill>
      <patternFill patternType="solid">
        <fgColor rgb="FFFF0000"/>
        <bgColor rgb="FFFF0000"/>
      </patternFill>
    </fill>
    <fill>
      <patternFill patternType="solid">
        <fgColor rgb="FF00FFFF"/>
        <bgColor rgb="FF00FFFF"/>
      </patternFill>
    </fill>
    <fill>
      <patternFill patternType="solid">
        <fgColor rgb="FFFF00FF"/>
        <bgColor rgb="FFFF00FF"/>
      </patternFill>
    </fill>
    <fill>
      <patternFill patternType="solid">
        <fgColor rgb="FFD5A6BD"/>
        <bgColor rgb="FFD5A6BD"/>
      </patternFill>
    </fill>
    <fill>
      <patternFill patternType="solid">
        <fgColor rgb="FFA4C2F4"/>
        <bgColor rgb="FFA4C2F4"/>
      </patternFill>
    </fill>
    <fill>
      <patternFill patternType="solid">
        <fgColor rgb="FFF9CB9C"/>
        <bgColor rgb="FFF9CB9C"/>
      </patternFill>
    </fill>
    <fill>
      <patternFill patternType="solid">
        <fgColor rgb="FFC9DAF8"/>
        <bgColor rgb="FFC9DAF8"/>
      </patternFill>
    </fill>
    <fill>
      <patternFill patternType="solid">
        <fgColor rgb="FFF3F3F3"/>
        <bgColor rgb="FFF3F3F3"/>
      </patternFill>
    </fill>
    <fill>
      <patternFill patternType="solid">
        <fgColor rgb="FFFFFF00"/>
        <bgColor rgb="FFFFFF00"/>
      </patternFill>
    </fill>
    <fill>
      <patternFill patternType="solid">
        <fgColor rgb="FF46BDC6"/>
        <bgColor rgb="FF46BDC6"/>
      </patternFill>
    </fill>
    <fill>
      <patternFill patternType="solid">
        <fgColor rgb="FFFF9900"/>
        <bgColor rgb="FFFF9900"/>
      </patternFill>
    </fill>
    <fill>
      <patternFill patternType="solid">
        <fgColor rgb="FFCFE2F3"/>
        <bgColor rgb="FFCFE2F3"/>
      </patternFill>
    </fill>
    <fill>
      <patternFill patternType="solid">
        <fgColor rgb="FFB6D7A8"/>
        <bgColor rgb="FFB6D7A8"/>
      </patternFill>
    </fill>
  </fills>
  <borders count="17">
    <border>
      <left/>
      <right/>
      <top/>
      <bottom/>
      <diagonal/>
    </border>
    <border>
      <left style="double">
        <color rgb="FF000000"/>
      </left>
      <right style="double">
        <color rgb="FF000000"/>
      </right>
      <top style="double">
        <color rgb="FF000000"/>
      </top>
      <bottom style="double">
        <color rgb="FF000000"/>
      </bottom>
      <diagonal/>
    </border>
    <border>
      <left/>
      <right style="thin">
        <color rgb="FF000000"/>
      </right>
      <top/>
      <bottom/>
      <diagonal/>
    </border>
    <border>
      <left/>
      <right/>
      <top style="thin">
        <color rgb="FFFFFFFF"/>
      </top>
      <bottom style="thick">
        <color rgb="FF8093B3"/>
      </bottom>
      <diagonal/>
    </border>
    <border>
      <left style="thin">
        <color rgb="FF000000"/>
      </left>
      <right style="thin">
        <color rgb="FF000000"/>
      </right>
      <top style="thin">
        <color rgb="FF000000"/>
      </top>
      <bottom style="thin">
        <color rgb="FF000000"/>
      </bottom>
      <diagonal/>
    </border>
    <border>
      <left style="thin">
        <color rgb="FF000000"/>
      </left>
      <right/>
      <top/>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999999"/>
      </left>
      <right/>
      <top style="thin">
        <color rgb="FF999999"/>
      </top>
      <bottom/>
      <diagonal/>
    </border>
    <border>
      <left style="thin">
        <color rgb="FF999999"/>
      </left>
      <right style="thin">
        <color rgb="FF999999"/>
      </right>
      <top style="thin">
        <color rgb="FF999999"/>
      </top>
      <bottom/>
      <diagonal/>
    </border>
    <border>
      <left style="thin">
        <color rgb="FF999999"/>
      </left>
      <right/>
      <top style="thin">
        <color indexed="65"/>
      </top>
      <bottom/>
      <diagonal/>
    </border>
    <border>
      <left style="thin">
        <color rgb="FF999999"/>
      </left>
      <right/>
      <top/>
      <bottom/>
      <diagonal/>
    </border>
    <border>
      <left style="thin">
        <color rgb="FF999999"/>
      </left>
      <right style="thin">
        <color rgb="FF999999"/>
      </right>
      <top/>
      <bottom/>
      <diagonal/>
    </border>
    <border>
      <left style="thin">
        <color indexed="65"/>
      </left>
      <right/>
      <top style="thin">
        <color rgb="FF999999"/>
      </top>
      <bottom/>
      <diagonal/>
    </border>
    <border>
      <left style="thin">
        <color rgb="FF999999"/>
      </left>
      <right/>
      <top style="thin">
        <color rgb="FF999999"/>
      </top>
      <bottom style="thin">
        <color rgb="FF999999"/>
      </bottom>
      <diagonal/>
    </border>
    <border>
      <left style="thin">
        <color indexed="65"/>
      </left>
      <right/>
      <top style="thin">
        <color rgb="FF999999"/>
      </top>
      <bottom style="thin">
        <color rgb="FF999999"/>
      </bottom>
      <diagonal/>
    </border>
    <border>
      <left style="thin">
        <color rgb="FF999999"/>
      </left>
      <right style="thin">
        <color rgb="FF999999"/>
      </right>
      <top style="thin">
        <color rgb="FF999999"/>
      </top>
      <bottom style="thin">
        <color rgb="FF999999"/>
      </bottom>
      <diagonal/>
    </border>
  </borders>
  <cellStyleXfs count="1">
    <xf numFmtId="0" fontId="0" fillId="0" borderId="0"/>
  </cellStyleXfs>
  <cellXfs count="167">
    <xf numFmtId="0" fontId="0" fillId="0" borderId="0" xfId="0"/>
    <xf numFmtId="0" fontId="1" fillId="2" borderId="1" xfId="0" applyFont="1" applyFill="1" applyBorder="1" applyAlignment="1">
      <alignment horizontal="center" vertical="top" wrapText="1"/>
    </xf>
    <xf numFmtId="0" fontId="1" fillId="3" borderId="1" xfId="0" applyFont="1" applyFill="1" applyBorder="1" applyAlignment="1">
      <alignment horizontal="center" vertical="top" wrapText="1"/>
    </xf>
    <xf numFmtId="0" fontId="1" fillId="2" borderId="1" xfId="0" applyFont="1" applyFill="1" applyBorder="1" applyAlignment="1">
      <alignment wrapText="1"/>
    </xf>
    <xf numFmtId="0" fontId="2" fillId="4" borderId="1" xfId="0" applyFont="1" applyFill="1" applyBorder="1" applyAlignment="1">
      <alignment horizontal="center"/>
    </xf>
    <xf numFmtId="0" fontId="2" fillId="5" borderId="1" xfId="0" applyFont="1" applyFill="1" applyBorder="1" applyAlignment="1">
      <alignment horizontal="center"/>
    </xf>
    <xf numFmtId="0" fontId="1" fillId="2" borderId="0" xfId="0" applyFont="1" applyFill="1" applyAlignment="1">
      <alignment horizontal="center" wrapText="1"/>
    </xf>
    <xf numFmtId="0" fontId="1" fillId="2" borderId="0" xfId="0" applyFont="1" applyFill="1" applyAlignment="1">
      <alignment wrapText="1"/>
    </xf>
    <xf numFmtId="0" fontId="3" fillId="0" borderId="0" xfId="0" applyFont="1" applyAlignment="1">
      <alignment wrapText="1"/>
    </xf>
    <xf numFmtId="0" fontId="3" fillId="3" borderId="0" xfId="0" applyFont="1" applyFill="1" applyAlignment="1">
      <alignment wrapText="1"/>
    </xf>
    <xf numFmtId="0" fontId="4" fillId="0" borderId="0" xfId="0" applyFont="1" applyAlignment="1">
      <alignment wrapText="1"/>
    </xf>
    <xf numFmtId="0" fontId="5" fillId="3" borderId="0" xfId="0" applyFont="1" applyFill="1" applyAlignment="1">
      <alignment horizontal="center"/>
    </xf>
    <xf numFmtId="0" fontId="3" fillId="0" borderId="0" xfId="0" applyFont="1" applyAlignment="1">
      <alignment horizontal="center"/>
    </xf>
    <xf numFmtId="0" fontId="3" fillId="0" borderId="0" xfId="0" applyFont="1"/>
    <xf numFmtId="0" fontId="6" fillId="6" borderId="0" xfId="0" applyFont="1" applyFill="1"/>
    <xf numFmtId="0" fontId="6" fillId="3" borderId="0" xfId="0" applyFont="1" applyFill="1"/>
    <xf numFmtId="0" fontId="6" fillId="6" borderId="0" xfId="0" applyFont="1" applyFill="1" applyAlignment="1">
      <alignment wrapText="1"/>
    </xf>
    <xf numFmtId="0" fontId="4" fillId="6" borderId="0" xfId="0" applyFont="1" applyFill="1"/>
    <xf numFmtId="0" fontId="4" fillId="3" borderId="0" xfId="0" applyFont="1" applyFill="1" applyAlignment="1">
      <alignment wrapText="1"/>
    </xf>
    <xf numFmtId="0" fontId="6" fillId="3" borderId="0" xfId="0" applyFont="1" applyFill="1" applyAlignment="1">
      <alignment wrapText="1"/>
    </xf>
    <xf numFmtId="0" fontId="3" fillId="3" borderId="0" xfId="0" applyFont="1" applyFill="1" applyAlignment="1">
      <alignment horizontal="left" vertical="center" wrapText="1"/>
    </xf>
    <xf numFmtId="0" fontId="3" fillId="0" borderId="0" xfId="0" applyFont="1" applyAlignment="1">
      <alignment horizontal="left" vertical="center" wrapText="1"/>
    </xf>
    <xf numFmtId="0" fontId="3" fillId="3" borderId="0" xfId="0" applyFont="1" applyFill="1"/>
    <xf numFmtId="0" fontId="3" fillId="7" borderId="0" xfId="0" applyFont="1" applyFill="1" applyAlignment="1">
      <alignment wrapText="1"/>
    </xf>
    <xf numFmtId="0" fontId="6" fillId="7" borderId="0" xfId="0" applyFont="1" applyFill="1" applyAlignment="1">
      <alignment wrapText="1"/>
    </xf>
    <xf numFmtId="0" fontId="4" fillId="7" borderId="0" xfId="0" applyFont="1" applyFill="1" applyAlignment="1">
      <alignment wrapText="1"/>
    </xf>
    <xf numFmtId="0" fontId="5" fillId="7" borderId="0" xfId="0" applyFont="1" applyFill="1" applyAlignment="1">
      <alignment horizontal="center"/>
    </xf>
    <xf numFmtId="0" fontId="3" fillId="7" borderId="0" xfId="0" applyFont="1" applyFill="1" applyAlignment="1">
      <alignment horizontal="center"/>
    </xf>
    <xf numFmtId="0" fontId="3" fillId="7" borderId="0" xfId="0" applyFont="1" applyFill="1"/>
    <xf numFmtId="0" fontId="3" fillId="3" borderId="0" xfId="0" applyFont="1" applyFill="1" applyAlignment="1">
      <alignment horizontal="center"/>
    </xf>
    <xf numFmtId="0" fontId="5" fillId="3" borderId="0" xfId="0" applyFont="1" applyFill="1" applyAlignment="1">
      <alignment wrapText="1"/>
    </xf>
    <xf numFmtId="0" fontId="1" fillId="2" borderId="0" xfId="0" applyFont="1" applyFill="1" applyAlignment="1">
      <alignment horizontal="center" vertical="top" wrapText="1"/>
    </xf>
    <xf numFmtId="0" fontId="1" fillId="2" borderId="2" xfId="0" applyFont="1" applyFill="1" applyBorder="1" applyAlignment="1">
      <alignment horizontal="center" vertical="top" wrapText="1"/>
    </xf>
    <xf numFmtId="0" fontId="2" fillId="4" borderId="3" xfId="0" applyFont="1" applyFill="1" applyBorder="1" applyAlignment="1">
      <alignment horizontal="center"/>
    </xf>
    <xf numFmtId="0" fontId="2" fillId="3" borderId="3" xfId="0" applyFont="1" applyFill="1" applyBorder="1" applyAlignment="1">
      <alignment horizontal="center"/>
    </xf>
    <xf numFmtId="0" fontId="2" fillId="4" borderId="0" xfId="0" applyFont="1" applyFill="1" applyAlignment="1">
      <alignment horizontal="center"/>
    </xf>
    <xf numFmtId="0" fontId="2" fillId="5" borderId="3" xfId="0" applyFont="1" applyFill="1" applyBorder="1" applyAlignment="1">
      <alignment horizontal="center"/>
    </xf>
    <xf numFmtId="0" fontId="2" fillId="5" borderId="0" xfId="0" applyFont="1" applyFill="1" applyAlignment="1">
      <alignment horizontal="center"/>
    </xf>
    <xf numFmtId="0" fontId="5" fillId="8" borderId="0" xfId="0" applyFont="1" applyFill="1" applyAlignment="1">
      <alignment horizontal="center"/>
    </xf>
    <xf numFmtId="0" fontId="4" fillId="2" borderId="0" xfId="0" applyFont="1" applyFill="1" applyAlignment="1">
      <alignment wrapText="1"/>
    </xf>
    <xf numFmtId="0" fontId="3" fillId="9" borderId="0" xfId="0" applyFont="1" applyFill="1" applyAlignment="1">
      <alignment wrapText="1"/>
    </xf>
    <xf numFmtId="0" fontId="4" fillId="9" borderId="0" xfId="0" applyFont="1" applyFill="1" applyAlignment="1">
      <alignment wrapText="1"/>
    </xf>
    <xf numFmtId="0" fontId="3" fillId="10" borderId="0" xfId="0" applyFont="1" applyFill="1" applyAlignment="1">
      <alignment wrapText="1"/>
    </xf>
    <xf numFmtId="0" fontId="5" fillId="11" borderId="0" xfId="0" applyFont="1" applyFill="1" applyAlignment="1">
      <alignment horizontal="center"/>
    </xf>
    <xf numFmtId="0" fontId="5" fillId="12" borderId="0" xfId="0" applyFont="1" applyFill="1" applyAlignment="1">
      <alignment horizontal="center"/>
    </xf>
    <xf numFmtId="0" fontId="1" fillId="2" borderId="2" xfId="0" applyFont="1" applyFill="1" applyBorder="1" applyAlignment="1">
      <alignment horizontal="left" vertical="top" wrapText="1"/>
    </xf>
    <xf numFmtId="0" fontId="2" fillId="4" borderId="3" xfId="0" applyFont="1" applyFill="1" applyBorder="1" applyAlignment="1">
      <alignment horizontal="center" wrapText="1"/>
    </xf>
    <xf numFmtId="0" fontId="2" fillId="4" borderId="0" xfId="0" applyFont="1" applyFill="1" applyAlignment="1">
      <alignment horizontal="center" wrapText="1"/>
    </xf>
    <xf numFmtId="0" fontId="2" fillId="5" borderId="3" xfId="0" applyFont="1" applyFill="1" applyBorder="1" applyAlignment="1">
      <alignment horizontal="center" wrapText="1"/>
    </xf>
    <xf numFmtId="0" fontId="2" fillId="5" borderId="0" xfId="0" applyFont="1" applyFill="1" applyAlignment="1">
      <alignment horizontal="center" wrapText="1"/>
    </xf>
    <xf numFmtId="0" fontId="2" fillId="4" borderId="0" xfId="0" applyFont="1" applyFill="1" applyAlignment="1">
      <alignment horizontal="left" wrapText="1"/>
    </xf>
    <xf numFmtId="0" fontId="4" fillId="3" borderId="0" xfId="0" applyFont="1" applyFill="1" applyAlignment="1">
      <alignment horizontal="left" wrapText="1"/>
    </xf>
    <xf numFmtId="0" fontId="5" fillId="3" borderId="0" xfId="0" applyFont="1" applyFill="1" applyAlignment="1">
      <alignment horizontal="center" wrapText="1"/>
    </xf>
    <xf numFmtId="0" fontId="3" fillId="0" borderId="0" xfId="0" applyFont="1" applyAlignment="1">
      <alignment horizontal="center" wrapText="1"/>
    </xf>
    <xf numFmtId="0" fontId="3" fillId="0" borderId="0" xfId="0" applyFont="1" applyAlignment="1">
      <alignment horizontal="left" wrapText="1"/>
    </xf>
    <xf numFmtId="0" fontId="4" fillId="0" borderId="0" xfId="0" applyFont="1" applyAlignment="1">
      <alignment horizontal="left" wrapText="1"/>
    </xf>
    <xf numFmtId="0" fontId="4" fillId="13" borderId="0" xfId="0" applyFont="1" applyFill="1" applyAlignment="1">
      <alignment horizontal="left" vertical="center" wrapText="1"/>
    </xf>
    <xf numFmtId="0" fontId="3" fillId="13" borderId="0" xfId="0" applyFont="1" applyFill="1" applyAlignment="1">
      <alignment horizontal="left" wrapText="1"/>
    </xf>
    <xf numFmtId="0" fontId="3" fillId="3" borderId="0" xfId="0" applyFont="1" applyFill="1" applyAlignment="1">
      <alignment horizontal="left" wrapText="1"/>
    </xf>
    <xf numFmtId="0" fontId="4" fillId="0" borderId="0" xfId="0" applyFont="1" applyAlignment="1">
      <alignment horizontal="left" vertical="top" wrapText="1"/>
    </xf>
    <xf numFmtId="0" fontId="4" fillId="0" borderId="0" xfId="0" applyFont="1" applyAlignment="1">
      <alignment horizontal="left" vertical="center" wrapText="1"/>
    </xf>
    <xf numFmtId="0" fontId="3" fillId="3" borderId="0" xfId="0" applyFont="1" applyFill="1" applyAlignment="1">
      <alignment horizontal="center" wrapText="1"/>
    </xf>
    <xf numFmtId="0" fontId="7" fillId="0" borderId="0" xfId="0" applyFont="1" applyAlignment="1">
      <alignment vertical="top" wrapText="1"/>
    </xf>
    <xf numFmtId="0" fontId="1" fillId="2" borderId="4" xfId="0" applyFont="1" applyFill="1" applyBorder="1" applyAlignment="1">
      <alignment horizontal="center" vertical="top" wrapText="1"/>
    </xf>
    <xf numFmtId="0" fontId="4" fillId="2" borderId="4" xfId="0" applyFont="1" applyFill="1" applyBorder="1" applyAlignment="1">
      <alignment wrapText="1"/>
    </xf>
    <xf numFmtId="0" fontId="1" fillId="2" borderId="0" xfId="0" applyFont="1" applyFill="1" applyAlignment="1">
      <alignment horizontal="left"/>
    </xf>
    <xf numFmtId="0" fontId="3" fillId="0" borderId="4" xfId="0" applyFont="1" applyBorder="1" applyAlignment="1">
      <alignment wrapText="1"/>
    </xf>
    <xf numFmtId="0" fontId="3" fillId="0" borderId="4" xfId="0" applyFont="1" applyBorder="1"/>
    <xf numFmtId="0" fontId="4" fillId="0" borderId="4" xfId="0" applyFont="1" applyBorder="1"/>
    <xf numFmtId="0" fontId="4" fillId="0" borderId="4" xfId="0" applyFont="1" applyBorder="1" applyAlignment="1">
      <alignment wrapText="1"/>
    </xf>
    <xf numFmtId="0" fontId="3" fillId="0" borderId="0" xfId="0" applyFont="1" applyAlignment="1">
      <alignment horizontal="left"/>
    </xf>
    <xf numFmtId="0" fontId="3" fillId="3" borderId="4" xfId="0" applyFont="1" applyFill="1" applyBorder="1" applyAlignment="1">
      <alignment wrapText="1"/>
    </xf>
    <xf numFmtId="0" fontId="3" fillId="14" borderId="4" xfId="0" applyFont="1" applyFill="1" applyBorder="1" applyAlignment="1">
      <alignment wrapText="1"/>
    </xf>
    <xf numFmtId="0" fontId="8" fillId="3" borderId="4" xfId="0" applyFont="1" applyFill="1" applyBorder="1" applyAlignment="1">
      <alignment wrapText="1"/>
    </xf>
    <xf numFmtId="0" fontId="3" fillId="12" borderId="4" xfId="0" applyFont="1" applyFill="1" applyBorder="1" applyAlignment="1">
      <alignment wrapText="1"/>
    </xf>
    <xf numFmtId="0" fontId="9" fillId="3" borderId="4" xfId="0" applyFont="1" applyFill="1" applyBorder="1" applyAlignment="1">
      <alignment horizontal="left" wrapText="1"/>
    </xf>
    <xf numFmtId="0" fontId="4" fillId="3" borderId="4" xfId="0" applyFont="1" applyFill="1" applyBorder="1"/>
    <xf numFmtId="0" fontId="10" fillId="2" borderId="0" xfId="0" applyFont="1" applyFill="1" applyAlignment="1">
      <alignment horizontal="center" vertical="top" wrapText="1"/>
    </xf>
    <xf numFmtId="0" fontId="11" fillId="2" borderId="0" xfId="0" applyFont="1" applyFill="1" applyAlignment="1">
      <alignment horizontal="center" vertical="top" wrapText="1"/>
    </xf>
    <xf numFmtId="0" fontId="4" fillId="2" borderId="4" xfId="0" applyFont="1" applyFill="1" applyBorder="1"/>
    <xf numFmtId="0" fontId="1" fillId="2" borderId="0" xfId="0" applyFont="1" applyFill="1" applyAlignment="1">
      <alignment horizontal="center"/>
    </xf>
    <xf numFmtId="0" fontId="1" fillId="2" borderId="0" xfId="0" applyFont="1" applyFill="1"/>
    <xf numFmtId="0" fontId="12" fillId="0" borderId="0" xfId="0" applyFont="1" applyAlignment="1">
      <alignment horizontal="left" wrapText="1"/>
    </xf>
    <xf numFmtId="0" fontId="12" fillId="0" borderId="0" xfId="0" applyFont="1" applyAlignment="1">
      <alignment horizontal="left"/>
    </xf>
    <xf numFmtId="0" fontId="13" fillId="3" borderId="0" xfId="0" applyFont="1" applyFill="1" applyAlignment="1">
      <alignment horizontal="left"/>
    </xf>
    <xf numFmtId="0" fontId="14" fillId="3" borderId="0" xfId="0" applyFont="1" applyFill="1" applyAlignment="1">
      <alignment horizontal="left" wrapText="1"/>
    </xf>
    <xf numFmtId="0" fontId="12" fillId="0" borderId="0" xfId="0" applyFont="1" applyAlignment="1">
      <alignment horizontal="center"/>
    </xf>
    <xf numFmtId="0" fontId="14" fillId="3" borderId="0" xfId="0" applyFont="1" applyFill="1" applyAlignment="1">
      <alignment horizontal="left"/>
    </xf>
    <xf numFmtId="0" fontId="13" fillId="3" borderId="0" xfId="0" applyFont="1" applyFill="1" applyAlignment="1">
      <alignment horizontal="left" wrapText="1"/>
    </xf>
    <xf numFmtId="0" fontId="15" fillId="3" borderId="0" xfId="0" applyFont="1" applyFill="1" applyAlignment="1">
      <alignment horizontal="left"/>
    </xf>
    <xf numFmtId="0" fontId="13" fillId="15" borderId="0" xfId="0" applyFont="1" applyFill="1" applyAlignment="1">
      <alignment horizontal="left"/>
    </xf>
    <xf numFmtId="0" fontId="14" fillId="15" borderId="0" xfId="0" applyFont="1" applyFill="1" applyAlignment="1">
      <alignment horizontal="left" wrapText="1"/>
    </xf>
    <xf numFmtId="0" fontId="16" fillId="0" borderId="0" xfId="0" applyFont="1" applyAlignment="1">
      <alignment wrapText="1"/>
    </xf>
    <xf numFmtId="0" fontId="12" fillId="15" borderId="0" xfId="0" applyFont="1" applyFill="1" applyAlignment="1">
      <alignment horizontal="left" wrapText="1"/>
    </xf>
    <xf numFmtId="0" fontId="12" fillId="3" borderId="0" xfId="0" applyFont="1" applyFill="1" applyAlignment="1">
      <alignment horizontal="left" wrapText="1"/>
    </xf>
    <xf numFmtId="0" fontId="14" fillId="16" borderId="0" xfId="0" applyFont="1" applyFill="1" applyAlignment="1">
      <alignment horizontal="left" wrapText="1"/>
    </xf>
    <xf numFmtId="0" fontId="12" fillId="16" borderId="0" xfId="0" applyFont="1" applyFill="1" applyAlignment="1">
      <alignment horizontal="left" wrapText="1"/>
    </xf>
    <xf numFmtId="0" fontId="4" fillId="15" borderId="0" xfId="0" applyFont="1" applyFill="1" applyAlignment="1">
      <alignment wrapText="1"/>
    </xf>
    <xf numFmtId="0" fontId="6" fillId="0" borderId="0" xfId="0" applyFont="1"/>
    <xf numFmtId="0" fontId="6" fillId="16" borderId="0" xfId="0" applyFont="1" applyFill="1"/>
    <xf numFmtId="0" fontId="14" fillId="17" borderId="0" xfId="0" applyFont="1" applyFill="1" applyAlignment="1">
      <alignment horizontal="left" wrapText="1"/>
    </xf>
    <xf numFmtId="0" fontId="6" fillId="15" borderId="0" xfId="0" applyFont="1" applyFill="1"/>
    <xf numFmtId="0" fontId="13" fillId="16" borderId="0" xfId="0" applyFont="1" applyFill="1" applyAlignment="1">
      <alignment horizontal="left" wrapText="1"/>
    </xf>
    <xf numFmtId="0" fontId="14" fillId="18" borderId="0" xfId="0" applyFont="1" applyFill="1" applyAlignment="1">
      <alignment horizontal="left" wrapText="1"/>
    </xf>
    <xf numFmtId="0" fontId="17" fillId="3" borderId="0" xfId="0" applyFont="1" applyFill="1" applyAlignment="1">
      <alignment horizontal="left" wrapText="1"/>
    </xf>
    <xf numFmtId="0" fontId="17" fillId="3" borderId="0" xfId="0" applyFont="1" applyFill="1" applyAlignment="1">
      <alignment horizontal="left"/>
    </xf>
    <xf numFmtId="0" fontId="3" fillId="6" borderId="0" xfId="0" applyFont="1" applyFill="1" applyAlignment="1">
      <alignment wrapText="1"/>
    </xf>
    <xf numFmtId="0" fontId="4" fillId="6" borderId="4" xfId="0" applyFont="1" applyFill="1" applyBorder="1" applyAlignment="1">
      <alignment wrapText="1"/>
    </xf>
    <xf numFmtId="0" fontId="4" fillId="3" borderId="4" xfId="0" applyFont="1" applyFill="1" applyBorder="1" applyAlignment="1">
      <alignment wrapText="1"/>
    </xf>
    <xf numFmtId="0" fontId="4" fillId="6" borderId="0" xfId="0" applyFont="1" applyFill="1" applyAlignment="1">
      <alignment wrapText="1"/>
    </xf>
    <xf numFmtId="0" fontId="4" fillId="0" borderId="0" xfId="0" applyFont="1" applyAlignment="1">
      <alignment horizontal="center" wrapText="1"/>
    </xf>
    <xf numFmtId="0" fontId="4" fillId="0" borderId="4" xfId="0" applyFont="1" applyBorder="1" applyAlignment="1">
      <alignment horizontal="center" wrapText="1"/>
    </xf>
    <xf numFmtId="0" fontId="3" fillId="14" borderId="0" xfId="0" applyFont="1" applyFill="1" applyAlignment="1">
      <alignment wrapText="1"/>
    </xf>
    <xf numFmtId="0" fontId="3" fillId="19" borderId="0" xfId="0" applyFont="1" applyFill="1" applyAlignment="1">
      <alignment wrapText="1"/>
    </xf>
    <xf numFmtId="0" fontId="4" fillId="0" borderId="0" xfId="0" applyFont="1"/>
    <xf numFmtId="0" fontId="3" fillId="8" borderId="0" xfId="0" applyFont="1" applyFill="1" applyAlignment="1">
      <alignment horizontal="center"/>
    </xf>
    <xf numFmtId="0" fontId="5" fillId="0" borderId="0" xfId="0" applyFont="1" applyAlignment="1">
      <alignment horizontal="center"/>
    </xf>
    <xf numFmtId="0" fontId="3" fillId="16" borderId="0" xfId="0" applyFont="1" applyFill="1" applyAlignment="1">
      <alignment wrapText="1"/>
    </xf>
    <xf numFmtId="0" fontId="3" fillId="18" borderId="0" xfId="0" applyFont="1" applyFill="1" applyAlignment="1">
      <alignment wrapText="1"/>
    </xf>
    <xf numFmtId="0" fontId="1" fillId="0" borderId="0" xfId="0" applyFont="1" applyAlignment="1">
      <alignment horizontal="center" vertical="top" wrapText="1"/>
    </xf>
    <xf numFmtId="0" fontId="1" fillId="0" borderId="2" xfId="0" applyFont="1" applyBorder="1" applyAlignment="1">
      <alignment horizontal="center" vertical="top" wrapText="1"/>
    </xf>
    <xf numFmtId="0" fontId="2" fillId="0" borderId="3" xfId="0" applyFont="1" applyBorder="1" applyAlignment="1">
      <alignment horizontal="center"/>
    </xf>
    <xf numFmtId="0" fontId="2" fillId="0" borderId="0" xfId="0" applyFont="1" applyAlignment="1">
      <alignment horizontal="center"/>
    </xf>
    <xf numFmtId="0" fontId="4" fillId="18" borderId="0" xfId="0" applyFont="1" applyFill="1" applyAlignment="1">
      <alignment wrapText="1"/>
    </xf>
    <xf numFmtId="0" fontId="4" fillId="3" borderId="0" xfId="0" applyFont="1" applyFill="1"/>
    <xf numFmtId="0" fontId="4" fillId="0" borderId="5" xfId="0" applyFont="1" applyBorder="1" applyAlignment="1">
      <alignment wrapText="1"/>
    </xf>
    <xf numFmtId="0" fontId="4" fillId="18" borderId="0" xfId="0" applyFont="1" applyFill="1"/>
    <xf numFmtId="0" fontId="4" fillId="8" borderId="2" xfId="0" applyFont="1" applyFill="1" applyBorder="1" applyAlignment="1">
      <alignment wrapText="1"/>
    </xf>
    <xf numFmtId="0" fontId="3" fillId="8" borderId="0" xfId="0" applyFont="1" applyFill="1" applyAlignment="1">
      <alignment wrapText="1"/>
    </xf>
    <xf numFmtId="0" fontId="1" fillId="20" borderId="0" xfId="0" applyFont="1" applyFill="1" applyAlignment="1">
      <alignment horizontal="left" vertical="top" wrapText="1"/>
    </xf>
    <xf numFmtId="0" fontId="1" fillId="20" borderId="2" xfId="0" applyFont="1" applyFill="1" applyBorder="1" applyAlignment="1">
      <alignment horizontal="left" vertical="top" wrapText="1"/>
    </xf>
    <xf numFmtId="0" fontId="1" fillId="20" borderId="2" xfId="0" applyFont="1" applyFill="1" applyBorder="1" applyAlignment="1">
      <alignment horizontal="left" wrapText="1"/>
    </xf>
    <xf numFmtId="0" fontId="4" fillId="20" borderId="0" xfId="0" applyFont="1" applyFill="1" applyAlignment="1">
      <alignment horizontal="left" wrapText="1"/>
    </xf>
    <xf numFmtId="0" fontId="1" fillId="20" borderId="3" xfId="0" applyFont="1" applyFill="1" applyBorder="1" applyAlignment="1">
      <alignment horizontal="left"/>
    </xf>
    <xf numFmtId="0" fontId="1" fillId="20" borderId="0" xfId="0" applyFont="1" applyFill="1" applyAlignment="1">
      <alignment horizontal="left"/>
    </xf>
    <xf numFmtId="0" fontId="1" fillId="2" borderId="0" xfId="0" applyFont="1" applyFill="1" applyAlignment="1">
      <alignment horizontal="left" wrapText="1"/>
    </xf>
    <xf numFmtId="0" fontId="4" fillId="9" borderId="0" xfId="0" applyFont="1" applyFill="1" applyAlignment="1">
      <alignment horizontal="left" wrapText="1"/>
    </xf>
    <xf numFmtId="0" fontId="18" fillId="0" borderId="0" xfId="0" applyFont="1" applyAlignment="1">
      <alignment horizontal="left"/>
    </xf>
    <xf numFmtId="0" fontId="4" fillId="0" borderId="0" xfId="0" applyFont="1" applyAlignment="1">
      <alignment horizontal="left"/>
    </xf>
    <xf numFmtId="0" fontId="4" fillId="6" borderId="0" xfId="0" applyFont="1" applyFill="1" applyAlignment="1">
      <alignment horizontal="left" wrapText="1"/>
    </xf>
    <xf numFmtId="0" fontId="3" fillId="6" borderId="0" xfId="0" applyFont="1" applyFill="1" applyAlignment="1">
      <alignment horizontal="left" wrapText="1"/>
    </xf>
    <xf numFmtId="0" fontId="4" fillId="18" borderId="0" xfId="0" applyFont="1" applyFill="1" applyAlignment="1">
      <alignment horizontal="left" wrapText="1"/>
    </xf>
    <xf numFmtId="0" fontId="18" fillId="6" borderId="0" xfId="0" applyFont="1" applyFill="1" applyAlignment="1">
      <alignment horizontal="left"/>
    </xf>
    <xf numFmtId="0" fontId="4" fillId="6" borderId="0" xfId="0" applyFont="1" applyFill="1" applyAlignment="1">
      <alignment horizontal="left"/>
    </xf>
    <xf numFmtId="0" fontId="3" fillId="9" borderId="0" xfId="0" applyFont="1" applyFill="1" applyAlignment="1">
      <alignment horizontal="left" wrapText="1"/>
    </xf>
    <xf numFmtId="0" fontId="4" fillId="16" borderId="0" xfId="0" applyFont="1" applyFill="1" applyAlignment="1">
      <alignment horizontal="left" wrapText="1"/>
    </xf>
    <xf numFmtId="0" fontId="19" fillId="11" borderId="4" xfId="0" applyFont="1" applyFill="1" applyBorder="1" applyAlignment="1">
      <alignment horizontal="left" wrapText="1"/>
    </xf>
    <xf numFmtId="0" fontId="4" fillId="0" borderId="4" xfId="0" applyFont="1" applyBorder="1" applyAlignment="1">
      <alignment horizontal="left" wrapText="1"/>
    </xf>
    <xf numFmtId="0" fontId="4" fillId="0" borderId="4" xfId="0" applyFont="1" applyBorder="1" applyAlignment="1">
      <alignment horizontal="left"/>
    </xf>
    <xf numFmtId="0" fontId="20" fillId="0" borderId="4" xfId="0" applyFont="1" applyBorder="1" applyAlignment="1">
      <alignment horizontal="left" wrapText="1"/>
    </xf>
    <xf numFmtId="0" fontId="22" fillId="0" borderId="0" xfId="0" applyFont="1"/>
    <xf numFmtId="0" fontId="22" fillId="18" borderId="0" xfId="0" applyFont="1" applyFill="1"/>
    <xf numFmtId="0" fontId="22" fillId="0" borderId="1" xfId="0" applyFont="1" applyBorder="1" applyAlignment="1">
      <alignment wrapText="1"/>
    </xf>
    <xf numFmtId="0" fontId="3" fillId="0" borderId="1" xfId="0" applyFont="1" applyBorder="1" applyAlignment="1">
      <alignment wrapText="1"/>
    </xf>
    <xf numFmtId="0" fontId="0" fillId="0" borderId="8" xfId="0" pivotButton="1" applyBorder="1"/>
    <xf numFmtId="0" fontId="0" fillId="0" borderId="9" xfId="0" applyBorder="1"/>
    <xf numFmtId="0" fontId="0" fillId="0" borderId="8" xfId="0" applyBorder="1"/>
    <xf numFmtId="0" fontId="0" fillId="0" borderId="10" xfId="0" applyBorder="1"/>
    <xf numFmtId="0" fontId="0" fillId="0" borderId="11" xfId="0" applyBorder="1"/>
    <xf numFmtId="0" fontId="0" fillId="0" borderId="13" xfId="0" applyBorder="1"/>
    <xf numFmtId="0" fontId="0" fillId="0" borderId="14" xfId="0" applyBorder="1"/>
    <xf numFmtId="0" fontId="0" fillId="0" borderId="15" xfId="0" applyBorder="1"/>
    <xf numFmtId="0" fontId="4" fillId="0" borderId="6" xfId="0" applyFont="1" applyBorder="1" applyAlignment="1">
      <alignment horizontal="left" wrapText="1"/>
    </xf>
    <xf numFmtId="0" fontId="21" fillId="0" borderId="7" xfId="0" applyFont="1" applyBorder="1"/>
    <xf numFmtId="0" fontId="0" fillId="0" borderId="9" xfId="0" applyNumberFormat="1" applyBorder="1"/>
    <xf numFmtId="0" fontId="0" fillId="0" borderId="12" xfId="0" applyNumberFormat="1" applyBorder="1"/>
    <xf numFmtId="0" fontId="0" fillId="0" borderId="16" xfId="0" applyNumberFormat="1" applyBorder="1"/>
  </cellXfs>
  <cellStyles count="1">
    <cellStyle name="Normal" xfId="0" builtinId="0"/>
  </cellStyles>
  <dxfs count="19">
    <dxf>
      <fill>
        <patternFill patternType="solid">
          <fgColor rgb="FFB7E1CD"/>
          <bgColor rgb="FFB7E1CD"/>
        </patternFill>
      </fill>
    </dxf>
    <dxf>
      <fill>
        <patternFill patternType="solid">
          <fgColor rgb="FFEA9999"/>
          <bgColor rgb="FFEA9999"/>
        </patternFill>
      </fill>
    </dxf>
    <dxf>
      <fill>
        <patternFill patternType="solid">
          <fgColor rgb="FFEA9999"/>
          <bgColor rgb="FFEA9999"/>
        </patternFill>
      </fill>
    </dxf>
    <dxf>
      <fill>
        <patternFill patternType="solid">
          <fgColor rgb="FFEA9999"/>
          <bgColor rgb="FFEA9999"/>
        </patternFill>
      </fill>
    </dxf>
    <dxf>
      <fill>
        <patternFill patternType="solid">
          <fgColor rgb="FFEA9999"/>
          <bgColor rgb="FFEA9999"/>
        </patternFill>
      </fill>
    </dxf>
    <dxf>
      <fill>
        <patternFill patternType="solid">
          <fgColor rgb="FFEA9999"/>
          <bgColor rgb="FFEA9999"/>
        </patternFill>
      </fill>
    </dxf>
    <dxf>
      <fill>
        <patternFill patternType="solid">
          <fgColor rgb="FFEA9999"/>
          <bgColor rgb="FFEA9999"/>
        </patternFill>
      </fill>
    </dxf>
    <dxf>
      <fill>
        <patternFill patternType="solid">
          <fgColor rgb="FFEA9999"/>
          <bgColor rgb="FFEA9999"/>
        </patternFill>
      </fill>
    </dxf>
    <dxf>
      <fill>
        <patternFill patternType="solid">
          <fgColor rgb="FFE06666"/>
          <bgColor rgb="FFE06666"/>
        </patternFill>
      </fill>
    </dxf>
    <dxf>
      <fill>
        <patternFill patternType="solid">
          <fgColor rgb="FFEA9999"/>
          <bgColor rgb="FFEA9999"/>
        </patternFill>
      </fill>
    </dxf>
    <dxf>
      <fill>
        <patternFill patternType="solid">
          <fgColor rgb="FFEA9999"/>
          <bgColor rgb="FFEA9999"/>
        </patternFill>
      </fill>
    </dxf>
    <dxf>
      <fill>
        <patternFill patternType="solid">
          <fgColor rgb="FFEA9999"/>
          <bgColor rgb="FFEA9999"/>
        </patternFill>
      </fill>
    </dxf>
    <dxf>
      <fill>
        <patternFill patternType="solid">
          <fgColor rgb="FFB7E1CD"/>
          <bgColor rgb="FFB7E1CD"/>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3F3F3"/>
          <bgColor rgb="FFF3F3F3"/>
        </patternFill>
      </fill>
    </dxf>
    <dxf>
      <fill>
        <patternFill patternType="solid">
          <fgColor rgb="FFF3F3F3"/>
          <bgColor rgb="FFF3F3F3"/>
        </patternFill>
      </fill>
    </dxf>
    <dxf>
      <fill>
        <patternFill patternType="solid">
          <fgColor rgb="FFFFFFFF"/>
          <bgColor rgb="FFFFFFFF"/>
        </patternFill>
      </fill>
    </dxf>
  </dxfs>
  <tableStyles count="3" defaultTableStyle="TableStyleMedium2" defaultPivotStyle="PivotStyleLight16">
    <tableStyle name="G6 Maths Ganita Prakash-style" pivot="0" count="2" xr9:uid="{00000000-0011-0000-FFFF-FFFF00000000}">
      <tableStyleElement type="firstRowStripe" dxfId="18"/>
      <tableStyleElement type="secondRowStripe" dxfId="17"/>
    </tableStyle>
    <tableStyle name="G6 Maths Ganita Prakash-style 2" pivot="0" count="2" xr9:uid="{00000000-0011-0000-FFFF-FFFF01000000}">
      <tableStyleElement type="firstRowStripe" dxfId="16"/>
      <tableStyleElement type="secondRowStripe" dxfId="15"/>
    </tableStyle>
    <tableStyle name="G10 Maths-style" pivot="0" count="2" xr9:uid="{00000000-0011-0000-FFFF-FFFF02000000}">
      <tableStyleElement type="firstRowStripe" dxfId="14"/>
      <tableStyleElement type="secondRowStripe" dxfId="13"/>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pivotCacheDefinition" Target="pivotCache/pivotCacheDefinition1.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pivotCacheDefinition" Target="pivotCache/pivotCacheDefinition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pivotCacheDefinition" Target="pivotCache/pivotCacheDefinition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aniket singh" refreshedDate="45699.381379629631" refreshedVersion="8" recordCount="992" xr:uid="{00000000-000A-0000-FFFF-FFFF0C000000}">
  <cacheSource type="worksheet">
    <worksheetSource ref="A1:AT993" sheet="G6 Maths Ganita Prakash"/>
  </cacheSource>
  <cacheFields count="46">
    <cacheField name="Template" numFmtId="0">
      <sharedItems containsBlank="1" count="2">
        <s v="NCERT Ganita Prakash 2025"/>
        <m/>
      </sharedItems>
    </cacheField>
    <cacheField name="Board" numFmtId="0">
      <sharedItems containsBlank="1"/>
    </cacheField>
    <cacheField name="Grade" numFmtId="0">
      <sharedItems containsBlank="1" count="2">
        <s v="Class 6"/>
        <m/>
      </sharedItems>
    </cacheField>
    <cacheField name="Subject" numFmtId="0">
      <sharedItems containsBlank="1" count="2">
        <s v="Math"/>
        <m/>
      </sharedItems>
    </cacheField>
    <cacheField name="Chapter (NCERT/AcadAlly's name)" numFmtId="0">
      <sharedItems containsBlank="1" count="11">
        <s v="Patterns in Mathematics"/>
        <s v="Lines and Angles"/>
        <s v="Number Play"/>
        <s v="Data Handling and Presentation"/>
        <s v="Prime Time"/>
        <s v="Perimeter and Area"/>
        <s v="Fractions"/>
        <s v="Playing with Constructions"/>
        <s v="Symmetry"/>
        <s v="The Other Side of Zero"/>
        <m/>
      </sharedItems>
    </cacheField>
    <cacheField name="Topic" numFmtId="0">
      <sharedItems containsBlank="1" count="61">
        <s v="Patterns in Numbers "/>
        <s v="Relations Among Number Sequences"/>
        <s v="Patterns in Shapes"/>
        <s v="Introduction to Point and Line Segment"/>
        <s v="Introduction to Ray and Line"/>
        <s v="Angles"/>
        <s v="Types of Angles (Right, Straight, Complete)"/>
        <s v="Relationship between Different Angles"/>
        <s v="Perpendicular Lines"/>
        <s v="Angles: Measurement and Construction"/>
        <s v="Types of Angles (Acute, Obtuse, Reflex)"/>
        <s v="Patterns of Numbers"/>
        <s v="Playing with Digits - I"/>
        <s v="Playing with Digits - II"/>
        <s v="Clock and Calendar Numbers"/>
        <s v="Addition and Subtraction of Large Whole Numbers"/>
        <s v="Playing with Number Patterns"/>
        <s v="Estimation by Rounding off"/>
        <s v="Introduction to Data"/>
        <s v="Tally Chart"/>
        <s v="Pictograph"/>
        <s v="Bar Graph"/>
        <s v="Infographics"/>
        <s v="Multiples"/>
        <s v="Factors"/>
        <s v="Prime and Composite Numbers"/>
        <s v="Twin-prime and Co-prime Numbers"/>
        <s v="Prime Factorisation"/>
        <s v="Rules for Divisibility of Numbers (2, 5, and 10)"/>
        <s v="Rules for Divisibility of Numbers (4 and 8)"/>
        <s v="Perimeter of a Rectangle and Regular Shapes"/>
        <s v="Perimeters of the Figures Using Square Grid"/>
        <s v="Area of Shapes using Formula"/>
        <s v="Area of Composite Shapes"/>
        <s v="Area of Shapes Using Square Grid Method"/>
        <s v="Perimeter and Area Relationship"/>
        <s v="Area of Triangle"/>
        <s v="Fractional Unit"/>
        <s v="Representation of Fractions"/>
        <s v="Types of Fractions"/>
        <s v="Interconversion of Mixed fraction to Improper Fraction"/>
        <s v="Equivalent Fractions, Simplest Form of a Fraction"/>
        <s v="Comparing Fractions"/>
        <s v="Addition and Subtraction of Fractions with the Same Denominators"/>
        <s v="Brahmagupta’s Method for Addition and Subtraction of Fractions"/>
        <s v="Introduction to Circle and its Construction"/>
        <s v="Constructing Rectangles and Squares"/>
        <s v="Exploration in Rectangles and Squares"/>
        <s v="Points Equidistant from Two Given Points"/>
        <s v="Symmetry and Reflection in a Mirror"/>
        <s v="Lines of Symmetry - I"/>
        <s v="Lines of Symmetry - II"/>
        <s v="Rotational Symmetry"/>
        <s v="Line Symmetry and Rotational Symmetry"/>
        <s v="Introduction to Negative Numbers"/>
        <s v="Introduction to Integers"/>
        <s v="Ordering and Representation of Integers"/>
        <s v="Operations on Integers - Addition"/>
        <s v="Operations on Integers - Subtraction"/>
        <s v="Mixed Operations on Integers - Addition and Subtraction"/>
        <m/>
      </sharedItems>
    </cacheField>
    <cacheField name="LUID" numFmtId="0">
      <sharedItems containsBlank="1"/>
    </cacheField>
    <cacheField name="LUs Covered" numFmtId="0">
      <sharedItems containsBlank="1"/>
    </cacheField>
    <cacheField name="LO ID (Remember)" numFmtId="0">
      <sharedItems containsBlank="1"/>
    </cacheField>
    <cacheField name="LO Name (Remember)" numFmtId="0">
      <sharedItems containsBlank="1"/>
    </cacheField>
    <cacheField name="LO ID (Understand)" numFmtId="0">
      <sharedItems containsBlank="1"/>
    </cacheField>
    <cacheField name="LO Name (Understand)" numFmtId="0">
      <sharedItems containsBlank="1"/>
    </cacheField>
    <cacheField name="LO ID (Apply)" numFmtId="0">
      <sharedItems containsBlank="1"/>
    </cacheField>
    <cacheField name="LO Name (Apply)" numFmtId="0">
      <sharedItems containsBlank="1"/>
    </cacheField>
    <cacheField name="LO ID (Analyse)" numFmtId="0">
      <sharedItems containsBlank="1"/>
    </cacheField>
    <cacheField name="LO Name (Analyse)" numFmtId="0">
      <sharedItems containsBlank="1"/>
    </cacheField>
    <cacheField name="LO ID (Evaluate)" numFmtId="0">
      <sharedItems containsBlank="1"/>
    </cacheField>
    <cacheField name="LO Name (Evaluate)" numFmtId="0">
      <sharedItems containsBlank="1"/>
    </cacheField>
    <cacheField name="LO ID (Create)" numFmtId="0">
      <sharedItems containsBlank="1"/>
    </cacheField>
    <cacheField name="LO Name (Create)" numFmtId="0">
      <sharedItems containsBlank="1"/>
    </cacheField>
    <cacheField name="Clone_x000a_Level 1" numFmtId="0">
      <sharedItems containsBlank="1" containsMixedTypes="1" containsNumber="1" containsInteger="1" minValue="2" maxValue="21"/>
    </cacheField>
    <cacheField name="Clone_x000a_Level 2" numFmtId="0">
      <sharedItems containsBlank="1" containsMixedTypes="1" containsNumber="1" containsInteger="1" minValue="1" maxValue="34"/>
    </cacheField>
    <cacheField name="Clone_x000a_Level 3" numFmtId="0">
      <sharedItems containsBlank="1" containsMixedTypes="1" containsNumber="1" containsInteger="1" minValue="1" maxValue="19"/>
    </cacheField>
    <cacheField name="Clone Total" numFmtId="0">
      <sharedItems containsBlank="1" containsMixedTypes="1" containsNumber="1" containsInteger="1" minValue="6" maxValue="38"/>
    </cacheField>
    <cacheField name="Original_x000a_Level 1" numFmtId="0">
      <sharedItems containsBlank="1" containsMixedTypes="1" containsNumber="1" containsInteger="1" minValue="1" maxValue="12"/>
    </cacheField>
    <cacheField name="Original_x000a_Level 2" numFmtId="0">
      <sharedItems containsBlank="1" containsMixedTypes="1" containsNumber="1" containsInteger="1" minValue="2" maxValue="13"/>
    </cacheField>
    <cacheField name="Original_x000a_Level 3" numFmtId="0">
      <sharedItems containsBlank="1" containsMixedTypes="1" containsNumber="1" containsInteger="1" minValue="1" maxValue="6"/>
    </cacheField>
    <cacheField name="Original Total" numFmtId="0">
      <sharedItems containsBlank="1" containsMixedTypes="1" containsNumber="1" containsInteger="1" minValue="7" maxValue="23"/>
    </cacheField>
    <cacheField name="Unknown_x000a_Level 1" numFmtId="0">
      <sharedItems containsBlank="1" containsMixedTypes="1" containsNumber="1" containsInteger="1" minValue="1" maxValue="2"/>
    </cacheField>
    <cacheField name="Unknown_x000a_Level 2" numFmtId="0">
      <sharedItems containsBlank="1" containsMixedTypes="1" containsNumber="1" containsInteger="1" minValue="1" maxValue="1"/>
    </cacheField>
    <cacheField name="Unknown_x000a_Level 3" numFmtId="0">
      <sharedItems containsBlank="1"/>
    </cacheField>
    <cacheField name="Total" numFmtId="0">
      <sharedItems containsBlank="1" containsMixedTypes="1" containsNumber="1" containsInteger="1" minValue="1" maxValue="2"/>
    </cacheField>
    <cacheField name="Primary LUID_1" numFmtId="0">
      <sharedItems containsBlank="1"/>
    </cacheField>
    <cacheField name="Primary LU_1" numFmtId="0">
      <sharedItems containsBlank="1"/>
    </cacheField>
    <cacheField name="Primary LUID_2" numFmtId="0">
      <sharedItems containsBlank="1"/>
    </cacheField>
    <cacheField name="Primary LU_2" numFmtId="0">
      <sharedItems containsBlank="1"/>
    </cacheField>
    <cacheField name="Primary LUID_3" numFmtId="0">
      <sharedItems containsBlank="1"/>
    </cacheField>
    <cacheField name="Primary LU_3" numFmtId="0">
      <sharedItems containsBlank="1"/>
    </cacheField>
    <cacheField name="Primary LUID_4" numFmtId="0">
      <sharedItems containsBlank="1"/>
    </cacheField>
    <cacheField name="Primary LU_4" numFmtId="0">
      <sharedItems containsBlank="1"/>
    </cacheField>
    <cacheField name="Primary LUID_5" numFmtId="0">
      <sharedItems containsBlank="1"/>
    </cacheField>
    <cacheField name="Primary LU_5" numFmtId="0">
      <sharedItems containsBlank="1"/>
    </cacheField>
    <cacheField name="Primary LUID_6" numFmtId="0">
      <sharedItems containsNonDate="0" containsString="0" containsBlank="1"/>
    </cacheField>
    <cacheField name="Primary LU_6" numFmtId="0">
      <sharedItems containsNonDate="0" containsString="0" containsBlank="1"/>
    </cacheField>
    <cacheField name="Primary LUID_7" numFmtId="0">
      <sharedItems containsNonDate="0" containsString="0" containsBlank="1"/>
    </cacheField>
    <cacheField name="Primary LU_7"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aniket singh" refreshedDate="45699.381380208331" refreshedVersion="8" recordCount="977" xr:uid="{00000000-000A-0000-FFFF-FFFF07000000}">
  <cacheSource type="worksheet">
    <worksheetSource ref="A1:AT978" sheet="G9 Science"/>
  </cacheSource>
  <cacheFields count="46">
    <cacheField name="Template" numFmtId="0">
      <sharedItems containsBlank="1"/>
    </cacheField>
    <cacheField name="Board" numFmtId="0">
      <sharedItems containsBlank="1"/>
    </cacheField>
    <cacheField name="Grade" numFmtId="0">
      <sharedItems containsBlank="1" count="2">
        <s v="Class 9"/>
        <m/>
      </sharedItems>
    </cacheField>
    <cacheField name="Subject" numFmtId="0">
      <sharedItems containsBlank="1" count="4">
        <s v="Chemistry"/>
        <s v="Biology"/>
        <s v="Physics"/>
        <m/>
      </sharedItems>
    </cacheField>
    <cacheField name="Chapter (NCERT/AcadAlly's name)" numFmtId="0">
      <sharedItems containsBlank="1" count="13">
        <s v="Matter in Our Surroundings"/>
        <s v="Is Matter Around Us Pure?"/>
        <s v="Atoms and Molecules"/>
        <s v="Structure of  Atom "/>
        <s v="The Fundamental Unit of Life"/>
        <s v="Tissues"/>
        <s v="Motion "/>
        <s v="Force and Laws of Motion "/>
        <s v="Gravitation "/>
        <s v="Work and Energy "/>
        <s v="Sound"/>
        <s v="Improvement in Food Resources"/>
        <m/>
      </sharedItems>
    </cacheField>
    <cacheField name="Topic" numFmtId="0">
      <sharedItems containsBlank="1" count="81">
        <s v="Matter and its significance"/>
        <s v="Matter and its general properties"/>
        <s v="Three states of matter"/>
        <s v="Comparison of the three states of matter"/>
        <s v="Factors affecting state of matter"/>
        <s v="Effect of temperature on state of matter"/>
        <s v="Effect of pressure on state of matter"/>
        <s v="Evaporation changing state of matter"/>
        <s v="Mixture and its types"/>
        <s v="Concentration of solution"/>
        <s v="Suspension and Colloids"/>
        <s v="Comparison of different types of solution"/>
        <s v="Chemical and Physical changes"/>
        <s v="Elements and compounds"/>
        <s v="Mixture and pure substances"/>
        <s v="Laws of Chemical Combination"/>
        <s v="Atoms and Elements "/>
        <s v="Introduction to Atomic Mass"/>
        <s v="Exploring Molecules and Ions"/>
        <s v="Writing Chemical Formula"/>
        <s v="Molecular Mass"/>
        <s v="Structure of an Atom "/>
        <s v="Rutherford Model"/>
        <s v="Bohr's Model"/>
        <s v="Distribution of Electrons in Different Orbits"/>
        <s v="Atomic and Mass Number "/>
        <s v="Smallest unit of Life"/>
        <s v="Function of Plasma/Cell Membrane "/>
        <s v="Function of Cell wall"/>
        <s v="Nucleus and its significance"/>
        <s v="Cytoplasm and basics of cell organelles."/>
        <s v="Golgi Apparatus and Lysosomes"/>
        <s v="Cellular organelles-Mitochondria, Plastids, Vacuoles"/>
        <s v="How does a cell divide?"/>
        <s v="Variety of tissues"/>
        <s v="Types of Plant Tissues"/>
        <s v="Types of Simple Permanent Tissues"/>
        <s v="Types of Complex Permanent Tissues"/>
        <s v="Simple versus Complex Permanent Tissue"/>
        <s v="Epithelial tissue and its types"/>
        <s v="Connective tissue and its types"/>
        <s v="Muscular tissues and Neuron"/>
        <s v="Motion and Reference Frames"/>
        <s v="Basics of Motion"/>
        <s v="Measuring the Rate of Motion "/>
        <s v="Introduction to Acceleration"/>
        <s v="Graphical Representation of Motion "/>
        <s v="Equations of Motion"/>
        <s v="Application of Equations of Motion"/>
        <s v="Circular Motion "/>
        <s v="Understanding Force"/>
        <s v="Newton's First Law of Motion "/>
        <s v="Newton's Second Law of Motion "/>
        <s v="Newton's Third Law of Motion "/>
        <s v="Gravitational Force "/>
        <s v="Universal Law of Gravitation "/>
        <s v="Acceleration due to Gravity"/>
        <s v="Motion of Objects Under Gravity"/>
        <s v="Mass and Weight"/>
        <s v="Thrust and Pressure "/>
        <s v="Buoyancy "/>
        <s v="Work Done by a Constant Force"/>
        <s v="Understanding Kinetic Energy "/>
        <s v="Understanding Potential Energy"/>
        <s v="Conservation of Energy "/>
        <s v="Power"/>
        <s v="Production of Sound"/>
        <s v="Propagation of Sound"/>
        <s v="Graphical Representation of Sound Wave "/>
        <s v="Exploring Characteristics of Sound Wave "/>
        <s v="Reflection of Sound Wave "/>
        <s v="Ultrasound and Infrasound"/>
        <s v="Need  of Better Crops"/>
        <s v="Nutrient management for Crops"/>
        <s v="Organic farming and cropping patterns"/>
        <s v="Irrigation practices"/>
        <s v="Crop protection strategies"/>
        <s v="Animal husbandry and Cattle farming"/>
        <s v="Poultry Farming"/>
        <s v="Fish production and Bee keeping"/>
        <m/>
      </sharedItems>
    </cacheField>
    <cacheField name="LUID" numFmtId="0">
      <sharedItems containsBlank="1"/>
    </cacheField>
    <cacheField name="LUs Covered" numFmtId="0">
      <sharedItems containsBlank="1"/>
    </cacheField>
    <cacheField name="LO ID (Remember)" numFmtId="0">
      <sharedItems containsBlank="1"/>
    </cacheField>
    <cacheField name="LO Name (Remember)" numFmtId="0">
      <sharedItems containsBlank="1"/>
    </cacheField>
    <cacheField name="LO ID (Understand)" numFmtId="0">
      <sharedItems containsBlank="1"/>
    </cacheField>
    <cacheField name="LO Name (Understand)" numFmtId="0">
      <sharedItems containsBlank="1"/>
    </cacheField>
    <cacheField name="LO ID (Apply)" numFmtId="0">
      <sharedItems containsBlank="1"/>
    </cacheField>
    <cacheField name="LO Name (Apply)" numFmtId="0">
      <sharedItems containsBlank="1"/>
    </cacheField>
    <cacheField name="LO ID (Analyse)" numFmtId="0">
      <sharedItems containsBlank="1"/>
    </cacheField>
    <cacheField name="LO Name (Analyse)" numFmtId="0">
      <sharedItems containsBlank="1"/>
    </cacheField>
    <cacheField name="LO ID (Evaluate)" numFmtId="0">
      <sharedItems containsBlank="1"/>
    </cacheField>
    <cacheField name="LO Name (Evaluate)" numFmtId="0">
      <sharedItems containsBlank="1"/>
    </cacheField>
    <cacheField name="LO ID (Create)" numFmtId="0">
      <sharedItems containsBlank="1"/>
    </cacheField>
    <cacheField name="LO Name (Create)" numFmtId="0">
      <sharedItems containsBlank="1"/>
    </cacheField>
    <cacheField name="Clone_x000a_Level 1" numFmtId="0">
      <sharedItems containsBlank="1" containsMixedTypes="1" containsNumber="1" containsInteger="1" minValue="2" maxValue="19"/>
    </cacheField>
    <cacheField name="Clone_x000a_Level 2" numFmtId="0">
      <sharedItems containsBlank="1" containsMixedTypes="1" containsNumber="1" containsInteger="1" minValue="6" maxValue="7"/>
    </cacheField>
    <cacheField name="Clone_x000a_Level 3" numFmtId="0">
      <sharedItems containsBlank="1" containsMixedTypes="1" containsNumber="1" containsInteger="1" minValue="2" maxValue="5"/>
    </cacheField>
    <cacheField name="Clone Total" numFmtId="0">
      <sharedItems containsBlank="1" containsMixedTypes="1" containsNumber="1" containsInteger="1" minValue="11" maxValue="31"/>
    </cacheField>
    <cacheField name="Original_x000a_Level 1" numFmtId="0">
      <sharedItems containsBlank="1" containsMixedTypes="1" containsNumber="1" containsInteger="1" minValue="2" maxValue="12"/>
    </cacheField>
    <cacheField name="Original_x000a_Level 2" numFmtId="0">
      <sharedItems containsBlank="1" containsMixedTypes="1" containsNumber="1" containsInteger="1" minValue="3" maxValue="5"/>
    </cacheField>
    <cacheField name="Original_x000a_Level 3" numFmtId="0">
      <sharedItems containsBlank="1" containsMixedTypes="1" containsNumber="1" containsInteger="1" minValue="1" maxValue="1"/>
    </cacheField>
    <cacheField name="Original Total" numFmtId="0">
      <sharedItems containsBlank="1" containsMixedTypes="1" containsNumber="1" containsInteger="1" minValue="6" maxValue="16"/>
    </cacheField>
    <cacheField name="Unknown_x000a_Level 1" numFmtId="0">
      <sharedItems containsBlank="1" containsMixedTypes="1" containsNumber="1" containsInteger="1" minValue="1" maxValue="1"/>
    </cacheField>
    <cacheField name="Unknown_x000a_Level 2" numFmtId="0">
      <sharedItems containsBlank="1" containsMixedTypes="1" containsNumber="1" containsInteger="1" minValue="1" maxValue="1"/>
    </cacheField>
    <cacheField name="Unknown_x000a_Level 3" numFmtId="0">
      <sharedItems containsBlank="1"/>
    </cacheField>
    <cacheField name="Unknown Total" numFmtId="0">
      <sharedItems containsBlank="1" containsMixedTypes="1" containsNumber="1" containsInteger="1" minValue="2" maxValue="2"/>
    </cacheField>
    <cacheField name="Primary LUID_1" numFmtId="0">
      <sharedItems containsBlank="1"/>
    </cacheField>
    <cacheField name="Primary LU_1" numFmtId="0">
      <sharedItems containsBlank="1"/>
    </cacheField>
    <cacheField name="Primary LUID_2" numFmtId="0">
      <sharedItems containsBlank="1"/>
    </cacheField>
    <cacheField name="Primary LU_2" numFmtId="0">
      <sharedItems containsBlank="1"/>
    </cacheField>
    <cacheField name="Primary LUID_3" numFmtId="0">
      <sharedItems containsBlank="1"/>
    </cacheField>
    <cacheField name="Primary LU_3" numFmtId="0">
      <sharedItems containsBlank="1"/>
    </cacheField>
    <cacheField name="Primary LUID_4" numFmtId="0">
      <sharedItems containsBlank="1"/>
    </cacheField>
    <cacheField name="Primary LU_4" numFmtId="0">
      <sharedItems containsBlank="1"/>
    </cacheField>
    <cacheField name="Primary LUID_5" numFmtId="0">
      <sharedItems containsNonDate="0" containsString="0" containsBlank="1"/>
    </cacheField>
    <cacheField name="Primary LU_5" numFmtId="0">
      <sharedItems containsNonDate="0" containsString="0" containsBlank="1"/>
    </cacheField>
    <cacheField name="Primary LUID_6" numFmtId="0">
      <sharedItems containsNonDate="0" containsString="0" containsBlank="1"/>
    </cacheField>
    <cacheField name="Primary LU_6" numFmtId="0">
      <sharedItems containsNonDate="0" containsString="0" containsBlank="1"/>
    </cacheField>
    <cacheField name="Primary LUID_7" numFmtId="0">
      <sharedItems containsNonDate="0" containsString="0" containsBlank="1"/>
    </cacheField>
    <cacheField name="Primary LU_7"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aniket singh" refreshedDate="45699.381380671293" refreshedVersion="8" recordCount="1071" xr:uid="{00000000-000A-0000-FFFF-FFFF06000000}">
  <cacheSource type="worksheet">
    <worksheetSource ref="A1:AT1072" sheet="G9 Maths"/>
  </cacheSource>
  <cacheFields count="46">
    <cacheField name="Template" numFmtId="0">
      <sharedItems containsBlank="1"/>
    </cacheField>
    <cacheField name="Board" numFmtId="0">
      <sharedItems containsBlank="1"/>
    </cacheField>
    <cacheField name="Grade" numFmtId="0">
      <sharedItems containsBlank="1" count="2">
        <s v="Class 9"/>
        <m/>
      </sharedItems>
    </cacheField>
    <cacheField name="Subject" numFmtId="0">
      <sharedItems containsBlank="1" count="2">
        <s v="Maths"/>
        <m/>
      </sharedItems>
    </cacheField>
    <cacheField name="Chapter (NCERT/AcadAlly's name)" numFmtId="0">
      <sharedItems containsBlank="1" count="13">
        <s v="Number system"/>
        <s v="Polynomials"/>
        <s v="Coordinate Geometry"/>
        <s v="Linear Equations in Two Variables"/>
        <s v="Introduction to Euclid's Geometry"/>
        <s v="Lines and Angles"/>
        <s v="Triangles"/>
        <s v="Quadrilaterals"/>
        <s v="Circles"/>
        <s v="Heron's formula"/>
        <s v="Surface Areas and Volumes"/>
        <s v="Statistics"/>
        <m/>
      </sharedItems>
    </cacheField>
    <cacheField name="Topic" numFmtId="0">
      <sharedItems containsBlank="1" count="64">
        <s v="Real Numbers and Their Representation on Number Line"/>
        <s v="Real Numbers and Their Decimal Expansions - I"/>
        <s v="Real Numbers and Their Decimal Expansions - II"/>
        <s v="Operations on Rational and Irrational Numbers - I"/>
        <s v="Operations on Rational and Irrational Numbers - II"/>
        <s v="Operation on Irrational Numbers - I"/>
        <s v="Operation on Irrational Numbers - II"/>
        <s v="nth Root of a Positive Real Number"/>
        <s v="Simplification of Expressions Involving Square Roots Using Identities"/>
        <s v="Square Root Identities for Positive Real Numbers - I"/>
        <s v="Square Root Identities for Positive Real Numbers - II"/>
        <s v="Applying Square Root Identities"/>
        <s v="Rationalising the Denominator"/>
        <s v="Laws of Exponents for Real Numbers - I"/>
        <s v="Laws of Exponents for Real Numbers - II"/>
        <s v="Introduction to Polynomial"/>
        <s v="Classification of Polynomials Based on Degree - I"/>
        <s v="Classification of Polynomials Based on Degree - II"/>
        <s v="General Form and Value of Polynomial in One Variable"/>
        <s v="Zeroes of a Polynomial"/>
        <s v="Factorisation of Polynomials - I"/>
        <s v="Factorisation of Polynomials - II"/>
        <s v="Factorisation using algebraic identities - I"/>
        <s v="Factorisation using algebraic identities - II"/>
        <s v="Factorisation using algebraic identities - III"/>
        <s v="Factorisation using algebraic identities - IV"/>
        <s v="Introduction to Cartesian Plane"/>
        <s v="Coordinates of a Point in Different Quadrants - I"/>
        <s v="Coordinates of a Point in Different Quadrants - II"/>
        <s v="Coordinates of a Point in Different Quadrants - III"/>
        <s v="Introduction to Linear Equation in Two Variables"/>
        <s v="Conversion of Statements into Linear Equation in Two Variables"/>
        <s v="Solution of Linear Equations in Two Variables"/>
        <s v="Euclid's Definitions"/>
        <s v="Euclid's Axioms"/>
        <s v="Euclid's Postulates"/>
        <s v="Pairs of Angles - I"/>
        <s v="Pairs of Angles - II"/>
        <s v="Lines Parallel to the Same Line"/>
        <s v="Introduction to Congruence"/>
        <s v="Criteria for Congruence of Triangles"/>
        <s v="Properties of a Triangle"/>
        <s v="More Criteria for Congruence of Triangles"/>
        <s v="Theorems of Parallelograms - I"/>
        <s v="Theorems of Parallelograms - II"/>
        <s v="Theorems of Parallelograms - III"/>
        <s v="Mid Point Theorem and its Converse"/>
        <s v="Theorems on Equality of Chords and Angles in a Circle"/>
        <s v="Theorems on Perpendicular from the Centre to a Chord"/>
        <s v="Equal Chords and their Distances from the Centre"/>
        <s v="Angle Subtended by an Arc of a Circle"/>
        <s v="Theorems on Angles in a Segment"/>
        <s v="Cyclic Quadrilaterals - I"/>
        <s v="Cyclic Quadrilaterals - II"/>
        <s v="Area of a Triangle using Heron's Formula"/>
        <s v="Surface Area of a Right Circular Cone"/>
        <s v="Surface Area of a Sphere"/>
        <s v="Surface Area of a Hemisphere"/>
        <s v="Volume of a Sphere and Hemisphere"/>
        <s v="Volume of a Right Circular Cone"/>
        <s v="Histogram"/>
        <s v="Frequency Polygon"/>
        <s v="Multiple Frequency Polygons"/>
        <m/>
      </sharedItems>
    </cacheField>
    <cacheField name="LUID" numFmtId="0">
      <sharedItems containsBlank="1"/>
    </cacheField>
    <cacheField name="LUs Covered" numFmtId="0">
      <sharedItems containsBlank="1"/>
    </cacheField>
    <cacheField name="LO ID (Remember)" numFmtId="0">
      <sharedItems containsBlank="1"/>
    </cacheField>
    <cacheField name="LO Name (Remember)" numFmtId="0">
      <sharedItems containsBlank="1"/>
    </cacheField>
    <cacheField name="LO ID (Understand)" numFmtId="0">
      <sharedItems containsBlank="1"/>
    </cacheField>
    <cacheField name="LO Name (Understand)" numFmtId="0">
      <sharedItems containsBlank="1"/>
    </cacheField>
    <cacheField name="LO ID (Apply)" numFmtId="0">
      <sharedItems containsBlank="1"/>
    </cacheField>
    <cacheField name="LO Name (Apply)" numFmtId="0">
      <sharedItems containsBlank="1"/>
    </cacheField>
    <cacheField name="LO ID (Analyse)" numFmtId="0">
      <sharedItems containsBlank="1"/>
    </cacheField>
    <cacheField name="LO Name (Analyse)" numFmtId="0">
      <sharedItems containsBlank="1"/>
    </cacheField>
    <cacheField name="LO ID (Evaluate)" numFmtId="0">
      <sharedItems containsBlank="1"/>
    </cacheField>
    <cacheField name="LO Name (Evaluate)" numFmtId="0">
      <sharedItems containsBlank="1"/>
    </cacheField>
    <cacheField name="LO ID (Create)" numFmtId="0">
      <sharedItems containsBlank="1"/>
    </cacheField>
    <cacheField name="LO Name (Create)" numFmtId="0">
      <sharedItems containsBlank="1"/>
    </cacheField>
    <cacheField name="Clone_x000a_Level 1" numFmtId="0">
      <sharedItems containsBlank="1" containsMixedTypes="1" containsNumber="1" containsInteger="1" minValue="4" maxValue="5"/>
    </cacheField>
    <cacheField name="Clone_x000a_Level 2" numFmtId="0">
      <sharedItems containsBlank="1" containsMixedTypes="1" containsNumber="1" containsInteger="1" minValue="6" maxValue="6"/>
    </cacheField>
    <cacheField name="Clone_x000a_Level 3" numFmtId="0">
      <sharedItems containsBlank="1" containsMixedTypes="1" containsNumber="1" containsInteger="1" minValue="2" maxValue="2"/>
    </cacheField>
    <cacheField name="Clone Total" numFmtId="0">
      <sharedItems containsBlank="1" containsMixedTypes="1" containsNumber="1" containsInteger="1" minValue="12" maxValue="13"/>
    </cacheField>
    <cacheField name="Original_x000a_Level 1" numFmtId="0">
      <sharedItems containsBlank="1" containsMixedTypes="1" containsNumber="1" containsInteger="1" minValue="4" maxValue="4"/>
    </cacheField>
    <cacheField name="Original_x000a_Level 2" numFmtId="0">
      <sharedItems containsBlank="1" containsMixedTypes="1" containsNumber="1" containsInteger="1" minValue="3" maxValue="3"/>
    </cacheField>
    <cacheField name="Original_x000a_Level 3" numFmtId="0">
      <sharedItems containsBlank="1" containsMixedTypes="1" containsNumber="1" containsInteger="1" minValue="1" maxValue="1"/>
    </cacheField>
    <cacheField name="Original Total" numFmtId="0">
      <sharedItems containsBlank="1" containsMixedTypes="1" containsNumber="1" containsInteger="1" minValue="8" maxValue="8"/>
    </cacheField>
    <cacheField name="Unknown_x000a_Level 1" numFmtId="0">
      <sharedItems containsBlank="1"/>
    </cacheField>
    <cacheField name="Unknown_x000a_Level 2" numFmtId="0">
      <sharedItems containsBlank="1"/>
    </cacheField>
    <cacheField name="Unknown_x000a_Level 3" numFmtId="0">
      <sharedItems containsBlank="1"/>
    </cacheField>
    <cacheField name="Total" numFmtId="0">
      <sharedItems containsBlank="1"/>
    </cacheField>
    <cacheField name="Primary LUID_1" numFmtId="0">
      <sharedItems containsBlank="1"/>
    </cacheField>
    <cacheField name="Primary LU_1" numFmtId="0">
      <sharedItems containsBlank="1"/>
    </cacheField>
    <cacheField name="Primary LUID_2" numFmtId="0">
      <sharedItems containsBlank="1"/>
    </cacheField>
    <cacheField name="Primary LU_2" numFmtId="0">
      <sharedItems containsBlank="1"/>
    </cacheField>
    <cacheField name="Primary LUID_3" numFmtId="0">
      <sharedItems containsBlank="1"/>
    </cacheField>
    <cacheField name="Primary LU_3" numFmtId="0">
      <sharedItems containsBlank="1"/>
    </cacheField>
    <cacheField name="Primary LUID_4" numFmtId="0">
      <sharedItems containsBlank="1"/>
    </cacheField>
    <cacheField name="Primary LU_4" numFmtId="0">
      <sharedItems containsBlank="1"/>
    </cacheField>
    <cacheField name="Primary LUID_5" numFmtId="0">
      <sharedItems containsNonDate="0" containsString="0" containsBlank="1"/>
    </cacheField>
    <cacheField name="Primary LU_5" numFmtId="0">
      <sharedItems containsNonDate="0" containsString="0" containsBlank="1"/>
    </cacheField>
    <cacheField name="Primary LUID_6" numFmtId="0">
      <sharedItems containsNonDate="0" containsString="0" containsBlank="1"/>
    </cacheField>
    <cacheField name="Primary LU_6" numFmtId="0">
      <sharedItems containsNonDate="0" containsString="0" containsBlank="1"/>
    </cacheField>
    <cacheField name="Primary LUID_7" numFmtId="0">
      <sharedItems containsNonDate="0" containsString="0" containsBlank="1"/>
    </cacheField>
    <cacheField name="Primary LU_7"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2">
  <r>
    <x v="0"/>
    <s v="CBSE"/>
    <x v="0"/>
    <x v="0"/>
    <x v="0"/>
    <x v="0"/>
    <s v="LU001344"/>
    <s v="Patterns in Numbers"/>
    <s v="LU001344.001"/>
    <s v="Identify and recall common number sequences such as counting numbers, odd numbers, and even numbers."/>
    <s v="LU001344.002"/>
    <s v="Explain the pattern and rule governing different number sequences."/>
    <s v="LU001344.003"/>
    <s v="Use the rules of number sequences to predict the next numbers in a given pattern."/>
    <s v="LU001344.004"/>
    <s v="Compare and contrast different number sequences, identifying their similarities and differences."/>
    <s v="LU001344.005"/>
    <s v="Assess the correctness of a given number sequence by checking if it follows the expected pattern, such as evaluating a sequence of powers of 2."/>
    <s v="LU001344.006"/>
    <s v="Design a new number sequence based on a mathematical rule, and provide a visual representation of this sequence."/>
    <n v="4"/>
    <n v="6"/>
    <n v="2"/>
    <n v="12"/>
    <n v="4"/>
    <n v="3"/>
    <n v="1"/>
    <n v="8"/>
    <m/>
    <m/>
    <m/>
    <m/>
    <s v="LU000068"/>
    <s v="Number pattern involving multiple arithmetic operations (multiplication and addition; division and subtraction)"/>
    <s v="LU000125"/>
    <s v="Uses of multiplication in patterns, games, and puzzles"/>
    <m/>
    <m/>
    <m/>
    <m/>
    <m/>
    <m/>
    <m/>
    <m/>
    <m/>
    <m/>
  </r>
  <r>
    <x v="0"/>
    <s v="CBSE"/>
    <x v="0"/>
    <x v="0"/>
    <x v="0"/>
    <x v="1"/>
    <s v="LU001345"/>
    <s v="Relation between sequences: Adding up odd numbers"/>
    <s v="LU001345.001"/>
    <s v="Recall the pattern that adding up consecutive odd numbers results in square numbers."/>
    <s v="LU001345.002"/>
    <s v="Explain why the sum of consecutive odd numbers forms a sequence of square numbers."/>
    <s v="LU001345.003"/>
    <s v="Calculate the sum of the first 'n' odd numbers and verify that it equals the square of 'n'."/>
    <s v="LU001345.004"/>
    <s v="Analyze how the addition of odd numbers can be visualized to understand their relationship with square numbers."/>
    <s v="LU001345.005"/>
    <s v="Evaluate the validity of a sequence generated by adding odd numbers and justify why it forms square numbers."/>
    <s v="LU001345.006"/>
    <s v="Develop a visual method to represent the sum of odd numbers and demonstrate its application to larger sequences."/>
    <n v="4"/>
    <n v="6"/>
    <n v="2"/>
    <n v="12"/>
    <n v="4"/>
    <n v="3"/>
    <n v="1"/>
    <n v="8"/>
    <m/>
    <m/>
    <m/>
    <m/>
    <s v="LU000198"/>
    <s v="Odd number"/>
    <m/>
    <m/>
    <m/>
    <m/>
    <m/>
    <m/>
    <m/>
    <m/>
    <m/>
    <m/>
    <m/>
    <m/>
  </r>
  <r>
    <x v="0"/>
    <s v="CBSE"/>
    <x v="0"/>
    <x v="0"/>
    <x v="0"/>
    <x v="1"/>
    <s v="LU001346"/>
    <s v="Relation between sequences: Adding the counting numbers up and then down"/>
    <s v="LU001346.001"/>
    <s v="Identify the sequence generated by adding counting numbers up and then down."/>
    <s v="LU001346.002"/>
    <s v="Describe how adding counting numbers up and then down results in square numbers."/>
    <s v="LU001346.003"/>
    <s v="Apply the method of adding counting numbers up and down to find specific square numbers."/>
    <s v="LU001346.004"/>
    <s v="Break down the process of adding counting numbers up and then down to reveal the underlying pattern."/>
    <s v="LU001346.005"/>
    <s v="Assess the efficiency of using this method to calculate square numbers compared to other methods."/>
    <s v="LU001346.006"/>
    <s v="Design a sequence that uses a similar method to generate new mathematical patterns and explain its properties."/>
    <n v="4"/>
    <n v="6"/>
    <n v="2"/>
    <n v="12"/>
    <n v="4"/>
    <n v="3"/>
    <n v="1"/>
    <n v="8"/>
    <m/>
    <m/>
    <m/>
    <m/>
    <s v="LU000175"/>
    <s v="Definition of natural number "/>
    <m/>
    <m/>
    <m/>
    <m/>
    <m/>
    <m/>
    <m/>
    <m/>
    <m/>
    <m/>
    <m/>
    <m/>
  </r>
  <r>
    <x v="0"/>
    <s v="CBSE"/>
    <x v="0"/>
    <x v="0"/>
    <x v="0"/>
    <x v="2"/>
    <s v="LU001347"/>
    <s v="Patterns in shapes"/>
    <s v="LU001347.001"/>
    <s v="Identify different shape sequences, such as regular polygons and stacked squares."/>
    <s v="LU001347.002"/>
    <s v="Explain the relationship between shape sequences and corresponding number sequences."/>
    <s v="LU001347.003"/>
    <s v="Use shape sequences to predict the next shape in a sequence."/>
    <s v="LU001347.004"/>
    <s v="Analyze how the number of sides or vertices in a shape sequence relates to the sequence of numbers."/>
    <s v="LU001347.005"/>
    <s v="Evaluate the accuracy of a given shape sequence by comparing it to the underlying mathematical rule."/>
    <s v="LU001347.006"/>
    <s v="Create a new shape sequence based on a geometric rule and describe its relationship to a number sequence."/>
    <n v="4"/>
    <n v="6"/>
    <n v="2"/>
    <n v="12"/>
    <n v="4"/>
    <n v="3"/>
    <n v="1"/>
    <n v="8"/>
    <m/>
    <m/>
    <m/>
    <m/>
    <s v="LU000016"/>
    <s v="Formation of 2D shapes using straight lines"/>
    <s v="LU001344"/>
    <s v="Patterns in Numbers"/>
    <m/>
    <m/>
    <m/>
    <m/>
    <m/>
    <m/>
    <m/>
    <m/>
    <m/>
    <m/>
  </r>
  <r>
    <x v="0"/>
    <s v="CBSE"/>
    <x v="0"/>
    <x v="0"/>
    <x v="1"/>
    <x v="3"/>
    <s v="LU000218"/>
    <s v="Definition of point"/>
    <s v="LU000218.001"/>
    <s v="Define a point."/>
    <s v="LU000218.002"/>
    <s v="Describe the properties of a point"/>
    <s v="LU000218.003"/>
    <s v="Identify and label points in geometric figures and surroundings."/>
    <s v="LU000218.004"/>
    <s v="Compare and contrast the properties of points with those of other geometric elements"/>
    <s v="LU000218.005"/>
    <s v="Assess the role of points in problem-solving and spatial reasoning in geometry"/>
    <s v="LU000218.006"/>
    <s v="Construct real-world scenarios where the understanding of points is essential for solving spatial problems"/>
    <n v="4"/>
    <n v="6"/>
    <n v="2"/>
    <n v="12"/>
    <n v="4"/>
    <n v="2"/>
    <n v="1"/>
    <n v="7"/>
    <m/>
    <m/>
    <m/>
    <m/>
    <s v=""/>
    <m/>
    <m/>
    <m/>
    <m/>
    <m/>
    <m/>
    <m/>
    <m/>
    <m/>
    <m/>
    <m/>
    <m/>
    <m/>
  </r>
  <r>
    <x v="0"/>
    <s v="CBSE"/>
    <x v="0"/>
    <x v="0"/>
    <x v="1"/>
    <x v="3"/>
    <s v="LU000219"/>
    <s v="Definition of line segment"/>
    <s v="LU000219.001"/>
    <s v="Provide examples from the surroundings in order to describe line segment."/>
    <s v="LU000219.002"/>
    <s v="Explain the concept of line segment and identify line segments."/>
    <s v="LU000219.003"/>
    <s v="Explain the representation of the line segment."/>
    <s v="LU000219.004"/>
    <s v="Draw a line segment of a given length and label its endpoints."/>
    <s v="LU000219.005"/>
    <s v="Analyze geometric diagrams and identify line segments."/>
    <s v="LU000219.006"/>
    <s v="Design a geometric figure or pattern using line segments."/>
    <n v="5"/>
    <n v="6"/>
    <n v="2"/>
    <n v="13"/>
    <n v="4"/>
    <n v="4"/>
    <n v="1"/>
    <n v="9"/>
    <m/>
    <m/>
    <m/>
    <m/>
    <s v="LU000218"/>
    <s v="Definition of point"/>
    <m/>
    <m/>
    <m/>
    <m/>
    <m/>
    <m/>
    <m/>
    <m/>
    <m/>
    <m/>
    <m/>
    <m/>
  </r>
  <r>
    <x v="0"/>
    <s v="CBSE"/>
    <x v="0"/>
    <x v="0"/>
    <x v="1"/>
    <x v="4"/>
    <s v="LU000220"/>
    <s v="Definition of line"/>
    <s v="LU000220.001"/>
    <s v="Define a line."/>
    <s v="LU000220.002"/>
    <s v="Explain the representation of a line."/>
    <s v="LU000220.003"/>
    <s v="Apply the knowledge of lines to identify and represent them in geometric diagrams."/>
    <s v="LU000220.004"/>
    <s v="Differentiate between a line and a line segment."/>
    <s v="LU000220.005"/>
    <s v="Analyze geometric diagrams and identify line."/>
    <s v="LU000220.006"/>
    <s v="Design a geometric figure using line."/>
    <n v="4"/>
    <n v="4"/>
    <n v="2"/>
    <n v="10"/>
    <n v="4"/>
    <n v="5"/>
    <n v="1"/>
    <n v="10"/>
    <m/>
    <m/>
    <m/>
    <m/>
    <s v="LU000219"/>
    <s v="Definition of line segment"/>
    <s v="LU000218"/>
    <s v="Definition of point"/>
    <m/>
    <m/>
    <m/>
    <m/>
    <m/>
    <m/>
    <m/>
    <m/>
    <m/>
    <m/>
  </r>
  <r>
    <x v="0"/>
    <s v="CBSE"/>
    <x v="0"/>
    <x v="0"/>
    <x v="1"/>
    <x v="4"/>
    <s v="LU000223"/>
    <s v="Definition of ray"/>
    <s v="LU000223.001"/>
    <s v="Recall the definition of a ray."/>
    <s v="LU000223.002"/>
    <s v="Explain the concept of ray and identify rays."/>
    <s v="LU000223.003"/>
    <s v="Apply the understanding of rays to identify and label them in geometric diagrams, distinguishing them from line segments and lines."/>
    <s v="LU000223.004"/>
    <s v="Analyse the characteristics of rays, including their starting point, direction, and the fact that they extend infinitely in one direction."/>
    <s v="LU000223.005"/>
    <s v="Evaluate the importance of rays in geometry, considering how they provide a clear representation of direction and half-lines."/>
    <s v="LU000223.006"/>
    <s v="Create diagrams or visual representations illustrating rays in various orientations, highlighting their starting points and the direction of their extension."/>
    <n v="8"/>
    <n v="9"/>
    <n v="4"/>
    <n v="21"/>
    <n v="4"/>
    <n v="5"/>
    <n v="1"/>
    <n v="10"/>
    <m/>
    <m/>
    <m/>
    <m/>
    <s v="LU000220"/>
    <s v="Definition of line"/>
    <s v="LU000218"/>
    <s v="Definition of point"/>
    <s v="LU000219"/>
    <s v="Definition of line segment"/>
    <m/>
    <m/>
    <m/>
    <m/>
    <m/>
    <m/>
    <m/>
    <m/>
  </r>
  <r>
    <x v="0"/>
    <s v="CBSE"/>
    <x v="0"/>
    <x v="0"/>
    <x v="1"/>
    <x v="5"/>
    <s v="LU000228"/>
    <s v="Parts of an angle"/>
    <s v="LU000228.001"/>
    <s v="Recall the definitions of lexical explanation of angles., including arms or sides, vertex, interior, and exterior of an angle."/>
    <s v="LU000228.002"/>
    <s v="Apply the knowledge of angle naming to correctly label and identify angles in given geometric figures."/>
    <s v="LU000228.003"/>
    <s v="Apply the knowledge of angle components to accurately label and describe the arms or sides, vertex, interior, and exterior of various angles in given geometric figures."/>
    <s v="LU000228.004"/>
    <s v="Dissect and categorize the different components of an angle, analyzing their relationships and functions within various types of angles."/>
    <s v="LU000228.005"/>
    <s v="Evaluate the significance of understanding angle components, recognizing how the arms or sides, vertex, interior, and exterior collectively contribute to angle measurement and spatial interpretation."/>
    <s v="LU000228.006"/>
    <s v="Create visual representations of angles with their components, showcasing the ability to illustrate arms or sides, vertex, interior, and exterior accurately and consistently."/>
    <n v="5"/>
    <n v="5"/>
    <n v="2"/>
    <n v="12"/>
    <n v="5"/>
    <n v="7"/>
    <n v="1"/>
    <n v="13"/>
    <m/>
    <m/>
    <m/>
    <m/>
    <s v="LU000014"/>
    <s v="Definition of an angle"/>
    <s v="LU000223"/>
    <s v="Definition of ray"/>
    <s v="LU000218"/>
    <s v="Definition of point"/>
    <s v="LU000221"/>
    <s v="Definition and identification of intersecting lines"/>
    <s v="LU000219"/>
    <s v="Definition of line segment"/>
    <m/>
    <m/>
    <m/>
    <m/>
  </r>
  <r>
    <x v="0"/>
    <s v="CBSE"/>
    <x v="0"/>
    <x v="0"/>
    <x v="1"/>
    <x v="5"/>
    <s v="LU001348"/>
    <s v="Comparision of angles"/>
    <s v="LU001348.001"/>
    <s v="Recall the basic methods of comparing angles using superimposition and without superimposition."/>
    <s v="LU001348.002"/>
    <s v="Describe how superimposition and non-superimposition methods are used to compare the sizes of angles."/>
    <s v="LU001348.003"/>
    <s v="Using superimposition and non-superimposition techniques to determine the larger/smaller of two given angles."/>
    <s v="LU001348.004"/>
    <s v="Compare and contrast the effectiveness of superimposition versus non-superimposition methods for angle comparison."/>
    <s v="LU001348.005"/>
    <s v="Judge the accuracy of angle comparison results obtained by superimposition against those obtained without it."/>
    <s v="LU001348.006"/>
    <s v="Develop a step-by-step guide for comparing angles using both superimposition and non-superimposition methods, suitable for classroom use."/>
    <n v="4"/>
    <n v="6"/>
    <n v="2"/>
    <n v="12"/>
    <n v="4"/>
    <n v="3"/>
    <n v="1"/>
    <n v="8"/>
    <m/>
    <m/>
    <m/>
    <m/>
    <s v="LU000228"/>
    <s v="Parts of an angle"/>
    <s v="LU000014"/>
    <s v="Definition of an angle"/>
    <s v="LU000223"/>
    <s v="Definition of ray"/>
    <s v="LU000218"/>
    <s v="Definition of point"/>
    <m/>
    <m/>
    <m/>
    <m/>
    <m/>
    <m/>
  </r>
  <r>
    <x v="0"/>
    <s v="CBSE"/>
    <x v="0"/>
    <x v="0"/>
    <x v="1"/>
    <x v="6"/>
    <s v="LU000017"/>
    <s v="Definition of a right angle"/>
    <s v="LU000017.001"/>
    <s v="State that a right angle is an angle that measures exactly 90 degrees."/>
    <s v="LU000017.002"/>
    <s v="Explain what makes an angle a right angle, emphasizing its measurement of 90 degrees."/>
    <s v="LU000017.003"/>
    <s v="Use a protractor or angle measuring tool to identify and draw right angles accurately in geometric figures."/>
    <s v="LU000017.004"/>
    <s v="Examine various shapes and objects in your surroundings to identify instances of right angles."/>
    <s v="LU000017.005"/>
    <s v="Assess the significance of right angles in everyday life"/>
    <s v="LU000017.006"/>
    <s v="Create your own illustrations or diagrams that include right angles, demonstrating a clear understanding of their properties"/>
    <n v="5"/>
    <n v="6"/>
    <n v="7"/>
    <n v="18"/>
    <n v="6"/>
    <n v="4"/>
    <n v="4"/>
    <n v="14"/>
    <m/>
    <m/>
    <m/>
    <m/>
    <s v="LU000014"/>
    <s v="Definition of an angle"/>
    <m/>
    <m/>
    <m/>
    <m/>
    <m/>
    <m/>
    <m/>
    <m/>
    <m/>
    <m/>
    <m/>
    <m/>
  </r>
  <r>
    <x v="0"/>
    <s v="CBSE"/>
    <x v="0"/>
    <x v="0"/>
    <x v="1"/>
    <x v="6"/>
    <s v="LU000259"/>
    <s v="Definition of a straight angle"/>
    <s v="LU000259.001"/>
    <s v="Define a straight angle."/>
    <s v="LU000259.002"/>
    <s v="Explain the concept of a straight angle in your own words, including its relation to right angles."/>
    <s v="LU000259.003"/>
    <s v="Identify straight angles in a geometric figure and calculate the measures of any unknown angles connected to them"/>
    <s v="LU000259.004"/>
    <s v="Analyse different types of angles, including straight angles, and compare their properties."/>
    <s v="LU000259.005"/>
    <s v="Critique the importance of understanding straight angle angles in geometry and its relevance to solving practical problems."/>
    <s v="LU000259.006"/>
    <s v="Create diagrams showcasing examples of a straight angle."/>
    <n v="4"/>
    <n v="3"/>
    <n v="2"/>
    <n v="9"/>
    <n v="4"/>
    <n v="2"/>
    <n v="1"/>
    <n v="7"/>
    <m/>
    <m/>
    <m/>
    <m/>
    <s v="LU000017"/>
    <s v="Definition of a right angle"/>
    <s v="LU000228"/>
    <s v="Parts of an angle"/>
    <s v="LU000014"/>
    <s v="Definition of an angle"/>
    <m/>
    <m/>
    <m/>
    <m/>
    <m/>
    <m/>
    <m/>
    <m/>
  </r>
  <r>
    <x v="0"/>
    <s v="CBSE"/>
    <x v="0"/>
    <x v="0"/>
    <x v="1"/>
    <x v="6"/>
    <s v="LU000260"/>
    <s v="Definition of a complete angle"/>
    <s v="LU000260.001"/>
    <s v="Define a complete angle."/>
    <s v="LU000260.002"/>
    <s v="Explain the concept of a complete angle in your own words, including its relation to right angles."/>
    <s v="LU000260.003"/>
    <s v="Given a geometric figure, identify and classify complete angles within it."/>
    <s v="LU000260.004"/>
    <s v="Analyse different types of angles, including complete angles, and compare their properties."/>
    <s v="LU000260.005"/>
    <s v="Critique the importance of understanding complete angle angles in geometry and its relevance to solving practical problems."/>
    <s v="LU000260.006"/>
    <s v="Create diagrams showcasing examples of a complete angle."/>
    <n v="4"/>
    <n v="6"/>
    <n v="2"/>
    <n v="12"/>
    <n v="4"/>
    <n v="3"/>
    <n v="1"/>
    <n v="8"/>
    <m/>
    <m/>
    <m/>
    <m/>
    <s v="LU000017"/>
    <s v="Definition of a right angle"/>
    <s v="LU000259"/>
    <s v="Definition of a straight angle"/>
    <s v="LU000228"/>
    <s v="Parts of an angle"/>
    <s v="LU000014"/>
    <s v="Definition of an angle"/>
    <m/>
    <m/>
    <m/>
    <m/>
    <m/>
    <m/>
  </r>
  <r>
    <x v="0"/>
    <s v="CBSE"/>
    <x v="0"/>
    <x v="0"/>
    <x v="1"/>
    <x v="7"/>
    <s v="LU000241"/>
    <s v="Relationship between right angles, straight angles, and complete angles"/>
    <s v="LU000241.001"/>
    <s v="Recall definitions of right angles, straight angles, and complete angles."/>
    <s v="LU000241.002"/>
    <s v="Explain how right angles combine to form a straight angle and complete angle."/>
    <s v="LU000241.003"/>
    <s v="Find the number of right/ straight angles in straight/complete angles in geometric shapes."/>
    <s v="LU000241.004"/>
    <s v="Analyse the relationship between right angles, straight angles, and complete angles in various geometric configurations."/>
    <s v="LU000241.005"/>
    <s v="Evaluate the significance of understanding the interrelation of angles in practical situations."/>
    <s v="LU000241.006"/>
    <s v="Construct visual models depicting the progression from right angles to complete angles in geometrical figures."/>
    <n v="7"/>
    <n v="4"/>
    <n v="2"/>
    <n v="13"/>
    <n v="4"/>
    <n v="3"/>
    <n v="1"/>
    <n v="8"/>
    <m/>
    <m/>
    <m/>
    <m/>
    <s v="LU000259"/>
    <s v="Definition of a straight angle"/>
    <s v="LU000260"/>
    <s v="Definition of a complete angle"/>
    <s v="LU000017"/>
    <s v="Definition of a right angle"/>
    <s v="LU000228"/>
    <s v="Parts of an angle"/>
    <s v="LU000014"/>
    <s v="Definition of an angle"/>
    <m/>
    <m/>
    <m/>
    <m/>
  </r>
  <r>
    <x v="0"/>
    <s v="CBSE"/>
    <x v="0"/>
    <x v="0"/>
    <x v="1"/>
    <x v="8"/>
    <s v="LU000244"/>
    <s v="Definition of perpendicular lines"/>
    <s v="LU000244.001"/>
    <s v="Define perpendicular lines"/>
    <s v="LU000244.002"/>
    <s v="Real-life examples of perpendicular lines"/>
    <s v="LU000244.003"/>
    <s v="Identify perpendicular lines in the given figures."/>
    <s v="LU000244.004"/>
    <s v="Analyse real-world examples and identify perpendicular lines"/>
    <s v="LU000244.005"/>
    <s v="#N/A"/>
    <s v="LU000244.006"/>
    <s v="Create diagrams illustrating perpendicular lines in different geometrical figures."/>
    <n v="10"/>
    <n v="2"/>
    <n v="2"/>
    <n v="14"/>
    <n v="4"/>
    <n v="7"/>
    <n v="1"/>
    <n v="12"/>
    <m/>
    <m/>
    <m/>
    <m/>
    <s v="LU000221"/>
    <s v="Definition and identification of intersecting lines"/>
    <s v="LU000017"/>
    <s v="Definition of a right angle"/>
    <s v="LU000220"/>
    <s v="Definition of line"/>
    <m/>
    <m/>
    <m/>
    <m/>
    <m/>
    <m/>
    <m/>
    <m/>
  </r>
  <r>
    <x v="0"/>
    <s v="CBSE"/>
    <x v="0"/>
    <x v="0"/>
    <x v="1"/>
    <x v="9"/>
    <s v="LU000243"/>
    <s v="Measurement of angles using protractor"/>
    <s v="LU000243.001"/>
    <s v="Identify the 'degree' as the unit of measurement."/>
    <s v="LU000243.002"/>
    <s v="Measure the given angle using a protractor."/>
    <s v="LU000243.003"/>
    <s v="Estimate the measure of the given angles and confirm their measures by comparing them."/>
    <s v="LU000243.004"/>
    <s v="Analyse the process of folding a circular sheet to create angles and identify their measures."/>
    <s v="LU000243.005"/>
    <s v="Evaluate the accuracy of angle measurements using protractors and identify potential errors."/>
    <s v="LU000243.006"/>
    <s v="Create a visual representation demonstrating the step-by-step process of folding a circular sheet to measure angles."/>
    <n v="5"/>
    <n v="6"/>
    <n v="2"/>
    <n v="13"/>
    <n v="7"/>
    <n v="3"/>
    <n v="1"/>
    <n v="11"/>
    <m/>
    <m/>
    <m/>
    <m/>
    <s v="LU000228"/>
    <s v="Parts of an angle"/>
    <s v="LU000024"/>
    <s v="Definition of degree as unit to measure an angle"/>
    <s v="LU000025"/>
    <s v="Degree clock as tool to measure angles"/>
    <m/>
    <m/>
    <m/>
    <m/>
    <m/>
    <m/>
    <m/>
    <m/>
  </r>
  <r>
    <x v="0"/>
    <s v="CBSE"/>
    <x v="0"/>
    <x v="0"/>
    <x v="1"/>
    <x v="9"/>
    <s v="LU000818"/>
    <s v="Construction of an angle of a given measure using a protractor"/>
    <s v="LU000818.001"/>
    <s v="Remember the tools required for constructing an angle of a given measure."/>
    <s v="LU000818.002"/>
    <s v="Explain the concept of constructing an angle with a specific degree measurement."/>
    <s v="LU000818.003"/>
    <s v="Apply the knowledge of angle construction to create an angle with a specified degree accurately."/>
    <s v="LU000818.004"/>
    <s v="Analyse the geometric properties of the constructed angle, including the degree measurement."/>
    <s v="LU000818.005"/>
    <s v="Assess the accuracy of the constructed angle by measuring it with a protractor."/>
    <s v="LU000818.006"/>
    <s v="Design a step-by-step guide with illustrations for constructing an angle of a given measure using a protractor and ruler."/>
    <n v="4"/>
    <n v="6"/>
    <n v="2"/>
    <n v="12"/>
    <n v="4"/>
    <n v="3"/>
    <n v="1"/>
    <n v="8"/>
    <m/>
    <m/>
    <m/>
    <m/>
    <s v="LU000024"/>
    <s v="Definition of degree as unit to measure an angle"/>
    <s v="LU000020"/>
    <s v="Function of protractor as geometry tool"/>
    <m/>
    <m/>
    <m/>
    <m/>
    <m/>
    <m/>
    <m/>
    <m/>
    <m/>
    <m/>
  </r>
  <r>
    <x v="0"/>
    <s v="CBSE"/>
    <x v="0"/>
    <x v="0"/>
    <x v="1"/>
    <x v="10"/>
    <s v="LU000242"/>
    <s v="Definition of an acute angle"/>
    <s v="LU000242.001"/>
    <s v="Define an acute angle."/>
    <s v="LU000242.002"/>
    <s v="Explain the concept of an acute angle in your own words, including its relation to right angles."/>
    <s v="LU000242.003"/>
    <s v="Use knowledge of acute angles to identify and measure them in geometric figures or objects in the environment."/>
    <s v="LU000242.004"/>
    <s v="Analyse geometric figures to identify acute angles within them."/>
    <s v="LU000242.005"/>
    <s v="Critique the importance of understanding acute angles in geometry and its relevance to solving practical problems."/>
    <s v="LU000242.006"/>
    <s v="Create diagrams showcasing examples of an acute."/>
    <n v="4"/>
    <n v="4"/>
    <n v="2"/>
    <n v="10"/>
    <n v="4"/>
    <n v="5"/>
    <n v="1"/>
    <n v="10"/>
    <m/>
    <m/>
    <m/>
    <m/>
    <s v="LU000017"/>
    <s v="Definition of a right angle"/>
    <s v="LU000228"/>
    <s v="Parts of an angle"/>
    <s v="LU000024"/>
    <s v="Definition of degree as unit to measure an angle"/>
    <m/>
    <m/>
    <m/>
    <m/>
    <m/>
    <m/>
    <m/>
    <m/>
  </r>
  <r>
    <x v="0"/>
    <s v="CBSE"/>
    <x v="0"/>
    <x v="0"/>
    <x v="1"/>
    <x v="10"/>
    <s v="LU000257"/>
    <s v="Definition of an obtuse angle"/>
    <s v="LU000257.001"/>
    <s v="Define an obtuse angle."/>
    <s v="LU000257.002"/>
    <s v="Explain the concept of an obtuse angle in your own words, including its relation to right angles."/>
    <s v="LU000257.003"/>
    <s v="Use knowledge of obtuse angles to identify and measure them in geometric figures or objects in the environment."/>
    <s v="LU000257.004"/>
    <s v="Analyse geometric figures to identify obtuse angles within them."/>
    <s v="LU000257.005"/>
    <s v="Critique the importance of understanding obtuse angles in geometry and its relevance to solving practical problems."/>
    <s v="LU000257.006"/>
    <s v="Create diagrams showcasing examples of an obtuse."/>
    <n v="5"/>
    <n v="6"/>
    <n v="2"/>
    <n v="13"/>
    <n v="4"/>
    <n v="3"/>
    <n v="1"/>
    <n v="8"/>
    <m/>
    <m/>
    <m/>
    <m/>
    <s v="LU000259"/>
    <s v="Definition of a straight angle"/>
    <s v="LU000017"/>
    <s v="Definition of a right angle"/>
    <s v="LU000228"/>
    <s v="Parts of an angle"/>
    <s v="LU000024"/>
    <s v="Definition of degree as unit to measure an angle"/>
    <s v="LU000024"/>
    <s v="Definition of degree as unit to measure an angle"/>
    <m/>
    <m/>
    <m/>
    <m/>
  </r>
  <r>
    <x v="0"/>
    <s v="CBSE"/>
    <x v="0"/>
    <x v="0"/>
    <x v="1"/>
    <x v="10"/>
    <s v="LU000258"/>
    <s v="Definition of a reflex angle"/>
    <s v="LU000258.001"/>
    <s v="Define a reflex angle."/>
    <s v="LU000258.002"/>
    <s v="Explain the concept of a reflex angle in your own words, including its relation to right angles."/>
    <s v="LU000258.003"/>
    <s v="Use knowledge of reflex angles to identify and measure them in geometric figures or objects in the environment."/>
    <s v="LU000258.004"/>
    <s v="Compare a given set of angles with a reflex angle."/>
    <s v="LU000258.005"/>
    <s v="Critique the importance of understanding reflex angles in geometry and its relevance to solving practical problems."/>
    <s v="LU000258.006"/>
    <s v="Create diagrams showcasing examples of a reflex."/>
    <n v="4"/>
    <n v="4"/>
    <n v="11"/>
    <n v="19"/>
    <n v="4"/>
    <n v="5"/>
    <n v="3"/>
    <n v="12"/>
    <m/>
    <m/>
    <m/>
    <m/>
    <s v="LU000259"/>
    <s v="Definition of a straight angle"/>
    <s v="LU000228"/>
    <s v="Parts of an angle"/>
    <s v="LU000024"/>
    <s v="Definition of degree as unit to measure an angle"/>
    <s v="LU000024"/>
    <s v="Definition of degree as unit to measure an angle"/>
    <m/>
    <m/>
    <m/>
    <m/>
    <m/>
    <m/>
  </r>
  <r>
    <x v="0"/>
    <s v="CBSE"/>
    <x v="0"/>
    <x v="0"/>
    <x v="2"/>
    <x v="11"/>
    <s v="LU000154"/>
    <s v="Comparison of whole numbers (upto 9-digit numbers)"/>
    <s v="LU000154.001"/>
    <s v="Identify the symbols (&gt;, &lt;, =) used for comparison of numbers."/>
    <s v="LU000154.002"/>
    <s v="Explain the concept of comparing numbers and the significance of using comparison symbols to represent relationships between numbers."/>
    <s v="LU000154.003"/>
    <s v="Apply the comparison symbols to correctly compare pairs of numbers and determine their order."/>
    <s v="LU000154.004"/>
    <s v="Analyze the properties of different numbers to predict their order when compared, considering place value."/>
    <s v="LU000154.005"/>
    <s v="Evaluate the importance of accurate number comparison in real-world situations, such as making decisions based on quantities."/>
    <s v="LU000154.006"/>
    <s v="Design a set of word problems that require students to compare numbers in various contexts."/>
    <n v="5"/>
    <n v="6"/>
    <n v="2"/>
    <n v="13"/>
    <n v="7"/>
    <n v="4"/>
    <n v="1"/>
    <n v="12"/>
    <m/>
    <m/>
    <m/>
    <m/>
    <s v="LU000153"/>
    <s v="Place value system in whole numbers (upto 9-digit numbers)"/>
    <s v="LU000945"/>
    <s v="Formation of number using given digits"/>
    <m/>
    <m/>
    <m/>
    <m/>
    <m/>
    <m/>
    <m/>
    <m/>
    <m/>
    <m/>
  </r>
  <r>
    <x v="0"/>
    <s v="CBSE"/>
    <x v="0"/>
    <x v="0"/>
    <x v="2"/>
    <x v="11"/>
    <s v="LU000155"/>
    <s v="Order of whole numbers (upto 9-digit numbers)"/>
    <s v="LU000155.001"/>
    <s v="Identify and recall the basic principles of ordering whole numbers up to nine digits."/>
    <s v="LU000155.002"/>
    <s v="Explain the reasoning behind the order of whole numbers up to nine digits."/>
    <s v="LU000155.003"/>
    <s v="Arrange a set of given whole numbers in ascending or descending order."/>
    <s v="LU000155.004"/>
    <s v="Analyze a sequence of whole numbers and determine their order based on place value and digit comparison."/>
    <s v="LU000155.005"/>
    <s v="Evaluate the importance of accurately ordering numbers in various real-life scenarios, such as arranging items by quantity or priority."/>
    <s v="LU000155.006"/>
    <s v="Design a set of challenging problems or puzzles that require students to use their understanding of ordering whole numbers to solve complex problems."/>
    <n v="4"/>
    <n v="11"/>
    <n v="2"/>
    <n v="17"/>
    <n v="4"/>
    <n v="6"/>
    <n v="1"/>
    <n v="11"/>
    <m/>
    <m/>
    <m/>
    <m/>
    <s v="LU000154"/>
    <s v="Comparison of whole numbers (upto 9-digit numbers)"/>
    <s v="LU000945"/>
    <s v="Formation of number using given digits"/>
    <s v="LU000153"/>
    <s v="Place value system in whole numbers (upto 9-digit numbers)"/>
    <m/>
    <m/>
    <m/>
    <m/>
    <m/>
    <m/>
    <m/>
    <m/>
  </r>
  <r>
    <x v="0"/>
    <s v="CBSE"/>
    <x v="0"/>
    <x v="0"/>
    <x v="2"/>
    <x v="11"/>
    <s v="LU001349"/>
    <s v="Position of whole numbers(4 or 5-digit) on the number line"/>
    <s v="LU001349.001"/>
    <s v="Recall the sequence of 4 or 5-digit whole numbers on a number line."/>
    <s v="LU001349.002"/>
    <s v="Explain the relative positions of 4 or 5-digit numbers on a number line."/>
    <s v="LU001349.003"/>
    <s v="Place a given 4 or 5-digit number in its correct position on a number line."/>
    <s v="LU001349.004"/>
    <s v="Compare the positions of different 4 or 5-digit numbers on the number line."/>
    <s v="LU001349.005"/>
    <s v="Assess the accuracy of number placements on a number line."/>
    <s v="LU001349.006"/>
    <s v="Design a number line showing positions of a set of 4 or 5-digit numbers with appropriate intervals."/>
    <n v="4"/>
    <n v="6"/>
    <n v="2"/>
    <n v="12"/>
    <n v="4"/>
    <n v="3"/>
    <n v="1"/>
    <n v="8"/>
    <m/>
    <m/>
    <m/>
    <m/>
    <s v="LU000179"/>
    <s v="Representation of whole numbers on a number line"/>
    <m/>
    <m/>
    <m/>
    <m/>
    <m/>
    <m/>
    <m/>
    <m/>
    <m/>
    <m/>
    <m/>
    <m/>
  </r>
  <r>
    <x v="0"/>
    <s v="CBSE"/>
    <x v="0"/>
    <x v="0"/>
    <x v="2"/>
    <x v="12"/>
    <s v="LU001350"/>
    <s v="Playing with digits: Digit sum, digit detectives (upto 5-digit)"/>
    <s v="LU001350.001"/>
    <s v="Identify and write down numbers that have specific digit sums."/>
    <s v="LU001350.002"/>
    <s v="Determine the smallest and largest numbers that result in a given digit sum."/>
    <s v="LU001350.003"/>
    <s v="Calculate the digit sums for a series of numbers and observe any emerging patterns."/>
    <s v="LU001350.004"/>
    <s v="Analyse how the digit sum of consecutive digits in numbers (up to 5-digit numbers) forms patterns."/>
    <s v="LU001350.005"/>
    <s v="Investigate and count the frequency of a specific digit (like '7') within a range of numbers (1-100, 1-1000)."/>
    <s v="LU001350.006"/>
    <s v="Explore different methods to generate the largest possible number with a given digit sum."/>
    <n v="4"/>
    <n v="6"/>
    <n v="2"/>
    <n v="12"/>
    <n v="4"/>
    <n v="3"/>
    <n v="1"/>
    <n v="8"/>
    <m/>
    <m/>
    <m/>
    <m/>
    <s v=""/>
    <m/>
    <m/>
    <m/>
    <m/>
    <m/>
    <m/>
    <m/>
    <m/>
    <m/>
    <m/>
    <m/>
    <m/>
    <m/>
  </r>
  <r>
    <x v="0"/>
    <s v="CBSE"/>
    <x v="0"/>
    <x v="0"/>
    <x v="2"/>
    <x v="12"/>
    <s v="LU000054"/>
    <s v="Definition of palindrome numbers"/>
    <s v="LU000054.001"/>
    <s v="State the definition of palindrome numbers."/>
    <s v="LU000054.002"/>
    <s v="Explain what a palindrome number is and how it reads the same forwards and backward."/>
    <s v="LU000054.003"/>
    <s v="Apply your understanding of palindrome numbers to identify whether a given number is a palindrome or not."/>
    <s v="LU000054.004"/>
    <s v="Break down the structure of palindrome numbers to understand why they are the same when reversed."/>
    <s v="LU000054.005"/>
    <s v="Evaluate the significance of palindrome numbers in mathematics and real-life applications."/>
    <s v="LU000054.006"/>
    <s v="Generate your own palindrome numbers using different digits."/>
    <n v="4"/>
    <n v="6"/>
    <n v="2"/>
    <n v="12"/>
    <n v="4"/>
    <n v="3"/>
    <n v="1"/>
    <n v="8"/>
    <m/>
    <m/>
    <m/>
    <m/>
    <s v=""/>
    <m/>
    <m/>
    <m/>
    <m/>
    <m/>
    <m/>
    <m/>
    <m/>
    <m/>
    <m/>
    <m/>
    <m/>
    <m/>
  </r>
  <r>
    <x v="0"/>
    <s v="CBSE"/>
    <x v="0"/>
    <x v="0"/>
    <x v="2"/>
    <x v="13"/>
    <s v="LU001351"/>
    <s v="Kaprekar: Magic number"/>
    <s v="LU001351.001"/>
    <s v="Recall the steps involved in finding Kaprekar's constant (6174)."/>
    <s v="LU001351.002"/>
    <s v="Describe the process that leads any 4-digit number to the Kaprekar constant."/>
    <s v="LU001351.003"/>
    <s v="Perform Kaprekar's process on various 4-digit numbers to reach the constant 6174."/>
    <s v="LU001351.004"/>
    <s v="Analyze why the process consistently leads to the number 6174."/>
    <s v="LU001351.005"/>
    <s v="Evaluate the effectiveness of the Kaprekar process when applied to different types of numbers."/>
    <s v="LU001351.006"/>
    <s v="Create a series of 4-digit numbers to demonstrate the Kaprekar process and the resulting patterns."/>
    <n v="4"/>
    <n v="6"/>
    <n v="2"/>
    <n v="12"/>
    <n v="4"/>
    <n v="3"/>
    <n v="1"/>
    <n v="8"/>
    <m/>
    <m/>
    <m/>
    <m/>
    <s v="LU000153"/>
    <s v="Place value system in whole numbers (upto 9-digit numbers)"/>
    <m/>
    <m/>
    <m/>
    <m/>
    <m/>
    <m/>
    <m/>
    <m/>
    <m/>
    <m/>
    <m/>
    <m/>
  </r>
  <r>
    <x v="0"/>
    <s v="CBSE"/>
    <x v="0"/>
    <x v="0"/>
    <x v="2"/>
    <x v="13"/>
    <s v="LU000945"/>
    <s v="Formation of number using given digits"/>
    <s v="LU000945.001"/>
    <s v="Identify and recall the basic principles of number formation using given digits."/>
    <s v="LU000945.002"/>
    <s v="Explain how different numbers can be formed by rearranging a given set of digits."/>
    <s v="LU000945.003"/>
    <s v="Construct various numbers using a provided set of digits, following place value principles."/>
    <s v="LU000945.004"/>
    <s v="Distinguish between the largest and smallest numbers that can be formed from a given set of digits and explain the reasoning."/>
    <s v="LU000945.005"/>
    <s v="Assess and correct a series of numbers formed from a given set of digits, identifying and explaining any errors in their formation."/>
    <s v="LU000945.006"/>
    <s v="Design a challenging number formation puzzle using a specific set of digits, which requires applying knowledge of place value and number formation."/>
    <n v="7"/>
    <n v="8"/>
    <n v="12"/>
    <n v="27"/>
    <n v="5"/>
    <n v="6"/>
    <n v="5"/>
    <n v="16"/>
    <m/>
    <m/>
    <m/>
    <m/>
    <s v="LU000153"/>
    <s v="Place value system in whole numbers (upto 9-digit numbers)"/>
    <m/>
    <m/>
    <m/>
    <m/>
    <m/>
    <m/>
    <m/>
    <m/>
    <m/>
    <m/>
    <m/>
    <m/>
  </r>
  <r>
    <x v="0"/>
    <s v="CBSE"/>
    <x v="0"/>
    <x v="0"/>
    <x v="2"/>
    <x v="14"/>
    <s v="LU001352"/>
    <s v="Clock and Calendar Numbers"/>
    <s v="LU001352.001"/>
    <s v="Identify and list all possible times on a 12-hour clock that follow specific digit patterns, such as repeating or palindromic sequences."/>
    <s v="LU001352.002"/>
    <s v="Discover and record dates from the past that have specific repeating digit patterns, like &quot;20/12/2012&quot;."/>
    <s v="LU001352.003"/>
    <s v="Explore and find all possible dates that read the same from left to right and from right to left, such as &quot;11/02/2011&quot;."/>
    <s v="LU001352.004"/>
    <s v="Investigate whether a specific year’s calendar can be reused in the future, analyzing the repetition of dates and days."/>
    <s v="LU001352.005"/>
    <s v="Calculate the difference between the largest and smallest 4-digit numbers formed using a given set of digits."/>
    <s v="LU001352.006"/>
    <s v="Create different 4-digit numbers to find and compare their sums and differences, following given criteria."/>
    <n v="4"/>
    <n v="5"/>
    <n v="2"/>
    <n v="11"/>
    <n v="4"/>
    <n v="4"/>
    <n v="1"/>
    <n v="9"/>
    <m/>
    <m/>
    <m/>
    <m/>
    <s v="LU000067"/>
    <s v="Number pattern in a calendar"/>
    <m/>
    <m/>
    <m/>
    <m/>
    <m/>
    <m/>
    <m/>
    <m/>
    <m/>
    <m/>
    <m/>
    <m/>
  </r>
  <r>
    <x v="0"/>
    <s v="CBSE"/>
    <x v="0"/>
    <x v="0"/>
    <x v="2"/>
    <x v="15"/>
    <s v="LU000948"/>
    <s v="Addition of large whole numbers (5-9 digit numbers)"/>
    <s v="LU000948.001"/>
    <s v="Recognize and recall the standard approach for adding large whole numbers."/>
    <s v="LU000948.002"/>
    <s v="Explain the process and importance of place value in the addition of large whole numbers."/>
    <s v="LU000948.003"/>
    <s v="Perform addition operations involving large whole numbers (5-9 digits) accurately."/>
    <s v="LU000948.004"/>
    <s v="Analyze and identify errors in addition problems involving large whole numbers."/>
    <s v="LU000948.005"/>
    <s v="#N/A"/>
    <s v="LU000948.006"/>
    <s v="#N/A"/>
    <n v="3"/>
    <n v="5"/>
    <n v="2"/>
    <n v="10"/>
    <n v="4"/>
    <n v="4"/>
    <n v="1"/>
    <n v="9"/>
    <m/>
    <m/>
    <m/>
    <m/>
    <s v="LU000153"/>
    <s v="Place value system in whole numbers (upto 9-digit numbers)"/>
    <s v="LU000156"/>
    <s v="Numerical expansion of whole numbers (upto 9-digit numbers)"/>
    <m/>
    <m/>
    <m/>
    <m/>
    <m/>
    <m/>
    <m/>
    <m/>
    <m/>
    <m/>
  </r>
  <r>
    <x v="0"/>
    <s v="CBSE"/>
    <x v="0"/>
    <x v="0"/>
    <x v="2"/>
    <x v="15"/>
    <s v="LU000949"/>
    <s v="Subtraction of large whole numbers (5-9 digit numbers)"/>
    <s v="LU000949.001"/>
    <s v="Recall the steps of the standard approach for subtracting large whole numbers."/>
    <s v="LU000949.002"/>
    <s v="Explain the concept of 'borrowing' or 'regrouping' in the subtraction of large whole numbers."/>
    <s v="LU000949.003"/>
    <s v="Perform subtraction operations accurately with large whole numbers (5-9 digits)."/>
    <s v="LU000949.004"/>
    <s v="Assess subtraction problems to identify and correct computational errors."/>
    <s v="LU000949.005"/>
    <s v="Develop and solve real-world problems that involve the subtraction of large whole numbers."/>
    <s v="LU000949.006"/>
    <s v="#N/A"/>
    <n v="4"/>
    <n v="11"/>
    <n v="2"/>
    <n v="17"/>
    <n v="4"/>
    <n v="4"/>
    <n v="1"/>
    <n v="9"/>
    <m/>
    <m/>
    <m/>
    <m/>
    <s v="LU000153"/>
    <s v="Place value system in whole numbers (upto 9-digit numbers)"/>
    <s v="LU000156"/>
    <s v="Numerical expansion of whole numbers (upto 9-digit numbers)"/>
    <m/>
    <m/>
    <m/>
    <m/>
    <m/>
    <m/>
    <m/>
    <m/>
    <m/>
    <m/>
  </r>
  <r>
    <x v="0"/>
    <s v="CBSE"/>
    <x v="0"/>
    <x v="0"/>
    <x v="2"/>
    <x v="15"/>
    <s v="LU000969"/>
    <s v="Mixed operation of addition and subtraction of three or more whole numbers without number line."/>
    <s v="LU000969.001"/>
    <s v="Recall rules for addition and subtraction of whole numbers."/>
    <s v="LU000969.002"/>
    <s v="Explain the concept of mixed operations with three or more whole numbers."/>
    <s v="LU000969.003"/>
    <s v="Apply mathematical techniques to solve mixed operations accurately."/>
    <s v="LU000969.004"/>
    <s v="Break down complex mixed operation problems into sequential steps for accurate calculations."/>
    <s v="LU000969.005"/>
    <s v="Evaluate solutions to ensure correctness and provide explanations for errors."/>
    <s v="LU000969.006"/>
    <s v="#N/A"/>
    <n v="4"/>
    <n v="6"/>
    <n v="2"/>
    <n v="12"/>
    <n v="4"/>
    <n v="3"/>
    <n v="1"/>
    <n v="8"/>
    <m/>
    <m/>
    <m/>
    <m/>
    <s v="LU000181"/>
    <s v="Subtraction of whole numbers on number line"/>
    <s v="LU000180"/>
    <s v="Addition of whole numbers on number line"/>
    <s v="LU000179"/>
    <s v="Representation of whole numbers on a number line"/>
    <s v="LU000176"/>
    <s v="Definition of whole number"/>
    <m/>
    <m/>
    <m/>
    <m/>
    <m/>
    <m/>
  </r>
  <r>
    <x v="0"/>
    <s v="CBSE"/>
    <x v="0"/>
    <x v="0"/>
    <x v="2"/>
    <x v="16"/>
    <s v="LU001367"/>
    <s v="Exploring Collatz conjecture"/>
    <s v="LU001367.001"/>
    <s v="Identify and describe the rule for generating a Collatz sequence from any given whole number."/>
    <s v="LU001367.002"/>
    <s v="Observe and explain how the Collatz sequence progresses and eventually reaches the number 1."/>
    <s v="LU001367.003"/>
    <s v="Create Collatz sequences starting from various whole numbers and analyze their patterns."/>
    <s v="LU001367.004"/>
    <s v="Compare different Collatz sequences to understand the behavior of even and odd numbers in the sequence."/>
    <s v="LU001367.005"/>
    <s v="Investigate and discuss the likelihood that all Collatz sequences will eventually reach 1, based on observations."/>
    <s v="LU001367.006"/>
    <s v="Reflect on and articulate your belief about the Collatz conjecture, providing reasoning for why you think it might be true or false."/>
    <n v="4"/>
    <n v="6"/>
    <n v="2"/>
    <n v="12"/>
    <n v="4"/>
    <n v="3"/>
    <n v="1"/>
    <n v="8"/>
    <m/>
    <m/>
    <m/>
    <m/>
    <s v="LU000197"/>
    <s v="Even number"/>
    <s v="LU000198"/>
    <s v="Odd number"/>
    <s v="LU000126"/>
    <s v="Multiplication of two-digit numbers by one-digit/two-digit numbers"/>
    <s v="LU000128"/>
    <s v="Division of two-digit numbers by one-digit number using standard algorithms"/>
    <m/>
    <m/>
    <m/>
    <m/>
    <m/>
    <m/>
  </r>
  <r>
    <x v="0"/>
    <s v="CBSE"/>
    <x v="0"/>
    <x v="0"/>
    <x v="2"/>
    <x v="17"/>
    <s v="LU000168"/>
    <s v="Estimation of outcomes of number situations"/>
    <s v="LU000168.001"/>
    <s v="List examples of scenarios where estimation is applicable"/>
    <s v="LU000168.002"/>
    <s v="Describe different strategies for estimating outcomes of various number situations."/>
    <s v="LU000168.003"/>
    <s v="Apply estimation in everyday scenarios involving quantities, distances, and measurements."/>
    <s v="LU000168.004"/>
    <s v="Analyse different scenarios where estimation is more appropriate than precise calculation."/>
    <s v="LU000168.005"/>
    <s v="Formulate judgments about the appropriateness of estimation in various real-world scenarios."/>
    <s v="LU000168.006"/>
    <s v="Design scenarios that demonstrate the significance of estimation in decision-making processes."/>
    <n v="4"/>
    <n v="6"/>
    <n v="2"/>
    <n v="12"/>
    <n v="5"/>
    <n v="3"/>
    <n v="1"/>
    <n v="9"/>
    <m/>
    <m/>
    <m/>
    <m/>
    <s v="LU000167"/>
    <s v="Estimation of whole numbers to the nearest place by rounding off"/>
    <s v="LU000153"/>
    <s v="Place value system in whole numbers (upto 9-digit numbers)"/>
    <m/>
    <m/>
    <m/>
    <m/>
    <m/>
    <m/>
    <m/>
    <m/>
    <m/>
    <m/>
  </r>
  <r>
    <x v="0"/>
    <s v="CBSE"/>
    <x v="0"/>
    <x v="0"/>
    <x v="2"/>
    <x v="17"/>
    <s v="LU000169"/>
    <s v="Estimation of sum/difference/product of numbers by rounding off"/>
    <s v="LU000169.001"/>
    <s v="List the basic steps involved in rounding off numbers for estimating sums, differences, and products."/>
    <s v="LU000169.002"/>
    <s v="Explain the purpose of using estimation to approximate arithmetic results."/>
    <s v="LU000169.003"/>
    <s v="Solve problems involving practical applications of estimation of sum/difference/product by rounding off."/>
    <s v="LU000169.004"/>
    <s v="#N/A"/>
    <s v="LU000169.005"/>
    <s v="#N/A"/>
    <s v="LU000169.006"/>
    <s v="#N/A"/>
    <s v=""/>
    <n v="34"/>
    <n v="2"/>
    <n v="36"/>
    <n v="1"/>
    <n v="8"/>
    <n v="1"/>
    <n v="10"/>
    <m/>
    <m/>
    <m/>
    <m/>
    <s v="LU000168"/>
    <s v="Estimation of outcomes of number situations"/>
    <s v="LU000167"/>
    <s v="Estimation of whole numbers to the nearest place by rounding off"/>
    <s v="LU000153"/>
    <s v="Place value system in whole numbers (upto 9-digit numbers)"/>
    <m/>
    <m/>
    <m/>
    <m/>
    <m/>
    <m/>
    <m/>
    <m/>
  </r>
  <r>
    <x v="0"/>
    <s v="CBSE"/>
    <x v="0"/>
    <x v="0"/>
    <x v="3"/>
    <x v="18"/>
    <s v="LU000308"/>
    <s v="Definition of data and information"/>
    <s v="LU000308.001"/>
    <s v="State the definition of data and information and differentiate between them by highlighting their distinct characteristics."/>
    <s v="LU000308.002"/>
    <s v="Describe the concept of data as raw facts or observations, and explain how information is derived from processed data with context and meaning."/>
    <s v="LU000308.003"/>
    <s v="Apply the understanding of data and information to categorize given examples into the appropriate category"/>
    <s v="LU000308.004"/>
    <s v="Examine how data is transformed into meaningful information through processing and explain the role of context in this transformation."/>
    <s v="LU000308.005"/>
    <s v="Evaluate the accuracy of classifications of examples as data or information, assessing the correctness of the categorizations"/>
    <s v="LU000308.006"/>
    <s v="Create scenarios and identify and explain instances of data and information in each scenario, highlighting the key differences."/>
    <n v="16"/>
    <n v="6"/>
    <n v="2"/>
    <n v="24"/>
    <n v="5"/>
    <n v="3"/>
    <n v="1"/>
    <n v="9"/>
    <m/>
    <m/>
    <m/>
    <m/>
    <s v=""/>
    <m/>
    <m/>
    <m/>
    <m/>
    <m/>
    <m/>
    <m/>
    <m/>
    <m/>
    <m/>
    <m/>
    <m/>
    <m/>
  </r>
  <r>
    <x v="0"/>
    <s v="CBSE"/>
    <x v="0"/>
    <x v="0"/>
    <x v="3"/>
    <x v="18"/>
    <s v="LU000309"/>
    <s v="Organisation of data"/>
    <s v="LU000309.001"/>
    <s v="State the methods for organizing data (like including tables, charts, and graphs) and explain their role in visually representing information."/>
    <s v="LU000309.002"/>
    <s v="Describe how organizing data enhances comprehension by visually highlighting patterns and relationships in the information."/>
    <s v="LU000309.003"/>
    <s v="Apply the understanding of data organisation by selecting an appropriate method to present a given set of data in a clear and organised manner."/>
    <s v="LU000309.004"/>
    <s v="Analyse the effectiveness of different data organisation methods for specific types of data, discussing how each method highlights different aspects."/>
    <s v="LU000309.005"/>
    <s v="Evaluate the appropriateness of data organisation methods for specific datasets, assessing the effectiveness of the chosen methods."/>
    <s v="LU000309.006"/>
    <s v="Create a set of data and select an appropriate method for organising it, justifying the choice based on the characteristics of the data."/>
    <n v="4"/>
    <n v="15"/>
    <n v="2"/>
    <n v="21"/>
    <n v="4"/>
    <n v="5"/>
    <n v="1"/>
    <n v="10"/>
    <m/>
    <m/>
    <m/>
    <m/>
    <s v="LU000308"/>
    <s v="Definition of data and information"/>
    <m/>
    <m/>
    <m/>
    <m/>
    <m/>
    <m/>
    <m/>
    <m/>
    <m/>
    <m/>
    <m/>
    <m/>
  </r>
  <r>
    <x v="0"/>
    <s v="CBSE"/>
    <x v="0"/>
    <x v="0"/>
    <x v="3"/>
    <x v="18"/>
    <s v="LU000400"/>
    <s v="Definition of frequency in data"/>
    <s v="LU000400.001"/>
    <s v="State the definition of frequency when discussing data analysis."/>
    <s v="LU000400.002"/>
    <s v="Explain the concept of frequency and its relevance in organising and summarising data."/>
    <s v="LU000400.003"/>
    <s v="Apply the concept of frequency to create a frequency distribution table for a given dataset."/>
    <s v="LU000400.004"/>
    <s v="Analyse a dataset and identify the mode using frequency information."/>
    <s v="LU000400.005"/>
    <s v="Evaluate the effectiveness of using frequency to describe the central tendencies of data."/>
    <s v="LU000400.006"/>
    <s v="Design a real-world scenario where understanding frequency is essential for decision-making."/>
    <n v="4"/>
    <n v="6"/>
    <n v="2"/>
    <n v="12"/>
    <n v="4"/>
    <n v="3"/>
    <n v="1"/>
    <n v="8"/>
    <m/>
    <m/>
    <m/>
    <m/>
    <s v="LU000309"/>
    <s v="Organisation of data"/>
    <s v="LU000308"/>
    <s v="Definition of data and information"/>
    <m/>
    <m/>
    <m/>
    <m/>
    <m/>
    <m/>
    <m/>
    <m/>
    <m/>
    <m/>
  </r>
  <r>
    <x v="0"/>
    <s v="CBSE"/>
    <x v="0"/>
    <x v="0"/>
    <x v="3"/>
    <x v="19"/>
    <s v="LU000310"/>
    <s v="Definition of tally chart"/>
    <s v="LU000310.001"/>
    <s v="State the definition of a tally chart and explain how it is used to visually represent and count occurrences of data."/>
    <s v="LU000310.002"/>
    <s v="Describe the purpose of a tally chart in organising and counting data, and explain how tally marks are used to represent each data point."/>
    <s v="LU000310.003"/>
    <s v="Identify the tally chart corresponding to the given data."/>
    <s v="LU000310.004"/>
    <s v="Analyse the effectiveness of using tally charts for specific types of data."/>
    <s v="LU000310.005"/>
    <s v="Evaluate the appropriateness of tally charts for specific datasets, assessing the accuracy of the tally marks."/>
    <s v="LU000310.006"/>
    <s v="#N/A"/>
    <n v="4"/>
    <n v="6"/>
    <n v="2"/>
    <n v="12"/>
    <n v="4"/>
    <n v="3"/>
    <n v="1"/>
    <n v="8"/>
    <m/>
    <m/>
    <m/>
    <m/>
    <s v="LU000109"/>
    <s v="Definition of tally marks"/>
    <s v="LU000309"/>
    <s v="Organisation of data"/>
    <m/>
    <m/>
    <m/>
    <m/>
    <m/>
    <m/>
    <m/>
    <m/>
    <m/>
    <m/>
  </r>
  <r>
    <x v="0"/>
    <s v="CBSE"/>
    <x v="0"/>
    <x v="0"/>
    <x v="3"/>
    <x v="19"/>
    <s v="LU000311"/>
    <s v="Interpretation of tally chart"/>
    <s v="LU000311.001"/>
    <s v="State the components of a tally chart (tally marks and categories) and explain how tally marks are used to represent data occurrences."/>
    <s v="LU000311.002"/>
    <s v="Describe how tally marks in a tally chart are grouped in sets of five or ten and counted to determine the frequency of each data category."/>
    <s v="LU000311.003"/>
    <s v="Apply the understanding of interpreting tally charts by analyzing a given tally chart and determining the most and least frequent data categories."/>
    <s v="LU000311.004"/>
    <s v="Analyse the patterns and trends in a tally chart, discussing how tally marks can reveal insights about data distribution."/>
    <s v="LU000311.005"/>
    <s v="Evaluate the accuracy of interpretations of tally charts, assessing the correctness of the frequency determinations and insights drawn."/>
    <s v="LU000311.006"/>
    <s v="Create real-world scenarios involving a tally chart and data, interpret the chart, identify trends and draw conclusions based on the tally marks."/>
    <n v="17"/>
    <n v="6"/>
    <n v="1"/>
    <n v="24"/>
    <n v="6"/>
    <n v="3"/>
    <n v="1"/>
    <n v="10"/>
    <m/>
    <m/>
    <m/>
    <m/>
    <s v="LU000310"/>
    <s v="Definition of tally chart"/>
    <s v="LU000109"/>
    <s v="Definition of tally marks"/>
    <s v="LU000309"/>
    <s v="Organisation of data"/>
    <m/>
    <m/>
    <m/>
    <m/>
    <m/>
    <m/>
    <m/>
    <m/>
  </r>
  <r>
    <x v="0"/>
    <s v="CBSE"/>
    <x v="0"/>
    <x v="0"/>
    <x v="3"/>
    <x v="19"/>
    <s v="LU000312"/>
    <s v="Construction of tally chart"/>
    <s v="LU000312.001"/>
    <s v="State the essential components needed to create a tally chart (like categories, tally marks, and appropriate headings)."/>
    <s v="LU000312.002"/>
    <s v="Describe how to create a tally chart by listing categories vertically, adding tally marks for each data point and providing headings for context"/>
    <s v="LU000312.003"/>
    <s v="Apply the process of constructing a tally chart to organize and represent data from a real-world scenarios."/>
    <s v="LU000312.004"/>
    <s v="Analyse the construction process of tally charts."/>
    <s v="LU000312.005"/>
    <s v="Evaluate the effectiveness of different data presentation methods, comparing the advantages of tally charts with other visual representations like bar graphs."/>
    <s v="LU000312.006"/>
    <s v="#N/A"/>
    <n v="3"/>
    <n v="12"/>
    <n v="2"/>
    <n v="17"/>
    <n v="5"/>
    <n v="6"/>
    <n v="2"/>
    <n v="13"/>
    <m/>
    <m/>
    <m/>
    <m/>
    <s v="LU000310"/>
    <s v="Definition of tally chart"/>
    <s v="LU000109"/>
    <s v="Definition of tally marks"/>
    <s v="LU000309"/>
    <s v="Organisation of data"/>
    <m/>
    <m/>
    <m/>
    <m/>
    <m/>
    <m/>
    <m/>
    <m/>
  </r>
  <r>
    <x v="0"/>
    <s v="CBSE"/>
    <x v="0"/>
    <x v="0"/>
    <x v="3"/>
    <x v="20"/>
    <s v="LU000313"/>
    <s v="Definition of pictograph"/>
    <s v="LU000313.001"/>
    <s v="State the definition of a pictograph and explain how it uses pictures or symbols to visually represent data."/>
    <s v="LU000313.002"/>
    <s v="Describe how a pictograph is used to represent data using pictures or symbols._x000a_"/>
    <s v="LU000313.003"/>
    <s v="Identify the pictograph corresponding to the given data."/>
    <s v="LU000313.004"/>
    <s v="Examine how the choice of pictures or symbols in a pictograph affects the clarity of data representation."/>
    <s v="LU000313.005"/>
    <s v="Evaluate the appropriateness of pictographs in accurately representing data, assessing the suitability of their chosen pictures or symbols"/>
    <s v="LU000313.006"/>
    <s v="#N/A"/>
    <n v="3"/>
    <n v="6"/>
    <n v="2"/>
    <n v="11"/>
    <n v="5"/>
    <n v="3"/>
    <n v="1"/>
    <n v="9"/>
    <m/>
    <m/>
    <m/>
    <m/>
    <s v="LU000309"/>
    <s v="Organisation of data"/>
    <s v="LU000308"/>
    <s v="Definition of data and information"/>
    <m/>
    <m/>
    <m/>
    <m/>
    <m/>
    <m/>
    <m/>
    <m/>
    <m/>
    <m/>
  </r>
  <r>
    <x v="0"/>
    <s v="CBSE"/>
    <x v="0"/>
    <x v="0"/>
    <x v="3"/>
    <x v="20"/>
    <s v="LU000314"/>
    <s v="Interpretation of pictographs"/>
    <s v="LU000314.001"/>
    <s v="State the features of a pictograph, such as pictures or symbols and the key that explains the correspondence between pictures and quantities."/>
    <s v="LU000314.002"/>
    <s v="Describe how a pictograph conveys data using pictures or symbols."/>
    <s v="LU000314.003"/>
    <s v="Analyse the given pictograph, identify the quantities represented by the pictures or symbols and drawing conclusions."/>
    <s v="LU000314.004"/>
    <s v="Analyse the patterns and trends in a pictograph, discuss how the arrangement and frequency of pictures or symbols reflect the data distribution."/>
    <s v="LU000314.005"/>
    <s v="#N/A"/>
    <s v="LU000314.006"/>
    <s v="Create a dataset and develop a set of questions related to a self-designed pictograph. Interpret the pictograph, answer the questions, and draw conclusions based on the analysis."/>
    <n v="4"/>
    <n v="6"/>
    <n v="2"/>
    <n v="12"/>
    <n v="4"/>
    <n v="13"/>
    <n v="1"/>
    <n v="18"/>
    <m/>
    <m/>
    <m/>
    <m/>
    <s v="LU000313"/>
    <s v="Definition of pictograph"/>
    <s v="LU000309"/>
    <s v="Organisation of data"/>
    <s v="LU000308"/>
    <s v="Definition of data and information"/>
    <m/>
    <m/>
    <m/>
    <m/>
    <m/>
    <m/>
    <m/>
    <m/>
  </r>
  <r>
    <x v="0"/>
    <s v="CBSE"/>
    <x v="0"/>
    <x v="0"/>
    <x v="3"/>
    <x v="20"/>
    <s v="LU000315"/>
    <s v="Construction of pictographs"/>
    <s v="LU000315.001"/>
    <s v="State the steps required to construct a pictograph (such as choosing a relevant title, designing appropriate symbols and providing a key)."/>
    <s v="LU000315.002"/>
    <s v="Describe how constructing a pictograph helps in visually representing data and explain how the title, symbols and key collaborate to make the data interpretation clear."/>
    <s v="LU000315.003"/>
    <s v="Apply the understanding of pictograph construction by creating a pictograph based on given data, ensuring appropriate symbol design and clear labeling."/>
    <s v="LU000315.004"/>
    <s v="Analyse the construction process of pictographs."/>
    <s v="LU000315.005"/>
    <s v="Evaluate the accuracy of constructed pictographs, assessing the appropriateness of the chosen symbols or pictures."/>
    <s v="LU000315.006"/>
    <s v="#N/A"/>
    <n v="4"/>
    <n v="2"/>
    <n v="1"/>
    <n v="7"/>
    <n v="4"/>
    <n v="4"/>
    <n v="1"/>
    <n v="9"/>
    <m/>
    <m/>
    <m/>
    <m/>
    <s v="LU000313"/>
    <s v="Definition of pictograph"/>
    <s v="LU000309"/>
    <s v="Organisation of data"/>
    <s v="LU000308"/>
    <s v="Definition of data and information"/>
    <m/>
    <m/>
    <m/>
    <m/>
    <m/>
    <m/>
    <m/>
    <m/>
  </r>
  <r>
    <x v="0"/>
    <s v="CBSE"/>
    <x v="0"/>
    <x v="0"/>
    <x v="3"/>
    <x v="21"/>
    <s v="LU000316"/>
    <s v="Definition of bar graph"/>
    <s v="LU000316.001"/>
    <s v="Define of a bar graph as a visual representation of data using rectangular bars to display the frequency or count of different categories."/>
    <s v="LU000316.002"/>
    <s v="Explain the purpose and structure of a bar graph by describing how it displays data using bars of varying lengths."/>
    <s v="LU000316.003"/>
    <s v="#N/A"/>
    <s v="LU000316.004"/>
    <s v="Analyse the effectiveness of bar graphs in comparison to other types of graphs."/>
    <s v="LU000316.005"/>
    <s v="Evaluate the effectiveness of different bar graphs for representing specific types of data, comparing their ability to convey information clearly and accurately."/>
    <s v="LU000316.006"/>
    <s v="#N/A"/>
    <n v="4"/>
    <n v="6"/>
    <n v="2"/>
    <n v="12"/>
    <n v="4"/>
    <n v="3"/>
    <n v="1"/>
    <n v="8"/>
    <m/>
    <m/>
    <m/>
    <m/>
    <s v="LU000309"/>
    <s v="Organisation of data"/>
    <s v="LU000400"/>
    <s v="Definition of frequency in data"/>
    <s v="LU000308"/>
    <s v="Definition of data and information"/>
    <m/>
    <m/>
    <m/>
    <m/>
    <m/>
    <m/>
    <m/>
    <m/>
  </r>
  <r>
    <x v="0"/>
    <s v="CBSE"/>
    <x v="0"/>
    <x v="0"/>
    <x v="3"/>
    <x v="21"/>
    <s v="LU000317"/>
    <s v="Interpretation of bar graphs (horizontal and vertical)"/>
    <s v="LU000317.001"/>
    <s v="State the components of a bar graph, such as the vertical bars representing data, categories on the horizontal axis, and the numerical scale on the vertical axis."/>
    <s v="LU000317.002"/>
    <s v="Explain the process of interpreting a bar graph by describing how bar lengths convey data quantities and how categories on the horizontal axis provide context."/>
    <s v="LU000317.003"/>
    <s v="Apply the understanding of interpreting bar graphs by analyzing a given bar graph, identifying trends, and drawing conclusions"/>
    <s v="LU000317.004"/>
    <s v="Analyse the patterns in a bar graph, discussing how variations in bar lengths reflect differences in data quantities and discussing potential reasons for the patterns observed."/>
    <s v="LU000317.005"/>
    <s v="Evaluate the effectiveness of interpretations of bar graphs, assessing the accuracy of the observations and conclusions drawn from the bar graph."/>
    <s v="LU000317.006"/>
    <s v="#N/A"/>
    <n v="7"/>
    <n v="8"/>
    <n v="2"/>
    <n v="17"/>
    <n v="3"/>
    <n v="6"/>
    <n v="1"/>
    <n v="10"/>
    <m/>
    <m/>
    <m/>
    <m/>
    <s v="LU000316"/>
    <s v="Definition of bar graph"/>
    <s v="LU000400"/>
    <s v="Definition of frequency in data"/>
    <m/>
    <m/>
    <m/>
    <m/>
    <m/>
    <m/>
    <m/>
    <m/>
    <m/>
    <m/>
  </r>
  <r>
    <x v="0"/>
    <s v="CBSE"/>
    <x v="0"/>
    <x v="0"/>
    <x v="3"/>
    <x v="21"/>
    <s v="LU000318"/>
    <s v="Construction of bar graphs (horizontal and vertical)"/>
    <s v="LU000318.001"/>
    <s v="State the essential steps involved in creating a bar graph."/>
    <s v="LU000318.002"/>
    <s v="Describe how a bar graph is constructed by organizing data into categories, establishing a scale on the vertical/horizontal axis and using vertical/horizontal bars to visually represent quantities."/>
    <s v="LU000318.003"/>
    <s v="Create a bar graph based on given data, accurately selecting categories, scaling the axes and drawing bars."/>
    <s v="LU000318.004"/>
    <s v="Analyse the appropriateness of the chosen scale on the vertical axis for a given dataset."/>
    <s v="LU000318.005"/>
    <s v="Evaluate the effectiveness of constructed bar graphs, assessing the accuracy of their bar lengths, the appropriateness of their scale and the overall clarity of the representation."/>
    <s v="LU000318.006"/>
    <s v="Develop a dataset related to day to day activities and create a well-structured bar graph that effectively communicates the data's message, using thoughtful choices for categories and scales."/>
    <n v="4"/>
    <n v="18"/>
    <n v="2"/>
    <n v="24"/>
    <n v="4"/>
    <n v="9"/>
    <n v="1"/>
    <n v="14"/>
    <m/>
    <m/>
    <m/>
    <m/>
    <s v="LU000309"/>
    <s v="Organisation of data"/>
    <s v="LU000400"/>
    <s v="Definition of frequency in data"/>
    <s v="LU000320"/>
    <s v="Interpretation of tabulated data"/>
    <s v="LU000316"/>
    <s v="Definition of bar graph"/>
    <s v="LU000308"/>
    <s v="Definition of data and information"/>
    <m/>
    <m/>
    <m/>
    <m/>
  </r>
  <r>
    <x v="0"/>
    <s v="CBSE"/>
    <x v="0"/>
    <x v="0"/>
    <x v="3"/>
    <x v="22"/>
    <s v="LU001353"/>
    <s v="Definition of Infographics"/>
    <s v="LU001353.001"/>
    <s v="Define what an infographic is and identify its main purpose in presenting data visually."/>
    <s v="LU001353.002"/>
    <s v="Explain how infographics enhance the presentation of data compared to simple bar graphs or tables."/>
    <s v="LU001353.003"/>
    <s v="Interpret data from an infographic by explaining the information conveyed through shapes and colors."/>
    <s v="LU001353.004"/>
    <s v="Compare a standard bar graph and an infographic to determine which more effectively communicates data."/>
    <s v="LU001353.005"/>
    <s v="Assess the accuracy and potential misleading aspects of an infographic based on its visual representation."/>
    <s v="LU001353.006"/>
    <s v="Design an infographic to represent data on a specific topic, using appropriate visual elements."/>
    <n v="4"/>
    <n v="6"/>
    <n v="2"/>
    <n v="12"/>
    <n v="4"/>
    <n v="3"/>
    <n v="1"/>
    <n v="8"/>
    <m/>
    <m/>
    <m/>
    <m/>
    <s v="LU000314"/>
    <s v="Interpretation of pictographs"/>
    <s v="LU000317"/>
    <s v="Interpretation of bar graphs (horizontal and vertical)"/>
    <m/>
    <m/>
    <m/>
    <m/>
    <m/>
    <m/>
    <m/>
    <m/>
    <m/>
    <m/>
  </r>
  <r>
    <x v="0"/>
    <s v="CBSE"/>
    <x v="0"/>
    <x v="0"/>
    <x v="4"/>
    <x v="23"/>
    <s v="LU000193"/>
    <s v="Multiple of number"/>
    <s v="LU000193.001"/>
    <s v="Define multiple of a number and its significance in the context of multiplication."/>
    <s v="LU000193.002"/>
    <s v="Describe the properties of multiple of a number"/>
    <s v="LU000193.003"/>
    <s v="Solve real-world and arithmetic problems employing the concept of multiples."/>
    <s v="LU000193.004"/>
    <s v="Determine the relationship between common multiples."/>
    <s v="LU000193.005"/>
    <s v="#N/A"/>
    <s v="LU000193.006"/>
    <s v="Create visuals illustrating multiples and their practical applications."/>
    <n v="5"/>
    <n v="6"/>
    <n v="2"/>
    <n v="13"/>
    <n v="5"/>
    <n v="6"/>
    <n v="1"/>
    <n v="12"/>
    <m/>
    <m/>
    <m/>
    <m/>
    <s v=""/>
    <m/>
    <m/>
    <m/>
    <m/>
    <m/>
    <m/>
    <m/>
    <m/>
    <m/>
    <m/>
    <m/>
    <m/>
    <m/>
  </r>
  <r>
    <x v="0"/>
    <s v="CBSE"/>
    <x v="0"/>
    <x v="0"/>
    <x v="4"/>
    <x v="23"/>
    <s v="LU000058"/>
    <s v="Definition of common multiples"/>
    <s v="LU000058.001"/>
    <s v="State the definition of common multiples."/>
    <s v="LU000058.002"/>
    <s v="Explain the concept of common multiples and how they are related to numbers."/>
    <s v="LU000058.003"/>
    <s v="Use common multiples to solve simple problems related to multiple numbers"/>
    <s v="LU000058.004"/>
    <s v="Examine a set of numbers and identify their common multiples."/>
    <s v="LU000058.005"/>
    <s v="Assess the usefulness of common multiples in solving real-world problems"/>
    <s v="LU000058.006"/>
    <s v="Create word problems that require the use of common multiples to find solutions."/>
    <n v="4"/>
    <n v="6"/>
    <n v="6"/>
    <n v="16"/>
    <n v="12"/>
    <n v="3"/>
    <n v="2"/>
    <n v="17"/>
    <m/>
    <m/>
    <m/>
    <m/>
    <s v="LU000193"/>
    <s v="Multiple of number"/>
    <s v="LU000118"/>
    <s v="Multiplication of five-digit numbers by one-digit/two-digit/three-digit/four-digit/five-digit numbers"/>
    <s v="LU000124"/>
    <s v="Division of three-digit numbers by one-digit/two-digit numbers using standard algorithms"/>
    <m/>
    <m/>
    <m/>
    <m/>
    <m/>
    <m/>
    <m/>
    <m/>
  </r>
  <r>
    <x v="0"/>
    <s v="CBSE"/>
    <x v="0"/>
    <x v="0"/>
    <x v="4"/>
    <x v="24"/>
    <s v="LU000192"/>
    <s v="Factor of number"/>
    <s v="LU000192.001"/>
    <s v="Define factor of a number and its significance in the context of multiplication."/>
    <s v="LU000192.002"/>
    <s v="Explain factors as numbers that divide another number without leaving a remainder."/>
    <s v="LU000192.003"/>
    <s v="Identify factors in practical and arithmetic problems."/>
    <s v="LU000192.004"/>
    <s v="Deduce the various properties of factor of a number (ex: every factor of a number is less than or equal to the given number.)"/>
    <s v="LU000192.005"/>
    <s v="Assess how factors are important in solving problems"/>
    <s v="LU000192.006"/>
    <s v="Design word problems that involve real-life situations and factorisation."/>
    <n v="12"/>
    <n v="19"/>
    <n v="7"/>
    <n v="38"/>
    <n v="7"/>
    <n v="3"/>
    <n v="2"/>
    <n v="12"/>
    <m/>
    <m/>
    <m/>
    <m/>
    <s v=""/>
    <m/>
    <m/>
    <m/>
    <m/>
    <m/>
    <m/>
    <m/>
    <m/>
    <m/>
    <m/>
    <m/>
    <m/>
    <m/>
  </r>
  <r>
    <x v="0"/>
    <s v="CBSE"/>
    <x v="0"/>
    <x v="0"/>
    <x v="4"/>
    <x v="24"/>
    <s v="LU000060"/>
    <s v="Common factors of numbers"/>
    <s v="LU000060.001"/>
    <s v="State the definition of common factors in mathematics."/>
    <s v="LU000060.002"/>
    <s v="Explain the meaning and significance of common factors."/>
    <s v="LU000060.003"/>
    <s v="Use common factors to solve real-world problems involving multiples and divisors"/>
    <s v="LU000060.004"/>
    <s v="Examine pairs of numbers and analyze their common factors."/>
    <s v="LU000060.005"/>
    <s v="Assess the efficiency of using common factors to simplify fractions."/>
    <s v="LU000060.006"/>
    <s v="Create word problems that require students to identify common factors to solve."/>
    <n v="4"/>
    <n v="6"/>
    <m/>
    <n v="10"/>
    <n v="9"/>
    <n v="4"/>
    <n v="3"/>
    <n v="16"/>
    <m/>
    <m/>
    <m/>
    <m/>
    <s v="LU000192"/>
    <s v="Factor of number"/>
    <s v="LU000059"/>
    <s v="Factors using factor tree"/>
    <s v="LU000124"/>
    <s v="Division of three-digit numbers by one-digit/two-digit numbers using standard algorithms"/>
    <m/>
    <m/>
    <m/>
    <m/>
    <m/>
    <m/>
    <m/>
    <m/>
  </r>
  <r>
    <x v="0"/>
    <s v="CBSE"/>
    <x v="0"/>
    <x v="0"/>
    <x v="4"/>
    <x v="24"/>
    <s v="LU000194"/>
    <s v="Perfect number"/>
    <s v="LU000194.001"/>
    <s v="Define perfect number."/>
    <s v="LU000194.002"/>
    <s v="Describe the characteristics that distinguish a perfect number from other types of numbers"/>
    <s v="LU000194.003"/>
    <s v="Apply the criteria for identifying perfect numbers to determine whether a given number qualifies as a perfect number"/>
    <s v="LU000194.004"/>
    <s v="Analyse the properties of perfect numbers and identify patterns in their factors and divisors"/>
    <s v="LU000194.005"/>
    <s v="#N/A"/>
    <s v="LU000194.006"/>
    <s v="Create problems where students need to find perfect numbers within a specific range and verify their property."/>
    <n v="6"/>
    <n v="3"/>
    <n v="2"/>
    <n v="11"/>
    <n v="6"/>
    <n v="4"/>
    <n v="1"/>
    <n v="11"/>
    <m/>
    <m/>
    <m/>
    <m/>
    <s v="LU000192"/>
    <s v="Factor of number"/>
    <m/>
    <m/>
    <m/>
    <m/>
    <m/>
    <m/>
    <m/>
    <m/>
    <m/>
    <m/>
    <m/>
    <m/>
  </r>
  <r>
    <x v="0"/>
    <s v="CBSE"/>
    <x v="0"/>
    <x v="0"/>
    <x v="4"/>
    <x v="25"/>
    <s v="LU000195"/>
    <s v="Prime number"/>
    <s v="LU000195.001"/>
    <s v="Define and list examples of prime numbers."/>
    <s v="LU000195.002"/>
    <s v="Use the key methods (like trial division, sieve of eratosthenes, prime factorisation) to determine if a number is prime."/>
    <s v="LU000195.003"/>
    <s v="Apply the concept of prime numbers to identify prime numbers from a list of given numbers."/>
    <s v="LU000195.004"/>
    <s v="Recognise that prime numbers are the fundamental components of various composite numbers."/>
    <s v="LU000195.005"/>
    <s v="Evaluate the significance of prime numbers in cryptography"/>
    <s v="LU000195.006"/>
    <s v="Create a list of prime numbers within a specific range using knowledge of their unique divisibility property"/>
    <n v="6"/>
    <n v="6"/>
    <n v="2"/>
    <n v="14"/>
    <n v="5"/>
    <n v="2"/>
    <n v="1"/>
    <n v="8"/>
    <m/>
    <m/>
    <m/>
    <m/>
    <s v="LU000192"/>
    <s v="Factor of number"/>
    <m/>
    <m/>
    <m/>
    <m/>
    <m/>
    <m/>
    <m/>
    <m/>
    <m/>
    <m/>
    <m/>
    <m/>
  </r>
  <r>
    <x v="0"/>
    <s v="CBSE"/>
    <x v="0"/>
    <x v="0"/>
    <x v="4"/>
    <x v="25"/>
    <s v="LU000196"/>
    <s v="Composite number"/>
    <s v="LU000196.001"/>
    <s v="Define and list examples of composite numbers."/>
    <s v="LU000196.002"/>
    <s v="Use the key methods (like trial division, sieve of eratosthenes, prime factorisation) to determine if a number is composite."/>
    <s v="LU000196.003"/>
    <s v="Apply the concept of having more than two divisors to identify composite numbers."/>
    <s v="LU000196.004"/>
    <s v="Analyse the characteristics that differentiate composite numbers from prime numbers, focusing on their divisors."/>
    <s v="LU000196.005"/>
    <s v="Evaluate how identifying composite numbers helps in finding common factors."/>
    <s v="LU000196.006"/>
    <s v="Create a list of composite numbers within a given range by recognizing their multiple divisors."/>
    <n v="7"/>
    <n v="7"/>
    <n v="2"/>
    <n v="16"/>
    <n v="4"/>
    <n v="2"/>
    <n v="1"/>
    <n v="7"/>
    <m/>
    <m/>
    <m/>
    <m/>
    <s v="LU000192"/>
    <s v="Factor of number"/>
    <m/>
    <m/>
    <m/>
    <m/>
    <m/>
    <m/>
    <m/>
    <m/>
    <m/>
    <m/>
    <m/>
    <m/>
  </r>
  <r>
    <x v="0"/>
    <s v="CBSE"/>
    <x v="0"/>
    <x v="0"/>
    <x v="4"/>
    <x v="26"/>
    <s v="LU000213"/>
    <s v="Twin prime numbers"/>
    <s v="LU000213.001"/>
    <s v="Define and list examples of twin prime numbers."/>
    <s v="LU000213.002"/>
    <s v="Interpret the concept of twin prime numbers and explain their characteristics"/>
    <s v="LU000213.003"/>
    <s v="Apply the concept of twin prime numbers to identify and list pairs of twin primes within a specified range"/>
    <s v="LU000213.004"/>
    <s v="Analyse the properties of twin prime numbers and explore their occurrence and patterns in the sequence of prime numbers."/>
    <s v="LU000213.005"/>
    <s v="Assess the relationship between twin prime numbers and the distribution of prime numbers."/>
    <s v="LU000213.006"/>
    <s v="Create a list of numbers and task peers with identifying twin prime pairs, showcasing their ability to spot prime pairs with a fixed difference"/>
    <n v="5"/>
    <n v="6"/>
    <n v="2"/>
    <n v="13"/>
    <n v="4"/>
    <n v="3"/>
    <n v="1"/>
    <n v="8"/>
    <m/>
    <m/>
    <m/>
    <m/>
    <s v="LU000195"/>
    <s v="Prime number"/>
    <s v="LU000192"/>
    <s v="Factor of number"/>
    <m/>
    <m/>
    <m/>
    <m/>
    <m/>
    <m/>
    <m/>
    <m/>
    <m/>
    <m/>
  </r>
  <r>
    <x v="0"/>
    <s v="CBSE"/>
    <x v="0"/>
    <x v="0"/>
    <x v="4"/>
    <x v="26"/>
    <s v="LU000209"/>
    <s v="Co-prime numbers"/>
    <s v="LU000209.001"/>
    <s v="Define and list examples of co-prime numbers."/>
    <s v="LU000209.002"/>
    <s v="Explain the concept of co-prime numbers, recognising that they have no common factors other than 1"/>
    <s v="LU000209.003"/>
    <s v="Apply the concept of co-prime numbers to identify pairs of numbers that have a highest common factor of 1."/>
    <s v="LU000209.004"/>
    <s v="Analyse the factors of numbers to determine whether they are co-prime or not."/>
    <s v="LU000209.005"/>
    <s v="Evaluate the significance of co-prime numbers in various mathematical contexts, such as simplifying fractions."/>
    <s v="LU000209.006"/>
    <s v="Create situations where co-prime numbers are used."/>
    <n v="6"/>
    <n v="8"/>
    <n v="2"/>
    <n v="16"/>
    <n v="4"/>
    <n v="4"/>
    <n v="1"/>
    <n v="9"/>
    <m/>
    <n v="1"/>
    <m/>
    <n v="1"/>
    <s v="LU000060"/>
    <s v="Common factors of numbers"/>
    <s v="LU000192"/>
    <s v="Factor of number"/>
    <s v="LU000059"/>
    <s v="Factors using factor tree"/>
    <s v="LU000118"/>
    <s v="Multiplication of five-digit numbers by one-digit/two-digit/three-digit/four-digit/five-digit numbers"/>
    <m/>
    <m/>
    <m/>
    <m/>
    <m/>
    <m/>
  </r>
  <r>
    <x v="0"/>
    <s v="CBSE"/>
    <x v="0"/>
    <x v="0"/>
    <x v="4"/>
    <x v="27"/>
    <s v="LU000210"/>
    <s v="Methods of prime factorisation"/>
    <s v="LU000210.001"/>
    <s v="List the steps of prime factorisation."/>
    <s v="LU000210.002"/>
    <s v="Describe the various methods (like factor tree method, division method, repeated division) of prime factorisation."/>
    <s v="LU000210.003"/>
    <s v="Apply the method of prime factorisation to factorize given numbers into their prime factors."/>
    <s v="LU000210.004"/>
    <s v="Analyse the efficiency and steps involved in each prime factorisation method, comparing their advantages and limitations."/>
    <s v="LU000210.005"/>
    <s v="Evaluate the effectiveness of prime factorisation methods in terms of accuracy, speed, and ease of use."/>
    <s v="LU000210.006"/>
    <s v="Devise real-world problems or puzzles that require prime factorisation."/>
    <n v="14"/>
    <n v="9"/>
    <n v="2"/>
    <n v="25"/>
    <n v="8"/>
    <n v="6"/>
    <n v="1"/>
    <n v="15"/>
    <m/>
    <m/>
    <m/>
    <m/>
    <s v="LU000060"/>
    <s v="Common factors of numbers"/>
    <s v="LU000195"/>
    <s v="Prime number"/>
    <s v="LU000192"/>
    <s v="Factor of number"/>
    <m/>
    <m/>
    <m/>
    <m/>
    <m/>
    <m/>
    <m/>
    <m/>
  </r>
  <r>
    <x v="0"/>
    <s v="CBSE"/>
    <x v="0"/>
    <x v="0"/>
    <x v="4"/>
    <x v="27"/>
    <s v="LU001354"/>
    <s v="Prime factorisation to check if two numbers are co-prime"/>
    <s v="LU001354.001"/>
    <s v="Define prime factorization and co-prime numbers."/>
    <s v="LU001354.002"/>
    <s v="Explain how prime factorization can be used to determine if two numbers are co-prime."/>
    <s v="LU001354.003"/>
    <s v="Perform prime factorization on given pairs of numbers to identify if they are co-prime."/>
    <s v="LU001354.004"/>
    <s v="Analyze the prime factors of two numbers to assess their co-primality."/>
    <s v="LU001354.005"/>
    <s v="Evaluate the effectiveness of using prime factorization to check for co-prime numbers."/>
    <s v="LU001354.006"/>
    <s v="Create your own examples of co-prime numbers using prime factorization."/>
    <n v="2"/>
    <n v="6"/>
    <n v="2"/>
    <n v="10"/>
    <n v="6"/>
    <n v="3"/>
    <n v="1"/>
    <n v="10"/>
    <m/>
    <m/>
    <m/>
    <m/>
    <s v="LU000210"/>
    <s v="Methods of prime factorisation"/>
    <s v="LU000209"/>
    <s v="Co-prime numbers"/>
    <m/>
    <m/>
    <m/>
    <m/>
    <m/>
    <m/>
    <m/>
    <m/>
    <m/>
    <m/>
  </r>
  <r>
    <x v="0"/>
    <s v="CBSE"/>
    <x v="0"/>
    <x v="0"/>
    <x v="4"/>
    <x v="27"/>
    <s v="LU001355"/>
    <s v="Prime factorisation to check if one number is divisible by another"/>
    <s v="LU001355.001"/>
    <s v="Define prime factorization and its role in determining divisibility between two numbers."/>
    <s v="LU001355.002"/>
    <s v="Explain how prime factors of a number can determine if it is divisible by another number."/>
    <s v="LU001355.003"/>
    <s v="Apply prime factorization to check if a given number is divisible by another without using long division."/>
    <s v="LU001355.004"/>
    <s v="Analyze the prime factors of two numbers to determine their divisibility relationship."/>
    <s v="LU001355.005"/>
    <s v="Evaluate different methods of checking divisibility to determine when prime factorization is most effective."/>
    <s v="LU001355.006"/>
    <s v="Create examples of numbers with specific divisibility properties based on their prime factors."/>
    <n v="4"/>
    <n v="6"/>
    <n v="2"/>
    <n v="12"/>
    <n v="4"/>
    <n v="3"/>
    <n v="1"/>
    <n v="8"/>
    <m/>
    <m/>
    <m/>
    <m/>
    <s v="LU000210"/>
    <s v="Methods of prime factorisation"/>
    <s v="LU000195"/>
    <s v="Prime number"/>
    <s v="LU000060"/>
    <s v="Common factors of numbers"/>
    <m/>
    <m/>
    <m/>
    <m/>
    <m/>
    <m/>
    <m/>
    <m/>
  </r>
  <r>
    <x v="0"/>
    <s v="CBSE"/>
    <x v="0"/>
    <x v="0"/>
    <x v="4"/>
    <x v="28"/>
    <s v="LU000207"/>
    <s v="Test for divisibility by 10"/>
    <s v="LU000207.001"/>
    <s v="List the rule of divisibility by 10."/>
    <s v="LU000207.002"/>
    <s v="Find out the divisibility rule for 10."/>
    <s v="LU000207.003"/>
    <s v="Apply the rule for divisibility by 10 to determine if a number is divisible by 10 or not."/>
    <s v="LU000207.004"/>
    <s v="Analyse the last digit of numbers to determine whether they meet the conditions of the divisibility rule for 10"/>
    <s v="LU000207.005"/>
    <s v="Evaluate the efficiency of using the divisibility rule for 10 in quickly identifying numbers divisible by 10."/>
    <s v="LU000207.006"/>
    <s v="Create a set of number sequences to apply the divisibility rule by 10."/>
    <n v="4"/>
    <n v="6"/>
    <n v="2"/>
    <n v="12"/>
    <n v="4"/>
    <n v="3"/>
    <n v="1"/>
    <n v="8"/>
    <n v="1"/>
    <m/>
    <m/>
    <n v="1"/>
    <s v="LU001069"/>
    <s v="Definition of face value of digit in a number"/>
    <s v="LU000192"/>
    <s v="Factor of number"/>
    <s v="LU000193"/>
    <s v="Multiple of number"/>
    <s v="LU000123"/>
    <s v="Division of numbers by multiples of 10"/>
    <m/>
    <m/>
    <m/>
    <m/>
    <m/>
    <m/>
  </r>
  <r>
    <x v="0"/>
    <s v="CBSE"/>
    <x v="0"/>
    <x v="0"/>
    <x v="4"/>
    <x v="28"/>
    <s v="LU000202"/>
    <s v="Test for divisibility by 5"/>
    <s v="LU000202.001"/>
    <s v="List the rule that a number is divisible by 5 if it has either 5 or 0 in its ones place."/>
    <s v="LU000202.002"/>
    <s v="Find out the divisibility rule for 5."/>
    <s v="LU000202.003"/>
    <s v="Apply the rule for divisibility by 5 to determine if a number is divisible by 5 or not."/>
    <s v="LU000202.004"/>
    <s v="Analyse the last two digits of numbers to determine whether they meet the conditions of the divisibility rule for 5."/>
    <s v="LU000202.005"/>
    <s v="Evaluate the efficiency of using the divisibility rule for 5 in quickly identifying numbers divisible by 5"/>
    <s v="LU000202.006"/>
    <s v="Create a set of number sequences to apply the divisibility rule by 5."/>
    <n v="4"/>
    <n v="6"/>
    <n v="2"/>
    <n v="12"/>
    <n v="4"/>
    <n v="3"/>
    <n v="1"/>
    <n v="8"/>
    <m/>
    <m/>
    <m/>
    <m/>
    <s v="LU001069"/>
    <s v="Definition of face value of digit in a number"/>
    <s v="LU000192"/>
    <s v="Factor of number"/>
    <s v="LU000193"/>
    <s v="Multiple of number"/>
    <s v="LU000121"/>
    <s v="Division of five-digit numbers by one-digit/two-digit/three-digit/four-digit numbers using standard algorithms"/>
    <m/>
    <m/>
    <m/>
    <m/>
    <m/>
    <m/>
  </r>
  <r>
    <x v="0"/>
    <s v="CBSE"/>
    <x v="0"/>
    <x v="0"/>
    <x v="4"/>
    <x v="28"/>
    <s v="LU000199"/>
    <s v="Test for divisibility by 2"/>
    <s v="LU000199.001"/>
    <s v="List the rule that a number is divisible by 2 if its last digit is even (0, 2, 4, 6, or 8)"/>
    <s v="LU000199.002"/>
    <s v="Find out the divisibility rule for 2."/>
    <s v="LU000199.003"/>
    <s v="Apply the rule for divisibility by 2 to determine if a number is divisible by 2 or not."/>
    <s v="LU000199.004"/>
    <s v="Analyse the outcome of dividing a number by 2 and its implications for even and odd numbers"/>
    <s v="LU000199.005"/>
    <s v="Evaluate the efficiency of using the divisibility rule for 2 in quickly identifying even and odd numbers"/>
    <s v="LU000199.006"/>
    <s v="Create a set of number sequences to apply the divisibility rule by 2."/>
    <n v="4"/>
    <n v="6"/>
    <n v="2"/>
    <n v="12"/>
    <n v="4"/>
    <n v="3"/>
    <n v="1"/>
    <n v="8"/>
    <m/>
    <m/>
    <m/>
    <m/>
    <s v="LU000193"/>
    <s v="Multiple of number"/>
    <s v="LU000192"/>
    <s v="Factor of number"/>
    <s v="LU000121"/>
    <s v="Division of five-digit numbers by one-digit/two-digit/three-digit/four-digit numbers using standard algorithms"/>
    <m/>
    <m/>
    <m/>
    <m/>
    <m/>
    <m/>
    <m/>
    <m/>
  </r>
  <r>
    <x v="0"/>
    <s v="CBSE"/>
    <x v="0"/>
    <x v="0"/>
    <x v="4"/>
    <x v="29"/>
    <s v="LU000201"/>
    <s v="Test for divisibility by 4"/>
    <s v="LU000201.001"/>
    <s v="List the rule that a number is divisible by 4 if the last two digits form a number divisible by 4"/>
    <s v="LU000201.002"/>
    <s v="Find out the divisibility rule for 4."/>
    <s v="LU000201.003"/>
    <s v="Apply the rule for divisibility by 4 to determine if a number is divisible by 4 or not."/>
    <s v="LU000201.004"/>
    <s v="Analyse the last two digits of numbers to determine whether they meet the conditions of the divisibility rule for 4"/>
    <s v="LU000201.005"/>
    <s v="Evaluate the efficiency of using the divisibility rule for 4 in quickly identifying numbers divisible by 4."/>
    <s v="LU000201.006"/>
    <s v="Create a set of number sequences to apply the divisibility rule by 4."/>
    <n v="4"/>
    <n v="6"/>
    <n v="2"/>
    <n v="12"/>
    <n v="4"/>
    <n v="3"/>
    <n v="1"/>
    <n v="8"/>
    <m/>
    <m/>
    <m/>
    <m/>
    <s v="LU000124"/>
    <s v="Division of three-digit numbers by one-digit/two-digit numbers using standard algorithms"/>
    <s v="LU000153"/>
    <s v="Place value system in whole numbers (upto 9-digit numbers)"/>
    <s v="LU000192"/>
    <s v="Factor of number"/>
    <s v="LU000193"/>
    <s v="Multiple of number"/>
    <m/>
    <m/>
    <m/>
    <m/>
    <m/>
    <m/>
  </r>
  <r>
    <x v="0"/>
    <s v="CBSE"/>
    <x v="0"/>
    <x v="0"/>
    <x v="4"/>
    <x v="29"/>
    <s v="LU000205"/>
    <s v="Test for divisibility by 8"/>
    <s v="LU000205.001"/>
    <s v="List the rule of divisibility by 8."/>
    <s v="LU000205.002"/>
    <s v="Find out the divisibility rule for 8."/>
    <s v="LU000205.003"/>
    <s v="Apply the rule for divisibility by 8 to determine if a number is divisible by 8 or not."/>
    <s v="LU000205.004"/>
    <s v="Analyse the last three digits of numbers to determine whether they meet the conditions of the divisibility rule for 8"/>
    <s v="LU000205.005"/>
    <s v="Evaluate the efficiency of using the divisibility rule for 8 in quickly identifying numbers divisible by 8."/>
    <s v="LU000205.006"/>
    <s v="Create a set of number sequences to apply the divisibility rule by 8."/>
    <n v="4"/>
    <n v="8"/>
    <n v="2"/>
    <n v="14"/>
    <n v="4"/>
    <n v="3"/>
    <n v="2"/>
    <n v="9"/>
    <m/>
    <m/>
    <m/>
    <m/>
    <s v="LU000124"/>
    <s v="Division of three-digit numbers by one-digit/two-digit numbers using standard algorithms"/>
    <s v="LU000153"/>
    <s v="Place value system in whole numbers (upto 9-digit numbers)"/>
    <s v="LU000192"/>
    <s v="Factor of number"/>
    <s v="LU000193"/>
    <s v="Multiple of number"/>
    <m/>
    <m/>
    <m/>
    <m/>
    <m/>
    <m/>
  </r>
  <r>
    <x v="0"/>
    <s v="CBSE"/>
    <x v="0"/>
    <x v="0"/>
    <x v="5"/>
    <x v="30"/>
    <s v="LU000324"/>
    <s v="Perimeter of a rectangle using formula"/>
    <s v="LU000324.001"/>
    <s v="Deduce the formula for the perimeter of a rectangle."/>
    <s v="LU000324.002"/>
    <s v="Calculate the perimeter of a rectangle if length and width, or the relation between them, are given."/>
    <s v="LU000324.003"/>
    <s v="Determine the unknown side length if the perimeter or related description of a rectangle is given in context."/>
    <s v="LU000324.004"/>
    <s v="Solve word problems involving the formula for the perimeter of a rectangle."/>
    <s v="LU000324.005"/>
    <s v="#N/A"/>
    <s v="LU000324.006"/>
    <s v="#N/A"/>
    <n v="21"/>
    <n v="11"/>
    <n v="2"/>
    <n v="34"/>
    <n v="10"/>
    <n v="4"/>
    <n v="3"/>
    <n v="17"/>
    <m/>
    <m/>
    <m/>
    <m/>
    <s v="LU000028"/>
    <s v="Perimeter of a rectangle using a square grid"/>
    <s v="LU000597"/>
    <s v="Definition of rectangle"/>
    <s v="LU000027"/>
    <s v="Definition of perimeter"/>
    <m/>
    <m/>
    <m/>
    <m/>
    <m/>
    <m/>
    <m/>
    <m/>
  </r>
  <r>
    <x v="0"/>
    <s v="CBSE"/>
    <x v="0"/>
    <x v="0"/>
    <x v="5"/>
    <x v="30"/>
    <s v="LU001356"/>
    <s v="Perimeter of a square using formula"/>
    <s v="LU001356.001"/>
    <s v="Recall the formula for calculating the perimeter of a square."/>
    <s v="LU001356.002"/>
    <s v="Explain how the side length of a square relates to its perimeter."/>
    <s v="LU001356.003"/>
    <s v="Calculate the perimeter of various squares given their side lengths."/>
    <s v="LU001356.004"/>
    <s v="Compare the perimeters of squares with different side lengths using the formula."/>
    <s v="LU001356.005"/>
    <s v="Evaluate the accuracy of perimeter calculations for squares in different contexts."/>
    <s v="LU001356.006"/>
    <s v="Create word problems involving the perimeter of a square and solve them using the formula."/>
    <n v="4"/>
    <n v="6"/>
    <n v="2"/>
    <n v="12"/>
    <n v="4"/>
    <n v="3"/>
    <n v="1"/>
    <n v="8"/>
    <m/>
    <m/>
    <m/>
    <m/>
    <s v="LU000597"/>
    <s v="Definition of rectangle"/>
    <s v="LU000027"/>
    <s v="Definition of perimeter"/>
    <m/>
    <m/>
    <m/>
    <m/>
    <m/>
    <m/>
    <m/>
    <m/>
    <m/>
    <m/>
  </r>
  <r>
    <x v="0"/>
    <s v="CBSE"/>
    <x v="0"/>
    <x v="0"/>
    <x v="5"/>
    <x v="30"/>
    <s v="LU000325"/>
    <s v="Perimeter of regular shapes (regular polygons)"/>
    <s v="LU000325.001"/>
    <s v="Deduce the formula for the Perimeter of regular shapes (regular polygons). (equilateral triangle, square, pentagon, hexagon, heptagon, octagon)"/>
    <s v="LU000325.002"/>
    <s v="Calculate the Perimeter of regular shapes (regular polygons). (equilateral triangle, square, pentagon, hexagon, heptagon, octagon)."/>
    <s v="LU000325.003"/>
    <s v="Solve real-world problems involving the perimeters of regular polygons (equilateral triangle, square, pentagon, hexagon, heptagon, octagon)."/>
    <s v="LU000325.004"/>
    <s v="Determine the unknown side length if the perimeter or related description of a polygon is given in context."/>
    <s v="LU000325.005"/>
    <s v="Evaluate the efficiency of using the perimeter formula for different regular shapes in practical contexts."/>
    <s v="LU000325.006"/>
    <s v="Generate scenarios that require calculating the perimeters of various regular shapes."/>
    <n v="4"/>
    <n v="6"/>
    <n v="2"/>
    <n v="12"/>
    <n v="4"/>
    <n v="6"/>
    <n v="1"/>
    <n v="11"/>
    <m/>
    <m/>
    <m/>
    <m/>
    <s v="LU000905"/>
    <s v="Definition of regular and irregular polygon"/>
    <s v="LU000245"/>
    <s v="Classification of polygons based on the number of the sides"/>
    <s v="LU000027"/>
    <s v="Definition of perimeter"/>
    <m/>
    <m/>
    <m/>
    <m/>
    <m/>
    <m/>
    <m/>
    <m/>
  </r>
  <r>
    <x v="0"/>
    <s v="CBSE"/>
    <x v="0"/>
    <x v="0"/>
    <x v="5"/>
    <x v="31"/>
    <s v="LU001357"/>
    <s v="Perimeter of the figures using grids (straight and diagonal units)"/>
    <s v="LU001357.001"/>
    <s v="Identify and differentiate between straight and diagonal units when measuring the perimeter on a grid."/>
    <s v="LU001357.002"/>
    <s v="Explain how the combination of straight and diagonal units affects the perimeter of a figure on a grid."/>
    <s v="LU001357.003"/>
    <s v="Calculate the perimeter of various figures on a grid by summing the straight and diagonal units."/>
    <s v="LU001357.004"/>
    <s v="Compare different figures on a grid in terms of their perimeter, taking into account both straight and diagonal units."/>
    <s v="LU001357.005"/>
    <s v="Evaluate the accuracy of perimeter calculations on grids by estimating and then measuring the boundary of shapes."/>
    <s v="LU001357.006"/>
    <s v="Design and analyze grid-based figures to explore how varying the number of straight and diagonal units changes the perimeter."/>
    <n v="4"/>
    <n v="6"/>
    <n v="2"/>
    <n v="12"/>
    <n v="4"/>
    <n v="3"/>
    <n v="1"/>
    <n v="8"/>
    <m/>
    <m/>
    <m/>
    <m/>
    <s v="LU000105"/>
    <s v="Measure of sides of a rectangle/square drawn on a unit square grid"/>
    <s v="LU000027"/>
    <s v="Definition of perimeter"/>
    <m/>
    <m/>
    <m/>
    <m/>
    <m/>
    <m/>
    <m/>
    <m/>
    <m/>
    <m/>
  </r>
  <r>
    <x v="0"/>
    <s v="CBSE"/>
    <x v="0"/>
    <x v="0"/>
    <x v="5"/>
    <x v="32"/>
    <s v="LU000327"/>
    <s v="Area of a rectangle using formula"/>
    <s v="LU000327.001"/>
    <s v="Recall the formula for calculating the area of a rectangle."/>
    <s v="LU000327.002"/>
    <s v="Find the area of a rectangle using its formula."/>
    <s v="LU000327.003"/>
    <s v="Solve word problems involving the area of a rectangle."/>
    <s v="LU000327.004"/>
    <s v="Determine the unknown side if the area and one side of the rectangle is given."/>
    <s v="LU000327.005"/>
    <s v="Find the rectangle with the smallest perimeter by comparing rectangles with the same area but different perimeters."/>
    <s v="LU000327.006"/>
    <s v="#N/A"/>
    <n v="7"/>
    <n v="12"/>
    <n v="3"/>
    <n v="22"/>
    <n v="9"/>
    <n v="4"/>
    <n v="1"/>
    <n v="14"/>
    <m/>
    <m/>
    <m/>
    <m/>
    <s v="LU000324"/>
    <s v="Perimeter of a rectangle using formula"/>
    <s v="LU000326"/>
    <s v="Area of closed figures using graph paper or square grid method"/>
    <s v="LU000104"/>
    <s v="Area of a rectangle using everyday objects"/>
    <s v="LU000597"/>
    <s v="Definition of rectangle"/>
    <s v="LU000030"/>
    <s v="Definition of area"/>
    <m/>
    <m/>
    <m/>
    <m/>
  </r>
  <r>
    <x v="0"/>
    <s v="CBSE"/>
    <x v="0"/>
    <x v="0"/>
    <x v="5"/>
    <x v="32"/>
    <s v="LU000328"/>
    <s v="Area of a square using formula"/>
    <s v="LU000328.001"/>
    <s v="Recall the formula for calculating the area of a square."/>
    <s v="LU000328.002"/>
    <s v="Find the area of a square."/>
    <s v="LU000328.003"/>
    <s v="Solve word problems involving the area of a square."/>
    <s v="LU000328.004"/>
    <s v="Determine the unknown side if the area of the square is given."/>
    <s v="LU000328.005"/>
    <s v="Calculate the area of the given figures by the splitting the figures into squares and/or rectangles."/>
    <s v="LU000328.006"/>
    <s v="#N/A"/>
    <n v="13"/>
    <n v="9"/>
    <n v="2"/>
    <n v="24"/>
    <n v="9"/>
    <n v="4"/>
    <n v="1"/>
    <n v="14"/>
    <m/>
    <m/>
    <m/>
    <m/>
    <s v="LU001356"/>
    <s v="Perimeter of a square using formula"/>
    <s v="LU000326"/>
    <s v="Area of closed figures using graph paper or square grid method"/>
    <s v="LU000108"/>
    <s v="Area of a square using everyday objects"/>
    <s v="LU000598"/>
    <s v="Definition of square"/>
    <s v="LU000030"/>
    <s v="Definition of area"/>
    <m/>
    <m/>
    <m/>
    <m/>
  </r>
  <r>
    <x v="0"/>
    <s v="CBSE"/>
    <x v="0"/>
    <x v="0"/>
    <x v="5"/>
    <x v="33"/>
    <s v="LU000926"/>
    <s v="Area of a composite shape (made of more than one basic geometrical shapes)"/>
    <s v="LU000926.001"/>
    <s v="Recall the method for finding the area of composite shapes made from basic geometrical shapes."/>
    <s v="LU000926.002"/>
    <s v="Explain the concept of composite shapes and how they are formed by combining basic geometrical shapes."/>
    <s v="LU000926.003"/>
    <s v="Apply the appropriate area formulas for individual shapes to calculate the total area of a composite shape."/>
    <s v="LU000926.004"/>
    <s v="Analyze the decomposition of a composite shape into basic geometrical shapes for area calculation."/>
    <s v="LU000926.005"/>
    <s v="Evaluate the accuracy of solutions to area problems involving composite shapes."/>
    <s v="LU000926.006"/>
    <s v="Create a real-world scenario where finding the area of composite shapes is crucial"/>
    <n v="5"/>
    <n v="6"/>
    <n v="3"/>
    <n v="14"/>
    <n v="4"/>
    <n v="3"/>
    <n v="1"/>
    <n v="8"/>
    <m/>
    <m/>
    <m/>
    <m/>
    <s v="LU000327"/>
    <s v="Area of a rectangle using formula"/>
    <s v="LU000328"/>
    <s v="Area of a square using formula"/>
    <s v="LU000324"/>
    <s v="Perimeter of a rectangle using formula"/>
    <s v="LU001356"/>
    <s v="Perimeter of a square using formula"/>
    <s v="LU000030"/>
    <s v="Definition of area"/>
    <m/>
    <m/>
    <m/>
    <m/>
  </r>
  <r>
    <x v="0"/>
    <s v="CBSE"/>
    <x v="0"/>
    <x v="0"/>
    <x v="5"/>
    <x v="34"/>
    <s v="LU000326"/>
    <s v="Area of closed figures using graph paper or square grid method"/>
    <s v="LU000326.001"/>
    <s v="Recall the method of using graph paper or a square grid to calculate the area of closed figures."/>
    <s v="LU000326.002"/>
    <s v="Explain the process of placing closed figures on graph paper, outlining them, and counting the squares to determine the area."/>
    <s v="LU000326.003"/>
    <s v="Calculate the area of a square, a triangle or any other closed figure drawn on a paper using graph paper/square grid method."/>
    <s v="LU000326.004"/>
    <s v="Estimate the area (in mixed fraction in sq. units) of an irregular closed figure using a grid sheet."/>
    <s v="LU000326.005"/>
    <s v="Evaluate the effectiveness and limitations of the graph paper method for calculating areas of irregular shapes."/>
    <s v="LU000326.006"/>
    <s v="Create visual representations using graph paper to illustrate the process of calculating the area of closed figures."/>
    <n v="17"/>
    <n v="8"/>
    <n v="5"/>
    <n v="30"/>
    <n v="9"/>
    <n v="5"/>
    <n v="1"/>
    <n v="15"/>
    <n v="2"/>
    <m/>
    <m/>
    <n v="2"/>
    <s v="LU000104"/>
    <s v="Area of a rectangle using everyday objects"/>
    <s v="LU000108"/>
    <s v="Area of a square using everyday objects"/>
    <s v="LU000030"/>
    <s v="Definition of area"/>
    <s v="LU000012"/>
    <s v="Definition of a closed shape"/>
    <m/>
    <m/>
    <m/>
    <m/>
    <m/>
    <m/>
  </r>
  <r>
    <x v="0"/>
    <s v="CBSE"/>
    <x v="0"/>
    <x v="0"/>
    <x v="5"/>
    <x v="35"/>
    <s v="LU001358"/>
    <s v="Perimeter-Area relationship in geometrical figures"/>
    <s v="LU001358.001"/>
    <s v="Identify different rectangles that can be formed on a squared grid with a given area."/>
    <s v="LU001358.002"/>
    <s v="Explore and determine which rectangle has the greatest perimeter and which has the least perimeter for a fixed area."/>
    <s v="LU001358.003"/>
    <s v="Calculate the perimeter of rectangles with a specific area and analyze the variations in their perimeter."/>
    <s v="LU001358.004"/>
    <s v="Compare the perimeter-area relationships of rectangles with different dimensions but the same area."/>
    <s v="LU001358.005"/>
    <s v="Evaluate the factors that contribute to maximizing or minimizing the perimeter for a given area."/>
    <s v="LU001358.006"/>
    <s v="Predict and justify the shape of a rectangle with the greatest and least perimeter for any given area, using examples and reasoning."/>
    <n v="4"/>
    <n v="6"/>
    <n v="2"/>
    <n v="12"/>
    <n v="4"/>
    <n v="3"/>
    <n v="1"/>
    <n v="8"/>
    <m/>
    <m/>
    <m/>
    <m/>
    <s v="LU000327"/>
    <s v="Area of a rectangle using formula"/>
    <s v="LU000324"/>
    <s v="Perimeter of a rectangle using formula"/>
    <m/>
    <m/>
    <m/>
    <m/>
    <m/>
    <m/>
    <m/>
    <m/>
    <m/>
    <m/>
  </r>
  <r>
    <x v="0"/>
    <s v="CBSE"/>
    <x v="0"/>
    <x v="0"/>
    <x v="5"/>
    <x v="36"/>
    <s v="LU000486"/>
    <s v="Area of triangles as parts of rectangles"/>
    <s v="LU000486.001"/>
    <s v="Recall the relationship between the area of each triangle and the area of the rectangle."/>
    <s v="LU000486.002"/>
    <s v="Explain how cutting a rectangle into triangles and superposing them demonstrates the equal area of triangles."/>
    <s v="LU000486.003"/>
    <s v="Calculate the area of each triangle using the given formula and rectangle dimensions."/>
    <s v="LU000486.004"/>
    <s v="Analyse the relationship between the areas of the triangles and the dimensions of the rectangle from which they were cut."/>
    <s v="LU000486.005"/>
    <s v="Assess the validity of the statement about the sum of triangle areas being equal to the area of the rectangle."/>
    <s v="LU000486.006"/>
    <s v="Devise a visual representation illustrating the relationship between the rectangle, its diagonally cut triangles, and their areas."/>
    <n v="4"/>
    <n v="6"/>
    <n v="2"/>
    <n v="12"/>
    <n v="4"/>
    <n v="3"/>
    <n v="1"/>
    <n v="8"/>
    <m/>
    <m/>
    <m/>
    <m/>
    <s v="LU000327"/>
    <s v="Area of a rectangle using formula"/>
    <s v="LU000126"/>
    <s v="Multiplication of two-digit numbers by one-digit/two-digit numbers"/>
    <m/>
    <m/>
    <m/>
    <m/>
    <m/>
    <m/>
    <m/>
    <m/>
    <m/>
    <m/>
  </r>
  <r>
    <x v="0"/>
    <s v="CBSE"/>
    <x v="0"/>
    <x v="0"/>
    <x v="6"/>
    <x v="37"/>
    <s v="LU000278"/>
    <s v="Definition of fraction"/>
    <s v="LU000278.001"/>
    <s v="Describe a fraction and its components. (numerator, fractional bar, and denominator)"/>
    <s v="LU000278.002"/>
    <s v="Identify the numerator and denominator of a given fraction."/>
    <s v="LU000278.003"/>
    <s v="Describe real-life situations that can be expressed using fractions."/>
    <s v="LU000278.004"/>
    <s v="Analyse the relationship between the numerator and denominator in a fraction to determine its value and size relative to a whole."/>
    <s v="LU000278.005"/>
    <s v="Evaluate the significance of unit fractions and their role in representing the smallest parts of a whole."/>
    <s v="LU000278.006"/>
    <s v="#N/A"/>
    <n v="7"/>
    <n v="10"/>
    <n v="2"/>
    <n v="19"/>
    <n v="4"/>
    <n v="3"/>
    <n v="1"/>
    <n v="8"/>
    <m/>
    <m/>
    <m/>
    <m/>
    <s v="LU000175"/>
    <s v="Definition of natural number "/>
    <m/>
    <m/>
    <m/>
    <m/>
    <m/>
    <m/>
    <m/>
    <m/>
    <m/>
    <m/>
    <m/>
    <m/>
  </r>
  <r>
    <x v="0"/>
    <s v="CBSE"/>
    <x v="0"/>
    <x v="0"/>
    <x v="6"/>
    <x v="37"/>
    <s v="LU001054"/>
    <s v="Definition of unit fraction"/>
    <s v="LU001054.001"/>
    <s v="Define and identify examples of unit fractions in a set of fractions."/>
    <s v="LU001054.002"/>
    <s v="Interpret examples of unit fractions, understanding why they are called 'unit' fractions."/>
    <s v="LU001054.003"/>
    <s v="Apply the concept of unit fractions in simple calculations, such as adding or subtracting fractions with unit fractions."/>
    <s v="LU001054.004"/>
    <s v="Compare unit fractions with non-unit fractions."/>
    <s v="LU001054.005"/>
    <s v="Asses various representations of unit fractions, such as visual models or word problems"/>
    <s v="LU001054.006"/>
    <s v="Develop complex mathematical problems or scenarios that involve the application of unit fractions"/>
    <n v="4"/>
    <n v="6"/>
    <n v="2"/>
    <n v="12"/>
    <n v="4"/>
    <n v="3"/>
    <n v="1"/>
    <n v="8"/>
    <m/>
    <m/>
    <m/>
    <m/>
    <s v="LU000278"/>
    <s v="Definition of fraction"/>
    <s v="LU000176"/>
    <s v="Definition of whole number"/>
    <s v="LU000279"/>
    <s v="Represent fractions using numbers, figures or words"/>
    <m/>
    <m/>
    <m/>
    <m/>
    <m/>
    <m/>
    <m/>
    <m/>
  </r>
  <r>
    <x v="0"/>
    <s v="CBSE"/>
    <x v="0"/>
    <x v="0"/>
    <x v="6"/>
    <x v="38"/>
    <s v="LU000279"/>
    <s v="Represent fractions using numbers, figures or words"/>
    <s v="LU000279.001"/>
    <s v="Recall the method of representing fractions using numbers, figures, or words."/>
    <s v="LU000279.002"/>
    <s v="Represent various fractions using numbers, figures or words."/>
    <s v="LU000279.003"/>
    <s v="Identify the fractions represented by the shaded portion in a given figure."/>
    <s v="LU000279.004"/>
    <s v="Colour the parts of a figure according to the given fraction."/>
    <s v="LU000279.005"/>
    <s v="#N/A"/>
    <s v="LU000279.006"/>
    <s v="Construct a visual model to represent a fraction."/>
    <n v="6"/>
    <n v="3"/>
    <n v="1"/>
    <n v="10"/>
    <n v="6"/>
    <n v="6"/>
    <n v="2"/>
    <n v="14"/>
    <m/>
    <m/>
    <m/>
    <m/>
    <s v="LU000278"/>
    <s v="Definition of fraction"/>
    <s v="LU000044"/>
    <s v="Representation of fraction (1/2, 1/3, 1/4, 1/5, 1/10) visually"/>
    <s v="LU000045"/>
    <s v="Representation of fraction (1/2, 1/3, 1/4, 1/5, 1/10) symbolically"/>
    <m/>
    <m/>
    <m/>
    <m/>
    <m/>
    <m/>
    <m/>
    <m/>
  </r>
  <r>
    <x v="0"/>
    <s v="CBSE"/>
    <x v="0"/>
    <x v="0"/>
    <x v="6"/>
    <x v="38"/>
    <s v="LU000280"/>
    <s v="Representation of fractions on a number line"/>
    <s v="LU000280.001"/>
    <s v="Recall the concept of representing fractions on a number line using divisions between whole numbers."/>
    <s v="LU000280.002"/>
    <s v="Identify fractions on a number line."/>
    <s v="LU000280.003"/>
    <s v="Represent fractions on the number line."/>
    <s v="LU000280.004"/>
    <s v="Analyse the relationship between the position of fractions on a number line and their numerical values."/>
    <s v="LU000280.005"/>
    <s v="#N/A"/>
    <s v="LU000280.006"/>
    <s v="#N/A"/>
    <n v="7"/>
    <n v="6"/>
    <n v="6"/>
    <n v="19"/>
    <n v="6"/>
    <n v="3"/>
    <n v="1"/>
    <n v="10"/>
    <m/>
    <m/>
    <m/>
    <m/>
    <s v="LU000278"/>
    <s v="Definition of fraction"/>
    <s v="LU000179"/>
    <s v="Representation of whole numbers on a number line"/>
    <s v="LU000279"/>
    <s v="Represent fractions using numbers, figures or words"/>
    <m/>
    <m/>
    <m/>
    <m/>
    <m/>
    <m/>
    <m/>
    <m/>
  </r>
  <r>
    <x v="0"/>
    <s v="CBSE"/>
    <x v="0"/>
    <x v="0"/>
    <x v="6"/>
    <x v="39"/>
    <s v="LU001369"/>
    <s v="Fractions less than one"/>
    <s v="LU001369.001"/>
    <s v="List fractions that are less than one."/>
    <s v="LU001369.002"/>
    <s v="Identify fractions that are less than one from the given set of fractions."/>
    <s v="LU001369.003"/>
    <s v="Represent fractions that are less than one visually."/>
    <s v="LU001369.004"/>
    <s v="Write fractions that are less than one whose numerator and denominator satisfy a given condition."/>
    <s v="LU001369.005"/>
    <s v="Importance of fraction that is less than one in representing parts of a whole and their relevance in real-world scenarios."/>
    <s v="LU001369.006"/>
    <s v="Develop real life examples of fractions that are less than one and illustrate their representation using visual aids."/>
    <n v="4"/>
    <n v="6"/>
    <n v="2"/>
    <n v="12"/>
    <n v="4"/>
    <n v="2"/>
    <n v="1"/>
    <n v="7"/>
    <m/>
    <m/>
    <m/>
    <m/>
    <s v="LU000280"/>
    <s v="Representation of fractions on a number line"/>
    <s v="LU000278"/>
    <s v="Definition of fraction"/>
    <m/>
    <m/>
    <m/>
    <m/>
    <m/>
    <m/>
    <m/>
    <m/>
    <m/>
    <m/>
  </r>
  <r>
    <x v="0"/>
    <s v="CBSE"/>
    <x v="0"/>
    <x v="0"/>
    <x v="6"/>
    <x v="39"/>
    <s v="LU001370"/>
    <s v="Fractions greater than one"/>
    <s v="LU001370.001"/>
    <s v="List fractions that are greater than one."/>
    <s v="LU001370.002"/>
    <s v="Identify fractions that are greater than one from the given set of fractions."/>
    <s v="LU001370.003"/>
    <s v="Represent fractions that are greater than one visually."/>
    <s v="LU001370.004"/>
    <s v="Write fraction that is greater than one whose numerator and denominator satisfy a given condition."/>
    <s v="LU001370.005"/>
    <s v="Evaluate the significance of fractions in representing quantities greater than a whole and their relevance in real-world scenarios."/>
    <s v="LU001370.006"/>
    <s v="Develop real life examples of fractions that are greater than one and illustrate their representation using visual aids."/>
    <n v="4"/>
    <n v="6"/>
    <n v="2"/>
    <n v="12"/>
    <n v="4"/>
    <n v="3"/>
    <n v="1"/>
    <n v="8"/>
    <m/>
    <m/>
    <m/>
    <m/>
    <s v="LU000280"/>
    <s v="Representation of fractions on a number line"/>
    <s v="LU000278"/>
    <s v="Definition of fraction"/>
    <m/>
    <m/>
    <m/>
    <m/>
    <m/>
    <m/>
    <m/>
    <m/>
    <m/>
    <m/>
  </r>
  <r>
    <x v="0"/>
    <s v="CBSE"/>
    <x v="0"/>
    <x v="0"/>
    <x v="6"/>
    <x v="39"/>
    <s v="LU000283"/>
    <s v="Definition of mixed fractions"/>
    <s v="LU000283.001"/>
    <s v="Define a mixed fraction with examples."/>
    <s v="LU000283.002"/>
    <s v="Identify a mixed fraction from a set of given fractions."/>
    <s v="LU000283.003"/>
    <s v="Recognise mixed fractions as the sum of a whole number and a proper fraction."/>
    <s v="LU000283.004"/>
    <s v="Analyse mixed fractions to identify the whole number part, the numerator, and the denominator and understand their relationship."/>
    <s v="LU000283.005"/>
    <s v="Evaluate the significance of mixed fractions in practical situations where whole numbers and fractions are combined."/>
    <s v="LU000283.006"/>
    <s v="Write examples of mixed fractions, both in numeric and visual form, showcasing the combination of whole numbers and proper fractions."/>
    <n v="2"/>
    <n v="2"/>
    <n v="2"/>
    <n v="6"/>
    <n v="6"/>
    <n v="7"/>
    <n v="1"/>
    <n v="14"/>
    <m/>
    <m/>
    <m/>
    <m/>
    <s v="LU001370"/>
    <s v="Fractions greater than one"/>
    <s v="LU000278"/>
    <s v="Definition of fraction"/>
    <s v="LU000176"/>
    <s v="Definition of whole number"/>
    <m/>
    <m/>
    <m/>
    <m/>
    <m/>
    <m/>
    <m/>
    <m/>
  </r>
  <r>
    <x v="0"/>
    <s v="CBSE"/>
    <x v="0"/>
    <x v="0"/>
    <x v="6"/>
    <x v="40"/>
    <s v="LU000975"/>
    <s v="Conversion of improper fraction to mixed fraction "/>
    <s v="LU000975.001"/>
    <s v="Recall the steps involved in converting an improper fraction to a mixed fraction."/>
    <s v="LU000975.002"/>
    <s v="Explain the concept of improper fractions and mixed fractions, including their relationship, and why conversion is necessary."/>
    <s v="LU000975.003"/>
    <s v="Apply the conversion process accurately to transform improper fractions into mixed fractions."/>
    <s v="LU000975.004"/>
    <s v="Analyze improper fractions to determine their equivalent mixed fraction representations."/>
    <s v="LU000975.005"/>
    <s v="Evaluate the correctness of converted mixed fractions, providing explanations for errors."/>
    <s v="LU000975.006"/>
    <s v="#N/A"/>
    <n v="4"/>
    <n v="7"/>
    <n v="2"/>
    <n v="13"/>
    <n v="8"/>
    <n v="8"/>
    <n v="1"/>
    <n v="17"/>
    <m/>
    <m/>
    <m/>
    <m/>
    <s v="LU001370"/>
    <s v="Fractions greater than one"/>
    <s v="LU000283"/>
    <s v="Definition of mixed fractions"/>
    <s v="LU000124"/>
    <s v="Division of three-digit numbers by one-digit/two-digit numbers using standard algorithms"/>
    <m/>
    <m/>
    <m/>
    <m/>
    <m/>
    <m/>
    <m/>
    <m/>
  </r>
  <r>
    <x v="0"/>
    <s v="CBSE"/>
    <x v="0"/>
    <x v="0"/>
    <x v="6"/>
    <x v="40"/>
    <s v="LU000976"/>
    <s v="Conversion of mixed fraction to improper fraction "/>
    <s v="LU000976.001"/>
    <s v="Recall the steps for converting mixed fractions to improper fractions."/>
    <s v="LU000976.002"/>
    <s v="Explain the concept of mixed fractions and improper fractions and why conversion is necessary."/>
    <s v="LU000976.003"/>
    <s v="Apply the conversion process accurately to transform mixed fractions into improper fractions."/>
    <s v="LU000976.004"/>
    <s v="Analyze mixed fractions to determine their equivalent improper fraction representations."/>
    <s v="LU000976.005"/>
    <s v="Evaluate the correctness of converted improper fractions, providing explanations for errors."/>
    <s v="LU000976.006"/>
    <s v="#N/A"/>
    <n v="4"/>
    <n v="2"/>
    <n v="2"/>
    <n v="8"/>
    <n v="8"/>
    <n v="7"/>
    <n v="1"/>
    <n v="16"/>
    <m/>
    <m/>
    <m/>
    <m/>
    <s v="LU000283"/>
    <s v="Definition of mixed fractions"/>
    <s v="LU001370"/>
    <s v="Fractions greater than one"/>
    <s v="LU000127"/>
    <s v="Multiplication of three-digit numbers by one-digit/two-digit/three-digit numbers"/>
    <m/>
    <m/>
    <m/>
    <m/>
    <m/>
    <m/>
    <m/>
    <m/>
  </r>
  <r>
    <x v="0"/>
    <s v="CBSE"/>
    <x v="0"/>
    <x v="0"/>
    <x v="6"/>
    <x v="41"/>
    <s v="LU000285"/>
    <s v="Definition of equivalent fractions"/>
    <s v="LU000285.001"/>
    <s v="Define equivalent fractions with examples."/>
    <s v="LU000285.002"/>
    <s v="Identify the equivalent fractions from a given list of fractions."/>
    <s v="LU000285.003"/>
    <s v="Determine equivalent fractions for a given fraction."/>
    <s v="LU000285.004"/>
    <s v="Convert a fraction to an equivalent fraction with specific numerator and denominator."/>
    <s v="LU000285.005"/>
    <s v="Justify that equivalent fractions lie on the same point on a number line and represent them accordingly."/>
    <s v="LU000285.006"/>
    <s v="Determine whether two fractions are equivalent or not by finding the cross product of numerators and denominators."/>
    <n v="13"/>
    <n v="6"/>
    <n v="10"/>
    <n v="29"/>
    <n v="5"/>
    <n v="12"/>
    <n v="6"/>
    <n v="23"/>
    <m/>
    <m/>
    <m/>
    <m/>
    <s v="LU000060"/>
    <s v="Common factors of numbers"/>
    <s v="LU000058"/>
    <s v="Definition of common multiples"/>
    <s v="LU000126"/>
    <s v="Multiplication of two-digit numbers by one-digit/two-digit numbers"/>
    <s v="LU000278"/>
    <s v="Definition of fraction"/>
    <m/>
    <m/>
    <m/>
    <m/>
    <m/>
    <m/>
  </r>
  <r>
    <x v="0"/>
    <s v="CBSE"/>
    <x v="0"/>
    <x v="0"/>
    <x v="6"/>
    <x v="41"/>
    <s v="LU000291"/>
    <s v="Simplest (or Lowest) form of a fraction"/>
    <s v="LU000291.001"/>
    <s v="Recall the definition of simplest (or lowest) form of a fraction."/>
    <s v="LU000291.002"/>
    <s v="Explain the concept of reducing a fraction to its simplest form."/>
    <s v="LU000291.003"/>
    <s v="Determine the simplest form of fraction by dividing its numerator and denominator by the highest common factor."/>
    <s v="LU000291.004"/>
    <s v="Analyse the common factors between the numerator and denominator of a fraction to determine whether it is in the simplest form."/>
    <s v="LU000291.005"/>
    <s v="#N/A"/>
    <s v="LU000291.006"/>
    <s v="#N/A"/>
    <n v="4"/>
    <n v="9"/>
    <n v="2"/>
    <n v="15"/>
    <n v="4"/>
    <n v="5"/>
    <n v="1"/>
    <n v="10"/>
    <m/>
    <m/>
    <m/>
    <m/>
    <s v="LU000060"/>
    <s v="Common factors of numbers"/>
    <s v="LU000124"/>
    <s v="Division of three-digit numbers by one-digit/two-digit numbers using standard algorithms"/>
    <s v="LU000058"/>
    <s v="Definition of common multiples"/>
    <s v="LU000278"/>
    <s v="Definition of fraction"/>
    <m/>
    <m/>
    <m/>
    <m/>
    <m/>
    <m/>
  </r>
  <r>
    <x v="0"/>
    <s v="CBSE"/>
    <x v="0"/>
    <x v="0"/>
    <x v="6"/>
    <x v="42"/>
    <s v="LU000287"/>
    <s v="Comparison of fractions"/>
    <s v="LU000287.001"/>
    <s v="Recall the methods of comparing fractions using common denominators and cross-multiplication."/>
    <s v="LU000287.002"/>
    <s v="Compare two fractions by the cross-multiplication method or by taking the LCM, and record comparisons using &lt;, &gt;, or = sign."/>
    <s v="LU000287.003"/>
    <s v="Compare fractions and arrange them in either ascending or descending order."/>
    <s v="LU000287.004"/>
    <s v="Solve word problems based on the comparison of fractions."/>
    <s v="LU000287.005"/>
    <s v="Evaluate the effectiveness of different methods for comparing fractions in solving mathematical problems."/>
    <s v="LU000287.006"/>
    <s v="Generate a set of fractions and create activities that require students to compare and arrange them based on their magnitudes."/>
    <n v="5"/>
    <n v="11"/>
    <n v="6"/>
    <n v="22"/>
    <n v="8"/>
    <n v="11"/>
    <n v="3"/>
    <n v="22"/>
    <m/>
    <m/>
    <m/>
    <m/>
    <s v="LU000286"/>
    <s v="Definition of like and unlike fractions"/>
    <s v="LU000285"/>
    <s v="Definition of equivalent fractions"/>
    <s v="LU000058"/>
    <s v="Definition of common multiples"/>
    <m/>
    <m/>
    <m/>
    <m/>
    <m/>
    <m/>
    <m/>
    <m/>
  </r>
  <r>
    <x v="0"/>
    <s v="CBSE"/>
    <x v="0"/>
    <x v="0"/>
    <x v="6"/>
    <x v="43"/>
    <s v="LU000977"/>
    <s v="Addition of fractions with the same denominators"/>
    <s v="LU000977.001"/>
    <s v="Recall rules for adding like fractions with the same denominators."/>
    <s v="LU000977.002"/>
    <s v="Explain the concept of like fractions and why the denominators must be the same for addition."/>
    <s v="LU000977.003"/>
    <s v="Apply addition techniques to add like fractions accurately."/>
    <s v="LU000977.004"/>
    <s v="Analyze like fractions to determine their compatibility for addition."/>
    <s v="LU000977.005"/>
    <s v="Evaluate the correctness of added like fractions, providing explanations for errors."/>
    <s v="LU000977.006"/>
    <s v="#N/A"/>
    <n v="4"/>
    <n v="2"/>
    <n v="2"/>
    <n v="8"/>
    <n v="4"/>
    <n v="9"/>
    <n v="1"/>
    <n v="14"/>
    <m/>
    <m/>
    <m/>
    <m/>
    <s v="LU000286"/>
    <s v="Definition of like and unlike fractions"/>
    <s v="LU000180"/>
    <s v="Addition of whole numbers on number line"/>
    <m/>
    <m/>
    <m/>
    <m/>
    <m/>
    <m/>
    <m/>
    <m/>
    <m/>
    <m/>
  </r>
  <r>
    <x v="0"/>
    <s v="CBSE"/>
    <x v="0"/>
    <x v="0"/>
    <x v="6"/>
    <x v="43"/>
    <s v="LU000978"/>
    <s v="Subtraction of fractions with the same denominators"/>
    <s v="LU000978.001"/>
    <s v="Recall rules for subtracting like fractions with the same denominators."/>
    <s v="LU000978.002"/>
    <s v="Explain the concept of like fractions and the need for common denominators in subtraction."/>
    <s v="LU000978.003"/>
    <s v="Apply subtraction techniques to subtract like fractions accurately."/>
    <s v="LU000978.004"/>
    <s v="Analyze like fractions to determine their suitability for subtraction."/>
    <s v="LU000978.005"/>
    <s v="Evaluate the correctness of subtracted like fractions, providing explanations for errors."/>
    <s v="LU000978.006"/>
    <s v="#N/A"/>
    <n v="4"/>
    <n v="1"/>
    <n v="2"/>
    <n v="7"/>
    <n v="4"/>
    <n v="9"/>
    <n v="1"/>
    <n v="14"/>
    <m/>
    <m/>
    <m/>
    <m/>
    <s v="LU000286"/>
    <s v="Definition of like and unlike fractions"/>
    <s v="LU000181"/>
    <s v="Subtraction of whole numbers on number line"/>
    <m/>
    <m/>
    <m/>
    <m/>
    <m/>
    <m/>
    <m/>
    <m/>
    <m/>
    <m/>
  </r>
  <r>
    <x v="0"/>
    <s v="CBSE"/>
    <x v="0"/>
    <x v="0"/>
    <x v="6"/>
    <x v="44"/>
    <s v="LU000979"/>
    <s v="Addition of fractions with the different denominators"/>
    <s v="LU000979.001"/>
    <s v="Recall rules for adding unlike fractions with different denominators."/>
    <s v="LU000979.002"/>
    <s v="Explain the concept of unlike fractions and the need for a common denominator."/>
    <s v="LU000979.003"/>
    <s v="Apply addition techniques to add unlike fractions accurately."/>
    <s v="LU000979.004"/>
    <s v="Analyze fractions to find the least common denominator and successfully add them."/>
    <s v="LU000979.005"/>
    <s v="Evaluate the correctness of added unlike fractions, explaining errors."/>
    <s v="LU000979.006"/>
    <s v="#N/A"/>
    <n v="4"/>
    <n v="15"/>
    <n v="2"/>
    <n v="21"/>
    <n v="4"/>
    <n v="6"/>
    <n v="1"/>
    <n v="11"/>
    <m/>
    <m/>
    <m/>
    <m/>
    <s v="LU000977"/>
    <s v="Addition of fractions with the same denominators"/>
    <s v="LU000212"/>
    <s v="Least Common Multiple (LCM) of the numbers"/>
    <s v="LU000058"/>
    <s v="Definition of common multiples"/>
    <s v="LU000286"/>
    <s v="Definition of like and unlike fractions"/>
    <m/>
    <m/>
    <m/>
    <m/>
    <m/>
    <m/>
  </r>
  <r>
    <x v="0"/>
    <s v="CBSE"/>
    <x v="0"/>
    <x v="0"/>
    <x v="6"/>
    <x v="44"/>
    <s v="LU000980"/>
    <s v="Subtraction of fractions with the different denominators"/>
    <s v="LU000980.001"/>
    <s v="Recall rules for subtracting unlike fractions with different denominators."/>
    <s v="LU000980.002"/>
    <s v="Explain the concept of unlike fractions and the need for a common denominator in subtraction."/>
    <s v="LU000980.003"/>
    <s v="Apply subtraction techniques to subtract unlike fractions accurately."/>
    <s v="LU000980.004"/>
    <s v="Analyze fractions to find the least common denominator and successfully subtract them."/>
    <s v="LU000980.005"/>
    <s v="Evaluate the correctness of subtracted unlike fractions, providing explanations for errors."/>
    <s v="LU000980.006"/>
    <s v="#N/A"/>
    <n v="4"/>
    <n v="16"/>
    <n v="2"/>
    <n v="22"/>
    <n v="4"/>
    <n v="10"/>
    <n v="1"/>
    <n v="15"/>
    <m/>
    <m/>
    <m/>
    <m/>
    <s v="LU000978"/>
    <s v="Subtraction of fractions with the same denominators"/>
    <s v="LU000212"/>
    <s v="Least Common Multiple (LCM) of the numbers"/>
    <s v="LU000058"/>
    <s v="Definition of common multiples"/>
    <s v="LU000286"/>
    <s v="Definition of like and unlike fractions"/>
    <m/>
    <m/>
    <m/>
    <m/>
    <m/>
    <m/>
  </r>
  <r>
    <x v="0"/>
    <s v="CBSE"/>
    <x v="0"/>
    <x v="0"/>
    <x v="6"/>
    <x v="44"/>
    <s v="LU001359"/>
    <s v="Fractional units adding up to 1"/>
    <s v="LU001359.001"/>
    <s v="Identify different fractional units that can be added together to sum up to 1."/>
    <s v="LU001359.002"/>
    <s v="Explain why it is impossible to add two different fractional units to get a sum of 1."/>
    <s v="LU001359.003"/>
    <s v="Discover the unique combination of three different fractional units that add up to 1."/>
    <s v="LU001359.004"/>
    <s v="Explore and determine multiple combinations of four different fractional units that sum to 1."/>
    <s v="LU001359.005"/>
    <s v="Solve problems involving fractional units by systematically finding all possible combinations that equal 1."/>
    <s v="LU001359.006"/>
    <s v="Visualize the solutions by dividing a circle into parts that represent the fractional units adding up to 1."/>
    <n v="4"/>
    <n v="6"/>
    <n v="2"/>
    <n v="12"/>
    <n v="4"/>
    <n v="3"/>
    <n v="1"/>
    <n v="8"/>
    <m/>
    <m/>
    <m/>
    <m/>
    <s v="LU000979"/>
    <s v="Addition of fractions with the different denominators"/>
    <s v="LU000977"/>
    <s v="Addition of fractions with the same denominators"/>
    <m/>
    <m/>
    <m/>
    <m/>
    <m/>
    <m/>
    <m/>
    <m/>
    <m/>
    <m/>
  </r>
  <r>
    <x v="0"/>
    <s v="CBSE"/>
    <x v="0"/>
    <x v="0"/>
    <x v="7"/>
    <x v="45"/>
    <s v="LU000231"/>
    <s v="Definition of circle"/>
    <s v="LU000231.001"/>
    <s v="Define circle."/>
    <s v="LU000231.002"/>
    <s v="Compare circles with other types of two-dimensional shapes."/>
    <s v="LU000231.003"/>
    <s v="Apply the knowledge of circle definition to identify circles in diagrams."/>
    <s v="LU000231.004"/>
    <s v="Analyse real-life examples to identify circular shapes."/>
    <s v="LU000231.005"/>
    <s v="Evaluate the significance of circles in geometry and everyday objects."/>
    <s v="LU000231.006"/>
    <s v="Create drawings showcasing circles and their equidistant nature."/>
    <n v="4"/>
    <n v="6"/>
    <n v="2"/>
    <n v="12"/>
    <n v="4"/>
    <n v="3"/>
    <n v="1"/>
    <n v="8"/>
    <m/>
    <m/>
    <m/>
    <m/>
    <s v="LU000225"/>
    <s v="Classification of curves"/>
    <s v="LU000227"/>
    <s v="Definition and elements of a polygon"/>
    <s v="LU000218"/>
    <s v="Definition of point"/>
    <s v="LU000219"/>
    <s v="Definition of line segment"/>
    <m/>
    <m/>
    <m/>
    <m/>
    <m/>
    <m/>
  </r>
  <r>
    <x v="0"/>
    <s v="CBSE"/>
    <x v="0"/>
    <x v="0"/>
    <x v="7"/>
    <x v="45"/>
    <s v="LU000232"/>
    <s v="Elements of circle (Centre, radius, diameter)"/>
    <s v="LU000232.001"/>
    <s v="Recall the terms semi-circle, quarter, center, circumference, chord, radius, diameter, arc, interior, and exterior of a circle."/>
    <s v="LU000232.002"/>
    <s v="Explain the meanings of center, circumference, chord, radius, diameter, arc, interior, and exterior of a circle."/>
    <s v="LU000232.003"/>
    <s v="Apply the knowledge of circle parts to identify and label them in diagrams."/>
    <s v="LU000232.004"/>
    <s v="Analyse relationships between circle elements, like arc and chord, radius and diameter, circle, semi-circle, and quarter of a circle in geometric configurations."/>
    <s v="LU000232.005"/>
    <s v="Evaluate the importance of circle components in geometry and real-world applications."/>
    <s v="LU000232.006"/>
    <s v="Create diagrams illustrating circle components and their relationships in geometric situations"/>
    <n v="4"/>
    <n v="6"/>
    <n v="2"/>
    <n v="12"/>
    <n v="4"/>
    <n v="3"/>
    <n v="1"/>
    <n v="8"/>
    <m/>
    <m/>
    <m/>
    <m/>
    <s v="LU000231"/>
    <s v="Definition of circle"/>
    <s v="LU000219"/>
    <s v="Definition of line segment"/>
    <s v="LU000218"/>
    <s v="Definition of point"/>
    <m/>
    <m/>
    <m/>
    <m/>
    <m/>
    <m/>
    <m/>
    <m/>
  </r>
  <r>
    <x v="0"/>
    <s v="CBSE"/>
    <x v="0"/>
    <x v="0"/>
    <x v="7"/>
    <x v="45"/>
    <s v="LU000807"/>
    <s v="Construction of a circle with a given radius"/>
    <s v="LU000807.001"/>
    <s v="List the essential steps involved in constructing a circle with a given radius."/>
    <s v="LU000807.002"/>
    <s v="Describe the sequence of steps required to construct a circle with a specified radius accurately."/>
    <s v="LU000807.003"/>
    <s v="Apply the knowledge of circle construction to accurately construct a circle with a specific radius."/>
    <s v="LU000807.004"/>
    <s v="Identify and rectify any incorrect steps or procedures while constructing a circle to ensure its accuracy."/>
    <s v="LU000807.005"/>
    <s v="Assess the accuracy of a constructed circle by comparing it to a given radius."/>
    <s v="LU000807.006"/>
    <s v="Devise real-life scenarios where the knowledge of constructing circles with specific radii can be applied practically."/>
    <n v="4"/>
    <n v="6"/>
    <n v="2"/>
    <n v="12"/>
    <n v="4"/>
    <n v="3"/>
    <n v="1"/>
    <n v="8"/>
    <m/>
    <m/>
    <m/>
    <m/>
    <s v="LU000218"/>
    <s v="Definition of point"/>
    <s v="LU000970"/>
    <s v="Measurement of length of line segments using ruler"/>
    <m/>
    <m/>
    <m/>
    <m/>
    <m/>
    <m/>
    <m/>
    <m/>
    <m/>
    <m/>
  </r>
  <r>
    <x v="0"/>
    <s v="CBSE"/>
    <x v="0"/>
    <x v="0"/>
    <x v="7"/>
    <x v="46"/>
    <s v="LU000862"/>
    <s v="Construction of a square of given side"/>
    <s v="LU000862.001"/>
    <s v="Recall the properties of a square and the tools required for its construction."/>
    <s v="LU000862.002"/>
    <s v="Summarize the significance of a square's properties (equal sides, 90° angles) in its construction process."/>
    <s v="LU000862.003"/>
    <s v="Construct a square accurately on a piece of paper using a ruler and compass when given a specific side length."/>
    <s v="LU000862.004"/>
    <s v="Identify the sequence of steps and the underlying geometric principles employed during the construction of a square from a given side length."/>
    <s v="LU000862.005"/>
    <s v="Critique the precision and correctness of a constructed square, ensuring all sides are equal and all angles are right angles."/>
    <s v="LU000862.006"/>
    <s v="Design a practical activity or challenge that incorporates the construction of squares into a broader geometric project or artwork."/>
    <n v="4"/>
    <n v="6"/>
    <n v="2"/>
    <n v="12"/>
    <n v="4"/>
    <n v="3"/>
    <n v="1"/>
    <n v="8"/>
    <m/>
    <m/>
    <m/>
    <m/>
    <s v="LU000598"/>
    <s v="Definition of square"/>
    <s v="LU000017"/>
    <s v="Definition of a right angle"/>
    <s v="LU000808"/>
    <s v="Construction of a line segment of a given length using a ruler"/>
    <m/>
    <m/>
    <m/>
    <m/>
    <m/>
    <m/>
    <m/>
    <m/>
  </r>
  <r>
    <x v="0"/>
    <s v="CBSE"/>
    <x v="0"/>
    <x v="0"/>
    <x v="7"/>
    <x v="46"/>
    <s v="LU000864"/>
    <s v="Construction of a rectangle of given length and breadth"/>
    <s v="LU000864.001"/>
    <s v="#N/A"/>
    <s v="LU000864.002"/>
    <s v="#N/A"/>
    <s v="LU000864.003"/>
    <s v="Draw a rectangle using the given length and breadth with the help of appropriate geometric tools."/>
    <s v="LU000864.004"/>
    <s v="Break down the steps involved in constructing the rectangle and understand the logic behind each step."/>
    <s v="LU000864.005"/>
    <s v="Check the accuracy of the constructed rectangle, ensuring that it aligns with the given measurements and possesses all the properties of a rectangle."/>
    <s v="LU000864.006"/>
    <s v="Design a task or activity where the knowledge of rectangle construction is used to solve a larger problem or create a complex geometric figure."/>
    <n v="4"/>
    <n v="5"/>
    <n v="2"/>
    <n v="11"/>
    <n v="4"/>
    <n v="4"/>
    <n v="1"/>
    <n v="9"/>
    <m/>
    <m/>
    <m/>
    <m/>
    <s v="LU000597"/>
    <s v="Definition of rectangle"/>
    <s v="LU000017"/>
    <s v="Definition of a right angle"/>
    <s v="LU000808"/>
    <s v="Construction of a line segment of a given length using a ruler"/>
    <m/>
    <m/>
    <m/>
    <m/>
    <m/>
    <m/>
    <m/>
    <m/>
  </r>
  <r>
    <x v="0"/>
    <s v="CBSE"/>
    <x v="0"/>
    <x v="0"/>
    <x v="7"/>
    <x v="47"/>
    <s v="LU001360"/>
    <s v="Exploration in rectangles"/>
    <s v="LU001360.001"/>
    <s v="Identify the positions of points along the sides of a rectangle that maximize or minimize the distance between them."/>
    <s v="LU001360.002"/>
    <s v="Explain how the movement of points along the sides of a rectangle affects the distance between them."/>
    <s v="LU001360.003"/>
    <s v="Construct a rectangle and experiment with moving points along its sides to explore distance relationships."/>
    <s v="LU001360.004"/>
    <s v="Analyze the relationship between the side lengths of a rectangle and the distances between points on opposite sides."/>
    <s v="LU001360.005"/>
    <s v="Evaluate the accuracy of predictions about the nearest and farthest distances between points on a rectangle’s sides."/>
    <s v="LU001360.006"/>
    <s v="Create a record of measurements and observations from moving points along the sides of a rectangle to explore different distance configurations."/>
    <n v="4"/>
    <n v="6"/>
    <n v="3"/>
    <n v="13"/>
    <n v="4"/>
    <n v="3"/>
    <n v="2"/>
    <n v="9"/>
    <m/>
    <m/>
    <m/>
    <m/>
    <s v="LU000597"/>
    <s v="Definition of rectangle"/>
    <s v="LU000970"/>
    <s v="Measurement of length of line segments using ruler"/>
    <m/>
    <m/>
    <m/>
    <m/>
    <m/>
    <m/>
    <m/>
    <m/>
    <m/>
    <m/>
  </r>
  <r>
    <x v="0"/>
    <s v="CBSE"/>
    <x v="0"/>
    <x v="0"/>
    <x v="7"/>
    <x v="47"/>
    <s v="LU001361"/>
    <s v="Exploration in squares"/>
    <s v="LU001361.001"/>
    <s v="Recall the properties of squares and how they relate to the exploration of diagonals and distances within the square."/>
    <s v="LU001361.002"/>
    <s v="Explain how the diagonals of a square divide the angles and relate to the distances between vertices."/>
    <s v="LU001361.003"/>
    <s v="Construct a square and measure the diagonals to explore how they divide the angles and affect distances."/>
    <s v="LU001361.004"/>
    <s v="Analyze how rotating a square or changing the positions of points within it impacts the measurements and properties."/>
    <s v="LU001361.005"/>
    <s v="Evaluate the consistency of your measurements by comparing them with the expected properties of squares."/>
    <s v="LU001361.006"/>
    <s v="Design and carry out experiments involving the movement of points along the sides or diagonals of squares, recording how these movements affect distances and angles."/>
    <n v="3"/>
    <n v="6"/>
    <n v="2"/>
    <n v="11"/>
    <n v="3"/>
    <n v="3"/>
    <n v="1"/>
    <n v="7"/>
    <m/>
    <m/>
    <m/>
    <m/>
    <s v="LU000598"/>
    <s v="Definition of square"/>
    <s v="LU000970"/>
    <s v="Measurement of length of line segments using ruler"/>
    <m/>
    <m/>
    <m/>
    <m/>
    <m/>
    <m/>
    <m/>
    <m/>
    <m/>
    <m/>
  </r>
  <r>
    <x v="0"/>
    <s v="CBSE"/>
    <x v="0"/>
    <x v="0"/>
    <x v="7"/>
    <x v="47"/>
    <s v="LU001362"/>
    <s v="Exploration of diagonals of rectangles and squares"/>
    <s v="LU001362.001"/>
    <s v="Identify the diagonals in a rectangle or square and describe their properties."/>
    <s v="LU001362.002"/>
    <s v="Explain how diagonals divide the angles of rectangles and squares."/>
    <s v="LU001362.003"/>
    <s v="Construct the diagonals of a rectangle or square and measure the angles they create."/>
    <s v="LU001362.004"/>
    <s v="Analyze the relationship between the lengths of diagonals and the sides of rectangles and squares."/>
    <s v="LU001362.005"/>
    <s v="Evaluate how the diagonals divide the angles and sides of rectangles and squares into equal parts."/>
    <s v="LU001362.006"/>
    <s v="Create a rectangle or square with specified side lengths and explore the properties of its diagonals through construction and measurement."/>
    <n v="4"/>
    <n v="6"/>
    <n v="2"/>
    <n v="12"/>
    <n v="6"/>
    <n v="3"/>
    <n v="1"/>
    <n v="10"/>
    <m/>
    <m/>
    <m/>
    <m/>
    <s v="LU000597"/>
    <s v="Definition of rectangle"/>
    <s v="LU000017"/>
    <s v="Definition of a right angle"/>
    <s v="LU000970"/>
    <s v="Measurement of length of line segments using ruler"/>
    <m/>
    <m/>
    <m/>
    <m/>
    <m/>
    <m/>
    <m/>
    <m/>
  </r>
  <r>
    <x v="0"/>
    <s v="CBSE"/>
    <x v="0"/>
    <x v="0"/>
    <x v="7"/>
    <x v="48"/>
    <s v="LU001365"/>
    <s v="Construction of points equidistant from two given points"/>
    <s v="LU001365.001"/>
    <s v="Recall the method of constructing the perpendicular bisector of a line segment to find points equidistant from two given points."/>
    <s v="LU001365.002"/>
    <s v="Explain how the concept of equidistance is used to construct a larger house where all sides are of same length."/>
    <s v="LU001365.003"/>
    <s v="Construct a house by accurately locating points equidistant from two given points, ensuring all sides are of equal measure."/>
    <s v="LU001365.004"/>
    <s v="Recreate complex shapes like ‘A Person,’ ‘Wavy Wave,’ and ‘Eyes’ using the principles of equidistant point construction learned from the house construction."/>
    <s v="LU001365.005"/>
    <s v="Analyze whether it is possible to construct a four-sided figure where all sides are equal in length but the figure is not a square, and determine the properties of such a figure."/>
    <s v="LU001365.006"/>
    <s v="Design and construct geometric figures based on equidistance, exploring whether non-square quadrilaterals with equal sides can exist and comparing them to squares."/>
    <n v="4"/>
    <n v="6"/>
    <m/>
    <n v="10"/>
    <n v="5"/>
    <n v="3"/>
    <n v="3"/>
    <n v="11"/>
    <m/>
    <m/>
    <m/>
    <m/>
    <s v="LU000807"/>
    <s v="Construction of a circle with a given radius"/>
    <s v="LU000864"/>
    <s v="Construction of a rectangle of given length and breadth"/>
    <m/>
    <m/>
    <m/>
    <m/>
    <m/>
    <m/>
    <m/>
    <m/>
    <m/>
    <m/>
  </r>
  <r>
    <x v="0"/>
    <s v="CBSE"/>
    <x v="0"/>
    <x v="0"/>
    <x v="8"/>
    <x v="49"/>
    <s v="LU000789"/>
    <s v="Definition of symmetry"/>
    <s v="LU000789.001"/>
    <s v="State that symmetry is a property in which an object looks the same after a transformation, such as reflection or rotation."/>
    <s v="LU000789.002"/>
    <s v="Explain why symmetry is an important concept in mathematics and art."/>
    <s v="LU000789.003"/>
    <s v="Apply the definition of symmetry to identify symmetrical objects in the environment."/>
    <s v="LU000789.004"/>
    <s v="Analyse complex designs to determine the type of symmetry(line and rotational symmetry) they exhibit."/>
    <s v="LU000789.005"/>
    <s v="Evaluate the effectiveness of symmetry in creating balance and beauty in art."/>
    <s v="LU000789.006"/>
    <s v="Generate original symmetrical designs using various symmetry techniques."/>
    <n v="2"/>
    <n v="6"/>
    <n v="2"/>
    <n v="10"/>
    <n v="6"/>
    <n v="3"/>
    <n v="1"/>
    <n v="10"/>
    <m/>
    <m/>
    <m/>
    <m/>
    <s v="LU000079"/>
    <s v="Definition of 2D shapes"/>
    <m/>
    <m/>
    <m/>
    <m/>
    <m/>
    <m/>
    <m/>
    <m/>
    <m/>
    <m/>
    <m/>
    <m/>
  </r>
  <r>
    <x v="0"/>
    <s v="CBSE"/>
    <x v="0"/>
    <x v="0"/>
    <x v="8"/>
    <x v="49"/>
    <s v="LU000790"/>
    <s v="Lexical explanation of line symmetry"/>
    <s v="LU000790.001"/>
    <s v="State that line symmetry is a property of an object where it can be divided into two equal halves by a single straight line."/>
    <s v="LU000790.002"/>
    <s v="Describe how objects with line symmetry can be folded along the line of symmetry to match the two halves like a reflection in a mirror."/>
    <s v="LU000790.003"/>
    <s v="Identify line of symmetry(horizontal or vertical) in various geometric shapes and explain why they have this property."/>
    <s v="LU000790.004"/>
    <s v="Examine a decorative pattern and identify its line of symmetry, explaining how the pattern is symmetric with respect to that line."/>
    <s v="LU000790.005"/>
    <s v="Evaluate the significance of line symmetry in art and design."/>
    <s v="LU000790.006"/>
    <s v="Design a symmetrical pattern that combines multiple lines of symmetry to form an intricate, visually appealing artwork."/>
    <n v="4"/>
    <n v="6"/>
    <n v="2"/>
    <n v="12"/>
    <n v="4"/>
    <n v="3"/>
    <n v="1"/>
    <n v="8"/>
    <m/>
    <m/>
    <m/>
    <m/>
    <s v="LU000789"/>
    <s v="Definition of symmetry"/>
    <s v="LU000052"/>
    <s v="Mirror line for a shape"/>
    <m/>
    <m/>
    <m/>
    <m/>
    <m/>
    <m/>
    <m/>
    <m/>
    <m/>
    <m/>
  </r>
  <r>
    <x v="0"/>
    <s v="CBSE"/>
    <x v="0"/>
    <x v="0"/>
    <x v="8"/>
    <x v="49"/>
    <s v="LU000900"/>
    <s v="Relationship between mirror reflection and line symmetry"/>
    <s v="LU000900.001"/>
    <s v="State the definitions of mirror reflection and line symmetry and distinguish between these two types of symmetry."/>
    <s v="LU000900.002"/>
    <s v="Explain the fundamental differences and similarities between mirror reflection and line symmetry"/>
    <s v="LU000900.003"/>
    <s v="Apply knowledge of mirror reflection and line symmetry to identify examples of each in various geometric shapes and everyday objects."/>
    <s v="LU000900.004"/>
    <s v="Analyze complex patterns or designs to determine whether they exhibit mirror reflection, line symmetry, both, or neither"/>
    <s v="LU000900.005"/>
    <s v="Evaluate the importance of understanding both mirror reflection and line symmetry in geometry and design"/>
    <s v="LU000900.006"/>
    <s v="Create a visual presentation or diagram that illustrates the relationship between mirror reflection and line symmetry, showcasing their connections and distinctions effectively."/>
    <n v="4"/>
    <n v="3"/>
    <n v="2"/>
    <n v="9"/>
    <n v="4"/>
    <n v="6"/>
    <n v="1"/>
    <n v="11"/>
    <m/>
    <m/>
    <m/>
    <m/>
    <s v="LU000052"/>
    <s v="Mirror line for a shape"/>
    <s v="LU000789"/>
    <s v="Definition of symmetry"/>
    <s v="LU000886"/>
    <s v="Definition of mirror image"/>
    <m/>
    <m/>
    <m/>
    <m/>
    <m/>
    <m/>
    <m/>
    <m/>
  </r>
  <r>
    <x v="0"/>
    <s v="CBSE"/>
    <x v="0"/>
    <x v="0"/>
    <x v="8"/>
    <x v="50"/>
    <s v="LU000791"/>
    <s v="Line of symmetry for regular polygons"/>
    <s v="LU000791.001"/>
    <s v="State that a line of symmetry in a regular polygon divides it into two identical, mirror-image halves."/>
    <s v="LU000791.002"/>
    <s v="Describe how the number of sides in a regular polygon determines the number of lines of symmetry it possesses."/>
    <s v="LU000791.003"/>
    <s v="Draw lines of symmetry for a regular polygon, demonstrating an understanding of their properties."/>
    <s v="LU000791.004"/>
    <s v="Examine an irregular polygon and explain why it may or may not have a line of symmetry, based on its shape and angles."/>
    <s v="LU000791.005"/>
    <s v="Evaluate the role of lines of symmetry in the aesthetic design of regular polygons."/>
    <s v="LU000791.006"/>
    <s v="Generate original regular polygon designs, emphasizing their lines of symmetry."/>
    <n v="3"/>
    <n v="6"/>
    <n v="2"/>
    <n v="11"/>
    <n v="5"/>
    <n v="3"/>
    <n v="1"/>
    <n v="9"/>
    <m/>
    <m/>
    <m/>
    <m/>
    <s v="LU000905"/>
    <s v="Definition of regular and irregular polygon"/>
    <s v="LU000789"/>
    <s v="Definition of symmetry"/>
    <m/>
    <m/>
    <m/>
    <m/>
    <m/>
    <m/>
    <m/>
    <m/>
    <m/>
    <m/>
  </r>
  <r>
    <x v="0"/>
    <s v="CBSE"/>
    <x v="0"/>
    <x v="0"/>
    <x v="8"/>
    <x v="50"/>
    <s v="LU000796"/>
    <s v="Line of symmetry for figures"/>
    <s v="LU000796.001"/>
    <s v="State that a line of symmetry is a straight line that divides a figure into two equal and mirror-image halves."/>
    <s v="LU000796.002"/>
    <s v="Describe how recognising lines of symmetry helps in classifying and comparing different shapes and patterns."/>
    <s v="LU000796.003"/>
    <s v="Apply knowledge of lines of symmetry to identify and draw lines of symmetry for various figures."/>
    <s v="LU000796.004"/>
    <s v="Analyse complex figures to determine the presence and location of lines of symmetry."/>
    <s v="LU000796.005"/>
    <s v="Draw the shape with the given line(s) of symmetry."/>
    <s v="LU000796.006"/>
    <s v="Generate original artwork or patterns that incorporate lines of symmetry."/>
    <n v="4"/>
    <n v="8"/>
    <n v="10"/>
    <n v="22"/>
    <n v="4"/>
    <n v="5"/>
    <n v="4"/>
    <n v="13"/>
    <m/>
    <m/>
    <m/>
    <m/>
    <s v="LU000791"/>
    <s v="Line of symmetry for regular polygons"/>
    <s v="LU000789"/>
    <s v="Definition of symmetry"/>
    <s v="LU000220"/>
    <s v="Definition of line"/>
    <m/>
    <m/>
    <m/>
    <m/>
    <m/>
    <m/>
    <m/>
    <m/>
  </r>
  <r>
    <x v="0"/>
    <s v="CBSE"/>
    <x v="0"/>
    <x v="0"/>
    <x v="8"/>
    <x v="51"/>
    <s v="LU001176"/>
    <s v="Reflectional symmetry in types of triangles"/>
    <s v="LU001176.001"/>
    <s v="#N/A"/>
    <s v="LU001176.002"/>
    <s v="#N/A"/>
    <s v="LU001176.003"/>
    <s v="#N/A"/>
    <s v="LU001176.004"/>
    <s v="#N/A"/>
    <s v="LU001176.005"/>
    <s v="#N/A"/>
    <s v="LU001176.006"/>
    <s v="#N/A"/>
    <s v="#N/A"/>
    <s v="#N/A"/>
    <s v="#N/A"/>
    <s v="#N/A"/>
    <s v="#N/A"/>
    <s v="#N/A"/>
    <s v="#N/A"/>
    <s v="#N/A"/>
    <s v="#N/A"/>
    <s v="#N/A"/>
    <s v="#N/A"/>
    <s v="#N/A"/>
    <s v="LU000796"/>
    <s v="Line of symmetry for figures"/>
    <s v="LU000791"/>
    <s v="Line of symmetry for regular polygons"/>
    <s v="LU000789"/>
    <s v="Definition of symmetry"/>
    <s v="LU000892"/>
    <s v="Symmetry in equilateral triangle"/>
    <m/>
    <m/>
    <m/>
    <m/>
    <m/>
    <m/>
  </r>
  <r>
    <x v="0"/>
    <s v="CBSE"/>
    <x v="0"/>
    <x v="0"/>
    <x v="8"/>
    <x v="51"/>
    <s v="LU000800"/>
    <s v="Lines of symmetry of types of quadrilaterals"/>
    <s v="LU000800.001"/>
    <s v="State that the line of symmetry divides different quadrilaterals into two equal halves."/>
    <s v="LU000800.002"/>
    <s v="Explain why recognising quadrilateral symmetry matters."/>
    <s v="LU000800.003"/>
    <s v="Find and sketch lines of symmetry in quadrilaterals."/>
    <s v="LU000800.004"/>
    <s v="Analyse complex quadrilateral designs to find lines of symmetry."/>
    <s v="LU000800.005"/>
    <s v="Evaluate how symmetry impacts the appeal of real-world quadrilaterals."/>
    <s v="LU000800.006"/>
    <s v="Generate original designs with symmetrical quadrilaterals."/>
    <n v="4"/>
    <n v="6"/>
    <n v="2"/>
    <n v="12"/>
    <n v="4"/>
    <n v="3"/>
    <n v="1"/>
    <n v="8"/>
    <m/>
    <m/>
    <m/>
    <m/>
    <s v="LU000790"/>
    <s v="Lexical explanation of line symmetry"/>
    <s v="LU000891"/>
    <s v="Symmetry in rectangle"/>
    <s v="LU000893"/>
    <s v="Symmetry in kite"/>
    <s v="LU000894"/>
    <s v="Symmetry in square"/>
    <m/>
    <m/>
    <m/>
    <m/>
    <m/>
    <m/>
  </r>
  <r>
    <x v="0"/>
    <s v="CBSE"/>
    <x v="0"/>
    <x v="0"/>
    <x v="8"/>
    <x v="52"/>
    <s v="LU000792"/>
    <s v="Definition of rotational symmetry"/>
    <s v="LU000792.001"/>
    <s v="State that rotational symmetry is a property where an object looks the same after it's rotated by a certain angle around a central point."/>
    <s v="LU000792.002"/>
    <s v="Explain the significance of rotational symmetry in various fields."/>
    <s v="LU000792.003"/>
    <s v="Determine whether a given shape exhibits rotational symmetry"/>
    <s v="LU000792.004"/>
    <s v="Examine patterns and identify if they possess rotational symmetry."/>
    <s v="LU000792.005"/>
    <s v="Evaluate how the presence of rotational symmetry impacts the visual appeal of real-world objects."/>
    <s v="LU000792.006"/>
    <s v="Generate original artwork or patterns that incorporate rotational symmetry."/>
    <n v="4"/>
    <n v="6"/>
    <n v="2"/>
    <n v="12"/>
    <n v="5"/>
    <n v="3"/>
    <n v="1"/>
    <n v="9"/>
    <m/>
    <m/>
    <m/>
    <m/>
    <s v="LU000789"/>
    <s v="Definition of symmetry"/>
    <s v="LU000014"/>
    <s v="Definition of an angle"/>
    <m/>
    <m/>
    <m/>
    <m/>
    <m/>
    <m/>
    <m/>
    <m/>
    <m/>
    <m/>
  </r>
  <r>
    <x v="0"/>
    <s v="CBSE"/>
    <x v="0"/>
    <x v="0"/>
    <x v="8"/>
    <x v="52"/>
    <s v="LU000793"/>
    <s v="Definition of centre of rotation"/>
    <s v="LU000793.001"/>
    <s v="State that the center of rotation is a fixed point around which an object is rotated to create symmetry."/>
    <s v="LU000793.002"/>
    <s v="Describe how the center of rotation is fundamental in understanding how objects can be transformed to exhibit symmetry."/>
    <s v="LU000793.003"/>
    <s v="Determine the center of rotation in figures/objects."/>
    <s v="LU000793.004"/>
    <s v="Analyse and compare the centres of rotation in different shapes or objects"/>
    <s v="LU000793.005"/>
    <s v="Evaluate the impact of the center of rotation on the overall symmetry and aesthetics of real-world objects."/>
    <s v="LU000793.006"/>
    <s v="Generate original designs that incorporate the concept of the center of rotation."/>
    <n v="4"/>
    <n v="4"/>
    <n v="2"/>
    <n v="10"/>
    <n v="4"/>
    <n v="5"/>
    <n v="1"/>
    <n v="10"/>
    <m/>
    <m/>
    <m/>
    <m/>
    <s v=""/>
    <m/>
    <m/>
    <m/>
    <m/>
    <m/>
    <m/>
    <m/>
    <m/>
    <m/>
    <m/>
    <m/>
    <m/>
    <m/>
  </r>
  <r>
    <x v="0"/>
    <s v="CBSE"/>
    <x v="0"/>
    <x v="0"/>
    <x v="8"/>
    <x v="52"/>
    <s v="LU000794"/>
    <s v="Definition of angle of rotation"/>
    <s v="LU000794.001"/>
    <s v="State that the angle of rotation is the amount by which an object is turned around a central point to achieve symmetry."/>
    <s v="LU000794.002"/>
    <s v="Explain why the angle of rotation is a fundamental concept in understanding symmetry."/>
    <s v="LU000794.003"/>
    <s v="Apply the concept of the angle of rotation to determine it in various symmetrical objects."/>
    <s v="LU000794.004"/>
    <s v="Analyse complex designs to determine the specific angle of rotation employed."/>
    <s v="LU000794.005"/>
    <s v="Evaluate the impact of the angle of rotation on the overall symmetry and aesthetics of real-world objects."/>
    <s v="LU000794.006"/>
    <s v="Generate original artwork or patterns that incorporate the concept of the angle of rotation."/>
    <n v="5"/>
    <n v="6"/>
    <n v="2"/>
    <n v="13"/>
    <n v="5"/>
    <n v="3"/>
    <n v="1"/>
    <n v="9"/>
    <m/>
    <m/>
    <m/>
    <m/>
    <s v=""/>
    <m/>
    <m/>
    <m/>
    <m/>
    <m/>
    <m/>
    <m/>
    <m/>
    <m/>
    <m/>
    <m/>
    <m/>
    <m/>
  </r>
  <r>
    <x v="0"/>
    <s v="CBSE"/>
    <x v="0"/>
    <x v="0"/>
    <x v="8"/>
    <x v="53"/>
    <s v="LU000799"/>
    <s v="Figures with line and rotational symmetry"/>
    <s v="LU000799.001"/>
    <s v="State the definitions of line and rotational symmetry."/>
    <s v="LU000799.002"/>
    <s v="Explain the differences and similarities between line and rotational symmetry."/>
    <s v="LU000799.003"/>
    <s v="Determine if a given figure exhibits both line and rotational symmetry."/>
    <s v="LU000799.004"/>
    <s v="Analyse complex designs to identify lines of symmetry and rotational positions."/>
    <s v="LU000799.005"/>
    <s v="Evaluate how the presence of both line and rotational symmetry impacts the visual aesthetics of real-world figures."/>
    <s v="LU000799.006"/>
    <s v="Generate original artwork or designs that incorporate both line and rotational symmetry."/>
    <n v="4"/>
    <n v="13"/>
    <n v="16"/>
    <n v="33"/>
    <n v="4"/>
    <n v="5"/>
    <n v="2"/>
    <n v="11"/>
    <m/>
    <m/>
    <m/>
    <m/>
    <s v="LU000792"/>
    <s v="Definition of rotational symmetry"/>
    <s v="LU000794"/>
    <s v="Definition of angle of rotation"/>
    <s v="LU000793"/>
    <s v="Definition of centre of rotation"/>
    <m/>
    <m/>
    <m/>
    <m/>
    <m/>
    <m/>
    <m/>
    <m/>
  </r>
  <r>
    <x v="0"/>
    <s v="CBSE"/>
    <x v="0"/>
    <x v="0"/>
    <x v="9"/>
    <x v="54"/>
    <s v="LU000907"/>
    <s v="Definition of negative numbers"/>
    <s v="LU000907.001"/>
    <s v="State the definition of negative numbers as numbers less than zero."/>
    <s v="LU000907.002"/>
    <s v="Describe the properties of negative numbers"/>
    <s v="LU000907.003"/>
    <s v="Apply the knowledge of negative numbers to represent values below zero"/>
    <s v="LU000907.004"/>
    <s v="Compare and contrast the use of negative numbers with positive numbers and zero."/>
    <s v="LU000907.005"/>
    <s v="Analyse scenarios where negative numbers are applicable and discuss their significance."/>
    <s v="LU000907.006"/>
    <s v="Develop scenarios that require the integration of negative numbers in real-world decision-making"/>
    <n v="6"/>
    <n v="11"/>
    <n v="19"/>
    <n v="36"/>
    <n v="8"/>
    <n v="4"/>
    <n v="6"/>
    <n v="18"/>
    <m/>
    <m/>
    <m/>
    <m/>
    <s v="LU000176"/>
    <s v="Definition of whole number"/>
    <s v="LU000175"/>
    <s v="Definition of natural number"/>
    <m/>
    <m/>
    <m/>
    <m/>
    <m/>
    <m/>
    <m/>
    <m/>
    <m/>
    <m/>
  </r>
  <r>
    <x v="0"/>
    <s v="CBSE"/>
    <x v="0"/>
    <x v="0"/>
    <x v="9"/>
    <x v="55"/>
    <s v="LU000265"/>
    <s v="Definition of integers"/>
    <s v="LU000265.001"/>
    <s v="Define integers and their characteristics."/>
    <s v="LU000265.002"/>
    <s v="Explain the concept of integers in relation to whole numbers and natural numbers."/>
    <s v="LU000265.003"/>
    <s v="Apply the knowledge of integers to solve practical problems (like change in elevation, money, temperature, etc)."/>
    <s v="LU000265.004"/>
    <s v="Analyse integer sequences and patterns to identify rules governing their progression."/>
    <s v="LU000265.005"/>
    <s v="Judge whether statements about integer are true or false."/>
    <s v="LU000265.006"/>
    <s v="Create word problems that require the use of integers in various real life context."/>
    <n v="6"/>
    <n v="6"/>
    <n v="2"/>
    <n v="14"/>
    <n v="8"/>
    <n v="3"/>
    <n v="1"/>
    <n v="12"/>
    <m/>
    <m/>
    <m/>
    <m/>
    <s v="LU000176"/>
    <s v="Definition of whole number"/>
    <s v="LU000907"/>
    <s v="Definition of negative numbers"/>
    <s v="LU000175"/>
    <s v="Definition of natural number"/>
    <m/>
    <m/>
    <m/>
    <m/>
    <m/>
    <m/>
    <m/>
    <m/>
  </r>
  <r>
    <x v="0"/>
    <s v="CBSE"/>
    <x v="0"/>
    <x v="0"/>
    <x v="9"/>
    <x v="55"/>
    <s v="LU000266"/>
    <s v="Definition of positive integers"/>
    <s v="LU000266.001"/>
    <s v="Define positive integers and their characteristics."/>
    <s v="LU000266.002"/>
    <s v="Explain the concept of positive integers and how they relate to whole numbers and natural numbers."/>
    <s v="LU000266.003"/>
    <s v="Apply the concept of positive integers to solve basic addition problems."/>
    <s v="LU000266.004"/>
    <s v="Analyse patterns in sequences of positive integers and identify rules governing their progression."/>
    <s v="LU000266.005"/>
    <s v="Judge whether statements about positive integer are true or false."/>
    <s v="LU000266.006"/>
    <s v="Create word problems that require the use of positive integers in various real life context."/>
    <n v="4"/>
    <n v="6"/>
    <n v="2"/>
    <n v="12"/>
    <n v="5"/>
    <n v="3"/>
    <n v="1"/>
    <n v="9"/>
    <m/>
    <m/>
    <m/>
    <m/>
    <s v="LU000175"/>
    <s v="Definition of natural number"/>
    <s v="LU000176"/>
    <s v="Definition of whole number"/>
    <m/>
    <m/>
    <m/>
    <m/>
    <m/>
    <m/>
    <m/>
    <m/>
    <m/>
    <m/>
  </r>
  <r>
    <x v="0"/>
    <s v="CBSE"/>
    <x v="0"/>
    <x v="0"/>
    <x v="9"/>
    <x v="55"/>
    <s v="LU000267"/>
    <s v="Definition of negative integers"/>
    <s v="LU000267.001"/>
    <s v="Define negative integers and their characteristics."/>
    <s v="LU000267.002"/>
    <s v="Explain the concept of negative integers and how they relate to whole numbers and natural numbers."/>
    <s v="LU000267.003"/>
    <s v="Apply the concept of negative integers to solve basic addition problems."/>
    <s v="LU000267.004"/>
    <s v="Analyse scenarios where negative integers are applicable and discuss their significance."/>
    <s v="LU000267.005"/>
    <s v="Judge whether statements about negative integer are true or false."/>
    <s v="LU000267.006"/>
    <s v="Create word problems that require the use of negative integers in various real life context."/>
    <n v="5"/>
    <n v="6"/>
    <n v="1"/>
    <n v="12"/>
    <n v="4"/>
    <n v="3"/>
    <n v="2"/>
    <n v="9"/>
    <m/>
    <m/>
    <m/>
    <m/>
    <s v="LU000176"/>
    <s v="Definition of whole number"/>
    <s v="LU000907"/>
    <s v="Definition of negative numbers"/>
    <s v="LU000175"/>
    <s v="Definition of natural number"/>
    <m/>
    <m/>
    <m/>
    <m/>
    <m/>
    <m/>
    <m/>
    <m/>
  </r>
  <r>
    <x v="0"/>
    <s v="CBSE"/>
    <x v="0"/>
    <x v="0"/>
    <x v="9"/>
    <x v="56"/>
    <s v="LU000270"/>
    <s v="Representation of integers on number line"/>
    <s v="LU000270.001"/>
    <s v="Define a number line and its use in representing integers."/>
    <s v="LU000270.002"/>
    <s v="Explain the concept of integers' positions on a number line and how positive and negative integers are situated."/>
    <s v="LU000270.003"/>
    <s v="Apply the knowledge of number lines to represent integers and locate their positions."/>
    <s v="LU000270.004"/>
    <s v="Analyse the spacing and intervals on a number line to determine the difference between integer positions."/>
    <s v="LU000270.005"/>
    <s v="Evaluate the accuracy of solutions to integer addition problems and provide feedback on the approach."/>
    <s v="LU000270.006"/>
    <s v="Create a set of integer addition problems with varying sign combinations."/>
    <n v="6"/>
    <n v="6"/>
    <n v="2"/>
    <n v="14"/>
    <n v="7"/>
    <n v="3"/>
    <n v="1"/>
    <n v="11"/>
    <m/>
    <m/>
    <m/>
    <m/>
    <s v="LU000179"/>
    <s v="Representation of whole numbers on a number line"/>
    <s v="LU000178"/>
    <s v="Successor of whole numbers"/>
    <s v="LU000177"/>
    <s v="Predecessor of whole numbers"/>
    <s v="LU000266"/>
    <s v="Definition of positive integers"/>
    <s v="LU000267"/>
    <s v="Definition of negative integers"/>
    <m/>
    <m/>
    <m/>
    <m/>
  </r>
  <r>
    <x v="0"/>
    <s v="CBSE"/>
    <x v="0"/>
    <x v="0"/>
    <x v="9"/>
    <x v="56"/>
    <s v="LU000908"/>
    <s v="Comparison of integers"/>
    <s v="LU000908.001"/>
    <s v="List the order of integers on the number line."/>
    <s v="LU000908.002"/>
    <s v="Summarize the rules for comparing integers in different contexts."/>
    <s v="LU000908.003"/>
    <s v="Apply the knowledge of integer comparison to correctly order integers"/>
    <s v="LU000908.004"/>
    <s v="Compare and contrast different strategies for comparing integers"/>
    <s v="LU000908.005"/>
    <s v="Evaluate the correctness of integer comparisons by cross-checking using alternative methods."/>
    <s v="LU000908.006"/>
    <s v="Design sets of integer comparison problems that challenge to apply different strategies for ordering integers."/>
    <n v="3"/>
    <n v="6"/>
    <n v="2"/>
    <n v="11"/>
    <n v="6"/>
    <n v="3"/>
    <n v="1"/>
    <n v="10"/>
    <m/>
    <m/>
    <m/>
    <m/>
    <s v="LU000270"/>
    <s v="Representation of integers on number line"/>
    <s v="LU000154"/>
    <s v="Comparison of whole numbers (upto 9-digit numbers)"/>
    <s v="LU000267"/>
    <s v="Definition of negative integers"/>
    <s v="LU000266"/>
    <s v="Definition of positive integers"/>
    <s v="LU000178"/>
    <s v="Successor of whole numbers"/>
    <m/>
    <m/>
    <m/>
    <m/>
  </r>
  <r>
    <x v="0"/>
    <s v="CBSE"/>
    <x v="0"/>
    <x v="0"/>
    <x v="9"/>
    <x v="56"/>
    <s v="LU000273"/>
    <s v="Order of integers"/>
    <s v="LU000273.001"/>
    <s v="Write the symbols used to compare integers and the rules for comparing integers with the same and different signs."/>
    <s v="LU000273.002"/>
    <s v="Describe how integers are ordered using the number line"/>
    <s v="LU000273.003"/>
    <s v="Apply the understanding of ordering integers to compare/order integers using appropriate symbols."/>
    <s v="LU000273.004"/>
    <s v="Analyse how the positions of integers on the number line correspond to their order."/>
    <s v="LU000273.005"/>
    <s v="#N/A"/>
    <s v="LU000273.006"/>
    <s v="#N/A"/>
    <n v="3"/>
    <n v="5"/>
    <n v="2"/>
    <n v="10"/>
    <n v="5"/>
    <n v="4"/>
    <n v="1"/>
    <n v="10"/>
    <m/>
    <m/>
    <m/>
    <m/>
    <s v="LU000908"/>
    <s v="Comparison of integers"/>
    <s v="LU000155"/>
    <s v="Order of whole numbers (upto 9-digit numbers)"/>
    <s v="LU000154"/>
    <s v="Comparison of whole numbers (upto 9-digit numbers)"/>
    <s v="LU000267"/>
    <s v="Definition of negative integers"/>
    <s v="LU000266"/>
    <s v="Definition of positive integers"/>
    <m/>
    <m/>
    <m/>
    <m/>
  </r>
  <r>
    <x v="0"/>
    <s v="CBSE"/>
    <x v="0"/>
    <x v="0"/>
    <x v="9"/>
    <x v="57"/>
    <s v="LU000271"/>
    <s v="Addition of integers using rules of signs"/>
    <s v="LU000271.001"/>
    <s v="Write the rules for adding integers with like and unlike signs."/>
    <s v="LU000271.002"/>
    <s v="Explain the concept of adding integers and the rationale behind the rules for different sign combinations."/>
    <s v="LU000271.003"/>
    <s v="Apply the rules of adding integers to solve arithmetic and practical addition problems."/>
    <s v="LU000271.004"/>
    <s v="Analyse complex addition expressions involving multiple integers and evaluate their outcomes."/>
    <s v="LU000271.005"/>
    <s v="Evaluate the accuracy of solutions to integer addition problems and provide feedback on the approach."/>
    <s v="LU000271.006"/>
    <s v="Create a set of integer addition problems with varying sign combinations."/>
    <n v="12"/>
    <n v="10"/>
    <n v="2"/>
    <n v="24"/>
    <n v="8"/>
    <n v="11"/>
    <n v="1"/>
    <n v="20"/>
    <m/>
    <m/>
    <m/>
    <m/>
    <s v="LU000267"/>
    <s v="Definition of negative integers"/>
    <s v="LU000266"/>
    <s v="Definition of positive integers"/>
    <s v="LU000948"/>
    <s v="Addition of large whole numbers (5-9 digit numbers)"/>
    <s v="LU000265"/>
    <s v="Definition of integers"/>
    <m/>
    <m/>
    <m/>
    <m/>
    <m/>
    <m/>
  </r>
  <r>
    <x v="0"/>
    <s v="CBSE"/>
    <x v="0"/>
    <x v="0"/>
    <x v="9"/>
    <x v="57"/>
    <s v="LU000276"/>
    <s v="Addition of integers using number line"/>
    <s v="LU000276.001"/>
    <s v="Recall the basic rules of adding positive and negative integers using a number line."/>
    <s v="LU000276.002"/>
    <s v="Describe the purpose of using a number line for integer addition."/>
    <s v="LU000276.003"/>
    <s v="Apply integer addition using a number line to solve simple arithmetic and practical problems."/>
    <s v="LU000276.004"/>
    <s v="Analyse different visual methods for adding integers and compare their effectiveness."/>
    <s v="LU000276.005"/>
    <s v="Assess the correctness of solutions obtained through the number line method for integer addition."/>
    <s v="LU000276.006"/>
    <s v="Devise original real-world scenarios or problems that require the application of integer addition using a number line"/>
    <n v="3"/>
    <n v="8"/>
    <n v="6"/>
    <n v="17"/>
    <n v="5"/>
    <n v="3"/>
    <n v="2"/>
    <n v="10"/>
    <m/>
    <m/>
    <m/>
    <m/>
    <s v="LU000270"/>
    <s v="Representation of integers on number line"/>
    <s v="LU000267"/>
    <s v="Definition of negative integers"/>
    <s v="LU000266"/>
    <s v="Definition of positive integers"/>
    <s v="LU000265"/>
    <s v="Definition of integers"/>
    <m/>
    <m/>
    <m/>
    <m/>
    <m/>
    <m/>
  </r>
  <r>
    <x v="0"/>
    <s v="CBSE"/>
    <x v="0"/>
    <x v="0"/>
    <x v="9"/>
    <x v="57"/>
    <s v="LU000274"/>
    <s v="Additive inverse of integers"/>
    <s v="LU000274.001"/>
    <s v="Define the additive inverse of an integer and its relation to the original integer."/>
    <s v="LU000274.002"/>
    <s v="Describe how the additive inverse of an integer is the value that, when added to the original integer, results in zero."/>
    <s v="LU000274.003"/>
    <s v="Apply the knowledge of additive inverses to find the additive inverse of given integers."/>
    <s v="LU000274.004"/>
    <s v="Analyse how the additive inverse of an integer is located symmetrically across zero on the number line."/>
    <s v="LU000274.005"/>
    <s v="#N/A"/>
    <s v="LU000274.006"/>
    <s v="#N/A"/>
    <n v="5"/>
    <n v="3"/>
    <n v="2"/>
    <n v="10"/>
    <n v="4"/>
    <n v="6"/>
    <n v="1"/>
    <n v="11"/>
    <m/>
    <m/>
    <m/>
    <m/>
    <s v="LU000271"/>
    <s v="Addition of integers using rules of signs"/>
    <s v="LU000267"/>
    <s v="Definition of negative integers"/>
    <s v="LU000266"/>
    <s v="Definition of positive integers"/>
    <m/>
    <m/>
    <m/>
    <m/>
    <m/>
    <m/>
    <m/>
    <m/>
  </r>
  <r>
    <x v="0"/>
    <s v="CBSE"/>
    <x v="0"/>
    <x v="0"/>
    <x v="9"/>
    <x v="58"/>
    <s v="LU000272"/>
    <s v="Subtraction of integers using rules of signs"/>
    <s v="LU000272.001"/>
    <s v="Write the rules for subtracting integers with like and unlike signs."/>
    <s v="LU000272.002"/>
    <s v="Explain the concept of subtracting integers and the rationale behind the rules for different sign combinations."/>
    <s v="LU000272.003"/>
    <s v="Apply the rules of subtracting integers to solve arithmetic and practical subtraction problems."/>
    <s v="LU000272.004"/>
    <s v="Analyse complex subtraction expressions involving multiple integers and evaluate their outcomes."/>
    <s v="LU000272.005"/>
    <s v="Evaluate the accuracy of solutions to integer subtraction problems and provide feedback on the approach."/>
    <s v="LU000272.006"/>
    <s v="Create a set of integer subtraction problems with varying sign combinations."/>
    <n v="3"/>
    <n v="13"/>
    <n v="5"/>
    <n v="21"/>
    <n v="9"/>
    <n v="8"/>
    <n v="2"/>
    <n v="19"/>
    <m/>
    <m/>
    <m/>
    <m/>
    <s v="LU000274"/>
    <s v="Additive inverse of integers"/>
    <s v="LU000271"/>
    <s v="Addition of integers using rules of signs"/>
    <s v="LU000267"/>
    <s v="Definition of negative integers"/>
    <s v="LU000266"/>
    <s v="Definition of positive integers"/>
    <m/>
    <m/>
    <m/>
    <m/>
    <m/>
    <m/>
  </r>
  <r>
    <x v="0"/>
    <s v="CBSE"/>
    <x v="0"/>
    <x v="0"/>
    <x v="9"/>
    <x v="58"/>
    <s v="LU000277"/>
    <s v="Subtraction of integers using number line"/>
    <s v="LU000277.001"/>
    <s v="Recall the rules for subtracting integers with the same and opposite signs"/>
    <s v="LU000277.002"/>
    <s v="Explain the purpose of using a number line for subtracting integers."/>
    <s v="LU000277.003"/>
    <s v="Apply integer subtraction using a number line to solve basic arithmetic and practical problems."/>
    <s v="LU000277.004"/>
    <s v="Analyse different visual methods for subtracting integers and compare their effectiveness."/>
    <s v="LU000277.005"/>
    <s v="Assess the correctness of solutions obtained through the number line method for integer subtraction."/>
    <s v="LU000277.006"/>
    <s v="Devise original real-world scenarios or problems that require the application of integer subtraction using a number line"/>
    <n v="4"/>
    <n v="10"/>
    <n v="2"/>
    <n v="16"/>
    <n v="4"/>
    <n v="3"/>
    <n v="1"/>
    <n v="8"/>
    <m/>
    <m/>
    <m/>
    <m/>
    <s v="LU000270"/>
    <s v="Representation of integers on number line"/>
    <s v="LU000181"/>
    <s v="Subtraction of whole numbers on number line"/>
    <s v="LU000270"/>
    <s v="Representation of integers on number line"/>
    <s v="LU000267"/>
    <s v="Definition of negative integers"/>
    <s v="LU000266"/>
    <s v="Definition of positive integers"/>
    <m/>
    <m/>
    <m/>
    <m/>
  </r>
  <r>
    <x v="0"/>
    <s v="CBSE"/>
    <x v="0"/>
    <x v="0"/>
    <x v="9"/>
    <x v="59"/>
    <s v="LU000914"/>
    <s v="Mixed operation of addition and subtraction of three or more integers"/>
    <s v="LU000914.001"/>
    <s v="State the rules for adding and subtracting three and more integers."/>
    <s v="LU000914.002"/>
    <s v="Explain the concept of performing mixed operations involving addition and subtraction of three or more integers."/>
    <s v="LU000914.003"/>
    <s v="Apply the rules of addition and subtraction to solve arithmetic and real life problems involving three or more integers."/>
    <s v="LU000914.004"/>
    <s v="Analyze errors in a given set of mixed operations involving integers and explain the correct procedures."/>
    <s v="LU000914.005"/>
    <s v="Evaluate the accuracy of solutions to mixed operations with integers."/>
    <s v="LU000914.006"/>
    <s v="Develop and solve a set of original problems that involve mixed operations with three or more integers."/>
    <n v="4"/>
    <n v="4"/>
    <n v="2"/>
    <n v="10"/>
    <n v="4"/>
    <n v="5"/>
    <n v="1"/>
    <n v="10"/>
    <m/>
    <m/>
    <m/>
    <m/>
    <s v="LU000272"/>
    <s v="Subtraction of integers using rules of signs"/>
    <s v="LU000271"/>
    <s v="Addition of integers using rules of signs"/>
    <s v="LU000277"/>
    <s v="Subtraction of integers using number line"/>
    <s v="LU000276"/>
    <s v="Addition of integers using number line"/>
    <m/>
    <m/>
    <m/>
    <m/>
    <m/>
    <m/>
  </r>
  <r>
    <x v="0"/>
    <s v="CBSE"/>
    <x v="0"/>
    <x v="0"/>
    <x v="9"/>
    <x v="59"/>
    <s v="LU001366"/>
    <s v="Exploration of addition/ subtraction of integers"/>
    <s v="LU001366.001"/>
    <s v="Identify positive and negative integers and their positions on a number line."/>
    <s v="LU001366.002"/>
    <s v="Explain how to use addition and subtraction to move between floors in a building model that represents positive and negative integers."/>
    <s v="LU001366.003"/>
    <s v="Demonstrate addition and subtraction of integers by solving problems using the elevator model."/>
    <s v="LU001366.004"/>
    <s v="Analyze the effects of combining positive and negative integers and how these combinations affect the final outcome (e.g., reaching a target floor)."/>
    <s v="LU001366.005"/>
    <s v="Evaluate the results of integer addition and subtraction problems by comparing the movements on a number line or elevator model."/>
    <s v="LU001366.006"/>
    <s v="Create and solve real-world problems that involve the addition and subtraction of integers, using contexts such as temperature changes or bank account balances."/>
    <s v="#N/A"/>
    <s v="#N/A"/>
    <s v="#N/A"/>
    <s v="#N/A"/>
    <s v="#N/A"/>
    <s v="#N/A"/>
    <s v="#N/A"/>
    <s v="#N/A"/>
    <s v="#N/A"/>
    <s v="#N/A"/>
    <s v="#N/A"/>
    <s v="#N/A"/>
    <s v="LU000276"/>
    <s v="Addition of integers using number line"/>
    <s v="LU000277"/>
    <s v="Subtraction of integers using number line"/>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r>
    <x v="1"/>
    <m/>
    <x v="1"/>
    <x v="1"/>
    <x v="10"/>
    <x v="60"/>
    <m/>
    <m/>
    <m/>
    <m/>
    <m/>
    <m/>
    <m/>
    <m/>
    <m/>
    <m/>
    <m/>
    <m/>
    <m/>
    <m/>
    <m/>
    <m/>
    <m/>
    <m/>
    <m/>
    <m/>
    <m/>
    <m/>
    <m/>
    <m/>
    <m/>
    <m/>
    <m/>
    <m/>
    <m/>
    <m/>
    <m/>
    <m/>
    <m/>
    <m/>
    <m/>
    <m/>
    <m/>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77">
  <r>
    <s v="NCERT 2025"/>
    <s v="CBSE"/>
    <x v="0"/>
    <x v="0"/>
    <x v="0"/>
    <x v="0"/>
    <s v="LU006081"/>
    <s v="How materials are alike"/>
    <s v="LU006081.001"/>
    <s v="Identify that all materials, including air, occupy space and have mass."/>
    <s v="LU006081.002"/>
    <s v="Describe the properties common to all materials, such as volume and mass."/>
    <s v="LU006081.003"/>
    <s v="Demonstrate understanding by giving examples of different materials and their shared properties of volume and mass."/>
    <s v="LU006081.004"/>
    <s v="Compare the volume and mass of different materials, like air versus a solid object."/>
    <s v="LU006081.005"/>
    <s v="Assess why understanding that all materials have volume and mass is important in various scientific contexts."/>
    <s v="LU006081.006"/>
    <s v="#N/A"/>
    <n v="4"/>
    <n v="6"/>
    <n v="2"/>
    <n v="12"/>
    <n v="4"/>
    <n v="3"/>
    <n v="1"/>
    <n v="8"/>
    <m/>
    <m/>
    <m/>
    <m/>
    <s v=""/>
    <m/>
    <m/>
    <m/>
    <m/>
    <m/>
    <m/>
    <m/>
    <m/>
    <m/>
    <m/>
    <m/>
    <m/>
    <m/>
  </r>
  <r>
    <s v="NCERT 2025"/>
    <s v="CBSE"/>
    <x v="0"/>
    <x v="0"/>
    <x v="0"/>
    <x v="1"/>
    <s v="LU006196"/>
    <s v="Matter and Its Particles(size and space between them)"/>
    <s v="LU006196.001"/>
    <s v="Identify and list examples of matter in everyday life, such as air, water, and sugar."/>
    <s v="LU006196.002"/>
    <s v="Describe the concept that matter is made up of particles and explain how sugar dissolves in water."/>
    <s v="LU006196.003"/>
    <s v="Demonstrate the process of dissolving a substance in water and explain the observation."/>
    <s v="LU006196.004"/>
    <s v="Analyze the results of the dissolution experiments (sugar in water and potassium permanganate in water) to determine the evidence of particles and space between them."/>
    <s v="LU006196.005"/>
    <s v="Assess the effectiveness of the activities in demonstrating the particulate nature of matter and suggest improvements."/>
    <s v="LU006196.006"/>
    <s v="Design a new activity or experiment that demonstrates the small size and space between particles of matter."/>
    <s v="#N/A"/>
    <s v="#N/A"/>
    <s v="#N/A"/>
    <s v="#N/A"/>
    <s v="#N/A"/>
    <s v="#N/A"/>
    <s v="#N/A"/>
    <s v="#N/A"/>
    <s v="#N/A"/>
    <s v="#N/A"/>
    <s v="#N/A"/>
    <s v="#N/A"/>
    <s v="LU006081"/>
    <s v="How materials are alike"/>
    <m/>
    <m/>
    <m/>
    <m/>
    <m/>
    <m/>
    <m/>
    <m/>
    <m/>
    <m/>
    <m/>
    <m/>
  </r>
  <r>
    <s v="NCERT 2025"/>
    <s v="CBSE"/>
    <x v="0"/>
    <x v="0"/>
    <x v="0"/>
    <x v="1"/>
    <s v="LU006197"/>
    <s v="Particles are Continuously Moving(concept of diffusion)"/>
    <s v="LU006197.001"/>
    <s v="Define diffusion and kinetic energy in the context of particles of matter."/>
    <s v="LU006197.002"/>
    <s v="Explain how temperature affects the movement of particles in matter."/>
    <s v="LU006197.003"/>
    <s v="Demonstrate diffusion through a simple experiment using everyday materials (e.g., ink in water)."/>
    <s v="LU006197.004"/>
    <s v="Compare the rate of diffusion in hot and cold water using experimental data."/>
    <s v="LU006197.005"/>
    <s v="Evaluate the effectiveness of different methods to observe diffusion in various states of matter (solid, liquid, gas)."/>
    <s v="LU006197.006"/>
    <s v="Design a new experiment to explore how different substances diffuse in water."/>
    <s v="#N/A"/>
    <s v="#N/A"/>
    <s v="#N/A"/>
    <s v="#N/A"/>
    <s v="#N/A"/>
    <s v="#N/A"/>
    <s v="#N/A"/>
    <s v="#N/A"/>
    <s v="#N/A"/>
    <s v="#N/A"/>
    <s v="#N/A"/>
    <s v="#N/A"/>
    <s v="LU006196"/>
    <s v="Matter and Its Particles(size and space between them)"/>
    <m/>
    <m/>
    <m/>
    <m/>
    <m/>
    <m/>
    <m/>
    <m/>
    <m/>
    <m/>
    <m/>
    <m/>
  </r>
  <r>
    <s v="NCERT 2025"/>
    <s v="CBSE"/>
    <x v="0"/>
    <x v="0"/>
    <x v="0"/>
    <x v="1"/>
    <s v="LU006198"/>
    <s v="Particles of Matter Attract Each Other"/>
    <s v="LU006198.001"/>
    <s v="Define the concept that particles of matter attract each other."/>
    <s v="LU006198.002"/>
    <s v="Describe in your own words how the attraction between particles helps in holding matter together."/>
    <s v="LU006198.003"/>
    <s v="Demonstrate the concept of particle attraction through a class activity."/>
    <s v="LU006198.004"/>
    <s v="Analyze the difficulty in breaking different human chains and explain the variation in terms of particle attraction."/>
    <s v="LU006198.005"/>
    <s v="Evaluate and discuss the importance of attractive forces in everyday objects, such as how they maintain structure and form."/>
    <s v="LU006198.006"/>
    <s v="Design a simple experiment to demonstrate the concept of attractive forces between particles."/>
    <s v="#N/A"/>
    <s v="#N/A"/>
    <s v="#N/A"/>
    <s v="#N/A"/>
    <s v="#N/A"/>
    <s v="#N/A"/>
    <s v="#N/A"/>
    <s v="#N/A"/>
    <s v="#N/A"/>
    <s v="#N/A"/>
    <s v="#N/A"/>
    <s v="#N/A"/>
    <s v="LU006197"/>
    <s v="Particles are Continuously Moving(concept of diffusion)"/>
    <m/>
    <m/>
    <m/>
    <m/>
    <m/>
    <m/>
    <m/>
    <m/>
    <m/>
    <m/>
    <m/>
    <m/>
  </r>
  <r>
    <s v="NCERT 2025"/>
    <s v="CBSE"/>
    <x v="0"/>
    <x v="0"/>
    <x v="0"/>
    <x v="2"/>
    <s v="LU006199"/>
    <s v="General Properties of Matter in Solid state"/>
    <s v="LU006199.001"/>
    <s v="List the key properties of solids, such as definite shape, fixed volume, high density, rigidity, incompressibility, low diffusion rate, and strong intermolecular forces"/>
    <s v="LU006199.002"/>
    <s v="Explain why solids have a definite shape and volume by describing the arrangement and interaction of particles in the solid state"/>
    <s v="LU006199.003"/>
    <s v="Demonstrate the incompressibility of solids by performing a simple experiment using a sponge, an iron nail, and a piece of chalk, and recording their observations"/>
    <s v="LU006199.004"/>
    <s v="Compare and contrast the properties of solids with those of liquids and gases, identifying key differences and similarities in terms of particle arrangement and movement"/>
    <s v="LU006199.005"/>
    <s v="Assess the suitability of different materials (e.g., rubber band, sugar, sponge) for specific applications based on their solid-state properties, providing justification for their choices"/>
    <s v="LU006199.006"/>
    <s v="Design a simple model or experiment to visually demonstrate the rigidity and incompressibility of solids, and present the model to the class, explaining the scientific principles it illustrates"/>
    <s v="#N/A"/>
    <s v="#N/A"/>
    <s v="#N/A"/>
    <s v="#N/A"/>
    <s v="#N/A"/>
    <s v="#N/A"/>
    <s v="#N/A"/>
    <s v="#N/A"/>
    <s v="#N/A"/>
    <s v="#N/A"/>
    <s v="#N/A"/>
    <s v="#N/A"/>
    <s v="LU006198"/>
    <s v="Particles of Matter Attract Each Other"/>
    <m/>
    <m/>
    <m/>
    <m/>
    <m/>
    <m/>
    <m/>
    <m/>
    <m/>
    <m/>
    <m/>
    <m/>
  </r>
  <r>
    <s v="NCERT 2025"/>
    <s v="CBSE"/>
    <x v="0"/>
    <x v="0"/>
    <x v="0"/>
    <x v="2"/>
    <s v="LU006200"/>
    <s v="General Properties of Matter in Liquid State"/>
    <s v="LU006200.001"/>
    <s v="List the general properties of liquids such as having a fixed volume, no fixed shape, and the ability to flow."/>
    <s v="LU006200.002"/>
    <s v="Explain why liquids take the shape of their container but retain a fixed volume."/>
    <s v="LU006200.003"/>
    <s v="Demonstrate the fluidity of liquids by transferring a liquid from one container to another and observing its shape change."/>
    <s v="LU006200.004"/>
    <s v="Differentiate between the diffusion rates of solids and liquids using examples from everyday life."/>
    <s v="LU006200.005"/>
    <s v="Evaluate the importance of liquids' ability to diffuse gases, such as oxygen and carbon dioxide, for aquatic life."/>
    <s v="LU006200.006"/>
    <s v="Design an experiment to measure the effect of temperature on the diffusion rate of a liquid."/>
    <s v="#N/A"/>
    <s v="#N/A"/>
    <s v="#N/A"/>
    <s v="#N/A"/>
    <s v="#N/A"/>
    <s v="#N/A"/>
    <s v="#N/A"/>
    <s v="#N/A"/>
    <s v="#N/A"/>
    <s v="#N/A"/>
    <s v="#N/A"/>
    <s v="#N/A"/>
    <s v="LU006199"/>
    <s v="General Properties of Matter in Solid state"/>
    <m/>
    <m/>
    <m/>
    <m/>
    <m/>
    <m/>
    <m/>
    <m/>
    <m/>
    <m/>
    <m/>
    <m/>
  </r>
  <r>
    <s v="NCERT 2025"/>
    <s v="CBSE"/>
    <x v="0"/>
    <x v="0"/>
    <x v="0"/>
    <x v="2"/>
    <s v="LU006201"/>
    <s v="General Properties of Matter in Gaseous State"/>
    <s v="LU006201.001"/>
    <s v="List the general properties of gases such as having no fixed shape or volume, and high compressibility."/>
    <s v="LU006201.002"/>
    <s v="Explain why gases can fill any container regardless of its shape or size."/>
    <s v="LU006201.003"/>
    <s v="Demonstrate the compressibility of gases using a syringe experiment."/>
    <s v="LU006201.004"/>
    <s v="Differentiate between the diffusion rates of gases, liquids, and solids using examples from everyday life."/>
    <s v="LU006201.005"/>
    <s v="Evaluate the impact of gas diffusion on the distribution of scents in a room."/>
    <s v="LU006201.006"/>
    <s v="Design an experiment to measure the effect of temperature on the pressure exerted by a gas in a closed container."/>
    <s v="#N/A"/>
    <s v="#N/A"/>
    <s v="#N/A"/>
    <s v="#N/A"/>
    <s v="#N/A"/>
    <s v="#N/A"/>
    <s v="#N/A"/>
    <s v="#N/A"/>
    <s v="#N/A"/>
    <s v="#N/A"/>
    <s v="#N/A"/>
    <s v="#N/A"/>
    <s v="LU006200"/>
    <s v="General Properties of Matter in Liquid State"/>
    <m/>
    <m/>
    <m/>
    <m/>
    <m/>
    <m/>
    <m/>
    <m/>
    <m/>
    <m/>
    <m/>
    <m/>
  </r>
  <r>
    <s v="NCERT 2025"/>
    <s v="CBSE"/>
    <x v="0"/>
    <x v="0"/>
    <x v="0"/>
    <x v="3"/>
    <s v="LU005312"/>
    <s v="Comparion of Particle Arrangements in the Three State of Matter"/>
    <s v="LU005312.001"/>
    <s v="Students will recite the definitions of the particle arrangement in solids, liquids, and gases."/>
    <s v="LU005312.002"/>
    <s v="Students will interpret diagrams showing particle arrangements in solids, liquids, and gases."/>
    <s v="LU005312.003"/>
    <s v="Students will demonstrate the particle arrangements of solids, liquids, and gases using models or simulations."/>
    <s v="LU005312.004"/>
    <s v="Students will differentiate between the particle arrangements in solids, liquids, and gases by examining their properties."/>
    <s v="LU005312.005"/>
    <s v="Students will justify the suitability of different states of matter for various applications based on particle arrangement."/>
    <s v="LU005312.006"/>
    <s v="Students will design an experiment that shows the change in particle arrangement when matter transitions between solid, liquid, and gas states."/>
    <s v="#N/A"/>
    <s v="#N/A"/>
    <s v="#N/A"/>
    <s v="#N/A"/>
    <s v="#N/A"/>
    <s v="#N/A"/>
    <s v="#N/A"/>
    <s v="#N/A"/>
    <s v="#N/A"/>
    <s v="#N/A"/>
    <s v="#N/A"/>
    <s v="#N/A"/>
    <s v="LU006201"/>
    <s v="General Properties of Matter in Gaseous State"/>
    <m/>
    <m/>
    <m/>
    <m/>
    <m/>
    <m/>
    <m/>
    <m/>
    <m/>
    <m/>
    <m/>
    <m/>
  </r>
  <r>
    <s v="NCERT 2025"/>
    <s v="CBSE"/>
    <x v="0"/>
    <x v="0"/>
    <x v="0"/>
    <x v="4"/>
    <s v="LU006202"/>
    <s v="Change of State of Matter by Pressure and Temperature"/>
    <s v="LU006202.001"/>
    <s v="Recall that matter changes state due to variations in temperature and pressure."/>
    <s v="LU006202.002"/>
    <s v="Explain how increasing temperature and pressure affects the state of matter."/>
    <s v="LU006202.003"/>
    <s v="Predict the state of a substance when given specific temperature and pressure conditions."/>
    <s v="LU006202.004"/>
    <s v="Compare and contrast the effects of pressure and temperature on the state of matter."/>
    <s v="LU006202.005"/>
    <s v="Assess the effectiveness of using pressure changes to control the state of matter in industrial applications."/>
    <s v="LU006202.006"/>
    <s v="Design an experiment to demonstrate how changing temperature and pressure can change the state of matter."/>
    <s v="#N/A"/>
    <s v="#N/A"/>
    <s v="#N/A"/>
    <s v="#N/A"/>
    <s v="#N/A"/>
    <s v="#N/A"/>
    <s v="#N/A"/>
    <s v="#N/A"/>
    <s v="#N/A"/>
    <s v="#N/A"/>
    <s v="#N/A"/>
    <s v="#N/A"/>
    <s v="LU005312"/>
    <s v="Comparion of Particle Arrangements in the Three State of Matter"/>
    <m/>
    <m/>
    <m/>
    <m/>
    <m/>
    <m/>
    <m/>
    <m/>
    <m/>
    <m/>
    <m/>
    <m/>
  </r>
  <r>
    <s v="NCERT 2025"/>
    <s v="CBSE"/>
    <x v="0"/>
    <x v="0"/>
    <x v="0"/>
    <x v="4"/>
    <s v="LU006203"/>
    <s v="Conversion of temperature units(Celsius and Kelvin scale)"/>
    <s v="LU006203.001"/>
    <s v="Recall the freezing and boiling points of water on both the Celsius and Kelvin scales."/>
    <s v="LU006203.002"/>
    <s v="Explain the relationship between the Celsius and Kelvin scales."/>
    <s v="LU006203.003"/>
    <s v="Identify situations where converting temperatures between Celsius and Kelvin scales is necessary, and perform these conversions accurately."/>
    <s v="LU006203.004"/>
    <s v="Differentiate between scenarios where using the Kelvin scale is more appropriate than the Celsius scale."/>
    <s v="LU006203.005"/>
    <s v="Assess the accuracy of temperature conversions between Celsius and Kelvin."/>
    <s v="LU006203.006"/>
    <s v="Design a simple experiment or practical activity that involves converting temperatures between Celsius and Kelvin."/>
    <s v="#N/A"/>
    <s v="#N/A"/>
    <s v="#N/A"/>
    <s v="#N/A"/>
    <s v="#N/A"/>
    <s v="#N/A"/>
    <s v="#N/A"/>
    <s v="#N/A"/>
    <s v="#N/A"/>
    <s v="#N/A"/>
    <s v="#N/A"/>
    <s v="#N/A"/>
    <s v="LU006202"/>
    <s v="Change of State of Matter by Pressure and Temperature"/>
    <m/>
    <m/>
    <m/>
    <m/>
    <m/>
    <m/>
    <m/>
    <m/>
    <m/>
    <m/>
    <m/>
    <m/>
  </r>
  <r>
    <s v="NCERT 2025"/>
    <s v="CBSE"/>
    <x v="0"/>
    <x v="0"/>
    <x v="0"/>
    <x v="5"/>
    <s v="LU006204"/>
    <s v="Concept of Melting, Melting point and Latent Heat of Fusion"/>
    <s v="LU006204.001"/>
    <s v="Define the terms melting, melting point, and latent heat of fusion."/>
    <s v="LU006204.002"/>
    <s v="Explain the process of melting and describe the significance of the melting point in phase changes."/>
    <s v="LU006204.003"/>
    <s v="Identify situations where concept of latent heat of fusion is being used and calculate the amount of energy required to melt a given mass of a solid using the latent heat of fusion."/>
    <s v="LU006204.004"/>
    <s v="Compare and contrast the melting points of different substances and analyze the factors that affect these melting points."/>
    <s v="LU006204.005"/>
    <s v="Assess the practical applications of latent heat of fusion in real-world scenarios, such as in refrigeration and climate control systems."/>
    <s v="LU006204.006"/>
    <s v="#N/A"/>
    <s v="#N/A"/>
    <s v="#N/A"/>
    <s v="#N/A"/>
    <s v="#N/A"/>
    <s v="#N/A"/>
    <s v="#N/A"/>
    <s v="#N/A"/>
    <s v="#N/A"/>
    <s v="#N/A"/>
    <s v="#N/A"/>
    <s v="#N/A"/>
    <s v="#N/A"/>
    <s v="LU006203"/>
    <s v="Conversion of temperature units(Celsius and Kelvin scale)"/>
    <m/>
    <m/>
    <m/>
    <m/>
    <m/>
    <m/>
    <m/>
    <m/>
    <m/>
    <m/>
    <m/>
    <m/>
  </r>
  <r>
    <s v="NCERT 2025"/>
    <s v="CBSE"/>
    <x v="0"/>
    <x v="0"/>
    <x v="0"/>
    <x v="5"/>
    <s v="LU006205"/>
    <s v="Concept of Boiling, Boiling point and Latent heat of Vaporisation"/>
    <s v="LU006205.001"/>
    <s v="Define the terms boiling, boiling point, and latent heat of vaporization.."/>
    <s v="LU006205.002"/>
    <s v="Explain the process of boiling and how latent heat of vaporization is related to the phase change from liquid to gas."/>
    <s v="LU006205.003"/>
    <s v="Identify situations where concept of latent heat of vaporisation is being used and calculate the amount of energy required to vaporise a substance."/>
    <s v="LU006205.004"/>
    <s v="Compare the energy states of water and steam at the same temperature and explain the difference."/>
    <s v="LU006205.005"/>
    <s v="Assess the importance of the latent heat of vaporization in everyday applications such as cooking and industrial processes."/>
    <s v="LU006205.006"/>
    <s v="#N/A"/>
    <s v="#N/A"/>
    <s v="#N/A"/>
    <s v="#N/A"/>
    <s v="#N/A"/>
    <s v="#N/A"/>
    <s v="#N/A"/>
    <s v="#N/A"/>
    <s v="#N/A"/>
    <s v="#N/A"/>
    <s v="#N/A"/>
    <s v="#N/A"/>
    <s v="#N/A"/>
    <s v="LU006204"/>
    <s v="Concept of Melting, Melting point and Latent Heat of Fusion"/>
    <m/>
    <m/>
    <m/>
    <m/>
    <m/>
    <m/>
    <m/>
    <m/>
    <m/>
    <m/>
    <m/>
    <m/>
  </r>
  <r>
    <s v="NCERT 2025"/>
    <s v="CBSE"/>
    <x v="0"/>
    <x v="0"/>
    <x v="0"/>
    <x v="5"/>
    <s v="LU006206"/>
    <s v="Concept of Sublimation and Deposition"/>
    <s v="LU006206.001"/>
    <s v="Define the processes of sublimation and deposition."/>
    <s v="LU006206.002"/>
    <s v="Explain how sublimation and deposition occur under specific conditions."/>
    <s v="LU006206.003"/>
    <s v="Identify everyday examples where sublimation and deposition take place, such as dry ice and frost formation."/>
    <s v="LU006206.004"/>
    <s v="Compare sublimation and deposition with the processes of melting and freezing in terms of energy changes and phase transitions."/>
    <s v="LU006206.005"/>
    <s v="Evaluate the importance of sublimation and deposition in processes such as freeze-drying of food and the formation of frost."/>
    <s v="LU006206.006"/>
    <s v="Design an experiment to show the sublimation of iodine or camphor using materials available at home."/>
    <s v="#N/A"/>
    <s v="#N/A"/>
    <s v="#N/A"/>
    <s v="#N/A"/>
    <s v="#N/A"/>
    <s v="#N/A"/>
    <s v="#N/A"/>
    <s v="#N/A"/>
    <s v="#N/A"/>
    <s v="#N/A"/>
    <s v="#N/A"/>
    <s v="#N/A"/>
    <s v="LU006205"/>
    <s v="Concept of Boiling, Boiling point and Latent heat of Vaporisation"/>
    <m/>
    <m/>
    <m/>
    <m/>
    <m/>
    <m/>
    <m/>
    <m/>
    <m/>
    <m/>
    <m/>
    <m/>
  </r>
  <r>
    <s v="NCERT 2025"/>
    <s v="CBSE"/>
    <x v="0"/>
    <x v="0"/>
    <x v="0"/>
    <x v="6"/>
    <s v="LU006207"/>
    <s v="Effect of Change in Pressure on a State of Matter"/>
    <s v="LU006207.001"/>
    <s v="Recall that pressure can bring particles of matter closer together."/>
    <s v="LU006207.002"/>
    <s v="Explain how applying pressure and reducing temperature can liquefy gases."/>
    <s v="LU006207.003"/>
    <s v="Demonstrate the process of converting solid CO2 (dry ice) directly into gaseous CO2 by decreasing the pressure."/>
    <s v="LU006207.004"/>
    <s v="Differentiate the states of matter when pressure is applied to CO2 and when it is decreased."/>
    <s v="LU006207.005"/>
    <s v="Assess why solid carbon dioxide (dry ice) does not turn into liquid but directly into gas at 1 atmosphere pressure."/>
    <s v="LU006207.006"/>
    <s v="Design an experiment to show the change of state in CO2 when pressure is increased and decreased."/>
    <s v="#N/A"/>
    <s v="#N/A"/>
    <s v="#N/A"/>
    <s v="#N/A"/>
    <s v="#N/A"/>
    <s v="#N/A"/>
    <s v="#N/A"/>
    <s v="#N/A"/>
    <s v="#N/A"/>
    <s v="#N/A"/>
    <s v="#N/A"/>
    <s v="#N/A"/>
    <s v="LU006202"/>
    <s v="Change of State of Matter by Pressure and Temperature"/>
    <m/>
    <m/>
    <m/>
    <m/>
    <m/>
    <m/>
    <m/>
    <m/>
    <m/>
    <m/>
    <m/>
    <m/>
  </r>
  <r>
    <s v="NCERT 2025"/>
    <s v="CBSE"/>
    <x v="0"/>
    <x v="0"/>
    <x v="0"/>
    <x v="7"/>
    <s v="LU006208"/>
    <s v="Factors Affecting Evaporation"/>
    <s v="LU006208.001"/>
    <s v="List the factors that affect the rate of evaporation."/>
    <s v="LU006208.002"/>
    <s v="Explain how an increase in surface area influences the rate of evaporation."/>
    <s v="LU006208.003"/>
    <s v="Demonstrate the effect of temperature on the rate of evaporation by heating water and observing the change."/>
    <s v="LU006208.004"/>
    <s v="Differentiate between the impact of humidity and wind speed on the rate of evaporation."/>
    <s v="LU006208.005"/>
    <s v="Evaluate why clothes dry faster on a windy day compared to a humid day."/>
    <s v="LU006208.006"/>
    <s v="Design an experiment to show the effect of surface area on the rate of evaporation by comparing evaporation in wide and narrow containers."/>
    <s v="#N/A"/>
    <s v="#N/A"/>
    <s v="#N/A"/>
    <s v="#N/A"/>
    <s v="#N/A"/>
    <s v="#N/A"/>
    <s v="#N/A"/>
    <s v="#N/A"/>
    <s v="#N/A"/>
    <s v="#N/A"/>
    <s v="#N/A"/>
    <s v="#N/A"/>
    <s v="LU006205"/>
    <s v="Concept of Boiling, Boiling point and Latent heat of Vaporisation"/>
    <m/>
    <m/>
    <m/>
    <m/>
    <m/>
    <m/>
    <m/>
    <m/>
    <m/>
    <m/>
    <m/>
    <m/>
  </r>
  <r>
    <s v="NCERT 2025"/>
    <s v="CBSE"/>
    <x v="0"/>
    <x v="0"/>
    <x v="0"/>
    <x v="7"/>
    <s v="LU006209"/>
    <s v="Cooling Effect of Evaporation"/>
    <s v="LU006209.001"/>
    <s v="Define the cooling effect of evaporation."/>
    <s v="LU006209.002"/>
    <s v="Explain why we feel cool when acetone evaporates from our skin."/>
    <s v="LU006209.003"/>
    <s v="Demonstrate the cooling effect by sprinkling water on a hot surface and observing the temperature change."/>
    <s v="LU006209.004"/>
    <s v="Compare the cooling effects of different liquids like water and acetone when they evaporate from the skin."/>
    <s v="LU006209.005"/>
    <s v="Evaluate why wearing cotton clothes in summer helps to keep us cool."/>
    <s v="LU006209.006"/>
    <s v="Design an experiment to observe cooling effect of evaporation."/>
    <s v="#N/A"/>
    <s v="#N/A"/>
    <s v="#N/A"/>
    <s v="#N/A"/>
    <s v="#N/A"/>
    <s v="#N/A"/>
    <s v="#N/A"/>
    <s v="#N/A"/>
    <s v="#N/A"/>
    <s v="#N/A"/>
    <s v="#N/A"/>
    <s v="#N/A"/>
    <s v="LU006208"/>
    <s v="Factors Affecting Evaporation"/>
    <m/>
    <m/>
    <m/>
    <m/>
    <m/>
    <m/>
    <m/>
    <m/>
    <m/>
    <m/>
    <m/>
    <m/>
  </r>
  <r>
    <s v="NCERT 2025"/>
    <s v="CBSE"/>
    <x v="0"/>
    <x v="0"/>
    <x v="1"/>
    <x v="8"/>
    <s v="LU005299"/>
    <s v="Definition of mixtures, components of mixture, and pure substance."/>
    <s v="LU005299.001"/>
    <s v="Recall the definitions of mixtures, components of a mixture, and pure substances."/>
    <s v="LU005299.002"/>
    <s v="Explain the differences between mixtures and pure substances."/>
    <s v="LU005299.003"/>
    <s v="Classify various substances as mixtures or pure substances."/>
    <s v="LU005299.004"/>
    <s v="Analyze the composition of different mixtures to identify their components."/>
    <s v="LU005299.005"/>
    <s v="Evaluate the properties of a given substance to determine if it is a mixture or a pure substance."/>
    <s v="LU005299.006"/>
    <s v="#N/A"/>
    <s v="#N/A"/>
    <s v="#N/A"/>
    <s v="#N/A"/>
    <s v="#N/A"/>
    <s v="#N/A"/>
    <s v="#N/A"/>
    <s v="#N/A"/>
    <s v="#N/A"/>
    <s v="#N/A"/>
    <s v="#N/A"/>
    <s v="#N/A"/>
    <s v="#N/A"/>
    <s v=""/>
    <m/>
    <m/>
    <m/>
    <m/>
    <m/>
    <m/>
    <m/>
    <m/>
    <m/>
    <m/>
    <m/>
    <m/>
    <m/>
  </r>
  <r>
    <s v="NCERT 2025"/>
    <s v="CBSE"/>
    <x v="0"/>
    <x v="0"/>
    <x v="1"/>
    <x v="8"/>
    <s v="LU006082"/>
    <s v="Definition of Heterogenous and Homogenous mixtures"/>
    <s v="LU006082.001"/>
    <s v="Define heterogenous and homogenous mixtures."/>
    <s v="LU006082.002"/>
    <s v="Describe the characteristics that distinguish heterogenous and homogenous mixtures."/>
    <s v="LU006082.003"/>
    <s v="Classify given examples of mixtures as either heterogenous or homogenous and explain the reasoning behind the classification."/>
    <s v="LU006082.004"/>
    <s v="Compare and contrast the properties of heterogenous and homogenous mixtures, including their appearance, composition, and uniformity."/>
    <s v="LU006082.005"/>
    <s v="Evaluate the effectiveness of different separation techniques for heterogenous and homogenous mixtures based on their physical properties."/>
    <s v="LU006082.006"/>
    <s v="#N/A"/>
    <s v="#N/A"/>
    <s v="#N/A"/>
    <s v="#N/A"/>
    <s v="#N/A"/>
    <s v="#N/A"/>
    <s v="#N/A"/>
    <s v="#N/A"/>
    <s v="#N/A"/>
    <s v="#N/A"/>
    <s v="#N/A"/>
    <s v="#N/A"/>
    <s v="#N/A"/>
    <s v="LU005299"/>
    <s v="Definition of mixtures, components of mixture, and pure substance."/>
    <m/>
    <m/>
    <m/>
    <m/>
    <m/>
    <m/>
    <m/>
    <m/>
    <m/>
    <m/>
    <m/>
    <m/>
  </r>
  <r>
    <s v="NCERT 2025"/>
    <s v="CBSE"/>
    <x v="0"/>
    <x v="0"/>
    <x v="1"/>
    <x v="9"/>
    <s v="LU006210"/>
    <s v="Solution and Its Properties"/>
    <s v="LU006210.001"/>
    <s v="Define what a solution is and identify its components."/>
    <s v="LU006210.002"/>
    <s v="Explain the roles of solvent and solute in a solution."/>
    <s v="LU006210.003"/>
    <s v="Demonstrate the preparation of different types of solutions, such as solid in liquid and gas in liquid, using common household substances."/>
    <s v="LU006210.004"/>
    <s v="Compare different types of solutions, like solid solutions and gaseous solutions, based on their components."/>
    <s v="LU006210.005"/>
    <s v="Evaluate why lemonade tastes the same throughout, considering the homogeneity at the particle level."/>
    <s v="LU006210.006"/>
    <s v="Design an experiment to demonstrate the homogeneity of a solution using common household substances like salt and water."/>
    <s v="#N/A"/>
    <s v="#N/A"/>
    <s v="#N/A"/>
    <s v="#N/A"/>
    <s v="#N/A"/>
    <s v="#N/A"/>
    <s v="#N/A"/>
    <s v="#N/A"/>
    <s v="#N/A"/>
    <s v="#N/A"/>
    <s v="#N/A"/>
    <s v="#N/A"/>
    <s v="LU006082"/>
    <s v="Definition of Heterogenous and Homogenous mixtures"/>
    <m/>
    <m/>
    <m/>
    <m/>
    <m/>
    <m/>
    <m/>
    <m/>
    <m/>
    <m/>
    <m/>
    <m/>
  </r>
  <r>
    <s v="NCERT 2025"/>
    <s v="CBSE"/>
    <x v="0"/>
    <x v="0"/>
    <x v="1"/>
    <x v="9"/>
    <s v="LU006212"/>
    <s v="Concentration of a Solution"/>
    <s v="LU006212.001"/>
    <s v="Define the terms dilute, concentrated, and saturated solution."/>
    <s v="LU006212.002"/>
    <s v="Explain the concept of a saturated solution and how no more solute can dissolve in it."/>
    <s v="LU006212.003"/>
    <s v="Demonstrate the process of making a saturated solution by dissolving a solute in water until no more can dissolve."/>
    <s v="LU006212.004"/>
    <s v="Compare the amount of solute that can be dissolved in a solvent to distinguish between saturated and unsaturated solutions."/>
    <s v="LU006212.005"/>
    <s v="Evaluate the differences between dilute and concentrated solutions based on the proportion of solute to solvent."/>
    <s v="LU006212.006"/>
    <s v="Design an experiment to determine when a solution becomes saturated by continuously adding solute until it no longer dissolves."/>
    <s v="#N/A"/>
    <s v="#N/A"/>
    <s v="#N/A"/>
    <s v="#N/A"/>
    <s v="#N/A"/>
    <s v="#N/A"/>
    <s v="#N/A"/>
    <s v="#N/A"/>
    <s v="#N/A"/>
    <s v="#N/A"/>
    <s v="#N/A"/>
    <s v="#N/A"/>
    <s v="LU006210"/>
    <s v="Solution and Its Properties"/>
    <m/>
    <m/>
    <m/>
    <m/>
    <m/>
    <m/>
    <m/>
    <m/>
    <m/>
    <m/>
    <m/>
    <m/>
  </r>
  <r>
    <s v="NCERT 2025"/>
    <s v="CBSE"/>
    <x v="0"/>
    <x v="0"/>
    <x v="1"/>
    <x v="10"/>
    <s v="LU006215"/>
    <s v="Definition and Properties of a Suspension"/>
    <s v="LU006215.001"/>
    <s v="Define suspension and identify its main characteristics."/>
    <s v="LU006215.002"/>
    <s v="Explain the properties of a suspension compared to solutions."/>
    <s v="LU006215.003"/>
    <s v="Demonstrate the process of creating a suspension using common materials."/>
    <s v="LU006215.004"/>
    <s v="Compare and contrast the behavior of suspensions with other types of mixtures."/>
    <s v="LU006215.005"/>
    <s v="Assess the stability of various suspensions and predict their behavior over time."/>
    <s v="LU006215.006"/>
    <s v="Design an experiment to separate particles from a suspension using filtration."/>
    <s v="#N/A"/>
    <s v="#N/A"/>
    <s v="#N/A"/>
    <s v="#N/A"/>
    <s v="#N/A"/>
    <s v="#N/A"/>
    <s v="#N/A"/>
    <s v="#N/A"/>
    <s v="#N/A"/>
    <s v="#N/A"/>
    <s v="#N/A"/>
    <s v="#N/A"/>
    <s v="LU006082"/>
    <s v="Definition of Heterogenous and Homogenous mixtures"/>
    <m/>
    <m/>
    <m/>
    <m/>
    <m/>
    <m/>
    <m/>
    <m/>
    <m/>
    <m/>
    <m/>
    <m/>
  </r>
  <r>
    <s v="NCERT 2025"/>
    <s v="CBSE"/>
    <x v="0"/>
    <x v="0"/>
    <x v="1"/>
    <x v="10"/>
    <s v="LU006216"/>
    <s v="Colloidal Solution and Their Types"/>
    <s v="LU006216.001"/>
    <s v="Define a colloidal solution, including the terms dispersed phase and dispersion medium."/>
    <s v="LU006216.002"/>
    <s v="Explain why colloidal solutions appear homogeneous but are actually heterogeneous."/>
    <s v="LU006216.003"/>
    <s v="Demonstrate the identification of dispersed phase and dispersion medium in a given colloidal solution."/>
    <s v="LU006216.004"/>
    <s v="Compare the particle sizes in colloidal solutions to those in suspensions and true solutions, explaining their visibility."/>
    <s v="LU006216.005"/>
    <s v="Evaluate the properties of colloidal solutions that make them appear homogeneous despite being heterogeneous."/>
    <s v="LU006216.006"/>
    <s v="Design an experiment to create a colloidal solution and identify its dispersed phase and dispersion medium."/>
    <s v="#N/A"/>
    <s v="#N/A"/>
    <s v="#N/A"/>
    <s v="#N/A"/>
    <s v="#N/A"/>
    <s v="#N/A"/>
    <s v="#N/A"/>
    <s v="#N/A"/>
    <s v="#N/A"/>
    <s v="#N/A"/>
    <s v="#N/A"/>
    <s v="#N/A"/>
    <s v="LU006082"/>
    <s v="Definition of Heterogenous and Homogenous mixtures"/>
    <m/>
    <m/>
    <m/>
    <m/>
    <m/>
    <m/>
    <m/>
    <m/>
    <m/>
    <m/>
    <m/>
    <m/>
  </r>
  <r>
    <s v="NCERT 2025"/>
    <s v="CBSE"/>
    <x v="0"/>
    <x v="0"/>
    <x v="1"/>
    <x v="10"/>
    <s v="LU006218"/>
    <s v="Properties of Colloids"/>
    <s v="LU006218.001"/>
    <s v="Identify the key properties of colloids, including the Tyndall effect."/>
    <s v="LU006218.002"/>
    <s v="Explain why colloids are heterogeneous mixtures and how the Tyndall effect helps in observing colloidal particles."/>
    <s v="LU006218.003"/>
    <s v="Demonstrate the Tyndall effect by shining a light beam through a colloidal solution and observing the scattering of light."/>
    <s v="LU006218.004"/>
    <s v="Compare colloids with true solutions and suspensions based on their ability to scatter light and stability."/>
    <s v="LU006218.005"/>
    <s v="Evaluate the effectiveness of centrifugation in separating colloidal particles from the dispersion medium."/>
    <s v="LU006218.006"/>
    <s v="Design an experiment to observe the Tyndall effect using a colloidal solution and explain the results based on the properties of colloids."/>
    <s v="#N/A"/>
    <s v="#N/A"/>
    <s v="#N/A"/>
    <s v="#N/A"/>
    <s v="#N/A"/>
    <s v="#N/A"/>
    <s v="#N/A"/>
    <s v="#N/A"/>
    <s v="#N/A"/>
    <s v="#N/A"/>
    <s v="#N/A"/>
    <s v="#N/A"/>
    <s v="LU006216"/>
    <s v="Colloidal Solution and Their Types"/>
    <m/>
    <m/>
    <m/>
    <m/>
    <m/>
    <m/>
    <m/>
    <m/>
    <m/>
    <m/>
    <m/>
    <m/>
  </r>
  <r>
    <s v="NCERT 2025"/>
    <s v="CBSE"/>
    <x v="0"/>
    <x v="0"/>
    <x v="1"/>
    <x v="11"/>
    <s v="LU006219"/>
    <s v="Comparison of Suspension, Solution, and Colloidal solution"/>
    <s v="LU006219.001"/>
    <s v="Compare the particle sizes in suspensions, solutions, and colloidal solutions."/>
    <s v="LU006219.002"/>
    <s v="Explain the differences in light scattering among suspensions, solutions, and colloidal solutions."/>
    <s v="LU006219.003"/>
    <s v="Demonstrate how suspensions, solutions, and colloidal solutions behave when filtered."/>
    <s v="LU006219.004"/>
    <s v="Analyze the stability of suspensions, solutions, and colloidal solutions over time."/>
    <s v="LU006219.005"/>
    <s v="Evaluate the practical applications of suspensions, solutions, and colloidal solutions in everyday life."/>
    <s v="LU006219.006"/>
    <s v="Design an experiment to compare the properties of suspensions, solutions, and colloidal solutions, and document the observed differences."/>
    <s v="#N/A"/>
    <s v="#N/A"/>
    <s v="#N/A"/>
    <s v="#N/A"/>
    <s v="#N/A"/>
    <s v="#N/A"/>
    <s v="#N/A"/>
    <s v="#N/A"/>
    <s v="#N/A"/>
    <s v="#N/A"/>
    <s v="#N/A"/>
    <s v="#N/A"/>
    <s v="LU006218"/>
    <s v="Properties of Colloids"/>
    <s v="LU006215"/>
    <s v="Definition and Properties of a Suspension"/>
    <s v="LU006210"/>
    <s v="Solution and Its Properties"/>
    <m/>
    <m/>
    <m/>
    <m/>
    <m/>
    <m/>
    <m/>
    <m/>
  </r>
  <r>
    <s v="NCERT 2025"/>
    <s v="CBSE"/>
    <x v="0"/>
    <x v="0"/>
    <x v="1"/>
    <x v="12"/>
    <s v="LU005493"/>
    <s v="Introduction to Chemical Changes"/>
    <s v="LU005493.001"/>
    <s v="Define chemical changes and their characteristics."/>
    <s v="LU005493.002"/>
    <s v="List examples of common chemical changes in everyday life."/>
    <s v="LU005493.003"/>
    <s v="Explain why chemical changes result in the formation of new substances with distinct properties."/>
    <s v="LU005493.004"/>
    <s v="Apply the concept of chemical changes to differentiate between physical and chemical processes."/>
    <s v="LU005493.005"/>
    <s v="Analyze the role of energy changes and reactants in chemical changes."/>
    <s v="LU005493.006"/>
    <s v="#N/A"/>
    <n v="8"/>
    <n v="6"/>
    <n v="2"/>
    <n v="16"/>
    <n v="12"/>
    <n v="3"/>
    <n v="1"/>
    <n v="16"/>
    <m/>
    <m/>
    <m/>
    <m/>
    <s v="LU005488"/>
    <s v="Effects Indicating Chemical Changes"/>
    <m/>
    <m/>
    <m/>
    <m/>
    <m/>
    <m/>
    <m/>
    <m/>
    <m/>
    <m/>
    <m/>
    <m/>
  </r>
  <r>
    <s v="NCERT 2025"/>
    <s v="CBSE"/>
    <x v="0"/>
    <x v="0"/>
    <x v="1"/>
    <x v="12"/>
    <s v="LU005494"/>
    <s v="Introduction to Physical Changes"/>
    <s v="LU005494.001"/>
    <s v="List examples of physical changes encountered in daily life."/>
    <s v="LU005494.002"/>
    <s v="Describe the characteristics of a physical change."/>
    <s v="LU005494.003"/>
    <s v="Demonstrate the process of a physical change by using various examples."/>
    <s v="LU005494.004"/>
    <s v="Analyse given scenarios in the light of the characteristics of the physical changes."/>
    <s v="LU005494.005"/>
    <s v="#N/A"/>
    <s v="LU005494.006"/>
    <s v="Design an experiment to determine the relationship between temperature and the rate of physical changes."/>
    <n v="19"/>
    <n v="7"/>
    <n v="5"/>
    <n v="31"/>
    <n v="9"/>
    <n v="5"/>
    <n v="1"/>
    <n v="15"/>
    <m/>
    <m/>
    <m/>
    <m/>
    <s v="LU005489"/>
    <s v="Effects Indicating Physical Changes"/>
    <m/>
    <m/>
    <m/>
    <m/>
    <m/>
    <m/>
    <m/>
    <m/>
    <m/>
    <m/>
    <m/>
    <m/>
  </r>
  <r>
    <s v="NCERT 2025"/>
    <s v="CBSE"/>
    <x v="0"/>
    <x v="0"/>
    <x v="1"/>
    <x v="13"/>
    <s v="LU006226"/>
    <s v="Elements and Their Classification"/>
    <s v="LU006226.001"/>
    <s v="Define an element and identify the differences between metals, non-metals, and metalloids."/>
    <s v="LU006226.002"/>
    <s v="Explain the properties of metals, non-metals, and metalloids with examples."/>
    <s v="LU006226.003"/>
    <s v="Demonstrate the properties of metals such as malleability and ductility using appropriate materials."/>
    <s v="LU006226.004"/>
    <s v="Compare the conductivity of metals and non-metals by setting up a simple circuit."/>
    <s v="LU006226.005"/>
    <s v="Evaluate the usefulness of classifying elements into metals, non-metals, and metalloids based on their properties."/>
    <s v="LU006226.006"/>
    <s v="Design an experiment to test and observe the physical properties of metals, non-metals, and metalloids, and classify given samples accordingly."/>
    <s v="#N/A"/>
    <s v="#N/A"/>
    <s v="#N/A"/>
    <s v="#N/A"/>
    <s v="#N/A"/>
    <s v="#N/A"/>
    <s v="#N/A"/>
    <s v="#N/A"/>
    <s v="#N/A"/>
    <s v="#N/A"/>
    <s v="#N/A"/>
    <s v="#N/A"/>
    <s v="LU005299"/>
    <s v="Definition of mixtures, components of mixture, and pure substance."/>
    <m/>
    <m/>
    <m/>
    <m/>
    <m/>
    <m/>
    <m/>
    <m/>
    <m/>
    <m/>
    <m/>
    <m/>
  </r>
  <r>
    <s v="NCERT 2025"/>
    <s v="CBSE"/>
    <x v="0"/>
    <x v="0"/>
    <x v="1"/>
    <x v="13"/>
    <s v="LU006227"/>
    <s v="Compounds and Their Properties"/>
    <s v="LU006227.001"/>
    <s v="Identify compounds as a type of pure matter."/>
    <s v="LU006227.002"/>
    <s v="Explain the characteristics that differentiate compounds from mixtures."/>
    <s v="LU006227.003"/>
    <s v="Demonstrate the formation of a compound by combining elements in a chemical reaction, such as creating water from hydrogen and oxygen."/>
    <s v="LU006227.004"/>
    <s v="Compare compounds with elements and mixtures in terms of their composition and properties."/>
    <s v="LU006227.005"/>
    <s v="Evaluate the purity of a substance by determining whether it is a compound or a mixture based on its properties and behavior in chemical reactions."/>
    <s v="LU006227.006"/>
    <s v="Design an experiment to distinguish between a compound and a mixture, using techniques such as heating and chemical reactions to observe differences in behavior."/>
    <s v="#N/A"/>
    <s v="#N/A"/>
    <s v="#N/A"/>
    <s v="#N/A"/>
    <s v="#N/A"/>
    <s v="#N/A"/>
    <s v="#N/A"/>
    <s v="#N/A"/>
    <s v="#N/A"/>
    <s v="#N/A"/>
    <s v="#N/A"/>
    <s v="#N/A"/>
    <s v="LU006226"/>
    <s v="Elements and Their Classification"/>
    <m/>
    <m/>
    <m/>
    <m/>
    <m/>
    <m/>
    <m/>
    <m/>
    <m/>
    <m/>
    <m/>
    <m/>
  </r>
  <r>
    <s v="NCERT 2025"/>
    <s v="CBSE"/>
    <x v="0"/>
    <x v="0"/>
    <x v="1"/>
    <x v="14"/>
    <s v="LU006228"/>
    <s v="Comparison of Mixtures and Pure Substances"/>
    <s v="LU006228.001"/>
    <s v="Differentiate between a compound and a mixture."/>
    <s v="LU006228.002"/>
    <s v="Explain why the composition of compounds is fixed while that of mixtures is variable."/>
    <s v="LU006228.003"/>
    <s v="Demonstrate the separation of a mixture using physical methods and compare it with the separation of a compound using chemical methods."/>
    <s v="LU006228.004"/>
    <s v="Compare the properties of a mixture and a compound, emphasizing how the properties of a mixture reflect its constituents, whereas a compound has entirely new properties."/>
    <s v="LU006228.005"/>
    <s v="Evaluate the methods used to separate constituents of mixtures and compounds, explaining why chemical or electrochemical reactions are necessary for compounds."/>
    <s v="LU006228.006"/>
    <s v="Design an experiment to create a mixture and a compound, and then separate their constituents using appropriate physical and chemical methods, respectively."/>
    <s v="#N/A"/>
    <s v="#N/A"/>
    <s v="#N/A"/>
    <s v="#N/A"/>
    <s v="#N/A"/>
    <s v="#N/A"/>
    <s v="#N/A"/>
    <s v="#N/A"/>
    <s v="#N/A"/>
    <s v="#N/A"/>
    <s v="#N/A"/>
    <s v="#N/A"/>
    <s v="LU006227"/>
    <s v="Compounds and Their Properties"/>
    <m/>
    <m/>
    <m/>
    <m/>
    <m/>
    <m/>
    <m/>
    <m/>
    <m/>
    <m/>
    <m/>
    <m/>
  </r>
  <r>
    <s v="NCERT 2025"/>
    <s v="CBSE"/>
    <x v="0"/>
    <x v="0"/>
    <x v="2"/>
    <x v="15"/>
    <s v="LU006374"/>
    <s v="Introduction to Law of Conservation of Mass"/>
    <s v="LU006374.001"/>
    <s v="Define the Law of Conservation of Mass."/>
    <s v="LU006374.002"/>
    <s v="Explain how the Law of Conservation of Mass applies to a chemical reaction."/>
    <s v="LU006374.003"/>
    <s v="Demonstrate an experiment that shows the Law of Conservation of Mass."/>
    <s v="LU006374.004"/>
    <s v="Compare and contrast mass changes before and after a chemical reaction."/>
    <s v="LU006374.005"/>
    <s v="Assess the significance of the Law of Conservation of Mass in chemical equations."/>
    <s v="LU006374.006"/>
    <s v="Design a new experiment to verify the Law of Conservation of Mass."/>
    <s v="#N/A"/>
    <s v="#N/A"/>
    <s v="#N/A"/>
    <s v="#N/A"/>
    <s v="#N/A"/>
    <s v="#N/A"/>
    <s v="#N/A"/>
    <s v="#N/A"/>
    <s v="#N/A"/>
    <s v="#N/A"/>
    <s v="#N/A"/>
    <s v="#N/A"/>
    <s v=""/>
    <m/>
    <m/>
    <m/>
    <m/>
    <m/>
    <m/>
    <m/>
    <m/>
    <m/>
    <m/>
    <m/>
    <m/>
    <m/>
  </r>
  <r>
    <s v="NCERT 2025"/>
    <s v="CBSE"/>
    <x v="0"/>
    <x v="0"/>
    <x v="2"/>
    <x v="15"/>
    <s v="LU006375"/>
    <s v="Introduction to Law of Constant Proportions"/>
    <s v="LU006375.001"/>
    <s v="Define the Law of Constant Proportions."/>
    <s v="LU006375.002"/>
    <s v="Explain the Law of Constant Proportions using water as an example."/>
    <s v="LU006375.003"/>
    <s v="Illustrate how to use the Law of Constant Proportions to determine the composition of a compound."/>
    <s v="LU006375.004"/>
    <s v="Analyze different compounds to see how they adhere to the Law of Constant Proportions."/>
    <s v="LU006375.005"/>
    <s v="Evaluate the implications of the Law of Constant Proportions in chemical synthesis."/>
    <s v="LU006375.006"/>
    <s v="Create a model that visually represents the Law of Constant Proportions."/>
    <s v="#N/A"/>
    <s v="#N/A"/>
    <s v="#N/A"/>
    <s v="#N/A"/>
    <s v="#N/A"/>
    <s v="#N/A"/>
    <s v="#N/A"/>
    <s v="#N/A"/>
    <s v="#N/A"/>
    <s v="#N/A"/>
    <s v="#N/A"/>
    <s v="#N/A"/>
    <s v="LU006374"/>
    <s v="Introduction to Law of Conservation of Mass"/>
    <m/>
    <m/>
    <m/>
    <m/>
    <m/>
    <m/>
    <m/>
    <m/>
    <m/>
    <m/>
    <m/>
    <m/>
  </r>
  <r>
    <s v="NCERT 2025"/>
    <s v="CBSE"/>
    <x v="0"/>
    <x v="0"/>
    <x v="2"/>
    <x v="15"/>
    <s v="LU006376"/>
    <s v="Introduction to Dalton's postulates about atoms"/>
    <s v="LU006376.001"/>
    <s v="List Dalton’s postulates about atoms."/>
    <s v="LU006376.002"/>
    <s v="Explain the significance of each of Dalton’s postulates."/>
    <s v="LU006376.003"/>
    <s v="Apply Dalton’s postulates to explain the behavior of atoms in a chemical reaction."/>
    <s v="LU006376.004"/>
    <s v="Analyze how Dalton’s postulates address the laws of chemical combination."/>
    <s v="LU006376.005"/>
    <s v="Evaluate the impact of Dalton’s atomic theory on modern chemistry."/>
    <s v="LU006376.006"/>
    <s v="Develop a presentation that illustrates Dalton’s postulates and their relevance today."/>
    <s v="#N/A"/>
    <s v="#N/A"/>
    <s v="#N/A"/>
    <s v="#N/A"/>
    <s v="#N/A"/>
    <s v="#N/A"/>
    <s v="#N/A"/>
    <s v="#N/A"/>
    <s v="#N/A"/>
    <s v="#N/A"/>
    <s v="#N/A"/>
    <s v="#N/A"/>
    <s v="LU006375"/>
    <s v="Introduction to Law of Constant Proportions"/>
    <m/>
    <m/>
    <m/>
    <m/>
    <m/>
    <m/>
    <m/>
    <m/>
    <m/>
    <m/>
    <m/>
    <m/>
  </r>
  <r>
    <s v="NCERT 2025"/>
    <s v="CBSE"/>
    <x v="0"/>
    <x v="0"/>
    <x v="2"/>
    <x v="16"/>
    <s v="LU006377"/>
    <s v="Sizes and relative scales of atoms compared to familiar objects."/>
    <s v="LU006377.001"/>
    <s v="Identify the relative sizes of atoms and familiar objects."/>
    <s v="LU006377.002"/>
    <s v="Describe the scale difference between atoms and familiar objects."/>
    <s v="LU006377.003"/>
    <s v="Use a model to demonstrate the relative scale of atoms compared to everyday objects."/>
    <s v="LU006377.004"/>
    <s v="Analyze the challenges of measuring atomic sizes."/>
    <s v="LU006377.005"/>
    <s v="Evaluate different methods used to measure and visualize atomic sizes."/>
    <s v="LU006377.006"/>
    <s v="Create a visual comparison chart showing the sizes of atoms and familiar objects."/>
    <s v="#N/A"/>
    <s v="#N/A"/>
    <s v="#N/A"/>
    <s v="#N/A"/>
    <s v="#N/A"/>
    <s v="#N/A"/>
    <s v="#N/A"/>
    <s v="#N/A"/>
    <s v="#N/A"/>
    <s v="#N/A"/>
    <s v="#N/A"/>
    <s v="#N/A"/>
    <s v=""/>
    <m/>
    <m/>
    <m/>
    <m/>
    <m/>
    <m/>
    <m/>
    <m/>
    <m/>
    <m/>
    <m/>
    <m/>
    <m/>
  </r>
  <r>
    <s v="NCERT 2025"/>
    <s v="CBSE"/>
    <x v="0"/>
    <x v="0"/>
    <x v="2"/>
    <x v="16"/>
    <s v="LU005503"/>
    <s v="Chemical symbols of Elements"/>
    <s v="LU005503.001"/>
    <s v="Identify the chemical symbols for common elements like hydrogen (H), oxygen (O), and carbon (C)."/>
    <s v="LU005503.002"/>
    <s v="Explain the significance of using chemical symbols to represent elements."/>
    <s v="LU005503.003"/>
    <s v="Match given chemical symbols to their corresponding element names from a provided list."/>
    <s v="LU005503.004"/>
    <s v="Analyze a chemical formula to identify the constituent elements based on their symbols."/>
    <s v="LU005503.005"/>
    <s v="#N/A"/>
    <s v="LU005503.006"/>
    <s v="Design a mnemonic or memory tool to help remember the chemical symbols of challenging elements."/>
    <s v="#N/A"/>
    <s v="#N/A"/>
    <s v="#N/A"/>
    <s v="#N/A"/>
    <s v="#N/A"/>
    <s v="#N/A"/>
    <s v="#N/A"/>
    <s v="#N/A"/>
    <s v="#N/A"/>
    <s v="#N/A"/>
    <s v="#N/A"/>
    <s v="#N/A"/>
    <s v=""/>
    <m/>
    <m/>
    <m/>
    <m/>
    <m/>
    <m/>
    <m/>
    <m/>
    <m/>
    <m/>
    <m/>
    <m/>
    <m/>
  </r>
  <r>
    <s v="NCERT 2025"/>
    <s v="CBSE"/>
    <x v="0"/>
    <x v="0"/>
    <x v="2"/>
    <x v="17"/>
    <s v="LU006378"/>
    <s v="Concept of atomic mass and its measurement"/>
    <s v="LU006378.001"/>
    <s v="Define atomic mass."/>
    <s v="LU006378.002"/>
    <s v="Explain how atomic mass is measured."/>
    <s v="LU006378.003"/>
    <s v="Calculate the atomic mass of an element given its isotopic composition."/>
    <s v="LU006378.004"/>
    <s v="Analyze how atomic mass affects the properties of elements."/>
    <s v="LU006378.005"/>
    <s v="Evaluate the methods used to determine atomic mass."/>
    <s v="LU006378.006"/>
    <s v="Develop a detailed report on the history and development of atomic mass measurement techniques."/>
    <s v="#N/A"/>
    <s v="#N/A"/>
    <s v="#N/A"/>
    <s v="#N/A"/>
    <s v="#N/A"/>
    <s v="#N/A"/>
    <s v="#N/A"/>
    <s v="#N/A"/>
    <s v="#N/A"/>
    <s v="#N/A"/>
    <s v="#N/A"/>
    <s v="#N/A"/>
    <s v="LU006376"/>
    <s v="Introduction to Dalton's postulates about atoms"/>
    <m/>
    <m/>
    <m/>
    <m/>
    <m/>
    <m/>
    <m/>
    <m/>
    <m/>
    <m/>
    <m/>
    <m/>
  </r>
  <r>
    <s v="NCERT 2025"/>
    <s v="CBSE"/>
    <x v="0"/>
    <x v="0"/>
    <x v="2"/>
    <x v="18"/>
    <s v="LU006379"/>
    <s v="Differences between molecules of elements and compounds"/>
    <s v="LU006379.001"/>
    <s v="Define molecules of elements and molecules of compounds."/>
    <s v="LU006379.002"/>
    <s v="Explain the differences between molecules of elements and compounds."/>
    <s v="LU006379.003"/>
    <s v="Classify given examples into molecules of elements or compounds."/>
    <s v="LU006379.004"/>
    <s v="Analyze the structural differences between molecules of elements and compounds."/>
    <s v="LU006379.005"/>
    <s v="Evaluate the chemical properties that distinguish molecules of elements from those of compounds."/>
    <s v="LU006379.006"/>
    <s v="Create a diagram that illustrates the differences between molecules of elements and compounds."/>
    <s v="#N/A"/>
    <s v="#N/A"/>
    <s v="#N/A"/>
    <s v="#N/A"/>
    <s v="#N/A"/>
    <s v="#N/A"/>
    <s v="#N/A"/>
    <s v="#N/A"/>
    <s v="#N/A"/>
    <s v="#N/A"/>
    <s v="#N/A"/>
    <s v="#N/A"/>
    <s v="LU006226"/>
    <s v="Elements and Their Classification"/>
    <s v="LU006227"/>
    <s v="Compounds and Their Properties"/>
    <m/>
    <m/>
    <m/>
    <m/>
    <m/>
    <m/>
    <m/>
    <m/>
    <m/>
    <m/>
  </r>
  <r>
    <s v="NCERT 2025"/>
    <s v="CBSE"/>
    <x v="0"/>
    <x v="0"/>
    <x v="2"/>
    <x v="18"/>
    <s v="LU005505"/>
    <s v="Definition and common symbols of Ions"/>
    <s v="LU005505.001"/>
    <s v="Recall the definition of an ion."/>
    <s v="LU005505.002"/>
    <s v="Explain the difference between cations and anions."/>
    <s v="LU005505.003"/>
    <s v=" Identify common ions by their symbols and charges."/>
    <s v="LU005505.004"/>
    <s v=" Interpret the number of electrons gained or lost by an atom based on its ionic symbol."/>
    <s v="LU005505.005"/>
    <s v="#N/A"/>
    <s v="LU005505.006"/>
    <s v="#N/A"/>
    <s v="#N/A"/>
    <s v="#N/A"/>
    <s v="#N/A"/>
    <s v="#N/A"/>
    <s v="#N/A"/>
    <s v="#N/A"/>
    <s v="#N/A"/>
    <s v="#N/A"/>
    <s v="#N/A"/>
    <s v="#N/A"/>
    <s v="#N/A"/>
    <s v="#N/A"/>
    <s v="LU005503"/>
    <s v="Chemical symbols of Elements"/>
    <m/>
    <m/>
    <m/>
    <m/>
    <m/>
    <m/>
    <m/>
    <m/>
    <m/>
    <m/>
    <m/>
    <m/>
  </r>
  <r>
    <s v="NCERT 2025"/>
    <s v="CBSE"/>
    <x v="0"/>
    <x v="0"/>
    <x v="2"/>
    <x v="19"/>
    <s v="LU006380"/>
    <s v="Definition of valency and its significance in forming chemical compounds"/>
    <s v="LU006380.001"/>
    <s v="Define valency."/>
    <s v="LU006380.002"/>
    <s v="Explain the significance of valency in forming chemical compounds."/>
    <s v="LU006380.003"/>
    <s v="Determine the valency of given elements and predict the compounds they can form."/>
    <s v="LU006380.004"/>
    <s v="Analyze how valency affects the formation and stability of compounds."/>
    <s v="LU006380.005"/>
    <s v="Evaluate the role of valency in predicting chemical reactions."/>
    <s v="LU006380.006"/>
    <s v="Create a chart that shows the valency of common elements and examples of compounds they form."/>
    <s v="#N/A"/>
    <s v="#N/A"/>
    <s v="#N/A"/>
    <s v="#N/A"/>
    <s v="#N/A"/>
    <s v="#N/A"/>
    <s v="#N/A"/>
    <s v="#N/A"/>
    <s v="#N/A"/>
    <s v="#N/A"/>
    <s v="#N/A"/>
    <s v="#N/A"/>
    <s v="LU005505"/>
    <s v="Definition and common symbols of Ions"/>
    <m/>
    <m/>
    <m/>
    <m/>
    <m/>
    <m/>
    <m/>
    <m/>
    <m/>
    <m/>
    <m/>
    <m/>
  </r>
  <r>
    <s v="NCERT 2025"/>
    <s v="CBSE"/>
    <x v="0"/>
    <x v="0"/>
    <x v="2"/>
    <x v="19"/>
    <s v="LU006381"/>
    <s v="Rules for writing chemical formulas for a chemical compound"/>
    <s v="LU006381.001"/>
    <s v="List the rules for writing chemical formulas."/>
    <s v="LU006381.002"/>
    <s v="Explain the steps involved in writing a chemical formula."/>
    <s v="LU006381.003"/>
    <s v="Write the chemical formula for given compounds using the rules."/>
    <s v="LU006381.004"/>
    <s v="Analyze errors in incorrectly written chemical formulas and correct them."/>
    <s v="LU006381.005"/>
    <s v="Evaluate the importance of correct chemical formulas in chemical reactions."/>
    <s v="LU006381.006"/>
    <s v="Create a tutorial that teaches how to write chemical formulas for compounds."/>
    <s v="#N/A"/>
    <s v="#N/A"/>
    <s v="#N/A"/>
    <s v="#N/A"/>
    <s v="#N/A"/>
    <s v="#N/A"/>
    <s v="#N/A"/>
    <s v="#N/A"/>
    <s v="#N/A"/>
    <s v="#N/A"/>
    <s v="#N/A"/>
    <s v="#N/A"/>
    <s v="LU006380"/>
    <s v="Definition of valency and its significance in forming chemical compounds"/>
    <m/>
    <m/>
    <m/>
    <m/>
    <m/>
    <m/>
    <m/>
    <m/>
    <m/>
    <m/>
    <m/>
    <m/>
  </r>
  <r>
    <s v="NCERT 2025"/>
    <s v="CBSE"/>
    <x v="0"/>
    <x v="0"/>
    <x v="2"/>
    <x v="20"/>
    <s v="LU006382"/>
    <s v="Calculation of molecular mass based on atomic masses"/>
    <s v="LU006382.001"/>
    <s v="Define molecular mass."/>
    <s v="LU006382.002"/>
    <s v="Explain how molecular mass is calculated using atomic masses."/>
    <s v="LU006382.003"/>
    <s v="Calculate the molecular mass of given compounds using their atomic masses."/>
    <s v="LU006382.004"/>
    <s v="Analyze the significance of molecular mass in chemical properties and reactions."/>
    <s v="LU006382.005"/>
    <s v="Evaluate the accuracy of different methods for calculating molecular mass."/>
    <s v="LU006382.006"/>
    <s v="Develop a worksheet that provides practice in calculating molecular masses from atomic masses."/>
    <s v="#N/A"/>
    <s v="#N/A"/>
    <s v="#N/A"/>
    <s v="#N/A"/>
    <s v="#N/A"/>
    <s v="#N/A"/>
    <s v="#N/A"/>
    <s v="#N/A"/>
    <s v="#N/A"/>
    <s v="#N/A"/>
    <s v="#N/A"/>
    <s v="#N/A"/>
    <s v="LU006378"/>
    <s v="Concept of atomic mass and its measurement"/>
    <m/>
    <m/>
    <m/>
    <m/>
    <m/>
    <m/>
    <m/>
    <m/>
    <m/>
    <m/>
    <m/>
    <m/>
  </r>
  <r>
    <s v="NCERT 2025"/>
    <s v="CBSE"/>
    <x v="0"/>
    <x v="0"/>
    <x v="2"/>
    <x v="20"/>
    <s v="LU006383"/>
    <s v="Concept of formula unit mass for ionic compounds"/>
    <s v="LU006383.001"/>
    <s v="Define formula unit mass."/>
    <s v="LU006383.002"/>
    <s v="Explain the concept of formula unit mass for ionic compounds."/>
    <s v="LU006383.003"/>
    <s v="Calculate the formula unit mass of given ionic compounds."/>
    <s v="LU006383.004"/>
    <s v="Analyze how the formula unit mass of an ionic compound is related to its chemical properties."/>
    <s v="LU006383.005"/>
    <s v="Evaluate the importance of formula unit mass in the study of ionic compounds."/>
    <s v="LU006383.006"/>
    <s v="Create a step-by-step guide for calculating the formula unit mass of ionic compounds."/>
    <s v="#N/A"/>
    <s v="#N/A"/>
    <s v="#N/A"/>
    <s v="#N/A"/>
    <s v="#N/A"/>
    <s v="#N/A"/>
    <s v="#N/A"/>
    <s v="#N/A"/>
    <s v="#N/A"/>
    <s v="#N/A"/>
    <s v="#N/A"/>
    <s v="#N/A"/>
    <s v="LU006382"/>
    <s v="Calculation of molecular mass based on atomic masses"/>
    <m/>
    <m/>
    <m/>
    <m/>
    <m/>
    <m/>
    <m/>
    <m/>
    <m/>
    <m/>
    <m/>
    <m/>
  </r>
  <r>
    <s v="NCERT 2025"/>
    <s v="CBSE"/>
    <x v="0"/>
    <x v="0"/>
    <x v="3"/>
    <x v="21"/>
    <s v="LU006385"/>
    <s v="Subatomic particles of Atoms (Electron and Proton)"/>
    <s v="LU006385.001"/>
    <s v="List the subatomic particles of an atom, focusing on electrons and protons."/>
    <s v="LU006385.002"/>
    <s v="Explain the properties of electrons and protons, including their charge and mass."/>
    <s v="LU006385.003"/>
    <s v="Illustrate the role of electrons and protons in the structure of an atom using a diagram."/>
    <s v="LU006385.004"/>
    <s v="Compare and contrast the properties and functions of electrons and protons in an atom."/>
    <s v="LU006385.005"/>
    <s v="Assess the significance of the discovery of electrons and protons in the development of atomic theory."/>
    <s v="LU006385.006"/>
    <s v="Create a model of an atom highlighting the positions and characteristics of electrons and protons."/>
    <s v="#N/A"/>
    <s v="#N/A"/>
    <s v="#N/A"/>
    <s v="#N/A"/>
    <s v="#N/A"/>
    <s v="#N/A"/>
    <s v="#N/A"/>
    <s v="#N/A"/>
    <s v="#N/A"/>
    <s v="#N/A"/>
    <s v="#N/A"/>
    <s v="#N/A"/>
    <s v="LU006376"/>
    <s v="Introduction to Dalton's postulates about atoms"/>
    <m/>
    <m/>
    <m/>
    <m/>
    <m/>
    <m/>
    <m/>
    <m/>
    <m/>
    <m/>
    <m/>
    <m/>
  </r>
  <r>
    <s v="NCERT 2025"/>
    <s v="CBSE"/>
    <x v="0"/>
    <x v="0"/>
    <x v="3"/>
    <x v="21"/>
    <s v="LU006386"/>
    <s v="Thomson's Model of the Atom (Electrical Neutrality of an Atom)"/>
    <s v="LU006386.001"/>
    <s v="Describe Thomson's model of the atom."/>
    <s v="LU006386.002"/>
    <s v="Explain how Thomson's model accounts for the electrical neutrality of an atom."/>
    <s v="LU006386.003"/>
    <s v="Use Thomson’s model to demonstrate the distribution of electrons in a positively charged sphere."/>
    <s v="LU006386.004"/>
    <s v="Analyze the limitations of Thomson’s model in explaining the atomic structure."/>
    <s v="LU006386.005"/>
    <s v="Evaluate the impact of Thomson's model on the understanding of atomic structure during his time."/>
    <s v="LU006386.006"/>
    <s v="Design an experiment or activity that demonstrates the concept of electrical neutrality in Thomson’s model."/>
    <s v="#N/A"/>
    <s v="#N/A"/>
    <s v="#N/A"/>
    <s v="#N/A"/>
    <s v="#N/A"/>
    <s v="#N/A"/>
    <s v="#N/A"/>
    <s v="#N/A"/>
    <s v="#N/A"/>
    <s v="#N/A"/>
    <s v="#N/A"/>
    <s v="#N/A"/>
    <s v="LU006385"/>
    <s v="Subatomic particles of Atoms (Electron and Proton)"/>
    <m/>
    <m/>
    <m/>
    <m/>
    <m/>
    <m/>
    <m/>
    <m/>
    <m/>
    <m/>
    <m/>
    <m/>
  </r>
  <r>
    <s v="NCERT 2025"/>
    <s v="CBSE"/>
    <x v="0"/>
    <x v="0"/>
    <x v="3"/>
    <x v="22"/>
    <s v="LU006387"/>
    <s v="Rutherford's Model of the Atom (Gold Foil Experiment and Nuclear Model)"/>
    <s v="LU006387.001"/>
    <s v="Summarize Rutherford's gold foil experiment."/>
    <s v="LU006387.002"/>
    <s v="Explain the key observations and conclusions from Rutherford's gold foil experiment."/>
    <s v="LU006387.003"/>
    <s v="Illustrate Rutherford’s nuclear model of the atom."/>
    <s v="LU006387.004"/>
    <s v="Analyze the differences between Thomson’s and Rutherford’s models of the atom."/>
    <s v="LU006387.005"/>
    <s v="Evaluate the significance of Rutherford's model in the context of atomic structure research."/>
    <s v="LU006387.006"/>
    <s v="Develop a presentation that explains Rutherford’s gold foil experiment and its findings."/>
    <s v="#N/A"/>
    <s v="#N/A"/>
    <s v="#N/A"/>
    <s v="#N/A"/>
    <s v="#N/A"/>
    <s v="#N/A"/>
    <s v="#N/A"/>
    <s v="#N/A"/>
    <s v="#N/A"/>
    <s v="#N/A"/>
    <s v="#N/A"/>
    <s v="#N/A"/>
    <s v="LU006386"/>
    <s v="Thomson's Model of the Atom (Electrical Neutrality of an Atom)"/>
    <m/>
    <m/>
    <m/>
    <m/>
    <m/>
    <m/>
    <m/>
    <m/>
    <m/>
    <m/>
    <m/>
    <m/>
  </r>
  <r>
    <s v="NCERT 2025"/>
    <s v="CBSE"/>
    <x v="0"/>
    <x v="0"/>
    <x v="3"/>
    <x v="23"/>
    <s v="LU006388"/>
    <s v="Bohr’s Model of the Atom (Stable Electron Orbits)"/>
    <s v="LU006388.001"/>
    <s v="Define Bohr’s model of the atom."/>
    <s v="LU006388.002"/>
    <s v="Explain how Bohr’s model describes stable electron orbits."/>
    <s v="LU006388.003"/>
    <s v="Draw a diagram of an atom according to Bohr’s model showing stable electron orbits."/>
    <s v="LU006388.004"/>
    <s v="Compare Bohr’s model with Rutherford’s model in terms of electron stability."/>
    <s v="LU006388.005"/>
    <s v="Assess the strengths and weaknesses of Bohr’s model of the atom."/>
    <s v="LU006388.006"/>
    <s v="Create a visual representation of Bohr’s model showing the discrete orbits of electrons."/>
    <s v="#N/A"/>
    <s v="#N/A"/>
    <s v="#N/A"/>
    <s v="#N/A"/>
    <s v="#N/A"/>
    <s v="#N/A"/>
    <s v="#N/A"/>
    <s v="#N/A"/>
    <s v="#N/A"/>
    <s v="#N/A"/>
    <s v="#N/A"/>
    <s v="#N/A"/>
    <s v="LU006387"/>
    <s v="Rutherford's Model of the Atom (Gold Foil Experiment and Nuclear Model)"/>
    <m/>
    <m/>
    <m/>
    <m/>
    <m/>
    <m/>
    <m/>
    <m/>
    <m/>
    <m/>
    <m/>
    <m/>
  </r>
  <r>
    <s v="NCERT 2025"/>
    <s v="CBSE"/>
    <x v="0"/>
    <x v="0"/>
    <x v="3"/>
    <x v="23"/>
    <s v="LU006389"/>
    <s v="Contribution of Neutron in Atomic mass"/>
    <s v="LU006389.001"/>
    <s v="Identify the neutron and its properties."/>
    <s v="LU006389.002"/>
    <s v="Explain the role of neutrons in determining the atomic mass."/>
    <s v="LU006389.003"/>
    <s v="Calculate the atomic mass of an atom given the number of protons and neutrons."/>
    <s v="LU006389.004"/>
    <s v="Analyze the effect of neutrons on the stability of an atom."/>
    <s v="LU006389.005"/>
    <s v="Evaluate the importance of neutrons in the context of atomic structure and stability."/>
    <s v="LU006389.006"/>
    <s v="Develop a chart that shows the contribution of protons and neutrons to the atomic mass of various elements."/>
    <s v="#N/A"/>
    <s v="#N/A"/>
    <s v="#N/A"/>
    <s v="#N/A"/>
    <s v="#N/A"/>
    <s v="#N/A"/>
    <s v="#N/A"/>
    <s v="#N/A"/>
    <s v="#N/A"/>
    <s v="#N/A"/>
    <s v="#N/A"/>
    <s v="#N/A"/>
    <s v="LU006385"/>
    <s v="Subatomic particles of Atoms (Electron and Proton)"/>
    <m/>
    <m/>
    <m/>
    <m/>
    <m/>
    <m/>
    <m/>
    <m/>
    <m/>
    <m/>
    <m/>
    <m/>
  </r>
  <r>
    <s v="NCERT 2025"/>
    <s v="CBSE"/>
    <x v="0"/>
    <x v="0"/>
    <x v="3"/>
    <x v="24"/>
    <s v="LU006390"/>
    <s v="Electron Distribution in Orbits (Maximum Capacity Rules and Shell Filling Order)"/>
    <s v="LU006390.001"/>
    <s v="State the rules for electron distribution in orbits."/>
    <s v="LU006390.002"/>
    <s v="Explain the maximum capacity rules for different electron shells."/>
    <s v="LU006390.003"/>
    <s v="Write the electron configuration for the first 20 elements based on the shell filling order."/>
    <s v="LU006390.004"/>
    <s v="Analyze the pattern of electron distribution in the periodic table."/>
    <s v="LU006390.005"/>
    <s v="Assess the significance of understanding electron distribution in chemical bonding."/>
    <s v="LU006390.006"/>
    <s v="Create a step-by-step guide for determining the electron configuration of elements."/>
    <s v="#N/A"/>
    <s v="#N/A"/>
    <s v="#N/A"/>
    <s v="#N/A"/>
    <s v="#N/A"/>
    <s v="#N/A"/>
    <s v="#N/A"/>
    <s v="#N/A"/>
    <s v="#N/A"/>
    <s v="#N/A"/>
    <s v="#N/A"/>
    <s v="#N/A"/>
    <s v="LU006388"/>
    <s v="Bohr’s Model of the Atom (Stable Electron Orbits)"/>
    <m/>
    <m/>
    <m/>
    <m/>
    <m/>
    <m/>
    <m/>
    <m/>
    <m/>
    <m/>
    <m/>
    <m/>
  </r>
  <r>
    <s v="NCERT 2025"/>
    <s v="CBSE"/>
    <x v="0"/>
    <x v="0"/>
    <x v="3"/>
    <x v="24"/>
    <s v="LU006391"/>
    <s v="Significance of Valency in achieving stable electronic configuration (Octet Rule)"/>
    <s v="LU006391.001"/>
    <s v="Define valency and the octet rule."/>
    <s v="LU006391.002"/>
    <s v="Explain how valency is related to achieving a stable electronic configuration."/>
    <s v="LU006391.003"/>
    <s v="Determine the valency of given elements using the octet rule."/>
    <s v="LU006391.004"/>
    <s v="Analyze the role of valency in the formation of chemical compounds."/>
    <s v="LU006391.005"/>
    <s v="Evaluate the importance of the octet rule in predicting chemical reactions."/>
    <s v="LU006391.006"/>
    <s v="Develop a visual aid that illustrates the concept of valency and the octet rule."/>
    <s v="#N/A"/>
    <s v="#N/A"/>
    <s v="#N/A"/>
    <s v="#N/A"/>
    <s v="#N/A"/>
    <s v="#N/A"/>
    <s v="#N/A"/>
    <s v="#N/A"/>
    <s v="#N/A"/>
    <s v="#N/A"/>
    <s v="#N/A"/>
    <s v="#N/A"/>
    <s v="LU006390"/>
    <s v="Electron Distribution in Orbits (Maximum Capacity Rules and Shell Filling Order)"/>
    <m/>
    <m/>
    <m/>
    <m/>
    <m/>
    <m/>
    <m/>
    <m/>
    <m/>
    <m/>
    <m/>
    <m/>
  </r>
  <r>
    <s v="NCERT 2025"/>
    <s v="CBSE"/>
    <x v="0"/>
    <x v="0"/>
    <x v="3"/>
    <x v="25"/>
    <s v="LU006392"/>
    <s v="Definition of Atomic Number and Mass Number"/>
    <s v="LU006392.001"/>
    <s v="Define atomic number and mass number."/>
    <s v="LU006392.002"/>
    <s v="Explain the difference between atomic number and mass number."/>
    <s v="LU006392.003"/>
    <s v="Calculate the atomic number and mass number of given elements."/>
    <s v="LU006392.004"/>
    <s v="Analyze how the atomic number and mass number determine the identity and mass of an element."/>
    <s v="LU006392.005"/>
    <s v="Evaluate the role of atomic number and mass number in the periodic table."/>
    <s v="LU006392.006"/>
    <s v="Create a chart that lists elements with their atomic number, mass number, and corresponding atomic structure."/>
    <s v="#N/A"/>
    <s v="#N/A"/>
    <s v="#N/A"/>
    <s v="#N/A"/>
    <s v="#N/A"/>
    <s v="#N/A"/>
    <s v="#N/A"/>
    <s v="#N/A"/>
    <s v="#N/A"/>
    <s v="#N/A"/>
    <s v="#N/A"/>
    <s v="#N/A"/>
    <s v="LU006389"/>
    <s v="Contribution of Neutron in Atomic mass"/>
    <m/>
    <m/>
    <m/>
    <m/>
    <m/>
    <m/>
    <m/>
    <m/>
    <m/>
    <m/>
    <m/>
    <m/>
  </r>
  <r>
    <s v="NCERT 2025"/>
    <s v="CBSE"/>
    <x v="0"/>
    <x v="0"/>
    <x v="3"/>
    <x v="25"/>
    <s v="LU006393"/>
    <s v="Definition of Isotopes and Isobars"/>
    <s v="LU006393.001"/>
    <s v="Define isotopes and isobars."/>
    <s v="LU006393.002"/>
    <s v="Explain the differences between isotopes and isobars with examples."/>
    <s v="LU006393.003"/>
    <s v="Identify isotopes and isobars from given atomic data."/>
    <s v="LU006393.004"/>
    <s v="Compare the physical and chemical properties of isotopes and isobars."/>
    <s v="LU006393.005"/>
    <s v="Evaluate the applications of isotopes and isobars in various fields."/>
    <s v="LU006393.006"/>
    <s v="Develop a presentation that explains the concept of isotopes and isobars and their significance."/>
    <s v="#N/A"/>
    <s v="#N/A"/>
    <s v="#N/A"/>
    <s v="#N/A"/>
    <s v="#N/A"/>
    <s v="#N/A"/>
    <s v="#N/A"/>
    <s v="#N/A"/>
    <s v="#N/A"/>
    <s v="#N/A"/>
    <s v="#N/A"/>
    <s v="#N/A"/>
    <s v="LU006392"/>
    <s v="Definition of Atomic Number and Mass Number"/>
    <m/>
    <m/>
    <m/>
    <m/>
    <m/>
    <m/>
    <m/>
    <m/>
    <m/>
    <m/>
    <m/>
    <m/>
  </r>
  <r>
    <s v="NCERT 2025"/>
    <s v="CBSE"/>
    <x v="0"/>
    <x v="1"/>
    <x v="4"/>
    <x v="26"/>
    <s v="LU006229"/>
    <s v="Onion Peel Experiment to Visualise Cells"/>
    <s v="LU006229.001"/>
    <s v="Identify the steps involved in preparing a temporary mount of an onion peel for microscopic observation."/>
    <s v="LU006229.002"/>
    <s v="Explain why the onion peel experiment is used to demonstrate that cells are the fundamental unit of life."/>
    <s v="LU006229.003"/>
    <s v="Demonstrate the procedure for preparing an onion peel slide and observe the cells under a microscope, noting their structure."/>
    <s v="LU006229.004"/>
    <s v="Compare the cellular structures observed in the onion peel with those seen in other plant or animal cells under a microscope."/>
    <s v="LU006229.005"/>
    <s v="Assess the importance of the onion peel experiment in understanding cell theory and the role of cells as the basic building blocks of life."/>
    <s v="LU006229.006"/>
    <s v="Design an experiment using different plant materials to observe and compare cell structures, highlighting the similarities and differences in cell organization."/>
    <s v="#N/A"/>
    <s v="#N/A"/>
    <s v="#N/A"/>
    <s v="#N/A"/>
    <s v="#N/A"/>
    <s v="#N/A"/>
    <s v="#N/A"/>
    <s v="#N/A"/>
    <s v="#N/A"/>
    <s v="#N/A"/>
    <s v="#N/A"/>
    <s v="#N/A"/>
    <s v="LU005845"/>
    <s v="Parts of a cell (cell wall, cell membrane, nucleus, cytoplasm)"/>
    <m/>
    <m/>
    <m/>
    <m/>
    <m/>
    <m/>
    <m/>
    <m/>
    <m/>
    <m/>
    <m/>
    <m/>
  </r>
  <r>
    <s v="NCERT 2025"/>
    <s v="CBSE"/>
    <x v="0"/>
    <x v="1"/>
    <x v="4"/>
    <x v="26"/>
    <s v="LU005844"/>
    <s v="Definition of a cell, variations in sizes, numbers, and shapes"/>
    <s v="LU005844.001"/>
    <s v="Define the terms-cell, unicellular and multicellular."/>
    <s v="LU005844.002"/>
    <s v="Explain why cells can have different shapes and sizes."/>
    <s v="LU005844.003"/>
    <s v="Apply your understanding of cell types to differentiate between unicellular and multicellular organisms based on their structures."/>
    <s v="LU005844.004"/>
    <s v="Analyze how variations in cell size and shape contribute to the overall function of multicellular organisms."/>
    <s v="LU005844.005"/>
    <s v="Evaluate the advantages and disadvantages of variations in cell numbers, cell sizes and shapes for the survival and adaptation of organisms in different environments."/>
    <s v="LU005844.006"/>
    <s v="#N/A"/>
    <n v="4"/>
    <n v="6"/>
    <n v="2"/>
    <n v="12"/>
    <n v="4"/>
    <n v="3"/>
    <n v="1"/>
    <n v="8"/>
    <m/>
    <m/>
    <m/>
    <m/>
    <s v="LU005843"/>
    <s v="Discovery of the Cell"/>
    <m/>
    <m/>
    <m/>
    <m/>
    <m/>
    <m/>
    <m/>
    <m/>
    <m/>
    <m/>
    <m/>
    <m/>
  </r>
  <r>
    <s v="NCERT 2025"/>
    <s v="CBSE"/>
    <x v="0"/>
    <x v="1"/>
    <x v="4"/>
    <x v="27"/>
    <s v="LU006230"/>
    <s v="Function and Significance of a Plasma/Cell Membrane"/>
    <s v="LU006230.001"/>
    <s v="Define the function of the plasma membrane in controlling the entry and exit of substances in and out of the cell."/>
    <s v="LU006230.002"/>
    <s v="Explain how the plasma membrane's selective permeability aids in the process of diffusion for substances like CO₂ and O₂."/>
    <s v="LU006230.003"/>
    <s v="Illustrate the process of diffusion across the plasma membrane using the example of CO₂ and O₂ exchange."/>
    <s v="LU006230.004"/>
    <s v="Compare the concentrations of CO₂ and O₂ inside and outside the cell and how these differences drive diffusion."/>
    <s v="LU006230.005"/>
    <s v="Assess the significance of the plasma membrane in maintaining the cell's internal environment through selective permeability."/>
    <s v="LU006230.006"/>
    <s v="Design an experiment to demonstrate the diffusion of substances across a selectively permeable membrane, such as using a dialysis bag to show the movement of solutes."/>
    <s v="#N/A"/>
    <s v="#N/A"/>
    <s v="#N/A"/>
    <s v="#N/A"/>
    <s v="#N/A"/>
    <s v="#N/A"/>
    <s v="#N/A"/>
    <s v="#N/A"/>
    <s v="#N/A"/>
    <s v="#N/A"/>
    <s v="#N/A"/>
    <s v="#N/A"/>
    <s v="LU005845"/>
    <s v="Parts of a cell (cell wall, cell membrane, nucleus, cytoplasm)"/>
    <s v="LU005844"/>
    <s v="Definition of a cell, variations in sizes, numbers, and shapes"/>
    <m/>
    <m/>
    <m/>
    <m/>
    <m/>
    <m/>
    <m/>
    <m/>
    <m/>
    <m/>
  </r>
  <r>
    <s v="NCERT 2025"/>
    <s v="CBSE"/>
    <x v="0"/>
    <x v="1"/>
    <x v="4"/>
    <x v="27"/>
    <s v="LU006231"/>
    <s v="Concept of Hypotonic, Isotonic and Hypertonic solution"/>
    <s v="LU006231.001"/>
    <s v="Define hypotonic, isotonic, and hypertonic solutions."/>
    <s v="LU006231.002"/>
    <s v="Explain how osmosis occurs in cells placed in hypotonic, isotonic, and hypertonic solutions."/>
    <s v="LU006231.003"/>
    <s v="Demonstrate the effects of hypotonic, isotonic, and hypertonic solutions on cells using experiments with eggs or dried apricots."/>
    <s v="LU006231.004"/>
    <s v="Compare the outcomes of placing cells in hypotonic, isotonic, and hypertonic solutions based on their water movement."/>
    <s v="LU006231.005"/>
    <s v="Evaluate the significance of osmosis in maintaining cell turgor and homeostasis in different solutions."/>
    <s v="LU006231.006"/>
    <s v="Design an experiment to observe the changes in cells when placed in hypotonic, isotonic, and hypertonic solutions, and interpret the results."/>
    <s v="#N/A"/>
    <s v="#N/A"/>
    <s v="#N/A"/>
    <s v="#N/A"/>
    <s v="#N/A"/>
    <s v="#N/A"/>
    <s v="#N/A"/>
    <s v="#N/A"/>
    <s v="#N/A"/>
    <s v="#N/A"/>
    <s v="#N/A"/>
    <s v="#N/A"/>
    <s v="LU006230"/>
    <s v="Function and Significance of a Plasma/Cell Membrane"/>
    <s v="LU006197"/>
    <s v="Particles are Continuously Moving(concept of diffusion)"/>
    <s v="LU006171"/>
    <s v="Definition of diffusion and osmosis"/>
    <m/>
    <m/>
    <m/>
    <m/>
    <m/>
    <m/>
    <m/>
    <m/>
  </r>
  <r>
    <s v="NCERT 2025"/>
    <s v="CBSE"/>
    <x v="0"/>
    <x v="1"/>
    <x v="4"/>
    <x v="28"/>
    <s v="LU006232"/>
    <s v="Basic Function of a plant cell wall"/>
    <s v="LU006232.001"/>
    <s v="Define the basic function of a plant cell wall."/>
    <s v="LU006232.002"/>
    <s v="Explain how the cell wall helps in preventing plant cells from bursting in hypotonic solutions."/>
    <s v="LU006232.003"/>
    <s v="Demonstrate the process of plasmolysis using a Rhoeo leaf and a strong sugar or salt solution."/>
    <s v="LU006232.004"/>
    <s v="Compare the structural strength provided by plant cell walls to that of animal cells lacking cell walls."/>
    <s v="LU006232.005"/>
    <s v="Evaluate the role of the cell wall in helping plant cells withstand changes in the surrounding medium."/>
    <s v="LU006232.006"/>
    <s v="Design an experiment to observe the effects of hypotonic solutions on plant cells and explain the observations based on the presence of the cell wall."/>
    <s v="#N/A"/>
    <s v="#N/A"/>
    <s v="#N/A"/>
    <s v="#N/A"/>
    <s v="#N/A"/>
    <s v="#N/A"/>
    <s v="#N/A"/>
    <s v="#N/A"/>
    <s v="#N/A"/>
    <s v="#N/A"/>
    <s v="#N/A"/>
    <s v="#N/A"/>
    <s v="LU006231"/>
    <s v="Concept of Hypotonic, Isotonic and Hypertonic solution"/>
    <s v="LU006171"/>
    <s v="Definition of diffusion and osmosis"/>
    <s v="LU005845"/>
    <s v="Parts of a cell (cell wall, cell membrane, nucleus, cytoplasm)"/>
    <m/>
    <m/>
    <m/>
    <m/>
    <m/>
    <m/>
    <m/>
    <m/>
  </r>
  <r>
    <s v="NCERT 2025"/>
    <s v="CBSE"/>
    <x v="0"/>
    <x v="1"/>
    <x v="4"/>
    <x v="29"/>
    <s v="LU005849"/>
    <s v="Definition of prokaryotic and eukaryotic cells"/>
    <s v="LU005849.001"/>
    <s v="Define what prokaryotic and eukaryotic cells are and state the fundamental differences between them."/>
    <s v="LU005849.002"/>
    <s v="Explain why prokaryotic cells lack certain cellular structures found in eukaryotic cells and how these differences impact their functions."/>
    <s v="LU005849.003"/>
    <s v="Apply your understanding of prokaryotic and eukaryotic cells to identify and classify different types of cells as either prokaryotic or eukaryotic based on their characteristics."/>
    <s v="LU005849.004"/>
    <s v="Analyze the structural and functional distinctions between prokaryotic and eukaryotic cells, and evaluate the advantages and limitations of each cell type in various environments."/>
    <s v="LU005849.005"/>
    <s v="Evaluate the evolutionary significance of prokaryotic and eukaryotic cells, considering how their differences have contributed to the diversity of life on Earth and their roles in various ecosystems."/>
    <s v="LU005849.006"/>
    <s v="#N/A"/>
    <s v="#N/A"/>
    <s v="#N/A"/>
    <s v="#N/A"/>
    <s v="#N/A"/>
    <s v="#N/A"/>
    <s v="#N/A"/>
    <s v="#N/A"/>
    <s v="#N/A"/>
    <s v="#N/A"/>
    <s v="#N/A"/>
    <s v="#N/A"/>
    <s v="#N/A"/>
    <s v="LU005844"/>
    <s v="Definition of a cell, variations in sizes, numbers, and shapes"/>
    <s v="LU005845"/>
    <s v="Parts of a cell (cell wall, cell membrane, nucleus, cytoplasm)"/>
    <m/>
    <m/>
    <m/>
    <m/>
    <m/>
    <m/>
    <m/>
    <m/>
    <m/>
    <m/>
  </r>
  <r>
    <s v="NCERT 2025"/>
    <s v="CBSE"/>
    <x v="0"/>
    <x v="1"/>
    <x v="4"/>
    <x v="29"/>
    <s v="LU006233"/>
    <s v="Function of a typical eukaryotic nucleus"/>
    <s v="LU006233.001"/>
    <s v="Identify the function of the nucleus in a typical eukaryotic cell."/>
    <s v="LU006233.002"/>
    <s v="Explain how the nuclear membrane regulates the transfer of materials between the nucleus and cytoplasm."/>
    <s v="LU006233.003"/>
    <s v="Illustrate the role of chromosomes in inheritance and cellular reproduction."/>
    <s v="LU006233.004"/>
    <s v="Compare chromatin and chromosomes in terms of structure and function."/>
    <s v="LU006233.005"/>
    <s v="Evaluate the importance of the nucleus in directing the chemical activities and development of the cell."/>
    <s v="LU006233.006"/>
    <s v="Design an experiment to observe the nucleus in cheek cells and onion peel cells, highlighting the differences and similarities."/>
    <s v="#N/A"/>
    <s v="#N/A"/>
    <s v="#N/A"/>
    <s v="#N/A"/>
    <s v="#N/A"/>
    <s v="#N/A"/>
    <s v="#N/A"/>
    <s v="#N/A"/>
    <s v="#N/A"/>
    <s v="#N/A"/>
    <s v="#N/A"/>
    <s v="#N/A"/>
    <s v="LU005849"/>
    <s v="Definition of prokaryotic and eukaryotic cells"/>
    <s v="LU005845"/>
    <s v="Parts of a cell (cell wall, cell membrane, nucleus, cytoplasm)"/>
    <m/>
    <m/>
    <m/>
    <m/>
    <m/>
    <m/>
    <m/>
    <m/>
    <m/>
    <m/>
  </r>
  <r>
    <s v="NCERT 2025"/>
    <s v="CBSE"/>
    <x v="0"/>
    <x v="1"/>
    <x v="4"/>
    <x v="30"/>
    <s v="LU006234"/>
    <s v="Definition and role of the cytoplasm and cellular organelles"/>
    <s v="LU006234.001"/>
    <s v="Define the cytoplasm and its role in the cell."/>
    <s v="LU006234.002"/>
    <s v="Explain the function of cellular organelles and their importance in the cell."/>
    <s v="LU006234.003"/>
    <s v="Illustrate the differences between prokaryotic and eukaryotic cells regarding the presence of membrane-bound organelles."/>
    <s v="LU006234.004"/>
    <s v="Analyze how the presence of membrane-bound organelles distinguishes eukaryotic cells from prokaryotic cells."/>
    <s v="LU006234.005"/>
    <s v="Evaluate the significance of membranes in maintaining the functions and organization of cellular organelles."/>
    <s v="LU006234.006"/>
    <s v="Design an experiment to observe the cytoplasm and organelles in onion peel and human cheek cells using a microscope."/>
    <s v="#N/A"/>
    <s v="#N/A"/>
    <s v="#N/A"/>
    <s v="#N/A"/>
    <s v="#N/A"/>
    <s v="#N/A"/>
    <s v="#N/A"/>
    <s v="#N/A"/>
    <s v="#N/A"/>
    <s v="#N/A"/>
    <s v="#N/A"/>
    <s v="#N/A"/>
    <s v="LU005845"/>
    <s v="Parts of a cell (cell wall, cell membrane, nucleus, cytoplasm)"/>
    <s v="LU005844"/>
    <s v="Definition of a cell, variations in sizes, numbers, and shapes"/>
    <m/>
    <m/>
    <m/>
    <m/>
    <m/>
    <m/>
    <m/>
    <m/>
    <m/>
    <m/>
  </r>
  <r>
    <s v="NCERT 2025"/>
    <s v="CBSE"/>
    <x v="0"/>
    <x v="1"/>
    <x v="4"/>
    <x v="30"/>
    <s v="LU006235"/>
    <s v="Introduction to Endoplasmic Reticulum"/>
    <s v="LU006235.001"/>
    <s v="Define the endoplasmic reticulum (ER) and its structure."/>
    <s v="LU006235.002"/>
    <s v="Explain the roles of rough endoplasmic reticulum (RER) and smooth endoplasmic reticulum (SER) in the cell."/>
    <s v="LU006235.003"/>
    <s v="Illustrate the process of protein and lipid manufacture in the ER."/>
    <s v="LU006235.004"/>
    <s v="Compare the functions of RER and SER in terms of their contributions to the cell."/>
    <s v="LU006235.005"/>
    <s v="Evaluate the importance of ER in transporting materials and its role in detoxifying poisons in liver cells."/>
    <s v="LU006235.006"/>
    <s v="Design an experiment to observe the structure of RER and SER in cells using a microscope and staining techniques."/>
    <s v="#N/A"/>
    <s v="#N/A"/>
    <s v="#N/A"/>
    <s v="#N/A"/>
    <s v="#N/A"/>
    <s v="#N/A"/>
    <s v="#N/A"/>
    <s v="#N/A"/>
    <s v="#N/A"/>
    <s v="#N/A"/>
    <s v="#N/A"/>
    <s v="#N/A"/>
    <s v="LU005846"/>
    <s v="Basics of various cellular organelles"/>
    <s v="LU005845"/>
    <s v="Parts of a cell (cell wall, cell membrane, nucleus, cytoplasm)"/>
    <s v="LU005844"/>
    <s v="Definition of a cell, variations in sizes, numbers, and shapes"/>
    <m/>
    <m/>
    <m/>
    <m/>
    <m/>
    <m/>
    <m/>
    <m/>
  </r>
  <r>
    <s v="NCERT 2025"/>
    <s v="CBSE"/>
    <x v="0"/>
    <x v="1"/>
    <x v="4"/>
    <x v="31"/>
    <s v="LU006236"/>
    <s v="Introduction to Golgi Apparatus"/>
    <s v="LU006236.001"/>
    <s v="Define the Golgi apparatus and its structure."/>
    <s v="LU006236.002"/>
    <s v="Explain how the Golgi apparatus packages and modifies materials synthesized near the ER."/>
    <s v="LU006236.003"/>
    <s v="Illustrate the process by which the Golgi apparatus transports materials within the cell."/>
    <s v="LU006236.004"/>
    <s v="Compare the function of the Golgi apparatus in packaging materials to that of the ER in synthesizing them."/>
    <s v="LU006236.005"/>
    <s v="Evaluate the importance of the Golgi apparatus in the cell’s overall functioning."/>
    <s v="LU006236.006"/>
    <s v="Design a simple experiment to observe the Golgi apparatus in cells using staining techniques and a microscope."/>
    <s v="#N/A"/>
    <s v="#N/A"/>
    <s v="#N/A"/>
    <s v="#N/A"/>
    <s v="#N/A"/>
    <s v="#N/A"/>
    <s v="#N/A"/>
    <s v="#N/A"/>
    <s v="#N/A"/>
    <s v="#N/A"/>
    <s v="#N/A"/>
    <s v="#N/A"/>
    <s v="LU006235"/>
    <s v="Introduction to Endoplasmic Reticulum"/>
    <s v="LU005846"/>
    <s v="Basics of various cellular organelles"/>
    <s v="LU005845"/>
    <s v="Parts of a cell (cell wall, cell membrane, nucleus, cytoplasm)"/>
    <m/>
    <m/>
    <m/>
    <m/>
    <m/>
    <m/>
    <m/>
    <m/>
  </r>
  <r>
    <s v="NCERT 2025"/>
    <s v="CBSE"/>
    <x v="0"/>
    <x v="1"/>
    <x v="4"/>
    <x v="31"/>
    <s v="LU006237"/>
    <s v="Introduction to Lysosomes"/>
    <s v="LU006237.001"/>
    <s v="Define lysosomes and their structure."/>
    <s v="LU006237.002"/>
    <s v="Explain the function of lysosomes in digesting foreign materials and worn-out cell organelles."/>
    <s v="LU006237.003"/>
    <s v="Illustrate how lysosomes break down complex substances into simpler substances using digestive enzymes."/>
    <s v="LU006237.004"/>
    <s v="Compare the role of lysosomes in keeping the cell clean to that of other cell organelles."/>
    <s v="LU006237.005"/>
    <s v="Evaluate why lysosomes are referred to as the &quot;suicide bags&quot; of the cell."/>
    <s v="LU006237.006"/>
    <s v="Design an experiment to observe the activity of lysosomes in cells under a microscope using staining techniques."/>
    <s v="#N/A"/>
    <s v="#N/A"/>
    <s v="#N/A"/>
    <s v="#N/A"/>
    <s v="#N/A"/>
    <s v="#N/A"/>
    <s v="#N/A"/>
    <s v="#N/A"/>
    <s v="#N/A"/>
    <s v="#N/A"/>
    <s v="#N/A"/>
    <s v="#N/A"/>
    <s v="LU006236"/>
    <s v="Introduction to Golgi Apparatus"/>
    <s v="LU006235"/>
    <s v="Introduction to Endoplasmic Reticulum"/>
    <s v="LU005846"/>
    <s v="Basics of various cellular organelles"/>
    <m/>
    <m/>
    <m/>
    <m/>
    <m/>
    <m/>
    <m/>
    <m/>
  </r>
  <r>
    <s v="NCERT 2025"/>
    <s v="CBSE"/>
    <x v="0"/>
    <x v="1"/>
    <x v="4"/>
    <x v="32"/>
    <s v="LU006238"/>
    <s v="Introduction to Mitochondria"/>
    <s v="LU006238.001"/>
    <s v="Define mitochondria and their structure."/>
    <s v="LU006238.002"/>
    <s v="Explain why mitochondria are known as the powerhouses of the cell."/>
    <s v="LU006238.003"/>
    <s v="Illustrate the role of the inner membrane folds in increasing surface area for ATP production."/>
    <s v="LU006238.004"/>
    <s v="Compare the structure of the inner and outer membranes of mitochondria."/>
    <s v="LU006238.005"/>
    <s v="Evaluate the significance of mitochondria having their own DNA and ribosomes."/>
    <s v="LU006238.006"/>
    <s v="Design an experiment to observe the structure of mitochondria in cells using a microscope."/>
    <s v="#N/A"/>
    <s v="#N/A"/>
    <s v="#N/A"/>
    <s v="#N/A"/>
    <s v="#N/A"/>
    <s v="#N/A"/>
    <s v="#N/A"/>
    <s v="#N/A"/>
    <s v="#N/A"/>
    <s v="#N/A"/>
    <s v="#N/A"/>
    <s v="#N/A"/>
    <s v="LU005435"/>
    <s v="Introduction to cellular, aerobic and anaerobic respiration"/>
    <s v="LU005846"/>
    <s v="Basics of various cellular organelles"/>
    <s v="LU005845"/>
    <s v="Parts of a cell (cell wall, cell membrane, nucleus, cytoplasm)"/>
    <m/>
    <m/>
    <m/>
    <m/>
    <m/>
    <m/>
    <m/>
    <m/>
  </r>
  <r>
    <s v="NCERT 2025"/>
    <s v="CBSE"/>
    <x v="0"/>
    <x v="1"/>
    <x v="4"/>
    <x v="32"/>
    <s v="LU006239"/>
    <s v="Introduction to Plastids"/>
    <s v="LU006239.001"/>
    <s v="Define plastids and their types."/>
    <s v="LU006239.002"/>
    <s v="Explain the functions of chromoplasts and leucoplasts."/>
    <s v="LU006239.003"/>
    <s v="Illustrate the role of chloroplasts in photosynthesis."/>
    <s v="LU006239.004"/>
    <s v="Compare chromoplasts and leucoplasts based on their functions and pigments."/>
    <s v="LU006239.005"/>
    <s v="Evaluate the significance of plastids having their own DNA and ribosomes."/>
    <s v="LU006239.006"/>
    <s v="Design an experiment to observe plastids in plant cells using a microscope."/>
    <s v="#N/A"/>
    <s v="#N/A"/>
    <s v="#N/A"/>
    <s v="#N/A"/>
    <s v="#N/A"/>
    <s v="#N/A"/>
    <s v="#N/A"/>
    <s v="#N/A"/>
    <s v="#N/A"/>
    <s v="#N/A"/>
    <s v="#N/A"/>
    <s v="#N/A"/>
    <s v="LU005408"/>
    <s v="Elements in the Photosynthesis(stomata, vessels, pigments)"/>
    <s v="LU006238"/>
    <s v="Introduction to Mitochondria"/>
    <s v="LU005848"/>
    <s v="Comparison between plant and animal cells"/>
    <m/>
    <m/>
    <m/>
    <m/>
    <m/>
    <m/>
    <m/>
    <m/>
  </r>
  <r>
    <s v="NCERT 2025"/>
    <s v="CBSE"/>
    <x v="0"/>
    <x v="1"/>
    <x v="4"/>
    <x v="32"/>
    <s v="LU006240"/>
    <s v="Introduction to Vacuoles"/>
    <s v="LU006240.001"/>
    <s v="Define vacuoles and their role in cells."/>
    <s v="LU006240.002"/>
    <s v="Explain the difference in vacuole size between plant and animal cells."/>
    <s v="LU006240.003"/>
    <s v="Illustrate how vacuoles provide turgidity and rigidity to plant cells."/>
    <s v="LU006240.004"/>
    <s v="Compare the function of vacuoles in plant cells and single-celled organisms like Amoeba."/>
    <s v="LU006240.005"/>
    <s v="Evaluate the importance of vacuoles in storing substances and maintaining cell health."/>
    <s v="LU006240.006"/>
    <s v="Design an experiment to observe vacuoles in plant cells under a microscope using staining techniques."/>
    <s v="#N/A"/>
    <s v="#N/A"/>
    <s v="#N/A"/>
    <s v="#N/A"/>
    <s v="#N/A"/>
    <s v="#N/A"/>
    <s v="#N/A"/>
    <s v="#N/A"/>
    <s v="#N/A"/>
    <s v="#N/A"/>
    <s v="#N/A"/>
    <s v="#N/A"/>
    <s v="LU006231"/>
    <s v="Concept of Hypotonic, Isotonic and Hypertonic solution"/>
    <s v="LU006232"/>
    <s v="Basic Function of a plant cell wall"/>
    <s v="LU005845"/>
    <s v="Parts of a cell (cell wall, cell membrane, nucleus, cytoplasm)"/>
    <m/>
    <m/>
    <m/>
    <m/>
    <m/>
    <m/>
    <m/>
    <m/>
  </r>
  <r>
    <s v="NCERT 2025"/>
    <s v="CBSE"/>
    <x v="0"/>
    <x v="1"/>
    <x v="4"/>
    <x v="33"/>
    <s v="LU006241"/>
    <s v="Introduction to Cell Division(Mitosis and Meiosis)"/>
    <s v="LU006241.001"/>
    <s v="Define cell division and the two main types: mitosis and meiosis."/>
    <s v="LU006241.002"/>
    <s v="Explain the purpose of mitosis and meiosis in growth, repair, and reproduction."/>
    <s v="LU006241.003"/>
    <s v="Illustrate the process of mitosis and meiosis using diagrams to show the stages."/>
    <s v="LU006241.004"/>
    <s v="Compare the outcomes of mitosis and meiosis in terms of chromosome number and type of cells produced."/>
    <s v="LU006241.005"/>
    <s v="Evaluate the significance of chromosome reduction in meiosis for sexual reproduction."/>
    <s v="LU006241.006"/>
    <s v="Design an experiment or activity to observe the stages of mitosis in onion root tips under a microscope."/>
    <s v="#N/A"/>
    <s v="#N/A"/>
    <s v="#N/A"/>
    <s v="#N/A"/>
    <s v="#N/A"/>
    <s v="#N/A"/>
    <s v="#N/A"/>
    <s v="#N/A"/>
    <s v="#N/A"/>
    <s v="#N/A"/>
    <s v="#N/A"/>
    <s v="#N/A"/>
    <s v="LU006233"/>
    <s v="Function of a typical eukaryotic nucleus"/>
    <s v="LU005911"/>
    <s v="Reproduction in organisms(types and significance)"/>
    <s v="LU005845"/>
    <s v="Parts of a cell (cell wall, cell membrane, nucleus, cytoplasm)"/>
    <m/>
    <m/>
    <m/>
    <m/>
    <m/>
    <m/>
    <m/>
    <m/>
  </r>
  <r>
    <s v="NCERT 2025"/>
    <s v="CBSE"/>
    <x v="0"/>
    <x v="1"/>
    <x v="5"/>
    <x v="34"/>
    <s v="LU006242"/>
    <s v="Definition of Tissues"/>
    <s v="LU006242.001"/>
    <s v="Define tissues in the context of biology."/>
    <s v="LU006242.002"/>
    <s v="Explain the characteristics and functions of different types of tissues."/>
    <s v="LU006242.003"/>
    <s v="Illustrate the structure of a simple tissue using diagrams."/>
    <s v="LU006242.004"/>
    <s v="Compare the different types of tissues based on their structure and function."/>
    <s v="LU006242.005"/>
    <s v="Evaluate the importance of tissues in the organization and function of multicellular organisms."/>
    <s v="LU006242.006"/>
    <s v="Design an experiment to observe different types of tissues under a microscope."/>
    <s v="#N/A"/>
    <s v="#N/A"/>
    <s v="#N/A"/>
    <s v="#N/A"/>
    <s v="#N/A"/>
    <s v="#N/A"/>
    <s v="#N/A"/>
    <s v="#N/A"/>
    <s v="#N/A"/>
    <s v="#N/A"/>
    <s v="#N/A"/>
    <s v="#N/A"/>
    <s v="LU005847"/>
    <s v="Levels of organization in an organism"/>
    <s v="LU005845"/>
    <s v="Parts of a cell (cell wall, cell membrane, nucleus, cytoplasm)"/>
    <s v="LU005844"/>
    <s v="Definition of a cell, variations in sizes, numbers, and shapes"/>
    <m/>
    <m/>
    <m/>
    <m/>
    <m/>
    <m/>
    <m/>
    <m/>
  </r>
  <r>
    <s v="NCERT 2025"/>
    <s v="CBSE"/>
    <x v="0"/>
    <x v="1"/>
    <x v="5"/>
    <x v="34"/>
    <s v="LU006243"/>
    <s v="Factors Contributing to Variability in Plant and Animal Tissues"/>
    <s v="LU006243.001"/>
    <s v="Identify the factors contributing to variability in plant and animal tissues."/>
    <s v="LU006243.002"/>
    <s v="Explain the differences in growth patterns between plant and animal tissues."/>
    <s v="LU006243.003"/>
    <s v="Illustrate the differences in tissue organization in plants and animals."/>
    <s v="LU006243.004"/>
    <s v="Compare the characteristics of supportive tissues in plants and animals."/>
    <s v="LU006243.005"/>
    <s v="Evaluate the significance of specialized tissue organization in animals compared to plants."/>
    <s v="LU006243.006"/>
    <s v="Design an observation activity to study the differences between plant and animal tissues using prepared slides."/>
    <s v="#N/A"/>
    <s v="#N/A"/>
    <s v="#N/A"/>
    <s v="#N/A"/>
    <s v="#N/A"/>
    <s v="#N/A"/>
    <s v="#N/A"/>
    <s v="#N/A"/>
    <s v="#N/A"/>
    <s v="#N/A"/>
    <s v="#N/A"/>
    <s v="#N/A"/>
    <s v="LU006242"/>
    <s v="Definition of Tissues"/>
    <s v="LU005844"/>
    <s v="Definition of a cell, variations in sizes, numbers, and shapes"/>
    <m/>
    <m/>
    <m/>
    <m/>
    <m/>
    <m/>
    <m/>
    <m/>
    <m/>
    <m/>
  </r>
  <r>
    <s v="NCERT 2025"/>
    <s v="CBSE"/>
    <x v="0"/>
    <x v="1"/>
    <x v="5"/>
    <x v="35"/>
    <s v="LU006244"/>
    <s v="Introduction to Meristematic Tissue"/>
    <s v="LU006244.001"/>
    <s v="Define meristematic tissue and its characteristics."/>
    <s v="LU006244.002"/>
    <s v="Explain the role of meristematic tissue in plant growth."/>
    <s v="LU006244.003"/>
    <s v="Illustrate the locations of apical, lateral, and intercalary meristematic tissues in plants."/>
    <s v="LU006244.004"/>
    <s v="Compare the growth patterns observed in roots placed in water for different periods."/>
    <s v="LU006244.005"/>
    <s v="Evaluate the significance of meristematic cells lacking vacuoles."/>
    <s v="LU006244.006"/>
    <s v="Design an experiment to observe the growth of roots in onion bulbs and measure the length of roots over several days."/>
    <s v="#N/A"/>
    <s v="#N/A"/>
    <s v="#N/A"/>
    <s v="#N/A"/>
    <s v="#N/A"/>
    <s v="#N/A"/>
    <s v="#N/A"/>
    <s v="#N/A"/>
    <s v="#N/A"/>
    <s v="#N/A"/>
    <s v="#N/A"/>
    <s v="#N/A"/>
    <s v="LU006241"/>
    <s v="Introduction to Cell Division(Mitosis and Meiosis)"/>
    <s v="LU006233"/>
    <s v="Function of a typical eukaryotic nucleus"/>
    <s v="LU005844"/>
    <s v="Definition of a cell, variations in sizes, numbers, and shapes"/>
    <m/>
    <m/>
    <m/>
    <m/>
    <m/>
    <m/>
    <m/>
    <m/>
  </r>
  <r>
    <s v="NCERT 2025"/>
    <s v="CBSE"/>
    <x v="0"/>
    <x v="1"/>
    <x v="5"/>
    <x v="35"/>
    <s v="LU006245"/>
    <s v="Introduction to Permanent Tissue"/>
    <s v="LU006245.001"/>
    <s v="Define permanent tissue and its characteristics."/>
    <s v="LU006245.002"/>
    <s v="Explain the difference between meristematic tissue and permanent tissue."/>
    <s v="LU006245.003"/>
    <s v="Illustrate the types of permanent tissues found in plants."/>
    <s v="LU006245.004"/>
    <s v="Compare the functions of different types of permanent tissues."/>
    <s v="LU006245.005"/>
    <s v="Evaluate the importance of permanent tissues in the overall structure and function of plants."/>
    <s v="LU006245.006"/>
    <s v="Design an observation activity to identify different types of permanent tissues in plant slides under a microscope."/>
    <s v="#N/A"/>
    <s v="#N/A"/>
    <s v="#N/A"/>
    <s v="#N/A"/>
    <s v="#N/A"/>
    <s v="#N/A"/>
    <s v="#N/A"/>
    <s v="#N/A"/>
    <s v="#N/A"/>
    <s v="#N/A"/>
    <s v="#N/A"/>
    <s v="#N/A"/>
    <s v="LU006244"/>
    <s v="Introduction to Meristematic Tissue"/>
    <s v="LU006241"/>
    <s v="Introduction to Cell Division(Mitosis and Meiosis)"/>
    <s v="LU006233"/>
    <s v="Function of a typical eukaryotic nucleus"/>
    <m/>
    <m/>
    <m/>
    <m/>
    <m/>
    <m/>
    <m/>
    <m/>
  </r>
  <r>
    <s v="NCERT 2025"/>
    <s v="CBSE"/>
    <x v="0"/>
    <x v="1"/>
    <x v="5"/>
    <x v="36"/>
    <s v="LU006246"/>
    <s v="Introduction to different types of simple permanent tissue"/>
    <s v="LU006246.001"/>
    <s v="Identify different types of simple permanent tissues."/>
    <s v="LU006246.002"/>
    <s v="Explain the functions of various types of simple permanent tissues."/>
    <s v="LU006246.003"/>
    <s v="Illustrate the structure of different simple permanent tissues using diagrams."/>
    <s v="LU006246.004"/>
    <s v="Compare the characteristics of various simple permanent tissues based on their structure and function."/>
    <s v="LU006246.005"/>
    <s v="Evaluate the importance of simple permanent tissues in the overall functioning of plants."/>
    <s v="LU006246.006"/>
    <s v="Design an experiment to observe and differentiate between types of simple permanent tissues using prepared slides and a microscope."/>
    <s v="#N/A"/>
    <s v="#N/A"/>
    <s v="#N/A"/>
    <s v="#N/A"/>
    <s v="#N/A"/>
    <s v="#N/A"/>
    <s v="#N/A"/>
    <s v="#N/A"/>
    <s v="#N/A"/>
    <s v="#N/A"/>
    <s v="#N/A"/>
    <s v="#N/A"/>
    <s v="LU006245"/>
    <s v="Introduction to Permanent Tissue"/>
    <s v="LU006244"/>
    <s v="Introduction to Meristematic Tissue"/>
    <s v="LU006242"/>
    <s v="Definition of Tissues"/>
    <m/>
    <m/>
    <m/>
    <m/>
    <m/>
    <m/>
    <m/>
    <m/>
  </r>
  <r>
    <s v="NCERT 2025"/>
    <s v="CBSE"/>
    <x v="0"/>
    <x v="1"/>
    <x v="5"/>
    <x v="37"/>
    <s v="LU006247"/>
    <s v="Introduction to different types of complex permanent tissue"/>
    <s v="LU006247.001"/>
    <s v="Identify the different types of complex permanent tissue in plants."/>
    <s v="LU006247.002"/>
    <s v="Explain the functions of each type of complex permanent tissue."/>
    <s v="LU006247.003"/>
    <s v="Illustrate the structure of xylem and phloem tissues."/>
    <s v="LU006247.004"/>
    <s v="Compare the roles of xylem and phloem in the transportation of water, nutrients, and food."/>
    <s v="LU006247.005"/>
    <s v="Evaluate the importance of complex permanent tissues in the overall functioning of a plant."/>
    <s v="LU006247.006"/>
    <s v="Design a simple experiment to demonstrate the transport of water through xylem tissue in a plant stem."/>
    <s v="#N/A"/>
    <s v="#N/A"/>
    <s v="#N/A"/>
    <s v="#N/A"/>
    <s v="#N/A"/>
    <s v="#N/A"/>
    <s v="#N/A"/>
    <s v="#N/A"/>
    <s v="#N/A"/>
    <s v="#N/A"/>
    <s v="#N/A"/>
    <s v="#N/A"/>
    <s v="LU006245"/>
    <s v="Introduction to Permanent Tissue"/>
    <s v="LU006246"/>
    <s v="Introduction to different types of simple permanent tissue"/>
    <s v="LU005408"/>
    <s v="Elements in the Photosynthesis(stomata, vessels, pigments)"/>
    <m/>
    <m/>
    <m/>
    <m/>
    <m/>
    <m/>
    <m/>
    <m/>
  </r>
  <r>
    <s v="NCERT 2025"/>
    <s v="CBSE"/>
    <x v="0"/>
    <x v="1"/>
    <x v="5"/>
    <x v="38"/>
    <s v="LU006248"/>
    <s v="Comparison of simple and complex permanent tissue"/>
    <s v="LU006248.001"/>
    <s v="Define simple and complex permanent tissues."/>
    <s v="LU006248.002"/>
    <s v="Explain the characteristics and functions of simple and complex permanent tissues."/>
    <s v="LU006248.003"/>
    <s v="Illustrate the differences between simple and complex permanent tissues using diagrams."/>
    <s v="LU006248.004"/>
    <s v="Compare the structure and function of simple and complex permanent tissues in plants."/>
    <s v="LU006248.005"/>
    <s v="Evaluate the role of simple and complex permanent tissues in the overall functioning of plants."/>
    <s v="LU006248.006"/>
    <s v="Design an experiment to observe and differentiate simple and complex permanent tissues in plant samples under a microscope."/>
    <s v="#N/A"/>
    <s v="#N/A"/>
    <s v="#N/A"/>
    <s v="#N/A"/>
    <s v="#N/A"/>
    <s v="#N/A"/>
    <s v="#N/A"/>
    <s v="#N/A"/>
    <s v="#N/A"/>
    <s v="#N/A"/>
    <s v="#N/A"/>
    <s v="#N/A"/>
    <s v="LU006246"/>
    <s v="Introduction to different types of simple permanent tissue"/>
    <s v="LU006247"/>
    <s v="Introduction to different types of complex permanent tissue"/>
    <s v="LU006244"/>
    <s v="Introduction to Meristematic Tissue"/>
    <m/>
    <m/>
    <m/>
    <m/>
    <m/>
    <m/>
    <m/>
    <m/>
  </r>
  <r>
    <s v="NCERT 2025"/>
    <s v="CBSE"/>
    <x v="0"/>
    <x v="1"/>
    <x v="5"/>
    <x v="39"/>
    <s v="LU006249"/>
    <s v="Introduction to epithelial tissues"/>
    <s v="LU006249.001"/>
    <s v="Define epithelial tissues."/>
    <s v="LU006249.002"/>
    <s v="Explain the characteristics and functions of epithelial tissues."/>
    <s v="LU006249.003"/>
    <s v="Illustrate the different types of epithelial tissues using diagrams."/>
    <s v="LU006249.004"/>
    <s v="Compare the functions of various types of epithelial tissues."/>
    <s v="LU006249.005"/>
    <s v="Evaluate the role of epithelial tissues in protecting and lining organs and structures in the body."/>
    <s v="LU006249.006"/>
    <s v="Design an experiment to observe different types of epithelial tissues under a microscope."/>
    <s v="#N/A"/>
    <s v="#N/A"/>
    <s v="#N/A"/>
    <s v="#N/A"/>
    <s v="#N/A"/>
    <s v="#N/A"/>
    <s v="#N/A"/>
    <s v="#N/A"/>
    <s v="#N/A"/>
    <s v="#N/A"/>
    <s v="#N/A"/>
    <s v="#N/A"/>
    <s v="LU006242"/>
    <s v="Definition of Tissues"/>
    <s v="LU005847"/>
    <s v="Levels of organization in an organism"/>
    <m/>
    <m/>
    <m/>
    <m/>
    <m/>
    <m/>
    <m/>
    <m/>
    <m/>
    <m/>
  </r>
  <r>
    <s v="NCERT 2025"/>
    <s v="CBSE"/>
    <x v="0"/>
    <x v="1"/>
    <x v="5"/>
    <x v="39"/>
    <s v="LU006250"/>
    <s v="Introduction to different types of epithelial tissues"/>
    <s v="LU006250.001"/>
    <s v="Enlist different types of epithelial tissues and their basic structure."/>
    <s v="LU006250.002"/>
    <s v="Explain the different types of epithelial tissues and their functions."/>
    <s v="LU006250.003"/>
    <s v="Illustrate the various types of epithelial tissues with labeled diagrams."/>
    <s v="LU006250.004"/>
    <s v="Compare the structural and functional differences between different types of epithelial tissues."/>
    <s v="LU006250.005"/>
    <s v="Evaluate the significance of epithelial tissues in protecting and supporting organs."/>
    <s v="LU006250.006"/>
    <s v="Design an observation activity to identify and differentiate between types of epithelial tissues under a microscope."/>
    <s v="#N/A"/>
    <s v="#N/A"/>
    <s v="#N/A"/>
    <s v="#N/A"/>
    <s v="#N/A"/>
    <s v="#N/A"/>
    <s v="#N/A"/>
    <s v="#N/A"/>
    <s v="#N/A"/>
    <s v="#N/A"/>
    <s v="#N/A"/>
    <s v="#N/A"/>
    <s v="LU006249"/>
    <s v="Introduction to epithelial tissues"/>
    <s v="LU006242"/>
    <s v="Definition of Tissues"/>
    <m/>
    <m/>
    <m/>
    <m/>
    <m/>
    <m/>
    <m/>
    <m/>
    <m/>
    <m/>
  </r>
  <r>
    <s v="NCERT 2025"/>
    <s v="CBSE"/>
    <x v="0"/>
    <x v="1"/>
    <x v="5"/>
    <x v="40"/>
    <s v="LU006251"/>
    <s v="Introduction to connective tissues"/>
    <s v="LU006251.001"/>
    <s v="Define connective tissues."/>
    <s v="LU006251.002"/>
    <s v="Explain the characteristics and functions of connective tissues."/>
    <s v="LU006251.003"/>
    <s v="Illustrate the structure of a specific type of connective tissue using diagrams."/>
    <s v="LU006251.004"/>
    <s v="Compare the functions of different types of connective tissues in the body."/>
    <s v="LU006251.005"/>
    <s v="Evaluate the importance of connective tissues in providing support and structure to organs and tissues."/>
    <s v="LU006251.006"/>
    <s v="Design an experiment or observation activity to identify different types of connective tissues under a microscope."/>
    <s v="#N/A"/>
    <s v="#N/A"/>
    <s v="#N/A"/>
    <s v="#N/A"/>
    <s v="#N/A"/>
    <s v="#N/A"/>
    <s v="#N/A"/>
    <s v="#N/A"/>
    <s v="#N/A"/>
    <s v="#N/A"/>
    <s v="#N/A"/>
    <s v="#N/A"/>
    <s v="LU006242"/>
    <s v="Definition of Tissues"/>
    <s v="LU005965"/>
    <s v="Human skeleton(bones and cartilage)"/>
    <m/>
    <m/>
    <m/>
    <m/>
    <m/>
    <m/>
    <m/>
    <m/>
    <m/>
    <m/>
  </r>
  <r>
    <s v="NCERT 2025"/>
    <s v="CBSE"/>
    <x v="0"/>
    <x v="1"/>
    <x v="5"/>
    <x v="40"/>
    <s v="LU006252"/>
    <s v="Introduction to different types of connective tissues"/>
    <s v="LU006252.001"/>
    <s v="Enlist different types of connective tissues and their basic structure."/>
    <s v="LU006252.002"/>
    <s v="Explain the different types of connective tissues and their specific functions."/>
    <s v="LU006252.003"/>
    <s v="Illustrate the structure of various connective tissues using diagrams."/>
    <s v="LU006252.004"/>
    <s v="Compare the characteristics of different types of connective tissues."/>
    <s v="LU006252.005"/>
    <s v="Evaluate the role of connective tissues in providing support and structure to the body."/>
    <s v="LU006252.006"/>
    <s v="Design an experiment to observe different types of connective tissues under a microscope."/>
    <s v="#N/A"/>
    <s v="#N/A"/>
    <s v="#N/A"/>
    <s v="#N/A"/>
    <s v="#N/A"/>
    <s v="#N/A"/>
    <s v="#N/A"/>
    <s v="#N/A"/>
    <s v="#N/A"/>
    <s v="#N/A"/>
    <s v="#N/A"/>
    <s v="#N/A"/>
    <s v="LU006251"/>
    <s v="Introduction to connective tissues"/>
    <s v="LU006242"/>
    <s v="Definition of Tissues"/>
    <m/>
    <m/>
    <m/>
    <m/>
    <m/>
    <m/>
    <m/>
    <m/>
    <m/>
    <m/>
  </r>
  <r>
    <s v="NCERT 2025"/>
    <s v="CBSE"/>
    <x v="0"/>
    <x v="1"/>
    <x v="5"/>
    <x v="41"/>
    <s v="LU006253"/>
    <s v="Introduction to muscular tissue and its types"/>
    <s v="LU006253.001"/>
    <s v="Define muscular tissue and its types."/>
    <s v="LU006253.002"/>
    <s v="Explain the characteristics and functions of different types of muscular tissue."/>
    <s v="LU006253.003"/>
    <s v="Illustrate the structure of each type of muscular tissue using diagrams."/>
    <s v="LU006253.004"/>
    <s v="Compare the three types of muscular tissue based on their structure and function."/>
    <s v="LU006253.005"/>
    <s v="Evaluate the importance of muscular tissue in the movement and functioning of the body."/>
    <s v="LU006253.006"/>
    <s v="Design an experiment or activity to observe the different types of muscular tissue using prepared slides."/>
    <s v="#N/A"/>
    <s v="#N/A"/>
    <s v="#N/A"/>
    <s v="#N/A"/>
    <s v="#N/A"/>
    <s v="#N/A"/>
    <s v="#N/A"/>
    <s v="#N/A"/>
    <s v="#N/A"/>
    <s v="#N/A"/>
    <s v="#N/A"/>
    <s v="#N/A"/>
    <s v="LU006242"/>
    <s v="Definition of Tissues"/>
    <s v="LU006101"/>
    <s v="Comparison of types of human muscles"/>
    <m/>
    <m/>
    <m/>
    <m/>
    <m/>
    <m/>
    <m/>
    <m/>
    <m/>
    <m/>
  </r>
  <r>
    <s v="NCERT 2025"/>
    <s v="CBSE"/>
    <x v="0"/>
    <x v="1"/>
    <x v="5"/>
    <x v="41"/>
    <s v="LU006254"/>
    <s v="Introduction to neuron as a single unit of nervous tissue"/>
    <s v="LU006254.001"/>
    <s v="Define a neuron and its role as a single unit of nervous tissue."/>
    <s v="LU006254.002"/>
    <s v="Explain the structure and function of a neuron."/>
    <s v="LU006254.003"/>
    <s v="Illustrate the different parts of a neuron using a labeled diagram."/>
    <s v="LU006254.004"/>
    <s v="Compare the functions of neurons with other types of cells."/>
    <s v="LU006254.005"/>
    <s v="Evaluate the importance of neurons in transmitting nerve impulses."/>
    <s v="LU006254.006"/>
    <s v="Design an activity to observe and identify neurons in a prepared slide under a microscope."/>
    <s v="#N/A"/>
    <s v="#N/A"/>
    <s v="#N/A"/>
    <s v="#N/A"/>
    <s v="#N/A"/>
    <s v="#N/A"/>
    <s v="#N/A"/>
    <s v="#N/A"/>
    <s v="#N/A"/>
    <s v="#N/A"/>
    <s v="#N/A"/>
    <s v="#N/A"/>
    <s v="LU006242"/>
    <s v="Definition of Tissues"/>
    <m/>
    <m/>
    <m/>
    <m/>
    <m/>
    <m/>
    <m/>
    <m/>
    <m/>
    <m/>
    <m/>
    <m/>
  </r>
  <r>
    <s v="NCERT 2025"/>
    <s v="CBSE"/>
    <x v="0"/>
    <x v="2"/>
    <x v="6"/>
    <x v="42"/>
    <s v="LU006316"/>
    <s v="Preception of State of Motion and Rest depending on Observer's Position"/>
    <s v="LU006316.001"/>
    <s v="Define motion and rest in the context of an observer’s position."/>
    <s v="LU006316.002"/>
    <s v="Explain how motion and rest are perceived differently by observers in different reference frames."/>
    <s v="LU006316.003"/>
    <s v="Illustrate examples of objects appearing to be in motion or at rest from different observer positions."/>
    <s v="LU006316.004"/>
    <s v="Differentiate between the observations of motion and rest from multiple reference frames."/>
    <s v="LU006316.005"/>
    <s v="Assess the impact of relative motion on the perception of rest and motion."/>
    <s v="LU006316.006"/>
    <s v="Design a scenario demonstrating the relativity of motion and rest for different observers."/>
    <s v="#N/A"/>
    <s v="#N/A"/>
    <s v="#N/A"/>
    <s v="#N/A"/>
    <s v="#N/A"/>
    <s v="#N/A"/>
    <s v="#N/A"/>
    <s v="#N/A"/>
    <s v="#N/A"/>
    <s v="#N/A"/>
    <s v="#N/A"/>
    <s v="#N/A"/>
    <s v="LU005177"/>
    <s v="Comparison of object in the State of rest vs State of Motion"/>
    <m/>
    <m/>
    <m/>
    <m/>
    <m/>
    <m/>
    <m/>
    <m/>
    <m/>
    <m/>
    <m/>
    <m/>
  </r>
  <r>
    <s v="NCERT 2025"/>
    <s v="CBSE"/>
    <x v="0"/>
    <x v="2"/>
    <x v="6"/>
    <x v="42"/>
    <s v="LU006317"/>
    <s v="Use of reference points (origin) to describe the position of an object"/>
    <s v="LU006317.001"/>
    <s v="Identify what a reference point (origin) is in describing an object's position."/>
    <s v="LU006317.002"/>
    <s v="Explain the importance of a reference point in determining an object’s position."/>
    <s v="LU006317.003"/>
    <s v="Use reference points to describe the position of various objects in different scenarios."/>
    <s v="LU006317.004"/>
    <s v="Compare the positions of objects using different reference points."/>
    <s v="LU006317.005"/>
    <s v="Justify the selection of a particular reference point in a given situation."/>
    <s v="LU006317.006"/>
    <s v="Develop a method to choose the most effective reference point for describing the position of objects in a classroom setting."/>
    <s v="#N/A"/>
    <s v="#N/A"/>
    <s v="#N/A"/>
    <s v="#N/A"/>
    <s v="#N/A"/>
    <s v="#N/A"/>
    <s v="#N/A"/>
    <s v="#N/A"/>
    <s v="#N/A"/>
    <s v="#N/A"/>
    <s v="#N/A"/>
    <s v="#N/A"/>
    <s v="LU005175"/>
    <s v="Measurement of length using ruler"/>
    <s v="LU005177"/>
    <s v="Comparison of object in the State of rest vs State of Motion"/>
    <m/>
    <m/>
    <m/>
    <m/>
    <m/>
    <m/>
    <m/>
    <m/>
    <m/>
    <m/>
  </r>
  <r>
    <s v="NCERT 2025"/>
    <s v="CBSE"/>
    <x v="0"/>
    <x v="2"/>
    <x v="6"/>
    <x v="43"/>
    <s v="LU006318"/>
    <s v="Distinction between Distance and Displacement"/>
    <s v="LU006318.001"/>
    <s v="Define distance and displacement."/>
    <s v="LU006318.002"/>
    <s v="Explain the differences between distance and displacement."/>
    <s v="LU006318.003"/>
    <s v="Calculate distance and displacement for given paths."/>
    <s v="LU006318.004"/>
    <s v="Compare scenarios where distance and displacement differ significantly."/>
    <s v="LU006318.005"/>
    <s v="Critique the use of distance and displacement in various real-life applications."/>
    <s v="LU006318.006"/>
    <s v="Create a real-world example to illustrate the difference between distance and displacement."/>
    <s v="#N/A"/>
    <s v="#N/A"/>
    <s v="#N/A"/>
    <s v="#N/A"/>
    <s v="#N/A"/>
    <s v="#N/A"/>
    <s v="#N/A"/>
    <s v="#N/A"/>
    <s v="#N/A"/>
    <s v="#N/A"/>
    <s v="#N/A"/>
    <s v="#N/A"/>
    <s v="LU005175"/>
    <s v="Measurement of length using ruler"/>
    <s v="LU005174"/>
    <s v="Units of length"/>
    <m/>
    <m/>
    <m/>
    <m/>
    <m/>
    <m/>
    <m/>
    <m/>
    <m/>
    <m/>
  </r>
  <r>
    <s v="NCERT 2025"/>
    <s v="CBSE"/>
    <x v="0"/>
    <x v="2"/>
    <x v="6"/>
    <x v="43"/>
    <s v="LU005386"/>
    <s v="Understanding Uniform and Non-Uniform Motion"/>
    <s v="LU005386.001"/>
    <s v="Define uniform and non-uniform motion."/>
    <s v="LU005386.002"/>
    <s v="Differentiate between uniform and non-uniform motion using examples."/>
    <s v="LU005386.003"/>
    <s v="Relate real-world scenarios to either uniform or non-uniform motion."/>
    <s v="LU005386.004"/>
    <s v="Analyze factors leading to non-uniform motion in practical contexts."/>
    <s v="LU005386.005"/>
    <s v="#N/A"/>
    <s v="LU005386.006"/>
    <s v="#N/A"/>
    <n v="2"/>
    <n v="7"/>
    <n v="2"/>
    <n v="11"/>
    <n v="2"/>
    <n v="3"/>
    <n v="1"/>
    <n v="6"/>
    <n v="1"/>
    <n v="1"/>
    <m/>
    <n v="2"/>
    <s v=""/>
    <m/>
    <m/>
    <m/>
    <m/>
    <m/>
    <m/>
    <m/>
    <m/>
    <m/>
    <m/>
    <m/>
    <m/>
    <m/>
  </r>
  <r>
    <s v="NCERT 2025"/>
    <s v="CBSE"/>
    <x v="0"/>
    <x v="2"/>
    <x v="6"/>
    <x v="44"/>
    <s v="LU005375"/>
    <s v="Definition of Speed"/>
    <s v="LU005375.001"/>
    <s v="Define speed and average speed."/>
    <s v="LU005375.002"/>
    <s v="Explain what speed indicates in terms of motion."/>
    <s v="LU005375.003"/>
    <s v="Identify examples in daily life where speed plays a role."/>
    <s v="LU005375.004"/>
    <s v="#N/A"/>
    <s v="LU005375.005"/>
    <s v="Compare the importance of understanding speed in different scenarios."/>
    <s v="LU005375.006"/>
    <s v="Formulate a scenario to demonstrate speed in action."/>
    <n v="6"/>
    <n v="6"/>
    <n v="2"/>
    <n v="14"/>
    <n v="4"/>
    <n v="5"/>
    <n v="1"/>
    <n v="10"/>
    <m/>
    <m/>
    <m/>
    <m/>
    <s v=""/>
    <m/>
    <m/>
    <m/>
    <m/>
    <m/>
    <m/>
    <m/>
    <m/>
    <m/>
    <m/>
    <m/>
    <m/>
    <m/>
  </r>
  <r>
    <s v="NCERT 2025"/>
    <s v="CBSE"/>
    <x v="0"/>
    <x v="2"/>
    <x v="6"/>
    <x v="44"/>
    <s v="LU006319"/>
    <s v="Definition of Velocity and Average Velocity "/>
    <s v="LU006319.001"/>
    <s v="Define velocity and average velocity."/>
    <s v="LU006319.002"/>
    <s v="Explain the concept of average velocity with examples."/>
    <s v="LU006319.003"/>
    <s v="Calculate average velocity from given data."/>
    <s v="LU006319.004"/>
    <s v="Distinguish between instantaneous velocity and average velocity in different contexts."/>
    <s v="LU006319.005"/>
    <s v="Evaluate the significance of average velocity in various transportation systems."/>
    <s v="LU006319.006"/>
    <s v="Design an experiment to measure the average velocity of a moving object."/>
    <s v="#N/A"/>
    <s v="#N/A"/>
    <s v="#N/A"/>
    <s v="#N/A"/>
    <s v="#N/A"/>
    <s v="#N/A"/>
    <s v="#N/A"/>
    <s v="#N/A"/>
    <s v="#N/A"/>
    <s v="#N/A"/>
    <s v="#N/A"/>
    <s v="#N/A"/>
    <s v="LU005375"/>
    <s v="Definition of Speed"/>
    <s v="LU005376"/>
    <s v="Units of Speed"/>
    <s v="LU005177"/>
    <s v="Comparison of object in the State of rest vs State of Motion"/>
    <m/>
    <m/>
    <m/>
    <m/>
    <m/>
    <m/>
    <m/>
    <m/>
  </r>
  <r>
    <s v="NCERT 2025"/>
    <s v="CBSE"/>
    <x v="0"/>
    <x v="2"/>
    <x v="6"/>
    <x v="44"/>
    <s v="LU006320"/>
    <s v="Distinction between Speed and Velocity "/>
    <s v="LU006320.001"/>
    <s v="Define speed and velocity."/>
    <s v="LU006320.002"/>
    <s v="Explain the key differences between speed and velocity."/>
    <s v="LU006320.003"/>
    <s v="Solve problems involving both speed and velocity."/>
    <s v="LU006320.004"/>
    <s v="Compare the use of speed and velocity in different physical contexts."/>
    <s v="LU006320.005"/>
    <s v="Assess the impact of velocity on the direction of motion compared to speed."/>
    <s v="LU006320.006"/>
    <s v="Create a presentation to illustrate the differences between speed and velocity using real-life examples."/>
    <s v="#N/A"/>
    <s v="#N/A"/>
    <s v="#N/A"/>
    <s v="#N/A"/>
    <s v="#N/A"/>
    <s v="#N/A"/>
    <s v="#N/A"/>
    <s v="#N/A"/>
    <s v="#N/A"/>
    <s v="#N/A"/>
    <s v="#N/A"/>
    <s v="#N/A"/>
    <s v="LU006319"/>
    <s v="Definition of Velocity and Average Velocity "/>
    <s v="LU005375"/>
    <s v="Definition of Speed"/>
    <s v="LU005376"/>
    <s v="Units of Speed"/>
    <m/>
    <m/>
    <m/>
    <m/>
    <m/>
    <m/>
    <m/>
    <m/>
  </r>
  <r>
    <s v="NCERT 2025"/>
    <s v="CBSE"/>
    <x v="0"/>
    <x v="2"/>
    <x v="6"/>
    <x v="45"/>
    <s v="LU006321"/>
    <s v="Definition and Units of Acceleration (Uniform and Non-Uniform Acceleration)"/>
    <s v="LU006321.001"/>
    <s v="Define acceleration and its units."/>
    <s v="LU006321.002"/>
    <s v="Describe the concepts of uniform and non-uniform acceleration with examples."/>
    <s v="LU006321.003"/>
    <s v="Calculate acceleration for various motions using given data."/>
    <s v="LU006321.004"/>
    <s v="Differentiate between uniform and non-uniform acceleration in given scenarios."/>
    <s v="LU006321.005"/>
    <s v="Assess the effects of acceleration on vehicle performance."/>
    <s v="LU006321.006"/>
    <s v="Develop a graphical representation of uniform and non-uniform acceleration for a chosen motion."/>
    <s v="#N/A"/>
    <s v="#N/A"/>
    <s v="#N/A"/>
    <s v="#N/A"/>
    <s v="#N/A"/>
    <s v="#N/A"/>
    <s v="#N/A"/>
    <s v="#N/A"/>
    <s v="#N/A"/>
    <s v="#N/A"/>
    <s v="#N/A"/>
    <s v="#N/A"/>
    <s v="LU006319"/>
    <s v="Definition of Velocity and Average Velocity "/>
    <s v="LU006318"/>
    <s v="Distinction between Distance and Displacement"/>
    <m/>
    <m/>
    <m/>
    <m/>
    <m/>
    <m/>
    <m/>
    <m/>
    <m/>
    <m/>
  </r>
  <r>
    <s v="NCERT 2025"/>
    <s v="CBSE"/>
    <x v="0"/>
    <x v="2"/>
    <x v="6"/>
    <x v="46"/>
    <s v="LU006087"/>
    <s v="Interpretation of the Type of Motion from the relationship shown in Distance Time graph"/>
    <s v="LU006087.001"/>
    <s v="Identify the axes on a distance-time graph and what they represent."/>
    <s v="LU006087.002"/>
    <s v="Explain how a slope on a distance-time graph relates to the speed of the object."/>
    <s v="LU006087.003"/>
    <s v="Interpret different types of motion, such as constant speed, acceleration, and rest, from various slopes on distance-time graphs."/>
    <s v="LU006087.004"/>
    <s v="Compare distance-time graphs of different motions to understand their characteristics."/>
    <s v="LU006087.005"/>
    <s v="#N/A"/>
    <s v="LU006087.006"/>
    <s v="#N/A"/>
    <n v="4"/>
    <n v="6"/>
    <n v="2"/>
    <n v="12"/>
    <n v="4"/>
    <n v="3"/>
    <n v="1"/>
    <n v="8"/>
    <m/>
    <m/>
    <m/>
    <m/>
    <s v="LU000780"/>
    <s v="Interpretation of linear graph"/>
    <m/>
    <m/>
    <m/>
    <m/>
    <m/>
    <m/>
    <m/>
    <m/>
    <m/>
    <m/>
    <m/>
    <m/>
  </r>
  <r>
    <s v="NCERT 2025"/>
    <s v="CBSE"/>
    <x v="0"/>
    <x v="2"/>
    <x v="6"/>
    <x v="46"/>
    <s v="LU006322"/>
    <s v="Velocity-time graphs and their interpretation"/>
    <s v="LU006322.001"/>
    <s v="Identify the components of a velocity-time graph."/>
    <s v="LU006322.002"/>
    <s v="Explain how to interpret a velocity-time graph."/>
    <s v="LU006322.003"/>
    <s v="Calculate the displacement of an object using a velocity-time graph."/>
    <s v="LU006322.004"/>
    <s v="Compare velocity-time graphs of uniform and non-uniform acceleration."/>
    <s v="LU006322.005"/>
    <s v="Assess the usefulness of velocity-time graphs in understanding motion."/>
    <s v="LU006322.006"/>
    <s v="Construct a velocity-time graph from provided velocity data."/>
    <s v="#N/A"/>
    <s v="#N/A"/>
    <s v="#N/A"/>
    <s v="#N/A"/>
    <s v="#N/A"/>
    <s v="#N/A"/>
    <s v="#N/A"/>
    <s v="#N/A"/>
    <s v="#N/A"/>
    <s v="#N/A"/>
    <s v="#N/A"/>
    <s v="#N/A"/>
    <s v="LU006319"/>
    <s v="Definition of Velocity and Average Velocity "/>
    <s v="LU006087"/>
    <s v="Interpretation of the Type of Motion from the relationship shown in Distance Time graph"/>
    <s v="LU000780"/>
    <s v="Interpretation of linear graph"/>
    <m/>
    <m/>
    <m/>
    <m/>
    <m/>
    <m/>
    <m/>
    <m/>
  </r>
  <r>
    <s v="NCERT 2025"/>
    <s v="CBSE"/>
    <x v="0"/>
    <x v="2"/>
    <x v="6"/>
    <x v="47"/>
    <s v="LU006408"/>
    <s v="First Equation of Motion "/>
    <s v="LU006408.001"/>
    <s v="State the first equation of motion."/>
    <s v="LU006408.002"/>
    <s v="Explain the significance and use of the first equation of motion."/>
    <s v="LU006408.003"/>
    <s v="Solve problems using the first equation of motion."/>
    <s v="LU006408.004"/>
    <s v="Analyze motion scenarios using the first equation of motion."/>
    <s v="LU006408.005"/>
    <s v="Evaluate the significance of the first equation of motion in different contexts."/>
    <s v="LU006408.006"/>
    <s v="Derive the first equation of motion using a graphical method."/>
    <s v="#N/A"/>
    <s v="#N/A"/>
    <s v="#N/A"/>
    <s v="#N/A"/>
    <s v="#N/A"/>
    <s v="#N/A"/>
    <s v="#N/A"/>
    <s v="#N/A"/>
    <s v="#N/A"/>
    <s v="#N/A"/>
    <s v="#N/A"/>
    <s v="#N/A"/>
    <s v="LU006319"/>
    <s v="Definition of Velocity and Average Velocity "/>
    <s v="LU006321"/>
    <s v="Definition and Units of Acceleration (Uniform and Non-Uniform Acceleration)"/>
    <m/>
    <m/>
    <m/>
    <m/>
    <m/>
    <m/>
    <m/>
    <m/>
    <m/>
    <m/>
  </r>
  <r>
    <s v="NCERT 2025"/>
    <s v="CBSE"/>
    <x v="0"/>
    <x v="2"/>
    <x v="6"/>
    <x v="47"/>
    <s v="LU006323"/>
    <s v="Second Equation of Motion"/>
    <s v="LU006323.001"/>
    <s v="State the second equation of motion."/>
    <s v="LU006323.002"/>
    <s v="Explain the significance and use of the second equation of motion."/>
    <s v="LU006323.003"/>
    <s v="Solve problems using the second equation of motion."/>
    <s v="LU006323.004"/>
    <s v="Analyze motion scenarios using the second equation of motion."/>
    <s v="LU006323.005"/>
    <s v="Evaluate the significance of the second equation of motion in different contexts."/>
    <s v="LU006323.006"/>
    <s v="Derive the second equation of motion using a graphical method."/>
    <s v="#N/A"/>
    <s v="#N/A"/>
    <s v="#N/A"/>
    <s v="#N/A"/>
    <s v="#N/A"/>
    <s v="#N/A"/>
    <s v="#N/A"/>
    <s v="#N/A"/>
    <s v="#N/A"/>
    <s v="#N/A"/>
    <s v="#N/A"/>
    <s v="#N/A"/>
    <s v="LU006408"/>
    <s v="First Equation of Motion "/>
    <s v="LU006318"/>
    <s v="Distinction between Distance and Displacement"/>
    <s v="LU006319"/>
    <s v="Definition of Velocity and Average Velocity "/>
    <m/>
    <m/>
    <m/>
    <m/>
    <m/>
    <m/>
    <m/>
    <m/>
  </r>
  <r>
    <s v="NCERT 2025"/>
    <s v="CBSE"/>
    <x v="0"/>
    <x v="2"/>
    <x v="6"/>
    <x v="47"/>
    <s v="LU006324"/>
    <s v="Third Equation of Motion "/>
    <s v="LU006324.001"/>
    <s v="State the third equation of motion."/>
    <s v="LU006324.002"/>
    <s v="Explain the derivation of the third equation of motion."/>
    <s v="LU006324.003"/>
    <s v="Solve problems using the third equation of motion."/>
    <s v="LU006324.004"/>
    <s v="Analyze motion scenarios using the third equation of motion."/>
    <s v="LU006324.005"/>
    <s v="Evaluate the importance of the third equation of motion in various applications."/>
    <s v="LU006324.006"/>
    <s v="Derive the third equation of motion using a graphical method."/>
    <s v="#N/A"/>
    <s v="#N/A"/>
    <s v="#N/A"/>
    <s v="#N/A"/>
    <s v="#N/A"/>
    <s v="#N/A"/>
    <s v="#N/A"/>
    <s v="#N/A"/>
    <s v="#N/A"/>
    <s v="#N/A"/>
    <s v="#N/A"/>
    <s v="#N/A"/>
    <s v="LU006408"/>
    <s v="First Equation of Motion "/>
    <s v="LU006323"/>
    <s v="Second Equation of Motion"/>
    <s v="LU006318"/>
    <s v="Distinction between Distance and Displacement"/>
    <m/>
    <m/>
    <m/>
    <m/>
    <m/>
    <m/>
    <m/>
    <m/>
  </r>
  <r>
    <s v="NCERT 2025"/>
    <s v="CBSE"/>
    <x v="0"/>
    <x v="2"/>
    <x v="6"/>
    <x v="48"/>
    <s v="LU006325"/>
    <s v="Phenonema involving all equations of motion"/>
    <s v="LU006325.001"/>
    <s v="List the three equations of motion."/>
    <s v="LU006325.002"/>
    <s v="Describe how the three equations of motion are used in different phenomena."/>
    <s v="LU006325.003"/>
    <s v="Solve problems involving all three equations of motion."/>
    <s v="LU006325.004"/>
    <s v="Analyze motion scenarios using all three equations of motion."/>
    <s v="LU006325.005"/>
    <s v="Assess the effectiveness of using all three equations in solving motion problems."/>
    <s v="LU006325.006"/>
    <s v="Create a comprehensive example that involves using all three equations of motion."/>
    <s v="#N/A"/>
    <s v="#N/A"/>
    <s v="#N/A"/>
    <s v="#N/A"/>
    <s v="#N/A"/>
    <s v="#N/A"/>
    <s v="#N/A"/>
    <s v="#N/A"/>
    <s v="#N/A"/>
    <s v="#N/A"/>
    <s v="#N/A"/>
    <s v="#N/A"/>
    <s v="LU006408"/>
    <s v="First Equation of Motion "/>
    <s v="LU006323"/>
    <s v="Second Equation of Motion"/>
    <s v="LU006324"/>
    <s v="Third Equation of Motion "/>
    <m/>
    <m/>
    <m/>
    <m/>
    <m/>
    <m/>
    <m/>
    <m/>
  </r>
  <r>
    <s v="NCERT 2025"/>
    <s v="CBSE"/>
    <x v="0"/>
    <x v="2"/>
    <x v="6"/>
    <x v="49"/>
    <s v="LU006327"/>
    <s v="Uniform Circular Motion as an example of Accelerated Motion"/>
    <s v="LU006327.001"/>
    <s v="Define uniform circular motion."/>
    <s v="LU006327.002"/>
    <s v="Explain why uniform circular motion is an example of accelerated motion."/>
    <s v="LU006327.003"/>
    <s v="Calculate the acceleration of an object moving in uniform circular motion."/>
    <s v="LU006327.004"/>
    <s v="Analyze the forces acting on an object in uniform circular motion."/>
    <s v="LU006327.005"/>
    <s v="Evaluate the impact of centripetal force on the motion of an object in uniform circular motion."/>
    <s v="LU006327.006"/>
    <s v="Create an experiment to demonstrate the concept of uniform circular motion."/>
    <s v="#N/A"/>
    <s v="#N/A"/>
    <s v="#N/A"/>
    <s v="#N/A"/>
    <s v="#N/A"/>
    <s v="#N/A"/>
    <s v="#N/A"/>
    <s v="#N/A"/>
    <s v="#N/A"/>
    <s v="#N/A"/>
    <s v="#N/A"/>
    <s v="#N/A"/>
    <s v="LU005187"/>
    <s v="Understanding the Basics of Circular Motion"/>
    <s v="LU006321"/>
    <s v="Definition and Units of Acceleration (Uniform and Non-Uniform Acceleration)"/>
    <s v="LU006319"/>
    <s v="Definition of Velocity and Average Velocity "/>
    <m/>
    <m/>
    <m/>
    <m/>
    <m/>
    <m/>
    <m/>
    <m/>
  </r>
  <r>
    <s v="NCERT 2025"/>
    <s v="CBSE"/>
    <x v="0"/>
    <x v="2"/>
    <x v="7"/>
    <x v="50"/>
    <s v="LU005179"/>
    <s v="Force - a push or pull"/>
    <s v="LU005179.001"/>
    <s v="Define the concept of force as a push or pull."/>
    <s v="LU005179.002"/>
    <s v="Explain how force is a push or pull that can change the state of motion of an object."/>
    <s v="LU005179.003"/>
    <s v="Apply the concept of force to describe the motion of objects in different scenarios."/>
    <s v="LU005179.004"/>
    <s v="Analyze situations to identify whether a force is a push or a pull and its impact on the motion of an object."/>
    <s v="LU005179.005"/>
    <s v="#N/A"/>
    <s v="LU005179.006"/>
    <s v="Construct a simple experiment that demonstrates the effect of push and pull forces on the motion of an object"/>
    <n v="4"/>
    <n v="6"/>
    <n v="2"/>
    <n v="12"/>
    <n v="4"/>
    <n v="4"/>
    <n v="1"/>
    <n v="9"/>
    <m/>
    <m/>
    <m/>
    <m/>
    <s v=""/>
    <m/>
    <m/>
    <m/>
    <m/>
    <m/>
    <m/>
    <m/>
    <m/>
    <m/>
    <m/>
    <m/>
    <m/>
    <m/>
  </r>
  <r>
    <s v="NCERT 2025"/>
    <s v="CBSE"/>
    <x v="0"/>
    <x v="2"/>
    <x v="7"/>
    <x v="50"/>
    <s v="LU005540"/>
    <s v="Effects of force on the shape, motion and direction of motion of objects"/>
    <s v="LU005540.001"/>
    <s v="Recall the types of changes caused by forces."/>
    <s v="LU005540.002"/>
    <s v="Explain in your own words the effects of force, connecting them to real-life examples."/>
    <s v="LU005540.003"/>
    <s v="Demonstrate the effects of force by conducting simple experiments to show changes in shape, motion, and direction of motion."/>
    <s v="LU005540.004"/>
    <s v="#N/A"/>
    <s v="LU005540.005"/>
    <s v="#N/A"/>
    <s v="LU005540.006"/>
    <s v="Design an experiment to demonstrate and showcase the effects of force on different objects, effectively explaining the observed changes."/>
    <n v="4"/>
    <n v="6"/>
    <n v="2"/>
    <n v="12"/>
    <n v="4"/>
    <n v="3"/>
    <n v="1"/>
    <n v="8"/>
    <m/>
    <m/>
    <m/>
    <m/>
    <s v=""/>
    <m/>
    <m/>
    <m/>
    <m/>
    <m/>
    <m/>
    <m/>
    <m/>
    <m/>
    <m/>
    <m/>
    <m/>
    <m/>
  </r>
  <r>
    <s v="NCERT 2025"/>
    <s v="CBSE"/>
    <x v="0"/>
    <x v="2"/>
    <x v="7"/>
    <x v="50"/>
    <s v="LU006329"/>
    <s v="Effect of Balanced and Unbalanced Force on motion of an object "/>
    <s v="LU006329.001"/>
    <s v="Define balanced and unbalanced forces and describe their effects on the motion of an object."/>
    <s v="LU006329.002"/>
    <s v="Explain how unbalanced forces affect the motion of an object using real-life examples."/>
    <s v="LU006329.003"/>
    <s v="Demonstrate the effect of balanced and unbalanced forces on a wooden block in a classroom experiment."/>
    <s v="LU006329.004"/>
    <s v="Differentiate between balanced and unbalanced forces and analyze their impact on the motion of various objects."/>
    <s v="LU006329.005"/>
    <s v="Assess the role of friction as a force that balances or unbalances the motion of objects."/>
    <s v="LU006329.006"/>
    <s v="Design an experiment to investigate the effects of balanced and unbalanced forces on different surfaces and materials."/>
    <s v="#N/A"/>
    <s v="#N/A"/>
    <s v="#N/A"/>
    <s v="#N/A"/>
    <s v="#N/A"/>
    <s v="#N/A"/>
    <s v="#N/A"/>
    <s v="#N/A"/>
    <s v="#N/A"/>
    <s v="#N/A"/>
    <s v="#N/A"/>
    <s v="#N/A"/>
    <s v="LU005541"/>
    <s v="Definition of balanced and unbalanced force"/>
    <s v="LU005548"/>
    <s v="Magnitude and direction of force"/>
    <m/>
    <m/>
    <m/>
    <m/>
    <m/>
    <m/>
    <m/>
    <m/>
    <m/>
    <m/>
  </r>
  <r>
    <s v="NCERT 2025"/>
    <s v="CBSE"/>
    <x v="0"/>
    <x v="2"/>
    <x v="7"/>
    <x v="51"/>
    <s v="LU006330"/>
    <s v="Galileo's Experiments on the Inclined Plane"/>
    <s v="LU006330.001"/>
    <s v="Recall Galileo's experiments with inclined planes and their significance in understanding motion."/>
    <s v="LU006330.002"/>
    <s v="Summarize the conclusions drawn by Galileo from his inclined plane experiments."/>
    <s v="LU006330.003"/>
    <s v="Illustrate Galileo's inclined plane experiment using a marble and an inclined plane setup."/>
    <s v="LU006330.004"/>
    <s v="Compare Galileo’s findings with the traditional views on motion before his experiments."/>
    <s v="LU006330.005"/>
    <s v="Critique the impact of Galileo's inclined plane experiments on the development of classical mechanics."/>
    <s v="LU006330.006"/>
    <s v="Construct a model to replicate Galileo’s inclined plane experiment and predict the outcomes under different conditions."/>
    <s v="#N/A"/>
    <s v="#N/A"/>
    <s v="#N/A"/>
    <s v="#N/A"/>
    <s v="#N/A"/>
    <s v="#N/A"/>
    <s v="#N/A"/>
    <s v="#N/A"/>
    <s v="#N/A"/>
    <s v="#N/A"/>
    <s v="#N/A"/>
    <s v="#N/A"/>
    <s v="LU006329"/>
    <s v="Effect of Balanced and Unbalanced Force on motion of an object "/>
    <s v="LU006319"/>
    <s v="Definition of Velocity and Average Velocity "/>
    <s v="LU006321"/>
    <s v="Definition and Units of Acceleration (Uniform and Non-Uniform Acceleration)"/>
    <m/>
    <m/>
    <m/>
    <m/>
    <m/>
    <m/>
    <m/>
    <m/>
  </r>
  <r>
    <s v="NCERT 2025"/>
    <s v="CBSE"/>
    <x v="0"/>
    <x v="2"/>
    <x v="7"/>
    <x v="51"/>
    <s v="LU006331"/>
    <s v="Newton's First Law of Motion and its application in everyday life "/>
    <s v="LU006331.001"/>
    <s v="State Newton's First Law of Motion."/>
    <s v="LU006331.002"/>
    <s v="Explain Newton's First Law of Motion with examples from everyday life."/>
    <s v="LU006331.003"/>
    <s v="Illustrate the application of Newton's First Law in scenarios like a car coming to a sudden stop."/>
    <s v="LU006331.004"/>
    <s v="Analyze the relationship between inertia and Newton's First Law."/>
    <s v="LU006331.005"/>
    <s v="Evaluate the importance of seat belts in vehicles using Newton's First Law of Motion."/>
    <s v="LU006331.006"/>
    <s v="Create a presentation that shows various applications of Newton's First Law in sports, transportation, and other fields."/>
    <s v="#N/A"/>
    <s v="#N/A"/>
    <s v="#N/A"/>
    <s v="#N/A"/>
    <s v="#N/A"/>
    <s v="#N/A"/>
    <s v="#N/A"/>
    <s v="#N/A"/>
    <s v="#N/A"/>
    <s v="#N/A"/>
    <s v="#N/A"/>
    <s v="#N/A"/>
    <s v="LU006330"/>
    <s v="Galileo's Experiments on the Inclined Plane"/>
    <s v="LU006319"/>
    <s v="Definition of Velocity and Average Velocity "/>
    <s v="LU005177"/>
    <s v="Comparison of object in the State of rest vs State of Motion"/>
    <m/>
    <m/>
    <m/>
    <m/>
    <m/>
    <m/>
    <m/>
    <m/>
  </r>
  <r>
    <s v="NCERT 2025"/>
    <s v="CBSE"/>
    <x v="0"/>
    <x v="2"/>
    <x v="7"/>
    <x v="51"/>
    <s v="LU006332"/>
    <s v="Relation between Mass and Inertia."/>
    <s v="LU006332.001"/>
    <s v="Define inertia and mass."/>
    <s v="LU006332.002"/>
    <s v="Describe how mass is a measure of inertia with appropriate examples."/>
    <s v="LU006332.003"/>
    <s v="Use the concept of inertia to explain why it is harder to push a car than a bicycle."/>
    <s v="LU006332.004"/>
    <s v="Compare the inertia of different objects based on their masses and explain the differences."/>
    <s v="LU006332.005"/>
    <s v="Assess the implications of mass and inertia in safety measures for vehicles."/>
    <s v="LU006332.006"/>
    <s v="Develop a set of experiments to demonstrate the relationship between mass and inertia using various objects."/>
    <s v="#N/A"/>
    <s v="#N/A"/>
    <s v="#N/A"/>
    <s v="#N/A"/>
    <s v="#N/A"/>
    <s v="#N/A"/>
    <s v="#N/A"/>
    <s v="#N/A"/>
    <s v="#N/A"/>
    <s v="#N/A"/>
    <s v="#N/A"/>
    <s v="#N/A"/>
    <s v="LU005177"/>
    <s v="Comparison of object in the State of rest vs State of Motion"/>
    <s v="LU006419"/>
    <s v="Properties of material- Mass"/>
    <s v="LU005540"/>
    <s v="Effects of force on the shape, motion and direction of motion of objects"/>
    <m/>
    <m/>
    <m/>
    <m/>
    <m/>
    <m/>
    <m/>
    <m/>
  </r>
  <r>
    <s v="NCERT 2025"/>
    <s v="CBSE"/>
    <x v="0"/>
    <x v="2"/>
    <x v="7"/>
    <x v="52"/>
    <s v="LU006333"/>
    <s v="Definition and Importance of Momentum "/>
    <s v="LU006333.001"/>
    <s v="Define momentum and state its formula."/>
    <s v="LU006333.002"/>
    <s v="Explain why momentum is a vector quantity and discuss its significance."/>
    <s v="LU006333.003"/>
    <s v="Calculate the momentum of different objects given their mass and velocity."/>
    <s v="LU006333.004"/>
    <s v="Analyze the role of momentum in collision scenarios."/>
    <s v="LU006333.005"/>
    <s v="Evaluate the importance of momentum in sports like cricket and soccer."/>
    <s v="LU006333.006"/>
    <s v="Design a poster that illustrates the concept of momentum and its importance in real-life situations."/>
    <s v="#N/A"/>
    <s v="#N/A"/>
    <s v="#N/A"/>
    <s v="#N/A"/>
    <s v="#N/A"/>
    <s v="#N/A"/>
    <s v="#N/A"/>
    <s v="#N/A"/>
    <s v="#N/A"/>
    <s v="#N/A"/>
    <s v="#N/A"/>
    <s v="#N/A"/>
    <s v="LU006319"/>
    <s v="Definition of Velocity and Average Velocity "/>
    <s v="LU006419"/>
    <s v="Properties of material- Mass"/>
    <s v="LU005540"/>
    <s v="Effects of force on the shape, motion and direction of motion of objects"/>
    <m/>
    <m/>
    <m/>
    <m/>
    <m/>
    <m/>
    <m/>
    <m/>
  </r>
  <r>
    <s v="NCERT 2025"/>
    <s v="CBSE"/>
    <x v="0"/>
    <x v="2"/>
    <x v="7"/>
    <x v="52"/>
    <s v="LU006334"/>
    <s v="Newton's Second Law of Motion and its application in everyday life "/>
    <s v="LU006334.001"/>
    <s v="State Newton's Second Law of Motion."/>
    <s v="LU006334.002"/>
    <s v="Describe the relationship between force, mass, and acceleration."/>
    <s v="LU006334.003"/>
    <s v="Solve problems involving the calculation of force, mass, and acceleration using Newton's Second Law."/>
    <s v="LU006334.004"/>
    <s v="Analyze how varying forces affect the acceleration of an object with a constant mass."/>
    <s v="LU006334.005"/>
    <s v="Evaluate the practical applications of Newton's Second Law in designing safety equipment like airbags."/>
    <s v="LU006334.006"/>
    <s v="Create a real-world scenario where Newton's Second Law is applied and explain the results."/>
    <s v="#N/A"/>
    <s v="#N/A"/>
    <s v="#N/A"/>
    <s v="#N/A"/>
    <s v="#N/A"/>
    <s v="#N/A"/>
    <s v="#N/A"/>
    <s v="#N/A"/>
    <s v="#N/A"/>
    <s v="#N/A"/>
    <s v="#N/A"/>
    <s v="#N/A"/>
    <s v="LU006333"/>
    <s v="Definition and Importance of Momentum "/>
    <s v="LU005548"/>
    <s v="Magnitude and direction of force"/>
    <s v="LU006321"/>
    <s v="Definition and Units of Acceleration (Uniform and Non-Uniform Acceleration)"/>
    <s v="LU005179"/>
    <s v="Force - a push or pull"/>
    <m/>
    <m/>
    <m/>
    <m/>
    <m/>
    <m/>
  </r>
  <r>
    <s v="NCERT 2025"/>
    <s v="CBSE"/>
    <x v="0"/>
    <x v="2"/>
    <x v="7"/>
    <x v="53"/>
    <s v="LU006335"/>
    <s v="Newton's Third Law of Motion and its application in everyday life "/>
    <s v="LU006335.001"/>
    <s v="State Newton's Third Law of Motion."/>
    <s v="LU006335.002"/>
    <s v="Explain Newton's Third Law with examples such as rowing a boat or jumping off a boat."/>
    <s v="LU006335.003"/>
    <s v="Demonstrate Newton's Third Law using a pair of spring balances."/>
    <s v="LU006335.004"/>
    <s v="Analyze the forces involved in the recoil of a gun and the forward motion of the bullet."/>
    <s v="LU006335.005"/>
    <s v="Evaluate the effectiveness of action-reaction pairs in various mechanical systems."/>
    <s v="LU006335.006"/>
    <s v="Design a simple machine that utilizes Newton's Third Law for its operation and explain how it works"/>
    <s v="#N/A"/>
    <s v="#N/A"/>
    <s v="#N/A"/>
    <s v="#N/A"/>
    <s v="#N/A"/>
    <s v="#N/A"/>
    <s v="#N/A"/>
    <s v="#N/A"/>
    <s v="#N/A"/>
    <s v="#N/A"/>
    <s v="#N/A"/>
    <s v="#N/A"/>
    <s v="LU005548"/>
    <s v="Magnitude and direction of force"/>
    <s v="LU005537"/>
    <s v="Force due to the interaction between two objects"/>
    <s v="LU005179"/>
    <s v="Force - a push or pull"/>
    <m/>
    <m/>
    <m/>
    <m/>
    <m/>
    <m/>
    <m/>
    <m/>
  </r>
  <r>
    <s v="NCERT 2025"/>
    <s v="CBSE"/>
    <x v="0"/>
    <x v="2"/>
    <x v="8"/>
    <x v="54"/>
    <s v="LU006338"/>
    <s v="Concept of Centripetal Force in Circular Motion "/>
    <s v="LU006338.001"/>
    <s v="Define centripetal force and describe its role in circular motion."/>
    <s v="LU006338.002"/>
    <s v="Explain how centripetal force acts on an object in circular motion using examples like a stone tied to a string."/>
    <s v="LU006338.003"/>
    <s v="Illustrate the concept of centripetal force by demonstrating the motion of a tethered object."/>
    <s v="LU006338.004"/>
    <s v="Differentiate between centripetal force and other forces acting on an object in motion."/>
    <s v="LU006338.005"/>
    <s v="Assess the importance of centripetal force in the stability of rotating systems like car tires."/>
    <s v="LU006338.006"/>
    <s v="Design an experiment to measure the centripetal force acting on an object in circular motion and predict the outcomes."/>
    <s v="#N/A"/>
    <s v="#N/A"/>
    <s v="#N/A"/>
    <s v="#N/A"/>
    <s v="#N/A"/>
    <s v="#N/A"/>
    <s v="#N/A"/>
    <s v="#N/A"/>
    <s v="#N/A"/>
    <s v="#N/A"/>
    <s v="#N/A"/>
    <s v="#N/A"/>
    <s v="LU006327"/>
    <s v="Uniform Circular Motion as an example of Accelerated Motion"/>
    <s v="LU005548"/>
    <s v="Magnitude and direction of force"/>
    <s v="LU006319"/>
    <s v="Definition of Velocity and Average Velocity "/>
    <m/>
    <m/>
    <m/>
    <m/>
    <m/>
    <m/>
    <m/>
    <m/>
  </r>
  <r>
    <s v="NCERT 2025"/>
    <s v="CBSE"/>
    <x v="0"/>
    <x v="2"/>
    <x v="8"/>
    <x v="54"/>
    <s v="LU006339"/>
    <s v="Understanding Gravitational Force through Everyday Examples (Falling objects, Orbiting Planets)"/>
    <s v="LU006339.001"/>
    <s v="Define gravitational force and identify its effects on everyday objects and planetary motion."/>
    <s v="LU006339.002"/>
    <s v="Describe how gravitational force influences the motion of falling objects and orbiting planets."/>
    <s v="LU006339.003"/>
    <s v="Demonstrate the effects of gravitational force through simple experiments, such as dropping different objects."/>
    <s v="LU006339.004"/>
    <s v="Compare the gravitational forces experienced by objects of different masses and distances."/>
    <s v="LU006339.005"/>
    <s v="Evaluate the significance of gravitational force in maintaining the orbits of planets and the stability of objects on Earth."/>
    <s v="LU006339.006"/>
    <s v="Create a model to illustrate the gravitational interactions between the Earth, the moon, and the Sun, and predict the effects of changes in these interactions."/>
    <s v="#N/A"/>
    <s v="#N/A"/>
    <s v="#N/A"/>
    <s v="#N/A"/>
    <s v="#N/A"/>
    <s v="#N/A"/>
    <s v="#N/A"/>
    <s v="#N/A"/>
    <s v="#N/A"/>
    <s v="#N/A"/>
    <s v="#N/A"/>
    <s v="#N/A"/>
    <s v="LU006335"/>
    <s v="Newton's Third Law of Motion and its application in everyday life "/>
    <s v="LU006334"/>
    <s v="Newton's Second Law of Motion and its application in everyday life "/>
    <s v="LU005539"/>
    <s v="Types of non contact force (Magnetic, Electrostatic and Gravitational force)"/>
    <m/>
    <m/>
    <m/>
    <m/>
    <m/>
    <m/>
    <m/>
    <m/>
  </r>
  <r>
    <s v="NCERT 2025"/>
    <s v="CBSE"/>
    <x v="0"/>
    <x v="2"/>
    <x v="8"/>
    <x v="55"/>
    <s v="LU006340"/>
    <s v="Statement and Mathematical Formulation of Universal Law of Gravitation (Unit and value of G)"/>
    <s v="LU006340.001"/>
    <s v="State the Universal Law of Gravitation and define the gravitational constant (G)."/>
    <s v="LU006340.002"/>
    <s v="Explain the mathematical formulation of the Universal Law of Gravitation and its components."/>
    <s v="LU006340.003"/>
    <s v="Solve problems involving the calculation of gravitational force between two masses using the Universal Law of Gravitation."/>
    <s v="LU006340.004"/>
    <s v="Analyze the relationship between gravitational force, mass, and distance using the Universal Law of Gravitation."/>
    <s v="LU006340.005"/>
    <s v="Evaluate the importance of the gravitational constant (G) in determining gravitational interactions."/>
    <s v="LU006340.006"/>
    <s v="Develop a set of exercises that demonstrate the application of the Universal Law of Gravitation in real-world scenarios."/>
    <s v="#N/A"/>
    <s v="#N/A"/>
    <s v="#N/A"/>
    <s v="#N/A"/>
    <s v="#N/A"/>
    <s v="#N/A"/>
    <s v="#N/A"/>
    <s v="#N/A"/>
    <s v="#N/A"/>
    <s v="#N/A"/>
    <s v="#N/A"/>
    <s v="#N/A"/>
    <s v="LU006339"/>
    <s v="Understanding Gravitational Force through Everyday Examples (Falling objects, Orbiting Planets)"/>
    <s v="LU005548"/>
    <s v="Magnitude and direction of force"/>
    <s v="LU006419"/>
    <s v="Properties of material- Mass"/>
    <m/>
    <m/>
    <m/>
    <m/>
    <m/>
    <m/>
    <m/>
    <m/>
  </r>
  <r>
    <s v="NCERT 2025"/>
    <s v="CBSE"/>
    <x v="0"/>
    <x v="2"/>
    <x v="8"/>
    <x v="55"/>
    <s v="LU006341"/>
    <s v="Phenomena Associated with Universal Law of Gravitational "/>
    <s v="LU006341.001"/>
    <s v="List the phenomena explained by the Universal Law of Gravitation, such as tides and planetary motion."/>
    <s v="LU006341.002"/>
    <s v="Describe how the Universal Law of Gravitation explains the occurrence of tides and the motion of celestial bodies."/>
    <s v="LU006341.003"/>
    <s v="Illustrate the effects of gravitational force on everyday phenomena like tides and the orbiting of satellites."/>
    <s v="LU006341.004"/>
    <s v="Analyze the impact of gravitational force on different natural phenomena and celestial movements."/>
    <s v="LU006341.005"/>
    <s v="Assess the role of gravitational force in maintaining the balance and structure of the solar system."/>
    <s v="LU006341.006"/>
    <s v="Create a presentation that explains various phenomena associated with the Universal Law of Gravitation using visual aids."/>
    <s v="#N/A"/>
    <s v="#N/A"/>
    <s v="#N/A"/>
    <s v="#N/A"/>
    <s v="#N/A"/>
    <s v="#N/A"/>
    <s v="#N/A"/>
    <s v="#N/A"/>
    <s v="#N/A"/>
    <s v="#N/A"/>
    <s v="#N/A"/>
    <s v="#N/A"/>
    <s v="LU006339"/>
    <s v="Understanding Gravitational Force through Everyday Examples (Falling objects, Orbiting Planets)"/>
    <s v="LU006338"/>
    <s v="Concept of Centripetal Force in Circular Motion "/>
    <m/>
    <m/>
    <m/>
    <m/>
    <m/>
    <m/>
    <m/>
    <m/>
    <m/>
    <m/>
  </r>
  <r>
    <s v="NCERT 2025"/>
    <s v="CBSE"/>
    <x v="0"/>
    <x v="2"/>
    <x v="8"/>
    <x v="56"/>
    <s v="LU006342"/>
    <s v="Definition of Free Fall Motion and Acceleration due to Gravity (g)"/>
    <s v="LU006342.001"/>
    <s v="Define free fall and acceleration due to gravity (g)."/>
    <s v="LU006342.002"/>
    <s v="Explain the concept of free fall and how acceleration due to gravity affects falling objects."/>
    <s v="LU006342.003"/>
    <s v="Demonstrate free fall by dropping different objects and observing their motion."/>
    <s v="LU006342.004"/>
    <s v="Compare the free fall motion of objects with different masses and shapes."/>
    <s v="LU006342.005"/>
    <s v="Evaluate the effects of air resistance on objects in free fall and how it influences their motion."/>
    <s v="LU006342.006"/>
    <s v="Design an experiment to measure the acceleration due to gravity (g) using a simple pendulum or free-fall apparatus."/>
    <s v="#N/A"/>
    <s v="#N/A"/>
    <s v="#N/A"/>
    <s v="#N/A"/>
    <s v="#N/A"/>
    <s v="#N/A"/>
    <s v="#N/A"/>
    <s v="#N/A"/>
    <s v="#N/A"/>
    <s v="#N/A"/>
    <s v="#N/A"/>
    <s v="#N/A"/>
    <s v="LU006339"/>
    <s v="Understanding Gravitational Force through Everyday Examples (Falling objects, Orbiting Planets)"/>
    <s v="LU006321"/>
    <s v="Definition and Units of Acceleration (Uniform and Non-Uniform Acceleration)"/>
    <s v="LU006319"/>
    <s v="Definition of Velocity and Average Velocity "/>
    <m/>
    <m/>
    <m/>
    <m/>
    <m/>
    <m/>
    <m/>
    <m/>
  </r>
  <r>
    <s v="NCERT 2025"/>
    <s v="CBSE"/>
    <x v="0"/>
    <x v="2"/>
    <x v="8"/>
    <x v="56"/>
    <s v="LU006343"/>
    <s v="Formula of Acceleration due to Gravity and its Value near the Surface of Earth"/>
    <s v="LU006343.001"/>
    <s v="State the formula for calculating acceleration due to gravity (g) near the surface of the Earth."/>
    <s v="LU006343.002"/>
    <s v="Describe the factors that influence the value of acceleration due to gravity (g) near the Earth's surface."/>
    <s v="LU006343.003"/>
    <s v="Calculate the acceleration due to gravity using the given formula and known values of mass and radius of the Earth."/>
    <s v="LU006343.004"/>
    <s v="Analyze the variations in the value of g at different locations on the Earth's surface."/>
    <s v="LU006343.005"/>
    <s v="Evaluate the significance of knowing the value of g for scientific and engineering applications."/>
    <s v="LU006343.006"/>
    <s v="Create a detailed report explaining the derivation of the formula for acceleration due to gravity and its applications."/>
    <s v="#N/A"/>
    <s v="#N/A"/>
    <s v="#N/A"/>
    <s v="#N/A"/>
    <s v="#N/A"/>
    <s v="#N/A"/>
    <s v="#N/A"/>
    <s v="#N/A"/>
    <s v="#N/A"/>
    <s v="#N/A"/>
    <s v="#N/A"/>
    <s v="#N/A"/>
    <s v="LU006342"/>
    <s v="Definition of Free Fall Motion and Acceleration due to Gravity (g)"/>
    <s v="LU006321"/>
    <s v="Definition and Units of Acceleration (Uniform and Non-Uniform Acceleration)"/>
    <s v="LU006334"/>
    <s v="Newton's Second Law of Motion and its application in everyday life "/>
    <m/>
    <m/>
    <m/>
    <m/>
    <m/>
    <m/>
    <m/>
    <m/>
  </r>
  <r>
    <s v="NCERT 2025"/>
    <s v="CBSE"/>
    <x v="0"/>
    <x v="2"/>
    <x v="8"/>
    <x v="56"/>
    <s v="LU006344"/>
    <s v="Mass Independence in Gravitational Acceleration."/>
    <s v="LU006344.001"/>
    <s v="Recall the principle that gravitational acceleration is independent of an object's mass."/>
    <s v="LU006344.002"/>
    <s v="Explain why all objects, regardless of mass, experience the same acceleration due to gravity when in free fall."/>
    <s v="LU006344.003"/>
    <s v="Demonstrate the independence of mass in gravitational acceleration through experiments, such as dropping different objects in a vacuum."/>
    <s v="LU006344.004"/>
    <s v="Analyze historical experiments, like those conducted by Galileo, that demonstrate the mass independence in gravitational acceleration."/>
    <s v="LU006344.005"/>
    <s v="Evaluate the implications of mass independence in gravitational acceleration for space missions and satellite launches."/>
    <s v="LU006344.006"/>
    <s v="Design an educational video that explains and demonstrates the concept of mass independence in gravitational acceleration."/>
    <s v="#N/A"/>
    <s v="#N/A"/>
    <s v="#N/A"/>
    <s v="#N/A"/>
    <s v="#N/A"/>
    <s v="#N/A"/>
    <s v="#N/A"/>
    <s v="#N/A"/>
    <s v="#N/A"/>
    <s v="#N/A"/>
    <s v="#N/A"/>
    <s v="#N/A"/>
    <s v="LU006342"/>
    <s v="Definition of Free Fall Motion and Acceleration due to Gravity (g)"/>
    <s v="LU006343"/>
    <s v="Formula of Acceleration due to Gravity and its Value near the Surface of Earth"/>
    <s v="LU006321"/>
    <s v="Definition and Units of Acceleration (Uniform and Non-Uniform Acceleration)"/>
    <m/>
    <m/>
    <m/>
    <m/>
    <m/>
    <m/>
    <m/>
    <m/>
  </r>
  <r>
    <s v="NCERT 2025"/>
    <s v="CBSE"/>
    <x v="0"/>
    <x v="2"/>
    <x v="8"/>
    <x v="57"/>
    <s v="LU006345"/>
    <s v="Application of Equation of Motions for Motion of Objects Under Gravity"/>
    <s v="LU006345.001"/>
    <s v="State the equations of motion for objects under the influence of gravity."/>
    <s v="LU006345.002"/>
    <s v="Explain how the equations of motion are applied to objects moving under the influence of gravity."/>
    <s v="LU006345.003"/>
    <s v="Solve problems involving the motion of objects under gravity using the equations of motion."/>
    <s v="LU006345.004"/>
    <s v="Analyze the motion of objects under gravity by plotting graphs of their position, velocity, and acceleration over time."/>
    <s v="LU006345.005"/>
    <s v="Assess the accuracy and limitations of using the equations of motion to predict the behavior of objects under gravity."/>
    <s v="LU006345.006"/>
    <s v="Create a set of problems and solutions that involve applying the equations of motion to real-life scenarios involving gravity."/>
    <s v="#N/A"/>
    <s v="#N/A"/>
    <s v="#N/A"/>
    <s v="#N/A"/>
    <s v="#N/A"/>
    <s v="#N/A"/>
    <s v="#N/A"/>
    <s v="#N/A"/>
    <s v="#N/A"/>
    <s v="#N/A"/>
    <s v="#N/A"/>
    <s v="#N/A"/>
    <s v="LU006343"/>
    <s v="Formula of Acceleration due to Gravity and its Value near the Surface of Earth"/>
    <s v="LU006325"/>
    <s v="Phenonema involving all equations of motion"/>
    <m/>
    <m/>
    <m/>
    <m/>
    <m/>
    <m/>
    <m/>
    <m/>
    <m/>
    <m/>
  </r>
  <r>
    <s v="NCERT 2025"/>
    <s v="CBSE"/>
    <x v="0"/>
    <x v="2"/>
    <x v="8"/>
    <x v="58"/>
    <s v="LU006346"/>
    <s v="Understanding Weight and Mass"/>
    <s v="LU006346.001"/>
    <s v="Define weight and mass and state their units."/>
    <s v="LU006346.002"/>
    <s v="Explain the difference between weight and mass with examples."/>
    <s v="LU006346.003"/>
    <s v="Calculate the weight of an object given its mass and the acceleration due to gravity."/>
    <s v="LU006346.004"/>
    <s v="Compare the weight and mass of objects in different gravitational fields, such as on Earth and the Moon."/>
    <s v="LU006346.005"/>
    <s v="Evaluate the importance of distinguishing between weight and mass in scientific measurements and everyday life."/>
    <s v="LU006346.006"/>
    <s v="Develop a visual aid that clearly illustrates the difference between weight and mass and how they are measured."/>
    <s v="#N/A"/>
    <s v="#N/A"/>
    <s v="#N/A"/>
    <s v="#N/A"/>
    <s v="#N/A"/>
    <s v="#N/A"/>
    <s v="#N/A"/>
    <s v="#N/A"/>
    <s v="#N/A"/>
    <s v="#N/A"/>
    <s v="#N/A"/>
    <s v="#N/A"/>
    <s v="LU006343"/>
    <s v="Formula of Acceleration due to Gravity and its Value near the Surface of Earth"/>
    <s v="LU006334"/>
    <s v="Newton's Second Law of Motion and its application in everyday life "/>
    <s v="LU006419"/>
    <s v="Properties of material- Mass"/>
    <m/>
    <m/>
    <m/>
    <m/>
    <m/>
    <m/>
    <m/>
    <m/>
  </r>
  <r>
    <s v="NCERT 2025"/>
    <s v="CBSE"/>
    <x v="0"/>
    <x v="2"/>
    <x v="8"/>
    <x v="58"/>
    <s v="LU006347"/>
    <s v="Weight on Earth vs. Weight on the Moon"/>
    <s v="LU006347.001"/>
    <s v="State the formula for calculating weight on Earth and the Moon."/>
    <s v="LU006347.002"/>
    <s v="Describe how weight changes when an object is taken from the Earth to the Moon."/>
    <s v="LU006347.003"/>
    <s v="Calculate the weight of an object on the Moon given its weight on Earth."/>
    <s v="LU006347.004"/>
    <s v="Analyze the factors that cause the difference in weight of an object on Earth and the Moon."/>
    <s v="LU006347.005"/>
    <s v="Evaluate the implications of reduced weight on the Moon for astronauts and space missions."/>
    <s v="LU006347.006"/>
    <s v="Create a comparative chart that shows the weight of various objects on Earth and the Moon."/>
    <s v="#N/A"/>
    <s v="#N/A"/>
    <s v="#N/A"/>
    <s v="#N/A"/>
    <s v="#N/A"/>
    <s v="#N/A"/>
    <s v="#N/A"/>
    <s v="#N/A"/>
    <s v="#N/A"/>
    <s v="#N/A"/>
    <s v="#N/A"/>
    <s v="#N/A"/>
    <s v="LU006346"/>
    <s v="Understanding Weight and Mass"/>
    <s v="LU006343"/>
    <s v="Formula of Acceleration due to Gravity and its Value near the Surface of Earth"/>
    <m/>
    <m/>
    <m/>
    <m/>
    <m/>
    <m/>
    <m/>
    <m/>
    <m/>
    <m/>
  </r>
  <r>
    <s v="NCERT 2025"/>
    <s v="CBSE"/>
    <x v="0"/>
    <x v="2"/>
    <x v="8"/>
    <x v="59"/>
    <s v="LU006348"/>
    <s v="Concept of Thrust "/>
    <s v="LU006348.001"/>
    <s v="Define thrust and state its unit."/>
    <s v="LU006348.002"/>
    <s v="Explain the concept of thrust and how it is generated."/>
    <s v="LU006348.003"/>
    <s v="Demonstrate the concept of thrust using a balloon or other simple apparatus."/>
    <s v="LU006348.004"/>
    <s v="Analyze the role of thrust in various applications such as aviation and rocketry."/>
    <s v="LU006348.005"/>
    <s v="Evaluate the factors that influence the amount of thrust produced by an engine or propeller."/>
    <s v="LU006348.006"/>
    <s v="Design a simple experiment to measure the thrust produced by a model rocket or jet engine."/>
    <s v="#N/A"/>
    <s v="#N/A"/>
    <s v="#N/A"/>
    <s v="#N/A"/>
    <s v="#N/A"/>
    <s v="#N/A"/>
    <s v="#N/A"/>
    <s v="#N/A"/>
    <s v="#N/A"/>
    <s v="#N/A"/>
    <s v="#N/A"/>
    <s v="#N/A"/>
    <s v="LU005548"/>
    <s v="Magnitude and direction of force"/>
    <s v="LU005543"/>
    <s v="Definition of pressure"/>
    <m/>
    <m/>
    <m/>
    <m/>
    <m/>
    <m/>
    <m/>
    <m/>
    <m/>
    <m/>
  </r>
  <r>
    <s v="NCERT 2025"/>
    <s v="CBSE"/>
    <x v="0"/>
    <x v="2"/>
    <x v="8"/>
    <x v="59"/>
    <s v="LU005543"/>
    <s v="Definition of pressure"/>
    <s v="LU005543.001"/>
    <s v="Recall the basic definition of pressure."/>
    <s v="LU005543.002"/>
    <s v="Explain pressure in terms of force and area."/>
    <s v="LU005543.003"/>
    <s v="Use the formula for pressure to calculate it given force and area values."/>
    <s v="LU005543.004"/>
    <s v="#N/A"/>
    <s v="LU005543.005"/>
    <s v="Justify the importance of understanding pressure in everyday activities like inflating a balloon or bicycle tire."/>
    <s v="LU005543.006"/>
    <s v="#N/A"/>
    <n v="4"/>
    <n v="6"/>
    <n v="2"/>
    <n v="12"/>
    <n v="4"/>
    <n v="3"/>
    <n v="1"/>
    <n v="8"/>
    <m/>
    <m/>
    <m/>
    <m/>
    <s v=""/>
    <m/>
    <m/>
    <m/>
    <m/>
    <m/>
    <m/>
    <m/>
    <m/>
    <m/>
    <m/>
    <m/>
    <m/>
    <m/>
  </r>
  <r>
    <s v="NCERT 2025"/>
    <s v="CBSE"/>
    <x v="0"/>
    <x v="2"/>
    <x v="8"/>
    <x v="60"/>
    <s v="LU006349"/>
    <s v="Definition of Buoyant Force"/>
    <s v="LU006349.001"/>
    <s v="Define buoyant force and state its unit."/>
    <s v="LU006349.002"/>
    <s v="Explain how buoyant force acts on objects in a fluid."/>
    <s v="LU006349.003"/>
    <s v="Demonstrate the concept of buoyant force using objects of different densities in water."/>
    <s v="LU006349.004"/>
    <s v="Analyze the factors that affect the magnitude of the buoyant force on an object."/>
    <s v="LU006349.005"/>
    <s v="Evaluate the importance of buoyant force in designing ships and submarines."/>
    <s v="LU006349.006"/>
    <s v="Create a project that explores the relationship between buoyant force and object density using various materials."/>
    <s v="#N/A"/>
    <s v="#N/A"/>
    <s v="#N/A"/>
    <s v="#N/A"/>
    <s v="#N/A"/>
    <s v="#N/A"/>
    <s v="#N/A"/>
    <s v="#N/A"/>
    <s v="#N/A"/>
    <s v="#N/A"/>
    <s v="#N/A"/>
    <s v="#N/A"/>
    <s v="LU005315"/>
    <s v="Properties of materials-Floats or sinks in water"/>
    <s v="LU006346"/>
    <s v="Understanding Weight and Mass"/>
    <s v="LU005544"/>
    <s v="Definition of liquid pressure/hydrostatic pressure"/>
    <m/>
    <m/>
    <m/>
    <m/>
    <m/>
    <m/>
    <m/>
    <m/>
  </r>
  <r>
    <s v="NCERT 2025"/>
    <s v="CBSE"/>
    <x v="0"/>
    <x v="2"/>
    <x v="8"/>
    <x v="60"/>
    <s v="LU006350"/>
    <s v="Definition of Density and Its Relationship with Buoyant Force"/>
    <s v="LU006350.001"/>
    <s v="Define density and state its formula."/>
    <s v="LU006350.002"/>
    <s v="Explain the relationship between density and buoyant force."/>
    <s v="LU006350.003"/>
    <s v="Calculate the density of an object and predict whether it will float or sink in water."/>
    <s v="LU006350.004"/>
    <s v="Analyze the buoyant force experienced by objects of different densities in various fluids."/>
    <s v="LU006350.005"/>
    <s v="Evaluate the role of density in the buoyancy of objects and its applications in real life."/>
    <s v="LU006350.006"/>
    <s v="Design a classroom experiment to investigate how the density of an object affects its buoyancy in different fluids."/>
    <s v="#N/A"/>
    <s v="#N/A"/>
    <s v="#N/A"/>
    <s v="#N/A"/>
    <s v="#N/A"/>
    <s v="#N/A"/>
    <s v="#N/A"/>
    <s v="#N/A"/>
    <s v="#N/A"/>
    <s v="#N/A"/>
    <s v="#N/A"/>
    <s v="#N/A"/>
    <s v="LU006349"/>
    <s v="Definition of Buoyant Force"/>
    <s v="LU005315"/>
    <s v="Properties of materials-Floats or sinks in water"/>
    <m/>
    <m/>
    <m/>
    <m/>
    <m/>
    <m/>
    <m/>
    <m/>
    <m/>
    <m/>
  </r>
  <r>
    <s v="NCERT 2025"/>
    <s v="CBSE"/>
    <x v="0"/>
    <x v="2"/>
    <x v="8"/>
    <x v="60"/>
    <s v="LU006351"/>
    <s v="Archimedes' Principle and Its Application "/>
    <s v="LU006351.001"/>
    <s v="State Archimedes' Principle and the formula associated with it"/>
    <s v="LU006351.002"/>
    <s v="Explain Archimedes' Principle with real-life examples such as why objects float or sink."/>
    <s v="LU006351.003"/>
    <s v="Demonstrate Archimedes' Principle using a simple experiment involving a submerged object and a measuring container."/>
    <s v="LU006351.004"/>
    <s v="Analyze the factors that affect the buoyant force on an object in a fluid, such as the object's volume and the fluid's density."/>
    <s v="LU006351.005"/>
    <s v="Evaluate the applications of Archimedes' Principle in designing ships and submarines."/>
    <s v="LU006351.006"/>
    <s v="Design a project to investigate the relationship between the buoyant force and the density of various materials."/>
    <s v="#N/A"/>
    <s v="#N/A"/>
    <s v="#N/A"/>
    <s v="#N/A"/>
    <s v="#N/A"/>
    <s v="#N/A"/>
    <s v="#N/A"/>
    <s v="#N/A"/>
    <s v="#N/A"/>
    <s v="#N/A"/>
    <s v="#N/A"/>
    <s v="#N/A"/>
    <s v="LU006349"/>
    <s v="Definition of Buoyant Force"/>
    <s v="LU006346"/>
    <s v="Understanding Weight and Mass"/>
    <s v="LU001255"/>
    <s v="Volume of a sphere"/>
    <m/>
    <m/>
    <m/>
    <m/>
    <m/>
    <m/>
    <m/>
    <m/>
  </r>
  <r>
    <s v="NCERT 2025"/>
    <s v="CBSE"/>
    <x v="0"/>
    <x v="2"/>
    <x v="9"/>
    <x v="61"/>
    <s v="LU006353"/>
    <s v="Quantitative Nature of Work Done (Formula and Unit)"/>
    <s v="LU006353.001"/>
    <s v="List examples of zero, positive, and negative work."/>
    <s v="LU006353.002"/>
    <s v="Describe the conditions under which work is considered positive, negative, or zero."/>
    <s v="LU006353.003"/>
    <s v="Identify the type of work done in a given real-life situation."/>
    <s v="LU006353.004"/>
    <s v="Compare and contrast the concepts of positive and negative work."/>
    <s v="LU006353.005"/>
    <s v="Judge the effects of positive and negative work in various physical systems."/>
    <s v="LU006353.006"/>
    <s v="Design an experiment to demonstrate positive, negative, and zero work."/>
    <s v="#N/A"/>
    <s v="#N/A"/>
    <s v="#N/A"/>
    <s v="#N/A"/>
    <s v="#N/A"/>
    <s v="#N/A"/>
    <s v="#N/A"/>
    <s v="#N/A"/>
    <s v="#N/A"/>
    <s v="#N/A"/>
    <s v="#N/A"/>
    <s v="#N/A"/>
    <s v="LU005548"/>
    <s v="Magnitude and direction of force"/>
    <s v="LU006318"/>
    <s v="Distinction between Distance and Displacement"/>
    <m/>
    <m/>
    <m/>
    <m/>
    <m/>
    <m/>
    <m/>
    <m/>
    <m/>
    <m/>
  </r>
  <r>
    <s v="NCERT 2025"/>
    <s v="CBSE"/>
    <x v="0"/>
    <x v="2"/>
    <x v="9"/>
    <x v="61"/>
    <s v="LU006354"/>
    <s v="Qualitative Nature of Work Done (Zero, Positive and Negative Work)"/>
    <s v="LU006354.001"/>
    <s v="List examples of zero, positive, and negative work."/>
    <s v="LU006354.002"/>
    <s v="Describe the conditions under which work is considered positive, negative, or zero."/>
    <s v="LU006354.003"/>
    <s v="Identify the type of work done in a given real-life situation."/>
    <s v="LU006354.004"/>
    <s v="Compare and contrast the concepts of positive and negative work."/>
    <s v="LU006354.005"/>
    <s v="Judge the effects of positive and negative work in various physical systems."/>
    <s v="LU006354.006"/>
    <s v="Design an experiment to demonstrate positive, negative, and zero work."/>
    <s v="#N/A"/>
    <s v="#N/A"/>
    <s v="#N/A"/>
    <s v="#N/A"/>
    <s v="#N/A"/>
    <s v="#N/A"/>
    <s v="#N/A"/>
    <s v="#N/A"/>
    <s v="#N/A"/>
    <s v="#N/A"/>
    <s v="#N/A"/>
    <s v="#N/A"/>
    <s v="LU006353"/>
    <s v="Quantitative Nature of Work Done (Formula and Unit)"/>
    <s v="LU005548"/>
    <s v="Magnitude and direction of force"/>
    <s v="LU006318"/>
    <s v="Distinction between Distance and Displacement"/>
    <m/>
    <m/>
    <m/>
    <m/>
    <m/>
    <m/>
    <m/>
    <m/>
  </r>
  <r>
    <s v="NCERT 2025"/>
    <s v="CBSE"/>
    <x v="0"/>
    <x v="2"/>
    <x v="9"/>
    <x v="62"/>
    <s v="LU005897"/>
    <s v="Definition and different forms of energy"/>
    <s v="LU005897.001"/>
    <s v="Define the term 'energy' and list its different forms."/>
    <s v="LU005897.002"/>
    <s v="Describe the basic characteristics of each form of energy (mechanical, chemical, heat, light, sound, electrical)."/>
    <s v="LU005897.003"/>
    <s v="Identify and classify examples of everyday occurrences or devices into the appropriate forms of energy."/>
    <s v="LU005897.004"/>
    <s v="Compare and contrast the transformations of energy from one form to another in real-world contexts."/>
    <s v="LU005897.005"/>
    <s v="Evaluate the efficiency of common appliances or tools based on the energy forms they utilize and any energy losses in the form of heat or sound."/>
    <s v="LU005897.006"/>
    <s v="Design a simple machine or system that uses at least two forms of energy, explaining how one form is converted to another."/>
    <s v="#N/A"/>
    <s v="#N/A"/>
    <s v="#N/A"/>
    <s v="#N/A"/>
    <s v="#N/A"/>
    <s v="#N/A"/>
    <s v="#N/A"/>
    <s v="#N/A"/>
    <s v="#N/A"/>
    <s v="#N/A"/>
    <s v="#N/A"/>
    <s v="#N/A"/>
    <s v="LU006354"/>
    <s v="Qualitative Nature of Work Done (Zero, Positive and Negative Work)"/>
    <s v="LU006353"/>
    <s v="Quantitative Nature of Work Done (Formula and Unit)"/>
    <m/>
    <m/>
    <m/>
    <m/>
    <m/>
    <m/>
    <m/>
    <m/>
    <m/>
    <m/>
  </r>
  <r>
    <s v="NCERT 2025"/>
    <s v="CBSE"/>
    <x v="0"/>
    <x v="2"/>
    <x v="9"/>
    <x v="62"/>
    <s v="LU006355"/>
    <s v="Introduction to Kinetic Energy (Formula and Its Application)"/>
    <s v="LU006355.001"/>
    <s v="Recall the formula for kinetic energy."/>
    <s v="LU006355.002"/>
    <s v="Summarize how kinetic energy is affected by mass and velocity."/>
    <s v="LU006355.003"/>
    <s v="Calculate the kinetic energy of an object given its mass and speed."/>
    <s v="LU006355.004"/>
    <s v="Examine how changes in velocity impact the kinetic energy of an object."/>
    <s v="LU006355.005"/>
    <s v="Critique a given scenario to determine if the kinetic energy has been calculated correctly."/>
    <s v="LU006355.006"/>
    <s v="Formulate a practical problem involving kinetic energy and solve it using the correct formula."/>
    <s v="#N/A"/>
    <s v="#N/A"/>
    <s v="#N/A"/>
    <s v="#N/A"/>
    <s v="#N/A"/>
    <s v="#N/A"/>
    <s v="#N/A"/>
    <s v="#N/A"/>
    <s v="#N/A"/>
    <s v="#N/A"/>
    <s v="#N/A"/>
    <s v="#N/A"/>
    <s v="LU005897"/>
    <s v="Definition and different forms of energy"/>
    <s v="LU006319"/>
    <s v="Definition of Velocity and Average Velocity "/>
    <s v="LU006334"/>
    <s v="Newton's Second Law of Motion and its application in everyday life "/>
    <m/>
    <m/>
    <m/>
    <m/>
    <m/>
    <m/>
    <m/>
    <m/>
  </r>
  <r>
    <s v="NCERT 2025"/>
    <s v="CBSE"/>
    <x v="0"/>
    <x v="2"/>
    <x v="9"/>
    <x v="63"/>
    <s v="LU006356"/>
    <s v="Understanding Potential Energy through real life examples"/>
    <s v="LU006356.001"/>
    <s v="Identify real-life examples of potential energy."/>
    <s v="LU006356.002"/>
    <s v="Explain how potential energy is stored in different systems."/>
    <s v="LU006356.003"/>
    <s v="Demonstrate the calculation of potential energy in a given scenario."/>
    <s v="LU006356.004"/>
    <s v="Distinguish between different forms of potential energy (gravitational, elastic, chemical)."/>
    <s v="LU006356.005"/>
    <s v="Assess the potential energy changes in a system over time."/>
    <s v="LU006356.006"/>
    <s v="Develop a real-life situation that illustrates the concept of potential energy and solve it."/>
    <s v="#N/A"/>
    <s v="#N/A"/>
    <s v="#N/A"/>
    <s v="#N/A"/>
    <s v="#N/A"/>
    <s v="#N/A"/>
    <s v="#N/A"/>
    <s v="#N/A"/>
    <s v="#N/A"/>
    <s v="#N/A"/>
    <s v="#N/A"/>
    <s v="#N/A"/>
    <s v="LU005897"/>
    <s v="Definition and different forms of energy"/>
    <s v="LU006343"/>
    <s v="Formula of Acceleration due to Gravity and its Value near the Surface of Earth"/>
    <m/>
    <m/>
    <m/>
    <m/>
    <m/>
    <m/>
    <m/>
    <m/>
    <m/>
    <m/>
  </r>
  <r>
    <s v="NCERT 2025"/>
    <s v="CBSE"/>
    <x v="0"/>
    <x v="2"/>
    <x v="9"/>
    <x v="63"/>
    <s v="LU006357"/>
    <s v="Gravitational Potential Energy (Formula and its path dependency)"/>
    <s v="LU006357.001"/>
    <s v="State the formula for gravitational potential energy."/>
    <s v="LU006357.002"/>
    <s v="Explain the concept of path dependency in gravitational potential energy."/>
    <s v="LU006357.003"/>
    <s v="Use the formula to calculate the gravitational potential energy of an object at a certain height."/>
    <s v="LU006357.004"/>
    <s v="Investigate how different paths to the same height affect gravitational potential energy."/>
    <s v="LU006357.005"/>
    <s v="Determine the validity of gravitational potential energy calculations in given problems."/>
    <s v="LU006357.006"/>
    <s v="Create a complex problem involving gravitational potential energy and solve it using the correct principles."/>
    <s v="#N/A"/>
    <s v="#N/A"/>
    <s v="#N/A"/>
    <s v="#N/A"/>
    <s v="#N/A"/>
    <s v="#N/A"/>
    <s v="#N/A"/>
    <s v="#N/A"/>
    <s v="#N/A"/>
    <s v="#N/A"/>
    <s v="#N/A"/>
    <s v="#N/A"/>
    <s v="LU006356"/>
    <s v="Understanding Potential Energy through real life examples"/>
    <s v="LU006353"/>
    <s v="Quantitative Nature of Work Done (Formula and Unit)"/>
    <s v="LU006346"/>
    <s v="Understanding Weight and Mass"/>
    <m/>
    <m/>
    <m/>
    <m/>
    <m/>
    <m/>
    <m/>
    <m/>
  </r>
  <r>
    <s v="NCERT 2025"/>
    <s v="CBSE"/>
    <x v="0"/>
    <x v="2"/>
    <x v="9"/>
    <x v="64"/>
    <s v="LU006359"/>
    <s v="Law of conservation of energy"/>
    <s v="LU006359.001"/>
    <s v="State the law of conservation of energy."/>
    <s v="LU006359.002"/>
    <s v="Explain the significance of the law of conservation of energy."/>
    <s v="LU006359.003"/>
    <s v="Illustrate the law of conservation of energy with a practical example."/>
    <s v="LU006359.004"/>
    <s v="Break down a system to show how energy is conserved within it."/>
    <s v="LU006359.005"/>
    <s v="Assess scenarios to determine if they obey the law of conservation of energy."/>
    <s v="LU006359.006"/>
    <s v="Develop a new scenario demonstrating the law of conservation of energy and explain it."/>
    <s v="#N/A"/>
    <s v="#N/A"/>
    <s v="#N/A"/>
    <s v="#N/A"/>
    <s v="#N/A"/>
    <s v="#N/A"/>
    <s v="#N/A"/>
    <s v="#N/A"/>
    <s v="#N/A"/>
    <s v="#N/A"/>
    <s v="#N/A"/>
    <s v="#N/A"/>
    <s v="LU005897"/>
    <s v="Definition and different forms of energy"/>
    <s v="LU006355"/>
    <s v="Introduction to Kinetic Energy (Formula and Its Application)"/>
    <s v="LU006356"/>
    <s v="Understanding Potential Energy through real life examples"/>
    <m/>
    <m/>
    <m/>
    <m/>
    <m/>
    <m/>
    <m/>
    <m/>
  </r>
  <r>
    <s v="NCERT 2025"/>
    <s v="CBSE"/>
    <x v="0"/>
    <x v="2"/>
    <x v="9"/>
    <x v="65"/>
    <s v="LU006360"/>
    <s v="Definition of Power (Formula and Unit) "/>
    <s v="LU006360.001"/>
    <s v="Recall the formula and unit for power."/>
    <s v="LU006360.002"/>
    <s v="Explain how power relates to work done over time."/>
    <s v="LU006360.003"/>
    <s v="Calculate the power used in a given situation where work and time are provided."/>
    <s v="LU006360.004"/>
    <s v="Differentiate between high power and low power scenarios."/>
    <s v="LU006360.005"/>
    <s v="Assess the power consumption of various devices and systems."/>
    <s v="LU006360.006"/>
    <s v="Create a real-life problem involving power calculation and solve it using the appropriate formula and units."/>
    <s v="#N/A"/>
    <s v="#N/A"/>
    <s v="#N/A"/>
    <s v="#N/A"/>
    <s v="#N/A"/>
    <s v="#N/A"/>
    <s v="#N/A"/>
    <s v="#N/A"/>
    <s v="#N/A"/>
    <s v="#N/A"/>
    <s v="#N/A"/>
    <s v="#N/A"/>
    <s v="LU006353"/>
    <s v="Quantitative Nature of Work Done (Formula and Unit)"/>
    <s v="LU005897"/>
    <s v="Definition and different forms of energy"/>
    <m/>
    <m/>
    <m/>
    <m/>
    <m/>
    <m/>
    <m/>
    <m/>
    <m/>
    <m/>
  </r>
  <r>
    <s v="NCERT 2025"/>
    <s v="CBSE"/>
    <x v="0"/>
    <x v="2"/>
    <x v="10"/>
    <x v="66"/>
    <s v="LU005572"/>
    <s v="Cause of generation of sound"/>
    <s v="LU005572.001"/>
    <s v="Define vibration as to and fro motion with the help of everyday examples"/>
    <s v="LU005572.002"/>
    <s v="Explain how vibrations are responsible for the generation of sound."/>
    <s v="LU005572.003"/>
    <s v="Demonstrate the concept of sound production by conducting an experiment using various objects to show how vibrations create sound."/>
    <s v="LU005572.004"/>
    <s v="Analyze different objects or materials to determine which ones can produce sound when they vibrate."/>
    <s v="LU005572.005"/>
    <s v="#N/A"/>
    <s v="LU005572.006"/>
    <s v="#N/A"/>
    <n v="4"/>
    <n v="6"/>
    <n v="2"/>
    <n v="12"/>
    <n v="4"/>
    <n v="3"/>
    <n v="1"/>
    <n v="8"/>
    <m/>
    <m/>
    <m/>
    <m/>
    <s v="LU005191"/>
    <s v="Understanding the Basics of Vibratory Motion"/>
    <m/>
    <m/>
    <m/>
    <m/>
    <m/>
    <m/>
    <m/>
    <m/>
    <m/>
    <m/>
    <m/>
    <m/>
  </r>
  <r>
    <s v="NCERT 2025"/>
    <s v="CBSE"/>
    <x v="0"/>
    <x v="2"/>
    <x v="10"/>
    <x v="66"/>
    <s v="LU006362"/>
    <s v="Description of the sound wave as Mechanical and Longitudinal wave"/>
    <s v="LU006362.001"/>
    <s v="Define a sound wave and describe its nature as a mechanical and longitudinal wave."/>
    <s v="LU006362.002"/>
    <s v="Explain how a sound wave propagates through a medium as a mechanical and longitudinal wave."/>
    <s v="LU006362.003"/>
    <s v="Illustrate with an example how sound waves are mechanical and longitudinal in nature."/>
    <s v="LU006362.004"/>
    <s v="Differentiate between mechanical and longitudinal waves using sound waves as an example."/>
    <s v="LU006362.005"/>
    <s v="Assess the importance of understanding sound waves as mechanical and longitudinal waves in daily life applications."/>
    <s v="LU006362.006"/>
    <s v="Design an experiment to demonstrate that sound waves are both mechanical and longitudinal waves."/>
    <s v="#N/A"/>
    <s v="#N/A"/>
    <s v="#N/A"/>
    <s v="#N/A"/>
    <s v="#N/A"/>
    <s v="#N/A"/>
    <s v="#N/A"/>
    <s v="#N/A"/>
    <s v="#N/A"/>
    <s v="#N/A"/>
    <s v="#N/A"/>
    <s v="#N/A"/>
    <s v="LU005575"/>
    <s v="Propagation of sound through different mediums"/>
    <s v="LU005572"/>
    <s v="Cause of generation of sound"/>
    <m/>
    <m/>
    <m/>
    <m/>
    <m/>
    <m/>
    <m/>
    <m/>
    <m/>
    <m/>
  </r>
  <r>
    <s v="NCERT 2025"/>
    <s v="CBSE"/>
    <x v="0"/>
    <x v="2"/>
    <x v="10"/>
    <x v="67"/>
    <s v="LU006363"/>
    <s v="Propagation of sound as propagation of pressure variation in medium (compression and rarefaction) "/>
    <s v="LU006363.001"/>
    <s v="Define compression and rarefaction in the context of sound wave propagation."/>
    <s v="LU006363.002"/>
    <s v="Explain how sound propagates through a medium by creating pressure variations."/>
    <s v="LU006363.003"/>
    <s v="Demonstrate the propagation of sound through a medium using a slinky or a similar apparatus."/>
    <s v="LU006363.004"/>
    <s v="Compare the propagation of sound in different media (solid, liquid, and gas) focusing on compression and rarefaction."/>
    <s v="LU006363.005"/>
    <s v="Evaluate the effects of different mediums on the propagation of sound waves through compression and rarefaction."/>
    <s v="LU006363.006"/>
    <s v="Develop a model to visually represent how sound waves propagate as pressure variations in a medium."/>
    <s v="#N/A"/>
    <s v="#N/A"/>
    <s v="#N/A"/>
    <s v="#N/A"/>
    <s v="#N/A"/>
    <s v="#N/A"/>
    <s v="#N/A"/>
    <s v="#N/A"/>
    <s v="#N/A"/>
    <s v="#N/A"/>
    <s v="#N/A"/>
    <s v="#N/A"/>
    <s v="LU005572"/>
    <s v="Cause of generation of sound"/>
    <s v="LU005543"/>
    <s v="Definition of pressure"/>
    <m/>
    <m/>
    <m/>
    <m/>
    <m/>
    <m/>
    <m/>
    <m/>
    <m/>
    <m/>
  </r>
  <r>
    <s v="NCERT 2025"/>
    <s v="CBSE"/>
    <x v="0"/>
    <x v="2"/>
    <x v="10"/>
    <x v="67"/>
    <s v="LU006364"/>
    <s v="Definition of Transverse Wave"/>
    <s v="LU006364.001"/>
    <s v="Define a transverse wave and provide examples."/>
    <s v="LU006364.002"/>
    <s v="Describe the main characteristics of transverse waves and how they differ from longitudinal waves."/>
    <s v="LU006364.003"/>
    <s v="Illustrate the concept of transverse waves using a diagram or a practical demonstration."/>
    <s v="LU006364.004"/>
    <s v="Compare and contrast the properties of transverse waves and longitudinal waves."/>
    <s v="LU006364.005"/>
    <s v="Evaluate the relevance of transverse waves in different scientific and everyday contexts."/>
    <s v="LU006364.006"/>
    <s v="Create a simulation or physical model to demonstrate the properties of transverse waves."/>
    <s v="#N/A"/>
    <s v="#N/A"/>
    <s v="#N/A"/>
    <s v="#N/A"/>
    <s v="#N/A"/>
    <s v="#N/A"/>
    <s v="#N/A"/>
    <s v="#N/A"/>
    <s v="#N/A"/>
    <s v="#N/A"/>
    <s v="#N/A"/>
    <s v="#N/A"/>
    <s v="LU005190"/>
    <s v="Understanding the Basics of Oscillatory Motion"/>
    <m/>
    <m/>
    <m/>
    <m/>
    <m/>
    <m/>
    <m/>
    <m/>
    <m/>
    <m/>
    <m/>
    <m/>
  </r>
  <r>
    <s v="NCERT 2025"/>
    <s v="CBSE"/>
    <x v="0"/>
    <x v="2"/>
    <x v="10"/>
    <x v="68"/>
    <s v="LU006365"/>
    <s v="Graphical Representation of Sound wave and description of wavelength"/>
    <s v="LU006365.001"/>
    <s v="Remembering: Identify the key components of a sound wave graph, including crests, troughs, and wavelength."/>
    <s v="LU006365.002"/>
    <s v="Understanding: Explain how the wavelength of a sound wave is represented graphically."/>
    <s v="LU006365.003"/>
    <s v="Applying: Plot a graph of a sound wave showing its wavelength using given data."/>
    <s v="LU006365.004"/>
    <s v="Analyzing: Analyze a sound wave graph to determine its wavelength and frequency."/>
    <s v="LU006365.005"/>
    <s v="Evaluating: Assess the significance of accurately representing the wavelength of sound waves in scientific studies."/>
    <s v="LU006365.006"/>
    <s v="Creating: Develop a detailed graph of a sound wave from experimental data, highlighting the wavelength."/>
    <s v="#N/A"/>
    <s v="#N/A"/>
    <s v="#N/A"/>
    <s v="#N/A"/>
    <s v="#N/A"/>
    <s v="#N/A"/>
    <s v="#N/A"/>
    <s v="#N/A"/>
    <s v="#N/A"/>
    <s v="#N/A"/>
    <s v="#N/A"/>
    <s v="#N/A"/>
    <s v="LU006363"/>
    <s v="Propagation of sound as propagation of pressure variation in medium (compression and rarefaction) "/>
    <s v="LU006362"/>
    <s v="Description of the sound wave as Mechanical and Longitudinal wave"/>
    <s v="LU000780"/>
    <s v="Interpretation of linear graph"/>
    <m/>
    <m/>
    <m/>
    <m/>
    <m/>
    <m/>
    <m/>
    <m/>
  </r>
  <r>
    <s v="NCERT 2025"/>
    <s v="CBSE"/>
    <x v="0"/>
    <x v="2"/>
    <x v="10"/>
    <x v="68"/>
    <s v="LU006366"/>
    <s v="Graphical Representation of Frequency of Sound Wave (High and Low Pitch)"/>
    <s v="LU006366.001"/>
    <s v="Define frequency and pitch in the context of sound waves."/>
    <s v="LU006366.002"/>
    <s v="Describe how frequency affects the pitch of a sound wave."/>
    <s v="LU006366.003"/>
    <s v="Graphically represent high and low pitch sound waves to show differences in frequency."/>
    <s v="LU006366.004"/>
    <s v="Analyze sound wave graphs to determine the relationship between frequency and pitch."/>
    <s v="LU006366.005"/>
    <s v="Evaluate the impact of frequency changes on the perceived pitch of sound in various applications."/>
    <s v="LU006366.006"/>
    <s v="Create a presentation that includes graphical representations of high and low pitch sound waves and explains their differences."/>
    <s v="#N/A"/>
    <s v="#N/A"/>
    <s v="#N/A"/>
    <s v="#N/A"/>
    <s v="#N/A"/>
    <s v="#N/A"/>
    <s v="#N/A"/>
    <s v="#N/A"/>
    <s v="#N/A"/>
    <s v="#N/A"/>
    <s v="#N/A"/>
    <s v="#N/A"/>
    <s v="LU005585"/>
    <s v="Definition of frequency of vibration and its relationship with time period"/>
    <s v="LU005578"/>
    <s v="Loudness and pitch of sound"/>
    <s v="LU006363"/>
    <s v="Propagation of sound as propagation of pressure variation in medium (compression and rarefaction) "/>
    <m/>
    <m/>
    <m/>
    <m/>
    <m/>
    <m/>
    <m/>
    <m/>
  </r>
  <r>
    <s v="NCERT 2025"/>
    <s v="CBSE"/>
    <x v="0"/>
    <x v="2"/>
    <x v="10"/>
    <x v="68"/>
    <s v="LU006367"/>
    <s v="Graphical Representation of Amplitude of Sound Wave (Soft and Loud Sounds)"/>
    <s v="LU006367.001"/>
    <s v="Define amplitude in the context of sound waves."/>
    <s v="LU006367.002"/>
    <s v="Explain how amplitude affects the loudness of a sound."/>
    <s v="LU006367.003"/>
    <s v="Draw graphs to represent soft and loud sounds, highlighting differences in amplitude."/>
    <s v="LU006367.004"/>
    <s v="Compare graphs of soft and loud sounds to analyze how amplitude varies."/>
    <s v="LU006367.005"/>
    <s v="Assess the role of amplitude in different sound applications, such as music and acoustics."/>
    <s v="LU006367.006"/>
    <s v="Create a series of graphs to demonstrate the effect of changing amplitude on sound loudness."/>
    <s v="#N/A"/>
    <s v="#N/A"/>
    <s v="#N/A"/>
    <s v="#N/A"/>
    <s v="#N/A"/>
    <s v="#N/A"/>
    <s v="#N/A"/>
    <s v="#N/A"/>
    <s v="#N/A"/>
    <s v="#N/A"/>
    <s v="#N/A"/>
    <s v="#N/A"/>
    <s v="LU005577"/>
    <s v="Definition of Amplitude of Vibration"/>
    <s v="LU005578"/>
    <s v="Loudness and pitch of sound"/>
    <s v="LU006363"/>
    <s v="Propagation of sound as propagation of pressure variation in medium (compression and rarefaction) "/>
    <m/>
    <m/>
    <m/>
    <m/>
    <m/>
    <m/>
    <m/>
    <m/>
  </r>
  <r>
    <s v="NCERT 2025"/>
    <s v="CBSE"/>
    <x v="0"/>
    <x v="2"/>
    <x v="10"/>
    <x v="69"/>
    <s v="LU006368"/>
    <s v="Relation between speed of sound, wavelength and frequency"/>
    <s v="LU006368.001"/>
    <s v="State the formula that relates speed of sound, wavelength, and frequency."/>
    <s v="LU006368.002"/>
    <s v="Explain how the speed of sound is affected by changes in wavelength and frequency."/>
    <s v="LU006368.003"/>
    <s v="Use the formula to calculate the speed of sound given wavelength and frequency data."/>
    <s v="LU006368.004"/>
    <s v="Analyze the relationship between speed, wavelength, and frequency using experimental data."/>
    <s v="LU006368.005"/>
    <s v="Evaluate how different factors influence the speed of sound in various media."/>
    <s v="LU006368.006"/>
    <s v="Design an experiment to measure the speed of sound and verify the relationship between speed, wavelength, and frequency."/>
    <s v="#N/A"/>
    <s v="#N/A"/>
    <s v="#N/A"/>
    <s v="#N/A"/>
    <s v="#N/A"/>
    <s v="#N/A"/>
    <s v="#N/A"/>
    <s v="#N/A"/>
    <s v="#N/A"/>
    <s v="#N/A"/>
    <s v="#N/A"/>
    <s v="#N/A"/>
    <s v="LU005375"/>
    <s v="Definition of Speed"/>
    <s v="LU005585"/>
    <s v="Definition of frequency of vibration and its relationship with time period"/>
    <s v="LU006365"/>
    <s v="Graphical Representation of Sound wave and description of wavelength"/>
    <s v="LU005380"/>
    <s v="Determining the Time Period of a Pendulum's Oscillation"/>
    <m/>
    <m/>
    <m/>
    <m/>
    <m/>
    <m/>
  </r>
  <r>
    <s v="NCERT 2025"/>
    <s v="CBSE"/>
    <x v="0"/>
    <x v="2"/>
    <x v="10"/>
    <x v="69"/>
    <s v="LU006369"/>
    <s v="Factors affecting speed of sound (temperature and density of medium)"/>
    <s v="LU006369.001"/>
    <s v="List the factors that affect the speed of sound."/>
    <s v="LU006369.002"/>
    <s v="Explain how temperature and density of the medium affect the speed of sound."/>
    <s v="LU006369.003"/>
    <s v="Conduct an experiment to observe the effect of temperature on the speed of sound."/>
    <s v="LU006369.004"/>
    <s v="Analyze data to determine how changes in medium density impact the speed of sound."/>
    <s v="LU006369.005"/>
    <s v="Evaluate the significance of temperature and medium density in various sound-related technologies."/>
    <s v="LU006369.006"/>
    <s v="Create a detailed report on the effects of temperature and density on the speed of sound, supported by experimental data."/>
    <s v="#N/A"/>
    <s v="#N/A"/>
    <s v="#N/A"/>
    <s v="#N/A"/>
    <s v="#N/A"/>
    <s v="#N/A"/>
    <s v="#N/A"/>
    <s v="#N/A"/>
    <s v="#N/A"/>
    <s v="#N/A"/>
    <s v="#N/A"/>
    <s v="#N/A"/>
    <s v="LU005575"/>
    <s v="Propagation of sound through different mediums"/>
    <s v="LU005376"/>
    <s v="Units of Speed"/>
    <s v="LU005354"/>
    <s v="Definition and units of temperature"/>
    <s v="LU005312"/>
    <s v="Comparion of Particle Arrangements in the Three State of Matter"/>
    <m/>
    <m/>
    <m/>
    <m/>
    <m/>
    <m/>
  </r>
  <r>
    <s v="NCERT 2025"/>
    <s v="CBSE"/>
    <x v="0"/>
    <x v="2"/>
    <x v="10"/>
    <x v="69"/>
    <s v="LU006370"/>
    <s v="Exploration of quality, tone, note and intensity of sound wave"/>
    <s v="LU006370.001"/>
    <s v="Define quality, tone, note, and intensity in the context of sound waves."/>
    <s v="LU006370.002"/>
    <s v="Describe how these characteristics affect the perception of sound."/>
    <s v="LU006370.003"/>
    <s v="Illustrate the differences between tone, note, and intensity using examples."/>
    <s v="LU006370.004"/>
    <s v="Analyze how the quality of sound varies with changes in tone, note, and intensity."/>
    <s v="LU006370.005"/>
    <s v="Evaluate the importance of these sound characteristics in musical and communication applications."/>
    <s v="LU006370.006"/>
    <s v="Develop a presentation that explores the quality, tone, note, and intensity of sound waves with visual and audio examples."/>
    <s v="#N/A"/>
    <s v="#N/A"/>
    <s v="#N/A"/>
    <s v="#N/A"/>
    <s v="#N/A"/>
    <s v="#N/A"/>
    <s v="#N/A"/>
    <s v="#N/A"/>
    <s v="#N/A"/>
    <s v="#N/A"/>
    <s v="#N/A"/>
    <s v="#N/A"/>
    <s v="LU005578"/>
    <s v="Loudness and pitch of sound"/>
    <s v="LU005585"/>
    <s v="Definition of frequency of vibration and its relationship with time period"/>
    <s v="LU005580"/>
    <s v="Distinguish Noise from Music"/>
    <m/>
    <m/>
    <m/>
    <m/>
    <m/>
    <m/>
    <m/>
    <m/>
  </r>
  <r>
    <s v="NCERT 2025"/>
    <s v="CBSE"/>
    <x v="0"/>
    <x v="2"/>
    <x v="10"/>
    <x v="70"/>
    <s v="LU005916"/>
    <s v="Principles of Echo and Reverberation in Sound"/>
    <s v="LU005916.001"/>
    <s v="Identify examples of echo and reverberation."/>
    <s v="LU005916.002"/>
    <s v="Describe the phenomena of echo and reverberation."/>
    <s v="LU005916.003"/>
    <s v="Apply the concept of echo and reverberation to explain acoustic experiences in different environments."/>
    <s v="LU005916.004"/>
    <s v="Differentiate between echo and reverberation in various contexts."/>
    <s v="LU005916.005"/>
    <s v="Assess the impact of echo and reverberation in acoustic design."/>
    <s v="LU005916.006"/>
    <s v="Design a basic experiment to demonstrate echo or reverberation."/>
    <s v="#N/A"/>
    <s v="#N/A"/>
    <s v="#N/A"/>
    <s v="#N/A"/>
    <s v="#N/A"/>
    <s v="#N/A"/>
    <s v="#N/A"/>
    <s v="#N/A"/>
    <s v="#N/A"/>
    <s v="#N/A"/>
    <s v="#N/A"/>
    <s v="#N/A"/>
    <s v="LU006371"/>
    <s v="Reflection of sound and its application in various instruments (Megaphone, stethoscope, curved ceilings)"/>
    <s v="LU005375"/>
    <s v="Definition of Speed"/>
    <m/>
    <m/>
    <m/>
    <m/>
    <m/>
    <m/>
    <m/>
    <m/>
    <m/>
    <m/>
  </r>
  <r>
    <s v="NCERT 2025"/>
    <s v="CBSE"/>
    <x v="0"/>
    <x v="2"/>
    <x v="10"/>
    <x v="70"/>
    <s v="LU006371"/>
    <s v="Reflection of sound and its application in various instruments (Megaphone, stethoscope, curved ceilings)"/>
    <s v="LU006371.001"/>
    <s v="Define the reflection of sound and give examples of its applications."/>
    <s v="LU006371.002"/>
    <s v="Explain how the reflection of sound is utilized in instruments like megaphones and stethoscopes."/>
    <s v="LU006371.003"/>
    <s v="Demonstrate the principle of sound reflection using a simple experiment."/>
    <s v="LU006371.004"/>
    <s v="Compare the effectiveness of different sound-reflecting instruments."/>
    <s v="LU006371.005"/>
    <s v="Assess the significance of sound reflection in the design of acoustic spaces and instruments."/>
    <s v="LU006371.006"/>
    <s v="Design a project that uses sound reflection principles to improve the acoustics of a room or a device."/>
    <s v="#N/A"/>
    <s v="#N/A"/>
    <s v="#N/A"/>
    <s v="#N/A"/>
    <s v="#N/A"/>
    <s v="#N/A"/>
    <s v="#N/A"/>
    <s v="#N/A"/>
    <s v="#N/A"/>
    <s v="#N/A"/>
    <s v="#N/A"/>
    <s v="#N/A"/>
    <s v="LU005372"/>
    <s v="Laws of reflection"/>
    <m/>
    <m/>
    <m/>
    <m/>
    <m/>
    <m/>
    <m/>
    <m/>
    <m/>
    <m/>
    <m/>
    <m/>
  </r>
  <r>
    <s v="NCERT 2025"/>
    <s v="CBSE"/>
    <x v="0"/>
    <x v="2"/>
    <x v="10"/>
    <x v="71"/>
    <s v="LU006372"/>
    <s v="Concepts of infrasound and ultrasound"/>
    <s v="LU006372.001"/>
    <s v="Define infrasound and ultrasound."/>
    <s v="LU006372.002"/>
    <s v="Describe the characteristics and uses of infrasound and ultrasound."/>
    <s v="LU006372.003"/>
    <s v="Provide examples of how infrasound and ultrasound are used in different fields."/>
    <s v="LU006372.004"/>
    <s v="Compare the properties and applications of infrasound and ultrasound."/>
    <s v="LU006372.005"/>
    <s v="Evaluate the advantages and limitations of using infrasound and ultrasound in various applications."/>
    <s v="LU006372.006"/>
    <s v="Develop an informational brochure on the uses and benefits of infrasound and ultrasound technologies."/>
    <s v="#N/A"/>
    <s v="#N/A"/>
    <s v="#N/A"/>
    <s v="#N/A"/>
    <s v="#N/A"/>
    <s v="#N/A"/>
    <s v="#N/A"/>
    <s v="#N/A"/>
    <s v="#N/A"/>
    <s v="#N/A"/>
    <s v="#N/A"/>
    <s v="#N/A"/>
    <s v="LU005585"/>
    <s v="Definition of frequency of vibration and its relationship with time period"/>
    <s v="LU005579"/>
    <s v="Frequency range of Human Hearing"/>
    <s v="LU005380"/>
    <s v="Determining the Time Period of a Pendulum's Oscillation"/>
    <m/>
    <m/>
    <m/>
    <m/>
    <m/>
    <m/>
    <m/>
    <m/>
  </r>
  <r>
    <s v="NCERT 2025"/>
    <s v="CBSE"/>
    <x v="0"/>
    <x v="2"/>
    <x v="10"/>
    <x v="71"/>
    <s v="LU006373"/>
    <s v="Various Applications of ultrasound "/>
    <s v="LU006373.001"/>
    <s v="List common applications of ultrasound in medicine and industry."/>
    <s v="LU006373.002"/>
    <s v="Explain how ultrasound is used for imaging and diagnostics in medicine."/>
    <s v="LU006373.003"/>
    <s v="Demonstrate an understanding of how ultrasound cleaning works through a practical example."/>
    <s v="LU006373.004"/>
    <s v="Analyze the advantages of using ultrasound in non-destructive testing of materials."/>
    <s v="LU006373.005"/>
    <s v="Evaluate the effectiveness of ultrasound applications in various fields, such as medical diagnostics and industrial cleaning."/>
    <s v="LU006373.006"/>
    <s v="Create a detailed report on the diverse applications of ultrasound, including case studies and practical examples."/>
    <s v="#N/A"/>
    <s v="#N/A"/>
    <s v="#N/A"/>
    <s v="#N/A"/>
    <s v="#N/A"/>
    <s v="#N/A"/>
    <s v="#N/A"/>
    <s v="#N/A"/>
    <s v="#N/A"/>
    <s v="#N/A"/>
    <s v="#N/A"/>
    <s v="#N/A"/>
    <s v="LU006372"/>
    <s v="Concepts of infrasound and ultrasound"/>
    <m/>
    <m/>
    <m/>
    <m/>
    <m/>
    <m/>
    <m/>
    <m/>
    <m/>
    <m/>
    <m/>
    <m/>
  </r>
  <r>
    <s v="NCERT 2025"/>
    <s v="CBSE"/>
    <x v="0"/>
    <x v="1"/>
    <x v="11"/>
    <x v="72"/>
    <s v="LU006296"/>
    <s v="Methods of improving crop variety(hybridisation and GMCs )"/>
    <s v="LU006296.001"/>
    <s v="Define hybridisation and genetically modified crops (GMCs)."/>
    <s v="LU006296.002"/>
    <s v="Describe the methods of hybridisation and genetic modification for improving crop variety."/>
    <s v="LU006296.003"/>
    <s v="Illustrate the process of hybridisation in plants with a diagram."/>
    <s v="LU006296.004"/>
    <s v="Analyze the advantages and disadvantages of hybridisation and GMCs in crop production."/>
    <s v="LU006296.005"/>
    <s v="Evaluate the impact of hybridisation and GMCs on crop yield and quality."/>
    <s v="LU006296.006"/>
    <s v="Design a breeding program that incorporates both hybridisation and genetic modification techniques."/>
    <s v="#N/A"/>
    <s v="#N/A"/>
    <s v="#N/A"/>
    <s v="#N/A"/>
    <s v="#N/A"/>
    <s v="#N/A"/>
    <s v="#N/A"/>
    <s v="#N/A"/>
    <s v="#N/A"/>
    <s v="#N/A"/>
    <s v="#N/A"/>
    <s v="#N/A"/>
    <s v="LU005620"/>
    <s v="Methods of Crop Protection in agricultural practices"/>
    <s v="LU005622"/>
    <s v="Green Revolution in agricultural practices"/>
    <m/>
    <m/>
    <m/>
    <m/>
    <m/>
    <m/>
    <m/>
    <m/>
    <m/>
    <m/>
  </r>
  <r>
    <s v="NCERT 2025"/>
    <s v="CBSE"/>
    <x v="0"/>
    <x v="1"/>
    <x v="11"/>
    <x v="72"/>
    <s v="LU006297"/>
    <s v="Concept of variety of factors targeted for improving crop variety"/>
    <s v="LU006297.001"/>
    <s v="List the factors targeted for improving crop variety."/>
    <s v="LU006297.002"/>
    <s v="Explain the importance of targeting different factors for crop variety improvement."/>
    <s v="LU006297.003"/>
    <s v="Illustrate how targeting specific factors can improve crop variety with examples."/>
    <s v="LU006297.004"/>
    <s v="Analyze the relationship between different factors and their impact on crop yield."/>
    <s v="LU006297.005"/>
    <s v="Evaluate the effectiveness of various factors in achieving high crop yield."/>
    <s v="LU006297.006"/>
    <s v="Develop a comprehensive strategy that targets multiple factors for crop variety improvement."/>
    <s v="#N/A"/>
    <s v="#N/A"/>
    <s v="#N/A"/>
    <s v="#N/A"/>
    <s v="#N/A"/>
    <s v="#N/A"/>
    <s v="#N/A"/>
    <s v="#N/A"/>
    <s v="#N/A"/>
    <s v="#N/A"/>
    <s v="#N/A"/>
    <s v="#N/A"/>
    <s v="LU005620"/>
    <s v="Methods of Crop Protection in agricultural practices"/>
    <s v="LU005622"/>
    <s v="Green Revolution in agricultural practices"/>
    <s v="LU006296"/>
    <s v="Methods of improving crop variety(hybridisation and GMCs )"/>
    <m/>
    <m/>
    <m/>
    <m/>
    <m/>
    <m/>
    <m/>
    <m/>
  </r>
  <r>
    <s v="NCERT 2025"/>
    <s v="CBSE"/>
    <x v="0"/>
    <x v="1"/>
    <x v="11"/>
    <x v="73"/>
    <s v="LU006298"/>
    <s v="Nutrients supplied by air, water and soil to the plants"/>
    <s v="LU006298.001"/>
    <s v="Identify the macronutrients and micronutrients supplied by air, water, and soil to plants."/>
    <s v="LU006298.002"/>
    <s v="Explain the role of each nutrient in plant growth and development."/>
    <s v="LU006298.003"/>
    <s v="Illustrate the nutrient cycle in plants, showing the sources and roles of macronutrients and micronutrients."/>
    <s v="LU006298.004"/>
    <s v="Analyze the effects of nutrient deficiency on plant health and crop yield."/>
    <s v="LU006298.005"/>
    <s v="Evaluate the importance of balanced nutrient supply for optimal crop production."/>
    <s v="LU006298.006"/>
    <s v="Create a nutrient management plan that ensures adequate supply of macronutrients and micronutrients for plants."/>
    <s v="#N/A"/>
    <s v="#N/A"/>
    <s v="#N/A"/>
    <s v="#N/A"/>
    <s v="#N/A"/>
    <s v="#N/A"/>
    <s v="#N/A"/>
    <s v="#N/A"/>
    <s v="#N/A"/>
    <s v="#N/A"/>
    <s v="#N/A"/>
    <s v="#N/A"/>
    <s v=""/>
    <m/>
    <m/>
    <m/>
    <m/>
    <m/>
    <m/>
    <m/>
    <m/>
    <m/>
    <m/>
    <m/>
    <m/>
    <m/>
  </r>
  <r>
    <s v="NCERT 2025"/>
    <s v="CBSE"/>
    <x v="0"/>
    <x v="1"/>
    <x v="11"/>
    <x v="73"/>
    <s v="LU006299"/>
    <s v="Nutrient managment strategy for crops through fertilisers and manure "/>
    <s v="LU006299.001"/>
    <s v="Define manure and its types."/>
    <s v="LU006299.002"/>
    <s v="Explain how manure contributes to nutrient management in crop production."/>
    <s v="LU006299.003"/>
    <s v="Demonstrate the process of composting to produce manure."/>
    <s v="LU006299.004"/>
    <s v="Analyze the benefits and limitations of using manure as a nutrient management strategy."/>
    <s v="LU006299.005"/>
    <s v="Evaluate the impact of manure application on soil fertility and crop yield."/>
    <s v="LU006299.006"/>
    <s v="Develop a manure management plan for a sustainable farming system."/>
    <s v="#N/A"/>
    <s v="#N/A"/>
    <s v="#N/A"/>
    <s v="#N/A"/>
    <s v="#N/A"/>
    <s v="#N/A"/>
    <s v="#N/A"/>
    <s v="#N/A"/>
    <s v="#N/A"/>
    <s v="#N/A"/>
    <s v="#N/A"/>
    <s v="#N/A"/>
    <s v="LU005618"/>
    <s v="Different Ways of Soil Replenishment for Crop Production"/>
    <s v="LU005649"/>
    <s v="Role of Microbes in Soil Health"/>
    <s v="LU005260"/>
    <s v="Definition of biodegradable and non-biodegradable substances"/>
    <m/>
    <m/>
    <m/>
    <m/>
    <m/>
    <m/>
    <m/>
    <m/>
  </r>
  <r>
    <s v="NCERT 2025"/>
    <s v="CBSE"/>
    <x v="0"/>
    <x v="1"/>
    <x v="11"/>
    <x v="74"/>
    <s v="LU006301"/>
    <s v="Concept of cropping patterns and organic farming "/>
    <s v="LU006301.001"/>
    <s v="Define organic farming."/>
    <s v="LU006301.002"/>
    <s v="Explain the principles and practices of organic farming."/>
    <s v="LU006301.003"/>
    <s v="Illustrate the differences between organic farming and conventional farming."/>
    <s v="LU006301.004"/>
    <s v="Analyze the benefits and challenges of organic farming."/>
    <s v="LU006301.005"/>
    <s v="Evaluate the impact of organic farming on soil health and crop yield."/>
    <s v="LU006301.006"/>
    <s v="Develop an organic farming plan for a specific crop, including practices and inputs."/>
    <s v="#N/A"/>
    <s v="#N/A"/>
    <s v="#N/A"/>
    <s v="#N/A"/>
    <s v="#N/A"/>
    <s v="#N/A"/>
    <s v="#N/A"/>
    <s v="#N/A"/>
    <s v="#N/A"/>
    <s v="#N/A"/>
    <s v="#N/A"/>
    <s v="#N/A"/>
    <s v="LU006299"/>
    <s v="Nutrient managment strategy for crops through fertilisers and manure "/>
    <s v="LU005058"/>
    <s v="Benefits of Traditional Farming Methods"/>
    <m/>
    <m/>
    <m/>
    <m/>
    <m/>
    <m/>
    <m/>
    <m/>
    <m/>
    <m/>
  </r>
  <r>
    <s v="NCERT 2025"/>
    <s v="CBSE"/>
    <x v="0"/>
    <x v="1"/>
    <x v="11"/>
    <x v="75"/>
    <s v="LU006302"/>
    <s v="Variety of Irrigation practices in India"/>
    <s v="LU006302.001"/>
    <s v="List the different types of irrigation practices used in India."/>
    <s v="LU006302.002"/>
    <s v="Explain the advantages and disadvantages of various irrigation practices."/>
    <s v="LU006302.003"/>
    <s v="Illustrate the implementation of a specific irrigation practice in a given region."/>
    <s v="LU006302.004"/>
    <s v="Analyze the factors influencing the choice of irrigation practices in different regions of India."/>
    <s v="LU006302.005"/>
    <s v="Evaluate the effectiveness of modern irrigation techniques in improving water use efficiency."/>
    <s v="LU006302.006"/>
    <s v="Design an irrigation plan for a farm that maximizes water use efficiency and crop yield."/>
    <s v="#N/A"/>
    <s v="#N/A"/>
    <s v="#N/A"/>
    <s v="#N/A"/>
    <s v="#N/A"/>
    <s v="#N/A"/>
    <s v="#N/A"/>
    <s v="#N/A"/>
    <s v="#N/A"/>
    <s v="#N/A"/>
    <s v="#N/A"/>
    <s v="#N/A"/>
    <s v="LU005619"/>
    <s v="Irrigation for crop production"/>
    <s v="LU005779"/>
    <s v="Natural Sources of Water"/>
    <m/>
    <m/>
    <m/>
    <m/>
    <m/>
    <m/>
    <m/>
    <m/>
    <m/>
    <m/>
  </r>
  <r>
    <s v="NCERT 2025"/>
    <s v="CBSE"/>
    <x v="0"/>
    <x v="1"/>
    <x v="11"/>
    <x v="76"/>
    <s v="LU006304"/>
    <s v="Weed and pests management strategy in crop production"/>
    <s v="LU006304.001"/>
    <s v="Define weeds and weed management."/>
    <s v="LU006304.002"/>
    <s v="Explain the importance of weed management in crop production."/>
    <s v="LU006304.003"/>
    <s v="Illustrate different methods of weed control."/>
    <s v="LU006304.004"/>
    <s v="Analyze the effectiveness of chemical and non-chemical weed management strategies."/>
    <s v="LU006304.005"/>
    <s v="Evaluate the impact of integrated weed management on crop yield and environmental health."/>
    <s v="LU006304.006"/>
    <s v="Develop a comprehensive weed management plan for a specific crop."/>
    <s v="#N/A"/>
    <s v="#N/A"/>
    <s v="#N/A"/>
    <s v="#N/A"/>
    <s v="#N/A"/>
    <s v="#N/A"/>
    <s v="#N/A"/>
    <s v="#N/A"/>
    <s v="#N/A"/>
    <s v="#N/A"/>
    <s v="#N/A"/>
    <s v="#N/A"/>
    <s v="LU005620"/>
    <s v="Methods of Crop Protection in agricultural practices"/>
    <s v="LU006297"/>
    <s v="Concept of variety of factors targeted for improving crop variety"/>
    <s v="LU006296"/>
    <s v="Methods of improving crop variety(hybridisation and GMCs )"/>
    <m/>
    <m/>
    <m/>
    <m/>
    <m/>
    <m/>
    <m/>
    <m/>
  </r>
  <r>
    <s v="NCERT 2025"/>
    <s v="CBSE"/>
    <x v="0"/>
    <x v="1"/>
    <x v="11"/>
    <x v="76"/>
    <s v="LU006306"/>
    <s v="Concept of effective grain storage in crop production"/>
    <s v="LU006306.001"/>
    <s v="Define the concept of grain storage."/>
    <s v="LU006306.002"/>
    <s v="Explain the importance of effective grain storage in crop production."/>
    <s v="LU006306.003"/>
    <s v="Illustrate the methods used for effective grain storage."/>
    <s v="LU006306.004"/>
    <s v="Analyze the factors affecting grain storage and preservation."/>
    <s v="LU006306.005"/>
    <s v="Evaluate the effectiveness of different grain storage techniques in preventing losses."/>
    <s v="LU006306.006"/>
    <s v="Develop a grain storage plan that minimizes post-harvest losses."/>
    <s v="#N/A"/>
    <s v="#N/A"/>
    <s v="#N/A"/>
    <s v="#N/A"/>
    <s v="#N/A"/>
    <s v="#N/A"/>
    <s v="#N/A"/>
    <s v="#N/A"/>
    <s v="#N/A"/>
    <s v="#N/A"/>
    <s v="#N/A"/>
    <s v="#N/A"/>
    <s v="LU005068"/>
    <s v="Food spoilage and its causes"/>
    <s v="LU005621"/>
    <s v="Harvesting and storage in crop production"/>
    <m/>
    <m/>
    <m/>
    <m/>
    <m/>
    <m/>
    <m/>
    <m/>
    <m/>
    <m/>
  </r>
  <r>
    <s v="NCERT 2025"/>
    <s v="CBSE"/>
    <x v="0"/>
    <x v="1"/>
    <x v="11"/>
    <x v="77"/>
    <s v="LU006307"/>
    <s v="Concept of animal husbandry and cattle farming "/>
    <s v="LU006307.001"/>
    <s v="Define animal husbandry."/>
    <s v="LU006307.002"/>
    <s v="Explain the significance of animal husbandry in agriculture."/>
    <s v="LU006307.003"/>
    <s v="Illustrate the practices involved in animal husbandry."/>
    <s v="LU006307.004"/>
    <s v="Analyze the benefits of integrating animal husbandry with crop production."/>
    <s v="LU006307.005"/>
    <s v="Evaluate the impact of good animal husbandry practices on livestock health and productivity."/>
    <s v="LU006307.006"/>
    <s v="Develop a management plan for a small-scale animal husbandry operation."/>
    <s v="#N/A"/>
    <s v="#N/A"/>
    <s v="#N/A"/>
    <s v="#N/A"/>
    <s v="#N/A"/>
    <s v="#N/A"/>
    <s v="#N/A"/>
    <s v="#N/A"/>
    <s v="#N/A"/>
    <s v="#N/A"/>
    <s v="#N/A"/>
    <s v="#N/A"/>
    <s v=""/>
    <m/>
    <m/>
    <m/>
    <m/>
    <m/>
    <m/>
    <m/>
    <m/>
    <m/>
    <m/>
    <m/>
    <m/>
    <m/>
  </r>
  <r>
    <s v="NCERT 2025"/>
    <s v="CBSE"/>
    <x v="0"/>
    <x v="1"/>
    <x v="11"/>
    <x v="78"/>
    <s v="LU006310"/>
    <s v="Poultry farming in India"/>
    <s v="LU006310.001"/>
    <s v="List the common breeds of poultry used in India."/>
    <s v="LU006310.002"/>
    <s v="Explain the practices involved in poultry farming in India."/>
    <s v="LU006310.003"/>
    <s v="Illustrate the differences between broiler and layer management."/>
    <s v="LU006310.004"/>
    <s v="Analyze the factors affecting poultry production in India."/>
    <s v="LU006310.005"/>
    <s v="Evaluate the impact of improved poultry breeds on egg and meat production."/>
    <s v="LU006310.006"/>
    <s v="Develop a poultry farming plan that includes breeding, feeding, and health management practices."/>
    <s v="#N/A"/>
    <s v="#N/A"/>
    <s v="#N/A"/>
    <s v="#N/A"/>
    <s v="#N/A"/>
    <s v="#N/A"/>
    <s v="#N/A"/>
    <s v="#N/A"/>
    <s v="#N/A"/>
    <s v="#N/A"/>
    <s v="#N/A"/>
    <s v="#N/A"/>
    <s v=""/>
    <m/>
    <m/>
    <m/>
    <m/>
    <m/>
    <m/>
    <m/>
    <m/>
    <m/>
    <m/>
    <m/>
    <m/>
    <m/>
  </r>
  <r>
    <s v="NCERT 2025"/>
    <s v="CBSE"/>
    <x v="0"/>
    <x v="1"/>
    <x v="11"/>
    <x v="79"/>
    <s v="LU006312"/>
    <s v="Fish production in India"/>
    <s v="LU006312.001"/>
    <s v="List the types of fish production systems."/>
    <s v="LU006312.002"/>
    <s v="Explain the importance of fish production for food."/>
    <s v="LU006312.003"/>
    <s v="Illustrate the differences between capture and culture fishery."/>
    <s v="LU006312.004"/>
    <s v="Analyze the factors affecting fish production in different systems."/>
    <s v="LU006312.005"/>
    <s v="Evaluate the benefits and challenges of different fish production methods."/>
    <s v="LU006312.006"/>
    <s v="Develop a fish production plan that includes best practices for sustainable yield."/>
    <s v="#N/A"/>
    <s v="#N/A"/>
    <s v="#N/A"/>
    <s v="#N/A"/>
    <s v="#N/A"/>
    <s v="#N/A"/>
    <s v="#N/A"/>
    <s v="#N/A"/>
    <s v="#N/A"/>
    <s v="#N/A"/>
    <s v="#N/A"/>
    <s v="#N/A"/>
    <s v=""/>
    <m/>
    <m/>
    <m/>
    <m/>
    <m/>
    <m/>
    <m/>
    <m/>
    <m/>
    <m/>
    <m/>
    <m/>
    <m/>
  </r>
  <r>
    <s v="NCERT 2025"/>
    <s v="CBSE"/>
    <x v="0"/>
    <x v="1"/>
    <x v="11"/>
    <x v="79"/>
    <s v="LU006315"/>
    <s v="Introduction to bee-keeping"/>
    <s v="LU006315.001"/>
    <s v="Identify the common species of bees used in bee-keeping."/>
    <s v="LU006315.002"/>
    <s v="Explain the significance of bee-keeping in agriculture."/>
    <s v="LU006315.003"/>
    <s v="Illustrate the setup of a bee-keeping operation."/>
    <s v="LU006315.004"/>
    <s v="Analyze the factors affecting honey production."/>
    <s v="LU006315.005"/>
    <s v="Evaluate the benefits of bee-keeping for farmers."/>
    <s v="LU006315.006"/>
    <s v="Develop a bee-keeping plan that includes best practices for hive management and honey production."/>
    <s v="#N/A"/>
    <s v="#N/A"/>
    <s v="#N/A"/>
    <s v="#N/A"/>
    <s v="#N/A"/>
    <s v="#N/A"/>
    <s v="#N/A"/>
    <s v="#N/A"/>
    <s v="#N/A"/>
    <s v="#N/A"/>
    <s v="#N/A"/>
    <s v="#N/A"/>
    <s v=""/>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r>
    <m/>
    <m/>
    <x v="1"/>
    <x v="3"/>
    <x v="12"/>
    <x v="80"/>
    <m/>
    <m/>
    <m/>
    <m/>
    <m/>
    <m/>
    <m/>
    <m/>
    <m/>
    <m/>
    <m/>
    <m/>
    <m/>
    <m/>
    <m/>
    <m/>
    <m/>
    <m/>
    <m/>
    <m/>
    <m/>
    <m/>
    <m/>
    <m/>
    <m/>
    <m/>
    <m/>
    <m/>
    <m/>
    <m/>
    <m/>
    <m/>
    <m/>
    <m/>
    <m/>
    <m/>
    <m/>
    <m/>
    <m/>
    <m/>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71">
  <r>
    <s v="NCERT 2025"/>
    <s v="CBSE"/>
    <x v="0"/>
    <x v="0"/>
    <x v="0"/>
    <x v="0"/>
    <s v="LU001177"/>
    <s v="Introduction to irrational numbers [definition, representation, characteristics, examples]"/>
    <s v="LU001177.001"/>
    <s v="Define irrational numbers as numbers that cannot be expressed as a ratio of two integers."/>
    <s v="LU001177.002"/>
    <s v="Describe the characteristics that distinguish irrational numbers from rational numbers."/>
    <s v="LU001177.003"/>
    <s v="Provide examples of irrational numbers and explain why they fit the definition."/>
    <s v="LU001177.004"/>
    <s v="Differentiate between various types of numbers by identifying which are irrational based on their characteristics."/>
    <s v="LU001177.005"/>
    <s v="Assess the historical significance of the discovery of irrational numbers by the Pythagoreans"/>
    <s v="LU001177.006"/>
    <s v="Generate new examples of irrational numbers and explain their characteristics."/>
    <s v="#N/A"/>
    <s v="#N/A"/>
    <s v="#N/A"/>
    <s v="#N/A"/>
    <s v="#N/A"/>
    <s v="#N/A"/>
    <s v="#N/A"/>
    <s v="#N/A"/>
    <s v="#N/A"/>
    <s v="#N/A"/>
    <s v="#N/A"/>
    <s v="#N/A"/>
    <s v="LU000464"/>
    <s v="Definition of rational numbers"/>
    <s v="LU000647"/>
    <s v="Definition of square root"/>
    <m/>
    <m/>
    <m/>
    <m/>
    <m/>
    <m/>
    <m/>
    <m/>
    <m/>
    <m/>
  </r>
  <r>
    <s v="NCERT 2025"/>
    <s v="CBSE"/>
    <x v="0"/>
    <x v="0"/>
    <x v="0"/>
    <x v="0"/>
    <s v="LU001178"/>
    <s v="Introduction to real numbers [definition, denotation]"/>
    <s v="LU001178.001"/>
    <s v="State the definition of real numbers."/>
    <s v="LU001178.002"/>
    <s v="Explain the denotation of real numbers and how they encompass both rational and irrational numbers."/>
    <s v="LU001178.003"/>
    <s v="Identify examples of real numbers and classify them as either rational or irrational."/>
    <s v="LU001178.004"/>
    <s v="Explain how rational and irrational numbers together form the set of real numbers."/>
    <s v="LU001178.005"/>
    <s v="Assess the significance of real numbers in the number system and justify their comprehensive nature."/>
    <s v="LU001178.006"/>
    <s v="Construct a set of real numbers including both rational and irrational numbers, explaining their denotation and characteristics."/>
    <s v="#N/A"/>
    <s v="#N/A"/>
    <s v="#N/A"/>
    <s v="#N/A"/>
    <s v="#N/A"/>
    <s v="#N/A"/>
    <s v="#N/A"/>
    <s v="#N/A"/>
    <s v="#N/A"/>
    <s v="#N/A"/>
    <s v="#N/A"/>
    <s v="#N/A"/>
    <s v="LU001177"/>
    <s v="Introduction to irrational numbers [definition, representation, characteristics, examples]"/>
    <m/>
    <m/>
    <m/>
    <m/>
    <m/>
    <m/>
    <m/>
    <m/>
    <m/>
    <m/>
    <m/>
    <m/>
  </r>
  <r>
    <s v="NCERT 2025"/>
    <s v="CBSE"/>
    <x v="0"/>
    <x v="0"/>
    <x v="0"/>
    <x v="0"/>
    <s v="LU001179"/>
    <s v="Representation of irrational numbers on real number line [visual proof]"/>
    <s v="LU001179.001"/>
    <s v="Recall the steps to represent √2 on the number line using a compass and a ruler."/>
    <s v="LU001179.002"/>
    <s v="Explain how to locate an irrational number, such as √3, on the number line using geometric constructions."/>
    <s v="LU001179.003"/>
    <s v="Demonstrate the steps to represent an irrational number on the number line using the Pythagorean theorem."/>
    <s v="LU001179.004"/>
    <s v="Break down the geometric construction process used to represent irrational numbers on the number line into distinct steps."/>
    <s v="LU001179.005"/>
    <s v="Evaluate the accuracy of representing irrational numbers on the number line through geometric methods."/>
    <s v="LU001179.006"/>
    <s v="Construct a geometric proof to represent an irrational number, such as √5, on the number line using appropriate tools."/>
    <s v="#N/A"/>
    <s v="#N/A"/>
    <s v="#N/A"/>
    <s v="#N/A"/>
    <s v="#N/A"/>
    <s v="#N/A"/>
    <s v="#N/A"/>
    <s v="#N/A"/>
    <s v="#N/A"/>
    <s v="#N/A"/>
    <s v="#N/A"/>
    <s v="#N/A"/>
    <s v="LU000434"/>
    <s v="Pythagoras property"/>
    <s v="LU001177"/>
    <s v="Introduction to irrational numbers [definition, representation, characteristics, examples]"/>
    <s v="LU000470"/>
    <s v="Representation of rational numbers on a number line"/>
    <m/>
    <m/>
    <m/>
    <m/>
    <m/>
    <m/>
    <m/>
    <m/>
  </r>
  <r>
    <s v="NCERT 2025"/>
    <s v="CBSE"/>
    <x v="0"/>
    <x v="0"/>
    <x v="0"/>
    <x v="1"/>
    <s v="LU001180"/>
    <s v="Rational numbers as terminating decimal [definition, express one form to another]"/>
    <s v="LU001180.001"/>
    <s v="Define a terminating decimal and identify examples of rational numbers that have terminating decimal expansions."/>
    <s v="LU001180.002"/>
    <s v="Explain the process of converting a rational number (fractional form) to a terminating decimal and vice versa."/>
    <s v="LU001180.003"/>
    <s v="Convert a given rational number in fractional form to its terminating decimal form and vice versa."/>
    <s v="LU001180.004"/>
    <s v="Differentiate between rational numbers with terminating and non-terminating decimal expansions."/>
    <s v="LU001180.005"/>
    <s v="Assess the validity of a decimal representation to determine if it corresponds to a terminating decimal."/>
    <s v="LU001180.006"/>
    <s v="Develop a step-by-step guide for converting fractions with denominators that result in terminating decimals."/>
    <s v="#N/A"/>
    <s v="#N/A"/>
    <s v="#N/A"/>
    <s v="#N/A"/>
    <s v="#N/A"/>
    <s v="#N/A"/>
    <s v="#N/A"/>
    <s v="#N/A"/>
    <s v="#N/A"/>
    <s v="#N/A"/>
    <s v="#N/A"/>
    <s v="#N/A"/>
    <s v="LU000097"/>
    <s v="Convert fractional form to decimal number"/>
    <s v="LU000096"/>
    <s v="Convert decimal number to fractional form"/>
    <m/>
    <m/>
    <m/>
    <m/>
    <m/>
    <m/>
    <m/>
    <m/>
    <m/>
    <m/>
  </r>
  <r>
    <s v="NCERT 2025"/>
    <s v="CBSE"/>
    <x v="0"/>
    <x v="0"/>
    <x v="0"/>
    <x v="1"/>
    <s v="LU001181"/>
    <s v="Rational numbers as non-terminating recurring decimal [definition, express one form to another]"/>
    <s v="LU001181.001"/>
    <s v="State the definition of a non-terminating recurring decimal."/>
    <s v="LU001181.002"/>
    <s v="Explain how a rational number can be expressed as a non-terminating recurring decimal and vice versa"/>
    <s v="LU001181.003"/>
    <s v="Convert a given rational number(fractional form) into its non-terminating recurring decimal form and vice versa."/>
    <s v="LU001181.004"/>
    <s v="Determine the repeating sequence in the non-terminating recurring decimal form of the rational numbers (fractional form)."/>
    <s v="LU001181.005"/>
    <s v="Validate the conversion process of a non-terminating recurring decimal back into its fractional form."/>
    <s v="LU001181.006"/>
    <s v="Develop a step-by-step procedure to express any given rational number as a non-terminating recurring decimal and vice versa."/>
    <s v="#N/A"/>
    <s v="#N/A"/>
    <s v="#N/A"/>
    <s v="#N/A"/>
    <s v="#N/A"/>
    <s v="#N/A"/>
    <s v="#N/A"/>
    <s v="#N/A"/>
    <s v="#N/A"/>
    <s v="#N/A"/>
    <s v="#N/A"/>
    <s v="#N/A"/>
    <s v="LU000097"/>
    <s v="Convert fractional form to decimal number"/>
    <s v="LU000096"/>
    <s v="Convert decimal number to fractional form"/>
    <s v="LU001180"/>
    <s v="Rational numbers as terminating decimal [definition, express one form to another]"/>
    <m/>
    <m/>
    <m/>
    <m/>
    <m/>
    <m/>
    <m/>
    <m/>
  </r>
  <r>
    <s v="NCERT 2025"/>
    <s v="CBSE"/>
    <x v="0"/>
    <x v="0"/>
    <x v="0"/>
    <x v="2"/>
    <s v="LU001182"/>
    <s v="Non-terminating non-recurring decimals as irrational number [definition]"/>
    <s v="LU001182.001"/>
    <s v="Define a non-terminating, non-recurring decimal."/>
    <s v="LU001182.002"/>
    <s v="Explain why non-terminating, non-recurring decimals are considered irrational numbers."/>
    <s v="LU001182.003"/>
    <s v="Identify an example of a non-terminating, non-recurring decimal from a given list."/>
    <s v="LU001182.004"/>
    <s v="Differentiate between rational and irrational numbers based on their decimal expansions."/>
    <s v="LU001182.005"/>
    <s v="Evaluate the accuracy of classifying a given decimal as non-terminating, non-recurring."/>
    <s v="LU001182.006"/>
    <s v="Formulate a mathematical argument to prove that a specific decimal is non-terminating and non-recurring."/>
    <s v="#N/A"/>
    <s v="#N/A"/>
    <s v="#N/A"/>
    <s v="#N/A"/>
    <s v="#N/A"/>
    <s v="#N/A"/>
    <s v="#N/A"/>
    <s v="#N/A"/>
    <s v="#N/A"/>
    <s v="#N/A"/>
    <s v="#N/A"/>
    <s v="#N/A"/>
    <s v="LU001181"/>
    <s v="Rational numbers as non-terminating recurring decimal [definition, express one form to another]"/>
    <s v="LU001177"/>
    <s v="Introduction to irrational numbers [definition, representation, characteristics, examples]"/>
    <m/>
    <m/>
    <m/>
    <m/>
    <m/>
    <m/>
    <m/>
    <m/>
    <m/>
    <m/>
  </r>
  <r>
    <s v="NCERT 2025"/>
    <s v="CBSE"/>
    <x v="0"/>
    <x v="0"/>
    <x v="0"/>
    <x v="2"/>
    <s v="LU001183"/>
    <s v="Irrational (non-terminating non-recurring) numbers between two rational numbers"/>
    <s v="LU001183.001"/>
    <s v="State examples of common irrational numbers (e.g., √2, 𝜋)._x000a_"/>
    <s v="LU001183.002"/>
    <s v="Describe the process of finding an irrational number between two given rational numbers."/>
    <s v="LU001183.003"/>
    <s v="Identify an irrational number between two given rational numbers."/>
    <s v="LU001183.004"/>
    <s v="Compare the density of rational and irrational numbers on the number line."/>
    <s v="LU001183.005"/>
    <s v="Assess the validity of a given method for finding an irrational number between two rational numbers."/>
    <s v="LU001183.006"/>
    <s v="Construct an example demonstrating the method to find an irrational number between two given rational numbers."/>
    <s v="#N/A"/>
    <s v="#N/A"/>
    <s v="#N/A"/>
    <s v="#N/A"/>
    <s v="#N/A"/>
    <s v="#N/A"/>
    <s v="#N/A"/>
    <s v="#N/A"/>
    <s v="#N/A"/>
    <s v="#N/A"/>
    <s v="#N/A"/>
    <s v="#N/A"/>
    <s v="LU001182"/>
    <s v="Non-terminating non-recurring decimals as irrational number [definition]"/>
    <m/>
    <m/>
    <m/>
    <m/>
    <m/>
    <m/>
    <m/>
    <m/>
    <m/>
    <m/>
    <m/>
    <m/>
  </r>
  <r>
    <s v="NCERT 2025"/>
    <s v="CBSE"/>
    <x v="0"/>
    <x v="0"/>
    <x v="0"/>
    <x v="3"/>
    <s v="LU001185"/>
    <s v="Addition of a rational and an irrational number"/>
    <s v="LU001185.001"/>
    <s v="Recall that the sum of a rational number and an irrational number is always irrational."/>
    <s v="LU001185.002"/>
    <s v="Explain why the sum of a rational number and an irrational number is always irrational."/>
    <s v="LU001185.003"/>
    <s v="Calculate the sum of a given rational number and an irrational number."/>
    <s v="LU001185.004"/>
    <s v="Identify the properties of the sum when a rational number is added to an irrational number."/>
    <s v="LU001185.005"/>
    <s v="Determine whether a given number is the correct result of adding a rational and an irrational number."/>
    <s v="LU001185.006"/>
    <s v="Design a problem where a rational number is added to an irrational number, and explain the steps to solve it."/>
    <s v="#N/A"/>
    <s v="#N/A"/>
    <s v="#N/A"/>
    <s v="#N/A"/>
    <s v="#N/A"/>
    <s v="#N/A"/>
    <s v="#N/A"/>
    <s v="#N/A"/>
    <s v="#N/A"/>
    <s v="#N/A"/>
    <s v="#N/A"/>
    <s v="#N/A"/>
    <s v="LU001177"/>
    <s v="Introduction to irrational numbers [definition, representation, characteristics, examples]"/>
    <s v="LU000474"/>
    <s v="Addition of rational numbers"/>
    <m/>
    <m/>
    <m/>
    <m/>
    <m/>
    <m/>
    <m/>
    <m/>
    <m/>
    <m/>
  </r>
  <r>
    <s v="NCERT 2025"/>
    <s v="CBSE"/>
    <x v="0"/>
    <x v="0"/>
    <x v="0"/>
    <x v="3"/>
    <s v="LU001186"/>
    <s v="Subtraction of a rational and an irrational number"/>
    <s v="LU001186.001"/>
    <s v="Recall that the difference between a rational number and an irrational number is always irrational."/>
    <s v="LU001186.002"/>
    <s v="Explain why the difference between a rational number and an irrational number is always irrational."/>
    <s v="LU001186.003"/>
    <s v="Calculate the difference between a given rational number and an irrational number."/>
    <s v="LU001186.004"/>
    <s v="Distinguish between the outcomes of subtracting rational numbers from irrational numbers and vice versa."/>
    <s v="LU001186.005"/>
    <s v="Determine whether a given number is the correct result of subtracting a rational number from an irrational number."/>
    <s v="LU001186.006"/>
    <s v="Design a problem where a rational number is subtracted from an irrational number, and explain the steps to solve it."/>
    <s v="#N/A"/>
    <s v="#N/A"/>
    <s v="#N/A"/>
    <s v="#N/A"/>
    <s v="#N/A"/>
    <s v="#N/A"/>
    <s v="#N/A"/>
    <s v="#N/A"/>
    <s v="#N/A"/>
    <s v="#N/A"/>
    <s v="#N/A"/>
    <s v="#N/A"/>
    <s v="LU001177"/>
    <s v="Introduction to irrational numbers [definition, representation, characteristics, examples]"/>
    <s v="LU000475"/>
    <s v="Subtraction of rational numbers"/>
    <m/>
    <m/>
    <m/>
    <m/>
    <m/>
    <m/>
    <m/>
    <m/>
    <m/>
    <m/>
  </r>
  <r>
    <s v="NCERT 2025"/>
    <s v="CBSE"/>
    <x v="0"/>
    <x v="0"/>
    <x v="0"/>
    <x v="4"/>
    <s v="LU001187"/>
    <s v="Multiplication of a non-zero rational with an irrational number"/>
    <s v="LU001187.001"/>
    <s v="Recall that the product of a non-zero rational number and an irrational number is always irrational."/>
    <s v="LU001187.002"/>
    <s v="Explain why the product of a non-zero rational number and an irrational number is always irrational."/>
    <s v="LU001187.003"/>
    <s v="Calculate the product of a given non-zero rational number and an irrational number."/>
    <s v="LU001187.004"/>
    <s v="Determine the impact on the product when the non-zero rational number is varied while keeping the irrational number constant."/>
    <s v="LU001187.005"/>
    <s v="Determine whether a given number is the correct result of multiplying a non-zero rational number by an irrational number."/>
    <s v="LU001187.006"/>
    <s v="ormulate an example where a non-zero rational number is multiplied by an irrational number and explain why the result is irrational."/>
    <s v="#N/A"/>
    <s v="#N/A"/>
    <s v="#N/A"/>
    <s v="#N/A"/>
    <s v="#N/A"/>
    <s v="#N/A"/>
    <s v="#N/A"/>
    <s v="#N/A"/>
    <s v="#N/A"/>
    <s v="#N/A"/>
    <s v="#N/A"/>
    <s v="#N/A"/>
    <s v="LU001177"/>
    <s v="Introduction to irrational numbers [definition, representation, characteristics, examples]"/>
    <s v="LU000476"/>
    <s v="Multiplication of rational numbers"/>
    <m/>
    <m/>
    <m/>
    <m/>
    <m/>
    <m/>
    <m/>
    <m/>
    <m/>
    <m/>
  </r>
  <r>
    <s v="NCERT 2025"/>
    <s v="CBSE"/>
    <x v="0"/>
    <x v="0"/>
    <x v="0"/>
    <x v="4"/>
    <s v="LU001188"/>
    <s v="Quotient of a non-zero rational number with an irrational number"/>
    <s v="LU001188.001"/>
    <s v="Recall that the quotient of a non-zero rational number and an irrational number is always irrational."/>
    <s v="LU001188.002"/>
    <s v="Explain why the quotient of a non-zero rational number and an irrational number is always irrational."/>
    <s v="LU001188.003"/>
    <s v="Calculate the quotient of a given non-zero rational number and an irrational number."/>
    <s v="LU001188.004"/>
    <s v="Compare the results of dividing different non-zero rational numbers by the same irrational number."/>
    <s v="LU001188.005"/>
    <s v="Determine the correctness of a given result obtained by dividing a non-zero rational number by an irrational number."/>
    <s v="LU001188.006"/>
    <s v="Construct a problem where a non-zero rational number is divided by an irrational number and explain why the result is irrational."/>
    <s v="#N/A"/>
    <s v="#N/A"/>
    <s v="#N/A"/>
    <s v="#N/A"/>
    <s v="#N/A"/>
    <s v="#N/A"/>
    <s v="#N/A"/>
    <s v="#N/A"/>
    <s v="#N/A"/>
    <s v="#N/A"/>
    <s v="#N/A"/>
    <s v="#N/A"/>
    <s v="LU001177"/>
    <s v="Introduction to irrational numbers [definition, representation, characteristics, examples]"/>
    <s v="LU000477"/>
    <s v="Division of rational numbers"/>
    <m/>
    <m/>
    <m/>
    <m/>
    <m/>
    <m/>
    <m/>
    <m/>
    <m/>
    <m/>
  </r>
  <r>
    <s v="NCERT 2025"/>
    <s v="CBSE"/>
    <x v="0"/>
    <x v="0"/>
    <x v="0"/>
    <x v="5"/>
    <s v="LU001189"/>
    <s v="Addition of two irrational numbers"/>
    <s v="LU001189.001"/>
    <s v="Recall that the sum of two irrational numbers is not necessarily irrational."/>
    <s v="LU001189.002"/>
    <s v="Explain why the sum of two irrational numbers can sometimes be rational."/>
    <s v="LU001189.003"/>
    <s v="Calculate the sum of given pairs of irrational numbers and determine whether the result is rational or irrational."/>
    <s v="LU001189.004"/>
    <s v="Compare the properties of sums of different pairs of irrational numbers."/>
    <s v="LU001189.005"/>
    <s v="Assess whether a given number could be the result of adding two irrational numbers."/>
    <s v="LU001189.006"/>
    <s v="Formulate an example where the sum of two specific irrational numbers is rational, and explain the reasoning."/>
    <s v="#N/A"/>
    <s v="#N/A"/>
    <s v="#N/A"/>
    <s v="#N/A"/>
    <s v="#N/A"/>
    <s v="#N/A"/>
    <s v="#N/A"/>
    <s v="#N/A"/>
    <s v="#N/A"/>
    <s v="#N/A"/>
    <s v="#N/A"/>
    <s v="#N/A"/>
    <s v="LU000210"/>
    <s v="Methods of prime factorisation"/>
    <s v="LU000647"/>
    <s v="Definition of square root"/>
    <s v="LU001185"/>
    <s v="Addition of a rational and an irrational number"/>
    <m/>
    <m/>
    <m/>
    <m/>
    <m/>
    <m/>
    <m/>
    <m/>
  </r>
  <r>
    <s v="NCERT 2025"/>
    <s v="CBSE"/>
    <x v="0"/>
    <x v="0"/>
    <x v="0"/>
    <x v="5"/>
    <s v="LU001190"/>
    <s v="Subtraction of two irrational numbers"/>
    <s v="LU001190.001"/>
    <s v="Recall that the difference between two irrational numbers is not necessarily irrational."/>
    <s v="LU001190.002"/>
    <s v="Explain why the difference between two irrational numbers can sometimes be rational."/>
    <s v="LU001190.003"/>
    <s v="Calculate the difference between given pairs of irrational numbers and determine whether the result is rational or irrational."/>
    <s v="LU001190.004"/>
    <s v="Compare the properties of differences of different pairs of irrational numbers."/>
    <s v="LU001190.005"/>
    <s v="Assess whether a given number could be the result of subtracting two irrational numbers."/>
    <s v="LU001190.006"/>
    <s v="Formulate a new problem where the difference between two irrational numbers is rational and explain the solution."/>
    <s v="#N/A"/>
    <s v="#N/A"/>
    <s v="#N/A"/>
    <s v="#N/A"/>
    <s v="#N/A"/>
    <s v="#N/A"/>
    <s v="#N/A"/>
    <s v="#N/A"/>
    <s v="#N/A"/>
    <s v="#N/A"/>
    <s v="#N/A"/>
    <s v="#N/A"/>
    <s v="LU001189"/>
    <s v="Addition of two irrational numbers"/>
    <s v="LU001186"/>
    <s v="Subtraction of a rational and an irrational number"/>
    <m/>
    <m/>
    <m/>
    <m/>
    <m/>
    <m/>
    <m/>
    <m/>
    <m/>
    <m/>
  </r>
  <r>
    <s v="NCERT 2025"/>
    <s v="CBSE"/>
    <x v="0"/>
    <x v="0"/>
    <x v="0"/>
    <x v="6"/>
    <s v="LU001191"/>
    <s v="Multiplication of two irrational numbers"/>
    <s v="LU001191.001"/>
    <s v="Recall that the product of two irrational numbers is not necessarily irrational."/>
    <s v="LU001191.002"/>
    <s v="Explain why the product of two irrational numbers can sometimes be rational."/>
    <s v="LU001191.003"/>
    <s v="Calculate the product of given pairs of irrational numbers and determine whether the result is rational or irrational."/>
    <s v="LU001191.004"/>
    <s v="Compare the properties of products of different pairs of irrational numbers."/>
    <s v="LU001191.005"/>
    <s v="Determine whether a given number could be the result of multiplying two irrational numbers."/>
    <s v="LU001191.006"/>
    <s v="Construct a problem where the product of two specific irrational numbers is rational, and explain the reasoning."/>
    <s v="#N/A"/>
    <s v="#N/A"/>
    <s v="#N/A"/>
    <s v="#N/A"/>
    <s v="#N/A"/>
    <s v="#N/A"/>
    <s v="#N/A"/>
    <s v="#N/A"/>
    <s v="#N/A"/>
    <s v="#N/A"/>
    <s v="#N/A"/>
    <s v="#N/A"/>
    <s v="LU000210"/>
    <s v="Methods of prime factorisation"/>
    <s v="LU000647"/>
    <s v="Definition of square root"/>
    <s v="LU001187"/>
    <s v="Multiplication of a non-zero rational with an irrational number"/>
    <m/>
    <m/>
    <m/>
    <m/>
    <m/>
    <m/>
    <m/>
    <m/>
  </r>
  <r>
    <s v="NCERT 2025"/>
    <s v="CBSE"/>
    <x v="0"/>
    <x v="0"/>
    <x v="0"/>
    <x v="6"/>
    <s v="LU001192"/>
    <s v="Division of two irrational numbers"/>
    <s v="LU001192.001"/>
    <s v="Recall that the quotient of two irrational numbers is not necessarily irrational."/>
    <s v="LU001192.002"/>
    <s v="Explain why the quotient of two irrational numbers can sometimes be rational."/>
    <s v="LU001192.003"/>
    <s v="Calculate the quotient of given pairs of irrational numbers and determine whether the result is rational or irrational."/>
    <s v="LU001192.004"/>
    <s v="Compare the properties of quotients of different pairs of irrational numbers."/>
    <s v="LU001192.005"/>
    <s v="Determine whether a given number could be the result of dividing two irrational numbers."/>
    <s v="LU001192.006"/>
    <s v="Formulate a problem where the quotient of two specific irrational numbers is rational, and explain the solution."/>
    <s v="#N/A"/>
    <s v="#N/A"/>
    <s v="#N/A"/>
    <s v="#N/A"/>
    <s v="#N/A"/>
    <s v="#N/A"/>
    <s v="#N/A"/>
    <s v="#N/A"/>
    <s v="#N/A"/>
    <s v="#N/A"/>
    <s v="#N/A"/>
    <s v="#N/A"/>
    <s v="LU001191"/>
    <s v="Multiplication of two irrational numbers"/>
    <s v="LU001188"/>
    <s v="Quotient of a non-zero rational number with an irrational number"/>
    <m/>
    <m/>
    <m/>
    <m/>
    <m/>
    <m/>
    <m/>
    <m/>
    <m/>
    <m/>
  </r>
  <r>
    <s v="NCERT 2025"/>
    <s v="CBSE"/>
    <x v="0"/>
    <x v="0"/>
    <x v="0"/>
    <x v="7"/>
    <s v="LU001193"/>
    <s v="Square root of a real number x, x&gt;0 [numerically, number line]"/>
    <s v="LU001193.001"/>
    <s v="Recall the notation and symbol used for the square root of a positive real number."/>
    <s v="LU001193.002"/>
    <s v="Explain how the square root of a positive real number is represented on a number line."/>
    <s v="LU001193.003"/>
    <s v="Calculate the square root of positive real numbers and plot the results on a number line."/>
    <s v="LU001193.004"/>
    <s v="Differentiate between perfect squares and non-perfect squares by their square roots on a number line."/>
    <s v="LU001193.005"/>
    <s v="Assess the approximation of square roots of non-perfect squares by locating them on a number line."/>
    <s v="LU001193.006"/>
    <s v="Develop a visual method to demonstrate the concept of square roots using a number line, including perfect and non-perfect squares."/>
    <s v="#N/A"/>
    <s v="#N/A"/>
    <s v="#N/A"/>
    <s v="#N/A"/>
    <s v="#N/A"/>
    <s v="#N/A"/>
    <s v="#N/A"/>
    <s v="#N/A"/>
    <s v="#N/A"/>
    <s v="#N/A"/>
    <s v="#N/A"/>
    <s v="#N/A"/>
    <s v="LU000434"/>
    <s v="Pythagoras property"/>
    <s v="LU000649"/>
    <s v="Square root of perfect square numbers through prime factorisation"/>
    <s v="LU001178"/>
    <s v="Introduction to real numbers [definition, denotation]"/>
    <s v="LU000232"/>
    <s v="Elements of circle (Centre, radius, diameter)"/>
    <m/>
    <m/>
    <m/>
    <m/>
    <m/>
    <m/>
  </r>
  <r>
    <s v="NCERT 2025"/>
    <s v="CBSE"/>
    <x v="0"/>
    <x v="0"/>
    <x v="0"/>
    <x v="7"/>
    <s v="LU001194"/>
    <s v="Definition of nth root of a real number [definition, denotation, radical sign]"/>
    <s v="LU001194.001"/>
    <s v="State the definition of the nth root of a real number."/>
    <s v="LU001194.002"/>
    <s v="Explain the notation and radical sign used for the nth root of a real number."/>
    <s v="LU001194.003"/>
    <s v="Calculate the nth root of given real numbers using the radical sign."/>
    <s v="LU001194.004"/>
    <s v="Differentiate between the square root, cube root, and higher-order roots in terms of notation and value."/>
    <s v="LU001194.005"/>
    <s v="Assess the accuracy of calculating the nth root using a calculator or other computational tools."/>
    <s v="LU001194.006"/>
    <s v="Develop a visual or digital representation to illustrate the concept of nth roots and the use of the radical sign."/>
    <s v="#N/A"/>
    <s v="#N/A"/>
    <s v="#N/A"/>
    <s v="#N/A"/>
    <s v="#N/A"/>
    <s v="#N/A"/>
    <s v="#N/A"/>
    <s v="#N/A"/>
    <s v="#N/A"/>
    <s v="#N/A"/>
    <s v="#N/A"/>
    <s v="#N/A"/>
    <s v="LU001193"/>
    <s v="Square root of a real number x, x&gt;0 [numerically, number line]"/>
    <m/>
    <m/>
    <m/>
    <m/>
    <m/>
    <m/>
    <m/>
    <m/>
    <m/>
    <m/>
    <m/>
    <m/>
  </r>
  <r>
    <s v="NCERT 2025"/>
    <s v="CBSE"/>
    <x v="0"/>
    <x v="0"/>
    <x v="0"/>
    <x v="8"/>
    <s v="LU001195"/>
    <s v="Identity related to square root of product: √ab, a and b positive real number"/>
    <s v="LU001195.001"/>
    <s v="Recall the identity √ab=√a√b for positive real numbers a and b."/>
    <s v="LU001195.002"/>
    <s v="Explain why the identity √ab=√a√b holds for positive real numbers a and b."/>
    <s v="LU001195.003"/>
    <s v="Use the identity √ab=√a√b to simplify square roots in different expressions."/>
    <s v="LU001195.004"/>
    <s v="Compare the results of calculating √ab directly and using the identity √ab=√a√b to verify the identity."/>
    <s v="LU001195.005"/>
    <s v="Assess the effectiveness of using the identity √ab=√a√b in solving complex mathematical problems."/>
    <s v="LU001195.006"/>
    <s v="Develop a set of problems that require the use of the identity √ab=√a√b and solve them."/>
    <s v="#N/A"/>
    <s v="#N/A"/>
    <s v="#N/A"/>
    <s v="#N/A"/>
    <s v="#N/A"/>
    <s v="#N/A"/>
    <s v="#N/A"/>
    <s v="#N/A"/>
    <s v="#N/A"/>
    <s v="#N/A"/>
    <s v="#N/A"/>
    <s v="#N/A"/>
    <s v="LU001191"/>
    <s v="Multiplication of two irrational numbers"/>
    <s v="LU001193"/>
    <s v="Square root of a real number x, x&gt;0 [numerically, number line]"/>
    <m/>
    <m/>
    <m/>
    <m/>
    <m/>
    <m/>
    <m/>
    <m/>
    <m/>
    <m/>
  </r>
  <r>
    <s v="NCERT 2025"/>
    <s v="CBSE"/>
    <x v="0"/>
    <x v="0"/>
    <x v="0"/>
    <x v="8"/>
    <s v="LU001196"/>
    <s v="Identity related to square root of quotient: √a/b, a and b positive real number"/>
    <s v="LU001196.001"/>
    <s v="Recall the identity √a/b=√a/√b for positive real numbers a and b."/>
    <s v="LU001196.002"/>
    <s v="Explain why the identity √a/b=√a/√b holds for positive real numbers a and b."/>
    <s v="LU001196.003"/>
    <s v="Use the identity √a/b=√a/√b to simplify expressions involving square roots of quotients."/>
    <s v="LU001196.004"/>
    <s v="Compare the results of calculating √a/b directly and using the identity √a/b=√a/√b to verify the identity."/>
    <s v="LU001196.005"/>
    <s v="Assess the effectiveness of using the identity √a/b=√a/√b in solving complex mathematical problems."/>
    <s v="LU001196.006"/>
    <s v="Develop a set of problems that require the use of the identity √a/b=√a/√b and solve them."/>
    <s v="#N/A"/>
    <s v="#N/A"/>
    <s v="#N/A"/>
    <s v="#N/A"/>
    <s v="#N/A"/>
    <s v="#N/A"/>
    <s v="#N/A"/>
    <s v="#N/A"/>
    <s v="#N/A"/>
    <s v="#N/A"/>
    <s v="#N/A"/>
    <s v="#N/A"/>
    <s v="LU001192"/>
    <s v="Division of two irrational numbers"/>
    <s v="LU001193"/>
    <s v="Square root of a real number x, x&gt;0 [numerically, number line]"/>
    <m/>
    <m/>
    <m/>
    <m/>
    <m/>
    <m/>
    <m/>
    <m/>
    <m/>
    <m/>
  </r>
  <r>
    <s v="NCERT 2025"/>
    <s v="CBSE"/>
    <x v="0"/>
    <x v="0"/>
    <x v="0"/>
    <x v="9"/>
    <s v="LU001197"/>
    <s v="Identity (√a + √b)(√a - √b) for positive real numbers a and b"/>
    <s v="LU001197.001"/>
    <s v="Recall the identity (√a + √b)(√a - √b) = a - b for positive real numbers a and b."/>
    <s v="LU001197.002"/>
    <s v="Explain why the identity (√a + √b)(√a - √b) = a - b holds for positive real numbers a and b."/>
    <s v="LU001197.003"/>
    <s v="Use the identity (√a + √b)(√a - √b) = a - b to simplify expressions."/>
    <s v="LU001197.004"/>
    <s v="Compare the results of expanding (√a + √b)(√a - √b) directly and using the identity a - b to verify the identity."/>
    <s v="LU001197.005"/>
    <s v="Assess the usefulness of the identity (√a + √b)(√a - √b) = a - b in solving complex mathematical problems."/>
    <s v="LU001197.006"/>
    <s v="Develop a set of problems that require the use of the identity (√a + √b)(√a - √b) = a - b and solve them."/>
    <s v="#N/A"/>
    <s v="#N/A"/>
    <s v="#N/A"/>
    <s v="#N/A"/>
    <s v="#N/A"/>
    <s v="#N/A"/>
    <s v="#N/A"/>
    <s v="#N/A"/>
    <s v="#N/A"/>
    <s v="#N/A"/>
    <s v="#N/A"/>
    <s v="#N/A"/>
    <s v="LU000703"/>
    <s v="Algebraic identity for (a+b)(a-b)"/>
    <s v="LU001195"/>
    <s v="Identity related to square root of product: √ab, a and b positive real number"/>
    <m/>
    <m/>
    <m/>
    <m/>
    <m/>
    <m/>
    <m/>
    <m/>
    <m/>
    <m/>
  </r>
  <r>
    <s v="NCERT 2025"/>
    <s v="CBSE"/>
    <x v="0"/>
    <x v="0"/>
    <x v="0"/>
    <x v="9"/>
    <s v="LU001198"/>
    <s v="Identity (a + √b)(a - √b) for positive real numbers a and b"/>
    <s v="LU001198.001"/>
    <s v="Recall the identity (a + √b)(a - √b)=a^2 - b for positive real numbers 𝑎 and 𝑏"/>
    <s v="LU001198.002"/>
    <s v="Explain why the identity (a + √b)(a - √b)=a^2 - b holds for positive real numbers a and b"/>
    <s v="LU001198.003"/>
    <s v="Use the identity (a + √b)(a - √b)=a^2 - b to simplify expressions"/>
    <s v="LU001198.004"/>
    <s v="Compare the results of expanding (a + √b)(a - √b) directly and using the identity a^2 - b to verify the identity."/>
    <s v="LU001198.005"/>
    <s v="Assess the usefulness of the identity (a + √b)(a - √b)=a^2 - b in solving complex mathematical problems."/>
    <s v="LU001198.006"/>
    <s v="Develop a set of problems that require the use of the identity (a + √b)(a - √b)=a^2 - b and solve them."/>
    <s v="#N/A"/>
    <s v="#N/A"/>
    <s v="#N/A"/>
    <s v="#N/A"/>
    <s v="#N/A"/>
    <s v="#N/A"/>
    <s v="#N/A"/>
    <s v="#N/A"/>
    <s v="#N/A"/>
    <s v="#N/A"/>
    <s v="#N/A"/>
    <s v="#N/A"/>
    <s v="LU000703"/>
    <s v="Algebraic identity for (a+b)(a-b)"/>
    <s v="LU001195"/>
    <s v="Identity related to square root of product: √ab, a and b positive real number"/>
    <s v="LU001187"/>
    <s v="Multiplication of a non-zero rational with an irrational number"/>
    <m/>
    <m/>
    <m/>
    <m/>
    <m/>
    <m/>
    <m/>
    <m/>
  </r>
  <r>
    <s v="NCERT 2025"/>
    <s v="CBSE"/>
    <x v="0"/>
    <x v="0"/>
    <x v="0"/>
    <x v="10"/>
    <s v="LU001199"/>
    <s v="Identity (√a + √b)(√c + √b) for positive real numbers a, b, c, and d"/>
    <s v="LU001199.001"/>
    <s v="Recall the identity (√a+√b)(√c+√d)=√ac+√ad+√bc+√bd for positive real numbers a, b, c and d"/>
    <s v="LU001199.002"/>
    <s v="Explain why the identity (√a+√b)(√c+√d)=√ac+√ad+√bc+√bd holds for positive real numbers a, b, c and d"/>
    <s v="LU001199.003"/>
    <s v="Use the identity (√a+√b)(√c+√d)=√ac+√ad+√bc+√bd to simplify expressions"/>
    <s v="LU001199.004"/>
    <s v="Compare the results of expanding (√a+√b)(√c+√d) directly and using the identity √ac+√ad+√bc+√bd to verify the identity."/>
    <s v="LU001199.005"/>
    <s v="Assess the usefulness of the identity (√a+√b)(√c+√d)=√ac+√ad+√bc+√bd in solving complex mathematical problems."/>
    <s v="LU001199.006"/>
    <s v="Develop a set of problems that require the use of the identity (√a+√b)(√c+√d)=√ac+√ad+√bc+√bd and solve them."/>
    <s v="#N/A"/>
    <s v="#N/A"/>
    <s v="#N/A"/>
    <s v="#N/A"/>
    <s v="#N/A"/>
    <s v="#N/A"/>
    <s v="#N/A"/>
    <s v="#N/A"/>
    <s v="#N/A"/>
    <s v="#N/A"/>
    <s v="#N/A"/>
    <s v="#N/A"/>
    <s v="LU001195"/>
    <s v="Identity related to square root of product: √ab, a and b positive real number"/>
    <m/>
    <m/>
    <m/>
    <m/>
    <m/>
    <m/>
    <m/>
    <m/>
    <m/>
    <m/>
    <m/>
    <m/>
  </r>
  <r>
    <s v="NCERT 2025"/>
    <s v="CBSE"/>
    <x v="0"/>
    <x v="0"/>
    <x v="0"/>
    <x v="10"/>
    <s v="LU001200"/>
    <s v="Identity (√a + √b)^2 for positive real numbers a and b"/>
    <s v="LU001200.001"/>
    <s v="Recall the identity (√a + √b)^2=a+b+2√ab for positive real numbers a and b"/>
    <s v="LU001200.002"/>
    <s v="Explain why the identity (√a + √b)^2=a+b+2√ab holds for positive real numbers a and b"/>
    <s v="LU001200.003"/>
    <s v="Use the identity (√a + √b)^2=a+b+2√ab to simplify expressions"/>
    <s v="LU001200.004"/>
    <s v="Compare the results of expanding (√a + √b)^2 directly and using the identity a+b+2√ab to verify the identity."/>
    <s v="LU001200.005"/>
    <s v="Assess the usefulness of the identity (√a + √b)^2=a+b+2√ab in solving complex mathematical problems."/>
    <s v="LU001200.006"/>
    <s v="Develop a set of problems that require the use of the identity (√a + √b)^2=a+b+2√ab and solve them."/>
    <s v="#N/A"/>
    <s v="#N/A"/>
    <s v="#N/A"/>
    <s v="#N/A"/>
    <s v="#N/A"/>
    <s v="#N/A"/>
    <s v="#N/A"/>
    <s v="#N/A"/>
    <s v="#N/A"/>
    <s v="#N/A"/>
    <s v="#N/A"/>
    <s v="#N/A"/>
    <s v="LU000705"/>
    <s v="Algebraic identity for (a+b)^2"/>
    <s v="LU001049"/>
    <s v="Express square root of a whole number in exponential form"/>
    <s v="LU001195"/>
    <s v="Identity related to square root of product: √ab, a and b positive real number"/>
    <m/>
    <m/>
    <m/>
    <m/>
    <m/>
    <m/>
    <m/>
    <m/>
  </r>
  <r>
    <s v="NCERT 2025"/>
    <s v="CBSE"/>
    <x v="0"/>
    <x v="0"/>
    <x v="0"/>
    <x v="11"/>
    <s v="LU001201"/>
    <s v="Identities related to square roots for positive real numbers"/>
    <s v="LU001201.001"/>
    <s v="Recall the identities involving square roots for positive real numbers."/>
    <s v="LU001201.002"/>
    <s v="Explain why the identities (√a + √b)^2, (√a + √b)(√c+√b), (a + √b)(a - √b), (√a + √b)(√a - √b), √a/b and √ab​ hold true for positive real numbers."/>
    <s v="LU001201.003"/>
    <s v="Use multiple identities involving square roots to simplify expressions."/>
    <s v="LU001201.004"/>
    <s v="Differentiate between correct and incorrect applications of square root identities in solving mathematical problems."/>
    <s v="LU001201.005"/>
    <s v="Assess the effectiveness of using square root identities in solving complex expressions."/>
    <s v="LU001201.006"/>
    <s v="Formulate a set of problems that require the use of square root identities and solve them, demonstrating step-by-step solutions."/>
    <s v="#N/A"/>
    <s v="#N/A"/>
    <s v="#N/A"/>
    <s v="#N/A"/>
    <s v="#N/A"/>
    <s v="#N/A"/>
    <s v="#N/A"/>
    <s v="#N/A"/>
    <s v="#N/A"/>
    <s v="#N/A"/>
    <s v="#N/A"/>
    <s v="#N/A"/>
    <s v="LU000649"/>
    <s v="Square root of perfect square numbers through prime factorisation"/>
    <s v="LU001178"/>
    <s v="Introduction to real numbers [definition, denotation]"/>
    <m/>
    <m/>
    <m/>
    <m/>
    <m/>
    <m/>
    <m/>
    <m/>
    <m/>
    <m/>
  </r>
  <r>
    <s v="NCERT 2025"/>
    <s v="CBSE"/>
    <x v="0"/>
    <x v="0"/>
    <x v="0"/>
    <x v="12"/>
    <s v="LU001202"/>
    <s v="Rationalisation of denominator (radical in denominator): 1/c√a±b where a is positive integer, and b and c are any integers"/>
    <s v="LU001202.001"/>
    <s v="Recall the steps involved in rationalising the denominator of an expression of type 1/c√a±b containing a radical."/>
    <s v="LU001202.002"/>
    <s v="Explain the purpose and method of rationalising the denominator in expressions like 1/c√a±b."/>
    <s v="LU001202.003"/>
    <s v="Use appropriate techniques to rationalise the denominator of expressions such as 1/c√a±b."/>
    <s v="LU001202.004"/>
    <s v="Identify errors in rationalising the denominator of given expressions of type 1/c√a±b and correct them."/>
    <s v="LU001202.005"/>
    <s v="Assess the effectiveness of rationalising the denominator in simplifying complex mathematical expression of type 1/c√a±b."/>
    <s v="LU001202.006"/>
    <s v="Develop a set of problems that involve rationalising the denominator of expression of type 1/c√a±b containing radicals and solve them."/>
    <s v="#N/A"/>
    <s v="#N/A"/>
    <s v="#N/A"/>
    <s v="#N/A"/>
    <s v="#N/A"/>
    <s v="#N/A"/>
    <s v="#N/A"/>
    <s v="#N/A"/>
    <s v="#N/A"/>
    <s v="#N/A"/>
    <s v="#N/A"/>
    <s v="#N/A"/>
    <s v="LU001198"/>
    <s v="Identity (a + √b)(a - √b) for positive real numbers a and b"/>
    <s v="LU000649"/>
    <s v="Square root of perfect square numbers through prime factorisation"/>
    <m/>
    <m/>
    <m/>
    <m/>
    <m/>
    <m/>
    <m/>
    <m/>
    <m/>
    <m/>
  </r>
  <r>
    <s v="NCERT 2025"/>
    <s v="CBSE"/>
    <x v="0"/>
    <x v="0"/>
    <x v="0"/>
    <x v="12"/>
    <s v="LU001203"/>
    <s v="Rationalisation of denominator (radical in denominator): 1/√a+√b where a and b are positive integers"/>
    <s v="LU001203.001"/>
    <s v="Recall the steps involved in rationalising the denominator of an expression of type 1/√a+√b containing a radical."/>
    <s v="LU001203.002"/>
    <s v="Explain the purpose and method of rationalising the denominator in expressions like 1/√a+√b."/>
    <s v="LU001203.003"/>
    <s v="Use appropriate techniques to rationalise the denominator of expressions such as 1/√a+√b."/>
    <s v="LU001203.004"/>
    <s v="Identify errors in rationalising the denominator of given expressions of type 1/√a+√b and correct them."/>
    <s v="LU001203.005"/>
    <s v="Assess the effectiveness of rationalising the denominator in simplifying complex mathematical expression of type 1/√a+√b."/>
    <s v="LU001203.006"/>
    <s v="Develop a set of problems that involve rationalising the denominator of expression of type 1/√a+√b containing radicals and solve them."/>
    <s v="#N/A"/>
    <s v="#N/A"/>
    <s v="#N/A"/>
    <s v="#N/A"/>
    <s v="#N/A"/>
    <s v="#N/A"/>
    <s v="#N/A"/>
    <s v="#N/A"/>
    <s v="#N/A"/>
    <s v="#N/A"/>
    <s v="#N/A"/>
    <s v="#N/A"/>
    <s v="LU001197"/>
    <s v="Identity (√a + √b)(√a - √b) for positive real numbers a and b"/>
    <s v="LU000649"/>
    <s v="Square root of perfect square numbers through prime factorisation"/>
    <m/>
    <m/>
    <m/>
    <m/>
    <m/>
    <m/>
    <m/>
    <m/>
    <m/>
    <m/>
  </r>
  <r>
    <s v="NCERT 2025"/>
    <s v="CBSE"/>
    <x v="0"/>
    <x v="0"/>
    <x v="0"/>
    <x v="12"/>
    <s v="LU001204"/>
    <s v="Rationalisation of denominator (radical in denominator): 1/√a-√b where a and b are positive integers"/>
    <s v="LU001204.001"/>
    <s v="Recall the steps involved in rationalising the denominator of an expression of type 1/√a-√b containing a radical."/>
    <s v="LU001204.002"/>
    <s v="Explain the purpose and method of rationalising the denominator in expressions like 1/√a-√b."/>
    <s v="LU001204.003"/>
    <s v="Use appropriate techniques to rationalise the denominator of expressions such as 1/√a-√b."/>
    <s v="LU001204.004"/>
    <s v="Identify errors in rationalising the denominator of given expressions of type 1/√a-√b and correct them."/>
    <s v="LU001204.005"/>
    <s v="Assess the effectiveness of rationalising the denominator in simplifying complex mathematical expression of type 1/√a-√b."/>
    <s v="LU001204.006"/>
    <s v="Develop a set of problems that involve rationalising the denominator of expression of type 1/√a-√b containing radicals and solve them."/>
    <s v="#N/A"/>
    <s v="#N/A"/>
    <s v="#N/A"/>
    <s v="#N/A"/>
    <s v="#N/A"/>
    <s v="#N/A"/>
    <s v="#N/A"/>
    <s v="#N/A"/>
    <s v="#N/A"/>
    <s v="#N/A"/>
    <s v="#N/A"/>
    <s v="#N/A"/>
    <s v="LU001197"/>
    <s v="Identity (√a + √b)(√a - √b) for positive real numbers a and b"/>
    <s v="LU000649"/>
    <s v="Square root of perfect square numbers through prime factorisation"/>
    <m/>
    <m/>
    <m/>
    <m/>
    <m/>
    <m/>
    <m/>
    <m/>
    <m/>
    <m/>
  </r>
  <r>
    <s v="NCERT 2025"/>
    <s v="CBSE"/>
    <x v="0"/>
    <x v="0"/>
    <x v="0"/>
    <x v="13"/>
    <s v="LU001205"/>
    <s v="Law of power of a power for non-zero real bases with rational exponents"/>
    <s v="LU001205.001"/>
    <s v="Define the law of power of a power for non-zero real bases with rational exponents."/>
    <s v="LU001205.002"/>
    <s v="Explain how the law of power of a power applies to non-zero real bases with rational exponents."/>
    <s v="LU001205.003"/>
    <s v="Use the law of power of a power to simplify expressions with non-zero real bases and rational exponents."/>
    <s v="LU001205.004"/>
    <s v="Differentiate between expressions using the law of power of a power and other exponent laws."/>
    <s v="LU001205.005"/>
    <s v="Assess the correctness of simplifications using the law of power of a power for non-zero real bases and rational exponents."/>
    <s v="LU001205.006"/>
    <s v="Develop complex mathematical expressions using the law of power of a power for non-zero real bases and rational exponents."/>
    <s v="#N/A"/>
    <s v="#N/A"/>
    <s v="#N/A"/>
    <s v="#N/A"/>
    <s v="#N/A"/>
    <s v="#N/A"/>
    <s v="#N/A"/>
    <s v="#N/A"/>
    <s v="#N/A"/>
    <s v="#N/A"/>
    <s v="#N/A"/>
    <s v="#N/A"/>
    <s v="LU000528"/>
    <s v="Law of power of a power for rational numbers"/>
    <s v="LU000517"/>
    <s v="Definition of exponent of a number"/>
    <s v="LU000518"/>
    <s v="Definition of base of a number"/>
    <m/>
    <m/>
    <m/>
    <m/>
    <m/>
    <m/>
    <m/>
    <m/>
  </r>
  <r>
    <s v="NCERT 2025"/>
    <s v="CBSE"/>
    <x v="0"/>
    <x v="0"/>
    <x v="0"/>
    <x v="13"/>
    <s v="LU001206"/>
    <s v="Law of product of power for non-zero real bases with rational exponents"/>
    <s v="LU001206.001"/>
    <s v="Define the law of product of power for non-zero real bases with rational exponents."/>
    <s v="LU001206.002"/>
    <s v="Explain the application of the law of product of power with rational exponents."/>
    <s v="LU001206.003"/>
    <s v="Use the law of product of power to simplify expressions with non-zero real bases and rational exponents."/>
    <s v="LU001206.004"/>
    <s v="Differentiate between expressions simplified using the law of product of power for non-zero real bases with rational exponents and other exponent laws."/>
    <s v="LU001206.005"/>
    <s v="Evaluate the correctness of simplifications using the law of product of power for non-zero real bases."/>
    <s v="LU001206.006"/>
    <s v="Construct complex mathematical expressions using the law of product of power with non-zero real bases and rational exponents."/>
    <s v="#N/A"/>
    <s v="#N/A"/>
    <s v="#N/A"/>
    <s v="#N/A"/>
    <s v="#N/A"/>
    <s v="#N/A"/>
    <s v="#N/A"/>
    <s v="#N/A"/>
    <s v="#N/A"/>
    <s v="#N/A"/>
    <s v="#N/A"/>
    <s v="#N/A"/>
    <s v="LU000522"/>
    <s v="Law of product of power with the same base for rational numbers"/>
    <s v="LU000517"/>
    <s v="Definition of exponent of a number"/>
    <s v="LU000518"/>
    <s v="Definition of base of a number"/>
    <m/>
    <m/>
    <m/>
    <m/>
    <m/>
    <m/>
    <m/>
    <m/>
  </r>
  <r>
    <s v="NCERT 2025"/>
    <s v="CBSE"/>
    <x v="0"/>
    <x v="0"/>
    <x v="0"/>
    <x v="14"/>
    <s v="LU001207"/>
    <s v="Law of quotient of power for non-zero real bases with rational exponents"/>
    <s v="LU001207.001"/>
    <s v="Define the law of quotient of power for non-zero real bases with rational exponents."/>
    <s v="LU001207.002"/>
    <s v="Explain how the law of quotient of power applies to non-zero real bases with rational exponents."/>
    <s v="LU001207.003"/>
    <s v="Use the law of quotient of power to simplify expressions with non-zero real bases and rational exponents."/>
    <s v="LU001207.004"/>
    <s v="Differentiate between expressions using the law of quotient of power for non-zero real bases with rational exponents and other exponent laws."/>
    <s v="LU001207.005"/>
    <s v="Assess the correctness of simplifications using the law of quotient of power for non-zero real bases."/>
    <s v="LU001207.006"/>
    <s v="Formulate complex expressions using the law of quotient of power for non-zero real bases and rational exponents."/>
    <s v="#N/A"/>
    <s v="#N/A"/>
    <s v="#N/A"/>
    <s v="#N/A"/>
    <s v="#N/A"/>
    <s v="#N/A"/>
    <s v="#N/A"/>
    <s v="#N/A"/>
    <s v="#N/A"/>
    <s v="#N/A"/>
    <s v="#N/A"/>
    <s v="#N/A"/>
    <s v="LU000525"/>
    <s v="Law of quotient of power with the same base for rational numbers"/>
    <s v="LU000517"/>
    <s v="Definition of exponent of a number"/>
    <s v="LU000518"/>
    <s v="Definition of base of a number"/>
    <m/>
    <m/>
    <m/>
    <m/>
    <m/>
    <m/>
    <m/>
    <m/>
  </r>
  <r>
    <s v="NCERT 2025"/>
    <s v="CBSE"/>
    <x v="0"/>
    <x v="0"/>
    <x v="0"/>
    <x v="14"/>
    <s v="LU001208"/>
    <s v="Law of power of product for non-zero real bases with rational exponents"/>
    <s v="LU001208.001"/>
    <s v="Define the law of power of a product for non-zero real bases with rational exponents."/>
    <s v="LU001208.002"/>
    <s v="Explain how the law of power of a product applies to non-zero real bases with rational exponents."/>
    <s v="LU001208.003"/>
    <s v="Use the law of power of a product to simplify expressions involving non-zero real bases and rational exponents."/>
    <s v="LU001208.004"/>
    <s v="Compare expressions simplified using the law of power of a product for non-zero real bases with those simplified using other exponent laws."/>
    <s v="LU001208.005"/>
    <s v="Judge the accuracy of simplifications using the law of power of a product for non-zero real bases with rational exponents."/>
    <s v="LU001208.006"/>
    <s v="Develop complex expressions using the law of power of a product with non-zero real bases and rational exponents."/>
    <s v="#N/A"/>
    <s v="#N/A"/>
    <s v="#N/A"/>
    <s v="#N/A"/>
    <s v="#N/A"/>
    <s v="#N/A"/>
    <s v="#N/A"/>
    <s v="#N/A"/>
    <s v="#N/A"/>
    <s v="#N/A"/>
    <s v="#N/A"/>
    <s v="#N/A"/>
    <s v="LU000517"/>
    <s v="Definition of exponent of a number"/>
    <s v="LU000518"/>
    <s v="Definition of base of a number"/>
    <m/>
    <m/>
    <m/>
    <m/>
    <m/>
    <m/>
    <m/>
    <m/>
    <m/>
    <m/>
  </r>
  <r>
    <s v="NCERT 2025"/>
    <s v="CBSE"/>
    <x v="0"/>
    <x v="0"/>
    <x v="1"/>
    <x v="15"/>
    <s v="LU000509"/>
    <s v="Definition of a polynomial"/>
    <s v="LU000509.001"/>
    <s v="Define a polynomial."/>
    <s v="LU000509.002"/>
    <s v="Explain the concept of a polynomial and identify its components such as variables, constants, and exponents."/>
    <s v="LU000509.003"/>
    <s v="Apply the definition of a polynomial to determine whether a given expression is a polynomial or not."/>
    <s v="LU000509.004"/>
    <s v="#N/A"/>
    <s v="LU000509.005"/>
    <s v="Evaluate the validity of statements about polynomials and differentiate them from non-polynomial expressions."/>
    <s v="LU000509.006"/>
    <s v="#N/A"/>
    <n v="4"/>
    <n v="6"/>
    <n v="2"/>
    <n v="12"/>
    <n v="4"/>
    <n v="3"/>
    <n v="1"/>
    <n v="8"/>
    <m/>
    <m/>
    <m/>
    <m/>
    <s v="LU000517"/>
    <s v="Definition of exponent of a number"/>
    <s v="LU000518"/>
    <s v="Definition of base of a number"/>
    <s v="LU000508"/>
    <s v="Definition of like and unlike terms of algebraic expression"/>
    <s v="LU000505"/>
    <s v="Definition of a term of an algebraic expression"/>
    <m/>
    <m/>
    <m/>
    <m/>
    <m/>
    <m/>
  </r>
  <r>
    <s v="NCERT 2025"/>
    <s v="CBSE"/>
    <x v="0"/>
    <x v="0"/>
    <x v="1"/>
    <x v="16"/>
    <s v="LU000713"/>
    <s v="Definition of constant polynomial"/>
    <s v="LU000713.001"/>
    <s v="State the definition of a constant polynomial."/>
    <s v="LU000713.002"/>
    <s v="Explain the characteristics of a constant polynomial and its significance."/>
    <s v="LU000713.003"/>
    <s v="Apply the knowledge of constant polynomials to identify examples of such polynomials."/>
    <s v="LU000713.004"/>
    <s v="Examine various polynomial expressions and classify them as either constant or non-constant polynomials."/>
    <s v="LU000713.005"/>
    <s v="Evaluate the degree of a constant polynomial and its implications."/>
    <s v="LU000713.006"/>
    <s v="#N/A"/>
    <s v="#N/A"/>
    <s v="#N/A"/>
    <s v="#N/A"/>
    <s v="#N/A"/>
    <s v="#N/A"/>
    <s v="#N/A"/>
    <s v="#N/A"/>
    <s v="#N/A"/>
    <s v="#N/A"/>
    <s v="#N/A"/>
    <s v="#N/A"/>
    <s v="#N/A"/>
    <s v="LU000509"/>
    <s v="Definition of a polynomial"/>
    <s v="LU000330"/>
    <s v="Definition of variable and constant"/>
    <s v="LU000517"/>
    <s v="Definition of exponent of a number"/>
    <m/>
    <m/>
    <m/>
    <m/>
    <m/>
    <m/>
    <m/>
    <m/>
  </r>
  <r>
    <s v="NCERT 2025"/>
    <s v="CBSE"/>
    <x v="0"/>
    <x v="0"/>
    <x v="1"/>
    <x v="16"/>
    <s v="LU001262"/>
    <s v="Definition of zero polynomial"/>
    <s v="LU001262.001"/>
    <s v="Define a zero polynomial."/>
    <s v="LU001262.002"/>
    <s v="Explain why the degree of the zero polynomial is undefined."/>
    <s v="LU001262.003"/>
    <s v="Identify a zero polynomial from a set of given polynomials."/>
    <s v="LU001262.004"/>
    <s v="Differentiate between a zero polynomial and a polynomial with a zero constant term."/>
    <s v="LU001262.005"/>
    <s v="Assess the importance of the zero polynomial in polynomial operations."/>
    <s v="LU001262.006"/>
    <s v="Formulate a mathematical problem where identifying a zero polynomial is crucial to the solution."/>
    <s v="#N/A"/>
    <s v="#N/A"/>
    <s v="#N/A"/>
    <s v="#N/A"/>
    <s v="#N/A"/>
    <s v="#N/A"/>
    <s v="#N/A"/>
    <s v="#N/A"/>
    <s v="#N/A"/>
    <s v="#N/A"/>
    <s v="#N/A"/>
    <s v="#N/A"/>
    <s v="LU000509"/>
    <s v="Definition of a polynomial"/>
    <s v="LU000330"/>
    <s v="Definition of variable and constant"/>
    <m/>
    <m/>
    <m/>
    <m/>
    <m/>
    <m/>
    <m/>
    <m/>
    <m/>
    <m/>
  </r>
  <r>
    <s v="NCERT 2025"/>
    <s v="CBSE"/>
    <x v="0"/>
    <x v="0"/>
    <x v="1"/>
    <x v="16"/>
    <s v="LU000712"/>
    <s v="Definition of degree of polynomial"/>
    <s v="LU000712.001"/>
    <s v="Define the degree of a polynomial."/>
    <s v="LU000712.002"/>
    <s v="State the degree of a polynomial in one variable."/>
    <s v="LU000712.003"/>
    <s v="Classify polynomials as linear, quadratic, cubic and quartic/biquadratic"/>
    <s v="LU000712.004"/>
    <s v="Compare and contrast the degrees of two different polynomials."/>
    <s v="LU000712.005"/>
    <s v="Analyze a mathematical scenario involving a polynomial and determine the degree of the polynomial involved."/>
    <s v="LU000712.006"/>
    <s v="Create a mathematical problem that involves finding the degree of a polynomial and then solve it."/>
    <n v="5"/>
    <n v="6"/>
    <n v="2"/>
    <n v="13"/>
    <n v="4"/>
    <n v="3"/>
    <n v="1"/>
    <n v="8"/>
    <m/>
    <m/>
    <m/>
    <m/>
    <s v="LU000517"/>
    <s v="Definition of exponent of a number"/>
    <s v="LU000509"/>
    <s v="Definition of a polynomial"/>
    <s v="LU000330"/>
    <s v="Definition of variable and constant"/>
    <m/>
    <m/>
    <m/>
    <m/>
    <m/>
    <m/>
    <m/>
    <m/>
  </r>
  <r>
    <s v="NCERT 2025"/>
    <s v="CBSE"/>
    <x v="0"/>
    <x v="0"/>
    <x v="1"/>
    <x v="17"/>
    <s v="LU000763"/>
    <s v="Definition of linear polynomial"/>
    <s v="LU000763.001"/>
    <s v="State the definition of a linear polynomial."/>
    <s v="LU000763.002"/>
    <s v="Explain the characteristics and properties of linear polynomials."/>
    <s v="LU000763.003"/>
    <s v="Apply the knowledge of linear polynomials to identify examples in real-world contexts."/>
    <s v="LU000763.004"/>
    <s v="Analyse linear polynomial expressions to determine their properties and degree."/>
    <s v="LU000763.005"/>
    <s v="Assess whether a given equation represents a linear polynomial or not."/>
    <s v="LU000763.006"/>
    <s v="Create original linear polynomial expressions and provide explanations for their characteristics."/>
    <s v="#N/A"/>
    <s v="#N/A"/>
    <s v="#N/A"/>
    <s v="#N/A"/>
    <s v="#N/A"/>
    <s v="#N/A"/>
    <s v="#N/A"/>
    <s v="#N/A"/>
    <s v="#N/A"/>
    <s v="#N/A"/>
    <s v="#N/A"/>
    <s v="#N/A"/>
    <s v="LU000712"/>
    <s v="Definition of degree of polynomial"/>
    <s v="LU000509"/>
    <s v="Definition of a polynomial"/>
    <m/>
    <m/>
    <m/>
    <m/>
    <m/>
    <m/>
    <m/>
    <m/>
    <m/>
    <m/>
  </r>
  <r>
    <s v="NCERT 2025"/>
    <s v="CBSE"/>
    <x v="0"/>
    <x v="0"/>
    <x v="1"/>
    <x v="17"/>
    <s v="LU000762"/>
    <s v="Definition of quadratic polynomial"/>
    <s v="LU000762.001"/>
    <s v="State the definition of a quadratic polynomial and its general form."/>
    <s v="LU000762.002"/>
    <s v="Explain the characteristics and properties of quadratic polynomials."/>
    <s v="LU000762.003"/>
    <s v="Apply the knowledge of quadratic polynomials to identify examples in real-world contexts."/>
    <s v="LU000762.004"/>
    <s v="Examine quadratic expressions and determine whether they meet the criteria of a quadratic polynomial."/>
    <s v="LU000762.005"/>
    <s v="Assess whether a given equation represents a quadratic polynomial or not."/>
    <s v="LU000762.006"/>
    <s v="Create original quadratic polynomial expressions and provide explanations for their characteristics."/>
    <s v="#N/A"/>
    <s v="#N/A"/>
    <s v="#N/A"/>
    <s v="#N/A"/>
    <s v="#N/A"/>
    <s v="#N/A"/>
    <s v="#N/A"/>
    <s v="#N/A"/>
    <s v="#N/A"/>
    <s v="#N/A"/>
    <s v="#N/A"/>
    <s v="#N/A"/>
    <s v="LU000712"/>
    <s v="Definition of degree of polynomial"/>
    <s v="LU000763"/>
    <s v="Definition of linear polynomial"/>
    <m/>
    <m/>
    <m/>
    <m/>
    <m/>
    <m/>
    <m/>
    <m/>
    <m/>
    <m/>
  </r>
  <r>
    <s v="NCERT 2025"/>
    <s v="CBSE"/>
    <x v="0"/>
    <x v="0"/>
    <x v="1"/>
    <x v="17"/>
    <s v="LU000764"/>
    <s v="Definition of cubic polynomial"/>
    <s v="LU000764.001"/>
    <s v="State the definition of a cubic polynomial."/>
    <s v="LU000764.002"/>
    <s v="Describe the key features of a cubic polynomial, including its degree and the number of terms it contains."/>
    <s v="LU000764.003"/>
    <s v="Identify cubic polynomial expressions from a set of given expressions."/>
    <s v="LU000764.004"/>
    <s v="Examine a cubic polynomial expression and identify its highest degree term, coefficients, and constant term."/>
    <s v="LU000764.005"/>
    <s v="Assess whether a given equation represents a cubic polynomial or not."/>
    <s v="LU000764.006"/>
    <s v="Create original cubic polynomial expressions, ensuring proper degree and coefficients."/>
    <s v="#N/A"/>
    <s v="#N/A"/>
    <s v="#N/A"/>
    <s v="#N/A"/>
    <s v="#N/A"/>
    <s v="#N/A"/>
    <s v="#N/A"/>
    <s v="#N/A"/>
    <s v="#N/A"/>
    <s v="#N/A"/>
    <s v="#N/A"/>
    <s v="#N/A"/>
    <s v="LU000712"/>
    <s v="Definition of degree of polynomial"/>
    <s v="LU000762"/>
    <s v="Definition of quadratic polynomial"/>
    <m/>
    <m/>
    <m/>
    <m/>
    <m/>
    <m/>
    <m/>
    <m/>
    <m/>
    <m/>
  </r>
  <r>
    <s v="NCERT 2025"/>
    <s v="CBSE"/>
    <x v="0"/>
    <x v="0"/>
    <x v="1"/>
    <x v="18"/>
    <s v="LU001263"/>
    <s v="Definition and general form of a polynomial in one variable"/>
    <s v="LU001263.001"/>
    <s v="Define a polynomial in one variable."/>
    <s v="LU001263.002"/>
    <s v="Describe the general form of a polynomial in one variable."/>
    <s v="LU001263.003"/>
    <s v="Write a polynomial in one variable with given specific values for the coefficients and degree."/>
    <s v="LU001263.004"/>
    <s v="Identify the degree, leading coefficient, and constant term of a given polynomial."/>
    <s v="LU001263.005"/>
    <s v="Compare different polynomials to determine if they are equivalent based on their coefficients and degrees."/>
    <s v="LU001263.006"/>
    <s v="Formulate a polynomial to represent a real-life scenario."/>
    <s v="#N/A"/>
    <s v="#N/A"/>
    <s v="#N/A"/>
    <s v="#N/A"/>
    <s v="#N/A"/>
    <s v="#N/A"/>
    <s v="#N/A"/>
    <s v="#N/A"/>
    <s v="#N/A"/>
    <s v="#N/A"/>
    <s v="#N/A"/>
    <s v="#N/A"/>
    <s v="LU000509"/>
    <s v="Definition of a polynomial"/>
    <s v="LU000517"/>
    <s v="Definition of exponent of a number"/>
    <m/>
    <m/>
    <m/>
    <m/>
    <m/>
    <m/>
    <m/>
    <m/>
    <m/>
    <m/>
  </r>
  <r>
    <s v="NCERT 2025"/>
    <s v="CBSE"/>
    <x v="0"/>
    <x v="0"/>
    <x v="1"/>
    <x v="18"/>
    <s v="LU001264"/>
    <s v="Value(s) of a polynomial in one variable at given value(s) of the variable"/>
    <s v="LU001264.001"/>
    <s v="Define the value of a polynomial at a given value of the variable."/>
    <s v="LU001264.002"/>
    <s v="Explain the process of evaluating a polynomial at a specific value."/>
    <s v="LU001264.003"/>
    <s v="Calculate the value of a polynomial at given values of the variable."/>
    <s v="LU001264.004"/>
    <s v="Determine the effect of changing the value of the variable on the value of the polynomial."/>
    <s v="LU001264.005"/>
    <s v="Verify the correctness of the polynomial's value at given values of the variable."/>
    <s v="LU001264.006"/>
    <s v="Formulate a problem that involves finding the value of a polynomial at given values of the variable."/>
    <s v="#N/A"/>
    <s v="#N/A"/>
    <s v="#N/A"/>
    <s v="#N/A"/>
    <s v="#N/A"/>
    <s v="#N/A"/>
    <s v="#N/A"/>
    <s v="#N/A"/>
    <s v="#N/A"/>
    <s v="#N/A"/>
    <s v="#N/A"/>
    <s v="#N/A"/>
    <s v="LU000514"/>
    <s v="Evaluation of algebraic expressions"/>
    <s v="LU001263"/>
    <s v="Definition and general form of a polynomial in one variable"/>
    <s v="LU000330"/>
    <s v="Definition of variable and constant"/>
    <m/>
    <m/>
    <m/>
    <m/>
    <m/>
    <m/>
    <m/>
    <m/>
  </r>
  <r>
    <s v="NCERT 2025"/>
    <s v="CBSE"/>
    <x v="0"/>
    <x v="0"/>
    <x v="1"/>
    <x v="19"/>
    <s v="LU001265"/>
    <s v="Zeroes of a polynomial p(x)"/>
    <s v="LU001265.001"/>
    <s v="Define the zero of a polynomial."/>
    <s v="LU001265.002"/>
    <s v="Explain the process of finding the zeroes of a polynomial."/>
    <s v="LU001265.003"/>
    <s v="Identify the zeroes of a given polynomial."/>
    <s v="LU001265.004"/>
    <s v="Analyse and differentiate between zeroes of different types of polynomials."/>
    <s v="LU001265.005"/>
    <s v="Verify the zeroes of a polynomial by substituting them back into the polynomial."/>
    <s v="LU001265.006"/>
    <s v="Construct a polynomial given its zeroes and verify the construction."/>
    <s v="#N/A"/>
    <s v="#N/A"/>
    <s v="#N/A"/>
    <s v="#N/A"/>
    <s v="#N/A"/>
    <s v="#N/A"/>
    <s v="#N/A"/>
    <s v="#N/A"/>
    <s v="#N/A"/>
    <s v="#N/A"/>
    <s v="#N/A"/>
    <s v="#N/A"/>
    <s v="LU000589"/>
    <s v="Definition of root of a linear equation in one variable"/>
    <s v="LU001264"/>
    <s v="Value(s) of a polynomial in one variable at given value(s) of the variable"/>
    <m/>
    <m/>
    <m/>
    <m/>
    <m/>
    <m/>
    <m/>
    <m/>
    <m/>
    <m/>
  </r>
  <r>
    <s v="NCERT 2025"/>
    <s v="CBSE"/>
    <x v="0"/>
    <x v="0"/>
    <x v="1"/>
    <x v="20"/>
    <s v="LU001267"/>
    <s v="Factor Theorem"/>
    <s v="LU001267.001"/>
    <s v="Recall and state the theorem, including its assumptions and components."/>
    <s v="LU001267.002"/>
    <s v="Describe the steps involved in proving the theorem."/>
    <s v="LU001267.003"/>
    <s v="Use the theorem to solve various mathematical problems."/>
    <s v="LU001267.004"/>
    <s v="Break down the proof of the theorem into individual steps with explanations, check the correctness of each step and its explanation."/>
    <s v="LU001267.005"/>
    <s v="Critique the theorem by comparing it to related theorems or methods, discussing its strengths, limitations, and overall significance."/>
    <s v="LU001267.006"/>
    <s v="Construct a polynomial and demonstrate the process of factorising it using the Factor Theorem."/>
    <s v="#N/A"/>
    <s v="#N/A"/>
    <s v="#N/A"/>
    <s v="#N/A"/>
    <s v="#N/A"/>
    <s v="#N/A"/>
    <s v="#N/A"/>
    <s v="#N/A"/>
    <s v="#N/A"/>
    <s v="#N/A"/>
    <s v="#N/A"/>
    <s v="#N/A"/>
    <s v="LU001265"/>
    <s v="Zeroes of a polynomial p(x)"/>
    <s v="LU001264"/>
    <s v="Value(s) of a polynomial in one variable at given value(s) of the variable"/>
    <s v="LU000760"/>
    <s v="Factorisation of algebraic expressions using identities"/>
    <m/>
    <m/>
    <m/>
    <m/>
    <m/>
    <m/>
    <m/>
    <m/>
  </r>
  <r>
    <s v="NCERT 2025"/>
    <s v="CBSE"/>
    <x v="0"/>
    <x v="0"/>
    <x v="1"/>
    <x v="20"/>
    <s v="LU001268"/>
    <s v="Factorisation of the quadratic polynomial by splitting the middle term"/>
    <s v="LU001268.001"/>
    <s v="Recall the steps to factorise a quadratic polynomial by splitting the middle term."/>
    <s v="LU001268.002"/>
    <s v="Explain how the middle term of a quadratic polynomial is split to facilitate factorisation."/>
    <s v="LU001268.003"/>
    <s v="Factorise a given quadratic polynomial by splitting the middle term."/>
    <s v="LU001268.004"/>
    <s v="Break down the process of comparing coefficients when splitting the middle term of a quadratic polynomial."/>
    <s v="LU001268.005"/>
    <s v="Assess the effectiveness of splitting the middle term in simplifying quadratic polynomial factorisation."/>
    <s v="LU001268.006"/>
    <s v="Create a quadratic polynomial problem and solve it by splitting the middle term."/>
    <s v="#N/A"/>
    <s v="#N/A"/>
    <s v="#N/A"/>
    <s v="#N/A"/>
    <s v="#N/A"/>
    <s v="#N/A"/>
    <s v="#N/A"/>
    <s v="#N/A"/>
    <s v="#N/A"/>
    <s v="#N/A"/>
    <s v="#N/A"/>
    <s v="#N/A"/>
    <s v="LU000762"/>
    <s v="Definition of quadratic polynomial"/>
    <s v="LU000700"/>
    <s v="Multiplication of binomial by binomial"/>
    <m/>
    <m/>
    <m/>
    <m/>
    <m/>
    <m/>
    <m/>
    <m/>
    <m/>
    <m/>
  </r>
  <r>
    <s v="NCERT 2025"/>
    <s v="CBSE"/>
    <x v="0"/>
    <x v="0"/>
    <x v="1"/>
    <x v="21"/>
    <s v="LU001269"/>
    <s v="Factorisation of the quadratic polynomial by using the factor theorem"/>
    <s v="LU001269.001"/>
    <s v="List the factors of the constant term in a quadratic polynomial."/>
    <s v="LU001269.002"/>
    <s v="Describe the relationship between the factors of the constant term, the zeroes of the quadratic polynomial, and the sum of the coefficients of the variable with power 1."/>
    <s v="LU001269.003"/>
    <s v="Factorise a given quadratic polynomial using the Factor Theorem."/>
    <s v="LU001269.004"/>
    <s v="Analyse the proof of the Factor Theorem and its application in factorising quadratic polynomial."/>
    <s v="LU001269.005"/>
    <s v="Assess the correctness of factorisation by verifying the zeroes of the quadratic polynomial."/>
    <s v="LU001269.006"/>
    <s v="Formulate a new quadratic polynomial and demonstrate its factorisation using the Factor Theorem."/>
    <s v="#N/A"/>
    <s v="#N/A"/>
    <s v="#N/A"/>
    <s v="#N/A"/>
    <s v="#N/A"/>
    <s v="#N/A"/>
    <s v="#N/A"/>
    <s v="#N/A"/>
    <s v="#N/A"/>
    <s v="#N/A"/>
    <s v="#N/A"/>
    <s v="#N/A"/>
    <s v="LU001267"/>
    <s v="Factor Theorem"/>
    <s v="LU000762"/>
    <s v="Definition of quadratic polynomial"/>
    <m/>
    <m/>
    <m/>
    <m/>
    <m/>
    <m/>
    <m/>
    <m/>
    <m/>
    <m/>
  </r>
  <r>
    <s v="NCERT 2025"/>
    <s v="CBSE"/>
    <x v="0"/>
    <x v="0"/>
    <x v="1"/>
    <x v="21"/>
    <s v="LU001270"/>
    <s v="Factorisation of the cubic polynomial"/>
    <s v="LU001270.001"/>
    <s v="Recall the steps to identify a factor of a cubic polynomial by trial and error."/>
    <s v="LU001270.002"/>
    <s v="Explain the steps to factorize a cubic polynomial by identifying a factor, splitting the middle term, or using the Factor Theorem."/>
    <s v="LU001270.003"/>
    <s v="Apply the factor theorem to determine the factors of cubic polynomials."/>
    <s v="LU001270.004"/>
    <s v="Analyse the steps involved in factorizing cubic polynomials using the factor theorem and splitting the middle term."/>
    <s v="LU001270.005"/>
    <s v="Evaluate the accuracy of different factorization methods for cubic polynomials."/>
    <s v="LU001270.006"/>
    <s v="Develop a step-by-step method for factorizing any given cubic polynomial, incorporating both the factor theorem and middle term splitting techniques."/>
    <s v="#N/A"/>
    <s v="#N/A"/>
    <s v="#N/A"/>
    <s v="#N/A"/>
    <s v="#N/A"/>
    <s v="#N/A"/>
    <s v="#N/A"/>
    <s v="#N/A"/>
    <s v="#N/A"/>
    <s v="#N/A"/>
    <s v="#N/A"/>
    <s v="#N/A"/>
    <s v="LU001267"/>
    <s v="Factor Theorem"/>
    <s v="LU001268"/>
    <s v="Factorisation of the quadratic polynomial by splitting the middle term"/>
    <s v="LU001269"/>
    <s v="Factorisation of the quadratic polynomial by using the factor theorem"/>
    <s v="LU000764"/>
    <s v="Definition of cubic polynomial"/>
    <m/>
    <m/>
    <m/>
    <m/>
    <m/>
    <m/>
  </r>
  <r>
    <s v="NCERT 2025"/>
    <s v="CBSE"/>
    <x v="0"/>
    <x v="0"/>
    <x v="1"/>
    <x v="22"/>
    <s v="LU000707"/>
    <s v="Algebraic identity for (a+b+c)^2"/>
    <s v="LU000707.001"/>
    <s v="State the algebraic identity for (a+b+c)^2 and explain its importance in algebraic expressions."/>
    <s v="LU000707.002"/>
    <s v="Describe the meaning of the algebraic identity (a+b+c)^2 and provide a numerical example showcasing its use in polynomial expansion."/>
    <s v="LU000707.003"/>
    <s v="Utilize the algebraic identity (a+b+c)^2 to expand expressions (like (4x+3y+z)^2) and find the solution."/>
    <s v="LU000707.004"/>
    <s v="Analyse complex binomial expressions and determine when and how to apply the algebraic identity (a+b+c)^2 for expansion and simplification."/>
    <s v="LU000707.005"/>
    <s v="Assess the precision and effectiveness of applying the algebraic identity (a+b+c)^2 to expand expressions in various mathematical contexts."/>
    <s v="LU000707.006"/>
    <s v="Design original mathematical problems or scenarios where the algebraic identity (a+b+c)^2 is a critical component to apply this identity creatively in problem-solving."/>
    <s v="#N/A"/>
    <s v="#N/A"/>
    <s v="#N/A"/>
    <s v="#N/A"/>
    <s v="#N/A"/>
    <s v="#N/A"/>
    <s v="#N/A"/>
    <s v="#N/A"/>
    <s v="#N/A"/>
    <s v="#N/A"/>
    <s v="#N/A"/>
    <s v="#N/A"/>
    <s v="LU000699"/>
    <s v="Multiplication of polynomial by polynomial"/>
    <s v="LU000702"/>
    <s v="Definition of algebraic identity"/>
    <m/>
    <m/>
    <m/>
    <m/>
    <m/>
    <m/>
    <m/>
    <m/>
    <m/>
    <m/>
  </r>
  <r>
    <s v="NCERT 2025"/>
    <s v="CBSE"/>
    <x v="0"/>
    <x v="0"/>
    <x v="1"/>
    <x v="22"/>
    <s v="LU000912"/>
    <s v="Factorisation of algebraic expressions using identity (a + b + c)^2"/>
    <s v="LU000912.001"/>
    <s v="State the formula for the identity (a + b + c)^2."/>
    <s v="LU000912.002"/>
    <s v="Describe the role of each term (a^2, b^2, c^2, 2ab, 2bc and 2ac) in the expansion of (a + b + c)^2."/>
    <s v="LU000912.003"/>
    <s v="Apply the identity (a + b + c)^2 to factorise algebraic expressions."/>
    <s v="LU000912.004"/>
    <s v="Determine when it's more efficient to use (a + b + c)^2 compared to other factorisation methods for a given expression."/>
    <s v="LU000912.005"/>
    <s v="Critically assess factorisation of an expression using (a + b + c)^2, highlighting any errors or improvements."/>
    <s v="LU000912.006"/>
    <s v="Design a unique algebraic expression and then factorise it using the (a + b + c)^2 identity to simplify."/>
    <s v="#N/A"/>
    <s v="#N/A"/>
    <s v="#N/A"/>
    <s v="#N/A"/>
    <s v="#N/A"/>
    <s v="#N/A"/>
    <s v="#N/A"/>
    <s v="#N/A"/>
    <s v="#N/A"/>
    <s v="#N/A"/>
    <s v="#N/A"/>
    <s v="#N/A"/>
    <s v="LU000707"/>
    <s v="Algebraic identity for (a+b+c)^2"/>
    <s v="LU001267"/>
    <s v="Factor Theorem"/>
    <m/>
    <m/>
    <m/>
    <m/>
    <m/>
    <m/>
    <m/>
    <m/>
    <m/>
    <m/>
  </r>
  <r>
    <s v="NCERT 2025"/>
    <s v="CBSE"/>
    <x v="0"/>
    <x v="0"/>
    <x v="1"/>
    <x v="23"/>
    <s v="LU001271"/>
    <s v="Algebraic identity for (a+b)^3"/>
    <s v="LU001271.001"/>
    <s v="Recall the algebraic identity for (a+b)^3."/>
    <s v="LU001271.002"/>
    <s v="Explain the derivation of the identity (a+b)^3 = (a^3) + 3(a^2)b + (3ab^2) + (b^3)."/>
    <s v="LU001271.003"/>
    <s v="Apply the identity (a+b)^3 to simplify expressions or to find the cube of numbers."/>
    <s v="LU001271.004"/>
    <s v="Analyse polynomial expressions to identify where the identity (a+b)^3 can be applied."/>
    <s v="LU001271.005"/>
    <s v="Evaluate the effectiveness of using (a+b)^3 identity in solving polynomial equations."/>
    <s v="LU001271.006"/>
    <s v="Create polynomial problems that require the use of (a+b)^3 for simplification."/>
    <s v="#N/A"/>
    <s v="#N/A"/>
    <s v="#N/A"/>
    <s v="#N/A"/>
    <s v="#N/A"/>
    <s v="#N/A"/>
    <s v="#N/A"/>
    <s v="#N/A"/>
    <s v="#N/A"/>
    <s v="#N/A"/>
    <s v="#N/A"/>
    <s v="#N/A"/>
    <s v="LU000705"/>
    <s v="Algebraic identity for (a+b)^2"/>
    <s v="LU000661"/>
    <s v="Properties of cube of a number"/>
    <m/>
    <m/>
    <m/>
    <m/>
    <m/>
    <m/>
    <m/>
    <m/>
    <m/>
    <m/>
  </r>
  <r>
    <s v="NCERT 2025"/>
    <s v="CBSE"/>
    <x v="0"/>
    <x v="0"/>
    <x v="1"/>
    <x v="23"/>
    <s v="LU001273"/>
    <s v="Factorisation of algebraic expressions using identity (a+b)^3"/>
    <s v="LU001273.001"/>
    <s v="Identify the algebraic identity (a+b)^3 and its expanded form."/>
    <s v="LU001273.002"/>
    <s v="Explain the process of factorizing expressions using the identity (a+b)^3."/>
    <s v="LU001273.003"/>
    <s v="Use the identity (a+b)^3 to factorize given algebraic expressions "/>
    <s v="LU001273.004"/>
    <s v="Differentiate between expressions that can be factorized using (a+b)^3 and those that cannot."/>
    <s v="LU001273.005"/>
    <s v="Assess the accuracy of factorization in given algebraic expressions using (a+b)^3."/>
    <s v="LU001273.006"/>
    <s v="Create complex algebraic expressions and demonstrate their factorization using (a+b)^3."/>
    <s v="#N/A"/>
    <s v="#N/A"/>
    <s v="#N/A"/>
    <s v="#N/A"/>
    <s v="#N/A"/>
    <s v="#N/A"/>
    <s v="#N/A"/>
    <s v="#N/A"/>
    <s v="#N/A"/>
    <s v="#N/A"/>
    <s v="#N/A"/>
    <s v="#N/A"/>
    <s v="LU001271"/>
    <s v="Algebraic identity for (a+b)^3"/>
    <s v="LU000760"/>
    <s v="Factorisation of algebraic expressions using identities"/>
    <m/>
    <m/>
    <m/>
    <m/>
    <m/>
    <m/>
    <m/>
    <m/>
    <m/>
    <m/>
  </r>
  <r>
    <s v="NCERT 2025"/>
    <s v="CBSE"/>
    <x v="0"/>
    <x v="0"/>
    <x v="1"/>
    <x v="24"/>
    <s v="LU001272"/>
    <s v="Algebraic identity for (a-b)^3"/>
    <s v="LU001272.001"/>
    <s v="Recall the algebraic identity for (a-b)^3."/>
    <s v="LU001272.002"/>
    <s v="Explain the derivation of the identity (a-b)^3 = (a^3) - 3(a^2)b + (3ab^2) - (b^3)."/>
    <s v="LU001272.003"/>
    <s v="Apply the identity (a-b)^3 to simplify expressions or to find the cube of numbers."/>
    <s v="LU001272.004"/>
    <s v="Analyse polynomial expressions to identify where the identity (a-b)^3 can be applied."/>
    <s v="LU001272.005"/>
    <s v="Evaluate the effectiveness of using (a-b)^3 identity in solving polynomial equations."/>
    <s v="LU001272.006"/>
    <s v="Create polynomial problems that require the use of (a-b)^3 for simplification."/>
    <s v="#N/A"/>
    <s v="#N/A"/>
    <s v="#N/A"/>
    <s v="#N/A"/>
    <s v="#N/A"/>
    <s v="#N/A"/>
    <s v="#N/A"/>
    <s v="#N/A"/>
    <s v="#N/A"/>
    <s v="#N/A"/>
    <s v="#N/A"/>
    <s v="#N/A"/>
    <s v="LU001271"/>
    <s v="Algebraic identity for (a+b)^3"/>
    <s v="LU000704"/>
    <s v="Algebraic identity for (a-b)^2"/>
    <s v="LU000661"/>
    <s v="Properties of cube of a number"/>
    <m/>
    <m/>
    <m/>
    <m/>
    <m/>
    <m/>
    <m/>
    <m/>
  </r>
  <r>
    <s v="NCERT 2025"/>
    <s v="CBSE"/>
    <x v="0"/>
    <x v="0"/>
    <x v="1"/>
    <x v="24"/>
    <s v="LU001274"/>
    <s v="Factorisation of algebraic expressions using identity (a-b)^3"/>
    <s v="LU001274.001"/>
    <s v="Identify the algebraic identity (a-b)^3 and its expanded form."/>
    <s v="LU001274.002"/>
    <s v="Explain the process of factorizing expressions using the identity (a-b)^3."/>
    <s v="LU001274.003"/>
    <s v="Use the identity (a-b)^3 to factorize given algebraic expressions "/>
    <s v="LU001274.004"/>
    <s v="Differentiate between expressions that can be factorized using (a-b)^3 and those that cannot."/>
    <s v="LU001274.005"/>
    <s v="Assess the accuracy of factorization in given algebraic expressions using (a-b)^3."/>
    <s v="LU001274.006"/>
    <s v="Create complex algebraic expressions and demonstrate their factorization using (a-b)^3."/>
    <s v="#N/A"/>
    <s v="#N/A"/>
    <s v="#N/A"/>
    <s v="#N/A"/>
    <s v="#N/A"/>
    <s v="#N/A"/>
    <s v="#N/A"/>
    <s v="#N/A"/>
    <s v="#N/A"/>
    <s v="#N/A"/>
    <s v="#N/A"/>
    <s v="#N/A"/>
    <s v="LU001272"/>
    <s v="Algebraic identity for (a-b)^3"/>
    <s v="LU000760"/>
    <s v="Factorisation of algebraic expressions using identities"/>
    <m/>
    <m/>
    <m/>
    <m/>
    <m/>
    <m/>
    <m/>
    <m/>
    <m/>
    <m/>
  </r>
  <r>
    <s v="NCERT 2025"/>
    <s v="CBSE"/>
    <x v="0"/>
    <x v="0"/>
    <x v="1"/>
    <x v="25"/>
    <s v="LU001275"/>
    <s v="Algebraic identity for (a^3)+(b^3)+(c^3)-3abc "/>
    <s v="LU001275.001"/>
    <s v="Recall the algebraic identity for (a^3)+(b^3)+(c^3)-3abc."/>
    <s v="LU001275.002"/>
    <s v="Explain the derivation of the identity (a^3)+(b^3)+(c^3)-3abc =(a+b+c)[(a^2)+(b^2)+(c^2) - ab - bc - ca]."/>
    <s v="LU001275.003"/>
    <s v="Apply the identity (a^3)+(b^3)+(c^3)-3abc to simplify expressions."/>
    <s v="LU001275.004"/>
    <s v="Analyse polynomial expressions to identify where the identity (a^3)+(b^3)+(c^3)-3abc can be applied."/>
    <s v="LU001275.005"/>
    <s v="Evaluate the effectiveness of using (a^3)+(b^3)+(c^3)-3abc identity in solving polynomial equations."/>
    <s v="LU001275.006"/>
    <s v="Create polynomial problems that require the use of (a^3)+(b^3)+(c^3)-3abc for simplification."/>
    <s v="#N/A"/>
    <s v="#N/A"/>
    <s v="#N/A"/>
    <s v="#N/A"/>
    <s v="#N/A"/>
    <s v="#N/A"/>
    <s v="#N/A"/>
    <s v="#N/A"/>
    <s v="#N/A"/>
    <s v="#N/A"/>
    <s v="#N/A"/>
    <s v="#N/A"/>
    <s v="LU000699"/>
    <s v="Multiplication of polynomial by polynomial"/>
    <s v="LU000694"/>
    <s v="Multiplication of monomial by monomial"/>
    <s v="LU000661"/>
    <s v="Properties of cube of a number"/>
    <m/>
    <m/>
    <m/>
    <m/>
    <m/>
    <m/>
    <m/>
    <m/>
  </r>
  <r>
    <s v="NCERT 2025"/>
    <s v="CBSE"/>
    <x v="0"/>
    <x v="0"/>
    <x v="1"/>
    <x v="25"/>
    <s v="LU001276"/>
    <s v="Factorisation of algebraic expressions using identity (a^3)+(b^3)+(c^3)-3abc "/>
    <s v="LU001276.001"/>
    <s v="Identify the algebraic identity (a^3)+(b^3)+(c^3)-3abc and its expanded form."/>
    <s v="LU001276.002"/>
    <s v="Explain the process of factorizing expressions using the identity (a^3)+(b^3)+(c^3)-3abc."/>
    <s v="LU001276.003"/>
    <s v="Use the identity (a^3)+(b^3)+(c^3)-3abc to factorize given algebraic expressions "/>
    <s v="LU001276.004"/>
    <s v="Differentiate between expressions that can be factorized using (a^3)+(b^3)+(c^3)-3abc and those that cannot."/>
    <s v="LU001276.005"/>
    <s v="Assess the accuracy of factorization in given algebraic expressions using (a^3)+(b^3)+(c^3)-3abc."/>
    <s v="LU001276.006"/>
    <s v="Create complex algebraic expressions and demonstrate their factorization using (a^3)+(b^3)+(c^3)-3abc."/>
    <s v="#N/A"/>
    <s v="#N/A"/>
    <s v="#N/A"/>
    <s v="#N/A"/>
    <s v="#N/A"/>
    <s v="#N/A"/>
    <s v="#N/A"/>
    <s v="#N/A"/>
    <s v="#N/A"/>
    <s v="#N/A"/>
    <s v="#N/A"/>
    <s v="#N/A"/>
    <s v="LU001275"/>
    <s v="Algebraic identity for (a^3)+(b^3)+(c^3)-3abc "/>
    <s v="LU000760"/>
    <s v="Factorisation of algebraic expressions using identities"/>
    <m/>
    <m/>
    <m/>
    <m/>
    <m/>
    <m/>
    <m/>
    <m/>
    <m/>
    <m/>
  </r>
  <r>
    <s v="NCERT 2025"/>
    <s v="CBSE"/>
    <x v="0"/>
    <x v="0"/>
    <x v="2"/>
    <x v="26"/>
    <s v="LU000774"/>
    <s v="Position of a point on a plane"/>
    <s v="LU000774.001"/>
    <s v="State the significance of the coordinates in determining the position of a point on the cartesian plane."/>
    <s v="LU000774.002"/>
    <s v="Explain the concept that the order of numerical values matters when describing the position of a point on a plane."/>
    <s v="LU000774.003"/>
    <s v="Use distance measurements from reference points or edges to describe where a point is located on a plane."/>
    <s v="LU000774.004"/>
    <s v="Analyze and compare different ways of describing the position of a point on a plane to determine if they convey the same information."/>
    <s v="LU000774.005"/>
    <s v="Evaluate the effectiveness of describing a point's location on a plane using distance measurements from reference edges"/>
    <s v="LU000774.006"/>
    <s v="Develop a novel method or visual representation for describing the position of a point on a plane without using traditional coordinate notation, aiming to enhance understanding for others."/>
    <s v=""/>
    <m/>
    <m/>
    <m/>
    <n v="4"/>
    <n v="3"/>
    <n v="1"/>
    <n v="8"/>
    <m/>
    <m/>
    <m/>
    <m/>
    <s v="LU000218"/>
    <s v="Definition of point"/>
    <m/>
    <m/>
    <m/>
    <m/>
    <m/>
    <m/>
    <m/>
    <m/>
    <m/>
    <m/>
    <m/>
    <m/>
  </r>
  <r>
    <s v="NCERT 2025"/>
    <s v="CBSE"/>
    <x v="0"/>
    <x v="0"/>
    <x v="2"/>
    <x v="26"/>
    <s v="LU000782"/>
    <s v="Definition of the cartesian plane and terms related to it (origin, coordinates, coordinate axes, quadrants)"/>
    <s v="LU000782.001"/>
    <s v="Recall the definition of the Cartesian plane and identify its key elements, including the origin, coordinates, and coordinate axes."/>
    <s v="LU000782.002"/>
    <s v="Explain the concept of the Cartesian plane and describe the roles of the origin, coordinates, and coordinate axes."/>
    <s v="LU000782.003"/>
    <s v="Demonstrate the ability to identify and label the &quot;origin&quot; and &quot;coordinate axes&quot; accurately on a provided Cartesian plane."/>
    <s v="LU000782.004"/>
    <s v="Analyze the role of the &quot;origin&quot; and &quot;coordinate axes&quot; in creating a reference framework for locating points in two-dimensional space."/>
    <s v="LU000782.005"/>
    <s v="Assess the importance of correctly defining and understanding the &quot;origin&quot; and &quot;coordinate axes&quot; when interpreting and analyzing graphical representations."/>
    <s v="LU000782.006"/>
    <s v="Develop an original visual representation or diagram that illustrates the concept of the &quot;origin&quot; and &quot;coordinate axes&quot; within the context of the Cartesian plane."/>
    <s v=""/>
    <m/>
    <m/>
    <m/>
    <n v="4"/>
    <n v="3"/>
    <n v="1"/>
    <n v="8"/>
    <m/>
    <m/>
    <m/>
    <m/>
    <s v="LU000776"/>
    <s v="Coordinates of a point on a graph"/>
    <s v="LU000774"/>
    <s v="Position of a point on a plane"/>
    <m/>
    <m/>
    <m/>
    <m/>
    <m/>
    <m/>
    <m/>
    <m/>
    <m/>
    <m/>
  </r>
  <r>
    <s v="NCERT 2025"/>
    <s v="CBSE"/>
    <x v="0"/>
    <x v="0"/>
    <x v="2"/>
    <x v="27"/>
    <s v="LU001129"/>
    <s v="Co-ordinates of point located in the first quadrant"/>
    <s v="LU001129.001"/>
    <s v="Recall the properties of coordinates in the first quadrant."/>
    <s v="LU001129.002"/>
    <s v="Explain why the coordinates in the first quadrant have specific signs."/>
    <s v="LU001129.003"/>
    <s v="Plot points accurately in the first quadrant of a Cartesian plane."/>
    <s v="LU001129.004"/>
    <s v="Compare and contrast points located in the first quadrant with those in other quadrants."/>
    <s v="LU001129.005"/>
    <s v="Assess the correctness of given coordinates in the first quadrant and correct errors if any."/>
    <s v="LU001129.006"/>
    <s v="Construct a real-life scenario that involves determining coordinates in the first quadrant."/>
    <s v="#N/A"/>
    <s v="#N/A"/>
    <s v="#N/A"/>
    <s v="#N/A"/>
    <s v="#N/A"/>
    <s v="#N/A"/>
    <s v="#N/A"/>
    <s v="#N/A"/>
    <s v="#N/A"/>
    <s v="#N/A"/>
    <s v="#N/A"/>
    <s v="#N/A"/>
    <s v="LU000782"/>
    <s v="Definition of the cartesian plane and terms related to it (origin, coordinates, coordinate axes, quadrants)"/>
    <m/>
    <m/>
    <m/>
    <m/>
    <m/>
    <m/>
    <m/>
    <m/>
    <m/>
    <m/>
    <m/>
    <m/>
  </r>
  <r>
    <s v="NCERT 2025"/>
    <s v="CBSE"/>
    <x v="0"/>
    <x v="0"/>
    <x v="2"/>
    <x v="27"/>
    <s v="LU001130"/>
    <s v="Co-ordinates of point located in the second quadrant"/>
    <s v="LU001130.001"/>
    <s v="Recall the properties of coordinates in the second quadrant."/>
    <s v="LU001130.002"/>
    <s v="Explain why the coordinates in the second quadrant have specific signs."/>
    <s v="LU001130.003"/>
    <s v="Plot points accurately in the second quadrant of a Cartesian plane."/>
    <s v="LU001130.004"/>
    <s v="Compare and contrast points located in the second quadrant with those in other quadrants."/>
    <s v="LU001130.005"/>
    <s v="Assess the correctness of given coordinates in the second quadrant and correct errors if any."/>
    <s v="LU001130.006"/>
    <s v="Construct a real-life scenario that involves determining coordinates in the second quadrant."/>
    <s v="#N/A"/>
    <s v="#N/A"/>
    <s v="#N/A"/>
    <s v="#N/A"/>
    <s v="#N/A"/>
    <s v="#N/A"/>
    <s v="#N/A"/>
    <s v="#N/A"/>
    <s v="#N/A"/>
    <s v="#N/A"/>
    <s v="#N/A"/>
    <s v="#N/A"/>
    <s v="LU001129"/>
    <s v="Co-ordinates of point located in the first quadrant"/>
    <s v="LU000782"/>
    <s v="Definition of the cartesian plane and terms related to it (origin, coordinates, coordinate axes, quadrants)"/>
    <m/>
    <m/>
    <m/>
    <m/>
    <m/>
    <m/>
    <m/>
    <m/>
    <m/>
    <m/>
  </r>
  <r>
    <s v="NCERT 2025"/>
    <s v="CBSE"/>
    <x v="0"/>
    <x v="0"/>
    <x v="2"/>
    <x v="28"/>
    <s v="LU001131"/>
    <s v="Co-ordinates of point located in the third quadrant"/>
    <s v="LU001131.001"/>
    <s v="Recall the properties of coordinates in the third quadrant."/>
    <s v="LU001131.002"/>
    <s v="Explain why the coordinates in the third quadrant have specific signs."/>
    <s v="LU001131.003"/>
    <s v="Plot points accurately in the third quadrant of a Cartesian plane."/>
    <s v="LU001131.004"/>
    <s v="Compare and contrast points located in the third quadrant with those in other quadrants."/>
    <s v="LU001131.005"/>
    <s v="Assess the correctness of given coordinates in the third quadrant and correct errors if any."/>
    <s v="LU001131.006"/>
    <s v="Construct a real-life scenario that involves determining coordinates in the third quadrant."/>
    <s v="#N/A"/>
    <s v="#N/A"/>
    <s v="#N/A"/>
    <s v="#N/A"/>
    <s v="#N/A"/>
    <s v="#N/A"/>
    <s v="#N/A"/>
    <s v="#N/A"/>
    <s v="#N/A"/>
    <s v="#N/A"/>
    <s v="#N/A"/>
    <s v="#N/A"/>
    <s v="LU001130"/>
    <s v="Co-ordinates of point located in the second quadrant"/>
    <s v="LU001129"/>
    <s v="Co-ordinates of point located in the first quadrant"/>
    <m/>
    <m/>
    <m/>
    <m/>
    <m/>
    <m/>
    <m/>
    <m/>
    <m/>
    <m/>
  </r>
  <r>
    <s v="NCERT 2025"/>
    <s v="CBSE"/>
    <x v="0"/>
    <x v="0"/>
    <x v="2"/>
    <x v="28"/>
    <s v="LU001132"/>
    <s v="Co-ordinates of point located in the fourth quadrant"/>
    <s v="LU001132.001"/>
    <s v="Recall the properties of coordinates in the fourth quadrant."/>
    <s v="LU001132.002"/>
    <s v="Explain why the coordinates in the fourth quadrant have specific signs."/>
    <s v="LU001132.003"/>
    <s v="Plot points accurately in the fourth quadrant of a Cartesian plane."/>
    <s v="LU001132.004"/>
    <s v="Compare and contrast points located in the fourth quadrant with those in other quadrants."/>
    <s v="LU001132.005"/>
    <s v="Assess the correctness of given coordinates in the fourth quadrant and correct errors if any."/>
    <s v="LU001132.006"/>
    <s v="Construct a real-life scenario that involves determining coordinates in the fourth quadrant."/>
    <s v="#N/A"/>
    <s v="#N/A"/>
    <s v="#N/A"/>
    <s v="#N/A"/>
    <s v="#N/A"/>
    <s v="#N/A"/>
    <s v="#N/A"/>
    <s v="#N/A"/>
    <s v="#N/A"/>
    <s v="#N/A"/>
    <s v="#N/A"/>
    <s v="#N/A"/>
    <s v="LU001131"/>
    <s v="Co-ordinates of point located in the third quadrant"/>
    <s v="LU001130"/>
    <s v="Co-ordinates of point located in the second quadrant"/>
    <m/>
    <m/>
    <m/>
    <m/>
    <m/>
    <m/>
    <m/>
    <m/>
    <m/>
    <m/>
  </r>
  <r>
    <s v="NCERT 2025"/>
    <s v="CBSE"/>
    <x v="0"/>
    <x v="0"/>
    <x v="2"/>
    <x v="29"/>
    <s v="LU001277"/>
    <s v="Co-ordinates of point located on the axes"/>
    <s v="LU001277.001"/>
    <s v="Define the terms abscissa and ordinate as they relate to coordinates on the x-axis and y-axis."/>
    <s v="LU001277.002"/>
    <s v="Explain how to identify points on the x-axis and y-axis given their coordinates."/>
    <s v="LU001277.003"/>
    <s v="Determine the coordinates of points given their positions on the x-axis and y-axis."/>
    <s v="LU001277.004"/>
    <s v="Differentiate between the coordinates of points on the x-axis and y-axis."/>
    <s v="LU001277.005"/>
    <s v="Assess the accuracy of given coordinates for points on the x-axis and y-axis."/>
    <s v="LU001277.006"/>
    <s v="Create a set of coordinates for points on both the x-axis and y-axis for a given real-life scenario."/>
    <s v="#N/A"/>
    <s v="#N/A"/>
    <s v="#N/A"/>
    <s v="#N/A"/>
    <s v="#N/A"/>
    <s v="#N/A"/>
    <s v="#N/A"/>
    <s v="#N/A"/>
    <s v="#N/A"/>
    <s v="#N/A"/>
    <s v="#N/A"/>
    <s v="#N/A"/>
    <s v="LU000782"/>
    <s v="Definition of the cartesian plane and terms related to it (origin, coordinates, coordinate axes, quadrants)"/>
    <s v="LU000774"/>
    <s v="Position of a point on a plane"/>
    <m/>
    <m/>
    <m/>
    <m/>
    <m/>
    <m/>
    <m/>
    <m/>
    <m/>
    <m/>
  </r>
  <r>
    <s v="NCERT 2025"/>
    <s v="CBSE"/>
    <x v="0"/>
    <x v="0"/>
    <x v="3"/>
    <x v="30"/>
    <s v="LU001222"/>
    <s v="Introduction to linear equation in two variables [definition, linear equation in form ax+by+c=0 where a, b, c are real numbers and a and b are non-zero] "/>
    <s v="LU001222.001"/>
    <s v="Define a linear equation in two variables."/>
    <s v="LU001222.002"/>
    <s v="Explain the general form of a linear equation ax+by+c=0 where a,b,c are real numbers and a and b are non-zero."/>
    <s v="LU001222.003"/>
    <s v="Identify linear equations in two variables from a list of equations."/>
    <s v="LU001222.004"/>
    <s v="Distinguish between linear and non-linear equations in two variables."/>
    <s v="LU001222.005"/>
    <s v="Assess whether a given equation fits the standard form of a linear equation in two variables."/>
    <s v="LU001222.006"/>
    <s v="Formulate real-life situations that can be expressed as linear equations in two variables."/>
    <s v="#N/A"/>
    <s v="#N/A"/>
    <s v="#N/A"/>
    <s v="#N/A"/>
    <s v="#N/A"/>
    <s v="#N/A"/>
    <s v="#N/A"/>
    <s v="#N/A"/>
    <s v="#N/A"/>
    <s v="#N/A"/>
    <s v="#N/A"/>
    <s v="#N/A"/>
    <s v="LU000582"/>
    <s v="Definition of linear equation in one variable"/>
    <s v="LU000586"/>
    <s v="Definition of algebraic equation"/>
    <m/>
    <m/>
    <m/>
    <m/>
    <m/>
    <m/>
    <m/>
    <m/>
    <m/>
    <m/>
  </r>
  <r>
    <s v="NCERT 2025"/>
    <s v="CBSE"/>
    <x v="0"/>
    <x v="0"/>
    <x v="3"/>
    <x v="31"/>
    <s v="LU001223"/>
    <s v="Conversion of a statement/real life situation into a linear equation involving two variables."/>
    <s v="LU001223.001"/>
    <s v="Identify the coefficients and constants in a given linear equation ax+by+c=0."/>
    <s v="LU001223.002"/>
    <s v="Explain the process of forming a linear equation from a real-life statement."/>
    <s v="LU001223.003"/>
    <s v="Convert given real-life situations into linear equations involving two variables."/>
    <s v="LU001223.004"/>
    <s v="Differentiate between statements that can and cannot be converted into linear equations."/>
    <s v="LU001223.005"/>
    <s v="Assess the accuracy of linear equations formed from real-life situations."/>
    <s v="LU001223.006"/>
    <s v="Formulate new real-life scenarios and express them as linear equations in two variables."/>
    <s v="#N/A"/>
    <s v="#N/A"/>
    <s v="#N/A"/>
    <s v="#N/A"/>
    <s v="#N/A"/>
    <s v="#N/A"/>
    <s v="#N/A"/>
    <s v="#N/A"/>
    <s v="#N/A"/>
    <s v="#N/A"/>
    <s v="#N/A"/>
    <s v="#N/A"/>
    <s v="LU001222"/>
    <s v="Introduction to linear equation in two variables [definition, linear equation in form ax+by+c=0 where a, b, c are real numbers and a and b are non-zero] "/>
    <s v="LU000405"/>
    <s v="Conversion of statements into simple equations"/>
    <m/>
    <m/>
    <m/>
    <m/>
    <m/>
    <m/>
    <m/>
    <m/>
    <m/>
    <m/>
  </r>
  <r>
    <s v="NCERT 2025"/>
    <s v="CBSE"/>
    <x v="0"/>
    <x v="0"/>
    <x v="3"/>
    <x v="32"/>
    <s v="LU001224"/>
    <s v="Solution set of linear equation in two variables [representation as ordered pair, infinite solutions]"/>
    <s v="LU001224.001"/>
    <s v="Identify the general solution of a linear equation in two variables."/>
    <s v="LU001224.002"/>
    <s v="Explain why linear equations in two variables have infinite solutions."/>
    <s v="LU001224.003"/>
    <s v="Determine if a given ordered pair is a solution of a linear equation in two variables."/>
    <s v="LU001224.004"/>
    <s v="Compare the graphical representation of linear equations to interpret their solution sets."/>
    <s v="LU001224.005"/>
    <s v="Assess whether a set of ordered pairs is a solution set for a given linear equation."/>
    <s v="LU001224.006"/>
    <s v="Formulate a linear equation in two variables given a set of solutions."/>
    <s v="#N/A"/>
    <s v="#N/A"/>
    <s v="#N/A"/>
    <s v="#N/A"/>
    <s v="#N/A"/>
    <s v="#N/A"/>
    <s v="#N/A"/>
    <s v="#N/A"/>
    <s v="#N/A"/>
    <s v="#N/A"/>
    <s v="#N/A"/>
    <s v="#N/A"/>
    <s v="LU001223"/>
    <s v="Conversion of a statement/real life situation into a linear equation involving two variables."/>
    <s v="LU000336"/>
    <s v="Define a solution of an equation"/>
    <m/>
    <m/>
    <m/>
    <m/>
    <m/>
    <m/>
    <m/>
    <m/>
    <m/>
    <m/>
  </r>
  <r>
    <s v="NCERT 2025"/>
    <s v="CBSE"/>
    <x v="0"/>
    <x v="0"/>
    <x v="4"/>
    <x v="33"/>
    <s v="LU001230"/>
    <s v="Introduction to Euclid's definitions (a point, a line, a plane/surface)"/>
    <s v="LU001230.001"/>
    <s v="State Euclid's definitions of a point, a line, and a plane/surface."/>
    <s v="LU001230.002"/>
    <s v="Describe the relationship between points, lines, and planes as defined by Euclid."/>
    <s v="LU001230.003"/>
    <s v="Apply Euclid's definitions to identify points, lines, and planes in real-world objects."/>
    <s v="LU001230.004"/>
    <s v="Compare Euclid’s definitions of geometric terms with modern definitions."/>
    <s v="LU001230.005"/>
    <s v="Assess the limitations of Euclid's definitions and their impact on the development of geometry."/>
    <s v="LU001230.006"/>
    <s v="Create a visual representation that demonstrates Euclid's definitions of a point, a line, and a plane in a real-world context."/>
    <s v="#N/A"/>
    <s v="#N/A"/>
    <s v="#N/A"/>
    <s v="#N/A"/>
    <s v="#N/A"/>
    <s v="#N/A"/>
    <s v="#N/A"/>
    <s v="#N/A"/>
    <s v="#N/A"/>
    <s v="#N/A"/>
    <s v="#N/A"/>
    <s v="#N/A"/>
    <s v="LU000218"/>
    <s v="Definition of point"/>
    <s v="LU000220"/>
    <s v="Definition of line"/>
    <m/>
    <m/>
    <m/>
    <m/>
    <m/>
    <m/>
    <m/>
    <m/>
    <m/>
    <m/>
  </r>
  <r>
    <s v="NCERT 2025"/>
    <s v="CBSE"/>
    <x v="0"/>
    <x v="0"/>
    <x v="4"/>
    <x v="34"/>
    <s v="LU001231"/>
    <s v="Euclid's seven axioms"/>
    <s v="LU001231.001"/>
    <s v="State and identify each of Euclid’s axioms and their numerical order in the list."/>
    <s v="LU001231.002"/>
    <s v="Describe the significance of Euclid’s axioms in the foundation of geometry."/>
    <s v="LU001231.003"/>
    <s v="Demonstrate the use of Euclid's axioms in proving simple geometric propositions."/>
    <s v="LU001231.004"/>
    <s v="Compare Euclid's axioms to modern geometric principles and identify similarities and differences."/>
    <s v="LU001231.005"/>
    <s v="Assess the applicability of Euclid's axioms in solving complex geometric problems."/>
    <s v="LU001231.006"/>
    <s v="Create diagrams and illustrations to visually represent each of Euclid's axioms and their applications."/>
    <s v="#N/A"/>
    <s v="#N/A"/>
    <s v="#N/A"/>
    <s v="#N/A"/>
    <s v="#N/A"/>
    <s v="#N/A"/>
    <s v="#N/A"/>
    <s v="#N/A"/>
    <s v="#N/A"/>
    <s v="#N/A"/>
    <s v="#N/A"/>
    <s v="#N/A"/>
    <s v=""/>
    <m/>
    <m/>
    <m/>
    <m/>
    <m/>
    <m/>
    <m/>
    <m/>
    <m/>
    <m/>
    <m/>
    <m/>
    <m/>
  </r>
  <r>
    <s v="NCERT 2025"/>
    <s v="CBSE"/>
    <x v="0"/>
    <x v="0"/>
    <x v="4"/>
    <x v="35"/>
    <s v="LU001232"/>
    <s v="Euclid's five postulates"/>
    <s v="LU001232.001"/>
    <s v="State and identify each of Euclid’s five postulates and their numerical order in the list."/>
    <s v="LU001232.002"/>
    <s v="State and identify each of Euclid’s axioms and their numerical order in the list."/>
    <s v="LU001232.003"/>
    <s v="Demonstrate the use of Euclid's postulates in solving basic geometric problems."/>
    <s v="LU001232.004"/>
    <s v="Compare Euclid's postulates with modern geometric axioms."/>
    <s v="LU001232.005"/>
    <s v="Evaluate the importance of Euclid's fifth postulate in the context of non-Euclidean geometry."/>
    <s v="LU001232.006"/>
    <s v="Create geometric constructions that exemplify each of Euclid's five postulates."/>
    <s v="#N/A"/>
    <s v="#N/A"/>
    <s v="#N/A"/>
    <s v="#N/A"/>
    <s v="#N/A"/>
    <s v="#N/A"/>
    <s v="#N/A"/>
    <s v="#N/A"/>
    <s v="#N/A"/>
    <s v="#N/A"/>
    <s v="#N/A"/>
    <s v="#N/A"/>
    <s v="LU000220"/>
    <s v="Definition of line"/>
    <s v="LU000219"/>
    <s v="Definition of line segment"/>
    <s v="LU000807"/>
    <s v="Construction of a circle with a given radius"/>
    <s v="LU000017"/>
    <s v="Definition of a right angle"/>
    <m/>
    <m/>
    <m/>
    <m/>
    <m/>
    <m/>
  </r>
  <r>
    <s v="NCERT 2025"/>
    <s v="CBSE"/>
    <x v="0"/>
    <x v="0"/>
    <x v="5"/>
    <x v="36"/>
    <s v="LU001278"/>
    <s v="Definition of angle bisector "/>
    <s v="LU001278.001"/>
    <s v="Define an angle bisector in a geometric context."/>
    <s v="LU001278.002"/>
    <s v="Explain how an angle bisector divides an angle into two equal parts."/>
    <s v="LU001278.003"/>
    <s v="Use the concept of angle bisector to solve geometric problems."/>
    <s v="LU001278.004"/>
    <s v="Differentiate between angle bisectors and other types of lines or rays in geometric figures."/>
    <s v="LU001278.005"/>
    <s v="Assess the correctness of an angle bisector construction."/>
    <s v="LU001278.006"/>
    <s v="Design a method to verify the bisector of an angle using geometric tools."/>
    <s v="#N/A"/>
    <s v="#N/A"/>
    <s v="#N/A"/>
    <s v="#N/A"/>
    <s v="#N/A"/>
    <s v="#N/A"/>
    <s v="#N/A"/>
    <s v="#N/A"/>
    <s v="#N/A"/>
    <s v="#N/A"/>
    <s v="#N/A"/>
    <s v="#N/A"/>
    <s v="LU000014"/>
    <s v="Definition of an angle"/>
    <s v="LU000228"/>
    <s v="Parts of an angle"/>
    <s v="LU000223"/>
    <s v="Definition of ray"/>
    <m/>
    <m/>
    <m/>
    <m/>
    <m/>
    <m/>
    <m/>
    <m/>
  </r>
  <r>
    <s v="NCERT 2025"/>
    <s v="CBSE"/>
    <x v="0"/>
    <x v="0"/>
    <x v="5"/>
    <x v="36"/>
    <s v="LU001279"/>
    <s v="Linear pair axiom"/>
    <s v="LU001279.001"/>
    <s v="Recall that if a ray stands on a line, the sum of the adjacent angles is 180°."/>
    <s v="LU001279.002"/>
    <s v="Describe the Linear Pair Axiom and its converse."/>
    <s v="LU001279.003"/>
    <s v="Use the Linear Pair Axiom to solve geometric problems involving adjacent angles."/>
    <s v="LU001279.004"/>
    <s v="Compare and contrast the Linear Pair Axiom with other angle properties."/>
    <s v="LU001279.005"/>
    <s v="Assess the validity of a geometric proof involving the Linear Pair Axiom."/>
    <s v="LU001279.006"/>
    <s v="Develop a geometric proof to demonstrate the Linear Pair Axiom."/>
    <s v="#N/A"/>
    <s v="#N/A"/>
    <s v="#N/A"/>
    <s v="#N/A"/>
    <s v="#N/A"/>
    <s v="#N/A"/>
    <s v="#N/A"/>
    <s v="#N/A"/>
    <s v="#N/A"/>
    <s v="#N/A"/>
    <s v="#N/A"/>
    <s v="#N/A"/>
    <s v="LU000416"/>
    <s v="Definition of adjacent angles"/>
    <s v="LU000259"/>
    <s v="Definition of a straight angle"/>
    <s v="LU000415"/>
    <s v="Definition of supplementary angles"/>
    <m/>
    <m/>
    <m/>
    <m/>
    <m/>
    <m/>
    <m/>
    <m/>
  </r>
  <r>
    <s v="NCERT 2025"/>
    <s v="CBSE"/>
    <x v="0"/>
    <x v="0"/>
    <x v="5"/>
    <x v="37"/>
    <s v="LU001280"/>
    <s v="Theorem: If two lines intersect each other, then the vertically opposite angles are equal."/>
    <s v="LU001280.001"/>
    <s v="Recall and state the theorem, including its assumptions and components."/>
    <s v="LU001280.002"/>
    <s v="Describe the steps involved in proving the theorem."/>
    <s v="LU001280.003"/>
    <s v="Use the theorem to solve various mathematical problems."/>
    <s v="LU001280.004"/>
    <s v="Break down the proof of the theorem into individual steps with explanations, check the correctness of each step and its explanation."/>
    <s v="LU001280.005"/>
    <s v="Critique the theorem by comparing it to related theorems or methods, discussing its strengths, limitations, and overall significance."/>
    <s v="LU001280.006"/>
    <s v="Develop a method to prove that vertically opposite angles are equal using different axioms."/>
    <s v="#N/A"/>
    <s v="#N/A"/>
    <s v="#N/A"/>
    <s v="#N/A"/>
    <s v="#N/A"/>
    <s v="#N/A"/>
    <s v="#N/A"/>
    <s v="#N/A"/>
    <s v="#N/A"/>
    <s v="#N/A"/>
    <s v="#N/A"/>
    <s v="#N/A"/>
    <s v="LU000418"/>
    <s v="Definition of vertically opposite angles"/>
    <s v="LU000221"/>
    <s v="Definition and identification of intersecting lines"/>
    <m/>
    <m/>
    <m/>
    <m/>
    <m/>
    <m/>
    <m/>
    <m/>
    <m/>
    <m/>
  </r>
  <r>
    <s v="NCERT 2025"/>
    <s v="CBSE"/>
    <x v="0"/>
    <x v="0"/>
    <x v="5"/>
    <x v="38"/>
    <s v="LU001286"/>
    <s v="Theorem: Lines which are parallel to the same line are parallel to each other."/>
    <s v="LU001286.001"/>
    <s v="Recall and state the theorem, including its assumptions and components."/>
    <s v="LU001286.002"/>
    <s v="Describe the steps involved in proving the theorem."/>
    <s v="LU001286.003"/>
    <s v="Use the theorem to solve various mathematical problems."/>
    <s v="LU001286.004"/>
    <s v="Break down the proof of the theorem into individual steps with explanations, check the correctness of each step and its explanation."/>
    <s v="LU001286.005"/>
    <s v="Critique the theorem by comparing it to related theorems or methods, discussing its strengths, limitations, and overall significance."/>
    <s v="LU001286.006"/>
    <s v="Create a geometric proof that demonstrates lines parallel to the same line are parallel using a different method."/>
    <s v="#N/A"/>
    <s v="#N/A"/>
    <s v="#N/A"/>
    <s v="#N/A"/>
    <s v="#N/A"/>
    <s v="#N/A"/>
    <s v="#N/A"/>
    <s v="#N/A"/>
    <s v="#N/A"/>
    <s v="#N/A"/>
    <s v="#N/A"/>
    <s v="#N/A"/>
    <s v="LU000422"/>
    <s v="Check for lines parallel to a given line"/>
    <s v="LU000222"/>
    <s v="Definition and identification of parallel lines"/>
    <s v="LU001024"/>
    <s v="Angles made by transversal - Corresponding angles"/>
    <m/>
    <m/>
    <m/>
    <m/>
    <m/>
    <m/>
    <m/>
    <m/>
  </r>
  <r>
    <s v="NCERT 2025"/>
    <s v="CBSE"/>
    <x v="0"/>
    <x v="0"/>
    <x v="6"/>
    <x v="39"/>
    <s v="LU000831"/>
    <s v="Definition of congruence"/>
    <s v="LU000831.001"/>
    <s v="Recall the definition of congruence in geometry."/>
    <s v="LU000831.002"/>
    <s v="Comprehend the concept of congruence in geometric figures."/>
    <s v="LU000831.003"/>
    <s v="Apply the definition of congruence to identify congruent shapes in different geometric contexts."/>
    <s v="LU000831.004"/>
    <s v="Analyse various geometric shapes to determine if they exhibit congruence based on the defined criteria."/>
    <s v="LU000831.005"/>
    <s v="Evaluate given geometric configurations to ascertain if they meet the conditions for congruence."/>
    <s v="LU000831.006"/>
    <s v="Create visual representations or diagrams that illustrate congruence in geometric figures."/>
    <s v="#N/A"/>
    <s v="#N/A"/>
    <s v="#N/A"/>
    <s v="#N/A"/>
    <s v="#N/A"/>
    <s v="#N/A"/>
    <s v="#N/A"/>
    <s v="#N/A"/>
    <s v="#N/A"/>
    <s v="#N/A"/>
    <s v="#N/A"/>
    <s v="#N/A"/>
    <s v="LU000007"/>
    <s v="Comparison of sizes of an object"/>
    <m/>
    <m/>
    <m/>
    <m/>
    <m/>
    <m/>
    <m/>
    <m/>
    <m/>
    <m/>
    <m/>
    <m/>
  </r>
  <r>
    <s v="NCERT 2025"/>
    <s v="CBSE"/>
    <x v="0"/>
    <x v="0"/>
    <x v="6"/>
    <x v="39"/>
    <s v="LU000832"/>
    <s v="Congruence of plane figures by the method of superposition"/>
    <s v="LU000832.001"/>
    <s v="Recall the definition and key steps of the method of superposition for congruence."/>
    <s v="LU000832.002"/>
    <s v="Explain how the method of superposition is used to determine congruence in plane figures."/>
    <s v="LU000832.003"/>
    <s v="Apply the method of superposition to verify congruence in different pairs of plane figures."/>
    <s v="LU000832.004"/>
    <s v="Analyse given plane figures to determine if they are congruent using the method of superposition."/>
    <s v="LU000832.005"/>
    <s v="Evaluate the effectiveness of the method of superposition in establishing congruence between plane figures."/>
    <s v="LU000832.006"/>
    <s v="Create visual representations or diagrams illustrating the process of superposition for congruence."/>
    <s v="#N/A"/>
    <s v="#N/A"/>
    <s v="#N/A"/>
    <s v="#N/A"/>
    <s v="#N/A"/>
    <s v="#N/A"/>
    <s v="#N/A"/>
    <s v="#N/A"/>
    <s v="#N/A"/>
    <s v="#N/A"/>
    <s v="#N/A"/>
    <s v="#N/A"/>
    <s v="LU000831"/>
    <s v="Definition of congruence"/>
    <m/>
    <m/>
    <m/>
    <m/>
    <m/>
    <m/>
    <m/>
    <m/>
    <m/>
    <m/>
    <m/>
    <m/>
  </r>
  <r>
    <s v="NCERT 2025"/>
    <s v="CBSE"/>
    <x v="0"/>
    <x v="0"/>
    <x v="6"/>
    <x v="39"/>
    <s v="LU001234"/>
    <s v="Corresponding parts (sides, angles, vertices) of congruent triangles"/>
    <s v="LU001234.001"/>
    <s v="Identify the corresponding parts of congruent triangles (sides, angles, vertices)."/>
    <s v="LU001234.002"/>
    <s v="Describe how corresponding parts of congruent triangles are equal."/>
    <s v="LU001234.003"/>
    <s v="Use the concept of corresponding parts to solve geometric problems involving congruent triangles."/>
    <s v="LU001234.004"/>
    <s v="Distinguish between congruent and non-congruent triangles based on their corresponding parts."/>
    <s v="LU001234.005"/>
    <s v="Assess the validity of statements about congruent triangles using the concept of corresponding parts."/>
    <s v="LU001234.006"/>
    <s v="Design a geometric proof that uses the equality of corresponding parts to show triangle congruence."/>
    <s v="#N/A"/>
    <s v="#N/A"/>
    <s v="#N/A"/>
    <s v="#N/A"/>
    <s v="#N/A"/>
    <s v="#N/A"/>
    <s v="#N/A"/>
    <s v="#N/A"/>
    <s v="#N/A"/>
    <s v="#N/A"/>
    <s v="#N/A"/>
    <s v="#N/A"/>
    <s v="LU000229"/>
    <s v="Lexical explanation of triangle"/>
    <s v="LU000831"/>
    <s v="Definition of congruence"/>
    <s v="LU000227"/>
    <s v="Definition and elements of a polygon"/>
    <m/>
    <m/>
    <m/>
    <m/>
    <m/>
    <m/>
    <m/>
    <m/>
  </r>
  <r>
    <s v="NCERT 2025"/>
    <s v="CBSE"/>
    <x v="0"/>
    <x v="0"/>
    <x v="6"/>
    <x v="40"/>
    <s v="LU001235"/>
    <s v="Axiom for SAS congruence rule"/>
    <s v="LU001235.001"/>
    <s v="State the SAS (Side-Angle-Side) congruence rule"/>
    <s v="LU001235.002"/>
    <s v="Describe a scenario where two triangles are congruent by SAS."/>
    <s v="LU001235.003"/>
    <s v="Use the SAS rule to determine if two triangles are congruent given the measurements of sides and included angle."/>
    <s v="LU001235.004"/>
    <s v="Analyse the given triangles to determine if they meet the criteria for SAS congruence."/>
    <s v="LU001235.005"/>
    <s v="Evaluate the correctness of a proof that uses the SAS congruence rule to show triangle congruence."/>
    <s v="LU001235.006"/>
    <s v="Create a geometric problem that requires the use of the SAS congruence rule for its solution."/>
    <s v="#N/A"/>
    <s v="#N/A"/>
    <s v="#N/A"/>
    <s v="#N/A"/>
    <s v="#N/A"/>
    <s v="#N/A"/>
    <s v="#N/A"/>
    <s v="#N/A"/>
    <s v="#N/A"/>
    <s v="#N/A"/>
    <s v="#N/A"/>
    <s v="#N/A"/>
    <s v="LU001234"/>
    <s v="Corresponding parts (sides, angles, vertices) of congruent triangles"/>
    <s v="LU000831"/>
    <s v="Definition of congruence"/>
    <m/>
    <m/>
    <m/>
    <m/>
    <m/>
    <m/>
    <m/>
    <m/>
    <m/>
    <m/>
  </r>
  <r>
    <s v="NCERT 2025"/>
    <s v="CBSE"/>
    <x v="0"/>
    <x v="0"/>
    <x v="6"/>
    <x v="40"/>
    <s v="LU001236"/>
    <s v="Theorem for ASA congruence rule"/>
    <s v="LU001236.001"/>
    <s v="State the ASA (Angle-Side-Angle) congruence rule."/>
    <s v="LU001236.002"/>
    <s v="Describe a scenario where two triangles are congruent by ASA."/>
    <s v="LU001236.003"/>
    <s v="Use the ASA rule to determine if two triangles are congruent given the measurements of angles and included side."/>
    <s v="LU001236.004"/>
    <s v="Analyse pairs of triangles to determine if they satisfy the ASA congruence rule."/>
    <s v="LU001236.005"/>
    <s v="Evaluate a geometric proof that uses the ASA rule to establish triangle congruence."/>
    <s v="LU001236.006"/>
    <s v="Create a geometric problem that requires using the ASA rule to prove congruence."/>
    <s v="#N/A"/>
    <s v="#N/A"/>
    <s v="#N/A"/>
    <s v="#N/A"/>
    <s v="#N/A"/>
    <s v="#N/A"/>
    <s v="#N/A"/>
    <s v="#N/A"/>
    <s v="#N/A"/>
    <s v="#N/A"/>
    <s v="#N/A"/>
    <s v="#N/A"/>
    <s v="LU001234"/>
    <s v="Corresponding parts (sides, angles, vertices) of congruent triangles"/>
    <s v="LU000831"/>
    <s v="Definition of congruence"/>
    <m/>
    <m/>
    <m/>
    <m/>
    <m/>
    <m/>
    <m/>
    <m/>
    <m/>
    <m/>
  </r>
  <r>
    <s v="NCERT 2025"/>
    <s v="CBSE"/>
    <x v="0"/>
    <x v="0"/>
    <x v="6"/>
    <x v="41"/>
    <s v="LU001237"/>
    <s v="Theorem: Angles opposite to equal sides of an isosceles triangle are equal"/>
    <s v="LU001237.001"/>
    <s v="State the theorem that angles opposite to equal sides in an isosceles triangle are equal."/>
    <s v="LU001237.002"/>
    <s v="Describe the steps involved in proving the theorem"/>
    <s v="LU001237.003"/>
    <s v="Solve problems involving isosceles triangles by applying the theorem."/>
    <s v="LU001237.004"/>
    <s v="Break down the proof of the theorem into individual steps with explanations, check the correctness of each step and its explanation."/>
    <s v="LU001237.005"/>
    <s v="Assess the correctness of statements about angles in isosceles triangles using the theorem."/>
    <s v="LU001237.006"/>
    <s v="Create a geometric problem that involves proving angles in an isosceles triangle are equal using the theorem."/>
    <s v="#N/A"/>
    <s v="#N/A"/>
    <s v="#N/A"/>
    <s v="#N/A"/>
    <s v="#N/A"/>
    <s v="#N/A"/>
    <s v="#N/A"/>
    <s v="#N/A"/>
    <s v="#N/A"/>
    <s v="#N/A"/>
    <s v="#N/A"/>
    <s v="#N/A"/>
    <s v="LU001235"/>
    <s v="Axiom for SAS congruence rule"/>
    <s v="LU000263"/>
    <s v="Definition of an isosceles triangle"/>
    <s v="LU000427"/>
    <s v="Properties of an isosceles triangle"/>
    <m/>
    <m/>
    <m/>
    <m/>
    <m/>
    <m/>
    <m/>
    <m/>
  </r>
  <r>
    <s v="NCERT 2025"/>
    <s v="CBSE"/>
    <x v="0"/>
    <x v="0"/>
    <x v="6"/>
    <x v="41"/>
    <s v="LU001238"/>
    <s v="Theorem: The sides opposite to equal angles of a triangle are equal"/>
    <s v="LU001238.001"/>
    <s v="State the theorem that sides opposite to equal angles in a triangle are equal."/>
    <s v="LU001238.002"/>
    <s v="Describe the steps involved in proving the theorem"/>
    <s v="LU001238.003"/>
    <s v="Solve problems involving triangles by applying the theorem about sides opposite to equal angles."/>
    <s v="LU001238.004"/>
    <s v="Break down the proof of the theorem into individual steps with explanations, check the correctness of each step and its explanation."/>
    <s v="LU001238.005"/>
    <s v="Evaluate a geometric proof that uses this theorem to show the equality of sides in triangles."/>
    <s v="LU001238.006"/>
    <s v="Create a geometric problem that involves proving sides in a triangle are equal using the theorem."/>
    <s v="#N/A"/>
    <s v="#N/A"/>
    <s v="#N/A"/>
    <s v="#N/A"/>
    <s v="#N/A"/>
    <s v="#N/A"/>
    <s v="#N/A"/>
    <s v="#N/A"/>
    <s v="#N/A"/>
    <s v="#N/A"/>
    <s v="#N/A"/>
    <s v="#N/A"/>
    <s v="LU001237"/>
    <s v="Theorem: Angles opposite to equal sides of an isosceles triangle are equal"/>
    <s v="LU001236"/>
    <s v="Theorem for ASA congruence rule"/>
    <m/>
    <m/>
    <m/>
    <m/>
    <m/>
    <m/>
    <m/>
    <m/>
    <m/>
    <m/>
  </r>
  <r>
    <s v="NCERT 2025"/>
    <s v="CBSE"/>
    <x v="0"/>
    <x v="0"/>
    <x v="6"/>
    <x v="42"/>
    <s v="LU001239"/>
    <s v="Theorem for SSS congruence rule"/>
    <s v="LU001239.001"/>
    <s v="State the SSS (Side-Side-Side) congruence rule."/>
    <s v="LU001239.002"/>
    <s v="Describe the steps involved in proving the theorem"/>
    <s v="LU001239.003"/>
    <s v="Use the SSS rule to determine if two triangles are congruent given the measurements of sides."/>
    <s v="LU001239.004"/>
    <s v="Break down the proof of the theorem into individual steps with explanations, check the correctness of each step and its explanation."/>
    <s v="LU001239.005"/>
    <s v="Assess the correctness of statements about triangle congruence using the SSS rule."/>
    <s v="LU001239.006"/>
    <s v="Create a geometric problem that requires using the SSS rule to prove congruence"/>
    <s v="#N/A"/>
    <s v="#N/A"/>
    <s v="#N/A"/>
    <s v="#N/A"/>
    <s v="#N/A"/>
    <s v="#N/A"/>
    <s v="#N/A"/>
    <s v="#N/A"/>
    <s v="#N/A"/>
    <s v="#N/A"/>
    <s v="#N/A"/>
    <s v="#N/A"/>
    <s v="LU001234"/>
    <s v="Corresponding parts (sides, angles, vertices) of congruent triangles"/>
    <s v="LU000831"/>
    <s v="Definition of congruence"/>
    <m/>
    <m/>
    <m/>
    <m/>
    <m/>
    <m/>
    <m/>
    <m/>
    <m/>
    <m/>
  </r>
  <r>
    <s v="NCERT 2025"/>
    <s v="CBSE"/>
    <x v="0"/>
    <x v="0"/>
    <x v="6"/>
    <x v="42"/>
    <s v="LU001240"/>
    <s v="Theorem for RHS congruence rule"/>
    <s v="LU001240.001"/>
    <s v="State the RHS (Right angle-Hypotenuse-Side) congruence rule."/>
    <s v="LU001240.002"/>
    <s v="Describe the steps involved in proving the theorem"/>
    <s v="LU001240.003"/>
    <s v="Use the RHS rule to determine if two triangles are congruent given the measurements of sides and angle."/>
    <s v="LU001240.004"/>
    <s v="Break down the proof of the theorem into individual steps with explanations, check the correctness of each step and its explanation."/>
    <s v="LU001240.005"/>
    <s v="Assess the correctness of statements about the congruence of right triangles using the RHS rule."/>
    <s v="LU001240.006"/>
    <s v="Create a geometric problem that requires using the RHS rule to prove congruence."/>
    <s v="#N/A"/>
    <s v="#N/A"/>
    <s v="#N/A"/>
    <s v="#N/A"/>
    <s v="#N/A"/>
    <s v="#N/A"/>
    <s v="#N/A"/>
    <s v="#N/A"/>
    <s v="#N/A"/>
    <s v="#N/A"/>
    <s v="#N/A"/>
    <s v="#N/A"/>
    <s v="LU001234"/>
    <s v="Corresponding parts (sides, angles, vertices) of congruent triangles"/>
    <s v="LU000433"/>
    <s v="Parts of a right-angled triangle"/>
    <m/>
    <m/>
    <m/>
    <m/>
    <m/>
    <m/>
    <m/>
    <m/>
    <m/>
    <m/>
  </r>
  <r>
    <s v="NCERT 2025"/>
    <s v="CBSE"/>
    <x v="0"/>
    <x v="0"/>
    <x v="7"/>
    <x v="43"/>
    <s v="LU001308"/>
    <s v="Theorem: A diagonal of a parallelogram divides it into two congruent triangles."/>
    <s v="LU001308.001"/>
    <s v="Recall and state the theorem, including its assumptions and components."/>
    <s v="LU001308.002"/>
    <s v="Describe the steps involved in proving the theorem."/>
    <s v="LU001308.003"/>
    <s v="Use the theorem to solve various mathematical problems."/>
    <s v="LU001308.004"/>
    <s v="Break down the proof of the theorem into individual steps with explanations, check the correctness of each step and its explanation."/>
    <s v="LU001308.005"/>
    <s v="Critique the theorem by comparing it to related theorems or methods, discussing its strengths, limitations, and overall significance."/>
    <s v="LU001308.006"/>
    <s v="Develop a geometric proof demonstrating that a diagonal divides a parallelogram into two congruent triangles."/>
    <s v="#N/A"/>
    <s v="#N/A"/>
    <s v="#N/A"/>
    <s v="#N/A"/>
    <s v="#N/A"/>
    <s v="#N/A"/>
    <s v="#N/A"/>
    <s v="#N/A"/>
    <s v="#N/A"/>
    <s v="#N/A"/>
    <s v="#N/A"/>
    <s v="#N/A"/>
    <s v="LU001236"/>
    <s v="Theorem for ASA congruence rule"/>
    <s v="LU000595"/>
    <s v="Definition of parallelogram"/>
    <m/>
    <m/>
    <m/>
    <m/>
    <m/>
    <m/>
    <m/>
    <m/>
    <m/>
    <m/>
  </r>
  <r>
    <s v="NCERT 2025"/>
    <s v="CBSE"/>
    <x v="0"/>
    <x v="0"/>
    <x v="7"/>
    <x v="43"/>
    <s v="LU001309"/>
    <s v="Theorem: In a parallelogram, opposite sides are equal."/>
    <s v="LU001309.001"/>
    <s v="Recall and state the theorem, including its assumptions and components."/>
    <s v="LU001309.002"/>
    <s v="Describe the steps involved in proving the theorem."/>
    <s v="LU001309.003"/>
    <s v="Use the theorem to solve various mathematical problems."/>
    <s v="LU001309.004"/>
    <s v="Break down the proof of the theorem into individual steps with explanations, check the correctness of each step and its explanation."/>
    <s v="LU001309.005"/>
    <s v="Critique the theorem by comparing it to related theorems or methods, discussing its strengths, limitations, and overall significance."/>
    <s v="LU001309.006"/>
    <s v="Formulate a geometric proof to show that opposite sides of a parallelogram are equal."/>
    <s v="#N/A"/>
    <s v="#N/A"/>
    <s v="#N/A"/>
    <s v="#N/A"/>
    <s v="#N/A"/>
    <s v="#N/A"/>
    <s v="#N/A"/>
    <s v="#N/A"/>
    <s v="#N/A"/>
    <s v="#N/A"/>
    <s v="#N/A"/>
    <s v="#N/A"/>
    <s v="LU001308"/>
    <s v="Theorem: A diagonal of a parallelogram divides it into two congruent triangles."/>
    <s v="LU001236"/>
    <s v="Theorem for ASA congruence rule"/>
    <m/>
    <m/>
    <m/>
    <m/>
    <m/>
    <m/>
    <m/>
    <m/>
    <m/>
    <m/>
  </r>
  <r>
    <s v="NCERT 2025"/>
    <s v="CBSE"/>
    <x v="0"/>
    <x v="0"/>
    <x v="7"/>
    <x v="44"/>
    <s v="LU001310"/>
    <s v="Theorem: If each pair of opposite sides of a quadrilateral is equal, then it is a parallelogram."/>
    <s v="LU001310.001"/>
    <s v="Recall and state the theorem, including its assumptions and components."/>
    <s v="LU001310.002"/>
    <s v="Describe the steps involved in proving the theorem."/>
    <s v="LU001310.003"/>
    <s v="Use the theorem to solve various mathematical problems."/>
    <s v="LU001310.004"/>
    <s v="Break down the proof of the theorem into individual steps with explanations, check the correctness of each step and its explanation."/>
    <s v="LU001310.005"/>
    <s v="Critique the theorem by comparing it to related theorems or methods, discussing its strengths, limitations, and overall significance."/>
    <s v="LU001310.006"/>
    <s v="Formulate a proof to show that a quadrilateral with equal opposite sides is a parallelogram."/>
    <s v="#N/A"/>
    <s v="#N/A"/>
    <s v="#N/A"/>
    <s v="#N/A"/>
    <s v="#N/A"/>
    <s v="#N/A"/>
    <s v="#N/A"/>
    <s v="#N/A"/>
    <s v="#N/A"/>
    <s v="#N/A"/>
    <s v="#N/A"/>
    <s v="#N/A"/>
    <s v="LU001239"/>
    <s v="Theorem for SSS congruence rule"/>
    <s v="LU000595"/>
    <s v="Definition of parallelogram"/>
    <m/>
    <m/>
    <m/>
    <m/>
    <m/>
    <m/>
    <m/>
    <m/>
    <m/>
    <m/>
  </r>
  <r>
    <s v="NCERT 2025"/>
    <s v="CBSE"/>
    <x v="0"/>
    <x v="0"/>
    <x v="7"/>
    <x v="44"/>
    <s v="LU001311"/>
    <s v="Theorem: In a parallelogram, opposite angles are equal."/>
    <s v="LU001311.001"/>
    <s v="Recall and state the theorem, including its assumptions and components."/>
    <s v="LU001311.002"/>
    <s v="Describe the steps involved in proving the theorem."/>
    <s v="LU001311.003"/>
    <s v="Use the theorem to solve various mathematical problems."/>
    <s v="LU001311.004"/>
    <s v="Break down the proof of the theorem into individual steps with explanations, check the correctness of each step and its explanation."/>
    <s v="LU001311.005"/>
    <s v="Critique the theorem by comparing it to related theorems or methods, discussing its strengths, limitations, and overall significance."/>
    <s v="LU001311.006"/>
    <s v="Develop a geometric proof to show that opposite angles of a parallelogram are equal."/>
    <s v="#N/A"/>
    <s v="#N/A"/>
    <s v="#N/A"/>
    <s v="#N/A"/>
    <s v="#N/A"/>
    <s v="#N/A"/>
    <s v="#N/A"/>
    <s v="#N/A"/>
    <s v="#N/A"/>
    <s v="#N/A"/>
    <s v="#N/A"/>
    <s v="#N/A"/>
    <s v="LU001022"/>
    <s v="Angles made by transversal - Alternate interior angles"/>
    <s v="LU001239"/>
    <s v="Theorem for SSS congruence rule"/>
    <s v="LU000595"/>
    <s v="Definition of parallelogram"/>
    <m/>
    <m/>
    <m/>
    <m/>
    <m/>
    <m/>
    <m/>
    <m/>
  </r>
  <r>
    <s v="NCERT 2025"/>
    <s v="CBSE"/>
    <x v="0"/>
    <x v="0"/>
    <x v="7"/>
    <x v="44"/>
    <s v="LU001312"/>
    <s v="Theorem: If in a quadrilateral, each pair of opposite angles is equal, then it is a parallelogram."/>
    <s v="LU001312.001"/>
    <s v="Recall and state the theorem, including its assumptions and components."/>
    <s v="LU001312.002"/>
    <s v="Describe the steps involved in proving the theorem."/>
    <s v="LU001312.003"/>
    <s v="Use the theorem to solve various mathematical problems."/>
    <s v="LU001312.004"/>
    <s v="Break down the proof of the theorem into individual steps with explanations, check the correctness of each step and its explanation."/>
    <s v="LU001312.005"/>
    <s v="Critique the theorem by comparing it to related theorems or methods, discussing its strengths, limitations, and overall significance."/>
    <s v="LU001312.006"/>
    <s v="Construct a proof to show that a quadrilateral with equal opposite angles is a parallelogram."/>
    <s v="#N/A"/>
    <s v="#N/A"/>
    <s v="#N/A"/>
    <s v="#N/A"/>
    <s v="#N/A"/>
    <s v="#N/A"/>
    <s v="#N/A"/>
    <s v="#N/A"/>
    <s v="#N/A"/>
    <s v="#N/A"/>
    <s v="#N/A"/>
    <s v="#N/A"/>
    <s v="LU000592"/>
    <s v="Angle sum property of a quadrilateral"/>
    <s v="LU001025"/>
    <s v="Angles made by transversal - Interior angles on the same side of the transversal"/>
    <s v="LU000595"/>
    <s v="Definition of parallelogram"/>
    <m/>
    <m/>
    <m/>
    <m/>
    <m/>
    <m/>
    <m/>
    <m/>
  </r>
  <r>
    <s v="NCERT 2025"/>
    <s v="CBSE"/>
    <x v="0"/>
    <x v="0"/>
    <x v="7"/>
    <x v="45"/>
    <s v="LU001313"/>
    <s v="Theorem: The diagonals of a parallelogram bisect each other."/>
    <s v="LU001313.001"/>
    <s v="Recall and state the theorem, including its assumptions and components."/>
    <s v="LU001313.002"/>
    <s v="Describe the steps involved in proving the theorem."/>
    <s v="LU001313.003"/>
    <s v="Use the theorem to solve various mathematical problems."/>
    <s v="LU001313.004"/>
    <s v="Break down the proof of the theorem into individual steps with explanations, check the correctness of each step and its explanation."/>
    <s v="LU001313.005"/>
    <s v="Critique the theorem by comparing it to related theorems or methods, discussing its strengths, limitations, and overall significance."/>
    <s v="LU001313.006"/>
    <s v="Develop a geometric proof to demonstrate that the diagonals of a parallelogram bisect each other."/>
    <s v="#N/A"/>
    <s v="#N/A"/>
    <s v="#N/A"/>
    <s v="#N/A"/>
    <s v="#N/A"/>
    <s v="#N/A"/>
    <s v="#N/A"/>
    <s v="#N/A"/>
    <s v="#N/A"/>
    <s v="#N/A"/>
    <s v="#N/A"/>
    <s v="#N/A"/>
    <s v="LU001236"/>
    <s v="Theorem for ASA congruence rule"/>
    <s v="LU000600"/>
    <s v="Properties of a parallelogram (related to its angles, sides and diagonals)"/>
    <m/>
    <m/>
    <m/>
    <m/>
    <m/>
    <m/>
    <m/>
    <m/>
    <m/>
    <m/>
  </r>
  <r>
    <s v="NCERT 2025"/>
    <s v="CBSE"/>
    <x v="0"/>
    <x v="0"/>
    <x v="7"/>
    <x v="45"/>
    <s v="LU001314"/>
    <s v="Theorem: If the diagonals of a quadrilateral bisect each other, then it is a parallelogram."/>
    <s v="LU001314.001"/>
    <s v="Recall and state the theorem, including its assumptions and components."/>
    <s v="LU001314.002"/>
    <s v="Describe the steps involved in proving the theorem."/>
    <s v="LU001314.003"/>
    <s v="Use the theorem to solve various mathematical problems."/>
    <s v="LU001314.004"/>
    <s v="Break down the proof of the theorem into individual steps with explanations, check the correctness of each step and its explanation."/>
    <s v="LU001314.005"/>
    <s v="Critique the theorem by comparing it to related theorems or methods, discussing its strengths, limitations, and overall significance."/>
    <s v="LU001314.006"/>
    <s v="Construct a proof to show that a quadrilateral with diagonals that bisect each other is a parallelogram."/>
    <s v="#N/A"/>
    <s v="#N/A"/>
    <s v="#N/A"/>
    <s v="#N/A"/>
    <s v="#N/A"/>
    <s v="#N/A"/>
    <s v="#N/A"/>
    <s v="#N/A"/>
    <s v="#N/A"/>
    <s v="#N/A"/>
    <s v="#N/A"/>
    <s v="#N/A"/>
    <s v="LU000418"/>
    <s v="Definition of vertically opposite angles"/>
    <s v="LU001235"/>
    <s v="Axiom for SAS congruence rule"/>
    <m/>
    <m/>
    <m/>
    <m/>
    <m/>
    <m/>
    <m/>
    <m/>
    <m/>
    <m/>
  </r>
  <r>
    <s v="NCERT 2025"/>
    <s v="CBSE"/>
    <x v="0"/>
    <x v="0"/>
    <x v="7"/>
    <x v="46"/>
    <s v="LU001316"/>
    <s v="Mid-point Theorem: The line segment joining the mid-points of two sides of a triangle is parallel to the third side."/>
    <s v="LU001316.001"/>
    <s v="Recall and state the theorem, including its assumptions and components."/>
    <s v="LU001316.002"/>
    <s v="Describe the steps involved in proving the theorem."/>
    <s v="LU001316.003"/>
    <s v="Use the theorem to solve various mathematical problems."/>
    <s v="LU001316.004"/>
    <s v="Break down the proof of the theorem into individual steps with explanations, check the correctness of each step and its explanation."/>
    <s v="LU001316.005"/>
    <s v="Critique the theorem by comparing it to related theorems or methods, discussing its strengths, limitations, and overall significance."/>
    <s v="LU001316.006"/>
    <s v="Construct a proof to demonstrate the Mid-point Theorem for triangles."/>
    <s v="#N/A"/>
    <s v="#N/A"/>
    <s v="#N/A"/>
    <s v="#N/A"/>
    <s v="#N/A"/>
    <s v="#N/A"/>
    <s v="#N/A"/>
    <s v="#N/A"/>
    <s v="#N/A"/>
    <s v="#N/A"/>
    <s v="#N/A"/>
    <s v="#N/A"/>
    <s v="LU001236"/>
    <s v="Theorem for ASA congruence rule"/>
    <s v="LU001022"/>
    <s v="Angles made by transversal - Alternate interior angles"/>
    <m/>
    <m/>
    <m/>
    <m/>
    <m/>
    <m/>
    <m/>
    <m/>
    <m/>
    <m/>
  </r>
  <r>
    <s v="NCERT 2025"/>
    <s v="CBSE"/>
    <x v="0"/>
    <x v="0"/>
    <x v="7"/>
    <x v="46"/>
    <s v="LU001317"/>
    <s v="Converse of Mid-point Theorem: The line drawn through the mid-point of one side of a triangle, parallel to another side bisects the third side."/>
    <s v="LU001317.001"/>
    <s v="Recall and state the theorem, including its assumptions and components."/>
    <s v="LU001317.002"/>
    <s v="Describe the steps involved in proving the theorem."/>
    <s v="LU001317.003"/>
    <s v="Use the theorem to solve various mathematical problems."/>
    <s v="LU001317.004"/>
    <s v="Break down the proof of the theorem into individual steps with explanations, check the correctness of each step and its explanation."/>
    <s v="LU001317.005"/>
    <s v="Critique the theorem by comparing it to related theorems or methods, discussing its strengths, limitations, and overall significance."/>
    <s v="LU001317.006"/>
    <s v="Develop a proof to demonstrate the Converse of the Mid-point Theorem for triangles."/>
    <s v="#N/A"/>
    <s v="#N/A"/>
    <s v="#N/A"/>
    <s v="#N/A"/>
    <s v="#N/A"/>
    <s v="#N/A"/>
    <s v="#N/A"/>
    <s v="#N/A"/>
    <s v="#N/A"/>
    <s v="#N/A"/>
    <s v="#N/A"/>
    <s v="#N/A"/>
    <s v="LU001316"/>
    <s v="Mid-point Theorem: The line segment joining the mid-points of two sides of a triangle is parallel to the third side."/>
    <s v="LU000843"/>
    <s v="Congruence of triangles by AAS criteria"/>
    <m/>
    <m/>
    <m/>
    <m/>
    <m/>
    <m/>
    <m/>
    <m/>
    <m/>
    <m/>
  </r>
  <r>
    <s v="NCERT 2025"/>
    <s v="CBSE"/>
    <x v="0"/>
    <x v="0"/>
    <x v="8"/>
    <x v="47"/>
    <s v="LU001287"/>
    <s v="Theorem: Equal chords of a circle subtend equal angles at the centre."/>
    <s v="LU001287.001"/>
    <s v="Recall and state the theorem, including its assumptions and components."/>
    <s v="LU001287.002"/>
    <s v="Describe the steps involved in proving the theorem."/>
    <s v="LU001287.003"/>
    <s v="Use the theorem to solve various mathematical problems."/>
    <s v="LU001287.004"/>
    <s v="Break down the proof of the theorem into individual steps with explanations, check the correctness of each step and its explanation."/>
    <s v="LU001287.005"/>
    <s v="Critique the theorem by comparing it to related theorems or methods, discussing its strengths, limitations, and overall significance."/>
    <s v="LU001287.006"/>
    <s v="Design a real-world problem involving equal chords subtending equal angles and solve it."/>
    <s v="#N/A"/>
    <s v="#N/A"/>
    <s v="#N/A"/>
    <s v="#N/A"/>
    <s v="#N/A"/>
    <s v="#N/A"/>
    <s v="#N/A"/>
    <s v="#N/A"/>
    <s v="#N/A"/>
    <s v="#N/A"/>
    <s v="#N/A"/>
    <s v="#N/A"/>
    <s v="LU001239"/>
    <s v="Theorem for SSS congruence rule"/>
    <s v="LU000232"/>
    <s v="Elements of circle (Centre, radius, diameter)"/>
    <m/>
    <m/>
    <m/>
    <m/>
    <m/>
    <m/>
    <m/>
    <m/>
    <m/>
    <m/>
  </r>
  <r>
    <s v="NCERT 2025"/>
    <s v="CBSE"/>
    <x v="0"/>
    <x v="0"/>
    <x v="8"/>
    <x v="47"/>
    <s v="LU001288"/>
    <s v="Theorem: If the angles subtended by the chords of a circle at the centre are equal, then the chords are equal."/>
    <s v="LU001288.001"/>
    <s v="Recall and state the theorem, including its assumptions and components."/>
    <s v="LU001288.002"/>
    <s v="Describe the steps involved in proving the theorem."/>
    <s v="LU001288.003"/>
    <s v="Use the theorem to solve various mathematical problems."/>
    <s v="LU001288.004"/>
    <s v="Break down the proof of the theorem into individual steps with explanations, check the correctness of each step and its explanation."/>
    <s v="LU001288.005"/>
    <s v="Critique the theorem by comparing it to related theorems or methods, discussing its strengths, limitations, and overall significance."/>
    <s v="LU001288.006"/>
    <s v="Formulate a proof to show that equal subtended angles lead to equal chords."/>
    <s v="#N/A"/>
    <s v="#N/A"/>
    <s v="#N/A"/>
    <s v="#N/A"/>
    <s v="#N/A"/>
    <s v="#N/A"/>
    <s v="#N/A"/>
    <s v="#N/A"/>
    <s v="#N/A"/>
    <s v="#N/A"/>
    <s v="#N/A"/>
    <s v="#N/A"/>
    <s v="LU001235"/>
    <s v="Axiom for SAS congruence rule"/>
    <s v="LU001093"/>
    <s v="Elements of a circle (arc, chord, secant)"/>
    <m/>
    <m/>
    <m/>
    <m/>
    <m/>
    <m/>
    <m/>
    <m/>
    <m/>
    <m/>
  </r>
  <r>
    <s v="NCERT 2025"/>
    <s v="CBSE"/>
    <x v="0"/>
    <x v="0"/>
    <x v="8"/>
    <x v="48"/>
    <s v="LU001289"/>
    <s v="Theorem: The perpendicular from the centre of a circle to a chord bisects the chord."/>
    <s v="LU001289.001"/>
    <s v="Recall and state the theorem, including its assumptions and components."/>
    <s v="LU001289.002"/>
    <s v="Describe the steps involved in proving the theorem."/>
    <s v="LU001289.003"/>
    <s v="Use the theorem to solve various mathematical problems."/>
    <s v="LU001289.004"/>
    <s v="Break down the proof of the theorem into individual steps with explanations, check the correctness of each step and its explanation."/>
    <s v="LU001289.005"/>
    <s v="Critique the theorem by comparing it to related theorems or methods, discussing its strengths, limitations, and overall significance."/>
    <s v="LU001289.006"/>
    <s v="Construct a geometric problem involving a perpendicular bisector and solve it."/>
    <s v="#N/A"/>
    <s v="#N/A"/>
    <s v="#N/A"/>
    <s v="#N/A"/>
    <s v="#N/A"/>
    <s v="#N/A"/>
    <s v="#N/A"/>
    <s v="#N/A"/>
    <s v="#N/A"/>
    <s v="#N/A"/>
    <s v="#N/A"/>
    <s v="#N/A"/>
    <s v="LU001240"/>
    <s v="Theorem for RHS congruence rule"/>
    <s v="LU000250"/>
    <s v="Definition of a perpendicular bisector"/>
    <s v="LU001093"/>
    <s v="Elements of a circle (arc, chord, secant)"/>
    <m/>
    <m/>
    <m/>
    <m/>
    <m/>
    <m/>
    <m/>
    <m/>
  </r>
  <r>
    <s v="NCERT 2025"/>
    <s v="CBSE"/>
    <x v="0"/>
    <x v="0"/>
    <x v="8"/>
    <x v="48"/>
    <s v="LU001290"/>
    <s v="Theorem: The line drawn through the centre of a circle to bisect a chord is perpendicular to the chord."/>
    <s v="LU001290.001"/>
    <s v="Recall and state the theorem, including its assumptions and components."/>
    <s v="LU001290.002"/>
    <s v="Describe the steps involved in proving the theorem."/>
    <s v="LU001290.003"/>
    <s v="Use the theorem to solve various mathematical problems."/>
    <s v="LU001290.004"/>
    <s v="Break down the proof of the theorem into individual steps with explanations, check the correctness of each step and its explanation."/>
    <s v="LU001290.005"/>
    <s v="Critique the theorem by comparing it to related theorems or methods, discussing its strengths, limitations, and overall significance."/>
    <s v="LU001290.006"/>
    <s v="Create a diagram to demonstrate the bisecting perpendicular line theorem."/>
    <s v="#N/A"/>
    <s v="#N/A"/>
    <s v="#N/A"/>
    <s v="#N/A"/>
    <s v="#N/A"/>
    <s v="#N/A"/>
    <s v="#N/A"/>
    <s v="#N/A"/>
    <s v="#N/A"/>
    <s v="#N/A"/>
    <s v="#N/A"/>
    <s v="#N/A"/>
    <s v="LU001240"/>
    <s v="Theorem for RHS congruence rule"/>
    <s v="LU000250"/>
    <s v="Definition of a perpendicular bisector"/>
    <s v="LU001093"/>
    <s v="Elements of a circle (arc, chord, secant)"/>
    <m/>
    <m/>
    <m/>
    <m/>
    <m/>
    <m/>
    <m/>
    <m/>
  </r>
  <r>
    <s v="NCERT 2025"/>
    <s v="CBSE"/>
    <x v="0"/>
    <x v="0"/>
    <x v="8"/>
    <x v="49"/>
    <s v="LU001296"/>
    <s v="Distance of a line from a point"/>
    <s v="LU001296.001"/>
    <s v="Recall that the distance from a point to a line is the length of the perpendicular segment from the point to the line."/>
    <s v="LU001296.002"/>
    <s v="Explain why the perpendicular segment from a point to a line represents the shortest distance."/>
    <s v="LU001296.003"/>
    <s v="Construct the perpendicular segment from a given point to a line and measure its length."/>
    <s v="LU001296.004"/>
    <s v="Analyse different line segments from a point to a line to determine which is the shortest."/>
    <s v="LU001296.005"/>
    <s v="Assess the method used to determine the distance from a point to a line in different geometric problems."/>
    <s v="LU001296.006"/>
    <s v="Create a geometric problem involving multiple points and lines, requiring the construction of perpendiculars to find distances."/>
    <s v="#N/A"/>
    <s v="#N/A"/>
    <s v="#N/A"/>
    <s v="#N/A"/>
    <s v="#N/A"/>
    <s v="#N/A"/>
    <s v="#N/A"/>
    <s v="#N/A"/>
    <s v="#N/A"/>
    <s v="#N/A"/>
    <s v="#N/A"/>
    <s v="#N/A"/>
    <s v="LU000812"/>
    <s v="Construction of a perpendicular line to another line through a point on it using a ruler and a compass"/>
    <s v="LU000970"/>
    <s v="Measurement of length of line segments using ruler"/>
    <m/>
    <m/>
    <m/>
    <m/>
    <m/>
    <m/>
    <m/>
    <m/>
    <m/>
    <m/>
  </r>
  <r>
    <s v="NCERT 2025"/>
    <s v="CBSE"/>
    <x v="0"/>
    <x v="0"/>
    <x v="8"/>
    <x v="49"/>
    <s v="LU001297"/>
    <s v="Theorem: Equal chords of a circle (or of congruent circles) are equidistant from the centre (or centres)."/>
    <s v="LU001297.001"/>
    <s v="Recall and state the theorem, including its assumptions and components."/>
    <s v="LU001297.002"/>
    <s v="Describe the steps involved in proving the theorem."/>
    <s v="LU001297.003"/>
    <s v="Use the theorem to solve various mathematical problems."/>
    <s v="LU001297.004"/>
    <s v="Break down the proof of the theorem into individual steps with explanations, check the correctness of each step and its explanation."/>
    <s v="LU001297.005"/>
    <s v="Critique the theorem by comparing it to related theorems or methods, discussing its strengths, limitations, and overall significance."/>
    <s v="LU001297.006"/>
    <s v="Design a geometric proof to show that equal chords are equidistant from the centre."/>
    <s v="#N/A"/>
    <s v="#N/A"/>
    <s v="#N/A"/>
    <s v="#N/A"/>
    <s v="#N/A"/>
    <s v="#N/A"/>
    <s v="#N/A"/>
    <s v="#N/A"/>
    <s v="#N/A"/>
    <s v="#N/A"/>
    <s v="#N/A"/>
    <s v="#N/A"/>
    <s v="LU001240"/>
    <s v="Theorem for RHS congruence rule"/>
    <s v="LU000250"/>
    <s v="Definition of a perpendicular bisector"/>
    <s v="LU001093"/>
    <s v="Elements of a circle (arc, chord, secant)"/>
    <m/>
    <m/>
    <m/>
    <m/>
    <m/>
    <m/>
    <m/>
    <m/>
  </r>
  <r>
    <s v="NCERT 2025"/>
    <s v="CBSE"/>
    <x v="0"/>
    <x v="0"/>
    <x v="8"/>
    <x v="49"/>
    <s v="LU001298"/>
    <s v="Theorem: Chords equidistant from the centre of a circle are equal in length."/>
    <s v="LU001298.001"/>
    <s v="Recall and state the theorem, including its assumptions and components."/>
    <s v="LU001298.002"/>
    <s v="Describe the steps involved in proving the theorem."/>
    <s v="LU001298.003"/>
    <s v="Use the theorem to solve various mathematical problems."/>
    <s v="LU001298.004"/>
    <s v="Break down the proof of the theorem into individual steps with explanations, check the correctness of each step and its explanation."/>
    <s v="LU001298.005"/>
    <s v="Critique the theorem by comparing it to related theorems or methods, discussing its strengths, limitations, and overall significance."/>
    <s v="LU001298.006"/>
    <s v="Construct a problem involving equidistant chords and solve it."/>
    <s v="#N/A"/>
    <s v="#N/A"/>
    <s v="#N/A"/>
    <s v="#N/A"/>
    <s v="#N/A"/>
    <s v="#N/A"/>
    <s v="#N/A"/>
    <s v="#N/A"/>
    <s v="#N/A"/>
    <s v="#N/A"/>
    <s v="#N/A"/>
    <s v="#N/A"/>
    <s v="LU001240"/>
    <s v="Theorem for RHS congruence rule"/>
    <s v="LU000250"/>
    <s v="Definition of a perpendicular bisector"/>
    <s v="LU001093"/>
    <s v="Elements of a circle (arc, chord, secant)"/>
    <m/>
    <m/>
    <m/>
    <m/>
    <m/>
    <m/>
    <m/>
    <m/>
  </r>
  <r>
    <s v="NCERT 2025"/>
    <s v="CBSE"/>
    <x v="0"/>
    <x v="0"/>
    <x v="8"/>
    <x v="50"/>
    <s v="LU001299"/>
    <s v="Relationship between chords and arcs in circles"/>
    <s v="LU001299.001"/>
    <s v="Recall that equal chords in a circle create congruent arcs and vice versa."/>
    <s v="LU001299.002"/>
    <s v="Explain how equal chords and congruent arcs are related to the angles they subtend at the centre."/>
    <s v="LU001299.003"/>
    <s v="Use the properties of chords and arcs to determine unknown measures in circle-related problems."/>
    <s v="LU001299.004"/>
    <s v="Differentiate between various scenarios involving equal chords, congruent arcs, and their subtended angles."/>
    <s v="LU001299.005"/>
    <s v="Assess the correctness of geometric constructions involving equal chords and congruent arcs."/>
    <s v="LU001299.006"/>
    <s v="Construct a geometric proof demonstrating that congruent arcs subtend equal angles and solve a related problem."/>
    <s v="#N/A"/>
    <s v="#N/A"/>
    <s v="#N/A"/>
    <s v="#N/A"/>
    <s v="#N/A"/>
    <s v="#N/A"/>
    <s v="#N/A"/>
    <s v="#N/A"/>
    <s v="#N/A"/>
    <s v="#N/A"/>
    <s v="#N/A"/>
    <s v="#N/A"/>
    <s v="LU001093"/>
    <s v="Elements of a circle (arc, chord, secant)"/>
    <m/>
    <m/>
    <m/>
    <m/>
    <m/>
    <m/>
    <m/>
    <m/>
    <m/>
    <m/>
    <m/>
    <m/>
  </r>
  <r>
    <s v="NCERT 2025"/>
    <s v="CBSE"/>
    <x v="0"/>
    <x v="0"/>
    <x v="8"/>
    <x v="50"/>
    <s v="LU001300"/>
    <s v="Theorem: The angle subtended by an arc at the centre is double the angle subtended by it at any point on the remaining part of the circle."/>
    <s v="LU001300.001"/>
    <s v="Recall and state the theorem, including its assumptions and components."/>
    <s v="LU001300.002"/>
    <s v="Describe the steps involved in proving the theorem."/>
    <s v="LU001300.003"/>
    <s v="Use the theorem to solve various mathematical problems."/>
    <s v="LU001300.004"/>
    <s v="Break down the proof of the theorem into individual steps with explanations, check the correctness of each step and its explanation."/>
    <s v="LU001300.005"/>
    <s v="Critique the theorem by comparing it to related theorems or methods, discussing its strengths, limitations, and overall significance."/>
    <s v="LU001300.006"/>
    <s v="Construct a proof to demonstrate the theorem about angles subtended by arcs."/>
    <s v="#N/A"/>
    <s v="#N/A"/>
    <s v="#N/A"/>
    <s v="#N/A"/>
    <s v="#N/A"/>
    <s v="#N/A"/>
    <s v="#N/A"/>
    <s v="#N/A"/>
    <s v="#N/A"/>
    <s v="#N/A"/>
    <s v="#N/A"/>
    <s v="#N/A"/>
    <s v="LU000429"/>
    <s v="Exterior angle property of a triangle"/>
    <s v="LU000427"/>
    <s v="Properties of an isosceles triangle"/>
    <m/>
    <m/>
    <m/>
    <m/>
    <m/>
    <m/>
    <m/>
    <m/>
    <m/>
    <m/>
  </r>
  <r>
    <s v="NCERT 2025"/>
    <s v="CBSE"/>
    <x v="0"/>
    <x v="0"/>
    <x v="8"/>
    <x v="51"/>
    <s v="LU001301"/>
    <s v="Theorem: Angles in the same segment of a circle are equal."/>
    <s v="LU001301.001"/>
    <s v="Recall and state the theorem, including its assumptions and components."/>
    <s v="LU001301.002"/>
    <s v="Describe the steps involved in proving the theorem."/>
    <s v="LU001301.003"/>
    <s v="Use the theorem to solve various mathematical problems."/>
    <s v="LU001301.004"/>
    <s v="Break down the proof of the theorem into individual steps with explanations, check the correctness of each step and its explanation."/>
    <s v="LU001301.005"/>
    <s v="Critique the theorem by comparing it to related theorems or methods, discussing its strengths, limitations, and overall significance."/>
    <s v="LU001301.006"/>
    <s v="Design a geometric problem that uses the theorem about angles in the same segment and solve it."/>
    <s v="#N/A"/>
    <s v="#N/A"/>
    <s v="#N/A"/>
    <s v="#N/A"/>
    <s v="#N/A"/>
    <s v="#N/A"/>
    <s v="#N/A"/>
    <s v="#N/A"/>
    <s v="#N/A"/>
    <s v="#N/A"/>
    <s v="#N/A"/>
    <s v="#N/A"/>
    <s v="LU000967"/>
    <s v="Segment of a circle"/>
    <s v="LU001299"/>
    <s v="Relationship between chords and arcs in circles"/>
    <m/>
    <m/>
    <m/>
    <m/>
    <m/>
    <m/>
    <m/>
    <m/>
    <m/>
    <m/>
  </r>
  <r>
    <s v="NCERT 2025"/>
    <s v="CBSE"/>
    <x v="0"/>
    <x v="0"/>
    <x v="8"/>
    <x v="51"/>
    <s v="LU001302"/>
    <s v="Angle in a semicircle is a right angle."/>
    <s v="LU001302.001"/>
    <s v="Recall that the angle formed in a semicircle is always a right angle."/>
    <s v="LU001302.002"/>
    <s v="Explain why the angle in a semicircle is a right angle using geometric principles."/>
    <s v="LU001302.003"/>
    <s v="Use the property 'angle in a semicircle is a right angle.' to identify right angles in various geometric problems involving semicircles."/>
    <s v="LU001302.004"/>
    <s v="Analyse the geometric proof that demonstrates an angle in a semicircle is a right angle."/>
    <s v="LU001302.005"/>
    <s v="Evaluate the correctness of geometric proofs that show an angle in a semicircle is a right angle."/>
    <s v="LU001302.006"/>
    <s v="Design a geometric construction that demonstrates the right angle property of a semicircle and solve related problems."/>
    <s v="#N/A"/>
    <s v="#N/A"/>
    <s v="#N/A"/>
    <s v="#N/A"/>
    <s v="#N/A"/>
    <s v="#N/A"/>
    <s v="#N/A"/>
    <s v="#N/A"/>
    <s v="#N/A"/>
    <s v="#N/A"/>
    <s v="#N/A"/>
    <s v="#N/A"/>
    <s v="LU001300"/>
    <s v="Theorem: The angle subtended by an arc at the centre is double the angle subtended by it at any point on the remaining part of the circle."/>
    <s v="LU001094"/>
    <s v="Definition of a semicircle"/>
    <s v="LU000017"/>
    <s v="Definition of a right angle"/>
    <m/>
    <m/>
    <m/>
    <m/>
    <m/>
    <m/>
    <m/>
    <m/>
  </r>
  <r>
    <s v="NCERT 2025"/>
    <s v="CBSE"/>
    <x v="0"/>
    <x v="0"/>
    <x v="8"/>
    <x v="52"/>
    <s v="LU001303"/>
    <s v="Theorem: If a line segment joining two points subtends equal angles at two other points lying on the same side of the line containing the line segment, the four points lie on a circle (i.e. they are concyclic)"/>
    <s v="LU001303.001"/>
    <s v="Recall and state the theorem, including its assumptions and components."/>
    <s v="LU001303.002"/>
    <s v="Describe the steps involved in proving the theorem."/>
    <s v="LU001303.003"/>
    <s v="Use the theorem to solve various mathematical problems."/>
    <s v="LU001303.004"/>
    <s v="Break down the proof of the theorem into individual steps with explanations, check the correctness of each step and its explanation."/>
    <s v="LU001303.005"/>
    <s v="Critique the theorem by comparing it to related theorems or methods, discussing its strengths, limitations, and overall significance."/>
    <s v="LU001303.006"/>
    <s v="Design a problem involving concyclic points and solve it using the theorem."/>
    <s v="#N/A"/>
    <s v="#N/A"/>
    <s v="#N/A"/>
    <s v="#N/A"/>
    <s v="#N/A"/>
    <s v="#N/A"/>
    <s v="#N/A"/>
    <s v="#N/A"/>
    <s v="#N/A"/>
    <s v="#N/A"/>
    <s v="#N/A"/>
    <s v="#N/A"/>
    <s v="LU001301"/>
    <s v="Theorem: Angles in the same segment of a circle are equal."/>
    <s v="LU001302"/>
    <s v="Angle in a semicircle is a right angle."/>
    <m/>
    <m/>
    <m/>
    <m/>
    <m/>
    <m/>
    <m/>
    <m/>
    <m/>
    <m/>
  </r>
  <r>
    <s v="NCERT 2025"/>
    <s v="CBSE"/>
    <x v="0"/>
    <x v="0"/>
    <x v="8"/>
    <x v="52"/>
    <s v="LU001304"/>
    <s v="Definition of cyclic quadrilaterals"/>
    <s v="LU001304.001"/>
    <s v="Recall the definition of a cyclic quadrilateral."/>
    <s v="LU001304.002"/>
    <s v="Explain the properties that characterize a cyclic quadrilateral."/>
    <s v="LU001304.003"/>
    <s v="Identify and draw cyclic quadrilaterals in various geometric diagrams."/>
    <s v="LU001304.004"/>
    <s v="Analyse the conditions that make a quadrilateral cyclic."/>
    <s v="LU001304.005"/>
    <s v="Evaluate the conditions under which a quadrilateral can be classified as cyclic."/>
    <s v="LU001304.006"/>
    <s v="Construct a geometric problem involving cyclic quadrilaterals and solve it."/>
    <s v="#N/A"/>
    <s v="#N/A"/>
    <s v="#N/A"/>
    <s v="#N/A"/>
    <s v="#N/A"/>
    <s v="#N/A"/>
    <s v="#N/A"/>
    <s v="#N/A"/>
    <s v="#N/A"/>
    <s v="#N/A"/>
    <s v="#N/A"/>
    <s v="#N/A"/>
    <s v="LU000230"/>
    <s v="Lexical explanation of quadrilateral"/>
    <s v="LU000231"/>
    <s v="Definition of circle"/>
    <m/>
    <m/>
    <m/>
    <m/>
    <m/>
    <m/>
    <m/>
    <m/>
    <m/>
    <m/>
  </r>
  <r>
    <s v="NCERT 2025"/>
    <s v="CBSE"/>
    <x v="0"/>
    <x v="0"/>
    <x v="8"/>
    <x v="53"/>
    <s v="LU001305"/>
    <s v="Theorem: The sum of either pair of opposite angles of a cyclic quadrilateral is 180º."/>
    <s v="LU001305.001"/>
    <s v="Recall and state the theorem, including its assumptions and components."/>
    <s v="LU001305.002"/>
    <s v="Describe the steps involved in proving the theorem."/>
    <s v="LU001305.003"/>
    <s v="Use the theorem to solve various mathematical problems."/>
    <s v="LU001305.004"/>
    <s v="Break down the proof of the theorem into individual steps with explanations, check the correctness of each step and its explanation."/>
    <s v="LU001305.005"/>
    <s v="Critique the theorem by comparing it to related theorems or methods, discussing its strengths, limitations, and overall significance."/>
    <s v="LU001305.006"/>
    <s v="Construct a geometric problem involving a cyclic quadrilateral and solve it."/>
    <s v="#N/A"/>
    <s v="#N/A"/>
    <s v="#N/A"/>
    <s v="#N/A"/>
    <s v="#N/A"/>
    <s v="#N/A"/>
    <s v="#N/A"/>
    <s v="#N/A"/>
    <s v="#N/A"/>
    <s v="#N/A"/>
    <s v="#N/A"/>
    <s v="#N/A"/>
    <s v="LU001304"/>
    <s v="Definition of cyclic quadrilaterals"/>
    <s v="LU000592"/>
    <s v="Angle sum property of a quadrilateral"/>
    <m/>
    <m/>
    <m/>
    <m/>
    <m/>
    <m/>
    <m/>
    <m/>
    <m/>
    <m/>
  </r>
  <r>
    <s v="NCERT 2025"/>
    <s v="CBSE"/>
    <x v="0"/>
    <x v="0"/>
    <x v="8"/>
    <x v="53"/>
    <s v="LU001306"/>
    <s v="Theorem: If the sum of a pair of opposite angles of a quadrilateral is 180º, the quadrilateral is cyclic."/>
    <s v="LU001306.001"/>
    <s v="Recall and state the theorem, including its assumptions and components."/>
    <s v="LU001306.002"/>
    <s v="Describe the steps involved in proving the theorem."/>
    <s v="LU001306.003"/>
    <s v="Use the theorem to solve various mathematical problems."/>
    <s v="LU001306.004"/>
    <s v="Break down the proof of the theorem into individual steps with explanations, check the correctness of each step and its explanation."/>
    <s v="LU001306.005"/>
    <s v="Critique the theorem by comparing it to related theorems or methods, discussing its strengths, limitations, and overall significance."/>
    <s v="LU001306.006"/>
    <s v="Create a problem involving the sum of opposite angles in cyclic quadrilaterals and solve it."/>
    <s v="#N/A"/>
    <s v="#N/A"/>
    <s v="#N/A"/>
    <s v="#N/A"/>
    <s v="#N/A"/>
    <s v="#N/A"/>
    <s v="#N/A"/>
    <s v="#N/A"/>
    <s v="#N/A"/>
    <s v="#N/A"/>
    <s v="#N/A"/>
    <s v="#N/A"/>
    <s v="LU001304"/>
    <s v="Definition of cyclic quadrilaterals"/>
    <s v="LU000592"/>
    <s v="Angle sum property of a quadrilateral"/>
    <m/>
    <m/>
    <m/>
    <m/>
    <m/>
    <m/>
    <m/>
    <m/>
    <m/>
    <m/>
  </r>
  <r>
    <s v="NCERT 2025"/>
    <s v="CBSE"/>
    <x v="0"/>
    <x v="0"/>
    <x v="9"/>
    <x v="54"/>
    <s v="LU001150"/>
    <s v="Area of a triangle using Heron's (Hero's) formula"/>
    <s v="LU001150.001"/>
    <s v="Recall the statement of Hero's formula for calculating the area of a triangle."/>
    <s v="LU001150.002"/>
    <s v="Explain the steps involved in applying Hero's formula to find the area of a triangle."/>
    <s v="LU001150.003"/>
    <s v="Calculate the area of a triangle using Hero's formula, given the lengths of its sides."/>
    <s v="LU001150.004"/>
    <s v="Analyse the applicability of Hero's formula in different types of triangles by calculating their areas."/>
    <s v="LU001150.005"/>
    <s v="Evaluate the impact of measurement accuracy on the area calculated using Hero's formula."/>
    <s v="LU001150.006"/>
    <s v="Design a task that involves using Hero's formula to solve a real-world problem, such as determining the area of land parcels with irregular triangular shapes."/>
    <s v="#N/A"/>
    <s v="#N/A"/>
    <s v="#N/A"/>
    <s v="#N/A"/>
    <s v="#N/A"/>
    <s v="#N/A"/>
    <s v="#N/A"/>
    <s v="#N/A"/>
    <s v="#N/A"/>
    <s v="#N/A"/>
    <s v="#N/A"/>
    <s v="#N/A"/>
    <s v="LU001168"/>
    <s v="Square root of products"/>
    <s v="LU000323"/>
    <s v="Perimeter of closed figures"/>
    <m/>
    <m/>
    <m/>
    <m/>
    <m/>
    <m/>
    <m/>
    <m/>
    <m/>
    <m/>
  </r>
  <r>
    <s v="NCERT 2025"/>
    <s v="CBSE"/>
    <x v="0"/>
    <x v="0"/>
    <x v="10"/>
    <x v="55"/>
    <s v="LU001249"/>
    <s v="Curved surface area of a right circular cone"/>
    <s v="LU001249.001"/>
    <s v="State the formula for the curved surface area of a right circular cone."/>
    <s v="LU001249.002"/>
    <s v="Derive the formula for the curved surface area of a right circular cone."/>
    <s v="LU001249.003"/>
    <s v="Solve problems involving the curved surface area of right circular cones using given dimensions."/>
    <s v="LU001249.004"/>
    <s v="Compare the curved surface areas of right circular cones with different radii and slant heights."/>
    <s v="LU001249.005"/>
    <s v="Evaluate the correctness of curved surface area calculations for given right circular cones."/>
    <s v="LU001249.006"/>
    <s v="Design a real-world application problem that requires calculating the curved surface area of a right circular cone and solve it."/>
    <s v="#N/A"/>
    <s v="#N/A"/>
    <s v="#N/A"/>
    <s v="#N/A"/>
    <s v="#N/A"/>
    <s v="#N/A"/>
    <s v="#N/A"/>
    <s v="#N/A"/>
    <s v="#N/A"/>
    <s v="#N/A"/>
    <s v="#N/A"/>
    <s v="#N/A"/>
    <s v="LU001248"/>
    <s v="Lexical explanation of three dimensional shapes-right circular cone"/>
    <s v="LU000492"/>
    <s v="Area of a triangle using the formula"/>
    <s v="LU000494"/>
    <s v="Circumference of a circle"/>
    <m/>
    <m/>
    <m/>
    <m/>
    <m/>
    <m/>
    <m/>
    <m/>
  </r>
  <r>
    <s v="NCERT 2025"/>
    <s v="CBSE"/>
    <x v="0"/>
    <x v="0"/>
    <x v="10"/>
    <x v="55"/>
    <s v="LU001250"/>
    <s v="Total surface area of a right circular cone"/>
    <s v="LU001250.001"/>
    <s v="State the formula for the total surface area of a right circular cone."/>
    <s v="LU001250.002"/>
    <s v="Derive the formula for the total surface area of a right circular cone."/>
    <s v="LU001250.003"/>
    <s v="Solve problems involving the total surface area of right circular cones using given dimensions."/>
    <s v="LU001250.004"/>
    <s v="Compare the total surface areas of right circular cones with different radii and slant heights."/>
    <s v="LU001250.005"/>
    <s v="Evaluate the correctness of total surface area calculations for given right circular cones."/>
    <s v="LU001250.006"/>
    <s v="Design a real-world application problem that requires calculating the total surface area of a right circular cone and solve it."/>
    <s v="#N/A"/>
    <s v="#N/A"/>
    <s v="#N/A"/>
    <s v="#N/A"/>
    <s v="#N/A"/>
    <s v="#N/A"/>
    <s v="#N/A"/>
    <s v="#N/A"/>
    <s v="#N/A"/>
    <s v="#N/A"/>
    <s v="#N/A"/>
    <s v="#N/A"/>
    <s v="LU001249"/>
    <s v="Curved surface area of a right circular cone"/>
    <s v="LU000495"/>
    <s v="Area of a circle"/>
    <m/>
    <m/>
    <m/>
    <m/>
    <m/>
    <m/>
    <m/>
    <m/>
    <m/>
    <m/>
  </r>
  <r>
    <s v="NCERT 2025"/>
    <s v="CBSE"/>
    <x v="0"/>
    <x v="0"/>
    <x v="10"/>
    <x v="56"/>
    <s v="LU001251"/>
    <s v="Surface area of a sphere"/>
    <s v="LU001251.001"/>
    <s v="State the formula for the surface area of a sphere."/>
    <s v="LU001251.002"/>
    <s v="Derive the formula for the surface area of a sphere."/>
    <s v="LU001251.003"/>
    <s v="Solve problems involving the surface area of a sphere using given dimensions."/>
    <s v="LU001251.004"/>
    <s v="Analyse the effect of changing the radius on the surface area of a sphere."/>
    <s v="LU001251.005"/>
    <s v="Evaluate the correctness of surface area calculations for given spheres."/>
    <s v="LU001251.006"/>
    <s v="Create a geometric problem involving finding the surface area of a sphere with given dimensions."/>
    <s v="#N/A"/>
    <s v="#N/A"/>
    <s v="#N/A"/>
    <s v="#N/A"/>
    <s v="#N/A"/>
    <s v="#N/A"/>
    <s v="#N/A"/>
    <s v="#N/A"/>
    <s v="#N/A"/>
    <s v="#N/A"/>
    <s v="#N/A"/>
    <s v="#N/A"/>
    <s v="LU000252"/>
    <s v="Lexical explanation of three dimensional shapes-spheres"/>
    <s v="LU000495"/>
    <s v="Area of a circle"/>
    <m/>
    <m/>
    <m/>
    <m/>
    <m/>
    <m/>
    <m/>
    <m/>
    <m/>
    <m/>
  </r>
  <r>
    <s v="NCERT 2025"/>
    <s v="CBSE"/>
    <x v="0"/>
    <x v="0"/>
    <x v="10"/>
    <x v="57"/>
    <s v="LU001253"/>
    <s v="Curved surface area of a hemisphere"/>
    <s v="LU001253.001"/>
    <s v="Write the formula for calculating the curved surface area of a hemisphere."/>
    <s v="LU001253.002"/>
    <s v="Derive the formula for the curved surface area of a hemisphere."/>
    <s v="LU001253.003"/>
    <s v="Use the formula to solve problems involving the curved surface area of a hemisphere in real-life contexts."/>
    <s v="LU001253.004"/>
    <s v="Compare the curved surface areas of hemisphere with different radii."/>
    <s v="LU001253.005"/>
    <s v="Evaluate the correctness of curved surface area calculations for given hemisphere."/>
    <s v="LU001253.006"/>
    <s v="Design a real-world application problem that requires calculating the curved surface area of a hemisphere and solve it."/>
    <s v="#N/A"/>
    <s v="#N/A"/>
    <s v="#N/A"/>
    <s v="#N/A"/>
    <s v="#N/A"/>
    <s v="#N/A"/>
    <s v="#N/A"/>
    <s v="#N/A"/>
    <s v="#N/A"/>
    <s v="#N/A"/>
    <s v="#N/A"/>
    <s v="#N/A"/>
    <s v="LU001252"/>
    <s v="Lexical explanation of three dimensional shapes-hemisphere"/>
    <s v="LU001251"/>
    <s v="Surface area of a sphere"/>
    <m/>
    <m/>
    <m/>
    <m/>
    <m/>
    <m/>
    <m/>
    <m/>
    <m/>
    <m/>
  </r>
  <r>
    <s v="NCERT 2025"/>
    <s v="CBSE"/>
    <x v="0"/>
    <x v="0"/>
    <x v="10"/>
    <x v="57"/>
    <s v="LU001254"/>
    <s v="Total surface area of a hemisphere"/>
    <s v="LU001254.001"/>
    <s v="Write the formula for calculating the total surface area of a hemisphere."/>
    <s v="LU001254.002"/>
    <s v="Derive the formula for the total surface area of a hemisphere."/>
    <s v="LU001254.003"/>
    <s v="Use the formula to solve problems involving the total surface area of a hemisphere in real-life contexts."/>
    <s v="LU001254.004"/>
    <s v="Compare the total surface area of hemisphere with different radii."/>
    <s v="LU001254.005"/>
    <s v="Evaluate the correctness of total surface area calculations for given hemisphere."/>
    <s v="LU001254.006"/>
    <s v="Design a real-world application problem that requires calculating the total surface area of a hemisphere and solve it."/>
    <s v="#N/A"/>
    <s v="#N/A"/>
    <s v="#N/A"/>
    <s v="#N/A"/>
    <s v="#N/A"/>
    <s v="#N/A"/>
    <s v="#N/A"/>
    <s v="#N/A"/>
    <s v="#N/A"/>
    <s v="#N/A"/>
    <s v="#N/A"/>
    <s v="#N/A"/>
    <s v="LU001253"/>
    <s v="Curved surface area of a hemisphere"/>
    <m/>
    <m/>
    <m/>
    <m/>
    <m/>
    <m/>
    <m/>
    <m/>
    <m/>
    <m/>
    <m/>
    <m/>
  </r>
  <r>
    <s v="NCERT 2025"/>
    <s v="CBSE"/>
    <x v="0"/>
    <x v="0"/>
    <x v="10"/>
    <x v="58"/>
    <s v="LU001255"/>
    <s v="Volume of a sphere"/>
    <s v="LU001255.001"/>
    <s v="State the formula for the volume of a sphere."/>
    <s v="LU001255.002"/>
    <s v="Derive the formula for the volume of a sphere."/>
    <s v="LU001255.003"/>
    <s v="Calculate the volume of a sphere with a given radius using the formula."/>
    <s v="LU001255.004"/>
    <s v="Analyse the relationship between the radius and the volume of a sphere."/>
    <s v="LU001255.005"/>
    <s v="Assess the impact of measurement errors on the volume calculation of a sphere."/>
    <s v="LU001255.006"/>
    <s v="Develop a real-life problem that requires calculating the volume of a sphere."/>
    <s v="#N/A"/>
    <s v="#N/A"/>
    <s v="#N/A"/>
    <s v="#N/A"/>
    <s v="#N/A"/>
    <s v="#N/A"/>
    <s v="#N/A"/>
    <s v="#N/A"/>
    <s v="#N/A"/>
    <s v="#N/A"/>
    <s v="#N/A"/>
    <s v="#N/A"/>
    <s v="LU000252"/>
    <s v="Lexical explanation of three dimensional shapes-spheres"/>
    <m/>
    <m/>
    <m/>
    <m/>
    <m/>
    <m/>
    <m/>
    <m/>
    <m/>
    <m/>
    <m/>
    <m/>
  </r>
  <r>
    <s v="NCERT 2025"/>
    <s v="CBSE"/>
    <x v="0"/>
    <x v="0"/>
    <x v="10"/>
    <x v="58"/>
    <s v="LU001256"/>
    <s v="Volume of a hemisphere"/>
    <s v="LU001256.001"/>
    <s v="State the formula for the volume of a hemisphere."/>
    <s v="LU001256.002"/>
    <s v="Derive the formula for the volume of a hemisphere."/>
    <s v="LU001256.003"/>
    <s v="Calculate the volume of a hemisphere with a given radius using the formula."/>
    <s v="LU001256.004"/>
    <s v="Analyse the relationship between the radius and the volume of a hemisphere."/>
    <s v="LU001256.005"/>
    <s v="Assess the impact of measurement errors on the volume calculation of a hemisphere."/>
    <s v="LU001256.006"/>
    <s v="Develop a real-life problem that requires calculating the volume of a hemisphere."/>
    <s v="#N/A"/>
    <s v="#N/A"/>
    <s v="#N/A"/>
    <s v="#N/A"/>
    <s v="#N/A"/>
    <s v="#N/A"/>
    <s v="#N/A"/>
    <s v="#N/A"/>
    <s v="#N/A"/>
    <s v="#N/A"/>
    <s v="#N/A"/>
    <s v="#N/A"/>
    <s v="LU001255"/>
    <s v="Volume of a sphere"/>
    <s v="LU001252"/>
    <s v="Lexical explanation of three dimensional shapes-hemisphere"/>
    <m/>
    <m/>
    <m/>
    <m/>
    <m/>
    <m/>
    <m/>
    <m/>
    <m/>
    <m/>
  </r>
  <r>
    <s v="NCERT 2025"/>
    <s v="CBSE"/>
    <x v="0"/>
    <x v="0"/>
    <x v="10"/>
    <x v="59"/>
    <s v="LU001257"/>
    <s v="Volume of a right circular cone"/>
    <s v="LU001257.001"/>
    <s v="State the formula for the volume of a right circular cone."/>
    <s v="LU001257.002"/>
    <s v="Derive the formula for the volume of a right circular cone."/>
    <s v="LU001257.003"/>
    <s v="Calculate the volume of a right circular cone with a given radius and height using the formula."/>
    <s v="LU001257.004"/>
    <s v="Analyse the relationship between the radius and height and the volume of a right circular cone."/>
    <s v="LU001257.005"/>
    <s v="Assess the impact of measurement errors on the volume calculation of a right circular cone."/>
    <s v="LU001257.006"/>
    <s v="Develop a real-life problem that requires calculating the volume of a right circular cone."/>
    <s v="#N/A"/>
    <s v="#N/A"/>
    <s v="#N/A"/>
    <s v="#N/A"/>
    <s v="#N/A"/>
    <s v="#N/A"/>
    <s v="#N/A"/>
    <s v="#N/A"/>
    <s v="#N/A"/>
    <s v="#N/A"/>
    <s v="#N/A"/>
    <s v="#N/A"/>
    <s v="LU000726"/>
    <s v="Volume of a right circular cylinder"/>
    <s v="LU001248"/>
    <s v="Lexical explanation of three dimensional shapes-right circular cone"/>
    <s v="LU000078"/>
    <s v="Definition of 3D shapes"/>
    <m/>
    <m/>
    <m/>
    <m/>
    <m/>
    <m/>
    <m/>
    <m/>
  </r>
  <r>
    <s v="NCERT 2025"/>
    <s v="CBSE"/>
    <x v="0"/>
    <x v="0"/>
    <x v="11"/>
    <x v="60"/>
    <s v="LU000634"/>
    <s v="Interpretation of histogram"/>
    <s v="LU000634.001"/>
    <s v="Recognize the key elements of a histogram, including bars representing data intervals and their respective frequencies."/>
    <s v="LU000634.002"/>
    <s v="#N/A"/>
    <s v="LU000634.003"/>
    <s v="Apply knowledge of histograms to interpret and analyze a given histogram"/>
    <s v="LU000634.004"/>
    <s v="Analyze a histogram to extract meaningful insights about the data's distribution"/>
    <s v="LU000634.005"/>
    <s v="#N/A"/>
    <s v="LU000634.006"/>
    <s v="#N/A"/>
    <s v="#N/A"/>
    <s v="#N/A"/>
    <s v="#N/A"/>
    <s v="#N/A"/>
    <s v="#N/A"/>
    <s v="#N/A"/>
    <s v="#N/A"/>
    <s v="#N/A"/>
    <s v="#N/A"/>
    <s v="#N/A"/>
    <s v="#N/A"/>
    <s v="#N/A"/>
    <s v="LU000620"/>
    <s v="Definition of histogram"/>
    <s v="LU000317"/>
    <s v="Interpretation of bar graphs (horizontal and vertical)"/>
    <m/>
    <m/>
    <m/>
    <m/>
    <m/>
    <m/>
    <m/>
    <m/>
    <m/>
    <m/>
  </r>
  <r>
    <s v="NCERT 2025"/>
    <s v="CBSE"/>
    <x v="0"/>
    <x v="0"/>
    <x v="11"/>
    <x v="60"/>
    <s v="LU000635"/>
    <s v="Construction of histogram"/>
    <s v="LU000635.001"/>
    <s v="Recognize the essential components required for constructing a histogram"/>
    <s v="LU000635.002"/>
    <s v="Explain the purpose of constructing a histogram as a graphical tool for visualizing the distribution and frequency of data within intervals"/>
    <s v="LU000635.003"/>
    <s v="Apply knowledge of histogram construction to accurately create a histogram from a given dataset"/>
    <s v="LU000635.004"/>
    <s v="Analyze the dataset to determine suitable intervals and construct a histogram that effectively represents the data's distribution"/>
    <s v="LU000635.005"/>
    <s v="Evaluate the effectiveness of the constructed histogram in representing data"/>
    <s v="LU000635.006"/>
    <s v="Create a histogram using a provided dataset, ensuring that it accurately represents the data's distribution"/>
    <s v="#N/A"/>
    <s v="#N/A"/>
    <s v="#N/A"/>
    <s v="#N/A"/>
    <s v="#N/A"/>
    <s v="#N/A"/>
    <s v="#N/A"/>
    <s v="#N/A"/>
    <s v="#N/A"/>
    <s v="#N/A"/>
    <s v="#N/A"/>
    <s v="#N/A"/>
    <s v="LU000634"/>
    <s v="Interpretation of histogram"/>
    <s v="LU000318"/>
    <s v="Construction of bar graphs (horizontal and vertical)"/>
    <s v="LU000630"/>
    <s v="Construction of grouped frequency distribution table"/>
    <m/>
    <m/>
    <m/>
    <m/>
    <m/>
    <m/>
    <m/>
    <m/>
  </r>
  <r>
    <s v="NCERT 2025"/>
    <s v="CBSE"/>
    <x v="0"/>
    <x v="0"/>
    <x v="11"/>
    <x v="61"/>
    <s v="LU001322"/>
    <s v="Interpretation of frequency polygon"/>
    <s v="LU001322.001"/>
    <s v="Identify the axes and labels in a frequency polygon."/>
    <s v="LU001322.002"/>
    <s v="Explain the significance of different sections in a frequency polygon."/>
    <s v="LU001322.003"/>
    <s v="Interpret a given frequency polygon to determine data trends."/>
    <s v="LU001322.004"/>
    <s v="Analyze the shape of a frequency polygon to identify data patterns."/>
    <s v="LU001322.005"/>
    <s v="Evaluate the effectiveness of a frequency polygon in representing data."/>
    <s v="LU001322.006"/>
    <s v="Develop insights and conclusions based on a given frequency polygon."/>
    <s v="#N/A"/>
    <s v="#N/A"/>
    <s v="#N/A"/>
    <s v="#N/A"/>
    <s v="#N/A"/>
    <s v="#N/A"/>
    <s v="#N/A"/>
    <s v="#N/A"/>
    <s v="#N/A"/>
    <s v="#N/A"/>
    <s v="#N/A"/>
    <s v="#N/A"/>
    <s v="LU001321"/>
    <s v="Definition of frequency polygon"/>
    <s v=" "/>
    <m/>
    <m/>
    <m/>
    <m/>
    <m/>
    <m/>
    <m/>
    <m/>
    <m/>
    <m/>
    <m/>
  </r>
  <r>
    <s v="NCERT 2025"/>
    <s v="CBSE"/>
    <x v="0"/>
    <x v="0"/>
    <x v="11"/>
    <x v="61"/>
    <s v="LU001323"/>
    <s v="Construction of frequency polygon"/>
    <s v="LU001323.001"/>
    <s v="List the steps required to construct a frequency polygon."/>
    <s v="LU001323.002"/>
    <s v="Explain the method of plotting midpoints for constructing a frequency polygon."/>
    <s v="LU001323.003"/>
    <s v="Construct a frequency polygon from a given set of data."/>
    <s v="LU001323.004"/>
    <s v="Analyze the differences between frequency polygons constructed from different datasets."/>
    <s v="LU001323.005"/>
    <s v="Evaluate the accuracy of a frequency polygon in representing the underlying data."/>
    <s v="LU001323.006"/>
    <s v="Design a frequency polygon from raw data and justify the choice of class intervals."/>
    <s v="#N/A"/>
    <s v="#N/A"/>
    <s v="#N/A"/>
    <s v="#N/A"/>
    <s v="#N/A"/>
    <s v="#N/A"/>
    <s v="#N/A"/>
    <s v="#N/A"/>
    <s v="#N/A"/>
    <s v="#N/A"/>
    <s v="#N/A"/>
    <s v="#N/A"/>
    <s v="LU001322"/>
    <s v="Interpretation of frequency polygon"/>
    <s v="LU001321"/>
    <s v="Definition of frequency polygon"/>
    <m/>
    <m/>
    <m/>
    <m/>
    <m/>
    <m/>
    <m/>
    <m/>
    <m/>
    <m/>
  </r>
  <r>
    <s v="NCERT 2025"/>
    <s v="CBSE"/>
    <x v="0"/>
    <x v="0"/>
    <x v="11"/>
    <x v="62"/>
    <s v="LU001326"/>
    <s v="Interpretation of two frequency polygons on the same graph"/>
    <s v="LU001326.001"/>
    <s v="Identify the key elements and axes of two frequency polygons on the same graph."/>
    <s v="LU001326.002"/>
    <s v="Explain the significance of comparing two frequency polygons on the same graph."/>
    <s v="LU001326.003"/>
    <s v="Interpret the similarities and differences between two frequency polygons on the same graph."/>
    <s v="LU001326.004"/>
    <s v="Analyze the data trends shown by two frequency polygons on the same graph."/>
    <s v="LU001326.005"/>
    <s v="Evaluate the effectiveness of using two frequency polygons to compare datasets."/>
    <s v="LU001326.006"/>
    <s v="Generate insights and conclusions by comparing two frequency polygons on the same graph."/>
    <s v="#N/A"/>
    <s v="#N/A"/>
    <s v="#N/A"/>
    <s v="#N/A"/>
    <s v="#N/A"/>
    <s v="#N/A"/>
    <s v="#N/A"/>
    <s v="#N/A"/>
    <s v="#N/A"/>
    <s v="#N/A"/>
    <s v="#N/A"/>
    <s v="#N/A"/>
    <s v="LU001322"/>
    <s v="Interpretation of frequency polygon"/>
    <m/>
    <m/>
    <m/>
    <m/>
    <m/>
    <m/>
    <m/>
    <m/>
    <m/>
    <m/>
    <m/>
    <m/>
  </r>
  <r>
    <s v="NCERT 2025"/>
    <s v="CBSE"/>
    <x v="0"/>
    <x v="0"/>
    <x v="11"/>
    <x v="62"/>
    <s v="LU001327"/>
    <s v="Construction of two frequency polygons on the same graph"/>
    <s v="LU001327.001"/>
    <s v="Recall the steps for constructing two frequency polygon on the same graph."/>
    <s v="LU001327.002"/>
    <s v="Explain the process of plotting two frequency polygons on the same graph."/>
    <s v="LU001327.003"/>
    <s v="Construct two frequency polygons on the same graph using given datasets."/>
    <s v="LU001327.004"/>
    <s v="Compare the visual representation of two datasets using frequency polygons on the same graph."/>
    <s v="LU001327.005"/>
    <s v="Evaluate the accuracy and clarity of two frequency polygons on the same graph."/>
    <s v="LU001327.006"/>
    <s v="Design a graph with two frequency polygons from raw data and justify the choice of intervals."/>
    <s v="#N/A"/>
    <s v="#N/A"/>
    <s v="#N/A"/>
    <s v="#N/A"/>
    <s v="#N/A"/>
    <s v="#N/A"/>
    <s v="#N/A"/>
    <s v="#N/A"/>
    <s v="#N/A"/>
    <s v="#N/A"/>
    <s v="#N/A"/>
    <s v="#N/A"/>
    <s v="LU001326"/>
    <s v="Interpretation of two frequency polygons on the same graph"/>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r>
    <m/>
    <m/>
    <x v="1"/>
    <x v="1"/>
    <x v="12"/>
    <x v="63"/>
    <m/>
    <m/>
    <m/>
    <m/>
    <m/>
    <m/>
    <m/>
    <m/>
    <m/>
    <m/>
    <m/>
    <m/>
    <m/>
    <m/>
    <m/>
    <m/>
    <m/>
    <m/>
    <m/>
    <m/>
    <m/>
    <m/>
    <m/>
    <m/>
    <m/>
    <m/>
    <m/>
    <m/>
    <m/>
    <m/>
    <m/>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F00-000000000000}" name="Topic Name-LU Count 3" cacheId="10" applyNumberFormats="0" applyBorderFormats="0" applyFontFormats="0" applyPatternFormats="0" applyAlignmentFormats="0" applyWidthHeightFormats="0" dataCaption="" updatedVersion="8" rowGrandTotals="0" compact="0" compactData="0">
  <location ref="A2:F65" firstHeaderRow="1" firstDataRow="1" firstDataCol="5"/>
  <pivotFields count="46">
    <pivotField name="Template" axis="axisRow" compact="0" outline="0" multipleItemSelectionAllowed="1" showAll="0" sortType="ascending">
      <items count="3">
        <item x="0"/>
        <item x="1"/>
        <item t="default"/>
      </items>
    </pivotField>
    <pivotField name="Board" compact="0" outline="0" multipleItemSelectionAllowed="1" showAll="0"/>
    <pivotField name="Grade" axis="axisRow" compact="0" outline="0" multipleItemSelectionAllowed="1" showAll="0" sortType="ascending" defaultSubtotal="0">
      <items count="2">
        <item x="0"/>
        <item x="1"/>
      </items>
    </pivotField>
    <pivotField name="Subject" axis="axisRow" compact="0" outline="0" multipleItemSelectionAllowed="1" showAll="0" sortType="ascending" defaultSubtotal="0">
      <items count="2">
        <item x="0"/>
        <item x="1"/>
      </items>
    </pivotField>
    <pivotField name="Chapter (NCERT/AcadAlly's name)" axis="axisRow" compact="0" outline="0" multipleItemSelectionAllowed="1" showAll="0" sortType="ascending" defaultSubtotal="0">
      <items count="11">
        <item x="3"/>
        <item x="6"/>
        <item x="1"/>
        <item x="2"/>
        <item x="0"/>
        <item x="5"/>
        <item x="7"/>
        <item x="4"/>
        <item x="8"/>
        <item x="9"/>
        <item x="10"/>
      </items>
    </pivotField>
    <pivotField name="Topic" axis="axisRow" compact="0" outline="0" multipleItemSelectionAllowed="1" showAll="0" sortType="ascending">
      <items count="62">
        <item x="43"/>
        <item x="15"/>
        <item x="5"/>
        <item x="9"/>
        <item x="33"/>
        <item x="32"/>
        <item x="34"/>
        <item x="36"/>
        <item x="21"/>
        <item x="44"/>
        <item x="14"/>
        <item x="42"/>
        <item x="46"/>
        <item x="41"/>
        <item x="17"/>
        <item x="47"/>
        <item x="24"/>
        <item x="37"/>
        <item x="22"/>
        <item x="40"/>
        <item x="45"/>
        <item x="18"/>
        <item x="55"/>
        <item x="54"/>
        <item x="3"/>
        <item x="4"/>
        <item x="53"/>
        <item x="50"/>
        <item x="51"/>
        <item x="59"/>
        <item x="23"/>
        <item x="57"/>
        <item x="58"/>
        <item x="56"/>
        <item x="0"/>
        <item x="2"/>
        <item x="11"/>
        <item x="35"/>
        <item x="30"/>
        <item x="31"/>
        <item x="8"/>
        <item x="20"/>
        <item x="12"/>
        <item x="13"/>
        <item x="16"/>
        <item x="48"/>
        <item x="25"/>
        <item x="27"/>
        <item x="1"/>
        <item x="7"/>
        <item x="38"/>
        <item x="52"/>
        <item x="28"/>
        <item x="29"/>
        <item x="49"/>
        <item x="19"/>
        <item x="26"/>
        <item x="10"/>
        <item x="6"/>
        <item x="39"/>
        <item x="60"/>
        <item t="default"/>
      </items>
    </pivotField>
    <pivotField name="LUID" dataField="1" compact="0" outline="0" multipleItemSelectionAllowed="1" showAll="0"/>
    <pivotField name="LUs Covered" compact="0" outline="0" multipleItemSelectionAllowed="1" showAll="0"/>
    <pivotField name="LO ID (Remember)" compact="0" outline="0" multipleItemSelectionAllowed="1" showAll="0"/>
    <pivotField name="LO Name (Remember)" compact="0" outline="0" multipleItemSelectionAllowed="1" showAll="0"/>
    <pivotField name="LO ID (Understand)" compact="0" outline="0" multipleItemSelectionAllowed="1" showAll="0"/>
    <pivotField name="LO Name (Understand)" compact="0" outline="0" multipleItemSelectionAllowed="1" showAll="0"/>
    <pivotField name="LO ID (Apply)" compact="0" outline="0" multipleItemSelectionAllowed="1" showAll="0"/>
    <pivotField name="LO Name (Apply)" compact="0" outline="0" multipleItemSelectionAllowed="1" showAll="0"/>
    <pivotField name="LO ID (Analyse)" compact="0" outline="0" multipleItemSelectionAllowed="1" showAll="0"/>
    <pivotField name="LO Name (Analyse)" compact="0" outline="0" multipleItemSelectionAllowed="1" showAll="0"/>
    <pivotField name="LO ID (Evaluate)" compact="0" outline="0" multipleItemSelectionAllowed="1" showAll="0"/>
    <pivotField name="LO Name (Evaluate)" compact="0" outline="0" multipleItemSelectionAllowed="1" showAll="0"/>
    <pivotField name="LO ID (Create)" compact="0" outline="0" multipleItemSelectionAllowed="1" showAll="0"/>
    <pivotField name="LO Name (Create)" compact="0" outline="0" multipleItemSelectionAllowed="1" showAll="0"/>
    <pivotField name="Clone_x000a_Level 1" compact="0" outline="0" multipleItemSelectionAllowed="1" showAll="0"/>
    <pivotField name="Clone_x000a_Level 2" compact="0" outline="0" multipleItemSelectionAllowed="1" showAll="0"/>
    <pivotField name="Clone_x000a_Level 3" compact="0" outline="0" multipleItemSelectionAllowed="1" showAll="0"/>
    <pivotField name="Clone Total" compact="0" outline="0" multipleItemSelectionAllowed="1" showAll="0"/>
    <pivotField name="Original_x000a_Level 1" compact="0" outline="0" multipleItemSelectionAllowed="1" showAll="0"/>
    <pivotField name="Original_x000a_Level 2" compact="0" outline="0" multipleItemSelectionAllowed="1" showAll="0"/>
    <pivotField name="Original_x000a_Level 3" compact="0" outline="0" multipleItemSelectionAllowed="1" showAll="0"/>
    <pivotField name="Original Total" compact="0" outline="0" multipleItemSelectionAllowed="1" showAll="0"/>
    <pivotField name="Unknown_x000a_Level 1" compact="0" outline="0" multipleItemSelectionAllowed="1" showAll="0"/>
    <pivotField name="Unknown_x000a_Level 2" compact="0" outline="0" multipleItemSelectionAllowed="1" showAll="0"/>
    <pivotField name="Unknown_x000a_Level 3" compact="0" outline="0" multipleItemSelectionAllowed="1" showAll="0"/>
    <pivotField name="Total" compact="0" outline="0" multipleItemSelectionAllowed="1" showAll="0"/>
    <pivotField name="Primary LUID_1" compact="0" outline="0" multipleItemSelectionAllowed="1" showAll="0"/>
    <pivotField name="Primary LU_1" compact="0" outline="0" multipleItemSelectionAllowed="1" showAll="0"/>
    <pivotField name="Primary LUID_2" compact="0" outline="0" multipleItemSelectionAllowed="1" showAll="0"/>
    <pivotField name="Primary LU_2" compact="0" outline="0" multipleItemSelectionAllowed="1" showAll="0"/>
    <pivotField name="Primary LUID_3" compact="0" outline="0" multipleItemSelectionAllowed="1" showAll="0"/>
    <pivotField name="Primary LU_3" compact="0" outline="0" multipleItemSelectionAllowed="1" showAll="0"/>
    <pivotField name="Primary LUID_4" compact="0" outline="0" multipleItemSelectionAllowed="1" showAll="0"/>
    <pivotField name="Primary LU_4" compact="0" outline="0" multipleItemSelectionAllowed="1" showAll="0"/>
    <pivotField name="Primary LUID_5" compact="0" outline="0" multipleItemSelectionAllowed="1" showAll="0"/>
    <pivotField name="Primary LU_5" compact="0" outline="0" multipleItemSelectionAllowed="1" showAll="0"/>
    <pivotField name="Primary LUID_6" compact="0" outline="0" multipleItemSelectionAllowed="1" showAll="0"/>
    <pivotField name="Primary LU_6" compact="0" outline="0" multipleItemSelectionAllowed="1" showAll="0"/>
    <pivotField name="Primary LUID_7" compact="0" outline="0" multipleItemSelectionAllowed="1" showAll="0"/>
    <pivotField name="Primary LU_7" compact="0" outline="0" multipleItemSelectionAllowed="1" showAll="0"/>
  </pivotFields>
  <rowFields count="5">
    <field x="0"/>
    <field x="2"/>
    <field x="3"/>
    <field x="4"/>
    <field x="5"/>
  </rowFields>
  <rowItems count="63">
    <i>
      <x/>
      <x/>
      <x/>
      <x/>
      <x v="8"/>
    </i>
    <i r="4">
      <x v="18"/>
    </i>
    <i r="4">
      <x v="21"/>
    </i>
    <i r="4">
      <x v="41"/>
    </i>
    <i r="4">
      <x v="55"/>
    </i>
    <i r="3">
      <x v="1"/>
      <x/>
    </i>
    <i r="4">
      <x v="9"/>
    </i>
    <i r="4">
      <x v="11"/>
    </i>
    <i r="4">
      <x v="13"/>
    </i>
    <i r="4">
      <x v="17"/>
    </i>
    <i r="4">
      <x v="19"/>
    </i>
    <i r="4">
      <x v="50"/>
    </i>
    <i r="4">
      <x v="59"/>
    </i>
    <i r="3">
      <x v="2"/>
      <x v="2"/>
    </i>
    <i r="4">
      <x v="3"/>
    </i>
    <i r="4">
      <x v="24"/>
    </i>
    <i r="4">
      <x v="25"/>
    </i>
    <i r="4">
      <x v="40"/>
    </i>
    <i r="4">
      <x v="49"/>
    </i>
    <i r="4">
      <x v="57"/>
    </i>
    <i r="4">
      <x v="58"/>
    </i>
    <i r="3">
      <x v="3"/>
      <x v="1"/>
    </i>
    <i r="4">
      <x v="10"/>
    </i>
    <i r="4">
      <x v="14"/>
    </i>
    <i r="4">
      <x v="36"/>
    </i>
    <i r="4">
      <x v="42"/>
    </i>
    <i r="4">
      <x v="43"/>
    </i>
    <i r="4">
      <x v="44"/>
    </i>
    <i r="3">
      <x v="4"/>
      <x v="34"/>
    </i>
    <i r="4">
      <x v="35"/>
    </i>
    <i r="4">
      <x v="48"/>
    </i>
    <i r="3">
      <x v="5"/>
      <x v="4"/>
    </i>
    <i r="4">
      <x v="5"/>
    </i>
    <i r="4">
      <x v="6"/>
    </i>
    <i r="4">
      <x v="7"/>
    </i>
    <i r="4">
      <x v="37"/>
    </i>
    <i r="4">
      <x v="38"/>
    </i>
    <i r="4">
      <x v="39"/>
    </i>
    <i r="3">
      <x v="6"/>
      <x v="12"/>
    </i>
    <i r="4">
      <x v="15"/>
    </i>
    <i r="4">
      <x v="20"/>
    </i>
    <i r="4">
      <x v="45"/>
    </i>
    <i r="3">
      <x v="7"/>
      <x v="16"/>
    </i>
    <i r="4">
      <x v="30"/>
    </i>
    <i r="4">
      <x v="46"/>
    </i>
    <i r="4">
      <x v="47"/>
    </i>
    <i r="4">
      <x v="52"/>
    </i>
    <i r="4">
      <x v="53"/>
    </i>
    <i r="4">
      <x v="56"/>
    </i>
    <i r="3">
      <x v="8"/>
      <x v="26"/>
    </i>
    <i r="4">
      <x v="27"/>
    </i>
    <i r="4">
      <x v="28"/>
    </i>
    <i r="4">
      <x v="51"/>
    </i>
    <i r="4">
      <x v="54"/>
    </i>
    <i r="3">
      <x v="9"/>
      <x v="22"/>
    </i>
    <i r="4">
      <x v="23"/>
    </i>
    <i r="4">
      <x v="29"/>
    </i>
    <i r="4">
      <x v="31"/>
    </i>
    <i r="4">
      <x v="32"/>
    </i>
    <i r="4">
      <x v="33"/>
    </i>
    <i t="default">
      <x/>
    </i>
    <i>
      <x v="1"/>
      <x v="1"/>
      <x v="1"/>
      <x v="10"/>
      <x v="60"/>
    </i>
    <i t="default">
      <x v="1"/>
    </i>
  </rowItems>
  <colItems count="1">
    <i/>
  </colItems>
  <dataFields count="1">
    <dataField name="COUNTA of LUID" fld="6" subtotal="count" baseField="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F00-000002000000}" name="Topic Name-LU Count" cacheId="24" applyNumberFormats="0" applyBorderFormats="0" applyFontFormats="0" applyPatternFormats="0" applyAlignmentFormats="0" applyWidthHeightFormats="0" dataCaption="" updatedVersion="8" compact="0" compactData="0">
  <location ref="AC1:AG66" firstHeaderRow="1" firstDataRow="1" firstDataCol="4"/>
  <pivotFields count="46">
    <pivotField name="Template" compact="0" outline="0" multipleItemSelectionAllowed="1" showAll="0"/>
    <pivotField name="Board" compact="0" outline="0" multipleItemSelectionAllowed="1" showAll="0"/>
    <pivotField name="Grade" axis="axisRow" compact="0" outline="0" multipleItemSelectionAllowed="1" showAll="0" sortType="ascending" defaultSubtotal="0">
      <items count="2">
        <item x="0"/>
        <item x="1"/>
      </items>
    </pivotField>
    <pivotField name="Subject" axis="axisRow" compact="0" outline="0" multipleItemSelectionAllowed="1" showAll="0" sortType="ascending" defaultSubtotal="0">
      <items count="2">
        <item x="0"/>
        <item x="1"/>
      </items>
    </pivotField>
    <pivotField name="Chapter (NCERT/AcadAlly's name)" axis="axisRow" compact="0" outline="0" multipleItemSelectionAllowed="1" showAll="0" sortType="ascending" defaultSubtotal="0">
      <items count="13">
        <item x="8"/>
        <item x="2"/>
        <item x="9"/>
        <item x="4"/>
        <item x="3"/>
        <item x="5"/>
        <item x="0"/>
        <item x="1"/>
        <item x="7"/>
        <item x="11"/>
        <item x="10"/>
        <item x="6"/>
        <item x="12"/>
      </items>
    </pivotField>
    <pivotField name="Topic" axis="axisRow" compact="0" outline="0" multipleItemSelectionAllowed="1" showAll="0" sortType="ascending">
      <items count="65">
        <item x="50"/>
        <item x="11"/>
        <item x="54"/>
        <item x="16"/>
        <item x="17"/>
        <item x="31"/>
        <item x="27"/>
        <item x="28"/>
        <item x="29"/>
        <item x="40"/>
        <item x="52"/>
        <item x="53"/>
        <item x="49"/>
        <item x="34"/>
        <item x="33"/>
        <item x="35"/>
        <item x="20"/>
        <item x="21"/>
        <item x="22"/>
        <item x="23"/>
        <item x="24"/>
        <item x="25"/>
        <item x="61"/>
        <item x="18"/>
        <item x="60"/>
        <item x="26"/>
        <item x="39"/>
        <item x="30"/>
        <item x="15"/>
        <item x="13"/>
        <item x="14"/>
        <item x="38"/>
        <item x="46"/>
        <item x="42"/>
        <item x="62"/>
        <item x="7"/>
        <item x="5"/>
        <item x="6"/>
        <item x="3"/>
        <item x="4"/>
        <item x="36"/>
        <item x="37"/>
        <item x="41"/>
        <item x="12"/>
        <item x="1"/>
        <item x="2"/>
        <item x="0"/>
        <item x="8"/>
        <item x="32"/>
        <item x="9"/>
        <item x="10"/>
        <item x="57"/>
        <item x="55"/>
        <item x="56"/>
        <item x="43"/>
        <item x="44"/>
        <item x="45"/>
        <item x="51"/>
        <item x="47"/>
        <item x="48"/>
        <item x="59"/>
        <item x="58"/>
        <item x="19"/>
        <item x="63"/>
        <item t="default"/>
      </items>
    </pivotField>
    <pivotField name="LUID" dataField="1" compact="0" outline="0" multipleItemSelectionAllowed="1" showAll="0"/>
    <pivotField name="LUs Covered" compact="0" outline="0" multipleItemSelectionAllowed="1" showAll="0"/>
    <pivotField name="LO ID (Remember)" compact="0" outline="0" multipleItemSelectionAllowed="1" showAll="0"/>
    <pivotField name="LO Name (Remember)" compact="0" outline="0" multipleItemSelectionAllowed="1" showAll="0"/>
    <pivotField name="LO ID (Understand)" compact="0" outline="0" multipleItemSelectionAllowed="1" showAll="0"/>
    <pivotField name="LO Name (Understand)" compact="0" outline="0" multipleItemSelectionAllowed="1" showAll="0"/>
    <pivotField name="LO ID (Apply)" compact="0" outline="0" multipleItemSelectionAllowed="1" showAll="0"/>
    <pivotField name="LO Name (Apply)" compact="0" outline="0" multipleItemSelectionAllowed="1" showAll="0"/>
    <pivotField name="LO ID (Analyse)" compact="0" outline="0" multipleItemSelectionAllowed="1" showAll="0"/>
    <pivotField name="LO Name (Analyse)" compact="0" outline="0" multipleItemSelectionAllowed="1" showAll="0"/>
    <pivotField name="LO ID (Evaluate)" compact="0" outline="0" multipleItemSelectionAllowed="1" showAll="0"/>
    <pivotField name="LO Name (Evaluate)" compact="0" outline="0" multipleItemSelectionAllowed="1" showAll="0"/>
    <pivotField name="LO ID (Create)" compact="0" outline="0" multipleItemSelectionAllowed="1" showAll="0"/>
    <pivotField name="LO Name (Create)" compact="0" outline="0" multipleItemSelectionAllowed="1" showAll="0"/>
    <pivotField name="Clone_x000a_Level 1" compact="0" outline="0" multipleItemSelectionAllowed="1" showAll="0"/>
    <pivotField name="Clone_x000a_Level 2" compact="0" outline="0" multipleItemSelectionAllowed="1" showAll="0"/>
    <pivotField name="Clone_x000a_Level 3" compact="0" outline="0" multipleItemSelectionAllowed="1" showAll="0"/>
    <pivotField name="Clone Total" compact="0" outline="0" multipleItemSelectionAllowed="1" showAll="0"/>
    <pivotField name="Original_x000a_Level 1" compact="0" outline="0" multipleItemSelectionAllowed="1" showAll="0"/>
    <pivotField name="Original_x000a_Level 2" compact="0" outline="0" multipleItemSelectionAllowed="1" showAll="0"/>
    <pivotField name="Original_x000a_Level 3" compact="0" outline="0" multipleItemSelectionAllowed="1" showAll="0"/>
    <pivotField name="Original Total" compact="0" outline="0" multipleItemSelectionAllowed="1" showAll="0"/>
    <pivotField name="Unknown_x000a_Level 1" compact="0" outline="0" multipleItemSelectionAllowed="1" showAll="0"/>
    <pivotField name="Unknown_x000a_Level 2" compact="0" outline="0" multipleItemSelectionAllowed="1" showAll="0"/>
    <pivotField name="Unknown_x000a_Level 3" compact="0" outline="0" multipleItemSelectionAllowed="1" showAll="0"/>
    <pivotField name="Total" compact="0" outline="0" multipleItemSelectionAllowed="1" showAll="0"/>
    <pivotField name="Primary LUID_1" compact="0" outline="0" multipleItemSelectionAllowed="1" showAll="0"/>
    <pivotField name="Primary LU_1" compact="0" outline="0" multipleItemSelectionAllowed="1" showAll="0"/>
    <pivotField name="Primary LUID_2" compact="0" outline="0" multipleItemSelectionAllowed="1" showAll="0"/>
    <pivotField name="Primary LU_2" compact="0" outline="0" multipleItemSelectionAllowed="1" showAll="0"/>
    <pivotField name="Primary LUID_3" compact="0" outline="0" multipleItemSelectionAllowed="1" showAll="0"/>
    <pivotField name="Primary LU_3" compact="0" outline="0" multipleItemSelectionAllowed="1" showAll="0"/>
    <pivotField name="Primary LUID_4" compact="0" outline="0" multipleItemSelectionAllowed="1" showAll="0"/>
    <pivotField name="Primary LU_4" compact="0" outline="0" multipleItemSelectionAllowed="1" showAll="0"/>
    <pivotField name="Primary LUID_5" compact="0" outline="0" multipleItemSelectionAllowed="1" showAll="0"/>
    <pivotField name="Primary LU_5" compact="0" outline="0" multipleItemSelectionAllowed="1" showAll="0"/>
    <pivotField name="Primary LUID_6" compact="0" outline="0" multipleItemSelectionAllowed="1" showAll="0"/>
    <pivotField name="Primary LU_6" compact="0" outline="0" multipleItemSelectionAllowed="1" showAll="0"/>
    <pivotField name="Primary LUID_7" compact="0" outline="0" multipleItemSelectionAllowed="1" showAll="0"/>
    <pivotField name="Primary LU_7" compact="0" outline="0" multipleItemSelectionAllowed="1" showAll="0"/>
  </pivotFields>
  <rowFields count="4">
    <field x="2"/>
    <field x="3"/>
    <field x="4"/>
    <field x="5"/>
  </rowFields>
  <rowItems count="65">
    <i>
      <x/>
      <x/>
      <x/>
      <x/>
    </i>
    <i r="3">
      <x v="10"/>
    </i>
    <i r="3">
      <x v="11"/>
    </i>
    <i r="3">
      <x v="12"/>
    </i>
    <i r="3">
      <x v="57"/>
    </i>
    <i r="3">
      <x v="58"/>
    </i>
    <i r="3">
      <x v="59"/>
    </i>
    <i r="2">
      <x v="1"/>
      <x v="6"/>
    </i>
    <i r="3">
      <x v="7"/>
    </i>
    <i r="3">
      <x v="8"/>
    </i>
    <i r="3">
      <x v="25"/>
    </i>
    <i r="2">
      <x v="2"/>
      <x v="2"/>
    </i>
    <i r="2">
      <x v="3"/>
      <x v="13"/>
    </i>
    <i r="3">
      <x v="14"/>
    </i>
    <i r="3">
      <x v="15"/>
    </i>
    <i r="2">
      <x v="4"/>
      <x v="5"/>
    </i>
    <i r="3">
      <x v="27"/>
    </i>
    <i r="3">
      <x v="48"/>
    </i>
    <i r="2">
      <x v="5"/>
      <x v="31"/>
    </i>
    <i r="3">
      <x v="40"/>
    </i>
    <i r="3">
      <x v="41"/>
    </i>
    <i r="2">
      <x v="6"/>
      <x v="1"/>
    </i>
    <i r="3">
      <x v="29"/>
    </i>
    <i r="3">
      <x v="30"/>
    </i>
    <i r="3">
      <x v="35"/>
    </i>
    <i r="3">
      <x v="36"/>
    </i>
    <i r="3">
      <x v="37"/>
    </i>
    <i r="3">
      <x v="38"/>
    </i>
    <i r="3">
      <x v="39"/>
    </i>
    <i r="3">
      <x v="43"/>
    </i>
    <i r="3">
      <x v="44"/>
    </i>
    <i r="3">
      <x v="45"/>
    </i>
    <i r="3">
      <x v="46"/>
    </i>
    <i r="3">
      <x v="47"/>
    </i>
    <i r="3">
      <x v="49"/>
    </i>
    <i r="3">
      <x v="50"/>
    </i>
    <i r="2">
      <x v="7"/>
      <x v="3"/>
    </i>
    <i r="3">
      <x v="4"/>
    </i>
    <i r="3">
      <x v="16"/>
    </i>
    <i r="3">
      <x v="17"/>
    </i>
    <i r="3">
      <x v="18"/>
    </i>
    <i r="3">
      <x v="19"/>
    </i>
    <i r="3">
      <x v="20"/>
    </i>
    <i r="3">
      <x v="21"/>
    </i>
    <i r="3">
      <x v="23"/>
    </i>
    <i r="3">
      <x v="28"/>
    </i>
    <i r="3">
      <x v="62"/>
    </i>
    <i r="2">
      <x v="8"/>
      <x v="32"/>
    </i>
    <i r="3">
      <x v="54"/>
    </i>
    <i r="3">
      <x v="55"/>
    </i>
    <i r="3">
      <x v="56"/>
    </i>
    <i r="2">
      <x v="9"/>
      <x v="22"/>
    </i>
    <i r="3">
      <x v="24"/>
    </i>
    <i r="3">
      <x v="34"/>
    </i>
    <i r="2">
      <x v="10"/>
      <x v="51"/>
    </i>
    <i r="3">
      <x v="52"/>
    </i>
    <i r="3">
      <x v="53"/>
    </i>
    <i r="3">
      <x v="60"/>
    </i>
    <i r="3">
      <x v="61"/>
    </i>
    <i r="2">
      <x v="11"/>
      <x v="9"/>
    </i>
    <i r="3">
      <x v="26"/>
    </i>
    <i r="3">
      <x v="33"/>
    </i>
    <i r="3">
      <x v="42"/>
    </i>
    <i>
      <x v="1"/>
      <x v="1"/>
      <x v="12"/>
      <x v="63"/>
    </i>
    <i t="grand">
      <x/>
    </i>
  </rowItems>
  <colItems count="1">
    <i/>
  </colItems>
  <dataFields count="1">
    <dataField name="COUNTA of LUID" fld="6" subtotal="count" baseField="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F00-000001000000}" name="Topic Name-LU Count 2" cacheId="17" applyNumberFormats="0" applyBorderFormats="0" applyFontFormats="0" applyPatternFormats="0" applyAlignmentFormats="0" applyWidthHeightFormats="0" dataCaption="" updatedVersion="8" compact="0" compactData="0">
  <location ref="BP1:BT83" firstHeaderRow="1" firstDataRow="1" firstDataCol="4"/>
  <pivotFields count="46">
    <pivotField name="Template" compact="0" outline="0" multipleItemSelectionAllowed="1" showAll="0"/>
    <pivotField name="Board" compact="0" outline="0" multipleItemSelectionAllowed="1" showAll="0"/>
    <pivotField name="Grade" axis="axisRow" compact="0" outline="0" multipleItemSelectionAllowed="1" showAll="0" sortType="ascending" defaultSubtotal="0">
      <items count="2">
        <item x="0"/>
        <item x="1"/>
      </items>
    </pivotField>
    <pivotField name="Subject" axis="axisRow" compact="0" outline="0" multipleItemSelectionAllowed="1" showAll="0" sortType="ascending" defaultSubtotal="0">
      <items count="4">
        <item x="1"/>
        <item x="0"/>
        <item x="2"/>
        <item x="3"/>
      </items>
    </pivotField>
    <pivotField name="Chapter (NCERT/AcadAlly's name)" axis="axisRow" compact="0" outline="0" multipleItemSelectionAllowed="1" showAll="0" sortType="ascending" defaultSubtotal="0">
      <items count="13">
        <item x="2"/>
        <item x="7"/>
        <item x="8"/>
        <item x="11"/>
        <item x="1"/>
        <item x="0"/>
        <item x="6"/>
        <item x="10"/>
        <item x="3"/>
        <item x="4"/>
        <item x="5"/>
        <item x="9"/>
        <item x="12"/>
      </items>
    </pivotField>
    <pivotField name="Topic" axis="axisRow" compact="0" outline="0" multipleItemSelectionAllowed="1" showAll="0" sortType="ascending">
      <items count="82">
        <item x="56"/>
        <item x="77"/>
        <item x="48"/>
        <item x="25"/>
        <item x="16"/>
        <item x="43"/>
        <item x="23"/>
        <item x="60"/>
        <item x="32"/>
        <item x="12"/>
        <item x="49"/>
        <item x="11"/>
        <item x="3"/>
        <item x="9"/>
        <item x="40"/>
        <item x="64"/>
        <item x="76"/>
        <item x="30"/>
        <item x="24"/>
        <item x="6"/>
        <item x="5"/>
        <item x="13"/>
        <item x="39"/>
        <item x="47"/>
        <item x="7"/>
        <item x="69"/>
        <item x="18"/>
        <item x="4"/>
        <item x="79"/>
        <item x="28"/>
        <item x="27"/>
        <item x="31"/>
        <item x="46"/>
        <item x="68"/>
        <item x="54"/>
        <item x="33"/>
        <item x="45"/>
        <item x="17"/>
        <item x="75"/>
        <item x="15"/>
        <item x="58"/>
        <item x="1"/>
        <item x="0"/>
        <item x="44"/>
        <item x="8"/>
        <item x="14"/>
        <item x="20"/>
        <item x="42"/>
        <item x="57"/>
        <item x="41"/>
        <item x="72"/>
        <item x="51"/>
        <item x="52"/>
        <item x="53"/>
        <item x="29"/>
        <item x="73"/>
        <item x="74"/>
        <item x="78"/>
        <item x="65"/>
        <item x="66"/>
        <item x="67"/>
        <item x="70"/>
        <item x="22"/>
        <item x="38"/>
        <item x="26"/>
        <item x="21"/>
        <item x="10"/>
        <item x="2"/>
        <item x="59"/>
        <item x="37"/>
        <item x="35"/>
        <item x="36"/>
        <item x="71"/>
        <item x="50"/>
        <item x="62"/>
        <item x="63"/>
        <item x="55"/>
        <item x="34"/>
        <item x="61"/>
        <item x="19"/>
        <item x="80"/>
        <item t="default"/>
      </items>
    </pivotField>
    <pivotField name="LUID" dataField="1" compact="0" outline="0" multipleItemSelectionAllowed="1" showAll="0"/>
    <pivotField name="LUs Covered" compact="0" outline="0" multipleItemSelectionAllowed="1" showAll="0"/>
    <pivotField name="LO ID (Remember)" compact="0" outline="0" multipleItemSelectionAllowed="1" showAll="0"/>
    <pivotField name="LO Name (Remember)" compact="0" outline="0" multipleItemSelectionAllowed="1" showAll="0"/>
    <pivotField name="LO ID (Understand)" compact="0" outline="0" multipleItemSelectionAllowed="1" showAll="0"/>
    <pivotField name="LO Name (Understand)" compact="0" outline="0" multipleItemSelectionAllowed="1" showAll="0"/>
    <pivotField name="LO ID (Apply)" compact="0" outline="0" multipleItemSelectionAllowed="1" showAll="0"/>
    <pivotField name="LO Name (Apply)" compact="0" outline="0" multipleItemSelectionAllowed="1" showAll="0"/>
    <pivotField name="LO ID (Analyse)" compact="0" outline="0" multipleItemSelectionAllowed="1" showAll="0"/>
    <pivotField name="LO Name (Analyse)" compact="0" outline="0" multipleItemSelectionAllowed="1" showAll="0"/>
    <pivotField name="LO ID (Evaluate)" compact="0" outline="0" multipleItemSelectionAllowed="1" showAll="0"/>
    <pivotField name="LO Name (Evaluate)" compact="0" outline="0" multipleItemSelectionAllowed="1" showAll="0"/>
    <pivotField name="LO ID (Create)" compact="0" outline="0" multipleItemSelectionAllowed="1" showAll="0"/>
    <pivotField name="LO Name (Create)" compact="0" outline="0" multipleItemSelectionAllowed="1" showAll="0"/>
    <pivotField name="Clone_x000a_Level 1" compact="0" outline="0" multipleItemSelectionAllowed="1" showAll="0"/>
    <pivotField name="Clone_x000a_Level 2" compact="0" outline="0" multipleItemSelectionAllowed="1" showAll="0"/>
    <pivotField name="Clone_x000a_Level 3" compact="0" outline="0" multipleItemSelectionAllowed="1" showAll="0"/>
    <pivotField name="Clone Total" compact="0" outline="0" multipleItemSelectionAllowed="1" showAll="0"/>
    <pivotField name="Original_x000a_Level 1" compact="0" outline="0" multipleItemSelectionAllowed="1" showAll="0"/>
    <pivotField name="Original_x000a_Level 2" compact="0" outline="0" multipleItemSelectionAllowed="1" showAll="0"/>
    <pivotField name="Original_x000a_Level 3" compact="0" outline="0" multipleItemSelectionAllowed="1" showAll="0"/>
    <pivotField name="Original Total" compact="0" outline="0" multipleItemSelectionAllowed="1" showAll="0"/>
    <pivotField name="Unknown_x000a_Level 1" compact="0" outline="0" multipleItemSelectionAllowed="1" showAll="0"/>
    <pivotField name="Unknown_x000a_Level 2" compact="0" outline="0" multipleItemSelectionAllowed="1" showAll="0"/>
    <pivotField name="Unknown_x000a_Level 3" compact="0" outline="0" multipleItemSelectionAllowed="1" showAll="0"/>
    <pivotField name="Unknown Total" compact="0" outline="0" multipleItemSelectionAllowed="1" showAll="0"/>
    <pivotField name="Primary LUID_1" compact="0" outline="0" multipleItemSelectionAllowed="1" showAll="0"/>
    <pivotField name="Primary LU_1" compact="0" outline="0" multipleItemSelectionAllowed="1" showAll="0"/>
    <pivotField name="Primary LUID_2" compact="0" outline="0" multipleItemSelectionAllowed="1" showAll="0"/>
    <pivotField name="Primary LU_2" compact="0" outline="0" multipleItemSelectionAllowed="1" showAll="0"/>
    <pivotField name="Primary LUID_3" compact="0" outline="0" multipleItemSelectionAllowed="1" showAll="0"/>
    <pivotField name="Primary LU_3" compact="0" outline="0" multipleItemSelectionAllowed="1" showAll="0"/>
    <pivotField name="Primary LUID_4" compact="0" outline="0" multipleItemSelectionAllowed="1" showAll="0"/>
    <pivotField name="Primary LU_4" compact="0" outline="0" multipleItemSelectionAllowed="1" showAll="0"/>
    <pivotField name="Primary LUID_5" compact="0" outline="0" multipleItemSelectionAllowed="1" showAll="0"/>
    <pivotField name="Primary LU_5" compact="0" outline="0" multipleItemSelectionAllowed="1" showAll="0"/>
    <pivotField name="Primary LUID_6" compact="0" outline="0" multipleItemSelectionAllowed="1" showAll="0"/>
    <pivotField name="Primary LU_6" compact="0" outline="0" multipleItemSelectionAllowed="1" showAll="0"/>
    <pivotField name="Primary LUID_7" compact="0" outline="0" multipleItemSelectionAllowed="1" showAll="0"/>
    <pivotField name="Primary LU_7" compact="0" outline="0" multipleItemSelectionAllowed="1" showAll="0"/>
  </pivotFields>
  <rowFields count="4">
    <field x="2"/>
    <field x="3"/>
    <field x="4"/>
    <field x="5"/>
  </rowFields>
  <rowItems count="82">
    <i>
      <x/>
      <x/>
      <x v="3"/>
      <x v="1"/>
    </i>
    <i r="3">
      <x v="16"/>
    </i>
    <i r="3">
      <x v="28"/>
    </i>
    <i r="3">
      <x v="38"/>
    </i>
    <i r="3">
      <x v="50"/>
    </i>
    <i r="3">
      <x v="55"/>
    </i>
    <i r="3">
      <x v="56"/>
    </i>
    <i r="3">
      <x v="57"/>
    </i>
    <i r="2">
      <x v="9"/>
      <x v="8"/>
    </i>
    <i r="3">
      <x v="17"/>
    </i>
    <i r="3">
      <x v="29"/>
    </i>
    <i r="3">
      <x v="30"/>
    </i>
    <i r="3">
      <x v="31"/>
    </i>
    <i r="3">
      <x v="35"/>
    </i>
    <i r="3">
      <x v="54"/>
    </i>
    <i r="3">
      <x v="64"/>
    </i>
    <i r="2">
      <x v="10"/>
      <x v="14"/>
    </i>
    <i r="3">
      <x v="22"/>
    </i>
    <i r="3">
      <x v="49"/>
    </i>
    <i r="3">
      <x v="63"/>
    </i>
    <i r="3">
      <x v="69"/>
    </i>
    <i r="3">
      <x v="70"/>
    </i>
    <i r="3">
      <x v="71"/>
    </i>
    <i r="3">
      <x v="77"/>
    </i>
    <i r="1">
      <x v="1"/>
      <x/>
      <x v="4"/>
    </i>
    <i r="3">
      <x v="26"/>
    </i>
    <i r="3">
      <x v="37"/>
    </i>
    <i r="3">
      <x v="39"/>
    </i>
    <i r="3">
      <x v="46"/>
    </i>
    <i r="3">
      <x v="79"/>
    </i>
    <i r="2">
      <x v="4"/>
      <x v="9"/>
    </i>
    <i r="3">
      <x v="11"/>
    </i>
    <i r="3">
      <x v="13"/>
    </i>
    <i r="3">
      <x v="21"/>
    </i>
    <i r="3">
      <x v="44"/>
    </i>
    <i r="3">
      <x v="45"/>
    </i>
    <i r="3">
      <x v="66"/>
    </i>
    <i r="2">
      <x v="5"/>
      <x v="12"/>
    </i>
    <i r="3">
      <x v="19"/>
    </i>
    <i r="3">
      <x v="20"/>
    </i>
    <i r="3">
      <x v="24"/>
    </i>
    <i r="3">
      <x v="27"/>
    </i>
    <i r="3">
      <x v="41"/>
    </i>
    <i r="3">
      <x v="42"/>
    </i>
    <i r="3">
      <x v="67"/>
    </i>
    <i r="2">
      <x v="8"/>
      <x v="3"/>
    </i>
    <i r="3">
      <x v="6"/>
    </i>
    <i r="3">
      <x v="18"/>
    </i>
    <i r="3">
      <x v="62"/>
    </i>
    <i r="3">
      <x v="65"/>
    </i>
    <i r="1">
      <x v="2"/>
      <x v="1"/>
      <x v="51"/>
    </i>
    <i r="3">
      <x v="52"/>
    </i>
    <i r="3">
      <x v="53"/>
    </i>
    <i r="3">
      <x v="73"/>
    </i>
    <i r="2">
      <x v="2"/>
      <x/>
    </i>
    <i r="3">
      <x v="7"/>
    </i>
    <i r="3">
      <x v="34"/>
    </i>
    <i r="3">
      <x v="40"/>
    </i>
    <i r="3">
      <x v="48"/>
    </i>
    <i r="3">
      <x v="68"/>
    </i>
    <i r="3">
      <x v="76"/>
    </i>
    <i r="2">
      <x v="6"/>
      <x v="2"/>
    </i>
    <i r="3">
      <x v="5"/>
    </i>
    <i r="3">
      <x v="10"/>
    </i>
    <i r="3">
      <x v="23"/>
    </i>
    <i r="3">
      <x v="32"/>
    </i>
    <i r="3">
      <x v="36"/>
    </i>
    <i r="3">
      <x v="43"/>
    </i>
    <i r="3">
      <x v="47"/>
    </i>
    <i r="2">
      <x v="7"/>
      <x v="25"/>
    </i>
    <i r="3">
      <x v="33"/>
    </i>
    <i r="3">
      <x v="59"/>
    </i>
    <i r="3">
      <x v="60"/>
    </i>
    <i r="3">
      <x v="61"/>
    </i>
    <i r="3">
      <x v="72"/>
    </i>
    <i r="2">
      <x v="11"/>
      <x v="15"/>
    </i>
    <i r="3">
      <x v="58"/>
    </i>
    <i r="3">
      <x v="74"/>
    </i>
    <i r="3">
      <x v="75"/>
    </i>
    <i r="3">
      <x v="78"/>
    </i>
    <i>
      <x v="1"/>
      <x v="3"/>
      <x v="12"/>
      <x v="80"/>
    </i>
    <i t="grand">
      <x/>
    </i>
  </rowItems>
  <colItems count="1">
    <i/>
  </colItems>
  <dataFields count="1">
    <dataField name="COUNTA of LUID" fld="6" subtotal="count" baseField="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G6:G126" headerRowCount="0">
  <tableColumns count="1">
    <tableColumn id="1" xr3:uid="{00000000-0010-0000-0000-000001000000}" name="Column1"/>
  </tableColumns>
  <tableStyleInfo name="G6 Maths Ganita Prakash-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_2" displayName="Table_2" ref="H22:H23" headerRowCount="0">
  <tableColumns count="1">
    <tableColumn id="1" xr3:uid="{00000000-0010-0000-0100-000001000000}" name="Column1"/>
  </tableColumns>
  <tableStyleInfo name="G6 Maths Ganita Prakash-style 2"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_3" displayName="Table_3" ref="A2:AG88" headerRowCount="0">
  <tableColumns count="33">
    <tableColumn id="1" xr3:uid="{00000000-0010-0000-0200-000001000000}" name="Column1"/>
    <tableColumn id="2" xr3:uid="{00000000-0010-0000-0200-000002000000}" name="Column2"/>
    <tableColumn id="3" xr3:uid="{00000000-0010-0000-0200-000003000000}" name="Column3"/>
    <tableColumn id="4" xr3:uid="{00000000-0010-0000-0200-000004000000}" name="Column4"/>
    <tableColumn id="5" xr3:uid="{00000000-0010-0000-0200-000005000000}" name="Column5"/>
    <tableColumn id="6" xr3:uid="{00000000-0010-0000-0200-000006000000}" name="Column6"/>
    <tableColumn id="7" xr3:uid="{00000000-0010-0000-0200-000007000000}" name="Column7"/>
    <tableColumn id="8" xr3:uid="{00000000-0010-0000-0200-000008000000}" name="Column8"/>
    <tableColumn id="9" xr3:uid="{00000000-0010-0000-0200-000009000000}" name="Column9"/>
    <tableColumn id="10" xr3:uid="{00000000-0010-0000-0200-00000A000000}" name="Column10"/>
    <tableColumn id="11" xr3:uid="{00000000-0010-0000-0200-00000B000000}" name="Column11"/>
    <tableColumn id="12" xr3:uid="{00000000-0010-0000-0200-00000C000000}" name="Column12"/>
    <tableColumn id="13" xr3:uid="{00000000-0010-0000-0200-00000D000000}" name="Column13"/>
    <tableColumn id="14" xr3:uid="{00000000-0010-0000-0200-00000E000000}" name="Column14"/>
    <tableColumn id="15" xr3:uid="{00000000-0010-0000-0200-00000F000000}" name="Column15"/>
    <tableColumn id="16" xr3:uid="{00000000-0010-0000-0200-000010000000}" name="Column16"/>
    <tableColumn id="17" xr3:uid="{00000000-0010-0000-0200-000011000000}" name="Column17"/>
    <tableColumn id="18" xr3:uid="{00000000-0010-0000-0200-000012000000}" name="Column18"/>
    <tableColumn id="19" xr3:uid="{00000000-0010-0000-0200-000013000000}" name="Column19"/>
    <tableColumn id="20" xr3:uid="{00000000-0010-0000-0200-000014000000}" name="Column20"/>
    <tableColumn id="21" xr3:uid="{00000000-0010-0000-0200-000015000000}" name="Column21"/>
    <tableColumn id="22" xr3:uid="{00000000-0010-0000-0200-000016000000}" name="Column22"/>
    <tableColumn id="23" xr3:uid="{00000000-0010-0000-0200-000017000000}" name="Column23"/>
    <tableColumn id="24" xr3:uid="{00000000-0010-0000-0200-000018000000}" name="Column24"/>
    <tableColumn id="25" xr3:uid="{00000000-0010-0000-0200-000019000000}" name="Column25"/>
    <tableColumn id="26" xr3:uid="{00000000-0010-0000-0200-00001A000000}" name="Column26"/>
    <tableColumn id="27" xr3:uid="{00000000-0010-0000-0200-00001B000000}" name="Column27"/>
    <tableColumn id="28" xr3:uid="{00000000-0010-0000-0200-00001C000000}" name="Column28"/>
    <tableColumn id="29" xr3:uid="{00000000-0010-0000-0200-00001D000000}" name="Column29"/>
    <tableColumn id="30" xr3:uid="{00000000-0010-0000-0200-00001E000000}" name="Column30"/>
    <tableColumn id="31" xr3:uid="{00000000-0010-0000-0200-00001F000000}" name="Column31"/>
    <tableColumn id="32" xr3:uid="{00000000-0010-0000-0200-000020000000}" name="Column32"/>
    <tableColumn id="33" xr3:uid="{00000000-0010-0000-0200-000021000000}" name="Column33"/>
  </tableColumns>
  <tableStyleInfo name="G10 Maths-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6.xml.rels><?xml version="1.0" encoding="UTF-8" standalone="yes"?>
<Relationships xmlns="http://schemas.openxmlformats.org/package/2006/relationships"><Relationship Id="rId1" Type="http://schemas.openxmlformats.org/officeDocument/2006/relationships/table" Target="../tables/table3.xml"/></Relationships>
</file>

<file path=xl/worksheets/_rels/sheet11.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16.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T993"/>
  <sheetViews>
    <sheetView workbookViewId="0">
      <pane ySplit="1" topLeftCell="A2" activePane="bottomLeft" state="frozen"/>
      <selection pane="bottomLeft" activeCell="B3" sqref="B3"/>
    </sheetView>
  </sheetViews>
  <sheetFormatPr defaultColWidth="12.6640625" defaultRowHeight="15.75" customHeight="1"/>
  <cols>
    <col min="1" max="1" width="19.44140625" customWidth="1"/>
    <col min="2" max="2" width="9.33203125" customWidth="1"/>
    <col min="3" max="3" width="8.88671875" customWidth="1"/>
    <col min="4" max="4" width="8.77734375" customWidth="1"/>
    <col min="5" max="5" width="21.77734375" customWidth="1"/>
    <col min="6" max="6" width="31.6640625" customWidth="1"/>
    <col min="8" max="8" width="42.88671875" customWidth="1"/>
    <col min="9" max="9" width="12.21875" customWidth="1"/>
    <col min="10" max="10" width="34.21875" customWidth="1"/>
    <col min="12" max="12" width="40.21875" customWidth="1"/>
    <col min="14" max="14" width="37.21875" customWidth="1"/>
    <col min="16" max="16" width="46.109375" customWidth="1"/>
    <col min="18" max="18" width="45.6640625" customWidth="1"/>
    <col min="20" max="20" width="49.109375" customWidth="1"/>
  </cols>
  <sheetData>
    <row r="1" spans="1:46" ht="39.6">
      <c r="A1" s="1" t="s">
        <v>0</v>
      </c>
      <c r="B1" s="1" t="s">
        <v>1</v>
      </c>
      <c r="C1" s="1" t="s">
        <v>2</v>
      </c>
      <c r="D1" s="1" t="s">
        <v>3</v>
      </c>
      <c r="E1" s="1" t="s">
        <v>4</v>
      </c>
      <c r="F1" s="1" t="s">
        <v>5</v>
      </c>
      <c r="G1" s="2" t="s">
        <v>6</v>
      </c>
      <c r="H1" s="1" t="s">
        <v>7</v>
      </c>
      <c r="I1" s="3" t="s">
        <v>8</v>
      </c>
      <c r="J1" s="3" t="s">
        <v>9</v>
      </c>
      <c r="K1" s="3" t="s">
        <v>10</v>
      </c>
      <c r="L1" s="3" t="s">
        <v>11</v>
      </c>
      <c r="M1" s="3" t="s">
        <v>12</v>
      </c>
      <c r="N1" s="3" t="s">
        <v>13</v>
      </c>
      <c r="O1" s="3" t="s">
        <v>14</v>
      </c>
      <c r="P1" s="3" t="s">
        <v>15</v>
      </c>
      <c r="Q1" s="3" t="s">
        <v>16</v>
      </c>
      <c r="R1" s="3" t="s">
        <v>17</v>
      </c>
      <c r="S1" s="3" t="s">
        <v>18</v>
      </c>
      <c r="T1" s="3" t="s">
        <v>19</v>
      </c>
      <c r="U1" s="4" t="s">
        <v>20</v>
      </c>
      <c r="V1" s="4" t="s">
        <v>21</v>
      </c>
      <c r="W1" s="4" t="s">
        <v>22</v>
      </c>
      <c r="X1" s="4" t="s">
        <v>23</v>
      </c>
      <c r="Y1" s="4" t="s">
        <v>24</v>
      </c>
      <c r="Z1" s="4" t="s">
        <v>25</v>
      </c>
      <c r="AA1" s="4" t="s">
        <v>26</v>
      </c>
      <c r="AB1" s="4" t="s">
        <v>27</v>
      </c>
      <c r="AC1" s="5" t="s">
        <v>28</v>
      </c>
      <c r="AD1" s="5" t="s">
        <v>29</v>
      </c>
      <c r="AE1" s="5" t="s">
        <v>30</v>
      </c>
      <c r="AF1" s="5" t="s">
        <v>31</v>
      </c>
      <c r="AG1" s="6" t="s">
        <v>32</v>
      </c>
      <c r="AH1" s="7" t="s">
        <v>33</v>
      </c>
      <c r="AI1" s="6" t="s">
        <v>34</v>
      </c>
      <c r="AJ1" s="7" t="s">
        <v>35</v>
      </c>
      <c r="AK1" s="6" t="s">
        <v>36</v>
      </c>
      <c r="AL1" s="7" t="s">
        <v>37</v>
      </c>
      <c r="AM1" s="6" t="s">
        <v>38</v>
      </c>
      <c r="AN1" s="7" t="s">
        <v>39</v>
      </c>
      <c r="AO1" s="6" t="s">
        <v>40</v>
      </c>
      <c r="AP1" s="7" t="s">
        <v>41</v>
      </c>
      <c r="AQ1" s="6" t="s">
        <v>42</v>
      </c>
      <c r="AR1" s="7" t="s">
        <v>43</v>
      </c>
      <c r="AS1" s="6" t="s">
        <v>44</v>
      </c>
      <c r="AT1" s="7" t="s">
        <v>45</v>
      </c>
    </row>
    <row r="2" spans="1:46" ht="39.6">
      <c r="A2" s="8" t="s">
        <v>46</v>
      </c>
      <c r="B2" s="8" t="s">
        <v>47</v>
      </c>
      <c r="C2" s="8" t="s">
        <v>48</v>
      </c>
      <c r="D2" s="8" t="s">
        <v>49</v>
      </c>
      <c r="E2" s="8" t="s">
        <v>50</v>
      </c>
      <c r="F2" s="8" t="s">
        <v>51</v>
      </c>
      <c r="G2" s="9" t="s">
        <v>52</v>
      </c>
      <c r="H2" s="8" t="str">
        <f ca="1">IFERROR(__xludf.DUMMYFUNCTION("VLOOKUP(G2, IMPORTRANGE(""https://docs.google.com/spreadsheets/d/14deopnvwcrKtEGCKuYXdUHJbeLDZlkiSSWWT0g7x2pM/edit#gid=999382323"", ""LU List Maths (Filter)!A:B""), 2, FALSE)"),"Patterns in Numbers")</f>
        <v>Patterns in Numbers</v>
      </c>
      <c r="I2" s="10" t="str">
        <f t="shared" ref="I2:I126" si="0">G2 &amp; ".001"</f>
        <v>LU001344.001</v>
      </c>
      <c r="J2" s="10" t="str">
        <f ca="1">IFERROR(__xludf.DUMMYFUNCTION("VLOOKUP(I2, IMPORTRANGE(""https://docs.google.com/spreadsheets/d/1yDAaXNsi4Mr5FtRQL4tbmSdIzhx6_m4wkOD7IG-k_eo/edit#gid=0"", ""Maths!M:N""), 2, FALSE)"),"Identify and recall common number sequences such as counting numbers, odd numbers, and even numbers.")</f>
        <v>Identify and recall common number sequences such as counting numbers, odd numbers, and even numbers.</v>
      </c>
      <c r="K2" s="10" t="str">
        <f t="shared" ref="K2:K126" si="1">G2 &amp; ".002"</f>
        <v>LU001344.002</v>
      </c>
      <c r="L2" s="10" t="str">
        <f ca="1">IFERROR(__xludf.DUMMYFUNCTION("VLOOKUP(K2, IMPORTRANGE(""https://docs.google.com/spreadsheets/d/1yDAaXNsi4Mr5FtRQL4tbmSdIzhx6_m4wkOD7IG-k_eo/edit#gid=0"", ""Maths!M:N""), 2, FALSE)"),"Explain the pattern and rule governing different number sequences.")</f>
        <v>Explain the pattern and rule governing different number sequences.</v>
      </c>
      <c r="M2" s="10" t="str">
        <f t="shared" ref="M2:M126" si="2">G2 &amp; ".003"</f>
        <v>LU001344.003</v>
      </c>
      <c r="N2" s="10" t="str">
        <f ca="1">IFERROR(__xludf.DUMMYFUNCTION("VLOOKUP(M2, IMPORTRANGE(""https://docs.google.com/spreadsheets/d/1yDAaXNsi4Mr5FtRQL4tbmSdIzhx6_m4wkOD7IG-k_eo/edit#gid=0"", ""Maths!M:N""), 2, FALSE)"),"Use the rules of number sequences to predict the next numbers in a given pattern.")</f>
        <v>Use the rules of number sequences to predict the next numbers in a given pattern.</v>
      </c>
      <c r="O2" s="10" t="str">
        <f t="shared" ref="O2:O126" si="3">G2 &amp; ".004"</f>
        <v>LU001344.004</v>
      </c>
      <c r="P2" s="10" t="str">
        <f ca="1">IFERROR(__xludf.DUMMYFUNCTION("VLOOKUP(O2, IMPORTRANGE(""https://docs.google.com/spreadsheets/d/1yDAaXNsi4Mr5FtRQL4tbmSdIzhx6_m4wkOD7IG-k_eo/edit#gid=0"", ""Maths!M:N""), 2, FALSE)"),"Compare and contrast different number sequences, identifying their similarities and differences.")</f>
        <v>Compare and contrast different number sequences, identifying their similarities and differences.</v>
      </c>
      <c r="Q2" s="10" t="str">
        <f t="shared" ref="Q2:Q126" si="4">G2 &amp; ".005"</f>
        <v>LU001344.005</v>
      </c>
      <c r="R2" s="10" t="str">
        <f ca="1">IFERROR(__xludf.DUMMYFUNCTION("VLOOKUP(Q2, IMPORTRANGE(""https://docs.google.com/spreadsheets/d/1yDAaXNsi4Mr5FtRQL4tbmSdIzhx6_m4wkOD7IG-k_eo/edit#gid=0"", ""Maths!M:N""), 2, FALSE)"),"Assess the correctness of a given number sequence by checking if it follows the expected pattern, such as evaluating a sequence of powers of 2.")</f>
        <v>Assess the correctness of a given number sequence by checking if it follows the expected pattern, such as evaluating a sequence of powers of 2.</v>
      </c>
      <c r="S2" s="10" t="str">
        <f t="shared" ref="S2:S126" si="5">G2 &amp; ".006"</f>
        <v>LU001344.006</v>
      </c>
      <c r="T2" s="10" t="str">
        <f ca="1">IFERROR(__xludf.DUMMYFUNCTION("VLOOKUP(S2, IMPORTRANGE(""https://docs.google.com/spreadsheets/d/1yDAaXNsi4Mr5FtRQL4tbmSdIzhx6_m4wkOD7IG-k_eo/edit#gid=0"", ""Maths!M:N""), 2, FALSE)"),"Design a new number sequence based on a mathematical rule, and provide a visual representation of this sequence.")</f>
        <v>Design a new number sequence based on a mathematical rule, and provide a visual representation of this sequence.</v>
      </c>
      <c r="U2" s="11">
        <f ca="1">IFERROR(__xludf.DUMMYFUNCTION("ArrayFormula(VLOOKUP(G2, IMPORTRANGE(""https://docs.google.com/spreadsheets/d/1p7R4vtkWt5VOBim4ltsDG9KTzSjrtKXsMtQGXPHyND0/edit#gid=795171502"", ""'Filter 30_05_2024'!A1:M2000""), {2, 3, 4, 5,6,7,8,9,10,11,12,13}, 0))"),4)</f>
        <v>4</v>
      </c>
      <c r="V2" s="11">
        <f ca="1">IFERROR(__xludf.DUMMYFUNCTION("""COMPUTED_VALUE"""),6)</f>
        <v>6</v>
      </c>
      <c r="W2" s="11">
        <f ca="1">IFERROR(__xludf.DUMMYFUNCTION("""COMPUTED_VALUE"""),2)</f>
        <v>2</v>
      </c>
      <c r="X2" s="11">
        <f ca="1">IFERROR(__xludf.DUMMYFUNCTION("""COMPUTED_VALUE"""),12)</f>
        <v>12</v>
      </c>
      <c r="Y2" s="11">
        <f ca="1">IFERROR(__xludf.DUMMYFUNCTION("""COMPUTED_VALUE"""),4)</f>
        <v>4</v>
      </c>
      <c r="Z2" s="12">
        <f ca="1">IFERROR(__xludf.DUMMYFUNCTION("""COMPUTED_VALUE"""),3)</f>
        <v>3</v>
      </c>
      <c r="AA2" s="12">
        <f ca="1">IFERROR(__xludf.DUMMYFUNCTION("""COMPUTED_VALUE"""),1)</f>
        <v>1</v>
      </c>
      <c r="AB2" s="12">
        <f ca="1">IFERROR(__xludf.DUMMYFUNCTION("""COMPUTED_VALUE"""),8)</f>
        <v>8</v>
      </c>
      <c r="AC2" s="11"/>
      <c r="AD2" s="12"/>
      <c r="AE2" s="12"/>
      <c r="AF2" s="12"/>
      <c r="AG2" s="13" t="str">
        <f ca="1">IFERROR(__xludf.DUMMYFUNCTION("ArrayFormula(VLOOKUP(G2, IMPORTRANGE(""https://docs.google.com/spreadsheets/d/1Co934fvtviyaRiMsrIlT05Jaq7iiYq07aLvRr35KA48/edit?gid=173865642#gid=173865642"", ""'G6_Maths GP_Pri_LU'!G2:V2000""), {3, 4, 5, 6, 7, 8, 9, 10, 11, 12, 13, 14, 15, 16}, 0))"),"LU000068")</f>
        <v>LU000068</v>
      </c>
      <c r="AH2" s="13" t="str">
        <f ca="1">IFERROR(__xludf.DUMMYFUNCTION("""COMPUTED_VALUE"""),"Number pattern involving multiple arithmetic operations (multiplication and addition; division and subtraction)")</f>
        <v>Number pattern involving multiple arithmetic operations (multiplication and addition; division and subtraction)</v>
      </c>
      <c r="AI2" s="13" t="str">
        <f ca="1">IFERROR(__xludf.DUMMYFUNCTION("""COMPUTED_VALUE"""),"LU000125")</f>
        <v>LU000125</v>
      </c>
      <c r="AJ2" s="13" t="str">
        <f ca="1">IFERROR(__xludf.DUMMYFUNCTION("""COMPUTED_VALUE"""),"Uses of multiplication in patterns, games, and puzzles")</f>
        <v>Uses of multiplication in patterns, games, and puzzles</v>
      </c>
      <c r="AK2" s="13"/>
      <c r="AL2" s="13"/>
      <c r="AM2" s="13"/>
      <c r="AN2" s="13"/>
      <c r="AO2" s="13"/>
      <c r="AP2" s="13"/>
      <c r="AQ2" s="13"/>
      <c r="AR2" s="13"/>
      <c r="AS2" s="13"/>
      <c r="AT2" s="13"/>
    </row>
    <row r="3" spans="1:46" ht="39.6">
      <c r="A3" s="8" t="s">
        <v>46</v>
      </c>
      <c r="B3" s="8" t="s">
        <v>47</v>
      </c>
      <c r="C3" s="8" t="s">
        <v>48</v>
      </c>
      <c r="D3" s="8" t="s">
        <v>49</v>
      </c>
      <c r="E3" s="8" t="s">
        <v>50</v>
      </c>
      <c r="F3" s="8" t="s">
        <v>53</v>
      </c>
      <c r="G3" s="9" t="s">
        <v>54</v>
      </c>
      <c r="H3" s="8" t="str">
        <f ca="1">IFERROR(__xludf.DUMMYFUNCTION("VLOOKUP(G3, IMPORTRANGE(""https://docs.google.com/spreadsheets/d/14deopnvwcrKtEGCKuYXdUHJbeLDZlkiSSWWT0g7x2pM/edit#gid=999382323"", ""LU List Maths (Filter)!A:B""), 2, FALSE)"),"Relation between sequences: Adding up odd numbers")</f>
        <v>Relation between sequences: Adding up odd numbers</v>
      </c>
      <c r="I3" s="10" t="str">
        <f t="shared" si="0"/>
        <v>LU001345.001</v>
      </c>
      <c r="J3" s="10" t="str">
        <f ca="1">IFERROR(__xludf.DUMMYFUNCTION("VLOOKUP(I3, IMPORTRANGE(""https://docs.google.com/spreadsheets/d/1yDAaXNsi4Mr5FtRQL4tbmSdIzhx6_m4wkOD7IG-k_eo/edit#gid=0"", ""Maths!M:N""), 2, FALSE)"),"Recall the pattern that adding up consecutive odd numbers results in square numbers.")</f>
        <v>Recall the pattern that adding up consecutive odd numbers results in square numbers.</v>
      </c>
      <c r="K3" s="10" t="str">
        <f t="shared" si="1"/>
        <v>LU001345.002</v>
      </c>
      <c r="L3" s="10" t="str">
        <f ca="1">IFERROR(__xludf.DUMMYFUNCTION("VLOOKUP(K3, IMPORTRANGE(""https://docs.google.com/spreadsheets/d/1yDAaXNsi4Mr5FtRQL4tbmSdIzhx6_m4wkOD7IG-k_eo/edit#gid=0"", ""Maths!M:N""), 2, FALSE)"),"Explain why the sum of consecutive odd numbers forms a sequence of square numbers.")</f>
        <v>Explain why the sum of consecutive odd numbers forms a sequence of square numbers.</v>
      </c>
      <c r="M3" s="10" t="str">
        <f t="shared" si="2"/>
        <v>LU001345.003</v>
      </c>
      <c r="N3" s="10" t="str">
        <f ca="1">IFERROR(__xludf.DUMMYFUNCTION("VLOOKUP(M3, IMPORTRANGE(""https://docs.google.com/spreadsheets/d/1yDAaXNsi4Mr5FtRQL4tbmSdIzhx6_m4wkOD7IG-k_eo/edit#gid=0"", ""Maths!M:N""), 2, FALSE)"),"Calculate the sum of the first 'n' odd numbers and verify that it equals the square of 'n'.")</f>
        <v>Calculate the sum of the first 'n' odd numbers and verify that it equals the square of 'n'.</v>
      </c>
      <c r="O3" s="10" t="str">
        <f t="shared" si="3"/>
        <v>LU001345.004</v>
      </c>
      <c r="P3" s="10" t="str">
        <f ca="1">IFERROR(__xludf.DUMMYFUNCTION("VLOOKUP(O3, IMPORTRANGE(""https://docs.google.com/spreadsheets/d/1yDAaXNsi4Mr5FtRQL4tbmSdIzhx6_m4wkOD7IG-k_eo/edit#gid=0"", ""Maths!M:N""), 2, FALSE)"),"Analyze how the addition of odd numbers can be visualized to understand their relationship with square numbers.")</f>
        <v>Analyze how the addition of odd numbers can be visualized to understand their relationship with square numbers.</v>
      </c>
      <c r="Q3" s="10" t="str">
        <f t="shared" si="4"/>
        <v>LU001345.005</v>
      </c>
      <c r="R3" s="10" t="str">
        <f ca="1">IFERROR(__xludf.DUMMYFUNCTION("VLOOKUP(Q3, IMPORTRANGE(""https://docs.google.com/spreadsheets/d/1yDAaXNsi4Mr5FtRQL4tbmSdIzhx6_m4wkOD7IG-k_eo/edit#gid=0"", ""Maths!M:N""), 2, FALSE)"),"Evaluate the validity of a sequence generated by adding odd numbers and justify why it forms square numbers.")</f>
        <v>Evaluate the validity of a sequence generated by adding odd numbers and justify why it forms square numbers.</v>
      </c>
      <c r="S3" s="10" t="str">
        <f t="shared" si="5"/>
        <v>LU001345.006</v>
      </c>
      <c r="T3" s="10" t="str">
        <f ca="1">IFERROR(__xludf.DUMMYFUNCTION("VLOOKUP(S3, IMPORTRANGE(""https://docs.google.com/spreadsheets/d/1yDAaXNsi4Mr5FtRQL4tbmSdIzhx6_m4wkOD7IG-k_eo/edit#gid=0"", ""Maths!M:N""), 2, FALSE)"),"Develop a visual method to represent the sum of odd numbers and demonstrate its application to larger sequences.")</f>
        <v>Develop a visual method to represent the sum of odd numbers and demonstrate its application to larger sequences.</v>
      </c>
      <c r="U3" s="11">
        <f ca="1">IFERROR(__xludf.DUMMYFUNCTION("ArrayFormula(VLOOKUP(G3, IMPORTRANGE(""https://docs.google.com/spreadsheets/d/1p7R4vtkWt5VOBim4ltsDG9KTzSjrtKXsMtQGXPHyND0/edit#gid=795171502"", ""'Filter 30_05_2024'!A1:M2000""), {2, 3, 4, 5,6,7,8,9,10,11,12,13}, 0))"),4)</f>
        <v>4</v>
      </c>
      <c r="V3" s="11">
        <f ca="1">IFERROR(__xludf.DUMMYFUNCTION("""COMPUTED_VALUE"""),6)</f>
        <v>6</v>
      </c>
      <c r="W3" s="11">
        <f ca="1">IFERROR(__xludf.DUMMYFUNCTION("""COMPUTED_VALUE"""),2)</f>
        <v>2</v>
      </c>
      <c r="X3" s="11">
        <f ca="1">IFERROR(__xludf.DUMMYFUNCTION("""COMPUTED_VALUE"""),12)</f>
        <v>12</v>
      </c>
      <c r="Y3" s="11">
        <f ca="1">IFERROR(__xludf.DUMMYFUNCTION("""COMPUTED_VALUE"""),4)</f>
        <v>4</v>
      </c>
      <c r="Z3" s="12">
        <f ca="1">IFERROR(__xludf.DUMMYFUNCTION("""COMPUTED_VALUE"""),3)</f>
        <v>3</v>
      </c>
      <c r="AA3" s="12">
        <f ca="1">IFERROR(__xludf.DUMMYFUNCTION("""COMPUTED_VALUE"""),1)</f>
        <v>1</v>
      </c>
      <c r="AB3" s="12">
        <f ca="1">IFERROR(__xludf.DUMMYFUNCTION("""COMPUTED_VALUE"""),8)</f>
        <v>8</v>
      </c>
      <c r="AC3" s="11"/>
      <c r="AD3" s="12"/>
      <c r="AE3" s="12"/>
      <c r="AF3" s="12"/>
      <c r="AG3" s="13" t="str">
        <f ca="1">IFERROR(__xludf.DUMMYFUNCTION("ArrayFormula(VLOOKUP(G3, IMPORTRANGE(""https://docs.google.com/spreadsheets/d/1Co934fvtviyaRiMsrIlT05Jaq7iiYq07aLvRr35KA48/edit?gid=173865642#gid=173865642"", ""'G6_Maths GP_Pri_LU'!G2:V2000""), {3, 4, 5, 6, 7, 8, 9, 10, 11, 12, 13, 14, 15, 16}, 0))"),"LU000198")</f>
        <v>LU000198</v>
      </c>
      <c r="AH3" s="13" t="str">
        <f ca="1">IFERROR(__xludf.DUMMYFUNCTION("""COMPUTED_VALUE"""),"Odd number")</f>
        <v>Odd number</v>
      </c>
      <c r="AI3" s="13"/>
      <c r="AJ3" s="13"/>
      <c r="AK3" s="13"/>
      <c r="AL3" s="13"/>
      <c r="AM3" s="13"/>
      <c r="AN3" s="13"/>
      <c r="AO3" s="13"/>
      <c r="AP3" s="13"/>
      <c r="AQ3" s="13"/>
      <c r="AR3" s="13"/>
      <c r="AS3" s="13"/>
      <c r="AT3" s="13"/>
    </row>
    <row r="4" spans="1:46" ht="39.6">
      <c r="A4" s="8" t="s">
        <v>46</v>
      </c>
      <c r="B4" s="8" t="s">
        <v>47</v>
      </c>
      <c r="C4" s="8" t="s">
        <v>48</v>
      </c>
      <c r="D4" s="8" t="s">
        <v>49</v>
      </c>
      <c r="E4" s="8" t="s">
        <v>50</v>
      </c>
      <c r="F4" s="8" t="s">
        <v>53</v>
      </c>
      <c r="G4" s="9" t="s">
        <v>55</v>
      </c>
      <c r="H4" s="8" t="str">
        <f ca="1">IFERROR(__xludf.DUMMYFUNCTION("VLOOKUP(G4, IMPORTRANGE(""https://docs.google.com/spreadsheets/d/14deopnvwcrKtEGCKuYXdUHJbeLDZlkiSSWWT0g7x2pM/edit#gid=999382323"", ""LU List Maths (Filter)!A:B""), 2, FALSE)"),"Relation between sequences: Adding the counting numbers up and then down")</f>
        <v>Relation between sequences: Adding the counting numbers up and then down</v>
      </c>
      <c r="I4" s="10" t="str">
        <f t="shared" si="0"/>
        <v>LU001346.001</v>
      </c>
      <c r="J4" s="10" t="str">
        <f ca="1">IFERROR(__xludf.DUMMYFUNCTION("VLOOKUP(I4, IMPORTRANGE(""https://docs.google.com/spreadsheets/d/1yDAaXNsi4Mr5FtRQL4tbmSdIzhx6_m4wkOD7IG-k_eo/edit#gid=0"", ""Maths!M:N""), 2, FALSE)"),"Identify the sequence generated by adding counting numbers up and then down.")</f>
        <v>Identify the sequence generated by adding counting numbers up and then down.</v>
      </c>
      <c r="K4" s="10" t="str">
        <f t="shared" si="1"/>
        <v>LU001346.002</v>
      </c>
      <c r="L4" s="10" t="str">
        <f ca="1">IFERROR(__xludf.DUMMYFUNCTION("VLOOKUP(K4, IMPORTRANGE(""https://docs.google.com/spreadsheets/d/1yDAaXNsi4Mr5FtRQL4tbmSdIzhx6_m4wkOD7IG-k_eo/edit#gid=0"", ""Maths!M:N""), 2, FALSE)"),"Describe how adding counting numbers up and then down results in square numbers.")</f>
        <v>Describe how adding counting numbers up and then down results in square numbers.</v>
      </c>
      <c r="M4" s="10" t="str">
        <f t="shared" si="2"/>
        <v>LU001346.003</v>
      </c>
      <c r="N4" s="10" t="str">
        <f ca="1">IFERROR(__xludf.DUMMYFUNCTION("VLOOKUP(M4, IMPORTRANGE(""https://docs.google.com/spreadsheets/d/1yDAaXNsi4Mr5FtRQL4tbmSdIzhx6_m4wkOD7IG-k_eo/edit#gid=0"", ""Maths!M:N""), 2, FALSE)"),"Apply the method of adding counting numbers up and down to find specific square numbers.")</f>
        <v>Apply the method of adding counting numbers up and down to find specific square numbers.</v>
      </c>
      <c r="O4" s="10" t="str">
        <f t="shared" si="3"/>
        <v>LU001346.004</v>
      </c>
      <c r="P4" s="10" t="str">
        <f ca="1">IFERROR(__xludf.DUMMYFUNCTION("VLOOKUP(O4, IMPORTRANGE(""https://docs.google.com/spreadsheets/d/1yDAaXNsi4Mr5FtRQL4tbmSdIzhx6_m4wkOD7IG-k_eo/edit#gid=0"", ""Maths!M:N""), 2, FALSE)"),"Break down the process of adding counting numbers up and then down to reveal the underlying pattern.")</f>
        <v>Break down the process of adding counting numbers up and then down to reveal the underlying pattern.</v>
      </c>
      <c r="Q4" s="10" t="str">
        <f t="shared" si="4"/>
        <v>LU001346.005</v>
      </c>
      <c r="R4" s="10" t="str">
        <f ca="1">IFERROR(__xludf.DUMMYFUNCTION("VLOOKUP(Q4, IMPORTRANGE(""https://docs.google.com/spreadsheets/d/1yDAaXNsi4Mr5FtRQL4tbmSdIzhx6_m4wkOD7IG-k_eo/edit#gid=0"", ""Maths!M:N""), 2, FALSE)"),"Assess the efficiency of using this method to calculate square numbers compared to other methods.")</f>
        <v>Assess the efficiency of using this method to calculate square numbers compared to other methods.</v>
      </c>
      <c r="S4" s="10" t="str">
        <f t="shared" si="5"/>
        <v>LU001346.006</v>
      </c>
      <c r="T4" s="10" t="str">
        <f ca="1">IFERROR(__xludf.DUMMYFUNCTION("VLOOKUP(S4, IMPORTRANGE(""https://docs.google.com/spreadsheets/d/1yDAaXNsi4Mr5FtRQL4tbmSdIzhx6_m4wkOD7IG-k_eo/edit#gid=0"", ""Maths!M:N""), 2, FALSE)"),"Design a sequence that uses a similar method to generate new mathematical patterns and explain its properties.")</f>
        <v>Design a sequence that uses a similar method to generate new mathematical patterns and explain its properties.</v>
      </c>
      <c r="U4" s="11">
        <f ca="1">IFERROR(__xludf.DUMMYFUNCTION("ArrayFormula(VLOOKUP(G4, IMPORTRANGE(""https://docs.google.com/spreadsheets/d/1p7R4vtkWt5VOBim4ltsDG9KTzSjrtKXsMtQGXPHyND0/edit#gid=795171502"", ""'Filter 30_05_2024'!A1:M2000""), {2, 3, 4, 5,6,7,8,9,10,11,12,13}, 0))"),4)</f>
        <v>4</v>
      </c>
      <c r="V4" s="11">
        <f ca="1">IFERROR(__xludf.DUMMYFUNCTION("""COMPUTED_VALUE"""),6)</f>
        <v>6</v>
      </c>
      <c r="W4" s="11">
        <f ca="1">IFERROR(__xludf.DUMMYFUNCTION("""COMPUTED_VALUE"""),2)</f>
        <v>2</v>
      </c>
      <c r="X4" s="11">
        <f ca="1">IFERROR(__xludf.DUMMYFUNCTION("""COMPUTED_VALUE"""),12)</f>
        <v>12</v>
      </c>
      <c r="Y4" s="11">
        <f ca="1">IFERROR(__xludf.DUMMYFUNCTION("""COMPUTED_VALUE"""),4)</f>
        <v>4</v>
      </c>
      <c r="Z4" s="12">
        <f ca="1">IFERROR(__xludf.DUMMYFUNCTION("""COMPUTED_VALUE"""),3)</f>
        <v>3</v>
      </c>
      <c r="AA4" s="12">
        <f ca="1">IFERROR(__xludf.DUMMYFUNCTION("""COMPUTED_VALUE"""),1)</f>
        <v>1</v>
      </c>
      <c r="AB4" s="12">
        <f ca="1">IFERROR(__xludf.DUMMYFUNCTION("""COMPUTED_VALUE"""),8)</f>
        <v>8</v>
      </c>
      <c r="AC4" s="11"/>
      <c r="AD4" s="12"/>
      <c r="AE4" s="12"/>
      <c r="AF4" s="12"/>
      <c r="AG4" s="13" t="str">
        <f ca="1">IFERROR(__xludf.DUMMYFUNCTION("ArrayFormula(VLOOKUP(G4, IMPORTRANGE(""https://docs.google.com/spreadsheets/d/1Co934fvtviyaRiMsrIlT05Jaq7iiYq07aLvRr35KA48/edit?gid=173865642#gid=173865642"", ""'G6_Maths GP_Pri_LU'!G2:V2000""), {3, 4, 5, 6, 7, 8, 9, 10, 11, 12, 13, 14, 15, 16}, 0))"),"LU000175")</f>
        <v>LU000175</v>
      </c>
      <c r="AH4" s="13" t="str">
        <f ca="1">IFERROR(__xludf.DUMMYFUNCTION("""COMPUTED_VALUE"""),"Definition of natural number ")</f>
        <v xml:space="preserve">Definition of natural number </v>
      </c>
      <c r="AI4" s="13"/>
      <c r="AJ4" s="13"/>
      <c r="AK4" s="13"/>
      <c r="AL4" s="13"/>
      <c r="AM4" s="13"/>
      <c r="AN4" s="13"/>
      <c r="AO4" s="13"/>
      <c r="AP4" s="13"/>
      <c r="AQ4" s="13"/>
      <c r="AR4" s="13"/>
      <c r="AS4" s="13"/>
      <c r="AT4" s="13"/>
    </row>
    <row r="5" spans="1:46" ht="39.6">
      <c r="A5" s="8" t="s">
        <v>46</v>
      </c>
      <c r="B5" s="8" t="s">
        <v>47</v>
      </c>
      <c r="C5" s="8" t="s">
        <v>48</v>
      </c>
      <c r="D5" s="8" t="s">
        <v>49</v>
      </c>
      <c r="E5" s="8" t="s">
        <v>50</v>
      </c>
      <c r="F5" s="8" t="s">
        <v>56</v>
      </c>
      <c r="G5" s="9" t="s">
        <v>57</v>
      </c>
      <c r="H5" s="8" t="str">
        <f ca="1">IFERROR(__xludf.DUMMYFUNCTION("VLOOKUP(G5, IMPORTRANGE(""https://docs.google.com/spreadsheets/d/14deopnvwcrKtEGCKuYXdUHJbeLDZlkiSSWWT0g7x2pM/edit#gid=999382323"", ""LU List Maths (Filter)!A:B""), 2, FALSE)"),"Patterns in shapes")</f>
        <v>Patterns in shapes</v>
      </c>
      <c r="I5" s="10" t="str">
        <f t="shared" si="0"/>
        <v>LU001347.001</v>
      </c>
      <c r="J5" s="10" t="str">
        <f ca="1">IFERROR(__xludf.DUMMYFUNCTION("VLOOKUP(I5, IMPORTRANGE(""https://docs.google.com/spreadsheets/d/1yDAaXNsi4Mr5FtRQL4tbmSdIzhx6_m4wkOD7IG-k_eo/edit#gid=0"", ""Maths!M:N""), 2, FALSE)"),"Identify different shape sequences, such as regular polygons and stacked squares.")</f>
        <v>Identify different shape sequences, such as regular polygons and stacked squares.</v>
      </c>
      <c r="K5" s="10" t="str">
        <f t="shared" si="1"/>
        <v>LU001347.002</v>
      </c>
      <c r="L5" s="10" t="str">
        <f ca="1">IFERROR(__xludf.DUMMYFUNCTION("VLOOKUP(K5, IMPORTRANGE(""https://docs.google.com/spreadsheets/d/1yDAaXNsi4Mr5FtRQL4tbmSdIzhx6_m4wkOD7IG-k_eo/edit#gid=0"", ""Maths!M:N""), 2, FALSE)"),"Explain the relationship between shape sequences and corresponding number sequences.")</f>
        <v>Explain the relationship between shape sequences and corresponding number sequences.</v>
      </c>
      <c r="M5" s="10" t="str">
        <f t="shared" si="2"/>
        <v>LU001347.003</v>
      </c>
      <c r="N5" s="10" t="str">
        <f ca="1">IFERROR(__xludf.DUMMYFUNCTION("VLOOKUP(M5, IMPORTRANGE(""https://docs.google.com/spreadsheets/d/1yDAaXNsi4Mr5FtRQL4tbmSdIzhx6_m4wkOD7IG-k_eo/edit#gid=0"", ""Maths!M:N""), 2, FALSE)"),"Use shape sequences to predict the next shape in a sequence.")</f>
        <v>Use shape sequences to predict the next shape in a sequence.</v>
      </c>
      <c r="O5" s="10" t="str">
        <f t="shared" si="3"/>
        <v>LU001347.004</v>
      </c>
      <c r="P5" s="10" t="str">
        <f ca="1">IFERROR(__xludf.DUMMYFUNCTION("VLOOKUP(O5, IMPORTRANGE(""https://docs.google.com/spreadsheets/d/1yDAaXNsi4Mr5FtRQL4tbmSdIzhx6_m4wkOD7IG-k_eo/edit#gid=0"", ""Maths!M:N""), 2, FALSE)"),"Analyze how the number of sides or vertices in a shape sequence relates to the sequence of numbers.")</f>
        <v>Analyze how the number of sides or vertices in a shape sequence relates to the sequence of numbers.</v>
      </c>
      <c r="Q5" s="10" t="str">
        <f t="shared" si="4"/>
        <v>LU001347.005</v>
      </c>
      <c r="R5" s="10" t="str">
        <f ca="1">IFERROR(__xludf.DUMMYFUNCTION("VLOOKUP(Q5, IMPORTRANGE(""https://docs.google.com/spreadsheets/d/1yDAaXNsi4Mr5FtRQL4tbmSdIzhx6_m4wkOD7IG-k_eo/edit#gid=0"", ""Maths!M:N""), 2, FALSE)"),"Evaluate the accuracy of a given shape sequence by comparing it to the underlying mathematical rule.")</f>
        <v>Evaluate the accuracy of a given shape sequence by comparing it to the underlying mathematical rule.</v>
      </c>
      <c r="S5" s="10" t="str">
        <f t="shared" si="5"/>
        <v>LU001347.006</v>
      </c>
      <c r="T5" s="10" t="str">
        <f ca="1">IFERROR(__xludf.DUMMYFUNCTION("VLOOKUP(S5, IMPORTRANGE(""https://docs.google.com/spreadsheets/d/1yDAaXNsi4Mr5FtRQL4tbmSdIzhx6_m4wkOD7IG-k_eo/edit#gid=0"", ""Maths!M:N""), 2, FALSE)"),"Create a new shape sequence based on a geometric rule and describe its relationship to a number sequence.")</f>
        <v>Create a new shape sequence based on a geometric rule and describe its relationship to a number sequence.</v>
      </c>
      <c r="U5" s="11">
        <f ca="1">IFERROR(__xludf.DUMMYFUNCTION("ArrayFormula(VLOOKUP(G5, IMPORTRANGE(""https://docs.google.com/spreadsheets/d/1p7R4vtkWt5VOBim4ltsDG9KTzSjrtKXsMtQGXPHyND0/edit#gid=795171502"", ""'Filter 30_05_2024'!A1:M2000""), {2, 3, 4, 5,6,7,8,9,10,11,12,13}, 0))"),4)</f>
        <v>4</v>
      </c>
      <c r="V5" s="11">
        <f ca="1">IFERROR(__xludf.DUMMYFUNCTION("""COMPUTED_VALUE"""),6)</f>
        <v>6</v>
      </c>
      <c r="W5" s="11">
        <f ca="1">IFERROR(__xludf.DUMMYFUNCTION("""COMPUTED_VALUE"""),2)</f>
        <v>2</v>
      </c>
      <c r="X5" s="11">
        <f ca="1">IFERROR(__xludf.DUMMYFUNCTION("""COMPUTED_VALUE"""),12)</f>
        <v>12</v>
      </c>
      <c r="Y5" s="11">
        <f ca="1">IFERROR(__xludf.DUMMYFUNCTION("""COMPUTED_VALUE"""),4)</f>
        <v>4</v>
      </c>
      <c r="Z5" s="12">
        <f ca="1">IFERROR(__xludf.DUMMYFUNCTION("""COMPUTED_VALUE"""),3)</f>
        <v>3</v>
      </c>
      <c r="AA5" s="12">
        <f ca="1">IFERROR(__xludf.DUMMYFUNCTION("""COMPUTED_VALUE"""),1)</f>
        <v>1</v>
      </c>
      <c r="AB5" s="12">
        <f ca="1">IFERROR(__xludf.DUMMYFUNCTION("""COMPUTED_VALUE"""),8)</f>
        <v>8</v>
      </c>
      <c r="AC5" s="11"/>
      <c r="AD5" s="12"/>
      <c r="AE5" s="12"/>
      <c r="AF5" s="12"/>
      <c r="AG5" s="13" t="str">
        <f ca="1">IFERROR(__xludf.DUMMYFUNCTION("ArrayFormula(VLOOKUP(G5, IMPORTRANGE(""https://docs.google.com/spreadsheets/d/1Co934fvtviyaRiMsrIlT05Jaq7iiYq07aLvRr35KA48/edit?gid=173865642#gid=173865642"", ""'G6_Maths GP_Pri_LU'!G2:V2000""), {3, 4, 5, 6, 7, 8, 9, 10, 11, 12, 13, 14, 15, 16}, 0))"),"LU000016")</f>
        <v>LU000016</v>
      </c>
      <c r="AH5" s="13" t="str">
        <f ca="1">IFERROR(__xludf.DUMMYFUNCTION("""COMPUTED_VALUE"""),"Formation of 2D shapes using straight lines")</f>
        <v>Formation of 2D shapes using straight lines</v>
      </c>
      <c r="AI5" s="13" t="str">
        <f ca="1">IFERROR(__xludf.DUMMYFUNCTION("""COMPUTED_VALUE"""),"LU001344")</f>
        <v>LU001344</v>
      </c>
      <c r="AJ5" s="13" t="str">
        <f ca="1">IFERROR(__xludf.DUMMYFUNCTION("""COMPUTED_VALUE"""),"Patterns in Numbers")</f>
        <v>Patterns in Numbers</v>
      </c>
      <c r="AK5" s="13"/>
      <c r="AL5" s="13"/>
      <c r="AM5" s="13"/>
      <c r="AN5" s="13"/>
      <c r="AO5" s="13"/>
      <c r="AP5" s="13"/>
      <c r="AQ5" s="13"/>
      <c r="AR5" s="13"/>
      <c r="AS5" s="13"/>
      <c r="AT5" s="13"/>
    </row>
    <row r="6" spans="1:46" ht="15.75" customHeight="1">
      <c r="A6" s="8" t="s">
        <v>46</v>
      </c>
      <c r="B6" s="8" t="s">
        <v>47</v>
      </c>
      <c r="C6" s="8" t="s">
        <v>48</v>
      </c>
      <c r="D6" s="8" t="s">
        <v>49</v>
      </c>
      <c r="E6" s="8" t="s">
        <v>58</v>
      </c>
      <c r="F6" s="8" t="s">
        <v>59</v>
      </c>
      <c r="G6" s="14" t="s">
        <v>60</v>
      </c>
      <c r="H6" s="8" t="str">
        <f ca="1">IFERROR(__xludf.DUMMYFUNCTION("VLOOKUP(G6, IMPORTRANGE(""https://docs.google.com/spreadsheets/d/14deopnvwcrKtEGCKuYXdUHJbeLDZlkiSSWWT0g7x2pM/edit#gid=999382323"", ""LU List Maths (Filter)!A:B""), 2, FALSE)"),"Definition of point")</f>
        <v>Definition of point</v>
      </c>
      <c r="I6" s="10" t="str">
        <f t="shared" si="0"/>
        <v>LU000218.001</v>
      </c>
      <c r="J6" s="10" t="str">
        <f ca="1">IFERROR(__xludf.DUMMYFUNCTION("VLOOKUP(I6, IMPORTRANGE(""https://docs.google.com/spreadsheets/d/1yDAaXNsi4Mr5FtRQL4tbmSdIzhx6_m4wkOD7IG-k_eo/edit#gid=0"", ""Maths!M:N""), 2, FALSE)"),"Define a point.")</f>
        <v>Define a point.</v>
      </c>
      <c r="K6" s="10" t="str">
        <f t="shared" si="1"/>
        <v>LU000218.002</v>
      </c>
      <c r="L6" s="10" t="str">
        <f ca="1">IFERROR(__xludf.DUMMYFUNCTION("VLOOKUP(K6, IMPORTRANGE(""https://docs.google.com/spreadsheets/d/1yDAaXNsi4Mr5FtRQL4tbmSdIzhx6_m4wkOD7IG-k_eo/edit#gid=0"", ""Maths!M:N""), 2, FALSE)"),"Describe the properties of a point")</f>
        <v>Describe the properties of a point</v>
      </c>
      <c r="M6" s="10" t="str">
        <f t="shared" si="2"/>
        <v>LU000218.003</v>
      </c>
      <c r="N6" s="10" t="str">
        <f ca="1">IFERROR(__xludf.DUMMYFUNCTION("VLOOKUP(M6, IMPORTRANGE(""https://docs.google.com/spreadsheets/d/1yDAaXNsi4Mr5FtRQL4tbmSdIzhx6_m4wkOD7IG-k_eo/edit#gid=0"", ""Maths!M:N""), 2, FALSE)"),"Identify and label points in geometric figures and surroundings.")</f>
        <v>Identify and label points in geometric figures and surroundings.</v>
      </c>
      <c r="O6" s="10" t="str">
        <f t="shared" si="3"/>
        <v>LU000218.004</v>
      </c>
      <c r="P6" s="10" t="str">
        <f ca="1">IFERROR(__xludf.DUMMYFUNCTION("VLOOKUP(O6, IMPORTRANGE(""https://docs.google.com/spreadsheets/d/1yDAaXNsi4Mr5FtRQL4tbmSdIzhx6_m4wkOD7IG-k_eo/edit#gid=0"", ""Maths!M:N""), 2, FALSE)"),"Compare and contrast the properties of points with those of other geometric elements")</f>
        <v>Compare and contrast the properties of points with those of other geometric elements</v>
      </c>
      <c r="Q6" s="10" t="str">
        <f t="shared" si="4"/>
        <v>LU000218.005</v>
      </c>
      <c r="R6" s="10" t="str">
        <f ca="1">IFERROR(__xludf.DUMMYFUNCTION("VLOOKUP(Q6, IMPORTRANGE(""https://docs.google.com/spreadsheets/d/1yDAaXNsi4Mr5FtRQL4tbmSdIzhx6_m4wkOD7IG-k_eo/edit#gid=0"", ""Maths!M:N""), 2, FALSE)"),"Assess the role of points in problem-solving and spatial reasoning in geometry")</f>
        <v>Assess the role of points in problem-solving and spatial reasoning in geometry</v>
      </c>
      <c r="S6" s="10" t="str">
        <f t="shared" si="5"/>
        <v>LU000218.006</v>
      </c>
      <c r="T6" s="10" t="str">
        <f ca="1">IFERROR(__xludf.DUMMYFUNCTION("VLOOKUP(S6, IMPORTRANGE(""https://docs.google.com/spreadsheets/d/1yDAaXNsi4Mr5FtRQL4tbmSdIzhx6_m4wkOD7IG-k_eo/edit#gid=0"", ""Maths!M:N""), 2, FALSE)"),"Construct real-world scenarios where the understanding of points is essential for solving spatial problems")</f>
        <v>Construct real-world scenarios where the understanding of points is essential for solving spatial problems</v>
      </c>
      <c r="U6" s="11">
        <f ca="1">IFERROR(__xludf.DUMMYFUNCTION("ArrayFormula(VLOOKUP(G6, IMPORTRANGE(""https://docs.google.com/spreadsheets/d/1p7R4vtkWt5VOBim4ltsDG9KTzSjrtKXsMtQGXPHyND0/edit#gid=795171502"", ""'Filter 30_05_2024'!A1:M2000""), {2, 3, 4, 5,6,7,8,9,10,11,12,13}, 0))"),4)</f>
        <v>4</v>
      </c>
      <c r="V6" s="11">
        <f ca="1">IFERROR(__xludf.DUMMYFUNCTION("""COMPUTED_VALUE"""),6)</f>
        <v>6</v>
      </c>
      <c r="W6" s="11">
        <f ca="1">IFERROR(__xludf.DUMMYFUNCTION("""COMPUTED_VALUE"""),2)</f>
        <v>2</v>
      </c>
      <c r="X6" s="11">
        <f ca="1">IFERROR(__xludf.DUMMYFUNCTION("""COMPUTED_VALUE"""),12)</f>
        <v>12</v>
      </c>
      <c r="Y6" s="11">
        <f ca="1">IFERROR(__xludf.DUMMYFUNCTION("""COMPUTED_VALUE"""),4)</f>
        <v>4</v>
      </c>
      <c r="Z6" s="12">
        <f ca="1">IFERROR(__xludf.DUMMYFUNCTION("""COMPUTED_VALUE"""),2)</f>
        <v>2</v>
      </c>
      <c r="AA6" s="12">
        <f ca="1">IFERROR(__xludf.DUMMYFUNCTION("""COMPUTED_VALUE"""),1)</f>
        <v>1</v>
      </c>
      <c r="AB6" s="12">
        <f ca="1">IFERROR(__xludf.DUMMYFUNCTION("""COMPUTED_VALUE"""),7)</f>
        <v>7</v>
      </c>
      <c r="AC6" s="11"/>
      <c r="AD6" s="12"/>
      <c r="AE6" s="12"/>
      <c r="AF6" s="12"/>
      <c r="AG6" s="13" t="str">
        <f ca="1">IFERROR(__xludf.DUMMYFUNCTION("ArrayFormula(VLOOKUP(G6, IMPORTRANGE(""https://docs.google.com/spreadsheets/d/1Co934fvtviyaRiMsrIlT05Jaq7iiYq07aLvRr35KA48/edit?gid=173865642#gid=173865642"", ""'G6_Maths GP_Pri_LU'!G2:V2000""), {3, 4, 5, 6, 7, 8, 9, 10, 11, 12, 13, 14, 15, 16}, 0))"),"")</f>
        <v/>
      </c>
      <c r="AH6" s="13"/>
      <c r="AI6" s="13"/>
      <c r="AJ6" s="13"/>
      <c r="AK6" s="13"/>
      <c r="AL6" s="13"/>
      <c r="AM6" s="13"/>
      <c r="AN6" s="13"/>
      <c r="AO6" s="13"/>
      <c r="AP6" s="13"/>
      <c r="AQ6" s="13"/>
      <c r="AR6" s="13"/>
      <c r="AS6" s="13"/>
      <c r="AT6" s="13"/>
    </row>
    <row r="7" spans="1:46" ht="15.75" customHeight="1">
      <c r="A7" s="8" t="s">
        <v>46</v>
      </c>
      <c r="B7" s="8" t="s">
        <v>47</v>
      </c>
      <c r="C7" s="8" t="s">
        <v>48</v>
      </c>
      <c r="D7" s="8" t="s">
        <v>49</v>
      </c>
      <c r="E7" s="8" t="s">
        <v>58</v>
      </c>
      <c r="F7" s="8" t="s">
        <v>59</v>
      </c>
      <c r="G7" s="14" t="s">
        <v>61</v>
      </c>
      <c r="H7" s="8" t="str">
        <f ca="1">IFERROR(__xludf.DUMMYFUNCTION("VLOOKUP(G7, IMPORTRANGE(""https://docs.google.com/spreadsheets/d/14deopnvwcrKtEGCKuYXdUHJbeLDZlkiSSWWT0g7x2pM/edit#gid=999382323"", ""LU List Maths (Filter)!A:B""), 2, FALSE)"),"Definition of line segment")</f>
        <v>Definition of line segment</v>
      </c>
      <c r="I7" s="10" t="str">
        <f t="shared" si="0"/>
        <v>LU000219.001</v>
      </c>
      <c r="J7" s="10" t="str">
        <f ca="1">IFERROR(__xludf.DUMMYFUNCTION("VLOOKUP(I7, IMPORTRANGE(""https://docs.google.com/spreadsheets/d/1yDAaXNsi4Mr5FtRQL4tbmSdIzhx6_m4wkOD7IG-k_eo/edit#gid=0"", ""Maths!M:N""), 2, FALSE)"),"Provide examples from the surroundings in order to describe line segment.")</f>
        <v>Provide examples from the surroundings in order to describe line segment.</v>
      </c>
      <c r="K7" s="10" t="str">
        <f t="shared" si="1"/>
        <v>LU000219.002</v>
      </c>
      <c r="L7" s="10" t="str">
        <f ca="1">IFERROR(__xludf.DUMMYFUNCTION("VLOOKUP(K7, IMPORTRANGE(""https://docs.google.com/spreadsheets/d/1yDAaXNsi4Mr5FtRQL4tbmSdIzhx6_m4wkOD7IG-k_eo/edit#gid=0"", ""Maths!M:N""), 2, FALSE)"),"Explain the concept of line segment and identify line segments.")</f>
        <v>Explain the concept of line segment and identify line segments.</v>
      </c>
      <c r="M7" s="10" t="str">
        <f t="shared" si="2"/>
        <v>LU000219.003</v>
      </c>
      <c r="N7" s="10" t="str">
        <f ca="1">IFERROR(__xludf.DUMMYFUNCTION("VLOOKUP(M7, IMPORTRANGE(""https://docs.google.com/spreadsheets/d/1yDAaXNsi4Mr5FtRQL4tbmSdIzhx6_m4wkOD7IG-k_eo/edit#gid=0"", ""Maths!M:N""), 2, FALSE)"),"Explain the representation of the line segment.")</f>
        <v>Explain the representation of the line segment.</v>
      </c>
      <c r="O7" s="10" t="str">
        <f t="shared" si="3"/>
        <v>LU000219.004</v>
      </c>
      <c r="P7" s="10" t="str">
        <f ca="1">IFERROR(__xludf.DUMMYFUNCTION("VLOOKUP(O7, IMPORTRANGE(""https://docs.google.com/spreadsheets/d/1yDAaXNsi4Mr5FtRQL4tbmSdIzhx6_m4wkOD7IG-k_eo/edit#gid=0"", ""Maths!M:N""), 2, FALSE)"),"Draw a line segment of a given length and label its endpoints.")</f>
        <v>Draw a line segment of a given length and label its endpoints.</v>
      </c>
      <c r="Q7" s="10" t="str">
        <f t="shared" si="4"/>
        <v>LU000219.005</v>
      </c>
      <c r="R7" s="10" t="str">
        <f ca="1">IFERROR(__xludf.DUMMYFUNCTION("VLOOKUP(Q7, IMPORTRANGE(""https://docs.google.com/spreadsheets/d/1yDAaXNsi4Mr5FtRQL4tbmSdIzhx6_m4wkOD7IG-k_eo/edit#gid=0"", ""Maths!M:N""), 2, FALSE)"),"Analyze geometric diagrams and identify line segments.")</f>
        <v>Analyze geometric diagrams and identify line segments.</v>
      </c>
      <c r="S7" s="10" t="str">
        <f t="shared" si="5"/>
        <v>LU000219.006</v>
      </c>
      <c r="T7" s="10" t="str">
        <f ca="1">IFERROR(__xludf.DUMMYFUNCTION("VLOOKUP(S7, IMPORTRANGE(""https://docs.google.com/spreadsheets/d/1yDAaXNsi4Mr5FtRQL4tbmSdIzhx6_m4wkOD7IG-k_eo/edit#gid=0"", ""Maths!M:N""), 2, FALSE)"),"Design a geometric figure or pattern using line segments.")</f>
        <v>Design a geometric figure or pattern using line segments.</v>
      </c>
      <c r="U7" s="11">
        <f ca="1">IFERROR(__xludf.DUMMYFUNCTION("ArrayFormula(VLOOKUP(G7, IMPORTRANGE(""https://docs.google.com/spreadsheets/d/1p7R4vtkWt5VOBim4ltsDG9KTzSjrtKXsMtQGXPHyND0/edit#gid=795171502"", ""'Filter 30_05_2024'!A1:M2000""), {2, 3, 4, 5,6,7,8,9,10,11,12,13}, 0))"),5)</f>
        <v>5</v>
      </c>
      <c r="V7" s="11">
        <f ca="1">IFERROR(__xludf.DUMMYFUNCTION("""COMPUTED_VALUE"""),6)</f>
        <v>6</v>
      </c>
      <c r="W7" s="11">
        <f ca="1">IFERROR(__xludf.DUMMYFUNCTION("""COMPUTED_VALUE"""),2)</f>
        <v>2</v>
      </c>
      <c r="X7" s="11">
        <f ca="1">IFERROR(__xludf.DUMMYFUNCTION("""COMPUTED_VALUE"""),13)</f>
        <v>13</v>
      </c>
      <c r="Y7" s="11">
        <f ca="1">IFERROR(__xludf.DUMMYFUNCTION("""COMPUTED_VALUE"""),4)</f>
        <v>4</v>
      </c>
      <c r="Z7" s="12">
        <f ca="1">IFERROR(__xludf.DUMMYFUNCTION("""COMPUTED_VALUE"""),4)</f>
        <v>4</v>
      </c>
      <c r="AA7" s="12">
        <f ca="1">IFERROR(__xludf.DUMMYFUNCTION("""COMPUTED_VALUE"""),1)</f>
        <v>1</v>
      </c>
      <c r="AB7" s="12">
        <f ca="1">IFERROR(__xludf.DUMMYFUNCTION("""COMPUTED_VALUE"""),9)</f>
        <v>9</v>
      </c>
      <c r="AC7" s="11"/>
      <c r="AD7" s="12"/>
      <c r="AE7" s="12"/>
      <c r="AF7" s="12"/>
      <c r="AG7" s="13" t="str">
        <f ca="1">IFERROR(__xludf.DUMMYFUNCTION("ArrayFormula(VLOOKUP(G7, IMPORTRANGE(""https://docs.google.com/spreadsheets/d/1Co934fvtviyaRiMsrIlT05Jaq7iiYq07aLvRr35KA48/edit?gid=173865642#gid=173865642"", ""'G6_Maths GP_Pri_LU'!G2:V2000""), {3, 4, 5, 6, 7, 8, 9, 10, 11, 12, 13, 14, 15, 16}, 0))"),"LU000218")</f>
        <v>LU000218</v>
      </c>
      <c r="AH7" s="13" t="str">
        <f ca="1">IFERROR(__xludf.DUMMYFUNCTION("""COMPUTED_VALUE"""),"Definition of point")</f>
        <v>Definition of point</v>
      </c>
      <c r="AI7" s="13"/>
      <c r="AJ7" s="13"/>
      <c r="AK7" s="13"/>
      <c r="AL7" s="13"/>
      <c r="AM7" s="13"/>
      <c r="AN7" s="13"/>
      <c r="AO7" s="13"/>
      <c r="AP7" s="13"/>
      <c r="AQ7" s="13"/>
      <c r="AR7" s="13"/>
      <c r="AS7" s="13"/>
      <c r="AT7" s="13"/>
    </row>
    <row r="8" spans="1:46" ht="15.75" customHeight="1">
      <c r="A8" s="8" t="s">
        <v>46</v>
      </c>
      <c r="B8" s="8" t="s">
        <v>47</v>
      </c>
      <c r="C8" s="8" t="s">
        <v>48</v>
      </c>
      <c r="D8" s="8" t="s">
        <v>49</v>
      </c>
      <c r="E8" s="8" t="s">
        <v>58</v>
      </c>
      <c r="F8" s="8" t="s">
        <v>62</v>
      </c>
      <c r="G8" s="14" t="s">
        <v>63</v>
      </c>
      <c r="H8" s="8" t="str">
        <f ca="1">IFERROR(__xludf.DUMMYFUNCTION("VLOOKUP(G8, IMPORTRANGE(""https://docs.google.com/spreadsheets/d/14deopnvwcrKtEGCKuYXdUHJbeLDZlkiSSWWT0g7x2pM/edit#gid=999382323"", ""LU List Maths (Filter)!A:B""), 2, FALSE)"),"Definition of line")</f>
        <v>Definition of line</v>
      </c>
      <c r="I8" s="10" t="str">
        <f t="shared" si="0"/>
        <v>LU000220.001</v>
      </c>
      <c r="J8" s="10" t="str">
        <f ca="1">IFERROR(__xludf.DUMMYFUNCTION("VLOOKUP(I8, IMPORTRANGE(""https://docs.google.com/spreadsheets/d/1yDAaXNsi4Mr5FtRQL4tbmSdIzhx6_m4wkOD7IG-k_eo/edit#gid=0"", ""Maths!M:N""), 2, FALSE)"),"Define a line.")</f>
        <v>Define a line.</v>
      </c>
      <c r="K8" s="10" t="str">
        <f t="shared" si="1"/>
        <v>LU000220.002</v>
      </c>
      <c r="L8" s="10" t="str">
        <f ca="1">IFERROR(__xludf.DUMMYFUNCTION("VLOOKUP(K8, IMPORTRANGE(""https://docs.google.com/spreadsheets/d/1yDAaXNsi4Mr5FtRQL4tbmSdIzhx6_m4wkOD7IG-k_eo/edit#gid=0"", ""Maths!M:N""), 2, FALSE)"),"Explain the representation of a line.")</f>
        <v>Explain the representation of a line.</v>
      </c>
      <c r="M8" s="10" t="str">
        <f t="shared" si="2"/>
        <v>LU000220.003</v>
      </c>
      <c r="N8" s="10" t="str">
        <f ca="1">IFERROR(__xludf.DUMMYFUNCTION("VLOOKUP(M8, IMPORTRANGE(""https://docs.google.com/spreadsheets/d/1yDAaXNsi4Mr5FtRQL4tbmSdIzhx6_m4wkOD7IG-k_eo/edit#gid=0"", ""Maths!M:N""), 2, FALSE)"),"Apply the knowledge of lines to identify and represent them in geometric diagrams.")</f>
        <v>Apply the knowledge of lines to identify and represent them in geometric diagrams.</v>
      </c>
      <c r="O8" s="10" t="str">
        <f t="shared" si="3"/>
        <v>LU000220.004</v>
      </c>
      <c r="P8" s="10" t="str">
        <f ca="1">IFERROR(__xludf.DUMMYFUNCTION("VLOOKUP(O8, IMPORTRANGE(""https://docs.google.com/spreadsheets/d/1yDAaXNsi4Mr5FtRQL4tbmSdIzhx6_m4wkOD7IG-k_eo/edit#gid=0"", ""Maths!M:N""), 2, FALSE)"),"Differentiate between a line and a line segment.")</f>
        <v>Differentiate between a line and a line segment.</v>
      </c>
      <c r="Q8" s="10" t="str">
        <f t="shared" si="4"/>
        <v>LU000220.005</v>
      </c>
      <c r="R8" s="10" t="str">
        <f ca="1">IFERROR(__xludf.DUMMYFUNCTION("VLOOKUP(Q8, IMPORTRANGE(""https://docs.google.com/spreadsheets/d/1yDAaXNsi4Mr5FtRQL4tbmSdIzhx6_m4wkOD7IG-k_eo/edit#gid=0"", ""Maths!M:N""), 2, FALSE)"),"Analyze geometric diagrams and identify line.")</f>
        <v>Analyze geometric diagrams and identify line.</v>
      </c>
      <c r="S8" s="10" t="str">
        <f t="shared" si="5"/>
        <v>LU000220.006</v>
      </c>
      <c r="T8" s="10" t="str">
        <f ca="1">IFERROR(__xludf.DUMMYFUNCTION("VLOOKUP(S8, IMPORTRANGE(""https://docs.google.com/spreadsheets/d/1yDAaXNsi4Mr5FtRQL4tbmSdIzhx6_m4wkOD7IG-k_eo/edit#gid=0"", ""Maths!M:N""), 2, FALSE)"),"Design a geometric figure using line.")</f>
        <v>Design a geometric figure using line.</v>
      </c>
      <c r="U8" s="11">
        <f ca="1">IFERROR(__xludf.DUMMYFUNCTION("ArrayFormula(VLOOKUP(G8, IMPORTRANGE(""https://docs.google.com/spreadsheets/d/1p7R4vtkWt5VOBim4ltsDG9KTzSjrtKXsMtQGXPHyND0/edit#gid=795171502"", ""'Filter 30_05_2024'!A1:M2000""), {2, 3, 4, 5,6,7,8,9,10,11,12,13}, 0))"),4)</f>
        <v>4</v>
      </c>
      <c r="V8" s="11">
        <f ca="1">IFERROR(__xludf.DUMMYFUNCTION("""COMPUTED_VALUE"""),4)</f>
        <v>4</v>
      </c>
      <c r="W8" s="11">
        <f ca="1">IFERROR(__xludf.DUMMYFUNCTION("""COMPUTED_VALUE"""),2)</f>
        <v>2</v>
      </c>
      <c r="X8" s="11">
        <f ca="1">IFERROR(__xludf.DUMMYFUNCTION("""COMPUTED_VALUE"""),10)</f>
        <v>10</v>
      </c>
      <c r="Y8" s="11">
        <f ca="1">IFERROR(__xludf.DUMMYFUNCTION("""COMPUTED_VALUE"""),4)</f>
        <v>4</v>
      </c>
      <c r="Z8" s="12">
        <f ca="1">IFERROR(__xludf.DUMMYFUNCTION("""COMPUTED_VALUE"""),5)</f>
        <v>5</v>
      </c>
      <c r="AA8" s="12">
        <f ca="1">IFERROR(__xludf.DUMMYFUNCTION("""COMPUTED_VALUE"""),1)</f>
        <v>1</v>
      </c>
      <c r="AB8" s="12">
        <f ca="1">IFERROR(__xludf.DUMMYFUNCTION("""COMPUTED_VALUE"""),10)</f>
        <v>10</v>
      </c>
      <c r="AC8" s="11"/>
      <c r="AD8" s="12"/>
      <c r="AE8" s="12"/>
      <c r="AF8" s="12"/>
      <c r="AG8" s="13" t="str">
        <f ca="1">IFERROR(__xludf.DUMMYFUNCTION("ArrayFormula(VLOOKUP(G8, IMPORTRANGE(""https://docs.google.com/spreadsheets/d/1Co934fvtviyaRiMsrIlT05Jaq7iiYq07aLvRr35KA48/edit?gid=173865642#gid=173865642"", ""'G6_Maths GP_Pri_LU'!G2:V2000""), {3, 4, 5, 6, 7, 8, 9, 10, 11, 12, 13, 14, 15, 16}, 0))"),"LU000219")</f>
        <v>LU000219</v>
      </c>
      <c r="AH8" s="13" t="str">
        <f ca="1">IFERROR(__xludf.DUMMYFUNCTION("""COMPUTED_VALUE"""),"Definition of line segment")</f>
        <v>Definition of line segment</v>
      </c>
      <c r="AI8" s="13" t="str">
        <f ca="1">IFERROR(__xludf.DUMMYFUNCTION("""COMPUTED_VALUE"""),"LU000218")</f>
        <v>LU000218</v>
      </c>
      <c r="AJ8" s="13" t="str">
        <f ca="1">IFERROR(__xludf.DUMMYFUNCTION("""COMPUTED_VALUE"""),"Definition of point")</f>
        <v>Definition of point</v>
      </c>
      <c r="AK8" s="13"/>
      <c r="AL8" s="13"/>
      <c r="AM8" s="13"/>
      <c r="AN8" s="13"/>
      <c r="AO8" s="13"/>
      <c r="AP8" s="13"/>
      <c r="AQ8" s="13"/>
      <c r="AR8" s="13"/>
      <c r="AS8" s="13"/>
      <c r="AT8" s="13"/>
    </row>
    <row r="9" spans="1:46" ht="15.75" customHeight="1">
      <c r="A9" s="8" t="s">
        <v>46</v>
      </c>
      <c r="B9" s="8" t="s">
        <v>47</v>
      </c>
      <c r="C9" s="8" t="s">
        <v>48</v>
      </c>
      <c r="D9" s="8" t="s">
        <v>49</v>
      </c>
      <c r="E9" s="8" t="s">
        <v>58</v>
      </c>
      <c r="F9" s="8" t="s">
        <v>62</v>
      </c>
      <c r="G9" s="14" t="s">
        <v>64</v>
      </c>
      <c r="H9" s="8" t="str">
        <f ca="1">IFERROR(__xludf.DUMMYFUNCTION("VLOOKUP(G9, IMPORTRANGE(""https://docs.google.com/spreadsheets/d/14deopnvwcrKtEGCKuYXdUHJbeLDZlkiSSWWT0g7x2pM/edit#gid=999382323"", ""LU List Maths (Filter)!A:B""), 2, FALSE)"),"Definition of ray")</f>
        <v>Definition of ray</v>
      </c>
      <c r="I9" s="10" t="str">
        <f t="shared" si="0"/>
        <v>LU000223.001</v>
      </c>
      <c r="J9" s="10" t="str">
        <f ca="1">IFERROR(__xludf.DUMMYFUNCTION("VLOOKUP(I9, IMPORTRANGE(""https://docs.google.com/spreadsheets/d/1yDAaXNsi4Mr5FtRQL4tbmSdIzhx6_m4wkOD7IG-k_eo/edit#gid=0"", ""Maths!M:N""), 2, FALSE)"),"Recall the definition of a ray.")</f>
        <v>Recall the definition of a ray.</v>
      </c>
      <c r="K9" s="10" t="str">
        <f t="shared" si="1"/>
        <v>LU000223.002</v>
      </c>
      <c r="L9" s="10" t="str">
        <f ca="1">IFERROR(__xludf.DUMMYFUNCTION("VLOOKUP(K9, IMPORTRANGE(""https://docs.google.com/spreadsheets/d/1yDAaXNsi4Mr5FtRQL4tbmSdIzhx6_m4wkOD7IG-k_eo/edit#gid=0"", ""Maths!M:N""), 2, FALSE)"),"Explain the concept of ray and identify rays.")</f>
        <v>Explain the concept of ray and identify rays.</v>
      </c>
      <c r="M9" s="10" t="str">
        <f t="shared" si="2"/>
        <v>LU000223.003</v>
      </c>
      <c r="N9" s="10" t="str">
        <f ca="1">IFERROR(__xludf.DUMMYFUNCTION("VLOOKUP(M9, IMPORTRANGE(""https://docs.google.com/spreadsheets/d/1yDAaXNsi4Mr5FtRQL4tbmSdIzhx6_m4wkOD7IG-k_eo/edit#gid=0"", ""Maths!M:N""), 2, FALSE)"),"Apply the understanding of rays to identify and label them in geometric diagrams, distinguishing them from line segments and lines.")</f>
        <v>Apply the understanding of rays to identify and label them in geometric diagrams, distinguishing them from line segments and lines.</v>
      </c>
      <c r="O9" s="10" t="str">
        <f t="shared" si="3"/>
        <v>LU000223.004</v>
      </c>
      <c r="P9" s="10" t="str">
        <f ca="1">IFERROR(__xludf.DUMMYFUNCTION("VLOOKUP(O9, IMPORTRANGE(""https://docs.google.com/spreadsheets/d/1yDAaXNsi4Mr5FtRQL4tbmSdIzhx6_m4wkOD7IG-k_eo/edit#gid=0"", ""Maths!M:N""), 2, FALSE)"),"Analyse the characteristics of rays, including their starting point, direction, and the fact that they extend infinitely in one direction.")</f>
        <v>Analyse the characteristics of rays, including their starting point, direction, and the fact that they extend infinitely in one direction.</v>
      </c>
      <c r="Q9" s="10" t="str">
        <f t="shared" si="4"/>
        <v>LU000223.005</v>
      </c>
      <c r="R9" s="10" t="str">
        <f ca="1">IFERROR(__xludf.DUMMYFUNCTION("VLOOKUP(Q9, IMPORTRANGE(""https://docs.google.com/spreadsheets/d/1yDAaXNsi4Mr5FtRQL4tbmSdIzhx6_m4wkOD7IG-k_eo/edit#gid=0"", ""Maths!M:N""), 2, FALSE)"),"Evaluate the importance of rays in geometry, considering how they provide a clear representation of direction and half-lines.")</f>
        <v>Evaluate the importance of rays in geometry, considering how they provide a clear representation of direction and half-lines.</v>
      </c>
      <c r="S9" s="10" t="str">
        <f t="shared" si="5"/>
        <v>LU000223.006</v>
      </c>
      <c r="T9" s="10" t="str">
        <f ca="1">IFERROR(__xludf.DUMMYFUNCTION("VLOOKUP(S9, IMPORTRANGE(""https://docs.google.com/spreadsheets/d/1yDAaXNsi4Mr5FtRQL4tbmSdIzhx6_m4wkOD7IG-k_eo/edit#gid=0"", ""Maths!M:N""), 2, FALSE)"),"Create diagrams or visual representations illustrating rays in various orientations, highlighting their starting points and the direction of their extension.")</f>
        <v>Create diagrams or visual representations illustrating rays in various orientations, highlighting their starting points and the direction of their extension.</v>
      </c>
      <c r="U9" s="11">
        <f ca="1">IFERROR(__xludf.DUMMYFUNCTION("ArrayFormula(VLOOKUP(G9, IMPORTRANGE(""https://docs.google.com/spreadsheets/d/1p7R4vtkWt5VOBim4ltsDG9KTzSjrtKXsMtQGXPHyND0/edit#gid=795171502"", ""'Filter 30_05_2024'!A1:M2000""), {2, 3, 4, 5,6,7,8,9,10,11,12,13}, 0))"),8)</f>
        <v>8</v>
      </c>
      <c r="V9" s="11">
        <f ca="1">IFERROR(__xludf.DUMMYFUNCTION("""COMPUTED_VALUE"""),9)</f>
        <v>9</v>
      </c>
      <c r="W9" s="11">
        <f ca="1">IFERROR(__xludf.DUMMYFUNCTION("""COMPUTED_VALUE"""),4)</f>
        <v>4</v>
      </c>
      <c r="X9" s="11">
        <f ca="1">IFERROR(__xludf.DUMMYFUNCTION("""COMPUTED_VALUE"""),21)</f>
        <v>21</v>
      </c>
      <c r="Y9" s="11">
        <f ca="1">IFERROR(__xludf.DUMMYFUNCTION("""COMPUTED_VALUE"""),4)</f>
        <v>4</v>
      </c>
      <c r="Z9" s="12">
        <f ca="1">IFERROR(__xludf.DUMMYFUNCTION("""COMPUTED_VALUE"""),5)</f>
        <v>5</v>
      </c>
      <c r="AA9" s="12">
        <f ca="1">IFERROR(__xludf.DUMMYFUNCTION("""COMPUTED_VALUE"""),1)</f>
        <v>1</v>
      </c>
      <c r="AB9" s="12">
        <f ca="1">IFERROR(__xludf.DUMMYFUNCTION("""COMPUTED_VALUE"""),10)</f>
        <v>10</v>
      </c>
      <c r="AC9" s="11"/>
      <c r="AD9" s="12"/>
      <c r="AE9" s="12"/>
      <c r="AF9" s="12"/>
      <c r="AG9" s="13" t="str">
        <f ca="1">IFERROR(__xludf.DUMMYFUNCTION("ArrayFormula(VLOOKUP(G9, IMPORTRANGE(""https://docs.google.com/spreadsheets/d/1Co934fvtviyaRiMsrIlT05Jaq7iiYq07aLvRr35KA48/edit?gid=173865642#gid=173865642"", ""'G6_Maths GP_Pri_LU'!G2:V2000""), {3, 4, 5, 6, 7, 8, 9, 10, 11, 12, 13, 14, 15, 16}, 0))"),"LU000220")</f>
        <v>LU000220</v>
      </c>
      <c r="AH9" s="13" t="str">
        <f ca="1">IFERROR(__xludf.DUMMYFUNCTION("""COMPUTED_VALUE"""),"Definition of line")</f>
        <v>Definition of line</v>
      </c>
      <c r="AI9" s="13" t="str">
        <f ca="1">IFERROR(__xludf.DUMMYFUNCTION("""COMPUTED_VALUE"""),"LU000218")</f>
        <v>LU000218</v>
      </c>
      <c r="AJ9" s="13" t="str">
        <f ca="1">IFERROR(__xludf.DUMMYFUNCTION("""COMPUTED_VALUE"""),"Definition of point")</f>
        <v>Definition of point</v>
      </c>
      <c r="AK9" s="13" t="str">
        <f ca="1">IFERROR(__xludf.DUMMYFUNCTION("""COMPUTED_VALUE"""),"LU000219")</f>
        <v>LU000219</v>
      </c>
      <c r="AL9" s="13" t="str">
        <f ca="1">IFERROR(__xludf.DUMMYFUNCTION("""COMPUTED_VALUE"""),"Definition of line segment")</f>
        <v>Definition of line segment</v>
      </c>
      <c r="AM9" s="13"/>
      <c r="AN9" s="13"/>
      <c r="AO9" s="13"/>
      <c r="AP9" s="13"/>
      <c r="AQ9" s="13"/>
      <c r="AR9" s="13"/>
      <c r="AS9" s="13"/>
      <c r="AT9" s="13"/>
    </row>
    <row r="10" spans="1:46" ht="15.75" customHeight="1">
      <c r="A10" s="8" t="s">
        <v>46</v>
      </c>
      <c r="B10" s="8" t="s">
        <v>47</v>
      </c>
      <c r="C10" s="8" t="s">
        <v>48</v>
      </c>
      <c r="D10" s="8" t="s">
        <v>49</v>
      </c>
      <c r="E10" s="8" t="s">
        <v>58</v>
      </c>
      <c r="F10" s="8" t="s">
        <v>65</v>
      </c>
      <c r="G10" s="14" t="s">
        <v>66</v>
      </c>
      <c r="H10" s="8" t="str">
        <f ca="1">IFERROR(__xludf.DUMMYFUNCTION("VLOOKUP(G10, IMPORTRANGE(""https://docs.google.com/spreadsheets/d/14deopnvwcrKtEGCKuYXdUHJbeLDZlkiSSWWT0g7x2pM/edit#gid=999382323"", ""LU List Maths (Filter)!A:B""), 2, FALSE)"),"Parts of an angle")</f>
        <v>Parts of an angle</v>
      </c>
      <c r="I10" s="10" t="str">
        <f t="shared" si="0"/>
        <v>LU000228.001</v>
      </c>
      <c r="J10" s="10" t="str">
        <f ca="1">IFERROR(__xludf.DUMMYFUNCTION("VLOOKUP(I10, IMPORTRANGE(""https://docs.google.com/spreadsheets/d/1yDAaXNsi4Mr5FtRQL4tbmSdIzhx6_m4wkOD7IG-k_eo/edit#gid=0"", ""Maths!M:N""), 2, FALSE)"),"Recall the definitions of lexical explanation of angles., including arms or sides, vertex, interior, and exterior of an angle.")</f>
        <v>Recall the definitions of lexical explanation of angles., including arms or sides, vertex, interior, and exterior of an angle.</v>
      </c>
      <c r="K10" s="10" t="str">
        <f t="shared" si="1"/>
        <v>LU000228.002</v>
      </c>
      <c r="L10" s="10" t="str">
        <f ca="1">IFERROR(__xludf.DUMMYFUNCTION("VLOOKUP(K10, IMPORTRANGE(""https://docs.google.com/spreadsheets/d/1yDAaXNsi4Mr5FtRQL4tbmSdIzhx6_m4wkOD7IG-k_eo/edit#gid=0"", ""Maths!M:N""), 2, FALSE)"),"Apply the knowledge of angle naming to correctly label and identify angles in given geometric figures.")</f>
        <v>Apply the knowledge of angle naming to correctly label and identify angles in given geometric figures.</v>
      </c>
      <c r="M10" s="10" t="str">
        <f t="shared" si="2"/>
        <v>LU000228.003</v>
      </c>
      <c r="N10" s="10" t="str">
        <f ca="1">IFERROR(__xludf.DUMMYFUNCTION("VLOOKUP(M10, IMPORTRANGE(""https://docs.google.com/spreadsheets/d/1yDAaXNsi4Mr5FtRQL4tbmSdIzhx6_m4wkOD7IG-k_eo/edit#gid=0"", ""Maths!M:N""), 2, FALSE)"),"Apply the knowledge of angle components to accurately label and describe the arms or sides, vertex, interior, and exterior of various angles in given geometric figures.")</f>
        <v>Apply the knowledge of angle components to accurately label and describe the arms or sides, vertex, interior, and exterior of various angles in given geometric figures.</v>
      </c>
      <c r="O10" s="10" t="str">
        <f t="shared" si="3"/>
        <v>LU000228.004</v>
      </c>
      <c r="P10" s="10" t="str">
        <f ca="1">IFERROR(__xludf.DUMMYFUNCTION("VLOOKUP(O10, IMPORTRANGE(""https://docs.google.com/spreadsheets/d/1yDAaXNsi4Mr5FtRQL4tbmSdIzhx6_m4wkOD7IG-k_eo/edit#gid=0"", ""Maths!M:N""), 2, FALSE)"),"Dissect and categorize the different components of an angle, analyzing their relationships and functions within various types of angles.")</f>
        <v>Dissect and categorize the different components of an angle, analyzing their relationships and functions within various types of angles.</v>
      </c>
      <c r="Q10" s="10" t="str">
        <f t="shared" si="4"/>
        <v>LU000228.005</v>
      </c>
      <c r="R10" s="10" t="str">
        <f ca="1">IFERROR(__xludf.DUMMYFUNCTION("VLOOKUP(Q10, IMPORTRANGE(""https://docs.google.com/spreadsheets/d/1yDAaXNsi4Mr5FtRQL4tbmSdIzhx6_m4wkOD7IG-k_eo/edit#gid=0"", ""Maths!M:N""), 2, FALSE)"),"Evaluate the significance of understanding angle components, recognizing how the arms or sides, vertex, interior, and exterior collectively contribute to angle measurement and spatial interpretation.")</f>
        <v>Evaluate the significance of understanding angle components, recognizing how the arms or sides, vertex, interior, and exterior collectively contribute to angle measurement and spatial interpretation.</v>
      </c>
      <c r="S10" s="10" t="str">
        <f t="shared" si="5"/>
        <v>LU000228.006</v>
      </c>
      <c r="T10" s="10" t="str">
        <f ca="1">IFERROR(__xludf.DUMMYFUNCTION("VLOOKUP(S10, IMPORTRANGE(""https://docs.google.com/spreadsheets/d/1yDAaXNsi4Mr5FtRQL4tbmSdIzhx6_m4wkOD7IG-k_eo/edit#gid=0"", ""Maths!M:N""), 2, FALSE)"),"Create visual representations of angles with their components, showcasing the ability to illustrate arms or sides, vertex, interior, and exterior accurately and consistently.")</f>
        <v>Create visual representations of angles with their components, showcasing the ability to illustrate arms or sides, vertex, interior, and exterior accurately and consistently.</v>
      </c>
      <c r="U10" s="11">
        <f ca="1">IFERROR(__xludf.DUMMYFUNCTION("ArrayFormula(VLOOKUP(G10, IMPORTRANGE(""https://docs.google.com/spreadsheets/d/1p7R4vtkWt5VOBim4ltsDG9KTzSjrtKXsMtQGXPHyND0/edit#gid=795171502"", ""'Filter 30_05_2024'!A1:M2000""), {2, 3, 4, 5,6,7,8,9,10,11,12,13}, 0))"),5)</f>
        <v>5</v>
      </c>
      <c r="V10" s="11">
        <f ca="1">IFERROR(__xludf.DUMMYFUNCTION("""COMPUTED_VALUE"""),5)</f>
        <v>5</v>
      </c>
      <c r="W10" s="11">
        <f ca="1">IFERROR(__xludf.DUMMYFUNCTION("""COMPUTED_VALUE"""),2)</f>
        <v>2</v>
      </c>
      <c r="X10" s="11">
        <f ca="1">IFERROR(__xludf.DUMMYFUNCTION("""COMPUTED_VALUE"""),12)</f>
        <v>12</v>
      </c>
      <c r="Y10" s="11">
        <f ca="1">IFERROR(__xludf.DUMMYFUNCTION("""COMPUTED_VALUE"""),5)</f>
        <v>5</v>
      </c>
      <c r="Z10" s="12">
        <f ca="1">IFERROR(__xludf.DUMMYFUNCTION("""COMPUTED_VALUE"""),7)</f>
        <v>7</v>
      </c>
      <c r="AA10" s="12">
        <f ca="1">IFERROR(__xludf.DUMMYFUNCTION("""COMPUTED_VALUE"""),1)</f>
        <v>1</v>
      </c>
      <c r="AB10" s="12">
        <f ca="1">IFERROR(__xludf.DUMMYFUNCTION("""COMPUTED_VALUE"""),13)</f>
        <v>13</v>
      </c>
      <c r="AC10" s="11"/>
      <c r="AD10" s="12"/>
      <c r="AE10" s="12"/>
      <c r="AF10" s="12"/>
      <c r="AG10" s="13" t="str">
        <f ca="1">IFERROR(__xludf.DUMMYFUNCTION("ArrayFormula(VLOOKUP(G10, IMPORTRANGE(""https://docs.google.com/spreadsheets/d/1Co934fvtviyaRiMsrIlT05Jaq7iiYq07aLvRr35KA48/edit?gid=173865642#gid=173865642"", ""'G6_Maths GP_Pri_LU'!G2:V2000""), {3, 4, 5, 6, 7, 8, 9, 10, 11, 12, 13, 14, 15, 16}, 0))"),"LU000014")</f>
        <v>LU000014</v>
      </c>
      <c r="AH10" s="13" t="str">
        <f ca="1">IFERROR(__xludf.DUMMYFUNCTION("""COMPUTED_VALUE"""),"Definition of an angle")</f>
        <v>Definition of an angle</v>
      </c>
      <c r="AI10" s="13" t="str">
        <f ca="1">IFERROR(__xludf.DUMMYFUNCTION("""COMPUTED_VALUE"""),"LU000223")</f>
        <v>LU000223</v>
      </c>
      <c r="AJ10" s="13" t="str">
        <f ca="1">IFERROR(__xludf.DUMMYFUNCTION("""COMPUTED_VALUE"""),"Definition of ray")</f>
        <v>Definition of ray</v>
      </c>
      <c r="AK10" s="13" t="str">
        <f ca="1">IFERROR(__xludf.DUMMYFUNCTION("""COMPUTED_VALUE"""),"LU000218")</f>
        <v>LU000218</v>
      </c>
      <c r="AL10" s="13" t="str">
        <f ca="1">IFERROR(__xludf.DUMMYFUNCTION("""COMPUTED_VALUE"""),"Definition of point")</f>
        <v>Definition of point</v>
      </c>
      <c r="AM10" s="13" t="str">
        <f ca="1">IFERROR(__xludf.DUMMYFUNCTION("""COMPUTED_VALUE"""),"LU000221")</f>
        <v>LU000221</v>
      </c>
      <c r="AN10" s="13" t="str">
        <f ca="1">IFERROR(__xludf.DUMMYFUNCTION("""COMPUTED_VALUE"""),"Definition and identification of intersecting lines")</f>
        <v>Definition and identification of intersecting lines</v>
      </c>
      <c r="AO10" s="13" t="str">
        <f ca="1">IFERROR(__xludf.DUMMYFUNCTION("""COMPUTED_VALUE"""),"LU000219")</f>
        <v>LU000219</v>
      </c>
      <c r="AP10" s="13" t="str">
        <f ca="1">IFERROR(__xludf.DUMMYFUNCTION("""COMPUTED_VALUE"""),"Definition of line segment")</f>
        <v>Definition of line segment</v>
      </c>
      <c r="AQ10" s="13"/>
      <c r="AR10" s="13"/>
      <c r="AS10" s="13"/>
      <c r="AT10" s="13"/>
    </row>
    <row r="11" spans="1:46" ht="15.75" customHeight="1">
      <c r="A11" s="8" t="s">
        <v>46</v>
      </c>
      <c r="B11" s="8" t="s">
        <v>47</v>
      </c>
      <c r="C11" s="8" t="s">
        <v>48</v>
      </c>
      <c r="D11" s="8" t="s">
        <v>49</v>
      </c>
      <c r="E11" s="8" t="s">
        <v>58</v>
      </c>
      <c r="F11" s="8" t="s">
        <v>65</v>
      </c>
      <c r="G11" s="15" t="s">
        <v>67</v>
      </c>
      <c r="H11" s="8" t="str">
        <f ca="1">IFERROR(__xludf.DUMMYFUNCTION("VLOOKUP(G11, IMPORTRANGE(""https://docs.google.com/spreadsheets/d/14deopnvwcrKtEGCKuYXdUHJbeLDZlkiSSWWT0g7x2pM/edit#gid=999382323"", ""LU List Maths (Filter)!A:B""), 2, FALSE)"),"Comparision of angles")</f>
        <v>Comparision of angles</v>
      </c>
      <c r="I11" s="10" t="str">
        <f t="shared" si="0"/>
        <v>LU001348.001</v>
      </c>
      <c r="J11" s="10" t="str">
        <f ca="1">IFERROR(__xludf.DUMMYFUNCTION("VLOOKUP(I11, IMPORTRANGE(""https://docs.google.com/spreadsheets/d/1yDAaXNsi4Mr5FtRQL4tbmSdIzhx6_m4wkOD7IG-k_eo/edit#gid=0"", ""Maths!M:N""), 2, FALSE)"),"Recall the basic methods of comparing angles using superimposition and without superimposition.")</f>
        <v>Recall the basic methods of comparing angles using superimposition and without superimposition.</v>
      </c>
      <c r="K11" s="10" t="str">
        <f t="shared" si="1"/>
        <v>LU001348.002</v>
      </c>
      <c r="L11" s="10" t="str">
        <f ca="1">IFERROR(__xludf.DUMMYFUNCTION("VLOOKUP(K11, IMPORTRANGE(""https://docs.google.com/spreadsheets/d/1yDAaXNsi4Mr5FtRQL4tbmSdIzhx6_m4wkOD7IG-k_eo/edit#gid=0"", ""Maths!M:N""), 2, FALSE)"),"Describe how superimposition and non-superimposition methods are used to compare the sizes of angles.")</f>
        <v>Describe how superimposition and non-superimposition methods are used to compare the sizes of angles.</v>
      </c>
      <c r="M11" s="10" t="str">
        <f t="shared" si="2"/>
        <v>LU001348.003</v>
      </c>
      <c r="N11" s="10" t="str">
        <f ca="1">IFERROR(__xludf.DUMMYFUNCTION("VLOOKUP(M11, IMPORTRANGE(""https://docs.google.com/spreadsheets/d/1yDAaXNsi4Mr5FtRQL4tbmSdIzhx6_m4wkOD7IG-k_eo/edit#gid=0"", ""Maths!M:N""), 2, FALSE)"),"Using superimposition and non-superimposition techniques to determine the larger/smaller of two given angles.")</f>
        <v>Using superimposition and non-superimposition techniques to determine the larger/smaller of two given angles.</v>
      </c>
      <c r="O11" s="10" t="str">
        <f t="shared" si="3"/>
        <v>LU001348.004</v>
      </c>
      <c r="P11" s="10" t="str">
        <f ca="1">IFERROR(__xludf.DUMMYFUNCTION("VLOOKUP(O11, IMPORTRANGE(""https://docs.google.com/spreadsheets/d/1yDAaXNsi4Mr5FtRQL4tbmSdIzhx6_m4wkOD7IG-k_eo/edit#gid=0"", ""Maths!M:N""), 2, FALSE)"),"Compare and contrast the effectiveness of superimposition versus non-superimposition methods for angle comparison.")</f>
        <v>Compare and contrast the effectiveness of superimposition versus non-superimposition methods for angle comparison.</v>
      </c>
      <c r="Q11" s="10" t="str">
        <f t="shared" si="4"/>
        <v>LU001348.005</v>
      </c>
      <c r="R11" s="10" t="str">
        <f ca="1">IFERROR(__xludf.DUMMYFUNCTION("VLOOKUP(Q11, IMPORTRANGE(""https://docs.google.com/spreadsheets/d/1yDAaXNsi4Mr5FtRQL4tbmSdIzhx6_m4wkOD7IG-k_eo/edit#gid=0"", ""Maths!M:N""), 2, FALSE)"),"Judge the accuracy of angle comparison results obtained by superimposition against those obtained without it.")</f>
        <v>Judge the accuracy of angle comparison results obtained by superimposition against those obtained without it.</v>
      </c>
      <c r="S11" s="10" t="str">
        <f t="shared" si="5"/>
        <v>LU001348.006</v>
      </c>
      <c r="T11" s="10" t="str">
        <f ca="1">IFERROR(__xludf.DUMMYFUNCTION("VLOOKUP(S11, IMPORTRANGE(""https://docs.google.com/spreadsheets/d/1yDAaXNsi4Mr5FtRQL4tbmSdIzhx6_m4wkOD7IG-k_eo/edit#gid=0"", ""Maths!M:N""), 2, FALSE)"),"Develop a step-by-step guide for comparing angles using both superimposition and non-superimposition methods, suitable for classroom use.")</f>
        <v>Develop a step-by-step guide for comparing angles using both superimposition and non-superimposition methods, suitable for classroom use.</v>
      </c>
      <c r="U11" s="11">
        <f ca="1">IFERROR(__xludf.DUMMYFUNCTION("ArrayFormula(VLOOKUP(G11, IMPORTRANGE(""https://docs.google.com/spreadsheets/d/1p7R4vtkWt5VOBim4ltsDG9KTzSjrtKXsMtQGXPHyND0/edit#gid=795171502"", ""'Filter 30_05_2024'!A1:M2000""), {2, 3, 4, 5,6,7,8,9,10,11,12,13}, 0))"),4)</f>
        <v>4</v>
      </c>
      <c r="V11" s="11">
        <f ca="1">IFERROR(__xludf.DUMMYFUNCTION("""COMPUTED_VALUE"""),6)</f>
        <v>6</v>
      </c>
      <c r="W11" s="11">
        <f ca="1">IFERROR(__xludf.DUMMYFUNCTION("""COMPUTED_VALUE"""),2)</f>
        <v>2</v>
      </c>
      <c r="X11" s="11">
        <f ca="1">IFERROR(__xludf.DUMMYFUNCTION("""COMPUTED_VALUE"""),12)</f>
        <v>12</v>
      </c>
      <c r="Y11" s="11">
        <f ca="1">IFERROR(__xludf.DUMMYFUNCTION("""COMPUTED_VALUE"""),4)</f>
        <v>4</v>
      </c>
      <c r="Z11" s="12">
        <f ca="1">IFERROR(__xludf.DUMMYFUNCTION("""COMPUTED_VALUE"""),3)</f>
        <v>3</v>
      </c>
      <c r="AA11" s="12">
        <f ca="1">IFERROR(__xludf.DUMMYFUNCTION("""COMPUTED_VALUE"""),1)</f>
        <v>1</v>
      </c>
      <c r="AB11" s="12">
        <f ca="1">IFERROR(__xludf.DUMMYFUNCTION("""COMPUTED_VALUE"""),8)</f>
        <v>8</v>
      </c>
      <c r="AC11" s="11"/>
      <c r="AD11" s="12"/>
      <c r="AE11" s="12"/>
      <c r="AF11" s="12"/>
      <c r="AG11" s="13" t="str">
        <f ca="1">IFERROR(__xludf.DUMMYFUNCTION("ArrayFormula(VLOOKUP(G11, IMPORTRANGE(""https://docs.google.com/spreadsheets/d/1Co934fvtviyaRiMsrIlT05Jaq7iiYq07aLvRr35KA48/edit?gid=173865642#gid=173865642"", ""'G6_Maths GP_Pri_LU'!G2:V2000""), {3, 4, 5, 6, 7, 8, 9, 10, 11, 12, 13, 14, 15, 16}, 0))"),"LU000228")</f>
        <v>LU000228</v>
      </c>
      <c r="AH11" s="13" t="str">
        <f ca="1">IFERROR(__xludf.DUMMYFUNCTION("""COMPUTED_VALUE"""),"Parts of an angle")</f>
        <v>Parts of an angle</v>
      </c>
      <c r="AI11" s="13" t="str">
        <f ca="1">IFERROR(__xludf.DUMMYFUNCTION("""COMPUTED_VALUE"""),"LU000014")</f>
        <v>LU000014</v>
      </c>
      <c r="AJ11" s="13" t="str">
        <f ca="1">IFERROR(__xludf.DUMMYFUNCTION("""COMPUTED_VALUE"""),"Definition of an angle")</f>
        <v>Definition of an angle</v>
      </c>
      <c r="AK11" s="13" t="str">
        <f ca="1">IFERROR(__xludf.DUMMYFUNCTION("""COMPUTED_VALUE"""),"LU000223")</f>
        <v>LU000223</v>
      </c>
      <c r="AL11" s="13" t="str">
        <f ca="1">IFERROR(__xludf.DUMMYFUNCTION("""COMPUTED_VALUE"""),"Definition of ray")</f>
        <v>Definition of ray</v>
      </c>
      <c r="AM11" s="13" t="str">
        <f ca="1">IFERROR(__xludf.DUMMYFUNCTION("""COMPUTED_VALUE"""),"LU000218")</f>
        <v>LU000218</v>
      </c>
      <c r="AN11" s="13" t="str">
        <f ca="1">IFERROR(__xludf.DUMMYFUNCTION("""COMPUTED_VALUE"""),"Definition of point")</f>
        <v>Definition of point</v>
      </c>
      <c r="AO11" s="13"/>
      <c r="AP11" s="13"/>
      <c r="AQ11" s="13"/>
      <c r="AR11" s="13"/>
      <c r="AS11" s="13"/>
      <c r="AT11" s="13"/>
    </row>
    <row r="12" spans="1:46" ht="15.75" customHeight="1">
      <c r="A12" s="8" t="s">
        <v>46</v>
      </c>
      <c r="B12" s="8" t="s">
        <v>47</v>
      </c>
      <c r="C12" s="8" t="s">
        <v>48</v>
      </c>
      <c r="D12" s="8" t="s">
        <v>49</v>
      </c>
      <c r="E12" s="8" t="s">
        <v>58</v>
      </c>
      <c r="F12" s="8" t="s">
        <v>68</v>
      </c>
      <c r="G12" s="15" t="s">
        <v>69</v>
      </c>
      <c r="H12" s="8" t="str">
        <f ca="1">IFERROR(__xludf.DUMMYFUNCTION("VLOOKUP(G12, IMPORTRANGE(""https://docs.google.com/spreadsheets/d/14deopnvwcrKtEGCKuYXdUHJbeLDZlkiSSWWT0g7x2pM/edit#gid=999382323"", ""LU List Maths (Filter)!A:B""), 2, FALSE)"),"Definition of a right angle")</f>
        <v>Definition of a right angle</v>
      </c>
      <c r="I12" s="10" t="str">
        <f t="shared" si="0"/>
        <v>LU000017.001</v>
      </c>
      <c r="J12" s="10" t="str">
        <f ca="1">IFERROR(__xludf.DUMMYFUNCTION("VLOOKUP(I12, IMPORTRANGE(""https://docs.google.com/spreadsheets/d/1yDAaXNsi4Mr5FtRQL4tbmSdIzhx6_m4wkOD7IG-k_eo/edit#gid=0"", ""Maths!M:N""), 2, FALSE)"),"State that a right angle is an angle that measures exactly 90 degrees.")</f>
        <v>State that a right angle is an angle that measures exactly 90 degrees.</v>
      </c>
      <c r="K12" s="10" t="str">
        <f t="shared" si="1"/>
        <v>LU000017.002</v>
      </c>
      <c r="L12" s="10" t="str">
        <f ca="1">IFERROR(__xludf.DUMMYFUNCTION("VLOOKUP(K12, IMPORTRANGE(""https://docs.google.com/spreadsheets/d/1yDAaXNsi4Mr5FtRQL4tbmSdIzhx6_m4wkOD7IG-k_eo/edit#gid=0"", ""Maths!M:N""), 2, FALSE)"),"Explain what makes an angle a right angle, emphasizing its measurement of 90 degrees.")</f>
        <v>Explain what makes an angle a right angle, emphasizing its measurement of 90 degrees.</v>
      </c>
      <c r="M12" s="10" t="str">
        <f t="shared" si="2"/>
        <v>LU000017.003</v>
      </c>
      <c r="N12" s="10" t="str">
        <f ca="1">IFERROR(__xludf.DUMMYFUNCTION("VLOOKUP(M12, IMPORTRANGE(""https://docs.google.com/spreadsheets/d/1yDAaXNsi4Mr5FtRQL4tbmSdIzhx6_m4wkOD7IG-k_eo/edit#gid=0"", ""Maths!M:N""), 2, FALSE)"),"Use a protractor or angle measuring tool to identify and draw right angles accurately in geometric figures.")</f>
        <v>Use a protractor or angle measuring tool to identify and draw right angles accurately in geometric figures.</v>
      </c>
      <c r="O12" s="10" t="str">
        <f t="shared" si="3"/>
        <v>LU000017.004</v>
      </c>
      <c r="P12" s="10" t="str">
        <f ca="1">IFERROR(__xludf.DUMMYFUNCTION("VLOOKUP(O12, IMPORTRANGE(""https://docs.google.com/spreadsheets/d/1yDAaXNsi4Mr5FtRQL4tbmSdIzhx6_m4wkOD7IG-k_eo/edit#gid=0"", ""Maths!M:N""), 2, FALSE)"),"Examine various shapes and objects in your surroundings to identify instances of right angles.")</f>
        <v>Examine various shapes and objects in your surroundings to identify instances of right angles.</v>
      </c>
      <c r="Q12" s="10" t="str">
        <f t="shared" si="4"/>
        <v>LU000017.005</v>
      </c>
      <c r="R12" s="10" t="str">
        <f ca="1">IFERROR(__xludf.DUMMYFUNCTION("VLOOKUP(Q12, IMPORTRANGE(""https://docs.google.com/spreadsheets/d/1yDAaXNsi4Mr5FtRQL4tbmSdIzhx6_m4wkOD7IG-k_eo/edit#gid=0"", ""Maths!M:N""), 2, FALSE)"),"Assess the significance of right angles in everyday life")</f>
        <v>Assess the significance of right angles in everyday life</v>
      </c>
      <c r="S12" s="10" t="str">
        <f t="shared" si="5"/>
        <v>LU000017.006</v>
      </c>
      <c r="T12" s="10" t="str">
        <f ca="1">IFERROR(__xludf.DUMMYFUNCTION("VLOOKUP(S12, IMPORTRANGE(""https://docs.google.com/spreadsheets/d/1yDAaXNsi4Mr5FtRQL4tbmSdIzhx6_m4wkOD7IG-k_eo/edit#gid=0"", ""Maths!M:N""), 2, FALSE)"),"Create your own illustrations or diagrams that include right angles, demonstrating a clear understanding of their properties")</f>
        <v>Create your own illustrations or diagrams that include right angles, demonstrating a clear understanding of their properties</v>
      </c>
      <c r="U12" s="11">
        <f ca="1">IFERROR(__xludf.DUMMYFUNCTION("ArrayFormula(VLOOKUP(G12, IMPORTRANGE(""https://docs.google.com/spreadsheets/d/1p7R4vtkWt5VOBim4ltsDG9KTzSjrtKXsMtQGXPHyND0/edit#gid=795171502"", ""'Filter 30_05_2024'!A1:M2000""), {2, 3, 4, 5,6,7,8,9,10,11,12,13}, 0))"),5)</f>
        <v>5</v>
      </c>
      <c r="V12" s="11">
        <f ca="1">IFERROR(__xludf.DUMMYFUNCTION("""COMPUTED_VALUE"""),6)</f>
        <v>6</v>
      </c>
      <c r="W12" s="11">
        <f ca="1">IFERROR(__xludf.DUMMYFUNCTION("""COMPUTED_VALUE"""),7)</f>
        <v>7</v>
      </c>
      <c r="X12" s="11">
        <f ca="1">IFERROR(__xludf.DUMMYFUNCTION("""COMPUTED_VALUE"""),18)</f>
        <v>18</v>
      </c>
      <c r="Y12" s="11">
        <f ca="1">IFERROR(__xludf.DUMMYFUNCTION("""COMPUTED_VALUE"""),6)</f>
        <v>6</v>
      </c>
      <c r="Z12" s="12">
        <f ca="1">IFERROR(__xludf.DUMMYFUNCTION("""COMPUTED_VALUE"""),4)</f>
        <v>4</v>
      </c>
      <c r="AA12" s="12">
        <f ca="1">IFERROR(__xludf.DUMMYFUNCTION("""COMPUTED_VALUE"""),4)</f>
        <v>4</v>
      </c>
      <c r="AB12" s="12">
        <f ca="1">IFERROR(__xludf.DUMMYFUNCTION("""COMPUTED_VALUE"""),14)</f>
        <v>14</v>
      </c>
      <c r="AC12" s="11"/>
      <c r="AD12" s="12"/>
      <c r="AE12" s="12"/>
      <c r="AF12" s="12"/>
      <c r="AG12" s="13" t="str">
        <f ca="1">IFERROR(__xludf.DUMMYFUNCTION("ArrayFormula(VLOOKUP(G12, IMPORTRANGE(""https://docs.google.com/spreadsheets/d/1Co934fvtviyaRiMsrIlT05Jaq7iiYq07aLvRr35KA48/edit?gid=173865642#gid=173865642"", ""'G6_Maths GP_Pri_LU'!G2:V2000""), {3, 4, 5, 6, 7, 8, 9, 10, 11, 12, 13, 14, 15, 16}, 0))"),"LU000014")</f>
        <v>LU000014</v>
      </c>
      <c r="AH12" s="13" t="str">
        <f ca="1">IFERROR(__xludf.DUMMYFUNCTION("""COMPUTED_VALUE"""),"Definition of an angle")</f>
        <v>Definition of an angle</v>
      </c>
      <c r="AI12" s="13"/>
      <c r="AJ12" s="13"/>
      <c r="AK12" s="13"/>
      <c r="AL12" s="13"/>
      <c r="AM12" s="13"/>
      <c r="AN12" s="13"/>
      <c r="AO12" s="13"/>
      <c r="AP12" s="13"/>
      <c r="AQ12" s="13"/>
      <c r="AR12" s="13"/>
      <c r="AS12" s="13"/>
      <c r="AT12" s="13"/>
    </row>
    <row r="13" spans="1:46" ht="15.75" customHeight="1">
      <c r="A13" s="8" t="s">
        <v>46</v>
      </c>
      <c r="B13" s="8" t="s">
        <v>47</v>
      </c>
      <c r="C13" s="8" t="s">
        <v>48</v>
      </c>
      <c r="D13" s="8" t="s">
        <v>49</v>
      </c>
      <c r="E13" s="8" t="s">
        <v>58</v>
      </c>
      <c r="F13" s="8" t="s">
        <v>68</v>
      </c>
      <c r="G13" s="16" t="s">
        <v>70</v>
      </c>
      <c r="H13" s="8" t="str">
        <f ca="1">IFERROR(__xludf.DUMMYFUNCTION("VLOOKUP(G13, IMPORTRANGE(""https://docs.google.com/spreadsheets/d/14deopnvwcrKtEGCKuYXdUHJbeLDZlkiSSWWT0g7x2pM/edit#gid=999382323"", ""LU List Maths (Filter)!A:B""), 2, FALSE)"),"Definition of a straight angle")</f>
        <v>Definition of a straight angle</v>
      </c>
      <c r="I13" s="10" t="str">
        <f t="shared" si="0"/>
        <v>LU000259.001</v>
      </c>
      <c r="J13" s="10" t="str">
        <f ca="1">IFERROR(__xludf.DUMMYFUNCTION("VLOOKUP(I13, IMPORTRANGE(""https://docs.google.com/spreadsheets/d/1yDAaXNsi4Mr5FtRQL4tbmSdIzhx6_m4wkOD7IG-k_eo/edit#gid=0"", ""Maths!M:N""), 2, FALSE)"),"Define a straight angle.")</f>
        <v>Define a straight angle.</v>
      </c>
      <c r="K13" s="10" t="str">
        <f t="shared" si="1"/>
        <v>LU000259.002</v>
      </c>
      <c r="L13" s="10" t="str">
        <f ca="1">IFERROR(__xludf.DUMMYFUNCTION("VLOOKUP(K13, IMPORTRANGE(""https://docs.google.com/spreadsheets/d/1yDAaXNsi4Mr5FtRQL4tbmSdIzhx6_m4wkOD7IG-k_eo/edit#gid=0"", ""Maths!M:N""), 2, FALSE)"),"Explain the concept of a straight angle in your own words, including its relation to right angles.")</f>
        <v>Explain the concept of a straight angle in your own words, including its relation to right angles.</v>
      </c>
      <c r="M13" s="10" t="str">
        <f t="shared" si="2"/>
        <v>LU000259.003</v>
      </c>
      <c r="N13" s="10" t="str">
        <f ca="1">IFERROR(__xludf.DUMMYFUNCTION("VLOOKUP(M13, IMPORTRANGE(""https://docs.google.com/spreadsheets/d/1yDAaXNsi4Mr5FtRQL4tbmSdIzhx6_m4wkOD7IG-k_eo/edit#gid=0"", ""Maths!M:N""), 2, FALSE)"),"Identify straight angles in a geometric figure and calculate the measures of any unknown angles connected to them")</f>
        <v>Identify straight angles in a geometric figure and calculate the measures of any unknown angles connected to them</v>
      </c>
      <c r="O13" s="10" t="str">
        <f t="shared" si="3"/>
        <v>LU000259.004</v>
      </c>
      <c r="P13" s="10" t="str">
        <f ca="1">IFERROR(__xludf.DUMMYFUNCTION("VLOOKUP(O13, IMPORTRANGE(""https://docs.google.com/spreadsheets/d/1yDAaXNsi4Mr5FtRQL4tbmSdIzhx6_m4wkOD7IG-k_eo/edit#gid=0"", ""Maths!M:N""), 2, FALSE)"),"Analyse different types of angles, including straight angles, and compare their properties.")</f>
        <v>Analyse different types of angles, including straight angles, and compare their properties.</v>
      </c>
      <c r="Q13" s="10" t="str">
        <f t="shared" si="4"/>
        <v>LU000259.005</v>
      </c>
      <c r="R13" s="10" t="str">
        <f ca="1">IFERROR(__xludf.DUMMYFUNCTION("VLOOKUP(Q13, IMPORTRANGE(""https://docs.google.com/spreadsheets/d/1yDAaXNsi4Mr5FtRQL4tbmSdIzhx6_m4wkOD7IG-k_eo/edit#gid=0"", ""Maths!M:N""), 2, FALSE)"),"Critique the importance of understanding straight angle angles in geometry and its relevance to solving practical problems.")</f>
        <v>Critique the importance of understanding straight angle angles in geometry and its relevance to solving practical problems.</v>
      </c>
      <c r="S13" s="10" t="str">
        <f t="shared" si="5"/>
        <v>LU000259.006</v>
      </c>
      <c r="T13" s="10" t="str">
        <f ca="1">IFERROR(__xludf.DUMMYFUNCTION("VLOOKUP(S13, IMPORTRANGE(""https://docs.google.com/spreadsheets/d/1yDAaXNsi4Mr5FtRQL4tbmSdIzhx6_m4wkOD7IG-k_eo/edit#gid=0"", ""Maths!M:N""), 2, FALSE)"),"Create diagrams showcasing examples of a straight angle.")</f>
        <v>Create diagrams showcasing examples of a straight angle.</v>
      </c>
      <c r="U13" s="11">
        <f ca="1">IFERROR(__xludf.DUMMYFUNCTION("ArrayFormula(VLOOKUP(G13, IMPORTRANGE(""https://docs.google.com/spreadsheets/d/1p7R4vtkWt5VOBim4ltsDG9KTzSjrtKXsMtQGXPHyND0/edit#gid=795171502"", ""'Filter 30_05_2024'!A1:M2000""), {2, 3, 4, 5,6,7,8,9,10,11,12,13}, 0))"),4)</f>
        <v>4</v>
      </c>
      <c r="V13" s="11">
        <f ca="1">IFERROR(__xludf.DUMMYFUNCTION("""COMPUTED_VALUE"""),3)</f>
        <v>3</v>
      </c>
      <c r="W13" s="11">
        <f ca="1">IFERROR(__xludf.DUMMYFUNCTION("""COMPUTED_VALUE"""),2)</f>
        <v>2</v>
      </c>
      <c r="X13" s="11">
        <f ca="1">IFERROR(__xludf.DUMMYFUNCTION("""COMPUTED_VALUE"""),9)</f>
        <v>9</v>
      </c>
      <c r="Y13" s="11">
        <f ca="1">IFERROR(__xludf.DUMMYFUNCTION("""COMPUTED_VALUE"""),4)</f>
        <v>4</v>
      </c>
      <c r="Z13" s="12">
        <f ca="1">IFERROR(__xludf.DUMMYFUNCTION("""COMPUTED_VALUE"""),2)</f>
        <v>2</v>
      </c>
      <c r="AA13" s="12">
        <f ca="1">IFERROR(__xludf.DUMMYFUNCTION("""COMPUTED_VALUE"""),1)</f>
        <v>1</v>
      </c>
      <c r="AB13" s="12">
        <f ca="1">IFERROR(__xludf.DUMMYFUNCTION("""COMPUTED_VALUE"""),7)</f>
        <v>7</v>
      </c>
      <c r="AC13" s="11"/>
      <c r="AD13" s="12"/>
      <c r="AE13" s="12"/>
      <c r="AF13" s="12"/>
      <c r="AG13" s="13" t="str">
        <f ca="1">IFERROR(__xludf.DUMMYFUNCTION("ArrayFormula(VLOOKUP(G13, IMPORTRANGE(""https://docs.google.com/spreadsheets/d/1Co934fvtviyaRiMsrIlT05Jaq7iiYq07aLvRr35KA48/edit?gid=173865642#gid=173865642"", ""'G6_Maths GP_Pri_LU'!G2:V2000""), {3, 4, 5, 6, 7, 8, 9, 10, 11, 12, 13, 14, 15, 16}, 0))"),"LU000017")</f>
        <v>LU000017</v>
      </c>
      <c r="AH13" s="13" t="str">
        <f ca="1">IFERROR(__xludf.DUMMYFUNCTION("""COMPUTED_VALUE"""),"Definition of a right angle")</f>
        <v>Definition of a right angle</v>
      </c>
      <c r="AI13" s="13" t="str">
        <f ca="1">IFERROR(__xludf.DUMMYFUNCTION("""COMPUTED_VALUE"""),"LU000228")</f>
        <v>LU000228</v>
      </c>
      <c r="AJ13" s="13" t="str">
        <f ca="1">IFERROR(__xludf.DUMMYFUNCTION("""COMPUTED_VALUE"""),"Parts of an angle")</f>
        <v>Parts of an angle</v>
      </c>
      <c r="AK13" s="13" t="str">
        <f ca="1">IFERROR(__xludf.DUMMYFUNCTION("""COMPUTED_VALUE"""),"LU000014")</f>
        <v>LU000014</v>
      </c>
      <c r="AL13" s="13" t="str">
        <f ca="1">IFERROR(__xludf.DUMMYFUNCTION("""COMPUTED_VALUE"""),"Definition of an angle")</f>
        <v>Definition of an angle</v>
      </c>
      <c r="AM13" s="13"/>
      <c r="AN13" s="13"/>
      <c r="AO13" s="13"/>
      <c r="AP13" s="13"/>
      <c r="AQ13" s="13"/>
      <c r="AR13" s="13"/>
      <c r="AS13" s="13"/>
      <c r="AT13" s="13"/>
    </row>
    <row r="14" spans="1:46" ht="15.75" customHeight="1">
      <c r="A14" s="8" t="s">
        <v>46</v>
      </c>
      <c r="B14" s="8" t="s">
        <v>47</v>
      </c>
      <c r="C14" s="8" t="s">
        <v>48</v>
      </c>
      <c r="D14" s="8" t="s">
        <v>49</v>
      </c>
      <c r="E14" s="8" t="s">
        <v>58</v>
      </c>
      <c r="F14" s="8" t="s">
        <v>68</v>
      </c>
      <c r="G14" s="16" t="s">
        <v>71</v>
      </c>
      <c r="H14" s="8" t="str">
        <f ca="1">IFERROR(__xludf.DUMMYFUNCTION("VLOOKUP(G14, IMPORTRANGE(""https://docs.google.com/spreadsheets/d/14deopnvwcrKtEGCKuYXdUHJbeLDZlkiSSWWT0g7x2pM/edit#gid=999382323"", ""LU List Maths (Filter)!A:B""), 2, FALSE)"),"Definition of a complete angle")</f>
        <v>Definition of a complete angle</v>
      </c>
      <c r="I14" s="10" t="str">
        <f t="shared" si="0"/>
        <v>LU000260.001</v>
      </c>
      <c r="J14" s="10" t="str">
        <f ca="1">IFERROR(__xludf.DUMMYFUNCTION("VLOOKUP(I14, IMPORTRANGE(""https://docs.google.com/spreadsheets/d/1yDAaXNsi4Mr5FtRQL4tbmSdIzhx6_m4wkOD7IG-k_eo/edit#gid=0"", ""Maths!M:N""), 2, FALSE)"),"Define a complete angle.")</f>
        <v>Define a complete angle.</v>
      </c>
      <c r="K14" s="10" t="str">
        <f t="shared" si="1"/>
        <v>LU000260.002</v>
      </c>
      <c r="L14" s="10" t="str">
        <f ca="1">IFERROR(__xludf.DUMMYFUNCTION("VLOOKUP(K14, IMPORTRANGE(""https://docs.google.com/spreadsheets/d/1yDAaXNsi4Mr5FtRQL4tbmSdIzhx6_m4wkOD7IG-k_eo/edit#gid=0"", ""Maths!M:N""), 2, FALSE)"),"Explain the concept of a complete angle in your own words, including its relation to right angles.")</f>
        <v>Explain the concept of a complete angle in your own words, including its relation to right angles.</v>
      </c>
      <c r="M14" s="10" t="str">
        <f t="shared" si="2"/>
        <v>LU000260.003</v>
      </c>
      <c r="N14" s="10" t="str">
        <f ca="1">IFERROR(__xludf.DUMMYFUNCTION("VLOOKUP(M14, IMPORTRANGE(""https://docs.google.com/spreadsheets/d/1yDAaXNsi4Mr5FtRQL4tbmSdIzhx6_m4wkOD7IG-k_eo/edit#gid=0"", ""Maths!M:N""), 2, FALSE)"),"Given a geometric figure, identify and classify complete angles within it.")</f>
        <v>Given a geometric figure, identify and classify complete angles within it.</v>
      </c>
      <c r="O14" s="10" t="str">
        <f t="shared" si="3"/>
        <v>LU000260.004</v>
      </c>
      <c r="P14" s="10" t="str">
        <f ca="1">IFERROR(__xludf.DUMMYFUNCTION("VLOOKUP(O14, IMPORTRANGE(""https://docs.google.com/spreadsheets/d/1yDAaXNsi4Mr5FtRQL4tbmSdIzhx6_m4wkOD7IG-k_eo/edit#gid=0"", ""Maths!M:N""), 2, FALSE)"),"Analyse different types of angles, including complete angles, and compare their properties.")</f>
        <v>Analyse different types of angles, including complete angles, and compare their properties.</v>
      </c>
      <c r="Q14" s="10" t="str">
        <f t="shared" si="4"/>
        <v>LU000260.005</v>
      </c>
      <c r="R14" s="10" t="str">
        <f ca="1">IFERROR(__xludf.DUMMYFUNCTION("VLOOKUP(Q14, IMPORTRANGE(""https://docs.google.com/spreadsheets/d/1yDAaXNsi4Mr5FtRQL4tbmSdIzhx6_m4wkOD7IG-k_eo/edit#gid=0"", ""Maths!M:N""), 2, FALSE)"),"Critique the importance of understanding complete angle angles in geometry and its relevance to solving practical problems.")</f>
        <v>Critique the importance of understanding complete angle angles in geometry and its relevance to solving practical problems.</v>
      </c>
      <c r="S14" s="10" t="str">
        <f t="shared" si="5"/>
        <v>LU000260.006</v>
      </c>
      <c r="T14" s="10" t="str">
        <f ca="1">IFERROR(__xludf.DUMMYFUNCTION("VLOOKUP(S14, IMPORTRANGE(""https://docs.google.com/spreadsheets/d/1yDAaXNsi4Mr5FtRQL4tbmSdIzhx6_m4wkOD7IG-k_eo/edit#gid=0"", ""Maths!M:N""), 2, FALSE)"),"Create diagrams showcasing examples of a complete angle.")</f>
        <v>Create diagrams showcasing examples of a complete angle.</v>
      </c>
      <c r="U14" s="11">
        <f ca="1">IFERROR(__xludf.DUMMYFUNCTION("ArrayFormula(VLOOKUP(G14, IMPORTRANGE(""https://docs.google.com/spreadsheets/d/1p7R4vtkWt5VOBim4ltsDG9KTzSjrtKXsMtQGXPHyND0/edit#gid=795171502"", ""'Filter 30_05_2024'!A1:M2000""), {2, 3, 4, 5,6,7,8,9,10,11,12,13}, 0))"),4)</f>
        <v>4</v>
      </c>
      <c r="V14" s="11">
        <f ca="1">IFERROR(__xludf.DUMMYFUNCTION("""COMPUTED_VALUE"""),6)</f>
        <v>6</v>
      </c>
      <c r="W14" s="11">
        <f ca="1">IFERROR(__xludf.DUMMYFUNCTION("""COMPUTED_VALUE"""),2)</f>
        <v>2</v>
      </c>
      <c r="X14" s="11">
        <f ca="1">IFERROR(__xludf.DUMMYFUNCTION("""COMPUTED_VALUE"""),12)</f>
        <v>12</v>
      </c>
      <c r="Y14" s="11">
        <f ca="1">IFERROR(__xludf.DUMMYFUNCTION("""COMPUTED_VALUE"""),4)</f>
        <v>4</v>
      </c>
      <c r="Z14" s="12">
        <f ca="1">IFERROR(__xludf.DUMMYFUNCTION("""COMPUTED_VALUE"""),3)</f>
        <v>3</v>
      </c>
      <c r="AA14" s="12">
        <f ca="1">IFERROR(__xludf.DUMMYFUNCTION("""COMPUTED_VALUE"""),1)</f>
        <v>1</v>
      </c>
      <c r="AB14" s="12">
        <f ca="1">IFERROR(__xludf.DUMMYFUNCTION("""COMPUTED_VALUE"""),8)</f>
        <v>8</v>
      </c>
      <c r="AC14" s="11"/>
      <c r="AD14" s="12"/>
      <c r="AE14" s="12"/>
      <c r="AF14" s="12"/>
      <c r="AG14" s="13" t="str">
        <f ca="1">IFERROR(__xludf.DUMMYFUNCTION("ArrayFormula(VLOOKUP(G14, IMPORTRANGE(""https://docs.google.com/spreadsheets/d/1Co934fvtviyaRiMsrIlT05Jaq7iiYq07aLvRr35KA48/edit?gid=173865642#gid=173865642"", ""'G6_Maths GP_Pri_LU'!G2:V2000""), {3, 4, 5, 6, 7, 8, 9, 10, 11, 12, 13, 14, 15, 16}, 0))"),"LU000017")</f>
        <v>LU000017</v>
      </c>
      <c r="AH14" s="13" t="str">
        <f ca="1">IFERROR(__xludf.DUMMYFUNCTION("""COMPUTED_VALUE"""),"Definition of a right angle")</f>
        <v>Definition of a right angle</v>
      </c>
      <c r="AI14" s="13" t="str">
        <f ca="1">IFERROR(__xludf.DUMMYFUNCTION("""COMPUTED_VALUE"""),"LU000259")</f>
        <v>LU000259</v>
      </c>
      <c r="AJ14" s="13" t="str">
        <f ca="1">IFERROR(__xludf.DUMMYFUNCTION("""COMPUTED_VALUE"""),"Definition of a straight angle")</f>
        <v>Definition of a straight angle</v>
      </c>
      <c r="AK14" s="13" t="str">
        <f ca="1">IFERROR(__xludf.DUMMYFUNCTION("""COMPUTED_VALUE"""),"LU000228")</f>
        <v>LU000228</v>
      </c>
      <c r="AL14" s="13" t="str">
        <f ca="1">IFERROR(__xludf.DUMMYFUNCTION("""COMPUTED_VALUE"""),"Parts of an angle")</f>
        <v>Parts of an angle</v>
      </c>
      <c r="AM14" s="13" t="str">
        <f ca="1">IFERROR(__xludf.DUMMYFUNCTION("""COMPUTED_VALUE"""),"LU000014")</f>
        <v>LU000014</v>
      </c>
      <c r="AN14" s="13" t="str">
        <f ca="1">IFERROR(__xludf.DUMMYFUNCTION("""COMPUTED_VALUE"""),"Definition of an angle")</f>
        <v>Definition of an angle</v>
      </c>
      <c r="AO14" s="13"/>
      <c r="AP14" s="13"/>
      <c r="AQ14" s="13"/>
      <c r="AR14" s="13"/>
      <c r="AS14" s="13"/>
      <c r="AT14" s="13"/>
    </row>
    <row r="15" spans="1:46" ht="15.75" customHeight="1">
      <c r="A15" s="8" t="s">
        <v>46</v>
      </c>
      <c r="B15" s="8" t="s">
        <v>47</v>
      </c>
      <c r="C15" s="8" t="s">
        <v>48</v>
      </c>
      <c r="D15" s="8" t="s">
        <v>49</v>
      </c>
      <c r="E15" s="8" t="s">
        <v>58</v>
      </c>
      <c r="F15" s="9" t="s">
        <v>72</v>
      </c>
      <c r="G15" s="16" t="s">
        <v>73</v>
      </c>
      <c r="H15" s="8" t="str">
        <f ca="1">IFERROR(__xludf.DUMMYFUNCTION("VLOOKUP(G15, IMPORTRANGE(""https://docs.google.com/spreadsheets/d/14deopnvwcrKtEGCKuYXdUHJbeLDZlkiSSWWT0g7x2pM/edit#gid=999382323"", ""LU List Maths (Filter)!A:B""), 2, FALSE)"),"Relationship between right angles, straight angles, and complete angles")</f>
        <v>Relationship between right angles, straight angles, and complete angles</v>
      </c>
      <c r="I15" s="10" t="str">
        <f t="shared" si="0"/>
        <v>LU000241.001</v>
      </c>
      <c r="J15" s="10" t="str">
        <f ca="1">IFERROR(__xludf.DUMMYFUNCTION("VLOOKUP(I15, IMPORTRANGE(""https://docs.google.com/spreadsheets/d/1yDAaXNsi4Mr5FtRQL4tbmSdIzhx6_m4wkOD7IG-k_eo/edit#gid=0"", ""Maths!M:N""), 2, FALSE)"),"Recall definitions of right angles, straight angles, and complete angles.")</f>
        <v>Recall definitions of right angles, straight angles, and complete angles.</v>
      </c>
      <c r="K15" s="10" t="str">
        <f t="shared" si="1"/>
        <v>LU000241.002</v>
      </c>
      <c r="L15" s="10" t="str">
        <f ca="1">IFERROR(__xludf.DUMMYFUNCTION("VLOOKUP(K15, IMPORTRANGE(""https://docs.google.com/spreadsheets/d/1yDAaXNsi4Mr5FtRQL4tbmSdIzhx6_m4wkOD7IG-k_eo/edit#gid=0"", ""Maths!M:N""), 2, FALSE)"),"Explain how right angles combine to form a straight angle and complete angle.")</f>
        <v>Explain how right angles combine to form a straight angle and complete angle.</v>
      </c>
      <c r="M15" s="10" t="str">
        <f t="shared" si="2"/>
        <v>LU000241.003</v>
      </c>
      <c r="N15" s="10" t="str">
        <f ca="1">IFERROR(__xludf.DUMMYFUNCTION("VLOOKUP(M15, IMPORTRANGE(""https://docs.google.com/spreadsheets/d/1yDAaXNsi4Mr5FtRQL4tbmSdIzhx6_m4wkOD7IG-k_eo/edit#gid=0"", ""Maths!M:N""), 2, FALSE)"),"Find the number of right/ straight angles in straight/complete angles in geometric shapes.")</f>
        <v>Find the number of right/ straight angles in straight/complete angles in geometric shapes.</v>
      </c>
      <c r="O15" s="10" t="str">
        <f t="shared" si="3"/>
        <v>LU000241.004</v>
      </c>
      <c r="P15" s="10" t="str">
        <f ca="1">IFERROR(__xludf.DUMMYFUNCTION("VLOOKUP(O15, IMPORTRANGE(""https://docs.google.com/spreadsheets/d/1yDAaXNsi4Mr5FtRQL4tbmSdIzhx6_m4wkOD7IG-k_eo/edit#gid=0"", ""Maths!M:N""), 2, FALSE)"),"Analyse the relationship between right angles, straight angles, and complete angles in various geometric configurations.")</f>
        <v>Analyse the relationship between right angles, straight angles, and complete angles in various geometric configurations.</v>
      </c>
      <c r="Q15" s="10" t="str">
        <f t="shared" si="4"/>
        <v>LU000241.005</v>
      </c>
      <c r="R15" s="10" t="str">
        <f ca="1">IFERROR(__xludf.DUMMYFUNCTION("VLOOKUP(Q15, IMPORTRANGE(""https://docs.google.com/spreadsheets/d/1yDAaXNsi4Mr5FtRQL4tbmSdIzhx6_m4wkOD7IG-k_eo/edit#gid=0"", ""Maths!M:N""), 2, FALSE)"),"Evaluate the significance of understanding the interrelation of angles in practical situations.")</f>
        <v>Evaluate the significance of understanding the interrelation of angles in practical situations.</v>
      </c>
      <c r="S15" s="10" t="str">
        <f t="shared" si="5"/>
        <v>LU000241.006</v>
      </c>
      <c r="T15" s="10" t="str">
        <f ca="1">IFERROR(__xludf.DUMMYFUNCTION("VLOOKUP(S15, IMPORTRANGE(""https://docs.google.com/spreadsheets/d/1yDAaXNsi4Mr5FtRQL4tbmSdIzhx6_m4wkOD7IG-k_eo/edit#gid=0"", ""Maths!M:N""), 2, FALSE)"),"Construct visual models depicting the progression from right angles to complete angles in geometrical figures.")</f>
        <v>Construct visual models depicting the progression from right angles to complete angles in geometrical figures.</v>
      </c>
      <c r="U15" s="11">
        <f ca="1">IFERROR(__xludf.DUMMYFUNCTION("ArrayFormula(VLOOKUP(G15, IMPORTRANGE(""https://docs.google.com/spreadsheets/d/1p7R4vtkWt5VOBim4ltsDG9KTzSjrtKXsMtQGXPHyND0/edit#gid=795171502"", ""'Filter 30_05_2024'!A1:M2000""), {2, 3, 4, 5,6,7,8,9,10,11,12,13}, 0))"),7)</f>
        <v>7</v>
      </c>
      <c r="V15" s="11">
        <f ca="1">IFERROR(__xludf.DUMMYFUNCTION("""COMPUTED_VALUE"""),4)</f>
        <v>4</v>
      </c>
      <c r="W15" s="11">
        <f ca="1">IFERROR(__xludf.DUMMYFUNCTION("""COMPUTED_VALUE"""),2)</f>
        <v>2</v>
      </c>
      <c r="X15" s="11">
        <f ca="1">IFERROR(__xludf.DUMMYFUNCTION("""COMPUTED_VALUE"""),13)</f>
        <v>13</v>
      </c>
      <c r="Y15" s="11">
        <f ca="1">IFERROR(__xludf.DUMMYFUNCTION("""COMPUTED_VALUE"""),4)</f>
        <v>4</v>
      </c>
      <c r="Z15" s="12">
        <f ca="1">IFERROR(__xludf.DUMMYFUNCTION("""COMPUTED_VALUE"""),3)</f>
        <v>3</v>
      </c>
      <c r="AA15" s="12">
        <f ca="1">IFERROR(__xludf.DUMMYFUNCTION("""COMPUTED_VALUE"""),1)</f>
        <v>1</v>
      </c>
      <c r="AB15" s="12">
        <f ca="1">IFERROR(__xludf.DUMMYFUNCTION("""COMPUTED_VALUE"""),8)</f>
        <v>8</v>
      </c>
      <c r="AC15" s="11"/>
      <c r="AD15" s="12"/>
      <c r="AE15" s="12"/>
      <c r="AF15" s="12"/>
      <c r="AG15" s="13" t="str">
        <f ca="1">IFERROR(__xludf.DUMMYFUNCTION("ArrayFormula(VLOOKUP(G15, IMPORTRANGE(""https://docs.google.com/spreadsheets/d/1Co934fvtviyaRiMsrIlT05Jaq7iiYq07aLvRr35KA48/edit?gid=173865642#gid=173865642"", ""'G6_Maths GP_Pri_LU'!G2:V2000""), {3, 4, 5, 6, 7, 8, 9, 10, 11, 12, 13, 14, 15, 16}, 0))"),"LU000259")</f>
        <v>LU000259</v>
      </c>
      <c r="AH15" s="13" t="str">
        <f ca="1">IFERROR(__xludf.DUMMYFUNCTION("""COMPUTED_VALUE"""),"Definition of a straight angle")</f>
        <v>Definition of a straight angle</v>
      </c>
      <c r="AI15" s="13" t="str">
        <f ca="1">IFERROR(__xludf.DUMMYFUNCTION("""COMPUTED_VALUE"""),"LU000260")</f>
        <v>LU000260</v>
      </c>
      <c r="AJ15" s="13" t="str">
        <f ca="1">IFERROR(__xludf.DUMMYFUNCTION("""COMPUTED_VALUE"""),"Definition of a complete angle")</f>
        <v>Definition of a complete angle</v>
      </c>
      <c r="AK15" s="13" t="str">
        <f ca="1">IFERROR(__xludf.DUMMYFUNCTION("""COMPUTED_VALUE"""),"LU000017")</f>
        <v>LU000017</v>
      </c>
      <c r="AL15" s="13" t="str">
        <f ca="1">IFERROR(__xludf.DUMMYFUNCTION("""COMPUTED_VALUE"""),"Definition of a right angle")</f>
        <v>Definition of a right angle</v>
      </c>
      <c r="AM15" s="13" t="str">
        <f ca="1">IFERROR(__xludf.DUMMYFUNCTION("""COMPUTED_VALUE"""),"LU000228")</f>
        <v>LU000228</v>
      </c>
      <c r="AN15" s="13" t="str">
        <f ca="1">IFERROR(__xludf.DUMMYFUNCTION("""COMPUTED_VALUE"""),"Parts of an angle")</f>
        <v>Parts of an angle</v>
      </c>
      <c r="AO15" s="13" t="str">
        <f ca="1">IFERROR(__xludf.DUMMYFUNCTION("""COMPUTED_VALUE"""),"LU000014")</f>
        <v>LU000014</v>
      </c>
      <c r="AP15" s="13" t="str">
        <f ca="1">IFERROR(__xludf.DUMMYFUNCTION("""COMPUTED_VALUE"""),"Definition of an angle")</f>
        <v>Definition of an angle</v>
      </c>
      <c r="AQ15" s="13"/>
      <c r="AR15" s="13"/>
      <c r="AS15" s="13"/>
      <c r="AT15" s="13"/>
    </row>
    <row r="16" spans="1:46" ht="15.75" customHeight="1">
      <c r="A16" s="8" t="s">
        <v>46</v>
      </c>
      <c r="B16" s="8" t="s">
        <v>47</v>
      </c>
      <c r="C16" s="8" t="s">
        <v>48</v>
      </c>
      <c r="D16" s="8" t="s">
        <v>49</v>
      </c>
      <c r="E16" s="8" t="s">
        <v>58</v>
      </c>
      <c r="F16" s="8" t="s">
        <v>74</v>
      </c>
      <c r="G16" s="16" t="s">
        <v>75</v>
      </c>
      <c r="H16" s="8" t="str">
        <f ca="1">IFERROR(__xludf.DUMMYFUNCTION("VLOOKUP(G16, IMPORTRANGE(""https://docs.google.com/spreadsheets/d/14deopnvwcrKtEGCKuYXdUHJbeLDZlkiSSWWT0g7x2pM/edit#gid=999382323"", ""LU List Maths (Filter)!A:B""), 2, FALSE)"),"Definition of perpendicular lines")</f>
        <v>Definition of perpendicular lines</v>
      </c>
      <c r="I16" s="10" t="str">
        <f t="shared" si="0"/>
        <v>LU000244.001</v>
      </c>
      <c r="J16" s="10" t="str">
        <f ca="1">IFERROR(__xludf.DUMMYFUNCTION("VLOOKUP(I16, IMPORTRANGE(""https://docs.google.com/spreadsheets/d/1yDAaXNsi4Mr5FtRQL4tbmSdIzhx6_m4wkOD7IG-k_eo/edit#gid=0"", ""Maths!M:N""), 2, FALSE)"),"Define perpendicular lines")</f>
        <v>Define perpendicular lines</v>
      </c>
      <c r="K16" s="10" t="str">
        <f t="shared" si="1"/>
        <v>LU000244.002</v>
      </c>
      <c r="L16" s="10" t="str">
        <f ca="1">IFERROR(__xludf.DUMMYFUNCTION("VLOOKUP(K16, IMPORTRANGE(""https://docs.google.com/spreadsheets/d/1yDAaXNsi4Mr5FtRQL4tbmSdIzhx6_m4wkOD7IG-k_eo/edit#gid=0"", ""Maths!M:N""), 2, FALSE)"),"Real-life examples of perpendicular lines")</f>
        <v>Real-life examples of perpendicular lines</v>
      </c>
      <c r="M16" s="10" t="str">
        <f t="shared" si="2"/>
        <v>LU000244.003</v>
      </c>
      <c r="N16" s="10" t="str">
        <f ca="1">IFERROR(__xludf.DUMMYFUNCTION("VLOOKUP(M16, IMPORTRANGE(""https://docs.google.com/spreadsheets/d/1yDAaXNsi4Mr5FtRQL4tbmSdIzhx6_m4wkOD7IG-k_eo/edit#gid=0"", ""Maths!M:N""), 2, FALSE)"),"Identify perpendicular lines in the given figures.")</f>
        <v>Identify perpendicular lines in the given figures.</v>
      </c>
      <c r="O16" s="10" t="str">
        <f t="shared" si="3"/>
        <v>LU000244.004</v>
      </c>
      <c r="P16" s="10" t="str">
        <f ca="1">IFERROR(__xludf.DUMMYFUNCTION("VLOOKUP(O16, IMPORTRANGE(""https://docs.google.com/spreadsheets/d/1yDAaXNsi4Mr5FtRQL4tbmSdIzhx6_m4wkOD7IG-k_eo/edit#gid=0"", ""Maths!M:N""), 2, FALSE)"),"Analyse real-world examples and identify perpendicular lines")</f>
        <v>Analyse real-world examples and identify perpendicular lines</v>
      </c>
      <c r="Q16" s="10" t="str">
        <f t="shared" si="4"/>
        <v>LU000244.005</v>
      </c>
      <c r="R16" s="10" t="str">
        <f ca="1">IFERROR(__xludf.DUMMYFUNCTION("VLOOKUP(Q16, IMPORTRANGE(""https://docs.google.com/spreadsheets/d/1yDAaXNsi4Mr5FtRQL4tbmSdIzhx6_m4wkOD7IG-k_eo/edit#gid=0"", ""Maths!M:N""), 2, FALSE)"),"#N/A")</f>
        <v>#N/A</v>
      </c>
      <c r="S16" s="10" t="str">
        <f t="shared" si="5"/>
        <v>LU000244.006</v>
      </c>
      <c r="T16" s="10" t="str">
        <f ca="1">IFERROR(__xludf.DUMMYFUNCTION("VLOOKUP(S16, IMPORTRANGE(""https://docs.google.com/spreadsheets/d/1yDAaXNsi4Mr5FtRQL4tbmSdIzhx6_m4wkOD7IG-k_eo/edit#gid=0"", ""Maths!M:N""), 2, FALSE)"),"Create diagrams illustrating perpendicular lines in different geometrical figures.")</f>
        <v>Create diagrams illustrating perpendicular lines in different geometrical figures.</v>
      </c>
      <c r="U16" s="11">
        <f ca="1">IFERROR(__xludf.DUMMYFUNCTION("ArrayFormula(VLOOKUP(G16, IMPORTRANGE(""https://docs.google.com/spreadsheets/d/1p7R4vtkWt5VOBim4ltsDG9KTzSjrtKXsMtQGXPHyND0/edit#gid=795171502"", ""'Filter 30_05_2024'!A1:M2000""), {2, 3, 4, 5,6,7,8,9,10,11,12,13}, 0))"),10)</f>
        <v>10</v>
      </c>
      <c r="V16" s="11">
        <f ca="1">IFERROR(__xludf.DUMMYFUNCTION("""COMPUTED_VALUE"""),2)</f>
        <v>2</v>
      </c>
      <c r="W16" s="11">
        <f ca="1">IFERROR(__xludf.DUMMYFUNCTION("""COMPUTED_VALUE"""),2)</f>
        <v>2</v>
      </c>
      <c r="X16" s="11">
        <f ca="1">IFERROR(__xludf.DUMMYFUNCTION("""COMPUTED_VALUE"""),14)</f>
        <v>14</v>
      </c>
      <c r="Y16" s="11">
        <f ca="1">IFERROR(__xludf.DUMMYFUNCTION("""COMPUTED_VALUE"""),4)</f>
        <v>4</v>
      </c>
      <c r="Z16" s="12">
        <f ca="1">IFERROR(__xludf.DUMMYFUNCTION("""COMPUTED_VALUE"""),7)</f>
        <v>7</v>
      </c>
      <c r="AA16" s="12">
        <f ca="1">IFERROR(__xludf.DUMMYFUNCTION("""COMPUTED_VALUE"""),1)</f>
        <v>1</v>
      </c>
      <c r="AB16" s="12">
        <f ca="1">IFERROR(__xludf.DUMMYFUNCTION("""COMPUTED_VALUE"""),12)</f>
        <v>12</v>
      </c>
      <c r="AC16" s="11"/>
      <c r="AD16" s="12"/>
      <c r="AE16" s="12"/>
      <c r="AF16" s="12"/>
      <c r="AG16" s="13" t="str">
        <f ca="1">IFERROR(__xludf.DUMMYFUNCTION("ArrayFormula(VLOOKUP(G16, IMPORTRANGE(""https://docs.google.com/spreadsheets/d/1Co934fvtviyaRiMsrIlT05Jaq7iiYq07aLvRr35KA48/edit?gid=173865642#gid=173865642"", ""'G6_Maths GP_Pri_LU'!G2:V2000""), {3, 4, 5, 6, 7, 8, 9, 10, 11, 12, 13, 14, 15, 16}, 0))"),"LU000221")</f>
        <v>LU000221</v>
      </c>
      <c r="AH16" s="13" t="str">
        <f ca="1">IFERROR(__xludf.DUMMYFUNCTION("""COMPUTED_VALUE"""),"Definition and identification of intersecting lines")</f>
        <v>Definition and identification of intersecting lines</v>
      </c>
      <c r="AI16" s="13" t="str">
        <f ca="1">IFERROR(__xludf.DUMMYFUNCTION("""COMPUTED_VALUE"""),"LU000017")</f>
        <v>LU000017</v>
      </c>
      <c r="AJ16" s="13" t="str">
        <f ca="1">IFERROR(__xludf.DUMMYFUNCTION("""COMPUTED_VALUE"""),"Definition of a right angle")</f>
        <v>Definition of a right angle</v>
      </c>
      <c r="AK16" s="13" t="str">
        <f ca="1">IFERROR(__xludf.DUMMYFUNCTION("""COMPUTED_VALUE"""),"LU000220")</f>
        <v>LU000220</v>
      </c>
      <c r="AL16" s="13" t="str">
        <f ca="1">IFERROR(__xludf.DUMMYFUNCTION("""COMPUTED_VALUE"""),"Definition of line")</f>
        <v>Definition of line</v>
      </c>
      <c r="AM16" s="13"/>
      <c r="AN16" s="13"/>
      <c r="AO16" s="13"/>
      <c r="AP16" s="13"/>
      <c r="AQ16" s="13"/>
      <c r="AR16" s="13"/>
      <c r="AS16" s="13"/>
      <c r="AT16" s="13"/>
    </row>
    <row r="17" spans="1:46" ht="15.75" customHeight="1">
      <c r="A17" s="8" t="s">
        <v>46</v>
      </c>
      <c r="B17" s="8" t="s">
        <v>47</v>
      </c>
      <c r="C17" s="8" t="s">
        <v>48</v>
      </c>
      <c r="D17" s="8" t="s">
        <v>49</v>
      </c>
      <c r="E17" s="8" t="s">
        <v>58</v>
      </c>
      <c r="F17" s="9" t="s">
        <v>76</v>
      </c>
      <c r="G17" s="16" t="s">
        <v>77</v>
      </c>
      <c r="H17" s="8" t="str">
        <f ca="1">IFERROR(__xludf.DUMMYFUNCTION("VLOOKUP(G17, IMPORTRANGE(""https://docs.google.com/spreadsheets/d/14deopnvwcrKtEGCKuYXdUHJbeLDZlkiSSWWT0g7x2pM/edit#gid=999382323"", ""LU List Maths (Filter)!A:B""), 2, FALSE)"),"Measurement of angles using protractor")</f>
        <v>Measurement of angles using protractor</v>
      </c>
      <c r="I17" s="10" t="str">
        <f t="shared" si="0"/>
        <v>LU000243.001</v>
      </c>
      <c r="J17" s="10" t="str">
        <f ca="1">IFERROR(__xludf.DUMMYFUNCTION("VLOOKUP(I17, IMPORTRANGE(""https://docs.google.com/spreadsheets/d/1yDAaXNsi4Mr5FtRQL4tbmSdIzhx6_m4wkOD7IG-k_eo/edit#gid=0"", ""Maths!M:N""), 2, FALSE)"),"Identify the 'degree' as the unit of measurement.")</f>
        <v>Identify the 'degree' as the unit of measurement.</v>
      </c>
      <c r="K17" s="10" t="str">
        <f t="shared" si="1"/>
        <v>LU000243.002</v>
      </c>
      <c r="L17" s="10" t="str">
        <f ca="1">IFERROR(__xludf.DUMMYFUNCTION("VLOOKUP(K17, IMPORTRANGE(""https://docs.google.com/spreadsheets/d/1yDAaXNsi4Mr5FtRQL4tbmSdIzhx6_m4wkOD7IG-k_eo/edit#gid=0"", ""Maths!M:N""), 2, FALSE)"),"Measure the given angle using a protractor.")</f>
        <v>Measure the given angle using a protractor.</v>
      </c>
      <c r="M17" s="10" t="str">
        <f t="shared" si="2"/>
        <v>LU000243.003</v>
      </c>
      <c r="N17" s="10" t="str">
        <f ca="1">IFERROR(__xludf.DUMMYFUNCTION("VLOOKUP(M17, IMPORTRANGE(""https://docs.google.com/spreadsheets/d/1yDAaXNsi4Mr5FtRQL4tbmSdIzhx6_m4wkOD7IG-k_eo/edit#gid=0"", ""Maths!M:N""), 2, FALSE)"),"Estimate the measure of the given angles and confirm their measures by comparing them.")</f>
        <v>Estimate the measure of the given angles and confirm their measures by comparing them.</v>
      </c>
      <c r="O17" s="10" t="str">
        <f t="shared" si="3"/>
        <v>LU000243.004</v>
      </c>
      <c r="P17" s="10" t="str">
        <f ca="1">IFERROR(__xludf.DUMMYFUNCTION("VLOOKUP(O17, IMPORTRANGE(""https://docs.google.com/spreadsheets/d/1yDAaXNsi4Mr5FtRQL4tbmSdIzhx6_m4wkOD7IG-k_eo/edit#gid=0"", ""Maths!M:N""), 2, FALSE)"),"Analyse the process of folding a circular sheet to create angles and identify their measures.")</f>
        <v>Analyse the process of folding a circular sheet to create angles and identify their measures.</v>
      </c>
      <c r="Q17" s="10" t="str">
        <f t="shared" si="4"/>
        <v>LU000243.005</v>
      </c>
      <c r="R17" s="10" t="str">
        <f ca="1">IFERROR(__xludf.DUMMYFUNCTION("VLOOKUP(Q17, IMPORTRANGE(""https://docs.google.com/spreadsheets/d/1yDAaXNsi4Mr5FtRQL4tbmSdIzhx6_m4wkOD7IG-k_eo/edit#gid=0"", ""Maths!M:N""), 2, FALSE)"),"Evaluate the accuracy of angle measurements using protractors and identify potential errors.")</f>
        <v>Evaluate the accuracy of angle measurements using protractors and identify potential errors.</v>
      </c>
      <c r="S17" s="10" t="str">
        <f t="shared" si="5"/>
        <v>LU000243.006</v>
      </c>
      <c r="T17" s="10" t="str">
        <f ca="1">IFERROR(__xludf.DUMMYFUNCTION("VLOOKUP(S17, IMPORTRANGE(""https://docs.google.com/spreadsheets/d/1yDAaXNsi4Mr5FtRQL4tbmSdIzhx6_m4wkOD7IG-k_eo/edit#gid=0"", ""Maths!M:N""), 2, FALSE)"),"Create a visual representation demonstrating the step-by-step process of folding a circular sheet to measure angles.")</f>
        <v>Create a visual representation demonstrating the step-by-step process of folding a circular sheet to measure angles.</v>
      </c>
      <c r="U17" s="11">
        <f ca="1">IFERROR(__xludf.DUMMYFUNCTION("ArrayFormula(VLOOKUP(G17, IMPORTRANGE(""https://docs.google.com/spreadsheets/d/1p7R4vtkWt5VOBim4ltsDG9KTzSjrtKXsMtQGXPHyND0/edit#gid=795171502"", ""'Filter 30_05_2024'!A1:M2000""), {2, 3, 4, 5,6,7,8,9,10,11,12,13}, 0))"),5)</f>
        <v>5</v>
      </c>
      <c r="V17" s="11">
        <f ca="1">IFERROR(__xludf.DUMMYFUNCTION("""COMPUTED_VALUE"""),6)</f>
        <v>6</v>
      </c>
      <c r="W17" s="11">
        <f ca="1">IFERROR(__xludf.DUMMYFUNCTION("""COMPUTED_VALUE"""),2)</f>
        <v>2</v>
      </c>
      <c r="X17" s="11">
        <f ca="1">IFERROR(__xludf.DUMMYFUNCTION("""COMPUTED_VALUE"""),13)</f>
        <v>13</v>
      </c>
      <c r="Y17" s="11">
        <f ca="1">IFERROR(__xludf.DUMMYFUNCTION("""COMPUTED_VALUE"""),7)</f>
        <v>7</v>
      </c>
      <c r="Z17" s="12">
        <f ca="1">IFERROR(__xludf.DUMMYFUNCTION("""COMPUTED_VALUE"""),3)</f>
        <v>3</v>
      </c>
      <c r="AA17" s="12">
        <f ca="1">IFERROR(__xludf.DUMMYFUNCTION("""COMPUTED_VALUE"""),1)</f>
        <v>1</v>
      </c>
      <c r="AB17" s="12">
        <f ca="1">IFERROR(__xludf.DUMMYFUNCTION("""COMPUTED_VALUE"""),11)</f>
        <v>11</v>
      </c>
      <c r="AC17" s="11"/>
      <c r="AD17" s="12"/>
      <c r="AE17" s="12"/>
      <c r="AF17" s="12"/>
      <c r="AG17" s="13" t="str">
        <f ca="1">IFERROR(__xludf.DUMMYFUNCTION("ArrayFormula(VLOOKUP(G17, IMPORTRANGE(""https://docs.google.com/spreadsheets/d/1Co934fvtviyaRiMsrIlT05Jaq7iiYq07aLvRr35KA48/edit?gid=173865642#gid=173865642"", ""'G6_Maths GP_Pri_LU'!G2:V2000""), {3, 4, 5, 6, 7, 8, 9, 10, 11, 12, 13, 14, 15, 16}, 0))"),"LU000228")</f>
        <v>LU000228</v>
      </c>
      <c r="AH17" s="13" t="str">
        <f ca="1">IFERROR(__xludf.DUMMYFUNCTION("""COMPUTED_VALUE"""),"Parts of an angle")</f>
        <v>Parts of an angle</v>
      </c>
      <c r="AI17" s="13" t="str">
        <f ca="1">IFERROR(__xludf.DUMMYFUNCTION("""COMPUTED_VALUE"""),"LU000024")</f>
        <v>LU000024</v>
      </c>
      <c r="AJ17" s="13" t="str">
        <f ca="1">IFERROR(__xludf.DUMMYFUNCTION("""COMPUTED_VALUE"""),"Definition of degree as unit to measure an angle")</f>
        <v>Definition of degree as unit to measure an angle</v>
      </c>
      <c r="AK17" s="13" t="str">
        <f ca="1">IFERROR(__xludf.DUMMYFUNCTION("""COMPUTED_VALUE"""),"LU000025")</f>
        <v>LU000025</v>
      </c>
      <c r="AL17" s="13" t="str">
        <f ca="1">IFERROR(__xludf.DUMMYFUNCTION("""COMPUTED_VALUE"""),"Degree clock as tool to measure angles")</f>
        <v>Degree clock as tool to measure angles</v>
      </c>
      <c r="AM17" s="13"/>
      <c r="AN17" s="13"/>
      <c r="AO17" s="13"/>
      <c r="AP17" s="13"/>
      <c r="AQ17" s="13"/>
      <c r="AR17" s="13"/>
      <c r="AS17" s="13"/>
      <c r="AT17" s="13"/>
    </row>
    <row r="18" spans="1:46" ht="15.75" customHeight="1">
      <c r="A18" s="8" t="s">
        <v>46</v>
      </c>
      <c r="B18" s="8" t="s">
        <v>47</v>
      </c>
      <c r="C18" s="8" t="s">
        <v>48</v>
      </c>
      <c r="D18" s="8" t="s">
        <v>49</v>
      </c>
      <c r="E18" s="8" t="s">
        <v>58</v>
      </c>
      <c r="F18" s="9" t="s">
        <v>76</v>
      </c>
      <c r="G18" s="15" t="s">
        <v>78</v>
      </c>
      <c r="H18" s="8" t="str">
        <f ca="1">IFERROR(__xludf.DUMMYFUNCTION("VLOOKUP(G18, IMPORTRANGE(""https://docs.google.com/spreadsheets/d/14deopnvwcrKtEGCKuYXdUHJbeLDZlkiSSWWT0g7x2pM/edit#gid=999382323"", ""LU List Maths (Filter)!A:B""), 2, FALSE)"),"Construction of an angle of a given measure using a protractor")</f>
        <v>Construction of an angle of a given measure using a protractor</v>
      </c>
      <c r="I18" s="10" t="str">
        <f t="shared" si="0"/>
        <v>LU000818.001</v>
      </c>
      <c r="J18" s="10" t="str">
        <f ca="1">IFERROR(__xludf.DUMMYFUNCTION("VLOOKUP(I18, IMPORTRANGE(""https://docs.google.com/spreadsheets/d/1yDAaXNsi4Mr5FtRQL4tbmSdIzhx6_m4wkOD7IG-k_eo/edit#gid=0"", ""Maths!M:N""), 2, FALSE)"),"Remember the tools required for constructing an angle of a given measure.")</f>
        <v>Remember the tools required for constructing an angle of a given measure.</v>
      </c>
      <c r="K18" s="10" t="str">
        <f t="shared" si="1"/>
        <v>LU000818.002</v>
      </c>
      <c r="L18" s="10" t="str">
        <f ca="1">IFERROR(__xludf.DUMMYFUNCTION("VLOOKUP(K18, IMPORTRANGE(""https://docs.google.com/spreadsheets/d/1yDAaXNsi4Mr5FtRQL4tbmSdIzhx6_m4wkOD7IG-k_eo/edit#gid=0"", ""Maths!M:N""), 2, FALSE)"),"Explain the concept of constructing an angle with a specific degree measurement.")</f>
        <v>Explain the concept of constructing an angle with a specific degree measurement.</v>
      </c>
      <c r="M18" s="10" t="str">
        <f t="shared" si="2"/>
        <v>LU000818.003</v>
      </c>
      <c r="N18" s="10" t="str">
        <f ca="1">IFERROR(__xludf.DUMMYFUNCTION("VLOOKUP(M18, IMPORTRANGE(""https://docs.google.com/spreadsheets/d/1yDAaXNsi4Mr5FtRQL4tbmSdIzhx6_m4wkOD7IG-k_eo/edit#gid=0"", ""Maths!M:N""), 2, FALSE)"),"Apply the knowledge of angle construction to create an angle with a specified degree accurately.")</f>
        <v>Apply the knowledge of angle construction to create an angle with a specified degree accurately.</v>
      </c>
      <c r="O18" s="10" t="str">
        <f t="shared" si="3"/>
        <v>LU000818.004</v>
      </c>
      <c r="P18" s="10" t="str">
        <f ca="1">IFERROR(__xludf.DUMMYFUNCTION("VLOOKUP(O18, IMPORTRANGE(""https://docs.google.com/spreadsheets/d/1yDAaXNsi4Mr5FtRQL4tbmSdIzhx6_m4wkOD7IG-k_eo/edit#gid=0"", ""Maths!M:N""), 2, FALSE)"),"Analyse the geometric properties of the constructed angle, including the degree measurement.")</f>
        <v>Analyse the geometric properties of the constructed angle, including the degree measurement.</v>
      </c>
      <c r="Q18" s="10" t="str">
        <f t="shared" si="4"/>
        <v>LU000818.005</v>
      </c>
      <c r="R18" s="10" t="str">
        <f ca="1">IFERROR(__xludf.DUMMYFUNCTION("VLOOKUP(Q18, IMPORTRANGE(""https://docs.google.com/spreadsheets/d/1yDAaXNsi4Mr5FtRQL4tbmSdIzhx6_m4wkOD7IG-k_eo/edit#gid=0"", ""Maths!M:N""), 2, FALSE)"),"Assess the accuracy of the constructed angle by measuring it with a protractor.")</f>
        <v>Assess the accuracy of the constructed angle by measuring it with a protractor.</v>
      </c>
      <c r="S18" s="10" t="str">
        <f t="shared" si="5"/>
        <v>LU000818.006</v>
      </c>
      <c r="T18" s="10" t="str">
        <f ca="1">IFERROR(__xludf.DUMMYFUNCTION("VLOOKUP(S18, IMPORTRANGE(""https://docs.google.com/spreadsheets/d/1yDAaXNsi4Mr5FtRQL4tbmSdIzhx6_m4wkOD7IG-k_eo/edit#gid=0"", ""Maths!M:N""), 2, FALSE)"),"Design a step-by-step guide with illustrations for constructing an angle of a given measure using a protractor and ruler.")</f>
        <v>Design a step-by-step guide with illustrations for constructing an angle of a given measure using a protractor and ruler.</v>
      </c>
      <c r="U18" s="11">
        <f ca="1">IFERROR(__xludf.DUMMYFUNCTION("ArrayFormula(VLOOKUP(G18, IMPORTRANGE(""https://docs.google.com/spreadsheets/d/1p7R4vtkWt5VOBim4ltsDG9KTzSjrtKXsMtQGXPHyND0/edit#gid=795171502"", ""'Filter 30_05_2024'!A1:M2000""), {2, 3, 4, 5,6,7,8,9,10,11,12,13}, 0))"),4)</f>
        <v>4</v>
      </c>
      <c r="V18" s="11">
        <f ca="1">IFERROR(__xludf.DUMMYFUNCTION("""COMPUTED_VALUE"""),6)</f>
        <v>6</v>
      </c>
      <c r="W18" s="11">
        <f ca="1">IFERROR(__xludf.DUMMYFUNCTION("""COMPUTED_VALUE"""),2)</f>
        <v>2</v>
      </c>
      <c r="X18" s="11">
        <f ca="1">IFERROR(__xludf.DUMMYFUNCTION("""COMPUTED_VALUE"""),12)</f>
        <v>12</v>
      </c>
      <c r="Y18" s="11">
        <f ca="1">IFERROR(__xludf.DUMMYFUNCTION("""COMPUTED_VALUE"""),4)</f>
        <v>4</v>
      </c>
      <c r="Z18" s="12">
        <f ca="1">IFERROR(__xludf.DUMMYFUNCTION("""COMPUTED_VALUE"""),3)</f>
        <v>3</v>
      </c>
      <c r="AA18" s="12">
        <f ca="1">IFERROR(__xludf.DUMMYFUNCTION("""COMPUTED_VALUE"""),1)</f>
        <v>1</v>
      </c>
      <c r="AB18" s="12">
        <f ca="1">IFERROR(__xludf.DUMMYFUNCTION("""COMPUTED_VALUE"""),8)</f>
        <v>8</v>
      </c>
      <c r="AC18" s="11"/>
      <c r="AD18" s="12"/>
      <c r="AE18" s="12"/>
      <c r="AF18" s="12"/>
      <c r="AG18" s="13" t="str">
        <f ca="1">IFERROR(__xludf.DUMMYFUNCTION("ArrayFormula(VLOOKUP(G18, IMPORTRANGE(""https://docs.google.com/spreadsheets/d/1Co934fvtviyaRiMsrIlT05Jaq7iiYq07aLvRr35KA48/edit?gid=173865642#gid=173865642"", ""'G6_Maths GP_Pri_LU'!G2:V2000""), {3, 4, 5, 6, 7, 8, 9, 10, 11, 12, 13, 14, 15, 16}, 0))"),"LU000024")</f>
        <v>LU000024</v>
      </c>
      <c r="AH18" s="13" t="str">
        <f ca="1">IFERROR(__xludf.DUMMYFUNCTION("""COMPUTED_VALUE"""),"Definition of degree as unit to measure an angle")</f>
        <v>Definition of degree as unit to measure an angle</v>
      </c>
      <c r="AI18" s="13" t="str">
        <f ca="1">IFERROR(__xludf.DUMMYFUNCTION("""COMPUTED_VALUE"""),"LU000020")</f>
        <v>LU000020</v>
      </c>
      <c r="AJ18" s="13" t="str">
        <f ca="1">IFERROR(__xludf.DUMMYFUNCTION("""COMPUTED_VALUE"""),"Function of protractor as geometry tool")</f>
        <v>Function of protractor as geometry tool</v>
      </c>
      <c r="AK18" s="13"/>
      <c r="AL18" s="13"/>
      <c r="AM18" s="13"/>
      <c r="AN18" s="13"/>
      <c r="AO18" s="13"/>
      <c r="AP18" s="13"/>
      <c r="AQ18" s="13"/>
      <c r="AR18" s="13"/>
      <c r="AS18" s="13"/>
      <c r="AT18" s="13"/>
    </row>
    <row r="19" spans="1:46" ht="15.75" customHeight="1">
      <c r="A19" s="8" t="s">
        <v>46</v>
      </c>
      <c r="B19" s="8" t="s">
        <v>47</v>
      </c>
      <c r="C19" s="8" t="s">
        <v>48</v>
      </c>
      <c r="D19" s="8" t="s">
        <v>49</v>
      </c>
      <c r="E19" s="8" t="s">
        <v>58</v>
      </c>
      <c r="F19" s="8" t="s">
        <v>79</v>
      </c>
      <c r="G19" s="16" t="s">
        <v>80</v>
      </c>
      <c r="H19" s="8" t="str">
        <f ca="1">IFERROR(__xludf.DUMMYFUNCTION("VLOOKUP(G19, IMPORTRANGE(""https://docs.google.com/spreadsheets/d/14deopnvwcrKtEGCKuYXdUHJbeLDZlkiSSWWT0g7x2pM/edit#gid=999382323"", ""LU List Maths (Filter)!A:B""), 2, FALSE)"),"Definition of an acute angle")</f>
        <v>Definition of an acute angle</v>
      </c>
      <c r="I19" s="10" t="str">
        <f t="shared" si="0"/>
        <v>LU000242.001</v>
      </c>
      <c r="J19" s="10" t="str">
        <f ca="1">IFERROR(__xludf.DUMMYFUNCTION("VLOOKUP(I19, IMPORTRANGE(""https://docs.google.com/spreadsheets/d/1yDAaXNsi4Mr5FtRQL4tbmSdIzhx6_m4wkOD7IG-k_eo/edit#gid=0"", ""Maths!M:N""), 2, FALSE)"),"Define an acute angle.")</f>
        <v>Define an acute angle.</v>
      </c>
      <c r="K19" s="10" t="str">
        <f t="shared" si="1"/>
        <v>LU000242.002</v>
      </c>
      <c r="L19" s="10" t="str">
        <f ca="1">IFERROR(__xludf.DUMMYFUNCTION("VLOOKUP(K19, IMPORTRANGE(""https://docs.google.com/spreadsheets/d/1yDAaXNsi4Mr5FtRQL4tbmSdIzhx6_m4wkOD7IG-k_eo/edit#gid=0"", ""Maths!M:N""), 2, FALSE)"),"Explain the concept of an acute angle in your own words, including its relation to right angles.")</f>
        <v>Explain the concept of an acute angle in your own words, including its relation to right angles.</v>
      </c>
      <c r="M19" s="10" t="str">
        <f t="shared" si="2"/>
        <v>LU000242.003</v>
      </c>
      <c r="N19" s="10" t="str">
        <f ca="1">IFERROR(__xludf.DUMMYFUNCTION("VLOOKUP(M19, IMPORTRANGE(""https://docs.google.com/spreadsheets/d/1yDAaXNsi4Mr5FtRQL4tbmSdIzhx6_m4wkOD7IG-k_eo/edit#gid=0"", ""Maths!M:N""), 2, FALSE)"),"Use knowledge of acute angles to identify and measure them in geometric figures or objects in the environment.")</f>
        <v>Use knowledge of acute angles to identify and measure them in geometric figures or objects in the environment.</v>
      </c>
      <c r="O19" s="10" t="str">
        <f t="shared" si="3"/>
        <v>LU000242.004</v>
      </c>
      <c r="P19" s="10" t="str">
        <f ca="1">IFERROR(__xludf.DUMMYFUNCTION("VLOOKUP(O19, IMPORTRANGE(""https://docs.google.com/spreadsheets/d/1yDAaXNsi4Mr5FtRQL4tbmSdIzhx6_m4wkOD7IG-k_eo/edit#gid=0"", ""Maths!M:N""), 2, FALSE)"),"Analyse geometric figures to identify acute angles within them.")</f>
        <v>Analyse geometric figures to identify acute angles within them.</v>
      </c>
      <c r="Q19" s="10" t="str">
        <f t="shared" si="4"/>
        <v>LU000242.005</v>
      </c>
      <c r="R19" s="10" t="str">
        <f ca="1">IFERROR(__xludf.DUMMYFUNCTION("VLOOKUP(Q19, IMPORTRANGE(""https://docs.google.com/spreadsheets/d/1yDAaXNsi4Mr5FtRQL4tbmSdIzhx6_m4wkOD7IG-k_eo/edit#gid=0"", ""Maths!M:N""), 2, FALSE)"),"Critique the importance of understanding acute angles in geometry and its relevance to solving practical problems.")</f>
        <v>Critique the importance of understanding acute angles in geometry and its relevance to solving practical problems.</v>
      </c>
      <c r="S19" s="10" t="str">
        <f t="shared" si="5"/>
        <v>LU000242.006</v>
      </c>
      <c r="T19" s="10" t="str">
        <f ca="1">IFERROR(__xludf.DUMMYFUNCTION("VLOOKUP(S19, IMPORTRANGE(""https://docs.google.com/spreadsheets/d/1yDAaXNsi4Mr5FtRQL4tbmSdIzhx6_m4wkOD7IG-k_eo/edit#gid=0"", ""Maths!M:N""), 2, FALSE)"),"Create diagrams showcasing examples of an acute.")</f>
        <v>Create diagrams showcasing examples of an acute.</v>
      </c>
      <c r="U19" s="11">
        <f ca="1">IFERROR(__xludf.DUMMYFUNCTION("ArrayFormula(VLOOKUP(G19, IMPORTRANGE(""https://docs.google.com/spreadsheets/d/1p7R4vtkWt5VOBim4ltsDG9KTzSjrtKXsMtQGXPHyND0/edit#gid=795171502"", ""'Filter 30_05_2024'!A1:M2000""), {2, 3, 4, 5,6,7,8,9,10,11,12,13}, 0))"),4)</f>
        <v>4</v>
      </c>
      <c r="V19" s="11">
        <f ca="1">IFERROR(__xludf.DUMMYFUNCTION("""COMPUTED_VALUE"""),4)</f>
        <v>4</v>
      </c>
      <c r="W19" s="11">
        <f ca="1">IFERROR(__xludf.DUMMYFUNCTION("""COMPUTED_VALUE"""),2)</f>
        <v>2</v>
      </c>
      <c r="X19" s="11">
        <f ca="1">IFERROR(__xludf.DUMMYFUNCTION("""COMPUTED_VALUE"""),10)</f>
        <v>10</v>
      </c>
      <c r="Y19" s="11">
        <f ca="1">IFERROR(__xludf.DUMMYFUNCTION("""COMPUTED_VALUE"""),4)</f>
        <v>4</v>
      </c>
      <c r="Z19" s="12">
        <f ca="1">IFERROR(__xludf.DUMMYFUNCTION("""COMPUTED_VALUE"""),5)</f>
        <v>5</v>
      </c>
      <c r="AA19" s="12">
        <f ca="1">IFERROR(__xludf.DUMMYFUNCTION("""COMPUTED_VALUE"""),1)</f>
        <v>1</v>
      </c>
      <c r="AB19" s="12">
        <f ca="1">IFERROR(__xludf.DUMMYFUNCTION("""COMPUTED_VALUE"""),10)</f>
        <v>10</v>
      </c>
      <c r="AC19" s="11"/>
      <c r="AD19" s="12"/>
      <c r="AE19" s="12"/>
      <c r="AF19" s="12"/>
      <c r="AG19" s="13" t="str">
        <f ca="1">IFERROR(__xludf.DUMMYFUNCTION("ArrayFormula(VLOOKUP(G19, IMPORTRANGE(""https://docs.google.com/spreadsheets/d/1Co934fvtviyaRiMsrIlT05Jaq7iiYq07aLvRr35KA48/edit?gid=173865642#gid=173865642"", ""'G6_Maths GP_Pri_LU'!G2:V2000""), {3, 4, 5, 6, 7, 8, 9, 10, 11, 12, 13, 14, 15, 16}, 0))"),"LU000017")</f>
        <v>LU000017</v>
      </c>
      <c r="AH19" s="13" t="str">
        <f ca="1">IFERROR(__xludf.DUMMYFUNCTION("""COMPUTED_VALUE"""),"Definition of a right angle")</f>
        <v>Definition of a right angle</v>
      </c>
      <c r="AI19" s="13" t="str">
        <f ca="1">IFERROR(__xludf.DUMMYFUNCTION("""COMPUTED_VALUE"""),"LU000228")</f>
        <v>LU000228</v>
      </c>
      <c r="AJ19" s="13" t="str">
        <f ca="1">IFERROR(__xludf.DUMMYFUNCTION("""COMPUTED_VALUE"""),"Parts of an angle")</f>
        <v>Parts of an angle</v>
      </c>
      <c r="AK19" s="13" t="str">
        <f ca="1">IFERROR(__xludf.DUMMYFUNCTION("""COMPUTED_VALUE"""),"LU000024")</f>
        <v>LU000024</v>
      </c>
      <c r="AL19" s="13" t="str">
        <f ca="1">IFERROR(__xludf.DUMMYFUNCTION("""COMPUTED_VALUE"""),"Definition of degree as unit to measure an angle")</f>
        <v>Definition of degree as unit to measure an angle</v>
      </c>
      <c r="AM19" s="13"/>
      <c r="AN19" s="13"/>
      <c r="AO19" s="13"/>
      <c r="AP19" s="13"/>
      <c r="AQ19" s="13"/>
      <c r="AR19" s="13"/>
      <c r="AS19" s="13"/>
      <c r="AT19" s="13"/>
    </row>
    <row r="20" spans="1:46" ht="15.75" customHeight="1">
      <c r="A20" s="8" t="s">
        <v>46</v>
      </c>
      <c r="B20" s="8" t="s">
        <v>47</v>
      </c>
      <c r="C20" s="8" t="s">
        <v>48</v>
      </c>
      <c r="D20" s="8" t="s">
        <v>49</v>
      </c>
      <c r="E20" s="8" t="s">
        <v>58</v>
      </c>
      <c r="F20" s="8" t="s">
        <v>79</v>
      </c>
      <c r="G20" s="16" t="s">
        <v>81</v>
      </c>
      <c r="H20" s="8" t="str">
        <f ca="1">IFERROR(__xludf.DUMMYFUNCTION("VLOOKUP(G20, IMPORTRANGE(""https://docs.google.com/spreadsheets/d/14deopnvwcrKtEGCKuYXdUHJbeLDZlkiSSWWT0g7x2pM/edit#gid=999382323"", ""LU List Maths (Filter)!A:B""), 2, FALSE)"),"Definition of an obtuse angle")</f>
        <v>Definition of an obtuse angle</v>
      </c>
      <c r="I20" s="10" t="str">
        <f t="shared" si="0"/>
        <v>LU000257.001</v>
      </c>
      <c r="J20" s="10" t="str">
        <f ca="1">IFERROR(__xludf.DUMMYFUNCTION("VLOOKUP(I20, IMPORTRANGE(""https://docs.google.com/spreadsheets/d/1yDAaXNsi4Mr5FtRQL4tbmSdIzhx6_m4wkOD7IG-k_eo/edit#gid=0"", ""Maths!M:N""), 2, FALSE)"),"Define an obtuse angle.")</f>
        <v>Define an obtuse angle.</v>
      </c>
      <c r="K20" s="10" t="str">
        <f t="shared" si="1"/>
        <v>LU000257.002</v>
      </c>
      <c r="L20" s="10" t="str">
        <f ca="1">IFERROR(__xludf.DUMMYFUNCTION("VLOOKUP(K20, IMPORTRANGE(""https://docs.google.com/spreadsheets/d/1yDAaXNsi4Mr5FtRQL4tbmSdIzhx6_m4wkOD7IG-k_eo/edit#gid=0"", ""Maths!M:N""), 2, FALSE)"),"Explain the concept of an obtuse angle in your own words, including its relation to right angles.")</f>
        <v>Explain the concept of an obtuse angle in your own words, including its relation to right angles.</v>
      </c>
      <c r="M20" s="10" t="str">
        <f t="shared" si="2"/>
        <v>LU000257.003</v>
      </c>
      <c r="N20" s="10" t="str">
        <f ca="1">IFERROR(__xludf.DUMMYFUNCTION("VLOOKUP(M20, IMPORTRANGE(""https://docs.google.com/spreadsheets/d/1yDAaXNsi4Mr5FtRQL4tbmSdIzhx6_m4wkOD7IG-k_eo/edit#gid=0"", ""Maths!M:N""), 2, FALSE)"),"Use knowledge of obtuse angles to identify and measure them in geometric figures or objects in the environment.")</f>
        <v>Use knowledge of obtuse angles to identify and measure them in geometric figures or objects in the environment.</v>
      </c>
      <c r="O20" s="10" t="str">
        <f t="shared" si="3"/>
        <v>LU000257.004</v>
      </c>
      <c r="P20" s="10" t="str">
        <f ca="1">IFERROR(__xludf.DUMMYFUNCTION("VLOOKUP(O20, IMPORTRANGE(""https://docs.google.com/spreadsheets/d/1yDAaXNsi4Mr5FtRQL4tbmSdIzhx6_m4wkOD7IG-k_eo/edit#gid=0"", ""Maths!M:N""), 2, FALSE)"),"Analyse geometric figures to identify obtuse angles within them.")</f>
        <v>Analyse geometric figures to identify obtuse angles within them.</v>
      </c>
      <c r="Q20" s="10" t="str">
        <f t="shared" si="4"/>
        <v>LU000257.005</v>
      </c>
      <c r="R20" s="10" t="str">
        <f ca="1">IFERROR(__xludf.DUMMYFUNCTION("VLOOKUP(Q20, IMPORTRANGE(""https://docs.google.com/spreadsheets/d/1yDAaXNsi4Mr5FtRQL4tbmSdIzhx6_m4wkOD7IG-k_eo/edit#gid=0"", ""Maths!M:N""), 2, FALSE)"),"Critique the importance of understanding obtuse angles in geometry and its relevance to solving practical problems.")</f>
        <v>Critique the importance of understanding obtuse angles in geometry and its relevance to solving practical problems.</v>
      </c>
      <c r="S20" s="10" t="str">
        <f t="shared" si="5"/>
        <v>LU000257.006</v>
      </c>
      <c r="T20" s="10" t="str">
        <f ca="1">IFERROR(__xludf.DUMMYFUNCTION("VLOOKUP(S20, IMPORTRANGE(""https://docs.google.com/spreadsheets/d/1yDAaXNsi4Mr5FtRQL4tbmSdIzhx6_m4wkOD7IG-k_eo/edit#gid=0"", ""Maths!M:N""), 2, FALSE)"),"Create diagrams showcasing examples of an obtuse.")</f>
        <v>Create diagrams showcasing examples of an obtuse.</v>
      </c>
      <c r="U20" s="11">
        <f ca="1">IFERROR(__xludf.DUMMYFUNCTION("ArrayFormula(VLOOKUP(G20, IMPORTRANGE(""https://docs.google.com/spreadsheets/d/1p7R4vtkWt5VOBim4ltsDG9KTzSjrtKXsMtQGXPHyND0/edit#gid=795171502"", ""'Filter 30_05_2024'!A1:M2000""), {2, 3, 4, 5,6,7,8,9,10,11,12,13}, 0))"),5)</f>
        <v>5</v>
      </c>
      <c r="V20" s="11">
        <f ca="1">IFERROR(__xludf.DUMMYFUNCTION("""COMPUTED_VALUE"""),6)</f>
        <v>6</v>
      </c>
      <c r="W20" s="11">
        <f ca="1">IFERROR(__xludf.DUMMYFUNCTION("""COMPUTED_VALUE"""),2)</f>
        <v>2</v>
      </c>
      <c r="X20" s="11">
        <f ca="1">IFERROR(__xludf.DUMMYFUNCTION("""COMPUTED_VALUE"""),13)</f>
        <v>13</v>
      </c>
      <c r="Y20" s="11">
        <f ca="1">IFERROR(__xludf.DUMMYFUNCTION("""COMPUTED_VALUE"""),4)</f>
        <v>4</v>
      </c>
      <c r="Z20" s="12">
        <f ca="1">IFERROR(__xludf.DUMMYFUNCTION("""COMPUTED_VALUE"""),3)</f>
        <v>3</v>
      </c>
      <c r="AA20" s="12">
        <f ca="1">IFERROR(__xludf.DUMMYFUNCTION("""COMPUTED_VALUE"""),1)</f>
        <v>1</v>
      </c>
      <c r="AB20" s="12">
        <f ca="1">IFERROR(__xludf.DUMMYFUNCTION("""COMPUTED_VALUE"""),8)</f>
        <v>8</v>
      </c>
      <c r="AC20" s="11"/>
      <c r="AD20" s="12"/>
      <c r="AE20" s="12"/>
      <c r="AF20" s="12"/>
      <c r="AG20" s="13" t="str">
        <f ca="1">IFERROR(__xludf.DUMMYFUNCTION("ArrayFormula(VLOOKUP(G20, IMPORTRANGE(""https://docs.google.com/spreadsheets/d/1Co934fvtviyaRiMsrIlT05Jaq7iiYq07aLvRr35KA48/edit?gid=173865642#gid=173865642"", ""'G6_Maths GP_Pri_LU'!G2:V2000""), {3, 4, 5, 6, 7, 8, 9, 10, 11, 12, 13, 14, 15, 16}, 0))"),"LU000259")</f>
        <v>LU000259</v>
      </c>
      <c r="AH20" s="13" t="str">
        <f ca="1">IFERROR(__xludf.DUMMYFUNCTION("""COMPUTED_VALUE"""),"Definition of a straight angle")</f>
        <v>Definition of a straight angle</v>
      </c>
      <c r="AI20" s="13" t="str">
        <f ca="1">IFERROR(__xludf.DUMMYFUNCTION("""COMPUTED_VALUE"""),"LU000017")</f>
        <v>LU000017</v>
      </c>
      <c r="AJ20" s="13" t="str">
        <f ca="1">IFERROR(__xludf.DUMMYFUNCTION("""COMPUTED_VALUE"""),"Definition of a right angle")</f>
        <v>Definition of a right angle</v>
      </c>
      <c r="AK20" s="13" t="str">
        <f ca="1">IFERROR(__xludf.DUMMYFUNCTION("""COMPUTED_VALUE"""),"LU000228")</f>
        <v>LU000228</v>
      </c>
      <c r="AL20" s="13" t="str">
        <f ca="1">IFERROR(__xludf.DUMMYFUNCTION("""COMPUTED_VALUE"""),"Parts of an angle")</f>
        <v>Parts of an angle</v>
      </c>
      <c r="AM20" s="13" t="str">
        <f ca="1">IFERROR(__xludf.DUMMYFUNCTION("""COMPUTED_VALUE"""),"LU000024")</f>
        <v>LU000024</v>
      </c>
      <c r="AN20" s="13" t="str">
        <f ca="1">IFERROR(__xludf.DUMMYFUNCTION("""COMPUTED_VALUE"""),"Definition of degree as unit to measure an angle")</f>
        <v>Definition of degree as unit to measure an angle</v>
      </c>
      <c r="AO20" s="13" t="str">
        <f ca="1">IFERROR(__xludf.DUMMYFUNCTION("""COMPUTED_VALUE"""),"LU000024")</f>
        <v>LU000024</v>
      </c>
      <c r="AP20" s="13" t="str">
        <f ca="1">IFERROR(__xludf.DUMMYFUNCTION("""COMPUTED_VALUE"""),"Definition of degree as unit to measure an angle")</f>
        <v>Definition of degree as unit to measure an angle</v>
      </c>
      <c r="AQ20" s="13"/>
      <c r="AR20" s="13"/>
      <c r="AS20" s="13"/>
      <c r="AT20" s="13"/>
    </row>
    <row r="21" spans="1:46" ht="15.75" customHeight="1">
      <c r="A21" s="8" t="s">
        <v>46</v>
      </c>
      <c r="B21" s="8" t="s">
        <v>47</v>
      </c>
      <c r="C21" s="8" t="s">
        <v>48</v>
      </c>
      <c r="D21" s="8" t="s">
        <v>49</v>
      </c>
      <c r="E21" s="8" t="s">
        <v>58</v>
      </c>
      <c r="F21" s="8" t="s">
        <v>79</v>
      </c>
      <c r="G21" s="16" t="s">
        <v>82</v>
      </c>
      <c r="H21" s="8" t="str">
        <f ca="1">IFERROR(__xludf.DUMMYFUNCTION("VLOOKUP(G21, IMPORTRANGE(""https://docs.google.com/spreadsheets/d/14deopnvwcrKtEGCKuYXdUHJbeLDZlkiSSWWT0g7x2pM/edit#gid=999382323"", ""LU List Maths (Filter)!A:B""), 2, FALSE)"),"Definition of a reflex angle")</f>
        <v>Definition of a reflex angle</v>
      </c>
      <c r="I21" s="10" t="str">
        <f t="shared" si="0"/>
        <v>LU000258.001</v>
      </c>
      <c r="J21" s="10" t="str">
        <f ca="1">IFERROR(__xludf.DUMMYFUNCTION("VLOOKUP(I21, IMPORTRANGE(""https://docs.google.com/spreadsheets/d/1yDAaXNsi4Mr5FtRQL4tbmSdIzhx6_m4wkOD7IG-k_eo/edit#gid=0"", ""Maths!M:N""), 2, FALSE)"),"Define a reflex angle.")</f>
        <v>Define a reflex angle.</v>
      </c>
      <c r="K21" s="10" t="str">
        <f t="shared" si="1"/>
        <v>LU000258.002</v>
      </c>
      <c r="L21" s="10" t="str">
        <f ca="1">IFERROR(__xludf.DUMMYFUNCTION("VLOOKUP(K21, IMPORTRANGE(""https://docs.google.com/spreadsheets/d/1yDAaXNsi4Mr5FtRQL4tbmSdIzhx6_m4wkOD7IG-k_eo/edit#gid=0"", ""Maths!M:N""), 2, FALSE)"),"Explain the concept of a reflex angle in your own words, including its relation to right angles.")</f>
        <v>Explain the concept of a reflex angle in your own words, including its relation to right angles.</v>
      </c>
      <c r="M21" s="10" t="str">
        <f t="shared" si="2"/>
        <v>LU000258.003</v>
      </c>
      <c r="N21" s="10" t="str">
        <f ca="1">IFERROR(__xludf.DUMMYFUNCTION("VLOOKUP(M21, IMPORTRANGE(""https://docs.google.com/spreadsheets/d/1yDAaXNsi4Mr5FtRQL4tbmSdIzhx6_m4wkOD7IG-k_eo/edit#gid=0"", ""Maths!M:N""), 2, FALSE)"),"Use knowledge of reflex angles to identify and measure them in geometric figures or objects in the environment.")</f>
        <v>Use knowledge of reflex angles to identify and measure them in geometric figures or objects in the environment.</v>
      </c>
      <c r="O21" s="10" t="str">
        <f t="shared" si="3"/>
        <v>LU000258.004</v>
      </c>
      <c r="P21" s="10" t="str">
        <f ca="1">IFERROR(__xludf.DUMMYFUNCTION("VLOOKUP(O21, IMPORTRANGE(""https://docs.google.com/spreadsheets/d/1yDAaXNsi4Mr5FtRQL4tbmSdIzhx6_m4wkOD7IG-k_eo/edit#gid=0"", ""Maths!M:N""), 2, FALSE)"),"Compare a given set of angles with a reflex angle.")</f>
        <v>Compare a given set of angles with a reflex angle.</v>
      </c>
      <c r="Q21" s="10" t="str">
        <f t="shared" si="4"/>
        <v>LU000258.005</v>
      </c>
      <c r="R21" s="10" t="str">
        <f ca="1">IFERROR(__xludf.DUMMYFUNCTION("VLOOKUP(Q21, IMPORTRANGE(""https://docs.google.com/spreadsheets/d/1yDAaXNsi4Mr5FtRQL4tbmSdIzhx6_m4wkOD7IG-k_eo/edit#gid=0"", ""Maths!M:N""), 2, FALSE)"),"Critique the importance of understanding reflex angles in geometry and its relevance to solving practical problems.")</f>
        <v>Critique the importance of understanding reflex angles in geometry and its relevance to solving practical problems.</v>
      </c>
      <c r="S21" s="10" t="str">
        <f t="shared" si="5"/>
        <v>LU000258.006</v>
      </c>
      <c r="T21" s="10" t="str">
        <f ca="1">IFERROR(__xludf.DUMMYFUNCTION("VLOOKUP(S21, IMPORTRANGE(""https://docs.google.com/spreadsheets/d/1yDAaXNsi4Mr5FtRQL4tbmSdIzhx6_m4wkOD7IG-k_eo/edit#gid=0"", ""Maths!M:N""), 2, FALSE)"),"Create diagrams showcasing examples of a reflex.")</f>
        <v>Create diagrams showcasing examples of a reflex.</v>
      </c>
      <c r="U21" s="11">
        <f ca="1">IFERROR(__xludf.DUMMYFUNCTION("ArrayFormula(VLOOKUP(G21, IMPORTRANGE(""https://docs.google.com/spreadsheets/d/1p7R4vtkWt5VOBim4ltsDG9KTzSjrtKXsMtQGXPHyND0/edit#gid=795171502"", ""'Filter 30_05_2024'!A1:M2000""), {2, 3, 4, 5,6,7,8,9,10,11,12,13}, 0))"),4)</f>
        <v>4</v>
      </c>
      <c r="V21" s="11">
        <f ca="1">IFERROR(__xludf.DUMMYFUNCTION("""COMPUTED_VALUE"""),4)</f>
        <v>4</v>
      </c>
      <c r="W21" s="11">
        <f ca="1">IFERROR(__xludf.DUMMYFUNCTION("""COMPUTED_VALUE"""),11)</f>
        <v>11</v>
      </c>
      <c r="X21" s="11">
        <f ca="1">IFERROR(__xludf.DUMMYFUNCTION("""COMPUTED_VALUE"""),19)</f>
        <v>19</v>
      </c>
      <c r="Y21" s="11">
        <f ca="1">IFERROR(__xludf.DUMMYFUNCTION("""COMPUTED_VALUE"""),4)</f>
        <v>4</v>
      </c>
      <c r="Z21" s="12">
        <f ca="1">IFERROR(__xludf.DUMMYFUNCTION("""COMPUTED_VALUE"""),5)</f>
        <v>5</v>
      </c>
      <c r="AA21" s="12">
        <f ca="1">IFERROR(__xludf.DUMMYFUNCTION("""COMPUTED_VALUE"""),3)</f>
        <v>3</v>
      </c>
      <c r="AB21" s="12">
        <f ca="1">IFERROR(__xludf.DUMMYFUNCTION("""COMPUTED_VALUE"""),12)</f>
        <v>12</v>
      </c>
      <c r="AC21" s="11"/>
      <c r="AD21" s="12"/>
      <c r="AE21" s="12"/>
      <c r="AF21" s="12"/>
      <c r="AG21" s="13" t="str">
        <f ca="1">IFERROR(__xludf.DUMMYFUNCTION("ArrayFormula(VLOOKUP(G21, IMPORTRANGE(""https://docs.google.com/spreadsheets/d/1Co934fvtviyaRiMsrIlT05Jaq7iiYq07aLvRr35KA48/edit?gid=173865642#gid=173865642"", ""'G6_Maths GP_Pri_LU'!G2:V2000""), {3, 4, 5, 6, 7, 8, 9, 10, 11, 12, 13, 14, 15, 16}, 0))"),"LU000259")</f>
        <v>LU000259</v>
      </c>
      <c r="AH21" s="13" t="str">
        <f ca="1">IFERROR(__xludf.DUMMYFUNCTION("""COMPUTED_VALUE"""),"Definition of a straight angle")</f>
        <v>Definition of a straight angle</v>
      </c>
      <c r="AI21" s="13" t="str">
        <f ca="1">IFERROR(__xludf.DUMMYFUNCTION("""COMPUTED_VALUE"""),"LU000228")</f>
        <v>LU000228</v>
      </c>
      <c r="AJ21" s="13" t="str">
        <f ca="1">IFERROR(__xludf.DUMMYFUNCTION("""COMPUTED_VALUE"""),"Parts of an angle")</f>
        <v>Parts of an angle</v>
      </c>
      <c r="AK21" s="13" t="str">
        <f ca="1">IFERROR(__xludf.DUMMYFUNCTION("""COMPUTED_VALUE"""),"LU000024")</f>
        <v>LU000024</v>
      </c>
      <c r="AL21" s="13" t="str">
        <f ca="1">IFERROR(__xludf.DUMMYFUNCTION("""COMPUTED_VALUE"""),"Definition of degree as unit to measure an angle")</f>
        <v>Definition of degree as unit to measure an angle</v>
      </c>
      <c r="AM21" s="13" t="str">
        <f ca="1">IFERROR(__xludf.DUMMYFUNCTION("""COMPUTED_VALUE"""),"LU000024")</f>
        <v>LU000024</v>
      </c>
      <c r="AN21" s="13" t="str">
        <f ca="1">IFERROR(__xludf.DUMMYFUNCTION("""COMPUTED_VALUE"""),"Definition of degree as unit to measure an angle")</f>
        <v>Definition of degree as unit to measure an angle</v>
      </c>
      <c r="AO21" s="13"/>
      <c r="AP21" s="13"/>
      <c r="AQ21" s="13"/>
      <c r="AR21" s="13"/>
      <c r="AS21" s="13"/>
      <c r="AT21" s="13"/>
    </row>
    <row r="22" spans="1:46" ht="52.8">
      <c r="A22" s="8" t="s">
        <v>46</v>
      </c>
      <c r="B22" s="8" t="s">
        <v>47</v>
      </c>
      <c r="C22" s="8" t="s">
        <v>48</v>
      </c>
      <c r="D22" s="8" t="s">
        <v>49</v>
      </c>
      <c r="E22" s="8" t="s">
        <v>83</v>
      </c>
      <c r="F22" s="9" t="s">
        <v>84</v>
      </c>
      <c r="G22" s="17" t="s">
        <v>85</v>
      </c>
      <c r="H22" s="18" t="s">
        <v>86</v>
      </c>
      <c r="I22" s="10" t="str">
        <f t="shared" si="0"/>
        <v>LU000154.001</v>
      </c>
      <c r="J22" s="10" t="str">
        <f ca="1">IFERROR(__xludf.DUMMYFUNCTION("VLOOKUP(I22, IMPORTRANGE(""https://docs.google.com/spreadsheets/d/1yDAaXNsi4Mr5FtRQL4tbmSdIzhx6_m4wkOD7IG-k_eo/edit#gid=0"", ""Maths!M:N""), 2, FALSE)"),"Identify the symbols (&gt;, &lt;, =) used for comparison of numbers.")</f>
        <v>Identify the symbols (&gt;, &lt;, =) used for comparison of numbers.</v>
      </c>
      <c r="K22" s="10" t="str">
        <f t="shared" si="1"/>
        <v>LU000154.002</v>
      </c>
      <c r="L22" s="10" t="str">
        <f ca="1">IFERROR(__xludf.DUMMYFUNCTION("VLOOKUP(K22, IMPORTRANGE(""https://docs.google.com/spreadsheets/d/1yDAaXNsi4Mr5FtRQL4tbmSdIzhx6_m4wkOD7IG-k_eo/edit#gid=0"", ""Maths!M:N""), 2, FALSE)"),"Explain the concept of comparing numbers and the significance of using comparison symbols to represent relationships between numbers.")</f>
        <v>Explain the concept of comparing numbers and the significance of using comparison symbols to represent relationships between numbers.</v>
      </c>
      <c r="M22" s="10" t="str">
        <f t="shared" si="2"/>
        <v>LU000154.003</v>
      </c>
      <c r="N22" s="10" t="str">
        <f ca="1">IFERROR(__xludf.DUMMYFUNCTION("VLOOKUP(M22, IMPORTRANGE(""https://docs.google.com/spreadsheets/d/1yDAaXNsi4Mr5FtRQL4tbmSdIzhx6_m4wkOD7IG-k_eo/edit#gid=0"", ""Maths!M:N""), 2, FALSE)"),"Apply the comparison symbols to correctly compare pairs of numbers and determine their order.")</f>
        <v>Apply the comparison symbols to correctly compare pairs of numbers and determine their order.</v>
      </c>
      <c r="O22" s="10" t="str">
        <f t="shared" si="3"/>
        <v>LU000154.004</v>
      </c>
      <c r="P22" s="10" t="str">
        <f ca="1">IFERROR(__xludf.DUMMYFUNCTION("VLOOKUP(O22, IMPORTRANGE(""https://docs.google.com/spreadsheets/d/1yDAaXNsi4Mr5FtRQL4tbmSdIzhx6_m4wkOD7IG-k_eo/edit#gid=0"", ""Maths!M:N""), 2, FALSE)"),"Analyze the properties of different numbers to predict their order when compared, considering place value.")</f>
        <v>Analyze the properties of different numbers to predict their order when compared, considering place value.</v>
      </c>
      <c r="Q22" s="10" t="str">
        <f t="shared" si="4"/>
        <v>LU000154.005</v>
      </c>
      <c r="R22" s="10" t="str">
        <f ca="1">IFERROR(__xludf.DUMMYFUNCTION("VLOOKUP(Q22, IMPORTRANGE(""https://docs.google.com/spreadsheets/d/1yDAaXNsi4Mr5FtRQL4tbmSdIzhx6_m4wkOD7IG-k_eo/edit#gid=0"", ""Maths!M:N""), 2, FALSE)"),"Evaluate the importance of accurate number comparison in real-world situations, such as making decisions based on quantities.")</f>
        <v>Evaluate the importance of accurate number comparison in real-world situations, such as making decisions based on quantities.</v>
      </c>
      <c r="S22" s="10" t="str">
        <f t="shared" si="5"/>
        <v>LU000154.006</v>
      </c>
      <c r="T22" s="10" t="str">
        <f ca="1">IFERROR(__xludf.DUMMYFUNCTION("VLOOKUP(S22, IMPORTRANGE(""https://docs.google.com/spreadsheets/d/1yDAaXNsi4Mr5FtRQL4tbmSdIzhx6_m4wkOD7IG-k_eo/edit#gid=0"", ""Maths!M:N""), 2, FALSE)"),"Design a set of word problems that require students to compare numbers in various contexts.")</f>
        <v>Design a set of word problems that require students to compare numbers in various contexts.</v>
      </c>
      <c r="U22" s="11">
        <f ca="1">IFERROR(__xludf.DUMMYFUNCTION("ArrayFormula(VLOOKUP(G22, IMPORTRANGE(""https://docs.google.com/spreadsheets/d/1p7R4vtkWt5VOBim4ltsDG9KTzSjrtKXsMtQGXPHyND0/edit#gid=795171502"", ""'Filter 30_05_2024'!A1:M2000""), {2, 3, 4, 5,6,7,8,9,10,11,12,13}, 0))"),5)</f>
        <v>5</v>
      </c>
      <c r="V22" s="11">
        <f ca="1">IFERROR(__xludf.DUMMYFUNCTION("""COMPUTED_VALUE"""),6)</f>
        <v>6</v>
      </c>
      <c r="W22" s="11">
        <f ca="1">IFERROR(__xludf.DUMMYFUNCTION("""COMPUTED_VALUE"""),2)</f>
        <v>2</v>
      </c>
      <c r="X22" s="11">
        <f ca="1">IFERROR(__xludf.DUMMYFUNCTION("""COMPUTED_VALUE"""),13)</f>
        <v>13</v>
      </c>
      <c r="Y22" s="11">
        <f ca="1">IFERROR(__xludf.DUMMYFUNCTION("""COMPUTED_VALUE"""),7)</f>
        <v>7</v>
      </c>
      <c r="Z22" s="12">
        <f ca="1">IFERROR(__xludf.DUMMYFUNCTION("""COMPUTED_VALUE"""),4)</f>
        <v>4</v>
      </c>
      <c r="AA22" s="12">
        <f ca="1">IFERROR(__xludf.DUMMYFUNCTION("""COMPUTED_VALUE"""),1)</f>
        <v>1</v>
      </c>
      <c r="AB22" s="12">
        <f ca="1">IFERROR(__xludf.DUMMYFUNCTION("""COMPUTED_VALUE"""),12)</f>
        <v>12</v>
      </c>
      <c r="AC22" s="11"/>
      <c r="AD22" s="12"/>
      <c r="AE22" s="12"/>
      <c r="AF22" s="12"/>
      <c r="AG22" s="13" t="str">
        <f ca="1">IFERROR(__xludf.DUMMYFUNCTION("ArrayFormula(VLOOKUP(G22, IMPORTRANGE(""https://docs.google.com/spreadsheets/d/1Co934fvtviyaRiMsrIlT05Jaq7iiYq07aLvRr35KA48/edit?gid=173865642#gid=173865642"", ""'G6_Maths GP_Pri_LU'!G2:V2000""), {3, 4, 5, 6, 7, 8, 9, 10, 11, 12, 13, 14, 15, 16}, 0))"),"LU000153")</f>
        <v>LU000153</v>
      </c>
      <c r="AH22" s="13" t="str">
        <f ca="1">IFERROR(__xludf.DUMMYFUNCTION("""COMPUTED_VALUE"""),"Place value system in whole numbers (upto 9-digit numbers)")</f>
        <v>Place value system in whole numbers (upto 9-digit numbers)</v>
      </c>
      <c r="AI22" s="13" t="str">
        <f ca="1">IFERROR(__xludf.DUMMYFUNCTION("""COMPUTED_VALUE"""),"LU000945")</f>
        <v>LU000945</v>
      </c>
      <c r="AJ22" s="13" t="str">
        <f ca="1">IFERROR(__xludf.DUMMYFUNCTION("""COMPUTED_VALUE"""),"Formation of number using given digits")</f>
        <v>Formation of number using given digits</v>
      </c>
      <c r="AK22" s="13"/>
      <c r="AL22" s="13"/>
      <c r="AM22" s="13"/>
      <c r="AN22" s="13"/>
      <c r="AO22" s="13"/>
      <c r="AP22" s="13"/>
      <c r="AQ22" s="13"/>
      <c r="AR22" s="13"/>
      <c r="AS22" s="13"/>
      <c r="AT22" s="13"/>
    </row>
    <row r="23" spans="1:46" ht="39.6">
      <c r="A23" s="8" t="s">
        <v>46</v>
      </c>
      <c r="B23" s="8" t="s">
        <v>47</v>
      </c>
      <c r="C23" s="8" t="s">
        <v>48</v>
      </c>
      <c r="D23" s="8" t="s">
        <v>49</v>
      </c>
      <c r="E23" s="8" t="s">
        <v>83</v>
      </c>
      <c r="F23" s="9" t="s">
        <v>84</v>
      </c>
      <c r="G23" s="17" t="s">
        <v>87</v>
      </c>
      <c r="H23" s="18" t="s">
        <v>88</v>
      </c>
      <c r="I23" s="10" t="str">
        <f t="shared" si="0"/>
        <v>LU000155.001</v>
      </c>
      <c r="J23" s="10" t="str">
        <f ca="1">IFERROR(__xludf.DUMMYFUNCTION("VLOOKUP(I23, IMPORTRANGE(""https://docs.google.com/spreadsheets/d/1yDAaXNsi4Mr5FtRQL4tbmSdIzhx6_m4wkOD7IG-k_eo/edit#gid=0"", ""Maths!M:N""), 2, FALSE)"),"Identify and recall the basic principles of ordering whole numbers up to nine digits.")</f>
        <v>Identify and recall the basic principles of ordering whole numbers up to nine digits.</v>
      </c>
      <c r="K23" s="10" t="str">
        <f t="shared" si="1"/>
        <v>LU000155.002</v>
      </c>
      <c r="L23" s="10" t="str">
        <f ca="1">IFERROR(__xludf.DUMMYFUNCTION("VLOOKUP(K23, IMPORTRANGE(""https://docs.google.com/spreadsheets/d/1yDAaXNsi4Mr5FtRQL4tbmSdIzhx6_m4wkOD7IG-k_eo/edit#gid=0"", ""Maths!M:N""), 2, FALSE)"),"Explain the reasoning behind the order of whole numbers up to nine digits.")</f>
        <v>Explain the reasoning behind the order of whole numbers up to nine digits.</v>
      </c>
      <c r="M23" s="10" t="str">
        <f t="shared" si="2"/>
        <v>LU000155.003</v>
      </c>
      <c r="N23" s="10" t="str">
        <f ca="1">IFERROR(__xludf.DUMMYFUNCTION("VLOOKUP(M23, IMPORTRANGE(""https://docs.google.com/spreadsheets/d/1yDAaXNsi4Mr5FtRQL4tbmSdIzhx6_m4wkOD7IG-k_eo/edit#gid=0"", ""Maths!M:N""), 2, FALSE)"),"Arrange a set of given whole numbers in ascending or descending order.")</f>
        <v>Arrange a set of given whole numbers in ascending or descending order.</v>
      </c>
      <c r="O23" s="10" t="str">
        <f t="shared" si="3"/>
        <v>LU000155.004</v>
      </c>
      <c r="P23" s="10" t="str">
        <f ca="1">IFERROR(__xludf.DUMMYFUNCTION("VLOOKUP(O23, IMPORTRANGE(""https://docs.google.com/spreadsheets/d/1yDAaXNsi4Mr5FtRQL4tbmSdIzhx6_m4wkOD7IG-k_eo/edit#gid=0"", ""Maths!M:N""), 2, FALSE)"),"Analyze a sequence of whole numbers and determine their order based on place value and digit comparison.")</f>
        <v>Analyze a sequence of whole numbers and determine their order based on place value and digit comparison.</v>
      </c>
      <c r="Q23" s="10" t="str">
        <f t="shared" si="4"/>
        <v>LU000155.005</v>
      </c>
      <c r="R23" s="10" t="str">
        <f ca="1">IFERROR(__xludf.DUMMYFUNCTION("VLOOKUP(Q23, IMPORTRANGE(""https://docs.google.com/spreadsheets/d/1yDAaXNsi4Mr5FtRQL4tbmSdIzhx6_m4wkOD7IG-k_eo/edit#gid=0"", ""Maths!M:N""), 2, FALSE)"),"Evaluate the importance of accurately ordering numbers in various real-life scenarios, such as arranging items by quantity or priority.")</f>
        <v>Evaluate the importance of accurately ordering numbers in various real-life scenarios, such as arranging items by quantity or priority.</v>
      </c>
      <c r="S23" s="10" t="str">
        <f t="shared" si="5"/>
        <v>LU000155.006</v>
      </c>
      <c r="T23" s="10" t="str">
        <f ca="1">IFERROR(__xludf.DUMMYFUNCTION("VLOOKUP(S23, IMPORTRANGE(""https://docs.google.com/spreadsheets/d/1yDAaXNsi4Mr5FtRQL4tbmSdIzhx6_m4wkOD7IG-k_eo/edit#gid=0"", ""Maths!M:N""), 2, FALSE)"),"Design a set of challenging problems or puzzles that require students to use their understanding of ordering whole numbers to solve complex problems.")</f>
        <v>Design a set of challenging problems or puzzles that require students to use their understanding of ordering whole numbers to solve complex problems.</v>
      </c>
      <c r="U23" s="11">
        <f ca="1">IFERROR(__xludf.DUMMYFUNCTION("ArrayFormula(VLOOKUP(G23, IMPORTRANGE(""https://docs.google.com/spreadsheets/d/1p7R4vtkWt5VOBim4ltsDG9KTzSjrtKXsMtQGXPHyND0/edit#gid=795171502"", ""'Filter 30_05_2024'!A1:M2000""), {2, 3, 4, 5,6,7,8,9,10,11,12,13}, 0))"),4)</f>
        <v>4</v>
      </c>
      <c r="V23" s="11">
        <f ca="1">IFERROR(__xludf.DUMMYFUNCTION("""COMPUTED_VALUE"""),11)</f>
        <v>11</v>
      </c>
      <c r="W23" s="11">
        <f ca="1">IFERROR(__xludf.DUMMYFUNCTION("""COMPUTED_VALUE"""),2)</f>
        <v>2</v>
      </c>
      <c r="X23" s="11">
        <f ca="1">IFERROR(__xludf.DUMMYFUNCTION("""COMPUTED_VALUE"""),17)</f>
        <v>17</v>
      </c>
      <c r="Y23" s="11">
        <f ca="1">IFERROR(__xludf.DUMMYFUNCTION("""COMPUTED_VALUE"""),4)</f>
        <v>4</v>
      </c>
      <c r="Z23" s="12">
        <f ca="1">IFERROR(__xludf.DUMMYFUNCTION("""COMPUTED_VALUE"""),6)</f>
        <v>6</v>
      </c>
      <c r="AA23" s="12">
        <f ca="1">IFERROR(__xludf.DUMMYFUNCTION("""COMPUTED_VALUE"""),1)</f>
        <v>1</v>
      </c>
      <c r="AB23" s="12">
        <f ca="1">IFERROR(__xludf.DUMMYFUNCTION("""COMPUTED_VALUE"""),11)</f>
        <v>11</v>
      </c>
      <c r="AC23" s="11"/>
      <c r="AD23" s="12"/>
      <c r="AE23" s="12"/>
      <c r="AF23" s="12"/>
      <c r="AG23" s="13" t="str">
        <f ca="1">IFERROR(__xludf.DUMMYFUNCTION("ArrayFormula(VLOOKUP(G23, IMPORTRANGE(""https://docs.google.com/spreadsheets/d/1Co934fvtviyaRiMsrIlT05Jaq7iiYq07aLvRr35KA48/edit?gid=173865642#gid=173865642"", ""'G6_Maths GP_Pri_LU'!G2:V2000""), {3, 4, 5, 6, 7, 8, 9, 10, 11, 12, 13, 14, 15, 16}, 0))"),"LU000154")</f>
        <v>LU000154</v>
      </c>
      <c r="AH23" s="13" t="str">
        <f ca="1">IFERROR(__xludf.DUMMYFUNCTION("""COMPUTED_VALUE"""),"Comparison of whole numbers (upto 9-digit numbers)")</f>
        <v>Comparison of whole numbers (upto 9-digit numbers)</v>
      </c>
      <c r="AI23" s="13" t="str">
        <f ca="1">IFERROR(__xludf.DUMMYFUNCTION("""COMPUTED_VALUE"""),"LU000945")</f>
        <v>LU000945</v>
      </c>
      <c r="AJ23" s="13" t="str">
        <f ca="1">IFERROR(__xludf.DUMMYFUNCTION("""COMPUTED_VALUE"""),"Formation of number using given digits")</f>
        <v>Formation of number using given digits</v>
      </c>
      <c r="AK23" s="13" t="str">
        <f ca="1">IFERROR(__xludf.DUMMYFUNCTION("""COMPUTED_VALUE"""),"LU000153")</f>
        <v>LU000153</v>
      </c>
      <c r="AL23" s="13" t="str">
        <f ca="1">IFERROR(__xludf.DUMMYFUNCTION("""COMPUTED_VALUE"""),"Place value system in whole numbers (upto 9-digit numbers)")</f>
        <v>Place value system in whole numbers (upto 9-digit numbers)</v>
      </c>
      <c r="AM23" s="13"/>
      <c r="AN23" s="13"/>
      <c r="AO23" s="13"/>
      <c r="AP23" s="13"/>
      <c r="AQ23" s="13"/>
      <c r="AR23" s="13"/>
      <c r="AS23" s="13"/>
      <c r="AT23" s="13"/>
    </row>
    <row r="24" spans="1:46" ht="15.75" customHeight="1">
      <c r="A24" s="8" t="s">
        <v>46</v>
      </c>
      <c r="B24" s="8" t="s">
        <v>47</v>
      </c>
      <c r="C24" s="8" t="s">
        <v>48</v>
      </c>
      <c r="D24" s="8" t="s">
        <v>49</v>
      </c>
      <c r="E24" s="8" t="s">
        <v>83</v>
      </c>
      <c r="F24" s="9" t="s">
        <v>84</v>
      </c>
      <c r="G24" s="19" t="s">
        <v>89</v>
      </c>
      <c r="H24" s="8" t="str">
        <f ca="1">IFERROR(__xludf.DUMMYFUNCTION("VLOOKUP(G24, IMPORTRANGE(""https://docs.google.com/spreadsheets/d/14deopnvwcrKtEGCKuYXdUHJbeLDZlkiSSWWT0g7x2pM/edit#gid=999382323"", ""LU List Maths (Filter)!A:B""), 2, FALSE)"),"Position of whole numbers(4 or 5-digit) on the number line")</f>
        <v>Position of whole numbers(4 or 5-digit) on the number line</v>
      </c>
      <c r="I24" s="10" t="str">
        <f t="shared" si="0"/>
        <v>LU001349.001</v>
      </c>
      <c r="J24" s="10" t="str">
        <f ca="1">IFERROR(__xludf.DUMMYFUNCTION("VLOOKUP(I24, IMPORTRANGE(""https://docs.google.com/spreadsheets/d/1yDAaXNsi4Mr5FtRQL4tbmSdIzhx6_m4wkOD7IG-k_eo/edit#gid=0"", ""Maths!M:N""), 2, FALSE)"),"Recall the sequence of 4 or 5-digit whole numbers on a number line.")</f>
        <v>Recall the sequence of 4 or 5-digit whole numbers on a number line.</v>
      </c>
      <c r="K24" s="10" t="str">
        <f t="shared" si="1"/>
        <v>LU001349.002</v>
      </c>
      <c r="L24" s="10" t="str">
        <f ca="1">IFERROR(__xludf.DUMMYFUNCTION("VLOOKUP(K24, IMPORTRANGE(""https://docs.google.com/spreadsheets/d/1yDAaXNsi4Mr5FtRQL4tbmSdIzhx6_m4wkOD7IG-k_eo/edit#gid=0"", ""Maths!M:N""), 2, FALSE)"),"Explain the relative positions of 4 or 5-digit numbers on a number line.")</f>
        <v>Explain the relative positions of 4 or 5-digit numbers on a number line.</v>
      </c>
      <c r="M24" s="10" t="str">
        <f t="shared" si="2"/>
        <v>LU001349.003</v>
      </c>
      <c r="N24" s="10" t="str">
        <f ca="1">IFERROR(__xludf.DUMMYFUNCTION("VLOOKUP(M24, IMPORTRANGE(""https://docs.google.com/spreadsheets/d/1yDAaXNsi4Mr5FtRQL4tbmSdIzhx6_m4wkOD7IG-k_eo/edit#gid=0"", ""Maths!M:N""), 2, FALSE)"),"Place a given 4 or 5-digit number in its correct position on a number line.")</f>
        <v>Place a given 4 or 5-digit number in its correct position on a number line.</v>
      </c>
      <c r="O24" s="10" t="str">
        <f t="shared" si="3"/>
        <v>LU001349.004</v>
      </c>
      <c r="P24" s="10" t="str">
        <f ca="1">IFERROR(__xludf.DUMMYFUNCTION("VLOOKUP(O24, IMPORTRANGE(""https://docs.google.com/spreadsheets/d/1yDAaXNsi4Mr5FtRQL4tbmSdIzhx6_m4wkOD7IG-k_eo/edit#gid=0"", ""Maths!M:N""), 2, FALSE)"),"Compare the positions of different 4 or 5-digit numbers on the number line.")</f>
        <v>Compare the positions of different 4 or 5-digit numbers on the number line.</v>
      </c>
      <c r="Q24" s="10" t="str">
        <f t="shared" si="4"/>
        <v>LU001349.005</v>
      </c>
      <c r="R24" s="10" t="str">
        <f ca="1">IFERROR(__xludf.DUMMYFUNCTION("VLOOKUP(Q24, IMPORTRANGE(""https://docs.google.com/spreadsheets/d/1yDAaXNsi4Mr5FtRQL4tbmSdIzhx6_m4wkOD7IG-k_eo/edit#gid=0"", ""Maths!M:N""), 2, FALSE)"),"Assess the accuracy of number placements on a number line.")</f>
        <v>Assess the accuracy of number placements on a number line.</v>
      </c>
      <c r="S24" s="10" t="str">
        <f t="shared" si="5"/>
        <v>LU001349.006</v>
      </c>
      <c r="T24" s="10" t="str">
        <f ca="1">IFERROR(__xludf.DUMMYFUNCTION("VLOOKUP(S24, IMPORTRANGE(""https://docs.google.com/spreadsheets/d/1yDAaXNsi4Mr5FtRQL4tbmSdIzhx6_m4wkOD7IG-k_eo/edit#gid=0"", ""Maths!M:N""), 2, FALSE)"),"Design a number line showing positions of a set of 4 or 5-digit numbers with appropriate intervals.")</f>
        <v>Design a number line showing positions of a set of 4 or 5-digit numbers with appropriate intervals.</v>
      </c>
      <c r="U24" s="11">
        <f ca="1">IFERROR(__xludf.DUMMYFUNCTION("ArrayFormula(VLOOKUP(G24, IMPORTRANGE(""https://docs.google.com/spreadsheets/d/1p7R4vtkWt5VOBim4ltsDG9KTzSjrtKXsMtQGXPHyND0/edit#gid=795171502"", ""'Filter 30_05_2024'!A1:M2000""), {2, 3, 4, 5,6,7,8,9,10,11,12,13}, 0))"),4)</f>
        <v>4</v>
      </c>
      <c r="V24" s="11">
        <f ca="1">IFERROR(__xludf.DUMMYFUNCTION("""COMPUTED_VALUE"""),6)</f>
        <v>6</v>
      </c>
      <c r="W24" s="11">
        <f ca="1">IFERROR(__xludf.DUMMYFUNCTION("""COMPUTED_VALUE"""),2)</f>
        <v>2</v>
      </c>
      <c r="X24" s="11">
        <f ca="1">IFERROR(__xludf.DUMMYFUNCTION("""COMPUTED_VALUE"""),12)</f>
        <v>12</v>
      </c>
      <c r="Y24" s="11">
        <f ca="1">IFERROR(__xludf.DUMMYFUNCTION("""COMPUTED_VALUE"""),4)</f>
        <v>4</v>
      </c>
      <c r="Z24" s="12">
        <f ca="1">IFERROR(__xludf.DUMMYFUNCTION("""COMPUTED_VALUE"""),3)</f>
        <v>3</v>
      </c>
      <c r="AA24" s="12">
        <f ca="1">IFERROR(__xludf.DUMMYFUNCTION("""COMPUTED_VALUE"""),1)</f>
        <v>1</v>
      </c>
      <c r="AB24" s="12">
        <f ca="1">IFERROR(__xludf.DUMMYFUNCTION("""COMPUTED_VALUE"""),8)</f>
        <v>8</v>
      </c>
      <c r="AC24" s="11"/>
      <c r="AD24" s="12"/>
      <c r="AE24" s="12"/>
      <c r="AF24" s="12"/>
      <c r="AG24" s="13" t="str">
        <f ca="1">IFERROR(__xludf.DUMMYFUNCTION("ArrayFormula(VLOOKUP(G24, IMPORTRANGE(""https://docs.google.com/spreadsheets/d/1Co934fvtviyaRiMsrIlT05Jaq7iiYq07aLvRr35KA48/edit?gid=173865642#gid=173865642"", ""'G6_Maths GP_Pri_LU'!G2:V2000""), {3, 4, 5, 6, 7, 8, 9, 10, 11, 12, 13, 14, 15, 16}, 0))"),"LU000179")</f>
        <v>LU000179</v>
      </c>
      <c r="AH24" s="13" t="str">
        <f ca="1">IFERROR(__xludf.DUMMYFUNCTION("""COMPUTED_VALUE"""),"Representation of whole numbers on a number line")</f>
        <v>Representation of whole numbers on a number line</v>
      </c>
      <c r="AI24" s="13"/>
      <c r="AJ24" s="13"/>
      <c r="AK24" s="13"/>
      <c r="AL24" s="13"/>
      <c r="AM24" s="13"/>
      <c r="AN24" s="13"/>
      <c r="AO24" s="13"/>
      <c r="AP24" s="13"/>
      <c r="AQ24" s="13"/>
      <c r="AR24" s="13"/>
      <c r="AS24" s="13"/>
      <c r="AT24" s="13"/>
    </row>
    <row r="25" spans="1:46" ht="15.75" customHeight="1">
      <c r="A25" s="8" t="s">
        <v>46</v>
      </c>
      <c r="B25" s="8" t="s">
        <v>47</v>
      </c>
      <c r="C25" s="8" t="s">
        <v>48</v>
      </c>
      <c r="D25" s="8" t="s">
        <v>49</v>
      </c>
      <c r="E25" s="8" t="s">
        <v>83</v>
      </c>
      <c r="F25" s="9" t="s">
        <v>90</v>
      </c>
      <c r="G25" s="19" t="s">
        <v>91</v>
      </c>
      <c r="H25" s="9" t="str">
        <f ca="1">IFERROR(__xludf.DUMMYFUNCTION("VLOOKUP(G25, IMPORTRANGE(""https://docs.google.com/spreadsheets/d/14deopnvwcrKtEGCKuYXdUHJbeLDZlkiSSWWT0g7x2pM/edit#gid=999382323"", ""LU List Maths (Filter)!A:B""), 2, FALSE)"),"Playing with digits: Digit sum, digit detectives (upto 5-digit)")</f>
        <v>Playing with digits: Digit sum, digit detectives (upto 5-digit)</v>
      </c>
      <c r="I25" s="10" t="str">
        <f t="shared" si="0"/>
        <v>LU001350.001</v>
      </c>
      <c r="J25" s="10" t="str">
        <f ca="1">IFERROR(__xludf.DUMMYFUNCTION("VLOOKUP(I25, IMPORTRANGE(""https://docs.google.com/spreadsheets/d/1yDAaXNsi4Mr5FtRQL4tbmSdIzhx6_m4wkOD7IG-k_eo/edit#gid=0"", ""Maths!M:N""), 2, FALSE)"),"Identify and write down numbers that have specific digit sums.")</f>
        <v>Identify and write down numbers that have specific digit sums.</v>
      </c>
      <c r="K25" s="10" t="str">
        <f t="shared" si="1"/>
        <v>LU001350.002</v>
      </c>
      <c r="L25" s="10" t="str">
        <f ca="1">IFERROR(__xludf.DUMMYFUNCTION("VLOOKUP(K25, IMPORTRANGE(""https://docs.google.com/spreadsheets/d/1yDAaXNsi4Mr5FtRQL4tbmSdIzhx6_m4wkOD7IG-k_eo/edit#gid=0"", ""Maths!M:N""), 2, FALSE)"),"Determine the smallest and largest numbers that result in a given digit sum.")</f>
        <v>Determine the smallest and largest numbers that result in a given digit sum.</v>
      </c>
      <c r="M25" s="10" t="str">
        <f t="shared" si="2"/>
        <v>LU001350.003</v>
      </c>
      <c r="N25" s="10" t="str">
        <f ca="1">IFERROR(__xludf.DUMMYFUNCTION("VLOOKUP(M25, IMPORTRANGE(""https://docs.google.com/spreadsheets/d/1yDAaXNsi4Mr5FtRQL4tbmSdIzhx6_m4wkOD7IG-k_eo/edit#gid=0"", ""Maths!M:N""), 2, FALSE)"),"Calculate the digit sums for a series of numbers and observe any emerging patterns.")</f>
        <v>Calculate the digit sums for a series of numbers and observe any emerging patterns.</v>
      </c>
      <c r="O25" s="10" t="str">
        <f t="shared" si="3"/>
        <v>LU001350.004</v>
      </c>
      <c r="P25" s="10" t="str">
        <f ca="1">IFERROR(__xludf.DUMMYFUNCTION("VLOOKUP(O25, IMPORTRANGE(""https://docs.google.com/spreadsheets/d/1yDAaXNsi4Mr5FtRQL4tbmSdIzhx6_m4wkOD7IG-k_eo/edit#gid=0"", ""Maths!M:N""), 2, FALSE)"),"Analyse how the digit sum of consecutive digits in numbers (up to 5-digit numbers) forms patterns.")</f>
        <v>Analyse how the digit sum of consecutive digits in numbers (up to 5-digit numbers) forms patterns.</v>
      </c>
      <c r="Q25" s="10" t="str">
        <f t="shared" si="4"/>
        <v>LU001350.005</v>
      </c>
      <c r="R25" s="10" t="str">
        <f ca="1">IFERROR(__xludf.DUMMYFUNCTION("VLOOKUP(Q25, IMPORTRANGE(""https://docs.google.com/spreadsheets/d/1yDAaXNsi4Mr5FtRQL4tbmSdIzhx6_m4wkOD7IG-k_eo/edit#gid=0"", ""Maths!M:N""), 2, FALSE)"),"Investigate and count the frequency of a specific digit (like '7') within a range of numbers (1-100, 1-1000).")</f>
        <v>Investigate and count the frequency of a specific digit (like '7') within a range of numbers (1-100, 1-1000).</v>
      </c>
      <c r="S25" s="10" t="str">
        <f t="shared" si="5"/>
        <v>LU001350.006</v>
      </c>
      <c r="T25" s="10" t="str">
        <f ca="1">IFERROR(__xludf.DUMMYFUNCTION("VLOOKUP(S25, IMPORTRANGE(""https://docs.google.com/spreadsheets/d/1yDAaXNsi4Mr5FtRQL4tbmSdIzhx6_m4wkOD7IG-k_eo/edit#gid=0"", ""Maths!M:N""), 2, FALSE)"),"Explore different methods to generate the largest possible number with a given digit sum.")</f>
        <v>Explore different methods to generate the largest possible number with a given digit sum.</v>
      </c>
      <c r="U25" s="11">
        <f ca="1">IFERROR(__xludf.DUMMYFUNCTION("ArrayFormula(VLOOKUP(G25, IMPORTRANGE(""https://docs.google.com/spreadsheets/d/1p7R4vtkWt5VOBim4ltsDG9KTzSjrtKXsMtQGXPHyND0/edit#gid=795171502"", ""'Filter 30_05_2024'!A1:M2000""), {2, 3, 4, 5,6,7,8,9,10,11,12,13}, 0))"),4)</f>
        <v>4</v>
      </c>
      <c r="V25" s="11">
        <f ca="1">IFERROR(__xludf.DUMMYFUNCTION("""COMPUTED_VALUE"""),6)</f>
        <v>6</v>
      </c>
      <c r="W25" s="11">
        <f ca="1">IFERROR(__xludf.DUMMYFUNCTION("""COMPUTED_VALUE"""),2)</f>
        <v>2</v>
      </c>
      <c r="X25" s="11">
        <f ca="1">IFERROR(__xludf.DUMMYFUNCTION("""COMPUTED_VALUE"""),12)</f>
        <v>12</v>
      </c>
      <c r="Y25" s="11">
        <f ca="1">IFERROR(__xludf.DUMMYFUNCTION("""COMPUTED_VALUE"""),4)</f>
        <v>4</v>
      </c>
      <c r="Z25" s="12">
        <f ca="1">IFERROR(__xludf.DUMMYFUNCTION("""COMPUTED_VALUE"""),3)</f>
        <v>3</v>
      </c>
      <c r="AA25" s="12">
        <f ca="1">IFERROR(__xludf.DUMMYFUNCTION("""COMPUTED_VALUE"""),1)</f>
        <v>1</v>
      </c>
      <c r="AB25" s="12">
        <f ca="1">IFERROR(__xludf.DUMMYFUNCTION("""COMPUTED_VALUE"""),8)</f>
        <v>8</v>
      </c>
      <c r="AC25" s="11"/>
      <c r="AD25" s="12"/>
      <c r="AE25" s="12"/>
      <c r="AF25" s="12"/>
      <c r="AG25" s="13" t="str">
        <f ca="1">IFERROR(__xludf.DUMMYFUNCTION("ArrayFormula(VLOOKUP(G25, IMPORTRANGE(""https://docs.google.com/spreadsheets/d/1Co934fvtviyaRiMsrIlT05Jaq7iiYq07aLvRr35KA48/edit?gid=173865642#gid=173865642"", ""'G6_Maths GP_Pri_LU'!G2:V2000""), {3, 4, 5, 6, 7, 8, 9, 10, 11, 12, 13, 14, 15, 16}, 0))"),"")</f>
        <v/>
      </c>
      <c r="AH25" s="13"/>
      <c r="AI25" s="13"/>
      <c r="AJ25" s="13"/>
      <c r="AK25" s="13"/>
      <c r="AL25" s="13"/>
      <c r="AM25" s="13"/>
      <c r="AN25" s="13"/>
      <c r="AO25" s="13"/>
      <c r="AP25" s="13"/>
      <c r="AQ25" s="13"/>
      <c r="AR25" s="13"/>
      <c r="AS25" s="13"/>
      <c r="AT25" s="13"/>
    </row>
    <row r="26" spans="1:46" ht="15.75" customHeight="1">
      <c r="A26" s="8" t="s">
        <v>46</v>
      </c>
      <c r="B26" s="8" t="s">
        <v>47</v>
      </c>
      <c r="C26" s="8" t="s">
        <v>48</v>
      </c>
      <c r="D26" s="8" t="s">
        <v>49</v>
      </c>
      <c r="E26" s="8" t="s">
        <v>83</v>
      </c>
      <c r="F26" s="9" t="s">
        <v>90</v>
      </c>
      <c r="G26" s="19" t="s">
        <v>92</v>
      </c>
      <c r="H26" s="9" t="str">
        <f ca="1">IFERROR(__xludf.DUMMYFUNCTION("VLOOKUP(G26, IMPORTRANGE(""https://docs.google.com/spreadsheets/d/14deopnvwcrKtEGCKuYXdUHJbeLDZlkiSSWWT0g7x2pM/edit#gid=999382323"", ""LU List Maths (Filter)!A:B""), 2, FALSE)"),"Definition of palindrome numbers")</f>
        <v>Definition of palindrome numbers</v>
      </c>
      <c r="I26" s="10" t="str">
        <f t="shared" si="0"/>
        <v>LU000054.001</v>
      </c>
      <c r="J26" s="10" t="str">
        <f ca="1">IFERROR(__xludf.DUMMYFUNCTION("VLOOKUP(I26, IMPORTRANGE(""https://docs.google.com/spreadsheets/d/1yDAaXNsi4Mr5FtRQL4tbmSdIzhx6_m4wkOD7IG-k_eo/edit#gid=0"", ""Maths!M:N""), 2, FALSE)"),"State the definition of palindrome numbers.")</f>
        <v>State the definition of palindrome numbers.</v>
      </c>
      <c r="K26" s="10" t="str">
        <f t="shared" si="1"/>
        <v>LU000054.002</v>
      </c>
      <c r="L26" s="10" t="str">
        <f ca="1">IFERROR(__xludf.DUMMYFUNCTION("VLOOKUP(K26, IMPORTRANGE(""https://docs.google.com/spreadsheets/d/1yDAaXNsi4Mr5FtRQL4tbmSdIzhx6_m4wkOD7IG-k_eo/edit#gid=0"", ""Maths!M:N""), 2, FALSE)"),"Explain what a palindrome number is and how it reads the same forwards and backward.")</f>
        <v>Explain what a palindrome number is and how it reads the same forwards and backward.</v>
      </c>
      <c r="M26" s="10" t="str">
        <f t="shared" si="2"/>
        <v>LU000054.003</v>
      </c>
      <c r="N26" s="10" t="str">
        <f ca="1">IFERROR(__xludf.DUMMYFUNCTION("VLOOKUP(M26, IMPORTRANGE(""https://docs.google.com/spreadsheets/d/1yDAaXNsi4Mr5FtRQL4tbmSdIzhx6_m4wkOD7IG-k_eo/edit#gid=0"", ""Maths!M:N""), 2, FALSE)"),"Apply your understanding of palindrome numbers to identify whether a given number is a palindrome or not.")</f>
        <v>Apply your understanding of palindrome numbers to identify whether a given number is a palindrome or not.</v>
      </c>
      <c r="O26" s="10" t="str">
        <f t="shared" si="3"/>
        <v>LU000054.004</v>
      </c>
      <c r="P26" s="10" t="str">
        <f ca="1">IFERROR(__xludf.DUMMYFUNCTION("VLOOKUP(O26, IMPORTRANGE(""https://docs.google.com/spreadsheets/d/1yDAaXNsi4Mr5FtRQL4tbmSdIzhx6_m4wkOD7IG-k_eo/edit#gid=0"", ""Maths!M:N""), 2, FALSE)"),"Break down the structure of palindrome numbers to understand why they are the same when reversed.")</f>
        <v>Break down the structure of palindrome numbers to understand why they are the same when reversed.</v>
      </c>
      <c r="Q26" s="10" t="str">
        <f t="shared" si="4"/>
        <v>LU000054.005</v>
      </c>
      <c r="R26" s="10" t="str">
        <f ca="1">IFERROR(__xludf.DUMMYFUNCTION("VLOOKUP(Q26, IMPORTRANGE(""https://docs.google.com/spreadsheets/d/1yDAaXNsi4Mr5FtRQL4tbmSdIzhx6_m4wkOD7IG-k_eo/edit#gid=0"", ""Maths!M:N""), 2, FALSE)"),"Evaluate the significance of palindrome numbers in mathematics and real-life applications.")</f>
        <v>Evaluate the significance of palindrome numbers in mathematics and real-life applications.</v>
      </c>
      <c r="S26" s="10" t="str">
        <f t="shared" si="5"/>
        <v>LU000054.006</v>
      </c>
      <c r="T26" s="10" t="str">
        <f ca="1">IFERROR(__xludf.DUMMYFUNCTION("VLOOKUP(S26, IMPORTRANGE(""https://docs.google.com/spreadsheets/d/1yDAaXNsi4Mr5FtRQL4tbmSdIzhx6_m4wkOD7IG-k_eo/edit#gid=0"", ""Maths!M:N""), 2, FALSE)"),"Generate your own palindrome numbers using different digits.")</f>
        <v>Generate your own palindrome numbers using different digits.</v>
      </c>
      <c r="U26" s="11">
        <f ca="1">IFERROR(__xludf.DUMMYFUNCTION("ArrayFormula(VLOOKUP(G26, IMPORTRANGE(""https://docs.google.com/spreadsheets/d/1p7R4vtkWt5VOBim4ltsDG9KTzSjrtKXsMtQGXPHyND0/edit#gid=795171502"", ""'Filter 30_05_2024'!A1:M2000""), {2, 3, 4, 5,6,7,8,9,10,11,12,13}, 0))"),4)</f>
        <v>4</v>
      </c>
      <c r="V26" s="11">
        <f ca="1">IFERROR(__xludf.DUMMYFUNCTION("""COMPUTED_VALUE"""),6)</f>
        <v>6</v>
      </c>
      <c r="W26" s="11">
        <f ca="1">IFERROR(__xludf.DUMMYFUNCTION("""COMPUTED_VALUE"""),2)</f>
        <v>2</v>
      </c>
      <c r="X26" s="11">
        <f ca="1">IFERROR(__xludf.DUMMYFUNCTION("""COMPUTED_VALUE"""),12)</f>
        <v>12</v>
      </c>
      <c r="Y26" s="11">
        <f ca="1">IFERROR(__xludf.DUMMYFUNCTION("""COMPUTED_VALUE"""),4)</f>
        <v>4</v>
      </c>
      <c r="Z26" s="12">
        <f ca="1">IFERROR(__xludf.DUMMYFUNCTION("""COMPUTED_VALUE"""),3)</f>
        <v>3</v>
      </c>
      <c r="AA26" s="12">
        <f ca="1">IFERROR(__xludf.DUMMYFUNCTION("""COMPUTED_VALUE"""),1)</f>
        <v>1</v>
      </c>
      <c r="AB26" s="12">
        <f ca="1">IFERROR(__xludf.DUMMYFUNCTION("""COMPUTED_VALUE"""),8)</f>
        <v>8</v>
      </c>
      <c r="AC26" s="11"/>
      <c r="AD26" s="12"/>
      <c r="AE26" s="12"/>
      <c r="AF26" s="12"/>
      <c r="AG26" s="13" t="str">
        <f ca="1">IFERROR(__xludf.DUMMYFUNCTION("ArrayFormula(VLOOKUP(G26, IMPORTRANGE(""https://docs.google.com/spreadsheets/d/1Co934fvtviyaRiMsrIlT05Jaq7iiYq07aLvRr35KA48/edit?gid=173865642#gid=173865642"", ""'G6_Maths GP_Pri_LU'!G2:V2000""), {3, 4, 5, 6, 7, 8, 9, 10, 11, 12, 13, 14, 15, 16}, 0))"),"")</f>
        <v/>
      </c>
      <c r="AH26" s="13"/>
      <c r="AI26" s="13"/>
      <c r="AJ26" s="13"/>
      <c r="AK26" s="13"/>
      <c r="AL26" s="13"/>
      <c r="AM26" s="13"/>
      <c r="AN26" s="13"/>
      <c r="AO26" s="13"/>
      <c r="AP26" s="13"/>
      <c r="AQ26" s="13"/>
      <c r="AR26" s="13"/>
      <c r="AS26" s="13"/>
      <c r="AT26" s="13"/>
    </row>
    <row r="27" spans="1:46" ht="15.75" customHeight="1">
      <c r="A27" s="8" t="s">
        <v>46</v>
      </c>
      <c r="B27" s="8" t="s">
        <v>47</v>
      </c>
      <c r="C27" s="8" t="s">
        <v>48</v>
      </c>
      <c r="D27" s="8" t="s">
        <v>49</v>
      </c>
      <c r="E27" s="8" t="s">
        <v>83</v>
      </c>
      <c r="F27" s="9" t="s">
        <v>93</v>
      </c>
      <c r="G27" s="19" t="s">
        <v>94</v>
      </c>
      <c r="H27" s="9" t="str">
        <f ca="1">IFERROR(__xludf.DUMMYFUNCTION("VLOOKUP(G27, IMPORTRANGE(""https://docs.google.com/spreadsheets/d/14deopnvwcrKtEGCKuYXdUHJbeLDZlkiSSWWT0g7x2pM/edit#gid=999382323"", ""LU List Maths (Filter)!A:B""), 2, FALSE)"),"Kaprekar: Magic number")</f>
        <v>Kaprekar: Magic number</v>
      </c>
      <c r="I27" s="10" t="str">
        <f t="shared" si="0"/>
        <v>LU001351.001</v>
      </c>
      <c r="J27" s="10" t="str">
        <f ca="1">IFERROR(__xludf.DUMMYFUNCTION("VLOOKUP(I27, IMPORTRANGE(""https://docs.google.com/spreadsheets/d/1yDAaXNsi4Mr5FtRQL4tbmSdIzhx6_m4wkOD7IG-k_eo/edit#gid=0"", ""Maths!M:N""), 2, FALSE)"),"Recall the steps involved in finding Kaprekar's constant (6174).")</f>
        <v>Recall the steps involved in finding Kaprekar's constant (6174).</v>
      </c>
      <c r="K27" s="10" t="str">
        <f t="shared" si="1"/>
        <v>LU001351.002</v>
      </c>
      <c r="L27" s="10" t="str">
        <f ca="1">IFERROR(__xludf.DUMMYFUNCTION("VLOOKUP(K27, IMPORTRANGE(""https://docs.google.com/spreadsheets/d/1yDAaXNsi4Mr5FtRQL4tbmSdIzhx6_m4wkOD7IG-k_eo/edit#gid=0"", ""Maths!M:N""), 2, FALSE)"),"Describe the process that leads any 4-digit number to the Kaprekar constant.")</f>
        <v>Describe the process that leads any 4-digit number to the Kaprekar constant.</v>
      </c>
      <c r="M27" s="10" t="str">
        <f t="shared" si="2"/>
        <v>LU001351.003</v>
      </c>
      <c r="N27" s="10" t="str">
        <f ca="1">IFERROR(__xludf.DUMMYFUNCTION("VLOOKUP(M27, IMPORTRANGE(""https://docs.google.com/spreadsheets/d/1yDAaXNsi4Mr5FtRQL4tbmSdIzhx6_m4wkOD7IG-k_eo/edit#gid=0"", ""Maths!M:N""), 2, FALSE)"),"Perform Kaprekar's process on various 4-digit numbers to reach the constant 6174.")</f>
        <v>Perform Kaprekar's process on various 4-digit numbers to reach the constant 6174.</v>
      </c>
      <c r="O27" s="10" t="str">
        <f t="shared" si="3"/>
        <v>LU001351.004</v>
      </c>
      <c r="P27" s="10" t="str">
        <f ca="1">IFERROR(__xludf.DUMMYFUNCTION("VLOOKUP(O27, IMPORTRANGE(""https://docs.google.com/spreadsheets/d/1yDAaXNsi4Mr5FtRQL4tbmSdIzhx6_m4wkOD7IG-k_eo/edit#gid=0"", ""Maths!M:N""), 2, FALSE)"),"Analyze why the process consistently leads to the number 6174.")</f>
        <v>Analyze why the process consistently leads to the number 6174.</v>
      </c>
      <c r="Q27" s="10" t="str">
        <f t="shared" si="4"/>
        <v>LU001351.005</v>
      </c>
      <c r="R27" s="10" t="str">
        <f ca="1">IFERROR(__xludf.DUMMYFUNCTION("VLOOKUP(Q27, IMPORTRANGE(""https://docs.google.com/spreadsheets/d/1yDAaXNsi4Mr5FtRQL4tbmSdIzhx6_m4wkOD7IG-k_eo/edit#gid=0"", ""Maths!M:N""), 2, FALSE)"),"Evaluate the effectiveness of the Kaprekar process when applied to different types of numbers.")</f>
        <v>Evaluate the effectiveness of the Kaprekar process when applied to different types of numbers.</v>
      </c>
      <c r="S27" s="10" t="str">
        <f t="shared" si="5"/>
        <v>LU001351.006</v>
      </c>
      <c r="T27" s="10" t="str">
        <f ca="1">IFERROR(__xludf.DUMMYFUNCTION("VLOOKUP(S27, IMPORTRANGE(""https://docs.google.com/spreadsheets/d/1yDAaXNsi4Mr5FtRQL4tbmSdIzhx6_m4wkOD7IG-k_eo/edit#gid=0"", ""Maths!M:N""), 2, FALSE)"),"Create a series of 4-digit numbers to demonstrate the Kaprekar process and the resulting patterns.")</f>
        <v>Create a series of 4-digit numbers to demonstrate the Kaprekar process and the resulting patterns.</v>
      </c>
      <c r="U27" s="11">
        <f ca="1">IFERROR(__xludf.DUMMYFUNCTION("ArrayFormula(VLOOKUP(G27, IMPORTRANGE(""https://docs.google.com/spreadsheets/d/1p7R4vtkWt5VOBim4ltsDG9KTzSjrtKXsMtQGXPHyND0/edit#gid=795171502"", ""'Filter 30_05_2024'!A1:M2000""), {2, 3, 4, 5,6,7,8,9,10,11,12,13}, 0))"),4)</f>
        <v>4</v>
      </c>
      <c r="V27" s="11">
        <f ca="1">IFERROR(__xludf.DUMMYFUNCTION("""COMPUTED_VALUE"""),6)</f>
        <v>6</v>
      </c>
      <c r="W27" s="11">
        <f ca="1">IFERROR(__xludf.DUMMYFUNCTION("""COMPUTED_VALUE"""),2)</f>
        <v>2</v>
      </c>
      <c r="X27" s="11">
        <f ca="1">IFERROR(__xludf.DUMMYFUNCTION("""COMPUTED_VALUE"""),12)</f>
        <v>12</v>
      </c>
      <c r="Y27" s="11">
        <f ca="1">IFERROR(__xludf.DUMMYFUNCTION("""COMPUTED_VALUE"""),4)</f>
        <v>4</v>
      </c>
      <c r="Z27" s="12">
        <f ca="1">IFERROR(__xludf.DUMMYFUNCTION("""COMPUTED_VALUE"""),3)</f>
        <v>3</v>
      </c>
      <c r="AA27" s="12">
        <f ca="1">IFERROR(__xludf.DUMMYFUNCTION("""COMPUTED_VALUE"""),1)</f>
        <v>1</v>
      </c>
      <c r="AB27" s="12">
        <f ca="1">IFERROR(__xludf.DUMMYFUNCTION("""COMPUTED_VALUE"""),8)</f>
        <v>8</v>
      </c>
      <c r="AC27" s="11"/>
      <c r="AD27" s="12"/>
      <c r="AE27" s="12"/>
      <c r="AF27" s="12"/>
      <c r="AG27" s="13" t="str">
        <f ca="1">IFERROR(__xludf.DUMMYFUNCTION("ArrayFormula(VLOOKUP(G27, IMPORTRANGE(""https://docs.google.com/spreadsheets/d/1Co934fvtviyaRiMsrIlT05Jaq7iiYq07aLvRr35KA48/edit?gid=173865642#gid=173865642"", ""'G6_Maths GP_Pri_LU'!G2:V2000""), {3, 4, 5, 6, 7, 8, 9, 10, 11, 12, 13, 14, 15, 16}, 0))"),"LU000153")</f>
        <v>LU000153</v>
      </c>
      <c r="AH27" s="13" t="str">
        <f ca="1">IFERROR(__xludf.DUMMYFUNCTION("""COMPUTED_VALUE"""),"Place value system in whole numbers (upto 9-digit numbers)")</f>
        <v>Place value system in whole numbers (upto 9-digit numbers)</v>
      </c>
      <c r="AI27" s="13"/>
      <c r="AJ27" s="13"/>
      <c r="AK27" s="13"/>
      <c r="AL27" s="13"/>
      <c r="AM27" s="13"/>
      <c r="AN27" s="13"/>
      <c r="AO27" s="13"/>
      <c r="AP27" s="13"/>
      <c r="AQ27" s="13"/>
      <c r="AR27" s="13"/>
      <c r="AS27" s="13"/>
      <c r="AT27" s="13"/>
    </row>
    <row r="28" spans="1:46" ht="15.75" customHeight="1">
      <c r="A28" s="8" t="s">
        <v>46</v>
      </c>
      <c r="B28" s="8" t="s">
        <v>47</v>
      </c>
      <c r="C28" s="8" t="s">
        <v>48</v>
      </c>
      <c r="D28" s="8" t="s">
        <v>49</v>
      </c>
      <c r="E28" s="8" t="s">
        <v>83</v>
      </c>
      <c r="F28" s="9" t="s">
        <v>93</v>
      </c>
      <c r="G28" s="16" t="s">
        <v>95</v>
      </c>
      <c r="H28" s="9" t="str">
        <f ca="1">IFERROR(__xludf.DUMMYFUNCTION("VLOOKUP(G28, IMPORTRANGE(""https://docs.google.com/spreadsheets/d/14deopnvwcrKtEGCKuYXdUHJbeLDZlkiSSWWT0g7x2pM/edit#gid=999382323"", ""LU List Maths (Filter)!A:B""), 2, FALSE)"),"Formation of number using given digits")</f>
        <v>Formation of number using given digits</v>
      </c>
      <c r="I28" s="10" t="str">
        <f t="shared" si="0"/>
        <v>LU000945.001</v>
      </c>
      <c r="J28" s="10" t="str">
        <f ca="1">IFERROR(__xludf.DUMMYFUNCTION("VLOOKUP(I28, IMPORTRANGE(""https://docs.google.com/spreadsheets/d/1yDAaXNsi4Mr5FtRQL4tbmSdIzhx6_m4wkOD7IG-k_eo/edit#gid=0"", ""Maths!M:N""), 2, FALSE)"),"Identify and recall the basic principles of number formation using given digits.")</f>
        <v>Identify and recall the basic principles of number formation using given digits.</v>
      </c>
      <c r="K28" s="10" t="str">
        <f t="shared" si="1"/>
        <v>LU000945.002</v>
      </c>
      <c r="L28" s="10" t="str">
        <f ca="1">IFERROR(__xludf.DUMMYFUNCTION("VLOOKUP(K28, IMPORTRANGE(""https://docs.google.com/spreadsheets/d/1yDAaXNsi4Mr5FtRQL4tbmSdIzhx6_m4wkOD7IG-k_eo/edit#gid=0"", ""Maths!M:N""), 2, FALSE)"),"Explain how different numbers can be formed by rearranging a given set of digits.")</f>
        <v>Explain how different numbers can be formed by rearranging a given set of digits.</v>
      </c>
      <c r="M28" s="10" t="str">
        <f t="shared" si="2"/>
        <v>LU000945.003</v>
      </c>
      <c r="N28" s="10" t="str">
        <f ca="1">IFERROR(__xludf.DUMMYFUNCTION("VLOOKUP(M28, IMPORTRANGE(""https://docs.google.com/spreadsheets/d/1yDAaXNsi4Mr5FtRQL4tbmSdIzhx6_m4wkOD7IG-k_eo/edit#gid=0"", ""Maths!M:N""), 2, FALSE)"),"Construct various numbers using a provided set of digits, following place value principles.")</f>
        <v>Construct various numbers using a provided set of digits, following place value principles.</v>
      </c>
      <c r="O28" s="10" t="str">
        <f t="shared" si="3"/>
        <v>LU000945.004</v>
      </c>
      <c r="P28" s="10" t="str">
        <f ca="1">IFERROR(__xludf.DUMMYFUNCTION("VLOOKUP(O28, IMPORTRANGE(""https://docs.google.com/spreadsheets/d/1yDAaXNsi4Mr5FtRQL4tbmSdIzhx6_m4wkOD7IG-k_eo/edit#gid=0"", ""Maths!M:N""), 2, FALSE)"),"Distinguish between the largest and smallest numbers that can be formed from a given set of digits and explain the reasoning.")</f>
        <v>Distinguish between the largest and smallest numbers that can be formed from a given set of digits and explain the reasoning.</v>
      </c>
      <c r="Q28" s="10" t="str">
        <f t="shared" si="4"/>
        <v>LU000945.005</v>
      </c>
      <c r="R28" s="10" t="str">
        <f ca="1">IFERROR(__xludf.DUMMYFUNCTION("VLOOKUP(Q28, IMPORTRANGE(""https://docs.google.com/spreadsheets/d/1yDAaXNsi4Mr5FtRQL4tbmSdIzhx6_m4wkOD7IG-k_eo/edit#gid=0"", ""Maths!M:N""), 2, FALSE)"),"Assess and correct a series of numbers formed from a given set of digits, identifying and explaining any errors in their formation.")</f>
        <v>Assess and correct a series of numbers formed from a given set of digits, identifying and explaining any errors in their formation.</v>
      </c>
      <c r="S28" s="10" t="str">
        <f t="shared" si="5"/>
        <v>LU000945.006</v>
      </c>
      <c r="T28" s="10" t="str">
        <f ca="1">IFERROR(__xludf.DUMMYFUNCTION("VLOOKUP(S28, IMPORTRANGE(""https://docs.google.com/spreadsheets/d/1yDAaXNsi4Mr5FtRQL4tbmSdIzhx6_m4wkOD7IG-k_eo/edit#gid=0"", ""Maths!M:N""), 2, FALSE)"),"Design a challenging number formation puzzle using a specific set of digits, which requires applying knowledge of place value and number formation.")</f>
        <v>Design a challenging number formation puzzle using a specific set of digits, which requires applying knowledge of place value and number formation.</v>
      </c>
      <c r="U28" s="11">
        <f ca="1">IFERROR(__xludf.DUMMYFUNCTION("ArrayFormula(VLOOKUP(G28, IMPORTRANGE(""https://docs.google.com/spreadsheets/d/1p7R4vtkWt5VOBim4ltsDG9KTzSjrtKXsMtQGXPHyND0/edit#gid=795171502"", ""'Filter 30_05_2024'!A1:M2000""), {2, 3, 4, 5,6,7,8,9,10,11,12,13}, 0))"),7)</f>
        <v>7</v>
      </c>
      <c r="V28" s="11">
        <f ca="1">IFERROR(__xludf.DUMMYFUNCTION("""COMPUTED_VALUE"""),8)</f>
        <v>8</v>
      </c>
      <c r="W28" s="11">
        <f ca="1">IFERROR(__xludf.DUMMYFUNCTION("""COMPUTED_VALUE"""),12)</f>
        <v>12</v>
      </c>
      <c r="X28" s="11">
        <f ca="1">IFERROR(__xludf.DUMMYFUNCTION("""COMPUTED_VALUE"""),27)</f>
        <v>27</v>
      </c>
      <c r="Y28" s="11">
        <f ca="1">IFERROR(__xludf.DUMMYFUNCTION("""COMPUTED_VALUE"""),5)</f>
        <v>5</v>
      </c>
      <c r="Z28" s="12">
        <f ca="1">IFERROR(__xludf.DUMMYFUNCTION("""COMPUTED_VALUE"""),6)</f>
        <v>6</v>
      </c>
      <c r="AA28" s="12">
        <f ca="1">IFERROR(__xludf.DUMMYFUNCTION("""COMPUTED_VALUE"""),5)</f>
        <v>5</v>
      </c>
      <c r="AB28" s="12">
        <f ca="1">IFERROR(__xludf.DUMMYFUNCTION("""COMPUTED_VALUE"""),16)</f>
        <v>16</v>
      </c>
      <c r="AC28" s="11"/>
      <c r="AD28" s="12"/>
      <c r="AE28" s="12"/>
      <c r="AF28" s="12"/>
      <c r="AG28" s="13" t="str">
        <f ca="1">IFERROR(__xludf.DUMMYFUNCTION("ArrayFormula(VLOOKUP(G28, IMPORTRANGE(""https://docs.google.com/spreadsheets/d/1Co934fvtviyaRiMsrIlT05Jaq7iiYq07aLvRr35KA48/edit?gid=173865642#gid=173865642"", ""'G6_Maths GP_Pri_LU'!G2:V2000""), {3, 4, 5, 6, 7, 8, 9, 10, 11, 12, 13, 14, 15, 16}, 0))"),"LU000153")</f>
        <v>LU000153</v>
      </c>
      <c r="AH28" s="13" t="str">
        <f ca="1">IFERROR(__xludf.DUMMYFUNCTION("""COMPUTED_VALUE"""),"Place value system in whole numbers (upto 9-digit numbers)")</f>
        <v>Place value system in whole numbers (upto 9-digit numbers)</v>
      </c>
      <c r="AI28" s="13"/>
      <c r="AJ28" s="13"/>
      <c r="AK28" s="13"/>
      <c r="AL28" s="13"/>
      <c r="AM28" s="13"/>
      <c r="AN28" s="13"/>
      <c r="AO28" s="13"/>
      <c r="AP28" s="13"/>
      <c r="AQ28" s="13"/>
      <c r="AR28" s="13"/>
      <c r="AS28" s="13"/>
      <c r="AT28" s="13"/>
    </row>
    <row r="29" spans="1:46" ht="53.4">
      <c r="A29" s="8" t="s">
        <v>46</v>
      </c>
      <c r="B29" s="8" t="s">
        <v>47</v>
      </c>
      <c r="C29" s="8" t="s">
        <v>48</v>
      </c>
      <c r="D29" s="8" t="s">
        <v>49</v>
      </c>
      <c r="E29" s="8" t="s">
        <v>83</v>
      </c>
      <c r="F29" s="13" t="s">
        <v>96</v>
      </c>
      <c r="G29" s="19" t="s">
        <v>97</v>
      </c>
      <c r="H29" s="8" t="str">
        <f ca="1">IFERROR(__xludf.DUMMYFUNCTION("VLOOKUP(G29, IMPORTRANGE(""https://docs.google.com/spreadsheets/d/14deopnvwcrKtEGCKuYXdUHJbeLDZlkiSSWWT0g7x2pM/edit#gid=999382323"", ""LU List Maths (Filter)!A:B""), 2, FALSE)"),"Clock and Calendar Numbers")</f>
        <v>Clock and Calendar Numbers</v>
      </c>
      <c r="I29" s="10" t="str">
        <f t="shared" si="0"/>
        <v>LU001352.001</v>
      </c>
      <c r="J29" s="10" t="str">
        <f ca="1">IFERROR(__xludf.DUMMYFUNCTION("VLOOKUP(I29, IMPORTRANGE(""https://docs.google.com/spreadsheets/d/1yDAaXNsi4Mr5FtRQL4tbmSdIzhx6_m4wkOD7IG-k_eo/edit#gid=0"", ""Maths!M:N""), 2, FALSE)"),"Identify and list all possible times on a 12-hour clock that follow specific digit patterns, such as repeating or palindromic sequences.")</f>
        <v>Identify and list all possible times on a 12-hour clock that follow specific digit patterns, such as repeating or palindromic sequences.</v>
      </c>
      <c r="K29" s="10" t="str">
        <f t="shared" si="1"/>
        <v>LU001352.002</v>
      </c>
      <c r="L29" s="10" t="str">
        <f ca="1">IFERROR(__xludf.DUMMYFUNCTION("VLOOKUP(K29, IMPORTRANGE(""https://docs.google.com/spreadsheets/d/1yDAaXNsi4Mr5FtRQL4tbmSdIzhx6_m4wkOD7IG-k_eo/edit#gid=0"", ""Maths!M:N""), 2, FALSE)"),"Discover and record dates from the past that have specific repeating digit patterns, like ""20/12/2012"".")</f>
        <v>Discover and record dates from the past that have specific repeating digit patterns, like "20/12/2012".</v>
      </c>
      <c r="M29" s="10" t="str">
        <f t="shared" si="2"/>
        <v>LU001352.003</v>
      </c>
      <c r="N29" s="10" t="str">
        <f ca="1">IFERROR(__xludf.DUMMYFUNCTION("VLOOKUP(M29, IMPORTRANGE(""https://docs.google.com/spreadsheets/d/1yDAaXNsi4Mr5FtRQL4tbmSdIzhx6_m4wkOD7IG-k_eo/edit#gid=0"", ""Maths!M:N""), 2, FALSE)"),"Explore and find all possible dates that read the same from left to right and from right to left, such as ""11/02/2011"".")</f>
        <v>Explore and find all possible dates that read the same from left to right and from right to left, such as "11/02/2011".</v>
      </c>
      <c r="O29" s="10" t="str">
        <f t="shared" si="3"/>
        <v>LU001352.004</v>
      </c>
      <c r="P29" s="10" t="str">
        <f ca="1">IFERROR(__xludf.DUMMYFUNCTION("VLOOKUP(O29, IMPORTRANGE(""https://docs.google.com/spreadsheets/d/1yDAaXNsi4Mr5FtRQL4tbmSdIzhx6_m4wkOD7IG-k_eo/edit#gid=0"", ""Maths!M:N""), 2, FALSE)"),"Investigate whether a specific year’s calendar can be reused in the future, analyzing the repetition of dates and days.")</f>
        <v>Investigate whether a specific year’s calendar can be reused in the future, analyzing the repetition of dates and days.</v>
      </c>
      <c r="Q29" s="10" t="str">
        <f t="shared" si="4"/>
        <v>LU001352.005</v>
      </c>
      <c r="R29" s="10" t="str">
        <f ca="1">IFERROR(__xludf.DUMMYFUNCTION("VLOOKUP(Q29, IMPORTRANGE(""https://docs.google.com/spreadsheets/d/1yDAaXNsi4Mr5FtRQL4tbmSdIzhx6_m4wkOD7IG-k_eo/edit#gid=0"", ""Maths!M:N""), 2, FALSE)"),"Calculate the difference between the largest and smallest 4-digit numbers formed using a given set of digits.")</f>
        <v>Calculate the difference between the largest and smallest 4-digit numbers formed using a given set of digits.</v>
      </c>
      <c r="S29" s="10" t="str">
        <f t="shared" si="5"/>
        <v>LU001352.006</v>
      </c>
      <c r="T29" s="10" t="str">
        <f ca="1">IFERROR(__xludf.DUMMYFUNCTION("VLOOKUP(S29, IMPORTRANGE(""https://docs.google.com/spreadsheets/d/1yDAaXNsi4Mr5FtRQL4tbmSdIzhx6_m4wkOD7IG-k_eo/edit#gid=0"", ""Maths!M:N""), 2, FALSE)"),"Create different 4-digit numbers to find and compare their sums and differences, following given criteria.")</f>
        <v>Create different 4-digit numbers to find and compare their sums and differences, following given criteria.</v>
      </c>
      <c r="U29" s="11">
        <f ca="1">IFERROR(__xludf.DUMMYFUNCTION("ArrayFormula(VLOOKUP(G29, IMPORTRANGE(""https://docs.google.com/spreadsheets/d/1p7R4vtkWt5VOBim4ltsDG9KTzSjrtKXsMtQGXPHyND0/edit#gid=795171502"", ""'Filter 30_05_2024'!A1:M2000""), {2, 3, 4, 5,6,7,8,9,10,11,12,13}, 0))"),4)</f>
        <v>4</v>
      </c>
      <c r="V29" s="11">
        <f ca="1">IFERROR(__xludf.DUMMYFUNCTION("""COMPUTED_VALUE"""),5)</f>
        <v>5</v>
      </c>
      <c r="W29" s="11">
        <f ca="1">IFERROR(__xludf.DUMMYFUNCTION("""COMPUTED_VALUE"""),2)</f>
        <v>2</v>
      </c>
      <c r="X29" s="11">
        <f ca="1">IFERROR(__xludf.DUMMYFUNCTION("""COMPUTED_VALUE"""),11)</f>
        <v>11</v>
      </c>
      <c r="Y29" s="11">
        <f ca="1">IFERROR(__xludf.DUMMYFUNCTION("""COMPUTED_VALUE"""),4)</f>
        <v>4</v>
      </c>
      <c r="Z29" s="12">
        <f ca="1">IFERROR(__xludf.DUMMYFUNCTION("""COMPUTED_VALUE"""),4)</f>
        <v>4</v>
      </c>
      <c r="AA29" s="12">
        <f ca="1">IFERROR(__xludf.DUMMYFUNCTION("""COMPUTED_VALUE"""),1)</f>
        <v>1</v>
      </c>
      <c r="AB29" s="12">
        <f ca="1">IFERROR(__xludf.DUMMYFUNCTION("""COMPUTED_VALUE"""),9)</f>
        <v>9</v>
      </c>
      <c r="AC29" s="11"/>
      <c r="AD29" s="12"/>
      <c r="AE29" s="12"/>
      <c r="AF29" s="12"/>
      <c r="AG29" s="13" t="str">
        <f ca="1">IFERROR(__xludf.DUMMYFUNCTION("ArrayFormula(VLOOKUP(G29, IMPORTRANGE(""https://docs.google.com/spreadsheets/d/1Co934fvtviyaRiMsrIlT05Jaq7iiYq07aLvRr35KA48/edit?gid=173865642#gid=173865642"", ""'G6_Maths GP_Pri_LU'!G2:V2000""), {3, 4, 5, 6, 7, 8, 9, 10, 11, 12, 13, 14, 15, 16}, 0))"),"LU000067")</f>
        <v>LU000067</v>
      </c>
      <c r="AH29" s="13" t="str">
        <f ca="1">IFERROR(__xludf.DUMMYFUNCTION("""COMPUTED_VALUE"""),"Number pattern in a calendar")</f>
        <v>Number pattern in a calendar</v>
      </c>
      <c r="AI29" s="13"/>
      <c r="AJ29" s="13"/>
      <c r="AK29" s="13"/>
      <c r="AL29" s="13"/>
      <c r="AM29" s="13"/>
      <c r="AN29" s="13"/>
      <c r="AO29" s="13"/>
      <c r="AP29" s="13"/>
      <c r="AQ29" s="13"/>
      <c r="AR29" s="13"/>
      <c r="AS29" s="13"/>
      <c r="AT29" s="13"/>
    </row>
    <row r="30" spans="1:46" ht="40.200000000000003">
      <c r="A30" s="8" t="s">
        <v>46</v>
      </c>
      <c r="B30" s="8" t="s">
        <v>47</v>
      </c>
      <c r="C30" s="8" t="s">
        <v>48</v>
      </c>
      <c r="D30" s="8" t="s">
        <v>49</v>
      </c>
      <c r="E30" s="8" t="s">
        <v>83</v>
      </c>
      <c r="F30" s="8" t="s">
        <v>98</v>
      </c>
      <c r="G30" s="16" t="s">
        <v>99</v>
      </c>
      <c r="H30" s="8" t="str">
        <f ca="1">IFERROR(__xludf.DUMMYFUNCTION("VLOOKUP(G30, IMPORTRANGE(""https://docs.google.com/spreadsheets/d/14deopnvwcrKtEGCKuYXdUHJbeLDZlkiSSWWT0g7x2pM/edit#gid=999382323"", ""LU List Maths (Filter)!A:B""), 2, FALSE)"),"Addition of large whole numbers (5-9 digit numbers)")</f>
        <v>Addition of large whole numbers (5-9 digit numbers)</v>
      </c>
      <c r="I30" s="10" t="str">
        <f t="shared" si="0"/>
        <v>LU000948.001</v>
      </c>
      <c r="J30" s="10" t="str">
        <f ca="1">IFERROR(__xludf.DUMMYFUNCTION("VLOOKUP(I30, IMPORTRANGE(""https://docs.google.com/spreadsheets/d/1yDAaXNsi4Mr5FtRQL4tbmSdIzhx6_m4wkOD7IG-k_eo/edit#gid=0"", ""Maths!M:N""), 2, FALSE)"),"Recognize and recall the standard approach for adding large whole numbers.")</f>
        <v>Recognize and recall the standard approach for adding large whole numbers.</v>
      </c>
      <c r="K30" s="10" t="str">
        <f t="shared" si="1"/>
        <v>LU000948.002</v>
      </c>
      <c r="L30" s="10" t="str">
        <f ca="1">IFERROR(__xludf.DUMMYFUNCTION("VLOOKUP(K30, IMPORTRANGE(""https://docs.google.com/spreadsheets/d/1yDAaXNsi4Mr5FtRQL4tbmSdIzhx6_m4wkOD7IG-k_eo/edit#gid=0"", ""Maths!M:N""), 2, FALSE)"),"Explain the process and importance of place value in the addition of large whole numbers.")</f>
        <v>Explain the process and importance of place value in the addition of large whole numbers.</v>
      </c>
      <c r="M30" s="10" t="str">
        <f t="shared" si="2"/>
        <v>LU000948.003</v>
      </c>
      <c r="N30" s="10" t="str">
        <f ca="1">IFERROR(__xludf.DUMMYFUNCTION("VLOOKUP(M30, IMPORTRANGE(""https://docs.google.com/spreadsheets/d/1yDAaXNsi4Mr5FtRQL4tbmSdIzhx6_m4wkOD7IG-k_eo/edit#gid=0"", ""Maths!M:N""), 2, FALSE)"),"Perform addition operations involving large whole numbers (5-9 digits) accurately.")</f>
        <v>Perform addition operations involving large whole numbers (5-9 digits) accurately.</v>
      </c>
      <c r="O30" s="10" t="str">
        <f t="shared" si="3"/>
        <v>LU000948.004</v>
      </c>
      <c r="P30" s="10" t="str">
        <f ca="1">IFERROR(__xludf.DUMMYFUNCTION("VLOOKUP(O30, IMPORTRANGE(""https://docs.google.com/spreadsheets/d/1yDAaXNsi4Mr5FtRQL4tbmSdIzhx6_m4wkOD7IG-k_eo/edit#gid=0"", ""Maths!M:N""), 2, FALSE)"),"Analyze and identify errors in addition problems involving large whole numbers.")</f>
        <v>Analyze and identify errors in addition problems involving large whole numbers.</v>
      </c>
      <c r="Q30" s="10" t="str">
        <f t="shared" si="4"/>
        <v>LU000948.005</v>
      </c>
      <c r="R30" s="10" t="str">
        <f ca="1">IFERROR(__xludf.DUMMYFUNCTION("VLOOKUP(Q30, IMPORTRANGE(""https://docs.google.com/spreadsheets/d/1yDAaXNsi4Mr5FtRQL4tbmSdIzhx6_m4wkOD7IG-k_eo/edit#gid=0"", ""Maths!M:N""), 2, FALSE)"),"#N/A")</f>
        <v>#N/A</v>
      </c>
      <c r="S30" s="10" t="str">
        <f t="shared" si="5"/>
        <v>LU000948.006</v>
      </c>
      <c r="T30" s="10" t="str">
        <f ca="1">IFERROR(__xludf.DUMMYFUNCTION("VLOOKUP(S30, IMPORTRANGE(""https://docs.google.com/spreadsheets/d/1yDAaXNsi4Mr5FtRQL4tbmSdIzhx6_m4wkOD7IG-k_eo/edit#gid=0"", ""Maths!M:N""), 2, FALSE)"),"#N/A")</f>
        <v>#N/A</v>
      </c>
      <c r="U30" s="11">
        <f ca="1">IFERROR(__xludf.DUMMYFUNCTION("ArrayFormula(VLOOKUP(G30, IMPORTRANGE(""https://docs.google.com/spreadsheets/d/1p7R4vtkWt5VOBim4ltsDG9KTzSjrtKXsMtQGXPHyND0/edit#gid=795171502"", ""'Filter 30_05_2024'!A1:M2000""), {2, 3, 4, 5,6,7,8,9,10,11,12,13}, 0))"),3)</f>
        <v>3</v>
      </c>
      <c r="V30" s="11">
        <f ca="1">IFERROR(__xludf.DUMMYFUNCTION("""COMPUTED_VALUE"""),5)</f>
        <v>5</v>
      </c>
      <c r="W30" s="11">
        <f ca="1">IFERROR(__xludf.DUMMYFUNCTION("""COMPUTED_VALUE"""),2)</f>
        <v>2</v>
      </c>
      <c r="X30" s="11">
        <f ca="1">IFERROR(__xludf.DUMMYFUNCTION("""COMPUTED_VALUE"""),10)</f>
        <v>10</v>
      </c>
      <c r="Y30" s="11">
        <f ca="1">IFERROR(__xludf.DUMMYFUNCTION("""COMPUTED_VALUE"""),4)</f>
        <v>4</v>
      </c>
      <c r="Z30" s="12">
        <f ca="1">IFERROR(__xludf.DUMMYFUNCTION("""COMPUTED_VALUE"""),4)</f>
        <v>4</v>
      </c>
      <c r="AA30" s="12">
        <f ca="1">IFERROR(__xludf.DUMMYFUNCTION("""COMPUTED_VALUE"""),1)</f>
        <v>1</v>
      </c>
      <c r="AB30" s="12">
        <f ca="1">IFERROR(__xludf.DUMMYFUNCTION("""COMPUTED_VALUE"""),9)</f>
        <v>9</v>
      </c>
      <c r="AC30" s="11"/>
      <c r="AD30" s="12"/>
      <c r="AE30" s="12"/>
      <c r="AF30" s="12"/>
      <c r="AG30" s="13" t="str">
        <f ca="1">IFERROR(__xludf.DUMMYFUNCTION("ArrayFormula(VLOOKUP(G30, IMPORTRANGE(""https://docs.google.com/spreadsheets/d/1Co934fvtviyaRiMsrIlT05Jaq7iiYq07aLvRr35KA48/edit?gid=173865642#gid=173865642"", ""'G6_Maths GP_Pri_LU'!G2:V2000""), {3, 4, 5, 6, 7, 8, 9, 10, 11, 12, 13, 14, 15, 16}, 0))"),"LU000153")</f>
        <v>LU000153</v>
      </c>
      <c r="AH30" s="13" t="str">
        <f ca="1">IFERROR(__xludf.DUMMYFUNCTION("""COMPUTED_VALUE"""),"Place value system in whole numbers (upto 9-digit numbers)")</f>
        <v>Place value system in whole numbers (upto 9-digit numbers)</v>
      </c>
      <c r="AI30" s="13" t="str">
        <f ca="1">IFERROR(__xludf.DUMMYFUNCTION("""COMPUTED_VALUE"""),"LU000156")</f>
        <v>LU000156</v>
      </c>
      <c r="AJ30" s="13" t="str">
        <f ca="1">IFERROR(__xludf.DUMMYFUNCTION("""COMPUTED_VALUE"""),"Numerical expansion of whole numbers (upto 9-digit numbers)")</f>
        <v>Numerical expansion of whole numbers (upto 9-digit numbers)</v>
      </c>
      <c r="AK30" s="13"/>
      <c r="AL30" s="13"/>
      <c r="AM30" s="13"/>
      <c r="AN30" s="13"/>
      <c r="AO30" s="13"/>
      <c r="AP30" s="13"/>
      <c r="AQ30" s="13"/>
      <c r="AR30" s="13"/>
      <c r="AS30" s="13"/>
      <c r="AT30" s="13"/>
    </row>
    <row r="31" spans="1:46" ht="40.200000000000003">
      <c r="A31" s="8" t="s">
        <v>46</v>
      </c>
      <c r="B31" s="8" t="s">
        <v>47</v>
      </c>
      <c r="C31" s="8" t="s">
        <v>48</v>
      </c>
      <c r="D31" s="8" t="s">
        <v>49</v>
      </c>
      <c r="E31" s="8" t="s">
        <v>83</v>
      </c>
      <c r="F31" s="8" t="s">
        <v>98</v>
      </c>
      <c r="G31" s="16" t="s">
        <v>100</v>
      </c>
      <c r="H31" s="8" t="str">
        <f ca="1">IFERROR(__xludf.DUMMYFUNCTION("VLOOKUP(G31, IMPORTRANGE(""https://docs.google.com/spreadsheets/d/14deopnvwcrKtEGCKuYXdUHJbeLDZlkiSSWWT0g7x2pM/edit#gid=999382323"", ""LU List Maths (Filter)!A:B""), 2, FALSE)"),"Subtraction of large whole numbers (5-9 digit numbers)")</f>
        <v>Subtraction of large whole numbers (5-9 digit numbers)</v>
      </c>
      <c r="I31" s="10" t="str">
        <f t="shared" si="0"/>
        <v>LU000949.001</v>
      </c>
      <c r="J31" s="10" t="str">
        <f ca="1">IFERROR(__xludf.DUMMYFUNCTION("VLOOKUP(I31, IMPORTRANGE(""https://docs.google.com/spreadsheets/d/1yDAaXNsi4Mr5FtRQL4tbmSdIzhx6_m4wkOD7IG-k_eo/edit#gid=0"", ""Maths!M:N""), 2, FALSE)"),"Recall the steps of the standard approach for subtracting large whole numbers.")</f>
        <v>Recall the steps of the standard approach for subtracting large whole numbers.</v>
      </c>
      <c r="K31" s="10" t="str">
        <f t="shared" si="1"/>
        <v>LU000949.002</v>
      </c>
      <c r="L31" s="10" t="str">
        <f ca="1">IFERROR(__xludf.DUMMYFUNCTION("VLOOKUP(K31, IMPORTRANGE(""https://docs.google.com/spreadsheets/d/1yDAaXNsi4Mr5FtRQL4tbmSdIzhx6_m4wkOD7IG-k_eo/edit#gid=0"", ""Maths!M:N""), 2, FALSE)"),"Explain the concept of 'borrowing' or 'regrouping' in the subtraction of large whole numbers.")</f>
        <v>Explain the concept of 'borrowing' or 'regrouping' in the subtraction of large whole numbers.</v>
      </c>
      <c r="M31" s="10" t="str">
        <f t="shared" si="2"/>
        <v>LU000949.003</v>
      </c>
      <c r="N31" s="10" t="str">
        <f ca="1">IFERROR(__xludf.DUMMYFUNCTION("VLOOKUP(M31, IMPORTRANGE(""https://docs.google.com/spreadsheets/d/1yDAaXNsi4Mr5FtRQL4tbmSdIzhx6_m4wkOD7IG-k_eo/edit#gid=0"", ""Maths!M:N""), 2, FALSE)"),"Perform subtraction operations accurately with large whole numbers (5-9 digits).")</f>
        <v>Perform subtraction operations accurately with large whole numbers (5-9 digits).</v>
      </c>
      <c r="O31" s="10" t="str">
        <f t="shared" si="3"/>
        <v>LU000949.004</v>
      </c>
      <c r="P31" s="10" t="str">
        <f ca="1">IFERROR(__xludf.DUMMYFUNCTION("VLOOKUP(O31, IMPORTRANGE(""https://docs.google.com/spreadsheets/d/1yDAaXNsi4Mr5FtRQL4tbmSdIzhx6_m4wkOD7IG-k_eo/edit#gid=0"", ""Maths!M:N""), 2, FALSE)"),"Assess subtraction problems to identify and correct computational errors.")</f>
        <v>Assess subtraction problems to identify and correct computational errors.</v>
      </c>
      <c r="Q31" s="10" t="str">
        <f t="shared" si="4"/>
        <v>LU000949.005</v>
      </c>
      <c r="R31" s="10" t="str">
        <f ca="1">IFERROR(__xludf.DUMMYFUNCTION("VLOOKUP(Q31, IMPORTRANGE(""https://docs.google.com/spreadsheets/d/1yDAaXNsi4Mr5FtRQL4tbmSdIzhx6_m4wkOD7IG-k_eo/edit#gid=0"", ""Maths!M:N""), 2, FALSE)"),"Develop and solve real-world problems that involve the subtraction of large whole numbers.")</f>
        <v>Develop and solve real-world problems that involve the subtraction of large whole numbers.</v>
      </c>
      <c r="S31" s="10" t="str">
        <f t="shared" si="5"/>
        <v>LU000949.006</v>
      </c>
      <c r="T31" s="10" t="str">
        <f ca="1">IFERROR(__xludf.DUMMYFUNCTION("VLOOKUP(S31, IMPORTRANGE(""https://docs.google.com/spreadsheets/d/1yDAaXNsi4Mr5FtRQL4tbmSdIzhx6_m4wkOD7IG-k_eo/edit#gid=0"", ""Maths!M:N""), 2, FALSE)"),"#N/A")</f>
        <v>#N/A</v>
      </c>
      <c r="U31" s="11">
        <f ca="1">IFERROR(__xludf.DUMMYFUNCTION("ArrayFormula(VLOOKUP(G31, IMPORTRANGE(""https://docs.google.com/spreadsheets/d/1p7R4vtkWt5VOBim4ltsDG9KTzSjrtKXsMtQGXPHyND0/edit#gid=795171502"", ""'Filter 30_05_2024'!A1:M2000""), {2, 3, 4, 5,6,7,8,9,10,11,12,13}, 0))"),4)</f>
        <v>4</v>
      </c>
      <c r="V31" s="11">
        <f ca="1">IFERROR(__xludf.DUMMYFUNCTION("""COMPUTED_VALUE"""),11)</f>
        <v>11</v>
      </c>
      <c r="W31" s="11">
        <f ca="1">IFERROR(__xludf.DUMMYFUNCTION("""COMPUTED_VALUE"""),2)</f>
        <v>2</v>
      </c>
      <c r="X31" s="11">
        <f ca="1">IFERROR(__xludf.DUMMYFUNCTION("""COMPUTED_VALUE"""),17)</f>
        <v>17</v>
      </c>
      <c r="Y31" s="11">
        <f ca="1">IFERROR(__xludf.DUMMYFUNCTION("""COMPUTED_VALUE"""),4)</f>
        <v>4</v>
      </c>
      <c r="Z31" s="12">
        <f ca="1">IFERROR(__xludf.DUMMYFUNCTION("""COMPUTED_VALUE"""),4)</f>
        <v>4</v>
      </c>
      <c r="AA31" s="12">
        <f ca="1">IFERROR(__xludf.DUMMYFUNCTION("""COMPUTED_VALUE"""),1)</f>
        <v>1</v>
      </c>
      <c r="AB31" s="12">
        <f ca="1">IFERROR(__xludf.DUMMYFUNCTION("""COMPUTED_VALUE"""),9)</f>
        <v>9</v>
      </c>
      <c r="AC31" s="11"/>
      <c r="AD31" s="12"/>
      <c r="AE31" s="12"/>
      <c r="AF31" s="12"/>
      <c r="AG31" s="13" t="str">
        <f ca="1">IFERROR(__xludf.DUMMYFUNCTION("ArrayFormula(VLOOKUP(G31, IMPORTRANGE(""https://docs.google.com/spreadsheets/d/1Co934fvtviyaRiMsrIlT05Jaq7iiYq07aLvRr35KA48/edit?gid=173865642#gid=173865642"", ""'G6_Maths GP_Pri_LU'!G2:V2000""), {3, 4, 5, 6, 7, 8, 9, 10, 11, 12, 13, 14, 15, 16}, 0))"),"LU000153")</f>
        <v>LU000153</v>
      </c>
      <c r="AH31" s="13" t="str">
        <f ca="1">IFERROR(__xludf.DUMMYFUNCTION("""COMPUTED_VALUE"""),"Place value system in whole numbers (upto 9-digit numbers)")</f>
        <v>Place value system in whole numbers (upto 9-digit numbers)</v>
      </c>
      <c r="AI31" s="13" t="str">
        <f ca="1">IFERROR(__xludf.DUMMYFUNCTION("""COMPUTED_VALUE"""),"LU000156")</f>
        <v>LU000156</v>
      </c>
      <c r="AJ31" s="13" t="str">
        <f ca="1">IFERROR(__xludf.DUMMYFUNCTION("""COMPUTED_VALUE"""),"Numerical expansion of whole numbers (upto 9-digit numbers)")</f>
        <v>Numerical expansion of whole numbers (upto 9-digit numbers)</v>
      </c>
      <c r="AK31" s="13"/>
      <c r="AL31" s="13"/>
      <c r="AM31" s="13"/>
      <c r="AN31" s="13"/>
      <c r="AO31" s="13"/>
      <c r="AP31" s="13"/>
      <c r="AQ31" s="13"/>
      <c r="AR31" s="13"/>
      <c r="AS31" s="13"/>
      <c r="AT31" s="13"/>
    </row>
    <row r="32" spans="1:46" ht="27">
      <c r="A32" s="8" t="s">
        <v>46</v>
      </c>
      <c r="B32" s="8" t="s">
        <v>47</v>
      </c>
      <c r="C32" s="8" t="s">
        <v>48</v>
      </c>
      <c r="D32" s="8" t="s">
        <v>49</v>
      </c>
      <c r="E32" s="8" t="s">
        <v>83</v>
      </c>
      <c r="F32" s="8" t="s">
        <v>98</v>
      </c>
      <c r="G32" s="16" t="s">
        <v>101</v>
      </c>
      <c r="H32" s="8" t="str">
        <f ca="1">IFERROR(__xludf.DUMMYFUNCTION("VLOOKUP(G32, IMPORTRANGE(""https://docs.google.com/spreadsheets/d/14deopnvwcrKtEGCKuYXdUHJbeLDZlkiSSWWT0g7x2pM/edit#gid=999382323"", ""LU List Maths (Filter)!A:B""), 2, FALSE)"),"Mixed operation of addition and subtraction of three or more whole numbers without number line.")</f>
        <v>Mixed operation of addition and subtraction of three or more whole numbers without number line.</v>
      </c>
      <c r="I32" s="10" t="str">
        <f t="shared" si="0"/>
        <v>LU000969.001</v>
      </c>
      <c r="J32" s="10" t="str">
        <f ca="1">IFERROR(__xludf.DUMMYFUNCTION("VLOOKUP(I32, IMPORTRANGE(""https://docs.google.com/spreadsheets/d/1yDAaXNsi4Mr5FtRQL4tbmSdIzhx6_m4wkOD7IG-k_eo/edit#gid=0"", ""Maths!M:N""), 2, FALSE)"),"Recall rules for addition and subtraction of whole numbers.")</f>
        <v>Recall rules for addition and subtraction of whole numbers.</v>
      </c>
      <c r="K32" s="10" t="str">
        <f t="shared" si="1"/>
        <v>LU000969.002</v>
      </c>
      <c r="L32" s="10" t="str">
        <f ca="1">IFERROR(__xludf.DUMMYFUNCTION("VLOOKUP(K32, IMPORTRANGE(""https://docs.google.com/spreadsheets/d/1yDAaXNsi4Mr5FtRQL4tbmSdIzhx6_m4wkOD7IG-k_eo/edit#gid=0"", ""Maths!M:N""), 2, FALSE)"),"Explain the concept of mixed operations with three or more whole numbers.")</f>
        <v>Explain the concept of mixed operations with three or more whole numbers.</v>
      </c>
      <c r="M32" s="10" t="str">
        <f t="shared" si="2"/>
        <v>LU000969.003</v>
      </c>
      <c r="N32" s="10" t="str">
        <f ca="1">IFERROR(__xludf.DUMMYFUNCTION("VLOOKUP(M32, IMPORTRANGE(""https://docs.google.com/spreadsheets/d/1yDAaXNsi4Mr5FtRQL4tbmSdIzhx6_m4wkOD7IG-k_eo/edit#gid=0"", ""Maths!M:N""), 2, FALSE)"),"Apply mathematical techniques to solve mixed operations accurately.")</f>
        <v>Apply mathematical techniques to solve mixed operations accurately.</v>
      </c>
      <c r="O32" s="10" t="str">
        <f t="shared" si="3"/>
        <v>LU000969.004</v>
      </c>
      <c r="P32" s="10" t="str">
        <f ca="1">IFERROR(__xludf.DUMMYFUNCTION("VLOOKUP(O32, IMPORTRANGE(""https://docs.google.com/spreadsheets/d/1yDAaXNsi4Mr5FtRQL4tbmSdIzhx6_m4wkOD7IG-k_eo/edit#gid=0"", ""Maths!M:N""), 2, FALSE)"),"Break down complex mixed operation problems into sequential steps for accurate calculations.")</f>
        <v>Break down complex mixed operation problems into sequential steps for accurate calculations.</v>
      </c>
      <c r="Q32" s="10" t="str">
        <f t="shared" si="4"/>
        <v>LU000969.005</v>
      </c>
      <c r="R32" s="10" t="str">
        <f ca="1">IFERROR(__xludf.DUMMYFUNCTION("VLOOKUP(Q32, IMPORTRANGE(""https://docs.google.com/spreadsheets/d/1yDAaXNsi4Mr5FtRQL4tbmSdIzhx6_m4wkOD7IG-k_eo/edit#gid=0"", ""Maths!M:N""), 2, FALSE)"),"Evaluate solutions to ensure correctness and provide explanations for errors.")</f>
        <v>Evaluate solutions to ensure correctness and provide explanations for errors.</v>
      </c>
      <c r="S32" s="10" t="str">
        <f t="shared" si="5"/>
        <v>LU000969.006</v>
      </c>
      <c r="T32" s="10" t="str">
        <f ca="1">IFERROR(__xludf.DUMMYFUNCTION("VLOOKUP(S32, IMPORTRANGE(""https://docs.google.com/spreadsheets/d/1yDAaXNsi4Mr5FtRQL4tbmSdIzhx6_m4wkOD7IG-k_eo/edit#gid=0"", ""Maths!M:N""), 2, FALSE)"),"#N/A")</f>
        <v>#N/A</v>
      </c>
      <c r="U32" s="11">
        <f ca="1">IFERROR(__xludf.DUMMYFUNCTION("ArrayFormula(VLOOKUP(G32, IMPORTRANGE(""https://docs.google.com/spreadsheets/d/1p7R4vtkWt5VOBim4ltsDG9KTzSjrtKXsMtQGXPHyND0/edit#gid=795171502"", ""'Filter 30_05_2024'!A1:M2000""), {2, 3, 4, 5,6,7,8,9,10,11,12,13}, 0))"),4)</f>
        <v>4</v>
      </c>
      <c r="V32" s="11">
        <f ca="1">IFERROR(__xludf.DUMMYFUNCTION("""COMPUTED_VALUE"""),6)</f>
        <v>6</v>
      </c>
      <c r="W32" s="11">
        <f ca="1">IFERROR(__xludf.DUMMYFUNCTION("""COMPUTED_VALUE"""),2)</f>
        <v>2</v>
      </c>
      <c r="X32" s="11">
        <f ca="1">IFERROR(__xludf.DUMMYFUNCTION("""COMPUTED_VALUE"""),12)</f>
        <v>12</v>
      </c>
      <c r="Y32" s="11">
        <f ca="1">IFERROR(__xludf.DUMMYFUNCTION("""COMPUTED_VALUE"""),4)</f>
        <v>4</v>
      </c>
      <c r="Z32" s="12">
        <f ca="1">IFERROR(__xludf.DUMMYFUNCTION("""COMPUTED_VALUE"""),3)</f>
        <v>3</v>
      </c>
      <c r="AA32" s="12">
        <f ca="1">IFERROR(__xludf.DUMMYFUNCTION("""COMPUTED_VALUE"""),1)</f>
        <v>1</v>
      </c>
      <c r="AB32" s="12">
        <f ca="1">IFERROR(__xludf.DUMMYFUNCTION("""COMPUTED_VALUE"""),8)</f>
        <v>8</v>
      </c>
      <c r="AC32" s="11"/>
      <c r="AD32" s="12"/>
      <c r="AE32" s="12"/>
      <c r="AF32" s="12"/>
      <c r="AG32" s="13" t="str">
        <f ca="1">IFERROR(__xludf.DUMMYFUNCTION("ArrayFormula(VLOOKUP(G32, IMPORTRANGE(""https://docs.google.com/spreadsheets/d/1Co934fvtviyaRiMsrIlT05Jaq7iiYq07aLvRr35KA48/edit?gid=173865642#gid=173865642"", ""'G6_Maths GP_Pri_LU'!G2:V2000""), {3, 4, 5, 6, 7, 8, 9, 10, 11, 12, 13, 14, 15, 16}, 0))"),"LU000181")</f>
        <v>LU000181</v>
      </c>
      <c r="AH32" s="13" t="str">
        <f ca="1">IFERROR(__xludf.DUMMYFUNCTION("""COMPUTED_VALUE"""),"Subtraction of whole numbers on number line")</f>
        <v>Subtraction of whole numbers on number line</v>
      </c>
      <c r="AI32" s="13" t="str">
        <f ca="1">IFERROR(__xludf.DUMMYFUNCTION("""COMPUTED_VALUE"""),"LU000180")</f>
        <v>LU000180</v>
      </c>
      <c r="AJ32" s="13" t="str">
        <f ca="1">IFERROR(__xludf.DUMMYFUNCTION("""COMPUTED_VALUE"""),"Addition of whole numbers on number line")</f>
        <v>Addition of whole numbers on number line</v>
      </c>
      <c r="AK32" s="13" t="str">
        <f ca="1">IFERROR(__xludf.DUMMYFUNCTION("""COMPUTED_VALUE"""),"LU000179")</f>
        <v>LU000179</v>
      </c>
      <c r="AL32" s="13" t="str">
        <f ca="1">IFERROR(__xludf.DUMMYFUNCTION("""COMPUTED_VALUE"""),"Representation of whole numbers on a number line")</f>
        <v>Representation of whole numbers on a number line</v>
      </c>
      <c r="AM32" s="13" t="str">
        <f ca="1">IFERROR(__xludf.DUMMYFUNCTION("""COMPUTED_VALUE"""),"LU000176")</f>
        <v>LU000176</v>
      </c>
      <c r="AN32" s="13" t="str">
        <f ca="1">IFERROR(__xludf.DUMMYFUNCTION("""COMPUTED_VALUE"""),"Definition of whole number")</f>
        <v>Definition of whole number</v>
      </c>
      <c r="AO32" s="13"/>
      <c r="AP32" s="13"/>
      <c r="AQ32" s="13"/>
      <c r="AR32" s="13"/>
      <c r="AS32" s="13"/>
      <c r="AT32" s="13"/>
    </row>
    <row r="33" spans="1:46" ht="40.200000000000003">
      <c r="A33" s="8" t="s">
        <v>46</v>
      </c>
      <c r="B33" s="8" t="s">
        <v>47</v>
      </c>
      <c r="C33" s="8" t="s">
        <v>48</v>
      </c>
      <c r="D33" s="8" t="s">
        <v>49</v>
      </c>
      <c r="E33" s="8" t="s">
        <v>83</v>
      </c>
      <c r="F33" s="20" t="s">
        <v>102</v>
      </c>
      <c r="G33" s="19" t="s">
        <v>103</v>
      </c>
      <c r="H33" s="9" t="str">
        <f ca="1">IFERROR(__xludf.DUMMYFUNCTION("VLOOKUP(G33, IMPORTRANGE(""https://docs.google.com/spreadsheets/d/14deopnvwcrKtEGCKuYXdUHJbeLDZlkiSSWWT0g7x2pM/edit#gid=999382323"", ""LU List Maths (Filter)!A:B""), 2, FALSE)"),"Exploring Collatz conjecture")</f>
        <v>Exploring Collatz conjecture</v>
      </c>
      <c r="I33" s="10" t="str">
        <f t="shared" si="0"/>
        <v>LU001367.001</v>
      </c>
      <c r="J33" s="10" t="str">
        <f ca="1">IFERROR(__xludf.DUMMYFUNCTION("VLOOKUP(I33, IMPORTRANGE(""https://docs.google.com/spreadsheets/d/1yDAaXNsi4Mr5FtRQL4tbmSdIzhx6_m4wkOD7IG-k_eo/edit#gid=0"", ""Maths!M:N""), 2, FALSE)"),"Identify and describe the rule for generating a Collatz sequence from any given whole number.")</f>
        <v>Identify and describe the rule for generating a Collatz sequence from any given whole number.</v>
      </c>
      <c r="K33" s="10" t="str">
        <f t="shared" si="1"/>
        <v>LU001367.002</v>
      </c>
      <c r="L33" s="10" t="str">
        <f ca="1">IFERROR(__xludf.DUMMYFUNCTION("VLOOKUP(K33, IMPORTRANGE(""https://docs.google.com/spreadsheets/d/1yDAaXNsi4Mr5FtRQL4tbmSdIzhx6_m4wkOD7IG-k_eo/edit#gid=0"", ""Maths!M:N""), 2, FALSE)"),"Observe and explain how the Collatz sequence progresses and eventually reaches the number 1.")</f>
        <v>Observe and explain how the Collatz sequence progresses and eventually reaches the number 1.</v>
      </c>
      <c r="M33" s="10" t="str">
        <f t="shared" si="2"/>
        <v>LU001367.003</v>
      </c>
      <c r="N33" s="10" t="str">
        <f ca="1">IFERROR(__xludf.DUMMYFUNCTION("VLOOKUP(M33, IMPORTRANGE(""https://docs.google.com/spreadsheets/d/1yDAaXNsi4Mr5FtRQL4tbmSdIzhx6_m4wkOD7IG-k_eo/edit#gid=0"", ""Maths!M:N""), 2, FALSE)"),"Create Collatz sequences starting from various whole numbers and analyze their patterns.")</f>
        <v>Create Collatz sequences starting from various whole numbers and analyze their patterns.</v>
      </c>
      <c r="O33" s="10" t="str">
        <f t="shared" si="3"/>
        <v>LU001367.004</v>
      </c>
      <c r="P33" s="10" t="str">
        <f ca="1">IFERROR(__xludf.DUMMYFUNCTION("VLOOKUP(O33, IMPORTRANGE(""https://docs.google.com/spreadsheets/d/1yDAaXNsi4Mr5FtRQL4tbmSdIzhx6_m4wkOD7IG-k_eo/edit#gid=0"", ""Maths!M:N""), 2, FALSE)"),"Compare different Collatz sequences to understand the behavior of even and odd numbers in the sequence.")</f>
        <v>Compare different Collatz sequences to understand the behavior of even and odd numbers in the sequence.</v>
      </c>
      <c r="Q33" s="10" t="str">
        <f t="shared" si="4"/>
        <v>LU001367.005</v>
      </c>
      <c r="R33" s="10" t="str">
        <f ca="1">IFERROR(__xludf.DUMMYFUNCTION("VLOOKUP(Q33, IMPORTRANGE(""https://docs.google.com/spreadsheets/d/1yDAaXNsi4Mr5FtRQL4tbmSdIzhx6_m4wkOD7IG-k_eo/edit#gid=0"", ""Maths!M:N""), 2, FALSE)"),"Investigate and discuss the likelihood that all Collatz sequences will eventually reach 1, based on observations.")</f>
        <v>Investigate and discuss the likelihood that all Collatz sequences will eventually reach 1, based on observations.</v>
      </c>
      <c r="S33" s="10" t="str">
        <f t="shared" si="5"/>
        <v>LU001367.006</v>
      </c>
      <c r="T33" s="10" t="str">
        <f ca="1">IFERROR(__xludf.DUMMYFUNCTION("VLOOKUP(S33, IMPORTRANGE(""https://docs.google.com/spreadsheets/d/1yDAaXNsi4Mr5FtRQL4tbmSdIzhx6_m4wkOD7IG-k_eo/edit#gid=0"", ""Maths!M:N""), 2, FALSE)"),"Reflect on and articulate your belief about the Collatz conjecture, providing reasoning for why you think it might be true or false.")</f>
        <v>Reflect on and articulate your belief about the Collatz conjecture, providing reasoning for why you think it might be true or false.</v>
      </c>
      <c r="U33" s="11">
        <f ca="1">IFERROR(__xludf.DUMMYFUNCTION("ArrayFormula(VLOOKUP(G33, IMPORTRANGE(""https://docs.google.com/spreadsheets/d/1p7R4vtkWt5VOBim4ltsDG9KTzSjrtKXsMtQGXPHyND0/edit#gid=795171502"", ""'Filter 30_05_2024'!A1:M2000""), {2, 3, 4, 5,6,7,8,9,10,11,12,13}, 0))"),4)</f>
        <v>4</v>
      </c>
      <c r="V33" s="11">
        <f ca="1">IFERROR(__xludf.DUMMYFUNCTION("""COMPUTED_VALUE"""),6)</f>
        <v>6</v>
      </c>
      <c r="W33" s="11">
        <f ca="1">IFERROR(__xludf.DUMMYFUNCTION("""COMPUTED_VALUE"""),2)</f>
        <v>2</v>
      </c>
      <c r="X33" s="11">
        <f ca="1">IFERROR(__xludf.DUMMYFUNCTION("""COMPUTED_VALUE"""),12)</f>
        <v>12</v>
      </c>
      <c r="Y33" s="11">
        <f ca="1">IFERROR(__xludf.DUMMYFUNCTION("""COMPUTED_VALUE"""),4)</f>
        <v>4</v>
      </c>
      <c r="Z33" s="12">
        <f ca="1">IFERROR(__xludf.DUMMYFUNCTION("""COMPUTED_VALUE"""),3)</f>
        <v>3</v>
      </c>
      <c r="AA33" s="12">
        <f ca="1">IFERROR(__xludf.DUMMYFUNCTION("""COMPUTED_VALUE"""),1)</f>
        <v>1</v>
      </c>
      <c r="AB33" s="12">
        <f ca="1">IFERROR(__xludf.DUMMYFUNCTION("""COMPUTED_VALUE"""),8)</f>
        <v>8</v>
      </c>
      <c r="AC33" s="11"/>
      <c r="AD33" s="12"/>
      <c r="AE33" s="12"/>
      <c r="AF33" s="12"/>
      <c r="AG33" s="13" t="str">
        <f ca="1">IFERROR(__xludf.DUMMYFUNCTION("ArrayFormula(VLOOKUP(G33, IMPORTRANGE(""https://docs.google.com/spreadsheets/d/1Co934fvtviyaRiMsrIlT05Jaq7iiYq07aLvRr35KA48/edit?gid=173865642#gid=173865642"", ""'G6_Maths GP_Pri_LU'!G2:V2000""), {3, 4, 5, 6, 7, 8, 9, 10, 11, 12, 13, 14, 15, 16}, 0))"),"LU000197")</f>
        <v>LU000197</v>
      </c>
      <c r="AH33" s="13" t="str">
        <f ca="1">IFERROR(__xludf.DUMMYFUNCTION("""COMPUTED_VALUE"""),"Even number")</f>
        <v>Even number</v>
      </c>
      <c r="AI33" s="13" t="str">
        <f ca="1">IFERROR(__xludf.DUMMYFUNCTION("""COMPUTED_VALUE"""),"LU000198")</f>
        <v>LU000198</v>
      </c>
      <c r="AJ33" s="13" t="str">
        <f ca="1">IFERROR(__xludf.DUMMYFUNCTION("""COMPUTED_VALUE"""),"Odd number")</f>
        <v>Odd number</v>
      </c>
      <c r="AK33" s="13" t="str">
        <f ca="1">IFERROR(__xludf.DUMMYFUNCTION("""COMPUTED_VALUE"""),"LU000126")</f>
        <v>LU000126</v>
      </c>
      <c r="AL33" s="13" t="str">
        <f ca="1">IFERROR(__xludf.DUMMYFUNCTION("""COMPUTED_VALUE"""),"Multiplication of two-digit numbers by one-digit/two-digit numbers")</f>
        <v>Multiplication of two-digit numbers by one-digit/two-digit numbers</v>
      </c>
      <c r="AM33" s="13" t="str">
        <f ca="1">IFERROR(__xludf.DUMMYFUNCTION("""COMPUTED_VALUE"""),"LU000128")</f>
        <v>LU000128</v>
      </c>
      <c r="AN33" s="13" t="str">
        <f ca="1">IFERROR(__xludf.DUMMYFUNCTION("""COMPUTED_VALUE"""),"Division of two-digit numbers by one-digit number using standard algorithms")</f>
        <v>Division of two-digit numbers by one-digit number using standard algorithms</v>
      </c>
      <c r="AO33" s="13"/>
      <c r="AP33" s="13"/>
      <c r="AQ33" s="13"/>
      <c r="AR33" s="13"/>
      <c r="AS33" s="13"/>
      <c r="AT33" s="13"/>
    </row>
    <row r="34" spans="1:46" ht="40.200000000000003">
      <c r="A34" s="8" t="s">
        <v>46</v>
      </c>
      <c r="B34" s="8" t="s">
        <v>47</v>
      </c>
      <c r="C34" s="8" t="s">
        <v>48</v>
      </c>
      <c r="D34" s="8" t="s">
        <v>49</v>
      </c>
      <c r="E34" s="8" t="s">
        <v>83</v>
      </c>
      <c r="F34" s="8" t="s">
        <v>104</v>
      </c>
      <c r="G34" s="19" t="s">
        <v>105</v>
      </c>
      <c r="H34" s="8" t="str">
        <f ca="1">IFERROR(__xludf.DUMMYFUNCTION("VLOOKUP(G34, IMPORTRANGE(""https://docs.google.com/spreadsheets/d/14deopnvwcrKtEGCKuYXdUHJbeLDZlkiSSWWT0g7x2pM/edit#gid=999382323"", ""LU List Maths (Filter)!A:B""), 2, FALSE)"),"Estimation of outcomes of number situations")</f>
        <v>Estimation of outcomes of number situations</v>
      </c>
      <c r="I34" s="10" t="str">
        <f t="shared" si="0"/>
        <v>LU000168.001</v>
      </c>
      <c r="J34" s="10" t="str">
        <f ca="1">IFERROR(__xludf.DUMMYFUNCTION("VLOOKUP(I34, IMPORTRANGE(""https://docs.google.com/spreadsheets/d/1yDAaXNsi4Mr5FtRQL4tbmSdIzhx6_m4wkOD7IG-k_eo/edit#gid=0"", ""Maths!M:N""), 2, FALSE)"),"List examples of scenarios where estimation is applicable")</f>
        <v>List examples of scenarios where estimation is applicable</v>
      </c>
      <c r="K34" s="10" t="str">
        <f t="shared" si="1"/>
        <v>LU000168.002</v>
      </c>
      <c r="L34" s="10" t="str">
        <f ca="1">IFERROR(__xludf.DUMMYFUNCTION("VLOOKUP(K34, IMPORTRANGE(""https://docs.google.com/spreadsheets/d/1yDAaXNsi4Mr5FtRQL4tbmSdIzhx6_m4wkOD7IG-k_eo/edit#gid=0"", ""Maths!M:N""), 2, FALSE)"),"Describe different strategies for estimating outcomes of various number situations.")</f>
        <v>Describe different strategies for estimating outcomes of various number situations.</v>
      </c>
      <c r="M34" s="10" t="str">
        <f t="shared" si="2"/>
        <v>LU000168.003</v>
      </c>
      <c r="N34" s="10" t="str">
        <f ca="1">IFERROR(__xludf.DUMMYFUNCTION("VLOOKUP(M34, IMPORTRANGE(""https://docs.google.com/spreadsheets/d/1yDAaXNsi4Mr5FtRQL4tbmSdIzhx6_m4wkOD7IG-k_eo/edit#gid=0"", ""Maths!M:N""), 2, FALSE)"),"Apply estimation in everyday scenarios involving quantities, distances, and measurements.")</f>
        <v>Apply estimation in everyday scenarios involving quantities, distances, and measurements.</v>
      </c>
      <c r="O34" s="10" t="str">
        <f t="shared" si="3"/>
        <v>LU000168.004</v>
      </c>
      <c r="P34" s="10" t="str">
        <f ca="1">IFERROR(__xludf.DUMMYFUNCTION("VLOOKUP(O34, IMPORTRANGE(""https://docs.google.com/spreadsheets/d/1yDAaXNsi4Mr5FtRQL4tbmSdIzhx6_m4wkOD7IG-k_eo/edit#gid=0"", ""Maths!M:N""), 2, FALSE)"),"Analyse different scenarios where estimation is more appropriate than precise calculation.")</f>
        <v>Analyse different scenarios where estimation is more appropriate than precise calculation.</v>
      </c>
      <c r="Q34" s="10" t="str">
        <f t="shared" si="4"/>
        <v>LU000168.005</v>
      </c>
      <c r="R34" s="10" t="str">
        <f ca="1">IFERROR(__xludf.DUMMYFUNCTION("VLOOKUP(Q34, IMPORTRANGE(""https://docs.google.com/spreadsheets/d/1yDAaXNsi4Mr5FtRQL4tbmSdIzhx6_m4wkOD7IG-k_eo/edit#gid=0"", ""Maths!M:N""), 2, FALSE)"),"Formulate judgments about the appropriateness of estimation in various real-world scenarios.")</f>
        <v>Formulate judgments about the appropriateness of estimation in various real-world scenarios.</v>
      </c>
      <c r="S34" s="10" t="str">
        <f t="shared" si="5"/>
        <v>LU000168.006</v>
      </c>
      <c r="T34" s="10" t="str">
        <f ca="1">IFERROR(__xludf.DUMMYFUNCTION("VLOOKUP(S34, IMPORTRANGE(""https://docs.google.com/spreadsheets/d/1yDAaXNsi4Mr5FtRQL4tbmSdIzhx6_m4wkOD7IG-k_eo/edit#gid=0"", ""Maths!M:N""), 2, FALSE)"),"Design scenarios that demonstrate the significance of estimation in decision-making processes.")</f>
        <v>Design scenarios that demonstrate the significance of estimation in decision-making processes.</v>
      </c>
      <c r="U34" s="11">
        <f ca="1">IFERROR(__xludf.DUMMYFUNCTION("ArrayFormula(VLOOKUP(G34, IMPORTRANGE(""https://docs.google.com/spreadsheets/d/1p7R4vtkWt5VOBim4ltsDG9KTzSjrtKXsMtQGXPHyND0/edit#gid=795171502"", ""'Filter 30_05_2024'!A1:M2000""), {2, 3, 4, 5,6,7,8,9,10,11,12,13}, 0))"),4)</f>
        <v>4</v>
      </c>
      <c r="V34" s="11">
        <f ca="1">IFERROR(__xludf.DUMMYFUNCTION("""COMPUTED_VALUE"""),6)</f>
        <v>6</v>
      </c>
      <c r="W34" s="11">
        <f ca="1">IFERROR(__xludf.DUMMYFUNCTION("""COMPUTED_VALUE"""),2)</f>
        <v>2</v>
      </c>
      <c r="X34" s="11">
        <f ca="1">IFERROR(__xludf.DUMMYFUNCTION("""COMPUTED_VALUE"""),12)</f>
        <v>12</v>
      </c>
      <c r="Y34" s="11">
        <f ca="1">IFERROR(__xludf.DUMMYFUNCTION("""COMPUTED_VALUE"""),5)</f>
        <v>5</v>
      </c>
      <c r="Z34" s="12">
        <f ca="1">IFERROR(__xludf.DUMMYFUNCTION("""COMPUTED_VALUE"""),3)</f>
        <v>3</v>
      </c>
      <c r="AA34" s="12">
        <f ca="1">IFERROR(__xludf.DUMMYFUNCTION("""COMPUTED_VALUE"""),1)</f>
        <v>1</v>
      </c>
      <c r="AB34" s="12">
        <f ca="1">IFERROR(__xludf.DUMMYFUNCTION("""COMPUTED_VALUE"""),9)</f>
        <v>9</v>
      </c>
      <c r="AC34" s="11"/>
      <c r="AD34" s="12"/>
      <c r="AE34" s="12"/>
      <c r="AF34" s="12"/>
      <c r="AG34" s="13" t="str">
        <f ca="1">IFERROR(__xludf.DUMMYFUNCTION("ArrayFormula(VLOOKUP(G34, IMPORTRANGE(""https://docs.google.com/spreadsheets/d/1Co934fvtviyaRiMsrIlT05Jaq7iiYq07aLvRr35KA48/edit?gid=173865642#gid=173865642"", ""'G6_Maths GP_Pri_LU'!G2:V2000""), {3, 4, 5, 6, 7, 8, 9, 10, 11, 12, 13, 14, 15, 16}, 0))"),"LU000167")</f>
        <v>LU000167</v>
      </c>
      <c r="AH34" s="13" t="str">
        <f ca="1">IFERROR(__xludf.DUMMYFUNCTION("""COMPUTED_VALUE"""),"Estimation of whole numbers to the nearest place by rounding off")</f>
        <v>Estimation of whole numbers to the nearest place by rounding off</v>
      </c>
      <c r="AI34" s="13" t="str">
        <f ca="1">IFERROR(__xludf.DUMMYFUNCTION("""COMPUTED_VALUE"""),"LU000153")</f>
        <v>LU000153</v>
      </c>
      <c r="AJ34" s="13" t="str">
        <f ca="1">IFERROR(__xludf.DUMMYFUNCTION("""COMPUTED_VALUE"""),"Place value system in whole numbers (upto 9-digit numbers)")</f>
        <v>Place value system in whole numbers (upto 9-digit numbers)</v>
      </c>
      <c r="AK34" s="13"/>
      <c r="AL34" s="13"/>
      <c r="AM34" s="13"/>
      <c r="AN34" s="13"/>
      <c r="AO34" s="13"/>
      <c r="AP34" s="13"/>
      <c r="AQ34" s="13"/>
      <c r="AR34" s="13"/>
      <c r="AS34" s="13"/>
      <c r="AT34" s="13"/>
    </row>
    <row r="35" spans="1:46" ht="40.200000000000003">
      <c r="A35" s="8" t="s">
        <v>46</v>
      </c>
      <c r="B35" s="8" t="s">
        <v>47</v>
      </c>
      <c r="C35" s="8" t="s">
        <v>48</v>
      </c>
      <c r="D35" s="8" t="s">
        <v>49</v>
      </c>
      <c r="E35" s="8" t="s">
        <v>83</v>
      </c>
      <c r="F35" s="18" t="s">
        <v>104</v>
      </c>
      <c r="G35" s="16" t="s">
        <v>106</v>
      </c>
      <c r="H35" s="8" t="str">
        <f ca="1">IFERROR(__xludf.DUMMYFUNCTION("VLOOKUP(G35, IMPORTRANGE(""https://docs.google.com/spreadsheets/d/14deopnvwcrKtEGCKuYXdUHJbeLDZlkiSSWWT0g7x2pM/edit#gid=999382323"", ""LU List Maths (Filter)!A:B""), 2, FALSE)"),"Estimation of sum/difference/product of numbers by rounding off")</f>
        <v>Estimation of sum/difference/product of numbers by rounding off</v>
      </c>
      <c r="I35" s="10" t="str">
        <f t="shared" si="0"/>
        <v>LU000169.001</v>
      </c>
      <c r="J35" s="10" t="str">
        <f ca="1">IFERROR(__xludf.DUMMYFUNCTION("VLOOKUP(I35, IMPORTRANGE(""https://docs.google.com/spreadsheets/d/1yDAaXNsi4Mr5FtRQL4tbmSdIzhx6_m4wkOD7IG-k_eo/edit#gid=0"", ""Maths!M:N""), 2, FALSE)"),"List the basic steps involved in rounding off numbers for estimating sums, differences, and products.")</f>
        <v>List the basic steps involved in rounding off numbers for estimating sums, differences, and products.</v>
      </c>
      <c r="K35" s="10" t="str">
        <f t="shared" si="1"/>
        <v>LU000169.002</v>
      </c>
      <c r="L35" s="10" t="str">
        <f ca="1">IFERROR(__xludf.DUMMYFUNCTION("VLOOKUP(K35, IMPORTRANGE(""https://docs.google.com/spreadsheets/d/1yDAaXNsi4Mr5FtRQL4tbmSdIzhx6_m4wkOD7IG-k_eo/edit#gid=0"", ""Maths!M:N""), 2, FALSE)"),"Explain the purpose of using estimation to approximate arithmetic results.")</f>
        <v>Explain the purpose of using estimation to approximate arithmetic results.</v>
      </c>
      <c r="M35" s="10" t="str">
        <f t="shared" si="2"/>
        <v>LU000169.003</v>
      </c>
      <c r="N35" s="10" t="str">
        <f ca="1">IFERROR(__xludf.DUMMYFUNCTION("VLOOKUP(M35, IMPORTRANGE(""https://docs.google.com/spreadsheets/d/1yDAaXNsi4Mr5FtRQL4tbmSdIzhx6_m4wkOD7IG-k_eo/edit#gid=0"", ""Maths!M:N""), 2, FALSE)"),"Solve problems involving practical applications of estimation of sum/difference/product by rounding off.")</f>
        <v>Solve problems involving practical applications of estimation of sum/difference/product by rounding off.</v>
      </c>
      <c r="O35" s="10" t="str">
        <f t="shared" si="3"/>
        <v>LU000169.004</v>
      </c>
      <c r="P35" s="10" t="str">
        <f ca="1">IFERROR(__xludf.DUMMYFUNCTION("VLOOKUP(O35, IMPORTRANGE(""https://docs.google.com/spreadsheets/d/1yDAaXNsi4Mr5FtRQL4tbmSdIzhx6_m4wkOD7IG-k_eo/edit#gid=0"", ""Maths!M:N""), 2, FALSE)"),"#N/A")</f>
        <v>#N/A</v>
      </c>
      <c r="Q35" s="10" t="str">
        <f t="shared" si="4"/>
        <v>LU000169.005</v>
      </c>
      <c r="R35" s="10" t="str">
        <f ca="1">IFERROR(__xludf.DUMMYFUNCTION("VLOOKUP(Q35, IMPORTRANGE(""https://docs.google.com/spreadsheets/d/1yDAaXNsi4Mr5FtRQL4tbmSdIzhx6_m4wkOD7IG-k_eo/edit#gid=0"", ""Maths!M:N""), 2, FALSE)"),"#N/A")</f>
        <v>#N/A</v>
      </c>
      <c r="S35" s="10" t="str">
        <f t="shared" si="5"/>
        <v>LU000169.006</v>
      </c>
      <c r="T35" s="10" t="str">
        <f ca="1">IFERROR(__xludf.DUMMYFUNCTION("VLOOKUP(S35, IMPORTRANGE(""https://docs.google.com/spreadsheets/d/1yDAaXNsi4Mr5FtRQL4tbmSdIzhx6_m4wkOD7IG-k_eo/edit#gid=0"", ""Maths!M:N""), 2, FALSE)"),"#N/A")</f>
        <v>#N/A</v>
      </c>
      <c r="U35" s="11" t="str">
        <f ca="1">IFERROR(__xludf.DUMMYFUNCTION("ArrayFormula(VLOOKUP(G35, IMPORTRANGE(""https://docs.google.com/spreadsheets/d/1p7R4vtkWt5VOBim4ltsDG9KTzSjrtKXsMtQGXPHyND0/edit#gid=795171502"", ""'Filter 30_05_2024'!A1:M2000""), {2, 3, 4, 5,6,7,8,9,10,11,12,13}, 0))"),"")</f>
        <v/>
      </c>
      <c r="V35" s="11">
        <f ca="1">IFERROR(__xludf.DUMMYFUNCTION("""COMPUTED_VALUE"""),34)</f>
        <v>34</v>
      </c>
      <c r="W35" s="11">
        <f ca="1">IFERROR(__xludf.DUMMYFUNCTION("""COMPUTED_VALUE"""),2)</f>
        <v>2</v>
      </c>
      <c r="X35" s="11">
        <f ca="1">IFERROR(__xludf.DUMMYFUNCTION("""COMPUTED_VALUE"""),36)</f>
        <v>36</v>
      </c>
      <c r="Y35" s="11">
        <f ca="1">IFERROR(__xludf.DUMMYFUNCTION("""COMPUTED_VALUE"""),1)</f>
        <v>1</v>
      </c>
      <c r="Z35" s="12">
        <f ca="1">IFERROR(__xludf.DUMMYFUNCTION("""COMPUTED_VALUE"""),8)</f>
        <v>8</v>
      </c>
      <c r="AA35" s="12">
        <f ca="1">IFERROR(__xludf.DUMMYFUNCTION("""COMPUTED_VALUE"""),1)</f>
        <v>1</v>
      </c>
      <c r="AB35" s="12">
        <f ca="1">IFERROR(__xludf.DUMMYFUNCTION("""COMPUTED_VALUE"""),10)</f>
        <v>10</v>
      </c>
      <c r="AC35" s="11"/>
      <c r="AD35" s="12"/>
      <c r="AE35" s="12"/>
      <c r="AF35" s="12"/>
      <c r="AG35" s="13" t="str">
        <f ca="1">IFERROR(__xludf.DUMMYFUNCTION("ArrayFormula(VLOOKUP(G35, IMPORTRANGE(""https://docs.google.com/spreadsheets/d/1Co934fvtviyaRiMsrIlT05Jaq7iiYq07aLvRr35KA48/edit?gid=173865642#gid=173865642"", ""'G6_Maths GP_Pri_LU'!G2:V2000""), {3, 4, 5, 6, 7, 8, 9, 10, 11, 12, 13, 14, 15, 16}, 0))"),"LU000168")</f>
        <v>LU000168</v>
      </c>
      <c r="AH35" s="13" t="str">
        <f ca="1">IFERROR(__xludf.DUMMYFUNCTION("""COMPUTED_VALUE"""),"Estimation of outcomes of number situations")</f>
        <v>Estimation of outcomes of number situations</v>
      </c>
      <c r="AI35" s="13" t="str">
        <f ca="1">IFERROR(__xludf.DUMMYFUNCTION("""COMPUTED_VALUE"""),"LU000167")</f>
        <v>LU000167</v>
      </c>
      <c r="AJ35" s="13" t="str">
        <f ca="1">IFERROR(__xludf.DUMMYFUNCTION("""COMPUTED_VALUE"""),"Estimation of whole numbers to the nearest place by rounding off")</f>
        <v>Estimation of whole numbers to the nearest place by rounding off</v>
      </c>
      <c r="AK35" s="13" t="str">
        <f ca="1">IFERROR(__xludf.DUMMYFUNCTION("""COMPUTED_VALUE"""),"LU000153")</f>
        <v>LU000153</v>
      </c>
      <c r="AL35" s="13" t="str">
        <f ca="1">IFERROR(__xludf.DUMMYFUNCTION("""COMPUTED_VALUE"""),"Place value system in whole numbers (upto 9-digit numbers)")</f>
        <v>Place value system in whole numbers (upto 9-digit numbers)</v>
      </c>
      <c r="AM35" s="13"/>
      <c r="AN35" s="13"/>
      <c r="AO35" s="13"/>
      <c r="AP35" s="13"/>
      <c r="AQ35" s="13"/>
      <c r="AR35" s="13"/>
      <c r="AS35" s="13"/>
      <c r="AT35" s="13"/>
    </row>
    <row r="36" spans="1:46" ht="53.4">
      <c r="A36" s="8" t="s">
        <v>46</v>
      </c>
      <c r="B36" s="8" t="s">
        <v>47</v>
      </c>
      <c r="C36" s="8" t="s">
        <v>48</v>
      </c>
      <c r="D36" s="8" t="s">
        <v>49</v>
      </c>
      <c r="E36" s="8" t="s">
        <v>107</v>
      </c>
      <c r="F36" s="8" t="s">
        <v>108</v>
      </c>
      <c r="G36" s="16" t="s">
        <v>109</v>
      </c>
      <c r="H36" s="8" t="str">
        <f ca="1">IFERROR(__xludf.DUMMYFUNCTION("VLOOKUP(G36, IMPORTRANGE(""https://docs.google.com/spreadsheets/d/14deopnvwcrKtEGCKuYXdUHJbeLDZlkiSSWWT0g7x2pM/edit#gid=999382323"", ""LU List Maths (Filter)!A:B""), 2, FALSE)"),"Definition of data and information")</f>
        <v>Definition of data and information</v>
      </c>
      <c r="I36" s="10" t="str">
        <f t="shared" si="0"/>
        <v>LU000308.001</v>
      </c>
      <c r="J36" s="10" t="str">
        <f ca="1">IFERROR(__xludf.DUMMYFUNCTION("VLOOKUP(I36, IMPORTRANGE(""https://docs.google.com/spreadsheets/d/1yDAaXNsi4Mr5FtRQL4tbmSdIzhx6_m4wkOD7IG-k_eo/edit#gid=0"", ""Maths!M:N""), 2, FALSE)"),"State the definition of data and information and differentiate between them by highlighting their distinct characteristics.")</f>
        <v>State the definition of data and information and differentiate between them by highlighting their distinct characteristics.</v>
      </c>
      <c r="K36" s="10" t="str">
        <f t="shared" si="1"/>
        <v>LU000308.002</v>
      </c>
      <c r="L36" s="10" t="str">
        <f ca="1">IFERROR(__xludf.DUMMYFUNCTION("VLOOKUP(K36, IMPORTRANGE(""https://docs.google.com/spreadsheets/d/1yDAaXNsi4Mr5FtRQL4tbmSdIzhx6_m4wkOD7IG-k_eo/edit#gid=0"", ""Maths!M:N""), 2, FALSE)"),"Describe the concept of data as raw facts or observations, and explain how information is derived from processed data with context and meaning.")</f>
        <v>Describe the concept of data as raw facts or observations, and explain how information is derived from processed data with context and meaning.</v>
      </c>
      <c r="M36" s="10" t="str">
        <f t="shared" si="2"/>
        <v>LU000308.003</v>
      </c>
      <c r="N36" s="10" t="str">
        <f ca="1">IFERROR(__xludf.DUMMYFUNCTION("VLOOKUP(M36, IMPORTRANGE(""https://docs.google.com/spreadsheets/d/1yDAaXNsi4Mr5FtRQL4tbmSdIzhx6_m4wkOD7IG-k_eo/edit#gid=0"", ""Maths!M:N""), 2, FALSE)"),"Apply the understanding of data and information to categorize given examples into the appropriate category")</f>
        <v>Apply the understanding of data and information to categorize given examples into the appropriate category</v>
      </c>
      <c r="O36" s="10" t="str">
        <f t="shared" si="3"/>
        <v>LU000308.004</v>
      </c>
      <c r="P36" s="10" t="str">
        <f ca="1">IFERROR(__xludf.DUMMYFUNCTION("VLOOKUP(O36, IMPORTRANGE(""https://docs.google.com/spreadsheets/d/1yDAaXNsi4Mr5FtRQL4tbmSdIzhx6_m4wkOD7IG-k_eo/edit#gid=0"", ""Maths!M:N""), 2, FALSE)"),"Examine how data is transformed into meaningful information through processing and explain the role of context in this transformation.")</f>
        <v>Examine how data is transformed into meaningful information through processing and explain the role of context in this transformation.</v>
      </c>
      <c r="Q36" s="10" t="str">
        <f t="shared" si="4"/>
        <v>LU000308.005</v>
      </c>
      <c r="R36" s="10" t="str">
        <f ca="1">IFERROR(__xludf.DUMMYFUNCTION("VLOOKUP(Q36, IMPORTRANGE(""https://docs.google.com/spreadsheets/d/1yDAaXNsi4Mr5FtRQL4tbmSdIzhx6_m4wkOD7IG-k_eo/edit#gid=0"", ""Maths!M:N""), 2, FALSE)"),"Evaluate the accuracy of classifications of examples as data or information, assessing the correctness of the categorizations")</f>
        <v>Evaluate the accuracy of classifications of examples as data or information, assessing the correctness of the categorizations</v>
      </c>
      <c r="S36" s="10" t="str">
        <f t="shared" si="5"/>
        <v>LU000308.006</v>
      </c>
      <c r="T36" s="10" t="str">
        <f ca="1">IFERROR(__xludf.DUMMYFUNCTION("VLOOKUP(S36, IMPORTRANGE(""https://docs.google.com/spreadsheets/d/1yDAaXNsi4Mr5FtRQL4tbmSdIzhx6_m4wkOD7IG-k_eo/edit#gid=0"", ""Maths!M:N""), 2, FALSE)"),"Create scenarios and identify and explain instances of data and information in each scenario, highlighting the key differences.")</f>
        <v>Create scenarios and identify and explain instances of data and information in each scenario, highlighting the key differences.</v>
      </c>
      <c r="U36" s="11">
        <f ca="1">IFERROR(__xludf.DUMMYFUNCTION("ArrayFormula(VLOOKUP(G36, IMPORTRANGE(""https://docs.google.com/spreadsheets/d/1p7R4vtkWt5VOBim4ltsDG9KTzSjrtKXsMtQGXPHyND0/edit#gid=795171502"", ""'Filter 30_05_2024'!A1:M2000""), {2, 3, 4, 5,6,7,8,9,10,11,12,13}, 0))"),16)</f>
        <v>16</v>
      </c>
      <c r="V36" s="11">
        <f ca="1">IFERROR(__xludf.DUMMYFUNCTION("""COMPUTED_VALUE"""),6)</f>
        <v>6</v>
      </c>
      <c r="W36" s="11">
        <f ca="1">IFERROR(__xludf.DUMMYFUNCTION("""COMPUTED_VALUE"""),2)</f>
        <v>2</v>
      </c>
      <c r="X36" s="11">
        <f ca="1">IFERROR(__xludf.DUMMYFUNCTION("""COMPUTED_VALUE"""),24)</f>
        <v>24</v>
      </c>
      <c r="Y36" s="11">
        <f ca="1">IFERROR(__xludf.DUMMYFUNCTION("""COMPUTED_VALUE"""),5)</f>
        <v>5</v>
      </c>
      <c r="Z36" s="12">
        <f ca="1">IFERROR(__xludf.DUMMYFUNCTION("""COMPUTED_VALUE"""),3)</f>
        <v>3</v>
      </c>
      <c r="AA36" s="12">
        <f ca="1">IFERROR(__xludf.DUMMYFUNCTION("""COMPUTED_VALUE"""),1)</f>
        <v>1</v>
      </c>
      <c r="AB36" s="12">
        <f ca="1">IFERROR(__xludf.DUMMYFUNCTION("""COMPUTED_VALUE"""),9)</f>
        <v>9</v>
      </c>
      <c r="AC36" s="11"/>
      <c r="AD36" s="12"/>
      <c r="AE36" s="12"/>
      <c r="AF36" s="12"/>
      <c r="AG36" s="13" t="str">
        <f ca="1">IFERROR(__xludf.DUMMYFUNCTION("ArrayFormula(VLOOKUP(G36, IMPORTRANGE(""https://docs.google.com/spreadsheets/d/1Co934fvtviyaRiMsrIlT05Jaq7iiYq07aLvRr35KA48/edit?gid=173865642#gid=173865642"", ""'G6_Maths GP_Pri_LU'!G2:V2000""), {3, 4, 5, 6, 7, 8, 9, 10, 11, 12, 13, 14, 15, 16}, 0))"),"")</f>
        <v/>
      </c>
      <c r="AH36" s="13"/>
      <c r="AI36" s="13"/>
      <c r="AJ36" s="13"/>
      <c r="AK36" s="13"/>
      <c r="AL36" s="13"/>
      <c r="AM36" s="13"/>
      <c r="AN36" s="13"/>
      <c r="AO36" s="13"/>
      <c r="AP36" s="13"/>
      <c r="AQ36" s="13"/>
      <c r="AR36" s="13"/>
      <c r="AS36" s="13"/>
      <c r="AT36" s="13"/>
    </row>
    <row r="37" spans="1:46" ht="53.4">
      <c r="A37" s="8" t="s">
        <v>46</v>
      </c>
      <c r="B37" s="8" t="s">
        <v>47</v>
      </c>
      <c r="C37" s="8" t="s">
        <v>48</v>
      </c>
      <c r="D37" s="8" t="s">
        <v>49</v>
      </c>
      <c r="E37" s="8" t="s">
        <v>107</v>
      </c>
      <c r="F37" s="8" t="s">
        <v>108</v>
      </c>
      <c r="G37" s="16" t="s">
        <v>110</v>
      </c>
      <c r="H37" s="8" t="str">
        <f ca="1">IFERROR(__xludf.DUMMYFUNCTION("VLOOKUP(G37, IMPORTRANGE(""https://docs.google.com/spreadsheets/d/14deopnvwcrKtEGCKuYXdUHJbeLDZlkiSSWWT0g7x2pM/edit#gid=999382323"", ""LU List Maths (Filter)!A:B""), 2, FALSE)"),"Organisation of data")</f>
        <v>Organisation of data</v>
      </c>
      <c r="I37" s="10" t="str">
        <f t="shared" si="0"/>
        <v>LU000309.001</v>
      </c>
      <c r="J37" s="10" t="str">
        <f ca="1">IFERROR(__xludf.DUMMYFUNCTION("VLOOKUP(I37, IMPORTRANGE(""https://docs.google.com/spreadsheets/d/1yDAaXNsi4Mr5FtRQL4tbmSdIzhx6_m4wkOD7IG-k_eo/edit#gid=0"", ""Maths!M:N""), 2, FALSE)"),"State the methods for organizing data (like including tables, charts, and graphs) and explain their role in visually representing information.")</f>
        <v>State the methods for organizing data (like including tables, charts, and graphs) and explain their role in visually representing information.</v>
      </c>
      <c r="K37" s="10" t="str">
        <f t="shared" si="1"/>
        <v>LU000309.002</v>
      </c>
      <c r="L37" s="10" t="str">
        <f ca="1">IFERROR(__xludf.DUMMYFUNCTION("VLOOKUP(K37, IMPORTRANGE(""https://docs.google.com/spreadsheets/d/1yDAaXNsi4Mr5FtRQL4tbmSdIzhx6_m4wkOD7IG-k_eo/edit#gid=0"", ""Maths!M:N""), 2, FALSE)"),"Describe how organizing data enhances comprehension by visually highlighting patterns and relationships in the information.")</f>
        <v>Describe how organizing data enhances comprehension by visually highlighting patterns and relationships in the information.</v>
      </c>
      <c r="M37" s="10" t="str">
        <f t="shared" si="2"/>
        <v>LU000309.003</v>
      </c>
      <c r="N37" s="10" t="str">
        <f ca="1">IFERROR(__xludf.DUMMYFUNCTION("VLOOKUP(M37, IMPORTRANGE(""https://docs.google.com/spreadsheets/d/1yDAaXNsi4Mr5FtRQL4tbmSdIzhx6_m4wkOD7IG-k_eo/edit#gid=0"", ""Maths!M:N""), 2, FALSE)"),"Apply the understanding of data organisation by selecting an appropriate method to present a given set of data in a clear and organised manner.")</f>
        <v>Apply the understanding of data organisation by selecting an appropriate method to present a given set of data in a clear and organised manner.</v>
      </c>
      <c r="O37" s="10" t="str">
        <f t="shared" si="3"/>
        <v>LU000309.004</v>
      </c>
      <c r="P37" s="10" t="str">
        <f ca="1">IFERROR(__xludf.DUMMYFUNCTION("VLOOKUP(O37, IMPORTRANGE(""https://docs.google.com/spreadsheets/d/1yDAaXNsi4Mr5FtRQL4tbmSdIzhx6_m4wkOD7IG-k_eo/edit#gid=0"", ""Maths!M:N""), 2, FALSE)"),"Analyse the effectiveness of different data organisation methods for specific types of data, discussing how each method highlights different aspects.")</f>
        <v>Analyse the effectiveness of different data organisation methods for specific types of data, discussing how each method highlights different aspects.</v>
      </c>
      <c r="Q37" s="10" t="str">
        <f t="shared" si="4"/>
        <v>LU000309.005</v>
      </c>
      <c r="R37" s="10" t="str">
        <f ca="1">IFERROR(__xludf.DUMMYFUNCTION("VLOOKUP(Q37, IMPORTRANGE(""https://docs.google.com/spreadsheets/d/1yDAaXNsi4Mr5FtRQL4tbmSdIzhx6_m4wkOD7IG-k_eo/edit#gid=0"", ""Maths!M:N""), 2, FALSE)"),"Evaluate the appropriateness of data organisation methods for specific datasets, assessing the effectiveness of the chosen methods.")</f>
        <v>Evaluate the appropriateness of data organisation methods for specific datasets, assessing the effectiveness of the chosen methods.</v>
      </c>
      <c r="S37" s="10" t="str">
        <f t="shared" si="5"/>
        <v>LU000309.006</v>
      </c>
      <c r="T37" s="10" t="str">
        <f ca="1">IFERROR(__xludf.DUMMYFUNCTION("VLOOKUP(S37, IMPORTRANGE(""https://docs.google.com/spreadsheets/d/1yDAaXNsi4Mr5FtRQL4tbmSdIzhx6_m4wkOD7IG-k_eo/edit#gid=0"", ""Maths!M:N""), 2, FALSE)"),"Create a set of data and select an appropriate method for organising it, justifying the choice based on the characteristics of the data.")</f>
        <v>Create a set of data and select an appropriate method for organising it, justifying the choice based on the characteristics of the data.</v>
      </c>
      <c r="U37" s="11">
        <f ca="1">IFERROR(__xludf.DUMMYFUNCTION("ArrayFormula(VLOOKUP(G37, IMPORTRANGE(""https://docs.google.com/spreadsheets/d/1p7R4vtkWt5VOBim4ltsDG9KTzSjrtKXsMtQGXPHyND0/edit#gid=795171502"", ""'Filter 30_05_2024'!A1:M2000""), {2, 3, 4, 5,6,7,8,9,10,11,12,13}, 0))"),4)</f>
        <v>4</v>
      </c>
      <c r="V37" s="11">
        <f ca="1">IFERROR(__xludf.DUMMYFUNCTION("""COMPUTED_VALUE"""),15)</f>
        <v>15</v>
      </c>
      <c r="W37" s="11">
        <f ca="1">IFERROR(__xludf.DUMMYFUNCTION("""COMPUTED_VALUE"""),2)</f>
        <v>2</v>
      </c>
      <c r="X37" s="11">
        <f ca="1">IFERROR(__xludf.DUMMYFUNCTION("""COMPUTED_VALUE"""),21)</f>
        <v>21</v>
      </c>
      <c r="Y37" s="11">
        <f ca="1">IFERROR(__xludf.DUMMYFUNCTION("""COMPUTED_VALUE"""),4)</f>
        <v>4</v>
      </c>
      <c r="Z37" s="12">
        <f ca="1">IFERROR(__xludf.DUMMYFUNCTION("""COMPUTED_VALUE"""),5)</f>
        <v>5</v>
      </c>
      <c r="AA37" s="12">
        <f ca="1">IFERROR(__xludf.DUMMYFUNCTION("""COMPUTED_VALUE"""),1)</f>
        <v>1</v>
      </c>
      <c r="AB37" s="12">
        <f ca="1">IFERROR(__xludf.DUMMYFUNCTION("""COMPUTED_VALUE"""),10)</f>
        <v>10</v>
      </c>
      <c r="AC37" s="11"/>
      <c r="AD37" s="12"/>
      <c r="AE37" s="12"/>
      <c r="AF37" s="12"/>
      <c r="AG37" s="13" t="str">
        <f ca="1">IFERROR(__xludf.DUMMYFUNCTION("ArrayFormula(VLOOKUP(G37, IMPORTRANGE(""https://docs.google.com/spreadsheets/d/1Co934fvtviyaRiMsrIlT05Jaq7iiYq07aLvRr35KA48/edit?gid=173865642#gid=173865642"", ""'G6_Maths GP_Pri_LU'!G2:V2000""), {3, 4, 5, 6, 7, 8, 9, 10, 11, 12, 13, 14, 15, 16}, 0))"),"LU000308")</f>
        <v>LU000308</v>
      </c>
      <c r="AH37" s="13" t="str">
        <f ca="1">IFERROR(__xludf.DUMMYFUNCTION("""COMPUTED_VALUE"""),"Definition of data and information")</f>
        <v>Definition of data and information</v>
      </c>
      <c r="AI37" s="13"/>
      <c r="AJ37" s="13"/>
      <c r="AK37" s="13"/>
      <c r="AL37" s="13"/>
      <c r="AM37" s="13"/>
      <c r="AN37" s="13"/>
      <c r="AO37" s="13"/>
      <c r="AP37" s="13"/>
      <c r="AQ37" s="13"/>
      <c r="AR37" s="13"/>
      <c r="AS37" s="13"/>
      <c r="AT37" s="13"/>
    </row>
    <row r="38" spans="1:46" ht="40.200000000000003">
      <c r="A38" s="8" t="s">
        <v>46</v>
      </c>
      <c r="B38" s="8" t="s">
        <v>47</v>
      </c>
      <c r="C38" s="8" t="s">
        <v>48</v>
      </c>
      <c r="D38" s="8" t="s">
        <v>49</v>
      </c>
      <c r="E38" s="8" t="s">
        <v>107</v>
      </c>
      <c r="F38" s="8" t="s">
        <v>108</v>
      </c>
      <c r="G38" s="16" t="s">
        <v>111</v>
      </c>
      <c r="H38" s="8" t="str">
        <f ca="1">IFERROR(__xludf.DUMMYFUNCTION("VLOOKUP(G38, IMPORTRANGE(""https://docs.google.com/spreadsheets/d/14deopnvwcrKtEGCKuYXdUHJbeLDZlkiSSWWT0g7x2pM/edit#gid=999382323"", ""LU List Maths (Filter)!A:B""), 2, FALSE)"),"Definition of frequency in data")</f>
        <v>Definition of frequency in data</v>
      </c>
      <c r="I38" s="10" t="str">
        <f t="shared" si="0"/>
        <v>LU000400.001</v>
      </c>
      <c r="J38" s="10" t="str">
        <f ca="1">IFERROR(__xludf.DUMMYFUNCTION("VLOOKUP(I38, IMPORTRANGE(""https://docs.google.com/spreadsheets/d/1yDAaXNsi4Mr5FtRQL4tbmSdIzhx6_m4wkOD7IG-k_eo/edit#gid=0"", ""Maths!M:N""), 2, FALSE)"),"State the definition of frequency when discussing data analysis.")</f>
        <v>State the definition of frequency when discussing data analysis.</v>
      </c>
      <c r="K38" s="10" t="str">
        <f t="shared" si="1"/>
        <v>LU000400.002</v>
      </c>
      <c r="L38" s="10" t="str">
        <f ca="1">IFERROR(__xludf.DUMMYFUNCTION("VLOOKUP(K38, IMPORTRANGE(""https://docs.google.com/spreadsheets/d/1yDAaXNsi4Mr5FtRQL4tbmSdIzhx6_m4wkOD7IG-k_eo/edit#gid=0"", ""Maths!M:N""), 2, FALSE)"),"Explain the concept of frequency and its relevance in organising and summarising data.")</f>
        <v>Explain the concept of frequency and its relevance in organising and summarising data.</v>
      </c>
      <c r="M38" s="10" t="str">
        <f t="shared" si="2"/>
        <v>LU000400.003</v>
      </c>
      <c r="N38" s="10" t="str">
        <f ca="1">IFERROR(__xludf.DUMMYFUNCTION("VLOOKUP(M38, IMPORTRANGE(""https://docs.google.com/spreadsheets/d/1yDAaXNsi4Mr5FtRQL4tbmSdIzhx6_m4wkOD7IG-k_eo/edit#gid=0"", ""Maths!M:N""), 2, FALSE)"),"Apply the concept of frequency to create a frequency distribution table for a given dataset.")</f>
        <v>Apply the concept of frequency to create a frequency distribution table for a given dataset.</v>
      </c>
      <c r="O38" s="10" t="str">
        <f t="shared" si="3"/>
        <v>LU000400.004</v>
      </c>
      <c r="P38" s="10" t="str">
        <f ca="1">IFERROR(__xludf.DUMMYFUNCTION("VLOOKUP(O38, IMPORTRANGE(""https://docs.google.com/spreadsheets/d/1yDAaXNsi4Mr5FtRQL4tbmSdIzhx6_m4wkOD7IG-k_eo/edit#gid=0"", ""Maths!M:N""), 2, FALSE)"),"Analyse a dataset and identify the mode using frequency information.")</f>
        <v>Analyse a dataset and identify the mode using frequency information.</v>
      </c>
      <c r="Q38" s="10" t="str">
        <f t="shared" si="4"/>
        <v>LU000400.005</v>
      </c>
      <c r="R38" s="10" t="str">
        <f ca="1">IFERROR(__xludf.DUMMYFUNCTION("VLOOKUP(Q38, IMPORTRANGE(""https://docs.google.com/spreadsheets/d/1yDAaXNsi4Mr5FtRQL4tbmSdIzhx6_m4wkOD7IG-k_eo/edit#gid=0"", ""Maths!M:N""), 2, FALSE)"),"Evaluate the effectiveness of using frequency to describe the central tendencies of data.")</f>
        <v>Evaluate the effectiveness of using frequency to describe the central tendencies of data.</v>
      </c>
      <c r="S38" s="10" t="str">
        <f t="shared" si="5"/>
        <v>LU000400.006</v>
      </c>
      <c r="T38" s="10" t="str">
        <f ca="1">IFERROR(__xludf.DUMMYFUNCTION("VLOOKUP(S38, IMPORTRANGE(""https://docs.google.com/spreadsheets/d/1yDAaXNsi4Mr5FtRQL4tbmSdIzhx6_m4wkOD7IG-k_eo/edit#gid=0"", ""Maths!M:N""), 2, FALSE)"),"Design a real-world scenario where understanding frequency is essential for decision-making.")</f>
        <v>Design a real-world scenario where understanding frequency is essential for decision-making.</v>
      </c>
      <c r="U38" s="11">
        <f ca="1">IFERROR(__xludf.DUMMYFUNCTION("ArrayFormula(VLOOKUP(G38, IMPORTRANGE(""https://docs.google.com/spreadsheets/d/1p7R4vtkWt5VOBim4ltsDG9KTzSjrtKXsMtQGXPHyND0/edit#gid=795171502"", ""'Filter 30_05_2024'!A1:M2000""), {2, 3, 4, 5,6,7,8,9,10,11,12,13}, 0))"),4)</f>
        <v>4</v>
      </c>
      <c r="V38" s="11">
        <f ca="1">IFERROR(__xludf.DUMMYFUNCTION("""COMPUTED_VALUE"""),6)</f>
        <v>6</v>
      </c>
      <c r="W38" s="11">
        <f ca="1">IFERROR(__xludf.DUMMYFUNCTION("""COMPUTED_VALUE"""),2)</f>
        <v>2</v>
      </c>
      <c r="X38" s="11">
        <f ca="1">IFERROR(__xludf.DUMMYFUNCTION("""COMPUTED_VALUE"""),12)</f>
        <v>12</v>
      </c>
      <c r="Y38" s="11">
        <f ca="1">IFERROR(__xludf.DUMMYFUNCTION("""COMPUTED_VALUE"""),4)</f>
        <v>4</v>
      </c>
      <c r="Z38" s="12">
        <f ca="1">IFERROR(__xludf.DUMMYFUNCTION("""COMPUTED_VALUE"""),3)</f>
        <v>3</v>
      </c>
      <c r="AA38" s="12">
        <f ca="1">IFERROR(__xludf.DUMMYFUNCTION("""COMPUTED_VALUE"""),1)</f>
        <v>1</v>
      </c>
      <c r="AB38" s="12">
        <f ca="1">IFERROR(__xludf.DUMMYFUNCTION("""COMPUTED_VALUE"""),8)</f>
        <v>8</v>
      </c>
      <c r="AC38" s="11"/>
      <c r="AD38" s="12"/>
      <c r="AE38" s="12"/>
      <c r="AF38" s="12"/>
      <c r="AG38" s="13" t="str">
        <f ca="1">IFERROR(__xludf.DUMMYFUNCTION("ArrayFormula(VLOOKUP(G38, IMPORTRANGE(""https://docs.google.com/spreadsheets/d/1Co934fvtviyaRiMsrIlT05Jaq7iiYq07aLvRr35KA48/edit?gid=173865642#gid=173865642"", ""'G6_Maths GP_Pri_LU'!G2:V2000""), {3, 4, 5, 6, 7, 8, 9, 10, 11, 12, 13, 14, 15, 16}, 0))"),"LU000309")</f>
        <v>LU000309</v>
      </c>
      <c r="AH38" s="13" t="str">
        <f ca="1">IFERROR(__xludf.DUMMYFUNCTION("""COMPUTED_VALUE"""),"Organisation of data")</f>
        <v>Organisation of data</v>
      </c>
      <c r="AI38" s="13" t="str">
        <f ca="1">IFERROR(__xludf.DUMMYFUNCTION("""COMPUTED_VALUE"""),"LU000308")</f>
        <v>LU000308</v>
      </c>
      <c r="AJ38" s="13" t="str">
        <f ca="1">IFERROR(__xludf.DUMMYFUNCTION("""COMPUTED_VALUE"""),"Definition of data and information")</f>
        <v>Definition of data and information</v>
      </c>
      <c r="AK38" s="13"/>
      <c r="AL38" s="13"/>
      <c r="AM38" s="13"/>
      <c r="AN38" s="13"/>
      <c r="AO38" s="13"/>
      <c r="AP38" s="13"/>
      <c r="AQ38" s="13"/>
      <c r="AR38" s="13"/>
      <c r="AS38" s="13"/>
      <c r="AT38" s="13"/>
    </row>
    <row r="39" spans="1:46" ht="53.4">
      <c r="A39" s="8" t="s">
        <v>46</v>
      </c>
      <c r="B39" s="8" t="s">
        <v>47</v>
      </c>
      <c r="C39" s="8" t="s">
        <v>48</v>
      </c>
      <c r="D39" s="8" t="s">
        <v>49</v>
      </c>
      <c r="E39" s="8" t="s">
        <v>107</v>
      </c>
      <c r="F39" s="8" t="s">
        <v>112</v>
      </c>
      <c r="G39" s="16" t="s">
        <v>113</v>
      </c>
      <c r="H39" s="8" t="str">
        <f ca="1">IFERROR(__xludf.DUMMYFUNCTION("VLOOKUP(G39, IMPORTRANGE(""https://docs.google.com/spreadsheets/d/14deopnvwcrKtEGCKuYXdUHJbeLDZlkiSSWWT0g7x2pM/edit#gid=999382323"", ""LU List Maths (Filter)!A:B""), 2, FALSE)"),"Definition of tally chart")</f>
        <v>Definition of tally chart</v>
      </c>
      <c r="I39" s="10" t="str">
        <f t="shared" si="0"/>
        <v>LU000310.001</v>
      </c>
      <c r="J39" s="10" t="str">
        <f ca="1">IFERROR(__xludf.DUMMYFUNCTION("VLOOKUP(I39, IMPORTRANGE(""https://docs.google.com/spreadsheets/d/1yDAaXNsi4Mr5FtRQL4tbmSdIzhx6_m4wkOD7IG-k_eo/edit#gid=0"", ""Maths!M:N""), 2, FALSE)"),"State the definition of a tally chart and explain how it is used to visually represent and count occurrences of data.")</f>
        <v>State the definition of a tally chart and explain how it is used to visually represent and count occurrences of data.</v>
      </c>
      <c r="K39" s="10" t="str">
        <f t="shared" si="1"/>
        <v>LU000310.002</v>
      </c>
      <c r="L39" s="10" t="str">
        <f ca="1">IFERROR(__xludf.DUMMYFUNCTION("VLOOKUP(K39, IMPORTRANGE(""https://docs.google.com/spreadsheets/d/1yDAaXNsi4Mr5FtRQL4tbmSdIzhx6_m4wkOD7IG-k_eo/edit#gid=0"", ""Maths!M:N""), 2, FALSE)"),"Describe the purpose of a tally chart in organising and counting data, and explain how tally marks are used to represent each data point.")</f>
        <v>Describe the purpose of a tally chart in organising and counting data, and explain how tally marks are used to represent each data point.</v>
      </c>
      <c r="M39" s="10" t="str">
        <f t="shared" si="2"/>
        <v>LU000310.003</v>
      </c>
      <c r="N39" s="10" t="str">
        <f ca="1">IFERROR(__xludf.DUMMYFUNCTION("VLOOKUP(M39, IMPORTRANGE(""https://docs.google.com/spreadsheets/d/1yDAaXNsi4Mr5FtRQL4tbmSdIzhx6_m4wkOD7IG-k_eo/edit#gid=0"", ""Maths!M:N""), 2, FALSE)"),"Identify the tally chart corresponding to the given data.")</f>
        <v>Identify the tally chart corresponding to the given data.</v>
      </c>
      <c r="O39" s="10" t="str">
        <f t="shared" si="3"/>
        <v>LU000310.004</v>
      </c>
      <c r="P39" s="10" t="str">
        <f ca="1">IFERROR(__xludf.DUMMYFUNCTION("VLOOKUP(O39, IMPORTRANGE(""https://docs.google.com/spreadsheets/d/1yDAaXNsi4Mr5FtRQL4tbmSdIzhx6_m4wkOD7IG-k_eo/edit#gid=0"", ""Maths!M:N""), 2, FALSE)"),"Analyse the effectiveness of using tally charts for specific types of data.")</f>
        <v>Analyse the effectiveness of using tally charts for specific types of data.</v>
      </c>
      <c r="Q39" s="10" t="str">
        <f t="shared" si="4"/>
        <v>LU000310.005</v>
      </c>
      <c r="R39" s="10" t="str">
        <f ca="1">IFERROR(__xludf.DUMMYFUNCTION("VLOOKUP(Q39, IMPORTRANGE(""https://docs.google.com/spreadsheets/d/1yDAaXNsi4Mr5FtRQL4tbmSdIzhx6_m4wkOD7IG-k_eo/edit#gid=0"", ""Maths!M:N""), 2, FALSE)"),"Evaluate the appropriateness of tally charts for specific datasets, assessing the accuracy of the tally marks.")</f>
        <v>Evaluate the appropriateness of tally charts for specific datasets, assessing the accuracy of the tally marks.</v>
      </c>
      <c r="S39" s="10" t="str">
        <f t="shared" si="5"/>
        <v>LU000310.006</v>
      </c>
      <c r="T39" s="10" t="str">
        <f ca="1">IFERROR(__xludf.DUMMYFUNCTION("VLOOKUP(S39, IMPORTRANGE(""https://docs.google.com/spreadsheets/d/1yDAaXNsi4Mr5FtRQL4tbmSdIzhx6_m4wkOD7IG-k_eo/edit#gid=0"", ""Maths!M:N""), 2, FALSE)"),"#N/A")</f>
        <v>#N/A</v>
      </c>
      <c r="U39" s="11">
        <f ca="1">IFERROR(__xludf.DUMMYFUNCTION("ArrayFormula(VLOOKUP(G39, IMPORTRANGE(""https://docs.google.com/spreadsheets/d/1p7R4vtkWt5VOBim4ltsDG9KTzSjrtKXsMtQGXPHyND0/edit#gid=795171502"", ""'Filter 30_05_2024'!A1:M2000""), {2, 3, 4, 5,6,7,8,9,10,11,12,13}, 0))"),4)</f>
        <v>4</v>
      </c>
      <c r="V39" s="11">
        <f ca="1">IFERROR(__xludf.DUMMYFUNCTION("""COMPUTED_VALUE"""),6)</f>
        <v>6</v>
      </c>
      <c r="W39" s="11">
        <f ca="1">IFERROR(__xludf.DUMMYFUNCTION("""COMPUTED_VALUE"""),2)</f>
        <v>2</v>
      </c>
      <c r="X39" s="11">
        <f ca="1">IFERROR(__xludf.DUMMYFUNCTION("""COMPUTED_VALUE"""),12)</f>
        <v>12</v>
      </c>
      <c r="Y39" s="11">
        <f ca="1">IFERROR(__xludf.DUMMYFUNCTION("""COMPUTED_VALUE"""),4)</f>
        <v>4</v>
      </c>
      <c r="Z39" s="12">
        <f ca="1">IFERROR(__xludf.DUMMYFUNCTION("""COMPUTED_VALUE"""),3)</f>
        <v>3</v>
      </c>
      <c r="AA39" s="12">
        <f ca="1">IFERROR(__xludf.DUMMYFUNCTION("""COMPUTED_VALUE"""),1)</f>
        <v>1</v>
      </c>
      <c r="AB39" s="12">
        <f ca="1">IFERROR(__xludf.DUMMYFUNCTION("""COMPUTED_VALUE"""),8)</f>
        <v>8</v>
      </c>
      <c r="AC39" s="11"/>
      <c r="AD39" s="12"/>
      <c r="AE39" s="12"/>
      <c r="AF39" s="12"/>
      <c r="AG39" s="13" t="str">
        <f ca="1">IFERROR(__xludf.DUMMYFUNCTION("ArrayFormula(VLOOKUP(G39, IMPORTRANGE(""https://docs.google.com/spreadsheets/d/1Co934fvtviyaRiMsrIlT05Jaq7iiYq07aLvRr35KA48/edit?gid=173865642#gid=173865642"", ""'G6_Maths GP_Pri_LU'!G2:V2000""), {3, 4, 5, 6, 7, 8, 9, 10, 11, 12, 13, 14, 15, 16}, 0))"),"LU000109")</f>
        <v>LU000109</v>
      </c>
      <c r="AH39" s="13" t="str">
        <f ca="1">IFERROR(__xludf.DUMMYFUNCTION("""COMPUTED_VALUE"""),"Definition of tally marks")</f>
        <v>Definition of tally marks</v>
      </c>
      <c r="AI39" s="13" t="str">
        <f ca="1">IFERROR(__xludf.DUMMYFUNCTION("""COMPUTED_VALUE"""),"LU000309")</f>
        <v>LU000309</v>
      </c>
      <c r="AJ39" s="13" t="str">
        <f ca="1">IFERROR(__xludf.DUMMYFUNCTION("""COMPUTED_VALUE"""),"Organisation of data")</f>
        <v>Organisation of data</v>
      </c>
      <c r="AK39" s="13"/>
      <c r="AL39" s="13"/>
      <c r="AM39" s="13"/>
      <c r="AN39" s="13"/>
      <c r="AO39" s="13"/>
      <c r="AP39" s="13"/>
      <c r="AQ39" s="13"/>
      <c r="AR39" s="13"/>
      <c r="AS39" s="13"/>
      <c r="AT39" s="13"/>
    </row>
    <row r="40" spans="1:46" ht="53.4">
      <c r="A40" s="8" t="s">
        <v>46</v>
      </c>
      <c r="B40" s="8" t="s">
        <v>47</v>
      </c>
      <c r="C40" s="8" t="s">
        <v>48</v>
      </c>
      <c r="D40" s="8" t="s">
        <v>49</v>
      </c>
      <c r="E40" s="8" t="s">
        <v>107</v>
      </c>
      <c r="F40" s="8" t="s">
        <v>112</v>
      </c>
      <c r="G40" s="16" t="s">
        <v>114</v>
      </c>
      <c r="H40" s="8" t="str">
        <f ca="1">IFERROR(__xludf.DUMMYFUNCTION("VLOOKUP(G40, IMPORTRANGE(""https://docs.google.com/spreadsheets/d/14deopnvwcrKtEGCKuYXdUHJbeLDZlkiSSWWT0g7x2pM/edit#gid=999382323"", ""LU List Maths (Filter)!A:B""), 2, FALSE)"),"Interpretation of tally chart")</f>
        <v>Interpretation of tally chart</v>
      </c>
      <c r="I40" s="10" t="str">
        <f t="shared" si="0"/>
        <v>LU000311.001</v>
      </c>
      <c r="J40" s="10" t="str">
        <f ca="1">IFERROR(__xludf.DUMMYFUNCTION("VLOOKUP(I40, IMPORTRANGE(""https://docs.google.com/spreadsheets/d/1yDAaXNsi4Mr5FtRQL4tbmSdIzhx6_m4wkOD7IG-k_eo/edit#gid=0"", ""Maths!M:N""), 2, FALSE)"),"State the components of a tally chart (tally marks and categories) and explain how tally marks are used to represent data occurrences.")</f>
        <v>State the components of a tally chart (tally marks and categories) and explain how tally marks are used to represent data occurrences.</v>
      </c>
      <c r="K40" s="10" t="str">
        <f t="shared" si="1"/>
        <v>LU000311.002</v>
      </c>
      <c r="L40" s="10" t="str">
        <f ca="1">IFERROR(__xludf.DUMMYFUNCTION("VLOOKUP(K40, IMPORTRANGE(""https://docs.google.com/spreadsheets/d/1yDAaXNsi4Mr5FtRQL4tbmSdIzhx6_m4wkOD7IG-k_eo/edit#gid=0"", ""Maths!M:N""), 2, FALSE)"),"Describe how tally marks in a tally chart are grouped in sets of five or ten and counted to determine the frequency of each data category.")</f>
        <v>Describe how tally marks in a tally chart are grouped in sets of five or ten and counted to determine the frequency of each data category.</v>
      </c>
      <c r="M40" s="10" t="str">
        <f t="shared" si="2"/>
        <v>LU000311.003</v>
      </c>
      <c r="N40" s="10" t="str">
        <f ca="1">IFERROR(__xludf.DUMMYFUNCTION("VLOOKUP(M40, IMPORTRANGE(""https://docs.google.com/spreadsheets/d/1yDAaXNsi4Mr5FtRQL4tbmSdIzhx6_m4wkOD7IG-k_eo/edit#gid=0"", ""Maths!M:N""), 2, FALSE)"),"Apply the understanding of interpreting tally charts by analyzing a given tally chart and determining the most and least frequent data categories.")</f>
        <v>Apply the understanding of interpreting tally charts by analyzing a given tally chart and determining the most and least frequent data categories.</v>
      </c>
      <c r="O40" s="10" t="str">
        <f t="shared" si="3"/>
        <v>LU000311.004</v>
      </c>
      <c r="P40" s="10" t="str">
        <f ca="1">IFERROR(__xludf.DUMMYFUNCTION("VLOOKUP(O40, IMPORTRANGE(""https://docs.google.com/spreadsheets/d/1yDAaXNsi4Mr5FtRQL4tbmSdIzhx6_m4wkOD7IG-k_eo/edit#gid=0"", ""Maths!M:N""), 2, FALSE)"),"Analyse the patterns and trends in a tally chart, discussing how tally marks can reveal insights about data distribution.")</f>
        <v>Analyse the patterns and trends in a tally chart, discussing how tally marks can reveal insights about data distribution.</v>
      </c>
      <c r="Q40" s="10" t="str">
        <f t="shared" si="4"/>
        <v>LU000311.005</v>
      </c>
      <c r="R40" s="10" t="str">
        <f ca="1">IFERROR(__xludf.DUMMYFUNCTION("VLOOKUP(Q40, IMPORTRANGE(""https://docs.google.com/spreadsheets/d/1yDAaXNsi4Mr5FtRQL4tbmSdIzhx6_m4wkOD7IG-k_eo/edit#gid=0"", ""Maths!M:N""), 2, FALSE)"),"Evaluate the accuracy of interpretations of tally charts, assessing the correctness of the frequency determinations and insights drawn.")</f>
        <v>Evaluate the accuracy of interpretations of tally charts, assessing the correctness of the frequency determinations and insights drawn.</v>
      </c>
      <c r="S40" s="10" t="str">
        <f t="shared" si="5"/>
        <v>LU000311.006</v>
      </c>
      <c r="T40" s="10" t="str">
        <f ca="1">IFERROR(__xludf.DUMMYFUNCTION("VLOOKUP(S40, IMPORTRANGE(""https://docs.google.com/spreadsheets/d/1yDAaXNsi4Mr5FtRQL4tbmSdIzhx6_m4wkOD7IG-k_eo/edit#gid=0"", ""Maths!M:N""), 2, FALSE)"),"Create real-world scenarios involving a tally chart and data, interpret the chart, identify trends and draw conclusions based on the tally marks.")</f>
        <v>Create real-world scenarios involving a tally chart and data, interpret the chart, identify trends and draw conclusions based on the tally marks.</v>
      </c>
      <c r="U40" s="11">
        <f ca="1">IFERROR(__xludf.DUMMYFUNCTION("ArrayFormula(VLOOKUP(G40, IMPORTRANGE(""https://docs.google.com/spreadsheets/d/1p7R4vtkWt5VOBim4ltsDG9KTzSjrtKXsMtQGXPHyND0/edit#gid=795171502"", ""'Filter 30_05_2024'!A1:M2000""), {2, 3, 4, 5,6,7,8,9,10,11,12,13}, 0))"),17)</f>
        <v>17</v>
      </c>
      <c r="V40" s="11">
        <f ca="1">IFERROR(__xludf.DUMMYFUNCTION("""COMPUTED_VALUE"""),6)</f>
        <v>6</v>
      </c>
      <c r="W40" s="11">
        <f ca="1">IFERROR(__xludf.DUMMYFUNCTION("""COMPUTED_VALUE"""),1)</f>
        <v>1</v>
      </c>
      <c r="X40" s="11">
        <f ca="1">IFERROR(__xludf.DUMMYFUNCTION("""COMPUTED_VALUE"""),24)</f>
        <v>24</v>
      </c>
      <c r="Y40" s="11">
        <f ca="1">IFERROR(__xludf.DUMMYFUNCTION("""COMPUTED_VALUE"""),6)</f>
        <v>6</v>
      </c>
      <c r="Z40" s="12">
        <f ca="1">IFERROR(__xludf.DUMMYFUNCTION("""COMPUTED_VALUE"""),3)</f>
        <v>3</v>
      </c>
      <c r="AA40" s="12">
        <f ca="1">IFERROR(__xludf.DUMMYFUNCTION("""COMPUTED_VALUE"""),1)</f>
        <v>1</v>
      </c>
      <c r="AB40" s="12">
        <f ca="1">IFERROR(__xludf.DUMMYFUNCTION("""COMPUTED_VALUE"""),10)</f>
        <v>10</v>
      </c>
      <c r="AC40" s="11"/>
      <c r="AD40" s="12"/>
      <c r="AE40" s="12"/>
      <c r="AF40" s="12"/>
      <c r="AG40" s="13" t="str">
        <f ca="1">IFERROR(__xludf.DUMMYFUNCTION("ArrayFormula(VLOOKUP(G40, IMPORTRANGE(""https://docs.google.com/spreadsheets/d/1Co934fvtviyaRiMsrIlT05Jaq7iiYq07aLvRr35KA48/edit?gid=173865642#gid=173865642"", ""'G6_Maths GP_Pri_LU'!G2:V2000""), {3, 4, 5, 6, 7, 8, 9, 10, 11, 12, 13, 14, 15, 16}, 0))"),"LU000310")</f>
        <v>LU000310</v>
      </c>
      <c r="AH40" s="13" t="str">
        <f ca="1">IFERROR(__xludf.DUMMYFUNCTION("""COMPUTED_VALUE"""),"Definition of tally chart")</f>
        <v>Definition of tally chart</v>
      </c>
      <c r="AI40" s="13" t="str">
        <f ca="1">IFERROR(__xludf.DUMMYFUNCTION("""COMPUTED_VALUE"""),"LU000109")</f>
        <v>LU000109</v>
      </c>
      <c r="AJ40" s="13" t="str">
        <f ca="1">IFERROR(__xludf.DUMMYFUNCTION("""COMPUTED_VALUE"""),"Definition of tally marks")</f>
        <v>Definition of tally marks</v>
      </c>
      <c r="AK40" s="13" t="str">
        <f ca="1">IFERROR(__xludf.DUMMYFUNCTION("""COMPUTED_VALUE"""),"LU000309")</f>
        <v>LU000309</v>
      </c>
      <c r="AL40" s="13" t="str">
        <f ca="1">IFERROR(__xludf.DUMMYFUNCTION("""COMPUTED_VALUE"""),"Organisation of data")</f>
        <v>Organisation of data</v>
      </c>
      <c r="AM40" s="13"/>
      <c r="AN40" s="13"/>
      <c r="AO40" s="13"/>
      <c r="AP40" s="13"/>
      <c r="AQ40" s="13"/>
      <c r="AR40" s="13"/>
      <c r="AS40" s="13"/>
      <c r="AT40" s="13"/>
    </row>
    <row r="41" spans="1:46" ht="53.4">
      <c r="A41" s="8" t="s">
        <v>46</v>
      </c>
      <c r="B41" s="8" t="s">
        <v>47</v>
      </c>
      <c r="C41" s="8" t="s">
        <v>48</v>
      </c>
      <c r="D41" s="8" t="s">
        <v>49</v>
      </c>
      <c r="E41" s="8" t="s">
        <v>107</v>
      </c>
      <c r="F41" s="8" t="s">
        <v>112</v>
      </c>
      <c r="G41" s="16" t="s">
        <v>115</v>
      </c>
      <c r="H41" s="8" t="str">
        <f ca="1">IFERROR(__xludf.DUMMYFUNCTION("VLOOKUP(G41, IMPORTRANGE(""https://docs.google.com/spreadsheets/d/14deopnvwcrKtEGCKuYXdUHJbeLDZlkiSSWWT0g7x2pM/edit#gid=999382323"", ""LU List Maths (Filter)!A:B""), 2, FALSE)"),"Construction of tally chart")</f>
        <v>Construction of tally chart</v>
      </c>
      <c r="I41" s="10" t="str">
        <f t="shared" si="0"/>
        <v>LU000312.001</v>
      </c>
      <c r="J41" s="10" t="str">
        <f ca="1">IFERROR(__xludf.DUMMYFUNCTION("VLOOKUP(I41, IMPORTRANGE(""https://docs.google.com/spreadsheets/d/1yDAaXNsi4Mr5FtRQL4tbmSdIzhx6_m4wkOD7IG-k_eo/edit#gid=0"", ""Maths!M:N""), 2, FALSE)"),"State the essential components needed to create a tally chart (like categories, tally marks, and appropriate headings).")</f>
        <v>State the essential components needed to create a tally chart (like categories, tally marks, and appropriate headings).</v>
      </c>
      <c r="K41" s="10" t="str">
        <f t="shared" si="1"/>
        <v>LU000312.002</v>
      </c>
      <c r="L41" s="10" t="str">
        <f ca="1">IFERROR(__xludf.DUMMYFUNCTION("VLOOKUP(K41, IMPORTRANGE(""https://docs.google.com/spreadsheets/d/1yDAaXNsi4Mr5FtRQL4tbmSdIzhx6_m4wkOD7IG-k_eo/edit#gid=0"", ""Maths!M:N""), 2, FALSE)"),"Describe how to create a tally chart by listing categories vertically, adding tally marks for each data point and providing headings for context")</f>
        <v>Describe how to create a tally chart by listing categories vertically, adding tally marks for each data point and providing headings for context</v>
      </c>
      <c r="M41" s="10" t="str">
        <f t="shared" si="2"/>
        <v>LU000312.003</v>
      </c>
      <c r="N41" s="10" t="str">
        <f ca="1">IFERROR(__xludf.DUMMYFUNCTION("VLOOKUP(M41, IMPORTRANGE(""https://docs.google.com/spreadsheets/d/1yDAaXNsi4Mr5FtRQL4tbmSdIzhx6_m4wkOD7IG-k_eo/edit#gid=0"", ""Maths!M:N""), 2, FALSE)"),"Apply the process of constructing a tally chart to organize and represent data from a real-world scenarios.")</f>
        <v>Apply the process of constructing a tally chart to organize and represent data from a real-world scenarios.</v>
      </c>
      <c r="O41" s="10" t="str">
        <f t="shared" si="3"/>
        <v>LU000312.004</v>
      </c>
      <c r="P41" s="10" t="str">
        <f ca="1">IFERROR(__xludf.DUMMYFUNCTION("VLOOKUP(O41, IMPORTRANGE(""https://docs.google.com/spreadsheets/d/1yDAaXNsi4Mr5FtRQL4tbmSdIzhx6_m4wkOD7IG-k_eo/edit#gid=0"", ""Maths!M:N""), 2, FALSE)"),"Analyse the construction process of tally charts.")</f>
        <v>Analyse the construction process of tally charts.</v>
      </c>
      <c r="Q41" s="10" t="str">
        <f t="shared" si="4"/>
        <v>LU000312.005</v>
      </c>
      <c r="R41" s="10" t="str">
        <f ca="1">IFERROR(__xludf.DUMMYFUNCTION("VLOOKUP(Q41, IMPORTRANGE(""https://docs.google.com/spreadsheets/d/1yDAaXNsi4Mr5FtRQL4tbmSdIzhx6_m4wkOD7IG-k_eo/edit#gid=0"", ""Maths!M:N""), 2, FALSE)"),"Evaluate the effectiveness of different data presentation methods, comparing the advantages of tally charts with other visual representations like bar graphs.")</f>
        <v>Evaluate the effectiveness of different data presentation methods, comparing the advantages of tally charts with other visual representations like bar graphs.</v>
      </c>
      <c r="S41" s="10" t="str">
        <f t="shared" si="5"/>
        <v>LU000312.006</v>
      </c>
      <c r="T41" s="10" t="str">
        <f ca="1">IFERROR(__xludf.DUMMYFUNCTION("VLOOKUP(S41, IMPORTRANGE(""https://docs.google.com/spreadsheets/d/1yDAaXNsi4Mr5FtRQL4tbmSdIzhx6_m4wkOD7IG-k_eo/edit#gid=0"", ""Maths!M:N""), 2, FALSE)"),"#N/A")</f>
        <v>#N/A</v>
      </c>
      <c r="U41" s="11">
        <f ca="1">IFERROR(__xludf.DUMMYFUNCTION("ArrayFormula(VLOOKUP(G41, IMPORTRANGE(""https://docs.google.com/spreadsheets/d/1p7R4vtkWt5VOBim4ltsDG9KTzSjrtKXsMtQGXPHyND0/edit#gid=795171502"", ""'Filter 30_05_2024'!A1:M2000""), {2, 3, 4, 5,6,7,8,9,10,11,12,13}, 0))"),3)</f>
        <v>3</v>
      </c>
      <c r="V41" s="11">
        <f ca="1">IFERROR(__xludf.DUMMYFUNCTION("""COMPUTED_VALUE"""),12)</f>
        <v>12</v>
      </c>
      <c r="W41" s="11">
        <f ca="1">IFERROR(__xludf.DUMMYFUNCTION("""COMPUTED_VALUE"""),2)</f>
        <v>2</v>
      </c>
      <c r="X41" s="11">
        <f ca="1">IFERROR(__xludf.DUMMYFUNCTION("""COMPUTED_VALUE"""),17)</f>
        <v>17</v>
      </c>
      <c r="Y41" s="11">
        <f ca="1">IFERROR(__xludf.DUMMYFUNCTION("""COMPUTED_VALUE"""),5)</f>
        <v>5</v>
      </c>
      <c r="Z41" s="12">
        <f ca="1">IFERROR(__xludf.DUMMYFUNCTION("""COMPUTED_VALUE"""),6)</f>
        <v>6</v>
      </c>
      <c r="AA41" s="12">
        <f ca="1">IFERROR(__xludf.DUMMYFUNCTION("""COMPUTED_VALUE"""),2)</f>
        <v>2</v>
      </c>
      <c r="AB41" s="12">
        <f ca="1">IFERROR(__xludf.DUMMYFUNCTION("""COMPUTED_VALUE"""),13)</f>
        <v>13</v>
      </c>
      <c r="AC41" s="11"/>
      <c r="AD41" s="12"/>
      <c r="AE41" s="12"/>
      <c r="AF41" s="12"/>
      <c r="AG41" s="13" t="str">
        <f ca="1">IFERROR(__xludf.DUMMYFUNCTION("ArrayFormula(VLOOKUP(G41, IMPORTRANGE(""https://docs.google.com/spreadsheets/d/1Co934fvtviyaRiMsrIlT05Jaq7iiYq07aLvRr35KA48/edit?gid=173865642#gid=173865642"", ""'G6_Maths GP_Pri_LU'!G2:V2000""), {3, 4, 5, 6, 7, 8, 9, 10, 11, 12, 13, 14, 15, 16}, 0))"),"LU000310")</f>
        <v>LU000310</v>
      </c>
      <c r="AH41" s="13" t="str">
        <f ca="1">IFERROR(__xludf.DUMMYFUNCTION("""COMPUTED_VALUE"""),"Definition of tally chart")</f>
        <v>Definition of tally chart</v>
      </c>
      <c r="AI41" s="13" t="str">
        <f ca="1">IFERROR(__xludf.DUMMYFUNCTION("""COMPUTED_VALUE"""),"LU000109")</f>
        <v>LU000109</v>
      </c>
      <c r="AJ41" s="13" t="str">
        <f ca="1">IFERROR(__xludf.DUMMYFUNCTION("""COMPUTED_VALUE"""),"Definition of tally marks")</f>
        <v>Definition of tally marks</v>
      </c>
      <c r="AK41" s="13" t="str">
        <f ca="1">IFERROR(__xludf.DUMMYFUNCTION("""COMPUTED_VALUE"""),"LU000309")</f>
        <v>LU000309</v>
      </c>
      <c r="AL41" s="13" t="str">
        <f ca="1">IFERROR(__xludf.DUMMYFUNCTION("""COMPUTED_VALUE"""),"Organisation of data")</f>
        <v>Organisation of data</v>
      </c>
      <c r="AM41" s="13"/>
      <c r="AN41" s="13"/>
      <c r="AO41" s="13"/>
      <c r="AP41" s="13"/>
      <c r="AQ41" s="13"/>
      <c r="AR41" s="13"/>
      <c r="AS41" s="13"/>
      <c r="AT41" s="13"/>
    </row>
    <row r="42" spans="1:46" ht="40.200000000000003">
      <c r="A42" s="8" t="s">
        <v>46</v>
      </c>
      <c r="B42" s="8" t="s">
        <v>47</v>
      </c>
      <c r="C42" s="8" t="s">
        <v>48</v>
      </c>
      <c r="D42" s="8" t="s">
        <v>49</v>
      </c>
      <c r="E42" s="8" t="s">
        <v>107</v>
      </c>
      <c r="F42" s="8" t="s">
        <v>116</v>
      </c>
      <c r="G42" s="16" t="s">
        <v>117</v>
      </c>
      <c r="H42" s="8" t="str">
        <f ca="1">IFERROR(__xludf.DUMMYFUNCTION("VLOOKUP(G42, IMPORTRANGE(""https://docs.google.com/spreadsheets/d/14deopnvwcrKtEGCKuYXdUHJbeLDZlkiSSWWT0g7x2pM/edit#gid=999382323"", ""LU List Maths (Filter)!A:B""), 2, FALSE)"),"Definition of pictograph")</f>
        <v>Definition of pictograph</v>
      </c>
      <c r="I42" s="10" t="str">
        <f t="shared" si="0"/>
        <v>LU000313.001</v>
      </c>
      <c r="J42" s="10" t="str">
        <f ca="1">IFERROR(__xludf.DUMMYFUNCTION("VLOOKUP(I42, IMPORTRANGE(""https://docs.google.com/spreadsheets/d/1yDAaXNsi4Mr5FtRQL4tbmSdIzhx6_m4wkOD7IG-k_eo/edit#gid=0"", ""Maths!M:N""), 2, FALSE)"),"State the definition of a pictograph and explain how it uses pictures or symbols to visually represent data.")</f>
        <v>State the definition of a pictograph and explain how it uses pictures or symbols to visually represent data.</v>
      </c>
      <c r="K42" s="10" t="str">
        <f t="shared" si="1"/>
        <v>LU000313.002</v>
      </c>
      <c r="L42" s="10" t="str">
        <f ca="1">IFERROR(__xludf.DUMMYFUNCTION("VLOOKUP(K42, IMPORTRANGE(""https://docs.google.com/spreadsheets/d/1yDAaXNsi4Mr5FtRQL4tbmSdIzhx6_m4wkOD7IG-k_eo/edit#gid=0"", ""Maths!M:N""), 2, FALSE)"),"Describe how a pictograph is used to represent data using pictures or symbols.
")</f>
        <v xml:space="preserve">Describe how a pictograph is used to represent data using pictures or symbols.
</v>
      </c>
      <c r="M42" s="10" t="str">
        <f t="shared" si="2"/>
        <v>LU000313.003</v>
      </c>
      <c r="N42" s="10" t="str">
        <f ca="1">IFERROR(__xludf.DUMMYFUNCTION("VLOOKUP(M42, IMPORTRANGE(""https://docs.google.com/spreadsheets/d/1yDAaXNsi4Mr5FtRQL4tbmSdIzhx6_m4wkOD7IG-k_eo/edit#gid=0"", ""Maths!M:N""), 2, FALSE)"),"Identify the pictograph corresponding to the given data.")</f>
        <v>Identify the pictograph corresponding to the given data.</v>
      </c>
      <c r="O42" s="10" t="str">
        <f t="shared" si="3"/>
        <v>LU000313.004</v>
      </c>
      <c r="P42" s="10" t="str">
        <f ca="1">IFERROR(__xludf.DUMMYFUNCTION("VLOOKUP(O42, IMPORTRANGE(""https://docs.google.com/spreadsheets/d/1yDAaXNsi4Mr5FtRQL4tbmSdIzhx6_m4wkOD7IG-k_eo/edit#gid=0"", ""Maths!M:N""), 2, FALSE)"),"Examine how the choice of pictures or symbols in a pictograph affects the clarity of data representation.")</f>
        <v>Examine how the choice of pictures or symbols in a pictograph affects the clarity of data representation.</v>
      </c>
      <c r="Q42" s="10" t="str">
        <f t="shared" si="4"/>
        <v>LU000313.005</v>
      </c>
      <c r="R42" s="10" t="str">
        <f ca="1">IFERROR(__xludf.DUMMYFUNCTION("VLOOKUP(Q42, IMPORTRANGE(""https://docs.google.com/spreadsheets/d/1yDAaXNsi4Mr5FtRQL4tbmSdIzhx6_m4wkOD7IG-k_eo/edit#gid=0"", ""Maths!M:N""), 2, FALSE)"),"Evaluate the appropriateness of pictographs in accurately representing data, assessing the suitability of their chosen pictures or symbols")</f>
        <v>Evaluate the appropriateness of pictographs in accurately representing data, assessing the suitability of their chosen pictures or symbols</v>
      </c>
      <c r="S42" s="10" t="str">
        <f t="shared" si="5"/>
        <v>LU000313.006</v>
      </c>
      <c r="T42" s="10" t="str">
        <f ca="1">IFERROR(__xludf.DUMMYFUNCTION("VLOOKUP(S42, IMPORTRANGE(""https://docs.google.com/spreadsheets/d/1yDAaXNsi4Mr5FtRQL4tbmSdIzhx6_m4wkOD7IG-k_eo/edit#gid=0"", ""Maths!M:N""), 2, FALSE)"),"#N/A")</f>
        <v>#N/A</v>
      </c>
      <c r="U42" s="11">
        <f ca="1">IFERROR(__xludf.DUMMYFUNCTION("ArrayFormula(VLOOKUP(G42, IMPORTRANGE(""https://docs.google.com/spreadsheets/d/1p7R4vtkWt5VOBim4ltsDG9KTzSjrtKXsMtQGXPHyND0/edit#gid=795171502"", ""'Filter 30_05_2024'!A1:M2000""), {2, 3, 4, 5,6,7,8,9,10,11,12,13}, 0))"),3)</f>
        <v>3</v>
      </c>
      <c r="V42" s="11">
        <f ca="1">IFERROR(__xludf.DUMMYFUNCTION("""COMPUTED_VALUE"""),6)</f>
        <v>6</v>
      </c>
      <c r="W42" s="11">
        <f ca="1">IFERROR(__xludf.DUMMYFUNCTION("""COMPUTED_VALUE"""),2)</f>
        <v>2</v>
      </c>
      <c r="X42" s="11">
        <f ca="1">IFERROR(__xludf.DUMMYFUNCTION("""COMPUTED_VALUE"""),11)</f>
        <v>11</v>
      </c>
      <c r="Y42" s="11">
        <f ca="1">IFERROR(__xludf.DUMMYFUNCTION("""COMPUTED_VALUE"""),5)</f>
        <v>5</v>
      </c>
      <c r="Z42" s="12">
        <f ca="1">IFERROR(__xludf.DUMMYFUNCTION("""COMPUTED_VALUE"""),3)</f>
        <v>3</v>
      </c>
      <c r="AA42" s="12">
        <f ca="1">IFERROR(__xludf.DUMMYFUNCTION("""COMPUTED_VALUE"""),1)</f>
        <v>1</v>
      </c>
      <c r="AB42" s="12">
        <f ca="1">IFERROR(__xludf.DUMMYFUNCTION("""COMPUTED_VALUE"""),9)</f>
        <v>9</v>
      </c>
      <c r="AC42" s="11"/>
      <c r="AD42" s="12"/>
      <c r="AE42" s="12"/>
      <c r="AF42" s="12"/>
      <c r="AG42" s="13" t="str">
        <f ca="1">IFERROR(__xludf.DUMMYFUNCTION("ArrayFormula(VLOOKUP(G42, IMPORTRANGE(""https://docs.google.com/spreadsheets/d/1Co934fvtviyaRiMsrIlT05Jaq7iiYq07aLvRr35KA48/edit?gid=173865642#gid=173865642"", ""'G6_Maths GP_Pri_LU'!G2:V2000""), {3, 4, 5, 6, 7, 8, 9, 10, 11, 12, 13, 14, 15, 16}, 0))"),"LU000309")</f>
        <v>LU000309</v>
      </c>
      <c r="AH42" s="13" t="str">
        <f ca="1">IFERROR(__xludf.DUMMYFUNCTION("""COMPUTED_VALUE"""),"Organisation of data")</f>
        <v>Organisation of data</v>
      </c>
      <c r="AI42" s="13" t="str">
        <f ca="1">IFERROR(__xludf.DUMMYFUNCTION("""COMPUTED_VALUE"""),"LU000308")</f>
        <v>LU000308</v>
      </c>
      <c r="AJ42" s="13" t="str">
        <f ca="1">IFERROR(__xludf.DUMMYFUNCTION("""COMPUTED_VALUE"""),"Definition of data and information")</f>
        <v>Definition of data and information</v>
      </c>
      <c r="AK42" s="13"/>
      <c r="AL42" s="13"/>
      <c r="AM42" s="13"/>
      <c r="AN42" s="13"/>
      <c r="AO42" s="13"/>
      <c r="AP42" s="13"/>
      <c r="AQ42" s="13"/>
      <c r="AR42" s="13"/>
      <c r="AS42" s="13"/>
      <c r="AT42" s="13"/>
    </row>
    <row r="43" spans="1:46" ht="53.4">
      <c r="A43" s="8" t="s">
        <v>46</v>
      </c>
      <c r="B43" s="8" t="s">
        <v>47</v>
      </c>
      <c r="C43" s="8" t="s">
        <v>48</v>
      </c>
      <c r="D43" s="8" t="s">
        <v>49</v>
      </c>
      <c r="E43" s="8" t="s">
        <v>107</v>
      </c>
      <c r="F43" s="8" t="s">
        <v>116</v>
      </c>
      <c r="G43" s="16" t="s">
        <v>118</v>
      </c>
      <c r="H43" s="8" t="str">
        <f ca="1">IFERROR(__xludf.DUMMYFUNCTION("VLOOKUP(G43, IMPORTRANGE(""https://docs.google.com/spreadsheets/d/14deopnvwcrKtEGCKuYXdUHJbeLDZlkiSSWWT0g7x2pM/edit#gid=999382323"", ""LU List Maths (Filter)!A:B""), 2, FALSE)"),"Interpretation of pictographs")</f>
        <v>Interpretation of pictographs</v>
      </c>
      <c r="I43" s="10" t="str">
        <f t="shared" si="0"/>
        <v>LU000314.001</v>
      </c>
      <c r="J43" s="10" t="str">
        <f ca="1">IFERROR(__xludf.DUMMYFUNCTION("VLOOKUP(I43, IMPORTRANGE(""https://docs.google.com/spreadsheets/d/1yDAaXNsi4Mr5FtRQL4tbmSdIzhx6_m4wkOD7IG-k_eo/edit#gid=0"", ""Maths!M:N""), 2, FALSE)"),"State the features of a pictograph, such as pictures or symbols and the key that explains the correspondence between pictures and quantities.")</f>
        <v>State the features of a pictograph, such as pictures or symbols and the key that explains the correspondence between pictures and quantities.</v>
      </c>
      <c r="K43" s="10" t="str">
        <f t="shared" si="1"/>
        <v>LU000314.002</v>
      </c>
      <c r="L43" s="10" t="str">
        <f ca="1">IFERROR(__xludf.DUMMYFUNCTION("VLOOKUP(K43, IMPORTRANGE(""https://docs.google.com/spreadsheets/d/1yDAaXNsi4Mr5FtRQL4tbmSdIzhx6_m4wkOD7IG-k_eo/edit#gid=0"", ""Maths!M:N""), 2, FALSE)"),"Describe how a pictograph conveys data using pictures or symbols.")</f>
        <v>Describe how a pictograph conveys data using pictures or symbols.</v>
      </c>
      <c r="M43" s="10" t="str">
        <f t="shared" si="2"/>
        <v>LU000314.003</v>
      </c>
      <c r="N43" s="10" t="str">
        <f ca="1">IFERROR(__xludf.DUMMYFUNCTION("VLOOKUP(M43, IMPORTRANGE(""https://docs.google.com/spreadsheets/d/1yDAaXNsi4Mr5FtRQL4tbmSdIzhx6_m4wkOD7IG-k_eo/edit#gid=0"", ""Maths!M:N""), 2, FALSE)"),"Analyse the given pictograph, identify the quantities represented by the pictures or symbols and drawing conclusions.")</f>
        <v>Analyse the given pictograph, identify the quantities represented by the pictures or symbols and drawing conclusions.</v>
      </c>
      <c r="O43" s="10" t="str">
        <f t="shared" si="3"/>
        <v>LU000314.004</v>
      </c>
      <c r="P43" s="10" t="str">
        <f ca="1">IFERROR(__xludf.DUMMYFUNCTION("VLOOKUP(O43, IMPORTRANGE(""https://docs.google.com/spreadsheets/d/1yDAaXNsi4Mr5FtRQL4tbmSdIzhx6_m4wkOD7IG-k_eo/edit#gid=0"", ""Maths!M:N""), 2, FALSE)"),"Analyse the patterns and trends in a pictograph, discuss how the arrangement and frequency of pictures or symbols reflect the data distribution.")</f>
        <v>Analyse the patterns and trends in a pictograph, discuss how the arrangement and frequency of pictures or symbols reflect the data distribution.</v>
      </c>
      <c r="Q43" s="10" t="str">
        <f t="shared" si="4"/>
        <v>LU000314.005</v>
      </c>
      <c r="R43" s="10" t="str">
        <f ca="1">IFERROR(__xludf.DUMMYFUNCTION("VLOOKUP(Q43, IMPORTRANGE(""https://docs.google.com/spreadsheets/d/1yDAaXNsi4Mr5FtRQL4tbmSdIzhx6_m4wkOD7IG-k_eo/edit#gid=0"", ""Maths!M:N""), 2, FALSE)"),"#N/A")</f>
        <v>#N/A</v>
      </c>
      <c r="S43" s="10" t="str">
        <f t="shared" si="5"/>
        <v>LU000314.006</v>
      </c>
      <c r="T43" s="10" t="str">
        <f ca="1">IFERROR(__xludf.DUMMYFUNCTION("VLOOKUP(S43, IMPORTRANGE(""https://docs.google.com/spreadsheets/d/1yDAaXNsi4Mr5FtRQL4tbmSdIzhx6_m4wkOD7IG-k_eo/edit#gid=0"", ""Maths!M:N""), 2, FALSE)"),"Create a dataset and develop a set of questions related to a self-designed pictograph. Interpret the pictograph, answer the questions, and draw conclusions based on the analysis.")</f>
        <v>Create a dataset and develop a set of questions related to a self-designed pictograph. Interpret the pictograph, answer the questions, and draw conclusions based on the analysis.</v>
      </c>
      <c r="U43" s="11">
        <f ca="1">IFERROR(__xludf.DUMMYFUNCTION("ArrayFormula(VLOOKUP(G43, IMPORTRANGE(""https://docs.google.com/spreadsheets/d/1p7R4vtkWt5VOBim4ltsDG9KTzSjrtKXsMtQGXPHyND0/edit#gid=795171502"", ""'Filter 30_05_2024'!A1:M2000""), {2, 3, 4, 5,6,7,8,9,10,11,12,13}, 0))"),4)</f>
        <v>4</v>
      </c>
      <c r="V43" s="11">
        <f ca="1">IFERROR(__xludf.DUMMYFUNCTION("""COMPUTED_VALUE"""),6)</f>
        <v>6</v>
      </c>
      <c r="W43" s="11">
        <f ca="1">IFERROR(__xludf.DUMMYFUNCTION("""COMPUTED_VALUE"""),2)</f>
        <v>2</v>
      </c>
      <c r="X43" s="11">
        <f ca="1">IFERROR(__xludf.DUMMYFUNCTION("""COMPUTED_VALUE"""),12)</f>
        <v>12</v>
      </c>
      <c r="Y43" s="11">
        <f ca="1">IFERROR(__xludf.DUMMYFUNCTION("""COMPUTED_VALUE"""),4)</f>
        <v>4</v>
      </c>
      <c r="Z43" s="12">
        <f ca="1">IFERROR(__xludf.DUMMYFUNCTION("""COMPUTED_VALUE"""),13)</f>
        <v>13</v>
      </c>
      <c r="AA43" s="12">
        <f ca="1">IFERROR(__xludf.DUMMYFUNCTION("""COMPUTED_VALUE"""),1)</f>
        <v>1</v>
      </c>
      <c r="AB43" s="12">
        <f ca="1">IFERROR(__xludf.DUMMYFUNCTION("""COMPUTED_VALUE"""),18)</f>
        <v>18</v>
      </c>
      <c r="AC43" s="11"/>
      <c r="AD43" s="12"/>
      <c r="AE43" s="12"/>
      <c r="AF43" s="12"/>
      <c r="AG43" s="13" t="str">
        <f ca="1">IFERROR(__xludf.DUMMYFUNCTION("ArrayFormula(VLOOKUP(G43, IMPORTRANGE(""https://docs.google.com/spreadsheets/d/1Co934fvtviyaRiMsrIlT05Jaq7iiYq07aLvRr35KA48/edit?gid=173865642#gid=173865642"", ""'G6_Maths GP_Pri_LU'!G2:V2000""), {3, 4, 5, 6, 7, 8, 9, 10, 11, 12, 13, 14, 15, 16}, 0))"),"LU000313")</f>
        <v>LU000313</v>
      </c>
      <c r="AH43" s="13" t="str">
        <f ca="1">IFERROR(__xludf.DUMMYFUNCTION("""COMPUTED_VALUE"""),"Definition of pictograph")</f>
        <v>Definition of pictograph</v>
      </c>
      <c r="AI43" s="13" t="str">
        <f ca="1">IFERROR(__xludf.DUMMYFUNCTION("""COMPUTED_VALUE"""),"LU000309")</f>
        <v>LU000309</v>
      </c>
      <c r="AJ43" s="13" t="str">
        <f ca="1">IFERROR(__xludf.DUMMYFUNCTION("""COMPUTED_VALUE"""),"Organisation of data")</f>
        <v>Organisation of data</v>
      </c>
      <c r="AK43" s="13" t="str">
        <f ca="1">IFERROR(__xludf.DUMMYFUNCTION("""COMPUTED_VALUE"""),"LU000308")</f>
        <v>LU000308</v>
      </c>
      <c r="AL43" s="13" t="str">
        <f ca="1">IFERROR(__xludf.DUMMYFUNCTION("""COMPUTED_VALUE"""),"Definition of data and information")</f>
        <v>Definition of data and information</v>
      </c>
      <c r="AM43" s="13"/>
      <c r="AN43" s="13"/>
      <c r="AO43" s="13"/>
      <c r="AP43" s="13"/>
      <c r="AQ43" s="13"/>
      <c r="AR43" s="13"/>
      <c r="AS43" s="13"/>
      <c r="AT43" s="13"/>
    </row>
    <row r="44" spans="1:46" ht="53.4">
      <c r="A44" s="8" t="s">
        <v>46</v>
      </c>
      <c r="B44" s="8" t="s">
        <v>47</v>
      </c>
      <c r="C44" s="8" t="s">
        <v>48</v>
      </c>
      <c r="D44" s="8" t="s">
        <v>49</v>
      </c>
      <c r="E44" s="8" t="s">
        <v>107</v>
      </c>
      <c r="F44" s="8" t="s">
        <v>116</v>
      </c>
      <c r="G44" s="16" t="s">
        <v>119</v>
      </c>
      <c r="H44" s="8" t="str">
        <f ca="1">IFERROR(__xludf.DUMMYFUNCTION("VLOOKUP(G44, IMPORTRANGE(""https://docs.google.com/spreadsheets/d/14deopnvwcrKtEGCKuYXdUHJbeLDZlkiSSWWT0g7x2pM/edit#gid=999382323"", ""LU List Maths (Filter)!A:B""), 2, FALSE)"),"Construction of pictographs")</f>
        <v>Construction of pictographs</v>
      </c>
      <c r="I44" s="10" t="str">
        <f t="shared" si="0"/>
        <v>LU000315.001</v>
      </c>
      <c r="J44" s="10" t="str">
        <f ca="1">IFERROR(__xludf.DUMMYFUNCTION("VLOOKUP(I44, IMPORTRANGE(""https://docs.google.com/spreadsheets/d/1yDAaXNsi4Mr5FtRQL4tbmSdIzhx6_m4wkOD7IG-k_eo/edit#gid=0"", ""Maths!M:N""), 2, FALSE)"),"State the steps required to construct a pictograph (such as choosing a relevant title, designing appropriate symbols and providing a key).")</f>
        <v>State the steps required to construct a pictograph (such as choosing a relevant title, designing appropriate symbols and providing a key).</v>
      </c>
      <c r="K44" s="10" t="str">
        <f t="shared" si="1"/>
        <v>LU000315.002</v>
      </c>
      <c r="L44" s="10" t="str">
        <f ca="1">IFERROR(__xludf.DUMMYFUNCTION("VLOOKUP(K44, IMPORTRANGE(""https://docs.google.com/spreadsheets/d/1yDAaXNsi4Mr5FtRQL4tbmSdIzhx6_m4wkOD7IG-k_eo/edit#gid=0"", ""Maths!M:N""), 2, FALSE)"),"Describe how constructing a pictograph helps in visually representing data and explain how the title, symbols and key collaborate to make the data interpretation clear.")</f>
        <v>Describe how constructing a pictograph helps in visually representing data and explain how the title, symbols and key collaborate to make the data interpretation clear.</v>
      </c>
      <c r="M44" s="10" t="str">
        <f t="shared" si="2"/>
        <v>LU000315.003</v>
      </c>
      <c r="N44" s="10" t="str">
        <f ca="1">IFERROR(__xludf.DUMMYFUNCTION("VLOOKUP(M44, IMPORTRANGE(""https://docs.google.com/spreadsheets/d/1yDAaXNsi4Mr5FtRQL4tbmSdIzhx6_m4wkOD7IG-k_eo/edit#gid=0"", ""Maths!M:N""), 2, FALSE)"),"Apply the understanding of pictograph construction by creating a pictograph based on given data, ensuring appropriate symbol design and clear labeling.")</f>
        <v>Apply the understanding of pictograph construction by creating a pictograph based on given data, ensuring appropriate symbol design and clear labeling.</v>
      </c>
      <c r="O44" s="10" t="str">
        <f t="shared" si="3"/>
        <v>LU000315.004</v>
      </c>
      <c r="P44" s="10" t="str">
        <f ca="1">IFERROR(__xludf.DUMMYFUNCTION("VLOOKUP(O44, IMPORTRANGE(""https://docs.google.com/spreadsheets/d/1yDAaXNsi4Mr5FtRQL4tbmSdIzhx6_m4wkOD7IG-k_eo/edit#gid=0"", ""Maths!M:N""), 2, FALSE)"),"Analyse the construction process of pictographs.")</f>
        <v>Analyse the construction process of pictographs.</v>
      </c>
      <c r="Q44" s="10" t="str">
        <f t="shared" si="4"/>
        <v>LU000315.005</v>
      </c>
      <c r="R44" s="10" t="str">
        <f ca="1">IFERROR(__xludf.DUMMYFUNCTION("VLOOKUP(Q44, IMPORTRANGE(""https://docs.google.com/spreadsheets/d/1yDAaXNsi4Mr5FtRQL4tbmSdIzhx6_m4wkOD7IG-k_eo/edit#gid=0"", ""Maths!M:N""), 2, FALSE)"),"Evaluate the accuracy of constructed pictographs, assessing the appropriateness of the chosen symbols or pictures.")</f>
        <v>Evaluate the accuracy of constructed pictographs, assessing the appropriateness of the chosen symbols or pictures.</v>
      </c>
      <c r="S44" s="10" t="str">
        <f t="shared" si="5"/>
        <v>LU000315.006</v>
      </c>
      <c r="T44" s="10" t="str">
        <f ca="1">IFERROR(__xludf.DUMMYFUNCTION("VLOOKUP(S44, IMPORTRANGE(""https://docs.google.com/spreadsheets/d/1yDAaXNsi4Mr5FtRQL4tbmSdIzhx6_m4wkOD7IG-k_eo/edit#gid=0"", ""Maths!M:N""), 2, FALSE)"),"#N/A")</f>
        <v>#N/A</v>
      </c>
      <c r="U44" s="11">
        <f ca="1">IFERROR(__xludf.DUMMYFUNCTION("ArrayFormula(VLOOKUP(G44, IMPORTRANGE(""https://docs.google.com/spreadsheets/d/1p7R4vtkWt5VOBim4ltsDG9KTzSjrtKXsMtQGXPHyND0/edit#gid=795171502"", ""'Filter 30_05_2024'!A1:M2000""), {2, 3, 4, 5,6,7,8,9,10,11,12,13}, 0))"),4)</f>
        <v>4</v>
      </c>
      <c r="V44" s="11">
        <f ca="1">IFERROR(__xludf.DUMMYFUNCTION("""COMPUTED_VALUE"""),2)</f>
        <v>2</v>
      </c>
      <c r="W44" s="11">
        <f ca="1">IFERROR(__xludf.DUMMYFUNCTION("""COMPUTED_VALUE"""),1)</f>
        <v>1</v>
      </c>
      <c r="X44" s="11">
        <f ca="1">IFERROR(__xludf.DUMMYFUNCTION("""COMPUTED_VALUE"""),7)</f>
        <v>7</v>
      </c>
      <c r="Y44" s="11">
        <f ca="1">IFERROR(__xludf.DUMMYFUNCTION("""COMPUTED_VALUE"""),4)</f>
        <v>4</v>
      </c>
      <c r="Z44" s="12">
        <f ca="1">IFERROR(__xludf.DUMMYFUNCTION("""COMPUTED_VALUE"""),4)</f>
        <v>4</v>
      </c>
      <c r="AA44" s="12">
        <f ca="1">IFERROR(__xludf.DUMMYFUNCTION("""COMPUTED_VALUE"""),1)</f>
        <v>1</v>
      </c>
      <c r="AB44" s="12">
        <f ca="1">IFERROR(__xludf.DUMMYFUNCTION("""COMPUTED_VALUE"""),9)</f>
        <v>9</v>
      </c>
      <c r="AC44" s="11"/>
      <c r="AD44" s="12"/>
      <c r="AE44" s="12"/>
      <c r="AF44" s="12"/>
      <c r="AG44" s="13" t="str">
        <f ca="1">IFERROR(__xludf.DUMMYFUNCTION("ArrayFormula(VLOOKUP(G44, IMPORTRANGE(""https://docs.google.com/spreadsheets/d/1Co934fvtviyaRiMsrIlT05Jaq7iiYq07aLvRr35KA48/edit?gid=173865642#gid=173865642"", ""'G6_Maths GP_Pri_LU'!G2:V2000""), {3, 4, 5, 6, 7, 8, 9, 10, 11, 12, 13, 14, 15, 16}, 0))"),"LU000313")</f>
        <v>LU000313</v>
      </c>
      <c r="AH44" s="13" t="str">
        <f ca="1">IFERROR(__xludf.DUMMYFUNCTION("""COMPUTED_VALUE"""),"Definition of pictograph")</f>
        <v>Definition of pictograph</v>
      </c>
      <c r="AI44" s="13" t="str">
        <f ca="1">IFERROR(__xludf.DUMMYFUNCTION("""COMPUTED_VALUE"""),"LU000309")</f>
        <v>LU000309</v>
      </c>
      <c r="AJ44" s="13" t="str">
        <f ca="1">IFERROR(__xludf.DUMMYFUNCTION("""COMPUTED_VALUE"""),"Organisation of data")</f>
        <v>Organisation of data</v>
      </c>
      <c r="AK44" s="13" t="str">
        <f ca="1">IFERROR(__xludf.DUMMYFUNCTION("""COMPUTED_VALUE"""),"LU000308")</f>
        <v>LU000308</v>
      </c>
      <c r="AL44" s="13" t="str">
        <f ca="1">IFERROR(__xludf.DUMMYFUNCTION("""COMPUTED_VALUE"""),"Definition of data and information")</f>
        <v>Definition of data and information</v>
      </c>
      <c r="AM44" s="13"/>
      <c r="AN44" s="13"/>
      <c r="AO44" s="13"/>
      <c r="AP44" s="13"/>
      <c r="AQ44" s="13"/>
      <c r="AR44" s="13"/>
      <c r="AS44" s="13"/>
      <c r="AT44" s="13"/>
    </row>
    <row r="45" spans="1:46" ht="66.599999999999994">
      <c r="A45" s="8" t="s">
        <v>46</v>
      </c>
      <c r="B45" s="8" t="s">
        <v>47</v>
      </c>
      <c r="C45" s="8" t="s">
        <v>48</v>
      </c>
      <c r="D45" s="8" t="s">
        <v>49</v>
      </c>
      <c r="E45" s="8" t="s">
        <v>107</v>
      </c>
      <c r="F45" s="8" t="s">
        <v>120</v>
      </c>
      <c r="G45" s="16" t="s">
        <v>121</v>
      </c>
      <c r="H45" s="8" t="str">
        <f ca="1">IFERROR(__xludf.DUMMYFUNCTION("VLOOKUP(G45, IMPORTRANGE(""https://docs.google.com/spreadsheets/d/14deopnvwcrKtEGCKuYXdUHJbeLDZlkiSSWWT0g7x2pM/edit#gid=999382323"", ""LU List Maths (Filter)!A:B""), 2, FALSE)"),"Definition of bar graph")</f>
        <v>Definition of bar graph</v>
      </c>
      <c r="I45" s="10" t="str">
        <f t="shared" si="0"/>
        <v>LU000316.001</v>
      </c>
      <c r="J45" s="10" t="str">
        <f ca="1">IFERROR(__xludf.DUMMYFUNCTION("VLOOKUP(I45, IMPORTRANGE(""https://docs.google.com/spreadsheets/d/1yDAaXNsi4Mr5FtRQL4tbmSdIzhx6_m4wkOD7IG-k_eo/edit#gid=0"", ""Maths!M:N""), 2, FALSE)"),"Define of a bar graph as a visual representation of data using rectangular bars to display the frequency or count of different categories.")</f>
        <v>Define of a bar graph as a visual representation of data using rectangular bars to display the frequency or count of different categories.</v>
      </c>
      <c r="K45" s="10" t="str">
        <f t="shared" si="1"/>
        <v>LU000316.002</v>
      </c>
      <c r="L45" s="10" t="str">
        <f ca="1">IFERROR(__xludf.DUMMYFUNCTION("VLOOKUP(K45, IMPORTRANGE(""https://docs.google.com/spreadsheets/d/1yDAaXNsi4Mr5FtRQL4tbmSdIzhx6_m4wkOD7IG-k_eo/edit#gid=0"", ""Maths!M:N""), 2, FALSE)"),"Explain the purpose and structure of a bar graph by describing how it displays data using bars of varying lengths.")</f>
        <v>Explain the purpose and structure of a bar graph by describing how it displays data using bars of varying lengths.</v>
      </c>
      <c r="M45" s="10" t="str">
        <f t="shared" si="2"/>
        <v>LU000316.003</v>
      </c>
      <c r="N45" s="10" t="str">
        <f ca="1">IFERROR(__xludf.DUMMYFUNCTION("VLOOKUP(M45, IMPORTRANGE(""https://docs.google.com/spreadsheets/d/1yDAaXNsi4Mr5FtRQL4tbmSdIzhx6_m4wkOD7IG-k_eo/edit#gid=0"", ""Maths!M:N""), 2, FALSE)"),"#N/A")</f>
        <v>#N/A</v>
      </c>
      <c r="O45" s="10" t="str">
        <f t="shared" si="3"/>
        <v>LU000316.004</v>
      </c>
      <c r="P45" s="10" t="str">
        <f ca="1">IFERROR(__xludf.DUMMYFUNCTION("VLOOKUP(O45, IMPORTRANGE(""https://docs.google.com/spreadsheets/d/1yDAaXNsi4Mr5FtRQL4tbmSdIzhx6_m4wkOD7IG-k_eo/edit#gid=0"", ""Maths!M:N""), 2, FALSE)"),"Analyse the effectiveness of bar graphs in comparison to other types of graphs.")</f>
        <v>Analyse the effectiveness of bar graphs in comparison to other types of graphs.</v>
      </c>
      <c r="Q45" s="10" t="str">
        <f t="shared" si="4"/>
        <v>LU000316.005</v>
      </c>
      <c r="R45" s="10" t="str">
        <f ca="1">IFERROR(__xludf.DUMMYFUNCTION("VLOOKUP(Q45, IMPORTRANGE(""https://docs.google.com/spreadsheets/d/1yDAaXNsi4Mr5FtRQL4tbmSdIzhx6_m4wkOD7IG-k_eo/edit#gid=0"", ""Maths!M:N""), 2, FALSE)"),"Evaluate the effectiveness of different bar graphs for representing specific types of data, comparing their ability to convey information clearly and accurately.")</f>
        <v>Evaluate the effectiveness of different bar graphs for representing specific types of data, comparing their ability to convey information clearly and accurately.</v>
      </c>
      <c r="S45" s="10" t="str">
        <f t="shared" si="5"/>
        <v>LU000316.006</v>
      </c>
      <c r="T45" s="10" t="str">
        <f ca="1">IFERROR(__xludf.DUMMYFUNCTION("VLOOKUP(S45, IMPORTRANGE(""https://docs.google.com/spreadsheets/d/1yDAaXNsi4Mr5FtRQL4tbmSdIzhx6_m4wkOD7IG-k_eo/edit#gid=0"", ""Maths!M:N""), 2, FALSE)"),"#N/A")</f>
        <v>#N/A</v>
      </c>
      <c r="U45" s="11">
        <f ca="1">IFERROR(__xludf.DUMMYFUNCTION("ArrayFormula(VLOOKUP(G45, IMPORTRANGE(""https://docs.google.com/spreadsheets/d/1p7R4vtkWt5VOBim4ltsDG9KTzSjrtKXsMtQGXPHyND0/edit#gid=795171502"", ""'Filter 30_05_2024'!A1:M2000""), {2, 3, 4, 5,6,7,8,9,10,11,12,13}, 0))"),4)</f>
        <v>4</v>
      </c>
      <c r="V45" s="11">
        <f ca="1">IFERROR(__xludf.DUMMYFUNCTION("""COMPUTED_VALUE"""),6)</f>
        <v>6</v>
      </c>
      <c r="W45" s="11">
        <f ca="1">IFERROR(__xludf.DUMMYFUNCTION("""COMPUTED_VALUE"""),2)</f>
        <v>2</v>
      </c>
      <c r="X45" s="11">
        <f ca="1">IFERROR(__xludf.DUMMYFUNCTION("""COMPUTED_VALUE"""),12)</f>
        <v>12</v>
      </c>
      <c r="Y45" s="11">
        <f ca="1">IFERROR(__xludf.DUMMYFUNCTION("""COMPUTED_VALUE"""),4)</f>
        <v>4</v>
      </c>
      <c r="Z45" s="12">
        <f ca="1">IFERROR(__xludf.DUMMYFUNCTION("""COMPUTED_VALUE"""),3)</f>
        <v>3</v>
      </c>
      <c r="AA45" s="12">
        <f ca="1">IFERROR(__xludf.DUMMYFUNCTION("""COMPUTED_VALUE"""),1)</f>
        <v>1</v>
      </c>
      <c r="AB45" s="12">
        <f ca="1">IFERROR(__xludf.DUMMYFUNCTION("""COMPUTED_VALUE"""),8)</f>
        <v>8</v>
      </c>
      <c r="AC45" s="11"/>
      <c r="AD45" s="12"/>
      <c r="AE45" s="12"/>
      <c r="AF45" s="12"/>
      <c r="AG45" s="13" t="str">
        <f ca="1">IFERROR(__xludf.DUMMYFUNCTION("ArrayFormula(VLOOKUP(G45, IMPORTRANGE(""https://docs.google.com/spreadsheets/d/1Co934fvtviyaRiMsrIlT05Jaq7iiYq07aLvRr35KA48/edit?gid=173865642#gid=173865642"", ""'G6_Maths GP_Pri_LU'!G2:V2000""), {3, 4, 5, 6, 7, 8, 9, 10, 11, 12, 13, 14, 15, 16}, 0))"),"LU000309")</f>
        <v>LU000309</v>
      </c>
      <c r="AH45" s="13" t="str">
        <f ca="1">IFERROR(__xludf.DUMMYFUNCTION("""COMPUTED_VALUE"""),"Organisation of data")</f>
        <v>Organisation of data</v>
      </c>
      <c r="AI45" s="13" t="str">
        <f ca="1">IFERROR(__xludf.DUMMYFUNCTION("""COMPUTED_VALUE"""),"LU000400")</f>
        <v>LU000400</v>
      </c>
      <c r="AJ45" s="13" t="str">
        <f ca="1">IFERROR(__xludf.DUMMYFUNCTION("""COMPUTED_VALUE"""),"Definition of frequency in data")</f>
        <v>Definition of frequency in data</v>
      </c>
      <c r="AK45" s="13" t="str">
        <f ca="1">IFERROR(__xludf.DUMMYFUNCTION("""COMPUTED_VALUE"""),"LU000308")</f>
        <v>LU000308</v>
      </c>
      <c r="AL45" s="13" t="str">
        <f ca="1">IFERROR(__xludf.DUMMYFUNCTION("""COMPUTED_VALUE"""),"Definition of data and information")</f>
        <v>Definition of data and information</v>
      </c>
      <c r="AM45" s="13"/>
      <c r="AN45" s="13"/>
      <c r="AO45" s="13"/>
      <c r="AP45" s="13"/>
      <c r="AQ45" s="13"/>
      <c r="AR45" s="13"/>
      <c r="AS45" s="13"/>
      <c r="AT45" s="13"/>
    </row>
    <row r="46" spans="1:46" ht="66.599999999999994">
      <c r="A46" s="8" t="s">
        <v>46</v>
      </c>
      <c r="B46" s="8" t="s">
        <v>47</v>
      </c>
      <c r="C46" s="8" t="s">
        <v>48</v>
      </c>
      <c r="D46" s="8" t="s">
        <v>49</v>
      </c>
      <c r="E46" s="8" t="s">
        <v>107</v>
      </c>
      <c r="F46" s="8" t="s">
        <v>120</v>
      </c>
      <c r="G46" s="16" t="s">
        <v>122</v>
      </c>
      <c r="H46" s="8" t="str">
        <f ca="1">IFERROR(__xludf.DUMMYFUNCTION("VLOOKUP(G46, IMPORTRANGE(""https://docs.google.com/spreadsheets/d/14deopnvwcrKtEGCKuYXdUHJbeLDZlkiSSWWT0g7x2pM/edit#gid=999382323"", ""LU List Maths (Filter)!A:B""), 2, FALSE)"),"Interpretation of bar graphs (horizontal and vertical)")</f>
        <v>Interpretation of bar graphs (horizontal and vertical)</v>
      </c>
      <c r="I46" s="10" t="str">
        <f t="shared" si="0"/>
        <v>LU000317.001</v>
      </c>
      <c r="J46" s="10" t="str">
        <f ca="1">IFERROR(__xludf.DUMMYFUNCTION("VLOOKUP(I46, IMPORTRANGE(""https://docs.google.com/spreadsheets/d/1yDAaXNsi4Mr5FtRQL4tbmSdIzhx6_m4wkOD7IG-k_eo/edit#gid=0"", ""Maths!M:N""), 2, FALSE)"),"State the components of a bar graph, such as the vertical bars representing data, categories on the horizontal axis, and the numerical scale on the vertical axis.")</f>
        <v>State the components of a bar graph, such as the vertical bars representing data, categories on the horizontal axis, and the numerical scale on the vertical axis.</v>
      </c>
      <c r="K46" s="10" t="str">
        <f t="shared" si="1"/>
        <v>LU000317.002</v>
      </c>
      <c r="L46" s="10" t="str">
        <f ca="1">IFERROR(__xludf.DUMMYFUNCTION("VLOOKUP(K46, IMPORTRANGE(""https://docs.google.com/spreadsheets/d/1yDAaXNsi4Mr5FtRQL4tbmSdIzhx6_m4wkOD7IG-k_eo/edit#gid=0"", ""Maths!M:N""), 2, FALSE)"),"Explain the process of interpreting a bar graph by describing how bar lengths convey data quantities and how categories on the horizontal axis provide context.")</f>
        <v>Explain the process of interpreting a bar graph by describing how bar lengths convey data quantities and how categories on the horizontal axis provide context.</v>
      </c>
      <c r="M46" s="10" t="str">
        <f t="shared" si="2"/>
        <v>LU000317.003</v>
      </c>
      <c r="N46" s="10" t="str">
        <f ca="1">IFERROR(__xludf.DUMMYFUNCTION("VLOOKUP(M46, IMPORTRANGE(""https://docs.google.com/spreadsheets/d/1yDAaXNsi4Mr5FtRQL4tbmSdIzhx6_m4wkOD7IG-k_eo/edit#gid=0"", ""Maths!M:N""), 2, FALSE)"),"Apply the understanding of interpreting bar graphs by analyzing a given bar graph, identifying trends, and drawing conclusions")</f>
        <v>Apply the understanding of interpreting bar graphs by analyzing a given bar graph, identifying trends, and drawing conclusions</v>
      </c>
      <c r="O46" s="10" t="str">
        <f t="shared" si="3"/>
        <v>LU000317.004</v>
      </c>
      <c r="P46" s="10" t="str">
        <f ca="1">IFERROR(__xludf.DUMMYFUNCTION("VLOOKUP(O46, IMPORTRANGE(""https://docs.google.com/spreadsheets/d/1yDAaXNsi4Mr5FtRQL4tbmSdIzhx6_m4wkOD7IG-k_eo/edit#gid=0"", ""Maths!M:N""), 2, FALSE)"),"Analyse the patterns in a bar graph, discussing how variations in bar lengths reflect differences in data quantities and discussing potential reasons for the patterns observed.")</f>
        <v>Analyse the patterns in a bar graph, discussing how variations in bar lengths reflect differences in data quantities and discussing potential reasons for the patterns observed.</v>
      </c>
      <c r="Q46" s="10" t="str">
        <f t="shared" si="4"/>
        <v>LU000317.005</v>
      </c>
      <c r="R46" s="10" t="str">
        <f ca="1">IFERROR(__xludf.DUMMYFUNCTION("VLOOKUP(Q46, IMPORTRANGE(""https://docs.google.com/spreadsheets/d/1yDAaXNsi4Mr5FtRQL4tbmSdIzhx6_m4wkOD7IG-k_eo/edit#gid=0"", ""Maths!M:N""), 2, FALSE)"),"Evaluate the effectiveness of interpretations of bar graphs, assessing the accuracy of the observations and conclusions drawn from the bar graph.")</f>
        <v>Evaluate the effectiveness of interpretations of bar graphs, assessing the accuracy of the observations and conclusions drawn from the bar graph.</v>
      </c>
      <c r="S46" s="10" t="str">
        <f t="shared" si="5"/>
        <v>LU000317.006</v>
      </c>
      <c r="T46" s="10" t="str">
        <f ca="1">IFERROR(__xludf.DUMMYFUNCTION("VLOOKUP(S46, IMPORTRANGE(""https://docs.google.com/spreadsheets/d/1yDAaXNsi4Mr5FtRQL4tbmSdIzhx6_m4wkOD7IG-k_eo/edit#gid=0"", ""Maths!M:N""), 2, FALSE)"),"#N/A")</f>
        <v>#N/A</v>
      </c>
      <c r="U46" s="11">
        <f ca="1">IFERROR(__xludf.DUMMYFUNCTION("ArrayFormula(VLOOKUP(G46, IMPORTRANGE(""https://docs.google.com/spreadsheets/d/1p7R4vtkWt5VOBim4ltsDG9KTzSjrtKXsMtQGXPHyND0/edit#gid=795171502"", ""'Filter 30_05_2024'!A1:M2000""), {2, 3, 4, 5,6,7,8,9,10,11,12,13}, 0))"),7)</f>
        <v>7</v>
      </c>
      <c r="V46" s="11">
        <f ca="1">IFERROR(__xludf.DUMMYFUNCTION("""COMPUTED_VALUE"""),8)</f>
        <v>8</v>
      </c>
      <c r="W46" s="11">
        <f ca="1">IFERROR(__xludf.DUMMYFUNCTION("""COMPUTED_VALUE"""),2)</f>
        <v>2</v>
      </c>
      <c r="X46" s="11">
        <f ca="1">IFERROR(__xludf.DUMMYFUNCTION("""COMPUTED_VALUE"""),17)</f>
        <v>17</v>
      </c>
      <c r="Y46" s="11">
        <f ca="1">IFERROR(__xludf.DUMMYFUNCTION("""COMPUTED_VALUE"""),3)</f>
        <v>3</v>
      </c>
      <c r="Z46" s="12">
        <f ca="1">IFERROR(__xludf.DUMMYFUNCTION("""COMPUTED_VALUE"""),6)</f>
        <v>6</v>
      </c>
      <c r="AA46" s="12">
        <f ca="1">IFERROR(__xludf.DUMMYFUNCTION("""COMPUTED_VALUE"""),1)</f>
        <v>1</v>
      </c>
      <c r="AB46" s="12">
        <f ca="1">IFERROR(__xludf.DUMMYFUNCTION("""COMPUTED_VALUE"""),10)</f>
        <v>10</v>
      </c>
      <c r="AC46" s="11"/>
      <c r="AD46" s="12"/>
      <c r="AE46" s="12"/>
      <c r="AF46" s="12"/>
      <c r="AG46" s="13" t="str">
        <f ca="1">IFERROR(__xludf.DUMMYFUNCTION("ArrayFormula(VLOOKUP(G46, IMPORTRANGE(""https://docs.google.com/spreadsheets/d/1Co934fvtviyaRiMsrIlT05Jaq7iiYq07aLvRr35KA48/edit?gid=173865642#gid=173865642"", ""'G6_Maths GP_Pri_LU'!G2:V2000""), {3, 4, 5, 6, 7, 8, 9, 10, 11, 12, 13, 14, 15, 16}, 0))"),"LU000316")</f>
        <v>LU000316</v>
      </c>
      <c r="AH46" s="13" t="str">
        <f ca="1">IFERROR(__xludf.DUMMYFUNCTION("""COMPUTED_VALUE"""),"Definition of bar graph")</f>
        <v>Definition of bar graph</v>
      </c>
      <c r="AI46" s="13" t="str">
        <f ca="1">IFERROR(__xludf.DUMMYFUNCTION("""COMPUTED_VALUE"""),"LU000400")</f>
        <v>LU000400</v>
      </c>
      <c r="AJ46" s="13" t="str">
        <f ca="1">IFERROR(__xludf.DUMMYFUNCTION("""COMPUTED_VALUE"""),"Definition of frequency in data")</f>
        <v>Definition of frequency in data</v>
      </c>
      <c r="AK46" s="13"/>
      <c r="AL46" s="13"/>
      <c r="AM46" s="13"/>
      <c r="AN46" s="13"/>
      <c r="AO46" s="13"/>
      <c r="AP46" s="13"/>
      <c r="AQ46" s="13"/>
      <c r="AR46" s="13"/>
      <c r="AS46" s="13"/>
      <c r="AT46" s="13"/>
    </row>
    <row r="47" spans="1:46" ht="66.599999999999994">
      <c r="A47" s="8" t="s">
        <v>46</v>
      </c>
      <c r="B47" s="8" t="s">
        <v>47</v>
      </c>
      <c r="C47" s="8" t="s">
        <v>48</v>
      </c>
      <c r="D47" s="8" t="s">
        <v>49</v>
      </c>
      <c r="E47" s="8" t="s">
        <v>107</v>
      </c>
      <c r="F47" s="8" t="s">
        <v>120</v>
      </c>
      <c r="G47" s="16" t="s">
        <v>123</v>
      </c>
      <c r="H47" s="8" t="str">
        <f ca="1">IFERROR(__xludf.DUMMYFUNCTION("VLOOKUP(G47, IMPORTRANGE(""https://docs.google.com/spreadsheets/d/14deopnvwcrKtEGCKuYXdUHJbeLDZlkiSSWWT0g7x2pM/edit#gid=999382323"", ""LU List Maths (Filter)!A:B""), 2, FALSE)"),"Construction of bar graphs (horizontal and vertical)")</f>
        <v>Construction of bar graphs (horizontal and vertical)</v>
      </c>
      <c r="I47" s="10" t="str">
        <f t="shared" si="0"/>
        <v>LU000318.001</v>
      </c>
      <c r="J47" s="10" t="str">
        <f ca="1">IFERROR(__xludf.DUMMYFUNCTION("VLOOKUP(I47, IMPORTRANGE(""https://docs.google.com/spreadsheets/d/1yDAaXNsi4Mr5FtRQL4tbmSdIzhx6_m4wkOD7IG-k_eo/edit#gid=0"", ""Maths!M:N""), 2, FALSE)"),"State the essential steps involved in creating a bar graph.")</f>
        <v>State the essential steps involved in creating a bar graph.</v>
      </c>
      <c r="K47" s="10" t="str">
        <f t="shared" si="1"/>
        <v>LU000318.002</v>
      </c>
      <c r="L47" s="10" t="str">
        <f ca="1">IFERROR(__xludf.DUMMYFUNCTION("VLOOKUP(K47, IMPORTRANGE(""https://docs.google.com/spreadsheets/d/1yDAaXNsi4Mr5FtRQL4tbmSdIzhx6_m4wkOD7IG-k_eo/edit#gid=0"", ""Maths!M:N""), 2, FALSE)"),"Describe how a bar graph is constructed by organizing data into categories, establishing a scale on the vertical/horizontal axis and using vertical/horizontal bars to visually represent quantities.")</f>
        <v>Describe how a bar graph is constructed by organizing data into categories, establishing a scale on the vertical/horizontal axis and using vertical/horizontal bars to visually represent quantities.</v>
      </c>
      <c r="M47" s="10" t="str">
        <f t="shared" si="2"/>
        <v>LU000318.003</v>
      </c>
      <c r="N47" s="10" t="str">
        <f ca="1">IFERROR(__xludf.DUMMYFUNCTION("VLOOKUP(M47, IMPORTRANGE(""https://docs.google.com/spreadsheets/d/1yDAaXNsi4Mr5FtRQL4tbmSdIzhx6_m4wkOD7IG-k_eo/edit#gid=0"", ""Maths!M:N""), 2, FALSE)"),"Create a bar graph based on given data, accurately selecting categories, scaling the axes and drawing bars.")</f>
        <v>Create a bar graph based on given data, accurately selecting categories, scaling the axes and drawing bars.</v>
      </c>
      <c r="O47" s="10" t="str">
        <f t="shared" si="3"/>
        <v>LU000318.004</v>
      </c>
      <c r="P47" s="10" t="str">
        <f ca="1">IFERROR(__xludf.DUMMYFUNCTION("VLOOKUP(O47, IMPORTRANGE(""https://docs.google.com/spreadsheets/d/1yDAaXNsi4Mr5FtRQL4tbmSdIzhx6_m4wkOD7IG-k_eo/edit#gid=0"", ""Maths!M:N""), 2, FALSE)"),"Analyse the appropriateness of the chosen scale on the vertical axis for a given dataset.")</f>
        <v>Analyse the appropriateness of the chosen scale on the vertical axis for a given dataset.</v>
      </c>
      <c r="Q47" s="10" t="str">
        <f t="shared" si="4"/>
        <v>LU000318.005</v>
      </c>
      <c r="R47" s="10" t="str">
        <f ca="1">IFERROR(__xludf.DUMMYFUNCTION("VLOOKUP(Q47, IMPORTRANGE(""https://docs.google.com/spreadsheets/d/1yDAaXNsi4Mr5FtRQL4tbmSdIzhx6_m4wkOD7IG-k_eo/edit#gid=0"", ""Maths!M:N""), 2, FALSE)"),"Evaluate the effectiveness of constructed bar graphs, assessing the accuracy of their bar lengths, the appropriateness of their scale and the overall clarity of the representation.")</f>
        <v>Evaluate the effectiveness of constructed bar graphs, assessing the accuracy of their bar lengths, the appropriateness of their scale and the overall clarity of the representation.</v>
      </c>
      <c r="S47" s="10" t="str">
        <f t="shared" si="5"/>
        <v>LU000318.006</v>
      </c>
      <c r="T47" s="10" t="str">
        <f ca="1">IFERROR(__xludf.DUMMYFUNCTION("VLOOKUP(S47, IMPORTRANGE(""https://docs.google.com/spreadsheets/d/1yDAaXNsi4Mr5FtRQL4tbmSdIzhx6_m4wkOD7IG-k_eo/edit#gid=0"", ""Maths!M:N""), 2, FALSE)"),"Develop a dataset related to day to day activities and create a well-structured bar graph that effectively communicates the data's message, using thoughtful choices for categories and scales.")</f>
        <v>Develop a dataset related to day to day activities and create a well-structured bar graph that effectively communicates the data's message, using thoughtful choices for categories and scales.</v>
      </c>
      <c r="U47" s="11">
        <f ca="1">IFERROR(__xludf.DUMMYFUNCTION("ArrayFormula(VLOOKUP(G47, IMPORTRANGE(""https://docs.google.com/spreadsheets/d/1p7R4vtkWt5VOBim4ltsDG9KTzSjrtKXsMtQGXPHyND0/edit#gid=795171502"", ""'Filter 30_05_2024'!A1:M2000""), {2, 3, 4, 5,6,7,8,9,10,11,12,13}, 0))"),4)</f>
        <v>4</v>
      </c>
      <c r="V47" s="11">
        <f ca="1">IFERROR(__xludf.DUMMYFUNCTION("""COMPUTED_VALUE"""),18)</f>
        <v>18</v>
      </c>
      <c r="W47" s="11">
        <f ca="1">IFERROR(__xludf.DUMMYFUNCTION("""COMPUTED_VALUE"""),2)</f>
        <v>2</v>
      </c>
      <c r="X47" s="11">
        <f ca="1">IFERROR(__xludf.DUMMYFUNCTION("""COMPUTED_VALUE"""),24)</f>
        <v>24</v>
      </c>
      <c r="Y47" s="11">
        <f ca="1">IFERROR(__xludf.DUMMYFUNCTION("""COMPUTED_VALUE"""),4)</f>
        <v>4</v>
      </c>
      <c r="Z47" s="12">
        <f ca="1">IFERROR(__xludf.DUMMYFUNCTION("""COMPUTED_VALUE"""),9)</f>
        <v>9</v>
      </c>
      <c r="AA47" s="12">
        <f ca="1">IFERROR(__xludf.DUMMYFUNCTION("""COMPUTED_VALUE"""),1)</f>
        <v>1</v>
      </c>
      <c r="AB47" s="12">
        <f ca="1">IFERROR(__xludf.DUMMYFUNCTION("""COMPUTED_VALUE"""),14)</f>
        <v>14</v>
      </c>
      <c r="AC47" s="11"/>
      <c r="AD47" s="12"/>
      <c r="AE47" s="12"/>
      <c r="AF47" s="12"/>
      <c r="AG47" s="13" t="str">
        <f ca="1">IFERROR(__xludf.DUMMYFUNCTION("ArrayFormula(VLOOKUP(G47, IMPORTRANGE(""https://docs.google.com/spreadsheets/d/1Co934fvtviyaRiMsrIlT05Jaq7iiYq07aLvRr35KA48/edit?gid=173865642#gid=173865642"", ""'G6_Maths GP_Pri_LU'!G2:V2000""), {3, 4, 5, 6, 7, 8, 9, 10, 11, 12, 13, 14, 15, 16}, 0))"),"LU000309")</f>
        <v>LU000309</v>
      </c>
      <c r="AH47" s="13" t="str">
        <f ca="1">IFERROR(__xludf.DUMMYFUNCTION("""COMPUTED_VALUE"""),"Organisation of data")</f>
        <v>Organisation of data</v>
      </c>
      <c r="AI47" s="13" t="str">
        <f ca="1">IFERROR(__xludf.DUMMYFUNCTION("""COMPUTED_VALUE"""),"LU000400")</f>
        <v>LU000400</v>
      </c>
      <c r="AJ47" s="13" t="str">
        <f ca="1">IFERROR(__xludf.DUMMYFUNCTION("""COMPUTED_VALUE"""),"Definition of frequency in data")</f>
        <v>Definition of frequency in data</v>
      </c>
      <c r="AK47" s="13" t="str">
        <f ca="1">IFERROR(__xludf.DUMMYFUNCTION("""COMPUTED_VALUE"""),"LU000320")</f>
        <v>LU000320</v>
      </c>
      <c r="AL47" s="13" t="str">
        <f ca="1">IFERROR(__xludf.DUMMYFUNCTION("""COMPUTED_VALUE"""),"Interpretation of tabulated data")</f>
        <v>Interpretation of tabulated data</v>
      </c>
      <c r="AM47" s="13" t="str">
        <f ca="1">IFERROR(__xludf.DUMMYFUNCTION("""COMPUTED_VALUE"""),"LU000316")</f>
        <v>LU000316</v>
      </c>
      <c r="AN47" s="13" t="str">
        <f ca="1">IFERROR(__xludf.DUMMYFUNCTION("""COMPUTED_VALUE"""),"Definition of bar graph")</f>
        <v>Definition of bar graph</v>
      </c>
      <c r="AO47" s="13" t="str">
        <f ca="1">IFERROR(__xludf.DUMMYFUNCTION("""COMPUTED_VALUE"""),"LU000308")</f>
        <v>LU000308</v>
      </c>
      <c r="AP47" s="13" t="str">
        <f ca="1">IFERROR(__xludf.DUMMYFUNCTION("""COMPUTED_VALUE"""),"Definition of data and information")</f>
        <v>Definition of data and information</v>
      </c>
      <c r="AQ47" s="13"/>
      <c r="AR47" s="13"/>
      <c r="AS47" s="13"/>
      <c r="AT47" s="13"/>
    </row>
    <row r="48" spans="1:46" ht="40.200000000000003">
      <c r="A48" s="8" t="s">
        <v>46</v>
      </c>
      <c r="B48" s="8" t="s">
        <v>47</v>
      </c>
      <c r="C48" s="8" t="s">
        <v>48</v>
      </c>
      <c r="D48" s="8" t="s">
        <v>49</v>
      </c>
      <c r="E48" s="8" t="s">
        <v>107</v>
      </c>
      <c r="F48" s="8" t="s">
        <v>124</v>
      </c>
      <c r="G48" s="19" t="s">
        <v>125</v>
      </c>
      <c r="H48" s="8" t="str">
        <f ca="1">IFERROR(__xludf.DUMMYFUNCTION("VLOOKUP(G48, IMPORTRANGE(""https://docs.google.com/spreadsheets/d/14deopnvwcrKtEGCKuYXdUHJbeLDZlkiSSWWT0g7x2pM/edit#gid=999382323"", ""LU List Maths (Filter)!A:B""), 2, FALSE)"),"Definition of Infographics")</f>
        <v>Definition of Infographics</v>
      </c>
      <c r="I48" s="10" t="str">
        <f t="shared" si="0"/>
        <v>LU001353.001</v>
      </c>
      <c r="J48" s="10" t="str">
        <f ca="1">IFERROR(__xludf.DUMMYFUNCTION("VLOOKUP(I48, IMPORTRANGE(""https://docs.google.com/spreadsheets/d/1yDAaXNsi4Mr5FtRQL4tbmSdIzhx6_m4wkOD7IG-k_eo/edit#gid=0"", ""Maths!M:N""), 2, FALSE)"),"Define what an infographic is and identify its main purpose in presenting data visually.")</f>
        <v>Define what an infographic is and identify its main purpose in presenting data visually.</v>
      </c>
      <c r="K48" s="10" t="str">
        <f t="shared" si="1"/>
        <v>LU001353.002</v>
      </c>
      <c r="L48" s="10" t="str">
        <f ca="1">IFERROR(__xludf.DUMMYFUNCTION("VLOOKUP(K48, IMPORTRANGE(""https://docs.google.com/spreadsheets/d/1yDAaXNsi4Mr5FtRQL4tbmSdIzhx6_m4wkOD7IG-k_eo/edit#gid=0"", ""Maths!M:N""), 2, FALSE)"),"Explain how infographics enhance the presentation of data compared to simple bar graphs or tables.")</f>
        <v>Explain how infographics enhance the presentation of data compared to simple bar graphs or tables.</v>
      </c>
      <c r="M48" s="10" t="str">
        <f t="shared" si="2"/>
        <v>LU001353.003</v>
      </c>
      <c r="N48" s="10" t="str">
        <f ca="1">IFERROR(__xludf.DUMMYFUNCTION("VLOOKUP(M48, IMPORTRANGE(""https://docs.google.com/spreadsheets/d/1yDAaXNsi4Mr5FtRQL4tbmSdIzhx6_m4wkOD7IG-k_eo/edit#gid=0"", ""Maths!M:N""), 2, FALSE)"),"Interpret data from an infographic by explaining the information conveyed through shapes and colors.")</f>
        <v>Interpret data from an infographic by explaining the information conveyed through shapes and colors.</v>
      </c>
      <c r="O48" s="10" t="str">
        <f t="shared" si="3"/>
        <v>LU001353.004</v>
      </c>
      <c r="P48" s="10" t="str">
        <f ca="1">IFERROR(__xludf.DUMMYFUNCTION("VLOOKUP(O48, IMPORTRANGE(""https://docs.google.com/spreadsheets/d/1yDAaXNsi4Mr5FtRQL4tbmSdIzhx6_m4wkOD7IG-k_eo/edit#gid=0"", ""Maths!M:N""), 2, FALSE)"),"Compare a standard bar graph and an infographic to determine which more effectively communicates data.")</f>
        <v>Compare a standard bar graph and an infographic to determine which more effectively communicates data.</v>
      </c>
      <c r="Q48" s="10" t="str">
        <f t="shared" si="4"/>
        <v>LU001353.005</v>
      </c>
      <c r="R48" s="10" t="str">
        <f ca="1">IFERROR(__xludf.DUMMYFUNCTION("VLOOKUP(Q48, IMPORTRANGE(""https://docs.google.com/spreadsheets/d/1yDAaXNsi4Mr5FtRQL4tbmSdIzhx6_m4wkOD7IG-k_eo/edit#gid=0"", ""Maths!M:N""), 2, FALSE)"),"Assess the accuracy and potential misleading aspects of an infographic based on its visual representation.")</f>
        <v>Assess the accuracy and potential misleading aspects of an infographic based on its visual representation.</v>
      </c>
      <c r="S48" s="10" t="str">
        <f t="shared" si="5"/>
        <v>LU001353.006</v>
      </c>
      <c r="T48" s="10" t="str">
        <f ca="1">IFERROR(__xludf.DUMMYFUNCTION("VLOOKUP(S48, IMPORTRANGE(""https://docs.google.com/spreadsheets/d/1yDAaXNsi4Mr5FtRQL4tbmSdIzhx6_m4wkOD7IG-k_eo/edit#gid=0"", ""Maths!M:N""), 2, FALSE)"),"Design an infographic to represent data on a specific topic, using appropriate visual elements.")</f>
        <v>Design an infographic to represent data on a specific topic, using appropriate visual elements.</v>
      </c>
      <c r="U48" s="11">
        <f ca="1">IFERROR(__xludf.DUMMYFUNCTION("ArrayFormula(VLOOKUP(G48, IMPORTRANGE(""https://docs.google.com/spreadsheets/d/1p7R4vtkWt5VOBim4ltsDG9KTzSjrtKXsMtQGXPHyND0/edit#gid=795171502"", ""'Filter 30_05_2024'!A1:M2000""), {2, 3, 4, 5,6,7,8,9,10,11,12,13}, 0))"),4)</f>
        <v>4</v>
      </c>
      <c r="V48" s="11">
        <f ca="1">IFERROR(__xludf.DUMMYFUNCTION("""COMPUTED_VALUE"""),6)</f>
        <v>6</v>
      </c>
      <c r="W48" s="11">
        <f ca="1">IFERROR(__xludf.DUMMYFUNCTION("""COMPUTED_VALUE"""),2)</f>
        <v>2</v>
      </c>
      <c r="X48" s="11">
        <f ca="1">IFERROR(__xludf.DUMMYFUNCTION("""COMPUTED_VALUE"""),12)</f>
        <v>12</v>
      </c>
      <c r="Y48" s="11">
        <f ca="1">IFERROR(__xludf.DUMMYFUNCTION("""COMPUTED_VALUE"""),4)</f>
        <v>4</v>
      </c>
      <c r="Z48" s="12">
        <f ca="1">IFERROR(__xludf.DUMMYFUNCTION("""COMPUTED_VALUE"""),3)</f>
        <v>3</v>
      </c>
      <c r="AA48" s="12">
        <f ca="1">IFERROR(__xludf.DUMMYFUNCTION("""COMPUTED_VALUE"""),1)</f>
        <v>1</v>
      </c>
      <c r="AB48" s="12">
        <f ca="1">IFERROR(__xludf.DUMMYFUNCTION("""COMPUTED_VALUE"""),8)</f>
        <v>8</v>
      </c>
      <c r="AC48" s="11"/>
      <c r="AD48" s="12"/>
      <c r="AE48" s="12"/>
      <c r="AF48" s="12"/>
      <c r="AG48" s="13" t="str">
        <f ca="1">IFERROR(__xludf.DUMMYFUNCTION("ArrayFormula(VLOOKUP(G48, IMPORTRANGE(""https://docs.google.com/spreadsheets/d/1Co934fvtviyaRiMsrIlT05Jaq7iiYq07aLvRr35KA48/edit?gid=173865642#gid=173865642"", ""'G6_Maths GP_Pri_LU'!G2:V2000""), {3, 4, 5, 6, 7, 8, 9, 10, 11, 12, 13, 14, 15, 16}, 0))"),"LU000314")</f>
        <v>LU000314</v>
      </c>
      <c r="AH48" s="13" t="str">
        <f ca="1">IFERROR(__xludf.DUMMYFUNCTION("""COMPUTED_VALUE"""),"Interpretation of pictographs")</f>
        <v>Interpretation of pictographs</v>
      </c>
      <c r="AI48" s="13" t="str">
        <f ca="1">IFERROR(__xludf.DUMMYFUNCTION("""COMPUTED_VALUE"""),"LU000317")</f>
        <v>LU000317</v>
      </c>
      <c r="AJ48" s="13" t="str">
        <f ca="1">IFERROR(__xludf.DUMMYFUNCTION("""COMPUTED_VALUE"""),"Interpretation of bar graphs (horizontal and vertical)")</f>
        <v>Interpretation of bar graphs (horizontal and vertical)</v>
      </c>
      <c r="AK48" s="13"/>
      <c r="AL48" s="13"/>
      <c r="AM48" s="13"/>
      <c r="AN48" s="13"/>
      <c r="AO48" s="13"/>
      <c r="AP48" s="13"/>
      <c r="AQ48" s="13"/>
      <c r="AR48" s="13"/>
      <c r="AS48" s="13"/>
      <c r="AT48" s="13"/>
    </row>
    <row r="49" spans="1:46" ht="40.200000000000003">
      <c r="A49" s="8" t="s">
        <v>46</v>
      </c>
      <c r="B49" s="8" t="s">
        <v>47</v>
      </c>
      <c r="C49" s="8" t="s">
        <v>48</v>
      </c>
      <c r="D49" s="8" t="s">
        <v>49</v>
      </c>
      <c r="E49" s="8" t="s">
        <v>126</v>
      </c>
      <c r="F49" s="21" t="s">
        <v>127</v>
      </c>
      <c r="G49" s="16" t="s">
        <v>128</v>
      </c>
      <c r="H49" s="8" t="str">
        <f ca="1">IFERROR(__xludf.DUMMYFUNCTION("VLOOKUP(G49, IMPORTRANGE(""https://docs.google.com/spreadsheets/d/14deopnvwcrKtEGCKuYXdUHJbeLDZlkiSSWWT0g7x2pM/edit#gid=999382323"", ""LU List Maths (Filter)!A:B""), 2, FALSE)"),"Multiple of number")</f>
        <v>Multiple of number</v>
      </c>
      <c r="I49" s="10" t="str">
        <f t="shared" si="0"/>
        <v>LU000193.001</v>
      </c>
      <c r="J49" s="10" t="str">
        <f ca="1">IFERROR(__xludf.DUMMYFUNCTION("VLOOKUP(I49, IMPORTRANGE(""https://docs.google.com/spreadsheets/d/1yDAaXNsi4Mr5FtRQL4tbmSdIzhx6_m4wkOD7IG-k_eo/edit#gid=0"", ""Maths!M:N""), 2, FALSE)"),"Define multiple of a number and its significance in the context of multiplication.")</f>
        <v>Define multiple of a number and its significance in the context of multiplication.</v>
      </c>
      <c r="K49" s="10" t="str">
        <f t="shared" si="1"/>
        <v>LU000193.002</v>
      </c>
      <c r="L49" s="10" t="str">
        <f ca="1">IFERROR(__xludf.DUMMYFUNCTION("VLOOKUP(K49, IMPORTRANGE(""https://docs.google.com/spreadsheets/d/1yDAaXNsi4Mr5FtRQL4tbmSdIzhx6_m4wkOD7IG-k_eo/edit#gid=0"", ""Maths!M:N""), 2, FALSE)"),"Describe the properties of multiple of a number")</f>
        <v>Describe the properties of multiple of a number</v>
      </c>
      <c r="M49" s="10" t="str">
        <f t="shared" si="2"/>
        <v>LU000193.003</v>
      </c>
      <c r="N49" s="10" t="str">
        <f ca="1">IFERROR(__xludf.DUMMYFUNCTION("VLOOKUP(M49, IMPORTRANGE(""https://docs.google.com/spreadsheets/d/1yDAaXNsi4Mr5FtRQL4tbmSdIzhx6_m4wkOD7IG-k_eo/edit#gid=0"", ""Maths!M:N""), 2, FALSE)"),"Solve real-world and arithmetic problems employing the concept of multiples.")</f>
        <v>Solve real-world and arithmetic problems employing the concept of multiples.</v>
      </c>
      <c r="O49" s="10" t="str">
        <f t="shared" si="3"/>
        <v>LU000193.004</v>
      </c>
      <c r="P49" s="10" t="str">
        <f ca="1">IFERROR(__xludf.DUMMYFUNCTION("VLOOKUP(O49, IMPORTRANGE(""https://docs.google.com/spreadsheets/d/1yDAaXNsi4Mr5FtRQL4tbmSdIzhx6_m4wkOD7IG-k_eo/edit#gid=0"", ""Maths!M:N""), 2, FALSE)"),"Determine the relationship between common multiples.")</f>
        <v>Determine the relationship between common multiples.</v>
      </c>
      <c r="Q49" s="10" t="str">
        <f t="shared" si="4"/>
        <v>LU000193.005</v>
      </c>
      <c r="R49" s="10" t="str">
        <f ca="1">IFERROR(__xludf.DUMMYFUNCTION("VLOOKUP(Q49, IMPORTRANGE(""https://docs.google.com/spreadsheets/d/1yDAaXNsi4Mr5FtRQL4tbmSdIzhx6_m4wkOD7IG-k_eo/edit#gid=0"", ""Maths!M:N""), 2, FALSE)"),"#N/A")</f>
        <v>#N/A</v>
      </c>
      <c r="S49" s="10" t="str">
        <f t="shared" si="5"/>
        <v>LU000193.006</v>
      </c>
      <c r="T49" s="10" t="str">
        <f ca="1">IFERROR(__xludf.DUMMYFUNCTION("VLOOKUP(S49, IMPORTRANGE(""https://docs.google.com/spreadsheets/d/1yDAaXNsi4Mr5FtRQL4tbmSdIzhx6_m4wkOD7IG-k_eo/edit#gid=0"", ""Maths!M:N""), 2, FALSE)"),"Create visuals illustrating multiples and their practical applications.")</f>
        <v>Create visuals illustrating multiples and their practical applications.</v>
      </c>
      <c r="U49" s="11">
        <f ca="1">IFERROR(__xludf.DUMMYFUNCTION("ArrayFormula(VLOOKUP(G49, IMPORTRANGE(""https://docs.google.com/spreadsheets/d/1p7R4vtkWt5VOBim4ltsDG9KTzSjrtKXsMtQGXPHyND0/edit#gid=795171502"", ""'Filter 30_05_2024'!A1:M2000""), {2, 3, 4, 5,6,7,8,9,10,11,12,13}, 0))"),5)</f>
        <v>5</v>
      </c>
      <c r="V49" s="11">
        <f ca="1">IFERROR(__xludf.DUMMYFUNCTION("""COMPUTED_VALUE"""),6)</f>
        <v>6</v>
      </c>
      <c r="W49" s="11">
        <f ca="1">IFERROR(__xludf.DUMMYFUNCTION("""COMPUTED_VALUE"""),2)</f>
        <v>2</v>
      </c>
      <c r="X49" s="11">
        <f ca="1">IFERROR(__xludf.DUMMYFUNCTION("""COMPUTED_VALUE"""),13)</f>
        <v>13</v>
      </c>
      <c r="Y49" s="11">
        <f ca="1">IFERROR(__xludf.DUMMYFUNCTION("""COMPUTED_VALUE"""),5)</f>
        <v>5</v>
      </c>
      <c r="Z49" s="12">
        <f ca="1">IFERROR(__xludf.DUMMYFUNCTION("""COMPUTED_VALUE"""),6)</f>
        <v>6</v>
      </c>
      <c r="AA49" s="12">
        <f ca="1">IFERROR(__xludf.DUMMYFUNCTION("""COMPUTED_VALUE"""),1)</f>
        <v>1</v>
      </c>
      <c r="AB49" s="12">
        <f ca="1">IFERROR(__xludf.DUMMYFUNCTION("""COMPUTED_VALUE"""),12)</f>
        <v>12</v>
      </c>
      <c r="AC49" s="11"/>
      <c r="AD49" s="12"/>
      <c r="AE49" s="12"/>
      <c r="AF49" s="12"/>
      <c r="AG49" s="13" t="str">
        <f ca="1">IFERROR(__xludf.DUMMYFUNCTION("ArrayFormula(VLOOKUP(G49, IMPORTRANGE(""https://docs.google.com/spreadsheets/d/1Co934fvtviyaRiMsrIlT05Jaq7iiYq07aLvRr35KA48/edit?gid=173865642#gid=173865642"", ""'G6_Maths GP_Pri_LU'!G2:V2000""), {3, 4, 5, 6, 7, 8, 9, 10, 11, 12, 13, 14, 15, 16}, 0))"),"")</f>
        <v/>
      </c>
      <c r="AH49" s="13"/>
      <c r="AI49" s="13"/>
      <c r="AJ49" s="13"/>
      <c r="AK49" s="13"/>
      <c r="AL49" s="13"/>
      <c r="AM49" s="13"/>
      <c r="AN49" s="13"/>
      <c r="AO49" s="13"/>
      <c r="AP49" s="13"/>
      <c r="AQ49" s="13"/>
      <c r="AR49" s="13"/>
      <c r="AS49" s="13"/>
      <c r="AT49" s="13"/>
    </row>
    <row r="50" spans="1:46" ht="27">
      <c r="A50" s="8" t="s">
        <v>46</v>
      </c>
      <c r="B50" s="8" t="s">
        <v>47</v>
      </c>
      <c r="C50" s="8" t="s">
        <v>48</v>
      </c>
      <c r="D50" s="8" t="s">
        <v>49</v>
      </c>
      <c r="E50" s="8" t="s">
        <v>126</v>
      </c>
      <c r="F50" s="21" t="s">
        <v>127</v>
      </c>
      <c r="G50" s="16" t="s">
        <v>129</v>
      </c>
      <c r="H50" s="8" t="str">
        <f ca="1">IFERROR(__xludf.DUMMYFUNCTION("VLOOKUP(G50, IMPORTRANGE(""https://docs.google.com/spreadsheets/d/14deopnvwcrKtEGCKuYXdUHJbeLDZlkiSSWWT0g7x2pM/edit#gid=999382323"", ""LU List Maths (Filter)!A:B""), 2, FALSE)"),"Definition of common multiples")</f>
        <v>Definition of common multiples</v>
      </c>
      <c r="I50" s="10" t="str">
        <f t="shared" si="0"/>
        <v>LU000058.001</v>
      </c>
      <c r="J50" s="10" t="str">
        <f ca="1">IFERROR(__xludf.DUMMYFUNCTION("VLOOKUP(I50, IMPORTRANGE(""https://docs.google.com/spreadsheets/d/1yDAaXNsi4Mr5FtRQL4tbmSdIzhx6_m4wkOD7IG-k_eo/edit#gid=0"", ""Maths!M:N""), 2, FALSE)"),"State the definition of common multiples.")</f>
        <v>State the definition of common multiples.</v>
      </c>
      <c r="K50" s="10" t="str">
        <f t="shared" si="1"/>
        <v>LU000058.002</v>
      </c>
      <c r="L50" s="10" t="str">
        <f ca="1">IFERROR(__xludf.DUMMYFUNCTION("VLOOKUP(K50, IMPORTRANGE(""https://docs.google.com/spreadsheets/d/1yDAaXNsi4Mr5FtRQL4tbmSdIzhx6_m4wkOD7IG-k_eo/edit#gid=0"", ""Maths!M:N""), 2, FALSE)"),"Explain the concept of common multiples and how they are related to numbers.")</f>
        <v>Explain the concept of common multiples and how they are related to numbers.</v>
      </c>
      <c r="M50" s="10" t="str">
        <f t="shared" si="2"/>
        <v>LU000058.003</v>
      </c>
      <c r="N50" s="10" t="str">
        <f ca="1">IFERROR(__xludf.DUMMYFUNCTION("VLOOKUP(M50, IMPORTRANGE(""https://docs.google.com/spreadsheets/d/1yDAaXNsi4Mr5FtRQL4tbmSdIzhx6_m4wkOD7IG-k_eo/edit#gid=0"", ""Maths!M:N""), 2, FALSE)"),"Use common multiples to solve simple problems related to multiple numbers")</f>
        <v>Use common multiples to solve simple problems related to multiple numbers</v>
      </c>
      <c r="O50" s="10" t="str">
        <f t="shared" si="3"/>
        <v>LU000058.004</v>
      </c>
      <c r="P50" s="10" t="str">
        <f ca="1">IFERROR(__xludf.DUMMYFUNCTION("VLOOKUP(O50, IMPORTRANGE(""https://docs.google.com/spreadsheets/d/1yDAaXNsi4Mr5FtRQL4tbmSdIzhx6_m4wkOD7IG-k_eo/edit#gid=0"", ""Maths!M:N""), 2, FALSE)"),"Examine a set of numbers and identify their common multiples.")</f>
        <v>Examine a set of numbers and identify their common multiples.</v>
      </c>
      <c r="Q50" s="10" t="str">
        <f t="shared" si="4"/>
        <v>LU000058.005</v>
      </c>
      <c r="R50" s="10" t="str">
        <f ca="1">IFERROR(__xludf.DUMMYFUNCTION("VLOOKUP(Q50, IMPORTRANGE(""https://docs.google.com/spreadsheets/d/1yDAaXNsi4Mr5FtRQL4tbmSdIzhx6_m4wkOD7IG-k_eo/edit#gid=0"", ""Maths!M:N""), 2, FALSE)"),"Assess the usefulness of common multiples in solving real-world problems")</f>
        <v>Assess the usefulness of common multiples in solving real-world problems</v>
      </c>
      <c r="S50" s="10" t="str">
        <f t="shared" si="5"/>
        <v>LU000058.006</v>
      </c>
      <c r="T50" s="10" t="str">
        <f ca="1">IFERROR(__xludf.DUMMYFUNCTION("VLOOKUP(S50, IMPORTRANGE(""https://docs.google.com/spreadsheets/d/1yDAaXNsi4Mr5FtRQL4tbmSdIzhx6_m4wkOD7IG-k_eo/edit#gid=0"", ""Maths!M:N""), 2, FALSE)"),"Create word problems that require the use of common multiples to find solutions.")</f>
        <v>Create word problems that require the use of common multiples to find solutions.</v>
      </c>
      <c r="U50" s="11">
        <f ca="1">IFERROR(__xludf.DUMMYFUNCTION("ArrayFormula(VLOOKUP(G50, IMPORTRANGE(""https://docs.google.com/spreadsheets/d/1p7R4vtkWt5VOBim4ltsDG9KTzSjrtKXsMtQGXPHyND0/edit#gid=795171502"", ""'Filter 30_05_2024'!A1:M2000""), {2, 3, 4, 5,6,7,8,9,10,11,12,13}, 0))"),4)</f>
        <v>4</v>
      </c>
      <c r="V50" s="11">
        <f ca="1">IFERROR(__xludf.DUMMYFUNCTION("""COMPUTED_VALUE"""),6)</f>
        <v>6</v>
      </c>
      <c r="W50" s="11">
        <f ca="1">IFERROR(__xludf.DUMMYFUNCTION("""COMPUTED_VALUE"""),6)</f>
        <v>6</v>
      </c>
      <c r="X50" s="11">
        <f ca="1">IFERROR(__xludf.DUMMYFUNCTION("""COMPUTED_VALUE"""),16)</f>
        <v>16</v>
      </c>
      <c r="Y50" s="11">
        <f ca="1">IFERROR(__xludf.DUMMYFUNCTION("""COMPUTED_VALUE"""),12)</f>
        <v>12</v>
      </c>
      <c r="Z50" s="12">
        <f ca="1">IFERROR(__xludf.DUMMYFUNCTION("""COMPUTED_VALUE"""),3)</f>
        <v>3</v>
      </c>
      <c r="AA50" s="12">
        <f ca="1">IFERROR(__xludf.DUMMYFUNCTION("""COMPUTED_VALUE"""),2)</f>
        <v>2</v>
      </c>
      <c r="AB50" s="12">
        <f ca="1">IFERROR(__xludf.DUMMYFUNCTION("""COMPUTED_VALUE"""),17)</f>
        <v>17</v>
      </c>
      <c r="AC50" s="11"/>
      <c r="AD50" s="12"/>
      <c r="AE50" s="12"/>
      <c r="AF50" s="12"/>
      <c r="AG50" s="13" t="str">
        <f ca="1">IFERROR(__xludf.DUMMYFUNCTION("ArrayFormula(VLOOKUP(G50, IMPORTRANGE(""https://docs.google.com/spreadsheets/d/1Co934fvtviyaRiMsrIlT05Jaq7iiYq07aLvRr35KA48/edit?gid=173865642#gid=173865642"", ""'G6_Maths GP_Pri_LU'!G2:V2000""), {3, 4, 5, 6, 7, 8, 9, 10, 11, 12, 13, 14, 15, 16}, 0))"),"LU000193")</f>
        <v>LU000193</v>
      </c>
      <c r="AH50" s="13" t="str">
        <f ca="1">IFERROR(__xludf.DUMMYFUNCTION("""COMPUTED_VALUE"""),"Multiple of number")</f>
        <v>Multiple of number</v>
      </c>
      <c r="AI50" s="13" t="str">
        <f ca="1">IFERROR(__xludf.DUMMYFUNCTION("""COMPUTED_VALUE"""),"LU000118")</f>
        <v>LU000118</v>
      </c>
      <c r="AJ50" s="13" t="str">
        <f ca="1">IFERROR(__xludf.DUMMYFUNCTION("""COMPUTED_VALUE"""),"Multiplication of five-digit numbers by one-digit/two-digit/three-digit/four-digit/five-digit numbers")</f>
        <v>Multiplication of five-digit numbers by one-digit/two-digit/three-digit/four-digit/five-digit numbers</v>
      </c>
      <c r="AK50" s="13" t="str">
        <f ca="1">IFERROR(__xludf.DUMMYFUNCTION("""COMPUTED_VALUE"""),"LU000124")</f>
        <v>LU000124</v>
      </c>
      <c r="AL50" s="13" t="str">
        <f ca="1">IFERROR(__xludf.DUMMYFUNCTION("""COMPUTED_VALUE"""),"Division of three-digit numbers by one-digit/two-digit numbers using standard algorithms")</f>
        <v>Division of three-digit numbers by one-digit/two-digit numbers using standard algorithms</v>
      </c>
      <c r="AM50" s="13"/>
      <c r="AN50" s="13"/>
      <c r="AO50" s="13"/>
      <c r="AP50" s="13"/>
      <c r="AQ50" s="13"/>
      <c r="AR50" s="13"/>
      <c r="AS50" s="13"/>
      <c r="AT50" s="13"/>
    </row>
    <row r="51" spans="1:46" ht="40.200000000000003">
      <c r="A51" s="8" t="s">
        <v>46</v>
      </c>
      <c r="B51" s="8" t="s">
        <v>47</v>
      </c>
      <c r="C51" s="8" t="s">
        <v>48</v>
      </c>
      <c r="D51" s="8" t="s">
        <v>49</v>
      </c>
      <c r="E51" s="8" t="s">
        <v>126</v>
      </c>
      <c r="F51" s="21" t="s">
        <v>130</v>
      </c>
      <c r="G51" s="16" t="s">
        <v>131</v>
      </c>
      <c r="H51" s="8" t="str">
        <f ca="1">IFERROR(__xludf.DUMMYFUNCTION("VLOOKUP(G51, IMPORTRANGE(""https://docs.google.com/spreadsheets/d/14deopnvwcrKtEGCKuYXdUHJbeLDZlkiSSWWT0g7x2pM/edit#gid=999382323"", ""LU List Maths (Filter)!A:B""), 2, FALSE)"),"Factor of number")</f>
        <v>Factor of number</v>
      </c>
      <c r="I51" s="10" t="str">
        <f t="shared" si="0"/>
        <v>LU000192.001</v>
      </c>
      <c r="J51" s="10" t="str">
        <f ca="1">IFERROR(__xludf.DUMMYFUNCTION("VLOOKUP(I51, IMPORTRANGE(""https://docs.google.com/spreadsheets/d/1yDAaXNsi4Mr5FtRQL4tbmSdIzhx6_m4wkOD7IG-k_eo/edit#gid=0"", ""Maths!M:N""), 2, FALSE)"),"Define factor of a number and its significance in the context of multiplication.")</f>
        <v>Define factor of a number and its significance in the context of multiplication.</v>
      </c>
      <c r="K51" s="10" t="str">
        <f t="shared" si="1"/>
        <v>LU000192.002</v>
      </c>
      <c r="L51" s="10" t="str">
        <f ca="1">IFERROR(__xludf.DUMMYFUNCTION("VLOOKUP(K51, IMPORTRANGE(""https://docs.google.com/spreadsheets/d/1yDAaXNsi4Mr5FtRQL4tbmSdIzhx6_m4wkOD7IG-k_eo/edit#gid=0"", ""Maths!M:N""), 2, FALSE)"),"Explain factors as numbers that divide another number without leaving a remainder.")</f>
        <v>Explain factors as numbers that divide another number without leaving a remainder.</v>
      </c>
      <c r="M51" s="10" t="str">
        <f t="shared" si="2"/>
        <v>LU000192.003</v>
      </c>
      <c r="N51" s="10" t="str">
        <f ca="1">IFERROR(__xludf.DUMMYFUNCTION("VLOOKUP(M51, IMPORTRANGE(""https://docs.google.com/spreadsheets/d/1yDAaXNsi4Mr5FtRQL4tbmSdIzhx6_m4wkOD7IG-k_eo/edit#gid=0"", ""Maths!M:N""), 2, FALSE)"),"Identify factors in practical and arithmetic problems.")</f>
        <v>Identify factors in practical and arithmetic problems.</v>
      </c>
      <c r="O51" s="10" t="str">
        <f t="shared" si="3"/>
        <v>LU000192.004</v>
      </c>
      <c r="P51" s="10" t="str">
        <f ca="1">IFERROR(__xludf.DUMMYFUNCTION("VLOOKUP(O51, IMPORTRANGE(""https://docs.google.com/spreadsheets/d/1yDAaXNsi4Mr5FtRQL4tbmSdIzhx6_m4wkOD7IG-k_eo/edit#gid=0"", ""Maths!M:N""), 2, FALSE)"),"Deduce the various properties of factor of a number (ex: every factor of a number is less than or equal to the given number.)")</f>
        <v>Deduce the various properties of factor of a number (ex: every factor of a number is less than or equal to the given number.)</v>
      </c>
      <c r="Q51" s="10" t="str">
        <f t="shared" si="4"/>
        <v>LU000192.005</v>
      </c>
      <c r="R51" s="10" t="str">
        <f ca="1">IFERROR(__xludf.DUMMYFUNCTION("VLOOKUP(Q51, IMPORTRANGE(""https://docs.google.com/spreadsheets/d/1yDAaXNsi4Mr5FtRQL4tbmSdIzhx6_m4wkOD7IG-k_eo/edit#gid=0"", ""Maths!M:N""), 2, FALSE)"),"Assess how factors are important in solving problems")</f>
        <v>Assess how factors are important in solving problems</v>
      </c>
      <c r="S51" s="10" t="str">
        <f t="shared" si="5"/>
        <v>LU000192.006</v>
      </c>
      <c r="T51" s="10" t="str">
        <f ca="1">IFERROR(__xludf.DUMMYFUNCTION("VLOOKUP(S51, IMPORTRANGE(""https://docs.google.com/spreadsheets/d/1yDAaXNsi4Mr5FtRQL4tbmSdIzhx6_m4wkOD7IG-k_eo/edit#gid=0"", ""Maths!M:N""), 2, FALSE)"),"Design word problems that involve real-life situations and factorisation.")</f>
        <v>Design word problems that involve real-life situations and factorisation.</v>
      </c>
      <c r="U51" s="11">
        <f ca="1">IFERROR(__xludf.DUMMYFUNCTION("ArrayFormula(VLOOKUP(G51, IMPORTRANGE(""https://docs.google.com/spreadsheets/d/1p7R4vtkWt5VOBim4ltsDG9KTzSjrtKXsMtQGXPHyND0/edit#gid=795171502"", ""'Filter 30_05_2024'!A1:M2000""), {2, 3, 4, 5,6,7,8,9,10,11,12,13}, 0))"),12)</f>
        <v>12</v>
      </c>
      <c r="V51" s="11">
        <f ca="1">IFERROR(__xludf.DUMMYFUNCTION("""COMPUTED_VALUE"""),19)</f>
        <v>19</v>
      </c>
      <c r="W51" s="11">
        <f ca="1">IFERROR(__xludf.DUMMYFUNCTION("""COMPUTED_VALUE"""),7)</f>
        <v>7</v>
      </c>
      <c r="X51" s="11">
        <f ca="1">IFERROR(__xludf.DUMMYFUNCTION("""COMPUTED_VALUE"""),38)</f>
        <v>38</v>
      </c>
      <c r="Y51" s="11">
        <f ca="1">IFERROR(__xludf.DUMMYFUNCTION("""COMPUTED_VALUE"""),7)</f>
        <v>7</v>
      </c>
      <c r="Z51" s="12">
        <f ca="1">IFERROR(__xludf.DUMMYFUNCTION("""COMPUTED_VALUE"""),3)</f>
        <v>3</v>
      </c>
      <c r="AA51" s="12">
        <f ca="1">IFERROR(__xludf.DUMMYFUNCTION("""COMPUTED_VALUE"""),2)</f>
        <v>2</v>
      </c>
      <c r="AB51" s="12">
        <f ca="1">IFERROR(__xludf.DUMMYFUNCTION("""COMPUTED_VALUE"""),12)</f>
        <v>12</v>
      </c>
      <c r="AC51" s="11"/>
      <c r="AD51" s="12"/>
      <c r="AE51" s="12"/>
      <c r="AF51" s="12"/>
      <c r="AG51" s="13" t="str">
        <f ca="1">IFERROR(__xludf.DUMMYFUNCTION("ArrayFormula(VLOOKUP(G51, IMPORTRANGE(""https://docs.google.com/spreadsheets/d/1Co934fvtviyaRiMsrIlT05Jaq7iiYq07aLvRr35KA48/edit?gid=173865642#gid=173865642"", ""'G6_Maths GP_Pri_LU'!G2:V2000""), {3, 4, 5, 6, 7, 8, 9, 10, 11, 12, 13, 14, 15, 16}, 0))"),"")</f>
        <v/>
      </c>
      <c r="AH51" s="13"/>
      <c r="AI51" s="13"/>
      <c r="AJ51" s="13"/>
      <c r="AK51" s="13"/>
      <c r="AL51" s="13"/>
      <c r="AM51" s="13"/>
      <c r="AN51" s="13"/>
      <c r="AO51" s="13"/>
      <c r="AP51" s="13"/>
      <c r="AQ51" s="13"/>
      <c r="AR51" s="13"/>
      <c r="AS51" s="13"/>
      <c r="AT51" s="13"/>
    </row>
    <row r="52" spans="1:46" ht="27">
      <c r="A52" s="8" t="s">
        <v>46</v>
      </c>
      <c r="B52" s="8" t="s">
        <v>47</v>
      </c>
      <c r="C52" s="8" t="s">
        <v>48</v>
      </c>
      <c r="D52" s="8" t="s">
        <v>49</v>
      </c>
      <c r="E52" s="8" t="s">
        <v>126</v>
      </c>
      <c r="F52" s="21" t="s">
        <v>130</v>
      </c>
      <c r="G52" s="16" t="s">
        <v>132</v>
      </c>
      <c r="H52" s="8" t="str">
        <f ca="1">IFERROR(__xludf.DUMMYFUNCTION("VLOOKUP(G52, IMPORTRANGE(""https://docs.google.com/spreadsheets/d/14deopnvwcrKtEGCKuYXdUHJbeLDZlkiSSWWT0g7x2pM/edit#gid=999382323"", ""LU List Maths (Filter)!A:B""), 2, FALSE)"),"Common factors of numbers")</f>
        <v>Common factors of numbers</v>
      </c>
      <c r="I52" s="10" t="str">
        <f t="shared" si="0"/>
        <v>LU000060.001</v>
      </c>
      <c r="J52" s="10" t="str">
        <f ca="1">IFERROR(__xludf.DUMMYFUNCTION("VLOOKUP(I52, IMPORTRANGE(""https://docs.google.com/spreadsheets/d/1yDAaXNsi4Mr5FtRQL4tbmSdIzhx6_m4wkOD7IG-k_eo/edit#gid=0"", ""Maths!M:N""), 2, FALSE)"),"State the definition of common factors in mathematics.")</f>
        <v>State the definition of common factors in mathematics.</v>
      </c>
      <c r="K52" s="10" t="str">
        <f t="shared" si="1"/>
        <v>LU000060.002</v>
      </c>
      <c r="L52" s="10" t="str">
        <f ca="1">IFERROR(__xludf.DUMMYFUNCTION("VLOOKUP(K52, IMPORTRANGE(""https://docs.google.com/spreadsheets/d/1yDAaXNsi4Mr5FtRQL4tbmSdIzhx6_m4wkOD7IG-k_eo/edit#gid=0"", ""Maths!M:N""), 2, FALSE)"),"Explain the meaning and significance of common factors.")</f>
        <v>Explain the meaning and significance of common factors.</v>
      </c>
      <c r="M52" s="10" t="str">
        <f t="shared" si="2"/>
        <v>LU000060.003</v>
      </c>
      <c r="N52" s="10" t="str">
        <f ca="1">IFERROR(__xludf.DUMMYFUNCTION("VLOOKUP(M52, IMPORTRANGE(""https://docs.google.com/spreadsheets/d/1yDAaXNsi4Mr5FtRQL4tbmSdIzhx6_m4wkOD7IG-k_eo/edit#gid=0"", ""Maths!M:N""), 2, FALSE)"),"Use common factors to solve real-world problems involving multiples and divisors")</f>
        <v>Use common factors to solve real-world problems involving multiples and divisors</v>
      </c>
      <c r="O52" s="10" t="str">
        <f t="shared" si="3"/>
        <v>LU000060.004</v>
      </c>
      <c r="P52" s="10" t="str">
        <f ca="1">IFERROR(__xludf.DUMMYFUNCTION("VLOOKUP(O52, IMPORTRANGE(""https://docs.google.com/spreadsheets/d/1yDAaXNsi4Mr5FtRQL4tbmSdIzhx6_m4wkOD7IG-k_eo/edit#gid=0"", ""Maths!M:N""), 2, FALSE)"),"Examine pairs of numbers and analyze their common factors.")</f>
        <v>Examine pairs of numbers and analyze their common factors.</v>
      </c>
      <c r="Q52" s="10" t="str">
        <f t="shared" si="4"/>
        <v>LU000060.005</v>
      </c>
      <c r="R52" s="10" t="str">
        <f ca="1">IFERROR(__xludf.DUMMYFUNCTION("VLOOKUP(Q52, IMPORTRANGE(""https://docs.google.com/spreadsheets/d/1yDAaXNsi4Mr5FtRQL4tbmSdIzhx6_m4wkOD7IG-k_eo/edit#gid=0"", ""Maths!M:N""), 2, FALSE)"),"Assess the efficiency of using common factors to simplify fractions.")</f>
        <v>Assess the efficiency of using common factors to simplify fractions.</v>
      </c>
      <c r="S52" s="10" t="str">
        <f t="shared" si="5"/>
        <v>LU000060.006</v>
      </c>
      <c r="T52" s="10" t="str">
        <f ca="1">IFERROR(__xludf.DUMMYFUNCTION("VLOOKUP(S52, IMPORTRANGE(""https://docs.google.com/spreadsheets/d/1yDAaXNsi4Mr5FtRQL4tbmSdIzhx6_m4wkOD7IG-k_eo/edit#gid=0"", ""Maths!M:N""), 2, FALSE)"),"Create word problems that require students to identify common factors to solve.")</f>
        <v>Create word problems that require students to identify common factors to solve.</v>
      </c>
      <c r="U52" s="11">
        <f ca="1">IFERROR(__xludf.DUMMYFUNCTION("ArrayFormula(VLOOKUP(G52, IMPORTRANGE(""https://docs.google.com/spreadsheets/d/1p7R4vtkWt5VOBim4ltsDG9KTzSjrtKXsMtQGXPHyND0/edit#gid=795171502"", ""'Filter 30_05_2024'!A1:M2000""), {2, 3, 4, 5,6,7,8,9,10,11,12,13}, 0))"),4)</f>
        <v>4</v>
      </c>
      <c r="V52" s="11">
        <f ca="1">IFERROR(__xludf.DUMMYFUNCTION("""COMPUTED_VALUE"""),6)</f>
        <v>6</v>
      </c>
      <c r="W52" s="11"/>
      <c r="X52" s="11">
        <f ca="1">IFERROR(__xludf.DUMMYFUNCTION("""COMPUTED_VALUE"""),10)</f>
        <v>10</v>
      </c>
      <c r="Y52" s="11">
        <f ca="1">IFERROR(__xludf.DUMMYFUNCTION("""COMPUTED_VALUE"""),9)</f>
        <v>9</v>
      </c>
      <c r="Z52" s="12">
        <f ca="1">IFERROR(__xludf.DUMMYFUNCTION("""COMPUTED_VALUE"""),4)</f>
        <v>4</v>
      </c>
      <c r="AA52" s="12">
        <f ca="1">IFERROR(__xludf.DUMMYFUNCTION("""COMPUTED_VALUE"""),3)</f>
        <v>3</v>
      </c>
      <c r="AB52" s="12">
        <f ca="1">IFERROR(__xludf.DUMMYFUNCTION("""COMPUTED_VALUE"""),16)</f>
        <v>16</v>
      </c>
      <c r="AC52" s="11"/>
      <c r="AD52" s="12"/>
      <c r="AE52" s="12"/>
      <c r="AF52" s="12"/>
      <c r="AG52" s="13" t="str">
        <f ca="1">IFERROR(__xludf.DUMMYFUNCTION("ArrayFormula(VLOOKUP(G52, IMPORTRANGE(""https://docs.google.com/spreadsheets/d/1Co934fvtviyaRiMsrIlT05Jaq7iiYq07aLvRr35KA48/edit?gid=173865642#gid=173865642"", ""'G6_Maths GP_Pri_LU'!G2:V2000""), {3, 4, 5, 6, 7, 8, 9, 10, 11, 12, 13, 14, 15, 16}, 0))"),"LU000192")</f>
        <v>LU000192</v>
      </c>
      <c r="AH52" s="13" t="str">
        <f ca="1">IFERROR(__xludf.DUMMYFUNCTION("""COMPUTED_VALUE"""),"Factor of number")</f>
        <v>Factor of number</v>
      </c>
      <c r="AI52" s="13" t="str">
        <f ca="1">IFERROR(__xludf.DUMMYFUNCTION("""COMPUTED_VALUE"""),"LU000059")</f>
        <v>LU000059</v>
      </c>
      <c r="AJ52" s="13" t="str">
        <f ca="1">IFERROR(__xludf.DUMMYFUNCTION("""COMPUTED_VALUE"""),"Factors using factor tree")</f>
        <v>Factors using factor tree</v>
      </c>
      <c r="AK52" s="13" t="str">
        <f ca="1">IFERROR(__xludf.DUMMYFUNCTION("""COMPUTED_VALUE"""),"LU000124")</f>
        <v>LU000124</v>
      </c>
      <c r="AL52" s="13" t="str">
        <f ca="1">IFERROR(__xludf.DUMMYFUNCTION("""COMPUTED_VALUE"""),"Division of three-digit numbers by one-digit/two-digit numbers using standard algorithms")</f>
        <v>Division of three-digit numbers by one-digit/two-digit numbers using standard algorithms</v>
      </c>
      <c r="AM52" s="13"/>
      <c r="AN52" s="13"/>
      <c r="AO52" s="13"/>
      <c r="AP52" s="13"/>
      <c r="AQ52" s="13"/>
      <c r="AR52" s="13"/>
      <c r="AS52" s="13"/>
      <c r="AT52" s="13"/>
    </row>
    <row r="53" spans="1:46" ht="40.200000000000003">
      <c r="A53" s="8" t="s">
        <v>46</v>
      </c>
      <c r="B53" s="8" t="s">
        <v>47</v>
      </c>
      <c r="C53" s="8" t="s">
        <v>48</v>
      </c>
      <c r="D53" s="8" t="s">
        <v>49</v>
      </c>
      <c r="E53" s="8" t="s">
        <v>126</v>
      </c>
      <c r="F53" s="21" t="s">
        <v>130</v>
      </c>
      <c r="G53" s="16" t="s">
        <v>133</v>
      </c>
      <c r="H53" s="8" t="str">
        <f ca="1">IFERROR(__xludf.DUMMYFUNCTION("VLOOKUP(G53, IMPORTRANGE(""https://docs.google.com/spreadsheets/d/14deopnvwcrKtEGCKuYXdUHJbeLDZlkiSSWWT0g7x2pM/edit#gid=999382323"", ""LU List Maths (Filter)!A:B""), 2, FALSE)"),"Perfect number")</f>
        <v>Perfect number</v>
      </c>
      <c r="I53" s="10" t="str">
        <f t="shared" si="0"/>
        <v>LU000194.001</v>
      </c>
      <c r="J53" s="10" t="str">
        <f ca="1">IFERROR(__xludf.DUMMYFUNCTION("VLOOKUP(I53, IMPORTRANGE(""https://docs.google.com/spreadsheets/d/1yDAaXNsi4Mr5FtRQL4tbmSdIzhx6_m4wkOD7IG-k_eo/edit#gid=0"", ""Maths!M:N""), 2, FALSE)"),"Define perfect number.")</f>
        <v>Define perfect number.</v>
      </c>
      <c r="K53" s="10" t="str">
        <f t="shared" si="1"/>
        <v>LU000194.002</v>
      </c>
      <c r="L53" s="10" t="str">
        <f ca="1">IFERROR(__xludf.DUMMYFUNCTION("VLOOKUP(K53, IMPORTRANGE(""https://docs.google.com/spreadsheets/d/1yDAaXNsi4Mr5FtRQL4tbmSdIzhx6_m4wkOD7IG-k_eo/edit#gid=0"", ""Maths!M:N""), 2, FALSE)"),"Describe the characteristics that distinguish a perfect number from other types of numbers")</f>
        <v>Describe the characteristics that distinguish a perfect number from other types of numbers</v>
      </c>
      <c r="M53" s="10" t="str">
        <f t="shared" si="2"/>
        <v>LU000194.003</v>
      </c>
      <c r="N53" s="10" t="str">
        <f ca="1">IFERROR(__xludf.DUMMYFUNCTION("VLOOKUP(M53, IMPORTRANGE(""https://docs.google.com/spreadsheets/d/1yDAaXNsi4Mr5FtRQL4tbmSdIzhx6_m4wkOD7IG-k_eo/edit#gid=0"", ""Maths!M:N""), 2, FALSE)"),"Apply the criteria for identifying perfect numbers to determine whether a given number qualifies as a perfect number")</f>
        <v>Apply the criteria for identifying perfect numbers to determine whether a given number qualifies as a perfect number</v>
      </c>
      <c r="O53" s="10" t="str">
        <f t="shared" si="3"/>
        <v>LU000194.004</v>
      </c>
      <c r="P53" s="10" t="str">
        <f ca="1">IFERROR(__xludf.DUMMYFUNCTION("VLOOKUP(O53, IMPORTRANGE(""https://docs.google.com/spreadsheets/d/1yDAaXNsi4Mr5FtRQL4tbmSdIzhx6_m4wkOD7IG-k_eo/edit#gid=0"", ""Maths!M:N""), 2, FALSE)"),"Analyse the properties of perfect numbers and identify patterns in their factors and divisors")</f>
        <v>Analyse the properties of perfect numbers and identify patterns in their factors and divisors</v>
      </c>
      <c r="Q53" s="10" t="str">
        <f t="shared" si="4"/>
        <v>LU000194.005</v>
      </c>
      <c r="R53" s="10" t="str">
        <f ca="1">IFERROR(__xludf.DUMMYFUNCTION("VLOOKUP(Q53, IMPORTRANGE(""https://docs.google.com/spreadsheets/d/1yDAaXNsi4Mr5FtRQL4tbmSdIzhx6_m4wkOD7IG-k_eo/edit#gid=0"", ""Maths!M:N""), 2, FALSE)"),"#N/A")</f>
        <v>#N/A</v>
      </c>
      <c r="S53" s="10" t="str">
        <f t="shared" si="5"/>
        <v>LU000194.006</v>
      </c>
      <c r="T53" s="10" t="str">
        <f ca="1">IFERROR(__xludf.DUMMYFUNCTION("VLOOKUP(S53, IMPORTRANGE(""https://docs.google.com/spreadsheets/d/1yDAaXNsi4Mr5FtRQL4tbmSdIzhx6_m4wkOD7IG-k_eo/edit#gid=0"", ""Maths!M:N""), 2, FALSE)"),"Create problems where students need to find perfect numbers within a specific range and verify their property.")</f>
        <v>Create problems where students need to find perfect numbers within a specific range and verify their property.</v>
      </c>
      <c r="U53" s="11">
        <f ca="1">IFERROR(__xludf.DUMMYFUNCTION("ArrayFormula(VLOOKUP(G53, IMPORTRANGE(""https://docs.google.com/spreadsheets/d/1p7R4vtkWt5VOBim4ltsDG9KTzSjrtKXsMtQGXPHyND0/edit#gid=795171502"", ""'Filter 30_05_2024'!A1:M2000""), {2, 3, 4, 5,6,7,8,9,10,11,12,13}, 0))"),6)</f>
        <v>6</v>
      </c>
      <c r="V53" s="11">
        <f ca="1">IFERROR(__xludf.DUMMYFUNCTION("""COMPUTED_VALUE"""),3)</f>
        <v>3</v>
      </c>
      <c r="W53" s="11">
        <f ca="1">IFERROR(__xludf.DUMMYFUNCTION("""COMPUTED_VALUE"""),2)</f>
        <v>2</v>
      </c>
      <c r="X53" s="11">
        <f ca="1">IFERROR(__xludf.DUMMYFUNCTION("""COMPUTED_VALUE"""),11)</f>
        <v>11</v>
      </c>
      <c r="Y53" s="11">
        <f ca="1">IFERROR(__xludf.DUMMYFUNCTION("""COMPUTED_VALUE"""),6)</f>
        <v>6</v>
      </c>
      <c r="Z53" s="12">
        <f ca="1">IFERROR(__xludf.DUMMYFUNCTION("""COMPUTED_VALUE"""),4)</f>
        <v>4</v>
      </c>
      <c r="AA53" s="12">
        <f ca="1">IFERROR(__xludf.DUMMYFUNCTION("""COMPUTED_VALUE"""),1)</f>
        <v>1</v>
      </c>
      <c r="AB53" s="12">
        <f ca="1">IFERROR(__xludf.DUMMYFUNCTION("""COMPUTED_VALUE"""),11)</f>
        <v>11</v>
      </c>
      <c r="AC53" s="11"/>
      <c r="AD53" s="12"/>
      <c r="AE53" s="12"/>
      <c r="AF53" s="12"/>
      <c r="AG53" s="13" t="str">
        <f ca="1">IFERROR(__xludf.DUMMYFUNCTION("ArrayFormula(VLOOKUP(G53, IMPORTRANGE(""https://docs.google.com/spreadsheets/d/1Co934fvtviyaRiMsrIlT05Jaq7iiYq07aLvRr35KA48/edit?gid=173865642#gid=173865642"", ""'G6_Maths GP_Pri_LU'!G2:V2000""), {3, 4, 5, 6, 7, 8, 9, 10, 11, 12, 13, 14, 15, 16}, 0))"),"LU000192")</f>
        <v>LU000192</v>
      </c>
      <c r="AH53" s="13" t="str">
        <f ca="1">IFERROR(__xludf.DUMMYFUNCTION("""COMPUTED_VALUE"""),"Factor of number")</f>
        <v>Factor of number</v>
      </c>
      <c r="AI53" s="13"/>
      <c r="AJ53" s="13"/>
      <c r="AK53" s="13"/>
      <c r="AL53" s="13"/>
      <c r="AM53" s="13"/>
      <c r="AN53" s="13"/>
      <c r="AO53" s="13"/>
      <c r="AP53" s="13"/>
      <c r="AQ53" s="13"/>
      <c r="AR53" s="13"/>
      <c r="AS53" s="13"/>
      <c r="AT53" s="13"/>
    </row>
    <row r="54" spans="1:46" ht="40.200000000000003">
      <c r="A54" s="8" t="s">
        <v>46</v>
      </c>
      <c r="B54" s="8" t="s">
        <v>47</v>
      </c>
      <c r="C54" s="8" t="s">
        <v>48</v>
      </c>
      <c r="D54" s="8" t="s">
        <v>49</v>
      </c>
      <c r="E54" s="8" t="s">
        <v>126</v>
      </c>
      <c r="F54" s="8" t="s">
        <v>134</v>
      </c>
      <c r="G54" s="16" t="s">
        <v>135</v>
      </c>
      <c r="H54" s="8" t="str">
        <f ca="1">IFERROR(__xludf.DUMMYFUNCTION("VLOOKUP(G54, IMPORTRANGE(""https://docs.google.com/spreadsheets/d/14deopnvwcrKtEGCKuYXdUHJbeLDZlkiSSWWT0g7x2pM/edit#gid=999382323"", ""LU List Maths (Filter)!A:B""), 2, FALSE)"),"Prime number")</f>
        <v>Prime number</v>
      </c>
      <c r="I54" s="10" t="str">
        <f t="shared" si="0"/>
        <v>LU000195.001</v>
      </c>
      <c r="J54" s="10" t="str">
        <f ca="1">IFERROR(__xludf.DUMMYFUNCTION("VLOOKUP(I54, IMPORTRANGE(""https://docs.google.com/spreadsheets/d/1yDAaXNsi4Mr5FtRQL4tbmSdIzhx6_m4wkOD7IG-k_eo/edit#gid=0"", ""Maths!M:N""), 2, FALSE)"),"Define and list examples of prime numbers.")</f>
        <v>Define and list examples of prime numbers.</v>
      </c>
      <c r="K54" s="10" t="str">
        <f t="shared" si="1"/>
        <v>LU000195.002</v>
      </c>
      <c r="L54" s="10" t="str">
        <f ca="1">IFERROR(__xludf.DUMMYFUNCTION("VLOOKUP(K54, IMPORTRANGE(""https://docs.google.com/spreadsheets/d/1yDAaXNsi4Mr5FtRQL4tbmSdIzhx6_m4wkOD7IG-k_eo/edit#gid=0"", ""Maths!M:N""), 2, FALSE)"),"Use the key methods (like trial division, sieve of eratosthenes, prime factorisation) to determine if a number is prime.")</f>
        <v>Use the key methods (like trial division, sieve of eratosthenes, prime factorisation) to determine if a number is prime.</v>
      </c>
      <c r="M54" s="10" t="str">
        <f t="shared" si="2"/>
        <v>LU000195.003</v>
      </c>
      <c r="N54" s="10" t="str">
        <f ca="1">IFERROR(__xludf.DUMMYFUNCTION("VLOOKUP(M54, IMPORTRANGE(""https://docs.google.com/spreadsheets/d/1yDAaXNsi4Mr5FtRQL4tbmSdIzhx6_m4wkOD7IG-k_eo/edit#gid=0"", ""Maths!M:N""), 2, FALSE)"),"Apply the concept of prime numbers to identify prime numbers from a list of given numbers.")</f>
        <v>Apply the concept of prime numbers to identify prime numbers from a list of given numbers.</v>
      </c>
      <c r="O54" s="10" t="str">
        <f t="shared" si="3"/>
        <v>LU000195.004</v>
      </c>
      <c r="P54" s="10" t="str">
        <f ca="1">IFERROR(__xludf.DUMMYFUNCTION("VLOOKUP(O54, IMPORTRANGE(""https://docs.google.com/spreadsheets/d/1yDAaXNsi4Mr5FtRQL4tbmSdIzhx6_m4wkOD7IG-k_eo/edit#gid=0"", ""Maths!M:N""), 2, FALSE)"),"Recognise that prime numbers are the fundamental components of various composite numbers.")</f>
        <v>Recognise that prime numbers are the fundamental components of various composite numbers.</v>
      </c>
      <c r="Q54" s="10" t="str">
        <f t="shared" si="4"/>
        <v>LU000195.005</v>
      </c>
      <c r="R54" s="10" t="str">
        <f ca="1">IFERROR(__xludf.DUMMYFUNCTION("VLOOKUP(Q54, IMPORTRANGE(""https://docs.google.com/spreadsheets/d/1yDAaXNsi4Mr5FtRQL4tbmSdIzhx6_m4wkOD7IG-k_eo/edit#gid=0"", ""Maths!M:N""), 2, FALSE)"),"Evaluate the significance of prime numbers in cryptography")</f>
        <v>Evaluate the significance of prime numbers in cryptography</v>
      </c>
      <c r="S54" s="10" t="str">
        <f t="shared" si="5"/>
        <v>LU000195.006</v>
      </c>
      <c r="T54" s="10" t="str">
        <f ca="1">IFERROR(__xludf.DUMMYFUNCTION("VLOOKUP(S54, IMPORTRANGE(""https://docs.google.com/spreadsheets/d/1yDAaXNsi4Mr5FtRQL4tbmSdIzhx6_m4wkOD7IG-k_eo/edit#gid=0"", ""Maths!M:N""), 2, FALSE)"),"Create a list of prime numbers within a specific range using knowledge of their unique divisibility property")</f>
        <v>Create a list of prime numbers within a specific range using knowledge of their unique divisibility property</v>
      </c>
      <c r="U54" s="11">
        <f ca="1">IFERROR(__xludf.DUMMYFUNCTION("ArrayFormula(VLOOKUP(G54, IMPORTRANGE(""https://docs.google.com/spreadsheets/d/1p7R4vtkWt5VOBim4ltsDG9KTzSjrtKXsMtQGXPHyND0/edit#gid=795171502"", ""'Filter 30_05_2024'!A1:M2000""), {2, 3, 4, 5,6,7,8,9,10,11,12,13}, 0))"),6)</f>
        <v>6</v>
      </c>
      <c r="V54" s="11">
        <f ca="1">IFERROR(__xludf.DUMMYFUNCTION("""COMPUTED_VALUE"""),6)</f>
        <v>6</v>
      </c>
      <c r="W54" s="11">
        <f ca="1">IFERROR(__xludf.DUMMYFUNCTION("""COMPUTED_VALUE"""),2)</f>
        <v>2</v>
      </c>
      <c r="X54" s="11">
        <f ca="1">IFERROR(__xludf.DUMMYFUNCTION("""COMPUTED_VALUE"""),14)</f>
        <v>14</v>
      </c>
      <c r="Y54" s="11">
        <f ca="1">IFERROR(__xludf.DUMMYFUNCTION("""COMPUTED_VALUE"""),5)</f>
        <v>5</v>
      </c>
      <c r="Z54" s="12">
        <f ca="1">IFERROR(__xludf.DUMMYFUNCTION("""COMPUTED_VALUE"""),2)</f>
        <v>2</v>
      </c>
      <c r="AA54" s="12">
        <f ca="1">IFERROR(__xludf.DUMMYFUNCTION("""COMPUTED_VALUE"""),1)</f>
        <v>1</v>
      </c>
      <c r="AB54" s="12">
        <f ca="1">IFERROR(__xludf.DUMMYFUNCTION("""COMPUTED_VALUE"""),8)</f>
        <v>8</v>
      </c>
      <c r="AC54" s="11"/>
      <c r="AD54" s="12"/>
      <c r="AE54" s="12"/>
      <c r="AF54" s="12"/>
      <c r="AG54" s="13" t="str">
        <f ca="1">IFERROR(__xludf.DUMMYFUNCTION("ArrayFormula(VLOOKUP(G54, IMPORTRANGE(""https://docs.google.com/spreadsheets/d/1Co934fvtviyaRiMsrIlT05Jaq7iiYq07aLvRr35KA48/edit?gid=173865642#gid=173865642"", ""'G6_Maths GP_Pri_LU'!G2:V2000""), {3, 4, 5, 6, 7, 8, 9, 10, 11, 12, 13, 14, 15, 16}, 0))"),"LU000192")</f>
        <v>LU000192</v>
      </c>
      <c r="AH54" s="13" t="str">
        <f ca="1">IFERROR(__xludf.DUMMYFUNCTION("""COMPUTED_VALUE"""),"Factor of number")</f>
        <v>Factor of number</v>
      </c>
      <c r="AI54" s="13"/>
      <c r="AJ54" s="13"/>
      <c r="AK54" s="13"/>
      <c r="AL54" s="13"/>
      <c r="AM54" s="13"/>
      <c r="AN54" s="13"/>
      <c r="AO54" s="13"/>
      <c r="AP54" s="13"/>
      <c r="AQ54" s="13"/>
      <c r="AR54" s="13"/>
      <c r="AS54" s="13"/>
      <c r="AT54" s="13"/>
    </row>
    <row r="55" spans="1:46" ht="40.200000000000003">
      <c r="A55" s="8" t="s">
        <v>46</v>
      </c>
      <c r="B55" s="8" t="s">
        <v>47</v>
      </c>
      <c r="C55" s="8" t="s">
        <v>48</v>
      </c>
      <c r="D55" s="8" t="s">
        <v>49</v>
      </c>
      <c r="E55" s="8" t="s">
        <v>126</v>
      </c>
      <c r="F55" s="10" t="s">
        <v>134</v>
      </c>
      <c r="G55" s="16" t="s">
        <v>136</v>
      </c>
      <c r="H55" s="8" t="str">
        <f ca="1">IFERROR(__xludf.DUMMYFUNCTION("VLOOKUP(G55, IMPORTRANGE(""https://docs.google.com/spreadsheets/d/14deopnvwcrKtEGCKuYXdUHJbeLDZlkiSSWWT0g7x2pM/edit#gid=999382323"", ""LU List Maths (Filter)!A:B""), 2, FALSE)"),"Composite number")</f>
        <v>Composite number</v>
      </c>
      <c r="I55" s="10" t="str">
        <f t="shared" si="0"/>
        <v>LU000196.001</v>
      </c>
      <c r="J55" s="10" t="str">
        <f ca="1">IFERROR(__xludf.DUMMYFUNCTION("VLOOKUP(I55, IMPORTRANGE(""https://docs.google.com/spreadsheets/d/1yDAaXNsi4Mr5FtRQL4tbmSdIzhx6_m4wkOD7IG-k_eo/edit#gid=0"", ""Maths!M:N""), 2, FALSE)"),"Define and list examples of composite numbers.")</f>
        <v>Define and list examples of composite numbers.</v>
      </c>
      <c r="K55" s="10" t="str">
        <f t="shared" si="1"/>
        <v>LU000196.002</v>
      </c>
      <c r="L55" s="10" t="str">
        <f ca="1">IFERROR(__xludf.DUMMYFUNCTION("VLOOKUP(K55, IMPORTRANGE(""https://docs.google.com/spreadsheets/d/1yDAaXNsi4Mr5FtRQL4tbmSdIzhx6_m4wkOD7IG-k_eo/edit#gid=0"", ""Maths!M:N""), 2, FALSE)"),"Use the key methods (like trial division, sieve of eratosthenes, prime factorisation) to determine if a number is composite.")</f>
        <v>Use the key methods (like trial division, sieve of eratosthenes, prime factorisation) to determine if a number is composite.</v>
      </c>
      <c r="M55" s="10" t="str">
        <f t="shared" si="2"/>
        <v>LU000196.003</v>
      </c>
      <c r="N55" s="10" t="str">
        <f ca="1">IFERROR(__xludf.DUMMYFUNCTION("VLOOKUP(M55, IMPORTRANGE(""https://docs.google.com/spreadsheets/d/1yDAaXNsi4Mr5FtRQL4tbmSdIzhx6_m4wkOD7IG-k_eo/edit#gid=0"", ""Maths!M:N""), 2, FALSE)"),"Apply the concept of having more than two divisors to identify composite numbers.")</f>
        <v>Apply the concept of having more than two divisors to identify composite numbers.</v>
      </c>
      <c r="O55" s="10" t="str">
        <f t="shared" si="3"/>
        <v>LU000196.004</v>
      </c>
      <c r="P55" s="10" t="str">
        <f ca="1">IFERROR(__xludf.DUMMYFUNCTION("VLOOKUP(O55, IMPORTRANGE(""https://docs.google.com/spreadsheets/d/1yDAaXNsi4Mr5FtRQL4tbmSdIzhx6_m4wkOD7IG-k_eo/edit#gid=0"", ""Maths!M:N""), 2, FALSE)"),"Analyse the characteristics that differentiate composite numbers from prime numbers, focusing on their divisors.")</f>
        <v>Analyse the characteristics that differentiate composite numbers from prime numbers, focusing on their divisors.</v>
      </c>
      <c r="Q55" s="10" t="str">
        <f t="shared" si="4"/>
        <v>LU000196.005</v>
      </c>
      <c r="R55" s="10" t="str">
        <f ca="1">IFERROR(__xludf.DUMMYFUNCTION("VLOOKUP(Q55, IMPORTRANGE(""https://docs.google.com/spreadsheets/d/1yDAaXNsi4Mr5FtRQL4tbmSdIzhx6_m4wkOD7IG-k_eo/edit#gid=0"", ""Maths!M:N""), 2, FALSE)"),"Evaluate how identifying composite numbers helps in finding common factors.")</f>
        <v>Evaluate how identifying composite numbers helps in finding common factors.</v>
      </c>
      <c r="S55" s="10" t="str">
        <f t="shared" si="5"/>
        <v>LU000196.006</v>
      </c>
      <c r="T55" s="10" t="str">
        <f ca="1">IFERROR(__xludf.DUMMYFUNCTION("VLOOKUP(S55, IMPORTRANGE(""https://docs.google.com/spreadsheets/d/1yDAaXNsi4Mr5FtRQL4tbmSdIzhx6_m4wkOD7IG-k_eo/edit#gid=0"", ""Maths!M:N""), 2, FALSE)"),"Create a list of composite numbers within a given range by recognizing their multiple divisors.")</f>
        <v>Create a list of composite numbers within a given range by recognizing their multiple divisors.</v>
      </c>
      <c r="U55" s="11">
        <f ca="1">IFERROR(__xludf.DUMMYFUNCTION("ArrayFormula(VLOOKUP(G55, IMPORTRANGE(""https://docs.google.com/spreadsheets/d/1p7R4vtkWt5VOBim4ltsDG9KTzSjrtKXsMtQGXPHyND0/edit#gid=795171502"", ""'Filter 30_05_2024'!A1:M2000""), {2, 3, 4, 5,6,7,8,9,10,11,12,13}, 0))"),7)</f>
        <v>7</v>
      </c>
      <c r="V55" s="11">
        <f ca="1">IFERROR(__xludf.DUMMYFUNCTION("""COMPUTED_VALUE"""),7)</f>
        <v>7</v>
      </c>
      <c r="W55" s="11">
        <f ca="1">IFERROR(__xludf.DUMMYFUNCTION("""COMPUTED_VALUE"""),2)</f>
        <v>2</v>
      </c>
      <c r="X55" s="11">
        <f ca="1">IFERROR(__xludf.DUMMYFUNCTION("""COMPUTED_VALUE"""),16)</f>
        <v>16</v>
      </c>
      <c r="Y55" s="11">
        <f ca="1">IFERROR(__xludf.DUMMYFUNCTION("""COMPUTED_VALUE"""),4)</f>
        <v>4</v>
      </c>
      <c r="Z55" s="12">
        <f ca="1">IFERROR(__xludf.DUMMYFUNCTION("""COMPUTED_VALUE"""),2)</f>
        <v>2</v>
      </c>
      <c r="AA55" s="12">
        <f ca="1">IFERROR(__xludf.DUMMYFUNCTION("""COMPUTED_VALUE"""),1)</f>
        <v>1</v>
      </c>
      <c r="AB55" s="12">
        <f ca="1">IFERROR(__xludf.DUMMYFUNCTION("""COMPUTED_VALUE"""),7)</f>
        <v>7</v>
      </c>
      <c r="AC55" s="11"/>
      <c r="AD55" s="12"/>
      <c r="AE55" s="12"/>
      <c r="AF55" s="12"/>
      <c r="AG55" s="13" t="str">
        <f ca="1">IFERROR(__xludf.DUMMYFUNCTION("ArrayFormula(VLOOKUP(G55, IMPORTRANGE(""https://docs.google.com/spreadsheets/d/1Co934fvtviyaRiMsrIlT05Jaq7iiYq07aLvRr35KA48/edit?gid=173865642#gid=173865642"", ""'G6_Maths GP_Pri_LU'!G2:V2000""), {3, 4, 5, 6, 7, 8, 9, 10, 11, 12, 13, 14, 15, 16}, 0))"),"LU000192")</f>
        <v>LU000192</v>
      </c>
      <c r="AH55" s="13" t="str">
        <f ca="1">IFERROR(__xludf.DUMMYFUNCTION("""COMPUTED_VALUE"""),"Factor of number")</f>
        <v>Factor of number</v>
      </c>
      <c r="AI55" s="13"/>
      <c r="AJ55" s="13"/>
      <c r="AK55" s="13"/>
      <c r="AL55" s="13"/>
      <c r="AM55" s="13"/>
      <c r="AN55" s="13"/>
      <c r="AO55" s="13"/>
      <c r="AP55" s="13"/>
      <c r="AQ55" s="13"/>
      <c r="AR55" s="13"/>
      <c r="AS55" s="13"/>
      <c r="AT55" s="13"/>
    </row>
    <row r="56" spans="1:46" ht="40.200000000000003">
      <c r="A56" s="8" t="s">
        <v>46</v>
      </c>
      <c r="B56" s="8" t="s">
        <v>47</v>
      </c>
      <c r="C56" s="8" t="s">
        <v>48</v>
      </c>
      <c r="D56" s="8" t="s">
        <v>49</v>
      </c>
      <c r="E56" s="8" t="s">
        <v>126</v>
      </c>
      <c r="F56" s="8" t="s">
        <v>137</v>
      </c>
      <c r="G56" s="16" t="s">
        <v>138</v>
      </c>
      <c r="H56" s="8" t="str">
        <f ca="1">IFERROR(__xludf.DUMMYFUNCTION("VLOOKUP(G56, IMPORTRANGE(""https://docs.google.com/spreadsheets/d/14deopnvwcrKtEGCKuYXdUHJbeLDZlkiSSWWT0g7x2pM/edit#gid=999382323"", ""LU List Maths (Filter)!A:B""), 2, FALSE)"),"Twin prime numbers")</f>
        <v>Twin prime numbers</v>
      </c>
      <c r="I56" s="10" t="str">
        <f t="shared" si="0"/>
        <v>LU000213.001</v>
      </c>
      <c r="J56" s="10" t="str">
        <f ca="1">IFERROR(__xludf.DUMMYFUNCTION("VLOOKUP(I56, IMPORTRANGE(""https://docs.google.com/spreadsheets/d/1yDAaXNsi4Mr5FtRQL4tbmSdIzhx6_m4wkOD7IG-k_eo/edit#gid=0"", ""Maths!M:N""), 2, FALSE)"),"Define and list examples of twin prime numbers.")</f>
        <v>Define and list examples of twin prime numbers.</v>
      </c>
      <c r="K56" s="10" t="str">
        <f t="shared" si="1"/>
        <v>LU000213.002</v>
      </c>
      <c r="L56" s="10" t="str">
        <f ca="1">IFERROR(__xludf.DUMMYFUNCTION("VLOOKUP(K56, IMPORTRANGE(""https://docs.google.com/spreadsheets/d/1yDAaXNsi4Mr5FtRQL4tbmSdIzhx6_m4wkOD7IG-k_eo/edit#gid=0"", ""Maths!M:N""), 2, FALSE)"),"Interpret the concept of twin prime numbers and explain their characteristics")</f>
        <v>Interpret the concept of twin prime numbers and explain their characteristics</v>
      </c>
      <c r="M56" s="10" t="str">
        <f t="shared" si="2"/>
        <v>LU000213.003</v>
      </c>
      <c r="N56" s="10" t="str">
        <f ca="1">IFERROR(__xludf.DUMMYFUNCTION("VLOOKUP(M56, IMPORTRANGE(""https://docs.google.com/spreadsheets/d/1yDAaXNsi4Mr5FtRQL4tbmSdIzhx6_m4wkOD7IG-k_eo/edit#gid=0"", ""Maths!M:N""), 2, FALSE)"),"Apply the concept of twin prime numbers to identify and list pairs of twin primes within a specified range")</f>
        <v>Apply the concept of twin prime numbers to identify and list pairs of twin primes within a specified range</v>
      </c>
      <c r="O56" s="10" t="str">
        <f t="shared" si="3"/>
        <v>LU000213.004</v>
      </c>
      <c r="P56" s="10" t="str">
        <f ca="1">IFERROR(__xludf.DUMMYFUNCTION("VLOOKUP(O56, IMPORTRANGE(""https://docs.google.com/spreadsheets/d/1yDAaXNsi4Mr5FtRQL4tbmSdIzhx6_m4wkOD7IG-k_eo/edit#gid=0"", ""Maths!M:N""), 2, FALSE)"),"Analyse the properties of twin prime numbers and explore their occurrence and patterns in the sequence of prime numbers.")</f>
        <v>Analyse the properties of twin prime numbers and explore their occurrence and patterns in the sequence of prime numbers.</v>
      </c>
      <c r="Q56" s="10" t="str">
        <f t="shared" si="4"/>
        <v>LU000213.005</v>
      </c>
      <c r="R56" s="10" t="str">
        <f ca="1">IFERROR(__xludf.DUMMYFUNCTION("VLOOKUP(Q56, IMPORTRANGE(""https://docs.google.com/spreadsheets/d/1yDAaXNsi4Mr5FtRQL4tbmSdIzhx6_m4wkOD7IG-k_eo/edit#gid=0"", ""Maths!M:N""), 2, FALSE)"),"Assess the relationship between twin prime numbers and the distribution of prime numbers.")</f>
        <v>Assess the relationship between twin prime numbers and the distribution of prime numbers.</v>
      </c>
      <c r="S56" s="10" t="str">
        <f t="shared" si="5"/>
        <v>LU000213.006</v>
      </c>
      <c r="T56" s="10" t="str">
        <f ca="1">IFERROR(__xludf.DUMMYFUNCTION("VLOOKUP(S56, IMPORTRANGE(""https://docs.google.com/spreadsheets/d/1yDAaXNsi4Mr5FtRQL4tbmSdIzhx6_m4wkOD7IG-k_eo/edit#gid=0"", ""Maths!M:N""), 2, FALSE)"),"Create a list of numbers and task peers with identifying twin prime pairs, showcasing their ability to spot prime pairs with a fixed difference")</f>
        <v>Create a list of numbers and task peers with identifying twin prime pairs, showcasing their ability to spot prime pairs with a fixed difference</v>
      </c>
      <c r="U56" s="11">
        <f ca="1">IFERROR(__xludf.DUMMYFUNCTION("ArrayFormula(VLOOKUP(G56, IMPORTRANGE(""https://docs.google.com/spreadsheets/d/1p7R4vtkWt5VOBim4ltsDG9KTzSjrtKXsMtQGXPHyND0/edit#gid=795171502"", ""'Filter 30_05_2024'!A1:M2000""), {2, 3, 4, 5,6,7,8,9,10,11,12,13}, 0))"),5)</f>
        <v>5</v>
      </c>
      <c r="V56" s="11">
        <f ca="1">IFERROR(__xludf.DUMMYFUNCTION("""COMPUTED_VALUE"""),6)</f>
        <v>6</v>
      </c>
      <c r="W56" s="11">
        <f ca="1">IFERROR(__xludf.DUMMYFUNCTION("""COMPUTED_VALUE"""),2)</f>
        <v>2</v>
      </c>
      <c r="X56" s="11">
        <f ca="1">IFERROR(__xludf.DUMMYFUNCTION("""COMPUTED_VALUE"""),13)</f>
        <v>13</v>
      </c>
      <c r="Y56" s="11">
        <f ca="1">IFERROR(__xludf.DUMMYFUNCTION("""COMPUTED_VALUE"""),4)</f>
        <v>4</v>
      </c>
      <c r="Z56" s="12">
        <f ca="1">IFERROR(__xludf.DUMMYFUNCTION("""COMPUTED_VALUE"""),3)</f>
        <v>3</v>
      </c>
      <c r="AA56" s="12">
        <f ca="1">IFERROR(__xludf.DUMMYFUNCTION("""COMPUTED_VALUE"""),1)</f>
        <v>1</v>
      </c>
      <c r="AB56" s="12">
        <f ca="1">IFERROR(__xludf.DUMMYFUNCTION("""COMPUTED_VALUE"""),8)</f>
        <v>8</v>
      </c>
      <c r="AC56" s="11"/>
      <c r="AD56" s="12"/>
      <c r="AE56" s="12"/>
      <c r="AF56" s="12"/>
      <c r="AG56" s="13" t="str">
        <f ca="1">IFERROR(__xludf.DUMMYFUNCTION("ArrayFormula(VLOOKUP(G56, IMPORTRANGE(""https://docs.google.com/spreadsheets/d/1Co934fvtviyaRiMsrIlT05Jaq7iiYq07aLvRr35KA48/edit?gid=173865642#gid=173865642"", ""'G6_Maths GP_Pri_LU'!G2:V2000""), {3, 4, 5, 6, 7, 8, 9, 10, 11, 12, 13, 14, 15, 16}, 0))"),"LU000195")</f>
        <v>LU000195</v>
      </c>
      <c r="AH56" s="13" t="str">
        <f ca="1">IFERROR(__xludf.DUMMYFUNCTION("""COMPUTED_VALUE"""),"Prime number")</f>
        <v>Prime number</v>
      </c>
      <c r="AI56" s="13" t="str">
        <f ca="1">IFERROR(__xludf.DUMMYFUNCTION("""COMPUTED_VALUE"""),"LU000192")</f>
        <v>LU000192</v>
      </c>
      <c r="AJ56" s="13" t="str">
        <f ca="1">IFERROR(__xludf.DUMMYFUNCTION("""COMPUTED_VALUE"""),"Factor of number")</f>
        <v>Factor of number</v>
      </c>
      <c r="AK56" s="13"/>
      <c r="AL56" s="13"/>
      <c r="AM56" s="13"/>
      <c r="AN56" s="13"/>
      <c r="AO56" s="13"/>
      <c r="AP56" s="13"/>
      <c r="AQ56" s="13"/>
      <c r="AR56" s="13"/>
      <c r="AS56" s="13"/>
      <c r="AT56" s="13"/>
    </row>
    <row r="57" spans="1:46" ht="40.200000000000003">
      <c r="A57" s="8" t="s">
        <v>46</v>
      </c>
      <c r="B57" s="8" t="s">
        <v>47</v>
      </c>
      <c r="C57" s="8" t="s">
        <v>48</v>
      </c>
      <c r="D57" s="8" t="s">
        <v>49</v>
      </c>
      <c r="E57" s="8" t="s">
        <v>126</v>
      </c>
      <c r="F57" s="8" t="s">
        <v>137</v>
      </c>
      <c r="G57" s="16" t="s">
        <v>139</v>
      </c>
      <c r="H57" s="8" t="str">
        <f ca="1">IFERROR(__xludf.DUMMYFUNCTION("VLOOKUP(G57, IMPORTRANGE(""https://docs.google.com/spreadsheets/d/14deopnvwcrKtEGCKuYXdUHJbeLDZlkiSSWWT0g7x2pM/edit#gid=999382323"", ""LU List Maths (Filter)!A:B""), 2, FALSE)"),"Co-prime numbers")</f>
        <v>Co-prime numbers</v>
      </c>
      <c r="I57" s="10" t="str">
        <f t="shared" si="0"/>
        <v>LU000209.001</v>
      </c>
      <c r="J57" s="10" t="str">
        <f ca="1">IFERROR(__xludf.DUMMYFUNCTION("VLOOKUP(I57, IMPORTRANGE(""https://docs.google.com/spreadsheets/d/1yDAaXNsi4Mr5FtRQL4tbmSdIzhx6_m4wkOD7IG-k_eo/edit#gid=0"", ""Maths!M:N""), 2, FALSE)"),"Define and list examples of co-prime numbers.")</f>
        <v>Define and list examples of co-prime numbers.</v>
      </c>
      <c r="K57" s="10" t="str">
        <f t="shared" si="1"/>
        <v>LU000209.002</v>
      </c>
      <c r="L57" s="10" t="str">
        <f ca="1">IFERROR(__xludf.DUMMYFUNCTION("VLOOKUP(K57, IMPORTRANGE(""https://docs.google.com/spreadsheets/d/1yDAaXNsi4Mr5FtRQL4tbmSdIzhx6_m4wkOD7IG-k_eo/edit#gid=0"", ""Maths!M:N""), 2, FALSE)"),"Explain the concept of co-prime numbers, recognising that they have no common factors other than 1")</f>
        <v>Explain the concept of co-prime numbers, recognising that they have no common factors other than 1</v>
      </c>
      <c r="M57" s="10" t="str">
        <f t="shared" si="2"/>
        <v>LU000209.003</v>
      </c>
      <c r="N57" s="10" t="str">
        <f ca="1">IFERROR(__xludf.DUMMYFUNCTION("VLOOKUP(M57, IMPORTRANGE(""https://docs.google.com/spreadsheets/d/1yDAaXNsi4Mr5FtRQL4tbmSdIzhx6_m4wkOD7IG-k_eo/edit#gid=0"", ""Maths!M:N""), 2, FALSE)"),"Apply the concept of co-prime numbers to identify pairs of numbers that have a highest common factor of 1.")</f>
        <v>Apply the concept of co-prime numbers to identify pairs of numbers that have a highest common factor of 1.</v>
      </c>
      <c r="O57" s="10" t="str">
        <f t="shared" si="3"/>
        <v>LU000209.004</v>
      </c>
      <c r="P57" s="10" t="str">
        <f ca="1">IFERROR(__xludf.DUMMYFUNCTION("VLOOKUP(O57, IMPORTRANGE(""https://docs.google.com/spreadsheets/d/1yDAaXNsi4Mr5FtRQL4tbmSdIzhx6_m4wkOD7IG-k_eo/edit#gid=0"", ""Maths!M:N""), 2, FALSE)"),"Analyse the factors of numbers to determine whether they are co-prime or not.")</f>
        <v>Analyse the factors of numbers to determine whether they are co-prime or not.</v>
      </c>
      <c r="Q57" s="10" t="str">
        <f t="shared" si="4"/>
        <v>LU000209.005</v>
      </c>
      <c r="R57" s="10" t="str">
        <f ca="1">IFERROR(__xludf.DUMMYFUNCTION("VLOOKUP(Q57, IMPORTRANGE(""https://docs.google.com/spreadsheets/d/1yDAaXNsi4Mr5FtRQL4tbmSdIzhx6_m4wkOD7IG-k_eo/edit#gid=0"", ""Maths!M:N""), 2, FALSE)"),"Evaluate the significance of co-prime numbers in various mathematical contexts, such as simplifying fractions.")</f>
        <v>Evaluate the significance of co-prime numbers in various mathematical contexts, such as simplifying fractions.</v>
      </c>
      <c r="S57" s="10" t="str">
        <f t="shared" si="5"/>
        <v>LU000209.006</v>
      </c>
      <c r="T57" s="10" t="str">
        <f ca="1">IFERROR(__xludf.DUMMYFUNCTION("VLOOKUP(S57, IMPORTRANGE(""https://docs.google.com/spreadsheets/d/1yDAaXNsi4Mr5FtRQL4tbmSdIzhx6_m4wkOD7IG-k_eo/edit#gid=0"", ""Maths!M:N""), 2, FALSE)"),"Create situations where co-prime numbers are used.")</f>
        <v>Create situations where co-prime numbers are used.</v>
      </c>
      <c r="U57" s="11">
        <f ca="1">IFERROR(__xludf.DUMMYFUNCTION("ArrayFormula(VLOOKUP(G57, IMPORTRANGE(""https://docs.google.com/spreadsheets/d/1p7R4vtkWt5VOBim4ltsDG9KTzSjrtKXsMtQGXPHyND0/edit#gid=795171502"", ""'Filter 30_05_2024'!A1:M2000""), {2, 3, 4, 5,6,7,8,9,10,11,12,13}, 0))"),6)</f>
        <v>6</v>
      </c>
      <c r="V57" s="11">
        <f ca="1">IFERROR(__xludf.DUMMYFUNCTION("""COMPUTED_VALUE"""),8)</f>
        <v>8</v>
      </c>
      <c r="W57" s="11">
        <f ca="1">IFERROR(__xludf.DUMMYFUNCTION("""COMPUTED_VALUE"""),2)</f>
        <v>2</v>
      </c>
      <c r="X57" s="11">
        <f ca="1">IFERROR(__xludf.DUMMYFUNCTION("""COMPUTED_VALUE"""),16)</f>
        <v>16</v>
      </c>
      <c r="Y57" s="11">
        <f ca="1">IFERROR(__xludf.DUMMYFUNCTION("""COMPUTED_VALUE"""),4)</f>
        <v>4</v>
      </c>
      <c r="Z57" s="12">
        <f ca="1">IFERROR(__xludf.DUMMYFUNCTION("""COMPUTED_VALUE"""),4)</f>
        <v>4</v>
      </c>
      <c r="AA57" s="12">
        <f ca="1">IFERROR(__xludf.DUMMYFUNCTION("""COMPUTED_VALUE"""),1)</f>
        <v>1</v>
      </c>
      <c r="AB57" s="12">
        <f ca="1">IFERROR(__xludf.DUMMYFUNCTION("""COMPUTED_VALUE"""),9)</f>
        <v>9</v>
      </c>
      <c r="AC57" s="11"/>
      <c r="AD57" s="12">
        <f ca="1">IFERROR(__xludf.DUMMYFUNCTION("""COMPUTED_VALUE"""),1)</f>
        <v>1</v>
      </c>
      <c r="AE57" s="12"/>
      <c r="AF57" s="12">
        <f ca="1">IFERROR(__xludf.DUMMYFUNCTION("""COMPUTED_VALUE"""),1)</f>
        <v>1</v>
      </c>
      <c r="AG57" s="13" t="str">
        <f ca="1">IFERROR(__xludf.DUMMYFUNCTION("ArrayFormula(VLOOKUP(G57, IMPORTRANGE(""https://docs.google.com/spreadsheets/d/1Co934fvtviyaRiMsrIlT05Jaq7iiYq07aLvRr35KA48/edit?gid=173865642#gid=173865642"", ""'G6_Maths GP_Pri_LU'!G2:V2000""), {3, 4, 5, 6, 7, 8, 9, 10, 11, 12, 13, 14, 15, 16}, 0))"),"LU000060")</f>
        <v>LU000060</v>
      </c>
      <c r="AH57" s="13" t="str">
        <f ca="1">IFERROR(__xludf.DUMMYFUNCTION("""COMPUTED_VALUE"""),"Common factors of numbers")</f>
        <v>Common factors of numbers</v>
      </c>
      <c r="AI57" s="13" t="str">
        <f ca="1">IFERROR(__xludf.DUMMYFUNCTION("""COMPUTED_VALUE"""),"LU000192")</f>
        <v>LU000192</v>
      </c>
      <c r="AJ57" s="13" t="str">
        <f ca="1">IFERROR(__xludf.DUMMYFUNCTION("""COMPUTED_VALUE"""),"Factor of number")</f>
        <v>Factor of number</v>
      </c>
      <c r="AK57" s="13" t="str">
        <f ca="1">IFERROR(__xludf.DUMMYFUNCTION("""COMPUTED_VALUE"""),"LU000059")</f>
        <v>LU000059</v>
      </c>
      <c r="AL57" s="13" t="str">
        <f ca="1">IFERROR(__xludf.DUMMYFUNCTION("""COMPUTED_VALUE"""),"Factors using factor tree")</f>
        <v>Factors using factor tree</v>
      </c>
      <c r="AM57" s="13" t="str">
        <f ca="1">IFERROR(__xludf.DUMMYFUNCTION("""COMPUTED_VALUE"""),"LU000118")</f>
        <v>LU000118</v>
      </c>
      <c r="AN57" s="13" t="str">
        <f ca="1">IFERROR(__xludf.DUMMYFUNCTION("""COMPUTED_VALUE"""),"Multiplication of five-digit numbers by one-digit/two-digit/three-digit/four-digit/five-digit numbers")</f>
        <v>Multiplication of five-digit numbers by one-digit/two-digit/three-digit/four-digit/five-digit numbers</v>
      </c>
      <c r="AO57" s="13"/>
      <c r="AP57" s="13"/>
      <c r="AQ57" s="13"/>
      <c r="AR57" s="13"/>
      <c r="AS57" s="13"/>
      <c r="AT57" s="13"/>
    </row>
    <row r="58" spans="1:46" ht="40.200000000000003">
      <c r="A58" s="8" t="s">
        <v>46</v>
      </c>
      <c r="B58" s="8" t="s">
        <v>47</v>
      </c>
      <c r="C58" s="8" t="s">
        <v>48</v>
      </c>
      <c r="D58" s="8" t="s">
        <v>49</v>
      </c>
      <c r="E58" s="8" t="s">
        <v>126</v>
      </c>
      <c r="F58" s="8" t="s">
        <v>140</v>
      </c>
      <c r="G58" s="16" t="s">
        <v>141</v>
      </c>
      <c r="H58" s="8" t="str">
        <f ca="1">IFERROR(__xludf.DUMMYFUNCTION("VLOOKUP(G58, IMPORTRANGE(""https://docs.google.com/spreadsheets/d/14deopnvwcrKtEGCKuYXdUHJbeLDZlkiSSWWT0g7x2pM/edit#gid=999382323"", ""LU List Maths (Filter)!A:B""), 2, FALSE)"),"Methods of prime factorisation")</f>
        <v>Methods of prime factorisation</v>
      </c>
      <c r="I58" s="10" t="str">
        <f t="shared" si="0"/>
        <v>LU000210.001</v>
      </c>
      <c r="J58" s="10" t="str">
        <f ca="1">IFERROR(__xludf.DUMMYFUNCTION("VLOOKUP(I58, IMPORTRANGE(""https://docs.google.com/spreadsheets/d/1yDAaXNsi4Mr5FtRQL4tbmSdIzhx6_m4wkOD7IG-k_eo/edit#gid=0"", ""Maths!M:N""), 2, FALSE)"),"List the steps of prime factorisation.")</f>
        <v>List the steps of prime factorisation.</v>
      </c>
      <c r="K58" s="10" t="str">
        <f t="shared" si="1"/>
        <v>LU000210.002</v>
      </c>
      <c r="L58" s="10" t="str">
        <f ca="1">IFERROR(__xludf.DUMMYFUNCTION("VLOOKUP(K58, IMPORTRANGE(""https://docs.google.com/spreadsheets/d/1yDAaXNsi4Mr5FtRQL4tbmSdIzhx6_m4wkOD7IG-k_eo/edit#gid=0"", ""Maths!M:N""), 2, FALSE)"),"Describe the various methods (like factor tree method, division method, repeated division) of prime factorisation.")</f>
        <v>Describe the various methods (like factor tree method, division method, repeated division) of prime factorisation.</v>
      </c>
      <c r="M58" s="10" t="str">
        <f t="shared" si="2"/>
        <v>LU000210.003</v>
      </c>
      <c r="N58" s="10" t="str">
        <f ca="1">IFERROR(__xludf.DUMMYFUNCTION("VLOOKUP(M58, IMPORTRANGE(""https://docs.google.com/spreadsheets/d/1yDAaXNsi4Mr5FtRQL4tbmSdIzhx6_m4wkOD7IG-k_eo/edit#gid=0"", ""Maths!M:N""), 2, FALSE)"),"Apply the method of prime factorisation to factorize given numbers into their prime factors.")</f>
        <v>Apply the method of prime factorisation to factorize given numbers into their prime factors.</v>
      </c>
      <c r="O58" s="10" t="str">
        <f t="shared" si="3"/>
        <v>LU000210.004</v>
      </c>
      <c r="P58" s="10" t="str">
        <f ca="1">IFERROR(__xludf.DUMMYFUNCTION("VLOOKUP(O58, IMPORTRANGE(""https://docs.google.com/spreadsheets/d/1yDAaXNsi4Mr5FtRQL4tbmSdIzhx6_m4wkOD7IG-k_eo/edit#gid=0"", ""Maths!M:N""), 2, FALSE)"),"Analyse the efficiency and steps involved in each prime factorisation method, comparing their advantages and limitations.")</f>
        <v>Analyse the efficiency and steps involved in each prime factorisation method, comparing their advantages and limitations.</v>
      </c>
      <c r="Q58" s="10" t="str">
        <f t="shared" si="4"/>
        <v>LU000210.005</v>
      </c>
      <c r="R58" s="10" t="str">
        <f ca="1">IFERROR(__xludf.DUMMYFUNCTION("VLOOKUP(Q58, IMPORTRANGE(""https://docs.google.com/spreadsheets/d/1yDAaXNsi4Mr5FtRQL4tbmSdIzhx6_m4wkOD7IG-k_eo/edit#gid=0"", ""Maths!M:N""), 2, FALSE)"),"Evaluate the effectiveness of prime factorisation methods in terms of accuracy, speed, and ease of use.")</f>
        <v>Evaluate the effectiveness of prime factorisation methods in terms of accuracy, speed, and ease of use.</v>
      </c>
      <c r="S58" s="10" t="str">
        <f t="shared" si="5"/>
        <v>LU000210.006</v>
      </c>
      <c r="T58" s="10" t="str">
        <f ca="1">IFERROR(__xludf.DUMMYFUNCTION("VLOOKUP(S58, IMPORTRANGE(""https://docs.google.com/spreadsheets/d/1yDAaXNsi4Mr5FtRQL4tbmSdIzhx6_m4wkOD7IG-k_eo/edit#gid=0"", ""Maths!M:N""), 2, FALSE)"),"Devise real-world problems or puzzles that require prime factorisation.")</f>
        <v>Devise real-world problems or puzzles that require prime factorisation.</v>
      </c>
      <c r="U58" s="11">
        <f ca="1">IFERROR(__xludf.DUMMYFUNCTION("ArrayFormula(VLOOKUP(G58, IMPORTRANGE(""https://docs.google.com/spreadsheets/d/1p7R4vtkWt5VOBim4ltsDG9KTzSjrtKXsMtQGXPHyND0/edit#gid=795171502"", ""'Filter 30_05_2024'!A1:M2000""), {2, 3, 4, 5,6,7,8,9,10,11,12,13}, 0))"),14)</f>
        <v>14</v>
      </c>
      <c r="V58" s="11">
        <f ca="1">IFERROR(__xludf.DUMMYFUNCTION("""COMPUTED_VALUE"""),9)</f>
        <v>9</v>
      </c>
      <c r="W58" s="11">
        <f ca="1">IFERROR(__xludf.DUMMYFUNCTION("""COMPUTED_VALUE"""),2)</f>
        <v>2</v>
      </c>
      <c r="X58" s="11">
        <f ca="1">IFERROR(__xludf.DUMMYFUNCTION("""COMPUTED_VALUE"""),25)</f>
        <v>25</v>
      </c>
      <c r="Y58" s="11">
        <f ca="1">IFERROR(__xludf.DUMMYFUNCTION("""COMPUTED_VALUE"""),8)</f>
        <v>8</v>
      </c>
      <c r="Z58" s="12">
        <f ca="1">IFERROR(__xludf.DUMMYFUNCTION("""COMPUTED_VALUE"""),6)</f>
        <v>6</v>
      </c>
      <c r="AA58" s="12">
        <f ca="1">IFERROR(__xludf.DUMMYFUNCTION("""COMPUTED_VALUE"""),1)</f>
        <v>1</v>
      </c>
      <c r="AB58" s="12">
        <f ca="1">IFERROR(__xludf.DUMMYFUNCTION("""COMPUTED_VALUE"""),15)</f>
        <v>15</v>
      </c>
      <c r="AC58" s="11"/>
      <c r="AD58" s="12"/>
      <c r="AE58" s="12"/>
      <c r="AF58" s="12"/>
      <c r="AG58" s="13" t="str">
        <f ca="1">IFERROR(__xludf.DUMMYFUNCTION("ArrayFormula(VLOOKUP(G58, IMPORTRANGE(""https://docs.google.com/spreadsheets/d/1Co934fvtviyaRiMsrIlT05Jaq7iiYq07aLvRr35KA48/edit?gid=173865642#gid=173865642"", ""'G6_Maths GP_Pri_LU'!G2:V2000""), {3, 4, 5, 6, 7, 8, 9, 10, 11, 12, 13, 14, 15, 16}, 0))"),"LU000060")</f>
        <v>LU000060</v>
      </c>
      <c r="AH58" s="13" t="str">
        <f ca="1">IFERROR(__xludf.DUMMYFUNCTION("""COMPUTED_VALUE"""),"Common factors of numbers")</f>
        <v>Common factors of numbers</v>
      </c>
      <c r="AI58" s="13" t="str">
        <f ca="1">IFERROR(__xludf.DUMMYFUNCTION("""COMPUTED_VALUE"""),"LU000195")</f>
        <v>LU000195</v>
      </c>
      <c r="AJ58" s="13" t="str">
        <f ca="1">IFERROR(__xludf.DUMMYFUNCTION("""COMPUTED_VALUE"""),"Prime number")</f>
        <v>Prime number</v>
      </c>
      <c r="AK58" s="13" t="str">
        <f ca="1">IFERROR(__xludf.DUMMYFUNCTION("""COMPUTED_VALUE"""),"LU000192")</f>
        <v>LU000192</v>
      </c>
      <c r="AL58" s="13" t="str">
        <f ca="1">IFERROR(__xludf.DUMMYFUNCTION("""COMPUTED_VALUE"""),"Factor of number")</f>
        <v>Factor of number</v>
      </c>
      <c r="AM58" s="13"/>
      <c r="AN58" s="13"/>
      <c r="AO58" s="13"/>
      <c r="AP58" s="13"/>
      <c r="AQ58" s="13"/>
      <c r="AR58" s="13"/>
      <c r="AS58" s="13"/>
      <c r="AT58" s="13"/>
    </row>
    <row r="59" spans="1:46" ht="27">
      <c r="A59" s="8" t="s">
        <v>46</v>
      </c>
      <c r="B59" s="8" t="s">
        <v>47</v>
      </c>
      <c r="C59" s="8" t="s">
        <v>48</v>
      </c>
      <c r="D59" s="8" t="s">
        <v>49</v>
      </c>
      <c r="E59" s="8" t="s">
        <v>126</v>
      </c>
      <c r="F59" s="8" t="s">
        <v>140</v>
      </c>
      <c r="G59" s="19" t="s">
        <v>142</v>
      </c>
      <c r="H59" s="8" t="str">
        <f ca="1">IFERROR(__xludf.DUMMYFUNCTION("VLOOKUP(G59, IMPORTRANGE(""https://docs.google.com/spreadsheets/d/14deopnvwcrKtEGCKuYXdUHJbeLDZlkiSSWWT0g7x2pM/edit#gid=999382323"", ""LU List Maths (Filter)!A:B""), 2, FALSE)"),"Prime factorisation to check if two numbers are co-prime")</f>
        <v>Prime factorisation to check if two numbers are co-prime</v>
      </c>
      <c r="I59" s="10" t="str">
        <f t="shared" si="0"/>
        <v>LU001354.001</v>
      </c>
      <c r="J59" s="10" t="str">
        <f ca="1">IFERROR(__xludf.DUMMYFUNCTION("VLOOKUP(I59, IMPORTRANGE(""https://docs.google.com/spreadsheets/d/1yDAaXNsi4Mr5FtRQL4tbmSdIzhx6_m4wkOD7IG-k_eo/edit#gid=0"", ""Maths!M:N""), 2, FALSE)"),"Define prime factorization and co-prime numbers.")</f>
        <v>Define prime factorization and co-prime numbers.</v>
      </c>
      <c r="K59" s="10" t="str">
        <f t="shared" si="1"/>
        <v>LU001354.002</v>
      </c>
      <c r="L59" s="10" t="str">
        <f ca="1">IFERROR(__xludf.DUMMYFUNCTION("VLOOKUP(K59, IMPORTRANGE(""https://docs.google.com/spreadsheets/d/1yDAaXNsi4Mr5FtRQL4tbmSdIzhx6_m4wkOD7IG-k_eo/edit#gid=0"", ""Maths!M:N""), 2, FALSE)"),"Explain how prime factorization can be used to determine if two numbers are co-prime.")</f>
        <v>Explain how prime factorization can be used to determine if two numbers are co-prime.</v>
      </c>
      <c r="M59" s="10" t="str">
        <f t="shared" si="2"/>
        <v>LU001354.003</v>
      </c>
      <c r="N59" s="10" t="str">
        <f ca="1">IFERROR(__xludf.DUMMYFUNCTION("VLOOKUP(M59, IMPORTRANGE(""https://docs.google.com/spreadsheets/d/1yDAaXNsi4Mr5FtRQL4tbmSdIzhx6_m4wkOD7IG-k_eo/edit#gid=0"", ""Maths!M:N""), 2, FALSE)"),"Perform prime factorization on given pairs of numbers to identify if they are co-prime.")</f>
        <v>Perform prime factorization on given pairs of numbers to identify if they are co-prime.</v>
      </c>
      <c r="O59" s="10" t="str">
        <f t="shared" si="3"/>
        <v>LU001354.004</v>
      </c>
      <c r="P59" s="10" t="str">
        <f ca="1">IFERROR(__xludf.DUMMYFUNCTION("VLOOKUP(O59, IMPORTRANGE(""https://docs.google.com/spreadsheets/d/1yDAaXNsi4Mr5FtRQL4tbmSdIzhx6_m4wkOD7IG-k_eo/edit#gid=0"", ""Maths!M:N""), 2, FALSE)"),"Analyze the prime factors of two numbers to assess their co-primality.")</f>
        <v>Analyze the prime factors of two numbers to assess their co-primality.</v>
      </c>
      <c r="Q59" s="10" t="str">
        <f t="shared" si="4"/>
        <v>LU001354.005</v>
      </c>
      <c r="R59" s="10" t="str">
        <f ca="1">IFERROR(__xludf.DUMMYFUNCTION("VLOOKUP(Q59, IMPORTRANGE(""https://docs.google.com/spreadsheets/d/1yDAaXNsi4Mr5FtRQL4tbmSdIzhx6_m4wkOD7IG-k_eo/edit#gid=0"", ""Maths!M:N""), 2, FALSE)"),"Evaluate the effectiveness of using prime factorization to check for co-prime numbers.")</f>
        <v>Evaluate the effectiveness of using prime factorization to check for co-prime numbers.</v>
      </c>
      <c r="S59" s="10" t="str">
        <f t="shared" si="5"/>
        <v>LU001354.006</v>
      </c>
      <c r="T59" s="10" t="str">
        <f ca="1">IFERROR(__xludf.DUMMYFUNCTION("VLOOKUP(S59, IMPORTRANGE(""https://docs.google.com/spreadsheets/d/1yDAaXNsi4Mr5FtRQL4tbmSdIzhx6_m4wkOD7IG-k_eo/edit#gid=0"", ""Maths!M:N""), 2, FALSE)"),"Create your own examples of co-prime numbers using prime factorization.")</f>
        <v>Create your own examples of co-prime numbers using prime factorization.</v>
      </c>
      <c r="U59" s="11">
        <f ca="1">IFERROR(__xludf.DUMMYFUNCTION("ArrayFormula(VLOOKUP(G59, IMPORTRANGE(""https://docs.google.com/spreadsheets/d/1p7R4vtkWt5VOBim4ltsDG9KTzSjrtKXsMtQGXPHyND0/edit#gid=795171502"", ""'Filter 30_05_2024'!A1:M2000""), {2, 3, 4, 5,6,7,8,9,10,11,12,13}, 0))"),2)</f>
        <v>2</v>
      </c>
      <c r="V59" s="11">
        <f ca="1">IFERROR(__xludf.DUMMYFUNCTION("""COMPUTED_VALUE"""),6)</f>
        <v>6</v>
      </c>
      <c r="W59" s="11">
        <f ca="1">IFERROR(__xludf.DUMMYFUNCTION("""COMPUTED_VALUE"""),2)</f>
        <v>2</v>
      </c>
      <c r="X59" s="11">
        <f ca="1">IFERROR(__xludf.DUMMYFUNCTION("""COMPUTED_VALUE"""),10)</f>
        <v>10</v>
      </c>
      <c r="Y59" s="11">
        <f ca="1">IFERROR(__xludf.DUMMYFUNCTION("""COMPUTED_VALUE"""),6)</f>
        <v>6</v>
      </c>
      <c r="Z59" s="12">
        <f ca="1">IFERROR(__xludf.DUMMYFUNCTION("""COMPUTED_VALUE"""),3)</f>
        <v>3</v>
      </c>
      <c r="AA59" s="12">
        <f ca="1">IFERROR(__xludf.DUMMYFUNCTION("""COMPUTED_VALUE"""),1)</f>
        <v>1</v>
      </c>
      <c r="AB59" s="12">
        <f ca="1">IFERROR(__xludf.DUMMYFUNCTION("""COMPUTED_VALUE"""),10)</f>
        <v>10</v>
      </c>
      <c r="AC59" s="11"/>
      <c r="AD59" s="12"/>
      <c r="AE59" s="12"/>
      <c r="AF59" s="12"/>
      <c r="AG59" s="13" t="str">
        <f ca="1">IFERROR(__xludf.DUMMYFUNCTION("ArrayFormula(VLOOKUP(G59, IMPORTRANGE(""https://docs.google.com/spreadsheets/d/1Co934fvtviyaRiMsrIlT05Jaq7iiYq07aLvRr35KA48/edit?gid=173865642#gid=173865642"", ""'G6_Maths GP_Pri_LU'!G2:V2000""), {3, 4, 5, 6, 7, 8, 9, 10, 11, 12, 13, 14, 15, 16}, 0))"),"LU000210")</f>
        <v>LU000210</v>
      </c>
      <c r="AH59" s="13" t="str">
        <f ca="1">IFERROR(__xludf.DUMMYFUNCTION("""COMPUTED_VALUE"""),"Methods of prime factorisation")</f>
        <v>Methods of prime factorisation</v>
      </c>
      <c r="AI59" s="13" t="str">
        <f ca="1">IFERROR(__xludf.DUMMYFUNCTION("""COMPUTED_VALUE"""),"LU000209")</f>
        <v>LU000209</v>
      </c>
      <c r="AJ59" s="13" t="str">
        <f ca="1">IFERROR(__xludf.DUMMYFUNCTION("""COMPUTED_VALUE"""),"Co-prime numbers")</f>
        <v>Co-prime numbers</v>
      </c>
      <c r="AK59" s="13"/>
      <c r="AL59" s="13"/>
      <c r="AM59" s="13"/>
      <c r="AN59" s="13"/>
      <c r="AO59" s="13"/>
      <c r="AP59" s="13"/>
      <c r="AQ59" s="13"/>
      <c r="AR59" s="13"/>
      <c r="AS59" s="13"/>
      <c r="AT59" s="13"/>
    </row>
    <row r="60" spans="1:46" ht="40.200000000000003">
      <c r="A60" s="8" t="s">
        <v>46</v>
      </c>
      <c r="B60" s="8" t="s">
        <v>47</v>
      </c>
      <c r="C60" s="8" t="s">
        <v>48</v>
      </c>
      <c r="D60" s="8" t="s">
        <v>49</v>
      </c>
      <c r="E60" s="8" t="s">
        <v>126</v>
      </c>
      <c r="F60" s="8" t="s">
        <v>140</v>
      </c>
      <c r="G60" s="19" t="s">
        <v>143</v>
      </c>
      <c r="H60" s="8" t="str">
        <f ca="1">IFERROR(__xludf.DUMMYFUNCTION("VLOOKUP(G60, IMPORTRANGE(""https://docs.google.com/spreadsheets/d/14deopnvwcrKtEGCKuYXdUHJbeLDZlkiSSWWT0g7x2pM/edit#gid=999382323"", ""LU List Maths (Filter)!A:B""), 2, FALSE)"),"Prime factorisation to check if one number is divisible by another")</f>
        <v>Prime factorisation to check if one number is divisible by another</v>
      </c>
      <c r="I60" s="10" t="str">
        <f t="shared" si="0"/>
        <v>LU001355.001</v>
      </c>
      <c r="J60" s="10" t="str">
        <f ca="1">IFERROR(__xludf.DUMMYFUNCTION("VLOOKUP(I60, IMPORTRANGE(""https://docs.google.com/spreadsheets/d/1yDAaXNsi4Mr5FtRQL4tbmSdIzhx6_m4wkOD7IG-k_eo/edit#gid=0"", ""Maths!M:N""), 2, FALSE)"),"Define prime factorization and its role in determining divisibility between two numbers.")</f>
        <v>Define prime factorization and its role in determining divisibility between two numbers.</v>
      </c>
      <c r="K60" s="10" t="str">
        <f t="shared" si="1"/>
        <v>LU001355.002</v>
      </c>
      <c r="L60" s="10" t="str">
        <f ca="1">IFERROR(__xludf.DUMMYFUNCTION("VLOOKUP(K60, IMPORTRANGE(""https://docs.google.com/spreadsheets/d/1yDAaXNsi4Mr5FtRQL4tbmSdIzhx6_m4wkOD7IG-k_eo/edit#gid=0"", ""Maths!M:N""), 2, FALSE)"),"Explain how prime factors of a number can determine if it is divisible by another number.")</f>
        <v>Explain how prime factors of a number can determine if it is divisible by another number.</v>
      </c>
      <c r="M60" s="10" t="str">
        <f t="shared" si="2"/>
        <v>LU001355.003</v>
      </c>
      <c r="N60" s="10" t="str">
        <f ca="1">IFERROR(__xludf.DUMMYFUNCTION("VLOOKUP(M60, IMPORTRANGE(""https://docs.google.com/spreadsheets/d/1yDAaXNsi4Mr5FtRQL4tbmSdIzhx6_m4wkOD7IG-k_eo/edit#gid=0"", ""Maths!M:N""), 2, FALSE)"),"Apply prime factorization to check if a given number is divisible by another without using long division.")</f>
        <v>Apply prime factorization to check if a given number is divisible by another without using long division.</v>
      </c>
      <c r="O60" s="10" t="str">
        <f t="shared" si="3"/>
        <v>LU001355.004</v>
      </c>
      <c r="P60" s="10" t="str">
        <f ca="1">IFERROR(__xludf.DUMMYFUNCTION("VLOOKUP(O60, IMPORTRANGE(""https://docs.google.com/spreadsheets/d/1yDAaXNsi4Mr5FtRQL4tbmSdIzhx6_m4wkOD7IG-k_eo/edit#gid=0"", ""Maths!M:N""), 2, FALSE)"),"Analyze the prime factors of two numbers to determine their divisibility relationship.")</f>
        <v>Analyze the prime factors of two numbers to determine their divisibility relationship.</v>
      </c>
      <c r="Q60" s="10" t="str">
        <f t="shared" si="4"/>
        <v>LU001355.005</v>
      </c>
      <c r="R60" s="10" t="str">
        <f ca="1">IFERROR(__xludf.DUMMYFUNCTION("VLOOKUP(Q60, IMPORTRANGE(""https://docs.google.com/spreadsheets/d/1yDAaXNsi4Mr5FtRQL4tbmSdIzhx6_m4wkOD7IG-k_eo/edit#gid=0"", ""Maths!M:N""), 2, FALSE)"),"Evaluate different methods of checking divisibility to determine when prime factorization is most effective.")</f>
        <v>Evaluate different methods of checking divisibility to determine when prime factorization is most effective.</v>
      </c>
      <c r="S60" s="10" t="str">
        <f t="shared" si="5"/>
        <v>LU001355.006</v>
      </c>
      <c r="T60" s="10" t="str">
        <f ca="1">IFERROR(__xludf.DUMMYFUNCTION("VLOOKUP(S60, IMPORTRANGE(""https://docs.google.com/spreadsheets/d/1yDAaXNsi4Mr5FtRQL4tbmSdIzhx6_m4wkOD7IG-k_eo/edit#gid=0"", ""Maths!M:N""), 2, FALSE)"),"Create examples of numbers with specific divisibility properties based on their prime factors.")</f>
        <v>Create examples of numbers with specific divisibility properties based on their prime factors.</v>
      </c>
      <c r="U60" s="11">
        <f ca="1">IFERROR(__xludf.DUMMYFUNCTION("ArrayFormula(VLOOKUP(G60, IMPORTRANGE(""https://docs.google.com/spreadsheets/d/1p7R4vtkWt5VOBim4ltsDG9KTzSjrtKXsMtQGXPHyND0/edit#gid=795171502"", ""'Filter 30_05_2024'!A1:M2000""), {2, 3, 4, 5,6,7,8,9,10,11,12,13}, 0))"),4)</f>
        <v>4</v>
      </c>
      <c r="V60" s="11">
        <f ca="1">IFERROR(__xludf.DUMMYFUNCTION("""COMPUTED_VALUE"""),6)</f>
        <v>6</v>
      </c>
      <c r="W60" s="11">
        <f ca="1">IFERROR(__xludf.DUMMYFUNCTION("""COMPUTED_VALUE"""),2)</f>
        <v>2</v>
      </c>
      <c r="X60" s="11">
        <f ca="1">IFERROR(__xludf.DUMMYFUNCTION("""COMPUTED_VALUE"""),12)</f>
        <v>12</v>
      </c>
      <c r="Y60" s="11">
        <f ca="1">IFERROR(__xludf.DUMMYFUNCTION("""COMPUTED_VALUE"""),4)</f>
        <v>4</v>
      </c>
      <c r="Z60" s="12">
        <f ca="1">IFERROR(__xludf.DUMMYFUNCTION("""COMPUTED_VALUE"""),3)</f>
        <v>3</v>
      </c>
      <c r="AA60" s="12">
        <f ca="1">IFERROR(__xludf.DUMMYFUNCTION("""COMPUTED_VALUE"""),1)</f>
        <v>1</v>
      </c>
      <c r="AB60" s="12">
        <f ca="1">IFERROR(__xludf.DUMMYFUNCTION("""COMPUTED_VALUE"""),8)</f>
        <v>8</v>
      </c>
      <c r="AC60" s="11"/>
      <c r="AD60" s="12"/>
      <c r="AE60" s="12"/>
      <c r="AF60" s="12"/>
      <c r="AG60" s="13" t="str">
        <f ca="1">IFERROR(__xludf.DUMMYFUNCTION("ArrayFormula(VLOOKUP(G60, IMPORTRANGE(""https://docs.google.com/spreadsheets/d/1Co934fvtviyaRiMsrIlT05Jaq7iiYq07aLvRr35KA48/edit?gid=173865642#gid=173865642"", ""'G6_Maths GP_Pri_LU'!G2:V2000""), {3, 4, 5, 6, 7, 8, 9, 10, 11, 12, 13, 14, 15, 16}, 0))"),"LU000210")</f>
        <v>LU000210</v>
      </c>
      <c r="AH60" s="13" t="str">
        <f ca="1">IFERROR(__xludf.DUMMYFUNCTION("""COMPUTED_VALUE"""),"Methods of prime factorisation")</f>
        <v>Methods of prime factorisation</v>
      </c>
      <c r="AI60" s="13" t="str">
        <f ca="1">IFERROR(__xludf.DUMMYFUNCTION("""COMPUTED_VALUE"""),"LU000195")</f>
        <v>LU000195</v>
      </c>
      <c r="AJ60" s="13" t="str">
        <f ca="1">IFERROR(__xludf.DUMMYFUNCTION("""COMPUTED_VALUE"""),"Prime number")</f>
        <v>Prime number</v>
      </c>
      <c r="AK60" s="13" t="str">
        <f ca="1">IFERROR(__xludf.DUMMYFUNCTION("""COMPUTED_VALUE"""),"LU000060")</f>
        <v>LU000060</v>
      </c>
      <c r="AL60" s="13" t="str">
        <f ca="1">IFERROR(__xludf.DUMMYFUNCTION("""COMPUTED_VALUE"""),"Common factors of numbers")</f>
        <v>Common factors of numbers</v>
      </c>
      <c r="AM60" s="13"/>
      <c r="AN60" s="13"/>
      <c r="AO60" s="13"/>
      <c r="AP60" s="13"/>
      <c r="AQ60" s="13"/>
      <c r="AR60" s="13"/>
      <c r="AS60" s="13"/>
      <c r="AT60" s="13"/>
    </row>
    <row r="61" spans="1:46" ht="40.200000000000003">
      <c r="A61" s="8" t="s">
        <v>46</v>
      </c>
      <c r="B61" s="8" t="s">
        <v>47</v>
      </c>
      <c r="C61" s="8" t="s">
        <v>48</v>
      </c>
      <c r="D61" s="8" t="s">
        <v>49</v>
      </c>
      <c r="E61" s="8" t="s">
        <v>126</v>
      </c>
      <c r="F61" s="8" t="s">
        <v>144</v>
      </c>
      <c r="G61" s="16" t="s">
        <v>145</v>
      </c>
      <c r="H61" s="8" t="str">
        <f ca="1">IFERROR(__xludf.DUMMYFUNCTION("VLOOKUP(G61, IMPORTRANGE(""https://docs.google.com/spreadsheets/d/14deopnvwcrKtEGCKuYXdUHJbeLDZlkiSSWWT0g7x2pM/edit#gid=999382323"", ""LU List Maths (Filter)!A:B""), 2, FALSE)"),"Test for divisibility by 10")</f>
        <v>Test for divisibility by 10</v>
      </c>
      <c r="I61" s="10" t="str">
        <f t="shared" si="0"/>
        <v>LU000207.001</v>
      </c>
      <c r="J61" s="10" t="str">
        <f ca="1">IFERROR(__xludf.DUMMYFUNCTION("VLOOKUP(I61, IMPORTRANGE(""https://docs.google.com/spreadsheets/d/1yDAaXNsi4Mr5FtRQL4tbmSdIzhx6_m4wkOD7IG-k_eo/edit#gid=0"", ""Maths!M:N""), 2, FALSE)"),"List the rule of divisibility by 10.")</f>
        <v>List the rule of divisibility by 10.</v>
      </c>
      <c r="K61" s="10" t="str">
        <f t="shared" si="1"/>
        <v>LU000207.002</v>
      </c>
      <c r="L61" s="10" t="str">
        <f ca="1">IFERROR(__xludf.DUMMYFUNCTION("VLOOKUP(K61, IMPORTRANGE(""https://docs.google.com/spreadsheets/d/1yDAaXNsi4Mr5FtRQL4tbmSdIzhx6_m4wkOD7IG-k_eo/edit#gid=0"", ""Maths!M:N""), 2, FALSE)"),"Find out the divisibility rule for 10.")</f>
        <v>Find out the divisibility rule for 10.</v>
      </c>
      <c r="M61" s="10" t="str">
        <f t="shared" si="2"/>
        <v>LU000207.003</v>
      </c>
      <c r="N61" s="10" t="str">
        <f ca="1">IFERROR(__xludf.DUMMYFUNCTION("VLOOKUP(M61, IMPORTRANGE(""https://docs.google.com/spreadsheets/d/1yDAaXNsi4Mr5FtRQL4tbmSdIzhx6_m4wkOD7IG-k_eo/edit#gid=0"", ""Maths!M:N""), 2, FALSE)"),"Apply the rule for divisibility by 10 to determine if a number is divisible by 10 or not.")</f>
        <v>Apply the rule for divisibility by 10 to determine if a number is divisible by 10 or not.</v>
      </c>
      <c r="O61" s="10" t="str">
        <f t="shared" si="3"/>
        <v>LU000207.004</v>
      </c>
      <c r="P61" s="10" t="str">
        <f ca="1">IFERROR(__xludf.DUMMYFUNCTION("VLOOKUP(O61, IMPORTRANGE(""https://docs.google.com/spreadsheets/d/1yDAaXNsi4Mr5FtRQL4tbmSdIzhx6_m4wkOD7IG-k_eo/edit#gid=0"", ""Maths!M:N""), 2, FALSE)"),"Analyse the last digit of numbers to determine whether they meet the conditions of the divisibility rule for 10")</f>
        <v>Analyse the last digit of numbers to determine whether they meet the conditions of the divisibility rule for 10</v>
      </c>
      <c r="Q61" s="10" t="str">
        <f t="shared" si="4"/>
        <v>LU000207.005</v>
      </c>
      <c r="R61" s="10" t="str">
        <f ca="1">IFERROR(__xludf.DUMMYFUNCTION("VLOOKUP(Q61, IMPORTRANGE(""https://docs.google.com/spreadsheets/d/1yDAaXNsi4Mr5FtRQL4tbmSdIzhx6_m4wkOD7IG-k_eo/edit#gid=0"", ""Maths!M:N""), 2, FALSE)"),"Evaluate the efficiency of using the divisibility rule for 10 in quickly identifying numbers divisible by 10.")</f>
        <v>Evaluate the efficiency of using the divisibility rule for 10 in quickly identifying numbers divisible by 10.</v>
      </c>
      <c r="S61" s="10" t="str">
        <f t="shared" si="5"/>
        <v>LU000207.006</v>
      </c>
      <c r="T61" s="10" t="str">
        <f ca="1">IFERROR(__xludf.DUMMYFUNCTION("VLOOKUP(S61, IMPORTRANGE(""https://docs.google.com/spreadsheets/d/1yDAaXNsi4Mr5FtRQL4tbmSdIzhx6_m4wkOD7IG-k_eo/edit#gid=0"", ""Maths!M:N""), 2, FALSE)"),"Create a set of number sequences to apply the divisibility rule by 10.")</f>
        <v>Create a set of number sequences to apply the divisibility rule by 10.</v>
      </c>
      <c r="U61" s="11">
        <f ca="1">IFERROR(__xludf.DUMMYFUNCTION("ArrayFormula(VLOOKUP(G61, IMPORTRANGE(""https://docs.google.com/spreadsheets/d/1p7R4vtkWt5VOBim4ltsDG9KTzSjrtKXsMtQGXPHyND0/edit#gid=795171502"", ""'Filter 30_05_2024'!A1:M2000""), {2, 3, 4, 5,6,7,8,9,10,11,12,13}, 0))"),4)</f>
        <v>4</v>
      </c>
      <c r="V61" s="11">
        <f ca="1">IFERROR(__xludf.DUMMYFUNCTION("""COMPUTED_VALUE"""),6)</f>
        <v>6</v>
      </c>
      <c r="W61" s="11">
        <f ca="1">IFERROR(__xludf.DUMMYFUNCTION("""COMPUTED_VALUE"""),2)</f>
        <v>2</v>
      </c>
      <c r="X61" s="11">
        <f ca="1">IFERROR(__xludf.DUMMYFUNCTION("""COMPUTED_VALUE"""),12)</f>
        <v>12</v>
      </c>
      <c r="Y61" s="11">
        <f ca="1">IFERROR(__xludf.DUMMYFUNCTION("""COMPUTED_VALUE"""),4)</f>
        <v>4</v>
      </c>
      <c r="Z61" s="12">
        <f ca="1">IFERROR(__xludf.DUMMYFUNCTION("""COMPUTED_VALUE"""),3)</f>
        <v>3</v>
      </c>
      <c r="AA61" s="12">
        <f ca="1">IFERROR(__xludf.DUMMYFUNCTION("""COMPUTED_VALUE"""),1)</f>
        <v>1</v>
      </c>
      <c r="AB61" s="12">
        <f ca="1">IFERROR(__xludf.DUMMYFUNCTION("""COMPUTED_VALUE"""),8)</f>
        <v>8</v>
      </c>
      <c r="AC61" s="11">
        <f ca="1">IFERROR(__xludf.DUMMYFUNCTION("""COMPUTED_VALUE"""),1)</f>
        <v>1</v>
      </c>
      <c r="AD61" s="12"/>
      <c r="AE61" s="12"/>
      <c r="AF61" s="12">
        <f ca="1">IFERROR(__xludf.DUMMYFUNCTION("""COMPUTED_VALUE"""),1)</f>
        <v>1</v>
      </c>
      <c r="AG61" s="13" t="str">
        <f ca="1">IFERROR(__xludf.DUMMYFUNCTION("ArrayFormula(VLOOKUP(G61, IMPORTRANGE(""https://docs.google.com/spreadsheets/d/1Co934fvtviyaRiMsrIlT05Jaq7iiYq07aLvRr35KA48/edit?gid=173865642#gid=173865642"", ""'G6_Maths GP_Pri_LU'!G2:V2000""), {3, 4, 5, 6, 7, 8, 9, 10, 11, 12, 13, 14, 15, 16}, 0))"),"LU001069")</f>
        <v>LU001069</v>
      </c>
      <c r="AH61" s="13" t="str">
        <f ca="1">IFERROR(__xludf.DUMMYFUNCTION("""COMPUTED_VALUE"""),"Definition of face value of digit in a number")</f>
        <v>Definition of face value of digit in a number</v>
      </c>
      <c r="AI61" s="13" t="str">
        <f ca="1">IFERROR(__xludf.DUMMYFUNCTION("""COMPUTED_VALUE"""),"LU000192")</f>
        <v>LU000192</v>
      </c>
      <c r="AJ61" s="13" t="str">
        <f ca="1">IFERROR(__xludf.DUMMYFUNCTION("""COMPUTED_VALUE"""),"Factor of number")</f>
        <v>Factor of number</v>
      </c>
      <c r="AK61" s="13" t="str">
        <f ca="1">IFERROR(__xludf.DUMMYFUNCTION("""COMPUTED_VALUE"""),"LU000193")</f>
        <v>LU000193</v>
      </c>
      <c r="AL61" s="13" t="str">
        <f ca="1">IFERROR(__xludf.DUMMYFUNCTION("""COMPUTED_VALUE"""),"Multiple of number")</f>
        <v>Multiple of number</v>
      </c>
      <c r="AM61" s="13" t="str">
        <f ca="1">IFERROR(__xludf.DUMMYFUNCTION("""COMPUTED_VALUE"""),"LU000123")</f>
        <v>LU000123</v>
      </c>
      <c r="AN61" s="13" t="str">
        <f ca="1">IFERROR(__xludf.DUMMYFUNCTION("""COMPUTED_VALUE"""),"Division of numbers by multiples of 10")</f>
        <v>Division of numbers by multiples of 10</v>
      </c>
      <c r="AO61" s="13"/>
      <c r="AP61" s="13"/>
      <c r="AQ61" s="13"/>
      <c r="AR61" s="13"/>
      <c r="AS61" s="13"/>
      <c r="AT61" s="13"/>
    </row>
    <row r="62" spans="1:46" ht="40.200000000000003">
      <c r="A62" s="8" t="s">
        <v>46</v>
      </c>
      <c r="B62" s="8" t="s">
        <v>47</v>
      </c>
      <c r="C62" s="8" t="s">
        <v>48</v>
      </c>
      <c r="D62" s="8" t="s">
        <v>49</v>
      </c>
      <c r="E62" s="8" t="s">
        <v>126</v>
      </c>
      <c r="F62" s="8" t="s">
        <v>144</v>
      </c>
      <c r="G62" s="16" t="s">
        <v>146</v>
      </c>
      <c r="H62" s="8" t="str">
        <f ca="1">IFERROR(__xludf.DUMMYFUNCTION("VLOOKUP(G62, IMPORTRANGE(""https://docs.google.com/spreadsheets/d/14deopnvwcrKtEGCKuYXdUHJbeLDZlkiSSWWT0g7x2pM/edit#gid=999382323"", ""LU List Maths (Filter)!A:B""), 2, FALSE)"),"Test for divisibility by 5")</f>
        <v>Test for divisibility by 5</v>
      </c>
      <c r="I62" s="10" t="str">
        <f t="shared" si="0"/>
        <v>LU000202.001</v>
      </c>
      <c r="J62" s="10" t="str">
        <f ca="1">IFERROR(__xludf.DUMMYFUNCTION("VLOOKUP(I62, IMPORTRANGE(""https://docs.google.com/spreadsheets/d/1yDAaXNsi4Mr5FtRQL4tbmSdIzhx6_m4wkOD7IG-k_eo/edit#gid=0"", ""Maths!M:N""), 2, FALSE)"),"List the rule that a number is divisible by 5 if it has either 5 or 0 in its ones place.")</f>
        <v>List the rule that a number is divisible by 5 if it has either 5 or 0 in its ones place.</v>
      </c>
      <c r="K62" s="10" t="str">
        <f t="shared" si="1"/>
        <v>LU000202.002</v>
      </c>
      <c r="L62" s="10" t="str">
        <f ca="1">IFERROR(__xludf.DUMMYFUNCTION("VLOOKUP(K62, IMPORTRANGE(""https://docs.google.com/spreadsheets/d/1yDAaXNsi4Mr5FtRQL4tbmSdIzhx6_m4wkOD7IG-k_eo/edit#gid=0"", ""Maths!M:N""), 2, FALSE)"),"Find out the divisibility rule for 5.")</f>
        <v>Find out the divisibility rule for 5.</v>
      </c>
      <c r="M62" s="10" t="str">
        <f t="shared" si="2"/>
        <v>LU000202.003</v>
      </c>
      <c r="N62" s="10" t="str">
        <f ca="1">IFERROR(__xludf.DUMMYFUNCTION("VLOOKUP(M62, IMPORTRANGE(""https://docs.google.com/spreadsheets/d/1yDAaXNsi4Mr5FtRQL4tbmSdIzhx6_m4wkOD7IG-k_eo/edit#gid=0"", ""Maths!M:N""), 2, FALSE)"),"Apply the rule for divisibility by 5 to determine if a number is divisible by 5 or not.")</f>
        <v>Apply the rule for divisibility by 5 to determine if a number is divisible by 5 or not.</v>
      </c>
      <c r="O62" s="10" t="str">
        <f t="shared" si="3"/>
        <v>LU000202.004</v>
      </c>
      <c r="P62" s="10" t="str">
        <f ca="1">IFERROR(__xludf.DUMMYFUNCTION("VLOOKUP(O62, IMPORTRANGE(""https://docs.google.com/spreadsheets/d/1yDAaXNsi4Mr5FtRQL4tbmSdIzhx6_m4wkOD7IG-k_eo/edit#gid=0"", ""Maths!M:N""), 2, FALSE)"),"Analyse the last two digits of numbers to determine whether they meet the conditions of the divisibility rule for 5.")</f>
        <v>Analyse the last two digits of numbers to determine whether they meet the conditions of the divisibility rule for 5.</v>
      </c>
      <c r="Q62" s="10" t="str">
        <f t="shared" si="4"/>
        <v>LU000202.005</v>
      </c>
      <c r="R62" s="10" t="str">
        <f ca="1">IFERROR(__xludf.DUMMYFUNCTION("VLOOKUP(Q62, IMPORTRANGE(""https://docs.google.com/spreadsheets/d/1yDAaXNsi4Mr5FtRQL4tbmSdIzhx6_m4wkOD7IG-k_eo/edit#gid=0"", ""Maths!M:N""), 2, FALSE)"),"Evaluate the efficiency of using the divisibility rule for 5 in quickly identifying numbers divisible by 5")</f>
        <v>Evaluate the efficiency of using the divisibility rule for 5 in quickly identifying numbers divisible by 5</v>
      </c>
      <c r="S62" s="10" t="str">
        <f t="shared" si="5"/>
        <v>LU000202.006</v>
      </c>
      <c r="T62" s="10" t="str">
        <f ca="1">IFERROR(__xludf.DUMMYFUNCTION("VLOOKUP(S62, IMPORTRANGE(""https://docs.google.com/spreadsheets/d/1yDAaXNsi4Mr5FtRQL4tbmSdIzhx6_m4wkOD7IG-k_eo/edit#gid=0"", ""Maths!M:N""), 2, FALSE)"),"Create a set of number sequences to apply the divisibility rule by 5.")</f>
        <v>Create a set of number sequences to apply the divisibility rule by 5.</v>
      </c>
      <c r="U62" s="11">
        <f ca="1">IFERROR(__xludf.DUMMYFUNCTION("ArrayFormula(VLOOKUP(G62, IMPORTRANGE(""https://docs.google.com/spreadsheets/d/1p7R4vtkWt5VOBim4ltsDG9KTzSjrtKXsMtQGXPHyND0/edit#gid=795171502"", ""'Filter 30_05_2024'!A1:M2000""), {2, 3, 4, 5,6,7,8,9,10,11,12,13}, 0))"),4)</f>
        <v>4</v>
      </c>
      <c r="V62" s="11">
        <f ca="1">IFERROR(__xludf.DUMMYFUNCTION("""COMPUTED_VALUE"""),6)</f>
        <v>6</v>
      </c>
      <c r="W62" s="11">
        <f ca="1">IFERROR(__xludf.DUMMYFUNCTION("""COMPUTED_VALUE"""),2)</f>
        <v>2</v>
      </c>
      <c r="X62" s="11">
        <f ca="1">IFERROR(__xludf.DUMMYFUNCTION("""COMPUTED_VALUE"""),12)</f>
        <v>12</v>
      </c>
      <c r="Y62" s="11">
        <f ca="1">IFERROR(__xludf.DUMMYFUNCTION("""COMPUTED_VALUE"""),4)</f>
        <v>4</v>
      </c>
      <c r="Z62" s="12">
        <f ca="1">IFERROR(__xludf.DUMMYFUNCTION("""COMPUTED_VALUE"""),3)</f>
        <v>3</v>
      </c>
      <c r="AA62" s="12">
        <f ca="1">IFERROR(__xludf.DUMMYFUNCTION("""COMPUTED_VALUE"""),1)</f>
        <v>1</v>
      </c>
      <c r="AB62" s="12">
        <f ca="1">IFERROR(__xludf.DUMMYFUNCTION("""COMPUTED_VALUE"""),8)</f>
        <v>8</v>
      </c>
      <c r="AC62" s="11"/>
      <c r="AD62" s="12"/>
      <c r="AE62" s="12"/>
      <c r="AF62" s="12"/>
      <c r="AG62" s="13" t="str">
        <f ca="1">IFERROR(__xludf.DUMMYFUNCTION("ArrayFormula(VLOOKUP(G62, IMPORTRANGE(""https://docs.google.com/spreadsheets/d/1Co934fvtviyaRiMsrIlT05Jaq7iiYq07aLvRr35KA48/edit?gid=173865642#gid=173865642"", ""'G6_Maths GP_Pri_LU'!G2:V2000""), {3, 4, 5, 6, 7, 8, 9, 10, 11, 12, 13, 14, 15, 16}, 0))"),"LU001069")</f>
        <v>LU001069</v>
      </c>
      <c r="AH62" s="13" t="str">
        <f ca="1">IFERROR(__xludf.DUMMYFUNCTION("""COMPUTED_VALUE"""),"Definition of face value of digit in a number")</f>
        <v>Definition of face value of digit in a number</v>
      </c>
      <c r="AI62" s="13" t="str">
        <f ca="1">IFERROR(__xludf.DUMMYFUNCTION("""COMPUTED_VALUE"""),"LU000192")</f>
        <v>LU000192</v>
      </c>
      <c r="AJ62" s="13" t="str">
        <f ca="1">IFERROR(__xludf.DUMMYFUNCTION("""COMPUTED_VALUE"""),"Factor of number")</f>
        <v>Factor of number</v>
      </c>
      <c r="AK62" s="13" t="str">
        <f ca="1">IFERROR(__xludf.DUMMYFUNCTION("""COMPUTED_VALUE"""),"LU000193")</f>
        <v>LU000193</v>
      </c>
      <c r="AL62" s="13" t="str">
        <f ca="1">IFERROR(__xludf.DUMMYFUNCTION("""COMPUTED_VALUE"""),"Multiple of number")</f>
        <v>Multiple of number</v>
      </c>
      <c r="AM62" s="13" t="str">
        <f ca="1">IFERROR(__xludf.DUMMYFUNCTION("""COMPUTED_VALUE"""),"LU000121")</f>
        <v>LU000121</v>
      </c>
      <c r="AN62" s="13" t="str">
        <f ca="1">IFERROR(__xludf.DUMMYFUNCTION("""COMPUTED_VALUE"""),"Division of five-digit numbers by one-digit/two-digit/three-digit/four-digit numbers using standard algorithms")</f>
        <v>Division of five-digit numbers by one-digit/two-digit/three-digit/four-digit numbers using standard algorithms</v>
      </c>
      <c r="AO62" s="13"/>
      <c r="AP62" s="13"/>
      <c r="AQ62" s="13"/>
      <c r="AR62" s="13"/>
      <c r="AS62" s="13"/>
      <c r="AT62" s="13"/>
    </row>
    <row r="63" spans="1:46" ht="40.200000000000003">
      <c r="A63" s="8" t="s">
        <v>46</v>
      </c>
      <c r="B63" s="8" t="s">
        <v>47</v>
      </c>
      <c r="C63" s="8" t="s">
        <v>48</v>
      </c>
      <c r="D63" s="8" t="s">
        <v>49</v>
      </c>
      <c r="E63" s="8" t="s">
        <v>126</v>
      </c>
      <c r="F63" s="8" t="s">
        <v>144</v>
      </c>
      <c r="G63" s="16" t="s">
        <v>147</v>
      </c>
      <c r="H63" s="8" t="str">
        <f ca="1">IFERROR(__xludf.DUMMYFUNCTION("VLOOKUP(G63, IMPORTRANGE(""https://docs.google.com/spreadsheets/d/14deopnvwcrKtEGCKuYXdUHJbeLDZlkiSSWWT0g7x2pM/edit#gid=999382323"", ""LU List Maths (Filter)!A:B""), 2, FALSE)"),"Test for divisibility by 2")</f>
        <v>Test for divisibility by 2</v>
      </c>
      <c r="I63" s="10" t="str">
        <f t="shared" si="0"/>
        <v>LU000199.001</v>
      </c>
      <c r="J63" s="10" t="str">
        <f ca="1">IFERROR(__xludf.DUMMYFUNCTION("VLOOKUP(I63, IMPORTRANGE(""https://docs.google.com/spreadsheets/d/1yDAaXNsi4Mr5FtRQL4tbmSdIzhx6_m4wkOD7IG-k_eo/edit#gid=0"", ""Maths!M:N""), 2, FALSE)"),"List the rule that a number is divisible by 2 if its last digit is even (0, 2, 4, 6, or 8)")</f>
        <v>List the rule that a number is divisible by 2 if its last digit is even (0, 2, 4, 6, or 8)</v>
      </c>
      <c r="K63" s="10" t="str">
        <f t="shared" si="1"/>
        <v>LU000199.002</v>
      </c>
      <c r="L63" s="10" t="str">
        <f ca="1">IFERROR(__xludf.DUMMYFUNCTION("VLOOKUP(K63, IMPORTRANGE(""https://docs.google.com/spreadsheets/d/1yDAaXNsi4Mr5FtRQL4tbmSdIzhx6_m4wkOD7IG-k_eo/edit#gid=0"", ""Maths!M:N""), 2, FALSE)"),"Find out the divisibility rule for 2.")</f>
        <v>Find out the divisibility rule for 2.</v>
      </c>
      <c r="M63" s="10" t="str">
        <f t="shared" si="2"/>
        <v>LU000199.003</v>
      </c>
      <c r="N63" s="10" t="str">
        <f ca="1">IFERROR(__xludf.DUMMYFUNCTION("VLOOKUP(M63, IMPORTRANGE(""https://docs.google.com/spreadsheets/d/1yDAaXNsi4Mr5FtRQL4tbmSdIzhx6_m4wkOD7IG-k_eo/edit#gid=0"", ""Maths!M:N""), 2, FALSE)"),"Apply the rule for divisibility by 2 to determine if a number is divisible by 2 or not.")</f>
        <v>Apply the rule for divisibility by 2 to determine if a number is divisible by 2 or not.</v>
      </c>
      <c r="O63" s="10" t="str">
        <f t="shared" si="3"/>
        <v>LU000199.004</v>
      </c>
      <c r="P63" s="10" t="str">
        <f ca="1">IFERROR(__xludf.DUMMYFUNCTION("VLOOKUP(O63, IMPORTRANGE(""https://docs.google.com/spreadsheets/d/1yDAaXNsi4Mr5FtRQL4tbmSdIzhx6_m4wkOD7IG-k_eo/edit#gid=0"", ""Maths!M:N""), 2, FALSE)"),"Analyse the outcome of dividing a number by 2 and its implications for even and odd numbers")</f>
        <v>Analyse the outcome of dividing a number by 2 and its implications for even and odd numbers</v>
      </c>
      <c r="Q63" s="10" t="str">
        <f t="shared" si="4"/>
        <v>LU000199.005</v>
      </c>
      <c r="R63" s="10" t="str">
        <f ca="1">IFERROR(__xludf.DUMMYFUNCTION("VLOOKUP(Q63, IMPORTRANGE(""https://docs.google.com/spreadsheets/d/1yDAaXNsi4Mr5FtRQL4tbmSdIzhx6_m4wkOD7IG-k_eo/edit#gid=0"", ""Maths!M:N""), 2, FALSE)"),"Evaluate the efficiency of using the divisibility rule for 2 in quickly identifying even and odd numbers")</f>
        <v>Evaluate the efficiency of using the divisibility rule for 2 in quickly identifying even and odd numbers</v>
      </c>
      <c r="S63" s="10" t="str">
        <f t="shared" si="5"/>
        <v>LU000199.006</v>
      </c>
      <c r="T63" s="10" t="str">
        <f ca="1">IFERROR(__xludf.DUMMYFUNCTION("VLOOKUP(S63, IMPORTRANGE(""https://docs.google.com/spreadsheets/d/1yDAaXNsi4Mr5FtRQL4tbmSdIzhx6_m4wkOD7IG-k_eo/edit#gid=0"", ""Maths!M:N""), 2, FALSE)"),"Create a set of number sequences to apply the divisibility rule by 2.")</f>
        <v>Create a set of number sequences to apply the divisibility rule by 2.</v>
      </c>
      <c r="U63" s="11">
        <f ca="1">IFERROR(__xludf.DUMMYFUNCTION("ArrayFormula(VLOOKUP(G63, IMPORTRANGE(""https://docs.google.com/spreadsheets/d/1p7R4vtkWt5VOBim4ltsDG9KTzSjrtKXsMtQGXPHyND0/edit#gid=795171502"", ""'Filter 30_05_2024'!A1:M2000""), {2, 3, 4, 5,6,7,8,9,10,11,12,13}, 0))"),4)</f>
        <v>4</v>
      </c>
      <c r="V63" s="11">
        <f ca="1">IFERROR(__xludf.DUMMYFUNCTION("""COMPUTED_VALUE"""),6)</f>
        <v>6</v>
      </c>
      <c r="W63" s="11">
        <f ca="1">IFERROR(__xludf.DUMMYFUNCTION("""COMPUTED_VALUE"""),2)</f>
        <v>2</v>
      </c>
      <c r="X63" s="11">
        <f ca="1">IFERROR(__xludf.DUMMYFUNCTION("""COMPUTED_VALUE"""),12)</f>
        <v>12</v>
      </c>
      <c r="Y63" s="11">
        <f ca="1">IFERROR(__xludf.DUMMYFUNCTION("""COMPUTED_VALUE"""),4)</f>
        <v>4</v>
      </c>
      <c r="Z63" s="12">
        <f ca="1">IFERROR(__xludf.DUMMYFUNCTION("""COMPUTED_VALUE"""),3)</f>
        <v>3</v>
      </c>
      <c r="AA63" s="12">
        <f ca="1">IFERROR(__xludf.DUMMYFUNCTION("""COMPUTED_VALUE"""),1)</f>
        <v>1</v>
      </c>
      <c r="AB63" s="12">
        <f ca="1">IFERROR(__xludf.DUMMYFUNCTION("""COMPUTED_VALUE"""),8)</f>
        <v>8</v>
      </c>
      <c r="AC63" s="11"/>
      <c r="AD63" s="12"/>
      <c r="AE63" s="12"/>
      <c r="AF63" s="12"/>
      <c r="AG63" s="13" t="str">
        <f ca="1">IFERROR(__xludf.DUMMYFUNCTION("ArrayFormula(VLOOKUP(G63, IMPORTRANGE(""https://docs.google.com/spreadsheets/d/1Co934fvtviyaRiMsrIlT05Jaq7iiYq07aLvRr35KA48/edit?gid=173865642#gid=173865642"", ""'G6_Maths GP_Pri_LU'!G2:V2000""), {3, 4, 5, 6, 7, 8, 9, 10, 11, 12, 13, 14, 15, 16}, 0))"),"LU000193")</f>
        <v>LU000193</v>
      </c>
      <c r="AH63" s="13" t="str">
        <f ca="1">IFERROR(__xludf.DUMMYFUNCTION("""COMPUTED_VALUE"""),"Multiple of number")</f>
        <v>Multiple of number</v>
      </c>
      <c r="AI63" s="13" t="str">
        <f ca="1">IFERROR(__xludf.DUMMYFUNCTION("""COMPUTED_VALUE"""),"LU000192")</f>
        <v>LU000192</v>
      </c>
      <c r="AJ63" s="13" t="str">
        <f ca="1">IFERROR(__xludf.DUMMYFUNCTION("""COMPUTED_VALUE"""),"Factor of number")</f>
        <v>Factor of number</v>
      </c>
      <c r="AK63" s="13" t="str">
        <f ca="1">IFERROR(__xludf.DUMMYFUNCTION("""COMPUTED_VALUE"""),"LU000121")</f>
        <v>LU000121</v>
      </c>
      <c r="AL63" s="13" t="str">
        <f ca="1">IFERROR(__xludf.DUMMYFUNCTION("""COMPUTED_VALUE"""),"Division of five-digit numbers by one-digit/two-digit/three-digit/four-digit numbers using standard algorithms")</f>
        <v>Division of five-digit numbers by one-digit/two-digit/three-digit/four-digit numbers using standard algorithms</v>
      </c>
      <c r="AM63" s="13"/>
      <c r="AN63" s="13"/>
      <c r="AO63" s="13"/>
      <c r="AP63" s="13"/>
      <c r="AQ63" s="13"/>
      <c r="AR63" s="13"/>
      <c r="AS63" s="13"/>
      <c r="AT63" s="13"/>
    </row>
    <row r="64" spans="1:46" ht="40.200000000000003">
      <c r="A64" s="8" t="s">
        <v>46</v>
      </c>
      <c r="B64" s="8" t="s">
        <v>47</v>
      </c>
      <c r="C64" s="8" t="s">
        <v>48</v>
      </c>
      <c r="D64" s="8" t="s">
        <v>49</v>
      </c>
      <c r="E64" s="8" t="s">
        <v>126</v>
      </c>
      <c r="F64" s="8" t="s">
        <v>148</v>
      </c>
      <c r="G64" s="16" t="s">
        <v>149</v>
      </c>
      <c r="H64" s="8" t="str">
        <f ca="1">IFERROR(__xludf.DUMMYFUNCTION("VLOOKUP(G64, IMPORTRANGE(""https://docs.google.com/spreadsheets/d/14deopnvwcrKtEGCKuYXdUHJbeLDZlkiSSWWT0g7x2pM/edit#gid=999382323"", ""LU List Maths (Filter)!A:B""), 2, FALSE)"),"Test for divisibility by 4")</f>
        <v>Test for divisibility by 4</v>
      </c>
      <c r="I64" s="10" t="str">
        <f t="shared" si="0"/>
        <v>LU000201.001</v>
      </c>
      <c r="J64" s="10" t="str">
        <f ca="1">IFERROR(__xludf.DUMMYFUNCTION("VLOOKUP(I64, IMPORTRANGE(""https://docs.google.com/spreadsheets/d/1yDAaXNsi4Mr5FtRQL4tbmSdIzhx6_m4wkOD7IG-k_eo/edit#gid=0"", ""Maths!M:N""), 2, FALSE)"),"List the rule that a number is divisible by 4 if the last two digits form a number divisible by 4")</f>
        <v>List the rule that a number is divisible by 4 if the last two digits form a number divisible by 4</v>
      </c>
      <c r="K64" s="10" t="str">
        <f t="shared" si="1"/>
        <v>LU000201.002</v>
      </c>
      <c r="L64" s="10" t="str">
        <f ca="1">IFERROR(__xludf.DUMMYFUNCTION("VLOOKUP(K64, IMPORTRANGE(""https://docs.google.com/spreadsheets/d/1yDAaXNsi4Mr5FtRQL4tbmSdIzhx6_m4wkOD7IG-k_eo/edit#gid=0"", ""Maths!M:N""), 2, FALSE)"),"Find out the divisibility rule for 4.")</f>
        <v>Find out the divisibility rule for 4.</v>
      </c>
      <c r="M64" s="10" t="str">
        <f t="shared" si="2"/>
        <v>LU000201.003</v>
      </c>
      <c r="N64" s="10" t="str">
        <f ca="1">IFERROR(__xludf.DUMMYFUNCTION("VLOOKUP(M64, IMPORTRANGE(""https://docs.google.com/spreadsheets/d/1yDAaXNsi4Mr5FtRQL4tbmSdIzhx6_m4wkOD7IG-k_eo/edit#gid=0"", ""Maths!M:N""), 2, FALSE)"),"Apply the rule for divisibility by 4 to determine if a number is divisible by 4 or not.")</f>
        <v>Apply the rule for divisibility by 4 to determine if a number is divisible by 4 or not.</v>
      </c>
      <c r="O64" s="10" t="str">
        <f t="shared" si="3"/>
        <v>LU000201.004</v>
      </c>
      <c r="P64" s="10" t="str">
        <f ca="1">IFERROR(__xludf.DUMMYFUNCTION("VLOOKUP(O64, IMPORTRANGE(""https://docs.google.com/spreadsheets/d/1yDAaXNsi4Mr5FtRQL4tbmSdIzhx6_m4wkOD7IG-k_eo/edit#gid=0"", ""Maths!M:N""), 2, FALSE)"),"Analyse the last two digits of numbers to determine whether they meet the conditions of the divisibility rule for 4")</f>
        <v>Analyse the last two digits of numbers to determine whether they meet the conditions of the divisibility rule for 4</v>
      </c>
      <c r="Q64" s="10" t="str">
        <f t="shared" si="4"/>
        <v>LU000201.005</v>
      </c>
      <c r="R64" s="10" t="str">
        <f ca="1">IFERROR(__xludf.DUMMYFUNCTION("VLOOKUP(Q64, IMPORTRANGE(""https://docs.google.com/spreadsheets/d/1yDAaXNsi4Mr5FtRQL4tbmSdIzhx6_m4wkOD7IG-k_eo/edit#gid=0"", ""Maths!M:N""), 2, FALSE)"),"Evaluate the efficiency of using the divisibility rule for 4 in quickly identifying numbers divisible by 4.")</f>
        <v>Evaluate the efficiency of using the divisibility rule for 4 in quickly identifying numbers divisible by 4.</v>
      </c>
      <c r="S64" s="10" t="str">
        <f t="shared" si="5"/>
        <v>LU000201.006</v>
      </c>
      <c r="T64" s="10" t="str">
        <f ca="1">IFERROR(__xludf.DUMMYFUNCTION("VLOOKUP(S64, IMPORTRANGE(""https://docs.google.com/spreadsheets/d/1yDAaXNsi4Mr5FtRQL4tbmSdIzhx6_m4wkOD7IG-k_eo/edit#gid=0"", ""Maths!M:N""), 2, FALSE)"),"Create a set of number sequences to apply the divisibility rule by 4.")</f>
        <v>Create a set of number sequences to apply the divisibility rule by 4.</v>
      </c>
      <c r="U64" s="11">
        <f ca="1">IFERROR(__xludf.DUMMYFUNCTION("ArrayFormula(VLOOKUP(G64, IMPORTRANGE(""https://docs.google.com/spreadsheets/d/1p7R4vtkWt5VOBim4ltsDG9KTzSjrtKXsMtQGXPHyND0/edit#gid=795171502"", ""'Filter 30_05_2024'!A1:M2000""), {2, 3, 4, 5,6,7,8,9,10,11,12,13}, 0))"),4)</f>
        <v>4</v>
      </c>
      <c r="V64" s="11">
        <f ca="1">IFERROR(__xludf.DUMMYFUNCTION("""COMPUTED_VALUE"""),6)</f>
        <v>6</v>
      </c>
      <c r="W64" s="11">
        <f ca="1">IFERROR(__xludf.DUMMYFUNCTION("""COMPUTED_VALUE"""),2)</f>
        <v>2</v>
      </c>
      <c r="X64" s="11">
        <f ca="1">IFERROR(__xludf.DUMMYFUNCTION("""COMPUTED_VALUE"""),12)</f>
        <v>12</v>
      </c>
      <c r="Y64" s="11">
        <f ca="1">IFERROR(__xludf.DUMMYFUNCTION("""COMPUTED_VALUE"""),4)</f>
        <v>4</v>
      </c>
      <c r="Z64" s="12">
        <f ca="1">IFERROR(__xludf.DUMMYFUNCTION("""COMPUTED_VALUE"""),3)</f>
        <v>3</v>
      </c>
      <c r="AA64" s="12">
        <f ca="1">IFERROR(__xludf.DUMMYFUNCTION("""COMPUTED_VALUE"""),1)</f>
        <v>1</v>
      </c>
      <c r="AB64" s="12">
        <f ca="1">IFERROR(__xludf.DUMMYFUNCTION("""COMPUTED_VALUE"""),8)</f>
        <v>8</v>
      </c>
      <c r="AC64" s="11"/>
      <c r="AD64" s="12"/>
      <c r="AE64" s="12"/>
      <c r="AF64" s="12"/>
      <c r="AG64" s="13" t="str">
        <f ca="1">IFERROR(__xludf.DUMMYFUNCTION("ArrayFormula(VLOOKUP(G64, IMPORTRANGE(""https://docs.google.com/spreadsheets/d/1Co934fvtviyaRiMsrIlT05Jaq7iiYq07aLvRr35KA48/edit?gid=173865642#gid=173865642"", ""'G6_Maths GP_Pri_LU'!G2:V2000""), {3, 4, 5, 6, 7, 8, 9, 10, 11, 12, 13, 14, 15, 16}, 0))"),"LU000124")</f>
        <v>LU000124</v>
      </c>
      <c r="AH64" s="13" t="str">
        <f ca="1">IFERROR(__xludf.DUMMYFUNCTION("""COMPUTED_VALUE"""),"Division of three-digit numbers by one-digit/two-digit numbers using standard algorithms")</f>
        <v>Division of three-digit numbers by one-digit/two-digit numbers using standard algorithms</v>
      </c>
      <c r="AI64" s="13" t="str">
        <f ca="1">IFERROR(__xludf.DUMMYFUNCTION("""COMPUTED_VALUE"""),"LU000153")</f>
        <v>LU000153</v>
      </c>
      <c r="AJ64" s="13" t="str">
        <f ca="1">IFERROR(__xludf.DUMMYFUNCTION("""COMPUTED_VALUE"""),"Place value system in whole numbers (upto 9-digit numbers)")</f>
        <v>Place value system in whole numbers (upto 9-digit numbers)</v>
      </c>
      <c r="AK64" s="13" t="str">
        <f ca="1">IFERROR(__xludf.DUMMYFUNCTION("""COMPUTED_VALUE"""),"LU000192")</f>
        <v>LU000192</v>
      </c>
      <c r="AL64" s="13" t="str">
        <f ca="1">IFERROR(__xludf.DUMMYFUNCTION("""COMPUTED_VALUE"""),"Factor of number")</f>
        <v>Factor of number</v>
      </c>
      <c r="AM64" s="13" t="str">
        <f ca="1">IFERROR(__xludf.DUMMYFUNCTION("""COMPUTED_VALUE"""),"LU000193")</f>
        <v>LU000193</v>
      </c>
      <c r="AN64" s="13" t="str">
        <f ca="1">IFERROR(__xludf.DUMMYFUNCTION("""COMPUTED_VALUE"""),"Multiple of number")</f>
        <v>Multiple of number</v>
      </c>
      <c r="AO64" s="13"/>
      <c r="AP64" s="13"/>
      <c r="AQ64" s="13"/>
      <c r="AR64" s="13"/>
      <c r="AS64" s="13"/>
      <c r="AT64" s="13"/>
    </row>
    <row r="65" spans="1:46" ht="40.200000000000003">
      <c r="A65" s="8" t="s">
        <v>46</v>
      </c>
      <c r="B65" s="8" t="s">
        <v>47</v>
      </c>
      <c r="C65" s="8" t="s">
        <v>48</v>
      </c>
      <c r="D65" s="8" t="s">
        <v>49</v>
      </c>
      <c r="E65" s="8" t="s">
        <v>126</v>
      </c>
      <c r="F65" s="8" t="s">
        <v>148</v>
      </c>
      <c r="G65" s="16" t="s">
        <v>150</v>
      </c>
      <c r="H65" s="8" t="str">
        <f ca="1">IFERROR(__xludf.DUMMYFUNCTION("VLOOKUP(G65, IMPORTRANGE(""https://docs.google.com/spreadsheets/d/14deopnvwcrKtEGCKuYXdUHJbeLDZlkiSSWWT0g7x2pM/edit#gid=999382323"", ""LU List Maths (Filter)!A:B""), 2, FALSE)"),"Test for divisibility by 8")</f>
        <v>Test for divisibility by 8</v>
      </c>
      <c r="I65" s="10" t="str">
        <f t="shared" si="0"/>
        <v>LU000205.001</v>
      </c>
      <c r="J65" s="10" t="str">
        <f ca="1">IFERROR(__xludf.DUMMYFUNCTION("VLOOKUP(I65, IMPORTRANGE(""https://docs.google.com/spreadsheets/d/1yDAaXNsi4Mr5FtRQL4tbmSdIzhx6_m4wkOD7IG-k_eo/edit#gid=0"", ""Maths!M:N""), 2, FALSE)"),"List the rule of divisibility by 8.")</f>
        <v>List the rule of divisibility by 8.</v>
      </c>
      <c r="K65" s="10" t="str">
        <f t="shared" si="1"/>
        <v>LU000205.002</v>
      </c>
      <c r="L65" s="10" t="str">
        <f ca="1">IFERROR(__xludf.DUMMYFUNCTION("VLOOKUP(K65, IMPORTRANGE(""https://docs.google.com/spreadsheets/d/1yDAaXNsi4Mr5FtRQL4tbmSdIzhx6_m4wkOD7IG-k_eo/edit#gid=0"", ""Maths!M:N""), 2, FALSE)"),"Find out the divisibility rule for 8.")</f>
        <v>Find out the divisibility rule for 8.</v>
      </c>
      <c r="M65" s="10" t="str">
        <f t="shared" si="2"/>
        <v>LU000205.003</v>
      </c>
      <c r="N65" s="10" t="str">
        <f ca="1">IFERROR(__xludf.DUMMYFUNCTION("VLOOKUP(M65, IMPORTRANGE(""https://docs.google.com/spreadsheets/d/1yDAaXNsi4Mr5FtRQL4tbmSdIzhx6_m4wkOD7IG-k_eo/edit#gid=0"", ""Maths!M:N""), 2, FALSE)"),"Apply the rule for divisibility by 8 to determine if a number is divisible by 8 or not.")</f>
        <v>Apply the rule for divisibility by 8 to determine if a number is divisible by 8 or not.</v>
      </c>
      <c r="O65" s="10" t="str">
        <f t="shared" si="3"/>
        <v>LU000205.004</v>
      </c>
      <c r="P65" s="10" t="str">
        <f ca="1">IFERROR(__xludf.DUMMYFUNCTION("VLOOKUP(O65, IMPORTRANGE(""https://docs.google.com/spreadsheets/d/1yDAaXNsi4Mr5FtRQL4tbmSdIzhx6_m4wkOD7IG-k_eo/edit#gid=0"", ""Maths!M:N""), 2, FALSE)"),"Analyse the last three digits of numbers to determine whether they meet the conditions of the divisibility rule for 8")</f>
        <v>Analyse the last three digits of numbers to determine whether they meet the conditions of the divisibility rule for 8</v>
      </c>
      <c r="Q65" s="10" t="str">
        <f t="shared" si="4"/>
        <v>LU000205.005</v>
      </c>
      <c r="R65" s="10" t="str">
        <f ca="1">IFERROR(__xludf.DUMMYFUNCTION("VLOOKUP(Q65, IMPORTRANGE(""https://docs.google.com/spreadsheets/d/1yDAaXNsi4Mr5FtRQL4tbmSdIzhx6_m4wkOD7IG-k_eo/edit#gid=0"", ""Maths!M:N""), 2, FALSE)"),"Evaluate the efficiency of using the divisibility rule for 8 in quickly identifying numbers divisible by 8.")</f>
        <v>Evaluate the efficiency of using the divisibility rule for 8 in quickly identifying numbers divisible by 8.</v>
      </c>
      <c r="S65" s="10" t="str">
        <f t="shared" si="5"/>
        <v>LU000205.006</v>
      </c>
      <c r="T65" s="10" t="str">
        <f ca="1">IFERROR(__xludf.DUMMYFUNCTION("VLOOKUP(S65, IMPORTRANGE(""https://docs.google.com/spreadsheets/d/1yDAaXNsi4Mr5FtRQL4tbmSdIzhx6_m4wkOD7IG-k_eo/edit#gid=0"", ""Maths!M:N""), 2, FALSE)"),"Create a set of number sequences to apply the divisibility rule by 8.")</f>
        <v>Create a set of number sequences to apply the divisibility rule by 8.</v>
      </c>
      <c r="U65" s="11">
        <f ca="1">IFERROR(__xludf.DUMMYFUNCTION("ArrayFormula(VLOOKUP(G65, IMPORTRANGE(""https://docs.google.com/spreadsheets/d/1p7R4vtkWt5VOBim4ltsDG9KTzSjrtKXsMtQGXPHyND0/edit#gid=795171502"", ""'Filter 30_05_2024'!A1:M2000""), {2, 3, 4, 5,6,7,8,9,10,11,12,13}, 0))"),4)</f>
        <v>4</v>
      </c>
      <c r="V65" s="11">
        <f ca="1">IFERROR(__xludf.DUMMYFUNCTION("""COMPUTED_VALUE"""),8)</f>
        <v>8</v>
      </c>
      <c r="W65" s="11">
        <f ca="1">IFERROR(__xludf.DUMMYFUNCTION("""COMPUTED_VALUE"""),2)</f>
        <v>2</v>
      </c>
      <c r="X65" s="11">
        <f ca="1">IFERROR(__xludf.DUMMYFUNCTION("""COMPUTED_VALUE"""),14)</f>
        <v>14</v>
      </c>
      <c r="Y65" s="11">
        <f ca="1">IFERROR(__xludf.DUMMYFUNCTION("""COMPUTED_VALUE"""),4)</f>
        <v>4</v>
      </c>
      <c r="Z65" s="12">
        <f ca="1">IFERROR(__xludf.DUMMYFUNCTION("""COMPUTED_VALUE"""),3)</f>
        <v>3</v>
      </c>
      <c r="AA65" s="12">
        <f ca="1">IFERROR(__xludf.DUMMYFUNCTION("""COMPUTED_VALUE"""),2)</f>
        <v>2</v>
      </c>
      <c r="AB65" s="12">
        <f ca="1">IFERROR(__xludf.DUMMYFUNCTION("""COMPUTED_VALUE"""),9)</f>
        <v>9</v>
      </c>
      <c r="AC65" s="11"/>
      <c r="AD65" s="12"/>
      <c r="AE65" s="12"/>
      <c r="AF65" s="12"/>
      <c r="AG65" s="13" t="str">
        <f ca="1">IFERROR(__xludf.DUMMYFUNCTION("ArrayFormula(VLOOKUP(G65, IMPORTRANGE(""https://docs.google.com/spreadsheets/d/1Co934fvtviyaRiMsrIlT05Jaq7iiYq07aLvRr35KA48/edit?gid=173865642#gid=173865642"", ""'G6_Maths GP_Pri_LU'!G2:V2000""), {3, 4, 5, 6, 7, 8, 9, 10, 11, 12, 13, 14, 15, 16}, 0))"),"LU000124")</f>
        <v>LU000124</v>
      </c>
      <c r="AH65" s="13" t="str">
        <f ca="1">IFERROR(__xludf.DUMMYFUNCTION("""COMPUTED_VALUE"""),"Division of three-digit numbers by one-digit/two-digit numbers using standard algorithms")</f>
        <v>Division of three-digit numbers by one-digit/two-digit numbers using standard algorithms</v>
      </c>
      <c r="AI65" s="13" t="str">
        <f ca="1">IFERROR(__xludf.DUMMYFUNCTION("""COMPUTED_VALUE"""),"LU000153")</f>
        <v>LU000153</v>
      </c>
      <c r="AJ65" s="13" t="str">
        <f ca="1">IFERROR(__xludf.DUMMYFUNCTION("""COMPUTED_VALUE"""),"Place value system in whole numbers (upto 9-digit numbers)")</f>
        <v>Place value system in whole numbers (upto 9-digit numbers)</v>
      </c>
      <c r="AK65" s="13" t="str">
        <f ca="1">IFERROR(__xludf.DUMMYFUNCTION("""COMPUTED_VALUE"""),"LU000192")</f>
        <v>LU000192</v>
      </c>
      <c r="AL65" s="13" t="str">
        <f ca="1">IFERROR(__xludf.DUMMYFUNCTION("""COMPUTED_VALUE"""),"Factor of number")</f>
        <v>Factor of number</v>
      </c>
      <c r="AM65" s="13" t="str">
        <f ca="1">IFERROR(__xludf.DUMMYFUNCTION("""COMPUTED_VALUE"""),"LU000193")</f>
        <v>LU000193</v>
      </c>
      <c r="AN65" s="13" t="str">
        <f ca="1">IFERROR(__xludf.DUMMYFUNCTION("""COMPUTED_VALUE"""),"Multiple of number")</f>
        <v>Multiple of number</v>
      </c>
      <c r="AO65" s="13"/>
      <c r="AP65" s="13"/>
      <c r="AQ65" s="13"/>
      <c r="AR65" s="13"/>
      <c r="AS65" s="13"/>
      <c r="AT65" s="13"/>
    </row>
    <row r="66" spans="1:46" ht="40.200000000000003">
      <c r="A66" s="8" t="s">
        <v>46</v>
      </c>
      <c r="B66" s="8" t="s">
        <v>47</v>
      </c>
      <c r="C66" s="8" t="s">
        <v>48</v>
      </c>
      <c r="D66" s="8" t="s">
        <v>49</v>
      </c>
      <c r="E66" s="8" t="s">
        <v>151</v>
      </c>
      <c r="F66" s="21" t="s">
        <v>152</v>
      </c>
      <c r="G66" s="16" t="s">
        <v>153</v>
      </c>
      <c r="H66" s="8" t="str">
        <f ca="1">IFERROR(__xludf.DUMMYFUNCTION("VLOOKUP(G66, IMPORTRANGE(""https://docs.google.com/spreadsheets/d/14deopnvwcrKtEGCKuYXdUHJbeLDZlkiSSWWT0g7x2pM/edit#gid=999382323"", ""LU List Maths (Filter)!A:B""), 2, FALSE)"),"Perimeter of a rectangle using formula")</f>
        <v>Perimeter of a rectangle using formula</v>
      </c>
      <c r="I66" s="10" t="str">
        <f t="shared" si="0"/>
        <v>LU000324.001</v>
      </c>
      <c r="J66" s="10" t="str">
        <f ca="1">IFERROR(__xludf.DUMMYFUNCTION("VLOOKUP(I66, IMPORTRANGE(""https://docs.google.com/spreadsheets/d/1yDAaXNsi4Mr5FtRQL4tbmSdIzhx6_m4wkOD7IG-k_eo/edit#gid=0"", ""Maths!M:N""), 2, FALSE)"),"Deduce the formula for the perimeter of a rectangle.")</f>
        <v>Deduce the formula for the perimeter of a rectangle.</v>
      </c>
      <c r="K66" s="10" t="str">
        <f t="shared" si="1"/>
        <v>LU000324.002</v>
      </c>
      <c r="L66" s="10" t="str">
        <f ca="1">IFERROR(__xludf.DUMMYFUNCTION("VLOOKUP(K66, IMPORTRANGE(""https://docs.google.com/spreadsheets/d/1yDAaXNsi4Mr5FtRQL4tbmSdIzhx6_m4wkOD7IG-k_eo/edit#gid=0"", ""Maths!M:N""), 2, FALSE)"),"Calculate the perimeter of a rectangle if length and width, or the relation between them, are given.")</f>
        <v>Calculate the perimeter of a rectangle if length and width, or the relation between them, are given.</v>
      </c>
      <c r="M66" s="10" t="str">
        <f t="shared" si="2"/>
        <v>LU000324.003</v>
      </c>
      <c r="N66" s="10" t="str">
        <f ca="1">IFERROR(__xludf.DUMMYFUNCTION("VLOOKUP(M66, IMPORTRANGE(""https://docs.google.com/spreadsheets/d/1yDAaXNsi4Mr5FtRQL4tbmSdIzhx6_m4wkOD7IG-k_eo/edit#gid=0"", ""Maths!M:N""), 2, FALSE)"),"Determine the unknown side length if the perimeter or related description of a rectangle is given in context.")</f>
        <v>Determine the unknown side length if the perimeter or related description of a rectangle is given in context.</v>
      </c>
      <c r="O66" s="10" t="str">
        <f t="shared" si="3"/>
        <v>LU000324.004</v>
      </c>
      <c r="P66" s="10" t="str">
        <f ca="1">IFERROR(__xludf.DUMMYFUNCTION("VLOOKUP(O66, IMPORTRANGE(""https://docs.google.com/spreadsheets/d/1yDAaXNsi4Mr5FtRQL4tbmSdIzhx6_m4wkOD7IG-k_eo/edit#gid=0"", ""Maths!M:N""), 2, FALSE)"),"Solve word problems involving the formula for the perimeter of a rectangle.")</f>
        <v>Solve word problems involving the formula for the perimeter of a rectangle.</v>
      </c>
      <c r="Q66" s="10" t="str">
        <f t="shared" si="4"/>
        <v>LU000324.005</v>
      </c>
      <c r="R66" s="10" t="str">
        <f ca="1">IFERROR(__xludf.DUMMYFUNCTION("VLOOKUP(Q66, IMPORTRANGE(""https://docs.google.com/spreadsheets/d/1yDAaXNsi4Mr5FtRQL4tbmSdIzhx6_m4wkOD7IG-k_eo/edit#gid=0"", ""Maths!M:N""), 2, FALSE)"),"#N/A")</f>
        <v>#N/A</v>
      </c>
      <c r="S66" s="10" t="str">
        <f t="shared" si="5"/>
        <v>LU000324.006</v>
      </c>
      <c r="T66" s="10" t="str">
        <f ca="1">IFERROR(__xludf.DUMMYFUNCTION("VLOOKUP(S66, IMPORTRANGE(""https://docs.google.com/spreadsheets/d/1yDAaXNsi4Mr5FtRQL4tbmSdIzhx6_m4wkOD7IG-k_eo/edit#gid=0"", ""Maths!M:N""), 2, FALSE)"),"#N/A")</f>
        <v>#N/A</v>
      </c>
      <c r="U66" s="11">
        <f ca="1">IFERROR(__xludf.DUMMYFUNCTION("ArrayFormula(VLOOKUP(G66, IMPORTRANGE(""https://docs.google.com/spreadsheets/d/1p7R4vtkWt5VOBim4ltsDG9KTzSjrtKXsMtQGXPHyND0/edit#gid=795171502"", ""'Filter 30_05_2024'!A1:M2000""), {2, 3, 4, 5,6,7,8,9,10,11,12,13}, 0))"),21)</f>
        <v>21</v>
      </c>
      <c r="V66" s="11">
        <f ca="1">IFERROR(__xludf.DUMMYFUNCTION("""COMPUTED_VALUE"""),11)</f>
        <v>11</v>
      </c>
      <c r="W66" s="11">
        <f ca="1">IFERROR(__xludf.DUMMYFUNCTION("""COMPUTED_VALUE"""),2)</f>
        <v>2</v>
      </c>
      <c r="X66" s="11">
        <f ca="1">IFERROR(__xludf.DUMMYFUNCTION("""COMPUTED_VALUE"""),34)</f>
        <v>34</v>
      </c>
      <c r="Y66" s="11">
        <f ca="1">IFERROR(__xludf.DUMMYFUNCTION("""COMPUTED_VALUE"""),10)</f>
        <v>10</v>
      </c>
      <c r="Z66" s="12">
        <f ca="1">IFERROR(__xludf.DUMMYFUNCTION("""COMPUTED_VALUE"""),4)</f>
        <v>4</v>
      </c>
      <c r="AA66" s="12">
        <f ca="1">IFERROR(__xludf.DUMMYFUNCTION("""COMPUTED_VALUE"""),3)</f>
        <v>3</v>
      </c>
      <c r="AB66" s="12">
        <f ca="1">IFERROR(__xludf.DUMMYFUNCTION("""COMPUTED_VALUE"""),17)</f>
        <v>17</v>
      </c>
      <c r="AC66" s="11"/>
      <c r="AD66" s="12"/>
      <c r="AE66" s="12"/>
      <c r="AF66" s="12"/>
      <c r="AG66" s="13" t="str">
        <f ca="1">IFERROR(__xludf.DUMMYFUNCTION("ArrayFormula(VLOOKUP(G66, IMPORTRANGE(""https://docs.google.com/spreadsheets/d/1Co934fvtviyaRiMsrIlT05Jaq7iiYq07aLvRr35KA48/edit?gid=173865642#gid=173865642"", ""'G6_Maths GP_Pri_LU'!G2:V2000""), {3, 4, 5, 6, 7, 8, 9, 10, 11, 12, 13, 14, 15, 16}, 0))"),"LU000028")</f>
        <v>LU000028</v>
      </c>
      <c r="AH66" s="13" t="str">
        <f ca="1">IFERROR(__xludf.DUMMYFUNCTION("""COMPUTED_VALUE"""),"Perimeter of a rectangle using a square grid")</f>
        <v>Perimeter of a rectangle using a square grid</v>
      </c>
      <c r="AI66" s="13" t="str">
        <f ca="1">IFERROR(__xludf.DUMMYFUNCTION("""COMPUTED_VALUE"""),"LU000597")</f>
        <v>LU000597</v>
      </c>
      <c r="AJ66" s="13" t="str">
        <f ca="1">IFERROR(__xludf.DUMMYFUNCTION("""COMPUTED_VALUE"""),"Definition of rectangle")</f>
        <v>Definition of rectangle</v>
      </c>
      <c r="AK66" s="13" t="str">
        <f ca="1">IFERROR(__xludf.DUMMYFUNCTION("""COMPUTED_VALUE"""),"LU000027")</f>
        <v>LU000027</v>
      </c>
      <c r="AL66" s="13" t="str">
        <f ca="1">IFERROR(__xludf.DUMMYFUNCTION("""COMPUTED_VALUE"""),"Definition of perimeter")</f>
        <v>Definition of perimeter</v>
      </c>
      <c r="AM66" s="13"/>
      <c r="AN66" s="13"/>
      <c r="AO66" s="13"/>
      <c r="AP66" s="13"/>
      <c r="AQ66" s="13"/>
      <c r="AR66" s="13"/>
      <c r="AS66" s="13"/>
      <c r="AT66" s="13"/>
    </row>
    <row r="67" spans="1:46" ht="27">
      <c r="A67" s="8" t="s">
        <v>46</v>
      </c>
      <c r="B67" s="8" t="s">
        <v>47</v>
      </c>
      <c r="C67" s="8" t="s">
        <v>48</v>
      </c>
      <c r="D67" s="8" t="s">
        <v>49</v>
      </c>
      <c r="E67" s="8" t="s">
        <v>151</v>
      </c>
      <c r="F67" s="21" t="s">
        <v>152</v>
      </c>
      <c r="G67" s="19" t="s">
        <v>154</v>
      </c>
      <c r="H67" s="8" t="str">
        <f ca="1">IFERROR(__xludf.DUMMYFUNCTION("VLOOKUP(G67, IMPORTRANGE(""https://docs.google.com/spreadsheets/d/14deopnvwcrKtEGCKuYXdUHJbeLDZlkiSSWWT0g7x2pM/edit#gid=999382323"", ""LU List Maths (Filter)!A:B""), 2, FALSE)"),"Perimeter of a square using formula")</f>
        <v>Perimeter of a square using formula</v>
      </c>
      <c r="I67" s="10" t="str">
        <f t="shared" si="0"/>
        <v>LU001356.001</v>
      </c>
      <c r="J67" s="10" t="str">
        <f ca="1">IFERROR(__xludf.DUMMYFUNCTION("VLOOKUP(I67, IMPORTRANGE(""https://docs.google.com/spreadsheets/d/1yDAaXNsi4Mr5FtRQL4tbmSdIzhx6_m4wkOD7IG-k_eo/edit#gid=0"", ""Maths!M:N""), 2, FALSE)"),"Recall the formula for calculating the perimeter of a square.")</f>
        <v>Recall the formula for calculating the perimeter of a square.</v>
      </c>
      <c r="K67" s="10" t="str">
        <f t="shared" si="1"/>
        <v>LU001356.002</v>
      </c>
      <c r="L67" s="10" t="str">
        <f ca="1">IFERROR(__xludf.DUMMYFUNCTION("VLOOKUP(K67, IMPORTRANGE(""https://docs.google.com/spreadsheets/d/1yDAaXNsi4Mr5FtRQL4tbmSdIzhx6_m4wkOD7IG-k_eo/edit#gid=0"", ""Maths!M:N""), 2, FALSE)"),"Explain how the side length of a square relates to its perimeter.")</f>
        <v>Explain how the side length of a square relates to its perimeter.</v>
      </c>
      <c r="M67" s="10" t="str">
        <f t="shared" si="2"/>
        <v>LU001356.003</v>
      </c>
      <c r="N67" s="10" t="str">
        <f ca="1">IFERROR(__xludf.DUMMYFUNCTION("VLOOKUP(M67, IMPORTRANGE(""https://docs.google.com/spreadsheets/d/1yDAaXNsi4Mr5FtRQL4tbmSdIzhx6_m4wkOD7IG-k_eo/edit#gid=0"", ""Maths!M:N""), 2, FALSE)"),"Calculate the perimeter of various squares given their side lengths.")</f>
        <v>Calculate the perimeter of various squares given their side lengths.</v>
      </c>
      <c r="O67" s="10" t="str">
        <f t="shared" si="3"/>
        <v>LU001356.004</v>
      </c>
      <c r="P67" s="10" t="str">
        <f ca="1">IFERROR(__xludf.DUMMYFUNCTION("VLOOKUP(O67, IMPORTRANGE(""https://docs.google.com/spreadsheets/d/1yDAaXNsi4Mr5FtRQL4tbmSdIzhx6_m4wkOD7IG-k_eo/edit#gid=0"", ""Maths!M:N""), 2, FALSE)"),"Compare the perimeters of squares with different side lengths using the formula.")</f>
        <v>Compare the perimeters of squares with different side lengths using the formula.</v>
      </c>
      <c r="Q67" s="10" t="str">
        <f t="shared" si="4"/>
        <v>LU001356.005</v>
      </c>
      <c r="R67" s="10" t="str">
        <f ca="1">IFERROR(__xludf.DUMMYFUNCTION("VLOOKUP(Q67, IMPORTRANGE(""https://docs.google.com/spreadsheets/d/1yDAaXNsi4Mr5FtRQL4tbmSdIzhx6_m4wkOD7IG-k_eo/edit#gid=0"", ""Maths!M:N""), 2, FALSE)"),"Evaluate the accuracy of perimeter calculations for squares in different contexts.")</f>
        <v>Evaluate the accuracy of perimeter calculations for squares in different contexts.</v>
      </c>
      <c r="S67" s="10" t="str">
        <f t="shared" si="5"/>
        <v>LU001356.006</v>
      </c>
      <c r="T67" s="10" t="str">
        <f ca="1">IFERROR(__xludf.DUMMYFUNCTION("VLOOKUP(S67, IMPORTRANGE(""https://docs.google.com/spreadsheets/d/1yDAaXNsi4Mr5FtRQL4tbmSdIzhx6_m4wkOD7IG-k_eo/edit#gid=0"", ""Maths!M:N""), 2, FALSE)"),"Create word problems involving the perimeter of a square and solve them using the formula.")</f>
        <v>Create word problems involving the perimeter of a square and solve them using the formula.</v>
      </c>
      <c r="U67" s="11">
        <f ca="1">IFERROR(__xludf.DUMMYFUNCTION("ArrayFormula(VLOOKUP(G67, IMPORTRANGE(""https://docs.google.com/spreadsheets/d/1p7R4vtkWt5VOBim4ltsDG9KTzSjrtKXsMtQGXPHyND0/edit#gid=795171502"", ""'Filter 30_05_2024'!A1:M2000""), {2, 3, 4, 5,6,7,8,9,10,11,12,13}, 0))"),4)</f>
        <v>4</v>
      </c>
      <c r="V67" s="11">
        <f ca="1">IFERROR(__xludf.DUMMYFUNCTION("""COMPUTED_VALUE"""),6)</f>
        <v>6</v>
      </c>
      <c r="W67" s="11">
        <f ca="1">IFERROR(__xludf.DUMMYFUNCTION("""COMPUTED_VALUE"""),2)</f>
        <v>2</v>
      </c>
      <c r="X67" s="11">
        <f ca="1">IFERROR(__xludf.DUMMYFUNCTION("""COMPUTED_VALUE"""),12)</f>
        <v>12</v>
      </c>
      <c r="Y67" s="11">
        <f ca="1">IFERROR(__xludf.DUMMYFUNCTION("""COMPUTED_VALUE"""),4)</f>
        <v>4</v>
      </c>
      <c r="Z67" s="12">
        <f ca="1">IFERROR(__xludf.DUMMYFUNCTION("""COMPUTED_VALUE"""),3)</f>
        <v>3</v>
      </c>
      <c r="AA67" s="12">
        <f ca="1">IFERROR(__xludf.DUMMYFUNCTION("""COMPUTED_VALUE"""),1)</f>
        <v>1</v>
      </c>
      <c r="AB67" s="12">
        <f ca="1">IFERROR(__xludf.DUMMYFUNCTION("""COMPUTED_VALUE"""),8)</f>
        <v>8</v>
      </c>
      <c r="AC67" s="11"/>
      <c r="AD67" s="12"/>
      <c r="AE67" s="12"/>
      <c r="AF67" s="12"/>
      <c r="AG67" s="13" t="str">
        <f ca="1">IFERROR(__xludf.DUMMYFUNCTION("ArrayFormula(VLOOKUP(G67, IMPORTRANGE(""https://docs.google.com/spreadsheets/d/1Co934fvtviyaRiMsrIlT05Jaq7iiYq07aLvRr35KA48/edit?gid=173865642#gid=173865642"", ""'G6_Maths GP_Pri_LU'!G2:V2000""), {3, 4, 5, 6, 7, 8, 9, 10, 11, 12, 13, 14, 15, 16}, 0))"),"LU000597")</f>
        <v>LU000597</v>
      </c>
      <c r="AH67" s="13" t="str">
        <f ca="1">IFERROR(__xludf.DUMMYFUNCTION("""COMPUTED_VALUE"""),"Definition of rectangle")</f>
        <v>Definition of rectangle</v>
      </c>
      <c r="AI67" s="13" t="str">
        <f ca="1">IFERROR(__xludf.DUMMYFUNCTION("""COMPUTED_VALUE"""),"LU000027")</f>
        <v>LU000027</v>
      </c>
      <c r="AJ67" s="13" t="str">
        <f ca="1">IFERROR(__xludf.DUMMYFUNCTION("""COMPUTED_VALUE"""),"Definition of perimeter")</f>
        <v>Definition of perimeter</v>
      </c>
      <c r="AK67" s="13"/>
      <c r="AL67" s="13"/>
      <c r="AM67" s="13"/>
      <c r="AN67" s="13"/>
      <c r="AO67" s="13"/>
      <c r="AP67" s="13"/>
      <c r="AQ67" s="13"/>
      <c r="AR67" s="13"/>
      <c r="AS67" s="13"/>
      <c r="AT67" s="13"/>
    </row>
    <row r="68" spans="1:46" ht="53.4">
      <c r="A68" s="8" t="s">
        <v>46</v>
      </c>
      <c r="B68" s="8" t="s">
        <v>47</v>
      </c>
      <c r="C68" s="8" t="s">
        <v>48</v>
      </c>
      <c r="D68" s="8" t="s">
        <v>49</v>
      </c>
      <c r="E68" s="8" t="s">
        <v>151</v>
      </c>
      <c r="F68" s="21" t="s">
        <v>152</v>
      </c>
      <c r="G68" s="16" t="s">
        <v>155</v>
      </c>
      <c r="H68" s="8" t="str">
        <f ca="1">IFERROR(__xludf.DUMMYFUNCTION("VLOOKUP(G68, IMPORTRANGE(""https://docs.google.com/spreadsheets/d/14deopnvwcrKtEGCKuYXdUHJbeLDZlkiSSWWT0g7x2pM/edit#gid=999382323"", ""LU List Maths (Filter)!A:B""), 2, FALSE)"),"Perimeter of regular shapes (regular polygons)")</f>
        <v>Perimeter of regular shapes (regular polygons)</v>
      </c>
      <c r="I68" s="10" t="str">
        <f t="shared" si="0"/>
        <v>LU000325.001</v>
      </c>
      <c r="J68" s="10" t="str">
        <f ca="1">IFERROR(__xludf.DUMMYFUNCTION("VLOOKUP(I68, IMPORTRANGE(""https://docs.google.com/spreadsheets/d/1yDAaXNsi4Mr5FtRQL4tbmSdIzhx6_m4wkOD7IG-k_eo/edit#gid=0"", ""Maths!M:N""), 2, FALSE)"),"Deduce the formula for the Perimeter of regular shapes (regular polygons). (equilateral triangle, square, pentagon, hexagon, heptagon, octagon)")</f>
        <v>Deduce the formula for the Perimeter of regular shapes (regular polygons). (equilateral triangle, square, pentagon, hexagon, heptagon, octagon)</v>
      </c>
      <c r="K68" s="10" t="str">
        <f t="shared" si="1"/>
        <v>LU000325.002</v>
      </c>
      <c r="L68" s="10" t="str">
        <f ca="1">IFERROR(__xludf.DUMMYFUNCTION("VLOOKUP(K68, IMPORTRANGE(""https://docs.google.com/spreadsheets/d/1yDAaXNsi4Mr5FtRQL4tbmSdIzhx6_m4wkOD7IG-k_eo/edit#gid=0"", ""Maths!M:N""), 2, FALSE)"),"Calculate the Perimeter of regular shapes (regular polygons). (equilateral triangle, square, pentagon, hexagon, heptagon, octagon).")</f>
        <v>Calculate the Perimeter of regular shapes (regular polygons). (equilateral triangle, square, pentagon, hexagon, heptagon, octagon).</v>
      </c>
      <c r="M68" s="10" t="str">
        <f t="shared" si="2"/>
        <v>LU000325.003</v>
      </c>
      <c r="N68" s="10" t="str">
        <f ca="1">IFERROR(__xludf.DUMMYFUNCTION("VLOOKUP(M68, IMPORTRANGE(""https://docs.google.com/spreadsheets/d/1yDAaXNsi4Mr5FtRQL4tbmSdIzhx6_m4wkOD7IG-k_eo/edit#gid=0"", ""Maths!M:N""), 2, FALSE)"),"Solve real-world problems involving the perimeters of regular polygons (equilateral triangle, square, pentagon, hexagon, heptagon, octagon).")</f>
        <v>Solve real-world problems involving the perimeters of regular polygons (equilateral triangle, square, pentagon, hexagon, heptagon, octagon).</v>
      </c>
      <c r="O68" s="10" t="str">
        <f t="shared" si="3"/>
        <v>LU000325.004</v>
      </c>
      <c r="P68" s="10" t="str">
        <f ca="1">IFERROR(__xludf.DUMMYFUNCTION("VLOOKUP(O68, IMPORTRANGE(""https://docs.google.com/spreadsheets/d/1yDAaXNsi4Mr5FtRQL4tbmSdIzhx6_m4wkOD7IG-k_eo/edit#gid=0"", ""Maths!M:N""), 2, FALSE)"),"Determine the unknown side length if the perimeter or related description of a polygon is given in context.")</f>
        <v>Determine the unknown side length if the perimeter or related description of a polygon is given in context.</v>
      </c>
      <c r="Q68" s="10" t="str">
        <f t="shared" si="4"/>
        <v>LU000325.005</v>
      </c>
      <c r="R68" s="10" t="str">
        <f ca="1">IFERROR(__xludf.DUMMYFUNCTION("VLOOKUP(Q68, IMPORTRANGE(""https://docs.google.com/spreadsheets/d/1yDAaXNsi4Mr5FtRQL4tbmSdIzhx6_m4wkOD7IG-k_eo/edit#gid=0"", ""Maths!M:N""), 2, FALSE)"),"Evaluate the efficiency of using the perimeter formula for different regular shapes in practical contexts.")</f>
        <v>Evaluate the efficiency of using the perimeter formula for different regular shapes in practical contexts.</v>
      </c>
      <c r="S68" s="10" t="str">
        <f t="shared" si="5"/>
        <v>LU000325.006</v>
      </c>
      <c r="T68" s="10" t="str">
        <f ca="1">IFERROR(__xludf.DUMMYFUNCTION("VLOOKUP(S68, IMPORTRANGE(""https://docs.google.com/spreadsheets/d/1yDAaXNsi4Mr5FtRQL4tbmSdIzhx6_m4wkOD7IG-k_eo/edit#gid=0"", ""Maths!M:N""), 2, FALSE)"),"Generate scenarios that require calculating the perimeters of various regular shapes.")</f>
        <v>Generate scenarios that require calculating the perimeters of various regular shapes.</v>
      </c>
      <c r="U68" s="11">
        <f ca="1">IFERROR(__xludf.DUMMYFUNCTION("ArrayFormula(VLOOKUP(G68, IMPORTRANGE(""https://docs.google.com/spreadsheets/d/1p7R4vtkWt5VOBim4ltsDG9KTzSjrtKXsMtQGXPHyND0/edit#gid=795171502"", ""'Filter 30_05_2024'!A1:M2000""), {2, 3, 4, 5,6,7,8,9,10,11,12,13}, 0))"),4)</f>
        <v>4</v>
      </c>
      <c r="V68" s="11">
        <f ca="1">IFERROR(__xludf.DUMMYFUNCTION("""COMPUTED_VALUE"""),6)</f>
        <v>6</v>
      </c>
      <c r="W68" s="11">
        <f ca="1">IFERROR(__xludf.DUMMYFUNCTION("""COMPUTED_VALUE"""),2)</f>
        <v>2</v>
      </c>
      <c r="X68" s="11">
        <f ca="1">IFERROR(__xludf.DUMMYFUNCTION("""COMPUTED_VALUE"""),12)</f>
        <v>12</v>
      </c>
      <c r="Y68" s="11">
        <f ca="1">IFERROR(__xludf.DUMMYFUNCTION("""COMPUTED_VALUE"""),4)</f>
        <v>4</v>
      </c>
      <c r="Z68" s="12">
        <f ca="1">IFERROR(__xludf.DUMMYFUNCTION("""COMPUTED_VALUE"""),6)</f>
        <v>6</v>
      </c>
      <c r="AA68" s="12">
        <f ca="1">IFERROR(__xludf.DUMMYFUNCTION("""COMPUTED_VALUE"""),1)</f>
        <v>1</v>
      </c>
      <c r="AB68" s="12">
        <f ca="1">IFERROR(__xludf.DUMMYFUNCTION("""COMPUTED_VALUE"""),11)</f>
        <v>11</v>
      </c>
      <c r="AC68" s="11"/>
      <c r="AD68" s="12"/>
      <c r="AE68" s="12"/>
      <c r="AF68" s="12"/>
      <c r="AG68" s="13" t="str">
        <f ca="1">IFERROR(__xludf.DUMMYFUNCTION("ArrayFormula(VLOOKUP(G68, IMPORTRANGE(""https://docs.google.com/spreadsheets/d/1Co934fvtviyaRiMsrIlT05Jaq7iiYq07aLvRr35KA48/edit?gid=173865642#gid=173865642"", ""'G6_Maths GP_Pri_LU'!G2:V2000""), {3, 4, 5, 6, 7, 8, 9, 10, 11, 12, 13, 14, 15, 16}, 0))"),"LU000905")</f>
        <v>LU000905</v>
      </c>
      <c r="AH68" s="13" t="str">
        <f ca="1">IFERROR(__xludf.DUMMYFUNCTION("""COMPUTED_VALUE"""),"Definition of regular and irregular polygon")</f>
        <v>Definition of regular and irregular polygon</v>
      </c>
      <c r="AI68" s="13" t="str">
        <f ca="1">IFERROR(__xludf.DUMMYFUNCTION("""COMPUTED_VALUE"""),"LU000245")</f>
        <v>LU000245</v>
      </c>
      <c r="AJ68" s="13" t="str">
        <f ca="1">IFERROR(__xludf.DUMMYFUNCTION("""COMPUTED_VALUE"""),"Classification of polygons based on the number of the sides")</f>
        <v>Classification of polygons based on the number of the sides</v>
      </c>
      <c r="AK68" s="13" t="str">
        <f ca="1">IFERROR(__xludf.DUMMYFUNCTION("""COMPUTED_VALUE"""),"LU000027")</f>
        <v>LU000027</v>
      </c>
      <c r="AL68" s="13" t="str">
        <f ca="1">IFERROR(__xludf.DUMMYFUNCTION("""COMPUTED_VALUE"""),"Definition of perimeter")</f>
        <v>Definition of perimeter</v>
      </c>
      <c r="AM68" s="13"/>
      <c r="AN68" s="13"/>
      <c r="AO68" s="13"/>
      <c r="AP68" s="13"/>
      <c r="AQ68" s="13"/>
      <c r="AR68" s="13"/>
      <c r="AS68" s="13"/>
      <c r="AT68" s="13"/>
    </row>
    <row r="69" spans="1:46" ht="40.200000000000003">
      <c r="A69" s="8" t="s">
        <v>46</v>
      </c>
      <c r="B69" s="8" t="s">
        <v>47</v>
      </c>
      <c r="C69" s="8" t="s">
        <v>48</v>
      </c>
      <c r="D69" s="8" t="s">
        <v>49</v>
      </c>
      <c r="E69" s="8" t="s">
        <v>151</v>
      </c>
      <c r="F69" s="8" t="s">
        <v>156</v>
      </c>
      <c r="G69" s="19" t="s">
        <v>157</v>
      </c>
      <c r="H69" s="8" t="str">
        <f ca="1">IFERROR(__xludf.DUMMYFUNCTION("VLOOKUP(G69, IMPORTRANGE(""https://docs.google.com/spreadsheets/d/14deopnvwcrKtEGCKuYXdUHJbeLDZlkiSSWWT0g7x2pM/edit#gid=999382323"", ""LU List Maths (Filter)!A:B""), 2, FALSE)"),"Perimeter of the figures using grids (straight and diagonal units)")</f>
        <v>Perimeter of the figures using grids (straight and diagonal units)</v>
      </c>
      <c r="I69" s="10" t="str">
        <f t="shared" si="0"/>
        <v>LU001357.001</v>
      </c>
      <c r="J69" s="10" t="str">
        <f ca="1">IFERROR(__xludf.DUMMYFUNCTION("VLOOKUP(I69, IMPORTRANGE(""https://docs.google.com/spreadsheets/d/1yDAaXNsi4Mr5FtRQL4tbmSdIzhx6_m4wkOD7IG-k_eo/edit#gid=0"", ""Maths!M:N""), 2, FALSE)"),"Identify and differentiate between straight and diagonal units when measuring the perimeter on a grid.")</f>
        <v>Identify and differentiate between straight and diagonal units when measuring the perimeter on a grid.</v>
      </c>
      <c r="K69" s="10" t="str">
        <f t="shared" si="1"/>
        <v>LU001357.002</v>
      </c>
      <c r="L69" s="10" t="str">
        <f ca="1">IFERROR(__xludf.DUMMYFUNCTION("VLOOKUP(K69, IMPORTRANGE(""https://docs.google.com/spreadsheets/d/1yDAaXNsi4Mr5FtRQL4tbmSdIzhx6_m4wkOD7IG-k_eo/edit#gid=0"", ""Maths!M:N""), 2, FALSE)"),"Explain how the combination of straight and diagonal units affects the perimeter of a figure on a grid.")</f>
        <v>Explain how the combination of straight and diagonal units affects the perimeter of a figure on a grid.</v>
      </c>
      <c r="M69" s="10" t="str">
        <f t="shared" si="2"/>
        <v>LU001357.003</v>
      </c>
      <c r="N69" s="10" t="str">
        <f ca="1">IFERROR(__xludf.DUMMYFUNCTION("VLOOKUP(M69, IMPORTRANGE(""https://docs.google.com/spreadsheets/d/1yDAaXNsi4Mr5FtRQL4tbmSdIzhx6_m4wkOD7IG-k_eo/edit#gid=0"", ""Maths!M:N""), 2, FALSE)"),"Calculate the perimeter of various figures on a grid by summing the straight and diagonal units.")</f>
        <v>Calculate the perimeter of various figures on a grid by summing the straight and diagonal units.</v>
      </c>
      <c r="O69" s="10" t="str">
        <f t="shared" si="3"/>
        <v>LU001357.004</v>
      </c>
      <c r="P69" s="10" t="str">
        <f ca="1">IFERROR(__xludf.DUMMYFUNCTION("VLOOKUP(O69, IMPORTRANGE(""https://docs.google.com/spreadsheets/d/1yDAaXNsi4Mr5FtRQL4tbmSdIzhx6_m4wkOD7IG-k_eo/edit#gid=0"", ""Maths!M:N""), 2, FALSE)"),"Compare different figures on a grid in terms of their perimeter, taking into account both straight and diagonal units.")</f>
        <v>Compare different figures on a grid in terms of their perimeter, taking into account both straight and diagonal units.</v>
      </c>
      <c r="Q69" s="10" t="str">
        <f t="shared" si="4"/>
        <v>LU001357.005</v>
      </c>
      <c r="R69" s="10" t="str">
        <f ca="1">IFERROR(__xludf.DUMMYFUNCTION("VLOOKUP(Q69, IMPORTRANGE(""https://docs.google.com/spreadsheets/d/1yDAaXNsi4Mr5FtRQL4tbmSdIzhx6_m4wkOD7IG-k_eo/edit#gid=0"", ""Maths!M:N""), 2, FALSE)"),"Evaluate the accuracy of perimeter calculations on grids by estimating and then measuring the boundary of shapes.")</f>
        <v>Evaluate the accuracy of perimeter calculations on grids by estimating and then measuring the boundary of shapes.</v>
      </c>
      <c r="S69" s="10" t="str">
        <f t="shared" si="5"/>
        <v>LU001357.006</v>
      </c>
      <c r="T69" s="10" t="str">
        <f ca="1">IFERROR(__xludf.DUMMYFUNCTION("VLOOKUP(S69, IMPORTRANGE(""https://docs.google.com/spreadsheets/d/1yDAaXNsi4Mr5FtRQL4tbmSdIzhx6_m4wkOD7IG-k_eo/edit#gid=0"", ""Maths!M:N""), 2, FALSE)"),"Design and analyze grid-based figures to explore how varying the number of straight and diagonal units changes the perimeter.")</f>
        <v>Design and analyze grid-based figures to explore how varying the number of straight and diagonal units changes the perimeter.</v>
      </c>
      <c r="U69" s="11">
        <f ca="1">IFERROR(__xludf.DUMMYFUNCTION("ArrayFormula(VLOOKUP(G69, IMPORTRANGE(""https://docs.google.com/spreadsheets/d/1p7R4vtkWt5VOBim4ltsDG9KTzSjrtKXsMtQGXPHyND0/edit#gid=795171502"", ""'Filter 30_05_2024'!A1:M2000""), {2, 3, 4, 5,6,7,8,9,10,11,12,13}, 0))"),4)</f>
        <v>4</v>
      </c>
      <c r="V69" s="11">
        <f ca="1">IFERROR(__xludf.DUMMYFUNCTION("""COMPUTED_VALUE"""),6)</f>
        <v>6</v>
      </c>
      <c r="W69" s="11">
        <f ca="1">IFERROR(__xludf.DUMMYFUNCTION("""COMPUTED_VALUE"""),2)</f>
        <v>2</v>
      </c>
      <c r="X69" s="11">
        <f ca="1">IFERROR(__xludf.DUMMYFUNCTION("""COMPUTED_VALUE"""),12)</f>
        <v>12</v>
      </c>
      <c r="Y69" s="11">
        <f ca="1">IFERROR(__xludf.DUMMYFUNCTION("""COMPUTED_VALUE"""),4)</f>
        <v>4</v>
      </c>
      <c r="Z69" s="12">
        <f ca="1">IFERROR(__xludf.DUMMYFUNCTION("""COMPUTED_VALUE"""),3)</f>
        <v>3</v>
      </c>
      <c r="AA69" s="12">
        <f ca="1">IFERROR(__xludf.DUMMYFUNCTION("""COMPUTED_VALUE"""),1)</f>
        <v>1</v>
      </c>
      <c r="AB69" s="12">
        <f ca="1">IFERROR(__xludf.DUMMYFUNCTION("""COMPUTED_VALUE"""),8)</f>
        <v>8</v>
      </c>
      <c r="AC69" s="11"/>
      <c r="AD69" s="12"/>
      <c r="AE69" s="12"/>
      <c r="AF69" s="12"/>
      <c r="AG69" s="13" t="str">
        <f ca="1">IFERROR(__xludf.DUMMYFUNCTION("ArrayFormula(VLOOKUP(G69, IMPORTRANGE(""https://docs.google.com/spreadsheets/d/1Co934fvtviyaRiMsrIlT05Jaq7iiYq07aLvRr35KA48/edit?gid=173865642#gid=173865642"", ""'G6_Maths GP_Pri_LU'!G2:V2000""), {3, 4, 5, 6, 7, 8, 9, 10, 11, 12, 13, 14, 15, 16}, 0))"),"LU000105")</f>
        <v>LU000105</v>
      </c>
      <c r="AH69" s="13" t="str">
        <f ca="1">IFERROR(__xludf.DUMMYFUNCTION("""COMPUTED_VALUE"""),"Measure of sides of a rectangle/square drawn on a unit square grid")</f>
        <v>Measure of sides of a rectangle/square drawn on a unit square grid</v>
      </c>
      <c r="AI69" s="13" t="str">
        <f ca="1">IFERROR(__xludf.DUMMYFUNCTION("""COMPUTED_VALUE"""),"LU000027")</f>
        <v>LU000027</v>
      </c>
      <c r="AJ69" s="13" t="str">
        <f ca="1">IFERROR(__xludf.DUMMYFUNCTION("""COMPUTED_VALUE"""),"Definition of perimeter")</f>
        <v>Definition of perimeter</v>
      </c>
      <c r="AK69" s="13"/>
      <c r="AL69" s="13"/>
      <c r="AM69" s="13"/>
      <c r="AN69" s="13"/>
      <c r="AO69" s="13"/>
      <c r="AP69" s="13"/>
      <c r="AQ69" s="13"/>
      <c r="AR69" s="13"/>
      <c r="AS69" s="13"/>
      <c r="AT69" s="13"/>
    </row>
    <row r="70" spans="1:46" ht="40.200000000000003">
      <c r="A70" s="8" t="s">
        <v>46</v>
      </c>
      <c r="B70" s="8" t="s">
        <v>47</v>
      </c>
      <c r="C70" s="8" t="s">
        <v>48</v>
      </c>
      <c r="D70" s="8" t="s">
        <v>49</v>
      </c>
      <c r="E70" s="8" t="s">
        <v>151</v>
      </c>
      <c r="F70" s="8" t="s">
        <v>158</v>
      </c>
      <c r="G70" s="16" t="s">
        <v>159</v>
      </c>
      <c r="H70" s="8" t="str">
        <f ca="1">IFERROR(__xludf.DUMMYFUNCTION("VLOOKUP(G70, IMPORTRANGE(""https://docs.google.com/spreadsheets/d/14deopnvwcrKtEGCKuYXdUHJbeLDZlkiSSWWT0g7x2pM/edit#gid=999382323"", ""LU List Maths (Filter)!A:B""), 2, FALSE)"),"Area of a rectangle using formula")</f>
        <v>Area of a rectangle using formula</v>
      </c>
      <c r="I70" s="10" t="str">
        <f t="shared" si="0"/>
        <v>LU000327.001</v>
      </c>
      <c r="J70" s="10" t="str">
        <f ca="1">IFERROR(__xludf.DUMMYFUNCTION("VLOOKUP(I70, IMPORTRANGE(""https://docs.google.com/spreadsheets/d/1yDAaXNsi4Mr5FtRQL4tbmSdIzhx6_m4wkOD7IG-k_eo/edit#gid=0"", ""Maths!M:N""), 2, FALSE)"),"Recall the formula for calculating the area of a rectangle.")</f>
        <v>Recall the formula for calculating the area of a rectangle.</v>
      </c>
      <c r="K70" s="10" t="str">
        <f t="shared" si="1"/>
        <v>LU000327.002</v>
      </c>
      <c r="L70" s="10" t="str">
        <f ca="1">IFERROR(__xludf.DUMMYFUNCTION("VLOOKUP(K70, IMPORTRANGE(""https://docs.google.com/spreadsheets/d/1yDAaXNsi4Mr5FtRQL4tbmSdIzhx6_m4wkOD7IG-k_eo/edit#gid=0"", ""Maths!M:N""), 2, FALSE)"),"Find the area of a rectangle using its formula.")</f>
        <v>Find the area of a rectangle using its formula.</v>
      </c>
      <c r="M70" s="10" t="str">
        <f t="shared" si="2"/>
        <v>LU000327.003</v>
      </c>
      <c r="N70" s="10" t="str">
        <f ca="1">IFERROR(__xludf.DUMMYFUNCTION("VLOOKUP(M70, IMPORTRANGE(""https://docs.google.com/spreadsheets/d/1yDAaXNsi4Mr5FtRQL4tbmSdIzhx6_m4wkOD7IG-k_eo/edit#gid=0"", ""Maths!M:N""), 2, FALSE)"),"Solve word problems involving the area of a rectangle.")</f>
        <v>Solve word problems involving the area of a rectangle.</v>
      </c>
      <c r="O70" s="10" t="str">
        <f t="shared" si="3"/>
        <v>LU000327.004</v>
      </c>
      <c r="P70" s="10" t="str">
        <f ca="1">IFERROR(__xludf.DUMMYFUNCTION("VLOOKUP(O70, IMPORTRANGE(""https://docs.google.com/spreadsheets/d/1yDAaXNsi4Mr5FtRQL4tbmSdIzhx6_m4wkOD7IG-k_eo/edit#gid=0"", ""Maths!M:N""), 2, FALSE)"),"Determine the unknown side if the area and one side of the rectangle is given.")</f>
        <v>Determine the unknown side if the area and one side of the rectangle is given.</v>
      </c>
      <c r="Q70" s="10" t="str">
        <f t="shared" si="4"/>
        <v>LU000327.005</v>
      </c>
      <c r="R70" s="10" t="str">
        <f ca="1">IFERROR(__xludf.DUMMYFUNCTION("VLOOKUP(Q70, IMPORTRANGE(""https://docs.google.com/spreadsheets/d/1yDAaXNsi4Mr5FtRQL4tbmSdIzhx6_m4wkOD7IG-k_eo/edit#gid=0"", ""Maths!M:N""), 2, FALSE)"),"Find the rectangle with the smallest perimeter by comparing rectangles with the same area but different perimeters.")</f>
        <v>Find the rectangle with the smallest perimeter by comparing rectangles with the same area but different perimeters.</v>
      </c>
      <c r="S70" s="10" t="str">
        <f t="shared" si="5"/>
        <v>LU000327.006</v>
      </c>
      <c r="T70" s="10" t="str">
        <f ca="1">IFERROR(__xludf.DUMMYFUNCTION("VLOOKUP(S70, IMPORTRANGE(""https://docs.google.com/spreadsheets/d/1yDAaXNsi4Mr5FtRQL4tbmSdIzhx6_m4wkOD7IG-k_eo/edit#gid=0"", ""Maths!M:N""), 2, FALSE)"),"#N/A")</f>
        <v>#N/A</v>
      </c>
      <c r="U70" s="11">
        <f ca="1">IFERROR(__xludf.DUMMYFUNCTION("ArrayFormula(VLOOKUP(G70, IMPORTRANGE(""https://docs.google.com/spreadsheets/d/1p7R4vtkWt5VOBim4ltsDG9KTzSjrtKXsMtQGXPHyND0/edit#gid=795171502"", ""'Filter 30_05_2024'!A1:M2000""), {2, 3, 4, 5,6,7,8,9,10,11,12,13}, 0))"),7)</f>
        <v>7</v>
      </c>
      <c r="V70" s="11">
        <f ca="1">IFERROR(__xludf.DUMMYFUNCTION("""COMPUTED_VALUE"""),12)</f>
        <v>12</v>
      </c>
      <c r="W70" s="11">
        <f ca="1">IFERROR(__xludf.DUMMYFUNCTION("""COMPUTED_VALUE"""),3)</f>
        <v>3</v>
      </c>
      <c r="X70" s="11">
        <f ca="1">IFERROR(__xludf.DUMMYFUNCTION("""COMPUTED_VALUE"""),22)</f>
        <v>22</v>
      </c>
      <c r="Y70" s="11">
        <f ca="1">IFERROR(__xludf.DUMMYFUNCTION("""COMPUTED_VALUE"""),9)</f>
        <v>9</v>
      </c>
      <c r="Z70" s="12">
        <f ca="1">IFERROR(__xludf.DUMMYFUNCTION("""COMPUTED_VALUE"""),4)</f>
        <v>4</v>
      </c>
      <c r="AA70" s="12">
        <f ca="1">IFERROR(__xludf.DUMMYFUNCTION("""COMPUTED_VALUE"""),1)</f>
        <v>1</v>
      </c>
      <c r="AB70" s="12">
        <f ca="1">IFERROR(__xludf.DUMMYFUNCTION("""COMPUTED_VALUE"""),14)</f>
        <v>14</v>
      </c>
      <c r="AC70" s="11"/>
      <c r="AD70" s="12"/>
      <c r="AE70" s="12"/>
      <c r="AF70" s="12"/>
      <c r="AG70" s="13" t="str">
        <f ca="1">IFERROR(__xludf.DUMMYFUNCTION("ArrayFormula(VLOOKUP(G70, IMPORTRANGE(""https://docs.google.com/spreadsheets/d/1Co934fvtviyaRiMsrIlT05Jaq7iiYq07aLvRr35KA48/edit?gid=173865642#gid=173865642"", ""'G6_Maths GP_Pri_LU'!G2:V2000""), {3, 4, 5, 6, 7, 8, 9, 10, 11, 12, 13, 14, 15, 16}, 0))"),"LU000324")</f>
        <v>LU000324</v>
      </c>
      <c r="AH70" s="13" t="str">
        <f ca="1">IFERROR(__xludf.DUMMYFUNCTION("""COMPUTED_VALUE"""),"Perimeter of a rectangle using formula")</f>
        <v>Perimeter of a rectangle using formula</v>
      </c>
      <c r="AI70" s="13" t="str">
        <f ca="1">IFERROR(__xludf.DUMMYFUNCTION("""COMPUTED_VALUE"""),"LU000326")</f>
        <v>LU000326</v>
      </c>
      <c r="AJ70" s="13" t="str">
        <f ca="1">IFERROR(__xludf.DUMMYFUNCTION("""COMPUTED_VALUE"""),"Area of closed figures using graph paper or square grid method")</f>
        <v>Area of closed figures using graph paper or square grid method</v>
      </c>
      <c r="AK70" s="13" t="str">
        <f ca="1">IFERROR(__xludf.DUMMYFUNCTION("""COMPUTED_VALUE"""),"LU000104")</f>
        <v>LU000104</v>
      </c>
      <c r="AL70" s="13" t="str">
        <f ca="1">IFERROR(__xludf.DUMMYFUNCTION("""COMPUTED_VALUE"""),"Area of a rectangle using everyday objects")</f>
        <v>Area of a rectangle using everyday objects</v>
      </c>
      <c r="AM70" s="13" t="str">
        <f ca="1">IFERROR(__xludf.DUMMYFUNCTION("""COMPUTED_VALUE"""),"LU000597")</f>
        <v>LU000597</v>
      </c>
      <c r="AN70" s="13" t="str">
        <f ca="1">IFERROR(__xludf.DUMMYFUNCTION("""COMPUTED_VALUE"""),"Definition of rectangle")</f>
        <v>Definition of rectangle</v>
      </c>
      <c r="AO70" s="13" t="str">
        <f ca="1">IFERROR(__xludf.DUMMYFUNCTION("""COMPUTED_VALUE"""),"LU000030")</f>
        <v>LU000030</v>
      </c>
      <c r="AP70" s="13" t="str">
        <f ca="1">IFERROR(__xludf.DUMMYFUNCTION("""COMPUTED_VALUE"""),"Definition of area")</f>
        <v>Definition of area</v>
      </c>
      <c r="AQ70" s="13"/>
      <c r="AR70" s="13"/>
      <c r="AS70" s="13"/>
      <c r="AT70" s="13"/>
    </row>
    <row r="71" spans="1:46" ht="27">
      <c r="A71" s="8" t="s">
        <v>46</v>
      </c>
      <c r="B71" s="8" t="s">
        <v>47</v>
      </c>
      <c r="C71" s="8" t="s">
        <v>48</v>
      </c>
      <c r="D71" s="8" t="s">
        <v>49</v>
      </c>
      <c r="E71" s="8" t="s">
        <v>151</v>
      </c>
      <c r="F71" s="8" t="s">
        <v>158</v>
      </c>
      <c r="G71" s="16" t="s">
        <v>160</v>
      </c>
      <c r="H71" s="8" t="str">
        <f ca="1">IFERROR(__xludf.DUMMYFUNCTION("VLOOKUP(G71, IMPORTRANGE(""https://docs.google.com/spreadsheets/d/14deopnvwcrKtEGCKuYXdUHJbeLDZlkiSSWWT0g7x2pM/edit#gid=999382323"", ""LU List Maths (Filter)!A:B""), 2, FALSE)"),"Area of a square using formula")</f>
        <v>Area of a square using formula</v>
      </c>
      <c r="I71" s="10" t="str">
        <f t="shared" si="0"/>
        <v>LU000328.001</v>
      </c>
      <c r="J71" s="10" t="str">
        <f ca="1">IFERROR(__xludf.DUMMYFUNCTION("VLOOKUP(I71, IMPORTRANGE(""https://docs.google.com/spreadsheets/d/1yDAaXNsi4Mr5FtRQL4tbmSdIzhx6_m4wkOD7IG-k_eo/edit#gid=0"", ""Maths!M:N""), 2, FALSE)"),"Recall the formula for calculating the area of a square.")</f>
        <v>Recall the formula for calculating the area of a square.</v>
      </c>
      <c r="K71" s="10" t="str">
        <f t="shared" si="1"/>
        <v>LU000328.002</v>
      </c>
      <c r="L71" s="10" t="str">
        <f ca="1">IFERROR(__xludf.DUMMYFUNCTION("VLOOKUP(K71, IMPORTRANGE(""https://docs.google.com/spreadsheets/d/1yDAaXNsi4Mr5FtRQL4tbmSdIzhx6_m4wkOD7IG-k_eo/edit#gid=0"", ""Maths!M:N""), 2, FALSE)"),"Find the area of a square.")</f>
        <v>Find the area of a square.</v>
      </c>
      <c r="M71" s="10" t="str">
        <f t="shared" si="2"/>
        <v>LU000328.003</v>
      </c>
      <c r="N71" s="10" t="str">
        <f ca="1">IFERROR(__xludf.DUMMYFUNCTION("VLOOKUP(M71, IMPORTRANGE(""https://docs.google.com/spreadsheets/d/1yDAaXNsi4Mr5FtRQL4tbmSdIzhx6_m4wkOD7IG-k_eo/edit#gid=0"", ""Maths!M:N""), 2, FALSE)"),"Solve word problems involving the area of a square.")</f>
        <v>Solve word problems involving the area of a square.</v>
      </c>
      <c r="O71" s="10" t="str">
        <f t="shared" si="3"/>
        <v>LU000328.004</v>
      </c>
      <c r="P71" s="10" t="str">
        <f ca="1">IFERROR(__xludf.DUMMYFUNCTION("VLOOKUP(O71, IMPORTRANGE(""https://docs.google.com/spreadsheets/d/1yDAaXNsi4Mr5FtRQL4tbmSdIzhx6_m4wkOD7IG-k_eo/edit#gid=0"", ""Maths!M:N""), 2, FALSE)"),"Determine the unknown side if the area of the square is given.")</f>
        <v>Determine the unknown side if the area of the square is given.</v>
      </c>
      <c r="Q71" s="10" t="str">
        <f t="shared" si="4"/>
        <v>LU000328.005</v>
      </c>
      <c r="R71" s="10" t="str">
        <f ca="1">IFERROR(__xludf.DUMMYFUNCTION("VLOOKUP(Q71, IMPORTRANGE(""https://docs.google.com/spreadsheets/d/1yDAaXNsi4Mr5FtRQL4tbmSdIzhx6_m4wkOD7IG-k_eo/edit#gid=0"", ""Maths!M:N""), 2, FALSE)"),"Calculate the area of the given figures by the splitting the figures into squares and/or rectangles.")</f>
        <v>Calculate the area of the given figures by the splitting the figures into squares and/or rectangles.</v>
      </c>
      <c r="S71" s="10" t="str">
        <f t="shared" si="5"/>
        <v>LU000328.006</v>
      </c>
      <c r="T71" s="10" t="str">
        <f ca="1">IFERROR(__xludf.DUMMYFUNCTION("VLOOKUP(S71, IMPORTRANGE(""https://docs.google.com/spreadsheets/d/1yDAaXNsi4Mr5FtRQL4tbmSdIzhx6_m4wkOD7IG-k_eo/edit#gid=0"", ""Maths!M:N""), 2, FALSE)"),"#N/A")</f>
        <v>#N/A</v>
      </c>
      <c r="U71" s="11">
        <f ca="1">IFERROR(__xludf.DUMMYFUNCTION("ArrayFormula(VLOOKUP(G71, IMPORTRANGE(""https://docs.google.com/spreadsheets/d/1p7R4vtkWt5VOBim4ltsDG9KTzSjrtKXsMtQGXPHyND0/edit#gid=795171502"", ""'Filter 30_05_2024'!A1:M2000""), {2, 3, 4, 5,6,7,8,9,10,11,12,13}, 0))"),13)</f>
        <v>13</v>
      </c>
      <c r="V71" s="11">
        <f ca="1">IFERROR(__xludf.DUMMYFUNCTION("""COMPUTED_VALUE"""),9)</f>
        <v>9</v>
      </c>
      <c r="W71" s="11">
        <f ca="1">IFERROR(__xludf.DUMMYFUNCTION("""COMPUTED_VALUE"""),2)</f>
        <v>2</v>
      </c>
      <c r="X71" s="11">
        <f ca="1">IFERROR(__xludf.DUMMYFUNCTION("""COMPUTED_VALUE"""),24)</f>
        <v>24</v>
      </c>
      <c r="Y71" s="11">
        <f ca="1">IFERROR(__xludf.DUMMYFUNCTION("""COMPUTED_VALUE"""),9)</f>
        <v>9</v>
      </c>
      <c r="Z71" s="12">
        <f ca="1">IFERROR(__xludf.DUMMYFUNCTION("""COMPUTED_VALUE"""),4)</f>
        <v>4</v>
      </c>
      <c r="AA71" s="12">
        <f ca="1">IFERROR(__xludf.DUMMYFUNCTION("""COMPUTED_VALUE"""),1)</f>
        <v>1</v>
      </c>
      <c r="AB71" s="12">
        <f ca="1">IFERROR(__xludf.DUMMYFUNCTION("""COMPUTED_VALUE"""),14)</f>
        <v>14</v>
      </c>
      <c r="AC71" s="11"/>
      <c r="AD71" s="12"/>
      <c r="AE71" s="12"/>
      <c r="AF71" s="12"/>
      <c r="AG71" s="13" t="str">
        <f ca="1">IFERROR(__xludf.DUMMYFUNCTION("ArrayFormula(VLOOKUP(G71, IMPORTRANGE(""https://docs.google.com/spreadsheets/d/1Co934fvtviyaRiMsrIlT05Jaq7iiYq07aLvRr35KA48/edit?gid=173865642#gid=173865642"", ""'G6_Maths GP_Pri_LU'!G2:V2000""), {3, 4, 5, 6, 7, 8, 9, 10, 11, 12, 13, 14, 15, 16}, 0))"),"LU001356")</f>
        <v>LU001356</v>
      </c>
      <c r="AH71" s="13" t="str">
        <f ca="1">IFERROR(__xludf.DUMMYFUNCTION("""COMPUTED_VALUE"""),"Perimeter of a square using formula")</f>
        <v>Perimeter of a square using formula</v>
      </c>
      <c r="AI71" s="13" t="str">
        <f ca="1">IFERROR(__xludf.DUMMYFUNCTION("""COMPUTED_VALUE"""),"LU000326")</f>
        <v>LU000326</v>
      </c>
      <c r="AJ71" s="13" t="str">
        <f ca="1">IFERROR(__xludf.DUMMYFUNCTION("""COMPUTED_VALUE"""),"Area of closed figures using graph paper or square grid method")</f>
        <v>Area of closed figures using graph paper or square grid method</v>
      </c>
      <c r="AK71" s="13" t="str">
        <f ca="1">IFERROR(__xludf.DUMMYFUNCTION("""COMPUTED_VALUE"""),"LU000108")</f>
        <v>LU000108</v>
      </c>
      <c r="AL71" s="13" t="str">
        <f ca="1">IFERROR(__xludf.DUMMYFUNCTION("""COMPUTED_VALUE"""),"Area of a square using everyday objects")</f>
        <v>Area of a square using everyday objects</v>
      </c>
      <c r="AM71" s="13" t="str">
        <f ca="1">IFERROR(__xludf.DUMMYFUNCTION("""COMPUTED_VALUE"""),"LU000598")</f>
        <v>LU000598</v>
      </c>
      <c r="AN71" s="13" t="str">
        <f ca="1">IFERROR(__xludf.DUMMYFUNCTION("""COMPUTED_VALUE"""),"Definition of square")</f>
        <v>Definition of square</v>
      </c>
      <c r="AO71" s="13" t="str">
        <f ca="1">IFERROR(__xludf.DUMMYFUNCTION("""COMPUTED_VALUE"""),"LU000030")</f>
        <v>LU000030</v>
      </c>
      <c r="AP71" s="13" t="str">
        <f ca="1">IFERROR(__xludf.DUMMYFUNCTION("""COMPUTED_VALUE"""),"Definition of area")</f>
        <v>Definition of area</v>
      </c>
      <c r="AQ71" s="13"/>
      <c r="AR71" s="13"/>
      <c r="AS71" s="13"/>
      <c r="AT71" s="13"/>
    </row>
    <row r="72" spans="1:46" ht="40.200000000000003">
      <c r="A72" s="8" t="s">
        <v>46</v>
      </c>
      <c r="B72" s="8" t="s">
        <v>47</v>
      </c>
      <c r="C72" s="8" t="s">
        <v>48</v>
      </c>
      <c r="D72" s="8" t="s">
        <v>49</v>
      </c>
      <c r="E72" s="8" t="s">
        <v>151</v>
      </c>
      <c r="F72" s="8" t="s">
        <v>161</v>
      </c>
      <c r="G72" s="16" t="s">
        <v>162</v>
      </c>
      <c r="H72" s="8" t="str">
        <f ca="1">IFERROR(__xludf.DUMMYFUNCTION("VLOOKUP(G72, IMPORTRANGE(""https://docs.google.com/spreadsheets/d/14deopnvwcrKtEGCKuYXdUHJbeLDZlkiSSWWT0g7x2pM/edit#gid=999382323"", ""LU List Maths (Filter)!A:B""), 2, FALSE)"),"Area of a composite shape (made of more than one basic geometrical shapes)")</f>
        <v>Area of a composite shape (made of more than one basic geometrical shapes)</v>
      </c>
      <c r="I72" s="10" t="str">
        <f t="shared" si="0"/>
        <v>LU000926.001</v>
      </c>
      <c r="J72" s="10" t="str">
        <f ca="1">IFERROR(__xludf.DUMMYFUNCTION("VLOOKUP(I72, IMPORTRANGE(""https://docs.google.com/spreadsheets/d/1yDAaXNsi4Mr5FtRQL4tbmSdIzhx6_m4wkOD7IG-k_eo/edit#gid=0"", ""Maths!M:N""), 2, FALSE)"),"Recall the method for finding the area of composite shapes made from basic geometrical shapes.")</f>
        <v>Recall the method for finding the area of composite shapes made from basic geometrical shapes.</v>
      </c>
      <c r="K72" s="10" t="str">
        <f t="shared" si="1"/>
        <v>LU000926.002</v>
      </c>
      <c r="L72" s="10" t="str">
        <f ca="1">IFERROR(__xludf.DUMMYFUNCTION("VLOOKUP(K72, IMPORTRANGE(""https://docs.google.com/spreadsheets/d/1yDAaXNsi4Mr5FtRQL4tbmSdIzhx6_m4wkOD7IG-k_eo/edit#gid=0"", ""Maths!M:N""), 2, FALSE)"),"Explain the concept of composite shapes and how they are formed by combining basic geometrical shapes.")</f>
        <v>Explain the concept of composite shapes and how they are formed by combining basic geometrical shapes.</v>
      </c>
      <c r="M72" s="10" t="str">
        <f t="shared" si="2"/>
        <v>LU000926.003</v>
      </c>
      <c r="N72" s="10" t="str">
        <f ca="1">IFERROR(__xludf.DUMMYFUNCTION("VLOOKUP(M72, IMPORTRANGE(""https://docs.google.com/spreadsheets/d/1yDAaXNsi4Mr5FtRQL4tbmSdIzhx6_m4wkOD7IG-k_eo/edit#gid=0"", ""Maths!M:N""), 2, FALSE)"),"Apply the appropriate area formulas for individual shapes to calculate the total area of a composite shape.")</f>
        <v>Apply the appropriate area formulas for individual shapes to calculate the total area of a composite shape.</v>
      </c>
      <c r="O72" s="10" t="str">
        <f t="shared" si="3"/>
        <v>LU000926.004</v>
      </c>
      <c r="P72" s="10" t="str">
        <f ca="1">IFERROR(__xludf.DUMMYFUNCTION("VLOOKUP(O72, IMPORTRANGE(""https://docs.google.com/spreadsheets/d/1yDAaXNsi4Mr5FtRQL4tbmSdIzhx6_m4wkOD7IG-k_eo/edit#gid=0"", ""Maths!M:N""), 2, FALSE)"),"Analyze the decomposition of a composite shape into basic geometrical shapes for area calculation.")</f>
        <v>Analyze the decomposition of a composite shape into basic geometrical shapes for area calculation.</v>
      </c>
      <c r="Q72" s="10" t="str">
        <f t="shared" si="4"/>
        <v>LU000926.005</v>
      </c>
      <c r="R72" s="10" t="str">
        <f ca="1">IFERROR(__xludf.DUMMYFUNCTION("VLOOKUP(Q72, IMPORTRANGE(""https://docs.google.com/spreadsheets/d/1yDAaXNsi4Mr5FtRQL4tbmSdIzhx6_m4wkOD7IG-k_eo/edit#gid=0"", ""Maths!M:N""), 2, FALSE)"),"Evaluate the accuracy of solutions to area problems involving composite shapes.")</f>
        <v>Evaluate the accuracy of solutions to area problems involving composite shapes.</v>
      </c>
      <c r="S72" s="10" t="str">
        <f t="shared" si="5"/>
        <v>LU000926.006</v>
      </c>
      <c r="T72" s="10" t="str">
        <f ca="1">IFERROR(__xludf.DUMMYFUNCTION("VLOOKUP(S72, IMPORTRANGE(""https://docs.google.com/spreadsheets/d/1yDAaXNsi4Mr5FtRQL4tbmSdIzhx6_m4wkOD7IG-k_eo/edit#gid=0"", ""Maths!M:N""), 2, FALSE)"),"Create a real-world scenario where finding the area of composite shapes is crucial")</f>
        <v>Create a real-world scenario where finding the area of composite shapes is crucial</v>
      </c>
      <c r="U72" s="11">
        <f ca="1">IFERROR(__xludf.DUMMYFUNCTION("ArrayFormula(VLOOKUP(G72, IMPORTRANGE(""https://docs.google.com/spreadsheets/d/1p7R4vtkWt5VOBim4ltsDG9KTzSjrtKXsMtQGXPHyND0/edit#gid=795171502"", ""'Filter 30_05_2024'!A1:M2000""), {2, 3, 4, 5,6,7,8,9,10,11,12,13}, 0))"),5)</f>
        <v>5</v>
      </c>
      <c r="V72" s="11">
        <f ca="1">IFERROR(__xludf.DUMMYFUNCTION("""COMPUTED_VALUE"""),6)</f>
        <v>6</v>
      </c>
      <c r="W72" s="11">
        <f ca="1">IFERROR(__xludf.DUMMYFUNCTION("""COMPUTED_VALUE"""),3)</f>
        <v>3</v>
      </c>
      <c r="X72" s="11">
        <f ca="1">IFERROR(__xludf.DUMMYFUNCTION("""COMPUTED_VALUE"""),14)</f>
        <v>14</v>
      </c>
      <c r="Y72" s="11">
        <f ca="1">IFERROR(__xludf.DUMMYFUNCTION("""COMPUTED_VALUE"""),4)</f>
        <v>4</v>
      </c>
      <c r="Z72" s="12">
        <f ca="1">IFERROR(__xludf.DUMMYFUNCTION("""COMPUTED_VALUE"""),3)</f>
        <v>3</v>
      </c>
      <c r="AA72" s="12">
        <f ca="1">IFERROR(__xludf.DUMMYFUNCTION("""COMPUTED_VALUE"""),1)</f>
        <v>1</v>
      </c>
      <c r="AB72" s="12">
        <f ca="1">IFERROR(__xludf.DUMMYFUNCTION("""COMPUTED_VALUE"""),8)</f>
        <v>8</v>
      </c>
      <c r="AC72" s="11"/>
      <c r="AD72" s="12"/>
      <c r="AE72" s="12"/>
      <c r="AF72" s="12"/>
      <c r="AG72" s="13" t="str">
        <f ca="1">IFERROR(__xludf.DUMMYFUNCTION("ArrayFormula(VLOOKUP(G72, IMPORTRANGE(""https://docs.google.com/spreadsheets/d/1Co934fvtviyaRiMsrIlT05Jaq7iiYq07aLvRr35KA48/edit?gid=173865642#gid=173865642"", ""'G6_Maths GP_Pri_LU'!G2:V2000""), {3, 4, 5, 6, 7, 8, 9, 10, 11, 12, 13, 14, 15, 16}, 0))"),"LU000327")</f>
        <v>LU000327</v>
      </c>
      <c r="AH72" s="13" t="str">
        <f ca="1">IFERROR(__xludf.DUMMYFUNCTION("""COMPUTED_VALUE"""),"Area of a rectangle using formula")</f>
        <v>Area of a rectangle using formula</v>
      </c>
      <c r="AI72" s="13" t="str">
        <f ca="1">IFERROR(__xludf.DUMMYFUNCTION("""COMPUTED_VALUE"""),"LU000328")</f>
        <v>LU000328</v>
      </c>
      <c r="AJ72" s="13" t="str">
        <f ca="1">IFERROR(__xludf.DUMMYFUNCTION("""COMPUTED_VALUE"""),"Area of a square using formula")</f>
        <v>Area of a square using formula</v>
      </c>
      <c r="AK72" s="13" t="str">
        <f ca="1">IFERROR(__xludf.DUMMYFUNCTION("""COMPUTED_VALUE"""),"LU000324")</f>
        <v>LU000324</v>
      </c>
      <c r="AL72" s="13" t="str">
        <f ca="1">IFERROR(__xludf.DUMMYFUNCTION("""COMPUTED_VALUE"""),"Perimeter of a rectangle using formula")</f>
        <v>Perimeter of a rectangle using formula</v>
      </c>
      <c r="AM72" s="13" t="str">
        <f ca="1">IFERROR(__xludf.DUMMYFUNCTION("""COMPUTED_VALUE"""),"LU001356")</f>
        <v>LU001356</v>
      </c>
      <c r="AN72" s="13" t="str">
        <f ca="1">IFERROR(__xludf.DUMMYFUNCTION("""COMPUTED_VALUE"""),"Perimeter of a square using formula")</f>
        <v>Perimeter of a square using formula</v>
      </c>
      <c r="AO72" s="13" t="str">
        <f ca="1">IFERROR(__xludf.DUMMYFUNCTION("""COMPUTED_VALUE"""),"LU000030")</f>
        <v>LU000030</v>
      </c>
      <c r="AP72" s="13" t="str">
        <f ca="1">IFERROR(__xludf.DUMMYFUNCTION("""COMPUTED_VALUE"""),"Definition of area")</f>
        <v>Definition of area</v>
      </c>
      <c r="AQ72" s="13"/>
      <c r="AR72" s="13"/>
      <c r="AS72" s="13"/>
      <c r="AT72" s="13"/>
    </row>
    <row r="73" spans="1:46" ht="53.4">
      <c r="A73" s="8" t="s">
        <v>46</v>
      </c>
      <c r="B73" s="8" t="s">
        <v>47</v>
      </c>
      <c r="C73" s="8" t="s">
        <v>48</v>
      </c>
      <c r="D73" s="8" t="s">
        <v>49</v>
      </c>
      <c r="E73" s="8" t="s">
        <v>151</v>
      </c>
      <c r="F73" s="8" t="s">
        <v>163</v>
      </c>
      <c r="G73" s="16" t="s">
        <v>164</v>
      </c>
      <c r="H73" s="8" t="str">
        <f ca="1">IFERROR(__xludf.DUMMYFUNCTION("VLOOKUP(G73, IMPORTRANGE(""https://docs.google.com/spreadsheets/d/14deopnvwcrKtEGCKuYXdUHJbeLDZlkiSSWWT0g7x2pM/edit#gid=999382323"", ""LU List Maths (Filter)!A:B""), 2, FALSE)"),"Area of closed figures using graph paper or square grid method")</f>
        <v>Area of closed figures using graph paper or square grid method</v>
      </c>
      <c r="I73" s="10" t="str">
        <f t="shared" si="0"/>
        <v>LU000326.001</v>
      </c>
      <c r="J73" s="10" t="str">
        <f ca="1">IFERROR(__xludf.DUMMYFUNCTION("VLOOKUP(I73, IMPORTRANGE(""https://docs.google.com/spreadsheets/d/1yDAaXNsi4Mr5FtRQL4tbmSdIzhx6_m4wkOD7IG-k_eo/edit#gid=0"", ""Maths!M:N""), 2, FALSE)"),"Recall the method of using graph paper or a square grid to calculate the area of closed figures.")</f>
        <v>Recall the method of using graph paper or a square grid to calculate the area of closed figures.</v>
      </c>
      <c r="K73" s="10" t="str">
        <f t="shared" si="1"/>
        <v>LU000326.002</v>
      </c>
      <c r="L73" s="10" t="str">
        <f ca="1">IFERROR(__xludf.DUMMYFUNCTION("VLOOKUP(K73, IMPORTRANGE(""https://docs.google.com/spreadsheets/d/1yDAaXNsi4Mr5FtRQL4tbmSdIzhx6_m4wkOD7IG-k_eo/edit#gid=0"", ""Maths!M:N""), 2, FALSE)"),"Explain the process of placing closed figures on graph paper, outlining them, and counting the squares to determine the area.")</f>
        <v>Explain the process of placing closed figures on graph paper, outlining them, and counting the squares to determine the area.</v>
      </c>
      <c r="M73" s="10" t="str">
        <f t="shared" si="2"/>
        <v>LU000326.003</v>
      </c>
      <c r="N73" s="10" t="str">
        <f ca="1">IFERROR(__xludf.DUMMYFUNCTION("VLOOKUP(M73, IMPORTRANGE(""https://docs.google.com/spreadsheets/d/1yDAaXNsi4Mr5FtRQL4tbmSdIzhx6_m4wkOD7IG-k_eo/edit#gid=0"", ""Maths!M:N""), 2, FALSE)"),"Calculate the area of a square, a triangle or any other closed figure drawn on a paper using graph paper/square grid method.")</f>
        <v>Calculate the area of a square, a triangle or any other closed figure drawn on a paper using graph paper/square grid method.</v>
      </c>
      <c r="O73" s="10" t="str">
        <f t="shared" si="3"/>
        <v>LU000326.004</v>
      </c>
      <c r="P73" s="10" t="str">
        <f ca="1">IFERROR(__xludf.DUMMYFUNCTION("VLOOKUP(O73, IMPORTRANGE(""https://docs.google.com/spreadsheets/d/1yDAaXNsi4Mr5FtRQL4tbmSdIzhx6_m4wkOD7IG-k_eo/edit#gid=0"", ""Maths!M:N""), 2, FALSE)"),"Estimate the area (in mixed fraction in sq. units) of an irregular closed figure using a grid sheet.")</f>
        <v>Estimate the area (in mixed fraction in sq. units) of an irregular closed figure using a grid sheet.</v>
      </c>
      <c r="Q73" s="10" t="str">
        <f t="shared" si="4"/>
        <v>LU000326.005</v>
      </c>
      <c r="R73" s="10" t="str">
        <f ca="1">IFERROR(__xludf.DUMMYFUNCTION("VLOOKUP(Q73, IMPORTRANGE(""https://docs.google.com/spreadsheets/d/1yDAaXNsi4Mr5FtRQL4tbmSdIzhx6_m4wkOD7IG-k_eo/edit#gid=0"", ""Maths!M:N""), 2, FALSE)"),"Evaluate the effectiveness and limitations of the graph paper method for calculating areas of irregular shapes.")</f>
        <v>Evaluate the effectiveness and limitations of the graph paper method for calculating areas of irregular shapes.</v>
      </c>
      <c r="S73" s="10" t="str">
        <f t="shared" si="5"/>
        <v>LU000326.006</v>
      </c>
      <c r="T73" s="10" t="str">
        <f ca="1">IFERROR(__xludf.DUMMYFUNCTION("VLOOKUP(S73, IMPORTRANGE(""https://docs.google.com/spreadsheets/d/1yDAaXNsi4Mr5FtRQL4tbmSdIzhx6_m4wkOD7IG-k_eo/edit#gid=0"", ""Maths!M:N""), 2, FALSE)"),"Create visual representations using graph paper to illustrate the process of calculating the area of closed figures.")</f>
        <v>Create visual representations using graph paper to illustrate the process of calculating the area of closed figures.</v>
      </c>
      <c r="U73" s="11">
        <f ca="1">IFERROR(__xludf.DUMMYFUNCTION("ArrayFormula(VLOOKUP(G73, IMPORTRANGE(""https://docs.google.com/spreadsheets/d/1p7R4vtkWt5VOBim4ltsDG9KTzSjrtKXsMtQGXPHyND0/edit#gid=795171502"", ""'Filter 30_05_2024'!A1:M2000""), {2, 3, 4, 5,6,7,8,9,10,11,12,13}, 0))"),17)</f>
        <v>17</v>
      </c>
      <c r="V73" s="11">
        <f ca="1">IFERROR(__xludf.DUMMYFUNCTION("""COMPUTED_VALUE"""),8)</f>
        <v>8</v>
      </c>
      <c r="W73" s="11">
        <f ca="1">IFERROR(__xludf.DUMMYFUNCTION("""COMPUTED_VALUE"""),5)</f>
        <v>5</v>
      </c>
      <c r="X73" s="11">
        <f ca="1">IFERROR(__xludf.DUMMYFUNCTION("""COMPUTED_VALUE"""),30)</f>
        <v>30</v>
      </c>
      <c r="Y73" s="11">
        <f ca="1">IFERROR(__xludf.DUMMYFUNCTION("""COMPUTED_VALUE"""),9)</f>
        <v>9</v>
      </c>
      <c r="Z73" s="12">
        <f ca="1">IFERROR(__xludf.DUMMYFUNCTION("""COMPUTED_VALUE"""),5)</f>
        <v>5</v>
      </c>
      <c r="AA73" s="12">
        <f ca="1">IFERROR(__xludf.DUMMYFUNCTION("""COMPUTED_VALUE"""),1)</f>
        <v>1</v>
      </c>
      <c r="AB73" s="12">
        <f ca="1">IFERROR(__xludf.DUMMYFUNCTION("""COMPUTED_VALUE"""),15)</f>
        <v>15</v>
      </c>
      <c r="AC73" s="11">
        <f ca="1">IFERROR(__xludf.DUMMYFUNCTION("""COMPUTED_VALUE"""),2)</f>
        <v>2</v>
      </c>
      <c r="AD73" s="12"/>
      <c r="AE73" s="12"/>
      <c r="AF73" s="12">
        <f ca="1">IFERROR(__xludf.DUMMYFUNCTION("""COMPUTED_VALUE"""),2)</f>
        <v>2</v>
      </c>
      <c r="AG73" s="13" t="str">
        <f ca="1">IFERROR(__xludf.DUMMYFUNCTION("ArrayFormula(VLOOKUP(G73, IMPORTRANGE(""https://docs.google.com/spreadsheets/d/1Co934fvtviyaRiMsrIlT05Jaq7iiYq07aLvRr35KA48/edit?gid=173865642#gid=173865642"", ""'G6_Maths GP_Pri_LU'!G2:V2000""), {3, 4, 5, 6, 7, 8, 9, 10, 11, 12, 13, 14, 15, 16}, 0))"),"LU000104")</f>
        <v>LU000104</v>
      </c>
      <c r="AH73" s="13" t="str">
        <f ca="1">IFERROR(__xludf.DUMMYFUNCTION("""COMPUTED_VALUE"""),"Area of a rectangle using everyday objects")</f>
        <v>Area of a rectangle using everyday objects</v>
      </c>
      <c r="AI73" s="13" t="str">
        <f ca="1">IFERROR(__xludf.DUMMYFUNCTION("""COMPUTED_VALUE"""),"LU000108")</f>
        <v>LU000108</v>
      </c>
      <c r="AJ73" s="13" t="str">
        <f ca="1">IFERROR(__xludf.DUMMYFUNCTION("""COMPUTED_VALUE"""),"Area of a square using everyday objects")</f>
        <v>Area of a square using everyday objects</v>
      </c>
      <c r="AK73" s="13" t="str">
        <f ca="1">IFERROR(__xludf.DUMMYFUNCTION("""COMPUTED_VALUE"""),"LU000030")</f>
        <v>LU000030</v>
      </c>
      <c r="AL73" s="13" t="str">
        <f ca="1">IFERROR(__xludf.DUMMYFUNCTION("""COMPUTED_VALUE"""),"Definition of area")</f>
        <v>Definition of area</v>
      </c>
      <c r="AM73" s="13" t="str">
        <f ca="1">IFERROR(__xludf.DUMMYFUNCTION("""COMPUTED_VALUE"""),"LU000012")</f>
        <v>LU000012</v>
      </c>
      <c r="AN73" s="13" t="str">
        <f ca="1">IFERROR(__xludf.DUMMYFUNCTION("""COMPUTED_VALUE"""),"Definition of a closed shape")</f>
        <v>Definition of a closed shape</v>
      </c>
      <c r="AO73" s="13"/>
      <c r="AP73" s="13"/>
      <c r="AQ73" s="13"/>
      <c r="AR73" s="13"/>
      <c r="AS73" s="13"/>
      <c r="AT73" s="13"/>
    </row>
    <row r="74" spans="1:46" ht="40.200000000000003">
      <c r="A74" s="8" t="s">
        <v>46</v>
      </c>
      <c r="B74" s="8" t="s">
        <v>47</v>
      </c>
      <c r="C74" s="8" t="s">
        <v>48</v>
      </c>
      <c r="D74" s="8" t="s">
        <v>49</v>
      </c>
      <c r="E74" s="8" t="s">
        <v>151</v>
      </c>
      <c r="F74" s="8" t="s">
        <v>165</v>
      </c>
      <c r="G74" s="19" t="s">
        <v>166</v>
      </c>
      <c r="H74" s="8" t="str">
        <f ca="1">IFERROR(__xludf.DUMMYFUNCTION("VLOOKUP(G74, IMPORTRANGE(""https://docs.google.com/spreadsheets/d/14deopnvwcrKtEGCKuYXdUHJbeLDZlkiSSWWT0g7x2pM/edit#gid=999382323"", ""LU List Maths (Filter)!A:B""), 2, FALSE)"),"Perimeter-Area relationship in geometrical figures")</f>
        <v>Perimeter-Area relationship in geometrical figures</v>
      </c>
      <c r="I74" s="10" t="str">
        <f t="shared" si="0"/>
        <v>LU001358.001</v>
      </c>
      <c r="J74" s="10" t="str">
        <f ca="1">IFERROR(__xludf.DUMMYFUNCTION("VLOOKUP(I74, IMPORTRANGE(""https://docs.google.com/spreadsheets/d/1yDAaXNsi4Mr5FtRQL4tbmSdIzhx6_m4wkOD7IG-k_eo/edit#gid=0"", ""Maths!M:N""), 2, FALSE)"),"Identify different rectangles that can be formed on a squared grid with a given area.")</f>
        <v>Identify different rectangles that can be formed on a squared grid with a given area.</v>
      </c>
      <c r="K74" s="10" t="str">
        <f t="shared" si="1"/>
        <v>LU001358.002</v>
      </c>
      <c r="L74" s="10" t="str">
        <f ca="1">IFERROR(__xludf.DUMMYFUNCTION("VLOOKUP(K74, IMPORTRANGE(""https://docs.google.com/spreadsheets/d/1yDAaXNsi4Mr5FtRQL4tbmSdIzhx6_m4wkOD7IG-k_eo/edit#gid=0"", ""Maths!M:N""), 2, FALSE)"),"Explore and determine which rectangle has the greatest perimeter and which has the least perimeter for a fixed area.")</f>
        <v>Explore and determine which rectangle has the greatest perimeter and which has the least perimeter for a fixed area.</v>
      </c>
      <c r="M74" s="10" t="str">
        <f t="shared" si="2"/>
        <v>LU001358.003</v>
      </c>
      <c r="N74" s="10" t="str">
        <f ca="1">IFERROR(__xludf.DUMMYFUNCTION("VLOOKUP(M74, IMPORTRANGE(""https://docs.google.com/spreadsheets/d/1yDAaXNsi4Mr5FtRQL4tbmSdIzhx6_m4wkOD7IG-k_eo/edit#gid=0"", ""Maths!M:N""), 2, FALSE)"),"Calculate the perimeter of rectangles with a specific area and analyze the variations in their perimeter.")</f>
        <v>Calculate the perimeter of rectangles with a specific area and analyze the variations in their perimeter.</v>
      </c>
      <c r="O74" s="10" t="str">
        <f t="shared" si="3"/>
        <v>LU001358.004</v>
      </c>
      <c r="P74" s="10" t="str">
        <f ca="1">IFERROR(__xludf.DUMMYFUNCTION("VLOOKUP(O74, IMPORTRANGE(""https://docs.google.com/spreadsheets/d/1yDAaXNsi4Mr5FtRQL4tbmSdIzhx6_m4wkOD7IG-k_eo/edit#gid=0"", ""Maths!M:N""), 2, FALSE)"),"Compare the perimeter-area relationships of rectangles with different dimensions but the same area.")</f>
        <v>Compare the perimeter-area relationships of rectangles with different dimensions but the same area.</v>
      </c>
      <c r="Q74" s="10" t="str">
        <f t="shared" si="4"/>
        <v>LU001358.005</v>
      </c>
      <c r="R74" s="10" t="str">
        <f ca="1">IFERROR(__xludf.DUMMYFUNCTION("VLOOKUP(Q74, IMPORTRANGE(""https://docs.google.com/spreadsheets/d/1yDAaXNsi4Mr5FtRQL4tbmSdIzhx6_m4wkOD7IG-k_eo/edit#gid=0"", ""Maths!M:N""), 2, FALSE)"),"Evaluate the factors that contribute to maximizing or minimizing the perimeter for a given area.")</f>
        <v>Evaluate the factors that contribute to maximizing or minimizing the perimeter for a given area.</v>
      </c>
      <c r="S74" s="10" t="str">
        <f t="shared" si="5"/>
        <v>LU001358.006</v>
      </c>
      <c r="T74" s="10" t="str">
        <f ca="1">IFERROR(__xludf.DUMMYFUNCTION("VLOOKUP(S74, IMPORTRANGE(""https://docs.google.com/spreadsheets/d/1yDAaXNsi4Mr5FtRQL4tbmSdIzhx6_m4wkOD7IG-k_eo/edit#gid=0"", ""Maths!M:N""), 2, FALSE)"),"Predict and justify the shape of a rectangle with the greatest and least perimeter for any given area, using examples and reasoning.")</f>
        <v>Predict and justify the shape of a rectangle with the greatest and least perimeter for any given area, using examples and reasoning.</v>
      </c>
      <c r="U74" s="11">
        <f ca="1">IFERROR(__xludf.DUMMYFUNCTION("ArrayFormula(VLOOKUP(G74, IMPORTRANGE(""https://docs.google.com/spreadsheets/d/1p7R4vtkWt5VOBim4ltsDG9KTzSjrtKXsMtQGXPHyND0/edit#gid=795171502"", ""'Filter 30_05_2024'!A1:M2000""), {2, 3, 4, 5,6,7,8,9,10,11,12,13}, 0))"),4)</f>
        <v>4</v>
      </c>
      <c r="V74" s="11">
        <f ca="1">IFERROR(__xludf.DUMMYFUNCTION("""COMPUTED_VALUE"""),6)</f>
        <v>6</v>
      </c>
      <c r="W74" s="11">
        <f ca="1">IFERROR(__xludf.DUMMYFUNCTION("""COMPUTED_VALUE"""),2)</f>
        <v>2</v>
      </c>
      <c r="X74" s="11">
        <f ca="1">IFERROR(__xludf.DUMMYFUNCTION("""COMPUTED_VALUE"""),12)</f>
        <v>12</v>
      </c>
      <c r="Y74" s="11">
        <f ca="1">IFERROR(__xludf.DUMMYFUNCTION("""COMPUTED_VALUE"""),4)</f>
        <v>4</v>
      </c>
      <c r="Z74" s="12">
        <f ca="1">IFERROR(__xludf.DUMMYFUNCTION("""COMPUTED_VALUE"""),3)</f>
        <v>3</v>
      </c>
      <c r="AA74" s="12">
        <f ca="1">IFERROR(__xludf.DUMMYFUNCTION("""COMPUTED_VALUE"""),1)</f>
        <v>1</v>
      </c>
      <c r="AB74" s="12">
        <f ca="1">IFERROR(__xludf.DUMMYFUNCTION("""COMPUTED_VALUE"""),8)</f>
        <v>8</v>
      </c>
      <c r="AC74" s="11"/>
      <c r="AD74" s="12"/>
      <c r="AE74" s="12"/>
      <c r="AF74" s="12"/>
      <c r="AG74" s="13" t="str">
        <f ca="1">IFERROR(__xludf.DUMMYFUNCTION("ArrayFormula(VLOOKUP(G74, IMPORTRANGE(""https://docs.google.com/spreadsheets/d/1Co934fvtviyaRiMsrIlT05Jaq7iiYq07aLvRr35KA48/edit?gid=173865642#gid=173865642"", ""'G6_Maths GP_Pri_LU'!G2:V2000""), {3, 4, 5, 6, 7, 8, 9, 10, 11, 12, 13, 14, 15, 16}, 0))"),"LU000327")</f>
        <v>LU000327</v>
      </c>
      <c r="AH74" s="13" t="str">
        <f ca="1">IFERROR(__xludf.DUMMYFUNCTION("""COMPUTED_VALUE"""),"Area of a rectangle using formula")</f>
        <v>Area of a rectangle using formula</v>
      </c>
      <c r="AI74" s="13" t="str">
        <f ca="1">IFERROR(__xludf.DUMMYFUNCTION("""COMPUTED_VALUE"""),"LU000324")</f>
        <v>LU000324</v>
      </c>
      <c r="AJ74" s="13" t="str">
        <f ca="1">IFERROR(__xludf.DUMMYFUNCTION("""COMPUTED_VALUE"""),"Perimeter of a rectangle using formula")</f>
        <v>Perimeter of a rectangle using formula</v>
      </c>
      <c r="AK74" s="13"/>
      <c r="AL74" s="13"/>
      <c r="AM74" s="13"/>
      <c r="AN74" s="13"/>
      <c r="AO74" s="13"/>
      <c r="AP74" s="13"/>
      <c r="AQ74" s="13"/>
      <c r="AR74" s="13"/>
      <c r="AS74" s="13"/>
      <c r="AT74" s="13"/>
    </row>
    <row r="75" spans="1:46" ht="40.200000000000003">
      <c r="A75" s="8" t="s">
        <v>46</v>
      </c>
      <c r="B75" s="8" t="s">
        <v>47</v>
      </c>
      <c r="C75" s="8" t="s">
        <v>48</v>
      </c>
      <c r="D75" s="8" t="s">
        <v>49</v>
      </c>
      <c r="E75" s="8" t="s">
        <v>151</v>
      </c>
      <c r="F75" s="9" t="s">
        <v>167</v>
      </c>
      <c r="G75" s="19" t="s">
        <v>168</v>
      </c>
      <c r="H75" s="8" t="str">
        <f ca="1">IFERROR(__xludf.DUMMYFUNCTION("VLOOKUP(G75, IMPORTRANGE(""https://docs.google.com/spreadsheets/d/14deopnvwcrKtEGCKuYXdUHJbeLDZlkiSSWWT0g7x2pM/edit#gid=999382323"", ""LU List Maths (Filter)!A:B""), 2, FALSE)"),"Area of triangles as parts of rectangles")</f>
        <v>Area of triangles as parts of rectangles</v>
      </c>
      <c r="I75" s="10" t="str">
        <f t="shared" si="0"/>
        <v>LU000486.001</v>
      </c>
      <c r="J75" s="10" t="str">
        <f ca="1">IFERROR(__xludf.DUMMYFUNCTION("VLOOKUP(I75, IMPORTRANGE(""https://docs.google.com/spreadsheets/d/1yDAaXNsi4Mr5FtRQL4tbmSdIzhx6_m4wkOD7IG-k_eo/edit#gid=0"", ""Maths!M:N""), 2, FALSE)"),"Recall the relationship between the area of each triangle and the area of the rectangle.")</f>
        <v>Recall the relationship between the area of each triangle and the area of the rectangle.</v>
      </c>
      <c r="K75" s="10" t="str">
        <f t="shared" si="1"/>
        <v>LU000486.002</v>
      </c>
      <c r="L75" s="10" t="str">
        <f ca="1">IFERROR(__xludf.DUMMYFUNCTION("VLOOKUP(K75, IMPORTRANGE(""https://docs.google.com/spreadsheets/d/1yDAaXNsi4Mr5FtRQL4tbmSdIzhx6_m4wkOD7IG-k_eo/edit#gid=0"", ""Maths!M:N""), 2, FALSE)"),"Explain how cutting a rectangle into triangles and superposing them demonstrates the equal area of triangles.")</f>
        <v>Explain how cutting a rectangle into triangles and superposing them demonstrates the equal area of triangles.</v>
      </c>
      <c r="M75" s="10" t="str">
        <f t="shared" si="2"/>
        <v>LU000486.003</v>
      </c>
      <c r="N75" s="10" t="str">
        <f ca="1">IFERROR(__xludf.DUMMYFUNCTION("VLOOKUP(M75, IMPORTRANGE(""https://docs.google.com/spreadsheets/d/1yDAaXNsi4Mr5FtRQL4tbmSdIzhx6_m4wkOD7IG-k_eo/edit#gid=0"", ""Maths!M:N""), 2, FALSE)"),"Calculate the area of each triangle using the given formula and rectangle dimensions.")</f>
        <v>Calculate the area of each triangle using the given formula and rectangle dimensions.</v>
      </c>
      <c r="O75" s="10" t="str">
        <f t="shared" si="3"/>
        <v>LU000486.004</v>
      </c>
      <c r="P75" s="10" t="str">
        <f ca="1">IFERROR(__xludf.DUMMYFUNCTION("VLOOKUP(O75, IMPORTRANGE(""https://docs.google.com/spreadsheets/d/1yDAaXNsi4Mr5FtRQL4tbmSdIzhx6_m4wkOD7IG-k_eo/edit#gid=0"", ""Maths!M:N""), 2, FALSE)"),"Analyse the relationship between the areas of the triangles and the dimensions of the rectangle from which they were cut.")</f>
        <v>Analyse the relationship between the areas of the triangles and the dimensions of the rectangle from which they were cut.</v>
      </c>
      <c r="Q75" s="10" t="str">
        <f t="shared" si="4"/>
        <v>LU000486.005</v>
      </c>
      <c r="R75" s="10" t="str">
        <f ca="1">IFERROR(__xludf.DUMMYFUNCTION("VLOOKUP(Q75, IMPORTRANGE(""https://docs.google.com/spreadsheets/d/1yDAaXNsi4Mr5FtRQL4tbmSdIzhx6_m4wkOD7IG-k_eo/edit#gid=0"", ""Maths!M:N""), 2, FALSE)"),"Assess the validity of the statement about the sum of triangle areas being equal to the area of the rectangle.")</f>
        <v>Assess the validity of the statement about the sum of triangle areas being equal to the area of the rectangle.</v>
      </c>
      <c r="S75" s="10" t="str">
        <f t="shared" si="5"/>
        <v>LU000486.006</v>
      </c>
      <c r="T75" s="10" t="str">
        <f ca="1">IFERROR(__xludf.DUMMYFUNCTION("VLOOKUP(S75, IMPORTRANGE(""https://docs.google.com/spreadsheets/d/1yDAaXNsi4Mr5FtRQL4tbmSdIzhx6_m4wkOD7IG-k_eo/edit#gid=0"", ""Maths!M:N""), 2, FALSE)"),"Devise a visual representation illustrating the relationship between the rectangle, its diagonally cut triangles, and their areas.")</f>
        <v>Devise a visual representation illustrating the relationship between the rectangle, its diagonally cut triangles, and their areas.</v>
      </c>
      <c r="U75" s="11">
        <f ca="1">IFERROR(__xludf.DUMMYFUNCTION("ArrayFormula(VLOOKUP(G75, IMPORTRANGE(""https://docs.google.com/spreadsheets/d/1p7R4vtkWt5VOBim4ltsDG9KTzSjrtKXsMtQGXPHyND0/edit#gid=795171502"", ""'Filter 30_05_2024'!A1:M2000""), {2, 3, 4, 5,6,7,8,9,10,11,12,13}, 0))"),4)</f>
        <v>4</v>
      </c>
      <c r="V75" s="11">
        <f ca="1">IFERROR(__xludf.DUMMYFUNCTION("""COMPUTED_VALUE"""),6)</f>
        <v>6</v>
      </c>
      <c r="W75" s="11">
        <f ca="1">IFERROR(__xludf.DUMMYFUNCTION("""COMPUTED_VALUE"""),2)</f>
        <v>2</v>
      </c>
      <c r="X75" s="11">
        <f ca="1">IFERROR(__xludf.DUMMYFUNCTION("""COMPUTED_VALUE"""),12)</f>
        <v>12</v>
      </c>
      <c r="Y75" s="11">
        <f ca="1">IFERROR(__xludf.DUMMYFUNCTION("""COMPUTED_VALUE"""),4)</f>
        <v>4</v>
      </c>
      <c r="Z75" s="12">
        <f ca="1">IFERROR(__xludf.DUMMYFUNCTION("""COMPUTED_VALUE"""),3)</f>
        <v>3</v>
      </c>
      <c r="AA75" s="12">
        <f ca="1">IFERROR(__xludf.DUMMYFUNCTION("""COMPUTED_VALUE"""),1)</f>
        <v>1</v>
      </c>
      <c r="AB75" s="12">
        <f ca="1">IFERROR(__xludf.DUMMYFUNCTION("""COMPUTED_VALUE"""),8)</f>
        <v>8</v>
      </c>
      <c r="AC75" s="11"/>
      <c r="AD75" s="12"/>
      <c r="AE75" s="12"/>
      <c r="AF75" s="12"/>
      <c r="AG75" s="13" t="str">
        <f ca="1">IFERROR(__xludf.DUMMYFUNCTION("ArrayFormula(VLOOKUP(G75, IMPORTRANGE(""https://docs.google.com/spreadsheets/d/1Co934fvtviyaRiMsrIlT05Jaq7iiYq07aLvRr35KA48/edit?gid=173865642#gid=173865642"", ""'G6_Maths GP_Pri_LU'!G2:V2000""), {3, 4, 5, 6, 7, 8, 9, 10, 11, 12, 13, 14, 15, 16}, 0))"),"LU000327")</f>
        <v>LU000327</v>
      </c>
      <c r="AH75" s="22" t="str">
        <f ca="1">IFERROR(__xludf.DUMMYFUNCTION("""COMPUTED_VALUE"""),"Area of a rectangle using formula")</f>
        <v>Area of a rectangle using formula</v>
      </c>
      <c r="AI75" s="22" t="str">
        <f ca="1">IFERROR(__xludf.DUMMYFUNCTION("""COMPUTED_VALUE"""),"LU000126")</f>
        <v>LU000126</v>
      </c>
      <c r="AJ75" s="22" t="str">
        <f ca="1">IFERROR(__xludf.DUMMYFUNCTION("""COMPUTED_VALUE"""),"Multiplication of two-digit numbers by one-digit/two-digit numbers")</f>
        <v>Multiplication of two-digit numbers by one-digit/two-digit numbers</v>
      </c>
      <c r="AK75" s="22"/>
      <c r="AL75" s="22"/>
      <c r="AM75" s="22"/>
      <c r="AN75" s="22"/>
      <c r="AO75" s="22"/>
      <c r="AP75" s="22"/>
      <c r="AQ75" s="22"/>
      <c r="AR75" s="22"/>
      <c r="AS75" s="22"/>
      <c r="AT75" s="22"/>
    </row>
    <row r="76" spans="1:46" ht="40.200000000000003">
      <c r="A76" s="8" t="s">
        <v>46</v>
      </c>
      <c r="B76" s="8" t="s">
        <v>47</v>
      </c>
      <c r="C76" s="8" t="s">
        <v>48</v>
      </c>
      <c r="D76" s="8" t="s">
        <v>49</v>
      </c>
      <c r="E76" s="8" t="s">
        <v>169</v>
      </c>
      <c r="F76" s="9" t="s">
        <v>170</v>
      </c>
      <c r="G76" s="16" t="s">
        <v>171</v>
      </c>
      <c r="H76" s="8" t="str">
        <f ca="1">IFERROR(__xludf.DUMMYFUNCTION("VLOOKUP(G76, IMPORTRANGE(""https://docs.google.com/spreadsheets/d/14deopnvwcrKtEGCKuYXdUHJbeLDZlkiSSWWT0g7x2pM/edit#gid=999382323"", ""LU List Maths (Filter)!A:B""), 2, FALSE)"),"Definition of fraction")</f>
        <v>Definition of fraction</v>
      </c>
      <c r="I76" s="10" t="str">
        <f t="shared" si="0"/>
        <v>LU000278.001</v>
      </c>
      <c r="J76" s="10" t="str">
        <f ca="1">IFERROR(__xludf.DUMMYFUNCTION("VLOOKUP(I76, IMPORTRANGE(""https://docs.google.com/spreadsheets/d/1yDAaXNsi4Mr5FtRQL4tbmSdIzhx6_m4wkOD7IG-k_eo/edit#gid=0"", ""Maths!M:N""), 2, FALSE)"),"Describe a fraction and its components. (numerator, fractional bar, and denominator)")</f>
        <v>Describe a fraction and its components. (numerator, fractional bar, and denominator)</v>
      </c>
      <c r="K76" s="10" t="str">
        <f t="shared" si="1"/>
        <v>LU000278.002</v>
      </c>
      <c r="L76" s="10" t="str">
        <f ca="1">IFERROR(__xludf.DUMMYFUNCTION("VLOOKUP(K76, IMPORTRANGE(""https://docs.google.com/spreadsheets/d/1yDAaXNsi4Mr5FtRQL4tbmSdIzhx6_m4wkOD7IG-k_eo/edit#gid=0"", ""Maths!M:N""), 2, FALSE)"),"Identify the numerator and denominator of a given fraction.")</f>
        <v>Identify the numerator and denominator of a given fraction.</v>
      </c>
      <c r="M76" s="10" t="str">
        <f t="shared" si="2"/>
        <v>LU000278.003</v>
      </c>
      <c r="N76" s="10" t="str">
        <f ca="1">IFERROR(__xludf.DUMMYFUNCTION("VLOOKUP(M76, IMPORTRANGE(""https://docs.google.com/spreadsheets/d/1yDAaXNsi4Mr5FtRQL4tbmSdIzhx6_m4wkOD7IG-k_eo/edit#gid=0"", ""Maths!M:N""), 2, FALSE)"),"Describe real-life situations that can be expressed using fractions.")</f>
        <v>Describe real-life situations that can be expressed using fractions.</v>
      </c>
      <c r="O76" s="10" t="str">
        <f t="shared" si="3"/>
        <v>LU000278.004</v>
      </c>
      <c r="P76" s="10" t="str">
        <f ca="1">IFERROR(__xludf.DUMMYFUNCTION("VLOOKUP(O76, IMPORTRANGE(""https://docs.google.com/spreadsheets/d/1yDAaXNsi4Mr5FtRQL4tbmSdIzhx6_m4wkOD7IG-k_eo/edit#gid=0"", ""Maths!M:N""), 2, FALSE)"),"Analyse the relationship between the numerator and denominator in a fraction to determine its value and size relative to a whole.")</f>
        <v>Analyse the relationship between the numerator and denominator in a fraction to determine its value and size relative to a whole.</v>
      </c>
      <c r="Q76" s="10" t="str">
        <f t="shared" si="4"/>
        <v>LU000278.005</v>
      </c>
      <c r="R76" s="10" t="str">
        <f ca="1">IFERROR(__xludf.DUMMYFUNCTION("VLOOKUP(Q76, IMPORTRANGE(""https://docs.google.com/spreadsheets/d/1yDAaXNsi4Mr5FtRQL4tbmSdIzhx6_m4wkOD7IG-k_eo/edit#gid=0"", ""Maths!M:N""), 2, FALSE)"),"Evaluate the significance of unit fractions and their role in representing the smallest parts of a whole.")</f>
        <v>Evaluate the significance of unit fractions and their role in representing the smallest parts of a whole.</v>
      </c>
      <c r="S76" s="10" t="str">
        <f t="shared" si="5"/>
        <v>LU000278.006</v>
      </c>
      <c r="T76" s="10" t="str">
        <f ca="1">IFERROR(__xludf.DUMMYFUNCTION("VLOOKUP(S76, IMPORTRANGE(""https://docs.google.com/spreadsheets/d/1yDAaXNsi4Mr5FtRQL4tbmSdIzhx6_m4wkOD7IG-k_eo/edit#gid=0"", ""Maths!M:N""), 2, FALSE)"),"#N/A")</f>
        <v>#N/A</v>
      </c>
      <c r="U76" s="11">
        <f ca="1">IFERROR(__xludf.DUMMYFUNCTION("ArrayFormula(VLOOKUP(G76, IMPORTRANGE(""https://docs.google.com/spreadsheets/d/1p7R4vtkWt5VOBim4ltsDG9KTzSjrtKXsMtQGXPHyND0/edit#gid=795171502"", ""'Filter 30_05_2024'!A1:M2000""), {2, 3, 4, 5,6,7,8,9,10,11,12,13}, 0))"),7)</f>
        <v>7</v>
      </c>
      <c r="V76" s="11">
        <f ca="1">IFERROR(__xludf.DUMMYFUNCTION("""COMPUTED_VALUE"""),10)</f>
        <v>10</v>
      </c>
      <c r="W76" s="11">
        <f ca="1">IFERROR(__xludf.DUMMYFUNCTION("""COMPUTED_VALUE"""),2)</f>
        <v>2</v>
      </c>
      <c r="X76" s="11">
        <f ca="1">IFERROR(__xludf.DUMMYFUNCTION("""COMPUTED_VALUE"""),19)</f>
        <v>19</v>
      </c>
      <c r="Y76" s="11">
        <f ca="1">IFERROR(__xludf.DUMMYFUNCTION("""COMPUTED_VALUE"""),4)</f>
        <v>4</v>
      </c>
      <c r="Z76" s="12">
        <f ca="1">IFERROR(__xludf.DUMMYFUNCTION("""COMPUTED_VALUE"""),3)</f>
        <v>3</v>
      </c>
      <c r="AA76" s="12">
        <f ca="1">IFERROR(__xludf.DUMMYFUNCTION("""COMPUTED_VALUE"""),1)</f>
        <v>1</v>
      </c>
      <c r="AB76" s="12">
        <f ca="1">IFERROR(__xludf.DUMMYFUNCTION("""COMPUTED_VALUE"""),8)</f>
        <v>8</v>
      </c>
      <c r="AC76" s="11"/>
      <c r="AD76" s="12"/>
      <c r="AE76" s="12"/>
      <c r="AF76" s="12"/>
      <c r="AG76" s="13" t="str">
        <f ca="1">IFERROR(__xludf.DUMMYFUNCTION("ArrayFormula(VLOOKUP(G76, IMPORTRANGE(""https://docs.google.com/spreadsheets/d/1Co934fvtviyaRiMsrIlT05Jaq7iiYq07aLvRr35KA48/edit?gid=173865642#gid=173865642"", ""'G6_Maths GP_Pri_LU'!G2:V2000""), {3, 4, 5, 6, 7, 8, 9, 10, 11, 12, 13, 14, 15, 16}, 0))"),"LU000175")</f>
        <v>LU000175</v>
      </c>
      <c r="AH76" s="22" t="str">
        <f ca="1">IFERROR(__xludf.DUMMYFUNCTION("""COMPUTED_VALUE"""),"Definition of natural number ")</f>
        <v xml:space="preserve">Definition of natural number </v>
      </c>
      <c r="AI76" s="22"/>
      <c r="AJ76" s="22"/>
      <c r="AK76" s="22"/>
      <c r="AL76" s="22"/>
      <c r="AM76" s="22"/>
      <c r="AN76" s="22"/>
      <c r="AO76" s="22"/>
      <c r="AP76" s="22"/>
      <c r="AQ76" s="22"/>
      <c r="AR76" s="22"/>
      <c r="AS76" s="22"/>
      <c r="AT76" s="22"/>
    </row>
    <row r="77" spans="1:46" ht="40.200000000000003">
      <c r="A77" s="8" t="s">
        <v>46</v>
      </c>
      <c r="B77" s="8" t="s">
        <v>47</v>
      </c>
      <c r="C77" s="8" t="s">
        <v>48</v>
      </c>
      <c r="D77" s="8" t="s">
        <v>49</v>
      </c>
      <c r="E77" s="8" t="s">
        <v>169</v>
      </c>
      <c r="F77" s="9" t="s">
        <v>170</v>
      </c>
      <c r="G77" s="19" t="s">
        <v>172</v>
      </c>
      <c r="H77" s="8" t="str">
        <f ca="1">IFERROR(__xludf.DUMMYFUNCTION("VLOOKUP(G77, IMPORTRANGE(""https://docs.google.com/spreadsheets/d/14deopnvwcrKtEGCKuYXdUHJbeLDZlkiSSWWT0g7x2pM/edit#gid=999382323"", ""LU List Maths (Filter)!A:B""), 2, FALSE)"),"Definition of unit fraction")</f>
        <v>Definition of unit fraction</v>
      </c>
      <c r="I77" s="10" t="str">
        <f t="shared" si="0"/>
        <v>LU001054.001</v>
      </c>
      <c r="J77" s="10" t="str">
        <f ca="1">IFERROR(__xludf.DUMMYFUNCTION("VLOOKUP(I77, IMPORTRANGE(""https://docs.google.com/spreadsheets/d/1yDAaXNsi4Mr5FtRQL4tbmSdIzhx6_m4wkOD7IG-k_eo/edit#gid=0"", ""Maths!M:N""), 2, FALSE)"),"Define and identify examples of unit fractions in a set of fractions.")</f>
        <v>Define and identify examples of unit fractions in a set of fractions.</v>
      </c>
      <c r="K77" s="10" t="str">
        <f t="shared" si="1"/>
        <v>LU001054.002</v>
      </c>
      <c r="L77" s="10" t="str">
        <f ca="1">IFERROR(__xludf.DUMMYFUNCTION("VLOOKUP(K77, IMPORTRANGE(""https://docs.google.com/spreadsheets/d/1yDAaXNsi4Mr5FtRQL4tbmSdIzhx6_m4wkOD7IG-k_eo/edit#gid=0"", ""Maths!M:N""), 2, FALSE)"),"Interpret examples of unit fractions, understanding why they are called 'unit' fractions.")</f>
        <v>Interpret examples of unit fractions, understanding why they are called 'unit' fractions.</v>
      </c>
      <c r="M77" s="10" t="str">
        <f t="shared" si="2"/>
        <v>LU001054.003</v>
      </c>
      <c r="N77" s="10" t="str">
        <f ca="1">IFERROR(__xludf.DUMMYFUNCTION("VLOOKUP(M77, IMPORTRANGE(""https://docs.google.com/spreadsheets/d/1yDAaXNsi4Mr5FtRQL4tbmSdIzhx6_m4wkOD7IG-k_eo/edit#gid=0"", ""Maths!M:N""), 2, FALSE)"),"Apply the concept of unit fractions in simple calculations, such as adding or subtracting fractions with unit fractions.")</f>
        <v>Apply the concept of unit fractions in simple calculations, such as adding or subtracting fractions with unit fractions.</v>
      </c>
      <c r="O77" s="10" t="str">
        <f t="shared" si="3"/>
        <v>LU001054.004</v>
      </c>
      <c r="P77" s="10" t="str">
        <f ca="1">IFERROR(__xludf.DUMMYFUNCTION("VLOOKUP(O77, IMPORTRANGE(""https://docs.google.com/spreadsheets/d/1yDAaXNsi4Mr5FtRQL4tbmSdIzhx6_m4wkOD7IG-k_eo/edit#gid=0"", ""Maths!M:N""), 2, FALSE)"),"Compare unit fractions with non-unit fractions.")</f>
        <v>Compare unit fractions with non-unit fractions.</v>
      </c>
      <c r="Q77" s="10" t="str">
        <f t="shared" si="4"/>
        <v>LU001054.005</v>
      </c>
      <c r="R77" s="10" t="str">
        <f ca="1">IFERROR(__xludf.DUMMYFUNCTION("VLOOKUP(Q77, IMPORTRANGE(""https://docs.google.com/spreadsheets/d/1yDAaXNsi4Mr5FtRQL4tbmSdIzhx6_m4wkOD7IG-k_eo/edit#gid=0"", ""Maths!M:N""), 2, FALSE)"),"Asses various representations of unit fractions, such as visual models or word problems")</f>
        <v>Asses various representations of unit fractions, such as visual models or word problems</v>
      </c>
      <c r="S77" s="10" t="str">
        <f t="shared" si="5"/>
        <v>LU001054.006</v>
      </c>
      <c r="T77" s="10" t="str">
        <f ca="1">IFERROR(__xludf.DUMMYFUNCTION("VLOOKUP(S77, IMPORTRANGE(""https://docs.google.com/spreadsheets/d/1yDAaXNsi4Mr5FtRQL4tbmSdIzhx6_m4wkOD7IG-k_eo/edit#gid=0"", ""Maths!M:N""), 2, FALSE)"),"Develop complex mathematical problems or scenarios that involve the application of unit fractions")</f>
        <v>Develop complex mathematical problems or scenarios that involve the application of unit fractions</v>
      </c>
      <c r="U77" s="11">
        <f ca="1">IFERROR(__xludf.DUMMYFUNCTION("ArrayFormula(VLOOKUP(G77, IMPORTRANGE(""https://docs.google.com/spreadsheets/d/1p7R4vtkWt5VOBim4ltsDG9KTzSjrtKXsMtQGXPHyND0/edit#gid=795171502"", ""'Filter 30_05_2024'!A1:M2000""), {2, 3, 4, 5,6,7,8,9,10,11,12,13}, 0))"),4)</f>
        <v>4</v>
      </c>
      <c r="V77" s="11">
        <f ca="1">IFERROR(__xludf.DUMMYFUNCTION("""COMPUTED_VALUE"""),6)</f>
        <v>6</v>
      </c>
      <c r="W77" s="11">
        <f ca="1">IFERROR(__xludf.DUMMYFUNCTION("""COMPUTED_VALUE"""),2)</f>
        <v>2</v>
      </c>
      <c r="X77" s="11">
        <f ca="1">IFERROR(__xludf.DUMMYFUNCTION("""COMPUTED_VALUE"""),12)</f>
        <v>12</v>
      </c>
      <c r="Y77" s="11">
        <f ca="1">IFERROR(__xludf.DUMMYFUNCTION("""COMPUTED_VALUE"""),4)</f>
        <v>4</v>
      </c>
      <c r="Z77" s="12">
        <f ca="1">IFERROR(__xludf.DUMMYFUNCTION("""COMPUTED_VALUE"""),3)</f>
        <v>3</v>
      </c>
      <c r="AA77" s="12">
        <f ca="1">IFERROR(__xludf.DUMMYFUNCTION("""COMPUTED_VALUE"""),1)</f>
        <v>1</v>
      </c>
      <c r="AB77" s="12">
        <f ca="1">IFERROR(__xludf.DUMMYFUNCTION("""COMPUTED_VALUE"""),8)</f>
        <v>8</v>
      </c>
      <c r="AC77" s="11"/>
      <c r="AD77" s="12"/>
      <c r="AE77" s="12"/>
      <c r="AF77" s="12"/>
      <c r="AG77" s="13" t="str">
        <f ca="1">IFERROR(__xludf.DUMMYFUNCTION("ArrayFormula(VLOOKUP(G77, IMPORTRANGE(""https://docs.google.com/spreadsheets/d/1Co934fvtviyaRiMsrIlT05Jaq7iiYq07aLvRr35KA48/edit?gid=173865642#gid=173865642"", ""'G6_Maths GP_Pri_LU'!G2:V2000""), {3, 4, 5, 6, 7, 8, 9, 10, 11, 12, 13, 14, 15, 16}, 0))"),"LU000278")</f>
        <v>LU000278</v>
      </c>
      <c r="AH77" s="22" t="str">
        <f ca="1">IFERROR(__xludf.DUMMYFUNCTION("""COMPUTED_VALUE"""),"Definition of fraction")</f>
        <v>Definition of fraction</v>
      </c>
      <c r="AI77" s="22" t="str">
        <f ca="1">IFERROR(__xludf.DUMMYFUNCTION("""COMPUTED_VALUE"""),"LU000176")</f>
        <v>LU000176</v>
      </c>
      <c r="AJ77" s="22" t="str">
        <f ca="1">IFERROR(__xludf.DUMMYFUNCTION("""COMPUTED_VALUE"""),"Definition of whole number")</f>
        <v>Definition of whole number</v>
      </c>
      <c r="AK77" s="22" t="str">
        <f ca="1">IFERROR(__xludf.DUMMYFUNCTION("""COMPUTED_VALUE"""),"LU000279")</f>
        <v>LU000279</v>
      </c>
      <c r="AL77" s="22" t="str">
        <f ca="1">IFERROR(__xludf.DUMMYFUNCTION("""COMPUTED_VALUE"""),"Represent fractions using numbers, figures or words")</f>
        <v>Represent fractions using numbers, figures or words</v>
      </c>
      <c r="AM77" s="22"/>
      <c r="AN77" s="22"/>
      <c r="AO77" s="22"/>
      <c r="AP77" s="22"/>
      <c r="AQ77" s="22"/>
      <c r="AR77" s="22"/>
      <c r="AS77" s="22"/>
      <c r="AT77" s="22"/>
    </row>
    <row r="78" spans="1:46" ht="40.200000000000003">
      <c r="A78" s="8" t="s">
        <v>46</v>
      </c>
      <c r="B78" s="8" t="s">
        <v>47</v>
      </c>
      <c r="C78" s="8" t="s">
        <v>48</v>
      </c>
      <c r="D78" s="8" t="s">
        <v>49</v>
      </c>
      <c r="E78" s="8" t="s">
        <v>169</v>
      </c>
      <c r="F78" s="9" t="s">
        <v>173</v>
      </c>
      <c r="G78" s="16" t="s">
        <v>174</v>
      </c>
      <c r="H78" s="8" t="str">
        <f ca="1">IFERROR(__xludf.DUMMYFUNCTION("VLOOKUP(G78, IMPORTRANGE(""https://docs.google.com/spreadsheets/d/14deopnvwcrKtEGCKuYXdUHJbeLDZlkiSSWWT0g7x2pM/edit#gid=999382323"", ""LU List Maths (Filter)!A:B""), 2, FALSE)"),"Represent fractions using numbers, figures or words")</f>
        <v>Represent fractions using numbers, figures or words</v>
      </c>
      <c r="I78" s="10" t="str">
        <f t="shared" si="0"/>
        <v>LU000279.001</v>
      </c>
      <c r="J78" s="10" t="str">
        <f ca="1">IFERROR(__xludf.DUMMYFUNCTION("VLOOKUP(I78, IMPORTRANGE(""https://docs.google.com/spreadsheets/d/1yDAaXNsi4Mr5FtRQL4tbmSdIzhx6_m4wkOD7IG-k_eo/edit#gid=0"", ""Maths!M:N""), 2, FALSE)"),"Recall the method of representing fractions using numbers, figures, or words.")</f>
        <v>Recall the method of representing fractions using numbers, figures, or words.</v>
      </c>
      <c r="K78" s="10" t="str">
        <f t="shared" si="1"/>
        <v>LU000279.002</v>
      </c>
      <c r="L78" s="10" t="str">
        <f ca="1">IFERROR(__xludf.DUMMYFUNCTION("VLOOKUP(K78, IMPORTRANGE(""https://docs.google.com/spreadsheets/d/1yDAaXNsi4Mr5FtRQL4tbmSdIzhx6_m4wkOD7IG-k_eo/edit#gid=0"", ""Maths!M:N""), 2, FALSE)"),"Represent various fractions using numbers, figures or words.")</f>
        <v>Represent various fractions using numbers, figures or words.</v>
      </c>
      <c r="M78" s="10" t="str">
        <f t="shared" si="2"/>
        <v>LU000279.003</v>
      </c>
      <c r="N78" s="10" t="str">
        <f ca="1">IFERROR(__xludf.DUMMYFUNCTION("VLOOKUP(M78, IMPORTRANGE(""https://docs.google.com/spreadsheets/d/1yDAaXNsi4Mr5FtRQL4tbmSdIzhx6_m4wkOD7IG-k_eo/edit#gid=0"", ""Maths!M:N""), 2, FALSE)"),"Identify the fractions represented by the shaded portion in a given figure.")</f>
        <v>Identify the fractions represented by the shaded portion in a given figure.</v>
      </c>
      <c r="O78" s="10" t="str">
        <f t="shared" si="3"/>
        <v>LU000279.004</v>
      </c>
      <c r="P78" s="10" t="str">
        <f ca="1">IFERROR(__xludf.DUMMYFUNCTION("VLOOKUP(O78, IMPORTRANGE(""https://docs.google.com/spreadsheets/d/1yDAaXNsi4Mr5FtRQL4tbmSdIzhx6_m4wkOD7IG-k_eo/edit#gid=0"", ""Maths!M:N""), 2, FALSE)"),"Colour the parts of a figure according to the given fraction.")</f>
        <v>Colour the parts of a figure according to the given fraction.</v>
      </c>
      <c r="Q78" s="10" t="str">
        <f t="shared" si="4"/>
        <v>LU000279.005</v>
      </c>
      <c r="R78" s="10" t="str">
        <f ca="1">IFERROR(__xludf.DUMMYFUNCTION("VLOOKUP(Q78, IMPORTRANGE(""https://docs.google.com/spreadsheets/d/1yDAaXNsi4Mr5FtRQL4tbmSdIzhx6_m4wkOD7IG-k_eo/edit#gid=0"", ""Maths!M:N""), 2, FALSE)"),"#N/A")</f>
        <v>#N/A</v>
      </c>
      <c r="S78" s="10" t="str">
        <f t="shared" si="5"/>
        <v>LU000279.006</v>
      </c>
      <c r="T78" s="10" t="str">
        <f ca="1">IFERROR(__xludf.DUMMYFUNCTION("VLOOKUP(S78, IMPORTRANGE(""https://docs.google.com/spreadsheets/d/1yDAaXNsi4Mr5FtRQL4tbmSdIzhx6_m4wkOD7IG-k_eo/edit#gid=0"", ""Maths!M:N""), 2, FALSE)"),"Construct a visual model to represent a fraction.")</f>
        <v>Construct a visual model to represent a fraction.</v>
      </c>
      <c r="U78" s="11">
        <f ca="1">IFERROR(__xludf.DUMMYFUNCTION("ArrayFormula(VLOOKUP(G78, IMPORTRANGE(""https://docs.google.com/spreadsheets/d/1p7R4vtkWt5VOBim4ltsDG9KTzSjrtKXsMtQGXPHyND0/edit#gid=795171502"", ""'Filter 30_05_2024'!A1:M2000""), {2, 3, 4, 5,6,7,8,9,10,11,12,13}, 0))"),6)</f>
        <v>6</v>
      </c>
      <c r="V78" s="11">
        <f ca="1">IFERROR(__xludf.DUMMYFUNCTION("""COMPUTED_VALUE"""),3)</f>
        <v>3</v>
      </c>
      <c r="W78" s="11">
        <f ca="1">IFERROR(__xludf.DUMMYFUNCTION("""COMPUTED_VALUE"""),1)</f>
        <v>1</v>
      </c>
      <c r="X78" s="11">
        <f ca="1">IFERROR(__xludf.DUMMYFUNCTION("""COMPUTED_VALUE"""),10)</f>
        <v>10</v>
      </c>
      <c r="Y78" s="11">
        <f ca="1">IFERROR(__xludf.DUMMYFUNCTION("""COMPUTED_VALUE"""),6)</f>
        <v>6</v>
      </c>
      <c r="Z78" s="12">
        <f ca="1">IFERROR(__xludf.DUMMYFUNCTION("""COMPUTED_VALUE"""),6)</f>
        <v>6</v>
      </c>
      <c r="AA78" s="12">
        <f ca="1">IFERROR(__xludf.DUMMYFUNCTION("""COMPUTED_VALUE"""),2)</f>
        <v>2</v>
      </c>
      <c r="AB78" s="12">
        <f ca="1">IFERROR(__xludf.DUMMYFUNCTION("""COMPUTED_VALUE"""),14)</f>
        <v>14</v>
      </c>
      <c r="AC78" s="11"/>
      <c r="AD78" s="12"/>
      <c r="AE78" s="12"/>
      <c r="AF78" s="12"/>
      <c r="AG78" s="13" t="str">
        <f ca="1">IFERROR(__xludf.DUMMYFUNCTION("ArrayFormula(VLOOKUP(G78, IMPORTRANGE(""https://docs.google.com/spreadsheets/d/1Co934fvtviyaRiMsrIlT05Jaq7iiYq07aLvRr35KA48/edit?gid=173865642#gid=173865642"", ""'G6_Maths GP_Pri_LU'!G2:V2000""), {3, 4, 5, 6, 7, 8, 9, 10, 11, 12, 13, 14, 15, 16}, 0))"),"LU000278")</f>
        <v>LU000278</v>
      </c>
      <c r="AH78" s="22" t="str">
        <f ca="1">IFERROR(__xludf.DUMMYFUNCTION("""COMPUTED_VALUE"""),"Definition of fraction")</f>
        <v>Definition of fraction</v>
      </c>
      <c r="AI78" s="22" t="str">
        <f ca="1">IFERROR(__xludf.DUMMYFUNCTION("""COMPUTED_VALUE"""),"LU000044")</f>
        <v>LU000044</v>
      </c>
      <c r="AJ78" s="22" t="str">
        <f ca="1">IFERROR(__xludf.DUMMYFUNCTION("""COMPUTED_VALUE"""),"Representation of fraction (1/2, 1/3, 1/4, 1/5, 1/10) visually")</f>
        <v>Representation of fraction (1/2, 1/3, 1/4, 1/5, 1/10) visually</v>
      </c>
      <c r="AK78" s="22" t="str">
        <f ca="1">IFERROR(__xludf.DUMMYFUNCTION("""COMPUTED_VALUE"""),"LU000045")</f>
        <v>LU000045</v>
      </c>
      <c r="AL78" s="22" t="str">
        <f ca="1">IFERROR(__xludf.DUMMYFUNCTION("""COMPUTED_VALUE"""),"Representation of fraction (1/2, 1/3, 1/4, 1/5, 1/10) symbolically")</f>
        <v>Representation of fraction (1/2, 1/3, 1/4, 1/5, 1/10) symbolically</v>
      </c>
      <c r="AM78" s="22"/>
      <c r="AN78" s="22"/>
      <c r="AO78" s="22"/>
      <c r="AP78" s="22"/>
      <c r="AQ78" s="22"/>
      <c r="AR78" s="22"/>
      <c r="AS78" s="22"/>
      <c r="AT78" s="22"/>
    </row>
    <row r="79" spans="1:46" ht="40.200000000000003">
      <c r="A79" s="8" t="s">
        <v>46</v>
      </c>
      <c r="B79" s="8" t="s">
        <v>47</v>
      </c>
      <c r="C79" s="8" t="s">
        <v>48</v>
      </c>
      <c r="D79" s="8" t="s">
        <v>49</v>
      </c>
      <c r="E79" s="8" t="s">
        <v>169</v>
      </c>
      <c r="F79" s="9" t="s">
        <v>173</v>
      </c>
      <c r="G79" s="16" t="s">
        <v>175</v>
      </c>
      <c r="H79" s="8" t="str">
        <f ca="1">IFERROR(__xludf.DUMMYFUNCTION("VLOOKUP(G79, IMPORTRANGE(""https://docs.google.com/spreadsheets/d/14deopnvwcrKtEGCKuYXdUHJbeLDZlkiSSWWT0g7x2pM/edit#gid=999382323"", ""LU List Maths (Filter)!A:B""), 2, FALSE)"),"Representation of fractions on a number line")</f>
        <v>Representation of fractions on a number line</v>
      </c>
      <c r="I79" s="10" t="str">
        <f t="shared" si="0"/>
        <v>LU000280.001</v>
      </c>
      <c r="J79" s="10" t="str">
        <f ca="1">IFERROR(__xludf.DUMMYFUNCTION("VLOOKUP(I79, IMPORTRANGE(""https://docs.google.com/spreadsheets/d/1yDAaXNsi4Mr5FtRQL4tbmSdIzhx6_m4wkOD7IG-k_eo/edit#gid=0"", ""Maths!M:N""), 2, FALSE)"),"Recall the concept of representing fractions on a number line using divisions between whole numbers.")</f>
        <v>Recall the concept of representing fractions on a number line using divisions between whole numbers.</v>
      </c>
      <c r="K79" s="10" t="str">
        <f t="shared" si="1"/>
        <v>LU000280.002</v>
      </c>
      <c r="L79" s="10" t="str">
        <f ca="1">IFERROR(__xludf.DUMMYFUNCTION("VLOOKUP(K79, IMPORTRANGE(""https://docs.google.com/spreadsheets/d/1yDAaXNsi4Mr5FtRQL4tbmSdIzhx6_m4wkOD7IG-k_eo/edit#gid=0"", ""Maths!M:N""), 2, FALSE)"),"Identify fractions on a number line.")</f>
        <v>Identify fractions on a number line.</v>
      </c>
      <c r="M79" s="10" t="str">
        <f t="shared" si="2"/>
        <v>LU000280.003</v>
      </c>
      <c r="N79" s="10" t="str">
        <f ca="1">IFERROR(__xludf.DUMMYFUNCTION("VLOOKUP(M79, IMPORTRANGE(""https://docs.google.com/spreadsheets/d/1yDAaXNsi4Mr5FtRQL4tbmSdIzhx6_m4wkOD7IG-k_eo/edit#gid=0"", ""Maths!M:N""), 2, FALSE)"),"Represent fractions on the number line.")</f>
        <v>Represent fractions on the number line.</v>
      </c>
      <c r="O79" s="10" t="str">
        <f t="shared" si="3"/>
        <v>LU000280.004</v>
      </c>
      <c r="P79" s="10" t="str">
        <f ca="1">IFERROR(__xludf.DUMMYFUNCTION("VLOOKUP(O79, IMPORTRANGE(""https://docs.google.com/spreadsheets/d/1yDAaXNsi4Mr5FtRQL4tbmSdIzhx6_m4wkOD7IG-k_eo/edit#gid=0"", ""Maths!M:N""), 2, FALSE)"),"Analyse the relationship between the position of fractions on a number line and their numerical values.")</f>
        <v>Analyse the relationship between the position of fractions on a number line and their numerical values.</v>
      </c>
      <c r="Q79" s="10" t="str">
        <f t="shared" si="4"/>
        <v>LU000280.005</v>
      </c>
      <c r="R79" s="10" t="str">
        <f ca="1">IFERROR(__xludf.DUMMYFUNCTION("VLOOKUP(Q79, IMPORTRANGE(""https://docs.google.com/spreadsheets/d/1yDAaXNsi4Mr5FtRQL4tbmSdIzhx6_m4wkOD7IG-k_eo/edit#gid=0"", ""Maths!M:N""), 2, FALSE)"),"#N/A")</f>
        <v>#N/A</v>
      </c>
      <c r="S79" s="10" t="str">
        <f t="shared" si="5"/>
        <v>LU000280.006</v>
      </c>
      <c r="T79" s="10" t="str">
        <f ca="1">IFERROR(__xludf.DUMMYFUNCTION("VLOOKUP(S79, IMPORTRANGE(""https://docs.google.com/spreadsheets/d/1yDAaXNsi4Mr5FtRQL4tbmSdIzhx6_m4wkOD7IG-k_eo/edit#gid=0"", ""Maths!M:N""), 2, FALSE)"),"#N/A")</f>
        <v>#N/A</v>
      </c>
      <c r="U79" s="11">
        <f ca="1">IFERROR(__xludf.DUMMYFUNCTION("ArrayFormula(VLOOKUP(G79, IMPORTRANGE(""https://docs.google.com/spreadsheets/d/1p7R4vtkWt5VOBim4ltsDG9KTzSjrtKXsMtQGXPHyND0/edit#gid=795171502"", ""'Filter 30_05_2024'!A1:M2000""), {2, 3, 4, 5,6,7,8,9,10,11,12,13}, 0))"),7)</f>
        <v>7</v>
      </c>
      <c r="V79" s="11">
        <f ca="1">IFERROR(__xludf.DUMMYFUNCTION("""COMPUTED_VALUE"""),6)</f>
        <v>6</v>
      </c>
      <c r="W79" s="11">
        <f ca="1">IFERROR(__xludf.DUMMYFUNCTION("""COMPUTED_VALUE"""),6)</f>
        <v>6</v>
      </c>
      <c r="X79" s="11">
        <f ca="1">IFERROR(__xludf.DUMMYFUNCTION("""COMPUTED_VALUE"""),19)</f>
        <v>19</v>
      </c>
      <c r="Y79" s="11">
        <f ca="1">IFERROR(__xludf.DUMMYFUNCTION("""COMPUTED_VALUE"""),6)</f>
        <v>6</v>
      </c>
      <c r="Z79" s="12">
        <f ca="1">IFERROR(__xludf.DUMMYFUNCTION("""COMPUTED_VALUE"""),3)</f>
        <v>3</v>
      </c>
      <c r="AA79" s="12">
        <f ca="1">IFERROR(__xludf.DUMMYFUNCTION("""COMPUTED_VALUE"""),1)</f>
        <v>1</v>
      </c>
      <c r="AB79" s="12">
        <f ca="1">IFERROR(__xludf.DUMMYFUNCTION("""COMPUTED_VALUE"""),10)</f>
        <v>10</v>
      </c>
      <c r="AC79" s="11"/>
      <c r="AD79" s="12"/>
      <c r="AE79" s="12"/>
      <c r="AF79" s="12"/>
      <c r="AG79" s="13" t="str">
        <f ca="1">IFERROR(__xludf.DUMMYFUNCTION("ArrayFormula(VLOOKUP(G79, IMPORTRANGE(""https://docs.google.com/spreadsheets/d/1Co934fvtviyaRiMsrIlT05Jaq7iiYq07aLvRr35KA48/edit?gid=173865642#gid=173865642"", ""'G6_Maths GP_Pri_LU'!G2:V2000""), {3, 4, 5, 6, 7, 8, 9, 10, 11, 12, 13, 14, 15, 16}, 0))"),"LU000278")</f>
        <v>LU000278</v>
      </c>
      <c r="AH79" s="22" t="str">
        <f ca="1">IFERROR(__xludf.DUMMYFUNCTION("""COMPUTED_VALUE"""),"Definition of fraction")</f>
        <v>Definition of fraction</v>
      </c>
      <c r="AI79" s="22" t="str">
        <f ca="1">IFERROR(__xludf.DUMMYFUNCTION("""COMPUTED_VALUE"""),"LU000179")</f>
        <v>LU000179</v>
      </c>
      <c r="AJ79" s="22" t="str">
        <f ca="1">IFERROR(__xludf.DUMMYFUNCTION("""COMPUTED_VALUE"""),"Representation of whole numbers on a number line")</f>
        <v>Representation of whole numbers on a number line</v>
      </c>
      <c r="AK79" s="22" t="str">
        <f ca="1">IFERROR(__xludf.DUMMYFUNCTION("""COMPUTED_VALUE"""),"LU000279")</f>
        <v>LU000279</v>
      </c>
      <c r="AL79" s="22" t="str">
        <f ca="1">IFERROR(__xludf.DUMMYFUNCTION("""COMPUTED_VALUE"""),"Represent fractions using numbers, figures or words")</f>
        <v>Represent fractions using numbers, figures or words</v>
      </c>
      <c r="AM79" s="22"/>
      <c r="AN79" s="22"/>
      <c r="AO79" s="22"/>
      <c r="AP79" s="22"/>
      <c r="AQ79" s="22"/>
      <c r="AR79" s="22"/>
      <c r="AS79" s="22"/>
      <c r="AT79" s="22"/>
    </row>
    <row r="80" spans="1:46" ht="40.200000000000003">
      <c r="A80" s="8" t="s">
        <v>46</v>
      </c>
      <c r="B80" s="8" t="s">
        <v>47</v>
      </c>
      <c r="C80" s="8" t="s">
        <v>48</v>
      </c>
      <c r="D80" s="8" t="s">
        <v>49</v>
      </c>
      <c r="E80" s="8" t="s">
        <v>169</v>
      </c>
      <c r="F80" s="9" t="s">
        <v>176</v>
      </c>
      <c r="G80" s="19" t="s">
        <v>177</v>
      </c>
      <c r="H80" s="8" t="str">
        <f ca="1">IFERROR(__xludf.DUMMYFUNCTION("VLOOKUP(G80, IMPORTRANGE(""https://docs.google.com/spreadsheets/d/14deopnvwcrKtEGCKuYXdUHJbeLDZlkiSSWWT0g7x2pM/edit#gid=999382323"", ""LU List Maths (Filter)!A:B""), 2, FALSE)"),"Fractions less than one")</f>
        <v>Fractions less than one</v>
      </c>
      <c r="I80" s="10" t="str">
        <f t="shared" si="0"/>
        <v>LU001369.001</v>
      </c>
      <c r="J80" s="10" t="str">
        <f ca="1">IFERROR(__xludf.DUMMYFUNCTION("VLOOKUP(I80, IMPORTRANGE(""https://docs.google.com/spreadsheets/d/1yDAaXNsi4Mr5FtRQL4tbmSdIzhx6_m4wkOD7IG-k_eo/edit#gid=0"", ""Maths!M:N""), 2, FALSE)"),"List fractions that are less than one.")</f>
        <v>List fractions that are less than one.</v>
      </c>
      <c r="K80" s="10" t="str">
        <f t="shared" si="1"/>
        <v>LU001369.002</v>
      </c>
      <c r="L80" s="10" t="str">
        <f ca="1">IFERROR(__xludf.DUMMYFUNCTION("VLOOKUP(K80, IMPORTRANGE(""https://docs.google.com/spreadsheets/d/1yDAaXNsi4Mr5FtRQL4tbmSdIzhx6_m4wkOD7IG-k_eo/edit#gid=0"", ""Maths!M:N""), 2, FALSE)"),"Identify fractions that are less than one from the given set of fractions.")</f>
        <v>Identify fractions that are less than one from the given set of fractions.</v>
      </c>
      <c r="M80" s="10" t="str">
        <f t="shared" si="2"/>
        <v>LU001369.003</v>
      </c>
      <c r="N80" s="10" t="str">
        <f ca="1">IFERROR(__xludf.DUMMYFUNCTION("VLOOKUP(M80, IMPORTRANGE(""https://docs.google.com/spreadsheets/d/1yDAaXNsi4Mr5FtRQL4tbmSdIzhx6_m4wkOD7IG-k_eo/edit#gid=0"", ""Maths!M:N""), 2, FALSE)"),"Represent fractions that are less than one visually.")</f>
        <v>Represent fractions that are less than one visually.</v>
      </c>
      <c r="O80" s="10" t="str">
        <f t="shared" si="3"/>
        <v>LU001369.004</v>
      </c>
      <c r="P80" s="10" t="str">
        <f ca="1">IFERROR(__xludf.DUMMYFUNCTION("VLOOKUP(O80, IMPORTRANGE(""https://docs.google.com/spreadsheets/d/1yDAaXNsi4Mr5FtRQL4tbmSdIzhx6_m4wkOD7IG-k_eo/edit#gid=0"", ""Maths!M:N""), 2, FALSE)"),"Write fractions that are less than one whose numerator and denominator satisfy a given condition.")</f>
        <v>Write fractions that are less than one whose numerator and denominator satisfy a given condition.</v>
      </c>
      <c r="Q80" s="10" t="str">
        <f t="shared" si="4"/>
        <v>LU001369.005</v>
      </c>
      <c r="R80" s="10" t="str">
        <f ca="1">IFERROR(__xludf.DUMMYFUNCTION("VLOOKUP(Q80, IMPORTRANGE(""https://docs.google.com/spreadsheets/d/1yDAaXNsi4Mr5FtRQL4tbmSdIzhx6_m4wkOD7IG-k_eo/edit#gid=0"", ""Maths!M:N""), 2, FALSE)"),"Importance of fraction that is less than one in representing parts of a whole and their relevance in real-world scenarios.")</f>
        <v>Importance of fraction that is less than one in representing parts of a whole and their relevance in real-world scenarios.</v>
      </c>
      <c r="S80" s="10" t="str">
        <f t="shared" si="5"/>
        <v>LU001369.006</v>
      </c>
      <c r="T80" s="10" t="str">
        <f ca="1">IFERROR(__xludf.DUMMYFUNCTION("VLOOKUP(S80, IMPORTRANGE(""https://docs.google.com/spreadsheets/d/1yDAaXNsi4Mr5FtRQL4tbmSdIzhx6_m4wkOD7IG-k_eo/edit#gid=0"", ""Maths!M:N""), 2, FALSE)"),"Develop real life examples of fractions that are less than one and illustrate their representation using visual aids.")</f>
        <v>Develop real life examples of fractions that are less than one and illustrate their representation using visual aids.</v>
      </c>
      <c r="U80" s="11">
        <f ca="1">IFERROR(__xludf.DUMMYFUNCTION("ArrayFormula(VLOOKUP(G80, IMPORTRANGE(""https://docs.google.com/spreadsheets/d/1p7R4vtkWt5VOBim4ltsDG9KTzSjrtKXsMtQGXPHyND0/edit#gid=795171502"", ""'Filter 30_05_2024'!A1:M2000""), {2, 3, 4, 5,6,7,8,9,10,11,12,13}, 0))"),4)</f>
        <v>4</v>
      </c>
      <c r="V80" s="11">
        <f ca="1">IFERROR(__xludf.DUMMYFUNCTION("""COMPUTED_VALUE"""),6)</f>
        <v>6</v>
      </c>
      <c r="W80" s="11">
        <f ca="1">IFERROR(__xludf.DUMMYFUNCTION("""COMPUTED_VALUE"""),2)</f>
        <v>2</v>
      </c>
      <c r="X80" s="11">
        <f ca="1">IFERROR(__xludf.DUMMYFUNCTION("""COMPUTED_VALUE"""),12)</f>
        <v>12</v>
      </c>
      <c r="Y80" s="11">
        <f ca="1">IFERROR(__xludf.DUMMYFUNCTION("""COMPUTED_VALUE"""),4)</f>
        <v>4</v>
      </c>
      <c r="Z80" s="12">
        <f ca="1">IFERROR(__xludf.DUMMYFUNCTION("""COMPUTED_VALUE"""),2)</f>
        <v>2</v>
      </c>
      <c r="AA80" s="12">
        <f ca="1">IFERROR(__xludf.DUMMYFUNCTION("""COMPUTED_VALUE"""),1)</f>
        <v>1</v>
      </c>
      <c r="AB80" s="12">
        <f ca="1">IFERROR(__xludf.DUMMYFUNCTION("""COMPUTED_VALUE"""),7)</f>
        <v>7</v>
      </c>
      <c r="AC80" s="11"/>
      <c r="AD80" s="12"/>
      <c r="AE80" s="12"/>
      <c r="AF80" s="12"/>
      <c r="AG80" s="13" t="str">
        <f ca="1">IFERROR(__xludf.DUMMYFUNCTION("ArrayFormula(VLOOKUP(G80, IMPORTRANGE(""https://docs.google.com/spreadsheets/d/1Co934fvtviyaRiMsrIlT05Jaq7iiYq07aLvRr35KA48/edit?gid=173865642#gid=173865642"", ""'G6_Maths GP_Pri_LU'!G2:V2000""), {3, 4, 5, 6, 7, 8, 9, 10, 11, 12, 13, 14, 15, 16}, 0))"),"LU000280")</f>
        <v>LU000280</v>
      </c>
      <c r="AH80" s="22" t="str">
        <f ca="1">IFERROR(__xludf.DUMMYFUNCTION("""COMPUTED_VALUE"""),"Representation of fractions on a number line")</f>
        <v>Representation of fractions on a number line</v>
      </c>
      <c r="AI80" s="22" t="str">
        <f ca="1">IFERROR(__xludf.DUMMYFUNCTION("""COMPUTED_VALUE"""),"LU000278")</f>
        <v>LU000278</v>
      </c>
      <c r="AJ80" s="22" t="str">
        <f ca="1">IFERROR(__xludf.DUMMYFUNCTION("""COMPUTED_VALUE"""),"Definition of fraction")</f>
        <v>Definition of fraction</v>
      </c>
      <c r="AK80" s="22"/>
      <c r="AL80" s="22"/>
      <c r="AM80" s="22"/>
      <c r="AN80" s="22"/>
      <c r="AO80" s="22"/>
      <c r="AP80" s="22"/>
      <c r="AQ80" s="22"/>
      <c r="AR80" s="22"/>
      <c r="AS80" s="22"/>
      <c r="AT80" s="22"/>
    </row>
    <row r="81" spans="1:46" ht="40.200000000000003">
      <c r="A81" s="8" t="s">
        <v>46</v>
      </c>
      <c r="B81" s="8" t="s">
        <v>47</v>
      </c>
      <c r="C81" s="8" t="s">
        <v>48</v>
      </c>
      <c r="D81" s="8" t="s">
        <v>49</v>
      </c>
      <c r="E81" s="8" t="s">
        <v>169</v>
      </c>
      <c r="F81" s="9" t="s">
        <v>176</v>
      </c>
      <c r="G81" s="19" t="s">
        <v>178</v>
      </c>
      <c r="H81" s="8" t="str">
        <f ca="1">IFERROR(__xludf.DUMMYFUNCTION("VLOOKUP(G81, IMPORTRANGE(""https://docs.google.com/spreadsheets/d/14deopnvwcrKtEGCKuYXdUHJbeLDZlkiSSWWT0g7x2pM/edit#gid=999382323"", ""LU List Maths (Filter)!A:B""), 2, FALSE)"),"Fractions greater than one")</f>
        <v>Fractions greater than one</v>
      </c>
      <c r="I81" s="10" t="str">
        <f t="shared" si="0"/>
        <v>LU001370.001</v>
      </c>
      <c r="J81" s="10" t="str">
        <f ca="1">IFERROR(__xludf.DUMMYFUNCTION("VLOOKUP(I81, IMPORTRANGE(""https://docs.google.com/spreadsheets/d/1yDAaXNsi4Mr5FtRQL4tbmSdIzhx6_m4wkOD7IG-k_eo/edit#gid=0"", ""Maths!M:N""), 2, FALSE)"),"List fractions that are greater than one.")</f>
        <v>List fractions that are greater than one.</v>
      </c>
      <c r="K81" s="10" t="str">
        <f t="shared" si="1"/>
        <v>LU001370.002</v>
      </c>
      <c r="L81" s="10" t="str">
        <f ca="1">IFERROR(__xludf.DUMMYFUNCTION("VLOOKUP(K81, IMPORTRANGE(""https://docs.google.com/spreadsheets/d/1yDAaXNsi4Mr5FtRQL4tbmSdIzhx6_m4wkOD7IG-k_eo/edit#gid=0"", ""Maths!M:N""), 2, FALSE)"),"Identify fractions that are greater than one from the given set of fractions.")</f>
        <v>Identify fractions that are greater than one from the given set of fractions.</v>
      </c>
      <c r="M81" s="10" t="str">
        <f t="shared" si="2"/>
        <v>LU001370.003</v>
      </c>
      <c r="N81" s="10" t="str">
        <f ca="1">IFERROR(__xludf.DUMMYFUNCTION("VLOOKUP(M81, IMPORTRANGE(""https://docs.google.com/spreadsheets/d/1yDAaXNsi4Mr5FtRQL4tbmSdIzhx6_m4wkOD7IG-k_eo/edit#gid=0"", ""Maths!M:N""), 2, FALSE)"),"Represent fractions that are greater than one visually.")</f>
        <v>Represent fractions that are greater than one visually.</v>
      </c>
      <c r="O81" s="10" t="str">
        <f t="shared" si="3"/>
        <v>LU001370.004</v>
      </c>
      <c r="P81" s="10" t="str">
        <f ca="1">IFERROR(__xludf.DUMMYFUNCTION("VLOOKUP(O81, IMPORTRANGE(""https://docs.google.com/spreadsheets/d/1yDAaXNsi4Mr5FtRQL4tbmSdIzhx6_m4wkOD7IG-k_eo/edit#gid=0"", ""Maths!M:N""), 2, FALSE)"),"Write fraction that is greater than one whose numerator and denominator satisfy a given condition.")</f>
        <v>Write fraction that is greater than one whose numerator and denominator satisfy a given condition.</v>
      </c>
      <c r="Q81" s="10" t="str">
        <f t="shared" si="4"/>
        <v>LU001370.005</v>
      </c>
      <c r="R81" s="10" t="str">
        <f ca="1">IFERROR(__xludf.DUMMYFUNCTION("VLOOKUP(Q81, IMPORTRANGE(""https://docs.google.com/spreadsheets/d/1yDAaXNsi4Mr5FtRQL4tbmSdIzhx6_m4wkOD7IG-k_eo/edit#gid=0"", ""Maths!M:N""), 2, FALSE)"),"Evaluate the significance of fractions in representing quantities greater than a whole and their relevance in real-world scenarios.")</f>
        <v>Evaluate the significance of fractions in representing quantities greater than a whole and their relevance in real-world scenarios.</v>
      </c>
      <c r="S81" s="10" t="str">
        <f t="shared" si="5"/>
        <v>LU001370.006</v>
      </c>
      <c r="T81" s="10" t="str">
        <f ca="1">IFERROR(__xludf.DUMMYFUNCTION("VLOOKUP(S81, IMPORTRANGE(""https://docs.google.com/spreadsheets/d/1yDAaXNsi4Mr5FtRQL4tbmSdIzhx6_m4wkOD7IG-k_eo/edit#gid=0"", ""Maths!M:N""), 2, FALSE)"),"Develop real life examples of fractions that are greater than one and illustrate their representation using visual aids.")</f>
        <v>Develop real life examples of fractions that are greater than one and illustrate their representation using visual aids.</v>
      </c>
      <c r="U81" s="11">
        <f ca="1">IFERROR(__xludf.DUMMYFUNCTION("ArrayFormula(VLOOKUP(G81, IMPORTRANGE(""https://docs.google.com/spreadsheets/d/1p7R4vtkWt5VOBim4ltsDG9KTzSjrtKXsMtQGXPHyND0/edit#gid=795171502"", ""'Filter 30_05_2024'!A1:M2000""), {2, 3, 4, 5,6,7,8,9,10,11,12,13}, 0))"),4)</f>
        <v>4</v>
      </c>
      <c r="V81" s="11">
        <f ca="1">IFERROR(__xludf.DUMMYFUNCTION("""COMPUTED_VALUE"""),6)</f>
        <v>6</v>
      </c>
      <c r="W81" s="11">
        <f ca="1">IFERROR(__xludf.DUMMYFUNCTION("""COMPUTED_VALUE"""),2)</f>
        <v>2</v>
      </c>
      <c r="X81" s="11">
        <f ca="1">IFERROR(__xludf.DUMMYFUNCTION("""COMPUTED_VALUE"""),12)</f>
        <v>12</v>
      </c>
      <c r="Y81" s="11">
        <f ca="1">IFERROR(__xludf.DUMMYFUNCTION("""COMPUTED_VALUE"""),4)</f>
        <v>4</v>
      </c>
      <c r="Z81" s="12">
        <f ca="1">IFERROR(__xludf.DUMMYFUNCTION("""COMPUTED_VALUE"""),3)</f>
        <v>3</v>
      </c>
      <c r="AA81" s="12">
        <f ca="1">IFERROR(__xludf.DUMMYFUNCTION("""COMPUTED_VALUE"""),1)</f>
        <v>1</v>
      </c>
      <c r="AB81" s="12">
        <f ca="1">IFERROR(__xludf.DUMMYFUNCTION("""COMPUTED_VALUE"""),8)</f>
        <v>8</v>
      </c>
      <c r="AC81" s="11"/>
      <c r="AD81" s="12"/>
      <c r="AE81" s="12"/>
      <c r="AF81" s="12"/>
      <c r="AG81" s="13" t="str">
        <f ca="1">IFERROR(__xludf.DUMMYFUNCTION("ArrayFormula(VLOOKUP(G81, IMPORTRANGE(""https://docs.google.com/spreadsheets/d/1Co934fvtviyaRiMsrIlT05Jaq7iiYq07aLvRr35KA48/edit?gid=173865642#gid=173865642"", ""'G6_Maths GP_Pri_LU'!G2:V2000""), {3, 4, 5, 6, 7, 8, 9, 10, 11, 12, 13, 14, 15, 16}, 0))"),"LU000280")</f>
        <v>LU000280</v>
      </c>
      <c r="AH81" s="22" t="str">
        <f ca="1">IFERROR(__xludf.DUMMYFUNCTION("""COMPUTED_VALUE"""),"Representation of fractions on a number line")</f>
        <v>Representation of fractions on a number line</v>
      </c>
      <c r="AI81" s="22" t="str">
        <f ca="1">IFERROR(__xludf.DUMMYFUNCTION("""COMPUTED_VALUE"""),"LU000278")</f>
        <v>LU000278</v>
      </c>
      <c r="AJ81" s="22" t="str">
        <f ca="1">IFERROR(__xludf.DUMMYFUNCTION("""COMPUTED_VALUE"""),"Definition of fraction")</f>
        <v>Definition of fraction</v>
      </c>
      <c r="AK81" s="22"/>
      <c r="AL81" s="22"/>
      <c r="AM81" s="22"/>
      <c r="AN81" s="22"/>
      <c r="AO81" s="22"/>
      <c r="AP81" s="22"/>
      <c r="AQ81" s="22"/>
      <c r="AR81" s="22"/>
      <c r="AS81" s="22"/>
      <c r="AT81" s="22"/>
    </row>
    <row r="82" spans="1:46" ht="40.200000000000003">
      <c r="A82" s="8" t="s">
        <v>46</v>
      </c>
      <c r="B82" s="8" t="s">
        <v>47</v>
      </c>
      <c r="C82" s="8" t="s">
        <v>48</v>
      </c>
      <c r="D82" s="8" t="s">
        <v>49</v>
      </c>
      <c r="E82" s="8" t="s">
        <v>169</v>
      </c>
      <c r="F82" s="9" t="s">
        <v>176</v>
      </c>
      <c r="G82" s="16" t="s">
        <v>179</v>
      </c>
      <c r="H82" s="8" t="str">
        <f ca="1">IFERROR(__xludf.DUMMYFUNCTION("VLOOKUP(G82, IMPORTRANGE(""https://docs.google.com/spreadsheets/d/14deopnvwcrKtEGCKuYXdUHJbeLDZlkiSSWWT0g7x2pM/edit#gid=999382323"", ""LU List Maths (Filter)!A:B""), 2, FALSE)"),"Definition of mixed fractions")</f>
        <v>Definition of mixed fractions</v>
      </c>
      <c r="I82" s="10" t="str">
        <f t="shared" si="0"/>
        <v>LU000283.001</v>
      </c>
      <c r="J82" s="10" t="str">
        <f ca="1">IFERROR(__xludf.DUMMYFUNCTION("VLOOKUP(I82, IMPORTRANGE(""https://docs.google.com/spreadsheets/d/1yDAaXNsi4Mr5FtRQL4tbmSdIzhx6_m4wkOD7IG-k_eo/edit#gid=0"", ""Maths!M:N""), 2, FALSE)"),"Define a mixed fraction with examples.")</f>
        <v>Define a mixed fraction with examples.</v>
      </c>
      <c r="K82" s="10" t="str">
        <f t="shared" si="1"/>
        <v>LU000283.002</v>
      </c>
      <c r="L82" s="10" t="str">
        <f ca="1">IFERROR(__xludf.DUMMYFUNCTION("VLOOKUP(K82, IMPORTRANGE(""https://docs.google.com/spreadsheets/d/1yDAaXNsi4Mr5FtRQL4tbmSdIzhx6_m4wkOD7IG-k_eo/edit#gid=0"", ""Maths!M:N""), 2, FALSE)"),"Identify a mixed fraction from a set of given fractions.")</f>
        <v>Identify a mixed fraction from a set of given fractions.</v>
      </c>
      <c r="M82" s="10" t="str">
        <f t="shared" si="2"/>
        <v>LU000283.003</v>
      </c>
      <c r="N82" s="10" t="str">
        <f ca="1">IFERROR(__xludf.DUMMYFUNCTION("VLOOKUP(M82, IMPORTRANGE(""https://docs.google.com/spreadsheets/d/1yDAaXNsi4Mr5FtRQL4tbmSdIzhx6_m4wkOD7IG-k_eo/edit#gid=0"", ""Maths!M:N""), 2, FALSE)"),"Recognise mixed fractions as the sum of a whole number and a proper fraction.")</f>
        <v>Recognise mixed fractions as the sum of a whole number and a proper fraction.</v>
      </c>
      <c r="O82" s="10" t="str">
        <f t="shared" si="3"/>
        <v>LU000283.004</v>
      </c>
      <c r="P82" s="10" t="str">
        <f ca="1">IFERROR(__xludf.DUMMYFUNCTION("VLOOKUP(O82, IMPORTRANGE(""https://docs.google.com/spreadsheets/d/1yDAaXNsi4Mr5FtRQL4tbmSdIzhx6_m4wkOD7IG-k_eo/edit#gid=0"", ""Maths!M:N""), 2, FALSE)"),"Analyse mixed fractions to identify the whole number part, the numerator, and the denominator and understand their relationship.")</f>
        <v>Analyse mixed fractions to identify the whole number part, the numerator, and the denominator and understand their relationship.</v>
      </c>
      <c r="Q82" s="10" t="str">
        <f t="shared" si="4"/>
        <v>LU000283.005</v>
      </c>
      <c r="R82" s="10" t="str">
        <f ca="1">IFERROR(__xludf.DUMMYFUNCTION("VLOOKUP(Q82, IMPORTRANGE(""https://docs.google.com/spreadsheets/d/1yDAaXNsi4Mr5FtRQL4tbmSdIzhx6_m4wkOD7IG-k_eo/edit#gid=0"", ""Maths!M:N""), 2, FALSE)"),"Evaluate the significance of mixed fractions in practical situations where whole numbers and fractions are combined.")</f>
        <v>Evaluate the significance of mixed fractions in practical situations where whole numbers and fractions are combined.</v>
      </c>
      <c r="S82" s="10" t="str">
        <f t="shared" si="5"/>
        <v>LU000283.006</v>
      </c>
      <c r="T82" s="10" t="str">
        <f ca="1">IFERROR(__xludf.DUMMYFUNCTION("VLOOKUP(S82, IMPORTRANGE(""https://docs.google.com/spreadsheets/d/1yDAaXNsi4Mr5FtRQL4tbmSdIzhx6_m4wkOD7IG-k_eo/edit#gid=0"", ""Maths!M:N""), 2, FALSE)"),"Write examples of mixed fractions, both in numeric and visual form, showcasing the combination of whole numbers and proper fractions.")</f>
        <v>Write examples of mixed fractions, both in numeric and visual form, showcasing the combination of whole numbers and proper fractions.</v>
      </c>
      <c r="U82" s="11">
        <f ca="1">IFERROR(__xludf.DUMMYFUNCTION("ArrayFormula(VLOOKUP(G82, IMPORTRANGE(""https://docs.google.com/spreadsheets/d/1p7R4vtkWt5VOBim4ltsDG9KTzSjrtKXsMtQGXPHyND0/edit#gid=795171502"", ""'Filter 30_05_2024'!A1:M2000""), {2, 3, 4, 5,6,7,8,9,10,11,12,13}, 0))"),2)</f>
        <v>2</v>
      </c>
      <c r="V82" s="11">
        <f ca="1">IFERROR(__xludf.DUMMYFUNCTION("""COMPUTED_VALUE"""),2)</f>
        <v>2</v>
      </c>
      <c r="W82" s="11">
        <f ca="1">IFERROR(__xludf.DUMMYFUNCTION("""COMPUTED_VALUE"""),2)</f>
        <v>2</v>
      </c>
      <c r="X82" s="11">
        <f ca="1">IFERROR(__xludf.DUMMYFUNCTION("""COMPUTED_VALUE"""),6)</f>
        <v>6</v>
      </c>
      <c r="Y82" s="11">
        <f ca="1">IFERROR(__xludf.DUMMYFUNCTION("""COMPUTED_VALUE"""),6)</f>
        <v>6</v>
      </c>
      <c r="Z82" s="12">
        <f ca="1">IFERROR(__xludf.DUMMYFUNCTION("""COMPUTED_VALUE"""),7)</f>
        <v>7</v>
      </c>
      <c r="AA82" s="12">
        <f ca="1">IFERROR(__xludf.DUMMYFUNCTION("""COMPUTED_VALUE"""),1)</f>
        <v>1</v>
      </c>
      <c r="AB82" s="12">
        <f ca="1">IFERROR(__xludf.DUMMYFUNCTION("""COMPUTED_VALUE"""),14)</f>
        <v>14</v>
      </c>
      <c r="AC82" s="11"/>
      <c r="AD82" s="12"/>
      <c r="AE82" s="12"/>
      <c r="AF82" s="12"/>
      <c r="AG82" s="13" t="str">
        <f ca="1">IFERROR(__xludf.DUMMYFUNCTION("ArrayFormula(VLOOKUP(G82, IMPORTRANGE(""https://docs.google.com/spreadsheets/d/1Co934fvtviyaRiMsrIlT05Jaq7iiYq07aLvRr35KA48/edit?gid=173865642#gid=173865642"", ""'G6_Maths GP_Pri_LU'!G2:V2000""), {3, 4, 5, 6, 7, 8, 9, 10, 11, 12, 13, 14, 15, 16}, 0))"),"LU001370")</f>
        <v>LU001370</v>
      </c>
      <c r="AH82" s="22" t="str">
        <f ca="1">IFERROR(__xludf.DUMMYFUNCTION("""COMPUTED_VALUE"""),"Fractions greater than one")</f>
        <v>Fractions greater than one</v>
      </c>
      <c r="AI82" s="22" t="str">
        <f ca="1">IFERROR(__xludf.DUMMYFUNCTION("""COMPUTED_VALUE"""),"LU000278")</f>
        <v>LU000278</v>
      </c>
      <c r="AJ82" s="22" t="str">
        <f ca="1">IFERROR(__xludf.DUMMYFUNCTION("""COMPUTED_VALUE"""),"Definition of fraction")</f>
        <v>Definition of fraction</v>
      </c>
      <c r="AK82" s="22" t="str">
        <f ca="1">IFERROR(__xludf.DUMMYFUNCTION("""COMPUTED_VALUE"""),"LU000176")</f>
        <v>LU000176</v>
      </c>
      <c r="AL82" s="22" t="str">
        <f ca="1">IFERROR(__xludf.DUMMYFUNCTION("""COMPUTED_VALUE"""),"Definition of whole number")</f>
        <v>Definition of whole number</v>
      </c>
      <c r="AM82" s="22"/>
      <c r="AN82" s="22"/>
      <c r="AO82" s="22"/>
      <c r="AP82" s="22"/>
      <c r="AQ82" s="22"/>
      <c r="AR82" s="22"/>
      <c r="AS82" s="22"/>
      <c r="AT82" s="22"/>
    </row>
    <row r="83" spans="1:46" ht="40.200000000000003">
      <c r="A83" s="8" t="s">
        <v>46</v>
      </c>
      <c r="B83" s="8" t="s">
        <v>47</v>
      </c>
      <c r="C83" s="8" t="s">
        <v>48</v>
      </c>
      <c r="D83" s="8" t="s">
        <v>49</v>
      </c>
      <c r="E83" s="8" t="s">
        <v>169</v>
      </c>
      <c r="F83" s="8" t="s">
        <v>180</v>
      </c>
      <c r="G83" s="16" t="s">
        <v>181</v>
      </c>
      <c r="H83" s="8" t="str">
        <f ca="1">IFERROR(__xludf.DUMMYFUNCTION("VLOOKUP(G83, IMPORTRANGE(""https://docs.google.com/spreadsheets/d/14deopnvwcrKtEGCKuYXdUHJbeLDZlkiSSWWT0g7x2pM/edit#gid=999382323"", ""LU List Maths (Filter)!A:B""), 2, FALSE)"),"Conversion of improper fraction to mixed fraction ")</f>
        <v xml:space="preserve">Conversion of improper fraction to mixed fraction </v>
      </c>
      <c r="I83" s="10" t="str">
        <f t="shared" si="0"/>
        <v>LU000975.001</v>
      </c>
      <c r="J83" s="10" t="str">
        <f ca="1">IFERROR(__xludf.DUMMYFUNCTION("VLOOKUP(I83, IMPORTRANGE(""https://docs.google.com/spreadsheets/d/1yDAaXNsi4Mr5FtRQL4tbmSdIzhx6_m4wkOD7IG-k_eo/edit#gid=0"", ""Maths!M:N""), 2, FALSE)"),"Recall the steps involved in converting an improper fraction to a mixed fraction.")</f>
        <v>Recall the steps involved in converting an improper fraction to a mixed fraction.</v>
      </c>
      <c r="K83" s="10" t="str">
        <f t="shared" si="1"/>
        <v>LU000975.002</v>
      </c>
      <c r="L83" s="10" t="str">
        <f ca="1">IFERROR(__xludf.DUMMYFUNCTION("VLOOKUP(K83, IMPORTRANGE(""https://docs.google.com/spreadsheets/d/1yDAaXNsi4Mr5FtRQL4tbmSdIzhx6_m4wkOD7IG-k_eo/edit#gid=0"", ""Maths!M:N""), 2, FALSE)"),"Explain the concept of improper fractions and mixed fractions, including their relationship, and why conversion is necessary.")</f>
        <v>Explain the concept of improper fractions and mixed fractions, including their relationship, and why conversion is necessary.</v>
      </c>
      <c r="M83" s="10" t="str">
        <f t="shared" si="2"/>
        <v>LU000975.003</v>
      </c>
      <c r="N83" s="10" t="str">
        <f ca="1">IFERROR(__xludf.DUMMYFUNCTION("VLOOKUP(M83, IMPORTRANGE(""https://docs.google.com/spreadsheets/d/1yDAaXNsi4Mr5FtRQL4tbmSdIzhx6_m4wkOD7IG-k_eo/edit#gid=0"", ""Maths!M:N""), 2, FALSE)"),"Apply the conversion process accurately to transform improper fractions into mixed fractions.")</f>
        <v>Apply the conversion process accurately to transform improper fractions into mixed fractions.</v>
      </c>
      <c r="O83" s="10" t="str">
        <f t="shared" si="3"/>
        <v>LU000975.004</v>
      </c>
      <c r="P83" s="10" t="str">
        <f ca="1">IFERROR(__xludf.DUMMYFUNCTION("VLOOKUP(O83, IMPORTRANGE(""https://docs.google.com/spreadsheets/d/1yDAaXNsi4Mr5FtRQL4tbmSdIzhx6_m4wkOD7IG-k_eo/edit#gid=0"", ""Maths!M:N""), 2, FALSE)"),"Analyze improper fractions to determine their equivalent mixed fraction representations.")</f>
        <v>Analyze improper fractions to determine their equivalent mixed fraction representations.</v>
      </c>
      <c r="Q83" s="10" t="str">
        <f t="shared" si="4"/>
        <v>LU000975.005</v>
      </c>
      <c r="R83" s="10" t="str">
        <f ca="1">IFERROR(__xludf.DUMMYFUNCTION("VLOOKUP(Q83, IMPORTRANGE(""https://docs.google.com/spreadsheets/d/1yDAaXNsi4Mr5FtRQL4tbmSdIzhx6_m4wkOD7IG-k_eo/edit#gid=0"", ""Maths!M:N""), 2, FALSE)"),"Evaluate the correctness of converted mixed fractions, providing explanations for errors.")</f>
        <v>Evaluate the correctness of converted mixed fractions, providing explanations for errors.</v>
      </c>
      <c r="S83" s="10" t="str">
        <f t="shared" si="5"/>
        <v>LU000975.006</v>
      </c>
      <c r="T83" s="10" t="str">
        <f ca="1">IFERROR(__xludf.DUMMYFUNCTION("VLOOKUP(S83, IMPORTRANGE(""https://docs.google.com/spreadsheets/d/1yDAaXNsi4Mr5FtRQL4tbmSdIzhx6_m4wkOD7IG-k_eo/edit#gid=0"", ""Maths!M:N""), 2, FALSE)"),"#N/A")</f>
        <v>#N/A</v>
      </c>
      <c r="U83" s="11">
        <f ca="1">IFERROR(__xludf.DUMMYFUNCTION("ArrayFormula(VLOOKUP(G83, IMPORTRANGE(""https://docs.google.com/spreadsheets/d/1p7R4vtkWt5VOBim4ltsDG9KTzSjrtKXsMtQGXPHyND0/edit#gid=795171502"", ""'Filter 30_05_2024'!A1:M2000""), {2, 3, 4, 5,6,7,8,9,10,11,12,13}, 0))"),4)</f>
        <v>4</v>
      </c>
      <c r="V83" s="11">
        <f ca="1">IFERROR(__xludf.DUMMYFUNCTION("""COMPUTED_VALUE"""),7)</f>
        <v>7</v>
      </c>
      <c r="W83" s="11">
        <f ca="1">IFERROR(__xludf.DUMMYFUNCTION("""COMPUTED_VALUE"""),2)</f>
        <v>2</v>
      </c>
      <c r="X83" s="11">
        <f ca="1">IFERROR(__xludf.DUMMYFUNCTION("""COMPUTED_VALUE"""),13)</f>
        <v>13</v>
      </c>
      <c r="Y83" s="11">
        <f ca="1">IFERROR(__xludf.DUMMYFUNCTION("""COMPUTED_VALUE"""),8)</f>
        <v>8</v>
      </c>
      <c r="Z83" s="12">
        <f ca="1">IFERROR(__xludf.DUMMYFUNCTION("""COMPUTED_VALUE"""),8)</f>
        <v>8</v>
      </c>
      <c r="AA83" s="12">
        <f ca="1">IFERROR(__xludf.DUMMYFUNCTION("""COMPUTED_VALUE"""),1)</f>
        <v>1</v>
      </c>
      <c r="AB83" s="12">
        <f ca="1">IFERROR(__xludf.DUMMYFUNCTION("""COMPUTED_VALUE"""),17)</f>
        <v>17</v>
      </c>
      <c r="AC83" s="11"/>
      <c r="AD83" s="12"/>
      <c r="AE83" s="12"/>
      <c r="AF83" s="12"/>
      <c r="AG83" s="13" t="str">
        <f ca="1">IFERROR(__xludf.DUMMYFUNCTION("ArrayFormula(VLOOKUP(G83, IMPORTRANGE(""https://docs.google.com/spreadsheets/d/1Co934fvtviyaRiMsrIlT05Jaq7iiYq07aLvRr35KA48/edit?gid=173865642#gid=173865642"", ""'G6_Maths GP_Pri_LU'!G2:V2000""), {3, 4, 5, 6, 7, 8, 9, 10, 11, 12, 13, 14, 15, 16}, 0))"),"LU001370")</f>
        <v>LU001370</v>
      </c>
      <c r="AH83" s="22" t="str">
        <f ca="1">IFERROR(__xludf.DUMMYFUNCTION("""COMPUTED_VALUE"""),"Fractions greater than one")</f>
        <v>Fractions greater than one</v>
      </c>
      <c r="AI83" s="22" t="str">
        <f ca="1">IFERROR(__xludf.DUMMYFUNCTION("""COMPUTED_VALUE"""),"LU000283")</f>
        <v>LU000283</v>
      </c>
      <c r="AJ83" s="22" t="str">
        <f ca="1">IFERROR(__xludf.DUMMYFUNCTION("""COMPUTED_VALUE"""),"Definition of mixed fractions")</f>
        <v>Definition of mixed fractions</v>
      </c>
      <c r="AK83" s="22" t="str">
        <f ca="1">IFERROR(__xludf.DUMMYFUNCTION("""COMPUTED_VALUE"""),"LU000124")</f>
        <v>LU000124</v>
      </c>
      <c r="AL83" s="22" t="str">
        <f ca="1">IFERROR(__xludf.DUMMYFUNCTION("""COMPUTED_VALUE"""),"Division of three-digit numbers by one-digit/two-digit numbers using standard algorithms")</f>
        <v>Division of three-digit numbers by one-digit/two-digit numbers using standard algorithms</v>
      </c>
      <c r="AM83" s="22"/>
      <c r="AN83" s="22"/>
      <c r="AO83" s="22"/>
      <c r="AP83" s="22"/>
      <c r="AQ83" s="22"/>
      <c r="AR83" s="22"/>
      <c r="AS83" s="22"/>
      <c r="AT83" s="22"/>
    </row>
    <row r="84" spans="1:46" ht="40.200000000000003">
      <c r="A84" s="8" t="s">
        <v>46</v>
      </c>
      <c r="B84" s="8" t="s">
        <v>47</v>
      </c>
      <c r="C84" s="8" t="s">
        <v>48</v>
      </c>
      <c r="D84" s="8" t="s">
        <v>49</v>
      </c>
      <c r="E84" s="8" t="s">
        <v>169</v>
      </c>
      <c r="F84" s="8" t="s">
        <v>180</v>
      </c>
      <c r="G84" s="16" t="s">
        <v>182</v>
      </c>
      <c r="H84" s="8" t="str">
        <f ca="1">IFERROR(__xludf.DUMMYFUNCTION("VLOOKUP(G84, IMPORTRANGE(""https://docs.google.com/spreadsheets/d/14deopnvwcrKtEGCKuYXdUHJbeLDZlkiSSWWT0g7x2pM/edit#gid=999382323"", ""LU List Maths (Filter)!A:B""), 2, FALSE)"),"Conversion of mixed fraction to improper fraction ")</f>
        <v xml:space="preserve">Conversion of mixed fraction to improper fraction </v>
      </c>
      <c r="I84" s="10" t="str">
        <f t="shared" si="0"/>
        <v>LU000976.001</v>
      </c>
      <c r="J84" s="10" t="str">
        <f ca="1">IFERROR(__xludf.DUMMYFUNCTION("VLOOKUP(I84, IMPORTRANGE(""https://docs.google.com/spreadsheets/d/1yDAaXNsi4Mr5FtRQL4tbmSdIzhx6_m4wkOD7IG-k_eo/edit#gid=0"", ""Maths!M:N""), 2, FALSE)"),"Recall the steps for converting mixed fractions to improper fractions.")</f>
        <v>Recall the steps for converting mixed fractions to improper fractions.</v>
      </c>
      <c r="K84" s="10" t="str">
        <f t="shared" si="1"/>
        <v>LU000976.002</v>
      </c>
      <c r="L84" s="10" t="str">
        <f ca="1">IFERROR(__xludf.DUMMYFUNCTION("VLOOKUP(K84, IMPORTRANGE(""https://docs.google.com/spreadsheets/d/1yDAaXNsi4Mr5FtRQL4tbmSdIzhx6_m4wkOD7IG-k_eo/edit#gid=0"", ""Maths!M:N""), 2, FALSE)"),"Explain the concept of mixed fractions and improper fractions and why conversion is necessary.")</f>
        <v>Explain the concept of mixed fractions and improper fractions and why conversion is necessary.</v>
      </c>
      <c r="M84" s="10" t="str">
        <f t="shared" si="2"/>
        <v>LU000976.003</v>
      </c>
      <c r="N84" s="10" t="str">
        <f ca="1">IFERROR(__xludf.DUMMYFUNCTION("VLOOKUP(M84, IMPORTRANGE(""https://docs.google.com/spreadsheets/d/1yDAaXNsi4Mr5FtRQL4tbmSdIzhx6_m4wkOD7IG-k_eo/edit#gid=0"", ""Maths!M:N""), 2, FALSE)"),"Apply the conversion process accurately to transform mixed fractions into improper fractions.")</f>
        <v>Apply the conversion process accurately to transform mixed fractions into improper fractions.</v>
      </c>
      <c r="O84" s="10" t="str">
        <f t="shared" si="3"/>
        <v>LU000976.004</v>
      </c>
      <c r="P84" s="10" t="str">
        <f ca="1">IFERROR(__xludf.DUMMYFUNCTION("VLOOKUP(O84, IMPORTRANGE(""https://docs.google.com/spreadsheets/d/1yDAaXNsi4Mr5FtRQL4tbmSdIzhx6_m4wkOD7IG-k_eo/edit#gid=0"", ""Maths!M:N""), 2, FALSE)"),"Analyze mixed fractions to determine their equivalent improper fraction representations.")</f>
        <v>Analyze mixed fractions to determine their equivalent improper fraction representations.</v>
      </c>
      <c r="Q84" s="10" t="str">
        <f t="shared" si="4"/>
        <v>LU000976.005</v>
      </c>
      <c r="R84" s="10" t="str">
        <f ca="1">IFERROR(__xludf.DUMMYFUNCTION("VLOOKUP(Q84, IMPORTRANGE(""https://docs.google.com/spreadsheets/d/1yDAaXNsi4Mr5FtRQL4tbmSdIzhx6_m4wkOD7IG-k_eo/edit#gid=0"", ""Maths!M:N""), 2, FALSE)"),"Evaluate the correctness of converted improper fractions, providing explanations for errors.")</f>
        <v>Evaluate the correctness of converted improper fractions, providing explanations for errors.</v>
      </c>
      <c r="S84" s="10" t="str">
        <f t="shared" si="5"/>
        <v>LU000976.006</v>
      </c>
      <c r="T84" s="10" t="str">
        <f ca="1">IFERROR(__xludf.DUMMYFUNCTION("VLOOKUP(S84, IMPORTRANGE(""https://docs.google.com/spreadsheets/d/1yDAaXNsi4Mr5FtRQL4tbmSdIzhx6_m4wkOD7IG-k_eo/edit#gid=0"", ""Maths!M:N""), 2, FALSE)"),"#N/A")</f>
        <v>#N/A</v>
      </c>
      <c r="U84" s="11">
        <f ca="1">IFERROR(__xludf.DUMMYFUNCTION("ArrayFormula(VLOOKUP(G84, IMPORTRANGE(""https://docs.google.com/spreadsheets/d/1p7R4vtkWt5VOBim4ltsDG9KTzSjrtKXsMtQGXPHyND0/edit#gid=795171502"", ""'Filter 30_05_2024'!A1:M2000""), {2, 3, 4, 5,6,7,8,9,10,11,12,13}, 0))"),4)</f>
        <v>4</v>
      </c>
      <c r="V84" s="11">
        <f ca="1">IFERROR(__xludf.DUMMYFUNCTION("""COMPUTED_VALUE"""),2)</f>
        <v>2</v>
      </c>
      <c r="W84" s="11">
        <f ca="1">IFERROR(__xludf.DUMMYFUNCTION("""COMPUTED_VALUE"""),2)</f>
        <v>2</v>
      </c>
      <c r="X84" s="11">
        <f ca="1">IFERROR(__xludf.DUMMYFUNCTION("""COMPUTED_VALUE"""),8)</f>
        <v>8</v>
      </c>
      <c r="Y84" s="11">
        <f ca="1">IFERROR(__xludf.DUMMYFUNCTION("""COMPUTED_VALUE"""),8)</f>
        <v>8</v>
      </c>
      <c r="Z84" s="12">
        <f ca="1">IFERROR(__xludf.DUMMYFUNCTION("""COMPUTED_VALUE"""),7)</f>
        <v>7</v>
      </c>
      <c r="AA84" s="12">
        <f ca="1">IFERROR(__xludf.DUMMYFUNCTION("""COMPUTED_VALUE"""),1)</f>
        <v>1</v>
      </c>
      <c r="AB84" s="12">
        <f ca="1">IFERROR(__xludf.DUMMYFUNCTION("""COMPUTED_VALUE"""),16)</f>
        <v>16</v>
      </c>
      <c r="AC84" s="11"/>
      <c r="AD84" s="12"/>
      <c r="AE84" s="12"/>
      <c r="AF84" s="12"/>
      <c r="AG84" s="13" t="str">
        <f ca="1">IFERROR(__xludf.DUMMYFUNCTION("ArrayFormula(VLOOKUP(G84, IMPORTRANGE(""https://docs.google.com/spreadsheets/d/1Co934fvtviyaRiMsrIlT05Jaq7iiYq07aLvRr35KA48/edit?gid=173865642#gid=173865642"", ""'G6_Maths GP_Pri_LU'!G2:V2000""), {3, 4, 5, 6, 7, 8, 9, 10, 11, 12, 13, 14, 15, 16}, 0))"),"LU000283")</f>
        <v>LU000283</v>
      </c>
      <c r="AH84" s="22" t="str">
        <f ca="1">IFERROR(__xludf.DUMMYFUNCTION("""COMPUTED_VALUE"""),"Definition of mixed fractions")</f>
        <v>Definition of mixed fractions</v>
      </c>
      <c r="AI84" s="22" t="str">
        <f ca="1">IFERROR(__xludf.DUMMYFUNCTION("""COMPUTED_VALUE"""),"LU001370")</f>
        <v>LU001370</v>
      </c>
      <c r="AJ84" s="22" t="str">
        <f ca="1">IFERROR(__xludf.DUMMYFUNCTION("""COMPUTED_VALUE"""),"Fractions greater than one")</f>
        <v>Fractions greater than one</v>
      </c>
      <c r="AK84" s="22" t="str">
        <f ca="1">IFERROR(__xludf.DUMMYFUNCTION("""COMPUTED_VALUE"""),"LU000127")</f>
        <v>LU000127</v>
      </c>
      <c r="AL84" s="22" t="str">
        <f ca="1">IFERROR(__xludf.DUMMYFUNCTION("""COMPUTED_VALUE"""),"Multiplication of three-digit numbers by one-digit/two-digit/three-digit numbers")</f>
        <v>Multiplication of three-digit numbers by one-digit/two-digit/three-digit numbers</v>
      </c>
      <c r="AM84" s="22"/>
      <c r="AN84" s="22"/>
      <c r="AO84" s="22"/>
      <c r="AP84" s="22"/>
      <c r="AQ84" s="22"/>
      <c r="AR84" s="22"/>
      <c r="AS84" s="22"/>
      <c r="AT84" s="22"/>
    </row>
    <row r="85" spans="1:46" ht="40.200000000000003">
      <c r="A85" s="8" t="s">
        <v>46</v>
      </c>
      <c r="B85" s="8" t="s">
        <v>47</v>
      </c>
      <c r="C85" s="8" t="s">
        <v>48</v>
      </c>
      <c r="D85" s="8" t="s">
        <v>49</v>
      </c>
      <c r="E85" s="8" t="s">
        <v>169</v>
      </c>
      <c r="F85" s="8" t="s">
        <v>183</v>
      </c>
      <c r="G85" s="16" t="s">
        <v>184</v>
      </c>
      <c r="H85" s="8" t="str">
        <f ca="1">IFERROR(__xludf.DUMMYFUNCTION("VLOOKUP(G85, IMPORTRANGE(""https://docs.google.com/spreadsheets/d/14deopnvwcrKtEGCKuYXdUHJbeLDZlkiSSWWT0g7x2pM/edit#gid=999382323"", ""LU List Maths (Filter)!A:B""), 2, FALSE)"),"Definition of equivalent fractions")</f>
        <v>Definition of equivalent fractions</v>
      </c>
      <c r="I85" s="10" t="str">
        <f t="shared" si="0"/>
        <v>LU000285.001</v>
      </c>
      <c r="J85" s="10" t="str">
        <f ca="1">IFERROR(__xludf.DUMMYFUNCTION("VLOOKUP(I85, IMPORTRANGE(""https://docs.google.com/spreadsheets/d/1yDAaXNsi4Mr5FtRQL4tbmSdIzhx6_m4wkOD7IG-k_eo/edit#gid=0"", ""Maths!M:N""), 2, FALSE)"),"Define equivalent fractions with examples.")</f>
        <v>Define equivalent fractions with examples.</v>
      </c>
      <c r="K85" s="10" t="str">
        <f t="shared" si="1"/>
        <v>LU000285.002</v>
      </c>
      <c r="L85" s="10" t="str">
        <f ca="1">IFERROR(__xludf.DUMMYFUNCTION("VLOOKUP(K85, IMPORTRANGE(""https://docs.google.com/spreadsheets/d/1yDAaXNsi4Mr5FtRQL4tbmSdIzhx6_m4wkOD7IG-k_eo/edit#gid=0"", ""Maths!M:N""), 2, FALSE)"),"Identify the equivalent fractions from a given list of fractions.")</f>
        <v>Identify the equivalent fractions from a given list of fractions.</v>
      </c>
      <c r="M85" s="10" t="str">
        <f t="shared" si="2"/>
        <v>LU000285.003</v>
      </c>
      <c r="N85" s="10" t="str">
        <f ca="1">IFERROR(__xludf.DUMMYFUNCTION("VLOOKUP(M85, IMPORTRANGE(""https://docs.google.com/spreadsheets/d/1yDAaXNsi4Mr5FtRQL4tbmSdIzhx6_m4wkOD7IG-k_eo/edit#gid=0"", ""Maths!M:N""), 2, FALSE)"),"Determine equivalent fractions for a given fraction.")</f>
        <v>Determine equivalent fractions for a given fraction.</v>
      </c>
      <c r="O85" s="10" t="str">
        <f t="shared" si="3"/>
        <v>LU000285.004</v>
      </c>
      <c r="P85" s="10" t="str">
        <f ca="1">IFERROR(__xludf.DUMMYFUNCTION("VLOOKUP(O85, IMPORTRANGE(""https://docs.google.com/spreadsheets/d/1yDAaXNsi4Mr5FtRQL4tbmSdIzhx6_m4wkOD7IG-k_eo/edit#gid=0"", ""Maths!M:N""), 2, FALSE)"),"Convert a fraction to an equivalent fraction with specific numerator and denominator.")</f>
        <v>Convert a fraction to an equivalent fraction with specific numerator and denominator.</v>
      </c>
      <c r="Q85" s="10" t="str">
        <f t="shared" si="4"/>
        <v>LU000285.005</v>
      </c>
      <c r="R85" s="10" t="str">
        <f ca="1">IFERROR(__xludf.DUMMYFUNCTION("VLOOKUP(Q85, IMPORTRANGE(""https://docs.google.com/spreadsheets/d/1yDAaXNsi4Mr5FtRQL4tbmSdIzhx6_m4wkOD7IG-k_eo/edit#gid=0"", ""Maths!M:N""), 2, FALSE)"),"Justify that equivalent fractions lie on the same point on a number line and represent them accordingly.")</f>
        <v>Justify that equivalent fractions lie on the same point on a number line and represent them accordingly.</v>
      </c>
      <c r="S85" s="10" t="str">
        <f t="shared" si="5"/>
        <v>LU000285.006</v>
      </c>
      <c r="T85" s="10" t="str">
        <f ca="1">IFERROR(__xludf.DUMMYFUNCTION("VLOOKUP(S85, IMPORTRANGE(""https://docs.google.com/spreadsheets/d/1yDAaXNsi4Mr5FtRQL4tbmSdIzhx6_m4wkOD7IG-k_eo/edit#gid=0"", ""Maths!M:N""), 2, FALSE)"),"Determine whether two fractions are equivalent or not by finding the cross product of numerators and denominators.")</f>
        <v>Determine whether two fractions are equivalent or not by finding the cross product of numerators and denominators.</v>
      </c>
      <c r="U85" s="11">
        <f ca="1">IFERROR(__xludf.DUMMYFUNCTION("ArrayFormula(VLOOKUP(G85, IMPORTRANGE(""https://docs.google.com/spreadsheets/d/1p7R4vtkWt5VOBim4ltsDG9KTzSjrtKXsMtQGXPHyND0/edit#gid=795171502"", ""'Filter 30_05_2024'!A1:M2000""), {2, 3, 4, 5,6,7,8,9,10,11,12,13}, 0))"),13)</f>
        <v>13</v>
      </c>
      <c r="V85" s="11">
        <f ca="1">IFERROR(__xludf.DUMMYFUNCTION("""COMPUTED_VALUE"""),6)</f>
        <v>6</v>
      </c>
      <c r="W85" s="11">
        <f ca="1">IFERROR(__xludf.DUMMYFUNCTION("""COMPUTED_VALUE"""),10)</f>
        <v>10</v>
      </c>
      <c r="X85" s="11">
        <f ca="1">IFERROR(__xludf.DUMMYFUNCTION("""COMPUTED_VALUE"""),29)</f>
        <v>29</v>
      </c>
      <c r="Y85" s="11">
        <f ca="1">IFERROR(__xludf.DUMMYFUNCTION("""COMPUTED_VALUE"""),5)</f>
        <v>5</v>
      </c>
      <c r="Z85" s="12">
        <f ca="1">IFERROR(__xludf.DUMMYFUNCTION("""COMPUTED_VALUE"""),12)</f>
        <v>12</v>
      </c>
      <c r="AA85" s="12">
        <f ca="1">IFERROR(__xludf.DUMMYFUNCTION("""COMPUTED_VALUE"""),6)</f>
        <v>6</v>
      </c>
      <c r="AB85" s="12">
        <f ca="1">IFERROR(__xludf.DUMMYFUNCTION("""COMPUTED_VALUE"""),23)</f>
        <v>23</v>
      </c>
      <c r="AC85" s="11"/>
      <c r="AD85" s="12"/>
      <c r="AE85" s="12"/>
      <c r="AF85" s="12"/>
      <c r="AG85" s="13" t="str">
        <f ca="1">IFERROR(__xludf.DUMMYFUNCTION("ArrayFormula(VLOOKUP(G85, IMPORTRANGE(""https://docs.google.com/spreadsheets/d/1Co934fvtviyaRiMsrIlT05Jaq7iiYq07aLvRr35KA48/edit?gid=173865642#gid=173865642"", ""'G6_Maths GP_Pri_LU'!G2:V2000""), {3, 4, 5, 6, 7, 8, 9, 10, 11, 12, 13, 14, 15, 16}, 0))"),"LU000060")</f>
        <v>LU000060</v>
      </c>
      <c r="AH85" s="22" t="str">
        <f ca="1">IFERROR(__xludf.DUMMYFUNCTION("""COMPUTED_VALUE"""),"Common factors of numbers")</f>
        <v>Common factors of numbers</v>
      </c>
      <c r="AI85" s="22" t="str">
        <f ca="1">IFERROR(__xludf.DUMMYFUNCTION("""COMPUTED_VALUE"""),"LU000058")</f>
        <v>LU000058</v>
      </c>
      <c r="AJ85" s="22" t="str">
        <f ca="1">IFERROR(__xludf.DUMMYFUNCTION("""COMPUTED_VALUE"""),"Definition of common multiples")</f>
        <v>Definition of common multiples</v>
      </c>
      <c r="AK85" s="22" t="str">
        <f ca="1">IFERROR(__xludf.DUMMYFUNCTION("""COMPUTED_VALUE"""),"LU000126")</f>
        <v>LU000126</v>
      </c>
      <c r="AL85" s="22" t="str">
        <f ca="1">IFERROR(__xludf.DUMMYFUNCTION("""COMPUTED_VALUE"""),"Multiplication of two-digit numbers by one-digit/two-digit numbers")</f>
        <v>Multiplication of two-digit numbers by one-digit/two-digit numbers</v>
      </c>
      <c r="AM85" s="22" t="str">
        <f ca="1">IFERROR(__xludf.DUMMYFUNCTION("""COMPUTED_VALUE"""),"LU000278")</f>
        <v>LU000278</v>
      </c>
      <c r="AN85" s="22" t="str">
        <f ca="1">IFERROR(__xludf.DUMMYFUNCTION("""COMPUTED_VALUE"""),"Definition of fraction")</f>
        <v>Definition of fraction</v>
      </c>
      <c r="AO85" s="22"/>
      <c r="AP85" s="22"/>
      <c r="AQ85" s="22"/>
      <c r="AR85" s="22"/>
      <c r="AS85" s="22"/>
      <c r="AT85" s="22"/>
    </row>
    <row r="86" spans="1:46" ht="40.200000000000003">
      <c r="A86" s="8" t="s">
        <v>46</v>
      </c>
      <c r="B86" s="8" t="s">
        <v>47</v>
      </c>
      <c r="C86" s="8" t="s">
        <v>48</v>
      </c>
      <c r="D86" s="8" t="s">
        <v>49</v>
      </c>
      <c r="E86" s="8" t="s">
        <v>169</v>
      </c>
      <c r="F86" s="8" t="s">
        <v>183</v>
      </c>
      <c r="G86" s="16" t="s">
        <v>185</v>
      </c>
      <c r="H86" s="8" t="str">
        <f ca="1">IFERROR(__xludf.DUMMYFUNCTION("VLOOKUP(G86, IMPORTRANGE(""https://docs.google.com/spreadsheets/d/14deopnvwcrKtEGCKuYXdUHJbeLDZlkiSSWWT0g7x2pM/edit#gid=999382323"", ""LU List Maths (Filter)!A:B""), 2, FALSE)"),"Simplest (or Lowest) form of a fraction")</f>
        <v>Simplest (or Lowest) form of a fraction</v>
      </c>
      <c r="I86" s="10" t="str">
        <f t="shared" si="0"/>
        <v>LU000291.001</v>
      </c>
      <c r="J86" s="10" t="str">
        <f ca="1">IFERROR(__xludf.DUMMYFUNCTION("VLOOKUP(I86, IMPORTRANGE(""https://docs.google.com/spreadsheets/d/1yDAaXNsi4Mr5FtRQL4tbmSdIzhx6_m4wkOD7IG-k_eo/edit#gid=0"", ""Maths!M:N""), 2, FALSE)"),"Recall the definition of simplest (or lowest) form of a fraction.")</f>
        <v>Recall the definition of simplest (or lowest) form of a fraction.</v>
      </c>
      <c r="K86" s="10" t="str">
        <f t="shared" si="1"/>
        <v>LU000291.002</v>
      </c>
      <c r="L86" s="10" t="str">
        <f ca="1">IFERROR(__xludf.DUMMYFUNCTION("VLOOKUP(K86, IMPORTRANGE(""https://docs.google.com/spreadsheets/d/1yDAaXNsi4Mr5FtRQL4tbmSdIzhx6_m4wkOD7IG-k_eo/edit#gid=0"", ""Maths!M:N""), 2, FALSE)"),"Explain the concept of reducing a fraction to its simplest form.")</f>
        <v>Explain the concept of reducing a fraction to its simplest form.</v>
      </c>
      <c r="M86" s="10" t="str">
        <f t="shared" si="2"/>
        <v>LU000291.003</v>
      </c>
      <c r="N86" s="10" t="str">
        <f ca="1">IFERROR(__xludf.DUMMYFUNCTION("VLOOKUP(M86, IMPORTRANGE(""https://docs.google.com/spreadsheets/d/1yDAaXNsi4Mr5FtRQL4tbmSdIzhx6_m4wkOD7IG-k_eo/edit#gid=0"", ""Maths!M:N""), 2, FALSE)"),"Determine the simplest form of fraction by dividing its numerator and denominator by the highest common factor.")</f>
        <v>Determine the simplest form of fraction by dividing its numerator and denominator by the highest common factor.</v>
      </c>
      <c r="O86" s="10" t="str">
        <f t="shared" si="3"/>
        <v>LU000291.004</v>
      </c>
      <c r="P86" s="10" t="str">
        <f ca="1">IFERROR(__xludf.DUMMYFUNCTION("VLOOKUP(O86, IMPORTRANGE(""https://docs.google.com/spreadsheets/d/1yDAaXNsi4Mr5FtRQL4tbmSdIzhx6_m4wkOD7IG-k_eo/edit#gid=0"", ""Maths!M:N""), 2, FALSE)"),"Analyse the common factors between the numerator and denominator of a fraction to determine whether it is in the simplest form.")</f>
        <v>Analyse the common factors between the numerator and denominator of a fraction to determine whether it is in the simplest form.</v>
      </c>
      <c r="Q86" s="10" t="str">
        <f t="shared" si="4"/>
        <v>LU000291.005</v>
      </c>
      <c r="R86" s="10" t="str">
        <f ca="1">IFERROR(__xludf.DUMMYFUNCTION("VLOOKUP(Q86, IMPORTRANGE(""https://docs.google.com/spreadsheets/d/1yDAaXNsi4Mr5FtRQL4tbmSdIzhx6_m4wkOD7IG-k_eo/edit#gid=0"", ""Maths!M:N""), 2, FALSE)"),"#N/A")</f>
        <v>#N/A</v>
      </c>
      <c r="S86" s="10" t="str">
        <f t="shared" si="5"/>
        <v>LU000291.006</v>
      </c>
      <c r="T86" s="10" t="str">
        <f ca="1">IFERROR(__xludf.DUMMYFUNCTION("VLOOKUP(S86, IMPORTRANGE(""https://docs.google.com/spreadsheets/d/1yDAaXNsi4Mr5FtRQL4tbmSdIzhx6_m4wkOD7IG-k_eo/edit#gid=0"", ""Maths!M:N""), 2, FALSE)"),"#N/A")</f>
        <v>#N/A</v>
      </c>
      <c r="U86" s="11">
        <f ca="1">IFERROR(__xludf.DUMMYFUNCTION("ArrayFormula(VLOOKUP(G86, IMPORTRANGE(""https://docs.google.com/spreadsheets/d/1p7R4vtkWt5VOBim4ltsDG9KTzSjrtKXsMtQGXPHyND0/edit#gid=795171502"", ""'Filter 30_05_2024'!A1:M2000""), {2, 3, 4, 5,6,7,8,9,10,11,12,13}, 0))"),4)</f>
        <v>4</v>
      </c>
      <c r="V86" s="11">
        <f ca="1">IFERROR(__xludf.DUMMYFUNCTION("""COMPUTED_VALUE"""),9)</f>
        <v>9</v>
      </c>
      <c r="W86" s="11">
        <f ca="1">IFERROR(__xludf.DUMMYFUNCTION("""COMPUTED_VALUE"""),2)</f>
        <v>2</v>
      </c>
      <c r="X86" s="11">
        <f ca="1">IFERROR(__xludf.DUMMYFUNCTION("""COMPUTED_VALUE"""),15)</f>
        <v>15</v>
      </c>
      <c r="Y86" s="11">
        <f ca="1">IFERROR(__xludf.DUMMYFUNCTION("""COMPUTED_VALUE"""),4)</f>
        <v>4</v>
      </c>
      <c r="Z86" s="12">
        <f ca="1">IFERROR(__xludf.DUMMYFUNCTION("""COMPUTED_VALUE"""),5)</f>
        <v>5</v>
      </c>
      <c r="AA86" s="12">
        <f ca="1">IFERROR(__xludf.DUMMYFUNCTION("""COMPUTED_VALUE"""),1)</f>
        <v>1</v>
      </c>
      <c r="AB86" s="12">
        <f ca="1">IFERROR(__xludf.DUMMYFUNCTION("""COMPUTED_VALUE"""),10)</f>
        <v>10</v>
      </c>
      <c r="AC86" s="11"/>
      <c r="AD86" s="12"/>
      <c r="AE86" s="12"/>
      <c r="AF86" s="12"/>
      <c r="AG86" s="13" t="str">
        <f ca="1">IFERROR(__xludf.DUMMYFUNCTION("ArrayFormula(VLOOKUP(G86, IMPORTRANGE(""https://docs.google.com/spreadsheets/d/1Co934fvtviyaRiMsrIlT05Jaq7iiYq07aLvRr35KA48/edit?gid=173865642#gid=173865642"", ""'G6_Maths GP_Pri_LU'!G2:V2000""), {3, 4, 5, 6, 7, 8, 9, 10, 11, 12, 13, 14, 15, 16}, 0))"),"LU000060")</f>
        <v>LU000060</v>
      </c>
      <c r="AH86" s="22" t="str">
        <f ca="1">IFERROR(__xludf.DUMMYFUNCTION("""COMPUTED_VALUE"""),"Common factors of numbers")</f>
        <v>Common factors of numbers</v>
      </c>
      <c r="AI86" s="22" t="str">
        <f ca="1">IFERROR(__xludf.DUMMYFUNCTION("""COMPUTED_VALUE"""),"LU000124")</f>
        <v>LU000124</v>
      </c>
      <c r="AJ86" s="22" t="str">
        <f ca="1">IFERROR(__xludf.DUMMYFUNCTION("""COMPUTED_VALUE"""),"Division of three-digit numbers by one-digit/two-digit numbers using standard algorithms")</f>
        <v>Division of three-digit numbers by one-digit/two-digit numbers using standard algorithms</v>
      </c>
      <c r="AK86" s="22" t="str">
        <f ca="1">IFERROR(__xludf.DUMMYFUNCTION("""COMPUTED_VALUE"""),"LU000058")</f>
        <v>LU000058</v>
      </c>
      <c r="AL86" s="22" t="str">
        <f ca="1">IFERROR(__xludf.DUMMYFUNCTION("""COMPUTED_VALUE"""),"Definition of common multiples")</f>
        <v>Definition of common multiples</v>
      </c>
      <c r="AM86" s="22" t="str">
        <f ca="1">IFERROR(__xludf.DUMMYFUNCTION("""COMPUTED_VALUE"""),"LU000278")</f>
        <v>LU000278</v>
      </c>
      <c r="AN86" s="22" t="str">
        <f ca="1">IFERROR(__xludf.DUMMYFUNCTION("""COMPUTED_VALUE"""),"Definition of fraction")</f>
        <v>Definition of fraction</v>
      </c>
      <c r="AO86" s="22"/>
      <c r="AP86" s="22"/>
      <c r="AQ86" s="22"/>
      <c r="AR86" s="22"/>
      <c r="AS86" s="22"/>
      <c r="AT86" s="22"/>
    </row>
    <row r="87" spans="1:46" ht="40.200000000000003">
      <c r="A87" s="8" t="s">
        <v>46</v>
      </c>
      <c r="B87" s="8" t="s">
        <v>47</v>
      </c>
      <c r="C87" s="8" t="s">
        <v>48</v>
      </c>
      <c r="D87" s="8" t="s">
        <v>49</v>
      </c>
      <c r="E87" s="8" t="s">
        <v>169</v>
      </c>
      <c r="F87" s="9" t="s">
        <v>186</v>
      </c>
      <c r="G87" s="16" t="s">
        <v>187</v>
      </c>
      <c r="H87" s="8" t="str">
        <f ca="1">IFERROR(__xludf.DUMMYFUNCTION("VLOOKUP(G87, IMPORTRANGE(""https://docs.google.com/spreadsheets/d/14deopnvwcrKtEGCKuYXdUHJbeLDZlkiSSWWT0g7x2pM/edit#gid=999382323"", ""LU List Maths (Filter)!A:B""), 2, FALSE)"),"Comparison of fractions")</f>
        <v>Comparison of fractions</v>
      </c>
      <c r="I87" s="10" t="str">
        <f t="shared" si="0"/>
        <v>LU000287.001</v>
      </c>
      <c r="J87" s="10" t="str">
        <f ca="1">IFERROR(__xludf.DUMMYFUNCTION("VLOOKUP(I87, IMPORTRANGE(""https://docs.google.com/spreadsheets/d/1yDAaXNsi4Mr5FtRQL4tbmSdIzhx6_m4wkOD7IG-k_eo/edit#gid=0"", ""Maths!M:N""), 2, FALSE)"),"Recall the methods of comparing fractions using common denominators and cross-multiplication.")</f>
        <v>Recall the methods of comparing fractions using common denominators and cross-multiplication.</v>
      </c>
      <c r="K87" s="10" t="str">
        <f t="shared" si="1"/>
        <v>LU000287.002</v>
      </c>
      <c r="L87" s="10" t="str">
        <f ca="1">IFERROR(__xludf.DUMMYFUNCTION("VLOOKUP(K87, IMPORTRANGE(""https://docs.google.com/spreadsheets/d/1yDAaXNsi4Mr5FtRQL4tbmSdIzhx6_m4wkOD7IG-k_eo/edit#gid=0"", ""Maths!M:N""), 2, FALSE)"),"Compare two fractions by the cross-multiplication method or by taking the LCM, and record comparisons using &lt;, &gt;, or = sign.")</f>
        <v>Compare two fractions by the cross-multiplication method or by taking the LCM, and record comparisons using &lt;, &gt;, or = sign.</v>
      </c>
      <c r="M87" s="10" t="str">
        <f t="shared" si="2"/>
        <v>LU000287.003</v>
      </c>
      <c r="N87" s="10" t="str">
        <f ca="1">IFERROR(__xludf.DUMMYFUNCTION("VLOOKUP(M87, IMPORTRANGE(""https://docs.google.com/spreadsheets/d/1yDAaXNsi4Mr5FtRQL4tbmSdIzhx6_m4wkOD7IG-k_eo/edit#gid=0"", ""Maths!M:N""), 2, FALSE)"),"Compare fractions and arrange them in either ascending or descending order.")</f>
        <v>Compare fractions and arrange them in either ascending or descending order.</v>
      </c>
      <c r="O87" s="10" t="str">
        <f t="shared" si="3"/>
        <v>LU000287.004</v>
      </c>
      <c r="P87" s="10" t="str">
        <f ca="1">IFERROR(__xludf.DUMMYFUNCTION("VLOOKUP(O87, IMPORTRANGE(""https://docs.google.com/spreadsheets/d/1yDAaXNsi4Mr5FtRQL4tbmSdIzhx6_m4wkOD7IG-k_eo/edit#gid=0"", ""Maths!M:N""), 2, FALSE)"),"Solve word problems based on the comparison of fractions.")</f>
        <v>Solve word problems based on the comparison of fractions.</v>
      </c>
      <c r="Q87" s="10" t="str">
        <f t="shared" si="4"/>
        <v>LU000287.005</v>
      </c>
      <c r="R87" s="10" t="str">
        <f ca="1">IFERROR(__xludf.DUMMYFUNCTION("VLOOKUP(Q87, IMPORTRANGE(""https://docs.google.com/spreadsheets/d/1yDAaXNsi4Mr5FtRQL4tbmSdIzhx6_m4wkOD7IG-k_eo/edit#gid=0"", ""Maths!M:N""), 2, FALSE)"),"Evaluate the effectiveness of different methods for comparing fractions in solving mathematical problems.")</f>
        <v>Evaluate the effectiveness of different methods for comparing fractions in solving mathematical problems.</v>
      </c>
      <c r="S87" s="10" t="str">
        <f t="shared" si="5"/>
        <v>LU000287.006</v>
      </c>
      <c r="T87" s="10" t="str">
        <f ca="1">IFERROR(__xludf.DUMMYFUNCTION("VLOOKUP(S87, IMPORTRANGE(""https://docs.google.com/spreadsheets/d/1yDAaXNsi4Mr5FtRQL4tbmSdIzhx6_m4wkOD7IG-k_eo/edit#gid=0"", ""Maths!M:N""), 2, FALSE)"),"Generate a set of fractions and create activities that require students to compare and arrange them based on their magnitudes.")</f>
        <v>Generate a set of fractions and create activities that require students to compare and arrange them based on their magnitudes.</v>
      </c>
      <c r="U87" s="11">
        <f ca="1">IFERROR(__xludf.DUMMYFUNCTION("ArrayFormula(VLOOKUP(G87, IMPORTRANGE(""https://docs.google.com/spreadsheets/d/1p7R4vtkWt5VOBim4ltsDG9KTzSjrtKXsMtQGXPHyND0/edit#gid=795171502"", ""'Filter 30_05_2024'!A1:M2000""), {2, 3, 4, 5,6,7,8,9,10,11,12,13}, 0))"),5)</f>
        <v>5</v>
      </c>
      <c r="V87" s="11">
        <f ca="1">IFERROR(__xludf.DUMMYFUNCTION("""COMPUTED_VALUE"""),11)</f>
        <v>11</v>
      </c>
      <c r="W87" s="11">
        <f ca="1">IFERROR(__xludf.DUMMYFUNCTION("""COMPUTED_VALUE"""),6)</f>
        <v>6</v>
      </c>
      <c r="X87" s="11">
        <f ca="1">IFERROR(__xludf.DUMMYFUNCTION("""COMPUTED_VALUE"""),22)</f>
        <v>22</v>
      </c>
      <c r="Y87" s="11">
        <f ca="1">IFERROR(__xludf.DUMMYFUNCTION("""COMPUTED_VALUE"""),8)</f>
        <v>8</v>
      </c>
      <c r="Z87" s="12">
        <f ca="1">IFERROR(__xludf.DUMMYFUNCTION("""COMPUTED_VALUE"""),11)</f>
        <v>11</v>
      </c>
      <c r="AA87" s="12">
        <f ca="1">IFERROR(__xludf.DUMMYFUNCTION("""COMPUTED_VALUE"""),3)</f>
        <v>3</v>
      </c>
      <c r="AB87" s="12">
        <f ca="1">IFERROR(__xludf.DUMMYFUNCTION("""COMPUTED_VALUE"""),22)</f>
        <v>22</v>
      </c>
      <c r="AC87" s="11"/>
      <c r="AD87" s="12"/>
      <c r="AE87" s="12"/>
      <c r="AF87" s="12"/>
      <c r="AG87" s="13" t="str">
        <f ca="1">IFERROR(__xludf.DUMMYFUNCTION("ArrayFormula(VLOOKUP(G87, IMPORTRANGE(""https://docs.google.com/spreadsheets/d/1Co934fvtviyaRiMsrIlT05Jaq7iiYq07aLvRr35KA48/edit?gid=173865642#gid=173865642"", ""'G6_Maths GP_Pri_LU'!G2:V2000""), {3, 4, 5, 6, 7, 8, 9, 10, 11, 12, 13, 14, 15, 16}, 0))"),"LU000286")</f>
        <v>LU000286</v>
      </c>
      <c r="AH87" s="22" t="str">
        <f ca="1">IFERROR(__xludf.DUMMYFUNCTION("""COMPUTED_VALUE"""),"Definition of like and unlike fractions")</f>
        <v>Definition of like and unlike fractions</v>
      </c>
      <c r="AI87" s="22" t="str">
        <f ca="1">IFERROR(__xludf.DUMMYFUNCTION("""COMPUTED_VALUE"""),"LU000285")</f>
        <v>LU000285</v>
      </c>
      <c r="AJ87" s="22" t="str">
        <f ca="1">IFERROR(__xludf.DUMMYFUNCTION("""COMPUTED_VALUE"""),"Definition of equivalent fractions")</f>
        <v>Definition of equivalent fractions</v>
      </c>
      <c r="AK87" s="22" t="str">
        <f ca="1">IFERROR(__xludf.DUMMYFUNCTION("""COMPUTED_VALUE"""),"LU000058")</f>
        <v>LU000058</v>
      </c>
      <c r="AL87" s="22" t="str">
        <f ca="1">IFERROR(__xludf.DUMMYFUNCTION("""COMPUTED_VALUE"""),"Definition of common multiples")</f>
        <v>Definition of common multiples</v>
      </c>
      <c r="AM87" s="22"/>
      <c r="AN87" s="22"/>
      <c r="AO87" s="22"/>
      <c r="AP87" s="22"/>
      <c r="AQ87" s="22"/>
      <c r="AR87" s="22"/>
      <c r="AS87" s="22"/>
      <c r="AT87" s="22"/>
    </row>
    <row r="88" spans="1:46" ht="40.200000000000003">
      <c r="A88" s="8" t="s">
        <v>46</v>
      </c>
      <c r="B88" s="8" t="s">
        <v>47</v>
      </c>
      <c r="C88" s="8" t="s">
        <v>48</v>
      </c>
      <c r="D88" s="8" t="s">
        <v>49</v>
      </c>
      <c r="E88" s="8" t="s">
        <v>169</v>
      </c>
      <c r="F88" s="9" t="s">
        <v>188</v>
      </c>
      <c r="G88" s="16" t="s">
        <v>189</v>
      </c>
      <c r="H88" s="8" t="str">
        <f ca="1">IFERROR(__xludf.DUMMYFUNCTION("VLOOKUP(G88, IMPORTRANGE(""https://docs.google.com/spreadsheets/d/14deopnvwcrKtEGCKuYXdUHJbeLDZlkiSSWWT0g7x2pM/edit#gid=999382323"", ""LU List Maths (Filter)!A:B""), 2, FALSE)"),"Addition of fractions with the same denominators")</f>
        <v>Addition of fractions with the same denominators</v>
      </c>
      <c r="I88" s="10" t="str">
        <f t="shared" si="0"/>
        <v>LU000977.001</v>
      </c>
      <c r="J88" s="10" t="str">
        <f ca="1">IFERROR(__xludf.DUMMYFUNCTION("VLOOKUP(I88, IMPORTRANGE(""https://docs.google.com/spreadsheets/d/1yDAaXNsi4Mr5FtRQL4tbmSdIzhx6_m4wkOD7IG-k_eo/edit#gid=0"", ""Maths!M:N""), 2, FALSE)"),"Recall rules for adding like fractions with the same denominators.")</f>
        <v>Recall rules for adding like fractions with the same denominators.</v>
      </c>
      <c r="K88" s="10" t="str">
        <f t="shared" si="1"/>
        <v>LU000977.002</v>
      </c>
      <c r="L88" s="10" t="str">
        <f ca="1">IFERROR(__xludf.DUMMYFUNCTION("VLOOKUP(K88, IMPORTRANGE(""https://docs.google.com/spreadsheets/d/1yDAaXNsi4Mr5FtRQL4tbmSdIzhx6_m4wkOD7IG-k_eo/edit#gid=0"", ""Maths!M:N""), 2, FALSE)"),"Explain the concept of like fractions and why the denominators must be the same for addition.")</f>
        <v>Explain the concept of like fractions and why the denominators must be the same for addition.</v>
      </c>
      <c r="M88" s="10" t="str">
        <f t="shared" si="2"/>
        <v>LU000977.003</v>
      </c>
      <c r="N88" s="10" t="str">
        <f ca="1">IFERROR(__xludf.DUMMYFUNCTION("VLOOKUP(M88, IMPORTRANGE(""https://docs.google.com/spreadsheets/d/1yDAaXNsi4Mr5FtRQL4tbmSdIzhx6_m4wkOD7IG-k_eo/edit#gid=0"", ""Maths!M:N""), 2, FALSE)"),"Apply addition techniques to add like fractions accurately.")</f>
        <v>Apply addition techniques to add like fractions accurately.</v>
      </c>
      <c r="O88" s="10" t="str">
        <f t="shared" si="3"/>
        <v>LU000977.004</v>
      </c>
      <c r="P88" s="10" t="str">
        <f ca="1">IFERROR(__xludf.DUMMYFUNCTION("VLOOKUP(O88, IMPORTRANGE(""https://docs.google.com/spreadsheets/d/1yDAaXNsi4Mr5FtRQL4tbmSdIzhx6_m4wkOD7IG-k_eo/edit#gid=0"", ""Maths!M:N""), 2, FALSE)"),"Analyze like fractions to determine their compatibility for addition.")</f>
        <v>Analyze like fractions to determine their compatibility for addition.</v>
      </c>
      <c r="Q88" s="10" t="str">
        <f t="shared" si="4"/>
        <v>LU000977.005</v>
      </c>
      <c r="R88" s="10" t="str">
        <f ca="1">IFERROR(__xludf.DUMMYFUNCTION("VLOOKUP(Q88, IMPORTRANGE(""https://docs.google.com/spreadsheets/d/1yDAaXNsi4Mr5FtRQL4tbmSdIzhx6_m4wkOD7IG-k_eo/edit#gid=0"", ""Maths!M:N""), 2, FALSE)"),"Evaluate the correctness of added like fractions, providing explanations for errors.")</f>
        <v>Evaluate the correctness of added like fractions, providing explanations for errors.</v>
      </c>
      <c r="S88" s="10" t="str">
        <f t="shared" si="5"/>
        <v>LU000977.006</v>
      </c>
      <c r="T88" s="10" t="str">
        <f ca="1">IFERROR(__xludf.DUMMYFUNCTION("VLOOKUP(S88, IMPORTRANGE(""https://docs.google.com/spreadsheets/d/1yDAaXNsi4Mr5FtRQL4tbmSdIzhx6_m4wkOD7IG-k_eo/edit#gid=0"", ""Maths!M:N""), 2, FALSE)"),"#N/A")</f>
        <v>#N/A</v>
      </c>
      <c r="U88" s="11">
        <f ca="1">IFERROR(__xludf.DUMMYFUNCTION("ArrayFormula(VLOOKUP(G88, IMPORTRANGE(""https://docs.google.com/spreadsheets/d/1p7R4vtkWt5VOBim4ltsDG9KTzSjrtKXsMtQGXPHyND0/edit#gid=795171502"", ""'Filter 30_05_2024'!A1:M2000""), {2, 3, 4, 5,6,7,8,9,10,11,12,13}, 0))"),4)</f>
        <v>4</v>
      </c>
      <c r="V88" s="11">
        <f ca="1">IFERROR(__xludf.DUMMYFUNCTION("""COMPUTED_VALUE"""),2)</f>
        <v>2</v>
      </c>
      <c r="W88" s="11">
        <f ca="1">IFERROR(__xludf.DUMMYFUNCTION("""COMPUTED_VALUE"""),2)</f>
        <v>2</v>
      </c>
      <c r="X88" s="11">
        <f ca="1">IFERROR(__xludf.DUMMYFUNCTION("""COMPUTED_VALUE"""),8)</f>
        <v>8</v>
      </c>
      <c r="Y88" s="11">
        <f ca="1">IFERROR(__xludf.DUMMYFUNCTION("""COMPUTED_VALUE"""),4)</f>
        <v>4</v>
      </c>
      <c r="Z88" s="12">
        <f ca="1">IFERROR(__xludf.DUMMYFUNCTION("""COMPUTED_VALUE"""),9)</f>
        <v>9</v>
      </c>
      <c r="AA88" s="12">
        <f ca="1">IFERROR(__xludf.DUMMYFUNCTION("""COMPUTED_VALUE"""),1)</f>
        <v>1</v>
      </c>
      <c r="AB88" s="12">
        <f ca="1">IFERROR(__xludf.DUMMYFUNCTION("""COMPUTED_VALUE"""),14)</f>
        <v>14</v>
      </c>
      <c r="AC88" s="11"/>
      <c r="AD88" s="12"/>
      <c r="AE88" s="12"/>
      <c r="AF88" s="12"/>
      <c r="AG88" s="13" t="str">
        <f ca="1">IFERROR(__xludf.DUMMYFUNCTION("ArrayFormula(VLOOKUP(G88, IMPORTRANGE(""https://docs.google.com/spreadsheets/d/1Co934fvtviyaRiMsrIlT05Jaq7iiYq07aLvRr35KA48/edit?gid=173865642#gid=173865642"", ""'G6_Maths GP_Pri_LU'!G2:V2000""), {3, 4, 5, 6, 7, 8, 9, 10, 11, 12, 13, 14, 15, 16}, 0))"),"LU000286")</f>
        <v>LU000286</v>
      </c>
      <c r="AH88" s="22" t="str">
        <f ca="1">IFERROR(__xludf.DUMMYFUNCTION("""COMPUTED_VALUE"""),"Definition of like and unlike fractions")</f>
        <v>Definition of like and unlike fractions</v>
      </c>
      <c r="AI88" s="22" t="str">
        <f ca="1">IFERROR(__xludf.DUMMYFUNCTION("""COMPUTED_VALUE"""),"LU000180")</f>
        <v>LU000180</v>
      </c>
      <c r="AJ88" s="22" t="str">
        <f ca="1">IFERROR(__xludf.DUMMYFUNCTION("""COMPUTED_VALUE"""),"Addition of whole numbers on number line")</f>
        <v>Addition of whole numbers on number line</v>
      </c>
      <c r="AK88" s="22"/>
      <c r="AL88" s="22"/>
      <c r="AM88" s="22"/>
      <c r="AN88" s="22"/>
      <c r="AO88" s="22"/>
      <c r="AP88" s="22"/>
      <c r="AQ88" s="22"/>
      <c r="AR88" s="22"/>
      <c r="AS88" s="22"/>
      <c r="AT88" s="22"/>
    </row>
    <row r="89" spans="1:46" ht="40.200000000000003">
      <c r="A89" s="8" t="s">
        <v>46</v>
      </c>
      <c r="B89" s="8" t="s">
        <v>47</v>
      </c>
      <c r="C89" s="8" t="s">
        <v>48</v>
      </c>
      <c r="D89" s="8" t="s">
        <v>49</v>
      </c>
      <c r="E89" s="8" t="s">
        <v>169</v>
      </c>
      <c r="F89" s="9" t="s">
        <v>188</v>
      </c>
      <c r="G89" s="16" t="s">
        <v>190</v>
      </c>
      <c r="H89" s="8" t="str">
        <f ca="1">IFERROR(__xludf.DUMMYFUNCTION("VLOOKUP(G89, IMPORTRANGE(""https://docs.google.com/spreadsheets/d/14deopnvwcrKtEGCKuYXdUHJbeLDZlkiSSWWT0g7x2pM/edit#gid=999382323"", ""LU List Maths (Filter)!A:B""), 2, FALSE)"),"Subtraction of fractions with the same denominators")</f>
        <v>Subtraction of fractions with the same denominators</v>
      </c>
      <c r="I89" s="10" t="str">
        <f t="shared" si="0"/>
        <v>LU000978.001</v>
      </c>
      <c r="J89" s="10" t="str">
        <f ca="1">IFERROR(__xludf.DUMMYFUNCTION("VLOOKUP(I89, IMPORTRANGE(""https://docs.google.com/spreadsheets/d/1yDAaXNsi4Mr5FtRQL4tbmSdIzhx6_m4wkOD7IG-k_eo/edit#gid=0"", ""Maths!M:N""), 2, FALSE)"),"Recall rules for subtracting like fractions with the same denominators.")</f>
        <v>Recall rules for subtracting like fractions with the same denominators.</v>
      </c>
      <c r="K89" s="10" t="str">
        <f t="shared" si="1"/>
        <v>LU000978.002</v>
      </c>
      <c r="L89" s="10" t="str">
        <f ca="1">IFERROR(__xludf.DUMMYFUNCTION("VLOOKUP(K89, IMPORTRANGE(""https://docs.google.com/spreadsheets/d/1yDAaXNsi4Mr5FtRQL4tbmSdIzhx6_m4wkOD7IG-k_eo/edit#gid=0"", ""Maths!M:N""), 2, FALSE)"),"Explain the concept of like fractions and the need for common denominators in subtraction.")</f>
        <v>Explain the concept of like fractions and the need for common denominators in subtraction.</v>
      </c>
      <c r="M89" s="10" t="str">
        <f t="shared" si="2"/>
        <v>LU000978.003</v>
      </c>
      <c r="N89" s="10" t="str">
        <f ca="1">IFERROR(__xludf.DUMMYFUNCTION("VLOOKUP(M89, IMPORTRANGE(""https://docs.google.com/spreadsheets/d/1yDAaXNsi4Mr5FtRQL4tbmSdIzhx6_m4wkOD7IG-k_eo/edit#gid=0"", ""Maths!M:N""), 2, FALSE)"),"Apply subtraction techniques to subtract like fractions accurately.")</f>
        <v>Apply subtraction techniques to subtract like fractions accurately.</v>
      </c>
      <c r="O89" s="10" t="str">
        <f t="shared" si="3"/>
        <v>LU000978.004</v>
      </c>
      <c r="P89" s="10" t="str">
        <f ca="1">IFERROR(__xludf.DUMMYFUNCTION("VLOOKUP(O89, IMPORTRANGE(""https://docs.google.com/spreadsheets/d/1yDAaXNsi4Mr5FtRQL4tbmSdIzhx6_m4wkOD7IG-k_eo/edit#gid=0"", ""Maths!M:N""), 2, FALSE)"),"Analyze like fractions to determine their suitability for subtraction.")</f>
        <v>Analyze like fractions to determine their suitability for subtraction.</v>
      </c>
      <c r="Q89" s="10" t="str">
        <f t="shared" si="4"/>
        <v>LU000978.005</v>
      </c>
      <c r="R89" s="10" t="str">
        <f ca="1">IFERROR(__xludf.DUMMYFUNCTION("VLOOKUP(Q89, IMPORTRANGE(""https://docs.google.com/spreadsheets/d/1yDAaXNsi4Mr5FtRQL4tbmSdIzhx6_m4wkOD7IG-k_eo/edit#gid=0"", ""Maths!M:N""), 2, FALSE)"),"Evaluate the correctness of subtracted like fractions, providing explanations for errors.")</f>
        <v>Evaluate the correctness of subtracted like fractions, providing explanations for errors.</v>
      </c>
      <c r="S89" s="10" t="str">
        <f t="shared" si="5"/>
        <v>LU000978.006</v>
      </c>
      <c r="T89" s="10" t="str">
        <f ca="1">IFERROR(__xludf.DUMMYFUNCTION("VLOOKUP(S89, IMPORTRANGE(""https://docs.google.com/spreadsheets/d/1yDAaXNsi4Mr5FtRQL4tbmSdIzhx6_m4wkOD7IG-k_eo/edit#gid=0"", ""Maths!M:N""), 2, FALSE)"),"#N/A")</f>
        <v>#N/A</v>
      </c>
      <c r="U89" s="11">
        <f ca="1">IFERROR(__xludf.DUMMYFUNCTION("ArrayFormula(VLOOKUP(G89, IMPORTRANGE(""https://docs.google.com/spreadsheets/d/1p7R4vtkWt5VOBim4ltsDG9KTzSjrtKXsMtQGXPHyND0/edit#gid=795171502"", ""'Filter 30_05_2024'!A1:M2000""), {2, 3, 4, 5,6,7,8,9,10,11,12,13}, 0))"),4)</f>
        <v>4</v>
      </c>
      <c r="V89" s="11">
        <f ca="1">IFERROR(__xludf.DUMMYFUNCTION("""COMPUTED_VALUE"""),1)</f>
        <v>1</v>
      </c>
      <c r="W89" s="11">
        <f ca="1">IFERROR(__xludf.DUMMYFUNCTION("""COMPUTED_VALUE"""),2)</f>
        <v>2</v>
      </c>
      <c r="X89" s="11">
        <f ca="1">IFERROR(__xludf.DUMMYFUNCTION("""COMPUTED_VALUE"""),7)</f>
        <v>7</v>
      </c>
      <c r="Y89" s="11">
        <f ca="1">IFERROR(__xludf.DUMMYFUNCTION("""COMPUTED_VALUE"""),4)</f>
        <v>4</v>
      </c>
      <c r="Z89" s="12">
        <f ca="1">IFERROR(__xludf.DUMMYFUNCTION("""COMPUTED_VALUE"""),9)</f>
        <v>9</v>
      </c>
      <c r="AA89" s="12">
        <f ca="1">IFERROR(__xludf.DUMMYFUNCTION("""COMPUTED_VALUE"""),1)</f>
        <v>1</v>
      </c>
      <c r="AB89" s="12">
        <f ca="1">IFERROR(__xludf.DUMMYFUNCTION("""COMPUTED_VALUE"""),14)</f>
        <v>14</v>
      </c>
      <c r="AC89" s="11"/>
      <c r="AD89" s="12"/>
      <c r="AE89" s="12"/>
      <c r="AF89" s="12"/>
      <c r="AG89" s="13" t="str">
        <f ca="1">IFERROR(__xludf.DUMMYFUNCTION("ArrayFormula(VLOOKUP(G89, IMPORTRANGE(""https://docs.google.com/spreadsheets/d/1Co934fvtviyaRiMsrIlT05Jaq7iiYq07aLvRr35KA48/edit?gid=173865642#gid=173865642"", ""'G6_Maths GP_Pri_LU'!G2:V2000""), {3, 4, 5, 6, 7, 8, 9, 10, 11, 12, 13, 14, 15, 16}, 0))"),"LU000286")</f>
        <v>LU000286</v>
      </c>
      <c r="AH89" s="22" t="str">
        <f ca="1">IFERROR(__xludf.DUMMYFUNCTION("""COMPUTED_VALUE"""),"Definition of like and unlike fractions")</f>
        <v>Definition of like and unlike fractions</v>
      </c>
      <c r="AI89" s="22" t="str">
        <f ca="1">IFERROR(__xludf.DUMMYFUNCTION("""COMPUTED_VALUE"""),"LU000181")</f>
        <v>LU000181</v>
      </c>
      <c r="AJ89" s="22" t="str">
        <f ca="1">IFERROR(__xludf.DUMMYFUNCTION("""COMPUTED_VALUE"""),"Subtraction of whole numbers on number line")</f>
        <v>Subtraction of whole numbers on number line</v>
      </c>
      <c r="AK89" s="22"/>
      <c r="AL89" s="22"/>
      <c r="AM89" s="22"/>
      <c r="AN89" s="22"/>
      <c r="AO89" s="22"/>
      <c r="AP89" s="22"/>
      <c r="AQ89" s="22"/>
      <c r="AR89" s="22"/>
      <c r="AS89" s="22"/>
      <c r="AT89" s="22"/>
    </row>
    <row r="90" spans="1:46" ht="27">
      <c r="A90" s="8" t="s">
        <v>46</v>
      </c>
      <c r="B90" s="8" t="s">
        <v>47</v>
      </c>
      <c r="C90" s="8" t="s">
        <v>48</v>
      </c>
      <c r="D90" s="8" t="s">
        <v>49</v>
      </c>
      <c r="E90" s="8" t="s">
        <v>169</v>
      </c>
      <c r="F90" s="9" t="s">
        <v>191</v>
      </c>
      <c r="G90" s="16" t="s">
        <v>192</v>
      </c>
      <c r="H90" s="8" t="str">
        <f ca="1">IFERROR(__xludf.DUMMYFUNCTION("VLOOKUP(G90, IMPORTRANGE(""https://docs.google.com/spreadsheets/d/14deopnvwcrKtEGCKuYXdUHJbeLDZlkiSSWWT0g7x2pM/edit#gid=999382323"", ""LU List Maths (Filter)!A:B""), 2, FALSE)"),"Addition of fractions with the different denominators")</f>
        <v>Addition of fractions with the different denominators</v>
      </c>
      <c r="I90" s="10" t="str">
        <f t="shared" si="0"/>
        <v>LU000979.001</v>
      </c>
      <c r="J90" s="10" t="str">
        <f ca="1">IFERROR(__xludf.DUMMYFUNCTION("VLOOKUP(I90, IMPORTRANGE(""https://docs.google.com/spreadsheets/d/1yDAaXNsi4Mr5FtRQL4tbmSdIzhx6_m4wkOD7IG-k_eo/edit#gid=0"", ""Maths!M:N""), 2, FALSE)"),"Recall rules for adding unlike fractions with different denominators.")</f>
        <v>Recall rules for adding unlike fractions with different denominators.</v>
      </c>
      <c r="K90" s="10" t="str">
        <f t="shared" si="1"/>
        <v>LU000979.002</v>
      </c>
      <c r="L90" s="10" t="str">
        <f ca="1">IFERROR(__xludf.DUMMYFUNCTION("VLOOKUP(K90, IMPORTRANGE(""https://docs.google.com/spreadsheets/d/1yDAaXNsi4Mr5FtRQL4tbmSdIzhx6_m4wkOD7IG-k_eo/edit#gid=0"", ""Maths!M:N""), 2, FALSE)"),"Explain the concept of unlike fractions and the need for a common denominator.")</f>
        <v>Explain the concept of unlike fractions and the need for a common denominator.</v>
      </c>
      <c r="M90" s="10" t="str">
        <f t="shared" si="2"/>
        <v>LU000979.003</v>
      </c>
      <c r="N90" s="10" t="str">
        <f ca="1">IFERROR(__xludf.DUMMYFUNCTION("VLOOKUP(M90, IMPORTRANGE(""https://docs.google.com/spreadsheets/d/1yDAaXNsi4Mr5FtRQL4tbmSdIzhx6_m4wkOD7IG-k_eo/edit#gid=0"", ""Maths!M:N""), 2, FALSE)"),"Apply addition techniques to add unlike fractions accurately.")</f>
        <v>Apply addition techniques to add unlike fractions accurately.</v>
      </c>
      <c r="O90" s="10" t="str">
        <f t="shared" si="3"/>
        <v>LU000979.004</v>
      </c>
      <c r="P90" s="10" t="str">
        <f ca="1">IFERROR(__xludf.DUMMYFUNCTION("VLOOKUP(O90, IMPORTRANGE(""https://docs.google.com/spreadsheets/d/1yDAaXNsi4Mr5FtRQL4tbmSdIzhx6_m4wkOD7IG-k_eo/edit#gid=0"", ""Maths!M:N""), 2, FALSE)"),"Analyze fractions to find the least common denominator and successfully add them.")</f>
        <v>Analyze fractions to find the least common denominator and successfully add them.</v>
      </c>
      <c r="Q90" s="10" t="str">
        <f t="shared" si="4"/>
        <v>LU000979.005</v>
      </c>
      <c r="R90" s="10" t="str">
        <f ca="1">IFERROR(__xludf.DUMMYFUNCTION("VLOOKUP(Q90, IMPORTRANGE(""https://docs.google.com/spreadsheets/d/1yDAaXNsi4Mr5FtRQL4tbmSdIzhx6_m4wkOD7IG-k_eo/edit#gid=0"", ""Maths!M:N""), 2, FALSE)"),"Evaluate the correctness of added unlike fractions, explaining errors.")</f>
        <v>Evaluate the correctness of added unlike fractions, explaining errors.</v>
      </c>
      <c r="S90" s="10" t="str">
        <f t="shared" si="5"/>
        <v>LU000979.006</v>
      </c>
      <c r="T90" s="10" t="str">
        <f ca="1">IFERROR(__xludf.DUMMYFUNCTION("VLOOKUP(S90, IMPORTRANGE(""https://docs.google.com/spreadsheets/d/1yDAaXNsi4Mr5FtRQL4tbmSdIzhx6_m4wkOD7IG-k_eo/edit#gid=0"", ""Maths!M:N""), 2, FALSE)"),"#N/A")</f>
        <v>#N/A</v>
      </c>
      <c r="U90" s="11">
        <f ca="1">IFERROR(__xludf.DUMMYFUNCTION("ArrayFormula(VLOOKUP(G90, IMPORTRANGE(""https://docs.google.com/spreadsheets/d/1p7R4vtkWt5VOBim4ltsDG9KTzSjrtKXsMtQGXPHyND0/edit#gid=795171502"", ""'Filter 30_05_2024'!A1:M2000""), {2, 3, 4, 5,6,7,8,9,10,11,12,13}, 0))"),4)</f>
        <v>4</v>
      </c>
      <c r="V90" s="11">
        <f ca="1">IFERROR(__xludf.DUMMYFUNCTION("""COMPUTED_VALUE"""),15)</f>
        <v>15</v>
      </c>
      <c r="W90" s="11">
        <f ca="1">IFERROR(__xludf.DUMMYFUNCTION("""COMPUTED_VALUE"""),2)</f>
        <v>2</v>
      </c>
      <c r="X90" s="11">
        <f ca="1">IFERROR(__xludf.DUMMYFUNCTION("""COMPUTED_VALUE"""),21)</f>
        <v>21</v>
      </c>
      <c r="Y90" s="11">
        <f ca="1">IFERROR(__xludf.DUMMYFUNCTION("""COMPUTED_VALUE"""),4)</f>
        <v>4</v>
      </c>
      <c r="Z90" s="12">
        <f ca="1">IFERROR(__xludf.DUMMYFUNCTION("""COMPUTED_VALUE"""),6)</f>
        <v>6</v>
      </c>
      <c r="AA90" s="12">
        <f ca="1">IFERROR(__xludf.DUMMYFUNCTION("""COMPUTED_VALUE"""),1)</f>
        <v>1</v>
      </c>
      <c r="AB90" s="12">
        <f ca="1">IFERROR(__xludf.DUMMYFUNCTION("""COMPUTED_VALUE"""),11)</f>
        <v>11</v>
      </c>
      <c r="AC90" s="11"/>
      <c r="AD90" s="12"/>
      <c r="AE90" s="12"/>
      <c r="AF90" s="12"/>
      <c r="AG90" s="13" t="str">
        <f ca="1">IFERROR(__xludf.DUMMYFUNCTION("ArrayFormula(VLOOKUP(G90, IMPORTRANGE(""https://docs.google.com/spreadsheets/d/1Co934fvtviyaRiMsrIlT05Jaq7iiYq07aLvRr35KA48/edit?gid=173865642#gid=173865642"", ""'G6_Maths GP_Pri_LU'!G2:V2000""), {3, 4, 5, 6, 7, 8, 9, 10, 11, 12, 13, 14, 15, 16}, 0))"),"LU000977")</f>
        <v>LU000977</v>
      </c>
      <c r="AH90" s="22" t="str">
        <f ca="1">IFERROR(__xludf.DUMMYFUNCTION("""COMPUTED_VALUE"""),"Addition of fractions with the same denominators")</f>
        <v>Addition of fractions with the same denominators</v>
      </c>
      <c r="AI90" s="22" t="str">
        <f ca="1">IFERROR(__xludf.DUMMYFUNCTION("""COMPUTED_VALUE"""),"LU000212")</f>
        <v>LU000212</v>
      </c>
      <c r="AJ90" s="22" t="str">
        <f ca="1">IFERROR(__xludf.DUMMYFUNCTION("""COMPUTED_VALUE"""),"Least Common Multiple (LCM) of the numbers")</f>
        <v>Least Common Multiple (LCM) of the numbers</v>
      </c>
      <c r="AK90" s="22" t="str">
        <f ca="1">IFERROR(__xludf.DUMMYFUNCTION("""COMPUTED_VALUE"""),"LU000058")</f>
        <v>LU000058</v>
      </c>
      <c r="AL90" s="22" t="str">
        <f ca="1">IFERROR(__xludf.DUMMYFUNCTION("""COMPUTED_VALUE"""),"Definition of common multiples")</f>
        <v>Definition of common multiples</v>
      </c>
      <c r="AM90" s="22" t="str">
        <f ca="1">IFERROR(__xludf.DUMMYFUNCTION("""COMPUTED_VALUE"""),"LU000286")</f>
        <v>LU000286</v>
      </c>
      <c r="AN90" s="22" t="str">
        <f ca="1">IFERROR(__xludf.DUMMYFUNCTION("""COMPUTED_VALUE"""),"Definition of like and unlike fractions")</f>
        <v>Definition of like and unlike fractions</v>
      </c>
      <c r="AO90" s="22"/>
      <c r="AP90" s="22"/>
      <c r="AQ90" s="22"/>
      <c r="AR90" s="22"/>
      <c r="AS90" s="22"/>
      <c r="AT90" s="22"/>
    </row>
    <row r="91" spans="1:46" ht="27">
      <c r="A91" s="8" t="s">
        <v>46</v>
      </c>
      <c r="B91" s="8" t="s">
        <v>47</v>
      </c>
      <c r="C91" s="8" t="s">
        <v>48</v>
      </c>
      <c r="D91" s="8" t="s">
        <v>49</v>
      </c>
      <c r="E91" s="8" t="s">
        <v>169</v>
      </c>
      <c r="F91" s="9" t="s">
        <v>191</v>
      </c>
      <c r="G91" s="16" t="s">
        <v>193</v>
      </c>
      <c r="H91" s="8" t="str">
        <f ca="1">IFERROR(__xludf.DUMMYFUNCTION("VLOOKUP(G91, IMPORTRANGE(""https://docs.google.com/spreadsheets/d/14deopnvwcrKtEGCKuYXdUHJbeLDZlkiSSWWT0g7x2pM/edit#gid=999382323"", ""LU List Maths (Filter)!A:B""), 2, FALSE)"),"Subtraction of fractions with the different denominators")</f>
        <v>Subtraction of fractions with the different denominators</v>
      </c>
      <c r="I91" s="10" t="str">
        <f t="shared" si="0"/>
        <v>LU000980.001</v>
      </c>
      <c r="J91" s="10" t="str">
        <f ca="1">IFERROR(__xludf.DUMMYFUNCTION("VLOOKUP(I91, IMPORTRANGE(""https://docs.google.com/spreadsheets/d/1yDAaXNsi4Mr5FtRQL4tbmSdIzhx6_m4wkOD7IG-k_eo/edit#gid=0"", ""Maths!M:N""), 2, FALSE)"),"Recall rules for subtracting unlike fractions with different denominators.")</f>
        <v>Recall rules for subtracting unlike fractions with different denominators.</v>
      </c>
      <c r="K91" s="10" t="str">
        <f t="shared" si="1"/>
        <v>LU000980.002</v>
      </c>
      <c r="L91" s="10" t="str">
        <f ca="1">IFERROR(__xludf.DUMMYFUNCTION("VLOOKUP(K91, IMPORTRANGE(""https://docs.google.com/spreadsheets/d/1yDAaXNsi4Mr5FtRQL4tbmSdIzhx6_m4wkOD7IG-k_eo/edit#gid=0"", ""Maths!M:N""), 2, FALSE)"),"Explain the concept of unlike fractions and the need for a common denominator in subtraction.")</f>
        <v>Explain the concept of unlike fractions and the need for a common denominator in subtraction.</v>
      </c>
      <c r="M91" s="10" t="str">
        <f t="shared" si="2"/>
        <v>LU000980.003</v>
      </c>
      <c r="N91" s="10" t="str">
        <f ca="1">IFERROR(__xludf.DUMMYFUNCTION("VLOOKUP(M91, IMPORTRANGE(""https://docs.google.com/spreadsheets/d/1yDAaXNsi4Mr5FtRQL4tbmSdIzhx6_m4wkOD7IG-k_eo/edit#gid=0"", ""Maths!M:N""), 2, FALSE)"),"Apply subtraction techniques to subtract unlike fractions accurately.")</f>
        <v>Apply subtraction techniques to subtract unlike fractions accurately.</v>
      </c>
      <c r="O91" s="10" t="str">
        <f t="shared" si="3"/>
        <v>LU000980.004</v>
      </c>
      <c r="P91" s="10" t="str">
        <f ca="1">IFERROR(__xludf.DUMMYFUNCTION("VLOOKUP(O91, IMPORTRANGE(""https://docs.google.com/spreadsheets/d/1yDAaXNsi4Mr5FtRQL4tbmSdIzhx6_m4wkOD7IG-k_eo/edit#gid=0"", ""Maths!M:N""), 2, FALSE)"),"Analyze fractions to find the least common denominator and successfully subtract them.")</f>
        <v>Analyze fractions to find the least common denominator and successfully subtract them.</v>
      </c>
      <c r="Q91" s="10" t="str">
        <f t="shared" si="4"/>
        <v>LU000980.005</v>
      </c>
      <c r="R91" s="10" t="str">
        <f ca="1">IFERROR(__xludf.DUMMYFUNCTION("VLOOKUP(Q91, IMPORTRANGE(""https://docs.google.com/spreadsheets/d/1yDAaXNsi4Mr5FtRQL4tbmSdIzhx6_m4wkOD7IG-k_eo/edit#gid=0"", ""Maths!M:N""), 2, FALSE)"),"Evaluate the correctness of subtracted unlike fractions, providing explanations for errors.")</f>
        <v>Evaluate the correctness of subtracted unlike fractions, providing explanations for errors.</v>
      </c>
      <c r="S91" s="10" t="str">
        <f t="shared" si="5"/>
        <v>LU000980.006</v>
      </c>
      <c r="T91" s="10" t="str">
        <f ca="1">IFERROR(__xludf.DUMMYFUNCTION("VLOOKUP(S91, IMPORTRANGE(""https://docs.google.com/spreadsheets/d/1yDAaXNsi4Mr5FtRQL4tbmSdIzhx6_m4wkOD7IG-k_eo/edit#gid=0"", ""Maths!M:N""), 2, FALSE)"),"#N/A")</f>
        <v>#N/A</v>
      </c>
      <c r="U91" s="11">
        <f ca="1">IFERROR(__xludf.DUMMYFUNCTION("ArrayFormula(VLOOKUP(G91, IMPORTRANGE(""https://docs.google.com/spreadsheets/d/1p7R4vtkWt5VOBim4ltsDG9KTzSjrtKXsMtQGXPHyND0/edit#gid=795171502"", ""'Filter 30_05_2024'!A1:M2000""), {2, 3, 4, 5,6,7,8,9,10,11,12,13}, 0))"),4)</f>
        <v>4</v>
      </c>
      <c r="V91" s="11">
        <f ca="1">IFERROR(__xludf.DUMMYFUNCTION("""COMPUTED_VALUE"""),16)</f>
        <v>16</v>
      </c>
      <c r="W91" s="11">
        <f ca="1">IFERROR(__xludf.DUMMYFUNCTION("""COMPUTED_VALUE"""),2)</f>
        <v>2</v>
      </c>
      <c r="X91" s="11">
        <f ca="1">IFERROR(__xludf.DUMMYFUNCTION("""COMPUTED_VALUE"""),22)</f>
        <v>22</v>
      </c>
      <c r="Y91" s="11">
        <f ca="1">IFERROR(__xludf.DUMMYFUNCTION("""COMPUTED_VALUE"""),4)</f>
        <v>4</v>
      </c>
      <c r="Z91" s="12">
        <f ca="1">IFERROR(__xludf.DUMMYFUNCTION("""COMPUTED_VALUE"""),10)</f>
        <v>10</v>
      </c>
      <c r="AA91" s="12">
        <f ca="1">IFERROR(__xludf.DUMMYFUNCTION("""COMPUTED_VALUE"""),1)</f>
        <v>1</v>
      </c>
      <c r="AB91" s="12">
        <f ca="1">IFERROR(__xludf.DUMMYFUNCTION("""COMPUTED_VALUE"""),15)</f>
        <v>15</v>
      </c>
      <c r="AC91" s="11"/>
      <c r="AD91" s="12"/>
      <c r="AE91" s="12"/>
      <c r="AF91" s="12"/>
      <c r="AG91" s="13" t="str">
        <f ca="1">IFERROR(__xludf.DUMMYFUNCTION("ArrayFormula(VLOOKUP(G91, IMPORTRANGE(""https://docs.google.com/spreadsheets/d/1Co934fvtviyaRiMsrIlT05Jaq7iiYq07aLvRr35KA48/edit?gid=173865642#gid=173865642"", ""'G6_Maths GP_Pri_LU'!G2:V2000""), {3, 4, 5, 6, 7, 8, 9, 10, 11, 12, 13, 14, 15, 16}, 0))"),"LU000978")</f>
        <v>LU000978</v>
      </c>
      <c r="AH91" s="22" t="str">
        <f ca="1">IFERROR(__xludf.DUMMYFUNCTION("""COMPUTED_VALUE"""),"Subtraction of fractions with the same denominators")</f>
        <v>Subtraction of fractions with the same denominators</v>
      </c>
      <c r="AI91" s="22" t="str">
        <f ca="1">IFERROR(__xludf.DUMMYFUNCTION("""COMPUTED_VALUE"""),"LU000212")</f>
        <v>LU000212</v>
      </c>
      <c r="AJ91" s="22" t="str">
        <f ca="1">IFERROR(__xludf.DUMMYFUNCTION("""COMPUTED_VALUE"""),"Least Common Multiple (LCM) of the numbers")</f>
        <v>Least Common Multiple (LCM) of the numbers</v>
      </c>
      <c r="AK91" s="22" t="str">
        <f ca="1">IFERROR(__xludf.DUMMYFUNCTION("""COMPUTED_VALUE"""),"LU000058")</f>
        <v>LU000058</v>
      </c>
      <c r="AL91" s="22" t="str">
        <f ca="1">IFERROR(__xludf.DUMMYFUNCTION("""COMPUTED_VALUE"""),"Definition of common multiples")</f>
        <v>Definition of common multiples</v>
      </c>
      <c r="AM91" s="22" t="str">
        <f ca="1">IFERROR(__xludf.DUMMYFUNCTION("""COMPUTED_VALUE"""),"LU000286")</f>
        <v>LU000286</v>
      </c>
      <c r="AN91" s="22" t="str">
        <f ca="1">IFERROR(__xludf.DUMMYFUNCTION("""COMPUTED_VALUE"""),"Definition of like and unlike fractions")</f>
        <v>Definition of like and unlike fractions</v>
      </c>
      <c r="AO91" s="22"/>
      <c r="AP91" s="22"/>
      <c r="AQ91" s="22"/>
      <c r="AR91" s="22"/>
      <c r="AS91" s="22"/>
      <c r="AT91" s="22"/>
    </row>
    <row r="92" spans="1:46" ht="40.200000000000003">
      <c r="A92" s="8" t="s">
        <v>46</v>
      </c>
      <c r="B92" s="8" t="s">
        <v>47</v>
      </c>
      <c r="C92" s="8" t="s">
        <v>48</v>
      </c>
      <c r="D92" s="8" t="s">
        <v>49</v>
      </c>
      <c r="E92" s="8" t="s">
        <v>169</v>
      </c>
      <c r="F92" s="9" t="s">
        <v>191</v>
      </c>
      <c r="G92" s="19" t="s">
        <v>194</v>
      </c>
      <c r="H92" s="8" t="str">
        <f ca="1">IFERROR(__xludf.DUMMYFUNCTION("VLOOKUP(G92, IMPORTRANGE(""https://docs.google.com/spreadsheets/d/14deopnvwcrKtEGCKuYXdUHJbeLDZlkiSSWWT0g7x2pM/edit#gid=999382323"", ""LU List Maths (Filter)!A:B""), 2, FALSE)"),"Fractional units adding up to 1")</f>
        <v>Fractional units adding up to 1</v>
      </c>
      <c r="I92" s="10" t="str">
        <f t="shared" si="0"/>
        <v>LU001359.001</v>
      </c>
      <c r="J92" s="10" t="str">
        <f ca="1">IFERROR(__xludf.DUMMYFUNCTION("VLOOKUP(I92, IMPORTRANGE(""https://docs.google.com/spreadsheets/d/1yDAaXNsi4Mr5FtRQL4tbmSdIzhx6_m4wkOD7IG-k_eo/edit#gid=0"", ""Maths!M:N""), 2, FALSE)"),"Identify different fractional units that can be added together to sum up to 1.")</f>
        <v>Identify different fractional units that can be added together to sum up to 1.</v>
      </c>
      <c r="K92" s="10" t="str">
        <f t="shared" si="1"/>
        <v>LU001359.002</v>
      </c>
      <c r="L92" s="10" t="str">
        <f ca="1">IFERROR(__xludf.DUMMYFUNCTION("VLOOKUP(K92, IMPORTRANGE(""https://docs.google.com/spreadsheets/d/1yDAaXNsi4Mr5FtRQL4tbmSdIzhx6_m4wkOD7IG-k_eo/edit#gid=0"", ""Maths!M:N""), 2, FALSE)"),"Explain why it is impossible to add two different fractional units to get a sum of 1.")</f>
        <v>Explain why it is impossible to add two different fractional units to get a sum of 1.</v>
      </c>
      <c r="M92" s="10" t="str">
        <f t="shared" si="2"/>
        <v>LU001359.003</v>
      </c>
      <c r="N92" s="10" t="str">
        <f ca="1">IFERROR(__xludf.DUMMYFUNCTION("VLOOKUP(M92, IMPORTRANGE(""https://docs.google.com/spreadsheets/d/1yDAaXNsi4Mr5FtRQL4tbmSdIzhx6_m4wkOD7IG-k_eo/edit#gid=0"", ""Maths!M:N""), 2, FALSE)"),"Discover the unique combination of three different fractional units that add up to 1.")</f>
        <v>Discover the unique combination of three different fractional units that add up to 1.</v>
      </c>
      <c r="O92" s="10" t="str">
        <f t="shared" si="3"/>
        <v>LU001359.004</v>
      </c>
      <c r="P92" s="10" t="str">
        <f ca="1">IFERROR(__xludf.DUMMYFUNCTION("VLOOKUP(O92, IMPORTRANGE(""https://docs.google.com/spreadsheets/d/1yDAaXNsi4Mr5FtRQL4tbmSdIzhx6_m4wkOD7IG-k_eo/edit#gid=0"", ""Maths!M:N""), 2, FALSE)"),"Explore and determine multiple combinations of four different fractional units that sum to 1.")</f>
        <v>Explore and determine multiple combinations of four different fractional units that sum to 1.</v>
      </c>
      <c r="Q92" s="10" t="str">
        <f t="shared" si="4"/>
        <v>LU001359.005</v>
      </c>
      <c r="R92" s="10" t="str">
        <f ca="1">IFERROR(__xludf.DUMMYFUNCTION("VLOOKUP(Q92, IMPORTRANGE(""https://docs.google.com/spreadsheets/d/1yDAaXNsi4Mr5FtRQL4tbmSdIzhx6_m4wkOD7IG-k_eo/edit#gid=0"", ""Maths!M:N""), 2, FALSE)"),"Solve problems involving fractional units by systematically finding all possible combinations that equal 1.")</f>
        <v>Solve problems involving fractional units by systematically finding all possible combinations that equal 1.</v>
      </c>
      <c r="S92" s="10" t="str">
        <f t="shared" si="5"/>
        <v>LU001359.006</v>
      </c>
      <c r="T92" s="10" t="str">
        <f ca="1">IFERROR(__xludf.DUMMYFUNCTION("VLOOKUP(S92, IMPORTRANGE(""https://docs.google.com/spreadsheets/d/1yDAaXNsi4Mr5FtRQL4tbmSdIzhx6_m4wkOD7IG-k_eo/edit#gid=0"", ""Maths!M:N""), 2, FALSE)"),"Visualize the solutions by dividing a circle into parts that represent the fractional units adding up to 1.")</f>
        <v>Visualize the solutions by dividing a circle into parts that represent the fractional units adding up to 1.</v>
      </c>
      <c r="U92" s="11">
        <f ca="1">IFERROR(__xludf.DUMMYFUNCTION("ArrayFormula(VLOOKUP(G92, IMPORTRANGE(""https://docs.google.com/spreadsheets/d/1p7R4vtkWt5VOBim4ltsDG9KTzSjrtKXsMtQGXPHyND0/edit#gid=795171502"", ""'Filter 30_05_2024'!A1:M2000""), {2, 3, 4, 5,6,7,8,9,10,11,12,13}, 0))"),4)</f>
        <v>4</v>
      </c>
      <c r="V92" s="11">
        <f ca="1">IFERROR(__xludf.DUMMYFUNCTION("""COMPUTED_VALUE"""),6)</f>
        <v>6</v>
      </c>
      <c r="W92" s="11">
        <f ca="1">IFERROR(__xludf.DUMMYFUNCTION("""COMPUTED_VALUE"""),2)</f>
        <v>2</v>
      </c>
      <c r="X92" s="11">
        <f ca="1">IFERROR(__xludf.DUMMYFUNCTION("""COMPUTED_VALUE"""),12)</f>
        <v>12</v>
      </c>
      <c r="Y92" s="11">
        <f ca="1">IFERROR(__xludf.DUMMYFUNCTION("""COMPUTED_VALUE"""),4)</f>
        <v>4</v>
      </c>
      <c r="Z92" s="12">
        <f ca="1">IFERROR(__xludf.DUMMYFUNCTION("""COMPUTED_VALUE"""),3)</f>
        <v>3</v>
      </c>
      <c r="AA92" s="12">
        <f ca="1">IFERROR(__xludf.DUMMYFUNCTION("""COMPUTED_VALUE"""),1)</f>
        <v>1</v>
      </c>
      <c r="AB92" s="12">
        <f ca="1">IFERROR(__xludf.DUMMYFUNCTION("""COMPUTED_VALUE"""),8)</f>
        <v>8</v>
      </c>
      <c r="AC92" s="11"/>
      <c r="AD92" s="12"/>
      <c r="AE92" s="12"/>
      <c r="AF92" s="12"/>
      <c r="AG92" s="13" t="str">
        <f ca="1">IFERROR(__xludf.DUMMYFUNCTION("ArrayFormula(VLOOKUP(G92, IMPORTRANGE(""https://docs.google.com/spreadsheets/d/1Co934fvtviyaRiMsrIlT05Jaq7iiYq07aLvRr35KA48/edit?gid=173865642#gid=173865642"", ""'G6_Maths GP_Pri_LU'!G2:V2000""), {3, 4, 5, 6, 7, 8, 9, 10, 11, 12, 13, 14, 15, 16}, 0))"),"LU000979")</f>
        <v>LU000979</v>
      </c>
      <c r="AH92" s="22" t="str">
        <f ca="1">IFERROR(__xludf.DUMMYFUNCTION("""COMPUTED_VALUE"""),"Addition of fractions with the different denominators")</f>
        <v>Addition of fractions with the different denominators</v>
      </c>
      <c r="AI92" s="22" t="str">
        <f ca="1">IFERROR(__xludf.DUMMYFUNCTION("""COMPUTED_VALUE"""),"LU000977")</f>
        <v>LU000977</v>
      </c>
      <c r="AJ92" s="22" t="str">
        <f ca="1">IFERROR(__xludf.DUMMYFUNCTION("""COMPUTED_VALUE"""),"Addition of fractions with the same denominators")</f>
        <v>Addition of fractions with the same denominators</v>
      </c>
      <c r="AK92" s="22"/>
      <c r="AL92" s="22"/>
      <c r="AM92" s="22"/>
      <c r="AN92" s="22"/>
      <c r="AO92" s="22"/>
      <c r="AP92" s="22"/>
      <c r="AQ92" s="22"/>
      <c r="AR92" s="22"/>
      <c r="AS92" s="22"/>
      <c r="AT92" s="22"/>
    </row>
    <row r="93" spans="1:46" ht="27">
      <c r="A93" s="8" t="s">
        <v>46</v>
      </c>
      <c r="B93" s="8" t="s">
        <v>47</v>
      </c>
      <c r="C93" s="8" t="s">
        <v>48</v>
      </c>
      <c r="D93" s="8" t="s">
        <v>49</v>
      </c>
      <c r="E93" s="9" t="s">
        <v>195</v>
      </c>
      <c r="F93" s="20" t="s">
        <v>196</v>
      </c>
      <c r="G93" s="16" t="s">
        <v>197</v>
      </c>
      <c r="H93" s="8" t="str">
        <f ca="1">IFERROR(__xludf.DUMMYFUNCTION("VLOOKUP(G93, IMPORTRANGE(""https://docs.google.com/spreadsheets/d/14deopnvwcrKtEGCKuYXdUHJbeLDZlkiSSWWT0g7x2pM/edit#gid=999382323"", ""LU List Maths (Filter)!A:B""), 2, FALSE)"),"Definition of circle")</f>
        <v>Definition of circle</v>
      </c>
      <c r="I93" s="10" t="str">
        <f t="shared" si="0"/>
        <v>LU000231.001</v>
      </c>
      <c r="J93" s="10" t="str">
        <f ca="1">IFERROR(__xludf.DUMMYFUNCTION("VLOOKUP(I93, IMPORTRANGE(""https://docs.google.com/spreadsheets/d/1yDAaXNsi4Mr5FtRQL4tbmSdIzhx6_m4wkOD7IG-k_eo/edit#gid=0"", ""Maths!M:N""), 2, FALSE)"),"Define circle.")</f>
        <v>Define circle.</v>
      </c>
      <c r="K93" s="10" t="str">
        <f t="shared" si="1"/>
        <v>LU000231.002</v>
      </c>
      <c r="L93" s="10" t="str">
        <f ca="1">IFERROR(__xludf.DUMMYFUNCTION("VLOOKUP(K93, IMPORTRANGE(""https://docs.google.com/spreadsheets/d/1yDAaXNsi4Mr5FtRQL4tbmSdIzhx6_m4wkOD7IG-k_eo/edit#gid=0"", ""Maths!M:N""), 2, FALSE)"),"Compare circles with other types of two-dimensional shapes.")</f>
        <v>Compare circles with other types of two-dimensional shapes.</v>
      </c>
      <c r="M93" s="10" t="str">
        <f t="shared" si="2"/>
        <v>LU000231.003</v>
      </c>
      <c r="N93" s="10" t="str">
        <f ca="1">IFERROR(__xludf.DUMMYFUNCTION("VLOOKUP(M93, IMPORTRANGE(""https://docs.google.com/spreadsheets/d/1yDAaXNsi4Mr5FtRQL4tbmSdIzhx6_m4wkOD7IG-k_eo/edit#gid=0"", ""Maths!M:N""), 2, FALSE)"),"Apply the knowledge of circle definition to identify circles in diagrams.")</f>
        <v>Apply the knowledge of circle definition to identify circles in diagrams.</v>
      </c>
      <c r="O93" s="10" t="str">
        <f t="shared" si="3"/>
        <v>LU000231.004</v>
      </c>
      <c r="P93" s="10" t="str">
        <f ca="1">IFERROR(__xludf.DUMMYFUNCTION("VLOOKUP(O93, IMPORTRANGE(""https://docs.google.com/spreadsheets/d/1yDAaXNsi4Mr5FtRQL4tbmSdIzhx6_m4wkOD7IG-k_eo/edit#gid=0"", ""Maths!M:N""), 2, FALSE)"),"Analyse real-life examples to identify circular shapes.")</f>
        <v>Analyse real-life examples to identify circular shapes.</v>
      </c>
      <c r="Q93" s="10" t="str">
        <f t="shared" si="4"/>
        <v>LU000231.005</v>
      </c>
      <c r="R93" s="10" t="str">
        <f ca="1">IFERROR(__xludf.DUMMYFUNCTION("VLOOKUP(Q93, IMPORTRANGE(""https://docs.google.com/spreadsheets/d/1yDAaXNsi4Mr5FtRQL4tbmSdIzhx6_m4wkOD7IG-k_eo/edit#gid=0"", ""Maths!M:N""), 2, FALSE)"),"Evaluate the significance of circles in geometry and everyday objects.")</f>
        <v>Evaluate the significance of circles in geometry and everyday objects.</v>
      </c>
      <c r="S93" s="10" t="str">
        <f t="shared" si="5"/>
        <v>LU000231.006</v>
      </c>
      <c r="T93" s="10" t="str">
        <f ca="1">IFERROR(__xludf.DUMMYFUNCTION("VLOOKUP(S93, IMPORTRANGE(""https://docs.google.com/spreadsheets/d/1yDAaXNsi4Mr5FtRQL4tbmSdIzhx6_m4wkOD7IG-k_eo/edit#gid=0"", ""Maths!M:N""), 2, FALSE)"),"Create drawings showcasing circles and their equidistant nature.")</f>
        <v>Create drawings showcasing circles and their equidistant nature.</v>
      </c>
      <c r="U93" s="11">
        <f ca="1">IFERROR(__xludf.DUMMYFUNCTION("ArrayFormula(VLOOKUP(G93, IMPORTRANGE(""https://docs.google.com/spreadsheets/d/1p7R4vtkWt5VOBim4ltsDG9KTzSjrtKXsMtQGXPHyND0/edit#gid=795171502"", ""'Filter 30_05_2024'!A1:M2000""), {2, 3, 4, 5,6,7,8,9,10,11,12,13}, 0))"),4)</f>
        <v>4</v>
      </c>
      <c r="V93" s="11">
        <f ca="1">IFERROR(__xludf.DUMMYFUNCTION("""COMPUTED_VALUE"""),6)</f>
        <v>6</v>
      </c>
      <c r="W93" s="11">
        <f ca="1">IFERROR(__xludf.DUMMYFUNCTION("""COMPUTED_VALUE"""),2)</f>
        <v>2</v>
      </c>
      <c r="X93" s="11">
        <f ca="1">IFERROR(__xludf.DUMMYFUNCTION("""COMPUTED_VALUE"""),12)</f>
        <v>12</v>
      </c>
      <c r="Y93" s="11">
        <f ca="1">IFERROR(__xludf.DUMMYFUNCTION("""COMPUTED_VALUE"""),4)</f>
        <v>4</v>
      </c>
      <c r="Z93" s="12">
        <f ca="1">IFERROR(__xludf.DUMMYFUNCTION("""COMPUTED_VALUE"""),3)</f>
        <v>3</v>
      </c>
      <c r="AA93" s="12">
        <f ca="1">IFERROR(__xludf.DUMMYFUNCTION("""COMPUTED_VALUE"""),1)</f>
        <v>1</v>
      </c>
      <c r="AB93" s="12">
        <f ca="1">IFERROR(__xludf.DUMMYFUNCTION("""COMPUTED_VALUE"""),8)</f>
        <v>8</v>
      </c>
      <c r="AC93" s="11"/>
      <c r="AD93" s="12"/>
      <c r="AE93" s="12"/>
      <c r="AF93" s="12"/>
      <c r="AG93" s="13" t="str">
        <f ca="1">IFERROR(__xludf.DUMMYFUNCTION("ArrayFormula(VLOOKUP(G93, IMPORTRANGE(""https://docs.google.com/spreadsheets/d/1Co934fvtviyaRiMsrIlT05Jaq7iiYq07aLvRr35KA48/edit?gid=173865642#gid=173865642"", ""'G6_Maths GP_Pri_LU'!G2:V2000""), {3, 4, 5, 6, 7, 8, 9, 10, 11, 12, 13, 14, 15, 16}, 0))"),"LU000225")</f>
        <v>LU000225</v>
      </c>
      <c r="AH93" s="22" t="str">
        <f ca="1">IFERROR(__xludf.DUMMYFUNCTION("""COMPUTED_VALUE"""),"Classification of curves")</f>
        <v>Classification of curves</v>
      </c>
      <c r="AI93" s="22" t="str">
        <f ca="1">IFERROR(__xludf.DUMMYFUNCTION("""COMPUTED_VALUE"""),"LU000227")</f>
        <v>LU000227</v>
      </c>
      <c r="AJ93" s="22" t="str">
        <f ca="1">IFERROR(__xludf.DUMMYFUNCTION("""COMPUTED_VALUE"""),"Definition and elements of a polygon")</f>
        <v>Definition and elements of a polygon</v>
      </c>
      <c r="AK93" s="22" t="str">
        <f ca="1">IFERROR(__xludf.DUMMYFUNCTION("""COMPUTED_VALUE"""),"LU000218")</f>
        <v>LU000218</v>
      </c>
      <c r="AL93" s="22" t="str">
        <f ca="1">IFERROR(__xludf.DUMMYFUNCTION("""COMPUTED_VALUE"""),"Definition of point")</f>
        <v>Definition of point</v>
      </c>
      <c r="AM93" s="22" t="str">
        <f ca="1">IFERROR(__xludf.DUMMYFUNCTION("""COMPUTED_VALUE"""),"LU000219")</f>
        <v>LU000219</v>
      </c>
      <c r="AN93" s="22" t="str">
        <f ca="1">IFERROR(__xludf.DUMMYFUNCTION("""COMPUTED_VALUE"""),"Definition of line segment")</f>
        <v>Definition of line segment</v>
      </c>
      <c r="AO93" s="22"/>
      <c r="AP93" s="22"/>
      <c r="AQ93" s="22"/>
      <c r="AR93" s="22"/>
      <c r="AS93" s="22"/>
      <c r="AT93" s="22"/>
    </row>
    <row r="94" spans="1:46" ht="53.4">
      <c r="A94" s="8" t="s">
        <v>46</v>
      </c>
      <c r="B94" s="8" t="s">
        <v>47</v>
      </c>
      <c r="C94" s="8" t="s">
        <v>48</v>
      </c>
      <c r="D94" s="8" t="s">
        <v>49</v>
      </c>
      <c r="E94" s="9" t="s">
        <v>195</v>
      </c>
      <c r="F94" s="20" t="s">
        <v>196</v>
      </c>
      <c r="G94" s="16" t="s">
        <v>198</v>
      </c>
      <c r="H94" s="8" t="str">
        <f ca="1">IFERROR(__xludf.DUMMYFUNCTION("VLOOKUP(G94, IMPORTRANGE(""https://docs.google.com/spreadsheets/d/14deopnvwcrKtEGCKuYXdUHJbeLDZlkiSSWWT0g7x2pM/edit#gid=999382323"", ""LU List Maths (Filter)!A:B""), 2, FALSE)"),"Elements of circle (Centre, radius, diameter)")</f>
        <v>Elements of circle (Centre, radius, diameter)</v>
      </c>
      <c r="I94" s="10" t="str">
        <f t="shared" si="0"/>
        <v>LU000232.001</v>
      </c>
      <c r="J94" s="10" t="str">
        <f ca="1">IFERROR(__xludf.DUMMYFUNCTION("VLOOKUP(I94, IMPORTRANGE(""https://docs.google.com/spreadsheets/d/1yDAaXNsi4Mr5FtRQL4tbmSdIzhx6_m4wkOD7IG-k_eo/edit#gid=0"", ""Maths!M:N""), 2, FALSE)"),"Recall the terms semi-circle, quarter, center, circumference, chord, radius, diameter, arc, interior, and exterior of a circle.")</f>
        <v>Recall the terms semi-circle, quarter, center, circumference, chord, radius, diameter, arc, interior, and exterior of a circle.</v>
      </c>
      <c r="K94" s="10" t="str">
        <f t="shared" si="1"/>
        <v>LU000232.002</v>
      </c>
      <c r="L94" s="10" t="str">
        <f ca="1">IFERROR(__xludf.DUMMYFUNCTION("VLOOKUP(K94, IMPORTRANGE(""https://docs.google.com/spreadsheets/d/1yDAaXNsi4Mr5FtRQL4tbmSdIzhx6_m4wkOD7IG-k_eo/edit#gid=0"", ""Maths!M:N""), 2, FALSE)"),"Explain the meanings of center, circumference, chord, radius, diameter, arc, interior, and exterior of a circle.")</f>
        <v>Explain the meanings of center, circumference, chord, radius, diameter, arc, interior, and exterior of a circle.</v>
      </c>
      <c r="M94" s="10" t="str">
        <f t="shared" si="2"/>
        <v>LU000232.003</v>
      </c>
      <c r="N94" s="10" t="str">
        <f ca="1">IFERROR(__xludf.DUMMYFUNCTION("VLOOKUP(M94, IMPORTRANGE(""https://docs.google.com/spreadsheets/d/1yDAaXNsi4Mr5FtRQL4tbmSdIzhx6_m4wkOD7IG-k_eo/edit#gid=0"", ""Maths!M:N""), 2, FALSE)"),"Apply the knowledge of circle parts to identify and label them in diagrams.")</f>
        <v>Apply the knowledge of circle parts to identify and label them in diagrams.</v>
      </c>
      <c r="O94" s="10" t="str">
        <f t="shared" si="3"/>
        <v>LU000232.004</v>
      </c>
      <c r="P94" s="10" t="str">
        <f ca="1">IFERROR(__xludf.DUMMYFUNCTION("VLOOKUP(O94, IMPORTRANGE(""https://docs.google.com/spreadsheets/d/1yDAaXNsi4Mr5FtRQL4tbmSdIzhx6_m4wkOD7IG-k_eo/edit#gid=0"", ""Maths!M:N""), 2, FALSE)"),"Analyse relationships between circle elements, like arc and chord, radius and diameter, circle, semi-circle, and quarter of a circle in geometric configurations.")</f>
        <v>Analyse relationships between circle elements, like arc and chord, radius and diameter, circle, semi-circle, and quarter of a circle in geometric configurations.</v>
      </c>
      <c r="Q94" s="10" t="str">
        <f t="shared" si="4"/>
        <v>LU000232.005</v>
      </c>
      <c r="R94" s="10" t="str">
        <f ca="1">IFERROR(__xludf.DUMMYFUNCTION("VLOOKUP(Q94, IMPORTRANGE(""https://docs.google.com/spreadsheets/d/1yDAaXNsi4Mr5FtRQL4tbmSdIzhx6_m4wkOD7IG-k_eo/edit#gid=0"", ""Maths!M:N""), 2, FALSE)"),"Evaluate the importance of circle components in geometry and real-world applications.")</f>
        <v>Evaluate the importance of circle components in geometry and real-world applications.</v>
      </c>
      <c r="S94" s="10" t="str">
        <f t="shared" si="5"/>
        <v>LU000232.006</v>
      </c>
      <c r="T94" s="10" t="str">
        <f ca="1">IFERROR(__xludf.DUMMYFUNCTION("VLOOKUP(S94, IMPORTRANGE(""https://docs.google.com/spreadsheets/d/1yDAaXNsi4Mr5FtRQL4tbmSdIzhx6_m4wkOD7IG-k_eo/edit#gid=0"", ""Maths!M:N""), 2, FALSE)"),"Create diagrams illustrating circle components and their relationships in geometric situations")</f>
        <v>Create diagrams illustrating circle components and their relationships in geometric situations</v>
      </c>
      <c r="U94" s="11">
        <f ca="1">IFERROR(__xludf.DUMMYFUNCTION("ArrayFormula(VLOOKUP(G94, IMPORTRANGE(""https://docs.google.com/spreadsheets/d/1p7R4vtkWt5VOBim4ltsDG9KTzSjrtKXsMtQGXPHyND0/edit#gid=795171502"", ""'Filter 30_05_2024'!A1:M2000""), {2, 3, 4, 5,6,7,8,9,10,11,12,13}, 0))"),4)</f>
        <v>4</v>
      </c>
      <c r="V94" s="11">
        <f ca="1">IFERROR(__xludf.DUMMYFUNCTION("""COMPUTED_VALUE"""),6)</f>
        <v>6</v>
      </c>
      <c r="W94" s="11">
        <f ca="1">IFERROR(__xludf.DUMMYFUNCTION("""COMPUTED_VALUE"""),2)</f>
        <v>2</v>
      </c>
      <c r="X94" s="11">
        <f ca="1">IFERROR(__xludf.DUMMYFUNCTION("""COMPUTED_VALUE"""),12)</f>
        <v>12</v>
      </c>
      <c r="Y94" s="11">
        <f ca="1">IFERROR(__xludf.DUMMYFUNCTION("""COMPUTED_VALUE"""),4)</f>
        <v>4</v>
      </c>
      <c r="Z94" s="12">
        <f ca="1">IFERROR(__xludf.DUMMYFUNCTION("""COMPUTED_VALUE"""),3)</f>
        <v>3</v>
      </c>
      <c r="AA94" s="12">
        <f ca="1">IFERROR(__xludf.DUMMYFUNCTION("""COMPUTED_VALUE"""),1)</f>
        <v>1</v>
      </c>
      <c r="AB94" s="12">
        <f ca="1">IFERROR(__xludf.DUMMYFUNCTION("""COMPUTED_VALUE"""),8)</f>
        <v>8</v>
      </c>
      <c r="AC94" s="11"/>
      <c r="AD94" s="12"/>
      <c r="AE94" s="12"/>
      <c r="AF94" s="12"/>
      <c r="AG94" s="13" t="str">
        <f ca="1">IFERROR(__xludf.DUMMYFUNCTION("ArrayFormula(VLOOKUP(G94, IMPORTRANGE(""https://docs.google.com/spreadsheets/d/1Co934fvtviyaRiMsrIlT05Jaq7iiYq07aLvRr35KA48/edit?gid=173865642#gid=173865642"", ""'G6_Maths GP_Pri_LU'!G2:V2000""), {3, 4, 5, 6, 7, 8, 9, 10, 11, 12, 13, 14, 15, 16}, 0))"),"LU000231")</f>
        <v>LU000231</v>
      </c>
      <c r="AH94" s="22" t="str">
        <f ca="1">IFERROR(__xludf.DUMMYFUNCTION("""COMPUTED_VALUE"""),"Definition of circle")</f>
        <v>Definition of circle</v>
      </c>
      <c r="AI94" s="22" t="str">
        <f ca="1">IFERROR(__xludf.DUMMYFUNCTION("""COMPUTED_VALUE"""),"LU000219")</f>
        <v>LU000219</v>
      </c>
      <c r="AJ94" s="22" t="str">
        <f ca="1">IFERROR(__xludf.DUMMYFUNCTION("""COMPUTED_VALUE"""),"Definition of line segment")</f>
        <v>Definition of line segment</v>
      </c>
      <c r="AK94" s="22" t="str">
        <f ca="1">IFERROR(__xludf.DUMMYFUNCTION("""COMPUTED_VALUE"""),"LU000218")</f>
        <v>LU000218</v>
      </c>
      <c r="AL94" s="22" t="str">
        <f ca="1">IFERROR(__xludf.DUMMYFUNCTION("""COMPUTED_VALUE"""),"Definition of point")</f>
        <v>Definition of point</v>
      </c>
      <c r="AM94" s="22"/>
      <c r="AN94" s="22"/>
      <c r="AO94" s="22"/>
      <c r="AP94" s="22"/>
      <c r="AQ94" s="22"/>
      <c r="AR94" s="22"/>
      <c r="AS94" s="22"/>
      <c r="AT94" s="22"/>
    </row>
    <row r="95" spans="1:46" ht="40.200000000000003">
      <c r="A95" s="8" t="s">
        <v>46</v>
      </c>
      <c r="B95" s="8" t="s">
        <v>47</v>
      </c>
      <c r="C95" s="8" t="s">
        <v>48</v>
      </c>
      <c r="D95" s="8" t="s">
        <v>49</v>
      </c>
      <c r="E95" s="9" t="s">
        <v>195</v>
      </c>
      <c r="F95" s="20" t="s">
        <v>196</v>
      </c>
      <c r="G95" s="19" t="s">
        <v>199</v>
      </c>
      <c r="H95" s="8" t="str">
        <f ca="1">IFERROR(__xludf.DUMMYFUNCTION("VLOOKUP(G95, IMPORTRANGE(""https://docs.google.com/spreadsheets/d/14deopnvwcrKtEGCKuYXdUHJbeLDZlkiSSWWT0g7x2pM/edit#gid=999382323"", ""LU List Maths (Filter)!A:B""), 2, FALSE)"),"Construction of a circle with a given radius")</f>
        <v>Construction of a circle with a given radius</v>
      </c>
      <c r="I95" s="10" t="str">
        <f t="shared" si="0"/>
        <v>LU000807.001</v>
      </c>
      <c r="J95" s="10" t="str">
        <f ca="1">IFERROR(__xludf.DUMMYFUNCTION("VLOOKUP(I95, IMPORTRANGE(""https://docs.google.com/spreadsheets/d/1yDAaXNsi4Mr5FtRQL4tbmSdIzhx6_m4wkOD7IG-k_eo/edit#gid=0"", ""Maths!M:N""), 2, FALSE)"),"List the essential steps involved in constructing a circle with a given radius.")</f>
        <v>List the essential steps involved in constructing a circle with a given radius.</v>
      </c>
      <c r="K95" s="10" t="str">
        <f t="shared" si="1"/>
        <v>LU000807.002</v>
      </c>
      <c r="L95" s="10" t="str">
        <f ca="1">IFERROR(__xludf.DUMMYFUNCTION("VLOOKUP(K95, IMPORTRANGE(""https://docs.google.com/spreadsheets/d/1yDAaXNsi4Mr5FtRQL4tbmSdIzhx6_m4wkOD7IG-k_eo/edit#gid=0"", ""Maths!M:N""), 2, FALSE)"),"Describe the sequence of steps required to construct a circle with a specified radius accurately.")</f>
        <v>Describe the sequence of steps required to construct a circle with a specified radius accurately.</v>
      </c>
      <c r="M95" s="10" t="str">
        <f t="shared" si="2"/>
        <v>LU000807.003</v>
      </c>
      <c r="N95" s="10" t="str">
        <f ca="1">IFERROR(__xludf.DUMMYFUNCTION("VLOOKUP(M95, IMPORTRANGE(""https://docs.google.com/spreadsheets/d/1yDAaXNsi4Mr5FtRQL4tbmSdIzhx6_m4wkOD7IG-k_eo/edit#gid=0"", ""Maths!M:N""), 2, FALSE)"),"Apply the knowledge of circle construction to accurately construct a circle with a specific radius.")</f>
        <v>Apply the knowledge of circle construction to accurately construct a circle with a specific radius.</v>
      </c>
      <c r="O95" s="10" t="str">
        <f t="shared" si="3"/>
        <v>LU000807.004</v>
      </c>
      <c r="P95" s="10" t="str">
        <f ca="1">IFERROR(__xludf.DUMMYFUNCTION("VLOOKUP(O95, IMPORTRANGE(""https://docs.google.com/spreadsheets/d/1yDAaXNsi4Mr5FtRQL4tbmSdIzhx6_m4wkOD7IG-k_eo/edit#gid=0"", ""Maths!M:N""), 2, FALSE)"),"Identify and rectify any incorrect steps or procedures while constructing a circle to ensure its accuracy.")</f>
        <v>Identify and rectify any incorrect steps or procedures while constructing a circle to ensure its accuracy.</v>
      </c>
      <c r="Q95" s="10" t="str">
        <f t="shared" si="4"/>
        <v>LU000807.005</v>
      </c>
      <c r="R95" s="10" t="str">
        <f ca="1">IFERROR(__xludf.DUMMYFUNCTION("VLOOKUP(Q95, IMPORTRANGE(""https://docs.google.com/spreadsheets/d/1yDAaXNsi4Mr5FtRQL4tbmSdIzhx6_m4wkOD7IG-k_eo/edit#gid=0"", ""Maths!M:N""), 2, FALSE)"),"Assess the accuracy of a constructed circle by comparing it to a given radius.")</f>
        <v>Assess the accuracy of a constructed circle by comparing it to a given radius.</v>
      </c>
      <c r="S95" s="10" t="str">
        <f t="shared" si="5"/>
        <v>LU000807.006</v>
      </c>
      <c r="T95" s="10" t="str">
        <f ca="1">IFERROR(__xludf.DUMMYFUNCTION("VLOOKUP(S95, IMPORTRANGE(""https://docs.google.com/spreadsheets/d/1yDAaXNsi4Mr5FtRQL4tbmSdIzhx6_m4wkOD7IG-k_eo/edit#gid=0"", ""Maths!M:N""), 2, FALSE)"),"Devise real-life scenarios where the knowledge of constructing circles with specific radii can be applied practically.")</f>
        <v>Devise real-life scenarios where the knowledge of constructing circles with specific radii can be applied practically.</v>
      </c>
      <c r="U95" s="11">
        <f ca="1">IFERROR(__xludf.DUMMYFUNCTION("ArrayFormula(VLOOKUP(G95, IMPORTRANGE(""https://docs.google.com/spreadsheets/d/1p7R4vtkWt5VOBim4ltsDG9KTzSjrtKXsMtQGXPHyND0/edit#gid=795171502"", ""'Filter 30_05_2024'!A1:M2000""), {2, 3, 4, 5,6,7,8,9,10,11,12,13}, 0))"),4)</f>
        <v>4</v>
      </c>
      <c r="V95" s="11">
        <f ca="1">IFERROR(__xludf.DUMMYFUNCTION("""COMPUTED_VALUE"""),6)</f>
        <v>6</v>
      </c>
      <c r="W95" s="11">
        <f ca="1">IFERROR(__xludf.DUMMYFUNCTION("""COMPUTED_VALUE"""),2)</f>
        <v>2</v>
      </c>
      <c r="X95" s="11">
        <f ca="1">IFERROR(__xludf.DUMMYFUNCTION("""COMPUTED_VALUE"""),12)</f>
        <v>12</v>
      </c>
      <c r="Y95" s="11">
        <f ca="1">IFERROR(__xludf.DUMMYFUNCTION("""COMPUTED_VALUE"""),4)</f>
        <v>4</v>
      </c>
      <c r="Z95" s="12">
        <f ca="1">IFERROR(__xludf.DUMMYFUNCTION("""COMPUTED_VALUE"""),3)</f>
        <v>3</v>
      </c>
      <c r="AA95" s="12">
        <f ca="1">IFERROR(__xludf.DUMMYFUNCTION("""COMPUTED_VALUE"""),1)</f>
        <v>1</v>
      </c>
      <c r="AB95" s="12">
        <f ca="1">IFERROR(__xludf.DUMMYFUNCTION("""COMPUTED_VALUE"""),8)</f>
        <v>8</v>
      </c>
      <c r="AC95" s="11"/>
      <c r="AD95" s="12"/>
      <c r="AE95" s="12"/>
      <c r="AF95" s="12"/>
      <c r="AG95" s="13" t="str">
        <f ca="1">IFERROR(__xludf.DUMMYFUNCTION("ArrayFormula(VLOOKUP(G95, IMPORTRANGE(""https://docs.google.com/spreadsheets/d/1Co934fvtviyaRiMsrIlT05Jaq7iiYq07aLvRr35KA48/edit?gid=173865642#gid=173865642"", ""'G6_Maths GP_Pri_LU'!G2:V2000""), {3, 4, 5, 6, 7, 8, 9, 10, 11, 12, 13, 14, 15, 16}, 0))"),"LU000218")</f>
        <v>LU000218</v>
      </c>
      <c r="AH95" s="22" t="str">
        <f ca="1">IFERROR(__xludf.DUMMYFUNCTION("""COMPUTED_VALUE"""),"Definition of point")</f>
        <v>Definition of point</v>
      </c>
      <c r="AI95" s="22" t="str">
        <f ca="1">IFERROR(__xludf.DUMMYFUNCTION("""COMPUTED_VALUE"""),"LU000970")</f>
        <v>LU000970</v>
      </c>
      <c r="AJ95" s="22" t="str">
        <f ca="1">IFERROR(__xludf.DUMMYFUNCTION("""COMPUTED_VALUE"""),"Measurement of length of line segments using ruler")</f>
        <v>Measurement of length of line segments using ruler</v>
      </c>
      <c r="AK95" s="22"/>
      <c r="AL95" s="22"/>
      <c r="AM95" s="22"/>
      <c r="AN95" s="22"/>
      <c r="AO95" s="22"/>
      <c r="AP95" s="22"/>
      <c r="AQ95" s="22"/>
      <c r="AR95" s="22"/>
      <c r="AS95" s="22"/>
      <c r="AT95" s="22"/>
    </row>
    <row r="96" spans="1:46" ht="40.200000000000003">
      <c r="A96" s="8" t="s">
        <v>46</v>
      </c>
      <c r="B96" s="8" t="s">
        <v>47</v>
      </c>
      <c r="C96" s="8" t="s">
        <v>48</v>
      </c>
      <c r="D96" s="8" t="s">
        <v>49</v>
      </c>
      <c r="E96" s="9" t="s">
        <v>195</v>
      </c>
      <c r="F96" s="22" t="s">
        <v>200</v>
      </c>
      <c r="G96" s="19" t="s">
        <v>201</v>
      </c>
      <c r="H96" s="8" t="str">
        <f ca="1">IFERROR(__xludf.DUMMYFUNCTION("VLOOKUP(G96, IMPORTRANGE(""https://docs.google.com/spreadsheets/d/14deopnvwcrKtEGCKuYXdUHJbeLDZlkiSSWWT0g7x2pM/edit#gid=999382323"", ""LU List Maths (Filter)!A:B""), 2, FALSE)"),"Construction of a square of given side")</f>
        <v>Construction of a square of given side</v>
      </c>
      <c r="I96" s="10" t="str">
        <f t="shared" si="0"/>
        <v>LU000862.001</v>
      </c>
      <c r="J96" s="10" t="str">
        <f ca="1">IFERROR(__xludf.DUMMYFUNCTION("VLOOKUP(I96, IMPORTRANGE(""https://docs.google.com/spreadsheets/d/1yDAaXNsi4Mr5FtRQL4tbmSdIzhx6_m4wkOD7IG-k_eo/edit#gid=0"", ""Maths!M:N""), 2, FALSE)"),"Recall the properties of a square and the tools required for its construction.")</f>
        <v>Recall the properties of a square and the tools required for its construction.</v>
      </c>
      <c r="K96" s="10" t="str">
        <f t="shared" si="1"/>
        <v>LU000862.002</v>
      </c>
      <c r="L96" s="10" t="str">
        <f ca="1">IFERROR(__xludf.DUMMYFUNCTION("VLOOKUP(K96, IMPORTRANGE(""https://docs.google.com/spreadsheets/d/1yDAaXNsi4Mr5FtRQL4tbmSdIzhx6_m4wkOD7IG-k_eo/edit#gid=0"", ""Maths!M:N""), 2, FALSE)"),"Summarize the significance of a square's properties (equal sides, 90° angles) in its construction process.")</f>
        <v>Summarize the significance of a square's properties (equal sides, 90° angles) in its construction process.</v>
      </c>
      <c r="M96" s="10" t="str">
        <f t="shared" si="2"/>
        <v>LU000862.003</v>
      </c>
      <c r="N96" s="10" t="str">
        <f ca="1">IFERROR(__xludf.DUMMYFUNCTION("VLOOKUP(M96, IMPORTRANGE(""https://docs.google.com/spreadsheets/d/1yDAaXNsi4Mr5FtRQL4tbmSdIzhx6_m4wkOD7IG-k_eo/edit#gid=0"", ""Maths!M:N""), 2, FALSE)"),"Construct a square accurately on a piece of paper using a ruler and compass when given a specific side length.")</f>
        <v>Construct a square accurately on a piece of paper using a ruler and compass when given a specific side length.</v>
      </c>
      <c r="O96" s="10" t="str">
        <f t="shared" si="3"/>
        <v>LU000862.004</v>
      </c>
      <c r="P96" s="10" t="str">
        <f ca="1">IFERROR(__xludf.DUMMYFUNCTION("VLOOKUP(O96, IMPORTRANGE(""https://docs.google.com/spreadsheets/d/1yDAaXNsi4Mr5FtRQL4tbmSdIzhx6_m4wkOD7IG-k_eo/edit#gid=0"", ""Maths!M:N""), 2, FALSE)"),"Identify the sequence of steps and the underlying geometric principles employed during the construction of a square from a given side length.")</f>
        <v>Identify the sequence of steps and the underlying geometric principles employed during the construction of a square from a given side length.</v>
      </c>
      <c r="Q96" s="10" t="str">
        <f t="shared" si="4"/>
        <v>LU000862.005</v>
      </c>
      <c r="R96" s="10" t="str">
        <f ca="1">IFERROR(__xludf.DUMMYFUNCTION("VLOOKUP(Q96, IMPORTRANGE(""https://docs.google.com/spreadsheets/d/1yDAaXNsi4Mr5FtRQL4tbmSdIzhx6_m4wkOD7IG-k_eo/edit#gid=0"", ""Maths!M:N""), 2, FALSE)"),"Critique the precision and correctness of a constructed square, ensuring all sides are equal and all angles are right angles.")</f>
        <v>Critique the precision and correctness of a constructed square, ensuring all sides are equal and all angles are right angles.</v>
      </c>
      <c r="S96" s="10" t="str">
        <f t="shared" si="5"/>
        <v>LU000862.006</v>
      </c>
      <c r="T96" s="10" t="str">
        <f ca="1">IFERROR(__xludf.DUMMYFUNCTION("VLOOKUP(S96, IMPORTRANGE(""https://docs.google.com/spreadsheets/d/1yDAaXNsi4Mr5FtRQL4tbmSdIzhx6_m4wkOD7IG-k_eo/edit#gid=0"", ""Maths!M:N""), 2, FALSE)"),"Design a practical activity or challenge that incorporates the construction of squares into a broader geometric project or artwork.")</f>
        <v>Design a practical activity or challenge that incorporates the construction of squares into a broader geometric project or artwork.</v>
      </c>
      <c r="U96" s="11">
        <f ca="1">IFERROR(__xludf.DUMMYFUNCTION("ArrayFormula(VLOOKUP(G96, IMPORTRANGE(""https://docs.google.com/spreadsheets/d/1p7R4vtkWt5VOBim4ltsDG9KTzSjrtKXsMtQGXPHyND0/edit#gid=795171502"", ""'Filter 30_05_2024'!A1:M2000""), {2, 3, 4, 5,6,7,8,9,10,11,12,13}, 0))"),4)</f>
        <v>4</v>
      </c>
      <c r="V96" s="11">
        <f ca="1">IFERROR(__xludf.DUMMYFUNCTION("""COMPUTED_VALUE"""),6)</f>
        <v>6</v>
      </c>
      <c r="W96" s="11">
        <f ca="1">IFERROR(__xludf.DUMMYFUNCTION("""COMPUTED_VALUE"""),2)</f>
        <v>2</v>
      </c>
      <c r="X96" s="11">
        <f ca="1">IFERROR(__xludf.DUMMYFUNCTION("""COMPUTED_VALUE"""),12)</f>
        <v>12</v>
      </c>
      <c r="Y96" s="11">
        <f ca="1">IFERROR(__xludf.DUMMYFUNCTION("""COMPUTED_VALUE"""),4)</f>
        <v>4</v>
      </c>
      <c r="Z96" s="12">
        <f ca="1">IFERROR(__xludf.DUMMYFUNCTION("""COMPUTED_VALUE"""),3)</f>
        <v>3</v>
      </c>
      <c r="AA96" s="12">
        <f ca="1">IFERROR(__xludf.DUMMYFUNCTION("""COMPUTED_VALUE"""),1)</f>
        <v>1</v>
      </c>
      <c r="AB96" s="12">
        <f ca="1">IFERROR(__xludf.DUMMYFUNCTION("""COMPUTED_VALUE"""),8)</f>
        <v>8</v>
      </c>
      <c r="AC96" s="11"/>
      <c r="AD96" s="12"/>
      <c r="AE96" s="12"/>
      <c r="AF96" s="12"/>
      <c r="AG96" s="13" t="str">
        <f ca="1">IFERROR(__xludf.DUMMYFUNCTION("ArrayFormula(VLOOKUP(G96, IMPORTRANGE(""https://docs.google.com/spreadsheets/d/1Co934fvtviyaRiMsrIlT05Jaq7iiYq07aLvRr35KA48/edit?gid=173865642#gid=173865642"", ""'G6_Maths GP_Pri_LU'!G2:V2000""), {3, 4, 5, 6, 7, 8, 9, 10, 11, 12, 13, 14, 15, 16}, 0))"),"LU000598")</f>
        <v>LU000598</v>
      </c>
      <c r="AH96" s="22" t="str">
        <f ca="1">IFERROR(__xludf.DUMMYFUNCTION("""COMPUTED_VALUE"""),"Definition of square")</f>
        <v>Definition of square</v>
      </c>
      <c r="AI96" s="22" t="str">
        <f ca="1">IFERROR(__xludf.DUMMYFUNCTION("""COMPUTED_VALUE"""),"LU000017")</f>
        <v>LU000017</v>
      </c>
      <c r="AJ96" s="22" t="str">
        <f ca="1">IFERROR(__xludf.DUMMYFUNCTION("""COMPUTED_VALUE"""),"Definition of a right angle")</f>
        <v>Definition of a right angle</v>
      </c>
      <c r="AK96" s="22" t="str">
        <f ca="1">IFERROR(__xludf.DUMMYFUNCTION("""COMPUTED_VALUE"""),"LU000808")</f>
        <v>LU000808</v>
      </c>
      <c r="AL96" s="22" t="str">
        <f ca="1">IFERROR(__xludf.DUMMYFUNCTION("""COMPUTED_VALUE"""),"Construction of a line segment of a given length using a ruler")</f>
        <v>Construction of a line segment of a given length using a ruler</v>
      </c>
      <c r="AM96" s="22"/>
      <c r="AN96" s="22"/>
      <c r="AO96" s="22"/>
      <c r="AP96" s="22"/>
      <c r="AQ96" s="22"/>
      <c r="AR96" s="22"/>
      <c r="AS96" s="22"/>
      <c r="AT96" s="22"/>
    </row>
    <row r="97" spans="1:46" ht="40.200000000000003">
      <c r="A97" s="8" t="s">
        <v>46</v>
      </c>
      <c r="B97" s="8" t="s">
        <v>47</v>
      </c>
      <c r="C97" s="8" t="s">
        <v>48</v>
      </c>
      <c r="D97" s="8" t="s">
        <v>49</v>
      </c>
      <c r="E97" s="9" t="s">
        <v>195</v>
      </c>
      <c r="F97" s="22" t="s">
        <v>200</v>
      </c>
      <c r="G97" s="19" t="s">
        <v>202</v>
      </c>
      <c r="H97" s="8" t="str">
        <f ca="1">IFERROR(__xludf.DUMMYFUNCTION("VLOOKUP(G97, IMPORTRANGE(""https://docs.google.com/spreadsheets/d/14deopnvwcrKtEGCKuYXdUHJbeLDZlkiSSWWT0g7x2pM/edit#gid=999382323"", ""LU List Maths (Filter)!A:B""), 2, FALSE)"),"Construction of a rectangle of given length and breadth")</f>
        <v>Construction of a rectangle of given length and breadth</v>
      </c>
      <c r="I97" s="10" t="str">
        <f t="shared" si="0"/>
        <v>LU000864.001</v>
      </c>
      <c r="J97" s="10" t="str">
        <f ca="1">IFERROR(__xludf.DUMMYFUNCTION("VLOOKUP(I97, IMPORTRANGE(""https://docs.google.com/spreadsheets/d/1yDAaXNsi4Mr5FtRQL4tbmSdIzhx6_m4wkOD7IG-k_eo/edit#gid=0"", ""Maths!M:N""), 2, FALSE)"),"#N/A")</f>
        <v>#N/A</v>
      </c>
      <c r="K97" s="10" t="str">
        <f t="shared" si="1"/>
        <v>LU000864.002</v>
      </c>
      <c r="L97" s="10" t="str">
        <f ca="1">IFERROR(__xludf.DUMMYFUNCTION("VLOOKUP(K97, IMPORTRANGE(""https://docs.google.com/spreadsheets/d/1yDAaXNsi4Mr5FtRQL4tbmSdIzhx6_m4wkOD7IG-k_eo/edit#gid=0"", ""Maths!M:N""), 2, FALSE)"),"#N/A")</f>
        <v>#N/A</v>
      </c>
      <c r="M97" s="10" t="str">
        <f t="shared" si="2"/>
        <v>LU000864.003</v>
      </c>
      <c r="N97" s="10" t="str">
        <f ca="1">IFERROR(__xludf.DUMMYFUNCTION("VLOOKUP(M97, IMPORTRANGE(""https://docs.google.com/spreadsheets/d/1yDAaXNsi4Mr5FtRQL4tbmSdIzhx6_m4wkOD7IG-k_eo/edit#gid=0"", ""Maths!M:N""), 2, FALSE)"),"Draw a rectangle using the given length and breadth with the help of appropriate geometric tools.")</f>
        <v>Draw a rectangle using the given length and breadth with the help of appropriate geometric tools.</v>
      </c>
      <c r="O97" s="10" t="str">
        <f t="shared" si="3"/>
        <v>LU000864.004</v>
      </c>
      <c r="P97" s="10" t="str">
        <f ca="1">IFERROR(__xludf.DUMMYFUNCTION("VLOOKUP(O97, IMPORTRANGE(""https://docs.google.com/spreadsheets/d/1yDAaXNsi4Mr5FtRQL4tbmSdIzhx6_m4wkOD7IG-k_eo/edit#gid=0"", ""Maths!M:N""), 2, FALSE)"),"Break down the steps involved in constructing the rectangle and understand the logic behind each step.")</f>
        <v>Break down the steps involved in constructing the rectangle and understand the logic behind each step.</v>
      </c>
      <c r="Q97" s="10" t="str">
        <f t="shared" si="4"/>
        <v>LU000864.005</v>
      </c>
      <c r="R97" s="10" t="str">
        <f ca="1">IFERROR(__xludf.DUMMYFUNCTION("VLOOKUP(Q97, IMPORTRANGE(""https://docs.google.com/spreadsheets/d/1yDAaXNsi4Mr5FtRQL4tbmSdIzhx6_m4wkOD7IG-k_eo/edit#gid=0"", ""Maths!M:N""), 2, FALSE)"),"Check the accuracy of the constructed rectangle, ensuring that it aligns with the given measurements and possesses all the properties of a rectangle.")</f>
        <v>Check the accuracy of the constructed rectangle, ensuring that it aligns with the given measurements and possesses all the properties of a rectangle.</v>
      </c>
      <c r="S97" s="10" t="str">
        <f t="shared" si="5"/>
        <v>LU000864.006</v>
      </c>
      <c r="T97" s="10" t="str">
        <f ca="1">IFERROR(__xludf.DUMMYFUNCTION("VLOOKUP(S97, IMPORTRANGE(""https://docs.google.com/spreadsheets/d/1yDAaXNsi4Mr5FtRQL4tbmSdIzhx6_m4wkOD7IG-k_eo/edit#gid=0"", ""Maths!M:N""), 2, FALSE)"),"Design a task or activity where the knowledge of rectangle construction is used to solve a larger problem or create a complex geometric figure.")</f>
        <v>Design a task or activity where the knowledge of rectangle construction is used to solve a larger problem or create a complex geometric figure.</v>
      </c>
      <c r="U97" s="11">
        <f ca="1">IFERROR(__xludf.DUMMYFUNCTION("ArrayFormula(VLOOKUP(G97, IMPORTRANGE(""https://docs.google.com/spreadsheets/d/1p7R4vtkWt5VOBim4ltsDG9KTzSjrtKXsMtQGXPHyND0/edit#gid=795171502"", ""'Filter 30_05_2024'!A1:M2000""), {2, 3, 4, 5,6,7,8,9,10,11,12,13}, 0))"),4)</f>
        <v>4</v>
      </c>
      <c r="V97" s="11">
        <f ca="1">IFERROR(__xludf.DUMMYFUNCTION("""COMPUTED_VALUE"""),5)</f>
        <v>5</v>
      </c>
      <c r="W97" s="11">
        <f ca="1">IFERROR(__xludf.DUMMYFUNCTION("""COMPUTED_VALUE"""),2)</f>
        <v>2</v>
      </c>
      <c r="X97" s="11">
        <f ca="1">IFERROR(__xludf.DUMMYFUNCTION("""COMPUTED_VALUE"""),11)</f>
        <v>11</v>
      </c>
      <c r="Y97" s="11">
        <f ca="1">IFERROR(__xludf.DUMMYFUNCTION("""COMPUTED_VALUE"""),4)</f>
        <v>4</v>
      </c>
      <c r="Z97" s="12">
        <f ca="1">IFERROR(__xludf.DUMMYFUNCTION("""COMPUTED_VALUE"""),4)</f>
        <v>4</v>
      </c>
      <c r="AA97" s="12">
        <f ca="1">IFERROR(__xludf.DUMMYFUNCTION("""COMPUTED_VALUE"""),1)</f>
        <v>1</v>
      </c>
      <c r="AB97" s="12">
        <f ca="1">IFERROR(__xludf.DUMMYFUNCTION("""COMPUTED_VALUE"""),9)</f>
        <v>9</v>
      </c>
      <c r="AC97" s="11"/>
      <c r="AD97" s="12"/>
      <c r="AE97" s="12"/>
      <c r="AF97" s="12"/>
      <c r="AG97" s="13" t="str">
        <f ca="1">IFERROR(__xludf.DUMMYFUNCTION("ArrayFormula(VLOOKUP(G97, IMPORTRANGE(""https://docs.google.com/spreadsheets/d/1Co934fvtviyaRiMsrIlT05Jaq7iiYq07aLvRr35KA48/edit?gid=173865642#gid=173865642"", ""'G6_Maths GP_Pri_LU'!G2:V2000""), {3, 4, 5, 6, 7, 8, 9, 10, 11, 12, 13, 14, 15, 16}, 0))"),"LU000597")</f>
        <v>LU000597</v>
      </c>
      <c r="AH97" s="22" t="str">
        <f ca="1">IFERROR(__xludf.DUMMYFUNCTION("""COMPUTED_VALUE"""),"Definition of rectangle")</f>
        <v>Definition of rectangle</v>
      </c>
      <c r="AI97" s="22" t="str">
        <f ca="1">IFERROR(__xludf.DUMMYFUNCTION("""COMPUTED_VALUE"""),"LU000017")</f>
        <v>LU000017</v>
      </c>
      <c r="AJ97" s="22" t="str">
        <f ca="1">IFERROR(__xludf.DUMMYFUNCTION("""COMPUTED_VALUE"""),"Definition of a right angle")</f>
        <v>Definition of a right angle</v>
      </c>
      <c r="AK97" s="22" t="str">
        <f ca="1">IFERROR(__xludf.DUMMYFUNCTION("""COMPUTED_VALUE"""),"LU000808")</f>
        <v>LU000808</v>
      </c>
      <c r="AL97" s="22" t="str">
        <f ca="1">IFERROR(__xludf.DUMMYFUNCTION("""COMPUTED_VALUE"""),"Construction of a line segment of a given length using a ruler")</f>
        <v>Construction of a line segment of a given length using a ruler</v>
      </c>
      <c r="AM97" s="22"/>
      <c r="AN97" s="22"/>
      <c r="AO97" s="22"/>
      <c r="AP97" s="22"/>
      <c r="AQ97" s="22"/>
      <c r="AR97" s="22"/>
      <c r="AS97" s="22"/>
      <c r="AT97" s="22"/>
    </row>
    <row r="98" spans="1:46" ht="40.200000000000003">
      <c r="A98" s="8" t="s">
        <v>46</v>
      </c>
      <c r="B98" s="8" t="s">
        <v>47</v>
      </c>
      <c r="C98" s="8" t="s">
        <v>48</v>
      </c>
      <c r="D98" s="8" t="s">
        <v>49</v>
      </c>
      <c r="E98" s="9" t="s">
        <v>195</v>
      </c>
      <c r="F98" s="13" t="s">
        <v>203</v>
      </c>
      <c r="G98" s="19" t="s">
        <v>204</v>
      </c>
      <c r="H98" s="8" t="str">
        <f ca="1">IFERROR(__xludf.DUMMYFUNCTION("VLOOKUP(G98, IMPORTRANGE(""https://docs.google.com/spreadsheets/d/14deopnvwcrKtEGCKuYXdUHJbeLDZlkiSSWWT0g7x2pM/edit#gid=999382323"", ""LU List Maths (Filter)!A:B""), 2, FALSE)"),"Exploration in rectangles")</f>
        <v>Exploration in rectangles</v>
      </c>
      <c r="I98" s="10" t="str">
        <f t="shared" si="0"/>
        <v>LU001360.001</v>
      </c>
      <c r="J98" s="10" t="str">
        <f ca="1">IFERROR(__xludf.DUMMYFUNCTION("VLOOKUP(I98, IMPORTRANGE(""https://docs.google.com/spreadsheets/d/1yDAaXNsi4Mr5FtRQL4tbmSdIzhx6_m4wkOD7IG-k_eo/edit#gid=0"", ""Maths!M:N""), 2, FALSE)"),"Identify the positions of points along the sides of a rectangle that maximize or minimize the distance between them.")</f>
        <v>Identify the positions of points along the sides of a rectangle that maximize or minimize the distance between them.</v>
      </c>
      <c r="K98" s="10" t="str">
        <f t="shared" si="1"/>
        <v>LU001360.002</v>
      </c>
      <c r="L98" s="10" t="str">
        <f ca="1">IFERROR(__xludf.DUMMYFUNCTION("VLOOKUP(K98, IMPORTRANGE(""https://docs.google.com/spreadsheets/d/1yDAaXNsi4Mr5FtRQL4tbmSdIzhx6_m4wkOD7IG-k_eo/edit#gid=0"", ""Maths!M:N""), 2, FALSE)"),"Explain how the movement of points along the sides of a rectangle affects the distance between them.")</f>
        <v>Explain how the movement of points along the sides of a rectangle affects the distance between them.</v>
      </c>
      <c r="M98" s="10" t="str">
        <f t="shared" si="2"/>
        <v>LU001360.003</v>
      </c>
      <c r="N98" s="10" t="str">
        <f ca="1">IFERROR(__xludf.DUMMYFUNCTION("VLOOKUP(M98, IMPORTRANGE(""https://docs.google.com/spreadsheets/d/1yDAaXNsi4Mr5FtRQL4tbmSdIzhx6_m4wkOD7IG-k_eo/edit#gid=0"", ""Maths!M:N""), 2, FALSE)"),"Construct a rectangle and experiment with moving points along its sides to explore distance relationships.")</f>
        <v>Construct a rectangle and experiment with moving points along its sides to explore distance relationships.</v>
      </c>
      <c r="O98" s="10" t="str">
        <f t="shared" si="3"/>
        <v>LU001360.004</v>
      </c>
      <c r="P98" s="10" t="str">
        <f ca="1">IFERROR(__xludf.DUMMYFUNCTION("VLOOKUP(O98, IMPORTRANGE(""https://docs.google.com/spreadsheets/d/1yDAaXNsi4Mr5FtRQL4tbmSdIzhx6_m4wkOD7IG-k_eo/edit#gid=0"", ""Maths!M:N""), 2, FALSE)"),"Analyze the relationship between the side lengths of a rectangle and the distances between points on opposite sides.")</f>
        <v>Analyze the relationship between the side lengths of a rectangle and the distances between points on opposite sides.</v>
      </c>
      <c r="Q98" s="10" t="str">
        <f t="shared" si="4"/>
        <v>LU001360.005</v>
      </c>
      <c r="R98" s="10" t="str">
        <f ca="1">IFERROR(__xludf.DUMMYFUNCTION("VLOOKUP(Q98, IMPORTRANGE(""https://docs.google.com/spreadsheets/d/1yDAaXNsi4Mr5FtRQL4tbmSdIzhx6_m4wkOD7IG-k_eo/edit#gid=0"", ""Maths!M:N""), 2, FALSE)"),"Evaluate the accuracy of predictions about the nearest and farthest distances between points on a rectangle’s sides.")</f>
        <v>Evaluate the accuracy of predictions about the nearest and farthest distances between points on a rectangle’s sides.</v>
      </c>
      <c r="S98" s="10" t="str">
        <f t="shared" si="5"/>
        <v>LU001360.006</v>
      </c>
      <c r="T98" s="10" t="str">
        <f ca="1">IFERROR(__xludf.DUMMYFUNCTION("VLOOKUP(S98, IMPORTRANGE(""https://docs.google.com/spreadsheets/d/1yDAaXNsi4Mr5FtRQL4tbmSdIzhx6_m4wkOD7IG-k_eo/edit#gid=0"", ""Maths!M:N""), 2, FALSE)"),"Create a record of measurements and observations from moving points along the sides of a rectangle to explore different distance configurations.")</f>
        <v>Create a record of measurements and observations from moving points along the sides of a rectangle to explore different distance configurations.</v>
      </c>
      <c r="U98" s="11">
        <f ca="1">IFERROR(__xludf.DUMMYFUNCTION("ArrayFormula(VLOOKUP(G98, IMPORTRANGE(""https://docs.google.com/spreadsheets/d/1p7R4vtkWt5VOBim4ltsDG9KTzSjrtKXsMtQGXPHyND0/edit#gid=795171502"", ""'Filter 30_05_2024'!A1:M2000""), {2, 3, 4, 5,6,7,8,9,10,11,12,13}, 0))"),4)</f>
        <v>4</v>
      </c>
      <c r="V98" s="11">
        <f ca="1">IFERROR(__xludf.DUMMYFUNCTION("""COMPUTED_VALUE"""),6)</f>
        <v>6</v>
      </c>
      <c r="W98" s="11">
        <f ca="1">IFERROR(__xludf.DUMMYFUNCTION("""COMPUTED_VALUE"""),3)</f>
        <v>3</v>
      </c>
      <c r="X98" s="11">
        <f ca="1">IFERROR(__xludf.DUMMYFUNCTION("""COMPUTED_VALUE"""),13)</f>
        <v>13</v>
      </c>
      <c r="Y98" s="11">
        <f ca="1">IFERROR(__xludf.DUMMYFUNCTION("""COMPUTED_VALUE"""),4)</f>
        <v>4</v>
      </c>
      <c r="Z98" s="12">
        <f ca="1">IFERROR(__xludf.DUMMYFUNCTION("""COMPUTED_VALUE"""),3)</f>
        <v>3</v>
      </c>
      <c r="AA98" s="12">
        <f ca="1">IFERROR(__xludf.DUMMYFUNCTION("""COMPUTED_VALUE"""),2)</f>
        <v>2</v>
      </c>
      <c r="AB98" s="12">
        <f ca="1">IFERROR(__xludf.DUMMYFUNCTION("""COMPUTED_VALUE"""),9)</f>
        <v>9</v>
      </c>
      <c r="AC98" s="11"/>
      <c r="AD98" s="12"/>
      <c r="AE98" s="12"/>
      <c r="AF98" s="12"/>
      <c r="AG98" s="13" t="str">
        <f ca="1">IFERROR(__xludf.DUMMYFUNCTION("ArrayFormula(VLOOKUP(G98, IMPORTRANGE(""https://docs.google.com/spreadsheets/d/1Co934fvtviyaRiMsrIlT05Jaq7iiYq07aLvRr35KA48/edit?gid=173865642#gid=173865642"", ""'G6_Maths GP_Pri_LU'!G2:V2000""), {3, 4, 5, 6, 7, 8, 9, 10, 11, 12, 13, 14, 15, 16}, 0))"),"LU000597")</f>
        <v>LU000597</v>
      </c>
      <c r="AH98" s="13" t="str">
        <f ca="1">IFERROR(__xludf.DUMMYFUNCTION("""COMPUTED_VALUE"""),"Definition of rectangle")</f>
        <v>Definition of rectangle</v>
      </c>
      <c r="AI98" s="13" t="str">
        <f ca="1">IFERROR(__xludf.DUMMYFUNCTION("""COMPUTED_VALUE"""),"LU000970")</f>
        <v>LU000970</v>
      </c>
      <c r="AJ98" s="13" t="str">
        <f ca="1">IFERROR(__xludf.DUMMYFUNCTION("""COMPUTED_VALUE"""),"Measurement of length of line segments using ruler")</f>
        <v>Measurement of length of line segments using ruler</v>
      </c>
      <c r="AK98" s="13"/>
      <c r="AL98" s="13"/>
      <c r="AM98" s="13"/>
      <c r="AN98" s="13"/>
      <c r="AO98" s="13"/>
      <c r="AP98" s="13"/>
      <c r="AQ98" s="13"/>
      <c r="AR98" s="13"/>
      <c r="AS98" s="13"/>
      <c r="AT98" s="13"/>
    </row>
    <row r="99" spans="1:46" ht="53.4">
      <c r="A99" s="8" t="s">
        <v>46</v>
      </c>
      <c r="B99" s="8" t="s">
        <v>47</v>
      </c>
      <c r="C99" s="8" t="s">
        <v>48</v>
      </c>
      <c r="D99" s="8" t="s">
        <v>49</v>
      </c>
      <c r="E99" s="9" t="s">
        <v>195</v>
      </c>
      <c r="F99" s="13" t="s">
        <v>203</v>
      </c>
      <c r="G99" s="19" t="s">
        <v>205</v>
      </c>
      <c r="H99" s="8" t="str">
        <f ca="1">IFERROR(__xludf.DUMMYFUNCTION("VLOOKUP(G99, IMPORTRANGE(""https://docs.google.com/spreadsheets/d/14deopnvwcrKtEGCKuYXdUHJbeLDZlkiSSWWT0g7x2pM/edit#gid=999382323"", ""LU List Maths (Filter)!A:B""), 2, FALSE)"),"Exploration in squares")</f>
        <v>Exploration in squares</v>
      </c>
      <c r="I99" s="10" t="str">
        <f t="shared" si="0"/>
        <v>LU001361.001</v>
      </c>
      <c r="J99" s="10" t="str">
        <f ca="1">IFERROR(__xludf.DUMMYFUNCTION("VLOOKUP(I99, IMPORTRANGE(""https://docs.google.com/spreadsheets/d/1yDAaXNsi4Mr5FtRQL4tbmSdIzhx6_m4wkOD7IG-k_eo/edit#gid=0"", ""Maths!M:N""), 2, FALSE)"),"Recall the properties of squares and how they relate to the exploration of diagonals and distances within the square.")</f>
        <v>Recall the properties of squares and how they relate to the exploration of diagonals and distances within the square.</v>
      </c>
      <c r="K99" s="10" t="str">
        <f t="shared" si="1"/>
        <v>LU001361.002</v>
      </c>
      <c r="L99" s="10" t="str">
        <f ca="1">IFERROR(__xludf.DUMMYFUNCTION("VLOOKUP(K99, IMPORTRANGE(""https://docs.google.com/spreadsheets/d/1yDAaXNsi4Mr5FtRQL4tbmSdIzhx6_m4wkOD7IG-k_eo/edit#gid=0"", ""Maths!M:N""), 2, FALSE)"),"Explain how the diagonals of a square divide the angles and relate to the distances between vertices.")</f>
        <v>Explain how the diagonals of a square divide the angles and relate to the distances between vertices.</v>
      </c>
      <c r="M99" s="10" t="str">
        <f t="shared" si="2"/>
        <v>LU001361.003</v>
      </c>
      <c r="N99" s="10" t="str">
        <f ca="1">IFERROR(__xludf.DUMMYFUNCTION("VLOOKUP(M99, IMPORTRANGE(""https://docs.google.com/spreadsheets/d/1yDAaXNsi4Mr5FtRQL4tbmSdIzhx6_m4wkOD7IG-k_eo/edit#gid=0"", ""Maths!M:N""), 2, FALSE)"),"Construct a square and measure the diagonals to explore how they divide the angles and affect distances.")</f>
        <v>Construct a square and measure the diagonals to explore how they divide the angles and affect distances.</v>
      </c>
      <c r="O99" s="10" t="str">
        <f t="shared" si="3"/>
        <v>LU001361.004</v>
      </c>
      <c r="P99" s="10" t="str">
        <f ca="1">IFERROR(__xludf.DUMMYFUNCTION("VLOOKUP(O99, IMPORTRANGE(""https://docs.google.com/spreadsheets/d/1yDAaXNsi4Mr5FtRQL4tbmSdIzhx6_m4wkOD7IG-k_eo/edit#gid=0"", ""Maths!M:N""), 2, FALSE)"),"Analyze how rotating a square or changing the positions of points within it impacts the measurements and properties.")</f>
        <v>Analyze how rotating a square or changing the positions of points within it impacts the measurements and properties.</v>
      </c>
      <c r="Q99" s="10" t="str">
        <f t="shared" si="4"/>
        <v>LU001361.005</v>
      </c>
      <c r="R99" s="10" t="str">
        <f ca="1">IFERROR(__xludf.DUMMYFUNCTION("VLOOKUP(Q99, IMPORTRANGE(""https://docs.google.com/spreadsheets/d/1yDAaXNsi4Mr5FtRQL4tbmSdIzhx6_m4wkOD7IG-k_eo/edit#gid=0"", ""Maths!M:N""), 2, FALSE)"),"Evaluate the consistency of your measurements by comparing them with the expected properties of squares.")</f>
        <v>Evaluate the consistency of your measurements by comparing them with the expected properties of squares.</v>
      </c>
      <c r="S99" s="10" t="str">
        <f t="shared" si="5"/>
        <v>LU001361.006</v>
      </c>
      <c r="T99" s="10" t="str">
        <f ca="1">IFERROR(__xludf.DUMMYFUNCTION("VLOOKUP(S99, IMPORTRANGE(""https://docs.google.com/spreadsheets/d/1yDAaXNsi4Mr5FtRQL4tbmSdIzhx6_m4wkOD7IG-k_eo/edit#gid=0"", ""Maths!M:N""), 2, FALSE)"),"Design and carry out experiments involving the movement of points along the sides or diagonals of squares, recording how these movements affect distances and angles.")</f>
        <v>Design and carry out experiments involving the movement of points along the sides or diagonals of squares, recording how these movements affect distances and angles.</v>
      </c>
      <c r="U99" s="11">
        <f ca="1">IFERROR(__xludf.DUMMYFUNCTION("ArrayFormula(VLOOKUP(G99, IMPORTRANGE(""https://docs.google.com/spreadsheets/d/1p7R4vtkWt5VOBim4ltsDG9KTzSjrtKXsMtQGXPHyND0/edit#gid=795171502"", ""'Filter 30_05_2024'!A1:M2000""), {2, 3, 4, 5,6,7,8,9,10,11,12,13}, 0))"),3)</f>
        <v>3</v>
      </c>
      <c r="V99" s="11">
        <f ca="1">IFERROR(__xludf.DUMMYFUNCTION("""COMPUTED_VALUE"""),6)</f>
        <v>6</v>
      </c>
      <c r="W99" s="11">
        <f ca="1">IFERROR(__xludf.DUMMYFUNCTION("""COMPUTED_VALUE"""),2)</f>
        <v>2</v>
      </c>
      <c r="X99" s="11">
        <f ca="1">IFERROR(__xludf.DUMMYFUNCTION("""COMPUTED_VALUE"""),11)</f>
        <v>11</v>
      </c>
      <c r="Y99" s="11">
        <f ca="1">IFERROR(__xludf.DUMMYFUNCTION("""COMPUTED_VALUE"""),3)</f>
        <v>3</v>
      </c>
      <c r="Z99" s="12">
        <f ca="1">IFERROR(__xludf.DUMMYFUNCTION("""COMPUTED_VALUE"""),3)</f>
        <v>3</v>
      </c>
      <c r="AA99" s="12">
        <f ca="1">IFERROR(__xludf.DUMMYFUNCTION("""COMPUTED_VALUE"""),1)</f>
        <v>1</v>
      </c>
      <c r="AB99" s="12">
        <f ca="1">IFERROR(__xludf.DUMMYFUNCTION("""COMPUTED_VALUE"""),7)</f>
        <v>7</v>
      </c>
      <c r="AC99" s="11"/>
      <c r="AD99" s="12"/>
      <c r="AE99" s="12"/>
      <c r="AF99" s="12"/>
      <c r="AG99" s="13" t="str">
        <f ca="1">IFERROR(__xludf.DUMMYFUNCTION("ArrayFormula(VLOOKUP(G99, IMPORTRANGE(""https://docs.google.com/spreadsheets/d/1Co934fvtviyaRiMsrIlT05Jaq7iiYq07aLvRr35KA48/edit?gid=173865642#gid=173865642"", ""'G6_Maths GP_Pri_LU'!G2:V2000""), {3, 4, 5, 6, 7, 8, 9, 10, 11, 12, 13, 14, 15, 16}, 0))"),"LU000598")</f>
        <v>LU000598</v>
      </c>
      <c r="AH99" s="13" t="str">
        <f ca="1">IFERROR(__xludf.DUMMYFUNCTION("""COMPUTED_VALUE"""),"Definition of square")</f>
        <v>Definition of square</v>
      </c>
      <c r="AI99" s="13" t="str">
        <f ca="1">IFERROR(__xludf.DUMMYFUNCTION("""COMPUTED_VALUE"""),"LU000970")</f>
        <v>LU000970</v>
      </c>
      <c r="AJ99" s="13" t="str">
        <f ca="1">IFERROR(__xludf.DUMMYFUNCTION("""COMPUTED_VALUE"""),"Measurement of length of line segments using ruler")</f>
        <v>Measurement of length of line segments using ruler</v>
      </c>
      <c r="AK99" s="13"/>
      <c r="AL99" s="13"/>
      <c r="AM99" s="13"/>
      <c r="AN99" s="13"/>
      <c r="AO99" s="13"/>
      <c r="AP99" s="13"/>
      <c r="AQ99" s="13"/>
      <c r="AR99" s="13"/>
      <c r="AS99" s="13"/>
      <c r="AT99" s="13"/>
    </row>
    <row r="100" spans="1:46" ht="40.200000000000003">
      <c r="A100" s="8" t="s">
        <v>46</v>
      </c>
      <c r="B100" s="8" t="s">
        <v>47</v>
      </c>
      <c r="C100" s="8" t="s">
        <v>48</v>
      </c>
      <c r="D100" s="8" t="s">
        <v>49</v>
      </c>
      <c r="E100" s="9" t="s">
        <v>195</v>
      </c>
      <c r="F100" s="13" t="s">
        <v>203</v>
      </c>
      <c r="G100" s="19" t="s">
        <v>206</v>
      </c>
      <c r="H100" s="8" t="str">
        <f ca="1">IFERROR(__xludf.DUMMYFUNCTION("VLOOKUP(G100, IMPORTRANGE(""https://docs.google.com/spreadsheets/d/14deopnvwcrKtEGCKuYXdUHJbeLDZlkiSSWWT0g7x2pM/edit#gid=999382323"", ""LU List Maths (Filter)!A:B""), 2, FALSE)"),"Exploration of diagonals of rectangles and squares")</f>
        <v>Exploration of diagonals of rectangles and squares</v>
      </c>
      <c r="I100" s="10" t="str">
        <f t="shared" si="0"/>
        <v>LU001362.001</v>
      </c>
      <c r="J100" s="10" t="str">
        <f ca="1">IFERROR(__xludf.DUMMYFUNCTION("VLOOKUP(I100, IMPORTRANGE(""https://docs.google.com/spreadsheets/d/1yDAaXNsi4Mr5FtRQL4tbmSdIzhx6_m4wkOD7IG-k_eo/edit#gid=0"", ""Maths!M:N""), 2, FALSE)"),"Identify the diagonals in a rectangle or square and describe their properties.")</f>
        <v>Identify the diagonals in a rectangle or square and describe their properties.</v>
      </c>
      <c r="K100" s="10" t="str">
        <f t="shared" si="1"/>
        <v>LU001362.002</v>
      </c>
      <c r="L100" s="10" t="str">
        <f ca="1">IFERROR(__xludf.DUMMYFUNCTION("VLOOKUP(K100, IMPORTRANGE(""https://docs.google.com/spreadsheets/d/1yDAaXNsi4Mr5FtRQL4tbmSdIzhx6_m4wkOD7IG-k_eo/edit#gid=0"", ""Maths!M:N""), 2, FALSE)"),"Explain how diagonals divide the angles of rectangles and squares.")</f>
        <v>Explain how diagonals divide the angles of rectangles and squares.</v>
      </c>
      <c r="M100" s="10" t="str">
        <f t="shared" si="2"/>
        <v>LU001362.003</v>
      </c>
      <c r="N100" s="10" t="str">
        <f ca="1">IFERROR(__xludf.DUMMYFUNCTION("VLOOKUP(M100, IMPORTRANGE(""https://docs.google.com/spreadsheets/d/1yDAaXNsi4Mr5FtRQL4tbmSdIzhx6_m4wkOD7IG-k_eo/edit#gid=0"", ""Maths!M:N""), 2, FALSE)"),"Construct the diagonals of a rectangle or square and measure the angles they create.")</f>
        <v>Construct the diagonals of a rectangle or square and measure the angles they create.</v>
      </c>
      <c r="O100" s="10" t="str">
        <f t="shared" si="3"/>
        <v>LU001362.004</v>
      </c>
      <c r="P100" s="10" t="str">
        <f ca="1">IFERROR(__xludf.DUMMYFUNCTION("VLOOKUP(O100, IMPORTRANGE(""https://docs.google.com/spreadsheets/d/1yDAaXNsi4Mr5FtRQL4tbmSdIzhx6_m4wkOD7IG-k_eo/edit#gid=0"", ""Maths!M:N""), 2, FALSE)"),"Analyze the relationship between the lengths of diagonals and the sides of rectangles and squares.")</f>
        <v>Analyze the relationship between the lengths of diagonals and the sides of rectangles and squares.</v>
      </c>
      <c r="Q100" s="10" t="str">
        <f t="shared" si="4"/>
        <v>LU001362.005</v>
      </c>
      <c r="R100" s="10" t="str">
        <f ca="1">IFERROR(__xludf.DUMMYFUNCTION("VLOOKUP(Q100, IMPORTRANGE(""https://docs.google.com/spreadsheets/d/1yDAaXNsi4Mr5FtRQL4tbmSdIzhx6_m4wkOD7IG-k_eo/edit#gid=0"", ""Maths!M:N""), 2, FALSE)"),"Evaluate how the diagonals divide the angles and sides of rectangles and squares into equal parts.")</f>
        <v>Evaluate how the diagonals divide the angles and sides of rectangles and squares into equal parts.</v>
      </c>
      <c r="S100" s="10" t="str">
        <f t="shared" si="5"/>
        <v>LU001362.006</v>
      </c>
      <c r="T100" s="10" t="str">
        <f ca="1">IFERROR(__xludf.DUMMYFUNCTION("VLOOKUP(S100, IMPORTRANGE(""https://docs.google.com/spreadsheets/d/1yDAaXNsi4Mr5FtRQL4tbmSdIzhx6_m4wkOD7IG-k_eo/edit#gid=0"", ""Maths!M:N""), 2, FALSE)"),"Create a rectangle or square with specified side lengths and explore the properties of its diagonals through construction and measurement.")</f>
        <v>Create a rectangle or square with specified side lengths and explore the properties of its diagonals through construction and measurement.</v>
      </c>
      <c r="U100" s="11">
        <f ca="1">IFERROR(__xludf.DUMMYFUNCTION("ArrayFormula(VLOOKUP(G100, IMPORTRANGE(""https://docs.google.com/spreadsheets/d/1p7R4vtkWt5VOBim4ltsDG9KTzSjrtKXsMtQGXPHyND0/edit#gid=795171502"", ""'Filter 30_05_2024'!A1:M2000""), {2, 3, 4, 5,6,7,8,9,10,11,12,13}, 0))"),4)</f>
        <v>4</v>
      </c>
      <c r="V100" s="11">
        <f ca="1">IFERROR(__xludf.DUMMYFUNCTION("""COMPUTED_VALUE"""),6)</f>
        <v>6</v>
      </c>
      <c r="W100" s="11">
        <f ca="1">IFERROR(__xludf.DUMMYFUNCTION("""COMPUTED_VALUE"""),2)</f>
        <v>2</v>
      </c>
      <c r="X100" s="11">
        <f ca="1">IFERROR(__xludf.DUMMYFUNCTION("""COMPUTED_VALUE"""),12)</f>
        <v>12</v>
      </c>
      <c r="Y100" s="11">
        <f ca="1">IFERROR(__xludf.DUMMYFUNCTION("""COMPUTED_VALUE"""),6)</f>
        <v>6</v>
      </c>
      <c r="Z100" s="12">
        <f ca="1">IFERROR(__xludf.DUMMYFUNCTION("""COMPUTED_VALUE"""),3)</f>
        <v>3</v>
      </c>
      <c r="AA100" s="12">
        <f ca="1">IFERROR(__xludf.DUMMYFUNCTION("""COMPUTED_VALUE"""),1)</f>
        <v>1</v>
      </c>
      <c r="AB100" s="12">
        <f ca="1">IFERROR(__xludf.DUMMYFUNCTION("""COMPUTED_VALUE"""),10)</f>
        <v>10</v>
      </c>
      <c r="AC100" s="11"/>
      <c r="AD100" s="12"/>
      <c r="AE100" s="12"/>
      <c r="AF100" s="12"/>
      <c r="AG100" s="13" t="str">
        <f ca="1">IFERROR(__xludf.DUMMYFUNCTION("ArrayFormula(VLOOKUP(G100, IMPORTRANGE(""https://docs.google.com/spreadsheets/d/1Co934fvtviyaRiMsrIlT05Jaq7iiYq07aLvRr35KA48/edit?gid=173865642#gid=173865642"", ""'G6_Maths GP_Pri_LU'!G2:V2000""), {3, 4, 5, 6, 7, 8, 9, 10, 11, 12, 13, 14, 15, 16}, 0))"),"LU000597")</f>
        <v>LU000597</v>
      </c>
      <c r="AH100" s="13" t="str">
        <f ca="1">IFERROR(__xludf.DUMMYFUNCTION("""COMPUTED_VALUE"""),"Definition of rectangle")</f>
        <v>Definition of rectangle</v>
      </c>
      <c r="AI100" s="13" t="str">
        <f ca="1">IFERROR(__xludf.DUMMYFUNCTION("""COMPUTED_VALUE"""),"LU000017")</f>
        <v>LU000017</v>
      </c>
      <c r="AJ100" s="13" t="str">
        <f ca="1">IFERROR(__xludf.DUMMYFUNCTION("""COMPUTED_VALUE"""),"Definition of a right angle")</f>
        <v>Definition of a right angle</v>
      </c>
      <c r="AK100" s="13" t="str">
        <f ca="1">IFERROR(__xludf.DUMMYFUNCTION("""COMPUTED_VALUE"""),"LU000970")</f>
        <v>LU000970</v>
      </c>
      <c r="AL100" s="13" t="str">
        <f ca="1">IFERROR(__xludf.DUMMYFUNCTION("""COMPUTED_VALUE"""),"Measurement of length of line segments using ruler")</f>
        <v>Measurement of length of line segments using ruler</v>
      </c>
      <c r="AM100" s="13"/>
      <c r="AN100" s="13"/>
      <c r="AO100" s="13"/>
      <c r="AP100" s="13"/>
      <c r="AQ100" s="13"/>
      <c r="AR100" s="13"/>
      <c r="AS100" s="13"/>
      <c r="AT100" s="13"/>
    </row>
    <row r="101" spans="1:46" ht="53.4">
      <c r="A101" s="8" t="s">
        <v>46</v>
      </c>
      <c r="B101" s="8" t="s">
        <v>47</v>
      </c>
      <c r="C101" s="8" t="s">
        <v>48</v>
      </c>
      <c r="D101" s="8" t="s">
        <v>49</v>
      </c>
      <c r="E101" s="9" t="s">
        <v>195</v>
      </c>
      <c r="F101" s="8" t="s">
        <v>207</v>
      </c>
      <c r="G101" s="19" t="s">
        <v>208</v>
      </c>
      <c r="H101" s="8" t="str">
        <f ca="1">IFERROR(__xludf.DUMMYFUNCTION("VLOOKUP(G101, IMPORTRANGE(""https://docs.google.com/spreadsheets/d/14deopnvwcrKtEGCKuYXdUHJbeLDZlkiSSWWT0g7x2pM/edit#gid=999382323"", ""LU List Maths (Filter)!A:B""), 2, FALSE)"),"Construction of points equidistant from two given points")</f>
        <v>Construction of points equidistant from two given points</v>
      </c>
      <c r="I101" s="10" t="str">
        <f t="shared" si="0"/>
        <v>LU001365.001</v>
      </c>
      <c r="J101" s="10" t="str">
        <f ca="1">IFERROR(__xludf.DUMMYFUNCTION("VLOOKUP(I101, IMPORTRANGE(""https://docs.google.com/spreadsheets/d/1yDAaXNsi4Mr5FtRQL4tbmSdIzhx6_m4wkOD7IG-k_eo/edit#gid=0"", ""Maths!M:N""), 2, FALSE)"),"Recall the method of constructing the perpendicular bisector of a line segment to find points equidistant from two given points.")</f>
        <v>Recall the method of constructing the perpendicular bisector of a line segment to find points equidistant from two given points.</v>
      </c>
      <c r="K101" s="10" t="str">
        <f t="shared" si="1"/>
        <v>LU001365.002</v>
      </c>
      <c r="L101" s="10" t="str">
        <f ca="1">IFERROR(__xludf.DUMMYFUNCTION("VLOOKUP(K101, IMPORTRANGE(""https://docs.google.com/spreadsheets/d/1yDAaXNsi4Mr5FtRQL4tbmSdIzhx6_m4wkOD7IG-k_eo/edit#gid=0"", ""Maths!M:N""), 2, FALSE)"),"Explain how the concept of equidistance is used to construct a larger house where all sides are of same length.")</f>
        <v>Explain how the concept of equidistance is used to construct a larger house where all sides are of same length.</v>
      </c>
      <c r="M101" s="10" t="str">
        <f t="shared" si="2"/>
        <v>LU001365.003</v>
      </c>
      <c r="N101" s="10" t="str">
        <f ca="1">IFERROR(__xludf.DUMMYFUNCTION("VLOOKUP(M101, IMPORTRANGE(""https://docs.google.com/spreadsheets/d/1yDAaXNsi4Mr5FtRQL4tbmSdIzhx6_m4wkOD7IG-k_eo/edit#gid=0"", ""Maths!M:N""), 2, FALSE)"),"Construct a house by accurately locating points equidistant from two given points, ensuring all sides are of equal measure.")</f>
        <v>Construct a house by accurately locating points equidistant from two given points, ensuring all sides are of equal measure.</v>
      </c>
      <c r="O101" s="10" t="str">
        <f t="shared" si="3"/>
        <v>LU001365.004</v>
      </c>
      <c r="P101" s="10" t="str">
        <f ca="1">IFERROR(__xludf.DUMMYFUNCTION("VLOOKUP(O101, IMPORTRANGE(""https://docs.google.com/spreadsheets/d/1yDAaXNsi4Mr5FtRQL4tbmSdIzhx6_m4wkOD7IG-k_eo/edit#gid=0"", ""Maths!M:N""), 2, FALSE)"),"Recreate complex shapes like ‘A Person,’ ‘Wavy Wave,’ and ‘Eyes’ using the principles of equidistant point construction learned from the house construction.")</f>
        <v>Recreate complex shapes like ‘A Person,’ ‘Wavy Wave,’ and ‘Eyes’ using the principles of equidistant point construction learned from the house construction.</v>
      </c>
      <c r="Q101" s="10" t="str">
        <f t="shared" si="4"/>
        <v>LU001365.005</v>
      </c>
      <c r="R101" s="10" t="str">
        <f ca="1">IFERROR(__xludf.DUMMYFUNCTION("VLOOKUP(Q101, IMPORTRANGE(""https://docs.google.com/spreadsheets/d/1yDAaXNsi4Mr5FtRQL4tbmSdIzhx6_m4wkOD7IG-k_eo/edit#gid=0"", ""Maths!M:N""), 2, FALSE)"),"Analyze whether it is possible to construct a four-sided figure where all sides are equal in length but the figure is not a square, and determine the properties of such a figure.")</f>
        <v>Analyze whether it is possible to construct a four-sided figure where all sides are equal in length but the figure is not a square, and determine the properties of such a figure.</v>
      </c>
      <c r="S101" s="10" t="str">
        <f t="shared" si="5"/>
        <v>LU001365.006</v>
      </c>
      <c r="T101" s="10" t="str">
        <f ca="1">IFERROR(__xludf.DUMMYFUNCTION("VLOOKUP(S101, IMPORTRANGE(""https://docs.google.com/spreadsheets/d/1yDAaXNsi4Mr5FtRQL4tbmSdIzhx6_m4wkOD7IG-k_eo/edit#gid=0"", ""Maths!M:N""), 2, FALSE)"),"Design and construct geometric figures based on equidistance, exploring whether non-square quadrilaterals with equal sides can exist and comparing them to squares.")</f>
        <v>Design and construct geometric figures based on equidistance, exploring whether non-square quadrilaterals with equal sides can exist and comparing them to squares.</v>
      </c>
      <c r="U101" s="11">
        <f ca="1">IFERROR(__xludf.DUMMYFUNCTION("ArrayFormula(VLOOKUP(G101, IMPORTRANGE(""https://docs.google.com/spreadsheets/d/1p7R4vtkWt5VOBim4ltsDG9KTzSjrtKXsMtQGXPHyND0/edit#gid=795171502"", ""'Filter 30_05_2024'!A1:M2000""), {2, 3, 4, 5,6,7,8,9,10,11,12,13}, 0))"),4)</f>
        <v>4</v>
      </c>
      <c r="V101" s="11">
        <f ca="1">IFERROR(__xludf.DUMMYFUNCTION("""COMPUTED_VALUE"""),6)</f>
        <v>6</v>
      </c>
      <c r="W101" s="11"/>
      <c r="X101" s="11">
        <f ca="1">IFERROR(__xludf.DUMMYFUNCTION("""COMPUTED_VALUE"""),10)</f>
        <v>10</v>
      </c>
      <c r="Y101" s="11">
        <f ca="1">IFERROR(__xludf.DUMMYFUNCTION("""COMPUTED_VALUE"""),5)</f>
        <v>5</v>
      </c>
      <c r="Z101" s="12">
        <f ca="1">IFERROR(__xludf.DUMMYFUNCTION("""COMPUTED_VALUE"""),3)</f>
        <v>3</v>
      </c>
      <c r="AA101" s="12">
        <f ca="1">IFERROR(__xludf.DUMMYFUNCTION("""COMPUTED_VALUE"""),3)</f>
        <v>3</v>
      </c>
      <c r="AB101" s="12">
        <f ca="1">IFERROR(__xludf.DUMMYFUNCTION("""COMPUTED_VALUE"""),11)</f>
        <v>11</v>
      </c>
      <c r="AC101" s="11"/>
      <c r="AD101" s="12"/>
      <c r="AE101" s="12"/>
      <c r="AF101" s="12"/>
      <c r="AG101" s="13" t="str">
        <f ca="1">IFERROR(__xludf.DUMMYFUNCTION("ArrayFormula(VLOOKUP(G101, IMPORTRANGE(""https://docs.google.com/spreadsheets/d/1Co934fvtviyaRiMsrIlT05Jaq7iiYq07aLvRr35KA48/edit?gid=173865642#gid=173865642"", ""'G6_Maths GP_Pri_LU'!G2:V2000""), {3, 4, 5, 6, 7, 8, 9, 10, 11, 12, 13, 14, 15, 16}, 0))"),"LU000807")</f>
        <v>LU000807</v>
      </c>
      <c r="AH101" s="13" t="str">
        <f ca="1">IFERROR(__xludf.DUMMYFUNCTION("""COMPUTED_VALUE"""),"Construction of a circle with a given radius")</f>
        <v>Construction of a circle with a given radius</v>
      </c>
      <c r="AI101" s="13" t="str">
        <f ca="1">IFERROR(__xludf.DUMMYFUNCTION("""COMPUTED_VALUE"""),"LU000864")</f>
        <v>LU000864</v>
      </c>
      <c r="AJ101" s="13" t="str">
        <f ca="1">IFERROR(__xludf.DUMMYFUNCTION("""COMPUTED_VALUE"""),"Construction of a rectangle of given length and breadth")</f>
        <v>Construction of a rectangle of given length and breadth</v>
      </c>
      <c r="AK101" s="13"/>
      <c r="AL101" s="13"/>
      <c r="AM101" s="13"/>
      <c r="AN101" s="13"/>
      <c r="AO101" s="13"/>
      <c r="AP101" s="13"/>
      <c r="AQ101" s="13"/>
      <c r="AR101" s="13"/>
      <c r="AS101" s="13"/>
      <c r="AT101" s="13"/>
    </row>
    <row r="102" spans="1:46" ht="53.4">
      <c r="A102" s="8" t="s">
        <v>46</v>
      </c>
      <c r="B102" s="8" t="s">
        <v>47</v>
      </c>
      <c r="C102" s="8" t="s">
        <v>48</v>
      </c>
      <c r="D102" s="8" t="s">
        <v>49</v>
      </c>
      <c r="E102" s="8" t="s">
        <v>209</v>
      </c>
      <c r="F102" s="8" t="s">
        <v>210</v>
      </c>
      <c r="G102" s="16" t="s">
        <v>211</v>
      </c>
      <c r="H102" s="8" t="str">
        <f ca="1">IFERROR(__xludf.DUMMYFUNCTION("VLOOKUP(G102, IMPORTRANGE(""https://docs.google.com/spreadsheets/d/14deopnvwcrKtEGCKuYXdUHJbeLDZlkiSSWWT0g7x2pM/edit#gid=999382323"", ""LU List Maths (Filter)!A:B""), 2, FALSE)"),"Definition of symmetry")</f>
        <v>Definition of symmetry</v>
      </c>
      <c r="I102" s="10" t="str">
        <f t="shared" si="0"/>
        <v>LU000789.001</v>
      </c>
      <c r="J102" s="10" t="str">
        <f ca="1">IFERROR(__xludf.DUMMYFUNCTION("VLOOKUP(I102, IMPORTRANGE(""https://docs.google.com/spreadsheets/d/1yDAaXNsi4Mr5FtRQL4tbmSdIzhx6_m4wkOD7IG-k_eo/edit#gid=0"", ""Maths!M:N""), 2, FALSE)"),"State that symmetry is a property in which an object looks the same after a transformation, such as reflection or rotation.")</f>
        <v>State that symmetry is a property in which an object looks the same after a transformation, such as reflection or rotation.</v>
      </c>
      <c r="K102" s="10" t="str">
        <f t="shared" si="1"/>
        <v>LU000789.002</v>
      </c>
      <c r="L102" s="10" t="str">
        <f ca="1">IFERROR(__xludf.DUMMYFUNCTION("VLOOKUP(K102, IMPORTRANGE(""https://docs.google.com/spreadsheets/d/1yDAaXNsi4Mr5FtRQL4tbmSdIzhx6_m4wkOD7IG-k_eo/edit#gid=0"", ""Maths!M:N""), 2, FALSE)"),"Explain why symmetry is an important concept in mathematics and art.")</f>
        <v>Explain why symmetry is an important concept in mathematics and art.</v>
      </c>
      <c r="M102" s="10" t="str">
        <f t="shared" si="2"/>
        <v>LU000789.003</v>
      </c>
      <c r="N102" s="10" t="str">
        <f ca="1">IFERROR(__xludf.DUMMYFUNCTION("VLOOKUP(M102, IMPORTRANGE(""https://docs.google.com/spreadsheets/d/1yDAaXNsi4Mr5FtRQL4tbmSdIzhx6_m4wkOD7IG-k_eo/edit#gid=0"", ""Maths!M:N""), 2, FALSE)"),"Apply the definition of symmetry to identify symmetrical objects in the environment.")</f>
        <v>Apply the definition of symmetry to identify symmetrical objects in the environment.</v>
      </c>
      <c r="O102" s="10" t="str">
        <f t="shared" si="3"/>
        <v>LU000789.004</v>
      </c>
      <c r="P102" s="10" t="str">
        <f ca="1">IFERROR(__xludf.DUMMYFUNCTION("VLOOKUP(O102, IMPORTRANGE(""https://docs.google.com/spreadsheets/d/1yDAaXNsi4Mr5FtRQL4tbmSdIzhx6_m4wkOD7IG-k_eo/edit#gid=0"", ""Maths!M:N""), 2, FALSE)"),"Analyse complex designs to determine the type of symmetry(line and rotational symmetry) they exhibit.")</f>
        <v>Analyse complex designs to determine the type of symmetry(line and rotational symmetry) they exhibit.</v>
      </c>
      <c r="Q102" s="10" t="str">
        <f t="shared" si="4"/>
        <v>LU000789.005</v>
      </c>
      <c r="R102" s="10" t="str">
        <f ca="1">IFERROR(__xludf.DUMMYFUNCTION("VLOOKUP(Q102, IMPORTRANGE(""https://docs.google.com/spreadsheets/d/1yDAaXNsi4Mr5FtRQL4tbmSdIzhx6_m4wkOD7IG-k_eo/edit#gid=0"", ""Maths!M:N""), 2, FALSE)"),"Evaluate the effectiveness of symmetry in creating balance and beauty in art.")</f>
        <v>Evaluate the effectiveness of symmetry in creating balance and beauty in art.</v>
      </c>
      <c r="S102" s="10" t="str">
        <f t="shared" si="5"/>
        <v>LU000789.006</v>
      </c>
      <c r="T102" s="10" t="str">
        <f ca="1">IFERROR(__xludf.DUMMYFUNCTION("VLOOKUP(S102, IMPORTRANGE(""https://docs.google.com/spreadsheets/d/1yDAaXNsi4Mr5FtRQL4tbmSdIzhx6_m4wkOD7IG-k_eo/edit#gid=0"", ""Maths!M:N""), 2, FALSE)"),"Generate original symmetrical designs using various symmetry techniques.")</f>
        <v>Generate original symmetrical designs using various symmetry techniques.</v>
      </c>
      <c r="U102" s="11">
        <f ca="1">IFERROR(__xludf.DUMMYFUNCTION("ArrayFormula(VLOOKUP(G102, IMPORTRANGE(""https://docs.google.com/spreadsheets/d/1p7R4vtkWt5VOBim4ltsDG9KTzSjrtKXsMtQGXPHyND0/edit#gid=795171502"", ""'Filter 30_05_2024'!A1:M2000""), {2, 3, 4, 5,6,7,8,9,10,11,12,13}, 0))"),2)</f>
        <v>2</v>
      </c>
      <c r="V102" s="11">
        <f ca="1">IFERROR(__xludf.DUMMYFUNCTION("""COMPUTED_VALUE"""),6)</f>
        <v>6</v>
      </c>
      <c r="W102" s="11">
        <f ca="1">IFERROR(__xludf.DUMMYFUNCTION("""COMPUTED_VALUE"""),2)</f>
        <v>2</v>
      </c>
      <c r="X102" s="11">
        <f ca="1">IFERROR(__xludf.DUMMYFUNCTION("""COMPUTED_VALUE"""),10)</f>
        <v>10</v>
      </c>
      <c r="Y102" s="11">
        <f ca="1">IFERROR(__xludf.DUMMYFUNCTION("""COMPUTED_VALUE"""),6)</f>
        <v>6</v>
      </c>
      <c r="Z102" s="12">
        <f ca="1">IFERROR(__xludf.DUMMYFUNCTION("""COMPUTED_VALUE"""),3)</f>
        <v>3</v>
      </c>
      <c r="AA102" s="12">
        <f ca="1">IFERROR(__xludf.DUMMYFUNCTION("""COMPUTED_VALUE"""),1)</f>
        <v>1</v>
      </c>
      <c r="AB102" s="12">
        <f ca="1">IFERROR(__xludf.DUMMYFUNCTION("""COMPUTED_VALUE"""),10)</f>
        <v>10</v>
      </c>
      <c r="AC102" s="11"/>
      <c r="AD102" s="12"/>
      <c r="AE102" s="12"/>
      <c r="AF102" s="12"/>
      <c r="AG102" s="13" t="str">
        <f ca="1">IFERROR(__xludf.DUMMYFUNCTION("ArrayFormula(VLOOKUP(G102, IMPORTRANGE(""https://docs.google.com/spreadsheets/d/1Co934fvtviyaRiMsrIlT05Jaq7iiYq07aLvRr35KA48/edit?gid=173865642#gid=173865642"", ""'G6_Maths GP_Pri_LU'!G2:V2000""), {3, 4, 5, 6, 7, 8, 9, 10, 11, 12, 13, 14, 15, 16}, 0))"),"LU000079")</f>
        <v>LU000079</v>
      </c>
      <c r="AH102" s="13" t="str">
        <f ca="1">IFERROR(__xludf.DUMMYFUNCTION("""COMPUTED_VALUE"""),"Definition of 2D shapes")</f>
        <v>Definition of 2D shapes</v>
      </c>
      <c r="AI102" s="13"/>
      <c r="AJ102" s="13"/>
      <c r="AK102" s="13"/>
      <c r="AL102" s="13"/>
      <c r="AM102" s="13"/>
      <c r="AN102" s="13"/>
      <c r="AO102" s="13"/>
      <c r="AP102" s="13"/>
      <c r="AQ102" s="13"/>
      <c r="AR102" s="13"/>
      <c r="AS102" s="13"/>
      <c r="AT102" s="13"/>
    </row>
    <row r="103" spans="1:46" ht="53.4">
      <c r="A103" s="8" t="s">
        <v>46</v>
      </c>
      <c r="B103" s="8" t="s">
        <v>47</v>
      </c>
      <c r="C103" s="8" t="s">
        <v>48</v>
      </c>
      <c r="D103" s="8" t="s">
        <v>49</v>
      </c>
      <c r="E103" s="8" t="s">
        <v>209</v>
      </c>
      <c r="F103" s="8" t="s">
        <v>210</v>
      </c>
      <c r="G103" s="16" t="s">
        <v>212</v>
      </c>
      <c r="H103" s="8" t="str">
        <f ca="1">IFERROR(__xludf.DUMMYFUNCTION("VLOOKUP(G103, IMPORTRANGE(""https://docs.google.com/spreadsheets/d/14deopnvwcrKtEGCKuYXdUHJbeLDZlkiSSWWT0g7x2pM/edit#gid=999382323"", ""LU List Maths (Filter)!A:B""), 2, FALSE)"),"Lexical explanation of line symmetry")</f>
        <v>Lexical explanation of line symmetry</v>
      </c>
      <c r="I103" s="10" t="str">
        <f t="shared" si="0"/>
        <v>LU000790.001</v>
      </c>
      <c r="J103" s="10" t="str">
        <f ca="1">IFERROR(__xludf.DUMMYFUNCTION("VLOOKUP(I103, IMPORTRANGE(""https://docs.google.com/spreadsheets/d/1yDAaXNsi4Mr5FtRQL4tbmSdIzhx6_m4wkOD7IG-k_eo/edit#gid=0"", ""Maths!M:N""), 2, FALSE)"),"State that line symmetry is a property of an object where it can be divided into two equal halves by a single straight line.")</f>
        <v>State that line symmetry is a property of an object where it can be divided into two equal halves by a single straight line.</v>
      </c>
      <c r="K103" s="10" t="str">
        <f t="shared" si="1"/>
        <v>LU000790.002</v>
      </c>
      <c r="L103" s="10" t="str">
        <f ca="1">IFERROR(__xludf.DUMMYFUNCTION("VLOOKUP(K103, IMPORTRANGE(""https://docs.google.com/spreadsheets/d/1yDAaXNsi4Mr5FtRQL4tbmSdIzhx6_m4wkOD7IG-k_eo/edit#gid=0"", ""Maths!M:N""), 2, FALSE)"),"Describe how objects with line symmetry can be folded along the line of symmetry to match the two halves like a reflection in a mirror.")</f>
        <v>Describe how objects with line symmetry can be folded along the line of symmetry to match the two halves like a reflection in a mirror.</v>
      </c>
      <c r="M103" s="10" t="str">
        <f t="shared" si="2"/>
        <v>LU000790.003</v>
      </c>
      <c r="N103" s="10" t="str">
        <f ca="1">IFERROR(__xludf.DUMMYFUNCTION("VLOOKUP(M103, IMPORTRANGE(""https://docs.google.com/spreadsheets/d/1yDAaXNsi4Mr5FtRQL4tbmSdIzhx6_m4wkOD7IG-k_eo/edit#gid=0"", ""Maths!M:N""), 2, FALSE)"),"Identify line of symmetry(horizontal or vertical) in various geometric shapes and explain why they have this property.")</f>
        <v>Identify line of symmetry(horizontal or vertical) in various geometric shapes and explain why they have this property.</v>
      </c>
      <c r="O103" s="10" t="str">
        <f t="shared" si="3"/>
        <v>LU000790.004</v>
      </c>
      <c r="P103" s="10" t="str">
        <f ca="1">IFERROR(__xludf.DUMMYFUNCTION("VLOOKUP(O103, IMPORTRANGE(""https://docs.google.com/spreadsheets/d/1yDAaXNsi4Mr5FtRQL4tbmSdIzhx6_m4wkOD7IG-k_eo/edit#gid=0"", ""Maths!M:N""), 2, FALSE)"),"Examine a decorative pattern and identify its line of symmetry, explaining how the pattern is symmetric with respect to that line.")</f>
        <v>Examine a decorative pattern and identify its line of symmetry, explaining how the pattern is symmetric with respect to that line.</v>
      </c>
      <c r="Q103" s="10" t="str">
        <f t="shared" si="4"/>
        <v>LU000790.005</v>
      </c>
      <c r="R103" s="10" t="str">
        <f ca="1">IFERROR(__xludf.DUMMYFUNCTION("VLOOKUP(Q103, IMPORTRANGE(""https://docs.google.com/spreadsheets/d/1yDAaXNsi4Mr5FtRQL4tbmSdIzhx6_m4wkOD7IG-k_eo/edit#gid=0"", ""Maths!M:N""), 2, FALSE)"),"Evaluate the significance of line symmetry in art and design.")</f>
        <v>Evaluate the significance of line symmetry in art and design.</v>
      </c>
      <c r="S103" s="10" t="str">
        <f t="shared" si="5"/>
        <v>LU000790.006</v>
      </c>
      <c r="T103" s="10" t="str">
        <f ca="1">IFERROR(__xludf.DUMMYFUNCTION("VLOOKUP(S103, IMPORTRANGE(""https://docs.google.com/spreadsheets/d/1yDAaXNsi4Mr5FtRQL4tbmSdIzhx6_m4wkOD7IG-k_eo/edit#gid=0"", ""Maths!M:N""), 2, FALSE)"),"Design a symmetrical pattern that combines multiple lines of symmetry to form an intricate, visually appealing artwork.")</f>
        <v>Design a symmetrical pattern that combines multiple lines of symmetry to form an intricate, visually appealing artwork.</v>
      </c>
      <c r="U103" s="11">
        <f ca="1">IFERROR(__xludf.DUMMYFUNCTION("ArrayFormula(VLOOKUP(G103, IMPORTRANGE(""https://docs.google.com/spreadsheets/d/1p7R4vtkWt5VOBim4ltsDG9KTzSjrtKXsMtQGXPHyND0/edit#gid=795171502"", ""'Filter 30_05_2024'!A1:M2000""), {2, 3, 4, 5,6,7,8,9,10,11,12,13}, 0))"),4)</f>
        <v>4</v>
      </c>
      <c r="V103" s="11">
        <f ca="1">IFERROR(__xludf.DUMMYFUNCTION("""COMPUTED_VALUE"""),6)</f>
        <v>6</v>
      </c>
      <c r="W103" s="11">
        <f ca="1">IFERROR(__xludf.DUMMYFUNCTION("""COMPUTED_VALUE"""),2)</f>
        <v>2</v>
      </c>
      <c r="X103" s="11">
        <f ca="1">IFERROR(__xludf.DUMMYFUNCTION("""COMPUTED_VALUE"""),12)</f>
        <v>12</v>
      </c>
      <c r="Y103" s="11">
        <f ca="1">IFERROR(__xludf.DUMMYFUNCTION("""COMPUTED_VALUE"""),4)</f>
        <v>4</v>
      </c>
      <c r="Z103" s="12">
        <f ca="1">IFERROR(__xludf.DUMMYFUNCTION("""COMPUTED_VALUE"""),3)</f>
        <v>3</v>
      </c>
      <c r="AA103" s="12">
        <f ca="1">IFERROR(__xludf.DUMMYFUNCTION("""COMPUTED_VALUE"""),1)</f>
        <v>1</v>
      </c>
      <c r="AB103" s="12">
        <f ca="1">IFERROR(__xludf.DUMMYFUNCTION("""COMPUTED_VALUE"""),8)</f>
        <v>8</v>
      </c>
      <c r="AC103" s="11"/>
      <c r="AD103" s="12"/>
      <c r="AE103" s="12"/>
      <c r="AF103" s="12"/>
      <c r="AG103" s="13" t="str">
        <f ca="1">IFERROR(__xludf.DUMMYFUNCTION("ArrayFormula(VLOOKUP(G103, IMPORTRANGE(""https://docs.google.com/spreadsheets/d/1Co934fvtviyaRiMsrIlT05Jaq7iiYq07aLvRr35KA48/edit?gid=173865642#gid=173865642"", ""'G6_Maths GP_Pri_LU'!G2:V2000""), {3, 4, 5, 6, 7, 8, 9, 10, 11, 12, 13, 14, 15, 16}, 0))"),"LU000789")</f>
        <v>LU000789</v>
      </c>
      <c r="AH103" s="13" t="str">
        <f ca="1">IFERROR(__xludf.DUMMYFUNCTION("""COMPUTED_VALUE"""),"Definition of symmetry")</f>
        <v>Definition of symmetry</v>
      </c>
      <c r="AI103" s="13" t="str">
        <f ca="1">IFERROR(__xludf.DUMMYFUNCTION("""COMPUTED_VALUE"""),"LU000052")</f>
        <v>LU000052</v>
      </c>
      <c r="AJ103" s="13" t="str">
        <f ca="1">IFERROR(__xludf.DUMMYFUNCTION("""COMPUTED_VALUE"""),"Mirror line for a shape")</f>
        <v>Mirror line for a shape</v>
      </c>
      <c r="AK103" s="13"/>
      <c r="AL103" s="13"/>
      <c r="AM103" s="13"/>
      <c r="AN103" s="13"/>
      <c r="AO103" s="13"/>
      <c r="AP103" s="13"/>
      <c r="AQ103" s="13"/>
      <c r="AR103" s="13"/>
      <c r="AS103" s="13"/>
      <c r="AT103" s="13"/>
    </row>
    <row r="104" spans="1:46" ht="53.4">
      <c r="A104" s="8" t="s">
        <v>46</v>
      </c>
      <c r="B104" s="8" t="s">
        <v>47</v>
      </c>
      <c r="C104" s="8" t="s">
        <v>48</v>
      </c>
      <c r="D104" s="8" t="s">
        <v>49</v>
      </c>
      <c r="E104" s="8" t="s">
        <v>209</v>
      </c>
      <c r="F104" s="8" t="s">
        <v>210</v>
      </c>
      <c r="G104" s="16" t="s">
        <v>213</v>
      </c>
      <c r="H104" s="8" t="str">
        <f ca="1">IFERROR(__xludf.DUMMYFUNCTION("VLOOKUP(G104, IMPORTRANGE(""https://docs.google.com/spreadsheets/d/14deopnvwcrKtEGCKuYXdUHJbeLDZlkiSSWWT0g7x2pM/edit#gid=999382323"", ""LU List Maths (Filter)!A:B""), 2, FALSE)"),"Relationship between mirror reflection and line symmetry")</f>
        <v>Relationship between mirror reflection and line symmetry</v>
      </c>
      <c r="I104" s="10" t="str">
        <f t="shared" si="0"/>
        <v>LU000900.001</v>
      </c>
      <c r="J104" s="10" t="str">
        <f ca="1">IFERROR(__xludf.DUMMYFUNCTION("VLOOKUP(I104, IMPORTRANGE(""https://docs.google.com/spreadsheets/d/1yDAaXNsi4Mr5FtRQL4tbmSdIzhx6_m4wkOD7IG-k_eo/edit#gid=0"", ""Maths!M:N""), 2, FALSE)"),"State the definitions of mirror reflection and line symmetry and distinguish between these two types of symmetry.")</f>
        <v>State the definitions of mirror reflection and line symmetry and distinguish between these two types of symmetry.</v>
      </c>
      <c r="K104" s="10" t="str">
        <f t="shared" si="1"/>
        <v>LU000900.002</v>
      </c>
      <c r="L104" s="10" t="str">
        <f ca="1">IFERROR(__xludf.DUMMYFUNCTION("VLOOKUP(K104, IMPORTRANGE(""https://docs.google.com/spreadsheets/d/1yDAaXNsi4Mr5FtRQL4tbmSdIzhx6_m4wkOD7IG-k_eo/edit#gid=0"", ""Maths!M:N""), 2, FALSE)"),"Explain the fundamental differences and similarities between mirror reflection and line symmetry")</f>
        <v>Explain the fundamental differences and similarities between mirror reflection and line symmetry</v>
      </c>
      <c r="M104" s="10" t="str">
        <f t="shared" si="2"/>
        <v>LU000900.003</v>
      </c>
      <c r="N104" s="10" t="str">
        <f ca="1">IFERROR(__xludf.DUMMYFUNCTION("VLOOKUP(M104, IMPORTRANGE(""https://docs.google.com/spreadsheets/d/1yDAaXNsi4Mr5FtRQL4tbmSdIzhx6_m4wkOD7IG-k_eo/edit#gid=0"", ""Maths!M:N""), 2, FALSE)"),"Apply knowledge of mirror reflection and line symmetry to identify examples of each in various geometric shapes and everyday objects.")</f>
        <v>Apply knowledge of mirror reflection and line symmetry to identify examples of each in various geometric shapes and everyday objects.</v>
      </c>
      <c r="O104" s="10" t="str">
        <f t="shared" si="3"/>
        <v>LU000900.004</v>
      </c>
      <c r="P104" s="10" t="str">
        <f ca="1">IFERROR(__xludf.DUMMYFUNCTION("VLOOKUP(O104, IMPORTRANGE(""https://docs.google.com/spreadsheets/d/1yDAaXNsi4Mr5FtRQL4tbmSdIzhx6_m4wkOD7IG-k_eo/edit#gid=0"", ""Maths!M:N""), 2, FALSE)"),"Analyze complex patterns or designs to determine whether they exhibit mirror reflection, line symmetry, both, or neither")</f>
        <v>Analyze complex patterns or designs to determine whether they exhibit mirror reflection, line symmetry, both, or neither</v>
      </c>
      <c r="Q104" s="10" t="str">
        <f t="shared" si="4"/>
        <v>LU000900.005</v>
      </c>
      <c r="R104" s="10" t="str">
        <f ca="1">IFERROR(__xludf.DUMMYFUNCTION("VLOOKUP(Q104, IMPORTRANGE(""https://docs.google.com/spreadsheets/d/1yDAaXNsi4Mr5FtRQL4tbmSdIzhx6_m4wkOD7IG-k_eo/edit#gid=0"", ""Maths!M:N""), 2, FALSE)"),"Evaluate the importance of understanding both mirror reflection and line symmetry in geometry and design")</f>
        <v>Evaluate the importance of understanding both mirror reflection and line symmetry in geometry and design</v>
      </c>
      <c r="S104" s="10" t="str">
        <f t="shared" si="5"/>
        <v>LU000900.006</v>
      </c>
      <c r="T104" s="10" t="str">
        <f ca="1">IFERROR(__xludf.DUMMYFUNCTION("VLOOKUP(S104, IMPORTRANGE(""https://docs.google.com/spreadsheets/d/1yDAaXNsi4Mr5FtRQL4tbmSdIzhx6_m4wkOD7IG-k_eo/edit#gid=0"", ""Maths!M:N""), 2, FALSE)"),"Create a visual presentation or diagram that illustrates the relationship between mirror reflection and line symmetry, showcasing their connections and distinctions effectively.")</f>
        <v>Create a visual presentation or diagram that illustrates the relationship between mirror reflection and line symmetry, showcasing their connections and distinctions effectively.</v>
      </c>
      <c r="U104" s="11">
        <f ca="1">IFERROR(__xludf.DUMMYFUNCTION("ArrayFormula(VLOOKUP(G104, IMPORTRANGE(""https://docs.google.com/spreadsheets/d/1p7R4vtkWt5VOBim4ltsDG9KTzSjrtKXsMtQGXPHyND0/edit#gid=795171502"", ""'Filter 30_05_2024'!A1:M2000""), {2, 3, 4, 5,6,7,8,9,10,11,12,13}, 0))"),4)</f>
        <v>4</v>
      </c>
      <c r="V104" s="11">
        <f ca="1">IFERROR(__xludf.DUMMYFUNCTION("""COMPUTED_VALUE"""),3)</f>
        <v>3</v>
      </c>
      <c r="W104" s="11">
        <f ca="1">IFERROR(__xludf.DUMMYFUNCTION("""COMPUTED_VALUE"""),2)</f>
        <v>2</v>
      </c>
      <c r="X104" s="11">
        <f ca="1">IFERROR(__xludf.DUMMYFUNCTION("""COMPUTED_VALUE"""),9)</f>
        <v>9</v>
      </c>
      <c r="Y104" s="11">
        <f ca="1">IFERROR(__xludf.DUMMYFUNCTION("""COMPUTED_VALUE"""),4)</f>
        <v>4</v>
      </c>
      <c r="Z104" s="12">
        <f ca="1">IFERROR(__xludf.DUMMYFUNCTION("""COMPUTED_VALUE"""),6)</f>
        <v>6</v>
      </c>
      <c r="AA104" s="12">
        <f ca="1">IFERROR(__xludf.DUMMYFUNCTION("""COMPUTED_VALUE"""),1)</f>
        <v>1</v>
      </c>
      <c r="AB104" s="12">
        <f ca="1">IFERROR(__xludf.DUMMYFUNCTION("""COMPUTED_VALUE"""),11)</f>
        <v>11</v>
      </c>
      <c r="AC104" s="11"/>
      <c r="AD104" s="12"/>
      <c r="AE104" s="12"/>
      <c r="AF104" s="12"/>
      <c r="AG104" s="13" t="str">
        <f ca="1">IFERROR(__xludf.DUMMYFUNCTION("ArrayFormula(VLOOKUP(G104, IMPORTRANGE(""https://docs.google.com/spreadsheets/d/1Co934fvtviyaRiMsrIlT05Jaq7iiYq07aLvRr35KA48/edit?gid=173865642#gid=173865642"", ""'G6_Maths GP_Pri_LU'!G2:V2000""), {3, 4, 5, 6, 7, 8, 9, 10, 11, 12, 13, 14, 15, 16}, 0))"),"LU000052")</f>
        <v>LU000052</v>
      </c>
      <c r="AH104" s="13" t="str">
        <f ca="1">IFERROR(__xludf.DUMMYFUNCTION("""COMPUTED_VALUE"""),"Mirror line for a shape")</f>
        <v>Mirror line for a shape</v>
      </c>
      <c r="AI104" s="13" t="str">
        <f ca="1">IFERROR(__xludf.DUMMYFUNCTION("""COMPUTED_VALUE"""),"LU000789")</f>
        <v>LU000789</v>
      </c>
      <c r="AJ104" s="13" t="str">
        <f ca="1">IFERROR(__xludf.DUMMYFUNCTION("""COMPUTED_VALUE"""),"Definition of symmetry")</f>
        <v>Definition of symmetry</v>
      </c>
      <c r="AK104" s="13" t="str">
        <f ca="1">IFERROR(__xludf.DUMMYFUNCTION("""COMPUTED_VALUE"""),"LU000886")</f>
        <v>LU000886</v>
      </c>
      <c r="AL104" s="13" t="str">
        <f ca="1">IFERROR(__xludf.DUMMYFUNCTION("""COMPUTED_VALUE"""),"Definition of mirror image")</f>
        <v>Definition of mirror image</v>
      </c>
      <c r="AM104" s="13"/>
      <c r="AN104" s="13"/>
      <c r="AO104" s="13"/>
      <c r="AP104" s="13"/>
      <c r="AQ104" s="13"/>
      <c r="AR104" s="13"/>
      <c r="AS104" s="13"/>
      <c r="AT104" s="13"/>
    </row>
    <row r="105" spans="1:46" ht="40.200000000000003">
      <c r="A105" s="8" t="s">
        <v>46</v>
      </c>
      <c r="B105" s="8" t="s">
        <v>47</v>
      </c>
      <c r="C105" s="8" t="s">
        <v>48</v>
      </c>
      <c r="D105" s="8" t="s">
        <v>49</v>
      </c>
      <c r="E105" s="8" t="s">
        <v>209</v>
      </c>
      <c r="F105" s="8" t="s">
        <v>214</v>
      </c>
      <c r="G105" s="16" t="s">
        <v>215</v>
      </c>
      <c r="H105" s="8" t="str">
        <f ca="1">IFERROR(__xludf.DUMMYFUNCTION("VLOOKUP(G105, IMPORTRANGE(""https://docs.google.com/spreadsheets/d/14deopnvwcrKtEGCKuYXdUHJbeLDZlkiSSWWT0g7x2pM/edit#gid=999382323"", ""LU List Maths (Filter)!A:B""), 2, FALSE)"),"Line of symmetry for regular polygons")</f>
        <v>Line of symmetry for regular polygons</v>
      </c>
      <c r="I105" s="10" t="str">
        <f t="shared" si="0"/>
        <v>LU000791.001</v>
      </c>
      <c r="J105" s="10" t="str">
        <f ca="1">IFERROR(__xludf.DUMMYFUNCTION("VLOOKUP(I105, IMPORTRANGE(""https://docs.google.com/spreadsheets/d/1yDAaXNsi4Mr5FtRQL4tbmSdIzhx6_m4wkOD7IG-k_eo/edit#gid=0"", ""Maths!M:N""), 2, FALSE)"),"State that a line of symmetry in a regular polygon divides it into two identical, mirror-image halves.")</f>
        <v>State that a line of symmetry in a regular polygon divides it into two identical, mirror-image halves.</v>
      </c>
      <c r="K105" s="10" t="str">
        <f t="shared" si="1"/>
        <v>LU000791.002</v>
      </c>
      <c r="L105" s="10" t="str">
        <f ca="1">IFERROR(__xludf.DUMMYFUNCTION("VLOOKUP(K105, IMPORTRANGE(""https://docs.google.com/spreadsheets/d/1yDAaXNsi4Mr5FtRQL4tbmSdIzhx6_m4wkOD7IG-k_eo/edit#gid=0"", ""Maths!M:N""), 2, FALSE)"),"Describe how the number of sides in a regular polygon determines the number of lines of symmetry it possesses.")</f>
        <v>Describe how the number of sides in a regular polygon determines the number of lines of symmetry it possesses.</v>
      </c>
      <c r="M105" s="10" t="str">
        <f t="shared" si="2"/>
        <v>LU000791.003</v>
      </c>
      <c r="N105" s="10" t="str">
        <f ca="1">IFERROR(__xludf.DUMMYFUNCTION("VLOOKUP(M105, IMPORTRANGE(""https://docs.google.com/spreadsheets/d/1yDAaXNsi4Mr5FtRQL4tbmSdIzhx6_m4wkOD7IG-k_eo/edit#gid=0"", ""Maths!M:N""), 2, FALSE)"),"Draw lines of symmetry for a regular polygon, demonstrating an understanding of their properties.")</f>
        <v>Draw lines of symmetry for a regular polygon, demonstrating an understanding of their properties.</v>
      </c>
      <c r="O105" s="10" t="str">
        <f t="shared" si="3"/>
        <v>LU000791.004</v>
      </c>
      <c r="P105" s="10" t="str">
        <f ca="1">IFERROR(__xludf.DUMMYFUNCTION("VLOOKUP(O105, IMPORTRANGE(""https://docs.google.com/spreadsheets/d/1yDAaXNsi4Mr5FtRQL4tbmSdIzhx6_m4wkOD7IG-k_eo/edit#gid=0"", ""Maths!M:N""), 2, FALSE)"),"Examine an irregular polygon and explain why it may or may not have a line of symmetry, based on its shape and angles.")</f>
        <v>Examine an irregular polygon and explain why it may or may not have a line of symmetry, based on its shape and angles.</v>
      </c>
      <c r="Q105" s="10" t="str">
        <f t="shared" si="4"/>
        <v>LU000791.005</v>
      </c>
      <c r="R105" s="10" t="str">
        <f ca="1">IFERROR(__xludf.DUMMYFUNCTION("VLOOKUP(Q105, IMPORTRANGE(""https://docs.google.com/spreadsheets/d/1yDAaXNsi4Mr5FtRQL4tbmSdIzhx6_m4wkOD7IG-k_eo/edit#gid=0"", ""Maths!M:N""), 2, FALSE)"),"Evaluate the role of lines of symmetry in the aesthetic design of regular polygons.")</f>
        <v>Evaluate the role of lines of symmetry in the aesthetic design of regular polygons.</v>
      </c>
      <c r="S105" s="10" t="str">
        <f t="shared" si="5"/>
        <v>LU000791.006</v>
      </c>
      <c r="T105" s="10" t="str">
        <f ca="1">IFERROR(__xludf.DUMMYFUNCTION("VLOOKUP(S105, IMPORTRANGE(""https://docs.google.com/spreadsheets/d/1yDAaXNsi4Mr5FtRQL4tbmSdIzhx6_m4wkOD7IG-k_eo/edit#gid=0"", ""Maths!M:N""), 2, FALSE)"),"Generate original regular polygon designs, emphasizing their lines of symmetry.")</f>
        <v>Generate original regular polygon designs, emphasizing their lines of symmetry.</v>
      </c>
      <c r="U105" s="11">
        <f ca="1">IFERROR(__xludf.DUMMYFUNCTION("ArrayFormula(VLOOKUP(G105, IMPORTRANGE(""https://docs.google.com/spreadsheets/d/1p7R4vtkWt5VOBim4ltsDG9KTzSjrtKXsMtQGXPHyND0/edit#gid=795171502"", ""'Filter 30_05_2024'!A1:M2000""), {2, 3, 4, 5,6,7,8,9,10,11,12,13}, 0))"),3)</f>
        <v>3</v>
      </c>
      <c r="V105" s="11">
        <f ca="1">IFERROR(__xludf.DUMMYFUNCTION("""COMPUTED_VALUE"""),6)</f>
        <v>6</v>
      </c>
      <c r="W105" s="11">
        <f ca="1">IFERROR(__xludf.DUMMYFUNCTION("""COMPUTED_VALUE"""),2)</f>
        <v>2</v>
      </c>
      <c r="X105" s="11">
        <f ca="1">IFERROR(__xludf.DUMMYFUNCTION("""COMPUTED_VALUE"""),11)</f>
        <v>11</v>
      </c>
      <c r="Y105" s="11">
        <f ca="1">IFERROR(__xludf.DUMMYFUNCTION("""COMPUTED_VALUE"""),5)</f>
        <v>5</v>
      </c>
      <c r="Z105" s="12">
        <f ca="1">IFERROR(__xludf.DUMMYFUNCTION("""COMPUTED_VALUE"""),3)</f>
        <v>3</v>
      </c>
      <c r="AA105" s="12">
        <f ca="1">IFERROR(__xludf.DUMMYFUNCTION("""COMPUTED_VALUE"""),1)</f>
        <v>1</v>
      </c>
      <c r="AB105" s="12">
        <f ca="1">IFERROR(__xludf.DUMMYFUNCTION("""COMPUTED_VALUE"""),9)</f>
        <v>9</v>
      </c>
      <c r="AC105" s="11"/>
      <c r="AD105" s="12"/>
      <c r="AE105" s="12"/>
      <c r="AF105" s="12"/>
      <c r="AG105" s="13" t="str">
        <f ca="1">IFERROR(__xludf.DUMMYFUNCTION("ArrayFormula(VLOOKUP(G105, IMPORTRANGE(""https://docs.google.com/spreadsheets/d/1Co934fvtviyaRiMsrIlT05Jaq7iiYq07aLvRr35KA48/edit?gid=173865642#gid=173865642"", ""'G6_Maths GP_Pri_LU'!G2:V2000""), {3, 4, 5, 6, 7, 8, 9, 10, 11, 12, 13, 14, 15, 16}, 0))"),"LU000905")</f>
        <v>LU000905</v>
      </c>
      <c r="AH105" s="13" t="str">
        <f ca="1">IFERROR(__xludf.DUMMYFUNCTION("""COMPUTED_VALUE"""),"Definition of regular and irregular polygon")</f>
        <v>Definition of regular and irregular polygon</v>
      </c>
      <c r="AI105" s="13" t="str">
        <f ca="1">IFERROR(__xludf.DUMMYFUNCTION("""COMPUTED_VALUE"""),"LU000789")</f>
        <v>LU000789</v>
      </c>
      <c r="AJ105" s="13" t="str">
        <f ca="1">IFERROR(__xludf.DUMMYFUNCTION("""COMPUTED_VALUE"""),"Definition of symmetry")</f>
        <v>Definition of symmetry</v>
      </c>
      <c r="AK105" s="13"/>
      <c r="AL105" s="13"/>
      <c r="AM105" s="13"/>
      <c r="AN105" s="13"/>
      <c r="AO105" s="13"/>
      <c r="AP105" s="13"/>
      <c r="AQ105" s="13"/>
      <c r="AR105" s="13"/>
      <c r="AS105" s="13"/>
      <c r="AT105" s="13"/>
    </row>
    <row r="106" spans="1:46" ht="40.200000000000003">
      <c r="A106" s="8" t="s">
        <v>46</v>
      </c>
      <c r="B106" s="8" t="s">
        <v>47</v>
      </c>
      <c r="C106" s="8" t="s">
        <v>48</v>
      </c>
      <c r="D106" s="8" t="s">
        <v>49</v>
      </c>
      <c r="E106" s="8" t="s">
        <v>209</v>
      </c>
      <c r="F106" s="8" t="s">
        <v>214</v>
      </c>
      <c r="G106" s="16" t="s">
        <v>216</v>
      </c>
      <c r="H106" s="8" t="str">
        <f ca="1">IFERROR(__xludf.DUMMYFUNCTION("VLOOKUP(G106, IMPORTRANGE(""https://docs.google.com/spreadsheets/d/14deopnvwcrKtEGCKuYXdUHJbeLDZlkiSSWWT0g7x2pM/edit#gid=999382323"", ""LU List Maths (Filter)!A:B""), 2, FALSE)"),"Line of symmetry for figures")</f>
        <v>Line of symmetry for figures</v>
      </c>
      <c r="I106" s="10" t="str">
        <f t="shared" si="0"/>
        <v>LU000796.001</v>
      </c>
      <c r="J106" s="10" t="str">
        <f ca="1">IFERROR(__xludf.DUMMYFUNCTION("VLOOKUP(I106, IMPORTRANGE(""https://docs.google.com/spreadsheets/d/1yDAaXNsi4Mr5FtRQL4tbmSdIzhx6_m4wkOD7IG-k_eo/edit#gid=0"", ""Maths!M:N""), 2, FALSE)"),"State that a line of symmetry is a straight line that divides a figure into two equal and mirror-image halves.")</f>
        <v>State that a line of symmetry is a straight line that divides a figure into two equal and mirror-image halves.</v>
      </c>
      <c r="K106" s="10" t="str">
        <f t="shared" si="1"/>
        <v>LU000796.002</v>
      </c>
      <c r="L106" s="10" t="str">
        <f ca="1">IFERROR(__xludf.DUMMYFUNCTION("VLOOKUP(K106, IMPORTRANGE(""https://docs.google.com/spreadsheets/d/1yDAaXNsi4Mr5FtRQL4tbmSdIzhx6_m4wkOD7IG-k_eo/edit#gid=0"", ""Maths!M:N""), 2, FALSE)"),"Describe how recognising lines of symmetry helps in classifying and comparing different shapes and patterns.")</f>
        <v>Describe how recognising lines of symmetry helps in classifying and comparing different shapes and patterns.</v>
      </c>
      <c r="M106" s="10" t="str">
        <f t="shared" si="2"/>
        <v>LU000796.003</v>
      </c>
      <c r="N106" s="10" t="str">
        <f ca="1">IFERROR(__xludf.DUMMYFUNCTION("VLOOKUP(M106, IMPORTRANGE(""https://docs.google.com/spreadsheets/d/1yDAaXNsi4Mr5FtRQL4tbmSdIzhx6_m4wkOD7IG-k_eo/edit#gid=0"", ""Maths!M:N""), 2, FALSE)"),"Apply knowledge of lines of symmetry to identify and draw lines of symmetry for various figures.")</f>
        <v>Apply knowledge of lines of symmetry to identify and draw lines of symmetry for various figures.</v>
      </c>
      <c r="O106" s="10" t="str">
        <f t="shared" si="3"/>
        <v>LU000796.004</v>
      </c>
      <c r="P106" s="10" t="str">
        <f ca="1">IFERROR(__xludf.DUMMYFUNCTION("VLOOKUP(O106, IMPORTRANGE(""https://docs.google.com/spreadsheets/d/1yDAaXNsi4Mr5FtRQL4tbmSdIzhx6_m4wkOD7IG-k_eo/edit#gid=0"", ""Maths!M:N""), 2, FALSE)"),"Analyse complex figures to determine the presence and location of lines of symmetry.")</f>
        <v>Analyse complex figures to determine the presence and location of lines of symmetry.</v>
      </c>
      <c r="Q106" s="10" t="str">
        <f t="shared" si="4"/>
        <v>LU000796.005</v>
      </c>
      <c r="R106" s="10" t="str">
        <f ca="1">IFERROR(__xludf.DUMMYFUNCTION("VLOOKUP(Q106, IMPORTRANGE(""https://docs.google.com/spreadsheets/d/1yDAaXNsi4Mr5FtRQL4tbmSdIzhx6_m4wkOD7IG-k_eo/edit#gid=0"", ""Maths!M:N""), 2, FALSE)"),"Draw the shape with the given line(s) of symmetry.")</f>
        <v>Draw the shape with the given line(s) of symmetry.</v>
      </c>
      <c r="S106" s="10" t="str">
        <f t="shared" si="5"/>
        <v>LU000796.006</v>
      </c>
      <c r="T106" s="10" t="str">
        <f ca="1">IFERROR(__xludf.DUMMYFUNCTION("VLOOKUP(S106, IMPORTRANGE(""https://docs.google.com/spreadsheets/d/1yDAaXNsi4Mr5FtRQL4tbmSdIzhx6_m4wkOD7IG-k_eo/edit#gid=0"", ""Maths!M:N""), 2, FALSE)"),"Generate original artwork or patterns that incorporate lines of symmetry.")</f>
        <v>Generate original artwork or patterns that incorporate lines of symmetry.</v>
      </c>
      <c r="U106" s="11">
        <f ca="1">IFERROR(__xludf.DUMMYFUNCTION("ArrayFormula(VLOOKUP(G106, IMPORTRANGE(""https://docs.google.com/spreadsheets/d/1p7R4vtkWt5VOBim4ltsDG9KTzSjrtKXsMtQGXPHyND0/edit#gid=795171502"", ""'Filter 30_05_2024'!A1:M2000""), {2, 3, 4, 5,6,7,8,9,10,11,12,13}, 0))"),4)</f>
        <v>4</v>
      </c>
      <c r="V106" s="11">
        <f ca="1">IFERROR(__xludf.DUMMYFUNCTION("""COMPUTED_VALUE"""),8)</f>
        <v>8</v>
      </c>
      <c r="W106" s="11">
        <f ca="1">IFERROR(__xludf.DUMMYFUNCTION("""COMPUTED_VALUE"""),10)</f>
        <v>10</v>
      </c>
      <c r="X106" s="11">
        <f ca="1">IFERROR(__xludf.DUMMYFUNCTION("""COMPUTED_VALUE"""),22)</f>
        <v>22</v>
      </c>
      <c r="Y106" s="11">
        <f ca="1">IFERROR(__xludf.DUMMYFUNCTION("""COMPUTED_VALUE"""),4)</f>
        <v>4</v>
      </c>
      <c r="Z106" s="12">
        <f ca="1">IFERROR(__xludf.DUMMYFUNCTION("""COMPUTED_VALUE"""),5)</f>
        <v>5</v>
      </c>
      <c r="AA106" s="12">
        <f ca="1">IFERROR(__xludf.DUMMYFUNCTION("""COMPUTED_VALUE"""),4)</f>
        <v>4</v>
      </c>
      <c r="AB106" s="12">
        <f ca="1">IFERROR(__xludf.DUMMYFUNCTION("""COMPUTED_VALUE"""),13)</f>
        <v>13</v>
      </c>
      <c r="AC106" s="11"/>
      <c r="AD106" s="12"/>
      <c r="AE106" s="12"/>
      <c r="AF106" s="12"/>
      <c r="AG106" s="13" t="str">
        <f ca="1">IFERROR(__xludf.DUMMYFUNCTION("ArrayFormula(VLOOKUP(G106, IMPORTRANGE(""https://docs.google.com/spreadsheets/d/1Co934fvtviyaRiMsrIlT05Jaq7iiYq07aLvRr35KA48/edit?gid=173865642#gid=173865642"", ""'G6_Maths GP_Pri_LU'!G2:V2000""), {3, 4, 5, 6, 7, 8, 9, 10, 11, 12, 13, 14, 15, 16}, 0))"),"LU000791")</f>
        <v>LU000791</v>
      </c>
      <c r="AH106" s="13" t="str">
        <f ca="1">IFERROR(__xludf.DUMMYFUNCTION("""COMPUTED_VALUE"""),"Line of symmetry for regular polygons")</f>
        <v>Line of symmetry for regular polygons</v>
      </c>
      <c r="AI106" s="13" t="str">
        <f ca="1">IFERROR(__xludf.DUMMYFUNCTION("""COMPUTED_VALUE"""),"LU000789")</f>
        <v>LU000789</v>
      </c>
      <c r="AJ106" s="13" t="str">
        <f ca="1">IFERROR(__xludf.DUMMYFUNCTION("""COMPUTED_VALUE"""),"Definition of symmetry")</f>
        <v>Definition of symmetry</v>
      </c>
      <c r="AK106" s="13" t="str">
        <f ca="1">IFERROR(__xludf.DUMMYFUNCTION("""COMPUTED_VALUE"""),"LU000220")</f>
        <v>LU000220</v>
      </c>
      <c r="AL106" s="13" t="str">
        <f ca="1">IFERROR(__xludf.DUMMYFUNCTION("""COMPUTED_VALUE"""),"Definition of line")</f>
        <v>Definition of line</v>
      </c>
      <c r="AM106" s="13"/>
      <c r="AN106" s="13"/>
      <c r="AO106" s="13"/>
      <c r="AP106" s="13"/>
      <c r="AQ106" s="13"/>
      <c r="AR106" s="13"/>
      <c r="AS106" s="13"/>
      <c r="AT106" s="13"/>
    </row>
    <row r="107" spans="1:46" ht="27">
      <c r="A107" s="8" t="s">
        <v>46</v>
      </c>
      <c r="B107" s="23" t="s">
        <v>47</v>
      </c>
      <c r="C107" s="23" t="s">
        <v>48</v>
      </c>
      <c r="D107" s="23" t="s">
        <v>49</v>
      </c>
      <c r="E107" s="23" t="s">
        <v>209</v>
      </c>
      <c r="F107" s="23" t="s">
        <v>217</v>
      </c>
      <c r="G107" s="24" t="s">
        <v>218</v>
      </c>
      <c r="H107" s="23" t="str">
        <f ca="1">IFERROR(__xludf.DUMMYFUNCTION("VLOOKUP(G107, IMPORTRANGE(""https://docs.google.com/spreadsheets/d/14deopnvwcrKtEGCKuYXdUHJbeLDZlkiSSWWT0g7x2pM/edit#gid=999382323"", ""LU List Maths (Filter)!A:B""), 2, FALSE)"),"Reflectional symmetry in types of triangles")</f>
        <v>Reflectional symmetry in types of triangles</v>
      </c>
      <c r="I107" s="25" t="str">
        <f t="shared" si="0"/>
        <v>LU001176.001</v>
      </c>
      <c r="J107" s="25" t="str">
        <f ca="1">IFERROR(__xludf.DUMMYFUNCTION("VLOOKUP(I107, IMPORTRANGE(""https://docs.google.com/spreadsheets/d/1yDAaXNsi4Mr5FtRQL4tbmSdIzhx6_m4wkOD7IG-k_eo/edit#gid=0"", ""Maths!M:N""), 2, FALSE)"),"#N/A")</f>
        <v>#N/A</v>
      </c>
      <c r="K107" s="25" t="str">
        <f t="shared" si="1"/>
        <v>LU001176.002</v>
      </c>
      <c r="L107" s="25" t="str">
        <f ca="1">IFERROR(__xludf.DUMMYFUNCTION("VLOOKUP(K107, IMPORTRANGE(""https://docs.google.com/spreadsheets/d/1yDAaXNsi4Mr5FtRQL4tbmSdIzhx6_m4wkOD7IG-k_eo/edit#gid=0"", ""Maths!M:N""), 2, FALSE)"),"#N/A")</f>
        <v>#N/A</v>
      </c>
      <c r="M107" s="25" t="str">
        <f t="shared" si="2"/>
        <v>LU001176.003</v>
      </c>
      <c r="N107" s="25" t="str">
        <f ca="1">IFERROR(__xludf.DUMMYFUNCTION("VLOOKUP(M107, IMPORTRANGE(""https://docs.google.com/spreadsheets/d/1yDAaXNsi4Mr5FtRQL4tbmSdIzhx6_m4wkOD7IG-k_eo/edit#gid=0"", ""Maths!M:N""), 2, FALSE)"),"#N/A")</f>
        <v>#N/A</v>
      </c>
      <c r="O107" s="25" t="str">
        <f t="shared" si="3"/>
        <v>LU001176.004</v>
      </c>
      <c r="P107" s="25" t="str">
        <f ca="1">IFERROR(__xludf.DUMMYFUNCTION("VLOOKUP(O107, IMPORTRANGE(""https://docs.google.com/spreadsheets/d/1yDAaXNsi4Mr5FtRQL4tbmSdIzhx6_m4wkOD7IG-k_eo/edit#gid=0"", ""Maths!M:N""), 2, FALSE)"),"#N/A")</f>
        <v>#N/A</v>
      </c>
      <c r="Q107" s="25" t="str">
        <f t="shared" si="4"/>
        <v>LU001176.005</v>
      </c>
      <c r="R107" s="25" t="str">
        <f ca="1">IFERROR(__xludf.DUMMYFUNCTION("VLOOKUP(Q107, IMPORTRANGE(""https://docs.google.com/spreadsheets/d/1yDAaXNsi4Mr5FtRQL4tbmSdIzhx6_m4wkOD7IG-k_eo/edit#gid=0"", ""Maths!M:N""), 2, FALSE)"),"#N/A")</f>
        <v>#N/A</v>
      </c>
      <c r="S107" s="25" t="str">
        <f t="shared" si="5"/>
        <v>LU001176.006</v>
      </c>
      <c r="T107" s="25" t="str">
        <f ca="1">IFERROR(__xludf.DUMMYFUNCTION("VLOOKUP(S107, IMPORTRANGE(""https://docs.google.com/spreadsheets/d/1yDAaXNsi4Mr5FtRQL4tbmSdIzhx6_m4wkOD7IG-k_eo/edit#gid=0"", ""Maths!M:N""), 2, FALSE)"),"#N/A")</f>
        <v>#N/A</v>
      </c>
      <c r="U107" s="26" t="str">
        <f ca="1">IFERROR(__xludf.DUMMYFUNCTION("ArrayFormula(VLOOKUP(G107, IMPORTRANGE(""https://docs.google.com/spreadsheets/d/1p7R4vtkWt5VOBim4ltsDG9KTzSjrtKXsMtQGXPHyND0/edit#gid=795171502"", ""'Filter 30_05_2024'!A1:M2000""), {2, 3, 4, 5,6,7,8,9,10,11,12,13}, 0))"),"#N/A")</f>
        <v>#N/A</v>
      </c>
      <c r="V107" s="26" t="str">
        <f ca="1">IFERROR(__xludf.DUMMYFUNCTION("""COMPUTED_VALUE"""),"#N/A")</f>
        <v>#N/A</v>
      </c>
      <c r="W107" s="26" t="str">
        <f ca="1">IFERROR(__xludf.DUMMYFUNCTION("""COMPUTED_VALUE"""),"#N/A")</f>
        <v>#N/A</v>
      </c>
      <c r="X107" s="26" t="str">
        <f ca="1">IFERROR(__xludf.DUMMYFUNCTION("""COMPUTED_VALUE"""),"#N/A")</f>
        <v>#N/A</v>
      </c>
      <c r="Y107" s="26" t="str">
        <f ca="1">IFERROR(__xludf.DUMMYFUNCTION("""COMPUTED_VALUE"""),"#N/A")</f>
        <v>#N/A</v>
      </c>
      <c r="Z107" s="27" t="str">
        <f ca="1">IFERROR(__xludf.DUMMYFUNCTION("""COMPUTED_VALUE"""),"#N/A")</f>
        <v>#N/A</v>
      </c>
      <c r="AA107" s="27" t="str">
        <f ca="1">IFERROR(__xludf.DUMMYFUNCTION("""COMPUTED_VALUE"""),"#N/A")</f>
        <v>#N/A</v>
      </c>
      <c r="AB107" s="27" t="str">
        <f ca="1">IFERROR(__xludf.DUMMYFUNCTION("""COMPUTED_VALUE"""),"#N/A")</f>
        <v>#N/A</v>
      </c>
      <c r="AC107" s="26" t="str">
        <f ca="1">IFERROR(__xludf.DUMMYFUNCTION("""COMPUTED_VALUE"""),"#N/A")</f>
        <v>#N/A</v>
      </c>
      <c r="AD107" s="27" t="str">
        <f ca="1">IFERROR(__xludf.DUMMYFUNCTION("""COMPUTED_VALUE"""),"#N/A")</f>
        <v>#N/A</v>
      </c>
      <c r="AE107" s="27" t="str">
        <f ca="1">IFERROR(__xludf.DUMMYFUNCTION("""COMPUTED_VALUE"""),"#N/A")</f>
        <v>#N/A</v>
      </c>
      <c r="AF107" s="27" t="str">
        <f ca="1">IFERROR(__xludf.DUMMYFUNCTION("""COMPUTED_VALUE"""),"#N/A")</f>
        <v>#N/A</v>
      </c>
      <c r="AG107" s="13" t="str">
        <f ca="1">IFERROR(__xludf.DUMMYFUNCTION("ArrayFormula(VLOOKUP(G107, IMPORTRANGE(""https://docs.google.com/spreadsheets/d/1Co934fvtviyaRiMsrIlT05Jaq7iiYq07aLvRr35KA48/edit?gid=173865642#gid=173865642"", ""'G6_Maths GP_Pri_LU'!G2:V2000""), {3, 4, 5, 6, 7, 8, 9, 10, 11, 12, 13, 14, 15, 16}, 0))"),"LU000796")</f>
        <v>LU000796</v>
      </c>
      <c r="AH107" s="28" t="str">
        <f ca="1">IFERROR(__xludf.DUMMYFUNCTION("""COMPUTED_VALUE"""),"Line of symmetry for figures")</f>
        <v>Line of symmetry for figures</v>
      </c>
      <c r="AI107" s="28" t="str">
        <f ca="1">IFERROR(__xludf.DUMMYFUNCTION("""COMPUTED_VALUE"""),"LU000791")</f>
        <v>LU000791</v>
      </c>
      <c r="AJ107" s="28" t="str">
        <f ca="1">IFERROR(__xludf.DUMMYFUNCTION("""COMPUTED_VALUE"""),"Line of symmetry for regular polygons")</f>
        <v>Line of symmetry for regular polygons</v>
      </c>
      <c r="AK107" s="28" t="str">
        <f ca="1">IFERROR(__xludf.DUMMYFUNCTION("""COMPUTED_VALUE"""),"LU000789")</f>
        <v>LU000789</v>
      </c>
      <c r="AL107" s="28" t="str">
        <f ca="1">IFERROR(__xludf.DUMMYFUNCTION("""COMPUTED_VALUE"""),"Definition of symmetry")</f>
        <v>Definition of symmetry</v>
      </c>
      <c r="AM107" s="28" t="str">
        <f ca="1">IFERROR(__xludf.DUMMYFUNCTION("""COMPUTED_VALUE"""),"LU000892")</f>
        <v>LU000892</v>
      </c>
      <c r="AN107" s="28" t="str">
        <f ca="1">IFERROR(__xludf.DUMMYFUNCTION("""COMPUTED_VALUE"""),"Symmetry in equilateral triangle")</f>
        <v>Symmetry in equilateral triangle</v>
      </c>
      <c r="AO107" s="28"/>
      <c r="AP107" s="28"/>
      <c r="AQ107" s="28"/>
      <c r="AR107" s="28"/>
      <c r="AS107" s="28"/>
      <c r="AT107" s="28"/>
    </row>
    <row r="108" spans="1:46" ht="40.200000000000003">
      <c r="A108" s="8" t="s">
        <v>46</v>
      </c>
      <c r="B108" s="8" t="s">
        <v>47</v>
      </c>
      <c r="C108" s="8" t="s">
        <v>48</v>
      </c>
      <c r="D108" s="8" t="s">
        <v>49</v>
      </c>
      <c r="E108" s="8" t="s">
        <v>209</v>
      </c>
      <c r="F108" s="8" t="s">
        <v>217</v>
      </c>
      <c r="G108" s="16" t="s">
        <v>219</v>
      </c>
      <c r="H108" s="8" t="str">
        <f ca="1">IFERROR(__xludf.DUMMYFUNCTION("VLOOKUP(G108, IMPORTRANGE(""https://docs.google.com/spreadsheets/d/14deopnvwcrKtEGCKuYXdUHJbeLDZlkiSSWWT0g7x2pM/edit#gid=999382323"", ""LU List Maths (Filter)!A:B""), 2, FALSE)"),"Lines of symmetry of types of quadrilaterals")</f>
        <v>Lines of symmetry of types of quadrilaterals</v>
      </c>
      <c r="I108" s="10" t="str">
        <f t="shared" si="0"/>
        <v>LU000800.001</v>
      </c>
      <c r="J108" s="10" t="str">
        <f ca="1">IFERROR(__xludf.DUMMYFUNCTION("VLOOKUP(I108, IMPORTRANGE(""https://docs.google.com/spreadsheets/d/1yDAaXNsi4Mr5FtRQL4tbmSdIzhx6_m4wkOD7IG-k_eo/edit#gid=0"", ""Maths!M:N""), 2, FALSE)"),"State that the line of symmetry divides different quadrilaterals into two equal halves.")</f>
        <v>State that the line of symmetry divides different quadrilaterals into two equal halves.</v>
      </c>
      <c r="K108" s="10" t="str">
        <f t="shared" si="1"/>
        <v>LU000800.002</v>
      </c>
      <c r="L108" s="10" t="str">
        <f ca="1">IFERROR(__xludf.DUMMYFUNCTION("VLOOKUP(K108, IMPORTRANGE(""https://docs.google.com/spreadsheets/d/1yDAaXNsi4Mr5FtRQL4tbmSdIzhx6_m4wkOD7IG-k_eo/edit#gid=0"", ""Maths!M:N""), 2, FALSE)"),"Explain why recognising quadrilateral symmetry matters.")</f>
        <v>Explain why recognising quadrilateral symmetry matters.</v>
      </c>
      <c r="M108" s="10" t="str">
        <f t="shared" si="2"/>
        <v>LU000800.003</v>
      </c>
      <c r="N108" s="10" t="str">
        <f ca="1">IFERROR(__xludf.DUMMYFUNCTION("VLOOKUP(M108, IMPORTRANGE(""https://docs.google.com/spreadsheets/d/1yDAaXNsi4Mr5FtRQL4tbmSdIzhx6_m4wkOD7IG-k_eo/edit#gid=0"", ""Maths!M:N""), 2, FALSE)"),"Find and sketch lines of symmetry in quadrilaterals.")</f>
        <v>Find and sketch lines of symmetry in quadrilaterals.</v>
      </c>
      <c r="O108" s="10" t="str">
        <f t="shared" si="3"/>
        <v>LU000800.004</v>
      </c>
      <c r="P108" s="10" t="str">
        <f ca="1">IFERROR(__xludf.DUMMYFUNCTION("VLOOKUP(O108, IMPORTRANGE(""https://docs.google.com/spreadsheets/d/1yDAaXNsi4Mr5FtRQL4tbmSdIzhx6_m4wkOD7IG-k_eo/edit#gid=0"", ""Maths!M:N""), 2, FALSE)"),"Analyse complex quadrilateral designs to find lines of symmetry.")</f>
        <v>Analyse complex quadrilateral designs to find lines of symmetry.</v>
      </c>
      <c r="Q108" s="10" t="str">
        <f t="shared" si="4"/>
        <v>LU000800.005</v>
      </c>
      <c r="R108" s="10" t="str">
        <f ca="1">IFERROR(__xludf.DUMMYFUNCTION("VLOOKUP(Q108, IMPORTRANGE(""https://docs.google.com/spreadsheets/d/1yDAaXNsi4Mr5FtRQL4tbmSdIzhx6_m4wkOD7IG-k_eo/edit#gid=0"", ""Maths!M:N""), 2, FALSE)"),"Evaluate how symmetry impacts the appeal of real-world quadrilaterals.")</f>
        <v>Evaluate how symmetry impacts the appeal of real-world quadrilaterals.</v>
      </c>
      <c r="S108" s="10" t="str">
        <f t="shared" si="5"/>
        <v>LU000800.006</v>
      </c>
      <c r="T108" s="10" t="str">
        <f ca="1">IFERROR(__xludf.DUMMYFUNCTION("VLOOKUP(S108, IMPORTRANGE(""https://docs.google.com/spreadsheets/d/1yDAaXNsi4Mr5FtRQL4tbmSdIzhx6_m4wkOD7IG-k_eo/edit#gid=0"", ""Maths!M:N""), 2, FALSE)"),"Generate original designs with symmetrical quadrilaterals.")</f>
        <v>Generate original designs with symmetrical quadrilaterals.</v>
      </c>
      <c r="U108" s="11">
        <f ca="1">IFERROR(__xludf.DUMMYFUNCTION("ArrayFormula(VLOOKUP(G108, IMPORTRANGE(""https://docs.google.com/spreadsheets/d/1p7R4vtkWt5VOBim4ltsDG9KTzSjrtKXsMtQGXPHyND0/edit#gid=795171502"", ""'Filter 30_05_2024'!A1:M2000""), {2, 3, 4, 5,6,7,8,9,10,11,12,13}, 0))"),4)</f>
        <v>4</v>
      </c>
      <c r="V108" s="11">
        <f ca="1">IFERROR(__xludf.DUMMYFUNCTION("""COMPUTED_VALUE"""),6)</f>
        <v>6</v>
      </c>
      <c r="W108" s="11">
        <f ca="1">IFERROR(__xludf.DUMMYFUNCTION("""COMPUTED_VALUE"""),2)</f>
        <v>2</v>
      </c>
      <c r="X108" s="11">
        <f ca="1">IFERROR(__xludf.DUMMYFUNCTION("""COMPUTED_VALUE"""),12)</f>
        <v>12</v>
      </c>
      <c r="Y108" s="11">
        <f ca="1">IFERROR(__xludf.DUMMYFUNCTION("""COMPUTED_VALUE"""),4)</f>
        <v>4</v>
      </c>
      <c r="Z108" s="12">
        <f ca="1">IFERROR(__xludf.DUMMYFUNCTION("""COMPUTED_VALUE"""),3)</f>
        <v>3</v>
      </c>
      <c r="AA108" s="12">
        <f ca="1">IFERROR(__xludf.DUMMYFUNCTION("""COMPUTED_VALUE"""),1)</f>
        <v>1</v>
      </c>
      <c r="AB108" s="12">
        <f ca="1">IFERROR(__xludf.DUMMYFUNCTION("""COMPUTED_VALUE"""),8)</f>
        <v>8</v>
      </c>
      <c r="AC108" s="11"/>
      <c r="AD108" s="12"/>
      <c r="AE108" s="12"/>
      <c r="AF108" s="12"/>
      <c r="AG108" s="13" t="str">
        <f ca="1">IFERROR(__xludf.DUMMYFUNCTION("ArrayFormula(VLOOKUP(G108, IMPORTRANGE(""https://docs.google.com/spreadsheets/d/1Co934fvtviyaRiMsrIlT05Jaq7iiYq07aLvRr35KA48/edit?gid=173865642#gid=173865642"", ""'G6_Maths GP_Pri_LU'!G2:V2000""), {3, 4, 5, 6, 7, 8, 9, 10, 11, 12, 13, 14, 15, 16}, 0))"),"LU000790")</f>
        <v>LU000790</v>
      </c>
      <c r="AH108" s="13" t="str">
        <f ca="1">IFERROR(__xludf.DUMMYFUNCTION("""COMPUTED_VALUE"""),"Lexical explanation of line symmetry")</f>
        <v>Lexical explanation of line symmetry</v>
      </c>
      <c r="AI108" s="13" t="str">
        <f ca="1">IFERROR(__xludf.DUMMYFUNCTION("""COMPUTED_VALUE"""),"LU000891")</f>
        <v>LU000891</v>
      </c>
      <c r="AJ108" s="13" t="str">
        <f ca="1">IFERROR(__xludf.DUMMYFUNCTION("""COMPUTED_VALUE"""),"Symmetry in rectangle")</f>
        <v>Symmetry in rectangle</v>
      </c>
      <c r="AK108" s="13" t="str">
        <f ca="1">IFERROR(__xludf.DUMMYFUNCTION("""COMPUTED_VALUE"""),"LU000893")</f>
        <v>LU000893</v>
      </c>
      <c r="AL108" s="13" t="str">
        <f ca="1">IFERROR(__xludf.DUMMYFUNCTION("""COMPUTED_VALUE"""),"Symmetry in kite")</f>
        <v>Symmetry in kite</v>
      </c>
      <c r="AM108" s="13" t="str">
        <f ca="1">IFERROR(__xludf.DUMMYFUNCTION("""COMPUTED_VALUE"""),"LU000894")</f>
        <v>LU000894</v>
      </c>
      <c r="AN108" s="13" t="str">
        <f ca="1">IFERROR(__xludf.DUMMYFUNCTION("""COMPUTED_VALUE"""),"Symmetry in square")</f>
        <v>Symmetry in square</v>
      </c>
      <c r="AO108" s="13"/>
      <c r="AP108" s="13"/>
      <c r="AQ108" s="13"/>
      <c r="AR108" s="13"/>
      <c r="AS108" s="13"/>
      <c r="AT108" s="13"/>
    </row>
    <row r="109" spans="1:46" ht="53.4">
      <c r="A109" s="8" t="s">
        <v>46</v>
      </c>
      <c r="B109" s="8" t="s">
        <v>47</v>
      </c>
      <c r="C109" s="8" t="s">
        <v>48</v>
      </c>
      <c r="D109" s="8" t="s">
        <v>49</v>
      </c>
      <c r="E109" s="8" t="s">
        <v>209</v>
      </c>
      <c r="F109" s="8" t="s">
        <v>220</v>
      </c>
      <c r="G109" s="16" t="s">
        <v>221</v>
      </c>
      <c r="H109" s="8" t="str">
        <f ca="1">IFERROR(__xludf.DUMMYFUNCTION("VLOOKUP(G109, IMPORTRANGE(""https://docs.google.com/spreadsheets/d/14deopnvwcrKtEGCKuYXdUHJbeLDZlkiSSWWT0g7x2pM/edit#gid=999382323"", ""LU List Maths (Filter)!A:B""), 2, FALSE)"),"Definition of rotational symmetry")</f>
        <v>Definition of rotational symmetry</v>
      </c>
      <c r="I109" s="10" t="str">
        <f t="shared" si="0"/>
        <v>LU000792.001</v>
      </c>
      <c r="J109" s="10" t="str">
        <f ca="1">IFERROR(__xludf.DUMMYFUNCTION("VLOOKUP(I109, IMPORTRANGE(""https://docs.google.com/spreadsheets/d/1yDAaXNsi4Mr5FtRQL4tbmSdIzhx6_m4wkOD7IG-k_eo/edit#gid=0"", ""Maths!M:N""), 2, FALSE)"),"State that rotational symmetry is a property where an object looks the same after it's rotated by a certain angle around a central point.")</f>
        <v>State that rotational symmetry is a property where an object looks the same after it's rotated by a certain angle around a central point.</v>
      </c>
      <c r="K109" s="10" t="str">
        <f t="shared" si="1"/>
        <v>LU000792.002</v>
      </c>
      <c r="L109" s="10" t="str">
        <f ca="1">IFERROR(__xludf.DUMMYFUNCTION("VLOOKUP(K109, IMPORTRANGE(""https://docs.google.com/spreadsheets/d/1yDAaXNsi4Mr5FtRQL4tbmSdIzhx6_m4wkOD7IG-k_eo/edit#gid=0"", ""Maths!M:N""), 2, FALSE)"),"Explain the significance of rotational symmetry in various fields.")</f>
        <v>Explain the significance of rotational symmetry in various fields.</v>
      </c>
      <c r="M109" s="10" t="str">
        <f t="shared" si="2"/>
        <v>LU000792.003</v>
      </c>
      <c r="N109" s="10" t="str">
        <f ca="1">IFERROR(__xludf.DUMMYFUNCTION("VLOOKUP(M109, IMPORTRANGE(""https://docs.google.com/spreadsheets/d/1yDAaXNsi4Mr5FtRQL4tbmSdIzhx6_m4wkOD7IG-k_eo/edit#gid=0"", ""Maths!M:N""), 2, FALSE)"),"Determine whether a given shape exhibits rotational symmetry")</f>
        <v>Determine whether a given shape exhibits rotational symmetry</v>
      </c>
      <c r="O109" s="10" t="str">
        <f t="shared" si="3"/>
        <v>LU000792.004</v>
      </c>
      <c r="P109" s="10" t="str">
        <f ca="1">IFERROR(__xludf.DUMMYFUNCTION("VLOOKUP(O109, IMPORTRANGE(""https://docs.google.com/spreadsheets/d/1yDAaXNsi4Mr5FtRQL4tbmSdIzhx6_m4wkOD7IG-k_eo/edit#gid=0"", ""Maths!M:N""), 2, FALSE)"),"Examine patterns and identify if they possess rotational symmetry.")</f>
        <v>Examine patterns and identify if they possess rotational symmetry.</v>
      </c>
      <c r="Q109" s="10" t="str">
        <f t="shared" si="4"/>
        <v>LU000792.005</v>
      </c>
      <c r="R109" s="10" t="str">
        <f ca="1">IFERROR(__xludf.DUMMYFUNCTION("VLOOKUP(Q109, IMPORTRANGE(""https://docs.google.com/spreadsheets/d/1yDAaXNsi4Mr5FtRQL4tbmSdIzhx6_m4wkOD7IG-k_eo/edit#gid=0"", ""Maths!M:N""), 2, FALSE)"),"Evaluate how the presence of rotational symmetry impacts the visual appeal of real-world objects.")</f>
        <v>Evaluate how the presence of rotational symmetry impacts the visual appeal of real-world objects.</v>
      </c>
      <c r="S109" s="10" t="str">
        <f t="shared" si="5"/>
        <v>LU000792.006</v>
      </c>
      <c r="T109" s="10" t="str">
        <f ca="1">IFERROR(__xludf.DUMMYFUNCTION("VLOOKUP(S109, IMPORTRANGE(""https://docs.google.com/spreadsheets/d/1yDAaXNsi4Mr5FtRQL4tbmSdIzhx6_m4wkOD7IG-k_eo/edit#gid=0"", ""Maths!M:N""), 2, FALSE)"),"Generate original artwork or patterns that incorporate rotational symmetry.")</f>
        <v>Generate original artwork or patterns that incorporate rotational symmetry.</v>
      </c>
      <c r="U109" s="11">
        <f ca="1">IFERROR(__xludf.DUMMYFUNCTION("ArrayFormula(VLOOKUP(G109, IMPORTRANGE(""https://docs.google.com/spreadsheets/d/1p7R4vtkWt5VOBim4ltsDG9KTzSjrtKXsMtQGXPHyND0/edit#gid=795171502"", ""'Filter 30_05_2024'!A1:M2000""), {2, 3, 4, 5,6,7,8,9,10,11,12,13}, 0))"),4)</f>
        <v>4</v>
      </c>
      <c r="V109" s="11">
        <f ca="1">IFERROR(__xludf.DUMMYFUNCTION("""COMPUTED_VALUE"""),6)</f>
        <v>6</v>
      </c>
      <c r="W109" s="11">
        <f ca="1">IFERROR(__xludf.DUMMYFUNCTION("""COMPUTED_VALUE"""),2)</f>
        <v>2</v>
      </c>
      <c r="X109" s="11">
        <f ca="1">IFERROR(__xludf.DUMMYFUNCTION("""COMPUTED_VALUE"""),12)</f>
        <v>12</v>
      </c>
      <c r="Y109" s="11">
        <f ca="1">IFERROR(__xludf.DUMMYFUNCTION("""COMPUTED_VALUE"""),5)</f>
        <v>5</v>
      </c>
      <c r="Z109" s="12">
        <f ca="1">IFERROR(__xludf.DUMMYFUNCTION("""COMPUTED_VALUE"""),3)</f>
        <v>3</v>
      </c>
      <c r="AA109" s="12">
        <f ca="1">IFERROR(__xludf.DUMMYFUNCTION("""COMPUTED_VALUE"""),1)</f>
        <v>1</v>
      </c>
      <c r="AB109" s="12">
        <f ca="1">IFERROR(__xludf.DUMMYFUNCTION("""COMPUTED_VALUE"""),9)</f>
        <v>9</v>
      </c>
      <c r="AC109" s="11"/>
      <c r="AD109" s="12"/>
      <c r="AE109" s="12"/>
      <c r="AF109" s="12"/>
      <c r="AG109" s="13" t="str">
        <f ca="1">IFERROR(__xludf.DUMMYFUNCTION("ArrayFormula(VLOOKUP(G109, IMPORTRANGE(""https://docs.google.com/spreadsheets/d/1Co934fvtviyaRiMsrIlT05Jaq7iiYq07aLvRr35KA48/edit?gid=173865642#gid=173865642"", ""'G6_Maths GP_Pri_LU'!G2:V2000""), {3, 4, 5, 6, 7, 8, 9, 10, 11, 12, 13, 14, 15, 16}, 0))"),"LU000789")</f>
        <v>LU000789</v>
      </c>
      <c r="AH109" s="13" t="str">
        <f ca="1">IFERROR(__xludf.DUMMYFUNCTION("""COMPUTED_VALUE"""),"Definition of symmetry")</f>
        <v>Definition of symmetry</v>
      </c>
      <c r="AI109" s="13" t="str">
        <f ca="1">IFERROR(__xludf.DUMMYFUNCTION("""COMPUTED_VALUE"""),"LU000014")</f>
        <v>LU000014</v>
      </c>
      <c r="AJ109" s="13" t="str">
        <f ca="1">IFERROR(__xludf.DUMMYFUNCTION("""COMPUTED_VALUE"""),"Definition of an angle")</f>
        <v>Definition of an angle</v>
      </c>
      <c r="AK109" s="13"/>
      <c r="AL109" s="13"/>
      <c r="AM109" s="13"/>
      <c r="AN109" s="13"/>
      <c r="AO109" s="13"/>
      <c r="AP109" s="13"/>
      <c r="AQ109" s="13"/>
      <c r="AR109" s="13"/>
      <c r="AS109" s="13"/>
      <c r="AT109" s="13"/>
    </row>
    <row r="110" spans="1:46" ht="40.200000000000003">
      <c r="A110" s="8" t="s">
        <v>46</v>
      </c>
      <c r="B110" s="8" t="s">
        <v>47</v>
      </c>
      <c r="C110" s="8" t="s">
        <v>48</v>
      </c>
      <c r="D110" s="8" t="s">
        <v>49</v>
      </c>
      <c r="E110" s="8" t="s">
        <v>209</v>
      </c>
      <c r="F110" s="8" t="s">
        <v>220</v>
      </c>
      <c r="G110" s="16" t="s">
        <v>222</v>
      </c>
      <c r="H110" s="8" t="str">
        <f ca="1">IFERROR(__xludf.DUMMYFUNCTION("VLOOKUP(G110, IMPORTRANGE(""https://docs.google.com/spreadsheets/d/14deopnvwcrKtEGCKuYXdUHJbeLDZlkiSSWWT0g7x2pM/edit#gid=999382323"", ""LU List Maths (Filter)!A:B""), 2, FALSE)"),"Definition of centre of rotation")</f>
        <v>Definition of centre of rotation</v>
      </c>
      <c r="I110" s="10" t="str">
        <f t="shared" si="0"/>
        <v>LU000793.001</v>
      </c>
      <c r="J110" s="10" t="str">
        <f ca="1">IFERROR(__xludf.DUMMYFUNCTION("VLOOKUP(I110, IMPORTRANGE(""https://docs.google.com/spreadsheets/d/1yDAaXNsi4Mr5FtRQL4tbmSdIzhx6_m4wkOD7IG-k_eo/edit#gid=0"", ""Maths!M:N""), 2, FALSE)"),"State that the center of rotation is a fixed point around which an object is rotated to create symmetry.")</f>
        <v>State that the center of rotation is a fixed point around which an object is rotated to create symmetry.</v>
      </c>
      <c r="K110" s="10" t="str">
        <f t="shared" si="1"/>
        <v>LU000793.002</v>
      </c>
      <c r="L110" s="10" t="str">
        <f ca="1">IFERROR(__xludf.DUMMYFUNCTION("VLOOKUP(K110, IMPORTRANGE(""https://docs.google.com/spreadsheets/d/1yDAaXNsi4Mr5FtRQL4tbmSdIzhx6_m4wkOD7IG-k_eo/edit#gid=0"", ""Maths!M:N""), 2, FALSE)"),"Describe how the center of rotation is fundamental in understanding how objects can be transformed to exhibit symmetry.")</f>
        <v>Describe how the center of rotation is fundamental in understanding how objects can be transformed to exhibit symmetry.</v>
      </c>
      <c r="M110" s="10" t="str">
        <f t="shared" si="2"/>
        <v>LU000793.003</v>
      </c>
      <c r="N110" s="10" t="str">
        <f ca="1">IFERROR(__xludf.DUMMYFUNCTION("VLOOKUP(M110, IMPORTRANGE(""https://docs.google.com/spreadsheets/d/1yDAaXNsi4Mr5FtRQL4tbmSdIzhx6_m4wkOD7IG-k_eo/edit#gid=0"", ""Maths!M:N""), 2, FALSE)"),"Determine the center of rotation in figures/objects.")</f>
        <v>Determine the center of rotation in figures/objects.</v>
      </c>
      <c r="O110" s="10" t="str">
        <f t="shared" si="3"/>
        <v>LU000793.004</v>
      </c>
      <c r="P110" s="10" t="str">
        <f ca="1">IFERROR(__xludf.DUMMYFUNCTION("VLOOKUP(O110, IMPORTRANGE(""https://docs.google.com/spreadsheets/d/1yDAaXNsi4Mr5FtRQL4tbmSdIzhx6_m4wkOD7IG-k_eo/edit#gid=0"", ""Maths!M:N""), 2, FALSE)"),"Analyse and compare the centres of rotation in different shapes or objects")</f>
        <v>Analyse and compare the centres of rotation in different shapes or objects</v>
      </c>
      <c r="Q110" s="10" t="str">
        <f t="shared" si="4"/>
        <v>LU000793.005</v>
      </c>
      <c r="R110" s="10" t="str">
        <f ca="1">IFERROR(__xludf.DUMMYFUNCTION("VLOOKUP(Q110, IMPORTRANGE(""https://docs.google.com/spreadsheets/d/1yDAaXNsi4Mr5FtRQL4tbmSdIzhx6_m4wkOD7IG-k_eo/edit#gid=0"", ""Maths!M:N""), 2, FALSE)"),"Evaluate the impact of the center of rotation on the overall symmetry and aesthetics of real-world objects.")</f>
        <v>Evaluate the impact of the center of rotation on the overall symmetry and aesthetics of real-world objects.</v>
      </c>
      <c r="S110" s="10" t="str">
        <f t="shared" si="5"/>
        <v>LU000793.006</v>
      </c>
      <c r="T110" s="10" t="str">
        <f ca="1">IFERROR(__xludf.DUMMYFUNCTION("VLOOKUP(S110, IMPORTRANGE(""https://docs.google.com/spreadsheets/d/1yDAaXNsi4Mr5FtRQL4tbmSdIzhx6_m4wkOD7IG-k_eo/edit#gid=0"", ""Maths!M:N""), 2, FALSE)"),"Generate original designs that incorporate the concept of the center of rotation.")</f>
        <v>Generate original designs that incorporate the concept of the center of rotation.</v>
      </c>
      <c r="U110" s="11">
        <f ca="1">IFERROR(__xludf.DUMMYFUNCTION("ArrayFormula(VLOOKUP(G110, IMPORTRANGE(""https://docs.google.com/spreadsheets/d/1p7R4vtkWt5VOBim4ltsDG9KTzSjrtKXsMtQGXPHyND0/edit#gid=795171502"", ""'Filter 30_05_2024'!A1:M2000""), {2, 3, 4, 5,6,7,8,9,10,11,12,13}, 0))"),4)</f>
        <v>4</v>
      </c>
      <c r="V110" s="11">
        <f ca="1">IFERROR(__xludf.DUMMYFUNCTION("""COMPUTED_VALUE"""),4)</f>
        <v>4</v>
      </c>
      <c r="W110" s="11">
        <f ca="1">IFERROR(__xludf.DUMMYFUNCTION("""COMPUTED_VALUE"""),2)</f>
        <v>2</v>
      </c>
      <c r="X110" s="11">
        <f ca="1">IFERROR(__xludf.DUMMYFUNCTION("""COMPUTED_VALUE"""),10)</f>
        <v>10</v>
      </c>
      <c r="Y110" s="11">
        <f ca="1">IFERROR(__xludf.DUMMYFUNCTION("""COMPUTED_VALUE"""),4)</f>
        <v>4</v>
      </c>
      <c r="Z110" s="12">
        <f ca="1">IFERROR(__xludf.DUMMYFUNCTION("""COMPUTED_VALUE"""),5)</f>
        <v>5</v>
      </c>
      <c r="AA110" s="12">
        <f ca="1">IFERROR(__xludf.DUMMYFUNCTION("""COMPUTED_VALUE"""),1)</f>
        <v>1</v>
      </c>
      <c r="AB110" s="12">
        <f ca="1">IFERROR(__xludf.DUMMYFUNCTION("""COMPUTED_VALUE"""),10)</f>
        <v>10</v>
      </c>
      <c r="AC110" s="11"/>
      <c r="AD110" s="12"/>
      <c r="AE110" s="12"/>
      <c r="AF110" s="12"/>
      <c r="AG110" s="13" t="str">
        <f ca="1">IFERROR(__xludf.DUMMYFUNCTION("ArrayFormula(VLOOKUP(G110, IMPORTRANGE(""https://docs.google.com/spreadsheets/d/1Co934fvtviyaRiMsrIlT05Jaq7iiYq07aLvRr35KA48/edit?gid=173865642#gid=173865642"", ""'G6_Maths GP_Pri_LU'!G2:V2000""), {3, 4, 5, 6, 7, 8, 9, 10, 11, 12, 13, 14, 15, 16}, 0))"),"")</f>
        <v/>
      </c>
      <c r="AH110" s="13"/>
      <c r="AI110" s="13"/>
      <c r="AJ110" s="13"/>
      <c r="AK110" s="13"/>
      <c r="AL110" s="13"/>
      <c r="AM110" s="13"/>
      <c r="AN110" s="13"/>
      <c r="AO110" s="13"/>
      <c r="AP110" s="13"/>
      <c r="AQ110" s="13"/>
      <c r="AR110" s="13"/>
      <c r="AS110" s="13"/>
      <c r="AT110" s="13"/>
    </row>
    <row r="111" spans="1:46" ht="53.4">
      <c r="A111" s="8" t="s">
        <v>46</v>
      </c>
      <c r="B111" s="8" t="s">
        <v>47</v>
      </c>
      <c r="C111" s="8" t="s">
        <v>48</v>
      </c>
      <c r="D111" s="8" t="s">
        <v>49</v>
      </c>
      <c r="E111" s="8" t="s">
        <v>209</v>
      </c>
      <c r="F111" s="8" t="s">
        <v>220</v>
      </c>
      <c r="G111" s="16" t="s">
        <v>223</v>
      </c>
      <c r="H111" s="8" t="str">
        <f ca="1">IFERROR(__xludf.DUMMYFUNCTION("VLOOKUP(G111, IMPORTRANGE(""https://docs.google.com/spreadsheets/d/14deopnvwcrKtEGCKuYXdUHJbeLDZlkiSSWWT0g7x2pM/edit#gid=999382323"", ""LU List Maths (Filter)!A:B""), 2, FALSE)"),"Definition of angle of rotation")</f>
        <v>Definition of angle of rotation</v>
      </c>
      <c r="I111" s="10" t="str">
        <f t="shared" si="0"/>
        <v>LU000794.001</v>
      </c>
      <c r="J111" s="10" t="str">
        <f ca="1">IFERROR(__xludf.DUMMYFUNCTION("VLOOKUP(I111, IMPORTRANGE(""https://docs.google.com/spreadsheets/d/1yDAaXNsi4Mr5FtRQL4tbmSdIzhx6_m4wkOD7IG-k_eo/edit#gid=0"", ""Maths!M:N""), 2, FALSE)"),"State that the angle of rotation is the amount by which an object is turned around a central point to achieve symmetry.")</f>
        <v>State that the angle of rotation is the amount by which an object is turned around a central point to achieve symmetry.</v>
      </c>
      <c r="K111" s="10" t="str">
        <f t="shared" si="1"/>
        <v>LU000794.002</v>
      </c>
      <c r="L111" s="10" t="str">
        <f ca="1">IFERROR(__xludf.DUMMYFUNCTION("VLOOKUP(K111, IMPORTRANGE(""https://docs.google.com/spreadsheets/d/1yDAaXNsi4Mr5FtRQL4tbmSdIzhx6_m4wkOD7IG-k_eo/edit#gid=0"", ""Maths!M:N""), 2, FALSE)"),"Explain why the angle of rotation is a fundamental concept in understanding symmetry.")</f>
        <v>Explain why the angle of rotation is a fundamental concept in understanding symmetry.</v>
      </c>
      <c r="M111" s="10" t="str">
        <f t="shared" si="2"/>
        <v>LU000794.003</v>
      </c>
      <c r="N111" s="10" t="str">
        <f ca="1">IFERROR(__xludf.DUMMYFUNCTION("VLOOKUP(M111, IMPORTRANGE(""https://docs.google.com/spreadsheets/d/1yDAaXNsi4Mr5FtRQL4tbmSdIzhx6_m4wkOD7IG-k_eo/edit#gid=0"", ""Maths!M:N""), 2, FALSE)"),"Apply the concept of the angle of rotation to determine it in various symmetrical objects.")</f>
        <v>Apply the concept of the angle of rotation to determine it in various symmetrical objects.</v>
      </c>
      <c r="O111" s="10" t="str">
        <f t="shared" si="3"/>
        <v>LU000794.004</v>
      </c>
      <c r="P111" s="10" t="str">
        <f ca="1">IFERROR(__xludf.DUMMYFUNCTION("VLOOKUP(O111, IMPORTRANGE(""https://docs.google.com/spreadsheets/d/1yDAaXNsi4Mr5FtRQL4tbmSdIzhx6_m4wkOD7IG-k_eo/edit#gid=0"", ""Maths!M:N""), 2, FALSE)"),"Analyse complex designs to determine the specific angle of rotation employed.")</f>
        <v>Analyse complex designs to determine the specific angle of rotation employed.</v>
      </c>
      <c r="Q111" s="10" t="str">
        <f t="shared" si="4"/>
        <v>LU000794.005</v>
      </c>
      <c r="R111" s="10" t="str">
        <f ca="1">IFERROR(__xludf.DUMMYFUNCTION("VLOOKUP(Q111, IMPORTRANGE(""https://docs.google.com/spreadsheets/d/1yDAaXNsi4Mr5FtRQL4tbmSdIzhx6_m4wkOD7IG-k_eo/edit#gid=0"", ""Maths!M:N""), 2, FALSE)"),"Evaluate the impact of the angle of rotation on the overall symmetry and aesthetics of real-world objects.")</f>
        <v>Evaluate the impact of the angle of rotation on the overall symmetry and aesthetics of real-world objects.</v>
      </c>
      <c r="S111" s="10" t="str">
        <f t="shared" si="5"/>
        <v>LU000794.006</v>
      </c>
      <c r="T111" s="10" t="str">
        <f ca="1">IFERROR(__xludf.DUMMYFUNCTION("VLOOKUP(S111, IMPORTRANGE(""https://docs.google.com/spreadsheets/d/1yDAaXNsi4Mr5FtRQL4tbmSdIzhx6_m4wkOD7IG-k_eo/edit#gid=0"", ""Maths!M:N""), 2, FALSE)"),"Generate original artwork or patterns that incorporate the concept of the angle of rotation.")</f>
        <v>Generate original artwork or patterns that incorporate the concept of the angle of rotation.</v>
      </c>
      <c r="U111" s="11">
        <f ca="1">IFERROR(__xludf.DUMMYFUNCTION("ArrayFormula(VLOOKUP(G111, IMPORTRANGE(""https://docs.google.com/spreadsheets/d/1p7R4vtkWt5VOBim4ltsDG9KTzSjrtKXsMtQGXPHyND0/edit#gid=795171502"", ""'Filter 30_05_2024'!A1:M2000""), {2, 3, 4, 5,6,7,8,9,10,11,12,13}, 0))"),5)</f>
        <v>5</v>
      </c>
      <c r="V111" s="11">
        <f ca="1">IFERROR(__xludf.DUMMYFUNCTION("""COMPUTED_VALUE"""),6)</f>
        <v>6</v>
      </c>
      <c r="W111" s="11">
        <f ca="1">IFERROR(__xludf.DUMMYFUNCTION("""COMPUTED_VALUE"""),2)</f>
        <v>2</v>
      </c>
      <c r="X111" s="11">
        <f ca="1">IFERROR(__xludf.DUMMYFUNCTION("""COMPUTED_VALUE"""),13)</f>
        <v>13</v>
      </c>
      <c r="Y111" s="11">
        <f ca="1">IFERROR(__xludf.DUMMYFUNCTION("""COMPUTED_VALUE"""),5)</f>
        <v>5</v>
      </c>
      <c r="Z111" s="12">
        <f ca="1">IFERROR(__xludf.DUMMYFUNCTION("""COMPUTED_VALUE"""),3)</f>
        <v>3</v>
      </c>
      <c r="AA111" s="12">
        <f ca="1">IFERROR(__xludf.DUMMYFUNCTION("""COMPUTED_VALUE"""),1)</f>
        <v>1</v>
      </c>
      <c r="AB111" s="12">
        <f ca="1">IFERROR(__xludf.DUMMYFUNCTION("""COMPUTED_VALUE"""),9)</f>
        <v>9</v>
      </c>
      <c r="AC111" s="11"/>
      <c r="AD111" s="12"/>
      <c r="AE111" s="12"/>
      <c r="AF111" s="12"/>
      <c r="AG111" s="13" t="str">
        <f ca="1">IFERROR(__xludf.DUMMYFUNCTION("ArrayFormula(VLOOKUP(G111, IMPORTRANGE(""https://docs.google.com/spreadsheets/d/1Co934fvtviyaRiMsrIlT05Jaq7iiYq07aLvRr35KA48/edit?gid=173865642#gid=173865642"", ""'G6_Maths GP_Pri_LU'!G2:V2000""), {3, 4, 5, 6, 7, 8, 9, 10, 11, 12, 13, 14, 15, 16}, 0))"),"")</f>
        <v/>
      </c>
      <c r="AH111" s="13"/>
      <c r="AI111" s="13"/>
      <c r="AJ111" s="13"/>
      <c r="AK111" s="13"/>
      <c r="AL111" s="13"/>
      <c r="AM111" s="13"/>
      <c r="AN111" s="13"/>
      <c r="AO111" s="13"/>
      <c r="AP111" s="13"/>
      <c r="AQ111" s="13"/>
      <c r="AR111" s="13"/>
      <c r="AS111" s="13"/>
      <c r="AT111" s="13"/>
    </row>
    <row r="112" spans="1:46" ht="40.200000000000003">
      <c r="A112" s="8" t="s">
        <v>46</v>
      </c>
      <c r="B112" s="8" t="s">
        <v>47</v>
      </c>
      <c r="C112" s="8" t="s">
        <v>48</v>
      </c>
      <c r="D112" s="8" t="s">
        <v>49</v>
      </c>
      <c r="E112" s="8" t="s">
        <v>209</v>
      </c>
      <c r="F112" s="8" t="s">
        <v>224</v>
      </c>
      <c r="G112" s="16" t="s">
        <v>225</v>
      </c>
      <c r="H112" s="8" t="str">
        <f ca="1">IFERROR(__xludf.DUMMYFUNCTION("VLOOKUP(G112, IMPORTRANGE(""https://docs.google.com/spreadsheets/d/14deopnvwcrKtEGCKuYXdUHJbeLDZlkiSSWWT0g7x2pM/edit#gid=999382323"", ""LU List Maths (Filter)!A:B""), 2, FALSE)"),"Figures with line and rotational symmetry")</f>
        <v>Figures with line and rotational symmetry</v>
      </c>
      <c r="I112" s="10" t="str">
        <f t="shared" si="0"/>
        <v>LU000799.001</v>
      </c>
      <c r="J112" s="10" t="str">
        <f ca="1">IFERROR(__xludf.DUMMYFUNCTION("VLOOKUP(I112, IMPORTRANGE(""https://docs.google.com/spreadsheets/d/1yDAaXNsi4Mr5FtRQL4tbmSdIzhx6_m4wkOD7IG-k_eo/edit#gid=0"", ""Maths!M:N""), 2, FALSE)"),"State the definitions of line and rotational symmetry.")</f>
        <v>State the definitions of line and rotational symmetry.</v>
      </c>
      <c r="K112" s="10" t="str">
        <f t="shared" si="1"/>
        <v>LU000799.002</v>
      </c>
      <c r="L112" s="10" t="str">
        <f ca="1">IFERROR(__xludf.DUMMYFUNCTION("VLOOKUP(K112, IMPORTRANGE(""https://docs.google.com/spreadsheets/d/1yDAaXNsi4Mr5FtRQL4tbmSdIzhx6_m4wkOD7IG-k_eo/edit#gid=0"", ""Maths!M:N""), 2, FALSE)"),"Explain the differences and similarities between line and rotational symmetry.")</f>
        <v>Explain the differences and similarities between line and rotational symmetry.</v>
      </c>
      <c r="M112" s="10" t="str">
        <f t="shared" si="2"/>
        <v>LU000799.003</v>
      </c>
      <c r="N112" s="10" t="str">
        <f ca="1">IFERROR(__xludf.DUMMYFUNCTION("VLOOKUP(M112, IMPORTRANGE(""https://docs.google.com/spreadsheets/d/1yDAaXNsi4Mr5FtRQL4tbmSdIzhx6_m4wkOD7IG-k_eo/edit#gid=0"", ""Maths!M:N""), 2, FALSE)"),"Determine if a given figure exhibits both line and rotational symmetry.")</f>
        <v>Determine if a given figure exhibits both line and rotational symmetry.</v>
      </c>
      <c r="O112" s="10" t="str">
        <f t="shared" si="3"/>
        <v>LU000799.004</v>
      </c>
      <c r="P112" s="10" t="str">
        <f ca="1">IFERROR(__xludf.DUMMYFUNCTION("VLOOKUP(O112, IMPORTRANGE(""https://docs.google.com/spreadsheets/d/1yDAaXNsi4Mr5FtRQL4tbmSdIzhx6_m4wkOD7IG-k_eo/edit#gid=0"", ""Maths!M:N""), 2, FALSE)"),"Analyse complex designs to identify lines of symmetry and rotational positions.")</f>
        <v>Analyse complex designs to identify lines of symmetry and rotational positions.</v>
      </c>
      <c r="Q112" s="10" t="str">
        <f t="shared" si="4"/>
        <v>LU000799.005</v>
      </c>
      <c r="R112" s="10" t="str">
        <f ca="1">IFERROR(__xludf.DUMMYFUNCTION("VLOOKUP(Q112, IMPORTRANGE(""https://docs.google.com/spreadsheets/d/1yDAaXNsi4Mr5FtRQL4tbmSdIzhx6_m4wkOD7IG-k_eo/edit#gid=0"", ""Maths!M:N""), 2, FALSE)"),"Evaluate how the presence of both line and rotational symmetry impacts the visual aesthetics of real-world figures.")</f>
        <v>Evaluate how the presence of both line and rotational symmetry impacts the visual aesthetics of real-world figures.</v>
      </c>
      <c r="S112" s="10" t="str">
        <f t="shared" si="5"/>
        <v>LU000799.006</v>
      </c>
      <c r="T112" s="10" t="str">
        <f ca="1">IFERROR(__xludf.DUMMYFUNCTION("VLOOKUP(S112, IMPORTRANGE(""https://docs.google.com/spreadsheets/d/1yDAaXNsi4Mr5FtRQL4tbmSdIzhx6_m4wkOD7IG-k_eo/edit#gid=0"", ""Maths!M:N""), 2, FALSE)"),"Generate original artwork or designs that incorporate both line and rotational symmetry.")</f>
        <v>Generate original artwork or designs that incorporate both line and rotational symmetry.</v>
      </c>
      <c r="U112" s="11">
        <f ca="1">IFERROR(__xludf.DUMMYFUNCTION("ArrayFormula(VLOOKUP(G112, IMPORTRANGE(""https://docs.google.com/spreadsheets/d/1p7R4vtkWt5VOBim4ltsDG9KTzSjrtKXsMtQGXPHyND0/edit#gid=795171502"", ""'Filter 30_05_2024'!A1:M2000""), {2, 3, 4, 5,6,7,8,9,10,11,12,13}, 0))"),4)</f>
        <v>4</v>
      </c>
      <c r="V112" s="11">
        <f ca="1">IFERROR(__xludf.DUMMYFUNCTION("""COMPUTED_VALUE"""),13)</f>
        <v>13</v>
      </c>
      <c r="W112" s="11">
        <f ca="1">IFERROR(__xludf.DUMMYFUNCTION("""COMPUTED_VALUE"""),16)</f>
        <v>16</v>
      </c>
      <c r="X112" s="11">
        <f ca="1">IFERROR(__xludf.DUMMYFUNCTION("""COMPUTED_VALUE"""),33)</f>
        <v>33</v>
      </c>
      <c r="Y112" s="11">
        <f ca="1">IFERROR(__xludf.DUMMYFUNCTION("""COMPUTED_VALUE"""),4)</f>
        <v>4</v>
      </c>
      <c r="Z112" s="12">
        <f ca="1">IFERROR(__xludf.DUMMYFUNCTION("""COMPUTED_VALUE"""),5)</f>
        <v>5</v>
      </c>
      <c r="AA112" s="12">
        <f ca="1">IFERROR(__xludf.DUMMYFUNCTION("""COMPUTED_VALUE"""),2)</f>
        <v>2</v>
      </c>
      <c r="AB112" s="12">
        <f ca="1">IFERROR(__xludf.DUMMYFUNCTION("""COMPUTED_VALUE"""),11)</f>
        <v>11</v>
      </c>
      <c r="AC112" s="11"/>
      <c r="AD112" s="12"/>
      <c r="AE112" s="12"/>
      <c r="AF112" s="12"/>
      <c r="AG112" s="13" t="str">
        <f ca="1">IFERROR(__xludf.DUMMYFUNCTION("ArrayFormula(VLOOKUP(G112, IMPORTRANGE(""https://docs.google.com/spreadsheets/d/1Co934fvtviyaRiMsrIlT05Jaq7iiYq07aLvRr35KA48/edit?gid=173865642#gid=173865642"", ""'G6_Maths GP_Pri_LU'!G2:V2000""), {3, 4, 5, 6, 7, 8, 9, 10, 11, 12, 13, 14, 15, 16}, 0))"),"LU000792")</f>
        <v>LU000792</v>
      </c>
      <c r="AH112" s="13" t="str">
        <f ca="1">IFERROR(__xludf.DUMMYFUNCTION("""COMPUTED_VALUE"""),"Definition of rotational symmetry")</f>
        <v>Definition of rotational symmetry</v>
      </c>
      <c r="AI112" s="13" t="str">
        <f ca="1">IFERROR(__xludf.DUMMYFUNCTION("""COMPUTED_VALUE"""),"LU000794")</f>
        <v>LU000794</v>
      </c>
      <c r="AJ112" s="13" t="str">
        <f ca="1">IFERROR(__xludf.DUMMYFUNCTION("""COMPUTED_VALUE"""),"Definition of angle of rotation")</f>
        <v>Definition of angle of rotation</v>
      </c>
      <c r="AK112" s="13" t="str">
        <f ca="1">IFERROR(__xludf.DUMMYFUNCTION("""COMPUTED_VALUE"""),"LU000793")</f>
        <v>LU000793</v>
      </c>
      <c r="AL112" s="13" t="str">
        <f ca="1">IFERROR(__xludf.DUMMYFUNCTION("""COMPUTED_VALUE"""),"Definition of centre of rotation")</f>
        <v>Definition of centre of rotation</v>
      </c>
      <c r="AM112" s="13"/>
      <c r="AN112" s="13"/>
      <c r="AO112" s="13"/>
      <c r="AP112" s="13"/>
      <c r="AQ112" s="13"/>
      <c r="AR112" s="13"/>
      <c r="AS112" s="13"/>
      <c r="AT112" s="13"/>
    </row>
    <row r="113" spans="1:46" ht="27">
      <c r="A113" s="8" t="s">
        <v>46</v>
      </c>
      <c r="B113" s="8" t="s">
        <v>47</v>
      </c>
      <c r="C113" s="8" t="s">
        <v>48</v>
      </c>
      <c r="D113" s="8" t="s">
        <v>49</v>
      </c>
      <c r="E113" s="8" t="s">
        <v>226</v>
      </c>
      <c r="F113" s="8" t="s">
        <v>227</v>
      </c>
      <c r="G113" s="16" t="s">
        <v>228</v>
      </c>
      <c r="H113" s="8" t="str">
        <f ca="1">IFERROR(__xludf.DUMMYFUNCTION("VLOOKUP(G113, IMPORTRANGE(""https://docs.google.com/spreadsheets/d/14deopnvwcrKtEGCKuYXdUHJbeLDZlkiSSWWT0g7x2pM/edit#gid=999382323"", ""LU List Maths (Filter)!A:B""), 2, FALSE)"),"Definition of negative numbers")</f>
        <v>Definition of negative numbers</v>
      </c>
      <c r="I113" s="10" t="str">
        <f t="shared" si="0"/>
        <v>LU000907.001</v>
      </c>
      <c r="J113" s="10" t="str">
        <f ca="1">IFERROR(__xludf.DUMMYFUNCTION("VLOOKUP(I113, IMPORTRANGE(""https://docs.google.com/spreadsheets/d/1yDAaXNsi4Mr5FtRQL4tbmSdIzhx6_m4wkOD7IG-k_eo/edit#gid=0"", ""Maths!M:N""), 2, FALSE)"),"State the definition of negative numbers as numbers less than zero.")</f>
        <v>State the definition of negative numbers as numbers less than zero.</v>
      </c>
      <c r="K113" s="10" t="str">
        <f t="shared" si="1"/>
        <v>LU000907.002</v>
      </c>
      <c r="L113" s="10" t="str">
        <f ca="1">IFERROR(__xludf.DUMMYFUNCTION("VLOOKUP(K113, IMPORTRANGE(""https://docs.google.com/spreadsheets/d/1yDAaXNsi4Mr5FtRQL4tbmSdIzhx6_m4wkOD7IG-k_eo/edit#gid=0"", ""Maths!M:N""), 2, FALSE)"),"Describe the properties of negative numbers")</f>
        <v>Describe the properties of negative numbers</v>
      </c>
      <c r="M113" s="10" t="str">
        <f t="shared" si="2"/>
        <v>LU000907.003</v>
      </c>
      <c r="N113" s="10" t="str">
        <f ca="1">IFERROR(__xludf.DUMMYFUNCTION("VLOOKUP(M113, IMPORTRANGE(""https://docs.google.com/spreadsheets/d/1yDAaXNsi4Mr5FtRQL4tbmSdIzhx6_m4wkOD7IG-k_eo/edit#gid=0"", ""Maths!M:N""), 2, FALSE)"),"Apply the knowledge of negative numbers to represent values below zero")</f>
        <v>Apply the knowledge of negative numbers to represent values below zero</v>
      </c>
      <c r="O113" s="10" t="str">
        <f t="shared" si="3"/>
        <v>LU000907.004</v>
      </c>
      <c r="P113" s="10" t="str">
        <f ca="1">IFERROR(__xludf.DUMMYFUNCTION("VLOOKUP(O113, IMPORTRANGE(""https://docs.google.com/spreadsheets/d/1yDAaXNsi4Mr5FtRQL4tbmSdIzhx6_m4wkOD7IG-k_eo/edit#gid=0"", ""Maths!M:N""), 2, FALSE)"),"Compare and contrast the use of negative numbers with positive numbers and zero.")</f>
        <v>Compare and contrast the use of negative numbers with positive numbers and zero.</v>
      </c>
      <c r="Q113" s="10" t="str">
        <f t="shared" si="4"/>
        <v>LU000907.005</v>
      </c>
      <c r="R113" s="10" t="str">
        <f ca="1">IFERROR(__xludf.DUMMYFUNCTION("VLOOKUP(Q113, IMPORTRANGE(""https://docs.google.com/spreadsheets/d/1yDAaXNsi4Mr5FtRQL4tbmSdIzhx6_m4wkOD7IG-k_eo/edit#gid=0"", ""Maths!M:N""), 2, FALSE)"),"Analyse scenarios where negative numbers are applicable and discuss their significance.")</f>
        <v>Analyse scenarios where negative numbers are applicable and discuss their significance.</v>
      </c>
      <c r="S113" s="10" t="str">
        <f t="shared" si="5"/>
        <v>LU000907.006</v>
      </c>
      <c r="T113" s="10" t="str">
        <f ca="1">IFERROR(__xludf.DUMMYFUNCTION("VLOOKUP(S113, IMPORTRANGE(""https://docs.google.com/spreadsheets/d/1yDAaXNsi4Mr5FtRQL4tbmSdIzhx6_m4wkOD7IG-k_eo/edit#gid=0"", ""Maths!M:N""), 2, FALSE)"),"Develop scenarios that require the integration of negative numbers in real-world decision-making")</f>
        <v>Develop scenarios that require the integration of negative numbers in real-world decision-making</v>
      </c>
      <c r="U113" s="11">
        <f ca="1">IFERROR(__xludf.DUMMYFUNCTION("ArrayFormula(VLOOKUP(G113, IMPORTRANGE(""https://docs.google.com/spreadsheets/d/1p7R4vtkWt5VOBim4ltsDG9KTzSjrtKXsMtQGXPHyND0/edit#gid=795171502"", ""'Filter 30_05_2024'!A1:M2000""), {2, 3, 4, 5,6,7,8,9,10,11,12,13}, 0))"),6)</f>
        <v>6</v>
      </c>
      <c r="V113" s="11">
        <f ca="1">IFERROR(__xludf.DUMMYFUNCTION("""COMPUTED_VALUE"""),11)</f>
        <v>11</v>
      </c>
      <c r="W113" s="11">
        <f ca="1">IFERROR(__xludf.DUMMYFUNCTION("""COMPUTED_VALUE"""),19)</f>
        <v>19</v>
      </c>
      <c r="X113" s="11">
        <f ca="1">IFERROR(__xludf.DUMMYFUNCTION("""COMPUTED_VALUE"""),36)</f>
        <v>36</v>
      </c>
      <c r="Y113" s="11">
        <f ca="1">IFERROR(__xludf.DUMMYFUNCTION("""COMPUTED_VALUE"""),8)</f>
        <v>8</v>
      </c>
      <c r="Z113" s="12">
        <f ca="1">IFERROR(__xludf.DUMMYFUNCTION("""COMPUTED_VALUE"""),4)</f>
        <v>4</v>
      </c>
      <c r="AA113" s="12">
        <f ca="1">IFERROR(__xludf.DUMMYFUNCTION("""COMPUTED_VALUE"""),6)</f>
        <v>6</v>
      </c>
      <c r="AB113" s="12">
        <f ca="1">IFERROR(__xludf.DUMMYFUNCTION("""COMPUTED_VALUE"""),18)</f>
        <v>18</v>
      </c>
      <c r="AC113" s="11"/>
      <c r="AD113" s="12"/>
      <c r="AE113" s="12"/>
      <c r="AF113" s="12"/>
      <c r="AG113" s="13" t="str">
        <f ca="1">IFERROR(__xludf.DUMMYFUNCTION("ArrayFormula(VLOOKUP(G113, IMPORTRANGE(""https://docs.google.com/spreadsheets/d/1Co934fvtviyaRiMsrIlT05Jaq7iiYq07aLvRr35KA48/edit?gid=173865642#gid=173865642"", ""'G6_Maths GP_Pri_LU'!G2:V2000""), {3, 4, 5, 6, 7, 8, 9, 10, 11, 12, 13, 14, 15, 16}, 0))"),"LU000176")</f>
        <v>LU000176</v>
      </c>
      <c r="AH113" s="13" t="str">
        <f ca="1">IFERROR(__xludf.DUMMYFUNCTION("""COMPUTED_VALUE"""),"Definition of whole number")</f>
        <v>Definition of whole number</v>
      </c>
      <c r="AI113" s="13" t="str">
        <f ca="1">IFERROR(__xludf.DUMMYFUNCTION("""COMPUTED_VALUE"""),"LU000175")</f>
        <v>LU000175</v>
      </c>
      <c r="AJ113" s="13" t="str">
        <f ca="1">IFERROR(__xludf.DUMMYFUNCTION("""COMPUTED_VALUE"""),"Definition of natural number")</f>
        <v>Definition of natural number</v>
      </c>
      <c r="AK113" s="13"/>
      <c r="AL113" s="13"/>
      <c r="AM113" s="13"/>
      <c r="AN113" s="13"/>
      <c r="AO113" s="13"/>
      <c r="AP113" s="13"/>
      <c r="AQ113" s="13"/>
      <c r="AR113" s="13"/>
      <c r="AS113" s="13"/>
      <c r="AT113" s="13"/>
    </row>
    <row r="114" spans="1:46" ht="40.200000000000003">
      <c r="A114" s="8" t="s">
        <v>46</v>
      </c>
      <c r="B114" s="8" t="s">
        <v>47</v>
      </c>
      <c r="C114" s="8" t="s">
        <v>48</v>
      </c>
      <c r="D114" s="8" t="s">
        <v>49</v>
      </c>
      <c r="E114" s="8" t="s">
        <v>226</v>
      </c>
      <c r="F114" s="8" t="s">
        <v>229</v>
      </c>
      <c r="G114" s="16" t="s">
        <v>230</v>
      </c>
      <c r="H114" s="8" t="str">
        <f ca="1">IFERROR(__xludf.DUMMYFUNCTION("VLOOKUP(G114, IMPORTRANGE(""https://docs.google.com/spreadsheets/d/14deopnvwcrKtEGCKuYXdUHJbeLDZlkiSSWWT0g7x2pM/edit#gid=999382323"", ""LU List Maths (Filter)!A:B""), 2, FALSE)"),"Definition of integers")</f>
        <v>Definition of integers</v>
      </c>
      <c r="I114" s="10" t="str">
        <f t="shared" si="0"/>
        <v>LU000265.001</v>
      </c>
      <c r="J114" s="10" t="str">
        <f ca="1">IFERROR(__xludf.DUMMYFUNCTION("VLOOKUP(I114, IMPORTRANGE(""https://docs.google.com/spreadsheets/d/1yDAaXNsi4Mr5FtRQL4tbmSdIzhx6_m4wkOD7IG-k_eo/edit#gid=0"", ""Maths!M:N""), 2, FALSE)"),"Define integers and their characteristics.")</f>
        <v>Define integers and their characteristics.</v>
      </c>
      <c r="K114" s="10" t="str">
        <f t="shared" si="1"/>
        <v>LU000265.002</v>
      </c>
      <c r="L114" s="10" t="str">
        <f ca="1">IFERROR(__xludf.DUMMYFUNCTION("VLOOKUP(K114, IMPORTRANGE(""https://docs.google.com/spreadsheets/d/1yDAaXNsi4Mr5FtRQL4tbmSdIzhx6_m4wkOD7IG-k_eo/edit#gid=0"", ""Maths!M:N""), 2, FALSE)"),"Explain the concept of integers in relation to whole numbers and natural numbers.")</f>
        <v>Explain the concept of integers in relation to whole numbers and natural numbers.</v>
      </c>
      <c r="M114" s="10" t="str">
        <f t="shared" si="2"/>
        <v>LU000265.003</v>
      </c>
      <c r="N114" s="10" t="str">
        <f ca="1">IFERROR(__xludf.DUMMYFUNCTION("VLOOKUP(M114, IMPORTRANGE(""https://docs.google.com/spreadsheets/d/1yDAaXNsi4Mr5FtRQL4tbmSdIzhx6_m4wkOD7IG-k_eo/edit#gid=0"", ""Maths!M:N""), 2, FALSE)"),"Apply the knowledge of integers to solve practical problems (like change in elevation, money, temperature, etc).")</f>
        <v>Apply the knowledge of integers to solve practical problems (like change in elevation, money, temperature, etc).</v>
      </c>
      <c r="O114" s="10" t="str">
        <f t="shared" si="3"/>
        <v>LU000265.004</v>
      </c>
      <c r="P114" s="10" t="str">
        <f ca="1">IFERROR(__xludf.DUMMYFUNCTION("VLOOKUP(O114, IMPORTRANGE(""https://docs.google.com/spreadsheets/d/1yDAaXNsi4Mr5FtRQL4tbmSdIzhx6_m4wkOD7IG-k_eo/edit#gid=0"", ""Maths!M:N""), 2, FALSE)"),"Analyse integer sequences and patterns to identify rules governing their progression.")</f>
        <v>Analyse integer sequences and patterns to identify rules governing their progression.</v>
      </c>
      <c r="Q114" s="10" t="str">
        <f t="shared" si="4"/>
        <v>LU000265.005</v>
      </c>
      <c r="R114" s="10" t="str">
        <f ca="1">IFERROR(__xludf.DUMMYFUNCTION("VLOOKUP(Q114, IMPORTRANGE(""https://docs.google.com/spreadsheets/d/1yDAaXNsi4Mr5FtRQL4tbmSdIzhx6_m4wkOD7IG-k_eo/edit#gid=0"", ""Maths!M:N""), 2, FALSE)"),"Judge whether statements about integer are true or false.")</f>
        <v>Judge whether statements about integer are true or false.</v>
      </c>
      <c r="S114" s="10" t="str">
        <f t="shared" si="5"/>
        <v>LU000265.006</v>
      </c>
      <c r="T114" s="10" t="str">
        <f ca="1">IFERROR(__xludf.DUMMYFUNCTION("VLOOKUP(S114, IMPORTRANGE(""https://docs.google.com/spreadsheets/d/1yDAaXNsi4Mr5FtRQL4tbmSdIzhx6_m4wkOD7IG-k_eo/edit#gid=0"", ""Maths!M:N""), 2, FALSE)"),"Create word problems that require the use of integers in various real life context.")</f>
        <v>Create word problems that require the use of integers in various real life context.</v>
      </c>
      <c r="U114" s="11">
        <f ca="1">IFERROR(__xludf.DUMMYFUNCTION("ArrayFormula(VLOOKUP(G114, IMPORTRANGE(""https://docs.google.com/spreadsheets/d/1p7R4vtkWt5VOBim4ltsDG9KTzSjrtKXsMtQGXPHyND0/edit#gid=795171502"", ""'Filter 30_05_2024'!A1:M2000""), {2, 3, 4, 5,6,7,8,9,10,11,12,13}, 0))"),6)</f>
        <v>6</v>
      </c>
      <c r="V114" s="11">
        <f ca="1">IFERROR(__xludf.DUMMYFUNCTION("""COMPUTED_VALUE"""),6)</f>
        <v>6</v>
      </c>
      <c r="W114" s="11">
        <f ca="1">IFERROR(__xludf.DUMMYFUNCTION("""COMPUTED_VALUE"""),2)</f>
        <v>2</v>
      </c>
      <c r="X114" s="11">
        <f ca="1">IFERROR(__xludf.DUMMYFUNCTION("""COMPUTED_VALUE"""),14)</f>
        <v>14</v>
      </c>
      <c r="Y114" s="11">
        <f ca="1">IFERROR(__xludf.DUMMYFUNCTION("""COMPUTED_VALUE"""),8)</f>
        <v>8</v>
      </c>
      <c r="Z114" s="12">
        <f ca="1">IFERROR(__xludf.DUMMYFUNCTION("""COMPUTED_VALUE"""),3)</f>
        <v>3</v>
      </c>
      <c r="AA114" s="12">
        <f ca="1">IFERROR(__xludf.DUMMYFUNCTION("""COMPUTED_VALUE"""),1)</f>
        <v>1</v>
      </c>
      <c r="AB114" s="12">
        <f ca="1">IFERROR(__xludf.DUMMYFUNCTION("""COMPUTED_VALUE"""),12)</f>
        <v>12</v>
      </c>
      <c r="AC114" s="11"/>
      <c r="AD114" s="12"/>
      <c r="AE114" s="12"/>
      <c r="AF114" s="12"/>
      <c r="AG114" s="13" t="str">
        <f ca="1">IFERROR(__xludf.DUMMYFUNCTION("ArrayFormula(VLOOKUP(G114, IMPORTRANGE(""https://docs.google.com/spreadsheets/d/1Co934fvtviyaRiMsrIlT05Jaq7iiYq07aLvRr35KA48/edit?gid=173865642#gid=173865642"", ""'G6_Maths GP_Pri_LU'!G2:V2000""), {3, 4, 5, 6, 7, 8, 9, 10, 11, 12, 13, 14, 15, 16}, 0))"),"LU000176")</f>
        <v>LU000176</v>
      </c>
      <c r="AH114" s="13" t="str">
        <f ca="1">IFERROR(__xludf.DUMMYFUNCTION("""COMPUTED_VALUE"""),"Definition of whole number")</f>
        <v>Definition of whole number</v>
      </c>
      <c r="AI114" s="13" t="str">
        <f ca="1">IFERROR(__xludf.DUMMYFUNCTION("""COMPUTED_VALUE"""),"LU000907")</f>
        <v>LU000907</v>
      </c>
      <c r="AJ114" s="13" t="str">
        <f ca="1">IFERROR(__xludf.DUMMYFUNCTION("""COMPUTED_VALUE"""),"Definition of negative numbers")</f>
        <v>Definition of negative numbers</v>
      </c>
      <c r="AK114" s="13" t="str">
        <f ca="1">IFERROR(__xludf.DUMMYFUNCTION("""COMPUTED_VALUE"""),"LU000175")</f>
        <v>LU000175</v>
      </c>
      <c r="AL114" s="13" t="str">
        <f ca="1">IFERROR(__xludf.DUMMYFUNCTION("""COMPUTED_VALUE"""),"Definition of natural number")</f>
        <v>Definition of natural number</v>
      </c>
      <c r="AM114" s="13"/>
      <c r="AN114" s="13"/>
      <c r="AO114" s="13"/>
      <c r="AP114" s="13"/>
      <c r="AQ114" s="13"/>
      <c r="AR114" s="13"/>
      <c r="AS114" s="13"/>
      <c r="AT114" s="13"/>
    </row>
    <row r="115" spans="1:46" ht="40.200000000000003">
      <c r="A115" s="8" t="s">
        <v>46</v>
      </c>
      <c r="B115" s="8" t="s">
        <v>47</v>
      </c>
      <c r="C115" s="8" t="s">
        <v>48</v>
      </c>
      <c r="D115" s="8" t="s">
        <v>49</v>
      </c>
      <c r="E115" s="8" t="s">
        <v>226</v>
      </c>
      <c r="F115" s="8" t="s">
        <v>229</v>
      </c>
      <c r="G115" s="16" t="s">
        <v>231</v>
      </c>
      <c r="H115" s="8" t="str">
        <f ca="1">IFERROR(__xludf.DUMMYFUNCTION("VLOOKUP(G115, IMPORTRANGE(""https://docs.google.com/spreadsheets/d/14deopnvwcrKtEGCKuYXdUHJbeLDZlkiSSWWT0g7x2pM/edit#gid=999382323"", ""LU List Maths (Filter)!A:B""), 2, FALSE)"),"Definition of positive integers")</f>
        <v>Definition of positive integers</v>
      </c>
      <c r="I115" s="10" t="str">
        <f t="shared" si="0"/>
        <v>LU000266.001</v>
      </c>
      <c r="J115" s="10" t="str">
        <f ca="1">IFERROR(__xludf.DUMMYFUNCTION("VLOOKUP(I115, IMPORTRANGE(""https://docs.google.com/spreadsheets/d/1yDAaXNsi4Mr5FtRQL4tbmSdIzhx6_m4wkOD7IG-k_eo/edit#gid=0"", ""Maths!M:N""), 2, FALSE)"),"Define positive integers and their characteristics.")</f>
        <v>Define positive integers and their characteristics.</v>
      </c>
      <c r="K115" s="10" t="str">
        <f t="shared" si="1"/>
        <v>LU000266.002</v>
      </c>
      <c r="L115" s="10" t="str">
        <f ca="1">IFERROR(__xludf.DUMMYFUNCTION("VLOOKUP(K115, IMPORTRANGE(""https://docs.google.com/spreadsheets/d/1yDAaXNsi4Mr5FtRQL4tbmSdIzhx6_m4wkOD7IG-k_eo/edit#gid=0"", ""Maths!M:N""), 2, FALSE)"),"Explain the concept of positive integers and how they relate to whole numbers and natural numbers.")</f>
        <v>Explain the concept of positive integers and how they relate to whole numbers and natural numbers.</v>
      </c>
      <c r="M115" s="10" t="str">
        <f t="shared" si="2"/>
        <v>LU000266.003</v>
      </c>
      <c r="N115" s="10" t="str">
        <f ca="1">IFERROR(__xludf.DUMMYFUNCTION("VLOOKUP(M115, IMPORTRANGE(""https://docs.google.com/spreadsheets/d/1yDAaXNsi4Mr5FtRQL4tbmSdIzhx6_m4wkOD7IG-k_eo/edit#gid=0"", ""Maths!M:N""), 2, FALSE)"),"Apply the concept of positive integers to solve basic addition problems.")</f>
        <v>Apply the concept of positive integers to solve basic addition problems.</v>
      </c>
      <c r="O115" s="10" t="str">
        <f t="shared" si="3"/>
        <v>LU000266.004</v>
      </c>
      <c r="P115" s="10" t="str">
        <f ca="1">IFERROR(__xludf.DUMMYFUNCTION("VLOOKUP(O115, IMPORTRANGE(""https://docs.google.com/spreadsheets/d/1yDAaXNsi4Mr5FtRQL4tbmSdIzhx6_m4wkOD7IG-k_eo/edit#gid=0"", ""Maths!M:N""), 2, FALSE)"),"Analyse patterns in sequences of positive integers and identify rules governing their progression.")</f>
        <v>Analyse patterns in sequences of positive integers and identify rules governing their progression.</v>
      </c>
      <c r="Q115" s="10" t="str">
        <f t="shared" si="4"/>
        <v>LU000266.005</v>
      </c>
      <c r="R115" s="10" t="str">
        <f ca="1">IFERROR(__xludf.DUMMYFUNCTION("VLOOKUP(Q115, IMPORTRANGE(""https://docs.google.com/spreadsheets/d/1yDAaXNsi4Mr5FtRQL4tbmSdIzhx6_m4wkOD7IG-k_eo/edit#gid=0"", ""Maths!M:N""), 2, FALSE)"),"Judge whether statements about positive integer are true or false.")</f>
        <v>Judge whether statements about positive integer are true or false.</v>
      </c>
      <c r="S115" s="10" t="str">
        <f t="shared" si="5"/>
        <v>LU000266.006</v>
      </c>
      <c r="T115" s="10" t="str">
        <f ca="1">IFERROR(__xludf.DUMMYFUNCTION("VLOOKUP(S115, IMPORTRANGE(""https://docs.google.com/spreadsheets/d/1yDAaXNsi4Mr5FtRQL4tbmSdIzhx6_m4wkOD7IG-k_eo/edit#gid=0"", ""Maths!M:N""), 2, FALSE)"),"Create word problems that require the use of positive integers in various real life context.")</f>
        <v>Create word problems that require the use of positive integers in various real life context.</v>
      </c>
      <c r="U115" s="11">
        <f ca="1">IFERROR(__xludf.DUMMYFUNCTION("ArrayFormula(VLOOKUP(G115, IMPORTRANGE(""https://docs.google.com/spreadsheets/d/1p7R4vtkWt5VOBim4ltsDG9KTzSjrtKXsMtQGXPHyND0/edit#gid=795171502"", ""'Filter 30_05_2024'!A1:M2000""), {2, 3, 4, 5,6,7,8,9,10,11,12,13}, 0))"),4)</f>
        <v>4</v>
      </c>
      <c r="V115" s="11">
        <f ca="1">IFERROR(__xludf.DUMMYFUNCTION("""COMPUTED_VALUE"""),6)</f>
        <v>6</v>
      </c>
      <c r="W115" s="11">
        <f ca="1">IFERROR(__xludf.DUMMYFUNCTION("""COMPUTED_VALUE"""),2)</f>
        <v>2</v>
      </c>
      <c r="X115" s="11">
        <f ca="1">IFERROR(__xludf.DUMMYFUNCTION("""COMPUTED_VALUE"""),12)</f>
        <v>12</v>
      </c>
      <c r="Y115" s="11">
        <f ca="1">IFERROR(__xludf.DUMMYFUNCTION("""COMPUTED_VALUE"""),5)</f>
        <v>5</v>
      </c>
      <c r="Z115" s="12">
        <f ca="1">IFERROR(__xludf.DUMMYFUNCTION("""COMPUTED_VALUE"""),3)</f>
        <v>3</v>
      </c>
      <c r="AA115" s="12">
        <f ca="1">IFERROR(__xludf.DUMMYFUNCTION("""COMPUTED_VALUE"""),1)</f>
        <v>1</v>
      </c>
      <c r="AB115" s="12">
        <f ca="1">IFERROR(__xludf.DUMMYFUNCTION("""COMPUTED_VALUE"""),9)</f>
        <v>9</v>
      </c>
      <c r="AC115" s="11"/>
      <c r="AD115" s="12"/>
      <c r="AE115" s="12"/>
      <c r="AF115" s="12"/>
      <c r="AG115" s="13" t="str">
        <f ca="1">IFERROR(__xludf.DUMMYFUNCTION("ArrayFormula(VLOOKUP(G115, IMPORTRANGE(""https://docs.google.com/spreadsheets/d/1Co934fvtviyaRiMsrIlT05Jaq7iiYq07aLvRr35KA48/edit?gid=173865642#gid=173865642"", ""'G6_Maths GP_Pri_LU'!G2:V2000""), {3, 4, 5, 6, 7, 8, 9, 10, 11, 12, 13, 14, 15, 16}, 0))"),"LU000175")</f>
        <v>LU000175</v>
      </c>
      <c r="AH115" s="13" t="str">
        <f ca="1">IFERROR(__xludf.DUMMYFUNCTION("""COMPUTED_VALUE"""),"Definition of natural number")</f>
        <v>Definition of natural number</v>
      </c>
      <c r="AI115" s="13" t="str">
        <f ca="1">IFERROR(__xludf.DUMMYFUNCTION("""COMPUTED_VALUE"""),"LU000176")</f>
        <v>LU000176</v>
      </c>
      <c r="AJ115" s="13" t="str">
        <f ca="1">IFERROR(__xludf.DUMMYFUNCTION("""COMPUTED_VALUE"""),"Definition of whole number")</f>
        <v>Definition of whole number</v>
      </c>
      <c r="AK115" s="13"/>
      <c r="AL115" s="13"/>
      <c r="AM115" s="13"/>
      <c r="AN115" s="13"/>
      <c r="AO115" s="13"/>
      <c r="AP115" s="13"/>
      <c r="AQ115" s="13"/>
      <c r="AR115" s="13"/>
      <c r="AS115" s="13"/>
      <c r="AT115" s="13"/>
    </row>
    <row r="116" spans="1:46" ht="40.200000000000003">
      <c r="A116" s="8" t="s">
        <v>46</v>
      </c>
      <c r="B116" s="8" t="s">
        <v>47</v>
      </c>
      <c r="C116" s="8" t="s">
        <v>48</v>
      </c>
      <c r="D116" s="8" t="s">
        <v>49</v>
      </c>
      <c r="E116" s="8" t="s">
        <v>226</v>
      </c>
      <c r="F116" s="8" t="s">
        <v>229</v>
      </c>
      <c r="G116" s="16" t="s">
        <v>232</v>
      </c>
      <c r="H116" s="8" t="str">
        <f ca="1">IFERROR(__xludf.DUMMYFUNCTION("VLOOKUP(G116, IMPORTRANGE(""https://docs.google.com/spreadsheets/d/14deopnvwcrKtEGCKuYXdUHJbeLDZlkiSSWWT0g7x2pM/edit#gid=999382323"", ""LU List Maths (Filter)!A:B""), 2, FALSE)"),"Definition of negative integers")</f>
        <v>Definition of negative integers</v>
      </c>
      <c r="I116" s="10" t="str">
        <f t="shared" si="0"/>
        <v>LU000267.001</v>
      </c>
      <c r="J116" s="10" t="str">
        <f ca="1">IFERROR(__xludf.DUMMYFUNCTION("VLOOKUP(I116, IMPORTRANGE(""https://docs.google.com/spreadsheets/d/1yDAaXNsi4Mr5FtRQL4tbmSdIzhx6_m4wkOD7IG-k_eo/edit#gid=0"", ""Maths!M:N""), 2, FALSE)"),"Define negative integers and their characteristics.")</f>
        <v>Define negative integers and their characteristics.</v>
      </c>
      <c r="K116" s="10" t="str">
        <f t="shared" si="1"/>
        <v>LU000267.002</v>
      </c>
      <c r="L116" s="10" t="str">
        <f ca="1">IFERROR(__xludf.DUMMYFUNCTION("VLOOKUP(K116, IMPORTRANGE(""https://docs.google.com/spreadsheets/d/1yDAaXNsi4Mr5FtRQL4tbmSdIzhx6_m4wkOD7IG-k_eo/edit#gid=0"", ""Maths!M:N""), 2, FALSE)"),"Explain the concept of negative integers and how they relate to whole numbers and natural numbers.")</f>
        <v>Explain the concept of negative integers and how they relate to whole numbers and natural numbers.</v>
      </c>
      <c r="M116" s="10" t="str">
        <f t="shared" si="2"/>
        <v>LU000267.003</v>
      </c>
      <c r="N116" s="10" t="str">
        <f ca="1">IFERROR(__xludf.DUMMYFUNCTION("VLOOKUP(M116, IMPORTRANGE(""https://docs.google.com/spreadsheets/d/1yDAaXNsi4Mr5FtRQL4tbmSdIzhx6_m4wkOD7IG-k_eo/edit#gid=0"", ""Maths!M:N""), 2, FALSE)"),"Apply the concept of negative integers to solve basic addition problems.")</f>
        <v>Apply the concept of negative integers to solve basic addition problems.</v>
      </c>
      <c r="O116" s="10" t="str">
        <f t="shared" si="3"/>
        <v>LU000267.004</v>
      </c>
      <c r="P116" s="10" t="str">
        <f ca="1">IFERROR(__xludf.DUMMYFUNCTION("VLOOKUP(O116, IMPORTRANGE(""https://docs.google.com/spreadsheets/d/1yDAaXNsi4Mr5FtRQL4tbmSdIzhx6_m4wkOD7IG-k_eo/edit#gid=0"", ""Maths!M:N""), 2, FALSE)"),"Analyse scenarios where negative integers are applicable and discuss their significance.")</f>
        <v>Analyse scenarios where negative integers are applicable and discuss their significance.</v>
      </c>
      <c r="Q116" s="10" t="str">
        <f t="shared" si="4"/>
        <v>LU000267.005</v>
      </c>
      <c r="R116" s="10" t="str">
        <f ca="1">IFERROR(__xludf.DUMMYFUNCTION("VLOOKUP(Q116, IMPORTRANGE(""https://docs.google.com/spreadsheets/d/1yDAaXNsi4Mr5FtRQL4tbmSdIzhx6_m4wkOD7IG-k_eo/edit#gid=0"", ""Maths!M:N""), 2, FALSE)"),"Judge whether statements about negative integer are true or false.")</f>
        <v>Judge whether statements about negative integer are true or false.</v>
      </c>
      <c r="S116" s="10" t="str">
        <f t="shared" si="5"/>
        <v>LU000267.006</v>
      </c>
      <c r="T116" s="10" t="str">
        <f ca="1">IFERROR(__xludf.DUMMYFUNCTION("VLOOKUP(S116, IMPORTRANGE(""https://docs.google.com/spreadsheets/d/1yDAaXNsi4Mr5FtRQL4tbmSdIzhx6_m4wkOD7IG-k_eo/edit#gid=0"", ""Maths!M:N""), 2, FALSE)"),"Create word problems that require the use of negative integers in various real life context.")</f>
        <v>Create word problems that require the use of negative integers in various real life context.</v>
      </c>
      <c r="U116" s="11">
        <f ca="1">IFERROR(__xludf.DUMMYFUNCTION("ArrayFormula(VLOOKUP(G116, IMPORTRANGE(""https://docs.google.com/spreadsheets/d/1p7R4vtkWt5VOBim4ltsDG9KTzSjrtKXsMtQGXPHyND0/edit#gid=795171502"", ""'Filter 30_05_2024'!A1:M2000""), {2, 3, 4, 5,6,7,8,9,10,11,12,13}, 0))"),5)</f>
        <v>5</v>
      </c>
      <c r="V116" s="11">
        <f ca="1">IFERROR(__xludf.DUMMYFUNCTION("""COMPUTED_VALUE"""),6)</f>
        <v>6</v>
      </c>
      <c r="W116" s="11">
        <f ca="1">IFERROR(__xludf.DUMMYFUNCTION("""COMPUTED_VALUE"""),1)</f>
        <v>1</v>
      </c>
      <c r="X116" s="11">
        <f ca="1">IFERROR(__xludf.DUMMYFUNCTION("""COMPUTED_VALUE"""),12)</f>
        <v>12</v>
      </c>
      <c r="Y116" s="11">
        <f ca="1">IFERROR(__xludf.DUMMYFUNCTION("""COMPUTED_VALUE"""),4)</f>
        <v>4</v>
      </c>
      <c r="Z116" s="12">
        <f ca="1">IFERROR(__xludf.DUMMYFUNCTION("""COMPUTED_VALUE"""),3)</f>
        <v>3</v>
      </c>
      <c r="AA116" s="12">
        <f ca="1">IFERROR(__xludf.DUMMYFUNCTION("""COMPUTED_VALUE"""),2)</f>
        <v>2</v>
      </c>
      <c r="AB116" s="12">
        <f ca="1">IFERROR(__xludf.DUMMYFUNCTION("""COMPUTED_VALUE"""),9)</f>
        <v>9</v>
      </c>
      <c r="AC116" s="11"/>
      <c r="AD116" s="12"/>
      <c r="AE116" s="12"/>
      <c r="AF116" s="12"/>
      <c r="AG116" s="13" t="str">
        <f ca="1">IFERROR(__xludf.DUMMYFUNCTION("ArrayFormula(VLOOKUP(G116, IMPORTRANGE(""https://docs.google.com/spreadsheets/d/1Co934fvtviyaRiMsrIlT05Jaq7iiYq07aLvRr35KA48/edit?gid=173865642#gid=173865642"", ""'G6_Maths GP_Pri_LU'!G2:V2000""), {3, 4, 5, 6, 7, 8, 9, 10, 11, 12, 13, 14, 15, 16}, 0))"),"LU000176")</f>
        <v>LU000176</v>
      </c>
      <c r="AH116" s="13" t="str">
        <f ca="1">IFERROR(__xludf.DUMMYFUNCTION("""COMPUTED_VALUE"""),"Definition of whole number")</f>
        <v>Definition of whole number</v>
      </c>
      <c r="AI116" s="13" t="str">
        <f ca="1">IFERROR(__xludf.DUMMYFUNCTION("""COMPUTED_VALUE"""),"LU000907")</f>
        <v>LU000907</v>
      </c>
      <c r="AJ116" s="13" t="str">
        <f ca="1">IFERROR(__xludf.DUMMYFUNCTION("""COMPUTED_VALUE"""),"Definition of negative numbers")</f>
        <v>Definition of negative numbers</v>
      </c>
      <c r="AK116" s="13" t="str">
        <f ca="1">IFERROR(__xludf.DUMMYFUNCTION("""COMPUTED_VALUE"""),"LU000175")</f>
        <v>LU000175</v>
      </c>
      <c r="AL116" s="13" t="str">
        <f ca="1">IFERROR(__xludf.DUMMYFUNCTION("""COMPUTED_VALUE"""),"Definition of natural number")</f>
        <v>Definition of natural number</v>
      </c>
      <c r="AM116" s="13"/>
      <c r="AN116" s="13"/>
      <c r="AO116" s="13"/>
      <c r="AP116" s="13"/>
      <c r="AQ116" s="13"/>
      <c r="AR116" s="13"/>
      <c r="AS116" s="13"/>
      <c r="AT116" s="13"/>
    </row>
    <row r="117" spans="1:46" ht="40.200000000000003">
      <c r="A117" s="8" t="s">
        <v>46</v>
      </c>
      <c r="B117" s="8" t="s">
        <v>47</v>
      </c>
      <c r="C117" s="8" t="s">
        <v>48</v>
      </c>
      <c r="D117" s="8" t="s">
        <v>49</v>
      </c>
      <c r="E117" s="8" t="s">
        <v>226</v>
      </c>
      <c r="F117" s="8" t="s">
        <v>233</v>
      </c>
      <c r="G117" s="16" t="s">
        <v>234</v>
      </c>
      <c r="H117" s="8" t="str">
        <f ca="1">IFERROR(__xludf.DUMMYFUNCTION("VLOOKUP(G117, IMPORTRANGE(""https://docs.google.com/spreadsheets/d/14deopnvwcrKtEGCKuYXdUHJbeLDZlkiSSWWT0g7x2pM/edit#gid=999382323"", ""LU List Maths (Filter)!A:B""), 2, FALSE)"),"Representation of integers on number line")</f>
        <v>Representation of integers on number line</v>
      </c>
      <c r="I117" s="10" t="str">
        <f t="shared" si="0"/>
        <v>LU000270.001</v>
      </c>
      <c r="J117" s="10" t="str">
        <f ca="1">IFERROR(__xludf.DUMMYFUNCTION("VLOOKUP(I117, IMPORTRANGE(""https://docs.google.com/spreadsheets/d/1yDAaXNsi4Mr5FtRQL4tbmSdIzhx6_m4wkOD7IG-k_eo/edit#gid=0"", ""Maths!M:N""), 2, FALSE)"),"Define a number line and its use in representing integers.")</f>
        <v>Define a number line and its use in representing integers.</v>
      </c>
      <c r="K117" s="10" t="str">
        <f t="shared" si="1"/>
        <v>LU000270.002</v>
      </c>
      <c r="L117" s="10" t="str">
        <f ca="1">IFERROR(__xludf.DUMMYFUNCTION("VLOOKUP(K117, IMPORTRANGE(""https://docs.google.com/spreadsheets/d/1yDAaXNsi4Mr5FtRQL4tbmSdIzhx6_m4wkOD7IG-k_eo/edit#gid=0"", ""Maths!M:N""), 2, FALSE)"),"Explain the concept of integers' positions on a number line and how positive and negative integers are situated.")</f>
        <v>Explain the concept of integers' positions on a number line and how positive and negative integers are situated.</v>
      </c>
      <c r="M117" s="10" t="str">
        <f t="shared" si="2"/>
        <v>LU000270.003</v>
      </c>
      <c r="N117" s="10" t="str">
        <f ca="1">IFERROR(__xludf.DUMMYFUNCTION("VLOOKUP(M117, IMPORTRANGE(""https://docs.google.com/spreadsheets/d/1yDAaXNsi4Mr5FtRQL4tbmSdIzhx6_m4wkOD7IG-k_eo/edit#gid=0"", ""Maths!M:N""), 2, FALSE)"),"Apply the knowledge of number lines to represent integers and locate their positions.")</f>
        <v>Apply the knowledge of number lines to represent integers and locate their positions.</v>
      </c>
      <c r="O117" s="10" t="str">
        <f t="shared" si="3"/>
        <v>LU000270.004</v>
      </c>
      <c r="P117" s="10" t="str">
        <f ca="1">IFERROR(__xludf.DUMMYFUNCTION("VLOOKUP(O117, IMPORTRANGE(""https://docs.google.com/spreadsheets/d/1yDAaXNsi4Mr5FtRQL4tbmSdIzhx6_m4wkOD7IG-k_eo/edit#gid=0"", ""Maths!M:N""), 2, FALSE)"),"Analyse the spacing and intervals on a number line to determine the difference between integer positions.")</f>
        <v>Analyse the spacing and intervals on a number line to determine the difference between integer positions.</v>
      </c>
      <c r="Q117" s="10" t="str">
        <f t="shared" si="4"/>
        <v>LU000270.005</v>
      </c>
      <c r="R117" s="10" t="str">
        <f ca="1">IFERROR(__xludf.DUMMYFUNCTION("VLOOKUP(Q117, IMPORTRANGE(""https://docs.google.com/spreadsheets/d/1yDAaXNsi4Mr5FtRQL4tbmSdIzhx6_m4wkOD7IG-k_eo/edit#gid=0"", ""Maths!M:N""), 2, FALSE)"),"Evaluate the accuracy of solutions to integer addition problems and provide feedback on the approach.")</f>
        <v>Evaluate the accuracy of solutions to integer addition problems and provide feedback on the approach.</v>
      </c>
      <c r="S117" s="10" t="str">
        <f t="shared" si="5"/>
        <v>LU000270.006</v>
      </c>
      <c r="T117" s="10" t="str">
        <f ca="1">IFERROR(__xludf.DUMMYFUNCTION("VLOOKUP(S117, IMPORTRANGE(""https://docs.google.com/spreadsheets/d/1yDAaXNsi4Mr5FtRQL4tbmSdIzhx6_m4wkOD7IG-k_eo/edit#gid=0"", ""Maths!M:N""), 2, FALSE)"),"Create a set of integer addition problems with varying sign combinations.")</f>
        <v>Create a set of integer addition problems with varying sign combinations.</v>
      </c>
      <c r="U117" s="11">
        <f ca="1">IFERROR(__xludf.DUMMYFUNCTION("ArrayFormula(VLOOKUP(G117, IMPORTRANGE(""https://docs.google.com/spreadsheets/d/1p7R4vtkWt5VOBim4ltsDG9KTzSjrtKXsMtQGXPHyND0/edit#gid=795171502"", ""'Filter 30_05_2024'!A1:M2000""), {2, 3, 4, 5,6,7,8,9,10,11,12,13}, 0))"),6)</f>
        <v>6</v>
      </c>
      <c r="V117" s="11">
        <f ca="1">IFERROR(__xludf.DUMMYFUNCTION("""COMPUTED_VALUE"""),6)</f>
        <v>6</v>
      </c>
      <c r="W117" s="11">
        <f ca="1">IFERROR(__xludf.DUMMYFUNCTION("""COMPUTED_VALUE"""),2)</f>
        <v>2</v>
      </c>
      <c r="X117" s="11">
        <f ca="1">IFERROR(__xludf.DUMMYFUNCTION("""COMPUTED_VALUE"""),14)</f>
        <v>14</v>
      </c>
      <c r="Y117" s="11">
        <f ca="1">IFERROR(__xludf.DUMMYFUNCTION("""COMPUTED_VALUE"""),7)</f>
        <v>7</v>
      </c>
      <c r="Z117" s="12">
        <f ca="1">IFERROR(__xludf.DUMMYFUNCTION("""COMPUTED_VALUE"""),3)</f>
        <v>3</v>
      </c>
      <c r="AA117" s="12">
        <f ca="1">IFERROR(__xludf.DUMMYFUNCTION("""COMPUTED_VALUE"""),1)</f>
        <v>1</v>
      </c>
      <c r="AB117" s="12">
        <f ca="1">IFERROR(__xludf.DUMMYFUNCTION("""COMPUTED_VALUE"""),11)</f>
        <v>11</v>
      </c>
      <c r="AC117" s="11"/>
      <c r="AD117" s="12"/>
      <c r="AE117" s="12"/>
      <c r="AF117" s="12"/>
      <c r="AG117" s="13" t="str">
        <f ca="1">IFERROR(__xludf.DUMMYFUNCTION("ArrayFormula(VLOOKUP(G117, IMPORTRANGE(""https://docs.google.com/spreadsheets/d/1Co934fvtviyaRiMsrIlT05Jaq7iiYq07aLvRr35KA48/edit?gid=173865642#gid=173865642"", ""'G6_Maths GP_Pri_LU'!G2:V2000""), {3, 4, 5, 6, 7, 8, 9, 10, 11, 12, 13, 14, 15, 16}, 0))"),"LU000179")</f>
        <v>LU000179</v>
      </c>
      <c r="AH117" s="13" t="str">
        <f ca="1">IFERROR(__xludf.DUMMYFUNCTION("""COMPUTED_VALUE"""),"Representation of whole numbers on a number line")</f>
        <v>Representation of whole numbers on a number line</v>
      </c>
      <c r="AI117" s="13" t="str">
        <f ca="1">IFERROR(__xludf.DUMMYFUNCTION("""COMPUTED_VALUE"""),"LU000178")</f>
        <v>LU000178</v>
      </c>
      <c r="AJ117" s="13" t="str">
        <f ca="1">IFERROR(__xludf.DUMMYFUNCTION("""COMPUTED_VALUE"""),"Successor of whole numbers")</f>
        <v>Successor of whole numbers</v>
      </c>
      <c r="AK117" s="13" t="str">
        <f ca="1">IFERROR(__xludf.DUMMYFUNCTION("""COMPUTED_VALUE"""),"LU000177")</f>
        <v>LU000177</v>
      </c>
      <c r="AL117" s="13" t="str">
        <f ca="1">IFERROR(__xludf.DUMMYFUNCTION("""COMPUTED_VALUE"""),"Predecessor of whole numbers")</f>
        <v>Predecessor of whole numbers</v>
      </c>
      <c r="AM117" s="13" t="str">
        <f ca="1">IFERROR(__xludf.DUMMYFUNCTION("""COMPUTED_VALUE"""),"LU000266")</f>
        <v>LU000266</v>
      </c>
      <c r="AN117" s="13" t="str">
        <f ca="1">IFERROR(__xludf.DUMMYFUNCTION("""COMPUTED_VALUE"""),"Definition of positive integers")</f>
        <v>Definition of positive integers</v>
      </c>
      <c r="AO117" s="13" t="str">
        <f ca="1">IFERROR(__xludf.DUMMYFUNCTION("""COMPUTED_VALUE"""),"LU000267")</f>
        <v>LU000267</v>
      </c>
      <c r="AP117" s="13" t="str">
        <f ca="1">IFERROR(__xludf.DUMMYFUNCTION("""COMPUTED_VALUE"""),"Definition of negative integers")</f>
        <v>Definition of negative integers</v>
      </c>
      <c r="AQ117" s="13"/>
      <c r="AR117" s="13"/>
      <c r="AS117" s="13"/>
      <c r="AT117" s="13"/>
    </row>
    <row r="118" spans="1:46" ht="40.200000000000003">
      <c r="A118" s="8" t="s">
        <v>46</v>
      </c>
      <c r="B118" s="8" t="s">
        <v>47</v>
      </c>
      <c r="C118" s="8" t="s">
        <v>48</v>
      </c>
      <c r="D118" s="8" t="s">
        <v>49</v>
      </c>
      <c r="E118" s="8" t="s">
        <v>226</v>
      </c>
      <c r="F118" s="8" t="s">
        <v>233</v>
      </c>
      <c r="G118" s="16" t="s">
        <v>235</v>
      </c>
      <c r="H118" s="8" t="str">
        <f ca="1">IFERROR(__xludf.DUMMYFUNCTION("VLOOKUP(G118, IMPORTRANGE(""https://docs.google.com/spreadsheets/d/14deopnvwcrKtEGCKuYXdUHJbeLDZlkiSSWWT0g7x2pM/edit#gid=999382323"", ""LU List Maths (Filter)!A:B""), 2, FALSE)"),"Comparison of integers")</f>
        <v>Comparison of integers</v>
      </c>
      <c r="I118" s="10" t="str">
        <f t="shared" si="0"/>
        <v>LU000908.001</v>
      </c>
      <c r="J118" s="10" t="str">
        <f ca="1">IFERROR(__xludf.DUMMYFUNCTION("VLOOKUP(I118, IMPORTRANGE(""https://docs.google.com/spreadsheets/d/1yDAaXNsi4Mr5FtRQL4tbmSdIzhx6_m4wkOD7IG-k_eo/edit#gid=0"", ""Maths!M:N""), 2, FALSE)"),"List the order of integers on the number line.")</f>
        <v>List the order of integers on the number line.</v>
      </c>
      <c r="K118" s="10" t="str">
        <f t="shared" si="1"/>
        <v>LU000908.002</v>
      </c>
      <c r="L118" s="10" t="str">
        <f ca="1">IFERROR(__xludf.DUMMYFUNCTION("VLOOKUP(K118, IMPORTRANGE(""https://docs.google.com/spreadsheets/d/1yDAaXNsi4Mr5FtRQL4tbmSdIzhx6_m4wkOD7IG-k_eo/edit#gid=0"", ""Maths!M:N""), 2, FALSE)"),"Summarize the rules for comparing integers in different contexts.")</f>
        <v>Summarize the rules for comparing integers in different contexts.</v>
      </c>
      <c r="M118" s="10" t="str">
        <f t="shared" si="2"/>
        <v>LU000908.003</v>
      </c>
      <c r="N118" s="10" t="str">
        <f ca="1">IFERROR(__xludf.DUMMYFUNCTION("VLOOKUP(M118, IMPORTRANGE(""https://docs.google.com/spreadsheets/d/1yDAaXNsi4Mr5FtRQL4tbmSdIzhx6_m4wkOD7IG-k_eo/edit#gid=0"", ""Maths!M:N""), 2, FALSE)"),"Apply the knowledge of integer comparison to correctly order integers")</f>
        <v>Apply the knowledge of integer comparison to correctly order integers</v>
      </c>
      <c r="O118" s="10" t="str">
        <f t="shared" si="3"/>
        <v>LU000908.004</v>
      </c>
      <c r="P118" s="10" t="str">
        <f ca="1">IFERROR(__xludf.DUMMYFUNCTION("VLOOKUP(O118, IMPORTRANGE(""https://docs.google.com/spreadsheets/d/1yDAaXNsi4Mr5FtRQL4tbmSdIzhx6_m4wkOD7IG-k_eo/edit#gid=0"", ""Maths!M:N""), 2, FALSE)"),"Compare and contrast different strategies for comparing integers")</f>
        <v>Compare and contrast different strategies for comparing integers</v>
      </c>
      <c r="Q118" s="10" t="str">
        <f t="shared" si="4"/>
        <v>LU000908.005</v>
      </c>
      <c r="R118" s="10" t="str">
        <f ca="1">IFERROR(__xludf.DUMMYFUNCTION("VLOOKUP(Q118, IMPORTRANGE(""https://docs.google.com/spreadsheets/d/1yDAaXNsi4Mr5FtRQL4tbmSdIzhx6_m4wkOD7IG-k_eo/edit#gid=0"", ""Maths!M:N""), 2, FALSE)"),"Evaluate the correctness of integer comparisons by cross-checking using alternative methods.")</f>
        <v>Evaluate the correctness of integer comparisons by cross-checking using alternative methods.</v>
      </c>
      <c r="S118" s="10" t="str">
        <f t="shared" si="5"/>
        <v>LU000908.006</v>
      </c>
      <c r="T118" s="10" t="str">
        <f ca="1">IFERROR(__xludf.DUMMYFUNCTION("VLOOKUP(S118, IMPORTRANGE(""https://docs.google.com/spreadsheets/d/1yDAaXNsi4Mr5FtRQL4tbmSdIzhx6_m4wkOD7IG-k_eo/edit#gid=0"", ""Maths!M:N""), 2, FALSE)"),"Design sets of integer comparison problems that challenge to apply different strategies for ordering integers.")</f>
        <v>Design sets of integer comparison problems that challenge to apply different strategies for ordering integers.</v>
      </c>
      <c r="U118" s="11">
        <f ca="1">IFERROR(__xludf.DUMMYFUNCTION("ArrayFormula(VLOOKUP(G118, IMPORTRANGE(""https://docs.google.com/spreadsheets/d/1p7R4vtkWt5VOBim4ltsDG9KTzSjrtKXsMtQGXPHyND0/edit#gid=795171502"", ""'Filter 30_05_2024'!A1:M2000""), {2, 3, 4, 5,6,7,8,9,10,11,12,13}, 0))"),3)</f>
        <v>3</v>
      </c>
      <c r="V118" s="11">
        <f ca="1">IFERROR(__xludf.DUMMYFUNCTION("""COMPUTED_VALUE"""),6)</f>
        <v>6</v>
      </c>
      <c r="W118" s="11">
        <f ca="1">IFERROR(__xludf.DUMMYFUNCTION("""COMPUTED_VALUE"""),2)</f>
        <v>2</v>
      </c>
      <c r="X118" s="11">
        <f ca="1">IFERROR(__xludf.DUMMYFUNCTION("""COMPUTED_VALUE"""),11)</f>
        <v>11</v>
      </c>
      <c r="Y118" s="11">
        <f ca="1">IFERROR(__xludf.DUMMYFUNCTION("""COMPUTED_VALUE"""),6)</f>
        <v>6</v>
      </c>
      <c r="Z118" s="12">
        <f ca="1">IFERROR(__xludf.DUMMYFUNCTION("""COMPUTED_VALUE"""),3)</f>
        <v>3</v>
      </c>
      <c r="AA118" s="12">
        <f ca="1">IFERROR(__xludf.DUMMYFUNCTION("""COMPUTED_VALUE"""),1)</f>
        <v>1</v>
      </c>
      <c r="AB118" s="12">
        <f ca="1">IFERROR(__xludf.DUMMYFUNCTION("""COMPUTED_VALUE"""),10)</f>
        <v>10</v>
      </c>
      <c r="AC118" s="11"/>
      <c r="AD118" s="12"/>
      <c r="AE118" s="12"/>
      <c r="AF118" s="12"/>
      <c r="AG118" s="13" t="str">
        <f ca="1">IFERROR(__xludf.DUMMYFUNCTION("ArrayFormula(VLOOKUP(G118, IMPORTRANGE(""https://docs.google.com/spreadsheets/d/1Co934fvtviyaRiMsrIlT05Jaq7iiYq07aLvRr35KA48/edit?gid=173865642#gid=173865642"", ""'G6_Maths GP_Pri_LU'!G2:V2000""), {3, 4, 5, 6, 7, 8, 9, 10, 11, 12, 13, 14, 15, 16}, 0))"),"LU000270")</f>
        <v>LU000270</v>
      </c>
      <c r="AH118" s="13" t="str">
        <f ca="1">IFERROR(__xludf.DUMMYFUNCTION("""COMPUTED_VALUE"""),"Representation of integers on number line")</f>
        <v>Representation of integers on number line</v>
      </c>
      <c r="AI118" s="13" t="str">
        <f ca="1">IFERROR(__xludf.DUMMYFUNCTION("""COMPUTED_VALUE"""),"LU000154")</f>
        <v>LU000154</v>
      </c>
      <c r="AJ118" s="13" t="str">
        <f ca="1">IFERROR(__xludf.DUMMYFUNCTION("""COMPUTED_VALUE"""),"Comparison of whole numbers (upto 9-digit numbers)")</f>
        <v>Comparison of whole numbers (upto 9-digit numbers)</v>
      </c>
      <c r="AK118" s="13" t="str">
        <f ca="1">IFERROR(__xludf.DUMMYFUNCTION("""COMPUTED_VALUE"""),"LU000267")</f>
        <v>LU000267</v>
      </c>
      <c r="AL118" s="13" t="str">
        <f ca="1">IFERROR(__xludf.DUMMYFUNCTION("""COMPUTED_VALUE"""),"Definition of negative integers")</f>
        <v>Definition of negative integers</v>
      </c>
      <c r="AM118" s="13" t="str">
        <f ca="1">IFERROR(__xludf.DUMMYFUNCTION("""COMPUTED_VALUE"""),"LU000266")</f>
        <v>LU000266</v>
      </c>
      <c r="AN118" s="13" t="str">
        <f ca="1">IFERROR(__xludf.DUMMYFUNCTION("""COMPUTED_VALUE"""),"Definition of positive integers")</f>
        <v>Definition of positive integers</v>
      </c>
      <c r="AO118" s="13" t="str">
        <f ca="1">IFERROR(__xludf.DUMMYFUNCTION("""COMPUTED_VALUE"""),"LU000178")</f>
        <v>LU000178</v>
      </c>
      <c r="AP118" s="13" t="str">
        <f ca="1">IFERROR(__xludf.DUMMYFUNCTION("""COMPUTED_VALUE"""),"Successor of whole numbers")</f>
        <v>Successor of whole numbers</v>
      </c>
      <c r="AQ118" s="13"/>
      <c r="AR118" s="13"/>
      <c r="AS118" s="13"/>
      <c r="AT118" s="13"/>
    </row>
    <row r="119" spans="1:46" ht="53.4">
      <c r="A119" s="8" t="s">
        <v>46</v>
      </c>
      <c r="B119" s="8" t="s">
        <v>47</v>
      </c>
      <c r="C119" s="8" t="s">
        <v>48</v>
      </c>
      <c r="D119" s="8" t="s">
        <v>49</v>
      </c>
      <c r="E119" s="8" t="s">
        <v>226</v>
      </c>
      <c r="F119" s="8" t="s">
        <v>233</v>
      </c>
      <c r="G119" s="16" t="s">
        <v>236</v>
      </c>
      <c r="H119" s="8" t="str">
        <f ca="1">IFERROR(__xludf.DUMMYFUNCTION("VLOOKUP(G119, IMPORTRANGE(""https://docs.google.com/spreadsheets/d/14deopnvwcrKtEGCKuYXdUHJbeLDZlkiSSWWT0g7x2pM/edit#gid=999382323"", ""LU List Maths (Filter)!A:B""), 2, FALSE)"),"Order of integers")</f>
        <v>Order of integers</v>
      </c>
      <c r="I119" s="10" t="str">
        <f t="shared" si="0"/>
        <v>LU000273.001</v>
      </c>
      <c r="J119" s="10" t="str">
        <f ca="1">IFERROR(__xludf.DUMMYFUNCTION("VLOOKUP(I119, IMPORTRANGE(""https://docs.google.com/spreadsheets/d/1yDAaXNsi4Mr5FtRQL4tbmSdIzhx6_m4wkOD7IG-k_eo/edit#gid=0"", ""Maths!M:N""), 2, FALSE)"),"Write the symbols used to compare integers and the rules for comparing integers with the same and different signs.")</f>
        <v>Write the symbols used to compare integers and the rules for comparing integers with the same and different signs.</v>
      </c>
      <c r="K119" s="10" t="str">
        <f t="shared" si="1"/>
        <v>LU000273.002</v>
      </c>
      <c r="L119" s="10" t="str">
        <f ca="1">IFERROR(__xludf.DUMMYFUNCTION("VLOOKUP(K119, IMPORTRANGE(""https://docs.google.com/spreadsheets/d/1yDAaXNsi4Mr5FtRQL4tbmSdIzhx6_m4wkOD7IG-k_eo/edit#gid=0"", ""Maths!M:N""), 2, FALSE)"),"Describe how integers are ordered using the number line")</f>
        <v>Describe how integers are ordered using the number line</v>
      </c>
      <c r="M119" s="10" t="str">
        <f t="shared" si="2"/>
        <v>LU000273.003</v>
      </c>
      <c r="N119" s="10" t="str">
        <f ca="1">IFERROR(__xludf.DUMMYFUNCTION("VLOOKUP(M119, IMPORTRANGE(""https://docs.google.com/spreadsheets/d/1yDAaXNsi4Mr5FtRQL4tbmSdIzhx6_m4wkOD7IG-k_eo/edit#gid=0"", ""Maths!M:N""), 2, FALSE)"),"Apply the understanding of ordering integers to compare/order integers using appropriate symbols.")</f>
        <v>Apply the understanding of ordering integers to compare/order integers using appropriate symbols.</v>
      </c>
      <c r="O119" s="10" t="str">
        <f t="shared" si="3"/>
        <v>LU000273.004</v>
      </c>
      <c r="P119" s="10" t="str">
        <f ca="1">IFERROR(__xludf.DUMMYFUNCTION("VLOOKUP(O119, IMPORTRANGE(""https://docs.google.com/spreadsheets/d/1yDAaXNsi4Mr5FtRQL4tbmSdIzhx6_m4wkOD7IG-k_eo/edit#gid=0"", ""Maths!M:N""), 2, FALSE)"),"Analyse how the positions of integers on the number line correspond to their order.")</f>
        <v>Analyse how the positions of integers on the number line correspond to their order.</v>
      </c>
      <c r="Q119" s="10" t="str">
        <f t="shared" si="4"/>
        <v>LU000273.005</v>
      </c>
      <c r="R119" s="10" t="str">
        <f ca="1">IFERROR(__xludf.DUMMYFUNCTION("VLOOKUP(Q119, IMPORTRANGE(""https://docs.google.com/spreadsheets/d/1yDAaXNsi4Mr5FtRQL4tbmSdIzhx6_m4wkOD7IG-k_eo/edit#gid=0"", ""Maths!M:N""), 2, FALSE)"),"#N/A")</f>
        <v>#N/A</v>
      </c>
      <c r="S119" s="10" t="str">
        <f t="shared" si="5"/>
        <v>LU000273.006</v>
      </c>
      <c r="T119" s="10" t="str">
        <f ca="1">IFERROR(__xludf.DUMMYFUNCTION("VLOOKUP(S119, IMPORTRANGE(""https://docs.google.com/spreadsheets/d/1yDAaXNsi4Mr5FtRQL4tbmSdIzhx6_m4wkOD7IG-k_eo/edit#gid=0"", ""Maths!M:N""), 2, FALSE)"),"#N/A")</f>
        <v>#N/A</v>
      </c>
      <c r="U119" s="11">
        <f ca="1">IFERROR(__xludf.DUMMYFUNCTION("ArrayFormula(VLOOKUP(G119, IMPORTRANGE(""https://docs.google.com/spreadsheets/d/1p7R4vtkWt5VOBim4ltsDG9KTzSjrtKXsMtQGXPHyND0/edit#gid=795171502"", ""'Filter 30_05_2024'!A1:M2000""), {2, 3, 4, 5,6,7,8,9,10,11,12,13}, 0))"),3)</f>
        <v>3</v>
      </c>
      <c r="V119" s="11">
        <f ca="1">IFERROR(__xludf.DUMMYFUNCTION("""COMPUTED_VALUE"""),5)</f>
        <v>5</v>
      </c>
      <c r="W119" s="11">
        <f ca="1">IFERROR(__xludf.DUMMYFUNCTION("""COMPUTED_VALUE"""),2)</f>
        <v>2</v>
      </c>
      <c r="X119" s="11">
        <f ca="1">IFERROR(__xludf.DUMMYFUNCTION("""COMPUTED_VALUE"""),10)</f>
        <v>10</v>
      </c>
      <c r="Y119" s="11">
        <f ca="1">IFERROR(__xludf.DUMMYFUNCTION("""COMPUTED_VALUE"""),5)</f>
        <v>5</v>
      </c>
      <c r="Z119" s="12">
        <f ca="1">IFERROR(__xludf.DUMMYFUNCTION("""COMPUTED_VALUE"""),4)</f>
        <v>4</v>
      </c>
      <c r="AA119" s="12">
        <f ca="1">IFERROR(__xludf.DUMMYFUNCTION("""COMPUTED_VALUE"""),1)</f>
        <v>1</v>
      </c>
      <c r="AB119" s="12">
        <f ca="1">IFERROR(__xludf.DUMMYFUNCTION("""COMPUTED_VALUE"""),10)</f>
        <v>10</v>
      </c>
      <c r="AC119" s="11"/>
      <c r="AD119" s="12"/>
      <c r="AE119" s="12"/>
      <c r="AF119" s="12"/>
      <c r="AG119" s="13" t="str">
        <f ca="1">IFERROR(__xludf.DUMMYFUNCTION("ArrayFormula(VLOOKUP(G119, IMPORTRANGE(""https://docs.google.com/spreadsheets/d/1Co934fvtviyaRiMsrIlT05Jaq7iiYq07aLvRr35KA48/edit?gid=173865642#gid=173865642"", ""'G6_Maths GP_Pri_LU'!G2:V2000""), {3, 4, 5, 6, 7, 8, 9, 10, 11, 12, 13, 14, 15, 16}, 0))"),"LU000908")</f>
        <v>LU000908</v>
      </c>
      <c r="AH119" s="13" t="str">
        <f ca="1">IFERROR(__xludf.DUMMYFUNCTION("""COMPUTED_VALUE"""),"Comparison of integers")</f>
        <v>Comparison of integers</v>
      </c>
      <c r="AI119" s="13" t="str">
        <f ca="1">IFERROR(__xludf.DUMMYFUNCTION("""COMPUTED_VALUE"""),"LU000155")</f>
        <v>LU000155</v>
      </c>
      <c r="AJ119" s="13" t="str">
        <f ca="1">IFERROR(__xludf.DUMMYFUNCTION("""COMPUTED_VALUE"""),"Order of whole numbers (upto 9-digit numbers)")</f>
        <v>Order of whole numbers (upto 9-digit numbers)</v>
      </c>
      <c r="AK119" s="13" t="str">
        <f ca="1">IFERROR(__xludf.DUMMYFUNCTION("""COMPUTED_VALUE"""),"LU000154")</f>
        <v>LU000154</v>
      </c>
      <c r="AL119" s="13" t="str">
        <f ca="1">IFERROR(__xludf.DUMMYFUNCTION("""COMPUTED_VALUE"""),"Comparison of whole numbers (upto 9-digit numbers)")</f>
        <v>Comparison of whole numbers (upto 9-digit numbers)</v>
      </c>
      <c r="AM119" s="13" t="str">
        <f ca="1">IFERROR(__xludf.DUMMYFUNCTION("""COMPUTED_VALUE"""),"LU000267")</f>
        <v>LU000267</v>
      </c>
      <c r="AN119" s="13" t="str">
        <f ca="1">IFERROR(__xludf.DUMMYFUNCTION("""COMPUTED_VALUE"""),"Definition of negative integers")</f>
        <v>Definition of negative integers</v>
      </c>
      <c r="AO119" s="13" t="str">
        <f ca="1">IFERROR(__xludf.DUMMYFUNCTION("""COMPUTED_VALUE"""),"LU000266")</f>
        <v>LU000266</v>
      </c>
      <c r="AP119" s="13" t="str">
        <f ca="1">IFERROR(__xludf.DUMMYFUNCTION("""COMPUTED_VALUE"""),"Definition of positive integers")</f>
        <v>Definition of positive integers</v>
      </c>
      <c r="AQ119" s="13"/>
      <c r="AR119" s="13"/>
      <c r="AS119" s="13"/>
      <c r="AT119" s="13"/>
    </row>
    <row r="120" spans="1:46" ht="40.200000000000003">
      <c r="A120" s="8" t="s">
        <v>46</v>
      </c>
      <c r="B120" s="8" t="s">
        <v>47</v>
      </c>
      <c r="C120" s="8" t="s">
        <v>48</v>
      </c>
      <c r="D120" s="8" t="s">
        <v>49</v>
      </c>
      <c r="E120" s="8" t="s">
        <v>226</v>
      </c>
      <c r="F120" s="8" t="s">
        <v>237</v>
      </c>
      <c r="G120" s="16" t="s">
        <v>238</v>
      </c>
      <c r="H120" s="8" t="str">
        <f ca="1">IFERROR(__xludf.DUMMYFUNCTION("VLOOKUP(G120, IMPORTRANGE(""https://docs.google.com/spreadsheets/d/14deopnvwcrKtEGCKuYXdUHJbeLDZlkiSSWWT0g7x2pM/edit#gid=999382323"", ""LU List Maths (Filter)!A:B""), 2, FALSE)"),"Addition of integers using rules of signs")</f>
        <v>Addition of integers using rules of signs</v>
      </c>
      <c r="I120" s="10" t="str">
        <f t="shared" si="0"/>
        <v>LU000271.001</v>
      </c>
      <c r="J120" s="10" t="str">
        <f ca="1">IFERROR(__xludf.DUMMYFUNCTION("VLOOKUP(I120, IMPORTRANGE(""https://docs.google.com/spreadsheets/d/1yDAaXNsi4Mr5FtRQL4tbmSdIzhx6_m4wkOD7IG-k_eo/edit#gid=0"", ""Maths!M:N""), 2, FALSE)"),"Write the rules for adding integers with like and unlike signs.")</f>
        <v>Write the rules for adding integers with like and unlike signs.</v>
      </c>
      <c r="K120" s="10" t="str">
        <f t="shared" si="1"/>
        <v>LU000271.002</v>
      </c>
      <c r="L120" s="10" t="str">
        <f ca="1">IFERROR(__xludf.DUMMYFUNCTION("VLOOKUP(K120, IMPORTRANGE(""https://docs.google.com/spreadsheets/d/1yDAaXNsi4Mr5FtRQL4tbmSdIzhx6_m4wkOD7IG-k_eo/edit#gid=0"", ""Maths!M:N""), 2, FALSE)"),"Explain the concept of adding integers and the rationale behind the rules for different sign combinations.")</f>
        <v>Explain the concept of adding integers and the rationale behind the rules for different sign combinations.</v>
      </c>
      <c r="M120" s="10" t="str">
        <f t="shared" si="2"/>
        <v>LU000271.003</v>
      </c>
      <c r="N120" s="10" t="str">
        <f ca="1">IFERROR(__xludf.DUMMYFUNCTION("VLOOKUP(M120, IMPORTRANGE(""https://docs.google.com/spreadsheets/d/1yDAaXNsi4Mr5FtRQL4tbmSdIzhx6_m4wkOD7IG-k_eo/edit#gid=0"", ""Maths!M:N""), 2, FALSE)"),"Apply the rules of adding integers to solve arithmetic and practical addition problems.")</f>
        <v>Apply the rules of adding integers to solve arithmetic and practical addition problems.</v>
      </c>
      <c r="O120" s="10" t="str">
        <f t="shared" si="3"/>
        <v>LU000271.004</v>
      </c>
      <c r="P120" s="10" t="str">
        <f ca="1">IFERROR(__xludf.DUMMYFUNCTION("VLOOKUP(O120, IMPORTRANGE(""https://docs.google.com/spreadsheets/d/1yDAaXNsi4Mr5FtRQL4tbmSdIzhx6_m4wkOD7IG-k_eo/edit#gid=0"", ""Maths!M:N""), 2, FALSE)"),"Analyse complex addition expressions involving multiple integers and evaluate their outcomes.")</f>
        <v>Analyse complex addition expressions involving multiple integers and evaluate their outcomes.</v>
      </c>
      <c r="Q120" s="10" t="str">
        <f t="shared" si="4"/>
        <v>LU000271.005</v>
      </c>
      <c r="R120" s="10" t="str">
        <f ca="1">IFERROR(__xludf.DUMMYFUNCTION("VLOOKUP(Q120, IMPORTRANGE(""https://docs.google.com/spreadsheets/d/1yDAaXNsi4Mr5FtRQL4tbmSdIzhx6_m4wkOD7IG-k_eo/edit#gid=0"", ""Maths!M:N""), 2, FALSE)"),"Evaluate the accuracy of solutions to integer addition problems and provide feedback on the approach.")</f>
        <v>Evaluate the accuracy of solutions to integer addition problems and provide feedback on the approach.</v>
      </c>
      <c r="S120" s="10" t="str">
        <f t="shared" si="5"/>
        <v>LU000271.006</v>
      </c>
      <c r="T120" s="10" t="str">
        <f ca="1">IFERROR(__xludf.DUMMYFUNCTION("VLOOKUP(S120, IMPORTRANGE(""https://docs.google.com/spreadsheets/d/1yDAaXNsi4Mr5FtRQL4tbmSdIzhx6_m4wkOD7IG-k_eo/edit#gid=0"", ""Maths!M:N""), 2, FALSE)"),"Create a set of integer addition problems with varying sign combinations.")</f>
        <v>Create a set of integer addition problems with varying sign combinations.</v>
      </c>
      <c r="U120" s="11">
        <f ca="1">IFERROR(__xludf.DUMMYFUNCTION("ArrayFormula(VLOOKUP(G120, IMPORTRANGE(""https://docs.google.com/spreadsheets/d/1p7R4vtkWt5VOBim4ltsDG9KTzSjrtKXsMtQGXPHyND0/edit#gid=795171502"", ""'Filter 30_05_2024'!A1:M2000""), {2, 3, 4, 5,6,7,8,9,10,11,12,13}, 0))"),12)</f>
        <v>12</v>
      </c>
      <c r="V120" s="11">
        <f ca="1">IFERROR(__xludf.DUMMYFUNCTION("""COMPUTED_VALUE"""),10)</f>
        <v>10</v>
      </c>
      <c r="W120" s="11">
        <f ca="1">IFERROR(__xludf.DUMMYFUNCTION("""COMPUTED_VALUE"""),2)</f>
        <v>2</v>
      </c>
      <c r="X120" s="11">
        <f ca="1">IFERROR(__xludf.DUMMYFUNCTION("""COMPUTED_VALUE"""),24)</f>
        <v>24</v>
      </c>
      <c r="Y120" s="11">
        <f ca="1">IFERROR(__xludf.DUMMYFUNCTION("""COMPUTED_VALUE"""),8)</f>
        <v>8</v>
      </c>
      <c r="Z120" s="12">
        <f ca="1">IFERROR(__xludf.DUMMYFUNCTION("""COMPUTED_VALUE"""),11)</f>
        <v>11</v>
      </c>
      <c r="AA120" s="12">
        <f ca="1">IFERROR(__xludf.DUMMYFUNCTION("""COMPUTED_VALUE"""),1)</f>
        <v>1</v>
      </c>
      <c r="AB120" s="12">
        <f ca="1">IFERROR(__xludf.DUMMYFUNCTION("""COMPUTED_VALUE"""),20)</f>
        <v>20</v>
      </c>
      <c r="AC120" s="11"/>
      <c r="AD120" s="12"/>
      <c r="AE120" s="12"/>
      <c r="AF120" s="12"/>
      <c r="AG120" s="13" t="str">
        <f ca="1">IFERROR(__xludf.DUMMYFUNCTION("ArrayFormula(VLOOKUP(G120, IMPORTRANGE(""https://docs.google.com/spreadsheets/d/1Co934fvtviyaRiMsrIlT05Jaq7iiYq07aLvRr35KA48/edit?gid=173865642#gid=173865642"", ""'G6_Maths GP_Pri_LU'!G2:V2000""), {3, 4, 5, 6, 7, 8, 9, 10, 11, 12, 13, 14, 15, 16}, 0))"),"LU000267")</f>
        <v>LU000267</v>
      </c>
      <c r="AH120" s="13" t="str">
        <f ca="1">IFERROR(__xludf.DUMMYFUNCTION("""COMPUTED_VALUE"""),"Definition of negative integers")</f>
        <v>Definition of negative integers</v>
      </c>
      <c r="AI120" s="13" t="str">
        <f ca="1">IFERROR(__xludf.DUMMYFUNCTION("""COMPUTED_VALUE"""),"LU000266")</f>
        <v>LU000266</v>
      </c>
      <c r="AJ120" s="13" t="str">
        <f ca="1">IFERROR(__xludf.DUMMYFUNCTION("""COMPUTED_VALUE"""),"Definition of positive integers")</f>
        <v>Definition of positive integers</v>
      </c>
      <c r="AK120" s="13" t="str">
        <f ca="1">IFERROR(__xludf.DUMMYFUNCTION("""COMPUTED_VALUE"""),"LU000948")</f>
        <v>LU000948</v>
      </c>
      <c r="AL120" s="13" t="str">
        <f ca="1">IFERROR(__xludf.DUMMYFUNCTION("""COMPUTED_VALUE"""),"Addition of large whole numbers (5-9 digit numbers)")</f>
        <v>Addition of large whole numbers (5-9 digit numbers)</v>
      </c>
      <c r="AM120" s="13" t="str">
        <f ca="1">IFERROR(__xludf.DUMMYFUNCTION("""COMPUTED_VALUE"""),"LU000265")</f>
        <v>LU000265</v>
      </c>
      <c r="AN120" s="13" t="str">
        <f ca="1">IFERROR(__xludf.DUMMYFUNCTION("""COMPUTED_VALUE"""),"Definition of integers")</f>
        <v>Definition of integers</v>
      </c>
      <c r="AO120" s="13"/>
      <c r="AP120" s="13"/>
      <c r="AQ120" s="13"/>
      <c r="AR120" s="13"/>
      <c r="AS120" s="13"/>
      <c r="AT120" s="13"/>
    </row>
    <row r="121" spans="1:46" ht="40.200000000000003">
      <c r="A121" s="8" t="s">
        <v>46</v>
      </c>
      <c r="B121" s="8" t="s">
        <v>47</v>
      </c>
      <c r="C121" s="8" t="s">
        <v>48</v>
      </c>
      <c r="D121" s="8" t="s">
        <v>49</v>
      </c>
      <c r="E121" s="8" t="s">
        <v>226</v>
      </c>
      <c r="F121" s="8" t="s">
        <v>237</v>
      </c>
      <c r="G121" s="16" t="s">
        <v>239</v>
      </c>
      <c r="H121" s="8" t="str">
        <f ca="1">IFERROR(__xludf.DUMMYFUNCTION("VLOOKUP(G121, IMPORTRANGE(""https://docs.google.com/spreadsheets/d/14deopnvwcrKtEGCKuYXdUHJbeLDZlkiSSWWT0g7x2pM/edit#gid=999382323"", ""LU List Maths (Filter)!A:B""), 2, FALSE)"),"Addition of integers using number line")</f>
        <v>Addition of integers using number line</v>
      </c>
      <c r="I121" s="10" t="str">
        <f t="shared" si="0"/>
        <v>LU000276.001</v>
      </c>
      <c r="J121" s="10" t="str">
        <f ca="1">IFERROR(__xludf.DUMMYFUNCTION("VLOOKUP(I121, IMPORTRANGE(""https://docs.google.com/spreadsheets/d/1yDAaXNsi4Mr5FtRQL4tbmSdIzhx6_m4wkOD7IG-k_eo/edit#gid=0"", ""Maths!M:N""), 2, FALSE)"),"Recall the basic rules of adding positive and negative integers using a number line.")</f>
        <v>Recall the basic rules of adding positive and negative integers using a number line.</v>
      </c>
      <c r="K121" s="10" t="str">
        <f t="shared" si="1"/>
        <v>LU000276.002</v>
      </c>
      <c r="L121" s="10" t="str">
        <f ca="1">IFERROR(__xludf.DUMMYFUNCTION("VLOOKUP(K121, IMPORTRANGE(""https://docs.google.com/spreadsheets/d/1yDAaXNsi4Mr5FtRQL4tbmSdIzhx6_m4wkOD7IG-k_eo/edit#gid=0"", ""Maths!M:N""), 2, FALSE)"),"Describe the purpose of using a number line for integer addition.")</f>
        <v>Describe the purpose of using a number line for integer addition.</v>
      </c>
      <c r="M121" s="10" t="str">
        <f t="shared" si="2"/>
        <v>LU000276.003</v>
      </c>
      <c r="N121" s="10" t="str">
        <f ca="1">IFERROR(__xludf.DUMMYFUNCTION("VLOOKUP(M121, IMPORTRANGE(""https://docs.google.com/spreadsheets/d/1yDAaXNsi4Mr5FtRQL4tbmSdIzhx6_m4wkOD7IG-k_eo/edit#gid=0"", ""Maths!M:N""), 2, FALSE)"),"Apply integer addition using a number line to solve simple arithmetic and practical problems.")</f>
        <v>Apply integer addition using a number line to solve simple arithmetic and practical problems.</v>
      </c>
      <c r="O121" s="10" t="str">
        <f t="shared" si="3"/>
        <v>LU000276.004</v>
      </c>
      <c r="P121" s="10" t="str">
        <f ca="1">IFERROR(__xludf.DUMMYFUNCTION("VLOOKUP(O121, IMPORTRANGE(""https://docs.google.com/spreadsheets/d/1yDAaXNsi4Mr5FtRQL4tbmSdIzhx6_m4wkOD7IG-k_eo/edit#gid=0"", ""Maths!M:N""), 2, FALSE)"),"Analyse different visual methods for adding integers and compare their effectiveness.")</f>
        <v>Analyse different visual methods for adding integers and compare their effectiveness.</v>
      </c>
      <c r="Q121" s="10" t="str">
        <f t="shared" si="4"/>
        <v>LU000276.005</v>
      </c>
      <c r="R121" s="10" t="str">
        <f ca="1">IFERROR(__xludf.DUMMYFUNCTION("VLOOKUP(Q121, IMPORTRANGE(""https://docs.google.com/spreadsheets/d/1yDAaXNsi4Mr5FtRQL4tbmSdIzhx6_m4wkOD7IG-k_eo/edit#gid=0"", ""Maths!M:N""), 2, FALSE)"),"Assess the correctness of solutions obtained through the number line method for integer addition.")</f>
        <v>Assess the correctness of solutions obtained through the number line method for integer addition.</v>
      </c>
      <c r="S121" s="10" t="str">
        <f t="shared" si="5"/>
        <v>LU000276.006</v>
      </c>
      <c r="T121" s="10" t="str">
        <f ca="1">IFERROR(__xludf.DUMMYFUNCTION("VLOOKUP(S121, IMPORTRANGE(""https://docs.google.com/spreadsheets/d/1yDAaXNsi4Mr5FtRQL4tbmSdIzhx6_m4wkOD7IG-k_eo/edit#gid=0"", ""Maths!M:N""), 2, FALSE)"),"Devise original real-world scenarios or problems that require the application of integer addition using a number line")</f>
        <v>Devise original real-world scenarios or problems that require the application of integer addition using a number line</v>
      </c>
      <c r="U121" s="11">
        <f ca="1">IFERROR(__xludf.DUMMYFUNCTION("ArrayFormula(VLOOKUP(G121, IMPORTRANGE(""https://docs.google.com/spreadsheets/d/1p7R4vtkWt5VOBim4ltsDG9KTzSjrtKXsMtQGXPHyND0/edit#gid=795171502"", ""'Filter 30_05_2024'!A1:M2000""), {2, 3, 4, 5,6,7,8,9,10,11,12,13}, 0))"),3)</f>
        <v>3</v>
      </c>
      <c r="V121" s="11">
        <f ca="1">IFERROR(__xludf.DUMMYFUNCTION("""COMPUTED_VALUE"""),8)</f>
        <v>8</v>
      </c>
      <c r="W121" s="11">
        <f ca="1">IFERROR(__xludf.DUMMYFUNCTION("""COMPUTED_VALUE"""),6)</f>
        <v>6</v>
      </c>
      <c r="X121" s="11">
        <f ca="1">IFERROR(__xludf.DUMMYFUNCTION("""COMPUTED_VALUE"""),17)</f>
        <v>17</v>
      </c>
      <c r="Y121" s="11">
        <f ca="1">IFERROR(__xludf.DUMMYFUNCTION("""COMPUTED_VALUE"""),5)</f>
        <v>5</v>
      </c>
      <c r="Z121" s="12">
        <f ca="1">IFERROR(__xludf.DUMMYFUNCTION("""COMPUTED_VALUE"""),3)</f>
        <v>3</v>
      </c>
      <c r="AA121" s="12">
        <f ca="1">IFERROR(__xludf.DUMMYFUNCTION("""COMPUTED_VALUE"""),2)</f>
        <v>2</v>
      </c>
      <c r="AB121" s="12">
        <f ca="1">IFERROR(__xludf.DUMMYFUNCTION("""COMPUTED_VALUE"""),10)</f>
        <v>10</v>
      </c>
      <c r="AC121" s="11"/>
      <c r="AD121" s="12"/>
      <c r="AE121" s="12"/>
      <c r="AF121" s="12"/>
      <c r="AG121" s="13" t="str">
        <f ca="1">IFERROR(__xludf.DUMMYFUNCTION("ArrayFormula(VLOOKUP(G121, IMPORTRANGE(""https://docs.google.com/spreadsheets/d/1Co934fvtviyaRiMsrIlT05Jaq7iiYq07aLvRr35KA48/edit?gid=173865642#gid=173865642"", ""'G6_Maths GP_Pri_LU'!G2:V2000""), {3, 4, 5, 6, 7, 8, 9, 10, 11, 12, 13, 14, 15, 16}, 0))"),"LU000270")</f>
        <v>LU000270</v>
      </c>
      <c r="AH121" s="13" t="str">
        <f ca="1">IFERROR(__xludf.DUMMYFUNCTION("""COMPUTED_VALUE"""),"Representation of integers on number line")</f>
        <v>Representation of integers on number line</v>
      </c>
      <c r="AI121" s="13" t="str">
        <f ca="1">IFERROR(__xludf.DUMMYFUNCTION("""COMPUTED_VALUE"""),"LU000267")</f>
        <v>LU000267</v>
      </c>
      <c r="AJ121" s="13" t="str">
        <f ca="1">IFERROR(__xludf.DUMMYFUNCTION("""COMPUTED_VALUE"""),"Definition of negative integers")</f>
        <v>Definition of negative integers</v>
      </c>
      <c r="AK121" s="13" t="str">
        <f ca="1">IFERROR(__xludf.DUMMYFUNCTION("""COMPUTED_VALUE"""),"LU000266")</f>
        <v>LU000266</v>
      </c>
      <c r="AL121" s="13" t="str">
        <f ca="1">IFERROR(__xludf.DUMMYFUNCTION("""COMPUTED_VALUE"""),"Definition of positive integers")</f>
        <v>Definition of positive integers</v>
      </c>
      <c r="AM121" s="13" t="str">
        <f ca="1">IFERROR(__xludf.DUMMYFUNCTION("""COMPUTED_VALUE"""),"LU000265")</f>
        <v>LU000265</v>
      </c>
      <c r="AN121" s="13" t="str">
        <f ca="1">IFERROR(__xludf.DUMMYFUNCTION("""COMPUTED_VALUE"""),"Definition of integers")</f>
        <v>Definition of integers</v>
      </c>
      <c r="AO121" s="13"/>
      <c r="AP121" s="13"/>
      <c r="AQ121" s="13"/>
      <c r="AR121" s="13"/>
      <c r="AS121" s="13"/>
      <c r="AT121" s="13"/>
    </row>
    <row r="122" spans="1:46" ht="40.200000000000003">
      <c r="A122" s="8" t="s">
        <v>46</v>
      </c>
      <c r="B122" s="8" t="s">
        <v>47</v>
      </c>
      <c r="C122" s="8" t="s">
        <v>48</v>
      </c>
      <c r="D122" s="8" t="s">
        <v>49</v>
      </c>
      <c r="E122" s="8" t="s">
        <v>226</v>
      </c>
      <c r="F122" s="8" t="s">
        <v>237</v>
      </c>
      <c r="G122" s="16" t="s">
        <v>240</v>
      </c>
      <c r="H122" s="8" t="str">
        <f ca="1">IFERROR(__xludf.DUMMYFUNCTION("VLOOKUP(G122, IMPORTRANGE(""https://docs.google.com/spreadsheets/d/14deopnvwcrKtEGCKuYXdUHJbeLDZlkiSSWWT0g7x2pM/edit#gid=999382323"", ""LU List Maths (Filter)!A:B""), 2, FALSE)"),"Additive inverse of integers")</f>
        <v>Additive inverse of integers</v>
      </c>
      <c r="I122" s="10" t="str">
        <f t="shared" si="0"/>
        <v>LU000274.001</v>
      </c>
      <c r="J122" s="10" t="str">
        <f ca="1">IFERROR(__xludf.DUMMYFUNCTION("VLOOKUP(I122, IMPORTRANGE(""https://docs.google.com/spreadsheets/d/1yDAaXNsi4Mr5FtRQL4tbmSdIzhx6_m4wkOD7IG-k_eo/edit#gid=0"", ""Maths!M:N""), 2, FALSE)"),"Define the additive inverse of an integer and its relation to the original integer.")</f>
        <v>Define the additive inverse of an integer and its relation to the original integer.</v>
      </c>
      <c r="K122" s="10" t="str">
        <f t="shared" si="1"/>
        <v>LU000274.002</v>
      </c>
      <c r="L122" s="10" t="str">
        <f ca="1">IFERROR(__xludf.DUMMYFUNCTION("VLOOKUP(K122, IMPORTRANGE(""https://docs.google.com/spreadsheets/d/1yDAaXNsi4Mr5FtRQL4tbmSdIzhx6_m4wkOD7IG-k_eo/edit#gid=0"", ""Maths!M:N""), 2, FALSE)"),"Describe how the additive inverse of an integer is the value that, when added to the original integer, results in zero.")</f>
        <v>Describe how the additive inverse of an integer is the value that, when added to the original integer, results in zero.</v>
      </c>
      <c r="M122" s="10" t="str">
        <f t="shared" si="2"/>
        <v>LU000274.003</v>
      </c>
      <c r="N122" s="10" t="str">
        <f ca="1">IFERROR(__xludf.DUMMYFUNCTION("VLOOKUP(M122, IMPORTRANGE(""https://docs.google.com/spreadsheets/d/1yDAaXNsi4Mr5FtRQL4tbmSdIzhx6_m4wkOD7IG-k_eo/edit#gid=0"", ""Maths!M:N""), 2, FALSE)"),"Apply the knowledge of additive inverses to find the additive inverse of given integers.")</f>
        <v>Apply the knowledge of additive inverses to find the additive inverse of given integers.</v>
      </c>
      <c r="O122" s="10" t="str">
        <f t="shared" si="3"/>
        <v>LU000274.004</v>
      </c>
      <c r="P122" s="10" t="str">
        <f ca="1">IFERROR(__xludf.DUMMYFUNCTION("VLOOKUP(O122, IMPORTRANGE(""https://docs.google.com/spreadsheets/d/1yDAaXNsi4Mr5FtRQL4tbmSdIzhx6_m4wkOD7IG-k_eo/edit#gid=0"", ""Maths!M:N""), 2, FALSE)"),"Analyse how the additive inverse of an integer is located symmetrically across zero on the number line.")</f>
        <v>Analyse how the additive inverse of an integer is located symmetrically across zero on the number line.</v>
      </c>
      <c r="Q122" s="10" t="str">
        <f t="shared" si="4"/>
        <v>LU000274.005</v>
      </c>
      <c r="R122" s="10" t="str">
        <f ca="1">IFERROR(__xludf.DUMMYFUNCTION("VLOOKUP(Q122, IMPORTRANGE(""https://docs.google.com/spreadsheets/d/1yDAaXNsi4Mr5FtRQL4tbmSdIzhx6_m4wkOD7IG-k_eo/edit#gid=0"", ""Maths!M:N""), 2, FALSE)"),"#N/A")</f>
        <v>#N/A</v>
      </c>
      <c r="S122" s="10" t="str">
        <f t="shared" si="5"/>
        <v>LU000274.006</v>
      </c>
      <c r="T122" s="10" t="str">
        <f ca="1">IFERROR(__xludf.DUMMYFUNCTION("VLOOKUP(S122, IMPORTRANGE(""https://docs.google.com/spreadsheets/d/1yDAaXNsi4Mr5FtRQL4tbmSdIzhx6_m4wkOD7IG-k_eo/edit#gid=0"", ""Maths!M:N""), 2, FALSE)"),"#N/A")</f>
        <v>#N/A</v>
      </c>
      <c r="U122" s="11">
        <f ca="1">IFERROR(__xludf.DUMMYFUNCTION("ArrayFormula(VLOOKUP(G122, IMPORTRANGE(""https://docs.google.com/spreadsheets/d/1p7R4vtkWt5VOBim4ltsDG9KTzSjrtKXsMtQGXPHyND0/edit#gid=795171502"", ""'Filter 30_05_2024'!A1:M2000""), {2, 3, 4, 5,6,7,8,9,10,11,12,13}, 0))"),5)</f>
        <v>5</v>
      </c>
      <c r="V122" s="11">
        <f ca="1">IFERROR(__xludf.DUMMYFUNCTION("""COMPUTED_VALUE"""),3)</f>
        <v>3</v>
      </c>
      <c r="W122" s="11">
        <f ca="1">IFERROR(__xludf.DUMMYFUNCTION("""COMPUTED_VALUE"""),2)</f>
        <v>2</v>
      </c>
      <c r="X122" s="11">
        <f ca="1">IFERROR(__xludf.DUMMYFUNCTION("""COMPUTED_VALUE"""),10)</f>
        <v>10</v>
      </c>
      <c r="Y122" s="11">
        <f ca="1">IFERROR(__xludf.DUMMYFUNCTION("""COMPUTED_VALUE"""),4)</f>
        <v>4</v>
      </c>
      <c r="Z122" s="12">
        <f ca="1">IFERROR(__xludf.DUMMYFUNCTION("""COMPUTED_VALUE"""),6)</f>
        <v>6</v>
      </c>
      <c r="AA122" s="12">
        <f ca="1">IFERROR(__xludf.DUMMYFUNCTION("""COMPUTED_VALUE"""),1)</f>
        <v>1</v>
      </c>
      <c r="AB122" s="12">
        <f ca="1">IFERROR(__xludf.DUMMYFUNCTION("""COMPUTED_VALUE"""),11)</f>
        <v>11</v>
      </c>
      <c r="AC122" s="11"/>
      <c r="AD122" s="12"/>
      <c r="AE122" s="12"/>
      <c r="AF122" s="12"/>
      <c r="AG122" s="13" t="str">
        <f ca="1">IFERROR(__xludf.DUMMYFUNCTION("ArrayFormula(VLOOKUP(G122, IMPORTRANGE(""https://docs.google.com/spreadsheets/d/1Co934fvtviyaRiMsrIlT05Jaq7iiYq07aLvRr35KA48/edit?gid=173865642#gid=173865642"", ""'G6_Maths GP_Pri_LU'!G2:V2000""), {3, 4, 5, 6, 7, 8, 9, 10, 11, 12, 13, 14, 15, 16}, 0))"),"LU000271")</f>
        <v>LU000271</v>
      </c>
      <c r="AH122" s="13" t="str">
        <f ca="1">IFERROR(__xludf.DUMMYFUNCTION("""COMPUTED_VALUE"""),"Addition of integers using rules of signs")</f>
        <v>Addition of integers using rules of signs</v>
      </c>
      <c r="AI122" s="13" t="str">
        <f ca="1">IFERROR(__xludf.DUMMYFUNCTION("""COMPUTED_VALUE"""),"LU000267")</f>
        <v>LU000267</v>
      </c>
      <c r="AJ122" s="13" t="str">
        <f ca="1">IFERROR(__xludf.DUMMYFUNCTION("""COMPUTED_VALUE"""),"Definition of negative integers")</f>
        <v>Definition of negative integers</v>
      </c>
      <c r="AK122" s="13" t="str">
        <f ca="1">IFERROR(__xludf.DUMMYFUNCTION("""COMPUTED_VALUE"""),"LU000266")</f>
        <v>LU000266</v>
      </c>
      <c r="AL122" s="13" t="str">
        <f ca="1">IFERROR(__xludf.DUMMYFUNCTION("""COMPUTED_VALUE"""),"Definition of positive integers")</f>
        <v>Definition of positive integers</v>
      </c>
      <c r="AM122" s="13"/>
      <c r="AN122" s="13"/>
      <c r="AO122" s="13"/>
      <c r="AP122" s="13"/>
      <c r="AQ122" s="13"/>
      <c r="AR122" s="13"/>
      <c r="AS122" s="13"/>
      <c r="AT122" s="13"/>
    </row>
    <row r="123" spans="1:46" ht="40.200000000000003">
      <c r="A123" s="8" t="s">
        <v>46</v>
      </c>
      <c r="B123" s="8" t="s">
        <v>47</v>
      </c>
      <c r="C123" s="8" t="s">
        <v>48</v>
      </c>
      <c r="D123" s="8" t="s">
        <v>49</v>
      </c>
      <c r="E123" s="8" t="s">
        <v>226</v>
      </c>
      <c r="F123" s="8" t="s">
        <v>241</v>
      </c>
      <c r="G123" s="16" t="s">
        <v>242</v>
      </c>
      <c r="H123" s="8" t="str">
        <f ca="1">IFERROR(__xludf.DUMMYFUNCTION("VLOOKUP(G123, IMPORTRANGE(""https://docs.google.com/spreadsheets/d/14deopnvwcrKtEGCKuYXdUHJbeLDZlkiSSWWT0g7x2pM/edit#gid=999382323"", ""LU List Maths (Filter)!A:B""), 2, FALSE)"),"Subtraction of integers using rules of signs")</f>
        <v>Subtraction of integers using rules of signs</v>
      </c>
      <c r="I123" s="10" t="str">
        <f t="shared" si="0"/>
        <v>LU000272.001</v>
      </c>
      <c r="J123" s="10" t="str">
        <f ca="1">IFERROR(__xludf.DUMMYFUNCTION("VLOOKUP(I123, IMPORTRANGE(""https://docs.google.com/spreadsheets/d/1yDAaXNsi4Mr5FtRQL4tbmSdIzhx6_m4wkOD7IG-k_eo/edit#gid=0"", ""Maths!M:N""), 2, FALSE)"),"Write the rules for subtracting integers with like and unlike signs.")</f>
        <v>Write the rules for subtracting integers with like and unlike signs.</v>
      </c>
      <c r="K123" s="10" t="str">
        <f t="shared" si="1"/>
        <v>LU000272.002</v>
      </c>
      <c r="L123" s="10" t="str">
        <f ca="1">IFERROR(__xludf.DUMMYFUNCTION("VLOOKUP(K123, IMPORTRANGE(""https://docs.google.com/spreadsheets/d/1yDAaXNsi4Mr5FtRQL4tbmSdIzhx6_m4wkOD7IG-k_eo/edit#gid=0"", ""Maths!M:N""), 2, FALSE)"),"Explain the concept of subtracting integers and the rationale behind the rules for different sign combinations.")</f>
        <v>Explain the concept of subtracting integers and the rationale behind the rules for different sign combinations.</v>
      </c>
      <c r="M123" s="10" t="str">
        <f t="shared" si="2"/>
        <v>LU000272.003</v>
      </c>
      <c r="N123" s="10" t="str">
        <f ca="1">IFERROR(__xludf.DUMMYFUNCTION("VLOOKUP(M123, IMPORTRANGE(""https://docs.google.com/spreadsheets/d/1yDAaXNsi4Mr5FtRQL4tbmSdIzhx6_m4wkOD7IG-k_eo/edit#gid=0"", ""Maths!M:N""), 2, FALSE)"),"Apply the rules of subtracting integers to solve arithmetic and practical subtraction problems.")</f>
        <v>Apply the rules of subtracting integers to solve arithmetic and practical subtraction problems.</v>
      </c>
      <c r="O123" s="10" t="str">
        <f t="shared" si="3"/>
        <v>LU000272.004</v>
      </c>
      <c r="P123" s="10" t="str">
        <f ca="1">IFERROR(__xludf.DUMMYFUNCTION("VLOOKUP(O123, IMPORTRANGE(""https://docs.google.com/spreadsheets/d/1yDAaXNsi4Mr5FtRQL4tbmSdIzhx6_m4wkOD7IG-k_eo/edit#gid=0"", ""Maths!M:N""), 2, FALSE)"),"Analyse complex subtraction expressions involving multiple integers and evaluate their outcomes.")</f>
        <v>Analyse complex subtraction expressions involving multiple integers and evaluate their outcomes.</v>
      </c>
      <c r="Q123" s="10" t="str">
        <f t="shared" si="4"/>
        <v>LU000272.005</v>
      </c>
      <c r="R123" s="10" t="str">
        <f ca="1">IFERROR(__xludf.DUMMYFUNCTION("VLOOKUP(Q123, IMPORTRANGE(""https://docs.google.com/spreadsheets/d/1yDAaXNsi4Mr5FtRQL4tbmSdIzhx6_m4wkOD7IG-k_eo/edit#gid=0"", ""Maths!M:N""), 2, FALSE)"),"Evaluate the accuracy of solutions to integer subtraction problems and provide feedback on the approach.")</f>
        <v>Evaluate the accuracy of solutions to integer subtraction problems and provide feedback on the approach.</v>
      </c>
      <c r="S123" s="10" t="str">
        <f t="shared" si="5"/>
        <v>LU000272.006</v>
      </c>
      <c r="T123" s="10" t="str">
        <f ca="1">IFERROR(__xludf.DUMMYFUNCTION("VLOOKUP(S123, IMPORTRANGE(""https://docs.google.com/spreadsheets/d/1yDAaXNsi4Mr5FtRQL4tbmSdIzhx6_m4wkOD7IG-k_eo/edit#gid=0"", ""Maths!M:N""), 2, FALSE)"),"Create a set of integer subtraction problems with varying sign combinations.")</f>
        <v>Create a set of integer subtraction problems with varying sign combinations.</v>
      </c>
      <c r="U123" s="11">
        <f ca="1">IFERROR(__xludf.DUMMYFUNCTION("ArrayFormula(VLOOKUP(G123, IMPORTRANGE(""https://docs.google.com/spreadsheets/d/1p7R4vtkWt5VOBim4ltsDG9KTzSjrtKXsMtQGXPHyND0/edit#gid=795171502"", ""'Filter 30_05_2024'!A1:M2000""), {2, 3, 4, 5,6,7,8,9,10,11,12,13}, 0))"),3)</f>
        <v>3</v>
      </c>
      <c r="V123" s="11">
        <f ca="1">IFERROR(__xludf.DUMMYFUNCTION("""COMPUTED_VALUE"""),13)</f>
        <v>13</v>
      </c>
      <c r="W123" s="11">
        <f ca="1">IFERROR(__xludf.DUMMYFUNCTION("""COMPUTED_VALUE"""),5)</f>
        <v>5</v>
      </c>
      <c r="X123" s="11">
        <f ca="1">IFERROR(__xludf.DUMMYFUNCTION("""COMPUTED_VALUE"""),21)</f>
        <v>21</v>
      </c>
      <c r="Y123" s="11">
        <f ca="1">IFERROR(__xludf.DUMMYFUNCTION("""COMPUTED_VALUE"""),9)</f>
        <v>9</v>
      </c>
      <c r="Z123" s="12">
        <f ca="1">IFERROR(__xludf.DUMMYFUNCTION("""COMPUTED_VALUE"""),8)</f>
        <v>8</v>
      </c>
      <c r="AA123" s="12">
        <f ca="1">IFERROR(__xludf.DUMMYFUNCTION("""COMPUTED_VALUE"""),2)</f>
        <v>2</v>
      </c>
      <c r="AB123" s="12">
        <f ca="1">IFERROR(__xludf.DUMMYFUNCTION("""COMPUTED_VALUE"""),19)</f>
        <v>19</v>
      </c>
      <c r="AC123" s="11"/>
      <c r="AD123" s="12"/>
      <c r="AE123" s="12"/>
      <c r="AF123" s="12"/>
      <c r="AG123" s="13" t="str">
        <f ca="1">IFERROR(__xludf.DUMMYFUNCTION("ArrayFormula(VLOOKUP(G123, IMPORTRANGE(""https://docs.google.com/spreadsheets/d/1Co934fvtviyaRiMsrIlT05Jaq7iiYq07aLvRr35KA48/edit?gid=173865642#gid=173865642"", ""'G6_Maths GP_Pri_LU'!G2:V2000""), {3, 4, 5, 6, 7, 8, 9, 10, 11, 12, 13, 14, 15, 16}, 0))"),"LU000274")</f>
        <v>LU000274</v>
      </c>
      <c r="AH123" s="13" t="str">
        <f ca="1">IFERROR(__xludf.DUMMYFUNCTION("""COMPUTED_VALUE"""),"Additive inverse of integers")</f>
        <v>Additive inverse of integers</v>
      </c>
      <c r="AI123" s="13" t="str">
        <f ca="1">IFERROR(__xludf.DUMMYFUNCTION("""COMPUTED_VALUE"""),"LU000271")</f>
        <v>LU000271</v>
      </c>
      <c r="AJ123" s="13" t="str">
        <f ca="1">IFERROR(__xludf.DUMMYFUNCTION("""COMPUTED_VALUE"""),"Addition of integers using rules of signs")</f>
        <v>Addition of integers using rules of signs</v>
      </c>
      <c r="AK123" s="13" t="str">
        <f ca="1">IFERROR(__xludf.DUMMYFUNCTION("""COMPUTED_VALUE"""),"LU000267")</f>
        <v>LU000267</v>
      </c>
      <c r="AL123" s="13" t="str">
        <f ca="1">IFERROR(__xludf.DUMMYFUNCTION("""COMPUTED_VALUE"""),"Definition of negative integers")</f>
        <v>Definition of negative integers</v>
      </c>
      <c r="AM123" s="13" t="str">
        <f ca="1">IFERROR(__xludf.DUMMYFUNCTION("""COMPUTED_VALUE"""),"LU000266")</f>
        <v>LU000266</v>
      </c>
      <c r="AN123" s="13" t="str">
        <f ca="1">IFERROR(__xludf.DUMMYFUNCTION("""COMPUTED_VALUE"""),"Definition of positive integers")</f>
        <v>Definition of positive integers</v>
      </c>
      <c r="AO123" s="13"/>
      <c r="AP123" s="13"/>
      <c r="AQ123" s="13"/>
      <c r="AR123" s="13"/>
      <c r="AS123" s="13"/>
      <c r="AT123" s="13"/>
    </row>
    <row r="124" spans="1:46" ht="40.200000000000003">
      <c r="A124" s="8" t="s">
        <v>46</v>
      </c>
      <c r="B124" s="8" t="s">
        <v>47</v>
      </c>
      <c r="C124" s="8" t="s">
        <v>48</v>
      </c>
      <c r="D124" s="8" t="s">
        <v>49</v>
      </c>
      <c r="E124" s="8" t="s">
        <v>226</v>
      </c>
      <c r="F124" s="8" t="s">
        <v>241</v>
      </c>
      <c r="G124" s="16" t="s">
        <v>243</v>
      </c>
      <c r="H124" s="8" t="str">
        <f ca="1">IFERROR(__xludf.DUMMYFUNCTION("VLOOKUP(G124, IMPORTRANGE(""https://docs.google.com/spreadsheets/d/14deopnvwcrKtEGCKuYXdUHJbeLDZlkiSSWWT0g7x2pM/edit#gid=999382323"", ""LU List Maths (Filter)!A:B""), 2, FALSE)"),"Subtraction of integers using number line")</f>
        <v>Subtraction of integers using number line</v>
      </c>
      <c r="I124" s="10" t="str">
        <f t="shared" si="0"/>
        <v>LU000277.001</v>
      </c>
      <c r="J124" s="10" t="str">
        <f ca="1">IFERROR(__xludf.DUMMYFUNCTION("VLOOKUP(I124, IMPORTRANGE(""https://docs.google.com/spreadsheets/d/1yDAaXNsi4Mr5FtRQL4tbmSdIzhx6_m4wkOD7IG-k_eo/edit#gid=0"", ""Maths!M:N""), 2, FALSE)"),"Recall the rules for subtracting integers with the same and opposite signs")</f>
        <v>Recall the rules for subtracting integers with the same and opposite signs</v>
      </c>
      <c r="K124" s="10" t="str">
        <f t="shared" si="1"/>
        <v>LU000277.002</v>
      </c>
      <c r="L124" s="10" t="str">
        <f ca="1">IFERROR(__xludf.DUMMYFUNCTION("VLOOKUP(K124, IMPORTRANGE(""https://docs.google.com/spreadsheets/d/1yDAaXNsi4Mr5FtRQL4tbmSdIzhx6_m4wkOD7IG-k_eo/edit#gid=0"", ""Maths!M:N""), 2, FALSE)"),"Explain the purpose of using a number line for subtracting integers.")</f>
        <v>Explain the purpose of using a number line for subtracting integers.</v>
      </c>
      <c r="M124" s="10" t="str">
        <f t="shared" si="2"/>
        <v>LU000277.003</v>
      </c>
      <c r="N124" s="10" t="str">
        <f ca="1">IFERROR(__xludf.DUMMYFUNCTION("VLOOKUP(M124, IMPORTRANGE(""https://docs.google.com/spreadsheets/d/1yDAaXNsi4Mr5FtRQL4tbmSdIzhx6_m4wkOD7IG-k_eo/edit#gid=0"", ""Maths!M:N""), 2, FALSE)"),"Apply integer subtraction using a number line to solve basic arithmetic and practical problems.")</f>
        <v>Apply integer subtraction using a number line to solve basic arithmetic and practical problems.</v>
      </c>
      <c r="O124" s="10" t="str">
        <f t="shared" si="3"/>
        <v>LU000277.004</v>
      </c>
      <c r="P124" s="10" t="str">
        <f ca="1">IFERROR(__xludf.DUMMYFUNCTION("VLOOKUP(O124, IMPORTRANGE(""https://docs.google.com/spreadsheets/d/1yDAaXNsi4Mr5FtRQL4tbmSdIzhx6_m4wkOD7IG-k_eo/edit#gid=0"", ""Maths!M:N""), 2, FALSE)"),"Analyse different visual methods for subtracting integers and compare their effectiveness.")</f>
        <v>Analyse different visual methods for subtracting integers and compare their effectiveness.</v>
      </c>
      <c r="Q124" s="10" t="str">
        <f t="shared" si="4"/>
        <v>LU000277.005</v>
      </c>
      <c r="R124" s="10" t="str">
        <f ca="1">IFERROR(__xludf.DUMMYFUNCTION("VLOOKUP(Q124, IMPORTRANGE(""https://docs.google.com/spreadsheets/d/1yDAaXNsi4Mr5FtRQL4tbmSdIzhx6_m4wkOD7IG-k_eo/edit#gid=0"", ""Maths!M:N""), 2, FALSE)"),"Assess the correctness of solutions obtained through the number line method for integer subtraction.")</f>
        <v>Assess the correctness of solutions obtained through the number line method for integer subtraction.</v>
      </c>
      <c r="S124" s="10" t="str">
        <f t="shared" si="5"/>
        <v>LU000277.006</v>
      </c>
      <c r="T124" s="10" t="str">
        <f ca="1">IFERROR(__xludf.DUMMYFUNCTION("VLOOKUP(S124, IMPORTRANGE(""https://docs.google.com/spreadsheets/d/1yDAaXNsi4Mr5FtRQL4tbmSdIzhx6_m4wkOD7IG-k_eo/edit#gid=0"", ""Maths!M:N""), 2, FALSE)"),"Devise original real-world scenarios or problems that require the application of integer subtraction using a number line")</f>
        <v>Devise original real-world scenarios or problems that require the application of integer subtraction using a number line</v>
      </c>
      <c r="U124" s="11">
        <f ca="1">IFERROR(__xludf.DUMMYFUNCTION("ArrayFormula(VLOOKUP(G124, IMPORTRANGE(""https://docs.google.com/spreadsheets/d/1p7R4vtkWt5VOBim4ltsDG9KTzSjrtKXsMtQGXPHyND0/edit#gid=795171502"", ""'Filter 30_05_2024'!A1:M2000""), {2, 3, 4, 5,6,7,8,9,10,11,12,13}, 0))"),4)</f>
        <v>4</v>
      </c>
      <c r="V124" s="11">
        <f ca="1">IFERROR(__xludf.DUMMYFUNCTION("""COMPUTED_VALUE"""),10)</f>
        <v>10</v>
      </c>
      <c r="W124" s="11">
        <f ca="1">IFERROR(__xludf.DUMMYFUNCTION("""COMPUTED_VALUE"""),2)</f>
        <v>2</v>
      </c>
      <c r="X124" s="11">
        <f ca="1">IFERROR(__xludf.DUMMYFUNCTION("""COMPUTED_VALUE"""),16)</f>
        <v>16</v>
      </c>
      <c r="Y124" s="11">
        <f ca="1">IFERROR(__xludf.DUMMYFUNCTION("""COMPUTED_VALUE"""),4)</f>
        <v>4</v>
      </c>
      <c r="Z124" s="12">
        <f ca="1">IFERROR(__xludf.DUMMYFUNCTION("""COMPUTED_VALUE"""),3)</f>
        <v>3</v>
      </c>
      <c r="AA124" s="12">
        <f ca="1">IFERROR(__xludf.DUMMYFUNCTION("""COMPUTED_VALUE"""),1)</f>
        <v>1</v>
      </c>
      <c r="AB124" s="12">
        <f ca="1">IFERROR(__xludf.DUMMYFUNCTION("""COMPUTED_VALUE"""),8)</f>
        <v>8</v>
      </c>
      <c r="AC124" s="11"/>
      <c r="AD124" s="12"/>
      <c r="AE124" s="12"/>
      <c r="AF124" s="12"/>
      <c r="AG124" s="13" t="str">
        <f ca="1">IFERROR(__xludf.DUMMYFUNCTION("ArrayFormula(VLOOKUP(G124, IMPORTRANGE(""https://docs.google.com/spreadsheets/d/1Co934fvtviyaRiMsrIlT05Jaq7iiYq07aLvRr35KA48/edit?gid=173865642#gid=173865642"", ""'G6_Maths GP_Pri_LU'!G2:V2000""), {3, 4, 5, 6, 7, 8, 9, 10, 11, 12, 13, 14, 15, 16}, 0))"),"LU000270")</f>
        <v>LU000270</v>
      </c>
      <c r="AH124" s="13" t="str">
        <f ca="1">IFERROR(__xludf.DUMMYFUNCTION("""COMPUTED_VALUE"""),"Representation of integers on number line")</f>
        <v>Representation of integers on number line</v>
      </c>
      <c r="AI124" s="13" t="str">
        <f ca="1">IFERROR(__xludf.DUMMYFUNCTION("""COMPUTED_VALUE"""),"LU000181")</f>
        <v>LU000181</v>
      </c>
      <c r="AJ124" s="13" t="str">
        <f ca="1">IFERROR(__xludf.DUMMYFUNCTION("""COMPUTED_VALUE"""),"Subtraction of whole numbers on number line")</f>
        <v>Subtraction of whole numbers on number line</v>
      </c>
      <c r="AK124" s="13" t="str">
        <f ca="1">IFERROR(__xludf.DUMMYFUNCTION("""COMPUTED_VALUE"""),"LU000270")</f>
        <v>LU000270</v>
      </c>
      <c r="AL124" s="13" t="str">
        <f ca="1">IFERROR(__xludf.DUMMYFUNCTION("""COMPUTED_VALUE"""),"Representation of integers on number line")</f>
        <v>Representation of integers on number line</v>
      </c>
      <c r="AM124" s="13" t="str">
        <f ca="1">IFERROR(__xludf.DUMMYFUNCTION("""COMPUTED_VALUE"""),"LU000267")</f>
        <v>LU000267</v>
      </c>
      <c r="AN124" s="13" t="str">
        <f ca="1">IFERROR(__xludf.DUMMYFUNCTION("""COMPUTED_VALUE"""),"Definition of negative integers")</f>
        <v>Definition of negative integers</v>
      </c>
      <c r="AO124" s="13" t="str">
        <f ca="1">IFERROR(__xludf.DUMMYFUNCTION("""COMPUTED_VALUE"""),"LU000266")</f>
        <v>LU000266</v>
      </c>
      <c r="AP124" s="13" t="str">
        <f ca="1">IFERROR(__xludf.DUMMYFUNCTION("""COMPUTED_VALUE"""),"Definition of positive integers")</f>
        <v>Definition of positive integers</v>
      </c>
      <c r="AQ124" s="13"/>
      <c r="AR124" s="13"/>
      <c r="AS124" s="13"/>
      <c r="AT124" s="13"/>
    </row>
    <row r="125" spans="1:46" ht="40.200000000000003">
      <c r="A125" s="8" t="s">
        <v>46</v>
      </c>
      <c r="B125" s="8" t="s">
        <v>47</v>
      </c>
      <c r="C125" s="8" t="s">
        <v>48</v>
      </c>
      <c r="D125" s="8" t="s">
        <v>49</v>
      </c>
      <c r="E125" s="8" t="s">
        <v>226</v>
      </c>
      <c r="F125" s="8" t="s">
        <v>244</v>
      </c>
      <c r="G125" s="16" t="s">
        <v>245</v>
      </c>
      <c r="H125" s="8" t="str">
        <f ca="1">IFERROR(__xludf.DUMMYFUNCTION("VLOOKUP(G125, IMPORTRANGE(""https://docs.google.com/spreadsheets/d/14deopnvwcrKtEGCKuYXdUHJbeLDZlkiSSWWT0g7x2pM/edit#gid=999382323"", ""LU List Maths (Filter)!A:B""), 2, FALSE)"),"Mixed operation of addition and subtraction of three or more integers")</f>
        <v>Mixed operation of addition and subtraction of three or more integers</v>
      </c>
      <c r="I125" s="10" t="str">
        <f t="shared" si="0"/>
        <v>LU000914.001</v>
      </c>
      <c r="J125" s="10" t="str">
        <f ca="1">IFERROR(__xludf.DUMMYFUNCTION("VLOOKUP(I125, IMPORTRANGE(""https://docs.google.com/spreadsheets/d/1yDAaXNsi4Mr5FtRQL4tbmSdIzhx6_m4wkOD7IG-k_eo/edit#gid=0"", ""Maths!M:N""), 2, FALSE)"),"State the rules for adding and subtracting three and more integers.")</f>
        <v>State the rules for adding and subtracting three and more integers.</v>
      </c>
      <c r="K125" s="10" t="str">
        <f t="shared" si="1"/>
        <v>LU000914.002</v>
      </c>
      <c r="L125" s="10" t="str">
        <f ca="1">IFERROR(__xludf.DUMMYFUNCTION("VLOOKUP(K125, IMPORTRANGE(""https://docs.google.com/spreadsheets/d/1yDAaXNsi4Mr5FtRQL4tbmSdIzhx6_m4wkOD7IG-k_eo/edit#gid=0"", ""Maths!M:N""), 2, FALSE)"),"Explain the concept of performing mixed operations involving addition and subtraction of three or more integers.")</f>
        <v>Explain the concept of performing mixed operations involving addition and subtraction of three or more integers.</v>
      </c>
      <c r="M125" s="10" t="str">
        <f t="shared" si="2"/>
        <v>LU000914.003</v>
      </c>
      <c r="N125" s="10" t="str">
        <f ca="1">IFERROR(__xludf.DUMMYFUNCTION("VLOOKUP(M125, IMPORTRANGE(""https://docs.google.com/spreadsheets/d/1yDAaXNsi4Mr5FtRQL4tbmSdIzhx6_m4wkOD7IG-k_eo/edit#gid=0"", ""Maths!M:N""), 2, FALSE)"),"Apply the rules of addition and subtraction to solve arithmetic and real life problems involving three or more integers.")</f>
        <v>Apply the rules of addition and subtraction to solve arithmetic and real life problems involving three or more integers.</v>
      </c>
      <c r="O125" s="10" t="str">
        <f t="shared" si="3"/>
        <v>LU000914.004</v>
      </c>
      <c r="P125" s="10" t="str">
        <f ca="1">IFERROR(__xludf.DUMMYFUNCTION("VLOOKUP(O125, IMPORTRANGE(""https://docs.google.com/spreadsheets/d/1yDAaXNsi4Mr5FtRQL4tbmSdIzhx6_m4wkOD7IG-k_eo/edit#gid=0"", ""Maths!M:N""), 2, FALSE)"),"Analyze errors in a given set of mixed operations involving integers and explain the correct procedures.")</f>
        <v>Analyze errors in a given set of mixed operations involving integers and explain the correct procedures.</v>
      </c>
      <c r="Q125" s="10" t="str">
        <f t="shared" si="4"/>
        <v>LU000914.005</v>
      </c>
      <c r="R125" s="10" t="str">
        <f ca="1">IFERROR(__xludf.DUMMYFUNCTION("VLOOKUP(Q125, IMPORTRANGE(""https://docs.google.com/spreadsheets/d/1yDAaXNsi4Mr5FtRQL4tbmSdIzhx6_m4wkOD7IG-k_eo/edit#gid=0"", ""Maths!M:N""), 2, FALSE)"),"Evaluate the accuracy of solutions to mixed operations with integers.")</f>
        <v>Evaluate the accuracy of solutions to mixed operations with integers.</v>
      </c>
      <c r="S125" s="10" t="str">
        <f t="shared" si="5"/>
        <v>LU000914.006</v>
      </c>
      <c r="T125" s="10" t="str">
        <f ca="1">IFERROR(__xludf.DUMMYFUNCTION("VLOOKUP(S125, IMPORTRANGE(""https://docs.google.com/spreadsheets/d/1yDAaXNsi4Mr5FtRQL4tbmSdIzhx6_m4wkOD7IG-k_eo/edit#gid=0"", ""Maths!M:N""), 2, FALSE)"),"Develop and solve a set of original problems that involve mixed operations with three or more integers.")</f>
        <v>Develop and solve a set of original problems that involve mixed operations with three or more integers.</v>
      </c>
      <c r="U125" s="11">
        <f ca="1">IFERROR(__xludf.DUMMYFUNCTION("ArrayFormula(VLOOKUP(G125, IMPORTRANGE(""https://docs.google.com/spreadsheets/d/1p7R4vtkWt5VOBim4ltsDG9KTzSjrtKXsMtQGXPHyND0/edit#gid=795171502"", ""'Filter 30_05_2024'!A1:M2000""), {2, 3, 4, 5,6,7,8,9,10,11,12,13}, 0))"),4)</f>
        <v>4</v>
      </c>
      <c r="V125" s="11">
        <f ca="1">IFERROR(__xludf.DUMMYFUNCTION("""COMPUTED_VALUE"""),4)</f>
        <v>4</v>
      </c>
      <c r="W125" s="11">
        <f ca="1">IFERROR(__xludf.DUMMYFUNCTION("""COMPUTED_VALUE"""),2)</f>
        <v>2</v>
      </c>
      <c r="X125" s="11">
        <f ca="1">IFERROR(__xludf.DUMMYFUNCTION("""COMPUTED_VALUE"""),10)</f>
        <v>10</v>
      </c>
      <c r="Y125" s="11">
        <f ca="1">IFERROR(__xludf.DUMMYFUNCTION("""COMPUTED_VALUE"""),4)</f>
        <v>4</v>
      </c>
      <c r="Z125" s="12">
        <f ca="1">IFERROR(__xludf.DUMMYFUNCTION("""COMPUTED_VALUE"""),5)</f>
        <v>5</v>
      </c>
      <c r="AA125" s="12">
        <f ca="1">IFERROR(__xludf.DUMMYFUNCTION("""COMPUTED_VALUE"""),1)</f>
        <v>1</v>
      </c>
      <c r="AB125" s="12">
        <f ca="1">IFERROR(__xludf.DUMMYFUNCTION("""COMPUTED_VALUE"""),10)</f>
        <v>10</v>
      </c>
      <c r="AC125" s="11"/>
      <c r="AD125" s="12"/>
      <c r="AE125" s="12"/>
      <c r="AF125" s="12"/>
      <c r="AG125" s="13" t="str">
        <f ca="1">IFERROR(__xludf.DUMMYFUNCTION("ArrayFormula(VLOOKUP(G125, IMPORTRANGE(""https://docs.google.com/spreadsheets/d/1Co934fvtviyaRiMsrIlT05Jaq7iiYq07aLvRr35KA48/edit?gid=173865642#gid=173865642"", ""'G6_Maths GP_Pri_LU'!G2:V2000""), {3, 4, 5, 6, 7, 8, 9, 10, 11, 12, 13, 14, 15, 16}, 0))"),"LU000272")</f>
        <v>LU000272</v>
      </c>
      <c r="AH125" s="13" t="str">
        <f ca="1">IFERROR(__xludf.DUMMYFUNCTION("""COMPUTED_VALUE"""),"Subtraction of integers using rules of signs")</f>
        <v>Subtraction of integers using rules of signs</v>
      </c>
      <c r="AI125" s="13" t="str">
        <f ca="1">IFERROR(__xludf.DUMMYFUNCTION("""COMPUTED_VALUE"""),"LU000271")</f>
        <v>LU000271</v>
      </c>
      <c r="AJ125" s="13" t="str">
        <f ca="1">IFERROR(__xludf.DUMMYFUNCTION("""COMPUTED_VALUE"""),"Addition of integers using rules of signs")</f>
        <v>Addition of integers using rules of signs</v>
      </c>
      <c r="AK125" s="13" t="str">
        <f ca="1">IFERROR(__xludf.DUMMYFUNCTION("""COMPUTED_VALUE"""),"LU000277")</f>
        <v>LU000277</v>
      </c>
      <c r="AL125" s="13" t="str">
        <f ca="1">IFERROR(__xludf.DUMMYFUNCTION("""COMPUTED_VALUE"""),"Subtraction of integers using number line")</f>
        <v>Subtraction of integers using number line</v>
      </c>
      <c r="AM125" s="13" t="str">
        <f ca="1">IFERROR(__xludf.DUMMYFUNCTION("""COMPUTED_VALUE"""),"LU000276")</f>
        <v>LU000276</v>
      </c>
      <c r="AN125" s="13" t="str">
        <f ca="1">IFERROR(__xludf.DUMMYFUNCTION("""COMPUTED_VALUE"""),"Addition of integers using number line")</f>
        <v>Addition of integers using number line</v>
      </c>
      <c r="AO125" s="13"/>
      <c r="AP125" s="13"/>
      <c r="AQ125" s="13"/>
      <c r="AR125" s="13"/>
      <c r="AS125" s="13"/>
      <c r="AT125" s="13"/>
    </row>
    <row r="126" spans="1:46" ht="40.200000000000003">
      <c r="A126" s="8" t="s">
        <v>46</v>
      </c>
      <c r="B126" s="8" t="s">
        <v>47</v>
      </c>
      <c r="C126" s="8" t="s">
        <v>48</v>
      </c>
      <c r="D126" s="8" t="s">
        <v>49</v>
      </c>
      <c r="E126" s="8" t="s">
        <v>226</v>
      </c>
      <c r="F126" s="8" t="s">
        <v>244</v>
      </c>
      <c r="G126" s="19" t="s">
        <v>246</v>
      </c>
      <c r="H126" s="8" t="str">
        <f ca="1">IFERROR(__xludf.DUMMYFUNCTION("VLOOKUP(G126, IMPORTRANGE(""https://docs.google.com/spreadsheets/d/14deopnvwcrKtEGCKuYXdUHJbeLDZlkiSSWWT0g7x2pM/edit#gid=999382323"", ""LU List Maths (Filter)!A:B""), 2, FALSE)"),"Exploration of addition/ subtraction of integers")</f>
        <v>Exploration of addition/ subtraction of integers</v>
      </c>
      <c r="I126" s="10" t="str">
        <f t="shared" si="0"/>
        <v>LU001366.001</v>
      </c>
      <c r="J126" s="10" t="str">
        <f ca="1">IFERROR(__xludf.DUMMYFUNCTION("VLOOKUP(I126, IMPORTRANGE(""https://docs.google.com/spreadsheets/d/1yDAaXNsi4Mr5FtRQL4tbmSdIzhx6_m4wkOD7IG-k_eo/edit#gid=0"", ""Maths!M:N""), 2, FALSE)"),"Identify positive and negative integers and their positions on a number line.")</f>
        <v>Identify positive and negative integers and their positions on a number line.</v>
      </c>
      <c r="K126" s="10" t="str">
        <f t="shared" si="1"/>
        <v>LU001366.002</v>
      </c>
      <c r="L126" s="10" t="str">
        <f ca="1">IFERROR(__xludf.DUMMYFUNCTION("VLOOKUP(K126, IMPORTRANGE(""https://docs.google.com/spreadsheets/d/1yDAaXNsi4Mr5FtRQL4tbmSdIzhx6_m4wkOD7IG-k_eo/edit#gid=0"", ""Maths!M:N""), 2, FALSE)"),"Explain how to use addition and subtraction to move between floors in a building model that represents positive and negative integers.")</f>
        <v>Explain how to use addition and subtraction to move between floors in a building model that represents positive and negative integers.</v>
      </c>
      <c r="M126" s="10" t="str">
        <f t="shared" si="2"/>
        <v>LU001366.003</v>
      </c>
      <c r="N126" s="10" t="str">
        <f ca="1">IFERROR(__xludf.DUMMYFUNCTION("VLOOKUP(M126, IMPORTRANGE(""https://docs.google.com/spreadsheets/d/1yDAaXNsi4Mr5FtRQL4tbmSdIzhx6_m4wkOD7IG-k_eo/edit#gid=0"", ""Maths!M:N""), 2, FALSE)"),"Demonstrate addition and subtraction of integers by solving problems using the elevator model.")</f>
        <v>Demonstrate addition and subtraction of integers by solving problems using the elevator model.</v>
      </c>
      <c r="O126" s="10" t="str">
        <f t="shared" si="3"/>
        <v>LU001366.004</v>
      </c>
      <c r="P126" s="10" t="str">
        <f ca="1">IFERROR(__xludf.DUMMYFUNCTION("VLOOKUP(O126, IMPORTRANGE(""https://docs.google.com/spreadsheets/d/1yDAaXNsi4Mr5FtRQL4tbmSdIzhx6_m4wkOD7IG-k_eo/edit#gid=0"", ""Maths!M:N""), 2, FALSE)"),"Analyze the effects of combining positive and negative integers and how these combinations affect the final outcome (e.g., reaching a target floor).")</f>
        <v>Analyze the effects of combining positive and negative integers and how these combinations affect the final outcome (e.g., reaching a target floor).</v>
      </c>
      <c r="Q126" s="10" t="str">
        <f t="shared" si="4"/>
        <v>LU001366.005</v>
      </c>
      <c r="R126" s="10" t="str">
        <f ca="1">IFERROR(__xludf.DUMMYFUNCTION("VLOOKUP(Q126, IMPORTRANGE(""https://docs.google.com/spreadsheets/d/1yDAaXNsi4Mr5FtRQL4tbmSdIzhx6_m4wkOD7IG-k_eo/edit#gid=0"", ""Maths!M:N""), 2, FALSE)"),"Evaluate the results of integer addition and subtraction problems by comparing the movements on a number line or elevator model.")</f>
        <v>Evaluate the results of integer addition and subtraction problems by comparing the movements on a number line or elevator model.</v>
      </c>
      <c r="S126" s="10" t="str">
        <f t="shared" si="5"/>
        <v>LU001366.006</v>
      </c>
      <c r="T126" s="10" t="str">
        <f ca="1">IFERROR(__xludf.DUMMYFUNCTION("VLOOKUP(S126, IMPORTRANGE(""https://docs.google.com/spreadsheets/d/1yDAaXNsi4Mr5FtRQL4tbmSdIzhx6_m4wkOD7IG-k_eo/edit#gid=0"", ""Maths!M:N""), 2, FALSE)"),"Create and solve real-world problems that involve the addition and subtraction of integers, using contexts such as temperature changes or bank account balances.")</f>
        <v>Create and solve real-world problems that involve the addition and subtraction of integers, using contexts such as temperature changes or bank account balances.</v>
      </c>
      <c r="U126" s="11" t="str">
        <f ca="1">IFERROR(__xludf.DUMMYFUNCTION("ArrayFormula(VLOOKUP(G126, IMPORTRANGE(""https://docs.google.com/spreadsheets/d/1p7R4vtkWt5VOBim4ltsDG9KTzSjrtKXsMtQGXPHyND0/edit#gid=795171502"", ""'Filter 30_05_2024'!A1:M2000""), {2, 3, 4, 5,6,7,8,9,10,11,12,13}, 0))"),"#N/A")</f>
        <v>#N/A</v>
      </c>
      <c r="V126" s="11" t="str">
        <f ca="1">IFERROR(__xludf.DUMMYFUNCTION("""COMPUTED_VALUE"""),"#N/A")</f>
        <v>#N/A</v>
      </c>
      <c r="W126" s="11" t="str">
        <f ca="1">IFERROR(__xludf.DUMMYFUNCTION("""COMPUTED_VALUE"""),"#N/A")</f>
        <v>#N/A</v>
      </c>
      <c r="X126" s="11" t="str">
        <f ca="1">IFERROR(__xludf.DUMMYFUNCTION("""COMPUTED_VALUE"""),"#N/A")</f>
        <v>#N/A</v>
      </c>
      <c r="Y126" s="11" t="str">
        <f ca="1">IFERROR(__xludf.DUMMYFUNCTION("""COMPUTED_VALUE"""),"#N/A")</f>
        <v>#N/A</v>
      </c>
      <c r="Z126" s="12" t="str">
        <f ca="1">IFERROR(__xludf.DUMMYFUNCTION("""COMPUTED_VALUE"""),"#N/A")</f>
        <v>#N/A</v>
      </c>
      <c r="AA126" s="12" t="str">
        <f ca="1">IFERROR(__xludf.DUMMYFUNCTION("""COMPUTED_VALUE"""),"#N/A")</f>
        <v>#N/A</v>
      </c>
      <c r="AB126" s="12" t="str">
        <f ca="1">IFERROR(__xludf.DUMMYFUNCTION("""COMPUTED_VALUE"""),"#N/A")</f>
        <v>#N/A</v>
      </c>
      <c r="AC126" s="11" t="str">
        <f ca="1">IFERROR(__xludf.DUMMYFUNCTION("""COMPUTED_VALUE"""),"#N/A")</f>
        <v>#N/A</v>
      </c>
      <c r="AD126" s="12" t="str">
        <f ca="1">IFERROR(__xludf.DUMMYFUNCTION("""COMPUTED_VALUE"""),"#N/A")</f>
        <v>#N/A</v>
      </c>
      <c r="AE126" s="12" t="str">
        <f ca="1">IFERROR(__xludf.DUMMYFUNCTION("""COMPUTED_VALUE"""),"#N/A")</f>
        <v>#N/A</v>
      </c>
      <c r="AF126" s="12" t="str">
        <f ca="1">IFERROR(__xludf.DUMMYFUNCTION("""COMPUTED_VALUE"""),"#N/A")</f>
        <v>#N/A</v>
      </c>
      <c r="AG126" s="13" t="str">
        <f ca="1">IFERROR(__xludf.DUMMYFUNCTION("ArrayFormula(VLOOKUP(G126, IMPORTRANGE(""https://docs.google.com/spreadsheets/d/1Co934fvtviyaRiMsrIlT05Jaq7iiYq07aLvRr35KA48/edit?gid=173865642#gid=173865642"", ""'G6_Maths GP_Pri_LU'!G2:V2000""), {3, 4, 5, 6, 7, 8, 9, 10, 11, 12, 13, 14, 15, 16}, 0))"),"LU000276")</f>
        <v>LU000276</v>
      </c>
      <c r="AH126" s="13" t="str">
        <f ca="1">IFERROR(__xludf.DUMMYFUNCTION("""COMPUTED_VALUE"""),"Addition of integers using number line")</f>
        <v>Addition of integers using number line</v>
      </c>
      <c r="AI126" s="13" t="str">
        <f ca="1">IFERROR(__xludf.DUMMYFUNCTION("""COMPUTED_VALUE"""),"LU000277")</f>
        <v>LU000277</v>
      </c>
      <c r="AJ126" s="13" t="str">
        <f ca="1">IFERROR(__xludf.DUMMYFUNCTION("""COMPUTED_VALUE"""),"Subtraction of integers using number line")</f>
        <v>Subtraction of integers using number line</v>
      </c>
      <c r="AK126" s="13"/>
      <c r="AL126" s="13"/>
      <c r="AM126" s="13"/>
      <c r="AN126" s="13"/>
      <c r="AO126" s="13"/>
      <c r="AP126" s="13"/>
      <c r="AQ126" s="13"/>
      <c r="AR126" s="13"/>
      <c r="AS126" s="13"/>
      <c r="AT126" s="13"/>
    </row>
    <row r="127" spans="1:46" ht="13.2">
      <c r="A127" s="8"/>
      <c r="B127" s="8"/>
      <c r="C127" s="8"/>
      <c r="D127" s="8"/>
      <c r="E127" s="8"/>
      <c r="F127" s="8"/>
      <c r="G127" s="9"/>
      <c r="H127" s="8"/>
      <c r="I127" s="10"/>
      <c r="J127" s="10"/>
      <c r="K127" s="10"/>
      <c r="L127" s="10"/>
      <c r="M127" s="10"/>
      <c r="N127" s="10"/>
      <c r="O127" s="10"/>
      <c r="P127" s="10"/>
      <c r="Q127" s="10"/>
      <c r="R127" s="10"/>
      <c r="S127" s="10"/>
      <c r="T127" s="10"/>
      <c r="U127" s="11"/>
      <c r="V127" s="11"/>
      <c r="W127" s="11"/>
      <c r="X127" s="11"/>
      <c r="Y127" s="11"/>
      <c r="Z127" s="12"/>
      <c r="AA127" s="12"/>
      <c r="AB127" s="12"/>
      <c r="AC127" s="12"/>
      <c r="AD127" s="12"/>
      <c r="AE127" s="12"/>
      <c r="AF127" s="12"/>
    </row>
    <row r="128" spans="1:46" ht="13.2">
      <c r="A128" s="8"/>
      <c r="B128" s="8"/>
      <c r="C128" s="8"/>
      <c r="D128" s="8"/>
      <c r="E128" s="8"/>
      <c r="F128" s="8"/>
      <c r="G128" s="9"/>
      <c r="H128" s="8"/>
      <c r="I128" s="10"/>
      <c r="J128" s="10"/>
      <c r="K128" s="10"/>
      <c r="L128" s="10"/>
      <c r="M128" s="10"/>
      <c r="N128" s="10"/>
      <c r="O128" s="10"/>
      <c r="P128" s="10"/>
      <c r="Q128" s="10"/>
      <c r="R128" s="10"/>
      <c r="S128" s="10"/>
      <c r="T128" s="10"/>
      <c r="U128" s="11"/>
      <c r="V128" s="11"/>
      <c r="W128" s="11"/>
      <c r="X128" s="11"/>
      <c r="Y128" s="11"/>
      <c r="Z128" s="12"/>
      <c r="AA128" s="12"/>
      <c r="AB128" s="12"/>
      <c r="AC128" s="12"/>
      <c r="AD128" s="12"/>
      <c r="AE128" s="12"/>
      <c r="AF128" s="12"/>
    </row>
    <row r="129" spans="1:32" ht="13.2">
      <c r="A129" s="8"/>
      <c r="B129" s="8"/>
      <c r="C129" s="8"/>
      <c r="D129" s="8"/>
      <c r="E129" s="8"/>
      <c r="F129" s="8"/>
      <c r="G129" s="9"/>
      <c r="H129" s="8"/>
      <c r="I129" s="10"/>
      <c r="J129" s="10"/>
      <c r="K129" s="10"/>
      <c r="L129" s="10"/>
      <c r="M129" s="10"/>
      <c r="N129" s="10"/>
      <c r="O129" s="10"/>
      <c r="P129" s="10"/>
      <c r="Q129" s="10"/>
      <c r="R129" s="10"/>
      <c r="S129" s="10"/>
      <c r="T129" s="10"/>
      <c r="U129" s="11"/>
      <c r="V129" s="11"/>
      <c r="W129" s="11"/>
      <c r="X129" s="11"/>
      <c r="Y129" s="11"/>
      <c r="Z129" s="12"/>
      <c r="AA129" s="12"/>
      <c r="AB129" s="12"/>
      <c r="AC129" s="12"/>
      <c r="AD129" s="12"/>
      <c r="AE129" s="12"/>
      <c r="AF129" s="12"/>
    </row>
    <row r="130" spans="1:32" ht="13.2">
      <c r="A130" s="8"/>
      <c r="B130" s="8"/>
      <c r="C130" s="8"/>
      <c r="D130" s="8"/>
      <c r="E130" s="8"/>
      <c r="F130" s="8"/>
      <c r="G130" s="9"/>
      <c r="H130" s="8"/>
      <c r="I130" s="10"/>
      <c r="J130" s="10"/>
      <c r="K130" s="10"/>
      <c r="L130" s="10"/>
      <c r="M130" s="10"/>
      <c r="N130" s="10"/>
      <c r="O130" s="10"/>
      <c r="P130" s="10"/>
      <c r="Q130" s="10"/>
      <c r="R130" s="10"/>
      <c r="S130" s="10"/>
      <c r="T130" s="10"/>
      <c r="U130" s="11"/>
      <c r="V130" s="11"/>
      <c r="W130" s="11"/>
      <c r="X130" s="11"/>
      <c r="Y130" s="11"/>
      <c r="Z130" s="12"/>
      <c r="AA130" s="12"/>
      <c r="AB130" s="12"/>
      <c r="AC130" s="12"/>
      <c r="AD130" s="12"/>
      <c r="AE130" s="12"/>
      <c r="AF130" s="12"/>
    </row>
    <row r="131" spans="1:32" ht="13.2">
      <c r="A131" s="8"/>
      <c r="B131" s="8"/>
      <c r="C131" s="8"/>
      <c r="D131" s="8"/>
      <c r="E131" s="8"/>
      <c r="F131" s="8"/>
      <c r="G131" s="9"/>
      <c r="H131" s="8"/>
      <c r="I131" s="10"/>
      <c r="J131" s="10"/>
      <c r="K131" s="10"/>
      <c r="L131" s="10"/>
      <c r="M131" s="10"/>
      <c r="N131" s="10"/>
      <c r="O131" s="10"/>
      <c r="P131" s="10"/>
      <c r="Q131" s="10"/>
      <c r="R131" s="10"/>
      <c r="S131" s="10"/>
      <c r="T131" s="10"/>
      <c r="U131" s="11"/>
      <c r="V131" s="11"/>
      <c r="W131" s="11"/>
      <c r="X131" s="11"/>
      <c r="Y131" s="11"/>
      <c r="Z131" s="12"/>
      <c r="AA131" s="12"/>
      <c r="AB131" s="12"/>
      <c r="AC131" s="12"/>
      <c r="AD131" s="12"/>
      <c r="AE131" s="12"/>
      <c r="AF131" s="12"/>
    </row>
    <row r="132" spans="1:32" ht="13.2">
      <c r="A132" s="8"/>
      <c r="B132" s="8"/>
      <c r="C132" s="8"/>
      <c r="D132" s="8"/>
      <c r="E132" s="8"/>
      <c r="F132" s="8"/>
      <c r="G132" s="9"/>
      <c r="H132" s="8"/>
      <c r="I132" s="10"/>
      <c r="J132" s="10"/>
      <c r="K132" s="10"/>
      <c r="L132" s="10"/>
      <c r="M132" s="10"/>
      <c r="N132" s="10"/>
      <c r="O132" s="10"/>
      <c r="P132" s="10"/>
      <c r="Q132" s="10"/>
      <c r="R132" s="10"/>
      <c r="S132" s="10"/>
      <c r="T132" s="10"/>
      <c r="U132" s="11"/>
      <c r="V132" s="11"/>
      <c r="W132" s="11"/>
      <c r="X132" s="11"/>
      <c r="Y132" s="11"/>
      <c r="Z132" s="12"/>
      <c r="AA132" s="12"/>
      <c r="AB132" s="12"/>
      <c r="AC132" s="12"/>
      <c r="AD132" s="12"/>
      <c r="AE132" s="12"/>
      <c r="AF132" s="12"/>
    </row>
    <row r="133" spans="1:32" ht="13.2">
      <c r="A133" s="8"/>
      <c r="B133" s="8"/>
      <c r="C133" s="8"/>
      <c r="D133" s="8"/>
      <c r="E133" s="8"/>
      <c r="F133" s="8"/>
      <c r="G133" s="9"/>
      <c r="H133" s="8"/>
      <c r="I133" s="10"/>
      <c r="J133" s="10"/>
      <c r="K133" s="10"/>
      <c r="L133" s="10"/>
      <c r="M133" s="10"/>
      <c r="N133" s="10"/>
      <c r="O133" s="10"/>
      <c r="P133" s="10"/>
      <c r="Q133" s="10"/>
      <c r="R133" s="10"/>
      <c r="S133" s="10"/>
      <c r="T133" s="10"/>
      <c r="U133" s="11"/>
      <c r="V133" s="11"/>
      <c r="W133" s="11"/>
      <c r="X133" s="11"/>
      <c r="Y133" s="11"/>
      <c r="Z133" s="12"/>
      <c r="AA133" s="12"/>
      <c r="AB133" s="12"/>
      <c r="AC133" s="12"/>
      <c r="AD133" s="12"/>
      <c r="AE133" s="12"/>
      <c r="AF133" s="12"/>
    </row>
    <row r="134" spans="1:32" ht="13.2">
      <c r="A134" s="8"/>
      <c r="B134" s="8"/>
      <c r="C134" s="8"/>
      <c r="D134" s="8"/>
      <c r="E134" s="8"/>
      <c r="F134" s="8"/>
      <c r="G134" s="9"/>
      <c r="H134" s="8"/>
      <c r="I134" s="10"/>
      <c r="J134" s="10"/>
      <c r="K134" s="10"/>
      <c r="L134" s="10"/>
      <c r="M134" s="10"/>
      <c r="N134" s="10"/>
      <c r="O134" s="10"/>
      <c r="P134" s="10"/>
      <c r="Q134" s="10"/>
      <c r="R134" s="10"/>
      <c r="S134" s="10"/>
      <c r="T134" s="10"/>
      <c r="U134" s="11"/>
      <c r="V134" s="11"/>
      <c r="W134" s="11"/>
      <c r="X134" s="11"/>
      <c r="Y134" s="11"/>
      <c r="Z134" s="12"/>
      <c r="AA134" s="12"/>
      <c r="AB134" s="12"/>
      <c r="AC134" s="12"/>
      <c r="AD134" s="12"/>
      <c r="AE134" s="12"/>
      <c r="AF134" s="12"/>
    </row>
    <row r="135" spans="1:32" ht="13.2">
      <c r="A135" s="8"/>
      <c r="B135" s="8"/>
      <c r="C135" s="8"/>
      <c r="D135" s="8"/>
      <c r="E135" s="8"/>
      <c r="F135" s="8"/>
      <c r="G135" s="9"/>
      <c r="H135" s="8"/>
      <c r="I135" s="10"/>
      <c r="J135" s="10"/>
      <c r="K135" s="10"/>
      <c r="L135" s="10"/>
      <c r="M135" s="10"/>
      <c r="N135" s="10"/>
      <c r="O135" s="10"/>
      <c r="P135" s="10"/>
      <c r="Q135" s="10"/>
      <c r="R135" s="10"/>
      <c r="S135" s="10"/>
      <c r="T135" s="10"/>
      <c r="U135" s="11"/>
      <c r="V135" s="11"/>
      <c r="W135" s="11"/>
      <c r="X135" s="11"/>
      <c r="Y135" s="11"/>
      <c r="Z135" s="12"/>
      <c r="AA135" s="12"/>
      <c r="AB135" s="12"/>
      <c r="AC135" s="12"/>
      <c r="AD135" s="12"/>
      <c r="AE135" s="12"/>
      <c r="AF135" s="12"/>
    </row>
    <row r="136" spans="1:32" ht="13.2">
      <c r="A136" s="8"/>
      <c r="B136" s="8"/>
      <c r="C136" s="8"/>
      <c r="D136" s="8"/>
      <c r="E136" s="8"/>
      <c r="F136" s="8"/>
      <c r="G136" s="9"/>
      <c r="H136" s="8"/>
      <c r="I136" s="10"/>
      <c r="J136" s="10"/>
      <c r="K136" s="10"/>
      <c r="L136" s="10"/>
      <c r="M136" s="10"/>
      <c r="N136" s="10"/>
      <c r="O136" s="10"/>
      <c r="P136" s="10"/>
      <c r="Q136" s="10"/>
      <c r="R136" s="10"/>
      <c r="S136" s="10"/>
      <c r="T136" s="10"/>
      <c r="U136" s="11"/>
      <c r="V136" s="11"/>
      <c r="W136" s="11"/>
      <c r="X136" s="11"/>
      <c r="Y136" s="11"/>
      <c r="Z136" s="12"/>
      <c r="AA136" s="12"/>
      <c r="AB136" s="12"/>
      <c r="AC136" s="12"/>
      <c r="AD136" s="12"/>
      <c r="AE136" s="12"/>
      <c r="AF136" s="12"/>
    </row>
    <row r="137" spans="1:32" ht="13.2">
      <c r="A137" s="8"/>
      <c r="B137" s="8"/>
      <c r="C137" s="8"/>
      <c r="D137" s="8"/>
      <c r="E137" s="8"/>
      <c r="F137" s="8"/>
      <c r="G137" s="9"/>
      <c r="H137" s="8"/>
      <c r="I137" s="10"/>
      <c r="J137" s="10"/>
      <c r="K137" s="10"/>
      <c r="L137" s="10"/>
      <c r="M137" s="10"/>
      <c r="N137" s="10"/>
      <c r="O137" s="10"/>
      <c r="P137" s="10"/>
      <c r="Q137" s="10"/>
      <c r="R137" s="10"/>
      <c r="S137" s="10"/>
      <c r="T137" s="10"/>
      <c r="U137" s="11"/>
      <c r="V137" s="11"/>
      <c r="W137" s="11"/>
      <c r="X137" s="11"/>
      <c r="Y137" s="11"/>
      <c r="Z137" s="12"/>
      <c r="AA137" s="12"/>
      <c r="AB137" s="12"/>
      <c r="AC137" s="12"/>
      <c r="AD137" s="12"/>
      <c r="AE137" s="12"/>
      <c r="AF137" s="12"/>
    </row>
    <row r="138" spans="1:32" ht="13.2">
      <c r="A138" s="8"/>
      <c r="B138" s="8"/>
      <c r="C138" s="8"/>
      <c r="D138" s="8"/>
      <c r="E138" s="8"/>
      <c r="F138" s="8"/>
      <c r="G138" s="9"/>
      <c r="H138" s="8"/>
      <c r="I138" s="10"/>
      <c r="J138" s="10"/>
      <c r="K138" s="10"/>
      <c r="L138" s="10"/>
      <c r="M138" s="10"/>
      <c r="N138" s="10"/>
      <c r="O138" s="10"/>
      <c r="P138" s="10"/>
      <c r="Q138" s="10"/>
      <c r="R138" s="10"/>
      <c r="S138" s="10"/>
      <c r="T138" s="10"/>
      <c r="U138" s="11"/>
      <c r="V138" s="11"/>
      <c r="W138" s="11"/>
      <c r="X138" s="11"/>
      <c r="Y138" s="11"/>
      <c r="Z138" s="12"/>
      <c r="AA138" s="12"/>
      <c r="AB138" s="12"/>
      <c r="AC138" s="12"/>
      <c r="AD138" s="12"/>
      <c r="AE138" s="12"/>
      <c r="AF138" s="12"/>
    </row>
    <row r="139" spans="1:32" ht="13.2">
      <c r="A139" s="8"/>
      <c r="B139" s="8"/>
      <c r="C139" s="8"/>
      <c r="D139" s="8"/>
      <c r="E139" s="8"/>
      <c r="F139" s="8"/>
      <c r="G139" s="9"/>
      <c r="H139" s="8"/>
      <c r="I139" s="10"/>
      <c r="J139" s="10"/>
      <c r="K139" s="10"/>
      <c r="L139" s="10"/>
      <c r="M139" s="10"/>
      <c r="N139" s="10"/>
      <c r="O139" s="10"/>
      <c r="P139" s="10"/>
      <c r="Q139" s="10"/>
      <c r="R139" s="10"/>
      <c r="S139" s="10"/>
      <c r="T139" s="10"/>
      <c r="U139" s="11"/>
      <c r="V139" s="11"/>
      <c r="W139" s="11"/>
      <c r="X139" s="11"/>
      <c r="Y139" s="11"/>
      <c r="Z139" s="12"/>
      <c r="AA139" s="12"/>
      <c r="AB139" s="12"/>
      <c r="AC139" s="12"/>
      <c r="AD139" s="12"/>
      <c r="AE139" s="12"/>
      <c r="AF139" s="12"/>
    </row>
    <row r="140" spans="1:32" ht="13.2">
      <c r="A140" s="8"/>
      <c r="B140" s="8"/>
      <c r="C140" s="8"/>
      <c r="D140" s="8"/>
      <c r="E140" s="8"/>
      <c r="F140" s="8"/>
      <c r="G140" s="9"/>
      <c r="H140" s="8"/>
      <c r="I140" s="10"/>
      <c r="J140" s="10"/>
      <c r="K140" s="10"/>
      <c r="L140" s="10"/>
      <c r="M140" s="10"/>
      <c r="N140" s="10"/>
      <c r="O140" s="10"/>
      <c r="P140" s="10"/>
      <c r="Q140" s="10"/>
      <c r="R140" s="10"/>
      <c r="S140" s="10"/>
      <c r="T140" s="10"/>
      <c r="U140" s="11"/>
      <c r="V140" s="11"/>
      <c r="W140" s="11"/>
      <c r="X140" s="11"/>
      <c r="Y140" s="11"/>
      <c r="Z140" s="12"/>
      <c r="AA140" s="12"/>
      <c r="AB140" s="12"/>
      <c r="AC140" s="12"/>
      <c r="AD140" s="12"/>
      <c r="AE140" s="12"/>
      <c r="AF140" s="12"/>
    </row>
    <row r="141" spans="1:32" ht="13.2">
      <c r="A141" s="8"/>
      <c r="B141" s="8"/>
      <c r="C141" s="8"/>
      <c r="D141" s="8"/>
      <c r="E141" s="8"/>
      <c r="F141" s="8"/>
      <c r="G141" s="9"/>
      <c r="H141" s="8"/>
      <c r="I141" s="10"/>
      <c r="J141" s="10"/>
      <c r="K141" s="10"/>
      <c r="L141" s="10"/>
      <c r="M141" s="10"/>
      <c r="N141" s="10"/>
      <c r="O141" s="10"/>
      <c r="P141" s="10"/>
      <c r="Q141" s="10"/>
      <c r="R141" s="10"/>
      <c r="S141" s="10"/>
      <c r="T141" s="10"/>
      <c r="U141" s="11"/>
      <c r="V141" s="11"/>
      <c r="W141" s="11"/>
      <c r="X141" s="11"/>
      <c r="Y141" s="11"/>
      <c r="Z141" s="12"/>
      <c r="AA141" s="12"/>
      <c r="AB141" s="12"/>
      <c r="AC141" s="12"/>
      <c r="AD141" s="12"/>
      <c r="AE141" s="12"/>
      <c r="AF141" s="12"/>
    </row>
    <row r="142" spans="1:32" ht="13.2">
      <c r="A142" s="8"/>
      <c r="B142" s="8"/>
      <c r="C142" s="8"/>
      <c r="D142" s="8"/>
      <c r="E142" s="8"/>
      <c r="F142" s="8"/>
      <c r="G142" s="9"/>
      <c r="H142" s="8"/>
      <c r="I142" s="10"/>
      <c r="J142" s="10"/>
      <c r="K142" s="10"/>
      <c r="L142" s="10"/>
      <c r="M142" s="10"/>
      <c r="N142" s="10"/>
      <c r="O142" s="10"/>
      <c r="P142" s="10"/>
      <c r="Q142" s="10"/>
      <c r="R142" s="10"/>
      <c r="S142" s="10"/>
      <c r="T142" s="10"/>
      <c r="U142" s="11"/>
      <c r="V142" s="11"/>
      <c r="W142" s="11"/>
      <c r="X142" s="11"/>
      <c r="Y142" s="11"/>
      <c r="Z142" s="12"/>
      <c r="AA142" s="12"/>
      <c r="AB142" s="12"/>
      <c r="AC142" s="12"/>
      <c r="AD142" s="12"/>
      <c r="AE142" s="12"/>
      <c r="AF142" s="12"/>
    </row>
    <row r="143" spans="1:32" ht="13.2">
      <c r="A143" s="8"/>
      <c r="B143" s="8"/>
      <c r="C143" s="8"/>
      <c r="D143" s="8"/>
      <c r="E143" s="8"/>
      <c r="F143" s="8"/>
      <c r="G143" s="9"/>
      <c r="H143" s="8"/>
      <c r="I143" s="10"/>
      <c r="J143" s="10"/>
      <c r="K143" s="10"/>
      <c r="L143" s="10"/>
      <c r="M143" s="10"/>
      <c r="N143" s="10"/>
      <c r="O143" s="10"/>
      <c r="P143" s="10"/>
      <c r="Q143" s="10"/>
      <c r="R143" s="10"/>
      <c r="S143" s="10"/>
      <c r="T143" s="10"/>
      <c r="U143" s="11"/>
      <c r="V143" s="11"/>
      <c r="W143" s="11"/>
      <c r="X143" s="11"/>
      <c r="Y143" s="11"/>
      <c r="Z143" s="12"/>
      <c r="AA143" s="12"/>
      <c r="AB143" s="12"/>
      <c r="AC143" s="12"/>
      <c r="AD143" s="12"/>
      <c r="AE143" s="12"/>
      <c r="AF143" s="12"/>
    </row>
    <row r="144" spans="1:32" ht="13.2">
      <c r="A144" s="8"/>
      <c r="B144" s="8"/>
      <c r="C144" s="8"/>
      <c r="D144" s="8"/>
      <c r="E144" s="8"/>
      <c r="F144" s="8"/>
      <c r="G144" s="9"/>
      <c r="H144" s="8"/>
      <c r="I144" s="10"/>
      <c r="J144" s="10"/>
      <c r="K144" s="10"/>
      <c r="L144" s="10"/>
      <c r="M144" s="10"/>
      <c r="N144" s="10"/>
      <c r="O144" s="10"/>
      <c r="P144" s="10"/>
      <c r="Q144" s="10"/>
      <c r="R144" s="10"/>
      <c r="S144" s="10"/>
      <c r="T144" s="10"/>
      <c r="U144" s="11"/>
      <c r="V144" s="11"/>
      <c r="W144" s="11"/>
      <c r="X144" s="11"/>
      <c r="Y144" s="11"/>
      <c r="Z144" s="12"/>
      <c r="AA144" s="12"/>
      <c r="AB144" s="12"/>
      <c r="AC144" s="12"/>
      <c r="AD144" s="12"/>
      <c r="AE144" s="12"/>
      <c r="AF144" s="12"/>
    </row>
    <row r="145" spans="1:46" ht="13.2">
      <c r="A145" s="8"/>
      <c r="B145" s="8"/>
      <c r="C145" s="8"/>
      <c r="D145" s="8"/>
      <c r="E145" s="8"/>
      <c r="F145" s="8"/>
      <c r="G145" s="9"/>
      <c r="H145" s="8"/>
      <c r="I145" s="10"/>
      <c r="J145" s="10"/>
      <c r="K145" s="10"/>
      <c r="L145" s="10"/>
      <c r="M145" s="10"/>
      <c r="N145" s="10"/>
      <c r="O145" s="10"/>
      <c r="P145" s="10"/>
      <c r="Q145" s="10"/>
      <c r="R145" s="10"/>
      <c r="S145" s="10"/>
      <c r="T145" s="10"/>
      <c r="U145" s="11"/>
      <c r="V145" s="11"/>
      <c r="W145" s="11"/>
      <c r="X145" s="11"/>
      <c r="Y145" s="11"/>
      <c r="Z145" s="12"/>
      <c r="AA145" s="12"/>
      <c r="AB145" s="12"/>
      <c r="AC145" s="12"/>
      <c r="AD145" s="12"/>
      <c r="AE145" s="12"/>
      <c r="AF145" s="12"/>
    </row>
    <row r="146" spans="1:46" ht="13.2">
      <c r="A146" s="8"/>
      <c r="B146" s="8"/>
      <c r="C146" s="8"/>
      <c r="D146" s="8"/>
      <c r="E146" s="8"/>
      <c r="F146" s="8"/>
      <c r="G146" s="9"/>
      <c r="H146" s="8"/>
      <c r="I146" s="10"/>
      <c r="J146" s="10"/>
      <c r="K146" s="10"/>
      <c r="L146" s="10"/>
      <c r="M146" s="10"/>
      <c r="N146" s="10"/>
      <c r="O146" s="10"/>
      <c r="P146" s="10"/>
      <c r="Q146" s="10"/>
      <c r="R146" s="10"/>
      <c r="S146" s="10"/>
      <c r="T146" s="10"/>
      <c r="U146" s="11"/>
      <c r="V146" s="11"/>
      <c r="W146" s="11"/>
      <c r="X146" s="11"/>
      <c r="Y146" s="11"/>
      <c r="Z146" s="12"/>
      <c r="AA146" s="12"/>
      <c r="AB146" s="12"/>
      <c r="AC146" s="12"/>
      <c r="AD146" s="12"/>
      <c r="AE146" s="12"/>
      <c r="AF146" s="12"/>
    </row>
    <row r="147" spans="1:46" ht="13.2">
      <c r="A147" s="8"/>
      <c r="B147" s="8"/>
      <c r="C147" s="8"/>
      <c r="D147" s="8"/>
      <c r="E147" s="8"/>
      <c r="F147" s="8"/>
      <c r="G147" s="9"/>
      <c r="H147" s="8"/>
      <c r="I147" s="10"/>
      <c r="J147" s="10"/>
      <c r="K147" s="10"/>
      <c r="L147" s="10"/>
      <c r="M147" s="10"/>
      <c r="N147" s="10"/>
      <c r="O147" s="10"/>
      <c r="P147" s="10"/>
      <c r="Q147" s="10"/>
      <c r="R147" s="10"/>
      <c r="S147" s="10"/>
      <c r="T147" s="10"/>
      <c r="U147" s="11"/>
      <c r="V147" s="11"/>
      <c r="W147" s="11"/>
      <c r="X147" s="11"/>
      <c r="Y147" s="11"/>
      <c r="Z147" s="12"/>
      <c r="AA147" s="12"/>
      <c r="AB147" s="12"/>
      <c r="AC147" s="12"/>
      <c r="AD147" s="12"/>
      <c r="AE147" s="12"/>
      <c r="AF147" s="12"/>
    </row>
    <row r="148" spans="1:46" ht="13.2">
      <c r="A148" s="8"/>
      <c r="B148" s="8"/>
      <c r="C148" s="8"/>
      <c r="D148" s="8"/>
      <c r="E148" s="8"/>
      <c r="F148" s="21"/>
      <c r="G148" s="9"/>
      <c r="H148" s="8"/>
      <c r="I148" s="10"/>
      <c r="J148" s="10"/>
      <c r="K148" s="10"/>
      <c r="L148" s="10"/>
      <c r="M148" s="10"/>
      <c r="N148" s="10"/>
      <c r="O148" s="10"/>
      <c r="P148" s="10"/>
      <c r="Q148" s="10"/>
      <c r="R148" s="10"/>
      <c r="S148" s="10"/>
      <c r="T148" s="10"/>
      <c r="U148" s="11"/>
      <c r="V148" s="11"/>
      <c r="W148" s="11"/>
      <c r="X148" s="11"/>
      <c r="Y148" s="11"/>
      <c r="Z148" s="12"/>
      <c r="AA148" s="12"/>
      <c r="AB148" s="12"/>
      <c r="AC148" s="12"/>
      <c r="AD148" s="12"/>
      <c r="AE148" s="12"/>
      <c r="AF148" s="12"/>
    </row>
    <row r="149" spans="1:46" ht="13.2">
      <c r="A149" s="8"/>
      <c r="B149" s="8"/>
      <c r="C149" s="8"/>
      <c r="D149" s="8"/>
      <c r="E149" s="8"/>
      <c r="F149" s="21"/>
      <c r="G149" s="9"/>
      <c r="H149" s="8"/>
      <c r="I149" s="10"/>
      <c r="J149" s="10"/>
      <c r="K149" s="10"/>
      <c r="L149" s="10"/>
      <c r="M149" s="10"/>
      <c r="N149" s="10"/>
      <c r="O149" s="10"/>
      <c r="P149" s="10"/>
      <c r="Q149" s="10"/>
      <c r="R149" s="10"/>
      <c r="S149" s="10"/>
      <c r="T149" s="10"/>
      <c r="U149" s="11"/>
      <c r="V149" s="11"/>
      <c r="W149" s="11"/>
      <c r="X149" s="11"/>
      <c r="Y149" s="11"/>
      <c r="Z149" s="12"/>
      <c r="AA149" s="12"/>
      <c r="AB149" s="12"/>
      <c r="AC149" s="12"/>
      <c r="AD149" s="12"/>
      <c r="AE149" s="12"/>
      <c r="AF149" s="12"/>
    </row>
    <row r="150" spans="1:46" ht="13.2">
      <c r="A150" s="8"/>
      <c r="B150" s="8"/>
      <c r="C150" s="8"/>
      <c r="D150" s="8"/>
      <c r="E150" s="8"/>
      <c r="F150" s="8"/>
      <c r="G150" s="9"/>
      <c r="H150" s="8"/>
      <c r="I150" s="10"/>
      <c r="J150" s="10"/>
      <c r="K150" s="10"/>
      <c r="L150" s="10"/>
      <c r="M150" s="10"/>
      <c r="N150" s="10"/>
      <c r="O150" s="10"/>
      <c r="P150" s="10"/>
      <c r="Q150" s="10"/>
      <c r="R150" s="10"/>
      <c r="S150" s="10"/>
      <c r="T150" s="10"/>
      <c r="U150" s="11"/>
      <c r="V150" s="11"/>
      <c r="W150" s="11"/>
      <c r="X150" s="11"/>
      <c r="Y150" s="11"/>
      <c r="Z150" s="12"/>
      <c r="AA150" s="12"/>
      <c r="AB150" s="12"/>
      <c r="AC150" s="12"/>
      <c r="AD150" s="12"/>
      <c r="AE150" s="12"/>
      <c r="AF150" s="12"/>
    </row>
    <row r="151" spans="1:46" ht="13.2">
      <c r="A151" s="8"/>
      <c r="B151" s="8"/>
      <c r="C151" s="8"/>
      <c r="D151" s="8"/>
      <c r="E151" s="8"/>
      <c r="F151" s="8"/>
      <c r="G151" s="9"/>
      <c r="H151" s="8"/>
      <c r="I151" s="10"/>
      <c r="J151" s="10"/>
      <c r="K151" s="10"/>
      <c r="L151" s="10"/>
      <c r="M151" s="10"/>
      <c r="N151" s="10"/>
      <c r="O151" s="10"/>
      <c r="P151" s="10"/>
      <c r="Q151" s="10"/>
      <c r="R151" s="10"/>
      <c r="S151" s="10"/>
      <c r="T151" s="10"/>
      <c r="U151" s="11"/>
      <c r="V151" s="11"/>
      <c r="W151" s="11"/>
      <c r="X151" s="11"/>
      <c r="Y151" s="11"/>
      <c r="Z151" s="12"/>
      <c r="AA151" s="12"/>
      <c r="AB151" s="12"/>
      <c r="AC151" s="12"/>
      <c r="AD151" s="12"/>
      <c r="AE151" s="12"/>
      <c r="AF151" s="12"/>
    </row>
    <row r="152" spans="1:46" ht="13.2">
      <c r="A152" s="8"/>
      <c r="B152" s="8"/>
      <c r="C152" s="8"/>
      <c r="D152" s="8"/>
      <c r="E152" s="8"/>
      <c r="F152" s="8"/>
      <c r="G152" s="9"/>
      <c r="H152" s="8"/>
      <c r="I152" s="10"/>
      <c r="J152" s="10"/>
      <c r="K152" s="10"/>
      <c r="L152" s="10"/>
      <c r="M152" s="10"/>
      <c r="N152" s="10"/>
      <c r="O152" s="10"/>
      <c r="P152" s="10"/>
      <c r="Q152" s="10"/>
      <c r="R152" s="10"/>
      <c r="S152" s="10"/>
      <c r="T152" s="10"/>
      <c r="U152" s="11"/>
      <c r="V152" s="11"/>
      <c r="W152" s="11"/>
      <c r="X152" s="11"/>
      <c r="Y152" s="11"/>
      <c r="Z152" s="12"/>
      <c r="AA152" s="12"/>
      <c r="AB152" s="12"/>
      <c r="AC152" s="12"/>
      <c r="AD152" s="12"/>
      <c r="AE152" s="12"/>
      <c r="AF152" s="12"/>
    </row>
    <row r="153" spans="1:46" ht="13.2">
      <c r="A153" s="8"/>
      <c r="B153" s="8"/>
      <c r="C153" s="8"/>
      <c r="D153" s="8"/>
      <c r="E153" s="8"/>
      <c r="F153" s="8"/>
      <c r="G153" s="9"/>
      <c r="H153" s="8"/>
      <c r="I153" s="10"/>
      <c r="J153" s="10"/>
      <c r="K153" s="10"/>
      <c r="L153" s="10"/>
      <c r="M153" s="10"/>
      <c r="N153" s="10"/>
      <c r="O153" s="10"/>
      <c r="P153" s="10"/>
      <c r="Q153" s="10"/>
      <c r="R153" s="10"/>
      <c r="S153" s="10"/>
      <c r="T153" s="10"/>
      <c r="U153" s="11"/>
      <c r="V153" s="11"/>
      <c r="W153" s="11"/>
      <c r="X153" s="11"/>
      <c r="Y153" s="11"/>
      <c r="Z153" s="12"/>
      <c r="AA153" s="12"/>
      <c r="AB153" s="12"/>
      <c r="AC153" s="12"/>
      <c r="AD153" s="12"/>
      <c r="AE153" s="12"/>
      <c r="AF153" s="12"/>
    </row>
    <row r="154" spans="1:46" ht="13.2">
      <c r="A154" s="8"/>
      <c r="B154" s="8"/>
      <c r="C154" s="8"/>
      <c r="D154" s="8"/>
      <c r="E154" s="8"/>
      <c r="F154" s="8"/>
      <c r="G154" s="9"/>
      <c r="H154" s="8"/>
      <c r="I154" s="10"/>
      <c r="J154" s="10"/>
      <c r="K154" s="10"/>
      <c r="L154" s="10"/>
      <c r="M154" s="10"/>
      <c r="N154" s="10"/>
      <c r="O154" s="10"/>
      <c r="P154" s="10"/>
      <c r="Q154" s="10"/>
      <c r="R154" s="10"/>
      <c r="S154" s="10"/>
      <c r="T154" s="10"/>
      <c r="U154" s="11"/>
      <c r="V154" s="11"/>
      <c r="W154" s="11"/>
      <c r="X154" s="11"/>
      <c r="Y154" s="11"/>
      <c r="Z154" s="12"/>
      <c r="AA154" s="12"/>
      <c r="AB154" s="12"/>
      <c r="AC154" s="12"/>
      <c r="AD154" s="12"/>
      <c r="AE154" s="12"/>
      <c r="AF154" s="12"/>
    </row>
    <row r="155" spans="1:46" ht="13.2">
      <c r="A155" s="8"/>
      <c r="B155" s="8"/>
      <c r="C155" s="8"/>
      <c r="D155" s="8"/>
      <c r="E155" s="8"/>
      <c r="F155" s="8"/>
      <c r="G155" s="9"/>
      <c r="H155" s="8"/>
      <c r="I155" s="10"/>
      <c r="J155" s="10"/>
      <c r="K155" s="10"/>
      <c r="L155" s="10"/>
      <c r="M155" s="10"/>
      <c r="N155" s="10"/>
      <c r="O155" s="10"/>
      <c r="P155" s="10"/>
      <c r="Q155" s="10"/>
      <c r="R155" s="10"/>
      <c r="S155" s="10"/>
      <c r="T155" s="10"/>
      <c r="U155" s="11"/>
      <c r="V155" s="11"/>
      <c r="W155" s="11"/>
      <c r="X155" s="11"/>
      <c r="Y155" s="11"/>
      <c r="Z155" s="12"/>
      <c r="AA155" s="12"/>
      <c r="AB155" s="12"/>
      <c r="AC155" s="12"/>
      <c r="AD155" s="12"/>
      <c r="AE155" s="12"/>
      <c r="AF155" s="12"/>
    </row>
    <row r="156" spans="1:46" ht="13.2">
      <c r="A156" s="8"/>
      <c r="B156" s="8"/>
      <c r="C156" s="8"/>
      <c r="D156" s="8"/>
      <c r="E156" s="8"/>
      <c r="F156" s="8"/>
      <c r="G156" s="9"/>
      <c r="H156" s="8"/>
      <c r="I156" s="10"/>
      <c r="J156" s="10"/>
      <c r="K156" s="10"/>
      <c r="L156" s="10"/>
      <c r="M156" s="10"/>
      <c r="N156" s="10"/>
      <c r="O156" s="10"/>
      <c r="P156" s="10"/>
      <c r="Q156" s="10"/>
      <c r="R156" s="10"/>
      <c r="S156" s="10"/>
      <c r="T156" s="10"/>
      <c r="U156" s="11"/>
      <c r="V156" s="11"/>
      <c r="W156" s="11"/>
      <c r="X156" s="11"/>
      <c r="Y156" s="11"/>
      <c r="Z156" s="12"/>
      <c r="AA156" s="12"/>
      <c r="AB156" s="12"/>
      <c r="AC156" s="12"/>
      <c r="AD156" s="12"/>
      <c r="AE156" s="12"/>
      <c r="AF156" s="12"/>
    </row>
    <row r="157" spans="1:46" ht="13.2">
      <c r="A157" s="8"/>
      <c r="B157" s="8"/>
      <c r="C157" s="8"/>
      <c r="D157" s="8"/>
      <c r="E157" s="8"/>
      <c r="F157" s="8"/>
      <c r="G157" s="9"/>
      <c r="H157" s="8"/>
      <c r="I157" s="10"/>
      <c r="J157" s="10"/>
      <c r="K157" s="10"/>
      <c r="L157" s="10"/>
      <c r="M157" s="10"/>
      <c r="N157" s="10"/>
      <c r="O157" s="10"/>
      <c r="P157" s="10"/>
      <c r="Q157" s="10"/>
      <c r="R157" s="10"/>
      <c r="S157" s="10"/>
      <c r="T157" s="10"/>
      <c r="U157" s="11"/>
      <c r="V157" s="11"/>
      <c r="W157" s="11"/>
      <c r="X157" s="11"/>
      <c r="Y157" s="11"/>
      <c r="Z157" s="12"/>
      <c r="AA157" s="12"/>
      <c r="AB157" s="12"/>
      <c r="AC157" s="12"/>
      <c r="AD157" s="12"/>
      <c r="AE157" s="12"/>
      <c r="AF157" s="12"/>
    </row>
    <row r="158" spans="1:46" ht="13.2">
      <c r="A158" s="8"/>
      <c r="B158" s="8"/>
      <c r="C158" s="8"/>
      <c r="D158" s="8"/>
      <c r="E158" s="8"/>
      <c r="F158" s="8"/>
      <c r="G158" s="9"/>
      <c r="H158" s="8"/>
      <c r="I158" s="10"/>
      <c r="J158" s="10"/>
      <c r="K158" s="10"/>
      <c r="L158" s="10"/>
      <c r="M158" s="10"/>
      <c r="N158" s="10"/>
      <c r="O158" s="10"/>
      <c r="P158" s="10"/>
      <c r="Q158" s="10"/>
      <c r="R158" s="10"/>
      <c r="S158" s="10"/>
      <c r="T158" s="10"/>
      <c r="U158" s="11"/>
      <c r="V158" s="11"/>
      <c r="W158" s="11"/>
      <c r="X158" s="11"/>
      <c r="Y158" s="11"/>
      <c r="Z158" s="12"/>
      <c r="AA158" s="12"/>
      <c r="AB158" s="12"/>
      <c r="AC158" s="12"/>
      <c r="AD158" s="12"/>
      <c r="AE158" s="12"/>
      <c r="AF158" s="12"/>
    </row>
    <row r="159" spans="1:46" ht="13.2">
      <c r="A159" s="8"/>
      <c r="B159" s="8"/>
      <c r="C159" s="8"/>
      <c r="D159" s="8"/>
      <c r="E159" s="8"/>
      <c r="F159" s="8"/>
      <c r="G159" s="9"/>
      <c r="H159" s="8"/>
      <c r="I159" s="10"/>
      <c r="J159" s="10"/>
      <c r="K159" s="10"/>
      <c r="L159" s="10"/>
      <c r="M159" s="10"/>
      <c r="N159" s="10"/>
      <c r="O159" s="10"/>
      <c r="P159" s="10"/>
      <c r="Q159" s="10"/>
      <c r="R159" s="10"/>
      <c r="S159" s="10"/>
      <c r="T159" s="10"/>
      <c r="U159" s="11"/>
      <c r="V159" s="11"/>
      <c r="W159" s="11"/>
      <c r="X159" s="11"/>
      <c r="Y159" s="11"/>
      <c r="Z159" s="12"/>
      <c r="AA159" s="12"/>
      <c r="AB159" s="12"/>
      <c r="AC159" s="12"/>
      <c r="AD159" s="12"/>
      <c r="AE159" s="12"/>
      <c r="AF159" s="12"/>
    </row>
    <row r="160" spans="1:46" ht="13.2">
      <c r="A160" s="9"/>
      <c r="B160" s="9"/>
      <c r="C160" s="9"/>
      <c r="D160" s="9"/>
      <c r="E160" s="9"/>
      <c r="F160" s="9"/>
      <c r="G160" s="9"/>
      <c r="H160" s="9"/>
      <c r="I160" s="18"/>
      <c r="J160" s="18"/>
      <c r="K160" s="18"/>
      <c r="L160" s="18"/>
      <c r="M160" s="18"/>
      <c r="N160" s="18"/>
      <c r="O160" s="18"/>
      <c r="P160" s="18"/>
      <c r="Q160" s="18"/>
      <c r="R160" s="18"/>
      <c r="S160" s="18"/>
      <c r="T160" s="18"/>
      <c r="U160" s="11"/>
      <c r="V160" s="11"/>
      <c r="W160" s="11"/>
      <c r="X160" s="11"/>
      <c r="Y160" s="11"/>
      <c r="Z160" s="29"/>
      <c r="AA160" s="29"/>
      <c r="AB160" s="29"/>
      <c r="AC160" s="29"/>
      <c r="AD160" s="29"/>
      <c r="AE160" s="29"/>
      <c r="AF160" s="29"/>
      <c r="AG160" s="22"/>
      <c r="AH160" s="22"/>
      <c r="AI160" s="22"/>
      <c r="AJ160" s="22"/>
      <c r="AK160" s="22"/>
      <c r="AL160" s="22"/>
      <c r="AM160" s="22"/>
      <c r="AN160" s="22"/>
      <c r="AO160" s="22"/>
      <c r="AP160" s="22"/>
      <c r="AQ160" s="22"/>
      <c r="AR160" s="22"/>
      <c r="AS160" s="22"/>
      <c r="AT160" s="22"/>
    </row>
    <row r="161" spans="1:46" ht="13.2">
      <c r="A161" s="9"/>
      <c r="B161" s="9"/>
      <c r="C161" s="9"/>
      <c r="D161" s="9"/>
      <c r="E161" s="9"/>
      <c r="F161" s="9"/>
      <c r="G161" s="9"/>
      <c r="H161" s="9"/>
      <c r="I161" s="18"/>
      <c r="J161" s="18"/>
      <c r="K161" s="18"/>
      <c r="L161" s="18"/>
      <c r="M161" s="18"/>
      <c r="N161" s="18"/>
      <c r="O161" s="18"/>
      <c r="P161" s="18"/>
      <c r="Q161" s="18"/>
      <c r="R161" s="18"/>
      <c r="S161" s="18"/>
      <c r="T161" s="18"/>
      <c r="U161" s="11"/>
      <c r="V161" s="11"/>
      <c r="W161" s="11"/>
      <c r="X161" s="11"/>
      <c r="Y161" s="11"/>
      <c r="Z161" s="29"/>
      <c r="AA161" s="29"/>
      <c r="AB161" s="29"/>
      <c r="AC161" s="29"/>
      <c r="AD161" s="29"/>
      <c r="AE161" s="29"/>
      <c r="AF161" s="29"/>
      <c r="AG161" s="22"/>
      <c r="AH161" s="22"/>
      <c r="AI161" s="22"/>
      <c r="AJ161" s="22"/>
      <c r="AK161" s="22"/>
      <c r="AL161" s="22"/>
      <c r="AM161" s="22"/>
      <c r="AN161" s="22"/>
      <c r="AO161" s="22"/>
      <c r="AP161" s="22"/>
      <c r="AQ161" s="22"/>
      <c r="AR161" s="22"/>
      <c r="AS161" s="22"/>
      <c r="AT161" s="22"/>
    </row>
    <row r="162" spans="1:46" ht="13.2">
      <c r="A162" s="8"/>
      <c r="B162" s="8"/>
      <c r="C162" s="8"/>
      <c r="D162" s="8"/>
      <c r="E162" s="8"/>
      <c r="F162" s="8"/>
      <c r="G162" s="9"/>
      <c r="H162" s="8"/>
      <c r="I162" s="10"/>
      <c r="J162" s="10"/>
      <c r="K162" s="10"/>
      <c r="L162" s="10"/>
      <c r="M162" s="10"/>
      <c r="N162" s="10"/>
      <c r="O162" s="10"/>
      <c r="P162" s="10"/>
      <c r="Q162" s="10"/>
      <c r="R162" s="10"/>
      <c r="S162" s="10"/>
      <c r="T162" s="10"/>
      <c r="U162" s="11"/>
      <c r="V162" s="11"/>
      <c r="W162" s="11"/>
      <c r="X162" s="11"/>
      <c r="Y162" s="11"/>
      <c r="Z162" s="12"/>
      <c r="AA162" s="12"/>
      <c r="AB162" s="12"/>
      <c r="AC162" s="12"/>
      <c r="AD162" s="12"/>
      <c r="AE162" s="12"/>
      <c r="AF162" s="12"/>
    </row>
    <row r="163" spans="1:46" ht="13.2">
      <c r="A163" s="8"/>
      <c r="B163" s="8"/>
      <c r="C163" s="8"/>
      <c r="D163" s="8"/>
      <c r="E163" s="8"/>
      <c r="F163" s="8"/>
      <c r="G163" s="9"/>
      <c r="H163" s="8"/>
      <c r="I163" s="10"/>
      <c r="J163" s="10"/>
      <c r="K163" s="10"/>
      <c r="L163" s="10"/>
      <c r="M163" s="10"/>
      <c r="N163" s="10"/>
      <c r="O163" s="10"/>
      <c r="P163" s="10"/>
      <c r="Q163" s="10"/>
      <c r="R163" s="10"/>
      <c r="S163" s="10"/>
      <c r="T163" s="10"/>
      <c r="U163" s="11"/>
      <c r="V163" s="11"/>
      <c r="W163" s="11"/>
      <c r="X163" s="11"/>
      <c r="Y163" s="11"/>
      <c r="Z163" s="12"/>
      <c r="AA163" s="12"/>
      <c r="AB163" s="12"/>
      <c r="AC163" s="12"/>
      <c r="AD163" s="12"/>
      <c r="AE163" s="12"/>
      <c r="AF163" s="12"/>
    </row>
    <row r="164" spans="1:46" ht="13.2">
      <c r="A164" s="8"/>
      <c r="B164" s="8"/>
      <c r="C164" s="8"/>
      <c r="D164" s="8"/>
      <c r="E164" s="8"/>
      <c r="F164" s="8"/>
      <c r="G164" s="9"/>
      <c r="H164" s="8"/>
      <c r="I164" s="10"/>
      <c r="J164" s="10"/>
      <c r="K164" s="10"/>
      <c r="L164" s="10"/>
      <c r="M164" s="10"/>
      <c r="N164" s="10"/>
      <c r="O164" s="10"/>
      <c r="P164" s="10"/>
      <c r="Q164" s="10"/>
      <c r="R164" s="10"/>
      <c r="S164" s="10"/>
      <c r="T164" s="10"/>
      <c r="U164" s="11"/>
      <c r="V164" s="11"/>
      <c r="W164" s="11"/>
      <c r="X164" s="11"/>
      <c r="Y164" s="11"/>
      <c r="Z164" s="12"/>
      <c r="AA164" s="12"/>
      <c r="AB164" s="12"/>
      <c r="AC164" s="12"/>
      <c r="AD164" s="12"/>
      <c r="AE164" s="12"/>
      <c r="AF164" s="12"/>
    </row>
    <row r="165" spans="1:46" ht="13.2">
      <c r="A165" s="8"/>
      <c r="B165" s="8"/>
      <c r="C165" s="8"/>
      <c r="D165" s="8"/>
      <c r="E165" s="8"/>
      <c r="F165" s="8"/>
      <c r="G165" s="9"/>
      <c r="H165" s="8"/>
      <c r="I165" s="10"/>
      <c r="J165" s="10"/>
      <c r="K165" s="10"/>
      <c r="L165" s="10"/>
      <c r="M165" s="10"/>
      <c r="N165" s="10"/>
      <c r="O165" s="10"/>
      <c r="P165" s="10"/>
      <c r="Q165" s="10"/>
      <c r="R165" s="10"/>
      <c r="S165" s="10"/>
      <c r="T165" s="10"/>
      <c r="U165" s="11"/>
      <c r="V165" s="11"/>
      <c r="W165" s="11"/>
      <c r="X165" s="11"/>
      <c r="Y165" s="11"/>
      <c r="Z165" s="12"/>
      <c r="AA165" s="12"/>
      <c r="AB165" s="12"/>
      <c r="AC165" s="12"/>
      <c r="AD165" s="12"/>
      <c r="AE165" s="12"/>
      <c r="AF165" s="12"/>
    </row>
    <row r="166" spans="1:46" ht="13.2">
      <c r="A166" s="8"/>
      <c r="B166" s="8"/>
      <c r="C166" s="8"/>
      <c r="D166" s="8"/>
      <c r="E166" s="8"/>
      <c r="F166" s="8"/>
      <c r="G166" s="9"/>
      <c r="H166" s="8"/>
      <c r="I166" s="10"/>
      <c r="J166" s="10"/>
      <c r="K166" s="10"/>
      <c r="L166" s="10"/>
      <c r="M166" s="10"/>
      <c r="N166" s="10"/>
      <c r="O166" s="10"/>
      <c r="P166" s="10"/>
      <c r="Q166" s="10"/>
      <c r="R166" s="10"/>
      <c r="S166" s="10"/>
      <c r="T166" s="10"/>
      <c r="U166" s="11"/>
      <c r="V166" s="11"/>
      <c r="W166" s="11"/>
      <c r="X166" s="11"/>
      <c r="Y166" s="11"/>
      <c r="Z166" s="12"/>
      <c r="AA166" s="12"/>
      <c r="AB166" s="12"/>
      <c r="AC166" s="12"/>
      <c r="AD166" s="12"/>
      <c r="AE166" s="12"/>
      <c r="AF166" s="12"/>
    </row>
    <row r="167" spans="1:46" ht="13.2">
      <c r="A167" s="8"/>
      <c r="B167" s="8"/>
      <c r="C167" s="8"/>
      <c r="D167" s="8"/>
      <c r="E167" s="8"/>
      <c r="F167" s="8"/>
      <c r="G167" s="9"/>
      <c r="H167" s="8"/>
      <c r="I167" s="10"/>
      <c r="J167" s="10"/>
      <c r="K167" s="10"/>
      <c r="L167" s="10"/>
      <c r="M167" s="10"/>
      <c r="N167" s="10"/>
      <c r="O167" s="10"/>
      <c r="P167" s="10"/>
      <c r="Q167" s="10"/>
      <c r="R167" s="10"/>
      <c r="S167" s="10"/>
      <c r="T167" s="10"/>
      <c r="U167" s="11"/>
      <c r="V167" s="11"/>
      <c r="W167" s="11"/>
      <c r="X167" s="11"/>
      <c r="Y167" s="11"/>
      <c r="Z167" s="12"/>
      <c r="AA167" s="12"/>
      <c r="AB167" s="12"/>
      <c r="AC167" s="12"/>
      <c r="AD167" s="12"/>
      <c r="AE167" s="12"/>
      <c r="AF167" s="12"/>
    </row>
    <row r="168" spans="1:46" ht="13.2">
      <c r="A168" s="8"/>
      <c r="B168" s="8"/>
      <c r="C168" s="8"/>
      <c r="D168" s="8"/>
      <c r="E168" s="8"/>
      <c r="F168" s="8"/>
      <c r="G168" s="9"/>
      <c r="H168" s="8"/>
      <c r="I168" s="10"/>
      <c r="J168" s="10"/>
      <c r="K168" s="10"/>
      <c r="L168" s="10"/>
      <c r="M168" s="10"/>
      <c r="N168" s="10"/>
      <c r="O168" s="10"/>
      <c r="P168" s="10"/>
      <c r="Q168" s="10"/>
      <c r="R168" s="10"/>
      <c r="S168" s="10"/>
      <c r="T168" s="10"/>
      <c r="U168" s="11"/>
      <c r="V168" s="11"/>
      <c r="W168" s="11"/>
      <c r="X168" s="11"/>
      <c r="Y168" s="11"/>
      <c r="Z168" s="12"/>
      <c r="AA168" s="12"/>
      <c r="AB168" s="12"/>
      <c r="AC168" s="12"/>
      <c r="AD168" s="12"/>
      <c r="AE168" s="12"/>
      <c r="AF168" s="12"/>
    </row>
    <row r="169" spans="1:46" ht="13.2">
      <c r="A169" s="8"/>
      <c r="B169" s="8"/>
      <c r="C169" s="8"/>
      <c r="D169" s="8"/>
      <c r="E169" s="8"/>
      <c r="F169" s="8"/>
      <c r="G169" s="9"/>
      <c r="H169" s="8"/>
      <c r="I169" s="10"/>
      <c r="J169" s="10"/>
      <c r="K169" s="10"/>
      <c r="L169" s="10"/>
      <c r="M169" s="10"/>
      <c r="N169" s="10"/>
      <c r="O169" s="10"/>
      <c r="P169" s="10"/>
      <c r="Q169" s="10"/>
      <c r="R169" s="10"/>
      <c r="S169" s="10"/>
      <c r="T169" s="10"/>
      <c r="U169" s="11"/>
      <c r="V169" s="11"/>
      <c r="W169" s="11"/>
      <c r="X169" s="11"/>
      <c r="Y169" s="11"/>
      <c r="Z169" s="12"/>
      <c r="AA169" s="12"/>
      <c r="AB169" s="12"/>
      <c r="AC169" s="12"/>
      <c r="AD169" s="12"/>
      <c r="AE169" s="12"/>
      <c r="AF169" s="12"/>
    </row>
    <row r="170" spans="1:46" ht="13.2">
      <c r="A170" s="8"/>
      <c r="B170" s="8"/>
      <c r="C170" s="8"/>
      <c r="D170" s="8"/>
      <c r="E170" s="8"/>
      <c r="F170" s="8"/>
      <c r="G170" s="9"/>
      <c r="H170" s="8"/>
      <c r="I170" s="10"/>
      <c r="J170" s="10"/>
      <c r="K170" s="10"/>
      <c r="L170" s="10"/>
      <c r="M170" s="10"/>
      <c r="N170" s="10"/>
      <c r="O170" s="10"/>
      <c r="P170" s="10"/>
      <c r="Q170" s="10"/>
      <c r="R170" s="10"/>
      <c r="S170" s="10"/>
      <c r="T170" s="10"/>
      <c r="U170" s="11"/>
      <c r="V170" s="11"/>
      <c r="W170" s="11"/>
      <c r="X170" s="11"/>
      <c r="Y170" s="11"/>
      <c r="Z170" s="12"/>
      <c r="AA170" s="12"/>
      <c r="AB170" s="12"/>
      <c r="AC170" s="12"/>
      <c r="AD170" s="12"/>
      <c r="AE170" s="12"/>
      <c r="AF170" s="12"/>
    </row>
    <row r="171" spans="1:46" ht="13.2">
      <c r="A171" s="8"/>
      <c r="B171" s="8"/>
      <c r="C171" s="8"/>
      <c r="D171" s="8"/>
      <c r="E171" s="8"/>
      <c r="F171" s="8"/>
      <c r="G171" s="9"/>
      <c r="H171" s="8"/>
      <c r="I171" s="10"/>
      <c r="J171" s="10"/>
      <c r="K171" s="10"/>
      <c r="L171" s="10"/>
      <c r="M171" s="10"/>
      <c r="N171" s="10"/>
      <c r="O171" s="10"/>
      <c r="P171" s="10"/>
      <c r="Q171" s="10"/>
      <c r="R171" s="10"/>
      <c r="S171" s="10"/>
      <c r="T171" s="10"/>
      <c r="U171" s="11"/>
      <c r="V171" s="11"/>
      <c r="W171" s="11"/>
      <c r="X171" s="11"/>
      <c r="Y171" s="11"/>
      <c r="Z171" s="12"/>
      <c r="AA171" s="12"/>
      <c r="AB171" s="12"/>
      <c r="AC171" s="12"/>
      <c r="AD171" s="12"/>
      <c r="AE171" s="12"/>
      <c r="AF171" s="12"/>
    </row>
    <row r="172" spans="1:46" ht="13.2">
      <c r="A172" s="8"/>
      <c r="B172" s="8"/>
      <c r="C172" s="8"/>
      <c r="D172" s="8"/>
      <c r="E172" s="8"/>
      <c r="F172" s="8"/>
      <c r="G172" s="9"/>
      <c r="H172" s="8"/>
      <c r="I172" s="8"/>
      <c r="J172" s="8"/>
      <c r="K172" s="8"/>
      <c r="L172" s="8"/>
      <c r="M172" s="8"/>
      <c r="N172" s="8"/>
      <c r="O172" s="8"/>
      <c r="P172" s="8"/>
      <c r="Q172" s="8"/>
      <c r="R172" s="8"/>
      <c r="S172" s="8"/>
      <c r="T172" s="8"/>
      <c r="U172" s="12"/>
      <c r="V172" s="12"/>
      <c r="W172" s="12"/>
      <c r="X172" s="12"/>
      <c r="Y172" s="12"/>
      <c r="Z172" s="12"/>
      <c r="AA172" s="12"/>
      <c r="AB172" s="12"/>
      <c r="AC172" s="12"/>
      <c r="AD172" s="12"/>
      <c r="AE172" s="12"/>
      <c r="AF172" s="12"/>
    </row>
    <row r="173" spans="1:46" ht="13.2">
      <c r="A173" s="8"/>
      <c r="B173" s="8"/>
      <c r="C173" s="8"/>
      <c r="D173" s="8"/>
      <c r="E173" s="8"/>
      <c r="F173" s="8"/>
      <c r="G173" s="9"/>
      <c r="H173" s="8"/>
      <c r="I173" s="8"/>
      <c r="J173" s="8"/>
      <c r="K173" s="8"/>
      <c r="L173" s="8"/>
      <c r="M173" s="8"/>
      <c r="N173" s="8"/>
      <c r="O173" s="8"/>
      <c r="P173" s="8"/>
      <c r="Q173" s="8"/>
      <c r="R173" s="8"/>
      <c r="S173" s="8"/>
      <c r="T173" s="8"/>
      <c r="U173" s="12"/>
      <c r="V173" s="12"/>
      <c r="W173" s="12"/>
      <c r="X173" s="12"/>
      <c r="Y173" s="12"/>
      <c r="Z173" s="12"/>
      <c r="AA173" s="12"/>
      <c r="AB173" s="12"/>
      <c r="AC173" s="12"/>
      <c r="AD173" s="12"/>
      <c r="AE173" s="12"/>
      <c r="AF173" s="12"/>
    </row>
    <row r="174" spans="1:46" ht="13.2">
      <c r="A174" s="8"/>
      <c r="B174" s="8"/>
      <c r="C174" s="8"/>
      <c r="D174" s="8"/>
      <c r="E174" s="8"/>
      <c r="F174" s="8"/>
      <c r="G174" s="30"/>
      <c r="H174" s="8"/>
      <c r="I174" s="8"/>
      <c r="J174" s="8"/>
      <c r="K174" s="8"/>
      <c r="L174" s="8"/>
      <c r="M174" s="8"/>
      <c r="N174" s="8"/>
      <c r="O174" s="8"/>
      <c r="P174" s="8"/>
      <c r="Q174" s="8"/>
      <c r="R174" s="8"/>
      <c r="S174" s="8"/>
      <c r="T174" s="8"/>
      <c r="U174" s="12"/>
      <c r="V174" s="12"/>
      <c r="W174" s="12"/>
      <c r="X174" s="12"/>
      <c r="Y174" s="12"/>
      <c r="Z174" s="12"/>
      <c r="AA174" s="12"/>
      <c r="AB174" s="12"/>
      <c r="AC174" s="12"/>
      <c r="AD174" s="12"/>
      <c r="AE174" s="12"/>
      <c r="AF174" s="12"/>
    </row>
    <row r="175" spans="1:46" ht="13.2">
      <c r="A175" s="8"/>
      <c r="B175" s="8"/>
      <c r="C175" s="8"/>
      <c r="D175" s="8"/>
      <c r="E175" s="8"/>
      <c r="F175" s="8"/>
      <c r="G175" s="9"/>
      <c r="H175" s="8"/>
      <c r="I175" s="8"/>
      <c r="J175" s="8"/>
      <c r="K175" s="8"/>
      <c r="L175" s="8"/>
      <c r="M175" s="8"/>
      <c r="N175" s="8"/>
      <c r="O175" s="8"/>
      <c r="P175" s="8"/>
      <c r="Q175" s="8"/>
      <c r="R175" s="8"/>
      <c r="S175" s="8"/>
      <c r="T175" s="8"/>
      <c r="U175" s="12"/>
      <c r="V175" s="12"/>
      <c r="W175" s="12"/>
      <c r="X175" s="12"/>
      <c r="Y175" s="12"/>
      <c r="Z175" s="12"/>
      <c r="AA175" s="12"/>
      <c r="AB175" s="12"/>
      <c r="AC175" s="12"/>
      <c r="AD175" s="12"/>
      <c r="AE175" s="12"/>
      <c r="AF175" s="12"/>
    </row>
    <row r="176" spans="1:46" ht="13.2">
      <c r="A176" s="8"/>
      <c r="B176" s="8"/>
      <c r="C176" s="8"/>
      <c r="D176" s="8"/>
      <c r="E176" s="8"/>
      <c r="F176" s="8"/>
      <c r="G176" s="9"/>
      <c r="H176" s="8"/>
      <c r="I176" s="8"/>
      <c r="J176" s="8"/>
      <c r="K176" s="8"/>
      <c r="L176" s="8"/>
      <c r="M176" s="8"/>
      <c r="N176" s="8"/>
      <c r="O176" s="8"/>
      <c r="P176" s="8"/>
      <c r="Q176" s="8"/>
      <c r="R176" s="8"/>
      <c r="S176" s="8"/>
      <c r="T176" s="8"/>
      <c r="U176" s="12"/>
      <c r="V176" s="12"/>
      <c r="W176" s="12"/>
      <c r="X176" s="12"/>
      <c r="Y176" s="12"/>
      <c r="Z176" s="12"/>
      <c r="AA176" s="12"/>
      <c r="AB176" s="12"/>
      <c r="AC176" s="12"/>
      <c r="AD176" s="12"/>
      <c r="AE176" s="12"/>
      <c r="AF176" s="12"/>
    </row>
    <row r="177" spans="1:32" ht="13.2">
      <c r="A177" s="8"/>
      <c r="B177" s="8"/>
      <c r="C177" s="8"/>
      <c r="D177" s="8"/>
      <c r="E177" s="8"/>
      <c r="F177" s="8"/>
      <c r="G177" s="9"/>
      <c r="H177" s="8"/>
      <c r="I177" s="8"/>
      <c r="J177" s="8"/>
      <c r="K177" s="8"/>
      <c r="L177" s="8"/>
      <c r="M177" s="8"/>
      <c r="N177" s="8"/>
      <c r="O177" s="8"/>
      <c r="P177" s="8"/>
      <c r="Q177" s="8"/>
      <c r="R177" s="8"/>
      <c r="S177" s="8"/>
      <c r="T177" s="8"/>
      <c r="U177" s="12"/>
      <c r="V177" s="12"/>
      <c r="W177" s="12"/>
      <c r="X177" s="12"/>
      <c r="Y177" s="12"/>
      <c r="Z177" s="12"/>
      <c r="AA177" s="12"/>
      <c r="AB177" s="12"/>
      <c r="AC177" s="12"/>
      <c r="AD177" s="12"/>
      <c r="AE177" s="12"/>
      <c r="AF177" s="12"/>
    </row>
    <row r="178" spans="1:32" ht="13.2">
      <c r="A178" s="8"/>
      <c r="B178" s="8"/>
      <c r="C178" s="8"/>
      <c r="D178" s="8"/>
      <c r="E178" s="8"/>
      <c r="F178" s="8"/>
      <c r="G178" s="9"/>
      <c r="H178" s="8"/>
      <c r="I178" s="8"/>
      <c r="J178" s="8"/>
      <c r="K178" s="8"/>
      <c r="L178" s="8"/>
      <c r="M178" s="8"/>
      <c r="N178" s="8"/>
      <c r="O178" s="8"/>
      <c r="P178" s="8"/>
      <c r="Q178" s="8"/>
      <c r="R178" s="8"/>
      <c r="S178" s="8"/>
      <c r="T178" s="8"/>
      <c r="U178" s="12"/>
      <c r="V178" s="12"/>
      <c r="W178" s="12"/>
      <c r="X178" s="12"/>
      <c r="Y178" s="12"/>
      <c r="Z178" s="12"/>
      <c r="AA178" s="12"/>
      <c r="AB178" s="12"/>
      <c r="AC178" s="12"/>
      <c r="AD178" s="12"/>
      <c r="AE178" s="12"/>
      <c r="AF178" s="12"/>
    </row>
    <row r="179" spans="1:32" ht="13.2">
      <c r="A179" s="8"/>
      <c r="B179" s="8"/>
      <c r="C179" s="8"/>
      <c r="D179" s="8"/>
      <c r="E179" s="8"/>
      <c r="F179" s="8"/>
      <c r="G179" s="9"/>
      <c r="H179" s="8"/>
      <c r="I179" s="8"/>
      <c r="J179" s="8"/>
      <c r="K179" s="8"/>
      <c r="L179" s="8"/>
      <c r="M179" s="8"/>
      <c r="N179" s="8"/>
      <c r="O179" s="8"/>
      <c r="P179" s="8"/>
      <c r="Q179" s="8"/>
      <c r="R179" s="8"/>
      <c r="S179" s="8"/>
      <c r="T179" s="8"/>
      <c r="U179" s="12"/>
      <c r="V179" s="12"/>
      <c r="W179" s="12"/>
      <c r="X179" s="12"/>
      <c r="Y179" s="12"/>
      <c r="Z179" s="12"/>
      <c r="AA179" s="12"/>
      <c r="AB179" s="12"/>
      <c r="AC179" s="12"/>
      <c r="AD179" s="12"/>
      <c r="AE179" s="12"/>
      <c r="AF179" s="12"/>
    </row>
    <row r="180" spans="1:32" ht="13.2">
      <c r="A180" s="8"/>
      <c r="B180" s="8"/>
      <c r="C180" s="8"/>
      <c r="D180" s="8"/>
      <c r="E180" s="8"/>
      <c r="F180" s="8"/>
      <c r="G180" s="9"/>
      <c r="H180" s="8"/>
      <c r="I180" s="8"/>
      <c r="J180" s="8"/>
      <c r="K180" s="8"/>
      <c r="L180" s="8"/>
      <c r="M180" s="8"/>
      <c r="N180" s="8"/>
      <c r="O180" s="8"/>
      <c r="P180" s="8"/>
      <c r="Q180" s="8"/>
      <c r="R180" s="8"/>
      <c r="S180" s="8"/>
      <c r="T180" s="8"/>
      <c r="U180" s="12"/>
      <c r="V180" s="12"/>
      <c r="W180" s="12"/>
      <c r="X180" s="12"/>
      <c r="Y180" s="12"/>
      <c r="Z180" s="12"/>
      <c r="AA180" s="12"/>
      <c r="AB180" s="12"/>
      <c r="AC180" s="12"/>
      <c r="AD180" s="12"/>
      <c r="AE180" s="12"/>
      <c r="AF180" s="12"/>
    </row>
    <row r="181" spans="1:32" ht="13.2">
      <c r="A181" s="8"/>
      <c r="B181" s="8"/>
      <c r="C181" s="8"/>
      <c r="D181" s="8"/>
      <c r="E181" s="8"/>
      <c r="F181" s="8"/>
      <c r="G181" s="9"/>
      <c r="H181" s="8"/>
      <c r="I181" s="8"/>
      <c r="J181" s="8"/>
      <c r="K181" s="8"/>
      <c r="L181" s="8"/>
      <c r="M181" s="8"/>
      <c r="N181" s="8"/>
      <c r="O181" s="8"/>
      <c r="P181" s="8"/>
      <c r="Q181" s="8"/>
      <c r="R181" s="8"/>
      <c r="S181" s="8"/>
      <c r="T181" s="8"/>
      <c r="U181" s="12"/>
      <c r="V181" s="12"/>
      <c r="W181" s="12"/>
      <c r="X181" s="12"/>
      <c r="Y181" s="12"/>
      <c r="Z181" s="12"/>
      <c r="AA181" s="12"/>
      <c r="AB181" s="12"/>
      <c r="AC181" s="12"/>
      <c r="AD181" s="12"/>
      <c r="AE181" s="12"/>
      <c r="AF181" s="12"/>
    </row>
    <row r="182" spans="1:32" ht="13.2">
      <c r="A182" s="8"/>
      <c r="B182" s="8"/>
      <c r="C182" s="8"/>
      <c r="D182" s="8"/>
      <c r="E182" s="8"/>
      <c r="F182" s="8"/>
      <c r="G182" s="9"/>
      <c r="H182" s="8"/>
      <c r="I182" s="8"/>
      <c r="J182" s="8"/>
      <c r="K182" s="8"/>
      <c r="L182" s="8"/>
      <c r="M182" s="8"/>
      <c r="N182" s="8"/>
      <c r="O182" s="8"/>
      <c r="P182" s="8"/>
      <c r="Q182" s="8"/>
      <c r="R182" s="8"/>
      <c r="S182" s="8"/>
      <c r="T182" s="8"/>
      <c r="U182" s="12"/>
      <c r="V182" s="12"/>
      <c r="W182" s="12"/>
      <c r="X182" s="12"/>
      <c r="Y182" s="12"/>
      <c r="Z182" s="12"/>
      <c r="AA182" s="12"/>
      <c r="AB182" s="12"/>
      <c r="AC182" s="12"/>
      <c r="AD182" s="12"/>
      <c r="AE182" s="12"/>
      <c r="AF182" s="12"/>
    </row>
    <row r="183" spans="1:32" ht="13.2">
      <c r="A183" s="8"/>
      <c r="B183" s="8"/>
      <c r="C183" s="8"/>
      <c r="D183" s="8"/>
      <c r="E183" s="8"/>
      <c r="F183" s="8"/>
      <c r="G183" s="9"/>
      <c r="H183" s="8"/>
      <c r="I183" s="8"/>
      <c r="J183" s="8"/>
      <c r="K183" s="8"/>
      <c r="L183" s="8"/>
      <c r="M183" s="8"/>
      <c r="N183" s="8"/>
      <c r="O183" s="8"/>
      <c r="P183" s="8"/>
      <c r="Q183" s="8"/>
      <c r="R183" s="8"/>
      <c r="S183" s="8"/>
      <c r="T183" s="8"/>
      <c r="U183" s="12"/>
      <c r="V183" s="12"/>
      <c r="W183" s="12"/>
      <c r="X183" s="12"/>
      <c r="Y183" s="12"/>
      <c r="Z183" s="12"/>
      <c r="AA183" s="12"/>
      <c r="AB183" s="12"/>
      <c r="AC183" s="12"/>
      <c r="AD183" s="12"/>
      <c r="AE183" s="12"/>
      <c r="AF183" s="12"/>
    </row>
    <row r="184" spans="1:32" ht="13.2">
      <c r="A184" s="8"/>
      <c r="B184" s="8"/>
      <c r="C184" s="8"/>
      <c r="D184" s="8"/>
      <c r="E184" s="8"/>
      <c r="F184" s="8"/>
      <c r="G184" s="9"/>
      <c r="H184" s="8"/>
      <c r="I184" s="8"/>
      <c r="J184" s="8"/>
      <c r="K184" s="8"/>
      <c r="L184" s="8"/>
      <c r="M184" s="8"/>
      <c r="N184" s="8"/>
      <c r="O184" s="8"/>
      <c r="P184" s="8"/>
      <c r="Q184" s="8"/>
      <c r="R184" s="8"/>
      <c r="S184" s="8"/>
      <c r="T184" s="8"/>
      <c r="U184" s="12"/>
      <c r="V184" s="12"/>
      <c r="W184" s="12"/>
      <c r="X184" s="12"/>
      <c r="Y184" s="12"/>
      <c r="Z184" s="12"/>
      <c r="AA184" s="12"/>
      <c r="AB184" s="12"/>
      <c r="AC184" s="12"/>
      <c r="AD184" s="12"/>
      <c r="AE184" s="12"/>
      <c r="AF184" s="12"/>
    </row>
    <row r="185" spans="1:32" ht="13.2">
      <c r="A185" s="8"/>
      <c r="B185" s="8"/>
      <c r="C185" s="8"/>
      <c r="D185" s="8"/>
      <c r="E185" s="8"/>
      <c r="F185" s="8"/>
      <c r="G185" s="9"/>
      <c r="H185" s="8"/>
      <c r="I185" s="8"/>
      <c r="J185" s="8"/>
      <c r="K185" s="8"/>
      <c r="L185" s="8"/>
      <c r="M185" s="8"/>
      <c r="N185" s="8"/>
      <c r="O185" s="8"/>
      <c r="P185" s="8"/>
      <c r="Q185" s="8"/>
      <c r="R185" s="8"/>
      <c r="S185" s="8"/>
      <c r="T185" s="8"/>
      <c r="U185" s="12"/>
      <c r="V185" s="12"/>
      <c r="W185" s="12"/>
      <c r="X185" s="12"/>
      <c r="Y185" s="12"/>
      <c r="Z185" s="12"/>
      <c r="AA185" s="12"/>
      <c r="AB185" s="12"/>
      <c r="AC185" s="12"/>
      <c r="AD185" s="12"/>
      <c r="AE185" s="12"/>
      <c r="AF185" s="12"/>
    </row>
    <row r="186" spans="1:32" ht="13.2">
      <c r="A186" s="8"/>
      <c r="B186" s="8"/>
      <c r="C186" s="8"/>
      <c r="D186" s="8"/>
      <c r="E186" s="8"/>
      <c r="F186" s="8"/>
      <c r="G186" s="9"/>
      <c r="H186" s="8"/>
      <c r="I186" s="8"/>
      <c r="J186" s="8"/>
      <c r="K186" s="8"/>
      <c r="L186" s="8"/>
      <c r="M186" s="8"/>
      <c r="N186" s="8"/>
      <c r="O186" s="8"/>
      <c r="P186" s="8"/>
      <c r="Q186" s="8"/>
      <c r="R186" s="8"/>
      <c r="S186" s="8"/>
      <c r="T186" s="8"/>
      <c r="U186" s="12"/>
      <c r="V186" s="12"/>
      <c r="W186" s="12"/>
      <c r="X186" s="12"/>
      <c r="Y186" s="12"/>
      <c r="Z186" s="12"/>
      <c r="AA186" s="12"/>
      <c r="AB186" s="12"/>
      <c r="AC186" s="12"/>
      <c r="AD186" s="12"/>
      <c r="AE186" s="12"/>
      <c r="AF186" s="12"/>
    </row>
    <row r="187" spans="1:32" ht="13.2">
      <c r="A187" s="8"/>
      <c r="B187" s="8"/>
      <c r="C187" s="8"/>
      <c r="D187" s="8"/>
      <c r="E187" s="8"/>
      <c r="F187" s="8"/>
      <c r="G187" s="9"/>
      <c r="H187" s="8"/>
      <c r="I187" s="8"/>
      <c r="J187" s="8"/>
      <c r="K187" s="8"/>
      <c r="L187" s="8"/>
      <c r="M187" s="8"/>
      <c r="N187" s="8"/>
      <c r="O187" s="8"/>
      <c r="P187" s="8"/>
      <c r="Q187" s="8"/>
      <c r="R187" s="8"/>
      <c r="S187" s="8"/>
      <c r="T187" s="8"/>
      <c r="U187" s="12"/>
      <c r="V187" s="12"/>
      <c r="W187" s="12"/>
      <c r="X187" s="12"/>
      <c r="Y187" s="12"/>
      <c r="Z187" s="12"/>
      <c r="AA187" s="12"/>
      <c r="AB187" s="12"/>
      <c r="AC187" s="12"/>
      <c r="AD187" s="12"/>
      <c r="AE187" s="12"/>
      <c r="AF187" s="12"/>
    </row>
    <row r="188" spans="1:32" ht="13.2">
      <c r="A188" s="8"/>
      <c r="B188" s="8"/>
      <c r="C188" s="8"/>
      <c r="D188" s="8"/>
      <c r="E188" s="8"/>
      <c r="F188" s="8"/>
      <c r="G188" s="9"/>
      <c r="H188" s="8"/>
      <c r="I188" s="8"/>
      <c r="J188" s="8"/>
      <c r="K188" s="8"/>
      <c r="L188" s="8"/>
      <c r="M188" s="8"/>
      <c r="N188" s="8"/>
      <c r="O188" s="8"/>
      <c r="P188" s="8"/>
      <c r="Q188" s="8"/>
      <c r="R188" s="8"/>
      <c r="S188" s="8"/>
      <c r="T188" s="8"/>
      <c r="U188" s="12"/>
      <c r="V188" s="12"/>
      <c r="W188" s="12"/>
      <c r="X188" s="12"/>
      <c r="Y188" s="12"/>
      <c r="Z188" s="12"/>
      <c r="AA188" s="12"/>
      <c r="AB188" s="12"/>
      <c r="AC188" s="12"/>
      <c r="AD188" s="12"/>
      <c r="AE188" s="12"/>
      <c r="AF188" s="12"/>
    </row>
    <row r="189" spans="1:32" ht="13.2">
      <c r="A189" s="8"/>
      <c r="B189" s="8"/>
      <c r="C189" s="8"/>
      <c r="D189" s="8"/>
      <c r="E189" s="8"/>
      <c r="F189" s="8"/>
      <c r="G189" s="9"/>
      <c r="H189" s="8"/>
      <c r="I189" s="8"/>
      <c r="J189" s="8"/>
      <c r="K189" s="8"/>
      <c r="L189" s="8"/>
      <c r="M189" s="8"/>
      <c r="N189" s="8"/>
      <c r="O189" s="8"/>
      <c r="P189" s="8"/>
      <c r="Q189" s="8"/>
      <c r="R189" s="8"/>
      <c r="S189" s="8"/>
      <c r="T189" s="8"/>
      <c r="U189" s="12"/>
      <c r="V189" s="12"/>
      <c r="W189" s="12"/>
      <c r="X189" s="12"/>
      <c r="Y189" s="12"/>
      <c r="Z189" s="12"/>
      <c r="AA189" s="12"/>
      <c r="AB189" s="12"/>
      <c r="AC189" s="12"/>
      <c r="AD189" s="12"/>
      <c r="AE189" s="12"/>
      <c r="AF189" s="12"/>
    </row>
    <row r="190" spans="1:32" ht="13.2">
      <c r="A190" s="8"/>
      <c r="B190" s="8"/>
      <c r="C190" s="8"/>
      <c r="D190" s="8"/>
      <c r="E190" s="8"/>
      <c r="F190" s="8"/>
      <c r="G190" s="9"/>
      <c r="H190" s="8"/>
      <c r="I190" s="8"/>
      <c r="J190" s="8"/>
      <c r="K190" s="8"/>
      <c r="L190" s="8"/>
      <c r="M190" s="8"/>
      <c r="N190" s="8"/>
      <c r="O190" s="8"/>
      <c r="P190" s="8"/>
      <c r="Q190" s="8"/>
      <c r="R190" s="8"/>
      <c r="S190" s="8"/>
      <c r="T190" s="8"/>
      <c r="U190" s="12"/>
      <c r="V190" s="12"/>
      <c r="W190" s="12"/>
      <c r="X190" s="12"/>
      <c r="Y190" s="12"/>
      <c r="Z190" s="12"/>
      <c r="AA190" s="12"/>
      <c r="AB190" s="12"/>
      <c r="AC190" s="12"/>
      <c r="AD190" s="12"/>
      <c r="AE190" s="12"/>
      <c r="AF190" s="12"/>
    </row>
    <row r="191" spans="1:32" ht="13.2">
      <c r="A191" s="8"/>
      <c r="B191" s="8"/>
      <c r="C191" s="8"/>
      <c r="D191" s="8"/>
      <c r="E191" s="8"/>
      <c r="F191" s="8"/>
      <c r="G191" s="9"/>
      <c r="H191" s="8"/>
      <c r="I191" s="8"/>
      <c r="J191" s="8"/>
      <c r="K191" s="8"/>
      <c r="L191" s="8"/>
      <c r="M191" s="8"/>
      <c r="N191" s="8"/>
      <c r="O191" s="8"/>
      <c r="P191" s="8"/>
      <c r="Q191" s="8"/>
      <c r="R191" s="8"/>
      <c r="S191" s="8"/>
      <c r="T191" s="8"/>
      <c r="U191" s="12"/>
      <c r="V191" s="12"/>
      <c r="W191" s="12"/>
      <c r="X191" s="12"/>
      <c r="Y191" s="12"/>
      <c r="Z191" s="12"/>
      <c r="AA191" s="12"/>
      <c r="AB191" s="12"/>
      <c r="AC191" s="12"/>
      <c r="AD191" s="12"/>
      <c r="AE191" s="12"/>
      <c r="AF191" s="12"/>
    </row>
    <row r="192" spans="1:32" ht="13.2">
      <c r="A192" s="8"/>
      <c r="B192" s="8"/>
      <c r="C192" s="8"/>
      <c r="D192" s="8"/>
      <c r="E192" s="8"/>
      <c r="F192" s="8"/>
      <c r="G192" s="9"/>
      <c r="H192" s="8"/>
      <c r="I192" s="8"/>
      <c r="J192" s="8"/>
      <c r="K192" s="8"/>
      <c r="L192" s="8"/>
      <c r="M192" s="8"/>
      <c r="N192" s="8"/>
      <c r="O192" s="8"/>
      <c r="P192" s="8"/>
      <c r="Q192" s="8"/>
      <c r="R192" s="8"/>
      <c r="S192" s="8"/>
      <c r="T192" s="8"/>
      <c r="U192" s="12"/>
      <c r="V192" s="12"/>
      <c r="W192" s="12"/>
      <c r="X192" s="12"/>
      <c r="Y192" s="12"/>
      <c r="Z192" s="12"/>
      <c r="AA192" s="12"/>
      <c r="AB192" s="12"/>
      <c r="AC192" s="12"/>
      <c r="AD192" s="12"/>
      <c r="AE192" s="12"/>
      <c r="AF192" s="12"/>
    </row>
    <row r="193" spans="1:32" ht="13.2">
      <c r="A193" s="8"/>
      <c r="B193" s="8"/>
      <c r="C193" s="8"/>
      <c r="D193" s="8"/>
      <c r="E193" s="8"/>
      <c r="F193" s="8"/>
      <c r="G193" s="9"/>
      <c r="H193" s="8"/>
      <c r="I193" s="8"/>
      <c r="J193" s="8"/>
      <c r="K193" s="8"/>
      <c r="L193" s="8"/>
      <c r="M193" s="8"/>
      <c r="N193" s="8"/>
      <c r="O193" s="8"/>
      <c r="P193" s="8"/>
      <c r="Q193" s="8"/>
      <c r="R193" s="8"/>
      <c r="S193" s="8"/>
      <c r="T193" s="8"/>
      <c r="U193" s="12"/>
      <c r="V193" s="12"/>
      <c r="W193" s="12"/>
      <c r="X193" s="12"/>
      <c r="Y193" s="12"/>
      <c r="Z193" s="12"/>
      <c r="AA193" s="12"/>
      <c r="AB193" s="12"/>
      <c r="AC193" s="12"/>
      <c r="AD193" s="12"/>
      <c r="AE193" s="12"/>
      <c r="AF193" s="12"/>
    </row>
    <row r="194" spans="1:32" ht="13.2">
      <c r="A194" s="8"/>
      <c r="B194" s="8"/>
      <c r="C194" s="8"/>
      <c r="D194" s="8"/>
      <c r="E194" s="8"/>
      <c r="F194" s="8"/>
      <c r="G194" s="9"/>
      <c r="H194" s="8"/>
      <c r="I194" s="8"/>
      <c r="J194" s="8"/>
      <c r="K194" s="8"/>
      <c r="L194" s="8"/>
      <c r="M194" s="8"/>
      <c r="N194" s="8"/>
      <c r="O194" s="8"/>
      <c r="P194" s="8"/>
      <c r="Q194" s="8"/>
      <c r="R194" s="8"/>
      <c r="S194" s="8"/>
      <c r="T194" s="8"/>
      <c r="U194" s="12"/>
      <c r="V194" s="12"/>
      <c r="W194" s="12"/>
      <c r="X194" s="12"/>
      <c r="Y194" s="12"/>
      <c r="Z194" s="12"/>
      <c r="AA194" s="12"/>
      <c r="AB194" s="12"/>
      <c r="AC194" s="12"/>
      <c r="AD194" s="12"/>
      <c r="AE194" s="12"/>
      <c r="AF194" s="12"/>
    </row>
    <row r="195" spans="1:32" ht="13.2">
      <c r="A195" s="8"/>
      <c r="B195" s="8"/>
      <c r="C195" s="8"/>
      <c r="D195" s="8"/>
      <c r="E195" s="8"/>
      <c r="F195" s="8"/>
      <c r="G195" s="9"/>
      <c r="H195" s="8"/>
      <c r="I195" s="8"/>
      <c r="J195" s="8"/>
      <c r="K195" s="8"/>
      <c r="L195" s="8"/>
      <c r="M195" s="8"/>
      <c r="N195" s="8"/>
      <c r="O195" s="8"/>
      <c r="P195" s="8"/>
      <c r="Q195" s="8"/>
      <c r="R195" s="8"/>
      <c r="S195" s="8"/>
      <c r="T195" s="8"/>
      <c r="U195" s="12"/>
      <c r="V195" s="12"/>
      <c r="W195" s="12"/>
      <c r="X195" s="12"/>
      <c r="Y195" s="12"/>
      <c r="Z195" s="12"/>
      <c r="AA195" s="12"/>
      <c r="AB195" s="12"/>
      <c r="AC195" s="12"/>
      <c r="AD195" s="12"/>
      <c r="AE195" s="12"/>
      <c r="AF195" s="12"/>
    </row>
    <row r="196" spans="1:32" ht="13.2">
      <c r="A196" s="8"/>
      <c r="B196" s="8"/>
      <c r="C196" s="8"/>
      <c r="D196" s="8"/>
      <c r="E196" s="8"/>
      <c r="F196" s="8"/>
      <c r="G196" s="9"/>
      <c r="H196" s="8"/>
      <c r="I196" s="8"/>
      <c r="J196" s="8"/>
      <c r="K196" s="8"/>
      <c r="L196" s="8"/>
      <c r="M196" s="8"/>
      <c r="N196" s="8"/>
      <c r="O196" s="8"/>
      <c r="P196" s="8"/>
      <c r="Q196" s="8"/>
      <c r="R196" s="8"/>
      <c r="S196" s="8"/>
      <c r="T196" s="8"/>
      <c r="U196" s="12"/>
      <c r="V196" s="12"/>
      <c r="W196" s="12"/>
      <c r="X196" s="12"/>
      <c r="Y196" s="12"/>
      <c r="Z196" s="12"/>
      <c r="AA196" s="12"/>
      <c r="AB196" s="12"/>
      <c r="AC196" s="12"/>
      <c r="AD196" s="12"/>
      <c r="AE196" s="12"/>
      <c r="AF196" s="12"/>
    </row>
    <row r="197" spans="1:32" ht="13.2">
      <c r="A197" s="8"/>
      <c r="B197" s="8"/>
      <c r="C197" s="8"/>
      <c r="D197" s="8"/>
      <c r="E197" s="8"/>
      <c r="F197" s="8"/>
      <c r="G197" s="9"/>
      <c r="H197" s="8"/>
      <c r="I197" s="8"/>
      <c r="J197" s="8"/>
      <c r="K197" s="8"/>
      <c r="L197" s="8"/>
      <c r="M197" s="8"/>
      <c r="N197" s="8"/>
      <c r="O197" s="8"/>
      <c r="P197" s="8"/>
      <c r="Q197" s="8"/>
      <c r="R197" s="8"/>
      <c r="S197" s="8"/>
      <c r="T197" s="8"/>
      <c r="U197" s="12"/>
      <c r="V197" s="12"/>
      <c r="W197" s="12"/>
      <c r="X197" s="12"/>
      <c r="Y197" s="12"/>
      <c r="Z197" s="12"/>
      <c r="AA197" s="12"/>
      <c r="AB197" s="12"/>
      <c r="AC197" s="12"/>
      <c r="AD197" s="12"/>
      <c r="AE197" s="12"/>
      <c r="AF197" s="12"/>
    </row>
    <row r="198" spans="1:32" ht="13.2">
      <c r="A198" s="8"/>
      <c r="B198" s="8"/>
      <c r="C198" s="8"/>
      <c r="D198" s="8"/>
      <c r="E198" s="8"/>
      <c r="F198" s="8"/>
      <c r="G198" s="9"/>
      <c r="H198" s="8"/>
      <c r="I198" s="8"/>
      <c r="J198" s="8"/>
      <c r="K198" s="8"/>
      <c r="L198" s="8"/>
      <c r="M198" s="8"/>
      <c r="N198" s="8"/>
      <c r="O198" s="8"/>
      <c r="P198" s="8"/>
      <c r="Q198" s="8"/>
      <c r="R198" s="8"/>
      <c r="S198" s="8"/>
      <c r="T198" s="8"/>
      <c r="U198" s="12"/>
      <c r="V198" s="12"/>
      <c r="W198" s="12"/>
      <c r="X198" s="12"/>
      <c r="Y198" s="12"/>
      <c r="Z198" s="12"/>
      <c r="AA198" s="12"/>
      <c r="AB198" s="12"/>
      <c r="AC198" s="12"/>
      <c r="AD198" s="12"/>
      <c r="AE198" s="12"/>
      <c r="AF198" s="12"/>
    </row>
    <row r="199" spans="1:32" ht="13.2">
      <c r="A199" s="8"/>
      <c r="B199" s="8"/>
      <c r="C199" s="8"/>
      <c r="D199" s="8"/>
      <c r="E199" s="8"/>
      <c r="F199" s="8"/>
      <c r="G199" s="9"/>
      <c r="H199" s="8"/>
      <c r="I199" s="8"/>
      <c r="J199" s="8"/>
      <c r="K199" s="8"/>
      <c r="L199" s="8"/>
      <c r="M199" s="8"/>
      <c r="N199" s="8"/>
      <c r="O199" s="8"/>
      <c r="P199" s="8"/>
      <c r="Q199" s="8"/>
      <c r="R199" s="8"/>
      <c r="S199" s="8"/>
      <c r="T199" s="8"/>
      <c r="U199" s="12"/>
      <c r="V199" s="12"/>
      <c r="W199" s="12"/>
      <c r="X199" s="12"/>
      <c r="Y199" s="12"/>
      <c r="Z199" s="12"/>
      <c r="AA199" s="12"/>
      <c r="AB199" s="12"/>
      <c r="AC199" s="12"/>
      <c r="AD199" s="12"/>
      <c r="AE199" s="12"/>
      <c r="AF199" s="12"/>
    </row>
    <row r="200" spans="1:32" ht="13.2">
      <c r="A200" s="8"/>
      <c r="B200" s="8"/>
      <c r="C200" s="8"/>
      <c r="D200" s="8"/>
      <c r="E200" s="8"/>
      <c r="F200" s="8"/>
      <c r="G200" s="9"/>
      <c r="H200" s="8"/>
      <c r="I200" s="8"/>
      <c r="J200" s="8"/>
      <c r="K200" s="8"/>
      <c r="L200" s="8"/>
      <c r="M200" s="8"/>
      <c r="N200" s="8"/>
      <c r="O200" s="8"/>
      <c r="P200" s="8"/>
      <c r="Q200" s="8"/>
      <c r="R200" s="8"/>
      <c r="S200" s="8"/>
      <c r="T200" s="8"/>
      <c r="U200" s="12"/>
      <c r="V200" s="12"/>
      <c r="W200" s="12"/>
      <c r="X200" s="12"/>
      <c r="Y200" s="12"/>
      <c r="Z200" s="12"/>
      <c r="AA200" s="12"/>
      <c r="AB200" s="12"/>
      <c r="AC200" s="12"/>
      <c r="AD200" s="12"/>
      <c r="AE200" s="12"/>
      <c r="AF200" s="12"/>
    </row>
    <row r="201" spans="1:32" ht="13.2">
      <c r="A201" s="8"/>
      <c r="B201" s="8"/>
      <c r="C201" s="8"/>
      <c r="D201" s="8"/>
      <c r="E201" s="8"/>
      <c r="F201" s="8"/>
      <c r="G201" s="9"/>
      <c r="H201" s="8"/>
      <c r="I201" s="8"/>
      <c r="J201" s="8"/>
      <c r="K201" s="8"/>
      <c r="L201" s="8"/>
      <c r="M201" s="8"/>
      <c r="N201" s="8"/>
      <c r="O201" s="8"/>
      <c r="P201" s="8"/>
      <c r="Q201" s="8"/>
      <c r="R201" s="8"/>
      <c r="S201" s="8"/>
      <c r="T201" s="8"/>
      <c r="U201" s="12"/>
      <c r="V201" s="12"/>
      <c r="W201" s="12"/>
      <c r="X201" s="12"/>
      <c r="Y201" s="12"/>
      <c r="Z201" s="12"/>
      <c r="AA201" s="12"/>
      <c r="AB201" s="12"/>
      <c r="AC201" s="12"/>
      <c r="AD201" s="12"/>
      <c r="AE201" s="12"/>
      <c r="AF201" s="12"/>
    </row>
    <row r="202" spans="1:32" ht="13.2">
      <c r="A202" s="8"/>
      <c r="B202" s="8"/>
      <c r="C202" s="8"/>
      <c r="D202" s="8"/>
      <c r="E202" s="8"/>
      <c r="F202" s="8"/>
      <c r="G202" s="9"/>
      <c r="H202" s="8"/>
      <c r="I202" s="8"/>
      <c r="J202" s="8"/>
      <c r="K202" s="8"/>
      <c r="L202" s="8"/>
      <c r="M202" s="8"/>
      <c r="N202" s="8"/>
      <c r="O202" s="8"/>
      <c r="P202" s="8"/>
      <c r="Q202" s="8"/>
      <c r="R202" s="8"/>
      <c r="S202" s="8"/>
      <c r="T202" s="8"/>
      <c r="U202" s="12"/>
      <c r="V202" s="12"/>
      <c r="W202" s="12"/>
      <c r="X202" s="12"/>
      <c r="Y202" s="12"/>
      <c r="Z202" s="12"/>
      <c r="AA202" s="12"/>
      <c r="AB202" s="12"/>
      <c r="AC202" s="12"/>
      <c r="AD202" s="12"/>
      <c r="AE202" s="12"/>
      <c r="AF202" s="12"/>
    </row>
    <row r="203" spans="1:32" ht="13.2">
      <c r="A203" s="8"/>
      <c r="B203" s="8"/>
      <c r="C203" s="8"/>
      <c r="D203" s="8"/>
      <c r="E203" s="8"/>
      <c r="F203" s="8"/>
      <c r="G203" s="9"/>
      <c r="H203" s="8"/>
      <c r="I203" s="8"/>
      <c r="J203" s="8"/>
      <c r="K203" s="8"/>
      <c r="L203" s="8"/>
      <c r="M203" s="8"/>
      <c r="N203" s="8"/>
      <c r="O203" s="8"/>
      <c r="P203" s="8"/>
      <c r="Q203" s="8"/>
      <c r="R203" s="8"/>
      <c r="S203" s="8"/>
      <c r="T203" s="8"/>
      <c r="U203" s="12"/>
      <c r="V203" s="12"/>
      <c r="W203" s="12"/>
      <c r="X203" s="12"/>
      <c r="Y203" s="12"/>
      <c r="Z203" s="12"/>
      <c r="AA203" s="12"/>
      <c r="AB203" s="12"/>
      <c r="AC203" s="12"/>
      <c r="AD203" s="12"/>
      <c r="AE203" s="12"/>
      <c r="AF203" s="12"/>
    </row>
    <row r="204" spans="1:32" ht="13.2">
      <c r="A204" s="8"/>
      <c r="B204" s="8"/>
      <c r="C204" s="8"/>
      <c r="D204" s="8"/>
      <c r="E204" s="8"/>
      <c r="F204" s="8"/>
      <c r="G204" s="9"/>
      <c r="H204" s="8"/>
      <c r="I204" s="8"/>
      <c r="J204" s="8"/>
      <c r="K204" s="8"/>
      <c r="L204" s="8"/>
      <c r="M204" s="8"/>
      <c r="N204" s="8"/>
      <c r="O204" s="8"/>
      <c r="P204" s="8"/>
      <c r="Q204" s="8"/>
      <c r="R204" s="8"/>
      <c r="S204" s="8"/>
      <c r="T204" s="8"/>
      <c r="U204" s="12"/>
      <c r="V204" s="12"/>
      <c r="W204" s="12"/>
      <c r="X204" s="12"/>
      <c r="Y204" s="12"/>
      <c r="Z204" s="12"/>
      <c r="AA204" s="12"/>
      <c r="AB204" s="12"/>
      <c r="AC204" s="12"/>
      <c r="AD204" s="12"/>
      <c r="AE204" s="12"/>
      <c r="AF204" s="12"/>
    </row>
    <row r="205" spans="1:32" ht="13.2">
      <c r="A205" s="8"/>
      <c r="B205" s="8"/>
      <c r="C205" s="8"/>
      <c r="D205" s="8"/>
      <c r="E205" s="8"/>
      <c r="F205" s="8"/>
      <c r="G205" s="9"/>
      <c r="H205" s="8"/>
      <c r="I205" s="8"/>
      <c r="J205" s="8"/>
      <c r="K205" s="8"/>
      <c r="L205" s="8"/>
      <c r="M205" s="8"/>
      <c r="N205" s="8"/>
      <c r="O205" s="8"/>
      <c r="P205" s="8"/>
      <c r="Q205" s="8"/>
      <c r="R205" s="8"/>
      <c r="S205" s="8"/>
      <c r="T205" s="8"/>
      <c r="U205" s="12"/>
      <c r="V205" s="12"/>
      <c r="W205" s="12"/>
      <c r="X205" s="12"/>
      <c r="Y205" s="12"/>
      <c r="Z205" s="12"/>
      <c r="AA205" s="12"/>
      <c r="AB205" s="12"/>
      <c r="AC205" s="12"/>
      <c r="AD205" s="12"/>
      <c r="AE205" s="12"/>
      <c r="AF205" s="12"/>
    </row>
    <row r="206" spans="1:32" ht="13.2">
      <c r="A206" s="8"/>
      <c r="B206" s="8"/>
      <c r="C206" s="8"/>
      <c r="D206" s="8"/>
      <c r="E206" s="8"/>
      <c r="F206" s="8"/>
      <c r="G206" s="9"/>
      <c r="H206" s="8"/>
      <c r="I206" s="8"/>
      <c r="J206" s="8"/>
      <c r="K206" s="8"/>
      <c r="L206" s="8"/>
      <c r="M206" s="8"/>
      <c r="N206" s="8"/>
      <c r="O206" s="8"/>
      <c r="P206" s="8"/>
      <c r="Q206" s="8"/>
      <c r="R206" s="8"/>
      <c r="S206" s="8"/>
      <c r="T206" s="8"/>
      <c r="U206" s="12"/>
      <c r="V206" s="12"/>
      <c r="W206" s="12"/>
      <c r="X206" s="12"/>
      <c r="Y206" s="12"/>
      <c r="Z206" s="12"/>
      <c r="AA206" s="12"/>
      <c r="AB206" s="12"/>
      <c r="AC206" s="12"/>
      <c r="AD206" s="12"/>
      <c r="AE206" s="12"/>
      <c r="AF206" s="12"/>
    </row>
    <row r="207" spans="1:32" ht="13.2">
      <c r="A207" s="8"/>
      <c r="B207" s="8"/>
      <c r="C207" s="8"/>
      <c r="D207" s="8"/>
      <c r="E207" s="8"/>
      <c r="F207" s="8"/>
      <c r="G207" s="9"/>
      <c r="H207" s="8"/>
      <c r="I207" s="8"/>
      <c r="J207" s="8"/>
      <c r="K207" s="8"/>
      <c r="L207" s="8"/>
      <c r="M207" s="8"/>
      <c r="N207" s="8"/>
      <c r="O207" s="8"/>
      <c r="P207" s="8"/>
      <c r="Q207" s="8"/>
      <c r="R207" s="8"/>
      <c r="S207" s="8"/>
      <c r="T207" s="8"/>
      <c r="U207" s="12"/>
      <c r="V207" s="12"/>
      <c r="W207" s="12"/>
      <c r="X207" s="12"/>
      <c r="Y207" s="12"/>
      <c r="Z207" s="12"/>
      <c r="AA207" s="12"/>
      <c r="AB207" s="12"/>
      <c r="AC207" s="12"/>
      <c r="AD207" s="12"/>
      <c r="AE207" s="12"/>
      <c r="AF207" s="12"/>
    </row>
    <row r="208" spans="1:32" ht="13.2">
      <c r="A208" s="8"/>
      <c r="B208" s="8"/>
      <c r="C208" s="8"/>
      <c r="D208" s="8"/>
      <c r="E208" s="8"/>
      <c r="F208" s="8"/>
      <c r="G208" s="9"/>
      <c r="H208" s="8"/>
      <c r="I208" s="8"/>
      <c r="J208" s="8"/>
      <c r="K208" s="8"/>
      <c r="L208" s="8"/>
      <c r="M208" s="8"/>
      <c r="N208" s="8"/>
      <c r="O208" s="8"/>
      <c r="P208" s="8"/>
      <c r="Q208" s="8"/>
      <c r="R208" s="8"/>
      <c r="S208" s="8"/>
      <c r="T208" s="8"/>
      <c r="U208" s="12"/>
      <c r="V208" s="12"/>
      <c r="W208" s="12"/>
      <c r="X208" s="12"/>
      <c r="Y208" s="12"/>
      <c r="Z208" s="12"/>
      <c r="AA208" s="12"/>
      <c r="AB208" s="12"/>
      <c r="AC208" s="12"/>
      <c r="AD208" s="12"/>
      <c r="AE208" s="12"/>
      <c r="AF208" s="12"/>
    </row>
    <row r="209" spans="1:32" ht="13.2">
      <c r="A209" s="8"/>
      <c r="B209" s="8"/>
      <c r="C209" s="8"/>
      <c r="D209" s="8"/>
      <c r="E209" s="8"/>
      <c r="F209" s="8"/>
      <c r="G209" s="9"/>
      <c r="H209" s="8"/>
      <c r="I209" s="8"/>
      <c r="J209" s="8"/>
      <c r="K209" s="8"/>
      <c r="L209" s="8"/>
      <c r="M209" s="8"/>
      <c r="N209" s="8"/>
      <c r="O209" s="8"/>
      <c r="P209" s="8"/>
      <c r="Q209" s="8"/>
      <c r="R209" s="8"/>
      <c r="S209" s="8"/>
      <c r="T209" s="8"/>
      <c r="U209" s="12"/>
      <c r="V209" s="12"/>
      <c r="W209" s="12"/>
      <c r="X209" s="12"/>
      <c r="Y209" s="12"/>
      <c r="Z209" s="12"/>
      <c r="AA209" s="12"/>
      <c r="AB209" s="12"/>
      <c r="AC209" s="12"/>
      <c r="AD209" s="12"/>
      <c r="AE209" s="12"/>
      <c r="AF209" s="12"/>
    </row>
    <row r="210" spans="1:32" ht="13.2">
      <c r="A210" s="8"/>
      <c r="B210" s="8"/>
      <c r="C210" s="8"/>
      <c r="D210" s="8"/>
      <c r="E210" s="8"/>
      <c r="F210" s="8"/>
      <c r="G210" s="9"/>
      <c r="H210" s="8"/>
      <c r="I210" s="8"/>
      <c r="J210" s="8"/>
      <c r="K210" s="8"/>
      <c r="L210" s="8"/>
      <c r="M210" s="8"/>
      <c r="N210" s="8"/>
      <c r="O210" s="8"/>
      <c r="P210" s="8"/>
      <c r="Q210" s="8"/>
      <c r="R210" s="8"/>
      <c r="S210" s="8"/>
      <c r="T210" s="8"/>
      <c r="U210" s="12"/>
      <c r="V210" s="12"/>
      <c r="W210" s="12"/>
      <c r="X210" s="12"/>
      <c r="Y210" s="12"/>
      <c r="Z210" s="12"/>
      <c r="AA210" s="12"/>
      <c r="AB210" s="12"/>
      <c r="AC210" s="12"/>
      <c r="AD210" s="12"/>
      <c r="AE210" s="12"/>
      <c r="AF210" s="12"/>
    </row>
    <row r="211" spans="1:32" ht="13.2">
      <c r="A211" s="8"/>
      <c r="B211" s="8"/>
      <c r="C211" s="8"/>
      <c r="D211" s="8"/>
      <c r="E211" s="8"/>
      <c r="F211" s="8"/>
      <c r="G211" s="9"/>
      <c r="H211" s="8"/>
      <c r="I211" s="8"/>
      <c r="J211" s="8"/>
      <c r="K211" s="8"/>
      <c r="L211" s="8"/>
      <c r="M211" s="8"/>
      <c r="N211" s="8"/>
      <c r="O211" s="8"/>
      <c r="P211" s="8"/>
      <c r="Q211" s="8"/>
      <c r="R211" s="8"/>
      <c r="S211" s="8"/>
      <c r="T211" s="8"/>
      <c r="U211" s="12"/>
      <c r="V211" s="12"/>
      <c r="W211" s="12"/>
      <c r="X211" s="12"/>
      <c r="Y211" s="12"/>
      <c r="Z211" s="12"/>
      <c r="AA211" s="12"/>
      <c r="AB211" s="12"/>
      <c r="AC211" s="12"/>
      <c r="AD211" s="12"/>
      <c r="AE211" s="12"/>
      <c r="AF211" s="12"/>
    </row>
    <row r="212" spans="1:32" ht="13.2">
      <c r="A212" s="8"/>
      <c r="B212" s="8"/>
      <c r="C212" s="8"/>
      <c r="D212" s="8"/>
      <c r="E212" s="8"/>
      <c r="F212" s="8"/>
      <c r="G212" s="9"/>
      <c r="H212" s="8"/>
      <c r="I212" s="8"/>
      <c r="J212" s="8"/>
      <c r="K212" s="8"/>
      <c r="L212" s="8"/>
      <c r="M212" s="8"/>
      <c r="N212" s="8"/>
      <c r="O212" s="8"/>
      <c r="P212" s="8"/>
      <c r="Q212" s="8"/>
      <c r="R212" s="8"/>
      <c r="S212" s="8"/>
      <c r="T212" s="8"/>
      <c r="U212" s="12"/>
      <c r="V212" s="12"/>
      <c r="W212" s="12"/>
      <c r="X212" s="12"/>
      <c r="Y212" s="12"/>
      <c r="Z212" s="12"/>
      <c r="AA212" s="12"/>
      <c r="AB212" s="12"/>
      <c r="AC212" s="12"/>
      <c r="AD212" s="12"/>
      <c r="AE212" s="12"/>
      <c r="AF212" s="12"/>
    </row>
    <row r="213" spans="1:32" ht="13.2">
      <c r="A213" s="8"/>
      <c r="B213" s="8"/>
      <c r="C213" s="8"/>
      <c r="D213" s="8"/>
      <c r="E213" s="8"/>
      <c r="F213" s="8"/>
      <c r="G213" s="9"/>
      <c r="H213" s="8"/>
      <c r="I213" s="8"/>
      <c r="J213" s="8"/>
      <c r="K213" s="8"/>
      <c r="L213" s="8"/>
      <c r="M213" s="8"/>
      <c r="N213" s="8"/>
      <c r="O213" s="8"/>
      <c r="P213" s="8"/>
      <c r="Q213" s="8"/>
      <c r="R213" s="8"/>
      <c r="S213" s="8"/>
      <c r="T213" s="8"/>
      <c r="U213" s="12"/>
      <c r="V213" s="12"/>
      <c r="W213" s="12"/>
      <c r="X213" s="12"/>
      <c r="Y213" s="12"/>
      <c r="Z213" s="12"/>
      <c r="AA213" s="12"/>
      <c r="AB213" s="12"/>
      <c r="AC213" s="12"/>
      <c r="AD213" s="12"/>
      <c r="AE213" s="12"/>
      <c r="AF213" s="12"/>
    </row>
    <row r="214" spans="1:32" ht="13.2">
      <c r="A214" s="8"/>
      <c r="B214" s="8"/>
      <c r="C214" s="8"/>
      <c r="D214" s="8"/>
      <c r="E214" s="8"/>
      <c r="F214" s="8"/>
      <c r="G214" s="9"/>
      <c r="H214" s="8"/>
      <c r="I214" s="8"/>
      <c r="J214" s="8"/>
      <c r="K214" s="8"/>
      <c r="L214" s="8"/>
      <c r="M214" s="8"/>
      <c r="N214" s="8"/>
      <c r="O214" s="8"/>
      <c r="P214" s="8"/>
      <c r="Q214" s="8"/>
      <c r="R214" s="8"/>
      <c r="S214" s="8"/>
      <c r="T214" s="8"/>
      <c r="U214" s="12"/>
      <c r="V214" s="12"/>
      <c r="W214" s="12"/>
      <c r="X214" s="12"/>
      <c r="Y214" s="12"/>
      <c r="Z214" s="12"/>
      <c r="AA214" s="12"/>
      <c r="AB214" s="12"/>
      <c r="AC214" s="12"/>
      <c r="AD214" s="12"/>
      <c r="AE214" s="12"/>
      <c r="AF214" s="12"/>
    </row>
    <row r="215" spans="1:32" ht="13.2">
      <c r="A215" s="8"/>
      <c r="B215" s="8"/>
      <c r="C215" s="8"/>
      <c r="D215" s="8"/>
      <c r="E215" s="8"/>
      <c r="F215" s="8"/>
      <c r="G215" s="9"/>
      <c r="H215" s="8"/>
      <c r="I215" s="8"/>
      <c r="J215" s="8"/>
      <c r="K215" s="8"/>
      <c r="L215" s="8"/>
      <c r="M215" s="8"/>
      <c r="N215" s="8"/>
      <c r="O215" s="8"/>
      <c r="P215" s="8"/>
      <c r="Q215" s="8"/>
      <c r="R215" s="8"/>
      <c r="S215" s="8"/>
      <c r="T215" s="8"/>
      <c r="U215" s="12"/>
      <c r="V215" s="12"/>
      <c r="W215" s="12"/>
      <c r="X215" s="12"/>
      <c r="Y215" s="12"/>
      <c r="Z215" s="12"/>
      <c r="AA215" s="12"/>
      <c r="AB215" s="12"/>
      <c r="AC215" s="12"/>
      <c r="AD215" s="12"/>
      <c r="AE215" s="12"/>
      <c r="AF215" s="12"/>
    </row>
    <row r="216" spans="1:32" ht="13.2">
      <c r="A216" s="8"/>
      <c r="B216" s="8"/>
      <c r="C216" s="8"/>
      <c r="D216" s="8"/>
      <c r="E216" s="8"/>
      <c r="F216" s="8"/>
      <c r="G216" s="9"/>
      <c r="H216" s="8"/>
      <c r="I216" s="8"/>
      <c r="J216" s="8"/>
      <c r="K216" s="8"/>
      <c r="L216" s="8"/>
      <c r="M216" s="8"/>
      <c r="N216" s="8"/>
      <c r="O216" s="8"/>
      <c r="P216" s="8"/>
      <c r="Q216" s="8"/>
      <c r="R216" s="8"/>
      <c r="S216" s="8"/>
      <c r="T216" s="8"/>
      <c r="U216" s="12"/>
      <c r="V216" s="12"/>
      <c r="W216" s="12"/>
      <c r="X216" s="12"/>
      <c r="Y216" s="12"/>
      <c r="Z216" s="12"/>
      <c r="AA216" s="12"/>
      <c r="AB216" s="12"/>
      <c r="AC216" s="12"/>
      <c r="AD216" s="12"/>
      <c r="AE216" s="12"/>
      <c r="AF216" s="12"/>
    </row>
    <row r="217" spans="1:32" ht="13.2">
      <c r="A217" s="8"/>
      <c r="B217" s="8"/>
      <c r="C217" s="8"/>
      <c r="D217" s="8"/>
      <c r="E217" s="8"/>
      <c r="F217" s="8"/>
      <c r="G217" s="9"/>
      <c r="H217" s="8"/>
      <c r="I217" s="8"/>
      <c r="J217" s="8"/>
      <c r="K217" s="8"/>
      <c r="L217" s="8"/>
      <c r="M217" s="8"/>
      <c r="N217" s="8"/>
      <c r="O217" s="8"/>
      <c r="P217" s="8"/>
      <c r="Q217" s="8"/>
      <c r="R217" s="8"/>
      <c r="S217" s="8"/>
      <c r="T217" s="8"/>
      <c r="U217" s="12"/>
      <c r="V217" s="12"/>
      <c r="W217" s="12"/>
      <c r="X217" s="12"/>
      <c r="Y217" s="12"/>
      <c r="Z217" s="12"/>
      <c r="AA217" s="12"/>
      <c r="AB217" s="12"/>
      <c r="AC217" s="12"/>
      <c r="AD217" s="12"/>
      <c r="AE217" s="12"/>
      <c r="AF217" s="12"/>
    </row>
    <row r="218" spans="1:32" ht="13.2">
      <c r="A218" s="8"/>
      <c r="B218" s="8"/>
      <c r="C218" s="8"/>
      <c r="D218" s="8"/>
      <c r="E218" s="8"/>
      <c r="F218" s="8"/>
      <c r="G218" s="9"/>
      <c r="H218" s="8"/>
      <c r="I218" s="8"/>
      <c r="J218" s="8"/>
      <c r="K218" s="8"/>
      <c r="L218" s="8"/>
      <c r="M218" s="8"/>
      <c r="N218" s="8"/>
      <c r="O218" s="8"/>
      <c r="P218" s="8"/>
      <c r="Q218" s="8"/>
      <c r="R218" s="8"/>
      <c r="S218" s="8"/>
      <c r="T218" s="8"/>
      <c r="U218" s="12"/>
      <c r="V218" s="12"/>
      <c r="W218" s="12"/>
      <c r="X218" s="12"/>
      <c r="Y218" s="12"/>
      <c r="Z218" s="12"/>
      <c r="AA218" s="12"/>
      <c r="AB218" s="12"/>
      <c r="AC218" s="12"/>
      <c r="AD218" s="12"/>
      <c r="AE218" s="12"/>
      <c r="AF218" s="12"/>
    </row>
    <row r="219" spans="1:32" ht="13.2">
      <c r="A219" s="8"/>
      <c r="B219" s="8"/>
      <c r="C219" s="8"/>
      <c r="D219" s="8"/>
      <c r="E219" s="8"/>
      <c r="F219" s="8"/>
      <c r="G219" s="9"/>
      <c r="H219" s="8"/>
      <c r="I219" s="8"/>
      <c r="J219" s="8"/>
      <c r="K219" s="8"/>
      <c r="L219" s="8"/>
      <c r="M219" s="8"/>
      <c r="N219" s="8"/>
      <c r="O219" s="8"/>
      <c r="P219" s="8"/>
      <c r="Q219" s="8"/>
      <c r="R219" s="8"/>
      <c r="S219" s="8"/>
      <c r="T219" s="8"/>
      <c r="U219" s="12"/>
      <c r="V219" s="12"/>
      <c r="W219" s="12"/>
      <c r="X219" s="12"/>
      <c r="Y219" s="12"/>
      <c r="Z219" s="12"/>
      <c r="AA219" s="12"/>
      <c r="AB219" s="12"/>
      <c r="AC219" s="12"/>
      <c r="AD219" s="12"/>
      <c r="AE219" s="12"/>
      <c r="AF219" s="12"/>
    </row>
    <row r="220" spans="1:32" ht="13.2">
      <c r="A220" s="8"/>
      <c r="B220" s="8"/>
      <c r="C220" s="8"/>
      <c r="D220" s="8"/>
      <c r="E220" s="8"/>
      <c r="F220" s="8"/>
      <c r="G220" s="9"/>
      <c r="H220" s="8"/>
      <c r="I220" s="8"/>
      <c r="J220" s="8"/>
      <c r="K220" s="8"/>
      <c r="L220" s="8"/>
      <c r="M220" s="8"/>
      <c r="N220" s="8"/>
      <c r="O220" s="8"/>
      <c r="P220" s="8"/>
      <c r="Q220" s="8"/>
      <c r="R220" s="8"/>
      <c r="S220" s="8"/>
      <c r="T220" s="8"/>
      <c r="U220" s="12"/>
      <c r="V220" s="12"/>
      <c r="W220" s="12"/>
      <c r="X220" s="12"/>
      <c r="Y220" s="12"/>
      <c r="Z220" s="12"/>
      <c r="AA220" s="12"/>
      <c r="AB220" s="12"/>
      <c r="AC220" s="12"/>
      <c r="AD220" s="12"/>
      <c r="AE220" s="12"/>
      <c r="AF220" s="12"/>
    </row>
    <row r="221" spans="1:32" ht="13.2">
      <c r="A221" s="8"/>
      <c r="B221" s="8"/>
      <c r="C221" s="8"/>
      <c r="D221" s="8"/>
      <c r="E221" s="8"/>
      <c r="F221" s="8"/>
      <c r="G221" s="9"/>
      <c r="H221" s="8"/>
      <c r="I221" s="8"/>
      <c r="J221" s="8"/>
      <c r="K221" s="8"/>
      <c r="L221" s="8"/>
      <c r="M221" s="8"/>
      <c r="N221" s="8"/>
      <c r="O221" s="8"/>
      <c r="P221" s="8"/>
      <c r="Q221" s="8"/>
      <c r="R221" s="8"/>
      <c r="S221" s="8"/>
      <c r="T221" s="8"/>
      <c r="U221" s="12"/>
      <c r="V221" s="12"/>
      <c r="W221" s="12"/>
      <c r="X221" s="12"/>
      <c r="Y221" s="12"/>
      <c r="Z221" s="12"/>
      <c r="AA221" s="12"/>
      <c r="AB221" s="12"/>
      <c r="AC221" s="12"/>
      <c r="AD221" s="12"/>
      <c r="AE221" s="12"/>
      <c r="AF221" s="12"/>
    </row>
    <row r="222" spans="1:32" ht="13.2">
      <c r="A222" s="8"/>
      <c r="B222" s="8"/>
      <c r="C222" s="8"/>
      <c r="D222" s="8"/>
      <c r="E222" s="8"/>
      <c r="F222" s="8"/>
      <c r="G222" s="9"/>
      <c r="H222" s="8"/>
      <c r="I222" s="8"/>
      <c r="J222" s="8"/>
      <c r="K222" s="8"/>
      <c r="L222" s="8"/>
      <c r="M222" s="8"/>
      <c r="N222" s="8"/>
      <c r="O222" s="8"/>
      <c r="P222" s="8"/>
      <c r="Q222" s="8"/>
      <c r="R222" s="8"/>
      <c r="S222" s="8"/>
      <c r="T222" s="8"/>
      <c r="U222" s="12"/>
      <c r="V222" s="12"/>
      <c r="W222" s="12"/>
      <c r="X222" s="12"/>
      <c r="Y222" s="12"/>
      <c r="Z222" s="12"/>
      <c r="AA222" s="12"/>
      <c r="AB222" s="12"/>
      <c r="AC222" s="12"/>
      <c r="AD222" s="12"/>
      <c r="AE222" s="12"/>
      <c r="AF222" s="12"/>
    </row>
    <row r="223" spans="1:32" ht="13.2">
      <c r="A223" s="8"/>
      <c r="B223" s="8"/>
      <c r="C223" s="8"/>
      <c r="D223" s="8"/>
      <c r="E223" s="8"/>
      <c r="F223" s="8"/>
      <c r="G223" s="9"/>
      <c r="H223" s="8"/>
      <c r="I223" s="8"/>
      <c r="J223" s="8"/>
      <c r="K223" s="8"/>
      <c r="L223" s="8"/>
      <c r="M223" s="8"/>
      <c r="N223" s="8"/>
      <c r="O223" s="8"/>
      <c r="P223" s="8"/>
      <c r="Q223" s="8"/>
      <c r="R223" s="8"/>
      <c r="S223" s="8"/>
      <c r="T223" s="8"/>
      <c r="U223" s="12"/>
      <c r="V223" s="12"/>
      <c r="W223" s="12"/>
      <c r="X223" s="12"/>
      <c r="Y223" s="12"/>
      <c r="Z223" s="12"/>
      <c r="AA223" s="12"/>
      <c r="AB223" s="12"/>
      <c r="AC223" s="12"/>
      <c r="AD223" s="12"/>
      <c r="AE223" s="12"/>
      <c r="AF223" s="12"/>
    </row>
    <row r="224" spans="1:32" ht="13.2">
      <c r="A224" s="8"/>
      <c r="B224" s="8"/>
      <c r="C224" s="8"/>
      <c r="D224" s="8"/>
      <c r="E224" s="8"/>
      <c r="F224" s="8"/>
      <c r="G224" s="9"/>
      <c r="H224" s="8"/>
      <c r="I224" s="8"/>
      <c r="J224" s="8"/>
      <c r="K224" s="8"/>
      <c r="L224" s="8"/>
      <c r="M224" s="8"/>
      <c r="N224" s="8"/>
      <c r="O224" s="8"/>
      <c r="P224" s="8"/>
      <c r="Q224" s="8"/>
      <c r="R224" s="8"/>
      <c r="S224" s="8"/>
      <c r="T224" s="8"/>
      <c r="U224" s="12"/>
      <c r="V224" s="12"/>
      <c r="W224" s="12"/>
      <c r="X224" s="12"/>
      <c r="Y224" s="12"/>
      <c r="Z224" s="12"/>
      <c r="AA224" s="12"/>
      <c r="AB224" s="12"/>
      <c r="AC224" s="12"/>
      <c r="AD224" s="12"/>
      <c r="AE224" s="12"/>
      <c r="AF224" s="12"/>
    </row>
    <row r="225" spans="1:32" ht="13.2">
      <c r="A225" s="8"/>
      <c r="B225" s="8"/>
      <c r="C225" s="8"/>
      <c r="D225" s="8"/>
      <c r="E225" s="8"/>
      <c r="F225" s="8"/>
      <c r="G225" s="9"/>
      <c r="H225" s="8"/>
      <c r="I225" s="8"/>
      <c r="J225" s="8"/>
      <c r="K225" s="8"/>
      <c r="L225" s="8"/>
      <c r="M225" s="8"/>
      <c r="N225" s="8"/>
      <c r="O225" s="8"/>
      <c r="P225" s="8"/>
      <c r="Q225" s="8"/>
      <c r="R225" s="8"/>
      <c r="S225" s="8"/>
      <c r="T225" s="8"/>
      <c r="U225" s="12"/>
      <c r="V225" s="12"/>
      <c r="W225" s="12"/>
      <c r="X225" s="12"/>
      <c r="Y225" s="12"/>
      <c r="Z225" s="12"/>
      <c r="AA225" s="12"/>
      <c r="AB225" s="12"/>
      <c r="AC225" s="12"/>
      <c r="AD225" s="12"/>
      <c r="AE225" s="12"/>
      <c r="AF225" s="12"/>
    </row>
    <row r="226" spans="1:32" ht="13.2">
      <c r="A226" s="8"/>
      <c r="B226" s="8"/>
      <c r="C226" s="8"/>
      <c r="D226" s="8"/>
      <c r="E226" s="8"/>
      <c r="F226" s="8"/>
      <c r="G226" s="9"/>
      <c r="H226" s="8"/>
      <c r="I226" s="8"/>
      <c r="J226" s="8"/>
      <c r="K226" s="8"/>
      <c r="L226" s="8"/>
      <c r="M226" s="8"/>
      <c r="N226" s="8"/>
      <c r="O226" s="8"/>
      <c r="P226" s="8"/>
      <c r="Q226" s="8"/>
      <c r="R226" s="8"/>
      <c r="S226" s="8"/>
      <c r="T226" s="8"/>
      <c r="U226" s="12"/>
      <c r="V226" s="12"/>
      <c r="W226" s="12"/>
      <c r="X226" s="12"/>
      <c r="Y226" s="12"/>
      <c r="Z226" s="12"/>
      <c r="AA226" s="12"/>
      <c r="AB226" s="12"/>
      <c r="AC226" s="12"/>
      <c r="AD226" s="12"/>
      <c r="AE226" s="12"/>
      <c r="AF226" s="12"/>
    </row>
    <row r="227" spans="1:32" ht="13.2">
      <c r="A227" s="8"/>
      <c r="B227" s="8"/>
      <c r="C227" s="8"/>
      <c r="D227" s="8"/>
      <c r="E227" s="8"/>
      <c r="F227" s="8"/>
      <c r="G227" s="9"/>
      <c r="H227" s="8"/>
      <c r="I227" s="8"/>
      <c r="J227" s="8"/>
      <c r="K227" s="8"/>
      <c r="L227" s="8"/>
      <c r="M227" s="8"/>
      <c r="N227" s="8"/>
      <c r="O227" s="8"/>
      <c r="P227" s="8"/>
      <c r="Q227" s="8"/>
      <c r="R227" s="8"/>
      <c r="S227" s="8"/>
      <c r="T227" s="8"/>
      <c r="U227" s="12"/>
      <c r="V227" s="12"/>
      <c r="W227" s="12"/>
      <c r="X227" s="12"/>
      <c r="Y227" s="12"/>
      <c r="Z227" s="12"/>
      <c r="AA227" s="12"/>
      <c r="AB227" s="12"/>
      <c r="AC227" s="12"/>
      <c r="AD227" s="12"/>
      <c r="AE227" s="12"/>
      <c r="AF227" s="12"/>
    </row>
    <row r="228" spans="1:32" ht="13.2">
      <c r="A228" s="8"/>
      <c r="B228" s="8"/>
      <c r="C228" s="8"/>
      <c r="D228" s="8"/>
      <c r="E228" s="8"/>
      <c r="F228" s="8"/>
      <c r="G228" s="9"/>
      <c r="H228" s="8"/>
      <c r="I228" s="8"/>
      <c r="J228" s="8"/>
      <c r="K228" s="8"/>
      <c r="L228" s="8"/>
      <c r="M228" s="8"/>
      <c r="N228" s="8"/>
      <c r="O228" s="8"/>
      <c r="P228" s="8"/>
      <c r="Q228" s="8"/>
      <c r="R228" s="8"/>
      <c r="S228" s="8"/>
      <c r="T228" s="8"/>
      <c r="U228" s="12"/>
      <c r="V228" s="12"/>
      <c r="W228" s="12"/>
      <c r="X228" s="12"/>
      <c r="Y228" s="12"/>
      <c r="Z228" s="12"/>
      <c r="AA228" s="12"/>
      <c r="AB228" s="12"/>
      <c r="AC228" s="12"/>
      <c r="AD228" s="12"/>
      <c r="AE228" s="12"/>
      <c r="AF228" s="12"/>
    </row>
    <row r="229" spans="1:32" ht="13.2">
      <c r="A229" s="8"/>
      <c r="B229" s="8"/>
      <c r="C229" s="8"/>
      <c r="D229" s="8"/>
      <c r="E229" s="8"/>
      <c r="F229" s="8"/>
      <c r="G229" s="9"/>
      <c r="H229" s="8"/>
      <c r="I229" s="8"/>
      <c r="J229" s="8"/>
      <c r="K229" s="8"/>
      <c r="L229" s="8"/>
      <c r="M229" s="8"/>
      <c r="N229" s="8"/>
      <c r="O229" s="8"/>
      <c r="P229" s="8"/>
      <c r="Q229" s="8"/>
      <c r="R229" s="8"/>
      <c r="S229" s="8"/>
      <c r="T229" s="8"/>
      <c r="U229" s="12"/>
      <c r="V229" s="12"/>
      <c r="W229" s="12"/>
      <c r="X229" s="12"/>
      <c r="Y229" s="12"/>
      <c r="Z229" s="12"/>
      <c r="AA229" s="12"/>
      <c r="AB229" s="12"/>
      <c r="AC229" s="12"/>
      <c r="AD229" s="12"/>
      <c r="AE229" s="12"/>
      <c r="AF229" s="12"/>
    </row>
    <row r="230" spans="1:32" ht="13.2">
      <c r="A230" s="8"/>
      <c r="B230" s="8"/>
      <c r="C230" s="8"/>
      <c r="D230" s="8"/>
      <c r="E230" s="8"/>
      <c r="F230" s="8"/>
      <c r="G230" s="9"/>
      <c r="H230" s="8"/>
      <c r="I230" s="8"/>
      <c r="J230" s="8"/>
      <c r="K230" s="8"/>
      <c r="L230" s="8"/>
      <c r="M230" s="8"/>
      <c r="N230" s="8"/>
      <c r="O230" s="8"/>
      <c r="P230" s="8"/>
      <c r="Q230" s="8"/>
      <c r="R230" s="8"/>
      <c r="S230" s="8"/>
      <c r="T230" s="8"/>
      <c r="U230" s="12"/>
      <c r="V230" s="12"/>
      <c r="W230" s="12"/>
      <c r="X230" s="12"/>
      <c r="Y230" s="12"/>
      <c r="Z230" s="12"/>
      <c r="AA230" s="12"/>
      <c r="AB230" s="12"/>
      <c r="AC230" s="12"/>
      <c r="AD230" s="12"/>
      <c r="AE230" s="12"/>
      <c r="AF230" s="12"/>
    </row>
    <row r="231" spans="1:32" ht="13.2">
      <c r="A231" s="8"/>
      <c r="B231" s="8"/>
      <c r="C231" s="8"/>
      <c r="D231" s="8"/>
      <c r="E231" s="8"/>
      <c r="F231" s="8"/>
      <c r="G231" s="9"/>
      <c r="H231" s="8"/>
      <c r="I231" s="8"/>
      <c r="J231" s="8"/>
      <c r="K231" s="8"/>
      <c r="L231" s="8"/>
      <c r="M231" s="8"/>
      <c r="N231" s="8"/>
      <c r="O231" s="8"/>
      <c r="P231" s="8"/>
      <c r="Q231" s="8"/>
      <c r="R231" s="8"/>
      <c r="S231" s="8"/>
      <c r="T231" s="8"/>
      <c r="U231" s="12"/>
      <c r="V231" s="12"/>
      <c r="W231" s="12"/>
      <c r="X231" s="12"/>
      <c r="Y231" s="12"/>
      <c r="Z231" s="12"/>
      <c r="AA231" s="12"/>
      <c r="AB231" s="12"/>
      <c r="AC231" s="12"/>
      <c r="AD231" s="12"/>
      <c r="AE231" s="12"/>
      <c r="AF231" s="12"/>
    </row>
    <row r="232" spans="1:32" ht="13.2">
      <c r="A232" s="8"/>
      <c r="B232" s="8"/>
      <c r="C232" s="8"/>
      <c r="D232" s="8"/>
      <c r="E232" s="8"/>
      <c r="F232" s="8"/>
      <c r="G232" s="9"/>
      <c r="H232" s="8"/>
      <c r="I232" s="8"/>
      <c r="J232" s="8"/>
      <c r="K232" s="8"/>
      <c r="L232" s="8"/>
      <c r="M232" s="8"/>
      <c r="N232" s="8"/>
      <c r="O232" s="8"/>
      <c r="P232" s="8"/>
      <c r="Q232" s="8"/>
      <c r="R232" s="8"/>
      <c r="S232" s="8"/>
      <c r="T232" s="8"/>
      <c r="U232" s="12"/>
      <c r="V232" s="12"/>
      <c r="W232" s="12"/>
      <c r="X232" s="12"/>
      <c r="Y232" s="12"/>
      <c r="Z232" s="12"/>
      <c r="AA232" s="12"/>
      <c r="AB232" s="12"/>
      <c r="AC232" s="12"/>
      <c r="AD232" s="12"/>
      <c r="AE232" s="12"/>
      <c r="AF232" s="12"/>
    </row>
    <row r="233" spans="1:32" ht="13.2">
      <c r="A233" s="8"/>
      <c r="B233" s="8"/>
      <c r="C233" s="8"/>
      <c r="D233" s="8"/>
      <c r="E233" s="8"/>
      <c r="F233" s="8"/>
      <c r="G233" s="9"/>
      <c r="H233" s="8"/>
      <c r="I233" s="8"/>
      <c r="J233" s="8"/>
      <c r="K233" s="8"/>
      <c r="L233" s="8"/>
      <c r="M233" s="8"/>
      <c r="N233" s="8"/>
      <c r="O233" s="8"/>
      <c r="P233" s="8"/>
      <c r="Q233" s="8"/>
      <c r="R233" s="8"/>
      <c r="S233" s="8"/>
      <c r="T233" s="8"/>
      <c r="U233" s="12"/>
      <c r="V233" s="12"/>
      <c r="W233" s="12"/>
      <c r="X233" s="12"/>
      <c r="Y233" s="12"/>
      <c r="Z233" s="12"/>
      <c r="AA233" s="12"/>
      <c r="AB233" s="12"/>
      <c r="AC233" s="12"/>
      <c r="AD233" s="12"/>
      <c r="AE233" s="12"/>
      <c r="AF233" s="12"/>
    </row>
    <row r="234" spans="1:32" ht="13.2">
      <c r="A234" s="8"/>
      <c r="B234" s="8"/>
      <c r="C234" s="8"/>
      <c r="D234" s="8"/>
      <c r="E234" s="8"/>
      <c r="F234" s="8"/>
      <c r="G234" s="9"/>
      <c r="H234" s="8"/>
      <c r="I234" s="8"/>
      <c r="J234" s="8"/>
      <c r="K234" s="8"/>
      <c r="L234" s="8"/>
      <c r="M234" s="8"/>
      <c r="N234" s="8"/>
      <c r="O234" s="8"/>
      <c r="P234" s="8"/>
      <c r="Q234" s="8"/>
      <c r="R234" s="8"/>
      <c r="S234" s="8"/>
      <c r="T234" s="8"/>
      <c r="U234" s="12"/>
      <c r="V234" s="12"/>
      <c r="W234" s="12"/>
      <c r="X234" s="12"/>
      <c r="Y234" s="12"/>
      <c r="Z234" s="12"/>
      <c r="AA234" s="12"/>
      <c r="AB234" s="12"/>
      <c r="AC234" s="12"/>
      <c r="AD234" s="12"/>
      <c r="AE234" s="12"/>
      <c r="AF234" s="12"/>
    </row>
    <row r="235" spans="1:32" ht="13.2">
      <c r="A235" s="8"/>
      <c r="B235" s="8"/>
      <c r="C235" s="8"/>
      <c r="D235" s="8"/>
      <c r="E235" s="8"/>
      <c r="F235" s="8"/>
      <c r="G235" s="9"/>
      <c r="H235" s="8"/>
      <c r="I235" s="8"/>
      <c r="J235" s="8"/>
      <c r="K235" s="8"/>
      <c r="L235" s="8"/>
      <c r="M235" s="8"/>
      <c r="N235" s="8"/>
      <c r="O235" s="8"/>
      <c r="P235" s="8"/>
      <c r="Q235" s="8"/>
      <c r="R235" s="8"/>
      <c r="S235" s="8"/>
      <c r="T235" s="8"/>
      <c r="U235" s="12"/>
      <c r="V235" s="12"/>
      <c r="W235" s="12"/>
      <c r="X235" s="12"/>
      <c r="Y235" s="12"/>
      <c r="Z235" s="12"/>
      <c r="AA235" s="12"/>
      <c r="AB235" s="12"/>
      <c r="AC235" s="12"/>
      <c r="AD235" s="12"/>
      <c r="AE235" s="12"/>
      <c r="AF235" s="12"/>
    </row>
    <row r="236" spans="1:32" ht="13.2">
      <c r="A236" s="8"/>
      <c r="B236" s="8"/>
      <c r="C236" s="8"/>
      <c r="D236" s="8"/>
      <c r="E236" s="8"/>
      <c r="F236" s="8"/>
      <c r="G236" s="9"/>
      <c r="H236" s="8"/>
      <c r="I236" s="8"/>
      <c r="J236" s="8"/>
      <c r="K236" s="8"/>
      <c r="L236" s="8"/>
      <c r="M236" s="8"/>
      <c r="N236" s="8"/>
      <c r="O236" s="8"/>
      <c r="P236" s="8"/>
      <c r="Q236" s="8"/>
      <c r="R236" s="8"/>
      <c r="S236" s="8"/>
      <c r="T236" s="8"/>
      <c r="U236" s="12"/>
      <c r="V236" s="12"/>
      <c r="W236" s="12"/>
      <c r="X236" s="12"/>
      <c r="Y236" s="12"/>
      <c r="Z236" s="12"/>
      <c r="AA236" s="12"/>
      <c r="AB236" s="12"/>
      <c r="AC236" s="12"/>
      <c r="AD236" s="12"/>
      <c r="AE236" s="12"/>
      <c r="AF236" s="12"/>
    </row>
    <row r="237" spans="1:32" ht="13.2">
      <c r="A237" s="8"/>
      <c r="B237" s="8"/>
      <c r="C237" s="8"/>
      <c r="D237" s="8"/>
      <c r="E237" s="8"/>
      <c r="F237" s="8"/>
      <c r="G237" s="9"/>
      <c r="H237" s="8"/>
      <c r="I237" s="8"/>
      <c r="J237" s="8"/>
      <c r="K237" s="8"/>
      <c r="L237" s="8"/>
      <c r="M237" s="8"/>
      <c r="N237" s="8"/>
      <c r="O237" s="8"/>
      <c r="P237" s="8"/>
      <c r="Q237" s="8"/>
      <c r="R237" s="8"/>
      <c r="S237" s="8"/>
      <c r="T237" s="8"/>
      <c r="U237" s="12"/>
      <c r="V237" s="12"/>
      <c r="W237" s="12"/>
      <c r="X237" s="12"/>
      <c r="Y237" s="12"/>
      <c r="Z237" s="12"/>
      <c r="AA237" s="12"/>
      <c r="AB237" s="12"/>
      <c r="AC237" s="12"/>
      <c r="AD237" s="12"/>
      <c r="AE237" s="12"/>
      <c r="AF237" s="12"/>
    </row>
    <row r="238" spans="1:32" ht="13.2">
      <c r="A238" s="8"/>
      <c r="B238" s="8"/>
      <c r="C238" s="8"/>
      <c r="D238" s="8"/>
      <c r="E238" s="8"/>
      <c r="F238" s="8"/>
      <c r="G238" s="9"/>
      <c r="H238" s="8"/>
      <c r="I238" s="8"/>
      <c r="J238" s="8"/>
      <c r="K238" s="8"/>
      <c r="L238" s="8"/>
      <c r="M238" s="8"/>
      <c r="N238" s="8"/>
      <c r="O238" s="8"/>
      <c r="P238" s="8"/>
      <c r="Q238" s="8"/>
      <c r="R238" s="8"/>
      <c r="S238" s="8"/>
      <c r="T238" s="8"/>
      <c r="U238" s="12"/>
      <c r="V238" s="12"/>
      <c r="W238" s="12"/>
      <c r="X238" s="12"/>
      <c r="Y238" s="12"/>
      <c r="Z238" s="12"/>
      <c r="AA238" s="12"/>
      <c r="AB238" s="12"/>
      <c r="AC238" s="12"/>
      <c r="AD238" s="12"/>
      <c r="AE238" s="12"/>
      <c r="AF238" s="12"/>
    </row>
    <row r="239" spans="1:32" ht="13.2">
      <c r="A239" s="8"/>
      <c r="B239" s="8"/>
      <c r="C239" s="8"/>
      <c r="D239" s="8"/>
      <c r="E239" s="8"/>
      <c r="F239" s="8"/>
      <c r="G239" s="9"/>
      <c r="H239" s="8"/>
      <c r="I239" s="8"/>
      <c r="J239" s="8"/>
      <c r="K239" s="8"/>
      <c r="L239" s="8"/>
      <c r="M239" s="8"/>
      <c r="N239" s="8"/>
      <c r="O239" s="8"/>
      <c r="P239" s="8"/>
      <c r="Q239" s="8"/>
      <c r="R239" s="8"/>
      <c r="S239" s="8"/>
      <c r="T239" s="8"/>
      <c r="U239" s="12"/>
      <c r="V239" s="12"/>
      <c r="W239" s="12"/>
      <c r="X239" s="12"/>
      <c r="Y239" s="12"/>
      <c r="Z239" s="12"/>
      <c r="AA239" s="12"/>
      <c r="AB239" s="12"/>
      <c r="AC239" s="12"/>
      <c r="AD239" s="12"/>
      <c r="AE239" s="12"/>
      <c r="AF239" s="12"/>
    </row>
    <row r="240" spans="1:32" ht="13.2">
      <c r="A240" s="8"/>
      <c r="B240" s="8"/>
      <c r="C240" s="8"/>
      <c r="D240" s="8"/>
      <c r="E240" s="8"/>
      <c r="F240" s="8"/>
      <c r="G240" s="9"/>
      <c r="H240" s="8"/>
      <c r="I240" s="8"/>
      <c r="J240" s="8"/>
      <c r="K240" s="8"/>
      <c r="L240" s="8"/>
      <c r="M240" s="8"/>
      <c r="N240" s="8"/>
      <c r="O240" s="8"/>
      <c r="P240" s="8"/>
      <c r="Q240" s="8"/>
      <c r="R240" s="8"/>
      <c r="S240" s="8"/>
      <c r="T240" s="8"/>
      <c r="U240" s="12"/>
      <c r="V240" s="12"/>
      <c r="W240" s="12"/>
      <c r="X240" s="12"/>
      <c r="Y240" s="12"/>
      <c r="Z240" s="12"/>
      <c r="AA240" s="12"/>
      <c r="AB240" s="12"/>
      <c r="AC240" s="12"/>
      <c r="AD240" s="12"/>
      <c r="AE240" s="12"/>
      <c r="AF240" s="12"/>
    </row>
    <row r="241" spans="1:32" ht="13.2">
      <c r="A241" s="8"/>
      <c r="B241" s="8"/>
      <c r="C241" s="8"/>
      <c r="D241" s="8"/>
      <c r="E241" s="8"/>
      <c r="F241" s="8"/>
      <c r="G241" s="9"/>
      <c r="H241" s="8"/>
      <c r="I241" s="8"/>
      <c r="J241" s="8"/>
      <c r="K241" s="8"/>
      <c r="L241" s="8"/>
      <c r="M241" s="8"/>
      <c r="N241" s="8"/>
      <c r="O241" s="8"/>
      <c r="P241" s="8"/>
      <c r="Q241" s="8"/>
      <c r="R241" s="8"/>
      <c r="S241" s="8"/>
      <c r="T241" s="8"/>
      <c r="U241" s="12"/>
      <c r="V241" s="12"/>
      <c r="W241" s="12"/>
      <c r="X241" s="12"/>
      <c r="Y241" s="12"/>
      <c r="Z241" s="12"/>
      <c r="AA241" s="12"/>
      <c r="AB241" s="12"/>
      <c r="AC241" s="12"/>
      <c r="AD241" s="12"/>
      <c r="AE241" s="12"/>
      <c r="AF241" s="12"/>
    </row>
    <row r="242" spans="1:32" ht="13.2">
      <c r="A242" s="8"/>
      <c r="B242" s="8"/>
      <c r="C242" s="8"/>
      <c r="D242" s="8"/>
      <c r="E242" s="8"/>
      <c r="F242" s="8"/>
      <c r="G242" s="9"/>
      <c r="H242" s="8"/>
      <c r="I242" s="8"/>
      <c r="J242" s="8"/>
      <c r="K242" s="8"/>
      <c r="L242" s="8"/>
      <c r="M242" s="8"/>
      <c r="N242" s="8"/>
      <c r="O242" s="8"/>
      <c r="P242" s="8"/>
      <c r="Q242" s="8"/>
      <c r="R242" s="8"/>
      <c r="S242" s="8"/>
      <c r="T242" s="8"/>
      <c r="U242" s="12"/>
      <c r="V242" s="12"/>
      <c r="W242" s="12"/>
      <c r="X242" s="12"/>
      <c r="Y242" s="12"/>
      <c r="Z242" s="12"/>
      <c r="AA242" s="12"/>
      <c r="AB242" s="12"/>
      <c r="AC242" s="12"/>
      <c r="AD242" s="12"/>
      <c r="AE242" s="12"/>
      <c r="AF242" s="12"/>
    </row>
    <row r="243" spans="1:32" ht="13.2">
      <c r="A243" s="8"/>
      <c r="B243" s="8"/>
      <c r="C243" s="8"/>
      <c r="D243" s="8"/>
      <c r="E243" s="8"/>
      <c r="F243" s="8"/>
      <c r="G243" s="9"/>
      <c r="H243" s="8"/>
      <c r="I243" s="8"/>
      <c r="J243" s="8"/>
      <c r="K243" s="8"/>
      <c r="L243" s="8"/>
      <c r="M243" s="8"/>
      <c r="N243" s="8"/>
      <c r="O243" s="8"/>
      <c r="P243" s="8"/>
      <c r="Q243" s="8"/>
      <c r="R243" s="8"/>
      <c r="S243" s="8"/>
      <c r="T243" s="8"/>
      <c r="U243" s="12"/>
      <c r="V243" s="12"/>
      <c r="W243" s="12"/>
      <c r="X243" s="12"/>
      <c r="Y243" s="12"/>
      <c r="Z243" s="12"/>
      <c r="AA243" s="12"/>
      <c r="AB243" s="12"/>
      <c r="AC243" s="12"/>
      <c r="AD243" s="12"/>
      <c r="AE243" s="12"/>
      <c r="AF243" s="12"/>
    </row>
    <row r="244" spans="1:32" ht="13.2">
      <c r="A244" s="8"/>
      <c r="B244" s="8"/>
      <c r="C244" s="8"/>
      <c r="D244" s="8"/>
      <c r="E244" s="8"/>
      <c r="F244" s="8"/>
      <c r="G244" s="9"/>
      <c r="H244" s="8"/>
      <c r="I244" s="8"/>
      <c r="J244" s="8"/>
      <c r="K244" s="8"/>
      <c r="L244" s="8"/>
      <c r="M244" s="8"/>
      <c r="N244" s="8"/>
      <c r="O244" s="8"/>
      <c r="P244" s="8"/>
      <c r="Q244" s="8"/>
      <c r="R244" s="8"/>
      <c r="S244" s="8"/>
      <c r="T244" s="8"/>
      <c r="U244" s="12"/>
      <c r="V244" s="12"/>
      <c r="W244" s="12"/>
      <c r="X244" s="12"/>
      <c r="Y244" s="12"/>
      <c r="Z244" s="12"/>
      <c r="AA244" s="12"/>
      <c r="AB244" s="12"/>
      <c r="AC244" s="12"/>
      <c r="AD244" s="12"/>
      <c r="AE244" s="12"/>
      <c r="AF244" s="12"/>
    </row>
    <row r="245" spans="1:32" ht="13.2">
      <c r="A245" s="8"/>
      <c r="B245" s="8"/>
      <c r="C245" s="8"/>
      <c r="D245" s="8"/>
      <c r="E245" s="8"/>
      <c r="F245" s="8"/>
      <c r="G245" s="9"/>
      <c r="H245" s="8"/>
      <c r="I245" s="8"/>
      <c r="J245" s="8"/>
      <c r="K245" s="8"/>
      <c r="L245" s="8"/>
      <c r="M245" s="8"/>
      <c r="N245" s="8"/>
      <c r="O245" s="8"/>
      <c r="P245" s="8"/>
      <c r="Q245" s="8"/>
      <c r="R245" s="8"/>
      <c r="S245" s="8"/>
      <c r="T245" s="8"/>
      <c r="U245" s="12"/>
      <c r="V245" s="12"/>
      <c r="W245" s="12"/>
      <c r="X245" s="12"/>
      <c r="Y245" s="12"/>
      <c r="Z245" s="12"/>
      <c r="AA245" s="12"/>
      <c r="AB245" s="12"/>
      <c r="AC245" s="12"/>
      <c r="AD245" s="12"/>
      <c r="AE245" s="12"/>
      <c r="AF245" s="12"/>
    </row>
    <row r="246" spans="1:32" ht="13.2">
      <c r="A246" s="8"/>
      <c r="B246" s="8"/>
      <c r="C246" s="8"/>
      <c r="D246" s="8"/>
      <c r="E246" s="8"/>
      <c r="F246" s="8"/>
      <c r="G246" s="9"/>
      <c r="H246" s="8"/>
      <c r="I246" s="8"/>
      <c r="J246" s="8"/>
      <c r="K246" s="8"/>
      <c r="L246" s="8"/>
      <c r="M246" s="8"/>
      <c r="N246" s="8"/>
      <c r="O246" s="8"/>
      <c r="P246" s="8"/>
      <c r="Q246" s="8"/>
      <c r="R246" s="8"/>
      <c r="S246" s="8"/>
      <c r="T246" s="8"/>
      <c r="U246" s="12"/>
      <c r="V246" s="12"/>
      <c r="W246" s="12"/>
      <c r="X246" s="12"/>
      <c r="Y246" s="12"/>
      <c r="Z246" s="12"/>
      <c r="AA246" s="12"/>
      <c r="AB246" s="12"/>
      <c r="AC246" s="12"/>
      <c r="AD246" s="12"/>
      <c r="AE246" s="12"/>
      <c r="AF246" s="12"/>
    </row>
    <row r="247" spans="1:32" ht="13.2">
      <c r="A247" s="8"/>
      <c r="B247" s="8"/>
      <c r="C247" s="8"/>
      <c r="D247" s="8"/>
      <c r="E247" s="8"/>
      <c r="F247" s="8"/>
      <c r="G247" s="9"/>
      <c r="H247" s="8"/>
      <c r="I247" s="8"/>
      <c r="J247" s="8"/>
      <c r="K247" s="8"/>
      <c r="L247" s="8"/>
      <c r="M247" s="8"/>
      <c r="N247" s="8"/>
      <c r="O247" s="8"/>
      <c r="P247" s="8"/>
      <c r="Q247" s="8"/>
      <c r="R247" s="8"/>
      <c r="S247" s="8"/>
      <c r="T247" s="8"/>
      <c r="U247" s="12"/>
      <c r="V247" s="12"/>
      <c r="W247" s="12"/>
      <c r="X247" s="12"/>
      <c r="Y247" s="12"/>
      <c r="Z247" s="12"/>
      <c r="AA247" s="12"/>
      <c r="AB247" s="12"/>
      <c r="AC247" s="12"/>
      <c r="AD247" s="12"/>
      <c r="AE247" s="12"/>
      <c r="AF247" s="12"/>
    </row>
    <row r="248" spans="1:32" ht="13.2">
      <c r="A248" s="8"/>
      <c r="B248" s="8"/>
      <c r="C248" s="8"/>
      <c r="D248" s="8"/>
      <c r="E248" s="8"/>
      <c r="F248" s="8"/>
      <c r="G248" s="9"/>
      <c r="H248" s="8"/>
      <c r="I248" s="8"/>
      <c r="J248" s="8"/>
      <c r="K248" s="8"/>
      <c r="L248" s="8"/>
      <c r="M248" s="8"/>
      <c r="N248" s="8"/>
      <c r="O248" s="8"/>
      <c r="P248" s="8"/>
      <c r="Q248" s="8"/>
      <c r="R248" s="8"/>
      <c r="S248" s="8"/>
      <c r="T248" s="8"/>
      <c r="U248" s="12"/>
      <c r="V248" s="12"/>
      <c r="W248" s="12"/>
      <c r="X248" s="12"/>
      <c r="Y248" s="12"/>
      <c r="Z248" s="12"/>
      <c r="AA248" s="12"/>
      <c r="AB248" s="12"/>
      <c r="AC248" s="12"/>
      <c r="AD248" s="12"/>
      <c r="AE248" s="12"/>
      <c r="AF248" s="12"/>
    </row>
    <row r="249" spans="1:32" ht="13.2">
      <c r="A249" s="8"/>
      <c r="B249" s="8"/>
      <c r="C249" s="8"/>
      <c r="D249" s="8"/>
      <c r="E249" s="8"/>
      <c r="F249" s="8"/>
      <c r="G249" s="9"/>
      <c r="H249" s="8"/>
      <c r="I249" s="8"/>
      <c r="J249" s="8"/>
      <c r="K249" s="8"/>
      <c r="L249" s="8"/>
      <c r="M249" s="8"/>
      <c r="N249" s="8"/>
      <c r="O249" s="8"/>
      <c r="P249" s="8"/>
      <c r="Q249" s="8"/>
      <c r="R249" s="8"/>
      <c r="S249" s="8"/>
      <c r="T249" s="8"/>
      <c r="U249" s="12"/>
      <c r="V249" s="12"/>
      <c r="W249" s="12"/>
      <c r="X249" s="12"/>
      <c r="Y249" s="12"/>
      <c r="Z249" s="12"/>
      <c r="AA249" s="12"/>
      <c r="AB249" s="12"/>
      <c r="AC249" s="12"/>
      <c r="AD249" s="12"/>
      <c r="AE249" s="12"/>
      <c r="AF249" s="12"/>
    </row>
    <row r="250" spans="1:32" ht="13.2">
      <c r="A250" s="8"/>
      <c r="B250" s="8"/>
      <c r="C250" s="8"/>
      <c r="D250" s="8"/>
      <c r="E250" s="8"/>
      <c r="F250" s="8"/>
      <c r="G250" s="9"/>
      <c r="H250" s="8"/>
      <c r="I250" s="8"/>
      <c r="J250" s="8"/>
      <c r="K250" s="8"/>
      <c r="L250" s="8"/>
      <c r="M250" s="8"/>
      <c r="N250" s="8"/>
      <c r="O250" s="8"/>
      <c r="P250" s="8"/>
      <c r="Q250" s="8"/>
      <c r="R250" s="8"/>
      <c r="S250" s="8"/>
      <c r="T250" s="8"/>
      <c r="U250" s="12"/>
      <c r="V250" s="12"/>
      <c r="W250" s="12"/>
      <c r="X250" s="12"/>
      <c r="Y250" s="12"/>
      <c r="Z250" s="12"/>
      <c r="AA250" s="12"/>
      <c r="AB250" s="12"/>
      <c r="AC250" s="12"/>
      <c r="AD250" s="12"/>
      <c r="AE250" s="12"/>
      <c r="AF250" s="12"/>
    </row>
    <row r="251" spans="1:32" ht="13.2">
      <c r="A251" s="8"/>
      <c r="B251" s="8"/>
      <c r="C251" s="8"/>
      <c r="D251" s="8"/>
      <c r="E251" s="8"/>
      <c r="F251" s="8"/>
      <c r="G251" s="9"/>
      <c r="H251" s="8"/>
      <c r="I251" s="8"/>
      <c r="J251" s="8"/>
      <c r="K251" s="8"/>
      <c r="L251" s="8"/>
      <c r="M251" s="8"/>
      <c r="N251" s="8"/>
      <c r="O251" s="8"/>
      <c r="P251" s="8"/>
      <c r="Q251" s="8"/>
      <c r="R251" s="8"/>
      <c r="S251" s="8"/>
      <c r="T251" s="8"/>
      <c r="U251" s="12"/>
      <c r="V251" s="12"/>
      <c r="W251" s="12"/>
      <c r="X251" s="12"/>
      <c r="Y251" s="12"/>
      <c r="Z251" s="12"/>
      <c r="AA251" s="12"/>
      <c r="AB251" s="12"/>
      <c r="AC251" s="12"/>
      <c r="AD251" s="12"/>
      <c r="AE251" s="12"/>
      <c r="AF251" s="12"/>
    </row>
    <row r="252" spans="1:32" ht="13.2">
      <c r="A252" s="8"/>
      <c r="B252" s="8"/>
      <c r="C252" s="8"/>
      <c r="D252" s="8"/>
      <c r="E252" s="8"/>
      <c r="F252" s="8"/>
      <c r="G252" s="9"/>
      <c r="H252" s="8"/>
      <c r="I252" s="8"/>
      <c r="J252" s="8"/>
      <c r="K252" s="8"/>
      <c r="L252" s="8"/>
      <c r="M252" s="8"/>
      <c r="N252" s="8"/>
      <c r="O252" s="8"/>
      <c r="P252" s="8"/>
      <c r="Q252" s="8"/>
      <c r="R252" s="8"/>
      <c r="S252" s="8"/>
      <c r="T252" s="8"/>
      <c r="U252" s="12"/>
      <c r="V252" s="12"/>
      <c r="W252" s="12"/>
      <c r="X252" s="12"/>
      <c r="Y252" s="12"/>
      <c r="Z252" s="12"/>
      <c r="AA252" s="12"/>
      <c r="AB252" s="12"/>
      <c r="AC252" s="12"/>
      <c r="AD252" s="12"/>
      <c r="AE252" s="12"/>
      <c r="AF252" s="12"/>
    </row>
    <row r="253" spans="1:32" ht="13.2">
      <c r="A253" s="8"/>
      <c r="B253" s="8"/>
      <c r="C253" s="8"/>
      <c r="D253" s="8"/>
      <c r="E253" s="8"/>
      <c r="F253" s="8"/>
      <c r="G253" s="9"/>
      <c r="H253" s="8"/>
      <c r="I253" s="8"/>
      <c r="J253" s="8"/>
      <c r="K253" s="8"/>
      <c r="L253" s="8"/>
      <c r="M253" s="8"/>
      <c r="N253" s="8"/>
      <c r="O253" s="8"/>
      <c r="P253" s="8"/>
      <c r="Q253" s="8"/>
      <c r="R253" s="8"/>
      <c r="S253" s="8"/>
      <c r="T253" s="8"/>
      <c r="U253" s="12"/>
      <c r="V253" s="12"/>
      <c r="W253" s="12"/>
      <c r="X253" s="12"/>
      <c r="Y253" s="12"/>
      <c r="Z253" s="12"/>
      <c r="AA253" s="12"/>
      <c r="AB253" s="12"/>
      <c r="AC253" s="12"/>
      <c r="AD253" s="12"/>
      <c r="AE253" s="12"/>
      <c r="AF253" s="12"/>
    </row>
    <row r="254" spans="1:32" ht="13.2">
      <c r="A254" s="8"/>
      <c r="B254" s="8"/>
      <c r="C254" s="8"/>
      <c r="D254" s="8"/>
      <c r="E254" s="8"/>
      <c r="F254" s="8"/>
      <c r="G254" s="9"/>
      <c r="H254" s="8"/>
      <c r="I254" s="8"/>
      <c r="J254" s="8"/>
      <c r="K254" s="8"/>
      <c r="L254" s="8"/>
      <c r="M254" s="8"/>
      <c r="N254" s="8"/>
      <c r="O254" s="8"/>
      <c r="P254" s="8"/>
      <c r="Q254" s="8"/>
      <c r="R254" s="8"/>
      <c r="S254" s="8"/>
      <c r="T254" s="8"/>
      <c r="U254" s="12"/>
      <c r="V254" s="12"/>
      <c r="W254" s="12"/>
      <c r="X254" s="12"/>
      <c r="Y254" s="12"/>
      <c r="Z254" s="12"/>
      <c r="AA254" s="12"/>
      <c r="AB254" s="12"/>
      <c r="AC254" s="12"/>
      <c r="AD254" s="12"/>
      <c r="AE254" s="12"/>
      <c r="AF254" s="12"/>
    </row>
    <row r="255" spans="1:32" ht="13.2">
      <c r="A255" s="8"/>
      <c r="B255" s="8"/>
      <c r="C255" s="8"/>
      <c r="D255" s="8"/>
      <c r="E255" s="8"/>
      <c r="F255" s="8"/>
      <c r="G255" s="9"/>
      <c r="H255" s="8"/>
      <c r="I255" s="8"/>
      <c r="J255" s="8"/>
      <c r="K255" s="8"/>
      <c r="L255" s="8"/>
      <c r="M255" s="8"/>
      <c r="N255" s="8"/>
      <c r="O255" s="8"/>
      <c r="P255" s="8"/>
      <c r="Q255" s="8"/>
      <c r="R255" s="8"/>
      <c r="S255" s="8"/>
      <c r="T255" s="8"/>
      <c r="U255" s="12"/>
      <c r="V255" s="12"/>
      <c r="W255" s="12"/>
      <c r="X255" s="12"/>
      <c r="Y255" s="12"/>
      <c r="Z255" s="12"/>
      <c r="AA255" s="12"/>
      <c r="AB255" s="12"/>
      <c r="AC255" s="12"/>
      <c r="AD255" s="12"/>
      <c r="AE255" s="12"/>
      <c r="AF255" s="12"/>
    </row>
    <row r="256" spans="1:32" ht="13.2">
      <c r="A256" s="8"/>
      <c r="B256" s="8"/>
      <c r="C256" s="8"/>
      <c r="D256" s="8"/>
      <c r="E256" s="8"/>
      <c r="F256" s="8"/>
      <c r="G256" s="9"/>
      <c r="H256" s="8"/>
      <c r="I256" s="8"/>
      <c r="J256" s="8"/>
      <c r="K256" s="8"/>
      <c r="L256" s="8"/>
      <c r="M256" s="8"/>
      <c r="N256" s="8"/>
      <c r="O256" s="8"/>
      <c r="P256" s="8"/>
      <c r="Q256" s="8"/>
      <c r="R256" s="8"/>
      <c r="S256" s="8"/>
      <c r="T256" s="8"/>
      <c r="U256" s="12"/>
      <c r="V256" s="12"/>
      <c r="W256" s="12"/>
      <c r="X256" s="12"/>
      <c r="Y256" s="12"/>
      <c r="Z256" s="12"/>
      <c r="AA256" s="12"/>
      <c r="AB256" s="12"/>
      <c r="AC256" s="12"/>
      <c r="AD256" s="12"/>
      <c r="AE256" s="12"/>
      <c r="AF256" s="12"/>
    </row>
    <row r="257" spans="1:32" ht="13.2">
      <c r="A257" s="8"/>
      <c r="B257" s="8"/>
      <c r="C257" s="8"/>
      <c r="D257" s="8"/>
      <c r="E257" s="8"/>
      <c r="F257" s="8"/>
      <c r="G257" s="9"/>
      <c r="H257" s="8"/>
      <c r="I257" s="8"/>
      <c r="J257" s="8"/>
      <c r="K257" s="8"/>
      <c r="L257" s="8"/>
      <c r="M257" s="8"/>
      <c r="N257" s="8"/>
      <c r="O257" s="8"/>
      <c r="P257" s="8"/>
      <c r="Q257" s="8"/>
      <c r="R257" s="8"/>
      <c r="S257" s="8"/>
      <c r="T257" s="8"/>
      <c r="U257" s="12"/>
      <c r="V257" s="12"/>
      <c r="W257" s="12"/>
      <c r="X257" s="12"/>
      <c r="Y257" s="12"/>
      <c r="Z257" s="12"/>
      <c r="AA257" s="12"/>
      <c r="AB257" s="12"/>
      <c r="AC257" s="12"/>
      <c r="AD257" s="12"/>
      <c r="AE257" s="12"/>
      <c r="AF257" s="12"/>
    </row>
    <row r="258" spans="1:32" ht="13.2">
      <c r="A258" s="8"/>
      <c r="B258" s="8"/>
      <c r="C258" s="8"/>
      <c r="D258" s="8"/>
      <c r="E258" s="8"/>
      <c r="F258" s="8"/>
      <c r="G258" s="9"/>
      <c r="H258" s="8"/>
      <c r="I258" s="8"/>
      <c r="J258" s="8"/>
      <c r="K258" s="8"/>
      <c r="L258" s="8"/>
      <c r="M258" s="8"/>
      <c r="N258" s="8"/>
      <c r="O258" s="8"/>
      <c r="P258" s="8"/>
      <c r="Q258" s="8"/>
      <c r="R258" s="8"/>
      <c r="S258" s="8"/>
      <c r="T258" s="8"/>
      <c r="U258" s="12"/>
      <c r="V258" s="12"/>
      <c r="W258" s="12"/>
      <c r="X258" s="12"/>
      <c r="Y258" s="12"/>
      <c r="Z258" s="12"/>
      <c r="AA258" s="12"/>
      <c r="AB258" s="12"/>
      <c r="AC258" s="12"/>
      <c r="AD258" s="12"/>
      <c r="AE258" s="12"/>
      <c r="AF258" s="12"/>
    </row>
    <row r="259" spans="1:32" ht="13.2">
      <c r="A259" s="8"/>
      <c r="B259" s="8"/>
      <c r="C259" s="8"/>
      <c r="D259" s="8"/>
      <c r="E259" s="8"/>
      <c r="F259" s="8"/>
      <c r="G259" s="9"/>
      <c r="H259" s="8"/>
      <c r="I259" s="8"/>
      <c r="J259" s="8"/>
      <c r="K259" s="8"/>
      <c r="L259" s="8"/>
      <c r="M259" s="8"/>
      <c r="N259" s="8"/>
      <c r="O259" s="8"/>
      <c r="P259" s="8"/>
      <c r="Q259" s="8"/>
      <c r="R259" s="8"/>
      <c r="S259" s="8"/>
      <c r="T259" s="8"/>
      <c r="U259" s="12"/>
      <c r="V259" s="12"/>
      <c r="W259" s="12"/>
      <c r="X259" s="12"/>
      <c r="Y259" s="12"/>
      <c r="Z259" s="12"/>
      <c r="AA259" s="12"/>
      <c r="AB259" s="12"/>
      <c r="AC259" s="12"/>
      <c r="AD259" s="12"/>
      <c r="AE259" s="12"/>
      <c r="AF259" s="12"/>
    </row>
    <row r="260" spans="1:32" ht="13.2">
      <c r="A260" s="8"/>
      <c r="B260" s="8"/>
      <c r="C260" s="8"/>
      <c r="D260" s="8"/>
      <c r="E260" s="8"/>
      <c r="F260" s="8"/>
      <c r="G260" s="9"/>
      <c r="H260" s="8"/>
      <c r="I260" s="8"/>
      <c r="J260" s="8"/>
      <c r="K260" s="8"/>
      <c r="L260" s="8"/>
      <c r="M260" s="8"/>
      <c r="N260" s="8"/>
      <c r="O260" s="8"/>
      <c r="P260" s="8"/>
      <c r="Q260" s="8"/>
      <c r="R260" s="8"/>
      <c r="S260" s="8"/>
      <c r="T260" s="8"/>
      <c r="U260" s="12"/>
      <c r="V260" s="12"/>
      <c r="W260" s="12"/>
      <c r="X260" s="12"/>
      <c r="Y260" s="12"/>
      <c r="Z260" s="12"/>
      <c r="AA260" s="12"/>
      <c r="AB260" s="12"/>
      <c r="AC260" s="12"/>
      <c r="AD260" s="12"/>
      <c r="AE260" s="12"/>
      <c r="AF260" s="12"/>
    </row>
    <row r="261" spans="1:32" ht="13.2">
      <c r="A261" s="8"/>
      <c r="B261" s="8"/>
      <c r="C261" s="8"/>
      <c r="D261" s="8"/>
      <c r="E261" s="8"/>
      <c r="F261" s="8"/>
      <c r="G261" s="9"/>
      <c r="H261" s="8"/>
      <c r="I261" s="8"/>
      <c r="J261" s="8"/>
      <c r="K261" s="8"/>
      <c r="L261" s="8"/>
      <c r="M261" s="8"/>
      <c r="N261" s="8"/>
      <c r="O261" s="8"/>
      <c r="P261" s="8"/>
      <c r="Q261" s="8"/>
      <c r="R261" s="8"/>
      <c r="S261" s="8"/>
      <c r="T261" s="8"/>
      <c r="U261" s="12"/>
      <c r="V261" s="12"/>
      <c r="W261" s="12"/>
      <c r="X261" s="12"/>
      <c r="Y261" s="12"/>
      <c r="Z261" s="12"/>
      <c r="AA261" s="12"/>
      <c r="AB261" s="12"/>
      <c r="AC261" s="12"/>
      <c r="AD261" s="12"/>
      <c r="AE261" s="12"/>
      <c r="AF261" s="12"/>
    </row>
    <row r="262" spans="1:32" ht="13.2">
      <c r="A262" s="8"/>
      <c r="B262" s="8"/>
      <c r="C262" s="8"/>
      <c r="D262" s="8"/>
      <c r="E262" s="8"/>
      <c r="F262" s="8"/>
      <c r="G262" s="9"/>
      <c r="H262" s="8"/>
      <c r="I262" s="8"/>
      <c r="J262" s="8"/>
      <c r="K262" s="8"/>
      <c r="L262" s="8"/>
      <c r="M262" s="8"/>
      <c r="N262" s="8"/>
      <c r="O262" s="8"/>
      <c r="P262" s="8"/>
      <c r="Q262" s="8"/>
      <c r="R262" s="8"/>
      <c r="S262" s="8"/>
      <c r="T262" s="8"/>
      <c r="U262" s="12"/>
      <c r="V262" s="12"/>
      <c r="W262" s="12"/>
      <c r="X262" s="12"/>
      <c r="Y262" s="12"/>
      <c r="Z262" s="12"/>
      <c r="AA262" s="12"/>
      <c r="AB262" s="12"/>
      <c r="AC262" s="12"/>
      <c r="AD262" s="12"/>
      <c r="AE262" s="12"/>
      <c r="AF262" s="12"/>
    </row>
    <row r="263" spans="1:32" ht="13.2">
      <c r="A263" s="8"/>
      <c r="B263" s="8"/>
      <c r="C263" s="8"/>
      <c r="D263" s="8"/>
      <c r="E263" s="8"/>
      <c r="F263" s="8"/>
      <c r="G263" s="9"/>
      <c r="H263" s="8"/>
      <c r="I263" s="8"/>
      <c r="J263" s="8"/>
      <c r="K263" s="8"/>
      <c r="L263" s="8"/>
      <c r="M263" s="8"/>
      <c r="N263" s="8"/>
      <c r="O263" s="8"/>
      <c r="P263" s="8"/>
      <c r="Q263" s="8"/>
      <c r="R263" s="8"/>
      <c r="S263" s="8"/>
      <c r="T263" s="8"/>
      <c r="U263" s="12"/>
      <c r="V263" s="12"/>
      <c r="W263" s="12"/>
      <c r="X263" s="12"/>
      <c r="Y263" s="12"/>
      <c r="Z263" s="12"/>
      <c r="AA263" s="12"/>
      <c r="AB263" s="12"/>
      <c r="AC263" s="12"/>
      <c r="AD263" s="12"/>
      <c r="AE263" s="12"/>
      <c r="AF263" s="12"/>
    </row>
    <row r="264" spans="1:32" ht="13.2">
      <c r="A264" s="8"/>
      <c r="B264" s="8"/>
      <c r="C264" s="8"/>
      <c r="D264" s="8"/>
      <c r="E264" s="8"/>
      <c r="F264" s="8"/>
      <c r="G264" s="9"/>
      <c r="H264" s="8"/>
      <c r="I264" s="8"/>
      <c r="J264" s="8"/>
      <c r="K264" s="8"/>
      <c r="L264" s="8"/>
      <c r="M264" s="8"/>
      <c r="N264" s="8"/>
      <c r="O264" s="8"/>
      <c r="P264" s="8"/>
      <c r="Q264" s="8"/>
      <c r="R264" s="8"/>
      <c r="S264" s="8"/>
      <c r="T264" s="8"/>
      <c r="U264" s="12"/>
      <c r="V264" s="12"/>
      <c r="W264" s="12"/>
      <c r="X264" s="12"/>
      <c r="Y264" s="12"/>
      <c r="Z264" s="12"/>
      <c r="AA264" s="12"/>
      <c r="AB264" s="12"/>
      <c r="AC264" s="12"/>
      <c r="AD264" s="12"/>
      <c r="AE264" s="12"/>
      <c r="AF264" s="12"/>
    </row>
    <row r="265" spans="1:32" ht="13.2">
      <c r="A265" s="8"/>
      <c r="B265" s="8"/>
      <c r="C265" s="8"/>
      <c r="D265" s="8"/>
      <c r="E265" s="8"/>
      <c r="F265" s="8"/>
      <c r="G265" s="9"/>
      <c r="H265" s="8"/>
      <c r="I265" s="8"/>
      <c r="J265" s="8"/>
      <c r="K265" s="8"/>
      <c r="L265" s="8"/>
      <c r="M265" s="8"/>
      <c r="N265" s="8"/>
      <c r="O265" s="8"/>
      <c r="P265" s="8"/>
      <c r="Q265" s="8"/>
      <c r="R265" s="8"/>
      <c r="S265" s="8"/>
      <c r="T265" s="8"/>
      <c r="U265" s="12"/>
      <c r="V265" s="12"/>
      <c r="W265" s="12"/>
      <c r="X265" s="12"/>
      <c r="Y265" s="12"/>
      <c r="Z265" s="12"/>
      <c r="AA265" s="12"/>
      <c r="AB265" s="12"/>
      <c r="AC265" s="12"/>
      <c r="AD265" s="12"/>
      <c r="AE265" s="12"/>
      <c r="AF265" s="12"/>
    </row>
    <row r="266" spans="1:32" ht="13.2">
      <c r="A266" s="8"/>
      <c r="B266" s="8"/>
      <c r="C266" s="8"/>
      <c r="D266" s="8"/>
      <c r="E266" s="8"/>
      <c r="F266" s="8"/>
      <c r="G266" s="9"/>
      <c r="H266" s="8"/>
      <c r="I266" s="8"/>
      <c r="J266" s="8"/>
      <c r="K266" s="8"/>
      <c r="L266" s="8"/>
      <c r="M266" s="8"/>
      <c r="N266" s="8"/>
      <c r="O266" s="8"/>
      <c r="P266" s="8"/>
      <c r="Q266" s="8"/>
      <c r="R266" s="8"/>
      <c r="S266" s="8"/>
      <c r="T266" s="8"/>
      <c r="U266" s="12"/>
      <c r="V266" s="12"/>
      <c r="W266" s="12"/>
      <c r="X266" s="12"/>
      <c r="Y266" s="12"/>
      <c r="Z266" s="12"/>
      <c r="AA266" s="12"/>
      <c r="AB266" s="12"/>
      <c r="AC266" s="12"/>
      <c r="AD266" s="12"/>
      <c r="AE266" s="12"/>
      <c r="AF266" s="12"/>
    </row>
    <row r="267" spans="1:32" ht="13.2">
      <c r="A267" s="8"/>
      <c r="B267" s="8"/>
      <c r="C267" s="8"/>
      <c r="D267" s="8"/>
      <c r="E267" s="8"/>
      <c r="F267" s="8"/>
      <c r="G267" s="9"/>
      <c r="H267" s="8"/>
      <c r="I267" s="8"/>
      <c r="J267" s="8"/>
      <c r="K267" s="8"/>
      <c r="L267" s="8"/>
      <c r="M267" s="8"/>
      <c r="N267" s="8"/>
      <c r="O267" s="8"/>
      <c r="P267" s="8"/>
      <c r="Q267" s="8"/>
      <c r="R267" s="8"/>
      <c r="S267" s="8"/>
      <c r="T267" s="8"/>
      <c r="U267" s="12"/>
      <c r="V267" s="12"/>
      <c r="W267" s="12"/>
      <c r="X267" s="12"/>
      <c r="Y267" s="12"/>
      <c r="Z267" s="12"/>
      <c r="AA267" s="12"/>
      <c r="AB267" s="12"/>
      <c r="AC267" s="12"/>
      <c r="AD267" s="12"/>
      <c r="AE267" s="12"/>
      <c r="AF267" s="12"/>
    </row>
    <row r="268" spans="1:32" ht="13.2">
      <c r="A268" s="8"/>
      <c r="B268" s="8"/>
      <c r="C268" s="8"/>
      <c r="D268" s="8"/>
      <c r="E268" s="8"/>
      <c r="F268" s="8"/>
      <c r="G268" s="9"/>
      <c r="H268" s="8"/>
      <c r="I268" s="8"/>
      <c r="J268" s="8"/>
      <c r="K268" s="8"/>
      <c r="L268" s="8"/>
      <c r="M268" s="8"/>
      <c r="N268" s="8"/>
      <c r="O268" s="8"/>
      <c r="P268" s="8"/>
      <c r="Q268" s="8"/>
      <c r="R268" s="8"/>
      <c r="S268" s="8"/>
      <c r="T268" s="8"/>
      <c r="U268" s="12"/>
      <c r="V268" s="12"/>
      <c r="W268" s="12"/>
      <c r="X268" s="12"/>
      <c r="Y268" s="12"/>
      <c r="Z268" s="12"/>
      <c r="AA268" s="12"/>
      <c r="AB268" s="12"/>
      <c r="AC268" s="12"/>
      <c r="AD268" s="12"/>
      <c r="AE268" s="12"/>
      <c r="AF268" s="12"/>
    </row>
    <row r="269" spans="1:32" ht="13.2">
      <c r="A269" s="8"/>
      <c r="B269" s="8"/>
      <c r="C269" s="8"/>
      <c r="D269" s="8"/>
      <c r="E269" s="8"/>
      <c r="F269" s="8"/>
      <c r="G269" s="9"/>
      <c r="H269" s="8"/>
      <c r="I269" s="8"/>
      <c r="J269" s="8"/>
      <c r="K269" s="8"/>
      <c r="L269" s="8"/>
      <c r="M269" s="8"/>
      <c r="N269" s="8"/>
      <c r="O269" s="8"/>
      <c r="P269" s="8"/>
      <c r="Q269" s="8"/>
      <c r="R269" s="8"/>
      <c r="S269" s="8"/>
      <c r="T269" s="8"/>
      <c r="U269" s="12"/>
      <c r="V269" s="12"/>
      <c r="W269" s="12"/>
      <c r="X269" s="12"/>
      <c r="Y269" s="12"/>
      <c r="Z269" s="12"/>
      <c r="AA269" s="12"/>
      <c r="AB269" s="12"/>
      <c r="AC269" s="12"/>
      <c r="AD269" s="12"/>
      <c r="AE269" s="12"/>
      <c r="AF269" s="12"/>
    </row>
    <row r="270" spans="1:32" ht="13.2">
      <c r="A270" s="8"/>
      <c r="B270" s="8"/>
      <c r="C270" s="8"/>
      <c r="D270" s="8"/>
      <c r="E270" s="8"/>
      <c r="F270" s="8"/>
      <c r="G270" s="9"/>
      <c r="H270" s="8"/>
      <c r="I270" s="8"/>
      <c r="J270" s="8"/>
      <c r="K270" s="8"/>
      <c r="L270" s="8"/>
      <c r="M270" s="8"/>
      <c r="N270" s="8"/>
      <c r="O270" s="8"/>
      <c r="P270" s="8"/>
      <c r="Q270" s="8"/>
      <c r="R270" s="8"/>
      <c r="S270" s="8"/>
      <c r="T270" s="8"/>
      <c r="U270" s="12"/>
      <c r="V270" s="12"/>
      <c r="W270" s="12"/>
      <c r="X270" s="12"/>
      <c r="Y270" s="12"/>
      <c r="Z270" s="12"/>
      <c r="AA270" s="12"/>
      <c r="AB270" s="12"/>
      <c r="AC270" s="12"/>
      <c r="AD270" s="12"/>
      <c r="AE270" s="12"/>
      <c r="AF270" s="12"/>
    </row>
    <row r="271" spans="1:32" ht="13.2">
      <c r="A271" s="8"/>
      <c r="B271" s="8"/>
      <c r="C271" s="8"/>
      <c r="D271" s="8"/>
      <c r="E271" s="8"/>
      <c r="F271" s="8"/>
      <c r="G271" s="9"/>
      <c r="H271" s="8"/>
      <c r="I271" s="8"/>
      <c r="J271" s="8"/>
      <c r="K271" s="8"/>
      <c r="L271" s="8"/>
      <c r="M271" s="8"/>
      <c r="N271" s="8"/>
      <c r="O271" s="8"/>
      <c r="P271" s="8"/>
      <c r="Q271" s="8"/>
      <c r="R271" s="8"/>
      <c r="S271" s="8"/>
      <c r="T271" s="8"/>
      <c r="U271" s="12"/>
      <c r="V271" s="12"/>
      <c r="W271" s="12"/>
      <c r="X271" s="12"/>
      <c r="Y271" s="12"/>
      <c r="Z271" s="12"/>
      <c r="AA271" s="12"/>
      <c r="AB271" s="12"/>
      <c r="AC271" s="12"/>
      <c r="AD271" s="12"/>
      <c r="AE271" s="12"/>
      <c r="AF271" s="12"/>
    </row>
    <row r="272" spans="1:32" ht="13.2">
      <c r="A272" s="8"/>
      <c r="B272" s="8"/>
      <c r="C272" s="8"/>
      <c r="D272" s="8"/>
      <c r="E272" s="8"/>
      <c r="F272" s="8"/>
      <c r="G272" s="9"/>
      <c r="H272" s="8"/>
      <c r="I272" s="8"/>
      <c r="J272" s="8"/>
      <c r="K272" s="8"/>
      <c r="L272" s="8"/>
      <c r="M272" s="8"/>
      <c r="N272" s="8"/>
      <c r="O272" s="8"/>
      <c r="P272" s="8"/>
      <c r="Q272" s="8"/>
      <c r="R272" s="8"/>
      <c r="S272" s="8"/>
      <c r="T272" s="8"/>
      <c r="U272" s="12"/>
      <c r="V272" s="12"/>
      <c r="W272" s="12"/>
      <c r="X272" s="12"/>
      <c r="Y272" s="12"/>
      <c r="Z272" s="12"/>
      <c r="AA272" s="12"/>
      <c r="AB272" s="12"/>
      <c r="AC272" s="12"/>
      <c r="AD272" s="12"/>
      <c r="AE272" s="12"/>
      <c r="AF272" s="12"/>
    </row>
    <row r="273" spans="1:32" ht="13.2">
      <c r="A273" s="8"/>
      <c r="B273" s="8"/>
      <c r="C273" s="8"/>
      <c r="D273" s="8"/>
      <c r="E273" s="8"/>
      <c r="F273" s="8"/>
      <c r="G273" s="9"/>
      <c r="H273" s="8"/>
      <c r="I273" s="8"/>
      <c r="J273" s="8"/>
      <c r="K273" s="8"/>
      <c r="L273" s="8"/>
      <c r="M273" s="8"/>
      <c r="N273" s="8"/>
      <c r="O273" s="8"/>
      <c r="P273" s="8"/>
      <c r="Q273" s="8"/>
      <c r="R273" s="8"/>
      <c r="S273" s="8"/>
      <c r="T273" s="8"/>
      <c r="U273" s="12"/>
      <c r="V273" s="12"/>
      <c r="W273" s="12"/>
      <c r="X273" s="12"/>
      <c r="Y273" s="12"/>
      <c r="Z273" s="12"/>
      <c r="AA273" s="12"/>
      <c r="AB273" s="12"/>
      <c r="AC273" s="12"/>
      <c r="AD273" s="12"/>
      <c r="AE273" s="12"/>
      <c r="AF273" s="12"/>
    </row>
    <row r="274" spans="1:32" ht="13.2">
      <c r="A274" s="8"/>
      <c r="B274" s="8"/>
      <c r="C274" s="8"/>
      <c r="D274" s="8"/>
      <c r="E274" s="8"/>
      <c r="F274" s="8"/>
      <c r="G274" s="9"/>
      <c r="H274" s="8"/>
      <c r="I274" s="8"/>
      <c r="J274" s="8"/>
      <c r="K274" s="8"/>
      <c r="L274" s="8"/>
      <c r="M274" s="8"/>
      <c r="N274" s="8"/>
      <c r="O274" s="8"/>
      <c r="P274" s="8"/>
      <c r="Q274" s="8"/>
      <c r="R274" s="8"/>
      <c r="S274" s="8"/>
      <c r="T274" s="8"/>
      <c r="U274" s="12"/>
      <c r="V274" s="12"/>
      <c r="W274" s="12"/>
      <c r="X274" s="12"/>
      <c r="Y274" s="12"/>
      <c r="Z274" s="12"/>
      <c r="AA274" s="12"/>
      <c r="AB274" s="12"/>
      <c r="AC274" s="12"/>
      <c r="AD274" s="12"/>
      <c r="AE274" s="12"/>
      <c r="AF274" s="12"/>
    </row>
    <row r="275" spans="1:32" ht="13.2">
      <c r="A275" s="8"/>
      <c r="B275" s="8"/>
      <c r="C275" s="8"/>
      <c r="D275" s="8"/>
      <c r="E275" s="8"/>
      <c r="F275" s="8"/>
      <c r="G275" s="9"/>
      <c r="H275" s="8"/>
      <c r="I275" s="8"/>
      <c r="J275" s="8"/>
      <c r="K275" s="8"/>
      <c r="L275" s="8"/>
      <c r="M275" s="8"/>
      <c r="N275" s="8"/>
      <c r="O275" s="8"/>
      <c r="P275" s="8"/>
      <c r="Q275" s="8"/>
      <c r="R275" s="8"/>
      <c r="S275" s="8"/>
      <c r="T275" s="8"/>
      <c r="U275" s="12"/>
      <c r="V275" s="12"/>
      <c r="W275" s="12"/>
      <c r="X275" s="12"/>
      <c r="Y275" s="12"/>
      <c r="Z275" s="12"/>
      <c r="AA275" s="12"/>
      <c r="AB275" s="12"/>
      <c r="AC275" s="12"/>
      <c r="AD275" s="12"/>
      <c r="AE275" s="12"/>
      <c r="AF275" s="12"/>
    </row>
    <row r="276" spans="1:32" ht="13.2">
      <c r="A276" s="8"/>
      <c r="B276" s="8"/>
      <c r="C276" s="8"/>
      <c r="D276" s="8"/>
      <c r="E276" s="8"/>
      <c r="F276" s="8"/>
      <c r="G276" s="9"/>
      <c r="H276" s="8"/>
      <c r="I276" s="8"/>
      <c r="J276" s="8"/>
      <c r="K276" s="8"/>
      <c r="L276" s="8"/>
      <c r="M276" s="8"/>
      <c r="N276" s="8"/>
      <c r="O276" s="8"/>
      <c r="P276" s="8"/>
      <c r="Q276" s="8"/>
      <c r="R276" s="8"/>
      <c r="S276" s="8"/>
      <c r="T276" s="8"/>
      <c r="U276" s="12"/>
      <c r="V276" s="12"/>
      <c r="W276" s="12"/>
      <c r="X276" s="12"/>
      <c r="Y276" s="12"/>
      <c r="Z276" s="12"/>
      <c r="AA276" s="12"/>
      <c r="AB276" s="12"/>
      <c r="AC276" s="12"/>
      <c r="AD276" s="12"/>
      <c r="AE276" s="12"/>
      <c r="AF276" s="12"/>
    </row>
    <row r="277" spans="1:32" ht="13.2">
      <c r="A277" s="8"/>
      <c r="B277" s="8"/>
      <c r="C277" s="8"/>
      <c r="D277" s="8"/>
      <c r="E277" s="8"/>
      <c r="F277" s="8"/>
      <c r="G277" s="9"/>
      <c r="H277" s="8"/>
      <c r="I277" s="8"/>
      <c r="J277" s="8"/>
      <c r="K277" s="8"/>
      <c r="L277" s="8"/>
      <c r="M277" s="8"/>
      <c r="N277" s="8"/>
      <c r="O277" s="8"/>
      <c r="P277" s="8"/>
      <c r="Q277" s="8"/>
      <c r="R277" s="8"/>
      <c r="S277" s="8"/>
      <c r="T277" s="8"/>
      <c r="U277" s="12"/>
      <c r="V277" s="12"/>
      <c r="W277" s="12"/>
      <c r="X277" s="12"/>
      <c r="Y277" s="12"/>
      <c r="Z277" s="12"/>
      <c r="AA277" s="12"/>
      <c r="AB277" s="12"/>
      <c r="AC277" s="12"/>
      <c r="AD277" s="12"/>
      <c r="AE277" s="12"/>
      <c r="AF277" s="12"/>
    </row>
    <row r="278" spans="1:32" ht="13.2">
      <c r="A278" s="8"/>
      <c r="B278" s="8"/>
      <c r="C278" s="8"/>
      <c r="D278" s="8"/>
      <c r="E278" s="8"/>
      <c r="F278" s="8"/>
      <c r="G278" s="9"/>
      <c r="H278" s="8"/>
      <c r="I278" s="8"/>
      <c r="J278" s="8"/>
      <c r="K278" s="8"/>
      <c r="L278" s="8"/>
      <c r="M278" s="8"/>
      <c r="N278" s="8"/>
      <c r="O278" s="8"/>
      <c r="P278" s="8"/>
      <c r="Q278" s="8"/>
      <c r="R278" s="8"/>
      <c r="S278" s="8"/>
      <c r="T278" s="8"/>
      <c r="U278" s="12"/>
      <c r="V278" s="12"/>
      <c r="W278" s="12"/>
      <c r="X278" s="12"/>
      <c r="Y278" s="12"/>
      <c r="Z278" s="12"/>
      <c r="AA278" s="12"/>
      <c r="AB278" s="12"/>
      <c r="AC278" s="12"/>
      <c r="AD278" s="12"/>
      <c r="AE278" s="12"/>
      <c r="AF278" s="12"/>
    </row>
    <row r="279" spans="1:32" ht="13.2">
      <c r="A279" s="8"/>
      <c r="B279" s="8"/>
      <c r="C279" s="8"/>
      <c r="D279" s="8"/>
      <c r="E279" s="8"/>
      <c r="F279" s="8"/>
      <c r="G279" s="9"/>
      <c r="H279" s="8"/>
      <c r="I279" s="8"/>
      <c r="J279" s="8"/>
      <c r="K279" s="8"/>
      <c r="L279" s="8"/>
      <c r="M279" s="8"/>
      <c r="N279" s="8"/>
      <c r="O279" s="8"/>
      <c r="P279" s="8"/>
      <c r="Q279" s="8"/>
      <c r="R279" s="8"/>
      <c r="S279" s="8"/>
      <c r="T279" s="8"/>
      <c r="U279" s="12"/>
      <c r="V279" s="12"/>
      <c r="W279" s="12"/>
      <c r="X279" s="12"/>
      <c r="Y279" s="12"/>
      <c r="Z279" s="12"/>
      <c r="AA279" s="12"/>
      <c r="AB279" s="12"/>
      <c r="AC279" s="12"/>
      <c r="AD279" s="12"/>
      <c r="AE279" s="12"/>
      <c r="AF279" s="12"/>
    </row>
    <row r="280" spans="1:32" ht="13.2">
      <c r="A280" s="8"/>
      <c r="B280" s="8"/>
      <c r="C280" s="8"/>
      <c r="D280" s="8"/>
      <c r="E280" s="8"/>
      <c r="F280" s="8"/>
      <c r="G280" s="9"/>
      <c r="H280" s="8"/>
      <c r="I280" s="8"/>
      <c r="J280" s="8"/>
      <c r="K280" s="8"/>
      <c r="L280" s="8"/>
      <c r="M280" s="8"/>
      <c r="N280" s="8"/>
      <c r="O280" s="8"/>
      <c r="P280" s="8"/>
      <c r="Q280" s="8"/>
      <c r="R280" s="8"/>
      <c r="S280" s="8"/>
      <c r="T280" s="8"/>
      <c r="U280" s="12"/>
      <c r="V280" s="12"/>
      <c r="W280" s="12"/>
      <c r="X280" s="12"/>
      <c r="Y280" s="12"/>
      <c r="Z280" s="12"/>
      <c r="AA280" s="12"/>
      <c r="AB280" s="12"/>
      <c r="AC280" s="12"/>
      <c r="AD280" s="12"/>
      <c r="AE280" s="12"/>
      <c r="AF280" s="12"/>
    </row>
    <row r="281" spans="1:32" ht="13.2">
      <c r="A281" s="8"/>
      <c r="B281" s="8"/>
      <c r="C281" s="8"/>
      <c r="D281" s="8"/>
      <c r="E281" s="8"/>
      <c r="F281" s="8"/>
      <c r="G281" s="9"/>
      <c r="H281" s="8"/>
      <c r="I281" s="8"/>
      <c r="J281" s="8"/>
      <c r="K281" s="8"/>
      <c r="L281" s="8"/>
      <c r="M281" s="8"/>
      <c r="N281" s="8"/>
      <c r="O281" s="8"/>
      <c r="P281" s="8"/>
      <c r="Q281" s="8"/>
      <c r="R281" s="8"/>
      <c r="S281" s="8"/>
      <c r="T281" s="8"/>
      <c r="U281" s="12"/>
      <c r="V281" s="12"/>
      <c r="W281" s="12"/>
      <c r="X281" s="12"/>
      <c r="Y281" s="12"/>
      <c r="Z281" s="12"/>
      <c r="AA281" s="12"/>
      <c r="AB281" s="12"/>
      <c r="AC281" s="12"/>
      <c r="AD281" s="12"/>
      <c r="AE281" s="12"/>
      <c r="AF281" s="12"/>
    </row>
    <row r="282" spans="1:32" ht="13.2">
      <c r="A282" s="8"/>
      <c r="B282" s="8"/>
      <c r="C282" s="8"/>
      <c r="D282" s="8"/>
      <c r="E282" s="8"/>
      <c r="F282" s="8"/>
      <c r="G282" s="9"/>
      <c r="H282" s="8"/>
      <c r="I282" s="8"/>
      <c r="J282" s="8"/>
      <c r="K282" s="8"/>
      <c r="L282" s="8"/>
      <c r="M282" s="8"/>
      <c r="N282" s="8"/>
      <c r="O282" s="8"/>
      <c r="P282" s="8"/>
      <c r="Q282" s="8"/>
      <c r="R282" s="8"/>
      <c r="S282" s="8"/>
      <c r="T282" s="8"/>
      <c r="U282" s="12"/>
      <c r="V282" s="12"/>
      <c r="W282" s="12"/>
      <c r="X282" s="12"/>
      <c r="Y282" s="12"/>
      <c r="Z282" s="12"/>
      <c r="AA282" s="12"/>
      <c r="AB282" s="12"/>
      <c r="AC282" s="12"/>
      <c r="AD282" s="12"/>
      <c r="AE282" s="12"/>
      <c r="AF282" s="12"/>
    </row>
    <row r="283" spans="1:32" ht="13.2">
      <c r="A283" s="8"/>
      <c r="B283" s="8"/>
      <c r="C283" s="8"/>
      <c r="D283" s="8"/>
      <c r="E283" s="8"/>
      <c r="F283" s="8"/>
      <c r="G283" s="9"/>
      <c r="H283" s="8"/>
      <c r="I283" s="8"/>
      <c r="J283" s="8"/>
      <c r="K283" s="8"/>
      <c r="L283" s="8"/>
      <c r="M283" s="8"/>
      <c r="N283" s="8"/>
      <c r="O283" s="8"/>
      <c r="P283" s="8"/>
      <c r="Q283" s="8"/>
      <c r="R283" s="8"/>
      <c r="S283" s="8"/>
      <c r="T283" s="8"/>
      <c r="U283" s="12"/>
      <c r="V283" s="12"/>
      <c r="W283" s="12"/>
      <c r="X283" s="12"/>
      <c r="Y283" s="12"/>
      <c r="Z283" s="12"/>
      <c r="AA283" s="12"/>
      <c r="AB283" s="12"/>
      <c r="AC283" s="12"/>
      <c r="AD283" s="12"/>
      <c r="AE283" s="12"/>
      <c r="AF283" s="12"/>
    </row>
    <row r="284" spans="1:32" ht="13.2">
      <c r="A284" s="8"/>
      <c r="B284" s="8"/>
      <c r="C284" s="8"/>
      <c r="D284" s="8"/>
      <c r="E284" s="8"/>
      <c r="F284" s="8"/>
      <c r="G284" s="9"/>
      <c r="H284" s="8"/>
      <c r="I284" s="8"/>
      <c r="J284" s="8"/>
      <c r="K284" s="8"/>
      <c r="L284" s="8"/>
      <c r="M284" s="8"/>
      <c r="N284" s="8"/>
      <c r="O284" s="8"/>
      <c r="P284" s="8"/>
      <c r="Q284" s="8"/>
      <c r="R284" s="8"/>
      <c r="S284" s="8"/>
      <c r="T284" s="8"/>
      <c r="U284" s="12"/>
      <c r="V284" s="12"/>
      <c r="W284" s="12"/>
      <c r="X284" s="12"/>
      <c r="Y284" s="12"/>
      <c r="Z284" s="12"/>
      <c r="AA284" s="12"/>
      <c r="AB284" s="12"/>
      <c r="AC284" s="12"/>
      <c r="AD284" s="12"/>
      <c r="AE284" s="12"/>
      <c r="AF284" s="12"/>
    </row>
    <row r="285" spans="1:32" ht="13.2">
      <c r="A285" s="8"/>
      <c r="B285" s="8"/>
      <c r="C285" s="8"/>
      <c r="D285" s="8"/>
      <c r="E285" s="8"/>
      <c r="F285" s="8"/>
      <c r="G285" s="9"/>
      <c r="H285" s="8"/>
      <c r="I285" s="8"/>
      <c r="J285" s="8"/>
      <c r="K285" s="8"/>
      <c r="L285" s="8"/>
      <c r="M285" s="8"/>
      <c r="N285" s="8"/>
      <c r="O285" s="8"/>
      <c r="P285" s="8"/>
      <c r="Q285" s="8"/>
      <c r="R285" s="8"/>
      <c r="S285" s="8"/>
      <c r="T285" s="8"/>
      <c r="U285" s="12"/>
      <c r="V285" s="12"/>
      <c r="W285" s="12"/>
      <c r="X285" s="12"/>
      <c r="Y285" s="12"/>
      <c r="Z285" s="12"/>
      <c r="AA285" s="12"/>
      <c r="AB285" s="12"/>
      <c r="AC285" s="12"/>
      <c r="AD285" s="12"/>
      <c r="AE285" s="12"/>
      <c r="AF285" s="12"/>
    </row>
    <row r="286" spans="1:32" ht="13.2">
      <c r="A286" s="8"/>
      <c r="B286" s="8"/>
      <c r="C286" s="8"/>
      <c r="D286" s="8"/>
      <c r="E286" s="8"/>
      <c r="F286" s="8"/>
      <c r="G286" s="9"/>
      <c r="H286" s="8"/>
      <c r="I286" s="8"/>
      <c r="J286" s="8"/>
      <c r="K286" s="8"/>
      <c r="L286" s="8"/>
      <c r="M286" s="8"/>
      <c r="N286" s="8"/>
      <c r="O286" s="8"/>
      <c r="P286" s="8"/>
      <c r="Q286" s="8"/>
      <c r="R286" s="8"/>
      <c r="S286" s="8"/>
      <c r="T286" s="8"/>
      <c r="U286" s="12"/>
      <c r="V286" s="12"/>
      <c r="W286" s="12"/>
      <c r="X286" s="12"/>
      <c r="Y286" s="12"/>
      <c r="Z286" s="12"/>
      <c r="AA286" s="12"/>
      <c r="AB286" s="12"/>
      <c r="AC286" s="12"/>
      <c r="AD286" s="12"/>
      <c r="AE286" s="12"/>
      <c r="AF286" s="12"/>
    </row>
    <row r="287" spans="1:32" ht="13.2">
      <c r="A287" s="8"/>
      <c r="B287" s="8"/>
      <c r="C287" s="8"/>
      <c r="D287" s="8"/>
      <c r="E287" s="8"/>
      <c r="F287" s="8"/>
      <c r="G287" s="9"/>
      <c r="H287" s="8"/>
      <c r="I287" s="8"/>
      <c r="J287" s="8"/>
      <c r="K287" s="8"/>
      <c r="L287" s="8"/>
      <c r="M287" s="8"/>
      <c r="N287" s="8"/>
      <c r="O287" s="8"/>
      <c r="P287" s="8"/>
      <c r="Q287" s="8"/>
      <c r="R287" s="8"/>
      <c r="S287" s="8"/>
      <c r="T287" s="8"/>
      <c r="U287" s="12"/>
      <c r="V287" s="12"/>
      <c r="W287" s="12"/>
      <c r="X287" s="12"/>
      <c r="Y287" s="12"/>
      <c r="Z287" s="12"/>
      <c r="AA287" s="12"/>
      <c r="AB287" s="12"/>
      <c r="AC287" s="12"/>
      <c r="AD287" s="12"/>
      <c r="AE287" s="12"/>
      <c r="AF287" s="12"/>
    </row>
    <row r="288" spans="1:32" ht="13.2">
      <c r="A288" s="8"/>
      <c r="B288" s="8"/>
      <c r="C288" s="8"/>
      <c r="D288" s="8"/>
      <c r="E288" s="8"/>
      <c r="F288" s="8"/>
      <c r="G288" s="9"/>
      <c r="H288" s="8"/>
      <c r="I288" s="8"/>
      <c r="J288" s="8"/>
      <c r="K288" s="8"/>
      <c r="L288" s="8"/>
      <c r="M288" s="8"/>
      <c r="N288" s="8"/>
      <c r="O288" s="8"/>
      <c r="P288" s="8"/>
      <c r="Q288" s="8"/>
      <c r="R288" s="8"/>
      <c r="S288" s="8"/>
      <c r="T288" s="8"/>
      <c r="U288" s="12"/>
      <c r="V288" s="12"/>
      <c r="W288" s="12"/>
      <c r="X288" s="12"/>
      <c r="Y288" s="12"/>
      <c r="Z288" s="12"/>
      <c r="AA288" s="12"/>
      <c r="AB288" s="12"/>
      <c r="AC288" s="12"/>
      <c r="AD288" s="12"/>
      <c r="AE288" s="12"/>
      <c r="AF288" s="12"/>
    </row>
    <row r="289" spans="1:32" ht="13.2">
      <c r="A289" s="8"/>
      <c r="B289" s="8"/>
      <c r="C289" s="8"/>
      <c r="D289" s="8"/>
      <c r="E289" s="8"/>
      <c r="F289" s="8"/>
      <c r="G289" s="9"/>
      <c r="H289" s="8"/>
      <c r="I289" s="8"/>
      <c r="J289" s="8"/>
      <c r="K289" s="8"/>
      <c r="L289" s="8"/>
      <c r="M289" s="8"/>
      <c r="N289" s="8"/>
      <c r="O289" s="8"/>
      <c r="P289" s="8"/>
      <c r="Q289" s="8"/>
      <c r="R289" s="8"/>
      <c r="S289" s="8"/>
      <c r="T289" s="8"/>
      <c r="U289" s="12"/>
      <c r="V289" s="12"/>
      <c r="W289" s="12"/>
      <c r="X289" s="12"/>
      <c r="Y289" s="12"/>
      <c r="Z289" s="12"/>
      <c r="AA289" s="12"/>
      <c r="AB289" s="12"/>
      <c r="AC289" s="12"/>
      <c r="AD289" s="12"/>
      <c r="AE289" s="12"/>
      <c r="AF289" s="12"/>
    </row>
    <row r="290" spans="1:32" ht="13.2">
      <c r="A290" s="8"/>
      <c r="B290" s="8"/>
      <c r="C290" s="8"/>
      <c r="D290" s="8"/>
      <c r="E290" s="8"/>
      <c r="F290" s="8"/>
      <c r="G290" s="9"/>
      <c r="H290" s="8"/>
      <c r="I290" s="8"/>
      <c r="J290" s="8"/>
      <c r="K290" s="8"/>
      <c r="L290" s="8"/>
      <c r="M290" s="8"/>
      <c r="N290" s="8"/>
      <c r="O290" s="8"/>
      <c r="P290" s="8"/>
      <c r="Q290" s="8"/>
      <c r="R290" s="8"/>
      <c r="S290" s="8"/>
      <c r="T290" s="8"/>
      <c r="U290" s="12"/>
      <c r="V290" s="12"/>
      <c r="W290" s="12"/>
      <c r="X290" s="12"/>
      <c r="Y290" s="12"/>
      <c r="Z290" s="12"/>
      <c r="AA290" s="12"/>
      <c r="AB290" s="12"/>
      <c r="AC290" s="12"/>
      <c r="AD290" s="12"/>
      <c r="AE290" s="12"/>
      <c r="AF290" s="12"/>
    </row>
    <row r="291" spans="1:32" ht="13.2">
      <c r="A291" s="8"/>
      <c r="B291" s="8"/>
      <c r="C291" s="8"/>
      <c r="D291" s="8"/>
      <c r="E291" s="8"/>
      <c r="F291" s="8"/>
      <c r="G291" s="9"/>
      <c r="H291" s="8"/>
      <c r="I291" s="8"/>
      <c r="J291" s="8"/>
      <c r="K291" s="8"/>
      <c r="L291" s="8"/>
      <c r="M291" s="8"/>
      <c r="N291" s="8"/>
      <c r="O291" s="8"/>
      <c r="P291" s="8"/>
      <c r="Q291" s="8"/>
      <c r="R291" s="8"/>
      <c r="S291" s="8"/>
      <c r="T291" s="8"/>
      <c r="U291" s="12"/>
      <c r="V291" s="12"/>
      <c r="W291" s="12"/>
      <c r="X291" s="12"/>
      <c r="Y291" s="12"/>
      <c r="Z291" s="12"/>
      <c r="AA291" s="12"/>
      <c r="AB291" s="12"/>
      <c r="AC291" s="12"/>
      <c r="AD291" s="12"/>
      <c r="AE291" s="12"/>
      <c r="AF291" s="12"/>
    </row>
    <row r="292" spans="1:32" ht="13.2">
      <c r="A292" s="8"/>
      <c r="B292" s="8"/>
      <c r="C292" s="8"/>
      <c r="D292" s="8"/>
      <c r="E292" s="8"/>
      <c r="F292" s="8"/>
      <c r="G292" s="9"/>
      <c r="H292" s="8"/>
      <c r="I292" s="8"/>
      <c r="J292" s="8"/>
      <c r="K292" s="8"/>
      <c r="L292" s="8"/>
      <c r="M292" s="8"/>
      <c r="N292" s="8"/>
      <c r="O292" s="8"/>
      <c r="P292" s="8"/>
      <c r="Q292" s="8"/>
      <c r="R292" s="8"/>
      <c r="S292" s="8"/>
      <c r="T292" s="8"/>
      <c r="U292" s="12"/>
      <c r="V292" s="12"/>
      <c r="W292" s="12"/>
      <c r="X292" s="12"/>
      <c r="Y292" s="12"/>
      <c r="Z292" s="12"/>
      <c r="AA292" s="12"/>
      <c r="AB292" s="12"/>
      <c r="AC292" s="12"/>
      <c r="AD292" s="12"/>
      <c r="AE292" s="12"/>
      <c r="AF292" s="12"/>
    </row>
    <row r="293" spans="1:32" ht="13.2">
      <c r="A293" s="8"/>
      <c r="B293" s="8"/>
      <c r="C293" s="8"/>
      <c r="D293" s="8"/>
      <c r="E293" s="8"/>
      <c r="F293" s="8"/>
      <c r="G293" s="9"/>
      <c r="H293" s="8"/>
      <c r="I293" s="8"/>
      <c r="J293" s="8"/>
      <c r="K293" s="8"/>
      <c r="L293" s="8"/>
      <c r="M293" s="8"/>
      <c r="N293" s="8"/>
      <c r="O293" s="8"/>
      <c r="P293" s="8"/>
      <c r="Q293" s="8"/>
      <c r="R293" s="8"/>
      <c r="S293" s="8"/>
      <c r="T293" s="8"/>
      <c r="U293" s="12"/>
      <c r="V293" s="12"/>
      <c r="W293" s="12"/>
      <c r="X293" s="12"/>
      <c r="Y293" s="12"/>
      <c r="Z293" s="12"/>
      <c r="AA293" s="12"/>
      <c r="AB293" s="12"/>
      <c r="AC293" s="12"/>
      <c r="AD293" s="12"/>
      <c r="AE293" s="12"/>
      <c r="AF293" s="12"/>
    </row>
    <row r="294" spans="1:32" ht="13.2">
      <c r="A294" s="8"/>
      <c r="B294" s="8"/>
      <c r="C294" s="8"/>
      <c r="D294" s="8"/>
      <c r="E294" s="8"/>
      <c r="F294" s="8"/>
      <c r="G294" s="9"/>
      <c r="H294" s="8"/>
      <c r="I294" s="8"/>
      <c r="J294" s="8"/>
      <c r="K294" s="8"/>
      <c r="L294" s="8"/>
      <c r="M294" s="8"/>
      <c r="N294" s="8"/>
      <c r="O294" s="8"/>
      <c r="P294" s="8"/>
      <c r="Q294" s="8"/>
      <c r="R294" s="8"/>
      <c r="S294" s="8"/>
      <c r="T294" s="8"/>
      <c r="U294" s="12"/>
      <c r="V294" s="12"/>
      <c r="W294" s="12"/>
      <c r="X294" s="12"/>
      <c r="Y294" s="12"/>
      <c r="Z294" s="12"/>
      <c r="AA294" s="12"/>
      <c r="AB294" s="12"/>
      <c r="AC294" s="12"/>
      <c r="AD294" s="12"/>
      <c r="AE294" s="12"/>
      <c r="AF294" s="12"/>
    </row>
    <row r="295" spans="1:32" ht="13.2">
      <c r="A295" s="8"/>
      <c r="B295" s="8"/>
      <c r="C295" s="8"/>
      <c r="D295" s="8"/>
      <c r="E295" s="8"/>
      <c r="F295" s="8"/>
      <c r="G295" s="9"/>
      <c r="H295" s="8"/>
      <c r="I295" s="8"/>
      <c r="J295" s="8"/>
      <c r="K295" s="8"/>
      <c r="L295" s="8"/>
      <c r="M295" s="8"/>
      <c r="N295" s="8"/>
      <c r="O295" s="8"/>
      <c r="P295" s="8"/>
      <c r="Q295" s="8"/>
      <c r="R295" s="8"/>
      <c r="S295" s="8"/>
      <c r="T295" s="8"/>
      <c r="U295" s="12"/>
      <c r="V295" s="12"/>
      <c r="W295" s="12"/>
      <c r="X295" s="12"/>
      <c r="Y295" s="12"/>
      <c r="Z295" s="12"/>
      <c r="AA295" s="12"/>
      <c r="AB295" s="12"/>
      <c r="AC295" s="12"/>
      <c r="AD295" s="12"/>
      <c r="AE295" s="12"/>
      <c r="AF295" s="12"/>
    </row>
    <row r="296" spans="1:32" ht="13.2">
      <c r="A296" s="8"/>
      <c r="B296" s="8"/>
      <c r="C296" s="8"/>
      <c r="D296" s="8"/>
      <c r="E296" s="8"/>
      <c r="F296" s="8"/>
      <c r="G296" s="9"/>
      <c r="H296" s="8"/>
      <c r="I296" s="8"/>
      <c r="J296" s="8"/>
      <c r="K296" s="8"/>
      <c r="L296" s="8"/>
      <c r="M296" s="8"/>
      <c r="N296" s="8"/>
      <c r="O296" s="8"/>
      <c r="P296" s="8"/>
      <c r="Q296" s="8"/>
      <c r="R296" s="8"/>
      <c r="S296" s="8"/>
      <c r="T296" s="8"/>
      <c r="U296" s="12"/>
      <c r="V296" s="12"/>
      <c r="W296" s="12"/>
      <c r="X296" s="12"/>
      <c r="Y296" s="12"/>
      <c r="Z296" s="12"/>
      <c r="AA296" s="12"/>
      <c r="AB296" s="12"/>
      <c r="AC296" s="12"/>
      <c r="AD296" s="12"/>
      <c r="AE296" s="12"/>
      <c r="AF296" s="12"/>
    </row>
    <row r="297" spans="1:32" ht="13.2">
      <c r="A297" s="8"/>
      <c r="B297" s="8"/>
      <c r="C297" s="8"/>
      <c r="D297" s="8"/>
      <c r="E297" s="8"/>
      <c r="F297" s="8"/>
      <c r="G297" s="9"/>
      <c r="H297" s="8"/>
      <c r="I297" s="8"/>
      <c r="J297" s="8"/>
      <c r="K297" s="8"/>
      <c r="L297" s="8"/>
      <c r="M297" s="8"/>
      <c r="N297" s="8"/>
      <c r="O297" s="8"/>
      <c r="P297" s="8"/>
      <c r="Q297" s="8"/>
      <c r="R297" s="8"/>
      <c r="S297" s="8"/>
      <c r="T297" s="8"/>
      <c r="U297" s="12"/>
      <c r="V297" s="12"/>
      <c r="W297" s="12"/>
      <c r="X297" s="12"/>
      <c r="Y297" s="12"/>
      <c r="Z297" s="12"/>
      <c r="AA297" s="12"/>
      <c r="AB297" s="12"/>
      <c r="AC297" s="12"/>
      <c r="AD297" s="12"/>
      <c r="AE297" s="12"/>
      <c r="AF297" s="12"/>
    </row>
    <row r="298" spans="1:32" ht="13.2">
      <c r="A298" s="8"/>
      <c r="B298" s="8"/>
      <c r="C298" s="8"/>
      <c r="D298" s="8"/>
      <c r="E298" s="8"/>
      <c r="F298" s="8"/>
      <c r="G298" s="9"/>
      <c r="H298" s="8"/>
      <c r="I298" s="8"/>
      <c r="J298" s="8"/>
      <c r="K298" s="8"/>
      <c r="L298" s="8"/>
      <c r="M298" s="8"/>
      <c r="N298" s="8"/>
      <c r="O298" s="8"/>
      <c r="P298" s="8"/>
      <c r="Q298" s="8"/>
      <c r="R298" s="8"/>
      <c r="S298" s="8"/>
      <c r="T298" s="8"/>
      <c r="U298" s="12"/>
      <c r="V298" s="12"/>
      <c r="W298" s="12"/>
      <c r="X298" s="12"/>
      <c r="Y298" s="12"/>
      <c r="Z298" s="12"/>
      <c r="AA298" s="12"/>
      <c r="AB298" s="12"/>
      <c r="AC298" s="12"/>
      <c r="AD298" s="12"/>
      <c r="AE298" s="12"/>
      <c r="AF298" s="12"/>
    </row>
    <row r="299" spans="1:32" ht="13.2">
      <c r="A299" s="8"/>
      <c r="B299" s="8"/>
      <c r="C299" s="8"/>
      <c r="D299" s="8"/>
      <c r="E299" s="8"/>
      <c r="F299" s="8"/>
      <c r="G299" s="9"/>
      <c r="H299" s="8"/>
      <c r="I299" s="8"/>
      <c r="J299" s="8"/>
      <c r="K299" s="8"/>
      <c r="L299" s="8"/>
      <c r="M299" s="8"/>
      <c r="N299" s="8"/>
      <c r="O299" s="8"/>
      <c r="P299" s="8"/>
      <c r="Q299" s="8"/>
      <c r="R299" s="8"/>
      <c r="S299" s="8"/>
      <c r="T299" s="8"/>
      <c r="U299" s="12"/>
      <c r="V299" s="12"/>
      <c r="W299" s="12"/>
      <c r="X299" s="12"/>
      <c r="Y299" s="12"/>
      <c r="Z299" s="12"/>
      <c r="AA299" s="12"/>
      <c r="AB299" s="12"/>
      <c r="AC299" s="12"/>
      <c r="AD299" s="12"/>
      <c r="AE299" s="12"/>
      <c r="AF299" s="12"/>
    </row>
    <row r="300" spans="1:32" ht="13.2">
      <c r="A300" s="8"/>
      <c r="B300" s="8"/>
      <c r="C300" s="8"/>
      <c r="D300" s="8"/>
      <c r="E300" s="8"/>
      <c r="F300" s="8"/>
      <c r="G300" s="9"/>
      <c r="H300" s="8"/>
      <c r="I300" s="8"/>
      <c r="J300" s="8"/>
      <c r="K300" s="8"/>
      <c r="L300" s="8"/>
      <c r="M300" s="8"/>
      <c r="N300" s="8"/>
      <c r="O300" s="8"/>
      <c r="P300" s="8"/>
      <c r="Q300" s="8"/>
      <c r="R300" s="8"/>
      <c r="S300" s="8"/>
      <c r="T300" s="8"/>
      <c r="U300" s="12"/>
      <c r="V300" s="12"/>
      <c r="W300" s="12"/>
      <c r="X300" s="12"/>
      <c r="Y300" s="12"/>
      <c r="Z300" s="12"/>
      <c r="AA300" s="12"/>
      <c r="AB300" s="12"/>
      <c r="AC300" s="12"/>
      <c r="AD300" s="12"/>
      <c r="AE300" s="12"/>
      <c r="AF300" s="12"/>
    </row>
    <row r="301" spans="1:32" ht="13.2">
      <c r="A301" s="8"/>
      <c r="B301" s="8"/>
      <c r="C301" s="8"/>
      <c r="D301" s="8"/>
      <c r="E301" s="8"/>
      <c r="F301" s="8"/>
      <c r="G301" s="9"/>
      <c r="H301" s="8"/>
      <c r="I301" s="8"/>
      <c r="J301" s="8"/>
      <c r="K301" s="8"/>
      <c r="L301" s="8"/>
      <c r="M301" s="8"/>
      <c r="N301" s="8"/>
      <c r="O301" s="8"/>
      <c r="P301" s="8"/>
      <c r="Q301" s="8"/>
      <c r="R301" s="8"/>
      <c r="S301" s="8"/>
      <c r="T301" s="8"/>
      <c r="U301" s="12"/>
      <c r="V301" s="12"/>
      <c r="W301" s="12"/>
      <c r="X301" s="12"/>
      <c r="Y301" s="12"/>
      <c r="Z301" s="12"/>
      <c r="AA301" s="12"/>
      <c r="AB301" s="12"/>
      <c r="AC301" s="12"/>
      <c r="AD301" s="12"/>
      <c r="AE301" s="12"/>
      <c r="AF301" s="12"/>
    </row>
    <row r="302" spans="1:32" ht="13.2">
      <c r="A302" s="8"/>
      <c r="B302" s="8"/>
      <c r="C302" s="8"/>
      <c r="D302" s="8"/>
      <c r="E302" s="8"/>
      <c r="F302" s="8"/>
      <c r="G302" s="9"/>
      <c r="H302" s="8"/>
      <c r="I302" s="8"/>
      <c r="J302" s="8"/>
      <c r="K302" s="8"/>
      <c r="L302" s="8"/>
      <c r="M302" s="8"/>
      <c r="N302" s="8"/>
      <c r="O302" s="8"/>
      <c r="P302" s="8"/>
      <c r="Q302" s="8"/>
      <c r="R302" s="8"/>
      <c r="S302" s="8"/>
      <c r="T302" s="8"/>
      <c r="U302" s="12"/>
      <c r="V302" s="12"/>
      <c r="W302" s="12"/>
      <c r="X302" s="12"/>
      <c r="Y302" s="12"/>
      <c r="Z302" s="12"/>
      <c r="AA302" s="12"/>
      <c r="AB302" s="12"/>
      <c r="AC302" s="12"/>
      <c r="AD302" s="12"/>
      <c r="AE302" s="12"/>
      <c r="AF302" s="12"/>
    </row>
    <row r="303" spans="1:32" ht="13.2">
      <c r="A303" s="8"/>
      <c r="B303" s="8"/>
      <c r="C303" s="8"/>
      <c r="D303" s="8"/>
      <c r="E303" s="8"/>
      <c r="F303" s="8"/>
      <c r="G303" s="9"/>
      <c r="H303" s="8"/>
      <c r="I303" s="8"/>
      <c r="J303" s="8"/>
      <c r="K303" s="8"/>
      <c r="L303" s="8"/>
      <c r="M303" s="8"/>
      <c r="N303" s="8"/>
      <c r="O303" s="8"/>
      <c r="P303" s="8"/>
      <c r="Q303" s="8"/>
      <c r="R303" s="8"/>
      <c r="S303" s="8"/>
      <c r="T303" s="8"/>
      <c r="U303" s="12"/>
      <c r="V303" s="12"/>
      <c r="W303" s="12"/>
      <c r="X303" s="12"/>
      <c r="Y303" s="12"/>
      <c r="Z303" s="12"/>
      <c r="AA303" s="12"/>
      <c r="AB303" s="12"/>
      <c r="AC303" s="12"/>
      <c r="AD303" s="12"/>
      <c r="AE303" s="12"/>
      <c r="AF303" s="12"/>
    </row>
    <row r="304" spans="1:32" ht="13.2">
      <c r="A304" s="8"/>
      <c r="B304" s="8"/>
      <c r="C304" s="8"/>
      <c r="D304" s="8"/>
      <c r="E304" s="8"/>
      <c r="F304" s="8"/>
      <c r="G304" s="9"/>
      <c r="H304" s="8"/>
      <c r="I304" s="8"/>
      <c r="J304" s="8"/>
      <c r="K304" s="8"/>
      <c r="L304" s="8"/>
      <c r="M304" s="8"/>
      <c r="N304" s="8"/>
      <c r="O304" s="8"/>
      <c r="P304" s="8"/>
      <c r="Q304" s="8"/>
      <c r="R304" s="8"/>
      <c r="S304" s="8"/>
      <c r="T304" s="8"/>
      <c r="U304" s="12"/>
      <c r="V304" s="12"/>
      <c r="W304" s="12"/>
      <c r="X304" s="12"/>
      <c r="Y304" s="12"/>
      <c r="Z304" s="12"/>
      <c r="AA304" s="12"/>
      <c r="AB304" s="12"/>
      <c r="AC304" s="12"/>
      <c r="AD304" s="12"/>
      <c r="AE304" s="12"/>
      <c r="AF304" s="12"/>
    </row>
    <row r="305" spans="1:32" ht="13.2">
      <c r="A305" s="8"/>
      <c r="B305" s="8"/>
      <c r="C305" s="8"/>
      <c r="D305" s="8"/>
      <c r="E305" s="8"/>
      <c r="F305" s="8"/>
      <c r="G305" s="9"/>
      <c r="H305" s="8"/>
      <c r="I305" s="8"/>
      <c r="J305" s="8"/>
      <c r="K305" s="8"/>
      <c r="L305" s="8"/>
      <c r="M305" s="8"/>
      <c r="N305" s="8"/>
      <c r="O305" s="8"/>
      <c r="P305" s="8"/>
      <c r="Q305" s="8"/>
      <c r="R305" s="8"/>
      <c r="S305" s="8"/>
      <c r="T305" s="8"/>
      <c r="U305" s="12"/>
      <c r="V305" s="12"/>
      <c r="W305" s="12"/>
      <c r="X305" s="12"/>
      <c r="Y305" s="12"/>
      <c r="Z305" s="12"/>
      <c r="AA305" s="12"/>
      <c r="AB305" s="12"/>
      <c r="AC305" s="12"/>
      <c r="AD305" s="12"/>
      <c r="AE305" s="12"/>
      <c r="AF305" s="12"/>
    </row>
    <row r="306" spans="1:32" ht="13.2">
      <c r="A306" s="8"/>
      <c r="B306" s="8"/>
      <c r="C306" s="8"/>
      <c r="D306" s="8"/>
      <c r="E306" s="8"/>
      <c r="F306" s="8"/>
      <c r="G306" s="9"/>
      <c r="H306" s="8"/>
      <c r="I306" s="8"/>
      <c r="J306" s="8"/>
      <c r="K306" s="8"/>
      <c r="L306" s="8"/>
      <c r="M306" s="8"/>
      <c r="N306" s="8"/>
      <c r="O306" s="8"/>
      <c r="P306" s="8"/>
      <c r="Q306" s="8"/>
      <c r="R306" s="8"/>
      <c r="S306" s="8"/>
      <c r="T306" s="8"/>
      <c r="U306" s="12"/>
      <c r="V306" s="12"/>
      <c r="W306" s="12"/>
      <c r="X306" s="12"/>
      <c r="Y306" s="12"/>
      <c r="Z306" s="12"/>
      <c r="AA306" s="12"/>
      <c r="AB306" s="12"/>
      <c r="AC306" s="12"/>
      <c r="AD306" s="12"/>
      <c r="AE306" s="12"/>
      <c r="AF306" s="12"/>
    </row>
    <row r="307" spans="1:32" ht="13.2">
      <c r="A307" s="8"/>
      <c r="B307" s="8"/>
      <c r="C307" s="8"/>
      <c r="D307" s="8"/>
      <c r="E307" s="8"/>
      <c r="F307" s="8"/>
      <c r="G307" s="9"/>
      <c r="H307" s="8"/>
      <c r="I307" s="8"/>
      <c r="J307" s="8"/>
      <c r="K307" s="8"/>
      <c r="L307" s="8"/>
      <c r="M307" s="8"/>
      <c r="N307" s="8"/>
      <c r="O307" s="8"/>
      <c r="P307" s="8"/>
      <c r="Q307" s="8"/>
      <c r="R307" s="8"/>
      <c r="S307" s="8"/>
      <c r="T307" s="8"/>
      <c r="U307" s="12"/>
      <c r="V307" s="12"/>
      <c r="W307" s="12"/>
      <c r="X307" s="12"/>
      <c r="Y307" s="12"/>
      <c r="Z307" s="12"/>
      <c r="AA307" s="12"/>
      <c r="AB307" s="12"/>
      <c r="AC307" s="12"/>
      <c r="AD307" s="12"/>
      <c r="AE307" s="12"/>
      <c r="AF307" s="12"/>
    </row>
    <row r="308" spans="1:32" ht="13.2">
      <c r="A308" s="8"/>
      <c r="B308" s="8"/>
      <c r="C308" s="8"/>
      <c r="D308" s="8"/>
      <c r="E308" s="8"/>
      <c r="F308" s="8"/>
      <c r="G308" s="9"/>
      <c r="H308" s="8"/>
      <c r="I308" s="8"/>
      <c r="J308" s="8"/>
      <c r="K308" s="8"/>
      <c r="L308" s="8"/>
      <c r="M308" s="8"/>
      <c r="N308" s="8"/>
      <c r="O308" s="8"/>
      <c r="P308" s="8"/>
      <c r="Q308" s="8"/>
      <c r="R308" s="8"/>
      <c r="S308" s="8"/>
      <c r="T308" s="8"/>
      <c r="U308" s="12"/>
      <c r="V308" s="12"/>
      <c r="W308" s="12"/>
      <c r="X308" s="12"/>
      <c r="Y308" s="12"/>
      <c r="Z308" s="12"/>
      <c r="AA308" s="12"/>
      <c r="AB308" s="12"/>
      <c r="AC308" s="12"/>
      <c r="AD308" s="12"/>
      <c r="AE308" s="12"/>
      <c r="AF308" s="12"/>
    </row>
    <row r="309" spans="1:32" ht="13.2">
      <c r="A309" s="8"/>
      <c r="B309" s="8"/>
      <c r="C309" s="8"/>
      <c r="D309" s="8"/>
      <c r="E309" s="8"/>
      <c r="F309" s="8"/>
      <c r="G309" s="9"/>
      <c r="H309" s="8"/>
      <c r="I309" s="8"/>
      <c r="J309" s="8"/>
      <c r="K309" s="8"/>
      <c r="L309" s="8"/>
      <c r="M309" s="8"/>
      <c r="N309" s="8"/>
      <c r="O309" s="8"/>
      <c r="P309" s="8"/>
      <c r="Q309" s="8"/>
      <c r="R309" s="8"/>
      <c r="S309" s="8"/>
      <c r="T309" s="8"/>
      <c r="U309" s="12"/>
      <c r="V309" s="12"/>
      <c r="W309" s="12"/>
      <c r="X309" s="12"/>
      <c r="Y309" s="12"/>
      <c r="Z309" s="12"/>
      <c r="AA309" s="12"/>
      <c r="AB309" s="12"/>
      <c r="AC309" s="12"/>
      <c r="AD309" s="12"/>
      <c r="AE309" s="12"/>
      <c r="AF309" s="12"/>
    </row>
    <row r="310" spans="1:32" ht="13.2">
      <c r="A310" s="8"/>
      <c r="B310" s="8"/>
      <c r="C310" s="8"/>
      <c r="D310" s="8"/>
      <c r="E310" s="8"/>
      <c r="F310" s="8"/>
      <c r="G310" s="9"/>
      <c r="H310" s="8"/>
      <c r="I310" s="8"/>
      <c r="J310" s="8"/>
      <c r="K310" s="8"/>
      <c r="L310" s="8"/>
      <c r="M310" s="8"/>
      <c r="N310" s="8"/>
      <c r="O310" s="8"/>
      <c r="P310" s="8"/>
      <c r="Q310" s="8"/>
      <c r="R310" s="8"/>
      <c r="S310" s="8"/>
      <c r="T310" s="8"/>
      <c r="U310" s="12"/>
      <c r="V310" s="12"/>
      <c r="W310" s="12"/>
      <c r="X310" s="12"/>
      <c r="Y310" s="12"/>
      <c r="Z310" s="12"/>
      <c r="AA310" s="12"/>
      <c r="AB310" s="12"/>
      <c r="AC310" s="12"/>
      <c r="AD310" s="12"/>
      <c r="AE310" s="12"/>
      <c r="AF310" s="12"/>
    </row>
    <row r="311" spans="1:32" ht="13.2">
      <c r="A311" s="8"/>
      <c r="B311" s="8"/>
      <c r="C311" s="8"/>
      <c r="D311" s="8"/>
      <c r="E311" s="8"/>
      <c r="F311" s="8"/>
      <c r="G311" s="9"/>
      <c r="H311" s="8"/>
      <c r="I311" s="8"/>
      <c r="J311" s="8"/>
      <c r="K311" s="8"/>
      <c r="L311" s="8"/>
      <c r="M311" s="8"/>
      <c r="N311" s="8"/>
      <c r="O311" s="8"/>
      <c r="P311" s="8"/>
      <c r="Q311" s="8"/>
      <c r="R311" s="8"/>
      <c r="S311" s="8"/>
      <c r="T311" s="8"/>
      <c r="U311" s="12"/>
      <c r="V311" s="12"/>
      <c r="W311" s="12"/>
      <c r="X311" s="12"/>
      <c r="Y311" s="12"/>
      <c r="Z311" s="12"/>
      <c r="AA311" s="12"/>
      <c r="AB311" s="12"/>
      <c r="AC311" s="12"/>
      <c r="AD311" s="12"/>
      <c r="AE311" s="12"/>
      <c r="AF311" s="12"/>
    </row>
    <row r="312" spans="1:32" ht="13.2">
      <c r="A312" s="8"/>
      <c r="B312" s="8"/>
      <c r="C312" s="8"/>
      <c r="D312" s="8"/>
      <c r="E312" s="8"/>
      <c r="F312" s="8"/>
      <c r="G312" s="9"/>
      <c r="H312" s="8"/>
      <c r="I312" s="8"/>
      <c r="J312" s="8"/>
      <c r="K312" s="8"/>
      <c r="L312" s="8"/>
      <c r="M312" s="8"/>
      <c r="N312" s="8"/>
      <c r="O312" s="8"/>
      <c r="P312" s="8"/>
      <c r="Q312" s="8"/>
      <c r="R312" s="8"/>
      <c r="S312" s="8"/>
      <c r="T312" s="8"/>
      <c r="U312" s="12"/>
      <c r="V312" s="12"/>
      <c r="W312" s="12"/>
      <c r="X312" s="12"/>
      <c r="Y312" s="12"/>
      <c r="Z312" s="12"/>
      <c r="AA312" s="12"/>
      <c r="AB312" s="12"/>
      <c r="AC312" s="12"/>
      <c r="AD312" s="12"/>
      <c r="AE312" s="12"/>
      <c r="AF312" s="12"/>
    </row>
    <row r="313" spans="1:32" ht="13.2">
      <c r="A313" s="8"/>
      <c r="B313" s="8"/>
      <c r="C313" s="8"/>
      <c r="D313" s="8"/>
      <c r="E313" s="8"/>
      <c r="F313" s="8"/>
      <c r="G313" s="9"/>
      <c r="H313" s="8"/>
      <c r="I313" s="8"/>
      <c r="J313" s="8"/>
      <c r="K313" s="8"/>
      <c r="L313" s="8"/>
      <c r="M313" s="8"/>
      <c r="N313" s="8"/>
      <c r="O313" s="8"/>
      <c r="P313" s="8"/>
      <c r="Q313" s="8"/>
      <c r="R313" s="8"/>
      <c r="S313" s="8"/>
      <c r="T313" s="8"/>
      <c r="U313" s="12"/>
      <c r="V313" s="12"/>
      <c r="W313" s="12"/>
      <c r="X313" s="12"/>
      <c r="Y313" s="12"/>
      <c r="Z313" s="12"/>
      <c r="AA313" s="12"/>
      <c r="AB313" s="12"/>
      <c r="AC313" s="12"/>
      <c r="AD313" s="12"/>
      <c r="AE313" s="12"/>
      <c r="AF313" s="12"/>
    </row>
    <row r="314" spans="1:32" ht="13.2">
      <c r="A314" s="8"/>
      <c r="B314" s="8"/>
      <c r="C314" s="8"/>
      <c r="D314" s="8"/>
      <c r="E314" s="8"/>
      <c r="F314" s="8"/>
      <c r="G314" s="9"/>
      <c r="H314" s="8"/>
      <c r="I314" s="8"/>
      <c r="J314" s="8"/>
      <c r="K314" s="8"/>
      <c r="L314" s="8"/>
      <c r="M314" s="8"/>
      <c r="N314" s="8"/>
      <c r="O314" s="8"/>
      <c r="P314" s="8"/>
      <c r="Q314" s="8"/>
      <c r="R314" s="8"/>
      <c r="S314" s="8"/>
      <c r="T314" s="8"/>
      <c r="U314" s="12"/>
      <c r="V314" s="12"/>
      <c r="W314" s="12"/>
      <c r="X314" s="12"/>
      <c r="Y314" s="12"/>
      <c r="Z314" s="12"/>
      <c r="AA314" s="12"/>
      <c r="AB314" s="12"/>
      <c r="AC314" s="12"/>
      <c r="AD314" s="12"/>
      <c r="AE314" s="12"/>
      <c r="AF314" s="12"/>
    </row>
    <row r="315" spans="1:32" ht="13.2">
      <c r="A315" s="8"/>
      <c r="B315" s="8"/>
      <c r="C315" s="8"/>
      <c r="D315" s="8"/>
      <c r="E315" s="8"/>
      <c r="F315" s="8"/>
      <c r="G315" s="9"/>
      <c r="H315" s="8"/>
      <c r="I315" s="8"/>
      <c r="J315" s="8"/>
      <c r="K315" s="8"/>
      <c r="L315" s="8"/>
      <c r="M315" s="8"/>
      <c r="N315" s="8"/>
      <c r="O315" s="8"/>
      <c r="P315" s="8"/>
      <c r="Q315" s="8"/>
      <c r="R315" s="8"/>
      <c r="S315" s="8"/>
      <c r="T315" s="8"/>
      <c r="U315" s="12"/>
      <c r="V315" s="12"/>
      <c r="W315" s="12"/>
      <c r="X315" s="12"/>
      <c r="Y315" s="12"/>
      <c r="Z315" s="12"/>
      <c r="AA315" s="12"/>
      <c r="AB315" s="12"/>
      <c r="AC315" s="12"/>
      <c r="AD315" s="12"/>
      <c r="AE315" s="12"/>
      <c r="AF315" s="12"/>
    </row>
    <row r="316" spans="1:32" ht="13.2">
      <c r="A316" s="8"/>
      <c r="B316" s="8"/>
      <c r="C316" s="8"/>
      <c r="D316" s="8"/>
      <c r="E316" s="8"/>
      <c r="F316" s="8"/>
      <c r="G316" s="9"/>
      <c r="H316" s="8"/>
      <c r="I316" s="8"/>
      <c r="J316" s="8"/>
      <c r="K316" s="8"/>
      <c r="L316" s="8"/>
      <c r="M316" s="8"/>
      <c r="N316" s="8"/>
      <c r="O316" s="8"/>
      <c r="P316" s="8"/>
      <c r="Q316" s="8"/>
      <c r="R316" s="8"/>
      <c r="S316" s="8"/>
      <c r="T316" s="8"/>
      <c r="U316" s="12"/>
      <c r="V316" s="12"/>
      <c r="W316" s="12"/>
      <c r="X316" s="12"/>
      <c r="Y316" s="12"/>
      <c r="Z316" s="12"/>
      <c r="AA316" s="12"/>
      <c r="AB316" s="12"/>
      <c r="AC316" s="12"/>
      <c r="AD316" s="12"/>
      <c r="AE316" s="12"/>
      <c r="AF316" s="12"/>
    </row>
    <row r="317" spans="1:32" ht="13.2">
      <c r="A317" s="8"/>
      <c r="B317" s="8"/>
      <c r="C317" s="8"/>
      <c r="D317" s="8"/>
      <c r="E317" s="8"/>
      <c r="F317" s="8"/>
      <c r="G317" s="9"/>
      <c r="H317" s="8"/>
      <c r="I317" s="8"/>
      <c r="J317" s="8"/>
      <c r="K317" s="8"/>
      <c r="L317" s="8"/>
      <c r="M317" s="8"/>
      <c r="N317" s="8"/>
      <c r="O317" s="8"/>
      <c r="P317" s="8"/>
      <c r="Q317" s="8"/>
      <c r="R317" s="8"/>
      <c r="S317" s="8"/>
      <c r="T317" s="8"/>
      <c r="U317" s="12"/>
      <c r="V317" s="12"/>
      <c r="W317" s="12"/>
      <c r="X317" s="12"/>
      <c r="Y317" s="12"/>
      <c r="Z317" s="12"/>
      <c r="AA317" s="12"/>
      <c r="AB317" s="12"/>
      <c r="AC317" s="12"/>
      <c r="AD317" s="12"/>
      <c r="AE317" s="12"/>
      <c r="AF317" s="12"/>
    </row>
    <row r="318" spans="1:32" ht="13.2">
      <c r="A318" s="8"/>
      <c r="B318" s="8"/>
      <c r="C318" s="8"/>
      <c r="D318" s="8"/>
      <c r="E318" s="8"/>
      <c r="F318" s="8"/>
      <c r="G318" s="9"/>
      <c r="H318" s="8"/>
      <c r="I318" s="8"/>
      <c r="J318" s="8"/>
      <c r="K318" s="8"/>
      <c r="L318" s="8"/>
      <c r="M318" s="8"/>
      <c r="N318" s="8"/>
      <c r="O318" s="8"/>
      <c r="P318" s="8"/>
      <c r="Q318" s="8"/>
      <c r="R318" s="8"/>
      <c r="S318" s="8"/>
      <c r="T318" s="8"/>
      <c r="U318" s="12"/>
      <c r="V318" s="12"/>
      <c r="W318" s="12"/>
      <c r="X318" s="12"/>
      <c r="Y318" s="12"/>
      <c r="Z318" s="12"/>
      <c r="AA318" s="12"/>
      <c r="AB318" s="12"/>
      <c r="AC318" s="12"/>
      <c r="AD318" s="12"/>
      <c r="AE318" s="12"/>
      <c r="AF318" s="12"/>
    </row>
    <row r="319" spans="1:32" ht="13.2">
      <c r="A319" s="8"/>
      <c r="B319" s="8"/>
      <c r="C319" s="8"/>
      <c r="D319" s="8"/>
      <c r="E319" s="8"/>
      <c r="F319" s="8"/>
      <c r="G319" s="9"/>
      <c r="H319" s="8"/>
      <c r="I319" s="8"/>
      <c r="J319" s="8"/>
      <c r="K319" s="8"/>
      <c r="L319" s="8"/>
      <c r="M319" s="8"/>
      <c r="N319" s="8"/>
      <c r="O319" s="8"/>
      <c r="P319" s="8"/>
      <c r="Q319" s="8"/>
      <c r="R319" s="8"/>
      <c r="S319" s="8"/>
      <c r="T319" s="8"/>
      <c r="U319" s="12"/>
      <c r="V319" s="12"/>
      <c r="W319" s="12"/>
      <c r="X319" s="12"/>
      <c r="Y319" s="12"/>
      <c r="Z319" s="12"/>
      <c r="AA319" s="12"/>
      <c r="AB319" s="12"/>
      <c r="AC319" s="12"/>
      <c r="AD319" s="12"/>
      <c r="AE319" s="12"/>
      <c r="AF319" s="12"/>
    </row>
    <row r="320" spans="1:32" ht="13.2">
      <c r="A320" s="8"/>
      <c r="B320" s="8"/>
      <c r="C320" s="8"/>
      <c r="D320" s="8"/>
      <c r="E320" s="8"/>
      <c r="F320" s="8"/>
      <c r="G320" s="9"/>
      <c r="H320" s="8"/>
      <c r="I320" s="8"/>
      <c r="J320" s="8"/>
      <c r="K320" s="8"/>
      <c r="L320" s="8"/>
      <c r="M320" s="8"/>
      <c r="N320" s="8"/>
      <c r="O320" s="8"/>
      <c r="P320" s="8"/>
      <c r="Q320" s="8"/>
      <c r="R320" s="8"/>
      <c r="S320" s="8"/>
      <c r="T320" s="8"/>
      <c r="U320" s="12"/>
      <c r="V320" s="12"/>
      <c r="W320" s="12"/>
      <c r="X320" s="12"/>
      <c r="Y320" s="12"/>
      <c r="Z320" s="12"/>
      <c r="AA320" s="12"/>
      <c r="AB320" s="12"/>
      <c r="AC320" s="12"/>
      <c r="AD320" s="12"/>
      <c r="AE320" s="12"/>
      <c r="AF320" s="12"/>
    </row>
    <row r="321" spans="1:32" ht="13.2">
      <c r="A321" s="8"/>
      <c r="B321" s="8"/>
      <c r="C321" s="8"/>
      <c r="D321" s="8"/>
      <c r="E321" s="8"/>
      <c r="F321" s="8"/>
      <c r="G321" s="9"/>
      <c r="H321" s="8"/>
      <c r="I321" s="8"/>
      <c r="J321" s="8"/>
      <c r="K321" s="8"/>
      <c r="L321" s="8"/>
      <c r="M321" s="8"/>
      <c r="N321" s="8"/>
      <c r="O321" s="8"/>
      <c r="P321" s="8"/>
      <c r="Q321" s="8"/>
      <c r="R321" s="8"/>
      <c r="S321" s="8"/>
      <c r="T321" s="8"/>
      <c r="U321" s="12"/>
      <c r="V321" s="12"/>
      <c r="W321" s="12"/>
      <c r="X321" s="12"/>
      <c r="Y321" s="12"/>
      <c r="Z321" s="12"/>
      <c r="AA321" s="12"/>
      <c r="AB321" s="12"/>
      <c r="AC321" s="12"/>
      <c r="AD321" s="12"/>
      <c r="AE321" s="12"/>
      <c r="AF321" s="12"/>
    </row>
    <row r="322" spans="1:32" ht="13.2">
      <c r="A322" s="8"/>
      <c r="B322" s="8"/>
      <c r="C322" s="8"/>
      <c r="D322" s="8"/>
      <c r="E322" s="8"/>
      <c r="F322" s="8"/>
      <c r="G322" s="9"/>
      <c r="H322" s="8"/>
      <c r="I322" s="8"/>
      <c r="J322" s="8"/>
      <c r="K322" s="8"/>
      <c r="L322" s="8"/>
      <c r="M322" s="8"/>
      <c r="N322" s="8"/>
      <c r="O322" s="8"/>
      <c r="P322" s="8"/>
      <c r="Q322" s="8"/>
      <c r="R322" s="8"/>
      <c r="S322" s="8"/>
      <c r="T322" s="8"/>
      <c r="U322" s="12"/>
      <c r="V322" s="12"/>
      <c r="W322" s="12"/>
      <c r="X322" s="12"/>
      <c r="Y322" s="12"/>
      <c r="Z322" s="12"/>
      <c r="AA322" s="12"/>
      <c r="AB322" s="12"/>
      <c r="AC322" s="12"/>
      <c r="AD322" s="12"/>
      <c r="AE322" s="12"/>
      <c r="AF322" s="12"/>
    </row>
    <row r="323" spans="1:32" ht="13.2">
      <c r="A323" s="8"/>
      <c r="B323" s="8"/>
      <c r="C323" s="8"/>
      <c r="D323" s="8"/>
      <c r="E323" s="8"/>
      <c r="F323" s="8"/>
      <c r="G323" s="9"/>
      <c r="H323" s="8"/>
      <c r="I323" s="8"/>
      <c r="J323" s="8"/>
      <c r="K323" s="8"/>
      <c r="L323" s="8"/>
      <c r="M323" s="8"/>
      <c r="N323" s="8"/>
      <c r="O323" s="8"/>
      <c r="P323" s="8"/>
      <c r="Q323" s="8"/>
      <c r="R323" s="8"/>
      <c r="S323" s="8"/>
      <c r="T323" s="8"/>
      <c r="U323" s="12"/>
      <c r="V323" s="12"/>
      <c r="W323" s="12"/>
      <c r="X323" s="12"/>
      <c r="Y323" s="12"/>
      <c r="Z323" s="12"/>
      <c r="AA323" s="12"/>
      <c r="AB323" s="12"/>
      <c r="AC323" s="12"/>
      <c r="AD323" s="12"/>
      <c r="AE323" s="12"/>
      <c r="AF323" s="12"/>
    </row>
    <row r="324" spans="1:32" ht="13.2">
      <c r="A324" s="8"/>
      <c r="B324" s="8"/>
      <c r="C324" s="8"/>
      <c r="D324" s="8"/>
      <c r="E324" s="8"/>
      <c r="F324" s="8"/>
      <c r="G324" s="9"/>
      <c r="H324" s="8"/>
      <c r="I324" s="8"/>
      <c r="J324" s="8"/>
      <c r="K324" s="8"/>
      <c r="L324" s="8"/>
      <c r="M324" s="8"/>
      <c r="N324" s="8"/>
      <c r="O324" s="8"/>
      <c r="P324" s="8"/>
      <c r="Q324" s="8"/>
      <c r="R324" s="8"/>
      <c r="S324" s="8"/>
      <c r="T324" s="8"/>
      <c r="U324" s="12"/>
      <c r="V324" s="12"/>
      <c r="W324" s="12"/>
      <c r="X324" s="12"/>
      <c r="Y324" s="12"/>
      <c r="Z324" s="12"/>
      <c r="AA324" s="12"/>
      <c r="AB324" s="12"/>
      <c r="AC324" s="12"/>
      <c r="AD324" s="12"/>
      <c r="AE324" s="12"/>
      <c r="AF324" s="12"/>
    </row>
    <row r="325" spans="1:32" ht="13.2">
      <c r="A325" s="8"/>
      <c r="B325" s="8"/>
      <c r="C325" s="8"/>
      <c r="D325" s="8"/>
      <c r="E325" s="8"/>
      <c r="F325" s="8"/>
      <c r="G325" s="9"/>
      <c r="H325" s="8"/>
      <c r="I325" s="8"/>
      <c r="J325" s="8"/>
      <c r="K325" s="8"/>
      <c r="L325" s="8"/>
      <c r="M325" s="8"/>
      <c r="N325" s="8"/>
      <c r="O325" s="8"/>
      <c r="P325" s="8"/>
      <c r="Q325" s="8"/>
      <c r="R325" s="8"/>
      <c r="S325" s="8"/>
      <c r="T325" s="8"/>
      <c r="U325" s="12"/>
      <c r="V325" s="12"/>
      <c r="W325" s="12"/>
      <c r="X325" s="12"/>
      <c r="Y325" s="12"/>
      <c r="Z325" s="12"/>
      <c r="AA325" s="12"/>
      <c r="AB325" s="12"/>
      <c r="AC325" s="12"/>
      <c r="AD325" s="12"/>
      <c r="AE325" s="12"/>
      <c r="AF325" s="12"/>
    </row>
    <row r="326" spans="1:32" ht="13.2">
      <c r="A326" s="8"/>
      <c r="B326" s="8"/>
      <c r="C326" s="8"/>
      <c r="D326" s="8"/>
      <c r="E326" s="8"/>
      <c r="F326" s="8"/>
      <c r="G326" s="9"/>
      <c r="H326" s="8"/>
      <c r="I326" s="8"/>
      <c r="J326" s="8"/>
      <c r="K326" s="8"/>
      <c r="L326" s="8"/>
      <c r="M326" s="8"/>
      <c r="N326" s="8"/>
      <c r="O326" s="8"/>
      <c r="P326" s="8"/>
      <c r="Q326" s="8"/>
      <c r="R326" s="8"/>
      <c r="S326" s="8"/>
      <c r="T326" s="8"/>
      <c r="U326" s="12"/>
      <c r="V326" s="12"/>
      <c r="W326" s="12"/>
      <c r="X326" s="12"/>
      <c r="Y326" s="12"/>
      <c r="Z326" s="12"/>
      <c r="AA326" s="12"/>
      <c r="AB326" s="12"/>
      <c r="AC326" s="12"/>
      <c r="AD326" s="12"/>
      <c r="AE326" s="12"/>
      <c r="AF326" s="12"/>
    </row>
    <row r="327" spans="1:32" ht="13.2">
      <c r="A327" s="8"/>
      <c r="B327" s="8"/>
      <c r="C327" s="8"/>
      <c r="D327" s="8"/>
      <c r="E327" s="8"/>
      <c r="F327" s="8"/>
      <c r="G327" s="9"/>
      <c r="H327" s="8"/>
      <c r="I327" s="8"/>
      <c r="J327" s="8"/>
      <c r="K327" s="8"/>
      <c r="L327" s="8"/>
      <c r="M327" s="8"/>
      <c r="N327" s="8"/>
      <c r="O327" s="8"/>
      <c r="P327" s="8"/>
      <c r="Q327" s="8"/>
      <c r="R327" s="8"/>
      <c r="S327" s="8"/>
      <c r="T327" s="8"/>
      <c r="U327" s="12"/>
      <c r="V327" s="12"/>
      <c r="W327" s="12"/>
      <c r="X327" s="12"/>
      <c r="Y327" s="12"/>
      <c r="Z327" s="12"/>
      <c r="AA327" s="12"/>
      <c r="AB327" s="12"/>
      <c r="AC327" s="12"/>
      <c r="AD327" s="12"/>
      <c r="AE327" s="12"/>
      <c r="AF327" s="12"/>
    </row>
    <row r="328" spans="1:32" ht="13.2">
      <c r="A328" s="8"/>
      <c r="B328" s="8"/>
      <c r="C328" s="8"/>
      <c r="D328" s="8"/>
      <c r="E328" s="8"/>
      <c r="F328" s="8"/>
      <c r="G328" s="9"/>
      <c r="H328" s="8"/>
      <c r="I328" s="8"/>
      <c r="J328" s="8"/>
      <c r="K328" s="8"/>
      <c r="L328" s="8"/>
      <c r="M328" s="8"/>
      <c r="N328" s="8"/>
      <c r="O328" s="8"/>
      <c r="P328" s="8"/>
      <c r="Q328" s="8"/>
      <c r="R328" s="8"/>
      <c r="S328" s="8"/>
      <c r="T328" s="8"/>
      <c r="U328" s="12"/>
      <c r="V328" s="12"/>
      <c r="W328" s="12"/>
      <c r="X328" s="12"/>
      <c r="Y328" s="12"/>
      <c r="Z328" s="12"/>
      <c r="AA328" s="12"/>
      <c r="AB328" s="12"/>
      <c r="AC328" s="12"/>
      <c r="AD328" s="12"/>
      <c r="AE328" s="12"/>
      <c r="AF328" s="12"/>
    </row>
    <row r="329" spans="1:32" ht="13.2">
      <c r="A329" s="8"/>
      <c r="B329" s="8"/>
      <c r="C329" s="8"/>
      <c r="D329" s="8"/>
      <c r="E329" s="8"/>
      <c r="F329" s="8"/>
      <c r="G329" s="9"/>
      <c r="H329" s="8"/>
      <c r="I329" s="8"/>
      <c r="J329" s="8"/>
      <c r="K329" s="8"/>
      <c r="L329" s="8"/>
      <c r="M329" s="8"/>
      <c r="N329" s="8"/>
      <c r="O329" s="8"/>
      <c r="P329" s="8"/>
      <c r="Q329" s="8"/>
      <c r="R329" s="8"/>
      <c r="S329" s="8"/>
      <c r="T329" s="8"/>
      <c r="U329" s="12"/>
      <c r="V329" s="12"/>
      <c r="W329" s="12"/>
      <c r="X329" s="12"/>
      <c r="Y329" s="12"/>
      <c r="Z329" s="12"/>
      <c r="AA329" s="12"/>
      <c r="AB329" s="12"/>
      <c r="AC329" s="12"/>
      <c r="AD329" s="12"/>
      <c r="AE329" s="12"/>
      <c r="AF329" s="12"/>
    </row>
    <row r="330" spans="1:32" ht="13.2">
      <c r="A330" s="8"/>
      <c r="B330" s="8"/>
      <c r="C330" s="8"/>
      <c r="D330" s="8"/>
      <c r="E330" s="8"/>
      <c r="F330" s="8"/>
      <c r="G330" s="9"/>
      <c r="H330" s="8"/>
      <c r="I330" s="8"/>
      <c r="J330" s="8"/>
      <c r="K330" s="8"/>
      <c r="L330" s="8"/>
      <c r="M330" s="8"/>
      <c r="N330" s="8"/>
      <c r="O330" s="8"/>
      <c r="P330" s="8"/>
      <c r="Q330" s="8"/>
      <c r="R330" s="8"/>
      <c r="S330" s="8"/>
      <c r="T330" s="8"/>
      <c r="U330" s="12"/>
      <c r="V330" s="12"/>
      <c r="W330" s="12"/>
      <c r="X330" s="12"/>
      <c r="Y330" s="12"/>
      <c r="Z330" s="12"/>
      <c r="AA330" s="12"/>
      <c r="AB330" s="12"/>
      <c r="AC330" s="12"/>
      <c r="AD330" s="12"/>
      <c r="AE330" s="12"/>
      <c r="AF330" s="12"/>
    </row>
    <row r="331" spans="1:32" ht="13.2">
      <c r="A331" s="8"/>
      <c r="B331" s="8"/>
      <c r="C331" s="8"/>
      <c r="D331" s="8"/>
      <c r="E331" s="8"/>
      <c r="F331" s="8"/>
      <c r="G331" s="9"/>
      <c r="H331" s="8"/>
      <c r="I331" s="8"/>
      <c r="J331" s="8"/>
      <c r="K331" s="8"/>
      <c r="L331" s="8"/>
      <c r="M331" s="8"/>
      <c r="N331" s="8"/>
      <c r="O331" s="8"/>
      <c r="P331" s="8"/>
      <c r="Q331" s="8"/>
      <c r="R331" s="8"/>
      <c r="S331" s="8"/>
      <c r="T331" s="8"/>
      <c r="U331" s="12"/>
      <c r="V331" s="12"/>
      <c r="W331" s="12"/>
      <c r="X331" s="12"/>
      <c r="Y331" s="12"/>
      <c r="Z331" s="12"/>
      <c r="AA331" s="12"/>
      <c r="AB331" s="12"/>
      <c r="AC331" s="12"/>
      <c r="AD331" s="12"/>
      <c r="AE331" s="12"/>
      <c r="AF331" s="12"/>
    </row>
    <row r="332" spans="1:32" ht="13.2">
      <c r="A332" s="8"/>
      <c r="B332" s="8"/>
      <c r="C332" s="8"/>
      <c r="D332" s="8"/>
      <c r="E332" s="8"/>
      <c r="F332" s="8"/>
      <c r="G332" s="9"/>
      <c r="H332" s="8"/>
      <c r="I332" s="8"/>
      <c r="J332" s="8"/>
      <c r="K332" s="8"/>
      <c r="L332" s="8"/>
      <c r="M332" s="8"/>
      <c r="N332" s="8"/>
      <c r="O332" s="8"/>
      <c r="P332" s="8"/>
      <c r="Q332" s="8"/>
      <c r="R332" s="8"/>
      <c r="S332" s="8"/>
      <c r="T332" s="8"/>
      <c r="U332" s="12"/>
      <c r="V332" s="12"/>
      <c r="W332" s="12"/>
      <c r="X332" s="12"/>
      <c r="Y332" s="12"/>
      <c r="Z332" s="12"/>
      <c r="AA332" s="12"/>
      <c r="AB332" s="12"/>
      <c r="AC332" s="12"/>
      <c r="AD332" s="12"/>
      <c r="AE332" s="12"/>
      <c r="AF332" s="12"/>
    </row>
    <row r="333" spans="1:32" ht="13.2">
      <c r="A333" s="8"/>
      <c r="B333" s="8"/>
      <c r="C333" s="8"/>
      <c r="D333" s="8"/>
      <c r="E333" s="8"/>
      <c r="F333" s="8"/>
      <c r="G333" s="9"/>
      <c r="H333" s="8"/>
      <c r="I333" s="8"/>
      <c r="J333" s="8"/>
      <c r="K333" s="8"/>
      <c r="L333" s="8"/>
      <c r="M333" s="8"/>
      <c r="N333" s="8"/>
      <c r="O333" s="8"/>
      <c r="P333" s="8"/>
      <c r="Q333" s="8"/>
      <c r="R333" s="8"/>
      <c r="S333" s="8"/>
      <c r="T333" s="8"/>
      <c r="U333" s="12"/>
      <c r="V333" s="12"/>
      <c r="W333" s="12"/>
      <c r="X333" s="12"/>
      <c r="Y333" s="12"/>
      <c r="Z333" s="12"/>
      <c r="AA333" s="12"/>
      <c r="AB333" s="12"/>
      <c r="AC333" s="12"/>
      <c r="AD333" s="12"/>
      <c r="AE333" s="12"/>
      <c r="AF333" s="12"/>
    </row>
    <row r="334" spans="1:32" ht="13.2">
      <c r="A334" s="8"/>
      <c r="B334" s="8"/>
      <c r="C334" s="8"/>
      <c r="D334" s="8"/>
      <c r="E334" s="8"/>
      <c r="F334" s="8"/>
      <c r="G334" s="9"/>
      <c r="H334" s="8"/>
      <c r="I334" s="8"/>
      <c r="J334" s="8"/>
      <c r="K334" s="8"/>
      <c r="L334" s="8"/>
      <c r="M334" s="8"/>
      <c r="N334" s="8"/>
      <c r="O334" s="8"/>
      <c r="P334" s="8"/>
      <c r="Q334" s="8"/>
      <c r="R334" s="8"/>
      <c r="S334" s="8"/>
      <c r="T334" s="8"/>
      <c r="U334" s="12"/>
      <c r="V334" s="12"/>
      <c r="W334" s="12"/>
      <c r="X334" s="12"/>
      <c r="Y334" s="12"/>
      <c r="Z334" s="12"/>
      <c r="AA334" s="12"/>
      <c r="AB334" s="12"/>
      <c r="AC334" s="12"/>
      <c r="AD334" s="12"/>
      <c r="AE334" s="12"/>
      <c r="AF334" s="12"/>
    </row>
    <row r="335" spans="1:32" ht="13.2">
      <c r="A335" s="8"/>
      <c r="B335" s="8"/>
      <c r="C335" s="8"/>
      <c r="D335" s="8"/>
      <c r="E335" s="8"/>
      <c r="F335" s="8"/>
      <c r="G335" s="9"/>
      <c r="H335" s="8"/>
      <c r="I335" s="8"/>
      <c r="J335" s="8"/>
      <c r="K335" s="8"/>
      <c r="L335" s="8"/>
      <c r="M335" s="8"/>
      <c r="N335" s="8"/>
      <c r="O335" s="8"/>
      <c r="P335" s="8"/>
      <c r="Q335" s="8"/>
      <c r="R335" s="8"/>
      <c r="S335" s="8"/>
      <c r="T335" s="8"/>
      <c r="U335" s="12"/>
      <c r="V335" s="12"/>
      <c r="W335" s="12"/>
      <c r="X335" s="12"/>
      <c r="Y335" s="12"/>
      <c r="Z335" s="12"/>
      <c r="AA335" s="12"/>
      <c r="AB335" s="12"/>
      <c r="AC335" s="12"/>
      <c r="AD335" s="12"/>
      <c r="AE335" s="12"/>
      <c r="AF335" s="12"/>
    </row>
    <row r="336" spans="1:32" ht="13.2">
      <c r="A336" s="8"/>
      <c r="B336" s="8"/>
      <c r="C336" s="8"/>
      <c r="D336" s="8"/>
      <c r="E336" s="8"/>
      <c r="F336" s="8"/>
      <c r="G336" s="9"/>
      <c r="H336" s="8"/>
      <c r="I336" s="8"/>
      <c r="J336" s="8"/>
      <c r="K336" s="8"/>
      <c r="L336" s="8"/>
      <c r="M336" s="8"/>
      <c r="N336" s="8"/>
      <c r="O336" s="8"/>
      <c r="P336" s="8"/>
      <c r="Q336" s="8"/>
      <c r="R336" s="8"/>
      <c r="S336" s="8"/>
      <c r="T336" s="8"/>
      <c r="U336" s="12"/>
      <c r="V336" s="12"/>
      <c r="W336" s="12"/>
      <c r="X336" s="12"/>
      <c r="Y336" s="12"/>
      <c r="Z336" s="12"/>
      <c r="AA336" s="12"/>
      <c r="AB336" s="12"/>
      <c r="AC336" s="12"/>
      <c r="AD336" s="12"/>
      <c r="AE336" s="12"/>
      <c r="AF336" s="12"/>
    </row>
    <row r="337" spans="1:32" ht="13.2">
      <c r="A337" s="8"/>
      <c r="B337" s="8"/>
      <c r="C337" s="8"/>
      <c r="D337" s="8"/>
      <c r="E337" s="8"/>
      <c r="F337" s="8"/>
      <c r="G337" s="9"/>
      <c r="H337" s="8"/>
      <c r="I337" s="8"/>
      <c r="J337" s="8"/>
      <c r="K337" s="8"/>
      <c r="L337" s="8"/>
      <c r="M337" s="8"/>
      <c r="N337" s="8"/>
      <c r="O337" s="8"/>
      <c r="P337" s="8"/>
      <c r="Q337" s="8"/>
      <c r="R337" s="8"/>
      <c r="S337" s="8"/>
      <c r="T337" s="8"/>
      <c r="U337" s="12"/>
      <c r="V337" s="12"/>
      <c r="W337" s="12"/>
      <c r="X337" s="12"/>
      <c r="Y337" s="12"/>
      <c r="Z337" s="12"/>
      <c r="AA337" s="12"/>
      <c r="AB337" s="12"/>
      <c r="AC337" s="12"/>
      <c r="AD337" s="12"/>
      <c r="AE337" s="12"/>
      <c r="AF337" s="12"/>
    </row>
    <row r="338" spans="1:32" ht="13.2">
      <c r="A338" s="8"/>
      <c r="B338" s="8"/>
      <c r="C338" s="8"/>
      <c r="D338" s="8"/>
      <c r="E338" s="8"/>
      <c r="F338" s="8"/>
      <c r="G338" s="9"/>
      <c r="H338" s="8"/>
      <c r="I338" s="8"/>
      <c r="J338" s="8"/>
      <c r="K338" s="8"/>
      <c r="L338" s="8"/>
      <c r="M338" s="8"/>
      <c r="N338" s="8"/>
      <c r="O338" s="8"/>
      <c r="P338" s="8"/>
      <c r="Q338" s="8"/>
      <c r="R338" s="8"/>
      <c r="S338" s="8"/>
      <c r="T338" s="8"/>
      <c r="U338" s="12"/>
      <c r="V338" s="12"/>
      <c r="W338" s="12"/>
      <c r="X338" s="12"/>
      <c r="Y338" s="12"/>
      <c r="Z338" s="12"/>
      <c r="AA338" s="12"/>
      <c r="AB338" s="12"/>
      <c r="AC338" s="12"/>
      <c r="AD338" s="12"/>
      <c r="AE338" s="12"/>
      <c r="AF338" s="12"/>
    </row>
    <row r="339" spans="1:32" ht="13.2">
      <c r="A339" s="8"/>
      <c r="B339" s="8"/>
      <c r="C339" s="8"/>
      <c r="D339" s="8"/>
      <c r="E339" s="8"/>
      <c r="F339" s="8"/>
      <c r="G339" s="9"/>
      <c r="H339" s="8"/>
      <c r="I339" s="8"/>
      <c r="J339" s="8"/>
      <c r="K339" s="8"/>
      <c r="L339" s="8"/>
      <c r="M339" s="8"/>
      <c r="N339" s="8"/>
      <c r="O339" s="8"/>
      <c r="P339" s="8"/>
      <c r="Q339" s="8"/>
      <c r="R339" s="8"/>
      <c r="S339" s="8"/>
      <c r="T339" s="8"/>
      <c r="U339" s="12"/>
      <c r="V339" s="12"/>
      <c r="W339" s="12"/>
      <c r="X339" s="12"/>
      <c r="Y339" s="12"/>
      <c r="Z339" s="12"/>
      <c r="AA339" s="12"/>
      <c r="AB339" s="12"/>
      <c r="AC339" s="12"/>
      <c r="AD339" s="12"/>
      <c r="AE339" s="12"/>
      <c r="AF339" s="12"/>
    </row>
    <row r="340" spans="1:32" ht="13.2">
      <c r="A340" s="8"/>
      <c r="B340" s="8"/>
      <c r="C340" s="8"/>
      <c r="D340" s="8"/>
      <c r="E340" s="8"/>
      <c r="F340" s="8"/>
      <c r="G340" s="9"/>
      <c r="H340" s="8"/>
      <c r="I340" s="8"/>
      <c r="J340" s="8"/>
      <c r="K340" s="8"/>
      <c r="L340" s="8"/>
      <c r="M340" s="8"/>
      <c r="N340" s="8"/>
      <c r="O340" s="8"/>
      <c r="P340" s="8"/>
      <c r="Q340" s="8"/>
      <c r="R340" s="8"/>
      <c r="S340" s="8"/>
      <c r="T340" s="8"/>
      <c r="U340" s="12"/>
      <c r="V340" s="12"/>
      <c r="W340" s="12"/>
      <c r="X340" s="12"/>
      <c r="Y340" s="12"/>
      <c r="Z340" s="12"/>
      <c r="AA340" s="12"/>
      <c r="AB340" s="12"/>
      <c r="AC340" s="12"/>
      <c r="AD340" s="12"/>
      <c r="AE340" s="12"/>
      <c r="AF340" s="12"/>
    </row>
    <row r="341" spans="1:32" ht="13.2">
      <c r="A341" s="8"/>
      <c r="B341" s="8"/>
      <c r="C341" s="8"/>
      <c r="D341" s="8"/>
      <c r="E341" s="8"/>
      <c r="F341" s="8"/>
      <c r="G341" s="9"/>
      <c r="H341" s="8"/>
      <c r="I341" s="8"/>
      <c r="J341" s="8"/>
      <c r="K341" s="8"/>
      <c r="L341" s="8"/>
      <c r="M341" s="8"/>
      <c r="N341" s="8"/>
      <c r="O341" s="8"/>
      <c r="P341" s="8"/>
      <c r="Q341" s="8"/>
      <c r="R341" s="8"/>
      <c r="S341" s="8"/>
      <c r="T341" s="8"/>
      <c r="U341" s="12"/>
      <c r="V341" s="12"/>
      <c r="W341" s="12"/>
      <c r="X341" s="12"/>
      <c r="Y341" s="12"/>
      <c r="Z341" s="12"/>
      <c r="AA341" s="12"/>
      <c r="AB341" s="12"/>
      <c r="AC341" s="12"/>
      <c r="AD341" s="12"/>
      <c r="AE341" s="12"/>
      <c r="AF341" s="12"/>
    </row>
    <row r="342" spans="1:32" ht="13.2">
      <c r="A342" s="8"/>
      <c r="B342" s="8"/>
      <c r="C342" s="8"/>
      <c r="D342" s="8"/>
      <c r="E342" s="8"/>
      <c r="F342" s="8"/>
      <c r="G342" s="9"/>
      <c r="H342" s="8"/>
      <c r="I342" s="8"/>
      <c r="J342" s="8"/>
      <c r="K342" s="8"/>
      <c r="L342" s="8"/>
      <c r="M342" s="8"/>
      <c r="N342" s="8"/>
      <c r="O342" s="8"/>
      <c r="P342" s="8"/>
      <c r="Q342" s="8"/>
      <c r="R342" s="8"/>
      <c r="S342" s="8"/>
      <c r="T342" s="8"/>
      <c r="U342" s="12"/>
      <c r="V342" s="12"/>
      <c r="W342" s="12"/>
      <c r="X342" s="12"/>
      <c r="Y342" s="12"/>
      <c r="Z342" s="12"/>
      <c r="AA342" s="12"/>
      <c r="AB342" s="12"/>
      <c r="AC342" s="12"/>
      <c r="AD342" s="12"/>
      <c r="AE342" s="12"/>
      <c r="AF342" s="12"/>
    </row>
    <row r="343" spans="1:32" ht="13.2">
      <c r="A343" s="8"/>
      <c r="B343" s="8"/>
      <c r="C343" s="8"/>
      <c r="D343" s="8"/>
      <c r="E343" s="8"/>
      <c r="F343" s="8"/>
      <c r="G343" s="9"/>
      <c r="H343" s="8"/>
      <c r="I343" s="8"/>
      <c r="J343" s="8"/>
      <c r="K343" s="8"/>
      <c r="L343" s="8"/>
      <c r="M343" s="8"/>
      <c r="N343" s="8"/>
      <c r="O343" s="8"/>
      <c r="P343" s="8"/>
      <c r="Q343" s="8"/>
      <c r="R343" s="8"/>
      <c r="S343" s="8"/>
      <c r="T343" s="8"/>
      <c r="U343" s="12"/>
      <c r="V343" s="12"/>
      <c r="W343" s="12"/>
      <c r="X343" s="12"/>
      <c r="Y343" s="12"/>
      <c r="Z343" s="12"/>
      <c r="AA343" s="12"/>
      <c r="AB343" s="12"/>
      <c r="AC343" s="12"/>
      <c r="AD343" s="12"/>
      <c r="AE343" s="12"/>
      <c r="AF343" s="12"/>
    </row>
    <row r="344" spans="1:32" ht="13.2">
      <c r="A344" s="8"/>
      <c r="B344" s="8"/>
      <c r="C344" s="8"/>
      <c r="D344" s="8"/>
      <c r="E344" s="8"/>
      <c r="F344" s="8"/>
      <c r="G344" s="9"/>
      <c r="H344" s="8"/>
      <c r="I344" s="8"/>
      <c r="J344" s="8"/>
      <c r="K344" s="8"/>
      <c r="L344" s="8"/>
      <c r="M344" s="8"/>
      <c r="N344" s="8"/>
      <c r="O344" s="8"/>
      <c r="P344" s="8"/>
      <c r="Q344" s="8"/>
      <c r="R344" s="8"/>
      <c r="S344" s="8"/>
      <c r="T344" s="8"/>
      <c r="U344" s="12"/>
      <c r="V344" s="12"/>
      <c r="W344" s="12"/>
      <c r="X344" s="12"/>
      <c r="Y344" s="12"/>
      <c r="Z344" s="12"/>
      <c r="AA344" s="12"/>
      <c r="AB344" s="12"/>
      <c r="AC344" s="12"/>
      <c r="AD344" s="12"/>
      <c r="AE344" s="12"/>
      <c r="AF344" s="12"/>
    </row>
    <row r="345" spans="1:32" ht="13.2">
      <c r="A345" s="8"/>
      <c r="B345" s="8"/>
      <c r="C345" s="8"/>
      <c r="D345" s="8"/>
      <c r="E345" s="8"/>
      <c r="F345" s="8"/>
      <c r="G345" s="9"/>
      <c r="H345" s="8"/>
      <c r="I345" s="8"/>
      <c r="J345" s="8"/>
      <c r="K345" s="8"/>
      <c r="L345" s="8"/>
      <c r="M345" s="8"/>
      <c r="N345" s="8"/>
      <c r="O345" s="8"/>
      <c r="P345" s="8"/>
      <c r="Q345" s="8"/>
      <c r="R345" s="8"/>
      <c r="S345" s="8"/>
      <c r="T345" s="8"/>
      <c r="U345" s="12"/>
      <c r="V345" s="12"/>
      <c r="W345" s="12"/>
      <c r="X345" s="12"/>
      <c r="Y345" s="12"/>
      <c r="Z345" s="12"/>
      <c r="AA345" s="12"/>
      <c r="AB345" s="12"/>
      <c r="AC345" s="12"/>
      <c r="AD345" s="12"/>
      <c r="AE345" s="12"/>
      <c r="AF345" s="12"/>
    </row>
    <row r="346" spans="1:32" ht="13.2">
      <c r="A346" s="8"/>
      <c r="B346" s="8"/>
      <c r="C346" s="8"/>
      <c r="D346" s="8"/>
      <c r="E346" s="8"/>
      <c r="F346" s="8"/>
      <c r="G346" s="9"/>
      <c r="H346" s="8"/>
      <c r="I346" s="8"/>
      <c r="J346" s="8"/>
      <c r="K346" s="8"/>
      <c r="L346" s="8"/>
      <c r="M346" s="8"/>
      <c r="N346" s="8"/>
      <c r="O346" s="8"/>
      <c r="P346" s="8"/>
      <c r="Q346" s="8"/>
      <c r="R346" s="8"/>
      <c r="S346" s="8"/>
      <c r="T346" s="8"/>
      <c r="U346" s="12"/>
      <c r="V346" s="12"/>
      <c r="W346" s="12"/>
      <c r="X346" s="12"/>
      <c r="Y346" s="12"/>
      <c r="Z346" s="12"/>
      <c r="AA346" s="12"/>
      <c r="AB346" s="12"/>
      <c r="AC346" s="12"/>
      <c r="AD346" s="12"/>
      <c r="AE346" s="12"/>
      <c r="AF346" s="12"/>
    </row>
    <row r="347" spans="1:32" ht="13.2">
      <c r="A347" s="8"/>
      <c r="B347" s="8"/>
      <c r="C347" s="8"/>
      <c r="D347" s="8"/>
      <c r="E347" s="8"/>
      <c r="F347" s="8"/>
      <c r="G347" s="9"/>
      <c r="H347" s="8"/>
      <c r="I347" s="8"/>
      <c r="J347" s="8"/>
      <c r="K347" s="8"/>
      <c r="L347" s="8"/>
      <c r="M347" s="8"/>
      <c r="N347" s="8"/>
      <c r="O347" s="8"/>
      <c r="P347" s="8"/>
      <c r="Q347" s="8"/>
      <c r="R347" s="8"/>
      <c r="S347" s="8"/>
      <c r="T347" s="8"/>
      <c r="U347" s="12"/>
      <c r="V347" s="12"/>
      <c r="W347" s="12"/>
      <c r="X347" s="12"/>
      <c r="Y347" s="12"/>
      <c r="Z347" s="12"/>
      <c r="AA347" s="12"/>
      <c r="AB347" s="12"/>
      <c r="AC347" s="12"/>
      <c r="AD347" s="12"/>
      <c r="AE347" s="12"/>
      <c r="AF347" s="12"/>
    </row>
    <row r="348" spans="1:32" ht="13.2">
      <c r="A348" s="8"/>
      <c r="B348" s="8"/>
      <c r="C348" s="8"/>
      <c r="D348" s="8"/>
      <c r="E348" s="8"/>
      <c r="F348" s="8"/>
      <c r="G348" s="9"/>
      <c r="H348" s="8"/>
      <c r="I348" s="8"/>
      <c r="J348" s="8"/>
      <c r="K348" s="8"/>
      <c r="L348" s="8"/>
      <c r="M348" s="8"/>
      <c r="N348" s="8"/>
      <c r="O348" s="8"/>
      <c r="P348" s="8"/>
      <c r="Q348" s="8"/>
      <c r="R348" s="8"/>
      <c r="S348" s="8"/>
      <c r="T348" s="8"/>
      <c r="U348" s="12"/>
      <c r="V348" s="12"/>
      <c r="W348" s="12"/>
      <c r="X348" s="12"/>
      <c r="Y348" s="12"/>
      <c r="Z348" s="12"/>
      <c r="AA348" s="12"/>
      <c r="AB348" s="12"/>
      <c r="AC348" s="12"/>
      <c r="AD348" s="12"/>
      <c r="AE348" s="12"/>
      <c r="AF348" s="12"/>
    </row>
    <row r="349" spans="1:32" ht="13.2">
      <c r="A349" s="8"/>
      <c r="B349" s="8"/>
      <c r="C349" s="8"/>
      <c r="D349" s="8"/>
      <c r="E349" s="8"/>
      <c r="F349" s="8"/>
      <c r="G349" s="9"/>
      <c r="H349" s="8"/>
      <c r="I349" s="8"/>
      <c r="J349" s="8"/>
      <c r="K349" s="8"/>
      <c r="L349" s="8"/>
      <c r="M349" s="8"/>
      <c r="N349" s="8"/>
      <c r="O349" s="8"/>
      <c r="P349" s="8"/>
      <c r="Q349" s="8"/>
      <c r="R349" s="8"/>
      <c r="S349" s="8"/>
      <c r="T349" s="8"/>
      <c r="U349" s="12"/>
      <c r="V349" s="12"/>
      <c r="W349" s="12"/>
      <c r="X349" s="12"/>
      <c r="Y349" s="12"/>
      <c r="Z349" s="12"/>
      <c r="AA349" s="12"/>
      <c r="AB349" s="12"/>
      <c r="AC349" s="12"/>
      <c r="AD349" s="12"/>
      <c r="AE349" s="12"/>
      <c r="AF349" s="12"/>
    </row>
    <row r="350" spans="1:32" ht="13.2">
      <c r="A350" s="8"/>
      <c r="B350" s="8"/>
      <c r="C350" s="8"/>
      <c r="D350" s="8"/>
      <c r="E350" s="8"/>
      <c r="F350" s="8"/>
      <c r="G350" s="9"/>
      <c r="H350" s="8"/>
      <c r="I350" s="8"/>
      <c r="J350" s="8"/>
      <c r="K350" s="8"/>
      <c r="L350" s="8"/>
      <c r="M350" s="8"/>
      <c r="N350" s="8"/>
      <c r="O350" s="8"/>
      <c r="P350" s="8"/>
      <c r="Q350" s="8"/>
      <c r="R350" s="8"/>
      <c r="S350" s="8"/>
      <c r="T350" s="8"/>
      <c r="U350" s="12"/>
      <c r="V350" s="12"/>
      <c r="W350" s="12"/>
      <c r="X350" s="12"/>
      <c r="Y350" s="12"/>
      <c r="Z350" s="12"/>
      <c r="AA350" s="12"/>
      <c r="AB350" s="12"/>
      <c r="AC350" s="12"/>
      <c r="AD350" s="12"/>
      <c r="AE350" s="12"/>
      <c r="AF350" s="12"/>
    </row>
    <row r="351" spans="1:32" ht="13.2">
      <c r="A351" s="8"/>
      <c r="B351" s="8"/>
      <c r="C351" s="8"/>
      <c r="D351" s="8"/>
      <c r="E351" s="8"/>
      <c r="F351" s="8"/>
      <c r="G351" s="9"/>
      <c r="H351" s="8"/>
      <c r="I351" s="8"/>
      <c r="J351" s="8"/>
      <c r="K351" s="8"/>
      <c r="L351" s="8"/>
      <c r="M351" s="8"/>
      <c r="N351" s="8"/>
      <c r="O351" s="8"/>
      <c r="P351" s="8"/>
      <c r="Q351" s="8"/>
      <c r="R351" s="8"/>
      <c r="S351" s="8"/>
      <c r="T351" s="8"/>
      <c r="U351" s="12"/>
      <c r="V351" s="12"/>
      <c r="W351" s="12"/>
      <c r="X351" s="12"/>
      <c r="Y351" s="12"/>
      <c r="Z351" s="12"/>
      <c r="AA351" s="12"/>
      <c r="AB351" s="12"/>
      <c r="AC351" s="12"/>
      <c r="AD351" s="12"/>
      <c r="AE351" s="12"/>
      <c r="AF351" s="12"/>
    </row>
    <row r="352" spans="1:32" ht="13.2">
      <c r="A352" s="8"/>
      <c r="B352" s="8"/>
      <c r="C352" s="8"/>
      <c r="D352" s="8"/>
      <c r="E352" s="8"/>
      <c r="F352" s="8"/>
      <c r="G352" s="9"/>
      <c r="H352" s="8"/>
      <c r="I352" s="8"/>
      <c r="J352" s="8"/>
      <c r="K352" s="8"/>
      <c r="L352" s="8"/>
      <c r="M352" s="8"/>
      <c r="N352" s="8"/>
      <c r="O352" s="8"/>
      <c r="P352" s="8"/>
      <c r="Q352" s="8"/>
      <c r="R352" s="8"/>
      <c r="S352" s="8"/>
      <c r="T352" s="8"/>
      <c r="U352" s="12"/>
      <c r="V352" s="12"/>
      <c r="W352" s="12"/>
      <c r="X352" s="12"/>
      <c r="Y352" s="12"/>
      <c r="Z352" s="12"/>
      <c r="AA352" s="12"/>
      <c r="AB352" s="12"/>
      <c r="AC352" s="12"/>
      <c r="AD352" s="12"/>
      <c r="AE352" s="12"/>
      <c r="AF352" s="12"/>
    </row>
    <row r="353" spans="1:32" ht="13.2">
      <c r="A353" s="8"/>
      <c r="B353" s="8"/>
      <c r="C353" s="8"/>
      <c r="D353" s="8"/>
      <c r="E353" s="8"/>
      <c r="F353" s="8"/>
      <c r="G353" s="9"/>
      <c r="H353" s="8"/>
      <c r="I353" s="8"/>
      <c r="J353" s="8"/>
      <c r="K353" s="8"/>
      <c r="L353" s="8"/>
      <c r="M353" s="8"/>
      <c r="N353" s="8"/>
      <c r="O353" s="8"/>
      <c r="P353" s="8"/>
      <c r="Q353" s="8"/>
      <c r="R353" s="8"/>
      <c r="S353" s="8"/>
      <c r="T353" s="8"/>
      <c r="U353" s="12"/>
      <c r="V353" s="12"/>
      <c r="W353" s="12"/>
      <c r="X353" s="12"/>
      <c r="Y353" s="12"/>
      <c r="Z353" s="12"/>
      <c r="AA353" s="12"/>
      <c r="AB353" s="12"/>
      <c r="AC353" s="12"/>
      <c r="AD353" s="12"/>
      <c r="AE353" s="12"/>
      <c r="AF353" s="12"/>
    </row>
    <row r="354" spans="1:32" ht="13.2">
      <c r="A354" s="8"/>
      <c r="B354" s="8"/>
      <c r="C354" s="8"/>
      <c r="D354" s="8"/>
      <c r="E354" s="8"/>
      <c r="F354" s="8"/>
      <c r="G354" s="9"/>
      <c r="H354" s="8"/>
      <c r="I354" s="8"/>
      <c r="J354" s="8"/>
      <c r="K354" s="8"/>
      <c r="L354" s="8"/>
      <c r="M354" s="8"/>
      <c r="N354" s="8"/>
      <c r="O354" s="8"/>
      <c r="P354" s="8"/>
      <c r="Q354" s="8"/>
      <c r="R354" s="8"/>
      <c r="S354" s="8"/>
      <c r="T354" s="8"/>
      <c r="U354" s="12"/>
      <c r="V354" s="12"/>
      <c r="W354" s="12"/>
      <c r="X354" s="12"/>
      <c r="Y354" s="12"/>
      <c r="Z354" s="12"/>
      <c r="AA354" s="12"/>
      <c r="AB354" s="12"/>
      <c r="AC354" s="12"/>
      <c r="AD354" s="12"/>
      <c r="AE354" s="12"/>
      <c r="AF354" s="12"/>
    </row>
    <row r="355" spans="1:32" ht="13.2">
      <c r="A355" s="8"/>
      <c r="B355" s="8"/>
      <c r="C355" s="8"/>
      <c r="D355" s="8"/>
      <c r="E355" s="8"/>
      <c r="F355" s="8"/>
      <c r="G355" s="9"/>
      <c r="H355" s="8"/>
      <c r="I355" s="8"/>
      <c r="J355" s="8"/>
      <c r="K355" s="8"/>
      <c r="L355" s="8"/>
      <c r="M355" s="8"/>
      <c r="N355" s="8"/>
      <c r="O355" s="8"/>
      <c r="P355" s="8"/>
      <c r="Q355" s="8"/>
      <c r="R355" s="8"/>
      <c r="S355" s="8"/>
      <c r="T355" s="8"/>
      <c r="U355" s="12"/>
      <c r="V355" s="12"/>
      <c r="W355" s="12"/>
      <c r="X355" s="12"/>
      <c r="Y355" s="12"/>
      <c r="Z355" s="12"/>
      <c r="AA355" s="12"/>
      <c r="AB355" s="12"/>
      <c r="AC355" s="12"/>
      <c r="AD355" s="12"/>
      <c r="AE355" s="12"/>
      <c r="AF355" s="12"/>
    </row>
    <row r="356" spans="1:32" ht="13.2">
      <c r="A356" s="8"/>
      <c r="B356" s="8"/>
      <c r="C356" s="8"/>
      <c r="D356" s="8"/>
      <c r="E356" s="8"/>
      <c r="F356" s="8"/>
      <c r="G356" s="9"/>
      <c r="H356" s="8"/>
      <c r="I356" s="8"/>
      <c r="J356" s="8"/>
      <c r="K356" s="8"/>
      <c r="L356" s="8"/>
      <c r="M356" s="8"/>
      <c r="N356" s="8"/>
      <c r="O356" s="8"/>
      <c r="P356" s="8"/>
      <c r="Q356" s="8"/>
      <c r="R356" s="8"/>
      <c r="S356" s="8"/>
      <c r="T356" s="8"/>
      <c r="U356" s="12"/>
      <c r="V356" s="12"/>
      <c r="W356" s="12"/>
      <c r="X356" s="12"/>
      <c r="Y356" s="12"/>
      <c r="Z356" s="12"/>
      <c r="AA356" s="12"/>
      <c r="AB356" s="12"/>
      <c r="AC356" s="12"/>
      <c r="AD356" s="12"/>
      <c r="AE356" s="12"/>
      <c r="AF356" s="12"/>
    </row>
    <row r="357" spans="1:32" ht="13.2">
      <c r="A357" s="8"/>
      <c r="B357" s="8"/>
      <c r="C357" s="8"/>
      <c r="D357" s="8"/>
      <c r="E357" s="8"/>
      <c r="F357" s="8"/>
      <c r="G357" s="9"/>
      <c r="H357" s="8"/>
      <c r="I357" s="8"/>
      <c r="J357" s="8"/>
      <c r="K357" s="8"/>
      <c r="L357" s="8"/>
      <c r="M357" s="8"/>
      <c r="N357" s="8"/>
      <c r="O357" s="8"/>
      <c r="P357" s="8"/>
      <c r="Q357" s="8"/>
      <c r="R357" s="8"/>
      <c r="S357" s="8"/>
      <c r="T357" s="8"/>
      <c r="U357" s="12"/>
      <c r="V357" s="12"/>
      <c r="W357" s="12"/>
      <c r="X357" s="12"/>
      <c r="Y357" s="12"/>
      <c r="Z357" s="12"/>
      <c r="AA357" s="12"/>
      <c r="AB357" s="12"/>
      <c r="AC357" s="12"/>
      <c r="AD357" s="12"/>
      <c r="AE357" s="12"/>
      <c r="AF357" s="12"/>
    </row>
    <row r="358" spans="1:32" ht="13.2">
      <c r="A358" s="8"/>
      <c r="B358" s="8"/>
      <c r="C358" s="8"/>
      <c r="D358" s="8"/>
      <c r="E358" s="8"/>
      <c r="F358" s="8"/>
      <c r="G358" s="9"/>
      <c r="H358" s="8"/>
      <c r="I358" s="8"/>
      <c r="J358" s="8"/>
      <c r="K358" s="8"/>
      <c r="L358" s="8"/>
      <c r="M358" s="8"/>
      <c r="N358" s="8"/>
      <c r="O358" s="8"/>
      <c r="P358" s="8"/>
      <c r="Q358" s="8"/>
      <c r="R358" s="8"/>
      <c r="S358" s="8"/>
      <c r="T358" s="8"/>
      <c r="U358" s="12"/>
      <c r="V358" s="12"/>
      <c r="W358" s="12"/>
      <c r="X358" s="12"/>
      <c r="Y358" s="12"/>
      <c r="Z358" s="12"/>
      <c r="AA358" s="12"/>
      <c r="AB358" s="12"/>
      <c r="AC358" s="12"/>
      <c r="AD358" s="12"/>
      <c r="AE358" s="12"/>
      <c r="AF358" s="12"/>
    </row>
    <row r="359" spans="1:32" ht="13.2">
      <c r="A359" s="8"/>
      <c r="B359" s="8"/>
      <c r="C359" s="8"/>
      <c r="D359" s="8"/>
      <c r="E359" s="8"/>
      <c r="F359" s="8"/>
      <c r="G359" s="9"/>
      <c r="H359" s="8"/>
      <c r="I359" s="8"/>
      <c r="J359" s="8"/>
      <c r="K359" s="8"/>
      <c r="L359" s="8"/>
      <c r="M359" s="8"/>
      <c r="N359" s="8"/>
      <c r="O359" s="8"/>
      <c r="P359" s="8"/>
      <c r="Q359" s="8"/>
      <c r="R359" s="8"/>
      <c r="S359" s="8"/>
      <c r="T359" s="8"/>
      <c r="U359" s="12"/>
      <c r="V359" s="12"/>
      <c r="W359" s="12"/>
      <c r="X359" s="12"/>
      <c r="Y359" s="12"/>
      <c r="Z359" s="12"/>
      <c r="AA359" s="12"/>
      <c r="AB359" s="12"/>
      <c r="AC359" s="12"/>
      <c r="AD359" s="12"/>
      <c r="AE359" s="12"/>
      <c r="AF359" s="12"/>
    </row>
    <row r="360" spans="1:32" ht="13.2">
      <c r="A360" s="8"/>
      <c r="B360" s="8"/>
      <c r="C360" s="8"/>
      <c r="D360" s="8"/>
      <c r="E360" s="8"/>
      <c r="F360" s="8"/>
      <c r="G360" s="9"/>
      <c r="H360" s="8"/>
      <c r="I360" s="8"/>
      <c r="J360" s="8"/>
      <c r="K360" s="8"/>
      <c r="L360" s="8"/>
      <c r="M360" s="8"/>
      <c r="N360" s="8"/>
      <c r="O360" s="8"/>
      <c r="P360" s="8"/>
      <c r="Q360" s="8"/>
      <c r="R360" s="8"/>
      <c r="S360" s="8"/>
      <c r="T360" s="8"/>
      <c r="U360" s="12"/>
      <c r="V360" s="12"/>
      <c r="W360" s="12"/>
      <c r="X360" s="12"/>
      <c r="Y360" s="12"/>
      <c r="Z360" s="12"/>
      <c r="AA360" s="12"/>
      <c r="AB360" s="12"/>
      <c r="AC360" s="12"/>
      <c r="AD360" s="12"/>
      <c r="AE360" s="12"/>
      <c r="AF360" s="12"/>
    </row>
    <row r="361" spans="1:32" ht="13.2">
      <c r="A361" s="8"/>
      <c r="B361" s="8"/>
      <c r="C361" s="8"/>
      <c r="D361" s="8"/>
      <c r="E361" s="8"/>
      <c r="F361" s="8"/>
      <c r="G361" s="9"/>
      <c r="H361" s="8"/>
      <c r="I361" s="8"/>
      <c r="J361" s="8"/>
      <c r="K361" s="8"/>
      <c r="L361" s="8"/>
      <c r="M361" s="8"/>
      <c r="N361" s="8"/>
      <c r="O361" s="8"/>
      <c r="P361" s="8"/>
      <c r="Q361" s="8"/>
      <c r="R361" s="8"/>
      <c r="S361" s="8"/>
      <c r="T361" s="8"/>
      <c r="U361" s="12"/>
      <c r="V361" s="12"/>
      <c r="W361" s="12"/>
      <c r="X361" s="12"/>
      <c r="Y361" s="12"/>
      <c r="Z361" s="12"/>
      <c r="AA361" s="12"/>
      <c r="AB361" s="12"/>
      <c r="AC361" s="12"/>
      <c r="AD361" s="12"/>
      <c r="AE361" s="12"/>
      <c r="AF361" s="12"/>
    </row>
    <row r="362" spans="1:32" ht="13.2">
      <c r="A362" s="8"/>
      <c r="B362" s="8"/>
      <c r="C362" s="8"/>
      <c r="D362" s="8"/>
      <c r="E362" s="8"/>
      <c r="F362" s="8"/>
      <c r="G362" s="9"/>
      <c r="H362" s="8"/>
      <c r="I362" s="8"/>
      <c r="J362" s="8"/>
      <c r="K362" s="8"/>
      <c r="L362" s="8"/>
      <c r="M362" s="8"/>
      <c r="N362" s="8"/>
      <c r="O362" s="8"/>
      <c r="P362" s="8"/>
      <c r="Q362" s="8"/>
      <c r="R362" s="8"/>
      <c r="S362" s="8"/>
      <c r="T362" s="8"/>
      <c r="U362" s="12"/>
      <c r="V362" s="12"/>
      <c r="W362" s="12"/>
      <c r="X362" s="12"/>
      <c r="Y362" s="12"/>
      <c r="Z362" s="12"/>
      <c r="AA362" s="12"/>
      <c r="AB362" s="12"/>
      <c r="AC362" s="12"/>
      <c r="AD362" s="12"/>
      <c r="AE362" s="12"/>
      <c r="AF362" s="12"/>
    </row>
    <row r="363" spans="1:32" ht="13.2">
      <c r="A363" s="8"/>
      <c r="B363" s="8"/>
      <c r="C363" s="8"/>
      <c r="D363" s="8"/>
      <c r="E363" s="8"/>
      <c r="F363" s="8"/>
      <c r="G363" s="9"/>
      <c r="H363" s="8"/>
      <c r="I363" s="8"/>
      <c r="J363" s="8"/>
      <c r="K363" s="8"/>
      <c r="L363" s="8"/>
      <c r="M363" s="8"/>
      <c r="N363" s="8"/>
      <c r="O363" s="8"/>
      <c r="P363" s="8"/>
      <c r="Q363" s="8"/>
      <c r="R363" s="8"/>
      <c r="S363" s="8"/>
      <c r="T363" s="8"/>
      <c r="U363" s="12"/>
      <c r="V363" s="12"/>
      <c r="W363" s="12"/>
      <c r="X363" s="12"/>
      <c r="Y363" s="12"/>
      <c r="Z363" s="12"/>
      <c r="AA363" s="12"/>
      <c r="AB363" s="12"/>
      <c r="AC363" s="12"/>
      <c r="AD363" s="12"/>
      <c r="AE363" s="12"/>
      <c r="AF363" s="12"/>
    </row>
    <row r="364" spans="1:32" ht="13.2">
      <c r="A364" s="8"/>
      <c r="B364" s="8"/>
      <c r="C364" s="8"/>
      <c r="D364" s="8"/>
      <c r="E364" s="8"/>
      <c r="F364" s="8"/>
      <c r="G364" s="9"/>
      <c r="H364" s="8"/>
      <c r="I364" s="8"/>
      <c r="J364" s="8"/>
      <c r="K364" s="8"/>
      <c r="L364" s="8"/>
      <c r="M364" s="8"/>
      <c r="N364" s="8"/>
      <c r="O364" s="8"/>
      <c r="P364" s="8"/>
      <c r="Q364" s="8"/>
      <c r="R364" s="8"/>
      <c r="S364" s="8"/>
      <c r="T364" s="8"/>
      <c r="U364" s="12"/>
      <c r="V364" s="12"/>
      <c r="W364" s="12"/>
      <c r="X364" s="12"/>
      <c r="Y364" s="12"/>
      <c r="Z364" s="12"/>
      <c r="AA364" s="12"/>
      <c r="AB364" s="12"/>
      <c r="AC364" s="12"/>
      <c r="AD364" s="12"/>
      <c r="AE364" s="12"/>
      <c r="AF364" s="12"/>
    </row>
    <row r="365" spans="1:32" ht="13.2">
      <c r="A365" s="8"/>
      <c r="B365" s="8"/>
      <c r="C365" s="8"/>
      <c r="D365" s="8"/>
      <c r="E365" s="8"/>
      <c r="F365" s="8"/>
      <c r="G365" s="9"/>
      <c r="H365" s="8"/>
      <c r="I365" s="8"/>
      <c r="J365" s="8"/>
      <c r="K365" s="8"/>
      <c r="L365" s="8"/>
      <c r="M365" s="8"/>
      <c r="N365" s="8"/>
      <c r="O365" s="8"/>
      <c r="P365" s="8"/>
      <c r="Q365" s="8"/>
      <c r="R365" s="8"/>
      <c r="S365" s="8"/>
      <c r="T365" s="8"/>
      <c r="U365" s="12"/>
      <c r="V365" s="12"/>
      <c r="W365" s="12"/>
      <c r="X365" s="12"/>
      <c r="Y365" s="12"/>
      <c r="Z365" s="12"/>
      <c r="AA365" s="12"/>
      <c r="AB365" s="12"/>
      <c r="AC365" s="12"/>
      <c r="AD365" s="12"/>
      <c r="AE365" s="12"/>
      <c r="AF365" s="12"/>
    </row>
    <row r="366" spans="1:32" ht="13.2">
      <c r="A366" s="8"/>
      <c r="B366" s="8"/>
      <c r="C366" s="8"/>
      <c r="D366" s="8"/>
      <c r="E366" s="8"/>
      <c r="F366" s="8"/>
      <c r="G366" s="9"/>
      <c r="H366" s="8"/>
      <c r="I366" s="8"/>
      <c r="J366" s="8"/>
      <c r="K366" s="8"/>
      <c r="L366" s="8"/>
      <c r="M366" s="8"/>
      <c r="N366" s="8"/>
      <c r="O366" s="8"/>
      <c r="P366" s="8"/>
      <c r="Q366" s="8"/>
      <c r="R366" s="8"/>
      <c r="S366" s="8"/>
      <c r="T366" s="8"/>
      <c r="U366" s="12"/>
      <c r="V366" s="12"/>
      <c r="W366" s="12"/>
      <c r="X366" s="12"/>
      <c r="Y366" s="12"/>
      <c r="Z366" s="12"/>
      <c r="AA366" s="12"/>
      <c r="AB366" s="12"/>
      <c r="AC366" s="12"/>
      <c r="AD366" s="12"/>
      <c r="AE366" s="12"/>
      <c r="AF366" s="12"/>
    </row>
    <row r="367" spans="1:32" ht="13.2">
      <c r="A367" s="8"/>
      <c r="B367" s="8"/>
      <c r="C367" s="8"/>
      <c r="D367" s="8"/>
      <c r="E367" s="8"/>
      <c r="F367" s="8"/>
      <c r="G367" s="9"/>
      <c r="H367" s="8"/>
      <c r="I367" s="8"/>
      <c r="J367" s="8"/>
      <c r="K367" s="8"/>
      <c r="L367" s="8"/>
      <c r="M367" s="8"/>
      <c r="N367" s="8"/>
      <c r="O367" s="8"/>
      <c r="P367" s="8"/>
      <c r="Q367" s="8"/>
      <c r="R367" s="8"/>
      <c r="S367" s="8"/>
      <c r="T367" s="8"/>
      <c r="U367" s="12"/>
      <c r="V367" s="12"/>
      <c r="W367" s="12"/>
      <c r="X367" s="12"/>
      <c r="Y367" s="12"/>
      <c r="Z367" s="12"/>
      <c r="AA367" s="12"/>
      <c r="AB367" s="12"/>
      <c r="AC367" s="12"/>
      <c r="AD367" s="12"/>
      <c r="AE367" s="12"/>
      <c r="AF367" s="12"/>
    </row>
    <row r="368" spans="1:32" ht="13.2">
      <c r="A368" s="8"/>
      <c r="B368" s="8"/>
      <c r="C368" s="8"/>
      <c r="D368" s="8"/>
      <c r="E368" s="8"/>
      <c r="F368" s="8"/>
      <c r="G368" s="9"/>
      <c r="H368" s="8"/>
      <c r="I368" s="8"/>
      <c r="J368" s="8"/>
      <c r="K368" s="8"/>
      <c r="L368" s="8"/>
      <c r="M368" s="8"/>
      <c r="N368" s="8"/>
      <c r="O368" s="8"/>
      <c r="P368" s="8"/>
      <c r="Q368" s="8"/>
      <c r="R368" s="8"/>
      <c r="S368" s="8"/>
      <c r="T368" s="8"/>
      <c r="U368" s="12"/>
      <c r="V368" s="12"/>
      <c r="W368" s="12"/>
      <c r="X368" s="12"/>
      <c r="Y368" s="12"/>
      <c r="Z368" s="12"/>
      <c r="AA368" s="12"/>
      <c r="AB368" s="12"/>
      <c r="AC368" s="12"/>
      <c r="AD368" s="12"/>
      <c r="AE368" s="12"/>
      <c r="AF368" s="12"/>
    </row>
    <row r="369" spans="1:32" ht="13.2">
      <c r="A369" s="8"/>
      <c r="B369" s="8"/>
      <c r="C369" s="8"/>
      <c r="D369" s="8"/>
      <c r="E369" s="8"/>
      <c r="F369" s="8"/>
      <c r="G369" s="9"/>
      <c r="H369" s="8"/>
      <c r="I369" s="8"/>
      <c r="J369" s="8"/>
      <c r="K369" s="8"/>
      <c r="L369" s="8"/>
      <c r="M369" s="8"/>
      <c r="N369" s="8"/>
      <c r="O369" s="8"/>
      <c r="P369" s="8"/>
      <c r="Q369" s="8"/>
      <c r="R369" s="8"/>
      <c r="S369" s="8"/>
      <c r="T369" s="8"/>
      <c r="U369" s="12"/>
      <c r="V369" s="12"/>
      <c r="W369" s="12"/>
      <c r="X369" s="12"/>
      <c r="Y369" s="12"/>
      <c r="Z369" s="12"/>
      <c r="AA369" s="12"/>
      <c r="AB369" s="12"/>
      <c r="AC369" s="12"/>
      <c r="AD369" s="12"/>
      <c r="AE369" s="12"/>
      <c r="AF369" s="12"/>
    </row>
    <row r="370" spans="1:32" ht="13.2">
      <c r="A370" s="8"/>
      <c r="B370" s="8"/>
      <c r="C370" s="8"/>
      <c r="D370" s="8"/>
      <c r="E370" s="8"/>
      <c r="F370" s="8"/>
      <c r="G370" s="9"/>
      <c r="H370" s="8"/>
      <c r="I370" s="8"/>
      <c r="J370" s="8"/>
      <c r="K370" s="8"/>
      <c r="L370" s="8"/>
      <c r="M370" s="8"/>
      <c r="N370" s="8"/>
      <c r="O370" s="8"/>
      <c r="P370" s="8"/>
      <c r="Q370" s="8"/>
      <c r="R370" s="8"/>
      <c r="S370" s="8"/>
      <c r="T370" s="8"/>
      <c r="U370" s="12"/>
      <c r="V370" s="12"/>
      <c r="W370" s="12"/>
      <c r="X370" s="12"/>
      <c r="Y370" s="12"/>
      <c r="Z370" s="12"/>
      <c r="AA370" s="12"/>
      <c r="AB370" s="12"/>
      <c r="AC370" s="12"/>
      <c r="AD370" s="12"/>
      <c r="AE370" s="12"/>
      <c r="AF370" s="12"/>
    </row>
    <row r="371" spans="1:32" ht="13.2">
      <c r="A371" s="8"/>
      <c r="B371" s="8"/>
      <c r="C371" s="8"/>
      <c r="D371" s="8"/>
      <c r="E371" s="8"/>
      <c r="F371" s="8"/>
      <c r="G371" s="9"/>
      <c r="H371" s="8"/>
      <c r="I371" s="8"/>
      <c r="J371" s="8"/>
      <c r="K371" s="8"/>
      <c r="L371" s="8"/>
      <c r="M371" s="8"/>
      <c r="N371" s="8"/>
      <c r="O371" s="8"/>
      <c r="P371" s="8"/>
      <c r="Q371" s="8"/>
      <c r="R371" s="8"/>
      <c r="S371" s="8"/>
      <c r="T371" s="8"/>
      <c r="U371" s="12"/>
      <c r="V371" s="12"/>
      <c r="W371" s="12"/>
      <c r="X371" s="12"/>
      <c r="Y371" s="12"/>
      <c r="Z371" s="12"/>
      <c r="AA371" s="12"/>
      <c r="AB371" s="12"/>
      <c r="AC371" s="12"/>
      <c r="AD371" s="12"/>
      <c r="AE371" s="12"/>
      <c r="AF371" s="12"/>
    </row>
    <row r="372" spans="1:32" ht="13.2">
      <c r="A372" s="8"/>
      <c r="B372" s="8"/>
      <c r="C372" s="8"/>
      <c r="D372" s="8"/>
      <c r="E372" s="8"/>
      <c r="F372" s="8"/>
      <c r="G372" s="9"/>
      <c r="H372" s="8"/>
      <c r="I372" s="8"/>
      <c r="J372" s="8"/>
      <c r="K372" s="8"/>
      <c r="L372" s="8"/>
      <c r="M372" s="8"/>
      <c r="N372" s="8"/>
      <c r="O372" s="8"/>
      <c r="P372" s="8"/>
      <c r="Q372" s="8"/>
      <c r="R372" s="8"/>
      <c r="S372" s="8"/>
      <c r="T372" s="8"/>
      <c r="U372" s="12"/>
      <c r="V372" s="12"/>
      <c r="W372" s="12"/>
      <c r="X372" s="12"/>
      <c r="Y372" s="12"/>
      <c r="Z372" s="12"/>
      <c r="AA372" s="12"/>
      <c r="AB372" s="12"/>
      <c r="AC372" s="12"/>
      <c r="AD372" s="12"/>
      <c r="AE372" s="12"/>
      <c r="AF372" s="12"/>
    </row>
    <row r="373" spans="1:32" ht="13.2">
      <c r="A373" s="8"/>
      <c r="B373" s="8"/>
      <c r="C373" s="8"/>
      <c r="D373" s="8"/>
      <c r="E373" s="8"/>
      <c r="F373" s="8"/>
      <c r="G373" s="9"/>
      <c r="H373" s="8"/>
      <c r="I373" s="8"/>
      <c r="J373" s="8"/>
      <c r="K373" s="8"/>
      <c r="L373" s="8"/>
      <c r="M373" s="8"/>
      <c r="N373" s="8"/>
      <c r="O373" s="8"/>
      <c r="P373" s="8"/>
      <c r="Q373" s="8"/>
      <c r="R373" s="8"/>
      <c r="S373" s="8"/>
      <c r="T373" s="8"/>
      <c r="U373" s="12"/>
      <c r="V373" s="12"/>
      <c r="W373" s="12"/>
      <c r="X373" s="12"/>
      <c r="Y373" s="12"/>
      <c r="Z373" s="12"/>
      <c r="AA373" s="12"/>
      <c r="AB373" s="12"/>
      <c r="AC373" s="12"/>
      <c r="AD373" s="12"/>
      <c r="AE373" s="12"/>
      <c r="AF373" s="12"/>
    </row>
    <row r="374" spans="1:32" ht="13.2">
      <c r="A374" s="8"/>
      <c r="B374" s="8"/>
      <c r="C374" s="8"/>
      <c r="D374" s="8"/>
      <c r="E374" s="8"/>
      <c r="F374" s="8"/>
      <c r="G374" s="9"/>
      <c r="H374" s="8"/>
      <c r="I374" s="8"/>
      <c r="J374" s="8"/>
      <c r="K374" s="8"/>
      <c r="L374" s="8"/>
      <c r="M374" s="8"/>
      <c r="N374" s="8"/>
      <c r="O374" s="8"/>
      <c r="P374" s="8"/>
      <c r="Q374" s="8"/>
      <c r="R374" s="8"/>
      <c r="S374" s="8"/>
      <c r="T374" s="8"/>
      <c r="U374" s="12"/>
      <c r="V374" s="12"/>
      <c r="W374" s="12"/>
      <c r="X374" s="12"/>
      <c r="Y374" s="12"/>
      <c r="Z374" s="12"/>
      <c r="AA374" s="12"/>
      <c r="AB374" s="12"/>
      <c r="AC374" s="12"/>
      <c r="AD374" s="12"/>
      <c r="AE374" s="12"/>
      <c r="AF374" s="12"/>
    </row>
    <row r="375" spans="1:32" ht="13.2">
      <c r="A375" s="8"/>
      <c r="B375" s="8"/>
      <c r="C375" s="8"/>
      <c r="D375" s="8"/>
      <c r="E375" s="8"/>
      <c r="F375" s="8"/>
      <c r="G375" s="9"/>
      <c r="H375" s="8"/>
      <c r="I375" s="8"/>
      <c r="J375" s="8"/>
      <c r="K375" s="8"/>
      <c r="L375" s="8"/>
      <c r="M375" s="8"/>
      <c r="N375" s="8"/>
      <c r="O375" s="8"/>
      <c r="P375" s="8"/>
      <c r="Q375" s="8"/>
      <c r="R375" s="8"/>
      <c r="S375" s="8"/>
      <c r="T375" s="8"/>
      <c r="U375" s="12"/>
      <c r="V375" s="12"/>
      <c r="W375" s="12"/>
      <c r="X375" s="12"/>
      <c r="Y375" s="12"/>
      <c r="Z375" s="12"/>
      <c r="AA375" s="12"/>
      <c r="AB375" s="12"/>
      <c r="AC375" s="12"/>
      <c r="AD375" s="12"/>
      <c r="AE375" s="12"/>
      <c r="AF375" s="12"/>
    </row>
    <row r="376" spans="1:32" ht="13.2">
      <c r="A376" s="8"/>
      <c r="B376" s="8"/>
      <c r="C376" s="8"/>
      <c r="D376" s="8"/>
      <c r="E376" s="8"/>
      <c r="F376" s="8"/>
      <c r="G376" s="9"/>
      <c r="H376" s="8"/>
      <c r="I376" s="8"/>
      <c r="J376" s="8"/>
      <c r="K376" s="8"/>
      <c r="L376" s="8"/>
      <c r="M376" s="8"/>
      <c r="N376" s="8"/>
      <c r="O376" s="8"/>
      <c r="P376" s="8"/>
      <c r="Q376" s="8"/>
      <c r="R376" s="8"/>
      <c r="S376" s="8"/>
      <c r="T376" s="8"/>
      <c r="U376" s="12"/>
      <c r="V376" s="12"/>
      <c r="W376" s="12"/>
      <c r="X376" s="12"/>
      <c r="Y376" s="12"/>
      <c r="Z376" s="12"/>
      <c r="AA376" s="12"/>
      <c r="AB376" s="12"/>
      <c r="AC376" s="12"/>
      <c r="AD376" s="12"/>
      <c r="AE376" s="12"/>
      <c r="AF376" s="12"/>
    </row>
    <row r="377" spans="1:32" ht="13.2">
      <c r="A377" s="8"/>
      <c r="B377" s="8"/>
      <c r="C377" s="8"/>
      <c r="D377" s="8"/>
      <c r="E377" s="8"/>
      <c r="F377" s="8"/>
      <c r="G377" s="9"/>
      <c r="H377" s="8"/>
      <c r="I377" s="8"/>
      <c r="J377" s="8"/>
      <c r="K377" s="8"/>
      <c r="L377" s="8"/>
      <c r="M377" s="8"/>
      <c r="N377" s="8"/>
      <c r="O377" s="8"/>
      <c r="P377" s="8"/>
      <c r="Q377" s="8"/>
      <c r="R377" s="8"/>
      <c r="S377" s="8"/>
      <c r="T377" s="8"/>
      <c r="U377" s="12"/>
      <c r="V377" s="12"/>
      <c r="W377" s="12"/>
      <c r="X377" s="12"/>
      <c r="Y377" s="12"/>
      <c r="Z377" s="12"/>
      <c r="AA377" s="12"/>
      <c r="AB377" s="12"/>
      <c r="AC377" s="12"/>
      <c r="AD377" s="12"/>
      <c r="AE377" s="12"/>
      <c r="AF377" s="12"/>
    </row>
    <row r="378" spans="1:32" ht="13.2">
      <c r="A378" s="8"/>
      <c r="B378" s="8"/>
      <c r="C378" s="8"/>
      <c r="D378" s="8"/>
      <c r="E378" s="8"/>
      <c r="F378" s="8"/>
      <c r="G378" s="9"/>
      <c r="H378" s="8"/>
      <c r="I378" s="8"/>
      <c r="J378" s="8"/>
      <c r="K378" s="8"/>
      <c r="L378" s="8"/>
      <c r="M378" s="8"/>
      <c r="N378" s="8"/>
      <c r="O378" s="8"/>
      <c r="P378" s="8"/>
      <c r="Q378" s="8"/>
      <c r="R378" s="8"/>
      <c r="S378" s="8"/>
      <c r="T378" s="8"/>
      <c r="U378" s="12"/>
      <c r="V378" s="12"/>
      <c r="W378" s="12"/>
      <c r="X378" s="12"/>
      <c r="Y378" s="12"/>
      <c r="Z378" s="12"/>
      <c r="AA378" s="12"/>
      <c r="AB378" s="12"/>
      <c r="AC378" s="12"/>
      <c r="AD378" s="12"/>
      <c r="AE378" s="12"/>
      <c r="AF378" s="12"/>
    </row>
    <row r="379" spans="1:32" ht="13.2">
      <c r="A379" s="8"/>
      <c r="B379" s="8"/>
      <c r="C379" s="8"/>
      <c r="D379" s="8"/>
      <c r="E379" s="8"/>
      <c r="F379" s="8"/>
      <c r="G379" s="9"/>
      <c r="H379" s="8"/>
      <c r="I379" s="8"/>
      <c r="J379" s="8"/>
      <c r="K379" s="8"/>
      <c r="L379" s="8"/>
      <c r="M379" s="8"/>
      <c r="N379" s="8"/>
      <c r="O379" s="8"/>
      <c r="P379" s="8"/>
      <c r="Q379" s="8"/>
      <c r="R379" s="8"/>
      <c r="S379" s="8"/>
      <c r="T379" s="8"/>
      <c r="U379" s="12"/>
      <c r="V379" s="12"/>
      <c r="W379" s="12"/>
      <c r="X379" s="12"/>
      <c r="Y379" s="12"/>
      <c r="Z379" s="12"/>
      <c r="AA379" s="12"/>
      <c r="AB379" s="12"/>
      <c r="AC379" s="12"/>
      <c r="AD379" s="12"/>
      <c r="AE379" s="12"/>
      <c r="AF379" s="12"/>
    </row>
    <row r="380" spans="1:32" ht="13.2">
      <c r="A380" s="8"/>
      <c r="B380" s="8"/>
      <c r="C380" s="8"/>
      <c r="D380" s="8"/>
      <c r="E380" s="8"/>
      <c r="F380" s="8"/>
      <c r="G380" s="9"/>
      <c r="H380" s="8"/>
      <c r="I380" s="8"/>
      <c r="J380" s="8"/>
      <c r="K380" s="8"/>
      <c r="L380" s="8"/>
      <c r="M380" s="8"/>
      <c r="N380" s="8"/>
      <c r="O380" s="8"/>
      <c r="P380" s="8"/>
      <c r="Q380" s="8"/>
      <c r="R380" s="8"/>
      <c r="S380" s="8"/>
      <c r="T380" s="8"/>
      <c r="U380" s="12"/>
      <c r="V380" s="12"/>
      <c r="W380" s="12"/>
      <c r="X380" s="12"/>
      <c r="Y380" s="12"/>
      <c r="Z380" s="12"/>
      <c r="AA380" s="12"/>
      <c r="AB380" s="12"/>
      <c r="AC380" s="12"/>
      <c r="AD380" s="12"/>
      <c r="AE380" s="12"/>
      <c r="AF380" s="12"/>
    </row>
    <row r="381" spans="1:32" ht="13.2">
      <c r="A381" s="8"/>
      <c r="B381" s="8"/>
      <c r="C381" s="8"/>
      <c r="D381" s="8"/>
      <c r="E381" s="8"/>
      <c r="F381" s="8"/>
      <c r="G381" s="9"/>
      <c r="H381" s="8"/>
      <c r="I381" s="8"/>
      <c r="J381" s="8"/>
      <c r="K381" s="8"/>
      <c r="L381" s="8"/>
      <c r="M381" s="8"/>
      <c r="N381" s="8"/>
      <c r="O381" s="8"/>
      <c r="P381" s="8"/>
      <c r="Q381" s="8"/>
      <c r="R381" s="8"/>
      <c r="S381" s="8"/>
      <c r="T381" s="8"/>
      <c r="U381" s="12"/>
      <c r="V381" s="12"/>
      <c r="W381" s="12"/>
      <c r="X381" s="12"/>
      <c r="Y381" s="12"/>
      <c r="Z381" s="12"/>
      <c r="AA381" s="12"/>
      <c r="AB381" s="12"/>
      <c r="AC381" s="12"/>
      <c r="AD381" s="12"/>
      <c r="AE381" s="12"/>
      <c r="AF381" s="12"/>
    </row>
    <row r="382" spans="1:32" ht="13.2">
      <c r="A382" s="8"/>
      <c r="B382" s="8"/>
      <c r="C382" s="8"/>
      <c r="D382" s="8"/>
      <c r="E382" s="8"/>
      <c r="F382" s="8"/>
      <c r="G382" s="9"/>
      <c r="H382" s="8"/>
      <c r="I382" s="8"/>
      <c r="J382" s="8"/>
      <c r="K382" s="8"/>
      <c r="L382" s="8"/>
      <c r="M382" s="8"/>
      <c r="N382" s="8"/>
      <c r="O382" s="8"/>
      <c r="P382" s="8"/>
      <c r="Q382" s="8"/>
      <c r="R382" s="8"/>
      <c r="S382" s="8"/>
      <c r="T382" s="8"/>
      <c r="U382" s="12"/>
      <c r="V382" s="12"/>
      <c r="W382" s="12"/>
      <c r="X382" s="12"/>
      <c r="Y382" s="12"/>
      <c r="Z382" s="12"/>
      <c r="AA382" s="12"/>
      <c r="AB382" s="12"/>
      <c r="AC382" s="12"/>
      <c r="AD382" s="12"/>
      <c r="AE382" s="12"/>
      <c r="AF382" s="12"/>
    </row>
    <row r="383" spans="1:32" ht="13.2">
      <c r="A383" s="8"/>
      <c r="B383" s="8"/>
      <c r="C383" s="8"/>
      <c r="D383" s="8"/>
      <c r="E383" s="8"/>
      <c r="F383" s="8"/>
      <c r="G383" s="9"/>
      <c r="H383" s="8"/>
      <c r="I383" s="8"/>
      <c r="J383" s="8"/>
      <c r="K383" s="8"/>
      <c r="L383" s="8"/>
      <c r="M383" s="8"/>
      <c r="N383" s="8"/>
      <c r="O383" s="8"/>
      <c r="P383" s="8"/>
      <c r="Q383" s="8"/>
      <c r="R383" s="8"/>
      <c r="S383" s="8"/>
      <c r="T383" s="8"/>
      <c r="U383" s="12"/>
      <c r="V383" s="12"/>
      <c r="W383" s="12"/>
      <c r="X383" s="12"/>
      <c r="Y383" s="12"/>
      <c r="Z383" s="12"/>
      <c r="AA383" s="12"/>
      <c r="AB383" s="12"/>
      <c r="AC383" s="12"/>
      <c r="AD383" s="12"/>
      <c r="AE383" s="12"/>
      <c r="AF383" s="12"/>
    </row>
    <row r="384" spans="1:32" ht="13.2">
      <c r="A384" s="8"/>
      <c r="B384" s="8"/>
      <c r="C384" s="8"/>
      <c r="D384" s="8"/>
      <c r="E384" s="8"/>
      <c r="F384" s="8"/>
      <c r="G384" s="9"/>
      <c r="H384" s="8"/>
      <c r="I384" s="8"/>
      <c r="J384" s="8"/>
      <c r="K384" s="8"/>
      <c r="L384" s="8"/>
      <c r="M384" s="8"/>
      <c r="N384" s="8"/>
      <c r="O384" s="8"/>
      <c r="P384" s="8"/>
      <c r="Q384" s="8"/>
      <c r="R384" s="8"/>
      <c r="S384" s="8"/>
      <c r="T384" s="8"/>
      <c r="U384" s="12"/>
      <c r="V384" s="12"/>
      <c r="W384" s="12"/>
      <c r="X384" s="12"/>
      <c r="Y384" s="12"/>
      <c r="Z384" s="12"/>
      <c r="AA384" s="12"/>
      <c r="AB384" s="12"/>
      <c r="AC384" s="12"/>
      <c r="AD384" s="12"/>
      <c r="AE384" s="12"/>
      <c r="AF384" s="12"/>
    </row>
    <row r="385" spans="1:32" ht="13.2">
      <c r="A385" s="8"/>
      <c r="B385" s="8"/>
      <c r="C385" s="8"/>
      <c r="D385" s="8"/>
      <c r="E385" s="8"/>
      <c r="F385" s="8"/>
      <c r="G385" s="9"/>
      <c r="H385" s="8"/>
      <c r="I385" s="8"/>
      <c r="J385" s="8"/>
      <c r="K385" s="8"/>
      <c r="L385" s="8"/>
      <c r="M385" s="8"/>
      <c r="N385" s="8"/>
      <c r="O385" s="8"/>
      <c r="P385" s="8"/>
      <c r="Q385" s="8"/>
      <c r="R385" s="8"/>
      <c r="S385" s="8"/>
      <c r="T385" s="8"/>
      <c r="U385" s="12"/>
      <c r="V385" s="12"/>
      <c r="W385" s="12"/>
      <c r="X385" s="12"/>
      <c r="Y385" s="12"/>
      <c r="Z385" s="12"/>
      <c r="AA385" s="12"/>
      <c r="AB385" s="12"/>
      <c r="AC385" s="12"/>
      <c r="AD385" s="12"/>
      <c r="AE385" s="12"/>
      <c r="AF385" s="12"/>
    </row>
    <row r="386" spans="1:32" ht="13.2">
      <c r="A386" s="8"/>
      <c r="B386" s="8"/>
      <c r="C386" s="8"/>
      <c r="D386" s="8"/>
      <c r="E386" s="8"/>
      <c r="F386" s="8"/>
      <c r="G386" s="9"/>
      <c r="H386" s="8"/>
      <c r="I386" s="8"/>
      <c r="J386" s="8"/>
      <c r="K386" s="8"/>
      <c r="L386" s="8"/>
      <c r="M386" s="8"/>
      <c r="N386" s="8"/>
      <c r="O386" s="8"/>
      <c r="P386" s="8"/>
      <c r="Q386" s="8"/>
      <c r="R386" s="8"/>
      <c r="S386" s="8"/>
      <c r="T386" s="8"/>
      <c r="U386" s="12"/>
      <c r="V386" s="12"/>
      <c r="W386" s="12"/>
      <c r="X386" s="12"/>
      <c r="Y386" s="12"/>
      <c r="Z386" s="12"/>
      <c r="AA386" s="12"/>
      <c r="AB386" s="12"/>
      <c r="AC386" s="12"/>
      <c r="AD386" s="12"/>
      <c r="AE386" s="12"/>
      <c r="AF386" s="12"/>
    </row>
    <row r="387" spans="1:32" ht="13.2">
      <c r="A387" s="8"/>
      <c r="B387" s="8"/>
      <c r="C387" s="8"/>
      <c r="D387" s="8"/>
      <c r="E387" s="8"/>
      <c r="F387" s="8"/>
      <c r="G387" s="9"/>
      <c r="H387" s="8"/>
      <c r="I387" s="8"/>
      <c r="J387" s="8"/>
      <c r="K387" s="8"/>
      <c r="L387" s="8"/>
      <c r="M387" s="8"/>
      <c r="N387" s="8"/>
      <c r="O387" s="8"/>
      <c r="P387" s="8"/>
      <c r="Q387" s="8"/>
      <c r="R387" s="8"/>
      <c r="S387" s="8"/>
      <c r="T387" s="8"/>
      <c r="U387" s="12"/>
      <c r="V387" s="12"/>
      <c r="W387" s="12"/>
      <c r="X387" s="12"/>
      <c r="Y387" s="12"/>
      <c r="Z387" s="12"/>
      <c r="AA387" s="12"/>
      <c r="AB387" s="12"/>
      <c r="AC387" s="12"/>
      <c r="AD387" s="12"/>
      <c r="AE387" s="12"/>
      <c r="AF387" s="12"/>
    </row>
    <row r="388" spans="1:32" ht="13.2">
      <c r="A388" s="8"/>
      <c r="B388" s="8"/>
      <c r="C388" s="8"/>
      <c r="D388" s="8"/>
      <c r="E388" s="8"/>
      <c r="F388" s="8"/>
      <c r="G388" s="9"/>
      <c r="H388" s="8"/>
      <c r="I388" s="8"/>
      <c r="J388" s="8"/>
      <c r="K388" s="8"/>
      <c r="L388" s="8"/>
      <c r="M388" s="8"/>
      <c r="N388" s="8"/>
      <c r="O388" s="8"/>
      <c r="P388" s="8"/>
      <c r="Q388" s="8"/>
      <c r="R388" s="8"/>
      <c r="S388" s="8"/>
      <c r="T388" s="8"/>
      <c r="U388" s="12"/>
      <c r="V388" s="12"/>
      <c r="W388" s="12"/>
      <c r="X388" s="12"/>
      <c r="Y388" s="12"/>
      <c r="Z388" s="12"/>
      <c r="AA388" s="12"/>
      <c r="AB388" s="12"/>
      <c r="AC388" s="12"/>
      <c r="AD388" s="12"/>
      <c r="AE388" s="12"/>
      <c r="AF388" s="12"/>
    </row>
    <row r="389" spans="1:32" ht="13.2">
      <c r="A389" s="8"/>
      <c r="B389" s="8"/>
      <c r="C389" s="8"/>
      <c r="D389" s="8"/>
      <c r="E389" s="8"/>
      <c r="F389" s="8"/>
      <c r="G389" s="9"/>
      <c r="H389" s="8"/>
      <c r="I389" s="8"/>
      <c r="J389" s="8"/>
      <c r="K389" s="8"/>
      <c r="L389" s="8"/>
      <c r="M389" s="8"/>
      <c r="N389" s="8"/>
      <c r="O389" s="8"/>
      <c r="P389" s="8"/>
      <c r="Q389" s="8"/>
      <c r="R389" s="8"/>
      <c r="S389" s="8"/>
      <c r="T389" s="8"/>
      <c r="U389" s="12"/>
      <c r="V389" s="12"/>
      <c r="W389" s="12"/>
      <c r="X389" s="12"/>
      <c r="Y389" s="12"/>
      <c r="Z389" s="12"/>
      <c r="AA389" s="12"/>
      <c r="AB389" s="12"/>
      <c r="AC389" s="12"/>
      <c r="AD389" s="12"/>
      <c r="AE389" s="12"/>
      <c r="AF389" s="12"/>
    </row>
    <row r="390" spans="1:32" ht="13.2">
      <c r="A390" s="8"/>
      <c r="B390" s="8"/>
      <c r="C390" s="8"/>
      <c r="D390" s="8"/>
      <c r="E390" s="8"/>
      <c r="F390" s="8"/>
      <c r="G390" s="9"/>
      <c r="H390" s="8"/>
      <c r="I390" s="8"/>
      <c r="J390" s="8"/>
      <c r="K390" s="8"/>
      <c r="L390" s="8"/>
      <c r="M390" s="8"/>
      <c r="N390" s="8"/>
      <c r="O390" s="8"/>
      <c r="P390" s="8"/>
      <c r="Q390" s="8"/>
      <c r="R390" s="8"/>
      <c r="S390" s="8"/>
      <c r="T390" s="8"/>
      <c r="U390" s="12"/>
      <c r="V390" s="12"/>
      <c r="W390" s="12"/>
      <c r="X390" s="12"/>
      <c r="Y390" s="12"/>
      <c r="Z390" s="12"/>
      <c r="AA390" s="12"/>
      <c r="AB390" s="12"/>
      <c r="AC390" s="12"/>
      <c r="AD390" s="12"/>
      <c r="AE390" s="12"/>
      <c r="AF390" s="12"/>
    </row>
    <row r="391" spans="1:32" ht="13.2">
      <c r="A391" s="8"/>
      <c r="B391" s="8"/>
      <c r="C391" s="8"/>
      <c r="D391" s="8"/>
      <c r="E391" s="8"/>
      <c r="F391" s="8"/>
      <c r="G391" s="9"/>
      <c r="H391" s="8"/>
      <c r="I391" s="8"/>
      <c r="J391" s="8"/>
      <c r="K391" s="8"/>
      <c r="L391" s="8"/>
      <c r="M391" s="8"/>
      <c r="N391" s="8"/>
      <c r="O391" s="8"/>
      <c r="P391" s="8"/>
      <c r="Q391" s="8"/>
      <c r="R391" s="8"/>
      <c r="S391" s="8"/>
      <c r="T391" s="8"/>
      <c r="U391" s="12"/>
      <c r="V391" s="12"/>
      <c r="W391" s="12"/>
      <c r="X391" s="12"/>
      <c r="Y391" s="12"/>
      <c r="Z391" s="12"/>
      <c r="AA391" s="12"/>
      <c r="AB391" s="12"/>
      <c r="AC391" s="12"/>
      <c r="AD391" s="12"/>
      <c r="AE391" s="12"/>
      <c r="AF391" s="12"/>
    </row>
    <row r="392" spans="1:32" ht="13.2">
      <c r="A392" s="8"/>
      <c r="B392" s="8"/>
      <c r="C392" s="8"/>
      <c r="D392" s="8"/>
      <c r="E392" s="8"/>
      <c r="F392" s="8"/>
      <c r="G392" s="9"/>
      <c r="H392" s="8"/>
      <c r="I392" s="8"/>
      <c r="J392" s="8"/>
      <c r="K392" s="8"/>
      <c r="L392" s="8"/>
      <c r="M392" s="8"/>
      <c r="N392" s="8"/>
      <c r="O392" s="8"/>
      <c r="P392" s="8"/>
      <c r="Q392" s="8"/>
      <c r="R392" s="8"/>
      <c r="S392" s="8"/>
      <c r="T392" s="8"/>
      <c r="U392" s="12"/>
      <c r="V392" s="12"/>
      <c r="W392" s="12"/>
      <c r="X392" s="12"/>
      <c r="Y392" s="12"/>
      <c r="Z392" s="12"/>
      <c r="AA392" s="12"/>
      <c r="AB392" s="12"/>
      <c r="AC392" s="12"/>
      <c r="AD392" s="12"/>
      <c r="AE392" s="12"/>
      <c r="AF392" s="12"/>
    </row>
    <row r="393" spans="1:32" ht="13.2">
      <c r="A393" s="8"/>
      <c r="B393" s="8"/>
      <c r="C393" s="8"/>
      <c r="D393" s="8"/>
      <c r="E393" s="8"/>
      <c r="F393" s="8"/>
      <c r="G393" s="9"/>
      <c r="H393" s="8"/>
      <c r="I393" s="8"/>
      <c r="J393" s="8"/>
      <c r="K393" s="8"/>
      <c r="L393" s="8"/>
      <c r="M393" s="8"/>
      <c r="N393" s="8"/>
      <c r="O393" s="8"/>
      <c r="P393" s="8"/>
      <c r="Q393" s="8"/>
      <c r="R393" s="8"/>
      <c r="S393" s="8"/>
      <c r="T393" s="8"/>
      <c r="U393" s="12"/>
      <c r="V393" s="12"/>
      <c r="W393" s="12"/>
      <c r="X393" s="12"/>
      <c r="Y393" s="12"/>
      <c r="Z393" s="12"/>
      <c r="AA393" s="12"/>
      <c r="AB393" s="12"/>
      <c r="AC393" s="12"/>
      <c r="AD393" s="12"/>
      <c r="AE393" s="12"/>
      <c r="AF393" s="12"/>
    </row>
    <row r="394" spans="1:32" ht="13.2">
      <c r="A394" s="8"/>
      <c r="B394" s="8"/>
      <c r="C394" s="8"/>
      <c r="D394" s="8"/>
      <c r="E394" s="8"/>
      <c r="F394" s="8"/>
      <c r="G394" s="9"/>
      <c r="H394" s="8"/>
      <c r="I394" s="8"/>
      <c r="J394" s="8"/>
      <c r="K394" s="8"/>
      <c r="L394" s="8"/>
      <c r="M394" s="8"/>
      <c r="N394" s="8"/>
      <c r="O394" s="8"/>
      <c r="P394" s="8"/>
      <c r="Q394" s="8"/>
      <c r="R394" s="8"/>
      <c r="S394" s="8"/>
      <c r="T394" s="8"/>
      <c r="U394" s="12"/>
      <c r="V394" s="12"/>
      <c r="W394" s="12"/>
      <c r="X394" s="12"/>
      <c r="Y394" s="12"/>
      <c r="Z394" s="12"/>
      <c r="AA394" s="12"/>
      <c r="AB394" s="12"/>
      <c r="AC394" s="12"/>
      <c r="AD394" s="12"/>
      <c r="AE394" s="12"/>
      <c r="AF394" s="12"/>
    </row>
    <row r="395" spans="1:32" ht="13.2">
      <c r="A395" s="8"/>
      <c r="B395" s="8"/>
      <c r="C395" s="8"/>
      <c r="D395" s="8"/>
      <c r="E395" s="8"/>
      <c r="F395" s="8"/>
      <c r="G395" s="9"/>
      <c r="H395" s="8"/>
      <c r="I395" s="8"/>
      <c r="J395" s="8"/>
      <c r="K395" s="8"/>
      <c r="L395" s="8"/>
      <c r="M395" s="8"/>
      <c r="N395" s="8"/>
      <c r="O395" s="8"/>
      <c r="P395" s="8"/>
      <c r="Q395" s="8"/>
      <c r="R395" s="8"/>
      <c r="S395" s="8"/>
      <c r="T395" s="8"/>
      <c r="U395" s="12"/>
      <c r="V395" s="12"/>
      <c r="W395" s="12"/>
      <c r="X395" s="12"/>
      <c r="Y395" s="12"/>
      <c r="Z395" s="12"/>
      <c r="AA395" s="12"/>
      <c r="AB395" s="12"/>
      <c r="AC395" s="12"/>
      <c r="AD395" s="12"/>
      <c r="AE395" s="12"/>
      <c r="AF395" s="12"/>
    </row>
    <row r="396" spans="1:32" ht="13.2">
      <c r="A396" s="8"/>
      <c r="B396" s="8"/>
      <c r="C396" s="8"/>
      <c r="D396" s="8"/>
      <c r="E396" s="8"/>
      <c r="F396" s="8"/>
      <c r="G396" s="9"/>
      <c r="H396" s="8"/>
      <c r="I396" s="8"/>
      <c r="J396" s="8"/>
      <c r="K396" s="8"/>
      <c r="L396" s="8"/>
      <c r="M396" s="8"/>
      <c r="N396" s="8"/>
      <c r="O396" s="8"/>
      <c r="P396" s="8"/>
      <c r="Q396" s="8"/>
      <c r="R396" s="8"/>
      <c r="S396" s="8"/>
      <c r="T396" s="8"/>
      <c r="U396" s="12"/>
      <c r="V396" s="12"/>
      <c r="W396" s="12"/>
      <c r="X396" s="12"/>
      <c r="Y396" s="12"/>
      <c r="Z396" s="12"/>
      <c r="AA396" s="12"/>
      <c r="AB396" s="12"/>
      <c r="AC396" s="12"/>
      <c r="AD396" s="12"/>
      <c r="AE396" s="12"/>
      <c r="AF396" s="12"/>
    </row>
    <row r="397" spans="1:32" ht="13.2">
      <c r="A397" s="8"/>
      <c r="B397" s="8"/>
      <c r="C397" s="8"/>
      <c r="D397" s="8"/>
      <c r="E397" s="8"/>
      <c r="F397" s="8"/>
      <c r="G397" s="9"/>
      <c r="H397" s="8"/>
      <c r="I397" s="8"/>
      <c r="J397" s="8"/>
      <c r="K397" s="8"/>
      <c r="L397" s="8"/>
      <c r="M397" s="8"/>
      <c r="N397" s="8"/>
      <c r="O397" s="8"/>
      <c r="P397" s="8"/>
      <c r="Q397" s="8"/>
      <c r="R397" s="8"/>
      <c r="S397" s="8"/>
      <c r="T397" s="8"/>
      <c r="U397" s="12"/>
      <c r="V397" s="12"/>
      <c r="W397" s="12"/>
      <c r="X397" s="12"/>
      <c r="Y397" s="12"/>
      <c r="Z397" s="12"/>
      <c r="AA397" s="12"/>
      <c r="AB397" s="12"/>
      <c r="AC397" s="12"/>
      <c r="AD397" s="12"/>
      <c r="AE397" s="12"/>
      <c r="AF397" s="12"/>
    </row>
    <row r="398" spans="1:32" ht="13.2">
      <c r="A398" s="8"/>
      <c r="B398" s="8"/>
      <c r="C398" s="8"/>
      <c r="D398" s="8"/>
      <c r="E398" s="8"/>
      <c r="F398" s="8"/>
      <c r="G398" s="9"/>
      <c r="H398" s="8"/>
      <c r="I398" s="8"/>
      <c r="J398" s="8"/>
      <c r="K398" s="8"/>
      <c r="L398" s="8"/>
      <c r="M398" s="8"/>
      <c r="N398" s="8"/>
      <c r="O398" s="8"/>
      <c r="P398" s="8"/>
      <c r="Q398" s="8"/>
      <c r="R398" s="8"/>
      <c r="S398" s="8"/>
      <c r="T398" s="8"/>
      <c r="U398" s="12"/>
      <c r="V398" s="12"/>
      <c r="W398" s="12"/>
      <c r="X398" s="12"/>
      <c r="Y398" s="12"/>
      <c r="Z398" s="12"/>
      <c r="AA398" s="12"/>
      <c r="AB398" s="12"/>
      <c r="AC398" s="12"/>
      <c r="AD398" s="12"/>
      <c r="AE398" s="12"/>
      <c r="AF398" s="12"/>
    </row>
    <row r="399" spans="1:32" ht="13.2">
      <c r="A399" s="8"/>
      <c r="B399" s="8"/>
      <c r="C399" s="8"/>
      <c r="D399" s="8"/>
      <c r="E399" s="8"/>
      <c r="F399" s="8"/>
      <c r="G399" s="9"/>
      <c r="H399" s="8"/>
      <c r="I399" s="8"/>
      <c r="J399" s="8"/>
      <c r="K399" s="8"/>
      <c r="L399" s="8"/>
      <c r="M399" s="8"/>
      <c r="N399" s="8"/>
      <c r="O399" s="8"/>
      <c r="P399" s="8"/>
      <c r="Q399" s="8"/>
      <c r="R399" s="8"/>
      <c r="S399" s="8"/>
      <c r="T399" s="8"/>
      <c r="U399" s="12"/>
      <c r="V399" s="12"/>
      <c r="W399" s="12"/>
      <c r="X399" s="12"/>
      <c r="Y399" s="12"/>
      <c r="Z399" s="12"/>
      <c r="AA399" s="12"/>
      <c r="AB399" s="12"/>
      <c r="AC399" s="12"/>
      <c r="AD399" s="12"/>
      <c r="AE399" s="12"/>
      <c r="AF399" s="12"/>
    </row>
    <row r="400" spans="1:32" ht="13.2">
      <c r="A400" s="8"/>
      <c r="B400" s="8"/>
      <c r="C400" s="8"/>
      <c r="D400" s="8"/>
      <c r="E400" s="8"/>
      <c r="F400" s="8"/>
      <c r="G400" s="9"/>
      <c r="H400" s="8"/>
      <c r="I400" s="8"/>
      <c r="J400" s="8"/>
      <c r="K400" s="8"/>
      <c r="L400" s="8"/>
      <c r="M400" s="8"/>
      <c r="N400" s="8"/>
      <c r="O400" s="8"/>
      <c r="P400" s="8"/>
      <c r="Q400" s="8"/>
      <c r="R400" s="8"/>
      <c r="S400" s="8"/>
      <c r="T400" s="8"/>
      <c r="U400" s="12"/>
      <c r="V400" s="12"/>
      <c r="W400" s="12"/>
      <c r="X400" s="12"/>
      <c r="Y400" s="12"/>
      <c r="Z400" s="12"/>
      <c r="AA400" s="12"/>
      <c r="AB400" s="12"/>
      <c r="AC400" s="12"/>
      <c r="AD400" s="12"/>
      <c r="AE400" s="12"/>
      <c r="AF400" s="12"/>
    </row>
    <row r="401" spans="1:32" ht="13.2">
      <c r="A401" s="8"/>
      <c r="B401" s="8"/>
      <c r="C401" s="8"/>
      <c r="D401" s="8"/>
      <c r="E401" s="8"/>
      <c r="F401" s="8"/>
      <c r="G401" s="9"/>
      <c r="H401" s="8"/>
      <c r="I401" s="8"/>
      <c r="J401" s="8"/>
      <c r="K401" s="8"/>
      <c r="L401" s="8"/>
      <c r="M401" s="8"/>
      <c r="N401" s="8"/>
      <c r="O401" s="8"/>
      <c r="P401" s="8"/>
      <c r="Q401" s="8"/>
      <c r="R401" s="8"/>
      <c r="S401" s="8"/>
      <c r="T401" s="8"/>
      <c r="U401" s="12"/>
      <c r="V401" s="12"/>
      <c r="W401" s="12"/>
      <c r="X401" s="12"/>
      <c r="Y401" s="12"/>
      <c r="Z401" s="12"/>
      <c r="AA401" s="12"/>
      <c r="AB401" s="12"/>
      <c r="AC401" s="12"/>
      <c r="AD401" s="12"/>
      <c r="AE401" s="12"/>
      <c r="AF401" s="12"/>
    </row>
    <row r="402" spans="1:32" ht="13.2">
      <c r="A402" s="8"/>
      <c r="B402" s="8"/>
      <c r="C402" s="8"/>
      <c r="D402" s="8"/>
      <c r="E402" s="8"/>
      <c r="F402" s="8"/>
      <c r="G402" s="9"/>
      <c r="H402" s="8"/>
      <c r="I402" s="8"/>
      <c r="J402" s="8"/>
      <c r="K402" s="8"/>
      <c r="L402" s="8"/>
      <c r="M402" s="8"/>
      <c r="N402" s="8"/>
      <c r="O402" s="8"/>
      <c r="P402" s="8"/>
      <c r="Q402" s="8"/>
      <c r="R402" s="8"/>
      <c r="S402" s="8"/>
      <c r="T402" s="8"/>
      <c r="U402" s="12"/>
      <c r="V402" s="12"/>
      <c r="W402" s="12"/>
      <c r="X402" s="12"/>
      <c r="Y402" s="12"/>
      <c r="Z402" s="12"/>
      <c r="AA402" s="12"/>
      <c r="AB402" s="12"/>
      <c r="AC402" s="12"/>
      <c r="AD402" s="12"/>
      <c r="AE402" s="12"/>
      <c r="AF402" s="12"/>
    </row>
    <row r="403" spans="1:32" ht="13.2">
      <c r="A403" s="8"/>
      <c r="B403" s="8"/>
      <c r="C403" s="8"/>
      <c r="D403" s="8"/>
      <c r="E403" s="8"/>
      <c r="F403" s="8"/>
      <c r="G403" s="9"/>
      <c r="H403" s="8"/>
      <c r="I403" s="8"/>
      <c r="J403" s="8"/>
      <c r="K403" s="8"/>
      <c r="L403" s="8"/>
      <c r="M403" s="8"/>
      <c r="N403" s="8"/>
      <c r="O403" s="8"/>
      <c r="P403" s="8"/>
      <c r="Q403" s="8"/>
      <c r="R403" s="8"/>
      <c r="S403" s="8"/>
      <c r="T403" s="8"/>
      <c r="U403" s="12"/>
      <c r="V403" s="12"/>
      <c r="W403" s="12"/>
      <c r="X403" s="12"/>
      <c r="Y403" s="12"/>
      <c r="Z403" s="12"/>
      <c r="AA403" s="12"/>
      <c r="AB403" s="12"/>
      <c r="AC403" s="12"/>
      <c r="AD403" s="12"/>
      <c r="AE403" s="12"/>
      <c r="AF403" s="12"/>
    </row>
    <row r="404" spans="1:32" ht="13.2">
      <c r="A404" s="8"/>
      <c r="B404" s="8"/>
      <c r="C404" s="8"/>
      <c r="D404" s="8"/>
      <c r="E404" s="8"/>
      <c r="F404" s="8"/>
      <c r="G404" s="9"/>
      <c r="H404" s="8"/>
      <c r="I404" s="8"/>
      <c r="J404" s="8"/>
      <c r="K404" s="8"/>
      <c r="L404" s="8"/>
      <c r="M404" s="8"/>
      <c r="N404" s="8"/>
      <c r="O404" s="8"/>
      <c r="P404" s="8"/>
      <c r="Q404" s="8"/>
      <c r="R404" s="8"/>
      <c r="S404" s="8"/>
      <c r="T404" s="8"/>
      <c r="U404" s="12"/>
      <c r="V404" s="12"/>
      <c r="W404" s="12"/>
      <c r="X404" s="12"/>
      <c r="Y404" s="12"/>
      <c r="Z404" s="12"/>
      <c r="AA404" s="12"/>
      <c r="AB404" s="12"/>
      <c r="AC404" s="12"/>
      <c r="AD404" s="12"/>
      <c r="AE404" s="12"/>
      <c r="AF404" s="12"/>
    </row>
    <row r="405" spans="1:32" ht="13.2">
      <c r="A405" s="8"/>
      <c r="B405" s="8"/>
      <c r="C405" s="8"/>
      <c r="D405" s="8"/>
      <c r="E405" s="8"/>
      <c r="F405" s="8"/>
      <c r="G405" s="9"/>
      <c r="H405" s="8"/>
      <c r="I405" s="8"/>
      <c r="J405" s="8"/>
      <c r="K405" s="8"/>
      <c r="L405" s="8"/>
      <c r="M405" s="8"/>
      <c r="N405" s="8"/>
      <c r="O405" s="8"/>
      <c r="P405" s="8"/>
      <c r="Q405" s="8"/>
      <c r="R405" s="8"/>
      <c r="S405" s="8"/>
      <c r="T405" s="8"/>
      <c r="U405" s="12"/>
      <c r="V405" s="12"/>
      <c r="W405" s="12"/>
      <c r="X405" s="12"/>
      <c r="Y405" s="12"/>
      <c r="Z405" s="12"/>
      <c r="AA405" s="12"/>
      <c r="AB405" s="12"/>
      <c r="AC405" s="12"/>
      <c r="AD405" s="12"/>
      <c r="AE405" s="12"/>
      <c r="AF405" s="12"/>
    </row>
    <row r="406" spans="1:32" ht="13.2">
      <c r="A406" s="8"/>
      <c r="B406" s="8"/>
      <c r="C406" s="8"/>
      <c r="D406" s="8"/>
      <c r="E406" s="8"/>
      <c r="F406" s="8"/>
      <c r="G406" s="9"/>
      <c r="H406" s="8"/>
      <c r="I406" s="8"/>
      <c r="J406" s="8"/>
      <c r="K406" s="8"/>
      <c r="L406" s="8"/>
      <c r="M406" s="8"/>
      <c r="N406" s="8"/>
      <c r="O406" s="8"/>
      <c r="P406" s="8"/>
      <c r="Q406" s="8"/>
      <c r="R406" s="8"/>
      <c r="S406" s="8"/>
      <c r="T406" s="8"/>
      <c r="U406" s="12"/>
      <c r="V406" s="12"/>
      <c r="W406" s="12"/>
      <c r="X406" s="12"/>
      <c r="Y406" s="12"/>
      <c r="Z406" s="12"/>
      <c r="AA406" s="12"/>
      <c r="AB406" s="12"/>
      <c r="AC406" s="12"/>
      <c r="AD406" s="12"/>
      <c r="AE406" s="12"/>
      <c r="AF406" s="12"/>
    </row>
    <row r="407" spans="1:32" ht="13.2">
      <c r="A407" s="8"/>
      <c r="B407" s="8"/>
      <c r="C407" s="8"/>
      <c r="D407" s="8"/>
      <c r="E407" s="8"/>
      <c r="F407" s="8"/>
      <c r="G407" s="9"/>
      <c r="H407" s="8"/>
      <c r="I407" s="8"/>
      <c r="J407" s="8"/>
      <c r="K407" s="8"/>
      <c r="L407" s="8"/>
      <c r="M407" s="8"/>
      <c r="N407" s="8"/>
      <c r="O407" s="8"/>
      <c r="P407" s="8"/>
      <c r="Q407" s="8"/>
      <c r="R407" s="8"/>
      <c r="S407" s="8"/>
      <c r="T407" s="8"/>
      <c r="U407" s="12"/>
      <c r="V407" s="12"/>
      <c r="W407" s="12"/>
      <c r="X407" s="12"/>
      <c r="Y407" s="12"/>
      <c r="Z407" s="12"/>
      <c r="AA407" s="12"/>
      <c r="AB407" s="12"/>
      <c r="AC407" s="12"/>
      <c r="AD407" s="12"/>
      <c r="AE407" s="12"/>
      <c r="AF407" s="12"/>
    </row>
    <row r="408" spans="1:32" ht="13.2">
      <c r="A408" s="8"/>
      <c r="B408" s="8"/>
      <c r="C408" s="8"/>
      <c r="D408" s="8"/>
      <c r="E408" s="8"/>
      <c r="F408" s="8"/>
      <c r="G408" s="9"/>
      <c r="H408" s="8"/>
      <c r="I408" s="8"/>
      <c r="J408" s="8"/>
      <c r="K408" s="8"/>
      <c r="L408" s="8"/>
      <c r="M408" s="8"/>
      <c r="N408" s="8"/>
      <c r="O408" s="8"/>
      <c r="P408" s="8"/>
      <c r="Q408" s="8"/>
      <c r="R408" s="8"/>
      <c r="S408" s="8"/>
      <c r="T408" s="8"/>
      <c r="U408" s="12"/>
      <c r="V408" s="12"/>
      <c r="W408" s="12"/>
      <c r="X408" s="12"/>
      <c r="Y408" s="12"/>
      <c r="Z408" s="12"/>
      <c r="AA408" s="12"/>
      <c r="AB408" s="12"/>
      <c r="AC408" s="12"/>
      <c r="AD408" s="12"/>
      <c r="AE408" s="12"/>
      <c r="AF408" s="12"/>
    </row>
    <row r="409" spans="1:32" ht="13.2">
      <c r="A409" s="8"/>
      <c r="B409" s="8"/>
      <c r="C409" s="8"/>
      <c r="D409" s="8"/>
      <c r="E409" s="8"/>
      <c r="F409" s="8"/>
      <c r="G409" s="9"/>
      <c r="H409" s="8"/>
      <c r="I409" s="8"/>
      <c r="J409" s="8"/>
      <c r="K409" s="8"/>
      <c r="L409" s="8"/>
      <c r="M409" s="8"/>
      <c r="N409" s="8"/>
      <c r="O409" s="8"/>
      <c r="P409" s="8"/>
      <c r="Q409" s="8"/>
      <c r="R409" s="8"/>
      <c r="S409" s="8"/>
      <c r="T409" s="8"/>
      <c r="U409" s="12"/>
      <c r="V409" s="12"/>
      <c r="W409" s="12"/>
      <c r="X409" s="12"/>
      <c r="Y409" s="12"/>
      <c r="Z409" s="12"/>
      <c r="AA409" s="12"/>
      <c r="AB409" s="12"/>
      <c r="AC409" s="12"/>
      <c r="AD409" s="12"/>
      <c r="AE409" s="12"/>
      <c r="AF409" s="12"/>
    </row>
    <row r="410" spans="1:32" ht="13.2">
      <c r="A410" s="8"/>
      <c r="B410" s="8"/>
      <c r="C410" s="8"/>
      <c r="D410" s="8"/>
      <c r="E410" s="8"/>
      <c r="F410" s="8"/>
      <c r="G410" s="9"/>
      <c r="H410" s="8"/>
      <c r="I410" s="8"/>
      <c r="J410" s="8"/>
      <c r="K410" s="8"/>
      <c r="L410" s="8"/>
      <c r="M410" s="8"/>
      <c r="N410" s="8"/>
      <c r="O410" s="8"/>
      <c r="P410" s="8"/>
      <c r="Q410" s="8"/>
      <c r="R410" s="8"/>
      <c r="S410" s="8"/>
      <c r="T410" s="8"/>
      <c r="U410" s="12"/>
      <c r="V410" s="12"/>
      <c r="W410" s="12"/>
      <c r="X410" s="12"/>
      <c r="Y410" s="12"/>
      <c r="Z410" s="12"/>
      <c r="AA410" s="12"/>
      <c r="AB410" s="12"/>
      <c r="AC410" s="12"/>
      <c r="AD410" s="12"/>
      <c r="AE410" s="12"/>
      <c r="AF410" s="12"/>
    </row>
    <row r="411" spans="1:32" ht="13.2">
      <c r="A411" s="8"/>
      <c r="B411" s="8"/>
      <c r="C411" s="8"/>
      <c r="D411" s="8"/>
      <c r="E411" s="8"/>
      <c r="F411" s="8"/>
      <c r="G411" s="9"/>
      <c r="H411" s="8"/>
      <c r="I411" s="8"/>
      <c r="J411" s="8"/>
      <c r="K411" s="8"/>
      <c r="L411" s="8"/>
      <c r="M411" s="8"/>
      <c r="N411" s="8"/>
      <c r="O411" s="8"/>
      <c r="P411" s="8"/>
      <c r="Q411" s="8"/>
      <c r="R411" s="8"/>
      <c r="S411" s="8"/>
      <c r="T411" s="8"/>
      <c r="U411" s="12"/>
      <c r="V411" s="12"/>
      <c r="W411" s="12"/>
      <c r="X411" s="12"/>
      <c r="Y411" s="12"/>
      <c r="Z411" s="12"/>
      <c r="AA411" s="12"/>
      <c r="AB411" s="12"/>
      <c r="AC411" s="12"/>
      <c r="AD411" s="12"/>
      <c r="AE411" s="12"/>
      <c r="AF411" s="12"/>
    </row>
    <row r="412" spans="1:32" ht="13.2">
      <c r="A412" s="8"/>
      <c r="B412" s="8"/>
      <c r="C412" s="8"/>
      <c r="D412" s="8"/>
      <c r="E412" s="8"/>
      <c r="F412" s="8"/>
      <c r="G412" s="9"/>
      <c r="H412" s="8"/>
      <c r="I412" s="8"/>
      <c r="J412" s="8"/>
      <c r="K412" s="8"/>
      <c r="L412" s="8"/>
      <c r="M412" s="8"/>
      <c r="N412" s="8"/>
      <c r="O412" s="8"/>
      <c r="P412" s="8"/>
      <c r="Q412" s="8"/>
      <c r="R412" s="8"/>
      <c r="S412" s="8"/>
      <c r="T412" s="8"/>
      <c r="U412" s="12"/>
      <c r="V412" s="12"/>
      <c r="W412" s="12"/>
      <c r="X412" s="12"/>
      <c r="Y412" s="12"/>
      <c r="Z412" s="12"/>
      <c r="AA412" s="12"/>
      <c r="AB412" s="12"/>
      <c r="AC412" s="12"/>
      <c r="AD412" s="12"/>
      <c r="AE412" s="12"/>
      <c r="AF412" s="12"/>
    </row>
    <row r="413" spans="1:32" ht="13.2">
      <c r="A413" s="8"/>
      <c r="B413" s="8"/>
      <c r="C413" s="8"/>
      <c r="D413" s="8"/>
      <c r="E413" s="8"/>
      <c r="F413" s="8"/>
      <c r="G413" s="9"/>
      <c r="H413" s="8"/>
      <c r="I413" s="8"/>
      <c r="J413" s="8"/>
      <c r="K413" s="8"/>
      <c r="L413" s="8"/>
      <c r="M413" s="8"/>
      <c r="N413" s="8"/>
      <c r="O413" s="8"/>
      <c r="P413" s="8"/>
      <c r="Q413" s="8"/>
      <c r="R413" s="8"/>
      <c r="S413" s="8"/>
      <c r="T413" s="8"/>
      <c r="U413" s="12"/>
      <c r="V413" s="12"/>
      <c r="W413" s="12"/>
      <c r="X413" s="12"/>
      <c r="Y413" s="12"/>
      <c r="Z413" s="12"/>
      <c r="AA413" s="12"/>
      <c r="AB413" s="12"/>
      <c r="AC413" s="12"/>
      <c r="AD413" s="12"/>
      <c r="AE413" s="12"/>
      <c r="AF413" s="12"/>
    </row>
    <row r="414" spans="1:32" ht="13.2">
      <c r="A414" s="8"/>
      <c r="B414" s="8"/>
      <c r="C414" s="8"/>
      <c r="D414" s="8"/>
      <c r="E414" s="8"/>
      <c r="F414" s="8"/>
      <c r="G414" s="9"/>
      <c r="H414" s="8"/>
      <c r="I414" s="8"/>
      <c r="J414" s="8"/>
      <c r="K414" s="8"/>
      <c r="L414" s="8"/>
      <c r="M414" s="8"/>
      <c r="N414" s="8"/>
      <c r="O414" s="8"/>
      <c r="P414" s="8"/>
      <c r="Q414" s="8"/>
      <c r="R414" s="8"/>
      <c r="S414" s="8"/>
      <c r="T414" s="8"/>
      <c r="U414" s="12"/>
      <c r="V414" s="12"/>
      <c r="W414" s="12"/>
      <c r="X414" s="12"/>
      <c r="Y414" s="12"/>
      <c r="Z414" s="12"/>
      <c r="AA414" s="12"/>
      <c r="AB414" s="12"/>
      <c r="AC414" s="12"/>
      <c r="AD414" s="12"/>
      <c r="AE414" s="12"/>
      <c r="AF414" s="12"/>
    </row>
    <row r="415" spans="1:32" ht="13.2">
      <c r="A415" s="8"/>
      <c r="B415" s="8"/>
      <c r="C415" s="8"/>
      <c r="D415" s="8"/>
      <c r="E415" s="8"/>
      <c r="F415" s="8"/>
      <c r="G415" s="9"/>
      <c r="H415" s="8"/>
      <c r="I415" s="8"/>
      <c r="J415" s="8"/>
      <c r="K415" s="8"/>
      <c r="L415" s="8"/>
      <c r="M415" s="8"/>
      <c r="N415" s="8"/>
      <c r="O415" s="8"/>
      <c r="P415" s="8"/>
      <c r="Q415" s="8"/>
      <c r="R415" s="8"/>
      <c r="S415" s="8"/>
      <c r="T415" s="8"/>
      <c r="U415" s="12"/>
      <c r="V415" s="12"/>
      <c r="W415" s="12"/>
      <c r="X415" s="12"/>
      <c r="Y415" s="12"/>
      <c r="Z415" s="12"/>
      <c r="AA415" s="12"/>
      <c r="AB415" s="12"/>
      <c r="AC415" s="12"/>
      <c r="AD415" s="12"/>
      <c r="AE415" s="12"/>
      <c r="AF415" s="12"/>
    </row>
    <row r="416" spans="1:32" ht="13.2">
      <c r="A416" s="8"/>
      <c r="B416" s="8"/>
      <c r="C416" s="8"/>
      <c r="D416" s="8"/>
      <c r="E416" s="8"/>
      <c r="F416" s="8"/>
      <c r="G416" s="9"/>
      <c r="H416" s="8"/>
      <c r="I416" s="8"/>
      <c r="J416" s="8"/>
      <c r="K416" s="8"/>
      <c r="L416" s="8"/>
      <c r="M416" s="8"/>
      <c r="N416" s="8"/>
      <c r="O416" s="8"/>
      <c r="P416" s="8"/>
      <c r="Q416" s="8"/>
      <c r="R416" s="8"/>
      <c r="S416" s="8"/>
      <c r="T416" s="8"/>
      <c r="U416" s="12"/>
      <c r="V416" s="12"/>
      <c r="W416" s="12"/>
      <c r="X416" s="12"/>
      <c r="Y416" s="12"/>
      <c r="Z416" s="12"/>
      <c r="AA416" s="12"/>
      <c r="AB416" s="12"/>
      <c r="AC416" s="12"/>
      <c r="AD416" s="12"/>
      <c r="AE416" s="12"/>
      <c r="AF416" s="12"/>
    </row>
    <row r="417" spans="1:32" ht="13.2">
      <c r="A417" s="8"/>
      <c r="B417" s="8"/>
      <c r="C417" s="8"/>
      <c r="D417" s="8"/>
      <c r="E417" s="8"/>
      <c r="F417" s="8"/>
      <c r="G417" s="9"/>
      <c r="H417" s="8"/>
      <c r="I417" s="8"/>
      <c r="J417" s="8"/>
      <c r="K417" s="8"/>
      <c r="L417" s="8"/>
      <c r="M417" s="8"/>
      <c r="N417" s="8"/>
      <c r="O417" s="8"/>
      <c r="P417" s="8"/>
      <c r="Q417" s="8"/>
      <c r="R417" s="8"/>
      <c r="S417" s="8"/>
      <c r="T417" s="8"/>
      <c r="U417" s="12"/>
      <c r="V417" s="12"/>
      <c r="W417" s="12"/>
      <c r="X417" s="12"/>
      <c r="Y417" s="12"/>
      <c r="Z417" s="12"/>
      <c r="AA417" s="12"/>
      <c r="AB417" s="12"/>
      <c r="AC417" s="12"/>
      <c r="AD417" s="12"/>
      <c r="AE417" s="12"/>
      <c r="AF417" s="12"/>
    </row>
    <row r="418" spans="1:32" ht="13.2">
      <c r="A418" s="8"/>
      <c r="B418" s="8"/>
      <c r="C418" s="8"/>
      <c r="D418" s="8"/>
      <c r="E418" s="8"/>
      <c r="F418" s="8"/>
      <c r="G418" s="9"/>
      <c r="H418" s="8"/>
      <c r="I418" s="8"/>
      <c r="J418" s="8"/>
      <c r="K418" s="8"/>
      <c r="L418" s="8"/>
      <c r="M418" s="8"/>
      <c r="N418" s="8"/>
      <c r="O418" s="8"/>
      <c r="P418" s="8"/>
      <c r="Q418" s="8"/>
      <c r="R418" s="8"/>
      <c r="S418" s="8"/>
      <c r="T418" s="8"/>
      <c r="U418" s="12"/>
      <c r="V418" s="12"/>
      <c r="W418" s="12"/>
      <c r="X418" s="12"/>
      <c r="Y418" s="12"/>
      <c r="Z418" s="12"/>
      <c r="AA418" s="12"/>
      <c r="AB418" s="12"/>
      <c r="AC418" s="12"/>
      <c r="AD418" s="12"/>
      <c r="AE418" s="12"/>
      <c r="AF418" s="12"/>
    </row>
    <row r="419" spans="1:32" ht="13.2">
      <c r="A419" s="8"/>
      <c r="B419" s="8"/>
      <c r="C419" s="8"/>
      <c r="D419" s="8"/>
      <c r="E419" s="8"/>
      <c r="F419" s="8"/>
      <c r="G419" s="9"/>
      <c r="H419" s="8"/>
      <c r="I419" s="8"/>
      <c r="J419" s="8"/>
      <c r="K419" s="8"/>
      <c r="L419" s="8"/>
      <c r="M419" s="8"/>
      <c r="N419" s="8"/>
      <c r="O419" s="8"/>
      <c r="P419" s="8"/>
      <c r="Q419" s="8"/>
      <c r="R419" s="8"/>
      <c r="S419" s="8"/>
      <c r="T419" s="8"/>
      <c r="U419" s="12"/>
      <c r="V419" s="12"/>
      <c r="W419" s="12"/>
      <c r="X419" s="12"/>
      <c r="Y419" s="12"/>
      <c r="Z419" s="12"/>
      <c r="AA419" s="12"/>
      <c r="AB419" s="12"/>
      <c r="AC419" s="12"/>
      <c r="AD419" s="12"/>
      <c r="AE419" s="12"/>
      <c r="AF419" s="12"/>
    </row>
    <row r="420" spans="1:32" ht="13.2">
      <c r="A420" s="8"/>
      <c r="B420" s="8"/>
      <c r="C420" s="8"/>
      <c r="D420" s="8"/>
      <c r="E420" s="8"/>
      <c r="F420" s="8"/>
      <c r="G420" s="9"/>
      <c r="H420" s="8"/>
      <c r="I420" s="8"/>
      <c r="J420" s="8"/>
      <c r="K420" s="8"/>
      <c r="L420" s="8"/>
      <c r="M420" s="8"/>
      <c r="N420" s="8"/>
      <c r="O420" s="8"/>
      <c r="P420" s="8"/>
      <c r="Q420" s="8"/>
      <c r="R420" s="8"/>
      <c r="S420" s="8"/>
      <c r="T420" s="8"/>
      <c r="U420" s="12"/>
      <c r="V420" s="12"/>
      <c r="W420" s="12"/>
      <c r="X420" s="12"/>
      <c r="Y420" s="12"/>
      <c r="Z420" s="12"/>
      <c r="AA420" s="12"/>
      <c r="AB420" s="12"/>
      <c r="AC420" s="12"/>
      <c r="AD420" s="12"/>
      <c r="AE420" s="12"/>
      <c r="AF420" s="12"/>
    </row>
    <row r="421" spans="1:32" ht="13.2">
      <c r="A421" s="8"/>
      <c r="B421" s="8"/>
      <c r="C421" s="8"/>
      <c r="D421" s="8"/>
      <c r="E421" s="8"/>
      <c r="F421" s="8"/>
      <c r="G421" s="9"/>
      <c r="H421" s="8"/>
      <c r="I421" s="8"/>
      <c r="J421" s="8"/>
      <c r="K421" s="8"/>
      <c r="L421" s="8"/>
      <c r="M421" s="8"/>
      <c r="N421" s="8"/>
      <c r="O421" s="8"/>
      <c r="P421" s="8"/>
      <c r="Q421" s="8"/>
      <c r="R421" s="8"/>
      <c r="S421" s="8"/>
      <c r="T421" s="8"/>
      <c r="U421" s="12"/>
      <c r="V421" s="12"/>
      <c r="W421" s="12"/>
      <c r="X421" s="12"/>
      <c r="Y421" s="12"/>
      <c r="Z421" s="12"/>
      <c r="AA421" s="12"/>
      <c r="AB421" s="12"/>
      <c r="AC421" s="12"/>
      <c r="AD421" s="12"/>
      <c r="AE421" s="12"/>
      <c r="AF421" s="12"/>
    </row>
    <row r="422" spans="1:32" ht="13.2">
      <c r="A422" s="8"/>
      <c r="B422" s="8"/>
      <c r="C422" s="8"/>
      <c r="D422" s="8"/>
      <c r="E422" s="8"/>
      <c r="F422" s="8"/>
      <c r="G422" s="9"/>
      <c r="H422" s="8"/>
      <c r="I422" s="8"/>
      <c r="J422" s="8"/>
      <c r="K422" s="8"/>
      <c r="L422" s="8"/>
      <c r="M422" s="8"/>
      <c r="N422" s="8"/>
      <c r="O422" s="8"/>
      <c r="P422" s="8"/>
      <c r="Q422" s="8"/>
      <c r="R422" s="8"/>
      <c r="S422" s="8"/>
      <c r="T422" s="8"/>
      <c r="U422" s="12"/>
      <c r="V422" s="12"/>
      <c r="W422" s="12"/>
      <c r="X422" s="12"/>
      <c r="Y422" s="12"/>
      <c r="Z422" s="12"/>
      <c r="AA422" s="12"/>
      <c r="AB422" s="12"/>
      <c r="AC422" s="12"/>
      <c r="AD422" s="12"/>
      <c r="AE422" s="12"/>
      <c r="AF422" s="12"/>
    </row>
    <row r="423" spans="1:32" ht="13.2">
      <c r="A423" s="8"/>
      <c r="B423" s="8"/>
      <c r="C423" s="8"/>
      <c r="D423" s="8"/>
      <c r="E423" s="8"/>
      <c r="F423" s="8"/>
      <c r="G423" s="9"/>
      <c r="H423" s="8"/>
      <c r="I423" s="8"/>
      <c r="J423" s="8"/>
      <c r="K423" s="8"/>
      <c r="L423" s="8"/>
      <c r="M423" s="8"/>
      <c r="N423" s="8"/>
      <c r="O423" s="8"/>
      <c r="P423" s="8"/>
      <c r="Q423" s="8"/>
      <c r="R423" s="8"/>
      <c r="S423" s="8"/>
      <c r="T423" s="8"/>
      <c r="U423" s="12"/>
      <c r="V423" s="12"/>
      <c r="W423" s="12"/>
      <c r="X423" s="12"/>
      <c r="Y423" s="12"/>
      <c r="Z423" s="12"/>
      <c r="AA423" s="12"/>
      <c r="AB423" s="12"/>
      <c r="AC423" s="12"/>
      <c r="AD423" s="12"/>
      <c r="AE423" s="12"/>
      <c r="AF423" s="12"/>
    </row>
    <row r="424" spans="1:32" ht="13.2">
      <c r="A424" s="8"/>
      <c r="B424" s="8"/>
      <c r="C424" s="8"/>
      <c r="D424" s="8"/>
      <c r="E424" s="8"/>
      <c r="F424" s="8"/>
      <c r="G424" s="9"/>
      <c r="H424" s="8"/>
      <c r="I424" s="8"/>
      <c r="J424" s="8"/>
      <c r="K424" s="8"/>
      <c r="L424" s="8"/>
      <c r="M424" s="8"/>
      <c r="N424" s="8"/>
      <c r="O424" s="8"/>
      <c r="P424" s="8"/>
      <c r="Q424" s="8"/>
      <c r="R424" s="8"/>
      <c r="S424" s="8"/>
      <c r="T424" s="8"/>
      <c r="U424" s="12"/>
      <c r="V424" s="12"/>
      <c r="W424" s="12"/>
      <c r="X424" s="12"/>
      <c r="Y424" s="12"/>
      <c r="Z424" s="12"/>
      <c r="AA424" s="12"/>
      <c r="AB424" s="12"/>
      <c r="AC424" s="12"/>
      <c r="AD424" s="12"/>
      <c r="AE424" s="12"/>
      <c r="AF424" s="12"/>
    </row>
    <row r="425" spans="1:32" ht="13.2">
      <c r="A425" s="8"/>
      <c r="B425" s="8"/>
      <c r="C425" s="8"/>
      <c r="D425" s="8"/>
      <c r="E425" s="8"/>
      <c r="F425" s="8"/>
      <c r="G425" s="9"/>
      <c r="H425" s="8"/>
      <c r="I425" s="8"/>
      <c r="J425" s="8"/>
      <c r="K425" s="8"/>
      <c r="L425" s="8"/>
      <c r="M425" s="8"/>
      <c r="N425" s="8"/>
      <c r="O425" s="8"/>
      <c r="P425" s="8"/>
      <c r="Q425" s="8"/>
      <c r="R425" s="8"/>
      <c r="S425" s="8"/>
      <c r="T425" s="8"/>
      <c r="U425" s="12"/>
      <c r="V425" s="12"/>
      <c r="W425" s="12"/>
      <c r="X425" s="12"/>
      <c r="Y425" s="12"/>
      <c r="Z425" s="12"/>
      <c r="AA425" s="12"/>
      <c r="AB425" s="12"/>
      <c r="AC425" s="12"/>
      <c r="AD425" s="12"/>
      <c r="AE425" s="12"/>
      <c r="AF425" s="12"/>
    </row>
    <row r="426" spans="1:32" ht="13.2">
      <c r="A426" s="8"/>
      <c r="B426" s="8"/>
      <c r="C426" s="8"/>
      <c r="D426" s="8"/>
      <c r="E426" s="8"/>
      <c r="F426" s="8"/>
      <c r="G426" s="9"/>
      <c r="H426" s="8"/>
      <c r="I426" s="8"/>
      <c r="J426" s="8"/>
      <c r="K426" s="8"/>
      <c r="L426" s="8"/>
      <c r="M426" s="8"/>
      <c r="N426" s="8"/>
      <c r="O426" s="8"/>
      <c r="P426" s="8"/>
      <c r="Q426" s="8"/>
      <c r="R426" s="8"/>
      <c r="S426" s="8"/>
      <c r="T426" s="8"/>
      <c r="U426" s="12"/>
      <c r="V426" s="12"/>
      <c r="W426" s="12"/>
      <c r="X426" s="12"/>
      <c r="Y426" s="12"/>
      <c r="Z426" s="12"/>
      <c r="AA426" s="12"/>
      <c r="AB426" s="12"/>
      <c r="AC426" s="12"/>
      <c r="AD426" s="12"/>
      <c r="AE426" s="12"/>
      <c r="AF426" s="12"/>
    </row>
    <row r="427" spans="1:32" ht="13.2">
      <c r="A427" s="8"/>
      <c r="B427" s="8"/>
      <c r="C427" s="8"/>
      <c r="D427" s="8"/>
      <c r="E427" s="8"/>
      <c r="F427" s="8"/>
      <c r="G427" s="9"/>
      <c r="H427" s="8"/>
      <c r="I427" s="8"/>
      <c r="J427" s="8"/>
      <c r="K427" s="8"/>
      <c r="L427" s="8"/>
      <c r="M427" s="8"/>
      <c r="N427" s="8"/>
      <c r="O427" s="8"/>
      <c r="P427" s="8"/>
      <c r="Q427" s="8"/>
      <c r="R427" s="8"/>
      <c r="S427" s="8"/>
      <c r="T427" s="8"/>
      <c r="U427" s="12"/>
      <c r="V427" s="12"/>
      <c r="W427" s="12"/>
      <c r="X427" s="12"/>
      <c r="Y427" s="12"/>
      <c r="Z427" s="12"/>
      <c r="AA427" s="12"/>
      <c r="AB427" s="12"/>
      <c r="AC427" s="12"/>
      <c r="AD427" s="12"/>
      <c r="AE427" s="12"/>
      <c r="AF427" s="12"/>
    </row>
    <row r="428" spans="1:32" ht="13.2">
      <c r="A428" s="8"/>
      <c r="B428" s="8"/>
      <c r="C428" s="8"/>
      <c r="D428" s="8"/>
      <c r="E428" s="8"/>
      <c r="F428" s="8"/>
      <c r="G428" s="9"/>
      <c r="H428" s="8"/>
      <c r="I428" s="8"/>
      <c r="J428" s="8"/>
      <c r="K428" s="8"/>
      <c r="L428" s="8"/>
      <c r="M428" s="8"/>
      <c r="N428" s="8"/>
      <c r="O428" s="8"/>
      <c r="P428" s="8"/>
      <c r="Q428" s="8"/>
      <c r="R428" s="8"/>
      <c r="S428" s="8"/>
      <c r="T428" s="8"/>
      <c r="U428" s="12"/>
      <c r="V428" s="12"/>
      <c r="W428" s="12"/>
      <c r="X428" s="12"/>
      <c r="Y428" s="12"/>
      <c r="Z428" s="12"/>
      <c r="AA428" s="12"/>
      <c r="AB428" s="12"/>
      <c r="AC428" s="12"/>
      <c r="AD428" s="12"/>
      <c r="AE428" s="12"/>
      <c r="AF428" s="12"/>
    </row>
    <row r="429" spans="1:32" ht="13.2">
      <c r="A429" s="8"/>
      <c r="B429" s="8"/>
      <c r="C429" s="8"/>
      <c r="D429" s="8"/>
      <c r="E429" s="8"/>
      <c r="F429" s="8"/>
      <c r="G429" s="9"/>
      <c r="H429" s="8"/>
      <c r="I429" s="8"/>
      <c r="J429" s="8"/>
      <c r="K429" s="8"/>
      <c r="L429" s="8"/>
      <c r="M429" s="8"/>
      <c r="N429" s="8"/>
      <c r="O429" s="8"/>
      <c r="P429" s="8"/>
      <c r="Q429" s="8"/>
      <c r="R429" s="8"/>
      <c r="S429" s="8"/>
      <c r="T429" s="8"/>
      <c r="U429" s="12"/>
      <c r="V429" s="12"/>
      <c r="W429" s="12"/>
      <c r="X429" s="12"/>
      <c r="Y429" s="12"/>
      <c r="Z429" s="12"/>
      <c r="AA429" s="12"/>
      <c r="AB429" s="12"/>
      <c r="AC429" s="12"/>
      <c r="AD429" s="12"/>
      <c r="AE429" s="12"/>
      <c r="AF429" s="12"/>
    </row>
    <row r="430" spans="1:32" ht="13.2">
      <c r="A430" s="8"/>
      <c r="B430" s="8"/>
      <c r="C430" s="8"/>
      <c r="D430" s="8"/>
      <c r="E430" s="8"/>
      <c r="F430" s="8"/>
      <c r="G430" s="9"/>
      <c r="H430" s="8"/>
      <c r="I430" s="8"/>
      <c r="J430" s="8"/>
      <c r="K430" s="8"/>
      <c r="L430" s="8"/>
      <c r="M430" s="8"/>
      <c r="N430" s="8"/>
      <c r="O430" s="8"/>
      <c r="P430" s="8"/>
      <c r="Q430" s="8"/>
      <c r="R430" s="8"/>
      <c r="S430" s="8"/>
      <c r="T430" s="8"/>
      <c r="U430" s="12"/>
      <c r="V430" s="12"/>
      <c r="W430" s="12"/>
      <c r="X430" s="12"/>
      <c r="Y430" s="12"/>
      <c r="Z430" s="12"/>
      <c r="AA430" s="12"/>
      <c r="AB430" s="12"/>
      <c r="AC430" s="12"/>
      <c r="AD430" s="12"/>
      <c r="AE430" s="12"/>
      <c r="AF430" s="12"/>
    </row>
    <row r="431" spans="1:32" ht="13.2">
      <c r="A431" s="8"/>
      <c r="B431" s="8"/>
      <c r="C431" s="8"/>
      <c r="D431" s="8"/>
      <c r="E431" s="8"/>
      <c r="F431" s="8"/>
      <c r="G431" s="9"/>
      <c r="H431" s="8"/>
      <c r="I431" s="8"/>
      <c r="J431" s="8"/>
      <c r="K431" s="8"/>
      <c r="L431" s="8"/>
      <c r="M431" s="8"/>
      <c r="N431" s="8"/>
      <c r="O431" s="8"/>
      <c r="P431" s="8"/>
      <c r="Q431" s="8"/>
      <c r="R431" s="8"/>
      <c r="S431" s="8"/>
      <c r="T431" s="8"/>
      <c r="U431" s="12"/>
      <c r="V431" s="12"/>
      <c r="W431" s="12"/>
      <c r="X431" s="12"/>
      <c r="Y431" s="12"/>
      <c r="Z431" s="12"/>
      <c r="AA431" s="12"/>
      <c r="AB431" s="12"/>
      <c r="AC431" s="12"/>
      <c r="AD431" s="12"/>
      <c r="AE431" s="12"/>
      <c r="AF431" s="12"/>
    </row>
    <row r="432" spans="1:32" ht="13.2">
      <c r="A432" s="8"/>
      <c r="B432" s="8"/>
      <c r="C432" s="8"/>
      <c r="D432" s="8"/>
      <c r="E432" s="8"/>
      <c r="F432" s="8"/>
      <c r="G432" s="9"/>
      <c r="H432" s="8"/>
      <c r="I432" s="8"/>
      <c r="J432" s="8"/>
      <c r="K432" s="8"/>
      <c r="L432" s="8"/>
      <c r="M432" s="8"/>
      <c r="N432" s="8"/>
      <c r="O432" s="8"/>
      <c r="P432" s="8"/>
      <c r="Q432" s="8"/>
      <c r="R432" s="8"/>
      <c r="S432" s="8"/>
      <c r="T432" s="8"/>
      <c r="U432" s="12"/>
      <c r="V432" s="12"/>
      <c r="W432" s="12"/>
      <c r="X432" s="12"/>
      <c r="Y432" s="12"/>
      <c r="Z432" s="12"/>
      <c r="AA432" s="12"/>
      <c r="AB432" s="12"/>
      <c r="AC432" s="12"/>
      <c r="AD432" s="12"/>
      <c r="AE432" s="12"/>
      <c r="AF432" s="12"/>
    </row>
    <row r="433" spans="1:32" ht="13.2">
      <c r="A433" s="8"/>
      <c r="B433" s="8"/>
      <c r="C433" s="8"/>
      <c r="D433" s="8"/>
      <c r="E433" s="8"/>
      <c r="F433" s="8"/>
      <c r="G433" s="9"/>
      <c r="H433" s="8"/>
      <c r="I433" s="8"/>
      <c r="J433" s="8"/>
      <c r="K433" s="8"/>
      <c r="L433" s="8"/>
      <c r="M433" s="8"/>
      <c r="N433" s="8"/>
      <c r="O433" s="8"/>
      <c r="P433" s="8"/>
      <c r="Q433" s="8"/>
      <c r="R433" s="8"/>
      <c r="S433" s="8"/>
      <c r="T433" s="8"/>
      <c r="U433" s="12"/>
      <c r="V433" s="12"/>
      <c r="W433" s="12"/>
      <c r="X433" s="12"/>
      <c r="Y433" s="12"/>
      <c r="Z433" s="12"/>
      <c r="AA433" s="12"/>
      <c r="AB433" s="12"/>
      <c r="AC433" s="12"/>
      <c r="AD433" s="12"/>
      <c r="AE433" s="12"/>
      <c r="AF433" s="12"/>
    </row>
    <row r="434" spans="1:32" ht="13.2">
      <c r="A434" s="8"/>
      <c r="B434" s="8"/>
      <c r="C434" s="8"/>
      <c r="D434" s="8"/>
      <c r="E434" s="8"/>
      <c r="F434" s="8"/>
      <c r="G434" s="9"/>
      <c r="H434" s="8"/>
      <c r="I434" s="8"/>
      <c r="J434" s="8"/>
      <c r="K434" s="8"/>
      <c r="L434" s="8"/>
      <c r="M434" s="8"/>
      <c r="N434" s="8"/>
      <c r="O434" s="8"/>
      <c r="P434" s="8"/>
      <c r="Q434" s="8"/>
      <c r="R434" s="8"/>
      <c r="S434" s="8"/>
      <c r="T434" s="8"/>
      <c r="U434" s="12"/>
      <c r="V434" s="12"/>
      <c r="W434" s="12"/>
      <c r="X434" s="12"/>
      <c r="Y434" s="12"/>
      <c r="Z434" s="12"/>
      <c r="AA434" s="12"/>
      <c r="AB434" s="12"/>
      <c r="AC434" s="12"/>
      <c r="AD434" s="12"/>
      <c r="AE434" s="12"/>
      <c r="AF434" s="12"/>
    </row>
    <row r="435" spans="1:32" ht="13.2">
      <c r="A435" s="8"/>
      <c r="B435" s="8"/>
      <c r="C435" s="8"/>
      <c r="D435" s="8"/>
      <c r="E435" s="8"/>
      <c r="F435" s="8"/>
      <c r="G435" s="9"/>
      <c r="H435" s="8"/>
      <c r="I435" s="8"/>
      <c r="J435" s="8"/>
      <c r="K435" s="8"/>
      <c r="L435" s="8"/>
      <c r="M435" s="8"/>
      <c r="N435" s="8"/>
      <c r="O435" s="8"/>
      <c r="P435" s="8"/>
      <c r="Q435" s="8"/>
      <c r="R435" s="8"/>
      <c r="S435" s="8"/>
      <c r="T435" s="8"/>
      <c r="U435" s="12"/>
      <c r="V435" s="12"/>
      <c r="W435" s="12"/>
      <c r="X435" s="12"/>
      <c r="Y435" s="12"/>
      <c r="Z435" s="12"/>
      <c r="AA435" s="12"/>
      <c r="AB435" s="12"/>
      <c r="AC435" s="12"/>
      <c r="AD435" s="12"/>
      <c r="AE435" s="12"/>
      <c r="AF435" s="12"/>
    </row>
    <row r="436" spans="1:32" ht="13.2">
      <c r="A436" s="8"/>
      <c r="B436" s="8"/>
      <c r="C436" s="8"/>
      <c r="D436" s="8"/>
      <c r="E436" s="8"/>
      <c r="F436" s="8"/>
      <c r="G436" s="9"/>
      <c r="H436" s="8"/>
      <c r="I436" s="8"/>
      <c r="J436" s="8"/>
      <c r="K436" s="8"/>
      <c r="L436" s="8"/>
      <c r="M436" s="8"/>
      <c r="N436" s="8"/>
      <c r="O436" s="8"/>
      <c r="P436" s="8"/>
      <c r="Q436" s="8"/>
      <c r="R436" s="8"/>
      <c r="S436" s="8"/>
      <c r="T436" s="8"/>
      <c r="U436" s="12"/>
      <c r="V436" s="12"/>
      <c r="W436" s="12"/>
      <c r="X436" s="12"/>
      <c r="Y436" s="12"/>
      <c r="Z436" s="12"/>
      <c r="AA436" s="12"/>
      <c r="AB436" s="12"/>
      <c r="AC436" s="12"/>
      <c r="AD436" s="12"/>
      <c r="AE436" s="12"/>
      <c r="AF436" s="12"/>
    </row>
    <row r="437" spans="1:32" ht="13.2">
      <c r="A437" s="8"/>
      <c r="B437" s="8"/>
      <c r="C437" s="8"/>
      <c r="D437" s="8"/>
      <c r="E437" s="8"/>
      <c r="F437" s="8"/>
      <c r="G437" s="9"/>
      <c r="H437" s="8"/>
      <c r="I437" s="8"/>
      <c r="J437" s="8"/>
      <c r="K437" s="8"/>
      <c r="L437" s="8"/>
      <c r="M437" s="8"/>
      <c r="N437" s="8"/>
      <c r="O437" s="8"/>
      <c r="P437" s="8"/>
      <c r="Q437" s="8"/>
      <c r="R437" s="8"/>
      <c r="S437" s="8"/>
      <c r="T437" s="8"/>
      <c r="U437" s="12"/>
      <c r="V437" s="12"/>
      <c r="W437" s="12"/>
      <c r="X437" s="12"/>
      <c r="Y437" s="12"/>
      <c r="Z437" s="12"/>
      <c r="AA437" s="12"/>
      <c r="AB437" s="12"/>
      <c r="AC437" s="12"/>
      <c r="AD437" s="12"/>
      <c r="AE437" s="12"/>
      <c r="AF437" s="12"/>
    </row>
    <row r="438" spans="1:32" ht="13.2">
      <c r="A438" s="8"/>
      <c r="B438" s="8"/>
      <c r="C438" s="8"/>
      <c r="D438" s="8"/>
      <c r="E438" s="8"/>
      <c r="F438" s="8"/>
      <c r="G438" s="9"/>
      <c r="H438" s="8"/>
      <c r="I438" s="8"/>
      <c r="J438" s="8"/>
      <c r="K438" s="8"/>
      <c r="L438" s="8"/>
      <c r="M438" s="8"/>
      <c r="N438" s="8"/>
      <c r="O438" s="8"/>
      <c r="P438" s="8"/>
      <c r="Q438" s="8"/>
      <c r="R438" s="8"/>
      <c r="S438" s="8"/>
      <c r="T438" s="8"/>
      <c r="U438" s="12"/>
      <c r="V438" s="12"/>
      <c r="W438" s="12"/>
      <c r="X438" s="12"/>
      <c r="Y438" s="12"/>
      <c r="Z438" s="12"/>
      <c r="AA438" s="12"/>
      <c r="AB438" s="12"/>
      <c r="AC438" s="12"/>
      <c r="AD438" s="12"/>
      <c r="AE438" s="12"/>
      <c r="AF438" s="12"/>
    </row>
    <row r="439" spans="1:32" ht="13.2">
      <c r="A439" s="8"/>
      <c r="B439" s="8"/>
      <c r="C439" s="8"/>
      <c r="D439" s="8"/>
      <c r="E439" s="8"/>
      <c r="F439" s="8"/>
      <c r="G439" s="9"/>
      <c r="H439" s="8"/>
      <c r="I439" s="8"/>
      <c r="J439" s="8"/>
      <c r="K439" s="8"/>
      <c r="L439" s="8"/>
      <c r="M439" s="8"/>
      <c r="N439" s="8"/>
      <c r="O439" s="8"/>
      <c r="P439" s="8"/>
      <c r="Q439" s="8"/>
      <c r="R439" s="8"/>
      <c r="S439" s="8"/>
      <c r="T439" s="8"/>
      <c r="U439" s="12"/>
      <c r="V439" s="12"/>
      <c r="W439" s="12"/>
      <c r="X439" s="12"/>
      <c r="Y439" s="12"/>
      <c r="Z439" s="12"/>
      <c r="AA439" s="12"/>
      <c r="AB439" s="12"/>
      <c r="AC439" s="12"/>
      <c r="AD439" s="12"/>
      <c r="AE439" s="12"/>
      <c r="AF439" s="12"/>
    </row>
    <row r="440" spans="1:32" ht="13.2">
      <c r="A440" s="8"/>
      <c r="B440" s="8"/>
      <c r="C440" s="8"/>
      <c r="D440" s="8"/>
      <c r="E440" s="8"/>
      <c r="F440" s="8"/>
      <c r="G440" s="9"/>
      <c r="H440" s="8"/>
      <c r="I440" s="8"/>
      <c r="J440" s="8"/>
      <c r="K440" s="8"/>
      <c r="L440" s="8"/>
      <c r="M440" s="8"/>
      <c r="N440" s="8"/>
      <c r="O440" s="8"/>
      <c r="P440" s="8"/>
      <c r="Q440" s="8"/>
      <c r="R440" s="8"/>
      <c r="S440" s="8"/>
      <c r="T440" s="8"/>
      <c r="U440" s="12"/>
      <c r="V440" s="12"/>
      <c r="W440" s="12"/>
      <c r="X440" s="12"/>
      <c r="Y440" s="12"/>
      <c r="Z440" s="12"/>
      <c r="AA440" s="12"/>
      <c r="AB440" s="12"/>
      <c r="AC440" s="12"/>
      <c r="AD440" s="12"/>
      <c r="AE440" s="12"/>
      <c r="AF440" s="12"/>
    </row>
    <row r="441" spans="1:32" ht="13.2">
      <c r="A441" s="8"/>
      <c r="B441" s="8"/>
      <c r="C441" s="8"/>
      <c r="D441" s="8"/>
      <c r="E441" s="8"/>
      <c r="F441" s="8"/>
      <c r="G441" s="9"/>
      <c r="H441" s="8"/>
      <c r="I441" s="8"/>
      <c r="J441" s="8"/>
      <c r="K441" s="8"/>
      <c r="L441" s="8"/>
      <c r="M441" s="8"/>
      <c r="N441" s="8"/>
      <c r="O441" s="8"/>
      <c r="P441" s="8"/>
      <c r="Q441" s="8"/>
      <c r="R441" s="8"/>
      <c r="S441" s="8"/>
      <c r="T441" s="8"/>
      <c r="U441" s="12"/>
      <c r="V441" s="12"/>
      <c r="W441" s="12"/>
      <c r="X441" s="12"/>
      <c r="Y441" s="12"/>
      <c r="Z441" s="12"/>
      <c r="AA441" s="12"/>
      <c r="AB441" s="12"/>
      <c r="AC441" s="12"/>
      <c r="AD441" s="12"/>
      <c r="AE441" s="12"/>
      <c r="AF441" s="12"/>
    </row>
    <row r="442" spans="1:32" ht="13.2">
      <c r="A442" s="8"/>
      <c r="B442" s="8"/>
      <c r="C442" s="8"/>
      <c r="D442" s="8"/>
      <c r="E442" s="8"/>
      <c r="F442" s="8"/>
      <c r="G442" s="9"/>
      <c r="H442" s="8"/>
      <c r="I442" s="8"/>
      <c r="J442" s="8"/>
      <c r="K442" s="8"/>
      <c r="L442" s="8"/>
      <c r="M442" s="8"/>
      <c r="N442" s="8"/>
      <c r="O442" s="8"/>
      <c r="P442" s="8"/>
      <c r="Q442" s="8"/>
      <c r="R442" s="8"/>
      <c r="S442" s="8"/>
      <c r="T442" s="8"/>
      <c r="U442" s="12"/>
      <c r="V442" s="12"/>
      <c r="W442" s="12"/>
      <c r="X442" s="12"/>
      <c r="Y442" s="12"/>
      <c r="Z442" s="12"/>
      <c r="AA442" s="12"/>
      <c r="AB442" s="12"/>
      <c r="AC442" s="12"/>
      <c r="AD442" s="12"/>
      <c r="AE442" s="12"/>
      <c r="AF442" s="12"/>
    </row>
    <row r="443" spans="1:32" ht="13.2">
      <c r="A443" s="8"/>
      <c r="B443" s="8"/>
      <c r="C443" s="8"/>
      <c r="D443" s="8"/>
      <c r="E443" s="8"/>
      <c r="F443" s="8"/>
      <c r="G443" s="9"/>
      <c r="H443" s="8"/>
      <c r="I443" s="8"/>
      <c r="J443" s="8"/>
      <c r="K443" s="8"/>
      <c r="L443" s="8"/>
      <c r="M443" s="8"/>
      <c r="N443" s="8"/>
      <c r="O443" s="8"/>
      <c r="P443" s="8"/>
      <c r="Q443" s="8"/>
      <c r="R443" s="8"/>
      <c r="S443" s="8"/>
      <c r="T443" s="8"/>
      <c r="U443" s="12"/>
      <c r="V443" s="12"/>
      <c r="W443" s="12"/>
      <c r="X443" s="12"/>
      <c r="Y443" s="12"/>
      <c r="Z443" s="12"/>
      <c r="AA443" s="12"/>
      <c r="AB443" s="12"/>
      <c r="AC443" s="12"/>
      <c r="AD443" s="12"/>
      <c r="AE443" s="12"/>
      <c r="AF443" s="12"/>
    </row>
    <row r="444" spans="1:32" ht="13.2">
      <c r="A444" s="8"/>
      <c r="B444" s="8"/>
      <c r="C444" s="8"/>
      <c r="D444" s="8"/>
      <c r="E444" s="8"/>
      <c r="F444" s="8"/>
      <c r="G444" s="9"/>
      <c r="H444" s="8"/>
      <c r="I444" s="8"/>
      <c r="J444" s="8"/>
      <c r="K444" s="8"/>
      <c r="L444" s="8"/>
      <c r="M444" s="8"/>
      <c r="N444" s="8"/>
      <c r="O444" s="8"/>
      <c r="P444" s="8"/>
      <c r="Q444" s="8"/>
      <c r="R444" s="8"/>
      <c r="S444" s="8"/>
      <c r="T444" s="8"/>
      <c r="U444" s="12"/>
      <c r="V444" s="12"/>
      <c r="W444" s="12"/>
      <c r="X444" s="12"/>
      <c r="Y444" s="12"/>
      <c r="Z444" s="12"/>
      <c r="AA444" s="12"/>
      <c r="AB444" s="12"/>
      <c r="AC444" s="12"/>
      <c r="AD444" s="12"/>
      <c r="AE444" s="12"/>
      <c r="AF444" s="12"/>
    </row>
    <row r="445" spans="1:32" ht="13.2">
      <c r="A445" s="8"/>
      <c r="B445" s="8"/>
      <c r="C445" s="8"/>
      <c r="D445" s="8"/>
      <c r="E445" s="8"/>
      <c r="F445" s="8"/>
      <c r="G445" s="9"/>
      <c r="H445" s="8"/>
      <c r="I445" s="8"/>
      <c r="J445" s="8"/>
      <c r="K445" s="8"/>
      <c r="L445" s="8"/>
      <c r="M445" s="8"/>
      <c r="N445" s="8"/>
      <c r="O445" s="8"/>
      <c r="P445" s="8"/>
      <c r="Q445" s="8"/>
      <c r="R445" s="8"/>
      <c r="S445" s="8"/>
      <c r="T445" s="8"/>
      <c r="U445" s="12"/>
      <c r="V445" s="12"/>
      <c r="W445" s="12"/>
      <c r="X445" s="12"/>
      <c r="Y445" s="12"/>
      <c r="Z445" s="12"/>
      <c r="AA445" s="12"/>
      <c r="AB445" s="12"/>
      <c r="AC445" s="12"/>
      <c r="AD445" s="12"/>
      <c r="AE445" s="12"/>
      <c r="AF445" s="12"/>
    </row>
    <row r="446" spans="1:32" ht="13.2">
      <c r="A446" s="8"/>
      <c r="B446" s="8"/>
      <c r="C446" s="8"/>
      <c r="D446" s="8"/>
      <c r="E446" s="8"/>
      <c r="F446" s="8"/>
      <c r="G446" s="9"/>
      <c r="H446" s="8"/>
      <c r="I446" s="8"/>
      <c r="J446" s="8"/>
      <c r="K446" s="8"/>
      <c r="L446" s="8"/>
      <c r="M446" s="8"/>
      <c r="N446" s="8"/>
      <c r="O446" s="8"/>
      <c r="P446" s="8"/>
      <c r="Q446" s="8"/>
      <c r="R446" s="8"/>
      <c r="S446" s="8"/>
      <c r="T446" s="8"/>
      <c r="U446" s="12"/>
      <c r="V446" s="12"/>
      <c r="W446" s="12"/>
      <c r="X446" s="12"/>
      <c r="Y446" s="12"/>
      <c r="Z446" s="12"/>
      <c r="AA446" s="12"/>
      <c r="AB446" s="12"/>
      <c r="AC446" s="12"/>
      <c r="AD446" s="12"/>
      <c r="AE446" s="12"/>
      <c r="AF446" s="12"/>
    </row>
    <row r="447" spans="1:32" ht="13.2">
      <c r="A447" s="8"/>
      <c r="B447" s="8"/>
      <c r="C447" s="8"/>
      <c r="D447" s="8"/>
      <c r="E447" s="8"/>
      <c r="F447" s="8"/>
      <c r="G447" s="9"/>
      <c r="H447" s="8"/>
      <c r="I447" s="8"/>
      <c r="J447" s="8"/>
      <c r="K447" s="8"/>
      <c r="L447" s="8"/>
      <c r="M447" s="8"/>
      <c r="N447" s="8"/>
      <c r="O447" s="8"/>
      <c r="P447" s="8"/>
      <c r="Q447" s="8"/>
      <c r="R447" s="8"/>
      <c r="S447" s="8"/>
      <c r="T447" s="8"/>
      <c r="U447" s="12"/>
      <c r="V447" s="12"/>
      <c r="W447" s="12"/>
      <c r="X447" s="12"/>
      <c r="Y447" s="12"/>
      <c r="Z447" s="12"/>
      <c r="AA447" s="12"/>
      <c r="AB447" s="12"/>
      <c r="AC447" s="12"/>
      <c r="AD447" s="12"/>
      <c r="AE447" s="12"/>
      <c r="AF447" s="12"/>
    </row>
    <row r="448" spans="1:32" ht="13.2">
      <c r="A448" s="8"/>
      <c r="B448" s="8"/>
      <c r="C448" s="8"/>
      <c r="D448" s="8"/>
      <c r="E448" s="8"/>
      <c r="F448" s="8"/>
      <c r="G448" s="9"/>
      <c r="H448" s="8"/>
      <c r="I448" s="8"/>
      <c r="J448" s="8"/>
      <c r="K448" s="8"/>
      <c r="L448" s="8"/>
      <c r="M448" s="8"/>
      <c r="N448" s="8"/>
      <c r="O448" s="8"/>
      <c r="P448" s="8"/>
      <c r="Q448" s="8"/>
      <c r="R448" s="8"/>
      <c r="S448" s="8"/>
      <c r="T448" s="8"/>
      <c r="U448" s="12"/>
      <c r="V448" s="12"/>
      <c r="W448" s="12"/>
      <c r="X448" s="12"/>
      <c r="Y448" s="12"/>
      <c r="Z448" s="12"/>
      <c r="AA448" s="12"/>
      <c r="AB448" s="12"/>
      <c r="AC448" s="12"/>
      <c r="AD448" s="12"/>
      <c r="AE448" s="12"/>
      <c r="AF448" s="12"/>
    </row>
    <row r="449" spans="1:32" ht="13.2">
      <c r="A449" s="8"/>
      <c r="B449" s="8"/>
      <c r="C449" s="8"/>
      <c r="D449" s="8"/>
      <c r="E449" s="8"/>
      <c r="F449" s="8"/>
      <c r="G449" s="9"/>
      <c r="H449" s="8"/>
      <c r="I449" s="8"/>
      <c r="J449" s="8"/>
      <c r="K449" s="8"/>
      <c r="L449" s="8"/>
      <c r="M449" s="8"/>
      <c r="N449" s="8"/>
      <c r="O449" s="8"/>
      <c r="P449" s="8"/>
      <c r="Q449" s="8"/>
      <c r="R449" s="8"/>
      <c r="S449" s="8"/>
      <c r="T449" s="8"/>
      <c r="U449" s="12"/>
      <c r="V449" s="12"/>
      <c r="W449" s="12"/>
      <c r="X449" s="12"/>
      <c r="Y449" s="12"/>
      <c r="Z449" s="12"/>
      <c r="AA449" s="12"/>
      <c r="AB449" s="12"/>
      <c r="AC449" s="12"/>
      <c r="AD449" s="12"/>
      <c r="AE449" s="12"/>
      <c r="AF449" s="12"/>
    </row>
    <row r="450" spans="1:32" ht="13.2">
      <c r="A450" s="8"/>
      <c r="B450" s="8"/>
      <c r="C450" s="8"/>
      <c r="D450" s="8"/>
      <c r="E450" s="8"/>
      <c r="F450" s="8"/>
      <c r="G450" s="9"/>
      <c r="H450" s="8"/>
      <c r="I450" s="8"/>
      <c r="J450" s="8"/>
      <c r="K450" s="8"/>
      <c r="L450" s="8"/>
      <c r="M450" s="8"/>
      <c r="N450" s="8"/>
      <c r="O450" s="8"/>
      <c r="P450" s="8"/>
      <c r="Q450" s="8"/>
      <c r="R450" s="8"/>
      <c r="S450" s="8"/>
      <c r="T450" s="8"/>
      <c r="U450" s="12"/>
      <c r="V450" s="12"/>
      <c r="W450" s="12"/>
      <c r="X450" s="12"/>
      <c r="Y450" s="12"/>
      <c r="Z450" s="12"/>
      <c r="AA450" s="12"/>
      <c r="AB450" s="12"/>
      <c r="AC450" s="12"/>
      <c r="AD450" s="12"/>
      <c r="AE450" s="12"/>
      <c r="AF450" s="12"/>
    </row>
    <row r="451" spans="1:32" ht="13.2">
      <c r="A451" s="8"/>
      <c r="B451" s="8"/>
      <c r="C451" s="8"/>
      <c r="D451" s="8"/>
      <c r="E451" s="8"/>
      <c r="F451" s="8"/>
      <c r="G451" s="9"/>
      <c r="H451" s="8"/>
      <c r="I451" s="8"/>
      <c r="J451" s="8"/>
      <c r="K451" s="8"/>
      <c r="L451" s="8"/>
      <c r="M451" s="8"/>
      <c r="N451" s="8"/>
      <c r="O451" s="8"/>
      <c r="P451" s="8"/>
      <c r="Q451" s="8"/>
      <c r="R451" s="8"/>
      <c r="S451" s="8"/>
      <c r="T451" s="8"/>
      <c r="U451" s="12"/>
      <c r="V451" s="12"/>
      <c r="W451" s="12"/>
      <c r="X451" s="12"/>
      <c r="Y451" s="12"/>
      <c r="Z451" s="12"/>
      <c r="AA451" s="12"/>
      <c r="AB451" s="12"/>
      <c r="AC451" s="12"/>
      <c r="AD451" s="12"/>
      <c r="AE451" s="12"/>
      <c r="AF451" s="12"/>
    </row>
    <row r="452" spans="1:32" ht="13.2">
      <c r="A452" s="8"/>
      <c r="B452" s="8"/>
      <c r="C452" s="8"/>
      <c r="D452" s="8"/>
      <c r="E452" s="8"/>
      <c r="F452" s="8"/>
      <c r="G452" s="9"/>
      <c r="H452" s="8"/>
      <c r="I452" s="8"/>
      <c r="J452" s="8"/>
      <c r="K452" s="8"/>
      <c r="L452" s="8"/>
      <c r="M452" s="8"/>
      <c r="N452" s="8"/>
      <c r="O452" s="8"/>
      <c r="P452" s="8"/>
      <c r="Q452" s="8"/>
      <c r="R452" s="8"/>
      <c r="S452" s="8"/>
      <c r="T452" s="8"/>
      <c r="U452" s="12"/>
      <c r="V452" s="12"/>
      <c r="W452" s="12"/>
      <c r="X452" s="12"/>
      <c r="Y452" s="12"/>
      <c r="Z452" s="12"/>
      <c r="AA452" s="12"/>
      <c r="AB452" s="12"/>
      <c r="AC452" s="12"/>
      <c r="AD452" s="12"/>
      <c r="AE452" s="12"/>
      <c r="AF452" s="12"/>
    </row>
    <row r="453" spans="1:32" ht="13.2">
      <c r="A453" s="8"/>
      <c r="B453" s="8"/>
      <c r="C453" s="8"/>
      <c r="D453" s="8"/>
      <c r="E453" s="8"/>
      <c r="F453" s="8"/>
      <c r="G453" s="9"/>
      <c r="H453" s="8"/>
      <c r="I453" s="8"/>
      <c r="J453" s="8"/>
      <c r="K453" s="8"/>
      <c r="L453" s="8"/>
      <c r="M453" s="8"/>
      <c r="N453" s="8"/>
      <c r="O453" s="8"/>
      <c r="P453" s="8"/>
      <c r="Q453" s="8"/>
      <c r="R453" s="8"/>
      <c r="S453" s="8"/>
      <c r="T453" s="8"/>
      <c r="U453" s="12"/>
      <c r="V453" s="12"/>
      <c r="W453" s="12"/>
      <c r="X453" s="12"/>
      <c r="Y453" s="12"/>
      <c r="Z453" s="12"/>
      <c r="AA453" s="12"/>
      <c r="AB453" s="12"/>
      <c r="AC453" s="12"/>
      <c r="AD453" s="12"/>
      <c r="AE453" s="12"/>
      <c r="AF453" s="12"/>
    </row>
    <row r="454" spans="1:32" ht="13.2">
      <c r="A454" s="8"/>
      <c r="B454" s="8"/>
      <c r="C454" s="8"/>
      <c r="D454" s="8"/>
      <c r="E454" s="8"/>
      <c r="F454" s="8"/>
      <c r="G454" s="9"/>
      <c r="H454" s="8"/>
      <c r="I454" s="8"/>
      <c r="J454" s="8"/>
      <c r="K454" s="8"/>
      <c r="L454" s="8"/>
      <c r="M454" s="8"/>
      <c r="N454" s="8"/>
      <c r="O454" s="8"/>
      <c r="P454" s="8"/>
      <c r="Q454" s="8"/>
      <c r="R454" s="8"/>
      <c r="S454" s="8"/>
      <c r="T454" s="8"/>
      <c r="U454" s="12"/>
      <c r="V454" s="12"/>
      <c r="W454" s="12"/>
      <c r="X454" s="12"/>
      <c r="Y454" s="12"/>
      <c r="Z454" s="12"/>
      <c r="AA454" s="12"/>
      <c r="AB454" s="12"/>
      <c r="AC454" s="12"/>
      <c r="AD454" s="12"/>
      <c r="AE454" s="12"/>
      <c r="AF454" s="12"/>
    </row>
    <row r="455" spans="1:32" ht="13.2">
      <c r="A455" s="8"/>
      <c r="B455" s="8"/>
      <c r="C455" s="8"/>
      <c r="D455" s="8"/>
      <c r="E455" s="8"/>
      <c r="F455" s="8"/>
      <c r="G455" s="9"/>
      <c r="H455" s="8"/>
      <c r="I455" s="8"/>
      <c r="J455" s="8"/>
      <c r="K455" s="8"/>
      <c r="L455" s="8"/>
      <c r="M455" s="8"/>
      <c r="N455" s="8"/>
      <c r="O455" s="8"/>
      <c r="P455" s="8"/>
      <c r="Q455" s="8"/>
      <c r="R455" s="8"/>
      <c r="S455" s="8"/>
      <c r="T455" s="8"/>
      <c r="U455" s="12"/>
      <c r="V455" s="12"/>
      <c r="W455" s="12"/>
      <c r="X455" s="12"/>
      <c r="Y455" s="12"/>
      <c r="Z455" s="12"/>
      <c r="AA455" s="12"/>
      <c r="AB455" s="12"/>
      <c r="AC455" s="12"/>
      <c r="AD455" s="12"/>
      <c r="AE455" s="12"/>
      <c r="AF455" s="12"/>
    </row>
    <row r="456" spans="1:32" ht="13.2">
      <c r="A456" s="8"/>
      <c r="B456" s="8"/>
      <c r="C456" s="8"/>
      <c r="D456" s="8"/>
      <c r="E456" s="8"/>
      <c r="F456" s="8"/>
      <c r="G456" s="9"/>
      <c r="H456" s="8"/>
      <c r="I456" s="8"/>
      <c r="J456" s="8"/>
      <c r="K456" s="8"/>
      <c r="L456" s="8"/>
      <c r="M456" s="8"/>
      <c r="N456" s="8"/>
      <c r="O456" s="8"/>
      <c r="P456" s="8"/>
      <c r="Q456" s="8"/>
      <c r="R456" s="8"/>
      <c r="S456" s="8"/>
      <c r="T456" s="8"/>
      <c r="U456" s="12"/>
      <c r="V456" s="12"/>
      <c r="W456" s="12"/>
      <c r="X456" s="12"/>
      <c r="Y456" s="12"/>
      <c r="Z456" s="12"/>
      <c r="AA456" s="12"/>
      <c r="AB456" s="12"/>
      <c r="AC456" s="12"/>
      <c r="AD456" s="12"/>
      <c r="AE456" s="12"/>
      <c r="AF456" s="12"/>
    </row>
    <row r="457" spans="1:32" ht="13.2">
      <c r="A457" s="8"/>
      <c r="B457" s="8"/>
      <c r="C457" s="8"/>
      <c r="D457" s="8"/>
      <c r="E457" s="8"/>
      <c r="F457" s="8"/>
      <c r="G457" s="9"/>
      <c r="H457" s="8"/>
      <c r="I457" s="8"/>
      <c r="J457" s="8"/>
      <c r="K457" s="8"/>
      <c r="L457" s="8"/>
      <c r="M457" s="8"/>
      <c r="N457" s="8"/>
      <c r="O457" s="8"/>
      <c r="P457" s="8"/>
      <c r="Q457" s="8"/>
      <c r="R457" s="8"/>
      <c r="S457" s="8"/>
      <c r="T457" s="8"/>
      <c r="U457" s="12"/>
      <c r="V457" s="12"/>
      <c r="W457" s="12"/>
      <c r="X457" s="12"/>
      <c r="Y457" s="12"/>
      <c r="Z457" s="12"/>
      <c r="AA457" s="12"/>
      <c r="AB457" s="12"/>
      <c r="AC457" s="12"/>
      <c r="AD457" s="12"/>
      <c r="AE457" s="12"/>
      <c r="AF457" s="12"/>
    </row>
    <row r="458" spans="1:32" ht="13.2">
      <c r="A458" s="8"/>
      <c r="B458" s="8"/>
      <c r="C458" s="8"/>
      <c r="D458" s="8"/>
      <c r="E458" s="8"/>
      <c r="F458" s="8"/>
      <c r="G458" s="9"/>
      <c r="H458" s="8"/>
      <c r="I458" s="8"/>
      <c r="J458" s="8"/>
      <c r="K458" s="8"/>
      <c r="L458" s="8"/>
      <c r="M458" s="8"/>
      <c r="N458" s="8"/>
      <c r="O458" s="8"/>
      <c r="P458" s="8"/>
      <c r="Q458" s="8"/>
      <c r="R458" s="8"/>
      <c r="S458" s="8"/>
      <c r="T458" s="8"/>
      <c r="U458" s="12"/>
      <c r="V458" s="12"/>
      <c r="W458" s="12"/>
      <c r="X458" s="12"/>
      <c r="Y458" s="12"/>
      <c r="Z458" s="12"/>
      <c r="AA458" s="12"/>
      <c r="AB458" s="12"/>
      <c r="AC458" s="12"/>
      <c r="AD458" s="12"/>
      <c r="AE458" s="12"/>
      <c r="AF458" s="12"/>
    </row>
    <row r="459" spans="1:32" ht="13.2">
      <c r="A459" s="8"/>
      <c r="B459" s="8"/>
      <c r="C459" s="8"/>
      <c r="D459" s="8"/>
      <c r="E459" s="8"/>
      <c r="F459" s="8"/>
      <c r="G459" s="9"/>
      <c r="H459" s="8"/>
      <c r="I459" s="8"/>
      <c r="J459" s="8"/>
      <c r="K459" s="8"/>
      <c r="L459" s="8"/>
      <c r="M459" s="8"/>
      <c r="N459" s="8"/>
      <c r="O459" s="8"/>
      <c r="P459" s="8"/>
      <c r="Q459" s="8"/>
      <c r="R459" s="8"/>
      <c r="S459" s="8"/>
      <c r="T459" s="8"/>
      <c r="U459" s="12"/>
      <c r="V459" s="12"/>
      <c r="W459" s="12"/>
      <c r="X459" s="12"/>
      <c r="Y459" s="12"/>
      <c r="Z459" s="12"/>
      <c r="AA459" s="12"/>
      <c r="AB459" s="12"/>
      <c r="AC459" s="12"/>
      <c r="AD459" s="12"/>
      <c r="AE459" s="12"/>
      <c r="AF459" s="12"/>
    </row>
    <row r="460" spans="1:32" ht="13.2">
      <c r="A460" s="8"/>
      <c r="B460" s="8"/>
      <c r="C460" s="8"/>
      <c r="D460" s="8"/>
      <c r="E460" s="8"/>
      <c r="F460" s="8"/>
      <c r="G460" s="9"/>
      <c r="H460" s="8"/>
      <c r="I460" s="8"/>
      <c r="J460" s="8"/>
      <c r="K460" s="8"/>
      <c r="L460" s="8"/>
      <c r="M460" s="8"/>
      <c r="N460" s="8"/>
      <c r="O460" s="8"/>
      <c r="P460" s="8"/>
      <c r="Q460" s="8"/>
      <c r="R460" s="8"/>
      <c r="S460" s="8"/>
      <c r="T460" s="8"/>
      <c r="U460" s="12"/>
      <c r="V460" s="12"/>
      <c r="W460" s="12"/>
      <c r="X460" s="12"/>
      <c r="Y460" s="12"/>
      <c r="Z460" s="12"/>
      <c r="AA460" s="12"/>
      <c r="AB460" s="12"/>
      <c r="AC460" s="12"/>
      <c r="AD460" s="12"/>
      <c r="AE460" s="12"/>
      <c r="AF460" s="12"/>
    </row>
    <row r="461" spans="1:32" ht="13.2">
      <c r="A461" s="8"/>
      <c r="B461" s="8"/>
      <c r="C461" s="8"/>
      <c r="D461" s="8"/>
      <c r="E461" s="8"/>
      <c r="F461" s="8"/>
      <c r="G461" s="9"/>
      <c r="H461" s="8"/>
      <c r="I461" s="8"/>
      <c r="J461" s="8"/>
      <c r="K461" s="8"/>
      <c r="L461" s="8"/>
      <c r="M461" s="8"/>
      <c r="N461" s="8"/>
      <c r="O461" s="8"/>
      <c r="P461" s="8"/>
      <c r="Q461" s="8"/>
      <c r="R461" s="8"/>
      <c r="S461" s="8"/>
      <c r="T461" s="8"/>
      <c r="U461" s="12"/>
      <c r="V461" s="12"/>
      <c r="W461" s="12"/>
      <c r="X461" s="12"/>
      <c r="Y461" s="12"/>
      <c r="Z461" s="12"/>
      <c r="AA461" s="12"/>
      <c r="AB461" s="12"/>
      <c r="AC461" s="12"/>
      <c r="AD461" s="12"/>
      <c r="AE461" s="12"/>
      <c r="AF461" s="12"/>
    </row>
    <row r="462" spans="1:32" ht="13.2">
      <c r="A462" s="8"/>
      <c r="B462" s="8"/>
      <c r="C462" s="8"/>
      <c r="D462" s="8"/>
      <c r="E462" s="8"/>
      <c r="F462" s="8"/>
      <c r="G462" s="9"/>
      <c r="H462" s="8"/>
      <c r="I462" s="8"/>
      <c r="J462" s="8"/>
      <c r="K462" s="8"/>
      <c r="L462" s="8"/>
      <c r="M462" s="8"/>
      <c r="N462" s="8"/>
      <c r="O462" s="8"/>
      <c r="P462" s="8"/>
      <c r="Q462" s="8"/>
      <c r="R462" s="8"/>
      <c r="S462" s="8"/>
      <c r="T462" s="8"/>
      <c r="U462" s="12"/>
      <c r="V462" s="12"/>
      <c r="W462" s="12"/>
      <c r="X462" s="12"/>
      <c r="Y462" s="12"/>
      <c r="Z462" s="12"/>
      <c r="AA462" s="12"/>
      <c r="AB462" s="12"/>
      <c r="AC462" s="12"/>
      <c r="AD462" s="12"/>
      <c r="AE462" s="12"/>
      <c r="AF462" s="12"/>
    </row>
    <row r="463" spans="1:32" ht="13.2">
      <c r="A463" s="8"/>
      <c r="B463" s="8"/>
      <c r="C463" s="8"/>
      <c r="D463" s="8"/>
      <c r="E463" s="8"/>
      <c r="F463" s="8"/>
      <c r="G463" s="9"/>
      <c r="H463" s="8"/>
      <c r="I463" s="8"/>
      <c r="J463" s="8"/>
      <c r="K463" s="8"/>
      <c r="L463" s="8"/>
      <c r="M463" s="8"/>
      <c r="N463" s="8"/>
      <c r="O463" s="8"/>
      <c r="P463" s="8"/>
      <c r="Q463" s="8"/>
      <c r="R463" s="8"/>
      <c r="S463" s="8"/>
      <c r="T463" s="8"/>
      <c r="U463" s="12"/>
      <c r="V463" s="12"/>
      <c r="W463" s="12"/>
      <c r="X463" s="12"/>
      <c r="Y463" s="12"/>
      <c r="Z463" s="12"/>
      <c r="AA463" s="12"/>
      <c r="AB463" s="12"/>
      <c r="AC463" s="12"/>
      <c r="AD463" s="12"/>
      <c r="AE463" s="12"/>
      <c r="AF463" s="12"/>
    </row>
    <row r="464" spans="1:32" ht="13.2">
      <c r="A464" s="8"/>
      <c r="B464" s="8"/>
      <c r="C464" s="8"/>
      <c r="D464" s="8"/>
      <c r="E464" s="8"/>
      <c r="F464" s="8"/>
      <c r="G464" s="9"/>
      <c r="H464" s="8"/>
      <c r="I464" s="8"/>
      <c r="J464" s="8"/>
      <c r="K464" s="8"/>
      <c r="L464" s="8"/>
      <c r="M464" s="8"/>
      <c r="N464" s="8"/>
      <c r="O464" s="8"/>
      <c r="P464" s="8"/>
      <c r="Q464" s="8"/>
      <c r="R464" s="8"/>
      <c r="S464" s="8"/>
      <c r="T464" s="8"/>
      <c r="U464" s="12"/>
      <c r="V464" s="12"/>
      <c r="W464" s="12"/>
      <c r="X464" s="12"/>
      <c r="Y464" s="12"/>
      <c r="Z464" s="12"/>
      <c r="AA464" s="12"/>
      <c r="AB464" s="12"/>
      <c r="AC464" s="12"/>
      <c r="AD464" s="12"/>
      <c r="AE464" s="12"/>
      <c r="AF464" s="12"/>
    </row>
    <row r="465" spans="1:32" ht="13.2">
      <c r="A465" s="8"/>
      <c r="B465" s="8"/>
      <c r="C465" s="8"/>
      <c r="D465" s="8"/>
      <c r="E465" s="8"/>
      <c r="F465" s="8"/>
      <c r="G465" s="9"/>
      <c r="H465" s="8"/>
      <c r="I465" s="8"/>
      <c r="J465" s="8"/>
      <c r="K465" s="8"/>
      <c r="L465" s="8"/>
      <c r="M465" s="8"/>
      <c r="N465" s="8"/>
      <c r="O465" s="8"/>
      <c r="P465" s="8"/>
      <c r="Q465" s="8"/>
      <c r="R465" s="8"/>
      <c r="S465" s="8"/>
      <c r="T465" s="8"/>
      <c r="U465" s="12"/>
      <c r="V465" s="12"/>
      <c r="W465" s="12"/>
      <c r="X465" s="12"/>
      <c r="Y465" s="12"/>
      <c r="Z465" s="12"/>
      <c r="AA465" s="12"/>
      <c r="AB465" s="12"/>
      <c r="AC465" s="12"/>
      <c r="AD465" s="12"/>
      <c r="AE465" s="12"/>
      <c r="AF465" s="12"/>
    </row>
    <row r="466" spans="1:32" ht="13.2">
      <c r="A466" s="8"/>
      <c r="B466" s="8"/>
      <c r="C466" s="8"/>
      <c r="D466" s="8"/>
      <c r="E466" s="8"/>
      <c r="F466" s="8"/>
      <c r="G466" s="9"/>
      <c r="H466" s="8"/>
      <c r="I466" s="8"/>
      <c r="J466" s="8"/>
      <c r="K466" s="8"/>
      <c r="L466" s="8"/>
      <c r="M466" s="8"/>
      <c r="N466" s="8"/>
      <c r="O466" s="8"/>
      <c r="P466" s="8"/>
      <c r="Q466" s="8"/>
      <c r="R466" s="8"/>
      <c r="S466" s="8"/>
      <c r="T466" s="8"/>
      <c r="U466" s="12"/>
      <c r="V466" s="12"/>
      <c r="W466" s="12"/>
      <c r="X466" s="12"/>
      <c r="Y466" s="12"/>
      <c r="Z466" s="12"/>
      <c r="AA466" s="12"/>
      <c r="AB466" s="12"/>
      <c r="AC466" s="12"/>
      <c r="AD466" s="12"/>
      <c r="AE466" s="12"/>
      <c r="AF466" s="12"/>
    </row>
    <row r="467" spans="1:32" ht="13.2">
      <c r="A467" s="8"/>
      <c r="B467" s="8"/>
      <c r="C467" s="8"/>
      <c r="D467" s="8"/>
      <c r="E467" s="8"/>
      <c r="F467" s="8"/>
      <c r="G467" s="9"/>
      <c r="H467" s="8"/>
      <c r="I467" s="8"/>
      <c r="J467" s="8"/>
      <c r="K467" s="8"/>
      <c r="L467" s="8"/>
      <c r="M467" s="8"/>
      <c r="N467" s="8"/>
      <c r="O467" s="8"/>
      <c r="P467" s="8"/>
      <c r="Q467" s="8"/>
      <c r="R467" s="8"/>
      <c r="S467" s="8"/>
      <c r="T467" s="8"/>
      <c r="U467" s="12"/>
      <c r="V467" s="12"/>
      <c r="W467" s="12"/>
      <c r="X467" s="12"/>
      <c r="Y467" s="12"/>
      <c r="Z467" s="12"/>
      <c r="AA467" s="12"/>
      <c r="AB467" s="12"/>
      <c r="AC467" s="12"/>
      <c r="AD467" s="12"/>
      <c r="AE467" s="12"/>
      <c r="AF467" s="12"/>
    </row>
    <row r="468" spans="1:32" ht="13.2">
      <c r="A468" s="8"/>
      <c r="B468" s="8"/>
      <c r="C468" s="8"/>
      <c r="D468" s="8"/>
      <c r="E468" s="8"/>
      <c r="F468" s="8"/>
      <c r="G468" s="9"/>
      <c r="H468" s="8"/>
      <c r="I468" s="8"/>
      <c r="J468" s="8"/>
      <c r="K468" s="8"/>
      <c r="L468" s="8"/>
      <c r="M468" s="8"/>
      <c r="N468" s="8"/>
      <c r="O468" s="8"/>
      <c r="P468" s="8"/>
      <c r="Q468" s="8"/>
      <c r="R468" s="8"/>
      <c r="S468" s="8"/>
      <c r="T468" s="8"/>
      <c r="U468" s="12"/>
      <c r="V468" s="12"/>
      <c r="W468" s="12"/>
      <c r="X468" s="12"/>
      <c r="Y468" s="12"/>
      <c r="Z468" s="12"/>
      <c r="AA468" s="12"/>
      <c r="AB468" s="12"/>
      <c r="AC468" s="12"/>
      <c r="AD468" s="12"/>
      <c r="AE468" s="12"/>
      <c r="AF468" s="12"/>
    </row>
    <row r="469" spans="1:32" ht="13.2">
      <c r="A469" s="8"/>
      <c r="B469" s="8"/>
      <c r="C469" s="8"/>
      <c r="D469" s="8"/>
      <c r="E469" s="8"/>
      <c r="F469" s="8"/>
      <c r="G469" s="9"/>
      <c r="H469" s="8"/>
      <c r="I469" s="8"/>
      <c r="J469" s="8"/>
      <c r="K469" s="8"/>
      <c r="L469" s="8"/>
      <c r="M469" s="8"/>
      <c r="N469" s="8"/>
      <c r="O469" s="8"/>
      <c r="P469" s="8"/>
      <c r="Q469" s="8"/>
      <c r="R469" s="8"/>
      <c r="S469" s="8"/>
      <c r="T469" s="8"/>
      <c r="U469" s="12"/>
      <c r="V469" s="12"/>
      <c r="W469" s="12"/>
      <c r="X469" s="12"/>
      <c r="Y469" s="12"/>
      <c r="Z469" s="12"/>
      <c r="AA469" s="12"/>
      <c r="AB469" s="12"/>
      <c r="AC469" s="12"/>
      <c r="AD469" s="12"/>
      <c r="AE469" s="12"/>
      <c r="AF469" s="12"/>
    </row>
    <row r="470" spans="1:32" ht="13.2">
      <c r="A470" s="8"/>
      <c r="B470" s="8"/>
      <c r="C470" s="8"/>
      <c r="D470" s="8"/>
      <c r="E470" s="8"/>
      <c r="F470" s="8"/>
      <c r="G470" s="9"/>
      <c r="H470" s="8"/>
      <c r="I470" s="8"/>
      <c r="J470" s="8"/>
      <c r="K470" s="8"/>
      <c r="L470" s="8"/>
      <c r="M470" s="8"/>
      <c r="N470" s="8"/>
      <c r="O470" s="8"/>
      <c r="P470" s="8"/>
      <c r="Q470" s="8"/>
      <c r="R470" s="8"/>
      <c r="S470" s="8"/>
      <c r="T470" s="8"/>
      <c r="U470" s="12"/>
      <c r="V470" s="12"/>
      <c r="W470" s="12"/>
      <c r="X470" s="12"/>
      <c r="Y470" s="12"/>
      <c r="Z470" s="12"/>
      <c r="AA470" s="12"/>
      <c r="AB470" s="12"/>
      <c r="AC470" s="12"/>
      <c r="AD470" s="12"/>
      <c r="AE470" s="12"/>
      <c r="AF470" s="12"/>
    </row>
    <row r="471" spans="1:32" ht="13.2">
      <c r="A471" s="8"/>
      <c r="B471" s="8"/>
      <c r="C471" s="8"/>
      <c r="D471" s="8"/>
      <c r="E471" s="8"/>
      <c r="F471" s="8"/>
      <c r="G471" s="9"/>
      <c r="H471" s="8"/>
      <c r="I471" s="8"/>
      <c r="J471" s="8"/>
      <c r="K471" s="8"/>
      <c r="L471" s="8"/>
      <c r="M471" s="8"/>
      <c r="N471" s="8"/>
      <c r="O471" s="8"/>
      <c r="P471" s="8"/>
      <c r="Q471" s="8"/>
      <c r="R471" s="8"/>
      <c r="S471" s="8"/>
      <c r="T471" s="8"/>
      <c r="U471" s="12"/>
      <c r="V471" s="12"/>
      <c r="W471" s="12"/>
      <c r="X471" s="12"/>
      <c r="Y471" s="12"/>
      <c r="Z471" s="12"/>
      <c r="AA471" s="12"/>
      <c r="AB471" s="12"/>
      <c r="AC471" s="12"/>
      <c r="AD471" s="12"/>
      <c r="AE471" s="12"/>
      <c r="AF471" s="12"/>
    </row>
    <row r="472" spans="1:32" ht="13.2">
      <c r="A472" s="8"/>
      <c r="B472" s="8"/>
      <c r="C472" s="8"/>
      <c r="D472" s="8"/>
      <c r="E472" s="8"/>
      <c r="F472" s="8"/>
      <c r="G472" s="9"/>
      <c r="H472" s="8"/>
      <c r="I472" s="8"/>
      <c r="J472" s="8"/>
      <c r="K472" s="8"/>
      <c r="L472" s="8"/>
      <c r="M472" s="8"/>
      <c r="N472" s="8"/>
      <c r="O472" s="8"/>
      <c r="P472" s="8"/>
      <c r="Q472" s="8"/>
      <c r="R472" s="8"/>
      <c r="S472" s="8"/>
      <c r="T472" s="8"/>
      <c r="U472" s="12"/>
      <c r="V472" s="12"/>
      <c r="W472" s="12"/>
      <c r="X472" s="12"/>
      <c r="Y472" s="12"/>
      <c r="Z472" s="12"/>
      <c r="AA472" s="12"/>
      <c r="AB472" s="12"/>
      <c r="AC472" s="12"/>
      <c r="AD472" s="12"/>
      <c r="AE472" s="12"/>
      <c r="AF472" s="12"/>
    </row>
    <row r="473" spans="1:32" ht="13.2">
      <c r="A473" s="8"/>
      <c r="B473" s="8"/>
      <c r="C473" s="8"/>
      <c r="D473" s="8"/>
      <c r="E473" s="8"/>
      <c r="F473" s="8"/>
      <c r="G473" s="9"/>
      <c r="H473" s="8"/>
      <c r="I473" s="8"/>
      <c r="J473" s="8"/>
      <c r="K473" s="8"/>
      <c r="L473" s="8"/>
      <c r="M473" s="8"/>
      <c r="N473" s="8"/>
      <c r="O473" s="8"/>
      <c r="P473" s="8"/>
      <c r="Q473" s="8"/>
      <c r="R473" s="8"/>
      <c r="S473" s="8"/>
      <c r="T473" s="8"/>
      <c r="U473" s="12"/>
      <c r="V473" s="12"/>
      <c r="W473" s="12"/>
      <c r="X473" s="12"/>
      <c r="Y473" s="12"/>
      <c r="Z473" s="12"/>
      <c r="AA473" s="12"/>
      <c r="AB473" s="12"/>
      <c r="AC473" s="12"/>
      <c r="AD473" s="12"/>
      <c r="AE473" s="12"/>
      <c r="AF473" s="12"/>
    </row>
    <row r="474" spans="1:32" ht="13.2">
      <c r="A474" s="8"/>
      <c r="B474" s="8"/>
      <c r="C474" s="8"/>
      <c r="D474" s="8"/>
      <c r="E474" s="8"/>
      <c r="F474" s="8"/>
      <c r="G474" s="9"/>
      <c r="H474" s="8"/>
      <c r="I474" s="8"/>
      <c r="J474" s="8"/>
      <c r="K474" s="8"/>
      <c r="L474" s="8"/>
      <c r="M474" s="8"/>
      <c r="N474" s="8"/>
      <c r="O474" s="8"/>
      <c r="P474" s="8"/>
      <c r="Q474" s="8"/>
      <c r="R474" s="8"/>
      <c r="S474" s="8"/>
      <c r="T474" s="8"/>
      <c r="U474" s="12"/>
      <c r="V474" s="12"/>
      <c r="W474" s="12"/>
      <c r="X474" s="12"/>
      <c r="Y474" s="12"/>
      <c r="Z474" s="12"/>
      <c r="AA474" s="12"/>
      <c r="AB474" s="12"/>
      <c r="AC474" s="12"/>
      <c r="AD474" s="12"/>
      <c r="AE474" s="12"/>
      <c r="AF474" s="12"/>
    </row>
    <row r="475" spans="1:32" ht="13.2">
      <c r="A475" s="8"/>
      <c r="B475" s="8"/>
      <c r="C475" s="8"/>
      <c r="D475" s="8"/>
      <c r="E475" s="8"/>
      <c r="F475" s="8"/>
      <c r="G475" s="9"/>
      <c r="H475" s="8"/>
      <c r="I475" s="8"/>
      <c r="J475" s="8"/>
      <c r="K475" s="8"/>
      <c r="L475" s="8"/>
      <c r="M475" s="8"/>
      <c r="N475" s="8"/>
      <c r="O475" s="8"/>
      <c r="P475" s="8"/>
      <c r="Q475" s="8"/>
      <c r="R475" s="8"/>
      <c r="S475" s="8"/>
      <c r="T475" s="8"/>
      <c r="U475" s="12"/>
      <c r="V475" s="12"/>
      <c r="W475" s="12"/>
      <c r="X475" s="12"/>
      <c r="Y475" s="12"/>
      <c r="Z475" s="12"/>
      <c r="AA475" s="12"/>
      <c r="AB475" s="12"/>
      <c r="AC475" s="12"/>
      <c r="AD475" s="12"/>
      <c r="AE475" s="12"/>
      <c r="AF475" s="12"/>
    </row>
    <row r="476" spans="1:32" ht="13.2">
      <c r="A476" s="8"/>
      <c r="B476" s="8"/>
      <c r="C476" s="8"/>
      <c r="D476" s="8"/>
      <c r="E476" s="8"/>
      <c r="F476" s="8"/>
      <c r="G476" s="9"/>
      <c r="H476" s="8"/>
      <c r="I476" s="8"/>
      <c r="J476" s="8"/>
      <c r="K476" s="8"/>
      <c r="L476" s="8"/>
      <c r="M476" s="8"/>
      <c r="N476" s="8"/>
      <c r="O476" s="8"/>
      <c r="P476" s="8"/>
      <c r="Q476" s="8"/>
      <c r="R476" s="8"/>
      <c r="S476" s="8"/>
      <c r="T476" s="8"/>
      <c r="U476" s="12"/>
      <c r="V476" s="12"/>
      <c r="W476" s="12"/>
      <c r="X476" s="12"/>
      <c r="Y476" s="12"/>
      <c r="Z476" s="12"/>
      <c r="AA476" s="12"/>
      <c r="AB476" s="12"/>
      <c r="AC476" s="12"/>
      <c r="AD476" s="12"/>
      <c r="AE476" s="12"/>
      <c r="AF476" s="12"/>
    </row>
    <row r="477" spans="1:32" ht="13.2">
      <c r="A477" s="8"/>
      <c r="B477" s="8"/>
      <c r="C477" s="8"/>
      <c r="D477" s="8"/>
      <c r="E477" s="8"/>
      <c r="F477" s="8"/>
      <c r="G477" s="9"/>
      <c r="H477" s="8"/>
      <c r="I477" s="8"/>
      <c r="J477" s="8"/>
      <c r="K477" s="8"/>
      <c r="L477" s="8"/>
      <c r="M477" s="8"/>
      <c r="N477" s="8"/>
      <c r="O477" s="8"/>
      <c r="P477" s="8"/>
      <c r="Q477" s="8"/>
      <c r="R477" s="8"/>
      <c r="S477" s="8"/>
      <c r="T477" s="8"/>
      <c r="U477" s="12"/>
      <c r="V477" s="12"/>
      <c r="W477" s="12"/>
      <c r="X477" s="12"/>
      <c r="Y477" s="12"/>
      <c r="Z477" s="12"/>
      <c r="AA477" s="12"/>
      <c r="AB477" s="12"/>
      <c r="AC477" s="12"/>
      <c r="AD477" s="12"/>
      <c r="AE477" s="12"/>
      <c r="AF477" s="12"/>
    </row>
    <row r="478" spans="1:32" ht="13.2">
      <c r="A478" s="8"/>
      <c r="B478" s="8"/>
      <c r="C478" s="8"/>
      <c r="D478" s="8"/>
      <c r="E478" s="8"/>
      <c r="F478" s="8"/>
      <c r="G478" s="9"/>
      <c r="H478" s="8"/>
      <c r="I478" s="8"/>
      <c r="J478" s="8"/>
      <c r="K478" s="8"/>
      <c r="L478" s="8"/>
      <c r="M478" s="8"/>
      <c r="N478" s="8"/>
      <c r="O478" s="8"/>
      <c r="P478" s="8"/>
      <c r="Q478" s="8"/>
      <c r="R478" s="8"/>
      <c r="S478" s="8"/>
      <c r="T478" s="8"/>
      <c r="U478" s="12"/>
      <c r="V478" s="12"/>
      <c r="W478" s="12"/>
      <c r="X478" s="12"/>
      <c r="Y478" s="12"/>
      <c r="Z478" s="12"/>
      <c r="AA478" s="12"/>
      <c r="AB478" s="12"/>
      <c r="AC478" s="12"/>
      <c r="AD478" s="12"/>
      <c r="AE478" s="12"/>
      <c r="AF478" s="12"/>
    </row>
    <row r="479" spans="1:32" ht="13.2">
      <c r="A479" s="8"/>
      <c r="B479" s="8"/>
      <c r="C479" s="8"/>
      <c r="D479" s="8"/>
      <c r="E479" s="8"/>
      <c r="F479" s="8"/>
      <c r="G479" s="9"/>
      <c r="H479" s="8"/>
      <c r="I479" s="8"/>
      <c r="J479" s="8"/>
      <c r="K479" s="8"/>
      <c r="L479" s="8"/>
      <c r="M479" s="8"/>
      <c r="N479" s="8"/>
      <c r="O479" s="8"/>
      <c r="P479" s="8"/>
      <c r="Q479" s="8"/>
      <c r="R479" s="8"/>
      <c r="S479" s="8"/>
      <c r="T479" s="8"/>
      <c r="U479" s="12"/>
      <c r="V479" s="12"/>
      <c r="W479" s="12"/>
      <c r="X479" s="12"/>
      <c r="Y479" s="12"/>
      <c r="Z479" s="12"/>
      <c r="AA479" s="12"/>
      <c r="AB479" s="12"/>
      <c r="AC479" s="12"/>
      <c r="AD479" s="12"/>
      <c r="AE479" s="12"/>
      <c r="AF479" s="12"/>
    </row>
    <row r="480" spans="1:32" ht="13.2">
      <c r="A480" s="8"/>
      <c r="B480" s="8"/>
      <c r="C480" s="8"/>
      <c r="D480" s="8"/>
      <c r="E480" s="8"/>
      <c r="F480" s="8"/>
      <c r="G480" s="9"/>
      <c r="H480" s="8"/>
      <c r="I480" s="8"/>
      <c r="J480" s="8"/>
      <c r="K480" s="8"/>
      <c r="L480" s="8"/>
      <c r="M480" s="8"/>
      <c r="N480" s="8"/>
      <c r="O480" s="8"/>
      <c r="P480" s="8"/>
      <c r="Q480" s="8"/>
      <c r="R480" s="8"/>
      <c r="S480" s="8"/>
      <c r="T480" s="8"/>
      <c r="U480" s="12"/>
      <c r="V480" s="12"/>
      <c r="W480" s="12"/>
      <c r="X480" s="12"/>
      <c r="Y480" s="12"/>
      <c r="Z480" s="12"/>
      <c r="AA480" s="12"/>
      <c r="AB480" s="12"/>
      <c r="AC480" s="12"/>
      <c r="AD480" s="12"/>
      <c r="AE480" s="12"/>
      <c r="AF480" s="12"/>
    </row>
    <row r="481" spans="1:32" ht="13.2">
      <c r="A481" s="8"/>
      <c r="B481" s="8"/>
      <c r="C481" s="8"/>
      <c r="D481" s="8"/>
      <c r="E481" s="8"/>
      <c r="F481" s="8"/>
      <c r="G481" s="9"/>
      <c r="H481" s="8"/>
      <c r="I481" s="8"/>
      <c r="J481" s="8"/>
      <c r="K481" s="8"/>
      <c r="L481" s="8"/>
      <c r="M481" s="8"/>
      <c r="N481" s="8"/>
      <c r="O481" s="8"/>
      <c r="P481" s="8"/>
      <c r="Q481" s="8"/>
      <c r="R481" s="8"/>
      <c r="S481" s="8"/>
      <c r="T481" s="8"/>
      <c r="U481" s="12"/>
      <c r="V481" s="12"/>
      <c r="W481" s="12"/>
      <c r="X481" s="12"/>
      <c r="Y481" s="12"/>
      <c r="Z481" s="12"/>
      <c r="AA481" s="12"/>
      <c r="AB481" s="12"/>
      <c r="AC481" s="12"/>
      <c r="AD481" s="12"/>
      <c r="AE481" s="12"/>
      <c r="AF481" s="12"/>
    </row>
    <row r="482" spans="1:32" ht="13.2">
      <c r="A482" s="8"/>
      <c r="B482" s="8"/>
      <c r="C482" s="8"/>
      <c r="D482" s="8"/>
      <c r="E482" s="8"/>
      <c r="F482" s="8"/>
      <c r="G482" s="9"/>
      <c r="H482" s="8"/>
      <c r="I482" s="8"/>
      <c r="J482" s="8"/>
      <c r="K482" s="8"/>
      <c r="L482" s="8"/>
      <c r="M482" s="8"/>
      <c r="N482" s="8"/>
      <c r="O482" s="8"/>
      <c r="P482" s="8"/>
      <c r="Q482" s="8"/>
      <c r="R482" s="8"/>
      <c r="S482" s="8"/>
      <c r="T482" s="8"/>
      <c r="U482" s="12"/>
      <c r="V482" s="12"/>
      <c r="W482" s="12"/>
      <c r="X482" s="12"/>
      <c r="Y482" s="12"/>
      <c r="Z482" s="12"/>
      <c r="AA482" s="12"/>
      <c r="AB482" s="12"/>
      <c r="AC482" s="12"/>
      <c r="AD482" s="12"/>
      <c r="AE482" s="12"/>
      <c r="AF482" s="12"/>
    </row>
    <row r="483" spans="1:32" ht="13.2">
      <c r="A483" s="8"/>
      <c r="B483" s="8"/>
      <c r="C483" s="8"/>
      <c r="D483" s="8"/>
      <c r="E483" s="8"/>
      <c r="F483" s="8"/>
      <c r="G483" s="9"/>
      <c r="H483" s="8"/>
      <c r="I483" s="8"/>
      <c r="J483" s="8"/>
      <c r="K483" s="8"/>
      <c r="L483" s="8"/>
      <c r="M483" s="8"/>
      <c r="N483" s="8"/>
      <c r="O483" s="8"/>
      <c r="P483" s="8"/>
      <c r="Q483" s="8"/>
      <c r="R483" s="8"/>
      <c r="S483" s="8"/>
      <c r="T483" s="8"/>
      <c r="U483" s="12"/>
      <c r="V483" s="12"/>
      <c r="W483" s="12"/>
      <c r="X483" s="12"/>
      <c r="Y483" s="12"/>
      <c r="Z483" s="12"/>
      <c r="AA483" s="12"/>
      <c r="AB483" s="12"/>
      <c r="AC483" s="12"/>
      <c r="AD483" s="12"/>
      <c r="AE483" s="12"/>
      <c r="AF483" s="12"/>
    </row>
    <row r="484" spans="1:32" ht="13.2">
      <c r="A484" s="8"/>
      <c r="B484" s="8"/>
      <c r="C484" s="8"/>
      <c r="D484" s="8"/>
      <c r="E484" s="8"/>
      <c r="F484" s="8"/>
      <c r="G484" s="9"/>
      <c r="H484" s="8"/>
      <c r="I484" s="8"/>
      <c r="J484" s="8"/>
      <c r="K484" s="8"/>
      <c r="L484" s="8"/>
      <c r="M484" s="8"/>
      <c r="N484" s="8"/>
      <c r="O484" s="8"/>
      <c r="P484" s="8"/>
      <c r="Q484" s="8"/>
      <c r="R484" s="8"/>
      <c r="S484" s="8"/>
      <c r="T484" s="8"/>
      <c r="U484" s="12"/>
      <c r="V484" s="12"/>
      <c r="W484" s="12"/>
      <c r="X484" s="12"/>
      <c r="Y484" s="12"/>
      <c r="Z484" s="12"/>
      <c r="AA484" s="12"/>
      <c r="AB484" s="12"/>
      <c r="AC484" s="12"/>
      <c r="AD484" s="12"/>
      <c r="AE484" s="12"/>
      <c r="AF484" s="12"/>
    </row>
    <row r="485" spans="1:32" ht="13.2">
      <c r="A485" s="8"/>
      <c r="B485" s="8"/>
      <c r="C485" s="8"/>
      <c r="D485" s="8"/>
      <c r="E485" s="8"/>
      <c r="F485" s="8"/>
      <c r="G485" s="9"/>
      <c r="H485" s="8"/>
      <c r="I485" s="8"/>
      <c r="J485" s="8"/>
      <c r="K485" s="8"/>
      <c r="L485" s="8"/>
      <c r="M485" s="8"/>
      <c r="N485" s="8"/>
      <c r="O485" s="8"/>
      <c r="P485" s="8"/>
      <c r="Q485" s="8"/>
      <c r="R485" s="8"/>
      <c r="S485" s="8"/>
      <c r="T485" s="8"/>
      <c r="U485" s="12"/>
      <c r="V485" s="12"/>
      <c r="W485" s="12"/>
      <c r="X485" s="12"/>
      <c r="Y485" s="12"/>
      <c r="Z485" s="12"/>
      <c r="AA485" s="12"/>
      <c r="AB485" s="12"/>
      <c r="AC485" s="12"/>
      <c r="AD485" s="12"/>
      <c r="AE485" s="12"/>
      <c r="AF485" s="12"/>
    </row>
    <row r="486" spans="1:32" ht="13.2">
      <c r="A486" s="8"/>
      <c r="B486" s="8"/>
      <c r="C486" s="8"/>
      <c r="D486" s="8"/>
      <c r="E486" s="8"/>
      <c r="F486" s="8"/>
      <c r="G486" s="9"/>
      <c r="H486" s="8"/>
      <c r="I486" s="8"/>
      <c r="J486" s="8"/>
      <c r="K486" s="8"/>
      <c r="L486" s="8"/>
      <c r="M486" s="8"/>
      <c r="N486" s="8"/>
      <c r="O486" s="8"/>
      <c r="P486" s="8"/>
      <c r="Q486" s="8"/>
      <c r="R486" s="8"/>
      <c r="S486" s="8"/>
      <c r="T486" s="8"/>
      <c r="U486" s="12"/>
      <c r="V486" s="12"/>
      <c r="W486" s="12"/>
      <c r="X486" s="12"/>
      <c r="Y486" s="12"/>
      <c r="Z486" s="12"/>
      <c r="AA486" s="12"/>
      <c r="AB486" s="12"/>
      <c r="AC486" s="12"/>
      <c r="AD486" s="12"/>
      <c r="AE486" s="12"/>
      <c r="AF486" s="12"/>
    </row>
    <row r="487" spans="1:32" ht="13.2">
      <c r="A487" s="8"/>
      <c r="B487" s="8"/>
      <c r="C487" s="8"/>
      <c r="D487" s="8"/>
      <c r="E487" s="8"/>
      <c r="F487" s="8"/>
      <c r="G487" s="9"/>
      <c r="H487" s="8"/>
      <c r="I487" s="8"/>
      <c r="J487" s="8"/>
      <c r="K487" s="8"/>
      <c r="L487" s="8"/>
      <c r="M487" s="8"/>
      <c r="N487" s="8"/>
      <c r="O487" s="8"/>
      <c r="P487" s="8"/>
      <c r="Q487" s="8"/>
      <c r="R487" s="8"/>
      <c r="S487" s="8"/>
      <c r="T487" s="8"/>
      <c r="U487" s="12"/>
      <c r="V487" s="12"/>
      <c r="W487" s="12"/>
      <c r="X487" s="12"/>
      <c r="Y487" s="12"/>
      <c r="Z487" s="12"/>
      <c r="AA487" s="12"/>
      <c r="AB487" s="12"/>
      <c r="AC487" s="12"/>
      <c r="AD487" s="12"/>
      <c r="AE487" s="12"/>
      <c r="AF487" s="12"/>
    </row>
    <row r="488" spans="1:32" ht="13.2">
      <c r="A488" s="8"/>
      <c r="B488" s="8"/>
      <c r="C488" s="8"/>
      <c r="D488" s="8"/>
      <c r="E488" s="8"/>
      <c r="F488" s="8"/>
      <c r="G488" s="9"/>
      <c r="H488" s="8"/>
      <c r="I488" s="8"/>
      <c r="J488" s="8"/>
      <c r="K488" s="8"/>
      <c r="L488" s="8"/>
      <c r="M488" s="8"/>
      <c r="N488" s="8"/>
      <c r="O488" s="8"/>
      <c r="P488" s="8"/>
      <c r="Q488" s="8"/>
      <c r="R488" s="8"/>
      <c r="S488" s="8"/>
      <c r="T488" s="8"/>
      <c r="U488" s="12"/>
      <c r="V488" s="12"/>
      <c r="W488" s="12"/>
      <c r="X488" s="12"/>
      <c r="Y488" s="12"/>
      <c r="Z488" s="12"/>
      <c r="AA488" s="12"/>
      <c r="AB488" s="12"/>
      <c r="AC488" s="12"/>
      <c r="AD488" s="12"/>
      <c r="AE488" s="12"/>
      <c r="AF488" s="12"/>
    </row>
    <row r="489" spans="1:32" ht="13.2">
      <c r="A489" s="8"/>
      <c r="B489" s="8"/>
      <c r="C489" s="8"/>
      <c r="D489" s="8"/>
      <c r="E489" s="8"/>
      <c r="F489" s="8"/>
      <c r="G489" s="9"/>
      <c r="H489" s="8"/>
      <c r="I489" s="8"/>
      <c r="J489" s="8"/>
      <c r="K489" s="8"/>
      <c r="L489" s="8"/>
      <c r="M489" s="8"/>
      <c r="N489" s="8"/>
      <c r="O489" s="8"/>
      <c r="P489" s="8"/>
      <c r="Q489" s="8"/>
      <c r="R489" s="8"/>
      <c r="S489" s="8"/>
      <c r="T489" s="8"/>
      <c r="U489" s="12"/>
      <c r="V489" s="12"/>
      <c r="W489" s="12"/>
      <c r="X489" s="12"/>
      <c r="Y489" s="12"/>
      <c r="Z489" s="12"/>
      <c r="AA489" s="12"/>
      <c r="AB489" s="12"/>
      <c r="AC489" s="12"/>
      <c r="AD489" s="12"/>
      <c r="AE489" s="12"/>
      <c r="AF489" s="12"/>
    </row>
    <row r="490" spans="1:32" ht="13.2">
      <c r="A490" s="8"/>
      <c r="B490" s="8"/>
      <c r="C490" s="8"/>
      <c r="D490" s="8"/>
      <c r="E490" s="8"/>
      <c r="F490" s="8"/>
      <c r="G490" s="9"/>
      <c r="H490" s="8"/>
      <c r="I490" s="8"/>
      <c r="J490" s="8"/>
      <c r="K490" s="8"/>
      <c r="L490" s="8"/>
      <c r="M490" s="8"/>
      <c r="N490" s="8"/>
      <c r="O490" s="8"/>
      <c r="P490" s="8"/>
      <c r="Q490" s="8"/>
      <c r="R490" s="8"/>
      <c r="S490" s="8"/>
      <c r="T490" s="8"/>
      <c r="U490" s="12"/>
      <c r="V490" s="12"/>
      <c r="W490" s="12"/>
      <c r="X490" s="12"/>
      <c r="Y490" s="12"/>
      <c r="Z490" s="12"/>
      <c r="AA490" s="12"/>
      <c r="AB490" s="12"/>
      <c r="AC490" s="12"/>
      <c r="AD490" s="12"/>
      <c r="AE490" s="12"/>
      <c r="AF490" s="12"/>
    </row>
    <row r="491" spans="1:32" ht="13.2">
      <c r="A491" s="8"/>
      <c r="B491" s="8"/>
      <c r="C491" s="8"/>
      <c r="D491" s="8"/>
      <c r="E491" s="8"/>
      <c r="F491" s="8"/>
      <c r="G491" s="9"/>
      <c r="H491" s="8"/>
      <c r="I491" s="8"/>
      <c r="J491" s="8"/>
      <c r="K491" s="8"/>
      <c r="L491" s="8"/>
      <c r="M491" s="8"/>
      <c r="N491" s="8"/>
      <c r="O491" s="8"/>
      <c r="P491" s="8"/>
      <c r="Q491" s="8"/>
      <c r="R491" s="8"/>
      <c r="S491" s="8"/>
      <c r="T491" s="8"/>
      <c r="U491" s="12"/>
      <c r="V491" s="12"/>
      <c r="W491" s="12"/>
      <c r="X491" s="12"/>
      <c r="Y491" s="12"/>
      <c r="Z491" s="12"/>
      <c r="AA491" s="12"/>
      <c r="AB491" s="12"/>
      <c r="AC491" s="12"/>
      <c r="AD491" s="12"/>
      <c r="AE491" s="12"/>
      <c r="AF491" s="12"/>
    </row>
    <row r="492" spans="1:32" ht="13.2">
      <c r="A492" s="8"/>
      <c r="B492" s="8"/>
      <c r="C492" s="8"/>
      <c r="D492" s="8"/>
      <c r="E492" s="8"/>
      <c r="F492" s="8"/>
      <c r="G492" s="9"/>
      <c r="H492" s="8"/>
      <c r="I492" s="8"/>
      <c r="J492" s="8"/>
      <c r="K492" s="8"/>
      <c r="L492" s="8"/>
      <c r="M492" s="8"/>
      <c r="N492" s="8"/>
      <c r="O492" s="8"/>
      <c r="P492" s="8"/>
      <c r="Q492" s="8"/>
      <c r="R492" s="8"/>
      <c r="S492" s="8"/>
      <c r="T492" s="8"/>
      <c r="U492" s="12"/>
      <c r="V492" s="12"/>
      <c r="W492" s="12"/>
      <c r="X492" s="12"/>
      <c r="Y492" s="12"/>
      <c r="Z492" s="12"/>
      <c r="AA492" s="12"/>
      <c r="AB492" s="12"/>
      <c r="AC492" s="12"/>
      <c r="AD492" s="12"/>
      <c r="AE492" s="12"/>
      <c r="AF492" s="12"/>
    </row>
    <row r="493" spans="1:32" ht="13.2">
      <c r="A493" s="8"/>
      <c r="B493" s="8"/>
      <c r="C493" s="8"/>
      <c r="D493" s="8"/>
      <c r="E493" s="8"/>
      <c r="F493" s="8"/>
      <c r="G493" s="9"/>
      <c r="H493" s="8"/>
      <c r="I493" s="8"/>
      <c r="J493" s="8"/>
      <c r="K493" s="8"/>
      <c r="L493" s="8"/>
      <c r="M493" s="8"/>
      <c r="N493" s="8"/>
      <c r="O493" s="8"/>
      <c r="P493" s="8"/>
      <c r="Q493" s="8"/>
      <c r="R493" s="8"/>
      <c r="S493" s="8"/>
      <c r="T493" s="8"/>
      <c r="U493" s="12"/>
      <c r="V493" s="12"/>
      <c r="W493" s="12"/>
      <c r="X493" s="12"/>
      <c r="Y493" s="12"/>
      <c r="Z493" s="12"/>
      <c r="AA493" s="12"/>
      <c r="AB493" s="12"/>
      <c r="AC493" s="12"/>
      <c r="AD493" s="12"/>
      <c r="AE493" s="12"/>
      <c r="AF493" s="12"/>
    </row>
    <row r="494" spans="1:32" ht="13.2">
      <c r="A494" s="8"/>
      <c r="B494" s="8"/>
      <c r="C494" s="8"/>
      <c r="D494" s="8"/>
      <c r="E494" s="8"/>
      <c r="F494" s="8"/>
      <c r="G494" s="9"/>
      <c r="H494" s="8"/>
      <c r="I494" s="8"/>
      <c r="J494" s="8"/>
      <c r="K494" s="8"/>
      <c r="L494" s="8"/>
      <c r="M494" s="8"/>
      <c r="N494" s="8"/>
      <c r="O494" s="8"/>
      <c r="P494" s="8"/>
      <c r="Q494" s="8"/>
      <c r="R494" s="8"/>
      <c r="S494" s="8"/>
      <c r="T494" s="8"/>
      <c r="U494" s="12"/>
      <c r="V494" s="12"/>
      <c r="W494" s="12"/>
      <c r="X494" s="12"/>
      <c r="Y494" s="12"/>
      <c r="Z494" s="12"/>
      <c r="AA494" s="12"/>
      <c r="AB494" s="12"/>
      <c r="AC494" s="12"/>
      <c r="AD494" s="12"/>
      <c r="AE494" s="12"/>
      <c r="AF494" s="12"/>
    </row>
    <row r="495" spans="1:32" ht="13.2">
      <c r="A495" s="8"/>
      <c r="B495" s="8"/>
      <c r="C495" s="8"/>
      <c r="D495" s="8"/>
      <c r="E495" s="8"/>
      <c r="F495" s="8"/>
      <c r="G495" s="9"/>
      <c r="H495" s="8"/>
      <c r="I495" s="8"/>
      <c r="J495" s="8"/>
      <c r="K495" s="8"/>
      <c r="L495" s="8"/>
      <c r="M495" s="8"/>
      <c r="N495" s="8"/>
      <c r="O495" s="8"/>
      <c r="P495" s="8"/>
      <c r="Q495" s="8"/>
      <c r="R495" s="8"/>
      <c r="S495" s="8"/>
      <c r="T495" s="8"/>
      <c r="U495" s="12"/>
      <c r="V495" s="12"/>
      <c r="W495" s="12"/>
      <c r="X495" s="12"/>
      <c r="Y495" s="12"/>
      <c r="Z495" s="12"/>
      <c r="AA495" s="12"/>
      <c r="AB495" s="12"/>
      <c r="AC495" s="12"/>
      <c r="AD495" s="12"/>
      <c r="AE495" s="12"/>
      <c r="AF495" s="12"/>
    </row>
    <row r="496" spans="1:32" ht="13.2">
      <c r="A496" s="8"/>
      <c r="B496" s="8"/>
      <c r="C496" s="8"/>
      <c r="D496" s="8"/>
      <c r="E496" s="8"/>
      <c r="F496" s="8"/>
      <c r="G496" s="9"/>
      <c r="H496" s="8"/>
      <c r="I496" s="8"/>
      <c r="J496" s="8"/>
      <c r="K496" s="8"/>
      <c r="L496" s="8"/>
      <c r="M496" s="8"/>
      <c r="N496" s="8"/>
      <c r="O496" s="8"/>
      <c r="P496" s="8"/>
      <c r="Q496" s="8"/>
      <c r="R496" s="8"/>
      <c r="S496" s="8"/>
      <c r="T496" s="8"/>
      <c r="U496" s="12"/>
      <c r="V496" s="12"/>
      <c r="W496" s="12"/>
      <c r="X496" s="12"/>
      <c r="Y496" s="12"/>
      <c r="Z496" s="12"/>
      <c r="AA496" s="12"/>
      <c r="AB496" s="12"/>
      <c r="AC496" s="12"/>
      <c r="AD496" s="12"/>
      <c r="AE496" s="12"/>
      <c r="AF496" s="12"/>
    </row>
    <row r="497" spans="1:32" ht="13.2">
      <c r="A497" s="8"/>
      <c r="B497" s="8"/>
      <c r="C497" s="8"/>
      <c r="D497" s="8"/>
      <c r="E497" s="8"/>
      <c r="F497" s="8"/>
      <c r="G497" s="9"/>
      <c r="H497" s="8"/>
      <c r="I497" s="8"/>
      <c r="J497" s="8"/>
      <c r="K497" s="8"/>
      <c r="L497" s="8"/>
      <c r="M497" s="8"/>
      <c r="N497" s="8"/>
      <c r="O497" s="8"/>
      <c r="P497" s="8"/>
      <c r="Q497" s="8"/>
      <c r="R497" s="8"/>
      <c r="S497" s="8"/>
      <c r="T497" s="8"/>
      <c r="U497" s="12"/>
      <c r="V497" s="12"/>
      <c r="W497" s="12"/>
      <c r="X497" s="12"/>
      <c r="Y497" s="12"/>
      <c r="Z497" s="12"/>
      <c r="AA497" s="12"/>
      <c r="AB497" s="12"/>
      <c r="AC497" s="12"/>
      <c r="AD497" s="12"/>
      <c r="AE497" s="12"/>
      <c r="AF497" s="12"/>
    </row>
    <row r="498" spans="1:32" ht="13.2">
      <c r="A498" s="8"/>
      <c r="B498" s="8"/>
      <c r="C498" s="8"/>
      <c r="D498" s="8"/>
      <c r="E498" s="8"/>
      <c r="F498" s="8"/>
      <c r="G498" s="9"/>
      <c r="H498" s="8"/>
      <c r="I498" s="8"/>
      <c r="J498" s="8"/>
      <c r="K498" s="8"/>
      <c r="L498" s="8"/>
      <c r="M498" s="8"/>
      <c r="N498" s="8"/>
      <c r="O498" s="8"/>
      <c r="P498" s="8"/>
      <c r="Q498" s="8"/>
      <c r="R498" s="8"/>
      <c r="S498" s="8"/>
      <c r="T498" s="8"/>
      <c r="U498" s="12"/>
      <c r="V498" s="12"/>
      <c r="W498" s="12"/>
      <c r="X498" s="12"/>
      <c r="Y498" s="12"/>
      <c r="Z498" s="12"/>
      <c r="AA498" s="12"/>
      <c r="AB498" s="12"/>
      <c r="AC498" s="12"/>
      <c r="AD498" s="12"/>
      <c r="AE498" s="12"/>
      <c r="AF498" s="12"/>
    </row>
    <row r="499" spans="1:32" ht="13.2">
      <c r="A499" s="8"/>
      <c r="B499" s="8"/>
      <c r="C499" s="8"/>
      <c r="D499" s="8"/>
      <c r="E499" s="8"/>
      <c r="F499" s="8"/>
      <c r="G499" s="9"/>
      <c r="H499" s="8"/>
      <c r="I499" s="8"/>
      <c r="J499" s="8"/>
      <c r="K499" s="8"/>
      <c r="L499" s="8"/>
      <c r="M499" s="8"/>
      <c r="N499" s="8"/>
      <c r="O499" s="8"/>
      <c r="P499" s="8"/>
      <c r="Q499" s="8"/>
      <c r="R499" s="8"/>
      <c r="S499" s="8"/>
      <c r="T499" s="8"/>
      <c r="U499" s="12"/>
      <c r="V499" s="12"/>
      <c r="W499" s="12"/>
      <c r="X499" s="12"/>
      <c r="Y499" s="12"/>
      <c r="Z499" s="12"/>
      <c r="AA499" s="12"/>
      <c r="AB499" s="12"/>
      <c r="AC499" s="12"/>
      <c r="AD499" s="12"/>
      <c r="AE499" s="12"/>
      <c r="AF499" s="12"/>
    </row>
    <row r="500" spans="1:32" ht="13.2">
      <c r="A500" s="8"/>
      <c r="B500" s="8"/>
      <c r="C500" s="8"/>
      <c r="D500" s="8"/>
      <c r="E500" s="8"/>
      <c r="F500" s="8"/>
      <c r="G500" s="9"/>
      <c r="H500" s="8"/>
      <c r="I500" s="8"/>
      <c r="J500" s="8"/>
      <c r="K500" s="8"/>
      <c r="L500" s="8"/>
      <c r="M500" s="8"/>
      <c r="N500" s="8"/>
      <c r="O500" s="8"/>
      <c r="P500" s="8"/>
      <c r="Q500" s="8"/>
      <c r="R500" s="8"/>
      <c r="S500" s="8"/>
      <c r="T500" s="8"/>
      <c r="U500" s="12"/>
      <c r="V500" s="12"/>
      <c r="W500" s="12"/>
      <c r="X500" s="12"/>
      <c r="Y500" s="12"/>
      <c r="Z500" s="12"/>
      <c r="AA500" s="12"/>
      <c r="AB500" s="12"/>
      <c r="AC500" s="12"/>
      <c r="AD500" s="12"/>
      <c r="AE500" s="12"/>
      <c r="AF500" s="12"/>
    </row>
    <row r="501" spans="1:32" ht="13.2">
      <c r="A501" s="8"/>
      <c r="B501" s="8"/>
      <c r="C501" s="8"/>
      <c r="D501" s="8"/>
      <c r="E501" s="8"/>
      <c r="F501" s="8"/>
      <c r="G501" s="9"/>
      <c r="H501" s="8"/>
      <c r="I501" s="8"/>
      <c r="J501" s="8"/>
      <c r="K501" s="8"/>
      <c r="L501" s="8"/>
      <c r="M501" s="8"/>
      <c r="N501" s="8"/>
      <c r="O501" s="8"/>
      <c r="P501" s="8"/>
      <c r="Q501" s="8"/>
      <c r="R501" s="8"/>
      <c r="S501" s="8"/>
      <c r="T501" s="8"/>
      <c r="U501" s="12"/>
      <c r="V501" s="12"/>
      <c r="W501" s="12"/>
      <c r="X501" s="12"/>
      <c r="Y501" s="12"/>
      <c r="Z501" s="12"/>
      <c r="AA501" s="12"/>
      <c r="AB501" s="12"/>
      <c r="AC501" s="12"/>
      <c r="AD501" s="12"/>
      <c r="AE501" s="12"/>
      <c r="AF501" s="12"/>
    </row>
    <row r="502" spans="1:32" ht="13.2">
      <c r="A502" s="8"/>
      <c r="B502" s="8"/>
      <c r="C502" s="8"/>
      <c r="D502" s="8"/>
      <c r="E502" s="8"/>
      <c r="F502" s="8"/>
      <c r="G502" s="9"/>
      <c r="H502" s="8"/>
      <c r="I502" s="8"/>
      <c r="J502" s="8"/>
      <c r="K502" s="8"/>
      <c r="L502" s="8"/>
      <c r="M502" s="8"/>
      <c r="N502" s="8"/>
      <c r="O502" s="8"/>
      <c r="P502" s="8"/>
      <c r="Q502" s="8"/>
      <c r="R502" s="8"/>
      <c r="S502" s="8"/>
      <c r="T502" s="8"/>
      <c r="U502" s="12"/>
      <c r="V502" s="12"/>
      <c r="W502" s="12"/>
      <c r="X502" s="12"/>
      <c r="Y502" s="12"/>
      <c r="Z502" s="12"/>
      <c r="AA502" s="12"/>
      <c r="AB502" s="12"/>
      <c r="AC502" s="12"/>
      <c r="AD502" s="12"/>
      <c r="AE502" s="12"/>
      <c r="AF502" s="12"/>
    </row>
    <row r="503" spans="1:32" ht="13.2">
      <c r="A503" s="8"/>
      <c r="B503" s="8"/>
      <c r="C503" s="8"/>
      <c r="D503" s="8"/>
      <c r="E503" s="8"/>
      <c r="F503" s="8"/>
      <c r="G503" s="9"/>
      <c r="H503" s="8"/>
      <c r="I503" s="8"/>
      <c r="J503" s="8"/>
      <c r="K503" s="8"/>
      <c r="L503" s="8"/>
      <c r="M503" s="8"/>
      <c r="N503" s="8"/>
      <c r="O503" s="8"/>
      <c r="P503" s="8"/>
      <c r="Q503" s="8"/>
      <c r="R503" s="8"/>
      <c r="S503" s="8"/>
      <c r="T503" s="8"/>
      <c r="U503" s="12"/>
      <c r="V503" s="12"/>
      <c r="W503" s="12"/>
      <c r="X503" s="12"/>
      <c r="Y503" s="12"/>
      <c r="Z503" s="12"/>
      <c r="AA503" s="12"/>
      <c r="AB503" s="12"/>
      <c r="AC503" s="12"/>
      <c r="AD503" s="12"/>
      <c r="AE503" s="12"/>
      <c r="AF503" s="12"/>
    </row>
    <row r="504" spans="1:32" ht="13.2">
      <c r="A504" s="8"/>
      <c r="B504" s="8"/>
      <c r="C504" s="8"/>
      <c r="D504" s="8"/>
      <c r="E504" s="8"/>
      <c r="F504" s="8"/>
      <c r="G504" s="9"/>
      <c r="H504" s="8"/>
      <c r="I504" s="8"/>
      <c r="J504" s="8"/>
      <c r="K504" s="8"/>
      <c r="L504" s="8"/>
      <c r="M504" s="8"/>
      <c r="N504" s="8"/>
      <c r="O504" s="8"/>
      <c r="P504" s="8"/>
      <c r="Q504" s="8"/>
      <c r="R504" s="8"/>
      <c r="S504" s="8"/>
      <c r="T504" s="8"/>
      <c r="U504" s="12"/>
      <c r="V504" s="12"/>
      <c r="W504" s="12"/>
      <c r="X504" s="12"/>
      <c r="Y504" s="12"/>
      <c r="Z504" s="12"/>
      <c r="AA504" s="12"/>
      <c r="AB504" s="12"/>
      <c r="AC504" s="12"/>
      <c r="AD504" s="12"/>
      <c r="AE504" s="12"/>
      <c r="AF504" s="12"/>
    </row>
    <row r="505" spans="1:32" ht="13.2">
      <c r="A505" s="8"/>
      <c r="B505" s="8"/>
      <c r="C505" s="8"/>
      <c r="D505" s="8"/>
      <c r="E505" s="8"/>
      <c r="F505" s="8"/>
      <c r="G505" s="9"/>
      <c r="H505" s="8"/>
      <c r="I505" s="8"/>
      <c r="J505" s="8"/>
      <c r="K505" s="8"/>
      <c r="L505" s="8"/>
      <c r="M505" s="8"/>
      <c r="N505" s="8"/>
      <c r="O505" s="8"/>
      <c r="P505" s="8"/>
      <c r="Q505" s="8"/>
      <c r="R505" s="8"/>
      <c r="S505" s="8"/>
      <c r="T505" s="8"/>
      <c r="U505" s="12"/>
      <c r="V505" s="12"/>
      <c r="W505" s="12"/>
      <c r="X505" s="12"/>
      <c r="Y505" s="12"/>
      <c r="Z505" s="12"/>
      <c r="AA505" s="12"/>
      <c r="AB505" s="12"/>
      <c r="AC505" s="12"/>
      <c r="AD505" s="12"/>
      <c r="AE505" s="12"/>
      <c r="AF505" s="12"/>
    </row>
    <row r="506" spans="1:32" ht="13.2">
      <c r="A506" s="8"/>
      <c r="B506" s="8"/>
      <c r="C506" s="8"/>
      <c r="D506" s="8"/>
      <c r="E506" s="8"/>
      <c r="F506" s="8"/>
      <c r="G506" s="9"/>
      <c r="H506" s="8"/>
      <c r="I506" s="8"/>
      <c r="J506" s="8"/>
      <c r="K506" s="8"/>
      <c r="L506" s="8"/>
      <c r="M506" s="8"/>
      <c r="N506" s="8"/>
      <c r="O506" s="8"/>
      <c r="P506" s="8"/>
      <c r="Q506" s="8"/>
      <c r="R506" s="8"/>
      <c r="S506" s="8"/>
      <c r="T506" s="8"/>
      <c r="U506" s="12"/>
      <c r="V506" s="12"/>
      <c r="W506" s="12"/>
      <c r="X506" s="12"/>
      <c r="Y506" s="12"/>
      <c r="Z506" s="12"/>
      <c r="AA506" s="12"/>
      <c r="AB506" s="12"/>
      <c r="AC506" s="12"/>
      <c r="AD506" s="12"/>
      <c r="AE506" s="12"/>
      <c r="AF506" s="12"/>
    </row>
    <row r="507" spans="1:32" ht="13.2">
      <c r="A507" s="8"/>
      <c r="B507" s="8"/>
      <c r="C507" s="8"/>
      <c r="D507" s="8"/>
      <c r="E507" s="8"/>
      <c r="F507" s="8"/>
      <c r="G507" s="9"/>
      <c r="H507" s="8"/>
      <c r="I507" s="8"/>
      <c r="J507" s="8"/>
      <c r="K507" s="8"/>
      <c r="L507" s="8"/>
      <c r="M507" s="8"/>
      <c r="N507" s="8"/>
      <c r="O507" s="8"/>
      <c r="P507" s="8"/>
      <c r="Q507" s="8"/>
      <c r="R507" s="8"/>
      <c r="S507" s="8"/>
      <c r="T507" s="8"/>
      <c r="U507" s="12"/>
      <c r="V507" s="12"/>
      <c r="W507" s="12"/>
      <c r="X507" s="12"/>
      <c r="Y507" s="12"/>
      <c r="Z507" s="12"/>
      <c r="AA507" s="12"/>
      <c r="AB507" s="12"/>
      <c r="AC507" s="12"/>
      <c r="AD507" s="12"/>
      <c r="AE507" s="12"/>
      <c r="AF507" s="12"/>
    </row>
    <row r="508" spans="1:32" ht="13.2">
      <c r="A508" s="8"/>
      <c r="B508" s="8"/>
      <c r="C508" s="8"/>
      <c r="D508" s="8"/>
      <c r="E508" s="8"/>
      <c r="F508" s="8"/>
      <c r="G508" s="9"/>
      <c r="H508" s="8"/>
      <c r="I508" s="8"/>
      <c r="J508" s="8"/>
      <c r="K508" s="8"/>
      <c r="L508" s="8"/>
      <c r="M508" s="8"/>
      <c r="N508" s="8"/>
      <c r="O508" s="8"/>
      <c r="P508" s="8"/>
      <c r="Q508" s="8"/>
      <c r="R508" s="8"/>
      <c r="S508" s="8"/>
      <c r="T508" s="8"/>
      <c r="U508" s="12"/>
      <c r="V508" s="12"/>
      <c r="W508" s="12"/>
      <c r="X508" s="12"/>
      <c r="Y508" s="12"/>
      <c r="Z508" s="12"/>
      <c r="AA508" s="12"/>
      <c r="AB508" s="12"/>
      <c r="AC508" s="12"/>
      <c r="AD508" s="12"/>
      <c r="AE508" s="12"/>
      <c r="AF508" s="12"/>
    </row>
    <row r="509" spans="1:32" ht="13.2">
      <c r="A509" s="8"/>
      <c r="B509" s="8"/>
      <c r="C509" s="8"/>
      <c r="D509" s="8"/>
      <c r="E509" s="8"/>
      <c r="F509" s="8"/>
      <c r="G509" s="9"/>
      <c r="H509" s="8"/>
      <c r="I509" s="8"/>
      <c r="J509" s="8"/>
      <c r="K509" s="8"/>
      <c r="L509" s="8"/>
      <c r="M509" s="8"/>
      <c r="N509" s="8"/>
      <c r="O509" s="8"/>
      <c r="P509" s="8"/>
      <c r="Q509" s="8"/>
      <c r="R509" s="8"/>
      <c r="S509" s="8"/>
      <c r="T509" s="8"/>
      <c r="U509" s="12"/>
      <c r="V509" s="12"/>
      <c r="W509" s="12"/>
      <c r="X509" s="12"/>
      <c r="Y509" s="12"/>
      <c r="Z509" s="12"/>
      <c r="AA509" s="12"/>
      <c r="AB509" s="12"/>
      <c r="AC509" s="12"/>
      <c r="AD509" s="12"/>
      <c r="AE509" s="12"/>
      <c r="AF509" s="12"/>
    </row>
    <row r="510" spans="1:32" ht="13.2">
      <c r="A510" s="8"/>
      <c r="B510" s="8"/>
      <c r="C510" s="8"/>
      <c r="D510" s="8"/>
      <c r="E510" s="8"/>
      <c r="F510" s="8"/>
      <c r="G510" s="9"/>
      <c r="H510" s="8"/>
      <c r="I510" s="8"/>
      <c r="J510" s="8"/>
      <c r="K510" s="8"/>
      <c r="L510" s="8"/>
      <c r="M510" s="8"/>
      <c r="N510" s="8"/>
      <c r="O510" s="8"/>
      <c r="P510" s="8"/>
      <c r="Q510" s="8"/>
      <c r="R510" s="8"/>
      <c r="S510" s="8"/>
      <c r="T510" s="8"/>
      <c r="U510" s="12"/>
      <c r="V510" s="12"/>
      <c r="W510" s="12"/>
      <c r="X510" s="12"/>
      <c r="Y510" s="12"/>
      <c r="Z510" s="12"/>
      <c r="AA510" s="12"/>
      <c r="AB510" s="12"/>
      <c r="AC510" s="12"/>
      <c r="AD510" s="12"/>
      <c r="AE510" s="12"/>
      <c r="AF510" s="12"/>
    </row>
    <row r="511" spans="1:32" ht="13.2">
      <c r="A511" s="8"/>
      <c r="B511" s="8"/>
      <c r="C511" s="8"/>
      <c r="D511" s="8"/>
      <c r="E511" s="8"/>
      <c r="F511" s="8"/>
      <c r="G511" s="9"/>
      <c r="H511" s="8"/>
      <c r="I511" s="8"/>
      <c r="J511" s="8"/>
      <c r="K511" s="8"/>
      <c r="L511" s="8"/>
      <c r="M511" s="8"/>
      <c r="N511" s="8"/>
      <c r="O511" s="8"/>
      <c r="P511" s="8"/>
      <c r="Q511" s="8"/>
      <c r="R511" s="8"/>
      <c r="S511" s="8"/>
      <c r="T511" s="8"/>
      <c r="U511" s="12"/>
      <c r="V511" s="12"/>
      <c r="W511" s="12"/>
      <c r="X511" s="12"/>
      <c r="Y511" s="12"/>
      <c r="Z511" s="12"/>
      <c r="AA511" s="12"/>
      <c r="AB511" s="12"/>
      <c r="AC511" s="12"/>
      <c r="AD511" s="12"/>
      <c r="AE511" s="12"/>
      <c r="AF511" s="12"/>
    </row>
    <row r="512" spans="1:32" ht="13.2">
      <c r="A512" s="8"/>
      <c r="B512" s="8"/>
      <c r="C512" s="8"/>
      <c r="D512" s="8"/>
      <c r="E512" s="8"/>
      <c r="F512" s="8"/>
      <c r="G512" s="9"/>
      <c r="H512" s="8"/>
      <c r="I512" s="8"/>
      <c r="J512" s="8"/>
      <c r="K512" s="8"/>
      <c r="L512" s="8"/>
      <c r="M512" s="8"/>
      <c r="N512" s="8"/>
      <c r="O512" s="8"/>
      <c r="P512" s="8"/>
      <c r="Q512" s="8"/>
      <c r="R512" s="8"/>
      <c r="S512" s="8"/>
      <c r="T512" s="8"/>
      <c r="U512" s="12"/>
      <c r="V512" s="12"/>
      <c r="W512" s="12"/>
      <c r="X512" s="12"/>
      <c r="Y512" s="12"/>
      <c r="Z512" s="12"/>
      <c r="AA512" s="12"/>
      <c r="AB512" s="12"/>
      <c r="AC512" s="12"/>
      <c r="AD512" s="12"/>
      <c r="AE512" s="12"/>
      <c r="AF512" s="12"/>
    </row>
    <row r="513" spans="1:32" ht="13.2">
      <c r="A513" s="8"/>
      <c r="B513" s="8"/>
      <c r="C513" s="8"/>
      <c r="D513" s="8"/>
      <c r="E513" s="8"/>
      <c r="F513" s="8"/>
      <c r="G513" s="9"/>
      <c r="H513" s="8"/>
      <c r="I513" s="8"/>
      <c r="J513" s="8"/>
      <c r="K513" s="8"/>
      <c r="L513" s="8"/>
      <c r="M513" s="8"/>
      <c r="N513" s="8"/>
      <c r="O513" s="8"/>
      <c r="P513" s="8"/>
      <c r="Q513" s="8"/>
      <c r="R513" s="8"/>
      <c r="S513" s="8"/>
      <c r="T513" s="8"/>
      <c r="U513" s="12"/>
      <c r="V513" s="12"/>
      <c r="W513" s="12"/>
      <c r="X513" s="12"/>
      <c r="Y513" s="12"/>
      <c r="Z513" s="12"/>
      <c r="AA513" s="12"/>
      <c r="AB513" s="12"/>
      <c r="AC513" s="12"/>
      <c r="AD513" s="12"/>
      <c r="AE513" s="12"/>
      <c r="AF513" s="12"/>
    </row>
    <row r="514" spans="1:32" ht="13.2">
      <c r="A514" s="8"/>
      <c r="B514" s="8"/>
      <c r="C514" s="8"/>
      <c r="D514" s="8"/>
      <c r="E514" s="8"/>
      <c r="F514" s="8"/>
      <c r="G514" s="9"/>
      <c r="H514" s="8"/>
      <c r="I514" s="8"/>
      <c r="J514" s="8"/>
      <c r="K514" s="8"/>
      <c r="L514" s="8"/>
      <c r="M514" s="8"/>
      <c r="N514" s="8"/>
      <c r="O514" s="8"/>
      <c r="P514" s="8"/>
      <c r="Q514" s="8"/>
      <c r="R514" s="8"/>
      <c r="S514" s="8"/>
      <c r="T514" s="8"/>
      <c r="U514" s="12"/>
      <c r="V514" s="12"/>
      <c r="W514" s="12"/>
      <c r="X514" s="12"/>
      <c r="Y514" s="12"/>
      <c r="Z514" s="12"/>
      <c r="AA514" s="12"/>
      <c r="AB514" s="12"/>
      <c r="AC514" s="12"/>
      <c r="AD514" s="12"/>
      <c r="AE514" s="12"/>
      <c r="AF514" s="12"/>
    </row>
    <row r="515" spans="1:32" ht="13.2">
      <c r="A515" s="8"/>
      <c r="B515" s="8"/>
      <c r="C515" s="8"/>
      <c r="D515" s="8"/>
      <c r="E515" s="8"/>
      <c r="F515" s="8"/>
      <c r="G515" s="9"/>
      <c r="H515" s="8"/>
      <c r="I515" s="8"/>
      <c r="J515" s="8"/>
      <c r="K515" s="8"/>
      <c r="L515" s="8"/>
      <c r="M515" s="8"/>
      <c r="N515" s="8"/>
      <c r="O515" s="8"/>
      <c r="P515" s="8"/>
      <c r="Q515" s="8"/>
      <c r="R515" s="8"/>
      <c r="S515" s="8"/>
      <c r="T515" s="8"/>
      <c r="U515" s="12"/>
      <c r="V515" s="12"/>
      <c r="W515" s="12"/>
      <c r="X515" s="12"/>
      <c r="Y515" s="12"/>
      <c r="Z515" s="12"/>
      <c r="AA515" s="12"/>
      <c r="AB515" s="12"/>
      <c r="AC515" s="12"/>
      <c r="AD515" s="12"/>
      <c r="AE515" s="12"/>
      <c r="AF515" s="12"/>
    </row>
    <row r="516" spans="1:32" ht="13.2">
      <c r="A516" s="8"/>
      <c r="B516" s="8"/>
      <c r="C516" s="8"/>
      <c r="D516" s="8"/>
      <c r="E516" s="8"/>
      <c r="F516" s="8"/>
      <c r="G516" s="9"/>
      <c r="H516" s="8"/>
      <c r="I516" s="8"/>
      <c r="J516" s="8"/>
      <c r="K516" s="8"/>
      <c r="L516" s="8"/>
      <c r="M516" s="8"/>
      <c r="N516" s="8"/>
      <c r="O516" s="8"/>
      <c r="P516" s="8"/>
      <c r="Q516" s="8"/>
      <c r="R516" s="8"/>
      <c r="S516" s="8"/>
      <c r="T516" s="8"/>
      <c r="U516" s="12"/>
      <c r="V516" s="12"/>
      <c r="W516" s="12"/>
      <c r="X516" s="12"/>
      <c r="Y516" s="12"/>
      <c r="Z516" s="12"/>
      <c r="AA516" s="12"/>
      <c r="AB516" s="12"/>
      <c r="AC516" s="12"/>
      <c r="AD516" s="12"/>
      <c r="AE516" s="12"/>
      <c r="AF516" s="12"/>
    </row>
    <row r="517" spans="1:32" ht="13.2">
      <c r="A517" s="8"/>
      <c r="B517" s="8"/>
      <c r="C517" s="8"/>
      <c r="D517" s="8"/>
      <c r="E517" s="8"/>
      <c r="F517" s="8"/>
      <c r="G517" s="9"/>
      <c r="H517" s="8"/>
      <c r="I517" s="8"/>
      <c r="J517" s="8"/>
      <c r="K517" s="8"/>
      <c r="L517" s="8"/>
      <c r="M517" s="8"/>
      <c r="N517" s="8"/>
      <c r="O517" s="8"/>
      <c r="P517" s="8"/>
      <c r="Q517" s="8"/>
      <c r="R517" s="8"/>
      <c r="S517" s="8"/>
      <c r="T517" s="8"/>
      <c r="U517" s="12"/>
      <c r="V517" s="12"/>
      <c r="W517" s="12"/>
      <c r="X517" s="12"/>
      <c r="Y517" s="12"/>
      <c r="Z517" s="12"/>
      <c r="AA517" s="12"/>
      <c r="AB517" s="12"/>
      <c r="AC517" s="12"/>
      <c r="AD517" s="12"/>
      <c r="AE517" s="12"/>
      <c r="AF517" s="12"/>
    </row>
    <row r="518" spans="1:32" ht="13.2">
      <c r="A518" s="8"/>
      <c r="B518" s="8"/>
      <c r="C518" s="8"/>
      <c r="D518" s="8"/>
      <c r="E518" s="8"/>
      <c r="F518" s="8"/>
      <c r="G518" s="9"/>
      <c r="H518" s="8"/>
      <c r="I518" s="8"/>
      <c r="J518" s="8"/>
      <c r="K518" s="8"/>
      <c r="L518" s="8"/>
      <c r="M518" s="8"/>
      <c r="N518" s="8"/>
      <c r="O518" s="8"/>
      <c r="P518" s="8"/>
      <c r="Q518" s="8"/>
      <c r="R518" s="8"/>
      <c r="S518" s="8"/>
      <c r="T518" s="8"/>
      <c r="U518" s="12"/>
      <c r="V518" s="12"/>
      <c r="W518" s="12"/>
      <c r="X518" s="12"/>
      <c r="Y518" s="12"/>
      <c r="Z518" s="12"/>
      <c r="AA518" s="12"/>
      <c r="AB518" s="12"/>
      <c r="AC518" s="12"/>
      <c r="AD518" s="12"/>
      <c r="AE518" s="12"/>
      <c r="AF518" s="12"/>
    </row>
    <row r="519" spans="1:32" ht="13.2">
      <c r="A519" s="8"/>
      <c r="B519" s="8"/>
      <c r="C519" s="8"/>
      <c r="D519" s="8"/>
      <c r="E519" s="8"/>
      <c r="F519" s="8"/>
      <c r="G519" s="9"/>
      <c r="H519" s="8"/>
      <c r="I519" s="8"/>
      <c r="J519" s="8"/>
      <c r="K519" s="8"/>
      <c r="L519" s="8"/>
      <c r="M519" s="8"/>
      <c r="N519" s="8"/>
      <c r="O519" s="8"/>
      <c r="P519" s="8"/>
      <c r="Q519" s="8"/>
      <c r="R519" s="8"/>
      <c r="S519" s="8"/>
      <c r="T519" s="8"/>
      <c r="U519" s="12"/>
      <c r="V519" s="12"/>
      <c r="W519" s="12"/>
      <c r="X519" s="12"/>
      <c r="Y519" s="12"/>
      <c r="Z519" s="12"/>
      <c r="AA519" s="12"/>
      <c r="AB519" s="12"/>
      <c r="AC519" s="12"/>
      <c r="AD519" s="12"/>
      <c r="AE519" s="12"/>
      <c r="AF519" s="12"/>
    </row>
    <row r="520" spans="1:32" ht="13.2">
      <c r="A520" s="8"/>
      <c r="B520" s="8"/>
      <c r="C520" s="8"/>
      <c r="D520" s="8"/>
      <c r="E520" s="8"/>
      <c r="F520" s="8"/>
      <c r="G520" s="9"/>
      <c r="H520" s="8"/>
      <c r="I520" s="8"/>
      <c r="J520" s="8"/>
      <c r="K520" s="8"/>
      <c r="L520" s="8"/>
      <c r="M520" s="8"/>
      <c r="N520" s="8"/>
      <c r="O520" s="8"/>
      <c r="P520" s="8"/>
      <c r="Q520" s="8"/>
      <c r="R520" s="8"/>
      <c r="S520" s="8"/>
      <c r="T520" s="8"/>
      <c r="U520" s="12"/>
      <c r="V520" s="12"/>
      <c r="W520" s="12"/>
      <c r="X520" s="12"/>
      <c r="Y520" s="12"/>
      <c r="Z520" s="12"/>
      <c r="AA520" s="12"/>
      <c r="AB520" s="12"/>
      <c r="AC520" s="12"/>
      <c r="AD520" s="12"/>
      <c r="AE520" s="12"/>
      <c r="AF520" s="12"/>
    </row>
    <row r="521" spans="1:32" ht="13.2">
      <c r="A521" s="8"/>
      <c r="B521" s="8"/>
      <c r="C521" s="8"/>
      <c r="D521" s="8"/>
      <c r="E521" s="8"/>
      <c r="F521" s="8"/>
      <c r="G521" s="9"/>
      <c r="H521" s="8"/>
      <c r="I521" s="8"/>
      <c r="J521" s="8"/>
      <c r="K521" s="8"/>
      <c r="L521" s="8"/>
      <c r="M521" s="8"/>
      <c r="N521" s="8"/>
      <c r="O521" s="8"/>
      <c r="P521" s="8"/>
      <c r="Q521" s="8"/>
      <c r="R521" s="8"/>
      <c r="S521" s="8"/>
      <c r="T521" s="8"/>
      <c r="U521" s="12"/>
      <c r="V521" s="12"/>
      <c r="W521" s="12"/>
      <c r="X521" s="12"/>
      <c r="Y521" s="12"/>
      <c r="Z521" s="12"/>
      <c r="AA521" s="12"/>
      <c r="AB521" s="12"/>
      <c r="AC521" s="12"/>
      <c r="AD521" s="12"/>
      <c r="AE521" s="12"/>
      <c r="AF521" s="12"/>
    </row>
    <row r="522" spans="1:32" ht="13.2">
      <c r="A522" s="8"/>
      <c r="B522" s="8"/>
      <c r="C522" s="8"/>
      <c r="D522" s="8"/>
      <c r="E522" s="8"/>
      <c r="F522" s="8"/>
      <c r="G522" s="9"/>
      <c r="H522" s="8"/>
      <c r="I522" s="8"/>
      <c r="J522" s="8"/>
      <c r="K522" s="8"/>
      <c r="L522" s="8"/>
      <c r="M522" s="8"/>
      <c r="N522" s="8"/>
      <c r="O522" s="8"/>
      <c r="P522" s="8"/>
      <c r="Q522" s="8"/>
      <c r="R522" s="8"/>
      <c r="S522" s="8"/>
      <c r="T522" s="8"/>
      <c r="U522" s="12"/>
      <c r="V522" s="12"/>
      <c r="W522" s="12"/>
      <c r="X522" s="12"/>
      <c r="Y522" s="12"/>
      <c r="Z522" s="12"/>
      <c r="AA522" s="12"/>
      <c r="AB522" s="12"/>
      <c r="AC522" s="12"/>
      <c r="AD522" s="12"/>
      <c r="AE522" s="12"/>
      <c r="AF522" s="12"/>
    </row>
    <row r="523" spans="1:32" ht="13.2">
      <c r="A523" s="8"/>
      <c r="B523" s="8"/>
      <c r="C523" s="8"/>
      <c r="D523" s="8"/>
      <c r="E523" s="8"/>
      <c r="F523" s="8"/>
      <c r="G523" s="9"/>
      <c r="H523" s="8"/>
      <c r="I523" s="8"/>
      <c r="J523" s="8"/>
      <c r="K523" s="8"/>
      <c r="L523" s="8"/>
      <c r="M523" s="8"/>
      <c r="N523" s="8"/>
      <c r="O523" s="8"/>
      <c r="P523" s="8"/>
      <c r="Q523" s="8"/>
      <c r="R523" s="8"/>
      <c r="S523" s="8"/>
      <c r="T523" s="8"/>
      <c r="U523" s="12"/>
      <c r="V523" s="12"/>
      <c r="W523" s="12"/>
      <c r="X523" s="12"/>
      <c r="Y523" s="12"/>
      <c r="Z523" s="12"/>
      <c r="AA523" s="12"/>
      <c r="AB523" s="12"/>
      <c r="AC523" s="12"/>
      <c r="AD523" s="12"/>
      <c r="AE523" s="12"/>
      <c r="AF523" s="12"/>
    </row>
    <row r="524" spans="1:32" ht="13.2">
      <c r="A524" s="8"/>
      <c r="B524" s="8"/>
      <c r="C524" s="8"/>
      <c r="D524" s="8"/>
      <c r="E524" s="8"/>
      <c r="F524" s="8"/>
      <c r="G524" s="9"/>
      <c r="H524" s="8"/>
      <c r="I524" s="8"/>
      <c r="J524" s="8"/>
      <c r="K524" s="8"/>
      <c r="L524" s="8"/>
      <c r="M524" s="8"/>
      <c r="N524" s="8"/>
      <c r="O524" s="8"/>
      <c r="P524" s="8"/>
      <c r="Q524" s="8"/>
      <c r="R524" s="8"/>
      <c r="S524" s="8"/>
      <c r="T524" s="8"/>
      <c r="U524" s="12"/>
      <c r="V524" s="12"/>
      <c r="W524" s="12"/>
      <c r="X524" s="12"/>
      <c r="Y524" s="12"/>
      <c r="Z524" s="12"/>
      <c r="AA524" s="12"/>
      <c r="AB524" s="12"/>
      <c r="AC524" s="12"/>
      <c r="AD524" s="12"/>
      <c r="AE524" s="12"/>
      <c r="AF524" s="12"/>
    </row>
    <row r="525" spans="1:32" ht="13.2">
      <c r="A525" s="8"/>
      <c r="B525" s="8"/>
      <c r="C525" s="8"/>
      <c r="D525" s="8"/>
      <c r="E525" s="8"/>
      <c r="F525" s="8"/>
      <c r="G525" s="9"/>
      <c r="H525" s="8"/>
      <c r="I525" s="8"/>
      <c r="J525" s="8"/>
      <c r="K525" s="8"/>
      <c r="L525" s="8"/>
      <c r="M525" s="8"/>
      <c r="N525" s="8"/>
      <c r="O525" s="8"/>
      <c r="P525" s="8"/>
      <c r="Q525" s="8"/>
      <c r="R525" s="8"/>
      <c r="S525" s="8"/>
      <c r="T525" s="8"/>
      <c r="U525" s="12"/>
      <c r="V525" s="12"/>
      <c r="W525" s="12"/>
      <c r="X525" s="12"/>
      <c r="Y525" s="12"/>
      <c r="Z525" s="12"/>
      <c r="AA525" s="12"/>
      <c r="AB525" s="12"/>
      <c r="AC525" s="12"/>
      <c r="AD525" s="12"/>
      <c r="AE525" s="12"/>
      <c r="AF525" s="12"/>
    </row>
    <row r="526" spans="1:32" ht="13.2">
      <c r="A526" s="8"/>
      <c r="B526" s="8"/>
      <c r="C526" s="8"/>
      <c r="D526" s="8"/>
      <c r="E526" s="8"/>
      <c r="F526" s="8"/>
      <c r="G526" s="9"/>
      <c r="H526" s="8"/>
      <c r="I526" s="8"/>
      <c r="J526" s="8"/>
      <c r="K526" s="8"/>
      <c r="L526" s="8"/>
      <c r="M526" s="8"/>
      <c r="N526" s="8"/>
      <c r="O526" s="8"/>
      <c r="P526" s="8"/>
      <c r="Q526" s="8"/>
      <c r="R526" s="8"/>
      <c r="S526" s="8"/>
      <c r="T526" s="8"/>
      <c r="U526" s="12"/>
      <c r="V526" s="12"/>
      <c r="W526" s="12"/>
      <c r="X526" s="12"/>
      <c r="Y526" s="12"/>
      <c r="Z526" s="12"/>
      <c r="AA526" s="12"/>
      <c r="AB526" s="12"/>
      <c r="AC526" s="12"/>
      <c r="AD526" s="12"/>
      <c r="AE526" s="12"/>
      <c r="AF526" s="12"/>
    </row>
    <row r="527" spans="1:32" ht="13.2">
      <c r="A527" s="8"/>
      <c r="B527" s="8"/>
      <c r="C527" s="8"/>
      <c r="D527" s="8"/>
      <c r="E527" s="8"/>
      <c r="F527" s="8"/>
      <c r="G527" s="9"/>
      <c r="H527" s="8"/>
      <c r="I527" s="8"/>
      <c r="J527" s="8"/>
      <c r="K527" s="8"/>
      <c r="L527" s="8"/>
      <c r="M527" s="8"/>
      <c r="N527" s="8"/>
      <c r="O527" s="8"/>
      <c r="P527" s="8"/>
      <c r="Q527" s="8"/>
      <c r="R527" s="8"/>
      <c r="S527" s="8"/>
      <c r="T527" s="8"/>
      <c r="U527" s="12"/>
      <c r="V527" s="12"/>
      <c r="W527" s="12"/>
      <c r="X527" s="12"/>
      <c r="Y527" s="12"/>
      <c r="Z527" s="12"/>
      <c r="AA527" s="12"/>
      <c r="AB527" s="12"/>
      <c r="AC527" s="12"/>
      <c r="AD527" s="12"/>
      <c r="AE527" s="12"/>
      <c r="AF527" s="12"/>
    </row>
    <row r="528" spans="1:32" ht="13.2">
      <c r="A528" s="8"/>
      <c r="B528" s="8"/>
      <c r="C528" s="8"/>
      <c r="D528" s="8"/>
      <c r="E528" s="8"/>
      <c r="F528" s="8"/>
      <c r="G528" s="9"/>
      <c r="H528" s="8"/>
      <c r="I528" s="8"/>
      <c r="J528" s="8"/>
      <c r="K528" s="8"/>
      <c r="L528" s="8"/>
      <c r="M528" s="8"/>
      <c r="N528" s="8"/>
      <c r="O528" s="8"/>
      <c r="P528" s="8"/>
      <c r="Q528" s="8"/>
      <c r="R528" s="8"/>
      <c r="S528" s="8"/>
      <c r="T528" s="8"/>
      <c r="U528" s="12"/>
      <c r="V528" s="12"/>
      <c r="W528" s="12"/>
      <c r="X528" s="12"/>
      <c r="Y528" s="12"/>
      <c r="Z528" s="12"/>
      <c r="AA528" s="12"/>
      <c r="AB528" s="12"/>
      <c r="AC528" s="12"/>
      <c r="AD528" s="12"/>
      <c r="AE528" s="12"/>
      <c r="AF528" s="12"/>
    </row>
    <row r="529" spans="1:32" ht="13.2">
      <c r="A529" s="8"/>
      <c r="B529" s="8"/>
      <c r="C529" s="8"/>
      <c r="D529" s="8"/>
      <c r="E529" s="8"/>
      <c r="F529" s="8"/>
      <c r="G529" s="9"/>
      <c r="H529" s="8"/>
      <c r="I529" s="8"/>
      <c r="J529" s="8"/>
      <c r="K529" s="8"/>
      <c r="L529" s="8"/>
      <c r="M529" s="8"/>
      <c r="N529" s="8"/>
      <c r="O529" s="8"/>
      <c r="P529" s="8"/>
      <c r="Q529" s="8"/>
      <c r="R529" s="8"/>
      <c r="S529" s="8"/>
      <c r="T529" s="8"/>
      <c r="U529" s="12"/>
      <c r="V529" s="12"/>
      <c r="W529" s="12"/>
      <c r="X529" s="12"/>
      <c r="Y529" s="12"/>
      <c r="Z529" s="12"/>
      <c r="AA529" s="12"/>
      <c r="AB529" s="12"/>
      <c r="AC529" s="12"/>
      <c r="AD529" s="12"/>
      <c r="AE529" s="12"/>
      <c r="AF529" s="12"/>
    </row>
    <row r="530" spans="1:32" ht="13.2">
      <c r="A530" s="8"/>
      <c r="B530" s="8"/>
      <c r="C530" s="8"/>
      <c r="D530" s="8"/>
      <c r="E530" s="8"/>
      <c r="F530" s="8"/>
      <c r="G530" s="9"/>
      <c r="H530" s="8"/>
      <c r="I530" s="8"/>
      <c r="J530" s="8"/>
      <c r="K530" s="8"/>
      <c r="L530" s="8"/>
      <c r="M530" s="8"/>
      <c r="N530" s="8"/>
      <c r="O530" s="8"/>
      <c r="P530" s="8"/>
      <c r="Q530" s="8"/>
      <c r="R530" s="8"/>
      <c r="S530" s="8"/>
      <c r="T530" s="8"/>
      <c r="U530" s="12"/>
      <c r="V530" s="12"/>
      <c r="W530" s="12"/>
      <c r="X530" s="12"/>
      <c r="Y530" s="12"/>
      <c r="Z530" s="12"/>
      <c r="AA530" s="12"/>
      <c r="AB530" s="12"/>
      <c r="AC530" s="12"/>
      <c r="AD530" s="12"/>
      <c r="AE530" s="12"/>
      <c r="AF530" s="12"/>
    </row>
    <row r="531" spans="1:32" ht="13.2">
      <c r="A531" s="8"/>
      <c r="B531" s="8"/>
      <c r="C531" s="8"/>
      <c r="D531" s="8"/>
      <c r="E531" s="8"/>
      <c r="F531" s="8"/>
      <c r="G531" s="9"/>
      <c r="H531" s="8"/>
      <c r="I531" s="8"/>
      <c r="J531" s="8"/>
      <c r="K531" s="8"/>
      <c r="L531" s="8"/>
      <c r="M531" s="8"/>
      <c r="N531" s="8"/>
      <c r="O531" s="8"/>
      <c r="P531" s="8"/>
      <c r="Q531" s="8"/>
      <c r="R531" s="8"/>
      <c r="S531" s="8"/>
      <c r="T531" s="8"/>
      <c r="U531" s="12"/>
      <c r="V531" s="12"/>
      <c r="W531" s="12"/>
      <c r="X531" s="12"/>
      <c r="Y531" s="12"/>
      <c r="Z531" s="12"/>
      <c r="AA531" s="12"/>
      <c r="AB531" s="12"/>
      <c r="AC531" s="12"/>
      <c r="AD531" s="12"/>
      <c r="AE531" s="12"/>
      <c r="AF531" s="12"/>
    </row>
    <row r="532" spans="1:32" ht="13.2">
      <c r="A532" s="8"/>
      <c r="B532" s="8"/>
      <c r="C532" s="8"/>
      <c r="D532" s="8"/>
      <c r="E532" s="8"/>
      <c r="F532" s="8"/>
      <c r="G532" s="9"/>
      <c r="H532" s="8"/>
      <c r="I532" s="8"/>
      <c r="J532" s="8"/>
      <c r="K532" s="8"/>
      <c r="L532" s="8"/>
      <c r="M532" s="8"/>
      <c r="N532" s="8"/>
      <c r="O532" s="8"/>
      <c r="P532" s="8"/>
      <c r="Q532" s="8"/>
      <c r="R532" s="8"/>
      <c r="S532" s="8"/>
      <c r="T532" s="8"/>
      <c r="U532" s="12"/>
      <c r="V532" s="12"/>
      <c r="W532" s="12"/>
      <c r="X532" s="12"/>
      <c r="Y532" s="12"/>
      <c r="Z532" s="12"/>
      <c r="AA532" s="12"/>
      <c r="AB532" s="12"/>
      <c r="AC532" s="12"/>
      <c r="AD532" s="12"/>
      <c r="AE532" s="12"/>
      <c r="AF532" s="12"/>
    </row>
    <row r="533" spans="1:32" ht="13.2">
      <c r="A533" s="8"/>
      <c r="B533" s="8"/>
      <c r="C533" s="8"/>
      <c r="D533" s="8"/>
      <c r="E533" s="8"/>
      <c r="F533" s="8"/>
      <c r="G533" s="9"/>
      <c r="H533" s="8"/>
      <c r="I533" s="8"/>
      <c r="J533" s="8"/>
      <c r="K533" s="8"/>
      <c r="L533" s="8"/>
      <c r="M533" s="8"/>
      <c r="N533" s="8"/>
      <c r="O533" s="8"/>
      <c r="P533" s="8"/>
      <c r="Q533" s="8"/>
      <c r="R533" s="8"/>
      <c r="S533" s="8"/>
      <c r="T533" s="8"/>
      <c r="U533" s="12"/>
      <c r="V533" s="12"/>
      <c r="W533" s="12"/>
      <c r="X533" s="12"/>
      <c r="Y533" s="12"/>
      <c r="Z533" s="12"/>
      <c r="AA533" s="12"/>
      <c r="AB533" s="12"/>
      <c r="AC533" s="12"/>
      <c r="AD533" s="12"/>
      <c r="AE533" s="12"/>
      <c r="AF533" s="12"/>
    </row>
    <row r="534" spans="1:32" ht="13.2">
      <c r="A534" s="8"/>
      <c r="B534" s="8"/>
      <c r="C534" s="8"/>
      <c r="D534" s="8"/>
      <c r="E534" s="8"/>
      <c r="F534" s="8"/>
      <c r="G534" s="9"/>
      <c r="H534" s="8"/>
      <c r="I534" s="8"/>
      <c r="J534" s="8"/>
      <c r="K534" s="8"/>
      <c r="L534" s="8"/>
      <c r="M534" s="8"/>
      <c r="N534" s="8"/>
      <c r="O534" s="8"/>
      <c r="P534" s="8"/>
      <c r="Q534" s="8"/>
      <c r="R534" s="8"/>
      <c r="S534" s="8"/>
      <c r="T534" s="8"/>
      <c r="U534" s="12"/>
      <c r="V534" s="12"/>
      <c r="W534" s="12"/>
      <c r="X534" s="12"/>
      <c r="Y534" s="12"/>
      <c r="Z534" s="12"/>
      <c r="AA534" s="12"/>
      <c r="AB534" s="12"/>
      <c r="AC534" s="12"/>
      <c r="AD534" s="12"/>
      <c r="AE534" s="12"/>
      <c r="AF534" s="12"/>
    </row>
    <row r="535" spans="1:32" ht="13.2">
      <c r="A535" s="8"/>
      <c r="B535" s="8"/>
      <c r="C535" s="8"/>
      <c r="D535" s="8"/>
      <c r="E535" s="8"/>
      <c r="F535" s="8"/>
      <c r="G535" s="9"/>
      <c r="H535" s="8"/>
      <c r="I535" s="8"/>
      <c r="J535" s="8"/>
      <c r="K535" s="8"/>
      <c r="L535" s="8"/>
      <c r="M535" s="8"/>
      <c r="N535" s="8"/>
      <c r="O535" s="8"/>
      <c r="P535" s="8"/>
      <c r="Q535" s="8"/>
      <c r="R535" s="8"/>
      <c r="S535" s="8"/>
      <c r="T535" s="8"/>
      <c r="U535" s="12"/>
      <c r="V535" s="12"/>
      <c r="W535" s="12"/>
      <c r="X535" s="12"/>
      <c r="Y535" s="12"/>
      <c r="Z535" s="12"/>
      <c r="AA535" s="12"/>
      <c r="AB535" s="12"/>
      <c r="AC535" s="12"/>
      <c r="AD535" s="12"/>
      <c r="AE535" s="12"/>
      <c r="AF535" s="12"/>
    </row>
    <row r="536" spans="1:32" ht="13.2">
      <c r="A536" s="8"/>
      <c r="B536" s="8"/>
      <c r="C536" s="8"/>
      <c r="D536" s="8"/>
      <c r="E536" s="8"/>
      <c r="F536" s="8"/>
      <c r="G536" s="9"/>
      <c r="H536" s="8"/>
      <c r="I536" s="8"/>
      <c r="J536" s="8"/>
      <c r="K536" s="8"/>
      <c r="L536" s="8"/>
      <c r="M536" s="8"/>
      <c r="N536" s="8"/>
      <c r="O536" s="8"/>
      <c r="P536" s="8"/>
      <c r="Q536" s="8"/>
      <c r="R536" s="8"/>
      <c r="S536" s="8"/>
      <c r="T536" s="8"/>
      <c r="U536" s="12"/>
      <c r="V536" s="12"/>
      <c r="W536" s="12"/>
      <c r="X536" s="12"/>
      <c r="Y536" s="12"/>
      <c r="Z536" s="12"/>
      <c r="AA536" s="12"/>
      <c r="AB536" s="12"/>
      <c r="AC536" s="12"/>
      <c r="AD536" s="12"/>
      <c r="AE536" s="12"/>
      <c r="AF536" s="12"/>
    </row>
    <row r="537" spans="1:32" ht="13.2">
      <c r="A537" s="8"/>
      <c r="B537" s="8"/>
      <c r="C537" s="8"/>
      <c r="D537" s="8"/>
      <c r="E537" s="8"/>
      <c r="F537" s="8"/>
      <c r="G537" s="9"/>
      <c r="H537" s="8"/>
      <c r="I537" s="8"/>
      <c r="J537" s="8"/>
      <c r="K537" s="8"/>
      <c r="L537" s="8"/>
      <c r="M537" s="8"/>
      <c r="N537" s="8"/>
      <c r="O537" s="8"/>
      <c r="P537" s="8"/>
      <c r="Q537" s="8"/>
      <c r="R537" s="8"/>
      <c r="S537" s="8"/>
      <c r="T537" s="8"/>
      <c r="U537" s="12"/>
      <c r="V537" s="12"/>
      <c r="W537" s="12"/>
      <c r="X537" s="12"/>
      <c r="Y537" s="12"/>
      <c r="Z537" s="12"/>
      <c r="AA537" s="12"/>
      <c r="AB537" s="12"/>
      <c r="AC537" s="12"/>
      <c r="AD537" s="12"/>
      <c r="AE537" s="12"/>
      <c r="AF537" s="12"/>
    </row>
    <row r="538" spans="1:32" ht="13.2">
      <c r="A538" s="8"/>
      <c r="B538" s="8"/>
      <c r="C538" s="8"/>
      <c r="D538" s="8"/>
      <c r="E538" s="8"/>
      <c r="F538" s="8"/>
      <c r="G538" s="9"/>
      <c r="H538" s="8"/>
      <c r="I538" s="8"/>
      <c r="J538" s="8"/>
      <c r="K538" s="8"/>
      <c r="L538" s="8"/>
      <c r="M538" s="8"/>
      <c r="N538" s="8"/>
      <c r="O538" s="8"/>
      <c r="P538" s="8"/>
      <c r="Q538" s="8"/>
      <c r="R538" s="8"/>
      <c r="S538" s="8"/>
      <c r="T538" s="8"/>
      <c r="U538" s="12"/>
      <c r="V538" s="12"/>
      <c r="W538" s="12"/>
      <c r="X538" s="12"/>
      <c r="Y538" s="12"/>
      <c r="Z538" s="12"/>
      <c r="AA538" s="12"/>
      <c r="AB538" s="12"/>
      <c r="AC538" s="12"/>
      <c r="AD538" s="12"/>
      <c r="AE538" s="12"/>
      <c r="AF538" s="12"/>
    </row>
    <row r="539" spans="1:32" ht="13.2">
      <c r="A539" s="8"/>
      <c r="B539" s="8"/>
      <c r="C539" s="8"/>
      <c r="D539" s="8"/>
      <c r="E539" s="8"/>
      <c r="F539" s="8"/>
      <c r="G539" s="9"/>
      <c r="H539" s="8"/>
      <c r="I539" s="8"/>
      <c r="J539" s="8"/>
      <c r="K539" s="8"/>
      <c r="L539" s="8"/>
      <c r="M539" s="8"/>
      <c r="N539" s="8"/>
      <c r="O539" s="8"/>
      <c r="P539" s="8"/>
      <c r="Q539" s="8"/>
      <c r="R539" s="8"/>
      <c r="S539" s="8"/>
      <c r="T539" s="8"/>
      <c r="U539" s="12"/>
      <c r="V539" s="12"/>
      <c r="W539" s="12"/>
      <c r="X539" s="12"/>
      <c r="Y539" s="12"/>
      <c r="Z539" s="12"/>
      <c r="AA539" s="12"/>
      <c r="AB539" s="12"/>
      <c r="AC539" s="12"/>
      <c r="AD539" s="12"/>
      <c r="AE539" s="12"/>
      <c r="AF539" s="12"/>
    </row>
    <row r="540" spans="1:32" ht="13.2">
      <c r="A540" s="8"/>
      <c r="B540" s="8"/>
      <c r="C540" s="8"/>
      <c r="D540" s="8"/>
      <c r="E540" s="8"/>
      <c r="F540" s="8"/>
      <c r="G540" s="9"/>
      <c r="H540" s="8"/>
      <c r="I540" s="8"/>
      <c r="J540" s="8"/>
      <c r="K540" s="8"/>
      <c r="L540" s="8"/>
      <c r="M540" s="8"/>
      <c r="N540" s="8"/>
      <c r="O540" s="8"/>
      <c r="P540" s="8"/>
      <c r="Q540" s="8"/>
      <c r="R540" s="8"/>
      <c r="S540" s="8"/>
      <c r="T540" s="8"/>
      <c r="U540" s="12"/>
      <c r="V540" s="12"/>
      <c r="W540" s="12"/>
      <c r="X540" s="12"/>
      <c r="Y540" s="12"/>
      <c r="Z540" s="12"/>
      <c r="AA540" s="12"/>
      <c r="AB540" s="12"/>
      <c r="AC540" s="12"/>
      <c r="AD540" s="12"/>
      <c r="AE540" s="12"/>
      <c r="AF540" s="12"/>
    </row>
    <row r="541" spans="1:32" ht="13.2">
      <c r="A541" s="8"/>
      <c r="B541" s="8"/>
      <c r="C541" s="8"/>
      <c r="D541" s="8"/>
      <c r="E541" s="8"/>
      <c r="F541" s="8"/>
      <c r="G541" s="9"/>
      <c r="H541" s="8"/>
      <c r="I541" s="8"/>
      <c r="J541" s="8"/>
      <c r="K541" s="8"/>
      <c r="L541" s="8"/>
      <c r="M541" s="8"/>
      <c r="N541" s="8"/>
      <c r="O541" s="8"/>
      <c r="P541" s="8"/>
      <c r="Q541" s="8"/>
      <c r="R541" s="8"/>
      <c r="S541" s="8"/>
      <c r="T541" s="8"/>
      <c r="U541" s="12"/>
      <c r="V541" s="12"/>
      <c r="W541" s="12"/>
      <c r="X541" s="12"/>
      <c r="Y541" s="12"/>
      <c r="Z541" s="12"/>
      <c r="AA541" s="12"/>
      <c r="AB541" s="12"/>
      <c r="AC541" s="12"/>
      <c r="AD541" s="12"/>
      <c r="AE541" s="12"/>
      <c r="AF541" s="12"/>
    </row>
    <row r="542" spans="1:32" ht="13.2">
      <c r="A542" s="8"/>
      <c r="B542" s="8"/>
      <c r="C542" s="8"/>
      <c r="D542" s="8"/>
      <c r="E542" s="8"/>
      <c r="F542" s="8"/>
      <c r="G542" s="9"/>
      <c r="H542" s="8"/>
      <c r="I542" s="8"/>
      <c r="J542" s="8"/>
      <c r="K542" s="8"/>
      <c r="L542" s="8"/>
      <c r="M542" s="8"/>
      <c r="N542" s="8"/>
      <c r="O542" s="8"/>
      <c r="P542" s="8"/>
      <c r="Q542" s="8"/>
      <c r="R542" s="8"/>
      <c r="S542" s="8"/>
      <c r="T542" s="8"/>
      <c r="U542" s="12"/>
      <c r="V542" s="12"/>
      <c r="W542" s="12"/>
      <c r="X542" s="12"/>
      <c r="Y542" s="12"/>
      <c r="Z542" s="12"/>
      <c r="AA542" s="12"/>
      <c r="AB542" s="12"/>
      <c r="AC542" s="12"/>
      <c r="AD542" s="12"/>
      <c r="AE542" s="12"/>
      <c r="AF542" s="12"/>
    </row>
    <row r="543" spans="1:32" ht="13.2">
      <c r="A543" s="8"/>
      <c r="B543" s="8"/>
      <c r="C543" s="8"/>
      <c r="D543" s="8"/>
      <c r="E543" s="8"/>
      <c r="F543" s="8"/>
      <c r="G543" s="9"/>
      <c r="H543" s="8"/>
      <c r="I543" s="8"/>
      <c r="J543" s="8"/>
      <c r="K543" s="8"/>
      <c r="L543" s="8"/>
      <c r="M543" s="8"/>
      <c r="N543" s="8"/>
      <c r="O543" s="8"/>
      <c r="P543" s="8"/>
      <c r="Q543" s="8"/>
      <c r="R543" s="8"/>
      <c r="S543" s="8"/>
      <c r="T543" s="8"/>
      <c r="U543" s="12"/>
      <c r="V543" s="12"/>
      <c r="W543" s="12"/>
      <c r="X543" s="12"/>
      <c r="Y543" s="12"/>
      <c r="Z543" s="12"/>
      <c r="AA543" s="12"/>
      <c r="AB543" s="12"/>
      <c r="AC543" s="12"/>
      <c r="AD543" s="12"/>
      <c r="AE543" s="12"/>
      <c r="AF543" s="12"/>
    </row>
    <row r="544" spans="1:32" ht="13.2">
      <c r="A544" s="8"/>
      <c r="B544" s="8"/>
      <c r="C544" s="8"/>
      <c r="D544" s="8"/>
      <c r="E544" s="8"/>
      <c r="F544" s="8"/>
      <c r="G544" s="9"/>
      <c r="H544" s="8"/>
      <c r="I544" s="8"/>
      <c r="J544" s="8"/>
      <c r="K544" s="8"/>
      <c r="L544" s="8"/>
      <c r="M544" s="8"/>
      <c r="N544" s="8"/>
      <c r="O544" s="8"/>
      <c r="P544" s="8"/>
      <c r="Q544" s="8"/>
      <c r="R544" s="8"/>
      <c r="S544" s="8"/>
      <c r="T544" s="8"/>
      <c r="U544" s="12"/>
      <c r="V544" s="12"/>
      <c r="W544" s="12"/>
      <c r="X544" s="12"/>
      <c r="Y544" s="12"/>
      <c r="Z544" s="12"/>
      <c r="AA544" s="12"/>
      <c r="AB544" s="12"/>
      <c r="AC544" s="12"/>
      <c r="AD544" s="12"/>
      <c r="AE544" s="12"/>
      <c r="AF544" s="12"/>
    </row>
    <row r="545" spans="1:32" ht="13.2">
      <c r="A545" s="8"/>
      <c r="B545" s="8"/>
      <c r="C545" s="8"/>
      <c r="D545" s="8"/>
      <c r="E545" s="8"/>
      <c r="F545" s="8"/>
      <c r="G545" s="9"/>
      <c r="H545" s="8"/>
      <c r="I545" s="8"/>
      <c r="J545" s="8"/>
      <c r="K545" s="8"/>
      <c r="L545" s="8"/>
      <c r="M545" s="8"/>
      <c r="N545" s="8"/>
      <c r="O545" s="8"/>
      <c r="P545" s="8"/>
      <c r="Q545" s="8"/>
      <c r="R545" s="8"/>
      <c r="S545" s="8"/>
      <c r="T545" s="8"/>
      <c r="U545" s="12"/>
      <c r="V545" s="12"/>
      <c r="W545" s="12"/>
      <c r="X545" s="12"/>
      <c r="Y545" s="12"/>
      <c r="Z545" s="12"/>
      <c r="AA545" s="12"/>
      <c r="AB545" s="12"/>
      <c r="AC545" s="12"/>
      <c r="AD545" s="12"/>
      <c r="AE545" s="12"/>
      <c r="AF545" s="12"/>
    </row>
    <row r="546" spans="1:32" ht="13.2">
      <c r="A546" s="8"/>
      <c r="B546" s="8"/>
      <c r="C546" s="8"/>
      <c r="D546" s="8"/>
      <c r="E546" s="8"/>
      <c r="F546" s="8"/>
      <c r="G546" s="9"/>
      <c r="H546" s="8"/>
      <c r="I546" s="8"/>
      <c r="J546" s="8"/>
      <c r="K546" s="8"/>
      <c r="L546" s="8"/>
      <c r="M546" s="8"/>
      <c r="N546" s="8"/>
      <c r="O546" s="8"/>
      <c r="P546" s="8"/>
      <c r="Q546" s="8"/>
      <c r="R546" s="8"/>
      <c r="S546" s="8"/>
      <c r="T546" s="8"/>
      <c r="U546" s="12"/>
      <c r="V546" s="12"/>
      <c r="W546" s="12"/>
      <c r="X546" s="12"/>
      <c r="Y546" s="12"/>
      <c r="Z546" s="12"/>
      <c r="AA546" s="12"/>
      <c r="AB546" s="12"/>
      <c r="AC546" s="12"/>
      <c r="AD546" s="12"/>
      <c r="AE546" s="12"/>
      <c r="AF546" s="12"/>
    </row>
    <row r="547" spans="1:32" ht="13.2">
      <c r="A547" s="8"/>
      <c r="B547" s="8"/>
      <c r="C547" s="8"/>
      <c r="D547" s="8"/>
      <c r="E547" s="8"/>
      <c r="F547" s="8"/>
      <c r="G547" s="9"/>
      <c r="H547" s="8"/>
      <c r="I547" s="8"/>
      <c r="J547" s="8"/>
      <c r="K547" s="8"/>
      <c r="L547" s="8"/>
      <c r="M547" s="8"/>
      <c r="N547" s="8"/>
      <c r="O547" s="8"/>
      <c r="P547" s="8"/>
      <c r="Q547" s="8"/>
      <c r="R547" s="8"/>
      <c r="S547" s="8"/>
      <c r="T547" s="8"/>
      <c r="U547" s="12"/>
      <c r="V547" s="12"/>
      <c r="W547" s="12"/>
      <c r="X547" s="12"/>
      <c r="Y547" s="12"/>
      <c r="Z547" s="12"/>
      <c r="AA547" s="12"/>
      <c r="AB547" s="12"/>
      <c r="AC547" s="12"/>
      <c r="AD547" s="12"/>
      <c r="AE547" s="12"/>
      <c r="AF547" s="12"/>
    </row>
    <row r="548" spans="1:32" ht="13.2">
      <c r="A548" s="8"/>
      <c r="B548" s="8"/>
      <c r="C548" s="8"/>
      <c r="D548" s="8"/>
      <c r="E548" s="8"/>
      <c r="F548" s="8"/>
      <c r="G548" s="9"/>
      <c r="H548" s="8"/>
      <c r="I548" s="8"/>
      <c r="J548" s="8"/>
      <c r="K548" s="8"/>
      <c r="L548" s="8"/>
      <c r="M548" s="8"/>
      <c r="N548" s="8"/>
      <c r="O548" s="8"/>
      <c r="P548" s="8"/>
      <c r="Q548" s="8"/>
      <c r="R548" s="8"/>
      <c r="S548" s="8"/>
      <c r="T548" s="8"/>
      <c r="U548" s="12"/>
      <c r="V548" s="12"/>
      <c r="W548" s="12"/>
      <c r="X548" s="12"/>
      <c r="Y548" s="12"/>
      <c r="Z548" s="12"/>
      <c r="AA548" s="12"/>
      <c r="AB548" s="12"/>
      <c r="AC548" s="12"/>
      <c r="AD548" s="12"/>
      <c r="AE548" s="12"/>
      <c r="AF548" s="12"/>
    </row>
    <row r="549" spans="1:32" ht="13.2">
      <c r="A549" s="8"/>
      <c r="B549" s="8"/>
      <c r="C549" s="8"/>
      <c r="D549" s="8"/>
      <c r="E549" s="8"/>
      <c r="F549" s="8"/>
      <c r="G549" s="9"/>
      <c r="H549" s="8"/>
      <c r="I549" s="8"/>
      <c r="J549" s="8"/>
      <c r="K549" s="8"/>
      <c r="L549" s="8"/>
      <c r="M549" s="8"/>
      <c r="N549" s="8"/>
      <c r="O549" s="8"/>
      <c r="P549" s="8"/>
      <c r="Q549" s="8"/>
      <c r="R549" s="8"/>
      <c r="S549" s="8"/>
      <c r="T549" s="8"/>
      <c r="U549" s="12"/>
      <c r="V549" s="12"/>
      <c r="W549" s="12"/>
      <c r="X549" s="12"/>
      <c r="Y549" s="12"/>
      <c r="Z549" s="12"/>
      <c r="AA549" s="12"/>
      <c r="AB549" s="12"/>
      <c r="AC549" s="12"/>
      <c r="AD549" s="12"/>
      <c r="AE549" s="12"/>
      <c r="AF549" s="12"/>
    </row>
    <row r="550" spans="1:32" ht="13.2">
      <c r="A550" s="8"/>
      <c r="B550" s="8"/>
      <c r="C550" s="8"/>
      <c r="D550" s="8"/>
      <c r="E550" s="8"/>
      <c r="F550" s="8"/>
      <c r="G550" s="9"/>
      <c r="H550" s="8"/>
      <c r="I550" s="8"/>
      <c r="J550" s="8"/>
      <c r="K550" s="8"/>
      <c r="L550" s="8"/>
      <c r="M550" s="8"/>
      <c r="N550" s="8"/>
      <c r="O550" s="8"/>
      <c r="P550" s="8"/>
      <c r="Q550" s="8"/>
      <c r="R550" s="8"/>
      <c r="S550" s="8"/>
      <c r="T550" s="8"/>
      <c r="U550" s="12"/>
      <c r="V550" s="12"/>
      <c r="W550" s="12"/>
      <c r="X550" s="12"/>
      <c r="Y550" s="12"/>
      <c r="Z550" s="12"/>
      <c r="AA550" s="12"/>
      <c r="AB550" s="12"/>
      <c r="AC550" s="12"/>
      <c r="AD550" s="12"/>
      <c r="AE550" s="12"/>
      <c r="AF550" s="12"/>
    </row>
    <row r="551" spans="1:32" ht="13.2">
      <c r="A551" s="8"/>
      <c r="B551" s="8"/>
      <c r="C551" s="8"/>
      <c r="D551" s="8"/>
      <c r="E551" s="8"/>
      <c r="F551" s="8"/>
      <c r="G551" s="9"/>
      <c r="H551" s="8"/>
      <c r="I551" s="8"/>
      <c r="J551" s="8"/>
      <c r="K551" s="8"/>
      <c r="L551" s="8"/>
      <c r="M551" s="8"/>
      <c r="N551" s="8"/>
      <c r="O551" s="8"/>
      <c r="P551" s="8"/>
      <c r="Q551" s="8"/>
      <c r="R551" s="8"/>
      <c r="S551" s="8"/>
      <c r="T551" s="8"/>
      <c r="U551" s="12"/>
      <c r="V551" s="12"/>
      <c r="W551" s="12"/>
      <c r="X551" s="12"/>
      <c r="Y551" s="12"/>
      <c r="Z551" s="12"/>
      <c r="AA551" s="12"/>
      <c r="AB551" s="12"/>
      <c r="AC551" s="12"/>
      <c r="AD551" s="12"/>
      <c r="AE551" s="12"/>
      <c r="AF551" s="12"/>
    </row>
    <row r="552" spans="1:32" ht="13.2">
      <c r="A552" s="8"/>
      <c r="B552" s="8"/>
      <c r="C552" s="8"/>
      <c r="D552" s="8"/>
      <c r="E552" s="8"/>
      <c r="F552" s="8"/>
      <c r="G552" s="9"/>
      <c r="H552" s="8"/>
      <c r="I552" s="8"/>
      <c r="J552" s="8"/>
      <c r="K552" s="8"/>
      <c r="L552" s="8"/>
      <c r="M552" s="8"/>
      <c r="N552" s="8"/>
      <c r="O552" s="8"/>
      <c r="P552" s="8"/>
      <c r="Q552" s="8"/>
      <c r="R552" s="8"/>
      <c r="S552" s="8"/>
      <c r="T552" s="8"/>
      <c r="U552" s="12"/>
      <c r="V552" s="12"/>
      <c r="W552" s="12"/>
      <c r="X552" s="12"/>
      <c r="Y552" s="12"/>
      <c r="Z552" s="12"/>
      <c r="AA552" s="12"/>
      <c r="AB552" s="12"/>
      <c r="AC552" s="12"/>
      <c r="AD552" s="12"/>
      <c r="AE552" s="12"/>
      <c r="AF552" s="12"/>
    </row>
    <row r="553" spans="1:32" ht="13.2">
      <c r="A553" s="8"/>
      <c r="B553" s="8"/>
      <c r="C553" s="8"/>
      <c r="D553" s="8"/>
      <c r="E553" s="8"/>
      <c r="F553" s="8"/>
      <c r="G553" s="9"/>
      <c r="H553" s="8"/>
      <c r="I553" s="8"/>
      <c r="J553" s="8"/>
      <c r="K553" s="8"/>
      <c r="L553" s="8"/>
      <c r="M553" s="8"/>
      <c r="N553" s="8"/>
      <c r="O553" s="8"/>
      <c r="P553" s="8"/>
      <c r="Q553" s="8"/>
      <c r="R553" s="8"/>
      <c r="S553" s="8"/>
      <c r="T553" s="8"/>
      <c r="U553" s="12"/>
      <c r="V553" s="12"/>
      <c r="W553" s="12"/>
      <c r="X553" s="12"/>
      <c r="Y553" s="12"/>
      <c r="Z553" s="12"/>
      <c r="AA553" s="12"/>
      <c r="AB553" s="12"/>
      <c r="AC553" s="12"/>
      <c r="AD553" s="12"/>
      <c r="AE553" s="12"/>
      <c r="AF553" s="12"/>
    </row>
    <row r="554" spans="1:32" ht="13.2">
      <c r="A554" s="8"/>
      <c r="B554" s="8"/>
      <c r="C554" s="8"/>
      <c r="D554" s="8"/>
      <c r="E554" s="8"/>
      <c r="F554" s="8"/>
      <c r="G554" s="9"/>
      <c r="H554" s="8"/>
      <c r="I554" s="8"/>
      <c r="J554" s="8"/>
      <c r="K554" s="8"/>
      <c r="L554" s="8"/>
      <c r="M554" s="8"/>
      <c r="N554" s="8"/>
      <c r="O554" s="8"/>
      <c r="P554" s="8"/>
      <c r="Q554" s="8"/>
      <c r="R554" s="8"/>
      <c r="S554" s="8"/>
      <c r="T554" s="8"/>
      <c r="U554" s="12"/>
      <c r="V554" s="12"/>
      <c r="W554" s="12"/>
      <c r="X554" s="12"/>
      <c r="Y554" s="12"/>
      <c r="Z554" s="12"/>
      <c r="AA554" s="12"/>
      <c r="AB554" s="12"/>
      <c r="AC554" s="12"/>
      <c r="AD554" s="12"/>
      <c r="AE554" s="12"/>
      <c r="AF554" s="12"/>
    </row>
    <row r="555" spans="1:32" ht="13.2">
      <c r="A555" s="8"/>
      <c r="B555" s="8"/>
      <c r="C555" s="8"/>
      <c r="D555" s="8"/>
      <c r="E555" s="8"/>
      <c r="F555" s="8"/>
      <c r="G555" s="9"/>
      <c r="H555" s="8"/>
      <c r="I555" s="8"/>
      <c r="J555" s="8"/>
      <c r="K555" s="8"/>
      <c r="L555" s="8"/>
      <c r="M555" s="8"/>
      <c r="N555" s="8"/>
      <c r="O555" s="8"/>
      <c r="P555" s="8"/>
      <c r="Q555" s="8"/>
      <c r="R555" s="8"/>
      <c r="S555" s="8"/>
      <c r="T555" s="8"/>
      <c r="U555" s="12"/>
      <c r="V555" s="12"/>
      <c r="W555" s="12"/>
      <c r="X555" s="12"/>
      <c r="Y555" s="12"/>
      <c r="Z555" s="12"/>
      <c r="AA555" s="12"/>
      <c r="AB555" s="12"/>
      <c r="AC555" s="12"/>
      <c r="AD555" s="12"/>
      <c r="AE555" s="12"/>
      <c r="AF555" s="12"/>
    </row>
    <row r="556" spans="1:32" ht="13.2">
      <c r="A556" s="8"/>
      <c r="B556" s="8"/>
      <c r="C556" s="8"/>
      <c r="D556" s="8"/>
      <c r="E556" s="8"/>
      <c r="F556" s="8"/>
      <c r="G556" s="9"/>
      <c r="H556" s="8"/>
      <c r="I556" s="8"/>
      <c r="J556" s="8"/>
      <c r="K556" s="8"/>
      <c r="L556" s="8"/>
      <c r="M556" s="8"/>
      <c r="N556" s="8"/>
      <c r="O556" s="8"/>
      <c r="P556" s="8"/>
      <c r="Q556" s="8"/>
      <c r="R556" s="8"/>
      <c r="S556" s="8"/>
      <c r="T556" s="8"/>
      <c r="U556" s="12"/>
      <c r="V556" s="12"/>
      <c r="W556" s="12"/>
      <c r="X556" s="12"/>
      <c r="Y556" s="12"/>
      <c r="Z556" s="12"/>
      <c r="AA556" s="12"/>
      <c r="AB556" s="12"/>
      <c r="AC556" s="12"/>
      <c r="AD556" s="12"/>
      <c r="AE556" s="12"/>
      <c r="AF556" s="12"/>
    </row>
    <row r="557" spans="1:32" ht="13.2">
      <c r="A557" s="8"/>
      <c r="B557" s="8"/>
      <c r="C557" s="8"/>
      <c r="D557" s="8"/>
      <c r="E557" s="8"/>
      <c r="F557" s="8"/>
      <c r="G557" s="9"/>
      <c r="H557" s="8"/>
      <c r="I557" s="8"/>
      <c r="J557" s="8"/>
      <c r="K557" s="8"/>
      <c r="L557" s="8"/>
      <c r="M557" s="8"/>
      <c r="N557" s="8"/>
      <c r="O557" s="8"/>
      <c r="P557" s="8"/>
      <c r="Q557" s="8"/>
      <c r="R557" s="8"/>
      <c r="S557" s="8"/>
      <c r="T557" s="8"/>
      <c r="U557" s="12"/>
      <c r="V557" s="12"/>
      <c r="W557" s="12"/>
      <c r="X557" s="12"/>
      <c r="Y557" s="12"/>
      <c r="Z557" s="12"/>
      <c r="AA557" s="12"/>
      <c r="AB557" s="12"/>
      <c r="AC557" s="12"/>
      <c r="AD557" s="12"/>
      <c r="AE557" s="12"/>
      <c r="AF557" s="12"/>
    </row>
    <row r="558" spans="1:32" ht="13.2">
      <c r="A558" s="8"/>
      <c r="B558" s="8"/>
      <c r="C558" s="8"/>
      <c r="D558" s="8"/>
      <c r="E558" s="8"/>
      <c r="F558" s="8"/>
      <c r="G558" s="9"/>
      <c r="H558" s="8"/>
      <c r="I558" s="8"/>
      <c r="J558" s="8"/>
      <c r="K558" s="8"/>
      <c r="L558" s="8"/>
      <c r="M558" s="8"/>
      <c r="N558" s="8"/>
      <c r="O558" s="8"/>
      <c r="P558" s="8"/>
      <c r="Q558" s="8"/>
      <c r="R558" s="8"/>
      <c r="S558" s="8"/>
      <c r="T558" s="8"/>
      <c r="U558" s="12"/>
      <c r="V558" s="12"/>
      <c r="W558" s="12"/>
      <c r="X558" s="12"/>
      <c r="Y558" s="12"/>
      <c r="Z558" s="12"/>
      <c r="AA558" s="12"/>
      <c r="AB558" s="12"/>
      <c r="AC558" s="12"/>
      <c r="AD558" s="12"/>
      <c r="AE558" s="12"/>
      <c r="AF558" s="12"/>
    </row>
    <row r="559" spans="1:32" ht="13.2">
      <c r="A559" s="8"/>
      <c r="B559" s="8"/>
      <c r="C559" s="8"/>
      <c r="D559" s="8"/>
      <c r="E559" s="8"/>
      <c r="F559" s="8"/>
      <c r="G559" s="9"/>
      <c r="H559" s="8"/>
      <c r="I559" s="8"/>
      <c r="J559" s="8"/>
      <c r="K559" s="8"/>
      <c r="L559" s="8"/>
      <c r="M559" s="8"/>
      <c r="N559" s="8"/>
      <c r="O559" s="8"/>
      <c r="P559" s="8"/>
      <c r="Q559" s="8"/>
      <c r="R559" s="8"/>
      <c r="S559" s="8"/>
      <c r="T559" s="8"/>
      <c r="U559" s="12"/>
      <c r="V559" s="12"/>
      <c r="W559" s="12"/>
      <c r="X559" s="12"/>
      <c r="Y559" s="12"/>
      <c r="Z559" s="12"/>
      <c r="AA559" s="12"/>
      <c r="AB559" s="12"/>
      <c r="AC559" s="12"/>
      <c r="AD559" s="12"/>
      <c r="AE559" s="12"/>
      <c r="AF559" s="12"/>
    </row>
    <row r="560" spans="1:32" ht="13.2">
      <c r="A560" s="8"/>
      <c r="B560" s="8"/>
      <c r="C560" s="8"/>
      <c r="D560" s="8"/>
      <c r="E560" s="8"/>
      <c r="F560" s="8"/>
      <c r="G560" s="9"/>
      <c r="H560" s="8"/>
      <c r="I560" s="8"/>
      <c r="J560" s="8"/>
      <c r="K560" s="8"/>
      <c r="L560" s="8"/>
      <c r="M560" s="8"/>
      <c r="N560" s="8"/>
      <c r="O560" s="8"/>
      <c r="P560" s="8"/>
      <c r="Q560" s="8"/>
      <c r="R560" s="8"/>
      <c r="S560" s="8"/>
      <c r="T560" s="8"/>
      <c r="U560" s="12"/>
      <c r="V560" s="12"/>
      <c r="W560" s="12"/>
      <c r="X560" s="12"/>
      <c r="Y560" s="12"/>
      <c r="Z560" s="12"/>
      <c r="AA560" s="12"/>
      <c r="AB560" s="12"/>
      <c r="AC560" s="12"/>
      <c r="AD560" s="12"/>
      <c r="AE560" s="12"/>
      <c r="AF560" s="12"/>
    </row>
    <row r="561" spans="1:32" ht="13.2">
      <c r="A561" s="8"/>
      <c r="B561" s="8"/>
      <c r="C561" s="8"/>
      <c r="D561" s="8"/>
      <c r="E561" s="8"/>
      <c r="F561" s="8"/>
      <c r="G561" s="9"/>
      <c r="H561" s="8"/>
      <c r="I561" s="8"/>
      <c r="J561" s="8"/>
      <c r="K561" s="8"/>
      <c r="L561" s="8"/>
      <c r="M561" s="8"/>
      <c r="N561" s="8"/>
      <c r="O561" s="8"/>
      <c r="P561" s="8"/>
      <c r="Q561" s="8"/>
      <c r="R561" s="8"/>
      <c r="S561" s="8"/>
      <c r="T561" s="8"/>
      <c r="U561" s="12"/>
      <c r="V561" s="12"/>
      <c r="W561" s="12"/>
      <c r="X561" s="12"/>
      <c r="Y561" s="12"/>
      <c r="Z561" s="12"/>
      <c r="AA561" s="12"/>
      <c r="AB561" s="12"/>
      <c r="AC561" s="12"/>
      <c r="AD561" s="12"/>
      <c r="AE561" s="12"/>
      <c r="AF561" s="12"/>
    </row>
    <row r="562" spans="1:32" ht="13.2">
      <c r="A562" s="8"/>
      <c r="B562" s="8"/>
      <c r="C562" s="8"/>
      <c r="D562" s="8"/>
      <c r="E562" s="8"/>
      <c r="F562" s="8"/>
      <c r="G562" s="9"/>
      <c r="H562" s="8"/>
      <c r="I562" s="8"/>
      <c r="J562" s="8"/>
      <c r="K562" s="8"/>
      <c r="L562" s="8"/>
      <c r="M562" s="8"/>
      <c r="N562" s="8"/>
      <c r="O562" s="8"/>
      <c r="P562" s="8"/>
      <c r="Q562" s="8"/>
      <c r="R562" s="8"/>
      <c r="S562" s="8"/>
      <c r="T562" s="8"/>
      <c r="U562" s="12"/>
      <c r="V562" s="12"/>
      <c r="W562" s="12"/>
      <c r="X562" s="12"/>
      <c r="Y562" s="12"/>
      <c r="Z562" s="12"/>
      <c r="AA562" s="12"/>
      <c r="AB562" s="12"/>
      <c r="AC562" s="12"/>
      <c r="AD562" s="12"/>
      <c r="AE562" s="12"/>
      <c r="AF562" s="12"/>
    </row>
    <row r="563" spans="1:32" ht="13.2">
      <c r="A563" s="8"/>
      <c r="B563" s="8"/>
      <c r="C563" s="8"/>
      <c r="D563" s="8"/>
      <c r="E563" s="8"/>
      <c r="F563" s="8"/>
      <c r="G563" s="9"/>
      <c r="H563" s="8"/>
      <c r="I563" s="8"/>
      <c r="J563" s="8"/>
      <c r="K563" s="8"/>
      <c r="L563" s="8"/>
      <c r="M563" s="8"/>
      <c r="N563" s="8"/>
      <c r="O563" s="8"/>
      <c r="P563" s="8"/>
      <c r="Q563" s="8"/>
      <c r="R563" s="8"/>
      <c r="S563" s="8"/>
      <c r="T563" s="8"/>
      <c r="U563" s="12"/>
      <c r="V563" s="12"/>
      <c r="W563" s="12"/>
      <c r="X563" s="12"/>
      <c r="Y563" s="12"/>
      <c r="Z563" s="12"/>
      <c r="AA563" s="12"/>
      <c r="AB563" s="12"/>
      <c r="AC563" s="12"/>
      <c r="AD563" s="12"/>
      <c r="AE563" s="12"/>
      <c r="AF563" s="12"/>
    </row>
    <row r="564" spans="1:32" ht="13.2">
      <c r="A564" s="8"/>
      <c r="B564" s="8"/>
      <c r="C564" s="8"/>
      <c r="D564" s="8"/>
      <c r="E564" s="8"/>
      <c r="F564" s="8"/>
      <c r="G564" s="9"/>
      <c r="H564" s="8"/>
      <c r="I564" s="8"/>
      <c r="J564" s="8"/>
      <c r="K564" s="8"/>
      <c r="L564" s="8"/>
      <c r="M564" s="8"/>
      <c r="N564" s="8"/>
      <c r="O564" s="8"/>
      <c r="P564" s="8"/>
      <c r="Q564" s="8"/>
      <c r="R564" s="8"/>
      <c r="S564" s="8"/>
      <c r="T564" s="8"/>
      <c r="U564" s="12"/>
      <c r="V564" s="12"/>
      <c r="W564" s="12"/>
      <c r="X564" s="12"/>
      <c r="Y564" s="12"/>
      <c r="Z564" s="12"/>
      <c r="AA564" s="12"/>
      <c r="AB564" s="12"/>
      <c r="AC564" s="12"/>
      <c r="AD564" s="12"/>
      <c r="AE564" s="12"/>
      <c r="AF564" s="12"/>
    </row>
    <row r="565" spans="1:32" ht="13.2">
      <c r="A565" s="8"/>
      <c r="B565" s="8"/>
      <c r="C565" s="8"/>
      <c r="D565" s="8"/>
      <c r="E565" s="8"/>
      <c r="F565" s="8"/>
      <c r="G565" s="9"/>
      <c r="H565" s="8"/>
      <c r="I565" s="8"/>
      <c r="J565" s="8"/>
      <c r="K565" s="8"/>
      <c r="L565" s="8"/>
      <c r="M565" s="8"/>
      <c r="N565" s="8"/>
      <c r="O565" s="8"/>
      <c r="P565" s="8"/>
      <c r="Q565" s="8"/>
      <c r="R565" s="8"/>
      <c r="S565" s="8"/>
      <c r="T565" s="8"/>
      <c r="U565" s="12"/>
      <c r="V565" s="12"/>
      <c r="W565" s="12"/>
      <c r="X565" s="12"/>
      <c r="Y565" s="12"/>
      <c r="Z565" s="12"/>
      <c r="AA565" s="12"/>
      <c r="AB565" s="12"/>
      <c r="AC565" s="12"/>
      <c r="AD565" s="12"/>
      <c r="AE565" s="12"/>
      <c r="AF565" s="12"/>
    </row>
    <row r="566" spans="1:32" ht="13.2">
      <c r="A566" s="8"/>
      <c r="B566" s="8"/>
      <c r="C566" s="8"/>
      <c r="D566" s="8"/>
      <c r="E566" s="8"/>
      <c r="F566" s="8"/>
      <c r="G566" s="9"/>
      <c r="H566" s="8"/>
      <c r="I566" s="8"/>
      <c r="J566" s="8"/>
      <c r="K566" s="8"/>
      <c r="L566" s="8"/>
      <c r="M566" s="8"/>
      <c r="N566" s="8"/>
      <c r="O566" s="8"/>
      <c r="P566" s="8"/>
      <c r="Q566" s="8"/>
      <c r="R566" s="8"/>
      <c r="S566" s="8"/>
      <c r="T566" s="8"/>
      <c r="U566" s="12"/>
      <c r="V566" s="12"/>
      <c r="W566" s="12"/>
      <c r="X566" s="12"/>
      <c r="Y566" s="12"/>
      <c r="Z566" s="12"/>
      <c r="AA566" s="12"/>
      <c r="AB566" s="12"/>
      <c r="AC566" s="12"/>
      <c r="AD566" s="12"/>
      <c r="AE566" s="12"/>
      <c r="AF566" s="12"/>
    </row>
    <row r="567" spans="1:32" ht="13.2">
      <c r="A567" s="8"/>
      <c r="B567" s="8"/>
      <c r="C567" s="8"/>
      <c r="D567" s="8"/>
      <c r="E567" s="8"/>
      <c r="F567" s="8"/>
      <c r="G567" s="9"/>
      <c r="H567" s="8"/>
      <c r="I567" s="8"/>
      <c r="J567" s="8"/>
      <c r="K567" s="8"/>
      <c r="L567" s="8"/>
      <c r="M567" s="8"/>
      <c r="N567" s="8"/>
      <c r="O567" s="8"/>
      <c r="P567" s="8"/>
      <c r="Q567" s="8"/>
      <c r="R567" s="8"/>
      <c r="S567" s="8"/>
      <c r="T567" s="8"/>
      <c r="U567" s="12"/>
      <c r="V567" s="12"/>
      <c r="W567" s="12"/>
      <c r="X567" s="12"/>
      <c r="Y567" s="12"/>
      <c r="Z567" s="12"/>
      <c r="AA567" s="12"/>
      <c r="AB567" s="12"/>
      <c r="AC567" s="12"/>
      <c r="AD567" s="12"/>
      <c r="AE567" s="12"/>
      <c r="AF567" s="12"/>
    </row>
    <row r="568" spans="1:32" ht="13.2">
      <c r="A568" s="8"/>
      <c r="B568" s="8"/>
      <c r="C568" s="8"/>
      <c r="D568" s="8"/>
      <c r="E568" s="8"/>
      <c r="F568" s="8"/>
      <c r="G568" s="9"/>
      <c r="H568" s="8"/>
      <c r="I568" s="8"/>
      <c r="J568" s="8"/>
      <c r="K568" s="8"/>
      <c r="L568" s="8"/>
      <c r="M568" s="8"/>
      <c r="N568" s="8"/>
      <c r="O568" s="8"/>
      <c r="P568" s="8"/>
      <c r="Q568" s="8"/>
      <c r="R568" s="8"/>
      <c r="S568" s="8"/>
      <c r="T568" s="8"/>
      <c r="U568" s="12"/>
      <c r="V568" s="12"/>
      <c r="W568" s="12"/>
      <c r="X568" s="12"/>
      <c r="Y568" s="12"/>
      <c r="Z568" s="12"/>
      <c r="AA568" s="12"/>
      <c r="AB568" s="12"/>
      <c r="AC568" s="12"/>
      <c r="AD568" s="12"/>
      <c r="AE568" s="12"/>
      <c r="AF568" s="12"/>
    </row>
    <row r="569" spans="1:32" ht="13.2">
      <c r="A569" s="8"/>
      <c r="B569" s="8"/>
      <c r="C569" s="8"/>
      <c r="D569" s="8"/>
      <c r="E569" s="8"/>
      <c r="F569" s="8"/>
      <c r="G569" s="9"/>
      <c r="H569" s="8"/>
      <c r="I569" s="8"/>
      <c r="J569" s="8"/>
      <c r="K569" s="8"/>
      <c r="L569" s="8"/>
      <c r="M569" s="8"/>
      <c r="N569" s="8"/>
      <c r="O569" s="8"/>
      <c r="P569" s="8"/>
      <c r="Q569" s="8"/>
      <c r="R569" s="8"/>
      <c r="S569" s="8"/>
      <c r="T569" s="8"/>
      <c r="U569" s="12"/>
      <c r="V569" s="12"/>
      <c r="W569" s="12"/>
      <c r="X569" s="12"/>
      <c r="Y569" s="12"/>
      <c r="Z569" s="12"/>
      <c r="AA569" s="12"/>
      <c r="AB569" s="12"/>
      <c r="AC569" s="12"/>
      <c r="AD569" s="12"/>
      <c r="AE569" s="12"/>
      <c r="AF569" s="12"/>
    </row>
    <row r="570" spans="1:32" ht="13.2">
      <c r="A570" s="8"/>
      <c r="B570" s="8"/>
      <c r="C570" s="8"/>
      <c r="D570" s="8"/>
      <c r="E570" s="8"/>
      <c r="F570" s="8"/>
      <c r="G570" s="9"/>
      <c r="H570" s="8"/>
      <c r="I570" s="8"/>
      <c r="J570" s="8"/>
      <c r="K570" s="8"/>
      <c r="L570" s="8"/>
      <c r="M570" s="8"/>
      <c r="N570" s="8"/>
      <c r="O570" s="8"/>
      <c r="P570" s="8"/>
      <c r="Q570" s="8"/>
      <c r="R570" s="8"/>
      <c r="S570" s="8"/>
      <c r="T570" s="8"/>
      <c r="U570" s="12"/>
      <c r="V570" s="12"/>
      <c r="W570" s="12"/>
      <c r="X570" s="12"/>
      <c r="Y570" s="12"/>
      <c r="Z570" s="12"/>
      <c r="AA570" s="12"/>
      <c r="AB570" s="12"/>
      <c r="AC570" s="12"/>
      <c r="AD570" s="12"/>
      <c r="AE570" s="12"/>
      <c r="AF570" s="12"/>
    </row>
    <row r="571" spans="1:32" ht="13.2">
      <c r="A571" s="8"/>
      <c r="B571" s="8"/>
      <c r="C571" s="8"/>
      <c r="D571" s="8"/>
      <c r="E571" s="8"/>
      <c r="F571" s="8"/>
      <c r="G571" s="9"/>
      <c r="H571" s="8"/>
      <c r="I571" s="8"/>
      <c r="J571" s="8"/>
      <c r="K571" s="8"/>
      <c r="L571" s="8"/>
      <c r="M571" s="8"/>
      <c r="N571" s="8"/>
      <c r="O571" s="8"/>
      <c r="P571" s="8"/>
      <c r="Q571" s="8"/>
      <c r="R571" s="8"/>
      <c r="S571" s="8"/>
      <c r="T571" s="8"/>
      <c r="U571" s="12"/>
      <c r="V571" s="12"/>
      <c r="W571" s="12"/>
      <c r="X571" s="12"/>
      <c r="Y571" s="12"/>
      <c r="Z571" s="12"/>
      <c r="AA571" s="12"/>
      <c r="AB571" s="12"/>
      <c r="AC571" s="12"/>
      <c r="AD571" s="12"/>
      <c r="AE571" s="12"/>
      <c r="AF571" s="12"/>
    </row>
    <row r="572" spans="1:32" ht="13.2">
      <c r="A572" s="8"/>
      <c r="B572" s="8"/>
      <c r="C572" s="8"/>
      <c r="D572" s="8"/>
      <c r="E572" s="8"/>
      <c r="F572" s="8"/>
      <c r="G572" s="9"/>
      <c r="H572" s="8"/>
      <c r="I572" s="8"/>
      <c r="J572" s="8"/>
      <c r="K572" s="8"/>
      <c r="L572" s="8"/>
      <c r="M572" s="8"/>
      <c r="N572" s="8"/>
      <c r="O572" s="8"/>
      <c r="P572" s="8"/>
      <c r="Q572" s="8"/>
      <c r="R572" s="8"/>
      <c r="S572" s="8"/>
      <c r="T572" s="8"/>
      <c r="U572" s="12"/>
      <c r="V572" s="12"/>
      <c r="W572" s="12"/>
      <c r="X572" s="12"/>
      <c r="Y572" s="12"/>
      <c r="Z572" s="12"/>
      <c r="AA572" s="12"/>
      <c r="AB572" s="12"/>
      <c r="AC572" s="12"/>
      <c r="AD572" s="12"/>
      <c r="AE572" s="12"/>
      <c r="AF572" s="12"/>
    </row>
    <row r="573" spans="1:32" ht="13.2">
      <c r="A573" s="8"/>
      <c r="B573" s="8"/>
      <c r="C573" s="8"/>
      <c r="D573" s="8"/>
      <c r="E573" s="8"/>
      <c r="F573" s="8"/>
      <c r="G573" s="9"/>
      <c r="H573" s="8"/>
      <c r="I573" s="8"/>
      <c r="J573" s="8"/>
      <c r="K573" s="8"/>
      <c r="L573" s="8"/>
      <c r="M573" s="8"/>
      <c r="N573" s="8"/>
      <c r="O573" s="8"/>
      <c r="P573" s="8"/>
      <c r="Q573" s="8"/>
      <c r="R573" s="8"/>
      <c r="S573" s="8"/>
      <c r="T573" s="8"/>
      <c r="U573" s="12"/>
      <c r="V573" s="12"/>
      <c r="W573" s="12"/>
      <c r="X573" s="12"/>
      <c r="Y573" s="12"/>
      <c r="Z573" s="12"/>
      <c r="AA573" s="12"/>
      <c r="AB573" s="12"/>
      <c r="AC573" s="12"/>
      <c r="AD573" s="12"/>
      <c r="AE573" s="12"/>
      <c r="AF573" s="12"/>
    </row>
    <row r="574" spans="1:32" ht="13.2">
      <c r="A574" s="8"/>
      <c r="B574" s="8"/>
      <c r="C574" s="8"/>
      <c r="D574" s="8"/>
      <c r="E574" s="8"/>
      <c r="F574" s="8"/>
      <c r="G574" s="9"/>
      <c r="H574" s="8"/>
      <c r="I574" s="8"/>
      <c r="J574" s="8"/>
      <c r="K574" s="8"/>
      <c r="L574" s="8"/>
      <c r="M574" s="8"/>
      <c r="N574" s="8"/>
      <c r="O574" s="8"/>
      <c r="P574" s="8"/>
      <c r="Q574" s="8"/>
      <c r="R574" s="8"/>
      <c r="S574" s="8"/>
      <c r="T574" s="8"/>
      <c r="U574" s="12"/>
      <c r="V574" s="12"/>
      <c r="W574" s="12"/>
      <c r="X574" s="12"/>
      <c r="Y574" s="12"/>
      <c r="Z574" s="12"/>
      <c r="AA574" s="12"/>
      <c r="AB574" s="12"/>
      <c r="AC574" s="12"/>
      <c r="AD574" s="12"/>
      <c r="AE574" s="12"/>
      <c r="AF574" s="12"/>
    </row>
    <row r="575" spans="1:32" ht="13.2">
      <c r="A575" s="8"/>
      <c r="B575" s="8"/>
      <c r="C575" s="8"/>
      <c r="D575" s="8"/>
      <c r="E575" s="8"/>
      <c r="F575" s="8"/>
      <c r="G575" s="9"/>
      <c r="H575" s="8"/>
      <c r="I575" s="8"/>
      <c r="J575" s="8"/>
      <c r="K575" s="8"/>
      <c r="L575" s="8"/>
      <c r="M575" s="8"/>
      <c r="N575" s="8"/>
      <c r="O575" s="8"/>
      <c r="P575" s="8"/>
      <c r="Q575" s="8"/>
      <c r="R575" s="8"/>
      <c r="S575" s="8"/>
      <c r="T575" s="8"/>
      <c r="U575" s="12"/>
      <c r="V575" s="12"/>
      <c r="W575" s="12"/>
      <c r="X575" s="12"/>
      <c r="Y575" s="12"/>
      <c r="Z575" s="12"/>
      <c r="AA575" s="12"/>
      <c r="AB575" s="12"/>
      <c r="AC575" s="12"/>
      <c r="AD575" s="12"/>
      <c r="AE575" s="12"/>
      <c r="AF575" s="12"/>
    </row>
    <row r="576" spans="1:32" ht="13.2">
      <c r="A576" s="8"/>
      <c r="B576" s="8"/>
      <c r="C576" s="8"/>
      <c r="D576" s="8"/>
      <c r="E576" s="8"/>
      <c r="F576" s="8"/>
      <c r="G576" s="9"/>
      <c r="H576" s="8"/>
      <c r="I576" s="8"/>
      <c r="J576" s="8"/>
      <c r="K576" s="8"/>
      <c r="L576" s="8"/>
      <c r="M576" s="8"/>
      <c r="N576" s="8"/>
      <c r="O576" s="8"/>
      <c r="P576" s="8"/>
      <c r="Q576" s="8"/>
      <c r="R576" s="8"/>
      <c r="S576" s="8"/>
      <c r="T576" s="8"/>
      <c r="U576" s="12"/>
      <c r="V576" s="12"/>
      <c r="W576" s="12"/>
      <c r="X576" s="12"/>
      <c r="Y576" s="12"/>
      <c r="Z576" s="12"/>
      <c r="AA576" s="12"/>
      <c r="AB576" s="12"/>
      <c r="AC576" s="12"/>
      <c r="AD576" s="12"/>
      <c r="AE576" s="12"/>
      <c r="AF576" s="12"/>
    </row>
    <row r="577" spans="1:32" ht="13.2">
      <c r="A577" s="8"/>
      <c r="B577" s="8"/>
      <c r="C577" s="8"/>
      <c r="D577" s="8"/>
      <c r="E577" s="8"/>
      <c r="F577" s="8"/>
      <c r="G577" s="9"/>
      <c r="H577" s="8"/>
      <c r="I577" s="8"/>
      <c r="J577" s="8"/>
      <c r="K577" s="8"/>
      <c r="L577" s="8"/>
      <c r="M577" s="8"/>
      <c r="N577" s="8"/>
      <c r="O577" s="8"/>
      <c r="P577" s="8"/>
      <c r="Q577" s="8"/>
      <c r="R577" s="8"/>
      <c r="S577" s="8"/>
      <c r="T577" s="8"/>
      <c r="U577" s="12"/>
      <c r="V577" s="12"/>
      <c r="W577" s="12"/>
      <c r="X577" s="12"/>
      <c r="Y577" s="12"/>
      <c r="Z577" s="12"/>
      <c r="AA577" s="12"/>
      <c r="AB577" s="12"/>
      <c r="AC577" s="12"/>
      <c r="AD577" s="12"/>
      <c r="AE577" s="12"/>
      <c r="AF577" s="12"/>
    </row>
    <row r="578" spans="1:32" ht="13.2">
      <c r="A578" s="8"/>
      <c r="B578" s="8"/>
      <c r="C578" s="8"/>
      <c r="D578" s="8"/>
      <c r="E578" s="8"/>
      <c r="F578" s="8"/>
      <c r="G578" s="9"/>
      <c r="H578" s="8"/>
      <c r="I578" s="8"/>
      <c r="J578" s="8"/>
      <c r="K578" s="8"/>
      <c r="L578" s="8"/>
      <c r="M578" s="8"/>
      <c r="N578" s="8"/>
      <c r="O578" s="8"/>
      <c r="P578" s="8"/>
      <c r="Q578" s="8"/>
      <c r="R578" s="8"/>
      <c r="S578" s="8"/>
      <c r="T578" s="8"/>
      <c r="U578" s="12"/>
      <c r="V578" s="12"/>
      <c r="W578" s="12"/>
      <c r="X578" s="12"/>
      <c r="Y578" s="12"/>
      <c r="Z578" s="12"/>
      <c r="AA578" s="12"/>
      <c r="AB578" s="12"/>
      <c r="AC578" s="12"/>
      <c r="AD578" s="12"/>
      <c r="AE578" s="12"/>
      <c r="AF578" s="12"/>
    </row>
    <row r="579" spans="1:32" ht="13.2">
      <c r="A579" s="8"/>
      <c r="B579" s="8"/>
      <c r="C579" s="8"/>
      <c r="D579" s="8"/>
      <c r="E579" s="8"/>
      <c r="F579" s="8"/>
      <c r="G579" s="9"/>
      <c r="H579" s="8"/>
      <c r="I579" s="8"/>
      <c r="J579" s="8"/>
      <c r="K579" s="8"/>
      <c r="L579" s="8"/>
      <c r="M579" s="8"/>
      <c r="N579" s="8"/>
      <c r="O579" s="8"/>
      <c r="P579" s="8"/>
      <c r="Q579" s="8"/>
      <c r="R579" s="8"/>
      <c r="S579" s="8"/>
      <c r="T579" s="8"/>
      <c r="U579" s="12"/>
      <c r="V579" s="12"/>
      <c r="W579" s="12"/>
      <c r="X579" s="12"/>
      <c r="Y579" s="12"/>
      <c r="Z579" s="12"/>
      <c r="AA579" s="12"/>
      <c r="AB579" s="12"/>
      <c r="AC579" s="12"/>
      <c r="AD579" s="12"/>
      <c r="AE579" s="12"/>
      <c r="AF579" s="12"/>
    </row>
    <row r="580" spans="1:32" ht="13.2">
      <c r="A580" s="8"/>
      <c r="B580" s="8"/>
      <c r="C580" s="8"/>
      <c r="D580" s="8"/>
      <c r="E580" s="8"/>
      <c r="F580" s="8"/>
      <c r="G580" s="9"/>
      <c r="H580" s="8"/>
      <c r="I580" s="8"/>
      <c r="J580" s="8"/>
      <c r="K580" s="8"/>
      <c r="L580" s="8"/>
      <c r="M580" s="8"/>
      <c r="N580" s="8"/>
      <c r="O580" s="8"/>
      <c r="P580" s="8"/>
      <c r="Q580" s="8"/>
      <c r="R580" s="8"/>
      <c r="S580" s="8"/>
      <c r="T580" s="8"/>
      <c r="U580" s="12"/>
      <c r="V580" s="12"/>
      <c r="W580" s="12"/>
      <c r="X580" s="12"/>
      <c r="Y580" s="12"/>
      <c r="Z580" s="12"/>
      <c r="AA580" s="12"/>
      <c r="AB580" s="12"/>
      <c r="AC580" s="12"/>
      <c r="AD580" s="12"/>
      <c r="AE580" s="12"/>
      <c r="AF580" s="12"/>
    </row>
    <row r="581" spans="1:32" ht="13.2">
      <c r="A581" s="8"/>
      <c r="B581" s="8"/>
      <c r="C581" s="8"/>
      <c r="D581" s="8"/>
      <c r="E581" s="8"/>
      <c r="F581" s="8"/>
      <c r="G581" s="9"/>
      <c r="H581" s="8"/>
      <c r="I581" s="8"/>
      <c r="J581" s="8"/>
      <c r="K581" s="8"/>
      <c r="L581" s="8"/>
      <c r="M581" s="8"/>
      <c r="N581" s="8"/>
      <c r="O581" s="8"/>
      <c r="P581" s="8"/>
      <c r="Q581" s="8"/>
      <c r="R581" s="8"/>
      <c r="S581" s="8"/>
      <c r="T581" s="8"/>
      <c r="U581" s="12"/>
      <c r="V581" s="12"/>
      <c r="W581" s="12"/>
      <c r="X581" s="12"/>
      <c r="Y581" s="12"/>
      <c r="Z581" s="12"/>
      <c r="AA581" s="12"/>
      <c r="AB581" s="12"/>
      <c r="AC581" s="12"/>
      <c r="AD581" s="12"/>
      <c r="AE581" s="12"/>
      <c r="AF581" s="12"/>
    </row>
    <row r="582" spans="1:32" ht="13.2">
      <c r="A582" s="8"/>
      <c r="B582" s="8"/>
      <c r="C582" s="8"/>
      <c r="D582" s="8"/>
      <c r="E582" s="8"/>
      <c r="F582" s="8"/>
      <c r="G582" s="9"/>
      <c r="H582" s="8"/>
      <c r="I582" s="8"/>
      <c r="J582" s="8"/>
      <c r="K582" s="8"/>
      <c r="L582" s="8"/>
      <c r="M582" s="8"/>
      <c r="N582" s="8"/>
      <c r="O582" s="8"/>
      <c r="P582" s="8"/>
      <c r="Q582" s="8"/>
      <c r="R582" s="8"/>
      <c r="S582" s="8"/>
      <c r="T582" s="8"/>
      <c r="U582" s="12"/>
      <c r="V582" s="12"/>
      <c r="W582" s="12"/>
      <c r="X582" s="12"/>
      <c r="Y582" s="12"/>
      <c r="Z582" s="12"/>
      <c r="AA582" s="12"/>
      <c r="AB582" s="12"/>
      <c r="AC582" s="12"/>
      <c r="AD582" s="12"/>
      <c r="AE582" s="12"/>
      <c r="AF582" s="12"/>
    </row>
    <row r="583" spans="1:32" ht="13.2">
      <c r="A583" s="8"/>
      <c r="B583" s="8"/>
      <c r="C583" s="8"/>
      <c r="D583" s="8"/>
      <c r="E583" s="8"/>
      <c r="F583" s="8"/>
      <c r="G583" s="9"/>
      <c r="H583" s="8"/>
      <c r="I583" s="8"/>
      <c r="J583" s="8"/>
      <c r="K583" s="8"/>
      <c r="L583" s="8"/>
      <c r="M583" s="8"/>
      <c r="N583" s="8"/>
      <c r="O583" s="8"/>
      <c r="P583" s="8"/>
      <c r="Q583" s="8"/>
      <c r="R583" s="8"/>
      <c r="S583" s="8"/>
      <c r="T583" s="8"/>
      <c r="U583" s="12"/>
      <c r="V583" s="12"/>
      <c r="W583" s="12"/>
      <c r="X583" s="12"/>
      <c r="Y583" s="12"/>
      <c r="Z583" s="12"/>
      <c r="AA583" s="12"/>
      <c r="AB583" s="12"/>
      <c r="AC583" s="12"/>
      <c r="AD583" s="12"/>
      <c r="AE583" s="12"/>
      <c r="AF583" s="12"/>
    </row>
    <row r="584" spans="1:32" ht="13.2">
      <c r="A584" s="8"/>
      <c r="B584" s="8"/>
      <c r="C584" s="8"/>
      <c r="D584" s="8"/>
      <c r="E584" s="8"/>
      <c r="F584" s="8"/>
      <c r="G584" s="9"/>
      <c r="H584" s="8"/>
      <c r="I584" s="8"/>
      <c r="J584" s="8"/>
      <c r="K584" s="8"/>
      <c r="L584" s="8"/>
      <c r="M584" s="8"/>
      <c r="N584" s="8"/>
      <c r="O584" s="8"/>
      <c r="P584" s="8"/>
      <c r="Q584" s="8"/>
      <c r="R584" s="8"/>
      <c r="S584" s="8"/>
      <c r="T584" s="8"/>
      <c r="U584" s="12"/>
      <c r="V584" s="12"/>
      <c r="W584" s="12"/>
      <c r="X584" s="12"/>
      <c r="Y584" s="12"/>
      <c r="Z584" s="12"/>
      <c r="AA584" s="12"/>
      <c r="AB584" s="12"/>
      <c r="AC584" s="12"/>
      <c r="AD584" s="12"/>
      <c r="AE584" s="12"/>
      <c r="AF584" s="12"/>
    </row>
    <row r="585" spans="1:32" ht="13.2">
      <c r="A585" s="8"/>
      <c r="B585" s="8"/>
      <c r="C585" s="8"/>
      <c r="D585" s="8"/>
      <c r="E585" s="8"/>
      <c r="F585" s="8"/>
      <c r="G585" s="9"/>
      <c r="H585" s="8"/>
      <c r="I585" s="8"/>
      <c r="J585" s="8"/>
      <c r="K585" s="8"/>
      <c r="L585" s="8"/>
      <c r="M585" s="8"/>
      <c r="N585" s="8"/>
      <c r="O585" s="8"/>
      <c r="P585" s="8"/>
      <c r="Q585" s="8"/>
      <c r="R585" s="8"/>
      <c r="S585" s="8"/>
      <c r="T585" s="8"/>
      <c r="U585" s="12"/>
      <c r="V585" s="12"/>
      <c r="W585" s="12"/>
      <c r="X585" s="12"/>
      <c r="Y585" s="12"/>
      <c r="Z585" s="12"/>
      <c r="AA585" s="12"/>
      <c r="AB585" s="12"/>
      <c r="AC585" s="12"/>
      <c r="AD585" s="12"/>
      <c r="AE585" s="12"/>
      <c r="AF585" s="12"/>
    </row>
    <row r="586" spans="1:32" ht="13.2">
      <c r="A586" s="8"/>
      <c r="B586" s="8"/>
      <c r="C586" s="8"/>
      <c r="D586" s="8"/>
      <c r="E586" s="8"/>
      <c r="F586" s="8"/>
      <c r="G586" s="9"/>
      <c r="H586" s="8"/>
      <c r="I586" s="8"/>
      <c r="J586" s="8"/>
      <c r="K586" s="8"/>
      <c r="L586" s="8"/>
      <c r="M586" s="8"/>
      <c r="N586" s="8"/>
      <c r="O586" s="8"/>
      <c r="P586" s="8"/>
      <c r="Q586" s="8"/>
      <c r="R586" s="8"/>
      <c r="S586" s="8"/>
      <c r="T586" s="8"/>
      <c r="U586" s="12"/>
      <c r="V586" s="12"/>
      <c r="W586" s="12"/>
      <c r="X586" s="12"/>
      <c r="Y586" s="12"/>
      <c r="Z586" s="12"/>
      <c r="AA586" s="12"/>
      <c r="AB586" s="12"/>
      <c r="AC586" s="12"/>
      <c r="AD586" s="12"/>
      <c r="AE586" s="12"/>
      <c r="AF586" s="12"/>
    </row>
    <row r="587" spans="1:32" ht="13.2">
      <c r="A587" s="8"/>
      <c r="B587" s="8"/>
      <c r="C587" s="8"/>
      <c r="D587" s="8"/>
      <c r="E587" s="8"/>
      <c r="F587" s="8"/>
      <c r="G587" s="9"/>
      <c r="H587" s="8"/>
      <c r="I587" s="8"/>
      <c r="J587" s="8"/>
      <c r="K587" s="8"/>
      <c r="L587" s="8"/>
      <c r="M587" s="8"/>
      <c r="N587" s="8"/>
      <c r="O587" s="8"/>
      <c r="P587" s="8"/>
      <c r="Q587" s="8"/>
      <c r="R587" s="8"/>
      <c r="S587" s="8"/>
      <c r="T587" s="8"/>
      <c r="U587" s="12"/>
      <c r="V587" s="12"/>
      <c r="W587" s="12"/>
      <c r="X587" s="12"/>
      <c r="Y587" s="12"/>
      <c r="Z587" s="12"/>
      <c r="AA587" s="12"/>
      <c r="AB587" s="12"/>
      <c r="AC587" s="12"/>
      <c r="AD587" s="12"/>
      <c r="AE587" s="12"/>
      <c r="AF587" s="12"/>
    </row>
    <row r="588" spans="1:32" ht="13.2">
      <c r="A588" s="8"/>
      <c r="B588" s="8"/>
      <c r="C588" s="8"/>
      <c r="D588" s="8"/>
      <c r="E588" s="8"/>
      <c r="F588" s="8"/>
      <c r="G588" s="9"/>
      <c r="H588" s="8"/>
      <c r="I588" s="8"/>
      <c r="J588" s="8"/>
      <c r="K588" s="8"/>
      <c r="L588" s="8"/>
      <c r="M588" s="8"/>
      <c r="N588" s="8"/>
      <c r="O588" s="8"/>
      <c r="P588" s="8"/>
      <c r="Q588" s="8"/>
      <c r="R588" s="8"/>
      <c r="S588" s="8"/>
      <c r="T588" s="8"/>
      <c r="U588" s="12"/>
      <c r="V588" s="12"/>
      <c r="W588" s="12"/>
      <c r="X588" s="12"/>
      <c r="Y588" s="12"/>
      <c r="Z588" s="12"/>
      <c r="AA588" s="12"/>
      <c r="AB588" s="12"/>
      <c r="AC588" s="12"/>
      <c r="AD588" s="12"/>
      <c r="AE588" s="12"/>
      <c r="AF588" s="12"/>
    </row>
    <row r="589" spans="1:32" ht="13.2">
      <c r="A589" s="8"/>
      <c r="B589" s="8"/>
      <c r="C589" s="8"/>
      <c r="D589" s="8"/>
      <c r="E589" s="8"/>
      <c r="F589" s="8"/>
      <c r="G589" s="9"/>
      <c r="H589" s="8"/>
      <c r="I589" s="8"/>
      <c r="J589" s="8"/>
      <c r="K589" s="8"/>
      <c r="L589" s="8"/>
      <c r="M589" s="8"/>
      <c r="N589" s="8"/>
      <c r="O589" s="8"/>
      <c r="P589" s="8"/>
      <c r="Q589" s="8"/>
      <c r="R589" s="8"/>
      <c r="S589" s="8"/>
      <c r="T589" s="8"/>
      <c r="U589" s="12"/>
      <c r="V589" s="12"/>
      <c r="W589" s="12"/>
      <c r="X589" s="12"/>
      <c r="Y589" s="12"/>
      <c r="Z589" s="12"/>
      <c r="AA589" s="12"/>
      <c r="AB589" s="12"/>
      <c r="AC589" s="12"/>
      <c r="AD589" s="12"/>
      <c r="AE589" s="12"/>
      <c r="AF589" s="12"/>
    </row>
    <row r="590" spans="1:32" ht="13.2">
      <c r="A590" s="8"/>
      <c r="B590" s="8"/>
      <c r="C590" s="8"/>
      <c r="D590" s="8"/>
      <c r="E590" s="8"/>
      <c r="F590" s="8"/>
      <c r="G590" s="9"/>
      <c r="H590" s="8"/>
      <c r="I590" s="8"/>
      <c r="J590" s="8"/>
      <c r="K590" s="8"/>
      <c r="L590" s="8"/>
      <c r="M590" s="8"/>
      <c r="N590" s="8"/>
      <c r="O590" s="8"/>
      <c r="P590" s="8"/>
      <c r="Q590" s="8"/>
      <c r="R590" s="8"/>
      <c r="S590" s="8"/>
      <c r="T590" s="8"/>
      <c r="U590" s="12"/>
      <c r="V590" s="12"/>
      <c r="W590" s="12"/>
      <c r="X590" s="12"/>
      <c r="Y590" s="12"/>
      <c r="Z590" s="12"/>
      <c r="AA590" s="12"/>
      <c r="AB590" s="12"/>
      <c r="AC590" s="12"/>
      <c r="AD590" s="12"/>
      <c r="AE590" s="12"/>
      <c r="AF590" s="12"/>
    </row>
    <row r="591" spans="1:32" ht="13.2">
      <c r="A591" s="8"/>
      <c r="B591" s="8"/>
      <c r="C591" s="8"/>
      <c r="D591" s="8"/>
      <c r="E591" s="8"/>
      <c r="F591" s="8"/>
      <c r="G591" s="9"/>
      <c r="H591" s="8"/>
      <c r="I591" s="8"/>
      <c r="J591" s="8"/>
      <c r="K591" s="8"/>
      <c r="L591" s="8"/>
      <c r="M591" s="8"/>
      <c r="N591" s="8"/>
      <c r="O591" s="8"/>
      <c r="P591" s="8"/>
      <c r="Q591" s="8"/>
      <c r="R591" s="8"/>
      <c r="S591" s="8"/>
      <c r="T591" s="8"/>
      <c r="U591" s="12"/>
      <c r="V591" s="12"/>
      <c r="W591" s="12"/>
      <c r="X591" s="12"/>
      <c r="Y591" s="12"/>
      <c r="Z591" s="12"/>
      <c r="AA591" s="12"/>
      <c r="AB591" s="12"/>
      <c r="AC591" s="12"/>
      <c r="AD591" s="12"/>
      <c r="AE591" s="12"/>
      <c r="AF591" s="12"/>
    </row>
    <row r="592" spans="1:32" ht="13.2">
      <c r="A592" s="8"/>
      <c r="B592" s="8"/>
      <c r="C592" s="8"/>
      <c r="D592" s="8"/>
      <c r="E592" s="8"/>
      <c r="F592" s="8"/>
      <c r="G592" s="9"/>
      <c r="H592" s="8"/>
      <c r="I592" s="8"/>
      <c r="J592" s="8"/>
      <c r="K592" s="8"/>
      <c r="L592" s="8"/>
      <c r="M592" s="8"/>
      <c r="N592" s="8"/>
      <c r="O592" s="8"/>
      <c r="P592" s="8"/>
      <c r="Q592" s="8"/>
      <c r="R592" s="8"/>
      <c r="S592" s="8"/>
      <c r="T592" s="8"/>
      <c r="U592" s="12"/>
      <c r="V592" s="12"/>
      <c r="W592" s="12"/>
      <c r="X592" s="12"/>
      <c r="Y592" s="12"/>
      <c r="Z592" s="12"/>
      <c r="AA592" s="12"/>
      <c r="AB592" s="12"/>
      <c r="AC592" s="12"/>
      <c r="AD592" s="12"/>
      <c r="AE592" s="12"/>
      <c r="AF592" s="12"/>
    </row>
    <row r="593" spans="1:32" ht="13.2">
      <c r="A593" s="8"/>
      <c r="B593" s="8"/>
      <c r="C593" s="8"/>
      <c r="D593" s="8"/>
      <c r="E593" s="8"/>
      <c r="F593" s="8"/>
      <c r="G593" s="9"/>
      <c r="H593" s="8"/>
      <c r="I593" s="8"/>
      <c r="J593" s="8"/>
      <c r="K593" s="8"/>
      <c r="L593" s="8"/>
      <c r="M593" s="8"/>
      <c r="N593" s="8"/>
      <c r="O593" s="8"/>
      <c r="P593" s="8"/>
      <c r="Q593" s="8"/>
      <c r="R593" s="8"/>
      <c r="S593" s="8"/>
      <c r="T593" s="8"/>
      <c r="U593" s="12"/>
      <c r="V593" s="12"/>
      <c r="W593" s="12"/>
      <c r="X593" s="12"/>
      <c r="Y593" s="12"/>
      <c r="Z593" s="12"/>
      <c r="AA593" s="12"/>
      <c r="AB593" s="12"/>
      <c r="AC593" s="12"/>
      <c r="AD593" s="12"/>
      <c r="AE593" s="12"/>
      <c r="AF593" s="12"/>
    </row>
    <row r="594" spans="1:32" ht="13.2">
      <c r="A594" s="8"/>
      <c r="B594" s="8"/>
      <c r="C594" s="8"/>
      <c r="D594" s="8"/>
      <c r="E594" s="8"/>
      <c r="F594" s="8"/>
      <c r="G594" s="9"/>
      <c r="H594" s="8"/>
      <c r="I594" s="8"/>
      <c r="J594" s="8"/>
      <c r="K594" s="8"/>
      <c r="L594" s="8"/>
      <c r="M594" s="8"/>
      <c r="N594" s="8"/>
      <c r="O594" s="8"/>
      <c r="P594" s="8"/>
      <c r="Q594" s="8"/>
      <c r="R594" s="8"/>
      <c r="S594" s="8"/>
      <c r="T594" s="8"/>
      <c r="U594" s="12"/>
      <c r="V594" s="12"/>
      <c r="W594" s="12"/>
      <c r="X594" s="12"/>
      <c r="Y594" s="12"/>
      <c r="Z594" s="12"/>
      <c r="AA594" s="12"/>
      <c r="AB594" s="12"/>
      <c r="AC594" s="12"/>
      <c r="AD594" s="12"/>
      <c r="AE594" s="12"/>
      <c r="AF594" s="12"/>
    </row>
    <row r="595" spans="1:32" ht="13.2">
      <c r="A595" s="8"/>
      <c r="B595" s="8"/>
      <c r="C595" s="8"/>
      <c r="D595" s="8"/>
      <c r="E595" s="8"/>
      <c r="F595" s="8"/>
      <c r="G595" s="9"/>
      <c r="H595" s="8"/>
      <c r="I595" s="8"/>
      <c r="J595" s="8"/>
      <c r="K595" s="8"/>
      <c r="L595" s="8"/>
      <c r="M595" s="8"/>
      <c r="N595" s="8"/>
      <c r="O595" s="8"/>
      <c r="P595" s="8"/>
      <c r="Q595" s="8"/>
      <c r="R595" s="8"/>
      <c r="S595" s="8"/>
      <c r="T595" s="8"/>
      <c r="U595" s="12"/>
      <c r="V595" s="12"/>
      <c r="W595" s="12"/>
      <c r="X595" s="12"/>
      <c r="Y595" s="12"/>
      <c r="Z595" s="12"/>
      <c r="AA595" s="12"/>
      <c r="AB595" s="12"/>
      <c r="AC595" s="12"/>
      <c r="AD595" s="12"/>
      <c r="AE595" s="12"/>
      <c r="AF595" s="12"/>
    </row>
    <row r="596" spans="1:32" ht="13.2">
      <c r="A596" s="8"/>
      <c r="B596" s="8"/>
      <c r="C596" s="8"/>
      <c r="D596" s="8"/>
      <c r="E596" s="8"/>
      <c r="F596" s="8"/>
      <c r="G596" s="9"/>
      <c r="H596" s="8"/>
      <c r="I596" s="8"/>
      <c r="J596" s="8"/>
      <c r="K596" s="8"/>
      <c r="L596" s="8"/>
      <c r="M596" s="8"/>
      <c r="N596" s="8"/>
      <c r="O596" s="8"/>
      <c r="P596" s="8"/>
      <c r="Q596" s="8"/>
      <c r="R596" s="8"/>
      <c r="S596" s="8"/>
      <c r="T596" s="8"/>
      <c r="U596" s="12"/>
      <c r="V596" s="12"/>
      <c r="W596" s="12"/>
      <c r="X596" s="12"/>
      <c r="Y596" s="12"/>
      <c r="Z596" s="12"/>
      <c r="AA596" s="12"/>
      <c r="AB596" s="12"/>
      <c r="AC596" s="12"/>
      <c r="AD596" s="12"/>
      <c r="AE596" s="12"/>
      <c r="AF596" s="12"/>
    </row>
    <row r="597" spans="1:32" ht="13.2">
      <c r="A597" s="8"/>
      <c r="B597" s="8"/>
      <c r="C597" s="8"/>
      <c r="D597" s="8"/>
      <c r="E597" s="8"/>
      <c r="F597" s="8"/>
      <c r="G597" s="9"/>
      <c r="H597" s="8"/>
      <c r="I597" s="8"/>
      <c r="J597" s="8"/>
      <c r="K597" s="8"/>
      <c r="L597" s="8"/>
      <c r="M597" s="8"/>
      <c r="N597" s="8"/>
      <c r="O597" s="8"/>
      <c r="P597" s="8"/>
      <c r="Q597" s="8"/>
      <c r="R597" s="8"/>
      <c r="S597" s="8"/>
      <c r="T597" s="8"/>
      <c r="U597" s="12"/>
      <c r="V597" s="12"/>
      <c r="W597" s="12"/>
      <c r="X597" s="12"/>
      <c r="Y597" s="12"/>
      <c r="Z597" s="12"/>
      <c r="AA597" s="12"/>
      <c r="AB597" s="12"/>
      <c r="AC597" s="12"/>
      <c r="AD597" s="12"/>
      <c r="AE597" s="12"/>
      <c r="AF597" s="12"/>
    </row>
    <row r="598" spans="1:32" ht="13.2">
      <c r="A598" s="8"/>
      <c r="B598" s="8"/>
      <c r="C598" s="8"/>
      <c r="D598" s="8"/>
      <c r="E598" s="8"/>
      <c r="F598" s="8"/>
      <c r="G598" s="9"/>
      <c r="H598" s="8"/>
      <c r="I598" s="8"/>
      <c r="J598" s="8"/>
      <c r="K598" s="8"/>
      <c r="L598" s="8"/>
      <c r="M598" s="8"/>
      <c r="N598" s="8"/>
      <c r="O598" s="8"/>
      <c r="P598" s="8"/>
      <c r="Q598" s="8"/>
      <c r="R598" s="8"/>
      <c r="S598" s="8"/>
      <c r="T598" s="8"/>
      <c r="U598" s="12"/>
      <c r="V598" s="12"/>
      <c r="W598" s="12"/>
      <c r="X598" s="12"/>
      <c r="Y598" s="12"/>
      <c r="Z598" s="12"/>
      <c r="AA598" s="12"/>
      <c r="AB598" s="12"/>
      <c r="AC598" s="12"/>
      <c r="AD598" s="12"/>
      <c r="AE598" s="12"/>
      <c r="AF598" s="12"/>
    </row>
    <row r="599" spans="1:32" ht="13.2">
      <c r="A599" s="8"/>
      <c r="B599" s="8"/>
      <c r="C599" s="8"/>
      <c r="D599" s="8"/>
      <c r="E599" s="8"/>
      <c r="F599" s="8"/>
      <c r="G599" s="9"/>
      <c r="H599" s="8"/>
      <c r="I599" s="8"/>
      <c r="J599" s="8"/>
      <c r="K599" s="8"/>
      <c r="L599" s="8"/>
      <c r="M599" s="8"/>
      <c r="N599" s="8"/>
      <c r="O599" s="8"/>
      <c r="P599" s="8"/>
      <c r="Q599" s="8"/>
      <c r="R599" s="8"/>
      <c r="S599" s="8"/>
      <c r="T599" s="8"/>
      <c r="U599" s="12"/>
      <c r="V599" s="12"/>
      <c r="W599" s="12"/>
      <c r="X599" s="12"/>
      <c r="Y599" s="12"/>
      <c r="Z599" s="12"/>
      <c r="AA599" s="12"/>
      <c r="AB599" s="12"/>
      <c r="AC599" s="12"/>
      <c r="AD599" s="12"/>
      <c r="AE599" s="12"/>
      <c r="AF599" s="12"/>
    </row>
    <row r="600" spans="1:32" ht="13.2">
      <c r="A600" s="8"/>
      <c r="B600" s="8"/>
      <c r="C600" s="8"/>
      <c r="D600" s="8"/>
      <c r="E600" s="8"/>
      <c r="F600" s="8"/>
      <c r="G600" s="9"/>
      <c r="H600" s="8"/>
      <c r="I600" s="8"/>
      <c r="J600" s="8"/>
      <c r="K600" s="8"/>
      <c r="L600" s="8"/>
      <c r="M600" s="8"/>
      <c r="N600" s="8"/>
      <c r="O600" s="8"/>
      <c r="P600" s="8"/>
      <c r="Q600" s="8"/>
      <c r="R600" s="8"/>
      <c r="S600" s="8"/>
      <c r="T600" s="8"/>
      <c r="U600" s="12"/>
      <c r="V600" s="12"/>
      <c r="W600" s="12"/>
      <c r="X600" s="12"/>
      <c r="Y600" s="12"/>
      <c r="Z600" s="12"/>
      <c r="AA600" s="12"/>
      <c r="AB600" s="12"/>
      <c r="AC600" s="12"/>
      <c r="AD600" s="12"/>
      <c r="AE600" s="12"/>
      <c r="AF600" s="12"/>
    </row>
    <row r="601" spans="1:32" ht="13.2">
      <c r="A601" s="8"/>
      <c r="B601" s="8"/>
      <c r="C601" s="8"/>
      <c r="D601" s="8"/>
      <c r="E601" s="8"/>
      <c r="F601" s="8"/>
      <c r="G601" s="9"/>
      <c r="H601" s="8"/>
      <c r="I601" s="8"/>
      <c r="J601" s="8"/>
      <c r="K601" s="8"/>
      <c r="L601" s="8"/>
      <c r="M601" s="8"/>
      <c r="N601" s="8"/>
      <c r="O601" s="8"/>
      <c r="P601" s="8"/>
      <c r="Q601" s="8"/>
      <c r="R601" s="8"/>
      <c r="S601" s="8"/>
      <c r="T601" s="8"/>
      <c r="U601" s="12"/>
      <c r="V601" s="12"/>
      <c r="W601" s="12"/>
      <c r="X601" s="12"/>
      <c r="Y601" s="12"/>
      <c r="Z601" s="12"/>
      <c r="AA601" s="12"/>
      <c r="AB601" s="12"/>
      <c r="AC601" s="12"/>
      <c r="AD601" s="12"/>
      <c r="AE601" s="12"/>
      <c r="AF601" s="12"/>
    </row>
    <row r="602" spans="1:32" ht="13.2">
      <c r="A602" s="8"/>
      <c r="B602" s="8"/>
      <c r="C602" s="8"/>
      <c r="D602" s="8"/>
      <c r="E602" s="8"/>
      <c r="F602" s="8"/>
      <c r="G602" s="9"/>
      <c r="H602" s="8"/>
      <c r="I602" s="8"/>
      <c r="J602" s="8"/>
      <c r="K602" s="8"/>
      <c r="L602" s="8"/>
      <c r="M602" s="8"/>
      <c r="N602" s="8"/>
      <c r="O602" s="8"/>
      <c r="P602" s="8"/>
      <c r="Q602" s="8"/>
      <c r="R602" s="8"/>
      <c r="S602" s="8"/>
      <c r="T602" s="8"/>
      <c r="U602" s="12"/>
      <c r="V602" s="12"/>
      <c r="W602" s="12"/>
      <c r="X602" s="12"/>
      <c r="Y602" s="12"/>
      <c r="Z602" s="12"/>
      <c r="AA602" s="12"/>
      <c r="AB602" s="12"/>
      <c r="AC602" s="12"/>
      <c r="AD602" s="12"/>
      <c r="AE602" s="12"/>
      <c r="AF602" s="12"/>
    </row>
    <row r="603" spans="1:32" ht="13.2">
      <c r="A603" s="8"/>
      <c r="B603" s="8"/>
      <c r="C603" s="8"/>
      <c r="D603" s="8"/>
      <c r="E603" s="8"/>
      <c r="F603" s="8"/>
      <c r="G603" s="9"/>
      <c r="H603" s="8"/>
      <c r="I603" s="8"/>
      <c r="J603" s="8"/>
      <c r="K603" s="8"/>
      <c r="L603" s="8"/>
      <c r="M603" s="8"/>
      <c r="N603" s="8"/>
      <c r="O603" s="8"/>
      <c r="P603" s="8"/>
      <c r="Q603" s="8"/>
      <c r="R603" s="8"/>
      <c r="S603" s="8"/>
      <c r="T603" s="8"/>
      <c r="U603" s="12"/>
      <c r="V603" s="12"/>
      <c r="W603" s="12"/>
      <c r="X603" s="12"/>
      <c r="Y603" s="12"/>
      <c r="Z603" s="12"/>
      <c r="AA603" s="12"/>
      <c r="AB603" s="12"/>
      <c r="AC603" s="12"/>
      <c r="AD603" s="12"/>
      <c r="AE603" s="12"/>
      <c r="AF603" s="12"/>
    </row>
    <row r="604" spans="1:32" ht="13.2">
      <c r="A604" s="8"/>
      <c r="B604" s="8"/>
      <c r="C604" s="8"/>
      <c r="D604" s="8"/>
      <c r="E604" s="8"/>
      <c r="F604" s="8"/>
      <c r="G604" s="9"/>
      <c r="H604" s="8"/>
      <c r="I604" s="8"/>
      <c r="J604" s="8"/>
      <c r="K604" s="8"/>
      <c r="L604" s="8"/>
      <c r="M604" s="8"/>
      <c r="N604" s="8"/>
      <c r="O604" s="8"/>
      <c r="P604" s="8"/>
      <c r="Q604" s="8"/>
      <c r="R604" s="8"/>
      <c r="S604" s="8"/>
      <c r="T604" s="8"/>
      <c r="U604" s="12"/>
      <c r="V604" s="12"/>
      <c r="W604" s="12"/>
      <c r="X604" s="12"/>
      <c r="Y604" s="12"/>
      <c r="Z604" s="12"/>
      <c r="AA604" s="12"/>
      <c r="AB604" s="12"/>
      <c r="AC604" s="12"/>
      <c r="AD604" s="12"/>
      <c r="AE604" s="12"/>
      <c r="AF604" s="12"/>
    </row>
    <row r="605" spans="1:32" ht="13.2">
      <c r="A605" s="8"/>
      <c r="B605" s="8"/>
      <c r="C605" s="8"/>
      <c r="D605" s="8"/>
      <c r="E605" s="8"/>
      <c r="F605" s="8"/>
      <c r="G605" s="9"/>
      <c r="H605" s="8"/>
      <c r="I605" s="8"/>
      <c r="J605" s="8"/>
      <c r="K605" s="8"/>
      <c r="L605" s="8"/>
      <c r="M605" s="8"/>
      <c r="N605" s="8"/>
      <c r="O605" s="8"/>
      <c r="P605" s="8"/>
      <c r="Q605" s="8"/>
      <c r="R605" s="8"/>
      <c r="S605" s="8"/>
      <c r="T605" s="8"/>
      <c r="U605" s="12"/>
      <c r="V605" s="12"/>
      <c r="W605" s="12"/>
      <c r="X605" s="12"/>
      <c r="Y605" s="12"/>
      <c r="Z605" s="12"/>
      <c r="AA605" s="12"/>
      <c r="AB605" s="12"/>
      <c r="AC605" s="12"/>
      <c r="AD605" s="12"/>
      <c r="AE605" s="12"/>
      <c r="AF605" s="12"/>
    </row>
    <row r="606" spans="1:32" ht="13.2">
      <c r="A606" s="8"/>
      <c r="B606" s="8"/>
      <c r="C606" s="8"/>
      <c r="D606" s="8"/>
      <c r="E606" s="8"/>
      <c r="F606" s="8"/>
      <c r="G606" s="9"/>
      <c r="H606" s="8"/>
      <c r="I606" s="8"/>
      <c r="J606" s="8"/>
      <c r="K606" s="8"/>
      <c r="L606" s="8"/>
      <c r="M606" s="8"/>
      <c r="N606" s="8"/>
      <c r="O606" s="8"/>
      <c r="P606" s="8"/>
      <c r="Q606" s="8"/>
      <c r="R606" s="8"/>
      <c r="S606" s="8"/>
      <c r="T606" s="8"/>
      <c r="U606" s="12"/>
      <c r="V606" s="12"/>
      <c r="W606" s="12"/>
      <c r="X606" s="12"/>
      <c r="Y606" s="12"/>
      <c r="Z606" s="12"/>
      <c r="AA606" s="12"/>
      <c r="AB606" s="12"/>
      <c r="AC606" s="12"/>
      <c r="AD606" s="12"/>
      <c r="AE606" s="12"/>
      <c r="AF606" s="12"/>
    </row>
    <row r="607" spans="1:32" ht="13.2">
      <c r="A607" s="8"/>
      <c r="B607" s="8"/>
      <c r="C607" s="8"/>
      <c r="D607" s="8"/>
      <c r="E607" s="8"/>
      <c r="F607" s="8"/>
      <c r="G607" s="9"/>
      <c r="H607" s="8"/>
      <c r="I607" s="8"/>
      <c r="J607" s="8"/>
      <c r="K607" s="8"/>
      <c r="L607" s="8"/>
      <c r="M607" s="8"/>
      <c r="N607" s="8"/>
      <c r="O607" s="8"/>
      <c r="P607" s="8"/>
      <c r="Q607" s="8"/>
      <c r="R607" s="8"/>
      <c r="S607" s="8"/>
      <c r="T607" s="8"/>
      <c r="U607" s="12"/>
      <c r="V607" s="12"/>
      <c r="W607" s="12"/>
      <c r="X607" s="12"/>
      <c r="Y607" s="12"/>
      <c r="Z607" s="12"/>
      <c r="AA607" s="12"/>
      <c r="AB607" s="12"/>
      <c r="AC607" s="12"/>
      <c r="AD607" s="12"/>
      <c r="AE607" s="12"/>
      <c r="AF607" s="12"/>
    </row>
    <row r="608" spans="1:32" ht="13.2">
      <c r="A608" s="8"/>
      <c r="B608" s="8"/>
      <c r="C608" s="8"/>
      <c r="D608" s="8"/>
      <c r="E608" s="8"/>
      <c r="F608" s="8"/>
      <c r="G608" s="9"/>
      <c r="H608" s="8"/>
      <c r="I608" s="8"/>
      <c r="J608" s="8"/>
      <c r="K608" s="8"/>
      <c r="L608" s="8"/>
      <c r="M608" s="8"/>
      <c r="N608" s="8"/>
      <c r="O608" s="8"/>
      <c r="P608" s="8"/>
      <c r="Q608" s="8"/>
      <c r="R608" s="8"/>
      <c r="S608" s="8"/>
      <c r="T608" s="8"/>
      <c r="U608" s="12"/>
      <c r="V608" s="12"/>
      <c r="W608" s="12"/>
      <c r="X608" s="12"/>
      <c r="Y608" s="12"/>
      <c r="Z608" s="12"/>
      <c r="AA608" s="12"/>
      <c r="AB608" s="12"/>
      <c r="AC608" s="12"/>
      <c r="AD608" s="12"/>
      <c r="AE608" s="12"/>
      <c r="AF608" s="12"/>
    </row>
    <row r="609" spans="1:32" ht="13.2">
      <c r="A609" s="8"/>
      <c r="B609" s="8"/>
      <c r="C609" s="8"/>
      <c r="D609" s="8"/>
      <c r="E609" s="8"/>
      <c r="F609" s="8"/>
      <c r="G609" s="9"/>
      <c r="H609" s="8"/>
      <c r="I609" s="8"/>
      <c r="J609" s="8"/>
      <c r="K609" s="8"/>
      <c r="L609" s="8"/>
      <c r="M609" s="8"/>
      <c r="N609" s="8"/>
      <c r="O609" s="8"/>
      <c r="P609" s="8"/>
      <c r="Q609" s="8"/>
      <c r="R609" s="8"/>
      <c r="S609" s="8"/>
      <c r="T609" s="8"/>
      <c r="U609" s="12"/>
      <c r="V609" s="12"/>
      <c r="W609" s="12"/>
      <c r="X609" s="12"/>
      <c r="Y609" s="12"/>
      <c r="Z609" s="12"/>
      <c r="AA609" s="12"/>
      <c r="AB609" s="12"/>
      <c r="AC609" s="12"/>
      <c r="AD609" s="12"/>
      <c r="AE609" s="12"/>
      <c r="AF609" s="12"/>
    </row>
    <row r="610" spans="1:32" ht="13.2">
      <c r="A610" s="8"/>
      <c r="B610" s="8"/>
      <c r="C610" s="8"/>
      <c r="D610" s="8"/>
      <c r="E610" s="8"/>
      <c r="F610" s="8"/>
      <c r="G610" s="9"/>
      <c r="H610" s="8"/>
      <c r="I610" s="8"/>
      <c r="J610" s="8"/>
      <c r="K610" s="8"/>
      <c r="L610" s="8"/>
      <c r="M610" s="8"/>
      <c r="N610" s="8"/>
      <c r="O610" s="8"/>
      <c r="P610" s="8"/>
      <c r="Q610" s="8"/>
      <c r="R610" s="8"/>
      <c r="S610" s="8"/>
      <c r="T610" s="8"/>
      <c r="U610" s="12"/>
      <c r="V610" s="12"/>
      <c r="W610" s="12"/>
      <c r="X610" s="12"/>
      <c r="Y610" s="12"/>
      <c r="Z610" s="12"/>
      <c r="AA610" s="12"/>
      <c r="AB610" s="12"/>
      <c r="AC610" s="12"/>
      <c r="AD610" s="12"/>
      <c r="AE610" s="12"/>
      <c r="AF610" s="12"/>
    </row>
    <row r="611" spans="1:32" ht="13.2">
      <c r="A611" s="8"/>
      <c r="B611" s="8"/>
      <c r="C611" s="8"/>
      <c r="D611" s="8"/>
      <c r="E611" s="8"/>
      <c r="F611" s="8"/>
      <c r="G611" s="9"/>
      <c r="H611" s="8"/>
      <c r="I611" s="8"/>
      <c r="J611" s="8"/>
      <c r="K611" s="8"/>
      <c r="L611" s="8"/>
      <c r="M611" s="8"/>
      <c r="N611" s="8"/>
      <c r="O611" s="8"/>
      <c r="P611" s="8"/>
      <c r="Q611" s="8"/>
      <c r="R611" s="8"/>
      <c r="S611" s="8"/>
      <c r="T611" s="8"/>
      <c r="U611" s="12"/>
      <c r="V611" s="12"/>
      <c r="W611" s="12"/>
      <c r="X611" s="12"/>
      <c r="Y611" s="12"/>
      <c r="Z611" s="12"/>
      <c r="AA611" s="12"/>
      <c r="AB611" s="12"/>
      <c r="AC611" s="12"/>
      <c r="AD611" s="12"/>
      <c r="AE611" s="12"/>
      <c r="AF611" s="12"/>
    </row>
    <row r="612" spans="1:32" ht="13.2">
      <c r="A612" s="8"/>
      <c r="B612" s="8"/>
      <c r="C612" s="8"/>
      <c r="D612" s="8"/>
      <c r="E612" s="8"/>
      <c r="F612" s="8"/>
      <c r="G612" s="9"/>
      <c r="H612" s="8"/>
      <c r="I612" s="8"/>
      <c r="J612" s="8"/>
      <c r="K612" s="8"/>
      <c r="L612" s="8"/>
      <c r="M612" s="8"/>
      <c r="N612" s="8"/>
      <c r="O612" s="8"/>
      <c r="P612" s="8"/>
      <c r="Q612" s="8"/>
      <c r="R612" s="8"/>
      <c r="S612" s="8"/>
      <c r="T612" s="8"/>
      <c r="U612" s="12"/>
      <c r="V612" s="12"/>
      <c r="W612" s="12"/>
      <c r="X612" s="12"/>
      <c r="Y612" s="12"/>
      <c r="Z612" s="12"/>
      <c r="AA612" s="12"/>
      <c r="AB612" s="12"/>
      <c r="AC612" s="12"/>
      <c r="AD612" s="12"/>
      <c r="AE612" s="12"/>
      <c r="AF612" s="12"/>
    </row>
    <row r="613" spans="1:32" ht="13.2">
      <c r="A613" s="8"/>
      <c r="B613" s="8"/>
      <c r="C613" s="8"/>
      <c r="D613" s="8"/>
      <c r="E613" s="8"/>
      <c r="F613" s="8"/>
      <c r="G613" s="9"/>
      <c r="H613" s="8"/>
      <c r="I613" s="8"/>
      <c r="J613" s="8"/>
      <c r="K613" s="8"/>
      <c r="L613" s="8"/>
      <c r="M613" s="8"/>
      <c r="N613" s="8"/>
      <c r="O613" s="8"/>
      <c r="P613" s="8"/>
      <c r="Q613" s="8"/>
      <c r="R613" s="8"/>
      <c r="S613" s="8"/>
      <c r="T613" s="8"/>
      <c r="U613" s="12"/>
      <c r="V613" s="12"/>
      <c r="W613" s="12"/>
      <c r="X613" s="12"/>
      <c r="Y613" s="12"/>
      <c r="Z613" s="12"/>
      <c r="AA613" s="12"/>
      <c r="AB613" s="12"/>
      <c r="AC613" s="12"/>
      <c r="AD613" s="12"/>
      <c r="AE613" s="12"/>
      <c r="AF613" s="12"/>
    </row>
    <row r="614" spans="1:32" ht="13.2">
      <c r="A614" s="8"/>
      <c r="B614" s="8"/>
      <c r="C614" s="8"/>
      <c r="D614" s="8"/>
      <c r="E614" s="8"/>
      <c r="F614" s="8"/>
      <c r="G614" s="9"/>
      <c r="H614" s="8"/>
      <c r="I614" s="8"/>
      <c r="J614" s="8"/>
      <c r="K614" s="8"/>
      <c r="L614" s="8"/>
      <c r="M614" s="8"/>
      <c r="N614" s="8"/>
      <c r="O614" s="8"/>
      <c r="P614" s="8"/>
      <c r="Q614" s="8"/>
      <c r="R614" s="8"/>
      <c r="S614" s="8"/>
      <c r="T614" s="8"/>
      <c r="U614" s="12"/>
      <c r="V614" s="12"/>
      <c r="W614" s="12"/>
      <c r="X614" s="12"/>
      <c r="Y614" s="12"/>
      <c r="Z614" s="12"/>
      <c r="AA614" s="12"/>
      <c r="AB614" s="12"/>
      <c r="AC614" s="12"/>
      <c r="AD614" s="12"/>
      <c r="AE614" s="12"/>
      <c r="AF614" s="12"/>
    </row>
    <row r="615" spans="1:32" ht="13.2">
      <c r="A615" s="8"/>
      <c r="B615" s="8"/>
      <c r="C615" s="8"/>
      <c r="D615" s="8"/>
      <c r="E615" s="8"/>
      <c r="F615" s="8"/>
      <c r="G615" s="9"/>
      <c r="H615" s="8"/>
      <c r="I615" s="8"/>
      <c r="J615" s="8"/>
      <c r="K615" s="8"/>
      <c r="L615" s="8"/>
      <c r="M615" s="8"/>
      <c r="N615" s="8"/>
      <c r="O615" s="8"/>
      <c r="P615" s="8"/>
      <c r="Q615" s="8"/>
      <c r="R615" s="8"/>
      <c r="S615" s="8"/>
      <c r="T615" s="8"/>
      <c r="U615" s="12"/>
      <c r="V615" s="12"/>
      <c r="W615" s="12"/>
      <c r="X615" s="12"/>
      <c r="Y615" s="12"/>
      <c r="Z615" s="12"/>
      <c r="AA615" s="12"/>
      <c r="AB615" s="12"/>
      <c r="AC615" s="12"/>
      <c r="AD615" s="12"/>
      <c r="AE615" s="12"/>
      <c r="AF615" s="12"/>
    </row>
    <row r="616" spans="1:32" ht="13.2">
      <c r="A616" s="8"/>
      <c r="B616" s="8"/>
      <c r="C616" s="8"/>
      <c r="D616" s="8"/>
      <c r="E616" s="8"/>
      <c r="F616" s="8"/>
      <c r="G616" s="9"/>
      <c r="H616" s="8"/>
      <c r="I616" s="8"/>
      <c r="J616" s="8"/>
      <c r="K616" s="8"/>
      <c r="L616" s="8"/>
      <c r="M616" s="8"/>
      <c r="N616" s="8"/>
      <c r="O616" s="8"/>
      <c r="P616" s="8"/>
      <c r="Q616" s="8"/>
      <c r="R616" s="8"/>
      <c r="S616" s="8"/>
      <c r="T616" s="8"/>
      <c r="U616" s="12"/>
      <c r="V616" s="12"/>
      <c r="W616" s="12"/>
      <c r="X616" s="12"/>
      <c r="Y616" s="12"/>
      <c r="Z616" s="12"/>
      <c r="AA616" s="12"/>
      <c r="AB616" s="12"/>
      <c r="AC616" s="12"/>
      <c r="AD616" s="12"/>
      <c r="AE616" s="12"/>
      <c r="AF616" s="12"/>
    </row>
    <row r="617" spans="1:32" ht="13.2">
      <c r="A617" s="8"/>
      <c r="B617" s="8"/>
      <c r="C617" s="8"/>
      <c r="D617" s="8"/>
      <c r="E617" s="8"/>
      <c r="F617" s="8"/>
      <c r="G617" s="9"/>
      <c r="H617" s="8"/>
      <c r="I617" s="8"/>
      <c r="J617" s="8"/>
      <c r="K617" s="8"/>
      <c r="L617" s="8"/>
      <c r="M617" s="8"/>
      <c r="N617" s="8"/>
      <c r="O617" s="8"/>
      <c r="P617" s="8"/>
      <c r="Q617" s="8"/>
      <c r="R617" s="8"/>
      <c r="S617" s="8"/>
      <c r="T617" s="8"/>
      <c r="U617" s="12"/>
      <c r="V617" s="12"/>
      <c r="W617" s="12"/>
      <c r="X617" s="12"/>
      <c r="Y617" s="12"/>
      <c r="Z617" s="12"/>
      <c r="AA617" s="12"/>
      <c r="AB617" s="12"/>
      <c r="AC617" s="12"/>
      <c r="AD617" s="12"/>
      <c r="AE617" s="12"/>
      <c r="AF617" s="12"/>
    </row>
    <row r="618" spans="1:32" ht="13.2">
      <c r="A618" s="8"/>
      <c r="B618" s="8"/>
      <c r="C618" s="8"/>
      <c r="D618" s="8"/>
      <c r="E618" s="8"/>
      <c r="F618" s="8"/>
      <c r="G618" s="9"/>
      <c r="H618" s="8"/>
      <c r="I618" s="8"/>
      <c r="J618" s="8"/>
      <c r="K618" s="8"/>
      <c r="L618" s="8"/>
      <c r="M618" s="8"/>
      <c r="N618" s="8"/>
      <c r="O618" s="8"/>
      <c r="P618" s="8"/>
      <c r="Q618" s="8"/>
      <c r="R618" s="8"/>
      <c r="S618" s="8"/>
      <c r="T618" s="8"/>
      <c r="U618" s="12"/>
      <c r="V618" s="12"/>
      <c r="W618" s="12"/>
      <c r="X618" s="12"/>
      <c r="Y618" s="12"/>
      <c r="Z618" s="12"/>
      <c r="AA618" s="12"/>
      <c r="AB618" s="12"/>
      <c r="AC618" s="12"/>
      <c r="AD618" s="12"/>
      <c r="AE618" s="12"/>
      <c r="AF618" s="12"/>
    </row>
    <row r="619" spans="1:32" ht="13.2">
      <c r="A619" s="8"/>
      <c r="B619" s="8"/>
      <c r="C619" s="8"/>
      <c r="D619" s="8"/>
      <c r="E619" s="8"/>
      <c r="F619" s="8"/>
      <c r="G619" s="9"/>
      <c r="H619" s="8"/>
      <c r="I619" s="8"/>
      <c r="J619" s="8"/>
      <c r="K619" s="8"/>
      <c r="L619" s="8"/>
      <c r="M619" s="8"/>
      <c r="N619" s="8"/>
      <c r="O619" s="8"/>
      <c r="P619" s="8"/>
      <c r="Q619" s="8"/>
      <c r="R619" s="8"/>
      <c r="S619" s="8"/>
      <c r="T619" s="8"/>
      <c r="U619" s="12"/>
      <c r="V619" s="12"/>
      <c r="W619" s="12"/>
      <c r="X619" s="12"/>
      <c r="Y619" s="12"/>
      <c r="Z619" s="12"/>
      <c r="AA619" s="12"/>
      <c r="AB619" s="12"/>
      <c r="AC619" s="12"/>
      <c r="AD619" s="12"/>
      <c r="AE619" s="12"/>
      <c r="AF619" s="12"/>
    </row>
    <row r="620" spans="1:32" ht="13.2">
      <c r="A620" s="8"/>
      <c r="B620" s="8"/>
      <c r="C620" s="8"/>
      <c r="D620" s="8"/>
      <c r="E620" s="8"/>
      <c r="F620" s="8"/>
      <c r="G620" s="9"/>
      <c r="H620" s="8"/>
      <c r="I620" s="8"/>
      <c r="J620" s="8"/>
      <c r="K620" s="8"/>
      <c r="L620" s="8"/>
      <c r="M620" s="8"/>
      <c r="N620" s="8"/>
      <c r="O620" s="8"/>
      <c r="P620" s="8"/>
      <c r="Q620" s="8"/>
      <c r="R620" s="8"/>
      <c r="S620" s="8"/>
      <c r="T620" s="8"/>
      <c r="U620" s="12"/>
      <c r="V620" s="12"/>
      <c r="W620" s="12"/>
      <c r="X620" s="12"/>
      <c r="Y620" s="12"/>
      <c r="Z620" s="12"/>
      <c r="AA620" s="12"/>
      <c r="AB620" s="12"/>
      <c r="AC620" s="12"/>
      <c r="AD620" s="12"/>
      <c r="AE620" s="12"/>
      <c r="AF620" s="12"/>
    </row>
    <row r="621" spans="1:32" ht="13.2">
      <c r="A621" s="8"/>
      <c r="B621" s="8"/>
      <c r="C621" s="8"/>
      <c r="D621" s="8"/>
      <c r="E621" s="8"/>
      <c r="F621" s="8"/>
      <c r="G621" s="9"/>
      <c r="H621" s="8"/>
      <c r="I621" s="8"/>
      <c r="J621" s="8"/>
      <c r="K621" s="8"/>
      <c r="L621" s="8"/>
      <c r="M621" s="8"/>
      <c r="N621" s="8"/>
      <c r="O621" s="8"/>
      <c r="P621" s="8"/>
      <c r="Q621" s="8"/>
      <c r="R621" s="8"/>
      <c r="S621" s="8"/>
      <c r="T621" s="8"/>
      <c r="U621" s="12"/>
      <c r="V621" s="12"/>
      <c r="W621" s="12"/>
      <c r="X621" s="12"/>
      <c r="Y621" s="12"/>
      <c r="Z621" s="12"/>
      <c r="AA621" s="12"/>
      <c r="AB621" s="12"/>
      <c r="AC621" s="12"/>
      <c r="AD621" s="12"/>
      <c r="AE621" s="12"/>
      <c r="AF621" s="12"/>
    </row>
    <row r="622" spans="1:32" ht="13.2">
      <c r="A622" s="8"/>
      <c r="B622" s="8"/>
      <c r="C622" s="8"/>
      <c r="D622" s="8"/>
      <c r="E622" s="8"/>
      <c r="F622" s="8"/>
      <c r="G622" s="9"/>
      <c r="H622" s="8"/>
      <c r="I622" s="8"/>
      <c r="J622" s="8"/>
      <c r="K622" s="8"/>
      <c r="L622" s="8"/>
      <c r="M622" s="8"/>
      <c r="N622" s="8"/>
      <c r="O622" s="8"/>
      <c r="P622" s="8"/>
      <c r="Q622" s="8"/>
      <c r="R622" s="8"/>
      <c r="S622" s="8"/>
      <c r="T622" s="8"/>
      <c r="U622" s="12"/>
      <c r="V622" s="12"/>
      <c r="W622" s="12"/>
      <c r="X622" s="12"/>
      <c r="Y622" s="12"/>
      <c r="Z622" s="12"/>
      <c r="AA622" s="12"/>
      <c r="AB622" s="12"/>
      <c r="AC622" s="12"/>
      <c r="AD622" s="12"/>
      <c r="AE622" s="12"/>
      <c r="AF622" s="12"/>
    </row>
    <row r="623" spans="1:32" ht="13.2">
      <c r="A623" s="8"/>
      <c r="B623" s="8"/>
      <c r="C623" s="8"/>
      <c r="D623" s="8"/>
      <c r="E623" s="8"/>
      <c r="F623" s="8"/>
      <c r="G623" s="9"/>
      <c r="H623" s="8"/>
      <c r="I623" s="8"/>
      <c r="J623" s="8"/>
      <c r="K623" s="8"/>
      <c r="L623" s="8"/>
      <c r="M623" s="8"/>
      <c r="N623" s="8"/>
      <c r="O623" s="8"/>
      <c r="P623" s="8"/>
      <c r="Q623" s="8"/>
      <c r="R623" s="8"/>
      <c r="S623" s="8"/>
      <c r="T623" s="8"/>
      <c r="U623" s="12"/>
      <c r="V623" s="12"/>
      <c r="W623" s="12"/>
      <c r="X623" s="12"/>
      <c r="Y623" s="12"/>
      <c r="Z623" s="12"/>
      <c r="AA623" s="12"/>
      <c r="AB623" s="12"/>
      <c r="AC623" s="12"/>
      <c r="AD623" s="12"/>
      <c r="AE623" s="12"/>
      <c r="AF623" s="12"/>
    </row>
    <row r="624" spans="1:32" ht="13.2">
      <c r="A624" s="8"/>
      <c r="B624" s="8"/>
      <c r="C624" s="8"/>
      <c r="D624" s="8"/>
      <c r="E624" s="8"/>
      <c r="F624" s="8"/>
      <c r="G624" s="9"/>
      <c r="H624" s="8"/>
      <c r="I624" s="8"/>
      <c r="J624" s="8"/>
      <c r="K624" s="8"/>
      <c r="L624" s="8"/>
      <c r="M624" s="8"/>
      <c r="N624" s="8"/>
      <c r="O624" s="8"/>
      <c r="P624" s="8"/>
      <c r="Q624" s="8"/>
      <c r="R624" s="8"/>
      <c r="S624" s="8"/>
      <c r="T624" s="8"/>
      <c r="U624" s="12"/>
      <c r="V624" s="12"/>
      <c r="W624" s="12"/>
      <c r="X624" s="12"/>
      <c r="Y624" s="12"/>
      <c r="Z624" s="12"/>
      <c r="AA624" s="12"/>
      <c r="AB624" s="12"/>
      <c r="AC624" s="12"/>
      <c r="AD624" s="12"/>
      <c r="AE624" s="12"/>
      <c r="AF624" s="12"/>
    </row>
    <row r="625" spans="1:32" ht="13.2">
      <c r="A625" s="8"/>
      <c r="B625" s="8"/>
      <c r="C625" s="8"/>
      <c r="D625" s="8"/>
      <c r="E625" s="8"/>
      <c r="F625" s="8"/>
      <c r="G625" s="9"/>
      <c r="H625" s="8"/>
      <c r="I625" s="8"/>
      <c r="J625" s="8"/>
      <c r="K625" s="8"/>
      <c r="L625" s="8"/>
      <c r="M625" s="8"/>
      <c r="N625" s="8"/>
      <c r="O625" s="8"/>
      <c r="P625" s="8"/>
      <c r="Q625" s="8"/>
      <c r="R625" s="8"/>
      <c r="S625" s="8"/>
      <c r="T625" s="8"/>
      <c r="U625" s="12"/>
      <c r="V625" s="12"/>
      <c r="W625" s="12"/>
      <c r="X625" s="12"/>
      <c r="Y625" s="12"/>
      <c r="Z625" s="12"/>
      <c r="AA625" s="12"/>
      <c r="AB625" s="12"/>
      <c r="AC625" s="12"/>
      <c r="AD625" s="12"/>
      <c r="AE625" s="12"/>
      <c r="AF625" s="12"/>
    </row>
    <row r="626" spans="1:32" ht="13.2">
      <c r="A626" s="8"/>
      <c r="B626" s="8"/>
      <c r="C626" s="8"/>
      <c r="D626" s="8"/>
      <c r="E626" s="8"/>
      <c r="F626" s="8"/>
      <c r="G626" s="9"/>
      <c r="H626" s="8"/>
      <c r="I626" s="8"/>
      <c r="J626" s="8"/>
      <c r="K626" s="8"/>
      <c r="L626" s="8"/>
      <c r="M626" s="8"/>
      <c r="N626" s="8"/>
      <c r="O626" s="8"/>
      <c r="P626" s="8"/>
      <c r="Q626" s="8"/>
      <c r="R626" s="8"/>
      <c r="S626" s="8"/>
      <c r="T626" s="8"/>
      <c r="U626" s="12"/>
      <c r="V626" s="12"/>
      <c r="W626" s="12"/>
      <c r="X626" s="12"/>
      <c r="Y626" s="12"/>
      <c r="Z626" s="12"/>
      <c r="AA626" s="12"/>
      <c r="AB626" s="12"/>
      <c r="AC626" s="12"/>
      <c r="AD626" s="12"/>
      <c r="AE626" s="12"/>
      <c r="AF626" s="12"/>
    </row>
    <row r="627" spans="1:32" ht="13.2">
      <c r="A627" s="8"/>
      <c r="B627" s="8"/>
      <c r="C627" s="8"/>
      <c r="D627" s="8"/>
      <c r="E627" s="8"/>
      <c r="F627" s="8"/>
      <c r="G627" s="9"/>
      <c r="H627" s="8"/>
      <c r="I627" s="8"/>
      <c r="J627" s="8"/>
      <c r="K627" s="8"/>
      <c r="L627" s="8"/>
      <c r="M627" s="8"/>
      <c r="N627" s="8"/>
      <c r="O627" s="8"/>
      <c r="P627" s="8"/>
      <c r="Q627" s="8"/>
      <c r="R627" s="8"/>
      <c r="S627" s="8"/>
      <c r="T627" s="8"/>
      <c r="U627" s="12"/>
      <c r="V627" s="12"/>
      <c r="W627" s="12"/>
      <c r="X627" s="12"/>
      <c r="Y627" s="12"/>
      <c r="Z627" s="12"/>
      <c r="AA627" s="12"/>
      <c r="AB627" s="12"/>
      <c r="AC627" s="12"/>
      <c r="AD627" s="12"/>
      <c r="AE627" s="12"/>
      <c r="AF627" s="12"/>
    </row>
    <row r="628" spans="1:32" ht="13.2">
      <c r="A628" s="8"/>
      <c r="B628" s="8"/>
      <c r="C628" s="8"/>
      <c r="D628" s="8"/>
      <c r="E628" s="8"/>
      <c r="F628" s="8"/>
      <c r="G628" s="9"/>
      <c r="H628" s="8"/>
      <c r="I628" s="8"/>
      <c r="J628" s="8"/>
      <c r="K628" s="8"/>
      <c r="L628" s="8"/>
      <c r="M628" s="8"/>
      <c r="N628" s="8"/>
      <c r="O628" s="8"/>
      <c r="P628" s="8"/>
      <c r="Q628" s="8"/>
      <c r="R628" s="8"/>
      <c r="S628" s="8"/>
      <c r="T628" s="8"/>
      <c r="U628" s="12"/>
      <c r="V628" s="12"/>
      <c r="W628" s="12"/>
      <c r="X628" s="12"/>
      <c r="Y628" s="12"/>
      <c r="Z628" s="12"/>
      <c r="AA628" s="12"/>
      <c r="AB628" s="12"/>
      <c r="AC628" s="12"/>
      <c r="AD628" s="12"/>
      <c r="AE628" s="12"/>
      <c r="AF628" s="12"/>
    </row>
    <row r="629" spans="1:32" ht="13.2">
      <c r="A629" s="8"/>
      <c r="B629" s="8"/>
      <c r="C629" s="8"/>
      <c r="D629" s="8"/>
      <c r="E629" s="8"/>
      <c r="F629" s="8"/>
      <c r="G629" s="9"/>
      <c r="H629" s="8"/>
      <c r="I629" s="8"/>
      <c r="J629" s="8"/>
      <c r="K629" s="8"/>
      <c r="L629" s="8"/>
      <c r="M629" s="8"/>
      <c r="N629" s="8"/>
      <c r="O629" s="8"/>
      <c r="P629" s="8"/>
      <c r="Q629" s="8"/>
      <c r="R629" s="8"/>
      <c r="S629" s="8"/>
      <c r="T629" s="8"/>
      <c r="U629" s="12"/>
      <c r="V629" s="12"/>
      <c r="W629" s="12"/>
      <c r="X629" s="12"/>
      <c r="Y629" s="12"/>
      <c r="Z629" s="12"/>
      <c r="AA629" s="12"/>
      <c r="AB629" s="12"/>
      <c r="AC629" s="12"/>
      <c r="AD629" s="12"/>
      <c r="AE629" s="12"/>
      <c r="AF629" s="12"/>
    </row>
    <row r="630" spans="1:32" ht="13.2">
      <c r="A630" s="8"/>
      <c r="B630" s="8"/>
      <c r="C630" s="8"/>
      <c r="D630" s="8"/>
      <c r="E630" s="8"/>
      <c r="F630" s="8"/>
      <c r="G630" s="9"/>
      <c r="H630" s="8"/>
      <c r="I630" s="8"/>
      <c r="J630" s="8"/>
      <c r="K630" s="8"/>
      <c r="L630" s="8"/>
      <c r="M630" s="8"/>
      <c r="N630" s="8"/>
      <c r="O630" s="8"/>
      <c r="P630" s="8"/>
      <c r="Q630" s="8"/>
      <c r="R630" s="8"/>
      <c r="S630" s="8"/>
      <c r="T630" s="8"/>
      <c r="U630" s="12"/>
      <c r="V630" s="12"/>
      <c r="W630" s="12"/>
      <c r="X630" s="12"/>
      <c r="Y630" s="12"/>
      <c r="Z630" s="12"/>
      <c r="AA630" s="12"/>
      <c r="AB630" s="12"/>
      <c r="AC630" s="12"/>
      <c r="AD630" s="12"/>
      <c r="AE630" s="12"/>
      <c r="AF630" s="12"/>
    </row>
    <row r="631" spans="1:32" ht="13.2">
      <c r="A631" s="8"/>
      <c r="B631" s="8"/>
      <c r="C631" s="8"/>
      <c r="D631" s="8"/>
      <c r="E631" s="8"/>
      <c r="F631" s="8"/>
      <c r="G631" s="9"/>
      <c r="H631" s="8"/>
      <c r="I631" s="8"/>
      <c r="J631" s="8"/>
      <c r="K631" s="8"/>
      <c r="L631" s="8"/>
      <c r="M631" s="8"/>
      <c r="N631" s="8"/>
      <c r="O631" s="8"/>
      <c r="P631" s="8"/>
      <c r="Q631" s="8"/>
      <c r="R631" s="8"/>
      <c r="S631" s="8"/>
      <c r="T631" s="8"/>
      <c r="U631" s="12"/>
      <c r="V631" s="12"/>
      <c r="W631" s="12"/>
      <c r="X631" s="12"/>
      <c r="Y631" s="12"/>
      <c r="Z631" s="12"/>
      <c r="AA631" s="12"/>
      <c r="AB631" s="12"/>
      <c r="AC631" s="12"/>
      <c r="AD631" s="12"/>
      <c r="AE631" s="12"/>
      <c r="AF631" s="12"/>
    </row>
    <row r="632" spans="1:32" ht="13.2">
      <c r="A632" s="8"/>
      <c r="B632" s="8"/>
      <c r="C632" s="8"/>
      <c r="D632" s="8"/>
      <c r="E632" s="8"/>
      <c r="F632" s="8"/>
      <c r="G632" s="9"/>
      <c r="H632" s="8"/>
      <c r="I632" s="8"/>
      <c r="J632" s="8"/>
      <c r="K632" s="8"/>
      <c r="L632" s="8"/>
      <c r="M632" s="8"/>
      <c r="N632" s="8"/>
      <c r="O632" s="8"/>
      <c r="P632" s="8"/>
      <c r="Q632" s="8"/>
      <c r="R632" s="8"/>
      <c r="S632" s="8"/>
      <c r="T632" s="8"/>
      <c r="U632" s="12"/>
      <c r="V632" s="12"/>
      <c r="W632" s="12"/>
      <c r="X632" s="12"/>
      <c r="Y632" s="12"/>
      <c r="Z632" s="12"/>
      <c r="AA632" s="12"/>
      <c r="AB632" s="12"/>
      <c r="AC632" s="12"/>
      <c r="AD632" s="12"/>
      <c r="AE632" s="12"/>
      <c r="AF632" s="12"/>
    </row>
    <row r="633" spans="1:32" ht="13.2">
      <c r="A633" s="8"/>
      <c r="B633" s="8"/>
      <c r="C633" s="8"/>
      <c r="D633" s="8"/>
      <c r="E633" s="8"/>
      <c r="F633" s="8"/>
      <c r="G633" s="9"/>
      <c r="H633" s="8"/>
      <c r="I633" s="8"/>
      <c r="J633" s="8"/>
      <c r="K633" s="8"/>
      <c r="L633" s="8"/>
      <c r="M633" s="8"/>
      <c r="N633" s="8"/>
      <c r="O633" s="8"/>
      <c r="P633" s="8"/>
      <c r="Q633" s="8"/>
      <c r="R633" s="8"/>
      <c r="S633" s="8"/>
      <c r="T633" s="8"/>
      <c r="U633" s="12"/>
      <c r="V633" s="12"/>
      <c r="W633" s="12"/>
      <c r="X633" s="12"/>
      <c r="Y633" s="12"/>
      <c r="Z633" s="12"/>
      <c r="AA633" s="12"/>
      <c r="AB633" s="12"/>
      <c r="AC633" s="12"/>
      <c r="AD633" s="12"/>
      <c r="AE633" s="12"/>
      <c r="AF633" s="12"/>
    </row>
    <row r="634" spans="1:32" ht="13.2">
      <c r="A634" s="8"/>
      <c r="B634" s="8"/>
      <c r="C634" s="8"/>
      <c r="D634" s="8"/>
      <c r="E634" s="8"/>
      <c r="F634" s="8"/>
      <c r="G634" s="9"/>
      <c r="H634" s="8"/>
      <c r="I634" s="8"/>
      <c r="J634" s="8"/>
      <c r="K634" s="8"/>
      <c r="L634" s="8"/>
      <c r="M634" s="8"/>
      <c r="N634" s="8"/>
      <c r="O634" s="8"/>
      <c r="P634" s="8"/>
      <c r="Q634" s="8"/>
      <c r="R634" s="8"/>
      <c r="S634" s="8"/>
      <c r="T634" s="8"/>
      <c r="U634" s="12"/>
      <c r="V634" s="12"/>
      <c r="W634" s="12"/>
      <c r="X634" s="12"/>
      <c r="Y634" s="12"/>
      <c r="Z634" s="12"/>
      <c r="AA634" s="12"/>
      <c r="AB634" s="12"/>
      <c r="AC634" s="12"/>
      <c r="AD634" s="12"/>
      <c r="AE634" s="12"/>
      <c r="AF634" s="12"/>
    </row>
    <row r="635" spans="1:32" ht="13.2">
      <c r="A635" s="8"/>
      <c r="B635" s="8"/>
      <c r="C635" s="8"/>
      <c r="D635" s="8"/>
      <c r="E635" s="8"/>
      <c r="F635" s="8"/>
      <c r="G635" s="9"/>
      <c r="H635" s="8"/>
      <c r="I635" s="8"/>
      <c r="J635" s="8"/>
      <c r="K635" s="8"/>
      <c r="L635" s="8"/>
      <c r="M635" s="8"/>
      <c r="N635" s="8"/>
      <c r="O635" s="8"/>
      <c r="P635" s="8"/>
      <c r="Q635" s="8"/>
      <c r="R635" s="8"/>
      <c r="S635" s="8"/>
      <c r="T635" s="8"/>
      <c r="U635" s="12"/>
      <c r="V635" s="12"/>
      <c r="W635" s="12"/>
      <c r="X635" s="12"/>
      <c r="Y635" s="12"/>
      <c r="Z635" s="12"/>
      <c r="AA635" s="12"/>
      <c r="AB635" s="12"/>
      <c r="AC635" s="12"/>
      <c r="AD635" s="12"/>
      <c r="AE635" s="12"/>
      <c r="AF635" s="12"/>
    </row>
    <row r="636" spans="1:32" ht="13.2">
      <c r="A636" s="8"/>
      <c r="B636" s="8"/>
      <c r="C636" s="8"/>
      <c r="D636" s="8"/>
      <c r="E636" s="8"/>
      <c r="F636" s="8"/>
      <c r="G636" s="9"/>
      <c r="H636" s="8"/>
      <c r="I636" s="8"/>
      <c r="J636" s="8"/>
      <c r="K636" s="8"/>
      <c r="L636" s="8"/>
      <c r="M636" s="8"/>
      <c r="N636" s="8"/>
      <c r="O636" s="8"/>
      <c r="P636" s="8"/>
      <c r="Q636" s="8"/>
      <c r="R636" s="8"/>
      <c r="S636" s="8"/>
      <c r="T636" s="8"/>
      <c r="U636" s="12"/>
      <c r="V636" s="12"/>
      <c r="W636" s="12"/>
      <c r="X636" s="12"/>
      <c r="Y636" s="12"/>
      <c r="Z636" s="12"/>
      <c r="AA636" s="12"/>
      <c r="AB636" s="12"/>
      <c r="AC636" s="12"/>
      <c r="AD636" s="12"/>
      <c r="AE636" s="12"/>
      <c r="AF636" s="12"/>
    </row>
    <row r="637" spans="1:32" ht="13.2">
      <c r="A637" s="8"/>
      <c r="B637" s="8"/>
      <c r="C637" s="8"/>
      <c r="D637" s="8"/>
      <c r="E637" s="8"/>
      <c r="F637" s="8"/>
      <c r="G637" s="9"/>
      <c r="H637" s="8"/>
      <c r="I637" s="8"/>
      <c r="J637" s="8"/>
      <c r="K637" s="8"/>
      <c r="L637" s="8"/>
      <c r="M637" s="8"/>
      <c r="N637" s="8"/>
      <c r="O637" s="8"/>
      <c r="P637" s="8"/>
      <c r="Q637" s="8"/>
      <c r="R637" s="8"/>
      <c r="S637" s="8"/>
      <c r="T637" s="8"/>
      <c r="U637" s="12"/>
      <c r="V637" s="12"/>
      <c r="W637" s="12"/>
      <c r="X637" s="12"/>
      <c r="Y637" s="12"/>
      <c r="Z637" s="12"/>
      <c r="AA637" s="12"/>
      <c r="AB637" s="12"/>
      <c r="AC637" s="12"/>
      <c r="AD637" s="12"/>
      <c r="AE637" s="12"/>
      <c r="AF637" s="12"/>
    </row>
    <row r="638" spans="1:32" ht="13.2">
      <c r="A638" s="8"/>
      <c r="B638" s="8"/>
      <c r="C638" s="8"/>
      <c r="D638" s="8"/>
      <c r="E638" s="8"/>
      <c r="F638" s="8"/>
      <c r="G638" s="9"/>
      <c r="H638" s="8"/>
      <c r="I638" s="8"/>
      <c r="J638" s="8"/>
      <c r="K638" s="8"/>
      <c r="L638" s="8"/>
      <c r="M638" s="8"/>
      <c r="N638" s="8"/>
      <c r="O638" s="8"/>
      <c r="P638" s="8"/>
      <c r="Q638" s="8"/>
      <c r="R638" s="8"/>
      <c r="S638" s="8"/>
      <c r="T638" s="8"/>
      <c r="U638" s="12"/>
      <c r="V638" s="12"/>
      <c r="W638" s="12"/>
      <c r="X638" s="12"/>
      <c r="Y638" s="12"/>
      <c r="Z638" s="12"/>
      <c r="AA638" s="12"/>
      <c r="AB638" s="12"/>
      <c r="AC638" s="12"/>
      <c r="AD638" s="12"/>
      <c r="AE638" s="12"/>
      <c r="AF638" s="12"/>
    </row>
    <row r="639" spans="1:32" ht="13.2">
      <c r="A639" s="8"/>
      <c r="B639" s="8"/>
      <c r="C639" s="8"/>
      <c r="D639" s="8"/>
      <c r="E639" s="8"/>
      <c r="F639" s="8"/>
      <c r="G639" s="9"/>
      <c r="H639" s="8"/>
      <c r="I639" s="8"/>
      <c r="J639" s="8"/>
      <c r="K639" s="8"/>
      <c r="L639" s="8"/>
      <c r="M639" s="8"/>
      <c r="N639" s="8"/>
      <c r="O639" s="8"/>
      <c r="P639" s="8"/>
      <c r="Q639" s="8"/>
      <c r="R639" s="8"/>
      <c r="S639" s="8"/>
      <c r="T639" s="8"/>
      <c r="U639" s="12"/>
      <c r="V639" s="12"/>
      <c r="W639" s="12"/>
      <c r="X639" s="12"/>
      <c r="Y639" s="12"/>
      <c r="Z639" s="12"/>
      <c r="AA639" s="12"/>
      <c r="AB639" s="12"/>
      <c r="AC639" s="12"/>
      <c r="AD639" s="12"/>
      <c r="AE639" s="12"/>
      <c r="AF639" s="12"/>
    </row>
    <row r="640" spans="1:32" ht="13.2">
      <c r="A640" s="8"/>
      <c r="B640" s="8"/>
      <c r="C640" s="8"/>
      <c r="D640" s="8"/>
      <c r="E640" s="8"/>
      <c r="F640" s="8"/>
      <c r="G640" s="9"/>
      <c r="H640" s="8"/>
      <c r="I640" s="8"/>
      <c r="J640" s="8"/>
      <c r="K640" s="8"/>
      <c r="L640" s="8"/>
      <c r="M640" s="8"/>
      <c r="N640" s="8"/>
      <c r="O640" s="8"/>
      <c r="P640" s="8"/>
      <c r="Q640" s="8"/>
      <c r="R640" s="8"/>
      <c r="S640" s="8"/>
      <c r="T640" s="8"/>
      <c r="U640" s="12"/>
      <c r="V640" s="12"/>
      <c r="W640" s="12"/>
      <c r="X640" s="12"/>
      <c r="Y640" s="12"/>
      <c r="Z640" s="12"/>
      <c r="AA640" s="12"/>
      <c r="AB640" s="12"/>
      <c r="AC640" s="12"/>
      <c r="AD640" s="12"/>
      <c r="AE640" s="12"/>
      <c r="AF640" s="12"/>
    </row>
    <row r="641" spans="1:32" ht="13.2">
      <c r="A641" s="8"/>
      <c r="B641" s="8"/>
      <c r="C641" s="8"/>
      <c r="D641" s="8"/>
      <c r="E641" s="8"/>
      <c r="F641" s="8"/>
      <c r="G641" s="9"/>
      <c r="H641" s="8"/>
      <c r="I641" s="8"/>
      <c r="J641" s="8"/>
      <c r="K641" s="8"/>
      <c r="L641" s="8"/>
      <c r="M641" s="8"/>
      <c r="N641" s="8"/>
      <c r="O641" s="8"/>
      <c r="P641" s="8"/>
      <c r="Q641" s="8"/>
      <c r="R641" s="8"/>
      <c r="S641" s="8"/>
      <c r="T641" s="8"/>
      <c r="U641" s="12"/>
      <c r="V641" s="12"/>
      <c r="W641" s="12"/>
      <c r="X641" s="12"/>
      <c r="Y641" s="12"/>
      <c r="Z641" s="12"/>
      <c r="AA641" s="12"/>
      <c r="AB641" s="12"/>
      <c r="AC641" s="12"/>
      <c r="AD641" s="12"/>
      <c r="AE641" s="12"/>
      <c r="AF641" s="12"/>
    </row>
    <row r="642" spans="1:32" ht="13.2">
      <c r="A642" s="8"/>
      <c r="B642" s="8"/>
      <c r="C642" s="8"/>
      <c r="D642" s="8"/>
      <c r="E642" s="8"/>
      <c r="F642" s="8"/>
      <c r="G642" s="9"/>
      <c r="H642" s="8"/>
      <c r="I642" s="8"/>
      <c r="J642" s="8"/>
      <c r="K642" s="8"/>
      <c r="L642" s="8"/>
      <c r="M642" s="8"/>
      <c r="N642" s="8"/>
      <c r="O642" s="8"/>
      <c r="P642" s="8"/>
      <c r="Q642" s="8"/>
      <c r="R642" s="8"/>
      <c r="S642" s="8"/>
      <c r="T642" s="8"/>
      <c r="U642" s="12"/>
      <c r="V642" s="12"/>
      <c r="W642" s="12"/>
      <c r="X642" s="12"/>
      <c r="Y642" s="12"/>
      <c r="Z642" s="12"/>
      <c r="AA642" s="12"/>
      <c r="AB642" s="12"/>
      <c r="AC642" s="12"/>
      <c r="AD642" s="12"/>
      <c r="AE642" s="12"/>
      <c r="AF642" s="12"/>
    </row>
    <row r="643" spans="1:32" ht="13.2">
      <c r="A643" s="8"/>
      <c r="B643" s="8"/>
      <c r="C643" s="8"/>
      <c r="D643" s="8"/>
      <c r="E643" s="8"/>
      <c r="F643" s="8"/>
      <c r="G643" s="9"/>
      <c r="H643" s="8"/>
      <c r="I643" s="8"/>
      <c r="J643" s="8"/>
      <c r="K643" s="8"/>
      <c r="L643" s="8"/>
      <c r="M643" s="8"/>
      <c r="N643" s="8"/>
      <c r="O643" s="8"/>
      <c r="P643" s="8"/>
      <c r="Q643" s="8"/>
      <c r="R643" s="8"/>
      <c r="S643" s="8"/>
      <c r="T643" s="8"/>
      <c r="U643" s="12"/>
      <c r="V643" s="12"/>
      <c r="W643" s="12"/>
      <c r="X643" s="12"/>
      <c r="Y643" s="12"/>
      <c r="Z643" s="12"/>
      <c r="AA643" s="12"/>
      <c r="AB643" s="12"/>
      <c r="AC643" s="12"/>
      <c r="AD643" s="12"/>
      <c r="AE643" s="12"/>
      <c r="AF643" s="12"/>
    </row>
    <row r="644" spans="1:32" ht="13.2">
      <c r="A644" s="8"/>
      <c r="B644" s="8"/>
      <c r="C644" s="8"/>
      <c r="D644" s="8"/>
      <c r="E644" s="8"/>
      <c r="F644" s="8"/>
      <c r="G644" s="9"/>
      <c r="H644" s="8"/>
      <c r="I644" s="8"/>
      <c r="J644" s="8"/>
      <c r="K644" s="8"/>
      <c r="L644" s="8"/>
      <c r="M644" s="8"/>
      <c r="N644" s="8"/>
      <c r="O644" s="8"/>
      <c r="P644" s="8"/>
      <c r="Q644" s="8"/>
      <c r="R644" s="8"/>
      <c r="S644" s="8"/>
      <c r="T644" s="8"/>
      <c r="U644" s="12"/>
      <c r="V644" s="12"/>
      <c r="W644" s="12"/>
      <c r="X644" s="12"/>
      <c r="Y644" s="12"/>
      <c r="Z644" s="12"/>
      <c r="AA644" s="12"/>
      <c r="AB644" s="12"/>
      <c r="AC644" s="12"/>
      <c r="AD644" s="12"/>
      <c r="AE644" s="12"/>
      <c r="AF644" s="12"/>
    </row>
    <row r="645" spans="1:32" ht="13.2">
      <c r="A645" s="8"/>
      <c r="B645" s="8"/>
      <c r="C645" s="8"/>
      <c r="D645" s="8"/>
      <c r="E645" s="8"/>
      <c r="F645" s="8"/>
      <c r="G645" s="9"/>
      <c r="H645" s="8"/>
      <c r="I645" s="8"/>
      <c r="J645" s="8"/>
      <c r="K645" s="8"/>
      <c r="L645" s="8"/>
      <c r="M645" s="8"/>
      <c r="N645" s="8"/>
      <c r="O645" s="8"/>
      <c r="P645" s="8"/>
      <c r="Q645" s="8"/>
      <c r="R645" s="8"/>
      <c r="S645" s="8"/>
      <c r="T645" s="8"/>
      <c r="U645" s="12"/>
      <c r="V645" s="12"/>
      <c r="W645" s="12"/>
      <c r="X645" s="12"/>
      <c r="Y645" s="12"/>
      <c r="Z645" s="12"/>
      <c r="AA645" s="12"/>
      <c r="AB645" s="12"/>
      <c r="AC645" s="12"/>
      <c r="AD645" s="12"/>
      <c r="AE645" s="12"/>
      <c r="AF645" s="12"/>
    </row>
    <row r="646" spans="1:32" ht="13.2">
      <c r="A646" s="8"/>
      <c r="B646" s="8"/>
      <c r="C646" s="8"/>
      <c r="D646" s="8"/>
      <c r="E646" s="8"/>
      <c r="F646" s="8"/>
      <c r="G646" s="9"/>
      <c r="H646" s="8"/>
      <c r="I646" s="8"/>
      <c r="J646" s="8"/>
      <c r="K646" s="8"/>
      <c r="L646" s="8"/>
      <c r="M646" s="8"/>
      <c r="N646" s="8"/>
      <c r="O646" s="8"/>
      <c r="P646" s="8"/>
      <c r="Q646" s="8"/>
      <c r="R646" s="8"/>
      <c r="S646" s="8"/>
      <c r="T646" s="8"/>
      <c r="U646" s="12"/>
      <c r="V646" s="12"/>
      <c r="W646" s="12"/>
      <c r="X646" s="12"/>
      <c r="Y646" s="12"/>
      <c r="Z646" s="12"/>
      <c r="AA646" s="12"/>
      <c r="AB646" s="12"/>
      <c r="AC646" s="12"/>
      <c r="AD646" s="12"/>
      <c r="AE646" s="12"/>
      <c r="AF646" s="12"/>
    </row>
    <row r="647" spans="1:32" ht="13.2">
      <c r="A647" s="8"/>
      <c r="B647" s="8"/>
      <c r="C647" s="8"/>
      <c r="D647" s="8"/>
      <c r="E647" s="8"/>
      <c r="F647" s="8"/>
      <c r="G647" s="9"/>
      <c r="H647" s="8"/>
      <c r="I647" s="8"/>
      <c r="J647" s="8"/>
      <c r="K647" s="8"/>
      <c r="L647" s="8"/>
      <c r="M647" s="8"/>
      <c r="N647" s="8"/>
      <c r="O647" s="8"/>
      <c r="P647" s="8"/>
      <c r="Q647" s="8"/>
      <c r="R647" s="8"/>
      <c r="S647" s="8"/>
      <c r="T647" s="8"/>
      <c r="U647" s="12"/>
      <c r="V647" s="12"/>
      <c r="W647" s="12"/>
      <c r="X647" s="12"/>
      <c r="Y647" s="12"/>
      <c r="Z647" s="12"/>
      <c r="AA647" s="12"/>
      <c r="AB647" s="12"/>
      <c r="AC647" s="12"/>
      <c r="AD647" s="12"/>
      <c r="AE647" s="12"/>
      <c r="AF647" s="12"/>
    </row>
    <row r="648" spans="1:32" ht="13.2">
      <c r="A648" s="8"/>
      <c r="B648" s="8"/>
      <c r="C648" s="8"/>
      <c r="D648" s="8"/>
      <c r="E648" s="8"/>
      <c r="F648" s="8"/>
      <c r="G648" s="9"/>
      <c r="H648" s="8"/>
      <c r="I648" s="8"/>
      <c r="J648" s="8"/>
      <c r="K648" s="8"/>
      <c r="L648" s="8"/>
      <c r="M648" s="8"/>
      <c r="N648" s="8"/>
      <c r="O648" s="8"/>
      <c r="P648" s="8"/>
      <c r="Q648" s="8"/>
      <c r="R648" s="8"/>
      <c r="S648" s="8"/>
      <c r="T648" s="8"/>
      <c r="U648" s="12"/>
      <c r="V648" s="12"/>
      <c r="W648" s="12"/>
      <c r="X648" s="12"/>
      <c r="Y648" s="12"/>
      <c r="Z648" s="12"/>
      <c r="AA648" s="12"/>
      <c r="AB648" s="12"/>
      <c r="AC648" s="12"/>
      <c r="AD648" s="12"/>
      <c r="AE648" s="12"/>
      <c r="AF648" s="12"/>
    </row>
    <row r="649" spans="1:32" ht="13.2">
      <c r="A649" s="8"/>
      <c r="B649" s="8"/>
      <c r="C649" s="8"/>
      <c r="D649" s="8"/>
      <c r="E649" s="8"/>
      <c r="F649" s="8"/>
      <c r="G649" s="9"/>
      <c r="H649" s="8"/>
      <c r="I649" s="8"/>
      <c r="J649" s="8"/>
      <c r="K649" s="8"/>
      <c r="L649" s="8"/>
      <c r="M649" s="8"/>
      <c r="N649" s="8"/>
      <c r="O649" s="8"/>
      <c r="P649" s="8"/>
      <c r="Q649" s="8"/>
      <c r="R649" s="8"/>
      <c r="S649" s="8"/>
      <c r="T649" s="8"/>
      <c r="U649" s="12"/>
      <c r="V649" s="12"/>
      <c r="W649" s="12"/>
      <c r="X649" s="12"/>
      <c r="Y649" s="12"/>
      <c r="Z649" s="12"/>
      <c r="AA649" s="12"/>
      <c r="AB649" s="12"/>
      <c r="AC649" s="12"/>
      <c r="AD649" s="12"/>
      <c r="AE649" s="12"/>
      <c r="AF649" s="12"/>
    </row>
    <row r="650" spans="1:32" ht="13.2">
      <c r="A650" s="8"/>
      <c r="B650" s="8"/>
      <c r="C650" s="8"/>
      <c r="D650" s="8"/>
      <c r="E650" s="8"/>
      <c r="F650" s="8"/>
      <c r="G650" s="9"/>
      <c r="H650" s="8"/>
      <c r="I650" s="8"/>
      <c r="J650" s="8"/>
      <c r="K650" s="8"/>
      <c r="L650" s="8"/>
      <c r="M650" s="8"/>
      <c r="N650" s="8"/>
      <c r="O650" s="8"/>
      <c r="P650" s="8"/>
      <c r="Q650" s="8"/>
      <c r="R650" s="8"/>
      <c r="S650" s="8"/>
      <c r="T650" s="8"/>
      <c r="U650" s="12"/>
      <c r="V650" s="12"/>
      <c r="W650" s="12"/>
      <c r="X650" s="12"/>
      <c r="Y650" s="12"/>
      <c r="Z650" s="12"/>
      <c r="AA650" s="12"/>
      <c r="AB650" s="12"/>
      <c r="AC650" s="12"/>
      <c r="AD650" s="12"/>
      <c r="AE650" s="12"/>
      <c r="AF650" s="12"/>
    </row>
    <row r="651" spans="1:32" ht="13.2">
      <c r="A651" s="8"/>
      <c r="B651" s="8"/>
      <c r="C651" s="8"/>
      <c r="D651" s="8"/>
      <c r="E651" s="8"/>
      <c r="F651" s="8"/>
      <c r="G651" s="9"/>
      <c r="H651" s="8"/>
      <c r="I651" s="8"/>
      <c r="J651" s="8"/>
      <c r="K651" s="8"/>
      <c r="L651" s="8"/>
      <c r="M651" s="8"/>
      <c r="N651" s="8"/>
      <c r="O651" s="8"/>
      <c r="P651" s="8"/>
      <c r="Q651" s="8"/>
      <c r="R651" s="8"/>
      <c r="S651" s="8"/>
      <c r="T651" s="8"/>
      <c r="U651" s="12"/>
      <c r="V651" s="12"/>
      <c r="W651" s="12"/>
      <c r="X651" s="12"/>
      <c r="Y651" s="12"/>
      <c r="Z651" s="12"/>
      <c r="AA651" s="12"/>
      <c r="AB651" s="12"/>
      <c r="AC651" s="12"/>
      <c r="AD651" s="12"/>
      <c r="AE651" s="12"/>
      <c r="AF651" s="12"/>
    </row>
    <row r="652" spans="1:32" ht="13.2">
      <c r="A652" s="8"/>
      <c r="B652" s="8"/>
      <c r="C652" s="8"/>
      <c r="D652" s="8"/>
      <c r="E652" s="8"/>
      <c r="F652" s="8"/>
      <c r="G652" s="9"/>
      <c r="H652" s="8"/>
      <c r="I652" s="8"/>
      <c r="J652" s="8"/>
      <c r="K652" s="8"/>
      <c r="L652" s="8"/>
      <c r="M652" s="8"/>
      <c r="N652" s="8"/>
      <c r="O652" s="8"/>
      <c r="P652" s="8"/>
      <c r="Q652" s="8"/>
      <c r="R652" s="8"/>
      <c r="S652" s="8"/>
      <c r="T652" s="8"/>
      <c r="U652" s="12"/>
      <c r="V652" s="12"/>
      <c r="W652" s="12"/>
      <c r="X652" s="12"/>
      <c r="Y652" s="12"/>
      <c r="Z652" s="12"/>
      <c r="AA652" s="12"/>
      <c r="AB652" s="12"/>
      <c r="AC652" s="12"/>
      <c r="AD652" s="12"/>
      <c r="AE652" s="12"/>
      <c r="AF652" s="12"/>
    </row>
    <row r="653" spans="1:32" ht="13.2">
      <c r="A653" s="8"/>
      <c r="B653" s="8"/>
      <c r="C653" s="8"/>
      <c r="D653" s="8"/>
      <c r="E653" s="8"/>
      <c r="F653" s="8"/>
      <c r="G653" s="9"/>
      <c r="H653" s="8"/>
      <c r="I653" s="8"/>
      <c r="J653" s="8"/>
      <c r="K653" s="8"/>
      <c r="L653" s="8"/>
      <c r="M653" s="8"/>
      <c r="N653" s="8"/>
      <c r="O653" s="8"/>
      <c r="P653" s="8"/>
      <c r="Q653" s="8"/>
      <c r="R653" s="8"/>
      <c r="S653" s="8"/>
      <c r="T653" s="8"/>
      <c r="U653" s="12"/>
      <c r="V653" s="12"/>
      <c r="W653" s="12"/>
      <c r="X653" s="12"/>
      <c r="Y653" s="12"/>
      <c r="Z653" s="12"/>
      <c r="AA653" s="12"/>
      <c r="AB653" s="12"/>
      <c r="AC653" s="12"/>
      <c r="AD653" s="12"/>
      <c r="AE653" s="12"/>
      <c r="AF653" s="12"/>
    </row>
    <row r="654" spans="1:32" ht="13.2">
      <c r="A654" s="8"/>
      <c r="B654" s="8"/>
      <c r="C654" s="8"/>
      <c r="D654" s="8"/>
      <c r="E654" s="8"/>
      <c r="F654" s="8"/>
      <c r="G654" s="9"/>
      <c r="H654" s="8"/>
      <c r="I654" s="8"/>
      <c r="J654" s="8"/>
      <c r="K654" s="8"/>
      <c r="L654" s="8"/>
      <c r="M654" s="8"/>
      <c r="N654" s="8"/>
      <c r="O654" s="8"/>
      <c r="P654" s="8"/>
      <c r="Q654" s="8"/>
      <c r="R654" s="8"/>
      <c r="S654" s="8"/>
      <c r="T654" s="8"/>
      <c r="U654" s="12"/>
      <c r="V654" s="12"/>
      <c r="W654" s="12"/>
      <c r="X654" s="12"/>
      <c r="Y654" s="12"/>
      <c r="Z654" s="12"/>
      <c r="AA654" s="12"/>
      <c r="AB654" s="12"/>
      <c r="AC654" s="12"/>
      <c r="AD654" s="12"/>
      <c r="AE654" s="12"/>
      <c r="AF654" s="12"/>
    </row>
    <row r="655" spans="1:32" ht="13.2">
      <c r="A655" s="8"/>
      <c r="B655" s="8"/>
      <c r="C655" s="8"/>
      <c r="D655" s="8"/>
      <c r="E655" s="8"/>
      <c r="F655" s="8"/>
      <c r="G655" s="9"/>
      <c r="H655" s="8"/>
      <c r="I655" s="8"/>
      <c r="J655" s="8"/>
      <c r="K655" s="8"/>
      <c r="L655" s="8"/>
      <c r="M655" s="8"/>
      <c r="N655" s="8"/>
      <c r="O655" s="8"/>
      <c r="P655" s="8"/>
      <c r="Q655" s="8"/>
      <c r="R655" s="8"/>
      <c r="S655" s="8"/>
      <c r="T655" s="8"/>
      <c r="U655" s="12"/>
      <c r="V655" s="12"/>
      <c r="W655" s="12"/>
      <c r="X655" s="12"/>
      <c r="Y655" s="12"/>
      <c r="Z655" s="12"/>
      <c r="AA655" s="12"/>
      <c r="AB655" s="12"/>
      <c r="AC655" s="12"/>
      <c r="AD655" s="12"/>
      <c r="AE655" s="12"/>
      <c r="AF655" s="12"/>
    </row>
    <row r="656" spans="1:32" ht="13.2">
      <c r="A656" s="8"/>
      <c r="B656" s="8"/>
      <c r="C656" s="8"/>
      <c r="D656" s="8"/>
      <c r="E656" s="8"/>
      <c r="F656" s="8"/>
      <c r="G656" s="9"/>
      <c r="H656" s="8"/>
      <c r="I656" s="8"/>
      <c r="J656" s="8"/>
      <c r="K656" s="8"/>
      <c r="L656" s="8"/>
      <c r="M656" s="8"/>
      <c r="N656" s="8"/>
      <c r="O656" s="8"/>
      <c r="P656" s="8"/>
      <c r="Q656" s="8"/>
      <c r="R656" s="8"/>
      <c r="S656" s="8"/>
      <c r="T656" s="8"/>
      <c r="U656" s="12"/>
      <c r="V656" s="12"/>
      <c r="W656" s="12"/>
      <c r="X656" s="12"/>
      <c r="Y656" s="12"/>
      <c r="Z656" s="12"/>
      <c r="AA656" s="12"/>
      <c r="AB656" s="12"/>
      <c r="AC656" s="12"/>
      <c r="AD656" s="12"/>
      <c r="AE656" s="12"/>
      <c r="AF656" s="12"/>
    </row>
    <row r="657" spans="1:32" ht="13.2">
      <c r="A657" s="8"/>
      <c r="B657" s="8"/>
      <c r="C657" s="8"/>
      <c r="D657" s="8"/>
      <c r="E657" s="8"/>
      <c r="F657" s="8"/>
      <c r="G657" s="9"/>
      <c r="H657" s="8"/>
      <c r="I657" s="8"/>
      <c r="J657" s="8"/>
      <c r="K657" s="8"/>
      <c r="L657" s="8"/>
      <c r="M657" s="8"/>
      <c r="N657" s="8"/>
      <c r="O657" s="8"/>
      <c r="P657" s="8"/>
      <c r="Q657" s="8"/>
      <c r="R657" s="8"/>
      <c r="S657" s="8"/>
      <c r="T657" s="8"/>
      <c r="U657" s="12"/>
      <c r="V657" s="12"/>
      <c r="W657" s="12"/>
      <c r="X657" s="12"/>
      <c r="Y657" s="12"/>
      <c r="Z657" s="12"/>
      <c r="AA657" s="12"/>
      <c r="AB657" s="12"/>
      <c r="AC657" s="12"/>
      <c r="AD657" s="12"/>
      <c r="AE657" s="12"/>
      <c r="AF657" s="12"/>
    </row>
    <row r="658" spans="1:32" ht="13.2">
      <c r="A658" s="8"/>
      <c r="B658" s="8"/>
      <c r="C658" s="8"/>
      <c r="D658" s="8"/>
      <c r="E658" s="8"/>
      <c r="F658" s="8"/>
      <c r="G658" s="9"/>
      <c r="H658" s="8"/>
      <c r="I658" s="8"/>
      <c r="J658" s="8"/>
      <c r="K658" s="8"/>
      <c r="L658" s="8"/>
      <c r="M658" s="8"/>
      <c r="N658" s="8"/>
      <c r="O658" s="8"/>
      <c r="P658" s="8"/>
      <c r="Q658" s="8"/>
      <c r="R658" s="8"/>
      <c r="S658" s="8"/>
      <c r="T658" s="8"/>
      <c r="U658" s="12"/>
      <c r="V658" s="12"/>
      <c r="W658" s="12"/>
      <c r="X658" s="12"/>
      <c r="Y658" s="12"/>
      <c r="Z658" s="12"/>
      <c r="AA658" s="12"/>
      <c r="AB658" s="12"/>
      <c r="AC658" s="12"/>
      <c r="AD658" s="12"/>
      <c r="AE658" s="12"/>
      <c r="AF658" s="12"/>
    </row>
    <row r="659" spans="1:32" ht="13.2">
      <c r="A659" s="8"/>
      <c r="B659" s="8"/>
      <c r="C659" s="8"/>
      <c r="D659" s="8"/>
      <c r="E659" s="8"/>
      <c r="F659" s="8"/>
      <c r="G659" s="9"/>
      <c r="H659" s="8"/>
      <c r="I659" s="8"/>
      <c r="J659" s="8"/>
      <c r="K659" s="8"/>
      <c r="L659" s="8"/>
      <c r="M659" s="8"/>
      <c r="N659" s="8"/>
      <c r="O659" s="8"/>
      <c r="P659" s="8"/>
      <c r="Q659" s="8"/>
      <c r="R659" s="8"/>
      <c r="S659" s="8"/>
      <c r="T659" s="8"/>
      <c r="U659" s="12"/>
      <c r="V659" s="12"/>
      <c r="W659" s="12"/>
      <c r="X659" s="12"/>
      <c r="Y659" s="12"/>
      <c r="Z659" s="12"/>
      <c r="AA659" s="12"/>
      <c r="AB659" s="12"/>
      <c r="AC659" s="12"/>
      <c r="AD659" s="12"/>
      <c r="AE659" s="12"/>
      <c r="AF659" s="12"/>
    </row>
    <row r="660" spans="1:32" ht="13.2">
      <c r="A660" s="8"/>
      <c r="B660" s="8"/>
      <c r="C660" s="8"/>
      <c r="D660" s="8"/>
      <c r="E660" s="8"/>
      <c r="F660" s="8"/>
      <c r="G660" s="9"/>
      <c r="H660" s="8"/>
      <c r="I660" s="8"/>
      <c r="J660" s="8"/>
      <c r="K660" s="8"/>
      <c r="L660" s="8"/>
      <c r="M660" s="8"/>
      <c r="N660" s="8"/>
      <c r="O660" s="8"/>
      <c r="P660" s="8"/>
      <c r="Q660" s="8"/>
      <c r="R660" s="8"/>
      <c r="S660" s="8"/>
      <c r="T660" s="8"/>
      <c r="U660" s="12"/>
      <c r="V660" s="12"/>
      <c r="W660" s="12"/>
      <c r="X660" s="12"/>
      <c r="Y660" s="12"/>
      <c r="Z660" s="12"/>
      <c r="AA660" s="12"/>
      <c r="AB660" s="12"/>
      <c r="AC660" s="12"/>
      <c r="AD660" s="12"/>
      <c r="AE660" s="12"/>
      <c r="AF660" s="12"/>
    </row>
    <row r="661" spans="1:32" ht="13.2">
      <c r="A661" s="8"/>
      <c r="B661" s="8"/>
      <c r="C661" s="8"/>
      <c r="D661" s="8"/>
      <c r="E661" s="8"/>
      <c r="F661" s="8"/>
      <c r="G661" s="9"/>
      <c r="H661" s="8"/>
      <c r="I661" s="8"/>
      <c r="J661" s="8"/>
      <c r="K661" s="8"/>
      <c r="L661" s="8"/>
      <c r="M661" s="8"/>
      <c r="N661" s="8"/>
      <c r="O661" s="8"/>
      <c r="P661" s="8"/>
      <c r="Q661" s="8"/>
      <c r="R661" s="8"/>
      <c r="S661" s="8"/>
      <c r="T661" s="8"/>
      <c r="U661" s="12"/>
      <c r="V661" s="12"/>
      <c r="W661" s="12"/>
      <c r="X661" s="12"/>
      <c r="Y661" s="12"/>
      <c r="Z661" s="12"/>
      <c r="AA661" s="12"/>
      <c r="AB661" s="12"/>
      <c r="AC661" s="12"/>
      <c r="AD661" s="12"/>
      <c r="AE661" s="12"/>
      <c r="AF661" s="12"/>
    </row>
    <row r="662" spans="1:32" ht="13.2">
      <c r="A662" s="8"/>
      <c r="B662" s="8"/>
      <c r="C662" s="8"/>
      <c r="D662" s="8"/>
      <c r="E662" s="8"/>
      <c r="F662" s="8"/>
      <c r="G662" s="9"/>
      <c r="H662" s="8"/>
      <c r="I662" s="8"/>
      <c r="J662" s="8"/>
      <c r="K662" s="8"/>
      <c r="L662" s="8"/>
      <c r="M662" s="8"/>
      <c r="N662" s="8"/>
      <c r="O662" s="8"/>
      <c r="P662" s="8"/>
      <c r="Q662" s="8"/>
      <c r="R662" s="8"/>
      <c r="S662" s="8"/>
      <c r="T662" s="8"/>
      <c r="U662" s="12"/>
      <c r="V662" s="12"/>
      <c r="W662" s="12"/>
      <c r="X662" s="12"/>
      <c r="Y662" s="12"/>
      <c r="Z662" s="12"/>
      <c r="AA662" s="12"/>
      <c r="AB662" s="12"/>
      <c r="AC662" s="12"/>
      <c r="AD662" s="12"/>
      <c r="AE662" s="12"/>
      <c r="AF662" s="12"/>
    </row>
    <row r="663" spans="1:32" ht="13.2">
      <c r="A663" s="8"/>
      <c r="B663" s="8"/>
      <c r="C663" s="8"/>
      <c r="D663" s="8"/>
      <c r="E663" s="8"/>
      <c r="F663" s="8"/>
      <c r="G663" s="9"/>
      <c r="H663" s="8"/>
      <c r="I663" s="8"/>
      <c r="J663" s="8"/>
      <c r="K663" s="8"/>
      <c r="L663" s="8"/>
      <c r="M663" s="8"/>
      <c r="N663" s="8"/>
      <c r="O663" s="8"/>
      <c r="P663" s="8"/>
      <c r="Q663" s="8"/>
      <c r="R663" s="8"/>
      <c r="S663" s="8"/>
      <c r="T663" s="8"/>
      <c r="U663" s="12"/>
      <c r="V663" s="12"/>
      <c r="W663" s="12"/>
      <c r="X663" s="12"/>
      <c r="Y663" s="12"/>
      <c r="Z663" s="12"/>
      <c r="AA663" s="12"/>
      <c r="AB663" s="12"/>
      <c r="AC663" s="12"/>
      <c r="AD663" s="12"/>
      <c r="AE663" s="12"/>
      <c r="AF663" s="12"/>
    </row>
    <row r="664" spans="1:32" ht="13.2">
      <c r="A664" s="8"/>
      <c r="B664" s="8"/>
      <c r="C664" s="8"/>
      <c r="D664" s="8"/>
      <c r="E664" s="8"/>
      <c r="F664" s="8"/>
      <c r="G664" s="9"/>
      <c r="H664" s="8"/>
      <c r="I664" s="8"/>
      <c r="J664" s="8"/>
      <c r="K664" s="8"/>
      <c r="L664" s="8"/>
      <c r="M664" s="8"/>
      <c r="N664" s="8"/>
      <c r="O664" s="8"/>
      <c r="P664" s="8"/>
      <c r="Q664" s="8"/>
      <c r="R664" s="8"/>
      <c r="S664" s="8"/>
      <c r="T664" s="8"/>
      <c r="U664" s="12"/>
      <c r="V664" s="12"/>
      <c r="W664" s="12"/>
      <c r="X664" s="12"/>
      <c r="Y664" s="12"/>
      <c r="Z664" s="12"/>
      <c r="AA664" s="12"/>
      <c r="AB664" s="12"/>
      <c r="AC664" s="12"/>
      <c r="AD664" s="12"/>
      <c r="AE664" s="12"/>
      <c r="AF664" s="12"/>
    </row>
    <row r="665" spans="1:32" ht="13.2">
      <c r="A665" s="8"/>
      <c r="B665" s="8"/>
      <c r="C665" s="8"/>
      <c r="D665" s="8"/>
      <c r="E665" s="8"/>
      <c r="F665" s="8"/>
      <c r="G665" s="9"/>
      <c r="H665" s="8"/>
      <c r="I665" s="8"/>
      <c r="J665" s="8"/>
      <c r="K665" s="8"/>
      <c r="L665" s="8"/>
      <c r="M665" s="8"/>
      <c r="N665" s="8"/>
      <c r="O665" s="8"/>
      <c r="P665" s="8"/>
      <c r="Q665" s="8"/>
      <c r="R665" s="8"/>
      <c r="S665" s="8"/>
      <c r="T665" s="8"/>
      <c r="U665" s="12"/>
      <c r="V665" s="12"/>
      <c r="W665" s="12"/>
      <c r="X665" s="12"/>
      <c r="Y665" s="12"/>
      <c r="Z665" s="12"/>
      <c r="AA665" s="12"/>
      <c r="AB665" s="12"/>
      <c r="AC665" s="12"/>
      <c r="AD665" s="12"/>
      <c r="AE665" s="12"/>
      <c r="AF665" s="12"/>
    </row>
    <row r="666" spans="1:32" ht="13.2">
      <c r="A666" s="8"/>
      <c r="B666" s="8"/>
      <c r="C666" s="8"/>
      <c r="D666" s="8"/>
      <c r="E666" s="8"/>
      <c r="F666" s="8"/>
      <c r="G666" s="9"/>
      <c r="H666" s="8"/>
      <c r="I666" s="8"/>
      <c r="J666" s="8"/>
      <c r="K666" s="8"/>
      <c r="L666" s="8"/>
      <c r="M666" s="8"/>
      <c r="N666" s="8"/>
      <c r="O666" s="8"/>
      <c r="P666" s="8"/>
      <c r="Q666" s="8"/>
      <c r="R666" s="8"/>
      <c r="S666" s="8"/>
      <c r="T666" s="8"/>
      <c r="U666" s="12"/>
      <c r="V666" s="12"/>
      <c r="W666" s="12"/>
      <c r="X666" s="12"/>
      <c r="Y666" s="12"/>
      <c r="Z666" s="12"/>
      <c r="AA666" s="12"/>
      <c r="AB666" s="12"/>
      <c r="AC666" s="12"/>
      <c r="AD666" s="12"/>
      <c r="AE666" s="12"/>
      <c r="AF666" s="12"/>
    </row>
    <row r="667" spans="1:32" ht="13.2">
      <c r="A667" s="8"/>
      <c r="B667" s="8"/>
      <c r="C667" s="8"/>
      <c r="D667" s="8"/>
      <c r="E667" s="8"/>
      <c r="F667" s="8"/>
      <c r="G667" s="9"/>
      <c r="H667" s="8"/>
      <c r="I667" s="8"/>
      <c r="J667" s="8"/>
      <c r="K667" s="8"/>
      <c r="L667" s="8"/>
      <c r="M667" s="8"/>
      <c r="N667" s="8"/>
      <c r="O667" s="8"/>
      <c r="P667" s="8"/>
      <c r="Q667" s="8"/>
      <c r="R667" s="8"/>
      <c r="S667" s="8"/>
      <c r="T667" s="8"/>
      <c r="U667" s="12"/>
      <c r="V667" s="12"/>
      <c r="W667" s="12"/>
      <c r="X667" s="12"/>
      <c r="Y667" s="12"/>
      <c r="Z667" s="12"/>
      <c r="AA667" s="12"/>
      <c r="AB667" s="12"/>
      <c r="AC667" s="12"/>
      <c r="AD667" s="12"/>
      <c r="AE667" s="12"/>
      <c r="AF667" s="12"/>
    </row>
    <row r="668" spans="1:32" ht="13.2">
      <c r="A668" s="8"/>
      <c r="B668" s="8"/>
      <c r="C668" s="8"/>
      <c r="D668" s="8"/>
      <c r="E668" s="8"/>
      <c r="F668" s="8"/>
      <c r="G668" s="9"/>
      <c r="H668" s="8"/>
      <c r="I668" s="8"/>
      <c r="J668" s="8"/>
      <c r="K668" s="8"/>
      <c r="L668" s="8"/>
      <c r="M668" s="8"/>
      <c r="N668" s="8"/>
      <c r="O668" s="8"/>
      <c r="P668" s="8"/>
      <c r="Q668" s="8"/>
      <c r="R668" s="8"/>
      <c r="S668" s="8"/>
      <c r="T668" s="8"/>
      <c r="U668" s="12"/>
      <c r="V668" s="12"/>
      <c r="W668" s="12"/>
      <c r="X668" s="12"/>
      <c r="Y668" s="12"/>
      <c r="Z668" s="12"/>
      <c r="AA668" s="12"/>
      <c r="AB668" s="12"/>
      <c r="AC668" s="12"/>
      <c r="AD668" s="12"/>
      <c r="AE668" s="12"/>
      <c r="AF668" s="12"/>
    </row>
    <row r="669" spans="1:32" ht="13.2">
      <c r="A669" s="8"/>
      <c r="B669" s="8"/>
      <c r="C669" s="8"/>
      <c r="D669" s="8"/>
      <c r="E669" s="8"/>
      <c r="F669" s="8"/>
      <c r="G669" s="9"/>
      <c r="H669" s="8"/>
      <c r="I669" s="8"/>
      <c r="J669" s="8"/>
      <c r="K669" s="8"/>
      <c r="L669" s="8"/>
      <c r="M669" s="8"/>
      <c r="N669" s="8"/>
      <c r="O669" s="8"/>
      <c r="P669" s="8"/>
      <c r="Q669" s="8"/>
      <c r="R669" s="8"/>
      <c r="S669" s="8"/>
      <c r="T669" s="8"/>
      <c r="U669" s="12"/>
      <c r="V669" s="12"/>
      <c r="W669" s="12"/>
      <c r="X669" s="12"/>
      <c r="Y669" s="12"/>
      <c r="Z669" s="12"/>
      <c r="AA669" s="12"/>
      <c r="AB669" s="12"/>
      <c r="AC669" s="12"/>
      <c r="AD669" s="12"/>
      <c r="AE669" s="12"/>
      <c r="AF669" s="12"/>
    </row>
    <row r="670" spans="1:32" ht="13.2">
      <c r="A670" s="8"/>
      <c r="B670" s="8"/>
      <c r="C670" s="8"/>
      <c r="D670" s="8"/>
      <c r="E670" s="8"/>
      <c r="F670" s="8"/>
      <c r="G670" s="9"/>
      <c r="H670" s="8"/>
      <c r="I670" s="8"/>
      <c r="J670" s="8"/>
      <c r="K670" s="8"/>
      <c r="L670" s="8"/>
      <c r="M670" s="8"/>
      <c r="N670" s="8"/>
      <c r="O670" s="8"/>
      <c r="P670" s="8"/>
      <c r="Q670" s="8"/>
      <c r="R670" s="8"/>
      <c r="S670" s="8"/>
      <c r="T670" s="8"/>
      <c r="U670" s="12"/>
      <c r="V670" s="12"/>
      <c r="W670" s="12"/>
      <c r="X670" s="12"/>
      <c r="Y670" s="12"/>
      <c r="Z670" s="12"/>
      <c r="AA670" s="12"/>
      <c r="AB670" s="12"/>
      <c r="AC670" s="12"/>
      <c r="AD670" s="12"/>
      <c r="AE670" s="12"/>
      <c r="AF670" s="12"/>
    </row>
    <row r="671" spans="1:32" ht="13.2">
      <c r="A671" s="8"/>
      <c r="B671" s="8"/>
      <c r="C671" s="8"/>
      <c r="D671" s="8"/>
      <c r="E671" s="8"/>
      <c r="F671" s="8"/>
      <c r="G671" s="9"/>
      <c r="H671" s="8"/>
      <c r="I671" s="8"/>
      <c r="J671" s="8"/>
      <c r="K671" s="8"/>
      <c r="L671" s="8"/>
      <c r="M671" s="8"/>
      <c r="N671" s="8"/>
      <c r="O671" s="8"/>
      <c r="P671" s="8"/>
      <c r="Q671" s="8"/>
      <c r="R671" s="8"/>
      <c r="S671" s="8"/>
      <c r="T671" s="8"/>
      <c r="U671" s="12"/>
      <c r="V671" s="12"/>
      <c r="W671" s="12"/>
      <c r="X671" s="12"/>
      <c r="Y671" s="12"/>
      <c r="Z671" s="12"/>
      <c r="AA671" s="12"/>
      <c r="AB671" s="12"/>
      <c r="AC671" s="12"/>
      <c r="AD671" s="12"/>
      <c r="AE671" s="12"/>
      <c r="AF671" s="12"/>
    </row>
    <row r="672" spans="1:32" ht="13.2">
      <c r="A672" s="8"/>
      <c r="B672" s="8"/>
      <c r="C672" s="8"/>
      <c r="D672" s="8"/>
      <c r="E672" s="8"/>
      <c r="F672" s="8"/>
      <c r="G672" s="9"/>
      <c r="H672" s="8"/>
      <c r="I672" s="8"/>
      <c r="J672" s="8"/>
      <c r="K672" s="8"/>
      <c r="L672" s="8"/>
      <c r="M672" s="8"/>
      <c r="N672" s="8"/>
      <c r="O672" s="8"/>
      <c r="P672" s="8"/>
      <c r="Q672" s="8"/>
      <c r="R672" s="8"/>
      <c r="S672" s="8"/>
      <c r="T672" s="8"/>
      <c r="U672" s="12"/>
      <c r="V672" s="12"/>
      <c r="W672" s="12"/>
      <c r="X672" s="12"/>
      <c r="Y672" s="12"/>
      <c r="Z672" s="12"/>
      <c r="AA672" s="12"/>
      <c r="AB672" s="12"/>
      <c r="AC672" s="12"/>
      <c r="AD672" s="12"/>
      <c r="AE672" s="12"/>
      <c r="AF672" s="12"/>
    </row>
    <row r="673" spans="1:32" ht="13.2">
      <c r="A673" s="8"/>
      <c r="B673" s="8"/>
      <c r="C673" s="8"/>
      <c r="D673" s="8"/>
      <c r="E673" s="8"/>
      <c r="F673" s="8"/>
      <c r="G673" s="9"/>
      <c r="H673" s="8"/>
      <c r="I673" s="8"/>
      <c r="J673" s="8"/>
      <c r="K673" s="8"/>
      <c r="L673" s="8"/>
      <c r="M673" s="8"/>
      <c r="N673" s="8"/>
      <c r="O673" s="8"/>
      <c r="P673" s="8"/>
      <c r="Q673" s="8"/>
      <c r="R673" s="8"/>
      <c r="S673" s="8"/>
      <c r="T673" s="8"/>
      <c r="U673" s="12"/>
      <c r="V673" s="12"/>
      <c r="W673" s="12"/>
      <c r="X673" s="12"/>
      <c r="Y673" s="12"/>
      <c r="Z673" s="12"/>
      <c r="AA673" s="12"/>
      <c r="AB673" s="12"/>
      <c r="AC673" s="12"/>
      <c r="AD673" s="12"/>
      <c r="AE673" s="12"/>
      <c r="AF673" s="12"/>
    </row>
    <row r="674" spans="1:32" ht="13.2">
      <c r="A674" s="8"/>
      <c r="B674" s="8"/>
      <c r="C674" s="8"/>
      <c r="D674" s="8"/>
      <c r="E674" s="8"/>
      <c r="F674" s="8"/>
      <c r="G674" s="9"/>
      <c r="H674" s="8"/>
      <c r="I674" s="8"/>
      <c r="J674" s="8"/>
      <c r="K674" s="8"/>
      <c r="L674" s="8"/>
      <c r="M674" s="8"/>
      <c r="N674" s="8"/>
      <c r="O674" s="8"/>
      <c r="P674" s="8"/>
      <c r="Q674" s="8"/>
      <c r="R674" s="8"/>
      <c r="S674" s="8"/>
      <c r="T674" s="8"/>
      <c r="U674" s="12"/>
      <c r="V674" s="12"/>
      <c r="W674" s="12"/>
      <c r="X674" s="12"/>
      <c r="Y674" s="12"/>
      <c r="Z674" s="12"/>
      <c r="AA674" s="12"/>
      <c r="AB674" s="12"/>
      <c r="AC674" s="12"/>
      <c r="AD674" s="12"/>
      <c r="AE674" s="12"/>
      <c r="AF674" s="12"/>
    </row>
    <row r="675" spans="1:32" ht="13.2">
      <c r="A675" s="8"/>
      <c r="B675" s="8"/>
      <c r="C675" s="8"/>
      <c r="D675" s="8"/>
      <c r="E675" s="8"/>
      <c r="F675" s="8"/>
      <c r="G675" s="9"/>
      <c r="H675" s="8"/>
      <c r="I675" s="8"/>
      <c r="J675" s="8"/>
      <c r="K675" s="8"/>
      <c r="L675" s="8"/>
      <c r="M675" s="8"/>
      <c r="N675" s="8"/>
      <c r="O675" s="8"/>
      <c r="P675" s="8"/>
      <c r="Q675" s="8"/>
      <c r="R675" s="8"/>
      <c r="S675" s="8"/>
      <c r="T675" s="8"/>
      <c r="U675" s="12"/>
      <c r="V675" s="12"/>
      <c r="W675" s="12"/>
      <c r="X675" s="12"/>
      <c r="Y675" s="12"/>
      <c r="Z675" s="12"/>
      <c r="AA675" s="12"/>
      <c r="AB675" s="12"/>
      <c r="AC675" s="12"/>
      <c r="AD675" s="12"/>
      <c r="AE675" s="12"/>
      <c r="AF675" s="12"/>
    </row>
    <row r="676" spans="1:32" ht="13.2">
      <c r="A676" s="8"/>
      <c r="B676" s="8"/>
      <c r="C676" s="8"/>
      <c r="D676" s="8"/>
      <c r="E676" s="8"/>
      <c r="F676" s="8"/>
      <c r="G676" s="9"/>
      <c r="H676" s="8"/>
      <c r="I676" s="8"/>
      <c r="J676" s="8"/>
      <c r="K676" s="8"/>
      <c r="L676" s="8"/>
      <c r="M676" s="8"/>
      <c r="N676" s="8"/>
      <c r="O676" s="8"/>
      <c r="P676" s="8"/>
      <c r="Q676" s="8"/>
      <c r="R676" s="8"/>
      <c r="S676" s="8"/>
      <c r="T676" s="8"/>
      <c r="U676" s="12"/>
      <c r="V676" s="12"/>
      <c r="W676" s="12"/>
      <c r="X676" s="12"/>
      <c r="Y676" s="12"/>
      <c r="Z676" s="12"/>
      <c r="AA676" s="12"/>
      <c r="AB676" s="12"/>
      <c r="AC676" s="12"/>
      <c r="AD676" s="12"/>
      <c r="AE676" s="12"/>
      <c r="AF676" s="12"/>
    </row>
    <row r="677" spans="1:32" ht="13.2">
      <c r="A677" s="8"/>
      <c r="B677" s="8"/>
      <c r="C677" s="8"/>
      <c r="D677" s="8"/>
      <c r="E677" s="8"/>
      <c r="F677" s="8"/>
      <c r="G677" s="9"/>
      <c r="H677" s="8"/>
      <c r="I677" s="8"/>
      <c r="J677" s="8"/>
      <c r="K677" s="8"/>
      <c r="L677" s="8"/>
      <c r="M677" s="8"/>
      <c r="N677" s="8"/>
      <c r="O677" s="8"/>
      <c r="P677" s="8"/>
      <c r="Q677" s="8"/>
      <c r="R677" s="8"/>
      <c r="S677" s="8"/>
      <c r="T677" s="8"/>
      <c r="U677" s="12"/>
      <c r="V677" s="12"/>
      <c r="W677" s="12"/>
      <c r="X677" s="12"/>
      <c r="Y677" s="12"/>
      <c r="Z677" s="12"/>
      <c r="AA677" s="12"/>
      <c r="AB677" s="12"/>
      <c r="AC677" s="12"/>
      <c r="AD677" s="12"/>
      <c r="AE677" s="12"/>
      <c r="AF677" s="12"/>
    </row>
    <row r="678" spans="1:32" ht="13.2">
      <c r="A678" s="8"/>
      <c r="B678" s="8"/>
      <c r="C678" s="8"/>
      <c r="D678" s="8"/>
      <c r="E678" s="8"/>
      <c r="F678" s="8"/>
      <c r="G678" s="9"/>
      <c r="H678" s="8"/>
      <c r="I678" s="8"/>
      <c r="J678" s="8"/>
      <c r="K678" s="8"/>
      <c r="L678" s="8"/>
      <c r="M678" s="8"/>
      <c r="N678" s="8"/>
      <c r="O678" s="8"/>
      <c r="P678" s="8"/>
      <c r="Q678" s="8"/>
      <c r="R678" s="8"/>
      <c r="S678" s="8"/>
      <c r="T678" s="8"/>
      <c r="U678" s="12"/>
      <c r="V678" s="12"/>
      <c r="W678" s="12"/>
      <c r="X678" s="12"/>
      <c r="Y678" s="12"/>
      <c r="Z678" s="12"/>
      <c r="AA678" s="12"/>
      <c r="AB678" s="12"/>
      <c r="AC678" s="12"/>
      <c r="AD678" s="12"/>
      <c r="AE678" s="12"/>
      <c r="AF678" s="12"/>
    </row>
    <row r="679" spans="1:32" ht="13.2">
      <c r="A679" s="8"/>
      <c r="B679" s="8"/>
      <c r="C679" s="8"/>
      <c r="D679" s="8"/>
      <c r="E679" s="8"/>
      <c r="F679" s="8"/>
      <c r="G679" s="9"/>
      <c r="H679" s="8"/>
      <c r="I679" s="8"/>
      <c r="J679" s="8"/>
      <c r="K679" s="8"/>
      <c r="L679" s="8"/>
      <c r="M679" s="8"/>
      <c r="N679" s="8"/>
      <c r="O679" s="8"/>
      <c r="P679" s="8"/>
      <c r="Q679" s="8"/>
      <c r="R679" s="8"/>
      <c r="S679" s="8"/>
      <c r="T679" s="8"/>
      <c r="U679" s="12"/>
      <c r="V679" s="12"/>
      <c r="W679" s="12"/>
      <c r="X679" s="12"/>
      <c r="Y679" s="12"/>
      <c r="Z679" s="12"/>
      <c r="AA679" s="12"/>
      <c r="AB679" s="12"/>
      <c r="AC679" s="12"/>
      <c r="AD679" s="12"/>
      <c r="AE679" s="12"/>
      <c r="AF679" s="12"/>
    </row>
    <row r="680" spans="1:32" ht="13.2">
      <c r="A680" s="8"/>
      <c r="B680" s="8"/>
      <c r="C680" s="8"/>
      <c r="D680" s="8"/>
      <c r="E680" s="8"/>
      <c r="F680" s="8"/>
      <c r="G680" s="9"/>
      <c r="H680" s="8"/>
      <c r="I680" s="8"/>
      <c r="J680" s="8"/>
      <c r="K680" s="8"/>
      <c r="L680" s="8"/>
      <c r="M680" s="8"/>
      <c r="N680" s="8"/>
      <c r="O680" s="8"/>
      <c r="P680" s="8"/>
      <c r="Q680" s="8"/>
      <c r="R680" s="8"/>
      <c r="S680" s="8"/>
      <c r="T680" s="8"/>
      <c r="U680" s="12"/>
      <c r="V680" s="12"/>
      <c r="W680" s="12"/>
      <c r="X680" s="12"/>
      <c r="Y680" s="12"/>
      <c r="Z680" s="12"/>
      <c r="AA680" s="12"/>
      <c r="AB680" s="12"/>
      <c r="AC680" s="12"/>
      <c r="AD680" s="12"/>
      <c r="AE680" s="12"/>
      <c r="AF680" s="12"/>
    </row>
    <row r="681" spans="1:32" ht="13.2">
      <c r="A681" s="8"/>
      <c r="B681" s="8"/>
      <c r="C681" s="8"/>
      <c r="D681" s="8"/>
      <c r="E681" s="8"/>
      <c r="F681" s="8"/>
      <c r="G681" s="9"/>
      <c r="H681" s="8"/>
      <c r="I681" s="8"/>
      <c r="J681" s="8"/>
      <c r="K681" s="8"/>
      <c r="L681" s="8"/>
      <c r="M681" s="8"/>
      <c r="N681" s="8"/>
      <c r="O681" s="8"/>
      <c r="P681" s="8"/>
      <c r="Q681" s="8"/>
      <c r="R681" s="8"/>
      <c r="S681" s="8"/>
      <c r="T681" s="8"/>
      <c r="U681" s="12"/>
      <c r="V681" s="12"/>
      <c r="W681" s="12"/>
      <c r="X681" s="12"/>
      <c r="Y681" s="12"/>
      <c r="Z681" s="12"/>
      <c r="AA681" s="12"/>
      <c r="AB681" s="12"/>
      <c r="AC681" s="12"/>
      <c r="AD681" s="12"/>
      <c r="AE681" s="12"/>
      <c r="AF681" s="12"/>
    </row>
    <row r="682" spans="1:32" ht="13.2">
      <c r="A682" s="8"/>
      <c r="B682" s="8"/>
      <c r="C682" s="8"/>
      <c r="D682" s="8"/>
      <c r="E682" s="8"/>
      <c r="F682" s="8"/>
      <c r="G682" s="9"/>
      <c r="H682" s="8"/>
      <c r="I682" s="8"/>
      <c r="J682" s="8"/>
      <c r="K682" s="8"/>
      <c r="L682" s="8"/>
      <c r="M682" s="8"/>
      <c r="N682" s="8"/>
      <c r="O682" s="8"/>
      <c r="P682" s="8"/>
      <c r="Q682" s="8"/>
      <c r="R682" s="8"/>
      <c r="S682" s="8"/>
      <c r="T682" s="8"/>
      <c r="U682" s="12"/>
      <c r="V682" s="12"/>
      <c r="W682" s="12"/>
      <c r="X682" s="12"/>
      <c r="Y682" s="12"/>
      <c r="Z682" s="12"/>
      <c r="AA682" s="12"/>
      <c r="AB682" s="12"/>
      <c r="AC682" s="12"/>
      <c r="AD682" s="12"/>
      <c r="AE682" s="12"/>
      <c r="AF682" s="12"/>
    </row>
    <row r="683" spans="1:32" ht="13.2">
      <c r="A683" s="8"/>
      <c r="B683" s="8"/>
      <c r="C683" s="8"/>
      <c r="D683" s="8"/>
      <c r="E683" s="8"/>
      <c r="F683" s="8"/>
      <c r="G683" s="9"/>
      <c r="H683" s="8"/>
      <c r="I683" s="8"/>
      <c r="J683" s="8"/>
      <c r="K683" s="8"/>
      <c r="L683" s="8"/>
      <c r="M683" s="8"/>
      <c r="N683" s="8"/>
      <c r="O683" s="8"/>
      <c r="P683" s="8"/>
      <c r="Q683" s="8"/>
      <c r="R683" s="8"/>
      <c r="S683" s="8"/>
      <c r="T683" s="8"/>
      <c r="U683" s="12"/>
      <c r="V683" s="12"/>
      <c r="W683" s="12"/>
      <c r="X683" s="12"/>
      <c r="Y683" s="12"/>
      <c r="Z683" s="12"/>
      <c r="AA683" s="12"/>
      <c r="AB683" s="12"/>
      <c r="AC683" s="12"/>
      <c r="AD683" s="12"/>
      <c r="AE683" s="12"/>
      <c r="AF683" s="12"/>
    </row>
    <row r="684" spans="1:32" ht="13.2">
      <c r="A684" s="8"/>
      <c r="B684" s="8"/>
      <c r="C684" s="8"/>
      <c r="D684" s="8"/>
      <c r="E684" s="8"/>
      <c r="F684" s="8"/>
      <c r="G684" s="9"/>
      <c r="H684" s="8"/>
      <c r="I684" s="8"/>
      <c r="J684" s="8"/>
      <c r="K684" s="8"/>
      <c r="L684" s="8"/>
      <c r="M684" s="8"/>
      <c r="N684" s="8"/>
      <c r="O684" s="8"/>
      <c r="P684" s="8"/>
      <c r="Q684" s="8"/>
      <c r="R684" s="8"/>
      <c r="S684" s="8"/>
      <c r="T684" s="8"/>
      <c r="U684" s="12"/>
      <c r="V684" s="12"/>
      <c r="W684" s="12"/>
      <c r="X684" s="12"/>
      <c r="Y684" s="12"/>
      <c r="Z684" s="12"/>
      <c r="AA684" s="12"/>
      <c r="AB684" s="12"/>
      <c r="AC684" s="12"/>
      <c r="AD684" s="12"/>
      <c r="AE684" s="12"/>
      <c r="AF684" s="12"/>
    </row>
    <row r="685" spans="1:32" ht="13.2">
      <c r="A685" s="8"/>
      <c r="B685" s="8"/>
      <c r="C685" s="8"/>
      <c r="D685" s="8"/>
      <c r="E685" s="8"/>
      <c r="F685" s="8"/>
      <c r="G685" s="9"/>
      <c r="H685" s="8"/>
      <c r="I685" s="8"/>
      <c r="J685" s="8"/>
      <c r="K685" s="8"/>
      <c r="L685" s="8"/>
      <c r="M685" s="8"/>
      <c r="N685" s="8"/>
      <c r="O685" s="8"/>
      <c r="P685" s="8"/>
      <c r="Q685" s="8"/>
      <c r="R685" s="8"/>
      <c r="S685" s="8"/>
      <c r="T685" s="8"/>
      <c r="U685" s="12"/>
      <c r="V685" s="12"/>
      <c r="W685" s="12"/>
      <c r="X685" s="12"/>
      <c r="Y685" s="12"/>
      <c r="Z685" s="12"/>
      <c r="AA685" s="12"/>
      <c r="AB685" s="12"/>
      <c r="AC685" s="12"/>
      <c r="AD685" s="12"/>
      <c r="AE685" s="12"/>
      <c r="AF685" s="12"/>
    </row>
    <row r="686" spans="1:32" ht="13.2">
      <c r="A686" s="8"/>
      <c r="B686" s="8"/>
      <c r="C686" s="8"/>
      <c r="D686" s="8"/>
      <c r="E686" s="8"/>
      <c r="F686" s="8"/>
      <c r="G686" s="9"/>
      <c r="H686" s="8"/>
      <c r="I686" s="8"/>
      <c r="J686" s="8"/>
      <c r="K686" s="8"/>
      <c r="L686" s="8"/>
      <c r="M686" s="8"/>
      <c r="N686" s="8"/>
      <c r="O686" s="8"/>
      <c r="P686" s="8"/>
      <c r="Q686" s="8"/>
      <c r="R686" s="8"/>
      <c r="S686" s="8"/>
      <c r="T686" s="8"/>
      <c r="U686" s="12"/>
      <c r="V686" s="12"/>
      <c r="W686" s="12"/>
      <c r="X686" s="12"/>
      <c r="Y686" s="12"/>
      <c r="Z686" s="12"/>
      <c r="AA686" s="12"/>
      <c r="AB686" s="12"/>
      <c r="AC686" s="12"/>
      <c r="AD686" s="12"/>
      <c r="AE686" s="12"/>
      <c r="AF686" s="12"/>
    </row>
    <row r="687" spans="1:32" ht="13.2">
      <c r="A687" s="8"/>
      <c r="B687" s="8"/>
      <c r="C687" s="8"/>
      <c r="D687" s="8"/>
      <c r="E687" s="8"/>
      <c r="F687" s="8"/>
      <c r="G687" s="9"/>
      <c r="H687" s="8"/>
      <c r="I687" s="8"/>
      <c r="J687" s="8"/>
      <c r="K687" s="8"/>
      <c r="L687" s="8"/>
      <c r="M687" s="8"/>
      <c r="N687" s="8"/>
      <c r="O687" s="8"/>
      <c r="P687" s="8"/>
      <c r="Q687" s="8"/>
      <c r="R687" s="8"/>
      <c r="S687" s="8"/>
      <c r="T687" s="8"/>
      <c r="U687" s="12"/>
      <c r="V687" s="12"/>
      <c r="W687" s="12"/>
      <c r="X687" s="12"/>
      <c r="Y687" s="12"/>
      <c r="Z687" s="12"/>
      <c r="AA687" s="12"/>
      <c r="AB687" s="12"/>
      <c r="AC687" s="12"/>
      <c r="AD687" s="12"/>
      <c r="AE687" s="12"/>
      <c r="AF687" s="12"/>
    </row>
    <row r="688" spans="1:32" ht="13.2">
      <c r="A688" s="8"/>
      <c r="B688" s="8"/>
      <c r="C688" s="8"/>
      <c r="D688" s="8"/>
      <c r="E688" s="8"/>
      <c r="F688" s="8"/>
      <c r="G688" s="9"/>
      <c r="H688" s="8"/>
      <c r="I688" s="8"/>
      <c r="J688" s="8"/>
      <c r="K688" s="8"/>
      <c r="L688" s="8"/>
      <c r="M688" s="8"/>
      <c r="N688" s="8"/>
      <c r="O688" s="8"/>
      <c r="P688" s="8"/>
      <c r="Q688" s="8"/>
      <c r="R688" s="8"/>
      <c r="S688" s="8"/>
      <c r="T688" s="8"/>
      <c r="U688" s="12"/>
      <c r="V688" s="12"/>
      <c r="W688" s="12"/>
      <c r="X688" s="12"/>
      <c r="Y688" s="12"/>
      <c r="Z688" s="12"/>
      <c r="AA688" s="12"/>
      <c r="AB688" s="12"/>
      <c r="AC688" s="12"/>
      <c r="AD688" s="12"/>
      <c r="AE688" s="12"/>
      <c r="AF688" s="12"/>
    </row>
    <row r="689" spans="1:32" ht="13.2">
      <c r="A689" s="8"/>
      <c r="B689" s="8"/>
      <c r="C689" s="8"/>
      <c r="D689" s="8"/>
      <c r="E689" s="8"/>
      <c r="F689" s="8"/>
      <c r="G689" s="9"/>
      <c r="H689" s="8"/>
      <c r="I689" s="8"/>
      <c r="J689" s="8"/>
      <c r="K689" s="8"/>
      <c r="L689" s="8"/>
      <c r="M689" s="8"/>
      <c r="N689" s="8"/>
      <c r="O689" s="8"/>
      <c r="P689" s="8"/>
      <c r="Q689" s="8"/>
      <c r="R689" s="8"/>
      <c r="S689" s="8"/>
      <c r="T689" s="8"/>
      <c r="U689" s="12"/>
      <c r="V689" s="12"/>
      <c r="W689" s="12"/>
      <c r="X689" s="12"/>
      <c r="Y689" s="12"/>
      <c r="Z689" s="12"/>
      <c r="AA689" s="12"/>
      <c r="AB689" s="12"/>
      <c r="AC689" s="12"/>
      <c r="AD689" s="12"/>
      <c r="AE689" s="12"/>
      <c r="AF689" s="12"/>
    </row>
    <row r="690" spans="1:32" ht="13.2">
      <c r="A690" s="8"/>
      <c r="B690" s="8"/>
      <c r="C690" s="8"/>
      <c r="D690" s="8"/>
      <c r="E690" s="8"/>
      <c r="F690" s="8"/>
      <c r="G690" s="9"/>
      <c r="H690" s="8"/>
      <c r="I690" s="8"/>
      <c r="J690" s="8"/>
      <c r="K690" s="8"/>
      <c r="L690" s="8"/>
      <c r="M690" s="8"/>
      <c r="N690" s="8"/>
      <c r="O690" s="8"/>
      <c r="P690" s="8"/>
      <c r="Q690" s="8"/>
      <c r="R690" s="8"/>
      <c r="S690" s="8"/>
      <c r="T690" s="8"/>
      <c r="U690" s="12"/>
      <c r="V690" s="12"/>
      <c r="W690" s="12"/>
      <c r="X690" s="12"/>
      <c r="Y690" s="12"/>
      <c r="Z690" s="12"/>
      <c r="AA690" s="12"/>
      <c r="AB690" s="12"/>
      <c r="AC690" s="12"/>
      <c r="AD690" s="12"/>
      <c r="AE690" s="12"/>
      <c r="AF690" s="12"/>
    </row>
    <row r="691" spans="1:32" ht="13.2">
      <c r="A691" s="8"/>
      <c r="B691" s="8"/>
      <c r="C691" s="8"/>
      <c r="D691" s="8"/>
      <c r="E691" s="8"/>
      <c r="F691" s="8"/>
      <c r="G691" s="9"/>
      <c r="H691" s="8"/>
      <c r="I691" s="8"/>
      <c r="J691" s="8"/>
      <c r="K691" s="8"/>
      <c r="L691" s="8"/>
      <c r="M691" s="8"/>
      <c r="N691" s="8"/>
      <c r="O691" s="8"/>
      <c r="P691" s="8"/>
      <c r="Q691" s="8"/>
      <c r="R691" s="8"/>
      <c r="S691" s="8"/>
      <c r="T691" s="8"/>
      <c r="U691" s="12"/>
      <c r="V691" s="12"/>
      <c r="W691" s="12"/>
      <c r="X691" s="12"/>
      <c r="Y691" s="12"/>
      <c r="Z691" s="12"/>
      <c r="AA691" s="12"/>
      <c r="AB691" s="12"/>
      <c r="AC691" s="12"/>
      <c r="AD691" s="12"/>
      <c r="AE691" s="12"/>
      <c r="AF691" s="12"/>
    </row>
    <row r="692" spans="1:32" ht="13.2">
      <c r="A692" s="8"/>
      <c r="B692" s="8"/>
      <c r="C692" s="8"/>
      <c r="D692" s="8"/>
      <c r="E692" s="8"/>
      <c r="F692" s="8"/>
      <c r="G692" s="9"/>
      <c r="H692" s="8"/>
      <c r="I692" s="8"/>
      <c r="J692" s="8"/>
      <c r="K692" s="8"/>
      <c r="L692" s="8"/>
      <c r="M692" s="8"/>
      <c r="N692" s="8"/>
      <c r="O692" s="8"/>
      <c r="P692" s="8"/>
      <c r="Q692" s="8"/>
      <c r="R692" s="8"/>
      <c r="S692" s="8"/>
      <c r="T692" s="8"/>
      <c r="U692" s="12"/>
      <c r="V692" s="12"/>
      <c r="W692" s="12"/>
      <c r="X692" s="12"/>
      <c r="Y692" s="12"/>
      <c r="Z692" s="12"/>
      <c r="AA692" s="12"/>
      <c r="AB692" s="12"/>
      <c r="AC692" s="12"/>
      <c r="AD692" s="12"/>
      <c r="AE692" s="12"/>
      <c r="AF692" s="12"/>
    </row>
    <row r="693" spans="1:32" ht="13.2">
      <c r="A693" s="8"/>
      <c r="B693" s="8"/>
      <c r="C693" s="8"/>
      <c r="D693" s="8"/>
      <c r="E693" s="8"/>
      <c r="F693" s="8"/>
      <c r="G693" s="9"/>
      <c r="H693" s="8"/>
      <c r="I693" s="8"/>
      <c r="J693" s="8"/>
      <c r="K693" s="8"/>
      <c r="L693" s="8"/>
      <c r="M693" s="8"/>
      <c r="N693" s="8"/>
      <c r="O693" s="8"/>
      <c r="P693" s="8"/>
      <c r="Q693" s="8"/>
      <c r="R693" s="8"/>
      <c r="S693" s="8"/>
      <c r="T693" s="8"/>
      <c r="U693" s="12"/>
      <c r="V693" s="12"/>
      <c r="W693" s="12"/>
      <c r="X693" s="12"/>
      <c r="Y693" s="12"/>
      <c r="Z693" s="12"/>
      <c r="AA693" s="12"/>
      <c r="AB693" s="12"/>
      <c r="AC693" s="12"/>
      <c r="AD693" s="12"/>
      <c r="AE693" s="12"/>
      <c r="AF693" s="12"/>
    </row>
    <row r="694" spans="1:32" ht="13.2">
      <c r="A694" s="8"/>
      <c r="B694" s="8"/>
      <c r="C694" s="8"/>
      <c r="D694" s="8"/>
      <c r="E694" s="8"/>
      <c r="F694" s="8"/>
      <c r="G694" s="9"/>
      <c r="H694" s="8"/>
      <c r="I694" s="8"/>
      <c r="J694" s="8"/>
      <c r="K694" s="8"/>
      <c r="L694" s="8"/>
      <c r="M694" s="8"/>
      <c r="N694" s="8"/>
      <c r="O694" s="8"/>
      <c r="P694" s="8"/>
      <c r="Q694" s="8"/>
      <c r="R694" s="8"/>
      <c r="S694" s="8"/>
      <c r="T694" s="8"/>
      <c r="U694" s="12"/>
      <c r="V694" s="12"/>
      <c r="W694" s="12"/>
      <c r="X694" s="12"/>
      <c r="Y694" s="12"/>
      <c r="Z694" s="12"/>
      <c r="AA694" s="12"/>
      <c r="AB694" s="12"/>
      <c r="AC694" s="12"/>
      <c r="AD694" s="12"/>
      <c r="AE694" s="12"/>
      <c r="AF694" s="12"/>
    </row>
    <row r="695" spans="1:32" ht="13.2">
      <c r="A695" s="8"/>
      <c r="B695" s="8"/>
      <c r="C695" s="8"/>
      <c r="D695" s="8"/>
      <c r="E695" s="8"/>
      <c r="F695" s="8"/>
      <c r="G695" s="9"/>
      <c r="H695" s="8"/>
      <c r="I695" s="8"/>
      <c r="J695" s="8"/>
      <c r="K695" s="8"/>
      <c r="L695" s="8"/>
      <c r="M695" s="8"/>
      <c r="N695" s="8"/>
      <c r="O695" s="8"/>
      <c r="P695" s="8"/>
      <c r="Q695" s="8"/>
      <c r="R695" s="8"/>
      <c r="S695" s="8"/>
      <c r="T695" s="8"/>
      <c r="U695" s="12"/>
      <c r="V695" s="12"/>
      <c r="W695" s="12"/>
      <c r="X695" s="12"/>
      <c r="Y695" s="12"/>
      <c r="Z695" s="12"/>
      <c r="AA695" s="12"/>
      <c r="AB695" s="12"/>
      <c r="AC695" s="12"/>
      <c r="AD695" s="12"/>
      <c r="AE695" s="12"/>
      <c r="AF695" s="12"/>
    </row>
    <row r="696" spans="1:32" ht="13.2">
      <c r="A696" s="8"/>
      <c r="B696" s="8"/>
      <c r="C696" s="8"/>
      <c r="D696" s="8"/>
      <c r="E696" s="8"/>
      <c r="F696" s="8"/>
      <c r="G696" s="9"/>
      <c r="H696" s="8"/>
      <c r="I696" s="8"/>
      <c r="J696" s="8"/>
      <c r="K696" s="8"/>
      <c r="L696" s="8"/>
      <c r="M696" s="8"/>
      <c r="N696" s="8"/>
      <c r="O696" s="8"/>
      <c r="P696" s="8"/>
      <c r="Q696" s="8"/>
      <c r="R696" s="8"/>
      <c r="S696" s="8"/>
      <c r="T696" s="8"/>
      <c r="U696" s="12"/>
      <c r="V696" s="12"/>
      <c r="W696" s="12"/>
      <c r="X696" s="12"/>
      <c r="Y696" s="12"/>
      <c r="Z696" s="12"/>
      <c r="AA696" s="12"/>
      <c r="AB696" s="12"/>
      <c r="AC696" s="12"/>
      <c r="AD696" s="12"/>
      <c r="AE696" s="12"/>
      <c r="AF696" s="12"/>
    </row>
    <row r="697" spans="1:32" ht="13.2">
      <c r="A697" s="8"/>
      <c r="B697" s="8"/>
      <c r="C697" s="8"/>
      <c r="D697" s="8"/>
      <c r="E697" s="8"/>
      <c r="F697" s="8"/>
      <c r="G697" s="9"/>
      <c r="H697" s="8"/>
      <c r="I697" s="8"/>
      <c r="J697" s="8"/>
      <c r="K697" s="8"/>
      <c r="L697" s="8"/>
      <c r="M697" s="8"/>
      <c r="N697" s="8"/>
      <c r="O697" s="8"/>
      <c r="P697" s="8"/>
      <c r="Q697" s="8"/>
      <c r="R697" s="8"/>
      <c r="S697" s="8"/>
      <c r="T697" s="8"/>
      <c r="U697" s="12"/>
      <c r="V697" s="12"/>
      <c r="W697" s="12"/>
      <c r="X697" s="12"/>
      <c r="Y697" s="12"/>
      <c r="Z697" s="12"/>
      <c r="AA697" s="12"/>
      <c r="AB697" s="12"/>
      <c r="AC697" s="12"/>
      <c r="AD697" s="12"/>
      <c r="AE697" s="12"/>
      <c r="AF697" s="12"/>
    </row>
    <row r="698" spans="1:32" ht="13.2">
      <c r="A698" s="8"/>
      <c r="B698" s="8"/>
      <c r="C698" s="8"/>
      <c r="D698" s="8"/>
      <c r="E698" s="8"/>
      <c r="F698" s="8"/>
      <c r="G698" s="9"/>
      <c r="H698" s="8"/>
      <c r="I698" s="8"/>
      <c r="J698" s="8"/>
      <c r="K698" s="8"/>
      <c r="L698" s="8"/>
      <c r="M698" s="8"/>
      <c r="N698" s="8"/>
      <c r="O698" s="8"/>
      <c r="P698" s="8"/>
      <c r="Q698" s="8"/>
      <c r="R698" s="8"/>
      <c r="S698" s="8"/>
      <c r="T698" s="8"/>
      <c r="U698" s="12"/>
      <c r="V698" s="12"/>
      <c r="W698" s="12"/>
      <c r="X698" s="12"/>
      <c r="Y698" s="12"/>
      <c r="Z698" s="12"/>
      <c r="AA698" s="12"/>
      <c r="AB698" s="12"/>
      <c r="AC698" s="12"/>
      <c r="AD698" s="12"/>
      <c r="AE698" s="12"/>
      <c r="AF698" s="12"/>
    </row>
    <row r="699" spans="1:32" ht="13.2">
      <c r="A699" s="8"/>
      <c r="B699" s="8"/>
      <c r="C699" s="8"/>
      <c r="D699" s="8"/>
      <c r="E699" s="8"/>
      <c r="F699" s="8"/>
      <c r="G699" s="9"/>
      <c r="H699" s="8"/>
      <c r="I699" s="8"/>
      <c r="J699" s="8"/>
      <c r="K699" s="8"/>
      <c r="L699" s="8"/>
      <c r="M699" s="8"/>
      <c r="N699" s="8"/>
      <c r="O699" s="8"/>
      <c r="P699" s="8"/>
      <c r="Q699" s="8"/>
      <c r="R699" s="8"/>
      <c r="S699" s="8"/>
      <c r="T699" s="8"/>
      <c r="U699" s="12"/>
      <c r="V699" s="12"/>
      <c r="W699" s="12"/>
      <c r="X699" s="12"/>
      <c r="Y699" s="12"/>
      <c r="Z699" s="12"/>
      <c r="AA699" s="12"/>
      <c r="AB699" s="12"/>
      <c r="AC699" s="12"/>
      <c r="AD699" s="12"/>
      <c r="AE699" s="12"/>
      <c r="AF699" s="12"/>
    </row>
    <row r="700" spans="1:32" ht="13.2">
      <c r="A700" s="8"/>
      <c r="B700" s="8"/>
      <c r="C700" s="8"/>
      <c r="D700" s="8"/>
      <c r="E700" s="8"/>
      <c r="F700" s="8"/>
      <c r="G700" s="9"/>
      <c r="H700" s="8"/>
      <c r="I700" s="8"/>
      <c r="J700" s="8"/>
      <c r="K700" s="8"/>
      <c r="L700" s="8"/>
      <c r="M700" s="8"/>
      <c r="N700" s="8"/>
      <c r="O700" s="8"/>
      <c r="P700" s="8"/>
      <c r="Q700" s="8"/>
      <c r="R700" s="8"/>
      <c r="S700" s="8"/>
      <c r="T700" s="8"/>
      <c r="U700" s="12"/>
      <c r="V700" s="12"/>
      <c r="W700" s="12"/>
      <c r="X700" s="12"/>
      <c r="Y700" s="12"/>
      <c r="Z700" s="12"/>
      <c r="AA700" s="12"/>
      <c r="AB700" s="12"/>
      <c r="AC700" s="12"/>
      <c r="AD700" s="12"/>
      <c r="AE700" s="12"/>
      <c r="AF700" s="12"/>
    </row>
    <row r="701" spans="1:32" ht="13.2">
      <c r="A701" s="8"/>
      <c r="B701" s="8"/>
      <c r="C701" s="8"/>
      <c r="D701" s="8"/>
      <c r="E701" s="8"/>
      <c r="F701" s="8"/>
      <c r="G701" s="9"/>
      <c r="H701" s="8"/>
      <c r="I701" s="8"/>
      <c r="J701" s="8"/>
      <c r="K701" s="8"/>
      <c r="L701" s="8"/>
      <c r="M701" s="8"/>
      <c r="N701" s="8"/>
      <c r="O701" s="8"/>
      <c r="P701" s="8"/>
      <c r="Q701" s="8"/>
      <c r="R701" s="8"/>
      <c r="S701" s="8"/>
      <c r="T701" s="8"/>
      <c r="U701" s="12"/>
      <c r="V701" s="12"/>
      <c r="W701" s="12"/>
      <c r="X701" s="12"/>
      <c r="Y701" s="12"/>
      <c r="Z701" s="12"/>
      <c r="AA701" s="12"/>
      <c r="AB701" s="12"/>
      <c r="AC701" s="12"/>
      <c r="AD701" s="12"/>
      <c r="AE701" s="12"/>
      <c r="AF701" s="12"/>
    </row>
    <row r="702" spans="1:32" ht="13.2">
      <c r="A702" s="8"/>
      <c r="B702" s="8"/>
      <c r="C702" s="8"/>
      <c r="D702" s="8"/>
      <c r="E702" s="8"/>
      <c r="F702" s="8"/>
      <c r="G702" s="9"/>
      <c r="H702" s="8"/>
      <c r="I702" s="8"/>
      <c r="J702" s="8"/>
      <c r="K702" s="8"/>
      <c r="L702" s="8"/>
      <c r="M702" s="8"/>
      <c r="N702" s="8"/>
      <c r="O702" s="8"/>
      <c r="P702" s="8"/>
      <c r="Q702" s="8"/>
      <c r="R702" s="8"/>
      <c r="S702" s="8"/>
      <c r="T702" s="8"/>
      <c r="U702" s="12"/>
      <c r="V702" s="12"/>
      <c r="W702" s="12"/>
      <c r="X702" s="12"/>
      <c r="Y702" s="12"/>
      <c r="Z702" s="12"/>
      <c r="AA702" s="12"/>
      <c r="AB702" s="12"/>
      <c r="AC702" s="12"/>
      <c r="AD702" s="12"/>
      <c r="AE702" s="12"/>
      <c r="AF702" s="12"/>
    </row>
    <row r="703" spans="1:32" ht="13.2">
      <c r="A703" s="8"/>
      <c r="B703" s="8"/>
      <c r="C703" s="8"/>
      <c r="D703" s="8"/>
      <c r="E703" s="8"/>
      <c r="F703" s="8"/>
      <c r="G703" s="9"/>
      <c r="H703" s="8"/>
      <c r="I703" s="8"/>
      <c r="J703" s="8"/>
      <c r="K703" s="8"/>
      <c r="L703" s="8"/>
      <c r="M703" s="8"/>
      <c r="N703" s="8"/>
      <c r="O703" s="8"/>
      <c r="P703" s="8"/>
      <c r="Q703" s="8"/>
      <c r="R703" s="8"/>
      <c r="S703" s="8"/>
      <c r="T703" s="8"/>
      <c r="U703" s="12"/>
      <c r="V703" s="12"/>
      <c r="W703" s="12"/>
      <c r="X703" s="12"/>
      <c r="Y703" s="12"/>
      <c r="Z703" s="12"/>
      <c r="AA703" s="12"/>
      <c r="AB703" s="12"/>
      <c r="AC703" s="12"/>
      <c r="AD703" s="12"/>
      <c r="AE703" s="12"/>
      <c r="AF703" s="12"/>
    </row>
    <row r="704" spans="1:32" ht="13.2">
      <c r="A704" s="8"/>
      <c r="B704" s="8"/>
      <c r="C704" s="8"/>
      <c r="D704" s="8"/>
      <c r="E704" s="8"/>
      <c r="F704" s="8"/>
      <c r="G704" s="9"/>
      <c r="H704" s="8"/>
      <c r="I704" s="8"/>
      <c r="J704" s="8"/>
      <c r="K704" s="8"/>
      <c r="L704" s="8"/>
      <c r="M704" s="8"/>
      <c r="N704" s="8"/>
      <c r="O704" s="8"/>
      <c r="P704" s="8"/>
      <c r="Q704" s="8"/>
      <c r="R704" s="8"/>
      <c r="S704" s="8"/>
      <c r="T704" s="8"/>
      <c r="U704" s="12"/>
      <c r="V704" s="12"/>
      <c r="W704" s="12"/>
      <c r="X704" s="12"/>
      <c r="Y704" s="12"/>
      <c r="Z704" s="12"/>
      <c r="AA704" s="12"/>
      <c r="AB704" s="12"/>
      <c r="AC704" s="12"/>
      <c r="AD704" s="12"/>
      <c r="AE704" s="12"/>
      <c r="AF704" s="12"/>
    </row>
    <row r="705" spans="1:32" ht="13.2">
      <c r="A705" s="8"/>
      <c r="B705" s="8"/>
      <c r="C705" s="8"/>
      <c r="D705" s="8"/>
      <c r="E705" s="8"/>
      <c r="F705" s="8"/>
      <c r="G705" s="9"/>
      <c r="H705" s="8"/>
      <c r="I705" s="8"/>
      <c r="J705" s="8"/>
      <c r="K705" s="8"/>
      <c r="L705" s="8"/>
      <c r="M705" s="8"/>
      <c r="N705" s="8"/>
      <c r="O705" s="8"/>
      <c r="P705" s="8"/>
      <c r="Q705" s="8"/>
      <c r="R705" s="8"/>
      <c r="S705" s="8"/>
      <c r="T705" s="8"/>
      <c r="U705" s="12"/>
      <c r="V705" s="12"/>
      <c r="W705" s="12"/>
      <c r="X705" s="12"/>
      <c r="Y705" s="12"/>
      <c r="Z705" s="12"/>
      <c r="AA705" s="12"/>
      <c r="AB705" s="12"/>
      <c r="AC705" s="12"/>
      <c r="AD705" s="12"/>
      <c r="AE705" s="12"/>
      <c r="AF705" s="12"/>
    </row>
    <row r="706" spans="1:32" ht="13.2">
      <c r="A706" s="8"/>
      <c r="B706" s="8"/>
      <c r="C706" s="8"/>
      <c r="D706" s="8"/>
      <c r="E706" s="8"/>
      <c r="F706" s="8"/>
      <c r="G706" s="9"/>
      <c r="H706" s="8"/>
      <c r="I706" s="8"/>
      <c r="J706" s="8"/>
      <c r="K706" s="8"/>
      <c r="L706" s="8"/>
      <c r="M706" s="8"/>
      <c r="N706" s="8"/>
      <c r="O706" s="8"/>
      <c r="P706" s="8"/>
      <c r="Q706" s="8"/>
      <c r="R706" s="8"/>
      <c r="S706" s="8"/>
      <c r="T706" s="8"/>
      <c r="U706" s="12"/>
      <c r="V706" s="12"/>
      <c r="W706" s="12"/>
      <c r="X706" s="12"/>
      <c r="Y706" s="12"/>
      <c r="Z706" s="12"/>
      <c r="AA706" s="12"/>
      <c r="AB706" s="12"/>
      <c r="AC706" s="12"/>
      <c r="AD706" s="12"/>
      <c r="AE706" s="12"/>
      <c r="AF706" s="12"/>
    </row>
    <row r="707" spans="1:32" ht="13.2">
      <c r="A707" s="8"/>
      <c r="B707" s="8"/>
      <c r="C707" s="8"/>
      <c r="D707" s="8"/>
      <c r="E707" s="8"/>
      <c r="F707" s="8"/>
      <c r="G707" s="9"/>
      <c r="H707" s="8"/>
      <c r="I707" s="8"/>
      <c r="J707" s="8"/>
      <c r="K707" s="8"/>
      <c r="L707" s="8"/>
      <c r="M707" s="8"/>
      <c r="N707" s="8"/>
      <c r="O707" s="8"/>
      <c r="P707" s="8"/>
      <c r="Q707" s="8"/>
      <c r="R707" s="8"/>
      <c r="S707" s="8"/>
      <c r="T707" s="8"/>
      <c r="U707" s="12"/>
      <c r="V707" s="12"/>
      <c r="W707" s="12"/>
      <c r="X707" s="12"/>
      <c r="Y707" s="12"/>
      <c r="Z707" s="12"/>
      <c r="AA707" s="12"/>
      <c r="AB707" s="12"/>
      <c r="AC707" s="12"/>
      <c r="AD707" s="12"/>
      <c r="AE707" s="12"/>
      <c r="AF707" s="12"/>
    </row>
    <row r="708" spans="1:32" ht="13.2">
      <c r="A708" s="8"/>
      <c r="B708" s="8"/>
      <c r="C708" s="8"/>
      <c r="D708" s="8"/>
      <c r="E708" s="8"/>
      <c r="F708" s="8"/>
      <c r="G708" s="9"/>
      <c r="H708" s="8"/>
      <c r="I708" s="8"/>
      <c r="J708" s="8"/>
      <c r="K708" s="8"/>
      <c r="L708" s="8"/>
      <c r="M708" s="8"/>
      <c r="N708" s="8"/>
      <c r="O708" s="8"/>
      <c r="P708" s="8"/>
      <c r="Q708" s="8"/>
      <c r="R708" s="8"/>
      <c r="S708" s="8"/>
      <c r="T708" s="8"/>
      <c r="U708" s="12"/>
      <c r="V708" s="12"/>
      <c r="W708" s="12"/>
      <c r="X708" s="12"/>
      <c r="Y708" s="12"/>
      <c r="Z708" s="12"/>
      <c r="AA708" s="12"/>
      <c r="AB708" s="12"/>
      <c r="AC708" s="12"/>
      <c r="AD708" s="12"/>
      <c r="AE708" s="12"/>
      <c r="AF708" s="12"/>
    </row>
    <row r="709" spans="1:32" ht="13.2">
      <c r="A709" s="8"/>
      <c r="B709" s="8"/>
      <c r="C709" s="8"/>
      <c r="D709" s="8"/>
      <c r="E709" s="8"/>
      <c r="F709" s="8"/>
      <c r="G709" s="9"/>
      <c r="H709" s="8"/>
      <c r="I709" s="8"/>
      <c r="J709" s="8"/>
      <c r="K709" s="8"/>
      <c r="L709" s="8"/>
      <c r="M709" s="8"/>
      <c r="N709" s="8"/>
      <c r="O709" s="8"/>
      <c r="P709" s="8"/>
      <c r="Q709" s="8"/>
      <c r="R709" s="8"/>
      <c r="S709" s="8"/>
      <c r="T709" s="8"/>
      <c r="U709" s="12"/>
      <c r="V709" s="12"/>
      <c r="W709" s="12"/>
      <c r="X709" s="12"/>
      <c r="Y709" s="12"/>
      <c r="Z709" s="12"/>
      <c r="AA709" s="12"/>
      <c r="AB709" s="12"/>
      <c r="AC709" s="12"/>
      <c r="AD709" s="12"/>
      <c r="AE709" s="12"/>
      <c r="AF709" s="12"/>
    </row>
    <row r="710" spans="1:32" ht="13.2">
      <c r="A710" s="8"/>
      <c r="B710" s="8"/>
      <c r="C710" s="8"/>
      <c r="D710" s="8"/>
      <c r="E710" s="8"/>
      <c r="F710" s="8"/>
      <c r="G710" s="9"/>
      <c r="H710" s="8"/>
      <c r="I710" s="8"/>
      <c r="J710" s="8"/>
      <c r="K710" s="8"/>
      <c r="L710" s="8"/>
      <c r="M710" s="8"/>
      <c r="N710" s="8"/>
      <c r="O710" s="8"/>
      <c r="P710" s="8"/>
      <c r="Q710" s="8"/>
      <c r="R710" s="8"/>
      <c r="S710" s="8"/>
      <c r="T710" s="8"/>
      <c r="U710" s="12"/>
      <c r="V710" s="12"/>
      <c r="W710" s="12"/>
      <c r="X710" s="12"/>
      <c r="Y710" s="12"/>
      <c r="Z710" s="12"/>
      <c r="AA710" s="12"/>
      <c r="AB710" s="12"/>
      <c r="AC710" s="12"/>
      <c r="AD710" s="12"/>
      <c r="AE710" s="12"/>
      <c r="AF710" s="12"/>
    </row>
    <row r="711" spans="1:32" ht="13.2">
      <c r="A711" s="8"/>
      <c r="B711" s="8"/>
      <c r="C711" s="8"/>
      <c r="D711" s="8"/>
      <c r="E711" s="8"/>
      <c r="F711" s="8"/>
      <c r="G711" s="9"/>
      <c r="H711" s="8"/>
      <c r="I711" s="8"/>
      <c r="J711" s="8"/>
      <c r="K711" s="8"/>
      <c r="L711" s="8"/>
      <c r="M711" s="8"/>
      <c r="N711" s="8"/>
      <c r="O711" s="8"/>
      <c r="P711" s="8"/>
      <c r="Q711" s="8"/>
      <c r="R711" s="8"/>
      <c r="S711" s="8"/>
      <c r="T711" s="8"/>
      <c r="U711" s="12"/>
      <c r="V711" s="12"/>
      <c r="W711" s="12"/>
      <c r="X711" s="12"/>
      <c r="Y711" s="12"/>
      <c r="Z711" s="12"/>
      <c r="AA711" s="12"/>
      <c r="AB711" s="12"/>
      <c r="AC711" s="12"/>
      <c r="AD711" s="12"/>
      <c r="AE711" s="12"/>
      <c r="AF711" s="12"/>
    </row>
    <row r="712" spans="1:32" ht="13.2">
      <c r="A712" s="8"/>
      <c r="B712" s="8"/>
      <c r="C712" s="8"/>
      <c r="D712" s="8"/>
      <c r="E712" s="8"/>
      <c r="F712" s="8"/>
      <c r="G712" s="9"/>
      <c r="H712" s="8"/>
      <c r="I712" s="8"/>
      <c r="J712" s="8"/>
      <c r="K712" s="8"/>
      <c r="L712" s="8"/>
      <c r="M712" s="8"/>
      <c r="N712" s="8"/>
      <c r="O712" s="8"/>
      <c r="P712" s="8"/>
      <c r="Q712" s="8"/>
      <c r="R712" s="8"/>
      <c r="S712" s="8"/>
      <c r="T712" s="8"/>
      <c r="U712" s="12"/>
      <c r="V712" s="12"/>
      <c r="W712" s="12"/>
      <c r="X712" s="12"/>
      <c r="Y712" s="12"/>
      <c r="Z712" s="12"/>
      <c r="AA712" s="12"/>
      <c r="AB712" s="12"/>
      <c r="AC712" s="12"/>
      <c r="AD712" s="12"/>
      <c r="AE712" s="12"/>
      <c r="AF712" s="12"/>
    </row>
    <row r="713" spans="1:32" ht="13.2">
      <c r="A713" s="8"/>
      <c r="B713" s="8"/>
      <c r="C713" s="8"/>
      <c r="D713" s="8"/>
      <c r="E713" s="8"/>
      <c r="F713" s="8"/>
      <c r="G713" s="9"/>
      <c r="H713" s="8"/>
      <c r="I713" s="8"/>
      <c r="J713" s="8"/>
      <c r="K713" s="8"/>
      <c r="L713" s="8"/>
      <c r="M713" s="8"/>
      <c r="N713" s="8"/>
      <c r="O713" s="8"/>
      <c r="P713" s="8"/>
      <c r="Q713" s="8"/>
      <c r="R713" s="8"/>
      <c r="S713" s="8"/>
      <c r="T713" s="8"/>
      <c r="U713" s="12"/>
      <c r="V713" s="12"/>
      <c r="W713" s="12"/>
      <c r="X713" s="12"/>
      <c r="Y713" s="12"/>
      <c r="Z713" s="12"/>
      <c r="AA713" s="12"/>
      <c r="AB713" s="12"/>
      <c r="AC713" s="12"/>
      <c r="AD713" s="12"/>
      <c r="AE713" s="12"/>
      <c r="AF713" s="12"/>
    </row>
    <row r="714" spans="1:32" ht="13.2">
      <c r="A714" s="8"/>
      <c r="B714" s="8"/>
      <c r="C714" s="8"/>
      <c r="D714" s="8"/>
      <c r="E714" s="8"/>
      <c r="F714" s="8"/>
      <c r="G714" s="9"/>
      <c r="H714" s="8"/>
      <c r="I714" s="8"/>
      <c r="J714" s="8"/>
      <c r="K714" s="8"/>
      <c r="L714" s="8"/>
      <c r="M714" s="8"/>
      <c r="N714" s="8"/>
      <c r="O714" s="8"/>
      <c r="P714" s="8"/>
      <c r="Q714" s="8"/>
      <c r="R714" s="8"/>
      <c r="S714" s="8"/>
      <c r="T714" s="8"/>
      <c r="U714" s="12"/>
      <c r="V714" s="12"/>
      <c r="W714" s="12"/>
      <c r="X714" s="12"/>
      <c r="Y714" s="12"/>
      <c r="Z714" s="12"/>
      <c r="AA714" s="12"/>
      <c r="AB714" s="12"/>
      <c r="AC714" s="12"/>
      <c r="AD714" s="12"/>
      <c r="AE714" s="12"/>
      <c r="AF714" s="12"/>
    </row>
    <row r="715" spans="1:32" ht="13.2">
      <c r="A715" s="8"/>
      <c r="B715" s="8"/>
      <c r="C715" s="8"/>
      <c r="D715" s="8"/>
      <c r="E715" s="8"/>
      <c r="F715" s="8"/>
      <c r="G715" s="9"/>
      <c r="H715" s="8"/>
      <c r="I715" s="8"/>
      <c r="J715" s="8"/>
      <c r="K715" s="8"/>
      <c r="L715" s="8"/>
      <c r="M715" s="8"/>
      <c r="N715" s="8"/>
      <c r="O715" s="8"/>
      <c r="P715" s="8"/>
      <c r="Q715" s="8"/>
      <c r="R715" s="8"/>
      <c r="S715" s="8"/>
      <c r="T715" s="8"/>
      <c r="U715" s="12"/>
      <c r="V715" s="12"/>
      <c r="W715" s="12"/>
      <c r="X715" s="12"/>
      <c r="Y715" s="12"/>
      <c r="Z715" s="12"/>
      <c r="AA715" s="12"/>
      <c r="AB715" s="12"/>
      <c r="AC715" s="12"/>
      <c r="AD715" s="12"/>
      <c r="AE715" s="12"/>
      <c r="AF715" s="12"/>
    </row>
    <row r="716" spans="1:32" ht="13.2">
      <c r="A716" s="8"/>
      <c r="B716" s="8"/>
      <c r="C716" s="8"/>
      <c r="D716" s="8"/>
      <c r="E716" s="8"/>
      <c r="F716" s="8"/>
      <c r="G716" s="9"/>
      <c r="H716" s="8"/>
      <c r="I716" s="8"/>
      <c r="J716" s="8"/>
      <c r="K716" s="8"/>
      <c r="L716" s="8"/>
      <c r="M716" s="8"/>
      <c r="N716" s="8"/>
      <c r="O716" s="8"/>
      <c r="P716" s="8"/>
      <c r="Q716" s="8"/>
      <c r="R716" s="8"/>
      <c r="S716" s="8"/>
      <c r="T716" s="8"/>
      <c r="U716" s="12"/>
      <c r="V716" s="12"/>
      <c r="W716" s="12"/>
      <c r="X716" s="12"/>
      <c r="Y716" s="12"/>
      <c r="Z716" s="12"/>
      <c r="AA716" s="12"/>
      <c r="AB716" s="12"/>
      <c r="AC716" s="12"/>
      <c r="AD716" s="12"/>
      <c r="AE716" s="12"/>
      <c r="AF716" s="12"/>
    </row>
    <row r="717" spans="1:32" ht="13.2">
      <c r="A717" s="8"/>
      <c r="B717" s="8"/>
      <c r="C717" s="8"/>
      <c r="D717" s="8"/>
      <c r="E717" s="8"/>
      <c r="F717" s="8"/>
      <c r="G717" s="9"/>
      <c r="H717" s="8"/>
      <c r="I717" s="8"/>
      <c r="J717" s="8"/>
      <c r="K717" s="8"/>
      <c r="L717" s="8"/>
      <c r="M717" s="8"/>
      <c r="N717" s="8"/>
      <c r="O717" s="8"/>
      <c r="P717" s="8"/>
      <c r="Q717" s="8"/>
      <c r="R717" s="8"/>
      <c r="S717" s="8"/>
      <c r="T717" s="8"/>
      <c r="U717" s="12"/>
      <c r="V717" s="12"/>
      <c r="W717" s="12"/>
      <c r="X717" s="12"/>
      <c r="Y717" s="12"/>
      <c r="Z717" s="12"/>
      <c r="AA717" s="12"/>
      <c r="AB717" s="12"/>
      <c r="AC717" s="12"/>
      <c r="AD717" s="12"/>
      <c r="AE717" s="12"/>
      <c r="AF717" s="12"/>
    </row>
    <row r="718" spans="1:32" ht="13.2">
      <c r="A718" s="8"/>
      <c r="B718" s="8"/>
      <c r="C718" s="8"/>
      <c r="D718" s="8"/>
      <c r="E718" s="8"/>
      <c r="F718" s="8"/>
      <c r="G718" s="9"/>
      <c r="H718" s="8"/>
      <c r="I718" s="8"/>
      <c r="J718" s="8"/>
      <c r="K718" s="8"/>
      <c r="L718" s="8"/>
      <c r="M718" s="8"/>
      <c r="N718" s="8"/>
      <c r="O718" s="8"/>
      <c r="P718" s="8"/>
      <c r="Q718" s="8"/>
      <c r="R718" s="8"/>
      <c r="S718" s="8"/>
      <c r="T718" s="8"/>
      <c r="U718" s="12"/>
      <c r="V718" s="12"/>
      <c r="W718" s="12"/>
      <c r="X718" s="12"/>
      <c r="Y718" s="12"/>
      <c r="Z718" s="12"/>
      <c r="AA718" s="12"/>
      <c r="AB718" s="12"/>
      <c r="AC718" s="12"/>
      <c r="AD718" s="12"/>
      <c r="AE718" s="12"/>
      <c r="AF718" s="12"/>
    </row>
    <row r="719" spans="1:32" ht="13.2">
      <c r="A719" s="8"/>
      <c r="B719" s="8"/>
      <c r="C719" s="8"/>
      <c r="D719" s="8"/>
      <c r="E719" s="8"/>
      <c r="F719" s="8"/>
      <c r="G719" s="9"/>
      <c r="H719" s="8"/>
      <c r="I719" s="8"/>
      <c r="J719" s="8"/>
      <c r="K719" s="8"/>
      <c r="L719" s="8"/>
      <c r="M719" s="8"/>
      <c r="N719" s="8"/>
      <c r="O719" s="8"/>
      <c r="P719" s="8"/>
      <c r="Q719" s="8"/>
      <c r="R719" s="8"/>
      <c r="S719" s="8"/>
      <c r="T719" s="8"/>
      <c r="U719" s="12"/>
      <c r="V719" s="12"/>
      <c r="W719" s="12"/>
      <c r="X719" s="12"/>
      <c r="Y719" s="12"/>
      <c r="Z719" s="12"/>
      <c r="AA719" s="12"/>
      <c r="AB719" s="12"/>
      <c r="AC719" s="12"/>
      <c r="AD719" s="12"/>
      <c r="AE719" s="12"/>
      <c r="AF719" s="12"/>
    </row>
    <row r="720" spans="1:32" ht="13.2">
      <c r="A720" s="8"/>
      <c r="B720" s="8"/>
      <c r="C720" s="8"/>
      <c r="D720" s="8"/>
      <c r="E720" s="8"/>
      <c r="F720" s="8"/>
      <c r="G720" s="9"/>
      <c r="H720" s="8"/>
      <c r="I720" s="8"/>
      <c r="J720" s="8"/>
      <c r="K720" s="8"/>
      <c r="L720" s="8"/>
      <c r="M720" s="8"/>
      <c r="N720" s="8"/>
      <c r="O720" s="8"/>
      <c r="P720" s="8"/>
      <c r="Q720" s="8"/>
      <c r="R720" s="8"/>
      <c r="S720" s="8"/>
      <c r="T720" s="8"/>
      <c r="U720" s="12"/>
      <c r="V720" s="12"/>
      <c r="W720" s="12"/>
      <c r="X720" s="12"/>
      <c r="Y720" s="12"/>
      <c r="Z720" s="12"/>
      <c r="AA720" s="12"/>
      <c r="AB720" s="12"/>
      <c r="AC720" s="12"/>
      <c r="AD720" s="12"/>
      <c r="AE720" s="12"/>
      <c r="AF720" s="12"/>
    </row>
    <row r="721" spans="1:32" ht="13.2">
      <c r="A721" s="8"/>
      <c r="B721" s="8"/>
      <c r="C721" s="8"/>
      <c r="D721" s="8"/>
      <c r="E721" s="8"/>
      <c r="F721" s="8"/>
      <c r="G721" s="9"/>
      <c r="H721" s="8"/>
      <c r="I721" s="8"/>
      <c r="J721" s="8"/>
      <c r="K721" s="8"/>
      <c r="L721" s="8"/>
      <c r="M721" s="8"/>
      <c r="N721" s="8"/>
      <c r="O721" s="8"/>
      <c r="P721" s="8"/>
      <c r="Q721" s="8"/>
      <c r="R721" s="8"/>
      <c r="S721" s="8"/>
      <c r="T721" s="8"/>
      <c r="U721" s="12"/>
      <c r="V721" s="12"/>
      <c r="W721" s="12"/>
      <c r="X721" s="12"/>
      <c r="Y721" s="12"/>
      <c r="Z721" s="12"/>
      <c r="AA721" s="12"/>
      <c r="AB721" s="12"/>
      <c r="AC721" s="12"/>
      <c r="AD721" s="12"/>
      <c r="AE721" s="12"/>
      <c r="AF721" s="12"/>
    </row>
    <row r="722" spans="1:32" ht="13.2">
      <c r="A722" s="8"/>
      <c r="B722" s="8"/>
      <c r="C722" s="8"/>
      <c r="D722" s="8"/>
      <c r="E722" s="8"/>
      <c r="F722" s="8"/>
      <c r="G722" s="9"/>
      <c r="H722" s="8"/>
      <c r="I722" s="8"/>
      <c r="J722" s="8"/>
      <c r="K722" s="8"/>
      <c r="L722" s="8"/>
      <c r="M722" s="8"/>
      <c r="N722" s="8"/>
      <c r="O722" s="8"/>
      <c r="P722" s="8"/>
      <c r="Q722" s="8"/>
      <c r="R722" s="8"/>
      <c r="S722" s="8"/>
      <c r="T722" s="8"/>
      <c r="U722" s="12"/>
      <c r="V722" s="12"/>
      <c r="W722" s="12"/>
      <c r="X722" s="12"/>
      <c r="Y722" s="12"/>
      <c r="Z722" s="12"/>
      <c r="AA722" s="12"/>
      <c r="AB722" s="12"/>
      <c r="AC722" s="12"/>
      <c r="AD722" s="12"/>
      <c r="AE722" s="12"/>
      <c r="AF722" s="12"/>
    </row>
    <row r="723" spans="1:32" ht="13.2">
      <c r="A723" s="8"/>
      <c r="B723" s="8"/>
      <c r="C723" s="8"/>
      <c r="D723" s="8"/>
      <c r="E723" s="8"/>
      <c r="F723" s="8"/>
      <c r="G723" s="9"/>
      <c r="H723" s="8"/>
      <c r="I723" s="8"/>
      <c r="J723" s="8"/>
      <c r="K723" s="8"/>
      <c r="L723" s="8"/>
      <c r="M723" s="8"/>
      <c r="N723" s="8"/>
      <c r="O723" s="8"/>
      <c r="P723" s="8"/>
      <c r="Q723" s="8"/>
      <c r="R723" s="8"/>
      <c r="S723" s="8"/>
      <c r="T723" s="8"/>
      <c r="U723" s="12"/>
      <c r="V723" s="12"/>
      <c r="W723" s="12"/>
      <c r="X723" s="12"/>
      <c r="Y723" s="12"/>
      <c r="Z723" s="12"/>
      <c r="AA723" s="12"/>
      <c r="AB723" s="12"/>
      <c r="AC723" s="12"/>
      <c r="AD723" s="12"/>
      <c r="AE723" s="12"/>
      <c r="AF723" s="12"/>
    </row>
    <row r="724" spans="1:32" ht="13.2">
      <c r="A724" s="8"/>
      <c r="B724" s="8"/>
      <c r="C724" s="8"/>
      <c r="D724" s="8"/>
      <c r="E724" s="8"/>
      <c r="F724" s="8"/>
      <c r="G724" s="9"/>
      <c r="H724" s="8"/>
      <c r="I724" s="8"/>
      <c r="J724" s="8"/>
      <c r="K724" s="8"/>
      <c r="L724" s="8"/>
      <c r="M724" s="8"/>
      <c r="N724" s="8"/>
      <c r="O724" s="8"/>
      <c r="P724" s="8"/>
      <c r="Q724" s="8"/>
      <c r="R724" s="8"/>
      <c r="S724" s="8"/>
      <c r="T724" s="8"/>
      <c r="U724" s="12"/>
      <c r="V724" s="12"/>
      <c r="W724" s="12"/>
      <c r="X724" s="12"/>
      <c r="Y724" s="12"/>
      <c r="Z724" s="12"/>
      <c r="AA724" s="12"/>
      <c r="AB724" s="12"/>
      <c r="AC724" s="12"/>
      <c r="AD724" s="12"/>
      <c r="AE724" s="12"/>
      <c r="AF724" s="12"/>
    </row>
    <row r="725" spans="1:32" ht="13.2">
      <c r="A725" s="8"/>
      <c r="B725" s="8"/>
      <c r="C725" s="8"/>
      <c r="D725" s="8"/>
      <c r="E725" s="8"/>
      <c r="F725" s="8"/>
      <c r="G725" s="9"/>
      <c r="H725" s="8"/>
      <c r="I725" s="8"/>
      <c r="J725" s="8"/>
      <c r="K725" s="8"/>
      <c r="L725" s="8"/>
      <c r="M725" s="8"/>
      <c r="N725" s="8"/>
      <c r="O725" s="8"/>
      <c r="P725" s="8"/>
      <c r="Q725" s="8"/>
      <c r="R725" s="8"/>
      <c r="S725" s="8"/>
      <c r="T725" s="8"/>
      <c r="U725" s="12"/>
      <c r="V725" s="12"/>
      <c r="W725" s="12"/>
      <c r="X725" s="12"/>
      <c r="Y725" s="12"/>
      <c r="Z725" s="12"/>
      <c r="AA725" s="12"/>
      <c r="AB725" s="12"/>
      <c r="AC725" s="12"/>
      <c r="AD725" s="12"/>
      <c r="AE725" s="12"/>
      <c r="AF725" s="12"/>
    </row>
    <row r="726" spans="1:32" ht="13.2">
      <c r="A726" s="8"/>
      <c r="B726" s="8"/>
      <c r="C726" s="8"/>
      <c r="D726" s="8"/>
      <c r="E726" s="8"/>
      <c r="F726" s="8"/>
      <c r="G726" s="9"/>
      <c r="H726" s="8"/>
      <c r="I726" s="8"/>
      <c r="J726" s="8"/>
      <c r="K726" s="8"/>
      <c r="L726" s="8"/>
      <c r="M726" s="8"/>
      <c r="N726" s="8"/>
      <c r="O726" s="8"/>
      <c r="P726" s="8"/>
      <c r="Q726" s="8"/>
      <c r="R726" s="8"/>
      <c r="S726" s="8"/>
      <c r="T726" s="8"/>
      <c r="U726" s="12"/>
      <c r="V726" s="12"/>
      <c r="W726" s="12"/>
      <c r="X726" s="12"/>
      <c r="Y726" s="12"/>
      <c r="Z726" s="12"/>
      <c r="AA726" s="12"/>
      <c r="AB726" s="12"/>
      <c r="AC726" s="12"/>
      <c r="AD726" s="12"/>
      <c r="AE726" s="12"/>
      <c r="AF726" s="12"/>
    </row>
    <row r="727" spans="1:32" ht="13.2">
      <c r="A727" s="8"/>
      <c r="B727" s="8"/>
      <c r="C727" s="8"/>
      <c r="D727" s="8"/>
      <c r="E727" s="8"/>
      <c r="F727" s="8"/>
      <c r="G727" s="9"/>
      <c r="H727" s="8"/>
      <c r="I727" s="8"/>
      <c r="J727" s="8"/>
      <c r="K727" s="8"/>
      <c r="L727" s="8"/>
      <c r="M727" s="8"/>
      <c r="N727" s="8"/>
      <c r="O727" s="8"/>
      <c r="P727" s="8"/>
      <c r="Q727" s="8"/>
      <c r="R727" s="8"/>
      <c r="S727" s="8"/>
      <c r="T727" s="8"/>
      <c r="U727" s="12"/>
      <c r="V727" s="12"/>
      <c r="W727" s="12"/>
      <c r="X727" s="12"/>
      <c r="Y727" s="12"/>
      <c r="Z727" s="12"/>
      <c r="AA727" s="12"/>
      <c r="AB727" s="12"/>
      <c r="AC727" s="12"/>
      <c r="AD727" s="12"/>
      <c r="AE727" s="12"/>
      <c r="AF727" s="12"/>
    </row>
    <row r="728" spans="1:32" ht="13.2">
      <c r="A728" s="8"/>
      <c r="B728" s="8"/>
      <c r="C728" s="8"/>
      <c r="D728" s="8"/>
      <c r="E728" s="8"/>
      <c r="F728" s="8"/>
      <c r="G728" s="9"/>
      <c r="H728" s="8"/>
      <c r="I728" s="8"/>
      <c r="J728" s="8"/>
      <c r="K728" s="8"/>
      <c r="L728" s="8"/>
      <c r="M728" s="8"/>
      <c r="N728" s="8"/>
      <c r="O728" s="8"/>
      <c r="P728" s="8"/>
      <c r="Q728" s="8"/>
      <c r="R728" s="8"/>
      <c r="S728" s="8"/>
      <c r="T728" s="8"/>
      <c r="U728" s="12"/>
      <c r="V728" s="12"/>
      <c r="W728" s="12"/>
      <c r="X728" s="12"/>
      <c r="Y728" s="12"/>
      <c r="Z728" s="12"/>
      <c r="AA728" s="12"/>
      <c r="AB728" s="12"/>
      <c r="AC728" s="12"/>
      <c r="AD728" s="12"/>
      <c r="AE728" s="12"/>
      <c r="AF728" s="12"/>
    </row>
    <row r="729" spans="1:32" ht="13.2">
      <c r="A729" s="8"/>
      <c r="B729" s="8"/>
      <c r="C729" s="8"/>
      <c r="D729" s="8"/>
      <c r="E729" s="8"/>
      <c r="F729" s="8"/>
      <c r="G729" s="9"/>
      <c r="H729" s="8"/>
      <c r="I729" s="8"/>
      <c r="J729" s="8"/>
      <c r="K729" s="8"/>
      <c r="L729" s="8"/>
      <c r="M729" s="8"/>
      <c r="N729" s="8"/>
      <c r="O729" s="8"/>
      <c r="P729" s="8"/>
      <c r="Q729" s="8"/>
      <c r="R729" s="8"/>
      <c r="S729" s="8"/>
      <c r="T729" s="8"/>
      <c r="U729" s="12"/>
      <c r="V729" s="12"/>
      <c r="W729" s="12"/>
      <c r="X729" s="12"/>
      <c r="Y729" s="12"/>
      <c r="Z729" s="12"/>
      <c r="AA729" s="12"/>
      <c r="AB729" s="12"/>
      <c r="AC729" s="12"/>
      <c r="AD729" s="12"/>
      <c r="AE729" s="12"/>
      <c r="AF729" s="12"/>
    </row>
    <row r="730" spans="1:32" ht="13.2">
      <c r="A730" s="8"/>
      <c r="B730" s="8"/>
      <c r="C730" s="8"/>
      <c r="D730" s="8"/>
      <c r="E730" s="8"/>
      <c r="F730" s="8"/>
      <c r="G730" s="9"/>
      <c r="H730" s="8"/>
      <c r="I730" s="8"/>
      <c r="J730" s="8"/>
      <c r="K730" s="8"/>
      <c r="L730" s="8"/>
      <c r="M730" s="8"/>
      <c r="N730" s="8"/>
      <c r="O730" s="8"/>
      <c r="P730" s="8"/>
      <c r="Q730" s="8"/>
      <c r="R730" s="8"/>
      <c r="S730" s="8"/>
      <c r="T730" s="8"/>
      <c r="U730" s="12"/>
      <c r="V730" s="12"/>
      <c r="W730" s="12"/>
      <c r="X730" s="12"/>
      <c r="Y730" s="12"/>
      <c r="Z730" s="12"/>
      <c r="AA730" s="12"/>
      <c r="AB730" s="12"/>
      <c r="AC730" s="12"/>
      <c r="AD730" s="12"/>
      <c r="AE730" s="12"/>
      <c r="AF730" s="12"/>
    </row>
    <row r="731" spans="1:32" ht="13.2">
      <c r="A731" s="8"/>
      <c r="B731" s="8"/>
      <c r="C731" s="8"/>
      <c r="D731" s="8"/>
      <c r="E731" s="8"/>
      <c r="F731" s="8"/>
      <c r="G731" s="9"/>
      <c r="H731" s="8"/>
      <c r="I731" s="8"/>
      <c r="J731" s="8"/>
      <c r="K731" s="8"/>
      <c r="L731" s="8"/>
      <c r="M731" s="8"/>
      <c r="N731" s="8"/>
      <c r="O731" s="8"/>
      <c r="P731" s="8"/>
      <c r="Q731" s="8"/>
      <c r="R731" s="8"/>
      <c r="S731" s="8"/>
      <c r="T731" s="8"/>
      <c r="U731" s="12"/>
      <c r="V731" s="12"/>
      <c r="W731" s="12"/>
      <c r="X731" s="12"/>
      <c r="Y731" s="12"/>
      <c r="Z731" s="12"/>
      <c r="AA731" s="12"/>
      <c r="AB731" s="12"/>
      <c r="AC731" s="12"/>
      <c r="AD731" s="12"/>
      <c r="AE731" s="12"/>
      <c r="AF731" s="12"/>
    </row>
    <row r="732" spans="1:32" ht="13.2">
      <c r="A732" s="8"/>
      <c r="B732" s="8"/>
      <c r="C732" s="8"/>
      <c r="D732" s="8"/>
      <c r="E732" s="8"/>
      <c r="F732" s="8"/>
      <c r="G732" s="9"/>
      <c r="H732" s="8"/>
      <c r="I732" s="8"/>
      <c r="J732" s="8"/>
      <c r="K732" s="8"/>
      <c r="L732" s="8"/>
      <c r="M732" s="8"/>
      <c r="N732" s="8"/>
      <c r="O732" s="8"/>
      <c r="P732" s="8"/>
      <c r="Q732" s="8"/>
      <c r="R732" s="8"/>
      <c r="S732" s="8"/>
      <c r="T732" s="8"/>
      <c r="U732" s="12"/>
      <c r="V732" s="12"/>
      <c r="W732" s="12"/>
      <c r="X732" s="12"/>
      <c r="Y732" s="12"/>
      <c r="Z732" s="12"/>
      <c r="AA732" s="12"/>
      <c r="AB732" s="12"/>
      <c r="AC732" s="12"/>
      <c r="AD732" s="12"/>
      <c r="AE732" s="12"/>
      <c r="AF732" s="12"/>
    </row>
    <row r="733" spans="1:32" ht="13.2">
      <c r="A733" s="8"/>
      <c r="B733" s="8"/>
      <c r="C733" s="8"/>
      <c r="D733" s="8"/>
      <c r="E733" s="8"/>
      <c r="F733" s="8"/>
      <c r="G733" s="9"/>
      <c r="H733" s="8"/>
      <c r="I733" s="8"/>
      <c r="J733" s="8"/>
      <c r="K733" s="8"/>
      <c r="L733" s="8"/>
      <c r="M733" s="8"/>
      <c r="N733" s="8"/>
      <c r="O733" s="8"/>
      <c r="P733" s="8"/>
      <c r="Q733" s="8"/>
      <c r="R733" s="8"/>
      <c r="S733" s="8"/>
      <c r="T733" s="8"/>
      <c r="U733" s="12"/>
      <c r="V733" s="12"/>
      <c r="W733" s="12"/>
      <c r="X733" s="12"/>
      <c r="Y733" s="12"/>
      <c r="Z733" s="12"/>
      <c r="AA733" s="12"/>
      <c r="AB733" s="12"/>
      <c r="AC733" s="12"/>
      <c r="AD733" s="12"/>
      <c r="AE733" s="12"/>
      <c r="AF733" s="12"/>
    </row>
    <row r="734" spans="1:32" ht="13.2">
      <c r="A734" s="8"/>
      <c r="B734" s="8"/>
      <c r="C734" s="8"/>
      <c r="D734" s="8"/>
      <c r="E734" s="8"/>
      <c r="F734" s="8"/>
      <c r="G734" s="9"/>
      <c r="H734" s="8"/>
      <c r="I734" s="8"/>
      <c r="J734" s="8"/>
      <c r="K734" s="8"/>
      <c r="L734" s="8"/>
      <c r="M734" s="8"/>
      <c r="N734" s="8"/>
      <c r="O734" s="8"/>
      <c r="P734" s="8"/>
      <c r="Q734" s="8"/>
      <c r="R734" s="8"/>
      <c r="S734" s="8"/>
      <c r="T734" s="8"/>
      <c r="U734" s="12"/>
      <c r="V734" s="12"/>
      <c r="W734" s="12"/>
      <c r="X734" s="12"/>
      <c r="Y734" s="12"/>
      <c r="Z734" s="12"/>
      <c r="AA734" s="12"/>
      <c r="AB734" s="12"/>
      <c r="AC734" s="12"/>
      <c r="AD734" s="12"/>
      <c r="AE734" s="12"/>
      <c r="AF734" s="12"/>
    </row>
    <row r="735" spans="1:32" ht="13.2">
      <c r="A735" s="8"/>
      <c r="B735" s="8"/>
      <c r="C735" s="8"/>
      <c r="D735" s="8"/>
      <c r="E735" s="8"/>
      <c r="F735" s="8"/>
      <c r="G735" s="9"/>
      <c r="H735" s="8"/>
      <c r="I735" s="8"/>
      <c r="J735" s="8"/>
      <c r="K735" s="8"/>
      <c r="L735" s="8"/>
      <c r="M735" s="8"/>
      <c r="N735" s="8"/>
      <c r="O735" s="8"/>
      <c r="P735" s="8"/>
      <c r="Q735" s="8"/>
      <c r="R735" s="8"/>
      <c r="S735" s="8"/>
      <c r="T735" s="8"/>
      <c r="U735" s="12"/>
      <c r="V735" s="12"/>
      <c r="W735" s="12"/>
      <c r="X735" s="12"/>
      <c r="Y735" s="12"/>
      <c r="Z735" s="12"/>
      <c r="AA735" s="12"/>
      <c r="AB735" s="12"/>
      <c r="AC735" s="12"/>
      <c r="AD735" s="12"/>
      <c r="AE735" s="12"/>
      <c r="AF735" s="12"/>
    </row>
    <row r="736" spans="1:32" ht="13.2">
      <c r="A736" s="8"/>
      <c r="B736" s="8"/>
      <c r="C736" s="8"/>
      <c r="D736" s="8"/>
      <c r="E736" s="8"/>
      <c r="F736" s="8"/>
      <c r="G736" s="9"/>
      <c r="H736" s="8"/>
      <c r="I736" s="8"/>
      <c r="J736" s="8"/>
      <c r="K736" s="8"/>
      <c r="L736" s="8"/>
      <c r="M736" s="8"/>
      <c r="N736" s="8"/>
      <c r="O736" s="8"/>
      <c r="P736" s="8"/>
      <c r="Q736" s="8"/>
      <c r="R736" s="8"/>
      <c r="S736" s="8"/>
      <c r="T736" s="8"/>
      <c r="U736" s="12"/>
      <c r="V736" s="12"/>
      <c r="W736" s="12"/>
      <c r="X736" s="12"/>
      <c r="Y736" s="12"/>
      <c r="Z736" s="12"/>
      <c r="AA736" s="12"/>
      <c r="AB736" s="12"/>
      <c r="AC736" s="12"/>
      <c r="AD736" s="12"/>
      <c r="AE736" s="12"/>
      <c r="AF736" s="12"/>
    </row>
    <row r="737" spans="1:32" ht="13.2">
      <c r="A737" s="8"/>
      <c r="B737" s="8"/>
      <c r="C737" s="8"/>
      <c r="D737" s="8"/>
      <c r="E737" s="8"/>
      <c r="F737" s="8"/>
      <c r="G737" s="9"/>
      <c r="H737" s="8"/>
      <c r="I737" s="8"/>
      <c r="J737" s="8"/>
      <c r="K737" s="8"/>
      <c r="L737" s="8"/>
      <c r="M737" s="8"/>
      <c r="N737" s="8"/>
      <c r="O737" s="8"/>
      <c r="P737" s="8"/>
      <c r="Q737" s="8"/>
      <c r="R737" s="8"/>
      <c r="S737" s="8"/>
      <c r="T737" s="8"/>
      <c r="U737" s="12"/>
      <c r="V737" s="12"/>
      <c r="W737" s="12"/>
      <c r="X737" s="12"/>
      <c r="Y737" s="12"/>
      <c r="Z737" s="12"/>
      <c r="AA737" s="12"/>
      <c r="AB737" s="12"/>
      <c r="AC737" s="12"/>
      <c r="AD737" s="12"/>
      <c r="AE737" s="12"/>
      <c r="AF737" s="12"/>
    </row>
    <row r="738" spans="1:32" ht="13.2">
      <c r="A738" s="8"/>
      <c r="B738" s="8"/>
      <c r="C738" s="8"/>
      <c r="D738" s="8"/>
      <c r="E738" s="8"/>
      <c r="F738" s="8"/>
      <c r="G738" s="9"/>
      <c r="H738" s="8"/>
      <c r="I738" s="8"/>
      <c r="J738" s="8"/>
      <c r="K738" s="8"/>
      <c r="L738" s="8"/>
      <c r="M738" s="8"/>
      <c r="N738" s="8"/>
      <c r="O738" s="8"/>
      <c r="P738" s="8"/>
      <c r="Q738" s="8"/>
      <c r="R738" s="8"/>
      <c r="S738" s="8"/>
      <c r="T738" s="8"/>
      <c r="U738" s="12"/>
      <c r="V738" s="12"/>
      <c r="W738" s="12"/>
      <c r="X738" s="12"/>
      <c r="Y738" s="12"/>
      <c r="Z738" s="12"/>
      <c r="AA738" s="12"/>
      <c r="AB738" s="12"/>
      <c r="AC738" s="12"/>
      <c r="AD738" s="12"/>
      <c r="AE738" s="12"/>
      <c r="AF738" s="12"/>
    </row>
    <row r="739" spans="1:32" ht="13.2">
      <c r="A739" s="8"/>
      <c r="B739" s="8"/>
      <c r="C739" s="8"/>
      <c r="D739" s="8"/>
      <c r="E739" s="8"/>
      <c r="F739" s="8"/>
      <c r="G739" s="9"/>
      <c r="H739" s="8"/>
      <c r="I739" s="8"/>
      <c r="J739" s="8"/>
      <c r="K739" s="8"/>
      <c r="L739" s="8"/>
      <c r="M739" s="8"/>
      <c r="N739" s="8"/>
      <c r="O739" s="8"/>
      <c r="P739" s="8"/>
      <c r="Q739" s="8"/>
      <c r="R739" s="8"/>
      <c r="S739" s="8"/>
      <c r="T739" s="8"/>
      <c r="U739" s="12"/>
      <c r="V739" s="12"/>
      <c r="W739" s="12"/>
      <c r="X739" s="12"/>
      <c r="Y739" s="12"/>
      <c r="Z739" s="12"/>
      <c r="AA739" s="12"/>
      <c r="AB739" s="12"/>
      <c r="AC739" s="12"/>
      <c r="AD739" s="12"/>
      <c r="AE739" s="12"/>
      <c r="AF739" s="12"/>
    </row>
    <row r="740" spans="1:32" ht="13.2">
      <c r="A740" s="8"/>
      <c r="B740" s="8"/>
      <c r="C740" s="8"/>
      <c r="D740" s="8"/>
      <c r="E740" s="8"/>
      <c r="F740" s="8"/>
      <c r="G740" s="9"/>
      <c r="H740" s="8"/>
      <c r="I740" s="8"/>
      <c r="J740" s="8"/>
      <c r="K740" s="8"/>
      <c r="L740" s="8"/>
      <c r="M740" s="8"/>
      <c r="N740" s="8"/>
      <c r="O740" s="8"/>
      <c r="P740" s="8"/>
      <c r="Q740" s="8"/>
      <c r="R740" s="8"/>
      <c r="S740" s="8"/>
      <c r="T740" s="8"/>
      <c r="U740" s="12"/>
      <c r="V740" s="12"/>
      <c r="W740" s="12"/>
      <c r="X740" s="12"/>
      <c r="Y740" s="12"/>
      <c r="Z740" s="12"/>
      <c r="AA740" s="12"/>
      <c r="AB740" s="12"/>
      <c r="AC740" s="12"/>
      <c r="AD740" s="12"/>
      <c r="AE740" s="12"/>
      <c r="AF740" s="12"/>
    </row>
    <row r="741" spans="1:32" ht="13.2">
      <c r="A741" s="8"/>
      <c r="B741" s="8"/>
      <c r="C741" s="8"/>
      <c r="D741" s="8"/>
      <c r="E741" s="8"/>
      <c r="F741" s="8"/>
      <c r="G741" s="9"/>
      <c r="H741" s="8"/>
      <c r="I741" s="8"/>
      <c r="J741" s="8"/>
      <c r="K741" s="8"/>
      <c r="L741" s="8"/>
      <c r="M741" s="8"/>
      <c r="N741" s="8"/>
      <c r="O741" s="8"/>
      <c r="P741" s="8"/>
      <c r="Q741" s="8"/>
      <c r="R741" s="8"/>
      <c r="S741" s="8"/>
      <c r="T741" s="8"/>
      <c r="U741" s="12"/>
      <c r="V741" s="12"/>
      <c r="W741" s="12"/>
      <c r="X741" s="12"/>
      <c r="Y741" s="12"/>
      <c r="Z741" s="12"/>
      <c r="AA741" s="12"/>
      <c r="AB741" s="12"/>
      <c r="AC741" s="12"/>
      <c r="AD741" s="12"/>
      <c r="AE741" s="12"/>
      <c r="AF741" s="12"/>
    </row>
    <row r="742" spans="1:32" ht="13.2">
      <c r="A742" s="8"/>
      <c r="B742" s="8"/>
      <c r="C742" s="8"/>
      <c r="D742" s="8"/>
      <c r="E742" s="8"/>
      <c r="F742" s="8"/>
      <c r="G742" s="9"/>
      <c r="H742" s="8"/>
      <c r="I742" s="8"/>
      <c r="J742" s="8"/>
      <c r="K742" s="8"/>
      <c r="L742" s="8"/>
      <c r="M742" s="8"/>
      <c r="N742" s="8"/>
      <c r="O742" s="8"/>
      <c r="P742" s="8"/>
      <c r="Q742" s="8"/>
      <c r="R742" s="8"/>
      <c r="S742" s="8"/>
      <c r="T742" s="8"/>
      <c r="U742" s="12"/>
      <c r="V742" s="12"/>
      <c r="W742" s="12"/>
      <c r="X742" s="12"/>
      <c r="Y742" s="12"/>
      <c r="Z742" s="12"/>
      <c r="AA742" s="12"/>
      <c r="AB742" s="12"/>
      <c r="AC742" s="12"/>
      <c r="AD742" s="12"/>
      <c r="AE742" s="12"/>
      <c r="AF742" s="12"/>
    </row>
    <row r="743" spans="1:32" ht="13.2">
      <c r="A743" s="8"/>
      <c r="B743" s="8"/>
      <c r="C743" s="8"/>
      <c r="D743" s="8"/>
      <c r="E743" s="8"/>
      <c r="F743" s="8"/>
      <c r="G743" s="9"/>
      <c r="H743" s="8"/>
      <c r="I743" s="8"/>
      <c r="J743" s="8"/>
      <c r="K743" s="8"/>
      <c r="L743" s="8"/>
      <c r="M743" s="8"/>
      <c r="N743" s="8"/>
      <c r="O743" s="8"/>
      <c r="P743" s="8"/>
      <c r="Q743" s="8"/>
      <c r="R743" s="8"/>
      <c r="S743" s="8"/>
      <c r="T743" s="8"/>
      <c r="U743" s="12"/>
      <c r="V743" s="12"/>
      <c r="W743" s="12"/>
      <c r="X743" s="12"/>
      <c r="Y743" s="12"/>
      <c r="Z743" s="12"/>
      <c r="AA743" s="12"/>
      <c r="AB743" s="12"/>
      <c r="AC743" s="12"/>
      <c r="AD743" s="12"/>
      <c r="AE743" s="12"/>
      <c r="AF743" s="12"/>
    </row>
    <row r="744" spans="1:32" ht="13.2">
      <c r="A744" s="8"/>
      <c r="B744" s="8"/>
      <c r="C744" s="8"/>
      <c r="D744" s="8"/>
      <c r="E744" s="8"/>
      <c r="F744" s="8"/>
      <c r="G744" s="9"/>
      <c r="H744" s="8"/>
      <c r="I744" s="8"/>
      <c r="J744" s="8"/>
      <c r="K744" s="8"/>
      <c r="L744" s="8"/>
      <c r="M744" s="8"/>
      <c r="N744" s="8"/>
      <c r="O744" s="8"/>
      <c r="P744" s="8"/>
      <c r="Q744" s="8"/>
      <c r="R744" s="8"/>
      <c r="S744" s="8"/>
      <c r="T744" s="8"/>
      <c r="U744" s="12"/>
      <c r="V744" s="12"/>
      <c r="W744" s="12"/>
      <c r="X744" s="12"/>
      <c r="Y744" s="12"/>
      <c r="Z744" s="12"/>
      <c r="AA744" s="12"/>
      <c r="AB744" s="12"/>
      <c r="AC744" s="12"/>
      <c r="AD744" s="12"/>
      <c r="AE744" s="12"/>
      <c r="AF744" s="12"/>
    </row>
    <row r="745" spans="1:32" ht="13.2">
      <c r="A745" s="8"/>
      <c r="B745" s="8"/>
      <c r="C745" s="8"/>
      <c r="D745" s="8"/>
      <c r="E745" s="8"/>
      <c r="F745" s="8"/>
      <c r="G745" s="9"/>
      <c r="H745" s="8"/>
      <c r="I745" s="8"/>
      <c r="J745" s="8"/>
      <c r="K745" s="8"/>
      <c r="L745" s="8"/>
      <c r="M745" s="8"/>
      <c r="N745" s="8"/>
      <c r="O745" s="8"/>
      <c r="P745" s="8"/>
      <c r="Q745" s="8"/>
      <c r="R745" s="8"/>
      <c r="S745" s="8"/>
      <c r="T745" s="8"/>
      <c r="U745" s="12"/>
      <c r="V745" s="12"/>
      <c r="W745" s="12"/>
      <c r="X745" s="12"/>
      <c r="Y745" s="12"/>
      <c r="Z745" s="12"/>
      <c r="AA745" s="12"/>
      <c r="AB745" s="12"/>
      <c r="AC745" s="12"/>
      <c r="AD745" s="12"/>
      <c r="AE745" s="12"/>
      <c r="AF745" s="12"/>
    </row>
    <row r="746" spans="1:32" ht="13.2">
      <c r="A746" s="8"/>
      <c r="B746" s="8"/>
      <c r="C746" s="8"/>
      <c r="D746" s="8"/>
      <c r="E746" s="8"/>
      <c r="F746" s="8"/>
      <c r="G746" s="9"/>
      <c r="H746" s="8"/>
      <c r="I746" s="8"/>
      <c r="J746" s="8"/>
      <c r="K746" s="8"/>
      <c r="L746" s="8"/>
      <c r="M746" s="8"/>
      <c r="N746" s="8"/>
      <c r="O746" s="8"/>
      <c r="P746" s="8"/>
      <c r="Q746" s="8"/>
      <c r="R746" s="8"/>
      <c r="S746" s="8"/>
      <c r="T746" s="8"/>
      <c r="U746" s="12"/>
      <c r="V746" s="12"/>
      <c r="W746" s="12"/>
      <c r="X746" s="12"/>
      <c r="Y746" s="12"/>
      <c r="Z746" s="12"/>
      <c r="AA746" s="12"/>
      <c r="AB746" s="12"/>
      <c r="AC746" s="12"/>
      <c r="AD746" s="12"/>
      <c r="AE746" s="12"/>
      <c r="AF746" s="12"/>
    </row>
    <row r="747" spans="1:32" ht="13.2">
      <c r="A747" s="8"/>
      <c r="B747" s="8"/>
      <c r="C747" s="8"/>
      <c r="D747" s="8"/>
      <c r="E747" s="8"/>
      <c r="F747" s="8"/>
      <c r="G747" s="9"/>
      <c r="H747" s="8"/>
      <c r="I747" s="8"/>
      <c r="J747" s="8"/>
      <c r="K747" s="8"/>
      <c r="L747" s="8"/>
      <c r="M747" s="8"/>
      <c r="N747" s="8"/>
      <c r="O747" s="8"/>
      <c r="P747" s="8"/>
      <c r="Q747" s="8"/>
      <c r="R747" s="8"/>
      <c r="S747" s="8"/>
      <c r="T747" s="8"/>
      <c r="U747" s="12"/>
      <c r="V747" s="12"/>
      <c r="W747" s="12"/>
      <c r="X747" s="12"/>
      <c r="Y747" s="12"/>
      <c r="Z747" s="12"/>
      <c r="AA747" s="12"/>
      <c r="AB747" s="12"/>
      <c r="AC747" s="12"/>
      <c r="AD747" s="12"/>
      <c r="AE747" s="12"/>
      <c r="AF747" s="12"/>
    </row>
    <row r="748" spans="1:32" ht="13.2">
      <c r="A748" s="8"/>
      <c r="B748" s="8"/>
      <c r="C748" s="8"/>
      <c r="D748" s="8"/>
      <c r="E748" s="8"/>
      <c r="F748" s="8"/>
      <c r="G748" s="9"/>
      <c r="H748" s="8"/>
      <c r="I748" s="8"/>
      <c r="J748" s="8"/>
      <c r="K748" s="8"/>
      <c r="L748" s="8"/>
      <c r="M748" s="8"/>
      <c r="N748" s="8"/>
      <c r="O748" s="8"/>
      <c r="P748" s="8"/>
      <c r="Q748" s="8"/>
      <c r="R748" s="8"/>
      <c r="S748" s="8"/>
      <c r="T748" s="8"/>
      <c r="U748" s="12"/>
      <c r="V748" s="12"/>
      <c r="W748" s="12"/>
      <c r="X748" s="12"/>
      <c r="Y748" s="12"/>
      <c r="Z748" s="12"/>
      <c r="AA748" s="12"/>
      <c r="AB748" s="12"/>
      <c r="AC748" s="12"/>
      <c r="AD748" s="12"/>
      <c r="AE748" s="12"/>
      <c r="AF748" s="12"/>
    </row>
    <row r="749" spans="1:32" ht="13.2">
      <c r="A749" s="8"/>
      <c r="B749" s="8"/>
      <c r="C749" s="8"/>
      <c r="D749" s="8"/>
      <c r="E749" s="8"/>
      <c r="F749" s="8"/>
      <c r="G749" s="9"/>
      <c r="H749" s="8"/>
      <c r="I749" s="8"/>
      <c r="J749" s="8"/>
      <c r="K749" s="8"/>
      <c r="L749" s="8"/>
      <c r="M749" s="8"/>
      <c r="N749" s="8"/>
      <c r="O749" s="8"/>
      <c r="P749" s="8"/>
      <c r="Q749" s="8"/>
      <c r="R749" s="8"/>
      <c r="S749" s="8"/>
      <c r="T749" s="8"/>
      <c r="U749" s="12"/>
      <c r="V749" s="12"/>
      <c r="W749" s="12"/>
      <c r="X749" s="12"/>
      <c r="Y749" s="12"/>
      <c r="Z749" s="12"/>
      <c r="AA749" s="12"/>
      <c r="AB749" s="12"/>
      <c r="AC749" s="12"/>
      <c r="AD749" s="12"/>
      <c r="AE749" s="12"/>
      <c r="AF749" s="12"/>
    </row>
    <row r="750" spans="1:32" ht="13.2">
      <c r="A750" s="8"/>
      <c r="B750" s="8"/>
      <c r="C750" s="8"/>
      <c r="D750" s="8"/>
      <c r="E750" s="8"/>
      <c r="F750" s="8"/>
      <c r="G750" s="9"/>
      <c r="H750" s="8"/>
      <c r="I750" s="8"/>
      <c r="J750" s="8"/>
      <c r="K750" s="8"/>
      <c r="L750" s="8"/>
      <c r="M750" s="8"/>
      <c r="N750" s="8"/>
      <c r="O750" s="8"/>
      <c r="P750" s="8"/>
      <c r="Q750" s="8"/>
      <c r="R750" s="8"/>
      <c r="S750" s="8"/>
      <c r="T750" s="8"/>
      <c r="U750" s="12"/>
      <c r="V750" s="12"/>
      <c r="W750" s="12"/>
      <c r="X750" s="12"/>
      <c r="Y750" s="12"/>
      <c r="Z750" s="12"/>
      <c r="AA750" s="12"/>
      <c r="AB750" s="12"/>
      <c r="AC750" s="12"/>
      <c r="AD750" s="12"/>
      <c r="AE750" s="12"/>
      <c r="AF750" s="12"/>
    </row>
    <row r="751" spans="1:32" ht="13.2">
      <c r="A751" s="8"/>
      <c r="B751" s="8"/>
      <c r="C751" s="8"/>
      <c r="D751" s="8"/>
      <c r="E751" s="8"/>
      <c r="F751" s="8"/>
      <c r="G751" s="9"/>
      <c r="H751" s="8"/>
      <c r="I751" s="8"/>
      <c r="J751" s="8"/>
      <c r="K751" s="8"/>
      <c r="L751" s="8"/>
      <c r="M751" s="8"/>
      <c r="N751" s="8"/>
      <c r="O751" s="8"/>
      <c r="P751" s="8"/>
      <c r="Q751" s="8"/>
      <c r="R751" s="8"/>
      <c r="S751" s="8"/>
      <c r="T751" s="8"/>
      <c r="U751" s="12"/>
      <c r="V751" s="12"/>
      <c r="W751" s="12"/>
      <c r="X751" s="12"/>
      <c r="Y751" s="12"/>
      <c r="Z751" s="12"/>
      <c r="AA751" s="12"/>
      <c r="AB751" s="12"/>
      <c r="AC751" s="12"/>
      <c r="AD751" s="12"/>
      <c r="AE751" s="12"/>
      <c r="AF751" s="12"/>
    </row>
    <row r="752" spans="1:32" ht="13.2">
      <c r="A752" s="8"/>
      <c r="B752" s="8"/>
      <c r="C752" s="8"/>
      <c r="D752" s="8"/>
      <c r="E752" s="8"/>
      <c r="F752" s="8"/>
      <c r="G752" s="9"/>
      <c r="H752" s="8"/>
      <c r="I752" s="8"/>
      <c r="J752" s="8"/>
      <c r="K752" s="8"/>
      <c r="L752" s="8"/>
      <c r="M752" s="8"/>
      <c r="N752" s="8"/>
      <c r="O752" s="8"/>
      <c r="P752" s="8"/>
      <c r="Q752" s="8"/>
      <c r="R752" s="8"/>
      <c r="S752" s="8"/>
      <c r="T752" s="8"/>
      <c r="U752" s="12"/>
      <c r="V752" s="12"/>
      <c r="W752" s="12"/>
      <c r="X752" s="12"/>
      <c r="Y752" s="12"/>
      <c r="Z752" s="12"/>
      <c r="AA752" s="12"/>
      <c r="AB752" s="12"/>
      <c r="AC752" s="12"/>
      <c r="AD752" s="12"/>
      <c r="AE752" s="12"/>
      <c r="AF752" s="12"/>
    </row>
    <row r="753" spans="1:32" ht="13.2">
      <c r="A753" s="8"/>
      <c r="B753" s="8"/>
      <c r="C753" s="8"/>
      <c r="D753" s="8"/>
      <c r="E753" s="8"/>
      <c r="F753" s="8"/>
      <c r="G753" s="9"/>
      <c r="H753" s="8"/>
      <c r="I753" s="8"/>
      <c r="J753" s="8"/>
      <c r="K753" s="8"/>
      <c r="L753" s="8"/>
      <c r="M753" s="8"/>
      <c r="N753" s="8"/>
      <c r="O753" s="8"/>
      <c r="P753" s="8"/>
      <c r="Q753" s="8"/>
      <c r="R753" s="8"/>
      <c r="S753" s="8"/>
      <c r="T753" s="8"/>
      <c r="U753" s="12"/>
      <c r="V753" s="12"/>
      <c r="W753" s="12"/>
      <c r="X753" s="12"/>
      <c r="Y753" s="12"/>
      <c r="Z753" s="12"/>
      <c r="AA753" s="12"/>
      <c r="AB753" s="12"/>
      <c r="AC753" s="12"/>
      <c r="AD753" s="12"/>
      <c r="AE753" s="12"/>
      <c r="AF753" s="12"/>
    </row>
    <row r="754" spans="1:32" ht="13.2">
      <c r="A754" s="8"/>
      <c r="B754" s="8"/>
      <c r="C754" s="8"/>
      <c r="D754" s="8"/>
      <c r="E754" s="8"/>
      <c r="F754" s="8"/>
      <c r="G754" s="9"/>
      <c r="H754" s="8"/>
      <c r="I754" s="8"/>
      <c r="J754" s="8"/>
      <c r="K754" s="8"/>
      <c r="L754" s="8"/>
      <c r="M754" s="8"/>
      <c r="N754" s="8"/>
      <c r="O754" s="8"/>
      <c r="P754" s="8"/>
      <c r="Q754" s="8"/>
      <c r="R754" s="8"/>
      <c r="S754" s="8"/>
      <c r="T754" s="8"/>
      <c r="U754" s="12"/>
      <c r="V754" s="12"/>
      <c r="W754" s="12"/>
      <c r="X754" s="12"/>
      <c r="Y754" s="12"/>
      <c r="Z754" s="12"/>
      <c r="AA754" s="12"/>
      <c r="AB754" s="12"/>
      <c r="AC754" s="12"/>
      <c r="AD754" s="12"/>
      <c r="AE754" s="12"/>
      <c r="AF754" s="12"/>
    </row>
    <row r="755" spans="1:32" ht="13.2">
      <c r="A755" s="8"/>
      <c r="B755" s="8"/>
      <c r="C755" s="8"/>
      <c r="D755" s="8"/>
      <c r="E755" s="8"/>
      <c r="F755" s="8"/>
      <c r="G755" s="9"/>
      <c r="H755" s="8"/>
      <c r="I755" s="8"/>
      <c r="J755" s="8"/>
      <c r="K755" s="8"/>
      <c r="L755" s="8"/>
      <c r="M755" s="8"/>
      <c r="N755" s="8"/>
      <c r="O755" s="8"/>
      <c r="P755" s="8"/>
      <c r="Q755" s="8"/>
      <c r="R755" s="8"/>
      <c r="S755" s="8"/>
      <c r="T755" s="8"/>
      <c r="U755" s="12"/>
      <c r="V755" s="12"/>
      <c r="W755" s="12"/>
      <c r="X755" s="12"/>
      <c r="Y755" s="12"/>
      <c r="Z755" s="12"/>
      <c r="AA755" s="12"/>
      <c r="AB755" s="12"/>
      <c r="AC755" s="12"/>
      <c r="AD755" s="12"/>
      <c r="AE755" s="12"/>
      <c r="AF755" s="12"/>
    </row>
    <row r="756" spans="1:32" ht="13.2">
      <c r="A756" s="8"/>
      <c r="B756" s="8"/>
      <c r="C756" s="8"/>
      <c r="D756" s="8"/>
      <c r="E756" s="8"/>
      <c r="F756" s="8"/>
      <c r="G756" s="9"/>
      <c r="H756" s="8"/>
      <c r="I756" s="8"/>
      <c r="J756" s="8"/>
      <c r="K756" s="8"/>
      <c r="L756" s="8"/>
      <c r="M756" s="8"/>
      <c r="N756" s="8"/>
      <c r="O756" s="8"/>
      <c r="P756" s="8"/>
      <c r="Q756" s="8"/>
      <c r="R756" s="8"/>
      <c r="S756" s="8"/>
      <c r="T756" s="8"/>
      <c r="U756" s="12"/>
      <c r="V756" s="12"/>
      <c r="W756" s="12"/>
      <c r="X756" s="12"/>
      <c r="Y756" s="12"/>
      <c r="Z756" s="12"/>
      <c r="AA756" s="12"/>
      <c r="AB756" s="12"/>
      <c r="AC756" s="12"/>
      <c r="AD756" s="12"/>
      <c r="AE756" s="12"/>
      <c r="AF756" s="12"/>
    </row>
    <row r="757" spans="1:32" ht="13.2">
      <c r="A757" s="8"/>
      <c r="B757" s="8"/>
      <c r="C757" s="8"/>
      <c r="D757" s="8"/>
      <c r="E757" s="8"/>
      <c r="F757" s="8"/>
      <c r="G757" s="9"/>
      <c r="H757" s="8"/>
      <c r="I757" s="8"/>
      <c r="J757" s="8"/>
      <c r="K757" s="8"/>
      <c r="L757" s="8"/>
      <c r="M757" s="8"/>
      <c r="N757" s="8"/>
      <c r="O757" s="8"/>
      <c r="P757" s="8"/>
      <c r="Q757" s="8"/>
      <c r="R757" s="8"/>
      <c r="S757" s="8"/>
      <c r="T757" s="8"/>
      <c r="U757" s="12"/>
      <c r="V757" s="12"/>
      <c r="W757" s="12"/>
      <c r="X757" s="12"/>
      <c r="Y757" s="12"/>
      <c r="Z757" s="12"/>
      <c r="AA757" s="12"/>
      <c r="AB757" s="12"/>
      <c r="AC757" s="12"/>
      <c r="AD757" s="12"/>
      <c r="AE757" s="12"/>
      <c r="AF757" s="12"/>
    </row>
    <row r="758" spans="1:32" ht="13.2">
      <c r="A758" s="8"/>
      <c r="B758" s="8"/>
      <c r="C758" s="8"/>
      <c r="D758" s="8"/>
      <c r="E758" s="8"/>
      <c r="F758" s="8"/>
      <c r="G758" s="9"/>
      <c r="H758" s="8"/>
      <c r="I758" s="8"/>
      <c r="J758" s="8"/>
      <c r="K758" s="8"/>
      <c r="L758" s="8"/>
      <c r="M758" s="8"/>
      <c r="N758" s="8"/>
      <c r="O758" s="8"/>
      <c r="P758" s="8"/>
      <c r="Q758" s="8"/>
      <c r="R758" s="8"/>
      <c r="S758" s="8"/>
      <c r="T758" s="8"/>
      <c r="U758" s="12"/>
      <c r="V758" s="12"/>
      <c r="W758" s="12"/>
      <c r="X758" s="12"/>
      <c r="Y758" s="12"/>
      <c r="Z758" s="12"/>
      <c r="AA758" s="12"/>
      <c r="AB758" s="12"/>
      <c r="AC758" s="12"/>
      <c r="AD758" s="12"/>
      <c r="AE758" s="12"/>
      <c r="AF758" s="12"/>
    </row>
    <row r="759" spans="1:32" ht="13.2">
      <c r="A759" s="8"/>
      <c r="B759" s="8"/>
      <c r="C759" s="8"/>
      <c r="D759" s="8"/>
      <c r="E759" s="8"/>
      <c r="F759" s="8"/>
      <c r="G759" s="9"/>
      <c r="H759" s="8"/>
      <c r="I759" s="8"/>
      <c r="J759" s="8"/>
      <c r="K759" s="8"/>
      <c r="L759" s="8"/>
      <c r="M759" s="8"/>
      <c r="N759" s="8"/>
      <c r="O759" s="8"/>
      <c r="P759" s="8"/>
      <c r="Q759" s="8"/>
      <c r="R759" s="8"/>
      <c r="S759" s="8"/>
      <c r="T759" s="8"/>
      <c r="U759" s="12"/>
      <c r="V759" s="12"/>
      <c r="W759" s="12"/>
      <c r="X759" s="12"/>
      <c r="Y759" s="12"/>
      <c r="Z759" s="12"/>
      <c r="AA759" s="12"/>
      <c r="AB759" s="12"/>
      <c r="AC759" s="12"/>
      <c r="AD759" s="12"/>
      <c r="AE759" s="12"/>
      <c r="AF759" s="12"/>
    </row>
    <row r="760" spans="1:32" ht="13.2">
      <c r="A760" s="8"/>
      <c r="B760" s="8"/>
      <c r="C760" s="8"/>
      <c r="D760" s="8"/>
      <c r="E760" s="8"/>
      <c r="F760" s="8"/>
      <c r="G760" s="9"/>
      <c r="H760" s="8"/>
      <c r="I760" s="8"/>
      <c r="J760" s="8"/>
      <c r="K760" s="8"/>
      <c r="L760" s="8"/>
      <c r="M760" s="8"/>
      <c r="N760" s="8"/>
      <c r="O760" s="8"/>
      <c r="P760" s="8"/>
      <c r="Q760" s="8"/>
      <c r="R760" s="8"/>
      <c r="S760" s="8"/>
      <c r="T760" s="8"/>
      <c r="U760" s="12"/>
      <c r="V760" s="12"/>
      <c r="W760" s="12"/>
      <c r="X760" s="12"/>
      <c r="Y760" s="12"/>
      <c r="Z760" s="12"/>
      <c r="AA760" s="12"/>
      <c r="AB760" s="12"/>
      <c r="AC760" s="12"/>
      <c r="AD760" s="12"/>
      <c r="AE760" s="12"/>
      <c r="AF760" s="12"/>
    </row>
    <row r="761" spans="1:32" ht="13.2">
      <c r="A761" s="8"/>
      <c r="B761" s="8"/>
      <c r="C761" s="8"/>
      <c r="D761" s="8"/>
      <c r="E761" s="8"/>
      <c r="F761" s="8"/>
      <c r="G761" s="9"/>
      <c r="H761" s="8"/>
      <c r="I761" s="8"/>
      <c r="J761" s="8"/>
      <c r="K761" s="8"/>
      <c r="L761" s="8"/>
      <c r="M761" s="8"/>
      <c r="N761" s="8"/>
      <c r="O761" s="8"/>
      <c r="P761" s="8"/>
      <c r="Q761" s="8"/>
      <c r="R761" s="8"/>
      <c r="S761" s="8"/>
      <c r="T761" s="8"/>
      <c r="U761" s="12"/>
      <c r="V761" s="12"/>
      <c r="W761" s="12"/>
      <c r="X761" s="12"/>
      <c r="Y761" s="12"/>
      <c r="Z761" s="12"/>
      <c r="AA761" s="12"/>
      <c r="AB761" s="12"/>
      <c r="AC761" s="12"/>
      <c r="AD761" s="12"/>
      <c r="AE761" s="12"/>
      <c r="AF761" s="12"/>
    </row>
    <row r="762" spans="1:32" ht="13.2">
      <c r="A762" s="8"/>
      <c r="B762" s="8"/>
      <c r="C762" s="8"/>
      <c r="D762" s="8"/>
      <c r="E762" s="8"/>
      <c r="F762" s="8"/>
      <c r="G762" s="9"/>
      <c r="H762" s="8"/>
      <c r="I762" s="8"/>
      <c r="J762" s="8"/>
      <c r="K762" s="8"/>
      <c r="L762" s="8"/>
      <c r="M762" s="8"/>
      <c r="N762" s="8"/>
      <c r="O762" s="8"/>
      <c r="P762" s="8"/>
      <c r="Q762" s="8"/>
      <c r="R762" s="8"/>
      <c r="S762" s="8"/>
      <c r="T762" s="8"/>
      <c r="U762" s="12"/>
      <c r="V762" s="12"/>
      <c r="W762" s="12"/>
      <c r="X762" s="12"/>
      <c r="Y762" s="12"/>
      <c r="Z762" s="12"/>
      <c r="AA762" s="12"/>
      <c r="AB762" s="12"/>
      <c r="AC762" s="12"/>
      <c r="AD762" s="12"/>
      <c r="AE762" s="12"/>
      <c r="AF762" s="12"/>
    </row>
    <row r="763" spans="1:32" ht="13.2">
      <c r="A763" s="8"/>
      <c r="B763" s="8"/>
      <c r="C763" s="8"/>
      <c r="D763" s="8"/>
      <c r="E763" s="8"/>
      <c r="F763" s="8"/>
      <c r="G763" s="9"/>
      <c r="H763" s="8"/>
      <c r="I763" s="8"/>
      <c r="J763" s="8"/>
      <c r="K763" s="8"/>
      <c r="L763" s="8"/>
      <c r="M763" s="8"/>
      <c r="N763" s="8"/>
      <c r="O763" s="8"/>
      <c r="P763" s="8"/>
      <c r="Q763" s="8"/>
      <c r="R763" s="8"/>
      <c r="S763" s="8"/>
      <c r="T763" s="8"/>
      <c r="U763" s="12"/>
      <c r="V763" s="12"/>
      <c r="W763" s="12"/>
      <c r="X763" s="12"/>
      <c r="Y763" s="12"/>
      <c r="Z763" s="12"/>
      <c r="AA763" s="12"/>
      <c r="AB763" s="12"/>
      <c r="AC763" s="12"/>
      <c r="AD763" s="12"/>
      <c r="AE763" s="12"/>
      <c r="AF763" s="12"/>
    </row>
    <row r="764" spans="1:32" ht="13.2">
      <c r="A764" s="8"/>
      <c r="B764" s="8"/>
      <c r="C764" s="8"/>
      <c r="D764" s="8"/>
      <c r="E764" s="8"/>
      <c r="F764" s="8"/>
      <c r="G764" s="9"/>
      <c r="H764" s="8"/>
      <c r="I764" s="8"/>
      <c r="J764" s="8"/>
      <c r="K764" s="8"/>
      <c r="L764" s="8"/>
      <c r="M764" s="8"/>
      <c r="N764" s="8"/>
      <c r="O764" s="8"/>
      <c r="P764" s="8"/>
      <c r="Q764" s="8"/>
      <c r="R764" s="8"/>
      <c r="S764" s="8"/>
      <c r="T764" s="8"/>
      <c r="U764" s="12"/>
      <c r="V764" s="12"/>
      <c r="W764" s="12"/>
      <c r="X764" s="12"/>
      <c r="Y764" s="12"/>
      <c r="Z764" s="12"/>
      <c r="AA764" s="12"/>
      <c r="AB764" s="12"/>
      <c r="AC764" s="12"/>
      <c r="AD764" s="12"/>
      <c r="AE764" s="12"/>
      <c r="AF764" s="12"/>
    </row>
    <row r="765" spans="1:32" ht="13.2">
      <c r="A765" s="8"/>
      <c r="B765" s="8"/>
      <c r="C765" s="8"/>
      <c r="D765" s="8"/>
      <c r="E765" s="8"/>
      <c r="F765" s="8"/>
      <c r="G765" s="9"/>
      <c r="H765" s="8"/>
      <c r="I765" s="8"/>
      <c r="J765" s="8"/>
      <c r="K765" s="8"/>
      <c r="L765" s="8"/>
      <c r="M765" s="8"/>
      <c r="N765" s="8"/>
      <c r="O765" s="8"/>
      <c r="P765" s="8"/>
      <c r="Q765" s="8"/>
      <c r="R765" s="8"/>
      <c r="S765" s="8"/>
      <c r="T765" s="8"/>
      <c r="U765" s="12"/>
      <c r="V765" s="12"/>
      <c r="W765" s="12"/>
      <c r="X765" s="12"/>
      <c r="Y765" s="12"/>
      <c r="Z765" s="12"/>
      <c r="AA765" s="12"/>
      <c r="AB765" s="12"/>
      <c r="AC765" s="12"/>
      <c r="AD765" s="12"/>
      <c r="AE765" s="12"/>
      <c r="AF765" s="12"/>
    </row>
    <row r="766" spans="1:32" ht="13.2">
      <c r="A766" s="8"/>
      <c r="B766" s="8"/>
      <c r="C766" s="8"/>
      <c r="D766" s="8"/>
      <c r="E766" s="8"/>
      <c r="F766" s="8"/>
      <c r="G766" s="9"/>
      <c r="H766" s="8"/>
      <c r="I766" s="8"/>
      <c r="J766" s="8"/>
      <c r="K766" s="8"/>
      <c r="L766" s="8"/>
      <c r="M766" s="8"/>
      <c r="N766" s="8"/>
      <c r="O766" s="8"/>
      <c r="P766" s="8"/>
      <c r="Q766" s="8"/>
      <c r="R766" s="8"/>
      <c r="S766" s="8"/>
      <c r="T766" s="8"/>
      <c r="U766" s="12"/>
      <c r="V766" s="12"/>
      <c r="W766" s="12"/>
      <c r="X766" s="12"/>
      <c r="Y766" s="12"/>
      <c r="Z766" s="12"/>
      <c r="AA766" s="12"/>
      <c r="AB766" s="12"/>
      <c r="AC766" s="12"/>
      <c r="AD766" s="12"/>
      <c r="AE766" s="12"/>
      <c r="AF766" s="12"/>
    </row>
    <row r="767" spans="1:32" ht="13.2">
      <c r="A767" s="8"/>
      <c r="B767" s="8"/>
      <c r="C767" s="8"/>
      <c r="D767" s="8"/>
      <c r="E767" s="8"/>
      <c r="F767" s="8"/>
      <c r="G767" s="9"/>
      <c r="H767" s="8"/>
      <c r="I767" s="8"/>
      <c r="J767" s="8"/>
      <c r="K767" s="8"/>
      <c r="L767" s="8"/>
      <c r="M767" s="8"/>
      <c r="N767" s="8"/>
      <c r="O767" s="8"/>
      <c r="P767" s="8"/>
      <c r="Q767" s="8"/>
      <c r="R767" s="8"/>
      <c r="S767" s="8"/>
      <c r="T767" s="8"/>
      <c r="U767" s="12"/>
      <c r="V767" s="12"/>
      <c r="W767" s="12"/>
      <c r="X767" s="12"/>
      <c r="Y767" s="12"/>
      <c r="Z767" s="12"/>
      <c r="AA767" s="12"/>
      <c r="AB767" s="12"/>
      <c r="AC767" s="12"/>
      <c r="AD767" s="12"/>
      <c r="AE767" s="12"/>
      <c r="AF767" s="12"/>
    </row>
    <row r="768" spans="1:32" ht="13.2">
      <c r="A768" s="8"/>
      <c r="B768" s="8"/>
      <c r="C768" s="8"/>
      <c r="D768" s="8"/>
      <c r="E768" s="8"/>
      <c r="F768" s="8"/>
      <c r="G768" s="9"/>
      <c r="H768" s="8"/>
      <c r="I768" s="8"/>
      <c r="J768" s="8"/>
      <c r="K768" s="8"/>
      <c r="L768" s="8"/>
      <c r="M768" s="8"/>
      <c r="N768" s="8"/>
      <c r="O768" s="8"/>
      <c r="P768" s="8"/>
      <c r="Q768" s="8"/>
      <c r="R768" s="8"/>
      <c r="S768" s="8"/>
      <c r="T768" s="8"/>
      <c r="U768" s="12"/>
      <c r="V768" s="12"/>
      <c r="W768" s="12"/>
      <c r="X768" s="12"/>
      <c r="Y768" s="12"/>
      <c r="Z768" s="12"/>
      <c r="AA768" s="12"/>
      <c r="AB768" s="12"/>
      <c r="AC768" s="12"/>
      <c r="AD768" s="12"/>
      <c r="AE768" s="12"/>
      <c r="AF768" s="12"/>
    </row>
    <row r="769" spans="1:32" ht="13.2">
      <c r="A769" s="8"/>
      <c r="B769" s="8"/>
      <c r="C769" s="8"/>
      <c r="D769" s="8"/>
      <c r="E769" s="8"/>
      <c r="F769" s="8"/>
      <c r="G769" s="9"/>
      <c r="H769" s="8"/>
      <c r="I769" s="8"/>
      <c r="J769" s="8"/>
      <c r="K769" s="8"/>
      <c r="L769" s="8"/>
      <c r="M769" s="8"/>
      <c r="N769" s="8"/>
      <c r="O769" s="8"/>
      <c r="P769" s="8"/>
      <c r="Q769" s="8"/>
      <c r="R769" s="8"/>
      <c r="S769" s="8"/>
      <c r="T769" s="8"/>
      <c r="U769" s="12"/>
      <c r="V769" s="12"/>
      <c r="W769" s="12"/>
      <c r="X769" s="12"/>
      <c r="Y769" s="12"/>
      <c r="Z769" s="12"/>
      <c r="AA769" s="12"/>
      <c r="AB769" s="12"/>
      <c r="AC769" s="12"/>
      <c r="AD769" s="12"/>
      <c r="AE769" s="12"/>
      <c r="AF769" s="12"/>
    </row>
    <row r="770" spans="1:32" ht="13.2">
      <c r="A770" s="8"/>
      <c r="B770" s="8"/>
      <c r="C770" s="8"/>
      <c r="D770" s="8"/>
      <c r="E770" s="8"/>
      <c r="F770" s="8"/>
      <c r="G770" s="9"/>
      <c r="H770" s="8"/>
      <c r="I770" s="8"/>
      <c r="J770" s="8"/>
      <c r="K770" s="8"/>
      <c r="L770" s="8"/>
      <c r="M770" s="8"/>
      <c r="N770" s="8"/>
      <c r="O770" s="8"/>
      <c r="P770" s="8"/>
      <c r="Q770" s="8"/>
      <c r="R770" s="8"/>
      <c r="S770" s="8"/>
      <c r="T770" s="8"/>
      <c r="U770" s="12"/>
      <c r="V770" s="12"/>
      <c r="W770" s="12"/>
      <c r="X770" s="12"/>
      <c r="Y770" s="12"/>
      <c r="Z770" s="12"/>
      <c r="AA770" s="12"/>
      <c r="AB770" s="12"/>
      <c r="AC770" s="12"/>
      <c r="AD770" s="12"/>
      <c r="AE770" s="12"/>
      <c r="AF770" s="12"/>
    </row>
    <row r="771" spans="1:32" ht="13.2">
      <c r="A771" s="8"/>
      <c r="B771" s="8"/>
      <c r="C771" s="8"/>
      <c r="D771" s="8"/>
      <c r="E771" s="8"/>
      <c r="F771" s="8"/>
      <c r="G771" s="9"/>
      <c r="H771" s="8"/>
      <c r="I771" s="8"/>
      <c r="J771" s="8"/>
      <c r="K771" s="8"/>
      <c r="L771" s="8"/>
      <c r="M771" s="8"/>
      <c r="N771" s="8"/>
      <c r="O771" s="8"/>
      <c r="P771" s="8"/>
      <c r="Q771" s="8"/>
      <c r="R771" s="8"/>
      <c r="S771" s="8"/>
      <c r="T771" s="8"/>
      <c r="U771" s="12"/>
      <c r="V771" s="12"/>
      <c r="W771" s="12"/>
      <c r="X771" s="12"/>
      <c r="Y771" s="12"/>
      <c r="Z771" s="12"/>
      <c r="AA771" s="12"/>
      <c r="AB771" s="12"/>
      <c r="AC771" s="12"/>
      <c r="AD771" s="12"/>
      <c r="AE771" s="12"/>
      <c r="AF771" s="12"/>
    </row>
    <row r="772" spans="1:32" ht="13.2">
      <c r="A772" s="8"/>
      <c r="B772" s="8"/>
      <c r="C772" s="8"/>
      <c r="D772" s="8"/>
      <c r="E772" s="8"/>
      <c r="F772" s="8"/>
      <c r="G772" s="9"/>
      <c r="H772" s="8"/>
      <c r="I772" s="8"/>
      <c r="J772" s="8"/>
      <c r="K772" s="8"/>
      <c r="L772" s="8"/>
      <c r="M772" s="8"/>
      <c r="N772" s="8"/>
      <c r="O772" s="8"/>
      <c r="P772" s="8"/>
      <c r="Q772" s="8"/>
      <c r="R772" s="8"/>
      <c r="S772" s="8"/>
      <c r="T772" s="8"/>
      <c r="U772" s="12"/>
      <c r="V772" s="12"/>
      <c r="W772" s="12"/>
      <c r="X772" s="12"/>
      <c r="Y772" s="12"/>
      <c r="Z772" s="12"/>
      <c r="AA772" s="12"/>
      <c r="AB772" s="12"/>
      <c r="AC772" s="12"/>
      <c r="AD772" s="12"/>
      <c r="AE772" s="12"/>
      <c r="AF772" s="12"/>
    </row>
    <row r="773" spans="1:32" ht="13.2">
      <c r="A773" s="8"/>
      <c r="B773" s="8"/>
      <c r="C773" s="8"/>
      <c r="D773" s="8"/>
      <c r="E773" s="8"/>
      <c r="F773" s="8"/>
      <c r="G773" s="9"/>
      <c r="H773" s="8"/>
      <c r="I773" s="8"/>
      <c r="J773" s="8"/>
      <c r="K773" s="8"/>
      <c r="L773" s="8"/>
      <c r="M773" s="8"/>
      <c r="N773" s="8"/>
      <c r="O773" s="8"/>
      <c r="P773" s="8"/>
      <c r="Q773" s="8"/>
      <c r="R773" s="8"/>
      <c r="S773" s="8"/>
      <c r="T773" s="8"/>
      <c r="U773" s="12"/>
      <c r="V773" s="12"/>
      <c r="W773" s="12"/>
      <c r="X773" s="12"/>
      <c r="Y773" s="12"/>
      <c r="Z773" s="12"/>
      <c r="AA773" s="12"/>
      <c r="AB773" s="12"/>
      <c r="AC773" s="12"/>
      <c r="AD773" s="12"/>
      <c r="AE773" s="12"/>
      <c r="AF773" s="12"/>
    </row>
    <row r="774" spans="1:32" ht="13.2">
      <c r="A774" s="8"/>
      <c r="B774" s="8"/>
      <c r="C774" s="8"/>
      <c r="D774" s="8"/>
      <c r="E774" s="8"/>
      <c r="F774" s="8"/>
      <c r="G774" s="9"/>
      <c r="H774" s="8"/>
      <c r="I774" s="8"/>
      <c r="J774" s="8"/>
      <c r="K774" s="8"/>
      <c r="L774" s="8"/>
      <c r="M774" s="8"/>
      <c r="N774" s="8"/>
      <c r="O774" s="8"/>
      <c r="P774" s="8"/>
      <c r="Q774" s="8"/>
      <c r="R774" s="8"/>
      <c r="S774" s="8"/>
      <c r="T774" s="8"/>
      <c r="U774" s="12"/>
      <c r="V774" s="12"/>
      <c r="W774" s="12"/>
      <c r="X774" s="12"/>
      <c r="Y774" s="12"/>
      <c r="Z774" s="12"/>
      <c r="AA774" s="12"/>
      <c r="AB774" s="12"/>
      <c r="AC774" s="12"/>
      <c r="AD774" s="12"/>
      <c r="AE774" s="12"/>
      <c r="AF774" s="12"/>
    </row>
    <row r="775" spans="1:32" ht="13.2">
      <c r="A775" s="8"/>
      <c r="B775" s="8"/>
      <c r="C775" s="8"/>
      <c r="D775" s="8"/>
      <c r="E775" s="8"/>
      <c r="F775" s="8"/>
      <c r="G775" s="9"/>
      <c r="H775" s="8"/>
      <c r="I775" s="8"/>
      <c r="J775" s="8"/>
      <c r="K775" s="8"/>
      <c r="L775" s="8"/>
      <c r="M775" s="8"/>
      <c r="N775" s="8"/>
      <c r="O775" s="8"/>
      <c r="P775" s="8"/>
      <c r="Q775" s="8"/>
      <c r="R775" s="8"/>
      <c r="S775" s="8"/>
      <c r="T775" s="8"/>
      <c r="U775" s="12"/>
      <c r="V775" s="12"/>
      <c r="W775" s="12"/>
      <c r="X775" s="12"/>
      <c r="Y775" s="12"/>
      <c r="Z775" s="12"/>
      <c r="AA775" s="12"/>
      <c r="AB775" s="12"/>
      <c r="AC775" s="12"/>
      <c r="AD775" s="12"/>
      <c r="AE775" s="12"/>
      <c r="AF775" s="12"/>
    </row>
    <row r="776" spans="1:32" ht="13.2">
      <c r="A776" s="8"/>
      <c r="B776" s="8"/>
      <c r="C776" s="8"/>
      <c r="D776" s="8"/>
      <c r="E776" s="8"/>
      <c r="F776" s="8"/>
      <c r="G776" s="9"/>
      <c r="H776" s="8"/>
      <c r="I776" s="8"/>
      <c r="J776" s="8"/>
      <c r="K776" s="8"/>
      <c r="L776" s="8"/>
      <c r="M776" s="8"/>
      <c r="N776" s="8"/>
      <c r="O776" s="8"/>
      <c r="P776" s="8"/>
      <c r="Q776" s="8"/>
      <c r="R776" s="8"/>
      <c r="S776" s="8"/>
      <c r="T776" s="8"/>
      <c r="U776" s="12"/>
      <c r="V776" s="12"/>
      <c r="W776" s="12"/>
      <c r="X776" s="12"/>
      <c r="Y776" s="12"/>
      <c r="Z776" s="12"/>
      <c r="AA776" s="12"/>
      <c r="AB776" s="12"/>
      <c r="AC776" s="12"/>
      <c r="AD776" s="12"/>
      <c r="AE776" s="12"/>
      <c r="AF776" s="12"/>
    </row>
    <row r="777" spans="1:32" ht="13.2">
      <c r="A777" s="8"/>
      <c r="B777" s="8"/>
      <c r="C777" s="8"/>
      <c r="D777" s="8"/>
      <c r="E777" s="8"/>
      <c r="F777" s="8"/>
      <c r="G777" s="9"/>
      <c r="H777" s="8"/>
      <c r="I777" s="8"/>
      <c r="J777" s="8"/>
      <c r="K777" s="8"/>
      <c r="L777" s="8"/>
      <c r="M777" s="8"/>
      <c r="N777" s="8"/>
      <c r="O777" s="8"/>
      <c r="P777" s="8"/>
      <c r="Q777" s="8"/>
      <c r="R777" s="8"/>
      <c r="S777" s="8"/>
      <c r="T777" s="8"/>
      <c r="U777" s="12"/>
      <c r="V777" s="12"/>
      <c r="W777" s="12"/>
      <c r="X777" s="12"/>
      <c r="Y777" s="12"/>
      <c r="Z777" s="12"/>
      <c r="AA777" s="12"/>
      <c r="AB777" s="12"/>
      <c r="AC777" s="12"/>
      <c r="AD777" s="12"/>
      <c r="AE777" s="12"/>
      <c r="AF777" s="12"/>
    </row>
    <row r="778" spans="1:32" ht="13.2">
      <c r="A778" s="8"/>
      <c r="B778" s="8"/>
      <c r="C778" s="8"/>
      <c r="D778" s="8"/>
      <c r="E778" s="8"/>
      <c r="F778" s="8"/>
      <c r="G778" s="9"/>
      <c r="H778" s="8"/>
      <c r="I778" s="8"/>
      <c r="J778" s="8"/>
      <c r="K778" s="8"/>
      <c r="L778" s="8"/>
      <c r="M778" s="8"/>
      <c r="N778" s="8"/>
      <c r="O778" s="8"/>
      <c r="P778" s="8"/>
      <c r="Q778" s="8"/>
      <c r="R778" s="8"/>
      <c r="S778" s="8"/>
      <c r="T778" s="8"/>
      <c r="U778" s="12"/>
      <c r="V778" s="12"/>
      <c r="W778" s="12"/>
      <c r="X778" s="12"/>
      <c r="Y778" s="12"/>
      <c r="Z778" s="12"/>
      <c r="AA778" s="12"/>
      <c r="AB778" s="12"/>
      <c r="AC778" s="12"/>
      <c r="AD778" s="12"/>
      <c r="AE778" s="12"/>
      <c r="AF778" s="12"/>
    </row>
    <row r="779" spans="1:32" ht="13.2">
      <c r="A779" s="8"/>
      <c r="B779" s="8"/>
      <c r="C779" s="8"/>
      <c r="D779" s="8"/>
      <c r="E779" s="8"/>
      <c r="F779" s="8"/>
      <c r="G779" s="9"/>
      <c r="H779" s="8"/>
      <c r="I779" s="8"/>
      <c r="J779" s="8"/>
      <c r="K779" s="8"/>
      <c r="L779" s="8"/>
      <c r="M779" s="8"/>
      <c r="N779" s="8"/>
      <c r="O779" s="8"/>
      <c r="P779" s="8"/>
      <c r="Q779" s="8"/>
      <c r="R779" s="8"/>
      <c r="S779" s="8"/>
      <c r="T779" s="8"/>
      <c r="U779" s="12"/>
      <c r="V779" s="12"/>
      <c r="W779" s="12"/>
      <c r="X779" s="12"/>
      <c r="Y779" s="12"/>
      <c r="Z779" s="12"/>
      <c r="AA779" s="12"/>
      <c r="AB779" s="12"/>
      <c r="AC779" s="12"/>
      <c r="AD779" s="12"/>
      <c r="AE779" s="12"/>
      <c r="AF779" s="12"/>
    </row>
    <row r="780" spans="1:32" ht="13.2">
      <c r="A780" s="8"/>
      <c r="B780" s="8"/>
      <c r="C780" s="8"/>
      <c r="D780" s="8"/>
      <c r="E780" s="8"/>
      <c r="F780" s="8"/>
      <c r="G780" s="9"/>
      <c r="H780" s="8"/>
      <c r="I780" s="8"/>
      <c r="J780" s="8"/>
      <c r="K780" s="8"/>
      <c r="L780" s="8"/>
      <c r="M780" s="8"/>
      <c r="N780" s="8"/>
      <c r="O780" s="8"/>
      <c r="P780" s="8"/>
      <c r="Q780" s="8"/>
      <c r="R780" s="8"/>
      <c r="S780" s="8"/>
      <c r="T780" s="8"/>
      <c r="U780" s="12"/>
      <c r="V780" s="12"/>
      <c r="W780" s="12"/>
      <c r="X780" s="12"/>
      <c r="Y780" s="12"/>
      <c r="Z780" s="12"/>
      <c r="AA780" s="12"/>
      <c r="AB780" s="12"/>
      <c r="AC780" s="12"/>
      <c r="AD780" s="12"/>
      <c r="AE780" s="12"/>
      <c r="AF780" s="12"/>
    </row>
    <row r="781" spans="1:32" ht="13.2">
      <c r="A781" s="8"/>
      <c r="B781" s="8"/>
      <c r="C781" s="8"/>
      <c r="D781" s="8"/>
      <c r="E781" s="8"/>
      <c r="F781" s="8"/>
      <c r="G781" s="9"/>
      <c r="H781" s="8"/>
      <c r="I781" s="8"/>
      <c r="J781" s="8"/>
      <c r="K781" s="8"/>
      <c r="L781" s="8"/>
      <c r="M781" s="8"/>
      <c r="N781" s="8"/>
      <c r="O781" s="8"/>
      <c r="P781" s="8"/>
      <c r="Q781" s="8"/>
      <c r="R781" s="8"/>
      <c r="S781" s="8"/>
      <c r="T781" s="8"/>
      <c r="U781" s="12"/>
      <c r="V781" s="12"/>
      <c r="W781" s="12"/>
      <c r="X781" s="12"/>
      <c r="Y781" s="12"/>
      <c r="Z781" s="12"/>
      <c r="AA781" s="12"/>
      <c r="AB781" s="12"/>
      <c r="AC781" s="12"/>
      <c r="AD781" s="12"/>
      <c r="AE781" s="12"/>
      <c r="AF781" s="12"/>
    </row>
    <row r="782" spans="1:32" ht="13.2">
      <c r="A782" s="8"/>
      <c r="B782" s="8"/>
      <c r="C782" s="8"/>
      <c r="D782" s="8"/>
      <c r="E782" s="8"/>
      <c r="F782" s="8"/>
      <c r="G782" s="9"/>
      <c r="H782" s="8"/>
      <c r="I782" s="8"/>
      <c r="J782" s="8"/>
      <c r="K782" s="8"/>
      <c r="L782" s="8"/>
      <c r="M782" s="8"/>
      <c r="N782" s="8"/>
      <c r="O782" s="8"/>
      <c r="P782" s="8"/>
      <c r="Q782" s="8"/>
      <c r="R782" s="8"/>
      <c r="S782" s="8"/>
      <c r="T782" s="8"/>
      <c r="U782" s="12"/>
      <c r="V782" s="12"/>
      <c r="W782" s="12"/>
      <c r="X782" s="12"/>
      <c r="Y782" s="12"/>
      <c r="Z782" s="12"/>
      <c r="AA782" s="12"/>
      <c r="AB782" s="12"/>
      <c r="AC782" s="12"/>
      <c r="AD782" s="12"/>
      <c r="AE782" s="12"/>
      <c r="AF782" s="12"/>
    </row>
    <row r="783" spans="1:32" ht="13.2">
      <c r="A783" s="8"/>
      <c r="B783" s="8"/>
      <c r="C783" s="8"/>
      <c r="D783" s="8"/>
      <c r="E783" s="8"/>
      <c r="F783" s="8"/>
      <c r="G783" s="9"/>
      <c r="H783" s="8"/>
      <c r="I783" s="8"/>
      <c r="J783" s="8"/>
      <c r="K783" s="8"/>
      <c r="L783" s="8"/>
      <c r="M783" s="8"/>
      <c r="N783" s="8"/>
      <c r="O783" s="8"/>
      <c r="P783" s="8"/>
      <c r="Q783" s="8"/>
      <c r="R783" s="8"/>
      <c r="S783" s="8"/>
      <c r="T783" s="8"/>
      <c r="U783" s="12"/>
      <c r="V783" s="12"/>
      <c r="W783" s="12"/>
      <c r="X783" s="12"/>
      <c r="Y783" s="12"/>
      <c r="Z783" s="12"/>
      <c r="AA783" s="12"/>
      <c r="AB783" s="12"/>
      <c r="AC783" s="12"/>
      <c r="AD783" s="12"/>
      <c r="AE783" s="12"/>
      <c r="AF783" s="12"/>
    </row>
    <row r="784" spans="1:32" ht="13.2">
      <c r="A784" s="8"/>
      <c r="B784" s="8"/>
      <c r="C784" s="8"/>
      <c r="D784" s="8"/>
      <c r="E784" s="8"/>
      <c r="F784" s="8"/>
      <c r="G784" s="9"/>
      <c r="H784" s="8"/>
      <c r="I784" s="8"/>
      <c r="J784" s="8"/>
      <c r="K784" s="8"/>
      <c r="L784" s="8"/>
      <c r="M784" s="8"/>
      <c r="N784" s="8"/>
      <c r="O784" s="8"/>
      <c r="P784" s="8"/>
      <c r="Q784" s="8"/>
      <c r="R784" s="8"/>
      <c r="S784" s="8"/>
      <c r="T784" s="8"/>
      <c r="U784" s="12"/>
      <c r="V784" s="12"/>
      <c r="W784" s="12"/>
      <c r="X784" s="12"/>
      <c r="Y784" s="12"/>
      <c r="Z784" s="12"/>
      <c r="AA784" s="12"/>
      <c r="AB784" s="12"/>
      <c r="AC784" s="12"/>
      <c r="AD784" s="12"/>
      <c r="AE784" s="12"/>
      <c r="AF784" s="12"/>
    </row>
    <row r="785" spans="1:32" ht="13.2">
      <c r="A785" s="8"/>
      <c r="B785" s="8"/>
      <c r="C785" s="8"/>
      <c r="D785" s="8"/>
      <c r="E785" s="8"/>
      <c r="F785" s="8"/>
      <c r="G785" s="9"/>
      <c r="H785" s="8"/>
      <c r="I785" s="8"/>
      <c r="J785" s="8"/>
      <c r="K785" s="8"/>
      <c r="L785" s="8"/>
      <c r="M785" s="8"/>
      <c r="N785" s="8"/>
      <c r="O785" s="8"/>
      <c r="P785" s="8"/>
      <c r="Q785" s="8"/>
      <c r="R785" s="8"/>
      <c r="S785" s="8"/>
      <c r="T785" s="8"/>
      <c r="U785" s="12"/>
      <c r="V785" s="12"/>
      <c r="W785" s="12"/>
      <c r="X785" s="12"/>
      <c r="Y785" s="12"/>
      <c r="Z785" s="12"/>
      <c r="AA785" s="12"/>
      <c r="AB785" s="12"/>
      <c r="AC785" s="12"/>
      <c r="AD785" s="12"/>
      <c r="AE785" s="12"/>
      <c r="AF785" s="12"/>
    </row>
    <row r="786" spans="1:32" ht="13.2">
      <c r="A786" s="8"/>
      <c r="B786" s="8"/>
      <c r="C786" s="8"/>
      <c r="D786" s="8"/>
      <c r="E786" s="8"/>
      <c r="F786" s="8"/>
      <c r="G786" s="9"/>
      <c r="H786" s="8"/>
      <c r="I786" s="8"/>
      <c r="J786" s="8"/>
      <c r="K786" s="8"/>
      <c r="L786" s="8"/>
      <c r="M786" s="8"/>
      <c r="N786" s="8"/>
      <c r="O786" s="8"/>
      <c r="P786" s="8"/>
      <c r="Q786" s="8"/>
      <c r="R786" s="8"/>
      <c r="S786" s="8"/>
      <c r="T786" s="8"/>
      <c r="U786" s="12"/>
      <c r="V786" s="12"/>
      <c r="W786" s="12"/>
      <c r="X786" s="12"/>
      <c r="Y786" s="12"/>
      <c r="Z786" s="12"/>
      <c r="AA786" s="12"/>
      <c r="AB786" s="12"/>
      <c r="AC786" s="12"/>
      <c r="AD786" s="12"/>
      <c r="AE786" s="12"/>
      <c r="AF786" s="12"/>
    </row>
    <row r="787" spans="1:32" ht="13.2">
      <c r="A787" s="8"/>
      <c r="B787" s="8"/>
      <c r="C787" s="8"/>
      <c r="D787" s="8"/>
      <c r="E787" s="8"/>
      <c r="F787" s="8"/>
      <c r="G787" s="9"/>
      <c r="H787" s="8"/>
      <c r="I787" s="8"/>
      <c r="J787" s="8"/>
      <c r="K787" s="8"/>
      <c r="L787" s="8"/>
      <c r="M787" s="8"/>
      <c r="N787" s="8"/>
      <c r="O787" s="8"/>
      <c r="P787" s="8"/>
      <c r="Q787" s="8"/>
      <c r="R787" s="8"/>
      <c r="S787" s="8"/>
      <c r="T787" s="8"/>
      <c r="U787" s="12"/>
      <c r="V787" s="12"/>
      <c r="W787" s="12"/>
      <c r="X787" s="12"/>
      <c r="Y787" s="12"/>
      <c r="Z787" s="12"/>
      <c r="AA787" s="12"/>
      <c r="AB787" s="12"/>
      <c r="AC787" s="12"/>
      <c r="AD787" s="12"/>
      <c r="AE787" s="12"/>
      <c r="AF787" s="12"/>
    </row>
    <row r="788" spans="1:32" ht="13.2">
      <c r="A788" s="8"/>
      <c r="B788" s="8"/>
      <c r="C788" s="8"/>
      <c r="D788" s="8"/>
      <c r="E788" s="8"/>
      <c r="F788" s="8"/>
      <c r="G788" s="9"/>
      <c r="H788" s="8"/>
      <c r="I788" s="8"/>
      <c r="J788" s="8"/>
      <c r="K788" s="8"/>
      <c r="L788" s="8"/>
      <c r="M788" s="8"/>
      <c r="N788" s="8"/>
      <c r="O788" s="8"/>
      <c r="P788" s="8"/>
      <c r="Q788" s="8"/>
      <c r="R788" s="8"/>
      <c r="S788" s="8"/>
      <c r="T788" s="8"/>
      <c r="U788" s="12"/>
      <c r="V788" s="12"/>
      <c r="W788" s="12"/>
      <c r="X788" s="12"/>
      <c r="Y788" s="12"/>
      <c r="Z788" s="12"/>
      <c r="AA788" s="12"/>
      <c r="AB788" s="12"/>
      <c r="AC788" s="12"/>
      <c r="AD788" s="12"/>
      <c r="AE788" s="12"/>
      <c r="AF788" s="12"/>
    </row>
    <row r="789" spans="1:32" ht="13.2">
      <c r="A789" s="8"/>
      <c r="B789" s="8"/>
      <c r="C789" s="8"/>
      <c r="D789" s="8"/>
      <c r="E789" s="8"/>
      <c r="F789" s="8"/>
      <c r="G789" s="9"/>
      <c r="H789" s="8"/>
      <c r="I789" s="8"/>
      <c r="J789" s="8"/>
      <c r="K789" s="8"/>
      <c r="L789" s="8"/>
      <c r="M789" s="8"/>
      <c r="N789" s="8"/>
      <c r="O789" s="8"/>
      <c r="P789" s="8"/>
      <c r="Q789" s="8"/>
      <c r="R789" s="8"/>
      <c r="S789" s="8"/>
      <c r="T789" s="8"/>
      <c r="U789" s="12"/>
      <c r="V789" s="12"/>
      <c r="W789" s="12"/>
      <c r="X789" s="12"/>
      <c r="Y789" s="12"/>
      <c r="Z789" s="12"/>
      <c r="AA789" s="12"/>
      <c r="AB789" s="12"/>
      <c r="AC789" s="12"/>
      <c r="AD789" s="12"/>
      <c r="AE789" s="12"/>
      <c r="AF789" s="12"/>
    </row>
    <row r="790" spans="1:32" ht="13.2">
      <c r="A790" s="8"/>
      <c r="B790" s="8"/>
      <c r="C790" s="8"/>
      <c r="D790" s="8"/>
      <c r="E790" s="8"/>
      <c r="F790" s="8"/>
      <c r="G790" s="9"/>
      <c r="H790" s="8"/>
      <c r="I790" s="8"/>
      <c r="J790" s="8"/>
      <c r="K790" s="8"/>
      <c r="L790" s="8"/>
      <c r="M790" s="8"/>
      <c r="N790" s="8"/>
      <c r="O790" s="8"/>
      <c r="P790" s="8"/>
      <c r="Q790" s="8"/>
      <c r="R790" s="8"/>
      <c r="S790" s="8"/>
      <c r="T790" s="8"/>
      <c r="U790" s="12"/>
      <c r="V790" s="12"/>
      <c r="W790" s="12"/>
      <c r="X790" s="12"/>
      <c r="Y790" s="12"/>
      <c r="Z790" s="12"/>
      <c r="AA790" s="12"/>
      <c r="AB790" s="12"/>
      <c r="AC790" s="12"/>
      <c r="AD790" s="12"/>
      <c r="AE790" s="12"/>
      <c r="AF790" s="12"/>
    </row>
    <row r="791" spans="1:32" ht="13.2">
      <c r="A791" s="8"/>
      <c r="B791" s="8"/>
      <c r="C791" s="8"/>
      <c r="D791" s="8"/>
      <c r="E791" s="8"/>
      <c r="F791" s="8"/>
      <c r="G791" s="9"/>
      <c r="H791" s="8"/>
      <c r="I791" s="8"/>
      <c r="J791" s="8"/>
      <c r="K791" s="8"/>
      <c r="L791" s="8"/>
      <c r="M791" s="8"/>
      <c r="N791" s="8"/>
      <c r="O791" s="8"/>
      <c r="P791" s="8"/>
      <c r="Q791" s="8"/>
      <c r="R791" s="8"/>
      <c r="S791" s="8"/>
      <c r="T791" s="8"/>
      <c r="U791" s="12"/>
      <c r="V791" s="12"/>
      <c r="W791" s="12"/>
      <c r="X791" s="12"/>
      <c r="Y791" s="12"/>
      <c r="Z791" s="12"/>
      <c r="AA791" s="12"/>
      <c r="AB791" s="12"/>
      <c r="AC791" s="12"/>
      <c r="AD791" s="12"/>
      <c r="AE791" s="12"/>
      <c r="AF791" s="12"/>
    </row>
    <row r="792" spans="1:32" ht="13.2">
      <c r="A792" s="8"/>
      <c r="B792" s="8"/>
      <c r="C792" s="8"/>
      <c r="D792" s="8"/>
      <c r="E792" s="8"/>
      <c r="F792" s="8"/>
      <c r="G792" s="9"/>
      <c r="H792" s="8"/>
      <c r="I792" s="8"/>
      <c r="J792" s="8"/>
      <c r="K792" s="8"/>
      <c r="L792" s="8"/>
      <c r="M792" s="8"/>
      <c r="N792" s="8"/>
      <c r="O792" s="8"/>
      <c r="P792" s="8"/>
      <c r="Q792" s="8"/>
      <c r="R792" s="8"/>
      <c r="S792" s="8"/>
      <c r="T792" s="8"/>
      <c r="U792" s="12"/>
      <c r="V792" s="12"/>
      <c r="W792" s="12"/>
      <c r="X792" s="12"/>
      <c r="Y792" s="12"/>
      <c r="Z792" s="12"/>
      <c r="AA792" s="12"/>
      <c r="AB792" s="12"/>
      <c r="AC792" s="12"/>
      <c r="AD792" s="12"/>
      <c r="AE792" s="12"/>
      <c r="AF792" s="12"/>
    </row>
    <row r="793" spans="1:32" ht="13.2">
      <c r="A793" s="8"/>
      <c r="B793" s="8"/>
      <c r="C793" s="8"/>
      <c r="D793" s="8"/>
      <c r="E793" s="8"/>
      <c r="F793" s="8"/>
      <c r="G793" s="9"/>
      <c r="H793" s="8"/>
      <c r="I793" s="8"/>
      <c r="J793" s="8"/>
      <c r="K793" s="8"/>
      <c r="L793" s="8"/>
      <c r="M793" s="8"/>
      <c r="N793" s="8"/>
      <c r="O793" s="8"/>
      <c r="P793" s="8"/>
      <c r="Q793" s="8"/>
      <c r="R793" s="8"/>
      <c r="S793" s="8"/>
      <c r="T793" s="8"/>
      <c r="U793" s="12"/>
      <c r="V793" s="12"/>
      <c r="W793" s="12"/>
      <c r="X793" s="12"/>
      <c r="Y793" s="12"/>
      <c r="Z793" s="12"/>
      <c r="AA793" s="12"/>
      <c r="AB793" s="12"/>
      <c r="AC793" s="12"/>
      <c r="AD793" s="12"/>
      <c r="AE793" s="12"/>
      <c r="AF793" s="12"/>
    </row>
    <row r="794" spans="1:32" ht="13.2">
      <c r="A794" s="8"/>
      <c r="B794" s="8"/>
      <c r="C794" s="8"/>
      <c r="D794" s="8"/>
      <c r="E794" s="8"/>
      <c r="F794" s="8"/>
      <c r="G794" s="9"/>
      <c r="H794" s="8"/>
      <c r="I794" s="8"/>
      <c r="J794" s="8"/>
      <c r="K794" s="8"/>
      <c r="L794" s="8"/>
      <c r="M794" s="8"/>
      <c r="N794" s="8"/>
      <c r="O794" s="8"/>
      <c r="P794" s="8"/>
      <c r="Q794" s="8"/>
      <c r="R794" s="8"/>
      <c r="S794" s="8"/>
      <c r="T794" s="8"/>
      <c r="U794" s="12"/>
      <c r="V794" s="12"/>
      <c r="W794" s="12"/>
      <c r="X794" s="12"/>
      <c r="Y794" s="12"/>
      <c r="Z794" s="12"/>
      <c r="AA794" s="12"/>
      <c r="AB794" s="12"/>
      <c r="AC794" s="12"/>
      <c r="AD794" s="12"/>
      <c r="AE794" s="12"/>
      <c r="AF794" s="12"/>
    </row>
    <row r="795" spans="1:32" ht="13.2">
      <c r="A795" s="8"/>
      <c r="B795" s="8"/>
      <c r="C795" s="8"/>
      <c r="D795" s="8"/>
      <c r="E795" s="8"/>
      <c r="F795" s="8"/>
      <c r="G795" s="9"/>
      <c r="H795" s="8"/>
      <c r="I795" s="8"/>
      <c r="J795" s="8"/>
      <c r="K795" s="8"/>
      <c r="L795" s="8"/>
      <c r="M795" s="8"/>
      <c r="N795" s="8"/>
      <c r="O795" s="8"/>
      <c r="P795" s="8"/>
      <c r="Q795" s="8"/>
      <c r="R795" s="8"/>
      <c r="S795" s="8"/>
      <c r="T795" s="8"/>
      <c r="U795" s="12"/>
      <c r="V795" s="12"/>
      <c r="W795" s="12"/>
      <c r="X795" s="12"/>
      <c r="Y795" s="12"/>
      <c r="Z795" s="12"/>
      <c r="AA795" s="12"/>
      <c r="AB795" s="12"/>
      <c r="AC795" s="12"/>
      <c r="AD795" s="12"/>
      <c r="AE795" s="12"/>
      <c r="AF795" s="12"/>
    </row>
    <row r="796" spans="1:32" ht="13.2">
      <c r="A796" s="8"/>
      <c r="B796" s="8"/>
      <c r="C796" s="8"/>
      <c r="D796" s="8"/>
      <c r="E796" s="8"/>
      <c r="F796" s="8"/>
      <c r="G796" s="9"/>
      <c r="H796" s="8"/>
      <c r="I796" s="8"/>
      <c r="J796" s="8"/>
      <c r="K796" s="8"/>
      <c r="L796" s="8"/>
      <c r="M796" s="8"/>
      <c r="N796" s="8"/>
      <c r="O796" s="8"/>
      <c r="P796" s="8"/>
      <c r="Q796" s="8"/>
      <c r="R796" s="8"/>
      <c r="S796" s="8"/>
      <c r="T796" s="8"/>
      <c r="U796" s="12"/>
      <c r="V796" s="12"/>
      <c r="W796" s="12"/>
      <c r="X796" s="12"/>
      <c r="Y796" s="12"/>
      <c r="Z796" s="12"/>
      <c r="AA796" s="12"/>
      <c r="AB796" s="12"/>
      <c r="AC796" s="12"/>
      <c r="AD796" s="12"/>
      <c r="AE796" s="12"/>
      <c r="AF796" s="12"/>
    </row>
    <row r="797" spans="1:32" ht="13.2">
      <c r="A797" s="8"/>
      <c r="B797" s="8"/>
      <c r="C797" s="8"/>
      <c r="D797" s="8"/>
      <c r="E797" s="8"/>
      <c r="F797" s="8"/>
      <c r="G797" s="9"/>
      <c r="H797" s="8"/>
      <c r="I797" s="8"/>
      <c r="J797" s="8"/>
      <c r="K797" s="8"/>
      <c r="L797" s="8"/>
      <c r="M797" s="8"/>
      <c r="N797" s="8"/>
      <c r="O797" s="8"/>
      <c r="P797" s="8"/>
      <c r="Q797" s="8"/>
      <c r="R797" s="8"/>
      <c r="S797" s="8"/>
      <c r="T797" s="8"/>
      <c r="U797" s="12"/>
      <c r="V797" s="12"/>
      <c r="W797" s="12"/>
      <c r="X797" s="12"/>
      <c r="Y797" s="12"/>
      <c r="Z797" s="12"/>
      <c r="AA797" s="12"/>
      <c r="AB797" s="12"/>
      <c r="AC797" s="12"/>
      <c r="AD797" s="12"/>
      <c r="AE797" s="12"/>
      <c r="AF797" s="12"/>
    </row>
    <row r="798" spans="1:32" ht="13.2">
      <c r="A798" s="8"/>
      <c r="B798" s="8"/>
      <c r="C798" s="8"/>
      <c r="D798" s="8"/>
      <c r="E798" s="8"/>
      <c r="F798" s="8"/>
      <c r="G798" s="9"/>
      <c r="H798" s="8"/>
      <c r="I798" s="8"/>
      <c r="J798" s="8"/>
      <c r="K798" s="8"/>
      <c r="L798" s="8"/>
      <c r="M798" s="8"/>
      <c r="N798" s="8"/>
      <c r="O798" s="8"/>
      <c r="P798" s="8"/>
      <c r="Q798" s="8"/>
      <c r="R798" s="8"/>
      <c r="S798" s="8"/>
      <c r="T798" s="8"/>
      <c r="U798" s="12"/>
      <c r="V798" s="12"/>
      <c r="W798" s="12"/>
      <c r="X798" s="12"/>
      <c r="Y798" s="12"/>
      <c r="Z798" s="12"/>
      <c r="AA798" s="12"/>
      <c r="AB798" s="12"/>
      <c r="AC798" s="12"/>
      <c r="AD798" s="12"/>
      <c r="AE798" s="12"/>
      <c r="AF798" s="12"/>
    </row>
    <row r="799" spans="1:32" ht="13.2">
      <c r="A799" s="8"/>
      <c r="B799" s="8"/>
      <c r="C799" s="8"/>
      <c r="D799" s="8"/>
      <c r="E799" s="8"/>
      <c r="F799" s="8"/>
      <c r="G799" s="9"/>
      <c r="H799" s="8"/>
      <c r="I799" s="8"/>
      <c r="J799" s="8"/>
      <c r="K799" s="8"/>
      <c r="L799" s="8"/>
      <c r="M799" s="8"/>
      <c r="N799" s="8"/>
      <c r="O799" s="8"/>
      <c r="P799" s="8"/>
      <c r="Q799" s="8"/>
      <c r="R799" s="8"/>
      <c r="S799" s="8"/>
      <c r="T799" s="8"/>
      <c r="U799" s="12"/>
      <c r="V799" s="12"/>
      <c r="W799" s="12"/>
      <c r="X799" s="12"/>
      <c r="Y799" s="12"/>
      <c r="Z799" s="12"/>
      <c r="AA799" s="12"/>
      <c r="AB799" s="12"/>
      <c r="AC799" s="12"/>
      <c r="AD799" s="12"/>
      <c r="AE799" s="12"/>
      <c r="AF799" s="12"/>
    </row>
    <row r="800" spans="1:32" ht="13.2">
      <c r="A800" s="8"/>
      <c r="B800" s="8"/>
      <c r="C800" s="8"/>
      <c r="D800" s="8"/>
      <c r="E800" s="8"/>
      <c r="F800" s="8"/>
      <c r="G800" s="9"/>
      <c r="H800" s="8"/>
      <c r="I800" s="8"/>
      <c r="J800" s="8"/>
      <c r="K800" s="8"/>
      <c r="L800" s="8"/>
      <c r="M800" s="8"/>
      <c r="N800" s="8"/>
      <c r="O800" s="8"/>
      <c r="P800" s="8"/>
      <c r="Q800" s="8"/>
      <c r="R800" s="8"/>
      <c r="S800" s="8"/>
      <c r="T800" s="8"/>
      <c r="U800" s="12"/>
      <c r="V800" s="12"/>
      <c r="W800" s="12"/>
      <c r="X800" s="12"/>
      <c r="Y800" s="12"/>
      <c r="Z800" s="12"/>
      <c r="AA800" s="12"/>
      <c r="AB800" s="12"/>
      <c r="AC800" s="12"/>
      <c r="AD800" s="12"/>
      <c r="AE800" s="12"/>
      <c r="AF800" s="12"/>
    </row>
    <row r="801" spans="1:32" ht="13.2">
      <c r="A801" s="8"/>
      <c r="B801" s="8"/>
      <c r="C801" s="8"/>
      <c r="D801" s="8"/>
      <c r="E801" s="8"/>
      <c r="F801" s="8"/>
      <c r="G801" s="9"/>
      <c r="H801" s="8"/>
      <c r="I801" s="8"/>
      <c r="J801" s="8"/>
      <c r="K801" s="8"/>
      <c r="L801" s="8"/>
      <c r="M801" s="8"/>
      <c r="N801" s="8"/>
      <c r="O801" s="8"/>
      <c r="P801" s="8"/>
      <c r="Q801" s="8"/>
      <c r="R801" s="8"/>
      <c r="S801" s="8"/>
      <c r="T801" s="8"/>
      <c r="U801" s="12"/>
      <c r="V801" s="12"/>
      <c r="W801" s="12"/>
      <c r="X801" s="12"/>
      <c r="Y801" s="12"/>
      <c r="Z801" s="12"/>
      <c r="AA801" s="12"/>
      <c r="AB801" s="12"/>
      <c r="AC801" s="12"/>
      <c r="AD801" s="12"/>
      <c r="AE801" s="12"/>
      <c r="AF801" s="12"/>
    </row>
    <row r="802" spans="1:32" ht="13.2">
      <c r="A802" s="8"/>
      <c r="B802" s="8"/>
      <c r="C802" s="8"/>
      <c r="D802" s="8"/>
      <c r="E802" s="8"/>
      <c r="F802" s="8"/>
      <c r="G802" s="9"/>
      <c r="H802" s="8"/>
      <c r="I802" s="8"/>
      <c r="J802" s="8"/>
      <c r="K802" s="8"/>
      <c r="L802" s="8"/>
      <c r="M802" s="8"/>
      <c r="N802" s="8"/>
      <c r="O802" s="8"/>
      <c r="P802" s="8"/>
      <c r="Q802" s="8"/>
      <c r="R802" s="8"/>
      <c r="S802" s="8"/>
      <c r="T802" s="8"/>
      <c r="U802" s="12"/>
      <c r="V802" s="12"/>
      <c r="W802" s="12"/>
      <c r="X802" s="12"/>
      <c r="Y802" s="12"/>
      <c r="Z802" s="12"/>
      <c r="AA802" s="12"/>
      <c r="AB802" s="12"/>
      <c r="AC802" s="12"/>
      <c r="AD802" s="12"/>
      <c r="AE802" s="12"/>
      <c r="AF802" s="12"/>
    </row>
    <row r="803" spans="1:32" ht="13.2">
      <c r="A803" s="8"/>
      <c r="B803" s="8"/>
      <c r="C803" s="8"/>
      <c r="D803" s="8"/>
      <c r="E803" s="8"/>
      <c r="F803" s="8"/>
      <c r="G803" s="9"/>
      <c r="H803" s="8"/>
      <c r="I803" s="8"/>
      <c r="J803" s="8"/>
      <c r="K803" s="8"/>
      <c r="L803" s="8"/>
      <c r="M803" s="8"/>
      <c r="N803" s="8"/>
      <c r="O803" s="8"/>
      <c r="P803" s="8"/>
      <c r="Q803" s="8"/>
      <c r="R803" s="8"/>
      <c r="S803" s="8"/>
      <c r="T803" s="8"/>
      <c r="U803" s="12"/>
      <c r="V803" s="12"/>
      <c r="W803" s="12"/>
      <c r="X803" s="12"/>
      <c r="Y803" s="12"/>
      <c r="Z803" s="12"/>
      <c r="AA803" s="12"/>
      <c r="AB803" s="12"/>
      <c r="AC803" s="12"/>
      <c r="AD803" s="12"/>
      <c r="AE803" s="12"/>
      <c r="AF803" s="12"/>
    </row>
    <row r="804" spans="1:32" ht="13.2">
      <c r="A804" s="8"/>
      <c r="B804" s="8"/>
      <c r="C804" s="8"/>
      <c r="D804" s="8"/>
      <c r="E804" s="8"/>
      <c r="F804" s="8"/>
      <c r="G804" s="9"/>
      <c r="H804" s="8"/>
      <c r="I804" s="8"/>
      <c r="J804" s="8"/>
      <c r="K804" s="8"/>
      <c r="L804" s="8"/>
      <c r="M804" s="8"/>
      <c r="N804" s="8"/>
      <c r="O804" s="8"/>
      <c r="P804" s="8"/>
      <c r="Q804" s="8"/>
      <c r="R804" s="8"/>
      <c r="S804" s="8"/>
      <c r="T804" s="8"/>
      <c r="U804" s="12"/>
      <c r="V804" s="12"/>
      <c r="W804" s="12"/>
      <c r="X804" s="12"/>
      <c r="Y804" s="12"/>
      <c r="Z804" s="12"/>
      <c r="AA804" s="12"/>
      <c r="AB804" s="12"/>
      <c r="AC804" s="12"/>
      <c r="AD804" s="12"/>
      <c r="AE804" s="12"/>
      <c r="AF804" s="12"/>
    </row>
    <row r="805" spans="1:32" ht="13.2">
      <c r="A805" s="8"/>
      <c r="B805" s="8"/>
      <c r="C805" s="8"/>
      <c r="D805" s="8"/>
      <c r="E805" s="8"/>
      <c r="F805" s="8"/>
      <c r="G805" s="9"/>
      <c r="H805" s="8"/>
      <c r="I805" s="8"/>
      <c r="J805" s="8"/>
      <c r="K805" s="8"/>
      <c r="L805" s="8"/>
      <c r="M805" s="8"/>
      <c r="N805" s="8"/>
      <c r="O805" s="8"/>
      <c r="P805" s="8"/>
      <c r="Q805" s="8"/>
      <c r="R805" s="8"/>
      <c r="S805" s="8"/>
      <c r="T805" s="8"/>
      <c r="U805" s="12"/>
      <c r="V805" s="12"/>
      <c r="W805" s="12"/>
      <c r="X805" s="12"/>
      <c r="Y805" s="12"/>
      <c r="Z805" s="12"/>
      <c r="AA805" s="12"/>
      <c r="AB805" s="12"/>
      <c r="AC805" s="12"/>
      <c r="AD805" s="12"/>
      <c r="AE805" s="12"/>
      <c r="AF805" s="12"/>
    </row>
    <row r="806" spans="1:32" ht="13.2">
      <c r="A806" s="8"/>
      <c r="B806" s="8"/>
      <c r="C806" s="8"/>
      <c r="D806" s="8"/>
      <c r="E806" s="8"/>
      <c r="F806" s="8"/>
      <c r="G806" s="9"/>
      <c r="H806" s="8"/>
      <c r="I806" s="8"/>
      <c r="J806" s="8"/>
      <c r="K806" s="8"/>
      <c r="L806" s="8"/>
      <c r="M806" s="8"/>
      <c r="N806" s="8"/>
      <c r="O806" s="8"/>
      <c r="P806" s="8"/>
      <c r="Q806" s="8"/>
      <c r="R806" s="8"/>
      <c r="S806" s="8"/>
      <c r="T806" s="8"/>
      <c r="U806" s="12"/>
      <c r="V806" s="12"/>
      <c r="W806" s="12"/>
      <c r="X806" s="12"/>
      <c r="Y806" s="12"/>
      <c r="Z806" s="12"/>
      <c r="AA806" s="12"/>
      <c r="AB806" s="12"/>
      <c r="AC806" s="12"/>
      <c r="AD806" s="12"/>
      <c r="AE806" s="12"/>
      <c r="AF806" s="12"/>
    </row>
    <row r="807" spans="1:32" ht="13.2">
      <c r="A807" s="8"/>
      <c r="B807" s="8"/>
      <c r="C807" s="8"/>
      <c r="D807" s="8"/>
      <c r="E807" s="8"/>
      <c r="F807" s="8"/>
      <c r="G807" s="9"/>
      <c r="H807" s="8"/>
      <c r="I807" s="8"/>
      <c r="J807" s="8"/>
      <c r="K807" s="8"/>
      <c r="L807" s="8"/>
      <c r="M807" s="8"/>
      <c r="N807" s="8"/>
      <c r="O807" s="8"/>
      <c r="P807" s="8"/>
      <c r="Q807" s="8"/>
      <c r="R807" s="8"/>
      <c r="S807" s="8"/>
      <c r="T807" s="8"/>
      <c r="U807" s="12"/>
      <c r="V807" s="12"/>
      <c r="W807" s="12"/>
      <c r="X807" s="12"/>
      <c r="Y807" s="12"/>
      <c r="Z807" s="12"/>
      <c r="AA807" s="12"/>
      <c r="AB807" s="12"/>
      <c r="AC807" s="12"/>
      <c r="AD807" s="12"/>
      <c r="AE807" s="12"/>
      <c r="AF807" s="12"/>
    </row>
    <row r="808" spans="1:32" ht="13.2">
      <c r="A808" s="8"/>
      <c r="B808" s="8"/>
      <c r="C808" s="8"/>
      <c r="D808" s="8"/>
      <c r="E808" s="8"/>
      <c r="F808" s="8"/>
      <c r="G808" s="9"/>
      <c r="H808" s="8"/>
      <c r="I808" s="8"/>
      <c r="J808" s="8"/>
      <c r="K808" s="8"/>
      <c r="L808" s="8"/>
      <c r="M808" s="8"/>
      <c r="N808" s="8"/>
      <c r="O808" s="8"/>
      <c r="P808" s="8"/>
      <c r="Q808" s="8"/>
      <c r="R808" s="8"/>
      <c r="S808" s="8"/>
      <c r="T808" s="8"/>
      <c r="U808" s="12"/>
      <c r="V808" s="12"/>
      <c r="W808" s="12"/>
      <c r="X808" s="12"/>
      <c r="Y808" s="12"/>
      <c r="Z808" s="12"/>
      <c r="AA808" s="12"/>
      <c r="AB808" s="12"/>
      <c r="AC808" s="12"/>
      <c r="AD808" s="12"/>
      <c r="AE808" s="12"/>
      <c r="AF808" s="12"/>
    </row>
    <row r="809" spans="1:32" ht="13.2">
      <c r="A809" s="8"/>
      <c r="B809" s="8"/>
      <c r="C809" s="8"/>
      <c r="D809" s="8"/>
      <c r="E809" s="8"/>
      <c r="F809" s="8"/>
      <c r="G809" s="9"/>
      <c r="H809" s="8"/>
      <c r="I809" s="8"/>
      <c r="J809" s="8"/>
      <c r="K809" s="8"/>
      <c r="L809" s="8"/>
      <c r="M809" s="8"/>
      <c r="N809" s="8"/>
      <c r="O809" s="8"/>
      <c r="P809" s="8"/>
      <c r="Q809" s="8"/>
      <c r="R809" s="8"/>
      <c r="S809" s="8"/>
      <c r="T809" s="8"/>
      <c r="U809" s="12"/>
      <c r="V809" s="12"/>
      <c r="W809" s="12"/>
      <c r="X809" s="12"/>
      <c r="Y809" s="12"/>
      <c r="Z809" s="12"/>
      <c r="AA809" s="12"/>
      <c r="AB809" s="12"/>
      <c r="AC809" s="12"/>
      <c r="AD809" s="12"/>
      <c r="AE809" s="12"/>
      <c r="AF809" s="12"/>
    </row>
    <row r="810" spans="1:32" ht="13.2">
      <c r="A810" s="8"/>
      <c r="B810" s="8"/>
      <c r="C810" s="8"/>
      <c r="D810" s="8"/>
      <c r="E810" s="8"/>
      <c r="F810" s="8"/>
      <c r="G810" s="9"/>
      <c r="H810" s="8"/>
      <c r="I810" s="8"/>
      <c r="J810" s="8"/>
      <c r="K810" s="8"/>
      <c r="L810" s="8"/>
      <c r="M810" s="8"/>
      <c r="N810" s="8"/>
      <c r="O810" s="8"/>
      <c r="P810" s="8"/>
      <c r="Q810" s="8"/>
      <c r="R810" s="8"/>
      <c r="S810" s="8"/>
      <c r="T810" s="8"/>
      <c r="U810" s="12"/>
      <c r="V810" s="12"/>
      <c r="W810" s="12"/>
      <c r="X810" s="12"/>
      <c r="Y810" s="12"/>
      <c r="Z810" s="12"/>
      <c r="AA810" s="12"/>
      <c r="AB810" s="12"/>
      <c r="AC810" s="12"/>
      <c r="AD810" s="12"/>
      <c r="AE810" s="12"/>
      <c r="AF810" s="12"/>
    </row>
    <row r="811" spans="1:32" ht="13.2">
      <c r="A811" s="8"/>
      <c r="B811" s="8"/>
      <c r="C811" s="8"/>
      <c r="D811" s="8"/>
      <c r="E811" s="8"/>
      <c r="F811" s="8"/>
      <c r="G811" s="9"/>
      <c r="H811" s="8"/>
      <c r="I811" s="8"/>
      <c r="J811" s="8"/>
      <c r="K811" s="8"/>
      <c r="L811" s="8"/>
      <c r="M811" s="8"/>
      <c r="N811" s="8"/>
      <c r="O811" s="8"/>
      <c r="P811" s="8"/>
      <c r="Q811" s="8"/>
      <c r="R811" s="8"/>
      <c r="S811" s="8"/>
      <c r="T811" s="8"/>
      <c r="U811" s="12"/>
      <c r="V811" s="12"/>
      <c r="W811" s="12"/>
      <c r="X811" s="12"/>
      <c r="Y811" s="12"/>
      <c r="Z811" s="12"/>
      <c r="AA811" s="12"/>
      <c r="AB811" s="12"/>
      <c r="AC811" s="12"/>
      <c r="AD811" s="12"/>
      <c r="AE811" s="12"/>
      <c r="AF811" s="12"/>
    </row>
    <row r="812" spans="1:32" ht="13.2">
      <c r="A812" s="8"/>
      <c r="B812" s="8"/>
      <c r="C812" s="8"/>
      <c r="D812" s="8"/>
      <c r="E812" s="8"/>
      <c r="F812" s="8"/>
      <c r="G812" s="9"/>
      <c r="H812" s="8"/>
      <c r="I812" s="8"/>
      <c r="J812" s="8"/>
      <c r="K812" s="8"/>
      <c r="L812" s="8"/>
      <c r="M812" s="8"/>
      <c r="N812" s="8"/>
      <c r="O812" s="8"/>
      <c r="P812" s="8"/>
      <c r="Q812" s="8"/>
      <c r="R812" s="8"/>
      <c r="S812" s="8"/>
      <c r="T812" s="8"/>
      <c r="U812" s="12"/>
      <c r="V812" s="12"/>
      <c r="W812" s="12"/>
      <c r="X812" s="12"/>
      <c r="Y812" s="12"/>
      <c r="Z812" s="12"/>
      <c r="AA812" s="12"/>
      <c r="AB812" s="12"/>
      <c r="AC812" s="12"/>
      <c r="AD812" s="12"/>
      <c r="AE812" s="12"/>
      <c r="AF812" s="12"/>
    </row>
    <row r="813" spans="1:32" ht="13.2">
      <c r="A813" s="8"/>
      <c r="B813" s="8"/>
      <c r="C813" s="8"/>
      <c r="D813" s="8"/>
      <c r="E813" s="8"/>
      <c r="F813" s="8"/>
      <c r="G813" s="9"/>
      <c r="H813" s="8"/>
      <c r="I813" s="8"/>
      <c r="J813" s="8"/>
      <c r="K813" s="8"/>
      <c r="L813" s="8"/>
      <c r="M813" s="8"/>
      <c r="N813" s="8"/>
      <c r="O813" s="8"/>
      <c r="P813" s="8"/>
      <c r="Q813" s="8"/>
      <c r="R813" s="8"/>
      <c r="S813" s="8"/>
      <c r="T813" s="8"/>
      <c r="U813" s="12"/>
      <c r="V813" s="12"/>
      <c r="W813" s="12"/>
      <c r="X813" s="12"/>
      <c r="Y813" s="12"/>
      <c r="Z813" s="12"/>
      <c r="AA813" s="12"/>
      <c r="AB813" s="12"/>
      <c r="AC813" s="12"/>
      <c r="AD813" s="12"/>
      <c r="AE813" s="12"/>
      <c r="AF813" s="12"/>
    </row>
    <row r="814" spans="1:32" ht="13.2">
      <c r="A814" s="8"/>
      <c r="B814" s="8"/>
      <c r="C814" s="8"/>
      <c r="D814" s="8"/>
      <c r="E814" s="8"/>
      <c r="F814" s="8"/>
      <c r="G814" s="9"/>
      <c r="H814" s="8"/>
      <c r="I814" s="8"/>
      <c r="J814" s="8"/>
      <c r="K814" s="8"/>
      <c r="L814" s="8"/>
      <c r="M814" s="8"/>
      <c r="N814" s="8"/>
      <c r="O814" s="8"/>
      <c r="P814" s="8"/>
      <c r="Q814" s="8"/>
      <c r="R814" s="8"/>
      <c r="S814" s="8"/>
      <c r="T814" s="8"/>
      <c r="U814" s="12"/>
      <c r="V814" s="12"/>
      <c r="W814" s="12"/>
      <c r="X814" s="12"/>
      <c r="Y814" s="12"/>
      <c r="Z814" s="12"/>
      <c r="AA814" s="12"/>
      <c r="AB814" s="12"/>
      <c r="AC814" s="12"/>
      <c r="AD814" s="12"/>
      <c r="AE814" s="12"/>
      <c r="AF814" s="12"/>
    </row>
    <row r="815" spans="1:32" ht="13.2">
      <c r="A815" s="8"/>
      <c r="B815" s="8"/>
      <c r="C815" s="8"/>
      <c r="D815" s="8"/>
      <c r="E815" s="8"/>
      <c r="F815" s="8"/>
      <c r="G815" s="9"/>
      <c r="H815" s="8"/>
      <c r="I815" s="8"/>
      <c r="J815" s="8"/>
      <c r="K815" s="8"/>
      <c r="L815" s="8"/>
      <c r="M815" s="8"/>
      <c r="N815" s="8"/>
      <c r="O815" s="8"/>
      <c r="P815" s="8"/>
      <c r="Q815" s="8"/>
      <c r="R815" s="8"/>
      <c r="S815" s="8"/>
      <c r="T815" s="8"/>
      <c r="U815" s="12"/>
      <c r="V815" s="12"/>
      <c r="W815" s="12"/>
      <c r="X815" s="12"/>
      <c r="Y815" s="12"/>
      <c r="Z815" s="12"/>
      <c r="AA815" s="12"/>
      <c r="AB815" s="12"/>
      <c r="AC815" s="12"/>
      <c r="AD815" s="12"/>
      <c r="AE815" s="12"/>
      <c r="AF815" s="12"/>
    </row>
    <row r="816" spans="1:32" ht="13.2">
      <c r="A816" s="8"/>
      <c r="B816" s="8"/>
      <c r="C816" s="8"/>
      <c r="D816" s="8"/>
      <c r="E816" s="8"/>
      <c r="F816" s="8"/>
      <c r="G816" s="9"/>
      <c r="H816" s="8"/>
      <c r="I816" s="8"/>
      <c r="J816" s="8"/>
      <c r="K816" s="8"/>
      <c r="L816" s="8"/>
      <c r="M816" s="8"/>
      <c r="N816" s="8"/>
      <c r="O816" s="8"/>
      <c r="P816" s="8"/>
      <c r="Q816" s="8"/>
      <c r="R816" s="8"/>
      <c r="S816" s="8"/>
      <c r="T816" s="8"/>
      <c r="U816" s="12"/>
      <c r="V816" s="12"/>
      <c r="W816" s="12"/>
      <c r="X816" s="12"/>
      <c r="Y816" s="12"/>
      <c r="Z816" s="12"/>
      <c r="AA816" s="12"/>
      <c r="AB816" s="12"/>
      <c r="AC816" s="12"/>
      <c r="AD816" s="12"/>
      <c r="AE816" s="12"/>
      <c r="AF816" s="12"/>
    </row>
    <row r="817" spans="1:32" ht="13.2">
      <c r="A817" s="8"/>
      <c r="B817" s="8"/>
      <c r="C817" s="8"/>
      <c r="D817" s="8"/>
      <c r="E817" s="8"/>
      <c r="F817" s="8"/>
      <c r="G817" s="9"/>
      <c r="H817" s="8"/>
      <c r="I817" s="8"/>
      <c r="J817" s="8"/>
      <c r="K817" s="8"/>
      <c r="L817" s="8"/>
      <c r="M817" s="8"/>
      <c r="N817" s="8"/>
      <c r="O817" s="8"/>
      <c r="P817" s="8"/>
      <c r="Q817" s="8"/>
      <c r="R817" s="8"/>
      <c r="S817" s="8"/>
      <c r="T817" s="8"/>
      <c r="U817" s="12"/>
      <c r="V817" s="12"/>
      <c r="W817" s="12"/>
      <c r="X817" s="12"/>
      <c r="Y817" s="12"/>
      <c r="Z817" s="12"/>
      <c r="AA817" s="12"/>
      <c r="AB817" s="12"/>
      <c r="AC817" s="12"/>
      <c r="AD817" s="12"/>
      <c r="AE817" s="12"/>
      <c r="AF817" s="12"/>
    </row>
    <row r="818" spans="1:32" ht="13.2">
      <c r="A818" s="8"/>
      <c r="B818" s="8"/>
      <c r="C818" s="8"/>
      <c r="D818" s="8"/>
      <c r="E818" s="8"/>
      <c r="F818" s="8"/>
      <c r="G818" s="9"/>
      <c r="H818" s="8"/>
      <c r="I818" s="8"/>
      <c r="J818" s="8"/>
      <c r="K818" s="8"/>
      <c r="L818" s="8"/>
      <c r="M818" s="8"/>
      <c r="N818" s="8"/>
      <c r="O818" s="8"/>
      <c r="P818" s="8"/>
      <c r="Q818" s="8"/>
      <c r="R818" s="8"/>
      <c r="S818" s="8"/>
      <c r="T818" s="8"/>
      <c r="U818" s="12"/>
      <c r="V818" s="12"/>
      <c r="W818" s="12"/>
      <c r="X818" s="12"/>
      <c r="Y818" s="12"/>
      <c r="Z818" s="12"/>
      <c r="AA818" s="12"/>
      <c r="AB818" s="12"/>
      <c r="AC818" s="12"/>
      <c r="AD818" s="12"/>
      <c r="AE818" s="12"/>
      <c r="AF818" s="12"/>
    </row>
    <row r="819" spans="1:32" ht="13.2">
      <c r="A819" s="8"/>
      <c r="B819" s="8"/>
      <c r="C819" s="8"/>
      <c r="D819" s="8"/>
      <c r="E819" s="8"/>
      <c r="F819" s="8"/>
      <c r="G819" s="9"/>
      <c r="H819" s="8"/>
      <c r="I819" s="8"/>
      <c r="J819" s="8"/>
      <c r="K819" s="8"/>
      <c r="L819" s="8"/>
      <c r="M819" s="8"/>
      <c r="N819" s="8"/>
      <c r="O819" s="8"/>
      <c r="P819" s="8"/>
      <c r="Q819" s="8"/>
      <c r="R819" s="8"/>
      <c r="S819" s="8"/>
      <c r="T819" s="8"/>
      <c r="U819" s="12"/>
      <c r="V819" s="12"/>
      <c r="W819" s="12"/>
      <c r="X819" s="12"/>
      <c r="Y819" s="12"/>
      <c r="Z819" s="12"/>
      <c r="AA819" s="12"/>
      <c r="AB819" s="12"/>
      <c r="AC819" s="12"/>
      <c r="AD819" s="12"/>
      <c r="AE819" s="12"/>
      <c r="AF819" s="12"/>
    </row>
    <row r="820" spans="1:32" ht="13.2">
      <c r="A820" s="8"/>
      <c r="B820" s="8"/>
      <c r="C820" s="8"/>
      <c r="D820" s="8"/>
      <c r="E820" s="8"/>
      <c r="F820" s="8"/>
      <c r="G820" s="9"/>
      <c r="H820" s="8"/>
      <c r="I820" s="8"/>
      <c r="J820" s="8"/>
      <c r="K820" s="8"/>
      <c r="L820" s="8"/>
      <c r="M820" s="8"/>
      <c r="N820" s="8"/>
      <c r="O820" s="8"/>
      <c r="P820" s="8"/>
      <c r="Q820" s="8"/>
      <c r="R820" s="8"/>
      <c r="S820" s="8"/>
      <c r="T820" s="8"/>
      <c r="U820" s="12"/>
      <c r="V820" s="12"/>
      <c r="W820" s="12"/>
      <c r="X820" s="12"/>
      <c r="Y820" s="12"/>
      <c r="Z820" s="12"/>
      <c r="AA820" s="12"/>
      <c r="AB820" s="12"/>
      <c r="AC820" s="12"/>
      <c r="AD820" s="12"/>
      <c r="AE820" s="12"/>
      <c r="AF820" s="12"/>
    </row>
    <row r="821" spans="1:32" ht="13.2">
      <c r="A821" s="8"/>
      <c r="B821" s="8"/>
      <c r="C821" s="8"/>
      <c r="D821" s="8"/>
      <c r="E821" s="8"/>
      <c r="F821" s="8"/>
      <c r="G821" s="9"/>
      <c r="H821" s="8"/>
      <c r="I821" s="8"/>
      <c r="J821" s="8"/>
      <c r="K821" s="8"/>
      <c r="L821" s="8"/>
      <c r="M821" s="8"/>
      <c r="N821" s="8"/>
      <c r="O821" s="8"/>
      <c r="P821" s="8"/>
      <c r="Q821" s="8"/>
      <c r="R821" s="8"/>
      <c r="S821" s="8"/>
      <c r="T821" s="8"/>
      <c r="U821" s="12"/>
      <c r="V821" s="12"/>
      <c r="W821" s="12"/>
      <c r="X821" s="12"/>
      <c r="Y821" s="12"/>
      <c r="Z821" s="12"/>
      <c r="AA821" s="12"/>
      <c r="AB821" s="12"/>
      <c r="AC821" s="12"/>
      <c r="AD821" s="12"/>
      <c r="AE821" s="12"/>
      <c r="AF821" s="12"/>
    </row>
    <row r="822" spans="1:32" ht="13.2">
      <c r="A822" s="8"/>
      <c r="B822" s="8"/>
      <c r="C822" s="8"/>
      <c r="D822" s="8"/>
      <c r="E822" s="8"/>
      <c r="F822" s="8"/>
      <c r="G822" s="9"/>
      <c r="H822" s="8"/>
      <c r="I822" s="8"/>
      <c r="J822" s="8"/>
      <c r="K822" s="8"/>
      <c r="L822" s="8"/>
      <c r="M822" s="8"/>
      <c r="N822" s="8"/>
      <c r="O822" s="8"/>
      <c r="P822" s="8"/>
      <c r="Q822" s="8"/>
      <c r="R822" s="8"/>
      <c r="S822" s="8"/>
      <c r="T822" s="8"/>
      <c r="U822" s="12"/>
      <c r="V822" s="12"/>
      <c r="W822" s="12"/>
      <c r="X822" s="12"/>
      <c r="Y822" s="12"/>
      <c r="Z822" s="12"/>
      <c r="AA822" s="12"/>
      <c r="AB822" s="12"/>
      <c r="AC822" s="12"/>
      <c r="AD822" s="12"/>
      <c r="AE822" s="12"/>
      <c r="AF822" s="12"/>
    </row>
    <row r="823" spans="1:32" ht="13.2">
      <c r="A823" s="8"/>
      <c r="B823" s="8"/>
      <c r="C823" s="8"/>
      <c r="D823" s="8"/>
      <c r="E823" s="8"/>
      <c r="F823" s="8"/>
      <c r="G823" s="9"/>
      <c r="H823" s="8"/>
      <c r="I823" s="8"/>
      <c r="J823" s="8"/>
      <c r="K823" s="8"/>
      <c r="L823" s="8"/>
      <c r="M823" s="8"/>
      <c r="N823" s="8"/>
      <c r="O823" s="8"/>
      <c r="P823" s="8"/>
      <c r="Q823" s="8"/>
      <c r="R823" s="8"/>
      <c r="S823" s="8"/>
      <c r="T823" s="8"/>
      <c r="U823" s="12"/>
      <c r="V823" s="12"/>
      <c r="W823" s="12"/>
      <c r="X823" s="12"/>
      <c r="Y823" s="12"/>
      <c r="Z823" s="12"/>
      <c r="AA823" s="12"/>
      <c r="AB823" s="12"/>
      <c r="AC823" s="12"/>
      <c r="AD823" s="12"/>
      <c r="AE823" s="12"/>
      <c r="AF823" s="12"/>
    </row>
    <row r="824" spans="1:32" ht="13.2">
      <c r="A824" s="8"/>
      <c r="B824" s="8"/>
      <c r="C824" s="8"/>
      <c r="D824" s="8"/>
      <c r="E824" s="8"/>
      <c r="F824" s="8"/>
      <c r="G824" s="9"/>
      <c r="H824" s="8"/>
      <c r="I824" s="8"/>
      <c r="J824" s="8"/>
      <c r="K824" s="8"/>
      <c r="L824" s="8"/>
      <c r="M824" s="8"/>
      <c r="N824" s="8"/>
      <c r="O824" s="8"/>
      <c r="P824" s="8"/>
      <c r="Q824" s="8"/>
      <c r="R824" s="8"/>
      <c r="S824" s="8"/>
      <c r="T824" s="8"/>
      <c r="U824" s="12"/>
      <c r="V824" s="12"/>
      <c r="W824" s="12"/>
      <c r="X824" s="12"/>
      <c r="Y824" s="12"/>
      <c r="Z824" s="12"/>
      <c r="AA824" s="12"/>
      <c r="AB824" s="12"/>
      <c r="AC824" s="12"/>
      <c r="AD824" s="12"/>
      <c r="AE824" s="12"/>
      <c r="AF824" s="12"/>
    </row>
    <row r="825" spans="1:32" ht="13.2">
      <c r="A825" s="8"/>
      <c r="B825" s="8"/>
      <c r="C825" s="8"/>
      <c r="D825" s="8"/>
      <c r="E825" s="8"/>
      <c r="F825" s="8"/>
      <c r="G825" s="9"/>
      <c r="H825" s="8"/>
      <c r="I825" s="8"/>
      <c r="J825" s="8"/>
      <c r="K825" s="8"/>
      <c r="L825" s="8"/>
      <c r="M825" s="8"/>
      <c r="N825" s="8"/>
      <c r="O825" s="8"/>
      <c r="P825" s="8"/>
      <c r="Q825" s="8"/>
      <c r="R825" s="8"/>
      <c r="S825" s="8"/>
      <c r="T825" s="8"/>
      <c r="U825" s="12"/>
      <c r="V825" s="12"/>
      <c r="W825" s="12"/>
      <c r="X825" s="12"/>
      <c r="Y825" s="12"/>
      <c r="Z825" s="12"/>
      <c r="AA825" s="12"/>
      <c r="AB825" s="12"/>
      <c r="AC825" s="12"/>
      <c r="AD825" s="12"/>
      <c r="AE825" s="12"/>
      <c r="AF825" s="12"/>
    </row>
    <row r="826" spans="1:32" ht="13.2">
      <c r="A826" s="8"/>
      <c r="B826" s="8"/>
      <c r="C826" s="8"/>
      <c r="D826" s="8"/>
      <c r="E826" s="8"/>
      <c r="F826" s="8"/>
      <c r="G826" s="9"/>
      <c r="H826" s="8"/>
      <c r="I826" s="8"/>
      <c r="J826" s="8"/>
      <c r="K826" s="8"/>
      <c r="L826" s="8"/>
      <c r="M826" s="8"/>
      <c r="N826" s="8"/>
      <c r="O826" s="8"/>
      <c r="P826" s="8"/>
      <c r="Q826" s="8"/>
      <c r="R826" s="8"/>
      <c r="S826" s="8"/>
      <c r="T826" s="8"/>
      <c r="U826" s="12"/>
      <c r="V826" s="12"/>
      <c r="W826" s="12"/>
      <c r="X826" s="12"/>
      <c r="Y826" s="12"/>
      <c r="Z826" s="12"/>
      <c r="AA826" s="12"/>
      <c r="AB826" s="12"/>
      <c r="AC826" s="12"/>
      <c r="AD826" s="12"/>
      <c r="AE826" s="12"/>
      <c r="AF826" s="12"/>
    </row>
    <row r="827" spans="1:32" ht="13.2">
      <c r="A827" s="8"/>
      <c r="B827" s="8"/>
      <c r="C827" s="8"/>
      <c r="D827" s="8"/>
      <c r="E827" s="8"/>
      <c r="F827" s="8"/>
      <c r="G827" s="9"/>
      <c r="H827" s="8"/>
      <c r="I827" s="8"/>
      <c r="J827" s="8"/>
      <c r="K827" s="8"/>
      <c r="L827" s="8"/>
      <c r="M827" s="8"/>
      <c r="N827" s="8"/>
      <c r="O827" s="8"/>
      <c r="P827" s="8"/>
      <c r="Q827" s="8"/>
      <c r="R827" s="8"/>
      <c r="S827" s="8"/>
      <c r="T827" s="8"/>
      <c r="U827" s="12"/>
      <c r="V827" s="12"/>
      <c r="W827" s="12"/>
      <c r="X827" s="12"/>
      <c r="Y827" s="12"/>
      <c r="Z827" s="12"/>
      <c r="AA827" s="12"/>
      <c r="AB827" s="12"/>
      <c r="AC827" s="12"/>
      <c r="AD827" s="12"/>
      <c r="AE827" s="12"/>
      <c r="AF827" s="12"/>
    </row>
    <row r="828" spans="1:32" ht="13.2">
      <c r="A828" s="8"/>
      <c r="B828" s="8"/>
      <c r="C828" s="8"/>
      <c r="D828" s="8"/>
      <c r="E828" s="8"/>
      <c r="F828" s="8"/>
      <c r="G828" s="9"/>
      <c r="H828" s="8"/>
      <c r="I828" s="8"/>
      <c r="J828" s="8"/>
      <c r="K828" s="8"/>
      <c r="L828" s="8"/>
      <c r="M828" s="8"/>
      <c r="N828" s="8"/>
      <c r="O828" s="8"/>
      <c r="P828" s="8"/>
      <c r="Q828" s="8"/>
      <c r="R828" s="8"/>
      <c r="S828" s="8"/>
      <c r="T828" s="8"/>
      <c r="U828" s="12"/>
      <c r="V828" s="12"/>
      <c r="W828" s="12"/>
      <c r="X828" s="12"/>
      <c r="Y828" s="12"/>
      <c r="Z828" s="12"/>
      <c r="AA828" s="12"/>
      <c r="AB828" s="12"/>
      <c r="AC828" s="12"/>
      <c r="AD828" s="12"/>
      <c r="AE828" s="12"/>
      <c r="AF828" s="12"/>
    </row>
    <row r="829" spans="1:32" ht="13.2">
      <c r="A829" s="8"/>
      <c r="B829" s="8"/>
      <c r="C829" s="8"/>
      <c r="D829" s="8"/>
      <c r="E829" s="8"/>
      <c r="F829" s="8"/>
      <c r="G829" s="9"/>
      <c r="H829" s="8"/>
      <c r="I829" s="8"/>
      <c r="J829" s="8"/>
      <c r="K829" s="8"/>
      <c r="L829" s="8"/>
      <c r="M829" s="8"/>
      <c r="N829" s="8"/>
      <c r="O829" s="8"/>
      <c r="P829" s="8"/>
      <c r="Q829" s="8"/>
      <c r="R829" s="8"/>
      <c r="S829" s="8"/>
      <c r="T829" s="8"/>
      <c r="U829" s="12"/>
      <c r="V829" s="12"/>
      <c r="W829" s="12"/>
      <c r="X829" s="12"/>
      <c r="Y829" s="12"/>
      <c r="Z829" s="12"/>
      <c r="AA829" s="12"/>
      <c r="AB829" s="12"/>
      <c r="AC829" s="12"/>
      <c r="AD829" s="12"/>
      <c r="AE829" s="12"/>
      <c r="AF829" s="12"/>
    </row>
    <row r="830" spans="1:32" ht="13.2">
      <c r="A830" s="8"/>
      <c r="B830" s="8"/>
      <c r="C830" s="8"/>
      <c r="D830" s="8"/>
      <c r="E830" s="8"/>
      <c r="F830" s="8"/>
      <c r="G830" s="9"/>
      <c r="H830" s="8"/>
      <c r="I830" s="8"/>
      <c r="J830" s="8"/>
      <c r="K830" s="8"/>
      <c r="L830" s="8"/>
      <c r="M830" s="8"/>
      <c r="N830" s="8"/>
      <c r="O830" s="8"/>
      <c r="P830" s="8"/>
      <c r="Q830" s="8"/>
      <c r="R830" s="8"/>
      <c r="S830" s="8"/>
      <c r="T830" s="8"/>
      <c r="U830" s="12"/>
      <c r="V830" s="12"/>
      <c r="W830" s="12"/>
      <c r="X830" s="12"/>
      <c r="Y830" s="12"/>
      <c r="Z830" s="12"/>
      <c r="AA830" s="12"/>
      <c r="AB830" s="12"/>
      <c r="AC830" s="12"/>
      <c r="AD830" s="12"/>
      <c r="AE830" s="12"/>
      <c r="AF830" s="12"/>
    </row>
    <row r="831" spans="1:32" ht="13.2">
      <c r="A831" s="8"/>
      <c r="B831" s="8"/>
      <c r="C831" s="8"/>
      <c r="D831" s="8"/>
      <c r="E831" s="8"/>
      <c r="F831" s="8"/>
      <c r="G831" s="9"/>
      <c r="H831" s="8"/>
      <c r="I831" s="8"/>
      <c r="J831" s="8"/>
      <c r="K831" s="8"/>
      <c r="L831" s="8"/>
      <c r="M831" s="8"/>
      <c r="N831" s="8"/>
      <c r="O831" s="8"/>
      <c r="P831" s="8"/>
      <c r="Q831" s="8"/>
      <c r="R831" s="8"/>
      <c r="S831" s="8"/>
      <c r="T831" s="8"/>
      <c r="U831" s="12"/>
      <c r="V831" s="12"/>
      <c r="W831" s="12"/>
      <c r="X831" s="12"/>
      <c r="Y831" s="12"/>
      <c r="Z831" s="12"/>
      <c r="AA831" s="12"/>
      <c r="AB831" s="12"/>
      <c r="AC831" s="12"/>
      <c r="AD831" s="12"/>
      <c r="AE831" s="12"/>
      <c r="AF831" s="12"/>
    </row>
    <row r="832" spans="1:32" ht="13.2">
      <c r="A832" s="8"/>
      <c r="B832" s="8"/>
      <c r="C832" s="8"/>
      <c r="D832" s="8"/>
      <c r="E832" s="8"/>
      <c r="F832" s="8"/>
      <c r="G832" s="9"/>
      <c r="H832" s="8"/>
      <c r="I832" s="8"/>
      <c r="J832" s="8"/>
      <c r="K832" s="8"/>
      <c r="L832" s="8"/>
      <c r="M832" s="8"/>
      <c r="N832" s="8"/>
      <c r="O832" s="8"/>
      <c r="P832" s="8"/>
      <c r="Q832" s="8"/>
      <c r="R832" s="8"/>
      <c r="S832" s="8"/>
      <c r="T832" s="8"/>
      <c r="U832" s="12"/>
      <c r="V832" s="12"/>
      <c r="W832" s="12"/>
      <c r="X832" s="12"/>
      <c r="Y832" s="12"/>
      <c r="Z832" s="12"/>
      <c r="AA832" s="12"/>
      <c r="AB832" s="12"/>
      <c r="AC832" s="12"/>
      <c r="AD832" s="12"/>
      <c r="AE832" s="12"/>
      <c r="AF832" s="12"/>
    </row>
    <row r="833" spans="1:32" ht="13.2">
      <c r="A833" s="8"/>
      <c r="B833" s="8"/>
      <c r="C833" s="8"/>
      <c r="D833" s="8"/>
      <c r="E833" s="8"/>
      <c r="F833" s="8"/>
      <c r="G833" s="9"/>
      <c r="H833" s="8"/>
      <c r="I833" s="8"/>
      <c r="J833" s="8"/>
      <c r="K833" s="8"/>
      <c r="L833" s="8"/>
      <c r="M833" s="8"/>
      <c r="N833" s="8"/>
      <c r="O833" s="8"/>
      <c r="P833" s="8"/>
      <c r="Q833" s="8"/>
      <c r="R833" s="8"/>
      <c r="S833" s="8"/>
      <c r="T833" s="8"/>
      <c r="U833" s="12"/>
      <c r="V833" s="12"/>
      <c r="W833" s="12"/>
      <c r="X833" s="12"/>
      <c r="Y833" s="12"/>
      <c r="Z833" s="12"/>
      <c r="AA833" s="12"/>
      <c r="AB833" s="12"/>
      <c r="AC833" s="12"/>
      <c r="AD833" s="12"/>
      <c r="AE833" s="12"/>
      <c r="AF833" s="12"/>
    </row>
    <row r="834" spans="1:32" ht="13.2">
      <c r="A834" s="8"/>
      <c r="B834" s="8"/>
      <c r="C834" s="8"/>
      <c r="D834" s="8"/>
      <c r="E834" s="8"/>
      <c r="F834" s="8"/>
      <c r="G834" s="9"/>
      <c r="H834" s="8"/>
      <c r="I834" s="8"/>
      <c r="J834" s="8"/>
      <c r="K834" s="8"/>
      <c r="L834" s="8"/>
      <c r="M834" s="8"/>
      <c r="N834" s="8"/>
      <c r="O834" s="8"/>
      <c r="P834" s="8"/>
      <c r="Q834" s="8"/>
      <c r="R834" s="8"/>
      <c r="S834" s="8"/>
      <c r="T834" s="8"/>
      <c r="U834" s="12"/>
      <c r="V834" s="12"/>
      <c r="W834" s="12"/>
      <c r="X834" s="12"/>
      <c r="Y834" s="12"/>
      <c r="Z834" s="12"/>
      <c r="AA834" s="12"/>
      <c r="AB834" s="12"/>
      <c r="AC834" s="12"/>
      <c r="AD834" s="12"/>
      <c r="AE834" s="12"/>
      <c r="AF834" s="12"/>
    </row>
    <row r="835" spans="1:32" ht="13.2">
      <c r="A835" s="8"/>
      <c r="B835" s="8"/>
      <c r="C835" s="8"/>
      <c r="D835" s="8"/>
      <c r="E835" s="8"/>
      <c r="F835" s="8"/>
      <c r="G835" s="9"/>
      <c r="H835" s="8"/>
      <c r="I835" s="8"/>
      <c r="J835" s="8"/>
      <c r="K835" s="8"/>
      <c r="L835" s="8"/>
      <c r="M835" s="8"/>
      <c r="N835" s="8"/>
      <c r="O835" s="8"/>
      <c r="P835" s="8"/>
      <c r="Q835" s="8"/>
      <c r="R835" s="8"/>
      <c r="S835" s="8"/>
      <c r="T835" s="8"/>
      <c r="U835" s="12"/>
      <c r="V835" s="12"/>
      <c r="W835" s="12"/>
      <c r="X835" s="12"/>
      <c r="Y835" s="12"/>
      <c r="Z835" s="12"/>
      <c r="AA835" s="12"/>
      <c r="AB835" s="12"/>
      <c r="AC835" s="12"/>
      <c r="AD835" s="12"/>
      <c r="AE835" s="12"/>
      <c r="AF835" s="12"/>
    </row>
    <row r="836" spans="1:32" ht="13.2">
      <c r="A836" s="8"/>
      <c r="B836" s="8"/>
      <c r="C836" s="8"/>
      <c r="D836" s="8"/>
      <c r="E836" s="8"/>
      <c r="F836" s="8"/>
      <c r="G836" s="9"/>
      <c r="H836" s="8"/>
      <c r="I836" s="8"/>
      <c r="J836" s="8"/>
      <c r="K836" s="8"/>
      <c r="L836" s="8"/>
      <c r="M836" s="8"/>
      <c r="N836" s="8"/>
      <c r="O836" s="8"/>
      <c r="P836" s="8"/>
      <c r="Q836" s="8"/>
      <c r="R836" s="8"/>
      <c r="S836" s="8"/>
      <c r="T836" s="8"/>
      <c r="U836" s="12"/>
      <c r="V836" s="12"/>
      <c r="W836" s="12"/>
      <c r="X836" s="12"/>
      <c r="Y836" s="12"/>
      <c r="Z836" s="12"/>
      <c r="AA836" s="12"/>
      <c r="AB836" s="12"/>
      <c r="AC836" s="12"/>
      <c r="AD836" s="12"/>
      <c r="AE836" s="12"/>
      <c r="AF836" s="12"/>
    </row>
    <row r="837" spans="1:32" ht="13.2">
      <c r="A837" s="8"/>
      <c r="B837" s="8"/>
      <c r="C837" s="8"/>
      <c r="D837" s="8"/>
      <c r="E837" s="8"/>
      <c r="F837" s="8"/>
      <c r="G837" s="9"/>
      <c r="H837" s="8"/>
      <c r="I837" s="8"/>
      <c r="J837" s="8"/>
      <c r="K837" s="8"/>
      <c r="L837" s="8"/>
      <c r="M837" s="8"/>
      <c r="N837" s="8"/>
      <c r="O837" s="8"/>
      <c r="P837" s="8"/>
      <c r="Q837" s="8"/>
      <c r="R837" s="8"/>
      <c r="S837" s="8"/>
      <c r="T837" s="8"/>
      <c r="U837" s="12"/>
      <c r="V837" s="12"/>
      <c r="W837" s="12"/>
      <c r="X837" s="12"/>
      <c r="Y837" s="12"/>
      <c r="Z837" s="12"/>
      <c r="AA837" s="12"/>
      <c r="AB837" s="12"/>
      <c r="AC837" s="12"/>
      <c r="AD837" s="12"/>
      <c r="AE837" s="12"/>
      <c r="AF837" s="12"/>
    </row>
    <row r="838" spans="1:32" ht="13.2">
      <c r="A838" s="8"/>
      <c r="B838" s="8"/>
      <c r="C838" s="8"/>
      <c r="D838" s="8"/>
      <c r="E838" s="8"/>
      <c r="F838" s="8"/>
      <c r="G838" s="9"/>
      <c r="H838" s="8"/>
      <c r="I838" s="8"/>
      <c r="J838" s="8"/>
      <c r="K838" s="8"/>
      <c r="L838" s="8"/>
      <c r="M838" s="8"/>
      <c r="N838" s="8"/>
      <c r="O838" s="8"/>
      <c r="P838" s="8"/>
      <c r="Q838" s="8"/>
      <c r="R838" s="8"/>
      <c r="S838" s="8"/>
      <c r="T838" s="8"/>
      <c r="U838" s="12"/>
      <c r="V838" s="12"/>
      <c r="W838" s="12"/>
      <c r="X838" s="12"/>
      <c r="Y838" s="12"/>
      <c r="Z838" s="12"/>
      <c r="AA838" s="12"/>
      <c r="AB838" s="12"/>
      <c r="AC838" s="12"/>
      <c r="AD838" s="12"/>
      <c r="AE838" s="12"/>
      <c r="AF838" s="12"/>
    </row>
    <row r="839" spans="1:32" ht="13.2">
      <c r="A839" s="8"/>
      <c r="B839" s="8"/>
      <c r="C839" s="8"/>
      <c r="D839" s="8"/>
      <c r="E839" s="8"/>
      <c r="F839" s="8"/>
      <c r="G839" s="9"/>
      <c r="H839" s="8"/>
      <c r="I839" s="8"/>
      <c r="J839" s="8"/>
      <c r="K839" s="8"/>
      <c r="L839" s="8"/>
      <c r="M839" s="8"/>
      <c r="N839" s="8"/>
      <c r="O839" s="8"/>
      <c r="P839" s="8"/>
      <c r="Q839" s="8"/>
      <c r="R839" s="8"/>
      <c r="S839" s="8"/>
      <c r="T839" s="8"/>
      <c r="U839" s="12"/>
      <c r="V839" s="12"/>
      <c r="W839" s="12"/>
      <c r="X839" s="12"/>
      <c r="Y839" s="12"/>
      <c r="Z839" s="12"/>
      <c r="AA839" s="12"/>
      <c r="AB839" s="12"/>
      <c r="AC839" s="12"/>
      <c r="AD839" s="12"/>
      <c r="AE839" s="12"/>
      <c r="AF839" s="12"/>
    </row>
    <row r="840" spans="1:32" ht="13.2">
      <c r="A840" s="8"/>
      <c r="B840" s="8"/>
      <c r="C840" s="8"/>
      <c r="D840" s="8"/>
      <c r="E840" s="8"/>
      <c r="F840" s="8"/>
      <c r="G840" s="9"/>
      <c r="H840" s="8"/>
      <c r="I840" s="8"/>
      <c r="J840" s="8"/>
      <c r="K840" s="8"/>
      <c r="L840" s="8"/>
      <c r="M840" s="8"/>
      <c r="N840" s="8"/>
      <c r="O840" s="8"/>
      <c r="P840" s="8"/>
      <c r="Q840" s="8"/>
      <c r="R840" s="8"/>
      <c r="S840" s="8"/>
      <c r="T840" s="8"/>
      <c r="U840" s="12"/>
      <c r="V840" s="12"/>
      <c r="W840" s="12"/>
      <c r="X840" s="12"/>
      <c r="Y840" s="12"/>
      <c r="Z840" s="12"/>
      <c r="AA840" s="12"/>
      <c r="AB840" s="12"/>
      <c r="AC840" s="12"/>
      <c r="AD840" s="12"/>
      <c r="AE840" s="12"/>
      <c r="AF840" s="12"/>
    </row>
    <row r="841" spans="1:32" ht="13.2">
      <c r="A841" s="8"/>
      <c r="B841" s="8"/>
      <c r="C841" s="8"/>
      <c r="D841" s="8"/>
      <c r="E841" s="8"/>
      <c r="F841" s="8"/>
      <c r="G841" s="9"/>
      <c r="H841" s="8"/>
      <c r="I841" s="8"/>
      <c r="J841" s="8"/>
      <c r="K841" s="8"/>
      <c r="L841" s="8"/>
      <c r="M841" s="8"/>
      <c r="N841" s="8"/>
      <c r="O841" s="8"/>
      <c r="P841" s="8"/>
      <c r="Q841" s="8"/>
      <c r="R841" s="8"/>
      <c r="S841" s="8"/>
      <c r="T841" s="8"/>
      <c r="U841" s="12"/>
      <c r="V841" s="12"/>
      <c r="W841" s="12"/>
      <c r="X841" s="12"/>
      <c r="Y841" s="12"/>
      <c r="Z841" s="12"/>
      <c r="AA841" s="12"/>
      <c r="AB841" s="12"/>
      <c r="AC841" s="12"/>
      <c r="AD841" s="12"/>
      <c r="AE841" s="12"/>
      <c r="AF841" s="12"/>
    </row>
    <row r="842" spans="1:32" ht="13.2">
      <c r="A842" s="8"/>
      <c r="B842" s="8"/>
      <c r="C842" s="8"/>
      <c r="D842" s="8"/>
      <c r="E842" s="8"/>
      <c r="F842" s="8"/>
      <c r="G842" s="9"/>
      <c r="H842" s="8"/>
      <c r="I842" s="8"/>
      <c r="J842" s="8"/>
      <c r="K842" s="8"/>
      <c r="L842" s="8"/>
      <c r="M842" s="8"/>
      <c r="N842" s="8"/>
      <c r="O842" s="8"/>
      <c r="P842" s="8"/>
      <c r="Q842" s="8"/>
      <c r="R842" s="8"/>
      <c r="S842" s="8"/>
      <c r="T842" s="8"/>
      <c r="U842" s="12"/>
      <c r="V842" s="12"/>
      <c r="W842" s="12"/>
      <c r="X842" s="12"/>
      <c r="Y842" s="12"/>
      <c r="Z842" s="12"/>
      <c r="AA842" s="12"/>
      <c r="AB842" s="12"/>
      <c r="AC842" s="12"/>
      <c r="AD842" s="12"/>
      <c r="AE842" s="12"/>
      <c r="AF842" s="12"/>
    </row>
    <row r="843" spans="1:32" ht="13.2">
      <c r="A843" s="8"/>
      <c r="B843" s="8"/>
      <c r="C843" s="8"/>
      <c r="D843" s="8"/>
      <c r="E843" s="8"/>
      <c r="F843" s="8"/>
      <c r="G843" s="9"/>
      <c r="H843" s="8"/>
      <c r="I843" s="8"/>
      <c r="J843" s="8"/>
      <c r="K843" s="8"/>
      <c r="L843" s="8"/>
      <c r="M843" s="8"/>
      <c r="N843" s="8"/>
      <c r="O843" s="8"/>
      <c r="P843" s="8"/>
      <c r="Q843" s="8"/>
      <c r="R843" s="8"/>
      <c r="S843" s="8"/>
      <c r="T843" s="8"/>
      <c r="U843" s="12"/>
      <c r="V843" s="12"/>
      <c r="W843" s="12"/>
      <c r="X843" s="12"/>
      <c r="Y843" s="12"/>
      <c r="Z843" s="12"/>
      <c r="AA843" s="12"/>
      <c r="AB843" s="12"/>
      <c r="AC843" s="12"/>
      <c r="AD843" s="12"/>
      <c r="AE843" s="12"/>
      <c r="AF843" s="12"/>
    </row>
    <row r="844" spans="1:32" ht="13.2">
      <c r="A844" s="8"/>
      <c r="B844" s="8"/>
      <c r="C844" s="8"/>
      <c r="D844" s="8"/>
      <c r="E844" s="8"/>
      <c r="F844" s="8"/>
      <c r="G844" s="9"/>
      <c r="H844" s="8"/>
      <c r="I844" s="8"/>
      <c r="J844" s="8"/>
      <c r="K844" s="8"/>
      <c r="L844" s="8"/>
      <c r="M844" s="8"/>
      <c r="N844" s="8"/>
      <c r="O844" s="8"/>
      <c r="P844" s="8"/>
      <c r="Q844" s="8"/>
      <c r="R844" s="8"/>
      <c r="S844" s="8"/>
      <c r="T844" s="8"/>
      <c r="U844" s="12"/>
      <c r="V844" s="12"/>
      <c r="W844" s="12"/>
      <c r="X844" s="12"/>
      <c r="Y844" s="12"/>
      <c r="Z844" s="12"/>
      <c r="AA844" s="12"/>
      <c r="AB844" s="12"/>
      <c r="AC844" s="12"/>
      <c r="AD844" s="12"/>
      <c r="AE844" s="12"/>
      <c r="AF844" s="12"/>
    </row>
    <row r="845" spans="1:32" ht="13.2">
      <c r="A845" s="8"/>
      <c r="B845" s="8"/>
      <c r="C845" s="8"/>
      <c r="D845" s="8"/>
      <c r="E845" s="8"/>
      <c r="F845" s="8"/>
      <c r="G845" s="9"/>
      <c r="H845" s="8"/>
      <c r="I845" s="8"/>
      <c r="J845" s="8"/>
      <c r="K845" s="8"/>
      <c r="L845" s="8"/>
      <c r="M845" s="8"/>
      <c r="N845" s="8"/>
      <c r="O845" s="8"/>
      <c r="P845" s="8"/>
      <c r="Q845" s="8"/>
      <c r="R845" s="8"/>
      <c r="S845" s="8"/>
      <c r="T845" s="8"/>
      <c r="U845" s="12"/>
      <c r="V845" s="12"/>
      <c r="W845" s="12"/>
      <c r="X845" s="12"/>
      <c r="Y845" s="12"/>
      <c r="Z845" s="12"/>
      <c r="AA845" s="12"/>
      <c r="AB845" s="12"/>
      <c r="AC845" s="12"/>
      <c r="AD845" s="12"/>
      <c r="AE845" s="12"/>
      <c r="AF845" s="12"/>
    </row>
    <row r="846" spans="1:32" ht="13.2">
      <c r="A846" s="8"/>
      <c r="B846" s="8"/>
      <c r="C846" s="8"/>
      <c r="D846" s="8"/>
      <c r="E846" s="8"/>
      <c r="F846" s="8"/>
      <c r="G846" s="9"/>
      <c r="H846" s="8"/>
      <c r="I846" s="8"/>
      <c r="J846" s="8"/>
      <c r="K846" s="8"/>
      <c r="L846" s="8"/>
      <c r="M846" s="8"/>
      <c r="N846" s="8"/>
      <c r="O846" s="8"/>
      <c r="P846" s="8"/>
      <c r="Q846" s="8"/>
      <c r="R846" s="8"/>
      <c r="S846" s="8"/>
      <c r="T846" s="8"/>
      <c r="U846" s="12"/>
      <c r="V846" s="12"/>
      <c r="W846" s="12"/>
      <c r="X846" s="12"/>
      <c r="Y846" s="12"/>
      <c r="Z846" s="12"/>
      <c r="AA846" s="12"/>
      <c r="AB846" s="12"/>
      <c r="AC846" s="12"/>
      <c r="AD846" s="12"/>
      <c r="AE846" s="12"/>
      <c r="AF846" s="12"/>
    </row>
    <row r="847" spans="1:32" ht="13.2">
      <c r="A847" s="8"/>
      <c r="B847" s="8"/>
      <c r="C847" s="8"/>
      <c r="D847" s="8"/>
      <c r="E847" s="8"/>
      <c r="F847" s="8"/>
      <c r="G847" s="9"/>
      <c r="H847" s="8"/>
      <c r="I847" s="8"/>
      <c r="J847" s="8"/>
      <c r="K847" s="8"/>
      <c r="L847" s="8"/>
      <c r="M847" s="8"/>
      <c r="N847" s="8"/>
      <c r="O847" s="8"/>
      <c r="P847" s="8"/>
      <c r="Q847" s="8"/>
      <c r="R847" s="8"/>
      <c r="S847" s="8"/>
      <c r="T847" s="8"/>
      <c r="U847" s="12"/>
      <c r="V847" s="12"/>
      <c r="W847" s="12"/>
      <c r="X847" s="12"/>
      <c r="Y847" s="12"/>
      <c r="Z847" s="12"/>
      <c r="AA847" s="12"/>
      <c r="AB847" s="12"/>
      <c r="AC847" s="12"/>
      <c r="AD847" s="12"/>
      <c r="AE847" s="12"/>
      <c r="AF847" s="12"/>
    </row>
    <row r="848" spans="1:32" ht="13.2">
      <c r="A848" s="8"/>
      <c r="B848" s="8"/>
      <c r="C848" s="8"/>
      <c r="D848" s="8"/>
      <c r="E848" s="8"/>
      <c r="F848" s="8"/>
      <c r="G848" s="9"/>
      <c r="H848" s="8"/>
      <c r="I848" s="8"/>
      <c r="J848" s="8"/>
      <c r="K848" s="8"/>
      <c r="L848" s="8"/>
      <c r="M848" s="8"/>
      <c r="N848" s="8"/>
      <c r="O848" s="8"/>
      <c r="P848" s="8"/>
      <c r="Q848" s="8"/>
      <c r="R848" s="8"/>
      <c r="S848" s="8"/>
      <c r="T848" s="8"/>
      <c r="U848" s="12"/>
      <c r="V848" s="12"/>
      <c r="W848" s="12"/>
      <c r="X848" s="12"/>
      <c r="Y848" s="12"/>
      <c r="Z848" s="12"/>
      <c r="AA848" s="12"/>
      <c r="AB848" s="12"/>
      <c r="AC848" s="12"/>
      <c r="AD848" s="12"/>
      <c r="AE848" s="12"/>
      <c r="AF848" s="12"/>
    </row>
    <row r="849" spans="1:32" ht="13.2">
      <c r="A849" s="8"/>
      <c r="B849" s="8"/>
      <c r="C849" s="8"/>
      <c r="D849" s="8"/>
      <c r="E849" s="8"/>
      <c r="F849" s="8"/>
      <c r="G849" s="9"/>
      <c r="H849" s="8"/>
      <c r="I849" s="8"/>
      <c r="J849" s="8"/>
      <c r="K849" s="8"/>
      <c r="L849" s="8"/>
      <c r="M849" s="8"/>
      <c r="N849" s="8"/>
      <c r="O849" s="8"/>
      <c r="P849" s="8"/>
      <c r="Q849" s="8"/>
      <c r="R849" s="8"/>
      <c r="S849" s="8"/>
      <c r="T849" s="8"/>
      <c r="U849" s="12"/>
      <c r="V849" s="12"/>
      <c r="W849" s="12"/>
      <c r="X849" s="12"/>
      <c r="Y849" s="12"/>
      <c r="Z849" s="12"/>
      <c r="AA849" s="12"/>
      <c r="AB849" s="12"/>
      <c r="AC849" s="12"/>
      <c r="AD849" s="12"/>
      <c r="AE849" s="12"/>
      <c r="AF849" s="12"/>
    </row>
    <row r="850" spans="1:32" ht="13.2">
      <c r="A850" s="8"/>
      <c r="B850" s="8"/>
      <c r="C850" s="8"/>
      <c r="D850" s="8"/>
      <c r="E850" s="8"/>
      <c r="F850" s="8"/>
      <c r="G850" s="9"/>
      <c r="H850" s="8"/>
      <c r="I850" s="8"/>
      <c r="J850" s="8"/>
      <c r="K850" s="8"/>
      <c r="L850" s="8"/>
      <c r="M850" s="8"/>
      <c r="N850" s="8"/>
      <c r="O850" s="8"/>
      <c r="P850" s="8"/>
      <c r="Q850" s="8"/>
      <c r="R850" s="8"/>
      <c r="S850" s="8"/>
      <c r="T850" s="8"/>
      <c r="U850" s="12"/>
      <c r="V850" s="12"/>
      <c r="W850" s="12"/>
      <c r="X850" s="12"/>
      <c r="Y850" s="12"/>
      <c r="Z850" s="12"/>
      <c r="AA850" s="12"/>
      <c r="AB850" s="12"/>
      <c r="AC850" s="12"/>
      <c r="AD850" s="12"/>
      <c r="AE850" s="12"/>
      <c r="AF850" s="12"/>
    </row>
    <row r="851" spans="1:32" ht="13.2">
      <c r="A851" s="8"/>
      <c r="B851" s="8"/>
      <c r="C851" s="8"/>
      <c r="D851" s="8"/>
      <c r="E851" s="8"/>
      <c r="F851" s="8"/>
      <c r="G851" s="9"/>
      <c r="H851" s="8"/>
      <c r="I851" s="8"/>
      <c r="J851" s="8"/>
      <c r="K851" s="8"/>
      <c r="L851" s="8"/>
      <c r="M851" s="8"/>
      <c r="N851" s="8"/>
      <c r="O851" s="8"/>
      <c r="P851" s="8"/>
      <c r="Q851" s="8"/>
      <c r="R851" s="8"/>
      <c r="S851" s="8"/>
      <c r="T851" s="8"/>
      <c r="U851" s="12"/>
      <c r="V851" s="12"/>
      <c r="W851" s="12"/>
      <c r="X851" s="12"/>
      <c r="Y851" s="12"/>
      <c r="Z851" s="12"/>
      <c r="AA851" s="12"/>
      <c r="AB851" s="12"/>
      <c r="AC851" s="12"/>
      <c r="AD851" s="12"/>
      <c r="AE851" s="12"/>
      <c r="AF851" s="12"/>
    </row>
    <row r="852" spans="1:32" ht="13.2">
      <c r="A852" s="8"/>
      <c r="B852" s="8"/>
      <c r="C852" s="8"/>
      <c r="D852" s="8"/>
      <c r="E852" s="8"/>
      <c r="F852" s="8"/>
      <c r="G852" s="9"/>
      <c r="H852" s="8"/>
      <c r="I852" s="8"/>
      <c r="J852" s="8"/>
      <c r="K852" s="8"/>
      <c r="L852" s="8"/>
      <c r="M852" s="8"/>
      <c r="N852" s="8"/>
      <c r="O852" s="8"/>
      <c r="P852" s="8"/>
      <c r="Q852" s="8"/>
      <c r="R852" s="8"/>
      <c r="S852" s="8"/>
      <c r="T852" s="8"/>
      <c r="U852" s="12"/>
      <c r="V852" s="12"/>
      <c r="W852" s="12"/>
      <c r="X852" s="12"/>
      <c r="Y852" s="12"/>
      <c r="Z852" s="12"/>
      <c r="AA852" s="12"/>
      <c r="AB852" s="12"/>
      <c r="AC852" s="12"/>
      <c r="AD852" s="12"/>
      <c r="AE852" s="12"/>
      <c r="AF852" s="12"/>
    </row>
    <row r="853" spans="1:32" ht="13.2">
      <c r="A853" s="8"/>
      <c r="B853" s="8"/>
      <c r="C853" s="8"/>
      <c r="D853" s="8"/>
      <c r="E853" s="8"/>
      <c r="F853" s="8"/>
      <c r="G853" s="9"/>
      <c r="H853" s="8"/>
      <c r="I853" s="8"/>
      <c r="J853" s="8"/>
      <c r="K853" s="8"/>
      <c r="L853" s="8"/>
      <c r="M853" s="8"/>
      <c r="N853" s="8"/>
      <c r="O853" s="8"/>
      <c r="P853" s="8"/>
      <c r="Q853" s="8"/>
      <c r="R853" s="8"/>
      <c r="S853" s="8"/>
      <c r="T853" s="8"/>
      <c r="U853" s="12"/>
      <c r="V853" s="12"/>
      <c r="W853" s="12"/>
      <c r="X853" s="12"/>
      <c r="Y853" s="12"/>
      <c r="Z853" s="12"/>
      <c r="AA853" s="12"/>
      <c r="AB853" s="12"/>
      <c r="AC853" s="12"/>
      <c r="AD853" s="12"/>
      <c r="AE853" s="12"/>
      <c r="AF853" s="12"/>
    </row>
    <row r="854" spans="1:32" ht="13.2">
      <c r="A854" s="8"/>
      <c r="B854" s="8"/>
      <c r="C854" s="8"/>
      <c r="D854" s="8"/>
      <c r="E854" s="8"/>
      <c r="F854" s="8"/>
      <c r="G854" s="9"/>
      <c r="H854" s="8"/>
      <c r="I854" s="8"/>
      <c r="J854" s="8"/>
      <c r="K854" s="8"/>
      <c r="L854" s="8"/>
      <c r="M854" s="8"/>
      <c r="N854" s="8"/>
      <c r="O854" s="8"/>
      <c r="P854" s="8"/>
      <c r="Q854" s="8"/>
      <c r="R854" s="8"/>
      <c r="S854" s="8"/>
      <c r="T854" s="8"/>
      <c r="U854" s="12"/>
      <c r="V854" s="12"/>
      <c r="W854" s="12"/>
      <c r="X854" s="12"/>
      <c r="Y854" s="12"/>
      <c r="Z854" s="12"/>
      <c r="AA854" s="12"/>
      <c r="AB854" s="12"/>
      <c r="AC854" s="12"/>
      <c r="AD854" s="12"/>
      <c r="AE854" s="12"/>
      <c r="AF854" s="12"/>
    </row>
    <row r="855" spans="1:32" ht="13.2">
      <c r="A855" s="8"/>
      <c r="B855" s="8"/>
      <c r="C855" s="8"/>
      <c r="D855" s="8"/>
      <c r="E855" s="8"/>
      <c r="F855" s="8"/>
      <c r="G855" s="9"/>
      <c r="H855" s="8"/>
      <c r="I855" s="8"/>
      <c r="J855" s="8"/>
      <c r="K855" s="8"/>
      <c r="L855" s="8"/>
      <c r="M855" s="8"/>
      <c r="N855" s="8"/>
      <c r="O855" s="8"/>
      <c r="P855" s="8"/>
      <c r="Q855" s="8"/>
      <c r="R855" s="8"/>
      <c r="S855" s="8"/>
      <c r="T855" s="8"/>
      <c r="U855" s="12"/>
      <c r="V855" s="12"/>
      <c r="W855" s="12"/>
      <c r="X855" s="12"/>
      <c r="Y855" s="12"/>
      <c r="Z855" s="12"/>
      <c r="AA855" s="12"/>
      <c r="AB855" s="12"/>
      <c r="AC855" s="12"/>
      <c r="AD855" s="12"/>
      <c r="AE855" s="12"/>
      <c r="AF855" s="12"/>
    </row>
    <row r="856" spans="1:32" ht="13.2">
      <c r="A856" s="8"/>
      <c r="B856" s="8"/>
      <c r="C856" s="8"/>
      <c r="D856" s="8"/>
      <c r="E856" s="8"/>
      <c r="F856" s="8"/>
      <c r="G856" s="9"/>
      <c r="H856" s="8"/>
      <c r="I856" s="8"/>
      <c r="J856" s="8"/>
      <c r="K856" s="8"/>
      <c r="L856" s="8"/>
      <c r="M856" s="8"/>
      <c r="N856" s="8"/>
      <c r="O856" s="8"/>
      <c r="P856" s="8"/>
      <c r="Q856" s="8"/>
      <c r="R856" s="8"/>
      <c r="S856" s="8"/>
      <c r="T856" s="8"/>
      <c r="U856" s="12"/>
      <c r="V856" s="12"/>
      <c r="W856" s="12"/>
      <c r="X856" s="12"/>
      <c r="Y856" s="12"/>
      <c r="Z856" s="12"/>
      <c r="AA856" s="12"/>
      <c r="AB856" s="12"/>
      <c r="AC856" s="12"/>
      <c r="AD856" s="12"/>
      <c r="AE856" s="12"/>
      <c r="AF856" s="12"/>
    </row>
    <row r="857" spans="1:32" ht="13.2">
      <c r="A857" s="8"/>
      <c r="B857" s="8"/>
      <c r="C857" s="8"/>
      <c r="D857" s="8"/>
      <c r="E857" s="8"/>
      <c r="F857" s="8"/>
      <c r="G857" s="9"/>
      <c r="H857" s="8"/>
      <c r="I857" s="8"/>
      <c r="J857" s="8"/>
      <c r="K857" s="8"/>
      <c r="L857" s="8"/>
      <c r="M857" s="8"/>
      <c r="N857" s="8"/>
      <c r="O857" s="8"/>
      <c r="P857" s="8"/>
      <c r="Q857" s="8"/>
      <c r="R857" s="8"/>
      <c r="S857" s="8"/>
      <c r="T857" s="8"/>
      <c r="U857" s="12"/>
      <c r="V857" s="12"/>
      <c r="W857" s="12"/>
      <c r="X857" s="12"/>
      <c r="Y857" s="12"/>
      <c r="Z857" s="12"/>
      <c r="AA857" s="12"/>
      <c r="AB857" s="12"/>
      <c r="AC857" s="12"/>
      <c r="AD857" s="12"/>
      <c r="AE857" s="12"/>
      <c r="AF857" s="12"/>
    </row>
    <row r="858" spans="1:32" ht="13.2">
      <c r="A858" s="8"/>
      <c r="B858" s="8"/>
      <c r="C858" s="8"/>
      <c r="D858" s="8"/>
      <c r="E858" s="8"/>
      <c r="F858" s="8"/>
      <c r="G858" s="9"/>
      <c r="H858" s="8"/>
      <c r="I858" s="8"/>
      <c r="J858" s="8"/>
      <c r="K858" s="8"/>
      <c r="L858" s="8"/>
      <c r="M858" s="8"/>
      <c r="N858" s="8"/>
      <c r="O858" s="8"/>
      <c r="P858" s="8"/>
      <c r="Q858" s="8"/>
      <c r="R858" s="8"/>
      <c r="S858" s="8"/>
      <c r="T858" s="8"/>
      <c r="U858" s="12"/>
      <c r="V858" s="12"/>
      <c r="W858" s="12"/>
      <c r="X858" s="12"/>
      <c r="Y858" s="12"/>
      <c r="Z858" s="12"/>
      <c r="AA858" s="12"/>
      <c r="AB858" s="12"/>
      <c r="AC858" s="12"/>
      <c r="AD858" s="12"/>
      <c r="AE858" s="12"/>
      <c r="AF858" s="12"/>
    </row>
    <row r="859" spans="1:32" ht="13.2">
      <c r="A859" s="8"/>
      <c r="B859" s="8"/>
      <c r="C859" s="8"/>
      <c r="D859" s="8"/>
      <c r="E859" s="8"/>
      <c r="F859" s="8"/>
      <c r="G859" s="9"/>
      <c r="H859" s="8"/>
      <c r="I859" s="8"/>
      <c r="J859" s="8"/>
      <c r="K859" s="8"/>
      <c r="L859" s="8"/>
      <c r="M859" s="8"/>
      <c r="N859" s="8"/>
      <c r="O859" s="8"/>
      <c r="P859" s="8"/>
      <c r="Q859" s="8"/>
      <c r="R859" s="8"/>
      <c r="S859" s="8"/>
      <c r="T859" s="8"/>
      <c r="U859" s="12"/>
      <c r="V859" s="12"/>
      <c r="W859" s="12"/>
      <c r="X859" s="12"/>
      <c r="Y859" s="12"/>
      <c r="Z859" s="12"/>
      <c r="AA859" s="12"/>
      <c r="AB859" s="12"/>
      <c r="AC859" s="12"/>
      <c r="AD859" s="12"/>
      <c r="AE859" s="12"/>
      <c r="AF859" s="12"/>
    </row>
    <row r="860" spans="1:32" ht="13.2">
      <c r="A860" s="8"/>
      <c r="B860" s="8"/>
      <c r="C860" s="8"/>
      <c r="D860" s="8"/>
      <c r="E860" s="8"/>
      <c r="F860" s="8"/>
      <c r="G860" s="9"/>
      <c r="H860" s="8"/>
      <c r="I860" s="8"/>
      <c r="J860" s="8"/>
      <c r="K860" s="8"/>
      <c r="L860" s="8"/>
      <c r="M860" s="8"/>
      <c r="N860" s="8"/>
      <c r="O860" s="8"/>
      <c r="P860" s="8"/>
      <c r="Q860" s="8"/>
      <c r="R860" s="8"/>
      <c r="S860" s="8"/>
      <c r="T860" s="8"/>
      <c r="U860" s="12"/>
      <c r="V860" s="12"/>
      <c r="W860" s="12"/>
      <c r="X860" s="12"/>
      <c r="Y860" s="12"/>
      <c r="Z860" s="12"/>
      <c r="AA860" s="12"/>
      <c r="AB860" s="12"/>
      <c r="AC860" s="12"/>
      <c r="AD860" s="12"/>
      <c r="AE860" s="12"/>
      <c r="AF860" s="12"/>
    </row>
    <row r="861" spans="1:32" ht="13.2">
      <c r="A861" s="8"/>
      <c r="B861" s="8"/>
      <c r="C861" s="8"/>
      <c r="D861" s="8"/>
      <c r="E861" s="8"/>
      <c r="F861" s="8"/>
      <c r="G861" s="9"/>
      <c r="H861" s="8"/>
      <c r="I861" s="8"/>
      <c r="J861" s="8"/>
      <c r="K861" s="8"/>
      <c r="L861" s="8"/>
      <c r="M861" s="8"/>
      <c r="N861" s="8"/>
      <c r="O861" s="8"/>
      <c r="P861" s="8"/>
      <c r="Q861" s="8"/>
      <c r="R861" s="8"/>
      <c r="S861" s="8"/>
      <c r="T861" s="8"/>
      <c r="U861" s="12"/>
      <c r="V861" s="12"/>
      <c r="W861" s="12"/>
      <c r="X861" s="12"/>
      <c r="Y861" s="12"/>
      <c r="Z861" s="12"/>
      <c r="AA861" s="12"/>
      <c r="AB861" s="12"/>
      <c r="AC861" s="12"/>
      <c r="AD861" s="12"/>
      <c r="AE861" s="12"/>
      <c r="AF861" s="12"/>
    </row>
    <row r="862" spans="1:32" ht="13.2">
      <c r="A862" s="8"/>
      <c r="B862" s="8"/>
      <c r="C862" s="8"/>
      <c r="D862" s="8"/>
      <c r="E862" s="8"/>
      <c r="F862" s="8"/>
      <c r="G862" s="9"/>
      <c r="H862" s="8"/>
      <c r="I862" s="8"/>
      <c r="J862" s="8"/>
      <c r="K862" s="8"/>
      <c r="L862" s="8"/>
      <c r="M862" s="8"/>
      <c r="N862" s="8"/>
      <c r="O862" s="8"/>
      <c r="P862" s="8"/>
      <c r="Q862" s="8"/>
      <c r="R862" s="8"/>
      <c r="S862" s="8"/>
      <c r="T862" s="8"/>
      <c r="U862" s="12"/>
      <c r="V862" s="12"/>
      <c r="W862" s="12"/>
      <c r="X862" s="12"/>
      <c r="Y862" s="12"/>
      <c r="Z862" s="12"/>
      <c r="AA862" s="12"/>
      <c r="AB862" s="12"/>
      <c r="AC862" s="12"/>
      <c r="AD862" s="12"/>
      <c r="AE862" s="12"/>
      <c r="AF862" s="12"/>
    </row>
    <row r="863" spans="1:32" ht="13.2">
      <c r="A863" s="8"/>
      <c r="B863" s="8"/>
      <c r="C863" s="8"/>
      <c r="D863" s="8"/>
      <c r="E863" s="8"/>
      <c r="F863" s="8"/>
      <c r="G863" s="9"/>
      <c r="H863" s="8"/>
      <c r="I863" s="8"/>
      <c r="J863" s="8"/>
      <c r="K863" s="8"/>
      <c r="L863" s="8"/>
      <c r="M863" s="8"/>
      <c r="N863" s="8"/>
      <c r="O863" s="8"/>
      <c r="P863" s="8"/>
      <c r="Q863" s="8"/>
      <c r="R863" s="8"/>
      <c r="S863" s="8"/>
      <c r="T863" s="8"/>
      <c r="U863" s="12"/>
      <c r="V863" s="12"/>
      <c r="W863" s="12"/>
      <c r="X863" s="12"/>
      <c r="Y863" s="12"/>
      <c r="Z863" s="12"/>
      <c r="AA863" s="12"/>
      <c r="AB863" s="12"/>
      <c r="AC863" s="12"/>
      <c r="AD863" s="12"/>
      <c r="AE863" s="12"/>
      <c r="AF863" s="12"/>
    </row>
    <row r="864" spans="1:32" ht="13.2">
      <c r="A864" s="8"/>
      <c r="B864" s="8"/>
      <c r="C864" s="8"/>
      <c r="D864" s="8"/>
      <c r="E864" s="8"/>
      <c r="F864" s="8"/>
      <c r="G864" s="9"/>
      <c r="H864" s="8"/>
      <c r="I864" s="8"/>
      <c r="J864" s="8"/>
      <c r="K864" s="8"/>
      <c r="L864" s="8"/>
      <c r="M864" s="8"/>
      <c r="N864" s="8"/>
      <c r="O864" s="8"/>
      <c r="P864" s="8"/>
      <c r="Q864" s="8"/>
      <c r="R864" s="8"/>
      <c r="S864" s="8"/>
      <c r="T864" s="8"/>
      <c r="U864" s="12"/>
      <c r="V864" s="12"/>
      <c r="W864" s="12"/>
      <c r="X864" s="12"/>
      <c r="Y864" s="12"/>
      <c r="Z864" s="12"/>
      <c r="AA864" s="12"/>
      <c r="AB864" s="12"/>
      <c r="AC864" s="12"/>
      <c r="AD864" s="12"/>
      <c r="AE864" s="12"/>
      <c r="AF864" s="12"/>
    </row>
    <row r="865" spans="1:32" ht="13.2">
      <c r="A865" s="8"/>
      <c r="B865" s="8"/>
      <c r="C865" s="8"/>
      <c r="D865" s="8"/>
      <c r="E865" s="8"/>
      <c r="F865" s="8"/>
      <c r="G865" s="9"/>
      <c r="H865" s="8"/>
      <c r="I865" s="8"/>
      <c r="J865" s="8"/>
      <c r="K865" s="8"/>
      <c r="L865" s="8"/>
      <c r="M865" s="8"/>
      <c r="N865" s="8"/>
      <c r="O865" s="8"/>
      <c r="P865" s="8"/>
      <c r="Q865" s="8"/>
      <c r="R865" s="8"/>
      <c r="S865" s="8"/>
      <c r="T865" s="8"/>
      <c r="U865" s="12"/>
      <c r="V865" s="12"/>
      <c r="W865" s="12"/>
      <c r="X865" s="12"/>
      <c r="Y865" s="12"/>
      <c r="Z865" s="12"/>
      <c r="AA865" s="12"/>
      <c r="AB865" s="12"/>
      <c r="AC865" s="12"/>
      <c r="AD865" s="12"/>
      <c r="AE865" s="12"/>
      <c r="AF865" s="12"/>
    </row>
    <row r="866" spans="1:32" ht="13.2">
      <c r="A866" s="8"/>
      <c r="B866" s="8"/>
      <c r="C866" s="8"/>
      <c r="D866" s="8"/>
      <c r="E866" s="8"/>
      <c r="F866" s="8"/>
      <c r="G866" s="9"/>
      <c r="H866" s="8"/>
      <c r="I866" s="8"/>
      <c r="J866" s="8"/>
      <c r="K866" s="8"/>
      <c r="L866" s="8"/>
      <c r="M866" s="8"/>
      <c r="N866" s="8"/>
      <c r="O866" s="8"/>
      <c r="P866" s="8"/>
      <c r="Q866" s="8"/>
      <c r="R866" s="8"/>
      <c r="S866" s="8"/>
      <c r="T866" s="8"/>
      <c r="U866" s="12"/>
      <c r="V866" s="12"/>
      <c r="W866" s="12"/>
      <c r="X866" s="12"/>
      <c r="Y866" s="12"/>
      <c r="Z866" s="12"/>
      <c r="AA866" s="12"/>
      <c r="AB866" s="12"/>
      <c r="AC866" s="12"/>
      <c r="AD866" s="12"/>
      <c r="AE866" s="12"/>
      <c r="AF866" s="12"/>
    </row>
    <row r="867" spans="1:32" ht="13.2">
      <c r="A867" s="8"/>
      <c r="B867" s="8"/>
      <c r="C867" s="8"/>
      <c r="D867" s="8"/>
      <c r="E867" s="8"/>
      <c r="F867" s="8"/>
      <c r="G867" s="9"/>
      <c r="H867" s="8"/>
      <c r="I867" s="8"/>
      <c r="J867" s="8"/>
      <c r="K867" s="8"/>
      <c r="L867" s="8"/>
      <c r="M867" s="8"/>
      <c r="N867" s="8"/>
      <c r="O867" s="8"/>
      <c r="P867" s="8"/>
      <c r="Q867" s="8"/>
      <c r="R867" s="8"/>
      <c r="S867" s="8"/>
      <c r="T867" s="8"/>
      <c r="U867" s="12"/>
      <c r="V867" s="12"/>
      <c r="W867" s="12"/>
      <c r="X867" s="12"/>
      <c r="Y867" s="12"/>
      <c r="Z867" s="12"/>
      <c r="AA867" s="12"/>
      <c r="AB867" s="12"/>
      <c r="AC867" s="12"/>
      <c r="AD867" s="12"/>
      <c r="AE867" s="12"/>
      <c r="AF867" s="12"/>
    </row>
    <row r="868" spans="1:32" ht="13.2">
      <c r="A868" s="8"/>
      <c r="B868" s="8"/>
      <c r="C868" s="8"/>
      <c r="D868" s="8"/>
      <c r="E868" s="8"/>
      <c r="F868" s="8"/>
      <c r="G868" s="9"/>
      <c r="H868" s="8"/>
      <c r="I868" s="8"/>
      <c r="J868" s="8"/>
      <c r="K868" s="8"/>
      <c r="L868" s="8"/>
      <c r="M868" s="8"/>
      <c r="N868" s="8"/>
      <c r="O868" s="8"/>
      <c r="P868" s="8"/>
      <c r="Q868" s="8"/>
      <c r="R868" s="8"/>
      <c r="S868" s="8"/>
      <c r="T868" s="8"/>
      <c r="U868" s="12"/>
      <c r="V868" s="12"/>
      <c r="W868" s="12"/>
      <c r="X868" s="12"/>
      <c r="Y868" s="12"/>
      <c r="Z868" s="12"/>
      <c r="AA868" s="12"/>
      <c r="AB868" s="12"/>
      <c r="AC868" s="12"/>
      <c r="AD868" s="12"/>
      <c r="AE868" s="12"/>
      <c r="AF868" s="12"/>
    </row>
    <row r="869" spans="1:32" ht="13.2">
      <c r="A869" s="8"/>
      <c r="B869" s="8"/>
      <c r="C869" s="8"/>
      <c r="D869" s="8"/>
      <c r="E869" s="8"/>
      <c r="F869" s="8"/>
      <c r="G869" s="9"/>
      <c r="H869" s="8"/>
      <c r="I869" s="8"/>
      <c r="J869" s="8"/>
      <c r="K869" s="8"/>
      <c r="L869" s="8"/>
      <c r="M869" s="8"/>
      <c r="N869" s="8"/>
      <c r="O869" s="8"/>
      <c r="P869" s="8"/>
      <c r="Q869" s="8"/>
      <c r="R869" s="8"/>
      <c r="S869" s="8"/>
      <c r="T869" s="8"/>
      <c r="U869" s="12"/>
      <c r="V869" s="12"/>
      <c r="W869" s="12"/>
      <c r="X869" s="12"/>
      <c r="Y869" s="12"/>
      <c r="Z869" s="12"/>
      <c r="AA869" s="12"/>
      <c r="AB869" s="12"/>
      <c r="AC869" s="12"/>
      <c r="AD869" s="12"/>
      <c r="AE869" s="12"/>
      <c r="AF869" s="12"/>
    </row>
    <row r="870" spans="1:32" ht="13.2">
      <c r="A870" s="8"/>
      <c r="B870" s="8"/>
      <c r="C870" s="8"/>
      <c r="D870" s="8"/>
      <c r="E870" s="8"/>
      <c r="F870" s="8"/>
      <c r="G870" s="9"/>
      <c r="H870" s="8"/>
      <c r="I870" s="8"/>
      <c r="J870" s="8"/>
      <c r="K870" s="8"/>
      <c r="L870" s="8"/>
      <c r="M870" s="8"/>
      <c r="N870" s="8"/>
      <c r="O870" s="8"/>
      <c r="P870" s="8"/>
      <c r="Q870" s="8"/>
      <c r="R870" s="8"/>
      <c r="S870" s="8"/>
      <c r="T870" s="8"/>
      <c r="U870" s="12"/>
      <c r="V870" s="12"/>
      <c r="W870" s="12"/>
      <c r="X870" s="12"/>
      <c r="Y870" s="12"/>
      <c r="Z870" s="12"/>
      <c r="AA870" s="12"/>
      <c r="AB870" s="12"/>
      <c r="AC870" s="12"/>
      <c r="AD870" s="12"/>
      <c r="AE870" s="12"/>
      <c r="AF870" s="12"/>
    </row>
    <row r="871" spans="1:32" ht="13.2">
      <c r="A871" s="8"/>
      <c r="B871" s="8"/>
      <c r="C871" s="8"/>
      <c r="D871" s="8"/>
      <c r="E871" s="8"/>
      <c r="F871" s="8"/>
      <c r="G871" s="9"/>
      <c r="H871" s="8"/>
      <c r="I871" s="8"/>
      <c r="J871" s="8"/>
      <c r="K871" s="8"/>
      <c r="L871" s="8"/>
      <c r="M871" s="8"/>
      <c r="N871" s="8"/>
      <c r="O871" s="8"/>
      <c r="P871" s="8"/>
      <c r="Q871" s="8"/>
      <c r="R871" s="8"/>
      <c r="S871" s="8"/>
      <c r="T871" s="8"/>
      <c r="U871" s="12"/>
      <c r="V871" s="12"/>
      <c r="W871" s="12"/>
      <c r="X871" s="12"/>
      <c r="Y871" s="12"/>
      <c r="Z871" s="12"/>
      <c r="AA871" s="12"/>
      <c r="AB871" s="12"/>
      <c r="AC871" s="12"/>
      <c r="AD871" s="12"/>
      <c r="AE871" s="12"/>
      <c r="AF871" s="12"/>
    </row>
    <row r="872" spans="1:32" ht="13.2">
      <c r="A872" s="8"/>
      <c r="B872" s="8"/>
      <c r="C872" s="8"/>
      <c r="D872" s="8"/>
      <c r="E872" s="8"/>
      <c r="F872" s="8"/>
      <c r="G872" s="9"/>
      <c r="H872" s="8"/>
      <c r="I872" s="8"/>
      <c r="J872" s="8"/>
      <c r="K872" s="8"/>
      <c r="L872" s="8"/>
      <c r="M872" s="8"/>
      <c r="N872" s="8"/>
      <c r="O872" s="8"/>
      <c r="P872" s="8"/>
      <c r="Q872" s="8"/>
      <c r="R872" s="8"/>
      <c r="S872" s="8"/>
      <c r="T872" s="8"/>
      <c r="U872" s="12"/>
      <c r="V872" s="12"/>
      <c r="W872" s="12"/>
      <c r="X872" s="12"/>
      <c r="Y872" s="12"/>
      <c r="Z872" s="12"/>
      <c r="AA872" s="12"/>
      <c r="AB872" s="12"/>
      <c r="AC872" s="12"/>
      <c r="AD872" s="12"/>
      <c r="AE872" s="12"/>
      <c r="AF872" s="12"/>
    </row>
    <row r="873" spans="1:32" ht="13.2">
      <c r="A873" s="8"/>
      <c r="B873" s="8"/>
      <c r="C873" s="8"/>
      <c r="D873" s="8"/>
      <c r="E873" s="8"/>
      <c r="F873" s="8"/>
      <c r="G873" s="9"/>
      <c r="H873" s="8"/>
      <c r="I873" s="8"/>
      <c r="J873" s="8"/>
      <c r="K873" s="8"/>
      <c r="L873" s="8"/>
      <c r="M873" s="8"/>
      <c r="N873" s="8"/>
      <c r="O873" s="8"/>
      <c r="P873" s="8"/>
      <c r="Q873" s="8"/>
      <c r="R873" s="8"/>
      <c r="S873" s="8"/>
      <c r="T873" s="8"/>
      <c r="U873" s="12"/>
      <c r="V873" s="12"/>
      <c r="W873" s="12"/>
      <c r="X873" s="12"/>
      <c r="Y873" s="12"/>
      <c r="Z873" s="12"/>
      <c r="AA873" s="12"/>
      <c r="AB873" s="12"/>
      <c r="AC873" s="12"/>
      <c r="AD873" s="12"/>
      <c r="AE873" s="12"/>
      <c r="AF873" s="12"/>
    </row>
    <row r="874" spans="1:32" ht="13.2">
      <c r="A874" s="8"/>
      <c r="B874" s="8"/>
      <c r="C874" s="8"/>
      <c r="D874" s="8"/>
      <c r="E874" s="8"/>
      <c r="F874" s="8"/>
      <c r="G874" s="9"/>
      <c r="H874" s="8"/>
      <c r="I874" s="8"/>
      <c r="J874" s="8"/>
      <c r="K874" s="8"/>
      <c r="L874" s="8"/>
      <c r="M874" s="8"/>
      <c r="N874" s="8"/>
      <c r="O874" s="8"/>
      <c r="P874" s="8"/>
      <c r="Q874" s="8"/>
      <c r="R874" s="8"/>
      <c r="S874" s="8"/>
      <c r="T874" s="8"/>
      <c r="U874" s="12"/>
      <c r="V874" s="12"/>
      <c r="W874" s="12"/>
      <c r="X874" s="12"/>
      <c r="Y874" s="12"/>
      <c r="Z874" s="12"/>
      <c r="AA874" s="12"/>
      <c r="AB874" s="12"/>
      <c r="AC874" s="12"/>
      <c r="AD874" s="12"/>
      <c r="AE874" s="12"/>
      <c r="AF874" s="12"/>
    </row>
    <row r="875" spans="1:32" ht="13.2">
      <c r="A875" s="8"/>
      <c r="B875" s="8"/>
      <c r="C875" s="8"/>
      <c r="D875" s="8"/>
      <c r="E875" s="8"/>
      <c r="F875" s="8"/>
      <c r="G875" s="9"/>
      <c r="H875" s="8"/>
      <c r="I875" s="8"/>
      <c r="J875" s="8"/>
      <c r="K875" s="8"/>
      <c r="L875" s="8"/>
      <c r="M875" s="8"/>
      <c r="N875" s="8"/>
      <c r="O875" s="8"/>
      <c r="P875" s="8"/>
      <c r="Q875" s="8"/>
      <c r="R875" s="8"/>
      <c r="S875" s="8"/>
      <c r="T875" s="8"/>
      <c r="U875" s="12"/>
      <c r="V875" s="12"/>
      <c r="W875" s="12"/>
      <c r="X875" s="12"/>
      <c r="Y875" s="12"/>
      <c r="Z875" s="12"/>
      <c r="AA875" s="12"/>
      <c r="AB875" s="12"/>
      <c r="AC875" s="12"/>
      <c r="AD875" s="12"/>
      <c r="AE875" s="12"/>
      <c r="AF875" s="12"/>
    </row>
    <row r="876" spans="1:32" ht="13.2">
      <c r="A876" s="8"/>
      <c r="B876" s="8"/>
      <c r="C876" s="8"/>
      <c r="D876" s="8"/>
      <c r="E876" s="8"/>
      <c r="F876" s="8"/>
      <c r="G876" s="9"/>
      <c r="H876" s="8"/>
      <c r="I876" s="8"/>
      <c r="J876" s="8"/>
      <c r="K876" s="8"/>
      <c r="L876" s="8"/>
      <c r="M876" s="8"/>
      <c r="N876" s="8"/>
      <c r="O876" s="8"/>
      <c r="P876" s="8"/>
      <c r="Q876" s="8"/>
      <c r="R876" s="8"/>
      <c r="S876" s="8"/>
      <c r="T876" s="8"/>
      <c r="U876" s="12"/>
      <c r="V876" s="12"/>
      <c r="W876" s="12"/>
      <c r="X876" s="12"/>
      <c r="Y876" s="12"/>
      <c r="Z876" s="12"/>
      <c r="AA876" s="12"/>
      <c r="AB876" s="12"/>
      <c r="AC876" s="12"/>
      <c r="AD876" s="12"/>
      <c r="AE876" s="12"/>
      <c r="AF876" s="12"/>
    </row>
    <row r="877" spans="1:32" ht="13.2">
      <c r="A877" s="8"/>
      <c r="B877" s="8"/>
      <c r="C877" s="8"/>
      <c r="D877" s="8"/>
      <c r="E877" s="8"/>
      <c r="F877" s="8"/>
      <c r="G877" s="9"/>
      <c r="H877" s="8"/>
      <c r="I877" s="8"/>
      <c r="J877" s="8"/>
      <c r="K877" s="8"/>
      <c r="L877" s="8"/>
      <c r="M877" s="8"/>
      <c r="N877" s="8"/>
      <c r="O877" s="8"/>
      <c r="P877" s="8"/>
      <c r="Q877" s="8"/>
      <c r="R877" s="8"/>
      <c r="S877" s="8"/>
      <c r="T877" s="8"/>
      <c r="U877" s="12"/>
      <c r="V877" s="12"/>
      <c r="W877" s="12"/>
      <c r="X877" s="12"/>
      <c r="Y877" s="12"/>
      <c r="Z877" s="12"/>
      <c r="AA877" s="12"/>
      <c r="AB877" s="12"/>
      <c r="AC877" s="12"/>
      <c r="AD877" s="12"/>
      <c r="AE877" s="12"/>
      <c r="AF877" s="12"/>
    </row>
    <row r="878" spans="1:32" ht="13.2">
      <c r="A878" s="8"/>
      <c r="B878" s="8"/>
      <c r="C878" s="8"/>
      <c r="D878" s="8"/>
      <c r="E878" s="8"/>
      <c r="F878" s="8"/>
      <c r="G878" s="9"/>
      <c r="H878" s="8"/>
      <c r="I878" s="8"/>
      <c r="J878" s="8"/>
      <c r="K878" s="8"/>
      <c r="L878" s="8"/>
      <c r="M878" s="8"/>
      <c r="N878" s="8"/>
      <c r="O878" s="8"/>
      <c r="P878" s="8"/>
      <c r="Q878" s="8"/>
      <c r="R878" s="8"/>
      <c r="S878" s="8"/>
      <c r="T878" s="8"/>
      <c r="U878" s="12"/>
      <c r="V878" s="12"/>
      <c r="W878" s="12"/>
      <c r="X878" s="12"/>
      <c r="Y878" s="12"/>
      <c r="Z878" s="12"/>
      <c r="AA878" s="12"/>
      <c r="AB878" s="12"/>
      <c r="AC878" s="12"/>
      <c r="AD878" s="12"/>
      <c r="AE878" s="12"/>
      <c r="AF878" s="12"/>
    </row>
    <row r="879" spans="1:32" ht="13.2">
      <c r="A879" s="8"/>
      <c r="B879" s="8"/>
      <c r="C879" s="8"/>
      <c r="D879" s="8"/>
      <c r="E879" s="8"/>
      <c r="F879" s="8"/>
      <c r="G879" s="9"/>
      <c r="H879" s="8"/>
      <c r="I879" s="8"/>
      <c r="J879" s="8"/>
      <c r="K879" s="8"/>
      <c r="L879" s="8"/>
      <c r="M879" s="8"/>
      <c r="N879" s="8"/>
      <c r="O879" s="8"/>
      <c r="P879" s="8"/>
      <c r="Q879" s="8"/>
      <c r="R879" s="8"/>
      <c r="S879" s="8"/>
      <c r="T879" s="8"/>
      <c r="U879" s="12"/>
      <c r="V879" s="12"/>
      <c r="W879" s="12"/>
      <c r="X879" s="12"/>
      <c r="Y879" s="12"/>
      <c r="Z879" s="12"/>
      <c r="AA879" s="12"/>
      <c r="AB879" s="12"/>
      <c r="AC879" s="12"/>
      <c r="AD879" s="12"/>
      <c r="AE879" s="12"/>
      <c r="AF879" s="12"/>
    </row>
    <row r="880" spans="1:32" ht="13.2">
      <c r="A880" s="8"/>
      <c r="B880" s="8"/>
      <c r="C880" s="8"/>
      <c r="D880" s="8"/>
      <c r="E880" s="8"/>
      <c r="F880" s="8"/>
      <c r="G880" s="9"/>
      <c r="H880" s="8"/>
      <c r="I880" s="8"/>
      <c r="J880" s="8"/>
      <c r="K880" s="8"/>
      <c r="L880" s="8"/>
      <c r="M880" s="8"/>
      <c r="N880" s="8"/>
      <c r="O880" s="8"/>
      <c r="P880" s="8"/>
      <c r="Q880" s="8"/>
      <c r="R880" s="8"/>
      <c r="S880" s="8"/>
      <c r="T880" s="8"/>
      <c r="U880" s="12"/>
      <c r="V880" s="12"/>
      <c r="W880" s="12"/>
      <c r="X880" s="12"/>
      <c r="Y880" s="12"/>
      <c r="Z880" s="12"/>
      <c r="AA880" s="12"/>
      <c r="AB880" s="12"/>
      <c r="AC880" s="12"/>
      <c r="AD880" s="12"/>
      <c r="AE880" s="12"/>
      <c r="AF880" s="12"/>
    </row>
    <row r="881" spans="1:32" ht="13.2">
      <c r="A881" s="8"/>
      <c r="B881" s="8"/>
      <c r="C881" s="8"/>
      <c r="D881" s="8"/>
      <c r="E881" s="8"/>
      <c r="F881" s="8"/>
      <c r="G881" s="9"/>
      <c r="H881" s="8"/>
      <c r="I881" s="8"/>
      <c r="J881" s="8"/>
      <c r="K881" s="8"/>
      <c r="L881" s="8"/>
      <c r="M881" s="8"/>
      <c r="N881" s="8"/>
      <c r="O881" s="8"/>
      <c r="P881" s="8"/>
      <c r="Q881" s="8"/>
      <c r="R881" s="8"/>
      <c r="S881" s="8"/>
      <c r="T881" s="8"/>
      <c r="U881" s="12"/>
      <c r="V881" s="12"/>
      <c r="W881" s="12"/>
      <c r="X881" s="12"/>
      <c r="Y881" s="12"/>
      <c r="Z881" s="12"/>
      <c r="AA881" s="12"/>
      <c r="AB881" s="12"/>
      <c r="AC881" s="12"/>
      <c r="AD881" s="12"/>
      <c r="AE881" s="12"/>
      <c r="AF881" s="12"/>
    </row>
    <row r="882" spans="1:32" ht="13.2">
      <c r="A882" s="8"/>
      <c r="B882" s="8"/>
      <c r="C882" s="8"/>
      <c r="D882" s="8"/>
      <c r="E882" s="8"/>
      <c r="F882" s="8"/>
      <c r="G882" s="9"/>
      <c r="H882" s="8"/>
      <c r="I882" s="8"/>
      <c r="J882" s="8"/>
      <c r="K882" s="8"/>
      <c r="L882" s="8"/>
      <c r="M882" s="8"/>
      <c r="N882" s="8"/>
      <c r="O882" s="8"/>
      <c r="P882" s="8"/>
      <c r="Q882" s="8"/>
      <c r="R882" s="8"/>
      <c r="S882" s="8"/>
      <c r="T882" s="8"/>
      <c r="U882" s="12"/>
      <c r="V882" s="12"/>
      <c r="W882" s="12"/>
      <c r="X882" s="12"/>
      <c r="Y882" s="12"/>
      <c r="Z882" s="12"/>
      <c r="AA882" s="12"/>
      <c r="AB882" s="12"/>
      <c r="AC882" s="12"/>
      <c r="AD882" s="12"/>
      <c r="AE882" s="12"/>
      <c r="AF882" s="12"/>
    </row>
    <row r="883" spans="1:32" ht="13.2">
      <c r="A883" s="8"/>
      <c r="B883" s="8"/>
      <c r="C883" s="8"/>
      <c r="D883" s="8"/>
      <c r="E883" s="8"/>
      <c r="F883" s="8"/>
      <c r="G883" s="9"/>
      <c r="H883" s="8"/>
      <c r="I883" s="8"/>
      <c r="J883" s="8"/>
      <c r="K883" s="8"/>
      <c r="L883" s="8"/>
      <c r="M883" s="8"/>
      <c r="N883" s="8"/>
      <c r="O883" s="8"/>
      <c r="P883" s="8"/>
      <c r="Q883" s="8"/>
      <c r="R883" s="8"/>
      <c r="S883" s="8"/>
      <c r="T883" s="8"/>
      <c r="U883" s="12"/>
      <c r="V883" s="12"/>
      <c r="W883" s="12"/>
      <c r="X883" s="12"/>
      <c r="Y883" s="12"/>
      <c r="Z883" s="12"/>
      <c r="AA883" s="12"/>
      <c r="AB883" s="12"/>
      <c r="AC883" s="12"/>
      <c r="AD883" s="12"/>
      <c r="AE883" s="12"/>
      <c r="AF883" s="12"/>
    </row>
    <row r="884" spans="1:32" ht="13.2">
      <c r="A884" s="8"/>
      <c r="B884" s="8"/>
      <c r="C884" s="8"/>
      <c r="D884" s="8"/>
      <c r="E884" s="8"/>
      <c r="F884" s="8"/>
      <c r="G884" s="9"/>
      <c r="H884" s="8"/>
      <c r="I884" s="8"/>
      <c r="J884" s="8"/>
      <c r="K884" s="8"/>
      <c r="L884" s="8"/>
      <c r="M884" s="8"/>
      <c r="N884" s="8"/>
      <c r="O884" s="8"/>
      <c r="P884" s="8"/>
      <c r="Q884" s="8"/>
      <c r="R884" s="8"/>
      <c r="S884" s="8"/>
      <c r="T884" s="8"/>
      <c r="U884" s="12"/>
      <c r="V884" s="12"/>
      <c r="W884" s="12"/>
      <c r="X884" s="12"/>
      <c r="Y884" s="12"/>
      <c r="Z884" s="12"/>
      <c r="AA884" s="12"/>
      <c r="AB884" s="12"/>
      <c r="AC884" s="12"/>
      <c r="AD884" s="12"/>
      <c r="AE884" s="12"/>
      <c r="AF884" s="12"/>
    </row>
    <row r="885" spans="1:32" ht="13.2">
      <c r="A885" s="8"/>
      <c r="B885" s="8"/>
      <c r="C885" s="8"/>
      <c r="D885" s="8"/>
      <c r="E885" s="8"/>
      <c r="F885" s="8"/>
      <c r="G885" s="9"/>
      <c r="H885" s="8"/>
      <c r="I885" s="8"/>
      <c r="J885" s="8"/>
      <c r="K885" s="8"/>
      <c r="L885" s="8"/>
      <c r="M885" s="8"/>
      <c r="N885" s="8"/>
      <c r="O885" s="8"/>
      <c r="P885" s="8"/>
      <c r="Q885" s="8"/>
      <c r="R885" s="8"/>
      <c r="S885" s="8"/>
      <c r="T885" s="8"/>
      <c r="U885" s="12"/>
      <c r="V885" s="12"/>
      <c r="W885" s="12"/>
      <c r="X885" s="12"/>
      <c r="Y885" s="12"/>
      <c r="Z885" s="12"/>
      <c r="AA885" s="12"/>
      <c r="AB885" s="12"/>
      <c r="AC885" s="12"/>
      <c r="AD885" s="12"/>
      <c r="AE885" s="12"/>
      <c r="AF885" s="12"/>
    </row>
    <row r="886" spans="1:32" ht="13.2">
      <c r="A886" s="8"/>
      <c r="B886" s="8"/>
      <c r="C886" s="8"/>
      <c r="D886" s="8"/>
      <c r="E886" s="8"/>
      <c r="F886" s="8"/>
      <c r="G886" s="9"/>
      <c r="H886" s="8"/>
      <c r="I886" s="8"/>
      <c r="J886" s="8"/>
      <c r="K886" s="8"/>
      <c r="L886" s="8"/>
      <c r="M886" s="8"/>
      <c r="N886" s="8"/>
      <c r="O886" s="8"/>
      <c r="P886" s="8"/>
      <c r="Q886" s="8"/>
      <c r="R886" s="8"/>
      <c r="S886" s="8"/>
      <c r="T886" s="8"/>
      <c r="U886" s="12"/>
      <c r="V886" s="12"/>
      <c r="W886" s="12"/>
      <c r="X886" s="12"/>
      <c r="Y886" s="12"/>
      <c r="Z886" s="12"/>
      <c r="AA886" s="12"/>
      <c r="AB886" s="12"/>
      <c r="AC886" s="12"/>
      <c r="AD886" s="12"/>
      <c r="AE886" s="12"/>
      <c r="AF886" s="12"/>
    </row>
    <row r="887" spans="1:32" ht="13.2">
      <c r="A887" s="8"/>
      <c r="B887" s="8"/>
      <c r="C887" s="8"/>
      <c r="D887" s="8"/>
      <c r="E887" s="8"/>
      <c r="F887" s="8"/>
      <c r="G887" s="9"/>
      <c r="H887" s="8"/>
      <c r="I887" s="8"/>
      <c r="J887" s="8"/>
      <c r="K887" s="8"/>
      <c r="L887" s="8"/>
      <c r="M887" s="8"/>
      <c r="N887" s="8"/>
      <c r="O887" s="8"/>
      <c r="P887" s="8"/>
      <c r="Q887" s="8"/>
      <c r="R887" s="8"/>
      <c r="S887" s="8"/>
      <c r="T887" s="8"/>
      <c r="U887" s="12"/>
      <c r="V887" s="12"/>
      <c r="W887" s="12"/>
      <c r="X887" s="12"/>
      <c r="Y887" s="12"/>
      <c r="Z887" s="12"/>
      <c r="AA887" s="12"/>
      <c r="AB887" s="12"/>
      <c r="AC887" s="12"/>
      <c r="AD887" s="12"/>
      <c r="AE887" s="12"/>
      <c r="AF887" s="12"/>
    </row>
    <row r="888" spans="1:32" ht="13.2">
      <c r="A888" s="8"/>
      <c r="B888" s="8"/>
      <c r="C888" s="8"/>
      <c r="D888" s="8"/>
      <c r="E888" s="8"/>
      <c r="F888" s="8"/>
      <c r="G888" s="9"/>
      <c r="H888" s="8"/>
      <c r="I888" s="8"/>
      <c r="J888" s="8"/>
      <c r="K888" s="8"/>
      <c r="L888" s="8"/>
      <c r="M888" s="8"/>
      <c r="N888" s="8"/>
      <c r="O888" s="8"/>
      <c r="P888" s="8"/>
      <c r="Q888" s="8"/>
      <c r="R888" s="8"/>
      <c r="S888" s="8"/>
      <c r="T888" s="8"/>
      <c r="U888" s="12"/>
      <c r="V888" s="12"/>
      <c r="W888" s="12"/>
      <c r="X888" s="12"/>
      <c r="Y888" s="12"/>
      <c r="Z888" s="12"/>
      <c r="AA888" s="12"/>
      <c r="AB888" s="12"/>
      <c r="AC888" s="12"/>
      <c r="AD888" s="12"/>
      <c r="AE888" s="12"/>
      <c r="AF888" s="12"/>
    </row>
    <row r="889" spans="1:32" ht="13.2">
      <c r="A889" s="8"/>
      <c r="B889" s="8"/>
      <c r="C889" s="8"/>
      <c r="D889" s="8"/>
      <c r="E889" s="8"/>
      <c r="F889" s="8"/>
      <c r="G889" s="9"/>
      <c r="H889" s="8"/>
      <c r="I889" s="8"/>
      <c r="J889" s="8"/>
      <c r="K889" s="8"/>
      <c r="L889" s="8"/>
      <c r="M889" s="8"/>
      <c r="N889" s="8"/>
      <c r="O889" s="8"/>
      <c r="P889" s="8"/>
      <c r="Q889" s="8"/>
      <c r="R889" s="8"/>
      <c r="S889" s="8"/>
      <c r="T889" s="8"/>
      <c r="U889" s="12"/>
      <c r="V889" s="12"/>
      <c r="W889" s="12"/>
      <c r="X889" s="12"/>
      <c r="Y889" s="12"/>
      <c r="Z889" s="12"/>
      <c r="AA889" s="12"/>
      <c r="AB889" s="12"/>
      <c r="AC889" s="12"/>
      <c r="AD889" s="12"/>
      <c r="AE889" s="12"/>
      <c r="AF889" s="12"/>
    </row>
    <row r="890" spans="1:32" ht="13.2">
      <c r="A890" s="8"/>
      <c r="B890" s="8"/>
      <c r="C890" s="8"/>
      <c r="D890" s="8"/>
      <c r="E890" s="8"/>
      <c r="F890" s="8"/>
      <c r="G890" s="9"/>
      <c r="H890" s="8"/>
      <c r="I890" s="8"/>
      <c r="J890" s="8"/>
      <c r="K890" s="8"/>
      <c r="L890" s="8"/>
      <c r="M890" s="8"/>
      <c r="N890" s="8"/>
      <c r="O890" s="8"/>
      <c r="P890" s="8"/>
      <c r="Q890" s="8"/>
      <c r="R890" s="8"/>
      <c r="S890" s="8"/>
      <c r="T890" s="8"/>
      <c r="U890" s="12"/>
      <c r="V890" s="12"/>
      <c r="W890" s="12"/>
      <c r="X890" s="12"/>
      <c r="Y890" s="12"/>
      <c r="Z890" s="12"/>
      <c r="AA890" s="12"/>
      <c r="AB890" s="12"/>
      <c r="AC890" s="12"/>
      <c r="AD890" s="12"/>
      <c r="AE890" s="12"/>
      <c r="AF890" s="12"/>
    </row>
    <row r="891" spans="1:32" ht="13.2">
      <c r="A891" s="8"/>
      <c r="B891" s="8"/>
      <c r="C891" s="8"/>
      <c r="D891" s="8"/>
      <c r="E891" s="8"/>
      <c r="F891" s="8"/>
      <c r="G891" s="9"/>
      <c r="H891" s="8"/>
      <c r="I891" s="8"/>
      <c r="J891" s="8"/>
      <c r="K891" s="8"/>
      <c r="L891" s="8"/>
      <c r="M891" s="8"/>
      <c r="N891" s="8"/>
      <c r="O891" s="8"/>
      <c r="P891" s="8"/>
      <c r="Q891" s="8"/>
      <c r="R891" s="8"/>
      <c r="S891" s="8"/>
      <c r="T891" s="8"/>
      <c r="U891" s="12"/>
      <c r="V891" s="12"/>
      <c r="W891" s="12"/>
      <c r="X891" s="12"/>
      <c r="Y891" s="12"/>
      <c r="Z891" s="12"/>
      <c r="AA891" s="12"/>
      <c r="AB891" s="12"/>
      <c r="AC891" s="12"/>
      <c r="AD891" s="12"/>
      <c r="AE891" s="12"/>
      <c r="AF891" s="12"/>
    </row>
    <row r="892" spans="1:32" ht="13.2">
      <c r="A892" s="8"/>
      <c r="B892" s="8"/>
      <c r="C892" s="8"/>
      <c r="D892" s="8"/>
      <c r="E892" s="8"/>
      <c r="F892" s="8"/>
      <c r="G892" s="9"/>
      <c r="H892" s="8"/>
      <c r="I892" s="8"/>
      <c r="J892" s="8"/>
      <c r="K892" s="8"/>
      <c r="L892" s="8"/>
      <c r="M892" s="8"/>
      <c r="N892" s="8"/>
      <c r="O892" s="8"/>
      <c r="P892" s="8"/>
      <c r="Q892" s="8"/>
      <c r="R892" s="8"/>
      <c r="S892" s="8"/>
      <c r="T892" s="8"/>
      <c r="U892" s="12"/>
      <c r="V892" s="12"/>
      <c r="W892" s="12"/>
      <c r="X892" s="12"/>
      <c r="Y892" s="12"/>
      <c r="Z892" s="12"/>
      <c r="AA892" s="12"/>
      <c r="AB892" s="12"/>
      <c r="AC892" s="12"/>
      <c r="AD892" s="12"/>
      <c r="AE892" s="12"/>
      <c r="AF892" s="12"/>
    </row>
    <row r="893" spans="1:32" ht="13.2">
      <c r="A893" s="8"/>
      <c r="B893" s="8"/>
      <c r="C893" s="8"/>
      <c r="D893" s="8"/>
      <c r="E893" s="8"/>
      <c r="F893" s="8"/>
      <c r="G893" s="9"/>
      <c r="H893" s="8"/>
      <c r="I893" s="8"/>
      <c r="J893" s="8"/>
      <c r="K893" s="8"/>
      <c r="L893" s="8"/>
      <c r="M893" s="8"/>
      <c r="N893" s="8"/>
      <c r="O893" s="8"/>
      <c r="P893" s="8"/>
      <c r="Q893" s="8"/>
      <c r="R893" s="8"/>
      <c r="S893" s="8"/>
      <c r="T893" s="8"/>
      <c r="U893" s="12"/>
      <c r="V893" s="12"/>
      <c r="W893" s="12"/>
      <c r="X893" s="12"/>
      <c r="Y893" s="12"/>
      <c r="Z893" s="12"/>
      <c r="AA893" s="12"/>
      <c r="AB893" s="12"/>
      <c r="AC893" s="12"/>
      <c r="AD893" s="12"/>
      <c r="AE893" s="12"/>
      <c r="AF893" s="12"/>
    </row>
    <row r="894" spans="1:32" ht="13.2">
      <c r="A894" s="8"/>
      <c r="B894" s="8"/>
      <c r="C894" s="8"/>
      <c r="D894" s="8"/>
      <c r="E894" s="8"/>
      <c r="F894" s="8"/>
      <c r="G894" s="9"/>
      <c r="H894" s="8"/>
      <c r="I894" s="8"/>
      <c r="J894" s="8"/>
      <c r="K894" s="8"/>
      <c r="L894" s="8"/>
      <c r="M894" s="8"/>
      <c r="N894" s="8"/>
      <c r="O894" s="8"/>
      <c r="P894" s="8"/>
      <c r="Q894" s="8"/>
      <c r="R894" s="8"/>
      <c r="S894" s="8"/>
      <c r="T894" s="8"/>
      <c r="U894" s="12"/>
      <c r="V894" s="12"/>
      <c r="W894" s="12"/>
      <c r="X894" s="12"/>
      <c r="Y894" s="12"/>
      <c r="Z894" s="12"/>
      <c r="AA894" s="12"/>
      <c r="AB894" s="12"/>
      <c r="AC894" s="12"/>
      <c r="AD894" s="12"/>
      <c r="AE894" s="12"/>
      <c r="AF894" s="12"/>
    </row>
    <row r="895" spans="1:32" ht="13.2">
      <c r="A895" s="8"/>
      <c r="B895" s="8"/>
      <c r="C895" s="8"/>
      <c r="D895" s="8"/>
      <c r="E895" s="8"/>
      <c r="F895" s="8"/>
      <c r="G895" s="9"/>
      <c r="H895" s="8"/>
      <c r="I895" s="8"/>
      <c r="J895" s="8"/>
      <c r="K895" s="8"/>
      <c r="L895" s="8"/>
      <c r="M895" s="8"/>
      <c r="N895" s="8"/>
      <c r="O895" s="8"/>
      <c r="P895" s="8"/>
      <c r="Q895" s="8"/>
      <c r="R895" s="8"/>
      <c r="S895" s="8"/>
      <c r="T895" s="8"/>
      <c r="U895" s="12"/>
      <c r="V895" s="12"/>
      <c r="W895" s="12"/>
      <c r="X895" s="12"/>
      <c r="Y895" s="12"/>
      <c r="Z895" s="12"/>
      <c r="AA895" s="12"/>
      <c r="AB895" s="12"/>
      <c r="AC895" s="12"/>
      <c r="AD895" s="12"/>
      <c r="AE895" s="12"/>
      <c r="AF895" s="12"/>
    </row>
    <row r="896" spans="1:32" ht="13.2">
      <c r="A896" s="8"/>
      <c r="B896" s="8"/>
      <c r="C896" s="8"/>
      <c r="D896" s="8"/>
      <c r="E896" s="8"/>
      <c r="F896" s="8"/>
      <c r="G896" s="9"/>
      <c r="H896" s="8"/>
      <c r="I896" s="8"/>
      <c r="J896" s="8"/>
      <c r="K896" s="8"/>
      <c r="L896" s="8"/>
      <c r="M896" s="8"/>
      <c r="N896" s="8"/>
      <c r="O896" s="8"/>
      <c r="P896" s="8"/>
      <c r="Q896" s="8"/>
      <c r="R896" s="8"/>
      <c r="S896" s="8"/>
      <c r="T896" s="8"/>
      <c r="U896" s="12"/>
      <c r="V896" s="12"/>
      <c r="W896" s="12"/>
      <c r="X896" s="12"/>
      <c r="Y896" s="12"/>
      <c r="Z896" s="12"/>
      <c r="AA896" s="12"/>
      <c r="AB896" s="12"/>
      <c r="AC896" s="12"/>
      <c r="AD896" s="12"/>
      <c r="AE896" s="12"/>
      <c r="AF896" s="12"/>
    </row>
    <row r="897" spans="1:32" ht="13.2">
      <c r="A897" s="8"/>
      <c r="B897" s="8"/>
      <c r="C897" s="8"/>
      <c r="D897" s="8"/>
      <c r="E897" s="8"/>
      <c r="F897" s="8"/>
      <c r="G897" s="9"/>
      <c r="H897" s="8"/>
      <c r="I897" s="8"/>
      <c r="J897" s="8"/>
      <c r="K897" s="8"/>
      <c r="L897" s="8"/>
      <c r="M897" s="8"/>
      <c r="N897" s="8"/>
      <c r="O897" s="8"/>
      <c r="P897" s="8"/>
      <c r="Q897" s="8"/>
      <c r="R897" s="8"/>
      <c r="S897" s="8"/>
      <c r="T897" s="8"/>
      <c r="U897" s="12"/>
      <c r="V897" s="12"/>
      <c r="W897" s="12"/>
      <c r="X897" s="12"/>
      <c r="Y897" s="12"/>
      <c r="Z897" s="12"/>
      <c r="AA897" s="12"/>
      <c r="AB897" s="12"/>
      <c r="AC897" s="12"/>
      <c r="AD897" s="12"/>
      <c r="AE897" s="12"/>
      <c r="AF897" s="12"/>
    </row>
    <row r="898" spans="1:32" ht="13.2">
      <c r="A898" s="8"/>
      <c r="B898" s="8"/>
      <c r="C898" s="8"/>
      <c r="D898" s="8"/>
      <c r="E898" s="8"/>
      <c r="F898" s="8"/>
      <c r="G898" s="9"/>
      <c r="H898" s="8"/>
      <c r="I898" s="8"/>
      <c r="J898" s="8"/>
      <c r="K898" s="8"/>
      <c r="L898" s="8"/>
      <c r="M898" s="8"/>
      <c r="N898" s="8"/>
      <c r="O898" s="8"/>
      <c r="P898" s="8"/>
      <c r="Q898" s="8"/>
      <c r="R898" s="8"/>
      <c r="S898" s="8"/>
      <c r="T898" s="8"/>
      <c r="U898" s="12"/>
      <c r="V898" s="12"/>
      <c r="W898" s="12"/>
      <c r="X898" s="12"/>
      <c r="Y898" s="12"/>
      <c r="Z898" s="12"/>
      <c r="AA898" s="12"/>
      <c r="AB898" s="12"/>
      <c r="AC898" s="12"/>
      <c r="AD898" s="12"/>
      <c r="AE898" s="12"/>
      <c r="AF898" s="12"/>
    </row>
    <row r="899" spans="1:32" ht="13.2">
      <c r="A899" s="8"/>
      <c r="B899" s="8"/>
      <c r="C899" s="8"/>
      <c r="D899" s="8"/>
      <c r="E899" s="8"/>
      <c r="F899" s="8"/>
      <c r="G899" s="9"/>
      <c r="H899" s="8"/>
      <c r="I899" s="8"/>
      <c r="J899" s="8"/>
      <c r="K899" s="8"/>
      <c r="L899" s="8"/>
      <c r="M899" s="8"/>
      <c r="N899" s="8"/>
      <c r="O899" s="8"/>
      <c r="P899" s="8"/>
      <c r="Q899" s="8"/>
      <c r="R899" s="8"/>
      <c r="S899" s="8"/>
      <c r="T899" s="8"/>
      <c r="U899" s="12"/>
      <c r="V899" s="12"/>
      <c r="W899" s="12"/>
      <c r="X899" s="12"/>
      <c r="Y899" s="12"/>
      <c r="Z899" s="12"/>
      <c r="AA899" s="12"/>
      <c r="AB899" s="12"/>
      <c r="AC899" s="12"/>
      <c r="AD899" s="12"/>
      <c r="AE899" s="12"/>
      <c r="AF899" s="12"/>
    </row>
    <row r="900" spans="1:32" ht="13.2">
      <c r="A900" s="8"/>
      <c r="B900" s="8"/>
      <c r="C900" s="8"/>
      <c r="D900" s="8"/>
      <c r="E900" s="8"/>
      <c r="F900" s="8"/>
      <c r="G900" s="9"/>
      <c r="H900" s="8"/>
      <c r="I900" s="8"/>
      <c r="J900" s="8"/>
      <c r="K900" s="8"/>
      <c r="L900" s="8"/>
      <c r="M900" s="8"/>
      <c r="N900" s="8"/>
      <c r="O900" s="8"/>
      <c r="P900" s="8"/>
      <c r="Q900" s="8"/>
      <c r="R900" s="8"/>
      <c r="S900" s="8"/>
      <c r="T900" s="8"/>
      <c r="U900" s="12"/>
      <c r="V900" s="12"/>
      <c r="W900" s="12"/>
      <c r="X900" s="12"/>
      <c r="Y900" s="12"/>
      <c r="Z900" s="12"/>
      <c r="AA900" s="12"/>
      <c r="AB900" s="12"/>
      <c r="AC900" s="12"/>
      <c r="AD900" s="12"/>
      <c r="AE900" s="12"/>
      <c r="AF900" s="12"/>
    </row>
    <row r="901" spans="1:32" ht="13.2">
      <c r="A901" s="8"/>
      <c r="B901" s="8"/>
      <c r="C901" s="8"/>
      <c r="D901" s="8"/>
      <c r="E901" s="8"/>
      <c r="F901" s="8"/>
      <c r="G901" s="9"/>
      <c r="H901" s="8"/>
      <c r="I901" s="8"/>
      <c r="J901" s="8"/>
      <c r="K901" s="8"/>
      <c r="L901" s="8"/>
      <c r="M901" s="8"/>
      <c r="N901" s="8"/>
      <c r="O901" s="8"/>
      <c r="P901" s="8"/>
      <c r="Q901" s="8"/>
      <c r="R901" s="8"/>
      <c r="S901" s="8"/>
      <c r="T901" s="8"/>
      <c r="U901" s="12"/>
      <c r="V901" s="12"/>
      <c r="W901" s="12"/>
      <c r="X901" s="12"/>
      <c r="Y901" s="12"/>
      <c r="Z901" s="12"/>
      <c r="AA901" s="12"/>
      <c r="AB901" s="12"/>
      <c r="AC901" s="12"/>
      <c r="AD901" s="12"/>
      <c r="AE901" s="12"/>
      <c r="AF901" s="12"/>
    </row>
    <row r="902" spans="1:32" ht="13.2">
      <c r="A902" s="8"/>
      <c r="B902" s="8"/>
      <c r="C902" s="8"/>
      <c r="D902" s="8"/>
      <c r="E902" s="8"/>
      <c r="F902" s="8"/>
      <c r="G902" s="9"/>
      <c r="H902" s="8"/>
      <c r="I902" s="8"/>
      <c r="J902" s="8"/>
      <c r="K902" s="8"/>
      <c r="L902" s="8"/>
      <c r="M902" s="8"/>
      <c r="N902" s="8"/>
      <c r="O902" s="8"/>
      <c r="P902" s="8"/>
      <c r="Q902" s="8"/>
      <c r="R902" s="8"/>
      <c r="S902" s="8"/>
      <c r="T902" s="8"/>
      <c r="U902" s="12"/>
      <c r="V902" s="12"/>
      <c r="W902" s="12"/>
      <c r="X902" s="12"/>
      <c r="Y902" s="12"/>
      <c r="Z902" s="12"/>
      <c r="AA902" s="12"/>
      <c r="AB902" s="12"/>
      <c r="AC902" s="12"/>
      <c r="AD902" s="12"/>
      <c r="AE902" s="12"/>
      <c r="AF902" s="12"/>
    </row>
    <row r="903" spans="1:32" ht="13.2">
      <c r="A903" s="8"/>
      <c r="B903" s="8"/>
      <c r="C903" s="8"/>
      <c r="D903" s="8"/>
      <c r="E903" s="8"/>
      <c r="F903" s="8"/>
      <c r="G903" s="9"/>
      <c r="H903" s="8"/>
      <c r="I903" s="8"/>
      <c r="J903" s="8"/>
      <c r="K903" s="8"/>
      <c r="L903" s="8"/>
      <c r="M903" s="8"/>
      <c r="N903" s="8"/>
      <c r="O903" s="8"/>
      <c r="P903" s="8"/>
      <c r="Q903" s="8"/>
      <c r="R903" s="8"/>
      <c r="S903" s="8"/>
      <c r="T903" s="8"/>
      <c r="U903" s="12"/>
      <c r="V903" s="12"/>
      <c r="W903" s="12"/>
      <c r="X903" s="12"/>
      <c r="Y903" s="12"/>
      <c r="Z903" s="12"/>
      <c r="AA903" s="12"/>
      <c r="AB903" s="12"/>
      <c r="AC903" s="12"/>
      <c r="AD903" s="12"/>
      <c r="AE903" s="12"/>
      <c r="AF903" s="12"/>
    </row>
    <row r="904" spans="1:32" ht="13.2">
      <c r="A904" s="8"/>
      <c r="B904" s="8"/>
      <c r="C904" s="8"/>
      <c r="D904" s="8"/>
      <c r="E904" s="8"/>
      <c r="F904" s="8"/>
      <c r="G904" s="9"/>
      <c r="H904" s="8"/>
      <c r="I904" s="8"/>
      <c r="J904" s="8"/>
      <c r="K904" s="8"/>
      <c r="L904" s="8"/>
      <c r="M904" s="8"/>
      <c r="N904" s="8"/>
      <c r="O904" s="8"/>
      <c r="P904" s="8"/>
      <c r="Q904" s="8"/>
      <c r="R904" s="8"/>
      <c r="S904" s="8"/>
      <c r="T904" s="8"/>
      <c r="U904" s="12"/>
      <c r="V904" s="12"/>
      <c r="W904" s="12"/>
      <c r="X904" s="12"/>
      <c r="Y904" s="12"/>
      <c r="Z904" s="12"/>
      <c r="AA904" s="12"/>
      <c r="AB904" s="12"/>
      <c r="AC904" s="12"/>
      <c r="AD904" s="12"/>
      <c r="AE904" s="12"/>
      <c r="AF904" s="12"/>
    </row>
    <row r="905" spans="1:32" ht="13.2">
      <c r="A905" s="8"/>
      <c r="B905" s="8"/>
      <c r="C905" s="8"/>
      <c r="D905" s="8"/>
      <c r="E905" s="8"/>
      <c r="F905" s="8"/>
      <c r="G905" s="9"/>
      <c r="H905" s="8"/>
      <c r="I905" s="8"/>
      <c r="J905" s="8"/>
      <c r="K905" s="8"/>
      <c r="L905" s="8"/>
      <c r="M905" s="8"/>
      <c r="N905" s="8"/>
      <c r="O905" s="8"/>
      <c r="P905" s="8"/>
      <c r="Q905" s="8"/>
      <c r="R905" s="8"/>
      <c r="S905" s="8"/>
      <c r="T905" s="8"/>
      <c r="U905" s="12"/>
      <c r="V905" s="12"/>
      <c r="W905" s="12"/>
      <c r="X905" s="12"/>
      <c r="Y905" s="12"/>
      <c r="Z905" s="12"/>
      <c r="AA905" s="12"/>
      <c r="AB905" s="12"/>
      <c r="AC905" s="12"/>
      <c r="AD905" s="12"/>
      <c r="AE905" s="12"/>
      <c r="AF905" s="12"/>
    </row>
    <row r="906" spans="1:32" ht="13.2">
      <c r="A906" s="8"/>
      <c r="B906" s="8"/>
      <c r="C906" s="8"/>
      <c r="D906" s="8"/>
      <c r="E906" s="8"/>
      <c r="F906" s="8"/>
      <c r="G906" s="9"/>
      <c r="H906" s="8"/>
      <c r="I906" s="8"/>
      <c r="J906" s="8"/>
      <c r="K906" s="8"/>
      <c r="L906" s="8"/>
      <c r="M906" s="8"/>
      <c r="N906" s="8"/>
      <c r="O906" s="8"/>
      <c r="P906" s="8"/>
      <c r="Q906" s="8"/>
      <c r="R906" s="8"/>
      <c r="S906" s="8"/>
      <c r="T906" s="8"/>
      <c r="U906" s="12"/>
      <c r="V906" s="12"/>
      <c r="W906" s="12"/>
      <c r="X906" s="12"/>
      <c r="Y906" s="12"/>
      <c r="Z906" s="12"/>
      <c r="AA906" s="12"/>
      <c r="AB906" s="12"/>
      <c r="AC906" s="12"/>
      <c r="AD906" s="12"/>
      <c r="AE906" s="12"/>
      <c r="AF906" s="12"/>
    </row>
    <row r="907" spans="1:32" ht="13.2">
      <c r="A907" s="8"/>
      <c r="B907" s="8"/>
      <c r="C907" s="8"/>
      <c r="D907" s="8"/>
      <c r="E907" s="8"/>
      <c r="F907" s="8"/>
      <c r="G907" s="9"/>
      <c r="H907" s="8"/>
      <c r="I907" s="8"/>
      <c r="J907" s="8"/>
      <c r="K907" s="8"/>
      <c r="L907" s="8"/>
      <c r="M907" s="8"/>
      <c r="N907" s="8"/>
      <c r="O907" s="8"/>
      <c r="P907" s="8"/>
      <c r="Q907" s="8"/>
      <c r="R907" s="8"/>
      <c r="S907" s="8"/>
      <c r="T907" s="8"/>
      <c r="U907" s="12"/>
      <c r="V907" s="12"/>
      <c r="W907" s="12"/>
      <c r="X907" s="12"/>
      <c r="Y907" s="12"/>
      <c r="Z907" s="12"/>
      <c r="AA907" s="12"/>
      <c r="AB907" s="12"/>
      <c r="AC907" s="12"/>
      <c r="AD907" s="12"/>
      <c r="AE907" s="12"/>
      <c r="AF907" s="12"/>
    </row>
    <row r="908" spans="1:32" ht="13.2">
      <c r="A908" s="8"/>
      <c r="B908" s="8"/>
      <c r="C908" s="8"/>
      <c r="D908" s="8"/>
      <c r="E908" s="8"/>
      <c r="F908" s="8"/>
      <c r="G908" s="9"/>
      <c r="H908" s="8"/>
      <c r="I908" s="8"/>
      <c r="J908" s="8"/>
      <c r="K908" s="8"/>
      <c r="L908" s="8"/>
      <c r="M908" s="8"/>
      <c r="N908" s="8"/>
      <c r="O908" s="8"/>
      <c r="P908" s="8"/>
      <c r="Q908" s="8"/>
      <c r="R908" s="8"/>
      <c r="S908" s="8"/>
      <c r="T908" s="8"/>
      <c r="U908" s="12"/>
      <c r="V908" s="12"/>
      <c r="W908" s="12"/>
      <c r="X908" s="12"/>
      <c r="Y908" s="12"/>
      <c r="Z908" s="12"/>
      <c r="AA908" s="12"/>
      <c r="AB908" s="12"/>
      <c r="AC908" s="12"/>
      <c r="AD908" s="12"/>
      <c r="AE908" s="12"/>
      <c r="AF908" s="12"/>
    </row>
    <row r="909" spans="1:32" ht="13.2">
      <c r="A909" s="8"/>
      <c r="B909" s="8"/>
      <c r="C909" s="8"/>
      <c r="D909" s="8"/>
      <c r="E909" s="8"/>
      <c r="F909" s="8"/>
      <c r="G909" s="9"/>
      <c r="H909" s="8"/>
      <c r="I909" s="8"/>
      <c r="J909" s="8"/>
      <c r="K909" s="8"/>
      <c r="L909" s="8"/>
      <c r="M909" s="8"/>
      <c r="N909" s="8"/>
      <c r="O909" s="8"/>
      <c r="P909" s="8"/>
      <c r="Q909" s="8"/>
      <c r="R909" s="8"/>
      <c r="S909" s="8"/>
      <c r="T909" s="8"/>
      <c r="U909" s="12"/>
      <c r="V909" s="12"/>
      <c r="W909" s="12"/>
      <c r="X909" s="12"/>
      <c r="Y909" s="12"/>
      <c r="Z909" s="12"/>
      <c r="AA909" s="12"/>
      <c r="AB909" s="12"/>
      <c r="AC909" s="12"/>
      <c r="AD909" s="12"/>
      <c r="AE909" s="12"/>
      <c r="AF909" s="12"/>
    </row>
    <row r="910" spans="1:32" ht="13.2">
      <c r="A910" s="8"/>
      <c r="B910" s="8"/>
      <c r="C910" s="8"/>
      <c r="D910" s="8"/>
      <c r="E910" s="8"/>
      <c r="F910" s="8"/>
      <c r="G910" s="9"/>
      <c r="H910" s="8"/>
      <c r="I910" s="8"/>
      <c r="J910" s="8"/>
      <c r="K910" s="8"/>
      <c r="L910" s="8"/>
      <c r="M910" s="8"/>
      <c r="N910" s="8"/>
      <c r="O910" s="8"/>
      <c r="P910" s="8"/>
      <c r="Q910" s="8"/>
      <c r="R910" s="8"/>
      <c r="S910" s="8"/>
      <c r="T910" s="8"/>
      <c r="U910" s="12"/>
      <c r="V910" s="12"/>
      <c r="W910" s="12"/>
      <c r="X910" s="12"/>
      <c r="Y910" s="12"/>
      <c r="Z910" s="12"/>
      <c r="AA910" s="12"/>
      <c r="AB910" s="12"/>
      <c r="AC910" s="12"/>
      <c r="AD910" s="12"/>
      <c r="AE910" s="12"/>
      <c r="AF910" s="12"/>
    </row>
    <row r="911" spans="1:32" ht="13.2">
      <c r="A911" s="8"/>
      <c r="B911" s="8"/>
      <c r="C911" s="8"/>
      <c r="D911" s="8"/>
      <c r="E911" s="8"/>
      <c r="F911" s="8"/>
      <c r="G911" s="9"/>
      <c r="H911" s="8"/>
      <c r="I911" s="8"/>
      <c r="J911" s="8"/>
      <c r="K911" s="8"/>
      <c r="L911" s="8"/>
      <c r="M911" s="8"/>
      <c r="N911" s="8"/>
      <c r="O911" s="8"/>
      <c r="P911" s="8"/>
      <c r="Q911" s="8"/>
      <c r="R911" s="8"/>
      <c r="S911" s="8"/>
      <c r="T911" s="8"/>
      <c r="U911" s="12"/>
      <c r="V911" s="12"/>
      <c r="W911" s="12"/>
      <c r="X911" s="12"/>
      <c r="Y911" s="12"/>
      <c r="Z911" s="12"/>
      <c r="AA911" s="12"/>
      <c r="AB911" s="12"/>
      <c r="AC911" s="12"/>
      <c r="AD911" s="12"/>
      <c r="AE911" s="12"/>
      <c r="AF911" s="12"/>
    </row>
    <row r="912" spans="1:32" ht="13.2">
      <c r="A912" s="8"/>
      <c r="B912" s="8"/>
      <c r="C912" s="8"/>
      <c r="D912" s="8"/>
      <c r="E912" s="8"/>
      <c r="F912" s="8"/>
      <c r="G912" s="9"/>
      <c r="H912" s="8"/>
      <c r="I912" s="8"/>
      <c r="J912" s="8"/>
      <c r="K912" s="8"/>
      <c r="L912" s="8"/>
      <c r="M912" s="8"/>
      <c r="N912" s="8"/>
      <c r="O912" s="8"/>
      <c r="P912" s="8"/>
      <c r="Q912" s="8"/>
      <c r="R912" s="8"/>
      <c r="S912" s="8"/>
      <c r="T912" s="8"/>
      <c r="U912" s="12"/>
      <c r="V912" s="12"/>
      <c r="W912" s="12"/>
      <c r="X912" s="12"/>
      <c r="Y912" s="12"/>
      <c r="Z912" s="12"/>
      <c r="AA912" s="12"/>
      <c r="AB912" s="12"/>
      <c r="AC912" s="12"/>
      <c r="AD912" s="12"/>
      <c r="AE912" s="12"/>
      <c r="AF912" s="12"/>
    </row>
    <row r="913" spans="1:32" ht="13.2">
      <c r="A913" s="8"/>
      <c r="B913" s="8"/>
      <c r="C913" s="8"/>
      <c r="D913" s="8"/>
      <c r="E913" s="8"/>
      <c r="F913" s="8"/>
      <c r="G913" s="9"/>
      <c r="H913" s="8"/>
      <c r="I913" s="8"/>
      <c r="J913" s="8"/>
      <c r="K913" s="8"/>
      <c r="L913" s="8"/>
      <c r="M913" s="8"/>
      <c r="N913" s="8"/>
      <c r="O913" s="8"/>
      <c r="P913" s="8"/>
      <c r="Q913" s="8"/>
      <c r="R913" s="8"/>
      <c r="S913" s="8"/>
      <c r="T913" s="8"/>
      <c r="U913" s="12"/>
      <c r="V913" s="12"/>
      <c r="W913" s="12"/>
      <c r="X913" s="12"/>
      <c r="Y913" s="12"/>
      <c r="Z913" s="12"/>
      <c r="AA913" s="12"/>
      <c r="AB913" s="12"/>
      <c r="AC913" s="12"/>
      <c r="AD913" s="12"/>
      <c r="AE913" s="12"/>
      <c r="AF913" s="12"/>
    </row>
    <row r="914" spans="1:32" ht="13.2">
      <c r="A914" s="8"/>
      <c r="B914" s="8"/>
      <c r="C914" s="8"/>
      <c r="D914" s="8"/>
      <c r="E914" s="8"/>
      <c r="F914" s="8"/>
      <c r="G914" s="9"/>
      <c r="H914" s="8"/>
      <c r="I914" s="8"/>
      <c r="J914" s="8"/>
      <c r="K914" s="8"/>
      <c r="L914" s="8"/>
      <c r="M914" s="8"/>
      <c r="N914" s="8"/>
      <c r="O914" s="8"/>
      <c r="P914" s="8"/>
      <c r="Q914" s="8"/>
      <c r="R914" s="8"/>
      <c r="S914" s="8"/>
      <c r="T914" s="8"/>
      <c r="U914" s="12"/>
      <c r="V914" s="12"/>
      <c r="W914" s="12"/>
      <c r="X914" s="12"/>
      <c r="Y914" s="12"/>
      <c r="Z914" s="12"/>
      <c r="AA914" s="12"/>
      <c r="AB914" s="12"/>
      <c r="AC914" s="12"/>
      <c r="AD914" s="12"/>
      <c r="AE914" s="12"/>
      <c r="AF914" s="12"/>
    </row>
    <row r="915" spans="1:32" ht="13.2">
      <c r="A915" s="8"/>
      <c r="B915" s="8"/>
      <c r="C915" s="8"/>
      <c r="D915" s="8"/>
      <c r="E915" s="8"/>
      <c r="F915" s="8"/>
      <c r="G915" s="9"/>
      <c r="H915" s="8"/>
      <c r="I915" s="8"/>
      <c r="J915" s="8"/>
      <c r="K915" s="8"/>
      <c r="L915" s="8"/>
      <c r="M915" s="8"/>
      <c r="N915" s="8"/>
      <c r="O915" s="8"/>
      <c r="P915" s="8"/>
      <c r="Q915" s="8"/>
      <c r="R915" s="8"/>
      <c r="S915" s="8"/>
      <c r="T915" s="8"/>
      <c r="U915" s="12"/>
      <c r="V915" s="12"/>
      <c r="W915" s="12"/>
      <c r="X915" s="12"/>
      <c r="Y915" s="12"/>
      <c r="Z915" s="12"/>
      <c r="AA915" s="12"/>
      <c r="AB915" s="12"/>
      <c r="AC915" s="12"/>
      <c r="AD915" s="12"/>
      <c r="AE915" s="12"/>
      <c r="AF915" s="12"/>
    </row>
    <row r="916" spans="1:32" ht="13.2">
      <c r="A916" s="8"/>
      <c r="B916" s="8"/>
      <c r="C916" s="8"/>
      <c r="D916" s="8"/>
      <c r="E916" s="8"/>
      <c r="F916" s="8"/>
      <c r="G916" s="9"/>
      <c r="H916" s="8"/>
      <c r="I916" s="8"/>
      <c r="J916" s="8"/>
      <c r="K916" s="8"/>
      <c r="L916" s="8"/>
      <c r="M916" s="8"/>
      <c r="N916" s="8"/>
      <c r="O916" s="8"/>
      <c r="P916" s="8"/>
      <c r="Q916" s="8"/>
      <c r="R916" s="8"/>
      <c r="S916" s="8"/>
      <c r="T916" s="8"/>
      <c r="U916" s="12"/>
      <c r="V916" s="12"/>
      <c r="W916" s="12"/>
      <c r="X916" s="12"/>
      <c r="Y916" s="12"/>
      <c r="Z916" s="12"/>
      <c r="AA916" s="12"/>
      <c r="AB916" s="12"/>
      <c r="AC916" s="12"/>
      <c r="AD916" s="12"/>
      <c r="AE916" s="12"/>
      <c r="AF916" s="12"/>
    </row>
    <row r="917" spans="1:32" ht="13.2">
      <c r="A917" s="8"/>
      <c r="B917" s="8"/>
      <c r="C917" s="8"/>
      <c r="D917" s="8"/>
      <c r="E917" s="8"/>
      <c r="F917" s="8"/>
      <c r="G917" s="9"/>
      <c r="H917" s="8"/>
      <c r="I917" s="8"/>
      <c r="J917" s="8"/>
      <c r="K917" s="8"/>
      <c r="L917" s="8"/>
      <c r="M917" s="8"/>
      <c r="N917" s="8"/>
      <c r="O917" s="8"/>
      <c r="P917" s="8"/>
      <c r="Q917" s="8"/>
      <c r="R917" s="8"/>
      <c r="S917" s="8"/>
      <c r="T917" s="8"/>
      <c r="U917" s="12"/>
      <c r="V917" s="12"/>
      <c r="W917" s="12"/>
      <c r="X917" s="12"/>
      <c r="Y917" s="12"/>
      <c r="Z917" s="12"/>
      <c r="AA917" s="12"/>
      <c r="AB917" s="12"/>
      <c r="AC917" s="12"/>
      <c r="AD917" s="12"/>
      <c r="AE917" s="12"/>
      <c r="AF917" s="12"/>
    </row>
    <row r="918" spans="1:32" ht="13.2">
      <c r="A918" s="8"/>
      <c r="B918" s="8"/>
      <c r="C918" s="8"/>
      <c r="D918" s="8"/>
      <c r="E918" s="8"/>
      <c r="F918" s="8"/>
      <c r="G918" s="9"/>
      <c r="H918" s="8"/>
      <c r="I918" s="8"/>
      <c r="J918" s="8"/>
      <c r="K918" s="8"/>
      <c r="L918" s="8"/>
      <c r="M918" s="8"/>
      <c r="N918" s="8"/>
      <c r="O918" s="8"/>
      <c r="P918" s="8"/>
      <c r="Q918" s="8"/>
      <c r="R918" s="8"/>
      <c r="S918" s="8"/>
      <c r="T918" s="8"/>
      <c r="U918" s="12"/>
      <c r="V918" s="12"/>
      <c r="W918" s="12"/>
      <c r="X918" s="12"/>
      <c r="Y918" s="12"/>
      <c r="Z918" s="12"/>
      <c r="AA918" s="12"/>
      <c r="AB918" s="12"/>
      <c r="AC918" s="12"/>
      <c r="AD918" s="12"/>
      <c r="AE918" s="12"/>
      <c r="AF918" s="12"/>
    </row>
    <row r="919" spans="1:32" ht="13.2">
      <c r="A919" s="8"/>
      <c r="B919" s="8"/>
      <c r="C919" s="8"/>
      <c r="D919" s="8"/>
      <c r="E919" s="8"/>
      <c r="F919" s="8"/>
      <c r="G919" s="9"/>
      <c r="H919" s="8"/>
      <c r="I919" s="8"/>
      <c r="J919" s="8"/>
      <c r="K919" s="8"/>
      <c r="L919" s="8"/>
      <c r="M919" s="8"/>
      <c r="N919" s="8"/>
      <c r="O919" s="8"/>
      <c r="P919" s="8"/>
      <c r="Q919" s="8"/>
      <c r="R919" s="8"/>
      <c r="S919" s="8"/>
      <c r="T919" s="8"/>
      <c r="U919" s="12"/>
      <c r="V919" s="12"/>
      <c r="W919" s="12"/>
      <c r="X919" s="12"/>
      <c r="Y919" s="12"/>
      <c r="Z919" s="12"/>
      <c r="AA919" s="12"/>
      <c r="AB919" s="12"/>
      <c r="AC919" s="12"/>
      <c r="AD919" s="12"/>
      <c r="AE919" s="12"/>
      <c r="AF919" s="12"/>
    </row>
    <row r="920" spans="1:32" ht="13.2">
      <c r="A920" s="8"/>
      <c r="B920" s="8"/>
      <c r="C920" s="8"/>
      <c r="D920" s="8"/>
      <c r="E920" s="8"/>
      <c r="F920" s="8"/>
      <c r="G920" s="9"/>
      <c r="H920" s="8"/>
      <c r="I920" s="8"/>
      <c r="J920" s="8"/>
      <c r="K920" s="8"/>
      <c r="L920" s="8"/>
      <c r="M920" s="8"/>
      <c r="N920" s="8"/>
      <c r="O920" s="8"/>
      <c r="P920" s="8"/>
      <c r="Q920" s="8"/>
      <c r="R920" s="8"/>
      <c r="S920" s="8"/>
      <c r="T920" s="8"/>
      <c r="U920" s="12"/>
      <c r="V920" s="12"/>
      <c r="W920" s="12"/>
      <c r="X920" s="12"/>
      <c r="Y920" s="12"/>
      <c r="Z920" s="12"/>
      <c r="AA920" s="12"/>
      <c r="AB920" s="12"/>
      <c r="AC920" s="12"/>
      <c r="AD920" s="12"/>
      <c r="AE920" s="12"/>
      <c r="AF920" s="12"/>
    </row>
    <row r="921" spans="1:32" ht="13.2">
      <c r="A921" s="8"/>
      <c r="B921" s="8"/>
      <c r="C921" s="8"/>
      <c r="D921" s="8"/>
      <c r="E921" s="8"/>
      <c r="F921" s="8"/>
      <c r="G921" s="9"/>
      <c r="H921" s="8"/>
      <c r="I921" s="8"/>
      <c r="J921" s="8"/>
      <c r="K921" s="8"/>
      <c r="L921" s="8"/>
      <c r="M921" s="8"/>
      <c r="N921" s="8"/>
      <c r="O921" s="8"/>
      <c r="P921" s="8"/>
      <c r="Q921" s="8"/>
      <c r="R921" s="8"/>
      <c r="S921" s="8"/>
      <c r="T921" s="8"/>
      <c r="U921" s="12"/>
      <c r="V921" s="12"/>
      <c r="W921" s="12"/>
      <c r="X921" s="12"/>
      <c r="Y921" s="12"/>
      <c r="Z921" s="12"/>
      <c r="AA921" s="12"/>
      <c r="AB921" s="12"/>
      <c r="AC921" s="12"/>
      <c r="AD921" s="12"/>
      <c r="AE921" s="12"/>
      <c r="AF921" s="12"/>
    </row>
    <row r="922" spans="1:32" ht="13.2">
      <c r="A922" s="8"/>
      <c r="B922" s="8"/>
      <c r="C922" s="8"/>
      <c r="D922" s="8"/>
      <c r="E922" s="8"/>
      <c r="F922" s="8"/>
      <c r="G922" s="9"/>
      <c r="H922" s="8"/>
      <c r="I922" s="8"/>
      <c r="J922" s="8"/>
      <c r="K922" s="8"/>
      <c r="L922" s="8"/>
      <c r="M922" s="8"/>
      <c r="N922" s="8"/>
      <c r="O922" s="8"/>
      <c r="P922" s="8"/>
      <c r="Q922" s="8"/>
      <c r="R922" s="8"/>
      <c r="S922" s="8"/>
      <c r="T922" s="8"/>
      <c r="U922" s="12"/>
      <c r="V922" s="12"/>
      <c r="W922" s="12"/>
      <c r="X922" s="12"/>
      <c r="Y922" s="12"/>
      <c r="Z922" s="12"/>
      <c r="AA922" s="12"/>
      <c r="AB922" s="12"/>
      <c r="AC922" s="12"/>
      <c r="AD922" s="12"/>
      <c r="AE922" s="12"/>
      <c r="AF922" s="12"/>
    </row>
    <row r="923" spans="1:32" ht="13.2">
      <c r="A923" s="8"/>
      <c r="B923" s="8"/>
      <c r="C923" s="8"/>
      <c r="D923" s="8"/>
      <c r="E923" s="8"/>
      <c r="F923" s="8"/>
      <c r="G923" s="9"/>
      <c r="H923" s="8"/>
      <c r="I923" s="8"/>
      <c r="J923" s="8"/>
      <c r="K923" s="8"/>
      <c r="L923" s="8"/>
      <c r="M923" s="8"/>
      <c r="N923" s="8"/>
      <c r="O923" s="8"/>
      <c r="P923" s="8"/>
      <c r="Q923" s="8"/>
      <c r="R923" s="8"/>
      <c r="S923" s="8"/>
      <c r="T923" s="8"/>
      <c r="U923" s="12"/>
      <c r="V923" s="12"/>
      <c r="W923" s="12"/>
      <c r="X923" s="12"/>
      <c r="Y923" s="12"/>
      <c r="Z923" s="12"/>
      <c r="AA923" s="12"/>
      <c r="AB923" s="12"/>
      <c r="AC923" s="12"/>
      <c r="AD923" s="12"/>
      <c r="AE923" s="12"/>
      <c r="AF923" s="12"/>
    </row>
    <row r="924" spans="1:32" ht="13.2">
      <c r="A924" s="8"/>
      <c r="B924" s="8"/>
      <c r="C924" s="8"/>
      <c r="D924" s="8"/>
      <c r="E924" s="8"/>
      <c r="F924" s="8"/>
      <c r="G924" s="9"/>
      <c r="H924" s="8"/>
      <c r="I924" s="8"/>
      <c r="J924" s="8"/>
      <c r="K924" s="8"/>
      <c r="L924" s="8"/>
      <c r="M924" s="8"/>
      <c r="N924" s="8"/>
      <c r="O924" s="8"/>
      <c r="P924" s="8"/>
      <c r="Q924" s="8"/>
      <c r="R924" s="8"/>
      <c r="S924" s="8"/>
      <c r="T924" s="8"/>
      <c r="U924" s="12"/>
      <c r="V924" s="12"/>
      <c r="W924" s="12"/>
      <c r="X924" s="12"/>
      <c r="Y924" s="12"/>
      <c r="Z924" s="12"/>
      <c r="AA924" s="12"/>
      <c r="AB924" s="12"/>
      <c r="AC924" s="12"/>
      <c r="AD924" s="12"/>
      <c r="AE924" s="12"/>
      <c r="AF924" s="12"/>
    </row>
    <row r="925" spans="1:32" ht="13.2">
      <c r="A925" s="8"/>
      <c r="B925" s="8"/>
      <c r="C925" s="8"/>
      <c r="D925" s="8"/>
      <c r="E925" s="8"/>
      <c r="F925" s="8"/>
      <c r="G925" s="9"/>
      <c r="H925" s="8"/>
      <c r="I925" s="8"/>
      <c r="J925" s="8"/>
      <c r="K925" s="8"/>
      <c r="L925" s="8"/>
      <c r="M925" s="8"/>
      <c r="N925" s="8"/>
      <c r="O925" s="8"/>
      <c r="P925" s="8"/>
      <c r="Q925" s="8"/>
      <c r="R925" s="8"/>
      <c r="S925" s="8"/>
      <c r="T925" s="8"/>
      <c r="U925" s="12"/>
      <c r="V925" s="12"/>
      <c r="W925" s="12"/>
      <c r="X925" s="12"/>
      <c r="Y925" s="12"/>
      <c r="Z925" s="12"/>
      <c r="AA925" s="12"/>
      <c r="AB925" s="12"/>
      <c r="AC925" s="12"/>
      <c r="AD925" s="12"/>
      <c r="AE925" s="12"/>
      <c r="AF925" s="12"/>
    </row>
    <row r="926" spans="1:32" ht="13.2">
      <c r="A926" s="8"/>
      <c r="B926" s="8"/>
      <c r="C926" s="8"/>
      <c r="D926" s="8"/>
      <c r="E926" s="8"/>
      <c r="F926" s="8"/>
      <c r="G926" s="9"/>
      <c r="H926" s="8"/>
      <c r="I926" s="8"/>
      <c r="J926" s="8"/>
      <c r="K926" s="8"/>
      <c r="L926" s="8"/>
      <c r="M926" s="8"/>
      <c r="N926" s="8"/>
      <c r="O926" s="8"/>
      <c r="P926" s="8"/>
      <c r="Q926" s="8"/>
      <c r="R926" s="8"/>
      <c r="S926" s="8"/>
      <c r="T926" s="8"/>
      <c r="U926" s="12"/>
      <c r="V926" s="12"/>
      <c r="W926" s="12"/>
      <c r="X926" s="12"/>
      <c r="Y926" s="12"/>
      <c r="Z926" s="12"/>
      <c r="AA926" s="12"/>
      <c r="AB926" s="12"/>
      <c r="AC926" s="12"/>
      <c r="AD926" s="12"/>
      <c r="AE926" s="12"/>
      <c r="AF926" s="12"/>
    </row>
    <row r="927" spans="1:32" ht="13.2">
      <c r="A927" s="8"/>
      <c r="B927" s="8"/>
      <c r="C927" s="8"/>
      <c r="D927" s="8"/>
      <c r="E927" s="8"/>
      <c r="F927" s="8"/>
      <c r="G927" s="9"/>
      <c r="H927" s="8"/>
      <c r="I927" s="8"/>
      <c r="J927" s="8"/>
      <c r="K927" s="8"/>
      <c r="L927" s="8"/>
      <c r="M927" s="8"/>
      <c r="N927" s="8"/>
      <c r="O927" s="8"/>
      <c r="P927" s="8"/>
      <c r="Q927" s="8"/>
      <c r="R927" s="8"/>
      <c r="S927" s="8"/>
      <c r="T927" s="8"/>
      <c r="U927" s="12"/>
      <c r="V927" s="12"/>
      <c r="W927" s="12"/>
      <c r="X927" s="12"/>
      <c r="Y927" s="12"/>
      <c r="Z927" s="12"/>
      <c r="AA927" s="12"/>
      <c r="AB927" s="12"/>
      <c r="AC927" s="12"/>
      <c r="AD927" s="12"/>
      <c r="AE927" s="12"/>
      <c r="AF927" s="12"/>
    </row>
    <row r="928" spans="1:32" ht="13.2">
      <c r="A928" s="8"/>
      <c r="B928" s="8"/>
      <c r="C928" s="8"/>
      <c r="D928" s="8"/>
      <c r="E928" s="8"/>
      <c r="F928" s="8"/>
      <c r="G928" s="9"/>
      <c r="H928" s="8"/>
      <c r="I928" s="8"/>
      <c r="J928" s="8"/>
      <c r="K928" s="8"/>
      <c r="L928" s="8"/>
      <c r="M928" s="8"/>
      <c r="N928" s="8"/>
      <c r="O928" s="8"/>
      <c r="P928" s="8"/>
      <c r="Q928" s="8"/>
      <c r="R928" s="8"/>
      <c r="S928" s="8"/>
      <c r="T928" s="8"/>
      <c r="U928" s="12"/>
      <c r="V928" s="12"/>
      <c r="W928" s="12"/>
      <c r="X928" s="12"/>
      <c r="Y928" s="12"/>
      <c r="Z928" s="12"/>
      <c r="AA928" s="12"/>
      <c r="AB928" s="12"/>
      <c r="AC928" s="12"/>
      <c r="AD928" s="12"/>
      <c r="AE928" s="12"/>
      <c r="AF928" s="12"/>
    </row>
    <row r="929" spans="1:32" ht="13.2">
      <c r="A929" s="8"/>
      <c r="B929" s="8"/>
      <c r="C929" s="8"/>
      <c r="D929" s="8"/>
      <c r="E929" s="8"/>
      <c r="F929" s="8"/>
      <c r="G929" s="9"/>
      <c r="H929" s="8"/>
      <c r="I929" s="8"/>
      <c r="J929" s="8"/>
      <c r="K929" s="8"/>
      <c r="L929" s="8"/>
      <c r="M929" s="8"/>
      <c r="N929" s="8"/>
      <c r="O929" s="8"/>
      <c r="P929" s="8"/>
      <c r="Q929" s="8"/>
      <c r="R929" s="8"/>
      <c r="S929" s="8"/>
      <c r="T929" s="8"/>
      <c r="U929" s="12"/>
      <c r="V929" s="12"/>
      <c r="W929" s="12"/>
      <c r="X929" s="12"/>
      <c r="Y929" s="12"/>
      <c r="Z929" s="12"/>
      <c r="AA929" s="12"/>
      <c r="AB929" s="12"/>
      <c r="AC929" s="12"/>
      <c r="AD929" s="12"/>
      <c r="AE929" s="12"/>
      <c r="AF929" s="12"/>
    </row>
    <row r="930" spans="1:32" ht="13.2">
      <c r="A930" s="8"/>
      <c r="B930" s="8"/>
      <c r="C930" s="8"/>
      <c r="D930" s="8"/>
      <c r="E930" s="8"/>
      <c r="F930" s="8"/>
      <c r="G930" s="9"/>
      <c r="H930" s="8"/>
      <c r="I930" s="8"/>
      <c r="J930" s="8"/>
      <c r="K930" s="8"/>
      <c r="L930" s="8"/>
      <c r="M930" s="8"/>
      <c r="N930" s="8"/>
      <c r="O930" s="8"/>
      <c r="P930" s="8"/>
      <c r="Q930" s="8"/>
      <c r="R930" s="8"/>
      <c r="S930" s="8"/>
      <c r="T930" s="8"/>
      <c r="U930" s="12"/>
      <c r="V930" s="12"/>
      <c r="W930" s="12"/>
      <c r="X930" s="12"/>
      <c r="Y930" s="12"/>
      <c r="Z930" s="12"/>
      <c r="AA930" s="12"/>
      <c r="AB930" s="12"/>
      <c r="AC930" s="12"/>
      <c r="AD930" s="12"/>
      <c r="AE930" s="12"/>
      <c r="AF930" s="12"/>
    </row>
    <row r="931" spans="1:32" ht="13.2">
      <c r="A931" s="8"/>
      <c r="B931" s="8"/>
      <c r="C931" s="8"/>
      <c r="D931" s="8"/>
      <c r="E931" s="8"/>
      <c r="F931" s="8"/>
      <c r="G931" s="9"/>
      <c r="H931" s="8"/>
      <c r="I931" s="8"/>
      <c r="J931" s="8"/>
      <c r="K931" s="8"/>
      <c r="L931" s="8"/>
      <c r="M931" s="8"/>
      <c r="N931" s="8"/>
      <c r="O931" s="8"/>
      <c r="P931" s="8"/>
      <c r="Q931" s="8"/>
      <c r="R931" s="8"/>
      <c r="S931" s="8"/>
      <c r="T931" s="8"/>
      <c r="U931" s="12"/>
      <c r="V931" s="12"/>
      <c r="W931" s="12"/>
      <c r="X931" s="12"/>
      <c r="Y931" s="12"/>
      <c r="Z931" s="12"/>
      <c r="AA931" s="12"/>
      <c r="AB931" s="12"/>
      <c r="AC931" s="12"/>
      <c r="AD931" s="12"/>
      <c r="AE931" s="12"/>
      <c r="AF931" s="12"/>
    </row>
    <row r="932" spans="1:32" ht="13.2">
      <c r="A932" s="8"/>
      <c r="B932" s="8"/>
      <c r="C932" s="8"/>
      <c r="D932" s="8"/>
      <c r="E932" s="8"/>
      <c r="F932" s="8"/>
      <c r="G932" s="9"/>
      <c r="H932" s="8"/>
      <c r="I932" s="8"/>
      <c r="J932" s="8"/>
      <c r="K932" s="8"/>
      <c r="L932" s="8"/>
      <c r="M932" s="8"/>
      <c r="N932" s="8"/>
      <c r="O932" s="8"/>
      <c r="P932" s="8"/>
      <c r="Q932" s="8"/>
      <c r="R932" s="8"/>
      <c r="S932" s="8"/>
      <c r="T932" s="8"/>
      <c r="U932" s="12"/>
      <c r="V932" s="12"/>
      <c r="W932" s="12"/>
      <c r="X932" s="12"/>
      <c r="Y932" s="12"/>
      <c r="Z932" s="12"/>
      <c r="AA932" s="12"/>
      <c r="AB932" s="12"/>
      <c r="AC932" s="12"/>
      <c r="AD932" s="12"/>
      <c r="AE932" s="12"/>
      <c r="AF932" s="12"/>
    </row>
    <row r="933" spans="1:32" ht="13.2">
      <c r="A933" s="8"/>
      <c r="B933" s="8"/>
      <c r="C933" s="8"/>
      <c r="D933" s="8"/>
      <c r="E933" s="8"/>
      <c r="F933" s="8"/>
      <c r="G933" s="9"/>
      <c r="H933" s="8"/>
      <c r="I933" s="8"/>
      <c r="J933" s="8"/>
      <c r="K933" s="8"/>
      <c r="L933" s="8"/>
      <c r="M933" s="8"/>
      <c r="N933" s="8"/>
      <c r="O933" s="8"/>
      <c r="P933" s="8"/>
      <c r="Q933" s="8"/>
      <c r="R933" s="8"/>
      <c r="S933" s="8"/>
      <c r="T933" s="8"/>
      <c r="U933" s="12"/>
      <c r="V933" s="12"/>
      <c r="W933" s="12"/>
      <c r="X933" s="12"/>
      <c r="Y933" s="12"/>
      <c r="Z933" s="12"/>
      <c r="AA933" s="12"/>
      <c r="AB933" s="12"/>
      <c r="AC933" s="12"/>
      <c r="AD933" s="12"/>
      <c r="AE933" s="12"/>
      <c r="AF933" s="12"/>
    </row>
    <row r="934" spans="1:32" ht="13.2">
      <c r="A934" s="8"/>
      <c r="B934" s="8"/>
      <c r="C934" s="8"/>
      <c r="D934" s="8"/>
      <c r="E934" s="8"/>
      <c r="F934" s="8"/>
      <c r="G934" s="9"/>
      <c r="H934" s="8"/>
      <c r="I934" s="8"/>
      <c r="J934" s="8"/>
      <c r="K934" s="8"/>
      <c r="L934" s="8"/>
      <c r="M934" s="8"/>
      <c r="N934" s="8"/>
      <c r="O934" s="8"/>
      <c r="P934" s="8"/>
      <c r="Q934" s="8"/>
      <c r="R934" s="8"/>
      <c r="S934" s="8"/>
      <c r="T934" s="8"/>
      <c r="U934" s="12"/>
      <c r="V934" s="12"/>
      <c r="W934" s="12"/>
      <c r="X934" s="12"/>
      <c r="Y934" s="12"/>
      <c r="Z934" s="12"/>
      <c r="AA934" s="12"/>
      <c r="AB934" s="12"/>
      <c r="AC934" s="12"/>
      <c r="AD934" s="12"/>
      <c r="AE934" s="12"/>
      <c r="AF934" s="12"/>
    </row>
    <row r="935" spans="1:32" ht="13.2">
      <c r="A935" s="8"/>
      <c r="B935" s="8"/>
      <c r="C935" s="8"/>
      <c r="D935" s="8"/>
      <c r="E935" s="8"/>
      <c r="F935" s="8"/>
      <c r="G935" s="9"/>
      <c r="H935" s="8"/>
      <c r="I935" s="8"/>
      <c r="J935" s="8"/>
      <c r="K935" s="8"/>
      <c r="L935" s="8"/>
      <c r="M935" s="8"/>
      <c r="N935" s="8"/>
      <c r="O935" s="8"/>
      <c r="P935" s="8"/>
      <c r="Q935" s="8"/>
      <c r="R935" s="8"/>
      <c r="S935" s="8"/>
      <c r="T935" s="8"/>
      <c r="U935" s="12"/>
      <c r="V935" s="12"/>
      <c r="W935" s="12"/>
      <c r="X935" s="12"/>
      <c r="Y935" s="12"/>
      <c r="Z935" s="12"/>
      <c r="AA935" s="12"/>
      <c r="AB935" s="12"/>
      <c r="AC935" s="12"/>
      <c r="AD935" s="12"/>
      <c r="AE935" s="12"/>
      <c r="AF935" s="12"/>
    </row>
    <row r="936" spans="1:32" ht="13.2">
      <c r="A936" s="8"/>
      <c r="B936" s="8"/>
      <c r="C936" s="8"/>
      <c r="D936" s="8"/>
      <c r="E936" s="8"/>
      <c r="F936" s="8"/>
      <c r="G936" s="9"/>
      <c r="H936" s="8"/>
      <c r="I936" s="8"/>
      <c r="J936" s="8"/>
      <c r="K936" s="8"/>
      <c r="L936" s="8"/>
      <c r="M936" s="8"/>
      <c r="N936" s="8"/>
      <c r="O936" s="8"/>
      <c r="P936" s="8"/>
      <c r="Q936" s="8"/>
      <c r="R936" s="8"/>
      <c r="S936" s="8"/>
      <c r="T936" s="8"/>
      <c r="U936" s="12"/>
      <c r="V936" s="12"/>
      <c r="W936" s="12"/>
      <c r="X936" s="12"/>
      <c r="Y936" s="12"/>
      <c r="Z936" s="12"/>
      <c r="AA936" s="12"/>
      <c r="AB936" s="12"/>
      <c r="AC936" s="12"/>
      <c r="AD936" s="12"/>
      <c r="AE936" s="12"/>
      <c r="AF936" s="12"/>
    </row>
    <row r="937" spans="1:32" ht="13.2">
      <c r="A937" s="8"/>
      <c r="B937" s="8"/>
      <c r="C937" s="8"/>
      <c r="D937" s="8"/>
      <c r="E937" s="8"/>
      <c r="F937" s="8"/>
      <c r="G937" s="9"/>
      <c r="H937" s="8"/>
      <c r="I937" s="8"/>
      <c r="J937" s="8"/>
      <c r="K937" s="8"/>
      <c r="L937" s="8"/>
      <c r="M937" s="8"/>
      <c r="N937" s="8"/>
      <c r="O937" s="8"/>
      <c r="P937" s="8"/>
      <c r="Q937" s="8"/>
      <c r="R937" s="8"/>
      <c r="S937" s="8"/>
      <c r="T937" s="8"/>
      <c r="U937" s="12"/>
      <c r="V937" s="12"/>
      <c r="W937" s="12"/>
      <c r="X937" s="12"/>
      <c r="Y937" s="12"/>
      <c r="Z937" s="12"/>
      <c r="AA937" s="12"/>
      <c r="AB937" s="12"/>
      <c r="AC937" s="12"/>
      <c r="AD937" s="12"/>
      <c r="AE937" s="12"/>
      <c r="AF937" s="12"/>
    </row>
    <row r="938" spans="1:32" ht="13.2">
      <c r="A938" s="8"/>
      <c r="B938" s="8"/>
      <c r="C938" s="8"/>
      <c r="D938" s="8"/>
      <c r="E938" s="8"/>
      <c r="F938" s="8"/>
      <c r="G938" s="9"/>
      <c r="H938" s="8"/>
      <c r="I938" s="8"/>
      <c r="J938" s="8"/>
      <c r="K938" s="8"/>
      <c r="L938" s="8"/>
      <c r="M938" s="8"/>
      <c r="N938" s="8"/>
      <c r="O938" s="8"/>
      <c r="P938" s="8"/>
      <c r="Q938" s="8"/>
      <c r="R938" s="8"/>
      <c r="S938" s="8"/>
      <c r="T938" s="8"/>
      <c r="U938" s="12"/>
      <c r="V938" s="12"/>
      <c r="W938" s="12"/>
      <c r="X938" s="12"/>
      <c r="Y938" s="12"/>
      <c r="Z938" s="12"/>
      <c r="AA938" s="12"/>
      <c r="AB938" s="12"/>
      <c r="AC938" s="12"/>
      <c r="AD938" s="12"/>
      <c r="AE938" s="12"/>
      <c r="AF938" s="12"/>
    </row>
    <row r="939" spans="1:32" ht="13.2">
      <c r="A939" s="8"/>
      <c r="B939" s="8"/>
      <c r="C939" s="8"/>
      <c r="D939" s="8"/>
      <c r="E939" s="8"/>
      <c r="F939" s="8"/>
      <c r="G939" s="9"/>
      <c r="H939" s="8"/>
      <c r="I939" s="8"/>
      <c r="J939" s="8"/>
      <c r="K939" s="8"/>
      <c r="L939" s="8"/>
      <c r="M939" s="8"/>
      <c r="N939" s="8"/>
      <c r="O939" s="8"/>
      <c r="P939" s="8"/>
      <c r="Q939" s="8"/>
      <c r="R939" s="8"/>
      <c r="S939" s="8"/>
      <c r="T939" s="8"/>
      <c r="U939" s="12"/>
      <c r="V939" s="12"/>
      <c r="W939" s="12"/>
      <c r="X939" s="12"/>
      <c r="Y939" s="12"/>
      <c r="Z939" s="12"/>
      <c r="AA939" s="12"/>
      <c r="AB939" s="12"/>
      <c r="AC939" s="12"/>
      <c r="AD939" s="12"/>
      <c r="AE939" s="12"/>
      <c r="AF939" s="12"/>
    </row>
    <row r="940" spans="1:32" ht="13.2">
      <c r="A940" s="8"/>
      <c r="B940" s="8"/>
      <c r="C940" s="8"/>
      <c r="D940" s="8"/>
      <c r="E940" s="8"/>
      <c r="F940" s="8"/>
      <c r="G940" s="9"/>
      <c r="H940" s="8"/>
      <c r="I940" s="8"/>
      <c r="J940" s="8"/>
      <c r="K940" s="8"/>
      <c r="L940" s="8"/>
      <c r="M940" s="8"/>
      <c r="N940" s="8"/>
      <c r="O940" s="8"/>
      <c r="P940" s="8"/>
      <c r="Q940" s="8"/>
      <c r="R940" s="8"/>
      <c r="S940" s="8"/>
      <c r="T940" s="8"/>
      <c r="U940" s="12"/>
      <c r="V940" s="12"/>
      <c r="W940" s="12"/>
      <c r="X940" s="12"/>
      <c r="Y940" s="12"/>
      <c r="Z940" s="12"/>
      <c r="AA940" s="12"/>
      <c r="AB940" s="12"/>
      <c r="AC940" s="12"/>
      <c r="AD940" s="12"/>
      <c r="AE940" s="12"/>
      <c r="AF940" s="12"/>
    </row>
    <row r="941" spans="1:32" ht="13.2">
      <c r="A941" s="8"/>
      <c r="B941" s="8"/>
      <c r="C941" s="8"/>
      <c r="D941" s="8"/>
      <c r="E941" s="8"/>
      <c r="F941" s="8"/>
      <c r="G941" s="9"/>
      <c r="H941" s="8"/>
      <c r="I941" s="8"/>
      <c r="J941" s="8"/>
      <c r="K941" s="8"/>
      <c r="L941" s="8"/>
      <c r="M941" s="8"/>
      <c r="N941" s="8"/>
      <c r="O941" s="8"/>
      <c r="P941" s="8"/>
      <c r="Q941" s="8"/>
      <c r="R941" s="8"/>
      <c r="S941" s="8"/>
      <c r="T941" s="8"/>
      <c r="U941" s="12"/>
      <c r="V941" s="12"/>
      <c r="W941" s="12"/>
      <c r="X941" s="12"/>
      <c r="Y941" s="12"/>
      <c r="Z941" s="12"/>
      <c r="AA941" s="12"/>
      <c r="AB941" s="12"/>
      <c r="AC941" s="12"/>
      <c r="AD941" s="12"/>
      <c r="AE941" s="12"/>
      <c r="AF941" s="12"/>
    </row>
    <row r="942" spans="1:32" ht="13.2">
      <c r="A942" s="8"/>
      <c r="B942" s="8"/>
      <c r="C942" s="8"/>
      <c r="D942" s="8"/>
      <c r="E942" s="8"/>
      <c r="F942" s="8"/>
      <c r="G942" s="9"/>
      <c r="H942" s="8"/>
      <c r="I942" s="8"/>
      <c r="J942" s="8"/>
      <c r="K942" s="8"/>
      <c r="L942" s="8"/>
      <c r="M942" s="8"/>
      <c r="N942" s="8"/>
      <c r="O942" s="8"/>
      <c r="P942" s="8"/>
      <c r="Q942" s="8"/>
      <c r="R942" s="8"/>
      <c r="S942" s="8"/>
      <c r="T942" s="8"/>
      <c r="U942" s="12"/>
      <c r="V942" s="12"/>
      <c r="W942" s="12"/>
      <c r="X942" s="12"/>
      <c r="Y942" s="12"/>
      <c r="Z942" s="12"/>
      <c r="AA942" s="12"/>
      <c r="AB942" s="12"/>
      <c r="AC942" s="12"/>
      <c r="AD942" s="12"/>
      <c r="AE942" s="12"/>
      <c r="AF942" s="12"/>
    </row>
    <row r="943" spans="1:32" ht="13.2">
      <c r="A943" s="8"/>
      <c r="B943" s="8"/>
      <c r="C943" s="8"/>
      <c r="D943" s="8"/>
      <c r="E943" s="8"/>
      <c r="F943" s="8"/>
      <c r="G943" s="9"/>
      <c r="H943" s="8"/>
      <c r="I943" s="8"/>
      <c r="J943" s="8"/>
      <c r="K943" s="8"/>
      <c r="L943" s="8"/>
      <c r="M943" s="8"/>
      <c r="N943" s="8"/>
      <c r="O943" s="8"/>
      <c r="P943" s="8"/>
      <c r="Q943" s="8"/>
      <c r="R943" s="8"/>
      <c r="S943" s="8"/>
      <c r="T943" s="8"/>
      <c r="U943" s="12"/>
      <c r="V943" s="12"/>
      <c r="W943" s="12"/>
      <c r="X943" s="12"/>
      <c r="Y943" s="12"/>
      <c r="Z943" s="12"/>
      <c r="AA943" s="12"/>
      <c r="AB943" s="12"/>
      <c r="AC943" s="12"/>
      <c r="AD943" s="12"/>
      <c r="AE943" s="12"/>
      <c r="AF943" s="12"/>
    </row>
    <row r="944" spans="1:32" ht="13.2">
      <c r="A944" s="8"/>
      <c r="B944" s="8"/>
      <c r="C944" s="8"/>
      <c r="D944" s="8"/>
      <c r="E944" s="8"/>
      <c r="F944" s="8"/>
      <c r="G944" s="9"/>
      <c r="H944" s="8"/>
      <c r="I944" s="8"/>
      <c r="J944" s="8"/>
      <c r="K944" s="8"/>
      <c r="L944" s="8"/>
      <c r="M944" s="8"/>
      <c r="N944" s="8"/>
      <c r="O944" s="8"/>
      <c r="P944" s="8"/>
      <c r="Q944" s="8"/>
      <c r="R944" s="8"/>
      <c r="S944" s="8"/>
      <c r="T944" s="8"/>
      <c r="U944" s="12"/>
      <c r="V944" s="12"/>
      <c r="W944" s="12"/>
      <c r="X944" s="12"/>
      <c r="Y944" s="12"/>
      <c r="Z944" s="12"/>
      <c r="AA944" s="12"/>
      <c r="AB944" s="12"/>
      <c r="AC944" s="12"/>
      <c r="AD944" s="12"/>
      <c r="AE944" s="12"/>
      <c r="AF944" s="12"/>
    </row>
    <row r="945" spans="1:32" ht="13.2">
      <c r="A945" s="8"/>
      <c r="B945" s="8"/>
      <c r="C945" s="8"/>
      <c r="D945" s="8"/>
      <c r="E945" s="8"/>
      <c r="F945" s="8"/>
      <c r="G945" s="9"/>
      <c r="H945" s="8"/>
      <c r="I945" s="8"/>
      <c r="J945" s="8"/>
      <c r="K945" s="8"/>
      <c r="L945" s="8"/>
      <c r="M945" s="8"/>
      <c r="N945" s="8"/>
      <c r="O945" s="8"/>
      <c r="P945" s="8"/>
      <c r="Q945" s="8"/>
      <c r="R945" s="8"/>
      <c r="S945" s="8"/>
      <c r="T945" s="8"/>
      <c r="U945" s="12"/>
      <c r="V945" s="12"/>
      <c r="W945" s="12"/>
      <c r="X945" s="12"/>
      <c r="Y945" s="12"/>
      <c r="Z945" s="12"/>
      <c r="AA945" s="12"/>
      <c r="AB945" s="12"/>
      <c r="AC945" s="12"/>
      <c r="AD945" s="12"/>
      <c r="AE945" s="12"/>
      <c r="AF945" s="12"/>
    </row>
    <row r="946" spans="1:32" ht="13.2">
      <c r="A946" s="8"/>
      <c r="B946" s="8"/>
      <c r="C946" s="8"/>
      <c r="D946" s="8"/>
      <c r="E946" s="8"/>
      <c r="F946" s="8"/>
      <c r="G946" s="9"/>
      <c r="H946" s="8"/>
      <c r="I946" s="8"/>
      <c r="J946" s="8"/>
      <c r="K946" s="8"/>
      <c r="L946" s="8"/>
      <c r="M946" s="8"/>
      <c r="N946" s="8"/>
      <c r="O946" s="8"/>
      <c r="P946" s="8"/>
      <c r="Q946" s="8"/>
      <c r="R946" s="8"/>
      <c r="S946" s="8"/>
      <c r="T946" s="8"/>
      <c r="U946" s="12"/>
      <c r="V946" s="12"/>
      <c r="W946" s="12"/>
      <c r="X946" s="12"/>
      <c r="Y946" s="12"/>
      <c r="Z946" s="12"/>
      <c r="AA946" s="12"/>
      <c r="AB946" s="12"/>
      <c r="AC946" s="12"/>
      <c r="AD946" s="12"/>
      <c r="AE946" s="12"/>
      <c r="AF946" s="12"/>
    </row>
    <row r="947" spans="1:32" ht="13.2">
      <c r="A947" s="8"/>
      <c r="B947" s="8"/>
      <c r="C947" s="8"/>
      <c r="D947" s="8"/>
      <c r="E947" s="8"/>
      <c r="F947" s="8"/>
      <c r="G947" s="9"/>
      <c r="H947" s="8"/>
      <c r="I947" s="8"/>
      <c r="J947" s="8"/>
      <c r="K947" s="8"/>
      <c r="L947" s="8"/>
      <c r="M947" s="8"/>
      <c r="N947" s="8"/>
      <c r="O947" s="8"/>
      <c r="P947" s="8"/>
      <c r="Q947" s="8"/>
      <c r="R947" s="8"/>
      <c r="S947" s="8"/>
      <c r="T947" s="8"/>
      <c r="U947" s="12"/>
      <c r="V947" s="12"/>
      <c r="W947" s="12"/>
      <c r="X947" s="12"/>
      <c r="Y947" s="12"/>
      <c r="Z947" s="12"/>
      <c r="AA947" s="12"/>
      <c r="AB947" s="12"/>
      <c r="AC947" s="12"/>
      <c r="AD947" s="12"/>
      <c r="AE947" s="12"/>
      <c r="AF947" s="12"/>
    </row>
    <row r="948" spans="1:32" ht="13.2">
      <c r="A948" s="8"/>
      <c r="B948" s="8"/>
      <c r="C948" s="8"/>
      <c r="D948" s="8"/>
      <c r="E948" s="8"/>
      <c r="F948" s="8"/>
      <c r="G948" s="9"/>
      <c r="H948" s="8"/>
      <c r="I948" s="8"/>
      <c r="J948" s="8"/>
      <c r="K948" s="8"/>
      <c r="L948" s="8"/>
      <c r="M948" s="8"/>
      <c r="N948" s="8"/>
      <c r="O948" s="8"/>
      <c r="P948" s="8"/>
      <c r="Q948" s="8"/>
      <c r="R948" s="8"/>
      <c r="S948" s="8"/>
      <c r="T948" s="8"/>
      <c r="U948" s="12"/>
      <c r="V948" s="12"/>
      <c r="W948" s="12"/>
      <c r="X948" s="12"/>
      <c r="Y948" s="12"/>
      <c r="Z948" s="12"/>
      <c r="AA948" s="12"/>
      <c r="AB948" s="12"/>
      <c r="AC948" s="12"/>
      <c r="AD948" s="12"/>
      <c r="AE948" s="12"/>
      <c r="AF948" s="12"/>
    </row>
    <row r="949" spans="1:32" ht="13.2">
      <c r="A949" s="8"/>
      <c r="B949" s="8"/>
      <c r="C949" s="8"/>
      <c r="D949" s="8"/>
      <c r="E949" s="8"/>
      <c r="F949" s="8"/>
      <c r="G949" s="9"/>
      <c r="H949" s="8"/>
      <c r="I949" s="8"/>
      <c r="J949" s="8"/>
      <c r="K949" s="8"/>
      <c r="L949" s="8"/>
      <c r="M949" s="8"/>
      <c r="N949" s="8"/>
      <c r="O949" s="8"/>
      <c r="P949" s="8"/>
      <c r="Q949" s="8"/>
      <c r="R949" s="8"/>
      <c r="S949" s="8"/>
      <c r="T949" s="8"/>
      <c r="U949" s="12"/>
      <c r="V949" s="12"/>
      <c r="W949" s="12"/>
      <c r="X949" s="12"/>
      <c r="Y949" s="12"/>
      <c r="Z949" s="12"/>
      <c r="AA949" s="12"/>
      <c r="AB949" s="12"/>
      <c r="AC949" s="12"/>
      <c r="AD949" s="12"/>
      <c r="AE949" s="12"/>
      <c r="AF949" s="12"/>
    </row>
    <row r="950" spans="1:32" ht="13.2">
      <c r="A950" s="8"/>
      <c r="B950" s="8"/>
      <c r="C950" s="8"/>
      <c r="D950" s="8"/>
      <c r="E950" s="8"/>
      <c r="F950" s="8"/>
      <c r="G950" s="9"/>
      <c r="H950" s="8"/>
      <c r="I950" s="8"/>
      <c r="J950" s="8"/>
      <c r="K950" s="8"/>
      <c r="L950" s="8"/>
      <c r="M950" s="8"/>
      <c r="N950" s="8"/>
      <c r="O950" s="8"/>
      <c r="P950" s="8"/>
      <c r="Q950" s="8"/>
      <c r="R950" s="8"/>
      <c r="S950" s="8"/>
      <c r="T950" s="8"/>
      <c r="U950" s="12"/>
      <c r="V950" s="12"/>
      <c r="W950" s="12"/>
      <c r="X950" s="12"/>
      <c r="Y950" s="12"/>
      <c r="Z950" s="12"/>
      <c r="AA950" s="12"/>
      <c r="AB950" s="12"/>
      <c r="AC950" s="12"/>
      <c r="AD950" s="12"/>
      <c r="AE950" s="12"/>
      <c r="AF950" s="12"/>
    </row>
    <row r="951" spans="1:32" ht="13.2">
      <c r="A951" s="8"/>
      <c r="B951" s="8"/>
      <c r="C951" s="8"/>
      <c r="D951" s="8"/>
      <c r="E951" s="8"/>
      <c r="F951" s="8"/>
      <c r="G951" s="9"/>
      <c r="H951" s="8"/>
      <c r="I951" s="8"/>
      <c r="J951" s="8"/>
      <c r="K951" s="8"/>
      <c r="L951" s="8"/>
      <c r="M951" s="8"/>
      <c r="N951" s="8"/>
      <c r="O951" s="8"/>
      <c r="P951" s="8"/>
      <c r="Q951" s="8"/>
      <c r="R951" s="8"/>
      <c r="S951" s="8"/>
      <c r="T951" s="8"/>
      <c r="U951" s="12"/>
      <c r="V951" s="12"/>
      <c r="W951" s="12"/>
      <c r="X951" s="12"/>
      <c r="Y951" s="12"/>
      <c r="Z951" s="12"/>
      <c r="AA951" s="12"/>
      <c r="AB951" s="12"/>
      <c r="AC951" s="12"/>
      <c r="AD951" s="12"/>
      <c r="AE951" s="12"/>
      <c r="AF951" s="12"/>
    </row>
    <row r="952" spans="1:32" ht="13.2">
      <c r="A952" s="8"/>
      <c r="B952" s="8"/>
      <c r="C952" s="8"/>
      <c r="D952" s="8"/>
      <c r="E952" s="8"/>
      <c r="F952" s="8"/>
      <c r="G952" s="9"/>
      <c r="H952" s="8"/>
      <c r="I952" s="8"/>
      <c r="J952" s="8"/>
      <c r="K952" s="8"/>
      <c r="L952" s="8"/>
      <c r="M952" s="8"/>
      <c r="N952" s="8"/>
      <c r="O952" s="8"/>
      <c r="P952" s="8"/>
      <c r="Q952" s="8"/>
      <c r="R952" s="8"/>
      <c r="S952" s="8"/>
      <c r="T952" s="8"/>
      <c r="U952" s="12"/>
      <c r="V952" s="12"/>
      <c r="W952" s="12"/>
      <c r="X952" s="12"/>
      <c r="Y952" s="12"/>
      <c r="Z952" s="12"/>
      <c r="AA952" s="12"/>
      <c r="AB952" s="12"/>
      <c r="AC952" s="12"/>
      <c r="AD952" s="12"/>
      <c r="AE952" s="12"/>
      <c r="AF952" s="12"/>
    </row>
    <row r="953" spans="1:32" ht="13.2">
      <c r="A953" s="8"/>
      <c r="B953" s="8"/>
      <c r="C953" s="8"/>
      <c r="D953" s="8"/>
      <c r="E953" s="8"/>
      <c r="F953" s="8"/>
      <c r="G953" s="9"/>
      <c r="H953" s="8"/>
      <c r="I953" s="8"/>
      <c r="J953" s="8"/>
      <c r="K953" s="8"/>
      <c r="L953" s="8"/>
      <c r="M953" s="8"/>
      <c r="N953" s="8"/>
      <c r="O953" s="8"/>
      <c r="P953" s="8"/>
      <c r="Q953" s="8"/>
      <c r="R953" s="8"/>
      <c r="S953" s="8"/>
      <c r="T953" s="8"/>
      <c r="U953" s="12"/>
      <c r="V953" s="12"/>
      <c r="W953" s="12"/>
      <c r="X953" s="12"/>
      <c r="Y953" s="12"/>
      <c r="Z953" s="12"/>
      <c r="AA953" s="12"/>
      <c r="AB953" s="12"/>
      <c r="AC953" s="12"/>
      <c r="AD953" s="12"/>
      <c r="AE953" s="12"/>
      <c r="AF953" s="12"/>
    </row>
    <row r="954" spans="1:32" ht="13.2">
      <c r="A954" s="8"/>
      <c r="B954" s="8"/>
      <c r="C954" s="8"/>
      <c r="D954" s="8"/>
      <c r="E954" s="8"/>
      <c r="F954" s="8"/>
      <c r="G954" s="9"/>
      <c r="H954" s="8"/>
      <c r="I954" s="8"/>
      <c r="J954" s="8"/>
      <c r="K954" s="8"/>
      <c r="L954" s="8"/>
      <c r="M954" s="8"/>
      <c r="N954" s="8"/>
      <c r="O954" s="8"/>
      <c r="P954" s="8"/>
      <c r="Q954" s="8"/>
      <c r="R954" s="8"/>
      <c r="S954" s="8"/>
      <c r="T954" s="8"/>
      <c r="U954" s="12"/>
      <c r="V954" s="12"/>
      <c r="W954" s="12"/>
      <c r="X954" s="12"/>
      <c r="Y954" s="12"/>
      <c r="Z954" s="12"/>
      <c r="AA954" s="12"/>
      <c r="AB954" s="12"/>
      <c r="AC954" s="12"/>
      <c r="AD954" s="12"/>
      <c r="AE954" s="12"/>
      <c r="AF954" s="12"/>
    </row>
    <row r="955" spans="1:32" ht="13.2">
      <c r="A955" s="8"/>
      <c r="B955" s="8"/>
      <c r="C955" s="8"/>
      <c r="D955" s="8"/>
      <c r="E955" s="8"/>
      <c r="F955" s="8"/>
      <c r="G955" s="9"/>
      <c r="H955" s="8"/>
      <c r="I955" s="8"/>
      <c r="J955" s="8"/>
      <c r="K955" s="8"/>
      <c r="L955" s="8"/>
      <c r="M955" s="8"/>
      <c r="N955" s="8"/>
      <c r="O955" s="8"/>
      <c r="P955" s="8"/>
      <c r="Q955" s="8"/>
      <c r="R955" s="8"/>
      <c r="S955" s="8"/>
      <c r="T955" s="8"/>
      <c r="U955" s="12"/>
      <c r="V955" s="12"/>
      <c r="W955" s="12"/>
      <c r="X955" s="12"/>
      <c r="Y955" s="12"/>
      <c r="Z955" s="12"/>
      <c r="AA955" s="12"/>
      <c r="AB955" s="12"/>
      <c r="AC955" s="12"/>
      <c r="AD955" s="12"/>
      <c r="AE955" s="12"/>
      <c r="AF955" s="12"/>
    </row>
    <row r="956" spans="1:32" ht="13.2">
      <c r="A956" s="8"/>
      <c r="B956" s="8"/>
      <c r="C956" s="8"/>
      <c r="D956" s="8"/>
      <c r="E956" s="8"/>
      <c r="F956" s="8"/>
      <c r="G956" s="9"/>
      <c r="H956" s="8"/>
      <c r="I956" s="8"/>
      <c r="J956" s="8"/>
      <c r="K956" s="8"/>
      <c r="L956" s="8"/>
      <c r="M956" s="8"/>
      <c r="N956" s="8"/>
      <c r="O956" s="8"/>
      <c r="P956" s="8"/>
      <c r="Q956" s="8"/>
      <c r="R956" s="8"/>
      <c r="S956" s="8"/>
      <c r="T956" s="8"/>
      <c r="U956" s="12"/>
      <c r="V956" s="12"/>
      <c r="W956" s="12"/>
      <c r="X956" s="12"/>
      <c r="Y956" s="12"/>
      <c r="Z956" s="12"/>
      <c r="AA956" s="12"/>
      <c r="AB956" s="12"/>
      <c r="AC956" s="12"/>
      <c r="AD956" s="12"/>
      <c r="AE956" s="12"/>
      <c r="AF956" s="12"/>
    </row>
    <row r="957" spans="1:32" ht="13.2">
      <c r="A957" s="8"/>
      <c r="B957" s="8"/>
      <c r="C957" s="8"/>
      <c r="D957" s="8"/>
      <c r="E957" s="8"/>
      <c r="F957" s="8"/>
      <c r="G957" s="9"/>
      <c r="H957" s="8"/>
      <c r="I957" s="8"/>
      <c r="J957" s="8"/>
      <c r="K957" s="8"/>
      <c r="L957" s="8"/>
      <c r="M957" s="8"/>
      <c r="N957" s="8"/>
      <c r="O957" s="8"/>
      <c r="P957" s="8"/>
      <c r="Q957" s="8"/>
      <c r="R957" s="8"/>
      <c r="S957" s="8"/>
      <c r="T957" s="8"/>
      <c r="U957" s="12"/>
      <c r="V957" s="12"/>
      <c r="W957" s="12"/>
      <c r="X957" s="12"/>
      <c r="Y957" s="12"/>
      <c r="Z957" s="12"/>
      <c r="AA957" s="12"/>
      <c r="AB957" s="12"/>
      <c r="AC957" s="12"/>
      <c r="AD957" s="12"/>
      <c r="AE957" s="12"/>
      <c r="AF957" s="12"/>
    </row>
    <row r="958" spans="1:32" ht="13.2">
      <c r="A958" s="8"/>
      <c r="B958" s="8"/>
      <c r="C958" s="8"/>
      <c r="D958" s="8"/>
      <c r="E958" s="8"/>
      <c r="F958" s="8"/>
      <c r="G958" s="9"/>
      <c r="H958" s="8"/>
      <c r="I958" s="8"/>
      <c r="J958" s="8"/>
      <c r="K958" s="8"/>
      <c r="L958" s="8"/>
      <c r="M958" s="8"/>
      <c r="N958" s="8"/>
      <c r="O958" s="8"/>
      <c r="P958" s="8"/>
      <c r="Q958" s="8"/>
      <c r="R958" s="8"/>
      <c r="S958" s="8"/>
      <c r="T958" s="8"/>
      <c r="U958" s="12"/>
      <c r="V958" s="12"/>
      <c r="W958" s="12"/>
      <c r="X958" s="12"/>
      <c r="Y958" s="12"/>
      <c r="Z958" s="12"/>
      <c r="AA958" s="12"/>
      <c r="AB958" s="12"/>
      <c r="AC958" s="12"/>
      <c r="AD958" s="12"/>
      <c r="AE958" s="12"/>
      <c r="AF958" s="12"/>
    </row>
    <row r="959" spans="1:32" ht="13.2">
      <c r="A959" s="8"/>
      <c r="B959" s="8"/>
      <c r="C959" s="8"/>
      <c r="D959" s="8"/>
      <c r="E959" s="8"/>
      <c r="F959" s="8"/>
      <c r="G959" s="9"/>
      <c r="H959" s="8"/>
      <c r="I959" s="8"/>
      <c r="J959" s="8"/>
      <c r="K959" s="8"/>
      <c r="L959" s="8"/>
      <c r="M959" s="8"/>
      <c r="N959" s="8"/>
      <c r="O959" s="8"/>
      <c r="P959" s="8"/>
      <c r="Q959" s="8"/>
      <c r="R959" s="8"/>
      <c r="S959" s="8"/>
      <c r="T959" s="8"/>
      <c r="U959" s="12"/>
      <c r="V959" s="12"/>
      <c r="W959" s="12"/>
      <c r="X959" s="12"/>
      <c r="Y959" s="12"/>
      <c r="Z959" s="12"/>
      <c r="AA959" s="12"/>
      <c r="AB959" s="12"/>
      <c r="AC959" s="12"/>
      <c r="AD959" s="12"/>
      <c r="AE959" s="12"/>
      <c r="AF959" s="12"/>
    </row>
    <row r="960" spans="1:32" ht="13.2">
      <c r="A960" s="8"/>
      <c r="B960" s="8"/>
      <c r="C960" s="8"/>
      <c r="D960" s="8"/>
      <c r="E960" s="8"/>
      <c r="F960" s="8"/>
      <c r="G960" s="9"/>
      <c r="H960" s="8"/>
      <c r="I960" s="8"/>
      <c r="J960" s="8"/>
      <c r="K960" s="8"/>
      <c r="L960" s="8"/>
      <c r="M960" s="8"/>
      <c r="N960" s="8"/>
      <c r="O960" s="8"/>
      <c r="P960" s="8"/>
      <c r="Q960" s="8"/>
      <c r="R960" s="8"/>
      <c r="S960" s="8"/>
      <c r="T960" s="8"/>
      <c r="U960" s="12"/>
      <c r="V960" s="12"/>
      <c r="W960" s="12"/>
      <c r="X960" s="12"/>
      <c r="Y960" s="12"/>
      <c r="Z960" s="12"/>
      <c r="AA960" s="12"/>
      <c r="AB960" s="12"/>
      <c r="AC960" s="12"/>
      <c r="AD960" s="12"/>
      <c r="AE960" s="12"/>
      <c r="AF960" s="12"/>
    </row>
    <row r="961" spans="1:32" ht="13.2">
      <c r="A961" s="8"/>
      <c r="B961" s="8"/>
      <c r="C961" s="8"/>
      <c r="D961" s="8"/>
      <c r="E961" s="8"/>
      <c r="F961" s="8"/>
      <c r="G961" s="9"/>
      <c r="H961" s="8"/>
      <c r="I961" s="8"/>
      <c r="J961" s="8"/>
      <c r="K961" s="8"/>
      <c r="L961" s="8"/>
      <c r="M961" s="8"/>
      <c r="N961" s="8"/>
      <c r="O961" s="8"/>
      <c r="P961" s="8"/>
      <c r="Q961" s="8"/>
      <c r="R961" s="8"/>
      <c r="S961" s="8"/>
      <c r="T961" s="8"/>
      <c r="U961" s="12"/>
      <c r="V961" s="12"/>
      <c r="W961" s="12"/>
      <c r="X961" s="12"/>
      <c r="Y961" s="12"/>
      <c r="Z961" s="12"/>
      <c r="AA961" s="12"/>
      <c r="AB961" s="12"/>
      <c r="AC961" s="12"/>
      <c r="AD961" s="12"/>
      <c r="AE961" s="12"/>
      <c r="AF961" s="12"/>
    </row>
    <row r="962" spans="1:32" ht="13.2">
      <c r="A962" s="8"/>
      <c r="B962" s="8"/>
      <c r="C962" s="8"/>
      <c r="D962" s="8"/>
      <c r="E962" s="8"/>
      <c r="F962" s="8"/>
      <c r="G962" s="9"/>
      <c r="H962" s="8"/>
      <c r="I962" s="8"/>
      <c r="J962" s="8"/>
      <c r="K962" s="8"/>
      <c r="L962" s="8"/>
      <c r="M962" s="8"/>
      <c r="N962" s="8"/>
      <c r="O962" s="8"/>
      <c r="P962" s="8"/>
      <c r="Q962" s="8"/>
      <c r="R962" s="8"/>
      <c r="S962" s="8"/>
      <c r="T962" s="8"/>
      <c r="U962" s="12"/>
      <c r="V962" s="12"/>
      <c r="W962" s="12"/>
      <c r="X962" s="12"/>
      <c r="Y962" s="12"/>
      <c r="Z962" s="12"/>
      <c r="AA962" s="12"/>
      <c r="AB962" s="12"/>
      <c r="AC962" s="12"/>
      <c r="AD962" s="12"/>
      <c r="AE962" s="12"/>
      <c r="AF962" s="12"/>
    </row>
    <row r="963" spans="1:32" ht="13.2">
      <c r="A963" s="8"/>
      <c r="B963" s="8"/>
      <c r="C963" s="8"/>
      <c r="D963" s="8"/>
      <c r="E963" s="8"/>
      <c r="F963" s="8"/>
      <c r="G963" s="9"/>
      <c r="H963" s="8"/>
      <c r="I963" s="8"/>
      <c r="J963" s="8"/>
      <c r="K963" s="8"/>
      <c r="L963" s="8"/>
      <c r="M963" s="8"/>
      <c r="N963" s="8"/>
      <c r="O963" s="8"/>
      <c r="P963" s="8"/>
      <c r="Q963" s="8"/>
      <c r="R963" s="8"/>
      <c r="S963" s="8"/>
      <c r="T963" s="8"/>
      <c r="U963" s="12"/>
      <c r="V963" s="12"/>
      <c r="W963" s="12"/>
      <c r="X963" s="12"/>
      <c r="Y963" s="12"/>
      <c r="Z963" s="12"/>
      <c r="AA963" s="12"/>
      <c r="AB963" s="12"/>
      <c r="AC963" s="12"/>
      <c r="AD963" s="12"/>
      <c r="AE963" s="12"/>
      <c r="AF963" s="12"/>
    </row>
    <row r="964" spans="1:32" ht="13.2">
      <c r="A964" s="8"/>
      <c r="B964" s="8"/>
      <c r="C964" s="8"/>
      <c r="D964" s="8"/>
      <c r="E964" s="8"/>
      <c r="F964" s="8"/>
      <c r="G964" s="9"/>
      <c r="H964" s="8"/>
      <c r="I964" s="8"/>
      <c r="J964" s="8"/>
      <c r="K964" s="8"/>
      <c r="L964" s="8"/>
      <c r="M964" s="8"/>
      <c r="N964" s="8"/>
      <c r="O964" s="8"/>
      <c r="P964" s="8"/>
      <c r="Q964" s="8"/>
      <c r="R964" s="8"/>
      <c r="S964" s="8"/>
      <c r="T964" s="8"/>
      <c r="U964" s="12"/>
      <c r="V964" s="12"/>
      <c r="W964" s="12"/>
      <c r="X964" s="12"/>
      <c r="Y964" s="12"/>
      <c r="Z964" s="12"/>
      <c r="AA964" s="12"/>
      <c r="AB964" s="12"/>
      <c r="AC964" s="12"/>
      <c r="AD964" s="12"/>
      <c r="AE964" s="12"/>
      <c r="AF964" s="12"/>
    </row>
    <row r="965" spans="1:32" ht="13.2">
      <c r="A965" s="8"/>
      <c r="B965" s="8"/>
      <c r="C965" s="8"/>
      <c r="D965" s="8"/>
      <c r="E965" s="8"/>
      <c r="F965" s="8"/>
      <c r="G965" s="9"/>
      <c r="H965" s="8"/>
      <c r="I965" s="8"/>
      <c r="J965" s="8"/>
      <c r="K965" s="8"/>
      <c r="L965" s="8"/>
      <c r="M965" s="8"/>
      <c r="N965" s="8"/>
      <c r="O965" s="8"/>
      <c r="P965" s="8"/>
      <c r="Q965" s="8"/>
      <c r="R965" s="8"/>
      <c r="S965" s="8"/>
      <c r="T965" s="8"/>
      <c r="U965" s="12"/>
      <c r="V965" s="12"/>
      <c r="W965" s="12"/>
      <c r="X965" s="12"/>
      <c r="Y965" s="12"/>
      <c r="Z965" s="12"/>
      <c r="AA965" s="12"/>
      <c r="AB965" s="12"/>
      <c r="AC965" s="12"/>
      <c r="AD965" s="12"/>
      <c r="AE965" s="12"/>
      <c r="AF965" s="12"/>
    </row>
    <row r="966" spans="1:32" ht="13.2">
      <c r="A966" s="8"/>
      <c r="B966" s="8"/>
      <c r="C966" s="8"/>
      <c r="D966" s="8"/>
      <c r="E966" s="8"/>
      <c r="F966" s="8"/>
      <c r="G966" s="9"/>
      <c r="H966" s="8"/>
      <c r="I966" s="8"/>
      <c r="J966" s="8"/>
      <c r="K966" s="8"/>
      <c r="L966" s="8"/>
      <c r="M966" s="8"/>
      <c r="N966" s="8"/>
      <c r="O966" s="8"/>
      <c r="P966" s="8"/>
      <c r="Q966" s="8"/>
      <c r="R966" s="8"/>
      <c r="S966" s="8"/>
      <c r="T966" s="8"/>
      <c r="U966" s="12"/>
      <c r="V966" s="12"/>
      <c r="W966" s="12"/>
      <c r="X966" s="12"/>
      <c r="Y966" s="12"/>
      <c r="Z966" s="12"/>
      <c r="AA966" s="12"/>
      <c r="AB966" s="12"/>
      <c r="AC966" s="12"/>
      <c r="AD966" s="12"/>
      <c r="AE966" s="12"/>
      <c r="AF966" s="12"/>
    </row>
    <row r="967" spans="1:32" ht="13.2">
      <c r="A967" s="8"/>
      <c r="B967" s="8"/>
      <c r="C967" s="8"/>
      <c r="D967" s="8"/>
      <c r="E967" s="8"/>
      <c r="F967" s="8"/>
      <c r="G967" s="9"/>
      <c r="H967" s="8"/>
      <c r="I967" s="8"/>
      <c r="J967" s="8"/>
      <c r="K967" s="8"/>
      <c r="L967" s="8"/>
      <c r="M967" s="8"/>
      <c r="N967" s="8"/>
      <c r="O967" s="8"/>
      <c r="P967" s="8"/>
      <c r="Q967" s="8"/>
      <c r="R967" s="8"/>
      <c r="S967" s="8"/>
      <c r="T967" s="8"/>
      <c r="U967" s="12"/>
      <c r="V967" s="12"/>
      <c r="W967" s="12"/>
      <c r="X967" s="12"/>
      <c r="Y967" s="12"/>
      <c r="Z967" s="12"/>
      <c r="AA967" s="12"/>
      <c r="AB967" s="12"/>
      <c r="AC967" s="12"/>
      <c r="AD967" s="12"/>
      <c r="AE967" s="12"/>
      <c r="AF967" s="12"/>
    </row>
    <row r="968" spans="1:32" ht="13.2">
      <c r="A968" s="8"/>
      <c r="B968" s="8"/>
      <c r="C968" s="8"/>
      <c r="D968" s="8"/>
      <c r="E968" s="8"/>
      <c r="F968" s="8"/>
      <c r="G968" s="9"/>
      <c r="H968" s="8"/>
      <c r="I968" s="8"/>
      <c r="J968" s="8"/>
      <c r="K968" s="8"/>
      <c r="L968" s="8"/>
      <c r="M968" s="8"/>
      <c r="N968" s="8"/>
      <c r="O968" s="8"/>
      <c r="P968" s="8"/>
      <c r="Q968" s="8"/>
      <c r="R968" s="8"/>
      <c r="S968" s="8"/>
      <c r="T968" s="8"/>
      <c r="U968" s="12"/>
      <c r="V968" s="12"/>
      <c r="W968" s="12"/>
      <c r="X968" s="12"/>
      <c r="Y968" s="12"/>
      <c r="Z968" s="12"/>
      <c r="AA968" s="12"/>
      <c r="AB968" s="12"/>
      <c r="AC968" s="12"/>
      <c r="AD968" s="12"/>
      <c r="AE968" s="12"/>
      <c r="AF968" s="12"/>
    </row>
    <row r="969" spans="1:32" ht="13.2">
      <c r="A969" s="8"/>
      <c r="B969" s="8"/>
      <c r="C969" s="8"/>
      <c r="D969" s="8"/>
      <c r="E969" s="8"/>
      <c r="F969" s="8"/>
      <c r="G969" s="9"/>
      <c r="H969" s="8"/>
      <c r="I969" s="8"/>
      <c r="J969" s="8"/>
      <c r="K969" s="8"/>
      <c r="L969" s="8"/>
      <c r="M969" s="8"/>
      <c r="N969" s="8"/>
      <c r="O969" s="8"/>
      <c r="P969" s="8"/>
      <c r="Q969" s="8"/>
      <c r="R969" s="8"/>
      <c r="S969" s="8"/>
      <c r="T969" s="8"/>
      <c r="U969" s="12"/>
      <c r="V969" s="12"/>
      <c r="W969" s="12"/>
      <c r="X969" s="12"/>
      <c r="Y969" s="12"/>
      <c r="Z969" s="12"/>
      <c r="AA969" s="12"/>
      <c r="AB969" s="12"/>
      <c r="AC969" s="12"/>
      <c r="AD969" s="12"/>
      <c r="AE969" s="12"/>
      <c r="AF969" s="12"/>
    </row>
    <row r="970" spans="1:32" ht="13.2">
      <c r="A970" s="8"/>
      <c r="B970" s="8"/>
      <c r="C970" s="8"/>
      <c r="D970" s="8"/>
      <c r="E970" s="8"/>
      <c r="F970" s="8"/>
      <c r="G970" s="9"/>
      <c r="H970" s="8"/>
      <c r="I970" s="8"/>
      <c r="J970" s="8"/>
      <c r="K970" s="8"/>
      <c r="L970" s="8"/>
      <c r="M970" s="8"/>
      <c r="N970" s="8"/>
      <c r="O970" s="8"/>
      <c r="P970" s="8"/>
      <c r="Q970" s="8"/>
      <c r="R970" s="8"/>
      <c r="S970" s="8"/>
      <c r="T970" s="8"/>
      <c r="U970" s="12"/>
      <c r="V970" s="12"/>
      <c r="W970" s="12"/>
      <c r="X970" s="12"/>
      <c r="Y970" s="12"/>
      <c r="Z970" s="12"/>
      <c r="AA970" s="12"/>
      <c r="AB970" s="12"/>
      <c r="AC970" s="12"/>
      <c r="AD970" s="12"/>
      <c r="AE970" s="12"/>
      <c r="AF970" s="12"/>
    </row>
    <row r="971" spans="1:32" ht="13.2">
      <c r="A971" s="8"/>
      <c r="B971" s="8"/>
      <c r="C971" s="8"/>
      <c r="D971" s="8"/>
      <c r="E971" s="8"/>
      <c r="F971" s="8"/>
      <c r="G971" s="9"/>
      <c r="H971" s="8"/>
      <c r="I971" s="8"/>
      <c r="J971" s="8"/>
      <c r="K971" s="8"/>
      <c r="L971" s="8"/>
      <c r="M971" s="8"/>
      <c r="N971" s="8"/>
      <c r="O971" s="8"/>
      <c r="P971" s="8"/>
      <c r="Q971" s="8"/>
      <c r="R971" s="8"/>
      <c r="S971" s="8"/>
      <c r="T971" s="8"/>
      <c r="U971" s="12"/>
      <c r="V971" s="12"/>
      <c r="W971" s="12"/>
      <c r="X971" s="12"/>
      <c r="Y971" s="12"/>
      <c r="Z971" s="12"/>
      <c r="AA971" s="12"/>
      <c r="AB971" s="12"/>
      <c r="AC971" s="12"/>
      <c r="AD971" s="12"/>
      <c r="AE971" s="12"/>
      <c r="AF971" s="12"/>
    </row>
    <row r="972" spans="1:32" ht="13.2">
      <c r="A972" s="8"/>
      <c r="B972" s="8"/>
      <c r="C972" s="8"/>
      <c r="D972" s="8"/>
      <c r="E972" s="8"/>
      <c r="F972" s="8"/>
      <c r="G972" s="9"/>
      <c r="H972" s="8"/>
      <c r="I972" s="8"/>
      <c r="J972" s="8"/>
      <c r="K972" s="8"/>
      <c r="L972" s="8"/>
      <c r="M972" s="8"/>
      <c r="N972" s="8"/>
      <c r="O972" s="8"/>
      <c r="P972" s="8"/>
      <c r="Q972" s="8"/>
      <c r="R972" s="8"/>
      <c r="S972" s="8"/>
      <c r="T972" s="8"/>
      <c r="U972" s="12"/>
      <c r="V972" s="12"/>
      <c r="W972" s="12"/>
      <c r="X972" s="12"/>
      <c r="Y972" s="12"/>
      <c r="Z972" s="12"/>
      <c r="AA972" s="12"/>
      <c r="AB972" s="12"/>
      <c r="AC972" s="12"/>
      <c r="AD972" s="12"/>
      <c r="AE972" s="12"/>
      <c r="AF972" s="12"/>
    </row>
    <row r="973" spans="1:32" ht="13.2">
      <c r="A973" s="8"/>
      <c r="B973" s="8"/>
      <c r="C973" s="8"/>
      <c r="D973" s="8"/>
      <c r="E973" s="8"/>
      <c r="F973" s="8"/>
      <c r="G973" s="9"/>
      <c r="H973" s="8"/>
      <c r="I973" s="8"/>
      <c r="J973" s="8"/>
      <c r="K973" s="8"/>
      <c r="L973" s="8"/>
      <c r="M973" s="8"/>
      <c r="N973" s="8"/>
      <c r="O973" s="8"/>
      <c r="P973" s="8"/>
      <c r="Q973" s="8"/>
      <c r="R973" s="8"/>
      <c r="S973" s="8"/>
      <c r="T973" s="8"/>
      <c r="U973" s="12"/>
      <c r="V973" s="12"/>
      <c r="W973" s="12"/>
      <c r="X973" s="12"/>
      <c r="Y973" s="12"/>
      <c r="Z973" s="12"/>
      <c r="AA973" s="12"/>
      <c r="AB973" s="12"/>
      <c r="AC973" s="12"/>
      <c r="AD973" s="12"/>
      <c r="AE973" s="12"/>
      <c r="AF973" s="12"/>
    </row>
    <row r="974" spans="1:32" ht="13.2">
      <c r="A974" s="8"/>
      <c r="B974" s="8"/>
      <c r="C974" s="8"/>
      <c r="D974" s="8"/>
      <c r="E974" s="8"/>
      <c r="F974" s="8"/>
      <c r="G974" s="9"/>
      <c r="H974" s="8"/>
      <c r="I974" s="8"/>
      <c r="J974" s="8"/>
      <c r="K974" s="8"/>
      <c r="L974" s="8"/>
      <c r="M974" s="8"/>
      <c r="N974" s="8"/>
      <c r="O974" s="8"/>
      <c r="P974" s="8"/>
      <c r="Q974" s="8"/>
      <c r="R974" s="8"/>
      <c r="S974" s="8"/>
      <c r="T974" s="8"/>
      <c r="U974" s="12"/>
      <c r="V974" s="12"/>
      <c r="W974" s="12"/>
      <c r="X974" s="12"/>
      <c r="Y974" s="12"/>
      <c r="Z974" s="12"/>
      <c r="AA974" s="12"/>
      <c r="AB974" s="12"/>
      <c r="AC974" s="12"/>
      <c r="AD974" s="12"/>
      <c r="AE974" s="12"/>
      <c r="AF974" s="12"/>
    </row>
    <row r="975" spans="1:32" ht="13.2">
      <c r="A975" s="8"/>
      <c r="B975" s="8"/>
      <c r="C975" s="8"/>
      <c r="D975" s="8"/>
      <c r="E975" s="8"/>
      <c r="F975" s="8"/>
      <c r="G975" s="9"/>
      <c r="H975" s="8"/>
      <c r="I975" s="8"/>
      <c r="J975" s="8"/>
      <c r="K975" s="8"/>
      <c r="L975" s="8"/>
      <c r="M975" s="8"/>
      <c r="N975" s="8"/>
      <c r="O975" s="8"/>
      <c r="P975" s="8"/>
      <c r="Q975" s="8"/>
      <c r="R975" s="8"/>
      <c r="S975" s="8"/>
      <c r="T975" s="8"/>
      <c r="U975" s="12"/>
      <c r="V975" s="12"/>
      <c r="W975" s="12"/>
      <c r="X975" s="12"/>
      <c r="Y975" s="12"/>
      <c r="Z975" s="12"/>
      <c r="AA975" s="12"/>
      <c r="AB975" s="12"/>
      <c r="AC975" s="12"/>
      <c r="AD975" s="12"/>
      <c r="AE975" s="12"/>
      <c r="AF975" s="12"/>
    </row>
    <row r="976" spans="1:32" ht="13.2">
      <c r="A976" s="8"/>
      <c r="B976" s="8"/>
      <c r="C976" s="8"/>
      <c r="D976" s="8"/>
      <c r="E976" s="8"/>
      <c r="F976" s="8"/>
      <c r="G976" s="9"/>
      <c r="H976" s="8"/>
      <c r="I976" s="8"/>
      <c r="J976" s="8"/>
      <c r="K976" s="8"/>
      <c r="L976" s="8"/>
      <c r="M976" s="8"/>
      <c r="N976" s="8"/>
      <c r="O976" s="8"/>
      <c r="P976" s="8"/>
      <c r="Q976" s="8"/>
      <c r="R976" s="8"/>
      <c r="S976" s="8"/>
      <c r="T976" s="8"/>
      <c r="U976" s="12"/>
      <c r="V976" s="12"/>
      <c r="W976" s="12"/>
      <c r="X976" s="12"/>
      <c r="Y976" s="12"/>
      <c r="Z976" s="12"/>
      <c r="AA976" s="12"/>
      <c r="AB976" s="12"/>
      <c r="AC976" s="12"/>
      <c r="AD976" s="12"/>
      <c r="AE976" s="12"/>
      <c r="AF976" s="12"/>
    </row>
    <row r="977" spans="1:32" ht="13.2">
      <c r="A977" s="8"/>
      <c r="B977" s="8"/>
      <c r="C977" s="8"/>
      <c r="D977" s="8"/>
      <c r="E977" s="8"/>
      <c r="F977" s="8"/>
      <c r="G977" s="9"/>
      <c r="H977" s="8"/>
      <c r="I977" s="8"/>
      <c r="J977" s="8"/>
      <c r="K977" s="8"/>
      <c r="L977" s="8"/>
      <c r="M977" s="8"/>
      <c r="N977" s="8"/>
      <c r="O977" s="8"/>
      <c r="P977" s="8"/>
      <c r="Q977" s="8"/>
      <c r="R977" s="8"/>
      <c r="S977" s="8"/>
      <c r="T977" s="8"/>
      <c r="U977" s="12"/>
      <c r="V977" s="12"/>
      <c r="W977" s="12"/>
      <c r="X977" s="12"/>
      <c r="Y977" s="12"/>
      <c r="Z977" s="12"/>
      <c r="AA977" s="12"/>
      <c r="AB977" s="12"/>
      <c r="AC977" s="12"/>
      <c r="AD977" s="12"/>
      <c r="AE977" s="12"/>
      <c r="AF977" s="12"/>
    </row>
    <row r="978" spans="1:32" ht="13.2">
      <c r="A978" s="8"/>
      <c r="B978" s="8"/>
      <c r="C978" s="8"/>
      <c r="D978" s="8"/>
      <c r="E978" s="8"/>
      <c r="F978" s="8"/>
      <c r="G978" s="9"/>
      <c r="H978" s="8"/>
      <c r="I978" s="8"/>
      <c r="J978" s="8"/>
      <c r="K978" s="8"/>
      <c r="L978" s="8"/>
      <c r="M978" s="8"/>
      <c r="N978" s="8"/>
      <c r="O978" s="8"/>
      <c r="P978" s="8"/>
      <c r="Q978" s="8"/>
      <c r="R978" s="8"/>
      <c r="S978" s="8"/>
      <c r="T978" s="8"/>
      <c r="U978" s="12"/>
      <c r="V978" s="12"/>
      <c r="W978" s="12"/>
      <c r="X978" s="12"/>
      <c r="Y978" s="12"/>
      <c r="Z978" s="12"/>
      <c r="AA978" s="12"/>
      <c r="AB978" s="12"/>
      <c r="AC978" s="12"/>
      <c r="AD978" s="12"/>
      <c r="AE978" s="12"/>
      <c r="AF978" s="12"/>
    </row>
    <row r="979" spans="1:32" ht="13.2">
      <c r="A979" s="8"/>
      <c r="B979" s="8"/>
      <c r="C979" s="8"/>
      <c r="D979" s="8"/>
      <c r="E979" s="8"/>
      <c r="F979" s="8"/>
      <c r="G979" s="9"/>
      <c r="H979" s="8"/>
      <c r="I979" s="8"/>
      <c r="J979" s="8"/>
      <c r="K979" s="8"/>
      <c r="L979" s="8"/>
      <c r="M979" s="8"/>
      <c r="N979" s="8"/>
      <c r="O979" s="8"/>
      <c r="P979" s="8"/>
      <c r="Q979" s="8"/>
      <c r="R979" s="8"/>
      <c r="S979" s="8"/>
      <c r="T979" s="8"/>
      <c r="U979" s="12"/>
      <c r="V979" s="12"/>
      <c r="W979" s="12"/>
      <c r="X979" s="12"/>
      <c r="Y979" s="12"/>
      <c r="Z979" s="12"/>
      <c r="AA979" s="12"/>
      <c r="AB979" s="12"/>
      <c r="AC979" s="12"/>
      <c r="AD979" s="12"/>
      <c r="AE979" s="12"/>
      <c r="AF979" s="12"/>
    </row>
    <row r="980" spans="1:32" ht="13.2">
      <c r="A980" s="8"/>
      <c r="B980" s="8"/>
      <c r="C980" s="8"/>
      <c r="D980" s="8"/>
      <c r="E980" s="8"/>
      <c r="F980" s="8"/>
      <c r="G980" s="9"/>
      <c r="H980" s="8"/>
      <c r="I980" s="8"/>
      <c r="J980" s="8"/>
      <c r="K980" s="8"/>
      <c r="L980" s="8"/>
      <c r="M980" s="8"/>
      <c r="N980" s="8"/>
      <c r="O980" s="8"/>
      <c r="P980" s="8"/>
      <c r="Q980" s="8"/>
      <c r="R980" s="8"/>
      <c r="S980" s="8"/>
      <c r="T980" s="8"/>
      <c r="U980" s="12"/>
      <c r="V980" s="12"/>
      <c r="W980" s="12"/>
      <c r="X980" s="12"/>
      <c r="Y980" s="12"/>
      <c r="Z980" s="12"/>
      <c r="AA980" s="12"/>
      <c r="AB980" s="12"/>
      <c r="AC980" s="12"/>
      <c r="AD980" s="12"/>
      <c r="AE980" s="12"/>
      <c r="AF980" s="12"/>
    </row>
    <row r="981" spans="1:32" ht="13.2">
      <c r="A981" s="8"/>
      <c r="B981" s="8"/>
      <c r="C981" s="8"/>
      <c r="D981" s="8"/>
      <c r="E981" s="8"/>
      <c r="F981" s="8"/>
      <c r="G981" s="9"/>
      <c r="H981" s="8"/>
      <c r="I981" s="8"/>
      <c r="J981" s="8"/>
      <c r="K981" s="8"/>
      <c r="L981" s="8"/>
      <c r="M981" s="8"/>
      <c r="N981" s="8"/>
      <c r="O981" s="8"/>
      <c r="P981" s="8"/>
      <c r="Q981" s="8"/>
      <c r="R981" s="8"/>
      <c r="S981" s="8"/>
      <c r="T981" s="8"/>
      <c r="U981" s="12"/>
      <c r="V981" s="12"/>
      <c r="W981" s="12"/>
      <c r="X981" s="12"/>
      <c r="Y981" s="12"/>
      <c r="Z981" s="12"/>
      <c r="AA981" s="12"/>
      <c r="AB981" s="12"/>
      <c r="AC981" s="12"/>
      <c r="AD981" s="12"/>
      <c r="AE981" s="12"/>
      <c r="AF981" s="12"/>
    </row>
    <row r="982" spans="1:32" ht="13.2">
      <c r="A982" s="8"/>
      <c r="B982" s="8"/>
      <c r="C982" s="8"/>
      <c r="D982" s="8"/>
      <c r="E982" s="8"/>
      <c r="F982" s="8"/>
      <c r="G982" s="9"/>
      <c r="H982" s="8"/>
      <c r="I982" s="8"/>
      <c r="J982" s="8"/>
      <c r="K982" s="8"/>
      <c r="L982" s="8"/>
      <c r="M982" s="8"/>
      <c r="N982" s="8"/>
      <c r="O982" s="8"/>
      <c r="P982" s="8"/>
      <c r="Q982" s="8"/>
      <c r="R982" s="8"/>
      <c r="S982" s="8"/>
      <c r="T982" s="8"/>
      <c r="U982" s="12"/>
      <c r="V982" s="12"/>
      <c r="W982" s="12"/>
      <c r="X982" s="12"/>
      <c r="Y982" s="12"/>
      <c r="Z982" s="12"/>
      <c r="AA982" s="12"/>
      <c r="AB982" s="12"/>
      <c r="AC982" s="12"/>
      <c r="AD982" s="12"/>
      <c r="AE982" s="12"/>
      <c r="AF982" s="12"/>
    </row>
    <row r="983" spans="1:32" ht="13.2">
      <c r="A983" s="8"/>
      <c r="B983" s="8"/>
      <c r="C983" s="8"/>
      <c r="D983" s="8"/>
      <c r="E983" s="8"/>
      <c r="F983" s="8"/>
      <c r="G983" s="9"/>
      <c r="H983" s="8"/>
      <c r="I983" s="8"/>
      <c r="J983" s="8"/>
      <c r="K983" s="8"/>
      <c r="L983" s="8"/>
      <c r="M983" s="8"/>
      <c r="N983" s="8"/>
      <c r="O983" s="8"/>
      <c r="P983" s="8"/>
      <c r="Q983" s="8"/>
      <c r="R983" s="8"/>
      <c r="S983" s="8"/>
      <c r="T983" s="8"/>
      <c r="U983" s="12"/>
      <c r="V983" s="12"/>
      <c r="W983" s="12"/>
      <c r="X983" s="12"/>
      <c r="Y983" s="12"/>
      <c r="Z983" s="12"/>
      <c r="AA983" s="12"/>
      <c r="AB983" s="12"/>
      <c r="AC983" s="12"/>
      <c r="AD983" s="12"/>
      <c r="AE983" s="12"/>
      <c r="AF983" s="12"/>
    </row>
    <row r="984" spans="1:32" ht="13.2">
      <c r="A984" s="8"/>
      <c r="B984" s="8"/>
      <c r="C984" s="8"/>
      <c r="D984" s="8"/>
      <c r="E984" s="8"/>
      <c r="F984" s="8"/>
      <c r="G984" s="9"/>
      <c r="H984" s="8"/>
      <c r="I984" s="8"/>
      <c r="J984" s="8"/>
      <c r="K984" s="8"/>
      <c r="L984" s="8"/>
      <c r="M984" s="8"/>
      <c r="N984" s="8"/>
      <c r="O984" s="8"/>
      <c r="P984" s="8"/>
      <c r="Q984" s="8"/>
      <c r="R984" s="8"/>
      <c r="S984" s="8"/>
      <c r="T984" s="8"/>
      <c r="U984" s="12"/>
      <c r="V984" s="12"/>
      <c r="W984" s="12"/>
      <c r="X984" s="12"/>
      <c r="Y984" s="12"/>
      <c r="Z984" s="12"/>
      <c r="AA984" s="12"/>
      <c r="AB984" s="12"/>
      <c r="AC984" s="12"/>
      <c r="AD984" s="12"/>
      <c r="AE984" s="12"/>
      <c r="AF984" s="12"/>
    </row>
    <row r="985" spans="1:32" ht="13.2">
      <c r="A985" s="8"/>
      <c r="B985" s="8"/>
      <c r="C985" s="8"/>
      <c r="D985" s="8"/>
      <c r="E985" s="8"/>
      <c r="F985" s="8"/>
      <c r="G985" s="9"/>
      <c r="H985" s="8"/>
      <c r="I985" s="8"/>
      <c r="J985" s="8"/>
      <c r="K985" s="8"/>
      <c r="L985" s="8"/>
      <c r="M985" s="8"/>
      <c r="N985" s="8"/>
      <c r="O985" s="8"/>
      <c r="P985" s="8"/>
      <c r="Q985" s="8"/>
      <c r="R985" s="8"/>
      <c r="S985" s="8"/>
      <c r="T985" s="8"/>
      <c r="U985" s="12"/>
      <c r="V985" s="12"/>
      <c r="W985" s="12"/>
      <c r="X985" s="12"/>
      <c r="Y985" s="12"/>
      <c r="Z985" s="12"/>
      <c r="AA985" s="12"/>
      <c r="AB985" s="12"/>
      <c r="AC985" s="12"/>
      <c r="AD985" s="12"/>
      <c r="AE985" s="12"/>
      <c r="AF985" s="12"/>
    </row>
    <row r="986" spans="1:32" ht="13.2">
      <c r="A986" s="8"/>
      <c r="B986" s="8"/>
      <c r="C986" s="8"/>
      <c r="D986" s="8"/>
      <c r="E986" s="8"/>
      <c r="F986" s="8"/>
      <c r="G986" s="9"/>
      <c r="H986" s="8"/>
      <c r="I986" s="8"/>
      <c r="J986" s="8"/>
      <c r="K986" s="8"/>
      <c r="L986" s="8"/>
      <c r="M986" s="8"/>
      <c r="N986" s="8"/>
      <c r="O986" s="8"/>
      <c r="P986" s="8"/>
      <c r="Q986" s="8"/>
      <c r="R986" s="8"/>
      <c r="S986" s="8"/>
      <c r="T986" s="8"/>
      <c r="U986" s="12"/>
      <c r="V986" s="12"/>
      <c r="W986" s="12"/>
      <c r="X986" s="12"/>
      <c r="Y986" s="12"/>
      <c r="Z986" s="12"/>
      <c r="AA986" s="12"/>
      <c r="AB986" s="12"/>
      <c r="AC986" s="12"/>
      <c r="AD986" s="12"/>
      <c r="AE986" s="12"/>
      <c r="AF986" s="12"/>
    </row>
    <row r="987" spans="1:32" ht="13.2">
      <c r="A987" s="8"/>
      <c r="B987" s="8"/>
      <c r="C987" s="8"/>
      <c r="D987" s="8"/>
      <c r="E987" s="8"/>
      <c r="F987" s="8"/>
      <c r="G987" s="9"/>
      <c r="H987" s="8"/>
      <c r="I987" s="8"/>
      <c r="J987" s="8"/>
      <c r="K987" s="8"/>
      <c r="L987" s="8"/>
      <c r="M987" s="8"/>
      <c r="N987" s="8"/>
      <c r="O987" s="8"/>
      <c r="P987" s="8"/>
      <c r="Q987" s="8"/>
      <c r="R987" s="8"/>
      <c r="S987" s="8"/>
      <c r="T987" s="8"/>
      <c r="U987" s="12"/>
      <c r="V987" s="12"/>
      <c r="W987" s="12"/>
      <c r="X987" s="12"/>
      <c r="Y987" s="12"/>
      <c r="Z987" s="12"/>
      <c r="AA987" s="12"/>
      <c r="AB987" s="12"/>
      <c r="AC987" s="12"/>
      <c r="AD987" s="12"/>
      <c r="AE987" s="12"/>
      <c r="AF987" s="12"/>
    </row>
    <row r="988" spans="1:32" ht="13.2">
      <c r="A988" s="8"/>
      <c r="B988" s="8"/>
      <c r="C988" s="8"/>
      <c r="D988" s="8"/>
      <c r="E988" s="8"/>
      <c r="F988" s="8"/>
      <c r="G988" s="9"/>
      <c r="H988" s="8"/>
      <c r="I988" s="8"/>
      <c r="J988" s="8"/>
      <c r="K988" s="8"/>
      <c r="L988" s="8"/>
      <c r="M988" s="8"/>
      <c r="N988" s="8"/>
      <c r="O988" s="8"/>
      <c r="P988" s="8"/>
      <c r="Q988" s="8"/>
      <c r="R988" s="8"/>
      <c r="S988" s="8"/>
      <c r="T988" s="8"/>
      <c r="U988" s="12"/>
      <c r="V988" s="12"/>
      <c r="W988" s="12"/>
      <c r="X988" s="12"/>
      <c r="Y988" s="12"/>
      <c r="Z988" s="12"/>
      <c r="AA988" s="12"/>
      <c r="AB988" s="12"/>
      <c r="AC988" s="12"/>
      <c r="AD988" s="12"/>
      <c r="AE988" s="12"/>
      <c r="AF988" s="12"/>
    </row>
    <row r="989" spans="1:32" ht="13.2">
      <c r="A989" s="8"/>
      <c r="B989" s="8"/>
      <c r="C989" s="8"/>
      <c r="D989" s="8"/>
      <c r="E989" s="8"/>
      <c r="F989" s="8"/>
      <c r="G989" s="9"/>
      <c r="H989" s="8"/>
      <c r="I989" s="8"/>
      <c r="J989" s="8"/>
      <c r="K989" s="8"/>
      <c r="L989" s="8"/>
      <c r="M989" s="8"/>
      <c r="N989" s="8"/>
      <c r="O989" s="8"/>
      <c r="P989" s="8"/>
      <c r="Q989" s="8"/>
      <c r="R989" s="8"/>
      <c r="S989" s="8"/>
      <c r="T989" s="8"/>
      <c r="U989" s="12"/>
      <c r="V989" s="12"/>
      <c r="W989" s="12"/>
      <c r="X989" s="12"/>
      <c r="Y989" s="12"/>
      <c r="Z989" s="12"/>
      <c r="AA989" s="12"/>
      <c r="AB989" s="12"/>
      <c r="AC989" s="12"/>
      <c r="AD989" s="12"/>
      <c r="AE989" s="12"/>
      <c r="AF989" s="12"/>
    </row>
    <row r="990" spans="1:32" ht="13.2">
      <c r="A990" s="8"/>
      <c r="B990" s="8"/>
      <c r="C990" s="8"/>
      <c r="D990" s="8"/>
      <c r="E990" s="8"/>
      <c r="F990" s="8"/>
      <c r="G990" s="9"/>
      <c r="H990" s="8"/>
      <c r="I990" s="8"/>
      <c r="J990" s="8"/>
      <c r="K990" s="8"/>
      <c r="L990" s="8"/>
      <c r="M990" s="8"/>
      <c r="N990" s="8"/>
      <c r="O990" s="8"/>
      <c r="P990" s="8"/>
      <c r="Q990" s="8"/>
      <c r="R990" s="8"/>
      <c r="S990" s="8"/>
      <c r="T990" s="8"/>
      <c r="U990" s="12"/>
      <c r="V990" s="12"/>
      <c r="W990" s="12"/>
      <c r="X990" s="12"/>
      <c r="Y990" s="12"/>
      <c r="Z990" s="12"/>
      <c r="AA990" s="12"/>
      <c r="AB990" s="12"/>
      <c r="AC990" s="12"/>
      <c r="AD990" s="12"/>
      <c r="AE990" s="12"/>
      <c r="AF990" s="12"/>
    </row>
    <row r="991" spans="1:32" ht="13.2">
      <c r="A991" s="8"/>
      <c r="B991" s="8"/>
      <c r="C991" s="8"/>
      <c r="D991" s="8"/>
      <c r="E991" s="8"/>
      <c r="F991" s="8"/>
      <c r="G991" s="9"/>
      <c r="H991" s="8"/>
      <c r="I991" s="8"/>
      <c r="J991" s="8"/>
      <c r="K991" s="8"/>
      <c r="L991" s="8"/>
      <c r="M991" s="8"/>
      <c r="N991" s="8"/>
      <c r="O991" s="8"/>
      <c r="P991" s="8"/>
      <c r="Q991" s="8"/>
      <c r="R991" s="8"/>
      <c r="S991" s="8"/>
      <c r="T991" s="8"/>
      <c r="U991" s="12"/>
      <c r="V991" s="12"/>
      <c r="W991" s="12"/>
      <c r="X991" s="12"/>
      <c r="Y991" s="12"/>
      <c r="Z991" s="12"/>
      <c r="AA991" s="12"/>
      <c r="AB991" s="12"/>
      <c r="AC991" s="12"/>
      <c r="AD991" s="12"/>
      <c r="AE991" s="12"/>
      <c r="AF991" s="12"/>
    </row>
    <row r="992" spans="1:32" ht="13.2">
      <c r="A992" s="8"/>
      <c r="B992" s="8"/>
      <c r="C992" s="8"/>
      <c r="D992" s="8"/>
      <c r="E992" s="8"/>
      <c r="F992" s="8"/>
      <c r="G992" s="9"/>
      <c r="H992" s="8"/>
      <c r="I992" s="8"/>
      <c r="J992" s="8"/>
      <c r="K992" s="8"/>
      <c r="L992" s="8"/>
      <c r="M992" s="8"/>
      <c r="N992" s="8"/>
      <c r="O992" s="8"/>
      <c r="P992" s="8"/>
      <c r="Q992" s="8"/>
      <c r="R992" s="8"/>
      <c r="S992" s="8"/>
      <c r="T992" s="8"/>
      <c r="U992" s="12"/>
      <c r="V992" s="12"/>
      <c r="W992" s="12"/>
      <c r="X992" s="12"/>
      <c r="Y992" s="12"/>
      <c r="Z992" s="12"/>
      <c r="AA992" s="12"/>
      <c r="AB992" s="12"/>
      <c r="AC992" s="12"/>
      <c r="AD992" s="12"/>
      <c r="AE992" s="12"/>
      <c r="AF992" s="12"/>
    </row>
    <row r="993" spans="1:32" ht="13.2">
      <c r="A993" s="8"/>
      <c r="B993" s="8"/>
      <c r="C993" s="8"/>
      <c r="D993" s="8"/>
      <c r="E993" s="8"/>
      <c r="F993" s="8"/>
      <c r="G993" s="9"/>
      <c r="H993" s="8"/>
      <c r="I993" s="8"/>
      <c r="J993" s="8"/>
      <c r="K993" s="8"/>
      <c r="L993" s="8"/>
      <c r="M993" s="8"/>
      <c r="N993" s="8"/>
      <c r="O993" s="8"/>
      <c r="P993" s="8"/>
      <c r="Q993" s="8"/>
      <c r="R993" s="8"/>
      <c r="S993" s="8"/>
      <c r="T993" s="8"/>
      <c r="U993" s="12"/>
      <c r="V993" s="12"/>
      <c r="W993" s="12"/>
      <c r="X993" s="12"/>
      <c r="Y993" s="12"/>
      <c r="Z993" s="12"/>
      <c r="AA993" s="12"/>
      <c r="AB993" s="12"/>
      <c r="AC993" s="12"/>
      <c r="AD993" s="12"/>
      <c r="AE993" s="12"/>
      <c r="AF993" s="12"/>
    </row>
  </sheetData>
  <conditionalFormatting sqref="G42">
    <cfRule type="notContainsBlanks" dxfId="12" priority="4">
      <formula>LEN(TRIM(G42))&gt;0</formula>
    </cfRule>
  </conditionalFormatting>
  <conditionalFormatting sqref="Y1:Y993">
    <cfRule type="cellIs" dxfId="11" priority="1" operator="lessThan">
      <formula>4</formula>
    </cfRule>
  </conditionalFormatting>
  <conditionalFormatting sqref="Z1:Z993">
    <cfRule type="cellIs" dxfId="10" priority="2" operator="lessThan">
      <formula>3</formula>
    </cfRule>
  </conditionalFormatting>
  <conditionalFormatting sqref="AA1:AA993">
    <cfRule type="cellIs" dxfId="9" priority="3" operator="lessThan">
      <formula>1</formula>
    </cfRule>
  </conditionalFormatting>
  <pageMargins left="0.7" right="0.7" top="0.75" bottom="0.75" header="0.3" footer="0.3"/>
  <tableParts count="2">
    <tablePart r:id="rId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T997"/>
  <sheetViews>
    <sheetView workbookViewId="0">
      <pane ySplit="1" topLeftCell="A2" activePane="bottomLeft" state="frozen"/>
      <selection pane="bottomLeft" activeCell="B3" sqref="B3"/>
    </sheetView>
  </sheetViews>
  <sheetFormatPr defaultColWidth="12.6640625" defaultRowHeight="15.75" customHeight="1"/>
  <cols>
    <col min="1" max="1" width="10.6640625" customWidth="1"/>
    <col min="2" max="2" width="9.33203125" customWidth="1"/>
    <col min="3" max="3" width="8.88671875" customWidth="1"/>
    <col min="4" max="4" width="9" customWidth="1"/>
    <col min="5" max="5" width="21.77734375" customWidth="1"/>
    <col min="6" max="6" width="31.6640625" customWidth="1"/>
    <col min="8" max="8" width="42.88671875" customWidth="1"/>
    <col min="9" max="9" width="12.21875" customWidth="1"/>
    <col min="10" max="10" width="34.21875" customWidth="1"/>
    <col min="12" max="12" width="40.21875" customWidth="1"/>
    <col min="14" max="14" width="37.21875" customWidth="1"/>
    <col min="16" max="16" width="46.109375" customWidth="1"/>
    <col min="18" max="18" width="45.6640625" customWidth="1"/>
    <col min="20" max="20" width="49.109375" customWidth="1"/>
  </cols>
  <sheetData>
    <row r="1" spans="1:46">
      <c r="A1" s="31" t="s">
        <v>0</v>
      </c>
      <c r="B1" s="31" t="s">
        <v>1</v>
      </c>
      <c r="C1" s="31" t="s">
        <v>2</v>
      </c>
      <c r="D1" s="32" t="s">
        <v>3</v>
      </c>
      <c r="E1" s="32" t="s">
        <v>4</v>
      </c>
      <c r="F1" s="32" t="s">
        <v>5</v>
      </c>
      <c r="G1" s="32" t="s">
        <v>6</v>
      </c>
      <c r="H1" s="32" t="s">
        <v>7</v>
      </c>
      <c r="I1" s="7" t="s">
        <v>8</v>
      </c>
      <c r="J1" s="7" t="s">
        <v>9</v>
      </c>
      <c r="K1" s="7" t="s">
        <v>10</v>
      </c>
      <c r="L1" s="7" t="s">
        <v>11</v>
      </c>
      <c r="M1" s="7" t="s">
        <v>12</v>
      </c>
      <c r="N1" s="7" t="s">
        <v>13</v>
      </c>
      <c r="O1" s="7" t="s">
        <v>14</v>
      </c>
      <c r="P1" s="7" t="s">
        <v>15</v>
      </c>
      <c r="Q1" s="7" t="s">
        <v>16</v>
      </c>
      <c r="R1" s="7" t="s">
        <v>17</v>
      </c>
      <c r="S1" s="7" t="s">
        <v>18</v>
      </c>
      <c r="T1" s="7" t="s">
        <v>19</v>
      </c>
      <c r="U1" s="33" t="s">
        <v>20</v>
      </c>
      <c r="V1" s="33" t="s">
        <v>21</v>
      </c>
      <c r="W1" s="33" t="s">
        <v>22</v>
      </c>
      <c r="X1" s="33" t="s">
        <v>23</v>
      </c>
      <c r="Y1" s="34" t="s">
        <v>24</v>
      </c>
      <c r="Z1" s="34" t="s">
        <v>25</v>
      </c>
      <c r="AA1" s="34" t="s">
        <v>26</v>
      </c>
      <c r="AB1" s="35" t="s">
        <v>27</v>
      </c>
      <c r="AC1" s="36" t="s">
        <v>28</v>
      </c>
      <c r="AD1" s="36" t="s">
        <v>29</v>
      </c>
      <c r="AE1" s="36" t="s">
        <v>30</v>
      </c>
      <c r="AF1" s="37" t="s">
        <v>31</v>
      </c>
      <c r="AG1" s="6" t="s">
        <v>32</v>
      </c>
      <c r="AH1" s="7" t="s">
        <v>33</v>
      </c>
      <c r="AI1" s="6" t="s">
        <v>34</v>
      </c>
      <c r="AJ1" s="7" t="s">
        <v>35</v>
      </c>
      <c r="AK1" s="6" t="s">
        <v>36</v>
      </c>
      <c r="AL1" s="7" t="s">
        <v>37</v>
      </c>
      <c r="AM1" s="6" t="s">
        <v>38</v>
      </c>
      <c r="AN1" s="7" t="s">
        <v>39</v>
      </c>
      <c r="AO1" s="6" t="s">
        <v>40</v>
      </c>
      <c r="AP1" s="7" t="s">
        <v>41</v>
      </c>
      <c r="AQ1" s="6" t="s">
        <v>42</v>
      </c>
      <c r="AR1" s="7" t="s">
        <v>43</v>
      </c>
      <c r="AS1" s="6" t="s">
        <v>44</v>
      </c>
      <c r="AT1" s="7" t="s">
        <v>45</v>
      </c>
    </row>
    <row r="2" spans="1:46">
      <c r="A2" s="8" t="s">
        <v>247</v>
      </c>
      <c r="B2" s="8" t="s">
        <v>47</v>
      </c>
      <c r="C2" s="8" t="s">
        <v>48</v>
      </c>
      <c r="D2" s="8" t="s">
        <v>49</v>
      </c>
      <c r="E2" s="8" t="s">
        <v>248</v>
      </c>
      <c r="F2" s="8" t="s">
        <v>249</v>
      </c>
      <c r="G2" s="8" t="s">
        <v>250</v>
      </c>
      <c r="H2" s="8" t="str">
        <f ca="1">IFERROR(__xludf.DUMMYFUNCTION("VLOOKUP(G2, IMPORTRANGE(""https://docs.google.com/spreadsheets/d/14deopnvwcrKtEGCKuYXdUHJbeLDZlkiSSWWT0g7x2pM/edit#gid=999382323"", ""LU List Maths (Filter)!A:B""), 2, FALSE)"),"Place value system in whole numbers (upto 9-digit numbers)")</f>
        <v>Place value system in whole numbers (upto 9-digit numbers)</v>
      </c>
      <c r="I2" s="10" t="str">
        <f t="shared" ref="I2:I175" si="0">G2 &amp; ".001"</f>
        <v>LU000153.001</v>
      </c>
      <c r="J2" s="10" t="str">
        <f ca="1">IFERROR(__xludf.DUMMYFUNCTION("VLOOKUP(I2, IMPORTRANGE(""https://docs.google.com/spreadsheets/d/1yDAaXNsi4Mr5FtRQL4tbmSdIzhx6_m4wkOD7IG-k_eo/edit#gid=0"", ""Maths!M:N""), 2, FALSE)"),"Define place value system in whole numbers and list its key components.")</f>
        <v>Define place value system in whole numbers and list its key components.</v>
      </c>
      <c r="K2" s="10" t="str">
        <f t="shared" ref="K2:K175" si="1">G2 &amp; ".002"</f>
        <v>LU000153.002</v>
      </c>
      <c r="L2" s="10" t="str">
        <f ca="1">IFERROR(__xludf.DUMMYFUNCTION("VLOOKUP(K2, IMPORTRANGE(""https://docs.google.com/spreadsheets/d/1yDAaXNsi4Mr5FtRQL4tbmSdIzhx6_m4wkOD7IG-k_eo/edit#gid=0"", ""Maths!M:N""), 2, FALSE)"),"Explain the concept of the place value system in your own words and describe its significance in representing whole numbers.")</f>
        <v>Explain the concept of the place value system in your own words and describe its significance in representing whole numbers.</v>
      </c>
      <c r="M2" s="10" t="str">
        <f t="shared" ref="M2:M175" si="2">G2 &amp; ".003"</f>
        <v>LU000153.003</v>
      </c>
      <c r="N2" s="10" t="str">
        <f ca="1">IFERROR(__xludf.DUMMYFUNCTION("VLOOKUP(M2, IMPORTRANGE(""https://docs.google.com/spreadsheets/d/1yDAaXNsi4Mr5FtRQL4tbmSdIzhx6_m4wkOD7IG-k_eo/edit#gid=0"", ""Maths!M:N""), 2, FALSE)"),"Apply the understanding of the place value system to represent multi-digit whole numbers.")</f>
        <v>Apply the understanding of the place value system to represent multi-digit whole numbers.</v>
      </c>
      <c r="O2" s="10" t="str">
        <f t="shared" ref="O2:O175" si="3">G2 &amp; ".004"</f>
        <v>LU000153.004</v>
      </c>
      <c r="P2" s="10" t="str">
        <f ca="1">IFERROR(__xludf.DUMMYFUNCTION("VLOOKUP(O2, IMPORTRANGE(""https://docs.google.com/spreadsheets/d/1yDAaXNsi4Mr5FtRQL4tbmSdIzhx6_m4wkOD7IG-k_eo/edit#gid=0"", ""Maths!M:N""), 2, FALSE)"),"Analyse the relationships between the digits and their respective place values within a given whole number.")</f>
        <v>Analyse the relationships between the digits and their respective place values within a given whole number.</v>
      </c>
      <c r="Q2" s="10" t="str">
        <f t="shared" ref="Q2:Q175" si="4">G2 &amp; ".005"</f>
        <v>LU000153.005</v>
      </c>
      <c r="R2" s="10" t="str">
        <f ca="1">IFERROR(__xludf.DUMMYFUNCTION("VLOOKUP(Q2, IMPORTRANGE(""https://docs.google.com/spreadsheets/d/1yDAaXNsi4Mr5FtRQL4tbmSdIzhx6_m4wkOD7IG-k_eo/edit#gid=0"", ""Maths!M:N""), 2, FALSE)"),"Evaluate the effectiveness of the place value system in making large whole numbers easier to read, write and compare.")</f>
        <v>Evaluate the effectiveness of the place value system in making large whole numbers easier to read, write and compare.</v>
      </c>
      <c r="S2" s="10" t="str">
        <f t="shared" ref="S2:S175" si="5">G2 &amp; ".006"</f>
        <v>LU000153.006</v>
      </c>
      <c r="T2" s="10" t="str">
        <f ca="1">IFERROR(__xludf.DUMMYFUNCTION("VLOOKUP(S2, IMPORTRANGE(""https://docs.google.com/spreadsheets/d/1yDAaXNsi4Mr5FtRQL4tbmSdIzhx6_m4wkOD7IG-k_eo/edit#gid=0"", ""Maths!M:N""), 2, FALSE)"),"Design a series of exercises or activities that progressively teach the place value system in whole numbers to students, incorporating real-life scenarios for practical understanding.")</f>
        <v>Design a series of exercises or activities that progressively teach the place value system in whole numbers to students, incorporating real-life scenarios for practical understanding.</v>
      </c>
      <c r="U2" s="11">
        <f ca="1">IFERROR(__xludf.DUMMYFUNCTION("ArrayFormula(VLOOKUP(G2, IMPORTRANGE(""https://docs.google.com/spreadsheets/d/1p7R4vtkWt5VOBim4ltsDG9KTzSjrtKXsMtQGXPHyND0/edit#gid=795171502"", ""'Filter 30_05_2024'!A1:M2000""), {2, 3, 4, 5,6,7,8,9,10,11,12,13}, 0))"),3)</f>
        <v>3</v>
      </c>
      <c r="V2" s="11">
        <f ca="1">IFERROR(__xludf.DUMMYFUNCTION("""COMPUTED_VALUE"""),11)</f>
        <v>11</v>
      </c>
      <c r="W2" s="11">
        <f ca="1">IFERROR(__xludf.DUMMYFUNCTION("""COMPUTED_VALUE"""),4)</f>
        <v>4</v>
      </c>
      <c r="X2" s="11">
        <f ca="1">IFERROR(__xludf.DUMMYFUNCTION("""COMPUTED_VALUE"""),18)</f>
        <v>18</v>
      </c>
      <c r="Y2" s="11">
        <f ca="1">IFERROR(__xludf.DUMMYFUNCTION("""COMPUTED_VALUE"""),3)</f>
        <v>3</v>
      </c>
      <c r="Z2" s="29">
        <f ca="1">IFERROR(__xludf.DUMMYFUNCTION("""COMPUTED_VALUE"""),5)</f>
        <v>5</v>
      </c>
      <c r="AA2" s="29">
        <f ca="1">IFERROR(__xludf.DUMMYFUNCTION("""COMPUTED_VALUE"""),3)</f>
        <v>3</v>
      </c>
      <c r="AB2" s="12">
        <f ca="1">IFERROR(__xludf.DUMMYFUNCTION("""COMPUTED_VALUE"""),11)</f>
        <v>11</v>
      </c>
      <c r="AC2" s="11"/>
      <c r="AD2" s="12"/>
      <c r="AE2" s="12"/>
      <c r="AF2" s="12"/>
      <c r="AG2" s="13" t="str">
        <f ca="1">IFERROR(__xludf.DUMMYFUNCTION("ArrayFormula(VLOOKUP(G2, IMPORTRANGE(""https://docs.google.com/spreadsheets/d/1Co934fvtviyaRiMsrIlT05Jaq7iiYq07aLvRr35KA48/edit?gid=173865642#gid=173865642"", ""'G6_Maths_Pri_LU'!G2:V2000""), {3, 4, 5, 6, 7, 8, 9, 10, 11, 12, 13, 14, 15, 16}, 0))"),"")</f>
        <v/>
      </c>
      <c r="AH2" s="13"/>
      <c r="AI2" s="13"/>
      <c r="AJ2" s="13"/>
      <c r="AK2" s="13"/>
      <c r="AL2" s="13"/>
      <c r="AM2" s="13"/>
      <c r="AN2" s="13"/>
      <c r="AO2" s="13"/>
      <c r="AP2" s="13"/>
      <c r="AQ2" s="13"/>
      <c r="AR2" s="13"/>
      <c r="AS2" s="13"/>
      <c r="AT2" s="13"/>
    </row>
    <row r="3" spans="1:46">
      <c r="A3" s="8" t="s">
        <v>247</v>
      </c>
      <c r="B3" s="8" t="s">
        <v>47</v>
      </c>
      <c r="C3" s="8" t="s">
        <v>48</v>
      </c>
      <c r="D3" s="8" t="s">
        <v>49</v>
      </c>
      <c r="E3" s="8" t="s">
        <v>248</v>
      </c>
      <c r="F3" s="8" t="s">
        <v>249</v>
      </c>
      <c r="G3" s="8" t="s">
        <v>251</v>
      </c>
      <c r="H3" s="8" t="str">
        <f ca="1">IFERROR(__xludf.DUMMYFUNCTION("VLOOKUP(G3, IMPORTRANGE(""https://docs.google.com/spreadsheets/d/14deopnvwcrKtEGCKuYXdUHJbeLDZlkiSSWWT0g7x2pM/edit#gid=999382323"", ""LU List Maths (Filter)!A:B""), 2, FALSE)"),"Numerical expansion of whole numbers (upto 9-digit numbers)")</f>
        <v>Numerical expansion of whole numbers (upto 9-digit numbers)</v>
      </c>
      <c r="I3" s="10" t="str">
        <f t="shared" si="0"/>
        <v>LU000156.001</v>
      </c>
      <c r="J3" s="10" t="str">
        <f ca="1">IFERROR(__xludf.DUMMYFUNCTION("VLOOKUP(I3, IMPORTRANGE(""https://docs.google.com/spreadsheets/d/1yDAaXNsi4Mr5FtRQL4tbmSdIzhx6_m4wkOD7IG-k_eo/edit#gid=0"", ""Maths!M:N""), 2, FALSE)"),"Recall the method for numerically expanding whole numbers up to nine digits.")</f>
        <v>Recall the method for numerically expanding whole numbers up to nine digits.</v>
      </c>
      <c r="K3" s="10" t="str">
        <f t="shared" si="1"/>
        <v>LU000156.002</v>
      </c>
      <c r="L3" s="10" t="str">
        <f ca="1">IFERROR(__xludf.DUMMYFUNCTION("VLOOKUP(K3, IMPORTRANGE(""https://docs.google.com/spreadsheets/d/1yDAaXNsi4Mr5FtRQL4tbmSdIzhx6_m4wkOD7IG-k_eo/edit#gid=0"", ""Maths!M:N""), 2, FALSE)"),"Explain the concept of the expanded form of a whole number and its role in representing the value of each digit within the number")</f>
        <v>Explain the concept of the expanded form of a whole number and its role in representing the value of each digit within the number</v>
      </c>
      <c r="M3" s="10" t="str">
        <f t="shared" si="2"/>
        <v>LU000156.003</v>
      </c>
      <c r="N3" s="10" t="str">
        <f ca="1">IFERROR(__xludf.DUMMYFUNCTION("VLOOKUP(M3, IMPORTRANGE(""https://docs.google.com/spreadsheets/d/1yDAaXNsi4Mr5FtRQL4tbmSdIzhx6_m4wkOD7IG-k_eo/edit#gid=0"", ""Maths!M:N""), 2, FALSE)"),"Apply the knowledge of the expanded form to read and represent multi-digit whole numbers.")</f>
        <v>Apply the knowledge of the expanded form to read and represent multi-digit whole numbers.</v>
      </c>
      <c r="O3" s="10" t="str">
        <f t="shared" si="3"/>
        <v>LU000156.004</v>
      </c>
      <c r="P3" s="10" t="str">
        <f ca="1">IFERROR(__xludf.DUMMYFUNCTION("VLOOKUP(O3, IMPORTRANGE(""https://docs.google.com/spreadsheets/d/1yDAaXNsi4Mr5FtRQL4tbmSdIzhx6_m4wkOD7IG-k_eo/edit#gid=0"", ""Maths!M:N""), 2, FALSE)"),"Analyse the digits of a given whole number and construct its expanded form using place value concepts.")</f>
        <v>Analyse the digits of a given whole number and construct its expanded form using place value concepts.</v>
      </c>
      <c r="Q3" s="10" t="str">
        <f t="shared" si="4"/>
        <v>LU000156.005</v>
      </c>
      <c r="R3" s="10" t="str">
        <f ca="1">IFERROR(__xludf.DUMMYFUNCTION("VLOOKUP(Q3, IMPORTRANGE(""https://docs.google.com/spreadsheets/d/1yDAaXNsi4Mr5FtRQL4tbmSdIzhx6_m4wkOD7IG-k_eo/edit#gid=0"", ""Maths!M:N""), 2, FALSE)"),"Evaluate the effectiveness of using expanded form as a way to visually represent and understand the composition of whole numbers.")</f>
        <v>Evaluate the effectiveness of using expanded form as a way to visually represent and understand the composition of whole numbers.</v>
      </c>
      <c r="S3" s="10" t="str">
        <f t="shared" si="5"/>
        <v>LU000156.006</v>
      </c>
      <c r="T3" s="10" t="str">
        <f ca="1">IFERROR(__xludf.DUMMYFUNCTION("VLOOKUP(S3, IMPORTRANGE(""https://docs.google.com/spreadsheets/d/1yDAaXNsi4Mr5FtRQL4tbmSdIzhx6_m4wkOD7IG-k_eo/edit#gid=0"", ""Maths!M:N""), 2, FALSE)"),"#N/A")</f>
        <v>#N/A</v>
      </c>
      <c r="U3" s="11">
        <f ca="1">IFERROR(__xludf.DUMMYFUNCTION("ArrayFormula(VLOOKUP(G3, IMPORTRANGE(""https://docs.google.com/spreadsheets/d/1p7R4vtkWt5VOBim4ltsDG9KTzSjrtKXsMtQGXPHyND0/edit#gid=795171502"", ""'Filter 30_05_2024'!A1:M2000""), {2, 3, 4, 5,6,7,8,9,10,11,12,13}, 0))"),6)</f>
        <v>6</v>
      </c>
      <c r="V3" s="11">
        <f ca="1">IFERROR(__xludf.DUMMYFUNCTION("""COMPUTED_VALUE"""),6)</f>
        <v>6</v>
      </c>
      <c r="W3" s="11">
        <f ca="1">IFERROR(__xludf.DUMMYFUNCTION("""COMPUTED_VALUE"""),10)</f>
        <v>10</v>
      </c>
      <c r="X3" s="11">
        <f ca="1">IFERROR(__xludf.DUMMYFUNCTION("""COMPUTED_VALUE"""),22)</f>
        <v>22</v>
      </c>
      <c r="Y3" s="11">
        <f ca="1">IFERROR(__xludf.DUMMYFUNCTION("""COMPUTED_VALUE"""),5)</f>
        <v>5</v>
      </c>
      <c r="Z3" s="29">
        <f ca="1">IFERROR(__xludf.DUMMYFUNCTION("""COMPUTED_VALUE"""),4)</f>
        <v>4</v>
      </c>
      <c r="AA3" s="29">
        <f ca="1">IFERROR(__xludf.DUMMYFUNCTION("""COMPUTED_VALUE"""),2)</f>
        <v>2</v>
      </c>
      <c r="AB3" s="12">
        <f ca="1">IFERROR(__xludf.DUMMYFUNCTION("""COMPUTED_VALUE"""),11)</f>
        <v>11</v>
      </c>
      <c r="AC3" s="12"/>
      <c r="AD3" s="12"/>
      <c r="AE3" s="12"/>
      <c r="AF3" s="12"/>
      <c r="AG3" s="13" t="str">
        <f ca="1">IFERROR(__xludf.DUMMYFUNCTION("ArrayFormula(VLOOKUP(G3, IMPORTRANGE(""https://docs.google.com/spreadsheets/d/1Co934fvtviyaRiMsrIlT05Jaq7iiYq07aLvRr35KA48/edit?gid=173865642#gid=173865642"", ""'G6_Maths_Pri_LU'!G2:V2000""), {3, 4, 5, 6, 7, 8, 9, 10, 11, 12, 13, 14, 15, 16}, 0))"),"LU000153")</f>
        <v>LU000153</v>
      </c>
      <c r="AH3" s="13" t="str">
        <f ca="1">IFERROR(__xludf.DUMMYFUNCTION("""COMPUTED_VALUE"""),"Place value system in whole numbers (upto 9-digit numbers)")</f>
        <v>Place value system in whole numbers (upto 9-digit numbers)</v>
      </c>
      <c r="AI3" s="13" t="str">
        <f ca="1">IFERROR(__xludf.DUMMYFUNCTION("""COMPUTED_VALUE"""),"LU000119")</f>
        <v>LU000119</v>
      </c>
      <c r="AJ3" s="13" t="str">
        <f ca="1">IFERROR(__xludf.DUMMYFUNCTION("""COMPUTED_VALUE"""),"Multiplication of numbers by multiples of 10")</f>
        <v>Multiplication of numbers by multiples of 10</v>
      </c>
      <c r="AK3" s="13"/>
      <c r="AL3" s="13"/>
      <c r="AM3" s="13"/>
      <c r="AN3" s="13"/>
      <c r="AO3" s="13"/>
      <c r="AP3" s="13"/>
      <c r="AQ3" s="13"/>
      <c r="AR3" s="13"/>
      <c r="AS3" s="13"/>
      <c r="AT3" s="13"/>
    </row>
    <row r="4" spans="1:46">
      <c r="A4" s="8" t="s">
        <v>247</v>
      </c>
      <c r="B4" s="8" t="s">
        <v>47</v>
      </c>
      <c r="C4" s="8" t="s">
        <v>48</v>
      </c>
      <c r="D4" s="8" t="s">
        <v>49</v>
      </c>
      <c r="E4" s="8" t="s">
        <v>248</v>
      </c>
      <c r="F4" s="13" t="s">
        <v>252</v>
      </c>
      <c r="G4" s="8" t="s">
        <v>253</v>
      </c>
      <c r="H4" s="8" t="str">
        <f ca="1">IFERROR(__xludf.DUMMYFUNCTION("VLOOKUP(G4, IMPORTRANGE(""https://docs.google.com/spreadsheets/d/14deopnvwcrKtEGCKuYXdUHJbeLDZlkiSSWWT0g7x2pM/edit#gid=999382323"", ""LU List Maths (Filter)!A:B""), 2, FALSE)"),"Conversion of names of whole number (upto 9-digit numbers) into numerical form")</f>
        <v>Conversion of names of whole number (upto 9-digit numbers) into numerical form</v>
      </c>
      <c r="I4" s="10" t="str">
        <f t="shared" si="0"/>
        <v>LU000157.001</v>
      </c>
      <c r="J4" s="10" t="str">
        <f ca="1">IFERROR(__xludf.DUMMYFUNCTION("VLOOKUP(I4, IMPORTRANGE(""https://docs.google.com/spreadsheets/d/1yDAaXNsi4Mr5FtRQL4tbmSdIzhx6_m4wkOD7IG-k_eo/edit#gid=0"", ""Maths!M:N""), 2, FALSE)"),"Recall the process of writing number names in numerals and identify the correct numerals for given number names.")</f>
        <v>Recall the process of writing number names in numerals and identify the correct numerals for given number names.</v>
      </c>
      <c r="K4" s="10" t="str">
        <f t="shared" si="1"/>
        <v>LU000157.002</v>
      </c>
      <c r="L4" s="10" t="str">
        <f ca="1">IFERROR(__xludf.DUMMYFUNCTION("VLOOKUP(K4, IMPORTRANGE(""https://docs.google.com/spreadsheets/d/1yDAaXNsi4Mr5FtRQL4tbmSdIzhx6_m4wkOD7IG-k_eo/edit#gid=0"", ""Maths!M:N""), 2, FALSE)"),"Explain the process of converting written names of whole numbers into their numerical form.")</f>
        <v>Explain the process of converting written names of whole numbers into their numerical form.</v>
      </c>
      <c r="M4" s="10" t="str">
        <f t="shared" si="2"/>
        <v>LU000157.003</v>
      </c>
      <c r="N4" s="10" t="str">
        <f ca="1">IFERROR(__xludf.DUMMYFUNCTION("VLOOKUP(M4, IMPORTRANGE(""https://docs.google.com/spreadsheets/d/1yDAaXNsi4Mr5FtRQL4tbmSdIzhx6_m4wkOD7IG-k_eo/edit#gid=0"", ""Maths!M:N""), 2, FALSE)"),"Apply the rules for writing number names in numerals.")</f>
        <v>Apply the rules for writing number names in numerals.</v>
      </c>
      <c r="O4" s="10" t="str">
        <f t="shared" si="3"/>
        <v>LU000157.004</v>
      </c>
      <c r="P4" s="10" t="str">
        <f ca="1">IFERROR(__xludf.DUMMYFUNCTION("VLOOKUP(O4, IMPORTRANGE(""https://docs.google.com/spreadsheets/d/1yDAaXNsi4Mr5FtRQL4tbmSdIzhx6_m4wkOD7IG-k_eo/edit#gid=0"", ""Maths!M:N""), 2, FALSE)"),"Examine and categorise various whole numbers up to nine digits, presented in word form, by converting them into their corresponding numerical representations.")</f>
        <v>Examine and categorise various whole numbers up to nine digits, presented in word form, by converting them into their corresponding numerical representations.</v>
      </c>
      <c r="Q4" s="10" t="str">
        <f t="shared" si="4"/>
        <v>LU000157.005</v>
      </c>
      <c r="R4" s="10" t="str">
        <f ca="1">IFERROR(__xludf.DUMMYFUNCTION("VLOOKUP(Q4, IMPORTRANGE(""https://docs.google.com/spreadsheets/d/1yDAaXNsi4Mr5FtRQL4tbmSdIzhx6_m4wkOD7IG-k_eo/edit#gid=0"", ""Maths!M:N""), 2, FALSE)"),"Assess and choose the most accurate numerical representation for whole numbers up to nine digits expressed in word form, justifying the conversion process used.")</f>
        <v>Assess and choose the most accurate numerical representation for whole numbers up to nine digits expressed in word form, justifying the conversion process used.</v>
      </c>
      <c r="S4" s="10" t="str">
        <f t="shared" si="5"/>
        <v>LU000157.006</v>
      </c>
      <c r="T4" s="10" t="str">
        <f ca="1">IFERROR(__xludf.DUMMYFUNCTION("VLOOKUP(S4, IMPORTRANGE(""https://docs.google.com/spreadsheets/d/1yDAaXNsi4Mr5FtRQL4tbmSdIzhx6_m4wkOD7IG-k_eo/edit#gid=0"", ""Maths!M:N""), 2, FALSE)"),"Design a set of real-world scenarios or problems that require students to convert number names to numerals")</f>
        <v>Design a set of real-world scenarios or problems that require students to convert number names to numerals</v>
      </c>
      <c r="U4" s="11">
        <f ca="1">IFERROR(__xludf.DUMMYFUNCTION("ArrayFormula(VLOOKUP(G4, IMPORTRANGE(""https://docs.google.com/spreadsheets/d/1p7R4vtkWt5VOBim4ltsDG9KTzSjrtKXsMtQGXPHyND0/edit#gid=795171502"", ""'Filter 30_05_2024'!A1:M2000""), {2, 3, 4, 5,6,7,8,9,10,11,12,13}, 0))"),9)</f>
        <v>9</v>
      </c>
      <c r="V4" s="11">
        <f ca="1">IFERROR(__xludf.DUMMYFUNCTION("""COMPUTED_VALUE"""),6)</f>
        <v>6</v>
      </c>
      <c r="W4" s="11">
        <f ca="1">IFERROR(__xludf.DUMMYFUNCTION("""COMPUTED_VALUE"""),2)</f>
        <v>2</v>
      </c>
      <c r="X4" s="11">
        <f ca="1">IFERROR(__xludf.DUMMYFUNCTION("""COMPUTED_VALUE"""),17)</f>
        <v>17</v>
      </c>
      <c r="Y4" s="11">
        <f ca="1">IFERROR(__xludf.DUMMYFUNCTION("""COMPUTED_VALUE"""),5)</f>
        <v>5</v>
      </c>
      <c r="Z4" s="29">
        <f ca="1">IFERROR(__xludf.DUMMYFUNCTION("""COMPUTED_VALUE"""),3)</f>
        <v>3</v>
      </c>
      <c r="AA4" s="29">
        <f ca="1">IFERROR(__xludf.DUMMYFUNCTION("""COMPUTED_VALUE"""),1)</f>
        <v>1</v>
      </c>
      <c r="AB4" s="12">
        <f ca="1">IFERROR(__xludf.DUMMYFUNCTION("""COMPUTED_VALUE"""),9)</f>
        <v>9</v>
      </c>
      <c r="AC4" s="12"/>
      <c r="AD4" s="12"/>
      <c r="AE4" s="12"/>
      <c r="AF4" s="12"/>
      <c r="AG4" s="13" t="str">
        <f ca="1">IFERROR(__xludf.DUMMYFUNCTION("ArrayFormula(VLOOKUP(G4, IMPORTRANGE(""https://docs.google.com/spreadsheets/d/1Co934fvtviyaRiMsrIlT05Jaq7iiYq07aLvRr35KA48/edit?gid=173865642#gid=173865642"", ""'G6_Maths_Pri_LU'!G2:V2000""), {3, 4, 5, 6, 7, 8, 9, 10, 11, 12, 13, 14, 15, 16}, 0))"),"LU000153")</f>
        <v>LU000153</v>
      </c>
      <c r="AH4" s="13" t="str">
        <f ca="1">IFERROR(__xludf.DUMMYFUNCTION("""COMPUTED_VALUE"""),"Place value system in whole numbers (upto 9-digit numbers)")</f>
        <v>Place value system in whole numbers (upto 9-digit numbers)</v>
      </c>
      <c r="AI4" s="13" t="str">
        <f ca="1">IFERROR(__xludf.DUMMYFUNCTION("""COMPUTED_VALUE"""),"LU000119")</f>
        <v>LU000119</v>
      </c>
      <c r="AJ4" s="13" t="str">
        <f ca="1">IFERROR(__xludf.DUMMYFUNCTION("""COMPUTED_VALUE"""),"Multiplication of numbers by multiples of 10")</f>
        <v>Multiplication of numbers by multiples of 10</v>
      </c>
      <c r="AK4" s="13"/>
      <c r="AL4" s="13"/>
      <c r="AM4" s="13"/>
      <c r="AN4" s="13"/>
      <c r="AO4" s="13"/>
      <c r="AP4" s="13"/>
      <c r="AQ4" s="13"/>
      <c r="AR4" s="13"/>
      <c r="AS4" s="13"/>
      <c r="AT4" s="13"/>
    </row>
    <row r="5" spans="1:46">
      <c r="A5" s="8" t="s">
        <v>247</v>
      </c>
      <c r="B5" s="8" t="s">
        <v>47</v>
      </c>
      <c r="C5" s="8" t="s">
        <v>48</v>
      </c>
      <c r="D5" s="8" t="s">
        <v>49</v>
      </c>
      <c r="E5" s="8" t="s">
        <v>248</v>
      </c>
      <c r="F5" s="13" t="s">
        <v>252</v>
      </c>
      <c r="G5" s="8" t="s">
        <v>254</v>
      </c>
      <c r="H5" s="8" t="str">
        <f ca="1">IFERROR(__xludf.DUMMYFUNCTION("VLOOKUP(G5, IMPORTRANGE(""https://docs.google.com/spreadsheets/d/14deopnvwcrKtEGCKuYXdUHJbeLDZlkiSSWWT0g7x2pM/edit#gid=999382323"", ""LU List Maths (Filter)!A:B""), 2, FALSE)"),"Interpretation of whole number in numerical form (upto 9-digit numbers) into number names")</f>
        <v>Interpretation of whole number in numerical form (upto 9-digit numbers) into number names</v>
      </c>
      <c r="I5" s="10" t="str">
        <f t="shared" si="0"/>
        <v>LU000158.001</v>
      </c>
      <c r="J5" s="10" t="str">
        <f ca="1">IFERROR(__xludf.DUMMYFUNCTION("VLOOKUP(I5, IMPORTRANGE(""https://docs.google.com/spreadsheets/d/1yDAaXNsi4Mr5FtRQL4tbmSdIzhx6_m4wkOD7IG-k_eo/edit#gid=0"", ""Maths!M:N""), 2, FALSE)"),"List the names of the place values used in writing numbers in words.")</f>
        <v>List the names of the place values used in writing numbers in words.</v>
      </c>
      <c r="K5" s="10" t="str">
        <f t="shared" si="1"/>
        <v>LU000158.002</v>
      </c>
      <c r="L5" s="10" t="str">
        <f ca="1">IFERROR(__xludf.DUMMYFUNCTION("VLOOKUP(K5, IMPORTRANGE(""https://docs.google.com/spreadsheets/d/1yDAaXNsi4Mr5FtRQL4tbmSdIzhx6_m4wkOD7IG-k_eo/edit#gid=0"", ""Maths!M:N""), 2, FALSE)"),"Explain the significance of writing numbers in words")</f>
        <v>Explain the significance of writing numbers in words</v>
      </c>
      <c r="M5" s="10" t="str">
        <f t="shared" si="2"/>
        <v>LU000158.003</v>
      </c>
      <c r="N5" s="10" t="str">
        <f ca="1">IFERROR(__xludf.DUMMYFUNCTION("VLOOKUP(M5, IMPORTRANGE(""https://docs.google.com/spreadsheets/d/1yDAaXNsi4Mr5FtRQL4tbmSdIzhx6_m4wkOD7IG-k_eo/edit#gid=0"", ""Maths!M:N""), 2, FALSE)"),"Apply the rules of writing numbers in words to convert given numerical values into word format.")</f>
        <v>Apply the rules of writing numbers in words to convert given numerical values into word format.</v>
      </c>
      <c r="O5" s="10" t="str">
        <f t="shared" si="3"/>
        <v>LU000158.004</v>
      </c>
      <c r="P5" s="10" t="str">
        <f ca="1">IFERROR(__xludf.DUMMYFUNCTION("VLOOKUP(O5, IMPORTRANGE(""https://docs.google.com/spreadsheets/d/1yDAaXNsi4Mr5FtRQL4tbmSdIzhx6_m4wkOD7IG-k_eo/edit#gid=0"", ""Maths!M:N""), 2, FALSE)"),"Examine how the placement of commas affects the readability of numbers written in words.")</f>
        <v>Examine how the placement of commas affects the readability of numbers written in words.</v>
      </c>
      <c r="Q5" s="10" t="str">
        <f t="shared" si="4"/>
        <v>LU000158.005</v>
      </c>
      <c r="R5" s="10" t="str">
        <f ca="1">IFERROR(__xludf.DUMMYFUNCTION("VLOOKUP(Q5, IMPORTRANGE(""https://docs.google.com/spreadsheets/d/1yDAaXNsi4Mr5FtRQL4tbmSdIzhx6_m4wkOD7IG-k_eo/edit#gid=0"", ""Maths!M:N""), 2, FALSE)"),"Assess and critique the accuracy of expanded forms in words for whole numbers up to nine digits.")</f>
        <v>Assess and critique the accuracy of expanded forms in words for whole numbers up to nine digits.</v>
      </c>
      <c r="S5" s="10" t="str">
        <f t="shared" si="5"/>
        <v>LU000158.006</v>
      </c>
      <c r="T5" s="10" t="str">
        <f ca="1">IFERROR(__xludf.DUMMYFUNCTION("VLOOKUP(S5, IMPORTRANGE(""https://docs.google.com/spreadsheets/d/1yDAaXNsi4Mr5FtRQL4tbmSdIzhx6_m4wkOD7IG-k_eo/edit#gid=0"", ""Maths!M:N""), 2, FALSE)"),"#N/A")</f>
        <v>#N/A</v>
      </c>
      <c r="U5" s="11">
        <f ca="1">IFERROR(__xludf.DUMMYFUNCTION("ArrayFormula(VLOOKUP(G5, IMPORTRANGE(""https://docs.google.com/spreadsheets/d/1p7R4vtkWt5VOBim4ltsDG9KTzSjrtKXsMtQGXPHyND0/edit#gid=795171502"", ""'Filter 30_05_2024'!A1:M2000""), {2, 3, 4, 5,6,7,8,9,10,11,12,13}, 0))"),4)</f>
        <v>4</v>
      </c>
      <c r="V5" s="11">
        <f ca="1">IFERROR(__xludf.DUMMYFUNCTION("""COMPUTED_VALUE"""),6)</f>
        <v>6</v>
      </c>
      <c r="W5" s="11">
        <f ca="1">IFERROR(__xludf.DUMMYFUNCTION("""COMPUTED_VALUE"""),2)</f>
        <v>2</v>
      </c>
      <c r="X5" s="11">
        <f ca="1">IFERROR(__xludf.DUMMYFUNCTION("""COMPUTED_VALUE"""),12)</f>
        <v>12</v>
      </c>
      <c r="Y5" s="11">
        <f ca="1">IFERROR(__xludf.DUMMYFUNCTION("""COMPUTED_VALUE"""),4)</f>
        <v>4</v>
      </c>
      <c r="Z5" s="29">
        <f ca="1">IFERROR(__xludf.DUMMYFUNCTION("""COMPUTED_VALUE"""),3)</f>
        <v>3</v>
      </c>
      <c r="AA5" s="29">
        <f ca="1">IFERROR(__xludf.DUMMYFUNCTION("""COMPUTED_VALUE"""),1)</f>
        <v>1</v>
      </c>
      <c r="AB5" s="12">
        <f ca="1">IFERROR(__xludf.DUMMYFUNCTION("""COMPUTED_VALUE"""),8)</f>
        <v>8</v>
      </c>
      <c r="AC5" s="12"/>
      <c r="AD5" s="12"/>
      <c r="AE5" s="12"/>
      <c r="AF5" s="12"/>
      <c r="AG5" s="13" t="str">
        <f ca="1">IFERROR(__xludf.DUMMYFUNCTION("ArrayFormula(VLOOKUP(G5, IMPORTRANGE(""https://docs.google.com/spreadsheets/d/1Co934fvtviyaRiMsrIlT05Jaq7iiYq07aLvRr35KA48/edit?gid=173865642#gid=173865642"", ""'G6_Maths_Pri_LU'!G2:V2000""), {3, 4, 5, 6, 7, 8, 9, 10, 11, 12, 13, 14, 15, 16}, 0))"),"LU000153")</f>
        <v>LU000153</v>
      </c>
      <c r="AH5" s="13" t="str">
        <f ca="1">IFERROR(__xludf.DUMMYFUNCTION("""COMPUTED_VALUE"""),"Place value system in whole numbers (upto 9-digit numbers)")</f>
        <v>Place value system in whole numbers (upto 9-digit numbers)</v>
      </c>
      <c r="AI5" s="13" t="str">
        <f ca="1">IFERROR(__xludf.DUMMYFUNCTION("""COMPUTED_VALUE"""),"LU000119")</f>
        <v>LU000119</v>
      </c>
      <c r="AJ5" s="13" t="str">
        <f ca="1">IFERROR(__xludf.DUMMYFUNCTION("""COMPUTED_VALUE"""),"Multiplication of numbers by multiples of 10")</f>
        <v>Multiplication of numbers by multiples of 10</v>
      </c>
      <c r="AK5" s="13"/>
      <c r="AL5" s="13"/>
      <c r="AM5" s="13"/>
      <c r="AN5" s="13"/>
      <c r="AO5" s="13"/>
      <c r="AP5" s="13"/>
      <c r="AQ5" s="13"/>
      <c r="AR5" s="13"/>
      <c r="AS5" s="13"/>
      <c r="AT5" s="13"/>
    </row>
    <row r="6" spans="1:46">
      <c r="A6" s="8" t="s">
        <v>247</v>
      </c>
      <c r="B6" s="8" t="s">
        <v>47</v>
      </c>
      <c r="C6" s="8" t="s">
        <v>48</v>
      </c>
      <c r="D6" s="8" t="s">
        <v>49</v>
      </c>
      <c r="E6" s="8" t="s">
        <v>248</v>
      </c>
      <c r="F6" s="8" t="s">
        <v>255</v>
      </c>
      <c r="G6" s="8" t="s">
        <v>95</v>
      </c>
      <c r="H6" s="8" t="str">
        <f ca="1">IFERROR(__xludf.DUMMYFUNCTION("VLOOKUP(G6, IMPORTRANGE(""https://docs.google.com/spreadsheets/d/14deopnvwcrKtEGCKuYXdUHJbeLDZlkiSSWWT0g7x2pM/edit#gid=999382323"", ""LU List Maths (Filter)!A:B""), 2, FALSE)"),"Formation of number using given digits")</f>
        <v>Formation of number using given digits</v>
      </c>
      <c r="I6" s="10" t="str">
        <f t="shared" si="0"/>
        <v>LU000945.001</v>
      </c>
      <c r="J6" s="10" t="str">
        <f ca="1">IFERROR(__xludf.DUMMYFUNCTION("VLOOKUP(I6, IMPORTRANGE(""https://docs.google.com/spreadsheets/d/1yDAaXNsi4Mr5FtRQL4tbmSdIzhx6_m4wkOD7IG-k_eo/edit#gid=0"", ""Maths!M:N""), 2, FALSE)"),"Identify and recall the basic principles of number formation using given digits.")</f>
        <v>Identify and recall the basic principles of number formation using given digits.</v>
      </c>
      <c r="K6" s="10" t="str">
        <f t="shared" si="1"/>
        <v>LU000945.002</v>
      </c>
      <c r="L6" s="10" t="str">
        <f ca="1">IFERROR(__xludf.DUMMYFUNCTION("VLOOKUP(K6, IMPORTRANGE(""https://docs.google.com/spreadsheets/d/1yDAaXNsi4Mr5FtRQL4tbmSdIzhx6_m4wkOD7IG-k_eo/edit#gid=0"", ""Maths!M:N""), 2, FALSE)"),"Explain how different numbers can be formed by rearranging a given set of digits.")</f>
        <v>Explain how different numbers can be formed by rearranging a given set of digits.</v>
      </c>
      <c r="M6" s="10" t="str">
        <f t="shared" si="2"/>
        <v>LU000945.003</v>
      </c>
      <c r="N6" s="10" t="str">
        <f ca="1">IFERROR(__xludf.DUMMYFUNCTION("VLOOKUP(M6, IMPORTRANGE(""https://docs.google.com/spreadsheets/d/1yDAaXNsi4Mr5FtRQL4tbmSdIzhx6_m4wkOD7IG-k_eo/edit#gid=0"", ""Maths!M:N""), 2, FALSE)"),"Construct various numbers using a provided set of digits, following place value principles.")</f>
        <v>Construct various numbers using a provided set of digits, following place value principles.</v>
      </c>
      <c r="O6" s="10" t="str">
        <f t="shared" si="3"/>
        <v>LU000945.004</v>
      </c>
      <c r="P6" s="10" t="str">
        <f ca="1">IFERROR(__xludf.DUMMYFUNCTION("VLOOKUP(O6, IMPORTRANGE(""https://docs.google.com/spreadsheets/d/1yDAaXNsi4Mr5FtRQL4tbmSdIzhx6_m4wkOD7IG-k_eo/edit#gid=0"", ""Maths!M:N""), 2, FALSE)"),"Distinguish between the largest and smallest numbers that can be formed from a given set of digits and explain the reasoning.")</f>
        <v>Distinguish between the largest and smallest numbers that can be formed from a given set of digits and explain the reasoning.</v>
      </c>
      <c r="Q6" s="10" t="str">
        <f t="shared" si="4"/>
        <v>LU000945.005</v>
      </c>
      <c r="R6" s="10" t="str">
        <f ca="1">IFERROR(__xludf.DUMMYFUNCTION("VLOOKUP(Q6, IMPORTRANGE(""https://docs.google.com/spreadsheets/d/1yDAaXNsi4Mr5FtRQL4tbmSdIzhx6_m4wkOD7IG-k_eo/edit#gid=0"", ""Maths!M:N""), 2, FALSE)"),"Assess and correct a series of numbers formed from a given set of digits, identifying and explaining any errors in their formation.")</f>
        <v>Assess and correct a series of numbers formed from a given set of digits, identifying and explaining any errors in their formation.</v>
      </c>
      <c r="S6" s="10" t="str">
        <f t="shared" si="5"/>
        <v>LU000945.006</v>
      </c>
      <c r="T6" s="10" t="str">
        <f ca="1">IFERROR(__xludf.DUMMYFUNCTION("VLOOKUP(S6, IMPORTRANGE(""https://docs.google.com/spreadsheets/d/1yDAaXNsi4Mr5FtRQL4tbmSdIzhx6_m4wkOD7IG-k_eo/edit#gid=0"", ""Maths!M:N""), 2, FALSE)"),"Design a challenging number formation puzzle using a specific set of digits, which requires applying knowledge of place value and number formation.")</f>
        <v>Design a challenging number formation puzzle using a specific set of digits, which requires applying knowledge of place value and number formation.</v>
      </c>
      <c r="U6" s="11">
        <f ca="1">IFERROR(__xludf.DUMMYFUNCTION("ArrayFormula(VLOOKUP(G6, IMPORTRANGE(""https://docs.google.com/spreadsheets/d/1p7R4vtkWt5VOBim4ltsDG9KTzSjrtKXsMtQGXPHyND0/edit#gid=795171502"", ""'Filter 30_05_2024'!A1:M2000""), {2, 3, 4, 5,6,7,8,9,10,11,12,13}, 0))"),7)</f>
        <v>7</v>
      </c>
      <c r="V6" s="11">
        <f ca="1">IFERROR(__xludf.DUMMYFUNCTION("""COMPUTED_VALUE"""),8)</f>
        <v>8</v>
      </c>
      <c r="W6" s="11">
        <f ca="1">IFERROR(__xludf.DUMMYFUNCTION("""COMPUTED_VALUE"""),12)</f>
        <v>12</v>
      </c>
      <c r="X6" s="11">
        <f ca="1">IFERROR(__xludf.DUMMYFUNCTION("""COMPUTED_VALUE"""),27)</f>
        <v>27</v>
      </c>
      <c r="Y6" s="11">
        <f ca="1">IFERROR(__xludf.DUMMYFUNCTION("""COMPUTED_VALUE"""),5)</f>
        <v>5</v>
      </c>
      <c r="Z6" s="29">
        <f ca="1">IFERROR(__xludf.DUMMYFUNCTION("""COMPUTED_VALUE"""),6)</f>
        <v>6</v>
      </c>
      <c r="AA6" s="29">
        <f ca="1">IFERROR(__xludf.DUMMYFUNCTION("""COMPUTED_VALUE"""),5)</f>
        <v>5</v>
      </c>
      <c r="AB6" s="12">
        <f ca="1">IFERROR(__xludf.DUMMYFUNCTION("""COMPUTED_VALUE"""),16)</f>
        <v>16</v>
      </c>
      <c r="AC6" s="12"/>
      <c r="AD6" s="12"/>
      <c r="AE6" s="12"/>
      <c r="AF6" s="12"/>
      <c r="AG6" s="13" t="str">
        <f ca="1">IFERROR(__xludf.DUMMYFUNCTION("ArrayFormula(VLOOKUP(G6, IMPORTRANGE(""https://docs.google.com/spreadsheets/d/1Co934fvtviyaRiMsrIlT05Jaq7iiYq07aLvRr35KA48/edit?gid=173865642#gid=173865642"", ""'G6_Maths_Pri_LU'!G2:V2000""), {3, 4, 5, 6, 7, 8, 9, 10, 11, 12, 13, 14, 15, 16}, 0))"),"LU000153")</f>
        <v>LU000153</v>
      </c>
      <c r="AH6" s="13" t="str">
        <f ca="1">IFERROR(__xludf.DUMMYFUNCTION("""COMPUTED_VALUE"""),"Place value system in whole numbers (upto 9-digit numbers)")</f>
        <v>Place value system in whole numbers (upto 9-digit numbers)</v>
      </c>
      <c r="AI6" s="13"/>
      <c r="AJ6" s="13"/>
      <c r="AK6" s="13"/>
      <c r="AL6" s="13"/>
      <c r="AM6" s="13"/>
      <c r="AN6" s="13"/>
      <c r="AO6" s="13"/>
      <c r="AP6" s="13"/>
      <c r="AQ6" s="13"/>
      <c r="AR6" s="13"/>
      <c r="AS6" s="13"/>
      <c r="AT6" s="13"/>
    </row>
    <row r="7" spans="1:46">
      <c r="A7" s="8" t="s">
        <v>247</v>
      </c>
      <c r="B7" s="8" t="s">
        <v>47</v>
      </c>
      <c r="C7" s="8" t="s">
        <v>48</v>
      </c>
      <c r="D7" s="8" t="s">
        <v>49</v>
      </c>
      <c r="E7" s="8" t="s">
        <v>248</v>
      </c>
      <c r="F7" s="8" t="s">
        <v>255</v>
      </c>
      <c r="G7" s="8" t="s">
        <v>85</v>
      </c>
      <c r="H7" s="8" t="str">
        <f ca="1">IFERROR(__xludf.DUMMYFUNCTION("VLOOKUP(G7, IMPORTRANGE(""https://docs.google.com/spreadsheets/d/14deopnvwcrKtEGCKuYXdUHJbeLDZlkiSSWWT0g7x2pM/edit#gid=999382323"", ""LU List Maths (Filter)!A:B""), 2, FALSE)"),"Comparison of whole numbers (upto 9-digit numbers)")</f>
        <v>Comparison of whole numbers (upto 9-digit numbers)</v>
      </c>
      <c r="I7" s="10" t="str">
        <f t="shared" si="0"/>
        <v>LU000154.001</v>
      </c>
      <c r="J7" s="10" t="str">
        <f ca="1">IFERROR(__xludf.DUMMYFUNCTION("VLOOKUP(I7, IMPORTRANGE(""https://docs.google.com/spreadsheets/d/1yDAaXNsi4Mr5FtRQL4tbmSdIzhx6_m4wkOD7IG-k_eo/edit#gid=0"", ""Maths!M:N""), 2, FALSE)"),"Identify the symbols (&gt;, &lt;, =) used for comparison of numbers.")</f>
        <v>Identify the symbols (&gt;, &lt;, =) used for comparison of numbers.</v>
      </c>
      <c r="K7" s="10" t="str">
        <f t="shared" si="1"/>
        <v>LU000154.002</v>
      </c>
      <c r="L7" s="10" t="str">
        <f ca="1">IFERROR(__xludf.DUMMYFUNCTION("VLOOKUP(K7, IMPORTRANGE(""https://docs.google.com/spreadsheets/d/1yDAaXNsi4Mr5FtRQL4tbmSdIzhx6_m4wkOD7IG-k_eo/edit#gid=0"", ""Maths!M:N""), 2, FALSE)"),"Explain the concept of comparing numbers and the significance of using comparison symbols to represent relationships between numbers.")</f>
        <v>Explain the concept of comparing numbers and the significance of using comparison symbols to represent relationships between numbers.</v>
      </c>
      <c r="M7" s="10" t="str">
        <f t="shared" si="2"/>
        <v>LU000154.003</v>
      </c>
      <c r="N7" s="10" t="str">
        <f ca="1">IFERROR(__xludf.DUMMYFUNCTION("VLOOKUP(M7, IMPORTRANGE(""https://docs.google.com/spreadsheets/d/1yDAaXNsi4Mr5FtRQL4tbmSdIzhx6_m4wkOD7IG-k_eo/edit#gid=0"", ""Maths!M:N""), 2, FALSE)"),"Apply the comparison symbols to correctly compare pairs of numbers and determine their order.")</f>
        <v>Apply the comparison symbols to correctly compare pairs of numbers and determine their order.</v>
      </c>
      <c r="O7" s="10" t="str">
        <f t="shared" si="3"/>
        <v>LU000154.004</v>
      </c>
      <c r="P7" s="10" t="str">
        <f ca="1">IFERROR(__xludf.DUMMYFUNCTION("VLOOKUP(O7, IMPORTRANGE(""https://docs.google.com/spreadsheets/d/1yDAaXNsi4Mr5FtRQL4tbmSdIzhx6_m4wkOD7IG-k_eo/edit#gid=0"", ""Maths!M:N""), 2, FALSE)"),"Analyze the properties of different numbers to predict their order when compared, considering place value.")</f>
        <v>Analyze the properties of different numbers to predict their order when compared, considering place value.</v>
      </c>
      <c r="Q7" s="10" t="str">
        <f t="shared" si="4"/>
        <v>LU000154.005</v>
      </c>
      <c r="R7" s="10" t="str">
        <f ca="1">IFERROR(__xludf.DUMMYFUNCTION("VLOOKUP(Q7, IMPORTRANGE(""https://docs.google.com/spreadsheets/d/1yDAaXNsi4Mr5FtRQL4tbmSdIzhx6_m4wkOD7IG-k_eo/edit#gid=0"", ""Maths!M:N""), 2, FALSE)"),"Evaluate the importance of accurate number comparison in real-world situations, such as making decisions based on quantities.")</f>
        <v>Evaluate the importance of accurate number comparison in real-world situations, such as making decisions based on quantities.</v>
      </c>
      <c r="S7" s="10" t="str">
        <f t="shared" si="5"/>
        <v>LU000154.006</v>
      </c>
      <c r="T7" s="10" t="str">
        <f ca="1">IFERROR(__xludf.DUMMYFUNCTION("VLOOKUP(S7, IMPORTRANGE(""https://docs.google.com/spreadsheets/d/1yDAaXNsi4Mr5FtRQL4tbmSdIzhx6_m4wkOD7IG-k_eo/edit#gid=0"", ""Maths!M:N""), 2, FALSE)"),"Design a set of word problems that require students to compare numbers in various contexts.")</f>
        <v>Design a set of word problems that require students to compare numbers in various contexts.</v>
      </c>
      <c r="U7" s="11">
        <f ca="1">IFERROR(__xludf.DUMMYFUNCTION("ArrayFormula(VLOOKUP(G7, IMPORTRANGE(""https://docs.google.com/spreadsheets/d/1p7R4vtkWt5VOBim4ltsDG9KTzSjrtKXsMtQGXPHyND0/edit#gid=795171502"", ""'Filter 30_05_2024'!A1:M2000""), {2, 3, 4, 5,6,7,8,9,10,11,12,13}, 0))"),5)</f>
        <v>5</v>
      </c>
      <c r="V7" s="11">
        <f ca="1">IFERROR(__xludf.DUMMYFUNCTION("""COMPUTED_VALUE"""),6)</f>
        <v>6</v>
      </c>
      <c r="W7" s="11">
        <f ca="1">IFERROR(__xludf.DUMMYFUNCTION("""COMPUTED_VALUE"""),2)</f>
        <v>2</v>
      </c>
      <c r="X7" s="11">
        <f ca="1">IFERROR(__xludf.DUMMYFUNCTION("""COMPUTED_VALUE"""),13)</f>
        <v>13</v>
      </c>
      <c r="Y7" s="11">
        <f ca="1">IFERROR(__xludf.DUMMYFUNCTION("""COMPUTED_VALUE"""),7)</f>
        <v>7</v>
      </c>
      <c r="Z7" s="29">
        <f ca="1">IFERROR(__xludf.DUMMYFUNCTION("""COMPUTED_VALUE"""),4)</f>
        <v>4</v>
      </c>
      <c r="AA7" s="29">
        <f ca="1">IFERROR(__xludf.DUMMYFUNCTION("""COMPUTED_VALUE"""),1)</f>
        <v>1</v>
      </c>
      <c r="AB7" s="12">
        <f ca="1">IFERROR(__xludf.DUMMYFUNCTION("""COMPUTED_VALUE"""),12)</f>
        <v>12</v>
      </c>
      <c r="AC7" s="12"/>
      <c r="AD7" s="12"/>
      <c r="AE7" s="12"/>
      <c r="AF7" s="12"/>
      <c r="AG7" s="13" t="str">
        <f ca="1">IFERROR(__xludf.DUMMYFUNCTION("ArrayFormula(VLOOKUP(G7, IMPORTRANGE(""https://docs.google.com/spreadsheets/d/1Co934fvtviyaRiMsrIlT05Jaq7iiYq07aLvRr35KA48/edit?gid=173865642#gid=173865642"", ""'G6_Maths_Pri_LU'!G2:V2000""), {3, 4, 5, 6, 7, 8, 9, 10, 11, 12, 13, 14, 15, 16}, 0))"),"LU000153")</f>
        <v>LU000153</v>
      </c>
      <c r="AH7" s="13" t="str">
        <f ca="1">IFERROR(__xludf.DUMMYFUNCTION("""COMPUTED_VALUE"""),"Place value system in whole numbers (upto 9-digit numbers)")</f>
        <v>Place value system in whole numbers (upto 9-digit numbers)</v>
      </c>
      <c r="AI7" s="13" t="str">
        <f ca="1">IFERROR(__xludf.DUMMYFUNCTION("""COMPUTED_VALUE"""),"LU000945")</f>
        <v>LU000945</v>
      </c>
      <c r="AJ7" s="13" t="str">
        <f ca="1">IFERROR(__xludf.DUMMYFUNCTION("""COMPUTED_VALUE"""),"Formation of number using given digits")</f>
        <v>Formation of number using given digits</v>
      </c>
      <c r="AK7" s="13"/>
      <c r="AL7" s="13"/>
      <c r="AM7" s="13"/>
      <c r="AN7" s="13"/>
      <c r="AO7" s="13"/>
      <c r="AP7" s="13"/>
      <c r="AQ7" s="13"/>
      <c r="AR7" s="13"/>
      <c r="AS7" s="13"/>
      <c r="AT7" s="13"/>
    </row>
    <row r="8" spans="1:46">
      <c r="A8" s="8" t="s">
        <v>247</v>
      </c>
      <c r="B8" s="8" t="s">
        <v>47</v>
      </c>
      <c r="C8" s="8" t="s">
        <v>48</v>
      </c>
      <c r="D8" s="8" t="s">
        <v>49</v>
      </c>
      <c r="E8" s="8" t="s">
        <v>248</v>
      </c>
      <c r="F8" s="8" t="s">
        <v>255</v>
      </c>
      <c r="G8" s="8" t="s">
        <v>87</v>
      </c>
      <c r="H8" s="8" t="str">
        <f ca="1">IFERROR(__xludf.DUMMYFUNCTION("VLOOKUP(G8, IMPORTRANGE(""https://docs.google.com/spreadsheets/d/14deopnvwcrKtEGCKuYXdUHJbeLDZlkiSSWWT0g7x2pM/edit#gid=999382323"", ""LU List Maths (Filter)!A:B""), 2, FALSE)"),"Order of whole numbers (upto 9-digit numbers)")</f>
        <v>Order of whole numbers (upto 9-digit numbers)</v>
      </c>
      <c r="I8" s="10" t="str">
        <f t="shared" si="0"/>
        <v>LU000155.001</v>
      </c>
      <c r="J8" s="10" t="str">
        <f ca="1">IFERROR(__xludf.DUMMYFUNCTION("VLOOKUP(I8, IMPORTRANGE(""https://docs.google.com/spreadsheets/d/1yDAaXNsi4Mr5FtRQL4tbmSdIzhx6_m4wkOD7IG-k_eo/edit#gid=0"", ""Maths!M:N""), 2, FALSE)"),"Identify and recall the basic principles of ordering whole numbers up to nine digits.")</f>
        <v>Identify and recall the basic principles of ordering whole numbers up to nine digits.</v>
      </c>
      <c r="K8" s="10" t="str">
        <f t="shared" si="1"/>
        <v>LU000155.002</v>
      </c>
      <c r="L8" s="10" t="str">
        <f ca="1">IFERROR(__xludf.DUMMYFUNCTION("VLOOKUP(K8, IMPORTRANGE(""https://docs.google.com/spreadsheets/d/1yDAaXNsi4Mr5FtRQL4tbmSdIzhx6_m4wkOD7IG-k_eo/edit#gid=0"", ""Maths!M:N""), 2, FALSE)"),"Explain the reasoning behind the order of whole numbers up to nine digits.")</f>
        <v>Explain the reasoning behind the order of whole numbers up to nine digits.</v>
      </c>
      <c r="M8" s="10" t="str">
        <f t="shared" si="2"/>
        <v>LU000155.003</v>
      </c>
      <c r="N8" s="10" t="str">
        <f ca="1">IFERROR(__xludf.DUMMYFUNCTION("VLOOKUP(M8, IMPORTRANGE(""https://docs.google.com/spreadsheets/d/1yDAaXNsi4Mr5FtRQL4tbmSdIzhx6_m4wkOD7IG-k_eo/edit#gid=0"", ""Maths!M:N""), 2, FALSE)"),"Arrange a set of given whole numbers in ascending or descending order.")</f>
        <v>Arrange a set of given whole numbers in ascending or descending order.</v>
      </c>
      <c r="O8" s="10" t="str">
        <f t="shared" si="3"/>
        <v>LU000155.004</v>
      </c>
      <c r="P8" s="10" t="str">
        <f ca="1">IFERROR(__xludf.DUMMYFUNCTION("VLOOKUP(O8, IMPORTRANGE(""https://docs.google.com/spreadsheets/d/1yDAaXNsi4Mr5FtRQL4tbmSdIzhx6_m4wkOD7IG-k_eo/edit#gid=0"", ""Maths!M:N""), 2, FALSE)"),"Analyze a sequence of whole numbers and determine their order based on place value and digit comparison.")</f>
        <v>Analyze a sequence of whole numbers and determine their order based on place value and digit comparison.</v>
      </c>
      <c r="Q8" s="10" t="str">
        <f t="shared" si="4"/>
        <v>LU000155.005</v>
      </c>
      <c r="R8" s="10" t="str">
        <f ca="1">IFERROR(__xludf.DUMMYFUNCTION("VLOOKUP(Q8, IMPORTRANGE(""https://docs.google.com/spreadsheets/d/1yDAaXNsi4Mr5FtRQL4tbmSdIzhx6_m4wkOD7IG-k_eo/edit#gid=0"", ""Maths!M:N""), 2, FALSE)"),"Evaluate the importance of accurately ordering numbers in various real-life scenarios, such as arranging items by quantity or priority.")</f>
        <v>Evaluate the importance of accurately ordering numbers in various real-life scenarios, such as arranging items by quantity or priority.</v>
      </c>
      <c r="S8" s="10" t="str">
        <f t="shared" si="5"/>
        <v>LU000155.006</v>
      </c>
      <c r="T8" s="10" t="str">
        <f ca="1">IFERROR(__xludf.DUMMYFUNCTION("VLOOKUP(S8, IMPORTRANGE(""https://docs.google.com/spreadsheets/d/1yDAaXNsi4Mr5FtRQL4tbmSdIzhx6_m4wkOD7IG-k_eo/edit#gid=0"", ""Maths!M:N""), 2, FALSE)"),"Design a set of challenging problems or puzzles that require students to use their understanding of ordering whole numbers to solve complex problems.")</f>
        <v>Design a set of challenging problems or puzzles that require students to use their understanding of ordering whole numbers to solve complex problems.</v>
      </c>
      <c r="U8" s="11">
        <f ca="1">IFERROR(__xludf.DUMMYFUNCTION("ArrayFormula(VLOOKUP(G8, IMPORTRANGE(""https://docs.google.com/spreadsheets/d/1p7R4vtkWt5VOBim4ltsDG9KTzSjrtKXsMtQGXPHyND0/edit#gid=795171502"", ""'Filter 30_05_2024'!A1:M2000""), {2, 3, 4, 5,6,7,8,9,10,11,12,13}, 0))"),4)</f>
        <v>4</v>
      </c>
      <c r="V8" s="11">
        <f ca="1">IFERROR(__xludf.DUMMYFUNCTION("""COMPUTED_VALUE"""),11)</f>
        <v>11</v>
      </c>
      <c r="W8" s="11">
        <f ca="1">IFERROR(__xludf.DUMMYFUNCTION("""COMPUTED_VALUE"""),2)</f>
        <v>2</v>
      </c>
      <c r="X8" s="11">
        <f ca="1">IFERROR(__xludf.DUMMYFUNCTION("""COMPUTED_VALUE"""),17)</f>
        <v>17</v>
      </c>
      <c r="Y8" s="11">
        <f ca="1">IFERROR(__xludf.DUMMYFUNCTION("""COMPUTED_VALUE"""),4)</f>
        <v>4</v>
      </c>
      <c r="Z8" s="29">
        <f ca="1">IFERROR(__xludf.DUMMYFUNCTION("""COMPUTED_VALUE"""),6)</f>
        <v>6</v>
      </c>
      <c r="AA8" s="29">
        <f ca="1">IFERROR(__xludf.DUMMYFUNCTION("""COMPUTED_VALUE"""),1)</f>
        <v>1</v>
      </c>
      <c r="AB8" s="12">
        <f ca="1">IFERROR(__xludf.DUMMYFUNCTION("""COMPUTED_VALUE"""),11)</f>
        <v>11</v>
      </c>
      <c r="AC8" s="12"/>
      <c r="AD8" s="12"/>
      <c r="AE8" s="12"/>
      <c r="AF8" s="12"/>
      <c r="AG8" s="13" t="str">
        <f ca="1">IFERROR(__xludf.DUMMYFUNCTION("ArrayFormula(VLOOKUP(G8, IMPORTRANGE(""https://docs.google.com/spreadsheets/d/1Co934fvtviyaRiMsrIlT05Jaq7iiYq07aLvRr35KA48/edit?gid=173865642#gid=173865642"", ""'G6_Maths_Pri_LU'!G2:V2000""), {3, 4, 5, 6, 7, 8, 9, 10, 11, 12, 13, 14, 15, 16}, 0))"),"LU000154")</f>
        <v>LU000154</v>
      </c>
      <c r="AH8" s="13" t="str">
        <f ca="1">IFERROR(__xludf.DUMMYFUNCTION("""COMPUTED_VALUE"""),"Comparison of whole numbers (upto 9-digit numbers)")</f>
        <v>Comparison of whole numbers (upto 9-digit numbers)</v>
      </c>
      <c r="AI8" s="13" t="str">
        <f ca="1">IFERROR(__xludf.DUMMYFUNCTION("""COMPUTED_VALUE"""),"LU000945")</f>
        <v>LU000945</v>
      </c>
      <c r="AJ8" s="13" t="str">
        <f ca="1">IFERROR(__xludf.DUMMYFUNCTION("""COMPUTED_VALUE"""),"Formation of number using given digits")</f>
        <v>Formation of number using given digits</v>
      </c>
      <c r="AK8" s="13" t="str">
        <f ca="1">IFERROR(__xludf.DUMMYFUNCTION("""COMPUTED_VALUE"""),"LU000153")</f>
        <v>LU000153</v>
      </c>
      <c r="AL8" s="13" t="str">
        <f ca="1">IFERROR(__xludf.DUMMYFUNCTION("""COMPUTED_VALUE"""),"Place value system in whole numbers (upto 9-digit numbers)")</f>
        <v>Place value system in whole numbers (upto 9-digit numbers)</v>
      </c>
      <c r="AM8" s="13"/>
      <c r="AN8" s="13"/>
      <c r="AO8" s="13"/>
      <c r="AP8" s="13"/>
      <c r="AQ8" s="13"/>
      <c r="AR8" s="13"/>
      <c r="AS8" s="13"/>
      <c r="AT8" s="13"/>
    </row>
    <row r="9" spans="1:46">
      <c r="A9" s="8" t="s">
        <v>247</v>
      </c>
      <c r="B9" s="8" t="s">
        <v>47</v>
      </c>
      <c r="C9" s="8" t="s">
        <v>48</v>
      </c>
      <c r="D9" s="8" t="s">
        <v>49</v>
      </c>
      <c r="E9" s="8" t="s">
        <v>248</v>
      </c>
      <c r="F9" s="8" t="s">
        <v>256</v>
      </c>
      <c r="G9" s="8" t="s">
        <v>257</v>
      </c>
      <c r="H9" s="8" t="str">
        <f ca="1">IFERROR(__xludf.DUMMYFUNCTION("VLOOKUP(G9, IMPORTRANGE(""https://docs.google.com/spreadsheets/d/14deopnvwcrKtEGCKuYXdUHJbeLDZlkiSSWWT0g7x2pM/edit#gid=999382323"", ""LU List Maths (Filter)!A:B""), 2, FALSE)"),"Reading and writing large numbers in Indian System of Numeration")</f>
        <v>Reading and writing large numbers in Indian System of Numeration</v>
      </c>
      <c r="I9" s="10" t="str">
        <f t="shared" si="0"/>
        <v>LU000160.001</v>
      </c>
      <c r="J9" s="10" t="str">
        <f ca="1">IFERROR(__xludf.DUMMYFUNCTION("VLOOKUP(I9, IMPORTRANGE(""https://docs.google.com/spreadsheets/d/1yDAaXNsi4Mr5FtRQL4tbmSdIzhx6_m4wkOD7IG-k_eo/edit#gid=0"", ""Maths!M:N""), 2, FALSE)"),"Identify the place values represented by each numerical position in the Indian System of Numeration.")</f>
        <v>Identify the place values represented by each numerical position in the Indian System of Numeration.</v>
      </c>
      <c r="K9" s="10" t="str">
        <f t="shared" si="1"/>
        <v>LU000160.002</v>
      </c>
      <c r="L9" s="10" t="str">
        <f ca="1">IFERROR(__xludf.DUMMYFUNCTION("VLOOKUP(K9, IMPORTRANGE(""https://docs.google.com/spreadsheets/d/1yDAaXNsi4Mr5FtRQL4tbmSdIzhx6_m4wkOD7IG-k_eo/edit#gid=0"", ""Maths!M:N""), 2, FALSE)"),"Describe the process of reading and writing large numbers using the Indian System of Numeration.")</f>
        <v>Describe the process of reading and writing large numbers using the Indian System of Numeration.</v>
      </c>
      <c r="M9" s="10" t="str">
        <f t="shared" si="2"/>
        <v>LU000160.003</v>
      </c>
      <c r="N9" s="10" t="str">
        <f ca="1">IFERROR(__xludf.DUMMYFUNCTION("VLOOKUP(M9, IMPORTRANGE(""https://docs.google.com/spreadsheets/d/1yDAaXNsi4Mr5FtRQL4tbmSdIzhx6_m4wkOD7IG-k_eo/edit#gid=0"", ""Maths!M:N""), 2, FALSE)"),"Convert written descriptions of large numbers into their corresponding numerical values using the Indian System of Numeration.")</f>
        <v>Convert written descriptions of large numbers into their corresponding numerical values using the Indian System of Numeration.</v>
      </c>
      <c r="O9" s="10" t="str">
        <f t="shared" si="3"/>
        <v>LU000160.004</v>
      </c>
      <c r="P9" s="10" t="str">
        <f ca="1">IFERROR(__xludf.DUMMYFUNCTION("VLOOKUP(O9, IMPORTRANGE(""https://docs.google.com/spreadsheets/d/1yDAaXNsi4Mr5FtRQL4tbmSdIzhx6_m4wkOD7IG-k_eo/edit#gid=0"", ""Maths!M:N""), 2, FALSE)"),"Analyze the structure of large numbers in the Indian System of Numeration, identifying the roles of place values and digits.")</f>
        <v>Analyze the structure of large numbers in the Indian System of Numeration, identifying the roles of place values and digits.</v>
      </c>
      <c r="Q9" s="10" t="str">
        <f t="shared" si="4"/>
        <v>LU000160.005</v>
      </c>
      <c r="R9" s="10" t="str">
        <f ca="1">IFERROR(__xludf.DUMMYFUNCTION("VLOOKUP(Q9, IMPORTRANGE(""https://docs.google.com/spreadsheets/d/1yDAaXNsi4Mr5FtRQL4tbmSdIzhx6_m4wkOD7IG-k_eo/edit#gid=0"", ""Maths!M:N""), 2, FALSE)"),"Evaluate the importance of accurate reading and writing of large numbers in Indian System of Numeration in various fields such as finance, science, and measurements.")</f>
        <v>Evaluate the importance of accurate reading and writing of large numbers in Indian System of Numeration in various fields such as finance, science, and measurements.</v>
      </c>
      <c r="S9" s="10" t="str">
        <f t="shared" si="5"/>
        <v>LU000160.006</v>
      </c>
      <c r="T9" s="10" t="str">
        <f ca="1">IFERROR(__xludf.DUMMYFUNCTION("VLOOKUP(S9, IMPORTRANGE(""https://docs.google.com/spreadsheets/d/1yDAaXNsi4Mr5FtRQL4tbmSdIzhx6_m4wkOD7IG-k_eo/edit#gid=0"", ""Maths!M:N""), 2, FALSE)"),"Create a multimedia presentation or infographic that explains the process of reading and writing large numbers using the Indian System of Numeration.")</f>
        <v>Create a multimedia presentation or infographic that explains the process of reading and writing large numbers using the Indian System of Numeration.</v>
      </c>
      <c r="U9" s="11">
        <f ca="1">IFERROR(__xludf.DUMMYFUNCTION("ArrayFormula(VLOOKUP(G9, IMPORTRANGE(""https://docs.google.com/spreadsheets/d/1p7R4vtkWt5VOBim4ltsDG9KTzSjrtKXsMtQGXPHyND0/edit#gid=795171502"", ""'Filter 30_05_2024'!A1:M2000""), {2, 3, 4, 5,6,7,8,9,10,11,12,13}, 0))"),4)</f>
        <v>4</v>
      </c>
      <c r="V9" s="11">
        <f ca="1">IFERROR(__xludf.DUMMYFUNCTION("""COMPUTED_VALUE"""),5)</f>
        <v>5</v>
      </c>
      <c r="W9" s="11">
        <f ca="1">IFERROR(__xludf.DUMMYFUNCTION("""COMPUTED_VALUE"""),2)</f>
        <v>2</v>
      </c>
      <c r="X9" s="11">
        <f ca="1">IFERROR(__xludf.DUMMYFUNCTION("""COMPUTED_VALUE"""),11)</f>
        <v>11</v>
      </c>
      <c r="Y9" s="11">
        <f ca="1">IFERROR(__xludf.DUMMYFUNCTION("""COMPUTED_VALUE"""),4)</f>
        <v>4</v>
      </c>
      <c r="Z9" s="29">
        <f ca="1">IFERROR(__xludf.DUMMYFUNCTION("""COMPUTED_VALUE"""),3)</f>
        <v>3</v>
      </c>
      <c r="AA9" s="29">
        <f ca="1">IFERROR(__xludf.DUMMYFUNCTION("""COMPUTED_VALUE"""),1)</f>
        <v>1</v>
      </c>
      <c r="AB9" s="12">
        <f ca="1">IFERROR(__xludf.DUMMYFUNCTION("""COMPUTED_VALUE"""),8)</f>
        <v>8</v>
      </c>
      <c r="AC9" s="12"/>
      <c r="AD9" s="12">
        <f ca="1">IFERROR(__xludf.DUMMYFUNCTION("""COMPUTED_VALUE"""),1)</f>
        <v>1</v>
      </c>
      <c r="AE9" s="12"/>
      <c r="AF9" s="12">
        <f ca="1">IFERROR(__xludf.DUMMYFUNCTION("""COMPUTED_VALUE"""),1)</f>
        <v>1</v>
      </c>
      <c r="AG9" s="13" t="str">
        <f ca="1">IFERROR(__xludf.DUMMYFUNCTION("ArrayFormula(VLOOKUP(G9, IMPORTRANGE(""https://docs.google.com/spreadsheets/d/1Co934fvtviyaRiMsrIlT05Jaq7iiYq07aLvRr35KA48/edit?gid=173865642#gid=173865642"", ""'G6_Maths_Pri_LU'!G2:V2000""), {3, 4, 5, 6, 7, 8, 9, 10, 11, 12, 13, 14, 15, 16}, 0))"),"LU000153")</f>
        <v>LU000153</v>
      </c>
      <c r="AH9" s="13" t="str">
        <f ca="1">IFERROR(__xludf.DUMMYFUNCTION("""COMPUTED_VALUE"""),"Place value system in whole numbers (upto 9-digit numbers)")</f>
        <v>Place value system in whole numbers (upto 9-digit numbers)</v>
      </c>
      <c r="AI9" s="13" t="str">
        <f ca="1">IFERROR(__xludf.DUMMYFUNCTION("""COMPUTED_VALUE"""),"LU000158")</f>
        <v>LU000158</v>
      </c>
      <c r="AJ9" s="13" t="str">
        <f ca="1">IFERROR(__xludf.DUMMYFUNCTION("""COMPUTED_VALUE"""),"Interpretation of whole number in numerical form (upto 9-digit numbers) into number names")</f>
        <v>Interpretation of whole number in numerical form (upto 9-digit numbers) into number names</v>
      </c>
      <c r="AK9" s="13" t="str">
        <f ca="1">IFERROR(__xludf.DUMMYFUNCTION("""COMPUTED_VALUE"""),"LU000156")</f>
        <v>LU000156</v>
      </c>
      <c r="AL9" s="13" t="str">
        <f ca="1">IFERROR(__xludf.DUMMYFUNCTION("""COMPUTED_VALUE"""),"Numerical expansion of whole numbers (upto 9-digit numbers)")</f>
        <v>Numerical expansion of whole numbers (upto 9-digit numbers)</v>
      </c>
      <c r="AM9" s="13"/>
      <c r="AN9" s="13"/>
      <c r="AO9" s="13"/>
      <c r="AP9" s="13"/>
      <c r="AQ9" s="13"/>
      <c r="AR9" s="13"/>
      <c r="AS9" s="13"/>
      <c r="AT9" s="13"/>
    </row>
    <row r="10" spans="1:46">
      <c r="A10" s="8" t="s">
        <v>247</v>
      </c>
      <c r="B10" s="8" t="s">
        <v>47</v>
      </c>
      <c r="C10" s="8" t="s">
        <v>48</v>
      </c>
      <c r="D10" s="8" t="s">
        <v>49</v>
      </c>
      <c r="E10" s="8" t="s">
        <v>248</v>
      </c>
      <c r="F10" s="8" t="s">
        <v>256</v>
      </c>
      <c r="G10" s="8" t="s">
        <v>258</v>
      </c>
      <c r="H10" s="8" t="str">
        <f ca="1">IFERROR(__xludf.DUMMYFUNCTION("VLOOKUP(G10, IMPORTRANGE(""https://docs.google.com/spreadsheets/d/14deopnvwcrKtEGCKuYXdUHJbeLDZlkiSSWWT0g7x2pM/edit#gid=999382323"", ""LU List Maths (Filter)!A:B""), 2, FALSE)"),"Reading and writing large numbers in International System of Numeration")</f>
        <v>Reading and writing large numbers in International System of Numeration</v>
      </c>
      <c r="I10" s="10" t="str">
        <f t="shared" si="0"/>
        <v>LU000162.001</v>
      </c>
      <c r="J10" s="10" t="str">
        <f ca="1">IFERROR(__xludf.DUMMYFUNCTION("VLOOKUP(I10, IMPORTRANGE(""https://docs.google.com/spreadsheets/d/1yDAaXNsi4Mr5FtRQL4tbmSdIzhx6_m4wkOD7IG-k_eo/edit#gid=0"", ""Maths!M:N""), 2, FALSE)"),"Recall the rules for reading and writing large numbers in the International System of Numeration.")</f>
        <v>Recall the rules for reading and writing large numbers in the International System of Numeration.</v>
      </c>
      <c r="K10" s="10" t="str">
        <f t="shared" si="1"/>
        <v>LU000162.002</v>
      </c>
      <c r="L10" s="10" t="str">
        <f ca="1">IFERROR(__xludf.DUMMYFUNCTION("VLOOKUP(K10, IMPORTRANGE(""https://docs.google.com/spreadsheets/d/1yDAaXNsi4Mr5FtRQL4tbmSdIzhx6_m4wkOD7IG-k_eo/edit#gid=0"", ""Maths!M:N""), 2, FALSE)"),"Explain the significance of reading and writing large numbers in the International System of Numeration and its global applicability.")</f>
        <v>Explain the significance of reading and writing large numbers in the International System of Numeration and its global applicability.</v>
      </c>
      <c r="M10" s="10" t="str">
        <f t="shared" si="2"/>
        <v>LU000162.003</v>
      </c>
      <c r="N10" s="10" t="str">
        <f ca="1">IFERROR(__xludf.DUMMYFUNCTION("VLOOKUP(M10, IMPORTRANGE(""https://docs.google.com/spreadsheets/d/1yDAaXNsi4Mr5FtRQL4tbmSdIzhx6_m4wkOD7IG-k_eo/edit#gid=0"", ""Maths!M:N""), 2, FALSE)"),"Convert large numbers in words into their corresponding numerical values using the International System of Numeration and vice versa.")</f>
        <v>Convert large numbers in words into their corresponding numerical values using the International System of Numeration and vice versa.</v>
      </c>
      <c r="O10" s="10" t="str">
        <f t="shared" si="3"/>
        <v>LU000162.004</v>
      </c>
      <c r="P10" s="10" t="str">
        <f ca="1">IFERROR(__xludf.DUMMYFUNCTION("VLOOKUP(O10, IMPORTRANGE(""https://docs.google.com/spreadsheets/d/1yDAaXNsi4Mr5FtRQL4tbmSdIzhx6_m4wkOD7IG-k_eo/edit#gid=0"", ""Maths!M:N""), 2, FALSE)"),"Analyze the structure of large numbers in the International System of Numeration, identifying the roles of place values and digits.")</f>
        <v>Analyze the structure of large numbers in the International System of Numeration, identifying the roles of place values and digits.</v>
      </c>
      <c r="Q10" s="10" t="str">
        <f t="shared" si="4"/>
        <v>LU000162.005</v>
      </c>
      <c r="R10" s="10" t="str">
        <f ca="1">IFERROR(__xludf.DUMMYFUNCTION("VLOOKUP(Q10, IMPORTRANGE(""https://docs.google.com/spreadsheets/d/1yDAaXNsi4Mr5FtRQL4tbmSdIzhx6_m4wkOD7IG-k_eo/edit#gid=0"", ""Maths!M:N""), 2, FALSE)"),"Evaluate the importance of accurate reading and writing of large numbers in International System of numeration in various fields such as finance, science and measurements.")</f>
        <v>Evaluate the importance of accurate reading and writing of large numbers in International System of numeration in various fields such as finance, science and measurements.</v>
      </c>
      <c r="S10" s="10" t="str">
        <f t="shared" si="5"/>
        <v>LU000162.006</v>
      </c>
      <c r="T10" s="10" t="str">
        <f ca="1">IFERROR(__xludf.DUMMYFUNCTION("VLOOKUP(S10, IMPORTRANGE(""https://docs.google.com/spreadsheets/d/1yDAaXNsi4Mr5FtRQL4tbmSdIzhx6_m4wkOD7IG-k_eo/edit#gid=0"", ""Maths!M:N""), 2, FALSE)"),"Design a set of real-world scenarios or word problems that require students to read and write large numbers in the International System of Numeration.")</f>
        <v>Design a set of real-world scenarios or word problems that require students to read and write large numbers in the International System of Numeration.</v>
      </c>
      <c r="U10" s="11">
        <f ca="1">IFERROR(__xludf.DUMMYFUNCTION("ArrayFormula(VLOOKUP(G10, IMPORTRANGE(""https://docs.google.com/spreadsheets/d/1p7R4vtkWt5VOBim4ltsDG9KTzSjrtKXsMtQGXPHyND0/edit#gid=795171502"", ""'Filter 30_05_2024'!A1:M2000""), {2, 3, 4, 5,6,7,8,9,10,11,12,13}, 0))"),4)</f>
        <v>4</v>
      </c>
      <c r="V10" s="11">
        <f ca="1">IFERROR(__xludf.DUMMYFUNCTION("""COMPUTED_VALUE"""),9)</f>
        <v>9</v>
      </c>
      <c r="W10" s="11">
        <f ca="1">IFERROR(__xludf.DUMMYFUNCTION("""COMPUTED_VALUE"""),1)</f>
        <v>1</v>
      </c>
      <c r="X10" s="11">
        <f ca="1">IFERROR(__xludf.DUMMYFUNCTION("""COMPUTED_VALUE"""),14)</f>
        <v>14</v>
      </c>
      <c r="Y10" s="11">
        <f ca="1">IFERROR(__xludf.DUMMYFUNCTION("""COMPUTED_VALUE"""),4)</f>
        <v>4</v>
      </c>
      <c r="Z10" s="29">
        <f ca="1">IFERROR(__xludf.DUMMYFUNCTION("""COMPUTED_VALUE"""),5)</f>
        <v>5</v>
      </c>
      <c r="AA10" s="29">
        <f ca="1">IFERROR(__xludf.DUMMYFUNCTION("""COMPUTED_VALUE"""),1)</f>
        <v>1</v>
      </c>
      <c r="AB10" s="12">
        <f ca="1">IFERROR(__xludf.DUMMYFUNCTION("""COMPUTED_VALUE"""),10)</f>
        <v>10</v>
      </c>
      <c r="AC10" s="12"/>
      <c r="AD10" s="12"/>
      <c r="AE10" s="12">
        <f ca="1">IFERROR(__xludf.DUMMYFUNCTION("""COMPUTED_VALUE"""),1)</f>
        <v>1</v>
      </c>
      <c r="AF10" s="12">
        <f ca="1">IFERROR(__xludf.DUMMYFUNCTION("""COMPUTED_VALUE"""),1)</f>
        <v>1</v>
      </c>
      <c r="AG10" s="13" t="str">
        <f ca="1">IFERROR(__xludf.DUMMYFUNCTION("ArrayFormula(VLOOKUP(G10, IMPORTRANGE(""https://docs.google.com/spreadsheets/d/1Co934fvtviyaRiMsrIlT05Jaq7iiYq07aLvRr35KA48/edit?gid=173865642#gid=173865642"", ""'G6_Maths_Pri_LU'!G2:V2000""), {3, 4, 5, 6, 7, 8, 9, 10, 11, 12, 13, 14, 15, 16}, 0))"),"LU000160")</f>
        <v>LU000160</v>
      </c>
      <c r="AH10" s="13" t="str">
        <f ca="1">IFERROR(__xludf.DUMMYFUNCTION("""COMPUTED_VALUE"""),"Reading and writing large numbers in Indian System of Numeration")</f>
        <v>Reading and writing large numbers in Indian System of Numeration</v>
      </c>
      <c r="AI10" s="13" t="str">
        <f ca="1">IFERROR(__xludf.DUMMYFUNCTION("""COMPUTED_VALUE"""),"LU000153")</f>
        <v>LU000153</v>
      </c>
      <c r="AJ10" s="13" t="str">
        <f ca="1">IFERROR(__xludf.DUMMYFUNCTION("""COMPUTED_VALUE"""),"Place value system in whole numbers (upto 9-digit numbers)")</f>
        <v>Place value system in whole numbers (upto 9-digit numbers)</v>
      </c>
      <c r="AK10" s="13"/>
      <c r="AL10" s="13"/>
      <c r="AM10" s="13"/>
      <c r="AN10" s="13"/>
      <c r="AO10" s="13"/>
      <c r="AP10" s="13"/>
      <c r="AQ10" s="13"/>
      <c r="AR10" s="13"/>
      <c r="AS10" s="13"/>
      <c r="AT10" s="13"/>
    </row>
    <row r="11" spans="1:46">
      <c r="A11" s="8" t="s">
        <v>247</v>
      </c>
      <c r="B11" s="8" t="s">
        <v>47</v>
      </c>
      <c r="C11" s="8" t="s">
        <v>48</v>
      </c>
      <c r="D11" s="8" t="s">
        <v>49</v>
      </c>
      <c r="E11" s="8" t="s">
        <v>248</v>
      </c>
      <c r="F11" s="8" t="s">
        <v>259</v>
      </c>
      <c r="G11" s="8" t="s">
        <v>260</v>
      </c>
      <c r="H11" s="8" t="str">
        <f ca="1">IFERROR(__xludf.DUMMYFUNCTION("VLOOKUP(G11, IMPORTRANGE(""https://docs.google.com/spreadsheets/d/14deopnvwcrKtEGCKuYXdUHJbeLDZlkiSSWWT0g7x2pM/edit#gid=999382323"", ""LU List Maths (Filter)!A:B""), 2, FALSE)"),"Placement of commas in International System of Numeration")</f>
        <v>Placement of commas in International System of Numeration</v>
      </c>
      <c r="I11" s="10" t="str">
        <f t="shared" si="0"/>
        <v>LU000161.001</v>
      </c>
      <c r="J11" s="10" t="str">
        <f ca="1">IFERROR(__xludf.DUMMYFUNCTION("VLOOKUP(I11, IMPORTRANGE(""https://docs.google.com/spreadsheets/d/1yDAaXNsi4Mr5FtRQL4tbmSdIzhx6_m4wkOD7IG-k_eo/edit#gid=0"", ""Maths!M:N""), 2, FALSE)"),"Recall the rules for placing commas in the International System of Numeration and identify their positions in given large numbers.")</f>
        <v>Recall the rules for placing commas in the International System of Numeration and identify their positions in given large numbers.</v>
      </c>
      <c r="K11" s="10" t="str">
        <f t="shared" si="1"/>
        <v>LU000161.002</v>
      </c>
      <c r="L11" s="10" t="str">
        <f ca="1">IFERROR(__xludf.DUMMYFUNCTION("VLOOKUP(K11, IMPORTRANGE(""https://docs.google.com/spreadsheets/d/1yDAaXNsi4Mr5FtRQL4tbmSdIzhx6_m4wkOD7IG-k_eo/edit#gid=0"", ""Maths!M:N""), 2, FALSE)"),"Explain the purpose of using commas in the International System of Numeration to indicate the grouping of digits.")</f>
        <v>Explain the purpose of using commas in the International System of Numeration to indicate the grouping of digits.</v>
      </c>
      <c r="M11" s="10" t="str">
        <f t="shared" si="2"/>
        <v>LU000161.003</v>
      </c>
      <c r="N11" s="10" t="str">
        <f ca="1">IFERROR(__xludf.DUMMYFUNCTION("VLOOKUP(M11, IMPORTRANGE(""https://docs.google.com/spreadsheets/d/1yDAaXNsi4Mr5FtRQL4tbmSdIzhx6_m4wkOD7IG-k_eo/edit#gid=0"", ""Maths!M:N""), 2, FALSE)"),"Apply the rules for placing commas in the International System of Numeration to correctly write and read large numerical values.")</f>
        <v>Apply the rules for placing commas in the International System of Numeration to correctly write and read large numerical values.</v>
      </c>
      <c r="O11" s="10" t="str">
        <f t="shared" si="3"/>
        <v>LU000161.004</v>
      </c>
      <c r="P11" s="10" t="str">
        <f ca="1">IFERROR(__xludf.DUMMYFUNCTION("VLOOKUP(O11, IMPORTRANGE(""https://docs.google.com/spreadsheets/d/1yDAaXNsi4Mr5FtRQL4tbmSdIzhx6_m4wkOD7IG-k_eo/edit#gid=0"", ""Maths!M:N""), 2, FALSE)"),"Compare the use of commas in the International System of Numeration with other numeral systems")</f>
        <v>Compare the use of commas in the International System of Numeration with other numeral systems</v>
      </c>
      <c r="Q11" s="10" t="str">
        <f t="shared" si="4"/>
        <v>LU000161.005</v>
      </c>
      <c r="R11" s="10" t="str">
        <f ca="1">IFERROR(__xludf.DUMMYFUNCTION("VLOOKUP(Q11, IMPORTRANGE(""https://docs.google.com/spreadsheets/d/1yDAaXNsi4Mr5FtRQL4tbmSdIzhx6_m4wkOD7IG-k_eo/edit#gid=0"", ""Maths!M:N""), 2, FALSE)"),"Evaluate the importance of the International System of Numeration in everyday life, such as in calculations, measurements, and communication.")</f>
        <v>Evaluate the importance of the International System of Numeration in everyday life, such as in calculations, measurements, and communication.</v>
      </c>
      <c r="S11" s="10" t="str">
        <f t="shared" si="5"/>
        <v>LU000161.006</v>
      </c>
      <c r="T11" s="10" t="str">
        <f ca="1">IFERROR(__xludf.DUMMYFUNCTION("VLOOKUP(S11, IMPORTRANGE(""https://docs.google.com/spreadsheets/d/1yDAaXNsi4Mr5FtRQL4tbmSdIzhx6_m4wkOD7IG-k_eo/edit#gid=0"", ""Maths!M:N""), 2, FALSE)"),"Create an educational poster or instructional video that explains the rationale behind using commas in the International System of Numeration")</f>
        <v>Create an educational poster or instructional video that explains the rationale behind using commas in the International System of Numeration</v>
      </c>
      <c r="U11" s="11">
        <f ca="1">IFERROR(__xludf.DUMMYFUNCTION("ArrayFormula(VLOOKUP(G11, IMPORTRANGE(""https://docs.google.com/spreadsheets/d/1p7R4vtkWt5VOBim4ltsDG9KTzSjrtKXsMtQGXPHyND0/edit#gid=795171502"", ""'Filter 30_05_2024'!A1:M2000""), {2, 3, 4, 5,6,7,8,9,10,11,12,13}, 0))"),4)</f>
        <v>4</v>
      </c>
      <c r="V11" s="38">
        <f ca="1">IFERROR(__xludf.DUMMYFUNCTION("""COMPUTED_VALUE"""),1)</f>
        <v>1</v>
      </c>
      <c r="W11" s="11">
        <f ca="1">IFERROR(__xludf.DUMMYFUNCTION("""COMPUTED_VALUE"""),2)</f>
        <v>2</v>
      </c>
      <c r="X11" s="11">
        <f ca="1">IFERROR(__xludf.DUMMYFUNCTION("""COMPUTED_VALUE"""),7)</f>
        <v>7</v>
      </c>
      <c r="Y11" s="11">
        <f ca="1">IFERROR(__xludf.DUMMYFUNCTION("""COMPUTED_VALUE"""),4)</f>
        <v>4</v>
      </c>
      <c r="Z11" s="29">
        <f ca="1">IFERROR(__xludf.DUMMYFUNCTION("""COMPUTED_VALUE"""),3)</f>
        <v>3</v>
      </c>
      <c r="AA11" s="29">
        <f ca="1">IFERROR(__xludf.DUMMYFUNCTION("""COMPUTED_VALUE"""),1)</f>
        <v>1</v>
      </c>
      <c r="AB11" s="12">
        <f ca="1">IFERROR(__xludf.DUMMYFUNCTION("""COMPUTED_VALUE"""),8)</f>
        <v>8</v>
      </c>
      <c r="AC11" s="12"/>
      <c r="AD11" s="12"/>
      <c r="AE11" s="12"/>
      <c r="AF11" s="12"/>
      <c r="AG11" s="13" t="str">
        <f ca="1">IFERROR(__xludf.DUMMYFUNCTION("ArrayFormula(VLOOKUP(G11, IMPORTRANGE(""https://docs.google.com/spreadsheets/d/1Co934fvtviyaRiMsrIlT05Jaq7iiYq07aLvRr35KA48/edit?gid=173865642#gid=173865642"", ""'G6_Maths_Pri_LU'!G2:V2000""), {3, 4, 5, 6, 7, 8, 9, 10, 11, 12, 13, 14, 15, 16}, 0))"),"LU000153")</f>
        <v>LU000153</v>
      </c>
      <c r="AH11" s="13" t="str">
        <f ca="1">IFERROR(__xludf.DUMMYFUNCTION("""COMPUTED_VALUE"""),"Place value system in whole numbers (upto 9-digit numbers)")</f>
        <v>Place value system in whole numbers (upto 9-digit numbers)</v>
      </c>
      <c r="AI11" s="13" t="str">
        <f ca="1">IFERROR(__xludf.DUMMYFUNCTION("""COMPUTED_VALUE"""),"LU000160")</f>
        <v>LU000160</v>
      </c>
      <c r="AJ11" s="13" t="str">
        <f ca="1">IFERROR(__xludf.DUMMYFUNCTION("""COMPUTED_VALUE"""),"Reading and writing large numbers in Indian System of Numeration")</f>
        <v>Reading and writing large numbers in Indian System of Numeration</v>
      </c>
      <c r="AK11" s="13"/>
      <c r="AL11" s="13"/>
      <c r="AM11" s="13"/>
      <c r="AN11" s="13"/>
      <c r="AO11" s="13"/>
      <c r="AP11" s="13"/>
      <c r="AQ11" s="13"/>
      <c r="AR11" s="13"/>
      <c r="AS11" s="13"/>
      <c r="AT11" s="13"/>
    </row>
    <row r="12" spans="1:46">
      <c r="A12" s="8" t="s">
        <v>247</v>
      </c>
      <c r="B12" s="8" t="s">
        <v>47</v>
      </c>
      <c r="C12" s="8" t="s">
        <v>48</v>
      </c>
      <c r="D12" s="8" t="s">
        <v>49</v>
      </c>
      <c r="E12" s="8" t="s">
        <v>248</v>
      </c>
      <c r="F12" s="8" t="s">
        <v>259</v>
      </c>
      <c r="G12" s="8" t="s">
        <v>261</v>
      </c>
      <c r="H12" s="8" t="str">
        <f ca="1">IFERROR(__xludf.DUMMYFUNCTION("VLOOKUP(G12, IMPORTRANGE(""https://docs.google.com/spreadsheets/d/14deopnvwcrKtEGCKuYXdUHJbeLDZlkiSSWWT0g7x2pM/edit#gid=999382323"", ""LU List Maths (Filter)!A:B""), 2, FALSE)"),"Conversion of numbers between the Indian system of numeration and the International system of numeration")</f>
        <v>Conversion of numbers between the Indian system of numeration and the International system of numeration</v>
      </c>
      <c r="I12" s="10" t="str">
        <f t="shared" si="0"/>
        <v>LU000159.001</v>
      </c>
      <c r="J12" s="10" t="str">
        <f ca="1">IFERROR(__xludf.DUMMYFUNCTION("VLOOKUP(I12, IMPORTRANGE(""https://docs.google.com/spreadsheets/d/1yDAaXNsi4Mr5FtRQL4tbmSdIzhx6_m4wkOD7IG-k_eo/edit#gid=0"", ""Maths!M:N""), 2, FALSE)"),"Recall the definition of the Indian and International System of Numeration and identify the positions where commas are placed in large numbers.")</f>
        <v>Recall the definition of the Indian and International System of Numeration and identify the positions where commas are placed in large numbers.</v>
      </c>
      <c r="K12" s="10" t="str">
        <f t="shared" si="1"/>
        <v>LU000159.002</v>
      </c>
      <c r="L12" s="10" t="str">
        <f ca="1">IFERROR(__xludf.DUMMYFUNCTION("VLOOKUP(K12, IMPORTRANGE(""https://docs.google.com/spreadsheets/d/1yDAaXNsi4Mr5FtRQL4tbmSdIzhx6_m4wkOD7IG-k_eo/edit#gid=0"", ""Maths!M:N""), 2, FALSE)"),"Explain the significance of using commas in the Indian and International System of Numeration for easier reading and comprehension.")</f>
        <v>Explain the significance of using commas in the Indian and International System of Numeration for easier reading and comprehension.</v>
      </c>
      <c r="M12" s="10" t="str">
        <f t="shared" si="2"/>
        <v>LU000159.003</v>
      </c>
      <c r="N12" s="10" t="str">
        <f ca="1">IFERROR(__xludf.DUMMYFUNCTION("VLOOKUP(M12, IMPORTRANGE(""https://docs.google.com/spreadsheets/d/1yDAaXNsi4Mr5FtRQL4tbmSdIzhx6_m4wkOD7IG-k_eo/edit#gid=0"", ""Maths!M:N""), 2, FALSE)"),"Apply the knowledge of the Indian and International System of Numeration to correctly place commas in given large numbers according to their place values.")</f>
        <v>Apply the knowledge of the Indian and International System of Numeration to correctly place commas in given large numbers according to their place values.</v>
      </c>
      <c r="O12" s="10" t="str">
        <f t="shared" si="3"/>
        <v>LU000159.004</v>
      </c>
      <c r="P12" s="10" t="str">
        <f ca="1">IFERROR(__xludf.DUMMYFUNCTION("VLOOKUP(O12, IMPORTRANGE(""https://docs.google.com/spreadsheets/d/1yDAaXNsi4Mr5FtRQL4tbmSdIzhx6_m4wkOD7IG-k_eo/edit#gid=0"", ""Maths!M:N""), 2, FALSE)"),"Compare the Indian and International System of Numeration with other numeral systems used globally.")</f>
        <v>Compare the Indian and International System of Numeration with other numeral systems used globally.</v>
      </c>
      <c r="Q12" s="10" t="str">
        <f t="shared" si="4"/>
        <v>LU000159.005</v>
      </c>
      <c r="R12" s="10" t="str">
        <f ca="1">IFERROR(__xludf.DUMMYFUNCTION("VLOOKUP(Q12, IMPORTRANGE(""https://docs.google.com/spreadsheets/d/1yDAaXNsi4Mr5FtRQL4tbmSdIzhx6_m4wkOD7IG-k_eo/edit#gid=0"", ""Maths!M:N""), 2, FALSE)"),"Evaluate the effectiveness of using commas in the Indian and International System of Numeration for communicating numeric values clearly, especially when dealing with large numbers.")</f>
        <v>Evaluate the effectiveness of using commas in the Indian and International System of Numeration for communicating numeric values clearly, especially when dealing with large numbers.</v>
      </c>
      <c r="S12" s="10" t="str">
        <f t="shared" si="5"/>
        <v>LU000159.006</v>
      </c>
      <c r="T12" s="10" t="str">
        <f ca="1">IFERROR(__xludf.DUMMYFUNCTION("VLOOKUP(S12, IMPORTRANGE(""https://docs.google.com/spreadsheets/d/1yDAaXNsi4Mr5FtRQL4tbmSdIzhx6_m4wkOD7IG-k_eo/edit#gid=0"", ""Maths!M:N""), 2, FALSE)"),"Design a set of real-life scenarios or problems that involve writing large numbers in the Indian and International System of Numeration.")</f>
        <v>Design a set of real-life scenarios or problems that involve writing large numbers in the Indian and International System of Numeration.</v>
      </c>
      <c r="U12" s="11">
        <f ca="1">IFERROR(__xludf.DUMMYFUNCTION("ArrayFormula(VLOOKUP(G12, IMPORTRANGE(""https://docs.google.com/spreadsheets/d/1p7R4vtkWt5VOBim4ltsDG9KTzSjrtKXsMtQGXPHyND0/edit#gid=795171502"", ""'Filter 30_05_2024'!A1:M2000""), {2, 3, 4, 5,6,7,8,9,10,11,12,13}, 0))"),4)</f>
        <v>4</v>
      </c>
      <c r="V12" s="11">
        <f ca="1">IFERROR(__xludf.DUMMYFUNCTION("""COMPUTED_VALUE"""),7)</f>
        <v>7</v>
      </c>
      <c r="W12" s="11">
        <f ca="1">IFERROR(__xludf.DUMMYFUNCTION("""COMPUTED_VALUE"""),5)</f>
        <v>5</v>
      </c>
      <c r="X12" s="11">
        <f ca="1">IFERROR(__xludf.DUMMYFUNCTION("""COMPUTED_VALUE"""),16)</f>
        <v>16</v>
      </c>
      <c r="Y12" s="11">
        <f ca="1">IFERROR(__xludf.DUMMYFUNCTION("""COMPUTED_VALUE"""),4)</f>
        <v>4</v>
      </c>
      <c r="Z12" s="29">
        <f ca="1">IFERROR(__xludf.DUMMYFUNCTION("""COMPUTED_VALUE"""),1)</f>
        <v>1</v>
      </c>
      <c r="AA12" s="29">
        <f ca="1">IFERROR(__xludf.DUMMYFUNCTION("""COMPUTED_VALUE"""),2)</f>
        <v>2</v>
      </c>
      <c r="AB12" s="12">
        <f ca="1">IFERROR(__xludf.DUMMYFUNCTION("""COMPUTED_VALUE"""),7)</f>
        <v>7</v>
      </c>
      <c r="AC12" s="12"/>
      <c r="AD12" s="12"/>
      <c r="AE12" s="12"/>
      <c r="AF12" s="12"/>
      <c r="AG12" s="13" t="str">
        <f ca="1">IFERROR(__xludf.DUMMYFUNCTION("ArrayFormula(VLOOKUP(G12, IMPORTRANGE(""https://docs.google.com/spreadsheets/d/1Co934fvtviyaRiMsrIlT05Jaq7iiYq07aLvRr35KA48/edit?gid=173865642#gid=173865642"", ""'G6_Maths_Pri_LU'!G2:V2000""), {3, 4, 5, 6, 7, 8, 9, 10, 11, 12, 13, 14, 15, 16}, 0))"),"LU000162")</f>
        <v>LU000162</v>
      </c>
      <c r="AH12" s="13" t="str">
        <f ca="1">IFERROR(__xludf.DUMMYFUNCTION("""COMPUTED_VALUE"""),"Reading and writing large numbers in International System of Numeration")</f>
        <v>Reading and writing large numbers in International System of Numeration</v>
      </c>
      <c r="AI12" s="13" t="str">
        <f ca="1">IFERROR(__xludf.DUMMYFUNCTION("""COMPUTED_VALUE"""),"LU000160")</f>
        <v>LU000160</v>
      </c>
      <c r="AJ12" s="13" t="str">
        <f ca="1">IFERROR(__xludf.DUMMYFUNCTION("""COMPUTED_VALUE"""),"Reading and writing large numbers in Indian System of Numeration")</f>
        <v>Reading and writing large numbers in Indian System of Numeration</v>
      </c>
      <c r="AK12" s="13" t="str">
        <f ca="1">IFERROR(__xludf.DUMMYFUNCTION("""COMPUTED_VALUE"""),"LU000161")</f>
        <v>LU000161</v>
      </c>
      <c r="AL12" s="13" t="str">
        <f ca="1">IFERROR(__xludf.DUMMYFUNCTION("""COMPUTED_VALUE"""),"Placement of commas in International System of Numeration")</f>
        <v>Placement of commas in International System of Numeration</v>
      </c>
      <c r="AM12" s="13" t="str">
        <f ca="1">IFERROR(__xludf.DUMMYFUNCTION("""COMPUTED_VALUE"""),"LU000153")</f>
        <v>LU000153</v>
      </c>
      <c r="AN12" s="13" t="str">
        <f ca="1">IFERROR(__xludf.DUMMYFUNCTION("""COMPUTED_VALUE"""),"Place value system in whole numbers (upto 9-digit numbers)")</f>
        <v>Place value system in whole numbers (upto 9-digit numbers)</v>
      </c>
      <c r="AO12" s="13"/>
      <c r="AP12" s="13"/>
      <c r="AQ12" s="13"/>
      <c r="AR12" s="13"/>
      <c r="AS12" s="13"/>
      <c r="AT12" s="13"/>
    </row>
    <row r="13" spans="1:46">
      <c r="A13" s="8" t="s">
        <v>247</v>
      </c>
      <c r="B13" s="8" t="s">
        <v>47</v>
      </c>
      <c r="C13" s="8" t="s">
        <v>48</v>
      </c>
      <c r="D13" s="8" t="s">
        <v>49</v>
      </c>
      <c r="E13" s="8" t="s">
        <v>248</v>
      </c>
      <c r="F13" s="8" t="s">
        <v>262</v>
      </c>
      <c r="G13" s="8" t="s">
        <v>263</v>
      </c>
      <c r="H13" s="8" t="str">
        <f ca="1">IFERROR(__xludf.DUMMYFUNCTION("VLOOKUP(G13, IMPORTRANGE(""https://docs.google.com/spreadsheets/d/14deopnvwcrKtEGCKuYXdUHJbeLDZlkiSSWWT0g7x2pM/edit#gid=999382323"", ""LU List Maths (Filter)!A:B""), 2, FALSE)"),"Metric prefixes (centi, milli, kilo) for SI units")</f>
        <v>Metric prefixes (centi, milli, kilo) for SI units</v>
      </c>
      <c r="I13" s="10" t="str">
        <f t="shared" si="0"/>
        <v>LU000166.001</v>
      </c>
      <c r="J13" s="10" t="str">
        <f ca="1">IFERROR(__xludf.DUMMYFUNCTION("VLOOKUP(I13, IMPORTRANGE(""https://docs.google.com/spreadsheets/d/1yDAaXNsi4Mr5FtRQL4tbmSdIzhx6_m4wkOD7IG-k_eo/edit#gid=0"", ""Maths!M:N""), 2, FALSE)"),"Recall the names of common metric prefixes used in the SI system.")</f>
        <v>Recall the names of common metric prefixes used in the SI system.</v>
      </c>
      <c r="K13" s="10" t="str">
        <f t="shared" si="1"/>
        <v>LU000166.002</v>
      </c>
      <c r="L13" s="10" t="str">
        <f ca="1">IFERROR(__xludf.DUMMYFUNCTION("VLOOKUP(K13, IMPORTRANGE(""https://docs.google.com/spreadsheets/d/1yDAaXNsi4Mr5FtRQL4tbmSdIzhx6_m4wkOD7IG-k_eo/edit#gid=0"", ""Maths!M:N""), 2, FALSE)"),"Describe the relationship between metric prefixes for SI units.")</f>
        <v>Describe the relationship between metric prefixes for SI units.</v>
      </c>
      <c r="M13" s="10" t="str">
        <f t="shared" si="2"/>
        <v>LU000166.003</v>
      </c>
      <c r="N13" s="10" t="str">
        <f ca="1">IFERROR(__xludf.DUMMYFUNCTION("VLOOKUP(M13, IMPORTRANGE(""https://docs.google.com/spreadsheets/d/1yDAaXNsi4Mr5FtRQL4tbmSdIzhx6_m4wkOD7IG-k_eo/edit#gid=0"", ""Maths!M:N""), 2, FALSE)"),"Apply metric prefixes to convert between different units of the same measurement.")</f>
        <v>Apply metric prefixes to convert between different units of the same measurement.</v>
      </c>
      <c r="O13" s="10" t="str">
        <f t="shared" si="3"/>
        <v>LU000166.004</v>
      </c>
      <c r="P13" s="10" t="str">
        <f ca="1">IFERROR(__xludf.DUMMYFUNCTION("VLOOKUP(O13, IMPORTRANGE(""https://docs.google.com/spreadsheets/d/1yDAaXNsi4Mr5FtRQL4tbmSdIzhx6_m4wkOD7IG-k_eo/edit#gid=0"", ""Maths!M:N""), 2, FALSE)"),"Analyse the relationship between metric prefixes.")</f>
        <v>Analyse the relationship between metric prefixes.</v>
      </c>
      <c r="Q13" s="10" t="str">
        <f t="shared" si="4"/>
        <v>LU000166.005</v>
      </c>
      <c r="R13" s="10" t="str">
        <f ca="1">IFERROR(__xludf.DUMMYFUNCTION("VLOOKUP(Q13, IMPORTRANGE(""https://docs.google.com/spreadsheets/d/1yDAaXNsi4Mr5FtRQL4tbmSdIzhx6_m4wkOD7IG-k_eo/edit#gid=0"", ""Maths!M:N""), 2, FALSE)"),"Evaluate the accuracy of using metric prefixes to communicate quantities effectively.")</f>
        <v>Evaluate the accuracy of using metric prefixes to communicate quantities effectively.</v>
      </c>
      <c r="S13" s="10" t="str">
        <f t="shared" si="5"/>
        <v>LU000166.006</v>
      </c>
      <c r="T13" s="10" t="str">
        <f ca="1">IFERROR(__xludf.DUMMYFUNCTION("VLOOKUP(S13, IMPORTRANGE(""https://docs.google.com/spreadsheets/d/1yDAaXNsi4Mr5FtRQL4tbmSdIzhx6_m4wkOD7IG-k_eo/edit#gid=0"", ""Maths!M:N""), 2, FALSE)"),"#N/A")</f>
        <v>#N/A</v>
      </c>
      <c r="U13" s="11">
        <f ca="1">IFERROR(__xludf.DUMMYFUNCTION("ArrayFormula(VLOOKUP(G13, IMPORTRANGE(""https://docs.google.com/spreadsheets/d/1p7R4vtkWt5VOBim4ltsDG9KTzSjrtKXsMtQGXPHyND0/edit#gid=795171502"", ""'Filter 30_05_2024'!A1:M2000""), {2, 3, 4, 5,6,7,8,9,10,11,12,13}, 0))"),4)</f>
        <v>4</v>
      </c>
      <c r="V13" s="11">
        <f ca="1">IFERROR(__xludf.DUMMYFUNCTION("""COMPUTED_VALUE"""),6)</f>
        <v>6</v>
      </c>
      <c r="W13" s="11">
        <f ca="1">IFERROR(__xludf.DUMMYFUNCTION("""COMPUTED_VALUE"""),2)</f>
        <v>2</v>
      </c>
      <c r="X13" s="11">
        <f ca="1">IFERROR(__xludf.DUMMYFUNCTION("""COMPUTED_VALUE"""),12)</f>
        <v>12</v>
      </c>
      <c r="Y13" s="11">
        <f ca="1">IFERROR(__xludf.DUMMYFUNCTION("""COMPUTED_VALUE"""),4)</f>
        <v>4</v>
      </c>
      <c r="Z13" s="29">
        <f ca="1">IFERROR(__xludf.DUMMYFUNCTION("""COMPUTED_VALUE"""),3)</f>
        <v>3</v>
      </c>
      <c r="AA13" s="29">
        <f ca="1">IFERROR(__xludf.DUMMYFUNCTION("""COMPUTED_VALUE"""),1)</f>
        <v>1</v>
      </c>
      <c r="AB13" s="12">
        <f ca="1">IFERROR(__xludf.DUMMYFUNCTION("""COMPUTED_VALUE"""),8)</f>
        <v>8</v>
      </c>
      <c r="AC13" s="12"/>
      <c r="AD13" s="12"/>
      <c r="AE13" s="12"/>
      <c r="AF13" s="12"/>
      <c r="AG13" s="13" t="str">
        <f ca="1">IFERROR(__xludf.DUMMYFUNCTION("ArrayFormula(VLOOKUP(G13, IMPORTRANGE(""https://docs.google.com/spreadsheets/d/1Co934fvtviyaRiMsrIlT05Jaq7iiYq07aLvRr35KA48/edit?gid=173865642#gid=173865642"", ""'G6_Maths_Pri_LU'!G2:V2000""), {3, 4, 5, 6, 7, 8, 9, 10, 11, 12, 13, 14, 15, 16}, 0))"),"")</f>
        <v/>
      </c>
      <c r="AH13" s="13"/>
      <c r="AI13" s="13"/>
      <c r="AJ13" s="13"/>
      <c r="AK13" s="13"/>
      <c r="AL13" s="13"/>
      <c r="AM13" s="13"/>
      <c r="AN13" s="13"/>
      <c r="AO13" s="13"/>
      <c r="AP13" s="13"/>
      <c r="AQ13" s="13"/>
      <c r="AR13" s="13"/>
      <c r="AS13" s="13"/>
      <c r="AT13" s="13"/>
    </row>
    <row r="14" spans="1:46">
      <c r="A14" s="8" t="s">
        <v>247</v>
      </c>
      <c r="B14" s="8" t="s">
        <v>47</v>
      </c>
      <c r="C14" s="8" t="s">
        <v>48</v>
      </c>
      <c r="D14" s="8" t="s">
        <v>49</v>
      </c>
      <c r="E14" s="8" t="s">
        <v>248</v>
      </c>
      <c r="F14" s="8" t="s">
        <v>262</v>
      </c>
      <c r="G14" s="8" t="s">
        <v>264</v>
      </c>
      <c r="H14" s="8" t="str">
        <f ca="1">IFERROR(__xludf.DUMMYFUNCTION("VLOOKUP(G14, IMPORTRANGE(""https://docs.google.com/spreadsheets/d/14deopnvwcrKtEGCKuYXdUHJbeLDZlkiSSWWT0g7x2pM/edit#gid=999382323"", ""LU List Maths (Filter)!A:B""), 2, FALSE)"),"Conversion between different units of length (in whole number)")</f>
        <v>Conversion between different units of length (in whole number)</v>
      </c>
      <c r="I14" s="10" t="str">
        <f t="shared" si="0"/>
        <v>LU000163.001</v>
      </c>
      <c r="J14" s="10" t="str">
        <f ca="1">IFERROR(__xludf.DUMMYFUNCTION("VLOOKUP(I14, IMPORTRANGE(""https://docs.google.com/spreadsheets/d/1yDAaXNsi4Mr5FtRQL4tbmSdIzhx6_m4wkOD7IG-k_eo/edit#gid=0"", ""Maths!M:N""), 2, FALSE)"),"List the standard units of length in the metric system.")</f>
        <v>List the standard units of length in the metric system.</v>
      </c>
      <c r="K14" s="10" t="str">
        <f t="shared" si="1"/>
        <v>LU000163.002</v>
      </c>
      <c r="L14" s="10" t="str">
        <f ca="1">IFERROR(__xludf.DUMMYFUNCTION("VLOOKUP(K14, IMPORTRANGE(""https://docs.google.com/spreadsheets/d/1yDAaXNsi4Mr5FtRQL4tbmSdIzhx6_m4wkOD7IG-k_eo/edit#gid=0"", ""Maths!M:N""), 2, FALSE)"),"Describe the relationship between larger and smaller units of length within the same system.")</f>
        <v>Describe the relationship between larger and smaller units of length within the same system.</v>
      </c>
      <c r="M14" s="10" t="str">
        <f t="shared" si="2"/>
        <v>LU000163.003</v>
      </c>
      <c r="N14" s="10" t="str">
        <f ca="1">IFERROR(__xludf.DUMMYFUNCTION("VLOOKUP(M14, IMPORTRANGE(""https://docs.google.com/spreadsheets/d/1yDAaXNsi4Mr5FtRQL4tbmSdIzhx6_m4wkOD7IG-k_eo/edit#gid=0"", ""Maths!M:N""), 2, FALSE)"),"Solve problems involving the conversion of length from one unit to another (units of metric system).")</f>
        <v>Solve problems involving the conversion of length from one unit to another (units of metric system).</v>
      </c>
      <c r="O14" s="10" t="str">
        <f t="shared" si="3"/>
        <v>LU000163.004</v>
      </c>
      <c r="P14" s="10" t="str">
        <f ca="1">IFERROR(__xludf.DUMMYFUNCTION("VLOOKUP(O14, IMPORTRANGE(""https://docs.google.com/spreadsheets/d/1yDAaXNsi4Mr5FtRQL4tbmSdIzhx6_m4wkOD7IG-k_eo/edit#gid=0"", ""Maths!M:N""), 2, FALSE)"),"Investigate common mistakes made during length unit conversion.")</f>
        <v>Investigate common mistakes made during length unit conversion.</v>
      </c>
      <c r="Q14" s="10" t="str">
        <f t="shared" si="4"/>
        <v>LU000163.005</v>
      </c>
      <c r="R14" s="10" t="str">
        <f ca="1">IFERROR(__xludf.DUMMYFUNCTION("VLOOKUP(Q14, IMPORTRANGE(""https://docs.google.com/spreadsheets/d/1yDAaXNsi4Mr5FtRQL4tbmSdIzhx6_m4wkOD7IG-k_eo/edit#gid=0"", ""Maths!M:N""), 2, FALSE)"),"Assess the importance of selecting suitable units of length for precise measurement.")</f>
        <v>Assess the importance of selecting suitable units of length for precise measurement.</v>
      </c>
      <c r="S14" s="10" t="str">
        <f t="shared" si="5"/>
        <v>LU000163.006</v>
      </c>
      <c r="T14" s="10" t="str">
        <f ca="1">IFERROR(__xludf.DUMMYFUNCTION("VLOOKUP(S14, IMPORTRANGE(""https://docs.google.com/spreadsheets/d/1yDAaXNsi4Mr5FtRQL4tbmSdIzhx6_m4wkOD7IG-k_eo/edit#gid=0"", ""Maths!M:N""), 2, FALSE)"),"Construct a practical project showcasing instances of length unit conversion in everyday life.")</f>
        <v>Construct a practical project showcasing instances of length unit conversion in everyday life.</v>
      </c>
      <c r="U14" s="11">
        <f ca="1">IFERROR(__xludf.DUMMYFUNCTION("ArrayFormula(VLOOKUP(G14, IMPORTRANGE(""https://docs.google.com/spreadsheets/d/1p7R4vtkWt5VOBim4ltsDG9KTzSjrtKXsMtQGXPHyND0/edit#gid=795171502"", ""'Filter 30_05_2024'!A1:M2000""), {2, 3, 4, 5,6,7,8,9,10,11,12,13}, 0))"),4)</f>
        <v>4</v>
      </c>
      <c r="V14" s="38">
        <f ca="1">IFERROR(__xludf.DUMMYFUNCTION("""COMPUTED_VALUE"""),2)</f>
        <v>2</v>
      </c>
      <c r="W14" s="11">
        <f ca="1">IFERROR(__xludf.DUMMYFUNCTION("""COMPUTED_VALUE"""),2)</f>
        <v>2</v>
      </c>
      <c r="X14" s="11">
        <f ca="1">IFERROR(__xludf.DUMMYFUNCTION("""COMPUTED_VALUE"""),8)</f>
        <v>8</v>
      </c>
      <c r="Y14" s="11">
        <f ca="1">IFERROR(__xludf.DUMMYFUNCTION("""COMPUTED_VALUE"""),4)</f>
        <v>4</v>
      </c>
      <c r="Z14" s="29">
        <f ca="1">IFERROR(__xludf.DUMMYFUNCTION("""COMPUTED_VALUE"""),7)</f>
        <v>7</v>
      </c>
      <c r="AA14" s="29">
        <f ca="1">IFERROR(__xludf.DUMMYFUNCTION("""COMPUTED_VALUE"""),1)</f>
        <v>1</v>
      </c>
      <c r="AB14" s="12">
        <f ca="1">IFERROR(__xludf.DUMMYFUNCTION("""COMPUTED_VALUE"""),12)</f>
        <v>12</v>
      </c>
      <c r="AC14" s="12"/>
      <c r="AD14" s="12"/>
      <c r="AE14" s="12"/>
      <c r="AF14" s="12"/>
      <c r="AG14" s="13" t="str">
        <f ca="1">IFERROR(__xludf.DUMMYFUNCTION("ArrayFormula(VLOOKUP(G14, IMPORTRANGE(""https://docs.google.com/spreadsheets/d/1Co934fvtviyaRiMsrIlT05Jaq7iiYq07aLvRr35KA48/edit?gid=173865642#gid=173865642"", ""'G6_Maths_Pri_LU'!G2:V2000""), {3, 4, 5, 6, 7, 8, 9, 10, 11, 12, 13, 14, 15, 16}, 0))"),"LU000166")</f>
        <v>LU000166</v>
      </c>
      <c r="AH14" s="13" t="str">
        <f ca="1">IFERROR(__xludf.DUMMYFUNCTION("""COMPUTED_VALUE"""),"Metric prefixes (centi, milli, kilo) for SI units")</f>
        <v>Metric prefixes (centi, milli, kilo) for SI units</v>
      </c>
      <c r="AI14" s="13" t="str">
        <f ca="1">IFERROR(__xludf.DUMMYFUNCTION("""COMPUTED_VALUE"""),"LU000119")</f>
        <v>LU000119</v>
      </c>
      <c r="AJ14" s="13" t="str">
        <f ca="1">IFERROR(__xludf.DUMMYFUNCTION("""COMPUTED_VALUE"""),"Multiplication of numbers by multiples of 10")</f>
        <v>Multiplication of numbers by multiples of 10</v>
      </c>
      <c r="AK14" s="13" t="str">
        <f ca="1">IFERROR(__xludf.DUMMYFUNCTION("""COMPUTED_VALUE"""),"LU000123")</f>
        <v>LU000123</v>
      </c>
      <c r="AL14" s="13" t="str">
        <f ca="1">IFERROR(__xludf.DUMMYFUNCTION("""COMPUTED_VALUE"""),"Division of numbers by multiples of 10")</f>
        <v>Division of numbers by multiples of 10</v>
      </c>
      <c r="AM14" s="13"/>
      <c r="AN14" s="13"/>
      <c r="AO14" s="13"/>
      <c r="AP14" s="13"/>
      <c r="AQ14" s="13"/>
      <c r="AR14" s="13"/>
      <c r="AS14" s="13"/>
      <c r="AT14" s="13"/>
    </row>
    <row r="15" spans="1:46">
      <c r="A15" s="8" t="s">
        <v>247</v>
      </c>
      <c r="B15" s="8" t="s">
        <v>47</v>
      </c>
      <c r="C15" s="8" t="s">
        <v>48</v>
      </c>
      <c r="D15" s="8" t="s">
        <v>49</v>
      </c>
      <c r="E15" s="8" t="s">
        <v>248</v>
      </c>
      <c r="F15" s="8" t="s">
        <v>265</v>
      </c>
      <c r="G15" s="8" t="s">
        <v>266</v>
      </c>
      <c r="H15" s="8" t="str">
        <f ca="1">IFERROR(__xludf.DUMMYFUNCTION("VLOOKUP(G15, IMPORTRANGE(""https://docs.google.com/spreadsheets/d/14deopnvwcrKtEGCKuYXdUHJbeLDZlkiSSWWT0g7x2pM/edit#gid=999382323"", ""LU List Maths (Filter)!A:B""), 2, FALSE)"),"Conversion between different units of mass (in whole number)")</f>
        <v>Conversion between different units of mass (in whole number)</v>
      </c>
      <c r="I15" s="10" t="str">
        <f t="shared" si="0"/>
        <v>LU000164.001</v>
      </c>
      <c r="J15" s="10" t="str">
        <f ca="1">IFERROR(__xludf.DUMMYFUNCTION("VLOOKUP(I15, IMPORTRANGE(""https://docs.google.com/spreadsheets/d/1yDAaXNsi4Mr5FtRQL4tbmSdIzhx6_m4wkOD7IG-k_eo/edit#gid=0"", ""Maths!M:N""), 2, FALSE)"),"List the standard units of mass in the metric system.")</f>
        <v>List the standard units of mass in the metric system.</v>
      </c>
      <c r="K15" s="10" t="str">
        <f t="shared" si="1"/>
        <v>LU000164.002</v>
      </c>
      <c r="L15" s="10" t="str">
        <f ca="1">IFERROR(__xludf.DUMMYFUNCTION("VLOOKUP(K15, IMPORTRANGE(""https://docs.google.com/spreadsheets/d/1yDAaXNsi4Mr5FtRQL4tbmSdIzhx6_m4wkOD7IG-k_eo/edit#gid=0"", ""Maths!M:N""), 2, FALSE)"),"Describe the relationship between larger and smaller units of mass within the same system.")</f>
        <v>Describe the relationship between larger and smaller units of mass within the same system.</v>
      </c>
      <c r="M15" s="10" t="str">
        <f t="shared" si="2"/>
        <v>LU000164.003</v>
      </c>
      <c r="N15" s="10" t="str">
        <f ca="1">IFERROR(__xludf.DUMMYFUNCTION("VLOOKUP(M15, IMPORTRANGE(""https://docs.google.com/spreadsheets/d/1yDAaXNsi4Mr5FtRQL4tbmSdIzhx6_m4wkOD7IG-k_eo/edit#gid=0"", ""Maths!M:N""), 2, FALSE)"),"Solve problems involving the conversion of mass from one unit to another (units of metric system).")</f>
        <v>Solve problems involving the conversion of mass from one unit to another (units of metric system).</v>
      </c>
      <c r="O15" s="10" t="str">
        <f t="shared" si="3"/>
        <v>LU000164.004</v>
      </c>
      <c r="P15" s="10" t="str">
        <f ca="1">IFERROR(__xludf.DUMMYFUNCTION("VLOOKUP(O15, IMPORTRANGE(""https://docs.google.com/spreadsheets/d/1yDAaXNsi4Mr5FtRQL4tbmSdIzhx6_m4wkOD7IG-k_eo/edit#gid=0"", ""Maths!M:N""), 2, FALSE)"),"Investigate common mistakes made during mass unit conversion.")</f>
        <v>Investigate common mistakes made during mass unit conversion.</v>
      </c>
      <c r="Q15" s="10" t="str">
        <f t="shared" si="4"/>
        <v>LU000164.005</v>
      </c>
      <c r="R15" s="10" t="str">
        <f ca="1">IFERROR(__xludf.DUMMYFUNCTION("VLOOKUP(Q15, IMPORTRANGE(""https://docs.google.com/spreadsheets/d/1yDAaXNsi4Mr5FtRQL4tbmSdIzhx6_m4wkOD7IG-k_eo/edit#gid=0"", ""Maths!M:N""), 2, FALSE)"),"Assess the importance of selecting suitable units of mass for precise measurement.")</f>
        <v>Assess the importance of selecting suitable units of mass for precise measurement.</v>
      </c>
      <c r="S15" s="10" t="str">
        <f t="shared" si="5"/>
        <v>LU000164.006</v>
      </c>
      <c r="T15" s="10" t="str">
        <f ca="1">IFERROR(__xludf.DUMMYFUNCTION("VLOOKUP(S15, IMPORTRANGE(""https://docs.google.com/spreadsheets/d/1yDAaXNsi4Mr5FtRQL4tbmSdIzhx6_m4wkOD7IG-k_eo/edit#gid=0"", ""Maths!M:N""), 2, FALSE)"),"Construct a practical project showcasing instances of mass unit conversion in everyday life.")</f>
        <v>Construct a practical project showcasing instances of mass unit conversion in everyday life.</v>
      </c>
      <c r="U15" s="11">
        <f ca="1">IFERROR(__xludf.DUMMYFUNCTION("ArrayFormula(VLOOKUP(G15, IMPORTRANGE(""https://docs.google.com/spreadsheets/d/1p7R4vtkWt5VOBim4ltsDG9KTzSjrtKXsMtQGXPHyND0/edit#gid=795171502"", ""'Filter 30_05_2024'!A1:M2000""), {2, 3, 4, 5,6,7,8,9,10,11,12,13}, 0))"),4)</f>
        <v>4</v>
      </c>
      <c r="V15" s="11">
        <f ca="1">IFERROR(__xludf.DUMMYFUNCTION("""COMPUTED_VALUE"""),8)</f>
        <v>8</v>
      </c>
      <c r="W15" s="11">
        <f ca="1">IFERROR(__xludf.DUMMYFUNCTION("""COMPUTED_VALUE"""),2)</f>
        <v>2</v>
      </c>
      <c r="X15" s="11">
        <f ca="1">IFERROR(__xludf.DUMMYFUNCTION("""COMPUTED_VALUE"""),14)</f>
        <v>14</v>
      </c>
      <c r="Y15" s="11">
        <f ca="1">IFERROR(__xludf.DUMMYFUNCTION("""COMPUTED_VALUE"""),6)</f>
        <v>6</v>
      </c>
      <c r="Z15" s="29">
        <f ca="1">IFERROR(__xludf.DUMMYFUNCTION("""COMPUTED_VALUE"""),1)</f>
        <v>1</v>
      </c>
      <c r="AA15" s="29">
        <f ca="1">IFERROR(__xludf.DUMMYFUNCTION("""COMPUTED_VALUE"""),1)</f>
        <v>1</v>
      </c>
      <c r="AB15" s="12">
        <f ca="1">IFERROR(__xludf.DUMMYFUNCTION("""COMPUTED_VALUE"""),8)</f>
        <v>8</v>
      </c>
      <c r="AC15" s="12"/>
      <c r="AD15" s="12"/>
      <c r="AE15" s="12"/>
      <c r="AF15" s="12"/>
      <c r="AG15" s="13" t="str">
        <f ca="1">IFERROR(__xludf.DUMMYFUNCTION("ArrayFormula(VLOOKUP(G15, IMPORTRANGE(""https://docs.google.com/spreadsheets/d/1Co934fvtviyaRiMsrIlT05Jaq7iiYq07aLvRr35KA48/edit?gid=173865642#gid=173865642"", ""'G6_Maths_Pri_LU'!G2:V2000""), {3, 4, 5, 6, 7, 8, 9, 10, 11, 12, 13, 14, 15, 16}, 0))"),"LU000166")</f>
        <v>LU000166</v>
      </c>
      <c r="AH15" s="13" t="str">
        <f ca="1">IFERROR(__xludf.DUMMYFUNCTION("""COMPUTED_VALUE"""),"Metric prefixes (centi, milli, kilo) for SI units")</f>
        <v>Metric prefixes (centi, milli, kilo) for SI units</v>
      </c>
      <c r="AI15" s="13" t="str">
        <f ca="1">IFERROR(__xludf.DUMMYFUNCTION("""COMPUTED_VALUE"""),"LU000119")</f>
        <v>LU000119</v>
      </c>
      <c r="AJ15" s="13" t="str">
        <f ca="1">IFERROR(__xludf.DUMMYFUNCTION("""COMPUTED_VALUE"""),"Multiplication of numbers by multiples of 10")</f>
        <v>Multiplication of numbers by multiples of 10</v>
      </c>
      <c r="AK15" s="13" t="str">
        <f ca="1">IFERROR(__xludf.DUMMYFUNCTION("""COMPUTED_VALUE"""),"LU000123")</f>
        <v>LU000123</v>
      </c>
      <c r="AL15" s="13" t="str">
        <f ca="1">IFERROR(__xludf.DUMMYFUNCTION("""COMPUTED_VALUE"""),"Division of numbers by multiples of 10")</f>
        <v>Division of numbers by multiples of 10</v>
      </c>
      <c r="AM15" s="13"/>
      <c r="AN15" s="13"/>
      <c r="AO15" s="13"/>
      <c r="AP15" s="13"/>
      <c r="AQ15" s="13"/>
      <c r="AR15" s="13"/>
      <c r="AS15" s="13"/>
      <c r="AT15" s="13"/>
    </row>
    <row r="16" spans="1:46">
      <c r="A16" s="8" t="s">
        <v>247</v>
      </c>
      <c r="B16" s="8" t="s">
        <v>47</v>
      </c>
      <c r="C16" s="8" t="s">
        <v>48</v>
      </c>
      <c r="D16" s="8" t="s">
        <v>49</v>
      </c>
      <c r="E16" s="8" t="s">
        <v>248</v>
      </c>
      <c r="F16" s="8" t="s">
        <v>265</v>
      </c>
      <c r="G16" s="8" t="s">
        <v>267</v>
      </c>
      <c r="H16" s="8" t="str">
        <f ca="1">IFERROR(__xludf.DUMMYFUNCTION("VLOOKUP(G16, IMPORTRANGE(""https://docs.google.com/spreadsheets/d/14deopnvwcrKtEGCKuYXdUHJbeLDZlkiSSWWT0g7x2pM/edit#gid=999382323"", ""LU List Maths (Filter)!A:B""), 2, FALSE)"),"Conversion between different units of capacity (in whole number)")</f>
        <v>Conversion between different units of capacity (in whole number)</v>
      </c>
      <c r="I16" s="10" t="str">
        <f t="shared" si="0"/>
        <v>LU000165.001</v>
      </c>
      <c r="J16" s="10" t="str">
        <f ca="1">IFERROR(__xludf.DUMMYFUNCTION("VLOOKUP(I16, IMPORTRANGE(""https://docs.google.com/spreadsheets/d/1yDAaXNsi4Mr5FtRQL4tbmSdIzhx6_m4wkOD7IG-k_eo/edit#gid=0"", ""Maths!M:N""), 2, FALSE)"),"List the standard units of capacity in the metric system.")</f>
        <v>List the standard units of capacity in the metric system.</v>
      </c>
      <c r="K16" s="10" t="str">
        <f t="shared" si="1"/>
        <v>LU000165.002</v>
      </c>
      <c r="L16" s="10" t="str">
        <f ca="1">IFERROR(__xludf.DUMMYFUNCTION("VLOOKUP(K16, IMPORTRANGE(""https://docs.google.com/spreadsheets/d/1yDAaXNsi4Mr5FtRQL4tbmSdIzhx6_m4wkOD7IG-k_eo/edit#gid=0"", ""Maths!M:N""), 2, FALSE)"),"Describe the relationship between larger and smaller units of capacity within the same system.")</f>
        <v>Describe the relationship between larger and smaller units of capacity within the same system.</v>
      </c>
      <c r="M16" s="10" t="str">
        <f t="shared" si="2"/>
        <v>LU000165.003</v>
      </c>
      <c r="N16" s="10" t="str">
        <f ca="1">IFERROR(__xludf.DUMMYFUNCTION("VLOOKUP(M16, IMPORTRANGE(""https://docs.google.com/spreadsheets/d/1yDAaXNsi4Mr5FtRQL4tbmSdIzhx6_m4wkOD7IG-k_eo/edit#gid=0"", ""Maths!M:N""), 2, FALSE)"),"Solve problems involving the conversion of capacity from one unit to another (units of metric system).")</f>
        <v>Solve problems involving the conversion of capacity from one unit to another (units of metric system).</v>
      </c>
      <c r="O16" s="10" t="str">
        <f t="shared" si="3"/>
        <v>LU000165.004</v>
      </c>
      <c r="P16" s="10" t="str">
        <f ca="1">IFERROR(__xludf.DUMMYFUNCTION("VLOOKUP(O16, IMPORTRANGE(""https://docs.google.com/spreadsheets/d/1yDAaXNsi4Mr5FtRQL4tbmSdIzhx6_m4wkOD7IG-k_eo/edit#gid=0"", ""Maths!M:N""), 2, FALSE)"),"Investigate common mistakes made during capacity unit conversion.")</f>
        <v>Investigate common mistakes made during capacity unit conversion.</v>
      </c>
      <c r="Q16" s="10" t="str">
        <f t="shared" si="4"/>
        <v>LU000165.005</v>
      </c>
      <c r="R16" s="10" t="str">
        <f ca="1">IFERROR(__xludf.DUMMYFUNCTION("VLOOKUP(Q16, IMPORTRANGE(""https://docs.google.com/spreadsheets/d/1yDAaXNsi4Mr5FtRQL4tbmSdIzhx6_m4wkOD7IG-k_eo/edit#gid=0"", ""Maths!M:N""), 2, FALSE)"),"Assess the importance of selecting suitable units of capacity for precise measurement.")</f>
        <v>Assess the importance of selecting suitable units of capacity for precise measurement.</v>
      </c>
      <c r="S16" s="10" t="str">
        <f t="shared" si="5"/>
        <v>LU000165.006</v>
      </c>
      <c r="T16" s="10" t="str">
        <f ca="1">IFERROR(__xludf.DUMMYFUNCTION("VLOOKUP(S16, IMPORTRANGE(""https://docs.google.com/spreadsheets/d/1yDAaXNsi4Mr5FtRQL4tbmSdIzhx6_m4wkOD7IG-k_eo/edit#gid=0"", ""Maths!M:N""), 2, FALSE)"),"Construct a practical project showcasing instances of capacity unit conversion in everyday life.")</f>
        <v>Construct a practical project showcasing instances of capacity unit conversion in everyday life.</v>
      </c>
      <c r="U16" s="11">
        <f ca="1">IFERROR(__xludf.DUMMYFUNCTION("ArrayFormula(VLOOKUP(G16, IMPORTRANGE(""https://docs.google.com/spreadsheets/d/1p7R4vtkWt5VOBim4ltsDG9KTzSjrtKXsMtQGXPHyND0/edit#gid=795171502"", ""'Filter 30_05_2024'!A1:M2000""), {2, 3, 4, 5,6,7,8,9,10,11,12,13}, 0))"),4)</f>
        <v>4</v>
      </c>
      <c r="V16" s="11">
        <f ca="1">IFERROR(__xludf.DUMMYFUNCTION("""COMPUTED_VALUE"""),6)</f>
        <v>6</v>
      </c>
      <c r="W16" s="11">
        <f ca="1">IFERROR(__xludf.DUMMYFUNCTION("""COMPUTED_VALUE"""),2)</f>
        <v>2</v>
      </c>
      <c r="X16" s="11">
        <f ca="1">IFERROR(__xludf.DUMMYFUNCTION("""COMPUTED_VALUE"""),12)</f>
        <v>12</v>
      </c>
      <c r="Y16" s="11">
        <f ca="1">IFERROR(__xludf.DUMMYFUNCTION("""COMPUTED_VALUE"""),4)</f>
        <v>4</v>
      </c>
      <c r="Z16" s="29">
        <f ca="1">IFERROR(__xludf.DUMMYFUNCTION("""COMPUTED_VALUE"""),3)</f>
        <v>3</v>
      </c>
      <c r="AA16" s="29">
        <f ca="1">IFERROR(__xludf.DUMMYFUNCTION("""COMPUTED_VALUE"""),1)</f>
        <v>1</v>
      </c>
      <c r="AB16" s="12">
        <f ca="1">IFERROR(__xludf.DUMMYFUNCTION("""COMPUTED_VALUE"""),8)</f>
        <v>8</v>
      </c>
      <c r="AC16" s="12"/>
      <c r="AD16" s="12"/>
      <c r="AE16" s="12"/>
      <c r="AF16" s="12"/>
      <c r="AG16" s="13" t="str">
        <f ca="1">IFERROR(__xludf.DUMMYFUNCTION("ArrayFormula(VLOOKUP(G16, IMPORTRANGE(""https://docs.google.com/spreadsheets/d/1Co934fvtviyaRiMsrIlT05Jaq7iiYq07aLvRr35KA48/edit?gid=173865642#gid=173865642"", ""'G6_Maths_Pri_LU'!G2:V2000""), {3, 4, 5, 6, 7, 8, 9, 10, 11, 12, 13, 14, 15, 16}, 0))"),"LU000166")</f>
        <v>LU000166</v>
      </c>
      <c r="AH16" s="13" t="str">
        <f ca="1">IFERROR(__xludf.DUMMYFUNCTION("""COMPUTED_VALUE"""),"Metric prefixes (centi, milli, kilo) for SI units")</f>
        <v>Metric prefixes (centi, milli, kilo) for SI units</v>
      </c>
      <c r="AI16" s="13" t="str">
        <f ca="1">IFERROR(__xludf.DUMMYFUNCTION("""COMPUTED_VALUE"""),"LU000119")</f>
        <v>LU000119</v>
      </c>
      <c r="AJ16" s="13" t="str">
        <f ca="1">IFERROR(__xludf.DUMMYFUNCTION("""COMPUTED_VALUE"""),"Multiplication of numbers by multiples of 10")</f>
        <v>Multiplication of numbers by multiples of 10</v>
      </c>
      <c r="AK16" s="13" t="str">
        <f ca="1">IFERROR(__xludf.DUMMYFUNCTION("""COMPUTED_VALUE"""),"LU000123")</f>
        <v>LU000123</v>
      </c>
      <c r="AL16" s="13" t="str">
        <f ca="1">IFERROR(__xludf.DUMMYFUNCTION("""COMPUTED_VALUE"""),"Division of numbers by multiples of 10")</f>
        <v>Division of numbers by multiples of 10</v>
      </c>
      <c r="AM16" s="13"/>
      <c r="AN16" s="13"/>
      <c r="AO16" s="13"/>
      <c r="AP16" s="13"/>
      <c r="AQ16" s="13"/>
      <c r="AR16" s="13"/>
      <c r="AS16" s="13"/>
      <c r="AT16" s="13"/>
    </row>
    <row r="17" spans="1:46">
      <c r="A17" s="8" t="s">
        <v>247</v>
      </c>
      <c r="B17" s="8" t="s">
        <v>47</v>
      </c>
      <c r="C17" s="8" t="s">
        <v>48</v>
      </c>
      <c r="D17" s="8" t="s">
        <v>49</v>
      </c>
      <c r="E17" s="8" t="s">
        <v>248</v>
      </c>
      <c r="F17" s="8" t="s">
        <v>268</v>
      </c>
      <c r="G17" s="8" t="s">
        <v>99</v>
      </c>
      <c r="H17" s="8" t="str">
        <f ca="1">IFERROR(__xludf.DUMMYFUNCTION("VLOOKUP(G17, IMPORTRANGE(""https://docs.google.com/spreadsheets/d/14deopnvwcrKtEGCKuYXdUHJbeLDZlkiSSWWT0g7x2pM/edit#gid=999382323"", ""LU List Maths (Filter)!A:B""), 2, FALSE)"),"Addition of large whole numbers (5-9 digit numbers)")</f>
        <v>Addition of large whole numbers (5-9 digit numbers)</v>
      </c>
      <c r="I17" s="10" t="str">
        <f t="shared" si="0"/>
        <v>LU000948.001</v>
      </c>
      <c r="J17" s="10" t="str">
        <f ca="1">IFERROR(__xludf.DUMMYFUNCTION("VLOOKUP(I17, IMPORTRANGE(""https://docs.google.com/spreadsheets/d/1yDAaXNsi4Mr5FtRQL4tbmSdIzhx6_m4wkOD7IG-k_eo/edit#gid=0"", ""Maths!M:N""), 2, FALSE)"),"Recognize and recall the standard approach for adding large whole numbers.")</f>
        <v>Recognize and recall the standard approach for adding large whole numbers.</v>
      </c>
      <c r="K17" s="10" t="str">
        <f t="shared" si="1"/>
        <v>LU000948.002</v>
      </c>
      <c r="L17" s="10" t="str">
        <f ca="1">IFERROR(__xludf.DUMMYFUNCTION("VLOOKUP(K17, IMPORTRANGE(""https://docs.google.com/spreadsheets/d/1yDAaXNsi4Mr5FtRQL4tbmSdIzhx6_m4wkOD7IG-k_eo/edit#gid=0"", ""Maths!M:N""), 2, FALSE)"),"Explain the process and importance of place value in the addition of large whole numbers.")</f>
        <v>Explain the process and importance of place value in the addition of large whole numbers.</v>
      </c>
      <c r="M17" s="10" t="str">
        <f t="shared" si="2"/>
        <v>LU000948.003</v>
      </c>
      <c r="N17" s="10" t="str">
        <f ca="1">IFERROR(__xludf.DUMMYFUNCTION("VLOOKUP(M17, IMPORTRANGE(""https://docs.google.com/spreadsheets/d/1yDAaXNsi4Mr5FtRQL4tbmSdIzhx6_m4wkOD7IG-k_eo/edit#gid=0"", ""Maths!M:N""), 2, FALSE)"),"Perform addition operations involving large whole numbers (5-9 digits) accurately.")</f>
        <v>Perform addition operations involving large whole numbers (5-9 digits) accurately.</v>
      </c>
      <c r="O17" s="10" t="str">
        <f t="shared" si="3"/>
        <v>LU000948.004</v>
      </c>
      <c r="P17" s="10" t="str">
        <f ca="1">IFERROR(__xludf.DUMMYFUNCTION("VLOOKUP(O17, IMPORTRANGE(""https://docs.google.com/spreadsheets/d/1yDAaXNsi4Mr5FtRQL4tbmSdIzhx6_m4wkOD7IG-k_eo/edit#gid=0"", ""Maths!M:N""), 2, FALSE)"),"Analyze and identify errors in addition problems involving large whole numbers.")</f>
        <v>Analyze and identify errors in addition problems involving large whole numbers.</v>
      </c>
      <c r="Q17" s="10" t="str">
        <f t="shared" si="4"/>
        <v>LU000948.005</v>
      </c>
      <c r="R17" s="10" t="str">
        <f ca="1">IFERROR(__xludf.DUMMYFUNCTION("VLOOKUP(Q17, IMPORTRANGE(""https://docs.google.com/spreadsheets/d/1yDAaXNsi4Mr5FtRQL4tbmSdIzhx6_m4wkOD7IG-k_eo/edit#gid=0"", ""Maths!M:N""), 2, FALSE)"),"#N/A")</f>
        <v>#N/A</v>
      </c>
      <c r="S17" s="10" t="str">
        <f t="shared" si="5"/>
        <v>LU000948.006</v>
      </c>
      <c r="T17" s="10" t="str">
        <f ca="1">IFERROR(__xludf.DUMMYFUNCTION("VLOOKUP(S17, IMPORTRANGE(""https://docs.google.com/spreadsheets/d/1yDAaXNsi4Mr5FtRQL4tbmSdIzhx6_m4wkOD7IG-k_eo/edit#gid=0"", ""Maths!M:N""), 2, FALSE)"),"#N/A")</f>
        <v>#N/A</v>
      </c>
      <c r="U17" s="11">
        <f ca="1">IFERROR(__xludf.DUMMYFUNCTION("ArrayFormula(VLOOKUP(G17, IMPORTRANGE(""https://docs.google.com/spreadsheets/d/1p7R4vtkWt5VOBim4ltsDG9KTzSjrtKXsMtQGXPHyND0/edit#gid=795171502"", ""'Filter 30_05_2024'!A1:M2000""), {2, 3, 4, 5,6,7,8,9,10,11,12,13}, 0))"),3)</f>
        <v>3</v>
      </c>
      <c r="V17" s="11">
        <f ca="1">IFERROR(__xludf.DUMMYFUNCTION("""COMPUTED_VALUE"""),5)</f>
        <v>5</v>
      </c>
      <c r="W17" s="11">
        <f ca="1">IFERROR(__xludf.DUMMYFUNCTION("""COMPUTED_VALUE"""),2)</f>
        <v>2</v>
      </c>
      <c r="X17" s="11">
        <f ca="1">IFERROR(__xludf.DUMMYFUNCTION("""COMPUTED_VALUE"""),10)</f>
        <v>10</v>
      </c>
      <c r="Y17" s="11">
        <f ca="1">IFERROR(__xludf.DUMMYFUNCTION("""COMPUTED_VALUE"""),4)</f>
        <v>4</v>
      </c>
      <c r="Z17" s="29">
        <f ca="1">IFERROR(__xludf.DUMMYFUNCTION("""COMPUTED_VALUE"""),4)</f>
        <v>4</v>
      </c>
      <c r="AA17" s="29">
        <f ca="1">IFERROR(__xludf.DUMMYFUNCTION("""COMPUTED_VALUE"""),1)</f>
        <v>1</v>
      </c>
      <c r="AB17" s="12">
        <f ca="1">IFERROR(__xludf.DUMMYFUNCTION("""COMPUTED_VALUE"""),9)</f>
        <v>9</v>
      </c>
      <c r="AC17" s="12"/>
      <c r="AD17" s="12"/>
      <c r="AE17" s="12"/>
      <c r="AF17" s="12"/>
      <c r="AG17" s="13" t="str">
        <f ca="1">IFERROR(__xludf.DUMMYFUNCTION("ArrayFormula(VLOOKUP(G17, IMPORTRANGE(""https://docs.google.com/spreadsheets/d/1Co934fvtviyaRiMsrIlT05Jaq7iiYq07aLvRr35KA48/edit?gid=173865642#gid=173865642"", ""'G6_Maths_Pri_LU'!G2:V2000""), {3, 4, 5, 6, 7, 8, 9, 10, 11, 12, 13, 14, 15, 16}, 0))"),"LU000153")</f>
        <v>LU000153</v>
      </c>
      <c r="AH17" s="13" t="str">
        <f ca="1">IFERROR(__xludf.DUMMYFUNCTION("""COMPUTED_VALUE"""),"Place value system in whole numbers (upto 9-digit numbers)")</f>
        <v>Place value system in whole numbers (upto 9-digit numbers)</v>
      </c>
      <c r="AI17" s="13" t="str">
        <f ca="1">IFERROR(__xludf.DUMMYFUNCTION("""COMPUTED_VALUE"""),"LU000156")</f>
        <v>LU000156</v>
      </c>
      <c r="AJ17" s="13" t="str">
        <f ca="1">IFERROR(__xludf.DUMMYFUNCTION("""COMPUTED_VALUE"""),"Numerical expansion of whole numbers (upto 9-digit numbers)")</f>
        <v>Numerical expansion of whole numbers (upto 9-digit numbers)</v>
      </c>
      <c r="AK17" s="13"/>
      <c r="AL17" s="13"/>
      <c r="AM17" s="13"/>
      <c r="AN17" s="13"/>
      <c r="AO17" s="13"/>
      <c r="AP17" s="13"/>
      <c r="AQ17" s="13"/>
      <c r="AR17" s="13"/>
      <c r="AS17" s="13"/>
      <c r="AT17" s="13"/>
    </row>
    <row r="18" spans="1:46">
      <c r="A18" s="8" t="s">
        <v>247</v>
      </c>
      <c r="B18" s="8" t="s">
        <v>47</v>
      </c>
      <c r="C18" s="8" t="s">
        <v>48</v>
      </c>
      <c r="D18" s="8" t="s">
        <v>49</v>
      </c>
      <c r="E18" s="8" t="s">
        <v>248</v>
      </c>
      <c r="F18" s="8" t="s">
        <v>268</v>
      </c>
      <c r="G18" s="8" t="s">
        <v>100</v>
      </c>
      <c r="H18" s="8" t="str">
        <f ca="1">IFERROR(__xludf.DUMMYFUNCTION("VLOOKUP(G18, IMPORTRANGE(""https://docs.google.com/spreadsheets/d/14deopnvwcrKtEGCKuYXdUHJbeLDZlkiSSWWT0g7x2pM/edit#gid=999382323"", ""LU List Maths (Filter)!A:B""), 2, FALSE)"),"Subtraction of large whole numbers (5-9 digit numbers)")</f>
        <v>Subtraction of large whole numbers (5-9 digit numbers)</v>
      </c>
      <c r="I18" s="10" t="str">
        <f t="shared" si="0"/>
        <v>LU000949.001</v>
      </c>
      <c r="J18" s="10" t="str">
        <f ca="1">IFERROR(__xludf.DUMMYFUNCTION("VLOOKUP(I18, IMPORTRANGE(""https://docs.google.com/spreadsheets/d/1yDAaXNsi4Mr5FtRQL4tbmSdIzhx6_m4wkOD7IG-k_eo/edit#gid=0"", ""Maths!M:N""), 2, FALSE)"),"Recall the steps of the standard approach for subtracting large whole numbers.")</f>
        <v>Recall the steps of the standard approach for subtracting large whole numbers.</v>
      </c>
      <c r="K18" s="10" t="str">
        <f t="shared" si="1"/>
        <v>LU000949.002</v>
      </c>
      <c r="L18" s="10" t="str">
        <f ca="1">IFERROR(__xludf.DUMMYFUNCTION("VLOOKUP(K18, IMPORTRANGE(""https://docs.google.com/spreadsheets/d/1yDAaXNsi4Mr5FtRQL4tbmSdIzhx6_m4wkOD7IG-k_eo/edit#gid=0"", ""Maths!M:N""), 2, FALSE)"),"Explain the concept of 'borrowing' or 'regrouping' in the subtraction of large whole numbers.")</f>
        <v>Explain the concept of 'borrowing' or 'regrouping' in the subtraction of large whole numbers.</v>
      </c>
      <c r="M18" s="10" t="str">
        <f t="shared" si="2"/>
        <v>LU000949.003</v>
      </c>
      <c r="N18" s="10" t="str">
        <f ca="1">IFERROR(__xludf.DUMMYFUNCTION("VLOOKUP(M18, IMPORTRANGE(""https://docs.google.com/spreadsheets/d/1yDAaXNsi4Mr5FtRQL4tbmSdIzhx6_m4wkOD7IG-k_eo/edit#gid=0"", ""Maths!M:N""), 2, FALSE)"),"Perform subtraction operations accurately with large whole numbers (5-9 digits).")</f>
        <v>Perform subtraction operations accurately with large whole numbers (5-9 digits).</v>
      </c>
      <c r="O18" s="10" t="str">
        <f t="shared" si="3"/>
        <v>LU000949.004</v>
      </c>
      <c r="P18" s="10" t="str">
        <f ca="1">IFERROR(__xludf.DUMMYFUNCTION("VLOOKUP(O18, IMPORTRANGE(""https://docs.google.com/spreadsheets/d/1yDAaXNsi4Mr5FtRQL4tbmSdIzhx6_m4wkOD7IG-k_eo/edit#gid=0"", ""Maths!M:N""), 2, FALSE)"),"Assess subtraction problems to identify and correct computational errors.")</f>
        <v>Assess subtraction problems to identify and correct computational errors.</v>
      </c>
      <c r="Q18" s="10" t="str">
        <f t="shared" si="4"/>
        <v>LU000949.005</v>
      </c>
      <c r="R18" s="10" t="str">
        <f ca="1">IFERROR(__xludf.DUMMYFUNCTION("VLOOKUP(Q18, IMPORTRANGE(""https://docs.google.com/spreadsheets/d/1yDAaXNsi4Mr5FtRQL4tbmSdIzhx6_m4wkOD7IG-k_eo/edit#gid=0"", ""Maths!M:N""), 2, FALSE)"),"Develop and solve real-world problems that involve the subtraction of large whole numbers.")</f>
        <v>Develop and solve real-world problems that involve the subtraction of large whole numbers.</v>
      </c>
      <c r="S18" s="10" t="str">
        <f t="shared" si="5"/>
        <v>LU000949.006</v>
      </c>
      <c r="T18" s="10" t="str">
        <f ca="1">IFERROR(__xludf.DUMMYFUNCTION("VLOOKUP(S18, IMPORTRANGE(""https://docs.google.com/spreadsheets/d/1yDAaXNsi4Mr5FtRQL4tbmSdIzhx6_m4wkOD7IG-k_eo/edit#gid=0"", ""Maths!M:N""), 2, FALSE)"),"#N/A")</f>
        <v>#N/A</v>
      </c>
      <c r="U18" s="11">
        <f ca="1">IFERROR(__xludf.DUMMYFUNCTION("ArrayFormula(VLOOKUP(G18, IMPORTRANGE(""https://docs.google.com/spreadsheets/d/1p7R4vtkWt5VOBim4ltsDG9KTzSjrtKXsMtQGXPHyND0/edit#gid=795171502"", ""'Filter 30_05_2024'!A1:M2000""), {2, 3, 4, 5,6,7,8,9,10,11,12,13}, 0))"),4)</f>
        <v>4</v>
      </c>
      <c r="V18" s="11">
        <f ca="1">IFERROR(__xludf.DUMMYFUNCTION("""COMPUTED_VALUE"""),11)</f>
        <v>11</v>
      </c>
      <c r="W18" s="11">
        <f ca="1">IFERROR(__xludf.DUMMYFUNCTION("""COMPUTED_VALUE"""),2)</f>
        <v>2</v>
      </c>
      <c r="X18" s="11">
        <f ca="1">IFERROR(__xludf.DUMMYFUNCTION("""COMPUTED_VALUE"""),17)</f>
        <v>17</v>
      </c>
      <c r="Y18" s="11">
        <f ca="1">IFERROR(__xludf.DUMMYFUNCTION("""COMPUTED_VALUE"""),4)</f>
        <v>4</v>
      </c>
      <c r="Z18" s="29">
        <f ca="1">IFERROR(__xludf.DUMMYFUNCTION("""COMPUTED_VALUE"""),4)</f>
        <v>4</v>
      </c>
      <c r="AA18" s="29">
        <f ca="1">IFERROR(__xludf.DUMMYFUNCTION("""COMPUTED_VALUE"""),1)</f>
        <v>1</v>
      </c>
      <c r="AB18" s="12">
        <f ca="1">IFERROR(__xludf.DUMMYFUNCTION("""COMPUTED_VALUE"""),9)</f>
        <v>9</v>
      </c>
      <c r="AC18" s="12"/>
      <c r="AD18" s="12"/>
      <c r="AE18" s="12"/>
      <c r="AF18" s="12"/>
      <c r="AG18" s="13" t="str">
        <f ca="1">IFERROR(__xludf.DUMMYFUNCTION("ArrayFormula(VLOOKUP(G18, IMPORTRANGE(""https://docs.google.com/spreadsheets/d/1Co934fvtviyaRiMsrIlT05Jaq7iiYq07aLvRr35KA48/edit?gid=173865642#gid=173865642"", ""'G6_Maths_Pri_LU'!G2:V2000""), {3, 4, 5, 6, 7, 8, 9, 10, 11, 12, 13, 14, 15, 16}, 0))"),"LU000153")</f>
        <v>LU000153</v>
      </c>
      <c r="AH18" s="13" t="str">
        <f ca="1">IFERROR(__xludf.DUMMYFUNCTION("""COMPUTED_VALUE"""),"Place value system in whole numbers (upto 9-digit numbers)")</f>
        <v>Place value system in whole numbers (upto 9-digit numbers)</v>
      </c>
      <c r="AI18" s="13" t="str">
        <f ca="1">IFERROR(__xludf.DUMMYFUNCTION("""COMPUTED_VALUE"""),"LU000156")</f>
        <v>LU000156</v>
      </c>
      <c r="AJ18" s="13" t="str">
        <f ca="1">IFERROR(__xludf.DUMMYFUNCTION("""COMPUTED_VALUE"""),"Numerical expansion of whole numbers (upto 9-digit numbers)")</f>
        <v>Numerical expansion of whole numbers (upto 9-digit numbers)</v>
      </c>
      <c r="AK18" s="13"/>
      <c r="AL18" s="13"/>
      <c r="AM18" s="13"/>
      <c r="AN18" s="13"/>
      <c r="AO18" s="13"/>
      <c r="AP18" s="13"/>
      <c r="AQ18" s="13"/>
      <c r="AR18" s="13"/>
      <c r="AS18" s="13"/>
      <c r="AT18" s="13"/>
    </row>
    <row r="19" spans="1:46">
      <c r="A19" s="8" t="s">
        <v>247</v>
      </c>
      <c r="B19" s="8" t="s">
        <v>47</v>
      </c>
      <c r="C19" s="8" t="s">
        <v>48</v>
      </c>
      <c r="D19" s="8" t="s">
        <v>49</v>
      </c>
      <c r="E19" s="8" t="s">
        <v>248</v>
      </c>
      <c r="F19" s="8" t="s">
        <v>269</v>
      </c>
      <c r="G19" s="8" t="s">
        <v>270</v>
      </c>
      <c r="H19" s="8" t="str">
        <f ca="1">IFERROR(__xludf.DUMMYFUNCTION("VLOOKUP(G19, IMPORTRANGE(""https://docs.google.com/spreadsheets/d/14deopnvwcrKtEGCKuYXdUHJbeLDZlkiSSWWT0g7x2pM/edit#gid=999382323"", ""LU List Maths (Filter)!A:B""), 2, FALSE)"),"Multiplication of large whole numbers (6-9 digit numbers)")</f>
        <v>Multiplication of large whole numbers (6-9 digit numbers)</v>
      </c>
      <c r="I19" s="10" t="str">
        <f t="shared" si="0"/>
        <v>LU000950.001</v>
      </c>
      <c r="J19" s="10" t="str">
        <f ca="1">IFERROR(__xludf.DUMMYFUNCTION("VLOOKUP(I19, IMPORTRANGE(""https://docs.google.com/spreadsheets/d/1yDAaXNsi4Mr5FtRQL4tbmSdIzhx6_m4wkOD7IG-k_eo/edit#gid=0"", ""Maths!M:N""), 2, FALSE)"),"Recall the standard multiplication approach for multiplying large whole numbers.")</f>
        <v>Recall the standard multiplication approach for multiplying large whole numbers.</v>
      </c>
      <c r="K19" s="10" t="str">
        <f t="shared" si="1"/>
        <v>LU000950.002</v>
      </c>
      <c r="L19" s="10" t="str">
        <f ca="1">IFERROR(__xludf.DUMMYFUNCTION("VLOOKUP(K19, IMPORTRANGE(""https://docs.google.com/spreadsheets/d/1yDAaXNsi4Mr5FtRQL4tbmSdIzhx6_m4wkOD7IG-k_eo/edit#gid=0"", ""Maths!M:N""), 2, FALSE)"),"Explain the significance of place value and how it applies when multiplying large whole numbers.")</f>
        <v>Explain the significance of place value and how it applies when multiplying large whole numbers.</v>
      </c>
      <c r="M19" s="10" t="str">
        <f t="shared" si="2"/>
        <v>LU000950.003</v>
      </c>
      <c r="N19" s="10" t="str">
        <f ca="1">IFERROR(__xludf.DUMMYFUNCTION("VLOOKUP(M19, IMPORTRANGE(""https://docs.google.com/spreadsheets/d/1yDAaXNsi4Mr5FtRQL4tbmSdIzhx6_m4wkOD7IG-k_eo/edit#gid=0"", ""Maths!M:N""), 2, FALSE)"),"Perform multiplication operations with large whole numbers (6-9 digits) using the standard algorithm.")</f>
        <v>Perform multiplication operations with large whole numbers (6-9 digits) using the standard algorithm.</v>
      </c>
      <c r="O19" s="10" t="str">
        <f t="shared" si="3"/>
        <v>LU000950.004</v>
      </c>
      <c r="P19" s="10" t="str">
        <f ca="1">IFERROR(__xludf.DUMMYFUNCTION("VLOOKUP(O19, IMPORTRANGE(""https://docs.google.com/spreadsheets/d/1yDAaXNsi4Mr5FtRQL4tbmSdIzhx6_m4wkOD7IG-k_eo/edit#gid=0"", ""Maths!M:N""), 2, FALSE)"),"Analyze the multiplication process, focusing on the alignment of digits and the carry-over of values.")</f>
        <v>Analyze the multiplication process, focusing on the alignment of digits and the carry-over of values.</v>
      </c>
      <c r="Q19" s="10" t="str">
        <f t="shared" si="4"/>
        <v>LU000950.005</v>
      </c>
      <c r="R19" s="10" t="str">
        <f ca="1">IFERROR(__xludf.DUMMYFUNCTION("VLOOKUP(Q19, IMPORTRANGE(""https://docs.google.com/spreadsheets/d/1yDAaXNsi4Mr5FtRQL4tbmSdIzhx6_m4wkOD7IG-k_eo/edit#gid=0"", ""Maths!M:N""), 2, FALSE)")," Evaluate multiplication problems to identify and correct any computational errors.")</f>
        <v xml:space="preserve"> Evaluate multiplication problems to identify and correct any computational errors.</v>
      </c>
      <c r="S19" s="10" t="str">
        <f t="shared" si="5"/>
        <v>LU000950.006</v>
      </c>
      <c r="T19" s="10" t="str">
        <f ca="1">IFERROR(__xludf.DUMMYFUNCTION("VLOOKUP(S19, IMPORTRANGE(""https://docs.google.com/spreadsheets/d/1yDAaXNsi4Mr5FtRQL4tbmSdIzhx6_m4wkOD7IG-k_eo/edit#gid=0"", ""Maths!M:N""), 2, FALSE)"),"Devise and solve complex, multi-digit multiplication problems that involve real-world scenarios or additional mathematical concepts.")</f>
        <v>Devise and solve complex, multi-digit multiplication problems that involve real-world scenarios or additional mathematical concepts.</v>
      </c>
      <c r="U19" s="11">
        <f ca="1">IFERROR(__xludf.DUMMYFUNCTION("ArrayFormula(VLOOKUP(G19, IMPORTRANGE(""https://docs.google.com/spreadsheets/d/1p7R4vtkWt5VOBim4ltsDG9KTzSjrtKXsMtQGXPHyND0/edit#gid=795171502"", ""'Filter 30_05_2024'!A1:M2000""), {2, 3, 4, 5,6,7,8,9,10,11,12,13}, 0))"),4)</f>
        <v>4</v>
      </c>
      <c r="V19" s="11">
        <f ca="1">IFERROR(__xludf.DUMMYFUNCTION("""COMPUTED_VALUE"""),5)</f>
        <v>5</v>
      </c>
      <c r="W19" s="11">
        <f ca="1">IFERROR(__xludf.DUMMYFUNCTION("""COMPUTED_VALUE"""),2)</f>
        <v>2</v>
      </c>
      <c r="X19" s="11">
        <f ca="1">IFERROR(__xludf.DUMMYFUNCTION("""COMPUTED_VALUE"""),11)</f>
        <v>11</v>
      </c>
      <c r="Y19" s="11">
        <f ca="1">IFERROR(__xludf.DUMMYFUNCTION("""COMPUTED_VALUE"""),4)</f>
        <v>4</v>
      </c>
      <c r="Z19" s="29">
        <f ca="1">IFERROR(__xludf.DUMMYFUNCTION("""COMPUTED_VALUE"""),2)</f>
        <v>2</v>
      </c>
      <c r="AA19" s="29">
        <f ca="1">IFERROR(__xludf.DUMMYFUNCTION("""COMPUTED_VALUE"""),1)</f>
        <v>1</v>
      </c>
      <c r="AB19" s="12">
        <f ca="1">IFERROR(__xludf.DUMMYFUNCTION("""COMPUTED_VALUE"""),7)</f>
        <v>7</v>
      </c>
      <c r="AC19" s="12"/>
      <c r="AD19" s="12"/>
      <c r="AE19" s="12"/>
      <c r="AF19" s="12"/>
      <c r="AG19" s="13" t="str">
        <f ca="1">IFERROR(__xludf.DUMMYFUNCTION("ArrayFormula(VLOOKUP(G19, IMPORTRANGE(""https://docs.google.com/spreadsheets/d/1Co934fvtviyaRiMsrIlT05Jaq7iiYq07aLvRr35KA48/edit?gid=173865642#gid=173865642"", ""'G6_Maths_Pri_LU'!G2:V2000""), {3, 4, 5, 6, 7, 8, 9, 10, 11, 12, 13, 14, 15, 16}, 0))"),"LU000118")</f>
        <v>LU000118</v>
      </c>
      <c r="AH19" s="13" t="str">
        <f ca="1">IFERROR(__xludf.DUMMYFUNCTION("""COMPUTED_VALUE"""),"Multiplication of five-digit numbers by one-digit/two-digit/three-digit/four-digit/five-digit numbers")</f>
        <v>Multiplication of five-digit numbers by one-digit/two-digit/three-digit/four-digit/five-digit numbers</v>
      </c>
      <c r="AI19" s="13" t="str">
        <f ca="1">IFERROR(__xludf.DUMMYFUNCTION("""COMPUTED_VALUE"""),"LU000119")</f>
        <v>LU000119</v>
      </c>
      <c r="AJ19" s="13" t="str">
        <f ca="1">IFERROR(__xludf.DUMMYFUNCTION("""COMPUTED_VALUE"""),"Multiplication of numbers by multiples of 10")</f>
        <v>Multiplication of numbers by multiples of 10</v>
      </c>
      <c r="AK19" s="13"/>
      <c r="AL19" s="13"/>
      <c r="AM19" s="13"/>
      <c r="AN19" s="13"/>
      <c r="AO19" s="13"/>
      <c r="AP19" s="13"/>
      <c r="AQ19" s="13"/>
      <c r="AR19" s="13"/>
      <c r="AS19" s="13"/>
      <c r="AT19" s="13"/>
    </row>
    <row r="20" spans="1:46">
      <c r="A20" s="8" t="s">
        <v>247</v>
      </c>
      <c r="B20" s="8" t="s">
        <v>47</v>
      </c>
      <c r="C20" s="8" t="s">
        <v>48</v>
      </c>
      <c r="D20" s="8" t="s">
        <v>49</v>
      </c>
      <c r="E20" s="8" t="s">
        <v>248</v>
      </c>
      <c r="F20" s="8" t="s">
        <v>269</v>
      </c>
      <c r="G20" s="8" t="s">
        <v>271</v>
      </c>
      <c r="H20" s="8" t="str">
        <f ca="1">IFERROR(__xludf.DUMMYFUNCTION("VLOOKUP(G20, IMPORTRANGE(""https://docs.google.com/spreadsheets/d/14deopnvwcrKtEGCKuYXdUHJbeLDZlkiSSWWT0g7x2pM/edit#gid=999382323"", ""LU List Maths (Filter)!A:B""), 2, FALSE)"),"Division of large whole numbers (6-9 digit numbers)")</f>
        <v>Division of large whole numbers (6-9 digit numbers)</v>
      </c>
      <c r="I20" s="10" t="str">
        <f t="shared" si="0"/>
        <v>LU000951.001</v>
      </c>
      <c r="J20" s="10" t="str">
        <f ca="1">IFERROR(__xludf.DUMMYFUNCTION("VLOOKUP(I20, IMPORTRANGE(""https://docs.google.com/spreadsheets/d/1yDAaXNsi4Mr5FtRQL4tbmSdIzhx6_m4wkOD7IG-k_eo/edit#gid=0"", ""Maths!M:N""), 2, FALSE)"),"Recall the long division method and the steps involved in dividing large whole numbers.")</f>
        <v>Recall the long division method and the steps involved in dividing large whole numbers.</v>
      </c>
      <c r="K20" s="10" t="str">
        <f t="shared" si="1"/>
        <v>LU000951.002</v>
      </c>
      <c r="L20" s="10" t="str">
        <f ca="1">IFERROR(__xludf.DUMMYFUNCTION("VLOOKUP(K20, IMPORTRANGE(""https://docs.google.com/spreadsheets/d/1yDAaXNsi4Mr5FtRQL4tbmSdIzhx6_m4wkOD7IG-k_eo/edit#gid=0"", ""Maths!M:N""), 2, FALSE)"),"Explain the concept of division, including the dividend, divisor, quotient, and remainder.")</f>
        <v>Explain the concept of division, including the dividend, divisor, quotient, and remainder.</v>
      </c>
      <c r="M20" s="10" t="str">
        <f t="shared" si="2"/>
        <v>LU000951.003</v>
      </c>
      <c r="N20" s="10" t="str">
        <f ca="1">IFERROR(__xludf.DUMMYFUNCTION("VLOOKUP(M20, IMPORTRANGE(""https://docs.google.com/spreadsheets/d/1yDAaXNsi4Mr5FtRQL4tbmSdIzhx6_m4wkOD7IG-k_eo/edit#gid=0"", ""Maths!M:N""), 2, FALSE)"),"Accurately perform division operations with large whole numbers (6-9 digits) using the long division method.")</f>
        <v>Accurately perform division operations with large whole numbers (6-9 digits) using the long division method.</v>
      </c>
      <c r="O20" s="10" t="str">
        <f t="shared" si="3"/>
        <v>LU000951.004</v>
      </c>
      <c r="P20" s="10" t="str">
        <f ca="1">IFERROR(__xludf.DUMMYFUNCTION("VLOOKUP(O20, IMPORTRANGE(""https://docs.google.com/spreadsheets/d/1yDAaXNsi4Mr5FtRQL4tbmSdIzhx6_m4wkOD7IG-k_eo/edit#gid=0"", ""Maths!M:N""), 2, FALSE)"),"Analyze the division process, focusing on the alignment of digits, the remainder, and the significance of each step.")</f>
        <v>Analyze the division process, focusing on the alignment of digits, the remainder, and the significance of each step.</v>
      </c>
      <c r="Q20" s="10" t="str">
        <f t="shared" si="4"/>
        <v>LU000951.005</v>
      </c>
      <c r="R20" s="10" t="str">
        <f ca="1">IFERROR(__xludf.DUMMYFUNCTION("VLOOKUP(Q20, IMPORTRANGE(""https://docs.google.com/spreadsheets/d/1yDAaXNsi4Mr5FtRQL4tbmSdIzhx6_m4wkOD7IG-k_eo/edit#gid=0"", ""Maths!M:N""), 2, FALSE)"),"Critically evaluate the methods and accuracy of division involving large whole numbers, ranging from six to nine digits.")</f>
        <v>Critically evaluate the methods and accuracy of division involving large whole numbers, ranging from six to nine digits.</v>
      </c>
      <c r="S20" s="10" t="str">
        <f t="shared" si="5"/>
        <v>LU000951.006</v>
      </c>
      <c r="T20" s="10" t="str">
        <f ca="1">IFERROR(__xludf.DUMMYFUNCTION("VLOOKUP(S20, IMPORTRANGE(""https://docs.google.com/spreadsheets/d/1yDAaXNsi4Mr5FtRQL4tbmSdIzhx6_m4wkOD7IG-k_eo/edit#gid=0"", ""Maths!M:N""), 2, FALSE)"),"Formulate and solve complex division problems that involve real-world scenarios, requiring multi-digit division and interpretation of remainders.")</f>
        <v>Formulate and solve complex division problems that involve real-world scenarios, requiring multi-digit division and interpretation of remainders.</v>
      </c>
      <c r="U20" s="11">
        <f ca="1">IFERROR(__xludf.DUMMYFUNCTION("ArrayFormula(VLOOKUP(G20, IMPORTRANGE(""https://docs.google.com/spreadsheets/d/1p7R4vtkWt5VOBim4ltsDG9KTzSjrtKXsMtQGXPHyND0/edit#gid=795171502"", ""'Filter 30_05_2024'!A1:M2000""), {2, 3, 4, 5,6,7,8,9,10,11,12,13}, 0))"),4)</f>
        <v>4</v>
      </c>
      <c r="V20" s="11">
        <f ca="1">IFERROR(__xludf.DUMMYFUNCTION("""COMPUTED_VALUE"""),6)</f>
        <v>6</v>
      </c>
      <c r="W20" s="11">
        <f ca="1">IFERROR(__xludf.DUMMYFUNCTION("""COMPUTED_VALUE"""),2)</f>
        <v>2</v>
      </c>
      <c r="X20" s="11">
        <f ca="1">IFERROR(__xludf.DUMMYFUNCTION("""COMPUTED_VALUE"""),12)</f>
        <v>12</v>
      </c>
      <c r="Y20" s="11">
        <f ca="1">IFERROR(__xludf.DUMMYFUNCTION("""COMPUTED_VALUE"""),4)</f>
        <v>4</v>
      </c>
      <c r="Z20" s="29">
        <f ca="1">IFERROR(__xludf.DUMMYFUNCTION("""COMPUTED_VALUE"""),3)</f>
        <v>3</v>
      </c>
      <c r="AA20" s="29">
        <f ca="1">IFERROR(__xludf.DUMMYFUNCTION("""COMPUTED_VALUE"""),1)</f>
        <v>1</v>
      </c>
      <c r="AB20" s="12">
        <f ca="1">IFERROR(__xludf.DUMMYFUNCTION("""COMPUTED_VALUE"""),8)</f>
        <v>8</v>
      </c>
      <c r="AC20" s="12"/>
      <c r="AD20" s="12"/>
      <c r="AE20" s="12"/>
      <c r="AF20" s="12"/>
      <c r="AG20" s="13" t="str">
        <f ca="1">IFERROR(__xludf.DUMMYFUNCTION("ArrayFormula(VLOOKUP(G20, IMPORTRANGE(""https://docs.google.com/spreadsheets/d/1Co934fvtviyaRiMsrIlT05Jaq7iiYq07aLvRr35KA48/edit?gid=173865642#gid=173865642"", ""'G6_Maths_Pri_LU'!G2:V2000""), {3, 4, 5, 6, 7, 8, 9, 10, 11, 12, 13, 14, 15, 16}, 0))"),"LU000121")</f>
        <v>LU000121</v>
      </c>
      <c r="AH20" s="13" t="str">
        <f ca="1">IFERROR(__xludf.DUMMYFUNCTION("""COMPUTED_VALUE"""),"Division of five-digit numbers by one-digit/two-digit/three-digit/four-digit numbers using standard algorithms")</f>
        <v>Division of five-digit numbers by one-digit/two-digit/three-digit/four-digit numbers using standard algorithms</v>
      </c>
      <c r="AI20" s="13" t="str">
        <f ca="1">IFERROR(__xludf.DUMMYFUNCTION("""COMPUTED_VALUE"""),"LU001159")</f>
        <v>LU001159</v>
      </c>
      <c r="AJ20" s="13" t="str">
        <f ca="1">IFERROR(__xludf.DUMMYFUNCTION("""COMPUTED_VALUE"""),"Terms (dividend, divisor, quotient and remainder) related to division algorithm in terms of numbers")</f>
        <v>Terms (dividend, divisor, quotient and remainder) related to division algorithm in terms of numbers</v>
      </c>
      <c r="AK20" s="13" t="str">
        <f ca="1">IFERROR(__xludf.DUMMYFUNCTION("""COMPUTED_VALUE"""),"LU000118")</f>
        <v>LU000118</v>
      </c>
      <c r="AL20" s="13" t="str">
        <f ca="1">IFERROR(__xludf.DUMMYFUNCTION("""COMPUTED_VALUE"""),"Multiplication of five-digit numbers by one-digit/two-digit/three-digit/four-digit/five-digit numbers")</f>
        <v>Multiplication of five-digit numbers by one-digit/two-digit/three-digit/four-digit/five-digit numbers</v>
      </c>
      <c r="AM20" s="13"/>
      <c r="AN20" s="13"/>
      <c r="AO20" s="13"/>
      <c r="AP20" s="13"/>
      <c r="AQ20" s="13"/>
      <c r="AR20" s="13"/>
      <c r="AS20" s="13"/>
      <c r="AT20" s="13"/>
    </row>
    <row r="21" spans="1:46">
      <c r="A21" s="8" t="s">
        <v>247</v>
      </c>
      <c r="B21" s="8" t="s">
        <v>47</v>
      </c>
      <c r="C21" s="8" t="s">
        <v>48</v>
      </c>
      <c r="D21" s="8" t="s">
        <v>49</v>
      </c>
      <c r="E21" s="8" t="s">
        <v>272</v>
      </c>
      <c r="F21" s="8" t="s">
        <v>273</v>
      </c>
      <c r="G21" s="8" t="s">
        <v>274</v>
      </c>
      <c r="H21" s="8" t="str">
        <f ca="1">IFERROR(__xludf.DUMMYFUNCTION("VLOOKUP(G21, IMPORTRANGE(""https://docs.google.com/spreadsheets/d/14deopnvwcrKtEGCKuYXdUHJbeLDZlkiSSWWT0g7x2pM/edit#gid=999382323"", ""LU List Maths (Filter)!A:B""), 2, FALSE)"),"Definition of natural number ")</f>
        <v xml:space="preserve">Definition of natural number </v>
      </c>
      <c r="I21" s="10" t="str">
        <f t="shared" si="0"/>
        <v>LU000175.001</v>
      </c>
      <c r="J21" s="10" t="str">
        <f ca="1">IFERROR(__xludf.DUMMYFUNCTION("VLOOKUP(I21, IMPORTRANGE(""https://docs.google.com/spreadsheets/d/1yDAaXNsi4Mr5FtRQL4tbmSdIzhx6_m4wkOD7IG-k_eo/edit#gid=0"", ""Maths!M:N""), 2, FALSE)"),"Define natural number.")</f>
        <v>Define natural number.</v>
      </c>
      <c r="K21" s="10" t="str">
        <f t="shared" si="1"/>
        <v>LU000175.002</v>
      </c>
      <c r="L21" s="10" t="str">
        <f ca="1">IFERROR(__xludf.DUMMYFUNCTION("VLOOKUP(K21, IMPORTRANGE(""https://docs.google.com/spreadsheets/d/1yDAaXNsi4Mr5FtRQL4tbmSdIzhx6_m4wkOD7IG-k_eo/edit#gid=0"", ""Maths!M:N""), 2, FALSE)"),"List examples of natural number.")</f>
        <v>List examples of natural number.</v>
      </c>
      <c r="M21" s="10" t="str">
        <f t="shared" si="2"/>
        <v>LU000175.003</v>
      </c>
      <c r="N21" s="10" t="str">
        <f ca="1">IFERROR(__xludf.DUMMYFUNCTION("VLOOKUP(M21, IMPORTRANGE(""https://docs.google.com/spreadsheets/d/1yDAaXNsi4Mr5FtRQL4tbmSdIzhx6_m4wkOD7IG-k_eo/edit#gid=0"", ""Maths!M:N""), 2, FALSE)"),"Identify natural numbers in various contexts, such as in sequences, patterns, and practical scenarios.")</f>
        <v>Identify natural numbers in various contexts, such as in sequences, patterns, and practical scenarios.</v>
      </c>
      <c r="O21" s="10" t="str">
        <f t="shared" si="3"/>
        <v>LU000175.004</v>
      </c>
      <c r="P21" s="10" t="str">
        <f ca="1">IFERROR(__xludf.DUMMYFUNCTION("VLOOKUP(O21, IMPORTRANGE(""https://docs.google.com/spreadsheets/d/1yDAaXNsi4Mr5FtRQL4tbmSdIzhx6_m4wkOD7IG-k_eo/edit#gid=0"", ""Maths!M:N""), 2, FALSE)"),"Analyse patterns in the sequence of natural numbers.")</f>
        <v>Analyse patterns in the sequence of natural numbers.</v>
      </c>
      <c r="Q21" s="10" t="str">
        <f t="shared" si="4"/>
        <v>LU000175.005</v>
      </c>
      <c r="R21" s="10" t="str">
        <f ca="1">IFERROR(__xludf.DUMMYFUNCTION("VLOOKUP(Q21, IMPORTRANGE(""https://docs.google.com/spreadsheets/d/1yDAaXNsi4Mr5FtRQL4tbmSdIzhx6_m4wkOD7IG-k_eo/edit#gid=0"", ""Maths!M:N""), 2, FALSE)"),"#N/A")</f>
        <v>#N/A</v>
      </c>
      <c r="S21" s="10" t="str">
        <f t="shared" si="5"/>
        <v>LU000175.006</v>
      </c>
      <c r="T21" s="10" t="str">
        <f ca="1">IFERROR(__xludf.DUMMYFUNCTION("VLOOKUP(S21, IMPORTRANGE(""https://docs.google.com/spreadsheets/d/1yDAaXNsi4Mr5FtRQL4tbmSdIzhx6_m4wkOD7IG-k_eo/edit#gid=0"", ""Maths!M:N""), 2, FALSE)"),"Generate number sequences using natural numbers based on given patterns.
Create a real-life project showcasing the importance and utility of natural numbers in diverse situations.")</f>
        <v>Generate number sequences using natural numbers based on given patterns.
Create a real-life project showcasing the importance and utility of natural numbers in diverse situations.</v>
      </c>
      <c r="U21" s="11">
        <f ca="1">IFERROR(__xludf.DUMMYFUNCTION("ArrayFormula(VLOOKUP(G21, IMPORTRANGE(""https://docs.google.com/spreadsheets/d/1p7R4vtkWt5VOBim4ltsDG9KTzSjrtKXsMtQGXPHyND0/edit#gid=795171502"", ""'Filter 30_05_2024'!A1:M2000""), {2, 3, 4, 5,6,7,8,9,10,11,12,13}, 0))"),4)</f>
        <v>4</v>
      </c>
      <c r="V21" s="11">
        <f ca="1">IFERROR(__xludf.DUMMYFUNCTION("""COMPUTED_VALUE"""),6)</f>
        <v>6</v>
      </c>
      <c r="W21" s="11">
        <f ca="1">IFERROR(__xludf.DUMMYFUNCTION("""COMPUTED_VALUE"""),2)</f>
        <v>2</v>
      </c>
      <c r="X21" s="11">
        <f ca="1">IFERROR(__xludf.DUMMYFUNCTION("""COMPUTED_VALUE"""),12)</f>
        <v>12</v>
      </c>
      <c r="Y21" s="11">
        <f ca="1">IFERROR(__xludf.DUMMYFUNCTION("""COMPUTED_VALUE"""),4)</f>
        <v>4</v>
      </c>
      <c r="Z21" s="29">
        <f ca="1">IFERROR(__xludf.DUMMYFUNCTION("""COMPUTED_VALUE"""),3)</f>
        <v>3</v>
      </c>
      <c r="AA21" s="29">
        <f ca="1">IFERROR(__xludf.DUMMYFUNCTION("""COMPUTED_VALUE"""),1)</f>
        <v>1</v>
      </c>
      <c r="AB21" s="12">
        <f ca="1">IFERROR(__xludf.DUMMYFUNCTION("""COMPUTED_VALUE"""),8)</f>
        <v>8</v>
      </c>
      <c r="AC21" s="12"/>
      <c r="AD21" s="12"/>
      <c r="AE21" s="12"/>
      <c r="AF21" s="12"/>
      <c r="AG21" s="13" t="str">
        <f ca="1">IFERROR(__xludf.DUMMYFUNCTION("ArrayFormula(VLOOKUP(G21, IMPORTRANGE(""https://docs.google.com/spreadsheets/d/1Co934fvtviyaRiMsrIlT05Jaq7iiYq07aLvRr35KA48/edit?gid=173865642#gid=173865642"", ""'G6_Maths_Pri_LU'!G2:V2000""), {3, 4, 5, 6, 7, 8, 9, 10, 11, 12, 13, 14, 15, 16}, 0))"),"")</f>
        <v/>
      </c>
      <c r="AH21" s="13"/>
      <c r="AI21" s="13"/>
      <c r="AJ21" s="13"/>
      <c r="AK21" s="13"/>
      <c r="AL21" s="13"/>
      <c r="AM21" s="13"/>
      <c r="AN21" s="13"/>
      <c r="AO21" s="13"/>
      <c r="AP21" s="13"/>
      <c r="AQ21" s="13"/>
      <c r="AR21" s="13"/>
      <c r="AS21" s="13"/>
      <c r="AT21" s="13"/>
    </row>
    <row r="22" spans="1:46">
      <c r="A22" s="8" t="s">
        <v>247</v>
      </c>
      <c r="B22" s="8" t="s">
        <v>47</v>
      </c>
      <c r="C22" s="8" t="s">
        <v>48</v>
      </c>
      <c r="D22" s="8" t="s">
        <v>49</v>
      </c>
      <c r="E22" s="8" t="s">
        <v>272</v>
      </c>
      <c r="F22" s="8" t="s">
        <v>273</v>
      </c>
      <c r="G22" s="8" t="s">
        <v>275</v>
      </c>
      <c r="H22" s="8" t="str">
        <f ca="1">IFERROR(__xludf.DUMMYFUNCTION("VLOOKUP(G22, IMPORTRANGE(""https://docs.google.com/spreadsheets/d/14deopnvwcrKtEGCKuYXdUHJbeLDZlkiSSWWT0g7x2pM/edit#gid=999382323"", ""LU List Maths (Filter)!A:B""), 2, FALSE)"),"Definition of whole number")</f>
        <v>Definition of whole number</v>
      </c>
      <c r="I22" s="10" t="str">
        <f t="shared" si="0"/>
        <v>LU000176.001</v>
      </c>
      <c r="J22" s="10" t="str">
        <f ca="1">IFERROR(__xludf.DUMMYFUNCTION("VLOOKUP(I22, IMPORTRANGE(""https://docs.google.com/spreadsheets/d/1yDAaXNsi4Mr5FtRQL4tbmSdIzhx6_m4wkOD7IG-k_eo/edit#gid=0"", ""Maths!M:N""), 2, FALSE)"),"Define whole numbers.")</f>
        <v>Define whole numbers.</v>
      </c>
      <c r="K22" s="10" t="str">
        <f t="shared" si="1"/>
        <v>LU000176.002</v>
      </c>
      <c r="L22" s="10" t="str">
        <f ca="1">IFERROR(__xludf.DUMMYFUNCTION("VLOOKUP(K22, IMPORTRANGE(""https://docs.google.com/spreadsheets/d/1yDAaXNsi4Mr5FtRQL4tbmSdIzhx6_m4wkOD7IG-k_eo/edit#gid=0"", ""Maths!M:N""), 2, FALSE)"),"List examples of whole numbers and their significance in counting.")</f>
        <v>List examples of whole numbers and their significance in counting.</v>
      </c>
      <c r="M22" s="10" t="str">
        <f t="shared" si="2"/>
        <v>LU000176.003</v>
      </c>
      <c r="N22" s="10" t="str">
        <f ca="1">IFERROR(__xludf.DUMMYFUNCTION("VLOOKUP(M22, IMPORTRANGE(""https://docs.google.com/spreadsheets/d/1yDAaXNsi4Mr5FtRQL4tbmSdIzhx6_m4wkOD7IG-k_eo/edit#gid=0"", ""Maths!M:N""), 2, FALSE)"),"Use whole numbers to solve practical problems, such as measurements and money.")</f>
        <v>Use whole numbers to solve practical problems, such as measurements and money.</v>
      </c>
      <c r="O22" s="10" t="str">
        <f t="shared" si="3"/>
        <v>LU000176.004</v>
      </c>
      <c r="P22" s="10" t="str">
        <f ca="1">IFERROR(__xludf.DUMMYFUNCTION("VLOOKUP(O22, IMPORTRANGE(""https://docs.google.com/spreadsheets/d/1yDAaXNsi4Mr5FtRQL4tbmSdIzhx6_m4wkOD7IG-k_eo/edit#gid=0"", ""Maths!M:N""), 2, FALSE)"),"Analyse and differentiate between various number types to identify characteristics exclusive to whole numbers.")</f>
        <v>Analyse and differentiate between various number types to identify characteristics exclusive to whole numbers.</v>
      </c>
      <c r="Q22" s="10" t="str">
        <f t="shared" si="4"/>
        <v>LU000176.005</v>
      </c>
      <c r="R22" s="10" t="str">
        <f ca="1">IFERROR(__xludf.DUMMYFUNCTION("VLOOKUP(Q22, IMPORTRANGE(""https://docs.google.com/spreadsheets/d/1yDAaXNsi4Mr5FtRQL4tbmSdIzhx6_m4wkOD7IG-k_eo/edit#gid=0"", ""Maths!M:N""), 2, FALSE)"),"Assess and justify the validity of different definitions of whole numbers.")</f>
        <v>Assess and justify the validity of different definitions of whole numbers.</v>
      </c>
      <c r="S22" s="10" t="str">
        <f t="shared" si="5"/>
        <v>LU000176.006</v>
      </c>
      <c r="T22" s="10" t="str">
        <f ca="1">IFERROR(__xludf.DUMMYFUNCTION("VLOOKUP(S22, IMPORTRANGE(""https://docs.google.com/spreadsheets/d/1yDAaXNsi4Mr5FtRQL4tbmSdIzhx6_m4wkOD7IG-k_eo/edit#gid=0"", ""Maths!M:N""), 2, FALSE)"),"Create number patterns and sequences using whole numbers, incorporating different operations.")</f>
        <v>Create number patterns and sequences using whole numbers, incorporating different operations.</v>
      </c>
      <c r="U22" s="11">
        <f ca="1">IFERROR(__xludf.DUMMYFUNCTION("ArrayFormula(VLOOKUP(G22, IMPORTRANGE(""https://docs.google.com/spreadsheets/d/1p7R4vtkWt5VOBim4ltsDG9KTzSjrtKXsMtQGXPHyND0/edit#gid=795171502"", ""'Filter 30_05_2024'!A1:M2000""), {2, 3, 4, 5,6,7,8,9,10,11,12,13}, 0))"),3)</f>
        <v>3</v>
      </c>
      <c r="V22" s="11">
        <f ca="1">IFERROR(__xludf.DUMMYFUNCTION("""COMPUTED_VALUE"""),6)</f>
        <v>6</v>
      </c>
      <c r="W22" s="11">
        <f ca="1">IFERROR(__xludf.DUMMYFUNCTION("""COMPUTED_VALUE"""),2)</f>
        <v>2</v>
      </c>
      <c r="X22" s="11">
        <f ca="1">IFERROR(__xludf.DUMMYFUNCTION("""COMPUTED_VALUE"""),11)</f>
        <v>11</v>
      </c>
      <c r="Y22" s="11">
        <f ca="1">IFERROR(__xludf.DUMMYFUNCTION("""COMPUTED_VALUE"""),4)</f>
        <v>4</v>
      </c>
      <c r="Z22" s="29">
        <f ca="1">IFERROR(__xludf.DUMMYFUNCTION("""COMPUTED_VALUE"""),3)</f>
        <v>3</v>
      </c>
      <c r="AA22" s="29">
        <f ca="1">IFERROR(__xludf.DUMMYFUNCTION("""COMPUTED_VALUE"""),1)</f>
        <v>1</v>
      </c>
      <c r="AB22" s="12">
        <f ca="1">IFERROR(__xludf.DUMMYFUNCTION("""COMPUTED_VALUE"""),8)</f>
        <v>8</v>
      </c>
      <c r="AC22" s="12"/>
      <c r="AD22" s="12"/>
      <c r="AE22" s="12"/>
      <c r="AF22" s="12"/>
      <c r="AG22" s="13" t="str">
        <f ca="1">IFERROR(__xludf.DUMMYFUNCTION("ArrayFormula(VLOOKUP(G22, IMPORTRANGE(""https://docs.google.com/spreadsheets/d/1Co934fvtviyaRiMsrIlT05Jaq7iiYq07aLvRr35KA48/edit?gid=173865642#gid=173865642"", ""'G6_Maths_Pri_LU'!G2:V2000""), {3, 4, 5, 6, 7, 8, 9, 10, 11, 12, 13, 14, 15, 16}, 0))"),"LU000175")</f>
        <v>LU000175</v>
      </c>
      <c r="AH22" s="13" t="str">
        <f ca="1">IFERROR(__xludf.DUMMYFUNCTION("""COMPUTED_VALUE"""),"Definition of natural number ")</f>
        <v xml:space="preserve">Definition of natural number </v>
      </c>
      <c r="AI22" s="13"/>
      <c r="AJ22" s="13"/>
      <c r="AK22" s="13"/>
      <c r="AL22" s="13"/>
      <c r="AM22" s="13"/>
      <c r="AN22" s="13"/>
      <c r="AO22" s="13"/>
      <c r="AP22" s="13"/>
      <c r="AQ22" s="13"/>
      <c r="AR22" s="13"/>
      <c r="AS22" s="13"/>
      <c r="AT22" s="13"/>
    </row>
    <row r="23" spans="1:46">
      <c r="A23" s="8" t="s">
        <v>247</v>
      </c>
      <c r="B23" s="8" t="s">
        <v>47</v>
      </c>
      <c r="C23" s="8" t="s">
        <v>48</v>
      </c>
      <c r="D23" s="8" t="s">
        <v>49</v>
      </c>
      <c r="E23" s="8" t="s">
        <v>272</v>
      </c>
      <c r="F23" s="8" t="s">
        <v>273</v>
      </c>
      <c r="G23" s="8" t="s">
        <v>276</v>
      </c>
      <c r="H23" s="8" t="str">
        <f ca="1">IFERROR(__xludf.DUMMYFUNCTION("VLOOKUP(G23, IMPORTRANGE(""https://docs.google.com/spreadsheets/d/14deopnvwcrKtEGCKuYXdUHJbeLDZlkiSSWWT0g7x2pM/edit#gid=999382323"", ""LU List Maths (Filter)!A:B""), 2, FALSE)"),"Representation of whole numbers on a number line")</f>
        <v>Representation of whole numbers on a number line</v>
      </c>
      <c r="I23" s="10" t="str">
        <f t="shared" si="0"/>
        <v>LU000179.001</v>
      </c>
      <c r="J23" s="10" t="str">
        <f ca="1">IFERROR(__xludf.DUMMYFUNCTION("VLOOKUP(I23, IMPORTRANGE(""https://docs.google.com/spreadsheets/d/1yDAaXNsi4Mr5FtRQL4tbmSdIzhx6_m4wkOD7IG-k_eo/edit#gid=0"", ""Maths!M:N""), 2, FALSE)"),"Define and represent number line for whole numbers.")</f>
        <v>Define and represent number line for whole numbers.</v>
      </c>
      <c r="K23" s="10" t="str">
        <f t="shared" si="1"/>
        <v>LU000179.002</v>
      </c>
      <c r="L23" s="10" t="str">
        <f ca="1">IFERROR(__xludf.DUMMYFUNCTION("VLOOKUP(K23, IMPORTRANGE(""https://docs.google.com/spreadsheets/d/1yDAaXNsi4Mr5FtRQL4tbmSdIzhx6_m4wkOD7IG-k_eo/edit#gid=0"", ""Maths!M:N""), 2, FALSE)"),"Interpret the relationship between whole numbers and their placements on a number line.")</f>
        <v>Interpret the relationship between whole numbers and their placements on a number line.</v>
      </c>
      <c r="M23" s="10" t="str">
        <f t="shared" si="2"/>
        <v>LU000179.003</v>
      </c>
      <c r="N23" s="10" t="str">
        <f ca="1">IFERROR(__xludf.DUMMYFUNCTION("VLOOKUP(M23, IMPORTRANGE(""https://docs.google.com/spreadsheets/d/1yDAaXNsi4Mr5FtRQL4tbmSdIzhx6_m4wkOD7IG-k_eo/edit#gid=0"", ""Maths!M:N""), 2, FALSE)"),"Apply the skill of placing whole numbers on a number line to accurately represent and compare them.")</f>
        <v>Apply the skill of placing whole numbers on a number line to accurately represent and compare them.</v>
      </c>
      <c r="O23" s="10" t="str">
        <f t="shared" si="3"/>
        <v>LU000179.004</v>
      </c>
      <c r="P23" s="10" t="str">
        <f ca="1">IFERROR(__xludf.DUMMYFUNCTION("VLOOKUP(O23, IMPORTRANGE(""https://docs.google.com/spreadsheets/d/1yDAaXNsi4Mr5FtRQL4tbmSdIzhx6_m4wkOD7IG-k_eo/edit#gid=0"", ""Maths!M:N""), 2, FALSE)"),"Analyse the relationship between the position of whole numbers on a number line and their numerical values, identifying patterns and intervals.")</f>
        <v>Analyse the relationship between the position of whole numbers on a number line and their numerical values, identifying patterns and intervals.</v>
      </c>
      <c r="Q23" s="10" t="str">
        <f t="shared" si="4"/>
        <v>LU000179.005</v>
      </c>
      <c r="R23" s="10" t="str">
        <f ca="1">IFERROR(__xludf.DUMMYFUNCTION("VLOOKUP(Q23, IMPORTRANGE(""https://docs.google.com/spreadsheets/d/1yDAaXNsi4Mr5FtRQL4tbmSdIzhx6_m4wkOD7IG-k_eo/edit#gid=0"", ""Maths!M:N""), 2, FALSE)"),"Evaluate the effectiveness of using a number line to visualise and compare whole numbers.")</f>
        <v>Evaluate the effectiveness of using a number line to visualise and compare whole numbers.</v>
      </c>
      <c r="S23" s="10" t="str">
        <f t="shared" si="5"/>
        <v>LU000179.006</v>
      </c>
      <c r="T23" s="10" t="str">
        <f ca="1">IFERROR(__xludf.DUMMYFUNCTION("VLOOKUP(S23, IMPORTRANGE(""https://docs.google.com/spreadsheets/d/1yDAaXNsi4Mr5FtRQL4tbmSdIzhx6_m4wkOD7IG-k_eo/edit#gid=0"", ""Maths!M:N""), 2, FALSE)"),"Design a series of exercises that require placing various whole numbers on a number line.")</f>
        <v>Design a series of exercises that require placing various whole numbers on a number line.</v>
      </c>
      <c r="U23" s="11">
        <f ca="1">IFERROR(__xludf.DUMMYFUNCTION("ArrayFormula(VLOOKUP(G23, IMPORTRANGE(""https://docs.google.com/spreadsheets/d/1p7R4vtkWt5VOBim4ltsDG9KTzSjrtKXsMtQGXPHyND0/edit#gid=795171502"", ""'Filter 30_05_2024'!A1:M2000""), {2, 3, 4, 5,6,7,8,9,10,11,12,13}, 0))"),4)</f>
        <v>4</v>
      </c>
      <c r="V23" s="11">
        <f ca="1">IFERROR(__xludf.DUMMYFUNCTION("""COMPUTED_VALUE"""),11)</f>
        <v>11</v>
      </c>
      <c r="W23" s="11">
        <f ca="1">IFERROR(__xludf.DUMMYFUNCTION("""COMPUTED_VALUE"""),2)</f>
        <v>2</v>
      </c>
      <c r="X23" s="11">
        <f ca="1">IFERROR(__xludf.DUMMYFUNCTION("""COMPUTED_VALUE"""),17)</f>
        <v>17</v>
      </c>
      <c r="Y23" s="11">
        <f ca="1">IFERROR(__xludf.DUMMYFUNCTION("""COMPUTED_VALUE"""),5)</f>
        <v>5</v>
      </c>
      <c r="Z23" s="29">
        <f ca="1">IFERROR(__xludf.DUMMYFUNCTION("""COMPUTED_VALUE"""),7)</f>
        <v>7</v>
      </c>
      <c r="AA23" s="29">
        <f ca="1">IFERROR(__xludf.DUMMYFUNCTION("""COMPUTED_VALUE"""),1)</f>
        <v>1</v>
      </c>
      <c r="AB23" s="12">
        <f ca="1">IFERROR(__xludf.DUMMYFUNCTION("""COMPUTED_VALUE"""),13)</f>
        <v>13</v>
      </c>
      <c r="AC23" s="12"/>
      <c r="AD23" s="12"/>
      <c r="AE23" s="12"/>
      <c r="AF23" s="12"/>
      <c r="AG23" s="13" t="str">
        <f ca="1">IFERROR(__xludf.DUMMYFUNCTION("ArrayFormula(VLOOKUP(G23, IMPORTRANGE(""https://docs.google.com/spreadsheets/d/1Co934fvtviyaRiMsrIlT05Jaq7iiYq07aLvRr35KA48/edit?gid=173865642#gid=173865642"", ""'G6_Maths_Pri_LU'!G2:V2000""), {3, 4, 5, 6, 7, 8, 9, 10, 11, 12, 13, 14, 15, 16}, 0))"),"LU000177")</f>
        <v>LU000177</v>
      </c>
      <c r="AH23" s="13" t="str">
        <f ca="1">IFERROR(__xludf.DUMMYFUNCTION("""COMPUTED_VALUE"""),"Predecessor of whole numbers")</f>
        <v>Predecessor of whole numbers</v>
      </c>
      <c r="AI23" s="13" t="str">
        <f ca="1">IFERROR(__xludf.DUMMYFUNCTION("""COMPUTED_VALUE"""),"LU000178")</f>
        <v>LU000178</v>
      </c>
      <c r="AJ23" s="13" t="str">
        <f ca="1">IFERROR(__xludf.DUMMYFUNCTION("""COMPUTED_VALUE"""),"Successor of whole numbers")</f>
        <v>Successor of whole numbers</v>
      </c>
      <c r="AK23" s="13" t="str">
        <f ca="1">IFERROR(__xludf.DUMMYFUNCTION("""COMPUTED_VALUE"""),"LU000176")</f>
        <v>LU000176</v>
      </c>
      <c r="AL23" s="13" t="str">
        <f ca="1">IFERROR(__xludf.DUMMYFUNCTION("""COMPUTED_VALUE"""),"Definition of whole number")</f>
        <v>Definition of whole number</v>
      </c>
      <c r="AM23" s="13" t="str">
        <f ca="1">IFERROR(__xludf.DUMMYFUNCTION("""COMPUTED_VALUE"""),"LU000175")</f>
        <v>LU000175</v>
      </c>
      <c r="AN23" s="13" t="str">
        <f ca="1">IFERROR(__xludf.DUMMYFUNCTION("""COMPUTED_VALUE"""),"Definition of natural number ")</f>
        <v xml:space="preserve">Definition of natural number </v>
      </c>
      <c r="AO23" s="13"/>
      <c r="AP23" s="13"/>
      <c r="AQ23" s="13"/>
      <c r="AR23" s="13"/>
      <c r="AS23" s="13"/>
      <c r="AT23" s="13"/>
    </row>
    <row r="24" spans="1:46">
      <c r="A24" s="8" t="s">
        <v>247</v>
      </c>
      <c r="B24" s="8" t="s">
        <v>47</v>
      </c>
      <c r="C24" s="8" t="s">
        <v>48</v>
      </c>
      <c r="D24" s="8" t="s">
        <v>49</v>
      </c>
      <c r="E24" s="8" t="s">
        <v>272</v>
      </c>
      <c r="F24" s="8" t="s">
        <v>277</v>
      </c>
      <c r="G24" s="8" t="s">
        <v>278</v>
      </c>
      <c r="H24" s="8" t="str">
        <f ca="1">IFERROR(__xludf.DUMMYFUNCTION("VLOOKUP(G24, IMPORTRANGE(""https://docs.google.com/spreadsheets/d/14deopnvwcrKtEGCKuYXdUHJbeLDZlkiSSWWT0g7x2pM/edit#gid=999382323"", ""LU List Maths (Filter)!A:B""), 2, FALSE)"),"Predecessor of whole numbers")</f>
        <v>Predecessor of whole numbers</v>
      </c>
      <c r="I24" s="10" t="str">
        <f t="shared" si="0"/>
        <v>LU000177.001</v>
      </c>
      <c r="J24" s="10" t="str">
        <f ca="1">IFERROR(__xludf.DUMMYFUNCTION("VLOOKUP(I24, IMPORTRANGE(""https://docs.google.com/spreadsheets/d/1yDAaXNsi4Mr5FtRQL4tbmSdIzhx6_m4wkOD7IG-k_eo/edit#gid=0"", ""Maths!M:N""), 2, FALSE)"),"Define predecessor and its relevance in counting.")</f>
        <v>Define predecessor and its relevance in counting.</v>
      </c>
      <c r="K24" s="10" t="str">
        <f t="shared" si="1"/>
        <v>LU000177.002</v>
      </c>
      <c r="L24" s="10" t="str">
        <f ca="1">IFERROR(__xludf.DUMMYFUNCTION("VLOOKUP(K24, IMPORTRANGE(""https://docs.google.com/spreadsheets/d/1yDAaXNsi4Mr5FtRQL4tbmSdIzhx6_m4wkOD7IG-k_eo/edit#gid=0"", ""Maths!M:N""), 2, FALSE)"),"Identify the predecessor of a given number.")</f>
        <v>Identify the predecessor of a given number.</v>
      </c>
      <c r="M24" s="10" t="str">
        <f t="shared" si="2"/>
        <v>LU000177.003</v>
      </c>
      <c r="N24" s="10" t="str">
        <f ca="1">IFERROR(__xludf.DUMMYFUNCTION("VLOOKUP(M24, IMPORTRANGE(""https://docs.google.com/spreadsheets/d/1yDAaXNsi4Mr5FtRQL4tbmSdIzhx6_m4wkOD7IG-k_eo/edit#gid=0"", ""Maths!M:N""), 2, FALSE)"),"Apply the concept of predecessor in real-life situations.")</f>
        <v>Apply the concept of predecessor in real-life situations.</v>
      </c>
      <c r="O24" s="10" t="str">
        <f t="shared" si="3"/>
        <v>LU000177.004</v>
      </c>
      <c r="P24" s="10" t="str">
        <f ca="1">IFERROR(__xludf.DUMMYFUNCTION("VLOOKUP(O24, IMPORTRANGE(""https://docs.google.com/spreadsheets/d/1yDAaXNsi4Mr5FtRQL4tbmSdIzhx6_m4wkOD7IG-k_eo/edit#gid=0"", ""Maths!M:N""), 2, FALSE)"),"Investigate and explain the patterns and relationships found when determining the predecessor of whole numbers.")</f>
        <v>Investigate and explain the patterns and relationships found when determining the predecessor of whole numbers.</v>
      </c>
      <c r="Q24" s="10" t="str">
        <f t="shared" si="4"/>
        <v>LU000177.005</v>
      </c>
      <c r="R24" s="10" t="str">
        <f ca="1">IFERROR(__xludf.DUMMYFUNCTION("VLOOKUP(Q24, IMPORTRANGE(""https://docs.google.com/spreadsheets/d/1yDAaXNsi4Mr5FtRQL4tbmSdIzhx6_m4wkOD7IG-k_eo/edit#gid=0"", ""Maths!M:N""), 2, FALSE)"),"Critically assess and validate the accuracy of identified predecessors for various whole numbers.")</f>
        <v>Critically assess and validate the accuracy of identified predecessors for various whole numbers.</v>
      </c>
      <c r="S24" s="10" t="str">
        <f t="shared" si="5"/>
        <v>LU000177.006</v>
      </c>
      <c r="T24" s="10" t="str">
        <f ca="1">IFERROR(__xludf.DUMMYFUNCTION("VLOOKUP(S24, IMPORTRANGE(""https://docs.google.com/spreadsheets/d/1yDAaXNsi4Mr5FtRQL4tbmSdIzhx6_m4wkOD7IG-k_eo/edit#gid=0"", ""Maths!M:N""), 2, FALSE)"),"Create visual representations, such as number lines and diagrams, to illustrate the concept of predecessors.")</f>
        <v>Create visual representations, such as number lines and diagrams, to illustrate the concept of predecessors.</v>
      </c>
      <c r="U24" s="11">
        <f ca="1">IFERROR(__xludf.DUMMYFUNCTION("ArrayFormula(VLOOKUP(G24, IMPORTRANGE(""https://docs.google.com/spreadsheets/d/1p7R4vtkWt5VOBim4ltsDG9KTzSjrtKXsMtQGXPHyND0/edit#gid=795171502"", ""'Filter 30_05_2024'!A1:M2000""), {2, 3, 4, 5,6,7,8,9,10,11,12,13}, 0))"),4)</f>
        <v>4</v>
      </c>
      <c r="V24" s="11">
        <f ca="1">IFERROR(__xludf.DUMMYFUNCTION("""COMPUTED_VALUE"""),6)</f>
        <v>6</v>
      </c>
      <c r="W24" s="11">
        <f ca="1">IFERROR(__xludf.DUMMYFUNCTION("""COMPUTED_VALUE"""),2)</f>
        <v>2</v>
      </c>
      <c r="X24" s="11">
        <f ca="1">IFERROR(__xludf.DUMMYFUNCTION("""COMPUTED_VALUE"""),12)</f>
        <v>12</v>
      </c>
      <c r="Y24" s="11">
        <f ca="1">IFERROR(__xludf.DUMMYFUNCTION("""COMPUTED_VALUE"""),4)</f>
        <v>4</v>
      </c>
      <c r="Z24" s="29">
        <f ca="1">IFERROR(__xludf.DUMMYFUNCTION("""COMPUTED_VALUE"""),3)</f>
        <v>3</v>
      </c>
      <c r="AA24" s="29">
        <f ca="1">IFERROR(__xludf.DUMMYFUNCTION("""COMPUTED_VALUE"""),1)</f>
        <v>1</v>
      </c>
      <c r="AB24" s="12">
        <f ca="1">IFERROR(__xludf.DUMMYFUNCTION("""COMPUTED_VALUE"""),8)</f>
        <v>8</v>
      </c>
      <c r="AC24" s="12"/>
      <c r="AD24" s="12"/>
      <c r="AE24" s="12"/>
      <c r="AF24" s="12"/>
      <c r="AG24" s="13" t="str">
        <f ca="1">IFERROR(__xludf.DUMMYFUNCTION("ArrayFormula(VLOOKUP(G24, IMPORTRANGE(""https://docs.google.com/spreadsheets/d/1Co934fvtviyaRiMsrIlT05Jaq7iiYq07aLvRr35KA48/edit?gid=173865642#gid=173865642"", ""'G6_Maths_Pri_LU'!G2:V2000""), {3, 4, 5, 6, 7, 8, 9, 10, 11, 12, 13, 14, 15, 16}, 0))"),"LU000176")</f>
        <v>LU000176</v>
      </c>
      <c r="AH24" s="13" t="str">
        <f ca="1">IFERROR(__xludf.DUMMYFUNCTION("""COMPUTED_VALUE"""),"Definition of whole number")</f>
        <v>Definition of whole number</v>
      </c>
      <c r="AI24" s="13" t="str">
        <f ca="1">IFERROR(__xludf.DUMMYFUNCTION("""COMPUTED_VALUE"""),"LU000175")</f>
        <v>LU000175</v>
      </c>
      <c r="AJ24" s="13" t="str">
        <f ca="1">IFERROR(__xludf.DUMMYFUNCTION("""COMPUTED_VALUE"""),"Definition of natural number ")</f>
        <v xml:space="preserve">Definition of natural number </v>
      </c>
      <c r="AK24" s="13"/>
      <c r="AL24" s="13"/>
      <c r="AM24" s="13"/>
      <c r="AN24" s="13"/>
      <c r="AO24" s="13"/>
      <c r="AP24" s="13"/>
      <c r="AQ24" s="13"/>
      <c r="AR24" s="13"/>
      <c r="AS24" s="13"/>
      <c r="AT24" s="13"/>
    </row>
    <row r="25" spans="1:46">
      <c r="A25" s="8" t="s">
        <v>247</v>
      </c>
      <c r="B25" s="8" t="s">
        <v>47</v>
      </c>
      <c r="C25" s="8" t="s">
        <v>48</v>
      </c>
      <c r="D25" s="8" t="s">
        <v>49</v>
      </c>
      <c r="E25" s="8" t="s">
        <v>272</v>
      </c>
      <c r="F25" s="8" t="s">
        <v>277</v>
      </c>
      <c r="G25" s="8" t="s">
        <v>279</v>
      </c>
      <c r="H25" s="8" t="str">
        <f ca="1">IFERROR(__xludf.DUMMYFUNCTION("VLOOKUP(G25, IMPORTRANGE(""https://docs.google.com/spreadsheets/d/14deopnvwcrKtEGCKuYXdUHJbeLDZlkiSSWWT0g7x2pM/edit#gid=999382323"", ""LU List Maths (Filter)!A:B""), 2, FALSE)"),"Successor of whole numbers")</f>
        <v>Successor of whole numbers</v>
      </c>
      <c r="I25" s="10" t="str">
        <f t="shared" si="0"/>
        <v>LU000178.001</v>
      </c>
      <c r="J25" s="10" t="str">
        <f ca="1">IFERROR(__xludf.DUMMYFUNCTION("VLOOKUP(I25, IMPORTRANGE(""https://docs.google.com/spreadsheets/d/1yDAaXNsi4Mr5FtRQL4tbmSdIzhx6_m4wkOD7IG-k_eo/edit#gid=0"", ""Maths!M:N""), 2, FALSE)"),"Definition successor and its relevance in counting.")</f>
        <v>Definition successor and its relevance in counting.</v>
      </c>
      <c r="K25" s="10" t="str">
        <f t="shared" si="1"/>
        <v>LU000178.002</v>
      </c>
      <c r="L25" s="10" t="str">
        <f ca="1">IFERROR(__xludf.DUMMYFUNCTION("VLOOKUP(K25, IMPORTRANGE(""https://docs.google.com/spreadsheets/d/1yDAaXNsi4Mr5FtRQL4tbmSdIzhx6_m4wkOD7IG-k_eo/edit#gid=0"", ""Maths!M:N""), 2, FALSE)"),"Identify the successor of a given number.")</f>
        <v>Identify the successor of a given number.</v>
      </c>
      <c r="M25" s="10" t="str">
        <f t="shared" si="2"/>
        <v>LU000178.003</v>
      </c>
      <c r="N25" s="10" t="str">
        <f ca="1">IFERROR(__xludf.DUMMYFUNCTION("VLOOKUP(M25, IMPORTRANGE(""https://docs.google.com/spreadsheets/d/1yDAaXNsi4Mr5FtRQL4tbmSdIzhx6_m4wkOD7IG-k_eo/edit#gid=0"", ""Maths!M:N""), 2, FALSE)"),"Apply the concept of successor in real-life situations.")</f>
        <v>Apply the concept of successor in real-life situations.</v>
      </c>
      <c r="O25" s="10" t="str">
        <f t="shared" si="3"/>
        <v>LU000178.004</v>
      </c>
      <c r="P25" s="10" t="str">
        <f ca="1">IFERROR(__xludf.DUMMYFUNCTION("VLOOKUP(O25, IMPORTRANGE(""https://docs.google.com/spreadsheets/d/1yDAaXNsi4Mr5FtRQL4tbmSdIzhx6_m4wkOD7IG-k_eo/edit#gid=0"", ""Maths!M:N""), 2, FALSE)"),"Investigate and explain the patterns and relationships found when determining the successors of whole numbers.")</f>
        <v>Investigate and explain the patterns and relationships found when determining the successors of whole numbers.</v>
      </c>
      <c r="Q25" s="10" t="str">
        <f t="shared" si="4"/>
        <v>LU000178.005</v>
      </c>
      <c r="R25" s="10" t="str">
        <f ca="1">IFERROR(__xludf.DUMMYFUNCTION("VLOOKUP(Q25, IMPORTRANGE(""https://docs.google.com/spreadsheets/d/1yDAaXNsi4Mr5FtRQL4tbmSdIzhx6_m4wkOD7IG-k_eo/edit#gid=0"", ""Maths!M:N""), 2, FALSE)"),"Critically assess and validate the accuracy of identified successors for various whole numbers.")</f>
        <v>Critically assess and validate the accuracy of identified successors for various whole numbers.</v>
      </c>
      <c r="S25" s="10" t="str">
        <f t="shared" si="5"/>
        <v>LU000178.006</v>
      </c>
      <c r="T25" s="10" t="str">
        <f ca="1">IFERROR(__xludf.DUMMYFUNCTION("VLOOKUP(S25, IMPORTRANGE(""https://docs.google.com/spreadsheets/d/1yDAaXNsi4Mr5FtRQL4tbmSdIzhx6_m4wkOD7IG-k_eo/edit#gid=0"", ""Maths!M:N""), 2, FALSE)"),"Create visual representations, such as number lines and diagrams, to illustrate the concept of successor.")</f>
        <v>Create visual representations, such as number lines and diagrams, to illustrate the concept of successor.</v>
      </c>
      <c r="U25" s="11">
        <f ca="1">IFERROR(__xludf.DUMMYFUNCTION("ArrayFormula(VLOOKUP(G25, IMPORTRANGE(""https://docs.google.com/spreadsheets/d/1p7R4vtkWt5VOBim4ltsDG9KTzSjrtKXsMtQGXPHyND0/edit#gid=795171502"", ""'Filter 30_05_2024'!A1:M2000""), {2, 3, 4, 5,6,7,8,9,10,11,12,13}, 0))"),5)</f>
        <v>5</v>
      </c>
      <c r="V25" s="11">
        <f ca="1">IFERROR(__xludf.DUMMYFUNCTION("""COMPUTED_VALUE"""),6)</f>
        <v>6</v>
      </c>
      <c r="W25" s="11">
        <f ca="1">IFERROR(__xludf.DUMMYFUNCTION("""COMPUTED_VALUE"""),2)</f>
        <v>2</v>
      </c>
      <c r="X25" s="11">
        <f ca="1">IFERROR(__xludf.DUMMYFUNCTION("""COMPUTED_VALUE"""),13)</f>
        <v>13</v>
      </c>
      <c r="Y25" s="11">
        <f ca="1">IFERROR(__xludf.DUMMYFUNCTION("""COMPUTED_VALUE"""),4)</f>
        <v>4</v>
      </c>
      <c r="Z25" s="29">
        <f ca="1">IFERROR(__xludf.DUMMYFUNCTION("""COMPUTED_VALUE"""),4)</f>
        <v>4</v>
      </c>
      <c r="AA25" s="29">
        <f ca="1">IFERROR(__xludf.DUMMYFUNCTION("""COMPUTED_VALUE"""),1)</f>
        <v>1</v>
      </c>
      <c r="AB25" s="12">
        <f ca="1">IFERROR(__xludf.DUMMYFUNCTION("""COMPUTED_VALUE"""),9)</f>
        <v>9</v>
      </c>
      <c r="AC25" s="12"/>
      <c r="AD25" s="12"/>
      <c r="AE25" s="12"/>
      <c r="AF25" s="12"/>
      <c r="AG25" s="13" t="str">
        <f ca="1">IFERROR(__xludf.DUMMYFUNCTION("ArrayFormula(VLOOKUP(G25, IMPORTRANGE(""https://docs.google.com/spreadsheets/d/1Co934fvtviyaRiMsrIlT05Jaq7iiYq07aLvRr35KA48/edit?gid=173865642#gid=173865642"", ""'G6_Maths_Pri_LU'!G2:V2000""), {3, 4, 5, 6, 7, 8, 9, 10, 11, 12, 13, 14, 15, 16}, 0))"),"LU000176")</f>
        <v>LU000176</v>
      </c>
      <c r="AH25" s="13" t="str">
        <f ca="1">IFERROR(__xludf.DUMMYFUNCTION("""COMPUTED_VALUE"""),"Definition of whole number")</f>
        <v>Definition of whole number</v>
      </c>
      <c r="AI25" s="13" t="str">
        <f ca="1">IFERROR(__xludf.DUMMYFUNCTION("""COMPUTED_VALUE"""),"LU000175")</f>
        <v>LU000175</v>
      </c>
      <c r="AJ25" s="13" t="str">
        <f ca="1">IFERROR(__xludf.DUMMYFUNCTION("""COMPUTED_VALUE"""),"Definition of natural number ")</f>
        <v xml:space="preserve">Definition of natural number </v>
      </c>
      <c r="AK25" s="13"/>
      <c r="AL25" s="13"/>
      <c r="AM25" s="13"/>
      <c r="AN25" s="13"/>
      <c r="AO25" s="13"/>
      <c r="AP25" s="13"/>
      <c r="AQ25" s="13"/>
      <c r="AR25" s="13"/>
      <c r="AS25" s="13"/>
      <c r="AT25" s="13"/>
    </row>
    <row r="26" spans="1:46">
      <c r="A26" s="8" t="s">
        <v>247</v>
      </c>
      <c r="B26" s="8" t="s">
        <v>47</v>
      </c>
      <c r="C26" s="8" t="s">
        <v>48</v>
      </c>
      <c r="D26" s="8" t="s">
        <v>49</v>
      </c>
      <c r="E26" s="8" t="s">
        <v>272</v>
      </c>
      <c r="F26" s="8" t="s">
        <v>280</v>
      </c>
      <c r="G26" s="8" t="s">
        <v>281</v>
      </c>
      <c r="H26" s="8" t="str">
        <f ca="1">IFERROR(__xludf.DUMMYFUNCTION("VLOOKUP(G26, IMPORTRANGE(""https://docs.google.com/spreadsheets/d/14deopnvwcrKtEGCKuYXdUHJbeLDZlkiSSWWT0g7x2pM/edit#gid=999382323"", ""LU List Maths (Filter)!A:B""), 2, FALSE)"),"Addition of whole numbers on number line")</f>
        <v>Addition of whole numbers on number line</v>
      </c>
      <c r="I26" s="10" t="str">
        <f t="shared" si="0"/>
        <v>LU000180.001</v>
      </c>
      <c r="J26" s="10" t="str">
        <f ca="1">IFERROR(__xludf.DUMMYFUNCTION("VLOOKUP(I26, IMPORTRANGE(""https://docs.google.com/spreadsheets/d/1yDAaXNsi4Mr5FtRQL4tbmSdIzhx6_m4wkOD7IG-k_eo/edit#gid=0"", ""Maths!M:N""), 2, FALSE)"),"List the steps involved in performing addition of whole numbers on a number line.")</f>
        <v>List the steps involved in performing addition of whole numbers on a number line.</v>
      </c>
      <c r="K26" s="10" t="str">
        <f t="shared" si="1"/>
        <v>LU000180.002</v>
      </c>
      <c r="L26" s="10" t="str">
        <f ca="1">IFERROR(__xludf.DUMMYFUNCTION("VLOOKUP(K26, IMPORTRANGE(""https://docs.google.com/spreadsheets/d/1yDAaXNsi4Mr5FtRQL4tbmSdIzhx6_m4wkOD7IG-k_eo/edit#gid=0"", ""Maths!M:N""), 2, FALSE)"),"Explain how the concept of adding whole numbers on a number line involves finding the sum between their individual values.")</f>
        <v>Explain how the concept of adding whole numbers on a number line involves finding the sum between their individual values.</v>
      </c>
      <c r="M26" s="10" t="str">
        <f t="shared" si="2"/>
        <v>LU000180.003</v>
      </c>
      <c r="N26" s="10" t="str">
        <f ca="1">IFERROR(__xludf.DUMMYFUNCTION("VLOOKUP(M26, IMPORTRANGE(""https://docs.google.com/spreadsheets/d/1yDAaXNsi4Mr5FtRQL4tbmSdIzhx6_m4wkOD7IG-k_eo/edit#gid=0"", ""Maths!M:N""), 2, FALSE)"),"Real-world applications of addition of whole numbers on the number line.")</f>
        <v>Real-world applications of addition of whole numbers on the number line.</v>
      </c>
      <c r="O26" s="10" t="str">
        <f t="shared" si="3"/>
        <v>LU000180.004</v>
      </c>
      <c r="P26" s="10" t="str">
        <f ca="1">IFERROR(__xludf.DUMMYFUNCTION("VLOOKUP(O26, IMPORTRANGE(""https://docs.google.com/spreadsheets/d/1yDAaXNsi4Mr5FtRQL4tbmSdIzhx6_m4wkOD7IG-k_eo/edit#gid=0"", ""Maths!M:N""), 2, FALSE)"),"Analyse the changes in position along a number line caused by the addition of different whole numbers.")</f>
        <v>Analyse the changes in position along a number line caused by the addition of different whole numbers.</v>
      </c>
      <c r="Q26" s="10" t="str">
        <f t="shared" si="4"/>
        <v>LU000180.005</v>
      </c>
      <c r="R26" s="10" t="str">
        <f ca="1">IFERROR(__xludf.DUMMYFUNCTION("VLOOKUP(Q26, IMPORTRANGE(""https://docs.google.com/spreadsheets/d/1yDAaXNsi4Mr5FtRQL4tbmSdIzhx6_m4wkOD7IG-k_eo/edit#gid=0"", ""Maths!M:N""), 2, FALSE)"),"Evaluate and justify the results of addition operations with whole numbers performed on a number line.")</f>
        <v>Evaluate and justify the results of addition operations with whole numbers performed on a number line.</v>
      </c>
      <c r="S26" s="10" t="str">
        <f t="shared" si="5"/>
        <v>LU000180.006</v>
      </c>
      <c r="T26" s="10" t="str">
        <f ca="1">IFERROR(__xludf.DUMMYFUNCTION("VLOOKUP(S26, IMPORTRANGE(""https://docs.google.com/spreadsheets/d/1yDAaXNsi4Mr5FtRQL4tbmSdIzhx6_m4wkOD7IG-k_eo/edit#gid=0"", ""Maths!M:N""), 2, FALSE)"),"Develop word problems that require the application of addition of whole numbers on a number line to solve real-world situations.")</f>
        <v>Develop word problems that require the application of addition of whole numbers on a number line to solve real-world situations.</v>
      </c>
      <c r="U26" s="11">
        <f ca="1">IFERROR(__xludf.DUMMYFUNCTION("ArrayFormula(VLOOKUP(G26, IMPORTRANGE(""https://docs.google.com/spreadsheets/d/1p7R4vtkWt5VOBim4ltsDG9KTzSjrtKXsMtQGXPHyND0/edit#gid=795171502"", ""'Filter 30_05_2024'!A1:M2000""), {2, 3, 4, 5,6,7,8,9,10,11,12,13}, 0))"),6)</f>
        <v>6</v>
      </c>
      <c r="V26" s="11">
        <f ca="1">IFERROR(__xludf.DUMMYFUNCTION("""COMPUTED_VALUE"""),5)</f>
        <v>5</v>
      </c>
      <c r="W26" s="11">
        <f ca="1">IFERROR(__xludf.DUMMYFUNCTION("""COMPUTED_VALUE"""),2)</f>
        <v>2</v>
      </c>
      <c r="X26" s="11">
        <f ca="1">IFERROR(__xludf.DUMMYFUNCTION("""COMPUTED_VALUE"""),13)</f>
        <v>13</v>
      </c>
      <c r="Y26" s="11">
        <f ca="1">IFERROR(__xludf.DUMMYFUNCTION("""COMPUTED_VALUE"""),4)</f>
        <v>4</v>
      </c>
      <c r="Z26" s="29">
        <f ca="1">IFERROR(__xludf.DUMMYFUNCTION("""COMPUTED_VALUE"""),5)</f>
        <v>5</v>
      </c>
      <c r="AA26" s="29">
        <f ca="1">IFERROR(__xludf.DUMMYFUNCTION("""COMPUTED_VALUE"""),1)</f>
        <v>1</v>
      </c>
      <c r="AB26" s="12">
        <f ca="1">IFERROR(__xludf.DUMMYFUNCTION("""COMPUTED_VALUE"""),10)</f>
        <v>10</v>
      </c>
      <c r="AC26" s="12"/>
      <c r="AD26" s="12"/>
      <c r="AE26" s="12"/>
      <c r="AF26" s="12"/>
      <c r="AG26" s="13" t="str">
        <f ca="1">IFERROR(__xludf.DUMMYFUNCTION("ArrayFormula(VLOOKUP(G26, IMPORTRANGE(""https://docs.google.com/spreadsheets/d/1Co934fvtviyaRiMsrIlT05Jaq7iiYq07aLvRr35KA48/edit?gid=173865642#gid=173865642"", ""'G6_Maths_Pri_LU'!G2:V2000""), {3, 4, 5, 6, 7, 8, 9, 10, 11, 12, 13, 14, 15, 16}, 0))"),"LU000179")</f>
        <v>LU000179</v>
      </c>
      <c r="AH26" s="13" t="str">
        <f ca="1">IFERROR(__xludf.DUMMYFUNCTION("""COMPUTED_VALUE"""),"Representation of whole numbers on a number line")</f>
        <v>Representation of whole numbers on a number line</v>
      </c>
      <c r="AI26" s="13" t="str">
        <f ca="1">IFERROR(__xludf.DUMMYFUNCTION("""COMPUTED_VALUE"""),"LU000178")</f>
        <v>LU000178</v>
      </c>
      <c r="AJ26" s="13" t="str">
        <f ca="1">IFERROR(__xludf.DUMMYFUNCTION("""COMPUTED_VALUE"""),"Successor of whole numbers")</f>
        <v>Successor of whole numbers</v>
      </c>
      <c r="AK26" s="13"/>
      <c r="AL26" s="13"/>
      <c r="AM26" s="13"/>
      <c r="AN26" s="13"/>
      <c r="AO26" s="13"/>
      <c r="AP26" s="13"/>
      <c r="AQ26" s="13"/>
      <c r="AR26" s="13"/>
      <c r="AS26" s="13"/>
      <c r="AT26" s="13"/>
    </row>
    <row r="27" spans="1:46">
      <c r="A27" s="8" t="s">
        <v>247</v>
      </c>
      <c r="B27" s="8" t="s">
        <v>47</v>
      </c>
      <c r="C27" s="8" t="s">
        <v>48</v>
      </c>
      <c r="D27" s="8" t="s">
        <v>49</v>
      </c>
      <c r="E27" s="8" t="s">
        <v>272</v>
      </c>
      <c r="F27" s="8" t="s">
        <v>280</v>
      </c>
      <c r="G27" s="8" t="s">
        <v>282</v>
      </c>
      <c r="H27" s="8" t="str">
        <f ca="1">IFERROR(__xludf.DUMMYFUNCTION("VLOOKUP(G27, IMPORTRANGE(""https://docs.google.com/spreadsheets/d/14deopnvwcrKtEGCKuYXdUHJbeLDZlkiSSWWT0g7x2pM/edit#gid=999382323"", ""LU List Maths (Filter)!A:B""), 2, FALSE)"),"Subtraction of whole numbers on number line")</f>
        <v>Subtraction of whole numbers on number line</v>
      </c>
      <c r="I27" s="10" t="str">
        <f t="shared" si="0"/>
        <v>LU000181.001</v>
      </c>
      <c r="J27" s="10" t="str">
        <f ca="1">IFERROR(__xludf.DUMMYFUNCTION("VLOOKUP(I27, IMPORTRANGE(""https://docs.google.com/spreadsheets/d/1yDAaXNsi4Mr5FtRQL4tbmSdIzhx6_m4wkOD7IG-k_eo/edit#gid=0"", ""Maths!M:N""), 2, FALSE)"),"List the steps involved in performing subtraction of whole numbers on a number line.")</f>
        <v>List the steps involved in performing subtraction of whole numbers on a number line.</v>
      </c>
      <c r="K27" s="10" t="str">
        <f t="shared" si="1"/>
        <v>LU000181.002</v>
      </c>
      <c r="L27" s="10" t="str">
        <f ca="1">IFERROR(__xludf.DUMMYFUNCTION("VLOOKUP(K27, IMPORTRANGE(""https://docs.google.com/spreadsheets/d/1yDAaXNsi4Mr5FtRQL4tbmSdIzhx6_m4wkOD7IG-k_eo/edit#gid=0"", ""Maths!M:N""), 2, FALSE)"),"Explain how the concept of subtracting whole numbers on a number line involves finding the difference between their individual values.")</f>
        <v>Explain how the concept of subtracting whole numbers on a number line involves finding the difference between their individual values.</v>
      </c>
      <c r="M27" s="10" t="str">
        <f t="shared" si="2"/>
        <v>LU000181.003</v>
      </c>
      <c r="N27" s="10" t="str">
        <f ca="1">IFERROR(__xludf.DUMMYFUNCTION("VLOOKUP(M27, IMPORTRANGE(""https://docs.google.com/spreadsheets/d/1yDAaXNsi4Mr5FtRQL4tbmSdIzhx6_m4wkOD7IG-k_eo/edit#gid=0"", ""Maths!M:N""), 2, FALSE)"),"Real-world applications of subtraction of whole numbers on the number line.")</f>
        <v>Real-world applications of subtraction of whole numbers on the number line.</v>
      </c>
      <c r="O27" s="10" t="str">
        <f t="shared" si="3"/>
        <v>LU000181.004</v>
      </c>
      <c r="P27" s="10" t="str">
        <f ca="1">IFERROR(__xludf.DUMMYFUNCTION("VLOOKUP(O27, IMPORTRANGE(""https://docs.google.com/spreadsheets/d/1yDAaXNsi4Mr5FtRQL4tbmSdIzhx6_m4wkOD7IG-k_eo/edit#gid=0"", ""Maths!M:N""), 2, FALSE)"),"Analyse the changes in position along a number line caused by the subtraction of different whole numbers.")</f>
        <v>Analyse the changes in position along a number line caused by the subtraction of different whole numbers.</v>
      </c>
      <c r="Q27" s="10" t="str">
        <f t="shared" si="4"/>
        <v>LU000181.005</v>
      </c>
      <c r="R27" s="10" t="str">
        <f ca="1">IFERROR(__xludf.DUMMYFUNCTION("VLOOKUP(Q27, IMPORTRANGE(""https://docs.google.com/spreadsheets/d/1yDAaXNsi4Mr5FtRQL4tbmSdIzhx6_m4wkOD7IG-k_eo/edit#gid=0"", ""Maths!M:N""), 2, FALSE)"),"Evaluate and justify the results of subtraction operations with whole numbers performed on a number line.")</f>
        <v>Evaluate and justify the results of subtraction operations with whole numbers performed on a number line.</v>
      </c>
      <c r="S27" s="10" t="str">
        <f t="shared" si="5"/>
        <v>LU000181.006</v>
      </c>
      <c r="T27" s="10" t="str">
        <f ca="1">IFERROR(__xludf.DUMMYFUNCTION("VLOOKUP(S27, IMPORTRANGE(""https://docs.google.com/spreadsheets/d/1yDAaXNsi4Mr5FtRQL4tbmSdIzhx6_m4wkOD7IG-k_eo/edit#gid=0"", ""Maths!M:N""), 2, FALSE)"),"Develop word problems that require the application of subtraction on a number line to solve real-world situations.")</f>
        <v>Develop word problems that require the application of subtraction on a number line to solve real-world situations.</v>
      </c>
      <c r="U27" s="11">
        <f ca="1">IFERROR(__xludf.DUMMYFUNCTION("ArrayFormula(VLOOKUP(G27, IMPORTRANGE(""https://docs.google.com/spreadsheets/d/1p7R4vtkWt5VOBim4ltsDG9KTzSjrtKXsMtQGXPHyND0/edit#gid=795171502"", ""'Filter 30_05_2024'!A1:M2000""), {2, 3, 4, 5,6,7,8,9,10,11,12,13}, 0))"),4)</f>
        <v>4</v>
      </c>
      <c r="V27" s="11">
        <f ca="1">IFERROR(__xludf.DUMMYFUNCTION("""COMPUTED_VALUE"""),4)</f>
        <v>4</v>
      </c>
      <c r="W27" s="11">
        <f ca="1">IFERROR(__xludf.DUMMYFUNCTION("""COMPUTED_VALUE"""),3)</f>
        <v>3</v>
      </c>
      <c r="X27" s="11">
        <f ca="1">IFERROR(__xludf.DUMMYFUNCTION("""COMPUTED_VALUE"""),11)</f>
        <v>11</v>
      </c>
      <c r="Y27" s="11">
        <f ca="1">IFERROR(__xludf.DUMMYFUNCTION("""COMPUTED_VALUE"""),4)</f>
        <v>4</v>
      </c>
      <c r="Z27" s="29">
        <f ca="1">IFERROR(__xludf.DUMMYFUNCTION("""COMPUTED_VALUE"""),5)</f>
        <v>5</v>
      </c>
      <c r="AA27" s="29">
        <f ca="1">IFERROR(__xludf.DUMMYFUNCTION("""COMPUTED_VALUE"""),1)</f>
        <v>1</v>
      </c>
      <c r="AB27" s="12">
        <f ca="1">IFERROR(__xludf.DUMMYFUNCTION("""COMPUTED_VALUE"""),10)</f>
        <v>10</v>
      </c>
      <c r="AC27" s="12"/>
      <c r="AD27" s="12"/>
      <c r="AE27" s="12"/>
      <c r="AF27" s="12"/>
      <c r="AG27" s="13" t="str">
        <f ca="1">IFERROR(__xludf.DUMMYFUNCTION("ArrayFormula(VLOOKUP(G27, IMPORTRANGE(""https://docs.google.com/spreadsheets/d/1Co934fvtviyaRiMsrIlT05Jaq7iiYq07aLvRr35KA48/edit?gid=173865642#gid=173865642"", ""'G6_Maths_Pri_LU'!G2:V2000""), {3, 4, 5, 6, 7, 8, 9, 10, 11, 12, 13, 14, 15, 16}, 0))"),"LU000179")</f>
        <v>LU000179</v>
      </c>
      <c r="AH27" s="13" t="str">
        <f ca="1">IFERROR(__xludf.DUMMYFUNCTION("""COMPUTED_VALUE"""),"Representation of whole numbers on a number line")</f>
        <v>Representation of whole numbers on a number line</v>
      </c>
      <c r="AI27" s="13" t="str">
        <f ca="1">IFERROR(__xludf.DUMMYFUNCTION("""COMPUTED_VALUE"""),"LU000177")</f>
        <v>LU000177</v>
      </c>
      <c r="AJ27" s="13" t="str">
        <f ca="1">IFERROR(__xludf.DUMMYFUNCTION("""COMPUTED_VALUE"""),"Predecessor of whole numbers")</f>
        <v>Predecessor of whole numbers</v>
      </c>
      <c r="AK27" s="13"/>
      <c r="AL27" s="13"/>
      <c r="AM27" s="13"/>
      <c r="AN27" s="13"/>
      <c r="AO27" s="13"/>
      <c r="AP27" s="13"/>
      <c r="AQ27" s="13"/>
      <c r="AR27" s="13"/>
      <c r="AS27" s="13"/>
      <c r="AT27" s="13"/>
    </row>
    <row r="28" spans="1:46">
      <c r="A28" s="8" t="s">
        <v>247</v>
      </c>
      <c r="B28" s="8" t="s">
        <v>47</v>
      </c>
      <c r="C28" s="8" t="s">
        <v>48</v>
      </c>
      <c r="D28" s="8" t="s">
        <v>49</v>
      </c>
      <c r="E28" s="8" t="s">
        <v>272</v>
      </c>
      <c r="F28" s="8" t="s">
        <v>280</v>
      </c>
      <c r="G28" s="8" t="s">
        <v>283</v>
      </c>
      <c r="H28" s="8" t="str">
        <f ca="1">IFERROR(__xludf.DUMMYFUNCTION("VLOOKUP(G28, IMPORTRANGE(""https://docs.google.com/spreadsheets/d/14deopnvwcrKtEGCKuYXdUHJbeLDZlkiSSWWT0g7x2pM/edit#gid=999382323"", ""LU List Maths (Filter)!A:B""), 2, FALSE)"),"Multiplication of whole numbers on number line")</f>
        <v>Multiplication of whole numbers on number line</v>
      </c>
      <c r="I28" s="10" t="str">
        <f t="shared" si="0"/>
        <v>LU000182.001</v>
      </c>
      <c r="J28" s="10" t="str">
        <f ca="1">IFERROR(__xludf.DUMMYFUNCTION("VLOOKUP(I28, IMPORTRANGE(""https://docs.google.com/spreadsheets/d/1yDAaXNsi4Mr5FtRQL4tbmSdIzhx6_m4wkOD7IG-k_eo/edit#gid=0"", ""Maths!M:N""), 2, FALSE)"),"List the steps involved in performing multiplication of whole numbers on a number line.")</f>
        <v>List the steps involved in performing multiplication of whole numbers on a number line.</v>
      </c>
      <c r="K28" s="10" t="str">
        <f t="shared" si="1"/>
        <v>LU000182.002</v>
      </c>
      <c r="L28" s="10" t="str">
        <f ca="1">IFERROR(__xludf.DUMMYFUNCTION("VLOOKUP(K28, IMPORTRANGE(""https://docs.google.com/spreadsheets/d/1yDAaXNsi4Mr5FtRQL4tbmSdIzhx6_m4wkOD7IG-k_eo/edit#gid=0"", ""Maths!M:N""), 2, FALSE)"),"Explain how the concept of multiplying whole numbers on a number line involves repeated addition and understanding of equal groups.")</f>
        <v>Explain how the concept of multiplying whole numbers on a number line involves repeated addition and understanding of equal groups.</v>
      </c>
      <c r="M28" s="10" t="str">
        <f t="shared" si="2"/>
        <v>LU000182.003</v>
      </c>
      <c r="N28" s="10" t="str">
        <f ca="1">IFERROR(__xludf.DUMMYFUNCTION("VLOOKUP(M28, IMPORTRANGE(""https://docs.google.com/spreadsheets/d/1yDAaXNsi4Mr5FtRQL4tbmSdIzhx6_m4wkOD7IG-k_eo/edit#gid=0"", ""Maths!M:N""), 2, FALSE)"),"Real-world applications of multiplication of whole numbers on the number line.")</f>
        <v>Real-world applications of multiplication of whole numbers on the number line.</v>
      </c>
      <c r="O28" s="10" t="str">
        <f t="shared" si="3"/>
        <v>LU000182.004</v>
      </c>
      <c r="P28" s="10" t="str">
        <f ca="1">IFERROR(__xludf.DUMMYFUNCTION("VLOOKUP(O28, IMPORTRANGE(""https://docs.google.com/spreadsheets/d/1yDAaXNsi4Mr5FtRQL4tbmSdIzhx6_m4wkOD7IG-k_eo/edit#gid=0"", ""Maths!M:N""), 2, FALSE)"),"Compare the multiplication process using a number line with other methods of multiplication.")</f>
        <v>Compare the multiplication process using a number line with other methods of multiplication.</v>
      </c>
      <c r="Q28" s="10" t="str">
        <f t="shared" si="4"/>
        <v>LU000182.005</v>
      </c>
      <c r="R28" s="10" t="str">
        <f ca="1">IFERROR(__xludf.DUMMYFUNCTION("VLOOKUP(Q28, IMPORTRANGE(""https://docs.google.com/spreadsheets/d/1yDAaXNsi4Mr5FtRQL4tbmSdIzhx6_m4wkOD7IG-k_eo/edit#gid=0"", ""Maths!M:N""), 2, FALSE)"),"Evaluate and justify the results of multiplication operations with whole numbers performed on a number line.")</f>
        <v>Evaluate and justify the results of multiplication operations with whole numbers performed on a number line.</v>
      </c>
      <c r="S28" s="10" t="str">
        <f t="shared" si="5"/>
        <v>LU000182.006</v>
      </c>
      <c r="T28" s="10" t="str">
        <f ca="1">IFERROR(__xludf.DUMMYFUNCTION("VLOOKUP(S28, IMPORTRANGE(""https://docs.google.com/spreadsheets/d/1yDAaXNsi4Mr5FtRQL4tbmSdIzhx6_m4wkOD7IG-k_eo/edit#gid=0"", ""Maths!M:N""), 2, FALSE)"),"Create word problems that involve using a number line for solving real-world multiplication (whole numbers) situations.")</f>
        <v>Create word problems that involve using a number line for solving real-world multiplication (whole numbers) situations.</v>
      </c>
      <c r="U28" s="11">
        <f ca="1">IFERROR(__xludf.DUMMYFUNCTION("ArrayFormula(VLOOKUP(G28, IMPORTRANGE(""https://docs.google.com/spreadsheets/d/1p7R4vtkWt5VOBim4ltsDG9KTzSjrtKXsMtQGXPHyND0/edit#gid=795171502"", ""'Filter 30_05_2024'!A1:M2000""), {2, 3, 4, 5,6,7,8,9,10,11,12,13}, 0))"),6)</f>
        <v>6</v>
      </c>
      <c r="V28" s="11">
        <f ca="1">IFERROR(__xludf.DUMMYFUNCTION("""COMPUTED_VALUE"""),6)</f>
        <v>6</v>
      </c>
      <c r="W28" s="11">
        <f ca="1">IFERROR(__xludf.DUMMYFUNCTION("""COMPUTED_VALUE"""),2)</f>
        <v>2</v>
      </c>
      <c r="X28" s="11">
        <f ca="1">IFERROR(__xludf.DUMMYFUNCTION("""COMPUTED_VALUE"""),14)</f>
        <v>14</v>
      </c>
      <c r="Y28" s="11">
        <f ca="1">IFERROR(__xludf.DUMMYFUNCTION("""COMPUTED_VALUE"""),3)</f>
        <v>3</v>
      </c>
      <c r="Z28" s="29">
        <f ca="1">IFERROR(__xludf.DUMMYFUNCTION("""COMPUTED_VALUE"""),5)</f>
        <v>5</v>
      </c>
      <c r="AA28" s="29">
        <f ca="1">IFERROR(__xludf.DUMMYFUNCTION("""COMPUTED_VALUE"""),1)</f>
        <v>1</v>
      </c>
      <c r="AB28" s="12">
        <f ca="1">IFERROR(__xludf.DUMMYFUNCTION("""COMPUTED_VALUE"""),9)</f>
        <v>9</v>
      </c>
      <c r="AC28" s="12"/>
      <c r="AD28" s="12"/>
      <c r="AE28" s="12"/>
      <c r="AF28" s="12"/>
      <c r="AG28" s="13" t="str">
        <f ca="1">IFERROR(__xludf.DUMMYFUNCTION("ArrayFormula(VLOOKUP(G28, IMPORTRANGE(""https://docs.google.com/spreadsheets/d/1Co934fvtviyaRiMsrIlT05Jaq7iiYq07aLvRr35KA48/edit?gid=173865642#gid=173865642"", ""'G6_Maths_Pri_LU'!G2:V2000""), {3, 4, 5, 6, 7, 8, 9, 10, 11, 12, 13, 14, 15, 16}, 0))"),"LU000180")</f>
        <v>LU000180</v>
      </c>
      <c r="AH28" s="13" t="str">
        <f ca="1">IFERROR(__xludf.DUMMYFUNCTION("""COMPUTED_VALUE"""),"Addition of whole numbers on number line")</f>
        <v>Addition of whole numbers on number line</v>
      </c>
      <c r="AI28" s="13" t="str">
        <f ca="1">IFERROR(__xludf.DUMMYFUNCTION("""COMPUTED_VALUE"""),"LU000179")</f>
        <v>LU000179</v>
      </c>
      <c r="AJ28" s="13" t="str">
        <f ca="1">IFERROR(__xludf.DUMMYFUNCTION("""COMPUTED_VALUE"""),"Representation of whole numbers on a number line")</f>
        <v>Representation of whole numbers on a number line</v>
      </c>
      <c r="AK28" s="13" t="str">
        <f ca="1">IFERROR(__xludf.DUMMYFUNCTION("""COMPUTED_VALUE"""),"LU000178")</f>
        <v>LU000178</v>
      </c>
      <c r="AL28" s="13" t="str">
        <f ca="1">IFERROR(__xludf.DUMMYFUNCTION("""COMPUTED_VALUE"""),"Successor of whole numbers")</f>
        <v>Successor of whole numbers</v>
      </c>
      <c r="AM28" s="13" t="str">
        <f ca="1">IFERROR(__xludf.DUMMYFUNCTION("""COMPUTED_VALUE"""),"LU000176")</f>
        <v>LU000176</v>
      </c>
      <c r="AN28" s="13" t="str">
        <f ca="1">IFERROR(__xludf.DUMMYFUNCTION("""COMPUTED_VALUE"""),"Definition of whole number")</f>
        <v>Definition of whole number</v>
      </c>
      <c r="AO28" s="13"/>
      <c r="AP28" s="13"/>
      <c r="AQ28" s="13"/>
      <c r="AR28" s="13"/>
      <c r="AS28" s="13"/>
      <c r="AT28" s="13"/>
    </row>
    <row r="29" spans="1:46">
      <c r="A29" s="8" t="s">
        <v>247</v>
      </c>
      <c r="B29" s="8" t="s">
        <v>47</v>
      </c>
      <c r="C29" s="8" t="s">
        <v>48</v>
      </c>
      <c r="D29" s="8" t="s">
        <v>49</v>
      </c>
      <c r="E29" s="8" t="s">
        <v>272</v>
      </c>
      <c r="F29" s="8" t="s">
        <v>284</v>
      </c>
      <c r="G29" s="8" t="s">
        <v>285</v>
      </c>
      <c r="H29" s="8" t="str">
        <f ca="1">IFERROR(__xludf.DUMMYFUNCTION("VLOOKUP(G29, IMPORTRANGE(""https://docs.google.com/spreadsheets/d/14deopnvwcrKtEGCKuYXdUHJbeLDZlkiSSWWT0g7x2pM/edit#gid=999382323"", ""LU List Maths (Filter)!A:B""), 2, FALSE)"),"Mixed operation of addition and subtraction of three or more whole numbers with number line.")</f>
        <v>Mixed operation of addition and subtraction of three or more whole numbers with number line.</v>
      </c>
      <c r="I29" s="10" t="str">
        <f t="shared" si="0"/>
        <v>LU000968.001</v>
      </c>
      <c r="J29" s="10" t="str">
        <f ca="1">IFERROR(__xludf.DUMMYFUNCTION("VLOOKUP(I29, IMPORTRANGE(""https://docs.google.com/spreadsheets/d/1yDAaXNsi4Mr5FtRQL4tbmSdIzhx6_m4wkOD7IG-k_eo/edit#gid=0"", ""Maths!M:N""), 2, FALSE)"),"Recall the use of a number line for whole numbers.")</f>
        <v>Recall the use of a number line for whole numbers.</v>
      </c>
      <c r="K29" s="10" t="str">
        <f t="shared" si="1"/>
        <v>LU000968.002</v>
      </c>
      <c r="L29" s="10" t="str">
        <f ca="1">IFERROR(__xludf.DUMMYFUNCTION("VLOOKUP(K29, IMPORTRANGE(""https://docs.google.com/spreadsheets/d/1yDAaXNsi4Mr5FtRQL4tbmSdIzhx6_m4wkOD7IG-k_eo/edit#gid=0"", ""Maths!M:N""), 2, FALSE)"),"Explain how to use a number line for mixed operations involving addition and subtraction of three or more whole numbers.")</f>
        <v>Explain how to use a number line for mixed operations involving addition and subtraction of three or more whole numbers.</v>
      </c>
      <c r="M29" s="10" t="str">
        <f t="shared" si="2"/>
        <v>LU000968.003</v>
      </c>
      <c r="N29" s="10" t="str">
        <f ca="1">IFERROR(__xludf.DUMMYFUNCTION("VLOOKUP(M29, IMPORTRANGE(""https://docs.google.com/spreadsheets/d/1yDAaXNsi4Mr5FtRQL4tbmSdIzhx6_m4wkOD7IG-k_eo/edit#gid=0"", ""Maths!M:N""), 2, FALSE)"),"Apply the number line method to solve mixed operations accurately.")</f>
        <v>Apply the number line method to solve mixed operations accurately.</v>
      </c>
      <c r="O29" s="10" t="str">
        <f t="shared" si="3"/>
        <v>LU000968.004</v>
      </c>
      <c r="P29" s="10" t="str">
        <f ca="1">IFERROR(__xludf.DUMMYFUNCTION("VLOOKUP(O29, IMPORTRANGE(""https://docs.google.com/spreadsheets/d/1yDAaXNsi4Mr5FtRQL4tbmSdIzhx6_m4wkOD7IG-k_eo/edit#gid=0"", ""Maths!M:N""), 2, FALSE)"),"Analyze complex problems by breaking them down into steps using the number line.")</f>
        <v>Analyze complex problems by breaking them down into steps using the number line.</v>
      </c>
      <c r="Q29" s="10" t="str">
        <f t="shared" si="4"/>
        <v>LU000968.005</v>
      </c>
      <c r="R29" s="10" t="str">
        <f ca="1">IFERROR(__xludf.DUMMYFUNCTION("VLOOKUP(Q29, IMPORTRANGE(""https://docs.google.com/spreadsheets/d/1yDAaXNsi4Mr5FtRQL4tbmSdIzhx6_m4wkOD7IG-k_eo/edit#gid=0"", ""Maths!M:N""), 2, FALSE)"),"Evaluate solutions for correctness in mixed operations with the number line.")</f>
        <v>Evaluate solutions for correctness in mixed operations with the number line.</v>
      </c>
      <c r="S29" s="10" t="str">
        <f t="shared" si="5"/>
        <v>LU000968.006</v>
      </c>
      <c r="T29" s="10" t="str">
        <f ca="1">IFERROR(__xludf.DUMMYFUNCTION("VLOOKUP(S29, IMPORTRANGE(""https://docs.google.com/spreadsheets/d/1yDAaXNsi4Mr5FtRQL4tbmSdIzhx6_m4wkOD7IG-k_eo/edit#gid=0"", ""Maths!M:N""), 2, FALSE)"),"#N/A")</f>
        <v>#N/A</v>
      </c>
      <c r="U29" s="11">
        <f ca="1">IFERROR(__xludf.DUMMYFUNCTION("ArrayFormula(VLOOKUP(G29, IMPORTRANGE(""https://docs.google.com/spreadsheets/d/1p7R4vtkWt5VOBim4ltsDG9KTzSjrtKXsMtQGXPHyND0/edit#gid=795171502"", ""'Filter 30_05_2024'!A1:M2000""), {2, 3, 4, 5,6,7,8,9,10,11,12,13}, 0))"),4)</f>
        <v>4</v>
      </c>
      <c r="V29" s="11">
        <f ca="1">IFERROR(__xludf.DUMMYFUNCTION("""COMPUTED_VALUE"""),6)</f>
        <v>6</v>
      </c>
      <c r="W29" s="11">
        <f ca="1">IFERROR(__xludf.DUMMYFUNCTION("""COMPUTED_VALUE"""),2)</f>
        <v>2</v>
      </c>
      <c r="X29" s="11">
        <f ca="1">IFERROR(__xludf.DUMMYFUNCTION("""COMPUTED_VALUE"""),12)</f>
        <v>12</v>
      </c>
      <c r="Y29" s="11">
        <f ca="1">IFERROR(__xludf.DUMMYFUNCTION("""COMPUTED_VALUE"""),4)</f>
        <v>4</v>
      </c>
      <c r="Z29" s="29">
        <f ca="1">IFERROR(__xludf.DUMMYFUNCTION("""COMPUTED_VALUE"""),3)</f>
        <v>3</v>
      </c>
      <c r="AA29" s="29">
        <f ca="1">IFERROR(__xludf.DUMMYFUNCTION("""COMPUTED_VALUE"""),1)</f>
        <v>1</v>
      </c>
      <c r="AB29" s="12">
        <f ca="1">IFERROR(__xludf.DUMMYFUNCTION("""COMPUTED_VALUE"""),8)</f>
        <v>8</v>
      </c>
      <c r="AC29" s="12"/>
      <c r="AD29" s="12"/>
      <c r="AE29" s="12"/>
      <c r="AF29" s="12"/>
      <c r="AG29" s="13" t="str">
        <f ca="1">IFERROR(__xludf.DUMMYFUNCTION("ArrayFormula(VLOOKUP(G29, IMPORTRANGE(""https://docs.google.com/spreadsheets/d/1Co934fvtviyaRiMsrIlT05Jaq7iiYq07aLvRr35KA48/edit?gid=173865642#gid=173865642"", ""'G6_Maths_Pri_LU'!G2:V2000""), {3, 4, 5, 6, 7, 8, 9, 10, 11, 12, 13, 14, 15, 16}, 0))"),"LU000181")</f>
        <v>LU000181</v>
      </c>
      <c r="AH29" s="13" t="str">
        <f ca="1">IFERROR(__xludf.DUMMYFUNCTION("""COMPUTED_VALUE"""),"Subtraction of whole numbers on number line")</f>
        <v>Subtraction of whole numbers on number line</v>
      </c>
      <c r="AI29" s="13" t="str">
        <f ca="1">IFERROR(__xludf.DUMMYFUNCTION("""COMPUTED_VALUE"""),"LU000180")</f>
        <v>LU000180</v>
      </c>
      <c r="AJ29" s="13" t="str">
        <f ca="1">IFERROR(__xludf.DUMMYFUNCTION("""COMPUTED_VALUE"""),"Addition of whole numbers on number line")</f>
        <v>Addition of whole numbers on number line</v>
      </c>
      <c r="AK29" s="13" t="str">
        <f ca="1">IFERROR(__xludf.DUMMYFUNCTION("""COMPUTED_VALUE"""),"LU000179")</f>
        <v>LU000179</v>
      </c>
      <c r="AL29" s="13" t="str">
        <f ca="1">IFERROR(__xludf.DUMMYFUNCTION("""COMPUTED_VALUE"""),"Representation of whole numbers on a number line")</f>
        <v>Representation of whole numbers on a number line</v>
      </c>
      <c r="AM29" s="13" t="str">
        <f ca="1">IFERROR(__xludf.DUMMYFUNCTION("""COMPUTED_VALUE"""),"LU000176")</f>
        <v>LU000176</v>
      </c>
      <c r="AN29" s="13" t="str">
        <f ca="1">IFERROR(__xludf.DUMMYFUNCTION("""COMPUTED_VALUE"""),"Definition of whole number")</f>
        <v>Definition of whole number</v>
      </c>
      <c r="AO29" s="13"/>
      <c r="AP29" s="13"/>
      <c r="AQ29" s="13"/>
      <c r="AR29" s="13"/>
      <c r="AS29" s="13"/>
      <c r="AT29" s="13"/>
    </row>
    <row r="30" spans="1:46">
      <c r="A30" s="8" t="s">
        <v>247</v>
      </c>
      <c r="B30" s="8" t="s">
        <v>47</v>
      </c>
      <c r="C30" s="8" t="s">
        <v>48</v>
      </c>
      <c r="D30" s="8" t="s">
        <v>49</v>
      </c>
      <c r="E30" s="8" t="s">
        <v>272</v>
      </c>
      <c r="F30" s="8" t="s">
        <v>284</v>
      </c>
      <c r="G30" s="8" t="s">
        <v>101</v>
      </c>
      <c r="H30" s="8" t="str">
        <f ca="1">IFERROR(__xludf.DUMMYFUNCTION("VLOOKUP(G30, IMPORTRANGE(""https://docs.google.com/spreadsheets/d/14deopnvwcrKtEGCKuYXdUHJbeLDZlkiSSWWT0g7x2pM/edit#gid=999382323"", ""LU List Maths (Filter)!A:B""), 2, FALSE)"),"Mixed operation of addition and subtraction of three or more whole numbers without number line.")</f>
        <v>Mixed operation of addition and subtraction of three or more whole numbers without number line.</v>
      </c>
      <c r="I30" s="10" t="str">
        <f t="shared" si="0"/>
        <v>LU000969.001</v>
      </c>
      <c r="J30" s="10" t="str">
        <f ca="1">IFERROR(__xludf.DUMMYFUNCTION("VLOOKUP(I30, IMPORTRANGE(""https://docs.google.com/spreadsheets/d/1yDAaXNsi4Mr5FtRQL4tbmSdIzhx6_m4wkOD7IG-k_eo/edit#gid=0"", ""Maths!M:N""), 2, FALSE)"),"Recall rules for addition and subtraction of whole numbers.")</f>
        <v>Recall rules for addition and subtraction of whole numbers.</v>
      </c>
      <c r="K30" s="10" t="str">
        <f t="shared" si="1"/>
        <v>LU000969.002</v>
      </c>
      <c r="L30" s="10" t="str">
        <f ca="1">IFERROR(__xludf.DUMMYFUNCTION("VLOOKUP(K30, IMPORTRANGE(""https://docs.google.com/spreadsheets/d/1yDAaXNsi4Mr5FtRQL4tbmSdIzhx6_m4wkOD7IG-k_eo/edit#gid=0"", ""Maths!M:N""), 2, FALSE)"),"Explain the concept of mixed operations with three or more whole numbers.")</f>
        <v>Explain the concept of mixed operations with three or more whole numbers.</v>
      </c>
      <c r="M30" s="10" t="str">
        <f t="shared" si="2"/>
        <v>LU000969.003</v>
      </c>
      <c r="N30" s="10" t="str">
        <f ca="1">IFERROR(__xludf.DUMMYFUNCTION("VLOOKUP(M30, IMPORTRANGE(""https://docs.google.com/spreadsheets/d/1yDAaXNsi4Mr5FtRQL4tbmSdIzhx6_m4wkOD7IG-k_eo/edit#gid=0"", ""Maths!M:N""), 2, FALSE)"),"Apply mathematical techniques to solve mixed operations accurately.")</f>
        <v>Apply mathematical techniques to solve mixed operations accurately.</v>
      </c>
      <c r="O30" s="10" t="str">
        <f t="shared" si="3"/>
        <v>LU000969.004</v>
      </c>
      <c r="P30" s="10" t="str">
        <f ca="1">IFERROR(__xludf.DUMMYFUNCTION("VLOOKUP(O30, IMPORTRANGE(""https://docs.google.com/spreadsheets/d/1yDAaXNsi4Mr5FtRQL4tbmSdIzhx6_m4wkOD7IG-k_eo/edit#gid=0"", ""Maths!M:N""), 2, FALSE)"),"Break down complex mixed operation problems into sequential steps for accurate calculations.")</f>
        <v>Break down complex mixed operation problems into sequential steps for accurate calculations.</v>
      </c>
      <c r="Q30" s="10" t="str">
        <f t="shared" si="4"/>
        <v>LU000969.005</v>
      </c>
      <c r="R30" s="10" t="str">
        <f ca="1">IFERROR(__xludf.DUMMYFUNCTION("VLOOKUP(Q30, IMPORTRANGE(""https://docs.google.com/spreadsheets/d/1yDAaXNsi4Mr5FtRQL4tbmSdIzhx6_m4wkOD7IG-k_eo/edit#gid=0"", ""Maths!M:N""), 2, FALSE)"),"Evaluate solutions to ensure correctness and provide explanations for errors.")</f>
        <v>Evaluate solutions to ensure correctness and provide explanations for errors.</v>
      </c>
      <c r="S30" s="10" t="str">
        <f t="shared" si="5"/>
        <v>LU000969.006</v>
      </c>
      <c r="T30" s="10" t="str">
        <f ca="1">IFERROR(__xludf.DUMMYFUNCTION("VLOOKUP(S30, IMPORTRANGE(""https://docs.google.com/spreadsheets/d/1yDAaXNsi4Mr5FtRQL4tbmSdIzhx6_m4wkOD7IG-k_eo/edit#gid=0"", ""Maths!M:N""), 2, FALSE)"),"#N/A")</f>
        <v>#N/A</v>
      </c>
      <c r="U30" s="11">
        <f ca="1">IFERROR(__xludf.DUMMYFUNCTION("ArrayFormula(VLOOKUP(G30, IMPORTRANGE(""https://docs.google.com/spreadsheets/d/1p7R4vtkWt5VOBim4ltsDG9KTzSjrtKXsMtQGXPHyND0/edit#gid=795171502"", ""'Filter 30_05_2024'!A1:M2000""), {2, 3, 4, 5,6,7,8,9,10,11,12,13}, 0))"),4)</f>
        <v>4</v>
      </c>
      <c r="V30" s="11">
        <f ca="1">IFERROR(__xludf.DUMMYFUNCTION("""COMPUTED_VALUE"""),6)</f>
        <v>6</v>
      </c>
      <c r="W30" s="11">
        <f ca="1">IFERROR(__xludf.DUMMYFUNCTION("""COMPUTED_VALUE"""),2)</f>
        <v>2</v>
      </c>
      <c r="X30" s="11">
        <f ca="1">IFERROR(__xludf.DUMMYFUNCTION("""COMPUTED_VALUE"""),12)</f>
        <v>12</v>
      </c>
      <c r="Y30" s="11">
        <f ca="1">IFERROR(__xludf.DUMMYFUNCTION("""COMPUTED_VALUE"""),4)</f>
        <v>4</v>
      </c>
      <c r="Z30" s="29">
        <f ca="1">IFERROR(__xludf.DUMMYFUNCTION("""COMPUTED_VALUE"""),3)</f>
        <v>3</v>
      </c>
      <c r="AA30" s="29">
        <f ca="1">IFERROR(__xludf.DUMMYFUNCTION("""COMPUTED_VALUE"""),1)</f>
        <v>1</v>
      </c>
      <c r="AB30" s="12">
        <f ca="1">IFERROR(__xludf.DUMMYFUNCTION("""COMPUTED_VALUE"""),8)</f>
        <v>8</v>
      </c>
      <c r="AC30" s="12"/>
      <c r="AD30" s="12"/>
      <c r="AE30" s="12"/>
      <c r="AF30" s="12"/>
      <c r="AG30" s="13" t="str">
        <f ca="1">IFERROR(__xludf.DUMMYFUNCTION("ArrayFormula(VLOOKUP(G30, IMPORTRANGE(""https://docs.google.com/spreadsheets/d/1Co934fvtviyaRiMsrIlT05Jaq7iiYq07aLvRr35KA48/edit?gid=173865642#gid=173865642"", ""'G6_Maths_Pri_LU'!G2:V2000""), {3, 4, 5, 6, 7, 8, 9, 10, 11, 12, 13, 14, 15, 16}, 0))"),"LU000181")</f>
        <v>LU000181</v>
      </c>
      <c r="AH30" s="13" t="str">
        <f ca="1">IFERROR(__xludf.DUMMYFUNCTION("""COMPUTED_VALUE"""),"Subtraction of whole numbers on number line")</f>
        <v>Subtraction of whole numbers on number line</v>
      </c>
      <c r="AI30" s="13" t="str">
        <f ca="1">IFERROR(__xludf.DUMMYFUNCTION("""COMPUTED_VALUE"""),"LU000180")</f>
        <v>LU000180</v>
      </c>
      <c r="AJ30" s="13" t="str">
        <f ca="1">IFERROR(__xludf.DUMMYFUNCTION("""COMPUTED_VALUE"""),"Addition of whole numbers on number line")</f>
        <v>Addition of whole numbers on number line</v>
      </c>
      <c r="AK30" s="13" t="str">
        <f ca="1">IFERROR(__xludf.DUMMYFUNCTION("""COMPUTED_VALUE"""),"LU000179")</f>
        <v>LU000179</v>
      </c>
      <c r="AL30" s="13" t="str">
        <f ca="1">IFERROR(__xludf.DUMMYFUNCTION("""COMPUTED_VALUE"""),"Representation of whole numbers on a number line")</f>
        <v>Representation of whole numbers on a number line</v>
      </c>
      <c r="AM30" s="13" t="str">
        <f ca="1">IFERROR(__xludf.DUMMYFUNCTION("""COMPUTED_VALUE"""),"LU000176")</f>
        <v>LU000176</v>
      </c>
      <c r="AN30" s="13" t="str">
        <f ca="1">IFERROR(__xludf.DUMMYFUNCTION("""COMPUTED_VALUE"""),"Definition of whole number")</f>
        <v>Definition of whole number</v>
      </c>
      <c r="AO30" s="13"/>
      <c r="AP30" s="13"/>
      <c r="AQ30" s="13"/>
      <c r="AR30" s="13"/>
      <c r="AS30" s="13"/>
      <c r="AT30" s="13"/>
    </row>
    <row r="31" spans="1:46">
      <c r="A31" s="8" t="s">
        <v>247</v>
      </c>
      <c r="B31" s="8" t="s">
        <v>47</v>
      </c>
      <c r="C31" s="8" t="s">
        <v>48</v>
      </c>
      <c r="D31" s="8" t="s">
        <v>49</v>
      </c>
      <c r="E31" s="8" t="s">
        <v>286</v>
      </c>
      <c r="F31" s="21" t="s">
        <v>287</v>
      </c>
      <c r="G31" s="8" t="s">
        <v>131</v>
      </c>
      <c r="H31" s="8" t="str">
        <f ca="1">IFERROR(__xludf.DUMMYFUNCTION("VLOOKUP(G31, IMPORTRANGE(""https://docs.google.com/spreadsheets/d/14deopnvwcrKtEGCKuYXdUHJbeLDZlkiSSWWT0g7x2pM/edit#gid=999382323"", ""LU List Maths (Filter)!A:B""), 2, FALSE)"),"Factor of number")</f>
        <v>Factor of number</v>
      </c>
      <c r="I31" s="10" t="str">
        <f t="shared" si="0"/>
        <v>LU000192.001</v>
      </c>
      <c r="J31" s="10" t="str">
        <f ca="1">IFERROR(__xludf.DUMMYFUNCTION("VLOOKUP(I31, IMPORTRANGE(""https://docs.google.com/spreadsheets/d/1yDAaXNsi4Mr5FtRQL4tbmSdIzhx6_m4wkOD7IG-k_eo/edit#gid=0"", ""Maths!M:N""), 2, FALSE)"),"Define factor of a number and its significance in the context of multiplication.")</f>
        <v>Define factor of a number and its significance in the context of multiplication.</v>
      </c>
      <c r="K31" s="10" t="str">
        <f t="shared" si="1"/>
        <v>LU000192.002</v>
      </c>
      <c r="L31" s="10" t="str">
        <f ca="1">IFERROR(__xludf.DUMMYFUNCTION("VLOOKUP(K31, IMPORTRANGE(""https://docs.google.com/spreadsheets/d/1yDAaXNsi4Mr5FtRQL4tbmSdIzhx6_m4wkOD7IG-k_eo/edit#gid=0"", ""Maths!M:N""), 2, FALSE)"),"Explain factors as numbers that divide another number without leaving a remainder.")</f>
        <v>Explain factors as numbers that divide another number without leaving a remainder.</v>
      </c>
      <c r="M31" s="10" t="str">
        <f t="shared" si="2"/>
        <v>LU000192.003</v>
      </c>
      <c r="N31" s="10" t="str">
        <f ca="1">IFERROR(__xludf.DUMMYFUNCTION("VLOOKUP(M31, IMPORTRANGE(""https://docs.google.com/spreadsheets/d/1yDAaXNsi4Mr5FtRQL4tbmSdIzhx6_m4wkOD7IG-k_eo/edit#gid=0"", ""Maths!M:N""), 2, FALSE)"),"Identify factors in practical and arithmetic problems.")</f>
        <v>Identify factors in practical and arithmetic problems.</v>
      </c>
      <c r="O31" s="10" t="str">
        <f t="shared" si="3"/>
        <v>LU000192.004</v>
      </c>
      <c r="P31" s="10" t="str">
        <f ca="1">IFERROR(__xludf.DUMMYFUNCTION("VLOOKUP(O31, IMPORTRANGE(""https://docs.google.com/spreadsheets/d/1yDAaXNsi4Mr5FtRQL4tbmSdIzhx6_m4wkOD7IG-k_eo/edit#gid=0"", ""Maths!M:N""), 2, FALSE)"),"Deduce the various properties of factor of a number (ex: every factor of a number is less than or equal to the given number.)")</f>
        <v>Deduce the various properties of factor of a number (ex: every factor of a number is less than or equal to the given number.)</v>
      </c>
      <c r="Q31" s="10" t="str">
        <f t="shared" si="4"/>
        <v>LU000192.005</v>
      </c>
      <c r="R31" s="10" t="str">
        <f ca="1">IFERROR(__xludf.DUMMYFUNCTION("VLOOKUP(Q31, IMPORTRANGE(""https://docs.google.com/spreadsheets/d/1yDAaXNsi4Mr5FtRQL4tbmSdIzhx6_m4wkOD7IG-k_eo/edit#gid=0"", ""Maths!M:N""), 2, FALSE)"),"Assess how factors are important in solving problems")</f>
        <v>Assess how factors are important in solving problems</v>
      </c>
      <c r="S31" s="10" t="str">
        <f t="shared" si="5"/>
        <v>LU000192.006</v>
      </c>
      <c r="T31" s="10" t="str">
        <f ca="1">IFERROR(__xludf.DUMMYFUNCTION("VLOOKUP(S31, IMPORTRANGE(""https://docs.google.com/spreadsheets/d/1yDAaXNsi4Mr5FtRQL4tbmSdIzhx6_m4wkOD7IG-k_eo/edit#gid=0"", ""Maths!M:N""), 2, FALSE)"),"Design word problems that involve real-life situations and factorisation.")</f>
        <v>Design word problems that involve real-life situations and factorisation.</v>
      </c>
      <c r="U31" s="11">
        <f ca="1">IFERROR(__xludf.DUMMYFUNCTION("ArrayFormula(VLOOKUP(G31, IMPORTRANGE(""https://docs.google.com/spreadsheets/d/1p7R4vtkWt5VOBim4ltsDG9KTzSjrtKXsMtQGXPHyND0/edit#gid=795171502"", ""'Filter 30_05_2024'!A1:M2000""), {2, 3, 4, 5,6,7,8,9,10,11,12,13}, 0))"),12)</f>
        <v>12</v>
      </c>
      <c r="V31" s="11">
        <f ca="1">IFERROR(__xludf.DUMMYFUNCTION("""COMPUTED_VALUE"""),19)</f>
        <v>19</v>
      </c>
      <c r="W31" s="11">
        <f ca="1">IFERROR(__xludf.DUMMYFUNCTION("""COMPUTED_VALUE"""),7)</f>
        <v>7</v>
      </c>
      <c r="X31" s="11">
        <f ca="1">IFERROR(__xludf.DUMMYFUNCTION("""COMPUTED_VALUE"""),38)</f>
        <v>38</v>
      </c>
      <c r="Y31" s="11">
        <f ca="1">IFERROR(__xludf.DUMMYFUNCTION("""COMPUTED_VALUE"""),7)</f>
        <v>7</v>
      </c>
      <c r="Z31" s="29">
        <f ca="1">IFERROR(__xludf.DUMMYFUNCTION("""COMPUTED_VALUE"""),3)</f>
        <v>3</v>
      </c>
      <c r="AA31" s="29">
        <f ca="1">IFERROR(__xludf.DUMMYFUNCTION("""COMPUTED_VALUE"""),2)</f>
        <v>2</v>
      </c>
      <c r="AB31" s="12">
        <f ca="1">IFERROR(__xludf.DUMMYFUNCTION("""COMPUTED_VALUE"""),12)</f>
        <v>12</v>
      </c>
      <c r="AC31" s="12"/>
      <c r="AD31" s="12"/>
      <c r="AE31" s="12"/>
      <c r="AF31" s="12"/>
      <c r="AG31" s="13" t="str">
        <f ca="1">IFERROR(__xludf.DUMMYFUNCTION("ArrayFormula(VLOOKUP(G31, IMPORTRANGE(""https://docs.google.com/spreadsheets/d/1Co934fvtviyaRiMsrIlT05Jaq7iiYq07aLvRr35KA48/edit?gid=173865642#gid=173865642"", ""'G6_Maths_Pri_LU'!G2:V2000""), {3, 4, 5, 6, 7, 8, 9, 10, 11, 12, 13, 14, 15, 16}, 0))"),"")</f>
        <v/>
      </c>
      <c r="AH31" s="13"/>
      <c r="AI31" s="13"/>
      <c r="AJ31" s="13"/>
      <c r="AK31" s="13"/>
      <c r="AL31" s="13"/>
      <c r="AM31" s="13"/>
      <c r="AN31" s="13"/>
      <c r="AO31" s="13"/>
      <c r="AP31" s="13"/>
      <c r="AQ31" s="13"/>
      <c r="AR31" s="13"/>
      <c r="AS31" s="13"/>
      <c r="AT31" s="13"/>
    </row>
    <row r="32" spans="1:46">
      <c r="A32" s="8" t="s">
        <v>247</v>
      </c>
      <c r="B32" s="8" t="s">
        <v>47</v>
      </c>
      <c r="C32" s="8" t="s">
        <v>48</v>
      </c>
      <c r="D32" s="8" t="s">
        <v>49</v>
      </c>
      <c r="E32" s="8" t="s">
        <v>286</v>
      </c>
      <c r="F32" s="21" t="s">
        <v>287</v>
      </c>
      <c r="G32" s="8" t="s">
        <v>128</v>
      </c>
      <c r="H32" s="8" t="str">
        <f ca="1">IFERROR(__xludf.DUMMYFUNCTION("VLOOKUP(G32, IMPORTRANGE(""https://docs.google.com/spreadsheets/d/14deopnvwcrKtEGCKuYXdUHJbeLDZlkiSSWWT0g7x2pM/edit#gid=999382323"", ""LU List Maths (Filter)!A:B""), 2, FALSE)"),"Multiple of number")</f>
        <v>Multiple of number</v>
      </c>
      <c r="I32" s="10" t="str">
        <f t="shared" si="0"/>
        <v>LU000193.001</v>
      </c>
      <c r="J32" s="10" t="str">
        <f ca="1">IFERROR(__xludf.DUMMYFUNCTION("VLOOKUP(I32, IMPORTRANGE(""https://docs.google.com/spreadsheets/d/1yDAaXNsi4Mr5FtRQL4tbmSdIzhx6_m4wkOD7IG-k_eo/edit#gid=0"", ""Maths!M:N""), 2, FALSE)"),"Define multiple of a number and its significance in the context of multiplication.")</f>
        <v>Define multiple of a number and its significance in the context of multiplication.</v>
      </c>
      <c r="K32" s="10" t="str">
        <f t="shared" si="1"/>
        <v>LU000193.002</v>
      </c>
      <c r="L32" s="10" t="str">
        <f ca="1">IFERROR(__xludf.DUMMYFUNCTION("VLOOKUP(K32, IMPORTRANGE(""https://docs.google.com/spreadsheets/d/1yDAaXNsi4Mr5FtRQL4tbmSdIzhx6_m4wkOD7IG-k_eo/edit#gid=0"", ""Maths!M:N""), 2, FALSE)"),"Describe the properties of multiple of a number")</f>
        <v>Describe the properties of multiple of a number</v>
      </c>
      <c r="M32" s="10" t="str">
        <f t="shared" si="2"/>
        <v>LU000193.003</v>
      </c>
      <c r="N32" s="10" t="str">
        <f ca="1">IFERROR(__xludf.DUMMYFUNCTION("VLOOKUP(M32, IMPORTRANGE(""https://docs.google.com/spreadsheets/d/1yDAaXNsi4Mr5FtRQL4tbmSdIzhx6_m4wkOD7IG-k_eo/edit#gid=0"", ""Maths!M:N""), 2, FALSE)"),"Solve real-world and arithmetic problems employing the concept of multiples.")</f>
        <v>Solve real-world and arithmetic problems employing the concept of multiples.</v>
      </c>
      <c r="O32" s="10" t="str">
        <f t="shared" si="3"/>
        <v>LU000193.004</v>
      </c>
      <c r="P32" s="10" t="str">
        <f ca="1">IFERROR(__xludf.DUMMYFUNCTION("VLOOKUP(O32, IMPORTRANGE(""https://docs.google.com/spreadsheets/d/1yDAaXNsi4Mr5FtRQL4tbmSdIzhx6_m4wkOD7IG-k_eo/edit#gid=0"", ""Maths!M:N""), 2, FALSE)"),"Determine the relationship between common multiples.")</f>
        <v>Determine the relationship between common multiples.</v>
      </c>
      <c r="Q32" s="10" t="str">
        <f t="shared" si="4"/>
        <v>LU000193.005</v>
      </c>
      <c r="R32" s="10" t="str">
        <f ca="1">IFERROR(__xludf.DUMMYFUNCTION("VLOOKUP(Q32, IMPORTRANGE(""https://docs.google.com/spreadsheets/d/1yDAaXNsi4Mr5FtRQL4tbmSdIzhx6_m4wkOD7IG-k_eo/edit#gid=0"", ""Maths!M:N""), 2, FALSE)"),"#N/A")</f>
        <v>#N/A</v>
      </c>
      <c r="S32" s="10" t="str">
        <f t="shared" si="5"/>
        <v>LU000193.006</v>
      </c>
      <c r="T32" s="10" t="str">
        <f ca="1">IFERROR(__xludf.DUMMYFUNCTION("VLOOKUP(S32, IMPORTRANGE(""https://docs.google.com/spreadsheets/d/1yDAaXNsi4Mr5FtRQL4tbmSdIzhx6_m4wkOD7IG-k_eo/edit#gid=0"", ""Maths!M:N""), 2, FALSE)"),"Create visuals illustrating multiples and their practical applications.")</f>
        <v>Create visuals illustrating multiples and their practical applications.</v>
      </c>
      <c r="U32" s="11">
        <f ca="1">IFERROR(__xludf.DUMMYFUNCTION("ArrayFormula(VLOOKUP(G32, IMPORTRANGE(""https://docs.google.com/spreadsheets/d/1p7R4vtkWt5VOBim4ltsDG9KTzSjrtKXsMtQGXPHyND0/edit#gid=795171502"", ""'Filter 30_05_2024'!A1:M2000""), {2, 3, 4, 5,6,7,8,9,10,11,12,13}, 0))"),5)</f>
        <v>5</v>
      </c>
      <c r="V32" s="11">
        <f ca="1">IFERROR(__xludf.DUMMYFUNCTION("""COMPUTED_VALUE"""),6)</f>
        <v>6</v>
      </c>
      <c r="W32" s="11">
        <f ca="1">IFERROR(__xludf.DUMMYFUNCTION("""COMPUTED_VALUE"""),2)</f>
        <v>2</v>
      </c>
      <c r="X32" s="11">
        <f ca="1">IFERROR(__xludf.DUMMYFUNCTION("""COMPUTED_VALUE"""),13)</f>
        <v>13</v>
      </c>
      <c r="Y32" s="11">
        <f ca="1">IFERROR(__xludf.DUMMYFUNCTION("""COMPUTED_VALUE"""),5)</f>
        <v>5</v>
      </c>
      <c r="Z32" s="29">
        <f ca="1">IFERROR(__xludf.DUMMYFUNCTION("""COMPUTED_VALUE"""),6)</f>
        <v>6</v>
      </c>
      <c r="AA32" s="29">
        <f ca="1">IFERROR(__xludf.DUMMYFUNCTION("""COMPUTED_VALUE"""),1)</f>
        <v>1</v>
      </c>
      <c r="AB32" s="12">
        <f ca="1">IFERROR(__xludf.DUMMYFUNCTION("""COMPUTED_VALUE"""),12)</f>
        <v>12</v>
      </c>
      <c r="AC32" s="12"/>
      <c r="AD32" s="12"/>
      <c r="AE32" s="12"/>
      <c r="AF32" s="12"/>
      <c r="AG32" s="13" t="str">
        <f ca="1">IFERROR(__xludf.DUMMYFUNCTION("ArrayFormula(VLOOKUP(G32, IMPORTRANGE(""https://docs.google.com/spreadsheets/d/1Co934fvtviyaRiMsrIlT05Jaq7iiYq07aLvRr35KA48/edit?gid=173865642#gid=173865642"", ""'G6_Maths_Pri_LU'!G2:V2000""), {3, 4, 5, 6, 7, 8, 9, 10, 11, 12, 13, 14, 15, 16}, 0))"),"")</f>
        <v/>
      </c>
      <c r="AH32" s="13"/>
      <c r="AI32" s="13"/>
      <c r="AJ32" s="13"/>
      <c r="AK32" s="13"/>
      <c r="AL32" s="13"/>
      <c r="AM32" s="13"/>
      <c r="AN32" s="13"/>
      <c r="AO32" s="13"/>
      <c r="AP32" s="13"/>
      <c r="AQ32" s="13"/>
      <c r="AR32" s="13"/>
      <c r="AS32" s="13"/>
      <c r="AT32" s="13"/>
    </row>
    <row r="33" spans="1:46">
      <c r="A33" s="8" t="s">
        <v>247</v>
      </c>
      <c r="B33" s="8" t="s">
        <v>47</v>
      </c>
      <c r="C33" s="8" t="s">
        <v>48</v>
      </c>
      <c r="D33" s="8" t="s">
        <v>49</v>
      </c>
      <c r="E33" s="8" t="s">
        <v>286</v>
      </c>
      <c r="F33" s="21" t="s">
        <v>287</v>
      </c>
      <c r="G33" s="8" t="s">
        <v>133</v>
      </c>
      <c r="H33" s="8" t="str">
        <f ca="1">IFERROR(__xludf.DUMMYFUNCTION("VLOOKUP(G33, IMPORTRANGE(""https://docs.google.com/spreadsheets/d/14deopnvwcrKtEGCKuYXdUHJbeLDZlkiSSWWT0g7x2pM/edit#gid=999382323"", ""LU List Maths (Filter)!A:B""), 2, FALSE)"),"Perfect number")</f>
        <v>Perfect number</v>
      </c>
      <c r="I33" s="10" t="str">
        <f t="shared" si="0"/>
        <v>LU000194.001</v>
      </c>
      <c r="J33" s="10" t="str">
        <f ca="1">IFERROR(__xludf.DUMMYFUNCTION("VLOOKUP(I33, IMPORTRANGE(""https://docs.google.com/spreadsheets/d/1yDAaXNsi4Mr5FtRQL4tbmSdIzhx6_m4wkOD7IG-k_eo/edit#gid=0"", ""Maths!M:N""), 2, FALSE)"),"Define perfect number.")</f>
        <v>Define perfect number.</v>
      </c>
      <c r="K33" s="10" t="str">
        <f t="shared" si="1"/>
        <v>LU000194.002</v>
      </c>
      <c r="L33" s="10" t="str">
        <f ca="1">IFERROR(__xludf.DUMMYFUNCTION("VLOOKUP(K33, IMPORTRANGE(""https://docs.google.com/spreadsheets/d/1yDAaXNsi4Mr5FtRQL4tbmSdIzhx6_m4wkOD7IG-k_eo/edit#gid=0"", ""Maths!M:N""), 2, FALSE)"),"Describe the characteristics that distinguish a perfect number from other types of numbers")</f>
        <v>Describe the characteristics that distinguish a perfect number from other types of numbers</v>
      </c>
      <c r="M33" s="10" t="str">
        <f t="shared" si="2"/>
        <v>LU000194.003</v>
      </c>
      <c r="N33" s="10" t="str">
        <f ca="1">IFERROR(__xludf.DUMMYFUNCTION("VLOOKUP(M33, IMPORTRANGE(""https://docs.google.com/spreadsheets/d/1yDAaXNsi4Mr5FtRQL4tbmSdIzhx6_m4wkOD7IG-k_eo/edit#gid=0"", ""Maths!M:N""), 2, FALSE)"),"Apply the criteria for identifying perfect numbers to determine whether a given number qualifies as a perfect number")</f>
        <v>Apply the criteria for identifying perfect numbers to determine whether a given number qualifies as a perfect number</v>
      </c>
      <c r="O33" s="10" t="str">
        <f t="shared" si="3"/>
        <v>LU000194.004</v>
      </c>
      <c r="P33" s="10" t="str">
        <f ca="1">IFERROR(__xludf.DUMMYFUNCTION("VLOOKUP(O33, IMPORTRANGE(""https://docs.google.com/spreadsheets/d/1yDAaXNsi4Mr5FtRQL4tbmSdIzhx6_m4wkOD7IG-k_eo/edit#gid=0"", ""Maths!M:N""), 2, FALSE)"),"Analyse the properties of perfect numbers and identify patterns in their factors and divisors")</f>
        <v>Analyse the properties of perfect numbers and identify patterns in their factors and divisors</v>
      </c>
      <c r="Q33" s="10" t="str">
        <f t="shared" si="4"/>
        <v>LU000194.005</v>
      </c>
      <c r="R33" s="10" t="str">
        <f ca="1">IFERROR(__xludf.DUMMYFUNCTION("VLOOKUP(Q33, IMPORTRANGE(""https://docs.google.com/spreadsheets/d/1yDAaXNsi4Mr5FtRQL4tbmSdIzhx6_m4wkOD7IG-k_eo/edit#gid=0"", ""Maths!M:N""), 2, FALSE)"),"#N/A")</f>
        <v>#N/A</v>
      </c>
      <c r="S33" s="10" t="str">
        <f t="shared" si="5"/>
        <v>LU000194.006</v>
      </c>
      <c r="T33" s="10" t="str">
        <f ca="1">IFERROR(__xludf.DUMMYFUNCTION("VLOOKUP(S33, IMPORTRANGE(""https://docs.google.com/spreadsheets/d/1yDAaXNsi4Mr5FtRQL4tbmSdIzhx6_m4wkOD7IG-k_eo/edit#gid=0"", ""Maths!M:N""), 2, FALSE)"),"Create problems where students need to find perfect numbers within a specific range and verify their property.")</f>
        <v>Create problems where students need to find perfect numbers within a specific range and verify their property.</v>
      </c>
      <c r="U33" s="11">
        <f ca="1">IFERROR(__xludf.DUMMYFUNCTION("ArrayFormula(VLOOKUP(G33, IMPORTRANGE(""https://docs.google.com/spreadsheets/d/1p7R4vtkWt5VOBim4ltsDG9KTzSjrtKXsMtQGXPHyND0/edit#gid=795171502"", ""'Filter 30_05_2024'!A1:M2000""), {2, 3, 4, 5,6,7,8,9,10,11,12,13}, 0))"),6)</f>
        <v>6</v>
      </c>
      <c r="V33" s="11">
        <f ca="1">IFERROR(__xludf.DUMMYFUNCTION("""COMPUTED_VALUE"""),3)</f>
        <v>3</v>
      </c>
      <c r="W33" s="11">
        <f ca="1">IFERROR(__xludf.DUMMYFUNCTION("""COMPUTED_VALUE"""),2)</f>
        <v>2</v>
      </c>
      <c r="X33" s="11">
        <f ca="1">IFERROR(__xludf.DUMMYFUNCTION("""COMPUTED_VALUE"""),11)</f>
        <v>11</v>
      </c>
      <c r="Y33" s="11">
        <f ca="1">IFERROR(__xludf.DUMMYFUNCTION("""COMPUTED_VALUE"""),6)</f>
        <v>6</v>
      </c>
      <c r="Z33" s="29">
        <f ca="1">IFERROR(__xludf.DUMMYFUNCTION("""COMPUTED_VALUE"""),4)</f>
        <v>4</v>
      </c>
      <c r="AA33" s="29">
        <f ca="1">IFERROR(__xludf.DUMMYFUNCTION("""COMPUTED_VALUE"""),1)</f>
        <v>1</v>
      </c>
      <c r="AB33" s="12">
        <f ca="1">IFERROR(__xludf.DUMMYFUNCTION("""COMPUTED_VALUE"""),11)</f>
        <v>11</v>
      </c>
      <c r="AC33" s="12"/>
      <c r="AD33" s="12"/>
      <c r="AE33" s="12"/>
      <c r="AF33" s="12"/>
      <c r="AG33" s="13" t="str">
        <f ca="1">IFERROR(__xludf.DUMMYFUNCTION("ArrayFormula(VLOOKUP(G33, IMPORTRANGE(""https://docs.google.com/spreadsheets/d/1Co934fvtviyaRiMsrIlT05Jaq7iiYq07aLvRr35KA48/edit?gid=173865642#gid=173865642"", ""'G6_Maths_Pri_LU'!G2:V2000""), {3, 4, 5, 6, 7, 8, 9, 10, 11, 12, 13, 14, 15, 16}, 0))"),"LU000192")</f>
        <v>LU000192</v>
      </c>
      <c r="AH33" s="13" t="str">
        <f ca="1">IFERROR(__xludf.DUMMYFUNCTION("""COMPUTED_VALUE"""),"Factor of number")</f>
        <v>Factor of number</v>
      </c>
      <c r="AI33" s="13"/>
      <c r="AJ33" s="13"/>
      <c r="AK33" s="13"/>
      <c r="AL33" s="13"/>
      <c r="AM33" s="13"/>
      <c r="AN33" s="13"/>
      <c r="AO33" s="13"/>
      <c r="AP33" s="13"/>
      <c r="AQ33" s="13"/>
      <c r="AR33" s="13"/>
      <c r="AS33" s="13"/>
      <c r="AT33" s="13"/>
    </row>
    <row r="34" spans="1:46">
      <c r="A34" s="8" t="s">
        <v>247</v>
      </c>
      <c r="B34" s="8" t="s">
        <v>47</v>
      </c>
      <c r="C34" s="8" t="s">
        <v>48</v>
      </c>
      <c r="D34" s="8" t="s">
        <v>49</v>
      </c>
      <c r="E34" s="8" t="s">
        <v>286</v>
      </c>
      <c r="F34" s="8" t="s">
        <v>134</v>
      </c>
      <c r="G34" s="8" t="s">
        <v>135</v>
      </c>
      <c r="H34" s="8" t="str">
        <f ca="1">IFERROR(__xludf.DUMMYFUNCTION("VLOOKUP(G34, IMPORTRANGE(""https://docs.google.com/spreadsheets/d/14deopnvwcrKtEGCKuYXdUHJbeLDZlkiSSWWT0g7x2pM/edit#gid=999382323"", ""LU List Maths (Filter)!A:B""), 2, FALSE)"),"Prime number")</f>
        <v>Prime number</v>
      </c>
      <c r="I34" s="10" t="str">
        <f t="shared" si="0"/>
        <v>LU000195.001</v>
      </c>
      <c r="J34" s="10" t="str">
        <f ca="1">IFERROR(__xludf.DUMMYFUNCTION("VLOOKUP(I34, IMPORTRANGE(""https://docs.google.com/spreadsheets/d/1yDAaXNsi4Mr5FtRQL4tbmSdIzhx6_m4wkOD7IG-k_eo/edit#gid=0"", ""Maths!M:N""), 2, FALSE)"),"Define and list examples of prime numbers.")</f>
        <v>Define and list examples of prime numbers.</v>
      </c>
      <c r="K34" s="10" t="str">
        <f t="shared" si="1"/>
        <v>LU000195.002</v>
      </c>
      <c r="L34" s="10" t="str">
        <f ca="1">IFERROR(__xludf.DUMMYFUNCTION("VLOOKUP(K34, IMPORTRANGE(""https://docs.google.com/spreadsheets/d/1yDAaXNsi4Mr5FtRQL4tbmSdIzhx6_m4wkOD7IG-k_eo/edit#gid=0"", ""Maths!M:N""), 2, FALSE)"),"Use the key methods (like trial division, sieve of eratosthenes, prime factorisation) to determine if a number is prime.")</f>
        <v>Use the key methods (like trial division, sieve of eratosthenes, prime factorisation) to determine if a number is prime.</v>
      </c>
      <c r="M34" s="10" t="str">
        <f t="shared" si="2"/>
        <v>LU000195.003</v>
      </c>
      <c r="N34" s="10" t="str">
        <f ca="1">IFERROR(__xludf.DUMMYFUNCTION("VLOOKUP(M34, IMPORTRANGE(""https://docs.google.com/spreadsheets/d/1yDAaXNsi4Mr5FtRQL4tbmSdIzhx6_m4wkOD7IG-k_eo/edit#gid=0"", ""Maths!M:N""), 2, FALSE)"),"Apply the concept of prime numbers to identify prime numbers from a list of given numbers.")</f>
        <v>Apply the concept of prime numbers to identify prime numbers from a list of given numbers.</v>
      </c>
      <c r="O34" s="10" t="str">
        <f t="shared" si="3"/>
        <v>LU000195.004</v>
      </c>
      <c r="P34" s="10" t="str">
        <f ca="1">IFERROR(__xludf.DUMMYFUNCTION("VLOOKUP(O34, IMPORTRANGE(""https://docs.google.com/spreadsheets/d/1yDAaXNsi4Mr5FtRQL4tbmSdIzhx6_m4wkOD7IG-k_eo/edit#gid=0"", ""Maths!M:N""), 2, FALSE)"),"Recognise that prime numbers are the fundamental components of various composite numbers.")</f>
        <v>Recognise that prime numbers are the fundamental components of various composite numbers.</v>
      </c>
      <c r="Q34" s="10" t="str">
        <f t="shared" si="4"/>
        <v>LU000195.005</v>
      </c>
      <c r="R34" s="10" t="str">
        <f ca="1">IFERROR(__xludf.DUMMYFUNCTION("VLOOKUP(Q34, IMPORTRANGE(""https://docs.google.com/spreadsheets/d/1yDAaXNsi4Mr5FtRQL4tbmSdIzhx6_m4wkOD7IG-k_eo/edit#gid=0"", ""Maths!M:N""), 2, FALSE)"),"Evaluate the significance of prime numbers in cryptography")</f>
        <v>Evaluate the significance of prime numbers in cryptography</v>
      </c>
      <c r="S34" s="10" t="str">
        <f t="shared" si="5"/>
        <v>LU000195.006</v>
      </c>
      <c r="T34" s="10" t="str">
        <f ca="1">IFERROR(__xludf.DUMMYFUNCTION("VLOOKUP(S34, IMPORTRANGE(""https://docs.google.com/spreadsheets/d/1yDAaXNsi4Mr5FtRQL4tbmSdIzhx6_m4wkOD7IG-k_eo/edit#gid=0"", ""Maths!M:N""), 2, FALSE)"),"Create a list of prime numbers within a specific range using knowledge of their unique divisibility property")</f>
        <v>Create a list of prime numbers within a specific range using knowledge of their unique divisibility property</v>
      </c>
      <c r="U34" s="11">
        <f ca="1">IFERROR(__xludf.DUMMYFUNCTION("ArrayFormula(VLOOKUP(G34, IMPORTRANGE(""https://docs.google.com/spreadsheets/d/1p7R4vtkWt5VOBim4ltsDG9KTzSjrtKXsMtQGXPHyND0/edit#gid=795171502"", ""'Filter 30_05_2024'!A1:M2000""), {2, 3, 4, 5,6,7,8,9,10,11,12,13}, 0))"),6)</f>
        <v>6</v>
      </c>
      <c r="V34" s="11">
        <f ca="1">IFERROR(__xludf.DUMMYFUNCTION("""COMPUTED_VALUE"""),6)</f>
        <v>6</v>
      </c>
      <c r="W34" s="11">
        <f ca="1">IFERROR(__xludf.DUMMYFUNCTION("""COMPUTED_VALUE"""),2)</f>
        <v>2</v>
      </c>
      <c r="X34" s="11">
        <f ca="1">IFERROR(__xludf.DUMMYFUNCTION("""COMPUTED_VALUE"""),14)</f>
        <v>14</v>
      </c>
      <c r="Y34" s="11">
        <f ca="1">IFERROR(__xludf.DUMMYFUNCTION("""COMPUTED_VALUE"""),5)</f>
        <v>5</v>
      </c>
      <c r="Z34" s="29">
        <f ca="1">IFERROR(__xludf.DUMMYFUNCTION("""COMPUTED_VALUE"""),2)</f>
        <v>2</v>
      </c>
      <c r="AA34" s="29">
        <f ca="1">IFERROR(__xludf.DUMMYFUNCTION("""COMPUTED_VALUE"""),1)</f>
        <v>1</v>
      </c>
      <c r="AB34" s="12">
        <f ca="1">IFERROR(__xludf.DUMMYFUNCTION("""COMPUTED_VALUE"""),8)</f>
        <v>8</v>
      </c>
      <c r="AC34" s="12"/>
      <c r="AD34" s="12"/>
      <c r="AE34" s="12"/>
      <c r="AF34" s="12"/>
      <c r="AG34" s="13" t="str">
        <f ca="1">IFERROR(__xludf.DUMMYFUNCTION("ArrayFormula(VLOOKUP(G34, IMPORTRANGE(""https://docs.google.com/spreadsheets/d/1Co934fvtviyaRiMsrIlT05Jaq7iiYq07aLvRr35KA48/edit?gid=173865642#gid=173865642"", ""'G6_Maths_Pri_LU'!G2:V2000""), {3, 4, 5, 6, 7, 8, 9, 10, 11, 12, 13, 14, 15, 16}, 0))"),"LU000192")</f>
        <v>LU000192</v>
      </c>
      <c r="AH34" s="13" t="str">
        <f ca="1">IFERROR(__xludf.DUMMYFUNCTION("""COMPUTED_VALUE"""),"Factor of number")</f>
        <v>Factor of number</v>
      </c>
      <c r="AI34" s="13"/>
      <c r="AJ34" s="13"/>
      <c r="AK34" s="13"/>
      <c r="AL34" s="13"/>
      <c r="AM34" s="13"/>
      <c r="AN34" s="13"/>
      <c r="AO34" s="13"/>
      <c r="AP34" s="13"/>
      <c r="AQ34" s="13"/>
      <c r="AR34" s="13"/>
      <c r="AS34" s="13"/>
      <c r="AT34" s="13"/>
    </row>
    <row r="35" spans="1:46">
      <c r="A35" s="8" t="s">
        <v>247</v>
      </c>
      <c r="B35" s="8" t="s">
        <v>47</v>
      </c>
      <c r="C35" s="8" t="s">
        <v>48</v>
      </c>
      <c r="D35" s="8" t="s">
        <v>49</v>
      </c>
      <c r="E35" s="8" t="s">
        <v>286</v>
      </c>
      <c r="F35" s="8" t="s">
        <v>134</v>
      </c>
      <c r="G35" s="8" t="s">
        <v>136</v>
      </c>
      <c r="H35" s="8" t="str">
        <f ca="1">IFERROR(__xludf.DUMMYFUNCTION("VLOOKUP(G35, IMPORTRANGE(""https://docs.google.com/spreadsheets/d/14deopnvwcrKtEGCKuYXdUHJbeLDZlkiSSWWT0g7x2pM/edit#gid=999382323"", ""LU List Maths (Filter)!A:B""), 2, FALSE)"),"Composite number")</f>
        <v>Composite number</v>
      </c>
      <c r="I35" s="10" t="str">
        <f t="shared" si="0"/>
        <v>LU000196.001</v>
      </c>
      <c r="J35" s="10" t="str">
        <f ca="1">IFERROR(__xludf.DUMMYFUNCTION("VLOOKUP(I35, IMPORTRANGE(""https://docs.google.com/spreadsheets/d/1yDAaXNsi4Mr5FtRQL4tbmSdIzhx6_m4wkOD7IG-k_eo/edit#gid=0"", ""Maths!M:N""), 2, FALSE)"),"Define and list examples of composite numbers.")</f>
        <v>Define and list examples of composite numbers.</v>
      </c>
      <c r="K35" s="10" t="str">
        <f t="shared" si="1"/>
        <v>LU000196.002</v>
      </c>
      <c r="L35" s="10" t="str">
        <f ca="1">IFERROR(__xludf.DUMMYFUNCTION("VLOOKUP(K35, IMPORTRANGE(""https://docs.google.com/spreadsheets/d/1yDAaXNsi4Mr5FtRQL4tbmSdIzhx6_m4wkOD7IG-k_eo/edit#gid=0"", ""Maths!M:N""), 2, FALSE)"),"Use the key methods (like trial division, sieve of eratosthenes, prime factorisation) to determine if a number is composite.")</f>
        <v>Use the key methods (like trial division, sieve of eratosthenes, prime factorisation) to determine if a number is composite.</v>
      </c>
      <c r="M35" s="10" t="str">
        <f t="shared" si="2"/>
        <v>LU000196.003</v>
      </c>
      <c r="N35" s="10" t="str">
        <f ca="1">IFERROR(__xludf.DUMMYFUNCTION("VLOOKUP(M35, IMPORTRANGE(""https://docs.google.com/spreadsheets/d/1yDAaXNsi4Mr5FtRQL4tbmSdIzhx6_m4wkOD7IG-k_eo/edit#gid=0"", ""Maths!M:N""), 2, FALSE)"),"Apply the concept of having more than two divisors to identify composite numbers.")</f>
        <v>Apply the concept of having more than two divisors to identify composite numbers.</v>
      </c>
      <c r="O35" s="10" t="str">
        <f t="shared" si="3"/>
        <v>LU000196.004</v>
      </c>
      <c r="P35" s="10" t="str">
        <f ca="1">IFERROR(__xludf.DUMMYFUNCTION("VLOOKUP(O35, IMPORTRANGE(""https://docs.google.com/spreadsheets/d/1yDAaXNsi4Mr5FtRQL4tbmSdIzhx6_m4wkOD7IG-k_eo/edit#gid=0"", ""Maths!M:N""), 2, FALSE)"),"Analyse the characteristics that differentiate composite numbers from prime numbers, focusing on their divisors.")</f>
        <v>Analyse the characteristics that differentiate composite numbers from prime numbers, focusing on their divisors.</v>
      </c>
      <c r="Q35" s="10" t="str">
        <f t="shared" si="4"/>
        <v>LU000196.005</v>
      </c>
      <c r="R35" s="10" t="str">
        <f ca="1">IFERROR(__xludf.DUMMYFUNCTION("VLOOKUP(Q35, IMPORTRANGE(""https://docs.google.com/spreadsheets/d/1yDAaXNsi4Mr5FtRQL4tbmSdIzhx6_m4wkOD7IG-k_eo/edit#gid=0"", ""Maths!M:N""), 2, FALSE)"),"Evaluate how identifying composite numbers helps in finding common factors.")</f>
        <v>Evaluate how identifying composite numbers helps in finding common factors.</v>
      </c>
      <c r="S35" s="10" t="str">
        <f t="shared" si="5"/>
        <v>LU000196.006</v>
      </c>
      <c r="T35" s="10" t="str">
        <f ca="1">IFERROR(__xludf.DUMMYFUNCTION("VLOOKUP(S35, IMPORTRANGE(""https://docs.google.com/spreadsheets/d/1yDAaXNsi4Mr5FtRQL4tbmSdIzhx6_m4wkOD7IG-k_eo/edit#gid=0"", ""Maths!M:N""), 2, FALSE)"),"Create a list of composite numbers within a given range by recognizing their multiple divisors.")</f>
        <v>Create a list of composite numbers within a given range by recognizing their multiple divisors.</v>
      </c>
      <c r="U35" s="11">
        <f ca="1">IFERROR(__xludf.DUMMYFUNCTION("ArrayFormula(VLOOKUP(G35, IMPORTRANGE(""https://docs.google.com/spreadsheets/d/1p7R4vtkWt5VOBim4ltsDG9KTzSjrtKXsMtQGXPHyND0/edit#gid=795171502"", ""'Filter 30_05_2024'!A1:M2000""), {2, 3, 4, 5,6,7,8,9,10,11,12,13}, 0))"),7)</f>
        <v>7</v>
      </c>
      <c r="V35" s="11">
        <f ca="1">IFERROR(__xludf.DUMMYFUNCTION("""COMPUTED_VALUE"""),7)</f>
        <v>7</v>
      </c>
      <c r="W35" s="11">
        <f ca="1">IFERROR(__xludf.DUMMYFUNCTION("""COMPUTED_VALUE"""),2)</f>
        <v>2</v>
      </c>
      <c r="X35" s="11">
        <f ca="1">IFERROR(__xludf.DUMMYFUNCTION("""COMPUTED_VALUE"""),16)</f>
        <v>16</v>
      </c>
      <c r="Y35" s="11">
        <f ca="1">IFERROR(__xludf.DUMMYFUNCTION("""COMPUTED_VALUE"""),4)</f>
        <v>4</v>
      </c>
      <c r="Z35" s="29">
        <f ca="1">IFERROR(__xludf.DUMMYFUNCTION("""COMPUTED_VALUE"""),2)</f>
        <v>2</v>
      </c>
      <c r="AA35" s="29">
        <f ca="1">IFERROR(__xludf.DUMMYFUNCTION("""COMPUTED_VALUE"""),1)</f>
        <v>1</v>
      </c>
      <c r="AB35" s="12">
        <f ca="1">IFERROR(__xludf.DUMMYFUNCTION("""COMPUTED_VALUE"""),7)</f>
        <v>7</v>
      </c>
      <c r="AC35" s="12"/>
      <c r="AD35" s="12"/>
      <c r="AE35" s="12"/>
      <c r="AF35" s="12"/>
      <c r="AG35" s="13" t="str">
        <f ca="1">IFERROR(__xludf.DUMMYFUNCTION("ArrayFormula(VLOOKUP(G35, IMPORTRANGE(""https://docs.google.com/spreadsheets/d/1Co934fvtviyaRiMsrIlT05Jaq7iiYq07aLvRr35KA48/edit?gid=173865642#gid=173865642"", ""'G6_Maths_Pri_LU'!G2:V2000""), {3, 4, 5, 6, 7, 8, 9, 10, 11, 12, 13, 14, 15, 16}, 0))"),"LU000192")</f>
        <v>LU000192</v>
      </c>
      <c r="AH35" s="13" t="str">
        <f ca="1">IFERROR(__xludf.DUMMYFUNCTION("""COMPUTED_VALUE"""),"Factor of number")</f>
        <v>Factor of number</v>
      </c>
      <c r="AI35" s="13"/>
      <c r="AJ35" s="13"/>
      <c r="AK35" s="13"/>
      <c r="AL35" s="13"/>
      <c r="AM35" s="13"/>
      <c r="AN35" s="13"/>
      <c r="AO35" s="13"/>
      <c r="AP35" s="13"/>
      <c r="AQ35" s="13"/>
      <c r="AR35" s="13"/>
      <c r="AS35" s="13"/>
      <c r="AT35" s="13"/>
    </row>
    <row r="36" spans="1:46">
      <c r="A36" s="8" t="s">
        <v>247</v>
      </c>
      <c r="B36" s="8" t="s">
        <v>47</v>
      </c>
      <c r="C36" s="8" t="s">
        <v>48</v>
      </c>
      <c r="D36" s="8" t="s">
        <v>49</v>
      </c>
      <c r="E36" s="8" t="s">
        <v>286</v>
      </c>
      <c r="F36" s="8" t="s">
        <v>134</v>
      </c>
      <c r="G36" s="8" t="s">
        <v>138</v>
      </c>
      <c r="H36" s="8" t="str">
        <f ca="1">IFERROR(__xludf.DUMMYFUNCTION("VLOOKUP(G36, IMPORTRANGE(""https://docs.google.com/spreadsheets/d/14deopnvwcrKtEGCKuYXdUHJbeLDZlkiSSWWT0g7x2pM/edit#gid=999382323"", ""LU List Maths (Filter)!A:B""), 2, FALSE)"),"Twin prime numbers")</f>
        <v>Twin prime numbers</v>
      </c>
      <c r="I36" s="10" t="str">
        <f t="shared" si="0"/>
        <v>LU000213.001</v>
      </c>
      <c r="J36" s="10" t="str">
        <f ca="1">IFERROR(__xludf.DUMMYFUNCTION("VLOOKUP(I36, IMPORTRANGE(""https://docs.google.com/spreadsheets/d/1yDAaXNsi4Mr5FtRQL4tbmSdIzhx6_m4wkOD7IG-k_eo/edit#gid=0"", ""Maths!M:N""), 2, FALSE)"),"Define and list examples of twin prime numbers.")</f>
        <v>Define and list examples of twin prime numbers.</v>
      </c>
      <c r="K36" s="10" t="str">
        <f t="shared" si="1"/>
        <v>LU000213.002</v>
      </c>
      <c r="L36" s="10" t="str">
        <f ca="1">IFERROR(__xludf.DUMMYFUNCTION("VLOOKUP(K36, IMPORTRANGE(""https://docs.google.com/spreadsheets/d/1yDAaXNsi4Mr5FtRQL4tbmSdIzhx6_m4wkOD7IG-k_eo/edit#gid=0"", ""Maths!M:N""), 2, FALSE)"),"Interpret the concept of twin prime numbers and explain their characteristics")</f>
        <v>Interpret the concept of twin prime numbers and explain their characteristics</v>
      </c>
      <c r="M36" s="10" t="str">
        <f t="shared" si="2"/>
        <v>LU000213.003</v>
      </c>
      <c r="N36" s="10" t="str">
        <f ca="1">IFERROR(__xludf.DUMMYFUNCTION("VLOOKUP(M36, IMPORTRANGE(""https://docs.google.com/spreadsheets/d/1yDAaXNsi4Mr5FtRQL4tbmSdIzhx6_m4wkOD7IG-k_eo/edit#gid=0"", ""Maths!M:N""), 2, FALSE)"),"Apply the concept of twin prime numbers to identify and list pairs of twin primes within a specified range")</f>
        <v>Apply the concept of twin prime numbers to identify and list pairs of twin primes within a specified range</v>
      </c>
      <c r="O36" s="10" t="str">
        <f t="shared" si="3"/>
        <v>LU000213.004</v>
      </c>
      <c r="P36" s="10" t="str">
        <f ca="1">IFERROR(__xludf.DUMMYFUNCTION("VLOOKUP(O36, IMPORTRANGE(""https://docs.google.com/spreadsheets/d/1yDAaXNsi4Mr5FtRQL4tbmSdIzhx6_m4wkOD7IG-k_eo/edit#gid=0"", ""Maths!M:N""), 2, FALSE)"),"Analyse the properties of twin prime numbers and explore their occurrence and patterns in the sequence of prime numbers.")</f>
        <v>Analyse the properties of twin prime numbers and explore their occurrence and patterns in the sequence of prime numbers.</v>
      </c>
      <c r="Q36" s="10" t="str">
        <f t="shared" si="4"/>
        <v>LU000213.005</v>
      </c>
      <c r="R36" s="10" t="str">
        <f ca="1">IFERROR(__xludf.DUMMYFUNCTION("VLOOKUP(Q36, IMPORTRANGE(""https://docs.google.com/spreadsheets/d/1yDAaXNsi4Mr5FtRQL4tbmSdIzhx6_m4wkOD7IG-k_eo/edit#gid=0"", ""Maths!M:N""), 2, FALSE)"),"Assess the relationship between twin prime numbers and the distribution of prime numbers.")</f>
        <v>Assess the relationship between twin prime numbers and the distribution of prime numbers.</v>
      </c>
      <c r="S36" s="10" t="str">
        <f t="shared" si="5"/>
        <v>LU000213.006</v>
      </c>
      <c r="T36" s="10" t="str">
        <f ca="1">IFERROR(__xludf.DUMMYFUNCTION("VLOOKUP(S36, IMPORTRANGE(""https://docs.google.com/spreadsheets/d/1yDAaXNsi4Mr5FtRQL4tbmSdIzhx6_m4wkOD7IG-k_eo/edit#gid=0"", ""Maths!M:N""), 2, FALSE)"),"Create a list of numbers and task peers with identifying twin prime pairs, showcasing their ability to spot prime pairs with a fixed difference")</f>
        <v>Create a list of numbers and task peers with identifying twin prime pairs, showcasing their ability to spot prime pairs with a fixed difference</v>
      </c>
      <c r="U36" s="11">
        <f ca="1">IFERROR(__xludf.DUMMYFUNCTION("ArrayFormula(VLOOKUP(G36, IMPORTRANGE(""https://docs.google.com/spreadsheets/d/1p7R4vtkWt5VOBim4ltsDG9KTzSjrtKXsMtQGXPHyND0/edit#gid=795171502"", ""'Filter 30_05_2024'!A1:M2000""), {2, 3, 4, 5,6,7,8,9,10,11,12,13}, 0))"),5)</f>
        <v>5</v>
      </c>
      <c r="V36" s="11">
        <f ca="1">IFERROR(__xludf.DUMMYFUNCTION("""COMPUTED_VALUE"""),6)</f>
        <v>6</v>
      </c>
      <c r="W36" s="11">
        <f ca="1">IFERROR(__xludf.DUMMYFUNCTION("""COMPUTED_VALUE"""),2)</f>
        <v>2</v>
      </c>
      <c r="X36" s="11">
        <f ca="1">IFERROR(__xludf.DUMMYFUNCTION("""COMPUTED_VALUE"""),13)</f>
        <v>13</v>
      </c>
      <c r="Y36" s="11">
        <f ca="1">IFERROR(__xludf.DUMMYFUNCTION("""COMPUTED_VALUE"""),4)</f>
        <v>4</v>
      </c>
      <c r="Z36" s="29">
        <f ca="1">IFERROR(__xludf.DUMMYFUNCTION("""COMPUTED_VALUE"""),3)</f>
        <v>3</v>
      </c>
      <c r="AA36" s="29">
        <f ca="1">IFERROR(__xludf.DUMMYFUNCTION("""COMPUTED_VALUE"""),1)</f>
        <v>1</v>
      </c>
      <c r="AB36" s="12">
        <f ca="1">IFERROR(__xludf.DUMMYFUNCTION("""COMPUTED_VALUE"""),8)</f>
        <v>8</v>
      </c>
      <c r="AC36" s="12"/>
      <c r="AD36" s="12"/>
      <c r="AE36" s="12"/>
      <c r="AF36" s="12"/>
      <c r="AG36" s="13" t="str">
        <f ca="1">IFERROR(__xludf.DUMMYFUNCTION("ArrayFormula(VLOOKUP(G36, IMPORTRANGE(""https://docs.google.com/spreadsheets/d/1Co934fvtviyaRiMsrIlT05Jaq7iiYq07aLvRr35KA48/edit?gid=173865642#gid=173865642"", ""'G6_Maths_Pri_LU'!G2:V2000""), {3, 4, 5, 6, 7, 8, 9, 10, 11, 12, 13, 14, 15, 16}, 0))"),"LU000195")</f>
        <v>LU000195</v>
      </c>
      <c r="AH36" s="13" t="str">
        <f ca="1">IFERROR(__xludf.DUMMYFUNCTION("""COMPUTED_VALUE"""),"Prime number")</f>
        <v>Prime number</v>
      </c>
      <c r="AI36" s="13" t="str">
        <f ca="1">IFERROR(__xludf.DUMMYFUNCTION("""COMPUTED_VALUE"""),"LU000192")</f>
        <v>LU000192</v>
      </c>
      <c r="AJ36" s="13" t="str">
        <f ca="1">IFERROR(__xludf.DUMMYFUNCTION("""COMPUTED_VALUE"""),"Factor of number")</f>
        <v>Factor of number</v>
      </c>
      <c r="AK36" s="13"/>
      <c r="AL36" s="13"/>
      <c r="AM36" s="13"/>
      <c r="AN36" s="13"/>
      <c r="AO36" s="13"/>
      <c r="AP36" s="13"/>
      <c r="AQ36" s="13"/>
      <c r="AR36" s="13"/>
      <c r="AS36" s="13"/>
      <c r="AT36" s="13"/>
    </row>
    <row r="37" spans="1:46">
      <c r="A37" s="8" t="s">
        <v>247</v>
      </c>
      <c r="B37" s="8" t="s">
        <v>47</v>
      </c>
      <c r="C37" s="8" t="s">
        <v>48</v>
      </c>
      <c r="D37" s="8" t="s">
        <v>49</v>
      </c>
      <c r="E37" s="8" t="s">
        <v>286</v>
      </c>
      <c r="F37" s="8" t="s">
        <v>288</v>
      </c>
      <c r="G37" s="8" t="s">
        <v>289</v>
      </c>
      <c r="H37" s="8" t="str">
        <f ca="1">IFERROR(__xludf.DUMMYFUNCTION("VLOOKUP(G37, IMPORTRANGE(""https://docs.google.com/spreadsheets/d/14deopnvwcrKtEGCKuYXdUHJbeLDZlkiSSWWT0g7x2pM/edit#gid=999382323"", ""LU List Maths (Filter)!A:B""), 2, FALSE)"),"Even number")</f>
        <v>Even number</v>
      </c>
      <c r="I37" s="10" t="str">
        <f t="shared" si="0"/>
        <v>LU000197.001</v>
      </c>
      <c r="J37" s="10" t="str">
        <f ca="1">IFERROR(__xludf.DUMMYFUNCTION("VLOOKUP(I37, IMPORTRANGE(""https://docs.google.com/spreadsheets/d/1yDAaXNsi4Mr5FtRQL4tbmSdIzhx6_m4wkOD7IG-k_eo/edit#gid=0"", ""Maths!M:N""), 2, FALSE)"),"Define and list examples of even numbers.")</f>
        <v>Define and list examples of even numbers.</v>
      </c>
      <c r="K37" s="10" t="str">
        <f t="shared" si="1"/>
        <v>LU000197.002</v>
      </c>
      <c r="L37" s="10" t="str">
        <f ca="1">IFERROR(__xludf.DUMMYFUNCTION("VLOOKUP(K37, IMPORTRANGE(""https://docs.google.com/spreadsheets/d/1yDAaXNsi4Mr5FtRQL4tbmSdIzhx6_m4wkOD7IG-k_eo/edit#gid=0"", ""Maths!M:N""), 2, FALSE)"),"Deduce that even numbers are characterised by having a digit in the one's place that is 0, 2, 4, 6, or 8")</f>
        <v>Deduce that even numbers are characterised by having a digit in the one's place that is 0, 2, 4, 6, or 8</v>
      </c>
      <c r="M37" s="10" t="str">
        <f t="shared" si="2"/>
        <v>LU000197.003</v>
      </c>
      <c r="N37" s="10" t="str">
        <f ca="1">IFERROR(__xludf.DUMMYFUNCTION("VLOOKUP(M37, IMPORTRANGE(""https://docs.google.com/spreadsheets/d/1yDAaXNsi4Mr5FtRQL4tbmSdIzhx6_m4wkOD7IG-k_eo/edit#gid=0"", ""Maths!M:N""), 2, FALSE)"),"Identify even numbers quickly by dividing the number by 2.")</f>
        <v>Identify even numbers quickly by dividing the number by 2.</v>
      </c>
      <c r="O37" s="10" t="str">
        <f t="shared" si="3"/>
        <v>LU000197.004</v>
      </c>
      <c r="P37" s="10" t="str">
        <f ca="1">IFERROR(__xludf.DUMMYFUNCTION("VLOOKUP(O37, IMPORTRANGE(""https://docs.google.com/spreadsheets/d/1yDAaXNsi4Mr5FtRQL4tbmSdIzhx6_m4wkOD7IG-k_eo/edit#gid=0"", ""Maths!M:N""), 2, FALSE)"),"Analyse the patterns related to the sum of even and odd numbers")</f>
        <v>Analyse the patterns related to the sum of even and odd numbers</v>
      </c>
      <c r="Q37" s="10" t="str">
        <f t="shared" si="4"/>
        <v>LU000197.005</v>
      </c>
      <c r="R37" s="10" t="str">
        <f ca="1">IFERROR(__xludf.DUMMYFUNCTION("VLOOKUP(Q37, IMPORTRANGE(""https://docs.google.com/spreadsheets/d/1yDAaXNsi4Mr5FtRQL4tbmSdIzhx6_m4wkOD7IG-k_eo/edit#gid=0"", ""Maths!M:N""), 2, FALSE)"),"Evaluate the significance of even numbers in relation to odd numbers and their characteristics.")</f>
        <v>Evaluate the significance of even numbers in relation to odd numbers and their characteristics.</v>
      </c>
      <c r="S37" s="10" t="str">
        <f t="shared" si="5"/>
        <v>LU000197.006</v>
      </c>
      <c r="T37" s="10" t="str">
        <f ca="1">IFERROR(__xludf.DUMMYFUNCTION("VLOOKUP(S37, IMPORTRANGE(""https://docs.google.com/spreadsheets/d/1yDAaXNsi4Mr5FtRQL4tbmSdIzhx6_m4wkOD7IG-k_eo/edit#gid=0"", ""Maths!M:N""), 2, FALSE)"),"Devise a set of mathematical puzzles or problems that involve even numbers, identify patterns and relationships involving even numbers")</f>
        <v>Devise a set of mathematical puzzles or problems that involve even numbers, identify patterns and relationships involving even numbers</v>
      </c>
      <c r="U37" s="11">
        <f ca="1">IFERROR(__xludf.DUMMYFUNCTION("ArrayFormula(VLOOKUP(G37, IMPORTRANGE(""https://docs.google.com/spreadsheets/d/1p7R4vtkWt5VOBim4ltsDG9KTzSjrtKXsMtQGXPHyND0/edit#gid=795171502"", ""'Filter 30_05_2024'!A1:M2000""), {2, 3, 4, 5,6,7,8,9,10,11,12,13}, 0))"),4)</f>
        <v>4</v>
      </c>
      <c r="V37" s="11">
        <f ca="1">IFERROR(__xludf.DUMMYFUNCTION("""COMPUTED_VALUE"""),6)</f>
        <v>6</v>
      </c>
      <c r="W37" s="11">
        <f ca="1">IFERROR(__xludf.DUMMYFUNCTION("""COMPUTED_VALUE"""),5)</f>
        <v>5</v>
      </c>
      <c r="X37" s="11">
        <f ca="1">IFERROR(__xludf.DUMMYFUNCTION("""COMPUTED_VALUE"""),15)</f>
        <v>15</v>
      </c>
      <c r="Y37" s="11">
        <f ca="1">IFERROR(__xludf.DUMMYFUNCTION("""COMPUTED_VALUE"""),4)</f>
        <v>4</v>
      </c>
      <c r="Z37" s="29">
        <f ca="1">IFERROR(__xludf.DUMMYFUNCTION("""COMPUTED_VALUE"""),3)</f>
        <v>3</v>
      </c>
      <c r="AA37" s="29">
        <f ca="1">IFERROR(__xludf.DUMMYFUNCTION("""COMPUTED_VALUE"""),2)</f>
        <v>2</v>
      </c>
      <c r="AB37" s="12">
        <f ca="1">IFERROR(__xludf.DUMMYFUNCTION("""COMPUTED_VALUE"""),9)</f>
        <v>9</v>
      </c>
      <c r="AC37" s="12"/>
      <c r="AD37" s="12"/>
      <c r="AE37" s="12"/>
      <c r="AF37" s="12"/>
      <c r="AG37" s="13" t="str">
        <f ca="1">IFERROR(__xludf.DUMMYFUNCTION("ArrayFormula(VLOOKUP(G37, IMPORTRANGE(""https://docs.google.com/spreadsheets/d/1Co934fvtviyaRiMsrIlT05Jaq7iiYq07aLvRr35KA48/edit?gid=173865642#gid=173865642"", ""'G6_Maths_Pri_LU'!G2:V2000""), {3, 4, 5, 6, 7, 8, 9, 10, 11, 12, 13, 14, 15, 16}, 0))"),"")</f>
        <v/>
      </c>
      <c r="AH37" s="13"/>
      <c r="AI37" s="13"/>
      <c r="AJ37" s="13"/>
      <c r="AK37" s="13"/>
      <c r="AL37" s="13"/>
      <c r="AM37" s="13"/>
      <c r="AN37" s="13"/>
      <c r="AO37" s="13"/>
      <c r="AP37" s="13"/>
      <c r="AQ37" s="13"/>
      <c r="AR37" s="13"/>
      <c r="AS37" s="13"/>
      <c r="AT37" s="13"/>
    </row>
    <row r="38" spans="1:46">
      <c r="A38" s="8" t="s">
        <v>247</v>
      </c>
      <c r="B38" s="8" t="s">
        <v>47</v>
      </c>
      <c r="C38" s="8" t="s">
        <v>48</v>
      </c>
      <c r="D38" s="8" t="s">
        <v>49</v>
      </c>
      <c r="E38" s="8" t="s">
        <v>286</v>
      </c>
      <c r="F38" s="8" t="s">
        <v>288</v>
      </c>
      <c r="G38" s="8" t="s">
        <v>290</v>
      </c>
      <c r="H38" s="8" t="str">
        <f ca="1">IFERROR(__xludf.DUMMYFUNCTION("VLOOKUP(G38, IMPORTRANGE(""https://docs.google.com/spreadsheets/d/14deopnvwcrKtEGCKuYXdUHJbeLDZlkiSSWWT0g7x2pM/edit#gid=999382323"", ""LU List Maths (Filter)!A:B""), 2, FALSE)"),"Odd number")</f>
        <v>Odd number</v>
      </c>
      <c r="I38" s="10" t="str">
        <f t="shared" si="0"/>
        <v>LU000198.001</v>
      </c>
      <c r="J38" s="10" t="str">
        <f ca="1">IFERROR(__xludf.DUMMYFUNCTION("VLOOKUP(I38, IMPORTRANGE(""https://docs.google.com/spreadsheets/d/1yDAaXNsi4Mr5FtRQL4tbmSdIzhx6_m4wkOD7IG-k_eo/edit#gid=0"", ""Maths!M:N""), 2, FALSE)"),"Define and list examples of odd numbers.")</f>
        <v>Define and list examples of odd numbers.</v>
      </c>
      <c r="K38" s="10" t="str">
        <f t="shared" si="1"/>
        <v>LU000198.002</v>
      </c>
      <c r="L38" s="10" t="str">
        <f ca="1">IFERROR(__xludf.DUMMYFUNCTION("VLOOKUP(K38, IMPORTRANGE(""https://docs.google.com/spreadsheets/d/1yDAaXNsi4Mr5FtRQL4tbmSdIzhx6_m4wkOD7IG-k_eo/edit#gid=0"", ""Maths!M:N""), 2, FALSE)"),"Deduce that odd numbers are characterised by having a digit in the one's place that is 1, 3, 5, 7 or 9.")</f>
        <v>Deduce that odd numbers are characterised by having a digit in the one's place that is 1, 3, 5, 7 or 9.</v>
      </c>
      <c r="M38" s="10" t="str">
        <f t="shared" si="2"/>
        <v>LU000198.003</v>
      </c>
      <c r="N38" s="10" t="str">
        <f ca="1">IFERROR(__xludf.DUMMYFUNCTION("VLOOKUP(M38, IMPORTRANGE(""https://docs.google.com/spreadsheets/d/1yDAaXNsi4Mr5FtRQL4tbmSdIzhx6_m4wkOD7IG-k_eo/edit#gid=0"", ""Maths!M:N""), 2, FALSE)"),"Identify odd numbers from a list of numbers and give reasoning.")</f>
        <v>Identify odd numbers from a list of numbers and give reasoning.</v>
      </c>
      <c r="O38" s="10" t="str">
        <f t="shared" si="3"/>
        <v>LU000198.004</v>
      </c>
      <c r="P38" s="10" t="str">
        <f ca="1">IFERROR(__xludf.DUMMYFUNCTION("VLOOKUP(O38, IMPORTRANGE(""https://docs.google.com/spreadsheets/d/1yDAaXNsi4Mr5FtRQL4tbmSdIzhx6_m4wkOD7IG-k_eo/edit#gid=0"", ""Maths!M:N""), 2, FALSE)"),"Investigate patterns related to the sum and difference of odd numbers.")</f>
        <v>Investigate patterns related to the sum and difference of odd numbers.</v>
      </c>
      <c r="Q38" s="10" t="str">
        <f t="shared" si="4"/>
        <v>LU000198.005</v>
      </c>
      <c r="R38" s="10" t="str">
        <f ca="1">IFERROR(__xludf.DUMMYFUNCTION("VLOOKUP(Q38, IMPORTRANGE(""https://docs.google.com/spreadsheets/d/1yDAaXNsi4Mr5FtRQL4tbmSdIzhx6_m4wkOD7IG-k_eo/edit#gid=0"", ""Maths!M:N""), 2, FALSE)"),"Evaluate the role of odd numbers in real-world scenarios, such as counting objects or arranging pairs.")</f>
        <v>Evaluate the role of odd numbers in real-world scenarios, such as counting objects or arranging pairs.</v>
      </c>
      <c r="S38" s="10" t="str">
        <f t="shared" si="5"/>
        <v>LU000198.006</v>
      </c>
      <c r="T38" s="10" t="str">
        <f ca="1">IFERROR(__xludf.DUMMYFUNCTION("VLOOKUP(S38, IMPORTRANGE(""https://docs.google.com/spreadsheets/d/1yDAaXNsi4Mr5FtRQL4tbmSdIzhx6_m4wkOD7IG-k_eo/edit#gid=0"", ""Maths!M:N""), 2, FALSE)"),"Devise a set of mathematical puzzles or problems that involve odd numbers, identify patterns and relationships involving odd numbers")</f>
        <v>Devise a set of mathematical puzzles or problems that involve odd numbers, identify patterns and relationships involving odd numbers</v>
      </c>
      <c r="U38" s="11">
        <f ca="1">IFERROR(__xludf.DUMMYFUNCTION("ArrayFormula(VLOOKUP(G38, IMPORTRANGE(""https://docs.google.com/spreadsheets/d/1p7R4vtkWt5VOBim4ltsDG9KTzSjrtKXsMtQGXPHyND0/edit#gid=795171502"", ""'Filter 30_05_2024'!A1:M2000""), {2, 3, 4, 5,6,7,8,9,10,11,12,13}, 0))"),4)</f>
        <v>4</v>
      </c>
      <c r="V38" s="11">
        <f ca="1">IFERROR(__xludf.DUMMYFUNCTION("""COMPUTED_VALUE"""),4)</f>
        <v>4</v>
      </c>
      <c r="W38" s="11">
        <f ca="1">IFERROR(__xludf.DUMMYFUNCTION("""COMPUTED_VALUE"""),2)</f>
        <v>2</v>
      </c>
      <c r="X38" s="11">
        <f ca="1">IFERROR(__xludf.DUMMYFUNCTION("""COMPUTED_VALUE"""),10)</f>
        <v>10</v>
      </c>
      <c r="Y38" s="11">
        <f ca="1">IFERROR(__xludf.DUMMYFUNCTION("""COMPUTED_VALUE"""),4)</f>
        <v>4</v>
      </c>
      <c r="Z38" s="29">
        <f ca="1">IFERROR(__xludf.DUMMYFUNCTION("""COMPUTED_VALUE"""),5)</f>
        <v>5</v>
      </c>
      <c r="AA38" s="29">
        <f ca="1">IFERROR(__xludf.DUMMYFUNCTION("""COMPUTED_VALUE"""),1)</f>
        <v>1</v>
      </c>
      <c r="AB38" s="12">
        <f ca="1">IFERROR(__xludf.DUMMYFUNCTION("""COMPUTED_VALUE"""),10)</f>
        <v>10</v>
      </c>
      <c r="AC38" s="12"/>
      <c r="AD38" s="12"/>
      <c r="AE38" s="12"/>
      <c r="AF38" s="12"/>
      <c r="AG38" s="13" t="str">
        <f ca="1">IFERROR(__xludf.DUMMYFUNCTION("ArrayFormula(VLOOKUP(G38, IMPORTRANGE(""https://docs.google.com/spreadsheets/d/1Co934fvtviyaRiMsrIlT05Jaq7iiYq07aLvRr35KA48/edit?gid=173865642#gid=173865642"", ""'G6_Maths_Pri_LU'!G2:V2000""), {3, 4, 5, 6, 7, 8, 9, 10, 11, 12, 13, 14, 15, 16}, 0))"),"")</f>
        <v/>
      </c>
      <c r="AH38" s="13"/>
      <c r="AI38" s="13"/>
      <c r="AJ38" s="13"/>
      <c r="AK38" s="13"/>
      <c r="AL38" s="13"/>
      <c r="AM38" s="13"/>
      <c r="AN38" s="13"/>
      <c r="AO38" s="13"/>
      <c r="AP38" s="13"/>
      <c r="AQ38" s="13"/>
      <c r="AR38" s="13"/>
      <c r="AS38" s="13"/>
      <c r="AT38" s="13"/>
    </row>
    <row r="39" spans="1:46">
      <c r="A39" s="8" t="s">
        <v>247</v>
      </c>
      <c r="B39" s="8" t="s">
        <v>47</v>
      </c>
      <c r="C39" s="8" t="s">
        <v>48</v>
      </c>
      <c r="D39" s="8" t="s">
        <v>49</v>
      </c>
      <c r="E39" s="8" t="s">
        <v>286</v>
      </c>
      <c r="F39" s="8" t="s">
        <v>144</v>
      </c>
      <c r="G39" s="8" t="s">
        <v>147</v>
      </c>
      <c r="H39" s="8" t="str">
        <f ca="1">IFERROR(__xludf.DUMMYFUNCTION("VLOOKUP(G39, IMPORTRANGE(""https://docs.google.com/spreadsheets/d/14deopnvwcrKtEGCKuYXdUHJbeLDZlkiSSWWT0g7x2pM/edit#gid=999382323"", ""LU List Maths (Filter)!A:B""), 2, FALSE)"),"Test for divisibility by 2")</f>
        <v>Test for divisibility by 2</v>
      </c>
      <c r="I39" s="10" t="str">
        <f t="shared" si="0"/>
        <v>LU000199.001</v>
      </c>
      <c r="J39" s="10" t="str">
        <f ca="1">IFERROR(__xludf.DUMMYFUNCTION("VLOOKUP(I39, IMPORTRANGE(""https://docs.google.com/spreadsheets/d/1yDAaXNsi4Mr5FtRQL4tbmSdIzhx6_m4wkOD7IG-k_eo/edit#gid=0"", ""Maths!M:N""), 2, FALSE)"),"List the rule that a number is divisible by 2 if its last digit is even (0, 2, 4, 6, or 8)")</f>
        <v>List the rule that a number is divisible by 2 if its last digit is even (0, 2, 4, 6, or 8)</v>
      </c>
      <c r="K39" s="10" t="str">
        <f t="shared" si="1"/>
        <v>LU000199.002</v>
      </c>
      <c r="L39" s="10" t="str">
        <f ca="1">IFERROR(__xludf.DUMMYFUNCTION("VLOOKUP(K39, IMPORTRANGE(""https://docs.google.com/spreadsheets/d/1yDAaXNsi4Mr5FtRQL4tbmSdIzhx6_m4wkOD7IG-k_eo/edit#gid=0"", ""Maths!M:N""), 2, FALSE)"),"Find out the divisibility rule for 2.")</f>
        <v>Find out the divisibility rule for 2.</v>
      </c>
      <c r="M39" s="10" t="str">
        <f t="shared" si="2"/>
        <v>LU000199.003</v>
      </c>
      <c r="N39" s="10" t="str">
        <f ca="1">IFERROR(__xludf.DUMMYFUNCTION("VLOOKUP(M39, IMPORTRANGE(""https://docs.google.com/spreadsheets/d/1yDAaXNsi4Mr5FtRQL4tbmSdIzhx6_m4wkOD7IG-k_eo/edit#gid=0"", ""Maths!M:N""), 2, FALSE)"),"Apply the rule for divisibility by 2 to determine if a number is divisible by 2 or not.")</f>
        <v>Apply the rule for divisibility by 2 to determine if a number is divisible by 2 or not.</v>
      </c>
      <c r="O39" s="10" t="str">
        <f t="shared" si="3"/>
        <v>LU000199.004</v>
      </c>
      <c r="P39" s="10" t="str">
        <f ca="1">IFERROR(__xludf.DUMMYFUNCTION("VLOOKUP(O39, IMPORTRANGE(""https://docs.google.com/spreadsheets/d/1yDAaXNsi4Mr5FtRQL4tbmSdIzhx6_m4wkOD7IG-k_eo/edit#gid=0"", ""Maths!M:N""), 2, FALSE)"),"Analyse the outcome of dividing a number by 2 and its implications for even and odd numbers")</f>
        <v>Analyse the outcome of dividing a number by 2 and its implications for even and odd numbers</v>
      </c>
      <c r="Q39" s="10" t="str">
        <f t="shared" si="4"/>
        <v>LU000199.005</v>
      </c>
      <c r="R39" s="10" t="str">
        <f ca="1">IFERROR(__xludf.DUMMYFUNCTION("VLOOKUP(Q39, IMPORTRANGE(""https://docs.google.com/spreadsheets/d/1yDAaXNsi4Mr5FtRQL4tbmSdIzhx6_m4wkOD7IG-k_eo/edit#gid=0"", ""Maths!M:N""), 2, FALSE)"),"Evaluate the efficiency of using the divisibility rule for 2 in quickly identifying even and odd numbers")</f>
        <v>Evaluate the efficiency of using the divisibility rule for 2 in quickly identifying even and odd numbers</v>
      </c>
      <c r="S39" s="10" t="str">
        <f t="shared" si="5"/>
        <v>LU000199.006</v>
      </c>
      <c r="T39" s="10" t="str">
        <f ca="1">IFERROR(__xludf.DUMMYFUNCTION("VLOOKUP(S39, IMPORTRANGE(""https://docs.google.com/spreadsheets/d/1yDAaXNsi4Mr5FtRQL4tbmSdIzhx6_m4wkOD7IG-k_eo/edit#gid=0"", ""Maths!M:N""), 2, FALSE)"),"Create a set of number sequences to apply the divisibility rule by 2.")</f>
        <v>Create a set of number sequences to apply the divisibility rule by 2.</v>
      </c>
      <c r="U39" s="11">
        <f ca="1">IFERROR(__xludf.DUMMYFUNCTION("ArrayFormula(VLOOKUP(G39, IMPORTRANGE(""https://docs.google.com/spreadsheets/d/1p7R4vtkWt5VOBim4ltsDG9KTzSjrtKXsMtQGXPHyND0/edit#gid=795171502"", ""'Filter 30_05_2024'!A1:M2000""), {2, 3, 4, 5,6,7,8,9,10,11,12,13}, 0))"),4)</f>
        <v>4</v>
      </c>
      <c r="V39" s="11">
        <f ca="1">IFERROR(__xludf.DUMMYFUNCTION("""COMPUTED_VALUE"""),6)</f>
        <v>6</v>
      </c>
      <c r="W39" s="11">
        <f ca="1">IFERROR(__xludf.DUMMYFUNCTION("""COMPUTED_VALUE"""),2)</f>
        <v>2</v>
      </c>
      <c r="X39" s="11">
        <f ca="1">IFERROR(__xludf.DUMMYFUNCTION("""COMPUTED_VALUE"""),12)</f>
        <v>12</v>
      </c>
      <c r="Y39" s="11">
        <f ca="1">IFERROR(__xludf.DUMMYFUNCTION("""COMPUTED_VALUE"""),4)</f>
        <v>4</v>
      </c>
      <c r="Z39" s="29">
        <f ca="1">IFERROR(__xludf.DUMMYFUNCTION("""COMPUTED_VALUE"""),3)</f>
        <v>3</v>
      </c>
      <c r="AA39" s="29">
        <f ca="1">IFERROR(__xludf.DUMMYFUNCTION("""COMPUTED_VALUE"""),1)</f>
        <v>1</v>
      </c>
      <c r="AB39" s="12">
        <f ca="1">IFERROR(__xludf.DUMMYFUNCTION("""COMPUTED_VALUE"""),8)</f>
        <v>8</v>
      </c>
      <c r="AC39" s="12"/>
      <c r="AD39" s="12"/>
      <c r="AE39" s="12"/>
      <c r="AF39" s="12"/>
      <c r="AG39" s="13" t="str">
        <f ca="1">IFERROR(__xludf.DUMMYFUNCTION("ArrayFormula(VLOOKUP(G39, IMPORTRANGE(""https://docs.google.com/spreadsheets/d/1Co934fvtviyaRiMsrIlT05Jaq7iiYq07aLvRr35KA48/edit?gid=173865642#gid=173865642"", ""'G6_Maths_Pri_LU'!G2:V2000""), {3, 4, 5, 6, 7, 8, 9, 10, 11, 12, 13, 14, 15, 16}, 0))"),"LU000193")</f>
        <v>LU000193</v>
      </c>
      <c r="AH39" s="13" t="str">
        <f ca="1">IFERROR(__xludf.DUMMYFUNCTION("""COMPUTED_VALUE"""),"Multiple of number")</f>
        <v>Multiple of number</v>
      </c>
      <c r="AI39" s="13" t="str">
        <f ca="1">IFERROR(__xludf.DUMMYFUNCTION("""COMPUTED_VALUE"""),"LU000192")</f>
        <v>LU000192</v>
      </c>
      <c r="AJ39" s="13" t="str">
        <f ca="1">IFERROR(__xludf.DUMMYFUNCTION("""COMPUTED_VALUE"""),"Factor of number")</f>
        <v>Factor of number</v>
      </c>
      <c r="AK39" s="13"/>
      <c r="AL39" s="13"/>
      <c r="AM39" s="13"/>
      <c r="AN39" s="13"/>
      <c r="AO39" s="13"/>
      <c r="AP39" s="13"/>
      <c r="AQ39" s="13"/>
      <c r="AR39" s="13"/>
      <c r="AS39" s="13"/>
      <c r="AT39" s="13"/>
    </row>
    <row r="40" spans="1:46">
      <c r="A40" s="8" t="s">
        <v>247</v>
      </c>
      <c r="B40" s="8" t="s">
        <v>47</v>
      </c>
      <c r="C40" s="8" t="s">
        <v>48</v>
      </c>
      <c r="D40" s="8" t="s">
        <v>49</v>
      </c>
      <c r="E40" s="8" t="s">
        <v>286</v>
      </c>
      <c r="F40" s="8" t="s">
        <v>144</v>
      </c>
      <c r="G40" s="8" t="s">
        <v>146</v>
      </c>
      <c r="H40" s="8" t="str">
        <f ca="1">IFERROR(__xludf.DUMMYFUNCTION("VLOOKUP(G40, IMPORTRANGE(""https://docs.google.com/spreadsheets/d/14deopnvwcrKtEGCKuYXdUHJbeLDZlkiSSWWT0g7x2pM/edit#gid=999382323"", ""LU List Maths (Filter)!A:B""), 2, FALSE)"),"Test for divisibility by 5")</f>
        <v>Test for divisibility by 5</v>
      </c>
      <c r="I40" s="10" t="str">
        <f t="shared" si="0"/>
        <v>LU000202.001</v>
      </c>
      <c r="J40" s="10" t="str">
        <f ca="1">IFERROR(__xludf.DUMMYFUNCTION("VLOOKUP(I40, IMPORTRANGE(""https://docs.google.com/spreadsheets/d/1yDAaXNsi4Mr5FtRQL4tbmSdIzhx6_m4wkOD7IG-k_eo/edit#gid=0"", ""Maths!M:N""), 2, FALSE)"),"List the rule that a number is divisible by 5 if it has either 5 or 0 in its ones place.")</f>
        <v>List the rule that a number is divisible by 5 if it has either 5 or 0 in its ones place.</v>
      </c>
      <c r="K40" s="10" t="str">
        <f t="shared" si="1"/>
        <v>LU000202.002</v>
      </c>
      <c r="L40" s="10" t="str">
        <f ca="1">IFERROR(__xludf.DUMMYFUNCTION("VLOOKUP(K40, IMPORTRANGE(""https://docs.google.com/spreadsheets/d/1yDAaXNsi4Mr5FtRQL4tbmSdIzhx6_m4wkOD7IG-k_eo/edit#gid=0"", ""Maths!M:N""), 2, FALSE)"),"Find out the divisibility rule for 5.")</f>
        <v>Find out the divisibility rule for 5.</v>
      </c>
      <c r="M40" s="10" t="str">
        <f t="shared" si="2"/>
        <v>LU000202.003</v>
      </c>
      <c r="N40" s="10" t="str">
        <f ca="1">IFERROR(__xludf.DUMMYFUNCTION("VLOOKUP(M40, IMPORTRANGE(""https://docs.google.com/spreadsheets/d/1yDAaXNsi4Mr5FtRQL4tbmSdIzhx6_m4wkOD7IG-k_eo/edit#gid=0"", ""Maths!M:N""), 2, FALSE)"),"Apply the rule for divisibility by 5 to determine if a number is divisible by 5 or not.")</f>
        <v>Apply the rule for divisibility by 5 to determine if a number is divisible by 5 or not.</v>
      </c>
      <c r="O40" s="10" t="str">
        <f t="shared" si="3"/>
        <v>LU000202.004</v>
      </c>
      <c r="P40" s="10" t="str">
        <f ca="1">IFERROR(__xludf.DUMMYFUNCTION("VLOOKUP(O40, IMPORTRANGE(""https://docs.google.com/spreadsheets/d/1yDAaXNsi4Mr5FtRQL4tbmSdIzhx6_m4wkOD7IG-k_eo/edit#gid=0"", ""Maths!M:N""), 2, FALSE)"),"Analyse the last two digits of numbers to determine whether they meet the conditions of the divisibility rule for 5.")</f>
        <v>Analyse the last two digits of numbers to determine whether they meet the conditions of the divisibility rule for 5.</v>
      </c>
      <c r="Q40" s="10" t="str">
        <f t="shared" si="4"/>
        <v>LU000202.005</v>
      </c>
      <c r="R40" s="10" t="str">
        <f ca="1">IFERROR(__xludf.DUMMYFUNCTION("VLOOKUP(Q40, IMPORTRANGE(""https://docs.google.com/spreadsheets/d/1yDAaXNsi4Mr5FtRQL4tbmSdIzhx6_m4wkOD7IG-k_eo/edit#gid=0"", ""Maths!M:N""), 2, FALSE)"),"Evaluate the efficiency of using the divisibility rule for 5 in quickly identifying numbers divisible by 5")</f>
        <v>Evaluate the efficiency of using the divisibility rule for 5 in quickly identifying numbers divisible by 5</v>
      </c>
      <c r="S40" s="10" t="str">
        <f t="shared" si="5"/>
        <v>LU000202.006</v>
      </c>
      <c r="T40" s="10" t="str">
        <f ca="1">IFERROR(__xludf.DUMMYFUNCTION("VLOOKUP(S40, IMPORTRANGE(""https://docs.google.com/spreadsheets/d/1yDAaXNsi4Mr5FtRQL4tbmSdIzhx6_m4wkOD7IG-k_eo/edit#gid=0"", ""Maths!M:N""), 2, FALSE)"),"Create a set of number sequences to apply the divisibility rule by 5.")</f>
        <v>Create a set of number sequences to apply the divisibility rule by 5.</v>
      </c>
      <c r="U40" s="11">
        <f ca="1">IFERROR(__xludf.DUMMYFUNCTION("ArrayFormula(VLOOKUP(G40, IMPORTRANGE(""https://docs.google.com/spreadsheets/d/1p7R4vtkWt5VOBim4ltsDG9KTzSjrtKXsMtQGXPHyND0/edit#gid=795171502"", ""'Filter 30_05_2024'!A1:M2000""), {2, 3, 4, 5,6,7,8,9,10,11,12,13}, 0))"),4)</f>
        <v>4</v>
      </c>
      <c r="V40" s="11">
        <f ca="1">IFERROR(__xludf.DUMMYFUNCTION("""COMPUTED_VALUE"""),6)</f>
        <v>6</v>
      </c>
      <c r="W40" s="11">
        <f ca="1">IFERROR(__xludf.DUMMYFUNCTION("""COMPUTED_VALUE"""),2)</f>
        <v>2</v>
      </c>
      <c r="X40" s="11">
        <f ca="1">IFERROR(__xludf.DUMMYFUNCTION("""COMPUTED_VALUE"""),12)</f>
        <v>12</v>
      </c>
      <c r="Y40" s="11">
        <f ca="1">IFERROR(__xludf.DUMMYFUNCTION("""COMPUTED_VALUE"""),4)</f>
        <v>4</v>
      </c>
      <c r="Z40" s="29">
        <f ca="1">IFERROR(__xludf.DUMMYFUNCTION("""COMPUTED_VALUE"""),3)</f>
        <v>3</v>
      </c>
      <c r="AA40" s="29">
        <f ca="1">IFERROR(__xludf.DUMMYFUNCTION("""COMPUTED_VALUE"""),1)</f>
        <v>1</v>
      </c>
      <c r="AB40" s="12">
        <f ca="1">IFERROR(__xludf.DUMMYFUNCTION("""COMPUTED_VALUE"""),8)</f>
        <v>8</v>
      </c>
      <c r="AC40" s="12"/>
      <c r="AD40" s="12"/>
      <c r="AE40" s="12"/>
      <c r="AF40" s="12"/>
      <c r="AG40" s="13" t="str">
        <f ca="1">IFERROR(__xludf.DUMMYFUNCTION("ArrayFormula(VLOOKUP(G40, IMPORTRANGE(""https://docs.google.com/spreadsheets/d/1Co934fvtviyaRiMsrIlT05Jaq7iiYq07aLvRr35KA48/edit?gid=173865642#gid=173865642"", ""'G6_Maths_Pri_LU'!G2:V2000""), {3, 4, 5, 6, 7, 8, 9, 10, 11, 12, 13, 14, 15, 16}, 0))"),"LU000192")</f>
        <v>LU000192</v>
      </c>
      <c r="AH40" s="13" t="str">
        <f ca="1">IFERROR(__xludf.DUMMYFUNCTION("""COMPUTED_VALUE"""),"Factor of number")</f>
        <v>Factor of number</v>
      </c>
      <c r="AI40" s="13" t="str">
        <f ca="1">IFERROR(__xludf.DUMMYFUNCTION("""COMPUTED_VALUE"""),"LU000193")</f>
        <v>LU000193</v>
      </c>
      <c r="AJ40" s="13" t="str">
        <f ca="1">IFERROR(__xludf.DUMMYFUNCTION("""COMPUTED_VALUE"""),"Multiple of number")</f>
        <v>Multiple of number</v>
      </c>
      <c r="AK40" s="13" t="str">
        <f ca="1">IFERROR(__xludf.DUMMYFUNCTION("""COMPUTED_VALUE"""),"LU000121")</f>
        <v>LU000121</v>
      </c>
      <c r="AL40" s="13" t="str">
        <f ca="1">IFERROR(__xludf.DUMMYFUNCTION("""COMPUTED_VALUE"""),"Division of five-digit numbers by one-digit/two-digit/three-digit/four-digit numbers using standard algorithms")</f>
        <v>Division of five-digit numbers by one-digit/two-digit/three-digit/four-digit numbers using standard algorithms</v>
      </c>
      <c r="AM40" s="13"/>
      <c r="AN40" s="13"/>
      <c r="AO40" s="13"/>
      <c r="AP40" s="13"/>
      <c r="AQ40" s="13"/>
      <c r="AR40" s="13"/>
      <c r="AS40" s="13"/>
      <c r="AT40" s="13"/>
    </row>
    <row r="41" spans="1:46">
      <c r="A41" s="8" t="s">
        <v>247</v>
      </c>
      <c r="B41" s="8" t="s">
        <v>47</v>
      </c>
      <c r="C41" s="8" t="s">
        <v>48</v>
      </c>
      <c r="D41" s="8" t="s">
        <v>49</v>
      </c>
      <c r="E41" s="8" t="s">
        <v>286</v>
      </c>
      <c r="F41" s="8" t="s">
        <v>144</v>
      </c>
      <c r="G41" s="8" t="s">
        <v>145</v>
      </c>
      <c r="H41" s="8" t="str">
        <f ca="1">IFERROR(__xludf.DUMMYFUNCTION("VLOOKUP(G41, IMPORTRANGE(""https://docs.google.com/spreadsheets/d/14deopnvwcrKtEGCKuYXdUHJbeLDZlkiSSWWT0g7x2pM/edit#gid=999382323"", ""LU List Maths (Filter)!A:B""), 2, FALSE)"),"Test for divisibility by 10")</f>
        <v>Test for divisibility by 10</v>
      </c>
      <c r="I41" s="10" t="str">
        <f t="shared" si="0"/>
        <v>LU000207.001</v>
      </c>
      <c r="J41" s="10" t="str">
        <f ca="1">IFERROR(__xludf.DUMMYFUNCTION("VLOOKUP(I41, IMPORTRANGE(""https://docs.google.com/spreadsheets/d/1yDAaXNsi4Mr5FtRQL4tbmSdIzhx6_m4wkOD7IG-k_eo/edit#gid=0"", ""Maths!M:N""), 2, FALSE)"),"List the rule of divisibility by 10.")</f>
        <v>List the rule of divisibility by 10.</v>
      </c>
      <c r="K41" s="10" t="str">
        <f t="shared" si="1"/>
        <v>LU000207.002</v>
      </c>
      <c r="L41" s="10" t="str">
        <f ca="1">IFERROR(__xludf.DUMMYFUNCTION("VLOOKUP(K41, IMPORTRANGE(""https://docs.google.com/spreadsheets/d/1yDAaXNsi4Mr5FtRQL4tbmSdIzhx6_m4wkOD7IG-k_eo/edit#gid=0"", ""Maths!M:N""), 2, FALSE)"),"Find out the divisibility rule for 10.")</f>
        <v>Find out the divisibility rule for 10.</v>
      </c>
      <c r="M41" s="10" t="str">
        <f t="shared" si="2"/>
        <v>LU000207.003</v>
      </c>
      <c r="N41" s="10" t="str">
        <f ca="1">IFERROR(__xludf.DUMMYFUNCTION("VLOOKUP(M41, IMPORTRANGE(""https://docs.google.com/spreadsheets/d/1yDAaXNsi4Mr5FtRQL4tbmSdIzhx6_m4wkOD7IG-k_eo/edit#gid=0"", ""Maths!M:N""), 2, FALSE)"),"Apply the rule for divisibility by 10 to determine if a number is divisible by 10 or not.")</f>
        <v>Apply the rule for divisibility by 10 to determine if a number is divisible by 10 or not.</v>
      </c>
      <c r="O41" s="10" t="str">
        <f t="shared" si="3"/>
        <v>LU000207.004</v>
      </c>
      <c r="P41" s="10" t="str">
        <f ca="1">IFERROR(__xludf.DUMMYFUNCTION("VLOOKUP(O41, IMPORTRANGE(""https://docs.google.com/spreadsheets/d/1yDAaXNsi4Mr5FtRQL4tbmSdIzhx6_m4wkOD7IG-k_eo/edit#gid=0"", ""Maths!M:N""), 2, FALSE)"),"Analyse the last digit of numbers to determine whether they meet the conditions of the divisibility rule for 10")</f>
        <v>Analyse the last digit of numbers to determine whether they meet the conditions of the divisibility rule for 10</v>
      </c>
      <c r="Q41" s="10" t="str">
        <f t="shared" si="4"/>
        <v>LU000207.005</v>
      </c>
      <c r="R41" s="10" t="str">
        <f ca="1">IFERROR(__xludf.DUMMYFUNCTION("VLOOKUP(Q41, IMPORTRANGE(""https://docs.google.com/spreadsheets/d/1yDAaXNsi4Mr5FtRQL4tbmSdIzhx6_m4wkOD7IG-k_eo/edit#gid=0"", ""Maths!M:N""), 2, FALSE)"),"Evaluate the efficiency of using the divisibility rule for 10 in quickly identifying numbers divisible by 10.")</f>
        <v>Evaluate the efficiency of using the divisibility rule for 10 in quickly identifying numbers divisible by 10.</v>
      </c>
      <c r="S41" s="10" t="str">
        <f t="shared" si="5"/>
        <v>LU000207.006</v>
      </c>
      <c r="T41" s="10" t="str">
        <f ca="1">IFERROR(__xludf.DUMMYFUNCTION("VLOOKUP(S41, IMPORTRANGE(""https://docs.google.com/spreadsheets/d/1yDAaXNsi4Mr5FtRQL4tbmSdIzhx6_m4wkOD7IG-k_eo/edit#gid=0"", ""Maths!M:N""), 2, FALSE)"),"Create a set of number sequences to apply the divisibility rule by 10.")</f>
        <v>Create a set of number sequences to apply the divisibility rule by 10.</v>
      </c>
      <c r="U41" s="11">
        <f ca="1">IFERROR(__xludf.DUMMYFUNCTION("ArrayFormula(VLOOKUP(G41, IMPORTRANGE(""https://docs.google.com/spreadsheets/d/1p7R4vtkWt5VOBim4ltsDG9KTzSjrtKXsMtQGXPHyND0/edit#gid=795171502"", ""'Filter 30_05_2024'!A1:M2000""), {2, 3, 4, 5,6,7,8,9,10,11,12,13}, 0))"),4)</f>
        <v>4</v>
      </c>
      <c r="V41" s="11">
        <f ca="1">IFERROR(__xludf.DUMMYFUNCTION("""COMPUTED_VALUE"""),6)</f>
        <v>6</v>
      </c>
      <c r="W41" s="11">
        <f ca="1">IFERROR(__xludf.DUMMYFUNCTION("""COMPUTED_VALUE"""),2)</f>
        <v>2</v>
      </c>
      <c r="X41" s="11">
        <f ca="1">IFERROR(__xludf.DUMMYFUNCTION("""COMPUTED_VALUE"""),12)</f>
        <v>12</v>
      </c>
      <c r="Y41" s="11">
        <f ca="1">IFERROR(__xludf.DUMMYFUNCTION("""COMPUTED_VALUE"""),4)</f>
        <v>4</v>
      </c>
      <c r="Z41" s="29">
        <f ca="1">IFERROR(__xludf.DUMMYFUNCTION("""COMPUTED_VALUE"""),3)</f>
        <v>3</v>
      </c>
      <c r="AA41" s="29">
        <f ca="1">IFERROR(__xludf.DUMMYFUNCTION("""COMPUTED_VALUE"""),1)</f>
        <v>1</v>
      </c>
      <c r="AB41" s="12">
        <f ca="1">IFERROR(__xludf.DUMMYFUNCTION("""COMPUTED_VALUE"""),8)</f>
        <v>8</v>
      </c>
      <c r="AC41" s="12">
        <f ca="1">IFERROR(__xludf.DUMMYFUNCTION("""COMPUTED_VALUE"""),1)</f>
        <v>1</v>
      </c>
      <c r="AD41" s="12"/>
      <c r="AE41" s="12"/>
      <c r="AF41" s="12">
        <f ca="1">IFERROR(__xludf.DUMMYFUNCTION("""COMPUTED_VALUE"""),1)</f>
        <v>1</v>
      </c>
      <c r="AG41" s="13" t="str">
        <f ca="1">IFERROR(__xludf.DUMMYFUNCTION("ArrayFormula(VLOOKUP(G41, IMPORTRANGE(""https://docs.google.com/spreadsheets/d/1Co934fvtviyaRiMsrIlT05Jaq7iiYq07aLvRr35KA48/edit?gid=173865642#gid=173865642"", ""'G6_Maths_Pri_LU'!G2:V2000""), {3, 4, 5, 6, 7, 8, 9, 10, 11, 12, 13, 14, 15, 16}, 0))"),"LU000192")</f>
        <v>LU000192</v>
      </c>
      <c r="AH41" s="13" t="str">
        <f ca="1">IFERROR(__xludf.DUMMYFUNCTION("""COMPUTED_VALUE"""),"Factor of number")</f>
        <v>Factor of number</v>
      </c>
      <c r="AI41" s="13" t="str">
        <f ca="1">IFERROR(__xludf.DUMMYFUNCTION("""COMPUTED_VALUE"""),"LU000193")</f>
        <v>LU000193</v>
      </c>
      <c r="AJ41" s="13" t="str">
        <f ca="1">IFERROR(__xludf.DUMMYFUNCTION("""COMPUTED_VALUE"""),"Multiple of number")</f>
        <v>Multiple of number</v>
      </c>
      <c r="AK41" s="13" t="str">
        <f ca="1">IFERROR(__xludf.DUMMYFUNCTION("""COMPUTED_VALUE"""),"LU000123")</f>
        <v>LU000123</v>
      </c>
      <c r="AL41" s="13" t="str">
        <f ca="1">IFERROR(__xludf.DUMMYFUNCTION("""COMPUTED_VALUE"""),"Division of numbers by multiples of 10")</f>
        <v>Division of numbers by multiples of 10</v>
      </c>
      <c r="AM41" s="13"/>
      <c r="AN41" s="13"/>
      <c r="AO41" s="13"/>
      <c r="AP41" s="13"/>
      <c r="AQ41" s="13"/>
      <c r="AR41" s="13"/>
      <c r="AS41" s="13"/>
      <c r="AT41" s="13"/>
    </row>
    <row r="42" spans="1:46">
      <c r="A42" s="8" t="s">
        <v>247</v>
      </c>
      <c r="B42" s="8" t="s">
        <v>47</v>
      </c>
      <c r="C42" s="8" t="s">
        <v>48</v>
      </c>
      <c r="D42" s="8" t="s">
        <v>49</v>
      </c>
      <c r="E42" s="8" t="s">
        <v>286</v>
      </c>
      <c r="F42" s="8" t="s">
        <v>291</v>
      </c>
      <c r="G42" s="8" t="s">
        <v>292</v>
      </c>
      <c r="H42" s="8" t="str">
        <f ca="1">IFERROR(__xludf.DUMMYFUNCTION("VLOOKUP(G42, IMPORTRANGE(""https://docs.google.com/spreadsheets/d/14deopnvwcrKtEGCKuYXdUHJbeLDZlkiSSWWT0g7x2pM/edit#gid=999382323"", ""LU List Maths (Filter)!A:B""), 2, FALSE)"),"Test for divisibility by 3")</f>
        <v>Test for divisibility by 3</v>
      </c>
      <c r="I42" s="10" t="str">
        <f t="shared" si="0"/>
        <v>LU000200.001</v>
      </c>
      <c r="J42" s="10" t="str">
        <f ca="1">IFERROR(__xludf.DUMMYFUNCTION("VLOOKUP(I42, IMPORTRANGE(""https://docs.google.com/spreadsheets/d/1yDAaXNsi4Mr5FtRQL4tbmSdIzhx6_m4wkOD7IG-k_eo/edit#gid=0"", ""Maths!M:N""), 2, FALSE)"),"List the rule that a number is divisible by 3 if sum of the digits of a number should be divisible by 3.")</f>
        <v>List the rule that a number is divisible by 3 if sum of the digits of a number should be divisible by 3.</v>
      </c>
      <c r="K42" s="10" t="str">
        <f t="shared" si="1"/>
        <v>LU000200.002</v>
      </c>
      <c r="L42" s="10" t="str">
        <f ca="1">IFERROR(__xludf.DUMMYFUNCTION("VLOOKUP(K42, IMPORTRANGE(""https://docs.google.com/spreadsheets/d/1yDAaXNsi4Mr5FtRQL4tbmSdIzhx6_m4wkOD7IG-k_eo/edit#gid=0"", ""Maths!M:N""), 2, FALSE)"),"Find out the divisibility rule for 3.")</f>
        <v>Find out the divisibility rule for 3.</v>
      </c>
      <c r="M42" s="10" t="str">
        <f t="shared" si="2"/>
        <v>LU000200.003</v>
      </c>
      <c r="N42" s="10" t="str">
        <f ca="1">IFERROR(__xludf.DUMMYFUNCTION("VLOOKUP(M42, IMPORTRANGE(""https://docs.google.com/spreadsheets/d/1yDAaXNsi4Mr5FtRQL4tbmSdIzhx6_m4wkOD7IG-k_eo/edit#gid=0"", ""Maths!M:N""), 2, FALSE)"),"Apply the rule for divisibility by 3 to determine if a number is divisible by 3 or not.")</f>
        <v>Apply the rule for divisibility by 3 to determine if a number is divisible by 3 or not.</v>
      </c>
      <c r="O42" s="10" t="str">
        <f t="shared" si="3"/>
        <v>LU000200.004</v>
      </c>
      <c r="P42" s="10" t="str">
        <f ca="1">IFERROR(__xludf.DUMMYFUNCTION("VLOOKUP(O42, IMPORTRANGE(""https://docs.google.com/spreadsheets/d/1yDAaXNsi4Mr5FtRQL4tbmSdIzhx6_m4wkOD7IG-k_eo/edit#gid=0"", ""Maths!M:N""), 2, FALSE)"),"Analyse the digit sum of numbers to determine whether they meet the conditions of the divisibility rule for 3")</f>
        <v>Analyse the digit sum of numbers to determine whether they meet the conditions of the divisibility rule for 3</v>
      </c>
      <c r="Q42" s="10" t="str">
        <f t="shared" si="4"/>
        <v>LU000200.005</v>
      </c>
      <c r="R42" s="10" t="str">
        <f ca="1">IFERROR(__xludf.DUMMYFUNCTION("VLOOKUP(Q42, IMPORTRANGE(""https://docs.google.com/spreadsheets/d/1yDAaXNsi4Mr5FtRQL4tbmSdIzhx6_m4wkOD7IG-k_eo/edit#gid=0"", ""Maths!M:N""), 2, FALSE)"),"Evaluate the efficiency of using the divisibility rule for 3 in quickly identifying numbers divisible by 3")</f>
        <v>Evaluate the efficiency of using the divisibility rule for 3 in quickly identifying numbers divisible by 3</v>
      </c>
      <c r="S42" s="10" t="str">
        <f t="shared" si="5"/>
        <v>LU000200.006</v>
      </c>
      <c r="T42" s="10" t="str">
        <f ca="1">IFERROR(__xludf.DUMMYFUNCTION("VLOOKUP(S42, IMPORTRANGE(""https://docs.google.com/spreadsheets/d/1yDAaXNsi4Mr5FtRQL4tbmSdIzhx6_m4wkOD7IG-k_eo/edit#gid=0"", ""Maths!M:N""), 2, FALSE)"),"Create a set of number sequences to apply the divisibility rule by 3.")</f>
        <v>Create a set of number sequences to apply the divisibility rule by 3.</v>
      </c>
      <c r="U42" s="11">
        <f ca="1">IFERROR(__xludf.DUMMYFUNCTION("ArrayFormula(VLOOKUP(G42, IMPORTRANGE(""https://docs.google.com/spreadsheets/d/1p7R4vtkWt5VOBim4ltsDG9KTzSjrtKXsMtQGXPHyND0/edit#gid=795171502"", ""'Filter 30_05_2024'!A1:M2000""), {2, 3, 4, 5,6,7,8,9,10,11,12,13}, 0))"),4)</f>
        <v>4</v>
      </c>
      <c r="V42" s="11">
        <f ca="1">IFERROR(__xludf.DUMMYFUNCTION("""COMPUTED_VALUE"""),6)</f>
        <v>6</v>
      </c>
      <c r="W42" s="11">
        <f ca="1">IFERROR(__xludf.DUMMYFUNCTION("""COMPUTED_VALUE"""),2)</f>
        <v>2</v>
      </c>
      <c r="X42" s="11">
        <f ca="1">IFERROR(__xludf.DUMMYFUNCTION("""COMPUTED_VALUE"""),12)</f>
        <v>12</v>
      </c>
      <c r="Y42" s="11">
        <f ca="1">IFERROR(__xludf.DUMMYFUNCTION("""COMPUTED_VALUE"""),4)</f>
        <v>4</v>
      </c>
      <c r="Z42" s="29">
        <f ca="1">IFERROR(__xludf.DUMMYFUNCTION("""COMPUTED_VALUE"""),4)</f>
        <v>4</v>
      </c>
      <c r="AA42" s="29">
        <f ca="1">IFERROR(__xludf.DUMMYFUNCTION("""COMPUTED_VALUE"""),1)</f>
        <v>1</v>
      </c>
      <c r="AB42" s="12">
        <f ca="1">IFERROR(__xludf.DUMMYFUNCTION("""COMPUTED_VALUE"""),9)</f>
        <v>9</v>
      </c>
      <c r="AC42" s="12"/>
      <c r="AD42" s="12"/>
      <c r="AE42" s="12"/>
      <c r="AF42" s="12"/>
      <c r="AG42" s="13" t="str">
        <f ca="1">IFERROR(__xludf.DUMMYFUNCTION("ArrayFormula(VLOOKUP(G42, IMPORTRANGE(""https://docs.google.com/spreadsheets/d/1Co934fvtviyaRiMsrIlT05Jaq7iiYq07aLvRr35KA48/edit?gid=173865642#gid=173865642"", ""'G6_Maths_Pri_LU'!G2:V2000""), {3, 4, 5, 6, 7, 8, 9, 10, 11, 12, 13, 14, 15, 16}, 0))"),"LU000192")</f>
        <v>LU000192</v>
      </c>
      <c r="AH42" s="13" t="str">
        <f ca="1">IFERROR(__xludf.DUMMYFUNCTION("""COMPUTED_VALUE"""),"Factor of number")</f>
        <v>Factor of number</v>
      </c>
      <c r="AI42" s="13" t="str">
        <f ca="1">IFERROR(__xludf.DUMMYFUNCTION("""COMPUTED_VALUE"""),"LU000193")</f>
        <v>LU000193</v>
      </c>
      <c r="AJ42" s="13" t="str">
        <f ca="1">IFERROR(__xludf.DUMMYFUNCTION("""COMPUTED_VALUE"""),"Multiple of number")</f>
        <v>Multiple of number</v>
      </c>
      <c r="AK42" s="13" t="str">
        <f ca="1">IFERROR(__xludf.DUMMYFUNCTION("""COMPUTED_VALUE"""),"LU000121")</f>
        <v>LU000121</v>
      </c>
      <c r="AL42" s="13" t="str">
        <f ca="1">IFERROR(__xludf.DUMMYFUNCTION("""COMPUTED_VALUE"""),"Division of five-digit numbers by one-digit/two-digit/three-digit/four-digit numbers using standard algorithms")</f>
        <v>Division of five-digit numbers by one-digit/two-digit/three-digit/four-digit numbers using standard algorithms</v>
      </c>
      <c r="AM42" s="13" t="str">
        <f ca="1">IFERROR(__xludf.DUMMYFUNCTION("""COMPUTED_VALUE"""),"LU000118")</f>
        <v>LU000118</v>
      </c>
      <c r="AN42" s="13" t="str">
        <f ca="1">IFERROR(__xludf.DUMMYFUNCTION("""COMPUTED_VALUE"""),"Multiplication of five-digit numbers by one-digit/two-digit/three-digit/four-digit/five-digit numbers")</f>
        <v>Multiplication of five-digit numbers by one-digit/two-digit/three-digit/four-digit/five-digit numbers</v>
      </c>
      <c r="AO42" s="13"/>
      <c r="AP42" s="13"/>
      <c r="AQ42" s="13"/>
      <c r="AR42" s="13"/>
      <c r="AS42" s="13"/>
      <c r="AT42" s="13"/>
    </row>
    <row r="43" spans="1:46">
      <c r="A43" s="8" t="s">
        <v>247</v>
      </c>
      <c r="B43" s="8" t="s">
        <v>47</v>
      </c>
      <c r="C43" s="8" t="s">
        <v>48</v>
      </c>
      <c r="D43" s="8" t="s">
        <v>49</v>
      </c>
      <c r="E43" s="8" t="s">
        <v>286</v>
      </c>
      <c r="F43" s="8" t="s">
        <v>291</v>
      </c>
      <c r="G43" s="8" t="s">
        <v>293</v>
      </c>
      <c r="H43" s="8" t="str">
        <f ca="1">IFERROR(__xludf.DUMMYFUNCTION("VLOOKUP(G43, IMPORTRANGE(""https://docs.google.com/spreadsheets/d/14deopnvwcrKtEGCKuYXdUHJbeLDZlkiSSWWT0g7x2pM/edit#gid=999382323"", ""LU List Maths (Filter)!A:B""), 2, FALSE)"),"Test for divisibility by 6")</f>
        <v>Test for divisibility by 6</v>
      </c>
      <c r="I43" s="10" t="str">
        <f t="shared" si="0"/>
        <v>LU000203.001</v>
      </c>
      <c r="J43" s="10" t="str">
        <f ca="1">IFERROR(__xludf.DUMMYFUNCTION("VLOOKUP(I43, IMPORTRANGE(""https://docs.google.com/spreadsheets/d/1yDAaXNsi4Mr5FtRQL4tbmSdIzhx6_m4wkOD7IG-k_eo/edit#gid=0"", ""Maths!M:N""), 2, FALSE)"),"List the rule that a number is divisible by 6 if it is divisible by both 2 and 3.")</f>
        <v>List the rule that a number is divisible by 6 if it is divisible by both 2 and 3.</v>
      </c>
      <c r="K43" s="10" t="str">
        <f t="shared" si="1"/>
        <v>LU000203.002</v>
      </c>
      <c r="L43" s="10" t="str">
        <f ca="1">IFERROR(__xludf.DUMMYFUNCTION("VLOOKUP(K43, IMPORTRANGE(""https://docs.google.com/spreadsheets/d/1yDAaXNsi4Mr5FtRQL4tbmSdIzhx6_m4wkOD7IG-k_eo/edit#gid=0"", ""Maths!M:N""), 2, FALSE)"),"Find out the divisibility rule for 6.")</f>
        <v>Find out the divisibility rule for 6.</v>
      </c>
      <c r="M43" s="10" t="str">
        <f t="shared" si="2"/>
        <v>LU000203.003</v>
      </c>
      <c r="N43" s="10" t="str">
        <f ca="1">IFERROR(__xludf.DUMMYFUNCTION("VLOOKUP(M43, IMPORTRANGE(""https://docs.google.com/spreadsheets/d/1yDAaXNsi4Mr5FtRQL4tbmSdIzhx6_m4wkOD7IG-k_eo/edit#gid=0"", ""Maths!M:N""), 2, FALSE)"),"Apply the rule for divisibility by 6 to determine if a number is divisible by 6 or not.")</f>
        <v>Apply the rule for divisibility by 6 to determine if a number is divisible by 6 or not.</v>
      </c>
      <c r="O43" s="10" t="str">
        <f t="shared" si="3"/>
        <v>LU000203.004</v>
      </c>
      <c r="P43" s="10" t="str">
        <f ca="1">IFERROR(__xludf.DUMMYFUNCTION("VLOOKUP(O43, IMPORTRANGE(""https://docs.google.com/spreadsheets/d/1yDAaXNsi4Mr5FtRQL4tbmSdIzhx6_m4wkOD7IG-k_eo/edit#gid=0"", ""Maths!M:N""), 2, FALSE)"),"Analyse the factors of numbers to determine whether they meet the combined conditions of divisibility by 2 and 3.")</f>
        <v>Analyse the factors of numbers to determine whether they meet the combined conditions of divisibility by 2 and 3.</v>
      </c>
      <c r="Q43" s="10" t="str">
        <f t="shared" si="4"/>
        <v>LU000203.005</v>
      </c>
      <c r="R43" s="10" t="str">
        <f ca="1">IFERROR(__xludf.DUMMYFUNCTION("VLOOKUP(Q43, IMPORTRANGE(""https://docs.google.com/spreadsheets/d/1yDAaXNsi4Mr5FtRQL4tbmSdIzhx6_m4wkOD7IG-k_eo/edit#gid=0"", ""Maths!M:N""), 2, FALSE)"),"Evaluate the efficiency of using the divisibility rule for 6 in quickly identifying numbers divisible by 6")</f>
        <v>Evaluate the efficiency of using the divisibility rule for 6 in quickly identifying numbers divisible by 6</v>
      </c>
      <c r="S43" s="10" t="str">
        <f t="shared" si="5"/>
        <v>LU000203.006</v>
      </c>
      <c r="T43" s="10" t="str">
        <f ca="1">IFERROR(__xludf.DUMMYFUNCTION("VLOOKUP(S43, IMPORTRANGE(""https://docs.google.com/spreadsheets/d/1yDAaXNsi4Mr5FtRQL4tbmSdIzhx6_m4wkOD7IG-k_eo/edit#gid=0"", ""Maths!M:N""), 2, FALSE)"),"Create a set of number sequences to apply the divisibility rule by 6.")</f>
        <v>Create a set of number sequences to apply the divisibility rule by 6.</v>
      </c>
      <c r="U43" s="11">
        <f ca="1">IFERROR(__xludf.DUMMYFUNCTION("ArrayFormula(VLOOKUP(G43, IMPORTRANGE(""https://docs.google.com/spreadsheets/d/1p7R4vtkWt5VOBim4ltsDG9KTzSjrtKXsMtQGXPHyND0/edit#gid=795171502"", ""'Filter 30_05_2024'!A1:M2000""), {2, 3, 4, 5,6,7,8,9,10,11,12,13}, 0))"),4)</f>
        <v>4</v>
      </c>
      <c r="V43" s="11">
        <f ca="1">IFERROR(__xludf.DUMMYFUNCTION("""COMPUTED_VALUE"""),6)</f>
        <v>6</v>
      </c>
      <c r="W43" s="11">
        <f ca="1">IFERROR(__xludf.DUMMYFUNCTION("""COMPUTED_VALUE"""),2)</f>
        <v>2</v>
      </c>
      <c r="X43" s="11">
        <f ca="1">IFERROR(__xludf.DUMMYFUNCTION("""COMPUTED_VALUE"""),12)</f>
        <v>12</v>
      </c>
      <c r="Y43" s="11">
        <f ca="1">IFERROR(__xludf.DUMMYFUNCTION("""COMPUTED_VALUE"""),5)</f>
        <v>5</v>
      </c>
      <c r="Z43" s="29">
        <f ca="1">IFERROR(__xludf.DUMMYFUNCTION("""COMPUTED_VALUE"""),3)</f>
        <v>3</v>
      </c>
      <c r="AA43" s="29">
        <f ca="1">IFERROR(__xludf.DUMMYFUNCTION("""COMPUTED_VALUE"""),1)</f>
        <v>1</v>
      </c>
      <c r="AB43" s="12">
        <f ca="1">IFERROR(__xludf.DUMMYFUNCTION("""COMPUTED_VALUE"""),9)</f>
        <v>9</v>
      </c>
      <c r="AC43" s="12"/>
      <c r="AD43" s="12"/>
      <c r="AE43" s="12"/>
      <c r="AF43" s="12"/>
      <c r="AG43" s="13" t="str">
        <f ca="1">IFERROR(__xludf.DUMMYFUNCTION("ArrayFormula(VLOOKUP(G43, IMPORTRANGE(""https://docs.google.com/spreadsheets/d/1Co934fvtviyaRiMsrIlT05Jaq7iiYq07aLvRr35KA48/edit?gid=173865642#gid=173865642"", ""'G6_Maths_Pri_LU'!G2:V2000""), {3, 4, 5, 6, 7, 8, 9, 10, 11, 12, 13, 14, 15, 16}, 0))"),"LU000200")</f>
        <v>LU000200</v>
      </c>
      <c r="AH43" s="13" t="str">
        <f ca="1">IFERROR(__xludf.DUMMYFUNCTION("""COMPUTED_VALUE"""),"Test for divisibility by 3")</f>
        <v>Test for divisibility by 3</v>
      </c>
      <c r="AI43" s="13" t="str">
        <f ca="1">IFERROR(__xludf.DUMMYFUNCTION("""COMPUTED_VALUE"""),"LU000199")</f>
        <v>LU000199</v>
      </c>
      <c r="AJ43" s="13" t="str">
        <f ca="1">IFERROR(__xludf.DUMMYFUNCTION("""COMPUTED_VALUE"""),"Test for divisibility by 2")</f>
        <v>Test for divisibility by 2</v>
      </c>
      <c r="AK43" s="13" t="str">
        <f ca="1">IFERROR(__xludf.DUMMYFUNCTION("""COMPUTED_VALUE"""),"LU000192")</f>
        <v>LU000192</v>
      </c>
      <c r="AL43" s="13" t="str">
        <f ca="1">IFERROR(__xludf.DUMMYFUNCTION("""COMPUTED_VALUE"""),"Factor of number")</f>
        <v>Factor of number</v>
      </c>
      <c r="AM43" s="13" t="str">
        <f ca="1">IFERROR(__xludf.DUMMYFUNCTION("""COMPUTED_VALUE"""),"LU000121")</f>
        <v>LU000121</v>
      </c>
      <c r="AN43" s="13" t="str">
        <f ca="1">IFERROR(__xludf.DUMMYFUNCTION("""COMPUTED_VALUE"""),"Division of five-digit numbers by one-digit/two-digit/three-digit/four-digit numbers using standard algorithms")</f>
        <v>Division of five-digit numbers by one-digit/two-digit/three-digit/four-digit numbers using standard algorithms</v>
      </c>
      <c r="AO43" s="13"/>
      <c r="AP43" s="13"/>
      <c r="AQ43" s="13"/>
      <c r="AR43" s="13"/>
      <c r="AS43" s="13"/>
      <c r="AT43" s="13"/>
    </row>
    <row r="44" spans="1:46">
      <c r="A44" s="8" t="s">
        <v>247</v>
      </c>
      <c r="B44" s="8" t="s">
        <v>47</v>
      </c>
      <c r="C44" s="8" t="s">
        <v>48</v>
      </c>
      <c r="D44" s="8" t="s">
        <v>49</v>
      </c>
      <c r="E44" s="8" t="s">
        <v>286</v>
      </c>
      <c r="F44" s="8" t="s">
        <v>291</v>
      </c>
      <c r="G44" s="8" t="s">
        <v>294</v>
      </c>
      <c r="H44" s="8" t="str">
        <f ca="1">IFERROR(__xludf.DUMMYFUNCTION("VLOOKUP(G44, IMPORTRANGE(""https://docs.google.com/spreadsheets/d/14deopnvwcrKtEGCKuYXdUHJbeLDZlkiSSWWT0g7x2pM/edit#gid=999382323"", ""LU List Maths (Filter)!A:B""), 2, FALSE)"),"Test for divisibility by 9")</f>
        <v>Test for divisibility by 9</v>
      </c>
      <c r="I44" s="10" t="str">
        <f t="shared" si="0"/>
        <v>LU000206.001</v>
      </c>
      <c r="J44" s="10" t="str">
        <f ca="1">IFERROR(__xludf.DUMMYFUNCTION("VLOOKUP(I44, IMPORTRANGE(""https://docs.google.com/spreadsheets/d/1yDAaXNsi4Mr5FtRQL4tbmSdIzhx6_m4wkOD7IG-k_eo/edit#gid=0"", ""Maths!M:N""), 2, FALSE)"),"List the rule of divisibility by 9.")</f>
        <v>List the rule of divisibility by 9.</v>
      </c>
      <c r="K44" s="10" t="str">
        <f t="shared" si="1"/>
        <v>LU000206.002</v>
      </c>
      <c r="L44" s="10" t="str">
        <f ca="1">IFERROR(__xludf.DUMMYFUNCTION("VLOOKUP(K44, IMPORTRANGE(""https://docs.google.com/spreadsheets/d/1yDAaXNsi4Mr5FtRQL4tbmSdIzhx6_m4wkOD7IG-k_eo/edit#gid=0"", ""Maths!M:N""), 2, FALSE)"),"Find out the divisibility rule for 9.")</f>
        <v>Find out the divisibility rule for 9.</v>
      </c>
      <c r="M44" s="10" t="str">
        <f t="shared" si="2"/>
        <v>LU000206.003</v>
      </c>
      <c r="N44" s="10" t="str">
        <f ca="1">IFERROR(__xludf.DUMMYFUNCTION("VLOOKUP(M44, IMPORTRANGE(""https://docs.google.com/spreadsheets/d/1yDAaXNsi4Mr5FtRQL4tbmSdIzhx6_m4wkOD7IG-k_eo/edit#gid=0"", ""Maths!M:N""), 2, FALSE)"),"Apply the rule for divisibility by 9 to determine if a number is divisible by 9 or not.")</f>
        <v>Apply the rule for divisibility by 9 to determine if a number is divisible by 9 or not.</v>
      </c>
      <c r="O44" s="10" t="str">
        <f t="shared" si="3"/>
        <v>LU000206.004</v>
      </c>
      <c r="P44" s="10" t="str">
        <f ca="1">IFERROR(__xludf.DUMMYFUNCTION("VLOOKUP(O44, IMPORTRANGE(""https://docs.google.com/spreadsheets/d/1yDAaXNsi4Mr5FtRQL4tbmSdIzhx6_m4wkOD7IG-k_eo/edit#gid=0"", ""Maths!M:N""), 2, FALSE)"),"Analyse the digit sum of numbers to determine whether they meet the conditions of the divisibility rule for 9")</f>
        <v>Analyse the digit sum of numbers to determine whether they meet the conditions of the divisibility rule for 9</v>
      </c>
      <c r="Q44" s="10" t="str">
        <f t="shared" si="4"/>
        <v>LU000206.005</v>
      </c>
      <c r="R44" s="10" t="str">
        <f ca="1">IFERROR(__xludf.DUMMYFUNCTION("VLOOKUP(Q44, IMPORTRANGE(""https://docs.google.com/spreadsheets/d/1yDAaXNsi4Mr5FtRQL4tbmSdIzhx6_m4wkOD7IG-k_eo/edit#gid=0"", ""Maths!M:N""), 2, FALSE)"),"Evaluate the efficiency of using the divisibility rule for 9 in quickly identifying numbers divisible by 9.")</f>
        <v>Evaluate the efficiency of using the divisibility rule for 9 in quickly identifying numbers divisible by 9.</v>
      </c>
      <c r="S44" s="10" t="str">
        <f t="shared" si="5"/>
        <v>LU000206.006</v>
      </c>
      <c r="T44" s="10" t="str">
        <f ca="1">IFERROR(__xludf.DUMMYFUNCTION("VLOOKUP(S44, IMPORTRANGE(""https://docs.google.com/spreadsheets/d/1yDAaXNsi4Mr5FtRQL4tbmSdIzhx6_m4wkOD7IG-k_eo/edit#gid=0"", ""Maths!M:N""), 2, FALSE)"),"Create a set of number sequences to apply the divisibility rule by 9.")</f>
        <v>Create a set of number sequences to apply the divisibility rule by 9.</v>
      </c>
      <c r="U44" s="11">
        <f ca="1">IFERROR(__xludf.DUMMYFUNCTION("ArrayFormula(VLOOKUP(G44, IMPORTRANGE(""https://docs.google.com/spreadsheets/d/1p7R4vtkWt5VOBim4ltsDG9KTzSjrtKXsMtQGXPHyND0/edit#gid=795171502"", ""'Filter 30_05_2024'!A1:M2000""), {2, 3, 4, 5,6,7,8,9,10,11,12,13}, 0))"),5)</f>
        <v>5</v>
      </c>
      <c r="V44" s="11">
        <f ca="1">IFERROR(__xludf.DUMMYFUNCTION("""COMPUTED_VALUE"""),6)</f>
        <v>6</v>
      </c>
      <c r="W44" s="11">
        <f ca="1">IFERROR(__xludf.DUMMYFUNCTION("""COMPUTED_VALUE"""),2)</f>
        <v>2</v>
      </c>
      <c r="X44" s="11">
        <f ca="1">IFERROR(__xludf.DUMMYFUNCTION("""COMPUTED_VALUE"""),13)</f>
        <v>13</v>
      </c>
      <c r="Y44" s="11">
        <f ca="1">IFERROR(__xludf.DUMMYFUNCTION("""COMPUTED_VALUE"""),4)</f>
        <v>4</v>
      </c>
      <c r="Z44" s="29">
        <f ca="1">IFERROR(__xludf.DUMMYFUNCTION("""COMPUTED_VALUE"""),5)</f>
        <v>5</v>
      </c>
      <c r="AA44" s="29">
        <f ca="1">IFERROR(__xludf.DUMMYFUNCTION("""COMPUTED_VALUE"""),1)</f>
        <v>1</v>
      </c>
      <c r="AB44" s="12">
        <f ca="1">IFERROR(__xludf.DUMMYFUNCTION("""COMPUTED_VALUE"""),10)</f>
        <v>10</v>
      </c>
      <c r="AC44" s="12"/>
      <c r="AD44" s="12"/>
      <c r="AE44" s="12"/>
      <c r="AF44" s="12"/>
      <c r="AG44" s="13" t="str">
        <f ca="1">IFERROR(__xludf.DUMMYFUNCTION("ArrayFormula(VLOOKUP(G44, IMPORTRANGE(""https://docs.google.com/spreadsheets/d/1Co934fvtviyaRiMsrIlT05Jaq7iiYq07aLvRr35KA48/edit?gid=173865642#gid=173865642"", ""'G6_Maths_Pri_LU'!G2:V2000""), {3, 4, 5, 6, 7, 8, 9, 10, 11, 12, 13, 14, 15, 16}, 0))"),"LU000192")</f>
        <v>LU000192</v>
      </c>
      <c r="AH44" s="13" t="str">
        <f ca="1">IFERROR(__xludf.DUMMYFUNCTION("""COMPUTED_VALUE"""),"Factor of number")</f>
        <v>Factor of number</v>
      </c>
      <c r="AI44" s="13" t="str">
        <f ca="1">IFERROR(__xludf.DUMMYFUNCTION("""COMPUTED_VALUE"""),"LU000193")</f>
        <v>LU000193</v>
      </c>
      <c r="AJ44" s="13" t="str">
        <f ca="1">IFERROR(__xludf.DUMMYFUNCTION("""COMPUTED_VALUE"""),"Multiple of number")</f>
        <v>Multiple of number</v>
      </c>
      <c r="AK44" s="13" t="str">
        <f ca="1">IFERROR(__xludf.DUMMYFUNCTION("""COMPUTED_VALUE"""),"LU000121")</f>
        <v>LU000121</v>
      </c>
      <c r="AL44" s="13" t="str">
        <f ca="1">IFERROR(__xludf.DUMMYFUNCTION("""COMPUTED_VALUE"""),"Division of five-digit numbers by one-digit/two-digit/three-digit/four-digit numbers using standard algorithms")</f>
        <v>Division of five-digit numbers by one-digit/two-digit/three-digit/four-digit numbers using standard algorithms</v>
      </c>
      <c r="AM44" s="13" t="str">
        <f ca="1">IFERROR(__xludf.DUMMYFUNCTION("""COMPUTED_VALUE"""),"LU000118")</f>
        <v>LU000118</v>
      </c>
      <c r="AN44" s="13" t="str">
        <f ca="1">IFERROR(__xludf.DUMMYFUNCTION("""COMPUTED_VALUE"""),"Multiplication of five-digit numbers by one-digit/two-digit/three-digit/four-digit/five-digit numbers")</f>
        <v>Multiplication of five-digit numbers by one-digit/two-digit/three-digit/four-digit/five-digit numbers</v>
      </c>
      <c r="AO44" s="13"/>
      <c r="AP44" s="13"/>
      <c r="AQ44" s="13"/>
      <c r="AR44" s="13"/>
      <c r="AS44" s="13"/>
      <c r="AT44" s="13"/>
    </row>
    <row r="45" spans="1:46">
      <c r="A45" s="8" t="s">
        <v>247</v>
      </c>
      <c r="B45" s="8" t="s">
        <v>47</v>
      </c>
      <c r="C45" s="8" t="s">
        <v>48</v>
      </c>
      <c r="D45" s="8" t="s">
        <v>49</v>
      </c>
      <c r="E45" s="8" t="s">
        <v>286</v>
      </c>
      <c r="F45" s="8" t="s">
        <v>295</v>
      </c>
      <c r="G45" s="8" t="s">
        <v>149</v>
      </c>
      <c r="H45" s="8" t="str">
        <f ca="1">IFERROR(__xludf.DUMMYFUNCTION("VLOOKUP(G45, IMPORTRANGE(""https://docs.google.com/spreadsheets/d/14deopnvwcrKtEGCKuYXdUHJbeLDZlkiSSWWT0g7x2pM/edit#gid=999382323"", ""LU List Maths (Filter)!A:B""), 2, FALSE)"),"Test for divisibility by 4")</f>
        <v>Test for divisibility by 4</v>
      </c>
      <c r="I45" s="10" t="str">
        <f t="shared" si="0"/>
        <v>LU000201.001</v>
      </c>
      <c r="J45" s="10" t="str">
        <f ca="1">IFERROR(__xludf.DUMMYFUNCTION("VLOOKUP(I45, IMPORTRANGE(""https://docs.google.com/spreadsheets/d/1yDAaXNsi4Mr5FtRQL4tbmSdIzhx6_m4wkOD7IG-k_eo/edit#gid=0"", ""Maths!M:N""), 2, FALSE)"),"List the rule that a number is divisible by 4 if the last two digits form a number divisible by 4")</f>
        <v>List the rule that a number is divisible by 4 if the last two digits form a number divisible by 4</v>
      </c>
      <c r="K45" s="10" t="str">
        <f t="shared" si="1"/>
        <v>LU000201.002</v>
      </c>
      <c r="L45" s="10" t="str">
        <f ca="1">IFERROR(__xludf.DUMMYFUNCTION("VLOOKUP(K45, IMPORTRANGE(""https://docs.google.com/spreadsheets/d/1yDAaXNsi4Mr5FtRQL4tbmSdIzhx6_m4wkOD7IG-k_eo/edit#gid=0"", ""Maths!M:N""), 2, FALSE)"),"Find out the divisibility rule for 4.")</f>
        <v>Find out the divisibility rule for 4.</v>
      </c>
      <c r="M45" s="10" t="str">
        <f t="shared" si="2"/>
        <v>LU000201.003</v>
      </c>
      <c r="N45" s="10" t="str">
        <f ca="1">IFERROR(__xludf.DUMMYFUNCTION("VLOOKUP(M45, IMPORTRANGE(""https://docs.google.com/spreadsheets/d/1yDAaXNsi4Mr5FtRQL4tbmSdIzhx6_m4wkOD7IG-k_eo/edit#gid=0"", ""Maths!M:N""), 2, FALSE)"),"Apply the rule for divisibility by 4 to determine if a number is divisible by 4 or not.")</f>
        <v>Apply the rule for divisibility by 4 to determine if a number is divisible by 4 or not.</v>
      </c>
      <c r="O45" s="10" t="str">
        <f t="shared" si="3"/>
        <v>LU000201.004</v>
      </c>
      <c r="P45" s="10" t="str">
        <f ca="1">IFERROR(__xludf.DUMMYFUNCTION("VLOOKUP(O45, IMPORTRANGE(""https://docs.google.com/spreadsheets/d/1yDAaXNsi4Mr5FtRQL4tbmSdIzhx6_m4wkOD7IG-k_eo/edit#gid=0"", ""Maths!M:N""), 2, FALSE)"),"Analyse the last two digits of numbers to determine whether they meet the conditions of the divisibility rule for 4")</f>
        <v>Analyse the last two digits of numbers to determine whether they meet the conditions of the divisibility rule for 4</v>
      </c>
      <c r="Q45" s="10" t="str">
        <f t="shared" si="4"/>
        <v>LU000201.005</v>
      </c>
      <c r="R45" s="10" t="str">
        <f ca="1">IFERROR(__xludf.DUMMYFUNCTION("VLOOKUP(Q45, IMPORTRANGE(""https://docs.google.com/spreadsheets/d/1yDAaXNsi4Mr5FtRQL4tbmSdIzhx6_m4wkOD7IG-k_eo/edit#gid=0"", ""Maths!M:N""), 2, FALSE)"),"Evaluate the efficiency of using the divisibility rule for 4 in quickly identifying numbers divisible by 4.")</f>
        <v>Evaluate the efficiency of using the divisibility rule for 4 in quickly identifying numbers divisible by 4.</v>
      </c>
      <c r="S45" s="10" t="str">
        <f t="shared" si="5"/>
        <v>LU000201.006</v>
      </c>
      <c r="T45" s="10" t="str">
        <f ca="1">IFERROR(__xludf.DUMMYFUNCTION("VLOOKUP(S45, IMPORTRANGE(""https://docs.google.com/spreadsheets/d/1yDAaXNsi4Mr5FtRQL4tbmSdIzhx6_m4wkOD7IG-k_eo/edit#gid=0"", ""Maths!M:N""), 2, FALSE)"),"Create a set of number sequences to apply the divisibility rule by 4.")</f>
        <v>Create a set of number sequences to apply the divisibility rule by 4.</v>
      </c>
      <c r="U45" s="11">
        <f ca="1">IFERROR(__xludf.DUMMYFUNCTION("ArrayFormula(VLOOKUP(G45, IMPORTRANGE(""https://docs.google.com/spreadsheets/d/1p7R4vtkWt5VOBim4ltsDG9KTzSjrtKXsMtQGXPHyND0/edit#gid=795171502"", ""'Filter 30_05_2024'!A1:M2000""), {2, 3, 4, 5,6,7,8,9,10,11,12,13}, 0))"),4)</f>
        <v>4</v>
      </c>
      <c r="V45" s="11">
        <f ca="1">IFERROR(__xludf.DUMMYFUNCTION("""COMPUTED_VALUE"""),6)</f>
        <v>6</v>
      </c>
      <c r="W45" s="11">
        <f ca="1">IFERROR(__xludf.DUMMYFUNCTION("""COMPUTED_VALUE"""),2)</f>
        <v>2</v>
      </c>
      <c r="X45" s="11">
        <f ca="1">IFERROR(__xludf.DUMMYFUNCTION("""COMPUTED_VALUE"""),12)</f>
        <v>12</v>
      </c>
      <c r="Y45" s="11">
        <f ca="1">IFERROR(__xludf.DUMMYFUNCTION("""COMPUTED_VALUE"""),4)</f>
        <v>4</v>
      </c>
      <c r="Z45" s="29">
        <f ca="1">IFERROR(__xludf.DUMMYFUNCTION("""COMPUTED_VALUE"""),3)</f>
        <v>3</v>
      </c>
      <c r="AA45" s="29">
        <f ca="1">IFERROR(__xludf.DUMMYFUNCTION("""COMPUTED_VALUE"""),1)</f>
        <v>1</v>
      </c>
      <c r="AB45" s="12">
        <f ca="1">IFERROR(__xludf.DUMMYFUNCTION("""COMPUTED_VALUE"""),8)</f>
        <v>8</v>
      </c>
      <c r="AC45" s="12"/>
      <c r="AD45" s="12"/>
      <c r="AE45" s="12"/>
      <c r="AF45" s="12"/>
      <c r="AG45" s="13" t="str">
        <f ca="1">IFERROR(__xludf.DUMMYFUNCTION("ArrayFormula(VLOOKUP(G45, IMPORTRANGE(""https://docs.google.com/spreadsheets/d/1Co934fvtviyaRiMsrIlT05Jaq7iiYq07aLvRr35KA48/edit?gid=173865642#gid=173865642"", ""'G6_Maths_Pri_LU'!G2:V2000""), {3, 4, 5, 6, 7, 8, 9, 10, 11, 12, 13, 14, 15, 16}, 0))"),"LU000124")</f>
        <v>LU000124</v>
      </c>
      <c r="AH45" s="13" t="str">
        <f ca="1">IFERROR(__xludf.DUMMYFUNCTION("""COMPUTED_VALUE"""),"Division of three-digit numbers by one-digit/two-digit numbers using standard algorithms")</f>
        <v>Division of three-digit numbers by one-digit/two-digit numbers using standard algorithms</v>
      </c>
      <c r="AI45" s="13" t="str">
        <f ca="1">IFERROR(__xludf.DUMMYFUNCTION("""COMPUTED_VALUE"""),"LU000153")</f>
        <v>LU000153</v>
      </c>
      <c r="AJ45" s="13" t="str">
        <f ca="1">IFERROR(__xludf.DUMMYFUNCTION("""COMPUTED_VALUE"""),"Place value system in whole numbers (upto 9-digit numbers)")</f>
        <v>Place value system in whole numbers (upto 9-digit numbers)</v>
      </c>
      <c r="AK45" s="13" t="str">
        <f ca="1">IFERROR(__xludf.DUMMYFUNCTION("""COMPUTED_VALUE"""),"LU000192")</f>
        <v>LU000192</v>
      </c>
      <c r="AL45" s="13" t="str">
        <f ca="1">IFERROR(__xludf.DUMMYFUNCTION("""COMPUTED_VALUE"""),"Factor of number")</f>
        <v>Factor of number</v>
      </c>
      <c r="AM45" s="13" t="str">
        <f ca="1">IFERROR(__xludf.DUMMYFUNCTION("""COMPUTED_VALUE"""),"LU000193")</f>
        <v>LU000193</v>
      </c>
      <c r="AN45" s="13" t="str">
        <f ca="1">IFERROR(__xludf.DUMMYFUNCTION("""COMPUTED_VALUE"""),"Multiple of number")</f>
        <v>Multiple of number</v>
      </c>
      <c r="AO45" s="13"/>
      <c r="AP45" s="13"/>
      <c r="AQ45" s="13"/>
      <c r="AR45" s="13"/>
      <c r="AS45" s="13"/>
      <c r="AT45" s="13"/>
    </row>
    <row r="46" spans="1:46">
      <c r="A46" s="8" t="s">
        <v>247</v>
      </c>
      <c r="B46" s="8" t="s">
        <v>47</v>
      </c>
      <c r="C46" s="8" t="s">
        <v>48</v>
      </c>
      <c r="D46" s="8" t="s">
        <v>49</v>
      </c>
      <c r="E46" s="8" t="s">
        <v>286</v>
      </c>
      <c r="F46" s="8" t="s">
        <v>295</v>
      </c>
      <c r="G46" s="8" t="s">
        <v>150</v>
      </c>
      <c r="H46" s="8" t="str">
        <f ca="1">IFERROR(__xludf.DUMMYFUNCTION("VLOOKUP(G46, IMPORTRANGE(""https://docs.google.com/spreadsheets/d/14deopnvwcrKtEGCKuYXdUHJbeLDZlkiSSWWT0g7x2pM/edit#gid=999382323"", ""LU List Maths (Filter)!A:B""), 2, FALSE)"),"Test for divisibility by 8")</f>
        <v>Test for divisibility by 8</v>
      </c>
      <c r="I46" s="10" t="str">
        <f t="shared" si="0"/>
        <v>LU000205.001</v>
      </c>
      <c r="J46" s="10" t="str">
        <f ca="1">IFERROR(__xludf.DUMMYFUNCTION("VLOOKUP(I46, IMPORTRANGE(""https://docs.google.com/spreadsheets/d/1yDAaXNsi4Mr5FtRQL4tbmSdIzhx6_m4wkOD7IG-k_eo/edit#gid=0"", ""Maths!M:N""), 2, FALSE)"),"List the rule of divisibility by 8.")</f>
        <v>List the rule of divisibility by 8.</v>
      </c>
      <c r="K46" s="10" t="str">
        <f t="shared" si="1"/>
        <v>LU000205.002</v>
      </c>
      <c r="L46" s="10" t="str">
        <f ca="1">IFERROR(__xludf.DUMMYFUNCTION("VLOOKUP(K46, IMPORTRANGE(""https://docs.google.com/spreadsheets/d/1yDAaXNsi4Mr5FtRQL4tbmSdIzhx6_m4wkOD7IG-k_eo/edit#gid=0"", ""Maths!M:N""), 2, FALSE)"),"Find out the divisibility rule for 8.")</f>
        <v>Find out the divisibility rule for 8.</v>
      </c>
      <c r="M46" s="10" t="str">
        <f t="shared" si="2"/>
        <v>LU000205.003</v>
      </c>
      <c r="N46" s="10" t="str">
        <f ca="1">IFERROR(__xludf.DUMMYFUNCTION("VLOOKUP(M46, IMPORTRANGE(""https://docs.google.com/spreadsheets/d/1yDAaXNsi4Mr5FtRQL4tbmSdIzhx6_m4wkOD7IG-k_eo/edit#gid=0"", ""Maths!M:N""), 2, FALSE)"),"Apply the rule for divisibility by 8 to determine if a number is divisible by 8 or not.")</f>
        <v>Apply the rule for divisibility by 8 to determine if a number is divisible by 8 or not.</v>
      </c>
      <c r="O46" s="10" t="str">
        <f t="shared" si="3"/>
        <v>LU000205.004</v>
      </c>
      <c r="P46" s="10" t="str">
        <f ca="1">IFERROR(__xludf.DUMMYFUNCTION("VLOOKUP(O46, IMPORTRANGE(""https://docs.google.com/spreadsheets/d/1yDAaXNsi4Mr5FtRQL4tbmSdIzhx6_m4wkOD7IG-k_eo/edit#gid=0"", ""Maths!M:N""), 2, FALSE)"),"Analyse the last three digits of numbers to determine whether they meet the conditions of the divisibility rule for 8")</f>
        <v>Analyse the last three digits of numbers to determine whether they meet the conditions of the divisibility rule for 8</v>
      </c>
      <c r="Q46" s="10" t="str">
        <f t="shared" si="4"/>
        <v>LU000205.005</v>
      </c>
      <c r="R46" s="10" t="str">
        <f ca="1">IFERROR(__xludf.DUMMYFUNCTION("VLOOKUP(Q46, IMPORTRANGE(""https://docs.google.com/spreadsheets/d/1yDAaXNsi4Mr5FtRQL4tbmSdIzhx6_m4wkOD7IG-k_eo/edit#gid=0"", ""Maths!M:N""), 2, FALSE)"),"Evaluate the efficiency of using the divisibility rule for 8 in quickly identifying numbers divisible by 8.")</f>
        <v>Evaluate the efficiency of using the divisibility rule for 8 in quickly identifying numbers divisible by 8.</v>
      </c>
      <c r="S46" s="10" t="str">
        <f t="shared" si="5"/>
        <v>LU000205.006</v>
      </c>
      <c r="T46" s="10" t="str">
        <f ca="1">IFERROR(__xludf.DUMMYFUNCTION("VLOOKUP(S46, IMPORTRANGE(""https://docs.google.com/spreadsheets/d/1yDAaXNsi4Mr5FtRQL4tbmSdIzhx6_m4wkOD7IG-k_eo/edit#gid=0"", ""Maths!M:N""), 2, FALSE)"),"Create a set of number sequences to apply the divisibility rule by 8.")</f>
        <v>Create a set of number sequences to apply the divisibility rule by 8.</v>
      </c>
      <c r="U46" s="11">
        <f ca="1">IFERROR(__xludf.DUMMYFUNCTION("ArrayFormula(VLOOKUP(G46, IMPORTRANGE(""https://docs.google.com/spreadsheets/d/1p7R4vtkWt5VOBim4ltsDG9KTzSjrtKXsMtQGXPHyND0/edit#gid=795171502"", ""'Filter 30_05_2024'!A1:M2000""), {2, 3, 4, 5,6,7,8,9,10,11,12,13}, 0))"),4)</f>
        <v>4</v>
      </c>
      <c r="V46" s="11">
        <f ca="1">IFERROR(__xludf.DUMMYFUNCTION("""COMPUTED_VALUE"""),8)</f>
        <v>8</v>
      </c>
      <c r="W46" s="11">
        <f ca="1">IFERROR(__xludf.DUMMYFUNCTION("""COMPUTED_VALUE"""),2)</f>
        <v>2</v>
      </c>
      <c r="X46" s="11">
        <f ca="1">IFERROR(__xludf.DUMMYFUNCTION("""COMPUTED_VALUE"""),14)</f>
        <v>14</v>
      </c>
      <c r="Y46" s="11">
        <f ca="1">IFERROR(__xludf.DUMMYFUNCTION("""COMPUTED_VALUE"""),4)</f>
        <v>4</v>
      </c>
      <c r="Z46" s="29">
        <f ca="1">IFERROR(__xludf.DUMMYFUNCTION("""COMPUTED_VALUE"""),3)</f>
        <v>3</v>
      </c>
      <c r="AA46" s="29">
        <f ca="1">IFERROR(__xludf.DUMMYFUNCTION("""COMPUTED_VALUE"""),2)</f>
        <v>2</v>
      </c>
      <c r="AB46" s="12">
        <f ca="1">IFERROR(__xludf.DUMMYFUNCTION("""COMPUTED_VALUE"""),9)</f>
        <v>9</v>
      </c>
      <c r="AC46" s="12"/>
      <c r="AD46" s="12"/>
      <c r="AE46" s="12"/>
      <c r="AF46" s="12"/>
      <c r="AG46" s="13" t="str">
        <f ca="1">IFERROR(__xludf.DUMMYFUNCTION("ArrayFormula(VLOOKUP(G46, IMPORTRANGE(""https://docs.google.com/spreadsheets/d/1Co934fvtviyaRiMsrIlT05Jaq7iiYq07aLvRr35KA48/edit?gid=173865642#gid=173865642"", ""'G6_Maths_Pri_LU'!G2:V2000""), {3, 4, 5, 6, 7, 8, 9, 10, 11, 12, 13, 14, 15, 16}, 0))"),"LU000124")</f>
        <v>LU000124</v>
      </c>
      <c r="AH46" s="13" t="str">
        <f ca="1">IFERROR(__xludf.DUMMYFUNCTION("""COMPUTED_VALUE"""),"Division of three-digit numbers by one-digit/two-digit numbers using standard algorithms")</f>
        <v>Division of three-digit numbers by one-digit/two-digit numbers using standard algorithms</v>
      </c>
      <c r="AI46" s="13" t="str">
        <f ca="1">IFERROR(__xludf.DUMMYFUNCTION("""COMPUTED_VALUE"""),"LU000153")</f>
        <v>LU000153</v>
      </c>
      <c r="AJ46" s="13" t="str">
        <f ca="1">IFERROR(__xludf.DUMMYFUNCTION("""COMPUTED_VALUE"""),"Place value system in whole numbers (upto 9-digit numbers)")</f>
        <v>Place value system in whole numbers (upto 9-digit numbers)</v>
      </c>
      <c r="AK46" s="13" t="str">
        <f ca="1">IFERROR(__xludf.DUMMYFUNCTION("""COMPUTED_VALUE"""),"LU000192")</f>
        <v>LU000192</v>
      </c>
      <c r="AL46" s="13" t="str">
        <f ca="1">IFERROR(__xludf.DUMMYFUNCTION("""COMPUTED_VALUE"""),"Factor of number")</f>
        <v>Factor of number</v>
      </c>
      <c r="AM46" s="13" t="str">
        <f ca="1">IFERROR(__xludf.DUMMYFUNCTION("""COMPUTED_VALUE"""),"LU000193")</f>
        <v>LU000193</v>
      </c>
      <c r="AN46" s="13" t="str">
        <f ca="1">IFERROR(__xludf.DUMMYFUNCTION("""COMPUTED_VALUE"""),"Multiple of number")</f>
        <v>Multiple of number</v>
      </c>
      <c r="AO46" s="13"/>
      <c r="AP46" s="13"/>
      <c r="AQ46" s="13"/>
      <c r="AR46" s="13"/>
      <c r="AS46" s="13"/>
      <c r="AT46" s="13"/>
    </row>
    <row r="47" spans="1:46">
      <c r="A47" s="8" t="s">
        <v>247</v>
      </c>
      <c r="B47" s="8" t="s">
        <v>47</v>
      </c>
      <c r="C47" s="8" t="s">
        <v>48</v>
      </c>
      <c r="D47" s="8" t="s">
        <v>49</v>
      </c>
      <c r="E47" s="8" t="s">
        <v>286</v>
      </c>
      <c r="F47" s="8" t="s">
        <v>295</v>
      </c>
      <c r="G47" s="8" t="s">
        <v>296</v>
      </c>
      <c r="H47" s="8" t="str">
        <f ca="1">IFERROR(__xludf.DUMMYFUNCTION("VLOOKUP(G47, IMPORTRANGE(""https://docs.google.com/spreadsheets/d/14deopnvwcrKtEGCKuYXdUHJbeLDZlkiSSWWT0g7x2pM/edit#gid=999382323"", ""LU List Maths (Filter)!A:B""), 2, FALSE)"),"Test for divisibility by 11")</f>
        <v>Test for divisibility by 11</v>
      </c>
      <c r="I47" s="10" t="str">
        <f t="shared" si="0"/>
        <v>LU000208.001</v>
      </c>
      <c r="J47" s="10" t="str">
        <f ca="1">IFERROR(__xludf.DUMMYFUNCTION("VLOOKUP(I47, IMPORTRANGE(""https://docs.google.com/spreadsheets/d/1yDAaXNsi4Mr5FtRQL4tbmSdIzhx6_m4wkOD7IG-k_eo/edit#gid=0"", ""Maths!M:N""), 2, FALSE)"),"List the rule of divisibility by 11.")</f>
        <v>List the rule of divisibility by 11.</v>
      </c>
      <c r="K47" s="10" t="str">
        <f t="shared" si="1"/>
        <v>LU000208.002</v>
      </c>
      <c r="L47" s="10" t="str">
        <f ca="1">IFERROR(__xludf.DUMMYFUNCTION("VLOOKUP(K47, IMPORTRANGE(""https://docs.google.com/spreadsheets/d/1yDAaXNsi4Mr5FtRQL4tbmSdIzhx6_m4wkOD7IG-k_eo/edit#gid=0"", ""Maths!M:N""), 2, FALSE)"),"Find out the divisibility rule for 11.")</f>
        <v>Find out the divisibility rule for 11.</v>
      </c>
      <c r="M47" s="10" t="str">
        <f t="shared" si="2"/>
        <v>LU000208.003</v>
      </c>
      <c r="N47" s="10" t="str">
        <f ca="1">IFERROR(__xludf.DUMMYFUNCTION("VLOOKUP(M47, IMPORTRANGE(""https://docs.google.com/spreadsheets/d/1yDAaXNsi4Mr5FtRQL4tbmSdIzhx6_m4wkOD7IG-k_eo/edit#gid=0"", ""Maths!M:N""), 2, FALSE)"),"Apply the rule for divisibility by 11 to determine if a number is divisible by 11 or not.")</f>
        <v>Apply the rule for divisibility by 11 to determine if a number is divisible by 11 or not.</v>
      </c>
      <c r="O47" s="10" t="str">
        <f t="shared" si="3"/>
        <v>LU000208.004</v>
      </c>
      <c r="P47" s="10" t="str">
        <f ca="1">IFERROR(__xludf.DUMMYFUNCTION("VLOOKUP(O47, IMPORTRANGE(""https://docs.google.com/spreadsheets/d/1yDAaXNsi4Mr5FtRQL4tbmSdIzhx6_m4wkOD7IG-k_eo/edit#gid=0"", ""Maths!M:N""), 2, FALSE)"),"Analyse the result obtained by applying the divisibility rule for 11 to confirm if a number meets the condition of divisibility")</f>
        <v>Analyse the result obtained by applying the divisibility rule for 11 to confirm if a number meets the condition of divisibility</v>
      </c>
      <c r="Q47" s="10" t="str">
        <f t="shared" si="4"/>
        <v>LU000208.005</v>
      </c>
      <c r="R47" s="10" t="str">
        <f ca="1">IFERROR(__xludf.DUMMYFUNCTION("VLOOKUP(Q47, IMPORTRANGE(""https://docs.google.com/spreadsheets/d/1yDAaXNsi4Mr5FtRQL4tbmSdIzhx6_m4wkOD7IG-k_eo/edit#gid=0"", ""Maths!M:N""), 2, FALSE)"),"Evaluate the efficiency of using the divisibility rule for 11 in quickly identifying numbers divisible by 11.")</f>
        <v>Evaluate the efficiency of using the divisibility rule for 11 in quickly identifying numbers divisible by 11.</v>
      </c>
      <c r="S47" s="10" t="str">
        <f t="shared" si="5"/>
        <v>LU000208.006</v>
      </c>
      <c r="T47" s="10" t="str">
        <f ca="1">IFERROR(__xludf.DUMMYFUNCTION("VLOOKUP(S47, IMPORTRANGE(""https://docs.google.com/spreadsheets/d/1yDAaXNsi4Mr5FtRQL4tbmSdIzhx6_m4wkOD7IG-k_eo/edit#gid=0"", ""Maths!M:N""), 2, FALSE)"),"Create a set of number sequences to apply the divisibility rule by 11.")</f>
        <v>Create a set of number sequences to apply the divisibility rule by 11.</v>
      </c>
      <c r="U47" s="11">
        <f ca="1">IFERROR(__xludf.DUMMYFUNCTION("ArrayFormula(VLOOKUP(G47, IMPORTRANGE(""https://docs.google.com/spreadsheets/d/1p7R4vtkWt5VOBim4ltsDG9KTzSjrtKXsMtQGXPHyND0/edit#gid=795171502"", ""'Filter 30_05_2024'!A1:M2000""), {2, 3, 4, 5,6,7,8,9,10,11,12,13}, 0))"),4)</f>
        <v>4</v>
      </c>
      <c r="V47" s="11">
        <f ca="1">IFERROR(__xludf.DUMMYFUNCTION("""COMPUTED_VALUE"""),4)</f>
        <v>4</v>
      </c>
      <c r="W47" s="11">
        <f ca="1">IFERROR(__xludf.DUMMYFUNCTION("""COMPUTED_VALUE"""),2)</f>
        <v>2</v>
      </c>
      <c r="X47" s="11">
        <f ca="1">IFERROR(__xludf.DUMMYFUNCTION("""COMPUTED_VALUE"""),10)</f>
        <v>10</v>
      </c>
      <c r="Y47" s="11">
        <f ca="1">IFERROR(__xludf.DUMMYFUNCTION("""COMPUTED_VALUE"""),4)</f>
        <v>4</v>
      </c>
      <c r="Z47" s="29">
        <f ca="1">IFERROR(__xludf.DUMMYFUNCTION("""COMPUTED_VALUE"""),4)</f>
        <v>4</v>
      </c>
      <c r="AA47" s="29">
        <f ca="1">IFERROR(__xludf.DUMMYFUNCTION("""COMPUTED_VALUE"""),1)</f>
        <v>1</v>
      </c>
      <c r="AB47" s="12">
        <f ca="1">IFERROR(__xludf.DUMMYFUNCTION("""COMPUTED_VALUE"""),9)</f>
        <v>9</v>
      </c>
      <c r="AC47" s="12"/>
      <c r="AD47" s="12"/>
      <c r="AE47" s="12"/>
      <c r="AF47" s="12"/>
      <c r="AG47" s="13" t="str">
        <f ca="1">IFERROR(__xludf.DUMMYFUNCTION("ArrayFormula(VLOOKUP(G47, IMPORTRANGE(""https://docs.google.com/spreadsheets/d/1Co934fvtviyaRiMsrIlT05Jaq7iiYq07aLvRr35KA48/edit?gid=173865642#gid=173865642"", ""'G6_Maths_Pri_LU'!G2:V2000""), {3, 4, 5, 6, 7, 8, 9, 10, 11, 12, 13, 14, 15, 16}, 0))"),"LU001069")</f>
        <v>LU001069</v>
      </c>
      <c r="AH47" s="13" t="str">
        <f ca="1">IFERROR(__xludf.DUMMYFUNCTION("""COMPUTED_VALUE"""),"Definition of face value of digit in a number")</f>
        <v>Definition of face value of digit in a number</v>
      </c>
      <c r="AI47" s="13" t="str">
        <f ca="1">IFERROR(__xludf.DUMMYFUNCTION("""COMPUTED_VALUE"""),"LU000969")</f>
        <v>LU000969</v>
      </c>
      <c r="AJ47" s="13" t="str">
        <f ca="1">IFERROR(__xludf.DUMMYFUNCTION("""COMPUTED_VALUE"""),"Mixed operation of addition and subtraction of three or more whole numbers without number line.")</f>
        <v>Mixed operation of addition and subtraction of three or more whole numbers without number line.</v>
      </c>
      <c r="AK47" s="13" t="str">
        <f ca="1">IFERROR(__xludf.DUMMYFUNCTION("""COMPUTED_VALUE"""),"LU000192")</f>
        <v>LU000192</v>
      </c>
      <c r="AL47" s="13" t="str">
        <f ca="1">IFERROR(__xludf.DUMMYFUNCTION("""COMPUTED_VALUE"""),"Factor of number")</f>
        <v>Factor of number</v>
      </c>
      <c r="AM47" s="13" t="str">
        <f ca="1">IFERROR(__xludf.DUMMYFUNCTION("""COMPUTED_VALUE"""),"LU000193")</f>
        <v>LU000193</v>
      </c>
      <c r="AN47" s="13" t="str">
        <f ca="1">IFERROR(__xludf.DUMMYFUNCTION("""COMPUTED_VALUE"""),"Multiple of number")</f>
        <v>Multiple of number</v>
      </c>
      <c r="AO47" s="13" t="str">
        <f ca="1">IFERROR(__xludf.DUMMYFUNCTION("""COMPUTED_VALUE"""),"LU000118")</f>
        <v>LU000118</v>
      </c>
      <c r="AP47" s="13" t="str">
        <f ca="1">IFERROR(__xludf.DUMMYFUNCTION("""COMPUTED_VALUE"""),"Multiplication of five-digit numbers by one-digit/two-digit/three-digit/four-digit/five-digit numbers")</f>
        <v>Multiplication of five-digit numbers by one-digit/two-digit/three-digit/four-digit/five-digit numbers</v>
      </c>
      <c r="AQ47" s="13"/>
      <c r="AR47" s="13"/>
      <c r="AS47" s="13"/>
      <c r="AT47" s="13"/>
    </row>
    <row r="48" spans="1:46">
      <c r="A48" s="8" t="s">
        <v>247</v>
      </c>
      <c r="B48" s="8" t="s">
        <v>47</v>
      </c>
      <c r="C48" s="8" t="s">
        <v>48</v>
      </c>
      <c r="D48" s="8" t="s">
        <v>49</v>
      </c>
      <c r="E48" s="8" t="s">
        <v>286</v>
      </c>
      <c r="F48" s="9" t="s">
        <v>297</v>
      </c>
      <c r="G48" s="9" t="s">
        <v>298</v>
      </c>
      <c r="H48" s="9" t="str">
        <f ca="1">IFERROR(__xludf.DUMMYFUNCTION("VLOOKUP(G48, IMPORTRANGE(""https://docs.google.com/spreadsheets/d/14deopnvwcrKtEGCKuYXdUHJbeLDZlkiSSWWT0g7x2pM/edit#gid=999382323"", ""LU List Maths (Filter)!A:B""), 2, FALSE)"),"Divisibility rules of various numbers (2, 3, 4, 5, 6, 8, 9, 10 and 11)")</f>
        <v>Divisibility rules of various numbers (2, 3, 4, 5, 6, 8, 9, 10 and 11)</v>
      </c>
      <c r="I48" s="10" t="str">
        <f t="shared" si="0"/>
        <v>LU000921.001</v>
      </c>
      <c r="J48" s="10" t="str">
        <f ca="1">IFERROR(__xludf.DUMMYFUNCTION("VLOOKUP(I48, IMPORTRANGE(""https://docs.google.com/spreadsheets/d/1yDAaXNsi4Mr5FtRQL4tbmSdIzhx6_m4wkOD7IG-k_eo/edit#gid=0"", ""Maths!M:N""), 2, FALSE)"),"Recall the divisibility rules for numbers 2, 3, 4, 5, 6, 7, 8, 9, 10, and 11.")</f>
        <v>Recall the divisibility rules for numbers 2, 3, 4, 5, 6, 7, 8, 9, 10, and 11.</v>
      </c>
      <c r="K48" s="10" t="str">
        <f t="shared" si="1"/>
        <v>LU000921.002</v>
      </c>
      <c r="L48" s="10" t="str">
        <f ca="1">IFERROR(__xludf.DUMMYFUNCTION("VLOOKUP(K48, IMPORTRANGE(""https://docs.google.com/spreadsheets/d/1yDAaXNsi4Mr5FtRQL4tbmSdIzhx6_m4wkOD7IG-k_eo/edit#gid=0"", ""Maths!M:N""), 2, FALSE)"),"Differentiate between the divisibility rules for 2, 3, 4, 5, 6, 7, 8, 9, 10 and 11.")</f>
        <v>Differentiate between the divisibility rules for 2, 3, 4, 5, 6, 7, 8, 9, 10 and 11.</v>
      </c>
      <c r="M48" s="10" t="str">
        <f t="shared" si="2"/>
        <v>LU000921.003</v>
      </c>
      <c r="N48" s="10" t="str">
        <f ca="1">IFERROR(__xludf.DUMMYFUNCTION("VLOOKUP(M48, IMPORTRANGE(""https://docs.google.com/spreadsheets/d/1yDAaXNsi4Mr5FtRQL4tbmSdIzhx6_m4wkOD7IG-k_eo/edit#gid=0"", ""Maths!M:N""), 2, FALSE)"),"Solve problems that involve applying multiple divisibility rules")</f>
        <v>Solve problems that involve applying multiple divisibility rules</v>
      </c>
      <c r="O48" s="10" t="str">
        <f t="shared" si="3"/>
        <v>LU000921.004</v>
      </c>
      <c r="P48" s="10" t="str">
        <f ca="1">IFERROR(__xludf.DUMMYFUNCTION("VLOOKUP(O48, IMPORTRANGE(""https://docs.google.com/spreadsheets/d/1yDAaXNsi4Mr5FtRQL4tbmSdIzhx6_m4wkOD7IG-k_eo/edit#gid=0"", ""Maths!M:N""), 2, FALSE)"),"Analyze scenarios where understanding divisibility rules and relationship between digits is crucial in problem-solving.")</f>
        <v>Analyze scenarios where understanding divisibility rules and relationship between digits is crucial in problem-solving.</v>
      </c>
      <c r="Q48" s="10" t="str">
        <f t="shared" si="4"/>
        <v>LU000921.005</v>
      </c>
      <c r="R48" s="10" t="str">
        <f ca="1">IFERROR(__xludf.DUMMYFUNCTION("VLOOKUP(Q48, IMPORTRANGE(""https://docs.google.com/spreadsheets/d/1yDAaXNsi4Mr5FtRQL4tbmSdIzhx6_m4wkOD7IG-k_eo/edit#gid=0"", ""Maths!M:N""), 2, FALSE)"),"Assess the validity of statements about divisibility rules of various numbers (2, 3, 4, 5, 6, 7, 8, 9, 10 and 11).")</f>
        <v>Assess the validity of statements about divisibility rules of various numbers (2, 3, 4, 5, 6, 7, 8, 9, 10 and 11).</v>
      </c>
      <c r="S48" s="10" t="str">
        <f t="shared" si="5"/>
        <v>LU000921.006</v>
      </c>
      <c r="T48" s="10" t="str">
        <f ca="1">IFERROR(__xludf.DUMMYFUNCTION("VLOOKUP(S48, IMPORTRANGE(""https://docs.google.com/spreadsheets/d/1yDAaXNsi4Mr5FtRQL4tbmSdIzhx6_m4wkOD7IG-k_eo/edit#gid=0"", ""Maths!M:N""), 2, FALSE)"),"Create a real-world scenario where knowledge of various divisibility rules is essential to solve a problem.")</f>
        <v>Create a real-world scenario where knowledge of various divisibility rules is essential to solve a problem.</v>
      </c>
      <c r="U48" s="11">
        <f ca="1">IFERROR(__xludf.DUMMYFUNCTION("ArrayFormula(VLOOKUP(G48, IMPORTRANGE(""https://docs.google.com/spreadsheets/d/1p7R4vtkWt5VOBim4ltsDG9KTzSjrtKXsMtQGXPHyND0/edit#gid=795171502"", ""'Filter 30_05_2024'!A1:M2000""), {2, 3, 4, 5,6,7,8,9,10,11,12,13}, 0))"),4)</f>
        <v>4</v>
      </c>
      <c r="V48" s="11">
        <f ca="1">IFERROR(__xludf.DUMMYFUNCTION("""COMPUTED_VALUE"""),6)</f>
        <v>6</v>
      </c>
      <c r="W48" s="11">
        <f ca="1">IFERROR(__xludf.DUMMYFUNCTION("""COMPUTED_VALUE"""),2)</f>
        <v>2</v>
      </c>
      <c r="X48" s="11">
        <f ca="1">IFERROR(__xludf.DUMMYFUNCTION("""COMPUTED_VALUE"""),12)</f>
        <v>12</v>
      </c>
      <c r="Y48" s="11">
        <f ca="1">IFERROR(__xludf.DUMMYFUNCTION("""COMPUTED_VALUE"""),4)</f>
        <v>4</v>
      </c>
      <c r="Z48" s="29">
        <f ca="1">IFERROR(__xludf.DUMMYFUNCTION("""COMPUTED_VALUE"""),4)</f>
        <v>4</v>
      </c>
      <c r="AA48" s="29">
        <f ca="1">IFERROR(__xludf.DUMMYFUNCTION("""COMPUTED_VALUE"""),1)</f>
        <v>1</v>
      </c>
      <c r="AB48" s="12">
        <f ca="1">IFERROR(__xludf.DUMMYFUNCTION("""COMPUTED_VALUE"""),9)</f>
        <v>9</v>
      </c>
      <c r="AC48" s="12"/>
      <c r="AD48" s="12"/>
      <c r="AE48" s="12"/>
      <c r="AF48" s="12"/>
      <c r="AG48" s="13" t="str">
        <f ca="1">IFERROR(__xludf.DUMMYFUNCTION("ArrayFormula(VLOOKUP(G48, IMPORTRANGE(""https://docs.google.com/spreadsheets/d/1Co934fvtviyaRiMsrIlT05Jaq7iiYq07aLvRr35KA48/edit?gid=173865642#gid=173865642"", ""'G6_Maths_Pri_LU'!G2:V2000""), {3, 4, 5, 6, 7, 8, 9, 10, 11, 12, 13, 14, 15, 16}, 0))"),"LU000208")</f>
        <v>LU000208</v>
      </c>
      <c r="AH48" s="13" t="str">
        <f ca="1">IFERROR(__xludf.DUMMYFUNCTION("""COMPUTED_VALUE"""),"Test for divisibility by 11")</f>
        <v>Test for divisibility by 11</v>
      </c>
      <c r="AI48" s="13" t="str">
        <f ca="1">IFERROR(__xludf.DUMMYFUNCTION("""COMPUTED_VALUE"""),"LU000205")</f>
        <v>LU000205</v>
      </c>
      <c r="AJ48" s="13" t="str">
        <f ca="1">IFERROR(__xludf.DUMMYFUNCTION("""COMPUTED_VALUE"""),"Test for divisibility by 8")</f>
        <v>Test for divisibility by 8</v>
      </c>
      <c r="AK48" s="13" t="str">
        <f ca="1">IFERROR(__xludf.DUMMYFUNCTION("""COMPUTED_VALUE"""),"LU000206")</f>
        <v>LU000206</v>
      </c>
      <c r="AL48" s="13" t="str">
        <f ca="1">IFERROR(__xludf.DUMMYFUNCTION("""COMPUTED_VALUE"""),"Test for divisibility by 9")</f>
        <v>Test for divisibility by 9</v>
      </c>
      <c r="AM48" s="13" t="str">
        <f ca="1">IFERROR(__xludf.DUMMYFUNCTION("""COMPUTED_VALUE"""),"LU000203")</f>
        <v>LU000203</v>
      </c>
      <c r="AN48" s="13" t="str">
        <f ca="1">IFERROR(__xludf.DUMMYFUNCTION("""COMPUTED_VALUE"""),"Test for divisibility by 6")</f>
        <v>Test for divisibility by 6</v>
      </c>
      <c r="AO48" s="13" t="str">
        <f ca="1">IFERROR(__xludf.DUMMYFUNCTION("""COMPUTED_VALUE"""),"LU000202")</f>
        <v>LU000202</v>
      </c>
      <c r="AP48" s="13" t="str">
        <f ca="1">IFERROR(__xludf.DUMMYFUNCTION("""COMPUTED_VALUE"""),"Test for divisibility by 5")</f>
        <v>Test for divisibility by 5</v>
      </c>
      <c r="AQ48" s="13"/>
      <c r="AR48" s="13"/>
      <c r="AS48" s="13"/>
      <c r="AT48" s="13"/>
    </row>
    <row r="49" spans="1:46">
      <c r="A49" s="8" t="s">
        <v>247</v>
      </c>
      <c r="B49" s="8" t="s">
        <v>47</v>
      </c>
      <c r="C49" s="8" t="s">
        <v>48</v>
      </c>
      <c r="D49" s="8" t="s">
        <v>49</v>
      </c>
      <c r="E49" s="8" t="s">
        <v>286</v>
      </c>
      <c r="F49" s="8" t="s">
        <v>299</v>
      </c>
      <c r="G49" s="8" t="s">
        <v>132</v>
      </c>
      <c r="H49" s="8" t="str">
        <f ca="1">IFERROR(__xludf.DUMMYFUNCTION("VLOOKUP(G49, IMPORTRANGE(""https://docs.google.com/spreadsheets/d/14deopnvwcrKtEGCKuYXdUHJbeLDZlkiSSWWT0g7x2pM/edit#gid=999382323"", ""LU List Maths (Filter)!A:B""), 2, FALSE)"),"Common factors of numbers")</f>
        <v>Common factors of numbers</v>
      </c>
      <c r="I49" s="10" t="str">
        <f t="shared" si="0"/>
        <v>LU000060.001</v>
      </c>
      <c r="J49" s="10" t="str">
        <f ca="1">IFERROR(__xludf.DUMMYFUNCTION("VLOOKUP(I49, IMPORTRANGE(""https://docs.google.com/spreadsheets/d/1yDAaXNsi4Mr5FtRQL4tbmSdIzhx6_m4wkOD7IG-k_eo/edit#gid=0"", ""Maths!M:N""), 2, FALSE)"),"State the definition of common factors in mathematics.")</f>
        <v>State the definition of common factors in mathematics.</v>
      </c>
      <c r="K49" s="10" t="str">
        <f t="shared" si="1"/>
        <v>LU000060.002</v>
      </c>
      <c r="L49" s="10" t="str">
        <f ca="1">IFERROR(__xludf.DUMMYFUNCTION("VLOOKUP(K49, IMPORTRANGE(""https://docs.google.com/spreadsheets/d/1yDAaXNsi4Mr5FtRQL4tbmSdIzhx6_m4wkOD7IG-k_eo/edit#gid=0"", ""Maths!M:N""), 2, FALSE)"),"Explain the meaning and significance of common factors.")</f>
        <v>Explain the meaning and significance of common factors.</v>
      </c>
      <c r="M49" s="10" t="str">
        <f t="shared" si="2"/>
        <v>LU000060.003</v>
      </c>
      <c r="N49" s="10" t="str">
        <f ca="1">IFERROR(__xludf.DUMMYFUNCTION("VLOOKUP(M49, IMPORTRANGE(""https://docs.google.com/spreadsheets/d/1yDAaXNsi4Mr5FtRQL4tbmSdIzhx6_m4wkOD7IG-k_eo/edit#gid=0"", ""Maths!M:N""), 2, FALSE)"),"Use common factors to solve real-world problems involving multiples and divisors")</f>
        <v>Use common factors to solve real-world problems involving multiples and divisors</v>
      </c>
      <c r="O49" s="10" t="str">
        <f t="shared" si="3"/>
        <v>LU000060.004</v>
      </c>
      <c r="P49" s="10" t="str">
        <f ca="1">IFERROR(__xludf.DUMMYFUNCTION("VLOOKUP(O49, IMPORTRANGE(""https://docs.google.com/spreadsheets/d/1yDAaXNsi4Mr5FtRQL4tbmSdIzhx6_m4wkOD7IG-k_eo/edit#gid=0"", ""Maths!M:N""), 2, FALSE)"),"Examine pairs of numbers and analyze their common factors.")</f>
        <v>Examine pairs of numbers and analyze their common factors.</v>
      </c>
      <c r="Q49" s="10" t="str">
        <f t="shared" si="4"/>
        <v>LU000060.005</v>
      </c>
      <c r="R49" s="10" t="str">
        <f ca="1">IFERROR(__xludf.DUMMYFUNCTION("VLOOKUP(Q49, IMPORTRANGE(""https://docs.google.com/spreadsheets/d/1yDAaXNsi4Mr5FtRQL4tbmSdIzhx6_m4wkOD7IG-k_eo/edit#gid=0"", ""Maths!M:N""), 2, FALSE)"),"Assess the efficiency of using common factors to simplify fractions.")</f>
        <v>Assess the efficiency of using common factors to simplify fractions.</v>
      </c>
      <c r="S49" s="10" t="str">
        <f t="shared" si="5"/>
        <v>LU000060.006</v>
      </c>
      <c r="T49" s="10" t="str">
        <f ca="1">IFERROR(__xludf.DUMMYFUNCTION("VLOOKUP(S49, IMPORTRANGE(""https://docs.google.com/spreadsheets/d/1yDAaXNsi4Mr5FtRQL4tbmSdIzhx6_m4wkOD7IG-k_eo/edit#gid=0"", ""Maths!M:N""), 2, FALSE)"),"Create word problems that require students to identify common factors to solve.")</f>
        <v>Create word problems that require students to identify common factors to solve.</v>
      </c>
      <c r="U49" s="11">
        <f ca="1">IFERROR(__xludf.DUMMYFUNCTION("ArrayFormula(VLOOKUP(G49, IMPORTRANGE(""https://docs.google.com/spreadsheets/d/1p7R4vtkWt5VOBim4ltsDG9KTzSjrtKXsMtQGXPHyND0/edit#gid=795171502"", ""'Filter 30_05_2024'!A1:M2000""), {2, 3, 4, 5,6,7,8,9,10,11,12,13}, 0))"),4)</f>
        <v>4</v>
      </c>
      <c r="V49" s="11">
        <f ca="1">IFERROR(__xludf.DUMMYFUNCTION("""COMPUTED_VALUE"""),6)</f>
        <v>6</v>
      </c>
      <c r="W49" s="38"/>
      <c r="X49" s="11">
        <f ca="1">IFERROR(__xludf.DUMMYFUNCTION("""COMPUTED_VALUE"""),10)</f>
        <v>10</v>
      </c>
      <c r="Y49" s="11">
        <f ca="1">IFERROR(__xludf.DUMMYFUNCTION("""COMPUTED_VALUE"""),9)</f>
        <v>9</v>
      </c>
      <c r="Z49" s="29">
        <f ca="1">IFERROR(__xludf.DUMMYFUNCTION("""COMPUTED_VALUE"""),4)</f>
        <v>4</v>
      </c>
      <c r="AA49" s="29">
        <f ca="1">IFERROR(__xludf.DUMMYFUNCTION("""COMPUTED_VALUE"""),3)</f>
        <v>3</v>
      </c>
      <c r="AB49" s="12">
        <f ca="1">IFERROR(__xludf.DUMMYFUNCTION("""COMPUTED_VALUE"""),16)</f>
        <v>16</v>
      </c>
      <c r="AC49" s="12"/>
      <c r="AD49" s="12"/>
      <c r="AE49" s="12"/>
      <c r="AF49" s="12"/>
      <c r="AG49" s="13" t="str">
        <f ca="1">IFERROR(__xludf.DUMMYFUNCTION("ArrayFormula(VLOOKUP(G49, IMPORTRANGE(""https://docs.google.com/spreadsheets/d/1Co934fvtviyaRiMsrIlT05Jaq7iiYq07aLvRr35KA48/edit?gid=173865642#gid=173865642"", ""'G6_Maths_Pri_LU'!G2:V2000""), {3, 4, 5, 6, 7, 8, 9, 10, 11, 12, 13, 14, 15, 16}, 0))"),"LU000192")</f>
        <v>LU000192</v>
      </c>
      <c r="AH49" s="13" t="str">
        <f ca="1">IFERROR(__xludf.DUMMYFUNCTION("""COMPUTED_VALUE"""),"Factor of number")</f>
        <v>Factor of number</v>
      </c>
      <c r="AI49" s="13" t="str">
        <f ca="1">IFERROR(__xludf.DUMMYFUNCTION("""COMPUTED_VALUE"""),"LU000059")</f>
        <v>LU000059</v>
      </c>
      <c r="AJ49" s="13" t="str">
        <f ca="1">IFERROR(__xludf.DUMMYFUNCTION("""COMPUTED_VALUE"""),"Factors using factor tree")</f>
        <v>Factors using factor tree</v>
      </c>
      <c r="AK49" s="13" t="str">
        <f ca="1">IFERROR(__xludf.DUMMYFUNCTION("""COMPUTED_VALUE"""),"LU000124")</f>
        <v>LU000124</v>
      </c>
      <c r="AL49" s="13" t="str">
        <f ca="1">IFERROR(__xludf.DUMMYFUNCTION("""COMPUTED_VALUE"""),"Division of three-digit numbers by one-digit/two-digit numbers using standard algorithms")</f>
        <v>Division of three-digit numbers by one-digit/two-digit numbers using standard algorithms</v>
      </c>
      <c r="AM49" s="13"/>
      <c r="AN49" s="13"/>
      <c r="AO49" s="13"/>
      <c r="AP49" s="13"/>
      <c r="AQ49" s="13"/>
      <c r="AR49" s="13"/>
      <c r="AS49" s="13"/>
      <c r="AT49" s="13"/>
    </row>
    <row r="50" spans="1:46">
      <c r="A50" s="8" t="s">
        <v>247</v>
      </c>
      <c r="B50" s="8" t="s">
        <v>47</v>
      </c>
      <c r="C50" s="8" t="s">
        <v>48</v>
      </c>
      <c r="D50" s="8" t="s">
        <v>49</v>
      </c>
      <c r="E50" s="8" t="s">
        <v>286</v>
      </c>
      <c r="F50" s="8" t="s">
        <v>299</v>
      </c>
      <c r="G50" s="8" t="s">
        <v>129</v>
      </c>
      <c r="H50" s="8" t="str">
        <f ca="1">IFERROR(__xludf.DUMMYFUNCTION("VLOOKUP(G50, IMPORTRANGE(""https://docs.google.com/spreadsheets/d/14deopnvwcrKtEGCKuYXdUHJbeLDZlkiSSWWT0g7x2pM/edit#gid=999382323"", ""LU List Maths (Filter)!A:B""), 2, FALSE)"),"Definition of common multiples")</f>
        <v>Definition of common multiples</v>
      </c>
      <c r="I50" s="10" t="str">
        <f t="shared" si="0"/>
        <v>LU000058.001</v>
      </c>
      <c r="J50" s="10" t="str">
        <f ca="1">IFERROR(__xludf.DUMMYFUNCTION("VLOOKUP(I50, IMPORTRANGE(""https://docs.google.com/spreadsheets/d/1yDAaXNsi4Mr5FtRQL4tbmSdIzhx6_m4wkOD7IG-k_eo/edit#gid=0"", ""Maths!M:N""), 2, FALSE)"),"State the definition of common multiples.")</f>
        <v>State the definition of common multiples.</v>
      </c>
      <c r="K50" s="10" t="str">
        <f t="shared" si="1"/>
        <v>LU000058.002</v>
      </c>
      <c r="L50" s="10" t="str">
        <f ca="1">IFERROR(__xludf.DUMMYFUNCTION("VLOOKUP(K50, IMPORTRANGE(""https://docs.google.com/spreadsheets/d/1yDAaXNsi4Mr5FtRQL4tbmSdIzhx6_m4wkOD7IG-k_eo/edit#gid=0"", ""Maths!M:N""), 2, FALSE)"),"Explain the concept of common multiples and how they are related to numbers.")</f>
        <v>Explain the concept of common multiples and how they are related to numbers.</v>
      </c>
      <c r="M50" s="10" t="str">
        <f t="shared" si="2"/>
        <v>LU000058.003</v>
      </c>
      <c r="N50" s="10" t="str">
        <f ca="1">IFERROR(__xludf.DUMMYFUNCTION("VLOOKUP(M50, IMPORTRANGE(""https://docs.google.com/spreadsheets/d/1yDAaXNsi4Mr5FtRQL4tbmSdIzhx6_m4wkOD7IG-k_eo/edit#gid=0"", ""Maths!M:N""), 2, FALSE)"),"Use common multiples to solve simple problems related to multiple numbers")</f>
        <v>Use common multiples to solve simple problems related to multiple numbers</v>
      </c>
      <c r="O50" s="10" t="str">
        <f t="shared" si="3"/>
        <v>LU000058.004</v>
      </c>
      <c r="P50" s="10" t="str">
        <f ca="1">IFERROR(__xludf.DUMMYFUNCTION("VLOOKUP(O50, IMPORTRANGE(""https://docs.google.com/spreadsheets/d/1yDAaXNsi4Mr5FtRQL4tbmSdIzhx6_m4wkOD7IG-k_eo/edit#gid=0"", ""Maths!M:N""), 2, FALSE)"),"Examine a set of numbers and identify their common multiples.")</f>
        <v>Examine a set of numbers and identify their common multiples.</v>
      </c>
      <c r="Q50" s="10" t="str">
        <f t="shared" si="4"/>
        <v>LU000058.005</v>
      </c>
      <c r="R50" s="10" t="str">
        <f ca="1">IFERROR(__xludf.DUMMYFUNCTION("VLOOKUP(Q50, IMPORTRANGE(""https://docs.google.com/spreadsheets/d/1yDAaXNsi4Mr5FtRQL4tbmSdIzhx6_m4wkOD7IG-k_eo/edit#gid=0"", ""Maths!M:N""), 2, FALSE)"),"Assess the usefulness of common multiples in solving real-world problems")</f>
        <v>Assess the usefulness of common multiples in solving real-world problems</v>
      </c>
      <c r="S50" s="10" t="str">
        <f t="shared" si="5"/>
        <v>LU000058.006</v>
      </c>
      <c r="T50" s="10" t="str">
        <f ca="1">IFERROR(__xludf.DUMMYFUNCTION("VLOOKUP(S50, IMPORTRANGE(""https://docs.google.com/spreadsheets/d/1yDAaXNsi4Mr5FtRQL4tbmSdIzhx6_m4wkOD7IG-k_eo/edit#gid=0"", ""Maths!M:N""), 2, FALSE)"),"Create word problems that require the use of common multiples to find solutions.")</f>
        <v>Create word problems that require the use of common multiples to find solutions.</v>
      </c>
      <c r="U50" s="11">
        <f ca="1">IFERROR(__xludf.DUMMYFUNCTION("ArrayFormula(VLOOKUP(G50, IMPORTRANGE(""https://docs.google.com/spreadsheets/d/1p7R4vtkWt5VOBim4ltsDG9KTzSjrtKXsMtQGXPHyND0/edit#gid=795171502"", ""'Filter 30_05_2024'!A1:M2000""), {2, 3, 4, 5,6,7,8,9,10,11,12,13}, 0))"),4)</f>
        <v>4</v>
      </c>
      <c r="V50" s="11">
        <f ca="1">IFERROR(__xludf.DUMMYFUNCTION("""COMPUTED_VALUE"""),6)</f>
        <v>6</v>
      </c>
      <c r="W50" s="11">
        <f ca="1">IFERROR(__xludf.DUMMYFUNCTION("""COMPUTED_VALUE"""),6)</f>
        <v>6</v>
      </c>
      <c r="X50" s="11">
        <f ca="1">IFERROR(__xludf.DUMMYFUNCTION("""COMPUTED_VALUE"""),16)</f>
        <v>16</v>
      </c>
      <c r="Y50" s="11">
        <f ca="1">IFERROR(__xludf.DUMMYFUNCTION("""COMPUTED_VALUE"""),12)</f>
        <v>12</v>
      </c>
      <c r="Z50" s="29">
        <f ca="1">IFERROR(__xludf.DUMMYFUNCTION("""COMPUTED_VALUE"""),3)</f>
        <v>3</v>
      </c>
      <c r="AA50" s="29">
        <f ca="1">IFERROR(__xludf.DUMMYFUNCTION("""COMPUTED_VALUE"""),2)</f>
        <v>2</v>
      </c>
      <c r="AB50" s="12">
        <f ca="1">IFERROR(__xludf.DUMMYFUNCTION("""COMPUTED_VALUE"""),17)</f>
        <v>17</v>
      </c>
      <c r="AC50" s="12"/>
      <c r="AD50" s="12"/>
      <c r="AE50" s="12"/>
      <c r="AF50" s="12"/>
      <c r="AG50" s="13" t="str">
        <f ca="1">IFERROR(__xludf.DUMMYFUNCTION("ArrayFormula(VLOOKUP(G50, IMPORTRANGE(""https://docs.google.com/spreadsheets/d/1Co934fvtviyaRiMsrIlT05Jaq7iiYq07aLvRr35KA48/edit?gid=173865642#gid=173865642"", ""'G6_Maths_Pri_LU'!G2:V2000""), {3, 4, 5, 6, 7, 8, 9, 10, 11, 12, 13, 14, 15, 16}, 0))"),"LU000193")</f>
        <v>LU000193</v>
      </c>
      <c r="AH50" s="13" t="str">
        <f ca="1">IFERROR(__xludf.DUMMYFUNCTION("""COMPUTED_VALUE"""),"Multiple of number")</f>
        <v>Multiple of number</v>
      </c>
      <c r="AI50" s="13" t="str">
        <f ca="1">IFERROR(__xludf.DUMMYFUNCTION("""COMPUTED_VALUE"""),"LU000118")</f>
        <v>LU000118</v>
      </c>
      <c r="AJ50" s="13" t="str">
        <f ca="1">IFERROR(__xludf.DUMMYFUNCTION("""COMPUTED_VALUE"""),"Multiplication of five-digit numbers by one-digit/two-digit/three-digit/four-digit/five-digit numbers")</f>
        <v>Multiplication of five-digit numbers by one-digit/two-digit/three-digit/four-digit/five-digit numbers</v>
      </c>
      <c r="AK50" s="13" t="str">
        <f ca="1">IFERROR(__xludf.DUMMYFUNCTION("""COMPUTED_VALUE"""),"LU000124")</f>
        <v>LU000124</v>
      </c>
      <c r="AL50" s="13" t="str">
        <f ca="1">IFERROR(__xludf.DUMMYFUNCTION("""COMPUTED_VALUE"""),"Division of three-digit numbers by one-digit/two-digit numbers using standard algorithms")</f>
        <v>Division of three-digit numbers by one-digit/two-digit numbers using standard algorithms</v>
      </c>
      <c r="AM50" s="13"/>
      <c r="AN50" s="13"/>
      <c r="AO50" s="13"/>
      <c r="AP50" s="13"/>
      <c r="AQ50" s="13"/>
      <c r="AR50" s="13"/>
      <c r="AS50" s="13"/>
      <c r="AT50" s="13"/>
    </row>
    <row r="51" spans="1:46">
      <c r="A51" s="8" t="s">
        <v>247</v>
      </c>
      <c r="B51" s="8" t="s">
        <v>47</v>
      </c>
      <c r="C51" s="8" t="s">
        <v>48</v>
      </c>
      <c r="D51" s="8" t="s">
        <v>49</v>
      </c>
      <c r="E51" s="8" t="s">
        <v>286</v>
      </c>
      <c r="F51" s="8" t="s">
        <v>299</v>
      </c>
      <c r="G51" s="8" t="s">
        <v>139</v>
      </c>
      <c r="H51" s="8" t="str">
        <f ca="1">IFERROR(__xludf.DUMMYFUNCTION("VLOOKUP(G51, IMPORTRANGE(""https://docs.google.com/spreadsheets/d/14deopnvwcrKtEGCKuYXdUHJbeLDZlkiSSWWT0g7x2pM/edit#gid=999382323"", ""LU List Maths (Filter)!A:B""), 2, FALSE)"),"Co-prime numbers")</f>
        <v>Co-prime numbers</v>
      </c>
      <c r="I51" s="10" t="str">
        <f t="shared" si="0"/>
        <v>LU000209.001</v>
      </c>
      <c r="J51" s="10" t="str">
        <f ca="1">IFERROR(__xludf.DUMMYFUNCTION("VLOOKUP(I51, IMPORTRANGE(""https://docs.google.com/spreadsheets/d/1yDAaXNsi4Mr5FtRQL4tbmSdIzhx6_m4wkOD7IG-k_eo/edit#gid=0"", ""Maths!M:N""), 2, FALSE)"),"Define and list examples of co-prime numbers.")</f>
        <v>Define and list examples of co-prime numbers.</v>
      </c>
      <c r="K51" s="10" t="str">
        <f t="shared" si="1"/>
        <v>LU000209.002</v>
      </c>
      <c r="L51" s="10" t="str">
        <f ca="1">IFERROR(__xludf.DUMMYFUNCTION("VLOOKUP(K51, IMPORTRANGE(""https://docs.google.com/spreadsheets/d/1yDAaXNsi4Mr5FtRQL4tbmSdIzhx6_m4wkOD7IG-k_eo/edit#gid=0"", ""Maths!M:N""), 2, FALSE)"),"Explain the concept of co-prime numbers, recognising that they have no common factors other than 1")</f>
        <v>Explain the concept of co-prime numbers, recognising that they have no common factors other than 1</v>
      </c>
      <c r="M51" s="10" t="str">
        <f t="shared" si="2"/>
        <v>LU000209.003</v>
      </c>
      <c r="N51" s="10" t="str">
        <f ca="1">IFERROR(__xludf.DUMMYFUNCTION("VLOOKUP(M51, IMPORTRANGE(""https://docs.google.com/spreadsheets/d/1yDAaXNsi4Mr5FtRQL4tbmSdIzhx6_m4wkOD7IG-k_eo/edit#gid=0"", ""Maths!M:N""), 2, FALSE)"),"Apply the concept of co-prime numbers to identify pairs of numbers that have a highest common factor of 1.")</f>
        <v>Apply the concept of co-prime numbers to identify pairs of numbers that have a highest common factor of 1.</v>
      </c>
      <c r="O51" s="10" t="str">
        <f t="shared" si="3"/>
        <v>LU000209.004</v>
      </c>
      <c r="P51" s="10" t="str">
        <f ca="1">IFERROR(__xludf.DUMMYFUNCTION("VLOOKUP(O51, IMPORTRANGE(""https://docs.google.com/spreadsheets/d/1yDAaXNsi4Mr5FtRQL4tbmSdIzhx6_m4wkOD7IG-k_eo/edit#gid=0"", ""Maths!M:N""), 2, FALSE)"),"Analyse the factors of numbers to determine whether they are co-prime or not.")</f>
        <v>Analyse the factors of numbers to determine whether they are co-prime or not.</v>
      </c>
      <c r="Q51" s="10" t="str">
        <f t="shared" si="4"/>
        <v>LU000209.005</v>
      </c>
      <c r="R51" s="10" t="str">
        <f ca="1">IFERROR(__xludf.DUMMYFUNCTION("VLOOKUP(Q51, IMPORTRANGE(""https://docs.google.com/spreadsheets/d/1yDAaXNsi4Mr5FtRQL4tbmSdIzhx6_m4wkOD7IG-k_eo/edit#gid=0"", ""Maths!M:N""), 2, FALSE)"),"Evaluate the significance of co-prime numbers in various mathematical contexts, such as simplifying fractions.")</f>
        <v>Evaluate the significance of co-prime numbers in various mathematical contexts, such as simplifying fractions.</v>
      </c>
      <c r="S51" s="10" t="str">
        <f t="shared" si="5"/>
        <v>LU000209.006</v>
      </c>
      <c r="T51" s="10" t="str">
        <f ca="1">IFERROR(__xludf.DUMMYFUNCTION("VLOOKUP(S51, IMPORTRANGE(""https://docs.google.com/spreadsheets/d/1yDAaXNsi4Mr5FtRQL4tbmSdIzhx6_m4wkOD7IG-k_eo/edit#gid=0"", ""Maths!M:N""), 2, FALSE)"),"Create situations where co-prime numbers are used.")</f>
        <v>Create situations where co-prime numbers are used.</v>
      </c>
      <c r="U51" s="11">
        <f ca="1">IFERROR(__xludf.DUMMYFUNCTION("ArrayFormula(VLOOKUP(G51, IMPORTRANGE(""https://docs.google.com/spreadsheets/d/1p7R4vtkWt5VOBim4ltsDG9KTzSjrtKXsMtQGXPHyND0/edit#gid=795171502"", ""'Filter 30_05_2024'!A1:M2000""), {2, 3, 4, 5,6,7,8,9,10,11,12,13}, 0))"),6)</f>
        <v>6</v>
      </c>
      <c r="V51" s="11">
        <f ca="1">IFERROR(__xludf.DUMMYFUNCTION("""COMPUTED_VALUE"""),8)</f>
        <v>8</v>
      </c>
      <c r="W51" s="11">
        <f ca="1">IFERROR(__xludf.DUMMYFUNCTION("""COMPUTED_VALUE"""),2)</f>
        <v>2</v>
      </c>
      <c r="X51" s="11">
        <f ca="1">IFERROR(__xludf.DUMMYFUNCTION("""COMPUTED_VALUE"""),16)</f>
        <v>16</v>
      </c>
      <c r="Y51" s="11">
        <f ca="1">IFERROR(__xludf.DUMMYFUNCTION("""COMPUTED_VALUE"""),4)</f>
        <v>4</v>
      </c>
      <c r="Z51" s="29">
        <f ca="1">IFERROR(__xludf.DUMMYFUNCTION("""COMPUTED_VALUE"""),4)</f>
        <v>4</v>
      </c>
      <c r="AA51" s="29">
        <f ca="1">IFERROR(__xludf.DUMMYFUNCTION("""COMPUTED_VALUE"""),1)</f>
        <v>1</v>
      </c>
      <c r="AB51" s="12">
        <f ca="1">IFERROR(__xludf.DUMMYFUNCTION("""COMPUTED_VALUE"""),9)</f>
        <v>9</v>
      </c>
      <c r="AC51" s="12"/>
      <c r="AD51" s="12">
        <f ca="1">IFERROR(__xludf.DUMMYFUNCTION("""COMPUTED_VALUE"""),1)</f>
        <v>1</v>
      </c>
      <c r="AE51" s="12"/>
      <c r="AF51" s="12">
        <f ca="1">IFERROR(__xludf.DUMMYFUNCTION("""COMPUTED_VALUE"""),1)</f>
        <v>1</v>
      </c>
      <c r="AG51" s="13" t="str">
        <f ca="1">IFERROR(__xludf.DUMMYFUNCTION("ArrayFormula(VLOOKUP(G51, IMPORTRANGE(""https://docs.google.com/spreadsheets/d/1Co934fvtviyaRiMsrIlT05Jaq7iiYq07aLvRr35KA48/edit?gid=173865642#gid=173865642"", ""'G6_Maths_Pri_LU'!G2:V2000""), {3, 4, 5, 6, 7, 8, 9, 10, 11, 12, 13, 14, 15, 16}, 0))"),"LU000060")</f>
        <v>LU000060</v>
      </c>
      <c r="AH51" s="13" t="str">
        <f ca="1">IFERROR(__xludf.DUMMYFUNCTION("""COMPUTED_VALUE"""),"Common factors of numbers")</f>
        <v>Common factors of numbers</v>
      </c>
      <c r="AI51" s="13" t="str">
        <f ca="1">IFERROR(__xludf.DUMMYFUNCTION("""COMPUTED_VALUE"""),"LU000192")</f>
        <v>LU000192</v>
      </c>
      <c r="AJ51" s="13" t="str">
        <f ca="1">IFERROR(__xludf.DUMMYFUNCTION("""COMPUTED_VALUE"""),"Factor of number")</f>
        <v>Factor of number</v>
      </c>
      <c r="AK51" s="13" t="str">
        <f ca="1">IFERROR(__xludf.DUMMYFUNCTION("""COMPUTED_VALUE"""),"LU000059")</f>
        <v>LU000059</v>
      </c>
      <c r="AL51" s="13" t="str">
        <f ca="1">IFERROR(__xludf.DUMMYFUNCTION("""COMPUTED_VALUE"""),"Factors using factor tree")</f>
        <v>Factors using factor tree</v>
      </c>
      <c r="AM51" s="13" t="str">
        <f ca="1">IFERROR(__xludf.DUMMYFUNCTION("""COMPUTED_VALUE"""),"LU000118")</f>
        <v>LU000118</v>
      </c>
      <c r="AN51" s="13" t="str">
        <f ca="1">IFERROR(__xludf.DUMMYFUNCTION("""COMPUTED_VALUE"""),"Multiplication of five-digit numbers by one-digit/two-digit/three-digit/four-digit/five-digit numbers")</f>
        <v>Multiplication of five-digit numbers by one-digit/two-digit/three-digit/four-digit/five-digit numbers</v>
      </c>
      <c r="AO51" s="13"/>
      <c r="AP51" s="13"/>
      <c r="AQ51" s="13"/>
      <c r="AR51" s="13"/>
      <c r="AS51" s="13"/>
      <c r="AT51" s="13"/>
    </row>
    <row r="52" spans="1:46">
      <c r="A52" s="8" t="s">
        <v>247</v>
      </c>
      <c r="B52" s="8" t="s">
        <v>47</v>
      </c>
      <c r="C52" s="8" t="s">
        <v>48</v>
      </c>
      <c r="D52" s="8" t="s">
        <v>49</v>
      </c>
      <c r="E52" s="8" t="s">
        <v>286</v>
      </c>
      <c r="F52" s="8" t="s">
        <v>140</v>
      </c>
      <c r="G52" s="8" t="s">
        <v>141</v>
      </c>
      <c r="H52" s="8" t="str">
        <f ca="1">IFERROR(__xludf.DUMMYFUNCTION("VLOOKUP(G52, IMPORTRANGE(""https://docs.google.com/spreadsheets/d/14deopnvwcrKtEGCKuYXdUHJbeLDZlkiSSWWT0g7x2pM/edit#gid=999382323"", ""LU List Maths (Filter)!A:B""), 2, FALSE)"),"Methods of prime factorisation")</f>
        <v>Methods of prime factorisation</v>
      </c>
      <c r="I52" s="10" t="str">
        <f t="shared" si="0"/>
        <v>LU000210.001</v>
      </c>
      <c r="J52" s="10" t="str">
        <f ca="1">IFERROR(__xludf.DUMMYFUNCTION("VLOOKUP(I52, IMPORTRANGE(""https://docs.google.com/spreadsheets/d/1yDAaXNsi4Mr5FtRQL4tbmSdIzhx6_m4wkOD7IG-k_eo/edit#gid=0"", ""Maths!M:N""), 2, FALSE)"),"List the steps of prime factorisation.")</f>
        <v>List the steps of prime factorisation.</v>
      </c>
      <c r="K52" s="10" t="str">
        <f t="shared" si="1"/>
        <v>LU000210.002</v>
      </c>
      <c r="L52" s="10" t="str">
        <f ca="1">IFERROR(__xludf.DUMMYFUNCTION("VLOOKUP(K52, IMPORTRANGE(""https://docs.google.com/spreadsheets/d/1yDAaXNsi4Mr5FtRQL4tbmSdIzhx6_m4wkOD7IG-k_eo/edit#gid=0"", ""Maths!M:N""), 2, FALSE)"),"Describe the various methods (like factor tree method, division method, repeated division) of prime factorisation.")</f>
        <v>Describe the various methods (like factor tree method, division method, repeated division) of prime factorisation.</v>
      </c>
      <c r="M52" s="10" t="str">
        <f t="shared" si="2"/>
        <v>LU000210.003</v>
      </c>
      <c r="N52" s="10" t="str">
        <f ca="1">IFERROR(__xludf.DUMMYFUNCTION("VLOOKUP(M52, IMPORTRANGE(""https://docs.google.com/spreadsheets/d/1yDAaXNsi4Mr5FtRQL4tbmSdIzhx6_m4wkOD7IG-k_eo/edit#gid=0"", ""Maths!M:N""), 2, FALSE)"),"Apply the method of prime factorisation to factorize given numbers into their prime factors.")</f>
        <v>Apply the method of prime factorisation to factorize given numbers into their prime factors.</v>
      </c>
      <c r="O52" s="10" t="str">
        <f t="shared" si="3"/>
        <v>LU000210.004</v>
      </c>
      <c r="P52" s="10" t="str">
        <f ca="1">IFERROR(__xludf.DUMMYFUNCTION("VLOOKUP(O52, IMPORTRANGE(""https://docs.google.com/spreadsheets/d/1yDAaXNsi4Mr5FtRQL4tbmSdIzhx6_m4wkOD7IG-k_eo/edit#gid=0"", ""Maths!M:N""), 2, FALSE)"),"Analyse the efficiency and steps involved in each prime factorisation method, comparing their advantages and limitations.")</f>
        <v>Analyse the efficiency and steps involved in each prime factorisation method, comparing their advantages and limitations.</v>
      </c>
      <c r="Q52" s="10" t="str">
        <f t="shared" si="4"/>
        <v>LU000210.005</v>
      </c>
      <c r="R52" s="10" t="str">
        <f ca="1">IFERROR(__xludf.DUMMYFUNCTION("VLOOKUP(Q52, IMPORTRANGE(""https://docs.google.com/spreadsheets/d/1yDAaXNsi4Mr5FtRQL4tbmSdIzhx6_m4wkOD7IG-k_eo/edit#gid=0"", ""Maths!M:N""), 2, FALSE)"),"Evaluate the effectiveness of prime factorisation methods in terms of accuracy, speed, and ease of use.")</f>
        <v>Evaluate the effectiveness of prime factorisation methods in terms of accuracy, speed, and ease of use.</v>
      </c>
      <c r="S52" s="10" t="str">
        <f t="shared" si="5"/>
        <v>LU000210.006</v>
      </c>
      <c r="T52" s="10" t="str">
        <f ca="1">IFERROR(__xludf.DUMMYFUNCTION("VLOOKUP(S52, IMPORTRANGE(""https://docs.google.com/spreadsheets/d/1yDAaXNsi4Mr5FtRQL4tbmSdIzhx6_m4wkOD7IG-k_eo/edit#gid=0"", ""Maths!M:N""), 2, FALSE)"),"Devise real-world problems or puzzles that require prime factorisation.")</f>
        <v>Devise real-world problems or puzzles that require prime factorisation.</v>
      </c>
      <c r="U52" s="11">
        <f ca="1">IFERROR(__xludf.DUMMYFUNCTION("ArrayFormula(VLOOKUP(G52, IMPORTRANGE(""https://docs.google.com/spreadsheets/d/1p7R4vtkWt5VOBim4ltsDG9KTzSjrtKXsMtQGXPHyND0/edit#gid=795171502"", ""'Filter 30_05_2024'!A1:M2000""), {2, 3, 4, 5,6,7,8,9,10,11,12,13}, 0))"),14)</f>
        <v>14</v>
      </c>
      <c r="V52" s="11">
        <f ca="1">IFERROR(__xludf.DUMMYFUNCTION("""COMPUTED_VALUE"""),9)</f>
        <v>9</v>
      </c>
      <c r="W52" s="11">
        <f ca="1">IFERROR(__xludf.DUMMYFUNCTION("""COMPUTED_VALUE"""),2)</f>
        <v>2</v>
      </c>
      <c r="X52" s="11">
        <f ca="1">IFERROR(__xludf.DUMMYFUNCTION("""COMPUTED_VALUE"""),25)</f>
        <v>25</v>
      </c>
      <c r="Y52" s="11">
        <f ca="1">IFERROR(__xludf.DUMMYFUNCTION("""COMPUTED_VALUE"""),8)</f>
        <v>8</v>
      </c>
      <c r="Z52" s="29">
        <f ca="1">IFERROR(__xludf.DUMMYFUNCTION("""COMPUTED_VALUE"""),6)</f>
        <v>6</v>
      </c>
      <c r="AA52" s="29">
        <f ca="1">IFERROR(__xludf.DUMMYFUNCTION("""COMPUTED_VALUE"""),1)</f>
        <v>1</v>
      </c>
      <c r="AB52" s="12">
        <f ca="1">IFERROR(__xludf.DUMMYFUNCTION("""COMPUTED_VALUE"""),15)</f>
        <v>15</v>
      </c>
      <c r="AC52" s="12"/>
      <c r="AD52" s="12"/>
      <c r="AE52" s="12"/>
      <c r="AF52" s="12"/>
      <c r="AG52" s="13" t="str">
        <f ca="1">IFERROR(__xludf.DUMMYFUNCTION("ArrayFormula(VLOOKUP(G52, IMPORTRANGE(""https://docs.google.com/spreadsheets/d/1Co934fvtviyaRiMsrIlT05Jaq7iiYq07aLvRr35KA48/edit?gid=173865642#gid=173865642"", ""'G6_Maths_Pri_LU'!G2:V2000""), {3, 4, 5, 6, 7, 8, 9, 10, 11, 12, 13, 14, 15, 16}, 0))"),"LU000195")</f>
        <v>LU000195</v>
      </c>
      <c r="AH52" s="13" t="str">
        <f ca="1">IFERROR(__xludf.DUMMYFUNCTION("""COMPUTED_VALUE"""),"Prime number")</f>
        <v>Prime number</v>
      </c>
      <c r="AI52" s="13" t="str">
        <f ca="1">IFERROR(__xludf.DUMMYFUNCTION("""COMPUTED_VALUE"""),"LU000921")</f>
        <v>LU000921</v>
      </c>
      <c r="AJ52" s="13" t="str">
        <f ca="1">IFERROR(__xludf.DUMMYFUNCTION("""COMPUTED_VALUE"""),"Divisibility rules of various numbers (2, 3, 4, 5, 6, 8, 9, 10 and 11)")</f>
        <v>Divisibility rules of various numbers (2, 3, 4, 5, 6, 8, 9, 10 and 11)</v>
      </c>
      <c r="AK52" s="13" t="str">
        <f ca="1">IFERROR(__xludf.DUMMYFUNCTION("""COMPUTED_VALUE"""),"LU000192")</f>
        <v>LU000192</v>
      </c>
      <c r="AL52" s="13" t="str">
        <f ca="1">IFERROR(__xludf.DUMMYFUNCTION("""COMPUTED_VALUE"""),"Factor of number")</f>
        <v>Factor of number</v>
      </c>
      <c r="AM52" s="13"/>
      <c r="AN52" s="13"/>
      <c r="AO52" s="13"/>
      <c r="AP52" s="13"/>
      <c r="AQ52" s="13"/>
      <c r="AR52" s="13"/>
      <c r="AS52" s="13"/>
      <c r="AT52" s="13"/>
    </row>
    <row r="53" spans="1:46">
      <c r="A53" s="8" t="s">
        <v>247</v>
      </c>
      <c r="B53" s="8" t="s">
        <v>47</v>
      </c>
      <c r="C53" s="8" t="s">
        <v>48</v>
      </c>
      <c r="D53" s="8" t="s">
        <v>49</v>
      </c>
      <c r="E53" s="8" t="s">
        <v>286</v>
      </c>
      <c r="F53" s="8" t="s">
        <v>300</v>
      </c>
      <c r="G53" s="8" t="s">
        <v>301</v>
      </c>
      <c r="H53" s="8" t="str">
        <f ca="1">IFERROR(__xludf.DUMMYFUNCTION("VLOOKUP(G53, IMPORTRANGE(""https://docs.google.com/spreadsheets/d/14deopnvwcrKtEGCKuYXdUHJbeLDZlkiSSWWT0g7x2pM/edit#gid=999382323"", ""LU List Maths (Filter)!A:B""), 2, FALSE)"),"Highest Common Factor (HCF) of the numbers")</f>
        <v>Highest Common Factor (HCF) of the numbers</v>
      </c>
      <c r="I53" s="10" t="str">
        <f t="shared" si="0"/>
        <v>LU000211.001</v>
      </c>
      <c r="J53" s="10" t="str">
        <f ca="1">IFERROR(__xludf.DUMMYFUNCTION("VLOOKUP(I53, IMPORTRANGE(""https://docs.google.com/spreadsheets/d/1yDAaXNsi4Mr5FtRQL4tbmSdIzhx6_m4wkOD7IG-k_eo/edit#gid=0"", ""Maths!M:N""), 2, FALSE)"),"Define HCF as the largest common divisor of two or more numbers.")</f>
        <v>Define HCF as the largest common divisor of two or more numbers.</v>
      </c>
      <c r="K53" s="10" t="str">
        <f t="shared" si="1"/>
        <v>LU000211.002</v>
      </c>
      <c r="L53" s="10" t="str">
        <f ca="1">IFERROR(__xludf.DUMMYFUNCTION("VLOOKUP(K53, IMPORTRANGE(""https://docs.google.com/spreadsheets/d/1yDAaXNsi4Mr5FtRQL4tbmSdIzhx6_m4wkOD7IG-k_eo/edit#gid=0"", ""Maths!M:N""), 2, FALSE)"),"Explain the concept and process involved in finding the Highest Common Factor (HCF) of numbers.")</f>
        <v>Explain the concept and process involved in finding the Highest Common Factor (HCF) of numbers.</v>
      </c>
      <c r="M53" s="10" t="str">
        <f t="shared" si="2"/>
        <v>LU000211.003</v>
      </c>
      <c r="N53" s="10" t="str">
        <f ca="1">IFERROR(__xludf.DUMMYFUNCTION("VLOOKUP(M53, IMPORTRANGE(""https://docs.google.com/spreadsheets/d/1yDAaXNsi4Mr5FtRQL4tbmSdIzhx6_m4wkOD7IG-k_eo/edit#gid=0"", ""Maths!M:N""), 2, FALSE)"),"Apply the concept of HCF to find the largest common factor in arithmetic and real-life problems")</f>
        <v>Apply the concept of HCF to find the largest common factor in arithmetic and real-life problems</v>
      </c>
      <c r="O53" s="10" t="str">
        <f t="shared" si="3"/>
        <v>LU000211.004</v>
      </c>
      <c r="P53" s="10" t="str">
        <f ca="1">IFERROR(__xludf.DUMMYFUNCTION("VLOOKUP(O53, IMPORTRANGE(""https://docs.google.com/spreadsheets/d/1yDAaXNsi4Mr5FtRQL4tbmSdIzhx6_m4wkOD7IG-k_eo/edit#gid=0"", ""Maths!M:N""), 2, FALSE)"),"Differentiate between various methods of finding the HCF, and organize numerical examples to demonstrate the most effective approach for different sets of numbers.")</f>
        <v>Differentiate between various methods of finding the HCF, and organize numerical examples to demonstrate the most effective approach for different sets of numbers.</v>
      </c>
      <c r="Q53" s="10" t="str">
        <f t="shared" si="4"/>
        <v>LU000211.005</v>
      </c>
      <c r="R53" s="10" t="str">
        <f ca="1">IFERROR(__xludf.DUMMYFUNCTION("VLOOKUP(Q53, IMPORTRANGE(""https://docs.google.com/spreadsheets/d/1yDAaXNsi4Mr5FtRQL4tbmSdIzhx6_m4wkOD7IG-k_eo/edit#gid=0"", ""Maths!M:N""), 2, FALSE)"),"List the significance of the HCF in real-world situations.")</f>
        <v>List the significance of the HCF in real-world situations.</v>
      </c>
      <c r="S53" s="10" t="str">
        <f t="shared" si="5"/>
        <v>LU000211.006</v>
      </c>
      <c r="T53" s="10" t="str">
        <f ca="1">IFERROR(__xludf.DUMMYFUNCTION("VLOOKUP(S53, IMPORTRANGE(""https://docs.google.com/spreadsheets/d/1yDAaXNsi4Mr5FtRQL4tbmSdIzhx6_m4wkOD7IG-k_eo/edit#gid=0"", ""Maths!M:N""), 2, FALSE)"),"Find out number pairs to determine the HCF using the preferred method, demonstrating a deep understanding of the concept")</f>
        <v>Find out number pairs to determine the HCF using the preferred method, demonstrating a deep understanding of the concept</v>
      </c>
      <c r="U53" s="11">
        <f ca="1">IFERROR(__xludf.DUMMYFUNCTION("ArrayFormula(VLOOKUP(G53, IMPORTRANGE(""https://docs.google.com/spreadsheets/d/1p7R4vtkWt5VOBim4ltsDG9KTzSjrtKXsMtQGXPHyND0/edit#gid=795171502"", ""'Filter 30_05_2024'!A1:M2000""), {2, 3, 4, 5,6,7,8,9,10,11,12,13}, 0))"),9)</f>
        <v>9</v>
      </c>
      <c r="V53" s="11">
        <f ca="1">IFERROR(__xludf.DUMMYFUNCTION("""COMPUTED_VALUE"""),6)</f>
        <v>6</v>
      </c>
      <c r="W53" s="11">
        <f ca="1">IFERROR(__xludf.DUMMYFUNCTION("""COMPUTED_VALUE"""),2)</f>
        <v>2</v>
      </c>
      <c r="X53" s="11">
        <f ca="1">IFERROR(__xludf.DUMMYFUNCTION("""COMPUTED_VALUE"""),17)</f>
        <v>17</v>
      </c>
      <c r="Y53" s="11">
        <f ca="1">IFERROR(__xludf.DUMMYFUNCTION("""COMPUTED_VALUE"""),5)</f>
        <v>5</v>
      </c>
      <c r="Z53" s="29">
        <f ca="1">IFERROR(__xludf.DUMMYFUNCTION("""COMPUTED_VALUE"""),3)</f>
        <v>3</v>
      </c>
      <c r="AA53" s="29">
        <f ca="1">IFERROR(__xludf.DUMMYFUNCTION("""COMPUTED_VALUE"""),1)</f>
        <v>1</v>
      </c>
      <c r="AB53" s="12">
        <f ca="1">IFERROR(__xludf.DUMMYFUNCTION("""COMPUTED_VALUE"""),9)</f>
        <v>9</v>
      </c>
      <c r="AC53" s="12"/>
      <c r="AD53" s="12"/>
      <c r="AE53" s="12"/>
      <c r="AF53" s="12"/>
      <c r="AG53" s="13" t="str">
        <f ca="1">IFERROR(__xludf.DUMMYFUNCTION("ArrayFormula(VLOOKUP(G53, IMPORTRANGE(""https://docs.google.com/spreadsheets/d/1Co934fvtviyaRiMsrIlT05Jaq7iiYq07aLvRr35KA48/edit?gid=173865642#gid=173865642"", ""'G6_Maths_Pri_LU'!G2:V2000""), {3, 4, 5, 6, 7, 8, 9, 10, 11, 12, 13, 14, 15, 16}, 0))"),"LU000060")</f>
        <v>LU000060</v>
      </c>
      <c r="AH53" s="13" t="str">
        <f ca="1">IFERROR(__xludf.DUMMYFUNCTION("""COMPUTED_VALUE"""),"Common factors of numbers")</f>
        <v>Common factors of numbers</v>
      </c>
      <c r="AI53" s="13" t="str">
        <f ca="1">IFERROR(__xludf.DUMMYFUNCTION("""COMPUTED_VALUE"""),"LU000192")</f>
        <v>LU000192</v>
      </c>
      <c r="AJ53" s="13" t="str">
        <f ca="1">IFERROR(__xludf.DUMMYFUNCTION("""COMPUTED_VALUE"""),"Factor of number")</f>
        <v>Factor of number</v>
      </c>
      <c r="AK53" s="13" t="str">
        <f ca="1">IFERROR(__xludf.DUMMYFUNCTION("""COMPUTED_VALUE"""),"LU000154")</f>
        <v>LU000154</v>
      </c>
      <c r="AL53" s="13" t="str">
        <f ca="1">IFERROR(__xludf.DUMMYFUNCTION("""COMPUTED_VALUE"""),"Comparison of whole numbers (upto 9-digit numbers)")</f>
        <v>Comparison of whole numbers (upto 9-digit numbers)</v>
      </c>
      <c r="AM53" s="13" t="str">
        <f ca="1">IFERROR(__xludf.DUMMYFUNCTION("""COMPUTED_VALUE"""),"LU000210")</f>
        <v>LU000210</v>
      </c>
      <c r="AN53" s="13" t="str">
        <f ca="1">IFERROR(__xludf.DUMMYFUNCTION("""COMPUTED_VALUE"""),"Methods of prime factorisation")</f>
        <v>Methods of prime factorisation</v>
      </c>
      <c r="AO53" s="13" t="str">
        <f ca="1">IFERROR(__xludf.DUMMYFUNCTION("""COMPUTED_VALUE"""),"LU000059")</f>
        <v>LU000059</v>
      </c>
      <c r="AP53" s="13" t="str">
        <f ca="1">IFERROR(__xludf.DUMMYFUNCTION("""COMPUTED_VALUE"""),"Factors using factor tree")</f>
        <v>Factors using factor tree</v>
      </c>
      <c r="AQ53" s="13"/>
      <c r="AR53" s="13"/>
      <c r="AS53" s="13"/>
      <c r="AT53" s="13"/>
    </row>
    <row r="54" spans="1:46">
      <c r="A54" s="8" t="s">
        <v>247</v>
      </c>
      <c r="B54" s="8" t="s">
        <v>47</v>
      </c>
      <c r="C54" s="8" t="s">
        <v>48</v>
      </c>
      <c r="D54" s="8" t="s">
        <v>49</v>
      </c>
      <c r="E54" s="8" t="s">
        <v>286</v>
      </c>
      <c r="F54" s="8" t="s">
        <v>300</v>
      </c>
      <c r="G54" s="8" t="s">
        <v>302</v>
      </c>
      <c r="H54" s="8" t="str">
        <f ca="1">IFERROR(__xludf.DUMMYFUNCTION("VLOOKUP(G54, IMPORTRANGE(""https://docs.google.com/spreadsheets/d/14deopnvwcrKtEGCKuYXdUHJbeLDZlkiSSWWT0g7x2pM/edit#gid=999382323"", ""LU List Maths (Filter)!A:B""), 2, FALSE)"),"Least Common Multiple (LCM) of the numbers")</f>
        <v>Least Common Multiple (LCM) of the numbers</v>
      </c>
      <c r="I54" s="10" t="str">
        <f t="shared" si="0"/>
        <v>LU000212.001</v>
      </c>
      <c r="J54" s="10" t="str">
        <f ca="1">IFERROR(__xludf.DUMMYFUNCTION("VLOOKUP(I54, IMPORTRANGE(""https://docs.google.com/spreadsheets/d/1yDAaXNsi4Mr5FtRQL4tbmSdIzhx6_m4wkOD7IG-k_eo/edit#gid=0"", ""Maths!M:N""), 2, FALSE)"),"Define LCM as the smallest number that is divisible by two or more numbers.")</f>
        <v>Define LCM as the smallest number that is divisible by two or more numbers.</v>
      </c>
      <c r="K54" s="10" t="str">
        <f t="shared" si="1"/>
        <v>LU000212.002</v>
      </c>
      <c r="L54" s="10" t="str">
        <f ca="1">IFERROR(__xludf.DUMMYFUNCTION("VLOOKUP(K54, IMPORTRANGE(""https://docs.google.com/spreadsheets/d/1yDAaXNsi4Mr5FtRQL4tbmSdIzhx6_m4wkOD7IG-k_eo/edit#gid=0"", ""Maths!M:N""), 2, FALSE)"),"Explain the concept and process involved in finding the LCM of numbers.")</f>
        <v>Explain the concept and process involved in finding the LCM of numbers.</v>
      </c>
      <c r="M54" s="10" t="str">
        <f t="shared" si="2"/>
        <v>LU000212.003</v>
      </c>
      <c r="N54" s="10" t="str">
        <f ca="1">IFERROR(__xludf.DUMMYFUNCTION("VLOOKUP(M54, IMPORTRANGE(""https://docs.google.com/spreadsheets/d/1yDAaXNsi4Mr5FtRQL4tbmSdIzhx6_m4wkOD7IG-k_eo/edit#gid=0"", ""Maths!M:N""), 2, FALSE)"),"Apply the concept of LCM to find the smallest common multiple among numbers, solving problems involving multiple occurrences")</f>
        <v>Apply the concept of LCM to find the smallest common multiple among numbers, solving problems involving multiple occurrences</v>
      </c>
      <c r="O54" s="10" t="str">
        <f t="shared" si="3"/>
        <v>LU000212.004</v>
      </c>
      <c r="P54" s="10" t="str">
        <f ca="1">IFERROR(__xludf.DUMMYFUNCTION("VLOOKUP(O54, IMPORTRANGE(""https://docs.google.com/spreadsheets/d/1yDAaXNsi4Mr5FtRQL4tbmSdIzhx6_m4wkOD7IG-k_eo/edit#gid=0"", ""Maths!M:N""), 2, FALSE)"),"Differentiate between various methods of finding the LCM, and organize numerical examples to demonstrate the most effective approach for different sets of numbers.")</f>
        <v>Differentiate between various methods of finding the LCM, and organize numerical examples to demonstrate the most effective approach for different sets of numbers.</v>
      </c>
      <c r="Q54" s="10" t="str">
        <f t="shared" si="4"/>
        <v>LU000212.005</v>
      </c>
      <c r="R54" s="10" t="str">
        <f ca="1">IFERROR(__xludf.DUMMYFUNCTION("VLOOKUP(Q54, IMPORTRANGE(""https://docs.google.com/spreadsheets/d/1yDAaXNsi4Mr5FtRQL4tbmSdIzhx6_m4wkOD7IG-k_eo/edit#gid=0"", ""Maths!M:N""), 2, FALSE)"),"List the significance of the LCM in real-world situations.")</f>
        <v>List the significance of the LCM in real-world situations.</v>
      </c>
      <c r="S54" s="10" t="str">
        <f t="shared" si="5"/>
        <v>LU000212.006</v>
      </c>
      <c r="T54" s="10" t="str">
        <f ca="1">IFERROR(__xludf.DUMMYFUNCTION("VLOOKUP(S54, IMPORTRANGE(""https://docs.google.com/spreadsheets/d/1yDAaXNsi4Mr5FtRQL4tbmSdIzhx6_m4wkOD7IG-k_eo/edit#gid=0"", ""Maths!M:N""), 2, FALSE)"),"Find out number pairs to determine the LCM using the preferred method, demonstrating a deep understanding of the concept")</f>
        <v>Find out number pairs to determine the LCM using the preferred method, demonstrating a deep understanding of the concept</v>
      </c>
      <c r="U54" s="11">
        <f ca="1">IFERROR(__xludf.DUMMYFUNCTION("ArrayFormula(VLOOKUP(G54, IMPORTRANGE(""https://docs.google.com/spreadsheets/d/1p7R4vtkWt5VOBim4ltsDG9KTzSjrtKXsMtQGXPHyND0/edit#gid=795171502"", ""'Filter 30_05_2024'!A1:M2000""), {2, 3, 4, 5,6,7,8,9,10,11,12,13}, 0))"),9)</f>
        <v>9</v>
      </c>
      <c r="V54" s="11">
        <f ca="1">IFERROR(__xludf.DUMMYFUNCTION("""COMPUTED_VALUE"""),5)</f>
        <v>5</v>
      </c>
      <c r="W54" s="11">
        <f ca="1">IFERROR(__xludf.DUMMYFUNCTION("""COMPUTED_VALUE"""),2)</f>
        <v>2</v>
      </c>
      <c r="X54" s="11">
        <f ca="1">IFERROR(__xludf.DUMMYFUNCTION("""COMPUTED_VALUE"""),16)</f>
        <v>16</v>
      </c>
      <c r="Y54" s="11">
        <f ca="1">IFERROR(__xludf.DUMMYFUNCTION("""COMPUTED_VALUE"""),6)</f>
        <v>6</v>
      </c>
      <c r="Z54" s="29">
        <f ca="1">IFERROR(__xludf.DUMMYFUNCTION("""COMPUTED_VALUE"""),4)</f>
        <v>4</v>
      </c>
      <c r="AA54" s="29">
        <f ca="1">IFERROR(__xludf.DUMMYFUNCTION("""COMPUTED_VALUE"""),1)</f>
        <v>1</v>
      </c>
      <c r="AB54" s="12">
        <f ca="1">IFERROR(__xludf.DUMMYFUNCTION("""COMPUTED_VALUE"""),11)</f>
        <v>11</v>
      </c>
      <c r="AC54" s="12"/>
      <c r="AD54" s="12"/>
      <c r="AE54" s="12"/>
      <c r="AF54" s="12"/>
      <c r="AG54" s="13" t="str">
        <f ca="1">IFERROR(__xludf.DUMMYFUNCTION("ArrayFormula(VLOOKUP(G54, IMPORTRANGE(""https://docs.google.com/spreadsheets/d/1Co934fvtviyaRiMsrIlT05Jaq7iiYq07aLvRr35KA48/edit?gid=173865642#gid=173865642"", ""'G6_Maths_Pri_LU'!G2:V2000""), {3, 4, 5, 6, 7, 8, 9, 10, 11, 12, 13, 14, 15, 16}, 0))"),"LU000058")</f>
        <v>LU000058</v>
      </c>
      <c r="AH54" s="13" t="str">
        <f ca="1">IFERROR(__xludf.DUMMYFUNCTION("""COMPUTED_VALUE"""),"Definition of common multiples")</f>
        <v>Definition of common multiples</v>
      </c>
      <c r="AI54" s="13" t="str">
        <f ca="1">IFERROR(__xludf.DUMMYFUNCTION("""COMPUTED_VALUE"""),"LU000193")</f>
        <v>LU000193</v>
      </c>
      <c r="AJ54" s="13" t="str">
        <f ca="1">IFERROR(__xludf.DUMMYFUNCTION("""COMPUTED_VALUE"""),"Multiple of number")</f>
        <v>Multiple of number</v>
      </c>
      <c r="AK54" s="13" t="str">
        <f ca="1">IFERROR(__xludf.DUMMYFUNCTION("""COMPUTED_VALUE"""),"LU000060")</f>
        <v>LU000060</v>
      </c>
      <c r="AL54" s="13" t="str">
        <f ca="1">IFERROR(__xludf.DUMMYFUNCTION("""COMPUTED_VALUE"""),"Common factors of numbers")</f>
        <v>Common factors of numbers</v>
      </c>
      <c r="AM54" s="13" t="str">
        <f ca="1">IFERROR(__xludf.DUMMYFUNCTION("""COMPUTED_VALUE"""),"LU000192")</f>
        <v>LU000192</v>
      </c>
      <c r="AN54" s="13" t="str">
        <f ca="1">IFERROR(__xludf.DUMMYFUNCTION("""COMPUTED_VALUE"""),"Factor of number")</f>
        <v>Factor of number</v>
      </c>
      <c r="AO54" s="13" t="str">
        <f ca="1">IFERROR(__xludf.DUMMYFUNCTION("""COMPUTED_VALUE"""),"LU000210")</f>
        <v>LU000210</v>
      </c>
      <c r="AP54" s="13" t="str">
        <f ca="1">IFERROR(__xludf.DUMMYFUNCTION("""COMPUTED_VALUE"""),"Methods of prime factorisation")</f>
        <v>Methods of prime factorisation</v>
      </c>
      <c r="AQ54" s="13"/>
      <c r="AR54" s="13"/>
      <c r="AS54" s="13"/>
      <c r="AT54" s="13"/>
    </row>
    <row r="55" spans="1:46">
      <c r="A55" s="8" t="s">
        <v>247</v>
      </c>
      <c r="B55" s="8" t="s">
        <v>47</v>
      </c>
      <c r="C55" s="8" t="s">
        <v>48</v>
      </c>
      <c r="D55" s="8" t="s">
        <v>49</v>
      </c>
      <c r="E55" s="8" t="s">
        <v>303</v>
      </c>
      <c r="F55" s="8" t="s">
        <v>59</v>
      </c>
      <c r="G55" s="8" t="s">
        <v>60</v>
      </c>
      <c r="H55" s="8" t="str">
        <f ca="1">IFERROR(__xludf.DUMMYFUNCTION("VLOOKUP(G55, IMPORTRANGE(""https://docs.google.com/spreadsheets/d/14deopnvwcrKtEGCKuYXdUHJbeLDZlkiSSWWT0g7x2pM/edit#gid=999382323"", ""LU List Maths (Filter)!A:B""), 2, FALSE)"),"Definition of point")</f>
        <v>Definition of point</v>
      </c>
      <c r="I55" s="10" t="str">
        <f t="shared" si="0"/>
        <v>LU000218.001</v>
      </c>
      <c r="J55" s="10" t="str">
        <f ca="1">IFERROR(__xludf.DUMMYFUNCTION("VLOOKUP(I55, IMPORTRANGE(""https://docs.google.com/spreadsheets/d/1yDAaXNsi4Mr5FtRQL4tbmSdIzhx6_m4wkOD7IG-k_eo/edit#gid=0"", ""Maths!M:N""), 2, FALSE)"),"Define a point.")</f>
        <v>Define a point.</v>
      </c>
      <c r="K55" s="10" t="str">
        <f t="shared" si="1"/>
        <v>LU000218.002</v>
      </c>
      <c r="L55" s="10" t="str">
        <f ca="1">IFERROR(__xludf.DUMMYFUNCTION("VLOOKUP(K55, IMPORTRANGE(""https://docs.google.com/spreadsheets/d/1yDAaXNsi4Mr5FtRQL4tbmSdIzhx6_m4wkOD7IG-k_eo/edit#gid=0"", ""Maths!M:N""), 2, FALSE)"),"Describe the properties of a point")</f>
        <v>Describe the properties of a point</v>
      </c>
      <c r="M55" s="10" t="str">
        <f t="shared" si="2"/>
        <v>LU000218.003</v>
      </c>
      <c r="N55" s="10" t="str">
        <f ca="1">IFERROR(__xludf.DUMMYFUNCTION("VLOOKUP(M55, IMPORTRANGE(""https://docs.google.com/spreadsheets/d/1yDAaXNsi4Mr5FtRQL4tbmSdIzhx6_m4wkOD7IG-k_eo/edit#gid=0"", ""Maths!M:N""), 2, FALSE)"),"Identify and label points in geometric figures and surroundings.")</f>
        <v>Identify and label points in geometric figures and surroundings.</v>
      </c>
      <c r="O55" s="10" t="str">
        <f t="shared" si="3"/>
        <v>LU000218.004</v>
      </c>
      <c r="P55" s="10" t="str">
        <f ca="1">IFERROR(__xludf.DUMMYFUNCTION("VLOOKUP(O55, IMPORTRANGE(""https://docs.google.com/spreadsheets/d/1yDAaXNsi4Mr5FtRQL4tbmSdIzhx6_m4wkOD7IG-k_eo/edit#gid=0"", ""Maths!M:N""), 2, FALSE)"),"Compare and contrast the properties of points with those of other geometric elements")</f>
        <v>Compare and contrast the properties of points with those of other geometric elements</v>
      </c>
      <c r="Q55" s="10" t="str">
        <f t="shared" si="4"/>
        <v>LU000218.005</v>
      </c>
      <c r="R55" s="10" t="str">
        <f ca="1">IFERROR(__xludf.DUMMYFUNCTION("VLOOKUP(Q55, IMPORTRANGE(""https://docs.google.com/spreadsheets/d/1yDAaXNsi4Mr5FtRQL4tbmSdIzhx6_m4wkOD7IG-k_eo/edit#gid=0"", ""Maths!M:N""), 2, FALSE)"),"Assess the role of points in problem-solving and spatial reasoning in geometry")</f>
        <v>Assess the role of points in problem-solving and spatial reasoning in geometry</v>
      </c>
      <c r="S55" s="10" t="str">
        <f t="shared" si="5"/>
        <v>LU000218.006</v>
      </c>
      <c r="T55" s="10" t="str">
        <f ca="1">IFERROR(__xludf.DUMMYFUNCTION("VLOOKUP(S55, IMPORTRANGE(""https://docs.google.com/spreadsheets/d/1yDAaXNsi4Mr5FtRQL4tbmSdIzhx6_m4wkOD7IG-k_eo/edit#gid=0"", ""Maths!M:N""), 2, FALSE)"),"Construct real-world scenarios where the understanding of points is essential for solving spatial problems")</f>
        <v>Construct real-world scenarios where the understanding of points is essential for solving spatial problems</v>
      </c>
      <c r="U55" s="11">
        <f ca="1">IFERROR(__xludf.DUMMYFUNCTION("ArrayFormula(VLOOKUP(G55, IMPORTRANGE(""https://docs.google.com/spreadsheets/d/1p7R4vtkWt5VOBim4ltsDG9KTzSjrtKXsMtQGXPHyND0/edit#gid=795171502"", ""'Filter 30_05_2024'!A1:M2000""), {2, 3, 4, 5,6,7,8,9,10,11,12,13}, 0))"),4)</f>
        <v>4</v>
      </c>
      <c r="V55" s="11">
        <f ca="1">IFERROR(__xludf.DUMMYFUNCTION("""COMPUTED_VALUE"""),6)</f>
        <v>6</v>
      </c>
      <c r="W55" s="11">
        <f ca="1">IFERROR(__xludf.DUMMYFUNCTION("""COMPUTED_VALUE"""),2)</f>
        <v>2</v>
      </c>
      <c r="X55" s="11">
        <f ca="1">IFERROR(__xludf.DUMMYFUNCTION("""COMPUTED_VALUE"""),12)</f>
        <v>12</v>
      </c>
      <c r="Y55" s="11">
        <f ca="1">IFERROR(__xludf.DUMMYFUNCTION("""COMPUTED_VALUE"""),4)</f>
        <v>4</v>
      </c>
      <c r="Z55" s="29">
        <f ca="1">IFERROR(__xludf.DUMMYFUNCTION("""COMPUTED_VALUE"""),2)</f>
        <v>2</v>
      </c>
      <c r="AA55" s="29">
        <f ca="1">IFERROR(__xludf.DUMMYFUNCTION("""COMPUTED_VALUE"""),1)</f>
        <v>1</v>
      </c>
      <c r="AB55" s="12">
        <f ca="1">IFERROR(__xludf.DUMMYFUNCTION("""COMPUTED_VALUE"""),7)</f>
        <v>7</v>
      </c>
      <c r="AC55" s="12"/>
      <c r="AD55" s="12"/>
      <c r="AE55" s="12"/>
      <c r="AF55" s="12"/>
      <c r="AG55" s="13" t="str">
        <f ca="1">IFERROR(__xludf.DUMMYFUNCTION("ArrayFormula(VLOOKUP(G55, IMPORTRANGE(""https://docs.google.com/spreadsheets/d/1Co934fvtviyaRiMsrIlT05Jaq7iiYq07aLvRr35KA48/edit?gid=173865642#gid=173865642"", ""'G6_Maths_Pri_LU'!G2:V2000""), {3, 4, 5, 6, 7, 8, 9, 10, 11, 12, 13, 14, 15, 16}, 0))"),"")</f>
        <v/>
      </c>
      <c r="AH55" s="13"/>
      <c r="AI55" s="13"/>
      <c r="AJ55" s="13"/>
      <c r="AK55" s="13"/>
      <c r="AL55" s="13"/>
      <c r="AM55" s="13"/>
      <c r="AN55" s="13"/>
      <c r="AO55" s="13"/>
      <c r="AP55" s="13"/>
      <c r="AQ55" s="13"/>
      <c r="AR55" s="13"/>
      <c r="AS55" s="13"/>
      <c r="AT55" s="13"/>
    </row>
    <row r="56" spans="1:46">
      <c r="A56" s="8" t="s">
        <v>247</v>
      </c>
      <c r="B56" s="8" t="s">
        <v>47</v>
      </c>
      <c r="C56" s="8" t="s">
        <v>48</v>
      </c>
      <c r="D56" s="8" t="s">
        <v>49</v>
      </c>
      <c r="E56" s="8" t="s">
        <v>303</v>
      </c>
      <c r="F56" s="8" t="s">
        <v>59</v>
      </c>
      <c r="G56" s="8" t="s">
        <v>61</v>
      </c>
      <c r="H56" s="8" t="str">
        <f ca="1">IFERROR(__xludf.DUMMYFUNCTION("VLOOKUP(G56, IMPORTRANGE(""https://docs.google.com/spreadsheets/d/14deopnvwcrKtEGCKuYXdUHJbeLDZlkiSSWWT0g7x2pM/edit#gid=999382323"", ""LU List Maths (Filter)!A:B""), 2, FALSE)"),"Definition of line segment")</f>
        <v>Definition of line segment</v>
      </c>
      <c r="I56" s="10" t="str">
        <f t="shared" si="0"/>
        <v>LU000219.001</v>
      </c>
      <c r="J56" s="10" t="str">
        <f ca="1">IFERROR(__xludf.DUMMYFUNCTION("VLOOKUP(I56, IMPORTRANGE(""https://docs.google.com/spreadsheets/d/1yDAaXNsi4Mr5FtRQL4tbmSdIzhx6_m4wkOD7IG-k_eo/edit#gid=0"", ""Maths!M:N""), 2, FALSE)"),"Provide examples from the surroundings in order to describe line segment.")</f>
        <v>Provide examples from the surroundings in order to describe line segment.</v>
      </c>
      <c r="K56" s="10" t="str">
        <f t="shared" si="1"/>
        <v>LU000219.002</v>
      </c>
      <c r="L56" s="10" t="str">
        <f ca="1">IFERROR(__xludf.DUMMYFUNCTION("VLOOKUP(K56, IMPORTRANGE(""https://docs.google.com/spreadsheets/d/1yDAaXNsi4Mr5FtRQL4tbmSdIzhx6_m4wkOD7IG-k_eo/edit#gid=0"", ""Maths!M:N""), 2, FALSE)"),"Explain the concept of line segment and identify line segments.")</f>
        <v>Explain the concept of line segment and identify line segments.</v>
      </c>
      <c r="M56" s="10" t="str">
        <f t="shared" si="2"/>
        <v>LU000219.003</v>
      </c>
      <c r="N56" s="10" t="str">
        <f ca="1">IFERROR(__xludf.DUMMYFUNCTION("VLOOKUP(M56, IMPORTRANGE(""https://docs.google.com/spreadsheets/d/1yDAaXNsi4Mr5FtRQL4tbmSdIzhx6_m4wkOD7IG-k_eo/edit#gid=0"", ""Maths!M:N""), 2, FALSE)"),"Explain the representation of the line segment.")</f>
        <v>Explain the representation of the line segment.</v>
      </c>
      <c r="O56" s="10" t="str">
        <f t="shared" si="3"/>
        <v>LU000219.004</v>
      </c>
      <c r="P56" s="10" t="str">
        <f ca="1">IFERROR(__xludf.DUMMYFUNCTION("VLOOKUP(O56, IMPORTRANGE(""https://docs.google.com/spreadsheets/d/1yDAaXNsi4Mr5FtRQL4tbmSdIzhx6_m4wkOD7IG-k_eo/edit#gid=0"", ""Maths!M:N""), 2, FALSE)"),"Draw a line segment of a given length and label its endpoints.")</f>
        <v>Draw a line segment of a given length and label its endpoints.</v>
      </c>
      <c r="Q56" s="10" t="str">
        <f t="shared" si="4"/>
        <v>LU000219.005</v>
      </c>
      <c r="R56" s="10" t="str">
        <f ca="1">IFERROR(__xludf.DUMMYFUNCTION("VLOOKUP(Q56, IMPORTRANGE(""https://docs.google.com/spreadsheets/d/1yDAaXNsi4Mr5FtRQL4tbmSdIzhx6_m4wkOD7IG-k_eo/edit#gid=0"", ""Maths!M:N""), 2, FALSE)"),"Analyze geometric diagrams and identify line segments.")</f>
        <v>Analyze geometric diagrams and identify line segments.</v>
      </c>
      <c r="S56" s="10" t="str">
        <f t="shared" si="5"/>
        <v>LU000219.006</v>
      </c>
      <c r="T56" s="10" t="str">
        <f ca="1">IFERROR(__xludf.DUMMYFUNCTION("VLOOKUP(S56, IMPORTRANGE(""https://docs.google.com/spreadsheets/d/1yDAaXNsi4Mr5FtRQL4tbmSdIzhx6_m4wkOD7IG-k_eo/edit#gid=0"", ""Maths!M:N""), 2, FALSE)"),"Design a geometric figure or pattern using line segments.")</f>
        <v>Design a geometric figure or pattern using line segments.</v>
      </c>
      <c r="U56" s="11">
        <f ca="1">IFERROR(__xludf.DUMMYFUNCTION("ArrayFormula(VLOOKUP(G56, IMPORTRANGE(""https://docs.google.com/spreadsheets/d/1p7R4vtkWt5VOBim4ltsDG9KTzSjrtKXsMtQGXPHyND0/edit#gid=795171502"", ""'Filter 30_05_2024'!A1:M2000""), {2, 3, 4, 5,6,7,8,9,10,11,12,13}, 0))"),5)</f>
        <v>5</v>
      </c>
      <c r="V56" s="11">
        <f ca="1">IFERROR(__xludf.DUMMYFUNCTION("""COMPUTED_VALUE"""),6)</f>
        <v>6</v>
      </c>
      <c r="W56" s="11">
        <f ca="1">IFERROR(__xludf.DUMMYFUNCTION("""COMPUTED_VALUE"""),2)</f>
        <v>2</v>
      </c>
      <c r="X56" s="11">
        <f ca="1">IFERROR(__xludf.DUMMYFUNCTION("""COMPUTED_VALUE"""),13)</f>
        <v>13</v>
      </c>
      <c r="Y56" s="11">
        <f ca="1">IFERROR(__xludf.DUMMYFUNCTION("""COMPUTED_VALUE"""),4)</f>
        <v>4</v>
      </c>
      <c r="Z56" s="29">
        <f ca="1">IFERROR(__xludf.DUMMYFUNCTION("""COMPUTED_VALUE"""),4)</f>
        <v>4</v>
      </c>
      <c r="AA56" s="29">
        <f ca="1">IFERROR(__xludf.DUMMYFUNCTION("""COMPUTED_VALUE"""),1)</f>
        <v>1</v>
      </c>
      <c r="AB56" s="12">
        <f ca="1">IFERROR(__xludf.DUMMYFUNCTION("""COMPUTED_VALUE"""),9)</f>
        <v>9</v>
      </c>
      <c r="AC56" s="12"/>
      <c r="AD56" s="12"/>
      <c r="AE56" s="12"/>
      <c r="AF56" s="12"/>
      <c r="AG56" s="13" t="str">
        <f ca="1">IFERROR(__xludf.DUMMYFUNCTION("ArrayFormula(VLOOKUP(G56, IMPORTRANGE(""https://docs.google.com/spreadsheets/d/1Co934fvtviyaRiMsrIlT05Jaq7iiYq07aLvRr35KA48/edit?gid=173865642#gid=173865642"", ""'G6_Maths_Pri_LU'!G2:V2000""), {3, 4, 5, 6, 7, 8, 9, 10, 11, 12, 13, 14, 15, 16}, 0))"),"LU000218")</f>
        <v>LU000218</v>
      </c>
      <c r="AH56" s="13" t="str">
        <f ca="1">IFERROR(__xludf.DUMMYFUNCTION("""COMPUTED_VALUE"""),"Definition of point")</f>
        <v>Definition of point</v>
      </c>
      <c r="AI56" s="13"/>
      <c r="AJ56" s="13"/>
      <c r="AK56" s="13"/>
      <c r="AL56" s="13"/>
      <c r="AM56" s="13"/>
      <c r="AN56" s="13"/>
      <c r="AO56" s="13"/>
      <c r="AP56" s="13"/>
      <c r="AQ56" s="13"/>
      <c r="AR56" s="13"/>
      <c r="AS56" s="13"/>
      <c r="AT56" s="13"/>
    </row>
    <row r="57" spans="1:46">
      <c r="A57" s="8" t="s">
        <v>247</v>
      </c>
      <c r="B57" s="8" t="s">
        <v>47</v>
      </c>
      <c r="C57" s="8" t="s">
        <v>48</v>
      </c>
      <c r="D57" s="8" t="s">
        <v>49</v>
      </c>
      <c r="E57" s="8" t="s">
        <v>303</v>
      </c>
      <c r="F57" s="8" t="s">
        <v>62</v>
      </c>
      <c r="G57" s="8" t="s">
        <v>63</v>
      </c>
      <c r="H57" s="8" t="str">
        <f ca="1">IFERROR(__xludf.DUMMYFUNCTION("VLOOKUP(G57, IMPORTRANGE(""https://docs.google.com/spreadsheets/d/14deopnvwcrKtEGCKuYXdUHJbeLDZlkiSSWWT0g7x2pM/edit#gid=999382323"", ""LU List Maths (Filter)!A:B""), 2, FALSE)"),"Definition of line")</f>
        <v>Definition of line</v>
      </c>
      <c r="I57" s="10" t="str">
        <f t="shared" si="0"/>
        <v>LU000220.001</v>
      </c>
      <c r="J57" s="10" t="str">
        <f ca="1">IFERROR(__xludf.DUMMYFUNCTION("VLOOKUP(I57, IMPORTRANGE(""https://docs.google.com/spreadsheets/d/1yDAaXNsi4Mr5FtRQL4tbmSdIzhx6_m4wkOD7IG-k_eo/edit#gid=0"", ""Maths!M:N""), 2, FALSE)"),"Define a line.")</f>
        <v>Define a line.</v>
      </c>
      <c r="K57" s="10" t="str">
        <f t="shared" si="1"/>
        <v>LU000220.002</v>
      </c>
      <c r="L57" s="10" t="str">
        <f ca="1">IFERROR(__xludf.DUMMYFUNCTION("VLOOKUP(K57, IMPORTRANGE(""https://docs.google.com/spreadsheets/d/1yDAaXNsi4Mr5FtRQL4tbmSdIzhx6_m4wkOD7IG-k_eo/edit#gid=0"", ""Maths!M:N""), 2, FALSE)"),"Explain the representation of a line.")</f>
        <v>Explain the representation of a line.</v>
      </c>
      <c r="M57" s="10" t="str">
        <f t="shared" si="2"/>
        <v>LU000220.003</v>
      </c>
      <c r="N57" s="10" t="str">
        <f ca="1">IFERROR(__xludf.DUMMYFUNCTION("VLOOKUP(M57, IMPORTRANGE(""https://docs.google.com/spreadsheets/d/1yDAaXNsi4Mr5FtRQL4tbmSdIzhx6_m4wkOD7IG-k_eo/edit#gid=0"", ""Maths!M:N""), 2, FALSE)"),"Apply the knowledge of lines to identify and represent them in geometric diagrams.")</f>
        <v>Apply the knowledge of lines to identify and represent them in geometric diagrams.</v>
      </c>
      <c r="O57" s="10" t="str">
        <f t="shared" si="3"/>
        <v>LU000220.004</v>
      </c>
      <c r="P57" s="10" t="str">
        <f ca="1">IFERROR(__xludf.DUMMYFUNCTION("VLOOKUP(O57, IMPORTRANGE(""https://docs.google.com/spreadsheets/d/1yDAaXNsi4Mr5FtRQL4tbmSdIzhx6_m4wkOD7IG-k_eo/edit#gid=0"", ""Maths!M:N""), 2, FALSE)"),"Differentiate between a line and a line segment.")</f>
        <v>Differentiate between a line and a line segment.</v>
      </c>
      <c r="Q57" s="10" t="str">
        <f t="shared" si="4"/>
        <v>LU000220.005</v>
      </c>
      <c r="R57" s="10" t="str">
        <f ca="1">IFERROR(__xludf.DUMMYFUNCTION("VLOOKUP(Q57, IMPORTRANGE(""https://docs.google.com/spreadsheets/d/1yDAaXNsi4Mr5FtRQL4tbmSdIzhx6_m4wkOD7IG-k_eo/edit#gid=0"", ""Maths!M:N""), 2, FALSE)"),"Analyze geometric diagrams and identify line.")</f>
        <v>Analyze geometric diagrams and identify line.</v>
      </c>
      <c r="S57" s="10" t="str">
        <f t="shared" si="5"/>
        <v>LU000220.006</v>
      </c>
      <c r="T57" s="10" t="str">
        <f ca="1">IFERROR(__xludf.DUMMYFUNCTION("VLOOKUP(S57, IMPORTRANGE(""https://docs.google.com/spreadsheets/d/1yDAaXNsi4Mr5FtRQL4tbmSdIzhx6_m4wkOD7IG-k_eo/edit#gid=0"", ""Maths!M:N""), 2, FALSE)"),"Design a geometric figure using line.")</f>
        <v>Design a geometric figure using line.</v>
      </c>
      <c r="U57" s="11">
        <f ca="1">IFERROR(__xludf.DUMMYFUNCTION("ArrayFormula(VLOOKUP(G57, IMPORTRANGE(""https://docs.google.com/spreadsheets/d/1p7R4vtkWt5VOBim4ltsDG9KTzSjrtKXsMtQGXPHyND0/edit#gid=795171502"", ""'Filter 30_05_2024'!A1:M2000""), {2, 3, 4, 5,6,7,8,9,10,11,12,13}, 0))"),4)</f>
        <v>4</v>
      </c>
      <c r="V57" s="11">
        <f ca="1">IFERROR(__xludf.DUMMYFUNCTION("""COMPUTED_VALUE"""),4)</f>
        <v>4</v>
      </c>
      <c r="W57" s="11">
        <f ca="1">IFERROR(__xludf.DUMMYFUNCTION("""COMPUTED_VALUE"""),2)</f>
        <v>2</v>
      </c>
      <c r="X57" s="11">
        <f ca="1">IFERROR(__xludf.DUMMYFUNCTION("""COMPUTED_VALUE"""),10)</f>
        <v>10</v>
      </c>
      <c r="Y57" s="11">
        <f ca="1">IFERROR(__xludf.DUMMYFUNCTION("""COMPUTED_VALUE"""),4)</f>
        <v>4</v>
      </c>
      <c r="Z57" s="29">
        <f ca="1">IFERROR(__xludf.DUMMYFUNCTION("""COMPUTED_VALUE"""),5)</f>
        <v>5</v>
      </c>
      <c r="AA57" s="29">
        <f ca="1">IFERROR(__xludf.DUMMYFUNCTION("""COMPUTED_VALUE"""),1)</f>
        <v>1</v>
      </c>
      <c r="AB57" s="12">
        <f ca="1">IFERROR(__xludf.DUMMYFUNCTION("""COMPUTED_VALUE"""),10)</f>
        <v>10</v>
      </c>
      <c r="AC57" s="12"/>
      <c r="AD57" s="12"/>
      <c r="AE57" s="12"/>
      <c r="AF57" s="12"/>
      <c r="AG57" s="13" t="str">
        <f ca="1">IFERROR(__xludf.DUMMYFUNCTION("ArrayFormula(VLOOKUP(G57, IMPORTRANGE(""https://docs.google.com/spreadsheets/d/1Co934fvtviyaRiMsrIlT05Jaq7iiYq07aLvRr35KA48/edit?gid=173865642#gid=173865642"", ""'G6_Maths_Pri_LU'!G2:V2000""), {3, 4, 5, 6, 7, 8, 9, 10, 11, 12, 13, 14, 15, 16}, 0))"),"LU000219")</f>
        <v>LU000219</v>
      </c>
      <c r="AH57" s="13" t="str">
        <f ca="1">IFERROR(__xludf.DUMMYFUNCTION("""COMPUTED_VALUE"""),"Definition of line segment")</f>
        <v>Definition of line segment</v>
      </c>
      <c r="AI57" s="13" t="str">
        <f ca="1">IFERROR(__xludf.DUMMYFUNCTION("""COMPUTED_VALUE"""),"LU000218")</f>
        <v>LU000218</v>
      </c>
      <c r="AJ57" s="13" t="str">
        <f ca="1">IFERROR(__xludf.DUMMYFUNCTION("""COMPUTED_VALUE"""),"Definition of point")</f>
        <v>Definition of point</v>
      </c>
      <c r="AK57" s="13"/>
      <c r="AL57" s="13"/>
      <c r="AM57" s="13"/>
      <c r="AN57" s="13"/>
      <c r="AO57" s="13"/>
      <c r="AP57" s="13"/>
      <c r="AQ57" s="13"/>
      <c r="AR57" s="13"/>
      <c r="AS57" s="13"/>
      <c r="AT57" s="13"/>
    </row>
    <row r="58" spans="1:46">
      <c r="A58" s="8" t="s">
        <v>247</v>
      </c>
      <c r="B58" s="8" t="s">
        <v>47</v>
      </c>
      <c r="C58" s="8" t="s">
        <v>48</v>
      </c>
      <c r="D58" s="8" t="s">
        <v>49</v>
      </c>
      <c r="E58" s="8" t="s">
        <v>303</v>
      </c>
      <c r="F58" s="8" t="s">
        <v>62</v>
      </c>
      <c r="G58" s="8" t="s">
        <v>64</v>
      </c>
      <c r="H58" s="8" t="str">
        <f ca="1">IFERROR(__xludf.DUMMYFUNCTION("VLOOKUP(G58, IMPORTRANGE(""https://docs.google.com/spreadsheets/d/14deopnvwcrKtEGCKuYXdUHJbeLDZlkiSSWWT0g7x2pM/edit#gid=999382323"", ""LU List Maths (Filter)!A:B""), 2, FALSE)"),"Definition of ray")</f>
        <v>Definition of ray</v>
      </c>
      <c r="I58" s="10" t="str">
        <f t="shared" si="0"/>
        <v>LU000223.001</v>
      </c>
      <c r="J58" s="10" t="str">
        <f ca="1">IFERROR(__xludf.DUMMYFUNCTION("VLOOKUP(I58, IMPORTRANGE(""https://docs.google.com/spreadsheets/d/1yDAaXNsi4Mr5FtRQL4tbmSdIzhx6_m4wkOD7IG-k_eo/edit#gid=0"", ""Maths!M:N""), 2, FALSE)"),"Recall the definition of a ray.")</f>
        <v>Recall the definition of a ray.</v>
      </c>
      <c r="K58" s="10" t="str">
        <f t="shared" si="1"/>
        <v>LU000223.002</v>
      </c>
      <c r="L58" s="10" t="str">
        <f ca="1">IFERROR(__xludf.DUMMYFUNCTION("VLOOKUP(K58, IMPORTRANGE(""https://docs.google.com/spreadsheets/d/1yDAaXNsi4Mr5FtRQL4tbmSdIzhx6_m4wkOD7IG-k_eo/edit#gid=0"", ""Maths!M:N""), 2, FALSE)"),"Explain the concept of ray and identify rays.")</f>
        <v>Explain the concept of ray and identify rays.</v>
      </c>
      <c r="M58" s="10" t="str">
        <f t="shared" si="2"/>
        <v>LU000223.003</v>
      </c>
      <c r="N58" s="10" t="str">
        <f ca="1">IFERROR(__xludf.DUMMYFUNCTION("VLOOKUP(M58, IMPORTRANGE(""https://docs.google.com/spreadsheets/d/1yDAaXNsi4Mr5FtRQL4tbmSdIzhx6_m4wkOD7IG-k_eo/edit#gid=0"", ""Maths!M:N""), 2, FALSE)"),"Apply the understanding of rays to identify and label them in geometric diagrams, distinguishing them from line segments and lines.")</f>
        <v>Apply the understanding of rays to identify and label them in geometric diagrams, distinguishing them from line segments and lines.</v>
      </c>
      <c r="O58" s="10" t="str">
        <f t="shared" si="3"/>
        <v>LU000223.004</v>
      </c>
      <c r="P58" s="10" t="str">
        <f ca="1">IFERROR(__xludf.DUMMYFUNCTION("VLOOKUP(O58, IMPORTRANGE(""https://docs.google.com/spreadsheets/d/1yDAaXNsi4Mr5FtRQL4tbmSdIzhx6_m4wkOD7IG-k_eo/edit#gid=0"", ""Maths!M:N""), 2, FALSE)"),"Analyse the characteristics of rays, including their starting point, direction, and the fact that they extend infinitely in one direction.")</f>
        <v>Analyse the characteristics of rays, including their starting point, direction, and the fact that they extend infinitely in one direction.</v>
      </c>
      <c r="Q58" s="10" t="str">
        <f t="shared" si="4"/>
        <v>LU000223.005</v>
      </c>
      <c r="R58" s="10" t="str">
        <f ca="1">IFERROR(__xludf.DUMMYFUNCTION("VLOOKUP(Q58, IMPORTRANGE(""https://docs.google.com/spreadsheets/d/1yDAaXNsi4Mr5FtRQL4tbmSdIzhx6_m4wkOD7IG-k_eo/edit#gid=0"", ""Maths!M:N""), 2, FALSE)"),"Evaluate the importance of rays in geometry, considering how they provide a clear representation of direction and half-lines.")</f>
        <v>Evaluate the importance of rays in geometry, considering how they provide a clear representation of direction and half-lines.</v>
      </c>
      <c r="S58" s="10" t="str">
        <f t="shared" si="5"/>
        <v>LU000223.006</v>
      </c>
      <c r="T58" s="10" t="str">
        <f ca="1">IFERROR(__xludf.DUMMYFUNCTION("VLOOKUP(S58, IMPORTRANGE(""https://docs.google.com/spreadsheets/d/1yDAaXNsi4Mr5FtRQL4tbmSdIzhx6_m4wkOD7IG-k_eo/edit#gid=0"", ""Maths!M:N""), 2, FALSE)"),"Create diagrams or visual representations illustrating rays in various orientations, highlighting their starting points and the direction of their extension.")</f>
        <v>Create diagrams or visual representations illustrating rays in various orientations, highlighting their starting points and the direction of their extension.</v>
      </c>
      <c r="U58" s="11">
        <f ca="1">IFERROR(__xludf.DUMMYFUNCTION("ArrayFormula(VLOOKUP(G58, IMPORTRANGE(""https://docs.google.com/spreadsheets/d/1p7R4vtkWt5VOBim4ltsDG9KTzSjrtKXsMtQGXPHyND0/edit#gid=795171502"", ""'Filter 30_05_2024'!A1:M2000""), {2, 3, 4, 5,6,7,8,9,10,11,12,13}, 0))"),8)</f>
        <v>8</v>
      </c>
      <c r="V58" s="11">
        <f ca="1">IFERROR(__xludf.DUMMYFUNCTION("""COMPUTED_VALUE"""),9)</f>
        <v>9</v>
      </c>
      <c r="W58" s="11">
        <f ca="1">IFERROR(__xludf.DUMMYFUNCTION("""COMPUTED_VALUE"""),4)</f>
        <v>4</v>
      </c>
      <c r="X58" s="11">
        <f ca="1">IFERROR(__xludf.DUMMYFUNCTION("""COMPUTED_VALUE"""),21)</f>
        <v>21</v>
      </c>
      <c r="Y58" s="11">
        <f ca="1">IFERROR(__xludf.DUMMYFUNCTION("""COMPUTED_VALUE"""),4)</f>
        <v>4</v>
      </c>
      <c r="Z58" s="29">
        <f ca="1">IFERROR(__xludf.DUMMYFUNCTION("""COMPUTED_VALUE"""),5)</f>
        <v>5</v>
      </c>
      <c r="AA58" s="29">
        <f ca="1">IFERROR(__xludf.DUMMYFUNCTION("""COMPUTED_VALUE"""),1)</f>
        <v>1</v>
      </c>
      <c r="AB58" s="12">
        <f ca="1">IFERROR(__xludf.DUMMYFUNCTION("""COMPUTED_VALUE"""),10)</f>
        <v>10</v>
      </c>
      <c r="AC58" s="12"/>
      <c r="AD58" s="12"/>
      <c r="AE58" s="12"/>
      <c r="AF58" s="12"/>
      <c r="AG58" s="13" t="str">
        <f ca="1">IFERROR(__xludf.DUMMYFUNCTION("ArrayFormula(VLOOKUP(G58, IMPORTRANGE(""https://docs.google.com/spreadsheets/d/1Co934fvtviyaRiMsrIlT05Jaq7iiYq07aLvRr35KA48/edit?gid=173865642#gid=173865642"", ""'G6_Maths_Pri_LU'!G2:V2000""), {3, 4, 5, 6, 7, 8, 9, 10, 11, 12, 13, 14, 15, 16}, 0))"),"LU000220")</f>
        <v>LU000220</v>
      </c>
      <c r="AH58" s="13" t="str">
        <f ca="1">IFERROR(__xludf.DUMMYFUNCTION("""COMPUTED_VALUE"""),"Definition of line")</f>
        <v>Definition of line</v>
      </c>
      <c r="AI58" s="13" t="str">
        <f ca="1">IFERROR(__xludf.DUMMYFUNCTION("""COMPUTED_VALUE"""),"LU000218")</f>
        <v>LU000218</v>
      </c>
      <c r="AJ58" s="13" t="str">
        <f ca="1">IFERROR(__xludf.DUMMYFUNCTION("""COMPUTED_VALUE"""),"Definition of point")</f>
        <v>Definition of point</v>
      </c>
      <c r="AK58" s="13" t="str">
        <f ca="1">IFERROR(__xludf.DUMMYFUNCTION("""COMPUTED_VALUE"""),"LU000219")</f>
        <v>LU000219</v>
      </c>
      <c r="AL58" s="13" t="str">
        <f ca="1">IFERROR(__xludf.DUMMYFUNCTION("""COMPUTED_VALUE"""),"Definition of line segment")</f>
        <v>Definition of line segment</v>
      </c>
      <c r="AM58" s="13"/>
      <c r="AN58" s="13"/>
      <c r="AO58" s="13"/>
      <c r="AP58" s="13"/>
      <c r="AQ58" s="13"/>
      <c r="AR58" s="13"/>
      <c r="AS58" s="13"/>
      <c r="AT58" s="13"/>
    </row>
    <row r="59" spans="1:46">
      <c r="A59" s="8" t="s">
        <v>247</v>
      </c>
      <c r="B59" s="8" t="s">
        <v>47</v>
      </c>
      <c r="C59" s="8" t="s">
        <v>48</v>
      </c>
      <c r="D59" s="8" t="s">
        <v>49</v>
      </c>
      <c r="E59" s="8" t="s">
        <v>303</v>
      </c>
      <c r="F59" s="8" t="s">
        <v>304</v>
      </c>
      <c r="G59" s="8" t="s">
        <v>305</v>
      </c>
      <c r="H59" s="8" t="str">
        <f ca="1">IFERROR(__xludf.DUMMYFUNCTION("VLOOKUP(G59, IMPORTRANGE(""https://docs.google.com/spreadsheets/d/14deopnvwcrKtEGCKuYXdUHJbeLDZlkiSSWWT0g7x2pM/edit#gid=999382323"", ""LU List Maths (Filter)!A:B""), 2, FALSE)"),"Definition and identification of intersecting lines")</f>
        <v>Definition and identification of intersecting lines</v>
      </c>
      <c r="I59" s="10" t="str">
        <f t="shared" si="0"/>
        <v>LU000221.001</v>
      </c>
      <c r="J59" s="10" t="str">
        <f ca="1">IFERROR(__xludf.DUMMYFUNCTION("VLOOKUP(I59, IMPORTRANGE(""https://docs.google.com/spreadsheets/d/1yDAaXNsi4Mr5FtRQL4tbmSdIzhx6_m4wkOD7IG-k_eo/edit#gid=0"", ""Maths!M:N""), 2, FALSE)"),"Define intersecting lines and point of intersection.")</f>
        <v>Define intersecting lines and point of intersection.</v>
      </c>
      <c r="K59" s="10" t="str">
        <f t="shared" si="1"/>
        <v>LU000221.002</v>
      </c>
      <c r="L59" s="10" t="str">
        <f ca="1">IFERROR(__xludf.DUMMYFUNCTION("VLOOKUP(K59, IMPORTRANGE(""https://docs.google.com/spreadsheets/d/1yDAaXNsi4Mr5FtRQL4tbmSdIzhx6_m4wkOD7IG-k_eo/edit#gid=0"", ""Maths!M:N""), 2, FALSE)"),"Find the measure of unknown angles made by intersecting lines.")</f>
        <v>Find the measure of unknown angles made by intersecting lines.</v>
      </c>
      <c r="M59" s="10" t="str">
        <f t="shared" si="2"/>
        <v>LU000221.003</v>
      </c>
      <c r="N59" s="10" t="str">
        <f ca="1">IFERROR(__xludf.DUMMYFUNCTION("VLOOKUP(M59, IMPORTRANGE(""https://docs.google.com/spreadsheets/d/1yDAaXNsi4Mr5FtRQL4tbmSdIzhx6_m4wkOD7IG-k_eo/edit#gid=0"", ""Maths!M:N""), 2, FALSE)"),"Distinguish intersecting lines from the given pairs of lines.")</f>
        <v>Distinguish intersecting lines from the given pairs of lines.</v>
      </c>
      <c r="O59" s="10" t="str">
        <f t="shared" si="3"/>
        <v>LU000221.004</v>
      </c>
      <c r="P59" s="10" t="str">
        <f ca="1">IFERROR(__xludf.DUMMYFUNCTION("VLOOKUP(O59, IMPORTRANGE(""https://docs.google.com/spreadsheets/d/1yDAaXNsi4Mr5FtRQL4tbmSdIzhx6_m4wkOD7IG-k_eo/edit#gid=0"", ""Maths!M:N""), 2, FALSE)"),"Analyze geometric figures to recognise that two lines do not intersect at more than one point, and that multiple lines can intersect at a single point.")</f>
        <v>Analyze geometric figures to recognise that two lines do not intersect at more than one point, and that multiple lines can intersect at a single point.</v>
      </c>
      <c r="Q59" s="10" t="str">
        <f t="shared" si="4"/>
        <v>LU000221.005</v>
      </c>
      <c r="R59" s="10" t="str">
        <f ca="1">IFERROR(__xludf.DUMMYFUNCTION("VLOOKUP(Q59, IMPORTRANGE(""https://docs.google.com/spreadsheets/d/1yDAaXNsi4Mr5FtRQL4tbmSdIzhx6_m4wkOD7IG-k_eo/edit#gid=0"", ""Maths!M:N""), 2, FALSE)"),"#N/A")</f>
        <v>#N/A</v>
      </c>
      <c r="S59" s="10" t="str">
        <f t="shared" si="5"/>
        <v>LU000221.006</v>
      </c>
      <c r="T59" s="10" t="str">
        <f ca="1">IFERROR(__xludf.DUMMYFUNCTION("VLOOKUP(S59, IMPORTRANGE(""https://docs.google.com/spreadsheets/d/1yDAaXNsi4Mr5FtRQL4tbmSdIzhx6_m4wkOD7IG-k_eo/edit#gid=0"", ""Maths!M:N""), 2, FALSE)"),"Create visual representations of scenarios where two lines intersect at a single point.")</f>
        <v>Create visual representations of scenarios where two lines intersect at a single point.</v>
      </c>
      <c r="U59" s="11">
        <f ca="1">IFERROR(__xludf.DUMMYFUNCTION("ArrayFormula(VLOOKUP(G59, IMPORTRANGE(""https://docs.google.com/spreadsheets/d/1p7R4vtkWt5VOBim4ltsDG9KTzSjrtKXsMtQGXPHyND0/edit#gid=795171502"", ""'Filter 30_05_2024'!A1:M2000""), {2, 3, 4, 5,6,7,8,9,10,11,12,13}, 0))"),7)</f>
        <v>7</v>
      </c>
      <c r="V59" s="11">
        <f ca="1">IFERROR(__xludf.DUMMYFUNCTION("""COMPUTED_VALUE"""),15)</f>
        <v>15</v>
      </c>
      <c r="W59" s="11">
        <f ca="1">IFERROR(__xludf.DUMMYFUNCTION("""COMPUTED_VALUE"""),2)</f>
        <v>2</v>
      </c>
      <c r="X59" s="11">
        <f ca="1">IFERROR(__xludf.DUMMYFUNCTION("""COMPUTED_VALUE"""),24)</f>
        <v>24</v>
      </c>
      <c r="Y59" s="11">
        <f ca="1">IFERROR(__xludf.DUMMYFUNCTION("""COMPUTED_VALUE"""),3)</f>
        <v>3</v>
      </c>
      <c r="Z59" s="29">
        <f ca="1">IFERROR(__xludf.DUMMYFUNCTION("""COMPUTED_VALUE"""),3)</f>
        <v>3</v>
      </c>
      <c r="AA59" s="29">
        <f ca="1">IFERROR(__xludf.DUMMYFUNCTION("""COMPUTED_VALUE"""),1)</f>
        <v>1</v>
      </c>
      <c r="AB59" s="12">
        <f ca="1">IFERROR(__xludf.DUMMYFUNCTION("""COMPUTED_VALUE"""),7)</f>
        <v>7</v>
      </c>
      <c r="AC59" s="12"/>
      <c r="AD59" s="12"/>
      <c r="AE59" s="12"/>
      <c r="AF59" s="12"/>
      <c r="AG59" s="13" t="str">
        <f ca="1">IFERROR(__xludf.DUMMYFUNCTION("ArrayFormula(VLOOKUP(G59, IMPORTRANGE(""https://docs.google.com/spreadsheets/d/1Co934fvtviyaRiMsrIlT05Jaq7iiYq07aLvRr35KA48/edit?gid=173865642#gid=173865642"", ""'G6_Maths_Pri_LU'!G2:V2000""), {3, 4, 5, 6, 7, 8, 9, 10, 11, 12, 13, 14, 15, 16}, 0))"),"LU000220")</f>
        <v>LU000220</v>
      </c>
      <c r="AH59" s="13" t="str">
        <f ca="1">IFERROR(__xludf.DUMMYFUNCTION("""COMPUTED_VALUE"""),"Definition of line")</f>
        <v>Definition of line</v>
      </c>
      <c r="AI59" s="13" t="str">
        <f ca="1">IFERROR(__xludf.DUMMYFUNCTION("""COMPUTED_VALUE"""),"LU000218")</f>
        <v>LU000218</v>
      </c>
      <c r="AJ59" s="13" t="str">
        <f ca="1">IFERROR(__xludf.DUMMYFUNCTION("""COMPUTED_VALUE"""),"Definition of point")</f>
        <v>Definition of point</v>
      </c>
      <c r="AK59" s="13" t="str">
        <f ca="1">IFERROR(__xludf.DUMMYFUNCTION("""COMPUTED_VALUE"""),"LU000219")</f>
        <v>LU000219</v>
      </c>
      <c r="AL59" s="13" t="str">
        <f ca="1">IFERROR(__xludf.DUMMYFUNCTION("""COMPUTED_VALUE"""),"Definition of line segment")</f>
        <v>Definition of line segment</v>
      </c>
      <c r="AM59" s="13"/>
      <c r="AN59" s="13"/>
      <c r="AO59" s="13"/>
      <c r="AP59" s="13"/>
      <c r="AQ59" s="13"/>
      <c r="AR59" s="13"/>
      <c r="AS59" s="13"/>
      <c r="AT59" s="13"/>
    </row>
    <row r="60" spans="1:46">
      <c r="A60" s="8" t="s">
        <v>247</v>
      </c>
      <c r="B60" s="8" t="s">
        <v>47</v>
      </c>
      <c r="C60" s="8" t="s">
        <v>48</v>
      </c>
      <c r="D60" s="8" t="s">
        <v>49</v>
      </c>
      <c r="E60" s="8" t="s">
        <v>303</v>
      </c>
      <c r="F60" s="8" t="s">
        <v>304</v>
      </c>
      <c r="G60" s="8" t="s">
        <v>306</v>
      </c>
      <c r="H60" s="8" t="str">
        <f ca="1">IFERROR(__xludf.DUMMYFUNCTION("VLOOKUP(G60, IMPORTRANGE(""https://docs.google.com/spreadsheets/d/14deopnvwcrKtEGCKuYXdUHJbeLDZlkiSSWWT0g7x2pM/edit#gid=999382323"", ""LU List Maths (Filter)!A:B""), 2, FALSE)"),"Definition and identification of parallel lines")</f>
        <v>Definition and identification of parallel lines</v>
      </c>
      <c r="I60" s="10" t="str">
        <f t="shared" si="0"/>
        <v>LU000222.001</v>
      </c>
      <c r="J60" s="10" t="str">
        <f ca="1">IFERROR(__xludf.DUMMYFUNCTION("VLOOKUP(I60, IMPORTRANGE(""https://docs.google.com/spreadsheets/d/1yDAaXNsi4Mr5FtRQL4tbmSdIzhx6_m4wkOD7IG-k_eo/edit#gid=0"", ""Maths!M:N""), 2, FALSE)"),"Define parallel lines.")</f>
        <v>Define parallel lines.</v>
      </c>
      <c r="K60" s="10" t="str">
        <f t="shared" si="1"/>
        <v>LU000222.002</v>
      </c>
      <c r="L60" s="10" t="str">
        <f ca="1">IFERROR(__xludf.DUMMYFUNCTION("VLOOKUP(K60, IMPORTRANGE(""https://docs.google.com/spreadsheets/d/1yDAaXNsi4Mr5FtRQL4tbmSdIzhx6_m4wkOD7IG-k_eo/edit#gid=0"", ""Maths!M:N""), 2, FALSE)"),"List the real-word examples of parallel lines.")</f>
        <v>List the real-word examples of parallel lines.</v>
      </c>
      <c r="M60" s="10" t="str">
        <f t="shared" si="2"/>
        <v>LU000222.003</v>
      </c>
      <c r="N60" s="10" t="str">
        <f ca="1">IFERROR(__xludf.DUMMYFUNCTION("VLOOKUP(M60, IMPORTRANGE(""https://docs.google.com/spreadsheets/d/1yDAaXNsi4Mr5FtRQL4tbmSdIzhx6_m4wkOD7IG-k_eo/edit#gid=0"", ""Maths!M:N""), 2, FALSE)"),"Distinguish parallel lines from the given pairs of lines/line segment.")</f>
        <v>Distinguish parallel lines from the given pairs of lines/line segment.</v>
      </c>
      <c r="O60" s="10" t="str">
        <f t="shared" si="3"/>
        <v>LU000222.004</v>
      </c>
      <c r="P60" s="10" t="str">
        <f ca="1">IFERROR(__xludf.DUMMYFUNCTION("VLOOKUP(O60, IMPORTRANGE(""https://docs.google.com/spreadsheets/d/1yDAaXNsi4Mr5FtRQL4tbmSdIzhx6_m4wkOD7IG-k_eo/edit#gid=0"", ""Maths!M:N""), 2, FALSE)"),"Examine various sets of lines and distinguish parallel lines from others, analyzing their properties and the relationship between them.")</f>
        <v>Examine various sets of lines and distinguish parallel lines from others, analyzing their properties and the relationship between them.</v>
      </c>
      <c r="Q60" s="10" t="str">
        <f t="shared" si="4"/>
        <v>LU000222.005</v>
      </c>
      <c r="R60" s="10" t="str">
        <f ca="1">IFERROR(__xludf.DUMMYFUNCTION("VLOOKUP(Q60, IMPORTRANGE(""https://docs.google.com/spreadsheets/d/1yDAaXNsi4Mr5FtRQL4tbmSdIzhx6_m4wkOD7IG-k_eo/edit#gid=0"", ""Maths!M:N""), 2, FALSE)"),"#N/A")</f>
        <v>#N/A</v>
      </c>
      <c r="S60" s="10" t="str">
        <f t="shared" si="5"/>
        <v>LU000222.006</v>
      </c>
      <c r="T60" s="10" t="str">
        <f ca="1">IFERROR(__xludf.DUMMYFUNCTION("VLOOKUP(S60, IMPORTRANGE(""https://docs.google.com/spreadsheets/d/1yDAaXNsi4Mr5FtRQL4tbmSdIzhx6_m4wkOD7IG-k_eo/edit#gid=0"", ""Maths!M:N""), 2, FALSE)"),"Visual representations of scenarios where two lines intersect at a single point.")</f>
        <v>Visual representations of scenarios where two lines intersect at a single point.</v>
      </c>
      <c r="U60" s="11">
        <f ca="1">IFERROR(__xludf.DUMMYFUNCTION("ArrayFormula(VLOOKUP(G60, IMPORTRANGE(""https://docs.google.com/spreadsheets/d/1p7R4vtkWt5VOBim4ltsDG9KTzSjrtKXsMtQGXPHyND0/edit#gid=795171502"", ""'Filter 30_05_2024'!A1:M2000""), {2, 3, 4, 5,6,7,8,9,10,11,12,13}, 0))"),14)</f>
        <v>14</v>
      </c>
      <c r="V60" s="11">
        <f ca="1">IFERROR(__xludf.DUMMYFUNCTION("""COMPUTED_VALUE"""),5)</f>
        <v>5</v>
      </c>
      <c r="W60" s="11">
        <f ca="1">IFERROR(__xludf.DUMMYFUNCTION("""COMPUTED_VALUE"""),2)</f>
        <v>2</v>
      </c>
      <c r="X60" s="11">
        <f ca="1">IFERROR(__xludf.DUMMYFUNCTION("""COMPUTED_VALUE"""),21)</f>
        <v>21</v>
      </c>
      <c r="Y60" s="11">
        <f ca="1">IFERROR(__xludf.DUMMYFUNCTION("""COMPUTED_VALUE"""),5)</f>
        <v>5</v>
      </c>
      <c r="Z60" s="29">
        <f ca="1">IFERROR(__xludf.DUMMYFUNCTION("""COMPUTED_VALUE"""),3)</f>
        <v>3</v>
      </c>
      <c r="AA60" s="29">
        <f ca="1">IFERROR(__xludf.DUMMYFUNCTION("""COMPUTED_VALUE"""),2)</f>
        <v>2</v>
      </c>
      <c r="AB60" s="12">
        <f ca="1">IFERROR(__xludf.DUMMYFUNCTION("""COMPUTED_VALUE"""),10)</f>
        <v>10</v>
      </c>
      <c r="AC60" s="12"/>
      <c r="AD60" s="12"/>
      <c r="AE60" s="12"/>
      <c r="AF60" s="12"/>
      <c r="AG60" s="13" t="str">
        <f ca="1">IFERROR(__xludf.DUMMYFUNCTION("ArrayFormula(VLOOKUP(G60, IMPORTRANGE(""https://docs.google.com/spreadsheets/d/1Co934fvtviyaRiMsrIlT05Jaq7iiYq07aLvRr35KA48/edit?gid=173865642#gid=173865642"", ""'G6_Maths_Pri_LU'!G2:V2000""), {3, 4, 5, 6, 7, 8, 9, 10, 11, 12, 13, 14, 15, 16}, 0))"),"LU000220")</f>
        <v>LU000220</v>
      </c>
      <c r="AH60" s="13" t="str">
        <f ca="1">IFERROR(__xludf.DUMMYFUNCTION("""COMPUTED_VALUE"""),"Definition of line")</f>
        <v>Definition of line</v>
      </c>
      <c r="AI60" s="13" t="str">
        <f ca="1">IFERROR(__xludf.DUMMYFUNCTION("""COMPUTED_VALUE"""),"LU000221")</f>
        <v>LU000221</v>
      </c>
      <c r="AJ60" s="13" t="str">
        <f ca="1">IFERROR(__xludf.DUMMYFUNCTION("""COMPUTED_VALUE"""),"Definition and identification of intersecting lines")</f>
        <v>Definition and identification of intersecting lines</v>
      </c>
      <c r="AK60" s="13" t="str">
        <f ca="1">IFERROR(__xludf.DUMMYFUNCTION("""COMPUTED_VALUE"""),"LU000219")</f>
        <v>LU000219</v>
      </c>
      <c r="AL60" s="13" t="str">
        <f ca="1">IFERROR(__xludf.DUMMYFUNCTION("""COMPUTED_VALUE"""),"Definition of line segment")</f>
        <v>Definition of line segment</v>
      </c>
      <c r="AM60" s="13"/>
      <c r="AN60" s="13"/>
      <c r="AO60" s="13"/>
      <c r="AP60" s="13"/>
      <c r="AQ60" s="13"/>
      <c r="AR60" s="13"/>
      <c r="AS60" s="13"/>
      <c r="AT60" s="13"/>
    </row>
    <row r="61" spans="1:46">
      <c r="A61" s="8" t="s">
        <v>247</v>
      </c>
      <c r="B61" s="8" t="s">
        <v>47</v>
      </c>
      <c r="C61" s="8" t="s">
        <v>48</v>
      </c>
      <c r="D61" s="8" t="s">
        <v>49</v>
      </c>
      <c r="E61" s="8" t="s">
        <v>303</v>
      </c>
      <c r="F61" s="8" t="s">
        <v>307</v>
      </c>
      <c r="G61" s="8" t="s">
        <v>308</v>
      </c>
      <c r="H61" s="8" t="str">
        <f ca="1">IFERROR(__xludf.DUMMYFUNCTION("VLOOKUP(G61, IMPORTRANGE(""https://docs.google.com/spreadsheets/d/14deopnvwcrKtEGCKuYXdUHJbeLDZlkiSSWWT0g7x2pM/edit#gid=999382323"", ""LU List Maths (Filter)!A:B""), 2, FALSE)"),"Definition of curve")</f>
        <v>Definition of curve</v>
      </c>
      <c r="I61" s="10" t="str">
        <f t="shared" si="0"/>
        <v>LU000224.001</v>
      </c>
      <c r="J61" s="10" t="str">
        <f ca="1">IFERROR(__xludf.DUMMYFUNCTION("VLOOKUP(I61, IMPORTRANGE(""https://docs.google.com/spreadsheets/d/1yDAaXNsi4Mr5FtRQL4tbmSdIzhx6_m4wkOD7IG-k_eo/edit#gid=0"", ""Maths!M:N""), 2, FALSE)"),"State the definition of curves.")</f>
        <v>State the definition of curves.</v>
      </c>
      <c r="K61" s="10" t="str">
        <f t="shared" si="1"/>
        <v>LU000224.002</v>
      </c>
      <c r="L61" s="10" t="str">
        <f ca="1">IFERROR(__xludf.DUMMYFUNCTION("VLOOKUP(K61, IMPORTRANGE(""https://docs.google.com/spreadsheets/d/1yDAaXNsi4Mr5FtRQL4tbmSdIzhx6_m4wkOD7IG-k_eo/edit#gid=0"", ""Maths!M:N""), 2, FALSE)"),"Apply the understanding of curves to identify instances in which drawings can be made without using a ruler and without lifting the pencil, resulting in curve formations.")</f>
        <v>Apply the understanding of curves to identify instances in which drawings can be made without using a ruler and without lifting the pencil, resulting in curve formations.</v>
      </c>
      <c r="M61" s="10" t="str">
        <f t="shared" si="2"/>
        <v>LU000224.003</v>
      </c>
      <c r="N61" s="10" t="str">
        <f ca="1">IFERROR(__xludf.DUMMYFUNCTION("VLOOKUP(M61, IMPORTRANGE(""https://docs.google.com/spreadsheets/d/1yDAaXNsi4Mr5FtRQL4tbmSdIzhx6_m4wkOD7IG-k_eo/edit#gid=0"", ""Maths!M:N""), 2, FALSE)"),"Apply the knowledge of curves to identify the curves from the given figures.")</f>
        <v>Apply the knowledge of curves to identify the curves from the given figures.</v>
      </c>
      <c r="O61" s="10" t="str">
        <f t="shared" si="3"/>
        <v>LU000224.004</v>
      </c>
      <c r="P61" s="10" t="str">
        <f ca="1">IFERROR(__xludf.DUMMYFUNCTION("VLOOKUP(O61, IMPORTRANGE(""https://docs.google.com/spreadsheets/d/1yDAaXNsi4Mr5FtRQL4tbmSdIzhx6_m4wkOD7IG-k_eo/edit#gid=0"", ""Maths!M:N""), 2, FALSE)"),"Analyse the attributes of curves, recognizing their characteristic smoothness and the freedom to draw them without the constraints of straight edges.")</f>
        <v>Analyse the attributes of curves, recognizing their characteristic smoothness and the freedom to draw them without the constraints of straight edges.</v>
      </c>
      <c r="Q61" s="10" t="str">
        <f t="shared" si="4"/>
        <v>LU000224.005</v>
      </c>
      <c r="R61" s="10" t="str">
        <f ca="1">IFERROR(__xludf.DUMMYFUNCTION("VLOOKUP(Q61, IMPORTRANGE(""https://docs.google.com/spreadsheets/d/1yDAaXNsi4Mr5FtRQL4tbmSdIzhx6_m4wkOD7IG-k_eo/edit#gid=0"", ""Maths!M:N""), 2, FALSE)"),"#N/A")</f>
        <v>#N/A</v>
      </c>
      <c r="S61" s="10" t="str">
        <f t="shared" si="5"/>
        <v>LU000224.006</v>
      </c>
      <c r="T61" s="10" t="str">
        <f ca="1">IFERROR(__xludf.DUMMYFUNCTION("VLOOKUP(S61, IMPORTRANGE(""https://docs.google.com/spreadsheets/d/1yDAaXNsi4Mr5FtRQL4tbmSdIzhx6_m4wkOD7IG-k_eo/edit#gid=0"", ""Maths!M:N""), 2, FALSE)"),"Create visual examples of curves, demonstrating the ability to draw them smoothly without lifting the pencil or using a ruler")</f>
        <v>Create visual examples of curves, demonstrating the ability to draw them smoothly without lifting the pencil or using a ruler</v>
      </c>
      <c r="U61" s="11">
        <f ca="1">IFERROR(__xludf.DUMMYFUNCTION("ArrayFormula(VLOOKUP(G61, IMPORTRANGE(""https://docs.google.com/spreadsheets/d/1p7R4vtkWt5VOBim4ltsDG9KTzSjrtKXsMtQGXPHyND0/edit#gid=795171502"", ""'Filter 30_05_2024'!A1:M2000""), {2, 3, 4, 5,6,7,8,9,10,11,12,13}, 0))"),4)</f>
        <v>4</v>
      </c>
      <c r="V61" s="11">
        <f ca="1">IFERROR(__xludf.DUMMYFUNCTION("""COMPUTED_VALUE"""),6)</f>
        <v>6</v>
      </c>
      <c r="W61" s="11">
        <f ca="1">IFERROR(__xludf.DUMMYFUNCTION("""COMPUTED_VALUE"""),2)</f>
        <v>2</v>
      </c>
      <c r="X61" s="11">
        <f ca="1">IFERROR(__xludf.DUMMYFUNCTION("""COMPUTED_VALUE"""),12)</f>
        <v>12</v>
      </c>
      <c r="Y61" s="11">
        <f ca="1">IFERROR(__xludf.DUMMYFUNCTION("""COMPUTED_VALUE"""),5)</f>
        <v>5</v>
      </c>
      <c r="Z61" s="29">
        <f ca="1">IFERROR(__xludf.DUMMYFUNCTION("""COMPUTED_VALUE"""),3)</f>
        <v>3</v>
      </c>
      <c r="AA61" s="29">
        <f ca="1">IFERROR(__xludf.DUMMYFUNCTION("""COMPUTED_VALUE"""),1)</f>
        <v>1</v>
      </c>
      <c r="AB61" s="12">
        <f ca="1">IFERROR(__xludf.DUMMYFUNCTION("""COMPUTED_VALUE"""),9)</f>
        <v>9</v>
      </c>
      <c r="AC61" s="12"/>
      <c r="AD61" s="12"/>
      <c r="AE61" s="12"/>
      <c r="AF61" s="12"/>
      <c r="AG61" s="13" t="str">
        <f ca="1">IFERROR(__xludf.DUMMYFUNCTION("ArrayFormula(VLOOKUP(G61, IMPORTRANGE(""https://docs.google.com/spreadsheets/d/1Co934fvtviyaRiMsrIlT05Jaq7iiYq07aLvRr35KA48/edit?gid=173865642#gid=173865642"", ""'G6_Maths_Pri_LU'!G2:V2000""), {3, 4, 5, 6, 7, 8, 9, 10, 11, 12, 13, 14, 15, 16}, 0))"),"")</f>
        <v/>
      </c>
      <c r="AH61" s="13"/>
      <c r="AI61" s="13"/>
      <c r="AJ61" s="13"/>
      <c r="AK61" s="13"/>
      <c r="AL61" s="13"/>
      <c r="AM61" s="13"/>
      <c r="AN61" s="13"/>
      <c r="AO61" s="13"/>
      <c r="AP61" s="13"/>
      <c r="AQ61" s="13"/>
      <c r="AR61" s="13"/>
      <c r="AS61" s="13"/>
      <c r="AT61" s="13"/>
    </row>
    <row r="62" spans="1:46">
      <c r="A62" s="8" t="s">
        <v>247</v>
      </c>
      <c r="B62" s="8" t="s">
        <v>47</v>
      </c>
      <c r="C62" s="8" t="s">
        <v>48</v>
      </c>
      <c r="D62" s="8" t="s">
        <v>49</v>
      </c>
      <c r="E62" s="8" t="s">
        <v>303</v>
      </c>
      <c r="F62" s="8" t="s">
        <v>307</v>
      </c>
      <c r="G62" s="8" t="s">
        <v>309</v>
      </c>
      <c r="H62" s="8" t="str">
        <f ca="1">IFERROR(__xludf.DUMMYFUNCTION("VLOOKUP(G62, IMPORTRANGE(""https://docs.google.com/spreadsheets/d/14deopnvwcrKtEGCKuYXdUHJbeLDZlkiSSWWT0g7x2pM/edit#gid=999382323"", ""LU List Maths (Filter)!A:B""), 2, FALSE)"),"Classification of curves")</f>
        <v>Classification of curves</v>
      </c>
      <c r="I62" s="10" t="str">
        <f t="shared" si="0"/>
        <v>LU000225.001</v>
      </c>
      <c r="J62" s="10" t="str">
        <f ca="1">IFERROR(__xludf.DUMMYFUNCTION("VLOOKUP(I62, IMPORTRANGE(""https://docs.google.com/spreadsheets/d/1yDAaXNsi4Mr5FtRQL4tbmSdIzhx6_m4wkOD7IG-k_eo/edit#gid=0"", ""Maths!M:N""), 2, FALSE)"),"Recall the definitions of simple, closed, and open curves.")</f>
        <v>Recall the definitions of simple, closed, and open curves.</v>
      </c>
      <c r="K62" s="10" t="str">
        <f t="shared" si="1"/>
        <v>LU000225.002</v>
      </c>
      <c r="L62" s="10" t="str">
        <f ca="1">IFERROR(__xludf.DUMMYFUNCTION("VLOOKUP(K62, IMPORTRANGE(""https://docs.google.com/spreadsheets/d/1yDAaXNsi4Mr5FtRQL4tbmSdIzhx6_m4wkOD7IG-k_eo/edit#gid=0"", ""Maths!M:N""), 2, FALSE)"),"Give example(s) in order to demonstrate an understanding of a simple curve and a curve that is not simple.")</f>
        <v>Give example(s) in order to demonstrate an understanding of a simple curve and a curve that is not simple.</v>
      </c>
      <c r="M62" s="10" t="str">
        <f t="shared" si="2"/>
        <v>LU000225.003</v>
      </c>
      <c r="N62" s="10" t="str">
        <f ca="1">IFERROR(__xludf.DUMMYFUNCTION("VLOOKUP(M62, IMPORTRANGE(""https://docs.google.com/spreadsheets/d/1yDAaXNsi4Mr5FtRQL4tbmSdIzhx6_m4wkOD7IG-k_eo/edit#gid=0"", ""Maths!M:N""), 2, FALSE)"),"Describe an open curve and a closed curve in order to distinguish between the two.")</f>
        <v>Describe an open curve and a closed curve in order to distinguish between the two.</v>
      </c>
      <c r="O62" s="10" t="str">
        <f t="shared" si="3"/>
        <v>LU000225.004</v>
      </c>
      <c r="P62" s="10" t="str">
        <f ca="1">IFERROR(__xludf.DUMMYFUNCTION("VLOOKUP(O62, IMPORTRANGE(""https://docs.google.com/spreadsheets/d/1yDAaXNsi4Mr5FtRQL4tbmSdIzhx6_m4wkOD7IG-k_eo/edit#gid=0"", ""Maths!M:N""), 2, FALSE)"),"Examine the given curves in order to classify them as simple, open and closed curves.")</f>
        <v>Examine the given curves in order to classify them as simple, open and closed curves.</v>
      </c>
      <c r="Q62" s="10" t="str">
        <f t="shared" si="4"/>
        <v>LU000225.005</v>
      </c>
      <c r="R62" s="10" t="str">
        <f ca="1">IFERROR(__xludf.DUMMYFUNCTION("VLOOKUP(Q62, IMPORTRANGE(""https://docs.google.com/spreadsheets/d/1yDAaXNsi4Mr5FtRQL4tbmSdIzhx6_m4wkOD7IG-k_eo/edit#gid=0"", ""Maths!M:N""), 2, FALSE)"),"Evaluate the significance of understanding and classifying curves into simple, closed, and open.")</f>
        <v>Evaluate the significance of understanding and classifying curves into simple, closed, and open.</v>
      </c>
      <c r="S62" s="10" t="str">
        <f t="shared" si="5"/>
        <v>LU000225.006</v>
      </c>
      <c r="T62" s="10" t="str">
        <f ca="1">IFERROR(__xludf.DUMMYFUNCTION("VLOOKUP(S62, IMPORTRANGE(""https://docs.google.com/spreadsheets/d/1yDAaXNsi4Mr5FtRQL4tbmSdIzhx6_m4wkOD7IG-k_eo/edit#gid=0"", ""Maths!M:N""), 2, FALSE)"),"Create examples of curves that fall under each classification (simple, closed, open), showcasing the ability to differentiate and represent each type accurately.")</f>
        <v>Create examples of curves that fall under each classification (simple, closed, open), showcasing the ability to differentiate and represent each type accurately.</v>
      </c>
      <c r="U62" s="11">
        <f ca="1">IFERROR(__xludf.DUMMYFUNCTION("ArrayFormula(VLOOKUP(G62, IMPORTRANGE(""https://docs.google.com/spreadsheets/d/1p7R4vtkWt5VOBim4ltsDG9KTzSjrtKXsMtQGXPHyND0/edit#gid=795171502"", ""'Filter 30_05_2024'!A1:M2000""), {2, 3, 4, 5,6,7,8,9,10,11,12,13}, 0))"),10)</f>
        <v>10</v>
      </c>
      <c r="V62" s="11">
        <f ca="1">IFERROR(__xludf.DUMMYFUNCTION("""COMPUTED_VALUE"""),4)</f>
        <v>4</v>
      </c>
      <c r="W62" s="11">
        <f ca="1">IFERROR(__xludf.DUMMYFUNCTION("""COMPUTED_VALUE"""),2)</f>
        <v>2</v>
      </c>
      <c r="X62" s="11">
        <f ca="1">IFERROR(__xludf.DUMMYFUNCTION("""COMPUTED_VALUE"""),16)</f>
        <v>16</v>
      </c>
      <c r="Y62" s="11">
        <f ca="1">IFERROR(__xludf.DUMMYFUNCTION("""COMPUTED_VALUE"""),6)</f>
        <v>6</v>
      </c>
      <c r="Z62" s="29">
        <f ca="1">IFERROR(__xludf.DUMMYFUNCTION("""COMPUTED_VALUE"""),3)</f>
        <v>3</v>
      </c>
      <c r="AA62" s="29">
        <f ca="1">IFERROR(__xludf.DUMMYFUNCTION("""COMPUTED_VALUE"""),1)</f>
        <v>1</v>
      </c>
      <c r="AB62" s="12">
        <f ca="1">IFERROR(__xludf.DUMMYFUNCTION("""COMPUTED_VALUE"""),10)</f>
        <v>10</v>
      </c>
      <c r="AC62" s="12"/>
      <c r="AD62" s="12"/>
      <c r="AE62" s="12"/>
      <c r="AF62" s="12"/>
      <c r="AG62" s="13" t="str">
        <f ca="1">IFERROR(__xludf.DUMMYFUNCTION("ArrayFormula(VLOOKUP(G62, IMPORTRANGE(""https://docs.google.com/spreadsheets/d/1Co934fvtviyaRiMsrIlT05Jaq7iiYq07aLvRr35KA48/edit?gid=173865642#gid=173865642"", ""'G6_Maths_Pri_LU'!G2:V2000""), {3, 4, 5, 6, 7, 8, 9, 10, 11, 12, 13, 14, 15, 16}, 0))"),"LU000224")</f>
        <v>LU000224</v>
      </c>
      <c r="AH62" s="13" t="str">
        <f ca="1">IFERROR(__xludf.DUMMYFUNCTION("""COMPUTED_VALUE"""),"Definition of curve")</f>
        <v>Definition of curve</v>
      </c>
      <c r="AI62" s="13" t="str">
        <f ca="1">IFERROR(__xludf.DUMMYFUNCTION("""COMPUTED_VALUE"""),"LU000220")</f>
        <v>LU000220</v>
      </c>
      <c r="AJ62" s="13" t="str">
        <f ca="1">IFERROR(__xludf.DUMMYFUNCTION("""COMPUTED_VALUE"""),"Definition of line")</f>
        <v>Definition of line</v>
      </c>
      <c r="AK62" s="13" t="str">
        <f ca="1">IFERROR(__xludf.DUMMYFUNCTION("""COMPUTED_VALUE"""),"LU000221")</f>
        <v>LU000221</v>
      </c>
      <c r="AL62" s="13" t="str">
        <f ca="1">IFERROR(__xludf.DUMMYFUNCTION("""COMPUTED_VALUE"""),"Definition and identification of intersecting lines")</f>
        <v>Definition and identification of intersecting lines</v>
      </c>
      <c r="AM62" s="13" t="str">
        <f ca="1">IFERROR(__xludf.DUMMYFUNCTION("""COMPUTED_VALUE"""),"LU000218")</f>
        <v>LU000218</v>
      </c>
      <c r="AN62" s="13" t="str">
        <f ca="1">IFERROR(__xludf.DUMMYFUNCTION("""COMPUTED_VALUE"""),"Definition of point")</f>
        <v>Definition of point</v>
      </c>
      <c r="AO62" s="13"/>
      <c r="AP62" s="13"/>
      <c r="AQ62" s="13"/>
      <c r="AR62" s="13"/>
      <c r="AS62" s="13"/>
      <c r="AT62" s="13"/>
    </row>
    <row r="63" spans="1:46">
      <c r="A63" s="8" t="s">
        <v>247</v>
      </c>
      <c r="B63" s="8" t="s">
        <v>47</v>
      </c>
      <c r="C63" s="8" t="s">
        <v>48</v>
      </c>
      <c r="D63" s="8" t="s">
        <v>49</v>
      </c>
      <c r="E63" s="8" t="s">
        <v>303</v>
      </c>
      <c r="F63" s="8" t="s">
        <v>307</v>
      </c>
      <c r="G63" s="8" t="s">
        <v>310</v>
      </c>
      <c r="H63" s="8" t="str">
        <f ca="1">IFERROR(__xludf.DUMMYFUNCTION("VLOOKUP(G63, IMPORTRANGE(""https://docs.google.com/spreadsheets/d/14deopnvwcrKtEGCKuYXdUHJbeLDZlkiSSWWT0g7x2pM/edit#gid=999382323"", ""LU List Maths (Filter)!A:B""), 2, FALSE)"),"Region of a closed curve")</f>
        <v>Region of a closed curve</v>
      </c>
      <c r="I63" s="10" t="str">
        <f t="shared" si="0"/>
        <v>LU000226.001</v>
      </c>
      <c r="J63" s="10" t="str">
        <f ca="1">IFERROR(__xludf.DUMMYFUNCTION("VLOOKUP(I63, IMPORTRANGE(""https://docs.google.com/spreadsheets/d/1yDAaXNsi4Mr5FtRQL4tbmSdIzhx6_m4wkOD7IG-k_eo/edit#gid=0"", ""Maths!M:N""), 2, FALSE)"),"Discuss the parts of a closed curve in order to determine the position of a point with respect to it.")</f>
        <v>Discuss the parts of a closed curve in order to determine the position of a point with respect to it.</v>
      </c>
      <c r="K63" s="10" t="str">
        <f t="shared" si="1"/>
        <v>LU000226.002</v>
      </c>
      <c r="L63" s="10" t="str">
        <f ca="1">IFERROR(__xludf.DUMMYFUNCTION("VLOOKUP(K63, IMPORTRANGE(""https://docs.google.com/spreadsheets/d/1yDAaXNsi4Mr5FtRQL4tbmSdIzhx6_m4wkOD7IG-k_eo/edit#gid=0"", ""Maths!M:N""), 2, FALSE)"),"Demonstrate and define the region of a closed curve.")</f>
        <v>Demonstrate and define the region of a closed curve.</v>
      </c>
      <c r="M63" s="10" t="str">
        <f t="shared" si="2"/>
        <v>LU000226.003</v>
      </c>
      <c r="N63" s="10" t="str">
        <f ca="1">IFERROR(__xludf.DUMMYFUNCTION("VLOOKUP(M63, IMPORTRANGE(""https://docs.google.com/spreadsheets/d/1yDAaXNsi4Mr5FtRQL4tbmSdIzhx6_m4wkOD7IG-k_eo/edit#gid=0"", ""Maths!M:N""), 2, FALSE)"),"Apply the knowledge of regions formed by closed curves to correctly identify and label interior, exterior, and boundary areas in given diagrams")</f>
        <v>Apply the knowledge of regions formed by closed curves to correctly identify and label interior, exterior, and boundary areas in given diagrams</v>
      </c>
      <c r="O63" s="10" t="str">
        <f t="shared" si="3"/>
        <v>LU000226.004</v>
      </c>
      <c r="P63" s="10" t="str">
        <f ca="1">IFERROR(__xludf.DUMMYFUNCTION("VLOOKUP(O63, IMPORTRANGE(""https://docs.google.com/spreadsheets/d/1yDAaXNsi4Mr5FtRQL4tbmSdIzhx6_m4wkOD7IG-k_eo/edit#gid=0"", ""Maths!M:N""), 2, FALSE)"),"Analyse the closed curves to identify the location of points in relation to the interior, exterior, and boundary regions.")</f>
        <v>Analyse the closed curves to identify the location of points in relation to the interior, exterior, and boundary regions.</v>
      </c>
      <c r="Q63" s="10" t="str">
        <f t="shared" si="4"/>
        <v>LU000226.005</v>
      </c>
      <c r="R63" s="10" t="str">
        <f ca="1">IFERROR(__xludf.DUMMYFUNCTION("VLOOKUP(Q63, IMPORTRANGE(""https://docs.google.com/spreadsheets/d/1yDAaXNsi4Mr5FtRQL4tbmSdIzhx6_m4wkOD7IG-k_eo/edit#gid=0"", ""Maths!M:N""), 2, FALSE)"),"#N/A")</f>
        <v>#N/A</v>
      </c>
      <c r="S63" s="10" t="str">
        <f t="shared" si="5"/>
        <v>LU000226.006</v>
      </c>
      <c r="T63" s="10" t="str">
        <f ca="1">IFERROR(__xludf.DUMMYFUNCTION("VLOOKUP(S63, IMPORTRANGE(""https://docs.google.com/spreadsheets/d/1yDAaXNsi4Mr5FtRQL4tbmSdIzhx6_m4wkOD7IG-k_eo/edit#gid=0"", ""Maths!M:N""), 2, FALSE)"),"Create visual representations of closed curves along with their interior, exterior, and boundary regions, showcasing the ability to accurately depict and differentiate these regions.")</f>
        <v>Create visual representations of closed curves along with their interior, exterior, and boundary regions, showcasing the ability to accurately depict and differentiate these regions.</v>
      </c>
      <c r="U63" s="11">
        <f ca="1">IFERROR(__xludf.DUMMYFUNCTION("ArrayFormula(VLOOKUP(G63, IMPORTRANGE(""https://docs.google.com/spreadsheets/d/1p7R4vtkWt5VOBim4ltsDG9KTzSjrtKXsMtQGXPHyND0/edit#gid=795171502"", ""'Filter 30_05_2024'!A1:M2000""), {2, 3, 4, 5,6,7,8,9,10,11,12,13}, 0))"),2)</f>
        <v>2</v>
      </c>
      <c r="V63" s="11">
        <f ca="1">IFERROR(__xludf.DUMMYFUNCTION("""COMPUTED_VALUE"""),7)</f>
        <v>7</v>
      </c>
      <c r="W63" s="11">
        <f ca="1">IFERROR(__xludf.DUMMYFUNCTION("""COMPUTED_VALUE"""),2)</f>
        <v>2</v>
      </c>
      <c r="X63" s="11">
        <f ca="1">IFERROR(__xludf.DUMMYFUNCTION("""COMPUTED_VALUE"""),11)</f>
        <v>11</v>
      </c>
      <c r="Y63" s="11">
        <f ca="1">IFERROR(__xludf.DUMMYFUNCTION("""COMPUTED_VALUE"""),4)</f>
        <v>4</v>
      </c>
      <c r="Z63" s="29">
        <f ca="1">IFERROR(__xludf.DUMMYFUNCTION("""COMPUTED_VALUE"""),5)</f>
        <v>5</v>
      </c>
      <c r="AA63" s="29">
        <f ca="1">IFERROR(__xludf.DUMMYFUNCTION("""COMPUTED_VALUE"""),2)</f>
        <v>2</v>
      </c>
      <c r="AB63" s="12">
        <f ca="1">IFERROR(__xludf.DUMMYFUNCTION("""COMPUTED_VALUE"""),11)</f>
        <v>11</v>
      </c>
      <c r="AC63" s="12"/>
      <c r="AD63" s="12"/>
      <c r="AE63" s="12"/>
      <c r="AF63" s="12"/>
      <c r="AG63" s="13" t="str">
        <f ca="1">IFERROR(__xludf.DUMMYFUNCTION("ArrayFormula(VLOOKUP(G63, IMPORTRANGE(""https://docs.google.com/spreadsheets/d/1Co934fvtviyaRiMsrIlT05Jaq7iiYq07aLvRr35KA48/edit?gid=173865642#gid=173865642"", ""'G6_Maths_Pri_LU'!G2:V2000""), {3, 4, 5, 6, 7, 8, 9, 10, 11, 12, 13, 14, 15, 16}, 0))"),"LU000225")</f>
        <v>LU000225</v>
      </c>
      <c r="AH63" s="13" t="str">
        <f ca="1">IFERROR(__xludf.DUMMYFUNCTION("""COMPUTED_VALUE"""),"Classification of curves")</f>
        <v>Classification of curves</v>
      </c>
      <c r="AI63" s="13" t="str">
        <f ca="1">IFERROR(__xludf.DUMMYFUNCTION("""COMPUTED_VALUE"""),"LU000224")</f>
        <v>LU000224</v>
      </c>
      <c r="AJ63" s="13" t="str">
        <f ca="1">IFERROR(__xludf.DUMMYFUNCTION("""COMPUTED_VALUE"""),"Definition of curve")</f>
        <v>Definition of curve</v>
      </c>
      <c r="AK63" s="13" t="str">
        <f ca="1">IFERROR(__xludf.DUMMYFUNCTION("""COMPUTED_VALUE"""),"LU000012")</f>
        <v>LU000012</v>
      </c>
      <c r="AL63" s="13" t="str">
        <f ca="1">IFERROR(__xludf.DUMMYFUNCTION("""COMPUTED_VALUE"""),"Definition of a closed shape")</f>
        <v>Definition of a closed shape</v>
      </c>
      <c r="AM63" s="13"/>
      <c r="AN63" s="13"/>
      <c r="AO63" s="13"/>
      <c r="AP63" s="13"/>
      <c r="AQ63" s="13"/>
      <c r="AR63" s="13"/>
      <c r="AS63" s="13"/>
      <c r="AT63" s="13"/>
    </row>
    <row r="64" spans="1:46">
      <c r="A64" s="8" t="s">
        <v>247</v>
      </c>
      <c r="B64" s="8" t="s">
        <v>47</v>
      </c>
      <c r="C64" s="8" t="s">
        <v>48</v>
      </c>
      <c r="D64" s="8" t="s">
        <v>49</v>
      </c>
      <c r="E64" s="8" t="s">
        <v>303</v>
      </c>
      <c r="F64" s="8" t="s">
        <v>311</v>
      </c>
      <c r="G64" s="8" t="s">
        <v>312</v>
      </c>
      <c r="H64" s="8" t="str">
        <f ca="1">IFERROR(__xludf.DUMMYFUNCTION("VLOOKUP(G64, IMPORTRANGE(""https://docs.google.com/spreadsheets/d/14deopnvwcrKtEGCKuYXdUHJbeLDZlkiSSWWT0g7x2pM/edit#gid=999382323"", ""LU List Maths (Filter)!A:B""), 2, FALSE)"),"Definition and elements of a polygon")</f>
        <v>Definition and elements of a polygon</v>
      </c>
      <c r="I64" s="10" t="str">
        <f t="shared" si="0"/>
        <v>LU000227.001</v>
      </c>
      <c r="J64" s="10" t="str">
        <f ca="1">IFERROR(__xludf.DUMMYFUNCTION("VLOOKUP(I64, IMPORTRANGE(""https://docs.google.com/spreadsheets/d/1yDAaXNsi4Mr5FtRQL4tbmSdIzhx6_m4wkOD7IG-k_eo/edit#gid=0"", ""Maths!M:N""), 2, FALSE)"),"Recall the definition of a polygon as a closed geometric figure with straight sides, and identify its basic elements such as vertices, sides, and diagonals.")</f>
        <v>Recall the definition of a polygon as a closed geometric figure with straight sides, and identify its basic elements such as vertices, sides, and diagonals.</v>
      </c>
      <c r="K64" s="10" t="str">
        <f t="shared" si="1"/>
        <v>LU000227.002</v>
      </c>
      <c r="L64" s="10" t="str">
        <f ca="1">IFERROR(__xludf.DUMMYFUNCTION("VLOOKUP(K64, IMPORTRANGE(""https://docs.google.com/spreadsheets/d/1yDAaXNsi4Mr5FtRQL4tbmSdIzhx6_m4wkOD7IG-k_eo/edit#gid=0"", ""Maths!M:N""), 2, FALSE)"),"Identify the angles and sides adjacent to and opposite from a specific angle or side within a polygon.")</f>
        <v>Identify the angles and sides adjacent to and opposite from a specific angle or side within a polygon.</v>
      </c>
      <c r="M64" s="10" t="str">
        <f t="shared" si="2"/>
        <v>LU000227.003</v>
      </c>
      <c r="N64" s="10" t="str">
        <f ca="1">IFERROR(__xludf.DUMMYFUNCTION("VLOOKUP(M64, IMPORTRANGE(""https://docs.google.com/spreadsheets/d/1yDAaXNsi4Mr5FtRQL4tbmSdIzhx6_m4wkOD7IG-k_eo/edit#gid=0"", ""Maths!M:N""), 2, FALSE)"),"Apply the knowledge of polygon elements to correctly label and describe different components in given polygon diagrams, distinguishing between vertices, sides, diagonals, adjacent sides, and adjacent vertices.")</f>
        <v>Apply the knowledge of polygon elements to correctly label and describe different components in given polygon diagrams, distinguishing between vertices, sides, diagonals, adjacent sides, and adjacent vertices.</v>
      </c>
      <c r="O64" s="10" t="str">
        <f t="shared" si="3"/>
        <v>LU000227.004</v>
      </c>
      <c r="P64" s="10" t="str">
        <f ca="1">IFERROR(__xludf.DUMMYFUNCTION("VLOOKUP(O64, IMPORTRANGE(""https://docs.google.com/spreadsheets/d/1yDAaXNsi4Mr5FtRQL4tbmSdIzhx6_m4wkOD7IG-k_eo/edit#gid=0"", ""Maths!M:N""), 2, FALSE)"),"Analyse the relationships between polygon elements, examining how vertices connect to form sides, how diagonals intersect within polygons, and how adjacent sides and vertices relate geometrically.")</f>
        <v>Analyse the relationships between polygon elements, examining how vertices connect to form sides, how diagonals intersect within polygons, and how adjacent sides and vertices relate geometrically.</v>
      </c>
      <c r="Q64" s="10" t="str">
        <f t="shared" si="4"/>
        <v>LU000227.005</v>
      </c>
      <c r="R64" s="10" t="str">
        <f ca="1">IFERROR(__xludf.DUMMYFUNCTION("VLOOKUP(Q64, IMPORTRANGE(""https://docs.google.com/spreadsheets/d/1yDAaXNsi4Mr5FtRQL4tbmSdIzhx6_m4wkOD7IG-k_eo/edit#gid=0"", ""Maths!M:N""), 2, FALSE)"),"#N/A")</f>
        <v>#N/A</v>
      </c>
      <c r="S64" s="10" t="str">
        <f t="shared" si="5"/>
        <v>LU000227.006</v>
      </c>
      <c r="T64" s="10" t="str">
        <f ca="1">IFERROR(__xludf.DUMMYFUNCTION("VLOOKUP(S64, IMPORTRANGE(""https://docs.google.com/spreadsheets/d/1yDAaXNsi4Mr5FtRQL4tbmSdIzhx6_m4wkOD7IG-k_eo/edit#gid=0"", ""Maths!M:N""), 2, FALSE)"),"Create visual representations of polygons, accurately depicting their elements such as vertices, sides, diagonals, adjacent sides, and adjacent vertices, showcasing an understanding of their arrangement and connectivity.")</f>
        <v>Create visual representations of polygons, accurately depicting their elements such as vertices, sides, diagonals, adjacent sides, and adjacent vertices, showcasing an understanding of their arrangement and connectivity.</v>
      </c>
      <c r="U64" s="11">
        <f ca="1">IFERROR(__xludf.DUMMYFUNCTION("ArrayFormula(VLOOKUP(G64, IMPORTRANGE(""https://docs.google.com/spreadsheets/d/1p7R4vtkWt5VOBim4ltsDG9KTzSjrtKXsMtQGXPHyND0/edit#gid=795171502"", ""'Filter 30_05_2024'!A1:M2000""), {2, 3, 4, 5,6,7,8,9,10,11,12,13}, 0))"),13)</f>
        <v>13</v>
      </c>
      <c r="V64" s="11">
        <f ca="1">IFERROR(__xludf.DUMMYFUNCTION("""COMPUTED_VALUE"""),7)</f>
        <v>7</v>
      </c>
      <c r="W64" s="11">
        <f ca="1">IFERROR(__xludf.DUMMYFUNCTION("""COMPUTED_VALUE"""),2)</f>
        <v>2</v>
      </c>
      <c r="X64" s="11">
        <f ca="1">IFERROR(__xludf.DUMMYFUNCTION("""COMPUTED_VALUE"""),22)</f>
        <v>22</v>
      </c>
      <c r="Y64" s="11">
        <f ca="1">IFERROR(__xludf.DUMMYFUNCTION("""COMPUTED_VALUE"""),6)</f>
        <v>6</v>
      </c>
      <c r="Z64" s="29">
        <f ca="1">IFERROR(__xludf.DUMMYFUNCTION("""COMPUTED_VALUE"""),4)</f>
        <v>4</v>
      </c>
      <c r="AA64" s="29">
        <f ca="1">IFERROR(__xludf.DUMMYFUNCTION("""COMPUTED_VALUE"""),1)</f>
        <v>1</v>
      </c>
      <c r="AB64" s="12">
        <f ca="1">IFERROR(__xludf.DUMMYFUNCTION("""COMPUTED_VALUE"""),11)</f>
        <v>11</v>
      </c>
      <c r="AC64" s="12"/>
      <c r="AD64" s="12"/>
      <c r="AE64" s="12"/>
      <c r="AF64" s="12"/>
      <c r="AG64" s="13" t="str">
        <f ca="1">IFERROR(__xludf.DUMMYFUNCTION("ArrayFormula(VLOOKUP(G64, IMPORTRANGE(""https://docs.google.com/spreadsheets/d/1Co934fvtviyaRiMsrIlT05Jaq7iiYq07aLvRr35KA48/edit?gid=173865642#gid=173865642"", ""'G6_Maths_Pri_LU'!G2:V2000""), {3, 4, 5, 6, 7, 8, 9, 10, 11, 12, 13, 14, 15, 16}, 0))"),"LU000225")</f>
        <v>LU000225</v>
      </c>
      <c r="AH64" s="13" t="str">
        <f ca="1">IFERROR(__xludf.DUMMYFUNCTION("""COMPUTED_VALUE"""),"Classification of curves")</f>
        <v>Classification of curves</v>
      </c>
      <c r="AI64" s="13" t="str">
        <f ca="1">IFERROR(__xludf.DUMMYFUNCTION("""COMPUTED_VALUE"""),"LU000219")</f>
        <v>LU000219</v>
      </c>
      <c r="AJ64" s="13" t="str">
        <f ca="1">IFERROR(__xludf.DUMMYFUNCTION("""COMPUTED_VALUE"""),"Definition of line segment")</f>
        <v>Definition of line segment</v>
      </c>
      <c r="AK64" s="13" t="str">
        <f ca="1">IFERROR(__xludf.DUMMYFUNCTION("""COMPUTED_VALUE"""),"LU000221")</f>
        <v>LU000221</v>
      </c>
      <c r="AL64" s="13" t="str">
        <f ca="1">IFERROR(__xludf.DUMMYFUNCTION("""COMPUTED_VALUE"""),"Definition and identification of intersecting lines")</f>
        <v>Definition and identification of intersecting lines</v>
      </c>
      <c r="AM64" s="13" t="str">
        <f ca="1">IFERROR(__xludf.DUMMYFUNCTION("""COMPUTED_VALUE"""),"LU000218")</f>
        <v>LU000218</v>
      </c>
      <c r="AN64" s="13" t="str">
        <f ca="1">IFERROR(__xludf.DUMMYFUNCTION("""COMPUTED_VALUE"""),"Definition of point")</f>
        <v>Definition of point</v>
      </c>
      <c r="AO64" s="13"/>
      <c r="AP64" s="13"/>
      <c r="AQ64" s="13"/>
      <c r="AR64" s="13"/>
      <c r="AS64" s="13"/>
      <c r="AT64" s="13"/>
    </row>
    <row r="65" spans="1:46">
      <c r="A65" s="8" t="s">
        <v>247</v>
      </c>
      <c r="B65" s="8" t="s">
        <v>47</v>
      </c>
      <c r="C65" s="8" t="s">
        <v>48</v>
      </c>
      <c r="D65" s="8" t="s">
        <v>49</v>
      </c>
      <c r="E65" s="8" t="s">
        <v>303</v>
      </c>
      <c r="F65" s="8" t="s">
        <v>311</v>
      </c>
      <c r="G65" s="8" t="s">
        <v>313</v>
      </c>
      <c r="H65" s="8" t="str">
        <f ca="1">IFERROR(__xludf.DUMMYFUNCTION("VLOOKUP(G65, IMPORTRANGE(""https://docs.google.com/spreadsheets/d/14deopnvwcrKtEGCKuYXdUHJbeLDZlkiSSWWT0g7x2pM/edit#gid=999382323"", ""LU List Maths (Filter)!A:B""), 2, FALSE)"),"Lexical explanation of triangle")</f>
        <v>Lexical explanation of triangle</v>
      </c>
      <c r="I65" s="10" t="str">
        <f t="shared" si="0"/>
        <v>LU000229.001</v>
      </c>
      <c r="J65" s="10" t="str">
        <f ca="1">IFERROR(__xludf.DUMMYFUNCTION("VLOOKUP(I65, IMPORTRANGE(""https://docs.google.com/spreadsheets/d/1yDAaXNsi4Mr5FtRQL4tbmSdIzhx6_m4wkOD7IG-k_eo/edit#gid=0"", ""Maths!M:N""), 2, FALSE)"),"State the definition of a triangle as a polygon and identify the elements of the triangle.")</f>
        <v>State the definition of a triangle as a polygon and identify the elements of the triangle.</v>
      </c>
      <c r="K65" s="10" t="str">
        <f t="shared" si="1"/>
        <v>LU000229.002</v>
      </c>
      <c r="L65" s="10" t="str">
        <f ca="1">IFERROR(__xludf.DUMMYFUNCTION("VLOOKUP(K65, IMPORTRANGE(""https://docs.google.com/spreadsheets/d/1yDAaXNsi4Mr5FtRQL4tbmSdIzhx6_m4wkOD7IG-k_eo/edit#gid=0"", ""Maths!M:N""), 2, FALSE)"),"Find the side opposite to a given vertex/angle of a triangle and the angle/vertex opposite to a given side of a triangle.")</f>
        <v>Find the side opposite to a given vertex/angle of a triangle and the angle/vertex opposite to a given side of a triangle.</v>
      </c>
      <c r="M65" s="10" t="str">
        <f t="shared" si="2"/>
        <v>LU000229.003</v>
      </c>
      <c r="N65" s="10" t="str">
        <f ca="1">IFERROR(__xludf.DUMMYFUNCTION("VLOOKUP(M65, IMPORTRANGE(""https://docs.google.com/spreadsheets/d/1yDAaXNsi4Mr5FtRQL4tbmSdIzhx6_m4wkOD7IG-k_eo/edit#gid=0"", ""Maths!M:N""), 2, FALSE)"),"Apply the knowledge of triangle elements to correctly label and describe different components in given triangle diagrams, distinguishing between vertices, sides, adjacent sides, and adjacent vertices.")</f>
        <v>Apply the knowledge of triangle elements to correctly label and describe different components in given triangle diagrams, distinguishing between vertices, sides, adjacent sides, and adjacent vertices.</v>
      </c>
      <c r="O65" s="10" t="str">
        <f t="shared" si="3"/>
        <v>LU000229.004</v>
      </c>
      <c r="P65" s="10" t="str">
        <f ca="1">IFERROR(__xludf.DUMMYFUNCTION("VLOOKUP(O65, IMPORTRANGE(""https://docs.google.com/spreadsheets/d/1yDAaXNsi4Mr5FtRQL4tbmSdIzhx6_m4wkOD7IG-k_eo/edit#gid=0"", ""Maths!M:N""), 2, FALSE)"),"Analyse the relationships among triangle elements, examining how vertices connect to form sides, how adjacent sides and vertices interact, and their collective contribution to the overall triangle geometry.")</f>
        <v>Analyse the relationships among triangle elements, examining how vertices connect to form sides, how adjacent sides and vertices interact, and their collective contribution to the overall triangle geometry.</v>
      </c>
      <c r="Q65" s="10" t="str">
        <f t="shared" si="4"/>
        <v>LU000229.005</v>
      </c>
      <c r="R65" s="10" t="str">
        <f ca="1">IFERROR(__xludf.DUMMYFUNCTION("VLOOKUP(Q65, IMPORTRANGE(""https://docs.google.com/spreadsheets/d/1yDAaXNsi4Mr5FtRQL4tbmSdIzhx6_m4wkOD7IG-k_eo/edit#gid=0"", ""Maths!M:N""), 2, FALSE)"),"#N/A")</f>
        <v>#N/A</v>
      </c>
      <c r="S65" s="10" t="str">
        <f t="shared" si="5"/>
        <v>LU000229.006</v>
      </c>
      <c r="T65" s="10" t="str">
        <f ca="1">IFERROR(__xludf.DUMMYFUNCTION("VLOOKUP(S65, IMPORTRANGE(""https://docs.google.com/spreadsheets/d/1yDAaXNsi4Mr5FtRQL4tbmSdIzhx6_m4wkOD7IG-k_eo/edit#gid=0"", ""Maths!M:N""), 2, FALSE)"),"#N/A")</f>
        <v>#N/A</v>
      </c>
      <c r="U65" s="11">
        <f ca="1">IFERROR(__xludf.DUMMYFUNCTION("ArrayFormula(VLOOKUP(G65, IMPORTRANGE(""https://docs.google.com/spreadsheets/d/1p7R4vtkWt5VOBim4ltsDG9KTzSjrtKXsMtQGXPHyND0/edit#gid=795171502"", ""'Filter 30_05_2024'!A1:M2000""), {2, 3, 4, 5,6,7,8,9,10,11,12,13}, 0))"),6)</f>
        <v>6</v>
      </c>
      <c r="V65" s="11">
        <f ca="1">IFERROR(__xludf.DUMMYFUNCTION("""COMPUTED_VALUE"""),5)</f>
        <v>5</v>
      </c>
      <c r="W65" s="11">
        <f ca="1">IFERROR(__xludf.DUMMYFUNCTION("""COMPUTED_VALUE"""),2)</f>
        <v>2</v>
      </c>
      <c r="X65" s="11">
        <f ca="1">IFERROR(__xludf.DUMMYFUNCTION("""COMPUTED_VALUE"""),13)</f>
        <v>13</v>
      </c>
      <c r="Y65" s="11">
        <f ca="1">IFERROR(__xludf.DUMMYFUNCTION("""COMPUTED_VALUE"""),4)</f>
        <v>4</v>
      </c>
      <c r="Z65" s="29">
        <f ca="1">IFERROR(__xludf.DUMMYFUNCTION("""COMPUTED_VALUE"""),4)</f>
        <v>4</v>
      </c>
      <c r="AA65" s="29">
        <f ca="1">IFERROR(__xludf.DUMMYFUNCTION("""COMPUTED_VALUE"""),1)</f>
        <v>1</v>
      </c>
      <c r="AB65" s="12">
        <f ca="1">IFERROR(__xludf.DUMMYFUNCTION("""COMPUTED_VALUE"""),9)</f>
        <v>9</v>
      </c>
      <c r="AC65" s="12"/>
      <c r="AD65" s="12"/>
      <c r="AE65" s="12"/>
      <c r="AF65" s="12"/>
      <c r="AG65" s="13" t="str">
        <f ca="1">IFERROR(__xludf.DUMMYFUNCTION("ArrayFormula(VLOOKUP(G65, IMPORTRANGE(""https://docs.google.com/spreadsheets/d/1Co934fvtviyaRiMsrIlT05Jaq7iiYq07aLvRr35KA48/edit?gid=173865642#gid=173865642"", ""'G6_Maths_Pri_LU'!G2:V2000""), {3, 4, 5, 6, 7, 8, 9, 10, 11, 12, 13, 14, 15, 16}, 0))"),"LU000227")</f>
        <v>LU000227</v>
      </c>
      <c r="AH65" s="13" t="str">
        <f ca="1">IFERROR(__xludf.DUMMYFUNCTION("""COMPUTED_VALUE"""),"Definition and elements of a polygon")</f>
        <v>Definition and elements of a polygon</v>
      </c>
      <c r="AI65" s="13" t="str">
        <f ca="1">IFERROR(__xludf.DUMMYFUNCTION("""COMPUTED_VALUE"""),"LU000014")</f>
        <v>LU000014</v>
      </c>
      <c r="AJ65" s="13" t="str">
        <f ca="1">IFERROR(__xludf.DUMMYFUNCTION("""COMPUTED_VALUE"""),"Definition of an angle")</f>
        <v>Definition of an angle</v>
      </c>
      <c r="AK65" s="13" t="str">
        <f ca="1">IFERROR(__xludf.DUMMYFUNCTION("""COMPUTED_VALUE"""),"LU000221")</f>
        <v>LU000221</v>
      </c>
      <c r="AL65" s="13" t="str">
        <f ca="1">IFERROR(__xludf.DUMMYFUNCTION("""COMPUTED_VALUE"""),"Definition and identification of intersecting lines")</f>
        <v>Definition and identification of intersecting lines</v>
      </c>
      <c r="AM65" s="13" t="str">
        <f ca="1">IFERROR(__xludf.DUMMYFUNCTION("""COMPUTED_VALUE"""),"LU000219")</f>
        <v>LU000219</v>
      </c>
      <c r="AN65" s="13" t="str">
        <f ca="1">IFERROR(__xludf.DUMMYFUNCTION("""COMPUTED_VALUE"""),"Definition of line segment")</f>
        <v>Definition of line segment</v>
      </c>
      <c r="AO65" s="13"/>
      <c r="AP65" s="13"/>
      <c r="AQ65" s="13"/>
      <c r="AR65" s="13"/>
      <c r="AS65" s="13"/>
      <c r="AT65" s="13"/>
    </row>
    <row r="66" spans="1:46">
      <c r="A66" s="8" t="s">
        <v>247</v>
      </c>
      <c r="B66" s="8" t="s">
        <v>47</v>
      </c>
      <c r="C66" s="8" t="s">
        <v>48</v>
      </c>
      <c r="D66" s="8" t="s">
        <v>49</v>
      </c>
      <c r="E66" s="8" t="s">
        <v>303</v>
      </c>
      <c r="F66" s="8" t="s">
        <v>65</v>
      </c>
      <c r="G66" s="8" t="s">
        <v>66</v>
      </c>
      <c r="H66" s="8" t="str">
        <f ca="1">IFERROR(__xludf.DUMMYFUNCTION("VLOOKUP(G66, IMPORTRANGE(""https://docs.google.com/spreadsheets/d/14deopnvwcrKtEGCKuYXdUHJbeLDZlkiSSWWT0g7x2pM/edit#gid=999382323"", ""LU List Maths (Filter)!A:B""), 2, FALSE)"),"Parts of an angle")</f>
        <v>Parts of an angle</v>
      </c>
      <c r="I66" s="10" t="str">
        <f t="shared" si="0"/>
        <v>LU000228.001</v>
      </c>
      <c r="J66" s="10" t="str">
        <f ca="1">IFERROR(__xludf.DUMMYFUNCTION("VLOOKUP(I66, IMPORTRANGE(""https://docs.google.com/spreadsheets/d/1yDAaXNsi4Mr5FtRQL4tbmSdIzhx6_m4wkOD7IG-k_eo/edit#gid=0"", ""Maths!M:N""), 2, FALSE)"),"Recall the definitions of lexical explanation of angles., including arms or sides, vertex, interior, and exterior of an angle.")</f>
        <v>Recall the definitions of lexical explanation of angles., including arms or sides, vertex, interior, and exterior of an angle.</v>
      </c>
      <c r="K66" s="10" t="str">
        <f t="shared" si="1"/>
        <v>LU000228.002</v>
      </c>
      <c r="L66" s="10" t="str">
        <f ca="1">IFERROR(__xludf.DUMMYFUNCTION("VLOOKUP(K66, IMPORTRANGE(""https://docs.google.com/spreadsheets/d/1yDAaXNsi4Mr5FtRQL4tbmSdIzhx6_m4wkOD7IG-k_eo/edit#gid=0"", ""Maths!M:N""), 2, FALSE)"),"Apply the knowledge of angle naming to correctly label and identify angles in given geometric figures.")</f>
        <v>Apply the knowledge of angle naming to correctly label and identify angles in given geometric figures.</v>
      </c>
      <c r="M66" s="10" t="str">
        <f t="shared" si="2"/>
        <v>LU000228.003</v>
      </c>
      <c r="N66" s="10" t="str">
        <f ca="1">IFERROR(__xludf.DUMMYFUNCTION("VLOOKUP(M66, IMPORTRANGE(""https://docs.google.com/spreadsheets/d/1yDAaXNsi4Mr5FtRQL4tbmSdIzhx6_m4wkOD7IG-k_eo/edit#gid=0"", ""Maths!M:N""), 2, FALSE)"),"Apply the knowledge of angle components to accurately label and describe the arms or sides, vertex, interior, and exterior of various angles in given geometric figures.")</f>
        <v>Apply the knowledge of angle components to accurately label and describe the arms or sides, vertex, interior, and exterior of various angles in given geometric figures.</v>
      </c>
      <c r="O66" s="10" t="str">
        <f t="shared" si="3"/>
        <v>LU000228.004</v>
      </c>
      <c r="P66" s="10" t="str">
        <f ca="1">IFERROR(__xludf.DUMMYFUNCTION("VLOOKUP(O66, IMPORTRANGE(""https://docs.google.com/spreadsheets/d/1yDAaXNsi4Mr5FtRQL4tbmSdIzhx6_m4wkOD7IG-k_eo/edit#gid=0"", ""Maths!M:N""), 2, FALSE)"),"Dissect and categorize the different components of an angle, analyzing their relationships and functions within various types of angles.")</f>
        <v>Dissect and categorize the different components of an angle, analyzing their relationships and functions within various types of angles.</v>
      </c>
      <c r="Q66" s="10" t="str">
        <f t="shared" si="4"/>
        <v>LU000228.005</v>
      </c>
      <c r="R66" s="10" t="str">
        <f ca="1">IFERROR(__xludf.DUMMYFUNCTION("VLOOKUP(Q66, IMPORTRANGE(""https://docs.google.com/spreadsheets/d/1yDAaXNsi4Mr5FtRQL4tbmSdIzhx6_m4wkOD7IG-k_eo/edit#gid=0"", ""Maths!M:N""), 2, FALSE)"),"Evaluate the significance of understanding angle components, recognizing how the arms or sides, vertex, interior, and exterior collectively contribute to angle measurement and spatial interpretation.")</f>
        <v>Evaluate the significance of understanding angle components, recognizing how the arms or sides, vertex, interior, and exterior collectively contribute to angle measurement and spatial interpretation.</v>
      </c>
      <c r="S66" s="10" t="str">
        <f t="shared" si="5"/>
        <v>LU000228.006</v>
      </c>
      <c r="T66" s="10" t="str">
        <f ca="1">IFERROR(__xludf.DUMMYFUNCTION("VLOOKUP(S66, IMPORTRANGE(""https://docs.google.com/spreadsheets/d/1yDAaXNsi4Mr5FtRQL4tbmSdIzhx6_m4wkOD7IG-k_eo/edit#gid=0"", ""Maths!M:N""), 2, FALSE)"),"Create visual representations of angles with their components, showcasing the ability to illustrate arms or sides, vertex, interior, and exterior accurately and consistently.")</f>
        <v>Create visual representations of angles with their components, showcasing the ability to illustrate arms or sides, vertex, interior, and exterior accurately and consistently.</v>
      </c>
      <c r="U66" s="11">
        <f ca="1">IFERROR(__xludf.DUMMYFUNCTION("ArrayFormula(VLOOKUP(G66, IMPORTRANGE(""https://docs.google.com/spreadsheets/d/1p7R4vtkWt5VOBim4ltsDG9KTzSjrtKXsMtQGXPHyND0/edit#gid=795171502"", ""'Filter 30_05_2024'!A1:M2000""), {2, 3, 4, 5,6,7,8,9,10,11,12,13}, 0))"),5)</f>
        <v>5</v>
      </c>
      <c r="V66" s="11">
        <f ca="1">IFERROR(__xludf.DUMMYFUNCTION("""COMPUTED_VALUE"""),5)</f>
        <v>5</v>
      </c>
      <c r="W66" s="11">
        <f ca="1">IFERROR(__xludf.DUMMYFUNCTION("""COMPUTED_VALUE"""),2)</f>
        <v>2</v>
      </c>
      <c r="X66" s="11">
        <f ca="1">IFERROR(__xludf.DUMMYFUNCTION("""COMPUTED_VALUE"""),12)</f>
        <v>12</v>
      </c>
      <c r="Y66" s="11">
        <f ca="1">IFERROR(__xludf.DUMMYFUNCTION("""COMPUTED_VALUE"""),5)</f>
        <v>5</v>
      </c>
      <c r="Z66" s="29">
        <f ca="1">IFERROR(__xludf.DUMMYFUNCTION("""COMPUTED_VALUE"""),7)</f>
        <v>7</v>
      </c>
      <c r="AA66" s="29">
        <f ca="1">IFERROR(__xludf.DUMMYFUNCTION("""COMPUTED_VALUE"""),1)</f>
        <v>1</v>
      </c>
      <c r="AB66" s="12">
        <f ca="1">IFERROR(__xludf.DUMMYFUNCTION("""COMPUTED_VALUE"""),13)</f>
        <v>13</v>
      </c>
      <c r="AC66" s="12"/>
      <c r="AD66" s="12"/>
      <c r="AE66" s="12"/>
      <c r="AF66" s="12"/>
      <c r="AG66" s="13" t="str">
        <f ca="1">IFERROR(__xludf.DUMMYFUNCTION("ArrayFormula(VLOOKUP(G66, IMPORTRANGE(""https://docs.google.com/spreadsheets/d/1Co934fvtviyaRiMsrIlT05Jaq7iiYq07aLvRr35KA48/edit?gid=173865642#gid=173865642"", ""'G6_Maths_Pri_LU'!G2:V2000""), {3, 4, 5, 6, 7, 8, 9, 10, 11, 12, 13, 14, 15, 16}, 0))"),"LU000014")</f>
        <v>LU000014</v>
      </c>
      <c r="AH66" s="13" t="str">
        <f ca="1">IFERROR(__xludf.DUMMYFUNCTION("""COMPUTED_VALUE"""),"Definition of an angle")</f>
        <v>Definition of an angle</v>
      </c>
      <c r="AI66" s="13" t="str">
        <f ca="1">IFERROR(__xludf.DUMMYFUNCTION("""COMPUTED_VALUE"""),"LU000223")</f>
        <v>LU000223</v>
      </c>
      <c r="AJ66" s="13" t="str">
        <f ca="1">IFERROR(__xludf.DUMMYFUNCTION("""COMPUTED_VALUE"""),"Definition of ray")</f>
        <v>Definition of ray</v>
      </c>
      <c r="AK66" s="13" t="str">
        <f ca="1">IFERROR(__xludf.DUMMYFUNCTION("""COMPUTED_VALUE"""),"LU000218")</f>
        <v>LU000218</v>
      </c>
      <c r="AL66" s="13" t="str">
        <f ca="1">IFERROR(__xludf.DUMMYFUNCTION("""COMPUTED_VALUE"""),"Definition of point")</f>
        <v>Definition of point</v>
      </c>
      <c r="AM66" s="13" t="str">
        <f ca="1">IFERROR(__xludf.DUMMYFUNCTION("""COMPUTED_VALUE"""),"LU000221")</f>
        <v>LU000221</v>
      </c>
      <c r="AN66" s="13" t="str">
        <f ca="1">IFERROR(__xludf.DUMMYFUNCTION("""COMPUTED_VALUE"""),"Definition and identification of intersecting lines")</f>
        <v>Definition and identification of intersecting lines</v>
      </c>
      <c r="AO66" s="13" t="str">
        <f ca="1">IFERROR(__xludf.DUMMYFUNCTION("""COMPUTED_VALUE"""),"LU000219")</f>
        <v>LU000219</v>
      </c>
      <c r="AP66" s="13" t="str">
        <f ca="1">IFERROR(__xludf.DUMMYFUNCTION("""COMPUTED_VALUE"""),"Definition of line segment")</f>
        <v>Definition of line segment</v>
      </c>
      <c r="AQ66" s="13"/>
      <c r="AR66" s="13"/>
      <c r="AS66" s="13"/>
      <c r="AT66" s="13"/>
    </row>
    <row r="67" spans="1:46">
      <c r="A67" s="8" t="s">
        <v>247</v>
      </c>
      <c r="B67" s="8" t="s">
        <v>47</v>
      </c>
      <c r="C67" s="8" t="s">
        <v>48</v>
      </c>
      <c r="D67" s="8" t="s">
        <v>49</v>
      </c>
      <c r="E67" s="8" t="s">
        <v>303</v>
      </c>
      <c r="F67" s="8" t="s">
        <v>314</v>
      </c>
      <c r="G67" s="8" t="s">
        <v>197</v>
      </c>
      <c r="H67" s="8" t="str">
        <f ca="1">IFERROR(__xludf.DUMMYFUNCTION("VLOOKUP(G67, IMPORTRANGE(""https://docs.google.com/spreadsheets/d/14deopnvwcrKtEGCKuYXdUHJbeLDZlkiSSWWT0g7x2pM/edit#gid=999382323"", ""LU List Maths (Filter)!A:B""), 2, FALSE)"),"Definition of circle")</f>
        <v>Definition of circle</v>
      </c>
      <c r="I67" s="10" t="str">
        <f t="shared" si="0"/>
        <v>LU000231.001</v>
      </c>
      <c r="J67" s="10" t="str">
        <f ca="1">IFERROR(__xludf.DUMMYFUNCTION("VLOOKUP(I67, IMPORTRANGE(""https://docs.google.com/spreadsheets/d/1yDAaXNsi4Mr5FtRQL4tbmSdIzhx6_m4wkOD7IG-k_eo/edit#gid=0"", ""Maths!M:N""), 2, FALSE)"),"Define circle.")</f>
        <v>Define circle.</v>
      </c>
      <c r="K67" s="10" t="str">
        <f t="shared" si="1"/>
        <v>LU000231.002</v>
      </c>
      <c r="L67" s="10" t="str">
        <f ca="1">IFERROR(__xludf.DUMMYFUNCTION("VLOOKUP(K67, IMPORTRANGE(""https://docs.google.com/spreadsheets/d/1yDAaXNsi4Mr5FtRQL4tbmSdIzhx6_m4wkOD7IG-k_eo/edit#gid=0"", ""Maths!M:N""), 2, FALSE)"),"Compare circles with other types of two-dimensional shapes.")</f>
        <v>Compare circles with other types of two-dimensional shapes.</v>
      </c>
      <c r="M67" s="10" t="str">
        <f t="shared" si="2"/>
        <v>LU000231.003</v>
      </c>
      <c r="N67" s="10" t="str">
        <f ca="1">IFERROR(__xludf.DUMMYFUNCTION("VLOOKUP(M67, IMPORTRANGE(""https://docs.google.com/spreadsheets/d/1yDAaXNsi4Mr5FtRQL4tbmSdIzhx6_m4wkOD7IG-k_eo/edit#gid=0"", ""Maths!M:N""), 2, FALSE)"),"Apply the knowledge of circle definition to identify circles in diagrams.")</f>
        <v>Apply the knowledge of circle definition to identify circles in diagrams.</v>
      </c>
      <c r="O67" s="10" t="str">
        <f t="shared" si="3"/>
        <v>LU000231.004</v>
      </c>
      <c r="P67" s="10" t="str">
        <f ca="1">IFERROR(__xludf.DUMMYFUNCTION("VLOOKUP(O67, IMPORTRANGE(""https://docs.google.com/spreadsheets/d/1yDAaXNsi4Mr5FtRQL4tbmSdIzhx6_m4wkOD7IG-k_eo/edit#gid=0"", ""Maths!M:N""), 2, FALSE)"),"Analyse real-life examples to identify circular shapes.")</f>
        <v>Analyse real-life examples to identify circular shapes.</v>
      </c>
      <c r="Q67" s="10" t="str">
        <f t="shared" si="4"/>
        <v>LU000231.005</v>
      </c>
      <c r="R67" s="10" t="str">
        <f ca="1">IFERROR(__xludf.DUMMYFUNCTION("VLOOKUP(Q67, IMPORTRANGE(""https://docs.google.com/spreadsheets/d/1yDAaXNsi4Mr5FtRQL4tbmSdIzhx6_m4wkOD7IG-k_eo/edit#gid=0"", ""Maths!M:N""), 2, FALSE)"),"Evaluate the significance of circles in geometry and everyday objects.")</f>
        <v>Evaluate the significance of circles in geometry and everyday objects.</v>
      </c>
      <c r="S67" s="10" t="str">
        <f t="shared" si="5"/>
        <v>LU000231.006</v>
      </c>
      <c r="T67" s="10" t="str">
        <f ca="1">IFERROR(__xludf.DUMMYFUNCTION("VLOOKUP(S67, IMPORTRANGE(""https://docs.google.com/spreadsheets/d/1yDAaXNsi4Mr5FtRQL4tbmSdIzhx6_m4wkOD7IG-k_eo/edit#gid=0"", ""Maths!M:N""), 2, FALSE)"),"Create drawings showcasing circles and their equidistant nature.")</f>
        <v>Create drawings showcasing circles and their equidistant nature.</v>
      </c>
      <c r="U67" s="11">
        <f ca="1">IFERROR(__xludf.DUMMYFUNCTION("ArrayFormula(VLOOKUP(G67, IMPORTRANGE(""https://docs.google.com/spreadsheets/d/1p7R4vtkWt5VOBim4ltsDG9KTzSjrtKXsMtQGXPHyND0/edit#gid=795171502"", ""'Filter 30_05_2024'!A1:M2000""), {2, 3, 4, 5,6,7,8,9,10,11,12,13}, 0))"),4)</f>
        <v>4</v>
      </c>
      <c r="V67" s="11">
        <f ca="1">IFERROR(__xludf.DUMMYFUNCTION("""COMPUTED_VALUE"""),6)</f>
        <v>6</v>
      </c>
      <c r="W67" s="11">
        <f ca="1">IFERROR(__xludf.DUMMYFUNCTION("""COMPUTED_VALUE"""),2)</f>
        <v>2</v>
      </c>
      <c r="X67" s="11">
        <f ca="1">IFERROR(__xludf.DUMMYFUNCTION("""COMPUTED_VALUE"""),12)</f>
        <v>12</v>
      </c>
      <c r="Y67" s="11">
        <f ca="1">IFERROR(__xludf.DUMMYFUNCTION("""COMPUTED_VALUE"""),4)</f>
        <v>4</v>
      </c>
      <c r="Z67" s="29">
        <f ca="1">IFERROR(__xludf.DUMMYFUNCTION("""COMPUTED_VALUE"""),3)</f>
        <v>3</v>
      </c>
      <c r="AA67" s="29">
        <f ca="1">IFERROR(__xludf.DUMMYFUNCTION("""COMPUTED_VALUE"""),1)</f>
        <v>1</v>
      </c>
      <c r="AB67" s="12">
        <f ca="1">IFERROR(__xludf.DUMMYFUNCTION("""COMPUTED_VALUE"""),8)</f>
        <v>8</v>
      </c>
      <c r="AC67" s="12"/>
      <c r="AD67" s="12"/>
      <c r="AE67" s="12"/>
      <c r="AF67" s="12"/>
      <c r="AG67" s="13" t="str">
        <f ca="1">IFERROR(__xludf.DUMMYFUNCTION("ArrayFormula(VLOOKUP(G67, IMPORTRANGE(""https://docs.google.com/spreadsheets/d/1Co934fvtviyaRiMsrIlT05Jaq7iiYq07aLvRr35KA48/edit?gid=173865642#gid=173865642"", ""'G6_Maths_Pri_LU'!G2:V2000""), {3, 4, 5, 6, 7, 8, 9, 10, 11, 12, 13, 14, 15, 16}, 0))"),"LU000225")</f>
        <v>LU000225</v>
      </c>
      <c r="AH67" s="13" t="str">
        <f ca="1">IFERROR(__xludf.DUMMYFUNCTION("""COMPUTED_VALUE"""),"Classification of curves")</f>
        <v>Classification of curves</v>
      </c>
      <c r="AI67" s="13" t="str">
        <f ca="1">IFERROR(__xludf.DUMMYFUNCTION("""COMPUTED_VALUE"""),"LU000227")</f>
        <v>LU000227</v>
      </c>
      <c r="AJ67" s="13" t="str">
        <f ca="1">IFERROR(__xludf.DUMMYFUNCTION("""COMPUTED_VALUE"""),"Definition and elements of a polygon")</f>
        <v>Definition and elements of a polygon</v>
      </c>
      <c r="AK67" s="13" t="str">
        <f ca="1">IFERROR(__xludf.DUMMYFUNCTION("""COMPUTED_VALUE"""),"LU000218")</f>
        <v>LU000218</v>
      </c>
      <c r="AL67" s="13" t="str">
        <f ca="1">IFERROR(__xludf.DUMMYFUNCTION("""COMPUTED_VALUE"""),"Definition of point")</f>
        <v>Definition of point</v>
      </c>
      <c r="AM67" s="13" t="str">
        <f ca="1">IFERROR(__xludf.DUMMYFUNCTION("""COMPUTED_VALUE"""),"LU000219")</f>
        <v>LU000219</v>
      </c>
      <c r="AN67" s="13" t="str">
        <f ca="1">IFERROR(__xludf.DUMMYFUNCTION("""COMPUTED_VALUE"""),"Definition of line segment")</f>
        <v>Definition of line segment</v>
      </c>
      <c r="AO67" s="13"/>
      <c r="AP67" s="13"/>
      <c r="AQ67" s="13"/>
      <c r="AR67" s="13"/>
      <c r="AS67" s="13"/>
      <c r="AT67" s="13"/>
    </row>
    <row r="68" spans="1:46">
      <c r="A68" s="8" t="s">
        <v>247</v>
      </c>
      <c r="B68" s="8" t="s">
        <v>47</v>
      </c>
      <c r="C68" s="8" t="s">
        <v>48</v>
      </c>
      <c r="D68" s="8" t="s">
        <v>49</v>
      </c>
      <c r="E68" s="8" t="s">
        <v>303</v>
      </c>
      <c r="F68" s="8" t="s">
        <v>314</v>
      </c>
      <c r="G68" s="8" t="s">
        <v>198</v>
      </c>
      <c r="H68" s="8" t="str">
        <f ca="1">IFERROR(__xludf.DUMMYFUNCTION("VLOOKUP(G68, IMPORTRANGE(""https://docs.google.com/spreadsheets/d/14deopnvwcrKtEGCKuYXdUHJbeLDZlkiSSWWT0g7x2pM/edit#gid=999382323"", ""LU List Maths (Filter)!A:B""), 2, FALSE)"),"Elements of circle (Centre, radius, diameter)")</f>
        <v>Elements of circle (Centre, radius, diameter)</v>
      </c>
      <c r="I68" s="10" t="str">
        <f t="shared" si="0"/>
        <v>LU000232.001</v>
      </c>
      <c r="J68" s="10" t="str">
        <f ca="1">IFERROR(__xludf.DUMMYFUNCTION("VLOOKUP(I68, IMPORTRANGE(""https://docs.google.com/spreadsheets/d/1yDAaXNsi4Mr5FtRQL4tbmSdIzhx6_m4wkOD7IG-k_eo/edit#gid=0"", ""Maths!M:N""), 2, FALSE)"),"Recall the terms semi-circle, quarter, center, circumference, chord, radius, diameter, arc, interior, and exterior of a circle.")</f>
        <v>Recall the terms semi-circle, quarter, center, circumference, chord, radius, diameter, arc, interior, and exterior of a circle.</v>
      </c>
      <c r="K68" s="10" t="str">
        <f t="shared" si="1"/>
        <v>LU000232.002</v>
      </c>
      <c r="L68" s="10" t="str">
        <f ca="1">IFERROR(__xludf.DUMMYFUNCTION("VLOOKUP(K68, IMPORTRANGE(""https://docs.google.com/spreadsheets/d/1yDAaXNsi4Mr5FtRQL4tbmSdIzhx6_m4wkOD7IG-k_eo/edit#gid=0"", ""Maths!M:N""), 2, FALSE)"),"Explain the meanings of center, circumference, chord, radius, diameter, arc, interior, and exterior of a circle.")</f>
        <v>Explain the meanings of center, circumference, chord, radius, diameter, arc, interior, and exterior of a circle.</v>
      </c>
      <c r="M68" s="10" t="str">
        <f t="shared" si="2"/>
        <v>LU000232.003</v>
      </c>
      <c r="N68" s="10" t="str">
        <f ca="1">IFERROR(__xludf.DUMMYFUNCTION("VLOOKUP(M68, IMPORTRANGE(""https://docs.google.com/spreadsheets/d/1yDAaXNsi4Mr5FtRQL4tbmSdIzhx6_m4wkOD7IG-k_eo/edit#gid=0"", ""Maths!M:N""), 2, FALSE)"),"Apply the knowledge of circle parts to identify and label them in diagrams.")</f>
        <v>Apply the knowledge of circle parts to identify and label them in diagrams.</v>
      </c>
      <c r="O68" s="10" t="str">
        <f t="shared" si="3"/>
        <v>LU000232.004</v>
      </c>
      <c r="P68" s="10" t="str">
        <f ca="1">IFERROR(__xludf.DUMMYFUNCTION("VLOOKUP(O68, IMPORTRANGE(""https://docs.google.com/spreadsheets/d/1yDAaXNsi4Mr5FtRQL4tbmSdIzhx6_m4wkOD7IG-k_eo/edit#gid=0"", ""Maths!M:N""), 2, FALSE)"),"Analyse relationships between circle elements, like arc and chord, radius and diameter, circle, semi-circle, and quarter of a circle in geometric configurations.")</f>
        <v>Analyse relationships between circle elements, like arc and chord, radius and diameter, circle, semi-circle, and quarter of a circle in geometric configurations.</v>
      </c>
      <c r="Q68" s="10" t="str">
        <f t="shared" si="4"/>
        <v>LU000232.005</v>
      </c>
      <c r="R68" s="10" t="str">
        <f ca="1">IFERROR(__xludf.DUMMYFUNCTION("VLOOKUP(Q68, IMPORTRANGE(""https://docs.google.com/spreadsheets/d/1yDAaXNsi4Mr5FtRQL4tbmSdIzhx6_m4wkOD7IG-k_eo/edit#gid=0"", ""Maths!M:N""), 2, FALSE)"),"Evaluate the importance of circle components in geometry and real-world applications.")</f>
        <v>Evaluate the importance of circle components in geometry and real-world applications.</v>
      </c>
      <c r="S68" s="10" t="str">
        <f t="shared" si="5"/>
        <v>LU000232.006</v>
      </c>
      <c r="T68" s="10" t="str">
        <f ca="1">IFERROR(__xludf.DUMMYFUNCTION("VLOOKUP(S68, IMPORTRANGE(""https://docs.google.com/spreadsheets/d/1yDAaXNsi4Mr5FtRQL4tbmSdIzhx6_m4wkOD7IG-k_eo/edit#gid=0"", ""Maths!M:N""), 2, FALSE)"),"Create diagrams illustrating circle components and their relationships in geometric situations")</f>
        <v>Create diagrams illustrating circle components and their relationships in geometric situations</v>
      </c>
      <c r="U68" s="11">
        <f ca="1">IFERROR(__xludf.DUMMYFUNCTION("ArrayFormula(VLOOKUP(G68, IMPORTRANGE(""https://docs.google.com/spreadsheets/d/1p7R4vtkWt5VOBim4ltsDG9KTzSjrtKXsMtQGXPHyND0/edit#gid=795171502"", ""'Filter 30_05_2024'!A1:M2000""), {2, 3, 4, 5,6,7,8,9,10,11,12,13}, 0))"),4)</f>
        <v>4</v>
      </c>
      <c r="V68" s="11">
        <f ca="1">IFERROR(__xludf.DUMMYFUNCTION("""COMPUTED_VALUE"""),6)</f>
        <v>6</v>
      </c>
      <c r="W68" s="11">
        <f ca="1">IFERROR(__xludf.DUMMYFUNCTION("""COMPUTED_VALUE"""),2)</f>
        <v>2</v>
      </c>
      <c r="X68" s="11">
        <f ca="1">IFERROR(__xludf.DUMMYFUNCTION("""COMPUTED_VALUE"""),12)</f>
        <v>12</v>
      </c>
      <c r="Y68" s="11">
        <f ca="1">IFERROR(__xludf.DUMMYFUNCTION("""COMPUTED_VALUE"""),4)</f>
        <v>4</v>
      </c>
      <c r="Z68" s="29">
        <f ca="1">IFERROR(__xludf.DUMMYFUNCTION("""COMPUTED_VALUE"""),3)</f>
        <v>3</v>
      </c>
      <c r="AA68" s="29">
        <f ca="1">IFERROR(__xludf.DUMMYFUNCTION("""COMPUTED_VALUE"""),1)</f>
        <v>1</v>
      </c>
      <c r="AB68" s="12">
        <f ca="1">IFERROR(__xludf.DUMMYFUNCTION("""COMPUTED_VALUE"""),8)</f>
        <v>8</v>
      </c>
      <c r="AC68" s="12"/>
      <c r="AD68" s="12"/>
      <c r="AE68" s="12"/>
      <c r="AF68" s="12"/>
      <c r="AG68" s="13" t="str">
        <f ca="1">IFERROR(__xludf.DUMMYFUNCTION("ArrayFormula(VLOOKUP(G68, IMPORTRANGE(""https://docs.google.com/spreadsheets/d/1Co934fvtviyaRiMsrIlT05Jaq7iiYq07aLvRr35KA48/edit?gid=173865642#gid=173865642"", ""'G6_Maths_Pri_LU'!G2:V2000""), {3, 4, 5, 6, 7, 8, 9, 10, 11, 12, 13, 14, 15, 16}, 0))"),"LU000231")</f>
        <v>LU000231</v>
      </c>
      <c r="AH68" s="13" t="str">
        <f ca="1">IFERROR(__xludf.DUMMYFUNCTION("""COMPUTED_VALUE"""),"Definition of circle")</f>
        <v>Definition of circle</v>
      </c>
      <c r="AI68" s="13" t="str">
        <f ca="1">IFERROR(__xludf.DUMMYFUNCTION("""COMPUTED_VALUE"""),"LU000219")</f>
        <v>LU000219</v>
      </c>
      <c r="AJ68" s="13" t="str">
        <f ca="1">IFERROR(__xludf.DUMMYFUNCTION("""COMPUTED_VALUE"""),"Definition of line segment")</f>
        <v>Definition of line segment</v>
      </c>
      <c r="AK68" s="13" t="str">
        <f ca="1">IFERROR(__xludf.DUMMYFUNCTION("""COMPUTED_VALUE"""),"LU000218")</f>
        <v>LU000218</v>
      </c>
      <c r="AL68" s="13" t="str">
        <f ca="1">IFERROR(__xludf.DUMMYFUNCTION("""COMPUTED_VALUE"""),"Definition of point")</f>
        <v>Definition of point</v>
      </c>
      <c r="AM68" s="13"/>
      <c r="AN68" s="13"/>
      <c r="AO68" s="13"/>
      <c r="AP68" s="13"/>
      <c r="AQ68" s="13"/>
      <c r="AR68" s="13"/>
      <c r="AS68" s="13"/>
      <c r="AT68" s="13"/>
    </row>
    <row r="69" spans="1:46">
      <c r="A69" s="8" t="s">
        <v>247</v>
      </c>
      <c r="B69" s="8" t="s">
        <v>47</v>
      </c>
      <c r="C69" s="8" t="s">
        <v>48</v>
      </c>
      <c r="D69" s="8" t="s">
        <v>49</v>
      </c>
      <c r="E69" s="8" t="s">
        <v>303</v>
      </c>
      <c r="F69" s="8" t="s">
        <v>315</v>
      </c>
      <c r="G69" s="8" t="s">
        <v>316</v>
      </c>
      <c r="H69" s="8" t="str">
        <f ca="1">IFERROR(__xludf.DUMMYFUNCTION("VLOOKUP(G69, IMPORTRANGE(""https://docs.google.com/spreadsheets/d/14deopnvwcrKtEGCKuYXdUHJbeLDZlkiSSWWT0g7x2pM/edit#gid=999382323"", ""LU List Maths (Filter)!A:B""), 2, FALSE)"),"Sector of a circle")</f>
        <v>Sector of a circle</v>
      </c>
      <c r="I69" s="10" t="str">
        <f t="shared" si="0"/>
        <v>LU000966.001</v>
      </c>
      <c r="J69" s="10" t="str">
        <f ca="1">IFERROR(__xludf.DUMMYFUNCTION("VLOOKUP(I69, IMPORTRANGE(""https://docs.google.com/spreadsheets/d/1yDAaXNsi4Mr5FtRQL4tbmSdIzhx6_m4wkOD7IG-k_eo/edit#gid=0"", ""Maths!M:N""), 2, FALSE)"),"Recall the definition of a sector of a circle and its key components, including the central angle and radius.")</f>
        <v>Recall the definition of a sector of a circle and its key components, including the central angle and radius.</v>
      </c>
      <c r="K69" s="10" t="str">
        <f t="shared" si="1"/>
        <v>LU000966.002</v>
      </c>
      <c r="L69" s="10" t="str">
        <f ca="1">IFERROR(__xludf.DUMMYFUNCTION("VLOOKUP(K69, IMPORTRANGE(""https://docs.google.com/spreadsheets/d/1yDAaXNsi4Mr5FtRQL4tbmSdIzhx6_m4wkOD7IG-k_eo/edit#gid=0"", ""Maths!M:N""), 2, FALSE)"),"Explain the concept of a sector in a circle and its relationship to the whole circle, highlighting the role of the central angle.")</f>
        <v>Explain the concept of a sector in a circle and its relationship to the whole circle, highlighting the role of the central angle.</v>
      </c>
      <c r="M69" s="10" t="str">
        <f t="shared" si="2"/>
        <v>LU000966.003</v>
      </c>
      <c r="N69" s="10" t="str">
        <f ca="1">IFERROR(__xludf.DUMMYFUNCTION("VLOOKUP(M69, IMPORTRANGE(""https://docs.google.com/spreadsheets/d/1yDAaXNsi4Mr5FtRQL4tbmSdIzhx6_m4wkOD7IG-k_eo/edit#gid=0"", ""Maths!M:N""), 2, FALSE)"),"Apply knowledge of sectors to identify them in real-world objects and images, recognizing their shape and characteristics.")</f>
        <v>Apply knowledge of sectors to identify them in real-world objects and images, recognizing their shape and characteristics.</v>
      </c>
      <c r="O69" s="10" t="str">
        <f t="shared" si="3"/>
        <v>LU000966.004</v>
      </c>
      <c r="P69" s="10" t="str">
        <f ca="1">IFERROR(__xludf.DUMMYFUNCTION("VLOOKUP(O69, IMPORTRANGE(""https://docs.google.com/spreadsheets/d/1yDAaXNsi4Mr5FtRQL4tbmSdIzhx6_m4wkOD7IG-k_eo/edit#gid=0"", ""Maths!M:N""), 2, FALSE)"),"Analyze circular objects or images to identify and distinguish sectors from other shapes, using knowledge of their defining features.")</f>
        <v>Analyze circular objects or images to identify and distinguish sectors from other shapes, using knowledge of their defining features.</v>
      </c>
      <c r="Q69" s="10" t="str">
        <f t="shared" si="4"/>
        <v>LU000966.005</v>
      </c>
      <c r="R69" s="10" t="str">
        <f ca="1">IFERROR(__xludf.DUMMYFUNCTION("VLOOKUP(Q69, IMPORTRANGE(""https://docs.google.com/spreadsheets/d/1yDAaXNsi4Mr5FtRQL4tbmSdIzhx6_m4wkOD7IG-k_eo/edit#gid=0"", ""Maths!M:N""), 2, FALSE)"),"Evaluate the accuracy of sector identification in various contexts, providing reasons for any discrepancies.")</f>
        <v>Evaluate the accuracy of sector identification in various contexts, providing reasons for any discrepancies.</v>
      </c>
      <c r="S69" s="10" t="str">
        <f t="shared" si="5"/>
        <v>LU000966.006</v>
      </c>
      <c r="T69" s="10" t="str">
        <f ca="1">IFERROR(__xludf.DUMMYFUNCTION("VLOOKUP(S69, IMPORTRANGE(""https://docs.google.com/spreadsheets/d/1yDAaXNsi4Mr5FtRQL4tbmSdIzhx6_m4wkOD7IG-k_eo/edit#gid=0"", ""Maths!M:N""), 2, FALSE)"),"Create simple diagrams or illustrations that include sectors of circles and label them correctly, demonstrating a practical understanding of the concept.")</f>
        <v>Create simple diagrams or illustrations that include sectors of circles and label them correctly, demonstrating a practical understanding of the concept.</v>
      </c>
      <c r="U69" s="11">
        <f ca="1">IFERROR(__xludf.DUMMYFUNCTION("ArrayFormula(VLOOKUP(G69, IMPORTRANGE(""https://docs.google.com/spreadsheets/d/1p7R4vtkWt5VOBim4ltsDG9KTzSjrtKXsMtQGXPHyND0/edit#gid=795171502"", ""'Filter 30_05_2024'!A1:M2000""), {2, 3, 4, 5,6,7,8,9,10,11,12,13}, 0))"),4)</f>
        <v>4</v>
      </c>
      <c r="V69" s="11">
        <f ca="1">IFERROR(__xludf.DUMMYFUNCTION("""COMPUTED_VALUE"""),6)</f>
        <v>6</v>
      </c>
      <c r="W69" s="11">
        <f ca="1">IFERROR(__xludf.DUMMYFUNCTION("""COMPUTED_VALUE"""),2)</f>
        <v>2</v>
      </c>
      <c r="X69" s="11">
        <f ca="1">IFERROR(__xludf.DUMMYFUNCTION("""COMPUTED_VALUE"""),12)</f>
        <v>12</v>
      </c>
      <c r="Y69" s="11">
        <f ca="1">IFERROR(__xludf.DUMMYFUNCTION("""COMPUTED_VALUE"""),4)</f>
        <v>4</v>
      </c>
      <c r="Z69" s="29">
        <f ca="1">IFERROR(__xludf.DUMMYFUNCTION("""COMPUTED_VALUE"""),3)</f>
        <v>3</v>
      </c>
      <c r="AA69" s="29">
        <f ca="1">IFERROR(__xludf.DUMMYFUNCTION("""COMPUTED_VALUE"""),2)</f>
        <v>2</v>
      </c>
      <c r="AB69" s="12">
        <f ca="1">IFERROR(__xludf.DUMMYFUNCTION("""COMPUTED_VALUE"""),9)</f>
        <v>9</v>
      </c>
      <c r="AC69" s="12"/>
      <c r="AD69" s="12"/>
      <c r="AE69" s="12"/>
      <c r="AF69" s="12"/>
      <c r="AG69" s="13" t="str">
        <f ca="1">IFERROR(__xludf.DUMMYFUNCTION("ArrayFormula(VLOOKUP(G69, IMPORTRANGE(""https://docs.google.com/spreadsheets/d/1Co934fvtviyaRiMsrIlT05Jaq7iiYq07aLvRr35KA48/edit?gid=173865642#gid=173865642"", ""'G6_Maths_Pri_LU'!G2:V2000""), {3, 4, 5, 6, 7, 8, 9, 10, 11, 12, 13, 14, 15, 16}, 0))"),"LU000232")</f>
        <v>LU000232</v>
      </c>
      <c r="AH69" s="13" t="str">
        <f ca="1">IFERROR(__xludf.DUMMYFUNCTION("""COMPUTED_VALUE"""),"Elements of circle (Centre, radius, diameter)")</f>
        <v>Elements of circle (Centre, radius, diameter)</v>
      </c>
      <c r="AI69" s="13" t="str">
        <f ca="1">IFERROR(__xludf.DUMMYFUNCTION("""COMPUTED_VALUE"""),"LU000228")</f>
        <v>LU000228</v>
      </c>
      <c r="AJ69" s="13" t="str">
        <f ca="1">IFERROR(__xludf.DUMMYFUNCTION("""COMPUTED_VALUE"""),"Parts of an angle")</f>
        <v>Parts of an angle</v>
      </c>
      <c r="AK69" s="13" t="str">
        <f ca="1">IFERROR(__xludf.DUMMYFUNCTION("""COMPUTED_VALUE"""),"LU000231")</f>
        <v>LU000231</v>
      </c>
      <c r="AL69" s="13" t="str">
        <f ca="1">IFERROR(__xludf.DUMMYFUNCTION("""COMPUTED_VALUE"""),"Definition of circle")</f>
        <v>Definition of circle</v>
      </c>
      <c r="AM69" s="13" t="str">
        <f ca="1">IFERROR(__xludf.DUMMYFUNCTION("""COMPUTED_VALUE"""),"LU000014")</f>
        <v>LU000014</v>
      </c>
      <c r="AN69" s="13" t="str">
        <f ca="1">IFERROR(__xludf.DUMMYFUNCTION("""COMPUTED_VALUE"""),"Definition of an angle")</f>
        <v>Definition of an angle</v>
      </c>
      <c r="AO69" s="13"/>
      <c r="AP69" s="13"/>
      <c r="AQ69" s="13"/>
      <c r="AR69" s="13"/>
      <c r="AS69" s="13"/>
      <c r="AT69" s="13"/>
    </row>
    <row r="70" spans="1:46">
      <c r="A70" s="8" t="s">
        <v>247</v>
      </c>
      <c r="B70" s="8" t="s">
        <v>47</v>
      </c>
      <c r="C70" s="8" t="s">
        <v>48</v>
      </c>
      <c r="D70" s="8" t="s">
        <v>49</v>
      </c>
      <c r="E70" s="8" t="s">
        <v>303</v>
      </c>
      <c r="F70" s="8" t="s">
        <v>315</v>
      </c>
      <c r="G70" s="8" t="s">
        <v>317</v>
      </c>
      <c r="H70" s="8" t="str">
        <f ca="1">IFERROR(__xludf.DUMMYFUNCTION("VLOOKUP(G70, IMPORTRANGE(""https://docs.google.com/spreadsheets/d/14deopnvwcrKtEGCKuYXdUHJbeLDZlkiSSWWT0g7x2pM/edit#gid=999382323"", ""LU List Maths (Filter)!A:B""), 2, FALSE)"),"Segment of a circle")</f>
        <v>Segment of a circle</v>
      </c>
      <c r="I70" s="10" t="str">
        <f t="shared" si="0"/>
        <v>LU000967.001</v>
      </c>
      <c r="J70" s="10" t="str">
        <f ca="1">IFERROR(__xludf.DUMMYFUNCTION("VLOOKUP(I70, IMPORTRANGE(""https://docs.google.com/spreadsheets/d/1yDAaXNsi4Mr5FtRQL4tbmSdIzhx6_m4wkOD7IG-k_eo/edit#gid=0"", ""Maths!M:N""), 2, FALSE)"),"Recall the definition of a segment of a circle and its basic components, including the arc and the chord.")</f>
        <v>Recall the definition of a segment of a circle and its basic components, including the arc and the chord.</v>
      </c>
      <c r="K70" s="10" t="str">
        <f t="shared" si="1"/>
        <v>LU000967.002</v>
      </c>
      <c r="L70" s="10" t="str">
        <f ca="1">IFERROR(__xludf.DUMMYFUNCTION("VLOOKUP(K70, IMPORTRANGE(""https://docs.google.com/spreadsheets/d/1yDAaXNsi4Mr5FtRQL4tbmSdIzhx6_m4wkOD7IG-k_eo/edit#gid=0"", ""Maths!M:N""), 2, FALSE)"),"Explain the concept of a segment of a circle, highlighting its relationship to the whole circle, as well as the significance of the chord and arc.")</f>
        <v>Explain the concept of a segment of a circle, highlighting its relationship to the whole circle, as well as the significance of the chord and arc.</v>
      </c>
      <c r="M70" s="10" t="str">
        <f t="shared" si="2"/>
        <v>LU000967.003</v>
      </c>
      <c r="N70" s="10" t="str">
        <f ca="1">IFERROR(__xludf.DUMMYFUNCTION("VLOOKUP(M70, IMPORTRANGE(""https://docs.google.com/spreadsheets/d/1yDAaXNsi4Mr5FtRQL4tbmSdIzhx6_m4wkOD7IG-k_eo/edit#gid=0"", ""Maths!M:N""), 2, FALSE)"),"Apply knowledge of circle segments to identify them in real-world objects or images, recognizing their shape and components.")</f>
        <v>Apply knowledge of circle segments to identify them in real-world objects or images, recognizing their shape and components.</v>
      </c>
      <c r="O70" s="10" t="str">
        <f t="shared" si="3"/>
        <v>LU000967.004</v>
      </c>
      <c r="P70" s="10" t="str">
        <f ca="1">IFERROR(__xludf.DUMMYFUNCTION("VLOOKUP(O70, IMPORTRANGE(""https://docs.google.com/spreadsheets/d/1yDAaXNsi4Mr5FtRQL4tbmSdIzhx6_m4wkOD7IG-k_eo/edit#gid=0"", ""Maths!M:N""), 2, FALSE)"),"Analyze circular objects or images to differentiate circle segments from other shapes, based on their defining features.")</f>
        <v>Analyze circular objects or images to differentiate circle segments from other shapes, based on their defining features.</v>
      </c>
      <c r="Q70" s="10" t="str">
        <f t="shared" si="4"/>
        <v>LU000967.005</v>
      </c>
      <c r="R70" s="10" t="str">
        <f ca="1">IFERROR(__xludf.DUMMYFUNCTION("VLOOKUP(Q70, IMPORTRANGE(""https://docs.google.com/spreadsheets/d/1yDAaXNsi4Mr5FtRQL4tbmSdIzhx6_m4wkOD7IG-k_eo/edit#gid=0"", ""Maths!M:N""), 2, FALSE)"),"Evaluate the accuracy of circle segment identification in different contexts, providing explanations for any discrepancies.")</f>
        <v>Evaluate the accuracy of circle segment identification in different contexts, providing explanations for any discrepancies.</v>
      </c>
      <c r="S70" s="10" t="str">
        <f t="shared" si="5"/>
        <v>LU000967.006</v>
      </c>
      <c r="T70" s="10" t="str">
        <f ca="1">IFERROR(__xludf.DUMMYFUNCTION("VLOOKUP(S70, IMPORTRANGE(""https://docs.google.com/spreadsheets/d/1yDAaXNsi4Mr5FtRQL4tbmSdIzhx6_m4wkOD7IG-k_eo/edit#gid=0"", ""Maths!M:N""), 2, FALSE)"),"Create diagrams or illustrations illustrating circle segments and label them correctly, demonstrating a practical understanding of the concept.")</f>
        <v>Create diagrams or illustrations illustrating circle segments and label them correctly, demonstrating a practical understanding of the concept.</v>
      </c>
      <c r="U70" s="11">
        <f ca="1">IFERROR(__xludf.DUMMYFUNCTION("ArrayFormula(VLOOKUP(G70, IMPORTRANGE(""https://docs.google.com/spreadsheets/d/1p7R4vtkWt5VOBim4ltsDG9KTzSjrtKXsMtQGXPHyND0/edit#gid=795171502"", ""'Filter 30_05_2024'!A1:M2000""), {2, 3, 4, 5,6,7,8,9,10,11,12,13}, 0))"),4)</f>
        <v>4</v>
      </c>
      <c r="V70" s="11">
        <f ca="1">IFERROR(__xludf.DUMMYFUNCTION("""COMPUTED_VALUE"""),6)</f>
        <v>6</v>
      </c>
      <c r="W70" s="11">
        <f ca="1">IFERROR(__xludf.DUMMYFUNCTION("""COMPUTED_VALUE"""),2)</f>
        <v>2</v>
      </c>
      <c r="X70" s="11">
        <f ca="1">IFERROR(__xludf.DUMMYFUNCTION("""COMPUTED_VALUE"""),12)</f>
        <v>12</v>
      </c>
      <c r="Y70" s="11">
        <f ca="1">IFERROR(__xludf.DUMMYFUNCTION("""COMPUTED_VALUE"""),4)</f>
        <v>4</v>
      </c>
      <c r="Z70" s="29">
        <f ca="1">IFERROR(__xludf.DUMMYFUNCTION("""COMPUTED_VALUE"""),3)</f>
        <v>3</v>
      </c>
      <c r="AA70" s="29">
        <f ca="1">IFERROR(__xludf.DUMMYFUNCTION("""COMPUTED_VALUE"""),1)</f>
        <v>1</v>
      </c>
      <c r="AB70" s="12">
        <f ca="1">IFERROR(__xludf.DUMMYFUNCTION("""COMPUTED_VALUE"""),8)</f>
        <v>8</v>
      </c>
      <c r="AC70" s="12"/>
      <c r="AD70" s="12"/>
      <c r="AE70" s="12"/>
      <c r="AF70" s="12"/>
      <c r="AG70" s="13" t="str">
        <f ca="1">IFERROR(__xludf.DUMMYFUNCTION("ArrayFormula(VLOOKUP(G70, IMPORTRANGE(""https://docs.google.com/spreadsheets/d/1Co934fvtviyaRiMsrIlT05Jaq7iiYq07aLvRr35KA48/edit?gid=173865642#gid=173865642"", ""'G6_Maths_Pri_LU'!G2:V2000""), {3, 4, 5, 6, 7, 8, 9, 10, 11, 12, 13, 14, 15, 16}, 0))"),"LU000232")</f>
        <v>LU000232</v>
      </c>
      <c r="AH70" s="13" t="str">
        <f ca="1">IFERROR(__xludf.DUMMYFUNCTION("""COMPUTED_VALUE"""),"Elements of circle (Centre, radius, diameter)")</f>
        <v>Elements of circle (Centre, radius, diameter)</v>
      </c>
      <c r="AI70" s="13" t="str">
        <f ca="1">IFERROR(__xludf.DUMMYFUNCTION("""COMPUTED_VALUE"""),"LU001093")</f>
        <v>LU001093</v>
      </c>
      <c r="AJ70" s="13" t="str">
        <f ca="1">IFERROR(__xludf.DUMMYFUNCTION("""COMPUTED_VALUE"""),"Elements of a circle (arc, chord, secant)")</f>
        <v>Elements of a circle (arc, chord, secant)</v>
      </c>
      <c r="AK70" s="13" t="str">
        <f ca="1">IFERROR(__xludf.DUMMYFUNCTION("""COMPUTED_VALUE"""),"LU000231")</f>
        <v>LU000231</v>
      </c>
      <c r="AL70" s="13" t="str">
        <f ca="1">IFERROR(__xludf.DUMMYFUNCTION("""COMPUTED_VALUE"""),"Definition of circle")</f>
        <v>Definition of circle</v>
      </c>
      <c r="AM70" s="13"/>
      <c r="AN70" s="13"/>
      <c r="AO70" s="13"/>
      <c r="AP70" s="13"/>
      <c r="AQ70" s="13"/>
      <c r="AR70" s="13"/>
      <c r="AS70" s="13"/>
      <c r="AT70" s="13"/>
    </row>
    <row r="71" spans="1:46">
      <c r="A71" s="8" t="s">
        <v>247</v>
      </c>
      <c r="B71" s="8" t="s">
        <v>47</v>
      </c>
      <c r="C71" s="8" t="s">
        <v>48</v>
      </c>
      <c r="D71" s="8" t="s">
        <v>49</v>
      </c>
      <c r="E71" s="8" t="s">
        <v>318</v>
      </c>
      <c r="F71" s="8" t="s">
        <v>319</v>
      </c>
      <c r="G71" s="8" t="s">
        <v>320</v>
      </c>
      <c r="H71" s="8" t="str">
        <f ca="1">IFERROR(__xludf.DUMMYFUNCTION("VLOOKUP(G71, IMPORTRANGE(""https://docs.google.com/spreadsheets/d/14deopnvwcrKtEGCKuYXdUHJbeLDZlkiSSWWT0g7x2pM/edit#gid=999382323"", ""LU List Maths (Filter)!A:B""), 2, FALSE)"),"Measurement of length of line segments using ruler")</f>
        <v>Measurement of length of line segments using ruler</v>
      </c>
      <c r="I71" s="10" t="str">
        <f t="shared" si="0"/>
        <v>LU000970.001</v>
      </c>
      <c r="J71" s="10" t="str">
        <f ca="1">IFERROR(__xludf.DUMMYFUNCTION("VLOOKUP(I71, IMPORTRANGE(""https://docs.google.com/spreadsheets/d/1yDAaXNsi4Mr5FtRQL4tbmSdIzhx6_m4wkOD7IG-k_eo/edit#gid=0"", ""Maths!M:N""), 2, FALSE)"),"Recall the correct technique for using a ruler to measure the length of a line segment accurately.")</f>
        <v>Recall the correct technique for using a ruler to measure the length of a line segment accurately.</v>
      </c>
      <c r="K71" s="10" t="str">
        <f t="shared" si="1"/>
        <v>LU000970.002</v>
      </c>
      <c r="L71" s="10" t="str">
        <f ca="1">IFERROR(__xludf.DUMMYFUNCTION("VLOOKUP(K71, IMPORTRANGE(""https://docs.google.com/spreadsheets/d/1yDAaXNsi4Mr5FtRQL4tbmSdIzhx6_m4wkOD7IG-k_eo/edit#gid=0"", ""Maths!M:N""), 2, FALSE)"),"Explain the importance of aligning the ruler properly and reading the scale to obtain accurate measurements of line segments.")</f>
        <v>Explain the importance of aligning the ruler properly and reading the scale to obtain accurate measurements of line segments.</v>
      </c>
      <c r="M71" s="10" t="str">
        <f t="shared" si="2"/>
        <v>LU000970.003</v>
      </c>
      <c r="N71" s="10" t="str">
        <f ca="1">IFERROR(__xludf.DUMMYFUNCTION("VLOOKUP(M71, IMPORTRANGE(""https://docs.google.com/spreadsheets/d/1yDAaXNsi4Mr5FtRQL4tbmSdIzhx6_m4wkOD7IG-k_eo/edit#gid=0"", ""Maths!M:N""), 2, FALSE)"),"Apply the knowledge of using a ruler to measure the length of various line segments with precision.")</f>
        <v>Apply the knowledge of using a ruler to measure the length of various line segments with precision.</v>
      </c>
      <c r="O71" s="10" t="str">
        <f t="shared" si="3"/>
        <v>LU000970.004</v>
      </c>
      <c r="P71" s="10" t="str">
        <f ca="1">IFERROR(__xludf.DUMMYFUNCTION("VLOOKUP(O71, IMPORTRANGE(""https://docs.google.com/spreadsheets/d/1yDAaXNsi4Mr5FtRQL4tbmSdIzhx6_m4wkOD7IG-k_eo/edit#gid=0"", ""Maths!M:N""), 2, FALSE)"),"Analyze different line segments to determine the appropriate measurement technique and the units to be used on the ruler.")</f>
        <v>Analyze different line segments to determine the appropriate measurement technique and the units to be used on the ruler.</v>
      </c>
      <c r="Q71" s="10" t="str">
        <f t="shared" si="4"/>
        <v>LU000970.005</v>
      </c>
      <c r="R71" s="10" t="str">
        <f ca="1">IFERROR(__xludf.DUMMYFUNCTION("VLOOKUP(Q71, IMPORTRANGE(""https://docs.google.com/spreadsheets/d/1yDAaXNsi4Mr5FtRQL4tbmSdIzhx6_m4wkOD7IG-k_eo/edit#gid=0"", ""Maths!M:N""), 2, FALSE)"),"Evaluate the accuracy of measurements taken with a ruler and identify any potential sources of error.")</f>
        <v>Evaluate the accuracy of measurements taken with a ruler and identify any potential sources of error.</v>
      </c>
      <c r="S71" s="10" t="str">
        <f t="shared" si="5"/>
        <v>LU000970.006</v>
      </c>
      <c r="T71" s="10" t="str">
        <f ca="1">IFERROR(__xludf.DUMMYFUNCTION("VLOOKUP(S71, IMPORTRANGE(""https://docs.google.com/spreadsheets/d/1yDAaXNsi4Mr5FtRQL4tbmSdIzhx6_m4wkOD7IG-k_eo/edit#gid=0"", ""Maths!M:N""), 2, FALSE)"),"Create and solve measurement tasks that involve line segments, demonstrating the ability to use a ruler effectively and accurately measure lengths.")</f>
        <v>Create and solve measurement tasks that involve line segments, demonstrating the ability to use a ruler effectively and accurately measure lengths.</v>
      </c>
      <c r="U71" s="11">
        <f ca="1">IFERROR(__xludf.DUMMYFUNCTION("ArrayFormula(VLOOKUP(G71, IMPORTRANGE(""https://docs.google.com/spreadsheets/d/1p7R4vtkWt5VOBim4ltsDG9KTzSjrtKXsMtQGXPHyND0/edit#gid=795171502"", ""'Filter 30_05_2024'!A1:M2000""), {2, 3, 4, 5,6,7,8,9,10,11,12,13}, 0))"),5)</f>
        <v>5</v>
      </c>
      <c r="V71" s="11">
        <f ca="1">IFERROR(__xludf.DUMMYFUNCTION("""COMPUTED_VALUE"""),12)</f>
        <v>12</v>
      </c>
      <c r="W71" s="11">
        <f ca="1">IFERROR(__xludf.DUMMYFUNCTION("""COMPUTED_VALUE"""),2)</f>
        <v>2</v>
      </c>
      <c r="X71" s="11">
        <f ca="1">IFERROR(__xludf.DUMMYFUNCTION("""COMPUTED_VALUE"""),19)</f>
        <v>19</v>
      </c>
      <c r="Y71" s="11">
        <f ca="1">IFERROR(__xludf.DUMMYFUNCTION("""COMPUTED_VALUE"""),4)</f>
        <v>4</v>
      </c>
      <c r="Z71" s="29">
        <f ca="1">IFERROR(__xludf.DUMMYFUNCTION("""COMPUTED_VALUE"""),5)</f>
        <v>5</v>
      </c>
      <c r="AA71" s="29">
        <f ca="1">IFERROR(__xludf.DUMMYFUNCTION("""COMPUTED_VALUE"""),1)</f>
        <v>1</v>
      </c>
      <c r="AB71" s="12">
        <f ca="1">IFERROR(__xludf.DUMMYFUNCTION("""COMPUTED_VALUE"""),10)</f>
        <v>10</v>
      </c>
      <c r="AC71" s="12"/>
      <c r="AD71" s="12"/>
      <c r="AE71" s="12"/>
      <c r="AF71" s="12"/>
      <c r="AG71" s="13" t="str">
        <f ca="1">IFERROR(__xludf.DUMMYFUNCTION("ArrayFormula(VLOOKUP(G71, IMPORTRANGE(""https://docs.google.com/spreadsheets/d/1Co934fvtviyaRiMsrIlT05Jaq7iiYq07aLvRr35KA48/edit?gid=173865642#gid=173865642"", ""'G6_Maths_Pri_LU'!G2:V2000""), {3, 4, 5, 6, 7, 8, 9, 10, 11, 12, 13, 14, 15, 16}, 0))"),"LU000094")</f>
        <v>LU000094</v>
      </c>
      <c r="AH71" s="13" t="str">
        <f ca="1">IFERROR(__xludf.DUMMYFUNCTION("""COMPUTED_VALUE"""),"Definition of millimetre as unit of measuring length")</f>
        <v>Definition of millimetre as unit of measuring length</v>
      </c>
      <c r="AI71" s="13" t="str">
        <f ca="1">IFERROR(__xludf.DUMMYFUNCTION("""COMPUTED_VALUE"""),"LU000163")</f>
        <v>LU000163</v>
      </c>
      <c r="AJ71" s="13" t="str">
        <f ca="1">IFERROR(__xludf.DUMMYFUNCTION("""COMPUTED_VALUE"""),"Conversion between different units of length (in whole number)")</f>
        <v>Conversion between different units of length (in whole number)</v>
      </c>
      <c r="AK71" s="13" t="str">
        <f ca="1">IFERROR(__xludf.DUMMYFUNCTION("""COMPUTED_VALUE"""),"LU000166")</f>
        <v>LU000166</v>
      </c>
      <c r="AL71" s="13" t="str">
        <f ca="1">IFERROR(__xludf.DUMMYFUNCTION("""COMPUTED_VALUE"""),"Metric prefixes (centi, milli, kilo) for SI units")</f>
        <v>Metric prefixes (centi, milli, kilo) for SI units</v>
      </c>
      <c r="AM71" s="13" t="str">
        <f ca="1">IFERROR(__xludf.DUMMYFUNCTION("""COMPUTED_VALUE"""),"LU000219")</f>
        <v>LU000219</v>
      </c>
      <c r="AN71" s="13" t="str">
        <f ca="1">IFERROR(__xludf.DUMMYFUNCTION("""COMPUTED_VALUE"""),"Definition of line segment")</f>
        <v>Definition of line segment</v>
      </c>
      <c r="AO71" s="13"/>
      <c r="AP71" s="13"/>
      <c r="AQ71" s="13"/>
      <c r="AR71" s="13"/>
      <c r="AS71" s="13"/>
      <c r="AT71" s="13"/>
    </row>
    <row r="72" spans="1:46">
      <c r="A72" s="8" t="s">
        <v>247</v>
      </c>
      <c r="B72" s="8" t="s">
        <v>47</v>
      </c>
      <c r="C72" s="8" t="s">
        <v>48</v>
      </c>
      <c r="D72" s="8" t="s">
        <v>49</v>
      </c>
      <c r="E72" s="8" t="s">
        <v>318</v>
      </c>
      <c r="F72" s="8" t="s">
        <v>319</v>
      </c>
      <c r="G72" s="8" t="s">
        <v>321</v>
      </c>
      <c r="H72" s="8" t="str">
        <f ca="1">IFERROR(__xludf.DUMMYFUNCTION("VLOOKUP(G72, IMPORTRANGE(""https://docs.google.com/spreadsheets/d/14deopnvwcrKtEGCKuYXdUHJbeLDZlkiSSWWT0g7x2pM/edit#gid=999382323"", ""LU List Maths (Filter)!A:B""), 2, FALSE)"),"Measurement of length of line segments using ruler and divider")</f>
        <v>Measurement of length of line segments using ruler and divider</v>
      </c>
      <c r="I72" s="10" t="str">
        <f t="shared" si="0"/>
        <v>LU000971.001</v>
      </c>
      <c r="J72" s="10" t="str">
        <f ca="1">IFERROR(__xludf.DUMMYFUNCTION("VLOOKUP(I72, IMPORTRANGE(""https://docs.google.com/spreadsheets/d/1yDAaXNsi4Mr5FtRQL4tbmSdIzhx6_m4wkOD7IG-k_eo/edit#gid=0"", ""Maths!M:N""), 2, FALSE)"),"Recall how to use a ruler and divider for measuring line segments.")</f>
        <v>Recall how to use a ruler and divider for measuring line segments.</v>
      </c>
      <c r="K72" s="10" t="str">
        <f t="shared" si="1"/>
        <v>LU000971.002</v>
      </c>
      <c r="L72" s="10" t="str">
        <f ca="1">IFERROR(__xludf.DUMMYFUNCTION("VLOOKUP(K72, IMPORTRANGE(""https://docs.google.com/spreadsheets/d/1yDAaXNsi4Mr5FtRQL4tbmSdIzhx6_m4wkOD7IG-k_eo/edit#gid=0"", ""Maths!M:N""), 2, FALSE)"),"Explain the importance of precision when using a ruler and divider for accurate measurements.")</f>
        <v>Explain the importance of precision when using a ruler and divider for accurate measurements.</v>
      </c>
      <c r="M72" s="10" t="str">
        <f t="shared" si="2"/>
        <v>LU000971.003</v>
      </c>
      <c r="N72" s="10" t="str">
        <f ca="1">IFERROR(__xludf.DUMMYFUNCTION("VLOOKUP(M72, IMPORTRANGE(""https://docs.google.com/spreadsheets/d/1yDAaXNsi4Mr5FtRQL4tbmSdIzhx6_m4wkOD7IG-k_eo/edit#gid=0"", ""Maths!M:N""), 2, FALSE)"),"Apply knowledge to measure the lengths of line segments precisely using a ruler and divider.")</f>
        <v>Apply knowledge to measure the lengths of line segments precisely using a ruler and divider.</v>
      </c>
      <c r="O72" s="10" t="str">
        <f t="shared" si="3"/>
        <v>LU000971.004</v>
      </c>
      <c r="P72" s="10" t="str">
        <f ca="1">IFERROR(__xludf.DUMMYFUNCTION("VLOOKUP(O72, IMPORTRANGE(""https://docs.google.com/spreadsheets/d/1yDAaXNsi4Mr5FtRQL4tbmSdIzhx6_m4wkOD7IG-k_eo/edit#gid=0"", ""Maths!M:N""), 2, FALSE)"),"Analyze line segments to choose the appropriate tools and techniques for precise measurements.")</f>
        <v>Analyze line segments to choose the appropriate tools and techniques for precise measurements.</v>
      </c>
      <c r="Q72" s="10" t="str">
        <f t="shared" si="4"/>
        <v>LU000971.005</v>
      </c>
      <c r="R72" s="10" t="str">
        <f ca="1">IFERROR(__xludf.DUMMYFUNCTION("VLOOKUP(Q72, IMPORTRANGE(""https://docs.google.com/spreadsheets/d/1yDAaXNsi4Mr5FtRQL4tbmSdIzhx6_m4wkOD7IG-k_eo/edit#gid=0"", ""Maths!M:N""), 2, FALSE)"),"Evaluate measurement accuracy, identifying and correcting potential errors when using a ruler and divider.")</f>
        <v>Evaluate measurement accuracy, identifying and correcting potential errors when using a ruler and divider.</v>
      </c>
      <c r="S72" s="10" t="str">
        <f t="shared" si="5"/>
        <v>LU000971.006</v>
      </c>
      <c r="T72" s="10" t="str">
        <f ca="1">IFERROR(__xludf.DUMMYFUNCTION("VLOOKUP(S72, IMPORTRANGE(""https://docs.google.com/spreadsheets/d/1yDAaXNsi4Mr5FtRQL4tbmSdIzhx6_m4wkOD7IG-k_eo/edit#gid=0"", ""Maths!M:N""), 2, FALSE)"),"Create and solve measurement tasks involving line segments, demonstrating expertise in using a ruler and divider for accurate measurements.")</f>
        <v>Create and solve measurement tasks involving line segments, demonstrating expertise in using a ruler and divider for accurate measurements.</v>
      </c>
      <c r="U72" s="11">
        <f ca="1">IFERROR(__xludf.DUMMYFUNCTION("ArrayFormula(VLOOKUP(G72, IMPORTRANGE(""https://docs.google.com/spreadsheets/d/1p7R4vtkWt5VOBim4ltsDG9KTzSjrtKXsMtQGXPHyND0/edit#gid=795171502"", ""'Filter 30_05_2024'!A1:M2000""), {2, 3, 4, 5,6,7,8,9,10,11,12,13}, 0))"),3)</f>
        <v>3</v>
      </c>
      <c r="V72" s="11">
        <f ca="1">IFERROR(__xludf.DUMMYFUNCTION("""COMPUTED_VALUE"""),6)</f>
        <v>6</v>
      </c>
      <c r="W72" s="11">
        <f ca="1">IFERROR(__xludf.DUMMYFUNCTION("""COMPUTED_VALUE"""),2)</f>
        <v>2</v>
      </c>
      <c r="X72" s="11">
        <f ca="1">IFERROR(__xludf.DUMMYFUNCTION("""COMPUTED_VALUE"""),11)</f>
        <v>11</v>
      </c>
      <c r="Y72" s="11">
        <f ca="1">IFERROR(__xludf.DUMMYFUNCTION("""COMPUTED_VALUE"""),5)</f>
        <v>5</v>
      </c>
      <c r="Z72" s="29">
        <f ca="1">IFERROR(__xludf.DUMMYFUNCTION("""COMPUTED_VALUE"""),3)</f>
        <v>3</v>
      </c>
      <c r="AA72" s="29">
        <f ca="1">IFERROR(__xludf.DUMMYFUNCTION("""COMPUTED_VALUE"""),1)</f>
        <v>1</v>
      </c>
      <c r="AB72" s="12">
        <f ca="1">IFERROR(__xludf.DUMMYFUNCTION("""COMPUTED_VALUE"""),9)</f>
        <v>9</v>
      </c>
      <c r="AC72" s="12"/>
      <c r="AD72" s="12"/>
      <c r="AE72" s="12"/>
      <c r="AF72" s="12"/>
      <c r="AG72" s="13" t="str">
        <f ca="1">IFERROR(__xludf.DUMMYFUNCTION("ArrayFormula(VLOOKUP(G72, IMPORTRANGE(""https://docs.google.com/spreadsheets/d/1Co934fvtviyaRiMsrIlT05Jaq7iiYq07aLvRr35KA48/edit?gid=173865642#gid=173865642"", ""'G6_Maths_Pri_LU'!G2:V2000""), {3, 4, 5, 6, 7, 8, 9, 10, 11, 12, 13, 14, 15, 16}, 0))"),"LU000970")</f>
        <v>LU000970</v>
      </c>
      <c r="AH72" s="13" t="str">
        <f ca="1">IFERROR(__xludf.DUMMYFUNCTION("""COMPUTED_VALUE"""),"Measurement of length of line segments using ruler")</f>
        <v>Measurement of length of line segments using ruler</v>
      </c>
      <c r="AI72" s="13" t="str">
        <f ca="1">IFERROR(__xludf.DUMMYFUNCTION("""COMPUTED_VALUE"""),"LU000163")</f>
        <v>LU000163</v>
      </c>
      <c r="AJ72" s="13" t="str">
        <f ca="1">IFERROR(__xludf.DUMMYFUNCTION("""COMPUTED_VALUE"""),"Conversion between different units of length (in whole number)")</f>
        <v>Conversion between different units of length (in whole number)</v>
      </c>
      <c r="AK72" s="13" t="str">
        <f ca="1">IFERROR(__xludf.DUMMYFUNCTION("""COMPUTED_VALUE"""),"LU000094")</f>
        <v>LU000094</v>
      </c>
      <c r="AL72" s="13" t="str">
        <f ca="1">IFERROR(__xludf.DUMMYFUNCTION("""COMPUTED_VALUE"""),"Definition of millimetre as unit of measuring length")</f>
        <v>Definition of millimetre as unit of measuring length</v>
      </c>
      <c r="AM72" s="13" t="str">
        <f ca="1">IFERROR(__xludf.DUMMYFUNCTION("""COMPUTED_VALUE"""),"LU000166")</f>
        <v>LU000166</v>
      </c>
      <c r="AN72" s="13" t="str">
        <f ca="1">IFERROR(__xludf.DUMMYFUNCTION("""COMPUTED_VALUE"""),"Metric prefixes (centi, milli, kilo) for SI units")</f>
        <v>Metric prefixes (centi, milli, kilo) for SI units</v>
      </c>
      <c r="AO72" s="13" t="str">
        <f ca="1">IFERROR(__xludf.DUMMYFUNCTION("""COMPUTED_VALUE"""),"LU000219")</f>
        <v>LU000219</v>
      </c>
      <c r="AP72" s="13" t="str">
        <f ca="1">IFERROR(__xludf.DUMMYFUNCTION("""COMPUTED_VALUE"""),"Definition of line segment")</f>
        <v>Definition of line segment</v>
      </c>
      <c r="AQ72" s="13"/>
      <c r="AR72" s="13"/>
      <c r="AS72" s="13"/>
      <c r="AT72" s="13"/>
    </row>
    <row r="73" spans="1:46">
      <c r="A73" s="8" t="s">
        <v>247</v>
      </c>
      <c r="B73" s="8" t="s">
        <v>47</v>
      </c>
      <c r="C73" s="8" t="s">
        <v>48</v>
      </c>
      <c r="D73" s="8" t="s">
        <v>49</v>
      </c>
      <c r="E73" s="8" t="s">
        <v>318</v>
      </c>
      <c r="F73" s="8" t="s">
        <v>322</v>
      </c>
      <c r="G73" s="8" t="s">
        <v>323</v>
      </c>
      <c r="H73" s="8" t="str">
        <f ca="1">IFERROR(__xludf.DUMMYFUNCTION("VLOOKUP(G73, IMPORTRANGE(""https://docs.google.com/spreadsheets/d/14deopnvwcrKtEGCKuYXdUHJbeLDZlkiSSWWT0g7x2pM/edit#gid=999382323"", ""LU List Maths (Filter)!A:B""), 2, FALSE)"),"Comparison of line segments by observation method")</f>
        <v>Comparison of line segments by observation method</v>
      </c>
      <c r="I73" s="10" t="str">
        <f t="shared" si="0"/>
        <v>LU000972.001</v>
      </c>
      <c r="J73" s="10" t="str">
        <f ca="1">IFERROR(__xludf.DUMMYFUNCTION("VLOOKUP(I73, IMPORTRANGE(""https://docs.google.com/spreadsheets/d/1yDAaXNsi4Mr5FtRQL4tbmSdIzhx6_m4wkOD7IG-k_eo/edit#gid=0"", ""Maths!M:N""), 2, FALSE)"),"Recall how to compare line segments through observation.")</f>
        <v>Recall how to compare line segments through observation.</v>
      </c>
      <c r="K73" s="10" t="str">
        <f t="shared" si="1"/>
        <v>LU000972.002</v>
      </c>
      <c r="L73" s="10" t="str">
        <f ca="1">IFERROR(__xludf.DUMMYFUNCTION("VLOOKUP(K73, IMPORTRANGE(""https://docs.google.com/spreadsheets/d/1yDAaXNsi4Mr5FtRQL4tbmSdIzhx6_m4wkOD7IG-k_eo/edit#gid=0"", ""Maths!M:N""), 2, FALSE)"),"Explain the concept of visually comparing line segments based on length and orientation.")</f>
        <v>Explain the concept of visually comparing line segments based on length and orientation.</v>
      </c>
      <c r="M73" s="10" t="str">
        <f t="shared" si="2"/>
        <v>LU000972.003</v>
      </c>
      <c r="N73" s="10" t="str">
        <f ca="1">IFERROR(__xludf.DUMMYFUNCTION("VLOOKUP(M73, IMPORTRANGE(""https://docs.google.com/spreadsheets/d/1yDAaXNsi4Mr5FtRQL4tbmSdIzhx6_m4wkOD7IG-k_eo/edit#gid=0"", ""Maths!M:N""), 2, FALSE)"),"Apply observation skills to accurately compare line segments visually.")</f>
        <v>Apply observation skills to accurately compare line segments visually.</v>
      </c>
      <c r="O73" s="10" t="str">
        <f t="shared" si="3"/>
        <v>LU000972.004</v>
      </c>
      <c r="P73" s="10" t="str">
        <f ca="1">IFERROR(__xludf.DUMMYFUNCTION("VLOOKUP(O73, IMPORTRANGE(""https://docs.google.com/spreadsheets/d/1yDAaXNsi4Mr5FtRQL4tbmSdIzhx6_m4wkOD7IG-k_eo/edit#gid=0"", ""Maths!M:N""), 2, FALSE)"),"Analyze line segments and identify differences in their lengths and orientations through visual observation.")</f>
        <v>Analyze line segments and identify differences in their lengths and orientations through visual observation.</v>
      </c>
      <c r="Q73" s="10" t="str">
        <f t="shared" si="4"/>
        <v>LU000972.005</v>
      </c>
      <c r="R73" s="10" t="str">
        <f ca="1">IFERROR(__xludf.DUMMYFUNCTION("VLOOKUP(Q73, IMPORTRANGE(""https://docs.google.com/spreadsheets/d/1yDAaXNsi4Mr5FtRQL4tbmSdIzhx6_m4wkOD7IG-k_eo/edit#gid=0"", ""Maths!M:N""), 2, FALSE)"),"Evaluate the accuracy of comparisons made through observation, providing justifications.")</f>
        <v>Evaluate the accuracy of comparisons made through observation, providing justifications.</v>
      </c>
      <c r="S73" s="10" t="str">
        <f t="shared" si="5"/>
        <v>LU000972.006</v>
      </c>
      <c r="T73" s="10" t="str">
        <f ca="1">IFERROR(__xludf.DUMMYFUNCTION("VLOOKUP(S73, IMPORTRANGE(""https://docs.google.com/spreadsheets/d/1yDAaXNsi4Mr5FtRQL4tbmSdIzhx6_m4wkOD7IG-k_eo/edit#gid=0"", ""Maths!M:N""), 2, FALSE)"),"#N/A")</f>
        <v>#N/A</v>
      </c>
      <c r="U73" s="11">
        <f ca="1">IFERROR(__xludf.DUMMYFUNCTION("ArrayFormula(VLOOKUP(G73, IMPORTRANGE(""https://docs.google.com/spreadsheets/d/1p7R4vtkWt5VOBim4ltsDG9KTzSjrtKXsMtQGXPHyND0/edit#gid=795171502"", ""'Filter 30_05_2024'!A1:M2000""), {2, 3, 4, 5,6,7,8,9,10,11,12,13}, 0))"),4)</f>
        <v>4</v>
      </c>
      <c r="V73" s="11">
        <f ca="1">IFERROR(__xludf.DUMMYFUNCTION("""COMPUTED_VALUE"""),6)</f>
        <v>6</v>
      </c>
      <c r="W73" s="11">
        <f ca="1">IFERROR(__xludf.DUMMYFUNCTION("""COMPUTED_VALUE"""),2)</f>
        <v>2</v>
      </c>
      <c r="X73" s="11">
        <f ca="1">IFERROR(__xludf.DUMMYFUNCTION("""COMPUTED_VALUE"""),12)</f>
        <v>12</v>
      </c>
      <c r="Y73" s="11">
        <f ca="1">IFERROR(__xludf.DUMMYFUNCTION("""COMPUTED_VALUE"""),4)</f>
        <v>4</v>
      </c>
      <c r="Z73" s="29">
        <f ca="1">IFERROR(__xludf.DUMMYFUNCTION("""COMPUTED_VALUE"""),3)</f>
        <v>3</v>
      </c>
      <c r="AA73" s="29">
        <f ca="1">IFERROR(__xludf.DUMMYFUNCTION("""COMPUTED_VALUE"""),1)</f>
        <v>1</v>
      </c>
      <c r="AB73" s="12">
        <f ca="1">IFERROR(__xludf.DUMMYFUNCTION("""COMPUTED_VALUE"""),8)</f>
        <v>8</v>
      </c>
      <c r="AC73" s="12"/>
      <c r="AD73" s="12"/>
      <c r="AE73" s="12"/>
      <c r="AF73" s="12"/>
      <c r="AG73" s="13" t="str">
        <f ca="1">IFERROR(__xludf.DUMMYFUNCTION("ArrayFormula(VLOOKUP(G73, IMPORTRANGE(""https://docs.google.com/spreadsheets/d/1Co934fvtviyaRiMsrIlT05Jaq7iiYq07aLvRr35KA48/edit?gid=173865642#gid=173865642"", ""'G6_Maths_Pri_LU'!G2:V2000""), {3, 4, 5, 6, 7, 8, 9, 10, 11, 12, 13, 14, 15, 16}, 0))"),"LU000219")</f>
        <v>LU000219</v>
      </c>
      <c r="AH73" s="13" t="str">
        <f ca="1">IFERROR(__xludf.DUMMYFUNCTION("""COMPUTED_VALUE"""),"Definition of line segment")</f>
        <v>Definition of line segment</v>
      </c>
      <c r="AI73" s="13" t="str">
        <f ca="1">IFERROR(__xludf.DUMMYFUNCTION("""COMPUTED_VALUE"""),"LU000218")</f>
        <v>LU000218</v>
      </c>
      <c r="AJ73" s="13" t="str">
        <f ca="1">IFERROR(__xludf.DUMMYFUNCTION("""COMPUTED_VALUE"""),"Definition of point")</f>
        <v>Definition of point</v>
      </c>
      <c r="AK73" s="13"/>
      <c r="AL73" s="13"/>
      <c r="AM73" s="13"/>
      <c r="AN73" s="13"/>
      <c r="AO73" s="13"/>
      <c r="AP73" s="13"/>
      <c r="AQ73" s="13"/>
      <c r="AR73" s="13"/>
      <c r="AS73" s="13"/>
      <c r="AT73" s="13"/>
    </row>
    <row r="74" spans="1:46">
      <c r="A74" s="8" t="s">
        <v>247</v>
      </c>
      <c r="B74" s="8" t="s">
        <v>47</v>
      </c>
      <c r="C74" s="8" t="s">
        <v>48</v>
      </c>
      <c r="D74" s="8" t="s">
        <v>49</v>
      </c>
      <c r="E74" s="8" t="s">
        <v>318</v>
      </c>
      <c r="F74" s="8" t="s">
        <v>322</v>
      </c>
      <c r="G74" s="8" t="s">
        <v>324</v>
      </c>
      <c r="H74" s="8" t="str">
        <f ca="1">IFERROR(__xludf.DUMMYFUNCTION("VLOOKUP(G74, IMPORTRANGE(""https://docs.google.com/spreadsheets/d/14deopnvwcrKtEGCKuYXdUHJbeLDZlkiSSWWT0g7x2pM/edit#gid=999382323"", ""LU List Maths (Filter)!A:B""), 2, FALSE)"),"Comparison of line segments by tracing method")</f>
        <v>Comparison of line segments by tracing method</v>
      </c>
      <c r="I74" s="10" t="str">
        <f t="shared" si="0"/>
        <v>LU000973.001</v>
      </c>
      <c r="J74" s="10" t="str">
        <f ca="1">IFERROR(__xludf.DUMMYFUNCTION("VLOOKUP(I74, IMPORTRANGE(""https://docs.google.com/spreadsheets/d/1yDAaXNsi4Mr5FtRQL4tbmSdIzhx6_m4wkOD7IG-k_eo/edit#gid=0"", ""Maths!M:N""), 2, FALSE)"),"Recall the basic steps involved in comparing line segments using the tracing method.")</f>
        <v>Recall the basic steps involved in comparing line segments using the tracing method.</v>
      </c>
      <c r="K74" s="10" t="str">
        <f t="shared" si="1"/>
        <v>LU000973.002</v>
      </c>
      <c r="L74" s="10" t="str">
        <f ca="1">IFERROR(__xludf.DUMMYFUNCTION("VLOOKUP(K74, IMPORTRANGE(""https://docs.google.com/spreadsheets/d/1yDAaXNsi4Mr5FtRQL4tbmSdIzhx6_m4wkOD7IG-k_eo/edit#gid=0"", ""Maths!M:N""), 2, FALSE)"),"Explain the concept of comparing line segments through the tracing method, emphasizing the importance of precision.")</f>
        <v>Explain the concept of comparing line segments through the tracing method, emphasizing the importance of precision.</v>
      </c>
      <c r="M74" s="10" t="str">
        <f t="shared" si="2"/>
        <v>LU000973.003</v>
      </c>
      <c r="N74" s="10" t="str">
        <f ca="1">IFERROR(__xludf.DUMMYFUNCTION("VLOOKUP(M74, IMPORTRANGE(""https://docs.google.com/spreadsheets/d/1yDAaXNsi4Mr5FtRQL4tbmSdIzhx6_m4wkOD7IG-k_eo/edit#gid=0"", ""Maths!M:N""), 2, FALSE)"),"Apply the tracing method effectively to compare line segments accurately, ensuring proper alignment during tracing.")</f>
        <v>Apply the tracing method effectively to compare line segments accurately, ensuring proper alignment during tracing.</v>
      </c>
      <c r="O74" s="10" t="str">
        <f t="shared" si="3"/>
        <v>LU000973.004</v>
      </c>
      <c r="P74" s="10" t="str">
        <f ca="1">IFERROR(__xludf.DUMMYFUNCTION("VLOOKUP(O74, IMPORTRANGE(""https://docs.google.com/spreadsheets/d/1yDAaXNsi4Mr5FtRQL4tbmSdIzhx6_m4wkOD7IG-k_eo/edit#gid=0"", ""Maths!M:N""), 2, FALSE)"),"Analyze traced line segments to identify differences or similarities in length and orientation, using the tracing method as a visual aid.")</f>
        <v>Analyze traced line segments to identify differences or similarities in length and orientation, using the tracing method as a visual aid.</v>
      </c>
      <c r="Q74" s="10" t="str">
        <f t="shared" si="4"/>
        <v>LU000973.005</v>
      </c>
      <c r="R74" s="10" t="str">
        <f ca="1">IFERROR(__xludf.DUMMYFUNCTION("VLOOKUP(Q74, IMPORTRANGE(""https://docs.google.com/spreadsheets/d/1yDAaXNsi4Mr5FtRQL4tbmSdIzhx6_m4wkOD7IG-k_eo/edit#gid=0"", ""Maths!M:N""), 2, FALSE)"),"Evaluate the accuracy of comparisons made through the tracing method, providing explanations for any discrepancies.")</f>
        <v>Evaluate the accuracy of comparisons made through the tracing method, providing explanations for any discrepancies.</v>
      </c>
      <c r="S74" s="10" t="str">
        <f t="shared" si="5"/>
        <v>LU000973.006</v>
      </c>
      <c r="T74" s="10" t="str">
        <f ca="1">IFERROR(__xludf.DUMMYFUNCTION("VLOOKUP(S74, IMPORTRANGE(""https://docs.google.com/spreadsheets/d/1yDAaXNsi4Mr5FtRQL4tbmSdIzhx6_m4wkOD7IG-k_eo/edit#gid=0"", ""Maths!M:N""), 2, FALSE)"),"#N/A")</f>
        <v>#N/A</v>
      </c>
      <c r="U74" s="11">
        <f ca="1">IFERROR(__xludf.DUMMYFUNCTION("ArrayFormula(VLOOKUP(G74, IMPORTRANGE(""https://docs.google.com/spreadsheets/d/1p7R4vtkWt5VOBim4ltsDG9KTzSjrtKXsMtQGXPHyND0/edit#gid=795171502"", ""'Filter 30_05_2024'!A1:M2000""), {2, 3, 4, 5,6,7,8,9,10,11,12,13}, 0))"),5)</f>
        <v>5</v>
      </c>
      <c r="V74" s="11">
        <f ca="1">IFERROR(__xludf.DUMMYFUNCTION("""COMPUTED_VALUE"""),4)</f>
        <v>4</v>
      </c>
      <c r="W74" s="11">
        <f ca="1">IFERROR(__xludf.DUMMYFUNCTION("""COMPUTED_VALUE"""),2)</f>
        <v>2</v>
      </c>
      <c r="X74" s="11">
        <f ca="1">IFERROR(__xludf.DUMMYFUNCTION("""COMPUTED_VALUE"""),11)</f>
        <v>11</v>
      </c>
      <c r="Y74" s="11">
        <f ca="1">IFERROR(__xludf.DUMMYFUNCTION("""COMPUTED_VALUE"""),4)</f>
        <v>4</v>
      </c>
      <c r="Z74" s="29">
        <f ca="1">IFERROR(__xludf.DUMMYFUNCTION("""COMPUTED_VALUE"""),5)</f>
        <v>5</v>
      </c>
      <c r="AA74" s="29">
        <f ca="1">IFERROR(__xludf.DUMMYFUNCTION("""COMPUTED_VALUE"""),1)</f>
        <v>1</v>
      </c>
      <c r="AB74" s="12">
        <f ca="1">IFERROR(__xludf.DUMMYFUNCTION("""COMPUTED_VALUE"""),10)</f>
        <v>10</v>
      </c>
      <c r="AC74" s="12"/>
      <c r="AD74" s="12"/>
      <c r="AE74" s="12"/>
      <c r="AF74" s="12"/>
      <c r="AG74" s="13" t="str">
        <f ca="1">IFERROR(__xludf.DUMMYFUNCTION("ArrayFormula(VLOOKUP(G74, IMPORTRANGE(""https://docs.google.com/spreadsheets/d/1Co934fvtviyaRiMsrIlT05Jaq7iiYq07aLvRr35KA48/edit?gid=173865642#gid=173865642"", ""'G6_Maths_Pri_LU'!G2:V2000""), {3, 4, 5, 6, 7, 8, 9, 10, 11, 12, 13, 14, 15, 16}, 0))"),"LU000972")</f>
        <v>LU000972</v>
      </c>
      <c r="AH74" s="13" t="str">
        <f ca="1">IFERROR(__xludf.DUMMYFUNCTION("""COMPUTED_VALUE"""),"Comparison of line segments by observation method")</f>
        <v>Comparison of line segments by observation method</v>
      </c>
      <c r="AI74" s="13" t="str">
        <f ca="1">IFERROR(__xludf.DUMMYFUNCTION("""COMPUTED_VALUE"""),"LU000219")</f>
        <v>LU000219</v>
      </c>
      <c r="AJ74" s="13" t="str">
        <f ca="1">IFERROR(__xludf.DUMMYFUNCTION("""COMPUTED_VALUE"""),"Definition of line segment")</f>
        <v>Definition of line segment</v>
      </c>
      <c r="AK74" s="13" t="str">
        <f ca="1">IFERROR(__xludf.DUMMYFUNCTION("""COMPUTED_VALUE"""),"LU000218")</f>
        <v>LU000218</v>
      </c>
      <c r="AL74" s="13" t="str">
        <f ca="1">IFERROR(__xludf.DUMMYFUNCTION("""COMPUTED_VALUE"""),"Definition of point")</f>
        <v>Definition of point</v>
      </c>
      <c r="AM74" s="13"/>
      <c r="AN74" s="13"/>
      <c r="AO74" s="13"/>
      <c r="AP74" s="13"/>
      <c r="AQ74" s="13"/>
      <c r="AR74" s="13"/>
      <c r="AS74" s="13"/>
      <c r="AT74" s="13"/>
    </row>
    <row r="75" spans="1:46">
      <c r="A75" s="8" t="s">
        <v>247</v>
      </c>
      <c r="B75" s="8" t="s">
        <v>47</v>
      </c>
      <c r="C75" s="8" t="s">
        <v>48</v>
      </c>
      <c r="D75" s="8" t="s">
        <v>49</v>
      </c>
      <c r="E75" s="8" t="s">
        <v>318</v>
      </c>
      <c r="F75" s="8" t="s">
        <v>322</v>
      </c>
      <c r="G75" s="8" t="s">
        <v>325</v>
      </c>
      <c r="H75" s="8" t="str">
        <f ca="1">IFERROR(__xludf.DUMMYFUNCTION("VLOOKUP(G75, IMPORTRANGE(""https://docs.google.com/spreadsheets/d/14deopnvwcrKtEGCKuYXdUHJbeLDZlkiSSWWT0g7x2pM/edit#gid=999382323"", ""LU List Maths (Filter)!A:B""), 2, FALSE)"),"Comparison of line segments using ruler and divider")</f>
        <v>Comparison of line segments using ruler and divider</v>
      </c>
      <c r="I75" s="10" t="str">
        <f t="shared" si="0"/>
        <v>LU000974.001</v>
      </c>
      <c r="J75" s="10" t="str">
        <f ca="1">IFERROR(__xludf.DUMMYFUNCTION("VLOOKUP(I75, IMPORTRANGE(""https://docs.google.com/spreadsheets/d/1yDAaXNsi4Mr5FtRQL4tbmSdIzhx6_m4wkOD7IG-k_eo/edit#gid=0"", ""Maths!M:N""), 2, FALSE)"),"Recall the steps involved in comparing line segments using a ruler and divider.")</f>
        <v>Recall the steps involved in comparing line segments using a ruler and divider.</v>
      </c>
      <c r="K75" s="10" t="str">
        <f t="shared" si="1"/>
        <v>LU000974.002</v>
      </c>
      <c r="L75" s="10" t="str">
        <f ca="1">IFERROR(__xludf.DUMMYFUNCTION("VLOOKUP(K75, IMPORTRANGE(""https://docs.google.com/spreadsheets/d/1yDAaXNsi4Mr5FtRQL4tbmSdIzhx6_m4wkOD7IG-k_eo/edit#gid=0"", ""Maths!M:N""), 2, FALSE)"),"Explain the concept of comparing line segments with a ruler and divider, emphasizing the role of precision.")</f>
        <v>Explain the concept of comparing line segments with a ruler and divider, emphasizing the role of precision.</v>
      </c>
      <c r="M75" s="10" t="str">
        <f t="shared" si="2"/>
        <v>LU000974.003</v>
      </c>
      <c r="N75" s="10" t="str">
        <f ca="1">IFERROR(__xludf.DUMMYFUNCTION("VLOOKUP(M75, IMPORTRANGE(""https://docs.google.com/spreadsheets/d/1yDAaXNsi4Mr5FtRQL4tbmSdIzhx6_m4wkOD7IG-k_eo/edit#gid=0"", ""Maths!M:N""), 2, FALSE)"),"Apply the ruler and divider method proficiently to compare line segments accurately, ensuring precise measurement and alignment.")</f>
        <v>Apply the ruler and divider method proficiently to compare line segments accurately, ensuring precise measurement and alignment.</v>
      </c>
      <c r="O75" s="10" t="str">
        <f t="shared" si="3"/>
        <v>LU000974.004</v>
      </c>
      <c r="P75" s="10" t="str">
        <f ca="1">IFERROR(__xludf.DUMMYFUNCTION("VLOOKUP(O75, IMPORTRANGE(""https://docs.google.com/spreadsheets/d/1yDAaXNsi4Mr5FtRQL4tbmSdIzhx6_m4wkOD7IG-k_eo/edit#gid=0"", ""Maths!M:N""), 2, FALSE)"),"Analyze the measured line segments to identify differences or similarities in their lengths and make informed comparisons.")</f>
        <v>Analyze the measured line segments to identify differences or similarities in their lengths and make informed comparisons.</v>
      </c>
      <c r="Q75" s="10" t="str">
        <f t="shared" si="4"/>
        <v>LU000974.005</v>
      </c>
      <c r="R75" s="10" t="str">
        <f ca="1">IFERROR(__xludf.DUMMYFUNCTION("VLOOKUP(Q75, IMPORTRANGE(""https://docs.google.com/spreadsheets/d/1yDAaXNsi4Mr5FtRQL4tbmSdIzhx6_m4wkOD7IG-k_eo/edit#gid=0"", ""Maths!M:N""), 2, FALSE)"),"Evaluate the accuracy of comparisons made using a ruler and divider, providing justifications for the assessments.")</f>
        <v>Evaluate the accuracy of comparisons made using a ruler and divider, providing justifications for the assessments.</v>
      </c>
      <c r="S75" s="10" t="str">
        <f t="shared" si="5"/>
        <v>LU000974.006</v>
      </c>
      <c r="T75" s="10" t="str">
        <f ca="1">IFERROR(__xludf.DUMMYFUNCTION("VLOOKUP(S75, IMPORTRANGE(""https://docs.google.com/spreadsheets/d/1yDAaXNsi4Mr5FtRQL4tbmSdIzhx6_m4wkOD7IG-k_eo/edit#gid=0"", ""Maths!M:N""), 2, FALSE)"),"#N/A")</f>
        <v>#N/A</v>
      </c>
      <c r="U75" s="11">
        <f ca="1">IFERROR(__xludf.DUMMYFUNCTION("ArrayFormula(VLOOKUP(G75, IMPORTRANGE(""https://docs.google.com/spreadsheets/d/1p7R4vtkWt5VOBim4ltsDG9KTzSjrtKXsMtQGXPHyND0/edit#gid=795171502"", ""'Filter 30_05_2024'!A1:M2000""), {2, 3, 4, 5,6,7,8,9,10,11,12,13}, 0))"),4)</f>
        <v>4</v>
      </c>
      <c r="V75" s="11">
        <f ca="1">IFERROR(__xludf.DUMMYFUNCTION("""COMPUTED_VALUE"""),10)</f>
        <v>10</v>
      </c>
      <c r="W75" s="11"/>
      <c r="X75" s="11">
        <f ca="1">IFERROR(__xludf.DUMMYFUNCTION("""COMPUTED_VALUE"""),14)</f>
        <v>14</v>
      </c>
      <c r="Y75" s="11">
        <f ca="1">IFERROR(__xludf.DUMMYFUNCTION("""COMPUTED_VALUE"""),4)</f>
        <v>4</v>
      </c>
      <c r="Z75" s="29">
        <f ca="1">IFERROR(__xludf.DUMMYFUNCTION("""COMPUTED_VALUE"""),2)</f>
        <v>2</v>
      </c>
      <c r="AA75" s="29">
        <f ca="1">IFERROR(__xludf.DUMMYFUNCTION("""COMPUTED_VALUE"""),1)</f>
        <v>1</v>
      </c>
      <c r="AB75" s="12">
        <f ca="1">IFERROR(__xludf.DUMMYFUNCTION("""COMPUTED_VALUE"""),7)</f>
        <v>7</v>
      </c>
      <c r="AC75" s="12"/>
      <c r="AD75" s="12"/>
      <c r="AE75" s="12"/>
      <c r="AF75" s="12"/>
      <c r="AG75" s="13" t="str">
        <f ca="1">IFERROR(__xludf.DUMMYFUNCTION("ArrayFormula(VLOOKUP(G75, IMPORTRANGE(""https://docs.google.com/spreadsheets/d/1Co934fvtviyaRiMsrIlT05Jaq7iiYq07aLvRr35KA48/edit?gid=173865642#gid=173865642"", ""'G6_Maths_Pri_LU'!G2:V2000""), {3, 4, 5, 6, 7, 8, 9, 10, 11, 12, 13, 14, 15, 16}, 0))"),"LU000971")</f>
        <v>LU000971</v>
      </c>
      <c r="AH75" s="13" t="str">
        <f ca="1">IFERROR(__xludf.DUMMYFUNCTION("""COMPUTED_VALUE"""),"Measurement of length of line segments using ruler and divider")</f>
        <v>Measurement of length of line segments using ruler and divider</v>
      </c>
      <c r="AI75" s="13" t="str">
        <f ca="1">IFERROR(__xludf.DUMMYFUNCTION("""COMPUTED_VALUE"""),"LU000970")</f>
        <v>LU000970</v>
      </c>
      <c r="AJ75" s="13" t="str">
        <f ca="1">IFERROR(__xludf.DUMMYFUNCTION("""COMPUTED_VALUE"""),"Measurement of length of line segments using ruler")</f>
        <v>Measurement of length of line segments using ruler</v>
      </c>
      <c r="AK75" s="13" t="str">
        <f ca="1">IFERROR(__xludf.DUMMYFUNCTION("""COMPUTED_VALUE"""),"LU000094")</f>
        <v>LU000094</v>
      </c>
      <c r="AL75" s="13" t="str">
        <f ca="1">IFERROR(__xludf.DUMMYFUNCTION("""COMPUTED_VALUE"""),"Definition of millimetre as unit of measuring length")</f>
        <v>Definition of millimetre as unit of measuring length</v>
      </c>
      <c r="AM75" s="13" t="str">
        <f ca="1">IFERROR(__xludf.DUMMYFUNCTION("""COMPUTED_VALUE"""),"LU000154")</f>
        <v>LU000154</v>
      </c>
      <c r="AN75" s="13" t="str">
        <f ca="1">IFERROR(__xludf.DUMMYFUNCTION("""COMPUTED_VALUE"""),"Comparison of whole numbers (upto 9-digit numbers)")</f>
        <v>Comparison of whole numbers (upto 9-digit numbers)</v>
      </c>
      <c r="AO75" s="13" t="str">
        <f ca="1">IFERROR(__xludf.DUMMYFUNCTION("""COMPUTED_VALUE"""),"LU000219")</f>
        <v>LU000219</v>
      </c>
      <c r="AP75" s="13" t="str">
        <f ca="1">IFERROR(__xludf.DUMMYFUNCTION("""COMPUTED_VALUE"""),"Definition of line segment")</f>
        <v>Definition of line segment</v>
      </c>
      <c r="AQ75" s="13"/>
      <c r="AR75" s="13"/>
      <c r="AS75" s="13"/>
      <c r="AT75" s="13"/>
    </row>
    <row r="76" spans="1:46">
      <c r="A76" s="8" t="s">
        <v>247</v>
      </c>
      <c r="B76" s="8" t="s">
        <v>47</v>
      </c>
      <c r="C76" s="8" t="s">
        <v>48</v>
      </c>
      <c r="D76" s="8" t="s">
        <v>49</v>
      </c>
      <c r="E76" s="8" t="s">
        <v>318</v>
      </c>
      <c r="F76" s="8" t="s">
        <v>326</v>
      </c>
      <c r="G76" s="8" t="s">
        <v>70</v>
      </c>
      <c r="H76" s="8" t="str">
        <f ca="1">IFERROR(__xludf.DUMMYFUNCTION("VLOOKUP(G76, IMPORTRANGE(""https://docs.google.com/spreadsheets/d/14deopnvwcrKtEGCKuYXdUHJbeLDZlkiSSWWT0g7x2pM/edit#gid=999382323"", ""LU List Maths (Filter)!A:B""), 2, FALSE)"),"Definition of a straight angle")</f>
        <v>Definition of a straight angle</v>
      </c>
      <c r="I76" s="10" t="str">
        <f t="shared" si="0"/>
        <v>LU000259.001</v>
      </c>
      <c r="J76" s="10" t="str">
        <f ca="1">IFERROR(__xludf.DUMMYFUNCTION("VLOOKUP(I76, IMPORTRANGE(""https://docs.google.com/spreadsheets/d/1yDAaXNsi4Mr5FtRQL4tbmSdIzhx6_m4wkOD7IG-k_eo/edit#gid=0"", ""Maths!M:N""), 2, FALSE)"),"Define a straight angle.")</f>
        <v>Define a straight angle.</v>
      </c>
      <c r="K76" s="10" t="str">
        <f t="shared" si="1"/>
        <v>LU000259.002</v>
      </c>
      <c r="L76" s="10" t="str">
        <f ca="1">IFERROR(__xludf.DUMMYFUNCTION("VLOOKUP(K76, IMPORTRANGE(""https://docs.google.com/spreadsheets/d/1yDAaXNsi4Mr5FtRQL4tbmSdIzhx6_m4wkOD7IG-k_eo/edit#gid=0"", ""Maths!M:N""), 2, FALSE)"),"Explain the concept of a straight angle in your own words, including its relation to right angles.")</f>
        <v>Explain the concept of a straight angle in your own words, including its relation to right angles.</v>
      </c>
      <c r="M76" s="10" t="str">
        <f t="shared" si="2"/>
        <v>LU000259.003</v>
      </c>
      <c r="N76" s="10" t="str">
        <f ca="1">IFERROR(__xludf.DUMMYFUNCTION("VLOOKUP(M76, IMPORTRANGE(""https://docs.google.com/spreadsheets/d/1yDAaXNsi4Mr5FtRQL4tbmSdIzhx6_m4wkOD7IG-k_eo/edit#gid=0"", ""Maths!M:N""), 2, FALSE)"),"Identify straight angles in a geometric figure and calculate the measures of any unknown angles connected to them")</f>
        <v>Identify straight angles in a geometric figure and calculate the measures of any unknown angles connected to them</v>
      </c>
      <c r="O76" s="10" t="str">
        <f t="shared" si="3"/>
        <v>LU000259.004</v>
      </c>
      <c r="P76" s="10" t="str">
        <f ca="1">IFERROR(__xludf.DUMMYFUNCTION("VLOOKUP(O76, IMPORTRANGE(""https://docs.google.com/spreadsheets/d/1yDAaXNsi4Mr5FtRQL4tbmSdIzhx6_m4wkOD7IG-k_eo/edit#gid=0"", ""Maths!M:N""), 2, FALSE)"),"Analyse different types of angles, including straight angles, and compare their properties.")</f>
        <v>Analyse different types of angles, including straight angles, and compare their properties.</v>
      </c>
      <c r="Q76" s="10" t="str">
        <f t="shared" si="4"/>
        <v>LU000259.005</v>
      </c>
      <c r="R76" s="10" t="str">
        <f ca="1">IFERROR(__xludf.DUMMYFUNCTION("VLOOKUP(Q76, IMPORTRANGE(""https://docs.google.com/spreadsheets/d/1yDAaXNsi4Mr5FtRQL4tbmSdIzhx6_m4wkOD7IG-k_eo/edit#gid=0"", ""Maths!M:N""), 2, FALSE)"),"Critique the importance of understanding straight angle angles in geometry and its relevance to solving practical problems.")</f>
        <v>Critique the importance of understanding straight angle angles in geometry and its relevance to solving practical problems.</v>
      </c>
      <c r="S76" s="10" t="str">
        <f t="shared" si="5"/>
        <v>LU000259.006</v>
      </c>
      <c r="T76" s="10" t="str">
        <f ca="1">IFERROR(__xludf.DUMMYFUNCTION("VLOOKUP(S76, IMPORTRANGE(""https://docs.google.com/spreadsheets/d/1yDAaXNsi4Mr5FtRQL4tbmSdIzhx6_m4wkOD7IG-k_eo/edit#gid=0"", ""Maths!M:N""), 2, FALSE)"),"Create diagrams showcasing examples of a straight angle.")</f>
        <v>Create diagrams showcasing examples of a straight angle.</v>
      </c>
      <c r="U76" s="11">
        <f ca="1">IFERROR(__xludf.DUMMYFUNCTION("ArrayFormula(VLOOKUP(G76, IMPORTRANGE(""https://docs.google.com/spreadsheets/d/1p7R4vtkWt5VOBim4ltsDG9KTzSjrtKXsMtQGXPHyND0/edit#gid=795171502"", ""'Filter 30_05_2024'!A1:M2000""), {2, 3, 4, 5,6,7,8,9,10,11,12,13}, 0))"),4)</f>
        <v>4</v>
      </c>
      <c r="V76" s="11">
        <f ca="1">IFERROR(__xludf.DUMMYFUNCTION("""COMPUTED_VALUE"""),3)</f>
        <v>3</v>
      </c>
      <c r="W76" s="11">
        <f ca="1">IFERROR(__xludf.DUMMYFUNCTION("""COMPUTED_VALUE"""),2)</f>
        <v>2</v>
      </c>
      <c r="X76" s="11">
        <f ca="1">IFERROR(__xludf.DUMMYFUNCTION("""COMPUTED_VALUE"""),9)</f>
        <v>9</v>
      </c>
      <c r="Y76" s="11">
        <f ca="1">IFERROR(__xludf.DUMMYFUNCTION("""COMPUTED_VALUE"""),4)</f>
        <v>4</v>
      </c>
      <c r="Z76" s="29">
        <f ca="1">IFERROR(__xludf.DUMMYFUNCTION("""COMPUTED_VALUE"""),2)</f>
        <v>2</v>
      </c>
      <c r="AA76" s="29">
        <f ca="1">IFERROR(__xludf.DUMMYFUNCTION("""COMPUTED_VALUE"""),1)</f>
        <v>1</v>
      </c>
      <c r="AB76" s="12">
        <f ca="1">IFERROR(__xludf.DUMMYFUNCTION("""COMPUTED_VALUE"""),7)</f>
        <v>7</v>
      </c>
      <c r="AC76" s="12"/>
      <c r="AD76" s="12"/>
      <c r="AE76" s="12"/>
      <c r="AF76" s="12"/>
      <c r="AG76" s="13" t="str">
        <f ca="1">IFERROR(__xludf.DUMMYFUNCTION("ArrayFormula(VLOOKUP(G76, IMPORTRANGE(""https://docs.google.com/spreadsheets/d/1Co934fvtviyaRiMsrIlT05Jaq7iiYq07aLvRr35KA48/edit?gid=173865642#gid=173865642"", ""'G6_Maths_Pri_LU'!G2:V2000""), {3, 4, 5, 6, 7, 8, 9, 10, 11, 12, 13, 14, 15, 16}, 0))"),"LU000017")</f>
        <v>LU000017</v>
      </c>
      <c r="AH76" s="13" t="str">
        <f ca="1">IFERROR(__xludf.DUMMYFUNCTION("""COMPUTED_VALUE"""),"Definition of a right angle")</f>
        <v>Definition of a right angle</v>
      </c>
      <c r="AI76" s="13" t="str">
        <f ca="1">IFERROR(__xludf.DUMMYFUNCTION("""COMPUTED_VALUE"""),"LU000228")</f>
        <v>LU000228</v>
      </c>
      <c r="AJ76" s="13" t="str">
        <f ca="1">IFERROR(__xludf.DUMMYFUNCTION("""COMPUTED_VALUE"""),"Parts of an angle")</f>
        <v>Parts of an angle</v>
      </c>
      <c r="AK76" s="13" t="str">
        <f ca="1">IFERROR(__xludf.DUMMYFUNCTION("""COMPUTED_VALUE"""),"LU000014")</f>
        <v>LU000014</v>
      </c>
      <c r="AL76" s="13" t="str">
        <f ca="1">IFERROR(__xludf.DUMMYFUNCTION("""COMPUTED_VALUE"""),"Definition of an angle")</f>
        <v>Definition of an angle</v>
      </c>
      <c r="AM76" s="13"/>
      <c r="AN76" s="13"/>
      <c r="AO76" s="13"/>
      <c r="AP76" s="13"/>
      <c r="AQ76" s="13"/>
      <c r="AR76" s="13"/>
      <c r="AS76" s="13"/>
      <c r="AT76" s="13"/>
    </row>
    <row r="77" spans="1:46">
      <c r="A77" s="8" t="s">
        <v>247</v>
      </c>
      <c r="B77" s="8" t="s">
        <v>47</v>
      </c>
      <c r="C77" s="8" t="s">
        <v>48</v>
      </c>
      <c r="D77" s="8" t="s">
        <v>49</v>
      </c>
      <c r="E77" s="8" t="s">
        <v>318</v>
      </c>
      <c r="F77" s="8" t="s">
        <v>326</v>
      </c>
      <c r="G77" s="8" t="s">
        <v>71</v>
      </c>
      <c r="H77" s="8" t="str">
        <f ca="1">IFERROR(__xludf.DUMMYFUNCTION("VLOOKUP(G77, IMPORTRANGE(""https://docs.google.com/spreadsheets/d/14deopnvwcrKtEGCKuYXdUHJbeLDZlkiSSWWT0g7x2pM/edit#gid=999382323"", ""LU List Maths (Filter)!A:B""), 2, FALSE)"),"Definition of a complete angle")</f>
        <v>Definition of a complete angle</v>
      </c>
      <c r="I77" s="10" t="str">
        <f t="shared" si="0"/>
        <v>LU000260.001</v>
      </c>
      <c r="J77" s="10" t="str">
        <f ca="1">IFERROR(__xludf.DUMMYFUNCTION("VLOOKUP(I77, IMPORTRANGE(""https://docs.google.com/spreadsheets/d/1yDAaXNsi4Mr5FtRQL4tbmSdIzhx6_m4wkOD7IG-k_eo/edit#gid=0"", ""Maths!M:N""), 2, FALSE)"),"Define a complete angle.")</f>
        <v>Define a complete angle.</v>
      </c>
      <c r="K77" s="10" t="str">
        <f t="shared" si="1"/>
        <v>LU000260.002</v>
      </c>
      <c r="L77" s="10" t="str">
        <f ca="1">IFERROR(__xludf.DUMMYFUNCTION("VLOOKUP(K77, IMPORTRANGE(""https://docs.google.com/spreadsheets/d/1yDAaXNsi4Mr5FtRQL4tbmSdIzhx6_m4wkOD7IG-k_eo/edit#gid=0"", ""Maths!M:N""), 2, FALSE)"),"Explain the concept of a complete angle in your own words, including its relation to right angles.")</f>
        <v>Explain the concept of a complete angle in your own words, including its relation to right angles.</v>
      </c>
      <c r="M77" s="10" t="str">
        <f t="shared" si="2"/>
        <v>LU000260.003</v>
      </c>
      <c r="N77" s="10" t="str">
        <f ca="1">IFERROR(__xludf.DUMMYFUNCTION("VLOOKUP(M77, IMPORTRANGE(""https://docs.google.com/spreadsheets/d/1yDAaXNsi4Mr5FtRQL4tbmSdIzhx6_m4wkOD7IG-k_eo/edit#gid=0"", ""Maths!M:N""), 2, FALSE)"),"Given a geometric figure, identify and classify complete angles within it.")</f>
        <v>Given a geometric figure, identify and classify complete angles within it.</v>
      </c>
      <c r="O77" s="10" t="str">
        <f t="shared" si="3"/>
        <v>LU000260.004</v>
      </c>
      <c r="P77" s="10" t="str">
        <f ca="1">IFERROR(__xludf.DUMMYFUNCTION("VLOOKUP(O77, IMPORTRANGE(""https://docs.google.com/spreadsheets/d/1yDAaXNsi4Mr5FtRQL4tbmSdIzhx6_m4wkOD7IG-k_eo/edit#gid=0"", ""Maths!M:N""), 2, FALSE)"),"Analyse different types of angles, including complete angles, and compare their properties.")</f>
        <v>Analyse different types of angles, including complete angles, and compare their properties.</v>
      </c>
      <c r="Q77" s="10" t="str">
        <f t="shared" si="4"/>
        <v>LU000260.005</v>
      </c>
      <c r="R77" s="10" t="str">
        <f ca="1">IFERROR(__xludf.DUMMYFUNCTION("VLOOKUP(Q77, IMPORTRANGE(""https://docs.google.com/spreadsheets/d/1yDAaXNsi4Mr5FtRQL4tbmSdIzhx6_m4wkOD7IG-k_eo/edit#gid=0"", ""Maths!M:N""), 2, FALSE)"),"Critique the importance of understanding complete angle angles in geometry and its relevance to solving practical problems.")</f>
        <v>Critique the importance of understanding complete angle angles in geometry and its relevance to solving practical problems.</v>
      </c>
      <c r="S77" s="10" t="str">
        <f t="shared" si="5"/>
        <v>LU000260.006</v>
      </c>
      <c r="T77" s="10" t="str">
        <f ca="1">IFERROR(__xludf.DUMMYFUNCTION("VLOOKUP(S77, IMPORTRANGE(""https://docs.google.com/spreadsheets/d/1yDAaXNsi4Mr5FtRQL4tbmSdIzhx6_m4wkOD7IG-k_eo/edit#gid=0"", ""Maths!M:N""), 2, FALSE)"),"Create diagrams showcasing examples of a complete angle.")</f>
        <v>Create diagrams showcasing examples of a complete angle.</v>
      </c>
      <c r="U77" s="11">
        <f ca="1">IFERROR(__xludf.DUMMYFUNCTION("ArrayFormula(VLOOKUP(G77, IMPORTRANGE(""https://docs.google.com/spreadsheets/d/1p7R4vtkWt5VOBim4ltsDG9KTzSjrtKXsMtQGXPHyND0/edit#gid=795171502"", ""'Filter 30_05_2024'!A1:M2000""), {2, 3, 4, 5,6,7,8,9,10,11,12,13}, 0))"),4)</f>
        <v>4</v>
      </c>
      <c r="V77" s="11">
        <f ca="1">IFERROR(__xludf.DUMMYFUNCTION("""COMPUTED_VALUE"""),6)</f>
        <v>6</v>
      </c>
      <c r="W77" s="11">
        <f ca="1">IFERROR(__xludf.DUMMYFUNCTION("""COMPUTED_VALUE"""),2)</f>
        <v>2</v>
      </c>
      <c r="X77" s="11">
        <f ca="1">IFERROR(__xludf.DUMMYFUNCTION("""COMPUTED_VALUE"""),12)</f>
        <v>12</v>
      </c>
      <c r="Y77" s="11">
        <f ca="1">IFERROR(__xludf.DUMMYFUNCTION("""COMPUTED_VALUE"""),4)</f>
        <v>4</v>
      </c>
      <c r="Z77" s="29">
        <f ca="1">IFERROR(__xludf.DUMMYFUNCTION("""COMPUTED_VALUE"""),3)</f>
        <v>3</v>
      </c>
      <c r="AA77" s="29">
        <f ca="1">IFERROR(__xludf.DUMMYFUNCTION("""COMPUTED_VALUE"""),1)</f>
        <v>1</v>
      </c>
      <c r="AB77" s="12">
        <f ca="1">IFERROR(__xludf.DUMMYFUNCTION("""COMPUTED_VALUE"""),8)</f>
        <v>8</v>
      </c>
      <c r="AC77" s="12"/>
      <c r="AD77" s="12"/>
      <c r="AE77" s="12"/>
      <c r="AF77" s="12"/>
      <c r="AG77" s="13" t="str">
        <f ca="1">IFERROR(__xludf.DUMMYFUNCTION("ArrayFormula(VLOOKUP(G77, IMPORTRANGE(""https://docs.google.com/spreadsheets/d/1Co934fvtviyaRiMsrIlT05Jaq7iiYq07aLvRr35KA48/edit?gid=173865642#gid=173865642"", ""'G6_Maths_Pri_LU'!G2:V2000""), {3, 4, 5, 6, 7, 8, 9, 10, 11, 12, 13, 14, 15, 16}, 0))"),"LU000017")</f>
        <v>LU000017</v>
      </c>
      <c r="AH77" s="13" t="str">
        <f ca="1">IFERROR(__xludf.DUMMYFUNCTION("""COMPUTED_VALUE"""),"Definition of a right angle")</f>
        <v>Definition of a right angle</v>
      </c>
      <c r="AI77" s="13" t="str">
        <f ca="1">IFERROR(__xludf.DUMMYFUNCTION("""COMPUTED_VALUE"""),"LU000259")</f>
        <v>LU000259</v>
      </c>
      <c r="AJ77" s="13" t="str">
        <f ca="1">IFERROR(__xludf.DUMMYFUNCTION("""COMPUTED_VALUE"""),"Definition of a straight angle")</f>
        <v>Definition of a straight angle</v>
      </c>
      <c r="AK77" s="13" t="str">
        <f ca="1">IFERROR(__xludf.DUMMYFUNCTION("""COMPUTED_VALUE"""),"LU000228")</f>
        <v>LU000228</v>
      </c>
      <c r="AL77" s="13" t="str">
        <f ca="1">IFERROR(__xludf.DUMMYFUNCTION("""COMPUTED_VALUE"""),"Parts of an angle")</f>
        <v>Parts of an angle</v>
      </c>
      <c r="AM77" s="13" t="str">
        <f ca="1">IFERROR(__xludf.DUMMYFUNCTION("""COMPUTED_VALUE"""),"LU000014")</f>
        <v>LU000014</v>
      </c>
      <c r="AN77" s="13" t="str">
        <f ca="1">IFERROR(__xludf.DUMMYFUNCTION("""COMPUTED_VALUE"""),"Definition of an angle")</f>
        <v>Definition of an angle</v>
      </c>
      <c r="AO77" s="13"/>
      <c r="AP77" s="13"/>
      <c r="AQ77" s="13"/>
      <c r="AR77" s="13"/>
      <c r="AS77" s="13"/>
      <c r="AT77" s="13"/>
    </row>
    <row r="78" spans="1:46">
      <c r="A78" s="8" t="s">
        <v>247</v>
      </c>
      <c r="B78" s="9" t="s">
        <v>47</v>
      </c>
      <c r="C78" s="9" t="s">
        <v>48</v>
      </c>
      <c r="D78" s="9" t="s">
        <v>49</v>
      </c>
      <c r="E78" s="9" t="s">
        <v>318</v>
      </c>
      <c r="F78" s="9" t="s">
        <v>72</v>
      </c>
      <c r="G78" s="9" t="s">
        <v>327</v>
      </c>
      <c r="H78" s="9" t="str">
        <f ca="1">IFERROR(__xludf.DUMMYFUNCTION("VLOOKUP(G78, IMPORTRANGE(""https://docs.google.com/spreadsheets/d/14deopnvwcrKtEGCKuYXdUHJbeLDZlkiSSWWT0g7x2pM/edit#gid=999382323"", ""LU List Maths (Filter)!A:B""), 2, FALSE)"),"Relationship between revolution and right angles")</f>
        <v>Relationship between revolution and right angles</v>
      </c>
      <c r="I78" s="18" t="str">
        <f t="shared" si="0"/>
        <v>LU000240.001</v>
      </c>
      <c r="J78" s="18" t="str">
        <f ca="1">IFERROR(__xludf.DUMMYFUNCTION("VLOOKUP(I78, IMPORTRANGE(""https://docs.google.com/spreadsheets/d/1yDAaXNsi4Mr5FtRQL4tbmSdIzhx6_m4wkOD7IG-k_eo/edit#gid=0"", ""Maths!M:N""), 2, FALSE)"),"Recall the concept of a right angle.")</f>
        <v>Recall the concept of a right angle.</v>
      </c>
      <c r="K78" s="18" t="str">
        <f t="shared" si="1"/>
        <v>LU000240.002</v>
      </c>
      <c r="L78" s="18" t="str">
        <f ca="1">IFERROR(__xludf.DUMMYFUNCTION("VLOOKUP(K78, IMPORTRANGE(""https://docs.google.com/spreadsheets/d/1yDAaXNsi4Mr5FtRQL4tbmSdIzhx6_m4wkOD7IG-k_eo/edit#gid=0"", ""Maths!M:N""), 2, FALSE)"),"Explain the relation between revolution and right angles.")</f>
        <v>Explain the relation between revolution and right angles.</v>
      </c>
      <c r="M78" s="18" t="str">
        <f t="shared" si="2"/>
        <v>LU000240.003</v>
      </c>
      <c r="N78" s="18" t="str">
        <f ca="1">IFERROR(__xludf.DUMMYFUNCTION("VLOOKUP(M78, IMPORTRANGE(""https://docs.google.com/spreadsheets/d/1yDAaXNsi4Mr5FtRQL4tbmSdIzhx6_m4wkOD7IG-k_eo/edit#gid=0"", ""Maths!M:N""), 2, FALSE)"),"
Find the number of right angles in revolutions on a clock.")</f>
        <v xml:space="preserve">
Find the number of right angles in revolutions on a clock.</v>
      </c>
      <c r="O78" s="18" t="str">
        <f t="shared" si="3"/>
        <v>LU000240.004</v>
      </c>
      <c r="P78" s="18" t="str">
        <f ca="1">IFERROR(__xludf.DUMMYFUNCTION("VLOOKUP(O78, IMPORTRANGE(""https://docs.google.com/spreadsheets/d/1yDAaXNsi4Mr5FtRQL4tbmSdIzhx6_m4wkOD7IG-k_eo/edit#gid=0"", ""Maths!M:N""), 2, FALSE)"),"Analyse clockwise and anti-clockwise rotations to find the number of right angles involved.")</f>
        <v>Analyse clockwise and anti-clockwise rotations to find the number of right angles involved.</v>
      </c>
      <c r="Q78" s="18" t="str">
        <f t="shared" si="4"/>
        <v>LU000240.005</v>
      </c>
      <c r="R78" s="18" t="str">
        <f ca="1">IFERROR(__xludf.DUMMYFUNCTION("VLOOKUP(Q78, IMPORTRANGE(""https://docs.google.com/spreadsheets/d/1yDAaXNsi4Mr5FtRQL4tbmSdIzhx6_m4wkOD7IG-k_eo/edit#gid=0"", ""Maths!M:N""), 2, FALSE)"),"#N/A")</f>
        <v>#N/A</v>
      </c>
      <c r="S78" s="18" t="str">
        <f t="shared" si="5"/>
        <v>LU000240.006</v>
      </c>
      <c r="T78" s="18" t="str">
        <f ca="1">IFERROR(__xludf.DUMMYFUNCTION("VLOOKUP(S78, IMPORTRANGE(""https://docs.google.com/spreadsheets/d/1yDAaXNsi4Mr5FtRQL4tbmSdIzhx6_m4wkOD7IG-k_eo/edit#gid=0"", ""Maths!M:N""), 2, FALSE)"),"Create visual representations illustrating the connection between revolutions, right angles, and rotations.")</f>
        <v>Create visual representations illustrating the connection between revolutions, right angles, and rotations.</v>
      </c>
      <c r="U78" s="11">
        <f ca="1">IFERROR(__xludf.DUMMYFUNCTION("ArrayFormula(VLOOKUP(G78, IMPORTRANGE(""https://docs.google.com/spreadsheets/d/1p7R4vtkWt5VOBim4ltsDG9KTzSjrtKXsMtQGXPHyND0/edit#gid=795171502"", ""'Filter 30_05_2024'!A1:M2000""), {2, 3, 4, 5,6,7,8,9,10,11,12,13}, 0))"),4)</f>
        <v>4</v>
      </c>
      <c r="V78" s="11">
        <f ca="1">IFERROR(__xludf.DUMMYFUNCTION("""COMPUTED_VALUE"""),8)</f>
        <v>8</v>
      </c>
      <c r="W78" s="11">
        <f ca="1">IFERROR(__xludf.DUMMYFUNCTION("""COMPUTED_VALUE"""),2)</f>
        <v>2</v>
      </c>
      <c r="X78" s="11">
        <f ca="1">IFERROR(__xludf.DUMMYFUNCTION("""COMPUTED_VALUE"""),14)</f>
        <v>14</v>
      </c>
      <c r="Y78" s="11">
        <f ca="1">IFERROR(__xludf.DUMMYFUNCTION("""COMPUTED_VALUE"""),1)</f>
        <v>1</v>
      </c>
      <c r="Z78" s="29">
        <f ca="1">IFERROR(__xludf.DUMMYFUNCTION("""COMPUTED_VALUE"""),4)</f>
        <v>4</v>
      </c>
      <c r="AA78" s="29">
        <f ca="1">IFERROR(__xludf.DUMMYFUNCTION("""COMPUTED_VALUE"""),2)</f>
        <v>2</v>
      </c>
      <c r="AB78" s="29">
        <f ca="1">IFERROR(__xludf.DUMMYFUNCTION("""COMPUTED_VALUE"""),7)</f>
        <v>7</v>
      </c>
      <c r="AC78" s="29"/>
      <c r="AD78" s="29"/>
      <c r="AE78" s="29"/>
      <c r="AF78" s="29"/>
      <c r="AG78" s="13" t="str">
        <f ca="1">IFERROR(__xludf.DUMMYFUNCTION("ArrayFormula(VLOOKUP(G78, IMPORTRANGE(""https://docs.google.com/spreadsheets/d/1Co934fvtviyaRiMsrIlT05Jaq7iiYq07aLvRr35KA48/edit?gid=173865642#gid=173865642"", ""'G6_Maths_Pri_LU'!G2:V2000""), {3, 4, 5, 6, 7, 8, 9, 10, 11, 12, 13, 14, 15, 16}, 0))"),"LU000017")</f>
        <v>LU000017</v>
      </c>
      <c r="AH78" s="22" t="str">
        <f ca="1">IFERROR(__xludf.DUMMYFUNCTION("""COMPUTED_VALUE"""),"Definition of a right angle")</f>
        <v>Definition of a right angle</v>
      </c>
      <c r="AI78" s="22" t="str">
        <f ca="1">IFERROR(__xludf.DUMMYFUNCTION("""COMPUTED_VALUE"""),"LU000228")</f>
        <v>LU000228</v>
      </c>
      <c r="AJ78" s="22" t="str">
        <f ca="1">IFERROR(__xludf.DUMMYFUNCTION("""COMPUTED_VALUE"""),"Parts of an angle")</f>
        <v>Parts of an angle</v>
      </c>
      <c r="AK78" s="22" t="str">
        <f ca="1">IFERROR(__xludf.DUMMYFUNCTION("""COMPUTED_VALUE"""),"LU000014")</f>
        <v>LU000014</v>
      </c>
      <c r="AL78" s="22" t="str">
        <f ca="1">IFERROR(__xludf.DUMMYFUNCTION("""COMPUTED_VALUE"""),"Definition of an angle")</f>
        <v>Definition of an angle</v>
      </c>
      <c r="AM78" s="22"/>
      <c r="AN78" s="22"/>
      <c r="AO78" s="22"/>
      <c r="AP78" s="22"/>
      <c r="AQ78" s="22"/>
      <c r="AR78" s="22"/>
      <c r="AS78" s="22"/>
      <c r="AT78" s="22"/>
    </row>
    <row r="79" spans="1:46">
      <c r="A79" s="8" t="s">
        <v>247</v>
      </c>
      <c r="B79" s="8" t="s">
        <v>47</v>
      </c>
      <c r="C79" s="8" t="s">
        <v>48</v>
      </c>
      <c r="D79" s="8" t="s">
        <v>49</v>
      </c>
      <c r="E79" s="8" t="s">
        <v>318</v>
      </c>
      <c r="F79" s="9" t="s">
        <v>72</v>
      </c>
      <c r="G79" s="8" t="s">
        <v>73</v>
      </c>
      <c r="H79" s="8" t="str">
        <f ca="1">IFERROR(__xludf.DUMMYFUNCTION("VLOOKUP(G79, IMPORTRANGE(""https://docs.google.com/spreadsheets/d/14deopnvwcrKtEGCKuYXdUHJbeLDZlkiSSWWT0g7x2pM/edit#gid=999382323"", ""LU List Maths (Filter)!A:B""), 2, FALSE)"),"Relationship between right angles, straight angles, and complete angles")</f>
        <v>Relationship between right angles, straight angles, and complete angles</v>
      </c>
      <c r="I79" s="10" t="str">
        <f t="shared" si="0"/>
        <v>LU000241.001</v>
      </c>
      <c r="J79" s="10" t="str">
        <f ca="1">IFERROR(__xludf.DUMMYFUNCTION("VLOOKUP(I79, IMPORTRANGE(""https://docs.google.com/spreadsheets/d/1yDAaXNsi4Mr5FtRQL4tbmSdIzhx6_m4wkOD7IG-k_eo/edit#gid=0"", ""Maths!M:N""), 2, FALSE)"),"Recall definitions of right angles, straight angles, and complete angles.")</f>
        <v>Recall definitions of right angles, straight angles, and complete angles.</v>
      </c>
      <c r="K79" s="10" t="str">
        <f t="shared" si="1"/>
        <v>LU000241.002</v>
      </c>
      <c r="L79" s="10" t="str">
        <f ca="1">IFERROR(__xludf.DUMMYFUNCTION("VLOOKUP(K79, IMPORTRANGE(""https://docs.google.com/spreadsheets/d/1yDAaXNsi4Mr5FtRQL4tbmSdIzhx6_m4wkOD7IG-k_eo/edit#gid=0"", ""Maths!M:N""), 2, FALSE)"),"Explain how right angles combine to form a straight angle and complete angle.")</f>
        <v>Explain how right angles combine to form a straight angle and complete angle.</v>
      </c>
      <c r="M79" s="10" t="str">
        <f t="shared" si="2"/>
        <v>LU000241.003</v>
      </c>
      <c r="N79" s="10" t="str">
        <f ca="1">IFERROR(__xludf.DUMMYFUNCTION("VLOOKUP(M79, IMPORTRANGE(""https://docs.google.com/spreadsheets/d/1yDAaXNsi4Mr5FtRQL4tbmSdIzhx6_m4wkOD7IG-k_eo/edit#gid=0"", ""Maths!M:N""), 2, FALSE)"),"Find the number of right/ straight angles in straight/complete angles in geometric shapes.")</f>
        <v>Find the number of right/ straight angles in straight/complete angles in geometric shapes.</v>
      </c>
      <c r="O79" s="10" t="str">
        <f t="shared" si="3"/>
        <v>LU000241.004</v>
      </c>
      <c r="P79" s="10" t="str">
        <f ca="1">IFERROR(__xludf.DUMMYFUNCTION("VLOOKUP(O79, IMPORTRANGE(""https://docs.google.com/spreadsheets/d/1yDAaXNsi4Mr5FtRQL4tbmSdIzhx6_m4wkOD7IG-k_eo/edit#gid=0"", ""Maths!M:N""), 2, FALSE)"),"Analyse the relationship between right angles, straight angles, and complete angles in various geometric configurations.")</f>
        <v>Analyse the relationship between right angles, straight angles, and complete angles in various geometric configurations.</v>
      </c>
      <c r="Q79" s="10" t="str">
        <f t="shared" si="4"/>
        <v>LU000241.005</v>
      </c>
      <c r="R79" s="10" t="str">
        <f ca="1">IFERROR(__xludf.DUMMYFUNCTION("VLOOKUP(Q79, IMPORTRANGE(""https://docs.google.com/spreadsheets/d/1yDAaXNsi4Mr5FtRQL4tbmSdIzhx6_m4wkOD7IG-k_eo/edit#gid=0"", ""Maths!M:N""), 2, FALSE)"),"Evaluate the significance of understanding the interrelation of angles in practical situations.")</f>
        <v>Evaluate the significance of understanding the interrelation of angles in practical situations.</v>
      </c>
      <c r="S79" s="10" t="str">
        <f t="shared" si="5"/>
        <v>LU000241.006</v>
      </c>
      <c r="T79" s="10" t="str">
        <f ca="1">IFERROR(__xludf.DUMMYFUNCTION("VLOOKUP(S79, IMPORTRANGE(""https://docs.google.com/spreadsheets/d/1yDAaXNsi4Mr5FtRQL4tbmSdIzhx6_m4wkOD7IG-k_eo/edit#gid=0"", ""Maths!M:N""), 2, FALSE)"),"Construct visual models depicting the progression from right angles to complete angles in geometrical figures.")</f>
        <v>Construct visual models depicting the progression from right angles to complete angles in geometrical figures.</v>
      </c>
      <c r="U79" s="11">
        <f ca="1">IFERROR(__xludf.DUMMYFUNCTION("ArrayFormula(VLOOKUP(G79, IMPORTRANGE(""https://docs.google.com/spreadsheets/d/1p7R4vtkWt5VOBim4ltsDG9KTzSjrtKXsMtQGXPHyND0/edit#gid=795171502"", ""'Filter 30_05_2024'!A1:M2000""), {2, 3, 4, 5,6,7,8,9,10,11,12,13}, 0))"),7)</f>
        <v>7</v>
      </c>
      <c r="V79" s="11">
        <f ca="1">IFERROR(__xludf.DUMMYFUNCTION("""COMPUTED_VALUE"""),4)</f>
        <v>4</v>
      </c>
      <c r="W79" s="11">
        <f ca="1">IFERROR(__xludf.DUMMYFUNCTION("""COMPUTED_VALUE"""),2)</f>
        <v>2</v>
      </c>
      <c r="X79" s="11">
        <f ca="1">IFERROR(__xludf.DUMMYFUNCTION("""COMPUTED_VALUE"""),13)</f>
        <v>13</v>
      </c>
      <c r="Y79" s="11">
        <f ca="1">IFERROR(__xludf.DUMMYFUNCTION("""COMPUTED_VALUE"""),4)</f>
        <v>4</v>
      </c>
      <c r="Z79" s="29">
        <f ca="1">IFERROR(__xludf.DUMMYFUNCTION("""COMPUTED_VALUE"""),3)</f>
        <v>3</v>
      </c>
      <c r="AA79" s="29">
        <f ca="1">IFERROR(__xludf.DUMMYFUNCTION("""COMPUTED_VALUE"""),1)</f>
        <v>1</v>
      </c>
      <c r="AB79" s="12">
        <f ca="1">IFERROR(__xludf.DUMMYFUNCTION("""COMPUTED_VALUE"""),8)</f>
        <v>8</v>
      </c>
      <c r="AC79" s="12"/>
      <c r="AD79" s="12"/>
      <c r="AE79" s="12"/>
      <c r="AF79" s="12"/>
      <c r="AG79" s="13" t="str">
        <f ca="1">IFERROR(__xludf.DUMMYFUNCTION("ArrayFormula(VLOOKUP(G79, IMPORTRANGE(""https://docs.google.com/spreadsheets/d/1Co934fvtviyaRiMsrIlT05Jaq7iiYq07aLvRr35KA48/edit?gid=173865642#gid=173865642"", ""'G6_Maths_Pri_LU'!G2:V2000""), {3, 4, 5, 6, 7, 8, 9, 10, 11, 12, 13, 14, 15, 16}, 0))"),"LU000259")</f>
        <v>LU000259</v>
      </c>
      <c r="AH79" s="13" t="str">
        <f ca="1">IFERROR(__xludf.DUMMYFUNCTION("""COMPUTED_VALUE"""),"Definition of a straight angle")</f>
        <v>Definition of a straight angle</v>
      </c>
      <c r="AI79" s="13" t="str">
        <f ca="1">IFERROR(__xludf.DUMMYFUNCTION("""COMPUTED_VALUE"""),"LU000260")</f>
        <v>LU000260</v>
      </c>
      <c r="AJ79" s="13" t="str">
        <f ca="1">IFERROR(__xludf.DUMMYFUNCTION("""COMPUTED_VALUE"""),"Definition of a complete angle")</f>
        <v>Definition of a complete angle</v>
      </c>
      <c r="AK79" s="13" t="str">
        <f ca="1">IFERROR(__xludf.DUMMYFUNCTION("""COMPUTED_VALUE"""),"LU000017")</f>
        <v>LU000017</v>
      </c>
      <c r="AL79" s="13" t="str">
        <f ca="1">IFERROR(__xludf.DUMMYFUNCTION("""COMPUTED_VALUE"""),"Definition of a right angle")</f>
        <v>Definition of a right angle</v>
      </c>
      <c r="AM79" s="13" t="str">
        <f ca="1">IFERROR(__xludf.DUMMYFUNCTION("""COMPUTED_VALUE"""),"LU000228")</f>
        <v>LU000228</v>
      </c>
      <c r="AN79" s="13" t="str">
        <f ca="1">IFERROR(__xludf.DUMMYFUNCTION("""COMPUTED_VALUE"""),"Parts of an angle")</f>
        <v>Parts of an angle</v>
      </c>
      <c r="AO79" s="13" t="str">
        <f ca="1">IFERROR(__xludf.DUMMYFUNCTION("""COMPUTED_VALUE"""),"LU000014")</f>
        <v>LU000014</v>
      </c>
      <c r="AP79" s="13" t="str">
        <f ca="1">IFERROR(__xludf.DUMMYFUNCTION("""COMPUTED_VALUE"""),"Definition of an angle")</f>
        <v>Definition of an angle</v>
      </c>
      <c r="AQ79" s="13"/>
      <c r="AR79" s="13"/>
      <c r="AS79" s="13"/>
      <c r="AT79" s="13"/>
    </row>
    <row r="80" spans="1:46">
      <c r="A80" s="8" t="s">
        <v>247</v>
      </c>
      <c r="B80" s="8" t="s">
        <v>47</v>
      </c>
      <c r="C80" s="8" t="s">
        <v>48</v>
      </c>
      <c r="D80" s="8" t="s">
        <v>49</v>
      </c>
      <c r="E80" s="8" t="s">
        <v>318</v>
      </c>
      <c r="F80" s="8" t="s">
        <v>79</v>
      </c>
      <c r="G80" s="8" t="s">
        <v>80</v>
      </c>
      <c r="H80" s="8" t="str">
        <f ca="1">IFERROR(__xludf.DUMMYFUNCTION("VLOOKUP(G80, IMPORTRANGE(""https://docs.google.com/spreadsheets/d/14deopnvwcrKtEGCKuYXdUHJbeLDZlkiSSWWT0g7x2pM/edit#gid=999382323"", ""LU List Maths (Filter)!A:B""), 2, FALSE)"),"Definition of an acute angle")</f>
        <v>Definition of an acute angle</v>
      </c>
      <c r="I80" s="10" t="str">
        <f t="shared" si="0"/>
        <v>LU000242.001</v>
      </c>
      <c r="J80" s="10" t="str">
        <f ca="1">IFERROR(__xludf.DUMMYFUNCTION("VLOOKUP(I80, IMPORTRANGE(""https://docs.google.com/spreadsheets/d/1yDAaXNsi4Mr5FtRQL4tbmSdIzhx6_m4wkOD7IG-k_eo/edit#gid=0"", ""Maths!M:N""), 2, FALSE)"),"Define an acute angle.")</f>
        <v>Define an acute angle.</v>
      </c>
      <c r="K80" s="10" t="str">
        <f t="shared" si="1"/>
        <v>LU000242.002</v>
      </c>
      <c r="L80" s="10" t="str">
        <f ca="1">IFERROR(__xludf.DUMMYFUNCTION("VLOOKUP(K80, IMPORTRANGE(""https://docs.google.com/spreadsheets/d/1yDAaXNsi4Mr5FtRQL4tbmSdIzhx6_m4wkOD7IG-k_eo/edit#gid=0"", ""Maths!M:N""), 2, FALSE)"),"Explain the concept of an acute angle in your own words, including its relation to right angles.")</f>
        <v>Explain the concept of an acute angle in your own words, including its relation to right angles.</v>
      </c>
      <c r="M80" s="10" t="str">
        <f t="shared" si="2"/>
        <v>LU000242.003</v>
      </c>
      <c r="N80" s="10" t="str">
        <f ca="1">IFERROR(__xludf.DUMMYFUNCTION("VLOOKUP(M80, IMPORTRANGE(""https://docs.google.com/spreadsheets/d/1yDAaXNsi4Mr5FtRQL4tbmSdIzhx6_m4wkOD7IG-k_eo/edit#gid=0"", ""Maths!M:N""), 2, FALSE)"),"Use knowledge of acute angles to identify and measure them in geometric figures or objects in the environment.")</f>
        <v>Use knowledge of acute angles to identify and measure them in geometric figures or objects in the environment.</v>
      </c>
      <c r="O80" s="10" t="str">
        <f t="shared" si="3"/>
        <v>LU000242.004</v>
      </c>
      <c r="P80" s="10" t="str">
        <f ca="1">IFERROR(__xludf.DUMMYFUNCTION("VLOOKUP(O80, IMPORTRANGE(""https://docs.google.com/spreadsheets/d/1yDAaXNsi4Mr5FtRQL4tbmSdIzhx6_m4wkOD7IG-k_eo/edit#gid=0"", ""Maths!M:N""), 2, FALSE)"),"Analyse geometric figures to identify acute angles within them.")</f>
        <v>Analyse geometric figures to identify acute angles within them.</v>
      </c>
      <c r="Q80" s="10" t="str">
        <f t="shared" si="4"/>
        <v>LU000242.005</v>
      </c>
      <c r="R80" s="10" t="str">
        <f ca="1">IFERROR(__xludf.DUMMYFUNCTION("VLOOKUP(Q80, IMPORTRANGE(""https://docs.google.com/spreadsheets/d/1yDAaXNsi4Mr5FtRQL4tbmSdIzhx6_m4wkOD7IG-k_eo/edit#gid=0"", ""Maths!M:N""), 2, FALSE)"),"Critique the importance of understanding acute angles in geometry and its relevance to solving practical problems.")</f>
        <v>Critique the importance of understanding acute angles in geometry and its relevance to solving practical problems.</v>
      </c>
      <c r="S80" s="10" t="str">
        <f t="shared" si="5"/>
        <v>LU000242.006</v>
      </c>
      <c r="T80" s="10" t="str">
        <f ca="1">IFERROR(__xludf.DUMMYFUNCTION("VLOOKUP(S80, IMPORTRANGE(""https://docs.google.com/spreadsheets/d/1yDAaXNsi4Mr5FtRQL4tbmSdIzhx6_m4wkOD7IG-k_eo/edit#gid=0"", ""Maths!M:N""), 2, FALSE)"),"Create diagrams showcasing examples of an acute.")</f>
        <v>Create diagrams showcasing examples of an acute.</v>
      </c>
      <c r="U80" s="11">
        <f ca="1">IFERROR(__xludf.DUMMYFUNCTION("ArrayFormula(VLOOKUP(G80, IMPORTRANGE(""https://docs.google.com/spreadsheets/d/1p7R4vtkWt5VOBim4ltsDG9KTzSjrtKXsMtQGXPHyND0/edit#gid=795171502"", ""'Filter 30_05_2024'!A1:M2000""), {2, 3, 4, 5,6,7,8,9,10,11,12,13}, 0))"),4)</f>
        <v>4</v>
      </c>
      <c r="V80" s="11">
        <f ca="1">IFERROR(__xludf.DUMMYFUNCTION("""COMPUTED_VALUE"""),4)</f>
        <v>4</v>
      </c>
      <c r="W80" s="11">
        <f ca="1">IFERROR(__xludf.DUMMYFUNCTION("""COMPUTED_VALUE"""),2)</f>
        <v>2</v>
      </c>
      <c r="X80" s="11">
        <f ca="1">IFERROR(__xludf.DUMMYFUNCTION("""COMPUTED_VALUE"""),10)</f>
        <v>10</v>
      </c>
      <c r="Y80" s="11">
        <f ca="1">IFERROR(__xludf.DUMMYFUNCTION("""COMPUTED_VALUE"""),4)</f>
        <v>4</v>
      </c>
      <c r="Z80" s="29">
        <f ca="1">IFERROR(__xludf.DUMMYFUNCTION("""COMPUTED_VALUE"""),5)</f>
        <v>5</v>
      </c>
      <c r="AA80" s="29">
        <f ca="1">IFERROR(__xludf.DUMMYFUNCTION("""COMPUTED_VALUE"""),1)</f>
        <v>1</v>
      </c>
      <c r="AB80" s="12">
        <f ca="1">IFERROR(__xludf.DUMMYFUNCTION("""COMPUTED_VALUE"""),10)</f>
        <v>10</v>
      </c>
      <c r="AC80" s="12"/>
      <c r="AD80" s="12"/>
      <c r="AE80" s="12"/>
      <c r="AF80" s="12"/>
      <c r="AG80" s="13" t="str">
        <f ca="1">IFERROR(__xludf.DUMMYFUNCTION("ArrayFormula(VLOOKUP(G80, IMPORTRANGE(""https://docs.google.com/spreadsheets/d/1Co934fvtviyaRiMsrIlT05Jaq7iiYq07aLvRr35KA48/edit?gid=173865642#gid=173865642"", ""'G6_Maths_Pri_LU'!G2:V2000""), {3, 4, 5, 6, 7, 8, 9, 10, 11, 12, 13, 14, 15, 16}, 0))"),"LU000017")</f>
        <v>LU000017</v>
      </c>
      <c r="AH80" s="13" t="str">
        <f ca="1">IFERROR(__xludf.DUMMYFUNCTION("""COMPUTED_VALUE"""),"Definition of a right angle")</f>
        <v>Definition of a right angle</v>
      </c>
      <c r="AI80" s="13" t="str">
        <f ca="1">IFERROR(__xludf.DUMMYFUNCTION("""COMPUTED_VALUE"""),"LU000228")</f>
        <v>LU000228</v>
      </c>
      <c r="AJ80" s="13" t="str">
        <f ca="1">IFERROR(__xludf.DUMMYFUNCTION("""COMPUTED_VALUE"""),"Parts of an angle")</f>
        <v>Parts of an angle</v>
      </c>
      <c r="AK80" s="13" t="str">
        <f ca="1">IFERROR(__xludf.DUMMYFUNCTION("""COMPUTED_VALUE"""),"LU000024")</f>
        <v>LU000024</v>
      </c>
      <c r="AL80" s="13" t="str">
        <f ca="1">IFERROR(__xludf.DUMMYFUNCTION("""COMPUTED_VALUE"""),"Definition of degree as unit to measure an angle")</f>
        <v>Definition of degree as unit to measure an angle</v>
      </c>
      <c r="AM80" s="13"/>
      <c r="AN80" s="13"/>
      <c r="AO80" s="13"/>
      <c r="AP80" s="13"/>
      <c r="AQ80" s="13"/>
      <c r="AR80" s="13"/>
      <c r="AS80" s="13"/>
      <c r="AT80" s="13"/>
    </row>
    <row r="81" spans="1:46">
      <c r="A81" s="8" t="s">
        <v>247</v>
      </c>
      <c r="B81" s="8" t="s">
        <v>47</v>
      </c>
      <c r="C81" s="8" t="s">
        <v>48</v>
      </c>
      <c r="D81" s="8" t="s">
        <v>49</v>
      </c>
      <c r="E81" s="8" t="s">
        <v>318</v>
      </c>
      <c r="F81" s="8" t="s">
        <v>79</v>
      </c>
      <c r="G81" s="8" t="s">
        <v>81</v>
      </c>
      <c r="H81" s="8" t="str">
        <f ca="1">IFERROR(__xludf.DUMMYFUNCTION("VLOOKUP(G81, IMPORTRANGE(""https://docs.google.com/spreadsheets/d/14deopnvwcrKtEGCKuYXdUHJbeLDZlkiSSWWT0g7x2pM/edit#gid=999382323"", ""LU List Maths (Filter)!A:B""), 2, FALSE)"),"Definition of an obtuse angle")</f>
        <v>Definition of an obtuse angle</v>
      </c>
      <c r="I81" s="10" t="str">
        <f t="shared" si="0"/>
        <v>LU000257.001</v>
      </c>
      <c r="J81" s="10" t="str">
        <f ca="1">IFERROR(__xludf.DUMMYFUNCTION("VLOOKUP(I81, IMPORTRANGE(""https://docs.google.com/spreadsheets/d/1yDAaXNsi4Mr5FtRQL4tbmSdIzhx6_m4wkOD7IG-k_eo/edit#gid=0"", ""Maths!M:N""), 2, FALSE)"),"Define an obtuse angle.")</f>
        <v>Define an obtuse angle.</v>
      </c>
      <c r="K81" s="10" t="str">
        <f t="shared" si="1"/>
        <v>LU000257.002</v>
      </c>
      <c r="L81" s="10" t="str">
        <f ca="1">IFERROR(__xludf.DUMMYFUNCTION("VLOOKUP(K81, IMPORTRANGE(""https://docs.google.com/spreadsheets/d/1yDAaXNsi4Mr5FtRQL4tbmSdIzhx6_m4wkOD7IG-k_eo/edit#gid=0"", ""Maths!M:N""), 2, FALSE)"),"Explain the concept of an obtuse angle in your own words, including its relation to right angles.")</f>
        <v>Explain the concept of an obtuse angle in your own words, including its relation to right angles.</v>
      </c>
      <c r="M81" s="10" t="str">
        <f t="shared" si="2"/>
        <v>LU000257.003</v>
      </c>
      <c r="N81" s="10" t="str">
        <f ca="1">IFERROR(__xludf.DUMMYFUNCTION("VLOOKUP(M81, IMPORTRANGE(""https://docs.google.com/spreadsheets/d/1yDAaXNsi4Mr5FtRQL4tbmSdIzhx6_m4wkOD7IG-k_eo/edit#gid=0"", ""Maths!M:N""), 2, FALSE)"),"Use knowledge of obtuse angles to identify and measure them in geometric figures or objects in the environment.")</f>
        <v>Use knowledge of obtuse angles to identify and measure them in geometric figures or objects in the environment.</v>
      </c>
      <c r="O81" s="10" t="str">
        <f t="shared" si="3"/>
        <v>LU000257.004</v>
      </c>
      <c r="P81" s="10" t="str">
        <f ca="1">IFERROR(__xludf.DUMMYFUNCTION("VLOOKUP(O81, IMPORTRANGE(""https://docs.google.com/spreadsheets/d/1yDAaXNsi4Mr5FtRQL4tbmSdIzhx6_m4wkOD7IG-k_eo/edit#gid=0"", ""Maths!M:N""), 2, FALSE)"),"Analyse geometric figures to identify obtuse angles within them.")</f>
        <v>Analyse geometric figures to identify obtuse angles within them.</v>
      </c>
      <c r="Q81" s="10" t="str">
        <f t="shared" si="4"/>
        <v>LU000257.005</v>
      </c>
      <c r="R81" s="10" t="str">
        <f ca="1">IFERROR(__xludf.DUMMYFUNCTION("VLOOKUP(Q81, IMPORTRANGE(""https://docs.google.com/spreadsheets/d/1yDAaXNsi4Mr5FtRQL4tbmSdIzhx6_m4wkOD7IG-k_eo/edit#gid=0"", ""Maths!M:N""), 2, FALSE)"),"Critique the importance of understanding obtuse angles in geometry and its relevance to solving practical problems.")</f>
        <v>Critique the importance of understanding obtuse angles in geometry and its relevance to solving practical problems.</v>
      </c>
      <c r="S81" s="10" t="str">
        <f t="shared" si="5"/>
        <v>LU000257.006</v>
      </c>
      <c r="T81" s="10" t="str">
        <f ca="1">IFERROR(__xludf.DUMMYFUNCTION("VLOOKUP(S81, IMPORTRANGE(""https://docs.google.com/spreadsheets/d/1yDAaXNsi4Mr5FtRQL4tbmSdIzhx6_m4wkOD7IG-k_eo/edit#gid=0"", ""Maths!M:N""), 2, FALSE)"),"Create diagrams showcasing examples of an obtuse.")</f>
        <v>Create diagrams showcasing examples of an obtuse.</v>
      </c>
      <c r="U81" s="11">
        <f ca="1">IFERROR(__xludf.DUMMYFUNCTION("ArrayFormula(VLOOKUP(G81, IMPORTRANGE(""https://docs.google.com/spreadsheets/d/1p7R4vtkWt5VOBim4ltsDG9KTzSjrtKXsMtQGXPHyND0/edit#gid=795171502"", ""'Filter 30_05_2024'!A1:M2000""), {2, 3, 4, 5,6,7,8,9,10,11,12,13}, 0))"),5)</f>
        <v>5</v>
      </c>
      <c r="V81" s="11">
        <f ca="1">IFERROR(__xludf.DUMMYFUNCTION("""COMPUTED_VALUE"""),6)</f>
        <v>6</v>
      </c>
      <c r="W81" s="11">
        <f ca="1">IFERROR(__xludf.DUMMYFUNCTION("""COMPUTED_VALUE"""),2)</f>
        <v>2</v>
      </c>
      <c r="X81" s="11">
        <f ca="1">IFERROR(__xludf.DUMMYFUNCTION("""COMPUTED_VALUE"""),13)</f>
        <v>13</v>
      </c>
      <c r="Y81" s="11">
        <f ca="1">IFERROR(__xludf.DUMMYFUNCTION("""COMPUTED_VALUE"""),4)</f>
        <v>4</v>
      </c>
      <c r="Z81" s="29">
        <f ca="1">IFERROR(__xludf.DUMMYFUNCTION("""COMPUTED_VALUE"""),3)</f>
        <v>3</v>
      </c>
      <c r="AA81" s="29">
        <f ca="1">IFERROR(__xludf.DUMMYFUNCTION("""COMPUTED_VALUE"""),1)</f>
        <v>1</v>
      </c>
      <c r="AB81" s="12">
        <f ca="1">IFERROR(__xludf.DUMMYFUNCTION("""COMPUTED_VALUE"""),8)</f>
        <v>8</v>
      </c>
      <c r="AC81" s="12"/>
      <c r="AD81" s="12"/>
      <c r="AE81" s="12"/>
      <c r="AF81" s="12"/>
      <c r="AG81" s="13" t="str">
        <f ca="1">IFERROR(__xludf.DUMMYFUNCTION("ArrayFormula(VLOOKUP(G81, IMPORTRANGE(""https://docs.google.com/spreadsheets/d/1Co934fvtviyaRiMsrIlT05Jaq7iiYq07aLvRr35KA48/edit?gid=173865642#gid=173865642"", ""'G6_Maths_Pri_LU'!G2:V2000""), {3, 4, 5, 6, 7, 8, 9, 10, 11, 12, 13, 14, 15, 16}, 0))"),"LU000259")</f>
        <v>LU000259</v>
      </c>
      <c r="AH81" s="13" t="str">
        <f ca="1">IFERROR(__xludf.DUMMYFUNCTION("""COMPUTED_VALUE"""),"Definition of a straight angle")</f>
        <v>Definition of a straight angle</v>
      </c>
      <c r="AI81" s="13" t="str">
        <f ca="1">IFERROR(__xludf.DUMMYFUNCTION("""COMPUTED_VALUE"""),"LU000017")</f>
        <v>LU000017</v>
      </c>
      <c r="AJ81" s="13" t="str">
        <f ca="1">IFERROR(__xludf.DUMMYFUNCTION("""COMPUTED_VALUE"""),"Definition of a right angle")</f>
        <v>Definition of a right angle</v>
      </c>
      <c r="AK81" s="13" t="str">
        <f ca="1">IFERROR(__xludf.DUMMYFUNCTION("""COMPUTED_VALUE"""),"LU000228")</f>
        <v>LU000228</v>
      </c>
      <c r="AL81" s="13" t="str">
        <f ca="1">IFERROR(__xludf.DUMMYFUNCTION("""COMPUTED_VALUE"""),"Parts of an angle")</f>
        <v>Parts of an angle</v>
      </c>
      <c r="AM81" s="13" t="str">
        <f ca="1">IFERROR(__xludf.DUMMYFUNCTION("""COMPUTED_VALUE"""),"LU000024")</f>
        <v>LU000024</v>
      </c>
      <c r="AN81" s="13" t="str">
        <f ca="1">IFERROR(__xludf.DUMMYFUNCTION("""COMPUTED_VALUE"""),"Definition of degree as unit to measure an angle")</f>
        <v>Definition of degree as unit to measure an angle</v>
      </c>
      <c r="AO81" s="13" t="str">
        <f ca="1">IFERROR(__xludf.DUMMYFUNCTION("""COMPUTED_VALUE"""),"LU000024")</f>
        <v>LU000024</v>
      </c>
      <c r="AP81" s="13" t="str">
        <f ca="1">IFERROR(__xludf.DUMMYFUNCTION("""COMPUTED_VALUE"""),"Definition of degree as unit to measure an angle")</f>
        <v>Definition of degree as unit to measure an angle</v>
      </c>
      <c r="AQ81" s="13"/>
      <c r="AR81" s="13"/>
      <c r="AS81" s="13"/>
      <c r="AT81" s="13"/>
    </row>
    <row r="82" spans="1:46">
      <c r="A82" s="8" t="s">
        <v>247</v>
      </c>
      <c r="B82" s="8" t="s">
        <v>47</v>
      </c>
      <c r="C82" s="8" t="s">
        <v>48</v>
      </c>
      <c r="D82" s="8" t="s">
        <v>49</v>
      </c>
      <c r="E82" s="8" t="s">
        <v>318</v>
      </c>
      <c r="F82" s="8" t="s">
        <v>79</v>
      </c>
      <c r="G82" s="8" t="s">
        <v>82</v>
      </c>
      <c r="H82" s="8" t="str">
        <f ca="1">IFERROR(__xludf.DUMMYFUNCTION("VLOOKUP(G82, IMPORTRANGE(""https://docs.google.com/spreadsheets/d/14deopnvwcrKtEGCKuYXdUHJbeLDZlkiSSWWT0g7x2pM/edit#gid=999382323"", ""LU List Maths (Filter)!A:B""), 2, FALSE)"),"Definition of a reflex angle")</f>
        <v>Definition of a reflex angle</v>
      </c>
      <c r="I82" s="10" t="str">
        <f t="shared" si="0"/>
        <v>LU000258.001</v>
      </c>
      <c r="J82" s="10" t="str">
        <f ca="1">IFERROR(__xludf.DUMMYFUNCTION("VLOOKUP(I82, IMPORTRANGE(""https://docs.google.com/spreadsheets/d/1yDAaXNsi4Mr5FtRQL4tbmSdIzhx6_m4wkOD7IG-k_eo/edit#gid=0"", ""Maths!M:N""), 2, FALSE)"),"Define a reflex angle.")</f>
        <v>Define a reflex angle.</v>
      </c>
      <c r="K82" s="10" t="str">
        <f t="shared" si="1"/>
        <v>LU000258.002</v>
      </c>
      <c r="L82" s="10" t="str">
        <f ca="1">IFERROR(__xludf.DUMMYFUNCTION("VLOOKUP(K82, IMPORTRANGE(""https://docs.google.com/spreadsheets/d/1yDAaXNsi4Mr5FtRQL4tbmSdIzhx6_m4wkOD7IG-k_eo/edit#gid=0"", ""Maths!M:N""), 2, FALSE)"),"Explain the concept of a reflex angle in your own words, including its relation to right angles.")</f>
        <v>Explain the concept of a reflex angle in your own words, including its relation to right angles.</v>
      </c>
      <c r="M82" s="10" t="str">
        <f t="shared" si="2"/>
        <v>LU000258.003</v>
      </c>
      <c r="N82" s="10" t="str">
        <f ca="1">IFERROR(__xludf.DUMMYFUNCTION("VLOOKUP(M82, IMPORTRANGE(""https://docs.google.com/spreadsheets/d/1yDAaXNsi4Mr5FtRQL4tbmSdIzhx6_m4wkOD7IG-k_eo/edit#gid=0"", ""Maths!M:N""), 2, FALSE)"),"Use knowledge of reflex angles to identify and measure them in geometric figures or objects in the environment.")</f>
        <v>Use knowledge of reflex angles to identify and measure them in geometric figures or objects in the environment.</v>
      </c>
      <c r="O82" s="10" t="str">
        <f t="shared" si="3"/>
        <v>LU000258.004</v>
      </c>
      <c r="P82" s="10" t="str">
        <f ca="1">IFERROR(__xludf.DUMMYFUNCTION("VLOOKUP(O82, IMPORTRANGE(""https://docs.google.com/spreadsheets/d/1yDAaXNsi4Mr5FtRQL4tbmSdIzhx6_m4wkOD7IG-k_eo/edit#gid=0"", ""Maths!M:N""), 2, FALSE)"),"Compare a given set of angles with a reflex angle.")</f>
        <v>Compare a given set of angles with a reflex angle.</v>
      </c>
      <c r="Q82" s="10" t="str">
        <f t="shared" si="4"/>
        <v>LU000258.005</v>
      </c>
      <c r="R82" s="10" t="str">
        <f ca="1">IFERROR(__xludf.DUMMYFUNCTION("VLOOKUP(Q82, IMPORTRANGE(""https://docs.google.com/spreadsheets/d/1yDAaXNsi4Mr5FtRQL4tbmSdIzhx6_m4wkOD7IG-k_eo/edit#gid=0"", ""Maths!M:N""), 2, FALSE)"),"Critique the importance of understanding reflex angles in geometry and its relevance to solving practical problems.")</f>
        <v>Critique the importance of understanding reflex angles in geometry and its relevance to solving practical problems.</v>
      </c>
      <c r="S82" s="10" t="str">
        <f t="shared" si="5"/>
        <v>LU000258.006</v>
      </c>
      <c r="T82" s="10" t="str">
        <f ca="1">IFERROR(__xludf.DUMMYFUNCTION("VLOOKUP(S82, IMPORTRANGE(""https://docs.google.com/spreadsheets/d/1yDAaXNsi4Mr5FtRQL4tbmSdIzhx6_m4wkOD7IG-k_eo/edit#gid=0"", ""Maths!M:N""), 2, FALSE)"),"Create diagrams showcasing examples of a reflex.")</f>
        <v>Create diagrams showcasing examples of a reflex.</v>
      </c>
      <c r="U82" s="11">
        <f ca="1">IFERROR(__xludf.DUMMYFUNCTION("ArrayFormula(VLOOKUP(G82, IMPORTRANGE(""https://docs.google.com/spreadsheets/d/1p7R4vtkWt5VOBim4ltsDG9KTzSjrtKXsMtQGXPHyND0/edit#gid=795171502"", ""'Filter 30_05_2024'!A1:M2000""), {2, 3, 4, 5,6,7,8,9,10,11,12,13}, 0))"),4)</f>
        <v>4</v>
      </c>
      <c r="V82" s="11">
        <f ca="1">IFERROR(__xludf.DUMMYFUNCTION("""COMPUTED_VALUE"""),4)</f>
        <v>4</v>
      </c>
      <c r="W82" s="11">
        <f ca="1">IFERROR(__xludf.DUMMYFUNCTION("""COMPUTED_VALUE"""),11)</f>
        <v>11</v>
      </c>
      <c r="X82" s="11">
        <f ca="1">IFERROR(__xludf.DUMMYFUNCTION("""COMPUTED_VALUE"""),19)</f>
        <v>19</v>
      </c>
      <c r="Y82" s="11">
        <f ca="1">IFERROR(__xludf.DUMMYFUNCTION("""COMPUTED_VALUE"""),4)</f>
        <v>4</v>
      </c>
      <c r="Z82" s="29">
        <f ca="1">IFERROR(__xludf.DUMMYFUNCTION("""COMPUTED_VALUE"""),5)</f>
        <v>5</v>
      </c>
      <c r="AA82" s="29">
        <f ca="1">IFERROR(__xludf.DUMMYFUNCTION("""COMPUTED_VALUE"""),3)</f>
        <v>3</v>
      </c>
      <c r="AB82" s="12">
        <f ca="1">IFERROR(__xludf.DUMMYFUNCTION("""COMPUTED_VALUE"""),12)</f>
        <v>12</v>
      </c>
      <c r="AC82" s="12"/>
      <c r="AD82" s="12"/>
      <c r="AE82" s="12"/>
      <c r="AF82" s="12"/>
      <c r="AG82" s="13" t="str">
        <f ca="1">IFERROR(__xludf.DUMMYFUNCTION("ArrayFormula(VLOOKUP(G82, IMPORTRANGE(""https://docs.google.com/spreadsheets/d/1Co934fvtviyaRiMsrIlT05Jaq7iiYq07aLvRr35KA48/edit?gid=173865642#gid=173865642"", ""'G6_Maths_Pri_LU'!G2:V2000""), {3, 4, 5, 6, 7, 8, 9, 10, 11, 12, 13, 14, 15, 16}, 0))"),"LU000259")</f>
        <v>LU000259</v>
      </c>
      <c r="AH82" s="13" t="str">
        <f ca="1">IFERROR(__xludf.DUMMYFUNCTION("""COMPUTED_VALUE"""),"Definition of a straight angle")</f>
        <v>Definition of a straight angle</v>
      </c>
      <c r="AI82" s="13" t="str">
        <f ca="1">IFERROR(__xludf.DUMMYFUNCTION("""COMPUTED_VALUE"""),"LU000228")</f>
        <v>LU000228</v>
      </c>
      <c r="AJ82" s="13" t="str">
        <f ca="1">IFERROR(__xludf.DUMMYFUNCTION("""COMPUTED_VALUE"""),"Parts of an angle")</f>
        <v>Parts of an angle</v>
      </c>
      <c r="AK82" s="13" t="str">
        <f ca="1">IFERROR(__xludf.DUMMYFUNCTION("""COMPUTED_VALUE"""),"LU000024")</f>
        <v>LU000024</v>
      </c>
      <c r="AL82" s="13" t="str">
        <f ca="1">IFERROR(__xludf.DUMMYFUNCTION("""COMPUTED_VALUE"""),"Definition of degree as unit to measure an angle")</f>
        <v>Definition of degree as unit to measure an angle</v>
      </c>
      <c r="AM82" s="13" t="str">
        <f ca="1">IFERROR(__xludf.DUMMYFUNCTION("""COMPUTED_VALUE"""),"LU000024")</f>
        <v>LU000024</v>
      </c>
      <c r="AN82" s="13" t="str">
        <f ca="1">IFERROR(__xludf.DUMMYFUNCTION("""COMPUTED_VALUE"""),"Definition of degree as unit to measure an angle")</f>
        <v>Definition of degree as unit to measure an angle</v>
      </c>
      <c r="AO82" s="13"/>
      <c r="AP82" s="13"/>
      <c r="AQ82" s="13"/>
      <c r="AR82" s="13"/>
      <c r="AS82" s="13"/>
      <c r="AT82" s="13"/>
    </row>
    <row r="83" spans="1:46">
      <c r="A83" s="8" t="s">
        <v>247</v>
      </c>
      <c r="B83" s="8" t="s">
        <v>47</v>
      </c>
      <c r="C83" s="8" t="s">
        <v>48</v>
      </c>
      <c r="D83" s="8" t="s">
        <v>49</v>
      </c>
      <c r="E83" s="8" t="s">
        <v>318</v>
      </c>
      <c r="F83" s="8" t="s">
        <v>328</v>
      </c>
      <c r="G83" s="8" t="s">
        <v>77</v>
      </c>
      <c r="H83" s="8" t="str">
        <f ca="1">IFERROR(__xludf.DUMMYFUNCTION("VLOOKUP(G83, IMPORTRANGE(""https://docs.google.com/spreadsheets/d/14deopnvwcrKtEGCKuYXdUHJbeLDZlkiSSWWT0g7x2pM/edit#gid=999382323"", ""LU List Maths (Filter)!A:B""), 2, FALSE)"),"Measurement of angles using protractor")</f>
        <v>Measurement of angles using protractor</v>
      </c>
      <c r="I83" s="10" t="str">
        <f t="shared" si="0"/>
        <v>LU000243.001</v>
      </c>
      <c r="J83" s="10" t="str">
        <f ca="1">IFERROR(__xludf.DUMMYFUNCTION("VLOOKUP(I83, IMPORTRANGE(""https://docs.google.com/spreadsheets/d/1yDAaXNsi4Mr5FtRQL4tbmSdIzhx6_m4wkOD7IG-k_eo/edit#gid=0"", ""Maths!M:N""), 2, FALSE)"),"Identify the 'degree' as the unit of measurement.")</f>
        <v>Identify the 'degree' as the unit of measurement.</v>
      </c>
      <c r="K83" s="10" t="str">
        <f t="shared" si="1"/>
        <v>LU000243.002</v>
      </c>
      <c r="L83" s="10" t="str">
        <f ca="1">IFERROR(__xludf.DUMMYFUNCTION("VLOOKUP(K83, IMPORTRANGE(""https://docs.google.com/spreadsheets/d/1yDAaXNsi4Mr5FtRQL4tbmSdIzhx6_m4wkOD7IG-k_eo/edit#gid=0"", ""Maths!M:N""), 2, FALSE)"),"Measure the given angle using a protractor.")</f>
        <v>Measure the given angle using a protractor.</v>
      </c>
      <c r="M83" s="10" t="str">
        <f t="shared" si="2"/>
        <v>LU000243.003</v>
      </c>
      <c r="N83" s="10" t="str">
        <f ca="1">IFERROR(__xludf.DUMMYFUNCTION("VLOOKUP(M83, IMPORTRANGE(""https://docs.google.com/spreadsheets/d/1yDAaXNsi4Mr5FtRQL4tbmSdIzhx6_m4wkOD7IG-k_eo/edit#gid=0"", ""Maths!M:N""), 2, FALSE)"),"Estimate the measure of the given angles and confirm their measures by comparing them.")</f>
        <v>Estimate the measure of the given angles and confirm their measures by comparing them.</v>
      </c>
      <c r="O83" s="10" t="str">
        <f t="shared" si="3"/>
        <v>LU000243.004</v>
      </c>
      <c r="P83" s="10" t="str">
        <f ca="1">IFERROR(__xludf.DUMMYFUNCTION("VLOOKUP(O83, IMPORTRANGE(""https://docs.google.com/spreadsheets/d/1yDAaXNsi4Mr5FtRQL4tbmSdIzhx6_m4wkOD7IG-k_eo/edit#gid=0"", ""Maths!M:N""), 2, FALSE)"),"Analyse the process of folding a circular sheet to create angles and identify their measures.")</f>
        <v>Analyse the process of folding a circular sheet to create angles and identify their measures.</v>
      </c>
      <c r="Q83" s="10" t="str">
        <f t="shared" si="4"/>
        <v>LU000243.005</v>
      </c>
      <c r="R83" s="10" t="str">
        <f ca="1">IFERROR(__xludf.DUMMYFUNCTION("VLOOKUP(Q83, IMPORTRANGE(""https://docs.google.com/spreadsheets/d/1yDAaXNsi4Mr5FtRQL4tbmSdIzhx6_m4wkOD7IG-k_eo/edit#gid=0"", ""Maths!M:N""), 2, FALSE)"),"Evaluate the accuracy of angle measurements using protractors and identify potential errors.")</f>
        <v>Evaluate the accuracy of angle measurements using protractors and identify potential errors.</v>
      </c>
      <c r="S83" s="10" t="str">
        <f t="shared" si="5"/>
        <v>LU000243.006</v>
      </c>
      <c r="T83" s="10" t="str">
        <f ca="1">IFERROR(__xludf.DUMMYFUNCTION("VLOOKUP(S83, IMPORTRANGE(""https://docs.google.com/spreadsheets/d/1yDAaXNsi4Mr5FtRQL4tbmSdIzhx6_m4wkOD7IG-k_eo/edit#gid=0"", ""Maths!M:N""), 2, FALSE)"),"Create a visual representation demonstrating the step-by-step process of folding a circular sheet to measure angles.")</f>
        <v>Create a visual representation demonstrating the step-by-step process of folding a circular sheet to measure angles.</v>
      </c>
      <c r="U83" s="11">
        <f ca="1">IFERROR(__xludf.DUMMYFUNCTION("ArrayFormula(VLOOKUP(G83, IMPORTRANGE(""https://docs.google.com/spreadsheets/d/1p7R4vtkWt5VOBim4ltsDG9KTzSjrtKXsMtQGXPHyND0/edit#gid=795171502"", ""'Filter 30_05_2024'!A1:M2000""), {2, 3, 4, 5,6,7,8,9,10,11,12,13}, 0))"),5)</f>
        <v>5</v>
      </c>
      <c r="V83" s="11">
        <f ca="1">IFERROR(__xludf.DUMMYFUNCTION("""COMPUTED_VALUE"""),6)</f>
        <v>6</v>
      </c>
      <c r="W83" s="11">
        <f ca="1">IFERROR(__xludf.DUMMYFUNCTION("""COMPUTED_VALUE"""),2)</f>
        <v>2</v>
      </c>
      <c r="X83" s="11">
        <f ca="1">IFERROR(__xludf.DUMMYFUNCTION("""COMPUTED_VALUE"""),13)</f>
        <v>13</v>
      </c>
      <c r="Y83" s="11">
        <f ca="1">IFERROR(__xludf.DUMMYFUNCTION("""COMPUTED_VALUE"""),7)</f>
        <v>7</v>
      </c>
      <c r="Z83" s="29">
        <f ca="1">IFERROR(__xludf.DUMMYFUNCTION("""COMPUTED_VALUE"""),3)</f>
        <v>3</v>
      </c>
      <c r="AA83" s="29">
        <f ca="1">IFERROR(__xludf.DUMMYFUNCTION("""COMPUTED_VALUE"""),1)</f>
        <v>1</v>
      </c>
      <c r="AB83" s="12">
        <f ca="1">IFERROR(__xludf.DUMMYFUNCTION("""COMPUTED_VALUE"""),11)</f>
        <v>11</v>
      </c>
      <c r="AC83" s="12"/>
      <c r="AD83" s="12"/>
      <c r="AE83" s="12"/>
      <c r="AF83" s="12"/>
      <c r="AG83" s="13" t="str">
        <f ca="1">IFERROR(__xludf.DUMMYFUNCTION("ArrayFormula(VLOOKUP(G83, IMPORTRANGE(""https://docs.google.com/spreadsheets/d/1Co934fvtviyaRiMsrIlT05Jaq7iiYq07aLvRr35KA48/edit?gid=173865642#gid=173865642"", ""'G6_Maths_Pri_LU'!G2:V2000""), {3, 4, 5, 6, 7, 8, 9, 10, 11, 12, 13, 14, 15, 16}, 0))"),"LU000228")</f>
        <v>LU000228</v>
      </c>
      <c r="AH83" s="13" t="str">
        <f ca="1">IFERROR(__xludf.DUMMYFUNCTION("""COMPUTED_VALUE"""),"Parts of an angle")</f>
        <v>Parts of an angle</v>
      </c>
      <c r="AI83" s="13" t="str">
        <f ca="1">IFERROR(__xludf.DUMMYFUNCTION("""COMPUTED_VALUE"""),"LU000024")</f>
        <v>LU000024</v>
      </c>
      <c r="AJ83" s="13" t="str">
        <f ca="1">IFERROR(__xludf.DUMMYFUNCTION("""COMPUTED_VALUE"""),"Definition of degree as unit to measure an angle")</f>
        <v>Definition of degree as unit to measure an angle</v>
      </c>
      <c r="AK83" s="13" t="str">
        <f ca="1">IFERROR(__xludf.DUMMYFUNCTION("""COMPUTED_VALUE"""),"LU000020")</f>
        <v>LU000020</v>
      </c>
      <c r="AL83" s="13" t="str">
        <f ca="1">IFERROR(__xludf.DUMMYFUNCTION("""COMPUTED_VALUE"""),"Function of protractor as geometry tool")</f>
        <v>Function of protractor as geometry tool</v>
      </c>
      <c r="AM83" s="13"/>
      <c r="AN83" s="13"/>
      <c r="AO83" s="13"/>
      <c r="AP83" s="13"/>
      <c r="AQ83" s="13"/>
      <c r="AR83" s="13"/>
      <c r="AS83" s="13"/>
      <c r="AT83" s="13"/>
    </row>
    <row r="84" spans="1:46">
      <c r="A84" s="8" t="s">
        <v>247</v>
      </c>
      <c r="B84" s="8" t="s">
        <v>47</v>
      </c>
      <c r="C84" s="8" t="s">
        <v>48</v>
      </c>
      <c r="D84" s="8" t="s">
        <v>49</v>
      </c>
      <c r="E84" s="8" t="s">
        <v>318</v>
      </c>
      <c r="F84" s="8" t="s">
        <v>74</v>
      </c>
      <c r="G84" s="8" t="s">
        <v>75</v>
      </c>
      <c r="H84" s="8" t="str">
        <f ca="1">IFERROR(__xludf.DUMMYFUNCTION("VLOOKUP(G84, IMPORTRANGE(""https://docs.google.com/spreadsheets/d/14deopnvwcrKtEGCKuYXdUHJbeLDZlkiSSWWT0g7x2pM/edit#gid=999382323"", ""LU List Maths (Filter)!A:B""), 2, FALSE)"),"Definition of perpendicular lines")</f>
        <v>Definition of perpendicular lines</v>
      </c>
      <c r="I84" s="10" t="str">
        <f t="shared" si="0"/>
        <v>LU000244.001</v>
      </c>
      <c r="J84" s="10" t="str">
        <f ca="1">IFERROR(__xludf.DUMMYFUNCTION("VLOOKUP(I84, IMPORTRANGE(""https://docs.google.com/spreadsheets/d/1yDAaXNsi4Mr5FtRQL4tbmSdIzhx6_m4wkOD7IG-k_eo/edit#gid=0"", ""Maths!M:N""), 2, FALSE)"),"Define perpendicular lines")</f>
        <v>Define perpendicular lines</v>
      </c>
      <c r="K84" s="10" t="str">
        <f t="shared" si="1"/>
        <v>LU000244.002</v>
      </c>
      <c r="L84" s="10" t="str">
        <f ca="1">IFERROR(__xludf.DUMMYFUNCTION("VLOOKUP(K84, IMPORTRANGE(""https://docs.google.com/spreadsheets/d/1yDAaXNsi4Mr5FtRQL4tbmSdIzhx6_m4wkOD7IG-k_eo/edit#gid=0"", ""Maths!M:N""), 2, FALSE)"),"Real-life examples of perpendicular lines")</f>
        <v>Real-life examples of perpendicular lines</v>
      </c>
      <c r="M84" s="10" t="str">
        <f t="shared" si="2"/>
        <v>LU000244.003</v>
      </c>
      <c r="N84" s="10" t="str">
        <f ca="1">IFERROR(__xludf.DUMMYFUNCTION("VLOOKUP(M84, IMPORTRANGE(""https://docs.google.com/spreadsheets/d/1yDAaXNsi4Mr5FtRQL4tbmSdIzhx6_m4wkOD7IG-k_eo/edit#gid=0"", ""Maths!M:N""), 2, FALSE)"),"Identify perpendicular lines in the given figures.")</f>
        <v>Identify perpendicular lines in the given figures.</v>
      </c>
      <c r="O84" s="10" t="str">
        <f t="shared" si="3"/>
        <v>LU000244.004</v>
      </c>
      <c r="P84" s="10" t="str">
        <f ca="1">IFERROR(__xludf.DUMMYFUNCTION("VLOOKUP(O84, IMPORTRANGE(""https://docs.google.com/spreadsheets/d/1yDAaXNsi4Mr5FtRQL4tbmSdIzhx6_m4wkOD7IG-k_eo/edit#gid=0"", ""Maths!M:N""), 2, FALSE)"),"Analyse real-world examples and identify perpendicular lines")</f>
        <v>Analyse real-world examples and identify perpendicular lines</v>
      </c>
      <c r="Q84" s="10" t="str">
        <f t="shared" si="4"/>
        <v>LU000244.005</v>
      </c>
      <c r="R84" s="10" t="str">
        <f ca="1">IFERROR(__xludf.DUMMYFUNCTION("VLOOKUP(Q84, IMPORTRANGE(""https://docs.google.com/spreadsheets/d/1yDAaXNsi4Mr5FtRQL4tbmSdIzhx6_m4wkOD7IG-k_eo/edit#gid=0"", ""Maths!M:N""), 2, FALSE)"),"#N/A")</f>
        <v>#N/A</v>
      </c>
      <c r="S84" s="10" t="str">
        <f t="shared" si="5"/>
        <v>LU000244.006</v>
      </c>
      <c r="T84" s="10" t="str">
        <f ca="1">IFERROR(__xludf.DUMMYFUNCTION("VLOOKUP(S84, IMPORTRANGE(""https://docs.google.com/spreadsheets/d/1yDAaXNsi4Mr5FtRQL4tbmSdIzhx6_m4wkOD7IG-k_eo/edit#gid=0"", ""Maths!M:N""), 2, FALSE)"),"Create diagrams illustrating perpendicular lines in different geometrical figures.")</f>
        <v>Create diagrams illustrating perpendicular lines in different geometrical figures.</v>
      </c>
      <c r="U84" s="11">
        <f ca="1">IFERROR(__xludf.DUMMYFUNCTION("ArrayFormula(VLOOKUP(G84, IMPORTRANGE(""https://docs.google.com/spreadsheets/d/1p7R4vtkWt5VOBim4ltsDG9KTzSjrtKXsMtQGXPHyND0/edit#gid=795171502"", ""'Filter 30_05_2024'!A1:M2000""), {2, 3, 4, 5,6,7,8,9,10,11,12,13}, 0))"),10)</f>
        <v>10</v>
      </c>
      <c r="V84" s="11">
        <f ca="1">IFERROR(__xludf.DUMMYFUNCTION("""COMPUTED_VALUE"""),2)</f>
        <v>2</v>
      </c>
      <c r="W84" s="11">
        <f ca="1">IFERROR(__xludf.DUMMYFUNCTION("""COMPUTED_VALUE"""),2)</f>
        <v>2</v>
      </c>
      <c r="X84" s="11">
        <f ca="1">IFERROR(__xludf.DUMMYFUNCTION("""COMPUTED_VALUE"""),14)</f>
        <v>14</v>
      </c>
      <c r="Y84" s="11">
        <f ca="1">IFERROR(__xludf.DUMMYFUNCTION("""COMPUTED_VALUE"""),4)</f>
        <v>4</v>
      </c>
      <c r="Z84" s="29">
        <f ca="1">IFERROR(__xludf.DUMMYFUNCTION("""COMPUTED_VALUE"""),7)</f>
        <v>7</v>
      </c>
      <c r="AA84" s="29">
        <f ca="1">IFERROR(__xludf.DUMMYFUNCTION("""COMPUTED_VALUE"""),1)</f>
        <v>1</v>
      </c>
      <c r="AB84" s="12">
        <f ca="1">IFERROR(__xludf.DUMMYFUNCTION("""COMPUTED_VALUE"""),12)</f>
        <v>12</v>
      </c>
      <c r="AC84" s="12"/>
      <c r="AD84" s="12"/>
      <c r="AE84" s="12"/>
      <c r="AF84" s="12"/>
      <c r="AG84" s="13" t="str">
        <f ca="1">IFERROR(__xludf.DUMMYFUNCTION("ArrayFormula(VLOOKUP(G84, IMPORTRANGE(""https://docs.google.com/spreadsheets/d/1Co934fvtviyaRiMsrIlT05Jaq7iiYq07aLvRr35KA48/edit?gid=173865642#gid=173865642"", ""'G6_Maths_Pri_LU'!G2:V2000""), {3, 4, 5, 6, 7, 8, 9, 10, 11, 12, 13, 14, 15, 16}, 0))"),"LU000221")</f>
        <v>LU000221</v>
      </c>
      <c r="AH84" s="13" t="str">
        <f ca="1">IFERROR(__xludf.DUMMYFUNCTION("""COMPUTED_VALUE"""),"Definition and identification of intersecting lines")</f>
        <v>Definition and identification of intersecting lines</v>
      </c>
      <c r="AI84" s="13" t="str">
        <f ca="1">IFERROR(__xludf.DUMMYFUNCTION("""COMPUTED_VALUE"""),"LU000017")</f>
        <v>LU000017</v>
      </c>
      <c r="AJ84" s="13" t="str">
        <f ca="1">IFERROR(__xludf.DUMMYFUNCTION("""COMPUTED_VALUE"""),"Definition of a right angle")</f>
        <v>Definition of a right angle</v>
      </c>
      <c r="AK84" s="13" t="str">
        <f ca="1">IFERROR(__xludf.DUMMYFUNCTION("""COMPUTED_VALUE"""),"LU000220")</f>
        <v>LU000220</v>
      </c>
      <c r="AL84" s="13" t="str">
        <f ca="1">IFERROR(__xludf.DUMMYFUNCTION("""COMPUTED_VALUE"""),"Definition of line")</f>
        <v>Definition of line</v>
      </c>
      <c r="AM84" s="13"/>
      <c r="AN84" s="13"/>
      <c r="AO84" s="13"/>
      <c r="AP84" s="13"/>
      <c r="AQ84" s="13"/>
      <c r="AR84" s="13"/>
      <c r="AS84" s="13"/>
      <c r="AT84" s="13"/>
    </row>
    <row r="85" spans="1:46">
      <c r="A85" s="8" t="s">
        <v>247</v>
      </c>
      <c r="B85" s="8" t="s">
        <v>47</v>
      </c>
      <c r="C85" s="8" t="s">
        <v>48</v>
      </c>
      <c r="D85" s="8" t="s">
        <v>49</v>
      </c>
      <c r="E85" s="8" t="s">
        <v>318</v>
      </c>
      <c r="F85" s="8" t="s">
        <v>74</v>
      </c>
      <c r="G85" s="8" t="s">
        <v>329</v>
      </c>
      <c r="H85" s="8" t="str">
        <f ca="1">IFERROR(__xludf.DUMMYFUNCTION("VLOOKUP(G85, IMPORTRANGE(""https://docs.google.com/spreadsheets/d/14deopnvwcrKtEGCKuYXdUHJbeLDZlkiSSWWT0g7x2pM/edit#gid=999382323"", ""LU List Maths (Filter)!A:B""), 2, FALSE)"),"Definition of a perpendicular bisector")</f>
        <v>Definition of a perpendicular bisector</v>
      </c>
      <c r="I85" s="10" t="str">
        <f t="shared" si="0"/>
        <v>LU000250.001</v>
      </c>
      <c r="J85" s="10" t="str">
        <f ca="1">IFERROR(__xludf.DUMMYFUNCTION("VLOOKUP(I85, IMPORTRANGE(""https://docs.google.com/spreadsheets/d/1yDAaXNsi4Mr5FtRQL4tbmSdIzhx6_m4wkOD7IG-k_eo/edit#gid=0"", ""Maths!M:N""), 2, FALSE)"),"Define a perpendicular bisector")</f>
        <v>Define a perpendicular bisector</v>
      </c>
      <c r="K85" s="10" t="str">
        <f t="shared" si="1"/>
        <v>LU000250.002</v>
      </c>
      <c r="L85" s="10" t="str">
        <f ca="1">IFERROR(__xludf.DUMMYFUNCTION("VLOOKUP(K85, IMPORTRANGE(""https://docs.google.com/spreadsheets/d/1yDAaXNsi4Mr5FtRQL4tbmSdIzhx6_m4wkOD7IG-k_eo/edit#gid=0"", ""Maths!M:N""), 2, FALSE)"),"Real-life examples of a perpendicular bisector")</f>
        <v>Real-life examples of a perpendicular bisector</v>
      </c>
      <c r="M85" s="10" t="str">
        <f t="shared" si="2"/>
        <v>LU000250.003</v>
      </c>
      <c r="N85" s="10" t="str">
        <f ca="1">IFERROR(__xludf.DUMMYFUNCTION("VLOOKUP(M85, IMPORTRANGE(""https://docs.google.com/spreadsheets/d/1yDAaXNsi4Mr5FtRQL4tbmSdIzhx6_m4wkOD7IG-k_eo/edit#gid=0"", ""Maths!M:N""), 2, FALSE)"),"Identify perpendicular bisector in the given figures.")</f>
        <v>Identify perpendicular bisector in the given figures.</v>
      </c>
      <c r="O85" s="10" t="str">
        <f t="shared" si="3"/>
        <v>LU000250.004</v>
      </c>
      <c r="P85" s="10" t="str">
        <f ca="1">IFERROR(__xludf.DUMMYFUNCTION("VLOOKUP(O85, IMPORTRANGE(""https://docs.google.com/spreadsheets/d/1yDAaXNsi4Mr5FtRQL4tbmSdIzhx6_m4wkOD7IG-k_eo/edit#gid=0"", ""Maths!M:N""), 2, FALSE)"),"Use perpendicular bisector properties to calculate line segment lengths in geometric figures")</f>
        <v>Use perpendicular bisector properties to calculate line segment lengths in geometric figures</v>
      </c>
      <c r="Q85" s="10" t="str">
        <f t="shared" si="4"/>
        <v>LU000250.005</v>
      </c>
      <c r="R85" s="10" t="str">
        <f ca="1">IFERROR(__xludf.DUMMYFUNCTION("VLOOKUP(Q85, IMPORTRANGE(""https://docs.google.com/spreadsheets/d/1yDAaXNsi4Mr5FtRQL4tbmSdIzhx6_m4wkOD7IG-k_eo/edit#gid=0"", ""Maths!M:N""), 2, FALSE)"),"#N/A")</f>
        <v>#N/A</v>
      </c>
      <c r="S85" s="10" t="str">
        <f t="shared" si="5"/>
        <v>LU000250.006</v>
      </c>
      <c r="T85" s="10" t="str">
        <f ca="1">IFERROR(__xludf.DUMMYFUNCTION("VLOOKUP(S85, IMPORTRANGE(""https://docs.google.com/spreadsheets/d/1yDAaXNsi4Mr5FtRQL4tbmSdIzhx6_m4wkOD7IG-k_eo/edit#gid=0"", ""Maths!M:N""), 2, FALSE)"),"Create diagrams illustrating perpendicular bisectors in different geometrical figures.")</f>
        <v>Create diagrams illustrating perpendicular bisectors in different geometrical figures.</v>
      </c>
      <c r="U85" s="11">
        <f ca="1">IFERROR(__xludf.DUMMYFUNCTION("ArrayFormula(VLOOKUP(G85, IMPORTRANGE(""https://docs.google.com/spreadsheets/d/1p7R4vtkWt5VOBim4ltsDG9KTzSjrtKXsMtQGXPHyND0/edit#gid=795171502"", ""'Filter 30_05_2024'!A1:M2000""), {2, 3, 4, 5,6,7,8,9,10,11,12,13}, 0))"),4)</f>
        <v>4</v>
      </c>
      <c r="V85" s="11">
        <f ca="1">IFERROR(__xludf.DUMMYFUNCTION("""COMPUTED_VALUE"""),12)</f>
        <v>12</v>
      </c>
      <c r="W85" s="11">
        <f ca="1">IFERROR(__xludf.DUMMYFUNCTION("""COMPUTED_VALUE"""),6)</f>
        <v>6</v>
      </c>
      <c r="X85" s="11">
        <f ca="1">IFERROR(__xludf.DUMMYFUNCTION("""COMPUTED_VALUE"""),22)</f>
        <v>22</v>
      </c>
      <c r="Y85" s="11">
        <f ca="1">IFERROR(__xludf.DUMMYFUNCTION("""COMPUTED_VALUE"""),4)</f>
        <v>4</v>
      </c>
      <c r="Z85" s="29">
        <f ca="1">IFERROR(__xludf.DUMMYFUNCTION("""COMPUTED_VALUE"""),4)</f>
        <v>4</v>
      </c>
      <c r="AA85" s="29">
        <f ca="1">IFERROR(__xludf.DUMMYFUNCTION("""COMPUTED_VALUE"""),2)</f>
        <v>2</v>
      </c>
      <c r="AB85" s="12">
        <f ca="1">IFERROR(__xludf.DUMMYFUNCTION("""COMPUTED_VALUE"""),10)</f>
        <v>10</v>
      </c>
      <c r="AC85" s="12"/>
      <c r="AD85" s="12"/>
      <c r="AE85" s="12"/>
      <c r="AF85" s="12"/>
      <c r="AG85" s="13" t="str">
        <f ca="1">IFERROR(__xludf.DUMMYFUNCTION("ArrayFormula(VLOOKUP(G85, IMPORTRANGE(""https://docs.google.com/spreadsheets/d/1Co934fvtviyaRiMsrIlT05Jaq7iiYq07aLvRr35KA48/edit?gid=173865642#gid=173865642"", ""'G6_Maths_Pri_LU'!G2:V2000""), {3, 4, 5, 6, 7, 8, 9, 10, 11, 12, 13, 14, 15, 16}, 0))"),"LU000244")</f>
        <v>LU000244</v>
      </c>
      <c r="AH85" s="13" t="str">
        <f ca="1">IFERROR(__xludf.DUMMYFUNCTION("""COMPUTED_VALUE"""),"Definition of perpendicular lines")</f>
        <v>Definition of perpendicular lines</v>
      </c>
      <c r="AI85" s="13" t="str">
        <f ca="1">IFERROR(__xludf.DUMMYFUNCTION("""COMPUTED_VALUE"""),"LU000017")</f>
        <v>LU000017</v>
      </c>
      <c r="AJ85" s="13" t="str">
        <f ca="1">IFERROR(__xludf.DUMMYFUNCTION("""COMPUTED_VALUE"""),"Definition of a right angle")</f>
        <v>Definition of a right angle</v>
      </c>
      <c r="AK85" s="13" t="str">
        <f ca="1">IFERROR(__xludf.DUMMYFUNCTION("""COMPUTED_VALUE"""),"LU000221")</f>
        <v>LU000221</v>
      </c>
      <c r="AL85" s="13" t="str">
        <f ca="1">IFERROR(__xludf.DUMMYFUNCTION("""COMPUTED_VALUE"""),"Definition and identification of intersecting lines")</f>
        <v>Definition and identification of intersecting lines</v>
      </c>
      <c r="AM85" s="13" t="str">
        <f ca="1">IFERROR(__xludf.DUMMYFUNCTION("""COMPUTED_VALUE"""),"LU000219")</f>
        <v>LU000219</v>
      </c>
      <c r="AN85" s="13" t="str">
        <f ca="1">IFERROR(__xludf.DUMMYFUNCTION("""COMPUTED_VALUE"""),"Definition of line segment")</f>
        <v>Definition of line segment</v>
      </c>
      <c r="AO85" s="13"/>
      <c r="AP85" s="13"/>
      <c r="AQ85" s="13"/>
      <c r="AR85" s="13"/>
      <c r="AS85" s="13"/>
      <c r="AT85" s="13"/>
    </row>
    <row r="86" spans="1:46">
      <c r="A86" s="8" t="s">
        <v>247</v>
      </c>
      <c r="B86" s="8" t="s">
        <v>47</v>
      </c>
      <c r="C86" s="8" t="s">
        <v>48</v>
      </c>
      <c r="D86" s="8" t="s">
        <v>49</v>
      </c>
      <c r="E86" s="8" t="s">
        <v>318</v>
      </c>
      <c r="F86" s="8" t="s">
        <v>330</v>
      </c>
      <c r="G86" s="8" t="s">
        <v>331</v>
      </c>
      <c r="H86" s="8" t="str">
        <f ca="1">IFERROR(__xludf.DUMMYFUNCTION("VLOOKUP(G86, IMPORTRANGE(""https://docs.google.com/spreadsheets/d/14deopnvwcrKtEGCKuYXdUHJbeLDZlkiSSWWT0g7x2pM/edit#gid=999382323"", ""LU List Maths (Filter)!A:B""), 2, FALSE)"),"Definition of an equilateral triangle")</f>
        <v>Definition of an equilateral triangle</v>
      </c>
      <c r="I86" s="10" t="str">
        <f t="shared" si="0"/>
        <v>LU000246.001</v>
      </c>
      <c r="J86" s="10" t="str">
        <f ca="1">IFERROR(__xludf.DUMMYFUNCTION("VLOOKUP(I86, IMPORTRANGE(""https://docs.google.com/spreadsheets/d/1yDAaXNsi4Mr5FtRQL4tbmSdIzhx6_m4wkOD7IG-k_eo/edit#gid=0"", ""Maths!M:N""), 2, FALSE)"),"Recall the definition of an equilateral triangle.")</f>
        <v>Recall the definition of an equilateral triangle.</v>
      </c>
      <c r="K86" s="10" t="str">
        <f t="shared" si="1"/>
        <v>LU000246.002</v>
      </c>
      <c r="L86" s="10" t="str">
        <f ca="1">IFERROR(__xludf.DUMMYFUNCTION("VLOOKUP(K86, IMPORTRANGE(""https://docs.google.com/spreadsheets/d/1yDAaXNsi4Mr5FtRQL4tbmSdIzhx6_m4wkOD7IG-k_eo/edit#gid=0"", ""Maths!M:N""), 2, FALSE)"),"Describe why all three sides of an equilateral triangle are of equal length.")</f>
        <v>Describe why all three sides of an equilateral triangle are of equal length.</v>
      </c>
      <c r="M86" s="10" t="str">
        <f t="shared" si="2"/>
        <v>LU000246.003</v>
      </c>
      <c r="N86" s="10" t="str">
        <f ca="1">IFERROR(__xludf.DUMMYFUNCTION("VLOOKUP(M86, IMPORTRANGE(""https://docs.google.com/spreadsheets/d/1yDAaXNsi4Mr5FtRQL4tbmSdIzhx6_m4wkOD7IG-k_eo/edit#gid=0"", ""Maths!M:N""), 2, FALSE)"),"Given a set of side measurements, determine whether a given triangle is an equilateral triangle or not.")</f>
        <v>Given a set of side measurements, determine whether a given triangle is an equilateral triangle or not.</v>
      </c>
      <c r="O86" s="10" t="str">
        <f t="shared" si="3"/>
        <v>LU000246.004</v>
      </c>
      <c r="P86" s="10" t="str">
        <f ca="1">IFERROR(__xludf.DUMMYFUNCTION("VLOOKUP(O86, IMPORTRANGE(""https://docs.google.com/spreadsheets/d/1yDAaXNsi4Mr5FtRQL4tbmSdIzhx6_m4wkOD7IG-k_eo/edit#gid=0"", ""Maths!M:N""), 2, FALSE)"),"Analyse different triangles and classify them based on their side measurements, with a focus on identifying equilateral triangles.")</f>
        <v>Analyse different triangles and classify them based on their side measurements, with a focus on identifying equilateral triangles.</v>
      </c>
      <c r="Q86" s="10" t="str">
        <f t="shared" si="4"/>
        <v>LU000246.005</v>
      </c>
      <c r="R86" s="10" t="str">
        <f ca="1">IFERROR(__xludf.DUMMYFUNCTION("VLOOKUP(Q86, IMPORTRANGE(""https://docs.google.com/spreadsheets/d/1yDAaXNsi4Mr5FtRQL4tbmSdIzhx6_m4wkOD7IG-k_eo/edit#gid=0"", ""Maths!M:N""), 2, FALSE)"),"Evaluate examples of triangles and assess if they meet the criteria for being equilateral triangles.")</f>
        <v>Evaluate examples of triangles and assess if they meet the criteria for being equilateral triangles.</v>
      </c>
      <c r="S86" s="10" t="str">
        <f t="shared" si="5"/>
        <v>LU000246.006</v>
      </c>
      <c r="T86" s="10" t="str">
        <f ca="1">IFERROR(__xludf.DUMMYFUNCTION("VLOOKUP(S86, IMPORTRANGE(""https://docs.google.com/spreadsheets/d/1yDAaXNsi4Mr5FtRQL4tbmSdIzhx6_m4wkOD7IG-k_eo/edit#gid=0"", ""Maths!M:N""), 2, FALSE)"),"Design a visual representation or diagram that illustrates an equilateral triangle and its properties.")</f>
        <v>Design a visual representation or diagram that illustrates an equilateral triangle and its properties.</v>
      </c>
      <c r="U86" s="11">
        <f ca="1">IFERROR(__xludf.DUMMYFUNCTION("ArrayFormula(VLOOKUP(G86, IMPORTRANGE(""https://docs.google.com/spreadsheets/d/1p7R4vtkWt5VOBim4ltsDG9KTzSjrtKXsMtQGXPHyND0/edit#gid=795171502"", ""'Filter 30_05_2024'!A1:M2000""), {2, 3, 4, 5,6,7,8,9,10,11,12,13}, 0))"),5)</f>
        <v>5</v>
      </c>
      <c r="V86" s="11">
        <f ca="1">IFERROR(__xludf.DUMMYFUNCTION("""COMPUTED_VALUE"""),2)</f>
        <v>2</v>
      </c>
      <c r="W86" s="11">
        <f ca="1">IFERROR(__xludf.DUMMYFUNCTION("""COMPUTED_VALUE"""),1)</f>
        <v>1</v>
      </c>
      <c r="X86" s="11">
        <f ca="1">IFERROR(__xludf.DUMMYFUNCTION("""COMPUTED_VALUE"""),8)</f>
        <v>8</v>
      </c>
      <c r="Y86" s="11">
        <f ca="1">IFERROR(__xludf.DUMMYFUNCTION("""COMPUTED_VALUE"""),4)</f>
        <v>4</v>
      </c>
      <c r="Z86" s="29">
        <f ca="1">IFERROR(__xludf.DUMMYFUNCTION("""COMPUTED_VALUE"""),7)</f>
        <v>7</v>
      </c>
      <c r="AA86" s="29">
        <f ca="1">IFERROR(__xludf.DUMMYFUNCTION("""COMPUTED_VALUE"""),3)</f>
        <v>3</v>
      </c>
      <c r="AB86" s="12">
        <f ca="1">IFERROR(__xludf.DUMMYFUNCTION("""COMPUTED_VALUE"""),14)</f>
        <v>14</v>
      </c>
      <c r="AC86" s="12"/>
      <c r="AD86" s="12"/>
      <c r="AE86" s="12"/>
      <c r="AF86" s="12"/>
      <c r="AG86" s="13" t="str">
        <f ca="1">IFERROR(__xludf.DUMMYFUNCTION("ArrayFormula(VLOOKUP(G86, IMPORTRANGE(""https://docs.google.com/spreadsheets/d/1Co934fvtviyaRiMsrIlT05Jaq7iiYq07aLvRr35KA48/edit?gid=173865642#gid=173865642"", ""'G6_Maths_Pri_LU'!G2:V2000""), {3, 4, 5, 6, 7, 8, 9, 10, 11, 12, 13, 14, 15, 16}, 0))"),"LU000229")</f>
        <v>LU000229</v>
      </c>
      <c r="AH86" s="13" t="str">
        <f ca="1">IFERROR(__xludf.DUMMYFUNCTION("""COMPUTED_VALUE"""),"Lexical explanation of triangle")</f>
        <v>Lexical explanation of triangle</v>
      </c>
      <c r="AI86" s="13" t="str">
        <f ca="1">IFERROR(__xludf.DUMMYFUNCTION("""COMPUTED_VALUE"""),"LU000227")</f>
        <v>LU000227</v>
      </c>
      <c r="AJ86" s="13" t="str">
        <f ca="1">IFERROR(__xludf.DUMMYFUNCTION("""COMPUTED_VALUE"""),"Definition and elements of a polygon")</f>
        <v>Definition and elements of a polygon</v>
      </c>
      <c r="AK86" s="13" t="str">
        <f ca="1">IFERROR(__xludf.DUMMYFUNCTION("""COMPUTED_VALUE"""),"LU000219")</f>
        <v>LU000219</v>
      </c>
      <c r="AL86" s="13" t="str">
        <f ca="1">IFERROR(__xludf.DUMMYFUNCTION("""COMPUTED_VALUE"""),"Definition of line segment")</f>
        <v>Definition of line segment</v>
      </c>
      <c r="AM86" s="13"/>
      <c r="AN86" s="13"/>
      <c r="AO86" s="13"/>
      <c r="AP86" s="13"/>
      <c r="AQ86" s="13"/>
      <c r="AR86" s="13"/>
      <c r="AS86" s="13"/>
      <c r="AT86" s="13"/>
    </row>
    <row r="87" spans="1:46">
      <c r="A87" s="8" t="s">
        <v>247</v>
      </c>
      <c r="B87" s="8" t="s">
        <v>47</v>
      </c>
      <c r="C87" s="8" t="s">
        <v>48</v>
      </c>
      <c r="D87" s="8" t="s">
        <v>49</v>
      </c>
      <c r="E87" s="8" t="s">
        <v>318</v>
      </c>
      <c r="F87" s="8" t="s">
        <v>330</v>
      </c>
      <c r="G87" s="8" t="s">
        <v>332</v>
      </c>
      <c r="H87" s="8" t="str">
        <f ca="1">IFERROR(__xludf.DUMMYFUNCTION("VLOOKUP(G87, IMPORTRANGE(""https://docs.google.com/spreadsheets/d/14deopnvwcrKtEGCKuYXdUHJbeLDZlkiSSWWT0g7x2pM/edit#gid=999382323"", ""LU List Maths (Filter)!A:B""), 2, FALSE)"),"Definition of an isosceles triangle")</f>
        <v>Definition of an isosceles triangle</v>
      </c>
      <c r="I87" s="10" t="str">
        <f t="shared" si="0"/>
        <v>LU000263.001</v>
      </c>
      <c r="J87" s="10" t="str">
        <f ca="1">IFERROR(__xludf.DUMMYFUNCTION("VLOOKUP(I87, IMPORTRANGE(""https://docs.google.com/spreadsheets/d/1yDAaXNsi4Mr5FtRQL4tbmSdIzhx6_m4wkOD7IG-k_eo/edit#gid=0"", ""Maths!M:N""), 2, FALSE)"),"Recall the definition of an isosceles triangle.")</f>
        <v>Recall the definition of an isosceles triangle.</v>
      </c>
      <c r="K87" s="10" t="str">
        <f t="shared" si="1"/>
        <v>LU000263.002</v>
      </c>
      <c r="L87" s="10" t="str">
        <f ca="1">IFERROR(__xludf.DUMMYFUNCTION("VLOOKUP(K87, IMPORTRANGE(""https://docs.google.com/spreadsheets/d/1yDAaXNsi4Mr5FtRQL4tbmSdIzhx6_m4wkOD7IG-k_eo/edit#gid=0"", ""Maths!M:N""), 2, FALSE)"),"Describe why an isosceles triangle has two sides of equal length and the implications of this property.")</f>
        <v>Describe why an isosceles triangle has two sides of equal length and the implications of this property.</v>
      </c>
      <c r="M87" s="10" t="str">
        <f t="shared" si="2"/>
        <v>LU000263.003</v>
      </c>
      <c r="N87" s="10" t="str">
        <f ca="1">IFERROR(__xludf.DUMMYFUNCTION("VLOOKUP(M87, IMPORTRANGE(""https://docs.google.com/spreadsheets/d/1yDAaXNsi4Mr5FtRQL4tbmSdIzhx6_m4wkOD7IG-k_eo/edit#gid=0"", ""Maths!M:N""), 2, FALSE)"),"Given a set of side measurements, determine whether a given triangle is an isosceles triangle or not.")</f>
        <v>Given a set of side measurements, determine whether a given triangle is an isosceles triangle or not.</v>
      </c>
      <c r="O87" s="10" t="str">
        <f t="shared" si="3"/>
        <v>LU000263.004</v>
      </c>
      <c r="P87" s="10" t="str">
        <f ca="1">IFERROR(__xludf.DUMMYFUNCTION("VLOOKUP(O87, IMPORTRANGE(""https://docs.google.com/spreadsheets/d/1yDAaXNsi4Mr5FtRQL4tbmSdIzhx6_m4wkOD7IG-k_eo/edit#gid=0"", ""Maths!M:N""), 2, FALSE)"),"Analyse different triangles and classify them based on their side measurements, with a focus on identifying isosceles triangles.")</f>
        <v>Analyse different triangles and classify them based on their side measurements, with a focus on identifying isosceles triangles.</v>
      </c>
      <c r="Q87" s="10" t="str">
        <f t="shared" si="4"/>
        <v>LU000263.005</v>
      </c>
      <c r="R87" s="10" t="str">
        <f ca="1">IFERROR(__xludf.DUMMYFUNCTION("VLOOKUP(Q87, IMPORTRANGE(""https://docs.google.com/spreadsheets/d/1yDAaXNsi4Mr5FtRQL4tbmSdIzhx6_m4wkOD7IG-k_eo/edit#gid=0"", ""Maths!M:N""), 2, FALSE)"),"Evaluate examples of triangles and assess if they meet the criteria for being isosceles triangles.")</f>
        <v>Evaluate examples of triangles and assess if they meet the criteria for being isosceles triangles.</v>
      </c>
      <c r="S87" s="10" t="str">
        <f t="shared" si="5"/>
        <v>LU000263.006</v>
      </c>
      <c r="T87" s="10" t="str">
        <f ca="1">IFERROR(__xludf.DUMMYFUNCTION("VLOOKUP(S87, IMPORTRANGE(""https://docs.google.com/spreadsheets/d/1yDAaXNsi4Mr5FtRQL4tbmSdIzhx6_m4wkOD7IG-k_eo/edit#gid=0"", ""Maths!M:N""), 2, FALSE)"),"Design a visual representation or diagram that illustrates an isosceles triangle and its properties.")</f>
        <v>Design a visual representation or diagram that illustrates an isosceles triangle and its properties.</v>
      </c>
      <c r="U87" s="11">
        <f ca="1">IFERROR(__xludf.DUMMYFUNCTION("ArrayFormula(VLOOKUP(G87, IMPORTRANGE(""https://docs.google.com/spreadsheets/d/1p7R4vtkWt5VOBim4ltsDG9KTzSjrtKXsMtQGXPHyND0/edit#gid=795171502"", ""'Filter 30_05_2024'!A1:M2000""), {2, 3, 4, 5,6,7,8,9,10,11,12,13}, 0))"),4)</f>
        <v>4</v>
      </c>
      <c r="V87" s="11">
        <f ca="1">IFERROR(__xludf.DUMMYFUNCTION("""COMPUTED_VALUE"""),3)</f>
        <v>3</v>
      </c>
      <c r="W87" s="11">
        <f ca="1">IFERROR(__xludf.DUMMYFUNCTION("""COMPUTED_VALUE"""),1)</f>
        <v>1</v>
      </c>
      <c r="X87" s="11">
        <f ca="1">IFERROR(__xludf.DUMMYFUNCTION("""COMPUTED_VALUE"""),8)</f>
        <v>8</v>
      </c>
      <c r="Y87" s="11">
        <f ca="1">IFERROR(__xludf.DUMMYFUNCTION("""COMPUTED_VALUE"""),4)</f>
        <v>4</v>
      </c>
      <c r="Z87" s="29">
        <f ca="1">IFERROR(__xludf.DUMMYFUNCTION("""COMPUTED_VALUE"""),5)</f>
        <v>5</v>
      </c>
      <c r="AA87" s="29">
        <f ca="1">IFERROR(__xludf.DUMMYFUNCTION("""COMPUTED_VALUE"""),3)</f>
        <v>3</v>
      </c>
      <c r="AB87" s="12">
        <f ca="1">IFERROR(__xludf.DUMMYFUNCTION("""COMPUTED_VALUE"""),12)</f>
        <v>12</v>
      </c>
      <c r="AC87" s="12"/>
      <c r="AD87" s="12"/>
      <c r="AE87" s="12"/>
      <c r="AF87" s="12"/>
      <c r="AG87" s="13" t="str">
        <f ca="1">IFERROR(__xludf.DUMMYFUNCTION("ArrayFormula(VLOOKUP(G87, IMPORTRANGE(""https://docs.google.com/spreadsheets/d/1Co934fvtviyaRiMsrIlT05Jaq7iiYq07aLvRr35KA48/edit?gid=173865642#gid=173865642"", ""'G6_Maths_Pri_LU'!G2:V2000""), {3, 4, 5, 6, 7, 8, 9, 10, 11, 12, 13, 14, 15, 16}, 0))"),"LU000229")</f>
        <v>LU000229</v>
      </c>
      <c r="AH87" s="13" t="str">
        <f ca="1">IFERROR(__xludf.DUMMYFUNCTION("""COMPUTED_VALUE"""),"Lexical explanation of triangle")</f>
        <v>Lexical explanation of triangle</v>
      </c>
      <c r="AI87" s="13" t="str">
        <f ca="1">IFERROR(__xludf.DUMMYFUNCTION("""COMPUTED_VALUE"""),"LU000227")</f>
        <v>LU000227</v>
      </c>
      <c r="AJ87" s="13" t="str">
        <f ca="1">IFERROR(__xludf.DUMMYFUNCTION("""COMPUTED_VALUE"""),"Definition and elements of a polygon")</f>
        <v>Definition and elements of a polygon</v>
      </c>
      <c r="AK87" s="13" t="str">
        <f ca="1">IFERROR(__xludf.DUMMYFUNCTION("""COMPUTED_VALUE"""),"LU000219")</f>
        <v>LU000219</v>
      </c>
      <c r="AL87" s="13" t="str">
        <f ca="1">IFERROR(__xludf.DUMMYFUNCTION("""COMPUTED_VALUE"""),"Definition of line segment")</f>
        <v>Definition of line segment</v>
      </c>
      <c r="AM87" s="13"/>
      <c r="AN87" s="13"/>
      <c r="AO87" s="13"/>
      <c r="AP87" s="13"/>
      <c r="AQ87" s="13"/>
      <c r="AR87" s="13"/>
      <c r="AS87" s="13"/>
      <c r="AT87" s="13"/>
    </row>
    <row r="88" spans="1:46">
      <c r="A88" s="8" t="s">
        <v>247</v>
      </c>
      <c r="B88" s="8" t="s">
        <v>47</v>
      </c>
      <c r="C88" s="8" t="s">
        <v>48</v>
      </c>
      <c r="D88" s="8" t="s">
        <v>49</v>
      </c>
      <c r="E88" s="8" t="s">
        <v>318</v>
      </c>
      <c r="F88" s="8" t="s">
        <v>330</v>
      </c>
      <c r="G88" s="8" t="s">
        <v>333</v>
      </c>
      <c r="H88" s="8" t="str">
        <f ca="1">IFERROR(__xludf.DUMMYFUNCTION("VLOOKUP(G88, IMPORTRANGE(""https://docs.google.com/spreadsheets/d/14deopnvwcrKtEGCKuYXdUHJbeLDZlkiSSWWT0g7x2pM/edit#gid=999382323"", ""LU List Maths (Filter)!A:B""), 2, FALSE)"),"Definition of a scalene triangle")</f>
        <v>Definition of a scalene triangle</v>
      </c>
      <c r="I88" s="10" t="str">
        <f t="shared" si="0"/>
        <v>LU000264.001</v>
      </c>
      <c r="J88" s="10" t="str">
        <f ca="1">IFERROR(__xludf.DUMMYFUNCTION("VLOOKUP(I88, IMPORTRANGE(""https://docs.google.com/spreadsheets/d/1yDAaXNsi4Mr5FtRQL4tbmSdIzhx6_m4wkOD7IG-k_eo/edit#gid=0"", ""Maths!M:N""), 2, FALSE)"),"Recall the definition of a scalene triangle.")</f>
        <v>Recall the definition of a scalene triangle.</v>
      </c>
      <c r="K88" s="10" t="str">
        <f t="shared" si="1"/>
        <v>LU000264.002</v>
      </c>
      <c r="L88" s="10" t="str">
        <f ca="1">IFERROR(__xludf.DUMMYFUNCTION("VLOOKUP(K88, IMPORTRANGE(""https://docs.google.com/spreadsheets/d/1yDAaXNsi4Mr5FtRQL4tbmSdIzhx6_m4wkOD7IG-k_eo/edit#gid=0"", ""Maths!M:N""), 2, FALSE)"),"Describe why a scalene triangle has two sides of equal length and the implications of this property.")</f>
        <v>Describe why a scalene triangle has two sides of equal length and the implications of this property.</v>
      </c>
      <c r="M88" s="10" t="str">
        <f t="shared" si="2"/>
        <v>LU000264.003</v>
      </c>
      <c r="N88" s="10" t="str">
        <f ca="1">IFERROR(__xludf.DUMMYFUNCTION("VLOOKUP(M88, IMPORTRANGE(""https://docs.google.com/spreadsheets/d/1yDAaXNsi4Mr5FtRQL4tbmSdIzhx6_m4wkOD7IG-k_eo/edit#gid=0"", ""Maths!M:N""), 2, FALSE)"),"Given a set of side measurements, determine whether a given triangle is a scalene triangle or not.")</f>
        <v>Given a set of side measurements, determine whether a given triangle is a scalene triangle or not.</v>
      </c>
      <c r="O88" s="10" t="str">
        <f t="shared" si="3"/>
        <v>LU000264.004</v>
      </c>
      <c r="P88" s="10" t="str">
        <f ca="1">IFERROR(__xludf.DUMMYFUNCTION("VLOOKUP(O88, IMPORTRANGE(""https://docs.google.com/spreadsheets/d/1yDAaXNsi4Mr5FtRQL4tbmSdIzhx6_m4wkOD7IG-k_eo/edit#gid=0"", ""Maths!M:N""), 2, FALSE)"),"Analyse different triangles and classify them based on their side measurements, with a focus on identifying scalene triangles.")</f>
        <v>Analyse different triangles and classify them based on their side measurements, with a focus on identifying scalene triangles.</v>
      </c>
      <c r="Q88" s="10" t="str">
        <f t="shared" si="4"/>
        <v>LU000264.005</v>
      </c>
      <c r="R88" s="10" t="str">
        <f ca="1">IFERROR(__xludf.DUMMYFUNCTION("VLOOKUP(Q88, IMPORTRANGE(""https://docs.google.com/spreadsheets/d/1yDAaXNsi4Mr5FtRQL4tbmSdIzhx6_m4wkOD7IG-k_eo/edit#gid=0"", ""Maths!M:N""), 2, FALSE)"),"Evaluate examples of triangles and assess if they meet the criteria for being scalene triangles.")</f>
        <v>Evaluate examples of triangles and assess if they meet the criteria for being scalene triangles.</v>
      </c>
      <c r="S88" s="10" t="str">
        <f t="shared" si="5"/>
        <v>LU000264.006</v>
      </c>
      <c r="T88" s="10" t="str">
        <f ca="1">IFERROR(__xludf.DUMMYFUNCTION("VLOOKUP(S88, IMPORTRANGE(""https://docs.google.com/spreadsheets/d/1yDAaXNsi4Mr5FtRQL4tbmSdIzhx6_m4wkOD7IG-k_eo/edit#gid=0"", ""Maths!M:N""), 2, FALSE)"),"Design a visual representation or diagram that illustrates a scalene triangle and its properties.")</f>
        <v>Design a visual representation or diagram that illustrates a scalene triangle and its properties.</v>
      </c>
      <c r="U88" s="11">
        <f ca="1">IFERROR(__xludf.DUMMYFUNCTION("ArrayFormula(VLOOKUP(G88, IMPORTRANGE(""https://docs.google.com/spreadsheets/d/1p7R4vtkWt5VOBim4ltsDG9KTzSjrtKXsMtQGXPHyND0/edit#gid=795171502"", ""'Filter 30_05_2024'!A1:M2000""), {2, 3, 4, 5,6,7,8,9,10,11,12,13}, 0))"),5)</f>
        <v>5</v>
      </c>
      <c r="V88" s="11">
        <f ca="1">IFERROR(__xludf.DUMMYFUNCTION("""COMPUTED_VALUE"""),4)</f>
        <v>4</v>
      </c>
      <c r="W88" s="11">
        <f ca="1">IFERROR(__xludf.DUMMYFUNCTION("""COMPUTED_VALUE"""),2)</f>
        <v>2</v>
      </c>
      <c r="X88" s="11">
        <f ca="1">IFERROR(__xludf.DUMMYFUNCTION("""COMPUTED_VALUE"""),11)</f>
        <v>11</v>
      </c>
      <c r="Y88" s="11">
        <f ca="1">IFERROR(__xludf.DUMMYFUNCTION("""COMPUTED_VALUE"""),4)</f>
        <v>4</v>
      </c>
      <c r="Z88" s="29">
        <f ca="1">IFERROR(__xludf.DUMMYFUNCTION("""COMPUTED_VALUE"""),5)</f>
        <v>5</v>
      </c>
      <c r="AA88" s="29">
        <f ca="1">IFERROR(__xludf.DUMMYFUNCTION("""COMPUTED_VALUE"""),1)</f>
        <v>1</v>
      </c>
      <c r="AB88" s="12">
        <f ca="1">IFERROR(__xludf.DUMMYFUNCTION("""COMPUTED_VALUE"""),10)</f>
        <v>10</v>
      </c>
      <c r="AC88" s="12"/>
      <c r="AD88" s="12"/>
      <c r="AE88" s="12"/>
      <c r="AF88" s="12"/>
      <c r="AG88" s="13" t="str">
        <f ca="1">IFERROR(__xludf.DUMMYFUNCTION("ArrayFormula(VLOOKUP(G88, IMPORTRANGE(""https://docs.google.com/spreadsheets/d/1Co934fvtviyaRiMsrIlT05Jaq7iiYq07aLvRr35KA48/edit?gid=173865642#gid=173865642"", ""'G6_Maths_Pri_LU'!G2:V2000""), {3, 4, 5, 6, 7, 8, 9, 10, 11, 12, 13, 14, 15, 16}, 0))"),"LU000229")</f>
        <v>LU000229</v>
      </c>
      <c r="AH88" s="13" t="str">
        <f ca="1">IFERROR(__xludf.DUMMYFUNCTION("""COMPUTED_VALUE"""),"Lexical explanation of triangle")</f>
        <v>Lexical explanation of triangle</v>
      </c>
      <c r="AI88" s="13" t="str">
        <f ca="1">IFERROR(__xludf.DUMMYFUNCTION("""COMPUTED_VALUE"""),"LU000227")</f>
        <v>LU000227</v>
      </c>
      <c r="AJ88" s="13" t="str">
        <f ca="1">IFERROR(__xludf.DUMMYFUNCTION("""COMPUTED_VALUE"""),"Definition and elements of a polygon")</f>
        <v>Definition and elements of a polygon</v>
      </c>
      <c r="AK88" s="13" t="str">
        <f ca="1">IFERROR(__xludf.DUMMYFUNCTION("""COMPUTED_VALUE"""),"LU000219")</f>
        <v>LU000219</v>
      </c>
      <c r="AL88" s="13" t="str">
        <f ca="1">IFERROR(__xludf.DUMMYFUNCTION("""COMPUTED_VALUE"""),"Definition of line segment")</f>
        <v>Definition of line segment</v>
      </c>
      <c r="AM88" s="13"/>
      <c r="AN88" s="13"/>
      <c r="AO88" s="13"/>
      <c r="AP88" s="13"/>
      <c r="AQ88" s="13"/>
      <c r="AR88" s="13"/>
      <c r="AS88" s="13"/>
      <c r="AT88" s="13"/>
    </row>
    <row r="89" spans="1:46">
      <c r="A89" s="8" t="s">
        <v>247</v>
      </c>
      <c r="B89" s="8" t="s">
        <v>47</v>
      </c>
      <c r="C89" s="8" t="s">
        <v>48</v>
      </c>
      <c r="D89" s="8" t="s">
        <v>49</v>
      </c>
      <c r="E89" s="8" t="s">
        <v>318</v>
      </c>
      <c r="F89" s="8" t="s">
        <v>334</v>
      </c>
      <c r="G89" s="8" t="s">
        <v>335</v>
      </c>
      <c r="H89" s="8" t="str">
        <f ca="1">IFERROR(__xludf.DUMMYFUNCTION("VLOOKUP(G89, IMPORTRANGE(""https://docs.google.com/spreadsheets/d/14deopnvwcrKtEGCKuYXdUHJbeLDZlkiSSWWT0g7x2pM/edit#gid=999382323"", ""LU List Maths (Filter)!A:B""), 2, FALSE)"),"Definition of an acute angled triangle")</f>
        <v>Definition of an acute angled triangle</v>
      </c>
      <c r="I89" s="10" t="str">
        <f t="shared" si="0"/>
        <v>LU000247.001</v>
      </c>
      <c r="J89" s="10" t="str">
        <f ca="1">IFERROR(__xludf.DUMMYFUNCTION("VLOOKUP(I89, IMPORTRANGE(""https://docs.google.com/spreadsheets/d/1yDAaXNsi4Mr5FtRQL4tbmSdIzhx6_m4wkOD7IG-k_eo/edit#gid=0"", ""Maths!M:N""), 2, FALSE)"),"Recall the definition of an acute angled triangle.")</f>
        <v>Recall the definition of an acute angled triangle.</v>
      </c>
      <c r="K89" s="10" t="str">
        <f t="shared" si="1"/>
        <v>LU000247.002</v>
      </c>
      <c r="L89" s="10" t="str">
        <f ca="1">IFERROR(__xludf.DUMMYFUNCTION("VLOOKUP(K89, IMPORTRANGE(""https://docs.google.com/spreadsheets/d/1yDAaXNsi4Mr5FtRQL4tbmSdIzhx6_m4wkOD7IG-k_eo/edit#gid=0"", ""Maths!M:N""), 2, FALSE)"),"Describe why an acute angled triangle has all angles measuring less than 90 degrees and its properties.")</f>
        <v>Describe why an acute angled triangle has all angles measuring less than 90 degrees and its properties.</v>
      </c>
      <c r="M89" s="10" t="str">
        <f t="shared" si="2"/>
        <v>LU000247.003</v>
      </c>
      <c r="N89" s="10" t="str">
        <f ca="1">IFERROR(__xludf.DUMMYFUNCTION("VLOOKUP(M89, IMPORTRANGE(""https://docs.google.com/spreadsheets/d/1yDAaXNsi4Mr5FtRQL4tbmSdIzhx6_m4wkOD7IG-k_eo/edit#gid=0"", ""Maths!M:N""), 2, FALSE)"),"Given a set of angle measurements, identify whether a given triangle is an acute angled triangle or not.")</f>
        <v>Given a set of angle measurements, identify whether a given triangle is an acute angled triangle or not.</v>
      </c>
      <c r="O89" s="10" t="str">
        <f t="shared" si="3"/>
        <v>LU000247.004</v>
      </c>
      <c r="P89" s="10" t="str">
        <f ca="1">IFERROR(__xludf.DUMMYFUNCTION("VLOOKUP(O89, IMPORTRANGE(""https://docs.google.com/spreadsheets/d/1yDAaXNsi4Mr5FtRQL4tbmSdIzhx6_m4wkOD7IG-k_eo/edit#gid=0"", ""Maths!M:N""), 2, FALSE)"),"Analyse various triangles and differentiate between acute angled triangles and other types based on their angle measurements.")</f>
        <v>Analyse various triangles and differentiate between acute angled triangles and other types based on their angle measurements.</v>
      </c>
      <c r="Q89" s="10" t="str">
        <f t="shared" si="4"/>
        <v>LU000247.005</v>
      </c>
      <c r="R89" s="10" t="str">
        <f ca="1">IFERROR(__xludf.DUMMYFUNCTION("VLOOKUP(Q89, IMPORTRANGE(""https://docs.google.com/spreadsheets/d/1yDAaXNsi4Mr5FtRQL4tbmSdIzhx6_m4wkOD7IG-k_eo/edit#gid=0"", ""Maths!M:N""), 2, FALSE)"),"Critique examples of triangles and determine if they meet the criteria for being acute angled triangles.")</f>
        <v>Critique examples of triangles and determine if they meet the criteria for being acute angled triangles.</v>
      </c>
      <c r="S89" s="10" t="str">
        <f t="shared" si="5"/>
        <v>LU000247.006</v>
      </c>
      <c r="T89" s="10" t="str">
        <f ca="1">IFERROR(__xludf.DUMMYFUNCTION("VLOOKUP(S89, IMPORTRANGE(""https://docs.google.com/spreadsheets/d/1yDAaXNsi4Mr5FtRQL4tbmSdIzhx6_m4wkOD7IG-k_eo/edit#gid=0"", ""Maths!M:N""), 2, FALSE)"),"Design a visual representation or diagram that illustrates an acute angled triangle and its properties.")</f>
        <v>Design a visual representation or diagram that illustrates an acute angled triangle and its properties.</v>
      </c>
      <c r="U89" s="11">
        <f ca="1">IFERROR(__xludf.DUMMYFUNCTION("ArrayFormula(VLOOKUP(G89, IMPORTRANGE(""https://docs.google.com/spreadsheets/d/1p7R4vtkWt5VOBim4ltsDG9KTzSjrtKXsMtQGXPHyND0/edit#gid=795171502"", ""'Filter 30_05_2024'!A1:M2000""), {2, 3, 4, 5,6,7,8,9,10,11,12,13}, 0))"),5)</f>
        <v>5</v>
      </c>
      <c r="V89" s="11">
        <f ca="1">IFERROR(__xludf.DUMMYFUNCTION("""COMPUTED_VALUE"""),6)</f>
        <v>6</v>
      </c>
      <c r="W89" s="11">
        <f ca="1">IFERROR(__xludf.DUMMYFUNCTION("""COMPUTED_VALUE"""),2)</f>
        <v>2</v>
      </c>
      <c r="X89" s="11">
        <f ca="1">IFERROR(__xludf.DUMMYFUNCTION("""COMPUTED_VALUE"""),13)</f>
        <v>13</v>
      </c>
      <c r="Y89" s="11">
        <f ca="1">IFERROR(__xludf.DUMMYFUNCTION("""COMPUTED_VALUE"""),4)</f>
        <v>4</v>
      </c>
      <c r="Z89" s="29">
        <f ca="1">IFERROR(__xludf.DUMMYFUNCTION("""COMPUTED_VALUE"""),3)</f>
        <v>3</v>
      </c>
      <c r="AA89" s="29">
        <f ca="1">IFERROR(__xludf.DUMMYFUNCTION("""COMPUTED_VALUE"""),1)</f>
        <v>1</v>
      </c>
      <c r="AB89" s="12">
        <f ca="1">IFERROR(__xludf.DUMMYFUNCTION("""COMPUTED_VALUE"""),8)</f>
        <v>8</v>
      </c>
      <c r="AC89" s="12"/>
      <c r="AD89" s="12"/>
      <c r="AE89" s="12"/>
      <c r="AF89" s="12"/>
      <c r="AG89" s="13" t="str">
        <f ca="1">IFERROR(__xludf.DUMMYFUNCTION("ArrayFormula(VLOOKUP(G89, IMPORTRANGE(""https://docs.google.com/spreadsheets/d/1Co934fvtviyaRiMsrIlT05Jaq7iiYq07aLvRr35KA48/edit?gid=173865642#gid=173865642"", ""'G6_Maths_Pri_LU'!G2:V2000""), {3, 4, 5, 6, 7, 8, 9, 10, 11, 12, 13, 14, 15, 16}, 0))"),"LU000242")</f>
        <v>LU000242</v>
      </c>
      <c r="AH89" s="13" t="str">
        <f ca="1">IFERROR(__xludf.DUMMYFUNCTION("""COMPUTED_VALUE"""),"Definition of an acute angle")</f>
        <v>Definition of an acute angle</v>
      </c>
      <c r="AI89" s="13" t="str">
        <f ca="1">IFERROR(__xludf.DUMMYFUNCTION("""COMPUTED_VALUE"""),"LU000229")</f>
        <v>LU000229</v>
      </c>
      <c r="AJ89" s="13" t="str">
        <f ca="1">IFERROR(__xludf.DUMMYFUNCTION("""COMPUTED_VALUE"""),"Lexical explanation of triangle")</f>
        <v>Lexical explanation of triangle</v>
      </c>
      <c r="AK89" s="13" t="str">
        <f ca="1">IFERROR(__xludf.DUMMYFUNCTION("""COMPUTED_VALUE"""),"LU000019")</f>
        <v>LU000019</v>
      </c>
      <c r="AL89" s="13" t="str">
        <f ca="1">IFERROR(__xludf.DUMMYFUNCTION("""COMPUTED_VALUE"""),"Classification of angles with respect to right angle")</f>
        <v>Classification of angles with respect to right angle</v>
      </c>
      <c r="AM89" s="13"/>
      <c r="AN89" s="13"/>
      <c r="AO89" s="13"/>
      <c r="AP89" s="13"/>
      <c r="AQ89" s="13"/>
      <c r="AR89" s="13"/>
      <c r="AS89" s="13"/>
      <c r="AT89" s="13"/>
    </row>
    <row r="90" spans="1:46">
      <c r="A90" s="8" t="s">
        <v>247</v>
      </c>
      <c r="B90" s="8" t="s">
        <v>47</v>
      </c>
      <c r="C90" s="8" t="s">
        <v>48</v>
      </c>
      <c r="D90" s="8" t="s">
        <v>49</v>
      </c>
      <c r="E90" s="8" t="s">
        <v>318</v>
      </c>
      <c r="F90" s="8" t="s">
        <v>334</v>
      </c>
      <c r="G90" s="8" t="s">
        <v>336</v>
      </c>
      <c r="H90" s="8" t="str">
        <f ca="1">IFERROR(__xludf.DUMMYFUNCTION("VLOOKUP(G90, IMPORTRANGE(""https://docs.google.com/spreadsheets/d/14deopnvwcrKtEGCKuYXdUHJbeLDZlkiSSWWT0g7x2pM/edit#gid=999382323"", ""LU List Maths (Filter)!A:B""), 2, FALSE)"),"Definition of an obtuse angled triangle")</f>
        <v>Definition of an obtuse angled triangle</v>
      </c>
      <c r="I90" s="10" t="str">
        <f t="shared" si="0"/>
        <v>LU000261.001</v>
      </c>
      <c r="J90" s="10" t="str">
        <f ca="1">IFERROR(__xludf.DUMMYFUNCTION("VLOOKUP(I90, IMPORTRANGE(""https://docs.google.com/spreadsheets/d/1yDAaXNsi4Mr5FtRQL4tbmSdIzhx6_m4wkOD7IG-k_eo/edit#gid=0"", ""Maths!M:N""), 2, FALSE)"),"Recall the definition of an obtuse angled triangle.")</f>
        <v>Recall the definition of an obtuse angled triangle.</v>
      </c>
      <c r="K90" s="10" t="str">
        <f t="shared" si="1"/>
        <v>LU000261.002</v>
      </c>
      <c r="L90" s="10" t="str">
        <f ca="1">IFERROR(__xludf.DUMMYFUNCTION("VLOOKUP(K90, IMPORTRANGE(""https://docs.google.com/spreadsheets/d/1yDAaXNsi4Mr5FtRQL4tbmSdIzhx6_m4wkOD7IG-k_eo/edit#gid=0"", ""Maths!M:N""), 2, FALSE)"),"Describe why an obtuse angled triangle has one angle measuring more than 90 degrees and its properties.")</f>
        <v>Describe why an obtuse angled triangle has one angle measuring more than 90 degrees and its properties.</v>
      </c>
      <c r="M90" s="10" t="str">
        <f t="shared" si="2"/>
        <v>LU000261.003</v>
      </c>
      <c r="N90" s="10" t="str">
        <f ca="1">IFERROR(__xludf.DUMMYFUNCTION("VLOOKUP(M90, IMPORTRANGE(""https://docs.google.com/spreadsheets/d/1yDAaXNsi4Mr5FtRQL4tbmSdIzhx6_m4wkOD7IG-k_eo/edit#gid=0"", ""Maths!M:N""), 2, FALSE)"),"Given a set of angle measurements, identify whether a given triangle is an obtuse angled triangle or not.")</f>
        <v>Given a set of angle measurements, identify whether a given triangle is an obtuse angled triangle or not.</v>
      </c>
      <c r="O90" s="10" t="str">
        <f t="shared" si="3"/>
        <v>LU000261.004</v>
      </c>
      <c r="P90" s="10" t="str">
        <f ca="1">IFERROR(__xludf.DUMMYFUNCTION("VLOOKUP(O90, IMPORTRANGE(""https://docs.google.com/spreadsheets/d/1yDAaXNsi4Mr5FtRQL4tbmSdIzhx6_m4wkOD7IG-k_eo/edit#gid=0"", ""Maths!M:N""), 2, FALSE)"),"Analyse various triangles and differentiate between obtuse angled triangles and other types based on their angle measurements.")</f>
        <v>Analyse various triangles and differentiate between obtuse angled triangles and other types based on their angle measurements.</v>
      </c>
      <c r="Q90" s="10" t="str">
        <f t="shared" si="4"/>
        <v>LU000261.005</v>
      </c>
      <c r="R90" s="10" t="str">
        <f ca="1">IFERROR(__xludf.DUMMYFUNCTION("VLOOKUP(Q90, IMPORTRANGE(""https://docs.google.com/spreadsheets/d/1yDAaXNsi4Mr5FtRQL4tbmSdIzhx6_m4wkOD7IG-k_eo/edit#gid=0"", ""Maths!M:N""), 2, FALSE)"),"Critique examples of triangles and determine if they meet the criteria for being obtuse angled triangles.")</f>
        <v>Critique examples of triangles and determine if they meet the criteria for being obtuse angled triangles.</v>
      </c>
      <c r="S90" s="10" t="str">
        <f t="shared" si="5"/>
        <v>LU000261.006</v>
      </c>
      <c r="T90" s="10" t="str">
        <f ca="1">IFERROR(__xludf.DUMMYFUNCTION("VLOOKUP(S90, IMPORTRANGE(""https://docs.google.com/spreadsheets/d/1yDAaXNsi4Mr5FtRQL4tbmSdIzhx6_m4wkOD7IG-k_eo/edit#gid=0"", ""Maths!M:N""), 2, FALSE)"),"Design a visual representation or diagram that illustrates an obtuse angled triangle and its properties.")</f>
        <v>Design a visual representation or diagram that illustrates an obtuse angled triangle and its properties.</v>
      </c>
      <c r="U90" s="11">
        <f ca="1">IFERROR(__xludf.DUMMYFUNCTION("ArrayFormula(VLOOKUP(G90, IMPORTRANGE(""https://docs.google.com/spreadsheets/d/1p7R4vtkWt5VOBim4ltsDG9KTzSjrtKXsMtQGXPHyND0/edit#gid=795171502"", ""'Filter 30_05_2024'!A1:M2000""), {2, 3, 4, 5,6,7,8,9,10,11,12,13}, 0))"),5)</f>
        <v>5</v>
      </c>
      <c r="V90" s="11">
        <f ca="1">IFERROR(__xludf.DUMMYFUNCTION("""COMPUTED_VALUE"""),6)</f>
        <v>6</v>
      </c>
      <c r="W90" s="11">
        <f ca="1">IFERROR(__xludf.DUMMYFUNCTION("""COMPUTED_VALUE"""),2)</f>
        <v>2</v>
      </c>
      <c r="X90" s="11">
        <f ca="1">IFERROR(__xludf.DUMMYFUNCTION("""COMPUTED_VALUE"""),13)</f>
        <v>13</v>
      </c>
      <c r="Y90" s="11">
        <f ca="1">IFERROR(__xludf.DUMMYFUNCTION("""COMPUTED_VALUE"""),4)</f>
        <v>4</v>
      </c>
      <c r="Z90" s="29">
        <f ca="1">IFERROR(__xludf.DUMMYFUNCTION("""COMPUTED_VALUE"""),4)</f>
        <v>4</v>
      </c>
      <c r="AA90" s="29">
        <f ca="1">IFERROR(__xludf.DUMMYFUNCTION("""COMPUTED_VALUE"""),1)</f>
        <v>1</v>
      </c>
      <c r="AB90" s="12">
        <f ca="1">IFERROR(__xludf.DUMMYFUNCTION("""COMPUTED_VALUE"""),9)</f>
        <v>9</v>
      </c>
      <c r="AC90" s="12"/>
      <c r="AD90" s="12"/>
      <c r="AE90" s="12"/>
      <c r="AF90" s="12"/>
      <c r="AG90" s="13" t="str">
        <f ca="1">IFERROR(__xludf.DUMMYFUNCTION("ArrayFormula(VLOOKUP(G90, IMPORTRANGE(""https://docs.google.com/spreadsheets/d/1Co934fvtviyaRiMsrIlT05Jaq7iiYq07aLvRr35KA48/edit?gid=173865642#gid=173865642"", ""'G6_Maths_Pri_LU'!G2:V2000""), {3, 4, 5, 6, 7, 8, 9, 10, 11, 12, 13, 14, 15, 16}, 0))"),"LU000257")</f>
        <v>LU000257</v>
      </c>
      <c r="AH90" s="13" t="str">
        <f ca="1">IFERROR(__xludf.DUMMYFUNCTION("""COMPUTED_VALUE"""),"Definition of an obtuse angle")</f>
        <v>Definition of an obtuse angle</v>
      </c>
      <c r="AI90" s="13" t="str">
        <f ca="1">IFERROR(__xludf.DUMMYFUNCTION("""COMPUTED_VALUE"""),"LU000229")</f>
        <v>LU000229</v>
      </c>
      <c r="AJ90" s="13" t="str">
        <f ca="1">IFERROR(__xludf.DUMMYFUNCTION("""COMPUTED_VALUE"""),"Lexical explanation of triangle")</f>
        <v>Lexical explanation of triangle</v>
      </c>
      <c r="AK90" s="13" t="str">
        <f ca="1">IFERROR(__xludf.DUMMYFUNCTION("""COMPUTED_VALUE"""),"LU000019")</f>
        <v>LU000019</v>
      </c>
      <c r="AL90" s="13" t="str">
        <f ca="1">IFERROR(__xludf.DUMMYFUNCTION("""COMPUTED_VALUE"""),"Classification of angles with respect to right angle")</f>
        <v>Classification of angles with respect to right angle</v>
      </c>
      <c r="AM90" s="13"/>
      <c r="AN90" s="13"/>
      <c r="AO90" s="13"/>
      <c r="AP90" s="13"/>
      <c r="AQ90" s="13"/>
      <c r="AR90" s="13"/>
      <c r="AS90" s="13"/>
      <c r="AT90" s="13"/>
    </row>
    <row r="91" spans="1:46">
      <c r="A91" s="8" t="s">
        <v>247</v>
      </c>
      <c r="B91" s="8" t="s">
        <v>47</v>
      </c>
      <c r="C91" s="8" t="s">
        <v>48</v>
      </c>
      <c r="D91" s="8" t="s">
        <v>49</v>
      </c>
      <c r="E91" s="8" t="s">
        <v>318</v>
      </c>
      <c r="F91" s="8" t="s">
        <v>334</v>
      </c>
      <c r="G91" s="8" t="s">
        <v>337</v>
      </c>
      <c r="H91" s="8" t="str">
        <f ca="1">IFERROR(__xludf.DUMMYFUNCTION("VLOOKUP(G91, IMPORTRANGE(""https://docs.google.com/spreadsheets/d/14deopnvwcrKtEGCKuYXdUHJbeLDZlkiSSWWT0g7x2pM/edit#gid=999382323"", ""LU List Maths (Filter)!A:B""), 2, FALSE)"),"Definition of a right triangle")</f>
        <v>Definition of a right triangle</v>
      </c>
      <c r="I91" s="10" t="str">
        <f t="shared" si="0"/>
        <v>LU000262.001</v>
      </c>
      <c r="J91" s="10" t="str">
        <f ca="1">IFERROR(__xludf.DUMMYFUNCTION("VLOOKUP(I91, IMPORTRANGE(""https://docs.google.com/spreadsheets/d/1yDAaXNsi4Mr5FtRQL4tbmSdIzhx6_m4wkOD7IG-k_eo/edit#gid=0"", ""Maths!M:N""), 2, FALSE)"),"Recall the definition of a right angled triangle.")</f>
        <v>Recall the definition of a right angled triangle.</v>
      </c>
      <c r="K91" s="10" t="str">
        <f t="shared" si="1"/>
        <v>LU000262.002</v>
      </c>
      <c r="L91" s="10" t="str">
        <f ca="1">IFERROR(__xludf.DUMMYFUNCTION("VLOOKUP(K91, IMPORTRANGE(""https://docs.google.com/spreadsheets/d/1yDAaXNsi4Mr5FtRQL4tbmSdIzhx6_m4wkOD7IG-k_eo/edit#gid=0"", ""Maths!M:N""), 2, FALSE)"),"Describe why a right angled triangle has one angle measuring 90 degrees and its implications for the triangle's sides.")</f>
        <v>Describe why a right angled triangle has one angle measuring 90 degrees and its implications for the triangle's sides.</v>
      </c>
      <c r="M91" s="10" t="str">
        <f t="shared" si="2"/>
        <v>LU000262.003</v>
      </c>
      <c r="N91" s="10" t="str">
        <f ca="1">IFERROR(__xludf.DUMMYFUNCTION("VLOOKUP(M91, IMPORTRANGE(""https://docs.google.com/spreadsheets/d/1yDAaXNsi4Mr5FtRQL4tbmSdIzhx6_m4wkOD7IG-k_eo/edit#gid=0"", ""Maths!M:N""), 2, FALSE)"),"Given a set of angle measurements, identify whether a given triangle is a right angled triangle or not.")</f>
        <v>Given a set of angle measurements, identify whether a given triangle is a right angled triangle or not.</v>
      </c>
      <c r="O91" s="10" t="str">
        <f t="shared" si="3"/>
        <v>LU000262.004</v>
      </c>
      <c r="P91" s="10" t="str">
        <f ca="1">IFERROR(__xludf.DUMMYFUNCTION("VLOOKUP(O91, IMPORTRANGE(""https://docs.google.com/spreadsheets/d/1yDAaXNsi4Mr5FtRQL4tbmSdIzhx6_m4wkOD7IG-k_eo/edit#gid=0"", ""Maths!M:N""), 2, FALSE)"),"Analyse various triangles and differentiate between right angled triangles and other types based on their angle measurements.")</f>
        <v>Analyse various triangles and differentiate between right angled triangles and other types based on their angle measurements.</v>
      </c>
      <c r="Q91" s="10" t="str">
        <f t="shared" si="4"/>
        <v>LU000262.005</v>
      </c>
      <c r="R91" s="10" t="str">
        <f ca="1">IFERROR(__xludf.DUMMYFUNCTION("VLOOKUP(Q91, IMPORTRANGE(""https://docs.google.com/spreadsheets/d/1yDAaXNsi4Mr5FtRQL4tbmSdIzhx6_m4wkOD7IG-k_eo/edit#gid=0"", ""Maths!M:N""), 2, FALSE)"),"Critique examples of triangles and determine if they meet the criteria for being right angled triangles.")</f>
        <v>Critique examples of triangles and determine if they meet the criteria for being right angled triangles.</v>
      </c>
      <c r="S91" s="10" t="str">
        <f t="shared" si="5"/>
        <v>LU000262.006</v>
      </c>
      <c r="T91" s="10" t="str">
        <f ca="1">IFERROR(__xludf.DUMMYFUNCTION("VLOOKUP(S91, IMPORTRANGE(""https://docs.google.com/spreadsheets/d/1yDAaXNsi4Mr5FtRQL4tbmSdIzhx6_m4wkOD7IG-k_eo/edit#gid=0"", ""Maths!M:N""), 2, FALSE)"),"Design a visual representation or diagram that illustrates a right angled triangle and its properties.")</f>
        <v>Design a visual representation or diagram that illustrates a right angled triangle and its properties.</v>
      </c>
      <c r="U91" s="11">
        <f ca="1">IFERROR(__xludf.DUMMYFUNCTION("ArrayFormula(VLOOKUP(G91, IMPORTRANGE(""https://docs.google.com/spreadsheets/d/1p7R4vtkWt5VOBim4ltsDG9KTzSjrtKXsMtQGXPHyND0/edit#gid=795171502"", ""'Filter 30_05_2024'!A1:M2000""), {2, 3, 4, 5,6,7,8,9,10,11,12,13}, 0))"),4)</f>
        <v>4</v>
      </c>
      <c r="V91" s="11">
        <f ca="1">IFERROR(__xludf.DUMMYFUNCTION("""COMPUTED_VALUE"""),4)</f>
        <v>4</v>
      </c>
      <c r="W91" s="11">
        <f ca="1">IFERROR(__xludf.DUMMYFUNCTION("""COMPUTED_VALUE"""),3)</f>
        <v>3</v>
      </c>
      <c r="X91" s="11">
        <f ca="1">IFERROR(__xludf.DUMMYFUNCTION("""COMPUTED_VALUE"""),11)</f>
        <v>11</v>
      </c>
      <c r="Y91" s="11">
        <f ca="1">IFERROR(__xludf.DUMMYFUNCTION("""COMPUTED_VALUE"""),5)</f>
        <v>5</v>
      </c>
      <c r="Z91" s="29">
        <f ca="1">IFERROR(__xludf.DUMMYFUNCTION("""COMPUTED_VALUE"""),4)</f>
        <v>4</v>
      </c>
      <c r="AA91" s="29">
        <f ca="1">IFERROR(__xludf.DUMMYFUNCTION("""COMPUTED_VALUE"""),1)</f>
        <v>1</v>
      </c>
      <c r="AB91" s="12">
        <f ca="1">IFERROR(__xludf.DUMMYFUNCTION("""COMPUTED_VALUE"""),10)</f>
        <v>10</v>
      </c>
      <c r="AC91" s="12"/>
      <c r="AD91" s="12"/>
      <c r="AE91" s="12"/>
      <c r="AF91" s="12"/>
      <c r="AG91" s="13" t="str">
        <f ca="1">IFERROR(__xludf.DUMMYFUNCTION("ArrayFormula(VLOOKUP(G91, IMPORTRANGE(""https://docs.google.com/spreadsheets/d/1Co934fvtviyaRiMsrIlT05Jaq7iiYq07aLvRr35KA48/edit?gid=173865642#gid=173865642"", ""'G6_Maths_Pri_LU'!G2:V2000""), {3, 4, 5, 6, 7, 8, 9, 10, 11, 12, 13, 14, 15, 16}, 0))"),"LU000017")</f>
        <v>LU000017</v>
      </c>
      <c r="AH91" s="13" t="str">
        <f ca="1">IFERROR(__xludf.DUMMYFUNCTION("""COMPUTED_VALUE"""),"Definition of a right angle")</f>
        <v>Definition of a right angle</v>
      </c>
      <c r="AI91" s="13" t="str">
        <f ca="1">IFERROR(__xludf.DUMMYFUNCTION("""COMPUTED_VALUE"""),"LU000229")</f>
        <v>LU000229</v>
      </c>
      <c r="AJ91" s="13" t="str">
        <f ca="1">IFERROR(__xludf.DUMMYFUNCTION("""COMPUTED_VALUE"""),"Lexical explanation of triangle")</f>
        <v>Lexical explanation of triangle</v>
      </c>
      <c r="AK91" s="13" t="str">
        <f ca="1">IFERROR(__xludf.DUMMYFUNCTION("""COMPUTED_VALUE"""),"LU000019")</f>
        <v>LU000019</v>
      </c>
      <c r="AL91" s="13" t="str">
        <f ca="1">IFERROR(__xludf.DUMMYFUNCTION("""COMPUTED_VALUE"""),"Classification of angles with respect to right angle")</f>
        <v>Classification of angles with respect to right angle</v>
      </c>
      <c r="AM91" s="13"/>
      <c r="AN91" s="13"/>
      <c r="AO91" s="13"/>
      <c r="AP91" s="13"/>
      <c r="AQ91" s="13"/>
      <c r="AR91" s="13"/>
      <c r="AS91" s="13"/>
      <c r="AT91" s="13"/>
    </row>
    <row r="92" spans="1:46">
      <c r="A92" s="8" t="s">
        <v>247</v>
      </c>
      <c r="B92" s="8" t="s">
        <v>47</v>
      </c>
      <c r="C92" s="8" t="s">
        <v>48</v>
      </c>
      <c r="D92" s="8" t="s">
        <v>49</v>
      </c>
      <c r="E92" s="8" t="s">
        <v>318</v>
      </c>
      <c r="F92" s="8" t="s">
        <v>338</v>
      </c>
      <c r="G92" s="8" t="s">
        <v>339</v>
      </c>
      <c r="H92" s="8" t="str">
        <f ca="1">IFERROR(__xludf.DUMMYFUNCTION("VLOOKUP(G92, IMPORTRANGE(""https://docs.google.com/spreadsheets/d/14deopnvwcrKtEGCKuYXdUHJbeLDZlkiSSWWT0g7x2pM/edit#gid=999382323"", ""LU List Maths (Filter)!A:B""), 2, FALSE)"),"Classification of isosceles triangle based on the measure of angles")</f>
        <v>Classification of isosceles triangle based on the measure of angles</v>
      </c>
      <c r="I92" s="10" t="str">
        <f t="shared" si="0"/>
        <v>LU000923.001</v>
      </c>
      <c r="J92" s="10" t="str">
        <f ca="1">IFERROR(__xludf.DUMMYFUNCTION("VLOOKUP(I92, IMPORTRANGE(""https://docs.google.com/spreadsheets/d/1yDAaXNsi4Mr5FtRQL4tbmSdIzhx6_m4wkOD7IG-k_eo/edit#gid=0"", ""Maths!M:N""), 2, FALSE)"),"State the classification of isosceles triangles based on the measure of their angles, specifically acute, obtuse, and right-angled isosceles triangles.")</f>
        <v>State the classification of isosceles triangles based on the measure of their angles, specifically acute, obtuse, and right-angled isosceles triangles.</v>
      </c>
      <c r="K92" s="10" t="str">
        <f t="shared" si="1"/>
        <v>LU000923.002</v>
      </c>
      <c r="L92" s="10" t="str">
        <f ca="1">IFERROR(__xludf.DUMMYFUNCTION("VLOOKUP(K92, IMPORTRANGE(""https://docs.google.com/spreadsheets/d/1yDAaXNsi4Mr5FtRQL4tbmSdIzhx6_m4wkOD7IG-k_eo/edit#gid=0"", ""Maths!M:N""), 2, FALSE)"),"Describe the significance of classifying isosceles triangles based on the measures of their angles.")</f>
        <v>Describe the significance of classifying isosceles triangles based on the measures of their angles.</v>
      </c>
      <c r="M92" s="10" t="str">
        <f t="shared" si="2"/>
        <v>LU000923.003</v>
      </c>
      <c r="N92" s="10" t="str">
        <f ca="1">IFERROR(__xludf.DUMMYFUNCTION("VLOOKUP(M92, IMPORTRANGE(""https://docs.google.com/spreadsheets/d/1yDAaXNsi4Mr5FtRQL4tbmSdIzhx6_m4wkOD7IG-k_eo/edit#gid=0"", ""Maths!M:N""), 2, FALSE)"),"Demonstrate the ability to determine whether a isosceles triangle is acute, obtuse, or right-angled based on angle measurements.")</f>
        <v>Demonstrate the ability to determine whether a isosceles triangle is acute, obtuse, or right-angled based on angle measurements.</v>
      </c>
      <c r="O92" s="10" t="str">
        <f t="shared" si="3"/>
        <v>LU000923.004</v>
      </c>
      <c r="P92" s="10" t="str">
        <f ca="1">IFERROR(__xludf.DUMMYFUNCTION("VLOOKUP(O92, IMPORTRANGE(""https://docs.google.com/spreadsheets/d/1yDAaXNsi4Mr5FtRQL4tbmSdIzhx6_m4wkOD7IG-k_eo/edit#gid=0"", ""Maths!M:N""), 2, FALSE)"),"Compare and contrast the characteristics of acute, obtuse, and right-angled isosceles triangles.")</f>
        <v>Compare and contrast the characteristics of acute, obtuse, and right-angled isosceles triangles.</v>
      </c>
      <c r="Q92" s="10" t="str">
        <f t="shared" si="4"/>
        <v>LU000923.005</v>
      </c>
      <c r="R92" s="10" t="str">
        <f ca="1">IFERROR(__xludf.DUMMYFUNCTION("VLOOKUP(Q92, IMPORTRANGE(""https://docs.google.com/spreadsheets/d/1yDAaXNsi4Mr5FtRQL4tbmSdIzhx6_m4wkOD7IG-k_eo/edit#gid=0"", ""Maths!M:N""), 2, FALSE)"),"Assess the importance of understanding and applying isosceles triangle classifications in real-world contexts.")</f>
        <v>Assess the importance of understanding and applying isosceles triangle classifications in real-world contexts.</v>
      </c>
      <c r="S92" s="10" t="str">
        <f t="shared" si="5"/>
        <v>LU000923.006</v>
      </c>
      <c r="T92" s="10" t="str">
        <f ca="1">IFERROR(__xludf.DUMMYFUNCTION("VLOOKUP(S92, IMPORTRANGE(""https://docs.google.com/spreadsheets/d/1yDAaXNsi4Mr5FtRQL4tbmSdIzhx6_m4wkOD7IG-k_eo/edit#gid=0"", ""Maths!M:N""), 2, FALSE)"),"Develop geometric scenarios or problems that require the classification of isosceles triangles to find solutions.")</f>
        <v>Develop geometric scenarios or problems that require the classification of isosceles triangles to find solutions.</v>
      </c>
      <c r="U92" s="11">
        <f ca="1">IFERROR(__xludf.DUMMYFUNCTION("ArrayFormula(VLOOKUP(G92, IMPORTRANGE(""https://docs.google.com/spreadsheets/d/1p7R4vtkWt5VOBim4ltsDG9KTzSjrtKXsMtQGXPHyND0/edit#gid=795171502"", ""'Filter 30_05_2024'!A1:M2000""), {2, 3, 4, 5,6,7,8,9,10,11,12,13}, 0))"),4)</f>
        <v>4</v>
      </c>
      <c r="V92" s="11">
        <f ca="1">IFERROR(__xludf.DUMMYFUNCTION("""COMPUTED_VALUE"""),6)</f>
        <v>6</v>
      </c>
      <c r="W92" s="11">
        <f ca="1">IFERROR(__xludf.DUMMYFUNCTION("""COMPUTED_VALUE"""),2)</f>
        <v>2</v>
      </c>
      <c r="X92" s="11">
        <f ca="1">IFERROR(__xludf.DUMMYFUNCTION("""COMPUTED_VALUE"""),12)</f>
        <v>12</v>
      </c>
      <c r="Y92" s="11">
        <f ca="1">IFERROR(__xludf.DUMMYFUNCTION("""COMPUTED_VALUE"""),4)</f>
        <v>4</v>
      </c>
      <c r="Z92" s="29">
        <f ca="1">IFERROR(__xludf.DUMMYFUNCTION("""COMPUTED_VALUE"""),3)</f>
        <v>3</v>
      </c>
      <c r="AA92" s="29">
        <f ca="1">IFERROR(__xludf.DUMMYFUNCTION("""COMPUTED_VALUE"""),1)</f>
        <v>1</v>
      </c>
      <c r="AB92" s="12">
        <f ca="1">IFERROR(__xludf.DUMMYFUNCTION("""COMPUTED_VALUE"""),8)</f>
        <v>8</v>
      </c>
      <c r="AC92" s="12"/>
      <c r="AD92" s="12"/>
      <c r="AE92" s="12"/>
      <c r="AF92" s="12"/>
      <c r="AG92" s="13" t="str">
        <f ca="1">IFERROR(__xludf.DUMMYFUNCTION("ArrayFormula(VLOOKUP(G92, IMPORTRANGE(""https://docs.google.com/spreadsheets/d/1Co934fvtviyaRiMsrIlT05Jaq7iiYq07aLvRr35KA48/edit?gid=173865642#gid=173865642"", ""'G6_Maths_Pri_LU'!G2:V2000""), {3, 4, 5, 6, 7, 8, 9, 10, 11, 12, 13, 14, 15, 16}, 0))"),"LU000263")</f>
        <v>LU000263</v>
      </c>
      <c r="AH92" s="13" t="str">
        <f ca="1">IFERROR(__xludf.DUMMYFUNCTION("""COMPUTED_VALUE"""),"Definition of an isosceles triangle")</f>
        <v>Definition of an isosceles triangle</v>
      </c>
      <c r="AI92" s="13" t="str">
        <f ca="1">IFERROR(__xludf.DUMMYFUNCTION("""COMPUTED_VALUE"""),"LU000257")</f>
        <v>LU000257</v>
      </c>
      <c r="AJ92" s="13" t="str">
        <f ca="1">IFERROR(__xludf.DUMMYFUNCTION("""COMPUTED_VALUE"""),"Definition of an obtuse angle")</f>
        <v>Definition of an obtuse angle</v>
      </c>
      <c r="AK92" s="13" t="str">
        <f ca="1">IFERROR(__xludf.DUMMYFUNCTION("""COMPUTED_VALUE"""),"LU000242")</f>
        <v>LU000242</v>
      </c>
      <c r="AL92" s="13" t="str">
        <f ca="1">IFERROR(__xludf.DUMMYFUNCTION("""COMPUTED_VALUE"""),"Definition of an acute angle")</f>
        <v>Definition of an acute angle</v>
      </c>
      <c r="AM92" s="13" t="str">
        <f ca="1">IFERROR(__xludf.DUMMYFUNCTION("""COMPUTED_VALUE"""),"LU000017")</f>
        <v>LU000017</v>
      </c>
      <c r="AN92" s="13" t="str">
        <f ca="1">IFERROR(__xludf.DUMMYFUNCTION("""COMPUTED_VALUE"""),"Definition of a right angle")</f>
        <v>Definition of a right angle</v>
      </c>
      <c r="AO92" s="13" t="str">
        <f ca="1">IFERROR(__xludf.DUMMYFUNCTION("""COMPUTED_VALUE"""),"LU000229")</f>
        <v>LU000229</v>
      </c>
      <c r="AP92" s="13" t="str">
        <f ca="1">IFERROR(__xludf.DUMMYFUNCTION("""COMPUTED_VALUE"""),"Lexical explanation of triangle")</f>
        <v>Lexical explanation of triangle</v>
      </c>
      <c r="AQ92" s="13"/>
      <c r="AR92" s="13"/>
      <c r="AS92" s="13"/>
      <c r="AT92" s="13"/>
    </row>
    <row r="93" spans="1:46">
      <c r="A93" s="8" t="s">
        <v>247</v>
      </c>
      <c r="B93" s="8" t="s">
        <v>47</v>
      </c>
      <c r="C93" s="8" t="s">
        <v>48</v>
      </c>
      <c r="D93" s="8" t="s">
        <v>49</v>
      </c>
      <c r="E93" s="8" t="s">
        <v>318</v>
      </c>
      <c r="F93" s="8" t="s">
        <v>338</v>
      </c>
      <c r="G93" s="8" t="s">
        <v>340</v>
      </c>
      <c r="H93" s="8" t="str">
        <f ca="1">IFERROR(__xludf.DUMMYFUNCTION("VLOOKUP(G93, IMPORTRANGE(""https://docs.google.com/spreadsheets/d/14deopnvwcrKtEGCKuYXdUHJbeLDZlkiSSWWT0g7x2pM/edit#gid=999382323"", ""LU List Maths (Filter)!A:B""), 2, FALSE)"),"Classification of scalene triangle based on the measure of angles")</f>
        <v>Classification of scalene triangle based on the measure of angles</v>
      </c>
      <c r="I93" s="10" t="str">
        <f t="shared" si="0"/>
        <v>LU000924.001</v>
      </c>
      <c r="J93" s="10" t="str">
        <f ca="1">IFERROR(__xludf.DUMMYFUNCTION("VLOOKUP(I93, IMPORTRANGE(""https://docs.google.com/spreadsheets/d/1yDAaXNsi4Mr5FtRQL4tbmSdIzhx6_m4wkOD7IG-k_eo/edit#gid=0"", ""Maths!M:N""), 2, FALSE)"),"State the classification of scalene triangles based on the measure of their angles, specifically acute, obtuse, and right-angled scalene triangles.")</f>
        <v>State the classification of scalene triangles based on the measure of their angles, specifically acute, obtuse, and right-angled scalene triangles.</v>
      </c>
      <c r="K93" s="10" t="str">
        <f t="shared" si="1"/>
        <v>LU000924.002</v>
      </c>
      <c r="L93" s="10" t="str">
        <f ca="1">IFERROR(__xludf.DUMMYFUNCTION("VLOOKUP(K93, IMPORTRANGE(""https://docs.google.com/spreadsheets/d/1yDAaXNsi4Mr5FtRQL4tbmSdIzhx6_m4wkOD7IG-k_eo/edit#gid=0"", ""Maths!M:N""), 2, FALSE)"),"Describe the significance of classifying scalene triangles based on the measures of their angles.")</f>
        <v>Describe the significance of classifying scalene triangles based on the measures of their angles.</v>
      </c>
      <c r="M93" s="10" t="str">
        <f t="shared" si="2"/>
        <v>LU000924.003</v>
      </c>
      <c r="N93" s="10" t="str">
        <f ca="1">IFERROR(__xludf.DUMMYFUNCTION("VLOOKUP(M93, IMPORTRANGE(""https://docs.google.com/spreadsheets/d/1yDAaXNsi4Mr5FtRQL4tbmSdIzhx6_m4wkOD7IG-k_eo/edit#gid=0"", ""Maths!M:N""), 2, FALSE)"),"Demonstrate the ability to determine whether a scalene triangle is acute, obtuse, or right-angled based on angle measurements.")</f>
        <v>Demonstrate the ability to determine whether a scalene triangle is acute, obtuse, or right-angled based on angle measurements.</v>
      </c>
      <c r="O93" s="10" t="str">
        <f t="shared" si="3"/>
        <v>LU000924.004</v>
      </c>
      <c r="P93" s="10" t="str">
        <f ca="1">IFERROR(__xludf.DUMMYFUNCTION("VLOOKUP(O93, IMPORTRANGE(""https://docs.google.com/spreadsheets/d/1yDAaXNsi4Mr5FtRQL4tbmSdIzhx6_m4wkOD7IG-k_eo/edit#gid=0"", ""Maths!M:N""), 2, FALSE)"),"Compare and contrast the characteristics of acute, obtuse, and right-angled scalene triangles.")</f>
        <v>Compare and contrast the characteristics of acute, obtuse, and right-angled scalene triangles.</v>
      </c>
      <c r="Q93" s="10" t="str">
        <f t="shared" si="4"/>
        <v>LU000924.005</v>
      </c>
      <c r="R93" s="10" t="str">
        <f ca="1">IFERROR(__xludf.DUMMYFUNCTION("VLOOKUP(Q93, IMPORTRANGE(""https://docs.google.com/spreadsheets/d/1yDAaXNsi4Mr5FtRQL4tbmSdIzhx6_m4wkOD7IG-k_eo/edit#gid=0"", ""Maths!M:N""), 2, FALSE)"),"Assess the importance of understanding and applying scalene triangle classifications in real-world contexts.")</f>
        <v>Assess the importance of understanding and applying scalene triangle classifications in real-world contexts.</v>
      </c>
      <c r="S93" s="10" t="str">
        <f t="shared" si="5"/>
        <v>LU000924.006</v>
      </c>
      <c r="T93" s="10" t="str">
        <f ca="1">IFERROR(__xludf.DUMMYFUNCTION("VLOOKUP(S93, IMPORTRANGE(""https://docs.google.com/spreadsheets/d/1yDAaXNsi4Mr5FtRQL4tbmSdIzhx6_m4wkOD7IG-k_eo/edit#gid=0"", ""Maths!M:N""), 2, FALSE)"),"Develop geometric scenarios or problems that require the classification of scalene triangles to find solutions.")</f>
        <v>Develop geometric scenarios or problems that require the classification of scalene triangles to find solutions.</v>
      </c>
      <c r="U93" s="11">
        <f ca="1">IFERROR(__xludf.DUMMYFUNCTION("ArrayFormula(VLOOKUP(G93, IMPORTRANGE(""https://docs.google.com/spreadsheets/d/1p7R4vtkWt5VOBim4ltsDG9KTzSjrtKXsMtQGXPHyND0/edit#gid=795171502"", ""'Filter 30_05_2024'!A1:M2000""), {2, 3, 4, 5,6,7,8,9,10,11,12,13}, 0))"),4)</f>
        <v>4</v>
      </c>
      <c r="V93" s="11">
        <f ca="1">IFERROR(__xludf.DUMMYFUNCTION("""COMPUTED_VALUE"""),6)</f>
        <v>6</v>
      </c>
      <c r="W93" s="11">
        <f ca="1">IFERROR(__xludf.DUMMYFUNCTION("""COMPUTED_VALUE"""),2)</f>
        <v>2</v>
      </c>
      <c r="X93" s="11">
        <f ca="1">IFERROR(__xludf.DUMMYFUNCTION("""COMPUTED_VALUE"""),12)</f>
        <v>12</v>
      </c>
      <c r="Y93" s="11">
        <f ca="1">IFERROR(__xludf.DUMMYFUNCTION("""COMPUTED_VALUE"""),4)</f>
        <v>4</v>
      </c>
      <c r="Z93" s="29">
        <f ca="1">IFERROR(__xludf.DUMMYFUNCTION("""COMPUTED_VALUE"""),3)</f>
        <v>3</v>
      </c>
      <c r="AA93" s="29">
        <f ca="1">IFERROR(__xludf.DUMMYFUNCTION("""COMPUTED_VALUE"""),1)</f>
        <v>1</v>
      </c>
      <c r="AB93" s="12">
        <f ca="1">IFERROR(__xludf.DUMMYFUNCTION("""COMPUTED_VALUE"""),8)</f>
        <v>8</v>
      </c>
      <c r="AC93" s="12"/>
      <c r="AD93" s="12"/>
      <c r="AE93" s="12"/>
      <c r="AF93" s="12"/>
      <c r="AG93" s="13" t="str">
        <f ca="1">IFERROR(__xludf.DUMMYFUNCTION("ArrayFormula(VLOOKUP(G93, IMPORTRANGE(""https://docs.google.com/spreadsheets/d/1Co934fvtviyaRiMsrIlT05Jaq7iiYq07aLvRr35KA48/edit?gid=173865642#gid=173865642"", ""'G6_Maths_Pri_LU'!G2:V2000""), {3, 4, 5, 6, 7, 8, 9, 10, 11, 12, 13, 14, 15, 16}, 0))"),"LU000264")</f>
        <v>LU000264</v>
      </c>
      <c r="AH93" s="13" t="str">
        <f ca="1">IFERROR(__xludf.DUMMYFUNCTION("""COMPUTED_VALUE"""),"Definition of a scalene triangle")</f>
        <v>Definition of a scalene triangle</v>
      </c>
      <c r="AI93" s="13" t="str">
        <f ca="1">IFERROR(__xludf.DUMMYFUNCTION("""COMPUTED_VALUE"""),"LU000257")</f>
        <v>LU000257</v>
      </c>
      <c r="AJ93" s="13" t="str">
        <f ca="1">IFERROR(__xludf.DUMMYFUNCTION("""COMPUTED_VALUE"""),"Definition of an obtuse angle")</f>
        <v>Definition of an obtuse angle</v>
      </c>
      <c r="AK93" s="13" t="str">
        <f ca="1">IFERROR(__xludf.DUMMYFUNCTION("""COMPUTED_VALUE"""),"LU000242")</f>
        <v>LU000242</v>
      </c>
      <c r="AL93" s="13" t="str">
        <f ca="1">IFERROR(__xludf.DUMMYFUNCTION("""COMPUTED_VALUE"""),"Definition of an acute angle")</f>
        <v>Definition of an acute angle</v>
      </c>
      <c r="AM93" s="13" t="str">
        <f ca="1">IFERROR(__xludf.DUMMYFUNCTION("""COMPUTED_VALUE"""),"LU000017")</f>
        <v>LU000017</v>
      </c>
      <c r="AN93" s="13" t="str">
        <f ca="1">IFERROR(__xludf.DUMMYFUNCTION("""COMPUTED_VALUE"""),"Definition of a right angle")</f>
        <v>Definition of a right angle</v>
      </c>
      <c r="AO93" s="13" t="str">
        <f ca="1">IFERROR(__xludf.DUMMYFUNCTION("""COMPUTED_VALUE"""),"LU000229")</f>
        <v>LU000229</v>
      </c>
      <c r="AP93" s="13" t="str">
        <f ca="1">IFERROR(__xludf.DUMMYFUNCTION("""COMPUTED_VALUE"""),"Lexical explanation of triangle")</f>
        <v>Lexical explanation of triangle</v>
      </c>
      <c r="AQ93" s="13"/>
      <c r="AR93" s="13"/>
      <c r="AS93" s="13"/>
      <c r="AT93" s="13"/>
    </row>
    <row r="94" spans="1:46">
      <c r="A94" s="8" t="s">
        <v>247</v>
      </c>
      <c r="B94" s="8" t="s">
        <v>47</v>
      </c>
      <c r="C94" s="8" t="s">
        <v>48</v>
      </c>
      <c r="D94" s="8" t="s">
        <v>49</v>
      </c>
      <c r="E94" s="8" t="s">
        <v>318</v>
      </c>
      <c r="F94" s="21" t="s">
        <v>341</v>
      </c>
      <c r="G94" s="8" t="s">
        <v>342</v>
      </c>
      <c r="H94" s="8" t="str">
        <f ca="1">IFERROR(__xludf.DUMMYFUNCTION("VLOOKUP(G94, IMPORTRANGE(""https://docs.google.com/spreadsheets/d/14deopnvwcrKtEGCKuYXdUHJbeLDZlkiSSWWT0g7x2pM/edit#gid=999382323"", ""LU List Maths (Filter)!A:B""), 2, FALSE)"),"Lexical explanation of quadrilateral")</f>
        <v>Lexical explanation of quadrilateral</v>
      </c>
      <c r="I94" s="10" t="str">
        <f t="shared" si="0"/>
        <v>LU000230.001</v>
      </c>
      <c r="J94" s="10" t="str">
        <f ca="1">IFERROR(__xludf.DUMMYFUNCTION("VLOOKUP(I94, IMPORTRANGE(""https://docs.google.com/spreadsheets/d/1yDAaXNsi4Mr5FtRQL4tbmSdIzhx6_m4wkOD7IG-k_eo/edit#gid=0"", ""Maths!M:N""), 2, FALSE)"),"Recall the definition of a quadrilateral as a polygon.")</f>
        <v>Recall the definition of a quadrilateral as a polygon.</v>
      </c>
      <c r="K94" s="10" t="str">
        <f t="shared" si="1"/>
        <v>LU000230.002</v>
      </c>
      <c r="L94" s="10" t="str">
        <f ca="1">IFERROR(__xludf.DUMMYFUNCTION("VLOOKUP(K94, IMPORTRANGE(""https://docs.google.com/spreadsheets/d/1yDAaXNsi4Mr5FtRQL4tbmSdIzhx6_m4wkOD7IG-k_eo/edit#gid=0"", ""Maths!M:N""), 2, FALSE)"),"Identify the angles and sides adjacent to and opposite from a specific angle or side within a quadrilateral.")</f>
        <v>Identify the angles and sides adjacent to and opposite from a specific angle or side within a quadrilateral.</v>
      </c>
      <c r="M94" s="10" t="str">
        <f t="shared" si="2"/>
        <v>LU000230.003</v>
      </c>
      <c r="N94" s="10" t="str">
        <f ca="1">IFERROR(__xludf.DUMMYFUNCTION("VLOOKUP(M94, IMPORTRANGE(""https://docs.google.com/spreadsheets/d/1yDAaXNsi4Mr5FtRQL4tbmSdIzhx6_m4wkOD7IG-k_eo/edit#gid=0"", ""Maths!M:N""), 2, FALSE)"),"Apply the knowledge of quadrilateral elements to correctly label and describe different components in given quadrilateral diagrams.")</f>
        <v>Apply the knowledge of quadrilateral elements to correctly label and describe different components in given quadrilateral diagrams.</v>
      </c>
      <c r="O94" s="10" t="str">
        <f t="shared" si="3"/>
        <v>LU000230.004</v>
      </c>
      <c r="P94" s="10" t="str">
        <f ca="1">IFERROR(__xludf.DUMMYFUNCTION("VLOOKUP(O94, IMPORTRANGE(""https://docs.google.com/spreadsheets/d/1yDAaXNsi4Mr5FtRQL4tbmSdIzhx6_m4wkOD7IG-k_eo/edit#gid=0"", ""Maths!M:N""), 2, FALSE)"),"Analyse the relationships between quadrilateral elements, examining how vertices connect to form sides, how diagonals intersect within quadrilateral, and how adjacent sides and vertices relate geometrically.")</f>
        <v>Analyse the relationships between quadrilateral elements, examining how vertices connect to form sides, how diagonals intersect within quadrilateral, and how adjacent sides and vertices relate geometrically.</v>
      </c>
      <c r="Q94" s="10" t="str">
        <f t="shared" si="4"/>
        <v>LU000230.005</v>
      </c>
      <c r="R94" s="10" t="str">
        <f ca="1">IFERROR(__xludf.DUMMYFUNCTION("VLOOKUP(Q94, IMPORTRANGE(""https://docs.google.com/spreadsheets/d/1yDAaXNsi4Mr5FtRQL4tbmSdIzhx6_m4wkOD7IG-k_eo/edit#gid=0"", ""Maths!M:N""), 2, FALSE)"),"#N/A")</f>
        <v>#N/A</v>
      </c>
      <c r="S94" s="10" t="str">
        <f t="shared" si="5"/>
        <v>LU000230.006</v>
      </c>
      <c r="T94" s="10" t="str">
        <f ca="1">IFERROR(__xludf.DUMMYFUNCTION("VLOOKUP(S94, IMPORTRANGE(""https://docs.google.com/spreadsheets/d/1yDAaXNsi4Mr5FtRQL4tbmSdIzhx6_m4wkOD7IG-k_eo/edit#gid=0"", ""Maths!M:N""), 2, FALSE)"),"#N/A")</f>
        <v>#N/A</v>
      </c>
      <c r="U94" s="11">
        <f ca="1">IFERROR(__xludf.DUMMYFUNCTION("ArrayFormula(VLOOKUP(G94, IMPORTRANGE(""https://docs.google.com/spreadsheets/d/1p7R4vtkWt5VOBim4ltsDG9KTzSjrtKXsMtQGXPHyND0/edit#gid=795171502"", ""'Filter 30_05_2024'!A1:M2000""), {2, 3, 4, 5,6,7,8,9,10,11,12,13}, 0))"),4)</f>
        <v>4</v>
      </c>
      <c r="V94" s="11">
        <f ca="1">IFERROR(__xludf.DUMMYFUNCTION("""COMPUTED_VALUE"""),6)</f>
        <v>6</v>
      </c>
      <c r="W94" s="11">
        <f ca="1">IFERROR(__xludf.DUMMYFUNCTION("""COMPUTED_VALUE"""),2)</f>
        <v>2</v>
      </c>
      <c r="X94" s="11">
        <f ca="1">IFERROR(__xludf.DUMMYFUNCTION("""COMPUTED_VALUE"""),12)</f>
        <v>12</v>
      </c>
      <c r="Y94" s="11">
        <f ca="1">IFERROR(__xludf.DUMMYFUNCTION("""COMPUTED_VALUE"""),4)</f>
        <v>4</v>
      </c>
      <c r="Z94" s="29">
        <f ca="1">IFERROR(__xludf.DUMMYFUNCTION("""COMPUTED_VALUE"""),3)</f>
        <v>3</v>
      </c>
      <c r="AA94" s="29">
        <f ca="1">IFERROR(__xludf.DUMMYFUNCTION("""COMPUTED_VALUE"""),1)</f>
        <v>1</v>
      </c>
      <c r="AB94" s="12">
        <f ca="1">IFERROR(__xludf.DUMMYFUNCTION("""COMPUTED_VALUE"""),8)</f>
        <v>8</v>
      </c>
      <c r="AC94" s="12"/>
      <c r="AD94" s="12"/>
      <c r="AE94" s="12"/>
      <c r="AF94" s="12"/>
      <c r="AG94" s="13" t="str">
        <f ca="1">IFERROR(__xludf.DUMMYFUNCTION("ArrayFormula(VLOOKUP(G94, IMPORTRANGE(""https://docs.google.com/spreadsheets/d/1Co934fvtviyaRiMsrIlT05Jaq7iiYq07aLvRr35KA48/edit?gid=173865642#gid=173865642"", ""'G6_Maths_Pri_LU'!G2:V2000""), {3, 4, 5, 6, 7, 8, 9, 10, 11, 12, 13, 14, 15, 16}, 0))"),"LU000227")</f>
        <v>LU000227</v>
      </c>
      <c r="AH94" s="13" t="str">
        <f ca="1">IFERROR(__xludf.DUMMYFUNCTION("""COMPUTED_VALUE"""),"Definition and elements of a polygon")</f>
        <v>Definition and elements of a polygon</v>
      </c>
      <c r="AI94" s="13" t="str">
        <f ca="1">IFERROR(__xludf.DUMMYFUNCTION("""COMPUTED_VALUE"""),"LU000014")</f>
        <v>LU000014</v>
      </c>
      <c r="AJ94" s="13" t="str">
        <f ca="1">IFERROR(__xludf.DUMMYFUNCTION("""COMPUTED_VALUE"""),"Definition of an angle")</f>
        <v>Definition of an angle</v>
      </c>
      <c r="AK94" s="13" t="str">
        <f ca="1">IFERROR(__xludf.DUMMYFUNCTION("""COMPUTED_VALUE"""),"LU000221")</f>
        <v>LU000221</v>
      </c>
      <c r="AL94" s="13" t="str">
        <f ca="1">IFERROR(__xludf.DUMMYFUNCTION("""COMPUTED_VALUE"""),"Definition and identification of intersecting lines")</f>
        <v>Definition and identification of intersecting lines</v>
      </c>
      <c r="AM94" s="13" t="str">
        <f ca="1">IFERROR(__xludf.DUMMYFUNCTION("""COMPUTED_VALUE"""),"LU000219")</f>
        <v>LU000219</v>
      </c>
      <c r="AN94" s="13" t="str">
        <f ca="1">IFERROR(__xludf.DUMMYFUNCTION("""COMPUTED_VALUE"""),"Definition of line segment")</f>
        <v>Definition of line segment</v>
      </c>
      <c r="AO94" s="13"/>
      <c r="AP94" s="13"/>
      <c r="AQ94" s="13"/>
      <c r="AR94" s="13"/>
      <c r="AS94" s="13"/>
      <c r="AT94" s="13"/>
    </row>
    <row r="95" spans="1:46">
      <c r="A95" s="8" t="s">
        <v>247</v>
      </c>
      <c r="B95" s="8" t="s">
        <v>47</v>
      </c>
      <c r="C95" s="8" t="s">
        <v>48</v>
      </c>
      <c r="D95" s="8" t="s">
        <v>49</v>
      </c>
      <c r="E95" s="8" t="s">
        <v>318</v>
      </c>
      <c r="F95" s="21" t="s">
        <v>341</v>
      </c>
      <c r="G95" s="9" t="s">
        <v>343</v>
      </c>
      <c r="H95" s="9" t="str">
        <f ca="1">IFERROR(__xludf.DUMMYFUNCTION("VLOOKUP(G95, IMPORTRANGE(""https://docs.google.com/spreadsheets/d/14deopnvwcrKtEGCKuYXdUHJbeLDZlkiSSWWT0g7x2pM/edit#gid=999382323"", ""LU List Maths (Filter)!A:B""), 2, FALSE)"),"Definition of trapezium")</f>
        <v>Definition of trapezium</v>
      </c>
      <c r="I95" s="10" t="str">
        <f t="shared" si="0"/>
        <v>LU000593.001</v>
      </c>
      <c r="J95" s="10" t="str">
        <f ca="1">IFERROR(__xludf.DUMMYFUNCTION("VLOOKUP(I95, IMPORTRANGE(""https://docs.google.com/spreadsheets/d/1yDAaXNsi4Mr5FtRQL4tbmSdIzhx6_m4wkOD7IG-k_eo/edit#gid=0"", ""Maths!M:N""), 2, FALSE)"),"List the characteristics that define a geometric shape as a trapezium.")</f>
        <v>List the characteristics that define a geometric shape as a trapezium.</v>
      </c>
      <c r="K95" s="10" t="str">
        <f t="shared" si="1"/>
        <v>LU000593.002</v>
      </c>
      <c r="L95" s="10" t="str">
        <f ca="1">IFERROR(__xludf.DUMMYFUNCTION("VLOOKUP(K95, IMPORTRANGE(""https://docs.google.com/spreadsheets/d/1yDAaXNsi4Mr5FtRQL4tbmSdIzhx6_m4wkOD7IG-k_eo/edit#gid=0"", ""Maths!M:N""), 2, FALSE)"),"Explain the properties that distinguish a trapezium from other quadrilaterals.")</f>
        <v>Explain the properties that distinguish a trapezium from other quadrilaterals.</v>
      </c>
      <c r="M95" s="10" t="str">
        <f t="shared" si="2"/>
        <v>LU000593.003</v>
      </c>
      <c r="N95" s="10" t="str">
        <f ca="1">IFERROR(__xludf.DUMMYFUNCTION("VLOOKUP(M95, IMPORTRANGE(""https://docs.google.com/spreadsheets/d/1yDAaXNsi4Mr5FtRQL4tbmSdIzhx6_m4wkOD7IG-k_eo/edit#gid=0"", ""Maths!M:N""), 2, FALSE)"),"Apply the trapezium definition to classify shapes as trapeziums or non-trapeziums.")</f>
        <v>Apply the trapezium definition to classify shapes as trapeziums or non-trapeziums.</v>
      </c>
      <c r="O95" s="10" t="str">
        <f t="shared" si="3"/>
        <v>LU000593.004</v>
      </c>
      <c r="P95" s="10" t="str">
        <f ca="1">IFERROR(__xludf.DUMMYFUNCTION("VLOOKUP(O95, IMPORTRANGE(""https://docs.google.com/spreadsheets/d/1yDAaXNsi4Mr5FtRQL4tbmSdIzhx6_m4wkOD7IG-k_eo/edit#gid=0"", ""Maths!M:N""), 2, FALSE)"),"Analyse the properties of a trapezium and compare them with other quadrilaterals.")</f>
        <v>Analyse the properties of a trapezium and compare them with other quadrilaterals.</v>
      </c>
      <c r="Q95" s="10" t="str">
        <f t="shared" si="4"/>
        <v>LU000593.005</v>
      </c>
      <c r="R95" s="10" t="str">
        <f ca="1">IFERROR(__xludf.DUMMYFUNCTION("VLOOKUP(Q95, IMPORTRANGE(""https://docs.google.com/spreadsheets/d/1yDAaXNsi4Mr5FtRQL4tbmSdIzhx6_m4wkOD7IG-k_eo/edit#gid=0"", ""Maths!M:N""), 2, FALSE)"),"Determine the accuracy of the statement and justify whether rectangles/squares/parallelograms/rhombus can be classified as trapeziums.")</f>
        <v>Determine the accuracy of the statement and justify whether rectangles/squares/parallelograms/rhombus can be classified as trapeziums.</v>
      </c>
      <c r="S95" s="10" t="str">
        <f t="shared" si="5"/>
        <v>LU000593.006</v>
      </c>
      <c r="T95" s="10" t="str">
        <f ca="1">IFERROR(__xludf.DUMMYFUNCTION("VLOOKUP(S95, IMPORTRANGE(""https://docs.google.com/spreadsheets/d/1yDAaXNsi4Mr5FtRQL4tbmSdIzhx6_m4wkOD7IG-k_eo/edit#gid=0"", ""Maths!M:N""), 2, FALSE)"),"Create a visual representation comparing a trapezium and an isosceles trapezium.")</f>
        <v>Create a visual representation comparing a trapezium and an isosceles trapezium.</v>
      </c>
      <c r="U95" s="11">
        <f ca="1">IFERROR(__xludf.DUMMYFUNCTION("ArrayFormula(VLOOKUP(G95, IMPORTRANGE(""https://docs.google.com/spreadsheets/d/1p7R4vtkWt5VOBim4ltsDG9KTzSjrtKXsMtQGXPHyND0/edit#gid=795171502"", ""'Filter 30_05_2024'!A1:M2000""), {2, 3, 4, 5,6,7,8,9,10,11,12,13}, 0))"),5)</f>
        <v>5</v>
      </c>
      <c r="V95" s="11">
        <f ca="1">IFERROR(__xludf.DUMMYFUNCTION("""COMPUTED_VALUE"""),8)</f>
        <v>8</v>
      </c>
      <c r="W95" s="11">
        <f ca="1">IFERROR(__xludf.DUMMYFUNCTION("""COMPUTED_VALUE"""),2)</f>
        <v>2</v>
      </c>
      <c r="X95" s="11">
        <f ca="1">IFERROR(__xludf.DUMMYFUNCTION("""COMPUTED_VALUE"""),15)</f>
        <v>15</v>
      </c>
      <c r="Y95" s="11">
        <f ca="1">IFERROR(__xludf.DUMMYFUNCTION("""COMPUTED_VALUE"""),5)</f>
        <v>5</v>
      </c>
      <c r="Z95" s="29">
        <f ca="1">IFERROR(__xludf.DUMMYFUNCTION("""COMPUTED_VALUE"""),4)</f>
        <v>4</v>
      </c>
      <c r="AA95" s="29">
        <f ca="1">IFERROR(__xludf.DUMMYFUNCTION("""COMPUTED_VALUE"""),1)</f>
        <v>1</v>
      </c>
      <c r="AB95" s="12">
        <f ca="1">IFERROR(__xludf.DUMMYFUNCTION("""COMPUTED_VALUE"""),10)</f>
        <v>10</v>
      </c>
      <c r="AC95" s="12"/>
      <c r="AD95" s="12"/>
      <c r="AE95" s="12"/>
      <c r="AF95" s="12"/>
      <c r="AG95" s="13" t="str">
        <f ca="1">IFERROR(__xludf.DUMMYFUNCTION("ArrayFormula(VLOOKUP(G95, IMPORTRANGE(""https://docs.google.com/spreadsheets/d/1Co934fvtviyaRiMsrIlT05Jaq7iiYq07aLvRr35KA48/edit?gid=173865642#gid=173865642"", ""'G6_Maths_Pri_LU'!G2:V2000""), {3, 4, 5, 6, 7, 8, 9, 10, 11, 12, 13, 14, 15, 16}, 0))"),"LU000222")</f>
        <v>LU000222</v>
      </c>
      <c r="AH95" s="13" t="str">
        <f ca="1">IFERROR(__xludf.DUMMYFUNCTION("""COMPUTED_VALUE"""),"Definition and identification of parallel lines")</f>
        <v>Definition and identification of parallel lines</v>
      </c>
      <c r="AI95" s="13" t="str">
        <f ca="1">IFERROR(__xludf.DUMMYFUNCTION("""COMPUTED_VALUE"""),"LU000230")</f>
        <v>LU000230</v>
      </c>
      <c r="AJ95" s="13" t="str">
        <f ca="1">IFERROR(__xludf.DUMMYFUNCTION("""COMPUTED_VALUE"""),"Lexical explanation of quadrilateral")</f>
        <v>Lexical explanation of quadrilateral</v>
      </c>
      <c r="AK95" s="13" t="str">
        <f ca="1">IFERROR(__xludf.DUMMYFUNCTION("""COMPUTED_VALUE"""),"LU000227")</f>
        <v>LU000227</v>
      </c>
      <c r="AL95" s="13" t="str">
        <f ca="1">IFERROR(__xludf.DUMMYFUNCTION("""COMPUTED_VALUE"""),"Definition and elements of a polygon")</f>
        <v>Definition and elements of a polygon</v>
      </c>
      <c r="AM95" s="13"/>
      <c r="AN95" s="13"/>
      <c r="AO95" s="13"/>
      <c r="AP95" s="13"/>
      <c r="AQ95" s="13"/>
      <c r="AR95" s="13"/>
      <c r="AS95" s="13"/>
      <c r="AT95" s="13"/>
    </row>
    <row r="96" spans="1:46">
      <c r="A96" s="8" t="s">
        <v>247</v>
      </c>
      <c r="B96" s="8" t="s">
        <v>47</v>
      </c>
      <c r="C96" s="8" t="s">
        <v>48</v>
      </c>
      <c r="D96" s="8" t="s">
        <v>49</v>
      </c>
      <c r="E96" s="8" t="s">
        <v>318</v>
      </c>
      <c r="F96" s="21" t="s">
        <v>341</v>
      </c>
      <c r="G96" s="9" t="s">
        <v>344</v>
      </c>
      <c r="H96" s="9" t="str">
        <f ca="1">IFERROR(__xludf.DUMMYFUNCTION("VLOOKUP(G96, IMPORTRANGE(""https://docs.google.com/spreadsheets/d/14deopnvwcrKtEGCKuYXdUHJbeLDZlkiSSWWT0g7x2pM/edit#gid=999382323"", ""LU List Maths (Filter)!A:B""), 2, FALSE)"),"Definition of parallelogram")</f>
        <v>Definition of parallelogram</v>
      </c>
      <c r="I96" s="10" t="str">
        <f t="shared" si="0"/>
        <v>LU000595.001</v>
      </c>
      <c r="J96" s="10" t="str">
        <f ca="1">IFERROR(__xludf.DUMMYFUNCTION("VLOOKUP(I96, IMPORTRANGE(""https://docs.google.com/spreadsheets/d/1yDAaXNsi4Mr5FtRQL4tbmSdIzhx6_m4wkOD7IG-k_eo/edit#gid=0"", ""Maths!M:N""), 2, FALSE)"),"State definition of a parallelogram and identify its elements like base and height.")</f>
        <v>State definition of a parallelogram and identify its elements like base and height.</v>
      </c>
      <c r="K96" s="10" t="str">
        <f t="shared" si="1"/>
        <v>LU000595.002</v>
      </c>
      <c r="L96" s="10" t="str">
        <f ca="1">IFERROR(__xludf.DUMMYFUNCTION("VLOOKUP(K96, IMPORTRANGE(""https://docs.google.com/spreadsheets/d/1yDAaXNsi4Mr5FtRQL4tbmSdIzhx6_m4wkOD7IG-k_eo/edit#gid=0"", ""Maths!M:N""), 2, FALSE)"),"Explain the properties that distinguish a parallelogram from other quadrilaterals.")</f>
        <v>Explain the properties that distinguish a parallelogram from other quadrilaterals.</v>
      </c>
      <c r="M96" s="10" t="str">
        <f t="shared" si="2"/>
        <v>LU000595.003</v>
      </c>
      <c r="N96" s="10" t="str">
        <f ca="1">IFERROR(__xludf.DUMMYFUNCTION("VLOOKUP(M96, IMPORTRANGE(""https://docs.google.com/spreadsheets/d/1yDAaXNsi4Mr5FtRQL4tbmSdIzhx6_m4wkOD7IG-k_eo/edit#gid=0"", ""Maths!M:N""), 2, FALSE)"),"Apply the definition of a parallelogram to identify parallelograms in given shapes.")</f>
        <v>Apply the definition of a parallelogram to identify parallelograms in given shapes.</v>
      </c>
      <c r="O96" s="10" t="str">
        <f t="shared" si="3"/>
        <v>LU000595.004</v>
      </c>
      <c r="P96" s="10" t="str">
        <f ca="1">IFERROR(__xludf.DUMMYFUNCTION("VLOOKUP(O96, IMPORTRANGE(""https://docs.google.com/spreadsheets/d/1yDAaXNsi4Mr5FtRQL4tbmSdIzhx6_m4wkOD7IG-k_eo/edit#gid=0"", ""Maths!M:N""), 2, FALSE)"),"Compare the characteristics of a parallelogram with those of other quadrilaterals to understand their distinctions.")</f>
        <v>Compare the characteristics of a parallelogram with those of other quadrilaterals to understand their distinctions.</v>
      </c>
      <c r="Q96" s="10" t="str">
        <f t="shared" si="4"/>
        <v>LU000595.005</v>
      </c>
      <c r="R96" s="10" t="str">
        <f ca="1">IFERROR(__xludf.DUMMYFUNCTION("VLOOKUP(Q96, IMPORTRANGE(""https://docs.google.com/spreadsheets/d/1yDAaXNsi4Mr5FtRQL4tbmSdIzhx6_m4wkOD7IG-k_eo/edit#gid=0"", ""Maths!M:N""), 2, FALSE)"),"Evaluate whether a given shape is a parallelogram based on side relationships.")</f>
        <v>Evaluate whether a given shape is a parallelogram based on side relationships.</v>
      </c>
      <c r="S96" s="10" t="str">
        <f t="shared" si="5"/>
        <v>LU000595.006</v>
      </c>
      <c r="T96" s="10" t="str">
        <f ca="1">IFERROR(__xludf.DUMMYFUNCTION("VLOOKUP(S96, IMPORTRANGE(""https://docs.google.com/spreadsheets/d/1yDAaXNsi4Mr5FtRQL4tbmSdIzhx6_m4wkOD7IG-k_eo/edit#gid=0"", ""Maths!M:N""), 2, FALSE)"),"Design a visual representation illustrating the unique characteristics of a parallelogram.")</f>
        <v>Design a visual representation illustrating the unique characteristics of a parallelogram.</v>
      </c>
      <c r="U96" s="11">
        <f ca="1">IFERROR(__xludf.DUMMYFUNCTION("ArrayFormula(VLOOKUP(G96, IMPORTRANGE(""https://docs.google.com/spreadsheets/d/1p7R4vtkWt5VOBim4ltsDG9KTzSjrtKXsMtQGXPHyND0/edit#gid=795171502"", ""'Filter 30_05_2024'!A1:M2000""), {2, 3, 4, 5,6,7,8,9,10,11,12,13}, 0))"),12)</f>
        <v>12</v>
      </c>
      <c r="V96" s="11">
        <f ca="1">IFERROR(__xludf.DUMMYFUNCTION("""COMPUTED_VALUE"""),6)</f>
        <v>6</v>
      </c>
      <c r="W96" s="11">
        <f ca="1">IFERROR(__xludf.DUMMYFUNCTION("""COMPUTED_VALUE"""),3)</f>
        <v>3</v>
      </c>
      <c r="X96" s="11">
        <f ca="1">IFERROR(__xludf.DUMMYFUNCTION("""COMPUTED_VALUE"""),21)</f>
        <v>21</v>
      </c>
      <c r="Y96" s="11">
        <f ca="1">IFERROR(__xludf.DUMMYFUNCTION("""COMPUTED_VALUE"""),7)</f>
        <v>7</v>
      </c>
      <c r="Z96" s="29">
        <f ca="1">IFERROR(__xludf.DUMMYFUNCTION("""COMPUTED_VALUE"""),6)</f>
        <v>6</v>
      </c>
      <c r="AA96" s="29">
        <f ca="1">IFERROR(__xludf.DUMMYFUNCTION("""COMPUTED_VALUE"""),1)</f>
        <v>1</v>
      </c>
      <c r="AB96" s="12">
        <f ca="1">IFERROR(__xludf.DUMMYFUNCTION("""COMPUTED_VALUE"""),14)</f>
        <v>14</v>
      </c>
      <c r="AC96" s="12"/>
      <c r="AD96" s="12"/>
      <c r="AE96" s="12"/>
      <c r="AF96" s="12"/>
      <c r="AG96" s="13" t="str">
        <f ca="1">IFERROR(__xludf.DUMMYFUNCTION("ArrayFormula(VLOOKUP(G96, IMPORTRANGE(""https://docs.google.com/spreadsheets/d/1Co934fvtviyaRiMsrIlT05Jaq7iiYq07aLvRr35KA48/edit?gid=173865642#gid=173865642"", ""'G6_Maths_Pri_LU'!G2:V2000""), {3, 4, 5, 6, 7, 8, 9, 10, 11, 12, 13, 14, 15, 16}, 0))"),"LU000222")</f>
        <v>LU000222</v>
      </c>
      <c r="AH96" s="13" t="str">
        <f ca="1">IFERROR(__xludf.DUMMYFUNCTION("""COMPUTED_VALUE"""),"Definition and identification of parallel lines")</f>
        <v>Definition and identification of parallel lines</v>
      </c>
      <c r="AI96" s="13" t="str">
        <f ca="1">IFERROR(__xludf.DUMMYFUNCTION("""COMPUTED_VALUE"""),"LU000230")</f>
        <v>LU000230</v>
      </c>
      <c r="AJ96" s="13" t="str">
        <f ca="1">IFERROR(__xludf.DUMMYFUNCTION("""COMPUTED_VALUE"""),"Lexical explanation of quadrilateral")</f>
        <v>Lexical explanation of quadrilateral</v>
      </c>
      <c r="AK96" s="13" t="str">
        <f ca="1">IFERROR(__xludf.DUMMYFUNCTION("""COMPUTED_VALUE"""),"LU000227")</f>
        <v>LU000227</v>
      </c>
      <c r="AL96" s="13" t="str">
        <f ca="1">IFERROR(__xludf.DUMMYFUNCTION("""COMPUTED_VALUE"""),"Definition and elements of a polygon")</f>
        <v>Definition and elements of a polygon</v>
      </c>
      <c r="AM96" s="13"/>
      <c r="AN96" s="13"/>
      <c r="AO96" s="13"/>
      <c r="AP96" s="13"/>
      <c r="AQ96" s="13"/>
      <c r="AR96" s="13"/>
      <c r="AS96" s="13"/>
      <c r="AT96" s="13"/>
    </row>
    <row r="97" spans="1:46">
      <c r="A97" s="8" t="s">
        <v>247</v>
      </c>
      <c r="B97" s="8" t="s">
        <v>47</v>
      </c>
      <c r="C97" s="8" t="s">
        <v>48</v>
      </c>
      <c r="D97" s="8" t="s">
        <v>49</v>
      </c>
      <c r="E97" s="8" t="s">
        <v>318</v>
      </c>
      <c r="F97" s="21" t="s">
        <v>345</v>
      </c>
      <c r="G97" s="9" t="s">
        <v>346</v>
      </c>
      <c r="H97" s="9" t="str">
        <f ca="1">IFERROR(__xludf.DUMMYFUNCTION("VLOOKUP(G97, IMPORTRANGE(""https://docs.google.com/spreadsheets/d/14deopnvwcrKtEGCKuYXdUHJbeLDZlkiSSWWT0g7x2pM/edit#gid=999382323"", ""LU List Maths (Filter)!A:B""), 2, FALSE)"),"Definition of rhombus")</f>
        <v>Definition of rhombus</v>
      </c>
      <c r="I97" s="10" t="str">
        <f t="shared" si="0"/>
        <v>LU000596.001</v>
      </c>
      <c r="J97" s="10" t="str">
        <f ca="1">IFERROR(__xludf.DUMMYFUNCTION("VLOOKUP(I97, IMPORTRANGE(""https://docs.google.com/spreadsheets/d/1yDAaXNsi4Mr5FtRQL4tbmSdIzhx6_m4wkOD7IG-k_eo/edit#gid=0"", ""Maths!M:N""), 2, FALSE)"),"Recall the definition of a rhombus.")</f>
        <v>Recall the definition of a rhombus.</v>
      </c>
      <c r="K97" s="10" t="str">
        <f t="shared" si="1"/>
        <v>LU000596.002</v>
      </c>
      <c r="L97" s="10" t="str">
        <f ca="1">IFERROR(__xludf.DUMMYFUNCTION("VLOOKUP(K97, IMPORTRANGE(""https://docs.google.com/spreadsheets/d/1yDAaXNsi4Mr5FtRQL4tbmSdIzhx6_m4wkOD7IG-k_eo/edit#gid=0"", ""Maths!M:N""), 2, FALSE)"),"Explain the properties that distinguish a rhombus from other quadrilaterals.")</f>
        <v>Explain the properties that distinguish a rhombus from other quadrilaterals.</v>
      </c>
      <c r="M97" s="10" t="str">
        <f t="shared" si="2"/>
        <v>LU000596.003</v>
      </c>
      <c r="N97" s="10" t="str">
        <f ca="1">IFERROR(__xludf.DUMMYFUNCTION("VLOOKUP(M97, IMPORTRANGE(""https://docs.google.com/spreadsheets/d/1yDAaXNsi4Mr5FtRQL4tbmSdIzhx6_m4wkOD7IG-k_eo/edit#gid=0"", ""Maths!M:N""), 2, FALSE)"),"Apply the definition of a rhombus to identify rhombus in given shapes.")</f>
        <v>Apply the definition of a rhombus to identify rhombus in given shapes.</v>
      </c>
      <c r="O97" s="10" t="str">
        <f t="shared" si="3"/>
        <v>LU000596.004</v>
      </c>
      <c r="P97" s="10" t="str">
        <f ca="1">IFERROR(__xludf.DUMMYFUNCTION("VLOOKUP(O97, IMPORTRANGE(""https://docs.google.com/spreadsheets/d/1yDAaXNsi4Mr5FtRQL4tbmSdIzhx6_m4wkOD7IG-k_eo/edit#gid=0"", ""Maths!M:N""), 2, FALSE)"),"Compare the characteristics of a rhombus with those of other quadrilaterals to understand their distinctions.")</f>
        <v>Compare the characteristics of a rhombus with those of other quadrilaterals to understand their distinctions.</v>
      </c>
      <c r="Q97" s="10" t="str">
        <f t="shared" si="4"/>
        <v>LU000596.005</v>
      </c>
      <c r="R97" s="10" t="str">
        <f ca="1">IFERROR(__xludf.DUMMYFUNCTION("VLOOKUP(Q97, IMPORTRANGE(""https://docs.google.com/spreadsheets/d/1yDAaXNsi4Mr5FtRQL4tbmSdIzhx6_m4wkOD7IG-k_eo/edit#gid=0"", ""Maths!M:N""), 2, FALSE)"),"Evaluate whether a given shape is a rhombus based on side relationships.")</f>
        <v>Evaluate whether a given shape is a rhombus based on side relationships.</v>
      </c>
      <c r="S97" s="10" t="str">
        <f t="shared" si="5"/>
        <v>LU000596.006</v>
      </c>
      <c r="T97" s="10" t="str">
        <f ca="1">IFERROR(__xludf.DUMMYFUNCTION("VLOOKUP(S97, IMPORTRANGE(""https://docs.google.com/spreadsheets/d/1yDAaXNsi4Mr5FtRQL4tbmSdIzhx6_m4wkOD7IG-k_eo/edit#gid=0"", ""Maths!M:N""), 2, FALSE)"),"Design a visual representation illustrating the unique characteristics of a rhombus.")</f>
        <v>Design a visual representation illustrating the unique characteristics of a rhombus.</v>
      </c>
      <c r="U97" s="11">
        <f ca="1">IFERROR(__xludf.DUMMYFUNCTION("ArrayFormula(VLOOKUP(G97, IMPORTRANGE(""https://docs.google.com/spreadsheets/d/1p7R4vtkWt5VOBim4ltsDG9KTzSjrtKXsMtQGXPHyND0/edit#gid=795171502"", ""'Filter 30_05_2024'!A1:M2000""), {2, 3, 4, 5,6,7,8,9,10,11,12,13}, 0))"),4)</f>
        <v>4</v>
      </c>
      <c r="V97" s="11">
        <f ca="1">IFERROR(__xludf.DUMMYFUNCTION("""COMPUTED_VALUE"""),8)</f>
        <v>8</v>
      </c>
      <c r="W97" s="11">
        <f ca="1">IFERROR(__xludf.DUMMYFUNCTION("""COMPUTED_VALUE"""),2)</f>
        <v>2</v>
      </c>
      <c r="X97" s="11">
        <f ca="1">IFERROR(__xludf.DUMMYFUNCTION("""COMPUTED_VALUE"""),14)</f>
        <v>14</v>
      </c>
      <c r="Y97" s="11">
        <f ca="1">IFERROR(__xludf.DUMMYFUNCTION("""COMPUTED_VALUE"""),6)</f>
        <v>6</v>
      </c>
      <c r="Z97" s="29">
        <f ca="1">IFERROR(__xludf.DUMMYFUNCTION("""COMPUTED_VALUE"""),4)</f>
        <v>4</v>
      </c>
      <c r="AA97" s="29">
        <f ca="1">IFERROR(__xludf.DUMMYFUNCTION("""COMPUTED_VALUE"""),1)</f>
        <v>1</v>
      </c>
      <c r="AB97" s="12">
        <f ca="1">IFERROR(__xludf.DUMMYFUNCTION("""COMPUTED_VALUE"""),11)</f>
        <v>11</v>
      </c>
      <c r="AC97" s="12"/>
      <c r="AD97" s="12"/>
      <c r="AE97" s="12"/>
      <c r="AF97" s="12"/>
      <c r="AG97" s="13" t="str">
        <f ca="1">IFERROR(__xludf.DUMMYFUNCTION("ArrayFormula(VLOOKUP(G97, IMPORTRANGE(""https://docs.google.com/spreadsheets/d/1Co934fvtviyaRiMsrIlT05Jaq7iiYq07aLvRr35KA48/edit?gid=173865642#gid=173865642"", ""'G6_Maths_Pri_LU'!G2:V2000""), {3, 4, 5, 6, 7, 8, 9, 10, 11, 12, 13, 14, 15, 16}, 0))"),"LU000595")</f>
        <v>LU000595</v>
      </c>
      <c r="AH97" s="13" t="str">
        <f ca="1">IFERROR(__xludf.DUMMYFUNCTION("""COMPUTED_VALUE"""),"Definition of parallelogram")</f>
        <v>Definition of parallelogram</v>
      </c>
      <c r="AI97" s="13" t="str">
        <f ca="1">IFERROR(__xludf.DUMMYFUNCTION("""COMPUTED_VALUE"""),"LU000222")</f>
        <v>LU000222</v>
      </c>
      <c r="AJ97" s="13" t="str">
        <f ca="1">IFERROR(__xludf.DUMMYFUNCTION("""COMPUTED_VALUE"""),"Definition and identification of parallel lines")</f>
        <v>Definition and identification of parallel lines</v>
      </c>
      <c r="AK97" s="13" t="str">
        <f ca="1">IFERROR(__xludf.DUMMYFUNCTION("""COMPUTED_VALUE"""),"LU000230")</f>
        <v>LU000230</v>
      </c>
      <c r="AL97" s="13" t="str">
        <f ca="1">IFERROR(__xludf.DUMMYFUNCTION("""COMPUTED_VALUE"""),"Lexical explanation of quadrilateral")</f>
        <v>Lexical explanation of quadrilateral</v>
      </c>
      <c r="AM97" s="13"/>
      <c r="AN97" s="13"/>
      <c r="AO97" s="13"/>
      <c r="AP97" s="13"/>
      <c r="AQ97" s="13"/>
      <c r="AR97" s="13"/>
      <c r="AS97" s="13"/>
      <c r="AT97" s="13"/>
    </row>
    <row r="98" spans="1:46">
      <c r="A98" s="8" t="s">
        <v>247</v>
      </c>
      <c r="B98" s="8" t="s">
        <v>47</v>
      </c>
      <c r="C98" s="8" t="s">
        <v>48</v>
      </c>
      <c r="D98" s="8" t="s">
        <v>49</v>
      </c>
      <c r="E98" s="8" t="s">
        <v>318</v>
      </c>
      <c r="F98" s="21" t="s">
        <v>345</v>
      </c>
      <c r="G98" s="9" t="s">
        <v>347</v>
      </c>
      <c r="H98" s="9" t="str">
        <f ca="1">IFERROR(__xludf.DUMMYFUNCTION("VLOOKUP(G98, IMPORTRANGE(""https://docs.google.com/spreadsheets/d/14deopnvwcrKtEGCKuYXdUHJbeLDZlkiSSWWT0g7x2pM/edit#gid=999382323"", ""LU List Maths (Filter)!A:B""), 2, FALSE)"),"Definition of rectangle")</f>
        <v>Definition of rectangle</v>
      </c>
      <c r="I98" s="10" t="str">
        <f t="shared" si="0"/>
        <v>LU000597.001</v>
      </c>
      <c r="J98" s="10" t="str">
        <f ca="1">IFERROR(__xludf.DUMMYFUNCTION("VLOOKUP(I98, IMPORTRANGE(""https://docs.google.com/spreadsheets/d/1yDAaXNsi4Mr5FtRQL4tbmSdIzhx6_m4wkOD7IG-k_eo/edit#gid=0"", ""Maths!M:N""), 2, FALSE)"),"Recall the definition of a rectangle.")</f>
        <v>Recall the definition of a rectangle.</v>
      </c>
      <c r="K98" s="10" t="str">
        <f t="shared" si="1"/>
        <v>LU000597.002</v>
      </c>
      <c r="L98" s="10" t="str">
        <f ca="1">IFERROR(__xludf.DUMMYFUNCTION("VLOOKUP(K98, IMPORTRANGE(""https://docs.google.com/spreadsheets/d/1yDAaXNsi4Mr5FtRQL4tbmSdIzhx6_m4wkOD7IG-k_eo/edit#gid=0"", ""Maths!M:N""), 2, FALSE)"),"Explain the properties that distinguish a rectangle from other quadrilaterals.")</f>
        <v>Explain the properties that distinguish a rectangle from other quadrilaterals.</v>
      </c>
      <c r="M98" s="10" t="str">
        <f t="shared" si="2"/>
        <v>LU000597.003</v>
      </c>
      <c r="N98" s="10" t="str">
        <f ca="1">IFERROR(__xludf.DUMMYFUNCTION("VLOOKUP(M98, IMPORTRANGE(""https://docs.google.com/spreadsheets/d/1yDAaXNsi4Mr5FtRQL4tbmSdIzhx6_m4wkOD7IG-k_eo/edit#gid=0"", ""Maths!M:N""), 2, FALSE)"),"Apply the definition of a rectangle to identify rectangle in given shapes.")</f>
        <v>Apply the definition of a rectangle to identify rectangle in given shapes.</v>
      </c>
      <c r="O98" s="10" t="str">
        <f t="shared" si="3"/>
        <v>LU000597.004</v>
      </c>
      <c r="P98" s="10" t="str">
        <f ca="1">IFERROR(__xludf.DUMMYFUNCTION("VLOOKUP(O98, IMPORTRANGE(""https://docs.google.com/spreadsheets/d/1yDAaXNsi4Mr5FtRQL4tbmSdIzhx6_m4wkOD7IG-k_eo/edit#gid=0"", ""Maths!M:N""), 2, FALSE)"),"Compare the characteristics of a rectangle with those of other quadrilaterals to understand their distinctions.")</f>
        <v>Compare the characteristics of a rectangle with those of other quadrilaterals to understand their distinctions.</v>
      </c>
      <c r="Q98" s="10" t="str">
        <f t="shared" si="4"/>
        <v>LU000597.005</v>
      </c>
      <c r="R98" s="10" t="str">
        <f ca="1">IFERROR(__xludf.DUMMYFUNCTION("VLOOKUP(Q98, IMPORTRANGE(""https://docs.google.com/spreadsheets/d/1yDAaXNsi4Mr5FtRQL4tbmSdIzhx6_m4wkOD7IG-k_eo/edit#gid=0"", ""Maths!M:N""), 2, FALSE)"),"Evaluate whether a given shape is a rectangle based on side and angle relationships.")</f>
        <v>Evaluate whether a given shape is a rectangle based on side and angle relationships.</v>
      </c>
      <c r="S98" s="10" t="str">
        <f t="shared" si="5"/>
        <v>LU000597.006</v>
      </c>
      <c r="T98" s="10" t="str">
        <f ca="1">IFERROR(__xludf.DUMMYFUNCTION("VLOOKUP(S98, IMPORTRANGE(""https://docs.google.com/spreadsheets/d/1yDAaXNsi4Mr5FtRQL4tbmSdIzhx6_m4wkOD7IG-k_eo/edit#gid=0"", ""Maths!M:N""), 2, FALSE)"),"Design a visual representation illustrating the unique characteristics of a rectangle.")</f>
        <v>Design a visual representation illustrating the unique characteristics of a rectangle.</v>
      </c>
      <c r="U98" s="11">
        <f ca="1">IFERROR(__xludf.DUMMYFUNCTION("ArrayFormula(VLOOKUP(G98, IMPORTRANGE(""https://docs.google.com/spreadsheets/d/1p7R4vtkWt5VOBim4ltsDG9KTzSjrtKXsMtQGXPHyND0/edit#gid=795171502"", ""'Filter 30_05_2024'!A1:M2000""), {2, 3, 4, 5,6,7,8,9,10,11,12,13}, 0))"),5)</f>
        <v>5</v>
      </c>
      <c r="V98" s="11">
        <f ca="1">IFERROR(__xludf.DUMMYFUNCTION("""COMPUTED_VALUE"""),6)</f>
        <v>6</v>
      </c>
      <c r="W98" s="11">
        <f ca="1">IFERROR(__xludf.DUMMYFUNCTION("""COMPUTED_VALUE"""),2)</f>
        <v>2</v>
      </c>
      <c r="X98" s="11">
        <f ca="1">IFERROR(__xludf.DUMMYFUNCTION("""COMPUTED_VALUE"""),13)</f>
        <v>13</v>
      </c>
      <c r="Y98" s="11">
        <f ca="1">IFERROR(__xludf.DUMMYFUNCTION("""COMPUTED_VALUE"""),5)</f>
        <v>5</v>
      </c>
      <c r="Z98" s="29">
        <f ca="1">IFERROR(__xludf.DUMMYFUNCTION("""COMPUTED_VALUE"""),6)</f>
        <v>6</v>
      </c>
      <c r="AA98" s="29">
        <f ca="1">IFERROR(__xludf.DUMMYFUNCTION("""COMPUTED_VALUE"""),1)</f>
        <v>1</v>
      </c>
      <c r="AB98" s="12">
        <f ca="1">IFERROR(__xludf.DUMMYFUNCTION("""COMPUTED_VALUE"""),12)</f>
        <v>12</v>
      </c>
      <c r="AC98" s="12"/>
      <c r="AD98" s="12"/>
      <c r="AE98" s="12"/>
      <c r="AF98" s="12"/>
      <c r="AG98" s="13" t="str">
        <f ca="1">IFERROR(__xludf.DUMMYFUNCTION("ArrayFormula(VLOOKUP(G98, IMPORTRANGE(""https://docs.google.com/spreadsheets/d/1Co934fvtviyaRiMsrIlT05Jaq7iiYq07aLvRr35KA48/edit?gid=173865642#gid=173865642"", ""'G6_Maths_Pri_LU'!G2:V2000""), {3, 4, 5, 6, 7, 8, 9, 10, 11, 12, 13, 14, 15, 16}, 0))"),"LU000595")</f>
        <v>LU000595</v>
      </c>
      <c r="AH98" s="13" t="str">
        <f ca="1">IFERROR(__xludf.DUMMYFUNCTION("""COMPUTED_VALUE"""),"Definition of parallelogram")</f>
        <v>Definition of parallelogram</v>
      </c>
      <c r="AI98" s="13" t="str">
        <f ca="1">IFERROR(__xludf.DUMMYFUNCTION("""COMPUTED_VALUE"""),"LU000017")</f>
        <v>LU000017</v>
      </c>
      <c r="AJ98" s="13" t="str">
        <f ca="1">IFERROR(__xludf.DUMMYFUNCTION("""COMPUTED_VALUE"""),"Definition of a right angle")</f>
        <v>Definition of a right angle</v>
      </c>
      <c r="AK98" s="13" t="str">
        <f ca="1">IFERROR(__xludf.DUMMYFUNCTION("""COMPUTED_VALUE"""),"LU000230")</f>
        <v>LU000230</v>
      </c>
      <c r="AL98" s="13" t="str">
        <f ca="1">IFERROR(__xludf.DUMMYFUNCTION("""COMPUTED_VALUE"""),"Lexical explanation of quadrilateral")</f>
        <v>Lexical explanation of quadrilateral</v>
      </c>
      <c r="AM98" s="13"/>
      <c r="AN98" s="13"/>
      <c r="AO98" s="13"/>
      <c r="AP98" s="13"/>
      <c r="AQ98" s="13"/>
      <c r="AR98" s="13"/>
      <c r="AS98" s="13"/>
      <c r="AT98" s="13"/>
    </row>
    <row r="99" spans="1:46">
      <c r="A99" s="8" t="s">
        <v>247</v>
      </c>
      <c r="B99" s="8" t="s">
        <v>47</v>
      </c>
      <c r="C99" s="8" t="s">
        <v>48</v>
      </c>
      <c r="D99" s="8" t="s">
        <v>49</v>
      </c>
      <c r="E99" s="8" t="s">
        <v>318</v>
      </c>
      <c r="F99" s="21" t="s">
        <v>345</v>
      </c>
      <c r="G99" s="9" t="s">
        <v>348</v>
      </c>
      <c r="H99" s="9" t="str">
        <f ca="1">IFERROR(__xludf.DUMMYFUNCTION("VLOOKUP(G99, IMPORTRANGE(""https://docs.google.com/spreadsheets/d/14deopnvwcrKtEGCKuYXdUHJbeLDZlkiSSWWT0g7x2pM/edit#gid=999382323"", ""LU List Maths (Filter)!A:B""), 2, FALSE)"),"Definition of square")</f>
        <v>Definition of square</v>
      </c>
      <c r="I99" s="10" t="str">
        <f t="shared" si="0"/>
        <v>LU000598.001</v>
      </c>
      <c r="J99" s="10" t="str">
        <f ca="1">IFERROR(__xludf.DUMMYFUNCTION("VLOOKUP(I99, IMPORTRANGE(""https://docs.google.com/spreadsheets/d/1yDAaXNsi4Mr5FtRQL4tbmSdIzhx6_m4wkOD7IG-k_eo/edit#gid=0"", ""Maths!M:N""), 2, FALSE)"),"Recall the definition of a square.")</f>
        <v>Recall the definition of a square.</v>
      </c>
      <c r="K99" s="10" t="str">
        <f t="shared" si="1"/>
        <v>LU000598.002</v>
      </c>
      <c r="L99" s="10" t="str">
        <f ca="1">IFERROR(__xludf.DUMMYFUNCTION("VLOOKUP(K99, IMPORTRANGE(""https://docs.google.com/spreadsheets/d/1yDAaXNsi4Mr5FtRQL4tbmSdIzhx6_m4wkOD7IG-k_eo/edit#gid=0"", ""Maths!M:N""), 2, FALSE)"),"Explain the properties that distinguish a square from other quadrilaterals.")</f>
        <v>Explain the properties that distinguish a square from other quadrilaterals.</v>
      </c>
      <c r="M99" s="10" t="str">
        <f t="shared" si="2"/>
        <v>LU000598.003</v>
      </c>
      <c r="N99" s="10" t="str">
        <f ca="1">IFERROR(__xludf.DUMMYFUNCTION("VLOOKUP(M99, IMPORTRANGE(""https://docs.google.com/spreadsheets/d/1yDAaXNsi4Mr5FtRQL4tbmSdIzhx6_m4wkOD7IG-k_eo/edit#gid=0"", ""Maths!M:N""), 2, FALSE)"),"Apply the definition of a square to identify square in given shapes.")</f>
        <v>Apply the definition of a square to identify square in given shapes.</v>
      </c>
      <c r="O99" s="10" t="str">
        <f t="shared" si="3"/>
        <v>LU000598.004</v>
      </c>
      <c r="P99" s="10" t="str">
        <f ca="1">IFERROR(__xludf.DUMMYFUNCTION("VLOOKUP(O99, IMPORTRANGE(""https://docs.google.com/spreadsheets/d/1yDAaXNsi4Mr5FtRQL4tbmSdIzhx6_m4wkOD7IG-k_eo/edit#gid=0"", ""Maths!M:N""), 2, FALSE)"),"Compare the characteristics of a square with those of other quadrilaterals to understand their distinctions.")</f>
        <v>Compare the characteristics of a square with those of other quadrilaterals to understand their distinctions.</v>
      </c>
      <c r="Q99" s="10" t="str">
        <f t="shared" si="4"/>
        <v>LU000598.005</v>
      </c>
      <c r="R99" s="10" t="str">
        <f ca="1">IFERROR(__xludf.DUMMYFUNCTION("VLOOKUP(Q99, IMPORTRANGE(""https://docs.google.com/spreadsheets/d/1yDAaXNsi4Mr5FtRQL4tbmSdIzhx6_m4wkOD7IG-k_eo/edit#gid=0"", ""Maths!M:N""), 2, FALSE)"),"Evaluate whether a given shape is a square based on side and angle relationships.")</f>
        <v>Evaluate whether a given shape is a square based on side and angle relationships.</v>
      </c>
      <c r="S99" s="10" t="str">
        <f t="shared" si="5"/>
        <v>LU000598.006</v>
      </c>
      <c r="T99" s="10" t="str">
        <f ca="1">IFERROR(__xludf.DUMMYFUNCTION("VLOOKUP(S99, IMPORTRANGE(""https://docs.google.com/spreadsheets/d/1yDAaXNsi4Mr5FtRQL4tbmSdIzhx6_m4wkOD7IG-k_eo/edit#gid=0"", ""Maths!M:N""), 2, FALSE)"),"Design a visual representation illustrating the unique characteristics of a square.")</f>
        <v>Design a visual representation illustrating the unique characteristics of a square.</v>
      </c>
      <c r="U99" s="11">
        <f ca="1">IFERROR(__xludf.DUMMYFUNCTION("ArrayFormula(VLOOKUP(G99, IMPORTRANGE(""https://docs.google.com/spreadsheets/d/1p7R4vtkWt5VOBim4ltsDG9KTzSjrtKXsMtQGXPHyND0/edit#gid=795171502"", ""'Filter 30_05_2024'!A1:M2000""), {2, 3, 4, 5,6,7,8,9,10,11,12,13}, 0))"),5)</f>
        <v>5</v>
      </c>
      <c r="V99" s="11">
        <f ca="1">IFERROR(__xludf.DUMMYFUNCTION("""COMPUTED_VALUE"""),8)</f>
        <v>8</v>
      </c>
      <c r="W99" s="11">
        <f ca="1">IFERROR(__xludf.DUMMYFUNCTION("""COMPUTED_VALUE"""),3)</f>
        <v>3</v>
      </c>
      <c r="X99" s="11">
        <f ca="1">IFERROR(__xludf.DUMMYFUNCTION("""COMPUTED_VALUE"""),16)</f>
        <v>16</v>
      </c>
      <c r="Y99" s="11">
        <f ca="1">IFERROR(__xludf.DUMMYFUNCTION("""COMPUTED_VALUE"""),5)</f>
        <v>5</v>
      </c>
      <c r="Z99" s="29">
        <f ca="1">IFERROR(__xludf.DUMMYFUNCTION("""COMPUTED_VALUE"""),4)</f>
        <v>4</v>
      </c>
      <c r="AA99" s="29">
        <f ca="1">IFERROR(__xludf.DUMMYFUNCTION("""COMPUTED_VALUE"""),2)</f>
        <v>2</v>
      </c>
      <c r="AB99" s="12">
        <f ca="1">IFERROR(__xludf.DUMMYFUNCTION("""COMPUTED_VALUE"""),11)</f>
        <v>11</v>
      </c>
      <c r="AC99" s="12"/>
      <c r="AD99" s="12"/>
      <c r="AE99" s="12"/>
      <c r="AF99" s="12"/>
      <c r="AG99" s="13" t="str">
        <f ca="1">IFERROR(__xludf.DUMMYFUNCTION("ArrayFormula(VLOOKUP(G99, IMPORTRANGE(""https://docs.google.com/spreadsheets/d/1Co934fvtviyaRiMsrIlT05Jaq7iiYq07aLvRr35KA48/edit?gid=173865642#gid=173865642"", ""'G6_Maths_Pri_LU'!G2:V2000""), {3, 4, 5, 6, 7, 8, 9, 10, 11, 12, 13, 14, 15, 16}, 0))"),"LU000597")</f>
        <v>LU000597</v>
      </c>
      <c r="AH99" s="13" t="str">
        <f ca="1">IFERROR(__xludf.DUMMYFUNCTION("""COMPUTED_VALUE"""),"Definition of rectangle")</f>
        <v>Definition of rectangle</v>
      </c>
      <c r="AI99" s="13" t="str">
        <f ca="1">IFERROR(__xludf.DUMMYFUNCTION("""COMPUTED_VALUE"""),"LU000595")</f>
        <v>LU000595</v>
      </c>
      <c r="AJ99" s="13" t="str">
        <f ca="1">IFERROR(__xludf.DUMMYFUNCTION("""COMPUTED_VALUE"""),"Definition of parallelogram")</f>
        <v>Definition of parallelogram</v>
      </c>
      <c r="AK99" s="13" t="str">
        <f ca="1">IFERROR(__xludf.DUMMYFUNCTION("""COMPUTED_VALUE"""),"LU000017")</f>
        <v>LU000017</v>
      </c>
      <c r="AL99" s="13" t="str">
        <f ca="1">IFERROR(__xludf.DUMMYFUNCTION("""COMPUTED_VALUE"""),"Definition of a right angle")</f>
        <v>Definition of a right angle</v>
      </c>
      <c r="AM99" s="13"/>
      <c r="AN99" s="13"/>
      <c r="AO99" s="13"/>
      <c r="AP99" s="13"/>
      <c r="AQ99" s="13"/>
      <c r="AR99" s="13"/>
      <c r="AS99" s="13"/>
      <c r="AT99" s="13"/>
    </row>
    <row r="100" spans="1:46">
      <c r="A100" s="8" t="s">
        <v>247</v>
      </c>
      <c r="B100" s="8" t="s">
        <v>47</v>
      </c>
      <c r="C100" s="8" t="s">
        <v>48</v>
      </c>
      <c r="D100" s="8" t="s">
        <v>49</v>
      </c>
      <c r="E100" s="8" t="s">
        <v>318</v>
      </c>
      <c r="F100" s="8" t="s">
        <v>349</v>
      </c>
      <c r="G100" s="9" t="s">
        <v>350</v>
      </c>
      <c r="H100" s="9" t="str">
        <f ca="1">IFERROR(__xludf.DUMMYFUNCTION("VLOOKUP(G100, IMPORTRANGE(""https://docs.google.com/spreadsheets/d/14deopnvwcrKtEGCKuYXdUHJbeLDZlkiSSWWT0g7x2pM/edit#gid=999382323"", ""LU List Maths (Filter)!A:B""), 2, FALSE)"),"Definition of regular and irregular polygon")</f>
        <v>Definition of regular and irregular polygon</v>
      </c>
      <c r="I100" s="10" t="str">
        <f t="shared" si="0"/>
        <v>LU000905.001</v>
      </c>
      <c r="J100" s="10" t="str">
        <f ca="1">IFERROR(__xludf.DUMMYFUNCTION("VLOOKUP(I100, IMPORTRANGE(""https://docs.google.com/spreadsheets/d/1yDAaXNsi4Mr5FtRQL4tbmSdIzhx6_m4wkOD7IG-k_eo/edit#gid=0"", ""Maths!M:N""), 2, FALSE)"),"List properties of regular and irregular polygons.")</f>
        <v>List properties of regular and irregular polygons.</v>
      </c>
      <c r="K100" s="10" t="str">
        <f t="shared" si="1"/>
        <v>LU000905.002</v>
      </c>
      <c r="L100" s="10" t="str">
        <f ca="1">IFERROR(__xludf.DUMMYFUNCTION("VLOOKUP(K100, IMPORTRANGE(""https://docs.google.com/spreadsheets/d/1yDAaXNsi4Mr5FtRQL4tbmSdIzhx6_m4wkOD7IG-k_eo/edit#gid=0"", ""Maths!M:N""), 2, FALSE)"),"Summarize what makes a polygon regular and what makes it irregular.")</f>
        <v>Summarize what makes a polygon regular and what makes it irregular.</v>
      </c>
      <c r="M100" s="10" t="str">
        <f t="shared" si="2"/>
        <v>LU000905.003</v>
      </c>
      <c r="N100" s="10" t="str">
        <f ca="1">IFERROR(__xludf.DUMMYFUNCTION("VLOOKUP(M100, IMPORTRANGE(""https://docs.google.com/spreadsheets/d/1yDAaXNsi4Mr5FtRQL4tbmSdIzhx6_m4wkOD7IG-k_eo/edit#gid=0"", ""Maths!M:N""), 2, FALSE)"),"Identify regular and irregular polygons in various contexts.")</f>
        <v>Identify regular and irregular polygons in various contexts.</v>
      </c>
      <c r="O100" s="10" t="str">
        <f t="shared" si="3"/>
        <v>LU000905.004</v>
      </c>
      <c r="P100" s="10" t="str">
        <f ca="1">IFERROR(__xludf.DUMMYFUNCTION("VLOOKUP(O100, IMPORTRANGE(""https://docs.google.com/spreadsheets/d/1yDAaXNsi4Mr5FtRQL4tbmSdIzhx6_m4wkOD7IG-k_eo/edit#gid=0"", ""Maths!M:N""), 2, FALSE)"),"Examine and discuss the properties of regular and irregular polygons.")</f>
        <v>Examine and discuss the properties of regular and irregular polygons.</v>
      </c>
      <c r="Q100" s="10" t="str">
        <f t="shared" si="4"/>
        <v>LU000905.005</v>
      </c>
      <c r="R100" s="10" t="str">
        <f ca="1">IFERROR(__xludf.DUMMYFUNCTION("VLOOKUP(Q100, IMPORTRANGE(""https://docs.google.com/spreadsheets/d/1yDAaXNsi4Mr5FtRQL4tbmSdIzhx6_m4wkOD7IG-k_eo/edit#gid=0"", ""Maths!M:N""), 2, FALSE)"),"Assess the regularity and irregularity of a given polygon.")</f>
        <v>Assess the regularity and irregularity of a given polygon.</v>
      </c>
      <c r="S100" s="10" t="str">
        <f t="shared" si="5"/>
        <v>LU000905.006</v>
      </c>
      <c r="T100" s="10" t="str">
        <f ca="1">IFERROR(__xludf.DUMMYFUNCTION("VLOOKUP(S100, IMPORTRANGE(""https://docs.google.com/spreadsheets/d/1yDAaXNsi4Mr5FtRQL4tbmSdIzhx6_m4wkOD7IG-k_eo/edit#gid=0"", ""Maths!M:N""), 2, FALSE)"),"Design a project using regular and irregular polygons.")</f>
        <v>Design a project using regular and irregular polygons.</v>
      </c>
      <c r="U100" s="11">
        <f ca="1">IFERROR(__xludf.DUMMYFUNCTION("ArrayFormula(VLOOKUP(G100, IMPORTRANGE(""https://docs.google.com/spreadsheets/d/1p7R4vtkWt5VOBim4ltsDG9KTzSjrtKXsMtQGXPHyND0/edit#gid=795171502"", ""'Filter 30_05_2024'!A1:M2000""), {2, 3, 4, 5,6,7,8,9,10,11,12,13}, 0))"),5)</f>
        <v>5</v>
      </c>
      <c r="V100" s="11">
        <f ca="1">IFERROR(__xludf.DUMMYFUNCTION("""COMPUTED_VALUE"""),7)</f>
        <v>7</v>
      </c>
      <c r="W100" s="11">
        <f ca="1">IFERROR(__xludf.DUMMYFUNCTION("""COMPUTED_VALUE"""),3)</f>
        <v>3</v>
      </c>
      <c r="X100" s="11">
        <f ca="1">IFERROR(__xludf.DUMMYFUNCTION("""COMPUTED_VALUE"""),15)</f>
        <v>15</v>
      </c>
      <c r="Y100" s="11">
        <f ca="1">IFERROR(__xludf.DUMMYFUNCTION("""COMPUTED_VALUE"""),5)</f>
        <v>5</v>
      </c>
      <c r="Z100" s="29">
        <f ca="1">IFERROR(__xludf.DUMMYFUNCTION("""COMPUTED_VALUE"""),7)</f>
        <v>7</v>
      </c>
      <c r="AA100" s="29">
        <f ca="1">IFERROR(__xludf.DUMMYFUNCTION("""COMPUTED_VALUE"""),1)</f>
        <v>1</v>
      </c>
      <c r="AB100" s="12">
        <f ca="1">IFERROR(__xludf.DUMMYFUNCTION("""COMPUTED_VALUE"""),13)</f>
        <v>13</v>
      </c>
      <c r="AC100" s="12"/>
      <c r="AD100" s="12"/>
      <c r="AE100" s="12"/>
      <c r="AF100" s="12"/>
      <c r="AG100" s="13" t="str">
        <f ca="1">IFERROR(__xludf.DUMMYFUNCTION("ArrayFormula(VLOOKUP(G100, IMPORTRANGE(""https://docs.google.com/spreadsheets/d/1Co934fvtviyaRiMsrIlT05Jaq7iiYq07aLvRr35KA48/edit?gid=173865642#gid=173865642"", ""'G6_Maths_Pri_LU'!G2:V2000""), {3, 4, 5, 6, 7, 8, 9, 10, 11, 12, 13, 14, 15, 16}, 0))"),"LU000227")</f>
        <v>LU000227</v>
      </c>
      <c r="AH100" s="13" t="str">
        <f ca="1">IFERROR(__xludf.DUMMYFUNCTION("""COMPUTED_VALUE"""),"Definition and elements of a polygon")</f>
        <v>Definition and elements of a polygon</v>
      </c>
      <c r="AI100" s="13" t="str">
        <f ca="1">IFERROR(__xludf.DUMMYFUNCTION("""COMPUTED_VALUE"""),"LU000012")</f>
        <v>LU000012</v>
      </c>
      <c r="AJ100" s="13" t="str">
        <f ca="1">IFERROR(__xludf.DUMMYFUNCTION("""COMPUTED_VALUE"""),"Definition of a closed shape")</f>
        <v>Definition of a closed shape</v>
      </c>
      <c r="AK100" s="13"/>
      <c r="AL100" s="13"/>
      <c r="AM100" s="13"/>
      <c r="AN100" s="13"/>
      <c r="AO100" s="13"/>
      <c r="AP100" s="13"/>
      <c r="AQ100" s="13"/>
      <c r="AR100" s="13"/>
      <c r="AS100" s="13"/>
      <c r="AT100" s="13"/>
    </row>
    <row r="101" spans="1:46">
      <c r="A101" s="8" t="s">
        <v>247</v>
      </c>
      <c r="B101" s="8" t="s">
        <v>47</v>
      </c>
      <c r="C101" s="8" t="s">
        <v>48</v>
      </c>
      <c r="D101" s="8" t="s">
        <v>49</v>
      </c>
      <c r="E101" s="8" t="s">
        <v>318</v>
      </c>
      <c r="F101" s="8" t="s">
        <v>349</v>
      </c>
      <c r="G101" s="8" t="s">
        <v>351</v>
      </c>
      <c r="H101" s="8" t="str">
        <f ca="1">IFERROR(__xludf.DUMMYFUNCTION("VLOOKUP(G101, IMPORTRANGE(""https://docs.google.com/spreadsheets/d/14deopnvwcrKtEGCKuYXdUHJbeLDZlkiSSWWT0g7x2pM/edit#gid=999382323"", ""LU List Maths (Filter)!A:B""), 2, FALSE)"),"Classification of polygons based on the number of the sides")</f>
        <v>Classification of polygons based on the number of the sides</v>
      </c>
      <c r="I101" s="10" t="str">
        <f t="shared" si="0"/>
        <v>LU000245.001</v>
      </c>
      <c r="J101" s="10" t="str">
        <f ca="1">IFERROR(__xludf.DUMMYFUNCTION("VLOOKUP(I101, IMPORTRANGE(""https://docs.google.com/spreadsheets/d/1yDAaXNsi4Mr5FtRQL4tbmSdIzhx6_m4wkOD7IG-k_eo/edit#gid=0"", ""Maths!M:N""), 2, FALSE)"),"Examine the given figures in order to identify polygons.")</f>
        <v>Examine the given figures in order to identify polygons.</v>
      </c>
      <c r="K101" s="10" t="str">
        <f t="shared" si="1"/>
        <v>LU000245.002</v>
      </c>
      <c r="L101" s="10" t="str">
        <f ca="1">IFERROR(__xludf.DUMMYFUNCTION("VLOOKUP(K101, IMPORTRANGE(""https://docs.google.com/spreadsheets/d/1yDAaXNsi4Mr5FtRQL4tbmSdIzhx6_m4wkOD7IG-k_eo/edit#gid=0"", ""Maths!M:N""), 2, FALSE)"),"Identify real-life examples of polygons.")</f>
        <v>Identify real-life examples of polygons.</v>
      </c>
      <c r="M101" s="10" t="str">
        <f t="shared" si="2"/>
        <v>LU000245.003</v>
      </c>
      <c r="N101" s="10" t="str">
        <f ca="1">IFERROR(__xludf.DUMMYFUNCTION("VLOOKUP(M101, IMPORTRANGE(""https://docs.google.com/spreadsheets/d/1yDAaXNsi4Mr5FtRQL4tbmSdIzhx6_m4wkOD7IG-k_eo/edit#gid=0"", ""Maths!M:N""), 2, FALSE)"),"Identify given shapes as triangles, quadrilaterals, pentagons, hexagons, or octagons.")</f>
        <v>Identify given shapes as triangles, quadrilaterals, pentagons, hexagons, or octagons.</v>
      </c>
      <c r="O101" s="10" t="str">
        <f t="shared" si="3"/>
        <v>LU000245.004</v>
      </c>
      <c r="P101" s="10" t="str">
        <f ca="1">IFERROR(__xludf.DUMMYFUNCTION("VLOOKUP(O101, IMPORTRANGE(""https://docs.google.com/spreadsheets/d/1yDAaXNsi4Mr5FtRQL4tbmSdIzhx6_m4wkOD7IG-k_eo/edit#gid=0"", ""Maths!M:N""), 2, FALSE)"),"Analyse various real-life examples of polygons to classify them based on the number of sides.")</f>
        <v>Analyse various real-life examples of polygons to classify them based on the number of sides.</v>
      </c>
      <c r="Q101" s="10" t="str">
        <f t="shared" si="4"/>
        <v>LU000245.005</v>
      </c>
      <c r="R101" s="10" t="str">
        <f ca="1">IFERROR(__xludf.DUMMYFUNCTION("VLOOKUP(Q101, IMPORTRANGE(""https://docs.google.com/spreadsheets/d/1yDAaXNsi4Mr5FtRQL4tbmSdIzhx6_m4wkOD7IG-k_eo/edit#gid=0"", ""Maths!M:N""), 2, FALSE)"),"Determine the number of sides, diagonals, vertices, and interior angles for different polygons.")</f>
        <v>Determine the number of sides, diagonals, vertices, and interior angles for different polygons.</v>
      </c>
      <c r="S101" s="10" t="str">
        <f t="shared" si="5"/>
        <v>LU000245.006</v>
      </c>
      <c r="T101" s="10" t="str">
        <f ca="1">IFERROR(__xludf.DUMMYFUNCTION("VLOOKUP(S101, IMPORTRANGE(""https://docs.google.com/spreadsheets/d/1yDAaXNsi4Mr5FtRQL4tbmSdIzhx6_m4wkOD7IG-k_eo/edit#gid=0"", ""Maths!M:N""), 2, FALSE)"),"Draw some diagrams showcasing different polygons, labelling them as triangles, quadrilaterals, pentagons, hexagons, or octagons.")</f>
        <v>Draw some diagrams showcasing different polygons, labelling them as triangles, quadrilaterals, pentagons, hexagons, or octagons.</v>
      </c>
      <c r="U101" s="11">
        <f ca="1">IFERROR(__xludf.DUMMYFUNCTION("ArrayFormula(VLOOKUP(G101, IMPORTRANGE(""https://docs.google.com/spreadsheets/d/1p7R4vtkWt5VOBim4ltsDG9KTzSjrtKXsMtQGXPHyND0/edit#gid=795171502"", ""'Filter 30_05_2024'!A1:M2000""), {2, 3, 4, 5,6,7,8,9,10,11,12,13}, 0))"),5)</f>
        <v>5</v>
      </c>
      <c r="V101" s="11">
        <f ca="1">IFERROR(__xludf.DUMMYFUNCTION("""COMPUTED_VALUE"""),2)</f>
        <v>2</v>
      </c>
      <c r="W101" s="11">
        <f ca="1">IFERROR(__xludf.DUMMYFUNCTION("""COMPUTED_VALUE"""),2)</f>
        <v>2</v>
      </c>
      <c r="X101" s="11">
        <f ca="1">IFERROR(__xludf.DUMMYFUNCTION("""COMPUTED_VALUE"""),9)</f>
        <v>9</v>
      </c>
      <c r="Y101" s="11">
        <f ca="1">IFERROR(__xludf.DUMMYFUNCTION("""COMPUTED_VALUE"""),4)</f>
        <v>4</v>
      </c>
      <c r="Z101" s="29">
        <f ca="1">IFERROR(__xludf.DUMMYFUNCTION("""COMPUTED_VALUE"""),6)</f>
        <v>6</v>
      </c>
      <c r="AA101" s="29">
        <f ca="1">IFERROR(__xludf.DUMMYFUNCTION("""COMPUTED_VALUE"""),1)</f>
        <v>1</v>
      </c>
      <c r="AB101" s="12">
        <f ca="1">IFERROR(__xludf.DUMMYFUNCTION("""COMPUTED_VALUE"""),11)</f>
        <v>11</v>
      </c>
      <c r="AC101" s="12"/>
      <c r="AD101" s="12"/>
      <c r="AE101" s="12"/>
      <c r="AF101" s="12"/>
      <c r="AG101" s="13" t="str">
        <f ca="1">IFERROR(__xludf.DUMMYFUNCTION("ArrayFormula(VLOOKUP(G101, IMPORTRANGE(""https://docs.google.com/spreadsheets/d/1Co934fvtviyaRiMsrIlT05Jaq7iiYq07aLvRr35KA48/edit?gid=173865642#gid=173865642"", ""'G6_Maths_Pri_LU'!G2:V2000""), {3, 4, 5, 6, 7, 8, 9, 10, 11, 12, 13, 14, 15, 16}, 0))"),"LU000227")</f>
        <v>LU000227</v>
      </c>
      <c r="AH101" s="13" t="str">
        <f ca="1">IFERROR(__xludf.DUMMYFUNCTION("""COMPUTED_VALUE"""),"Definition and elements of a polygon")</f>
        <v>Definition and elements of a polygon</v>
      </c>
      <c r="AI101" s="13" t="str">
        <f ca="1">IFERROR(__xludf.DUMMYFUNCTION("""COMPUTED_VALUE"""),"LU000219")</f>
        <v>LU000219</v>
      </c>
      <c r="AJ101" s="13" t="str">
        <f ca="1">IFERROR(__xludf.DUMMYFUNCTION("""COMPUTED_VALUE"""),"Definition of line segment")</f>
        <v>Definition of line segment</v>
      </c>
      <c r="AK101" s="13"/>
      <c r="AL101" s="13"/>
      <c r="AM101" s="13"/>
      <c r="AN101" s="13"/>
      <c r="AO101" s="13"/>
      <c r="AP101" s="13"/>
      <c r="AQ101" s="13"/>
      <c r="AR101" s="13"/>
      <c r="AS101" s="13"/>
      <c r="AT101" s="13"/>
    </row>
    <row r="102" spans="1:46">
      <c r="A102" s="8" t="s">
        <v>247</v>
      </c>
      <c r="B102" s="8" t="s">
        <v>47</v>
      </c>
      <c r="C102" s="8" t="s">
        <v>48</v>
      </c>
      <c r="D102" s="8" t="s">
        <v>49</v>
      </c>
      <c r="E102" s="8" t="s">
        <v>352</v>
      </c>
      <c r="F102" s="8" t="s">
        <v>227</v>
      </c>
      <c r="G102" s="8" t="s">
        <v>228</v>
      </c>
      <c r="H102" s="8" t="str">
        <f ca="1">IFERROR(__xludf.DUMMYFUNCTION("VLOOKUP(G102, IMPORTRANGE(""https://docs.google.com/spreadsheets/d/14deopnvwcrKtEGCKuYXdUHJbeLDZlkiSSWWT0g7x2pM/edit#gid=999382323"", ""LU List Maths (Filter)!A:B""), 2, FALSE)"),"Definition of negative numbers")</f>
        <v>Definition of negative numbers</v>
      </c>
      <c r="I102" s="10" t="str">
        <f t="shared" si="0"/>
        <v>LU000907.001</v>
      </c>
      <c r="J102" s="10" t="str">
        <f ca="1">IFERROR(__xludf.DUMMYFUNCTION("VLOOKUP(I102, IMPORTRANGE(""https://docs.google.com/spreadsheets/d/1yDAaXNsi4Mr5FtRQL4tbmSdIzhx6_m4wkOD7IG-k_eo/edit#gid=0"", ""Maths!M:N""), 2, FALSE)"),"State the definition of negative numbers as numbers less than zero.")</f>
        <v>State the definition of negative numbers as numbers less than zero.</v>
      </c>
      <c r="K102" s="10" t="str">
        <f t="shared" si="1"/>
        <v>LU000907.002</v>
      </c>
      <c r="L102" s="10" t="str">
        <f ca="1">IFERROR(__xludf.DUMMYFUNCTION("VLOOKUP(K102, IMPORTRANGE(""https://docs.google.com/spreadsheets/d/1yDAaXNsi4Mr5FtRQL4tbmSdIzhx6_m4wkOD7IG-k_eo/edit#gid=0"", ""Maths!M:N""), 2, FALSE)"),"Describe the properties of negative numbers")</f>
        <v>Describe the properties of negative numbers</v>
      </c>
      <c r="M102" s="10" t="str">
        <f t="shared" si="2"/>
        <v>LU000907.003</v>
      </c>
      <c r="N102" s="10" t="str">
        <f ca="1">IFERROR(__xludf.DUMMYFUNCTION("VLOOKUP(M102, IMPORTRANGE(""https://docs.google.com/spreadsheets/d/1yDAaXNsi4Mr5FtRQL4tbmSdIzhx6_m4wkOD7IG-k_eo/edit#gid=0"", ""Maths!M:N""), 2, FALSE)"),"Apply the knowledge of negative numbers to represent values below zero")</f>
        <v>Apply the knowledge of negative numbers to represent values below zero</v>
      </c>
      <c r="O102" s="10" t="str">
        <f t="shared" si="3"/>
        <v>LU000907.004</v>
      </c>
      <c r="P102" s="10" t="str">
        <f ca="1">IFERROR(__xludf.DUMMYFUNCTION("VLOOKUP(O102, IMPORTRANGE(""https://docs.google.com/spreadsheets/d/1yDAaXNsi4Mr5FtRQL4tbmSdIzhx6_m4wkOD7IG-k_eo/edit#gid=0"", ""Maths!M:N""), 2, FALSE)"),"Compare and contrast the use of negative numbers with positive numbers and zero.")</f>
        <v>Compare and contrast the use of negative numbers with positive numbers and zero.</v>
      </c>
      <c r="Q102" s="10" t="str">
        <f t="shared" si="4"/>
        <v>LU000907.005</v>
      </c>
      <c r="R102" s="10" t="str">
        <f ca="1">IFERROR(__xludf.DUMMYFUNCTION("VLOOKUP(Q102, IMPORTRANGE(""https://docs.google.com/spreadsheets/d/1yDAaXNsi4Mr5FtRQL4tbmSdIzhx6_m4wkOD7IG-k_eo/edit#gid=0"", ""Maths!M:N""), 2, FALSE)"),"Analyse scenarios where negative numbers are applicable and discuss their significance.")</f>
        <v>Analyse scenarios where negative numbers are applicable and discuss their significance.</v>
      </c>
      <c r="S102" s="10" t="str">
        <f t="shared" si="5"/>
        <v>LU000907.006</v>
      </c>
      <c r="T102" s="10" t="str">
        <f ca="1">IFERROR(__xludf.DUMMYFUNCTION("VLOOKUP(S102, IMPORTRANGE(""https://docs.google.com/spreadsheets/d/1yDAaXNsi4Mr5FtRQL4tbmSdIzhx6_m4wkOD7IG-k_eo/edit#gid=0"", ""Maths!M:N""), 2, FALSE)"),"Develop scenarios that require the integration of negative numbers in real-world decision-making")</f>
        <v>Develop scenarios that require the integration of negative numbers in real-world decision-making</v>
      </c>
      <c r="U102" s="11">
        <f ca="1">IFERROR(__xludf.DUMMYFUNCTION("ArrayFormula(VLOOKUP(G102, IMPORTRANGE(""https://docs.google.com/spreadsheets/d/1p7R4vtkWt5VOBim4ltsDG9KTzSjrtKXsMtQGXPHyND0/edit#gid=795171502"", ""'Filter 30_05_2024'!A1:M2000""), {2, 3, 4, 5,6,7,8,9,10,11,12,13}, 0))"),6)</f>
        <v>6</v>
      </c>
      <c r="V102" s="11">
        <f ca="1">IFERROR(__xludf.DUMMYFUNCTION("""COMPUTED_VALUE"""),11)</f>
        <v>11</v>
      </c>
      <c r="W102" s="11">
        <f ca="1">IFERROR(__xludf.DUMMYFUNCTION("""COMPUTED_VALUE"""),19)</f>
        <v>19</v>
      </c>
      <c r="X102" s="11">
        <f ca="1">IFERROR(__xludf.DUMMYFUNCTION("""COMPUTED_VALUE"""),36)</f>
        <v>36</v>
      </c>
      <c r="Y102" s="11">
        <f ca="1">IFERROR(__xludf.DUMMYFUNCTION("""COMPUTED_VALUE"""),8)</f>
        <v>8</v>
      </c>
      <c r="Z102" s="29">
        <f ca="1">IFERROR(__xludf.DUMMYFUNCTION("""COMPUTED_VALUE"""),4)</f>
        <v>4</v>
      </c>
      <c r="AA102" s="29">
        <f ca="1">IFERROR(__xludf.DUMMYFUNCTION("""COMPUTED_VALUE"""),6)</f>
        <v>6</v>
      </c>
      <c r="AB102" s="12">
        <f ca="1">IFERROR(__xludf.DUMMYFUNCTION("""COMPUTED_VALUE"""),18)</f>
        <v>18</v>
      </c>
      <c r="AC102" s="12"/>
      <c r="AD102" s="12"/>
      <c r="AE102" s="12"/>
      <c r="AF102" s="12"/>
      <c r="AG102" s="13" t="str">
        <f ca="1">IFERROR(__xludf.DUMMYFUNCTION("ArrayFormula(VLOOKUP(G102, IMPORTRANGE(""https://docs.google.com/spreadsheets/d/1Co934fvtviyaRiMsrIlT05Jaq7iiYq07aLvRr35KA48/edit?gid=173865642#gid=173865642"", ""'G6_Maths_Pri_LU'!G2:V2000""), {3, 4, 5, 6, 7, 8, 9, 10, 11, 12, 13, 14, 15, 16}, 0))"),"LU000176")</f>
        <v>LU000176</v>
      </c>
      <c r="AH102" s="13" t="str">
        <f ca="1">IFERROR(__xludf.DUMMYFUNCTION("""COMPUTED_VALUE"""),"Definition of whole number")</f>
        <v>Definition of whole number</v>
      </c>
      <c r="AI102" s="13" t="str">
        <f ca="1">IFERROR(__xludf.DUMMYFUNCTION("""COMPUTED_VALUE"""),"LU000175")</f>
        <v>LU000175</v>
      </c>
      <c r="AJ102" s="13" t="str">
        <f ca="1">IFERROR(__xludf.DUMMYFUNCTION("""COMPUTED_VALUE"""),"Definition of natural number ")</f>
        <v xml:space="preserve">Definition of natural number </v>
      </c>
      <c r="AK102" s="13"/>
      <c r="AL102" s="13"/>
      <c r="AM102" s="13"/>
      <c r="AN102" s="13"/>
      <c r="AO102" s="13"/>
      <c r="AP102" s="13"/>
      <c r="AQ102" s="13"/>
      <c r="AR102" s="13"/>
      <c r="AS102" s="13"/>
      <c r="AT102" s="13"/>
    </row>
    <row r="103" spans="1:46">
      <c r="A103" s="8" t="s">
        <v>247</v>
      </c>
      <c r="B103" s="8" t="s">
        <v>47</v>
      </c>
      <c r="C103" s="8" t="s">
        <v>48</v>
      </c>
      <c r="D103" s="8" t="s">
        <v>49</v>
      </c>
      <c r="E103" s="8" t="s">
        <v>352</v>
      </c>
      <c r="F103" s="8" t="s">
        <v>229</v>
      </c>
      <c r="G103" s="8" t="s">
        <v>230</v>
      </c>
      <c r="H103" s="8" t="str">
        <f ca="1">IFERROR(__xludf.DUMMYFUNCTION("VLOOKUP(G103, IMPORTRANGE(""https://docs.google.com/spreadsheets/d/14deopnvwcrKtEGCKuYXdUHJbeLDZlkiSSWWT0g7x2pM/edit#gid=999382323"", ""LU List Maths (Filter)!A:B""), 2, FALSE)"),"Definition of integers")</f>
        <v>Definition of integers</v>
      </c>
      <c r="I103" s="10" t="str">
        <f t="shared" si="0"/>
        <v>LU000265.001</v>
      </c>
      <c r="J103" s="10" t="str">
        <f ca="1">IFERROR(__xludf.DUMMYFUNCTION("VLOOKUP(I103, IMPORTRANGE(""https://docs.google.com/spreadsheets/d/1yDAaXNsi4Mr5FtRQL4tbmSdIzhx6_m4wkOD7IG-k_eo/edit#gid=0"", ""Maths!M:N""), 2, FALSE)"),"Define integers and their characteristics.")</f>
        <v>Define integers and their characteristics.</v>
      </c>
      <c r="K103" s="10" t="str">
        <f t="shared" si="1"/>
        <v>LU000265.002</v>
      </c>
      <c r="L103" s="10" t="str">
        <f ca="1">IFERROR(__xludf.DUMMYFUNCTION("VLOOKUP(K103, IMPORTRANGE(""https://docs.google.com/spreadsheets/d/1yDAaXNsi4Mr5FtRQL4tbmSdIzhx6_m4wkOD7IG-k_eo/edit#gid=0"", ""Maths!M:N""), 2, FALSE)"),"Explain the concept of integers in relation to whole numbers and natural numbers.")</f>
        <v>Explain the concept of integers in relation to whole numbers and natural numbers.</v>
      </c>
      <c r="M103" s="10" t="str">
        <f t="shared" si="2"/>
        <v>LU000265.003</v>
      </c>
      <c r="N103" s="10" t="str">
        <f ca="1">IFERROR(__xludf.DUMMYFUNCTION("VLOOKUP(M103, IMPORTRANGE(""https://docs.google.com/spreadsheets/d/1yDAaXNsi4Mr5FtRQL4tbmSdIzhx6_m4wkOD7IG-k_eo/edit#gid=0"", ""Maths!M:N""), 2, FALSE)"),"Apply the knowledge of integers to solve practical problems (like change in elevation, money, temperature, etc).")</f>
        <v>Apply the knowledge of integers to solve practical problems (like change in elevation, money, temperature, etc).</v>
      </c>
      <c r="O103" s="10" t="str">
        <f t="shared" si="3"/>
        <v>LU000265.004</v>
      </c>
      <c r="P103" s="10" t="str">
        <f ca="1">IFERROR(__xludf.DUMMYFUNCTION("VLOOKUP(O103, IMPORTRANGE(""https://docs.google.com/spreadsheets/d/1yDAaXNsi4Mr5FtRQL4tbmSdIzhx6_m4wkOD7IG-k_eo/edit#gid=0"", ""Maths!M:N""), 2, FALSE)"),"Analyse integer sequences and patterns to identify rules governing their progression.")</f>
        <v>Analyse integer sequences and patterns to identify rules governing their progression.</v>
      </c>
      <c r="Q103" s="10" t="str">
        <f t="shared" si="4"/>
        <v>LU000265.005</v>
      </c>
      <c r="R103" s="10" t="str">
        <f ca="1">IFERROR(__xludf.DUMMYFUNCTION("VLOOKUP(Q103, IMPORTRANGE(""https://docs.google.com/spreadsheets/d/1yDAaXNsi4Mr5FtRQL4tbmSdIzhx6_m4wkOD7IG-k_eo/edit#gid=0"", ""Maths!M:N""), 2, FALSE)"),"Judge whether statements about integer are true or false.")</f>
        <v>Judge whether statements about integer are true or false.</v>
      </c>
      <c r="S103" s="10" t="str">
        <f t="shared" si="5"/>
        <v>LU000265.006</v>
      </c>
      <c r="T103" s="10" t="str">
        <f ca="1">IFERROR(__xludf.DUMMYFUNCTION("VLOOKUP(S103, IMPORTRANGE(""https://docs.google.com/spreadsheets/d/1yDAaXNsi4Mr5FtRQL4tbmSdIzhx6_m4wkOD7IG-k_eo/edit#gid=0"", ""Maths!M:N""), 2, FALSE)"),"Create word problems that require the use of integers in various real life context.")</f>
        <v>Create word problems that require the use of integers in various real life context.</v>
      </c>
      <c r="U103" s="11">
        <f ca="1">IFERROR(__xludf.DUMMYFUNCTION("ArrayFormula(VLOOKUP(G103, IMPORTRANGE(""https://docs.google.com/spreadsheets/d/1p7R4vtkWt5VOBim4ltsDG9KTzSjrtKXsMtQGXPHyND0/edit#gid=795171502"", ""'Filter 30_05_2024'!A1:M2000""), {2, 3, 4, 5,6,7,8,9,10,11,12,13}, 0))"),6)</f>
        <v>6</v>
      </c>
      <c r="V103" s="11">
        <f ca="1">IFERROR(__xludf.DUMMYFUNCTION("""COMPUTED_VALUE"""),6)</f>
        <v>6</v>
      </c>
      <c r="W103" s="11">
        <f ca="1">IFERROR(__xludf.DUMMYFUNCTION("""COMPUTED_VALUE"""),2)</f>
        <v>2</v>
      </c>
      <c r="X103" s="11">
        <f ca="1">IFERROR(__xludf.DUMMYFUNCTION("""COMPUTED_VALUE"""),14)</f>
        <v>14</v>
      </c>
      <c r="Y103" s="11">
        <f ca="1">IFERROR(__xludf.DUMMYFUNCTION("""COMPUTED_VALUE"""),8)</f>
        <v>8</v>
      </c>
      <c r="Z103" s="29">
        <f ca="1">IFERROR(__xludf.DUMMYFUNCTION("""COMPUTED_VALUE"""),3)</f>
        <v>3</v>
      </c>
      <c r="AA103" s="29">
        <f ca="1">IFERROR(__xludf.DUMMYFUNCTION("""COMPUTED_VALUE"""),1)</f>
        <v>1</v>
      </c>
      <c r="AB103" s="12">
        <f ca="1">IFERROR(__xludf.DUMMYFUNCTION("""COMPUTED_VALUE"""),12)</f>
        <v>12</v>
      </c>
      <c r="AC103" s="12"/>
      <c r="AD103" s="12"/>
      <c r="AE103" s="12"/>
      <c r="AF103" s="12"/>
      <c r="AG103" s="13" t="str">
        <f ca="1">IFERROR(__xludf.DUMMYFUNCTION("ArrayFormula(VLOOKUP(G103, IMPORTRANGE(""https://docs.google.com/spreadsheets/d/1Co934fvtviyaRiMsrIlT05Jaq7iiYq07aLvRr35KA48/edit?gid=173865642#gid=173865642"", ""'G6_Maths_Pri_LU'!G2:V2000""), {3, 4, 5, 6, 7, 8, 9, 10, 11, 12, 13, 14, 15, 16}, 0))"),"LU000176")</f>
        <v>LU000176</v>
      </c>
      <c r="AH103" s="13" t="str">
        <f ca="1">IFERROR(__xludf.DUMMYFUNCTION("""COMPUTED_VALUE"""),"Definition of whole number")</f>
        <v>Definition of whole number</v>
      </c>
      <c r="AI103" s="13" t="str">
        <f ca="1">IFERROR(__xludf.DUMMYFUNCTION("""COMPUTED_VALUE"""),"LU000907")</f>
        <v>LU000907</v>
      </c>
      <c r="AJ103" s="13" t="str">
        <f ca="1">IFERROR(__xludf.DUMMYFUNCTION("""COMPUTED_VALUE"""),"Definition of negative numbers")</f>
        <v>Definition of negative numbers</v>
      </c>
      <c r="AK103" s="13" t="str">
        <f ca="1">IFERROR(__xludf.DUMMYFUNCTION("""COMPUTED_VALUE"""),"LU000175")</f>
        <v>LU000175</v>
      </c>
      <c r="AL103" s="13" t="str">
        <f ca="1">IFERROR(__xludf.DUMMYFUNCTION("""COMPUTED_VALUE"""),"Definition of natural number ")</f>
        <v xml:space="preserve">Definition of natural number </v>
      </c>
      <c r="AM103" s="13"/>
      <c r="AN103" s="13"/>
      <c r="AO103" s="13"/>
      <c r="AP103" s="13"/>
      <c r="AQ103" s="13"/>
      <c r="AR103" s="13"/>
      <c r="AS103" s="13"/>
      <c r="AT103" s="13"/>
    </row>
    <row r="104" spans="1:46">
      <c r="A104" s="8" t="s">
        <v>247</v>
      </c>
      <c r="B104" s="8" t="s">
        <v>47</v>
      </c>
      <c r="C104" s="8" t="s">
        <v>48</v>
      </c>
      <c r="D104" s="8" t="s">
        <v>49</v>
      </c>
      <c r="E104" s="8" t="s">
        <v>352</v>
      </c>
      <c r="F104" s="8" t="s">
        <v>229</v>
      </c>
      <c r="G104" s="8" t="s">
        <v>231</v>
      </c>
      <c r="H104" s="8" t="str">
        <f ca="1">IFERROR(__xludf.DUMMYFUNCTION("VLOOKUP(G104, IMPORTRANGE(""https://docs.google.com/spreadsheets/d/14deopnvwcrKtEGCKuYXdUHJbeLDZlkiSSWWT0g7x2pM/edit#gid=999382323"", ""LU List Maths (Filter)!A:B""), 2, FALSE)"),"Definition of positive integers")</f>
        <v>Definition of positive integers</v>
      </c>
      <c r="I104" s="10" t="str">
        <f t="shared" si="0"/>
        <v>LU000266.001</v>
      </c>
      <c r="J104" s="10" t="str">
        <f ca="1">IFERROR(__xludf.DUMMYFUNCTION("VLOOKUP(I104, IMPORTRANGE(""https://docs.google.com/spreadsheets/d/1yDAaXNsi4Mr5FtRQL4tbmSdIzhx6_m4wkOD7IG-k_eo/edit#gid=0"", ""Maths!M:N""), 2, FALSE)"),"Define positive integers and their characteristics.")</f>
        <v>Define positive integers and their characteristics.</v>
      </c>
      <c r="K104" s="10" t="str">
        <f t="shared" si="1"/>
        <v>LU000266.002</v>
      </c>
      <c r="L104" s="10" t="str">
        <f ca="1">IFERROR(__xludf.DUMMYFUNCTION("VLOOKUP(K104, IMPORTRANGE(""https://docs.google.com/spreadsheets/d/1yDAaXNsi4Mr5FtRQL4tbmSdIzhx6_m4wkOD7IG-k_eo/edit#gid=0"", ""Maths!M:N""), 2, FALSE)"),"Explain the concept of positive integers and how they relate to whole numbers and natural numbers.")</f>
        <v>Explain the concept of positive integers and how they relate to whole numbers and natural numbers.</v>
      </c>
      <c r="M104" s="10" t="str">
        <f t="shared" si="2"/>
        <v>LU000266.003</v>
      </c>
      <c r="N104" s="10" t="str">
        <f ca="1">IFERROR(__xludf.DUMMYFUNCTION("VLOOKUP(M104, IMPORTRANGE(""https://docs.google.com/spreadsheets/d/1yDAaXNsi4Mr5FtRQL4tbmSdIzhx6_m4wkOD7IG-k_eo/edit#gid=0"", ""Maths!M:N""), 2, FALSE)"),"Apply the concept of positive integers to solve basic addition problems.")</f>
        <v>Apply the concept of positive integers to solve basic addition problems.</v>
      </c>
      <c r="O104" s="10" t="str">
        <f t="shared" si="3"/>
        <v>LU000266.004</v>
      </c>
      <c r="P104" s="10" t="str">
        <f ca="1">IFERROR(__xludf.DUMMYFUNCTION("VLOOKUP(O104, IMPORTRANGE(""https://docs.google.com/spreadsheets/d/1yDAaXNsi4Mr5FtRQL4tbmSdIzhx6_m4wkOD7IG-k_eo/edit#gid=0"", ""Maths!M:N""), 2, FALSE)"),"Analyse patterns in sequences of positive integers and identify rules governing their progression.")</f>
        <v>Analyse patterns in sequences of positive integers and identify rules governing their progression.</v>
      </c>
      <c r="Q104" s="10" t="str">
        <f t="shared" si="4"/>
        <v>LU000266.005</v>
      </c>
      <c r="R104" s="10" t="str">
        <f ca="1">IFERROR(__xludf.DUMMYFUNCTION("VLOOKUP(Q104, IMPORTRANGE(""https://docs.google.com/spreadsheets/d/1yDAaXNsi4Mr5FtRQL4tbmSdIzhx6_m4wkOD7IG-k_eo/edit#gid=0"", ""Maths!M:N""), 2, FALSE)"),"Judge whether statements about positive integer are true or false.")</f>
        <v>Judge whether statements about positive integer are true or false.</v>
      </c>
      <c r="S104" s="10" t="str">
        <f t="shared" si="5"/>
        <v>LU000266.006</v>
      </c>
      <c r="T104" s="10" t="str">
        <f ca="1">IFERROR(__xludf.DUMMYFUNCTION("VLOOKUP(S104, IMPORTRANGE(""https://docs.google.com/spreadsheets/d/1yDAaXNsi4Mr5FtRQL4tbmSdIzhx6_m4wkOD7IG-k_eo/edit#gid=0"", ""Maths!M:N""), 2, FALSE)"),"Create word problems that require the use of positive integers in various real life context.")</f>
        <v>Create word problems that require the use of positive integers in various real life context.</v>
      </c>
      <c r="U104" s="11">
        <f ca="1">IFERROR(__xludf.DUMMYFUNCTION("ArrayFormula(VLOOKUP(G104, IMPORTRANGE(""https://docs.google.com/spreadsheets/d/1p7R4vtkWt5VOBim4ltsDG9KTzSjrtKXsMtQGXPHyND0/edit#gid=795171502"", ""'Filter 30_05_2024'!A1:M2000""), {2, 3, 4, 5,6,7,8,9,10,11,12,13}, 0))"),4)</f>
        <v>4</v>
      </c>
      <c r="V104" s="11">
        <f ca="1">IFERROR(__xludf.DUMMYFUNCTION("""COMPUTED_VALUE"""),6)</f>
        <v>6</v>
      </c>
      <c r="W104" s="11">
        <f ca="1">IFERROR(__xludf.DUMMYFUNCTION("""COMPUTED_VALUE"""),2)</f>
        <v>2</v>
      </c>
      <c r="X104" s="11">
        <f ca="1">IFERROR(__xludf.DUMMYFUNCTION("""COMPUTED_VALUE"""),12)</f>
        <v>12</v>
      </c>
      <c r="Y104" s="11">
        <f ca="1">IFERROR(__xludf.DUMMYFUNCTION("""COMPUTED_VALUE"""),5)</f>
        <v>5</v>
      </c>
      <c r="Z104" s="29">
        <f ca="1">IFERROR(__xludf.DUMMYFUNCTION("""COMPUTED_VALUE"""),3)</f>
        <v>3</v>
      </c>
      <c r="AA104" s="29">
        <f ca="1">IFERROR(__xludf.DUMMYFUNCTION("""COMPUTED_VALUE"""),1)</f>
        <v>1</v>
      </c>
      <c r="AB104" s="12">
        <f ca="1">IFERROR(__xludf.DUMMYFUNCTION("""COMPUTED_VALUE"""),9)</f>
        <v>9</v>
      </c>
      <c r="AC104" s="12"/>
      <c r="AD104" s="12"/>
      <c r="AE104" s="12"/>
      <c r="AF104" s="12"/>
      <c r="AG104" s="13" t="str">
        <f ca="1">IFERROR(__xludf.DUMMYFUNCTION("ArrayFormula(VLOOKUP(G104, IMPORTRANGE(""https://docs.google.com/spreadsheets/d/1Co934fvtviyaRiMsrIlT05Jaq7iiYq07aLvRr35KA48/edit?gid=173865642#gid=173865642"", ""'G6_Maths_Pri_LU'!G2:V2000""), {3, 4, 5, 6, 7, 8, 9, 10, 11, 12, 13, 14, 15, 16}, 0))"),"LU000175")</f>
        <v>LU000175</v>
      </c>
      <c r="AH104" s="13" t="str">
        <f ca="1">IFERROR(__xludf.DUMMYFUNCTION("""COMPUTED_VALUE"""),"Definition of natural number ")</f>
        <v xml:space="preserve">Definition of natural number </v>
      </c>
      <c r="AI104" s="13" t="str">
        <f ca="1">IFERROR(__xludf.DUMMYFUNCTION("""COMPUTED_VALUE"""),"LU000176")</f>
        <v>LU000176</v>
      </c>
      <c r="AJ104" s="13" t="str">
        <f ca="1">IFERROR(__xludf.DUMMYFUNCTION("""COMPUTED_VALUE"""),"Definition of whole number")</f>
        <v>Definition of whole number</v>
      </c>
      <c r="AK104" s="13"/>
      <c r="AL104" s="13"/>
      <c r="AM104" s="13"/>
      <c r="AN104" s="13"/>
      <c r="AO104" s="13"/>
      <c r="AP104" s="13"/>
      <c r="AQ104" s="13"/>
      <c r="AR104" s="13"/>
      <c r="AS104" s="13"/>
      <c r="AT104" s="13"/>
    </row>
    <row r="105" spans="1:46">
      <c r="A105" s="8" t="s">
        <v>247</v>
      </c>
      <c r="B105" s="8" t="s">
        <v>47</v>
      </c>
      <c r="C105" s="8" t="s">
        <v>48</v>
      </c>
      <c r="D105" s="8" t="s">
        <v>49</v>
      </c>
      <c r="E105" s="8" t="s">
        <v>352</v>
      </c>
      <c r="F105" s="8" t="s">
        <v>229</v>
      </c>
      <c r="G105" s="8" t="s">
        <v>232</v>
      </c>
      <c r="H105" s="8" t="str">
        <f ca="1">IFERROR(__xludf.DUMMYFUNCTION("VLOOKUP(G105, IMPORTRANGE(""https://docs.google.com/spreadsheets/d/14deopnvwcrKtEGCKuYXdUHJbeLDZlkiSSWWT0g7x2pM/edit#gid=999382323"", ""LU List Maths (Filter)!A:B""), 2, FALSE)"),"Definition of negative integers")</f>
        <v>Definition of negative integers</v>
      </c>
      <c r="I105" s="10" t="str">
        <f t="shared" si="0"/>
        <v>LU000267.001</v>
      </c>
      <c r="J105" s="10" t="str">
        <f ca="1">IFERROR(__xludf.DUMMYFUNCTION("VLOOKUP(I105, IMPORTRANGE(""https://docs.google.com/spreadsheets/d/1yDAaXNsi4Mr5FtRQL4tbmSdIzhx6_m4wkOD7IG-k_eo/edit#gid=0"", ""Maths!M:N""), 2, FALSE)"),"Define negative integers and their characteristics.")</f>
        <v>Define negative integers and their characteristics.</v>
      </c>
      <c r="K105" s="10" t="str">
        <f t="shared" si="1"/>
        <v>LU000267.002</v>
      </c>
      <c r="L105" s="10" t="str">
        <f ca="1">IFERROR(__xludf.DUMMYFUNCTION("VLOOKUP(K105, IMPORTRANGE(""https://docs.google.com/spreadsheets/d/1yDAaXNsi4Mr5FtRQL4tbmSdIzhx6_m4wkOD7IG-k_eo/edit#gid=0"", ""Maths!M:N""), 2, FALSE)"),"Explain the concept of negative integers and how they relate to whole numbers and natural numbers.")</f>
        <v>Explain the concept of negative integers and how they relate to whole numbers and natural numbers.</v>
      </c>
      <c r="M105" s="10" t="str">
        <f t="shared" si="2"/>
        <v>LU000267.003</v>
      </c>
      <c r="N105" s="10" t="str">
        <f ca="1">IFERROR(__xludf.DUMMYFUNCTION("VLOOKUP(M105, IMPORTRANGE(""https://docs.google.com/spreadsheets/d/1yDAaXNsi4Mr5FtRQL4tbmSdIzhx6_m4wkOD7IG-k_eo/edit#gid=0"", ""Maths!M:N""), 2, FALSE)"),"Apply the concept of negative integers to solve basic addition problems.")</f>
        <v>Apply the concept of negative integers to solve basic addition problems.</v>
      </c>
      <c r="O105" s="10" t="str">
        <f t="shared" si="3"/>
        <v>LU000267.004</v>
      </c>
      <c r="P105" s="10" t="str">
        <f ca="1">IFERROR(__xludf.DUMMYFUNCTION("VLOOKUP(O105, IMPORTRANGE(""https://docs.google.com/spreadsheets/d/1yDAaXNsi4Mr5FtRQL4tbmSdIzhx6_m4wkOD7IG-k_eo/edit#gid=0"", ""Maths!M:N""), 2, FALSE)"),"Analyse scenarios where negative integers are applicable and discuss their significance.")</f>
        <v>Analyse scenarios where negative integers are applicable and discuss their significance.</v>
      </c>
      <c r="Q105" s="10" t="str">
        <f t="shared" si="4"/>
        <v>LU000267.005</v>
      </c>
      <c r="R105" s="10" t="str">
        <f ca="1">IFERROR(__xludf.DUMMYFUNCTION("VLOOKUP(Q105, IMPORTRANGE(""https://docs.google.com/spreadsheets/d/1yDAaXNsi4Mr5FtRQL4tbmSdIzhx6_m4wkOD7IG-k_eo/edit#gid=0"", ""Maths!M:N""), 2, FALSE)"),"Judge whether statements about negative integer are true or false.")</f>
        <v>Judge whether statements about negative integer are true or false.</v>
      </c>
      <c r="S105" s="10" t="str">
        <f t="shared" si="5"/>
        <v>LU000267.006</v>
      </c>
      <c r="T105" s="10" t="str">
        <f ca="1">IFERROR(__xludf.DUMMYFUNCTION("VLOOKUP(S105, IMPORTRANGE(""https://docs.google.com/spreadsheets/d/1yDAaXNsi4Mr5FtRQL4tbmSdIzhx6_m4wkOD7IG-k_eo/edit#gid=0"", ""Maths!M:N""), 2, FALSE)"),"Create word problems that require the use of negative integers in various real life context.")</f>
        <v>Create word problems that require the use of negative integers in various real life context.</v>
      </c>
      <c r="U105" s="11">
        <f ca="1">IFERROR(__xludf.DUMMYFUNCTION("ArrayFormula(VLOOKUP(G105, IMPORTRANGE(""https://docs.google.com/spreadsheets/d/1p7R4vtkWt5VOBim4ltsDG9KTzSjrtKXsMtQGXPHyND0/edit#gid=795171502"", ""'Filter 30_05_2024'!A1:M2000""), {2, 3, 4, 5,6,7,8,9,10,11,12,13}, 0))"),5)</f>
        <v>5</v>
      </c>
      <c r="V105" s="11">
        <f ca="1">IFERROR(__xludf.DUMMYFUNCTION("""COMPUTED_VALUE"""),6)</f>
        <v>6</v>
      </c>
      <c r="W105" s="11">
        <f ca="1">IFERROR(__xludf.DUMMYFUNCTION("""COMPUTED_VALUE"""),1)</f>
        <v>1</v>
      </c>
      <c r="X105" s="11">
        <f ca="1">IFERROR(__xludf.DUMMYFUNCTION("""COMPUTED_VALUE"""),12)</f>
        <v>12</v>
      </c>
      <c r="Y105" s="11">
        <f ca="1">IFERROR(__xludf.DUMMYFUNCTION("""COMPUTED_VALUE"""),4)</f>
        <v>4</v>
      </c>
      <c r="Z105" s="29">
        <f ca="1">IFERROR(__xludf.DUMMYFUNCTION("""COMPUTED_VALUE"""),3)</f>
        <v>3</v>
      </c>
      <c r="AA105" s="29">
        <f ca="1">IFERROR(__xludf.DUMMYFUNCTION("""COMPUTED_VALUE"""),2)</f>
        <v>2</v>
      </c>
      <c r="AB105" s="12">
        <f ca="1">IFERROR(__xludf.DUMMYFUNCTION("""COMPUTED_VALUE"""),9)</f>
        <v>9</v>
      </c>
      <c r="AC105" s="12"/>
      <c r="AD105" s="12"/>
      <c r="AE105" s="12"/>
      <c r="AF105" s="12"/>
      <c r="AG105" s="13" t="str">
        <f ca="1">IFERROR(__xludf.DUMMYFUNCTION("ArrayFormula(VLOOKUP(G105, IMPORTRANGE(""https://docs.google.com/spreadsheets/d/1Co934fvtviyaRiMsrIlT05Jaq7iiYq07aLvRr35KA48/edit?gid=173865642#gid=173865642"", ""'G6_Maths_Pri_LU'!G2:V2000""), {3, 4, 5, 6, 7, 8, 9, 10, 11, 12, 13, 14, 15, 16}, 0))"),"LU000176")</f>
        <v>LU000176</v>
      </c>
      <c r="AH105" s="13" t="str">
        <f ca="1">IFERROR(__xludf.DUMMYFUNCTION("""COMPUTED_VALUE"""),"Definition of whole number")</f>
        <v>Definition of whole number</v>
      </c>
      <c r="AI105" s="13" t="str">
        <f ca="1">IFERROR(__xludf.DUMMYFUNCTION("""COMPUTED_VALUE"""),"LU000907")</f>
        <v>LU000907</v>
      </c>
      <c r="AJ105" s="13" t="str">
        <f ca="1">IFERROR(__xludf.DUMMYFUNCTION("""COMPUTED_VALUE"""),"Definition of negative numbers")</f>
        <v>Definition of negative numbers</v>
      </c>
      <c r="AK105" s="13" t="str">
        <f ca="1">IFERROR(__xludf.DUMMYFUNCTION("""COMPUTED_VALUE"""),"LU000175")</f>
        <v>LU000175</v>
      </c>
      <c r="AL105" s="13" t="str">
        <f ca="1">IFERROR(__xludf.DUMMYFUNCTION("""COMPUTED_VALUE"""),"Definition of natural number ")</f>
        <v xml:space="preserve">Definition of natural number </v>
      </c>
      <c r="AM105" s="13"/>
      <c r="AN105" s="13"/>
      <c r="AO105" s="13"/>
      <c r="AP105" s="13"/>
      <c r="AQ105" s="13"/>
      <c r="AR105" s="13"/>
      <c r="AS105" s="13"/>
      <c r="AT105" s="13"/>
    </row>
    <row r="106" spans="1:46">
      <c r="A106" s="8" t="s">
        <v>247</v>
      </c>
      <c r="B106" s="8" t="s">
        <v>47</v>
      </c>
      <c r="C106" s="8" t="s">
        <v>48</v>
      </c>
      <c r="D106" s="8" t="s">
        <v>49</v>
      </c>
      <c r="E106" s="8" t="s">
        <v>352</v>
      </c>
      <c r="F106" s="8" t="s">
        <v>353</v>
      </c>
      <c r="G106" s="8" t="s">
        <v>354</v>
      </c>
      <c r="H106" s="8" t="str">
        <f ca="1">IFERROR(__xludf.DUMMYFUNCTION("VLOOKUP(G106, IMPORTRANGE(""https://docs.google.com/spreadsheets/d/14deopnvwcrKtEGCKuYXdUHJbeLDZlkiSSWWT0g7x2pM/edit#gid=999382323"", ""LU List Maths (Filter)!A:B""), 2, FALSE)"),"Successor of integers")</f>
        <v>Successor of integers</v>
      </c>
      <c r="I106" s="10" t="str">
        <f t="shared" si="0"/>
        <v>LU000268.001</v>
      </c>
      <c r="J106" s="10" t="str">
        <f ca="1">IFERROR(__xludf.DUMMYFUNCTION("VLOOKUP(I106, IMPORTRANGE(""https://docs.google.com/spreadsheets/d/1yDAaXNsi4Mr5FtRQL4tbmSdIzhx6_m4wkOD7IG-k_eo/edit#gid=0"", ""Maths!M:N""), 2, FALSE)"),"Recall the definition of the successor of an integer and its relation to the given integer.")</f>
        <v>Recall the definition of the successor of an integer and its relation to the given integer.</v>
      </c>
      <c r="K106" s="10" t="str">
        <f t="shared" si="1"/>
        <v>LU000268.002</v>
      </c>
      <c r="L106" s="10" t="str">
        <f ca="1">IFERROR(__xludf.DUMMYFUNCTION("VLOOKUP(K106, IMPORTRANGE(""https://docs.google.com/spreadsheets/d/1yDAaXNsi4Mr5FtRQL4tbmSdIzhx6_m4wkOD7IG-k_eo/edit#gid=0"", ""Maths!M:N""), 2, FALSE)"),"Explain the concept of the successor of an integer and how it is found using the number line.")</f>
        <v>Explain the concept of the successor of an integer and how it is found using the number line.</v>
      </c>
      <c r="M106" s="10" t="str">
        <f t="shared" si="2"/>
        <v>LU000268.003</v>
      </c>
      <c r="N106" s="10" t="str">
        <f ca="1">IFERROR(__xludf.DUMMYFUNCTION("VLOOKUP(M106, IMPORTRANGE(""https://docs.google.com/spreadsheets/d/1yDAaXNsi4Mr5FtRQL4tbmSdIzhx6_m4wkOD7IG-k_eo/edit#gid=0"", ""Maths!M:N""), 2, FALSE)"),"Apply the understanding of the successor of integers to find the successors of given numbers.")</f>
        <v>Apply the understanding of the successor of integers to find the successors of given numbers.</v>
      </c>
      <c r="O106" s="10" t="str">
        <f t="shared" si="3"/>
        <v>LU000268.004</v>
      </c>
      <c r="P106" s="10" t="str">
        <f ca="1">IFERROR(__xludf.DUMMYFUNCTION("VLOOKUP(O106, IMPORTRANGE(""https://docs.google.com/spreadsheets/d/1yDAaXNsi4Mr5FtRQL4tbmSdIzhx6_m4wkOD7IG-k_eo/edit#gid=0"", ""Maths!M:N""), 2, FALSE)"),"Analyse patterns in the sequence of successors for positive and negative integers.")</f>
        <v>Analyse patterns in the sequence of successors for positive and negative integers.</v>
      </c>
      <c r="Q106" s="10" t="str">
        <f t="shared" si="4"/>
        <v>LU000268.005</v>
      </c>
      <c r="R106" s="10" t="str">
        <f ca="1">IFERROR(__xludf.DUMMYFUNCTION("VLOOKUP(Q106, IMPORTRANGE(""https://docs.google.com/spreadsheets/d/1yDAaXNsi4Mr5FtRQL4tbmSdIzhx6_m4wkOD7IG-k_eo/edit#gid=0"", ""Maths!M:N""), 2, FALSE)"),"Assess the relationship between the successor of an integer and its position on the number line.")</f>
        <v>Assess the relationship between the successor of an integer and its position on the number line.</v>
      </c>
      <c r="S106" s="10" t="str">
        <f t="shared" si="5"/>
        <v>LU000268.006</v>
      </c>
      <c r="T106" s="10" t="str">
        <f ca="1">IFERROR(__xludf.DUMMYFUNCTION("VLOOKUP(S106, IMPORTRANGE(""https://docs.google.com/spreadsheets/d/1yDAaXNsi4Mr5FtRQL4tbmSdIzhx6_m4wkOD7IG-k_eo/edit#gid=0"", ""Maths!M:N""), 2, FALSE)"),"#N/A")</f>
        <v>#N/A</v>
      </c>
      <c r="U106" s="11">
        <f ca="1">IFERROR(__xludf.DUMMYFUNCTION("ArrayFormula(VLOOKUP(G106, IMPORTRANGE(""https://docs.google.com/spreadsheets/d/1p7R4vtkWt5VOBim4ltsDG9KTzSjrtKXsMtQGXPHyND0/edit#gid=795171502"", ""'Filter 30_05_2024'!A1:M2000""), {2, 3, 4, 5,6,7,8,9,10,11,12,13}, 0))"),4)</f>
        <v>4</v>
      </c>
      <c r="V106" s="11">
        <f ca="1">IFERROR(__xludf.DUMMYFUNCTION("""COMPUTED_VALUE"""),2)</f>
        <v>2</v>
      </c>
      <c r="W106" s="11">
        <f ca="1">IFERROR(__xludf.DUMMYFUNCTION("""COMPUTED_VALUE"""),2)</f>
        <v>2</v>
      </c>
      <c r="X106" s="11">
        <f ca="1">IFERROR(__xludf.DUMMYFUNCTION("""COMPUTED_VALUE"""),8)</f>
        <v>8</v>
      </c>
      <c r="Y106" s="11">
        <f ca="1">IFERROR(__xludf.DUMMYFUNCTION("""COMPUTED_VALUE"""),4)</f>
        <v>4</v>
      </c>
      <c r="Z106" s="29">
        <f ca="1">IFERROR(__xludf.DUMMYFUNCTION("""COMPUTED_VALUE"""),5)</f>
        <v>5</v>
      </c>
      <c r="AA106" s="29">
        <f ca="1">IFERROR(__xludf.DUMMYFUNCTION("""COMPUTED_VALUE"""),1)</f>
        <v>1</v>
      </c>
      <c r="AB106" s="12">
        <f ca="1">IFERROR(__xludf.DUMMYFUNCTION("""COMPUTED_VALUE"""),10)</f>
        <v>10</v>
      </c>
      <c r="AC106" s="12"/>
      <c r="AD106" s="12"/>
      <c r="AE106" s="12"/>
      <c r="AF106" s="12"/>
      <c r="AG106" s="13" t="str">
        <f ca="1">IFERROR(__xludf.DUMMYFUNCTION("ArrayFormula(VLOOKUP(G106, IMPORTRANGE(""https://docs.google.com/spreadsheets/d/1Co934fvtviyaRiMsrIlT05Jaq7iiYq07aLvRr35KA48/edit?gid=173865642#gid=173865642"", ""'G6_Maths_Pri_LU'!G2:V2000""), {3, 4, 5, 6, 7, 8, 9, 10, 11, 12, 13, 14, 15, 16}, 0))"),"LU000178")</f>
        <v>LU000178</v>
      </c>
      <c r="AH106" s="13" t="str">
        <f ca="1">IFERROR(__xludf.DUMMYFUNCTION("""COMPUTED_VALUE"""),"Successor of whole numbers")</f>
        <v>Successor of whole numbers</v>
      </c>
      <c r="AI106" s="13" t="str">
        <f ca="1">IFERROR(__xludf.DUMMYFUNCTION("""COMPUTED_VALUE"""),"LU000265")</f>
        <v>LU000265</v>
      </c>
      <c r="AJ106" s="13" t="str">
        <f ca="1">IFERROR(__xludf.DUMMYFUNCTION("""COMPUTED_VALUE"""),"Definition of integers")</f>
        <v>Definition of integers</v>
      </c>
      <c r="AK106" s="13"/>
      <c r="AL106" s="13"/>
      <c r="AM106" s="13"/>
      <c r="AN106" s="13"/>
      <c r="AO106" s="13"/>
      <c r="AP106" s="13"/>
      <c r="AQ106" s="13"/>
      <c r="AR106" s="13"/>
      <c r="AS106" s="13"/>
      <c r="AT106" s="13"/>
    </row>
    <row r="107" spans="1:46">
      <c r="A107" s="8" t="s">
        <v>247</v>
      </c>
      <c r="B107" s="8" t="s">
        <v>47</v>
      </c>
      <c r="C107" s="8" t="s">
        <v>48</v>
      </c>
      <c r="D107" s="8" t="s">
        <v>49</v>
      </c>
      <c r="E107" s="8" t="s">
        <v>352</v>
      </c>
      <c r="F107" s="8" t="s">
        <v>353</v>
      </c>
      <c r="G107" s="8" t="s">
        <v>355</v>
      </c>
      <c r="H107" s="8" t="str">
        <f ca="1">IFERROR(__xludf.DUMMYFUNCTION("VLOOKUP(G107, IMPORTRANGE(""https://docs.google.com/spreadsheets/d/14deopnvwcrKtEGCKuYXdUHJbeLDZlkiSSWWT0g7x2pM/edit#gid=999382323"", ""LU List Maths (Filter)!A:B""), 2, FALSE)"),"Predecessor of integers")</f>
        <v>Predecessor of integers</v>
      </c>
      <c r="I107" s="10" t="str">
        <f t="shared" si="0"/>
        <v>LU000269.001</v>
      </c>
      <c r="J107" s="10" t="str">
        <f ca="1">IFERROR(__xludf.DUMMYFUNCTION("VLOOKUP(I107, IMPORTRANGE(""https://docs.google.com/spreadsheets/d/1yDAaXNsi4Mr5FtRQL4tbmSdIzhx6_m4wkOD7IG-k_eo/edit#gid=0"", ""Maths!M:N""), 2, FALSE)"),"Recall the definition of the predecessor of an integer and its relation to the given integer.")</f>
        <v>Recall the definition of the predecessor of an integer and its relation to the given integer.</v>
      </c>
      <c r="K107" s="10" t="str">
        <f t="shared" si="1"/>
        <v>LU000269.002</v>
      </c>
      <c r="L107" s="10" t="str">
        <f ca="1">IFERROR(__xludf.DUMMYFUNCTION("VLOOKUP(K107, IMPORTRANGE(""https://docs.google.com/spreadsheets/d/1yDAaXNsi4Mr5FtRQL4tbmSdIzhx6_m4wkOD7IG-k_eo/edit#gid=0"", ""Maths!M:N""), 2, FALSE)"),"Explain the concept of the predecessor of an integer and how it is found using the number line.")</f>
        <v>Explain the concept of the predecessor of an integer and how it is found using the number line.</v>
      </c>
      <c r="M107" s="10" t="str">
        <f t="shared" si="2"/>
        <v>LU000269.003</v>
      </c>
      <c r="N107" s="10" t="str">
        <f ca="1">IFERROR(__xludf.DUMMYFUNCTION("VLOOKUP(M107, IMPORTRANGE(""https://docs.google.com/spreadsheets/d/1yDAaXNsi4Mr5FtRQL4tbmSdIzhx6_m4wkOD7IG-k_eo/edit#gid=0"", ""Maths!M:N""), 2, FALSE)"),"Apply the understanding of the predecessor of integers to find the predecessor of given numbers.")</f>
        <v>Apply the understanding of the predecessor of integers to find the predecessor of given numbers.</v>
      </c>
      <c r="O107" s="10" t="str">
        <f t="shared" si="3"/>
        <v>LU000269.004</v>
      </c>
      <c r="P107" s="10" t="str">
        <f ca="1">IFERROR(__xludf.DUMMYFUNCTION("VLOOKUP(O107, IMPORTRANGE(""https://docs.google.com/spreadsheets/d/1yDAaXNsi4Mr5FtRQL4tbmSdIzhx6_m4wkOD7IG-k_eo/edit#gid=0"", ""Maths!M:N""), 2, FALSE)"),"Analyse patterns in the sequence of predecessor for positive and negative integers.")</f>
        <v>Analyse patterns in the sequence of predecessor for positive and negative integers.</v>
      </c>
      <c r="Q107" s="10" t="str">
        <f t="shared" si="4"/>
        <v>LU000269.005</v>
      </c>
      <c r="R107" s="10" t="str">
        <f ca="1">IFERROR(__xludf.DUMMYFUNCTION("VLOOKUP(Q107, IMPORTRANGE(""https://docs.google.com/spreadsheets/d/1yDAaXNsi4Mr5FtRQL4tbmSdIzhx6_m4wkOD7IG-k_eo/edit#gid=0"", ""Maths!M:N""), 2, FALSE)"),"Assess the relationship between the predecessor of an integer and its position on the number line.")</f>
        <v>Assess the relationship between the predecessor of an integer and its position on the number line.</v>
      </c>
      <c r="S107" s="10" t="str">
        <f t="shared" si="5"/>
        <v>LU000269.006</v>
      </c>
      <c r="T107" s="10" t="str">
        <f ca="1">IFERROR(__xludf.DUMMYFUNCTION("VLOOKUP(S107, IMPORTRANGE(""https://docs.google.com/spreadsheets/d/1yDAaXNsi4Mr5FtRQL4tbmSdIzhx6_m4wkOD7IG-k_eo/edit#gid=0"", ""Maths!M:N""), 2, FALSE)"),"#N/A")</f>
        <v>#N/A</v>
      </c>
      <c r="U107" s="11">
        <f ca="1">IFERROR(__xludf.DUMMYFUNCTION("ArrayFormula(VLOOKUP(G107, IMPORTRANGE(""https://docs.google.com/spreadsheets/d/1p7R4vtkWt5VOBim4ltsDG9KTzSjrtKXsMtQGXPHyND0/edit#gid=795171502"", ""'Filter 30_05_2024'!A1:M2000""), {2, 3, 4, 5,6,7,8,9,10,11,12,13}, 0))"),4)</f>
        <v>4</v>
      </c>
      <c r="V107" s="11">
        <f ca="1">IFERROR(__xludf.DUMMYFUNCTION("""COMPUTED_VALUE"""),13)</f>
        <v>13</v>
      </c>
      <c r="W107" s="11">
        <f ca="1">IFERROR(__xludf.DUMMYFUNCTION("""COMPUTED_VALUE"""),2)</f>
        <v>2</v>
      </c>
      <c r="X107" s="11">
        <f ca="1">IFERROR(__xludf.DUMMYFUNCTION("""COMPUTED_VALUE"""),19)</f>
        <v>19</v>
      </c>
      <c r="Y107" s="11">
        <f ca="1">IFERROR(__xludf.DUMMYFUNCTION("""COMPUTED_VALUE"""),4)</f>
        <v>4</v>
      </c>
      <c r="Z107" s="29">
        <f ca="1">IFERROR(__xludf.DUMMYFUNCTION("""COMPUTED_VALUE"""),5)</f>
        <v>5</v>
      </c>
      <c r="AA107" s="29">
        <f ca="1">IFERROR(__xludf.DUMMYFUNCTION("""COMPUTED_VALUE"""),1)</f>
        <v>1</v>
      </c>
      <c r="AB107" s="12">
        <f ca="1">IFERROR(__xludf.DUMMYFUNCTION("""COMPUTED_VALUE"""),10)</f>
        <v>10</v>
      </c>
      <c r="AC107" s="12"/>
      <c r="AD107" s="12"/>
      <c r="AE107" s="12"/>
      <c r="AF107" s="12"/>
      <c r="AG107" s="13" t="str">
        <f ca="1">IFERROR(__xludf.DUMMYFUNCTION("ArrayFormula(VLOOKUP(G107, IMPORTRANGE(""https://docs.google.com/spreadsheets/d/1Co934fvtviyaRiMsrIlT05Jaq7iiYq07aLvRr35KA48/edit?gid=173865642#gid=173865642"", ""'G6_Maths_Pri_LU'!G2:V2000""), {3, 4, 5, 6, 7, 8, 9, 10, 11, 12, 13, 14, 15, 16}, 0))"),"LU000177")</f>
        <v>LU000177</v>
      </c>
      <c r="AH107" s="13" t="str">
        <f ca="1">IFERROR(__xludf.DUMMYFUNCTION("""COMPUTED_VALUE"""),"Predecessor of whole numbers")</f>
        <v>Predecessor of whole numbers</v>
      </c>
      <c r="AI107" s="13" t="str">
        <f ca="1">IFERROR(__xludf.DUMMYFUNCTION("""COMPUTED_VALUE"""),"LU000265")</f>
        <v>LU000265</v>
      </c>
      <c r="AJ107" s="13" t="str">
        <f ca="1">IFERROR(__xludf.DUMMYFUNCTION("""COMPUTED_VALUE"""),"Definition of integers")</f>
        <v>Definition of integers</v>
      </c>
      <c r="AK107" s="13"/>
      <c r="AL107" s="13"/>
      <c r="AM107" s="13"/>
      <c r="AN107" s="13"/>
      <c r="AO107" s="13"/>
      <c r="AP107" s="13"/>
      <c r="AQ107" s="13"/>
      <c r="AR107" s="13"/>
      <c r="AS107" s="13"/>
      <c r="AT107" s="13"/>
    </row>
    <row r="108" spans="1:46">
      <c r="A108" s="8" t="s">
        <v>247</v>
      </c>
      <c r="B108" s="8" t="s">
        <v>47</v>
      </c>
      <c r="C108" s="8" t="s">
        <v>48</v>
      </c>
      <c r="D108" s="8" t="s">
        <v>49</v>
      </c>
      <c r="E108" s="8" t="s">
        <v>352</v>
      </c>
      <c r="F108" s="8" t="s">
        <v>233</v>
      </c>
      <c r="G108" s="8" t="s">
        <v>234</v>
      </c>
      <c r="H108" s="8" t="str">
        <f ca="1">IFERROR(__xludf.DUMMYFUNCTION("VLOOKUP(G108, IMPORTRANGE(""https://docs.google.com/spreadsheets/d/14deopnvwcrKtEGCKuYXdUHJbeLDZlkiSSWWT0g7x2pM/edit#gid=999382323"", ""LU List Maths (Filter)!A:B""), 2, FALSE)"),"Representation of integers on number line")</f>
        <v>Representation of integers on number line</v>
      </c>
      <c r="I108" s="10" t="str">
        <f t="shared" si="0"/>
        <v>LU000270.001</v>
      </c>
      <c r="J108" s="10" t="str">
        <f ca="1">IFERROR(__xludf.DUMMYFUNCTION("VLOOKUP(I108, IMPORTRANGE(""https://docs.google.com/spreadsheets/d/1yDAaXNsi4Mr5FtRQL4tbmSdIzhx6_m4wkOD7IG-k_eo/edit#gid=0"", ""Maths!M:N""), 2, FALSE)"),"Define a number line and its use in representing integers.")</f>
        <v>Define a number line and its use in representing integers.</v>
      </c>
      <c r="K108" s="10" t="str">
        <f t="shared" si="1"/>
        <v>LU000270.002</v>
      </c>
      <c r="L108" s="10" t="str">
        <f ca="1">IFERROR(__xludf.DUMMYFUNCTION("VLOOKUP(K108, IMPORTRANGE(""https://docs.google.com/spreadsheets/d/1yDAaXNsi4Mr5FtRQL4tbmSdIzhx6_m4wkOD7IG-k_eo/edit#gid=0"", ""Maths!M:N""), 2, FALSE)"),"Explain the concept of integers' positions on a number line and how positive and negative integers are situated.")</f>
        <v>Explain the concept of integers' positions on a number line and how positive and negative integers are situated.</v>
      </c>
      <c r="M108" s="10" t="str">
        <f t="shared" si="2"/>
        <v>LU000270.003</v>
      </c>
      <c r="N108" s="10" t="str">
        <f ca="1">IFERROR(__xludf.DUMMYFUNCTION("VLOOKUP(M108, IMPORTRANGE(""https://docs.google.com/spreadsheets/d/1yDAaXNsi4Mr5FtRQL4tbmSdIzhx6_m4wkOD7IG-k_eo/edit#gid=0"", ""Maths!M:N""), 2, FALSE)"),"Apply the knowledge of number lines to represent integers and locate their positions.")</f>
        <v>Apply the knowledge of number lines to represent integers and locate their positions.</v>
      </c>
      <c r="O108" s="10" t="str">
        <f t="shared" si="3"/>
        <v>LU000270.004</v>
      </c>
      <c r="P108" s="10" t="str">
        <f ca="1">IFERROR(__xludf.DUMMYFUNCTION("VLOOKUP(O108, IMPORTRANGE(""https://docs.google.com/spreadsheets/d/1yDAaXNsi4Mr5FtRQL4tbmSdIzhx6_m4wkOD7IG-k_eo/edit#gid=0"", ""Maths!M:N""), 2, FALSE)"),"Analyse the spacing and intervals on a number line to determine the difference between integer positions.")</f>
        <v>Analyse the spacing and intervals on a number line to determine the difference between integer positions.</v>
      </c>
      <c r="Q108" s="10" t="str">
        <f t="shared" si="4"/>
        <v>LU000270.005</v>
      </c>
      <c r="R108" s="10" t="str">
        <f ca="1">IFERROR(__xludf.DUMMYFUNCTION("VLOOKUP(Q108, IMPORTRANGE(""https://docs.google.com/spreadsheets/d/1yDAaXNsi4Mr5FtRQL4tbmSdIzhx6_m4wkOD7IG-k_eo/edit#gid=0"", ""Maths!M:N""), 2, FALSE)"),"Evaluate the accuracy of solutions to integer addition problems and provide feedback on the approach.")</f>
        <v>Evaluate the accuracy of solutions to integer addition problems and provide feedback on the approach.</v>
      </c>
      <c r="S108" s="10" t="str">
        <f t="shared" si="5"/>
        <v>LU000270.006</v>
      </c>
      <c r="T108" s="10" t="str">
        <f ca="1">IFERROR(__xludf.DUMMYFUNCTION("VLOOKUP(S108, IMPORTRANGE(""https://docs.google.com/spreadsheets/d/1yDAaXNsi4Mr5FtRQL4tbmSdIzhx6_m4wkOD7IG-k_eo/edit#gid=0"", ""Maths!M:N""), 2, FALSE)"),"Create a set of integer addition problems with varying sign combinations.")</f>
        <v>Create a set of integer addition problems with varying sign combinations.</v>
      </c>
      <c r="U108" s="11">
        <f ca="1">IFERROR(__xludf.DUMMYFUNCTION("ArrayFormula(VLOOKUP(G108, IMPORTRANGE(""https://docs.google.com/spreadsheets/d/1p7R4vtkWt5VOBim4ltsDG9KTzSjrtKXsMtQGXPHyND0/edit#gid=795171502"", ""'Filter 30_05_2024'!A1:M2000""), {2, 3, 4, 5,6,7,8,9,10,11,12,13}, 0))"),6)</f>
        <v>6</v>
      </c>
      <c r="V108" s="11">
        <f ca="1">IFERROR(__xludf.DUMMYFUNCTION("""COMPUTED_VALUE"""),6)</f>
        <v>6</v>
      </c>
      <c r="W108" s="11">
        <f ca="1">IFERROR(__xludf.DUMMYFUNCTION("""COMPUTED_VALUE"""),2)</f>
        <v>2</v>
      </c>
      <c r="X108" s="11">
        <f ca="1">IFERROR(__xludf.DUMMYFUNCTION("""COMPUTED_VALUE"""),14)</f>
        <v>14</v>
      </c>
      <c r="Y108" s="11">
        <f ca="1">IFERROR(__xludf.DUMMYFUNCTION("""COMPUTED_VALUE"""),7)</f>
        <v>7</v>
      </c>
      <c r="Z108" s="29">
        <f ca="1">IFERROR(__xludf.DUMMYFUNCTION("""COMPUTED_VALUE"""),3)</f>
        <v>3</v>
      </c>
      <c r="AA108" s="29">
        <f ca="1">IFERROR(__xludf.DUMMYFUNCTION("""COMPUTED_VALUE"""),1)</f>
        <v>1</v>
      </c>
      <c r="AB108" s="12">
        <f ca="1">IFERROR(__xludf.DUMMYFUNCTION("""COMPUTED_VALUE"""),11)</f>
        <v>11</v>
      </c>
      <c r="AC108" s="12"/>
      <c r="AD108" s="12"/>
      <c r="AE108" s="12"/>
      <c r="AF108" s="12"/>
      <c r="AG108" s="13" t="str">
        <f ca="1">IFERROR(__xludf.DUMMYFUNCTION("ArrayFormula(VLOOKUP(G108, IMPORTRANGE(""https://docs.google.com/spreadsheets/d/1Co934fvtviyaRiMsrIlT05Jaq7iiYq07aLvRr35KA48/edit?gid=173865642#gid=173865642"", ""'G6_Maths_Pri_LU'!G2:V2000""), {3, 4, 5, 6, 7, 8, 9, 10, 11, 12, 13, 14, 15, 16}, 0))"),"LU000179")</f>
        <v>LU000179</v>
      </c>
      <c r="AH108" s="13" t="str">
        <f ca="1">IFERROR(__xludf.DUMMYFUNCTION("""COMPUTED_VALUE"""),"Representation of whole numbers on a number line")</f>
        <v>Representation of whole numbers on a number line</v>
      </c>
      <c r="AI108" s="13" t="str">
        <f ca="1">IFERROR(__xludf.DUMMYFUNCTION("""COMPUTED_VALUE"""),"LU000178")</f>
        <v>LU000178</v>
      </c>
      <c r="AJ108" s="13" t="str">
        <f ca="1">IFERROR(__xludf.DUMMYFUNCTION("""COMPUTED_VALUE"""),"Successor of whole numbers")</f>
        <v>Successor of whole numbers</v>
      </c>
      <c r="AK108" s="13" t="str">
        <f ca="1">IFERROR(__xludf.DUMMYFUNCTION("""COMPUTED_VALUE"""),"LU000177")</f>
        <v>LU000177</v>
      </c>
      <c r="AL108" s="13" t="str">
        <f ca="1">IFERROR(__xludf.DUMMYFUNCTION("""COMPUTED_VALUE"""),"Predecessor of whole numbers")</f>
        <v>Predecessor of whole numbers</v>
      </c>
      <c r="AM108" s="13" t="str">
        <f ca="1">IFERROR(__xludf.DUMMYFUNCTION("""COMPUTED_VALUE"""),"LU000266")</f>
        <v>LU000266</v>
      </c>
      <c r="AN108" s="13" t="str">
        <f ca="1">IFERROR(__xludf.DUMMYFUNCTION("""COMPUTED_VALUE"""),"Definition of positive integers")</f>
        <v>Definition of positive integers</v>
      </c>
      <c r="AO108" s="13" t="str">
        <f ca="1">IFERROR(__xludf.DUMMYFUNCTION("""COMPUTED_VALUE"""),"LU000267")</f>
        <v>LU000267</v>
      </c>
      <c r="AP108" s="13" t="str">
        <f ca="1">IFERROR(__xludf.DUMMYFUNCTION("""COMPUTED_VALUE"""),"Definition of negative integers")</f>
        <v>Definition of negative integers</v>
      </c>
      <c r="AQ108" s="13"/>
      <c r="AR108" s="13"/>
      <c r="AS108" s="13"/>
      <c r="AT108" s="13"/>
    </row>
    <row r="109" spans="1:46">
      <c r="A109" s="8" t="s">
        <v>247</v>
      </c>
      <c r="B109" s="8" t="s">
        <v>47</v>
      </c>
      <c r="C109" s="8" t="s">
        <v>48</v>
      </c>
      <c r="D109" s="8" t="s">
        <v>49</v>
      </c>
      <c r="E109" s="8" t="s">
        <v>352</v>
      </c>
      <c r="F109" s="8" t="s">
        <v>233</v>
      </c>
      <c r="G109" s="8" t="s">
        <v>235</v>
      </c>
      <c r="H109" s="8" t="str">
        <f ca="1">IFERROR(__xludf.DUMMYFUNCTION("VLOOKUP(G109, IMPORTRANGE(""https://docs.google.com/spreadsheets/d/14deopnvwcrKtEGCKuYXdUHJbeLDZlkiSSWWT0g7x2pM/edit#gid=999382323"", ""LU List Maths (Filter)!A:B""), 2, FALSE)"),"Comparison of integers")</f>
        <v>Comparison of integers</v>
      </c>
      <c r="I109" s="10" t="str">
        <f t="shared" si="0"/>
        <v>LU000908.001</v>
      </c>
      <c r="J109" s="10" t="str">
        <f ca="1">IFERROR(__xludf.DUMMYFUNCTION("VLOOKUP(I109, IMPORTRANGE(""https://docs.google.com/spreadsheets/d/1yDAaXNsi4Mr5FtRQL4tbmSdIzhx6_m4wkOD7IG-k_eo/edit#gid=0"", ""Maths!M:N""), 2, FALSE)"),"List the order of integers on the number line.")</f>
        <v>List the order of integers on the number line.</v>
      </c>
      <c r="K109" s="10" t="str">
        <f t="shared" si="1"/>
        <v>LU000908.002</v>
      </c>
      <c r="L109" s="10" t="str">
        <f ca="1">IFERROR(__xludf.DUMMYFUNCTION("VLOOKUP(K109, IMPORTRANGE(""https://docs.google.com/spreadsheets/d/1yDAaXNsi4Mr5FtRQL4tbmSdIzhx6_m4wkOD7IG-k_eo/edit#gid=0"", ""Maths!M:N""), 2, FALSE)"),"Summarize the rules for comparing integers in different contexts.")</f>
        <v>Summarize the rules for comparing integers in different contexts.</v>
      </c>
      <c r="M109" s="10" t="str">
        <f t="shared" si="2"/>
        <v>LU000908.003</v>
      </c>
      <c r="N109" s="10" t="str">
        <f ca="1">IFERROR(__xludf.DUMMYFUNCTION("VLOOKUP(M109, IMPORTRANGE(""https://docs.google.com/spreadsheets/d/1yDAaXNsi4Mr5FtRQL4tbmSdIzhx6_m4wkOD7IG-k_eo/edit#gid=0"", ""Maths!M:N""), 2, FALSE)"),"Apply the knowledge of integer comparison to correctly order integers")</f>
        <v>Apply the knowledge of integer comparison to correctly order integers</v>
      </c>
      <c r="O109" s="10" t="str">
        <f t="shared" si="3"/>
        <v>LU000908.004</v>
      </c>
      <c r="P109" s="10" t="str">
        <f ca="1">IFERROR(__xludf.DUMMYFUNCTION("VLOOKUP(O109, IMPORTRANGE(""https://docs.google.com/spreadsheets/d/1yDAaXNsi4Mr5FtRQL4tbmSdIzhx6_m4wkOD7IG-k_eo/edit#gid=0"", ""Maths!M:N""), 2, FALSE)"),"Compare and contrast different strategies for comparing integers")</f>
        <v>Compare and contrast different strategies for comparing integers</v>
      </c>
      <c r="Q109" s="10" t="str">
        <f t="shared" si="4"/>
        <v>LU000908.005</v>
      </c>
      <c r="R109" s="10" t="str">
        <f ca="1">IFERROR(__xludf.DUMMYFUNCTION("VLOOKUP(Q109, IMPORTRANGE(""https://docs.google.com/spreadsheets/d/1yDAaXNsi4Mr5FtRQL4tbmSdIzhx6_m4wkOD7IG-k_eo/edit#gid=0"", ""Maths!M:N""), 2, FALSE)"),"Evaluate the correctness of integer comparisons by cross-checking using alternative methods.")</f>
        <v>Evaluate the correctness of integer comparisons by cross-checking using alternative methods.</v>
      </c>
      <c r="S109" s="10" t="str">
        <f t="shared" si="5"/>
        <v>LU000908.006</v>
      </c>
      <c r="T109" s="10" t="str">
        <f ca="1">IFERROR(__xludf.DUMMYFUNCTION("VLOOKUP(S109, IMPORTRANGE(""https://docs.google.com/spreadsheets/d/1yDAaXNsi4Mr5FtRQL4tbmSdIzhx6_m4wkOD7IG-k_eo/edit#gid=0"", ""Maths!M:N""), 2, FALSE)"),"Design sets of integer comparison problems that challenge to apply different strategies for ordering integers.")</f>
        <v>Design sets of integer comparison problems that challenge to apply different strategies for ordering integers.</v>
      </c>
      <c r="U109" s="11">
        <f ca="1">IFERROR(__xludf.DUMMYFUNCTION("ArrayFormula(VLOOKUP(G109, IMPORTRANGE(""https://docs.google.com/spreadsheets/d/1p7R4vtkWt5VOBim4ltsDG9KTzSjrtKXsMtQGXPHyND0/edit#gid=795171502"", ""'Filter 30_05_2024'!A1:M2000""), {2, 3, 4, 5,6,7,8,9,10,11,12,13}, 0))"),3)</f>
        <v>3</v>
      </c>
      <c r="V109" s="11">
        <f ca="1">IFERROR(__xludf.DUMMYFUNCTION("""COMPUTED_VALUE"""),6)</f>
        <v>6</v>
      </c>
      <c r="W109" s="11">
        <f ca="1">IFERROR(__xludf.DUMMYFUNCTION("""COMPUTED_VALUE"""),2)</f>
        <v>2</v>
      </c>
      <c r="X109" s="11">
        <f ca="1">IFERROR(__xludf.DUMMYFUNCTION("""COMPUTED_VALUE"""),11)</f>
        <v>11</v>
      </c>
      <c r="Y109" s="11">
        <f ca="1">IFERROR(__xludf.DUMMYFUNCTION("""COMPUTED_VALUE"""),6)</f>
        <v>6</v>
      </c>
      <c r="Z109" s="29">
        <f ca="1">IFERROR(__xludf.DUMMYFUNCTION("""COMPUTED_VALUE"""),3)</f>
        <v>3</v>
      </c>
      <c r="AA109" s="29">
        <f ca="1">IFERROR(__xludf.DUMMYFUNCTION("""COMPUTED_VALUE"""),1)</f>
        <v>1</v>
      </c>
      <c r="AB109" s="12">
        <f ca="1">IFERROR(__xludf.DUMMYFUNCTION("""COMPUTED_VALUE"""),10)</f>
        <v>10</v>
      </c>
      <c r="AC109" s="12"/>
      <c r="AD109" s="12"/>
      <c r="AE109" s="12"/>
      <c r="AF109" s="12"/>
      <c r="AG109" s="13" t="str">
        <f ca="1">IFERROR(__xludf.DUMMYFUNCTION("ArrayFormula(VLOOKUP(G109, IMPORTRANGE(""https://docs.google.com/spreadsheets/d/1Co934fvtviyaRiMsrIlT05Jaq7iiYq07aLvRr35KA48/edit?gid=173865642#gid=173865642"", ""'G6_Maths_Pri_LU'!G2:V2000""), {3, 4, 5, 6, 7, 8, 9, 10, 11, 12, 13, 14, 15, 16}, 0))"),"LU000270")</f>
        <v>LU000270</v>
      </c>
      <c r="AH109" s="13" t="str">
        <f ca="1">IFERROR(__xludf.DUMMYFUNCTION("""COMPUTED_VALUE"""),"Representation of integers on number line")</f>
        <v>Representation of integers on number line</v>
      </c>
      <c r="AI109" s="13" t="str">
        <f ca="1">IFERROR(__xludf.DUMMYFUNCTION("""COMPUTED_VALUE"""),"LU000154")</f>
        <v>LU000154</v>
      </c>
      <c r="AJ109" s="13" t="str">
        <f ca="1">IFERROR(__xludf.DUMMYFUNCTION("""COMPUTED_VALUE"""),"Comparison of whole numbers (upto 9-digit numbers)")</f>
        <v>Comparison of whole numbers (upto 9-digit numbers)</v>
      </c>
      <c r="AK109" s="13" t="str">
        <f ca="1">IFERROR(__xludf.DUMMYFUNCTION("""COMPUTED_VALUE"""),"LU000267")</f>
        <v>LU000267</v>
      </c>
      <c r="AL109" s="13" t="str">
        <f ca="1">IFERROR(__xludf.DUMMYFUNCTION("""COMPUTED_VALUE"""),"Definition of negative integers")</f>
        <v>Definition of negative integers</v>
      </c>
      <c r="AM109" s="13" t="str">
        <f ca="1">IFERROR(__xludf.DUMMYFUNCTION("""COMPUTED_VALUE"""),"LU000266")</f>
        <v>LU000266</v>
      </c>
      <c r="AN109" s="13" t="str">
        <f ca="1">IFERROR(__xludf.DUMMYFUNCTION("""COMPUTED_VALUE"""),"Definition of positive integers")</f>
        <v>Definition of positive integers</v>
      </c>
      <c r="AO109" s="13" t="str">
        <f ca="1">IFERROR(__xludf.DUMMYFUNCTION("""COMPUTED_VALUE"""),"LU000178")</f>
        <v>LU000178</v>
      </c>
      <c r="AP109" s="13" t="str">
        <f ca="1">IFERROR(__xludf.DUMMYFUNCTION("""COMPUTED_VALUE"""),"Successor of whole numbers")</f>
        <v>Successor of whole numbers</v>
      </c>
      <c r="AQ109" s="13"/>
      <c r="AR109" s="13"/>
      <c r="AS109" s="13"/>
      <c r="AT109" s="13"/>
    </row>
    <row r="110" spans="1:46">
      <c r="A110" s="8" t="s">
        <v>247</v>
      </c>
      <c r="B110" s="8" t="s">
        <v>47</v>
      </c>
      <c r="C110" s="8" t="s">
        <v>48</v>
      </c>
      <c r="D110" s="8" t="s">
        <v>49</v>
      </c>
      <c r="E110" s="8" t="s">
        <v>352</v>
      </c>
      <c r="F110" s="8" t="s">
        <v>233</v>
      </c>
      <c r="G110" s="8" t="s">
        <v>236</v>
      </c>
      <c r="H110" s="8" t="str">
        <f ca="1">IFERROR(__xludf.DUMMYFUNCTION("VLOOKUP(G110, IMPORTRANGE(""https://docs.google.com/spreadsheets/d/14deopnvwcrKtEGCKuYXdUHJbeLDZlkiSSWWT0g7x2pM/edit#gid=999382323"", ""LU List Maths (Filter)!A:B""), 2, FALSE)"),"Order of integers")</f>
        <v>Order of integers</v>
      </c>
      <c r="I110" s="10" t="str">
        <f t="shared" si="0"/>
        <v>LU000273.001</v>
      </c>
      <c r="J110" s="10" t="str">
        <f ca="1">IFERROR(__xludf.DUMMYFUNCTION("VLOOKUP(I110, IMPORTRANGE(""https://docs.google.com/spreadsheets/d/1yDAaXNsi4Mr5FtRQL4tbmSdIzhx6_m4wkOD7IG-k_eo/edit#gid=0"", ""Maths!M:N""), 2, FALSE)"),"Write the symbols used to compare integers and the rules for comparing integers with the same and different signs.")</f>
        <v>Write the symbols used to compare integers and the rules for comparing integers with the same and different signs.</v>
      </c>
      <c r="K110" s="10" t="str">
        <f t="shared" si="1"/>
        <v>LU000273.002</v>
      </c>
      <c r="L110" s="10" t="str">
        <f ca="1">IFERROR(__xludf.DUMMYFUNCTION("VLOOKUP(K110, IMPORTRANGE(""https://docs.google.com/spreadsheets/d/1yDAaXNsi4Mr5FtRQL4tbmSdIzhx6_m4wkOD7IG-k_eo/edit#gid=0"", ""Maths!M:N""), 2, FALSE)"),"Describe how integers are ordered using the number line")</f>
        <v>Describe how integers are ordered using the number line</v>
      </c>
      <c r="M110" s="10" t="str">
        <f t="shared" si="2"/>
        <v>LU000273.003</v>
      </c>
      <c r="N110" s="10" t="str">
        <f ca="1">IFERROR(__xludf.DUMMYFUNCTION("VLOOKUP(M110, IMPORTRANGE(""https://docs.google.com/spreadsheets/d/1yDAaXNsi4Mr5FtRQL4tbmSdIzhx6_m4wkOD7IG-k_eo/edit#gid=0"", ""Maths!M:N""), 2, FALSE)"),"Apply the understanding of ordering integers to compare/order integers using appropriate symbols.")</f>
        <v>Apply the understanding of ordering integers to compare/order integers using appropriate symbols.</v>
      </c>
      <c r="O110" s="10" t="str">
        <f t="shared" si="3"/>
        <v>LU000273.004</v>
      </c>
      <c r="P110" s="10" t="str">
        <f ca="1">IFERROR(__xludf.DUMMYFUNCTION("VLOOKUP(O110, IMPORTRANGE(""https://docs.google.com/spreadsheets/d/1yDAaXNsi4Mr5FtRQL4tbmSdIzhx6_m4wkOD7IG-k_eo/edit#gid=0"", ""Maths!M:N""), 2, FALSE)"),"Analyse how the positions of integers on the number line correspond to their order.")</f>
        <v>Analyse how the positions of integers on the number line correspond to their order.</v>
      </c>
      <c r="Q110" s="10" t="str">
        <f t="shared" si="4"/>
        <v>LU000273.005</v>
      </c>
      <c r="R110" s="10" t="str">
        <f ca="1">IFERROR(__xludf.DUMMYFUNCTION("VLOOKUP(Q110, IMPORTRANGE(""https://docs.google.com/spreadsheets/d/1yDAaXNsi4Mr5FtRQL4tbmSdIzhx6_m4wkOD7IG-k_eo/edit#gid=0"", ""Maths!M:N""), 2, FALSE)"),"#N/A")</f>
        <v>#N/A</v>
      </c>
      <c r="S110" s="10" t="str">
        <f t="shared" si="5"/>
        <v>LU000273.006</v>
      </c>
      <c r="T110" s="10" t="str">
        <f ca="1">IFERROR(__xludf.DUMMYFUNCTION("VLOOKUP(S110, IMPORTRANGE(""https://docs.google.com/spreadsheets/d/1yDAaXNsi4Mr5FtRQL4tbmSdIzhx6_m4wkOD7IG-k_eo/edit#gid=0"", ""Maths!M:N""), 2, FALSE)"),"#N/A")</f>
        <v>#N/A</v>
      </c>
      <c r="U110" s="11">
        <f ca="1">IFERROR(__xludf.DUMMYFUNCTION("ArrayFormula(VLOOKUP(G110, IMPORTRANGE(""https://docs.google.com/spreadsheets/d/1p7R4vtkWt5VOBim4ltsDG9KTzSjrtKXsMtQGXPHyND0/edit#gid=795171502"", ""'Filter 30_05_2024'!A1:M2000""), {2, 3, 4, 5,6,7,8,9,10,11,12,13}, 0))"),3)</f>
        <v>3</v>
      </c>
      <c r="V110" s="11">
        <f ca="1">IFERROR(__xludf.DUMMYFUNCTION("""COMPUTED_VALUE"""),5)</f>
        <v>5</v>
      </c>
      <c r="W110" s="11">
        <f ca="1">IFERROR(__xludf.DUMMYFUNCTION("""COMPUTED_VALUE"""),2)</f>
        <v>2</v>
      </c>
      <c r="X110" s="11">
        <f ca="1">IFERROR(__xludf.DUMMYFUNCTION("""COMPUTED_VALUE"""),10)</f>
        <v>10</v>
      </c>
      <c r="Y110" s="11">
        <f ca="1">IFERROR(__xludf.DUMMYFUNCTION("""COMPUTED_VALUE"""),5)</f>
        <v>5</v>
      </c>
      <c r="Z110" s="29">
        <f ca="1">IFERROR(__xludf.DUMMYFUNCTION("""COMPUTED_VALUE"""),4)</f>
        <v>4</v>
      </c>
      <c r="AA110" s="29">
        <f ca="1">IFERROR(__xludf.DUMMYFUNCTION("""COMPUTED_VALUE"""),1)</f>
        <v>1</v>
      </c>
      <c r="AB110" s="12">
        <f ca="1">IFERROR(__xludf.DUMMYFUNCTION("""COMPUTED_VALUE"""),10)</f>
        <v>10</v>
      </c>
      <c r="AC110" s="12"/>
      <c r="AD110" s="12"/>
      <c r="AE110" s="12"/>
      <c r="AF110" s="12"/>
      <c r="AG110" s="13" t="str">
        <f ca="1">IFERROR(__xludf.DUMMYFUNCTION("ArrayFormula(VLOOKUP(G110, IMPORTRANGE(""https://docs.google.com/spreadsheets/d/1Co934fvtviyaRiMsrIlT05Jaq7iiYq07aLvRr35KA48/edit?gid=173865642#gid=173865642"", ""'G6_Maths_Pri_LU'!G2:V2000""), {3, 4, 5, 6, 7, 8, 9, 10, 11, 12, 13, 14, 15, 16}, 0))"),"LU000908")</f>
        <v>LU000908</v>
      </c>
      <c r="AH110" s="13" t="str">
        <f ca="1">IFERROR(__xludf.DUMMYFUNCTION("""COMPUTED_VALUE"""),"Comparison of integers")</f>
        <v>Comparison of integers</v>
      </c>
      <c r="AI110" s="13" t="str">
        <f ca="1">IFERROR(__xludf.DUMMYFUNCTION("""COMPUTED_VALUE"""),"LU000155")</f>
        <v>LU000155</v>
      </c>
      <c r="AJ110" s="13" t="str">
        <f ca="1">IFERROR(__xludf.DUMMYFUNCTION("""COMPUTED_VALUE"""),"Order of whole numbers (upto 9-digit numbers)")</f>
        <v>Order of whole numbers (upto 9-digit numbers)</v>
      </c>
      <c r="AK110" s="13" t="str">
        <f ca="1">IFERROR(__xludf.DUMMYFUNCTION("""COMPUTED_VALUE"""),"LU000154")</f>
        <v>LU000154</v>
      </c>
      <c r="AL110" s="13" t="str">
        <f ca="1">IFERROR(__xludf.DUMMYFUNCTION("""COMPUTED_VALUE"""),"Comparison of whole numbers (upto 9-digit numbers)")</f>
        <v>Comparison of whole numbers (upto 9-digit numbers)</v>
      </c>
      <c r="AM110" s="13" t="str">
        <f ca="1">IFERROR(__xludf.DUMMYFUNCTION("""COMPUTED_VALUE"""),"LU000267")</f>
        <v>LU000267</v>
      </c>
      <c r="AN110" s="13" t="str">
        <f ca="1">IFERROR(__xludf.DUMMYFUNCTION("""COMPUTED_VALUE"""),"Definition of negative integers")</f>
        <v>Definition of negative integers</v>
      </c>
      <c r="AO110" s="13" t="str">
        <f ca="1">IFERROR(__xludf.DUMMYFUNCTION("""COMPUTED_VALUE"""),"LU000266")</f>
        <v>LU000266</v>
      </c>
      <c r="AP110" s="13" t="str">
        <f ca="1">IFERROR(__xludf.DUMMYFUNCTION("""COMPUTED_VALUE"""),"Definition of positive integers")</f>
        <v>Definition of positive integers</v>
      </c>
      <c r="AQ110" s="13"/>
      <c r="AR110" s="13"/>
      <c r="AS110" s="13"/>
      <c r="AT110" s="13"/>
    </row>
    <row r="111" spans="1:46">
      <c r="A111" s="8" t="s">
        <v>247</v>
      </c>
      <c r="B111" s="8" t="s">
        <v>47</v>
      </c>
      <c r="C111" s="8" t="s">
        <v>48</v>
      </c>
      <c r="D111" s="8" t="s">
        <v>49</v>
      </c>
      <c r="E111" s="8" t="s">
        <v>352</v>
      </c>
      <c r="F111" s="8" t="s">
        <v>237</v>
      </c>
      <c r="G111" s="8" t="s">
        <v>238</v>
      </c>
      <c r="H111" s="8" t="str">
        <f ca="1">IFERROR(__xludf.DUMMYFUNCTION("VLOOKUP(G111, IMPORTRANGE(""https://docs.google.com/spreadsheets/d/14deopnvwcrKtEGCKuYXdUHJbeLDZlkiSSWWT0g7x2pM/edit#gid=999382323"", ""LU List Maths (Filter)!A:B""), 2, FALSE)"),"Addition of integers using rules of signs")</f>
        <v>Addition of integers using rules of signs</v>
      </c>
      <c r="I111" s="10" t="str">
        <f t="shared" si="0"/>
        <v>LU000271.001</v>
      </c>
      <c r="J111" s="10" t="str">
        <f ca="1">IFERROR(__xludf.DUMMYFUNCTION("VLOOKUP(I111, IMPORTRANGE(""https://docs.google.com/spreadsheets/d/1yDAaXNsi4Mr5FtRQL4tbmSdIzhx6_m4wkOD7IG-k_eo/edit#gid=0"", ""Maths!M:N""), 2, FALSE)"),"Write the rules for adding integers with like and unlike signs.")</f>
        <v>Write the rules for adding integers with like and unlike signs.</v>
      </c>
      <c r="K111" s="10" t="str">
        <f t="shared" si="1"/>
        <v>LU000271.002</v>
      </c>
      <c r="L111" s="10" t="str">
        <f ca="1">IFERROR(__xludf.DUMMYFUNCTION("VLOOKUP(K111, IMPORTRANGE(""https://docs.google.com/spreadsheets/d/1yDAaXNsi4Mr5FtRQL4tbmSdIzhx6_m4wkOD7IG-k_eo/edit#gid=0"", ""Maths!M:N""), 2, FALSE)"),"Explain the concept of adding integers and the rationale behind the rules for different sign combinations.")</f>
        <v>Explain the concept of adding integers and the rationale behind the rules for different sign combinations.</v>
      </c>
      <c r="M111" s="10" t="str">
        <f t="shared" si="2"/>
        <v>LU000271.003</v>
      </c>
      <c r="N111" s="10" t="str">
        <f ca="1">IFERROR(__xludf.DUMMYFUNCTION("VLOOKUP(M111, IMPORTRANGE(""https://docs.google.com/spreadsheets/d/1yDAaXNsi4Mr5FtRQL4tbmSdIzhx6_m4wkOD7IG-k_eo/edit#gid=0"", ""Maths!M:N""), 2, FALSE)"),"Apply the rules of adding integers to solve arithmetic and practical addition problems.")</f>
        <v>Apply the rules of adding integers to solve arithmetic and practical addition problems.</v>
      </c>
      <c r="O111" s="10" t="str">
        <f t="shared" si="3"/>
        <v>LU000271.004</v>
      </c>
      <c r="P111" s="10" t="str">
        <f ca="1">IFERROR(__xludf.DUMMYFUNCTION("VLOOKUP(O111, IMPORTRANGE(""https://docs.google.com/spreadsheets/d/1yDAaXNsi4Mr5FtRQL4tbmSdIzhx6_m4wkOD7IG-k_eo/edit#gid=0"", ""Maths!M:N""), 2, FALSE)"),"Analyse complex addition expressions involving multiple integers and evaluate their outcomes.")</f>
        <v>Analyse complex addition expressions involving multiple integers and evaluate their outcomes.</v>
      </c>
      <c r="Q111" s="10" t="str">
        <f t="shared" si="4"/>
        <v>LU000271.005</v>
      </c>
      <c r="R111" s="10" t="str">
        <f ca="1">IFERROR(__xludf.DUMMYFUNCTION("VLOOKUP(Q111, IMPORTRANGE(""https://docs.google.com/spreadsheets/d/1yDAaXNsi4Mr5FtRQL4tbmSdIzhx6_m4wkOD7IG-k_eo/edit#gid=0"", ""Maths!M:N""), 2, FALSE)"),"Evaluate the accuracy of solutions to integer addition problems and provide feedback on the approach.")</f>
        <v>Evaluate the accuracy of solutions to integer addition problems and provide feedback on the approach.</v>
      </c>
      <c r="S111" s="10" t="str">
        <f t="shared" si="5"/>
        <v>LU000271.006</v>
      </c>
      <c r="T111" s="10" t="str">
        <f ca="1">IFERROR(__xludf.DUMMYFUNCTION("VLOOKUP(S111, IMPORTRANGE(""https://docs.google.com/spreadsheets/d/1yDAaXNsi4Mr5FtRQL4tbmSdIzhx6_m4wkOD7IG-k_eo/edit#gid=0"", ""Maths!M:N""), 2, FALSE)"),"Create a set of integer addition problems with varying sign combinations.")</f>
        <v>Create a set of integer addition problems with varying sign combinations.</v>
      </c>
      <c r="U111" s="11">
        <f ca="1">IFERROR(__xludf.DUMMYFUNCTION("ArrayFormula(VLOOKUP(G111, IMPORTRANGE(""https://docs.google.com/spreadsheets/d/1p7R4vtkWt5VOBim4ltsDG9KTzSjrtKXsMtQGXPHyND0/edit#gid=795171502"", ""'Filter 30_05_2024'!A1:M2000""), {2, 3, 4, 5,6,7,8,9,10,11,12,13}, 0))"),12)</f>
        <v>12</v>
      </c>
      <c r="V111" s="11">
        <f ca="1">IFERROR(__xludf.DUMMYFUNCTION("""COMPUTED_VALUE"""),10)</f>
        <v>10</v>
      </c>
      <c r="W111" s="11">
        <f ca="1">IFERROR(__xludf.DUMMYFUNCTION("""COMPUTED_VALUE"""),2)</f>
        <v>2</v>
      </c>
      <c r="X111" s="11">
        <f ca="1">IFERROR(__xludf.DUMMYFUNCTION("""COMPUTED_VALUE"""),24)</f>
        <v>24</v>
      </c>
      <c r="Y111" s="11">
        <f ca="1">IFERROR(__xludf.DUMMYFUNCTION("""COMPUTED_VALUE"""),8)</f>
        <v>8</v>
      </c>
      <c r="Z111" s="29">
        <f ca="1">IFERROR(__xludf.DUMMYFUNCTION("""COMPUTED_VALUE"""),11)</f>
        <v>11</v>
      </c>
      <c r="AA111" s="29">
        <f ca="1">IFERROR(__xludf.DUMMYFUNCTION("""COMPUTED_VALUE"""),1)</f>
        <v>1</v>
      </c>
      <c r="AB111" s="12">
        <f ca="1">IFERROR(__xludf.DUMMYFUNCTION("""COMPUTED_VALUE"""),20)</f>
        <v>20</v>
      </c>
      <c r="AC111" s="12"/>
      <c r="AD111" s="12"/>
      <c r="AE111" s="12"/>
      <c r="AF111" s="12"/>
      <c r="AG111" s="13" t="str">
        <f ca="1">IFERROR(__xludf.DUMMYFUNCTION("ArrayFormula(VLOOKUP(G111, IMPORTRANGE(""https://docs.google.com/spreadsheets/d/1Co934fvtviyaRiMsrIlT05Jaq7iiYq07aLvRr35KA48/edit?gid=173865642#gid=173865642"", ""'G6_Maths_Pri_LU'!G2:V2000""), {3, 4, 5, 6, 7, 8, 9, 10, 11, 12, 13, 14, 15, 16}, 0))"),"LU000267")</f>
        <v>LU000267</v>
      </c>
      <c r="AH111" s="13" t="str">
        <f ca="1">IFERROR(__xludf.DUMMYFUNCTION("""COMPUTED_VALUE"""),"Definition of negative integers")</f>
        <v>Definition of negative integers</v>
      </c>
      <c r="AI111" s="13" t="str">
        <f ca="1">IFERROR(__xludf.DUMMYFUNCTION("""COMPUTED_VALUE"""),"LU000266")</f>
        <v>LU000266</v>
      </c>
      <c r="AJ111" s="13" t="str">
        <f ca="1">IFERROR(__xludf.DUMMYFUNCTION("""COMPUTED_VALUE"""),"Definition of positive integers")</f>
        <v>Definition of positive integers</v>
      </c>
      <c r="AK111" s="13" t="str">
        <f ca="1">IFERROR(__xludf.DUMMYFUNCTION("""COMPUTED_VALUE"""),"LU000948")</f>
        <v>LU000948</v>
      </c>
      <c r="AL111" s="13" t="str">
        <f ca="1">IFERROR(__xludf.DUMMYFUNCTION("""COMPUTED_VALUE"""),"Addition of large whole numbers (5-9 digit numbers)")</f>
        <v>Addition of large whole numbers (5-9 digit numbers)</v>
      </c>
      <c r="AM111" s="13" t="str">
        <f ca="1">IFERROR(__xludf.DUMMYFUNCTION("""COMPUTED_VALUE"""),"LU000265")</f>
        <v>LU000265</v>
      </c>
      <c r="AN111" s="13" t="str">
        <f ca="1">IFERROR(__xludf.DUMMYFUNCTION("""COMPUTED_VALUE"""),"Definition of integers")</f>
        <v>Definition of integers</v>
      </c>
      <c r="AO111" s="13"/>
      <c r="AP111" s="13"/>
      <c r="AQ111" s="13"/>
      <c r="AR111" s="13"/>
      <c r="AS111" s="13"/>
      <c r="AT111" s="13"/>
    </row>
    <row r="112" spans="1:46">
      <c r="A112" s="8" t="s">
        <v>247</v>
      </c>
      <c r="B112" s="8" t="s">
        <v>47</v>
      </c>
      <c r="C112" s="8" t="s">
        <v>48</v>
      </c>
      <c r="D112" s="8" t="s">
        <v>49</v>
      </c>
      <c r="E112" s="8" t="s">
        <v>352</v>
      </c>
      <c r="F112" s="8" t="s">
        <v>237</v>
      </c>
      <c r="G112" s="8" t="s">
        <v>239</v>
      </c>
      <c r="H112" s="8" t="str">
        <f ca="1">IFERROR(__xludf.DUMMYFUNCTION("VLOOKUP(G112, IMPORTRANGE(""https://docs.google.com/spreadsheets/d/14deopnvwcrKtEGCKuYXdUHJbeLDZlkiSSWWT0g7x2pM/edit#gid=999382323"", ""LU List Maths (Filter)!A:B""), 2, FALSE)"),"Addition of integers using number line")</f>
        <v>Addition of integers using number line</v>
      </c>
      <c r="I112" s="10" t="str">
        <f t="shared" si="0"/>
        <v>LU000276.001</v>
      </c>
      <c r="J112" s="10" t="str">
        <f ca="1">IFERROR(__xludf.DUMMYFUNCTION("VLOOKUP(I112, IMPORTRANGE(""https://docs.google.com/spreadsheets/d/1yDAaXNsi4Mr5FtRQL4tbmSdIzhx6_m4wkOD7IG-k_eo/edit#gid=0"", ""Maths!M:N""), 2, FALSE)"),"Recall the basic rules of adding positive and negative integers using a number line.")</f>
        <v>Recall the basic rules of adding positive and negative integers using a number line.</v>
      </c>
      <c r="K112" s="10" t="str">
        <f t="shared" si="1"/>
        <v>LU000276.002</v>
      </c>
      <c r="L112" s="10" t="str">
        <f ca="1">IFERROR(__xludf.DUMMYFUNCTION("VLOOKUP(K112, IMPORTRANGE(""https://docs.google.com/spreadsheets/d/1yDAaXNsi4Mr5FtRQL4tbmSdIzhx6_m4wkOD7IG-k_eo/edit#gid=0"", ""Maths!M:N""), 2, FALSE)"),"Describe the purpose of using a number line for integer addition.")</f>
        <v>Describe the purpose of using a number line for integer addition.</v>
      </c>
      <c r="M112" s="10" t="str">
        <f t="shared" si="2"/>
        <v>LU000276.003</v>
      </c>
      <c r="N112" s="10" t="str">
        <f ca="1">IFERROR(__xludf.DUMMYFUNCTION("VLOOKUP(M112, IMPORTRANGE(""https://docs.google.com/spreadsheets/d/1yDAaXNsi4Mr5FtRQL4tbmSdIzhx6_m4wkOD7IG-k_eo/edit#gid=0"", ""Maths!M:N""), 2, FALSE)"),"Apply integer addition using a number line to solve simple arithmetic and practical problems.")</f>
        <v>Apply integer addition using a number line to solve simple arithmetic and practical problems.</v>
      </c>
      <c r="O112" s="10" t="str">
        <f t="shared" si="3"/>
        <v>LU000276.004</v>
      </c>
      <c r="P112" s="10" t="str">
        <f ca="1">IFERROR(__xludf.DUMMYFUNCTION("VLOOKUP(O112, IMPORTRANGE(""https://docs.google.com/spreadsheets/d/1yDAaXNsi4Mr5FtRQL4tbmSdIzhx6_m4wkOD7IG-k_eo/edit#gid=0"", ""Maths!M:N""), 2, FALSE)"),"Analyse different visual methods for adding integers and compare their effectiveness.")</f>
        <v>Analyse different visual methods for adding integers and compare their effectiveness.</v>
      </c>
      <c r="Q112" s="10" t="str">
        <f t="shared" si="4"/>
        <v>LU000276.005</v>
      </c>
      <c r="R112" s="10" t="str">
        <f ca="1">IFERROR(__xludf.DUMMYFUNCTION("VLOOKUP(Q112, IMPORTRANGE(""https://docs.google.com/spreadsheets/d/1yDAaXNsi4Mr5FtRQL4tbmSdIzhx6_m4wkOD7IG-k_eo/edit#gid=0"", ""Maths!M:N""), 2, FALSE)"),"Assess the correctness of solutions obtained through the number line method for integer addition.")</f>
        <v>Assess the correctness of solutions obtained through the number line method for integer addition.</v>
      </c>
      <c r="S112" s="10" t="str">
        <f t="shared" si="5"/>
        <v>LU000276.006</v>
      </c>
      <c r="T112" s="10" t="str">
        <f ca="1">IFERROR(__xludf.DUMMYFUNCTION("VLOOKUP(S112, IMPORTRANGE(""https://docs.google.com/spreadsheets/d/1yDAaXNsi4Mr5FtRQL4tbmSdIzhx6_m4wkOD7IG-k_eo/edit#gid=0"", ""Maths!M:N""), 2, FALSE)"),"Devise original real-world scenarios or problems that require the application of integer addition using a number line")</f>
        <v>Devise original real-world scenarios or problems that require the application of integer addition using a number line</v>
      </c>
      <c r="U112" s="11">
        <f ca="1">IFERROR(__xludf.DUMMYFUNCTION("ArrayFormula(VLOOKUP(G112, IMPORTRANGE(""https://docs.google.com/spreadsheets/d/1p7R4vtkWt5VOBim4ltsDG9KTzSjrtKXsMtQGXPHyND0/edit#gid=795171502"", ""'Filter 30_05_2024'!A1:M2000""), {2, 3, 4, 5,6,7,8,9,10,11,12,13}, 0))"),3)</f>
        <v>3</v>
      </c>
      <c r="V112" s="11">
        <f ca="1">IFERROR(__xludf.DUMMYFUNCTION("""COMPUTED_VALUE"""),8)</f>
        <v>8</v>
      </c>
      <c r="W112" s="11">
        <f ca="1">IFERROR(__xludf.DUMMYFUNCTION("""COMPUTED_VALUE"""),6)</f>
        <v>6</v>
      </c>
      <c r="X112" s="11">
        <f ca="1">IFERROR(__xludf.DUMMYFUNCTION("""COMPUTED_VALUE"""),17)</f>
        <v>17</v>
      </c>
      <c r="Y112" s="11">
        <f ca="1">IFERROR(__xludf.DUMMYFUNCTION("""COMPUTED_VALUE"""),5)</f>
        <v>5</v>
      </c>
      <c r="Z112" s="29">
        <f ca="1">IFERROR(__xludf.DUMMYFUNCTION("""COMPUTED_VALUE"""),3)</f>
        <v>3</v>
      </c>
      <c r="AA112" s="29">
        <f ca="1">IFERROR(__xludf.DUMMYFUNCTION("""COMPUTED_VALUE"""),2)</f>
        <v>2</v>
      </c>
      <c r="AB112" s="12">
        <f ca="1">IFERROR(__xludf.DUMMYFUNCTION("""COMPUTED_VALUE"""),10)</f>
        <v>10</v>
      </c>
      <c r="AC112" s="12"/>
      <c r="AD112" s="12"/>
      <c r="AE112" s="12"/>
      <c r="AF112" s="12"/>
      <c r="AG112" s="13" t="str">
        <f ca="1">IFERROR(__xludf.DUMMYFUNCTION("ArrayFormula(VLOOKUP(G112, IMPORTRANGE(""https://docs.google.com/spreadsheets/d/1Co934fvtviyaRiMsrIlT05Jaq7iiYq07aLvRr35KA48/edit?gid=173865642#gid=173865642"", ""'G6_Maths_Pri_LU'!G2:V2000""), {3, 4, 5, 6, 7, 8, 9, 10, 11, 12, 13, 14, 15, 16}, 0))"),"LU000270")</f>
        <v>LU000270</v>
      </c>
      <c r="AH112" s="13" t="str">
        <f ca="1">IFERROR(__xludf.DUMMYFUNCTION("""COMPUTED_VALUE"""),"Representation of integers on number line")</f>
        <v>Representation of integers on number line</v>
      </c>
      <c r="AI112" s="13" t="str">
        <f ca="1">IFERROR(__xludf.DUMMYFUNCTION("""COMPUTED_VALUE"""),"LU000267")</f>
        <v>LU000267</v>
      </c>
      <c r="AJ112" s="13" t="str">
        <f ca="1">IFERROR(__xludf.DUMMYFUNCTION("""COMPUTED_VALUE"""),"Definition of negative integers")</f>
        <v>Definition of negative integers</v>
      </c>
      <c r="AK112" s="13" t="str">
        <f ca="1">IFERROR(__xludf.DUMMYFUNCTION("""COMPUTED_VALUE"""),"LU000266")</f>
        <v>LU000266</v>
      </c>
      <c r="AL112" s="13" t="str">
        <f ca="1">IFERROR(__xludf.DUMMYFUNCTION("""COMPUTED_VALUE"""),"Definition of positive integers")</f>
        <v>Definition of positive integers</v>
      </c>
      <c r="AM112" s="13" t="str">
        <f ca="1">IFERROR(__xludf.DUMMYFUNCTION("""COMPUTED_VALUE"""),"LU000265")</f>
        <v>LU000265</v>
      </c>
      <c r="AN112" s="13" t="str">
        <f ca="1">IFERROR(__xludf.DUMMYFUNCTION("""COMPUTED_VALUE"""),"Definition of integers")</f>
        <v>Definition of integers</v>
      </c>
      <c r="AO112" s="13"/>
      <c r="AP112" s="13"/>
      <c r="AQ112" s="13"/>
      <c r="AR112" s="13"/>
      <c r="AS112" s="13"/>
      <c r="AT112" s="13"/>
    </row>
    <row r="113" spans="1:46">
      <c r="A113" s="8" t="s">
        <v>247</v>
      </c>
      <c r="B113" s="8" t="s">
        <v>47</v>
      </c>
      <c r="C113" s="8" t="s">
        <v>48</v>
      </c>
      <c r="D113" s="8" t="s">
        <v>49</v>
      </c>
      <c r="E113" s="8" t="s">
        <v>352</v>
      </c>
      <c r="F113" s="8" t="s">
        <v>237</v>
      </c>
      <c r="G113" s="8" t="s">
        <v>240</v>
      </c>
      <c r="H113" s="8" t="str">
        <f ca="1">IFERROR(__xludf.DUMMYFUNCTION("VLOOKUP(G113, IMPORTRANGE(""https://docs.google.com/spreadsheets/d/14deopnvwcrKtEGCKuYXdUHJbeLDZlkiSSWWT0g7x2pM/edit#gid=999382323"", ""LU List Maths (Filter)!A:B""), 2, FALSE)"),"Additive inverse of integers")</f>
        <v>Additive inverse of integers</v>
      </c>
      <c r="I113" s="10" t="str">
        <f t="shared" si="0"/>
        <v>LU000274.001</v>
      </c>
      <c r="J113" s="10" t="str">
        <f ca="1">IFERROR(__xludf.DUMMYFUNCTION("VLOOKUP(I113, IMPORTRANGE(""https://docs.google.com/spreadsheets/d/1yDAaXNsi4Mr5FtRQL4tbmSdIzhx6_m4wkOD7IG-k_eo/edit#gid=0"", ""Maths!M:N""), 2, FALSE)"),"Define the additive inverse of an integer and its relation to the original integer.")</f>
        <v>Define the additive inverse of an integer and its relation to the original integer.</v>
      </c>
      <c r="K113" s="10" t="str">
        <f t="shared" si="1"/>
        <v>LU000274.002</v>
      </c>
      <c r="L113" s="10" t="str">
        <f ca="1">IFERROR(__xludf.DUMMYFUNCTION("VLOOKUP(K113, IMPORTRANGE(""https://docs.google.com/spreadsheets/d/1yDAaXNsi4Mr5FtRQL4tbmSdIzhx6_m4wkOD7IG-k_eo/edit#gid=0"", ""Maths!M:N""), 2, FALSE)"),"Describe how the additive inverse of an integer is the value that, when added to the original integer, results in zero.")</f>
        <v>Describe how the additive inverse of an integer is the value that, when added to the original integer, results in zero.</v>
      </c>
      <c r="M113" s="10" t="str">
        <f t="shared" si="2"/>
        <v>LU000274.003</v>
      </c>
      <c r="N113" s="10" t="str">
        <f ca="1">IFERROR(__xludf.DUMMYFUNCTION("VLOOKUP(M113, IMPORTRANGE(""https://docs.google.com/spreadsheets/d/1yDAaXNsi4Mr5FtRQL4tbmSdIzhx6_m4wkOD7IG-k_eo/edit#gid=0"", ""Maths!M:N""), 2, FALSE)"),"Apply the knowledge of additive inverses to find the additive inverse of given integers.")</f>
        <v>Apply the knowledge of additive inverses to find the additive inverse of given integers.</v>
      </c>
      <c r="O113" s="10" t="str">
        <f t="shared" si="3"/>
        <v>LU000274.004</v>
      </c>
      <c r="P113" s="10" t="str">
        <f ca="1">IFERROR(__xludf.DUMMYFUNCTION("VLOOKUP(O113, IMPORTRANGE(""https://docs.google.com/spreadsheets/d/1yDAaXNsi4Mr5FtRQL4tbmSdIzhx6_m4wkOD7IG-k_eo/edit#gid=0"", ""Maths!M:N""), 2, FALSE)"),"Analyse how the additive inverse of an integer is located symmetrically across zero on the number line.")</f>
        <v>Analyse how the additive inverse of an integer is located symmetrically across zero on the number line.</v>
      </c>
      <c r="Q113" s="10" t="str">
        <f t="shared" si="4"/>
        <v>LU000274.005</v>
      </c>
      <c r="R113" s="10" t="str">
        <f ca="1">IFERROR(__xludf.DUMMYFUNCTION("VLOOKUP(Q113, IMPORTRANGE(""https://docs.google.com/spreadsheets/d/1yDAaXNsi4Mr5FtRQL4tbmSdIzhx6_m4wkOD7IG-k_eo/edit#gid=0"", ""Maths!M:N""), 2, FALSE)"),"#N/A")</f>
        <v>#N/A</v>
      </c>
      <c r="S113" s="10" t="str">
        <f t="shared" si="5"/>
        <v>LU000274.006</v>
      </c>
      <c r="T113" s="10" t="str">
        <f ca="1">IFERROR(__xludf.DUMMYFUNCTION("VLOOKUP(S113, IMPORTRANGE(""https://docs.google.com/spreadsheets/d/1yDAaXNsi4Mr5FtRQL4tbmSdIzhx6_m4wkOD7IG-k_eo/edit#gid=0"", ""Maths!M:N""), 2, FALSE)"),"#N/A")</f>
        <v>#N/A</v>
      </c>
      <c r="U113" s="11">
        <f ca="1">IFERROR(__xludf.DUMMYFUNCTION("ArrayFormula(VLOOKUP(G113, IMPORTRANGE(""https://docs.google.com/spreadsheets/d/1p7R4vtkWt5VOBim4ltsDG9KTzSjrtKXsMtQGXPHyND0/edit#gid=795171502"", ""'Filter 30_05_2024'!A1:M2000""), {2, 3, 4, 5,6,7,8,9,10,11,12,13}, 0))"),5)</f>
        <v>5</v>
      </c>
      <c r="V113" s="11">
        <f ca="1">IFERROR(__xludf.DUMMYFUNCTION("""COMPUTED_VALUE"""),3)</f>
        <v>3</v>
      </c>
      <c r="W113" s="11">
        <f ca="1">IFERROR(__xludf.DUMMYFUNCTION("""COMPUTED_VALUE"""),2)</f>
        <v>2</v>
      </c>
      <c r="X113" s="11">
        <f ca="1">IFERROR(__xludf.DUMMYFUNCTION("""COMPUTED_VALUE"""),10)</f>
        <v>10</v>
      </c>
      <c r="Y113" s="11">
        <f ca="1">IFERROR(__xludf.DUMMYFUNCTION("""COMPUTED_VALUE"""),4)</f>
        <v>4</v>
      </c>
      <c r="Z113" s="29">
        <f ca="1">IFERROR(__xludf.DUMMYFUNCTION("""COMPUTED_VALUE"""),6)</f>
        <v>6</v>
      </c>
      <c r="AA113" s="29">
        <f ca="1">IFERROR(__xludf.DUMMYFUNCTION("""COMPUTED_VALUE"""),1)</f>
        <v>1</v>
      </c>
      <c r="AB113" s="12">
        <f ca="1">IFERROR(__xludf.DUMMYFUNCTION("""COMPUTED_VALUE"""),11)</f>
        <v>11</v>
      </c>
      <c r="AC113" s="12"/>
      <c r="AD113" s="12"/>
      <c r="AE113" s="12"/>
      <c r="AF113" s="12"/>
      <c r="AG113" s="13" t="str">
        <f ca="1">IFERROR(__xludf.DUMMYFUNCTION("ArrayFormula(VLOOKUP(G113, IMPORTRANGE(""https://docs.google.com/spreadsheets/d/1Co934fvtviyaRiMsrIlT05Jaq7iiYq07aLvRr35KA48/edit?gid=173865642#gid=173865642"", ""'G6_Maths_Pri_LU'!G2:V2000""), {3, 4, 5, 6, 7, 8, 9, 10, 11, 12, 13, 14, 15, 16}, 0))"),"LU000271")</f>
        <v>LU000271</v>
      </c>
      <c r="AH113" s="13" t="str">
        <f ca="1">IFERROR(__xludf.DUMMYFUNCTION("""COMPUTED_VALUE"""),"Addition of integers using rules of signs")</f>
        <v>Addition of integers using rules of signs</v>
      </c>
      <c r="AI113" s="13" t="str">
        <f ca="1">IFERROR(__xludf.DUMMYFUNCTION("""COMPUTED_VALUE"""),"LU000267")</f>
        <v>LU000267</v>
      </c>
      <c r="AJ113" s="13" t="str">
        <f ca="1">IFERROR(__xludf.DUMMYFUNCTION("""COMPUTED_VALUE"""),"Definition of negative integers")</f>
        <v>Definition of negative integers</v>
      </c>
      <c r="AK113" s="13" t="str">
        <f ca="1">IFERROR(__xludf.DUMMYFUNCTION("""COMPUTED_VALUE"""),"LU000266")</f>
        <v>LU000266</v>
      </c>
      <c r="AL113" s="13" t="str">
        <f ca="1">IFERROR(__xludf.DUMMYFUNCTION("""COMPUTED_VALUE"""),"Definition of positive integers")</f>
        <v>Definition of positive integers</v>
      </c>
      <c r="AM113" s="13"/>
      <c r="AN113" s="13"/>
      <c r="AO113" s="13"/>
      <c r="AP113" s="13"/>
      <c r="AQ113" s="13"/>
      <c r="AR113" s="13"/>
      <c r="AS113" s="13"/>
      <c r="AT113" s="13"/>
    </row>
    <row r="114" spans="1:46">
      <c r="A114" s="8" t="s">
        <v>247</v>
      </c>
      <c r="B114" s="8" t="s">
        <v>47</v>
      </c>
      <c r="C114" s="8" t="s">
        <v>48</v>
      </c>
      <c r="D114" s="8" t="s">
        <v>49</v>
      </c>
      <c r="E114" s="8" t="s">
        <v>352</v>
      </c>
      <c r="F114" s="8" t="s">
        <v>241</v>
      </c>
      <c r="G114" s="8" t="s">
        <v>242</v>
      </c>
      <c r="H114" s="8" t="str">
        <f ca="1">IFERROR(__xludf.DUMMYFUNCTION("VLOOKUP(G114, IMPORTRANGE(""https://docs.google.com/spreadsheets/d/14deopnvwcrKtEGCKuYXdUHJbeLDZlkiSSWWT0g7x2pM/edit#gid=999382323"", ""LU List Maths (Filter)!A:B""), 2, FALSE)"),"Subtraction of integers using rules of signs")</f>
        <v>Subtraction of integers using rules of signs</v>
      </c>
      <c r="I114" s="10" t="str">
        <f t="shared" si="0"/>
        <v>LU000272.001</v>
      </c>
      <c r="J114" s="10" t="str">
        <f ca="1">IFERROR(__xludf.DUMMYFUNCTION("VLOOKUP(I114, IMPORTRANGE(""https://docs.google.com/spreadsheets/d/1yDAaXNsi4Mr5FtRQL4tbmSdIzhx6_m4wkOD7IG-k_eo/edit#gid=0"", ""Maths!M:N""), 2, FALSE)"),"Write the rules for subtracting integers with like and unlike signs.")</f>
        <v>Write the rules for subtracting integers with like and unlike signs.</v>
      </c>
      <c r="K114" s="10" t="str">
        <f t="shared" si="1"/>
        <v>LU000272.002</v>
      </c>
      <c r="L114" s="10" t="str">
        <f ca="1">IFERROR(__xludf.DUMMYFUNCTION("VLOOKUP(K114, IMPORTRANGE(""https://docs.google.com/spreadsheets/d/1yDAaXNsi4Mr5FtRQL4tbmSdIzhx6_m4wkOD7IG-k_eo/edit#gid=0"", ""Maths!M:N""), 2, FALSE)"),"Explain the concept of subtracting integers and the rationale behind the rules for different sign combinations.")</f>
        <v>Explain the concept of subtracting integers and the rationale behind the rules for different sign combinations.</v>
      </c>
      <c r="M114" s="10" t="str">
        <f t="shared" si="2"/>
        <v>LU000272.003</v>
      </c>
      <c r="N114" s="10" t="str">
        <f ca="1">IFERROR(__xludf.DUMMYFUNCTION("VLOOKUP(M114, IMPORTRANGE(""https://docs.google.com/spreadsheets/d/1yDAaXNsi4Mr5FtRQL4tbmSdIzhx6_m4wkOD7IG-k_eo/edit#gid=0"", ""Maths!M:N""), 2, FALSE)"),"Apply the rules of subtracting integers to solve arithmetic and practical subtraction problems.")</f>
        <v>Apply the rules of subtracting integers to solve arithmetic and practical subtraction problems.</v>
      </c>
      <c r="O114" s="10" t="str">
        <f t="shared" si="3"/>
        <v>LU000272.004</v>
      </c>
      <c r="P114" s="10" t="str">
        <f ca="1">IFERROR(__xludf.DUMMYFUNCTION("VLOOKUP(O114, IMPORTRANGE(""https://docs.google.com/spreadsheets/d/1yDAaXNsi4Mr5FtRQL4tbmSdIzhx6_m4wkOD7IG-k_eo/edit#gid=0"", ""Maths!M:N""), 2, FALSE)"),"Analyse complex subtraction expressions involving multiple integers and evaluate their outcomes.")</f>
        <v>Analyse complex subtraction expressions involving multiple integers and evaluate their outcomes.</v>
      </c>
      <c r="Q114" s="10" t="str">
        <f t="shared" si="4"/>
        <v>LU000272.005</v>
      </c>
      <c r="R114" s="10" t="str">
        <f ca="1">IFERROR(__xludf.DUMMYFUNCTION("VLOOKUP(Q114, IMPORTRANGE(""https://docs.google.com/spreadsheets/d/1yDAaXNsi4Mr5FtRQL4tbmSdIzhx6_m4wkOD7IG-k_eo/edit#gid=0"", ""Maths!M:N""), 2, FALSE)"),"Evaluate the accuracy of solutions to integer subtraction problems and provide feedback on the approach.")</f>
        <v>Evaluate the accuracy of solutions to integer subtraction problems and provide feedback on the approach.</v>
      </c>
      <c r="S114" s="10" t="str">
        <f t="shared" si="5"/>
        <v>LU000272.006</v>
      </c>
      <c r="T114" s="10" t="str">
        <f ca="1">IFERROR(__xludf.DUMMYFUNCTION("VLOOKUP(S114, IMPORTRANGE(""https://docs.google.com/spreadsheets/d/1yDAaXNsi4Mr5FtRQL4tbmSdIzhx6_m4wkOD7IG-k_eo/edit#gid=0"", ""Maths!M:N""), 2, FALSE)"),"Create a set of integer subtraction problems with varying sign combinations.")</f>
        <v>Create a set of integer subtraction problems with varying sign combinations.</v>
      </c>
      <c r="U114" s="11">
        <f ca="1">IFERROR(__xludf.DUMMYFUNCTION("ArrayFormula(VLOOKUP(G114, IMPORTRANGE(""https://docs.google.com/spreadsheets/d/1p7R4vtkWt5VOBim4ltsDG9KTzSjrtKXsMtQGXPHyND0/edit#gid=795171502"", ""'Filter 30_05_2024'!A1:M2000""), {2, 3, 4, 5,6,7,8,9,10,11,12,13}, 0))"),3)</f>
        <v>3</v>
      </c>
      <c r="V114" s="11">
        <f ca="1">IFERROR(__xludf.DUMMYFUNCTION("""COMPUTED_VALUE"""),13)</f>
        <v>13</v>
      </c>
      <c r="W114" s="11">
        <f ca="1">IFERROR(__xludf.DUMMYFUNCTION("""COMPUTED_VALUE"""),5)</f>
        <v>5</v>
      </c>
      <c r="X114" s="11">
        <f ca="1">IFERROR(__xludf.DUMMYFUNCTION("""COMPUTED_VALUE"""),21)</f>
        <v>21</v>
      </c>
      <c r="Y114" s="11">
        <f ca="1">IFERROR(__xludf.DUMMYFUNCTION("""COMPUTED_VALUE"""),9)</f>
        <v>9</v>
      </c>
      <c r="Z114" s="29">
        <f ca="1">IFERROR(__xludf.DUMMYFUNCTION("""COMPUTED_VALUE"""),8)</f>
        <v>8</v>
      </c>
      <c r="AA114" s="29">
        <f ca="1">IFERROR(__xludf.DUMMYFUNCTION("""COMPUTED_VALUE"""),2)</f>
        <v>2</v>
      </c>
      <c r="AB114" s="12">
        <f ca="1">IFERROR(__xludf.DUMMYFUNCTION("""COMPUTED_VALUE"""),19)</f>
        <v>19</v>
      </c>
      <c r="AC114" s="12"/>
      <c r="AD114" s="12"/>
      <c r="AE114" s="12"/>
      <c r="AF114" s="12"/>
      <c r="AG114" s="13" t="str">
        <f ca="1">IFERROR(__xludf.DUMMYFUNCTION("ArrayFormula(VLOOKUP(G114, IMPORTRANGE(""https://docs.google.com/spreadsheets/d/1Co934fvtviyaRiMsrIlT05Jaq7iiYq07aLvRr35KA48/edit?gid=173865642#gid=173865642"", ""'G6_Maths_Pri_LU'!G2:V2000""), {3, 4, 5, 6, 7, 8, 9, 10, 11, 12, 13, 14, 15, 16}, 0))"),"LU000274")</f>
        <v>LU000274</v>
      </c>
      <c r="AH114" s="13" t="str">
        <f ca="1">IFERROR(__xludf.DUMMYFUNCTION("""COMPUTED_VALUE"""),"Additive inverse of integers")</f>
        <v>Additive inverse of integers</v>
      </c>
      <c r="AI114" s="13" t="str">
        <f ca="1">IFERROR(__xludf.DUMMYFUNCTION("""COMPUTED_VALUE"""),"LU000271")</f>
        <v>LU000271</v>
      </c>
      <c r="AJ114" s="13" t="str">
        <f ca="1">IFERROR(__xludf.DUMMYFUNCTION("""COMPUTED_VALUE"""),"Addition of integers using rules of signs")</f>
        <v>Addition of integers using rules of signs</v>
      </c>
      <c r="AK114" s="13" t="str">
        <f ca="1">IFERROR(__xludf.DUMMYFUNCTION("""COMPUTED_VALUE"""),"LU000267")</f>
        <v>LU000267</v>
      </c>
      <c r="AL114" s="13" t="str">
        <f ca="1">IFERROR(__xludf.DUMMYFUNCTION("""COMPUTED_VALUE"""),"Definition of negative integers")</f>
        <v>Definition of negative integers</v>
      </c>
      <c r="AM114" s="13" t="str">
        <f ca="1">IFERROR(__xludf.DUMMYFUNCTION("""COMPUTED_VALUE"""),"LU000266")</f>
        <v>LU000266</v>
      </c>
      <c r="AN114" s="13" t="str">
        <f ca="1">IFERROR(__xludf.DUMMYFUNCTION("""COMPUTED_VALUE"""),"Definition of positive integers")</f>
        <v>Definition of positive integers</v>
      </c>
      <c r="AO114" s="13"/>
      <c r="AP114" s="13"/>
      <c r="AQ114" s="13"/>
      <c r="AR114" s="13"/>
      <c r="AS114" s="13"/>
      <c r="AT114" s="13"/>
    </row>
    <row r="115" spans="1:46">
      <c r="A115" s="8" t="s">
        <v>247</v>
      </c>
      <c r="B115" s="8" t="s">
        <v>47</v>
      </c>
      <c r="C115" s="8" t="s">
        <v>48</v>
      </c>
      <c r="D115" s="8" t="s">
        <v>49</v>
      </c>
      <c r="E115" s="8" t="s">
        <v>352</v>
      </c>
      <c r="F115" s="8" t="s">
        <v>241</v>
      </c>
      <c r="G115" s="8" t="s">
        <v>243</v>
      </c>
      <c r="H115" s="8" t="str">
        <f ca="1">IFERROR(__xludf.DUMMYFUNCTION("VLOOKUP(G115, IMPORTRANGE(""https://docs.google.com/spreadsheets/d/14deopnvwcrKtEGCKuYXdUHJbeLDZlkiSSWWT0g7x2pM/edit#gid=999382323"", ""LU List Maths (Filter)!A:B""), 2, FALSE)"),"Subtraction of integers using number line")</f>
        <v>Subtraction of integers using number line</v>
      </c>
      <c r="I115" s="10" t="str">
        <f t="shared" si="0"/>
        <v>LU000277.001</v>
      </c>
      <c r="J115" s="10" t="str">
        <f ca="1">IFERROR(__xludf.DUMMYFUNCTION("VLOOKUP(I115, IMPORTRANGE(""https://docs.google.com/spreadsheets/d/1yDAaXNsi4Mr5FtRQL4tbmSdIzhx6_m4wkOD7IG-k_eo/edit#gid=0"", ""Maths!M:N""), 2, FALSE)"),"Recall the rules for subtracting integers with the same and opposite signs")</f>
        <v>Recall the rules for subtracting integers with the same and opposite signs</v>
      </c>
      <c r="K115" s="10" t="str">
        <f t="shared" si="1"/>
        <v>LU000277.002</v>
      </c>
      <c r="L115" s="10" t="str">
        <f ca="1">IFERROR(__xludf.DUMMYFUNCTION("VLOOKUP(K115, IMPORTRANGE(""https://docs.google.com/spreadsheets/d/1yDAaXNsi4Mr5FtRQL4tbmSdIzhx6_m4wkOD7IG-k_eo/edit#gid=0"", ""Maths!M:N""), 2, FALSE)"),"Explain the purpose of using a number line for subtracting integers.")</f>
        <v>Explain the purpose of using a number line for subtracting integers.</v>
      </c>
      <c r="M115" s="10" t="str">
        <f t="shared" si="2"/>
        <v>LU000277.003</v>
      </c>
      <c r="N115" s="10" t="str">
        <f ca="1">IFERROR(__xludf.DUMMYFUNCTION("VLOOKUP(M115, IMPORTRANGE(""https://docs.google.com/spreadsheets/d/1yDAaXNsi4Mr5FtRQL4tbmSdIzhx6_m4wkOD7IG-k_eo/edit#gid=0"", ""Maths!M:N""), 2, FALSE)"),"Apply integer subtraction using a number line to solve basic arithmetic and practical problems.")</f>
        <v>Apply integer subtraction using a number line to solve basic arithmetic and practical problems.</v>
      </c>
      <c r="O115" s="10" t="str">
        <f t="shared" si="3"/>
        <v>LU000277.004</v>
      </c>
      <c r="P115" s="10" t="str">
        <f ca="1">IFERROR(__xludf.DUMMYFUNCTION("VLOOKUP(O115, IMPORTRANGE(""https://docs.google.com/spreadsheets/d/1yDAaXNsi4Mr5FtRQL4tbmSdIzhx6_m4wkOD7IG-k_eo/edit#gid=0"", ""Maths!M:N""), 2, FALSE)"),"Analyse different visual methods for subtracting integers and compare their effectiveness.")</f>
        <v>Analyse different visual methods for subtracting integers and compare their effectiveness.</v>
      </c>
      <c r="Q115" s="10" t="str">
        <f t="shared" si="4"/>
        <v>LU000277.005</v>
      </c>
      <c r="R115" s="10" t="str">
        <f ca="1">IFERROR(__xludf.DUMMYFUNCTION("VLOOKUP(Q115, IMPORTRANGE(""https://docs.google.com/spreadsheets/d/1yDAaXNsi4Mr5FtRQL4tbmSdIzhx6_m4wkOD7IG-k_eo/edit#gid=0"", ""Maths!M:N""), 2, FALSE)"),"Assess the correctness of solutions obtained through the number line method for integer subtraction.")</f>
        <v>Assess the correctness of solutions obtained through the number line method for integer subtraction.</v>
      </c>
      <c r="S115" s="10" t="str">
        <f t="shared" si="5"/>
        <v>LU000277.006</v>
      </c>
      <c r="T115" s="10" t="str">
        <f ca="1">IFERROR(__xludf.DUMMYFUNCTION("VLOOKUP(S115, IMPORTRANGE(""https://docs.google.com/spreadsheets/d/1yDAaXNsi4Mr5FtRQL4tbmSdIzhx6_m4wkOD7IG-k_eo/edit#gid=0"", ""Maths!M:N""), 2, FALSE)"),"Devise original real-world scenarios or problems that require the application of integer subtraction using a number line")</f>
        <v>Devise original real-world scenarios or problems that require the application of integer subtraction using a number line</v>
      </c>
      <c r="U115" s="11">
        <f ca="1">IFERROR(__xludf.DUMMYFUNCTION("ArrayFormula(VLOOKUP(G115, IMPORTRANGE(""https://docs.google.com/spreadsheets/d/1p7R4vtkWt5VOBim4ltsDG9KTzSjrtKXsMtQGXPHyND0/edit#gid=795171502"", ""'Filter 30_05_2024'!A1:M2000""), {2, 3, 4, 5,6,7,8,9,10,11,12,13}, 0))"),4)</f>
        <v>4</v>
      </c>
      <c r="V115" s="11">
        <f ca="1">IFERROR(__xludf.DUMMYFUNCTION("""COMPUTED_VALUE"""),10)</f>
        <v>10</v>
      </c>
      <c r="W115" s="11">
        <f ca="1">IFERROR(__xludf.DUMMYFUNCTION("""COMPUTED_VALUE"""),2)</f>
        <v>2</v>
      </c>
      <c r="X115" s="11">
        <f ca="1">IFERROR(__xludf.DUMMYFUNCTION("""COMPUTED_VALUE"""),16)</f>
        <v>16</v>
      </c>
      <c r="Y115" s="11">
        <f ca="1">IFERROR(__xludf.DUMMYFUNCTION("""COMPUTED_VALUE"""),4)</f>
        <v>4</v>
      </c>
      <c r="Z115" s="29">
        <f ca="1">IFERROR(__xludf.DUMMYFUNCTION("""COMPUTED_VALUE"""),3)</f>
        <v>3</v>
      </c>
      <c r="AA115" s="29">
        <f ca="1">IFERROR(__xludf.DUMMYFUNCTION("""COMPUTED_VALUE"""),1)</f>
        <v>1</v>
      </c>
      <c r="AB115" s="12">
        <f ca="1">IFERROR(__xludf.DUMMYFUNCTION("""COMPUTED_VALUE"""),8)</f>
        <v>8</v>
      </c>
      <c r="AC115" s="12"/>
      <c r="AD115" s="12"/>
      <c r="AE115" s="12"/>
      <c r="AF115" s="12"/>
      <c r="AG115" s="13" t="str">
        <f ca="1">IFERROR(__xludf.DUMMYFUNCTION("ArrayFormula(VLOOKUP(G115, IMPORTRANGE(""https://docs.google.com/spreadsheets/d/1Co934fvtviyaRiMsrIlT05Jaq7iiYq07aLvRr35KA48/edit?gid=173865642#gid=173865642"", ""'G6_Maths_Pri_LU'!G2:V2000""), {3, 4, 5, 6, 7, 8, 9, 10, 11, 12, 13, 14, 15, 16}, 0))"),"LU000270")</f>
        <v>LU000270</v>
      </c>
      <c r="AH115" s="13" t="str">
        <f ca="1">IFERROR(__xludf.DUMMYFUNCTION("""COMPUTED_VALUE"""),"Representation of integers on number line")</f>
        <v>Representation of integers on number line</v>
      </c>
      <c r="AI115" s="13" t="str">
        <f ca="1">IFERROR(__xludf.DUMMYFUNCTION("""COMPUTED_VALUE"""),"LU000181")</f>
        <v>LU000181</v>
      </c>
      <c r="AJ115" s="13" t="str">
        <f ca="1">IFERROR(__xludf.DUMMYFUNCTION("""COMPUTED_VALUE"""),"Subtraction of whole numbers on number line")</f>
        <v>Subtraction of whole numbers on number line</v>
      </c>
      <c r="AK115" s="13" t="str">
        <f ca="1">IFERROR(__xludf.DUMMYFUNCTION("""COMPUTED_VALUE"""),"LU000270")</f>
        <v>LU000270</v>
      </c>
      <c r="AL115" s="13" t="str">
        <f ca="1">IFERROR(__xludf.DUMMYFUNCTION("""COMPUTED_VALUE"""),"Representation of integers on number line")</f>
        <v>Representation of integers on number line</v>
      </c>
      <c r="AM115" s="13" t="str">
        <f ca="1">IFERROR(__xludf.DUMMYFUNCTION("""COMPUTED_VALUE"""),"LU000267")</f>
        <v>LU000267</v>
      </c>
      <c r="AN115" s="13" t="str">
        <f ca="1">IFERROR(__xludf.DUMMYFUNCTION("""COMPUTED_VALUE"""),"Definition of negative integers")</f>
        <v>Definition of negative integers</v>
      </c>
      <c r="AO115" s="13" t="str">
        <f ca="1">IFERROR(__xludf.DUMMYFUNCTION("""COMPUTED_VALUE"""),"LU000266")</f>
        <v>LU000266</v>
      </c>
      <c r="AP115" s="13" t="str">
        <f ca="1">IFERROR(__xludf.DUMMYFUNCTION("""COMPUTED_VALUE"""),"Definition of positive integers")</f>
        <v>Definition of positive integers</v>
      </c>
      <c r="AQ115" s="13"/>
      <c r="AR115" s="13"/>
      <c r="AS115" s="13"/>
      <c r="AT115" s="13"/>
    </row>
    <row r="116" spans="1:46">
      <c r="A116" s="8" t="s">
        <v>247</v>
      </c>
      <c r="B116" s="8" t="s">
        <v>47</v>
      </c>
      <c r="C116" s="8" t="s">
        <v>48</v>
      </c>
      <c r="D116" s="8" t="s">
        <v>49</v>
      </c>
      <c r="E116" s="8" t="s">
        <v>352</v>
      </c>
      <c r="F116" s="8" t="s">
        <v>244</v>
      </c>
      <c r="G116" s="8" t="s">
        <v>245</v>
      </c>
      <c r="H116" s="8" t="str">
        <f ca="1">IFERROR(__xludf.DUMMYFUNCTION("VLOOKUP(G116, IMPORTRANGE(""https://docs.google.com/spreadsheets/d/14deopnvwcrKtEGCKuYXdUHJbeLDZlkiSSWWT0g7x2pM/edit#gid=999382323"", ""LU List Maths (Filter)!A:B""), 2, FALSE)"),"Mixed operation of addition and subtraction of three or more integers")</f>
        <v>Mixed operation of addition and subtraction of three or more integers</v>
      </c>
      <c r="I116" s="10" t="str">
        <f t="shared" si="0"/>
        <v>LU000914.001</v>
      </c>
      <c r="J116" s="10" t="str">
        <f ca="1">IFERROR(__xludf.DUMMYFUNCTION("VLOOKUP(I116, IMPORTRANGE(""https://docs.google.com/spreadsheets/d/1yDAaXNsi4Mr5FtRQL4tbmSdIzhx6_m4wkOD7IG-k_eo/edit#gid=0"", ""Maths!M:N""), 2, FALSE)"),"State the rules for adding and subtracting three and more integers.")</f>
        <v>State the rules for adding and subtracting three and more integers.</v>
      </c>
      <c r="K116" s="10" t="str">
        <f t="shared" si="1"/>
        <v>LU000914.002</v>
      </c>
      <c r="L116" s="10" t="str">
        <f ca="1">IFERROR(__xludf.DUMMYFUNCTION("VLOOKUP(K116, IMPORTRANGE(""https://docs.google.com/spreadsheets/d/1yDAaXNsi4Mr5FtRQL4tbmSdIzhx6_m4wkOD7IG-k_eo/edit#gid=0"", ""Maths!M:N""), 2, FALSE)"),"Explain the concept of performing mixed operations involving addition and subtraction of three or more integers.")</f>
        <v>Explain the concept of performing mixed operations involving addition and subtraction of three or more integers.</v>
      </c>
      <c r="M116" s="10" t="str">
        <f t="shared" si="2"/>
        <v>LU000914.003</v>
      </c>
      <c r="N116" s="10" t="str">
        <f ca="1">IFERROR(__xludf.DUMMYFUNCTION("VLOOKUP(M116, IMPORTRANGE(""https://docs.google.com/spreadsheets/d/1yDAaXNsi4Mr5FtRQL4tbmSdIzhx6_m4wkOD7IG-k_eo/edit#gid=0"", ""Maths!M:N""), 2, FALSE)"),"Apply the rules of addition and subtraction to solve arithmetic and real life problems involving three or more integers.")</f>
        <v>Apply the rules of addition and subtraction to solve arithmetic and real life problems involving three or more integers.</v>
      </c>
      <c r="O116" s="10" t="str">
        <f t="shared" si="3"/>
        <v>LU000914.004</v>
      </c>
      <c r="P116" s="10" t="str">
        <f ca="1">IFERROR(__xludf.DUMMYFUNCTION("VLOOKUP(O116, IMPORTRANGE(""https://docs.google.com/spreadsheets/d/1yDAaXNsi4Mr5FtRQL4tbmSdIzhx6_m4wkOD7IG-k_eo/edit#gid=0"", ""Maths!M:N""), 2, FALSE)"),"Analyze errors in a given set of mixed operations involving integers and explain the correct procedures.")</f>
        <v>Analyze errors in a given set of mixed operations involving integers and explain the correct procedures.</v>
      </c>
      <c r="Q116" s="10" t="str">
        <f t="shared" si="4"/>
        <v>LU000914.005</v>
      </c>
      <c r="R116" s="10" t="str">
        <f ca="1">IFERROR(__xludf.DUMMYFUNCTION("VLOOKUP(Q116, IMPORTRANGE(""https://docs.google.com/spreadsheets/d/1yDAaXNsi4Mr5FtRQL4tbmSdIzhx6_m4wkOD7IG-k_eo/edit#gid=0"", ""Maths!M:N""), 2, FALSE)"),"Evaluate the accuracy of solutions to mixed operations with integers.")</f>
        <v>Evaluate the accuracy of solutions to mixed operations with integers.</v>
      </c>
      <c r="S116" s="10" t="str">
        <f t="shared" si="5"/>
        <v>LU000914.006</v>
      </c>
      <c r="T116" s="10" t="str">
        <f ca="1">IFERROR(__xludf.DUMMYFUNCTION("VLOOKUP(S116, IMPORTRANGE(""https://docs.google.com/spreadsheets/d/1yDAaXNsi4Mr5FtRQL4tbmSdIzhx6_m4wkOD7IG-k_eo/edit#gid=0"", ""Maths!M:N""), 2, FALSE)"),"Develop and solve a set of original problems that involve mixed operations with three or more integers.")</f>
        <v>Develop and solve a set of original problems that involve mixed operations with three or more integers.</v>
      </c>
      <c r="U116" s="11">
        <f ca="1">IFERROR(__xludf.DUMMYFUNCTION("ArrayFormula(VLOOKUP(G116, IMPORTRANGE(""https://docs.google.com/spreadsheets/d/1p7R4vtkWt5VOBim4ltsDG9KTzSjrtKXsMtQGXPHyND0/edit#gid=795171502"", ""'Filter 30_05_2024'!A1:M2000""), {2, 3, 4, 5,6,7,8,9,10,11,12,13}, 0))"),4)</f>
        <v>4</v>
      </c>
      <c r="V116" s="11">
        <f ca="1">IFERROR(__xludf.DUMMYFUNCTION("""COMPUTED_VALUE"""),4)</f>
        <v>4</v>
      </c>
      <c r="W116" s="11">
        <f ca="1">IFERROR(__xludf.DUMMYFUNCTION("""COMPUTED_VALUE"""),2)</f>
        <v>2</v>
      </c>
      <c r="X116" s="11">
        <f ca="1">IFERROR(__xludf.DUMMYFUNCTION("""COMPUTED_VALUE"""),10)</f>
        <v>10</v>
      </c>
      <c r="Y116" s="11">
        <f ca="1">IFERROR(__xludf.DUMMYFUNCTION("""COMPUTED_VALUE"""),4)</f>
        <v>4</v>
      </c>
      <c r="Z116" s="29">
        <f ca="1">IFERROR(__xludf.DUMMYFUNCTION("""COMPUTED_VALUE"""),5)</f>
        <v>5</v>
      </c>
      <c r="AA116" s="29">
        <f ca="1">IFERROR(__xludf.DUMMYFUNCTION("""COMPUTED_VALUE"""),1)</f>
        <v>1</v>
      </c>
      <c r="AB116" s="12">
        <f ca="1">IFERROR(__xludf.DUMMYFUNCTION("""COMPUTED_VALUE"""),10)</f>
        <v>10</v>
      </c>
      <c r="AC116" s="12"/>
      <c r="AD116" s="12"/>
      <c r="AE116" s="12"/>
      <c r="AF116" s="12"/>
      <c r="AG116" s="13" t="str">
        <f ca="1">IFERROR(__xludf.DUMMYFUNCTION("ArrayFormula(VLOOKUP(G116, IMPORTRANGE(""https://docs.google.com/spreadsheets/d/1Co934fvtviyaRiMsrIlT05Jaq7iiYq07aLvRr35KA48/edit?gid=173865642#gid=173865642"", ""'G6_Maths_Pri_LU'!G2:V2000""), {3, 4, 5, 6, 7, 8, 9, 10, 11, 12, 13, 14, 15, 16}, 0))"),"LU000272")</f>
        <v>LU000272</v>
      </c>
      <c r="AH116" s="13" t="str">
        <f ca="1">IFERROR(__xludf.DUMMYFUNCTION("""COMPUTED_VALUE"""),"Subtraction of integers using rules of signs")</f>
        <v>Subtraction of integers using rules of signs</v>
      </c>
      <c r="AI116" s="13" t="str">
        <f ca="1">IFERROR(__xludf.DUMMYFUNCTION("""COMPUTED_VALUE"""),"LU000271")</f>
        <v>LU000271</v>
      </c>
      <c r="AJ116" s="13" t="str">
        <f ca="1">IFERROR(__xludf.DUMMYFUNCTION("""COMPUTED_VALUE"""),"Addition of integers using rules of signs")</f>
        <v>Addition of integers using rules of signs</v>
      </c>
      <c r="AK116" s="13" t="str">
        <f ca="1">IFERROR(__xludf.DUMMYFUNCTION("""COMPUTED_VALUE"""),"LU000277")</f>
        <v>LU000277</v>
      </c>
      <c r="AL116" s="13" t="str">
        <f ca="1">IFERROR(__xludf.DUMMYFUNCTION("""COMPUTED_VALUE"""),"Subtraction of integers using number line")</f>
        <v>Subtraction of integers using number line</v>
      </c>
      <c r="AM116" s="13" t="str">
        <f ca="1">IFERROR(__xludf.DUMMYFUNCTION("""COMPUTED_VALUE"""),"LU000276")</f>
        <v>LU000276</v>
      </c>
      <c r="AN116" s="13" t="str">
        <f ca="1">IFERROR(__xludf.DUMMYFUNCTION("""COMPUTED_VALUE"""),"Addition of integers using number line")</f>
        <v>Addition of integers using number line</v>
      </c>
      <c r="AO116" s="13"/>
      <c r="AP116" s="13"/>
      <c r="AQ116" s="13"/>
      <c r="AR116" s="13"/>
      <c r="AS116" s="13"/>
      <c r="AT116" s="13"/>
    </row>
    <row r="117" spans="1:46">
      <c r="A117" s="8" t="s">
        <v>247</v>
      </c>
      <c r="B117" s="8" t="s">
        <v>47</v>
      </c>
      <c r="C117" s="8" t="s">
        <v>48</v>
      </c>
      <c r="D117" s="8" t="s">
        <v>49</v>
      </c>
      <c r="E117" s="8" t="s">
        <v>169</v>
      </c>
      <c r="F117" s="8" t="s">
        <v>356</v>
      </c>
      <c r="G117" s="8" t="s">
        <v>171</v>
      </c>
      <c r="H117" s="8" t="str">
        <f ca="1">IFERROR(__xludf.DUMMYFUNCTION("VLOOKUP(G117, IMPORTRANGE(""https://docs.google.com/spreadsheets/d/14deopnvwcrKtEGCKuYXdUHJbeLDZlkiSSWWT0g7x2pM/edit#gid=999382323"", ""LU List Maths (Filter)!A:B""), 2, FALSE)"),"Definition of fraction")</f>
        <v>Definition of fraction</v>
      </c>
      <c r="I117" s="10" t="str">
        <f t="shared" si="0"/>
        <v>LU000278.001</v>
      </c>
      <c r="J117" s="10" t="str">
        <f ca="1">IFERROR(__xludf.DUMMYFUNCTION("VLOOKUP(I117, IMPORTRANGE(""https://docs.google.com/spreadsheets/d/1yDAaXNsi4Mr5FtRQL4tbmSdIzhx6_m4wkOD7IG-k_eo/edit#gid=0"", ""Maths!M:N""), 2, FALSE)"),"Describe a fraction and its components. (numerator, fractional bar, and denominator)")</f>
        <v>Describe a fraction and its components. (numerator, fractional bar, and denominator)</v>
      </c>
      <c r="K117" s="10" t="str">
        <f t="shared" si="1"/>
        <v>LU000278.002</v>
      </c>
      <c r="L117" s="10" t="str">
        <f ca="1">IFERROR(__xludf.DUMMYFUNCTION("VLOOKUP(K117, IMPORTRANGE(""https://docs.google.com/spreadsheets/d/1yDAaXNsi4Mr5FtRQL4tbmSdIzhx6_m4wkOD7IG-k_eo/edit#gid=0"", ""Maths!M:N""), 2, FALSE)"),"Identify the numerator and denominator of a given fraction.")</f>
        <v>Identify the numerator and denominator of a given fraction.</v>
      </c>
      <c r="M117" s="10" t="str">
        <f t="shared" si="2"/>
        <v>LU000278.003</v>
      </c>
      <c r="N117" s="10" t="str">
        <f ca="1">IFERROR(__xludf.DUMMYFUNCTION("VLOOKUP(M117, IMPORTRANGE(""https://docs.google.com/spreadsheets/d/1yDAaXNsi4Mr5FtRQL4tbmSdIzhx6_m4wkOD7IG-k_eo/edit#gid=0"", ""Maths!M:N""), 2, FALSE)"),"Describe real-life situations that can be expressed using fractions.")</f>
        <v>Describe real-life situations that can be expressed using fractions.</v>
      </c>
      <c r="O117" s="10" t="str">
        <f t="shared" si="3"/>
        <v>LU000278.004</v>
      </c>
      <c r="P117" s="10" t="str">
        <f ca="1">IFERROR(__xludf.DUMMYFUNCTION("VLOOKUP(O117, IMPORTRANGE(""https://docs.google.com/spreadsheets/d/1yDAaXNsi4Mr5FtRQL4tbmSdIzhx6_m4wkOD7IG-k_eo/edit#gid=0"", ""Maths!M:N""), 2, FALSE)"),"Analyse the relationship between the numerator and denominator in a fraction to determine its value and size relative to a whole.")</f>
        <v>Analyse the relationship between the numerator and denominator in a fraction to determine its value and size relative to a whole.</v>
      </c>
      <c r="Q117" s="10" t="str">
        <f t="shared" si="4"/>
        <v>LU000278.005</v>
      </c>
      <c r="R117" s="10" t="str">
        <f ca="1">IFERROR(__xludf.DUMMYFUNCTION("VLOOKUP(Q117, IMPORTRANGE(""https://docs.google.com/spreadsheets/d/1yDAaXNsi4Mr5FtRQL4tbmSdIzhx6_m4wkOD7IG-k_eo/edit#gid=0"", ""Maths!M:N""), 2, FALSE)"),"Evaluate the significance of unit fractions and their role in representing the smallest parts of a whole.")</f>
        <v>Evaluate the significance of unit fractions and their role in representing the smallest parts of a whole.</v>
      </c>
      <c r="S117" s="10" t="str">
        <f t="shared" si="5"/>
        <v>LU000278.006</v>
      </c>
      <c r="T117" s="10" t="str">
        <f ca="1">IFERROR(__xludf.DUMMYFUNCTION("VLOOKUP(S117, IMPORTRANGE(""https://docs.google.com/spreadsheets/d/1yDAaXNsi4Mr5FtRQL4tbmSdIzhx6_m4wkOD7IG-k_eo/edit#gid=0"", ""Maths!M:N""), 2, FALSE)"),"#N/A")</f>
        <v>#N/A</v>
      </c>
      <c r="U117" s="11">
        <f ca="1">IFERROR(__xludf.DUMMYFUNCTION("ArrayFormula(VLOOKUP(G117, IMPORTRANGE(""https://docs.google.com/spreadsheets/d/1p7R4vtkWt5VOBim4ltsDG9KTzSjrtKXsMtQGXPHyND0/edit#gid=795171502"", ""'Filter 30_05_2024'!A1:M2000""), {2, 3, 4, 5,6,7,8,9,10,11,12,13}, 0))"),7)</f>
        <v>7</v>
      </c>
      <c r="V117" s="11">
        <f ca="1">IFERROR(__xludf.DUMMYFUNCTION("""COMPUTED_VALUE"""),10)</f>
        <v>10</v>
      </c>
      <c r="W117" s="11">
        <f ca="1">IFERROR(__xludf.DUMMYFUNCTION("""COMPUTED_VALUE"""),2)</f>
        <v>2</v>
      </c>
      <c r="X117" s="11">
        <f ca="1">IFERROR(__xludf.DUMMYFUNCTION("""COMPUTED_VALUE"""),19)</f>
        <v>19</v>
      </c>
      <c r="Y117" s="11">
        <f ca="1">IFERROR(__xludf.DUMMYFUNCTION("""COMPUTED_VALUE"""),4)</f>
        <v>4</v>
      </c>
      <c r="Z117" s="29">
        <f ca="1">IFERROR(__xludf.DUMMYFUNCTION("""COMPUTED_VALUE"""),3)</f>
        <v>3</v>
      </c>
      <c r="AA117" s="29">
        <f ca="1">IFERROR(__xludf.DUMMYFUNCTION("""COMPUTED_VALUE"""),1)</f>
        <v>1</v>
      </c>
      <c r="AB117" s="12">
        <f ca="1">IFERROR(__xludf.DUMMYFUNCTION("""COMPUTED_VALUE"""),8)</f>
        <v>8</v>
      </c>
      <c r="AC117" s="12"/>
      <c r="AD117" s="12"/>
      <c r="AE117" s="12"/>
      <c r="AF117" s="12"/>
      <c r="AG117" s="13" t="str">
        <f ca="1">IFERROR(__xludf.DUMMYFUNCTION("ArrayFormula(VLOOKUP(G117, IMPORTRANGE(""https://docs.google.com/spreadsheets/d/1Co934fvtviyaRiMsrIlT05Jaq7iiYq07aLvRr35KA48/edit?gid=173865642#gid=173865642"", ""'G6_Maths_Pri_LU'!G2:V2000""), {3, 4, 5, 6, 7, 8, 9, 10, 11, 12, 13, 14, 15, 16}, 0))"),"LU000175")</f>
        <v>LU000175</v>
      </c>
      <c r="AH117" s="13" t="str">
        <f ca="1">IFERROR(__xludf.DUMMYFUNCTION("""COMPUTED_VALUE"""),"Definition of natural number ")</f>
        <v xml:space="preserve">Definition of natural number </v>
      </c>
      <c r="AI117" s="13"/>
      <c r="AJ117" s="13"/>
      <c r="AK117" s="13"/>
      <c r="AL117" s="13"/>
      <c r="AM117" s="13"/>
      <c r="AN117" s="13"/>
      <c r="AO117" s="13"/>
      <c r="AP117" s="13"/>
      <c r="AQ117" s="13"/>
      <c r="AR117" s="13"/>
      <c r="AS117" s="13"/>
      <c r="AT117" s="13"/>
    </row>
    <row r="118" spans="1:46">
      <c r="A118" s="8" t="s">
        <v>247</v>
      </c>
      <c r="B118" s="8" t="s">
        <v>47</v>
      </c>
      <c r="C118" s="8" t="s">
        <v>48</v>
      </c>
      <c r="D118" s="8" t="s">
        <v>49</v>
      </c>
      <c r="E118" s="8" t="s">
        <v>169</v>
      </c>
      <c r="F118" s="8" t="s">
        <v>356</v>
      </c>
      <c r="G118" s="8" t="s">
        <v>174</v>
      </c>
      <c r="H118" s="8" t="str">
        <f ca="1">IFERROR(__xludf.DUMMYFUNCTION("VLOOKUP(G118, IMPORTRANGE(""https://docs.google.com/spreadsheets/d/14deopnvwcrKtEGCKuYXdUHJbeLDZlkiSSWWT0g7x2pM/edit#gid=999382323"", ""LU List Maths (Filter)!A:B""), 2, FALSE)"),"Represent fractions using numbers, figures or words")</f>
        <v>Represent fractions using numbers, figures or words</v>
      </c>
      <c r="I118" s="10" t="str">
        <f t="shared" si="0"/>
        <v>LU000279.001</v>
      </c>
      <c r="J118" s="10" t="str">
        <f ca="1">IFERROR(__xludf.DUMMYFUNCTION("VLOOKUP(I118, IMPORTRANGE(""https://docs.google.com/spreadsheets/d/1yDAaXNsi4Mr5FtRQL4tbmSdIzhx6_m4wkOD7IG-k_eo/edit#gid=0"", ""Maths!M:N""), 2, FALSE)"),"Recall the method of representing fractions using numbers, figures, or words.")</f>
        <v>Recall the method of representing fractions using numbers, figures, or words.</v>
      </c>
      <c r="K118" s="10" t="str">
        <f t="shared" si="1"/>
        <v>LU000279.002</v>
      </c>
      <c r="L118" s="10" t="str">
        <f ca="1">IFERROR(__xludf.DUMMYFUNCTION("VLOOKUP(K118, IMPORTRANGE(""https://docs.google.com/spreadsheets/d/1yDAaXNsi4Mr5FtRQL4tbmSdIzhx6_m4wkOD7IG-k_eo/edit#gid=0"", ""Maths!M:N""), 2, FALSE)"),"Represent various fractions using numbers, figures or words.")</f>
        <v>Represent various fractions using numbers, figures or words.</v>
      </c>
      <c r="M118" s="10" t="str">
        <f t="shared" si="2"/>
        <v>LU000279.003</v>
      </c>
      <c r="N118" s="10" t="str">
        <f ca="1">IFERROR(__xludf.DUMMYFUNCTION("VLOOKUP(M118, IMPORTRANGE(""https://docs.google.com/spreadsheets/d/1yDAaXNsi4Mr5FtRQL4tbmSdIzhx6_m4wkOD7IG-k_eo/edit#gid=0"", ""Maths!M:N""), 2, FALSE)"),"Identify the fractions represented by the shaded portion in a given figure.")</f>
        <v>Identify the fractions represented by the shaded portion in a given figure.</v>
      </c>
      <c r="O118" s="10" t="str">
        <f t="shared" si="3"/>
        <v>LU000279.004</v>
      </c>
      <c r="P118" s="10" t="str">
        <f ca="1">IFERROR(__xludf.DUMMYFUNCTION("VLOOKUP(O118, IMPORTRANGE(""https://docs.google.com/spreadsheets/d/1yDAaXNsi4Mr5FtRQL4tbmSdIzhx6_m4wkOD7IG-k_eo/edit#gid=0"", ""Maths!M:N""), 2, FALSE)"),"Colour the parts of a figure according to the given fraction.")</f>
        <v>Colour the parts of a figure according to the given fraction.</v>
      </c>
      <c r="Q118" s="10" t="str">
        <f t="shared" si="4"/>
        <v>LU000279.005</v>
      </c>
      <c r="R118" s="10" t="str">
        <f ca="1">IFERROR(__xludf.DUMMYFUNCTION("VLOOKUP(Q118, IMPORTRANGE(""https://docs.google.com/spreadsheets/d/1yDAaXNsi4Mr5FtRQL4tbmSdIzhx6_m4wkOD7IG-k_eo/edit#gid=0"", ""Maths!M:N""), 2, FALSE)"),"#N/A")</f>
        <v>#N/A</v>
      </c>
      <c r="S118" s="10" t="str">
        <f t="shared" si="5"/>
        <v>LU000279.006</v>
      </c>
      <c r="T118" s="10" t="str">
        <f ca="1">IFERROR(__xludf.DUMMYFUNCTION("VLOOKUP(S118, IMPORTRANGE(""https://docs.google.com/spreadsheets/d/1yDAaXNsi4Mr5FtRQL4tbmSdIzhx6_m4wkOD7IG-k_eo/edit#gid=0"", ""Maths!M:N""), 2, FALSE)"),"Construct a visual model to represent a fraction.")</f>
        <v>Construct a visual model to represent a fraction.</v>
      </c>
      <c r="U118" s="11">
        <f ca="1">IFERROR(__xludf.DUMMYFUNCTION("ArrayFormula(VLOOKUP(G118, IMPORTRANGE(""https://docs.google.com/spreadsheets/d/1p7R4vtkWt5VOBim4ltsDG9KTzSjrtKXsMtQGXPHyND0/edit#gid=795171502"", ""'Filter 30_05_2024'!A1:M2000""), {2, 3, 4, 5,6,7,8,9,10,11,12,13}, 0))"),6)</f>
        <v>6</v>
      </c>
      <c r="V118" s="11">
        <f ca="1">IFERROR(__xludf.DUMMYFUNCTION("""COMPUTED_VALUE"""),3)</f>
        <v>3</v>
      </c>
      <c r="W118" s="11">
        <f ca="1">IFERROR(__xludf.DUMMYFUNCTION("""COMPUTED_VALUE"""),1)</f>
        <v>1</v>
      </c>
      <c r="X118" s="11">
        <f ca="1">IFERROR(__xludf.DUMMYFUNCTION("""COMPUTED_VALUE"""),10)</f>
        <v>10</v>
      </c>
      <c r="Y118" s="11">
        <f ca="1">IFERROR(__xludf.DUMMYFUNCTION("""COMPUTED_VALUE"""),6)</f>
        <v>6</v>
      </c>
      <c r="Z118" s="29">
        <f ca="1">IFERROR(__xludf.DUMMYFUNCTION("""COMPUTED_VALUE"""),6)</f>
        <v>6</v>
      </c>
      <c r="AA118" s="29">
        <f ca="1">IFERROR(__xludf.DUMMYFUNCTION("""COMPUTED_VALUE"""),2)</f>
        <v>2</v>
      </c>
      <c r="AB118" s="12">
        <f ca="1">IFERROR(__xludf.DUMMYFUNCTION("""COMPUTED_VALUE"""),14)</f>
        <v>14</v>
      </c>
      <c r="AC118" s="12"/>
      <c r="AD118" s="12"/>
      <c r="AE118" s="12"/>
      <c r="AF118" s="12"/>
      <c r="AG118" s="13" t="str">
        <f ca="1">IFERROR(__xludf.DUMMYFUNCTION("ArrayFormula(VLOOKUP(G118, IMPORTRANGE(""https://docs.google.com/spreadsheets/d/1Co934fvtviyaRiMsrIlT05Jaq7iiYq07aLvRr35KA48/edit?gid=173865642#gid=173865642"", ""'G6_Maths_Pri_LU'!G2:V2000""), {3, 4, 5, 6, 7, 8, 9, 10, 11, 12, 13, 14, 15, 16}, 0))"),"LU000278")</f>
        <v>LU000278</v>
      </c>
      <c r="AH118" s="13" t="str">
        <f ca="1">IFERROR(__xludf.DUMMYFUNCTION("""COMPUTED_VALUE"""),"Definition of fraction")</f>
        <v>Definition of fraction</v>
      </c>
      <c r="AI118" s="13" t="str">
        <f ca="1">IFERROR(__xludf.DUMMYFUNCTION("""COMPUTED_VALUE"""),"LU000044")</f>
        <v>LU000044</v>
      </c>
      <c r="AJ118" s="13" t="str">
        <f ca="1">IFERROR(__xludf.DUMMYFUNCTION("""COMPUTED_VALUE"""),"Representation of fraction (1/2, 1/3, 1/4, 1/5, 1/10) visually")</f>
        <v>Representation of fraction (1/2, 1/3, 1/4, 1/5, 1/10) visually</v>
      </c>
      <c r="AK118" s="13" t="str">
        <f ca="1">IFERROR(__xludf.DUMMYFUNCTION("""COMPUTED_VALUE"""),"LU000045")</f>
        <v>LU000045</v>
      </c>
      <c r="AL118" s="13" t="str">
        <f ca="1">IFERROR(__xludf.DUMMYFUNCTION("""COMPUTED_VALUE"""),"Representation of fraction (1/2, 1/3, 1/4, 1/5, 1/10) symbolically")</f>
        <v>Representation of fraction (1/2, 1/3, 1/4, 1/5, 1/10) symbolically</v>
      </c>
      <c r="AM118" s="13"/>
      <c r="AN118" s="13"/>
      <c r="AO118" s="13"/>
      <c r="AP118" s="13"/>
      <c r="AQ118" s="13"/>
      <c r="AR118" s="13"/>
      <c r="AS118" s="13"/>
      <c r="AT118" s="13"/>
    </row>
    <row r="119" spans="1:46">
      <c r="A119" s="8" t="s">
        <v>247</v>
      </c>
      <c r="B119" s="8" t="s">
        <v>47</v>
      </c>
      <c r="C119" s="8" t="s">
        <v>48</v>
      </c>
      <c r="D119" s="8" t="s">
        <v>49</v>
      </c>
      <c r="E119" s="8" t="s">
        <v>169</v>
      </c>
      <c r="F119" s="8" t="s">
        <v>356</v>
      </c>
      <c r="G119" s="8" t="s">
        <v>175</v>
      </c>
      <c r="H119" s="8" t="str">
        <f ca="1">IFERROR(__xludf.DUMMYFUNCTION("VLOOKUP(G119, IMPORTRANGE(""https://docs.google.com/spreadsheets/d/14deopnvwcrKtEGCKuYXdUHJbeLDZlkiSSWWT0g7x2pM/edit#gid=999382323"", ""LU List Maths (Filter)!A:B""), 2, FALSE)"),"Representation of fractions on a number line")</f>
        <v>Representation of fractions on a number line</v>
      </c>
      <c r="I119" s="10" t="str">
        <f t="shared" si="0"/>
        <v>LU000280.001</v>
      </c>
      <c r="J119" s="10" t="str">
        <f ca="1">IFERROR(__xludf.DUMMYFUNCTION("VLOOKUP(I119, IMPORTRANGE(""https://docs.google.com/spreadsheets/d/1yDAaXNsi4Mr5FtRQL4tbmSdIzhx6_m4wkOD7IG-k_eo/edit#gid=0"", ""Maths!M:N""), 2, FALSE)"),"Recall the concept of representing fractions on a number line using divisions between whole numbers.")</f>
        <v>Recall the concept of representing fractions on a number line using divisions between whole numbers.</v>
      </c>
      <c r="K119" s="10" t="str">
        <f t="shared" si="1"/>
        <v>LU000280.002</v>
      </c>
      <c r="L119" s="10" t="str">
        <f ca="1">IFERROR(__xludf.DUMMYFUNCTION("VLOOKUP(K119, IMPORTRANGE(""https://docs.google.com/spreadsheets/d/1yDAaXNsi4Mr5FtRQL4tbmSdIzhx6_m4wkOD7IG-k_eo/edit#gid=0"", ""Maths!M:N""), 2, FALSE)"),"Identify fractions on a number line.")</f>
        <v>Identify fractions on a number line.</v>
      </c>
      <c r="M119" s="10" t="str">
        <f t="shared" si="2"/>
        <v>LU000280.003</v>
      </c>
      <c r="N119" s="10" t="str">
        <f ca="1">IFERROR(__xludf.DUMMYFUNCTION("VLOOKUP(M119, IMPORTRANGE(""https://docs.google.com/spreadsheets/d/1yDAaXNsi4Mr5FtRQL4tbmSdIzhx6_m4wkOD7IG-k_eo/edit#gid=0"", ""Maths!M:N""), 2, FALSE)"),"Represent fractions on the number line.")</f>
        <v>Represent fractions on the number line.</v>
      </c>
      <c r="O119" s="10" t="str">
        <f t="shared" si="3"/>
        <v>LU000280.004</v>
      </c>
      <c r="P119" s="10" t="str">
        <f ca="1">IFERROR(__xludf.DUMMYFUNCTION("VLOOKUP(O119, IMPORTRANGE(""https://docs.google.com/spreadsheets/d/1yDAaXNsi4Mr5FtRQL4tbmSdIzhx6_m4wkOD7IG-k_eo/edit#gid=0"", ""Maths!M:N""), 2, FALSE)"),"Analyse the relationship between the position of fractions on a number line and their numerical values.")</f>
        <v>Analyse the relationship between the position of fractions on a number line and their numerical values.</v>
      </c>
      <c r="Q119" s="10" t="str">
        <f t="shared" si="4"/>
        <v>LU000280.005</v>
      </c>
      <c r="R119" s="10" t="str">
        <f ca="1">IFERROR(__xludf.DUMMYFUNCTION("VLOOKUP(Q119, IMPORTRANGE(""https://docs.google.com/spreadsheets/d/1yDAaXNsi4Mr5FtRQL4tbmSdIzhx6_m4wkOD7IG-k_eo/edit#gid=0"", ""Maths!M:N""), 2, FALSE)"),"#N/A")</f>
        <v>#N/A</v>
      </c>
      <c r="S119" s="10" t="str">
        <f t="shared" si="5"/>
        <v>LU000280.006</v>
      </c>
      <c r="T119" s="10" t="str">
        <f ca="1">IFERROR(__xludf.DUMMYFUNCTION("VLOOKUP(S119, IMPORTRANGE(""https://docs.google.com/spreadsheets/d/1yDAaXNsi4Mr5FtRQL4tbmSdIzhx6_m4wkOD7IG-k_eo/edit#gid=0"", ""Maths!M:N""), 2, FALSE)"),"#N/A")</f>
        <v>#N/A</v>
      </c>
      <c r="U119" s="11">
        <f ca="1">IFERROR(__xludf.DUMMYFUNCTION("ArrayFormula(VLOOKUP(G119, IMPORTRANGE(""https://docs.google.com/spreadsheets/d/1p7R4vtkWt5VOBim4ltsDG9KTzSjrtKXsMtQGXPHyND0/edit#gid=795171502"", ""'Filter 30_05_2024'!A1:M2000""), {2, 3, 4, 5,6,7,8,9,10,11,12,13}, 0))"),7)</f>
        <v>7</v>
      </c>
      <c r="V119" s="11">
        <f ca="1">IFERROR(__xludf.DUMMYFUNCTION("""COMPUTED_VALUE"""),6)</f>
        <v>6</v>
      </c>
      <c r="W119" s="11">
        <f ca="1">IFERROR(__xludf.DUMMYFUNCTION("""COMPUTED_VALUE"""),6)</f>
        <v>6</v>
      </c>
      <c r="X119" s="11">
        <f ca="1">IFERROR(__xludf.DUMMYFUNCTION("""COMPUTED_VALUE"""),19)</f>
        <v>19</v>
      </c>
      <c r="Y119" s="11">
        <f ca="1">IFERROR(__xludf.DUMMYFUNCTION("""COMPUTED_VALUE"""),6)</f>
        <v>6</v>
      </c>
      <c r="Z119" s="29">
        <f ca="1">IFERROR(__xludf.DUMMYFUNCTION("""COMPUTED_VALUE"""),3)</f>
        <v>3</v>
      </c>
      <c r="AA119" s="29">
        <f ca="1">IFERROR(__xludf.DUMMYFUNCTION("""COMPUTED_VALUE"""),1)</f>
        <v>1</v>
      </c>
      <c r="AB119" s="12">
        <f ca="1">IFERROR(__xludf.DUMMYFUNCTION("""COMPUTED_VALUE"""),10)</f>
        <v>10</v>
      </c>
      <c r="AC119" s="12"/>
      <c r="AD119" s="12"/>
      <c r="AE119" s="12"/>
      <c r="AF119" s="12"/>
      <c r="AG119" s="13" t="str">
        <f ca="1">IFERROR(__xludf.DUMMYFUNCTION("ArrayFormula(VLOOKUP(G119, IMPORTRANGE(""https://docs.google.com/spreadsheets/d/1Co934fvtviyaRiMsrIlT05Jaq7iiYq07aLvRr35KA48/edit?gid=173865642#gid=173865642"", ""'G6_Maths_Pri_LU'!G2:V2000""), {3, 4, 5, 6, 7, 8, 9, 10, 11, 12, 13, 14, 15, 16}, 0))"),"LU000278")</f>
        <v>LU000278</v>
      </c>
      <c r="AH119" s="13" t="str">
        <f ca="1">IFERROR(__xludf.DUMMYFUNCTION("""COMPUTED_VALUE"""),"Definition of fraction")</f>
        <v>Definition of fraction</v>
      </c>
      <c r="AI119" s="13" t="str">
        <f ca="1">IFERROR(__xludf.DUMMYFUNCTION("""COMPUTED_VALUE"""),"LU000179")</f>
        <v>LU000179</v>
      </c>
      <c r="AJ119" s="13" t="str">
        <f ca="1">IFERROR(__xludf.DUMMYFUNCTION("""COMPUTED_VALUE"""),"Representation of whole numbers on a number line")</f>
        <v>Representation of whole numbers on a number line</v>
      </c>
      <c r="AK119" s="13" t="str">
        <f ca="1">IFERROR(__xludf.DUMMYFUNCTION("""COMPUTED_VALUE"""),"LU000279")</f>
        <v>LU000279</v>
      </c>
      <c r="AL119" s="13" t="str">
        <f ca="1">IFERROR(__xludf.DUMMYFUNCTION("""COMPUTED_VALUE"""),"Represent fractions using numbers, figures or words")</f>
        <v>Represent fractions using numbers, figures or words</v>
      </c>
      <c r="AM119" s="13"/>
      <c r="AN119" s="13"/>
      <c r="AO119" s="13"/>
      <c r="AP119" s="13"/>
      <c r="AQ119" s="13"/>
      <c r="AR119" s="13"/>
      <c r="AS119" s="13"/>
      <c r="AT119" s="13"/>
    </row>
    <row r="120" spans="1:46">
      <c r="A120" s="8" t="s">
        <v>247</v>
      </c>
      <c r="B120" s="8" t="s">
        <v>47</v>
      </c>
      <c r="C120" s="8" t="s">
        <v>48</v>
      </c>
      <c r="D120" s="8" t="s">
        <v>49</v>
      </c>
      <c r="E120" s="8" t="s">
        <v>169</v>
      </c>
      <c r="F120" s="8" t="s">
        <v>357</v>
      </c>
      <c r="G120" s="8" t="s">
        <v>358</v>
      </c>
      <c r="H120" s="8" t="str">
        <f ca="1">IFERROR(__xludf.DUMMYFUNCTION("VLOOKUP(G120, IMPORTRANGE(""https://docs.google.com/spreadsheets/d/14deopnvwcrKtEGCKuYXdUHJbeLDZlkiSSWWT0g7x2pM/edit#gid=999382323"", ""LU List Maths (Filter)!A:B""), 2, FALSE)"),"Definition of proper fractions")</f>
        <v>Definition of proper fractions</v>
      </c>
      <c r="I120" s="10" t="str">
        <f t="shared" si="0"/>
        <v>LU000281.001</v>
      </c>
      <c r="J120" s="10" t="str">
        <f ca="1">IFERROR(__xludf.DUMMYFUNCTION("VLOOKUP(I120, IMPORTRANGE(""https://docs.google.com/spreadsheets/d/1yDAaXNsi4Mr5FtRQL4tbmSdIzhx6_m4wkOD7IG-k_eo/edit#gid=0"", ""Maths!M:N""), 2, FALSE)"),"Define proper fractions with examples.")</f>
        <v>Define proper fractions with examples.</v>
      </c>
      <c r="K120" s="10" t="str">
        <f t="shared" si="1"/>
        <v>LU000281.002</v>
      </c>
      <c r="L120" s="10" t="str">
        <f ca="1">IFERROR(__xludf.DUMMYFUNCTION("VLOOKUP(K120, IMPORTRANGE(""https://docs.google.com/spreadsheets/d/1yDAaXNsi4Mr5FtRQL4tbmSdIzhx6_m4wkOD7IG-k_eo/edit#gid=0"", ""Maths!M:N""), 2, FALSE)"),"Identify proper fractions from the given set of fractions.")</f>
        <v>Identify proper fractions from the given set of fractions.</v>
      </c>
      <c r="M120" s="10" t="str">
        <f t="shared" si="2"/>
        <v>LU000281.003</v>
      </c>
      <c r="N120" s="10" t="str">
        <f ca="1">IFERROR(__xludf.DUMMYFUNCTION("VLOOKUP(M120, IMPORTRANGE(""https://docs.google.com/spreadsheets/d/1yDAaXNsi4Mr5FtRQL4tbmSdIzhx6_m4wkOD7IG-k_eo/edit#gid=0"", ""Maths!M:N""), 2, FALSE)"),"Represent proper fractions visually.")</f>
        <v>Represent proper fractions visually.</v>
      </c>
      <c r="O120" s="10" t="str">
        <f t="shared" si="3"/>
        <v>LU000281.004</v>
      </c>
      <c r="P120" s="10" t="str">
        <f ca="1">IFERROR(__xludf.DUMMYFUNCTION("VLOOKUP(O120, IMPORTRANGE(""https://docs.google.com/spreadsheets/d/1yDAaXNsi4Mr5FtRQL4tbmSdIzhx6_m4wkOD7IG-k_eo/edit#gid=0"", ""Maths!M:N""), 2, FALSE)"),"Write a proper fraction whose numerator and denominator satisfy a given condition.")</f>
        <v>Write a proper fraction whose numerator and denominator satisfy a given condition.</v>
      </c>
      <c r="Q120" s="10" t="str">
        <f t="shared" si="4"/>
        <v>LU000281.005</v>
      </c>
      <c r="R120" s="10" t="str">
        <f ca="1">IFERROR(__xludf.DUMMYFUNCTION("VLOOKUP(Q120, IMPORTRANGE(""https://docs.google.com/spreadsheets/d/1yDAaXNsi4Mr5FtRQL4tbmSdIzhx6_m4wkOD7IG-k_eo/edit#gid=0"", ""Maths!M:N""), 2, FALSE)"),"Importance of proper fractions in representing parts of a whole and their relevance in real-world scenarios.")</f>
        <v>Importance of proper fractions in representing parts of a whole and their relevance in real-world scenarios.</v>
      </c>
      <c r="S120" s="10" t="str">
        <f t="shared" si="5"/>
        <v>LU000281.006</v>
      </c>
      <c r="T120" s="10" t="str">
        <f ca="1">IFERROR(__xludf.DUMMYFUNCTION("VLOOKUP(S120, IMPORTRANGE(""https://docs.google.com/spreadsheets/d/1yDAaXNsi4Mr5FtRQL4tbmSdIzhx6_m4wkOD7IG-k_eo/edit#gid=0"", ""Maths!M:N""), 2, FALSE)"),"Develop real life examples of proper fractions and illustrate their representation using visual aids.")</f>
        <v>Develop real life examples of proper fractions and illustrate their representation using visual aids.</v>
      </c>
      <c r="U120" s="11">
        <f ca="1">IFERROR(__xludf.DUMMYFUNCTION("ArrayFormula(VLOOKUP(G120, IMPORTRANGE(""https://docs.google.com/spreadsheets/d/1p7R4vtkWt5VOBim4ltsDG9KTzSjrtKXsMtQGXPHyND0/edit#gid=795171502"", ""'Filter 30_05_2024'!A1:M2000""), {2, 3, 4, 5,6,7,8,9,10,11,12,13}, 0))"),5)</f>
        <v>5</v>
      </c>
      <c r="V120" s="11">
        <f ca="1">IFERROR(__xludf.DUMMYFUNCTION("""COMPUTED_VALUE"""),6)</f>
        <v>6</v>
      </c>
      <c r="W120" s="11">
        <f ca="1">IFERROR(__xludf.DUMMYFUNCTION("""COMPUTED_VALUE"""),10)</f>
        <v>10</v>
      </c>
      <c r="X120" s="11">
        <f ca="1">IFERROR(__xludf.DUMMYFUNCTION("""COMPUTED_VALUE"""),21)</f>
        <v>21</v>
      </c>
      <c r="Y120" s="11">
        <f ca="1">IFERROR(__xludf.DUMMYFUNCTION("""COMPUTED_VALUE"""),12)</f>
        <v>12</v>
      </c>
      <c r="Z120" s="29">
        <f ca="1">IFERROR(__xludf.DUMMYFUNCTION("""COMPUTED_VALUE"""),3)</f>
        <v>3</v>
      </c>
      <c r="AA120" s="29">
        <f ca="1">IFERROR(__xludf.DUMMYFUNCTION("""COMPUTED_VALUE"""),4)</f>
        <v>4</v>
      </c>
      <c r="AB120" s="12">
        <f ca="1">IFERROR(__xludf.DUMMYFUNCTION("""COMPUTED_VALUE"""),19)</f>
        <v>19</v>
      </c>
      <c r="AC120" s="12"/>
      <c r="AD120" s="12"/>
      <c r="AE120" s="12"/>
      <c r="AF120" s="12"/>
      <c r="AG120" s="13" t="str">
        <f ca="1">IFERROR(__xludf.DUMMYFUNCTION("ArrayFormula(VLOOKUP(G120, IMPORTRANGE(""https://docs.google.com/spreadsheets/d/1Co934fvtviyaRiMsrIlT05Jaq7iiYq07aLvRr35KA48/edit?gid=173865642#gid=173865642"", ""'G6_Maths_Pri_LU'!G2:V2000""), {3, 4, 5, 6, 7, 8, 9, 10, 11, 12, 13, 14, 15, 16}, 0))"),"LU000280")</f>
        <v>LU000280</v>
      </c>
      <c r="AH120" s="13" t="str">
        <f ca="1">IFERROR(__xludf.DUMMYFUNCTION("""COMPUTED_VALUE"""),"Representation of fractions on a number line")</f>
        <v>Representation of fractions on a number line</v>
      </c>
      <c r="AI120" s="13" t="str">
        <f ca="1">IFERROR(__xludf.DUMMYFUNCTION("""COMPUTED_VALUE"""),"LU000278")</f>
        <v>LU000278</v>
      </c>
      <c r="AJ120" s="13" t="str">
        <f ca="1">IFERROR(__xludf.DUMMYFUNCTION("""COMPUTED_VALUE"""),"Definition of fraction")</f>
        <v>Definition of fraction</v>
      </c>
      <c r="AK120" s="13"/>
      <c r="AL120" s="13"/>
      <c r="AM120" s="13"/>
      <c r="AN120" s="13"/>
      <c r="AO120" s="13"/>
      <c r="AP120" s="13"/>
      <c r="AQ120" s="13"/>
      <c r="AR120" s="13"/>
      <c r="AS120" s="13"/>
      <c r="AT120" s="13"/>
    </row>
    <row r="121" spans="1:46">
      <c r="A121" s="8" t="s">
        <v>247</v>
      </c>
      <c r="B121" s="8" t="s">
        <v>47</v>
      </c>
      <c r="C121" s="8" t="s">
        <v>48</v>
      </c>
      <c r="D121" s="8" t="s">
        <v>49</v>
      </c>
      <c r="E121" s="8" t="s">
        <v>169</v>
      </c>
      <c r="F121" s="8" t="s">
        <v>357</v>
      </c>
      <c r="G121" s="8" t="s">
        <v>359</v>
      </c>
      <c r="H121" s="8" t="str">
        <f ca="1">IFERROR(__xludf.DUMMYFUNCTION("VLOOKUP(G121, IMPORTRANGE(""https://docs.google.com/spreadsheets/d/14deopnvwcrKtEGCKuYXdUHJbeLDZlkiSSWWT0g7x2pM/edit#gid=999382323"", ""LU List Maths (Filter)!A:B""), 2, FALSE)"),"Definition of improper fractions")</f>
        <v>Definition of improper fractions</v>
      </c>
      <c r="I121" s="10" t="str">
        <f t="shared" si="0"/>
        <v>LU000282.001</v>
      </c>
      <c r="J121" s="10" t="str">
        <f ca="1">IFERROR(__xludf.DUMMYFUNCTION("VLOOKUP(I121, IMPORTRANGE(""https://docs.google.com/spreadsheets/d/1yDAaXNsi4Mr5FtRQL4tbmSdIzhx6_m4wkOD7IG-k_eo/edit#gid=0"", ""Maths!M:N""), 2, FALSE)"),"Define improper fractions with examples.")</f>
        <v>Define improper fractions with examples.</v>
      </c>
      <c r="K121" s="10" t="str">
        <f t="shared" si="1"/>
        <v>LU000282.002</v>
      </c>
      <c r="L121" s="10" t="str">
        <f ca="1">IFERROR(__xludf.DUMMYFUNCTION("VLOOKUP(K121, IMPORTRANGE(""https://docs.google.com/spreadsheets/d/1yDAaXNsi4Mr5FtRQL4tbmSdIzhx6_m4wkOD7IG-k_eo/edit#gid=0"", ""Maths!M:N""), 2, FALSE)"),"Identify improper fractions from the given set of fractions.")</f>
        <v>Identify improper fractions from the given set of fractions.</v>
      </c>
      <c r="M121" s="10" t="str">
        <f t="shared" si="2"/>
        <v>LU000282.003</v>
      </c>
      <c r="N121" s="10" t="str">
        <f ca="1">IFERROR(__xludf.DUMMYFUNCTION("VLOOKUP(M121, IMPORTRANGE(""https://docs.google.com/spreadsheets/d/1yDAaXNsi4Mr5FtRQL4tbmSdIzhx6_m4wkOD7IG-k_eo/edit#gid=0"", ""Maths!M:N""), 2, FALSE)"),"Represent improper fractions visually.")</f>
        <v>Represent improper fractions visually.</v>
      </c>
      <c r="O121" s="10" t="str">
        <f t="shared" si="3"/>
        <v>LU000282.004</v>
      </c>
      <c r="P121" s="10" t="str">
        <f ca="1">IFERROR(__xludf.DUMMYFUNCTION("VLOOKUP(O121, IMPORTRANGE(""https://docs.google.com/spreadsheets/d/1yDAaXNsi4Mr5FtRQL4tbmSdIzhx6_m4wkOD7IG-k_eo/edit#gid=0"", ""Maths!M:N""), 2, FALSE)"),"Write a improper fraction whose numerator and denominator satisfy a given condition.")</f>
        <v>Write a improper fraction whose numerator and denominator satisfy a given condition.</v>
      </c>
      <c r="Q121" s="10" t="str">
        <f t="shared" si="4"/>
        <v>LU000282.005</v>
      </c>
      <c r="R121" s="10" t="str">
        <f ca="1">IFERROR(__xludf.DUMMYFUNCTION("VLOOKUP(Q121, IMPORTRANGE(""https://docs.google.com/spreadsheets/d/1yDAaXNsi4Mr5FtRQL4tbmSdIzhx6_m4wkOD7IG-k_eo/edit#gid=0"", ""Maths!M:N""), 2, FALSE)"),"Evaluate the significance of improper fractions in representing quantities greater than a whole and their relevance in real-world scenarios.")</f>
        <v>Evaluate the significance of improper fractions in representing quantities greater than a whole and their relevance in real-world scenarios.</v>
      </c>
      <c r="S121" s="10" t="str">
        <f t="shared" si="5"/>
        <v>LU000282.006</v>
      </c>
      <c r="T121" s="10" t="str">
        <f ca="1">IFERROR(__xludf.DUMMYFUNCTION("VLOOKUP(S121, IMPORTRANGE(""https://docs.google.com/spreadsheets/d/1yDAaXNsi4Mr5FtRQL4tbmSdIzhx6_m4wkOD7IG-k_eo/edit#gid=0"", ""Maths!M:N""), 2, FALSE)"),"Develop real life examples of improper fractions and illustrate their representation using visual aids.")</f>
        <v>Develop real life examples of improper fractions and illustrate their representation using visual aids.</v>
      </c>
      <c r="U121" s="11">
        <f ca="1">IFERROR(__xludf.DUMMYFUNCTION("ArrayFormula(VLOOKUP(G121, IMPORTRANGE(""https://docs.google.com/spreadsheets/d/1p7R4vtkWt5VOBim4ltsDG9KTzSjrtKXsMtQGXPHyND0/edit#gid=795171502"", ""'Filter 30_05_2024'!A1:M2000""), {2, 3, 4, 5,6,7,8,9,10,11,12,13}, 0))"),6)</f>
        <v>6</v>
      </c>
      <c r="V121" s="11">
        <f ca="1">IFERROR(__xludf.DUMMYFUNCTION("""COMPUTED_VALUE"""),9)</f>
        <v>9</v>
      </c>
      <c r="W121" s="11">
        <f ca="1">IFERROR(__xludf.DUMMYFUNCTION("""COMPUTED_VALUE"""),2)</f>
        <v>2</v>
      </c>
      <c r="X121" s="11">
        <f ca="1">IFERROR(__xludf.DUMMYFUNCTION("""COMPUTED_VALUE"""),17)</f>
        <v>17</v>
      </c>
      <c r="Y121" s="11">
        <f ca="1">IFERROR(__xludf.DUMMYFUNCTION("""COMPUTED_VALUE"""),2)</f>
        <v>2</v>
      </c>
      <c r="Z121" s="29">
        <f ca="1">IFERROR(__xludf.DUMMYFUNCTION("""COMPUTED_VALUE"""),3)</f>
        <v>3</v>
      </c>
      <c r="AA121" s="29"/>
      <c r="AB121" s="12">
        <f ca="1">IFERROR(__xludf.DUMMYFUNCTION("""COMPUTED_VALUE"""),5)</f>
        <v>5</v>
      </c>
      <c r="AC121" s="12"/>
      <c r="AD121" s="12"/>
      <c r="AE121" s="12"/>
      <c r="AF121" s="12"/>
      <c r="AG121" s="13" t="str">
        <f ca="1">IFERROR(__xludf.DUMMYFUNCTION("ArrayFormula(VLOOKUP(G121, IMPORTRANGE(""https://docs.google.com/spreadsheets/d/1Co934fvtviyaRiMsrIlT05Jaq7iiYq07aLvRr35KA48/edit?gid=173865642#gid=173865642"", ""'G6_Maths_Pri_LU'!G2:V2000""), {3, 4, 5, 6, 7, 8, 9, 10, 11, 12, 13, 14, 15, 16}, 0))"),"LU000280")</f>
        <v>LU000280</v>
      </c>
      <c r="AH121" s="13" t="str">
        <f ca="1">IFERROR(__xludf.DUMMYFUNCTION("""COMPUTED_VALUE"""),"Representation of fractions on a number line")</f>
        <v>Representation of fractions on a number line</v>
      </c>
      <c r="AI121" s="13" t="str">
        <f ca="1">IFERROR(__xludf.DUMMYFUNCTION("""COMPUTED_VALUE"""),"LU000278")</f>
        <v>LU000278</v>
      </c>
      <c r="AJ121" s="13" t="str">
        <f ca="1">IFERROR(__xludf.DUMMYFUNCTION("""COMPUTED_VALUE"""),"Definition of fraction")</f>
        <v>Definition of fraction</v>
      </c>
      <c r="AK121" s="13"/>
      <c r="AL121" s="13"/>
      <c r="AM121" s="13"/>
      <c r="AN121" s="13"/>
      <c r="AO121" s="13"/>
      <c r="AP121" s="13"/>
      <c r="AQ121" s="13"/>
      <c r="AR121" s="13"/>
      <c r="AS121" s="13"/>
      <c r="AT121" s="13"/>
    </row>
    <row r="122" spans="1:46">
      <c r="A122" s="8" t="s">
        <v>247</v>
      </c>
      <c r="B122" s="8" t="s">
        <v>47</v>
      </c>
      <c r="C122" s="8" t="s">
        <v>48</v>
      </c>
      <c r="D122" s="8" t="s">
        <v>49</v>
      </c>
      <c r="E122" s="8" t="s">
        <v>169</v>
      </c>
      <c r="F122" s="8" t="s">
        <v>357</v>
      </c>
      <c r="G122" s="8" t="s">
        <v>179</v>
      </c>
      <c r="H122" s="8" t="str">
        <f ca="1">IFERROR(__xludf.DUMMYFUNCTION("VLOOKUP(G122, IMPORTRANGE(""https://docs.google.com/spreadsheets/d/14deopnvwcrKtEGCKuYXdUHJbeLDZlkiSSWWT0g7x2pM/edit#gid=999382323"", ""LU List Maths (Filter)!A:B""), 2, FALSE)"),"Definition of mixed fractions")</f>
        <v>Definition of mixed fractions</v>
      </c>
      <c r="I122" s="10" t="str">
        <f t="shared" si="0"/>
        <v>LU000283.001</v>
      </c>
      <c r="J122" s="10" t="str">
        <f ca="1">IFERROR(__xludf.DUMMYFUNCTION("VLOOKUP(I122, IMPORTRANGE(""https://docs.google.com/spreadsheets/d/1yDAaXNsi4Mr5FtRQL4tbmSdIzhx6_m4wkOD7IG-k_eo/edit#gid=0"", ""Maths!M:N""), 2, FALSE)"),"Define a mixed fraction with examples.")</f>
        <v>Define a mixed fraction with examples.</v>
      </c>
      <c r="K122" s="10" t="str">
        <f t="shared" si="1"/>
        <v>LU000283.002</v>
      </c>
      <c r="L122" s="10" t="str">
        <f ca="1">IFERROR(__xludf.DUMMYFUNCTION("VLOOKUP(K122, IMPORTRANGE(""https://docs.google.com/spreadsheets/d/1yDAaXNsi4Mr5FtRQL4tbmSdIzhx6_m4wkOD7IG-k_eo/edit#gid=0"", ""Maths!M:N""), 2, FALSE)"),"Identify a mixed fraction from a set of given fractions.")</f>
        <v>Identify a mixed fraction from a set of given fractions.</v>
      </c>
      <c r="M122" s="10" t="str">
        <f t="shared" si="2"/>
        <v>LU000283.003</v>
      </c>
      <c r="N122" s="10" t="str">
        <f ca="1">IFERROR(__xludf.DUMMYFUNCTION("VLOOKUP(M122, IMPORTRANGE(""https://docs.google.com/spreadsheets/d/1yDAaXNsi4Mr5FtRQL4tbmSdIzhx6_m4wkOD7IG-k_eo/edit#gid=0"", ""Maths!M:N""), 2, FALSE)"),"Recognise mixed fractions as the sum of a whole number and a proper fraction.")</f>
        <v>Recognise mixed fractions as the sum of a whole number and a proper fraction.</v>
      </c>
      <c r="O122" s="10" t="str">
        <f t="shared" si="3"/>
        <v>LU000283.004</v>
      </c>
      <c r="P122" s="10" t="str">
        <f ca="1">IFERROR(__xludf.DUMMYFUNCTION("VLOOKUP(O122, IMPORTRANGE(""https://docs.google.com/spreadsheets/d/1yDAaXNsi4Mr5FtRQL4tbmSdIzhx6_m4wkOD7IG-k_eo/edit#gid=0"", ""Maths!M:N""), 2, FALSE)"),"Analyse mixed fractions to identify the whole number part, the numerator, and the denominator and understand their relationship.")</f>
        <v>Analyse mixed fractions to identify the whole number part, the numerator, and the denominator and understand their relationship.</v>
      </c>
      <c r="Q122" s="10" t="str">
        <f t="shared" si="4"/>
        <v>LU000283.005</v>
      </c>
      <c r="R122" s="10" t="str">
        <f ca="1">IFERROR(__xludf.DUMMYFUNCTION("VLOOKUP(Q122, IMPORTRANGE(""https://docs.google.com/spreadsheets/d/1yDAaXNsi4Mr5FtRQL4tbmSdIzhx6_m4wkOD7IG-k_eo/edit#gid=0"", ""Maths!M:N""), 2, FALSE)"),"Evaluate the significance of mixed fractions in practical situations where whole numbers and fractions are combined.")</f>
        <v>Evaluate the significance of mixed fractions in practical situations where whole numbers and fractions are combined.</v>
      </c>
      <c r="S122" s="10" t="str">
        <f t="shared" si="5"/>
        <v>LU000283.006</v>
      </c>
      <c r="T122" s="10" t="str">
        <f ca="1">IFERROR(__xludf.DUMMYFUNCTION("VLOOKUP(S122, IMPORTRANGE(""https://docs.google.com/spreadsheets/d/1yDAaXNsi4Mr5FtRQL4tbmSdIzhx6_m4wkOD7IG-k_eo/edit#gid=0"", ""Maths!M:N""), 2, FALSE)"),"Write examples of mixed fractions, both in numeric and visual form, showcasing the combination of whole numbers and proper fractions.")</f>
        <v>Write examples of mixed fractions, both in numeric and visual form, showcasing the combination of whole numbers and proper fractions.</v>
      </c>
      <c r="U122" s="11">
        <f ca="1">IFERROR(__xludf.DUMMYFUNCTION("ArrayFormula(VLOOKUP(G122, IMPORTRANGE(""https://docs.google.com/spreadsheets/d/1p7R4vtkWt5VOBim4ltsDG9KTzSjrtKXsMtQGXPHyND0/edit#gid=795171502"", ""'Filter 30_05_2024'!A1:M2000""), {2, 3, 4, 5,6,7,8,9,10,11,12,13}, 0))"),2)</f>
        <v>2</v>
      </c>
      <c r="V122" s="11">
        <f ca="1">IFERROR(__xludf.DUMMYFUNCTION("""COMPUTED_VALUE"""),2)</f>
        <v>2</v>
      </c>
      <c r="W122" s="11">
        <f ca="1">IFERROR(__xludf.DUMMYFUNCTION("""COMPUTED_VALUE"""),2)</f>
        <v>2</v>
      </c>
      <c r="X122" s="11">
        <f ca="1">IFERROR(__xludf.DUMMYFUNCTION("""COMPUTED_VALUE"""),6)</f>
        <v>6</v>
      </c>
      <c r="Y122" s="11">
        <f ca="1">IFERROR(__xludf.DUMMYFUNCTION("""COMPUTED_VALUE"""),6)</f>
        <v>6</v>
      </c>
      <c r="Z122" s="29">
        <f ca="1">IFERROR(__xludf.DUMMYFUNCTION("""COMPUTED_VALUE"""),7)</f>
        <v>7</v>
      </c>
      <c r="AA122" s="29">
        <f ca="1">IFERROR(__xludf.DUMMYFUNCTION("""COMPUTED_VALUE"""),1)</f>
        <v>1</v>
      </c>
      <c r="AB122" s="12">
        <f ca="1">IFERROR(__xludf.DUMMYFUNCTION("""COMPUTED_VALUE"""),14)</f>
        <v>14</v>
      </c>
      <c r="AC122" s="12"/>
      <c r="AD122" s="12"/>
      <c r="AE122" s="12"/>
      <c r="AF122" s="12"/>
      <c r="AG122" s="13" t="str">
        <f ca="1">IFERROR(__xludf.DUMMYFUNCTION("ArrayFormula(VLOOKUP(G122, IMPORTRANGE(""https://docs.google.com/spreadsheets/d/1Co934fvtviyaRiMsrIlT05Jaq7iiYq07aLvRr35KA48/edit?gid=173865642#gid=173865642"", ""'G6_Maths_Pri_LU'!G2:V2000""), {3, 4, 5, 6, 7, 8, 9, 10, 11, 12, 13, 14, 15, 16}, 0))"),"LU000282")</f>
        <v>LU000282</v>
      </c>
      <c r="AH122" s="13" t="str">
        <f ca="1">IFERROR(__xludf.DUMMYFUNCTION("""COMPUTED_VALUE"""),"Definition of improper fractions")</f>
        <v>Definition of improper fractions</v>
      </c>
      <c r="AI122" s="13" t="str">
        <f ca="1">IFERROR(__xludf.DUMMYFUNCTION("""COMPUTED_VALUE"""),"LU000278")</f>
        <v>LU000278</v>
      </c>
      <c r="AJ122" s="13" t="str">
        <f ca="1">IFERROR(__xludf.DUMMYFUNCTION("""COMPUTED_VALUE"""),"Definition of fraction")</f>
        <v>Definition of fraction</v>
      </c>
      <c r="AK122" s="13" t="str">
        <f ca="1">IFERROR(__xludf.DUMMYFUNCTION("""COMPUTED_VALUE"""),"LU000176")</f>
        <v>LU000176</v>
      </c>
      <c r="AL122" s="13" t="str">
        <f ca="1">IFERROR(__xludf.DUMMYFUNCTION("""COMPUTED_VALUE"""),"Definition of whole number")</f>
        <v>Definition of whole number</v>
      </c>
      <c r="AM122" s="13"/>
      <c r="AN122" s="13"/>
      <c r="AO122" s="13"/>
      <c r="AP122" s="13"/>
      <c r="AQ122" s="13"/>
      <c r="AR122" s="13"/>
      <c r="AS122" s="13"/>
      <c r="AT122" s="13"/>
    </row>
    <row r="123" spans="1:46">
      <c r="A123" s="8" t="s">
        <v>247</v>
      </c>
      <c r="B123" s="8" t="s">
        <v>47</v>
      </c>
      <c r="C123" s="8" t="s">
        <v>48</v>
      </c>
      <c r="D123" s="8" t="s">
        <v>49</v>
      </c>
      <c r="E123" s="8" t="s">
        <v>169</v>
      </c>
      <c r="F123" s="8" t="s">
        <v>360</v>
      </c>
      <c r="G123" s="8" t="s">
        <v>181</v>
      </c>
      <c r="H123" s="8" t="str">
        <f ca="1">IFERROR(__xludf.DUMMYFUNCTION("VLOOKUP(G123, IMPORTRANGE(""https://docs.google.com/spreadsheets/d/14deopnvwcrKtEGCKuYXdUHJbeLDZlkiSSWWT0g7x2pM/edit#gid=999382323"", ""LU List Maths (Filter)!A:B""), 2, FALSE)"),"Conversion of improper fraction to mixed fraction ")</f>
        <v xml:space="preserve">Conversion of improper fraction to mixed fraction </v>
      </c>
      <c r="I123" s="10" t="str">
        <f t="shared" si="0"/>
        <v>LU000975.001</v>
      </c>
      <c r="J123" s="10" t="str">
        <f ca="1">IFERROR(__xludf.DUMMYFUNCTION("VLOOKUP(I123, IMPORTRANGE(""https://docs.google.com/spreadsheets/d/1yDAaXNsi4Mr5FtRQL4tbmSdIzhx6_m4wkOD7IG-k_eo/edit#gid=0"", ""Maths!M:N""), 2, FALSE)"),"Recall the steps involved in converting an improper fraction to a mixed fraction.")</f>
        <v>Recall the steps involved in converting an improper fraction to a mixed fraction.</v>
      </c>
      <c r="K123" s="10" t="str">
        <f t="shared" si="1"/>
        <v>LU000975.002</v>
      </c>
      <c r="L123" s="10" t="str">
        <f ca="1">IFERROR(__xludf.DUMMYFUNCTION("VLOOKUP(K123, IMPORTRANGE(""https://docs.google.com/spreadsheets/d/1yDAaXNsi4Mr5FtRQL4tbmSdIzhx6_m4wkOD7IG-k_eo/edit#gid=0"", ""Maths!M:N""), 2, FALSE)"),"Explain the concept of improper fractions and mixed fractions, including their relationship, and why conversion is necessary.")</f>
        <v>Explain the concept of improper fractions and mixed fractions, including their relationship, and why conversion is necessary.</v>
      </c>
      <c r="M123" s="10" t="str">
        <f t="shared" si="2"/>
        <v>LU000975.003</v>
      </c>
      <c r="N123" s="10" t="str">
        <f ca="1">IFERROR(__xludf.DUMMYFUNCTION("VLOOKUP(M123, IMPORTRANGE(""https://docs.google.com/spreadsheets/d/1yDAaXNsi4Mr5FtRQL4tbmSdIzhx6_m4wkOD7IG-k_eo/edit#gid=0"", ""Maths!M:N""), 2, FALSE)"),"Apply the conversion process accurately to transform improper fractions into mixed fractions.")</f>
        <v>Apply the conversion process accurately to transform improper fractions into mixed fractions.</v>
      </c>
      <c r="O123" s="10" t="str">
        <f t="shared" si="3"/>
        <v>LU000975.004</v>
      </c>
      <c r="P123" s="10" t="str">
        <f ca="1">IFERROR(__xludf.DUMMYFUNCTION("VLOOKUP(O123, IMPORTRANGE(""https://docs.google.com/spreadsheets/d/1yDAaXNsi4Mr5FtRQL4tbmSdIzhx6_m4wkOD7IG-k_eo/edit#gid=0"", ""Maths!M:N""), 2, FALSE)"),"Analyze improper fractions to determine their equivalent mixed fraction representations.")</f>
        <v>Analyze improper fractions to determine their equivalent mixed fraction representations.</v>
      </c>
      <c r="Q123" s="10" t="str">
        <f t="shared" si="4"/>
        <v>LU000975.005</v>
      </c>
      <c r="R123" s="10" t="str">
        <f ca="1">IFERROR(__xludf.DUMMYFUNCTION("VLOOKUP(Q123, IMPORTRANGE(""https://docs.google.com/spreadsheets/d/1yDAaXNsi4Mr5FtRQL4tbmSdIzhx6_m4wkOD7IG-k_eo/edit#gid=0"", ""Maths!M:N""), 2, FALSE)"),"Evaluate the correctness of converted mixed fractions, providing explanations for errors.")</f>
        <v>Evaluate the correctness of converted mixed fractions, providing explanations for errors.</v>
      </c>
      <c r="S123" s="10" t="str">
        <f t="shared" si="5"/>
        <v>LU000975.006</v>
      </c>
      <c r="T123" s="10" t="str">
        <f ca="1">IFERROR(__xludf.DUMMYFUNCTION("VLOOKUP(S123, IMPORTRANGE(""https://docs.google.com/spreadsheets/d/1yDAaXNsi4Mr5FtRQL4tbmSdIzhx6_m4wkOD7IG-k_eo/edit#gid=0"", ""Maths!M:N""), 2, FALSE)"),"#N/A")</f>
        <v>#N/A</v>
      </c>
      <c r="U123" s="11">
        <f ca="1">IFERROR(__xludf.DUMMYFUNCTION("ArrayFormula(VLOOKUP(G123, IMPORTRANGE(""https://docs.google.com/spreadsheets/d/1p7R4vtkWt5VOBim4ltsDG9KTzSjrtKXsMtQGXPHyND0/edit#gid=795171502"", ""'Filter 30_05_2024'!A1:M2000""), {2, 3, 4, 5,6,7,8,9,10,11,12,13}, 0))"),4)</f>
        <v>4</v>
      </c>
      <c r="V123" s="11">
        <f ca="1">IFERROR(__xludf.DUMMYFUNCTION("""COMPUTED_VALUE"""),7)</f>
        <v>7</v>
      </c>
      <c r="W123" s="11">
        <f ca="1">IFERROR(__xludf.DUMMYFUNCTION("""COMPUTED_VALUE"""),2)</f>
        <v>2</v>
      </c>
      <c r="X123" s="11">
        <f ca="1">IFERROR(__xludf.DUMMYFUNCTION("""COMPUTED_VALUE"""),13)</f>
        <v>13</v>
      </c>
      <c r="Y123" s="11">
        <f ca="1">IFERROR(__xludf.DUMMYFUNCTION("""COMPUTED_VALUE"""),8)</f>
        <v>8</v>
      </c>
      <c r="Z123" s="29">
        <f ca="1">IFERROR(__xludf.DUMMYFUNCTION("""COMPUTED_VALUE"""),8)</f>
        <v>8</v>
      </c>
      <c r="AA123" s="29">
        <f ca="1">IFERROR(__xludf.DUMMYFUNCTION("""COMPUTED_VALUE"""),1)</f>
        <v>1</v>
      </c>
      <c r="AB123" s="12">
        <f ca="1">IFERROR(__xludf.DUMMYFUNCTION("""COMPUTED_VALUE"""),17)</f>
        <v>17</v>
      </c>
      <c r="AC123" s="12"/>
      <c r="AD123" s="12"/>
      <c r="AE123" s="12"/>
      <c r="AF123" s="12"/>
      <c r="AG123" s="13" t="str">
        <f ca="1">IFERROR(__xludf.DUMMYFUNCTION("ArrayFormula(VLOOKUP(G123, IMPORTRANGE(""https://docs.google.com/spreadsheets/d/1Co934fvtviyaRiMsrIlT05Jaq7iiYq07aLvRr35KA48/edit?gid=173865642#gid=173865642"", ""'G6_Maths_Pri_LU'!G2:V2000""), {3, 4, 5, 6, 7, 8, 9, 10, 11, 12, 13, 14, 15, 16}, 0))"),"LU000282")</f>
        <v>LU000282</v>
      </c>
      <c r="AH123" s="13" t="str">
        <f ca="1">IFERROR(__xludf.DUMMYFUNCTION("""COMPUTED_VALUE"""),"Definition of improper fractions")</f>
        <v>Definition of improper fractions</v>
      </c>
      <c r="AI123" s="13" t="str">
        <f ca="1">IFERROR(__xludf.DUMMYFUNCTION("""COMPUTED_VALUE"""),"LU000283")</f>
        <v>LU000283</v>
      </c>
      <c r="AJ123" s="13" t="str">
        <f ca="1">IFERROR(__xludf.DUMMYFUNCTION("""COMPUTED_VALUE"""),"Definition of mixed fractions")</f>
        <v>Definition of mixed fractions</v>
      </c>
      <c r="AK123" s="13" t="str">
        <f ca="1">IFERROR(__xludf.DUMMYFUNCTION("""COMPUTED_VALUE"""),"LU000124")</f>
        <v>LU000124</v>
      </c>
      <c r="AL123" s="13" t="str">
        <f ca="1">IFERROR(__xludf.DUMMYFUNCTION("""COMPUTED_VALUE"""),"Division of three-digit numbers by one-digit/two-digit numbers using standard algorithms")</f>
        <v>Division of three-digit numbers by one-digit/two-digit numbers using standard algorithms</v>
      </c>
      <c r="AM123" s="13"/>
      <c r="AN123" s="13"/>
      <c r="AO123" s="13"/>
      <c r="AP123" s="13"/>
      <c r="AQ123" s="13"/>
      <c r="AR123" s="13"/>
      <c r="AS123" s="13"/>
      <c r="AT123" s="13"/>
    </row>
    <row r="124" spans="1:46">
      <c r="A124" s="8" t="s">
        <v>247</v>
      </c>
      <c r="B124" s="8" t="s">
        <v>47</v>
      </c>
      <c r="C124" s="8" t="s">
        <v>48</v>
      </c>
      <c r="D124" s="8" t="s">
        <v>49</v>
      </c>
      <c r="E124" s="8" t="s">
        <v>169</v>
      </c>
      <c r="F124" s="8" t="s">
        <v>360</v>
      </c>
      <c r="G124" s="8" t="s">
        <v>182</v>
      </c>
      <c r="H124" s="8" t="str">
        <f ca="1">IFERROR(__xludf.DUMMYFUNCTION("VLOOKUP(G124, IMPORTRANGE(""https://docs.google.com/spreadsheets/d/14deopnvwcrKtEGCKuYXdUHJbeLDZlkiSSWWT0g7x2pM/edit#gid=999382323"", ""LU List Maths (Filter)!A:B""), 2, FALSE)"),"Conversion of mixed fraction to improper fraction ")</f>
        <v xml:space="preserve">Conversion of mixed fraction to improper fraction </v>
      </c>
      <c r="I124" s="10" t="str">
        <f t="shared" si="0"/>
        <v>LU000976.001</v>
      </c>
      <c r="J124" s="10" t="str">
        <f ca="1">IFERROR(__xludf.DUMMYFUNCTION("VLOOKUP(I124, IMPORTRANGE(""https://docs.google.com/spreadsheets/d/1yDAaXNsi4Mr5FtRQL4tbmSdIzhx6_m4wkOD7IG-k_eo/edit#gid=0"", ""Maths!M:N""), 2, FALSE)"),"Recall the steps for converting mixed fractions to improper fractions.")</f>
        <v>Recall the steps for converting mixed fractions to improper fractions.</v>
      </c>
      <c r="K124" s="10" t="str">
        <f t="shared" si="1"/>
        <v>LU000976.002</v>
      </c>
      <c r="L124" s="10" t="str">
        <f ca="1">IFERROR(__xludf.DUMMYFUNCTION("VLOOKUP(K124, IMPORTRANGE(""https://docs.google.com/spreadsheets/d/1yDAaXNsi4Mr5FtRQL4tbmSdIzhx6_m4wkOD7IG-k_eo/edit#gid=0"", ""Maths!M:N""), 2, FALSE)"),"Explain the concept of mixed fractions and improper fractions and why conversion is necessary.")</f>
        <v>Explain the concept of mixed fractions and improper fractions and why conversion is necessary.</v>
      </c>
      <c r="M124" s="10" t="str">
        <f t="shared" si="2"/>
        <v>LU000976.003</v>
      </c>
      <c r="N124" s="10" t="str">
        <f ca="1">IFERROR(__xludf.DUMMYFUNCTION("VLOOKUP(M124, IMPORTRANGE(""https://docs.google.com/spreadsheets/d/1yDAaXNsi4Mr5FtRQL4tbmSdIzhx6_m4wkOD7IG-k_eo/edit#gid=0"", ""Maths!M:N""), 2, FALSE)"),"Apply the conversion process accurately to transform mixed fractions into improper fractions.")</f>
        <v>Apply the conversion process accurately to transform mixed fractions into improper fractions.</v>
      </c>
      <c r="O124" s="10" t="str">
        <f t="shared" si="3"/>
        <v>LU000976.004</v>
      </c>
      <c r="P124" s="10" t="str">
        <f ca="1">IFERROR(__xludf.DUMMYFUNCTION("VLOOKUP(O124, IMPORTRANGE(""https://docs.google.com/spreadsheets/d/1yDAaXNsi4Mr5FtRQL4tbmSdIzhx6_m4wkOD7IG-k_eo/edit#gid=0"", ""Maths!M:N""), 2, FALSE)"),"Analyze mixed fractions to determine their equivalent improper fraction representations.")</f>
        <v>Analyze mixed fractions to determine their equivalent improper fraction representations.</v>
      </c>
      <c r="Q124" s="10" t="str">
        <f t="shared" si="4"/>
        <v>LU000976.005</v>
      </c>
      <c r="R124" s="10" t="str">
        <f ca="1">IFERROR(__xludf.DUMMYFUNCTION("VLOOKUP(Q124, IMPORTRANGE(""https://docs.google.com/spreadsheets/d/1yDAaXNsi4Mr5FtRQL4tbmSdIzhx6_m4wkOD7IG-k_eo/edit#gid=0"", ""Maths!M:N""), 2, FALSE)"),"Evaluate the correctness of converted improper fractions, providing explanations for errors.")</f>
        <v>Evaluate the correctness of converted improper fractions, providing explanations for errors.</v>
      </c>
      <c r="S124" s="10" t="str">
        <f t="shared" si="5"/>
        <v>LU000976.006</v>
      </c>
      <c r="T124" s="10" t="str">
        <f ca="1">IFERROR(__xludf.DUMMYFUNCTION("VLOOKUP(S124, IMPORTRANGE(""https://docs.google.com/spreadsheets/d/1yDAaXNsi4Mr5FtRQL4tbmSdIzhx6_m4wkOD7IG-k_eo/edit#gid=0"", ""Maths!M:N""), 2, FALSE)"),"#N/A")</f>
        <v>#N/A</v>
      </c>
      <c r="U124" s="11">
        <f ca="1">IFERROR(__xludf.DUMMYFUNCTION("ArrayFormula(VLOOKUP(G124, IMPORTRANGE(""https://docs.google.com/spreadsheets/d/1p7R4vtkWt5VOBim4ltsDG9KTzSjrtKXsMtQGXPHyND0/edit#gid=795171502"", ""'Filter 30_05_2024'!A1:M2000""), {2, 3, 4, 5,6,7,8,9,10,11,12,13}, 0))"),4)</f>
        <v>4</v>
      </c>
      <c r="V124" s="11">
        <f ca="1">IFERROR(__xludf.DUMMYFUNCTION("""COMPUTED_VALUE"""),2)</f>
        <v>2</v>
      </c>
      <c r="W124" s="11">
        <f ca="1">IFERROR(__xludf.DUMMYFUNCTION("""COMPUTED_VALUE"""),2)</f>
        <v>2</v>
      </c>
      <c r="X124" s="11">
        <f ca="1">IFERROR(__xludf.DUMMYFUNCTION("""COMPUTED_VALUE"""),8)</f>
        <v>8</v>
      </c>
      <c r="Y124" s="11">
        <f ca="1">IFERROR(__xludf.DUMMYFUNCTION("""COMPUTED_VALUE"""),8)</f>
        <v>8</v>
      </c>
      <c r="Z124" s="29">
        <f ca="1">IFERROR(__xludf.DUMMYFUNCTION("""COMPUTED_VALUE"""),7)</f>
        <v>7</v>
      </c>
      <c r="AA124" s="29">
        <f ca="1">IFERROR(__xludf.DUMMYFUNCTION("""COMPUTED_VALUE"""),1)</f>
        <v>1</v>
      </c>
      <c r="AB124" s="12">
        <f ca="1">IFERROR(__xludf.DUMMYFUNCTION("""COMPUTED_VALUE"""),16)</f>
        <v>16</v>
      </c>
      <c r="AC124" s="12"/>
      <c r="AD124" s="12"/>
      <c r="AE124" s="12"/>
      <c r="AF124" s="12"/>
      <c r="AG124" s="13" t="str">
        <f ca="1">IFERROR(__xludf.DUMMYFUNCTION("ArrayFormula(VLOOKUP(G124, IMPORTRANGE(""https://docs.google.com/spreadsheets/d/1Co934fvtviyaRiMsrIlT05Jaq7iiYq07aLvRr35KA48/edit?gid=173865642#gid=173865642"", ""'G6_Maths_Pri_LU'!G2:V2000""), {3, 4, 5, 6, 7, 8, 9, 10, 11, 12, 13, 14, 15, 16}, 0))"),"LU000283")</f>
        <v>LU000283</v>
      </c>
      <c r="AH124" s="13" t="str">
        <f ca="1">IFERROR(__xludf.DUMMYFUNCTION("""COMPUTED_VALUE"""),"Definition of mixed fractions")</f>
        <v>Definition of mixed fractions</v>
      </c>
      <c r="AI124" s="13" t="str">
        <f ca="1">IFERROR(__xludf.DUMMYFUNCTION("""COMPUTED_VALUE"""),"LU000282")</f>
        <v>LU000282</v>
      </c>
      <c r="AJ124" s="13" t="str">
        <f ca="1">IFERROR(__xludf.DUMMYFUNCTION("""COMPUTED_VALUE"""),"Definition of improper fractions")</f>
        <v>Definition of improper fractions</v>
      </c>
      <c r="AK124" s="13" t="str">
        <f ca="1">IFERROR(__xludf.DUMMYFUNCTION("""COMPUTED_VALUE"""),"LU000127")</f>
        <v>LU000127</v>
      </c>
      <c r="AL124" s="13" t="str">
        <f ca="1">IFERROR(__xludf.DUMMYFUNCTION("""COMPUTED_VALUE"""),"Multiplication of three-digit numbers by one-digit/two-digit/three-digit numbers")</f>
        <v>Multiplication of three-digit numbers by one-digit/two-digit/three-digit numbers</v>
      </c>
      <c r="AM124" s="13"/>
      <c r="AN124" s="13"/>
      <c r="AO124" s="13"/>
      <c r="AP124" s="13"/>
      <c r="AQ124" s="13"/>
      <c r="AR124" s="13"/>
      <c r="AS124" s="13"/>
      <c r="AT124" s="13"/>
    </row>
    <row r="125" spans="1:46">
      <c r="A125" s="8" t="s">
        <v>247</v>
      </c>
      <c r="B125" s="8" t="s">
        <v>47</v>
      </c>
      <c r="C125" s="8" t="s">
        <v>48</v>
      </c>
      <c r="D125" s="8" t="s">
        <v>49</v>
      </c>
      <c r="E125" s="8" t="s">
        <v>169</v>
      </c>
      <c r="F125" s="8" t="s">
        <v>183</v>
      </c>
      <c r="G125" s="8" t="s">
        <v>184</v>
      </c>
      <c r="H125" s="8" t="str">
        <f ca="1">IFERROR(__xludf.DUMMYFUNCTION("VLOOKUP(G125, IMPORTRANGE(""https://docs.google.com/spreadsheets/d/14deopnvwcrKtEGCKuYXdUHJbeLDZlkiSSWWT0g7x2pM/edit#gid=999382323"", ""LU List Maths (Filter)!A:B""), 2, FALSE)"),"Definition of equivalent fractions")</f>
        <v>Definition of equivalent fractions</v>
      </c>
      <c r="I125" s="10" t="str">
        <f t="shared" si="0"/>
        <v>LU000285.001</v>
      </c>
      <c r="J125" s="10" t="str">
        <f ca="1">IFERROR(__xludf.DUMMYFUNCTION("VLOOKUP(I125, IMPORTRANGE(""https://docs.google.com/spreadsheets/d/1yDAaXNsi4Mr5FtRQL4tbmSdIzhx6_m4wkOD7IG-k_eo/edit#gid=0"", ""Maths!M:N""), 2, FALSE)"),"Define equivalent fractions with examples.")</f>
        <v>Define equivalent fractions with examples.</v>
      </c>
      <c r="K125" s="10" t="str">
        <f t="shared" si="1"/>
        <v>LU000285.002</v>
      </c>
      <c r="L125" s="10" t="str">
        <f ca="1">IFERROR(__xludf.DUMMYFUNCTION("VLOOKUP(K125, IMPORTRANGE(""https://docs.google.com/spreadsheets/d/1yDAaXNsi4Mr5FtRQL4tbmSdIzhx6_m4wkOD7IG-k_eo/edit#gid=0"", ""Maths!M:N""), 2, FALSE)"),"Identify the equivalent fractions from a given list of fractions.")</f>
        <v>Identify the equivalent fractions from a given list of fractions.</v>
      </c>
      <c r="M125" s="10" t="str">
        <f t="shared" si="2"/>
        <v>LU000285.003</v>
      </c>
      <c r="N125" s="10" t="str">
        <f ca="1">IFERROR(__xludf.DUMMYFUNCTION("VLOOKUP(M125, IMPORTRANGE(""https://docs.google.com/spreadsheets/d/1yDAaXNsi4Mr5FtRQL4tbmSdIzhx6_m4wkOD7IG-k_eo/edit#gid=0"", ""Maths!M:N""), 2, FALSE)"),"Determine equivalent fractions for a given fraction.")</f>
        <v>Determine equivalent fractions for a given fraction.</v>
      </c>
      <c r="O125" s="10" t="str">
        <f t="shared" si="3"/>
        <v>LU000285.004</v>
      </c>
      <c r="P125" s="10" t="str">
        <f ca="1">IFERROR(__xludf.DUMMYFUNCTION("VLOOKUP(O125, IMPORTRANGE(""https://docs.google.com/spreadsheets/d/1yDAaXNsi4Mr5FtRQL4tbmSdIzhx6_m4wkOD7IG-k_eo/edit#gid=0"", ""Maths!M:N""), 2, FALSE)"),"Convert a fraction to an equivalent fraction with specific numerator and denominator.")</f>
        <v>Convert a fraction to an equivalent fraction with specific numerator and denominator.</v>
      </c>
      <c r="Q125" s="10" t="str">
        <f t="shared" si="4"/>
        <v>LU000285.005</v>
      </c>
      <c r="R125" s="10" t="str">
        <f ca="1">IFERROR(__xludf.DUMMYFUNCTION("VLOOKUP(Q125, IMPORTRANGE(""https://docs.google.com/spreadsheets/d/1yDAaXNsi4Mr5FtRQL4tbmSdIzhx6_m4wkOD7IG-k_eo/edit#gid=0"", ""Maths!M:N""), 2, FALSE)"),"Justify that equivalent fractions lie on the same point on a number line and represent them accordingly.")</f>
        <v>Justify that equivalent fractions lie on the same point on a number line and represent them accordingly.</v>
      </c>
      <c r="S125" s="10" t="str">
        <f t="shared" si="5"/>
        <v>LU000285.006</v>
      </c>
      <c r="T125" s="10" t="str">
        <f ca="1">IFERROR(__xludf.DUMMYFUNCTION("VLOOKUP(S125, IMPORTRANGE(""https://docs.google.com/spreadsheets/d/1yDAaXNsi4Mr5FtRQL4tbmSdIzhx6_m4wkOD7IG-k_eo/edit#gid=0"", ""Maths!M:N""), 2, FALSE)"),"Determine whether two fractions are equivalent or not by finding the cross product of numerators and denominators.")</f>
        <v>Determine whether two fractions are equivalent or not by finding the cross product of numerators and denominators.</v>
      </c>
      <c r="U125" s="11">
        <f ca="1">IFERROR(__xludf.DUMMYFUNCTION("ArrayFormula(VLOOKUP(G125, IMPORTRANGE(""https://docs.google.com/spreadsheets/d/1p7R4vtkWt5VOBim4ltsDG9KTzSjrtKXsMtQGXPHyND0/edit#gid=795171502"", ""'Filter 30_05_2024'!A1:M2000""), {2, 3, 4, 5,6,7,8,9,10,11,12,13}, 0))"),13)</f>
        <v>13</v>
      </c>
      <c r="V125" s="11">
        <f ca="1">IFERROR(__xludf.DUMMYFUNCTION("""COMPUTED_VALUE"""),6)</f>
        <v>6</v>
      </c>
      <c r="W125" s="11">
        <f ca="1">IFERROR(__xludf.DUMMYFUNCTION("""COMPUTED_VALUE"""),10)</f>
        <v>10</v>
      </c>
      <c r="X125" s="11">
        <f ca="1">IFERROR(__xludf.DUMMYFUNCTION("""COMPUTED_VALUE"""),29)</f>
        <v>29</v>
      </c>
      <c r="Y125" s="11">
        <f ca="1">IFERROR(__xludf.DUMMYFUNCTION("""COMPUTED_VALUE"""),5)</f>
        <v>5</v>
      </c>
      <c r="Z125" s="29">
        <f ca="1">IFERROR(__xludf.DUMMYFUNCTION("""COMPUTED_VALUE"""),12)</f>
        <v>12</v>
      </c>
      <c r="AA125" s="29">
        <f ca="1">IFERROR(__xludf.DUMMYFUNCTION("""COMPUTED_VALUE"""),6)</f>
        <v>6</v>
      </c>
      <c r="AB125" s="12">
        <f ca="1">IFERROR(__xludf.DUMMYFUNCTION("""COMPUTED_VALUE"""),23)</f>
        <v>23</v>
      </c>
      <c r="AC125" s="12"/>
      <c r="AD125" s="12"/>
      <c r="AE125" s="12"/>
      <c r="AF125" s="12"/>
      <c r="AG125" s="13" t="str">
        <f ca="1">IFERROR(__xludf.DUMMYFUNCTION("ArrayFormula(VLOOKUP(G125, IMPORTRANGE(""https://docs.google.com/spreadsheets/d/1Co934fvtviyaRiMsrIlT05Jaq7iiYq07aLvRr35KA48/edit?gid=173865642#gid=173865642"", ""'G6_Maths_Pri_LU'!G2:V2000""), {3, 4, 5, 6, 7, 8, 9, 10, 11, 12, 13, 14, 15, 16}, 0))"),"LU000060")</f>
        <v>LU000060</v>
      </c>
      <c r="AH125" s="13" t="str">
        <f ca="1">IFERROR(__xludf.DUMMYFUNCTION("""COMPUTED_VALUE"""),"Common factors of numbers")</f>
        <v>Common factors of numbers</v>
      </c>
      <c r="AI125" s="13" t="str">
        <f ca="1">IFERROR(__xludf.DUMMYFUNCTION("""COMPUTED_VALUE"""),"LU000058")</f>
        <v>LU000058</v>
      </c>
      <c r="AJ125" s="13" t="str">
        <f ca="1">IFERROR(__xludf.DUMMYFUNCTION("""COMPUTED_VALUE"""),"Definition of common multiples")</f>
        <v>Definition of common multiples</v>
      </c>
      <c r="AK125" s="13" t="str">
        <f ca="1">IFERROR(__xludf.DUMMYFUNCTION("""COMPUTED_VALUE"""),"LU000126")</f>
        <v>LU000126</v>
      </c>
      <c r="AL125" s="13" t="str">
        <f ca="1">IFERROR(__xludf.DUMMYFUNCTION("""COMPUTED_VALUE"""),"Multiplication of two-digit numbers by one-digit/two-digit numbers")</f>
        <v>Multiplication of two-digit numbers by one-digit/two-digit numbers</v>
      </c>
      <c r="AM125" s="13" t="str">
        <f ca="1">IFERROR(__xludf.DUMMYFUNCTION("""COMPUTED_VALUE"""),"LU000278")</f>
        <v>LU000278</v>
      </c>
      <c r="AN125" s="13" t="str">
        <f ca="1">IFERROR(__xludf.DUMMYFUNCTION("""COMPUTED_VALUE"""),"Definition of fraction")</f>
        <v>Definition of fraction</v>
      </c>
      <c r="AO125" s="13"/>
      <c r="AP125" s="13"/>
      <c r="AQ125" s="13"/>
      <c r="AR125" s="13"/>
      <c r="AS125" s="13"/>
      <c r="AT125" s="13"/>
    </row>
    <row r="126" spans="1:46">
      <c r="A126" s="8" t="s">
        <v>247</v>
      </c>
      <c r="B126" s="8" t="s">
        <v>47</v>
      </c>
      <c r="C126" s="8" t="s">
        <v>48</v>
      </c>
      <c r="D126" s="8" t="s">
        <v>49</v>
      </c>
      <c r="E126" s="8" t="s">
        <v>169</v>
      </c>
      <c r="F126" s="8" t="s">
        <v>183</v>
      </c>
      <c r="G126" s="8" t="s">
        <v>185</v>
      </c>
      <c r="H126" s="8" t="str">
        <f ca="1">IFERROR(__xludf.DUMMYFUNCTION("VLOOKUP(G126, IMPORTRANGE(""https://docs.google.com/spreadsheets/d/14deopnvwcrKtEGCKuYXdUHJbeLDZlkiSSWWT0g7x2pM/edit#gid=999382323"", ""LU List Maths (Filter)!A:B""), 2, FALSE)"),"Simplest (or Lowest) form of a fraction")</f>
        <v>Simplest (or Lowest) form of a fraction</v>
      </c>
      <c r="I126" s="10" t="str">
        <f t="shared" si="0"/>
        <v>LU000291.001</v>
      </c>
      <c r="J126" s="10" t="str">
        <f ca="1">IFERROR(__xludf.DUMMYFUNCTION("VLOOKUP(I126, IMPORTRANGE(""https://docs.google.com/spreadsheets/d/1yDAaXNsi4Mr5FtRQL4tbmSdIzhx6_m4wkOD7IG-k_eo/edit#gid=0"", ""Maths!M:N""), 2, FALSE)"),"Recall the definition of simplest (or lowest) form of a fraction.")</f>
        <v>Recall the definition of simplest (or lowest) form of a fraction.</v>
      </c>
      <c r="K126" s="10" t="str">
        <f t="shared" si="1"/>
        <v>LU000291.002</v>
      </c>
      <c r="L126" s="10" t="str">
        <f ca="1">IFERROR(__xludf.DUMMYFUNCTION("VLOOKUP(K126, IMPORTRANGE(""https://docs.google.com/spreadsheets/d/1yDAaXNsi4Mr5FtRQL4tbmSdIzhx6_m4wkOD7IG-k_eo/edit#gid=0"", ""Maths!M:N""), 2, FALSE)"),"Explain the concept of reducing a fraction to its simplest form.")</f>
        <v>Explain the concept of reducing a fraction to its simplest form.</v>
      </c>
      <c r="M126" s="10" t="str">
        <f t="shared" si="2"/>
        <v>LU000291.003</v>
      </c>
      <c r="N126" s="10" t="str">
        <f ca="1">IFERROR(__xludf.DUMMYFUNCTION("VLOOKUP(M126, IMPORTRANGE(""https://docs.google.com/spreadsheets/d/1yDAaXNsi4Mr5FtRQL4tbmSdIzhx6_m4wkOD7IG-k_eo/edit#gid=0"", ""Maths!M:N""), 2, FALSE)"),"Determine the simplest form of fraction by dividing its numerator and denominator by the highest common factor.")</f>
        <v>Determine the simplest form of fraction by dividing its numerator and denominator by the highest common factor.</v>
      </c>
      <c r="O126" s="10" t="str">
        <f t="shared" si="3"/>
        <v>LU000291.004</v>
      </c>
      <c r="P126" s="10" t="str">
        <f ca="1">IFERROR(__xludf.DUMMYFUNCTION("VLOOKUP(O126, IMPORTRANGE(""https://docs.google.com/spreadsheets/d/1yDAaXNsi4Mr5FtRQL4tbmSdIzhx6_m4wkOD7IG-k_eo/edit#gid=0"", ""Maths!M:N""), 2, FALSE)"),"Analyse the common factors between the numerator and denominator of a fraction to determine whether it is in the simplest form.")</f>
        <v>Analyse the common factors between the numerator and denominator of a fraction to determine whether it is in the simplest form.</v>
      </c>
      <c r="Q126" s="10" t="str">
        <f t="shared" si="4"/>
        <v>LU000291.005</v>
      </c>
      <c r="R126" s="10" t="str">
        <f ca="1">IFERROR(__xludf.DUMMYFUNCTION("VLOOKUP(Q126, IMPORTRANGE(""https://docs.google.com/spreadsheets/d/1yDAaXNsi4Mr5FtRQL4tbmSdIzhx6_m4wkOD7IG-k_eo/edit#gid=0"", ""Maths!M:N""), 2, FALSE)"),"#N/A")</f>
        <v>#N/A</v>
      </c>
      <c r="S126" s="10" t="str">
        <f t="shared" si="5"/>
        <v>LU000291.006</v>
      </c>
      <c r="T126" s="10" t="str">
        <f ca="1">IFERROR(__xludf.DUMMYFUNCTION("VLOOKUP(S126, IMPORTRANGE(""https://docs.google.com/spreadsheets/d/1yDAaXNsi4Mr5FtRQL4tbmSdIzhx6_m4wkOD7IG-k_eo/edit#gid=0"", ""Maths!M:N""), 2, FALSE)"),"#N/A")</f>
        <v>#N/A</v>
      </c>
      <c r="U126" s="11">
        <f ca="1">IFERROR(__xludf.DUMMYFUNCTION("ArrayFormula(VLOOKUP(G126, IMPORTRANGE(""https://docs.google.com/spreadsheets/d/1p7R4vtkWt5VOBim4ltsDG9KTzSjrtKXsMtQGXPHyND0/edit#gid=795171502"", ""'Filter 30_05_2024'!A1:M2000""), {2, 3, 4, 5,6,7,8,9,10,11,12,13}, 0))"),4)</f>
        <v>4</v>
      </c>
      <c r="V126" s="11">
        <f ca="1">IFERROR(__xludf.DUMMYFUNCTION("""COMPUTED_VALUE"""),9)</f>
        <v>9</v>
      </c>
      <c r="W126" s="11">
        <f ca="1">IFERROR(__xludf.DUMMYFUNCTION("""COMPUTED_VALUE"""),2)</f>
        <v>2</v>
      </c>
      <c r="X126" s="11">
        <f ca="1">IFERROR(__xludf.DUMMYFUNCTION("""COMPUTED_VALUE"""),15)</f>
        <v>15</v>
      </c>
      <c r="Y126" s="11">
        <f ca="1">IFERROR(__xludf.DUMMYFUNCTION("""COMPUTED_VALUE"""),4)</f>
        <v>4</v>
      </c>
      <c r="Z126" s="29">
        <f ca="1">IFERROR(__xludf.DUMMYFUNCTION("""COMPUTED_VALUE"""),5)</f>
        <v>5</v>
      </c>
      <c r="AA126" s="29">
        <f ca="1">IFERROR(__xludf.DUMMYFUNCTION("""COMPUTED_VALUE"""),1)</f>
        <v>1</v>
      </c>
      <c r="AB126" s="12">
        <f ca="1">IFERROR(__xludf.DUMMYFUNCTION("""COMPUTED_VALUE"""),10)</f>
        <v>10</v>
      </c>
      <c r="AC126" s="12"/>
      <c r="AD126" s="12"/>
      <c r="AE126" s="12"/>
      <c r="AF126" s="12"/>
      <c r="AG126" s="13" t="str">
        <f ca="1">IFERROR(__xludf.DUMMYFUNCTION("ArrayFormula(VLOOKUP(G126, IMPORTRANGE(""https://docs.google.com/spreadsheets/d/1Co934fvtviyaRiMsrIlT05Jaq7iiYq07aLvRr35KA48/edit?gid=173865642#gid=173865642"", ""'G6_Maths_Pri_LU'!G2:V2000""), {3, 4, 5, 6, 7, 8, 9, 10, 11, 12, 13, 14, 15, 16}, 0))"),"LU000060")</f>
        <v>LU000060</v>
      </c>
      <c r="AH126" s="13" t="str">
        <f ca="1">IFERROR(__xludf.DUMMYFUNCTION("""COMPUTED_VALUE"""),"Common factors of numbers")</f>
        <v>Common factors of numbers</v>
      </c>
      <c r="AI126" s="13" t="str">
        <f ca="1">IFERROR(__xludf.DUMMYFUNCTION("""COMPUTED_VALUE"""),"LU000124")</f>
        <v>LU000124</v>
      </c>
      <c r="AJ126" s="13" t="str">
        <f ca="1">IFERROR(__xludf.DUMMYFUNCTION("""COMPUTED_VALUE"""),"Division of three-digit numbers by one-digit/two-digit numbers using standard algorithms")</f>
        <v>Division of three-digit numbers by one-digit/two-digit numbers using standard algorithms</v>
      </c>
      <c r="AK126" s="13" t="str">
        <f ca="1">IFERROR(__xludf.DUMMYFUNCTION("""COMPUTED_VALUE"""),"LU000058")</f>
        <v>LU000058</v>
      </c>
      <c r="AL126" s="13" t="str">
        <f ca="1">IFERROR(__xludf.DUMMYFUNCTION("""COMPUTED_VALUE"""),"Definition of common multiples")</f>
        <v>Definition of common multiples</v>
      </c>
      <c r="AM126" s="13" t="str">
        <f ca="1">IFERROR(__xludf.DUMMYFUNCTION("""COMPUTED_VALUE"""),"LU000278")</f>
        <v>LU000278</v>
      </c>
      <c r="AN126" s="13" t="str">
        <f ca="1">IFERROR(__xludf.DUMMYFUNCTION("""COMPUTED_VALUE"""),"Definition of fraction")</f>
        <v>Definition of fraction</v>
      </c>
      <c r="AO126" s="13"/>
      <c r="AP126" s="13"/>
      <c r="AQ126" s="13"/>
      <c r="AR126" s="13"/>
      <c r="AS126" s="13"/>
      <c r="AT126" s="13"/>
    </row>
    <row r="127" spans="1:46">
      <c r="A127" s="8" t="s">
        <v>247</v>
      </c>
      <c r="B127" s="8" t="s">
        <v>47</v>
      </c>
      <c r="C127" s="8" t="s">
        <v>48</v>
      </c>
      <c r="D127" s="8" t="s">
        <v>49</v>
      </c>
      <c r="E127" s="8" t="s">
        <v>169</v>
      </c>
      <c r="F127" s="8" t="s">
        <v>361</v>
      </c>
      <c r="G127" s="8" t="s">
        <v>362</v>
      </c>
      <c r="H127" s="8" t="str">
        <f ca="1">IFERROR(__xludf.DUMMYFUNCTION("VLOOKUP(G127, IMPORTRANGE(""https://docs.google.com/spreadsheets/d/14deopnvwcrKtEGCKuYXdUHJbeLDZlkiSSWWT0g7x2pM/edit#gid=999382323"", ""LU List Maths (Filter)!A:B""), 2, FALSE)"),"Definition of like and unlike fractions")</f>
        <v>Definition of like and unlike fractions</v>
      </c>
      <c r="I127" s="10" t="str">
        <f t="shared" si="0"/>
        <v>LU000286.001</v>
      </c>
      <c r="J127" s="10" t="str">
        <f ca="1">IFERROR(__xludf.DUMMYFUNCTION("VLOOKUP(I127, IMPORTRANGE(""https://docs.google.com/spreadsheets/d/1yDAaXNsi4Mr5FtRQL4tbmSdIzhx6_m4wkOD7IG-k_eo/edit#gid=0"", ""Maths!M:N""), 2, FALSE)"),"Define like and unlike fractions with examples.")</f>
        <v>Define like and unlike fractions with examples.</v>
      </c>
      <c r="K127" s="10" t="str">
        <f t="shared" si="1"/>
        <v>LU000286.002</v>
      </c>
      <c r="L127" s="10" t="str">
        <f ca="1">IFERROR(__xludf.DUMMYFUNCTION("VLOOKUP(K127, IMPORTRANGE(""https://docs.google.com/spreadsheets/d/1yDAaXNsi4Mr5FtRQL4tbmSdIzhx6_m4wkOD7IG-k_eo/edit#gid=0"", ""Maths!M:N""), 2, FALSE)"),"Identify like or unlike fractions from a given set of fractions.")</f>
        <v>Identify like or unlike fractions from a given set of fractions.</v>
      </c>
      <c r="M127" s="10" t="str">
        <f t="shared" si="2"/>
        <v>LU000286.003</v>
      </c>
      <c r="N127" s="10" t="str">
        <f ca="1">IFERROR(__xludf.DUMMYFUNCTION("VLOOKUP(M127, IMPORTRANGE(""https://docs.google.com/spreadsheets/d/1yDAaXNsi4Mr5FtRQL4tbmSdIzhx6_m4wkOD7IG-k_eo/edit#gid=0"", ""Maths!M:N""), 2, FALSE)"),"Convert unlike fractions to like fractions by finding their equivalent fractions.")</f>
        <v>Convert unlike fractions to like fractions by finding their equivalent fractions.</v>
      </c>
      <c r="O127" s="10" t="str">
        <f t="shared" si="3"/>
        <v>LU000286.004</v>
      </c>
      <c r="P127" s="10" t="str">
        <f ca="1">IFERROR(__xludf.DUMMYFUNCTION("VLOOKUP(O127, IMPORTRANGE(""https://docs.google.com/spreadsheets/d/1yDAaXNsi4Mr5FtRQL4tbmSdIzhx6_m4wkOD7IG-k_eo/edit#gid=0"", ""Maths!M:N""), 2, FALSE)"),"Analyse real-life examples of fractions to determine whether they are like or unlike based on their denominators.")</f>
        <v>Analyse real-life examples of fractions to determine whether they are like or unlike based on their denominators.</v>
      </c>
      <c r="Q127" s="10" t="str">
        <f t="shared" si="4"/>
        <v>LU000286.005</v>
      </c>
      <c r="R127" s="10" t="str">
        <f ca="1">IFERROR(__xludf.DUMMYFUNCTION("VLOOKUP(Q127, IMPORTRANGE(""https://docs.google.com/spreadsheets/d/1yDAaXNsi4Mr5FtRQL4tbmSdIzhx6_m4wkOD7IG-k_eo/edit#gid=0"", ""Maths!M:N""), 2, FALSE)"),"Evaluate the significance of like and unlike fractions in solving real-world problems involving fractions.")</f>
        <v>Evaluate the significance of like and unlike fractions in solving real-world problems involving fractions.</v>
      </c>
      <c r="S127" s="10" t="str">
        <f t="shared" si="5"/>
        <v>LU000286.006</v>
      </c>
      <c r="T127" s="10" t="str">
        <f ca="1">IFERROR(__xludf.DUMMYFUNCTION("VLOOKUP(S127, IMPORTRANGE(""https://docs.google.com/spreadsheets/d/1yDAaXNsi4Mr5FtRQL4tbmSdIzhx6_m4wkOD7IG-k_eo/edit#gid=0"", ""Maths!M:N""), 2, FALSE)"),"Develop visual representations showcasing examples of like and unlike fractions.")</f>
        <v>Develop visual representations showcasing examples of like and unlike fractions.</v>
      </c>
      <c r="U127" s="11">
        <f ca="1">IFERROR(__xludf.DUMMYFUNCTION("ArrayFormula(VLOOKUP(G127, IMPORTRANGE(""https://docs.google.com/spreadsheets/d/1p7R4vtkWt5VOBim4ltsDG9KTzSjrtKXsMtQGXPHyND0/edit#gid=795171502"", ""'Filter 30_05_2024'!A1:M2000""), {2, 3, 4, 5,6,7,8,9,10,11,12,13}, 0))"),10)</f>
        <v>10</v>
      </c>
      <c r="V127" s="11">
        <f ca="1">IFERROR(__xludf.DUMMYFUNCTION("""COMPUTED_VALUE"""),6)</f>
        <v>6</v>
      </c>
      <c r="W127" s="11">
        <f ca="1">IFERROR(__xludf.DUMMYFUNCTION("""COMPUTED_VALUE"""),2)</f>
        <v>2</v>
      </c>
      <c r="X127" s="11">
        <f ca="1">IFERROR(__xludf.DUMMYFUNCTION("""COMPUTED_VALUE"""),18)</f>
        <v>18</v>
      </c>
      <c r="Y127" s="11">
        <f ca="1">IFERROR(__xludf.DUMMYFUNCTION("""COMPUTED_VALUE"""),4)</f>
        <v>4</v>
      </c>
      <c r="Z127" s="29">
        <f ca="1">IFERROR(__xludf.DUMMYFUNCTION("""COMPUTED_VALUE"""),3)</f>
        <v>3</v>
      </c>
      <c r="AA127" s="29">
        <f ca="1">IFERROR(__xludf.DUMMYFUNCTION("""COMPUTED_VALUE"""),1)</f>
        <v>1</v>
      </c>
      <c r="AB127" s="12">
        <f ca="1">IFERROR(__xludf.DUMMYFUNCTION("""COMPUTED_VALUE"""),8)</f>
        <v>8</v>
      </c>
      <c r="AC127" s="12"/>
      <c r="AD127" s="12"/>
      <c r="AE127" s="12"/>
      <c r="AF127" s="12"/>
      <c r="AG127" s="13" t="str">
        <f ca="1">IFERROR(__xludf.DUMMYFUNCTION("ArrayFormula(VLOOKUP(G127, IMPORTRANGE(""https://docs.google.com/spreadsheets/d/1Co934fvtviyaRiMsrIlT05Jaq7iiYq07aLvRr35KA48/edit?gid=173865642#gid=173865642"", ""'G6_Maths_Pri_LU'!G2:V2000""), {3, 4, 5, 6, 7, 8, 9, 10, 11, 12, 13, 14, 15, 16}, 0))"),"LU000278")</f>
        <v>LU000278</v>
      </c>
      <c r="AH127" s="13" t="str">
        <f ca="1">IFERROR(__xludf.DUMMYFUNCTION("""COMPUTED_VALUE"""),"Definition of fraction")</f>
        <v>Definition of fraction</v>
      </c>
      <c r="AI127" s="13" t="str">
        <f ca="1">IFERROR(__xludf.DUMMYFUNCTION("""COMPUTED_VALUE"""),"LU000154")</f>
        <v>LU000154</v>
      </c>
      <c r="AJ127" s="13" t="str">
        <f ca="1">IFERROR(__xludf.DUMMYFUNCTION("""COMPUTED_VALUE"""),"Comparison of whole numbers (upto 9-digit numbers)")</f>
        <v>Comparison of whole numbers (upto 9-digit numbers)</v>
      </c>
      <c r="AK127" s="13"/>
      <c r="AL127" s="13"/>
      <c r="AM127" s="13"/>
      <c r="AN127" s="13"/>
      <c r="AO127" s="13"/>
      <c r="AP127" s="13"/>
      <c r="AQ127" s="13"/>
      <c r="AR127" s="13"/>
      <c r="AS127" s="13"/>
      <c r="AT127" s="13"/>
    </row>
    <row r="128" spans="1:46">
      <c r="A128" s="8" t="s">
        <v>247</v>
      </c>
      <c r="B128" s="8" t="s">
        <v>47</v>
      </c>
      <c r="C128" s="8" t="s">
        <v>48</v>
      </c>
      <c r="D128" s="8" t="s">
        <v>49</v>
      </c>
      <c r="E128" s="8" t="s">
        <v>169</v>
      </c>
      <c r="F128" s="8" t="s">
        <v>361</v>
      </c>
      <c r="G128" s="8" t="s">
        <v>187</v>
      </c>
      <c r="H128" s="8" t="str">
        <f ca="1">IFERROR(__xludf.DUMMYFUNCTION("VLOOKUP(G128, IMPORTRANGE(""https://docs.google.com/spreadsheets/d/14deopnvwcrKtEGCKuYXdUHJbeLDZlkiSSWWT0g7x2pM/edit#gid=999382323"", ""LU List Maths (Filter)!A:B""), 2, FALSE)"),"Comparison of fractions")</f>
        <v>Comparison of fractions</v>
      </c>
      <c r="I128" s="10" t="str">
        <f t="shared" si="0"/>
        <v>LU000287.001</v>
      </c>
      <c r="J128" s="10" t="str">
        <f ca="1">IFERROR(__xludf.DUMMYFUNCTION("VLOOKUP(I128, IMPORTRANGE(""https://docs.google.com/spreadsheets/d/1yDAaXNsi4Mr5FtRQL4tbmSdIzhx6_m4wkOD7IG-k_eo/edit#gid=0"", ""Maths!M:N""), 2, FALSE)"),"Recall the methods of comparing fractions using common denominators and cross-multiplication.")</f>
        <v>Recall the methods of comparing fractions using common denominators and cross-multiplication.</v>
      </c>
      <c r="K128" s="10" t="str">
        <f t="shared" si="1"/>
        <v>LU000287.002</v>
      </c>
      <c r="L128" s="10" t="str">
        <f ca="1">IFERROR(__xludf.DUMMYFUNCTION("VLOOKUP(K128, IMPORTRANGE(""https://docs.google.com/spreadsheets/d/1yDAaXNsi4Mr5FtRQL4tbmSdIzhx6_m4wkOD7IG-k_eo/edit#gid=0"", ""Maths!M:N""), 2, FALSE)"),"Compare two fractions by the cross-multiplication method or by taking the LCM, and record comparisons using &lt;, &gt;, or = sign.")</f>
        <v>Compare two fractions by the cross-multiplication method or by taking the LCM, and record comparisons using &lt;, &gt;, or = sign.</v>
      </c>
      <c r="M128" s="10" t="str">
        <f t="shared" si="2"/>
        <v>LU000287.003</v>
      </c>
      <c r="N128" s="10" t="str">
        <f ca="1">IFERROR(__xludf.DUMMYFUNCTION("VLOOKUP(M128, IMPORTRANGE(""https://docs.google.com/spreadsheets/d/1yDAaXNsi4Mr5FtRQL4tbmSdIzhx6_m4wkOD7IG-k_eo/edit#gid=0"", ""Maths!M:N""), 2, FALSE)"),"Compare fractions and arrange them in either ascending or descending order.")</f>
        <v>Compare fractions and arrange them in either ascending or descending order.</v>
      </c>
      <c r="O128" s="10" t="str">
        <f t="shared" si="3"/>
        <v>LU000287.004</v>
      </c>
      <c r="P128" s="10" t="str">
        <f ca="1">IFERROR(__xludf.DUMMYFUNCTION("VLOOKUP(O128, IMPORTRANGE(""https://docs.google.com/spreadsheets/d/1yDAaXNsi4Mr5FtRQL4tbmSdIzhx6_m4wkOD7IG-k_eo/edit#gid=0"", ""Maths!M:N""), 2, FALSE)"),"Solve word problems based on the comparison of fractions.")</f>
        <v>Solve word problems based on the comparison of fractions.</v>
      </c>
      <c r="Q128" s="10" t="str">
        <f t="shared" si="4"/>
        <v>LU000287.005</v>
      </c>
      <c r="R128" s="10" t="str">
        <f ca="1">IFERROR(__xludf.DUMMYFUNCTION("VLOOKUP(Q128, IMPORTRANGE(""https://docs.google.com/spreadsheets/d/1yDAaXNsi4Mr5FtRQL4tbmSdIzhx6_m4wkOD7IG-k_eo/edit#gid=0"", ""Maths!M:N""), 2, FALSE)"),"Evaluate the effectiveness of different methods for comparing fractions in solving mathematical problems.")</f>
        <v>Evaluate the effectiveness of different methods for comparing fractions in solving mathematical problems.</v>
      </c>
      <c r="S128" s="10" t="str">
        <f t="shared" si="5"/>
        <v>LU000287.006</v>
      </c>
      <c r="T128" s="10" t="str">
        <f ca="1">IFERROR(__xludf.DUMMYFUNCTION("VLOOKUP(S128, IMPORTRANGE(""https://docs.google.com/spreadsheets/d/1yDAaXNsi4Mr5FtRQL4tbmSdIzhx6_m4wkOD7IG-k_eo/edit#gid=0"", ""Maths!M:N""), 2, FALSE)"),"Generate a set of fractions and create activities that require students to compare and arrange them based on their magnitudes.")</f>
        <v>Generate a set of fractions and create activities that require students to compare and arrange them based on their magnitudes.</v>
      </c>
      <c r="U128" s="11">
        <f ca="1">IFERROR(__xludf.DUMMYFUNCTION("ArrayFormula(VLOOKUP(G128, IMPORTRANGE(""https://docs.google.com/spreadsheets/d/1p7R4vtkWt5VOBim4ltsDG9KTzSjrtKXsMtQGXPHyND0/edit#gid=795171502"", ""'Filter 30_05_2024'!A1:M2000""), {2, 3, 4, 5,6,7,8,9,10,11,12,13}, 0))"),5)</f>
        <v>5</v>
      </c>
      <c r="V128" s="11">
        <f ca="1">IFERROR(__xludf.DUMMYFUNCTION("""COMPUTED_VALUE"""),11)</f>
        <v>11</v>
      </c>
      <c r="W128" s="11">
        <f ca="1">IFERROR(__xludf.DUMMYFUNCTION("""COMPUTED_VALUE"""),6)</f>
        <v>6</v>
      </c>
      <c r="X128" s="11">
        <f ca="1">IFERROR(__xludf.DUMMYFUNCTION("""COMPUTED_VALUE"""),22)</f>
        <v>22</v>
      </c>
      <c r="Y128" s="11">
        <f ca="1">IFERROR(__xludf.DUMMYFUNCTION("""COMPUTED_VALUE"""),8)</f>
        <v>8</v>
      </c>
      <c r="Z128" s="29">
        <f ca="1">IFERROR(__xludf.DUMMYFUNCTION("""COMPUTED_VALUE"""),11)</f>
        <v>11</v>
      </c>
      <c r="AA128" s="29">
        <f ca="1">IFERROR(__xludf.DUMMYFUNCTION("""COMPUTED_VALUE"""),3)</f>
        <v>3</v>
      </c>
      <c r="AB128" s="12">
        <f ca="1">IFERROR(__xludf.DUMMYFUNCTION("""COMPUTED_VALUE"""),22)</f>
        <v>22</v>
      </c>
      <c r="AC128" s="12"/>
      <c r="AD128" s="12"/>
      <c r="AE128" s="12"/>
      <c r="AF128" s="12"/>
      <c r="AG128" s="13" t="str">
        <f ca="1">IFERROR(__xludf.DUMMYFUNCTION("ArrayFormula(VLOOKUP(G128, IMPORTRANGE(""https://docs.google.com/spreadsheets/d/1Co934fvtviyaRiMsrIlT05Jaq7iiYq07aLvRr35KA48/edit?gid=173865642#gid=173865642"", ""'G6_Maths_Pri_LU'!G2:V2000""), {3, 4, 5, 6, 7, 8, 9, 10, 11, 12, 13, 14, 15, 16}, 0))"),"LU000286")</f>
        <v>LU000286</v>
      </c>
      <c r="AH128" s="13" t="str">
        <f ca="1">IFERROR(__xludf.DUMMYFUNCTION("""COMPUTED_VALUE"""),"Definition of like and unlike fractions")</f>
        <v>Definition of like and unlike fractions</v>
      </c>
      <c r="AI128" s="13" t="str">
        <f ca="1">IFERROR(__xludf.DUMMYFUNCTION("""COMPUTED_VALUE"""),"LU000285")</f>
        <v>LU000285</v>
      </c>
      <c r="AJ128" s="13" t="str">
        <f ca="1">IFERROR(__xludf.DUMMYFUNCTION("""COMPUTED_VALUE"""),"Definition of equivalent fractions")</f>
        <v>Definition of equivalent fractions</v>
      </c>
      <c r="AK128" s="13" t="str">
        <f ca="1">IFERROR(__xludf.DUMMYFUNCTION("""COMPUTED_VALUE"""),"LU000058")</f>
        <v>LU000058</v>
      </c>
      <c r="AL128" s="13" t="str">
        <f ca="1">IFERROR(__xludf.DUMMYFUNCTION("""COMPUTED_VALUE"""),"Definition of common multiples")</f>
        <v>Definition of common multiples</v>
      </c>
      <c r="AM128" s="13"/>
      <c r="AN128" s="13"/>
      <c r="AO128" s="13"/>
      <c r="AP128" s="13"/>
      <c r="AQ128" s="13"/>
      <c r="AR128" s="13"/>
      <c r="AS128" s="13"/>
      <c r="AT128" s="13"/>
    </row>
    <row r="129" spans="1:46">
      <c r="A129" s="8" t="s">
        <v>247</v>
      </c>
      <c r="B129" s="8" t="s">
        <v>47</v>
      </c>
      <c r="C129" s="8" t="s">
        <v>48</v>
      </c>
      <c r="D129" s="8" t="s">
        <v>49</v>
      </c>
      <c r="E129" s="8" t="s">
        <v>169</v>
      </c>
      <c r="F129" s="8" t="s">
        <v>363</v>
      </c>
      <c r="G129" s="8" t="s">
        <v>189</v>
      </c>
      <c r="H129" s="8" t="str">
        <f ca="1">IFERROR(__xludf.DUMMYFUNCTION("VLOOKUP(G129, IMPORTRANGE(""https://docs.google.com/spreadsheets/d/14deopnvwcrKtEGCKuYXdUHJbeLDZlkiSSWWT0g7x2pM/edit#gid=999382323"", ""LU List Maths (Filter)!A:B""), 2, FALSE)"),"Addition of fractions with the same denominators")</f>
        <v>Addition of fractions with the same denominators</v>
      </c>
      <c r="I129" s="10" t="str">
        <f t="shared" si="0"/>
        <v>LU000977.001</v>
      </c>
      <c r="J129" s="10" t="str">
        <f ca="1">IFERROR(__xludf.DUMMYFUNCTION("VLOOKUP(I129, IMPORTRANGE(""https://docs.google.com/spreadsheets/d/1yDAaXNsi4Mr5FtRQL4tbmSdIzhx6_m4wkOD7IG-k_eo/edit#gid=0"", ""Maths!M:N""), 2, FALSE)"),"Recall rules for adding like fractions with the same denominators.")</f>
        <v>Recall rules for adding like fractions with the same denominators.</v>
      </c>
      <c r="K129" s="10" t="str">
        <f t="shared" si="1"/>
        <v>LU000977.002</v>
      </c>
      <c r="L129" s="10" t="str">
        <f ca="1">IFERROR(__xludf.DUMMYFUNCTION("VLOOKUP(K129, IMPORTRANGE(""https://docs.google.com/spreadsheets/d/1yDAaXNsi4Mr5FtRQL4tbmSdIzhx6_m4wkOD7IG-k_eo/edit#gid=0"", ""Maths!M:N""), 2, FALSE)"),"Explain the concept of like fractions and why the denominators must be the same for addition.")</f>
        <v>Explain the concept of like fractions and why the denominators must be the same for addition.</v>
      </c>
      <c r="M129" s="10" t="str">
        <f t="shared" si="2"/>
        <v>LU000977.003</v>
      </c>
      <c r="N129" s="10" t="str">
        <f ca="1">IFERROR(__xludf.DUMMYFUNCTION("VLOOKUP(M129, IMPORTRANGE(""https://docs.google.com/spreadsheets/d/1yDAaXNsi4Mr5FtRQL4tbmSdIzhx6_m4wkOD7IG-k_eo/edit#gid=0"", ""Maths!M:N""), 2, FALSE)"),"Apply addition techniques to add like fractions accurately.")</f>
        <v>Apply addition techniques to add like fractions accurately.</v>
      </c>
      <c r="O129" s="10" t="str">
        <f t="shared" si="3"/>
        <v>LU000977.004</v>
      </c>
      <c r="P129" s="10" t="str">
        <f ca="1">IFERROR(__xludf.DUMMYFUNCTION("VLOOKUP(O129, IMPORTRANGE(""https://docs.google.com/spreadsheets/d/1yDAaXNsi4Mr5FtRQL4tbmSdIzhx6_m4wkOD7IG-k_eo/edit#gid=0"", ""Maths!M:N""), 2, FALSE)"),"Analyze like fractions to determine their compatibility for addition.")</f>
        <v>Analyze like fractions to determine their compatibility for addition.</v>
      </c>
      <c r="Q129" s="10" t="str">
        <f t="shared" si="4"/>
        <v>LU000977.005</v>
      </c>
      <c r="R129" s="10" t="str">
        <f ca="1">IFERROR(__xludf.DUMMYFUNCTION("VLOOKUP(Q129, IMPORTRANGE(""https://docs.google.com/spreadsheets/d/1yDAaXNsi4Mr5FtRQL4tbmSdIzhx6_m4wkOD7IG-k_eo/edit#gid=0"", ""Maths!M:N""), 2, FALSE)"),"Evaluate the correctness of added like fractions, providing explanations for errors.")</f>
        <v>Evaluate the correctness of added like fractions, providing explanations for errors.</v>
      </c>
      <c r="S129" s="10" t="str">
        <f t="shared" si="5"/>
        <v>LU000977.006</v>
      </c>
      <c r="T129" s="10" t="str">
        <f ca="1">IFERROR(__xludf.DUMMYFUNCTION("VLOOKUP(S129, IMPORTRANGE(""https://docs.google.com/spreadsheets/d/1yDAaXNsi4Mr5FtRQL4tbmSdIzhx6_m4wkOD7IG-k_eo/edit#gid=0"", ""Maths!M:N""), 2, FALSE)"),"#N/A")</f>
        <v>#N/A</v>
      </c>
      <c r="U129" s="11">
        <f ca="1">IFERROR(__xludf.DUMMYFUNCTION("ArrayFormula(VLOOKUP(G129, IMPORTRANGE(""https://docs.google.com/spreadsheets/d/1p7R4vtkWt5VOBim4ltsDG9KTzSjrtKXsMtQGXPHyND0/edit#gid=795171502"", ""'Filter 30_05_2024'!A1:M2000""), {2, 3, 4, 5,6,7,8,9,10,11,12,13}, 0))"),4)</f>
        <v>4</v>
      </c>
      <c r="V129" s="11">
        <f ca="1">IFERROR(__xludf.DUMMYFUNCTION("""COMPUTED_VALUE"""),2)</f>
        <v>2</v>
      </c>
      <c r="W129" s="11">
        <f ca="1">IFERROR(__xludf.DUMMYFUNCTION("""COMPUTED_VALUE"""),2)</f>
        <v>2</v>
      </c>
      <c r="X129" s="11">
        <f ca="1">IFERROR(__xludf.DUMMYFUNCTION("""COMPUTED_VALUE"""),8)</f>
        <v>8</v>
      </c>
      <c r="Y129" s="11">
        <f ca="1">IFERROR(__xludf.DUMMYFUNCTION("""COMPUTED_VALUE"""),4)</f>
        <v>4</v>
      </c>
      <c r="Z129" s="29">
        <f ca="1">IFERROR(__xludf.DUMMYFUNCTION("""COMPUTED_VALUE"""),9)</f>
        <v>9</v>
      </c>
      <c r="AA129" s="29">
        <f ca="1">IFERROR(__xludf.DUMMYFUNCTION("""COMPUTED_VALUE"""),1)</f>
        <v>1</v>
      </c>
      <c r="AB129" s="12">
        <f ca="1">IFERROR(__xludf.DUMMYFUNCTION("""COMPUTED_VALUE"""),14)</f>
        <v>14</v>
      </c>
      <c r="AC129" s="12"/>
      <c r="AD129" s="12"/>
      <c r="AE129" s="12"/>
      <c r="AF129" s="12"/>
      <c r="AG129" s="13" t="str">
        <f ca="1">IFERROR(__xludf.DUMMYFUNCTION("ArrayFormula(VLOOKUP(G129, IMPORTRANGE(""https://docs.google.com/spreadsheets/d/1Co934fvtviyaRiMsrIlT05Jaq7iiYq07aLvRr35KA48/edit?gid=173865642#gid=173865642"", ""'G6_Maths_Pri_LU'!G2:V2000""), {3, 4, 5, 6, 7, 8, 9, 10, 11, 12, 13, 14, 15, 16}, 0))"),"LU000286")</f>
        <v>LU000286</v>
      </c>
      <c r="AH129" s="13" t="str">
        <f ca="1">IFERROR(__xludf.DUMMYFUNCTION("""COMPUTED_VALUE"""),"Definition of like and unlike fractions")</f>
        <v>Definition of like and unlike fractions</v>
      </c>
      <c r="AI129" s="13" t="str">
        <f ca="1">IFERROR(__xludf.DUMMYFUNCTION("""COMPUTED_VALUE"""),"LU000180")</f>
        <v>LU000180</v>
      </c>
      <c r="AJ129" s="13" t="str">
        <f ca="1">IFERROR(__xludf.DUMMYFUNCTION("""COMPUTED_VALUE"""),"Addition of whole numbers on number line")</f>
        <v>Addition of whole numbers on number line</v>
      </c>
      <c r="AK129" s="13"/>
      <c r="AL129" s="13"/>
      <c r="AM129" s="13"/>
      <c r="AN129" s="13"/>
      <c r="AO129" s="13"/>
      <c r="AP129" s="13"/>
      <c r="AQ129" s="13"/>
      <c r="AR129" s="13"/>
      <c r="AS129" s="13"/>
      <c r="AT129" s="13"/>
    </row>
    <row r="130" spans="1:46">
      <c r="A130" s="8" t="s">
        <v>247</v>
      </c>
      <c r="B130" s="8" t="s">
        <v>47</v>
      </c>
      <c r="C130" s="8" t="s">
        <v>48</v>
      </c>
      <c r="D130" s="8" t="s">
        <v>49</v>
      </c>
      <c r="E130" s="8" t="s">
        <v>169</v>
      </c>
      <c r="F130" s="8" t="s">
        <v>363</v>
      </c>
      <c r="G130" s="8" t="s">
        <v>190</v>
      </c>
      <c r="H130" s="8" t="str">
        <f ca="1">IFERROR(__xludf.DUMMYFUNCTION("VLOOKUP(G130, IMPORTRANGE(""https://docs.google.com/spreadsheets/d/14deopnvwcrKtEGCKuYXdUHJbeLDZlkiSSWWT0g7x2pM/edit#gid=999382323"", ""LU List Maths (Filter)!A:B""), 2, FALSE)"),"Subtraction of fractions with the same denominators")</f>
        <v>Subtraction of fractions with the same denominators</v>
      </c>
      <c r="I130" s="10" t="str">
        <f t="shared" si="0"/>
        <v>LU000978.001</v>
      </c>
      <c r="J130" s="10" t="str">
        <f ca="1">IFERROR(__xludf.DUMMYFUNCTION("VLOOKUP(I130, IMPORTRANGE(""https://docs.google.com/spreadsheets/d/1yDAaXNsi4Mr5FtRQL4tbmSdIzhx6_m4wkOD7IG-k_eo/edit#gid=0"", ""Maths!M:N""), 2, FALSE)"),"Recall rules for subtracting like fractions with the same denominators.")</f>
        <v>Recall rules for subtracting like fractions with the same denominators.</v>
      </c>
      <c r="K130" s="10" t="str">
        <f t="shared" si="1"/>
        <v>LU000978.002</v>
      </c>
      <c r="L130" s="10" t="str">
        <f ca="1">IFERROR(__xludf.DUMMYFUNCTION("VLOOKUP(K130, IMPORTRANGE(""https://docs.google.com/spreadsheets/d/1yDAaXNsi4Mr5FtRQL4tbmSdIzhx6_m4wkOD7IG-k_eo/edit#gid=0"", ""Maths!M:N""), 2, FALSE)"),"Explain the concept of like fractions and the need for common denominators in subtraction.")</f>
        <v>Explain the concept of like fractions and the need for common denominators in subtraction.</v>
      </c>
      <c r="M130" s="10" t="str">
        <f t="shared" si="2"/>
        <v>LU000978.003</v>
      </c>
      <c r="N130" s="10" t="str">
        <f ca="1">IFERROR(__xludf.DUMMYFUNCTION("VLOOKUP(M130, IMPORTRANGE(""https://docs.google.com/spreadsheets/d/1yDAaXNsi4Mr5FtRQL4tbmSdIzhx6_m4wkOD7IG-k_eo/edit#gid=0"", ""Maths!M:N""), 2, FALSE)"),"Apply subtraction techniques to subtract like fractions accurately.")</f>
        <v>Apply subtraction techniques to subtract like fractions accurately.</v>
      </c>
      <c r="O130" s="10" t="str">
        <f t="shared" si="3"/>
        <v>LU000978.004</v>
      </c>
      <c r="P130" s="10" t="str">
        <f ca="1">IFERROR(__xludf.DUMMYFUNCTION("VLOOKUP(O130, IMPORTRANGE(""https://docs.google.com/spreadsheets/d/1yDAaXNsi4Mr5FtRQL4tbmSdIzhx6_m4wkOD7IG-k_eo/edit#gid=0"", ""Maths!M:N""), 2, FALSE)"),"Analyze like fractions to determine their suitability for subtraction.")</f>
        <v>Analyze like fractions to determine their suitability for subtraction.</v>
      </c>
      <c r="Q130" s="10" t="str">
        <f t="shared" si="4"/>
        <v>LU000978.005</v>
      </c>
      <c r="R130" s="10" t="str">
        <f ca="1">IFERROR(__xludf.DUMMYFUNCTION("VLOOKUP(Q130, IMPORTRANGE(""https://docs.google.com/spreadsheets/d/1yDAaXNsi4Mr5FtRQL4tbmSdIzhx6_m4wkOD7IG-k_eo/edit#gid=0"", ""Maths!M:N""), 2, FALSE)"),"Evaluate the correctness of subtracted like fractions, providing explanations for errors.")</f>
        <v>Evaluate the correctness of subtracted like fractions, providing explanations for errors.</v>
      </c>
      <c r="S130" s="10" t="str">
        <f t="shared" si="5"/>
        <v>LU000978.006</v>
      </c>
      <c r="T130" s="10" t="str">
        <f ca="1">IFERROR(__xludf.DUMMYFUNCTION("VLOOKUP(S130, IMPORTRANGE(""https://docs.google.com/spreadsheets/d/1yDAaXNsi4Mr5FtRQL4tbmSdIzhx6_m4wkOD7IG-k_eo/edit#gid=0"", ""Maths!M:N""), 2, FALSE)"),"#N/A")</f>
        <v>#N/A</v>
      </c>
      <c r="U130" s="11">
        <f ca="1">IFERROR(__xludf.DUMMYFUNCTION("ArrayFormula(VLOOKUP(G130, IMPORTRANGE(""https://docs.google.com/spreadsheets/d/1p7R4vtkWt5VOBim4ltsDG9KTzSjrtKXsMtQGXPHyND0/edit#gid=795171502"", ""'Filter 30_05_2024'!A1:M2000""), {2, 3, 4, 5,6,7,8,9,10,11,12,13}, 0))"),4)</f>
        <v>4</v>
      </c>
      <c r="V130" s="11">
        <f ca="1">IFERROR(__xludf.DUMMYFUNCTION("""COMPUTED_VALUE"""),1)</f>
        <v>1</v>
      </c>
      <c r="W130" s="11">
        <f ca="1">IFERROR(__xludf.DUMMYFUNCTION("""COMPUTED_VALUE"""),2)</f>
        <v>2</v>
      </c>
      <c r="X130" s="11">
        <f ca="1">IFERROR(__xludf.DUMMYFUNCTION("""COMPUTED_VALUE"""),7)</f>
        <v>7</v>
      </c>
      <c r="Y130" s="11">
        <f ca="1">IFERROR(__xludf.DUMMYFUNCTION("""COMPUTED_VALUE"""),4)</f>
        <v>4</v>
      </c>
      <c r="Z130" s="29">
        <f ca="1">IFERROR(__xludf.DUMMYFUNCTION("""COMPUTED_VALUE"""),9)</f>
        <v>9</v>
      </c>
      <c r="AA130" s="29">
        <f ca="1">IFERROR(__xludf.DUMMYFUNCTION("""COMPUTED_VALUE"""),1)</f>
        <v>1</v>
      </c>
      <c r="AB130" s="12">
        <f ca="1">IFERROR(__xludf.DUMMYFUNCTION("""COMPUTED_VALUE"""),14)</f>
        <v>14</v>
      </c>
      <c r="AC130" s="12"/>
      <c r="AD130" s="12"/>
      <c r="AE130" s="12"/>
      <c r="AF130" s="12"/>
      <c r="AG130" s="13" t="str">
        <f ca="1">IFERROR(__xludf.DUMMYFUNCTION("ArrayFormula(VLOOKUP(G130, IMPORTRANGE(""https://docs.google.com/spreadsheets/d/1Co934fvtviyaRiMsrIlT05Jaq7iiYq07aLvRr35KA48/edit?gid=173865642#gid=173865642"", ""'G6_Maths_Pri_LU'!G2:V2000""), {3, 4, 5, 6, 7, 8, 9, 10, 11, 12, 13, 14, 15, 16}, 0))"),"LU000286")</f>
        <v>LU000286</v>
      </c>
      <c r="AH130" s="13" t="str">
        <f ca="1">IFERROR(__xludf.DUMMYFUNCTION("""COMPUTED_VALUE"""),"Definition of like and unlike fractions")</f>
        <v>Definition of like and unlike fractions</v>
      </c>
      <c r="AI130" s="13" t="str">
        <f ca="1">IFERROR(__xludf.DUMMYFUNCTION("""COMPUTED_VALUE"""),"LU000181")</f>
        <v>LU000181</v>
      </c>
      <c r="AJ130" s="13" t="str">
        <f ca="1">IFERROR(__xludf.DUMMYFUNCTION("""COMPUTED_VALUE"""),"Subtraction of whole numbers on number line")</f>
        <v>Subtraction of whole numbers on number line</v>
      </c>
      <c r="AK130" s="13"/>
      <c r="AL130" s="13"/>
      <c r="AM130" s="13"/>
      <c r="AN130" s="13"/>
      <c r="AO130" s="13"/>
      <c r="AP130" s="13"/>
      <c r="AQ130" s="13"/>
      <c r="AR130" s="13"/>
      <c r="AS130" s="13"/>
      <c r="AT130" s="13"/>
    </row>
    <row r="131" spans="1:46">
      <c r="A131" s="8" t="s">
        <v>247</v>
      </c>
      <c r="B131" s="8" t="s">
        <v>47</v>
      </c>
      <c r="C131" s="8" t="s">
        <v>48</v>
      </c>
      <c r="D131" s="8" t="s">
        <v>49</v>
      </c>
      <c r="E131" s="8" t="s">
        <v>169</v>
      </c>
      <c r="F131" s="8" t="s">
        <v>364</v>
      </c>
      <c r="G131" s="8" t="s">
        <v>192</v>
      </c>
      <c r="H131" s="8" t="str">
        <f ca="1">IFERROR(__xludf.DUMMYFUNCTION("VLOOKUP(G131, IMPORTRANGE(""https://docs.google.com/spreadsheets/d/14deopnvwcrKtEGCKuYXdUHJbeLDZlkiSSWWT0g7x2pM/edit#gid=999382323"", ""LU List Maths (Filter)!A:B""), 2, FALSE)"),"Addition of fractions with the different denominators")</f>
        <v>Addition of fractions with the different denominators</v>
      </c>
      <c r="I131" s="10" t="str">
        <f t="shared" si="0"/>
        <v>LU000979.001</v>
      </c>
      <c r="J131" s="10" t="str">
        <f ca="1">IFERROR(__xludf.DUMMYFUNCTION("VLOOKUP(I131, IMPORTRANGE(""https://docs.google.com/spreadsheets/d/1yDAaXNsi4Mr5FtRQL4tbmSdIzhx6_m4wkOD7IG-k_eo/edit#gid=0"", ""Maths!M:N""), 2, FALSE)"),"Recall rules for adding unlike fractions with different denominators.")</f>
        <v>Recall rules for adding unlike fractions with different denominators.</v>
      </c>
      <c r="K131" s="10" t="str">
        <f t="shared" si="1"/>
        <v>LU000979.002</v>
      </c>
      <c r="L131" s="10" t="str">
        <f ca="1">IFERROR(__xludf.DUMMYFUNCTION("VLOOKUP(K131, IMPORTRANGE(""https://docs.google.com/spreadsheets/d/1yDAaXNsi4Mr5FtRQL4tbmSdIzhx6_m4wkOD7IG-k_eo/edit#gid=0"", ""Maths!M:N""), 2, FALSE)"),"Explain the concept of unlike fractions and the need for a common denominator.")</f>
        <v>Explain the concept of unlike fractions and the need for a common denominator.</v>
      </c>
      <c r="M131" s="10" t="str">
        <f t="shared" si="2"/>
        <v>LU000979.003</v>
      </c>
      <c r="N131" s="10" t="str">
        <f ca="1">IFERROR(__xludf.DUMMYFUNCTION("VLOOKUP(M131, IMPORTRANGE(""https://docs.google.com/spreadsheets/d/1yDAaXNsi4Mr5FtRQL4tbmSdIzhx6_m4wkOD7IG-k_eo/edit#gid=0"", ""Maths!M:N""), 2, FALSE)"),"Apply addition techniques to add unlike fractions accurately.")</f>
        <v>Apply addition techniques to add unlike fractions accurately.</v>
      </c>
      <c r="O131" s="10" t="str">
        <f t="shared" si="3"/>
        <v>LU000979.004</v>
      </c>
      <c r="P131" s="10" t="str">
        <f ca="1">IFERROR(__xludf.DUMMYFUNCTION("VLOOKUP(O131, IMPORTRANGE(""https://docs.google.com/spreadsheets/d/1yDAaXNsi4Mr5FtRQL4tbmSdIzhx6_m4wkOD7IG-k_eo/edit#gid=0"", ""Maths!M:N""), 2, FALSE)"),"Analyze fractions to find the least common denominator and successfully add them.")</f>
        <v>Analyze fractions to find the least common denominator and successfully add them.</v>
      </c>
      <c r="Q131" s="10" t="str">
        <f t="shared" si="4"/>
        <v>LU000979.005</v>
      </c>
      <c r="R131" s="10" t="str">
        <f ca="1">IFERROR(__xludf.DUMMYFUNCTION("VLOOKUP(Q131, IMPORTRANGE(""https://docs.google.com/spreadsheets/d/1yDAaXNsi4Mr5FtRQL4tbmSdIzhx6_m4wkOD7IG-k_eo/edit#gid=0"", ""Maths!M:N""), 2, FALSE)"),"Evaluate the correctness of added unlike fractions, explaining errors.")</f>
        <v>Evaluate the correctness of added unlike fractions, explaining errors.</v>
      </c>
      <c r="S131" s="10" t="str">
        <f t="shared" si="5"/>
        <v>LU000979.006</v>
      </c>
      <c r="T131" s="10" t="str">
        <f ca="1">IFERROR(__xludf.DUMMYFUNCTION("VLOOKUP(S131, IMPORTRANGE(""https://docs.google.com/spreadsheets/d/1yDAaXNsi4Mr5FtRQL4tbmSdIzhx6_m4wkOD7IG-k_eo/edit#gid=0"", ""Maths!M:N""), 2, FALSE)"),"#N/A")</f>
        <v>#N/A</v>
      </c>
      <c r="U131" s="11">
        <f ca="1">IFERROR(__xludf.DUMMYFUNCTION("ArrayFormula(VLOOKUP(G131, IMPORTRANGE(""https://docs.google.com/spreadsheets/d/1p7R4vtkWt5VOBim4ltsDG9KTzSjrtKXsMtQGXPHyND0/edit#gid=795171502"", ""'Filter 30_05_2024'!A1:M2000""), {2, 3, 4, 5,6,7,8,9,10,11,12,13}, 0))"),4)</f>
        <v>4</v>
      </c>
      <c r="V131" s="11">
        <f ca="1">IFERROR(__xludf.DUMMYFUNCTION("""COMPUTED_VALUE"""),15)</f>
        <v>15</v>
      </c>
      <c r="W131" s="11">
        <f ca="1">IFERROR(__xludf.DUMMYFUNCTION("""COMPUTED_VALUE"""),2)</f>
        <v>2</v>
      </c>
      <c r="X131" s="11">
        <f ca="1">IFERROR(__xludf.DUMMYFUNCTION("""COMPUTED_VALUE"""),21)</f>
        <v>21</v>
      </c>
      <c r="Y131" s="11">
        <f ca="1">IFERROR(__xludf.DUMMYFUNCTION("""COMPUTED_VALUE"""),4)</f>
        <v>4</v>
      </c>
      <c r="Z131" s="29">
        <f ca="1">IFERROR(__xludf.DUMMYFUNCTION("""COMPUTED_VALUE"""),6)</f>
        <v>6</v>
      </c>
      <c r="AA131" s="29">
        <f ca="1">IFERROR(__xludf.DUMMYFUNCTION("""COMPUTED_VALUE"""),1)</f>
        <v>1</v>
      </c>
      <c r="AB131" s="12">
        <f ca="1">IFERROR(__xludf.DUMMYFUNCTION("""COMPUTED_VALUE"""),11)</f>
        <v>11</v>
      </c>
      <c r="AC131" s="12"/>
      <c r="AD131" s="12"/>
      <c r="AE131" s="12"/>
      <c r="AF131" s="12"/>
      <c r="AG131" s="13" t="str">
        <f ca="1">IFERROR(__xludf.DUMMYFUNCTION("ArrayFormula(VLOOKUP(G131, IMPORTRANGE(""https://docs.google.com/spreadsheets/d/1Co934fvtviyaRiMsrIlT05Jaq7iiYq07aLvRr35KA48/edit?gid=173865642#gid=173865642"", ""'G6_Maths_Pri_LU'!G2:V2000""), {3, 4, 5, 6, 7, 8, 9, 10, 11, 12, 13, 14, 15, 16}, 0))"),"LU000977")</f>
        <v>LU000977</v>
      </c>
      <c r="AH131" s="13" t="str">
        <f ca="1">IFERROR(__xludf.DUMMYFUNCTION("""COMPUTED_VALUE"""),"Addition of fractions with the same denominators")</f>
        <v>Addition of fractions with the same denominators</v>
      </c>
      <c r="AI131" s="13" t="str">
        <f ca="1">IFERROR(__xludf.DUMMYFUNCTION("""COMPUTED_VALUE"""),"LU000212")</f>
        <v>LU000212</v>
      </c>
      <c r="AJ131" s="13" t="str">
        <f ca="1">IFERROR(__xludf.DUMMYFUNCTION("""COMPUTED_VALUE"""),"Least Common Multiple (LCM) of the numbers")</f>
        <v>Least Common Multiple (LCM) of the numbers</v>
      </c>
      <c r="AK131" s="13" t="str">
        <f ca="1">IFERROR(__xludf.DUMMYFUNCTION("""COMPUTED_VALUE"""),"LU000058")</f>
        <v>LU000058</v>
      </c>
      <c r="AL131" s="13" t="str">
        <f ca="1">IFERROR(__xludf.DUMMYFUNCTION("""COMPUTED_VALUE"""),"Definition of common multiples")</f>
        <v>Definition of common multiples</v>
      </c>
      <c r="AM131" s="13" t="str">
        <f ca="1">IFERROR(__xludf.DUMMYFUNCTION("""COMPUTED_VALUE"""),"LU000286")</f>
        <v>LU000286</v>
      </c>
      <c r="AN131" s="13" t="str">
        <f ca="1">IFERROR(__xludf.DUMMYFUNCTION("""COMPUTED_VALUE"""),"Definition of like and unlike fractions")</f>
        <v>Definition of like and unlike fractions</v>
      </c>
      <c r="AO131" s="13"/>
      <c r="AP131" s="13"/>
      <c r="AQ131" s="13"/>
      <c r="AR131" s="13"/>
      <c r="AS131" s="13"/>
      <c r="AT131" s="13"/>
    </row>
    <row r="132" spans="1:46">
      <c r="A132" s="8" t="s">
        <v>247</v>
      </c>
      <c r="B132" s="8" t="s">
        <v>47</v>
      </c>
      <c r="C132" s="8" t="s">
        <v>48</v>
      </c>
      <c r="D132" s="8" t="s">
        <v>49</v>
      </c>
      <c r="E132" s="8" t="s">
        <v>169</v>
      </c>
      <c r="F132" s="8" t="s">
        <v>364</v>
      </c>
      <c r="G132" s="8" t="s">
        <v>193</v>
      </c>
      <c r="H132" s="8" t="str">
        <f ca="1">IFERROR(__xludf.DUMMYFUNCTION("VLOOKUP(G132, IMPORTRANGE(""https://docs.google.com/spreadsheets/d/14deopnvwcrKtEGCKuYXdUHJbeLDZlkiSSWWT0g7x2pM/edit#gid=999382323"", ""LU List Maths (Filter)!A:B""), 2, FALSE)"),"Subtraction of fractions with the different denominators")</f>
        <v>Subtraction of fractions with the different denominators</v>
      </c>
      <c r="I132" s="10" t="str">
        <f t="shared" si="0"/>
        <v>LU000980.001</v>
      </c>
      <c r="J132" s="10" t="str">
        <f ca="1">IFERROR(__xludf.DUMMYFUNCTION("VLOOKUP(I132, IMPORTRANGE(""https://docs.google.com/spreadsheets/d/1yDAaXNsi4Mr5FtRQL4tbmSdIzhx6_m4wkOD7IG-k_eo/edit#gid=0"", ""Maths!M:N""), 2, FALSE)"),"Recall rules for subtracting unlike fractions with different denominators.")</f>
        <v>Recall rules for subtracting unlike fractions with different denominators.</v>
      </c>
      <c r="K132" s="10" t="str">
        <f t="shared" si="1"/>
        <v>LU000980.002</v>
      </c>
      <c r="L132" s="10" t="str">
        <f ca="1">IFERROR(__xludf.DUMMYFUNCTION("VLOOKUP(K132, IMPORTRANGE(""https://docs.google.com/spreadsheets/d/1yDAaXNsi4Mr5FtRQL4tbmSdIzhx6_m4wkOD7IG-k_eo/edit#gid=0"", ""Maths!M:N""), 2, FALSE)"),"Explain the concept of unlike fractions and the need for a common denominator in subtraction.")</f>
        <v>Explain the concept of unlike fractions and the need for a common denominator in subtraction.</v>
      </c>
      <c r="M132" s="10" t="str">
        <f t="shared" si="2"/>
        <v>LU000980.003</v>
      </c>
      <c r="N132" s="10" t="str">
        <f ca="1">IFERROR(__xludf.DUMMYFUNCTION("VLOOKUP(M132, IMPORTRANGE(""https://docs.google.com/spreadsheets/d/1yDAaXNsi4Mr5FtRQL4tbmSdIzhx6_m4wkOD7IG-k_eo/edit#gid=0"", ""Maths!M:N""), 2, FALSE)"),"Apply subtraction techniques to subtract unlike fractions accurately.")</f>
        <v>Apply subtraction techniques to subtract unlike fractions accurately.</v>
      </c>
      <c r="O132" s="10" t="str">
        <f t="shared" si="3"/>
        <v>LU000980.004</v>
      </c>
      <c r="P132" s="10" t="str">
        <f ca="1">IFERROR(__xludf.DUMMYFUNCTION("VLOOKUP(O132, IMPORTRANGE(""https://docs.google.com/spreadsheets/d/1yDAaXNsi4Mr5FtRQL4tbmSdIzhx6_m4wkOD7IG-k_eo/edit#gid=0"", ""Maths!M:N""), 2, FALSE)"),"Analyze fractions to find the least common denominator and successfully subtract them.")</f>
        <v>Analyze fractions to find the least common denominator and successfully subtract them.</v>
      </c>
      <c r="Q132" s="10" t="str">
        <f t="shared" si="4"/>
        <v>LU000980.005</v>
      </c>
      <c r="R132" s="10" t="str">
        <f ca="1">IFERROR(__xludf.DUMMYFUNCTION("VLOOKUP(Q132, IMPORTRANGE(""https://docs.google.com/spreadsheets/d/1yDAaXNsi4Mr5FtRQL4tbmSdIzhx6_m4wkOD7IG-k_eo/edit#gid=0"", ""Maths!M:N""), 2, FALSE)"),"Evaluate the correctness of subtracted unlike fractions, providing explanations for errors.")</f>
        <v>Evaluate the correctness of subtracted unlike fractions, providing explanations for errors.</v>
      </c>
      <c r="S132" s="10" t="str">
        <f t="shared" si="5"/>
        <v>LU000980.006</v>
      </c>
      <c r="T132" s="10" t="str">
        <f ca="1">IFERROR(__xludf.DUMMYFUNCTION("VLOOKUP(S132, IMPORTRANGE(""https://docs.google.com/spreadsheets/d/1yDAaXNsi4Mr5FtRQL4tbmSdIzhx6_m4wkOD7IG-k_eo/edit#gid=0"", ""Maths!M:N""), 2, FALSE)"),"#N/A")</f>
        <v>#N/A</v>
      </c>
      <c r="U132" s="11">
        <f ca="1">IFERROR(__xludf.DUMMYFUNCTION("ArrayFormula(VLOOKUP(G132, IMPORTRANGE(""https://docs.google.com/spreadsheets/d/1p7R4vtkWt5VOBim4ltsDG9KTzSjrtKXsMtQGXPHyND0/edit#gid=795171502"", ""'Filter 30_05_2024'!A1:M2000""), {2, 3, 4, 5,6,7,8,9,10,11,12,13}, 0))"),4)</f>
        <v>4</v>
      </c>
      <c r="V132" s="11">
        <f ca="1">IFERROR(__xludf.DUMMYFUNCTION("""COMPUTED_VALUE"""),16)</f>
        <v>16</v>
      </c>
      <c r="W132" s="11">
        <f ca="1">IFERROR(__xludf.DUMMYFUNCTION("""COMPUTED_VALUE"""),2)</f>
        <v>2</v>
      </c>
      <c r="X132" s="11">
        <f ca="1">IFERROR(__xludf.DUMMYFUNCTION("""COMPUTED_VALUE"""),22)</f>
        <v>22</v>
      </c>
      <c r="Y132" s="11">
        <f ca="1">IFERROR(__xludf.DUMMYFUNCTION("""COMPUTED_VALUE"""),4)</f>
        <v>4</v>
      </c>
      <c r="Z132" s="29">
        <f ca="1">IFERROR(__xludf.DUMMYFUNCTION("""COMPUTED_VALUE"""),10)</f>
        <v>10</v>
      </c>
      <c r="AA132" s="29">
        <f ca="1">IFERROR(__xludf.DUMMYFUNCTION("""COMPUTED_VALUE"""),1)</f>
        <v>1</v>
      </c>
      <c r="AB132" s="12">
        <f ca="1">IFERROR(__xludf.DUMMYFUNCTION("""COMPUTED_VALUE"""),15)</f>
        <v>15</v>
      </c>
      <c r="AC132" s="12"/>
      <c r="AD132" s="12"/>
      <c r="AE132" s="12"/>
      <c r="AF132" s="12"/>
      <c r="AG132" s="13" t="str">
        <f ca="1">IFERROR(__xludf.DUMMYFUNCTION("ArrayFormula(VLOOKUP(G132, IMPORTRANGE(""https://docs.google.com/spreadsheets/d/1Co934fvtviyaRiMsrIlT05Jaq7iiYq07aLvRr35KA48/edit?gid=173865642#gid=173865642"", ""'G6_Maths_Pri_LU'!G2:V2000""), {3, 4, 5, 6, 7, 8, 9, 10, 11, 12, 13, 14, 15, 16}, 0))"),"LU000978")</f>
        <v>LU000978</v>
      </c>
      <c r="AH132" s="13" t="str">
        <f ca="1">IFERROR(__xludf.DUMMYFUNCTION("""COMPUTED_VALUE"""),"Subtraction of fractions with the same denominators")</f>
        <v>Subtraction of fractions with the same denominators</v>
      </c>
      <c r="AI132" s="13" t="str">
        <f ca="1">IFERROR(__xludf.DUMMYFUNCTION("""COMPUTED_VALUE"""),"LU000212")</f>
        <v>LU000212</v>
      </c>
      <c r="AJ132" s="13" t="str">
        <f ca="1">IFERROR(__xludf.DUMMYFUNCTION("""COMPUTED_VALUE"""),"Least Common Multiple (LCM) of the numbers")</f>
        <v>Least Common Multiple (LCM) of the numbers</v>
      </c>
      <c r="AK132" s="13" t="str">
        <f ca="1">IFERROR(__xludf.DUMMYFUNCTION("""COMPUTED_VALUE"""),"LU000058")</f>
        <v>LU000058</v>
      </c>
      <c r="AL132" s="13" t="str">
        <f ca="1">IFERROR(__xludf.DUMMYFUNCTION("""COMPUTED_VALUE"""),"Definition of common multiples")</f>
        <v>Definition of common multiples</v>
      </c>
      <c r="AM132" s="13" t="str">
        <f ca="1">IFERROR(__xludf.DUMMYFUNCTION("""COMPUTED_VALUE"""),"LU000286")</f>
        <v>LU000286</v>
      </c>
      <c r="AN132" s="13" t="str">
        <f ca="1">IFERROR(__xludf.DUMMYFUNCTION("""COMPUTED_VALUE"""),"Definition of like and unlike fractions")</f>
        <v>Definition of like and unlike fractions</v>
      </c>
      <c r="AO132" s="13"/>
      <c r="AP132" s="13"/>
      <c r="AQ132" s="13"/>
      <c r="AR132" s="13"/>
      <c r="AS132" s="13"/>
      <c r="AT132" s="13"/>
    </row>
    <row r="133" spans="1:46">
      <c r="A133" s="8" t="s">
        <v>247</v>
      </c>
      <c r="B133" s="8" t="s">
        <v>47</v>
      </c>
      <c r="C133" s="8" t="s">
        <v>48</v>
      </c>
      <c r="D133" s="8" t="s">
        <v>49</v>
      </c>
      <c r="E133" s="8" t="s">
        <v>169</v>
      </c>
      <c r="F133" s="8" t="s">
        <v>365</v>
      </c>
      <c r="G133" s="8" t="s">
        <v>366</v>
      </c>
      <c r="H133" s="8" t="str">
        <f ca="1">IFERROR(__xludf.DUMMYFUNCTION("VLOOKUP(G133, IMPORTRANGE(""https://docs.google.com/spreadsheets/d/14deopnvwcrKtEGCKuYXdUHJbeLDZlkiSSWWT0g7x2pM/edit#gid=999382323"", ""LU List Maths (Filter)!A:B""), 2, FALSE)"),"Addition of mixed fractions")</f>
        <v>Addition of mixed fractions</v>
      </c>
      <c r="I133" s="10" t="str">
        <f t="shared" si="0"/>
        <v>LU000981.001</v>
      </c>
      <c r="J133" s="10" t="str">
        <f ca="1">IFERROR(__xludf.DUMMYFUNCTION("VLOOKUP(I133, IMPORTRANGE(""https://docs.google.com/spreadsheets/d/1yDAaXNsi4Mr5FtRQL4tbmSdIzhx6_m4wkOD7IG-k_eo/edit#gid=0"", ""Maths!M:N""), 2, FALSE)"),"Recall rules for adding mixed fractions with proper and improper fractions.")</f>
        <v>Recall rules for adding mixed fractions with proper and improper fractions.</v>
      </c>
      <c r="K133" s="10" t="str">
        <f t="shared" si="1"/>
        <v>LU000981.002</v>
      </c>
      <c r="L133" s="10" t="str">
        <f ca="1">IFERROR(__xludf.DUMMYFUNCTION("VLOOKUP(K133, IMPORTRANGE(""https://docs.google.com/spreadsheets/d/1yDAaXNsi4Mr5FtRQL4tbmSdIzhx6_m4wkOD7IG-k_eo/edit#gid=0"", ""Maths!M:N""), 2, FALSE)"),"Explain the concept of mixed fractions and the steps for adding them, including finding a common denominator.")</f>
        <v>Explain the concept of mixed fractions and the steps for adding them, including finding a common denominator.</v>
      </c>
      <c r="M133" s="10" t="str">
        <f t="shared" si="2"/>
        <v>LU000981.003</v>
      </c>
      <c r="N133" s="10" t="str">
        <f ca="1">IFERROR(__xludf.DUMMYFUNCTION("VLOOKUP(M133, IMPORTRANGE(""https://docs.google.com/spreadsheets/d/1yDAaXNsi4Mr5FtRQL4tbmSdIzhx6_m4wkOD7IG-k_eo/edit#gid=0"", ""Maths!M:N""), 2, FALSE)"),"Apply addition techniques to add mixed fractions accurately, converting to improper fractions when needed.")</f>
        <v>Apply addition techniques to add mixed fractions accurately, converting to improper fractions when needed.</v>
      </c>
      <c r="O133" s="10" t="str">
        <f t="shared" si="3"/>
        <v>LU000981.004</v>
      </c>
      <c r="P133" s="10" t="str">
        <f ca="1">IFERROR(__xludf.DUMMYFUNCTION("VLOOKUP(O133, IMPORTRANGE(""https://docs.google.com/spreadsheets/d/1yDAaXNsi4Mr5FtRQL4tbmSdIzhx6_m4wkOD7IG-k_eo/edit#gid=0"", ""Maths!M:N""), 2, FALSE)"),"Analyze mixed fractions to find the least common denominator and add them correctly.")</f>
        <v>Analyze mixed fractions to find the least common denominator and add them correctly.</v>
      </c>
      <c r="Q133" s="10" t="str">
        <f t="shared" si="4"/>
        <v>LU000981.005</v>
      </c>
      <c r="R133" s="10" t="str">
        <f ca="1">IFERROR(__xludf.DUMMYFUNCTION("VLOOKUP(Q133, IMPORTRANGE(""https://docs.google.com/spreadsheets/d/1yDAaXNsi4Mr5FtRQL4tbmSdIzhx6_m4wkOD7IG-k_eo/edit#gid=0"", ""Maths!M:N""), 2, FALSE)"),"Evaluate the correctness of added mixed fractions, explaining errors.")</f>
        <v>Evaluate the correctness of added mixed fractions, explaining errors.</v>
      </c>
      <c r="S133" s="10" t="str">
        <f t="shared" si="5"/>
        <v>LU000981.006</v>
      </c>
      <c r="T133" s="10" t="str">
        <f ca="1">IFERROR(__xludf.DUMMYFUNCTION("VLOOKUP(S133, IMPORTRANGE(""https://docs.google.com/spreadsheets/d/1yDAaXNsi4Mr5FtRQL4tbmSdIzhx6_m4wkOD7IG-k_eo/edit#gid=0"", ""Maths!M:N""), 2, FALSE)"),"#N/A")</f>
        <v>#N/A</v>
      </c>
      <c r="U133" s="11">
        <f ca="1">IFERROR(__xludf.DUMMYFUNCTION("ArrayFormula(VLOOKUP(G133, IMPORTRANGE(""https://docs.google.com/spreadsheets/d/1p7R4vtkWt5VOBim4ltsDG9KTzSjrtKXsMtQGXPHyND0/edit#gid=795171502"", ""'Filter 30_05_2024'!A1:M2000""), {2, 3, 4, 5,6,7,8,9,10,11,12,13}, 0))"),10)</f>
        <v>10</v>
      </c>
      <c r="V133" s="11">
        <f ca="1">IFERROR(__xludf.DUMMYFUNCTION("""COMPUTED_VALUE"""),11)</f>
        <v>11</v>
      </c>
      <c r="W133" s="11">
        <f ca="1">IFERROR(__xludf.DUMMYFUNCTION("""COMPUTED_VALUE"""),5)</f>
        <v>5</v>
      </c>
      <c r="X133" s="11">
        <f ca="1">IFERROR(__xludf.DUMMYFUNCTION("""COMPUTED_VALUE"""),26)</f>
        <v>26</v>
      </c>
      <c r="Y133" s="11">
        <f ca="1">IFERROR(__xludf.DUMMYFUNCTION("""COMPUTED_VALUE"""),6)</f>
        <v>6</v>
      </c>
      <c r="Z133" s="29">
        <f ca="1">IFERROR(__xludf.DUMMYFUNCTION("""COMPUTED_VALUE"""),6)</f>
        <v>6</v>
      </c>
      <c r="AA133" s="29">
        <f ca="1">IFERROR(__xludf.DUMMYFUNCTION("""COMPUTED_VALUE"""),2)</f>
        <v>2</v>
      </c>
      <c r="AB133" s="12">
        <f ca="1">IFERROR(__xludf.DUMMYFUNCTION("""COMPUTED_VALUE"""),14)</f>
        <v>14</v>
      </c>
      <c r="AC133" s="12"/>
      <c r="AD133" s="12"/>
      <c r="AE133" s="12"/>
      <c r="AF133" s="12"/>
      <c r="AG133" s="13" t="str">
        <f ca="1">IFERROR(__xludf.DUMMYFUNCTION("ArrayFormula(VLOOKUP(G133, IMPORTRANGE(""https://docs.google.com/spreadsheets/d/1Co934fvtviyaRiMsrIlT05Jaq7iiYq07aLvRr35KA48/edit?gid=173865642#gid=173865642"", ""'G6_Maths_Pri_LU'!G2:V2000""), {3, 4, 5, 6, 7, 8, 9, 10, 11, 12, 13, 14, 15, 16}, 0))"),"LU000976")</f>
        <v>LU000976</v>
      </c>
      <c r="AH133" s="13" t="str">
        <f ca="1">IFERROR(__xludf.DUMMYFUNCTION("""COMPUTED_VALUE"""),"Conversion of mixed fraction to improper fraction ")</f>
        <v xml:space="preserve">Conversion of mixed fraction to improper fraction </v>
      </c>
      <c r="AI133" s="13" t="str">
        <f ca="1">IFERROR(__xludf.DUMMYFUNCTION("""COMPUTED_VALUE"""),"LU000979")</f>
        <v>LU000979</v>
      </c>
      <c r="AJ133" s="13" t="str">
        <f ca="1">IFERROR(__xludf.DUMMYFUNCTION("""COMPUTED_VALUE"""),"Addition of fractions with the different denominators")</f>
        <v>Addition of fractions with the different denominators</v>
      </c>
      <c r="AK133" s="13" t="str">
        <f ca="1">IFERROR(__xludf.DUMMYFUNCTION("""COMPUTED_VALUE"""),"LU000977")</f>
        <v>LU000977</v>
      </c>
      <c r="AL133" s="13" t="str">
        <f ca="1">IFERROR(__xludf.DUMMYFUNCTION("""COMPUTED_VALUE"""),"Addition of fractions with the same denominators")</f>
        <v>Addition of fractions with the same denominators</v>
      </c>
      <c r="AM133" s="13" t="str">
        <f ca="1">IFERROR(__xludf.DUMMYFUNCTION("""COMPUTED_VALUE"""),"LU000283")</f>
        <v>LU000283</v>
      </c>
      <c r="AN133" s="13" t="str">
        <f ca="1">IFERROR(__xludf.DUMMYFUNCTION("""COMPUTED_VALUE"""),"Definition of mixed fractions")</f>
        <v>Definition of mixed fractions</v>
      </c>
      <c r="AO133" s="13"/>
      <c r="AP133" s="13"/>
      <c r="AQ133" s="13"/>
      <c r="AR133" s="13"/>
      <c r="AS133" s="13"/>
      <c r="AT133" s="13"/>
    </row>
    <row r="134" spans="1:46">
      <c r="A134" s="8" t="s">
        <v>247</v>
      </c>
      <c r="B134" s="8" t="s">
        <v>47</v>
      </c>
      <c r="C134" s="8" t="s">
        <v>48</v>
      </c>
      <c r="D134" s="8" t="s">
        <v>49</v>
      </c>
      <c r="E134" s="8" t="s">
        <v>169</v>
      </c>
      <c r="F134" s="8" t="s">
        <v>365</v>
      </c>
      <c r="G134" s="8" t="s">
        <v>367</v>
      </c>
      <c r="H134" s="8" t="str">
        <f ca="1">IFERROR(__xludf.DUMMYFUNCTION("VLOOKUP(G134, IMPORTRANGE(""https://docs.google.com/spreadsheets/d/14deopnvwcrKtEGCKuYXdUHJbeLDZlkiSSWWT0g7x2pM/edit#gid=999382323"", ""LU List Maths (Filter)!A:B""), 2, FALSE)"),"Subtraction of mixed fractions")</f>
        <v>Subtraction of mixed fractions</v>
      </c>
      <c r="I134" s="10" t="str">
        <f t="shared" si="0"/>
        <v>LU000982.001</v>
      </c>
      <c r="J134" s="10" t="str">
        <f ca="1">IFERROR(__xludf.DUMMYFUNCTION("VLOOKUP(I134, IMPORTRANGE(""https://docs.google.com/spreadsheets/d/1yDAaXNsi4Mr5FtRQL4tbmSdIzhx6_m4wkOD7IG-k_eo/edit#gid=0"", ""Maths!M:N""), 2, FALSE)"),"Recall rules for subtracting mixed fractions with proper and improper fractions.")</f>
        <v>Recall rules for subtracting mixed fractions with proper and improper fractions.</v>
      </c>
      <c r="K134" s="10" t="str">
        <f t="shared" si="1"/>
        <v>LU000982.002</v>
      </c>
      <c r="L134" s="10" t="str">
        <f ca="1">IFERROR(__xludf.DUMMYFUNCTION("VLOOKUP(K134, IMPORTRANGE(""https://docs.google.com/spreadsheets/d/1yDAaXNsi4Mr5FtRQL4tbmSdIzhx6_m4wkOD7IG-k_eo/edit#gid=0"", ""Maths!M:N""), 2, FALSE)"),"Explain the concept of mixed fractions and the steps for subtracting them, including finding a common denominator.")</f>
        <v>Explain the concept of mixed fractions and the steps for subtracting them, including finding a common denominator.</v>
      </c>
      <c r="M134" s="10" t="str">
        <f t="shared" si="2"/>
        <v>LU000982.003</v>
      </c>
      <c r="N134" s="10" t="str">
        <f ca="1">IFERROR(__xludf.DUMMYFUNCTION("VLOOKUP(M134, IMPORTRANGE(""https://docs.google.com/spreadsheets/d/1yDAaXNsi4Mr5FtRQL4tbmSdIzhx6_m4wkOD7IG-k_eo/edit#gid=0"", ""Maths!M:N""), 2, FALSE)"),"Apply subtraction techniques to subtract mixed fractions accurately, converting to improper fractions when needed.")</f>
        <v>Apply subtraction techniques to subtract mixed fractions accurately, converting to improper fractions when needed.</v>
      </c>
      <c r="O134" s="10" t="str">
        <f t="shared" si="3"/>
        <v>LU000982.004</v>
      </c>
      <c r="P134" s="10" t="str">
        <f ca="1">IFERROR(__xludf.DUMMYFUNCTION("VLOOKUP(O134, IMPORTRANGE(""https://docs.google.com/spreadsheets/d/1yDAaXNsi4Mr5FtRQL4tbmSdIzhx6_m4wkOD7IG-k_eo/edit#gid=0"", ""Maths!M:N""), 2, FALSE)"),"Analyze mixed fractions to find the least common denominator and subtract them correctly.")</f>
        <v>Analyze mixed fractions to find the least common denominator and subtract them correctly.</v>
      </c>
      <c r="Q134" s="10" t="str">
        <f t="shared" si="4"/>
        <v>LU000982.005</v>
      </c>
      <c r="R134" s="10" t="str">
        <f ca="1">IFERROR(__xludf.DUMMYFUNCTION("VLOOKUP(Q134, IMPORTRANGE(""https://docs.google.com/spreadsheets/d/1yDAaXNsi4Mr5FtRQL4tbmSdIzhx6_m4wkOD7IG-k_eo/edit#gid=0"", ""Maths!M:N""), 2, FALSE)"),"Evaluate the correctness of subtracted mixed fractions, explaining errors.")</f>
        <v>Evaluate the correctness of subtracted mixed fractions, explaining errors.</v>
      </c>
      <c r="S134" s="10" t="str">
        <f t="shared" si="5"/>
        <v>LU000982.006</v>
      </c>
      <c r="T134" s="10" t="str">
        <f ca="1">IFERROR(__xludf.DUMMYFUNCTION("VLOOKUP(S134, IMPORTRANGE(""https://docs.google.com/spreadsheets/d/1yDAaXNsi4Mr5FtRQL4tbmSdIzhx6_m4wkOD7IG-k_eo/edit#gid=0"", ""Maths!M:N""), 2, FALSE)"),"#N/A")</f>
        <v>#N/A</v>
      </c>
      <c r="U134" s="11">
        <f ca="1">IFERROR(__xludf.DUMMYFUNCTION("ArrayFormula(VLOOKUP(G134, IMPORTRANGE(""https://docs.google.com/spreadsheets/d/1p7R4vtkWt5VOBim4ltsDG9KTzSjrtKXsMtQGXPHyND0/edit#gid=795171502"", ""'Filter 30_05_2024'!A1:M2000""), {2, 3, 4, 5,6,7,8,9,10,11,12,13}, 0))"),4)</f>
        <v>4</v>
      </c>
      <c r="V134" s="11">
        <f ca="1">IFERROR(__xludf.DUMMYFUNCTION("""COMPUTED_VALUE"""),17)</f>
        <v>17</v>
      </c>
      <c r="W134" s="11">
        <f ca="1">IFERROR(__xludf.DUMMYFUNCTION("""COMPUTED_VALUE"""),3)</f>
        <v>3</v>
      </c>
      <c r="X134" s="11">
        <f ca="1">IFERROR(__xludf.DUMMYFUNCTION("""COMPUTED_VALUE"""),24)</f>
        <v>24</v>
      </c>
      <c r="Y134" s="11">
        <f ca="1">IFERROR(__xludf.DUMMYFUNCTION("""COMPUTED_VALUE"""),4)</f>
        <v>4</v>
      </c>
      <c r="Z134" s="29">
        <f ca="1">IFERROR(__xludf.DUMMYFUNCTION("""COMPUTED_VALUE"""),14)</f>
        <v>14</v>
      </c>
      <c r="AA134" s="29">
        <f ca="1">IFERROR(__xludf.DUMMYFUNCTION("""COMPUTED_VALUE"""),6)</f>
        <v>6</v>
      </c>
      <c r="AB134" s="12">
        <f ca="1">IFERROR(__xludf.DUMMYFUNCTION("""COMPUTED_VALUE"""),24)</f>
        <v>24</v>
      </c>
      <c r="AC134" s="12"/>
      <c r="AD134" s="12">
        <f ca="1">IFERROR(__xludf.DUMMYFUNCTION("""COMPUTED_VALUE"""),1)</f>
        <v>1</v>
      </c>
      <c r="AE134" s="12"/>
      <c r="AF134" s="12">
        <f ca="1">IFERROR(__xludf.DUMMYFUNCTION("""COMPUTED_VALUE"""),1)</f>
        <v>1</v>
      </c>
      <c r="AG134" s="13" t="str">
        <f ca="1">IFERROR(__xludf.DUMMYFUNCTION("ArrayFormula(VLOOKUP(G134, IMPORTRANGE(""https://docs.google.com/spreadsheets/d/1Co934fvtviyaRiMsrIlT05Jaq7iiYq07aLvRr35KA48/edit?gid=173865642#gid=173865642"", ""'G6_Maths_Pri_LU'!G2:V2000""), {3, 4, 5, 6, 7, 8, 9, 10, 11, 12, 13, 14, 15, 16}, 0))"),"LU000976")</f>
        <v>LU000976</v>
      </c>
      <c r="AH134" s="13" t="str">
        <f ca="1">IFERROR(__xludf.DUMMYFUNCTION("""COMPUTED_VALUE"""),"Conversion of mixed fraction to improper fraction ")</f>
        <v xml:space="preserve">Conversion of mixed fraction to improper fraction </v>
      </c>
      <c r="AI134" s="13" t="str">
        <f ca="1">IFERROR(__xludf.DUMMYFUNCTION("""COMPUTED_VALUE"""),"LU000980")</f>
        <v>LU000980</v>
      </c>
      <c r="AJ134" s="13" t="str">
        <f ca="1">IFERROR(__xludf.DUMMYFUNCTION("""COMPUTED_VALUE"""),"Subtraction of fractions with the different denominators")</f>
        <v>Subtraction of fractions with the different denominators</v>
      </c>
      <c r="AK134" s="13" t="str">
        <f ca="1">IFERROR(__xludf.DUMMYFUNCTION("""COMPUTED_VALUE"""),"LU000978")</f>
        <v>LU000978</v>
      </c>
      <c r="AL134" s="13" t="str">
        <f ca="1">IFERROR(__xludf.DUMMYFUNCTION("""COMPUTED_VALUE"""),"Subtraction of fractions with the same denominators")</f>
        <v>Subtraction of fractions with the same denominators</v>
      </c>
      <c r="AM134" s="13" t="str">
        <f ca="1">IFERROR(__xludf.DUMMYFUNCTION("""COMPUTED_VALUE"""),"LU000283")</f>
        <v>LU000283</v>
      </c>
      <c r="AN134" s="13" t="str">
        <f ca="1">IFERROR(__xludf.DUMMYFUNCTION("""COMPUTED_VALUE"""),"Definition of mixed fractions")</f>
        <v>Definition of mixed fractions</v>
      </c>
      <c r="AO134" s="13"/>
      <c r="AP134" s="13"/>
      <c r="AQ134" s="13"/>
      <c r="AR134" s="13"/>
      <c r="AS134" s="13"/>
      <c r="AT134" s="13"/>
    </row>
    <row r="135" spans="1:46">
      <c r="A135" s="8" t="s">
        <v>247</v>
      </c>
      <c r="B135" s="8" t="s">
        <v>47</v>
      </c>
      <c r="C135" s="8" t="s">
        <v>48</v>
      </c>
      <c r="D135" s="8" t="s">
        <v>49</v>
      </c>
      <c r="E135" s="8" t="s">
        <v>368</v>
      </c>
      <c r="F135" s="8" t="s">
        <v>369</v>
      </c>
      <c r="G135" s="8" t="s">
        <v>370</v>
      </c>
      <c r="H135" s="8" t="str">
        <f ca="1">IFERROR(__xludf.DUMMYFUNCTION("VLOOKUP(G135, IMPORTRANGE(""https://docs.google.com/spreadsheets/d/14deopnvwcrKtEGCKuYXdUHJbeLDZlkiSSWWT0g7x2pM/edit#gid=999382323"", ""LU List Maths (Filter)!A:B""), 2, FALSE)"),"Definition of decimal number")</f>
        <v>Definition of decimal number</v>
      </c>
      <c r="I135" s="10" t="str">
        <f t="shared" si="0"/>
        <v>LU000292.001</v>
      </c>
      <c r="J135" s="10" t="str">
        <f ca="1">IFERROR(__xludf.DUMMYFUNCTION("VLOOKUP(I135, IMPORTRANGE(""https://docs.google.com/spreadsheets/d/1yDAaXNsi4Mr5FtRQL4tbmSdIzhx6_m4wkOD7IG-k_eo/edit#gid=0"", ""Maths!M:N""), 2, FALSE)"),"Definition of a decimal number and identify its key components (such as digits, decimal point, place value)")</f>
        <v>Definition of a decimal number and identify its key components (such as digits, decimal point, place value)</v>
      </c>
      <c r="K135" s="10" t="str">
        <f t="shared" si="1"/>
        <v>LU000292.002</v>
      </c>
      <c r="L135" s="10" t="str">
        <f ca="1">IFERROR(__xludf.DUMMYFUNCTION("VLOOKUP(K135, IMPORTRANGE(""https://docs.google.com/spreadsheets/d/1yDAaXNsi4Mr5FtRQL4tbmSdIzhx6_m4wkOD7IG-k_eo/edit#gid=0"", ""Maths!M:N""), 2, FALSE)"),"Describe how a decimal number combines a whole number part and a fraction part using a decimal point to separate them.")</f>
        <v>Describe how a decimal number combines a whole number part and a fraction part using a decimal point to separate them.</v>
      </c>
      <c r="M135" s="10" t="str">
        <f t="shared" si="2"/>
        <v>LU000292.003</v>
      </c>
      <c r="N135" s="10" t="str">
        <f ca="1">IFERROR(__xludf.DUMMYFUNCTION("VLOOKUP(M135, IMPORTRANGE(""https://docs.google.com/spreadsheets/d/1yDAaXNsi4Mr5FtRQL4tbmSdIzhx6_m4wkOD7IG-k_eo/edit#gid=0"", ""Maths!M:N""), 2, FALSE)"),"Apply the understanding of decimal numbers to correctly identify decimal numbers from a given set of numbers.")</f>
        <v>Apply the understanding of decimal numbers to correctly identify decimal numbers from a given set of numbers.</v>
      </c>
      <c r="O135" s="10" t="str">
        <f t="shared" si="3"/>
        <v>LU000292.004</v>
      </c>
      <c r="P135" s="10" t="str">
        <f ca="1">IFERROR(__xludf.DUMMYFUNCTION("VLOOKUP(O135, IMPORTRANGE(""https://docs.google.com/spreadsheets/d/1yDAaXNsi4Mr5FtRQL4tbmSdIzhx6_m4wkOD7IG-k_eo/edit#gid=0"", ""Maths!M:N""), 2, FALSE)"),"Examine how the position of digits in a decimal number relates to place value")</f>
        <v>Examine how the position of digits in a decimal number relates to place value</v>
      </c>
      <c r="Q135" s="10" t="str">
        <f t="shared" si="4"/>
        <v>LU000292.005</v>
      </c>
      <c r="R135" s="10" t="str">
        <f ca="1">IFERROR(__xludf.DUMMYFUNCTION("VLOOKUP(Q135, IMPORTRANGE(""https://docs.google.com/spreadsheets/d/1yDAaXNsi4Mr5FtRQL4tbmSdIzhx6_m4wkOD7IG-k_eo/edit#gid=0"", ""Maths!M:N""), 2, FALSE)"),"#N/A")</f>
        <v>#N/A</v>
      </c>
      <c r="S135" s="10" t="str">
        <f t="shared" si="5"/>
        <v>LU000292.006</v>
      </c>
      <c r="T135" s="10" t="str">
        <f ca="1">IFERROR(__xludf.DUMMYFUNCTION("VLOOKUP(S135, IMPORTRANGE(""https://docs.google.com/spreadsheets/d/1yDAaXNsi4Mr5FtRQL4tbmSdIzhx6_m4wkOD7IG-k_eo/edit#gid=0"", ""Maths!M:N""), 2, FALSE)"),"Develop situations involving measurements, financial transactions or scientific data and create suitable decimal numbers for each context.")</f>
        <v>Develop situations involving measurements, financial transactions or scientific data and create suitable decimal numbers for each context.</v>
      </c>
      <c r="U135" s="11">
        <f ca="1">IFERROR(__xludf.DUMMYFUNCTION("ArrayFormula(VLOOKUP(G135, IMPORTRANGE(""https://docs.google.com/spreadsheets/d/1p7R4vtkWt5VOBim4ltsDG9KTzSjrtKXsMtQGXPHyND0/edit#gid=795171502"", ""'Filter 30_05_2024'!A1:M2000""), {2, 3, 4, 5,6,7,8,9,10,11,12,13}, 0))"),4)</f>
        <v>4</v>
      </c>
      <c r="V135" s="11">
        <f ca="1">IFERROR(__xludf.DUMMYFUNCTION("""COMPUTED_VALUE"""),6)</f>
        <v>6</v>
      </c>
      <c r="W135" s="11">
        <f ca="1">IFERROR(__xludf.DUMMYFUNCTION("""COMPUTED_VALUE"""),2)</f>
        <v>2</v>
      </c>
      <c r="X135" s="11">
        <f ca="1">IFERROR(__xludf.DUMMYFUNCTION("""COMPUTED_VALUE"""),12)</f>
        <v>12</v>
      </c>
      <c r="Y135" s="11">
        <f ca="1">IFERROR(__xludf.DUMMYFUNCTION("""COMPUTED_VALUE"""),4)</f>
        <v>4</v>
      </c>
      <c r="Z135" s="29">
        <f ca="1">IFERROR(__xludf.DUMMYFUNCTION("""COMPUTED_VALUE"""),3)</f>
        <v>3</v>
      </c>
      <c r="AA135" s="29">
        <f ca="1">IFERROR(__xludf.DUMMYFUNCTION("""COMPUTED_VALUE"""),1)</f>
        <v>1</v>
      </c>
      <c r="AB135" s="12">
        <f ca="1">IFERROR(__xludf.DUMMYFUNCTION("""COMPUTED_VALUE"""),8)</f>
        <v>8</v>
      </c>
      <c r="AC135" s="12"/>
      <c r="AD135" s="12"/>
      <c r="AE135" s="12"/>
      <c r="AF135" s="12"/>
      <c r="AG135" s="13" t="str">
        <f ca="1">IFERROR(__xludf.DUMMYFUNCTION("ArrayFormula(VLOOKUP(G135, IMPORTRANGE(""https://docs.google.com/spreadsheets/d/1Co934fvtviyaRiMsrIlT05Jaq7iiYq07aLvRr35KA48/edit?gid=173865642#gid=173865642"", ""'G6_Maths_Pri_LU'!G2:V2000""), {3, 4, 5, 6, 7, 8, 9, 10, 11, 12, 13, 14, 15, 16}, 0))"),"LU000278")</f>
        <v>LU000278</v>
      </c>
      <c r="AH135" s="13" t="str">
        <f ca="1">IFERROR(__xludf.DUMMYFUNCTION("""COMPUTED_VALUE"""),"Definition of fraction")</f>
        <v>Definition of fraction</v>
      </c>
      <c r="AI135" s="13" t="str">
        <f ca="1">IFERROR(__xludf.DUMMYFUNCTION("""COMPUTED_VALUE"""),"LU000176")</f>
        <v>LU000176</v>
      </c>
      <c r="AJ135" s="13" t="str">
        <f ca="1">IFERROR(__xludf.DUMMYFUNCTION("""COMPUTED_VALUE"""),"Definition of whole number")</f>
        <v>Definition of whole number</v>
      </c>
      <c r="AK135" s="13"/>
      <c r="AL135" s="13"/>
      <c r="AM135" s="13"/>
      <c r="AN135" s="13"/>
      <c r="AO135" s="13"/>
      <c r="AP135" s="13"/>
      <c r="AQ135" s="13"/>
      <c r="AR135" s="13"/>
      <c r="AS135" s="13"/>
      <c r="AT135" s="13"/>
    </row>
    <row r="136" spans="1:46">
      <c r="A136" s="8" t="s">
        <v>247</v>
      </c>
      <c r="B136" s="8" t="s">
        <v>47</v>
      </c>
      <c r="C136" s="8" t="s">
        <v>48</v>
      </c>
      <c r="D136" s="8" t="s">
        <v>49</v>
      </c>
      <c r="E136" s="8" t="s">
        <v>368</v>
      </c>
      <c r="F136" s="8" t="s">
        <v>369</v>
      </c>
      <c r="G136" s="8" t="s">
        <v>371</v>
      </c>
      <c r="H136" s="8" t="str">
        <f ca="1">IFERROR(__xludf.DUMMYFUNCTION("VLOOKUP(G136, IMPORTRANGE(""https://docs.google.com/spreadsheets/d/14deopnvwcrKtEGCKuYXdUHJbeLDZlkiSSWWT0g7x2pM/edit#gid=999382323"", ""LU List Maths (Filter)!A:B""), 2, FALSE)"),"Place value system in decimal numbers")</f>
        <v>Place value system in decimal numbers</v>
      </c>
      <c r="I136" s="10" t="str">
        <f t="shared" si="0"/>
        <v>LU000293.001</v>
      </c>
      <c r="J136" s="10" t="str">
        <f ca="1">IFERROR(__xludf.DUMMYFUNCTION("VLOOKUP(I136, IMPORTRANGE(""https://docs.google.com/spreadsheets/d/1yDAaXNsi4Mr5FtRQL4tbmSdIzhx6_m4wkOD7IG-k_eo/edit#gid=0"", ""Maths!M:N""), 2, FALSE)"),"Define the place value system in decimal numbers and identify the role of each digit's position.")</f>
        <v>Define the place value system in decimal numbers and identify the role of each digit's position.</v>
      </c>
      <c r="K136" s="10" t="str">
        <f t="shared" si="1"/>
        <v>LU000293.002</v>
      </c>
      <c r="L136" s="10" t="str">
        <f ca="1">IFERROR(__xludf.DUMMYFUNCTION("VLOOKUP(K136, IMPORTRANGE(""https://docs.google.com/spreadsheets/d/1yDAaXNsi4Mr5FtRQL4tbmSdIzhx6_m4wkOD7IG-k_eo/edit#gid=0"", ""Maths!M:N""), 2, FALSE)"),"Describe how the place value system assigns different weights to digits according to their positions")</f>
        <v>Describe how the place value system assigns different weights to digits according to their positions</v>
      </c>
      <c r="M136" s="10" t="str">
        <f t="shared" si="2"/>
        <v>LU000293.003</v>
      </c>
      <c r="N136" s="10" t="str">
        <f ca="1">IFERROR(__xludf.DUMMYFUNCTION("VLOOKUP(M136, IMPORTRANGE(""https://docs.google.com/spreadsheets/d/1yDAaXNsi4Mr5FtRQL4tbmSdIzhx6_m4wkOD7IG-k_eo/edit#gid=0"", ""Maths!M:N""), 2, FALSE)"),"Apply the understanding of the place value system to correctly determine the value of specific digits within given decimal numbers.")</f>
        <v>Apply the understanding of the place value system to correctly determine the value of specific digits within given decimal numbers.</v>
      </c>
      <c r="O136" s="10" t="str">
        <f t="shared" si="3"/>
        <v>LU000293.004</v>
      </c>
      <c r="P136" s="10" t="str">
        <f ca="1">IFERROR(__xludf.DUMMYFUNCTION("VLOOKUP(O136, IMPORTRANGE(""https://docs.google.com/spreadsheets/d/1yDAaXNsi4Mr5FtRQL4tbmSdIzhx6_m4wkOD7IG-k_eo/edit#gid=0"", ""Maths!M:N""), 2, FALSE)"),"Examine how changing the position of a digit within a decimal number affects its place value")</f>
        <v>Examine how changing the position of a digit within a decimal number affects its place value</v>
      </c>
      <c r="Q136" s="10" t="str">
        <f t="shared" si="4"/>
        <v>LU000293.005</v>
      </c>
      <c r="R136" s="10" t="str">
        <f ca="1">IFERROR(__xludf.DUMMYFUNCTION("VLOOKUP(Q136, IMPORTRANGE(""https://docs.google.com/spreadsheets/d/1yDAaXNsi4Mr5FtRQL4tbmSdIzhx6_m4wkOD7IG-k_eo/edit#gid=0"", ""Maths!M:N""), 2, FALSE)"),"Assess the correctness of solutions provided for determining the value of a specific digit within a decimal number")</f>
        <v>Assess the correctness of solutions provided for determining the value of a specific digit within a decimal number</v>
      </c>
      <c r="S136" s="10" t="str">
        <f t="shared" si="5"/>
        <v>LU000293.006</v>
      </c>
      <c r="T136" s="10" t="str">
        <f ca="1">IFERROR(__xludf.DUMMYFUNCTION("VLOOKUP(S136, IMPORTRANGE(""https://docs.google.com/spreadsheets/d/1yDAaXNsi4Mr5FtRQL4tbmSdIzhx6_m4wkOD7IG-k_eo/edit#gid=0"", ""Maths!M:N""), 2, FALSE)"),"Create a set of decimal numbers and identify the place value and value of selected digits within each number.")</f>
        <v>Create a set of decimal numbers and identify the place value and value of selected digits within each number.</v>
      </c>
      <c r="U136" s="11">
        <f ca="1">IFERROR(__xludf.DUMMYFUNCTION("ArrayFormula(VLOOKUP(G136, IMPORTRANGE(""https://docs.google.com/spreadsheets/d/1p7R4vtkWt5VOBim4ltsDG9KTzSjrtKXsMtQGXPHyND0/edit#gid=795171502"", ""'Filter 30_05_2024'!A1:M2000""), {2, 3, 4, 5,6,7,8,9,10,11,12,13}, 0))"),3)</f>
        <v>3</v>
      </c>
      <c r="V136" s="11">
        <f ca="1">IFERROR(__xludf.DUMMYFUNCTION("""COMPUTED_VALUE"""),6)</f>
        <v>6</v>
      </c>
      <c r="W136" s="11">
        <f ca="1">IFERROR(__xludf.DUMMYFUNCTION("""COMPUTED_VALUE"""),2)</f>
        <v>2</v>
      </c>
      <c r="X136" s="11">
        <f ca="1">IFERROR(__xludf.DUMMYFUNCTION("""COMPUTED_VALUE"""),11)</f>
        <v>11</v>
      </c>
      <c r="Y136" s="11">
        <f ca="1">IFERROR(__xludf.DUMMYFUNCTION("""COMPUTED_VALUE"""),9)</f>
        <v>9</v>
      </c>
      <c r="Z136" s="29">
        <f ca="1">IFERROR(__xludf.DUMMYFUNCTION("""COMPUTED_VALUE"""),3)</f>
        <v>3</v>
      </c>
      <c r="AA136" s="29">
        <f ca="1">IFERROR(__xludf.DUMMYFUNCTION("""COMPUTED_VALUE"""),1)</f>
        <v>1</v>
      </c>
      <c r="AB136" s="12">
        <f ca="1">IFERROR(__xludf.DUMMYFUNCTION("""COMPUTED_VALUE"""),13)</f>
        <v>13</v>
      </c>
      <c r="AC136" s="12"/>
      <c r="AD136" s="12"/>
      <c r="AE136" s="12"/>
      <c r="AF136" s="12"/>
      <c r="AG136" s="13" t="str">
        <f ca="1">IFERROR(__xludf.DUMMYFUNCTION("ArrayFormula(VLOOKUP(G136, IMPORTRANGE(""https://docs.google.com/spreadsheets/d/1Co934fvtviyaRiMsrIlT05Jaq7iiYq07aLvRr35KA48/edit?gid=173865642#gid=173865642"", ""'G6_Maths_Pri_LU'!G2:V2000""), {3, 4, 5, 6, 7, 8, 9, 10, 11, 12, 13, 14, 15, 16}, 0))"),"LU000153")</f>
        <v>LU000153</v>
      </c>
      <c r="AH136" s="13" t="str">
        <f ca="1">IFERROR(__xludf.DUMMYFUNCTION("""COMPUTED_VALUE"""),"Place value system in whole numbers (upto 9-digit numbers)")</f>
        <v>Place value system in whole numbers (upto 9-digit numbers)</v>
      </c>
      <c r="AI136" s="13" t="str">
        <f ca="1">IFERROR(__xludf.DUMMYFUNCTION("""COMPUTED_VALUE"""),"LU000292")</f>
        <v>LU000292</v>
      </c>
      <c r="AJ136" s="13" t="str">
        <f ca="1">IFERROR(__xludf.DUMMYFUNCTION("""COMPUTED_VALUE"""),"Definition of decimal number")</f>
        <v>Definition of decimal number</v>
      </c>
      <c r="AK136" s="13"/>
      <c r="AL136" s="13"/>
      <c r="AM136" s="13"/>
      <c r="AN136" s="13"/>
      <c r="AO136" s="13"/>
      <c r="AP136" s="13"/>
      <c r="AQ136" s="13"/>
      <c r="AR136" s="13"/>
      <c r="AS136" s="13"/>
      <c r="AT136" s="13"/>
    </row>
    <row r="137" spans="1:46">
      <c r="A137" s="8" t="s">
        <v>247</v>
      </c>
      <c r="B137" s="8" t="s">
        <v>47</v>
      </c>
      <c r="C137" s="8" t="s">
        <v>48</v>
      </c>
      <c r="D137" s="8" t="s">
        <v>49</v>
      </c>
      <c r="E137" s="8" t="s">
        <v>368</v>
      </c>
      <c r="F137" s="8" t="s">
        <v>369</v>
      </c>
      <c r="G137" s="8" t="s">
        <v>372</v>
      </c>
      <c r="H137" s="8" t="str">
        <f ca="1">IFERROR(__xludf.DUMMYFUNCTION("VLOOKUP(G137, IMPORTRANGE(""https://docs.google.com/spreadsheets/d/14deopnvwcrKtEGCKuYXdUHJbeLDZlkiSSWWT0g7x2pM/edit#gid=999382323"", ""LU List Maths (Filter)!A:B""), 2, FALSE)"),"Expansion of decimal number upto thousandths")</f>
        <v>Expansion of decimal number upto thousandths</v>
      </c>
      <c r="I137" s="10" t="str">
        <f t="shared" si="0"/>
        <v>LU000294.001</v>
      </c>
      <c r="J137" s="10" t="str">
        <f ca="1">IFERROR(__xludf.DUMMYFUNCTION("VLOOKUP(I137, IMPORTRANGE(""https://docs.google.com/spreadsheets/d/1yDAaXNsi4Mr5FtRQL4tbmSdIzhx6_m4wkOD7IG-k_eo/edit#gid=0"", ""Maths!M:N""), 2, FALSE)"),"State the place values of decimal numbers up to thousandths.")</f>
        <v>State the place values of decimal numbers up to thousandths.</v>
      </c>
      <c r="K137" s="10" t="str">
        <f t="shared" si="1"/>
        <v>LU000294.002</v>
      </c>
      <c r="L137" s="10" t="str">
        <f ca="1">IFERROR(__xludf.DUMMYFUNCTION("VLOOKUP(K137, IMPORTRANGE(""https://docs.google.com/spreadsheets/d/1yDAaXNsi4Mr5FtRQL4tbmSdIzhx6_m4wkOD7IG-k_eo/edit#gid=0"", ""Maths!M:N""), 2, FALSE)"),"Explain the concept of place value in decimal numbers and how it extends to thousandths.")</f>
        <v>Explain the concept of place value in decimal numbers and how it extends to thousandths.</v>
      </c>
      <c r="M137" s="10" t="str">
        <f t="shared" si="2"/>
        <v>LU000294.003</v>
      </c>
      <c r="N137" s="10" t="str">
        <f ca="1">IFERROR(__xludf.DUMMYFUNCTION("VLOOKUP(M137, IMPORTRANGE(""https://docs.google.com/spreadsheets/d/1yDAaXNsi4Mr5FtRQL4tbmSdIzhx6_m4wkOD7IG-k_eo/edit#gid=0"", ""Maths!M:N""), 2, FALSE)"),"Apply the rules for expanding decimal numbers to solve problems.")</f>
        <v>Apply the rules for expanding decimal numbers to solve problems.</v>
      </c>
      <c r="O137" s="10" t="str">
        <f t="shared" si="3"/>
        <v>LU000294.004</v>
      </c>
      <c r="P137" s="10" t="str">
        <f ca="1">IFERROR(__xludf.DUMMYFUNCTION("VLOOKUP(O137, IMPORTRANGE(""https://docs.google.com/spreadsheets/d/1yDAaXNsi4Mr5FtRQL4tbmSdIzhx6_m4wkOD7IG-k_eo/edit#gid=0"", ""Maths!M:N""), 2, FALSE)"),"Analyse the process of expanding decimal numbers up to thousandths.")</f>
        <v>Analyse the process of expanding decimal numbers up to thousandths.</v>
      </c>
      <c r="Q137" s="10" t="str">
        <f t="shared" si="4"/>
        <v>LU000294.005</v>
      </c>
      <c r="R137" s="10" t="str">
        <f ca="1">IFERROR(__xludf.DUMMYFUNCTION("VLOOKUP(Q137, IMPORTRANGE(""https://docs.google.com/spreadsheets/d/1yDAaXNsi4Mr5FtRQL4tbmSdIzhx6_m4wkOD7IG-k_eo/edit#gid=0"", ""Maths!M:N""), 2, FALSE)"),"#N/A")</f>
        <v>#N/A</v>
      </c>
      <c r="S137" s="10" t="str">
        <f t="shared" si="5"/>
        <v>LU000294.006</v>
      </c>
      <c r="T137" s="10" t="str">
        <f ca="1">IFERROR(__xludf.DUMMYFUNCTION("VLOOKUP(S137, IMPORTRANGE(""https://docs.google.com/spreadsheets/d/1yDAaXNsi4Mr5FtRQL4tbmSdIzhx6_m4wkOD7IG-k_eo/edit#gid=0"", ""Maths!M:N""), 2, FALSE)"),"Create a real-world scenario where knowledge of expanding decimal numbers is essential to solve a problem.")</f>
        <v>Create a real-world scenario where knowledge of expanding decimal numbers is essential to solve a problem.</v>
      </c>
      <c r="U137" s="11">
        <f ca="1">IFERROR(__xludf.DUMMYFUNCTION("ArrayFormula(VLOOKUP(G137, IMPORTRANGE(""https://docs.google.com/spreadsheets/d/1p7R4vtkWt5VOBim4ltsDG9KTzSjrtKXsMtQGXPHyND0/edit#gid=795171502"", ""'Filter 30_05_2024'!A1:M2000""), {2, 3, 4, 5,6,7,8,9,10,11,12,13}, 0))"),4)</f>
        <v>4</v>
      </c>
      <c r="V137" s="11">
        <f ca="1">IFERROR(__xludf.DUMMYFUNCTION("""COMPUTED_VALUE"""),7)</f>
        <v>7</v>
      </c>
      <c r="W137" s="11">
        <f ca="1">IFERROR(__xludf.DUMMYFUNCTION("""COMPUTED_VALUE"""),2)</f>
        <v>2</v>
      </c>
      <c r="X137" s="11">
        <f ca="1">IFERROR(__xludf.DUMMYFUNCTION("""COMPUTED_VALUE"""),13)</f>
        <v>13</v>
      </c>
      <c r="Y137" s="11">
        <f ca="1">IFERROR(__xludf.DUMMYFUNCTION("""COMPUTED_VALUE"""),4)</f>
        <v>4</v>
      </c>
      <c r="Z137" s="29">
        <f ca="1">IFERROR(__xludf.DUMMYFUNCTION("""COMPUTED_VALUE"""),3)</f>
        <v>3</v>
      </c>
      <c r="AA137" s="29">
        <f ca="1">IFERROR(__xludf.DUMMYFUNCTION("""COMPUTED_VALUE"""),1)</f>
        <v>1</v>
      </c>
      <c r="AB137" s="12">
        <f ca="1">IFERROR(__xludf.DUMMYFUNCTION("""COMPUTED_VALUE"""),8)</f>
        <v>8</v>
      </c>
      <c r="AC137" s="12"/>
      <c r="AD137" s="12"/>
      <c r="AE137" s="12"/>
      <c r="AF137" s="12"/>
      <c r="AG137" s="13" t="str">
        <f ca="1">IFERROR(__xludf.DUMMYFUNCTION("ArrayFormula(VLOOKUP(G137, IMPORTRANGE(""https://docs.google.com/spreadsheets/d/1Co934fvtviyaRiMsrIlT05Jaq7iiYq07aLvRr35KA48/edit?gid=173865642#gid=173865642"", ""'G6_Maths_Pri_LU'!G2:V2000""), {3, 4, 5, 6, 7, 8, 9, 10, 11, 12, 13, 14, 15, 16}, 0))"),"LU000293")</f>
        <v>LU000293</v>
      </c>
      <c r="AH137" s="13" t="str">
        <f ca="1">IFERROR(__xludf.DUMMYFUNCTION("""COMPUTED_VALUE"""),"Place value system in decimal numbers")</f>
        <v>Place value system in decimal numbers</v>
      </c>
      <c r="AI137" s="13" t="str">
        <f ca="1">IFERROR(__xludf.DUMMYFUNCTION("""COMPUTED_VALUE"""),"LU000292")</f>
        <v>LU000292</v>
      </c>
      <c r="AJ137" s="13" t="str">
        <f ca="1">IFERROR(__xludf.DUMMYFUNCTION("""COMPUTED_VALUE"""),"Definition of decimal number")</f>
        <v>Definition of decimal number</v>
      </c>
      <c r="AK137" s="13"/>
      <c r="AL137" s="13"/>
      <c r="AM137" s="13"/>
      <c r="AN137" s="13"/>
      <c r="AO137" s="13"/>
      <c r="AP137" s="13"/>
      <c r="AQ137" s="13"/>
      <c r="AR137" s="13"/>
      <c r="AS137" s="13"/>
      <c r="AT137" s="13"/>
    </row>
    <row r="138" spans="1:46">
      <c r="A138" s="8" t="s">
        <v>247</v>
      </c>
      <c r="B138" s="8" t="s">
        <v>47</v>
      </c>
      <c r="C138" s="8" t="s">
        <v>48</v>
      </c>
      <c r="D138" s="8" t="s">
        <v>49</v>
      </c>
      <c r="E138" s="8" t="s">
        <v>368</v>
      </c>
      <c r="F138" s="8" t="s">
        <v>373</v>
      </c>
      <c r="G138" s="8" t="s">
        <v>374</v>
      </c>
      <c r="H138" s="8" t="str">
        <f ca="1">IFERROR(__xludf.DUMMYFUNCTION("VLOOKUP(G138, IMPORTRANGE(""https://docs.google.com/spreadsheets/d/14deopnvwcrKtEGCKuYXdUHJbeLDZlkiSSWWT0g7x2pM/edit#gid=999382323"", ""LU List Maths (Filter)!A:B""), 2, FALSE)"),"Representation of decimal numbers on number line")</f>
        <v>Representation of decimal numbers on number line</v>
      </c>
      <c r="I138" s="10" t="str">
        <f t="shared" si="0"/>
        <v>LU000295.001</v>
      </c>
      <c r="J138" s="10" t="str">
        <f ca="1">IFERROR(__xludf.DUMMYFUNCTION("VLOOKUP(I138, IMPORTRANGE(""https://docs.google.com/spreadsheets/d/1yDAaXNsi4Mr5FtRQL4tbmSdIzhx6_m4wkOD7IG-k_eo/edit#gid=0"", ""Maths!M:N""), 2, FALSE)"),"State the concept of representing decimal numbers on a number line and identify the positions of decimal numbers like 0.5 and 2.75.")</f>
        <v>State the concept of representing decimal numbers on a number line and identify the positions of decimal numbers like 0.5 and 2.75.</v>
      </c>
      <c r="K138" s="10" t="str">
        <f t="shared" si="1"/>
        <v>LU000295.002</v>
      </c>
      <c r="L138" s="10" t="str">
        <f ca="1">IFERROR(__xludf.DUMMYFUNCTION("VLOOKUP(K138, IMPORTRANGE(""https://docs.google.com/spreadsheets/d/1yDAaXNsi4Mr5FtRQL4tbmSdIzhx6_m4wkOD7IG-k_eo/edit#gid=0"", ""Maths!M:N""), 2, FALSE)"),"Describe how a number line visually displays the relative sizes of decimal numbers.")</f>
        <v>Describe how a number line visually displays the relative sizes of decimal numbers.</v>
      </c>
      <c r="M138" s="10" t="str">
        <f t="shared" si="2"/>
        <v>LU000295.003</v>
      </c>
      <c r="N138" s="10" t="str">
        <f ca="1">IFERROR(__xludf.DUMMYFUNCTION("VLOOKUP(M138, IMPORTRANGE(""https://docs.google.com/spreadsheets/d/1yDAaXNsi4Mr5FtRQL4tbmSdIzhx6_m4wkOD7IG-k_eo/edit#gid=0"", ""Maths!M:N""), 2, FALSE)"),"Plot decimal numbers on a number line,")</f>
        <v>Plot decimal numbers on a number line,</v>
      </c>
      <c r="O138" s="10" t="str">
        <f t="shared" si="3"/>
        <v>LU000295.004</v>
      </c>
      <c r="P138" s="10" t="str">
        <f ca="1">IFERROR(__xludf.DUMMYFUNCTION("VLOOKUP(O138, IMPORTRANGE(""https://docs.google.com/spreadsheets/d/1yDAaXNsi4Mr5FtRQL4tbmSdIzhx6_m4wkOD7IG-k_eo/edit#gid=0"", ""Maths!M:N""), 2, FALSE)"),"Examine the positions of decimal numbers on a number line, discussing which is greater and why based on their positions.")</f>
        <v>Examine the positions of decimal numbers on a number line, discussing which is greater and why based on their positions.</v>
      </c>
      <c r="Q138" s="10" t="str">
        <f t="shared" si="4"/>
        <v>LU000295.005</v>
      </c>
      <c r="R138" s="10" t="str">
        <f ca="1">IFERROR(__xludf.DUMMYFUNCTION("VLOOKUP(Q138, IMPORTRANGE(""https://docs.google.com/spreadsheets/d/1yDAaXNsi4Mr5FtRQL4tbmSdIzhx6_m4wkOD7IG-k_eo/edit#gid=0"", ""Maths!M:N""), 2, FALSE)"),"Assess the correctness of plotted decimal values on a number line")</f>
        <v>Assess the correctness of plotted decimal values on a number line</v>
      </c>
      <c r="S138" s="10" t="str">
        <f t="shared" si="5"/>
        <v>LU000295.006</v>
      </c>
      <c r="T138" s="10" t="str">
        <f ca="1">IFERROR(__xludf.DUMMYFUNCTION("VLOOKUP(S138, IMPORTRANGE(""https://docs.google.com/spreadsheets/d/1yDAaXNsi4Mr5FtRQL4tbmSdIzhx6_m4wkOD7IG-k_eo/edit#gid=0"", ""Maths!M:N""), 2, FALSE)"),"Design real-world scenarios (such as measuring distances, marking temperature changes, or comparing prices) and plot corresponding decimal numbers that appropriately reflect these situations on a number line.")</f>
        <v>Design real-world scenarios (such as measuring distances, marking temperature changes, or comparing prices) and plot corresponding decimal numbers that appropriately reflect these situations on a number line.</v>
      </c>
      <c r="U138" s="11">
        <f ca="1">IFERROR(__xludf.DUMMYFUNCTION("ArrayFormula(VLOOKUP(G138, IMPORTRANGE(""https://docs.google.com/spreadsheets/d/1p7R4vtkWt5VOBim4ltsDG9KTzSjrtKXsMtQGXPHyND0/edit#gid=795171502"", ""'Filter 30_05_2024'!A1:M2000""), {2, 3, 4, 5,6,7,8,9,10,11,12,13}, 0))"),4)</f>
        <v>4</v>
      </c>
      <c r="V138" s="11">
        <f ca="1">IFERROR(__xludf.DUMMYFUNCTION("""COMPUTED_VALUE"""),6)</f>
        <v>6</v>
      </c>
      <c r="W138" s="11">
        <f ca="1">IFERROR(__xludf.DUMMYFUNCTION("""COMPUTED_VALUE"""),2)</f>
        <v>2</v>
      </c>
      <c r="X138" s="11">
        <f ca="1">IFERROR(__xludf.DUMMYFUNCTION("""COMPUTED_VALUE"""),12)</f>
        <v>12</v>
      </c>
      <c r="Y138" s="11">
        <f ca="1">IFERROR(__xludf.DUMMYFUNCTION("""COMPUTED_VALUE"""),4)</f>
        <v>4</v>
      </c>
      <c r="Z138" s="29">
        <f ca="1">IFERROR(__xludf.DUMMYFUNCTION("""COMPUTED_VALUE"""),3)</f>
        <v>3</v>
      </c>
      <c r="AA138" s="29">
        <f ca="1">IFERROR(__xludf.DUMMYFUNCTION("""COMPUTED_VALUE"""),1)</f>
        <v>1</v>
      </c>
      <c r="AB138" s="12">
        <f ca="1">IFERROR(__xludf.DUMMYFUNCTION("""COMPUTED_VALUE"""),8)</f>
        <v>8</v>
      </c>
      <c r="AC138" s="12"/>
      <c r="AD138" s="12"/>
      <c r="AE138" s="12"/>
      <c r="AF138" s="12"/>
      <c r="AG138" s="13" t="str">
        <f ca="1">IFERROR(__xludf.DUMMYFUNCTION("ArrayFormula(VLOOKUP(G138, IMPORTRANGE(""https://docs.google.com/spreadsheets/d/1Co934fvtviyaRiMsrIlT05Jaq7iiYq07aLvRr35KA48/edit?gid=173865642#gid=173865642"", ""'G6_Maths_Pri_LU'!G2:V2000""), {3, 4, 5, 6, 7, 8, 9, 10, 11, 12, 13, 14, 15, 16}, 0))"),"LU000179")</f>
        <v>LU000179</v>
      </c>
      <c r="AH138" s="13" t="str">
        <f ca="1">IFERROR(__xludf.DUMMYFUNCTION("""COMPUTED_VALUE"""),"Representation of whole numbers on a number line")</f>
        <v>Representation of whole numbers on a number line</v>
      </c>
      <c r="AI138" s="13" t="str">
        <f ca="1">IFERROR(__xludf.DUMMYFUNCTION("""COMPUTED_VALUE"""),"LU000293")</f>
        <v>LU000293</v>
      </c>
      <c r="AJ138" s="13" t="str">
        <f ca="1">IFERROR(__xludf.DUMMYFUNCTION("""COMPUTED_VALUE"""),"Place value system in decimal numbers")</f>
        <v>Place value system in decimal numbers</v>
      </c>
      <c r="AK138" s="13" t="str">
        <f ca="1">IFERROR(__xludf.DUMMYFUNCTION("""COMPUTED_VALUE"""),"LU000292")</f>
        <v>LU000292</v>
      </c>
      <c r="AL138" s="13" t="str">
        <f ca="1">IFERROR(__xludf.DUMMYFUNCTION("""COMPUTED_VALUE"""),"Definition of decimal number")</f>
        <v>Definition of decimal number</v>
      </c>
      <c r="AM138" s="13"/>
      <c r="AN138" s="13"/>
      <c r="AO138" s="13"/>
      <c r="AP138" s="13"/>
      <c r="AQ138" s="13"/>
      <c r="AR138" s="13"/>
      <c r="AS138" s="13"/>
      <c r="AT138" s="13"/>
    </row>
    <row r="139" spans="1:46">
      <c r="A139" s="8" t="s">
        <v>247</v>
      </c>
      <c r="B139" s="8" t="s">
        <v>47</v>
      </c>
      <c r="C139" s="8" t="s">
        <v>48</v>
      </c>
      <c r="D139" s="8" t="s">
        <v>49</v>
      </c>
      <c r="E139" s="8" t="s">
        <v>368</v>
      </c>
      <c r="F139" s="8" t="s">
        <v>373</v>
      </c>
      <c r="G139" s="8" t="s">
        <v>375</v>
      </c>
      <c r="H139" s="8" t="str">
        <f ca="1">IFERROR(__xludf.DUMMYFUNCTION("VLOOKUP(G139, IMPORTRANGE(""https://docs.google.com/spreadsheets/d/14deopnvwcrKtEGCKuYXdUHJbeLDZlkiSSWWT0g7x2pM/edit#gid=999382323"", ""LU List Maths (Filter)!A:B""), 2, FALSE)"),"Comparison of decimal numbers")</f>
        <v>Comparison of decimal numbers</v>
      </c>
      <c r="I139" s="10" t="str">
        <f t="shared" si="0"/>
        <v>LU000297.001</v>
      </c>
      <c r="J139" s="10" t="str">
        <f ca="1">IFERROR(__xludf.DUMMYFUNCTION("VLOOKUP(I139, IMPORTRANGE(""https://docs.google.com/spreadsheets/d/1yDAaXNsi4Mr5FtRQL4tbmSdIzhx6_m4wkOD7IG-k_eo/edit#gid=0"", ""Maths!M:N""), 2, FALSE)"),"State the methods of comparing decimal numbers using visual models")</f>
        <v>State the methods of comparing decimal numbers using visual models</v>
      </c>
      <c r="K139" s="10" t="str">
        <f t="shared" si="1"/>
        <v>LU000297.002</v>
      </c>
      <c r="L139" s="10" t="str">
        <f ca="1">IFERROR(__xludf.DUMMYFUNCTION("VLOOKUP(K139, IMPORTRANGE(""https://docs.google.com/spreadsheets/d/1yDAaXNsi4Mr5FtRQL4tbmSdIzhx6_m4wkOD7IG-k_eo/edit#gid=0"", ""Maths!M:N""), 2, FALSE)"),"Compare two decimal numbers numerically, and record comparisons using &lt;, &gt;, or = sign.")</f>
        <v>Compare two decimal numbers numerically, and record comparisons using &lt;, &gt;, or = sign.</v>
      </c>
      <c r="M139" s="10" t="str">
        <f t="shared" si="2"/>
        <v>LU000297.003</v>
      </c>
      <c r="N139" s="10" t="str">
        <f ca="1">IFERROR(__xludf.DUMMYFUNCTION("VLOOKUP(M139, IMPORTRANGE(""https://docs.google.com/spreadsheets/d/1yDAaXNsi4Mr5FtRQL4tbmSdIzhx6_m4wkOD7IG-k_eo/edit#gid=0"", ""Maths!M:N""), 2, FALSE)"),"Compare decimal numbers and arrange them in either ascending or descending order.")</f>
        <v>Compare decimal numbers and arrange them in either ascending or descending order.</v>
      </c>
      <c r="O139" s="10" t="str">
        <f t="shared" si="3"/>
        <v>LU000297.004</v>
      </c>
      <c r="P139" s="10" t="str">
        <f ca="1">IFERROR(__xludf.DUMMYFUNCTION("VLOOKUP(O139, IMPORTRANGE(""https://docs.google.com/spreadsheets/d/1yDAaXNsi4Mr5FtRQL4tbmSdIzhx6_m4wkOD7IG-k_eo/edit#gid=0"", ""Maths!M:N""), 2, FALSE)"),"Examine how comparing decimal numbers involves evaluating the impact of digits in the tenth, hundredths and thousandths places.")</f>
        <v>Examine how comparing decimal numbers involves evaluating the impact of digits in the tenth, hundredths and thousandths places.</v>
      </c>
      <c r="Q139" s="10" t="str">
        <f t="shared" si="4"/>
        <v>LU000297.005</v>
      </c>
      <c r="R139" s="10" t="str">
        <f ca="1">IFERROR(__xludf.DUMMYFUNCTION("VLOOKUP(Q139, IMPORTRANGE(""https://docs.google.com/spreadsheets/d/1yDAaXNsi4Mr5FtRQL4tbmSdIzhx6_m4wkOD7IG-k_eo/edit#gid=0"", ""Maths!M:N""), 2, FALSE)"),"Assess the correctness of comparison results for decimals.")</f>
        <v>Assess the correctness of comparison results for decimals.</v>
      </c>
      <c r="S139" s="10" t="str">
        <f t="shared" si="5"/>
        <v>LU000297.006</v>
      </c>
      <c r="T139" s="10" t="str">
        <f ca="1">IFERROR(__xludf.DUMMYFUNCTION("VLOOKUP(S139, IMPORTRANGE(""https://docs.google.com/spreadsheets/d/1yDAaXNsi4Mr5FtRQL4tbmSdIzhx6_m4wkOD7IG-k_eo/edit#gid=0"", ""Maths!M:N""), 2, FALSE)"),"Generate decimal numbers and compare them in pairs, crafting scenarios where each decimal is greater, smaller, or equal to another.")</f>
        <v>Generate decimal numbers and compare them in pairs, crafting scenarios where each decimal is greater, smaller, or equal to another.</v>
      </c>
      <c r="U139" s="11">
        <f ca="1">IFERROR(__xludf.DUMMYFUNCTION("ArrayFormula(VLOOKUP(G139, IMPORTRANGE(""https://docs.google.com/spreadsheets/d/1p7R4vtkWt5VOBim4ltsDG9KTzSjrtKXsMtQGXPHyND0/edit#gid=795171502"", ""'Filter 30_05_2024'!A1:M2000""), {2, 3, 4, 5,6,7,8,9,10,11,12,13}, 0))"),5)</f>
        <v>5</v>
      </c>
      <c r="V139" s="11">
        <f ca="1">IFERROR(__xludf.DUMMYFUNCTION("""COMPUTED_VALUE"""),16)</f>
        <v>16</v>
      </c>
      <c r="W139" s="11">
        <f ca="1">IFERROR(__xludf.DUMMYFUNCTION("""COMPUTED_VALUE"""),2)</f>
        <v>2</v>
      </c>
      <c r="X139" s="11">
        <f ca="1">IFERROR(__xludf.DUMMYFUNCTION("""COMPUTED_VALUE"""),23)</f>
        <v>23</v>
      </c>
      <c r="Y139" s="11">
        <f ca="1">IFERROR(__xludf.DUMMYFUNCTION("""COMPUTED_VALUE"""),3)</f>
        <v>3</v>
      </c>
      <c r="Z139" s="29">
        <f ca="1">IFERROR(__xludf.DUMMYFUNCTION("""COMPUTED_VALUE"""),6)</f>
        <v>6</v>
      </c>
      <c r="AA139" s="29">
        <f ca="1">IFERROR(__xludf.DUMMYFUNCTION("""COMPUTED_VALUE"""),1)</f>
        <v>1</v>
      </c>
      <c r="AB139" s="12">
        <f ca="1">IFERROR(__xludf.DUMMYFUNCTION("""COMPUTED_VALUE"""),10)</f>
        <v>10</v>
      </c>
      <c r="AC139" s="12"/>
      <c r="AD139" s="12"/>
      <c r="AE139" s="12"/>
      <c r="AF139" s="12"/>
      <c r="AG139" s="13" t="str">
        <f ca="1">IFERROR(__xludf.DUMMYFUNCTION("ArrayFormula(VLOOKUP(G139, IMPORTRANGE(""https://docs.google.com/spreadsheets/d/1Co934fvtviyaRiMsrIlT05Jaq7iiYq07aLvRr35KA48/edit?gid=173865642#gid=173865642"", ""'G6_Maths_Pri_LU'!G2:V2000""), {3, 4, 5, 6, 7, 8, 9, 10, 11, 12, 13, 14, 15, 16}, 0))"),"LU000293")</f>
        <v>LU000293</v>
      </c>
      <c r="AH139" s="13" t="str">
        <f ca="1">IFERROR(__xludf.DUMMYFUNCTION("""COMPUTED_VALUE"""),"Place value system in decimal numbers")</f>
        <v>Place value system in decimal numbers</v>
      </c>
      <c r="AI139" s="13" t="str">
        <f ca="1">IFERROR(__xludf.DUMMYFUNCTION("""COMPUTED_VALUE"""),"LU000154")</f>
        <v>LU000154</v>
      </c>
      <c r="AJ139" s="13" t="str">
        <f ca="1">IFERROR(__xludf.DUMMYFUNCTION("""COMPUTED_VALUE"""),"Comparison of whole numbers (upto 9-digit numbers)")</f>
        <v>Comparison of whole numbers (upto 9-digit numbers)</v>
      </c>
      <c r="AK139" s="13" t="str">
        <f ca="1">IFERROR(__xludf.DUMMYFUNCTION("""COMPUTED_VALUE"""),"LU000292")</f>
        <v>LU000292</v>
      </c>
      <c r="AL139" s="13" t="str">
        <f ca="1">IFERROR(__xludf.DUMMYFUNCTION("""COMPUTED_VALUE"""),"Definition of decimal number")</f>
        <v>Definition of decimal number</v>
      </c>
      <c r="AM139" s="13"/>
      <c r="AN139" s="13"/>
      <c r="AO139" s="13"/>
      <c r="AP139" s="13"/>
      <c r="AQ139" s="13"/>
      <c r="AR139" s="13"/>
      <c r="AS139" s="13"/>
      <c r="AT139" s="13"/>
    </row>
    <row r="140" spans="1:46">
      <c r="A140" s="8" t="s">
        <v>247</v>
      </c>
      <c r="B140" s="8" t="s">
        <v>47</v>
      </c>
      <c r="C140" s="8" t="s">
        <v>48</v>
      </c>
      <c r="D140" s="8" t="s">
        <v>49</v>
      </c>
      <c r="E140" s="8" t="s">
        <v>368</v>
      </c>
      <c r="F140" s="8" t="s">
        <v>376</v>
      </c>
      <c r="G140" s="8" t="s">
        <v>377</v>
      </c>
      <c r="H140" s="8" t="str">
        <f ca="1">IFERROR(__xludf.DUMMYFUNCTION("VLOOKUP(G140, IMPORTRANGE(""https://docs.google.com/spreadsheets/d/14deopnvwcrKtEGCKuYXdUHJbeLDZlkiSSWWT0g7x2pM/edit#gid=999382323"", ""LU List Maths (Filter)!A:B""), 2, FALSE)"),"Conversion between mixed units of length into a single decimal representation and vice versa")</f>
        <v>Conversion between mixed units of length into a single decimal representation and vice versa</v>
      </c>
      <c r="I140" s="10" t="str">
        <f t="shared" si="0"/>
        <v>LU000298.001</v>
      </c>
      <c r="J140" s="10" t="str">
        <f ca="1">IFERROR(__xludf.DUMMYFUNCTION("VLOOKUP(I140, IMPORTRANGE(""https://docs.google.com/spreadsheets/d/1yDAaXNsi4Mr5FtRQL4tbmSdIzhx6_m4wkOD7IG-k_eo/edit#gid=0"", ""Maths!M:N""), 2, FALSE)"),"State the procedure for conversion between lengths given in mixed units (e.g., metre and centimetre) and decimals of higher units (e.g., metre or kilometre) and list the appropriate conversion factors.")</f>
        <v>State the procedure for conversion between lengths given in mixed units (e.g., metre and centimetre) and decimals of higher units (e.g., metre or kilometre) and list the appropriate conversion factors.</v>
      </c>
      <c r="K140" s="10" t="str">
        <f t="shared" si="1"/>
        <v>LU000298.002</v>
      </c>
      <c r="L140" s="10" t="str">
        <f ca="1">IFERROR(__xludf.DUMMYFUNCTION("VLOOKUP(K140, IMPORTRANGE(""https://docs.google.com/spreadsheets/d/1yDAaXNsi4Mr5FtRQL4tbmSdIzhx6_m4wkOD7IG-k_eo/edit#gid=0"", ""Maths!M:N""), 2, FALSE)"),"Explain the rationale behind conversion between mixed units of length and decimals of higher units.")</f>
        <v>Explain the rationale behind conversion between mixed units of length and decimals of higher units.</v>
      </c>
      <c r="M140" s="10" t="str">
        <f t="shared" si="2"/>
        <v>LU000298.003</v>
      </c>
      <c r="N140" s="10" t="str">
        <f ca="1">IFERROR(__xludf.DUMMYFUNCTION("VLOOKUP(M140, IMPORTRANGE(""https://docs.google.com/spreadsheets/d/1yDAaXNsi4Mr5FtRQL4tbmSdIzhx6_m4wkOD7IG-k_eo/edit#gid=0"", ""Maths!M:N""), 2, FALSE)"),"Convert a length in mixed units into decimals of higher units and vice versa.")</f>
        <v>Convert a length in mixed units into decimals of higher units and vice versa.</v>
      </c>
      <c r="O140" s="10" t="str">
        <f t="shared" si="3"/>
        <v>LU000298.004</v>
      </c>
      <c r="P140" s="10" t="str">
        <f ca="1">IFERROR(__xludf.DUMMYFUNCTION("VLOOKUP(O140, IMPORTRANGE(""https://docs.google.com/spreadsheets/d/1yDAaXNsi4Mr5FtRQL4tbmSdIzhx6_m4wkOD7IG-k_eo/edit#gid=0"", ""Maths!M:N""), 2, FALSE)"),"Analyse the relationship between the various components of mixed units of length and their corresponding values in decimals of higher units.")</f>
        <v>Analyse the relationship between the various components of mixed units of length and their corresponding values in decimals of higher units.</v>
      </c>
      <c r="Q140" s="10" t="str">
        <f t="shared" si="4"/>
        <v>LU000298.005</v>
      </c>
      <c r="R140" s="10" t="str">
        <f ca="1">IFERROR(__xludf.DUMMYFUNCTION("VLOOKUP(Q140, IMPORTRANGE(""https://docs.google.com/spreadsheets/d/1yDAaXNsi4Mr5FtRQL4tbmSdIzhx6_m4wkOD7IG-k_eo/edit#gid=0"", ""Maths!M:N""), 2, FALSE)"),"Assess the correctness of conversions of length to decimals of higher units.")</f>
        <v>Assess the correctness of conversions of length to decimals of higher units.</v>
      </c>
      <c r="S140" s="10" t="str">
        <f t="shared" si="5"/>
        <v>LU000298.006</v>
      </c>
      <c r="T140" s="10" t="str">
        <f ca="1">IFERROR(__xludf.DUMMYFUNCTION("VLOOKUP(S140, IMPORTRANGE(""https://docs.google.com/spreadsheets/d/1yDAaXNsi4Mr5FtRQL4tbmSdIzhx6_m4wkOD7IG-k_eo/edit#gid=0"", ""Maths!M:N""), 2, FALSE)"),"Generate lengths in mixed units and convert them into decimals of higher units and vice versa.")</f>
        <v>Generate lengths in mixed units and convert them into decimals of higher units and vice versa.</v>
      </c>
      <c r="U140" s="11">
        <f ca="1">IFERROR(__xludf.DUMMYFUNCTION("ArrayFormula(VLOOKUP(G140, IMPORTRANGE(""https://docs.google.com/spreadsheets/d/1p7R4vtkWt5VOBim4ltsDG9KTzSjrtKXsMtQGXPHyND0/edit#gid=795171502"", ""'Filter 30_05_2024'!A1:M2000""), {2, 3, 4, 5,6,7,8,9,10,11,12,13}, 0))"),5)</f>
        <v>5</v>
      </c>
      <c r="V140" s="11">
        <f ca="1">IFERROR(__xludf.DUMMYFUNCTION("""COMPUTED_VALUE"""),6)</f>
        <v>6</v>
      </c>
      <c r="W140" s="11">
        <f ca="1">IFERROR(__xludf.DUMMYFUNCTION("""COMPUTED_VALUE"""),2)</f>
        <v>2</v>
      </c>
      <c r="X140" s="11">
        <f ca="1">IFERROR(__xludf.DUMMYFUNCTION("""COMPUTED_VALUE"""),13)</f>
        <v>13</v>
      </c>
      <c r="Y140" s="11">
        <f ca="1">IFERROR(__xludf.DUMMYFUNCTION("""COMPUTED_VALUE"""),8)</f>
        <v>8</v>
      </c>
      <c r="Z140" s="29">
        <f ca="1">IFERROR(__xludf.DUMMYFUNCTION("""COMPUTED_VALUE"""),3)</f>
        <v>3</v>
      </c>
      <c r="AA140" s="29">
        <f ca="1">IFERROR(__xludf.DUMMYFUNCTION("""COMPUTED_VALUE"""),1)</f>
        <v>1</v>
      </c>
      <c r="AB140" s="12">
        <f ca="1">IFERROR(__xludf.DUMMYFUNCTION("""COMPUTED_VALUE"""),12)</f>
        <v>12</v>
      </c>
      <c r="AC140" s="12"/>
      <c r="AD140" s="12"/>
      <c r="AE140" s="12"/>
      <c r="AF140" s="12"/>
      <c r="AG140" s="13" t="str">
        <f ca="1">IFERROR(__xludf.DUMMYFUNCTION("ArrayFormula(VLOOKUP(G140, IMPORTRANGE(""https://docs.google.com/spreadsheets/d/1Co934fvtviyaRiMsrIlT05Jaq7iiYq07aLvRr35KA48/edit?gid=173865642#gid=173865642"", ""'G6_Maths_Pri_LU'!G2:V2000""), {3, 4, 5, 6, 7, 8, 9, 10, 11, 12, 13, 14, 15, 16}, 0))"),"LU000163")</f>
        <v>LU000163</v>
      </c>
      <c r="AH140" s="13" t="str">
        <f ca="1">IFERROR(__xludf.DUMMYFUNCTION("""COMPUTED_VALUE"""),"Conversion between different units of length (in whole number)")</f>
        <v>Conversion between different units of length (in whole number)</v>
      </c>
      <c r="AI140" s="13" t="str">
        <f ca="1">IFERROR(__xludf.DUMMYFUNCTION("""COMPUTED_VALUE"""),"LU000097")</f>
        <v>LU000097</v>
      </c>
      <c r="AJ140" s="13" t="str">
        <f ca="1">IFERROR(__xludf.DUMMYFUNCTION("""COMPUTED_VALUE"""),"Convert fractional form to decimal number")</f>
        <v>Convert fractional form to decimal number</v>
      </c>
      <c r="AK140" s="13" t="str">
        <f ca="1">IFERROR(__xludf.DUMMYFUNCTION("""COMPUTED_VALUE"""),"LU000293")</f>
        <v>LU000293</v>
      </c>
      <c r="AL140" s="13" t="str">
        <f ca="1">IFERROR(__xludf.DUMMYFUNCTION("""COMPUTED_VALUE"""),"Place value system in decimal numbers")</f>
        <v>Place value system in decimal numbers</v>
      </c>
      <c r="AM140" s="13"/>
      <c r="AN140" s="13"/>
      <c r="AO140" s="13"/>
      <c r="AP140" s="13"/>
      <c r="AQ140" s="13"/>
      <c r="AR140" s="13"/>
      <c r="AS140" s="13"/>
      <c r="AT140" s="13"/>
    </row>
    <row r="141" spans="1:46">
      <c r="A141" s="8" t="s">
        <v>247</v>
      </c>
      <c r="B141" s="8" t="s">
        <v>47</v>
      </c>
      <c r="C141" s="8" t="s">
        <v>48</v>
      </c>
      <c r="D141" s="8" t="s">
        <v>49</v>
      </c>
      <c r="E141" s="8" t="s">
        <v>368</v>
      </c>
      <c r="F141" s="8" t="s">
        <v>376</v>
      </c>
      <c r="G141" s="8" t="s">
        <v>378</v>
      </c>
      <c r="H141" s="8" t="str">
        <f ca="1">IFERROR(__xludf.DUMMYFUNCTION("VLOOKUP(G141, IMPORTRANGE(""https://docs.google.com/spreadsheets/d/14deopnvwcrKtEGCKuYXdUHJbeLDZlkiSSWWT0g7x2pM/edit#gid=999382323"", ""LU List Maths (Filter)!A:B""), 2, FALSE)"),"Conversion between mixed units of mass into a single decimal representation and vice versa")</f>
        <v>Conversion between mixed units of mass into a single decimal representation and vice versa</v>
      </c>
      <c r="I141" s="10" t="str">
        <f t="shared" si="0"/>
        <v>LU000299.001</v>
      </c>
      <c r="J141" s="10" t="str">
        <f ca="1">IFERROR(__xludf.DUMMYFUNCTION("VLOOKUP(I141, IMPORTRANGE(""https://docs.google.com/spreadsheets/d/1yDAaXNsi4Mr5FtRQL4tbmSdIzhx6_m4wkOD7IG-k_eo/edit#gid=0"", ""Maths!M:N""), 2, FALSE)"),"State the procedure for conversion between mass given in mixed units (e.g., gram, milligram) and decimals of higher units (e.g., kilogram) and list the appropriate conversion factors.")</f>
        <v>State the procedure for conversion between mass given in mixed units (e.g., gram, milligram) and decimals of higher units (e.g., kilogram) and list the appropriate conversion factors.</v>
      </c>
      <c r="K141" s="10" t="str">
        <f t="shared" si="1"/>
        <v>LU000299.002</v>
      </c>
      <c r="L141" s="10" t="str">
        <f ca="1">IFERROR(__xludf.DUMMYFUNCTION("VLOOKUP(K141, IMPORTRANGE(""https://docs.google.com/spreadsheets/d/1yDAaXNsi4Mr5FtRQL4tbmSdIzhx6_m4wkOD7IG-k_eo/edit#gid=0"", ""Maths!M:N""), 2, FALSE)"),"Explain the rationale behind conversion between mixed units of mass and decimals of higher units.")</f>
        <v>Explain the rationale behind conversion between mixed units of mass and decimals of higher units.</v>
      </c>
      <c r="M141" s="10" t="str">
        <f t="shared" si="2"/>
        <v>LU000299.003</v>
      </c>
      <c r="N141" s="10" t="str">
        <f ca="1">IFERROR(__xludf.DUMMYFUNCTION("VLOOKUP(M141, IMPORTRANGE(""https://docs.google.com/spreadsheets/d/1yDAaXNsi4Mr5FtRQL4tbmSdIzhx6_m4wkOD7IG-k_eo/edit#gid=0"", ""Maths!M:N""), 2, FALSE)"),"Convert mass in mixed units into decimals of higher units and vice versa.")</f>
        <v>Convert mass in mixed units into decimals of higher units and vice versa.</v>
      </c>
      <c r="O141" s="10" t="str">
        <f t="shared" si="3"/>
        <v>LU000299.004</v>
      </c>
      <c r="P141" s="10" t="str">
        <f ca="1">IFERROR(__xludf.DUMMYFUNCTION("VLOOKUP(O141, IMPORTRANGE(""https://docs.google.com/spreadsheets/d/1yDAaXNsi4Mr5FtRQL4tbmSdIzhx6_m4wkOD7IG-k_eo/edit#gid=0"", ""Maths!M:N""), 2, FALSE)"),"Analyse the relationship between the various components of mixed units of mass and their corresponding values in decimals of higher units.")</f>
        <v>Analyse the relationship between the various components of mixed units of mass and their corresponding values in decimals of higher units.</v>
      </c>
      <c r="Q141" s="10" t="str">
        <f t="shared" si="4"/>
        <v>LU000299.005</v>
      </c>
      <c r="R141" s="10" t="str">
        <f ca="1">IFERROR(__xludf.DUMMYFUNCTION("VLOOKUP(Q141, IMPORTRANGE(""https://docs.google.com/spreadsheets/d/1yDAaXNsi4Mr5FtRQL4tbmSdIzhx6_m4wkOD7IG-k_eo/edit#gid=0"", ""Maths!M:N""), 2, FALSE)"),"Assess the correctness of conversions of mass to decimals of higher units.")</f>
        <v>Assess the correctness of conversions of mass to decimals of higher units.</v>
      </c>
      <c r="S141" s="10" t="str">
        <f t="shared" si="5"/>
        <v>LU000299.006</v>
      </c>
      <c r="T141" s="10" t="str">
        <f ca="1">IFERROR(__xludf.DUMMYFUNCTION("VLOOKUP(S141, IMPORTRANGE(""https://docs.google.com/spreadsheets/d/1yDAaXNsi4Mr5FtRQL4tbmSdIzhx6_m4wkOD7IG-k_eo/edit#gid=0"", ""Maths!M:N""), 2, FALSE)"),"Generate mass in mixed units and convert them into decimals of higher units and vice versa.")</f>
        <v>Generate mass in mixed units and convert them into decimals of higher units and vice versa.</v>
      </c>
      <c r="U141" s="11">
        <f ca="1">IFERROR(__xludf.DUMMYFUNCTION("ArrayFormula(VLOOKUP(G141, IMPORTRANGE(""https://docs.google.com/spreadsheets/d/1p7R4vtkWt5VOBim4ltsDG9KTzSjrtKXsMtQGXPHyND0/edit#gid=795171502"", ""'Filter 30_05_2024'!A1:M2000""), {2, 3, 4, 5,6,7,8,9,10,11,12,13}, 0))"),3)</f>
        <v>3</v>
      </c>
      <c r="V141" s="11">
        <f ca="1">IFERROR(__xludf.DUMMYFUNCTION("""COMPUTED_VALUE"""),6)</f>
        <v>6</v>
      </c>
      <c r="W141" s="11">
        <f ca="1">IFERROR(__xludf.DUMMYFUNCTION("""COMPUTED_VALUE"""),2)</f>
        <v>2</v>
      </c>
      <c r="X141" s="11">
        <f ca="1">IFERROR(__xludf.DUMMYFUNCTION("""COMPUTED_VALUE"""),11)</f>
        <v>11</v>
      </c>
      <c r="Y141" s="11">
        <f ca="1">IFERROR(__xludf.DUMMYFUNCTION("""COMPUTED_VALUE"""),5)</f>
        <v>5</v>
      </c>
      <c r="Z141" s="29">
        <f ca="1">IFERROR(__xludf.DUMMYFUNCTION("""COMPUTED_VALUE"""),3)</f>
        <v>3</v>
      </c>
      <c r="AA141" s="29">
        <f ca="1">IFERROR(__xludf.DUMMYFUNCTION("""COMPUTED_VALUE"""),1)</f>
        <v>1</v>
      </c>
      <c r="AB141" s="12">
        <f ca="1">IFERROR(__xludf.DUMMYFUNCTION("""COMPUTED_VALUE"""),9)</f>
        <v>9</v>
      </c>
      <c r="AC141" s="12"/>
      <c r="AD141" s="12"/>
      <c r="AE141" s="12"/>
      <c r="AF141" s="12"/>
      <c r="AG141" s="13" t="str">
        <f ca="1">IFERROR(__xludf.DUMMYFUNCTION("ArrayFormula(VLOOKUP(G141, IMPORTRANGE(""https://docs.google.com/spreadsheets/d/1Co934fvtviyaRiMsrIlT05Jaq7iiYq07aLvRr35KA48/edit?gid=173865642#gid=173865642"", ""'G6_Maths_Pri_LU'!G2:V2000""), {3, 4, 5, 6, 7, 8, 9, 10, 11, 12, 13, 14, 15, 16}, 0))"),"LU000164")</f>
        <v>LU000164</v>
      </c>
      <c r="AH141" s="13" t="str">
        <f ca="1">IFERROR(__xludf.DUMMYFUNCTION("""COMPUTED_VALUE"""),"Conversion between different units of mass (in whole number)")</f>
        <v>Conversion between different units of mass (in whole number)</v>
      </c>
      <c r="AI141" s="13" t="str">
        <f ca="1">IFERROR(__xludf.DUMMYFUNCTION("""COMPUTED_VALUE"""),"LU000097")</f>
        <v>LU000097</v>
      </c>
      <c r="AJ141" s="13" t="str">
        <f ca="1">IFERROR(__xludf.DUMMYFUNCTION("""COMPUTED_VALUE"""),"Convert fractional form to decimal number")</f>
        <v>Convert fractional form to decimal number</v>
      </c>
      <c r="AK141" s="13" t="str">
        <f ca="1">IFERROR(__xludf.DUMMYFUNCTION("""COMPUTED_VALUE"""),"LU000293")</f>
        <v>LU000293</v>
      </c>
      <c r="AL141" s="13" t="str">
        <f ca="1">IFERROR(__xludf.DUMMYFUNCTION("""COMPUTED_VALUE"""),"Place value system in decimal numbers")</f>
        <v>Place value system in decimal numbers</v>
      </c>
      <c r="AM141" s="13"/>
      <c r="AN141" s="13"/>
      <c r="AO141" s="13"/>
      <c r="AP141" s="13"/>
      <c r="AQ141" s="13"/>
      <c r="AR141" s="13"/>
      <c r="AS141" s="13"/>
      <c r="AT141" s="13"/>
    </row>
    <row r="142" spans="1:46">
      <c r="A142" s="8" t="s">
        <v>247</v>
      </c>
      <c r="B142" s="8" t="s">
        <v>47</v>
      </c>
      <c r="C142" s="8" t="s">
        <v>48</v>
      </c>
      <c r="D142" s="8" t="s">
        <v>49</v>
      </c>
      <c r="E142" s="8" t="s">
        <v>368</v>
      </c>
      <c r="F142" s="8" t="s">
        <v>376</v>
      </c>
      <c r="G142" s="8" t="s">
        <v>379</v>
      </c>
      <c r="H142" s="8" t="str">
        <f ca="1">IFERROR(__xludf.DUMMYFUNCTION("VLOOKUP(G142, IMPORTRANGE(""https://docs.google.com/spreadsheets/d/14deopnvwcrKtEGCKuYXdUHJbeLDZlkiSSWWT0g7x2pM/edit#gid=999382323"", ""LU List Maths (Filter)!A:B""), 2, FALSE)"),"Conversion between mixed units of currency into a single decimal representation and vice versa")</f>
        <v>Conversion between mixed units of currency into a single decimal representation and vice versa</v>
      </c>
      <c r="I142" s="10" t="str">
        <f t="shared" si="0"/>
        <v>LU000300.001</v>
      </c>
      <c r="J142" s="10" t="str">
        <f ca="1">IFERROR(__xludf.DUMMYFUNCTION("VLOOKUP(I142, IMPORTRANGE(""https://docs.google.com/spreadsheets/d/1yDAaXNsi4Mr5FtRQL4tbmSdIzhx6_m4wkOD7IG-k_eo/edit#gid=0"", ""Maths!M:N""), 2, FALSE)"),"State the procedure for conversion between currency given in mixed units (e.g., rupee, paise) and decimals of higher units (e.g., paise) and list the appropriate conversion factors.")</f>
        <v>State the procedure for conversion between currency given in mixed units (e.g., rupee, paise) and decimals of higher units (e.g., paise) and list the appropriate conversion factors.</v>
      </c>
      <c r="K142" s="10" t="str">
        <f t="shared" si="1"/>
        <v>LU000300.002</v>
      </c>
      <c r="L142" s="10" t="str">
        <f ca="1">IFERROR(__xludf.DUMMYFUNCTION("VLOOKUP(K142, IMPORTRANGE(""https://docs.google.com/spreadsheets/d/1yDAaXNsi4Mr5FtRQL4tbmSdIzhx6_m4wkOD7IG-k_eo/edit#gid=0"", ""Maths!M:N""), 2, FALSE)"),"Explain the rationale behind conversion between mixed units of currency and decimals of higher units.")</f>
        <v>Explain the rationale behind conversion between mixed units of currency and decimals of higher units.</v>
      </c>
      <c r="M142" s="10" t="str">
        <f t="shared" si="2"/>
        <v>LU000300.003</v>
      </c>
      <c r="N142" s="10" t="str">
        <f ca="1">IFERROR(__xludf.DUMMYFUNCTION("VLOOKUP(M142, IMPORTRANGE(""https://docs.google.com/spreadsheets/d/1yDAaXNsi4Mr5FtRQL4tbmSdIzhx6_m4wkOD7IG-k_eo/edit#gid=0"", ""Maths!M:N""), 2, FALSE)"),"Convert currency in mixed units into decimals of higher units and vice versa.")</f>
        <v>Convert currency in mixed units into decimals of higher units and vice versa.</v>
      </c>
      <c r="O142" s="10" t="str">
        <f t="shared" si="3"/>
        <v>LU000300.004</v>
      </c>
      <c r="P142" s="10" t="str">
        <f ca="1">IFERROR(__xludf.DUMMYFUNCTION("VLOOKUP(O142, IMPORTRANGE(""https://docs.google.com/spreadsheets/d/1yDAaXNsi4Mr5FtRQL4tbmSdIzhx6_m4wkOD7IG-k_eo/edit#gid=0"", ""Maths!M:N""), 2, FALSE)"),"Analyse the relationship between the various components of mixed units of currency and their corresponding values in decimals of higher units.")</f>
        <v>Analyse the relationship between the various components of mixed units of currency and their corresponding values in decimals of higher units.</v>
      </c>
      <c r="Q142" s="10" t="str">
        <f t="shared" si="4"/>
        <v>LU000300.005</v>
      </c>
      <c r="R142" s="10" t="str">
        <f ca="1">IFERROR(__xludf.DUMMYFUNCTION("VLOOKUP(Q142, IMPORTRANGE(""https://docs.google.com/spreadsheets/d/1yDAaXNsi4Mr5FtRQL4tbmSdIzhx6_m4wkOD7IG-k_eo/edit#gid=0"", ""Maths!M:N""), 2, FALSE)"),"Assess the correctness of conversions of currency to decimals of higher units.")</f>
        <v>Assess the correctness of conversions of currency to decimals of higher units.</v>
      </c>
      <c r="S142" s="10" t="str">
        <f t="shared" si="5"/>
        <v>LU000300.006</v>
      </c>
      <c r="T142" s="10" t="str">
        <f ca="1">IFERROR(__xludf.DUMMYFUNCTION("VLOOKUP(S142, IMPORTRANGE(""https://docs.google.com/spreadsheets/d/1yDAaXNsi4Mr5FtRQL4tbmSdIzhx6_m4wkOD7IG-k_eo/edit#gid=0"", ""Maths!M:N""), 2, FALSE)"),"Generate currency in mixed units and convert them into decimals of higher units and vice versa.")</f>
        <v>Generate currency in mixed units and convert them into decimals of higher units and vice versa.</v>
      </c>
      <c r="U142" s="11">
        <f ca="1">IFERROR(__xludf.DUMMYFUNCTION("ArrayFormula(VLOOKUP(G142, IMPORTRANGE(""https://docs.google.com/spreadsheets/d/1p7R4vtkWt5VOBim4ltsDG9KTzSjrtKXsMtQGXPHyND0/edit#gid=795171502"", ""'Filter 30_05_2024'!A1:M2000""), {2, 3, 4, 5,6,7,8,9,10,11,12,13}, 0))"),6)</f>
        <v>6</v>
      </c>
      <c r="V142" s="11">
        <f ca="1">IFERROR(__xludf.DUMMYFUNCTION("""COMPUTED_VALUE"""),4)</f>
        <v>4</v>
      </c>
      <c r="W142" s="11">
        <f ca="1">IFERROR(__xludf.DUMMYFUNCTION("""COMPUTED_VALUE"""),2)</f>
        <v>2</v>
      </c>
      <c r="X142" s="11">
        <f ca="1">IFERROR(__xludf.DUMMYFUNCTION("""COMPUTED_VALUE"""),12)</f>
        <v>12</v>
      </c>
      <c r="Y142" s="11">
        <f ca="1">IFERROR(__xludf.DUMMYFUNCTION("""COMPUTED_VALUE"""),8)</f>
        <v>8</v>
      </c>
      <c r="Z142" s="29">
        <f ca="1">IFERROR(__xludf.DUMMYFUNCTION("""COMPUTED_VALUE"""),4)</f>
        <v>4</v>
      </c>
      <c r="AA142" s="29">
        <f ca="1">IFERROR(__xludf.DUMMYFUNCTION("""COMPUTED_VALUE"""),1)</f>
        <v>1</v>
      </c>
      <c r="AB142" s="12">
        <f ca="1">IFERROR(__xludf.DUMMYFUNCTION("""COMPUTED_VALUE"""),13)</f>
        <v>13</v>
      </c>
      <c r="AC142" s="12"/>
      <c r="AD142" s="12"/>
      <c r="AE142" s="12"/>
      <c r="AF142" s="12"/>
      <c r="AG142" s="13" t="str">
        <f ca="1">IFERROR(__xludf.DUMMYFUNCTION("ArrayFormula(VLOOKUP(G142, IMPORTRANGE(""https://docs.google.com/spreadsheets/d/1Co934fvtviyaRiMsrIlT05Jaq7iiYq07aLvRr35KA48/edit?gid=173865642#gid=173865642"", ""'G6_Maths_Pri_LU'!G2:V2000""), {3, 4, 5, 6, 7, 8, 9, 10, 11, 12, 13, 14, 15, 16}, 0))"),"LU000097")</f>
        <v>LU000097</v>
      </c>
      <c r="AH142" s="13" t="str">
        <f ca="1">IFERROR(__xludf.DUMMYFUNCTION("""COMPUTED_VALUE"""),"Convert fractional form to decimal number")</f>
        <v>Convert fractional form to decimal number</v>
      </c>
      <c r="AI142" s="13" t="str">
        <f ca="1">IFERROR(__xludf.DUMMYFUNCTION("""COMPUTED_VALUE"""),"LU000293")</f>
        <v>LU000293</v>
      </c>
      <c r="AJ142" s="13" t="str">
        <f ca="1">IFERROR(__xludf.DUMMYFUNCTION("""COMPUTED_VALUE"""),"Place value system in decimal numbers")</f>
        <v>Place value system in decimal numbers</v>
      </c>
      <c r="AK142" s="13"/>
      <c r="AL142" s="13"/>
      <c r="AM142" s="13"/>
      <c r="AN142" s="13"/>
      <c r="AO142" s="13"/>
      <c r="AP142" s="13"/>
      <c r="AQ142" s="13"/>
      <c r="AR142" s="13"/>
      <c r="AS142" s="13"/>
      <c r="AT142" s="13"/>
    </row>
    <row r="143" spans="1:46">
      <c r="A143" s="8" t="s">
        <v>247</v>
      </c>
      <c r="B143" s="8" t="s">
        <v>47</v>
      </c>
      <c r="C143" s="8" t="s">
        <v>48</v>
      </c>
      <c r="D143" s="8" t="s">
        <v>49</v>
      </c>
      <c r="E143" s="8" t="s">
        <v>368</v>
      </c>
      <c r="F143" s="8" t="s">
        <v>380</v>
      </c>
      <c r="G143" s="8" t="s">
        <v>381</v>
      </c>
      <c r="H143" s="8" t="str">
        <f ca="1">IFERROR(__xludf.DUMMYFUNCTION("VLOOKUP(G143, IMPORTRANGE(""https://docs.google.com/spreadsheets/d/14deopnvwcrKtEGCKuYXdUHJbeLDZlkiSSWWT0g7x2pM/edit#gid=999382323"", ""LU List Maths (Filter)!A:B""), 2, FALSE)"),"Addition of decimal numbers")</f>
        <v>Addition of decimal numbers</v>
      </c>
      <c r="I143" s="10" t="str">
        <f t="shared" si="0"/>
        <v>LU000302.001</v>
      </c>
      <c r="J143" s="10" t="str">
        <f ca="1">IFERROR(__xludf.DUMMYFUNCTION("VLOOKUP(I143, IMPORTRANGE(""https://docs.google.com/spreadsheets/d/1yDAaXNsi4Mr5FtRQL4tbmSdIzhx6_m4wkOD7IG-k_eo/edit#gid=0"", ""Maths!M:N""), 2, FALSE)"),"State the sequential steps involved in adding decimal numbers, emphasising the importance of aligning decimal points before performing addition.")</f>
        <v>State the sequential steps involved in adding decimal numbers, emphasising the importance of aligning decimal points before performing addition.</v>
      </c>
      <c r="K143" s="10" t="str">
        <f t="shared" si="1"/>
        <v>LU000302.002</v>
      </c>
      <c r="L143" s="10" t="str">
        <f ca="1">IFERROR(__xludf.DUMMYFUNCTION("VLOOKUP(K143, IMPORTRANGE(""https://docs.google.com/spreadsheets/d/1yDAaXNsi4Mr5FtRQL4tbmSdIzhx6_m4wkOD7IG-k_eo/edit#gid=0"", ""Maths!M:N""), 2, FALSE)"),"Describe how adding decimal numbers involves aligning digits based on their place values and adding column by column.")</f>
        <v>Describe how adding decimal numbers involves aligning digits based on their place values and adding column by column.</v>
      </c>
      <c r="M143" s="10" t="str">
        <f t="shared" si="2"/>
        <v>LU000302.003</v>
      </c>
      <c r="N143" s="10" t="str">
        <f ca="1">IFERROR(__xludf.DUMMYFUNCTION("VLOOKUP(M143, IMPORTRANGE(""https://docs.google.com/spreadsheets/d/1yDAaXNsi4Mr5FtRQL4tbmSdIzhx6_m4wkOD7IG-k_eo/edit#gid=0"", ""Maths!M:N""), 2, FALSE)"),"Apply the understanding of adding decimal numbers to solve arithmetic and word problems.")</f>
        <v>Apply the understanding of adding decimal numbers to solve arithmetic and word problems.</v>
      </c>
      <c r="O143" s="10" t="str">
        <f t="shared" si="3"/>
        <v>LU000302.004</v>
      </c>
      <c r="P143" s="10" t="str">
        <f ca="1">IFERROR(__xludf.DUMMYFUNCTION("VLOOKUP(O143, IMPORTRANGE(""https://docs.google.com/spreadsheets/d/1yDAaXNsi4Mr5FtRQL4tbmSdIzhx6_m4wkOD7IG-k_eo/edit#gid=0"", ""Maths!M:N""), 2, FALSE)"),"Examine how the correct placement of the decimal point in the sum of decimal numbers ensures the precision of the result.")</f>
        <v>Examine how the correct placement of the decimal point in the sum of decimal numbers ensures the precision of the result.</v>
      </c>
      <c r="Q143" s="10" t="str">
        <f t="shared" si="4"/>
        <v>LU000302.005</v>
      </c>
      <c r="R143" s="10" t="str">
        <f ca="1">IFERROR(__xludf.DUMMYFUNCTION("VLOOKUP(Q143, IMPORTRANGE(""https://docs.google.com/spreadsheets/d/1yDAaXNsi4Mr5FtRQL4tbmSdIzhx6_m4wkOD7IG-k_eo/edit#gid=0"", ""Maths!M:N""), 2, FALSE)"),"Evaluate the accuracy of addition solution for decimal numbers, assessing the correctness of the aligned addition and decimal point placement.")</f>
        <v>Evaluate the accuracy of addition solution for decimal numbers, assessing the correctness of the aligned addition and decimal point placement.</v>
      </c>
      <c r="S143" s="10" t="str">
        <f t="shared" si="5"/>
        <v>LU000302.006</v>
      </c>
      <c r="T143" s="10" t="str">
        <f ca="1">IFERROR(__xludf.DUMMYFUNCTION("VLOOKUP(S143, IMPORTRANGE(""https://docs.google.com/spreadsheets/d/1yDAaXNsi4Mr5FtRQL4tbmSdIzhx6_m4wkOD7IG-k_eo/edit#gid=0"", ""Maths!M:N""), 2, FALSE)"),"Develop real-world scenarios, each requiring the addition of decimal numbers (e.g., measuring lengths, calculating expenses) and solve them accurately.")</f>
        <v>Develop real-world scenarios, each requiring the addition of decimal numbers (e.g., measuring lengths, calculating expenses) and solve them accurately.</v>
      </c>
      <c r="U143" s="11">
        <f ca="1">IFERROR(__xludf.DUMMYFUNCTION("ArrayFormula(VLOOKUP(G143, IMPORTRANGE(""https://docs.google.com/spreadsheets/d/1p7R4vtkWt5VOBim4ltsDG9KTzSjrtKXsMtQGXPHyND0/edit#gid=795171502"", ""'Filter 30_05_2024'!A1:M2000""), {2, 3, 4, 5,6,7,8,9,10,11,12,13}, 0))"),23)</f>
        <v>23</v>
      </c>
      <c r="V143" s="11">
        <f ca="1">IFERROR(__xludf.DUMMYFUNCTION("""COMPUTED_VALUE"""),14)</f>
        <v>14</v>
      </c>
      <c r="W143" s="11">
        <f ca="1">IFERROR(__xludf.DUMMYFUNCTION("""COMPUTED_VALUE"""),2)</f>
        <v>2</v>
      </c>
      <c r="X143" s="11">
        <f ca="1">IFERROR(__xludf.DUMMYFUNCTION("""COMPUTED_VALUE"""),39)</f>
        <v>39</v>
      </c>
      <c r="Y143" s="11">
        <f ca="1">IFERROR(__xludf.DUMMYFUNCTION("""COMPUTED_VALUE"""),6)</f>
        <v>6</v>
      </c>
      <c r="Z143" s="29">
        <f ca="1">IFERROR(__xludf.DUMMYFUNCTION("""COMPUTED_VALUE"""),6)</f>
        <v>6</v>
      </c>
      <c r="AA143" s="29">
        <f ca="1">IFERROR(__xludf.DUMMYFUNCTION("""COMPUTED_VALUE"""),1)</f>
        <v>1</v>
      </c>
      <c r="AB143" s="12">
        <f ca="1">IFERROR(__xludf.DUMMYFUNCTION("""COMPUTED_VALUE"""),13)</f>
        <v>13</v>
      </c>
      <c r="AC143" s="12"/>
      <c r="AD143" s="12"/>
      <c r="AE143" s="12"/>
      <c r="AF143" s="12"/>
      <c r="AG143" s="13" t="str">
        <f ca="1">IFERROR(__xludf.DUMMYFUNCTION("ArrayFormula(VLOOKUP(G143, IMPORTRANGE(""https://docs.google.com/spreadsheets/d/1Co934fvtviyaRiMsrIlT05Jaq7iiYq07aLvRr35KA48/edit?gid=173865642#gid=173865642"", ""'G6_Maths_Pri_LU'!G2:V2000""), {3, 4, 5, 6, 7, 8, 9, 10, 11, 12, 13, 14, 15, 16}, 0))"),"LU000293")</f>
        <v>LU000293</v>
      </c>
      <c r="AH143" s="13" t="str">
        <f ca="1">IFERROR(__xludf.DUMMYFUNCTION("""COMPUTED_VALUE"""),"Place value system in decimal numbers")</f>
        <v>Place value system in decimal numbers</v>
      </c>
      <c r="AI143" s="13" t="str">
        <f ca="1">IFERROR(__xludf.DUMMYFUNCTION("""COMPUTED_VALUE"""),"LU000180")</f>
        <v>LU000180</v>
      </c>
      <c r="AJ143" s="13" t="str">
        <f ca="1">IFERROR(__xludf.DUMMYFUNCTION("""COMPUTED_VALUE"""),"Addition of whole numbers on number line")</f>
        <v>Addition of whole numbers on number line</v>
      </c>
      <c r="AK143" s="13"/>
      <c r="AL143" s="13"/>
      <c r="AM143" s="13"/>
      <c r="AN143" s="13"/>
      <c r="AO143" s="13"/>
      <c r="AP143" s="13"/>
      <c r="AQ143" s="13"/>
      <c r="AR143" s="13"/>
      <c r="AS143" s="13"/>
      <c r="AT143" s="13"/>
    </row>
    <row r="144" spans="1:46">
      <c r="A144" s="8" t="s">
        <v>247</v>
      </c>
      <c r="B144" s="8" t="s">
        <v>47</v>
      </c>
      <c r="C144" s="8" t="s">
        <v>48</v>
      </c>
      <c r="D144" s="8" t="s">
        <v>49</v>
      </c>
      <c r="E144" s="8" t="s">
        <v>368</v>
      </c>
      <c r="F144" s="8" t="s">
        <v>380</v>
      </c>
      <c r="G144" s="8" t="s">
        <v>382</v>
      </c>
      <c r="H144" s="8" t="str">
        <f ca="1">IFERROR(__xludf.DUMMYFUNCTION("VLOOKUP(G144, IMPORTRANGE(""https://docs.google.com/spreadsheets/d/14deopnvwcrKtEGCKuYXdUHJbeLDZlkiSSWWT0g7x2pM/edit#gid=999382323"", ""LU List Maths (Filter)!A:B""), 2, FALSE)"),"Subtraction of decimal numbers")</f>
        <v>Subtraction of decimal numbers</v>
      </c>
      <c r="I144" s="10" t="str">
        <f t="shared" si="0"/>
        <v>LU000303.001</v>
      </c>
      <c r="J144" s="10" t="str">
        <f ca="1">IFERROR(__xludf.DUMMYFUNCTION("VLOOKUP(I144, IMPORTRANGE(""https://docs.google.com/spreadsheets/d/1yDAaXNsi4Mr5FtRQL4tbmSdIzhx6_m4wkOD7IG-k_eo/edit#gid=0"", ""Maths!M:N""), 2, FALSE)"),"State the sequential steps involved in subtracting decimal numbers, emphasising the importance of aligning decimal points before performing subtraction.")</f>
        <v>State the sequential steps involved in subtracting decimal numbers, emphasising the importance of aligning decimal points before performing subtraction.</v>
      </c>
      <c r="K144" s="10" t="str">
        <f t="shared" si="1"/>
        <v>LU000303.002</v>
      </c>
      <c r="L144" s="10" t="str">
        <f ca="1">IFERROR(__xludf.DUMMYFUNCTION("VLOOKUP(K144, IMPORTRANGE(""https://docs.google.com/spreadsheets/d/1yDAaXNsi4Mr5FtRQL4tbmSdIzhx6_m4wkOD7IG-k_eo/edit#gid=0"", ""Maths!M:N""), 2, FALSE)"),"Describe how subtracting decimal numbers involves aligning digits based on their place values and subtracting column by column.")</f>
        <v>Describe how subtracting decimal numbers involves aligning digits based on their place values and subtracting column by column.</v>
      </c>
      <c r="M144" s="10" t="str">
        <f t="shared" si="2"/>
        <v>LU000303.003</v>
      </c>
      <c r="N144" s="10" t="str">
        <f ca="1">IFERROR(__xludf.DUMMYFUNCTION("VLOOKUP(M144, IMPORTRANGE(""https://docs.google.com/spreadsheets/d/1yDAaXNsi4Mr5FtRQL4tbmSdIzhx6_m4wkOD7IG-k_eo/edit#gid=0"", ""Maths!M:N""), 2, FALSE)"),"Apply the understanding of subtracting decimal numbers to solve arithmetic and word problems.")</f>
        <v>Apply the understanding of subtracting decimal numbers to solve arithmetic and word problems.</v>
      </c>
      <c r="O144" s="10" t="str">
        <f t="shared" si="3"/>
        <v>LU000303.004</v>
      </c>
      <c r="P144" s="10" t="str">
        <f ca="1">IFERROR(__xludf.DUMMYFUNCTION("VLOOKUP(O144, IMPORTRANGE(""https://docs.google.com/spreadsheets/d/1yDAaXNsi4Mr5FtRQL4tbmSdIzhx6_m4wkOD7IG-k_eo/edit#gid=0"", ""Maths!M:N""), 2, FALSE)"),"Examine how the correct placement of the decimal point in the difference of decimal numbers ensures the precision of the result.")</f>
        <v>Examine how the correct placement of the decimal point in the difference of decimal numbers ensures the precision of the result.</v>
      </c>
      <c r="Q144" s="10" t="str">
        <f t="shared" si="4"/>
        <v>LU000303.005</v>
      </c>
      <c r="R144" s="10" t="str">
        <f ca="1">IFERROR(__xludf.DUMMYFUNCTION("VLOOKUP(Q144, IMPORTRANGE(""https://docs.google.com/spreadsheets/d/1yDAaXNsi4Mr5FtRQL4tbmSdIzhx6_m4wkOD7IG-k_eo/edit#gid=0"", ""Maths!M:N""), 2, FALSE)"),"Evaluate the accuracy of subtraction solution for decimal numbers, assessing the correctness of the aligned subtraction and decimal point placement.")</f>
        <v>Evaluate the accuracy of subtraction solution for decimal numbers, assessing the correctness of the aligned subtraction and decimal point placement.</v>
      </c>
      <c r="S144" s="10" t="str">
        <f t="shared" si="5"/>
        <v>LU000303.006</v>
      </c>
      <c r="T144" s="10" t="str">
        <f ca="1">IFERROR(__xludf.DUMMYFUNCTION("VLOOKUP(S144, IMPORTRANGE(""https://docs.google.com/spreadsheets/d/1yDAaXNsi4Mr5FtRQL4tbmSdIzhx6_m4wkOD7IG-k_eo/edit#gid=0"", ""Maths!M:N""), 2, FALSE)"),"Develop real-world scenarios, each requiring the subtraction of decimal numbers (e.g., measuring lengths, calculating expenses) and solve them accurately.")</f>
        <v>Develop real-world scenarios, each requiring the subtraction of decimal numbers (e.g., measuring lengths, calculating expenses) and solve them accurately.</v>
      </c>
      <c r="U144" s="11">
        <f ca="1">IFERROR(__xludf.DUMMYFUNCTION("ArrayFormula(VLOOKUP(G144, IMPORTRANGE(""https://docs.google.com/spreadsheets/d/1p7R4vtkWt5VOBim4ltsDG9KTzSjrtKXsMtQGXPHyND0/edit#gid=795171502"", ""'Filter 30_05_2024'!A1:M2000""), {2, 3, 4, 5,6,7,8,9,10,11,12,13}, 0))"),8)</f>
        <v>8</v>
      </c>
      <c r="V144" s="11">
        <f ca="1">IFERROR(__xludf.DUMMYFUNCTION("""COMPUTED_VALUE"""),7)</f>
        <v>7</v>
      </c>
      <c r="W144" s="11">
        <f ca="1">IFERROR(__xludf.DUMMYFUNCTION("""COMPUTED_VALUE"""),4)</f>
        <v>4</v>
      </c>
      <c r="X144" s="11">
        <f ca="1">IFERROR(__xludf.DUMMYFUNCTION("""COMPUTED_VALUE"""),19)</f>
        <v>19</v>
      </c>
      <c r="Y144" s="11">
        <f ca="1">IFERROR(__xludf.DUMMYFUNCTION("""COMPUTED_VALUE"""),5)</f>
        <v>5</v>
      </c>
      <c r="Z144" s="29">
        <f ca="1">IFERROR(__xludf.DUMMYFUNCTION("""COMPUTED_VALUE"""),5)</f>
        <v>5</v>
      </c>
      <c r="AA144" s="29">
        <f ca="1">IFERROR(__xludf.DUMMYFUNCTION("""COMPUTED_VALUE"""),2)</f>
        <v>2</v>
      </c>
      <c r="AB144" s="12">
        <f ca="1">IFERROR(__xludf.DUMMYFUNCTION("""COMPUTED_VALUE"""),12)</f>
        <v>12</v>
      </c>
      <c r="AC144" s="12"/>
      <c r="AD144" s="12"/>
      <c r="AE144" s="12"/>
      <c r="AF144" s="12"/>
      <c r="AG144" s="13" t="str">
        <f ca="1">IFERROR(__xludf.DUMMYFUNCTION("ArrayFormula(VLOOKUP(G144, IMPORTRANGE(""https://docs.google.com/spreadsheets/d/1Co934fvtviyaRiMsrIlT05Jaq7iiYq07aLvRr35KA48/edit?gid=173865642#gid=173865642"", ""'G6_Maths_Pri_LU'!G2:V2000""), {3, 4, 5, 6, 7, 8, 9, 10, 11, 12, 13, 14, 15, 16}, 0))"),"LU000302")</f>
        <v>LU000302</v>
      </c>
      <c r="AH144" s="13" t="str">
        <f ca="1">IFERROR(__xludf.DUMMYFUNCTION("""COMPUTED_VALUE"""),"Addition of decimal numbers")</f>
        <v>Addition of decimal numbers</v>
      </c>
      <c r="AI144" s="13" t="str">
        <f ca="1">IFERROR(__xludf.DUMMYFUNCTION("""COMPUTED_VALUE"""),"LU000293")</f>
        <v>LU000293</v>
      </c>
      <c r="AJ144" s="13" t="str">
        <f ca="1">IFERROR(__xludf.DUMMYFUNCTION("""COMPUTED_VALUE"""),"Place value system in decimal numbers")</f>
        <v>Place value system in decimal numbers</v>
      </c>
      <c r="AK144" s="13"/>
      <c r="AL144" s="13"/>
      <c r="AM144" s="13"/>
      <c r="AN144" s="13"/>
      <c r="AO144" s="13"/>
      <c r="AP144" s="13"/>
      <c r="AQ144" s="13"/>
      <c r="AR144" s="13"/>
      <c r="AS144" s="13"/>
      <c r="AT144" s="13"/>
    </row>
    <row r="145" spans="1:46">
      <c r="A145" s="8" t="s">
        <v>247</v>
      </c>
      <c r="B145" s="8" t="s">
        <v>47</v>
      </c>
      <c r="C145" s="8" t="s">
        <v>48</v>
      </c>
      <c r="D145" s="8" t="s">
        <v>49</v>
      </c>
      <c r="E145" s="8" t="s">
        <v>368</v>
      </c>
      <c r="F145" s="8" t="s">
        <v>383</v>
      </c>
      <c r="G145" s="8" t="s">
        <v>384</v>
      </c>
      <c r="H145" s="8" t="str">
        <f ca="1">IFERROR(__xludf.DUMMYFUNCTION("VLOOKUP(G145, IMPORTRANGE(""https://docs.google.com/spreadsheets/d/14deopnvwcrKtEGCKuYXdUHJbeLDZlkiSSWWT0g7x2pM/edit#gid=999382323"", ""LU List Maths (Filter)!A:B""), 2, FALSE)"),"Mixed operation of addition and subtraction of three or more decimal numbers")</f>
        <v>Mixed operation of addition and subtraction of three or more decimal numbers</v>
      </c>
      <c r="I145" s="10" t="str">
        <f t="shared" si="0"/>
        <v>LU000925.001</v>
      </c>
      <c r="J145" s="10" t="str">
        <f ca="1">IFERROR(__xludf.DUMMYFUNCTION("VLOOKUP(I145, IMPORTRANGE(""https://docs.google.com/spreadsheets/d/1yDAaXNsi4Mr5FtRQL4tbmSdIzhx6_m4wkOD7IG-k_eo/edit#gid=0"", ""Maths!M:N""), 2, FALSE)"),"State the rules for adding and subtracting decimal numbers.")</f>
        <v>State the rules for adding and subtracting decimal numbers.</v>
      </c>
      <c r="K145" s="10" t="str">
        <f t="shared" si="1"/>
        <v>LU000925.002</v>
      </c>
      <c r="L145" s="10" t="str">
        <f ca="1">IFERROR(__xludf.DUMMYFUNCTION("VLOOKUP(K145, IMPORTRANGE(""https://docs.google.com/spreadsheets/d/1yDAaXNsi4Mr5FtRQL4tbmSdIzhx6_m4wkOD7IG-k_eo/edit#gid=0"", ""Maths!M:N""), 2, FALSE)"),"Explain the concept of mixed operations involving addition and subtraction of decimal numbers.")</f>
        <v>Explain the concept of mixed operations involving addition and subtraction of decimal numbers.</v>
      </c>
      <c r="M145" s="10" t="str">
        <f t="shared" si="2"/>
        <v>LU000925.003</v>
      </c>
      <c r="N145" s="10" t="str">
        <f ca="1">IFERROR(__xludf.DUMMYFUNCTION("VLOOKUP(M145, IMPORTRANGE(""https://docs.google.com/spreadsheets/d/1yDAaXNsi4Mr5FtRQL4tbmSdIzhx6_m4wkOD7IG-k_eo/edit#gid=0"", ""Maths!M:N""), 2, FALSE)"),"Apply the rules of addition and subtraction to solve problems involving three or more decimal numbers.")</f>
        <v>Apply the rules of addition and subtraction to solve problems involving three or more decimal numbers.</v>
      </c>
      <c r="O145" s="10" t="str">
        <f t="shared" si="3"/>
        <v>LU000925.004</v>
      </c>
      <c r="P145" s="10" t="str">
        <f ca="1">IFERROR(__xludf.DUMMYFUNCTION("VLOOKUP(O145, IMPORTRANGE(""https://docs.google.com/spreadsheets/d/1yDAaXNsi4Mr5FtRQL4tbmSdIzhx6_m4wkOD7IG-k_eo/edit#gid=0"", ""Maths!M:N""), 2, FALSE)"),"Analyze errors in a given set of mixed operations involving decimal numbers ")</f>
        <v xml:space="preserve">Analyze errors in a given set of mixed operations involving decimal numbers </v>
      </c>
      <c r="Q145" s="10" t="str">
        <f t="shared" si="4"/>
        <v>LU000925.005</v>
      </c>
      <c r="R145" s="10" t="str">
        <f ca="1">IFERROR(__xludf.DUMMYFUNCTION("VLOOKUP(Q145, IMPORTRANGE(""https://docs.google.com/spreadsheets/d/1yDAaXNsi4Mr5FtRQL4tbmSdIzhx6_m4wkOD7IG-k_eo/edit#gid=0"", ""Maths!M:N""), 2, FALSE)"),"Evaluate the accuracy of solutions to mixed operations with decimal numbers.")</f>
        <v>Evaluate the accuracy of solutions to mixed operations with decimal numbers.</v>
      </c>
      <c r="S145" s="10" t="str">
        <f t="shared" si="5"/>
        <v>LU000925.006</v>
      </c>
      <c r="T145" s="10" t="str">
        <f ca="1">IFERROR(__xludf.DUMMYFUNCTION("VLOOKUP(S145, IMPORTRANGE(""https://docs.google.com/spreadsheets/d/1yDAaXNsi4Mr5FtRQL4tbmSdIzhx6_m4wkOD7IG-k_eo/edit#gid=0"", ""Maths!M:N""), 2, FALSE)"),"Create a real-world scenario where understanding mixed operations with decimal numbers is crucial.")</f>
        <v>Create a real-world scenario where understanding mixed operations with decimal numbers is crucial.</v>
      </c>
      <c r="U145" s="11">
        <f ca="1">IFERROR(__xludf.DUMMYFUNCTION("ArrayFormula(VLOOKUP(G145, IMPORTRANGE(""https://docs.google.com/spreadsheets/d/1p7R4vtkWt5VOBim4ltsDG9KTzSjrtKXsMtQGXPHyND0/edit#gid=795171502"", ""'Filter 30_05_2024'!A1:M2000""), {2, 3, 4, 5,6,7,8,9,10,11,12,13}, 0))"),4)</f>
        <v>4</v>
      </c>
      <c r="V145" s="11">
        <f ca="1">IFERROR(__xludf.DUMMYFUNCTION("""COMPUTED_VALUE"""),6)</f>
        <v>6</v>
      </c>
      <c r="W145" s="11">
        <f ca="1">IFERROR(__xludf.DUMMYFUNCTION("""COMPUTED_VALUE"""),2)</f>
        <v>2</v>
      </c>
      <c r="X145" s="11">
        <f ca="1">IFERROR(__xludf.DUMMYFUNCTION("""COMPUTED_VALUE"""),12)</f>
        <v>12</v>
      </c>
      <c r="Y145" s="11">
        <f ca="1">IFERROR(__xludf.DUMMYFUNCTION("""COMPUTED_VALUE"""),4)</f>
        <v>4</v>
      </c>
      <c r="Z145" s="29">
        <f ca="1">IFERROR(__xludf.DUMMYFUNCTION("""COMPUTED_VALUE"""),3)</f>
        <v>3</v>
      </c>
      <c r="AA145" s="29">
        <f ca="1">IFERROR(__xludf.DUMMYFUNCTION("""COMPUTED_VALUE"""),1)</f>
        <v>1</v>
      </c>
      <c r="AB145" s="12">
        <f ca="1">IFERROR(__xludf.DUMMYFUNCTION("""COMPUTED_VALUE"""),8)</f>
        <v>8</v>
      </c>
      <c r="AC145" s="12"/>
      <c r="AD145" s="12"/>
      <c r="AE145" s="12"/>
      <c r="AF145" s="12"/>
      <c r="AG145" s="13" t="str">
        <f ca="1">IFERROR(__xludf.DUMMYFUNCTION("ArrayFormula(VLOOKUP(G145, IMPORTRANGE(""https://docs.google.com/spreadsheets/d/1Co934fvtviyaRiMsrIlT05Jaq7iiYq07aLvRr35KA48/edit?gid=173865642#gid=173865642"", ""'G6_Maths_Pri_LU'!G2:V2000""), {3, 4, 5, 6, 7, 8, 9, 10, 11, 12, 13, 14, 15, 16}, 0))"),"LU000303")</f>
        <v>LU000303</v>
      </c>
      <c r="AH145" s="13" t="str">
        <f ca="1">IFERROR(__xludf.DUMMYFUNCTION("""COMPUTED_VALUE"""),"Subtraction of decimal numbers")</f>
        <v>Subtraction of decimal numbers</v>
      </c>
      <c r="AI145" s="13" t="str">
        <f ca="1">IFERROR(__xludf.DUMMYFUNCTION("""COMPUTED_VALUE"""),"LU000302")</f>
        <v>LU000302</v>
      </c>
      <c r="AJ145" s="13" t="str">
        <f ca="1">IFERROR(__xludf.DUMMYFUNCTION("""COMPUTED_VALUE"""),"Addition of decimal numbers")</f>
        <v>Addition of decimal numbers</v>
      </c>
      <c r="AK145" s="13" t="str">
        <f ca="1">IFERROR(__xludf.DUMMYFUNCTION("""COMPUTED_VALUE"""),"LU000293")</f>
        <v>LU000293</v>
      </c>
      <c r="AL145" s="13" t="str">
        <f ca="1">IFERROR(__xludf.DUMMYFUNCTION("""COMPUTED_VALUE"""),"Place value system in decimal numbers")</f>
        <v>Place value system in decimal numbers</v>
      </c>
      <c r="AM145" s="13"/>
      <c r="AN145" s="13"/>
      <c r="AO145" s="13"/>
      <c r="AP145" s="13"/>
      <c r="AQ145" s="13"/>
      <c r="AR145" s="13"/>
      <c r="AS145" s="13"/>
      <c r="AT145" s="13"/>
    </row>
    <row r="146" spans="1:46">
      <c r="A146" s="8" t="s">
        <v>247</v>
      </c>
      <c r="B146" s="8" t="s">
        <v>47</v>
      </c>
      <c r="C146" s="8" t="s">
        <v>48</v>
      </c>
      <c r="D146" s="8" t="s">
        <v>49</v>
      </c>
      <c r="E146" s="8" t="s">
        <v>385</v>
      </c>
      <c r="F146" s="8" t="s">
        <v>108</v>
      </c>
      <c r="G146" s="8" t="s">
        <v>109</v>
      </c>
      <c r="H146" s="8" t="str">
        <f ca="1">IFERROR(__xludf.DUMMYFUNCTION("VLOOKUP(G146, IMPORTRANGE(""https://docs.google.com/spreadsheets/d/14deopnvwcrKtEGCKuYXdUHJbeLDZlkiSSWWT0g7x2pM/edit#gid=999382323"", ""LU List Maths (Filter)!A:B""), 2, FALSE)"),"Definition of data and information")</f>
        <v>Definition of data and information</v>
      </c>
      <c r="I146" s="10" t="str">
        <f t="shared" si="0"/>
        <v>LU000308.001</v>
      </c>
      <c r="J146" s="10" t="str">
        <f ca="1">IFERROR(__xludf.DUMMYFUNCTION("VLOOKUP(I146, IMPORTRANGE(""https://docs.google.com/spreadsheets/d/1yDAaXNsi4Mr5FtRQL4tbmSdIzhx6_m4wkOD7IG-k_eo/edit#gid=0"", ""Maths!M:N""), 2, FALSE)"),"State the definition of data and information and differentiate between them by highlighting their distinct characteristics.")</f>
        <v>State the definition of data and information and differentiate between them by highlighting their distinct characteristics.</v>
      </c>
      <c r="K146" s="10" t="str">
        <f t="shared" si="1"/>
        <v>LU000308.002</v>
      </c>
      <c r="L146" s="10" t="str">
        <f ca="1">IFERROR(__xludf.DUMMYFUNCTION("VLOOKUP(K146, IMPORTRANGE(""https://docs.google.com/spreadsheets/d/1yDAaXNsi4Mr5FtRQL4tbmSdIzhx6_m4wkOD7IG-k_eo/edit#gid=0"", ""Maths!M:N""), 2, FALSE)"),"Describe the concept of data as raw facts or observations, and explain how information is derived from processed data with context and meaning.")</f>
        <v>Describe the concept of data as raw facts or observations, and explain how information is derived from processed data with context and meaning.</v>
      </c>
      <c r="M146" s="10" t="str">
        <f t="shared" si="2"/>
        <v>LU000308.003</v>
      </c>
      <c r="N146" s="10" t="str">
        <f ca="1">IFERROR(__xludf.DUMMYFUNCTION("VLOOKUP(M146, IMPORTRANGE(""https://docs.google.com/spreadsheets/d/1yDAaXNsi4Mr5FtRQL4tbmSdIzhx6_m4wkOD7IG-k_eo/edit#gid=0"", ""Maths!M:N""), 2, FALSE)"),"Apply the understanding of data and information to categorize given examples into the appropriate category")</f>
        <v>Apply the understanding of data and information to categorize given examples into the appropriate category</v>
      </c>
      <c r="O146" s="10" t="str">
        <f t="shared" si="3"/>
        <v>LU000308.004</v>
      </c>
      <c r="P146" s="10" t="str">
        <f ca="1">IFERROR(__xludf.DUMMYFUNCTION("VLOOKUP(O146, IMPORTRANGE(""https://docs.google.com/spreadsheets/d/1yDAaXNsi4Mr5FtRQL4tbmSdIzhx6_m4wkOD7IG-k_eo/edit#gid=0"", ""Maths!M:N""), 2, FALSE)"),"Examine how data is transformed into meaningful information through processing and explain the role of context in this transformation.")</f>
        <v>Examine how data is transformed into meaningful information through processing and explain the role of context in this transformation.</v>
      </c>
      <c r="Q146" s="10" t="str">
        <f t="shared" si="4"/>
        <v>LU000308.005</v>
      </c>
      <c r="R146" s="10" t="str">
        <f ca="1">IFERROR(__xludf.DUMMYFUNCTION("VLOOKUP(Q146, IMPORTRANGE(""https://docs.google.com/spreadsheets/d/1yDAaXNsi4Mr5FtRQL4tbmSdIzhx6_m4wkOD7IG-k_eo/edit#gid=0"", ""Maths!M:N""), 2, FALSE)"),"Evaluate the accuracy of classifications of examples as data or information, assessing the correctness of the categorizations")</f>
        <v>Evaluate the accuracy of classifications of examples as data or information, assessing the correctness of the categorizations</v>
      </c>
      <c r="S146" s="10" t="str">
        <f t="shared" si="5"/>
        <v>LU000308.006</v>
      </c>
      <c r="T146" s="10" t="str">
        <f ca="1">IFERROR(__xludf.DUMMYFUNCTION("VLOOKUP(S146, IMPORTRANGE(""https://docs.google.com/spreadsheets/d/1yDAaXNsi4Mr5FtRQL4tbmSdIzhx6_m4wkOD7IG-k_eo/edit#gid=0"", ""Maths!M:N""), 2, FALSE)"),"Create scenarios and identify and explain instances of data and information in each scenario, highlighting the key differences.")</f>
        <v>Create scenarios and identify and explain instances of data and information in each scenario, highlighting the key differences.</v>
      </c>
      <c r="U146" s="11">
        <f ca="1">IFERROR(__xludf.DUMMYFUNCTION("ArrayFormula(VLOOKUP(G146, IMPORTRANGE(""https://docs.google.com/spreadsheets/d/1p7R4vtkWt5VOBim4ltsDG9KTzSjrtKXsMtQGXPHyND0/edit#gid=795171502"", ""'Filter 30_05_2024'!A1:M2000""), {2, 3, 4, 5,6,7,8,9,10,11,12,13}, 0))"),16)</f>
        <v>16</v>
      </c>
      <c r="V146" s="11">
        <f ca="1">IFERROR(__xludf.DUMMYFUNCTION("""COMPUTED_VALUE"""),6)</f>
        <v>6</v>
      </c>
      <c r="W146" s="11">
        <f ca="1">IFERROR(__xludf.DUMMYFUNCTION("""COMPUTED_VALUE"""),2)</f>
        <v>2</v>
      </c>
      <c r="X146" s="11">
        <f ca="1">IFERROR(__xludf.DUMMYFUNCTION("""COMPUTED_VALUE"""),24)</f>
        <v>24</v>
      </c>
      <c r="Y146" s="11">
        <f ca="1">IFERROR(__xludf.DUMMYFUNCTION("""COMPUTED_VALUE"""),5)</f>
        <v>5</v>
      </c>
      <c r="Z146" s="29">
        <f ca="1">IFERROR(__xludf.DUMMYFUNCTION("""COMPUTED_VALUE"""),3)</f>
        <v>3</v>
      </c>
      <c r="AA146" s="29">
        <f ca="1">IFERROR(__xludf.DUMMYFUNCTION("""COMPUTED_VALUE"""),1)</f>
        <v>1</v>
      </c>
      <c r="AB146" s="12">
        <f ca="1">IFERROR(__xludf.DUMMYFUNCTION("""COMPUTED_VALUE"""),9)</f>
        <v>9</v>
      </c>
      <c r="AC146" s="12"/>
      <c r="AD146" s="12"/>
      <c r="AE146" s="12"/>
      <c r="AF146" s="12"/>
      <c r="AG146" s="13" t="str">
        <f ca="1">IFERROR(__xludf.DUMMYFUNCTION("ArrayFormula(VLOOKUP(G146, IMPORTRANGE(""https://docs.google.com/spreadsheets/d/1Co934fvtviyaRiMsrIlT05Jaq7iiYq07aLvRr35KA48/edit?gid=173865642#gid=173865642"", ""'G6_Maths_Pri_LU'!G2:V2000""), {3, 4, 5, 6, 7, 8, 9, 10, 11, 12, 13, 14, 15, 16}, 0))"),"")</f>
        <v/>
      </c>
      <c r="AH146" s="13"/>
      <c r="AI146" s="13"/>
      <c r="AJ146" s="13"/>
      <c r="AK146" s="13"/>
      <c r="AL146" s="13"/>
      <c r="AM146" s="13"/>
      <c r="AN146" s="13"/>
      <c r="AO146" s="13"/>
      <c r="AP146" s="13"/>
      <c r="AQ146" s="13"/>
      <c r="AR146" s="13"/>
      <c r="AS146" s="13"/>
      <c r="AT146" s="13"/>
    </row>
    <row r="147" spans="1:46">
      <c r="A147" s="8" t="s">
        <v>247</v>
      </c>
      <c r="B147" s="8" t="s">
        <v>47</v>
      </c>
      <c r="C147" s="8" t="s">
        <v>48</v>
      </c>
      <c r="D147" s="8" t="s">
        <v>49</v>
      </c>
      <c r="E147" s="8" t="s">
        <v>385</v>
      </c>
      <c r="F147" s="8" t="s">
        <v>108</v>
      </c>
      <c r="G147" s="8" t="s">
        <v>110</v>
      </c>
      <c r="H147" s="8" t="str">
        <f ca="1">IFERROR(__xludf.DUMMYFUNCTION("VLOOKUP(G147, IMPORTRANGE(""https://docs.google.com/spreadsheets/d/14deopnvwcrKtEGCKuYXdUHJbeLDZlkiSSWWT0g7x2pM/edit#gid=999382323"", ""LU List Maths (Filter)!A:B""), 2, FALSE)"),"Organisation of data")</f>
        <v>Organisation of data</v>
      </c>
      <c r="I147" s="10" t="str">
        <f t="shared" si="0"/>
        <v>LU000309.001</v>
      </c>
      <c r="J147" s="10" t="str">
        <f ca="1">IFERROR(__xludf.DUMMYFUNCTION("VLOOKUP(I147, IMPORTRANGE(""https://docs.google.com/spreadsheets/d/1yDAaXNsi4Mr5FtRQL4tbmSdIzhx6_m4wkOD7IG-k_eo/edit#gid=0"", ""Maths!M:N""), 2, FALSE)"),"State the methods for organizing data (like including tables, charts, and graphs) and explain their role in visually representing information.")</f>
        <v>State the methods for organizing data (like including tables, charts, and graphs) and explain their role in visually representing information.</v>
      </c>
      <c r="K147" s="10" t="str">
        <f t="shared" si="1"/>
        <v>LU000309.002</v>
      </c>
      <c r="L147" s="10" t="str">
        <f ca="1">IFERROR(__xludf.DUMMYFUNCTION("VLOOKUP(K147, IMPORTRANGE(""https://docs.google.com/spreadsheets/d/1yDAaXNsi4Mr5FtRQL4tbmSdIzhx6_m4wkOD7IG-k_eo/edit#gid=0"", ""Maths!M:N""), 2, FALSE)"),"Describe how organizing data enhances comprehension by visually highlighting patterns and relationships in the information.")</f>
        <v>Describe how organizing data enhances comprehension by visually highlighting patterns and relationships in the information.</v>
      </c>
      <c r="M147" s="10" t="str">
        <f t="shared" si="2"/>
        <v>LU000309.003</v>
      </c>
      <c r="N147" s="10" t="str">
        <f ca="1">IFERROR(__xludf.DUMMYFUNCTION("VLOOKUP(M147, IMPORTRANGE(""https://docs.google.com/spreadsheets/d/1yDAaXNsi4Mr5FtRQL4tbmSdIzhx6_m4wkOD7IG-k_eo/edit#gid=0"", ""Maths!M:N""), 2, FALSE)"),"Apply the understanding of data organisation by selecting an appropriate method to present a given set of data in a clear and organised manner.")</f>
        <v>Apply the understanding of data organisation by selecting an appropriate method to present a given set of data in a clear and organised manner.</v>
      </c>
      <c r="O147" s="10" t="str">
        <f t="shared" si="3"/>
        <v>LU000309.004</v>
      </c>
      <c r="P147" s="10" t="str">
        <f ca="1">IFERROR(__xludf.DUMMYFUNCTION("VLOOKUP(O147, IMPORTRANGE(""https://docs.google.com/spreadsheets/d/1yDAaXNsi4Mr5FtRQL4tbmSdIzhx6_m4wkOD7IG-k_eo/edit#gid=0"", ""Maths!M:N""), 2, FALSE)"),"Analyse the effectiveness of different data organisation methods for specific types of data, discussing how each method highlights different aspects.")</f>
        <v>Analyse the effectiveness of different data organisation methods for specific types of data, discussing how each method highlights different aspects.</v>
      </c>
      <c r="Q147" s="10" t="str">
        <f t="shared" si="4"/>
        <v>LU000309.005</v>
      </c>
      <c r="R147" s="10" t="str">
        <f ca="1">IFERROR(__xludf.DUMMYFUNCTION("VLOOKUP(Q147, IMPORTRANGE(""https://docs.google.com/spreadsheets/d/1yDAaXNsi4Mr5FtRQL4tbmSdIzhx6_m4wkOD7IG-k_eo/edit#gid=0"", ""Maths!M:N""), 2, FALSE)"),"Evaluate the appropriateness of data organisation methods for specific datasets, assessing the effectiveness of the chosen methods.")</f>
        <v>Evaluate the appropriateness of data organisation methods for specific datasets, assessing the effectiveness of the chosen methods.</v>
      </c>
      <c r="S147" s="10" t="str">
        <f t="shared" si="5"/>
        <v>LU000309.006</v>
      </c>
      <c r="T147" s="10" t="str">
        <f ca="1">IFERROR(__xludf.DUMMYFUNCTION("VLOOKUP(S147, IMPORTRANGE(""https://docs.google.com/spreadsheets/d/1yDAaXNsi4Mr5FtRQL4tbmSdIzhx6_m4wkOD7IG-k_eo/edit#gid=0"", ""Maths!M:N""), 2, FALSE)"),"Create a set of data and select an appropriate method for organising it, justifying the choice based on the characteristics of the data.")</f>
        <v>Create a set of data and select an appropriate method for organising it, justifying the choice based on the characteristics of the data.</v>
      </c>
      <c r="U147" s="11">
        <f ca="1">IFERROR(__xludf.DUMMYFUNCTION("ArrayFormula(VLOOKUP(G147, IMPORTRANGE(""https://docs.google.com/spreadsheets/d/1p7R4vtkWt5VOBim4ltsDG9KTzSjrtKXsMtQGXPHyND0/edit#gid=795171502"", ""'Filter 30_05_2024'!A1:M2000""), {2, 3, 4, 5,6,7,8,9,10,11,12,13}, 0))"),4)</f>
        <v>4</v>
      </c>
      <c r="V147" s="11">
        <f ca="1">IFERROR(__xludf.DUMMYFUNCTION("""COMPUTED_VALUE"""),15)</f>
        <v>15</v>
      </c>
      <c r="W147" s="11">
        <f ca="1">IFERROR(__xludf.DUMMYFUNCTION("""COMPUTED_VALUE"""),2)</f>
        <v>2</v>
      </c>
      <c r="X147" s="11">
        <f ca="1">IFERROR(__xludf.DUMMYFUNCTION("""COMPUTED_VALUE"""),21)</f>
        <v>21</v>
      </c>
      <c r="Y147" s="11">
        <f ca="1">IFERROR(__xludf.DUMMYFUNCTION("""COMPUTED_VALUE"""),4)</f>
        <v>4</v>
      </c>
      <c r="Z147" s="29">
        <f ca="1">IFERROR(__xludf.DUMMYFUNCTION("""COMPUTED_VALUE"""),5)</f>
        <v>5</v>
      </c>
      <c r="AA147" s="29">
        <f ca="1">IFERROR(__xludf.DUMMYFUNCTION("""COMPUTED_VALUE"""),1)</f>
        <v>1</v>
      </c>
      <c r="AB147" s="12">
        <f ca="1">IFERROR(__xludf.DUMMYFUNCTION("""COMPUTED_VALUE"""),10)</f>
        <v>10</v>
      </c>
      <c r="AC147" s="12"/>
      <c r="AD147" s="12"/>
      <c r="AE147" s="12"/>
      <c r="AF147" s="12"/>
      <c r="AG147" s="13" t="str">
        <f ca="1">IFERROR(__xludf.DUMMYFUNCTION("ArrayFormula(VLOOKUP(G147, IMPORTRANGE(""https://docs.google.com/spreadsheets/d/1Co934fvtviyaRiMsrIlT05Jaq7iiYq07aLvRr35KA48/edit?gid=173865642#gid=173865642"", ""'G6_Maths_Pri_LU'!G2:V2000""), {3, 4, 5, 6, 7, 8, 9, 10, 11, 12, 13, 14, 15, 16}, 0))"),"LU000308")</f>
        <v>LU000308</v>
      </c>
      <c r="AH147" s="13" t="str">
        <f ca="1">IFERROR(__xludf.DUMMYFUNCTION("""COMPUTED_VALUE"""),"Definition of data and information")</f>
        <v>Definition of data and information</v>
      </c>
      <c r="AI147" s="13"/>
      <c r="AJ147" s="13"/>
      <c r="AK147" s="13"/>
      <c r="AL147" s="13"/>
      <c r="AM147" s="13"/>
      <c r="AN147" s="13"/>
      <c r="AO147" s="13"/>
      <c r="AP147" s="13"/>
      <c r="AQ147" s="13"/>
      <c r="AR147" s="13"/>
      <c r="AS147" s="13"/>
      <c r="AT147" s="13"/>
    </row>
    <row r="148" spans="1:46">
      <c r="A148" s="8" t="s">
        <v>247</v>
      </c>
      <c r="B148" s="8" t="s">
        <v>47</v>
      </c>
      <c r="C148" s="8" t="s">
        <v>48</v>
      </c>
      <c r="D148" s="8" t="s">
        <v>49</v>
      </c>
      <c r="E148" s="8" t="s">
        <v>385</v>
      </c>
      <c r="F148" s="8" t="s">
        <v>112</v>
      </c>
      <c r="G148" s="8" t="s">
        <v>113</v>
      </c>
      <c r="H148" s="8" t="str">
        <f ca="1">IFERROR(__xludf.DUMMYFUNCTION("VLOOKUP(G148, IMPORTRANGE(""https://docs.google.com/spreadsheets/d/14deopnvwcrKtEGCKuYXdUHJbeLDZlkiSSWWT0g7x2pM/edit#gid=999382323"", ""LU List Maths (Filter)!A:B""), 2, FALSE)"),"Definition of tally chart")</f>
        <v>Definition of tally chart</v>
      </c>
      <c r="I148" s="10" t="str">
        <f t="shared" si="0"/>
        <v>LU000310.001</v>
      </c>
      <c r="J148" s="10" t="str">
        <f ca="1">IFERROR(__xludf.DUMMYFUNCTION("VLOOKUP(I148, IMPORTRANGE(""https://docs.google.com/spreadsheets/d/1yDAaXNsi4Mr5FtRQL4tbmSdIzhx6_m4wkOD7IG-k_eo/edit#gid=0"", ""Maths!M:N""), 2, FALSE)"),"State the definition of a tally chart and explain how it is used to visually represent and count occurrences of data.")</f>
        <v>State the definition of a tally chart and explain how it is used to visually represent and count occurrences of data.</v>
      </c>
      <c r="K148" s="10" t="str">
        <f t="shared" si="1"/>
        <v>LU000310.002</v>
      </c>
      <c r="L148" s="10" t="str">
        <f ca="1">IFERROR(__xludf.DUMMYFUNCTION("VLOOKUP(K148, IMPORTRANGE(""https://docs.google.com/spreadsheets/d/1yDAaXNsi4Mr5FtRQL4tbmSdIzhx6_m4wkOD7IG-k_eo/edit#gid=0"", ""Maths!M:N""), 2, FALSE)"),"Describe the purpose of a tally chart in organising and counting data, and explain how tally marks are used to represent each data point.")</f>
        <v>Describe the purpose of a tally chart in organising and counting data, and explain how tally marks are used to represent each data point.</v>
      </c>
      <c r="M148" s="10" t="str">
        <f t="shared" si="2"/>
        <v>LU000310.003</v>
      </c>
      <c r="N148" s="10" t="str">
        <f ca="1">IFERROR(__xludf.DUMMYFUNCTION("VLOOKUP(M148, IMPORTRANGE(""https://docs.google.com/spreadsheets/d/1yDAaXNsi4Mr5FtRQL4tbmSdIzhx6_m4wkOD7IG-k_eo/edit#gid=0"", ""Maths!M:N""), 2, FALSE)"),"Identify the tally chart corresponding to the given data.")</f>
        <v>Identify the tally chart corresponding to the given data.</v>
      </c>
      <c r="O148" s="10" t="str">
        <f t="shared" si="3"/>
        <v>LU000310.004</v>
      </c>
      <c r="P148" s="10" t="str">
        <f ca="1">IFERROR(__xludf.DUMMYFUNCTION("VLOOKUP(O148, IMPORTRANGE(""https://docs.google.com/spreadsheets/d/1yDAaXNsi4Mr5FtRQL4tbmSdIzhx6_m4wkOD7IG-k_eo/edit#gid=0"", ""Maths!M:N""), 2, FALSE)"),"Analyse the effectiveness of using tally charts for specific types of data.")</f>
        <v>Analyse the effectiveness of using tally charts for specific types of data.</v>
      </c>
      <c r="Q148" s="10" t="str">
        <f t="shared" si="4"/>
        <v>LU000310.005</v>
      </c>
      <c r="R148" s="10" t="str">
        <f ca="1">IFERROR(__xludf.DUMMYFUNCTION("VLOOKUP(Q148, IMPORTRANGE(""https://docs.google.com/spreadsheets/d/1yDAaXNsi4Mr5FtRQL4tbmSdIzhx6_m4wkOD7IG-k_eo/edit#gid=0"", ""Maths!M:N""), 2, FALSE)"),"Evaluate the appropriateness of tally charts for specific datasets, assessing the accuracy of the tally marks.")</f>
        <v>Evaluate the appropriateness of tally charts for specific datasets, assessing the accuracy of the tally marks.</v>
      </c>
      <c r="S148" s="10" t="str">
        <f t="shared" si="5"/>
        <v>LU000310.006</v>
      </c>
      <c r="T148" s="10" t="str">
        <f ca="1">IFERROR(__xludf.DUMMYFUNCTION("VLOOKUP(S148, IMPORTRANGE(""https://docs.google.com/spreadsheets/d/1yDAaXNsi4Mr5FtRQL4tbmSdIzhx6_m4wkOD7IG-k_eo/edit#gid=0"", ""Maths!M:N""), 2, FALSE)"),"#N/A")</f>
        <v>#N/A</v>
      </c>
      <c r="U148" s="11">
        <f ca="1">IFERROR(__xludf.DUMMYFUNCTION("ArrayFormula(VLOOKUP(G148, IMPORTRANGE(""https://docs.google.com/spreadsheets/d/1p7R4vtkWt5VOBim4ltsDG9KTzSjrtKXsMtQGXPHyND0/edit#gid=795171502"", ""'Filter 30_05_2024'!A1:M2000""), {2, 3, 4, 5,6,7,8,9,10,11,12,13}, 0))"),4)</f>
        <v>4</v>
      </c>
      <c r="V148" s="11">
        <f ca="1">IFERROR(__xludf.DUMMYFUNCTION("""COMPUTED_VALUE"""),6)</f>
        <v>6</v>
      </c>
      <c r="W148" s="11">
        <f ca="1">IFERROR(__xludf.DUMMYFUNCTION("""COMPUTED_VALUE"""),2)</f>
        <v>2</v>
      </c>
      <c r="X148" s="11">
        <f ca="1">IFERROR(__xludf.DUMMYFUNCTION("""COMPUTED_VALUE"""),12)</f>
        <v>12</v>
      </c>
      <c r="Y148" s="11">
        <f ca="1">IFERROR(__xludf.DUMMYFUNCTION("""COMPUTED_VALUE"""),4)</f>
        <v>4</v>
      </c>
      <c r="Z148" s="29">
        <f ca="1">IFERROR(__xludf.DUMMYFUNCTION("""COMPUTED_VALUE"""),3)</f>
        <v>3</v>
      </c>
      <c r="AA148" s="29">
        <f ca="1">IFERROR(__xludf.DUMMYFUNCTION("""COMPUTED_VALUE"""),1)</f>
        <v>1</v>
      </c>
      <c r="AB148" s="12">
        <f ca="1">IFERROR(__xludf.DUMMYFUNCTION("""COMPUTED_VALUE"""),8)</f>
        <v>8</v>
      </c>
      <c r="AC148" s="12"/>
      <c r="AD148" s="12"/>
      <c r="AE148" s="12"/>
      <c r="AF148" s="12"/>
      <c r="AG148" s="13" t="str">
        <f ca="1">IFERROR(__xludf.DUMMYFUNCTION("ArrayFormula(VLOOKUP(G148, IMPORTRANGE(""https://docs.google.com/spreadsheets/d/1Co934fvtviyaRiMsrIlT05Jaq7iiYq07aLvRr35KA48/edit?gid=173865642#gid=173865642"", ""'G6_Maths_Pri_LU'!G2:V2000""), {3, 4, 5, 6, 7, 8, 9, 10, 11, 12, 13, 14, 15, 16}, 0))"),"LU000109")</f>
        <v>LU000109</v>
      </c>
      <c r="AH148" s="13" t="str">
        <f ca="1">IFERROR(__xludf.DUMMYFUNCTION("""COMPUTED_VALUE"""),"Definition of tally marks")</f>
        <v>Definition of tally marks</v>
      </c>
      <c r="AI148" s="13" t="str">
        <f ca="1">IFERROR(__xludf.DUMMYFUNCTION("""COMPUTED_VALUE"""),"LU000309")</f>
        <v>LU000309</v>
      </c>
      <c r="AJ148" s="13" t="str">
        <f ca="1">IFERROR(__xludf.DUMMYFUNCTION("""COMPUTED_VALUE"""),"Organisation of data")</f>
        <v>Organisation of data</v>
      </c>
      <c r="AK148" s="13"/>
      <c r="AL148" s="13"/>
      <c r="AM148" s="13"/>
      <c r="AN148" s="13"/>
      <c r="AO148" s="13"/>
      <c r="AP148" s="13"/>
      <c r="AQ148" s="13"/>
      <c r="AR148" s="13"/>
      <c r="AS148" s="13"/>
      <c r="AT148" s="13"/>
    </row>
    <row r="149" spans="1:46">
      <c r="A149" s="8" t="s">
        <v>247</v>
      </c>
      <c r="B149" s="8" t="s">
        <v>47</v>
      </c>
      <c r="C149" s="8" t="s">
        <v>48</v>
      </c>
      <c r="D149" s="8" t="s">
        <v>49</v>
      </c>
      <c r="E149" s="8" t="s">
        <v>385</v>
      </c>
      <c r="F149" s="8" t="s">
        <v>112</v>
      </c>
      <c r="G149" s="8" t="s">
        <v>114</v>
      </c>
      <c r="H149" s="8" t="str">
        <f ca="1">IFERROR(__xludf.DUMMYFUNCTION("VLOOKUP(G149, IMPORTRANGE(""https://docs.google.com/spreadsheets/d/14deopnvwcrKtEGCKuYXdUHJbeLDZlkiSSWWT0g7x2pM/edit#gid=999382323"", ""LU List Maths (Filter)!A:B""), 2, FALSE)"),"Interpretation of tally chart")</f>
        <v>Interpretation of tally chart</v>
      </c>
      <c r="I149" s="10" t="str">
        <f t="shared" si="0"/>
        <v>LU000311.001</v>
      </c>
      <c r="J149" s="10" t="str">
        <f ca="1">IFERROR(__xludf.DUMMYFUNCTION("VLOOKUP(I149, IMPORTRANGE(""https://docs.google.com/spreadsheets/d/1yDAaXNsi4Mr5FtRQL4tbmSdIzhx6_m4wkOD7IG-k_eo/edit#gid=0"", ""Maths!M:N""), 2, FALSE)"),"State the components of a tally chart (tally marks and categories) and explain how tally marks are used to represent data occurrences.")</f>
        <v>State the components of a tally chart (tally marks and categories) and explain how tally marks are used to represent data occurrences.</v>
      </c>
      <c r="K149" s="10" t="str">
        <f t="shared" si="1"/>
        <v>LU000311.002</v>
      </c>
      <c r="L149" s="10" t="str">
        <f ca="1">IFERROR(__xludf.DUMMYFUNCTION("VLOOKUP(K149, IMPORTRANGE(""https://docs.google.com/spreadsheets/d/1yDAaXNsi4Mr5FtRQL4tbmSdIzhx6_m4wkOD7IG-k_eo/edit#gid=0"", ""Maths!M:N""), 2, FALSE)"),"Describe how tally marks in a tally chart are grouped in sets of five or ten and counted to determine the frequency of each data category.")</f>
        <v>Describe how tally marks in a tally chart are grouped in sets of five or ten and counted to determine the frequency of each data category.</v>
      </c>
      <c r="M149" s="10" t="str">
        <f t="shared" si="2"/>
        <v>LU000311.003</v>
      </c>
      <c r="N149" s="10" t="str">
        <f ca="1">IFERROR(__xludf.DUMMYFUNCTION("VLOOKUP(M149, IMPORTRANGE(""https://docs.google.com/spreadsheets/d/1yDAaXNsi4Mr5FtRQL4tbmSdIzhx6_m4wkOD7IG-k_eo/edit#gid=0"", ""Maths!M:N""), 2, FALSE)"),"Apply the understanding of interpreting tally charts by analyzing a given tally chart and determining the most and least frequent data categories.")</f>
        <v>Apply the understanding of interpreting tally charts by analyzing a given tally chart and determining the most and least frequent data categories.</v>
      </c>
      <c r="O149" s="10" t="str">
        <f t="shared" si="3"/>
        <v>LU000311.004</v>
      </c>
      <c r="P149" s="10" t="str">
        <f ca="1">IFERROR(__xludf.DUMMYFUNCTION("VLOOKUP(O149, IMPORTRANGE(""https://docs.google.com/spreadsheets/d/1yDAaXNsi4Mr5FtRQL4tbmSdIzhx6_m4wkOD7IG-k_eo/edit#gid=0"", ""Maths!M:N""), 2, FALSE)"),"Analyse the patterns and trends in a tally chart, discussing how tally marks can reveal insights about data distribution.")</f>
        <v>Analyse the patterns and trends in a tally chart, discussing how tally marks can reveal insights about data distribution.</v>
      </c>
      <c r="Q149" s="10" t="str">
        <f t="shared" si="4"/>
        <v>LU000311.005</v>
      </c>
      <c r="R149" s="10" t="str">
        <f ca="1">IFERROR(__xludf.DUMMYFUNCTION("VLOOKUP(Q149, IMPORTRANGE(""https://docs.google.com/spreadsheets/d/1yDAaXNsi4Mr5FtRQL4tbmSdIzhx6_m4wkOD7IG-k_eo/edit#gid=0"", ""Maths!M:N""), 2, FALSE)"),"Evaluate the accuracy of interpretations of tally charts, assessing the correctness of the frequency determinations and insights drawn.")</f>
        <v>Evaluate the accuracy of interpretations of tally charts, assessing the correctness of the frequency determinations and insights drawn.</v>
      </c>
      <c r="S149" s="10" t="str">
        <f t="shared" si="5"/>
        <v>LU000311.006</v>
      </c>
      <c r="T149" s="10" t="str">
        <f ca="1">IFERROR(__xludf.DUMMYFUNCTION("VLOOKUP(S149, IMPORTRANGE(""https://docs.google.com/spreadsheets/d/1yDAaXNsi4Mr5FtRQL4tbmSdIzhx6_m4wkOD7IG-k_eo/edit#gid=0"", ""Maths!M:N""), 2, FALSE)"),"Create real-world scenarios involving a tally chart and data, interpret the chart, identify trends and draw conclusions based on the tally marks.")</f>
        <v>Create real-world scenarios involving a tally chart and data, interpret the chart, identify trends and draw conclusions based on the tally marks.</v>
      </c>
      <c r="U149" s="11">
        <f ca="1">IFERROR(__xludf.DUMMYFUNCTION("ArrayFormula(VLOOKUP(G149, IMPORTRANGE(""https://docs.google.com/spreadsheets/d/1p7R4vtkWt5VOBim4ltsDG9KTzSjrtKXsMtQGXPHyND0/edit#gid=795171502"", ""'Filter 30_05_2024'!A1:M2000""), {2, 3, 4, 5,6,7,8,9,10,11,12,13}, 0))"),17)</f>
        <v>17</v>
      </c>
      <c r="V149" s="11">
        <f ca="1">IFERROR(__xludf.DUMMYFUNCTION("""COMPUTED_VALUE"""),6)</f>
        <v>6</v>
      </c>
      <c r="W149" s="11">
        <f ca="1">IFERROR(__xludf.DUMMYFUNCTION("""COMPUTED_VALUE"""),1)</f>
        <v>1</v>
      </c>
      <c r="X149" s="11">
        <f ca="1">IFERROR(__xludf.DUMMYFUNCTION("""COMPUTED_VALUE"""),24)</f>
        <v>24</v>
      </c>
      <c r="Y149" s="11">
        <f ca="1">IFERROR(__xludf.DUMMYFUNCTION("""COMPUTED_VALUE"""),6)</f>
        <v>6</v>
      </c>
      <c r="Z149" s="29">
        <f ca="1">IFERROR(__xludf.DUMMYFUNCTION("""COMPUTED_VALUE"""),3)</f>
        <v>3</v>
      </c>
      <c r="AA149" s="29">
        <f ca="1">IFERROR(__xludf.DUMMYFUNCTION("""COMPUTED_VALUE"""),1)</f>
        <v>1</v>
      </c>
      <c r="AB149" s="12">
        <f ca="1">IFERROR(__xludf.DUMMYFUNCTION("""COMPUTED_VALUE"""),10)</f>
        <v>10</v>
      </c>
      <c r="AC149" s="12"/>
      <c r="AD149" s="12"/>
      <c r="AE149" s="12"/>
      <c r="AF149" s="12"/>
      <c r="AG149" s="13" t="str">
        <f ca="1">IFERROR(__xludf.DUMMYFUNCTION("ArrayFormula(VLOOKUP(G149, IMPORTRANGE(""https://docs.google.com/spreadsheets/d/1Co934fvtviyaRiMsrIlT05Jaq7iiYq07aLvRr35KA48/edit?gid=173865642#gid=173865642"", ""'G6_Maths_Pri_LU'!G2:V2000""), {3, 4, 5, 6, 7, 8, 9, 10, 11, 12, 13, 14, 15, 16}, 0))"),"LU000310")</f>
        <v>LU000310</v>
      </c>
      <c r="AH149" s="13" t="str">
        <f ca="1">IFERROR(__xludf.DUMMYFUNCTION("""COMPUTED_VALUE"""),"Definition of tally chart")</f>
        <v>Definition of tally chart</v>
      </c>
      <c r="AI149" s="13" t="str">
        <f ca="1">IFERROR(__xludf.DUMMYFUNCTION("""COMPUTED_VALUE"""),"LU000109")</f>
        <v>LU000109</v>
      </c>
      <c r="AJ149" s="13" t="str">
        <f ca="1">IFERROR(__xludf.DUMMYFUNCTION("""COMPUTED_VALUE"""),"Definition of tally marks")</f>
        <v>Definition of tally marks</v>
      </c>
      <c r="AK149" s="13" t="str">
        <f ca="1">IFERROR(__xludf.DUMMYFUNCTION("""COMPUTED_VALUE"""),"LU000309")</f>
        <v>LU000309</v>
      </c>
      <c r="AL149" s="13" t="str">
        <f ca="1">IFERROR(__xludf.DUMMYFUNCTION("""COMPUTED_VALUE"""),"Organisation of data")</f>
        <v>Organisation of data</v>
      </c>
      <c r="AM149" s="13"/>
      <c r="AN149" s="13"/>
      <c r="AO149" s="13"/>
      <c r="AP149" s="13"/>
      <c r="AQ149" s="13"/>
      <c r="AR149" s="13"/>
      <c r="AS149" s="13"/>
      <c r="AT149" s="13"/>
    </row>
    <row r="150" spans="1:46">
      <c r="A150" s="8" t="s">
        <v>247</v>
      </c>
      <c r="B150" s="8" t="s">
        <v>47</v>
      </c>
      <c r="C150" s="8" t="s">
        <v>48</v>
      </c>
      <c r="D150" s="8" t="s">
        <v>49</v>
      </c>
      <c r="E150" s="8" t="s">
        <v>385</v>
      </c>
      <c r="F150" s="8" t="s">
        <v>112</v>
      </c>
      <c r="G150" s="8" t="s">
        <v>115</v>
      </c>
      <c r="H150" s="8" t="str">
        <f ca="1">IFERROR(__xludf.DUMMYFUNCTION("VLOOKUP(G150, IMPORTRANGE(""https://docs.google.com/spreadsheets/d/14deopnvwcrKtEGCKuYXdUHJbeLDZlkiSSWWT0g7x2pM/edit#gid=999382323"", ""LU List Maths (Filter)!A:B""), 2, FALSE)"),"Construction of tally chart")</f>
        <v>Construction of tally chart</v>
      </c>
      <c r="I150" s="10" t="str">
        <f t="shared" si="0"/>
        <v>LU000312.001</v>
      </c>
      <c r="J150" s="10" t="str">
        <f ca="1">IFERROR(__xludf.DUMMYFUNCTION("VLOOKUP(I150, IMPORTRANGE(""https://docs.google.com/spreadsheets/d/1yDAaXNsi4Mr5FtRQL4tbmSdIzhx6_m4wkOD7IG-k_eo/edit#gid=0"", ""Maths!M:N""), 2, FALSE)"),"State the essential components needed to create a tally chart (like categories, tally marks, and appropriate headings).")</f>
        <v>State the essential components needed to create a tally chart (like categories, tally marks, and appropriate headings).</v>
      </c>
      <c r="K150" s="10" t="str">
        <f t="shared" si="1"/>
        <v>LU000312.002</v>
      </c>
      <c r="L150" s="10" t="str">
        <f ca="1">IFERROR(__xludf.DUMMYFUNCTION("VLOOKUP(K150, IMPORTRANGE(""https://docs.google.com/spreadsheets/d/1yDAaXNsi4Mr5FtRQL4tbmSdIzhx6_m4wkOD7IG-k_eo/edit#gid=0"", ""Maths!M:N""), 2, FALSE)"),"Describe how to create a tally chart by listing categories vertically, adding tally marks for each data point and providing headings for context")</f>
        <v>Describe how to create a tally chart by listing categories vertically, adding tally marks for each data point and providing headings for context</v>
      </c>
      <c r="M150" s="10" t="str">
        <f t="shared" si="2"/>
        <v>LU000312.003</v>
      </c>
      <c r="N150" s="10" t="str">
        <f ca="1">IFERROR(__xludf.DUMMYFUNCTION("VLOOKUP(M150, IMPORTRANGE(""https://docs.google.com/spreadsheets/d/1yDAaXNsi4Mr5FtRQL4tbmSdIzhx6_m4wkOD7IG-k_eo/edit#gid=0"", ""Maths!M:N""), 2, FALSE)"),"Apply the process of constructing a tally chart to organize and represent data from a real-world scenarios.")</f>
        <v>Apply the process of constructing a tally chart to organize and represent data from a real-world scenarios.</v>
      </c>
      <c r="O150" s="10" t="str">
        <f t="shared" si="3"/>
        <v>LU000312.004</v>
      </c>
      <c r="P150" s="10" t="str">
        <f ca="1">IFERROR(__xludf.DUMMYFUNCTION("VLOOKUP(O150, IMPORTRANGE(""https://docs.google.com/spreadsheets/d/1yDAaXNsi4Mr5FtRQL4tbmSdIzhx6_m4wkOD7IG-k_eo/edit#gid=0"", ""Maths!M:N""), 2, FALSE)"),"Analyse the construction process of tally charts.")</f>
        <v>Analyse the construction process of tally charts.</v>
      </c>
      <c r="Q150" s="10" t="str">
        <f t="shared" si="4"/>
        <v>LU000312.005</v>
      </c>
      <c r="R150" s="10" t="str">
        <f ca="1">IFERROR(__xludf.DUMMYFUNCTION("VLOOKUP(Q150, IMPORTRANGE(""https://docs.google.com/spreadsheets/d/1yDAaXNsi4Mr5FtRQL4tbmSdIzhx6_m4wkOD7IG-k_eo/edit#gid=0"", ""Maths!M:N""), 2, FALSE)"),"Evaluate the effectiveness of different data presentation methods, comparing the advantages of tally charts with other visual representations like bar graphs.")</f>
        <v>Evaluate the effectiveness of different data presentation methods, comparing the advantages of tally charts with other visual representations like bar graphs.</v>
      </c>
      <c r="S150" s="10" t="str">
        <f t="shared" si="5"/>
        <v>LU000312.006</v>
      </c>
      <c r="T150" s="10" t="str">
        <f ca="1">IFERROR(__xludf.DUMMYFUNCTION("VLOOKUP(S150, IMPORTRANGE(""https://docs.google.com/spreadsheets/d/1yDAaXNsi4Mr5FtRQL4tbmSdIzhx6_m4wkOD7IG-k_eo/edit#gid=0"", ""Maths!M:N""), 2, FALSE)"),"#N/A")</f>
        <v>#N/A</v>
      </c>
      <c r="U150" s="11">
        <f ca="1">IFERROR(__xludf.DUMMYFUNCTION("ArrayFormula(VLOOKUP(G150, IMPORTRANGE(""https://docs.google.com/spreadsheets/d/1p7R4vtkWt5VOBim4ltsDG9KTzSjrtKXsMtQGXPHyND0/edit#gid=795171502"", ""'Filter 30_05_2024'!A1:M2000""), {2, 3, 4, 5,6,7,8,9,10,11,12,13}, 0))"),3)</f>
        <v>3</v>
      </c>
      <c r="V150" s="11">
        <f ca="1">IFERROR(__xludf.DUMMYFUNCTION("""COMPUTED_VALUE"""),12)</f>
        <v>12</v>
      </c>
      <c r="W150" s="11">
        <f ca="1">IFERROR(__xludf.DUMMYFUNCTION("""COMPUTED_VALUE"""),2)</f>
        <v>2</v>
      </c>
      <c r="X150" s="11">
        <f ca="1">IFERROR(__xludf.DUMMYFUNCTION("""COMPUTED_VALUE"""),17)</f>
        <v>17</v>
      </c>
      <c r="Y150" s="11">
        <f ca="1">IFERROR(__xludf.DUMMYFUNCTION("""COMPUTED_VALUE"""),5)</f>
        <v>5</v>
      </c>
      <c r="Z150" s="29">
        <f ca="1">IFERROR(__xludf.DUMMYFUNCTION("""COMPUTED_VALUE"""),6)</f>
        <v>6</v>
      </c>
      <c r="AA150" s="29">
        <f ca="1">IFERROR(__xludf.DUMMYFUNCTION("""COMPUTED_VALUE"""),2)</f>
        <v>2</v>
      </c>
      <c r="AB150" s="12">
        <f ca="1">IFERROR(__xludf.DUMMYFUNCTION("""COMPUTED_VALUE"""),13)</f>
        <v>13</v>
      </c>
      <c r="AC150" s="12"/>
      <c r="AD150" s="12"/>
      <c r="AE150" s="12"/>
      <c r="AF150" s="12"/>
      <c r="AG150" s="13" t="str">
        <f ca="1">IFERROR(__xludf.DUMMYFUNCTION("ArrayFormula(VLOOKUP(G150, IMPORTRANGE(""https://docs.google.com/spreadsheets/d/1Co934fvtviyaRiMsrIlT05Jaq7iiYq07aLvRr35KA48/edit?gid=173865642#gid=173865642"", ""'G6_Maths_Pri_LU'!G2:V2000""), {3, 4, 5, 6, 7, 8, 9, 10, 11, 12, 13, 14, 15, 16}, 0))"),"LU000310")</f>
        <v>LU000310</v>
      </c>
      <c r="AH150" s="13" t="str">
        <f ca="1">IFERROR(__xludf.DUMMYFUNCTION("""COMPUTED_VALUE"""),"Definition of tally chart")</f>
        <v>Definition of tally chart</v>
      </c>
      <c r="AI150" s="13" t="str">
        <f ca="1">IFERROR(__xludf.DUMMYFUNCTION("""COMPUTED_VALUE"""),"LU000109")</f>
        <v>LU000109</v>
      </c>
      <c r="AJ150" s="13" t="str">
        <f ca="1">IFERROR(__xludf.DUMMYFUNCTION("""COMPUTED_VALUE"""),"Definition of tally marks")</f>
        <v>Definition of tally marks</v>
      </c>
      <c r="AK150" s="13" t="str">
        <f ca="1">IFERROR(__xludf.DUMMYFUNCTION("""COMPUTED_VALUE"""),"LU000309")</f>
        <v>LU000309</v>
      </c>
      <c r="AL150" s="13" t="str">
        <f ca="1">IFERROR(__xludf.DUMMYFUNCTION("""COMPUTED_VALUE"""),"Organisation of data")</f>
        <v>Organisation of data</v>
      </c>
      <c r="AM150" s="13"/>
      <c r="AN150" s="13"/>
      <c r="AO150" s="13"/>
      <c r="AP150" s="13"/>
      <c r="AQ150" s="13"/>
      <c r="AR150" s="13"/>
      <c r="AS150" s="13"/>
      <c r="AT150" s="13"/>
    </row>
    <row r="151" spans="1:46">
      <c r="A151" s="8" t="s">
        <v>247</v>
      </c>
      <c r="B151" s="8" t="s">
        <v>47</v>
      </c>
      <c r="C151" s="8" t="s">
        <v>48</v>
      </c>
      <c r="D151" s="8" t="s">
        <v>49</v>
      </c>
      <c r="E151" s="8" t="s">
        <v>385</v>
      </c>
      <c r="F151" s="8" t="s">
        <v>116</v>
      </c>
      <c r="G151" s="8" t="s">
        <v>117</v>
      </c>
      <c r="H151" s="8" t="str">
        <f ca="1">IFERROR(__xludf.DUMMYFUNCTION("VLOOKUP(G151, IMPORTRANGE(""https://docs.google.com/spreadsheets/d/14deopnvwcrKtEGCKuYXdUHJbeLDZlkiSSWWT0g7x2pM/edit#gid=999382323"", ""LU List Maths (Filter)!A:B""), 2, FALSE)"),"Definition of pictograph")</f>
        <v>Definition of pictograph</v>
      </c>
      <c r="I151" s="10" t="str">
        <f t="shared" si="0"/>
        <v>LU000313.001</v>
      </c>
      <c r="J151" s="10" t="str">
        <f ca="1">IFERROR(__xludf.DUMMYFUNCTION("VLOOKUP(I151, IMPORTRANGE(""https://docs.google.com/spreadsheets/d/1yDAaXNsi4Mr5FtRQL4tbmSdIzhx6_m4wkOD7IG-k_eo/edit#gid=0"", ""Maths!M:N""), 2, FALSE)"),"State the definition of a pictograph and explain how it uses pictures or symbols to visually represent data.")</f>
        <v>State the definition of a pictograph and explain how it uses pictures or symbols to visually represent data.</v>
      </c>
      <c r="K151" s="10" t="str">
        <f t="shared" si="1"/>
        <v>LU000313.002</v>
      </c>
      <c r="L151" s="10" t="str">
        <f ca="1">IFERROR(__xludf.DUMMYFUNCTION("VLOOKUP(K151, IMPORTRANGE(""https://docs.google.com/spreadsheets/d/1yDAaXNsi4Mr5FtRQL4tbmSdIzhx6_m4wkOD7IG-k_eo/edit#gid=0"", ""Maths!M:N""), 2, FALSE)"),"Describe how a pictograph is used to represent data using pictures or symbols.
")</f>
        <v xml:space="preserve">Describe how a pictograph is used to represent data using pictures or symbols.
</v>
      </c>
      <c r="M151" s="10" t="str">
        <f t="shared" si="2"/>
        <v>LU000313.003</v>
      </c>
      <c r="N151" s="10" t="str">
        <f ca="1">IFERROR(__xludf.DUMMYFUNCTION("VLOOKUP(M151, IMPORTRANGE(""https://docs.google.com/spreadsheets/d/1yDAaXNsi4Mr5FtRQL4tbmSdIzhx6_m4wkOD7IG-k_eo/edit#gid=0"", ""Maths!M:N""), 2, FALSE)"),"Identify the pictograph corresponding to the given data.")</f>
        <v>Identify the pictograph corresponding to the given data.</v>
      </c>
      <c r="O151" s="10" t="str">
        <f t="shared" si="3"/>
        <v>LU000313.004</v>
      </c>
      <c r="P151" s="10" t="str">
        <f ca="1">IFERROR(__xludf.DUMMYFUNCTION("VLOOKUP(O151, IMPORTRANGE(""https://docs.google.com/spreadsheets/d/1yDAaXNsi4Mr5FtRQL4tbmSdIzhx6_m4wkOD7IG-k_eo/edit#gid=0"", ""Maths!M:N""), 2, FALSE)"),"Examine how the choice of pictures or symbols in a pictograph affects the clarity of data representation.")</f>
        <v>Examine how the choice of pictures or symbols in a pictograph affects the clarity of data representation.</v>
      </c>
      <c r="Q151" s="10" t="str">
        <f t="shared" si="4"/>
        <v>LU000313.005</v>
      </c>
      <c r="R151" s="10" t="str">
        <f ca="1">IFERROR(__xludf.DUMMYFUNCTION("VLOOKUP(Q151, IMPORTRANGE(""https://docs.google.com/spreadsheets/d/1yDAaXNsi4Mr5FtRQL4tbmSdIzhx6_m4wkOD7IG-k_eo/edit#gid=0"", ""Maths!M:N""), 2, FALSE)"),"Evaluate the appropriateness of pictographs in accurately representing data, assessing the suitability of their chosen pictures or symbols")</f>
        <v>Evaluate the appropriateness of pictographs in accurately representing data, assessing the suitability of their chosen pictures or symbols</v>
      </c>
      <c r="S151" s="10" t="str">
        <f t="shared" si="5"/>
        <v>LU000313.006</v>
      </c>
      <c r="T151" s="10" t="str">
        <f ca="1">IFERROR(__xludf.DUMMYFUNCTION("VLOOKUP(S151, IMPORTRANGE(""https://docs.google.com/spreadsheets/d/1yDAaXNsi4Mr5FtRQL4tbmSdIzhx6_m4wkOD7IG-k_eo/edit#gid=0"", ""Maths!M:N""), 2, FALSE)"),"#N/A")</f>
        <v>#N/A</v>
      </c>
      <c r="U151" s="11">
        <f ca="1">IFERROR(__xludf.DUMMYFUNCTION("ArrayFormula(VLOOKUP(G151, IMPORTRANGE(""https://docs.google.com/spreadsheets/d/1p7R4vtkWt5VOBim4ltsDG9KTzSjrtKXsMtQGXPHyND0/edit#gid=795171502"", ""'Filter 30_05_2024'!A1:M2000""), {2, 3, 4, 5,6,7,8,9,10,11,12,13}, 0))"),3)</f>
        <v>3</v>
      </c>
      <c r="V151" s="11">
        <f ca="1">IFERROR(__xludf.DUMMYFUNCTION("""COMPUTED_VALUE"""),6)</f>
        <v>6</v>
      </c>
      <c r="W151" s="11">
        <f ca="1">IFERROR(__xludf.DUMMYFUNCTION("""COMPUTED_VALUE"""),2)</f>
        <v>2</v>
      </c>
      <c r="X151" s="11">
        <f ca="1">IFERROR(__xludf.DUMMYFUNCTION("""COMPUTED_VALUE"""),11)</f>
        <v>11</v>
      </c>
      <c r="Y151" s="11">
        <f ca="1">IFERROR(__xludf.DUMMYFUNCTION("""COMPUTED_VALUE"""),5)</f>
        <v>5</v>
      </c>
      <c r="Z151" s="29">
        <f ca="1">IFERROR(__xludf.DUMMYFUNCTION("""COMPUTED_VALUE"""),3)</f>
        <v>3</v>
      </c>
      <c r="AA151" s="29">
        <f ca="1">IFERROR(__xludf.DUMMYFUNCTION("""COMPUTED_VALUE"""),1)</f>
        <v>1</v>
      </c>
      <c r="AB151" s="12">
        <f ca="1">IFERROR(__xludf.DUMMYFUNCTION("""COMPUTED_VALUE"""),9)</f>
        <v>9</v>
      </c>
      <c r="AC151" s="12"/>
      <c r="AD151" s="12"/>
      <c r="AE151" s="12"/>
      <c r="AF151" s="12"/>
      <c r="AG151" s="13" t="str">
        <f ca="1">IFERROR(__xludf.DUMMYFUNCTION("ArrayFormula(VLOOKUP(G151, IMPORTRANGE(""https://docs.google.com/spreadsheets/d/1Co934fvtviyaRiMsrIlT05Jaq7iiYq07aLvRr35KA48/edit?gid=173865642#gid=173865642"", ""'G6_Maths_Pri_LU'!G2:V2000""), {3, 4, 5, 6, 7, 8, 9, 10, 11, 12, 13, 14, 15, 16}, 0))"),"LU000309")</f>
        <v>LU000309</v>
      </c>
      <c r="AH151" s="13" t="str">
        <f ca="1">IFERROR(__xludf.DUMMYFUNCTION("""COMPUTED_VALUE"""),"Organisation of data")</f>
        <v>Organisation of data</v>
      </c>
      <c r="AI151" s="13" t="str">
        <f ca="1">IFERROR(__xludf.DUMMYFUNCTION("""COMPUTED_VALUE"""),"LU000308")</f>
        <v>LU000308</v>
      </c>
      <c r="AJ151" s="13" t="str">
        <f ca="1">IFERROR(__xludf.DUMMYFUNCTION("""COMPUTED_VALUE"""),"Definition of data and information")</f>
        <v>Definition of data and information</v>
      </c>
      <c r="AK151" s="13"/>
      <c r="AL151" s="13"/>
      <c r="AM151" s="13"/>
      <c r="AN151" s="13"/>
      <c r="AO151" s="13"/>
      <c r="AP151" s="13"/>
      <c r="AQ151" s="13"/>
      <c r="AR151" s="13"/>
      <c r="AS151" s="13"/>
      <c r="AT151" s="13"/>
    </row>
    <row r="152" spans="1:46">
      <c r="A152" s="8" t="s">
        <v>247</v>
      </c>
      <c r="B152" s="8" t="s">
        <v>47</v>
      </c>
      <c r="C152" s="8" t="s">
        <v>48</v>
      </c>
      <c r="D152" s="8" t="s">
        <v>49</v>
      </c>
      <c r="E152" s="8" t="s">
        <v>385</v>
      </c>
      <c r="F152" s="8" t="s">
        <v>116</v>
      </c>
      <c r="G152" s="8" t="s">
        <v>118</v>
      </c>
      <c r="H152" s="8" t="str">
        <f ca="1">IFERROR(__xludf.DUMMYFUNCTION("VLOOKUP(G152, IMPORTRANGE(""https://docs.google.com/spreadsheets/d/14deopnvwcrKtEGCKuYXdUHJbeLDZlkiSSWWT0g7x2pM/edit#gid=999382323"", ""LU List Maths (Filter)!A:B""), 2, FALSE)"),"Interpretation of pictographs")</f>
        <v>Interpretation of pictographs</v>
      </c>
      <c r="I152" s="10" t="str">
        <f t="shared" si="0"/>
        <v>LU000314.001</v>
      </c>
      <c r="J152" s="10" t="str">
        <f ca="1">IFERROR(__xludf.DUMMYFUNCTION("VLOOKUP(I152, IMPORTRANGE(""https://docs.google.com/spreadsheets/d/1yDAaXNsi4Mr5FtRQL4tbmSdIzhx6_m4wkOD7IG-k_eo/edit#gid=0"", ""Maths!M:N""), 2, FALSE)"),"State the features of a pictograph, such as pictures or symbols and the key that explains the correspondence between pictures and quantities.")</f>
        <v>State the features of a pictograph, such as pictures or symbols and the key that explains the correspondence between pictures and quantities.</v>
      </c>
      <c r="K152" s="10" t="str">
        <f t="shared" si="1"/>
        <v>LU000314.002</v>
      </c>
      <c r="L152" s="10" t="str">
        <f ca="1">IFERROR(__xludf.DUMMYFUNCTION("VLOOKUP(K152, IMPORTRANGE(""https://docs.google.com/spreadsheets/d/1yDAaXNsi4Mr5FtRQL4tbmSdIzhx6_m4wkOD7IG-k_eo/edit#gid=0"", ""Maths!M:N""), 2, FALSE)"),"Describe how a pictograph conveys data using pictures or symbols.")</f>
        <v>Describe how a pictograph conveys data using pictures or symbols.</v>
      </c>
      <c r="M152" s="10" t="str">
        <f t="shared" si="2"/>
        <v>LU000314.003</v>
      </c>
      <c r="N152" s="10" t="str">
        <f ca="1">IFERROR(__xludf.DUMMYFUNCTION("VLOOKUP(M152, IMPORTRANGE(""https://docs.google.com/spreadsheets/d/1yDAaXNsi4Mr5FtRQL4tbmSdIzhx6_m4wkOD7IG-k_eo/edit#gid=0"", ""Maths!M:N""), 2, FALSE)"),"Analyse the given pictograph, identify the quantities represented by the pictures or symbols and drawing conclusions.")</f>
        <v>Analyse the given pictograph, identify the quantities represented by the pictures or symbols and drawing conclusions.</v>
      </c>
      <c r="O152" s="10" t="str">
        <f t="shared" si="3"/>
        <v>LU000314.004</v>
      </c>
      <c r="P152" s="10" t="str">
        <f ca="1">IFERROR(__xludf.DUMMYFUNCTION("VLOOKUP(O152, IMPORTRANGE(""https://docs.google.com/spreadsheets/d/1yDAaXNsi4Mr5FtRQL4tbmSdIzhx6_m4wkOD7IG-k_eo/edit#gid=0"", ""Maths!M:N""), 2, FALSE)"),"Analyse the patterns and trends in a pictograph, discuss how the arrangement and frequency of pictures or symbols reflect the data distribution.")</f>
        <v>Analyse the patterns and trends in a pictograph, discuss how the arrangement and frequency of pictures or symbols reflect the data distribution.</v>
      </c>
      <c r="Q152" s="10" t="str">
        <f t="shared" si="4"/>
        <v>LU000314.005</v>
      </c>
      <c r="R152" s="10" t="str">
        <f ca="1">IFERROR(__xludf.DUMMYFUNCTION("VLOOKUP(Q152, IMPORTRANGE(""https://docs.google.com/spreadsheets/d/1yDAaXNsi4Mr5FtRQL4tbmSdIzhx6_m4wkOD7IG-k_eo/edit#gid=0"", ""Maths!M:N""), 2, FALSE)"),"#N/A")</f>
        <v>#N/A</v>
      </c>
      <c r="S152" s="10" t="str">
        <f t="shared" si="5"/>
        <v>LU000314.006</v>
      </c>
      <c r="T152" s="10" t="str">
        <f ca="1">IFERROR(__xludf.DUMMYFUNCTION("VLOOKUP(S152, IMPORTRANGE(""https://docs.google.com/spreadsheets/d/1yDAaXNsi4Mr5FtRQL4tbmSdIzhx6_m4wkOD7IG-k_eo/edit#gid=0"", ""Maths!M:N""), 2, FALSE)"),"Create a dataset and develop a set of questions related to a self-designed pictograph. Interpret the pictograph, answer the questions, and draw conclusions based on the analysis.")</f>
        <v>Create a dataset and develop a set of questions related to a self-designed pictograph. Interpret the pictograph, answer the questions, and draw conclusions based on the analysis.</v>
      </c>
      <c r="U152" s="11">
        <f ca="1">IFERROR(__xludf.DUMMYFUNCTION("ArrayFormula(VLOOKUP(G152, IMPORTRANGE(""https://docs.google.com/spreadsheets/d/1p7R4vtkWt5VOBim4ltsDG9KTzSjrtKXsMtQGXPHyND0/edit#gid=795171502"", ""'Filter 30_05_2024'!A1:M2000""), {2, 3, 4, 5,6,7,8,9,10,11,12,13}, 0))"),4)</f>
        <v>4</v>
      </c>
      <c r="V152" s="11">
        <f ca="1">IFERROR(__xludf.DUMMYFUNCTION("""COMPUTED_VALUE"""),6)</f>
        <v>6</v>
      </c>
      <c r="W152" s="11">
        <f ca="1">IFERROR(__xludf.DUMMYFUNCTION("""COMPUTED_VALUE"""),2)</f>
        <v>2</v>
      </c>
      <c r="X152" s="11">
        <f ca="1">IFERROR(__xludf.DUMMYFUNCTION("""COMPUTED_VALUE"""),12)</f>
        <v>12</v>
      </c>
      <c r="Y152" s="11">
        <f ca="1">IFERROR(__xludf.DUMMYFUNCTION("""COMPUTED_VALUE"""),4)</f>
        <v>4</v>
      </c>
      <c r="Z152" s="29">
        <f ca="1">IFERROR(__xludf.DUMMYFUNCTION("""COMPUTED_VALUE"""),13)</f>
        <v>13</v>
      </c>
      <c r="AA152" s="29">
        <f ca="1">IFERROR(__xludf.DUMMYFUNCTION("""COMPUTED_VALUE"""),1)</f>
        <v>1</v>
      </c>
      <c r="AB152" s="12">
        <f ca="1">IFERROR(__xludf.DUMMYFUNCTION("""COMPUTED_VALUE"""),18)</f>
        <v>18</v>
      </c>
      <c r="AC152" s="12"/>
      <c r="AD152" s="12"/>
      <c r="AE152" s="12"/>
      <c r="AF152" s="12"/>
      <c r="AG152" s="13" t="str">
        <f ca="1">IFERROR(__xludf.DUMMYFUNCTION("ArrayFormula(VLOOKUP(G152, IMPORTRANGE(""https://docs.google.com/spreadsheets/d/1Co934fvtviyaRiMsrIlT05Jaq7iiYq07aLvRr35KA48/edit?gid=173865642#gid=173865642"", ""'G6_Maths_Pri_LU'!G2:V2000""), {3, 4, 5, 6, 7, 8, 9, 10, 11, 12, 13, 14, 15, 16}, 0))"),"LU000313")</f>
        <v>LU000313</v>
      </c>
      <c r="AH152" s="13" t="str">
        <f ca="1">IFERROR(__xludf.DUMMYFUNCTION("""COMPUTED_VALUE"""),"Definition of pictograph")</f>
        <v>Definition of pictograph</v>
      </c>
      <c r="AI152" s="13" t="str">
        <f ca="1">IFERROR(__xludf.DUMMYFUNCTION("""COMPUTED_VALUE"""),"LU000309")</f>
        <v>LU000309</v>
      </c>
      <c r="AJ152" s="13" t="str">
        <f ca="1">IFERROR(__xludf.DUMMYFUNCTION("""COMPUTED_VALUE"""),"Organisation of data")</f>
        <v>Organisation of data</v>
      </c>
      <c r="AK152" s="13" t="str">
        <f ca="1">IFERROR(__xludf.DUMMYFUNCTION("""COMPUTED_VALUE"""),"LU000308")</f>
        <v>LU000308</v>
      </c>
      <c r="AL152" s="13" t="str">
        <f ca="1">IFERROR(__xludf.DUMMYFUNCTION("""COMPUTED_VALUE"""),"Definition of data and information")</f>
        <v>Definition of data and information</v>
      </c>
      <c r="AM152" s="13"/>
      <c r="AN152" s="13"/>
      <c r="AO152" s="13"/>
      <c r="AP152" s="13"/>
      <c r="AQ152" s="13"/>
      <c r="AR152" s="13"/>
      <c r="AS152" s="13"/>
      <c r="AT152" s="13"/>
    </row>
    <row r="153" spans="1:46">
      <c r="A153" s="8" t="s">
        <v>247</v>
      </c>
      <c r="B153" s="8" t="s">
        <v>47</v>
      </c>
      <c r="C153" s="8" t="s">
        <v>48</v>
      </c>
      <c r="D153" s="8" t="s">
        <v>49</v>
      </c>
      <c r="E153" s="8" t="s">
        <v>385</v>
      </c>
      <c r="F153" s="8" t="s">
        <v>116</v>
      </c>
      <c r="G153" s="8" t="s">
        <v>119</v>
      </c>
      <c r="H153" s="8" t="str">
        <f ca="1">IFERROR(__xludf.DUMMYFUNCTION("VLOOKUP(G153, IMPORTRANGE(""https://docs.google.com/spreadsheets/d/14deopnvwcrKtEGCKuYXdUHJbeLDZlkiSSWWT0g7x2pM/edit#gid=999382323"", ""LU List Maths (Filter)!A:B""), 2, FALSE)"),"Construction of pictographs")</f>
        <v>Construction of pictographs</v>
      </c>
      <c r="I153" s="10" t="str">
        <f t="shared" si="0"/>
        <v>LU000315.001</v>
      </c>
      <c r="J153" s="10" t="str">
        <f ca="1">IFERROR(__xludf.DUMMYFUNCTION("VLOOKUP(I153, IMPORTRANGE(""https://docs.google.com/spreadsheets/d/1yDAaXNsi4Mr5FtRQL4tbmSdIzhx6_m4wkOD7IG-k_eo/edit#gid=0"", ""Maths!M:N""), 2, FALSE)"),"State the steps required to construct a pictograph (such as choosing a relevant title, designing appropriate symbols and providing a key).")</f>
        <v>State the steps required to construct a pictograph (such as choosing a relevant title, designing appropriate symbols and providing a key).</v>
      </c>
      <c r="K153" s="10" t="str">
        <f t="shared" si="1"/>
        <v>LU000315.002</v>
      </c>
      <c r="L153" s="10" t="str">
        <f ca="1">IFERROR(__xludf.DUMMYFUNCTION("VLOOKUP(K153, IMPORTRANGE(""https://docs.google.com/spreadsheets/d/1yDAaXNsi4Mr5FtRQL4tbmSdIzhx6_m4wkOD7IG-k_eo/edit#gid=0"", ""Maths!M:N""), 2, FALSE)"),"Describe how constructing a pictograph helps in visually representing data and explain how the title, symbols and key collaborate to make the data interpretation clear.")</f>
        <v>Describe how constructing a pictograph helps in visually representing data and explain how the title, symbols and key collaborate to make the data interpretation clear.</v>
      </c>
      <c r="M153" s="10" t="str">
        <f t="shared" si="2"/>
        <v>LU000315.003</v>
      </c>
      <c r="N153" s="10" t="str">
        <f ca="1">IFERROR(__xludf.DUMMYFUNCTION("VLOOKUP(M153, IMPORTRANGE(""https://docs.google.com/spreadsheets/d/1yDAaXNsi4Mr5FtRQL4tbmSdIzhx6_m4wkOD7IG-k_eo/edit#gid=0"", ""Maths!M:N""), 2, FALSE)"),"Apply the understanding of pictograph construction by creating a pictograph based on given data, ensuring appropriate symbol design and clear labeling.")</f>
        <v>Apply the understanding of pictograph construction by creating a pictograph based on given data, ensuring appropriate symbol design and clear labeling.</v>
      </c>
      <c r="O153" s="10" t="str">
        <f t="shared" si="3"/>
        <v>LU000315.004</v>
      </c>
      <c r="P153" s="10" t="str">
        <f ca="1">IFERROR(__xludf.DUMMYFUNCTION("VLOOKUP(O153, IMPORTRANGE(""https://docs.google.com/spreadsheets/d/1yDAaXNsi4Mr5FtRQL4tbmSdIzhx6_m4wkOD7IG-k_eo/edit#gid=0"", ""Maths!M:N""), 2, FALSE)"),"Analyse the construction process of pictographs.")</f>
        <v>Analyse the construction process of pictographs.</v>
      </c>
      <c r="Q153" s="10" t="str">
        <f t="shared" si="4"/>
        <v>LU000315.005</v>
      </c>
      <c r="R153" s="10" t="str">
        <f ca="1">IFERROR(__xludf.DUMMYFUNCTION("VLOOKUP(Q153, IMPORTRANGE(""https://docs.google.com/spreadsheets/d/1yDAaXNsi4Mr5FtRQL4tbmSdIzhx6_m4wkOD7IG-k_eo/edit#gid=0"", ""Maths!M:N""), 2, FALSE)"),"Evaluate the accuracy of constructed pictographs, assessing the appropriateness of the chosen symbols or pictures.")</f>
        <v>Evaluate the accuracy of constructed pictographs, assessing the appropriateness of the chosen symbols or pictures.</v>
      </c>
      <c r="S153" s="10" t="str">
        <f t="shared" si="5"/>
        <v>LU000315.006</v>
      </c>
      <c r="T153" s="10" t="str">
        <f ca="1">IFERROR(__xludf.DUMMYFUNCTION("VLOOKUP(S153, IMPORTRANGE(""https://docs.google.com/spreadsheets/d/1yDAaXNsi4Mr5FtRQL4tbmSdIzhx6_m4wkOD7IG-k_eo/edit#gid=0"", ""Maths!M:N""), 2, FALSE)"),"#N/A")</f>
        <v>#N/A</v>
      </c>
      <c r="U153" s="11">
        <f ca="1">IFERROR(__xludf.DUMMYFUNCTION("ArrayFormula(VLOOKUP(G153, IMPORTRANGE(""https://docs.google.com/spreadsheets/d/1p7R4vtkWt5VOBim4ltsDG9KTzSjrtKXsMtQGXPHyND0/edit#gid=795171502"", ""'Filter 30_05_2024'!A1:M2000""), {2, 3, 4, 5,6,7,8,9,10,11,12,13}, 0))"),4)</f>
        <v>4</v>
      </c>
      <c r="V153" s="11">
        <f ca="1">IFERROR(__xludf.DUMMYFUNCTION("""COMPUTED_VALUE"""),2)</f>
        <v>2</v>
      </c>
      <c r="W153" s="11">
        <f ca="1">IFERROR(__xludf.DUMMYFUNCTION("""COMPUTED_VALUE"""),1)</f>
        <v>1</v>
      </c>
      <c r="X153" s="11">
        <f ca="1">IFERROR(__xludf.DUMMYFUNCTION("""COMPUTED_VALUE"""),7)</f>
        <v>7</v>
      </c>
      <c r="Y153" s="11">
        <f ca="1">IFERROR(__xludf.DUMMYFUNCTION("""COMPUTED_VALUE"""),4)</f>
        <v>4</v>
      </c>
      <c r="Z153" s="29">
        <f ca="1">IFERROR(__xludf.DUMMYFUNCTION("""COMPUTED_VALUE"""),4)</f>
        <v>4</v>
      </c>
      <c r="AA153" s="29">
        <f ca="1">IFERROR(__xludf.DUMMYFUNCTION("""COMPUTED_VALUE"""),1)</f>
        <v>1</v>
      </c>
      <c r="AB153" s="12">
        <f ca="1">IFERROR(__xludf.DUMMYFUNCTION("""COMPUTED_VALUE"""),9)</f>
        <v>9</v>
      </c>
      <c r="AC153" s="12"/>
      <c r="AD153" s="12"/>
      <c r="AE153" s="12"/>
      <c r="AF153" s="12"/>
      <c r="AG153" s="13" t="str">
        <f ca="1">IFERROR(__xludf.DUMMYFUNCTION("ArrayFormula(VLOOKUP(G153, IMPORTRANGE(""https://docs.google.com/spreadsheets/d/1Co934fvtviyaRiMsrIlT05Jaq7iiYq07aLvRr35KA48/edit?gid=173865642#gid=173865642"", ""'G6_Maths_Pri_LU'!G2:V2000""), {3, 4, 5, 6, 7, 8, 9, 10, 11, 12, 13, 14, 15, 16}, 0))"),"LU000313")</f>
        <v>LU000313</v>
      </c>
      <c r="AH153" s="13" t="str">
        <f ca="1">IFERROR(__xludf.DUMMYFUNCTION("""COMPUTED_VALUE"""),"Definition of pictograph")</f>
        <v>Definition of pictograph</v>
      </c>
      <c r="AI153" s="13" t="str">
        <f ca="1">IFERROR(__xludf.DUMMYFUNCTION("""COMPUTED_VALUE"""),"LU000309")</f>
        <v>LU000309</v>
      </c>
      <c r="AJ153" s="13" t="str">
        <f ca="1">IFERROR(__xludf.DUMMYFUNCTION("""COMPUTED_VALUE"""),"Organisation of data")</f>
        <v>Organisation of data</v>
      </c>
      <c r="AK153" s="13" t="str">
        <f ca="1">IFERROR(__xludf.DUMMYFUNCTION("""COMPUTED_VALUE"""),"LU000308")</f>
        <v>LU000308</v>
      </c>
      <c r="AL153" s="13" t="str">
        <f ca="1">IFERROR(__xludf.DUMMYFUNCTION("""COMPUTED_VALUE"""),"Definition of data and information")</f>
        <v>Definition of data and information</v>
      </c>
      <c r="AM153" s="13"/>
      <c r="AN153" s="13"/>
      <c r="AO153" s="13"/>
      <c r="AP153" s="13"/>
      <c r="AQ153" s="13"/>
      <c r="AR153" s="13"/>
      <c r="AS153" s="13"/>
      <c r="AT153" s="13"/>
    </row>
    <row r="154" spans="1:46">
      <c r="A154" s="8" t="s">
        <v>247</v>
      </c>
      <c r="B154" s="8" t="s">
        <v>47</v>
      </c>
      <c r="C154" s="8" t="s">
        <v>48</v>
      </c>
      <c r="D154" s="8" t="s">
        <v>49</v>
      </c>
      <c r="E154" s="8" t="s">
        <v>386</v>
      </c>
      <c r="F154" s="21" t="s">
        <v>152</v>
      </c>
      <c r="G154" s="8" t="s">
        <v>387</v>
      </c>
      <c r="H154" s="8" t="str">
        <f ca="1">IFERROR(__xludf.DUMMYFUNCTION("VLOOKUP(G154, IMPORTRANGE(""https://docs.google.com/spreadsheets/d/14deopnvwcrKtEGCKuYXdUHJbeLDZlkiSSWWT0g7x2pM/edit#gid=999382323"", ""LU List Maths (Filter)!A:B""), 2, FALSE)"),"Perimeter of closed figures")</f>
        <v>Perimeter of closed figures</v>
      </c>
      <c r="I154" s="10" t="str">
        <f t="shared" si="0"/>
        <v>LU000323.001</v>
      </c>
      <c r="J154" s="10" t="str">
        <f ca="1">IFERROR(__xludf.DUMMYFUNCTION("VLOOKUP(I154, IMPORTRANGE(""https://docs.google.com/spreadsheets/d/1yDAaXNsi4Mr5FtRQL4tbmSdIzhx6_m4wkOD7IG-k_eo/edit#gid=0"", ""Maths!M:N""), 2, FALSE)"),"Recall the method to find the perimeter of a closed figure.")</f>
        <v>Recall the method to find the perimeter of a closed figure.</v>
      </c>
      <c r="K154" s="10" t="str">
        <f t="shared" si="1"/>
        <v>LU000323.002</v>
      </c>
      <c r="L154" s="10" t="str">
        <f ca="1">IFERROR(__xludf.DUMMYFUNCTION("VLOOKUP(K154, IMPORTRANGE(""https://docs.google.com/spreadsheets/d/1yDAaXNsi4Mr5FtRQL4tbmSdIzhx6_m4wkOD7IG-k_eo/edit#gid=0"", ""Maths!M:N""), 2, FALSE)"),"Explain the concept that the perimeter of a closed figure is the sum of the lengths of its sides.")</f>
        <v>Explain the concept that the perimeter of a closed figure is the sum of the lengths of its sides.</v>
      </c>
      <c r="M154" s="10" t="str">
        <f t="shared" si="2"/>
        <v>LU000323.003</v>
      </c>
      <c r="N154" s="10" t="str">
        <f ca="1">IFERROR(__xludf.DUMMYFUNCTION("VLOOKUP(M154, IMPORTRANGE(""https://docs.google.com/spreadsheets/d/1yDAaXNsi4Mr5FtRQL4tbmSdIzhx6_m4wkOD7IG-k_eo/edit#gid=0"", ""Maths!M:N""), 2, FALSE)"),"Calculate the perimeter of closed shapes and rectilinear figures.")</f>
        <v>Calculate the perimeter of closed shapes and rectilinear figures.</v>
      </c>
      <c r="O154" s="10" t="str">
        <f t="shared" si="3"/>
        <v>LU000323.004</v>
      </c>
      <c r="P154" s="10" t="str">
        <f ca="1">IFERROR(__xludf.DUMMYFUNCTION("VLOOKUP(O154, IMPORTRANGE(""https://docs.google.com/spreadsheets/d/1yDAaXNsi4Mr5FtRQL4tbmSdIzhx6_m4wkOD7IG-k_eo/edit#gid=0"", ""Maths!M:N""), 2, FALSE)"),"Identify the figures of different shapes that have the same perimeter.")</f>
        <v>Identify the figures of different shapes that have the same perimeter.</v>
      </c>
      <c r="Q154" s="10" t="str">
        <f t="shared" si="4"/>
        <v>LU000323.005</v>
      </c>
      <c r="R154" s="10" t="str">
        <f ca="1">IFERROR(__xludf.DUMMYFUNCTION("VLOOKUP(Q154, IMPORTRANGE(""https://docs.google.com/spreadsheets/d/1yDAaXNsi4Mr5FtRQL4tbmSdIzhx6_m4wkOD7IG-k_eo/edit#gid=0"", ""Maths!M:N""), 2, FALSE)"),"Solve real world problems involving perimeters of closed figures.")</f>
        <v>Solve real world problems involving perimeters of closed figures.</v>
      </c>
      <c r="S154" s="10" t="str">
        <f t="shared" si="5"/>
        <v>LU000323.006</v>
      </c>
      <c r="T154" s="10" t="str">
        <f ca="1">IFERROR(__xludf.DUMMYFUNCTION("VLOOKUP(S154, IMPORTRANGE(""https://docs.google.com/spreadsheets/d/1yDAaXNsi4Mr5FtRQL4tbmSdIzhx6_m4wkOD7IG-k_eo/edit#gid=0"", ""Maths!M:N""), 2, FALSE)"),"Devise activities where students measure and calculate the perimeters of different closed shapes using the sum of their side lengths.")</f>
        <v>Devise activities where students measure and calculate the perimeters of different closed shapes using the sum of their side lengths.</v>
      </c>
      <c r="U154" s="11">
        <f ca="1">IFERROR(__xludf.DUMMYFUNCTION("ArrayFormula(VLOOKUP(G154, IMPORTRANGE(""https://docs.google.com/spreadsheets/d/1p7R4vtkWt5VOBim4ltsDG9KTzSjrtKXsMtQGXPHyND0/edit#gid=795171502"", ""'Filter 30_05_2024'!A1:M2000""), {2, 3, 4, 5,6,7,8,9,10,11,12,13}, 0))"),4)</f>
        <v>4</v>
      </c>
      <c r="V154" s="11">
        <f ca="1">IFERROR(__xludf.DUMMYFUNCTION("""COMPUTED_VALUE"""),9)</f>
        <v>9</v>
      </c>
      <c r="W154" s="11">
        <f ca="1">IFERROR(__xludf.DUMMYFUNCTION("""COMPUTED_VALUE"""),10)</f>
        <v>10</v>
      </c>
      <c r="X154" s="11">
        <f ca="1">IFERROR(__xludf.DUMMYFUNCTION("""COMPUTED_VALUE"""),23)</f>
        <v>23</v>
      </c>
      <c r="Y154" s="11">
        <f ca="1">IFERROR(__xludf.DUMMYFUNCTION("""COMPUTED_VALUE"""),4)</f>
        <v>4</v>
      </c>
      <c r="Z154" s="29">
        <f ca="1">IFERROR(__xludf.DUMMYFUNCTION("""COMPUTED_VALUE"""),5)</f>
        <v>5</v>
      </c>
      <c r="AA154" s="29">
        <f ca="1">IFERROR(__xludf.DUMMYFUNCTION("""COMPUTED_VALUE"""),4)</f>
        <v>4</v>
      </c>
      <c r="AB154" s="12">
        <f ca="1">IFERROR(__xludf.DUMMYFUNCTION("""COMPUTED_VALUE"""),13)</f>
        <v>13</v>
      </c>
      <c r="AC154" s="12"/>
      <c r="AD154" s="12"/>
      <c r="AE154" s="12"/>
      <c r="AF154" s="12"/>
      <c r="AG154" s="13" t="str">
        <f ca="1">IFERROR(__xludf.DUMMYFUNCTION("ArrayFormula(VLOOKUP(G154, IMPORTRANGE(""https://docs.google.com/spreadsheets/d/1Co934fvtviyaRiMsrIlT05Jaq7iiYq07aLvRr35KA48/edit?gid=173865642#gid=173865642"", ""'G6_Maths_Pri_LU'!G2:V2000""), {3, 4, 5, 6, 7, 8, 9, 10, 11, 12, 13, 14, 15, 16}, 0))"),"LU000027")</f>
        <v>LU000027</v>
      </c>
      <c r="AH154" s="13" t="str">
        <f ca="1">IFERROR(__xludf.DUMMYFUNCTION("""COMPUTED_VALUE"""),"Definition of perimeter")</f>
        <v>Definition of perimeter</v>
      </c>
      <c r="AI154" s="13" t="str">
        <f ca="1">IFERROR(__xludf.DUMMYFUNCTION("""COMPUTED_VALUE"""),"LU000012")</f>
        <v>LU000012</v>
      </c>
      <c r="AJ154" s="13" t="str">
        <f ca="1">IFERROR(__xludf.DUMMYFUNCTION("""COMPUTED_VALUE"""),"Definition of a closed shape")</f>
        <v>Definition of a closed shape</v>
      </c>
      <c r="AK154" s="13"/>
      <c r="AL154" s="13"/>
      <c r="AM154" s="13"/>
      <c r="AN154" s="13"/>
      <c r="AO154" s="13"/>
      <c r="AP154" s="13"/>
      <c r="AQ154" s="13"/>
      <c r="AR154" s="13"/>
      <c r="AS154" s="13"/>
      <c r="AT154" s="13"/>
    </row>
    <row r="155" spans="1:46">
      <c r="A155" s="8" t="s">
        <v>247</v>
      </c>
      <c r="B155" s="8" t="s">
        <v>47</v>
      </c>
      <c r="C155" s="8" t="s">
        <v>48</v>
      </c>
      <c r="D155" s="8" t="s">
        <v>49</v>
      </c>
      <c r="E155" s="8" t="s">
        <v>386</v>
      </c>
      <c r="F155" s="21" t="s">
        <v>152</v>
      </c>
      <c r="G155" s="8" t="s">
        <v>153</v>
      </c>
      <c r="H155" s="8" t="str">
        <f ca="1">IFERROR(__xludf.DUMMYFUNCTION("VLOOKUP(G155, IMPORTRANGE(""https://docs.google.com/spreadsheets/d/14deopnvwcrKtEGCKuYXdUHJbeLDZlkiSSWWT0g7x2pM/edit#gid=999382323"", ""LU List Maths (Filter)!A:B""), 2, FALSE)"),"Perimeter of a rectangle using formula")</f>
        <v>Perimeter of a rectangle using formula</v>
      </c>
      <c r="I155" s="10" t="str">
        <f t="shared" si="0"/>
        <v>LU000324.001</v>
      </c>
      <c r="J155" s="10" t="str">
        <f ca="1">IFERROR(__xludf.DUMMYFUNCTION("VLOOKUP(I155, IMPORTRANGE(""https://docs.google.com/spreadsheets/d/1yDAaXNsi4Mr5FtRQL4tbmSdIzhx6_m4wkOD7IG-k_eo/edit#gid=0"", ""Maths!M:N""), 2, FALSE)"),"Deduce the formula for the perimeter of a rectangle.")</f>
        <v>Deduce the formula for the perimeter of a rectangle.</v>
      </c>
      <c r="K155" s="10" t="str">
        <f t="shared" si="1"/>
        <v>LU000324.002</v>
      </c>
      <c r="L155" s="10" t="str">
        <f ca="1">IFERROR(__xludf.DUMMYFUNCTION("VLOOKUP(K155, IMPORTRANGE(""https://docs.google.com/spreadsheets/d/1yDAaXNsi4Mr5FtRQL4tbmSdIzhx6_m4wkOD7IG-k_eo/edit#gid=0"", ""Maths!M:N""), 2, FALSE)"),"Calculate the perimeter of a rectangle if length and width, or the relation between them, are given.")</f>
        <v>Calculate the perimeter of a rectangle if length and width, or the relation between them, are given.</v>
      </c>
      <c r="M155" s="10" t="str">
        <f t="shared" si="2"/>
        <v>LU000324.003</v>
      </c>
      <c r="N155" s="10" t="str">
        <f ca="1">IFERROR(__xludf.DUMMYFUNCTION("VLOOKUP(M155, IMPORTRANGE(""https://docs.google.com/spreadsheets/d/1yDAaXNsi4Mr5FtRQL4tbmSdIzhx6_m4wkOD7IG-k_eo/edit#gid=0"", ""Maths!M:N""), 2, FALSE)"),"Determine the unknown side length if the perimeter or related description of a rectangle is given in context.")</f>
        <v>Determine the unknown side length if the perimeter or related description of a rectangle is given in context.</v>
      </c>
      <c r="O155" s="10" t="str">
        <f t="shared" si="3"/>
        <v>LU000324.004</v>
      </c>
      <c r="P155" s="10" t="str">
        <f ca="1">IFERROR(__xludf.DUMMYFUNCTION("VLOOKUP(O155, IMPORTRANGE(""https://docs.google.com/spreadsheets/d/1yDAaXNsi4Mr5FtRQL4tbmSdIzhx6_m4wkOD7IG-k_eo/edit#gid=0"", ""Maths!M:N""), 2, FALSE)"),"Solve word problems involving the formula for the perimeter of a rectangle.")</f>
        <v>Solve word problems involving the formula for the perimeter of a rectangle.</v>
      </c>
      <c r="Q155" s="10" t="str">
        <f t="shared" si="4"/>
        <v>LU000324.005</v>
      </c>
      <c r="R155" s="10" t="str">
        <f ca="1">IFERROR(__xludf.DUMMYFUNCTION("VLOOKUP(Q155, IMPORTRANGE(""https://docs.google.com/spreadsheets/d/1yDAaXNsi4Mr5FtRQL4tbmSdIzhx6_m4wkOD7IG-k_eo/edit#gid=0"", ""Maths!M:N""), 2, FALSE)"),"#N/A")</f>
        <v>#N/A</v>
      </c>
      <c r="S155" s="10" t="str">
        <f t="shared" si="5"/>
        <v>LU000324.006</v>
      </c>
      <c r="T155" s="10" t="str">
        <f ca="1">IFERROR(__xludf.DUMMYFUNCTION("VLOOKUP(S155, IMPORTRANGE(""https://docs.google.com/spreadsheets/d/1yDAaXNsi4Mr5FtRQL4tbmSdIzhx6_m4wkOD7IG-k_eo/edit#gid=0"", ""Maths!M:N""), 2, FALSE)"),"#N/A")</f>
        <v>#N/A</v>
      </c>
      <c r="U155" s="11">
        <f ca="1">IFERROR(__xludf.DUMMYFUNCTION("ArrayFormula(VLOOKUP(G155, IMPORTRANGE(""https://docs.google.com/spreadsheets/d/1p7R4vtkWt5VOBim4ltsDG9KTzSjrtKXsMtQGXPHyND0/edit#gid=795171502"", ""'Filter 30_05_2024'!A1:M2000""), {2, 3, 4, 5,6,7,8,9,10,11,12,13}, 0))"),21)</f>
        <v>21</v>
      </c>
      <c r="V155" s="11">
        <f ca="1">IFERROR(__xludf.DUMMYFUNCTION("""COMPUTED_VALUE"""),11)</f>
        <v>11</v>
      </c>
      <c r="W155" s="11">
        <f ca="1">IFERROR(__xludf.DUMMYFUNCTION("""COMPUTED_VALUE"""),2)</f>
        <v>2</v>
      </c>
      <c r="X155" s="11">
        <f ca="1">IFERROR(__xludf.DUMMYFUNCTION("""COMPUTED_VALUE"""),34)</f>
        <v>34</v>
      </c>
      <c r="Y155" s="11">
        <f ca="1">IFERROR(__xludf.DUMMYFUNCTION("""COMPUTED_VALUE"""),10)</f>
        <v>10</v>
      </c>
      <c r="Z155" s="29">
        <f ca="1">IFERROR(__xludf.DUMMYFUNCTION("""COMPUTED_VALUE"""),4)</f>
        <v>4</v>
      </c>
      <c r="AA155" s="29">
        <f ca="1">IFERROR(__xludf.DUMMYFUNCTION("""COMPUTED_VALUE"""),3)</f>
        <v>3</v>
      </c>
      <c r="AB155" s="12">
        <f ca="1">IFERROR(__xludf.DUMMYFUNCTION("""COMPUTED_VALUE"""),17)</f>
        <v>17</v>
      </c>
      <c r="AC155" s="12"/>
      <c r="AD155" s="12"/>
      <c r="AE155" s="12"/>
      <c r="AF155" s="12"/>
      <c r="AG155" s="13" t="str">
        <f ca="1">IFERROR(__xludf.DUMMYFUNCTION("ArrayFormula(VLOOKUP(G155, IMPORTRANGE(""https://docs.google.com/spreadsheets/d/1Co934fvtviyaRiMsrIlT05Jaq7iiYq07aLvRr35KA48/edit?gid=173865642#gid=173865642"", ""'G6_Maths_Pri_LU'!G2:V2000""), {3, 4, 5, 6, 7, 8, 9, 10, 11, 12, 13, 14, 15, 16}, 0))"),"LU000028")</f>
        <v>LU000028</v>
      </c>
      <c r="AH155" s="13" t="str">
        <f ca="1">IFERROR(__xludf.DUMMYFUNCTION("""COMPUTED_VALUE"""),"Perimeter of a rectangle using a square grid")</f>
        <v>Perimeter of a rectangle using a square grid</v>
      </c>
      <c r="AI155" s="13" t="str">
        <f ca="1">IFERROR(__xludf.DUMMYFUNCTION("""COMPUTED_VALUE"""),"LU000597")</f>
        <v>LU000597</v>
      </c>
      <c r="AJ155" s="13" t="str">
        <f ca="1">IFERROR(__xludf.DUMMYFUNCTION("""COMPUTED_VALUE"""),"Definition of rectangle")</f>
        <v>Definition of rectangle</v>
      </c>
      <c r="AK155" s="13" t="str">
        <f ca="1">IFERROR(__xludf.DUMMYFUNCTION("""COMPUTED_VALUE"""),"LU000027")</f>
        <v>LU000027</v>
      </c>
      <c r="AL155" s="13" t="str">
        <f ca="1">IFERROR(__xludf.DUMMYFUNCTION("""COMPUTED_VALUE"""),"Definition of perimeter")</f>
        <v>Definition of perimeter</v>
      </c>
      <c r="AM155" s="13"/>
      <c r="AN155" s="13"/>
      <c r="AO155" s="13"/>
      <c r="AP155" s="13"/>
      <c r="AQ155" s="13"/>
      <c r="AR155" s="13"/>
      <c r="AS155" s="13"/>
      <c r="AT155" s="13"/>
    </row>
    <row r="156" spans="1:46">
      <c r="A156" s="8" t="s">
        <v>247</v>
      </c>
      <c r="B156" s="8" t="s">
        <v>47</v>
      </c>
      <c r="C156" s="8" t="s">
        <v>48</v>
      </c>
      <c r="D156" s="8" t="s">
        <v>49</v>
      </c>
      <c r="E156" s="8" t="s">
        <v>386</v>
      </c>
      <c r="F156" s="21" t="s">
        <v>152</v>
      </c>
      <c r="G156" s="8" t="s">
        <v>155</v>
      </c>
      <c r="H156" s="8" t="str">
        <f ca="1">IFERROR(__xludf.DUMMYFUNCTION("VLOOKUP(G156, IMPORTRANGE(""https://docs.google.com/spreadsheets/d/14deopnvwcrKtEGCKuYXdUHJbeLDZlkiSSWWT0g7x2pM/edit#gid=999382323"", ""LU List Maths (Filter)!A:B""), 2, FALSE)"),"Perimeter of regular shapes (regular polygons)")</f>
        <v>Perimeter of regular shapes (regular polygons)</v>
      </c>
      <c r="I156" s="10" t="str">
        <f t="shared" si="0"/>
        <v>LU000325.001</v>
      </c>
      <c r="J156" s="10" t="str">
        <f ca="1">IFERROR(__xludf.DUMMYFUNCTION("VLOOKUP(I156, IMPORTRANGE(""https://docs.google.com/spreadsheets/d/1yDAaXNsi4Mr5FtRQL4tbmSdIzhx6_m4wkOD7IG-k_eo/edit#gid=0"", ""Maths!M:N""), 2, FALSE)"),"Deduce the formula for the Perimeter of regular shapes (regular polygons). (equilateral triangle, square, pentagon, hexagon, heptagon, octagon)")</f>
        <v>Deduce the formula for the Perimeter of regular shapes (regular polygons). (equilateral triangle, square, pentagon, hexagon, heptagon, octagon)</v>
      </c>
      <c r="K156" s="10" t="str">
        <f t="shared" si="1"/>
        <v>LU000325.002</v>
      </c>
      <c r="L156" s="10" t="str">
        <f ca="1">IFERROR(__xludf.DUMMYFUNCTION("VLOOKUP(K156, IMPORTRANGE(""https://docs.google.com/spreadsheets/d/1yDAaXNsi4Mr5FtRQL4tbmSdIzhx6_m4wkOD7IG-k_eo/edit#gid=0"", ""Maths!M:N""), 2, FALSE)"),"Calculate the Perimeter of regular shapes (regular polygons). (equilateral triangle, square, pentagon, hexagon, heptagon, octagon).")</f>
        <v>Calculate the Perimeter of regular shapes (regular polygons). (equilateral triangle, square, pentagon, hexagon, heptagon, octagon).</v>
      </c>
      <c r="M156" s="10" t="str">
        <f t="shared" si="2"/>
        <v>LU000325.003</v>
      </c>
      <c r="N156" s="10" t="str">
        <f ca="1">IFERROR(__xludf.DUMMYFUNCTION("VLOOKUP(M156, IMPORTRANGE(""https://docs.google.com/spreadsheets/d/1yDAaXNsi4Mr5FtRQL4tbmSdIzhx6_m4wkOD7IG-k_eo/edit#gid=0"", ""Maths!M:N""), 2, FALSE)"),"Solve real-world problems involving the perimeters of regular polygons (equilateral triangle, square, pentagon, hexagon, heptagon, octagon).")</f>
        <v>Solve real-world problems involving the perimeters of regular polygons (equilateral triangle, square, pentagon, hexagon, heptagon, octagon).</v>
      </c>
      <c r="O156" s="10" t="str">
        <f t="shared" si="3"/>
        <v>LU000325.004</v>
      </c>
      <c r="P156" s="10" t="str">
        <f ca="1">IFERROR(__xludf.DUMMYFUNCTION("VLOOKUP(O156, IMPORTRANGE(""https://docs.google.com/spreadsheets/d/1yDAaXNsi4Mr5FtRQL4tbmSdIzhx6_m4wkOD7IG-k_eo/edit#gid=0"", ""Maths!M:N""), 2, FALSE)"),"Determine the unknown side length if the perimeter or related description of a polygon is given in context.")</f>
        <v>Determine the unknown side length if the perimeter or related description of a polygon is given in context.</v>
      </c>
      <c r="Q156" s="10" t="str">
        <f t="shared" si="4"/>
        <v>LU000325.005</v>
      </c>
      <c r="R156" s="10" t="str">
        <f ca="1">IFERROR(__xludf.DUMMYFUNCTION("VLOOKUP(Q156, IMPORTRANGE(""https://docs.google.com/spreadsheets/d/1yDAaXNsi4Mr5FtRQL4tbmSdIzhx6_m4wkOD7IG-k_eo/edit#gid=0"", ""Maths!M:N""), 2, FALSE)"),"Evaluate the efficiency of using the perimeter formula for different regular shapes in practical contexts.")</f>
        <v>Evaluate the efficiency of using the perimeter formula for different regular shapes in practical contexts.</v>
      </c>
      <c r="S156" s="10" t="str">
        <f t="shared" si="5"/>
        <v>LU000325.006</v>
      </c>
      <c r="T156" s="10" t="str">
        <f ca="1">IFERROR(__xludf.DUMMYFUNCTION("VLOOKUP(S156, IMPORTRANGE(""https://docs.google.com/spreadsheets/d/1yDAaXNsi4Mr5FtRQL4tbmSdIzhx6_m4wkOD7IG-k_eo/edit#gid=0"", ""Maths!M:N""), 2, FALSE)"),"Generate scenarios that require calculating the perimeters of various regular shapes.")</f>
        <v>Generate scenarios that require calculating the perimeters of various regular shapes.</v>
      </c>
      <c r="U156" s="11">
        <f ca="1">IFERROR(__xludf.DUMMYFUNCTION("ArrayFormula(VLOOKUP(G156, IMPORTRANGE(""https://docs.google.com/spreadsheets/d/1p7R4vtkWt5VOBim4ltsDG9KTzSjrtKXsMtQGXPHyND0/edit#gid=795171502"", ""'Filter 30_05_2024'!A1:M2000""), {2, 3, 4, 5,6,7,8,9,10,11,12,13}, 0))"),4)</f>
        <v>4</v>
      </c>
      <c r="V156" s="11">
        <f ca="1">IFERROR(__xludf.DUMMYFUNCTION("""COMPUTED_VALUE"""),6)</f>
        <v>6</v>
      </c>
      <c r="W156" s="11">
        <f ca="1">IFERROR(__xludf.DUMMYFUNCTION("""COMPUTED_VALUE"""),2)</f>
        <v>2</v>
      </c>
      <c r="X156" s="11">
        <f ca="1">IFERROR(__xludf.DUMMYFUNCTION("""COMPUTED_VALUE"""),12)</f>
        <v>12</v>
      </c>
      <c r="Y156" s="11">
        <f ca="1">IFERROR(__xludf.DUMMYFUNCTION("""COMPUTED_VALUE"""),4)</f>
        <v>4</v>
      </c>
      <c r="Z156" s="29">
        <f ca="1">IFERROR(__xludf.DUMMYFUNCTION("""COMPUTED_VALUE"""),6)</f>
        <v>6</v>
      </c>
      <c r="AA156" s="29">
        <f ca="1">IFERROR(__xludf.DUMMYFUNCTION("""COMPUTED_VALUE"""),1)</f>
        <v>1</v>
      </c>
      <c r="AB156" s="12">
        <f ca="1">IFERROR(__xludf.DUMMYFUNCTION("""COMPUTED_VALUE"""),11)</f>
        <v>11</v>
      </c>
      <c r="AC156" s="12"/>
      <c r="AD156" s="12"/>
      <c r="AE156" s="12"/>
      <c r="AF156" s="12"/>
      <c r="AG156" s="13" t="str">
        <f ca="1">IFERROR(__xludf.DUMMYFUNCTION("ArrayFormula(VLOOKUP(G156, IMPORTRANGE(""https://docs.google.com/spreadsheets/d/1Co934fvtviyaRiMsrIlT05Jaq7iiYq07aLvRr35KA48/edit?gid=173865642#gid=173865642"", ""'G6_Maths_Pri_LU'!G2:V2000""), {3, 4, 5, 6, 7, 8, 9, 10, 11, 12, 13, 14, 15, 16}, 0))"),"LU000905")</f>
        <v>LU000905</v>
      </c>
      <c r="AH156" s="13" t="str">
        <f ca="1">IFERROR(__xludf.DUMMYFUNCTION("""COMPUTED_VALUE"""),"Definition of regular and irregular polygon")</f>
        <v>Definition of regular and irregular polygon</v>
      </c>
      <c r="AI156" s="13" t="str">
        <f ca="1">IFERROR(__xludf.DUMMYFUNCTION("""COMPUTED_VALUE"""),"LU000245")</f>
        <v>LU000245</v>
      </c>
      <c r="AJ156" s="13" t="str">
        <f ca="1">IFERROR(__xludf.DUMMYFUNCTION("""COMPUTED_VALUE"""),"Classification of polygons based on the number of the sides")</f>
        <v>Classification of polygons based on the number of the sides</v>
      </c>
      <c r="AK156" s="13" t="str">
        <f ca="1">IFERROR(__xludf.DUMMYFUNCTION("""COMPUTED_VALUE"""),"LU000027")</f>
        <v>LU000027</v>
      </c>
      <c r="AL156" s="13" t="str">
        <f ca="1">IFERROR(__xludf.DUMMYFUNCTION("""COMPUTED_VALUE"""),"Definition of perimeter")</f>
        <v>Definition of perimeter</v>
      </c>
      <c r="AM156" s="13"/>
      <c r="AN156" s="13"/>
      <c r="AO156" s="13"/>
      <c r="AP156" s="13"/>
      <c r="AQ156" s="13"/>
      <c r="AR156" s="13"/>
      <c r="AS156" s="13"/>
      <c r="AT156" s="13"/>
    </row>
    <row r="157" spans="1:46">
      <c r="A157" s="8" t="s">
        <v>247</v>
      </c>
      <c r="B157" s="8" t="s">
        <v>47</v>
      </c>
      <c r="C157" s="8" t="s">
        <v>48</v>
      </c>
      <c r="D157" s="8" t="s">
        <v>49</v>
      </c>
      <c r="E157" s="8" t="s">
        <v>386</v>
      </c>
      <c r="F157" s="8" t="s">
        <v>388</v>
      </c>
      <c r="G157" s="8" t="s">
        <v>164</v>
      </c>
      <c r="H157" s="8" t="str">
        <f ca="1">IFERROR(__xludf.DUMMYFUNCTION("VLOOKUP(G157, IMPORTRANGE(""https://docs.google.com/spreadsheets/d/14deopnvwcrKtEGCKuYXdUHJbeLDZlkiSSWWT0g7x2pM/edit#gid=999382323"", ""LU List Maths (Filter)!A:B""), 2, FALSE)"),"Area of closed figures using graph paper or square grid method")</f>
        <v>Area of closed figures using graph paper or square grid method</v>
      </c>
      <c r="I157" s="10" t="str">
        <f t="shared" si="0"/>
        <v>LU000326.001</v>
      </c>
      <c r="J157" s="10" t="str">
        <f ca="1">IFERROR(__xludf.DUMMYFUNCTION("VLOOKUP(I157, IMPORTRANGE(""https://docs.google.com/spreadsheets/d/1yDAaXNsi4Mr5FtRQL4tbmSdIzhx6_m4wkOD7IG-k_eo/edit#gid=0"", ""Maths!M:N""), 2, FALSE)"),"Recall the method of using graph paper or a square grid to calculate the area of closed figures.")</f>
        <v>Recall the method of using graph paper or a square grid to calculate the area of closed figures.</v>
      </c>
      <c r="K157" s="10" t="str">
        <f t="shared" si="1"/>
        <v>LU000326.002</v>
      </c>
      <c r="L157" s="10" t="str">
        <f ca="1">IFERROR(__xludf.DUMMYFUNCTION("VLOOKUP(K157, IMPORTRANGE(""https://docs.google.com/spreadsheets/d/1yDAaXNsi4Mr5FtRQL4tbmSdIzhx6_m4wkOD7IG-k_eo/edit#gid=0"", ""Maths!M:N""), 2, FALSE)"),"Explain the process of placing closed figures on graph paper, outlining them, and counting the squares to determine the area.")</f>
        <v>Explain the process of placing closed figures on graph paper, outlining them, and counting the squares to determine the area.</v>
      </c>
      <c r="M157" s="10" t="str">
        <f t="shared" si="2"/>
        <v>LU000326.003</v>
      </c>
      <c r="N157" s="10" t="str">
        <f ca="1">IFERROR(__xludf.DUMMYFUNCTION("VLOOKUP(M157, IMPORTRANGE(""https://docs.google.com/spreadsheets/d/1yDAaXNsi4Mr5FtRQL4tbmSdIzhx6_m4wkOD7IG-k_eo/edit#gid=0"", ""Maths!M:N""), 2, FALSE)"),"Calculate the area of a square, a triangle or any other closed figure drawn on a paper using graph paper/square grid method.")</f>
        <v>Calculate the area of a square, a triangle or any other closed figure drawn on a paper using graph paper/square grid method.</v>
      </c>
      <c r="O157" s="10" t="str">
        <f t="shared" si="3"/>
        <v>LU000326.004</v>
      </c>
      <c r="P157" s="10" t="str">
        <f ca="1">IFERROR(__xludf.DUMMYFUNCTION("VLOOKUP(O157, IMPORTRANGE(""https://docs.google.com/spreadsheets/d/1yDAaXNsi4Mr5FtRQL4tbmSdIzhx6_m4wkOD7IG-k_eo/edit#gid=0"", ""Maths!M:N""), 2, FALSE)"),"Estimate the area (in mixed fraction in sq. units) of an irregular closed figure using a grid sheet.")</f>
        <v>Estimate the area (in mixed fraction in sq. units) of an irregular closed figure using a grid sheet.</v>
      </c>
      <c r="Q157" s="10" t="str">
        <f t="shared" si="4"/>
        <v>LU000326.005</v>
      </c>
      <c r="R157" s="10" t="str">
        <f ca="1">IFERROR(__xludf.DUMMYFUNCTION("VLOOKUP(Q157, IMPORTRANGE(""https://docs.google.com/spreadsheets/d/1yDAaXNsi4Mr5FtRQL4tbmSdIzhx6_m4wkOD7IG-k_eo/edit#gid=0"", ""Maths!M:N""), 2, FALSE)"),"Evaluate the effectiveness and limitations of the graph paper method for calculating areas of irregular shapes.")</f>
        <v>Evaluate the effectiveness and limitations of the graph paper method for calculating areas of irregular shapes.</v>
      </c>
      <c r="S157" s="10" t="str">
        <f t="shared" si="5"/>
        <v>LU000326.006</v>
      </c>
      <c r="T157" s="10" t="str">
        <f ca="1">IFERROR(__xludf.DUMMYFUNCTION("VLOOKUP(S157, IMPORTRANGE(""https://docs.google.com/spreadsheets/d/1yDAaXNsi4Mr5FtRQL4tbmSdIzhx6_m4wkOD7IG-k_eo/edit#gid=0"", ""Maths!M:N""), 2, FALSE)"),"Create visual representations using graph paper to illustrate the process of calculating the area of closed figures.")</f>
        <v>Create visual representations using graph paper to illustrate the process of calculating the area of closed figures.</v>
      </c>
      <c r="U157" s="11">
        <f ca="1">IFERROR(__xludf.DUMMYFUNCTION("ArrayFormula(VLOOKUP(G157, IMPORTRANGE(""https://docs.google.com/spreadsheets/d/1p7R4vtkWt5VOBim4ltsDG9KTzSjrtKXsMtQGXPHyND0/edit#gid=795171502"", ""'Filter 30_05_2024'!A1:M2000""), {2, 3, 4, 5,6,7,8,9,10,11,12,13}, 0))"),17)</f>
        <v>17</v>
      </c>
      <c r="V157" s="11">
        <f ca="1">IFERROR(__xludf.DUMMYFUNCTION("""COMPUTED_VALUE"""),8)</f>
        <v>8</v>
      </c>
      <c r="W157" s="11">
        <f ca="1">IFERROR(__xludf.DUMMYFUNCTION("""COMPUTED_VALUE"""),5)</f>
        <v>5</v>
      </c>
      <c r="X157" s="11">
        <f ca="1">IFERROR(__xludf.DUMMYFUNCTION("""COMPUTED_VALUE"""),30)</f>
        <v>30</v>
      </c>
      <c r="Y157" s="11">
        <f ca="1">IFERROR(__xludf.DUMMYFUNCTION("""COMPUTED_VALUE"""),9)</f>
        <v>9</v>
      </c>
      <c r="Z157" s="29">
        <f ca="1">IFERROR(__xludf.DUMMYFUNCTION("""COMPUTED_VALUE"""),5)</f>
        <v>5</v>
      </c>
      <c r="AA157" s="29">
        <f ca="1">IFERROR(__xludf.DUMMYFUNCTION("""COMPUTED_VALUE"""),1)</f>
        <v>1</v>
      </c>
      <c r="AB157" s="12">
        <f ca="1">IFERROR(__xludf.DUMMYFUNCTION("""COMPUTED_VALUE"""),15)</f>
        <v>15</v>
      </c>
      <c r="AC157" s="12">
        <f ca="1">IFERROR(__xludf.DUMMYFUNCTION("""COMPUTED_VALUE"""),2)</f>
        <v>2</v>
      </c>
      <c r="AD157" s="12"/>
      <c r="AE157" s="12"/>
      <c r="AF157" s="12">
        <f ca="1">IFERROR(__xludf.DUMMYFUNCTION("""COMPUTED_VALUE"""),2)</f>
        <v>2</v>
      </c>
      <c r="AG157" s="13" t="str">
        <f ca="1">IFERROR(__xludf.DUMMYFUNCTION("ArrayFormula(VLOOKUP(G157, IMPORTRANGE(""https://docs.google.com/spreadsheets/d/1Co934fvtviyaRiMsrIlT05Jaq7iiYq07aLvRr35KA48/edit?gid=173865642#gid=173865642"", ""'G6_Maths_Pri_LU'!G2:V2000""), {3, 4, 5, 6, 7, 8, 9, 10, 11, 12, 13, 14, 15, 16}, 0))"),"LU000104")</f>
        <v>LU000104</v>
      </c>
      <c r="AH157" s="13" t="str">
        <f ca="1">IFERROR(__xludf.DUMMYFUNCTION("""COMPUTED_VALUE"""),"Area of a rectangle using everyday objects")</f>
        <v>Area of a rectangle using everyday objects</v>
      </c>
      <c r="AI157" s="13" t="str">
        <f ca="1">IFERROR(__xludf.DUMMYFUNCTION("""COMPUTED_VALUE"""),"LU000108")</f>
        <v>LU000108</v>
      </c>
      <c r="AJ157" s="13" t="str">
        <f ca="1">IFERROR(__xludf.DUMMYFUNCTION("""COMPUTED_VALUE"""),"Area of a square using everyday objects")</f>
        <v>Area of a square using everyday objects</v>
      </c>
      <c r="AK157" s="13" t="str">
        <f ca="1">IFERROR(__xludf.DUMMYFUNCTION("""COMPUTED_VALUE"""),"LU000030")</f>
        <v>LU000030</v>
      </c>
      <c r="AL157" s="13" t="str">
        <f ca="1">IFERROR(__xludf.DUMMYFUNCTION("""COMPUTED_VALUE"""),"Definition of area")</f>
        <v>Definition of area</v>
      </c>
      <c r="AM157" s="13" t="str">
        <f ca="1">IFERROR(__xludf.DUMMYFUNCTION("""COMPUTED_VALUE"""),"LU000012")</f>
        <v>LU000012</v>
      </c>
      <c r="AN157" s="13" t="str">
        <f ca="1">IFERROR(__xludf.DUMMYFUNCTION("""COMPUTED_VALUE"""),"Definition of a closed shape")</f>
        <v>Definition of a closed shape</v>
      </c>
      <c r="AO157" s="13"/>
      <c r="AP157" s="13"/>
      <c r="AQ157" s="13"/>
      <c r="AR157" s="13"/>
      <c r="AS157" s="13"/>
      <c r="AT157" s="13"/>
    </row>
    <row r="158" spans="1:46">
      <c r="A158" s="8" t="s">
        <v>247</v>
      </c>
      <c r="B158" s="8" t="s">
        <v>47</v>
      </c>
      <c r="C158" s="8" t="s">
        <v>48</v>
      </c>
      <c r="D158" s="8" t="s">
        <v>49</v>
      </c>
      <c r="E158" s="8" t="s">
        <v>386</v>
      </c>
      <c r="F158" s="8" t="s">
        <v>389</v>
      </c>
      <c r="G158" s="8" t="s">
        <v>159</v>
      </c>
      <c r="H158" s="8" t="str">
        <f ca="1">IFERROR(__xludf.DUMMYFUNCTION("VLOOKUP(G158, IMPORTRANGE(""https://docs.google.com/spreadsheets/d/14deopnvwcrKtEGCKuYXdUHJbeLDZlkiSSWWT0g7x2pM/edit#gid=999382323"", ""LU List Maths (Filter)!A:B""), 2, FALSE)"),"Area of a rectangle using formula")</f>
        <v>Area of a rectangle using formula</v>
      </c>
      <c r="I158" s="10" t="str">
        <f t="shared" si="0"/>
        <v>LU000327.001</v>
      </c>
      <c r="J158" s="10" t="str">
        <f ca="1">IFERROR(__xludf.DUMMYFUNCTION("VLOOKUP(I158, IMPORTRANGE(""https://docs.google.com/spreadsheets/d/1yDAaXNsi4Mr5FtRQL4tbmSdIzhx6_m4wkOD7IG-k_eo/edit#gid=0"", ""Maths!M:N""), 2, FALSE)"),"Recall the formula for calculating the area of a rectangle.")</f>
        <v>Recall the formula for calculating the area of a rectangle.</v>
      </c>
      <c r="K158" s="10" t="str">
        <f t="shared" si="1"/>
        <v>LU000327.002</v>
      </c>
      <c r="L158" s="10" t="str">
        <f ca="1">IFERROR(__xludf.DUMMYFUNCTION("VLOOKUP(K158, IMPORTRANGE(""https://docs.google.com/spreadsheets/d/1yDAaXNsi4Mr5FtRQL4tbmSdIzhx6_m4wkOD7IG-k_eo/edit#gid=0"", ""Maths!M:N""), 2, FALSE)"),"Find the area of a rectangle using its formula.")</f>
        <v>Find the area of a rectangle using its formula.</v>
      </c>
      <c r="M158" s="10" t="str">
        <f t="shared" si="2"/>
        <v>LU000327.003</v>
      </c>
      <c r="N158" s="10" t="str">
        <f ca="1">IFERROR(__xludf.DUMMYFUNCTION("VLOOKUP(M158, IMPORTRANGE(""https://docs.google.com/spreadsheets/d/1yDAaXNsi4Mr5FtRQL4tbmSdIzhx6_m4wkOD7IG-k_eo/edit#gid=0"", ""Maths!M:N""), 2, FALSE)"),"Solve word problems involving the area of a rectangle.")</f>
        <v>Solve word problems involving the area of a rectangle.</v>
      </c>
      <c r="O158" s="10" t="str">
        <f t="shared" si="3"/>
        <v>LU000327.004</v>
      </c>
      <c r="P158" s="10" t="str">
        <f ca="1">IFERROR(__xludf.DUMMYFUNCTION("VLOOKUP(O158, IMPORTRANGE(""https://docs.google.com/spreadsheets/d/1yDAaXNsi4Mr5FtRQL4tbmSdIzhx6_m4wkOD7IG-k_eo/edit#gid=0"", ""Maths!M:N""), 2, FALSE)"),"Determine the unknown side if the area and one side of the rectangle is given.")</f>
        <v>Determine the unknown side if the area and one side of the rectangle is given.</v>
      </c>
      <c r="Q158" s="10" t="str">
        <f t="shared" si="4"/>
        <v>LU000327.005</v>
      </c>
      <c r="R158" s="10" t="str">
        <f ca="1">IFERROR(__xludf.DUMMYFUNCTION("VLOOKUP(Q158, IMPORTRANGE(""https://docs.google.com/spreadsheets/d/1yDAaXNsi4Mr5FtRQL4tbmSdIzhx6_m4wkOD7IG-k_eo/edit#gid=0"", ""Maths!M:N""), 2, FALSE)"),"Find the rectangle with the smallest perimeter by comparing rectangles with the same area but different perimeters.")</f>
        <v>Find the rectangle with the smallest perimeter by comparing rectangles with the same area but different perimeters.</v>
      </c>
      <c r="S158" s="10" t="str">
        <f t="shared" si="5"/>
        <v>LU000327.006</v>
      </c>
      <c r="T158" s="10" t="str">
        <f ca="1">IFERROR(__xludf.DUMMYFUNCTION("VLOOKUP(S158, IMPORTRANGE(""https://docs.google.com/spreadsheets/d/1yDAaXNsi4Mr5FtRQL4tbmSdIzhx6_m4wkOD7IG-k_eo/edit#gid=0"", ""Maths!M:N""), 2, FALSE)"),"#N/A")</f>
        <v>#N/A</v>
      </c>
      <c r="U158" s="11">
        <f ca="1">IFERROR(__xludf.DUMMYFUNCTION("ArrayFormula(VLOOKUP(G158, IMPORTRANGE(""https://docs.google.com/spreadsheets/d/1p7R4vtkWt5VOBim4ltsDG9KTzSjrtKXsMtQGXPHyND0/edit#gid=795171502"", ""'Filter 30_05_2024'!A1:M2000""), {2, 3, 4, 5,6,7,8,9,10,11,12,13}, 0))"),7)</f>
        <v>7</v>
      </c>
      <c r="V158" s="11">
        <f ca="1">IFERROR(__xludf.DUMMYFUNCTION("""COMPUTED_VALUE"""),12)</f>
        <v>12</v>
      </c>
      <c r="W158" s="11">
        <f ca="1">IFERROR(__xludf.DUMMYFUNCTION("""COMPUTED_VALUE"""),3)</f>
        <v>3</v>
      </c>
      <c r="X158" s="11">
        <f ca="1">IFERROR(__xludf.DUMMYFUNCTION("""COMPUTED_VALUE"""),22)</f>
        <v>22</v>
      </c>
      <c r="Y158" s="11">
        <f ca="1">IFERROR(__xludf.DUMMYFUNCTION("""COMPUTED_VALUE"""),9)</f>
        <v>9</v>
      </c>
      <c r="Z158" s="29">
        <f ca="1">IFERROR(__xludf.DUMMYFUNCTION("""COMPUTED_VALUE"""),4)</f>
        <v>4</v>
      </c>
      <c r="AA158" s="29">
        <f ca="1">IFERROR(__xludf.DUMMYFUNCTION("""COMPUTED_VALUE"""),1)</f>
        <v>1</v>
      </c>
      <c r="AB158" s="12">
        <f ca="1">IFERROR(__xludf.DUMMYFUNCTION("""COMPUTED_VALUE"""),14)</f>
        <v>14</v>
      </c>
      <c r="AC158" s="12"/>
      <c r="AD158" s="12"/>
      <c r="AE158" s="12"/>
      <c r="AF158" s="12"/>
      <c r="AG158" s="13" t="str">
        <f ca="1">IFERROR(__xludf.DUMMYFUNCTION("ArrayFormula(VLOOKUP(G158, IMPORTRANGE(""https://docs.google.com/spreadsheets/d/1Co934fvtviyaRiMsrIlT05Jaq7iiYq07aLvRr35KA48/edit?gid=173865642#gid=173865642"", ""'G6_Maths_Pri_LU'!G2:V2000""), {3, 4, 5, 6, 7, 8, 9, 10, 11, 12, 13, 14, 15, 16}, 0))"),"LU000324")</f>
        <v>LU000324</v>
      </c>
      <c r="AH158" s="13" t="str">
        <f ca="1">IFERROR(__xludf.DUMMYFUNCTION("""COMPUTED_VALUE"""),"Perimeter of a rectangle using formula")</f>
        <v>Perimeter of a rectangle using formula</v>
      </c>
      <c r="AI158" s="13" t="str">
        <f ca="1">IFERROR(__xludf.DUMMYFUNCTION("""COMPUTED_VALUE"""),"LU000326")</f>
        <v>LU000326</v>
      </c>
      <c r="AJ158" s="13" t="str">
        <f ca="1">IFERROR(__xludf.DUMMYFUNCTION("""COMPUTED_VALUE"""),"Area of closed figures using graph paper or square grid method")</f>
        <v>Area of closed figures using graph paper or square grid method</v>
      </c>
      <c r="AK158" s="13" t="str">
        <f ca="1">IFERROR(__xludf.DUMMYFUNCTION("""COMPUTED_VALUE"""),"LU000104")</f>
        <v>LU000104</v>
      </c>
      <c r="AL158" s="13" t="str">
        <f ca="1">IFERROR(__xludf.DUMMYFUNCTION("""COMPUTED_VALUE"""),"Area of a rectangle using everyday objects")</f>
        <v>Area of a rectangle using everyday objects</v>
      </c>
      <c r="AM158" s="13" t="str">
        <f ca="1">IFERROR(__xludf.DUMMYFUNCTION("""COMPUTED_VALUE"""),"LU000597")</f>
        <v>LU000597</v>
      </c>
      <c r="AN158" s="13" t="str">
        <f ca="1">IFERROR(__xludf.DUMMYFUNCTION("""COMPUTED_VALUE"""),"Definition of rectangle")</f>
        <v>Definition of rectangle</v>
      </c>
      <c r="AO158" s="13" t="str">
        <f ca="1">IFERROR(__xludf.DUMMYFUNCTION("""COMPUTED_VALUE"""),"LU000030")</f>
        <v>LU000030</v>
      </c>
      <c r="AP158" s="13" t="str">
        <f ca="1">IFERROR(__xludf.DUMMYFUNCTION("""COMPUTED_VALUE"""),"Definition of area")</f>
        <v>Definition of area</v>
      </c>
      <c r="AQ158" s="13"/>
      <c r="AR158" s="13"/>
      <c r="AS158" s="13"/>
      <c r="AT158" s="13"/>
    </row>
    <row r="159" spans="1:46">
      <c r="A159" s="8" t="s">
        <v>247</v>
      </c>
      <c r="B159" s="8" t="s">
        <v>47</v>
      </c>
      <c r="C159" s="8" t="s">
        <v>48</v>
      </c>
      <c r="D159" s="8" t="s">
        <v>49</v>
      </c>
      <c r="E159" s="8" t="s">
        <v>386</v>
      </c>
      <c r="F159" s="8" t="s">
        <v>389</v>
      </c>
      <c r="G159" s="8" t="s">
        <v>160</v>
      </c>
      <c r="H159" s="8" t="str">
        <f ca="1">IFERROR(__xludf.DUMMYFUNCTION("VLOOKUP(G159, IMPORTRANGE(""https://docs.google.com/spreadsheets/d/14deopnvwcrKtEGCKuYXdUHJbeLDZlkiSSWWT0g7x2pM/edit#gid=999382323"", ""LU List Maths (Filter)!A:B""), 2, FALSE)"),"Area of a square using formula")</f>
        <v>Area of a square using formula</v>
      </c>
      <c r="I159" s="10" t="str">
        <f t="shared" si="0"/>
        <v>LU000328.001</v>
      </c>
      <c r="J159" s="10" t="str">
        <f ca="1">IFERROR(__xludf.DUMMYFUNCTION("VLOOKUP(I159, IMPORTRANGE(""https://docs.google.com/spreadsheets/d/1yDAaXNsi4Mr5FtRQL4tbmSdIzhx6_m4wkOD7IG-k_eo/edit#gid=0"", ""Maths!M:N""), 2, FALSE)"),"Recall the formula for calculating the area of a square.")</f>
        <v>Recall the formula for calculating the area of a square.</v>
      </c>
      <c r="K159" s="10" t="str">
        <f t="shared" si="1"/>
        <v>LU000328.002</v>
      </c>
      <c r="L159" s="10" t="str">
        <f ca="1">IFERROR(__xludf.DUMMYFUNCTION("VLOOKUP(K159, IMPORTRANGE(""https://docs.google.com/spreadsheets/d/1yDAaXNsi4Mr5FtRQL4tbmSdIzhx6_m4wkOD7IG-k_eo/edit#gid=0"", ""Maths!M:N""), 2, FALSE)"),"Find the area of a square.")</f>
        <v>Find the area of a square.</v>
      </c>
      <c r="M159" s="10" t="str">
        <f t="shared" si="2"/>
        <v>LU000328.003</v>
      </c>
      <c r="N159" s="10" t="str">
        <f ca="1">IFERROR(__xludf.DUMMYFUNCTION("VLOOKUP(M159, IMPORTRANGE(""https://docs.google.com/spreadsheets/d/1yDAaXNsi4Mr5FtRQL4tbmSdIzhx6_m4wkOD7IG-k_eo/edit#gid=0"", ""Maths!M:N""), 2, FALSE)"),"Solve word problems involving the area of a square.")</f>
        <v>Solve word problems involving the area of a square.</v>
      </c>
      <c r="O159" s="10" t="str">
        <f t="shared" si="3"/>
        <v>LU000328.004</v>
      </c>
      <c r="P159" s="10" t="str">
        <f ca="1">IFERROR(__xludf.DUMMYFUNCTION("VLOOKUP(O159, IMPORTRANGE(""https://docs.google.com/spreadsheets/d/1yDAaXNsi4Mr5FtRQL4tbmSdIzhx6_m4wkOD7IG-k_eo/edit#gid=0"", ""Maths!M:N""), 2, FALSE)"),"Determine the unknown side if the area of the square is given.")</f>
        <v>Determine the unknown side if the area of the square is given.</v>
      </c>
      <c r="Q159" s="10" t="str">
        <f t="shared" si="4"/>
        <v>LU000328.005</v>
      </c>
      <c r="R159" s="10" t="str">
        <f ca="1">IFERROR(__xludf.DUMMYFUNCTION("VLOOKUP(Q159, IMPORTRANGE(""https://docs.google.com/spreadsheets/d/1yDAaXNsi4Mr5FtRQL4tbmSdIzhx6_m4wkOD7IG-k_eo/edit#gid=0"", ""Maths!M:N""), 2, FALSE)"),"Calculate the area of the given figures by the splitting the figures into squares and/or rectangles.")</f>
        <v>Calculate the area of the given figures by the splitting the figures into squares and/or rectangles.</v>
      </c>
      <c r="S159" s="10" t="str">
        <f t="shared" si="5"/>
        <v>LU000328.006</v>
      </c>
      <c r="T159" s="10" t="str">
        <f ca="1">IFERROR(__xludf.DUMMYFUNCTION("VLOOKUP(S159, IMPORTRANGE(""https://docs.google.com/spreadsheets/d/1yDAaXNsi4Mr5FtRQL4tbmSdIzhx6_m4wkOD7IG-k_eo/edit#gid=0"", ""Maths!M:N""), 2, FALSE)"),"#N/A")</f>
        <v>#N/A</v>
      </c>
      <c r="U159" s="11">
        <f ca="1">IFERROR(__xludf.DUMMYFUNCTION("ArrayFormula(VLOOKUP(G159, IMPORTRANGE(""https://docs.google.com/spreadsheets/d/1p7R4vtkWt5VOBim4ltsDG9KTzSjrtKXsMtQGXPHyND0/edit#gid=795171502"", ""'Filter 30_05_2024'!A1:M2000""), {2, 3, 4, 5,6,7,8,9,10,11,12,13}, 0))"),13)</f>
        <v>13</v>
      </c>
      <c r="V159" s="11">
        <f ca="1">IFERROR(__xludf.DUMMYFUNCTION("""COMPUTED_VALUE"""),9)</f>
        <v>9</v>
      </c>
      <c r="W159" s="11">
        <f ca="1">IFERROR(__xludf.DUMMYFUNCTION("""COMPUTED_VALUE"""),2)</f>
        <v>2</v>
      </c>
      <c r="X159" s="11">
        <f ca="1">IFERROR(__xludf.DUMMYFUNCTION("""COMPUTED_VALUE"""),24)</f>
        <v>24</v>
      </c>
      <c r="Y159" s="11">
        <f ca="1">IFERROR(__xludf.DUMMYFUNCTION("""COMPUTED_VALUE"""),9)</f>
        <v>9</v>
      </c>
      <c r="Z159" s="29">
        <f ca="1">IFERROR(__xludf.DUMMYFUNCTION("""COMPUTED_VALUE"""),4)</f>
        <v>4</v>
      </c>
      <c r="AA159" s="29">
        <f ca="1">IFERROR(__xludf.DUMMYFUNCTION("""COMPUTED_VALUE"""),1)</f>
        <v>1</v>
      </c>
      <c r="AB159" s="12">
        <f ca="1">IFERROR(__xludf.DUMMYFUNCTION("""COMPUTED_VALUE"""),14)</f>
        <v>14</v>
      </c>
      <c r="AC159" s="12"/>
      <c r="AD159" s="12"/>
      <c r="AE159" s="12"/>
      <c r="AF159" s="12"/>
      <c r="AG159" s="13" t="str">
        <f ca="1">IFERROR(__xludf.DUMMYFUNCTION("ArrayFormula(VLOOKUP(G159, IMPORTRANGE(""https://docs.google.com/spreadsheets/d/1Co934fvtviyaRiMsrIlT05Jaq7iiYq07aLvRr35KA48/edit?gid=173865642#gid=173865642"", ""'G6_Maths_Pri_LU'!G2:V2000""), {3, 4, 5, 6, 7, 8, 9, 10, 11, 12, 13, 14, 15, 16}, 0))"),"LU001356")</f>
        <v>LU001356</v>
      </c>
      <c r="AH159" s="13" t="str">
        <f ca="1">IFERROR(__xludf.DUMMYFUNCTION("""COMPUTED_VALUE"""),"Perimeter of a square using formula")</f>
        <v>Perimeter of a square using formula</v>
      </c>
      <c r="AI159" s="13" t="str">
        <f ca="1">IFERROR(__xludf.DUMMYFUNCTION("""COMPUTED_VALUE"""),"LU000326")</f>
        <v>LU000326</v>
      </c>
      <c r="AJ159" s="13" t="str">
        <f ca="1">IFERROR(__xludf.DUMMYFUNCTION("""COMPUTED_VALUE"""),"Area of closed figures using graph paper or square grid method")</f>
        <v>Area of closed figures using graph paper or square grid method</v>
      </c>
      <c r="AK159" s="13" t="str">
        <f ca="1">IFERROR(__xludf.DUMMYFUNCTION("""COMPUTED_VALUE"""),"LU000108")</f>
        <v>LU000108</v>
      </c>
      <c r="AL159" s="13" t="str">
        <f ca="1">IFERROR(__xludf.DUMMYFUNCTION("""COMPUTED_VALUE"""),"Area of a square using everyday objects")</f>
        <v>Area of a square using everyday objects</v>
      </c>
      <c r="AM159" s="13" t="str">
        <f ca="1">IFERROR(__xludf.DUMMYFUNCTION("""COMPUTED_VALUE"""),"LU000598")</f>
        <v>LU000598</v>
      </c>
      <c r="AN159" s="13" t="str">
        <f ca="1">IFERROR(__xludf.DUMMYFUNCTION("""COMPUTED_VALUE"""),"Definition of square")</f>
        <v>Definition of square</v>
      </c>
      <c r="AO159" s="13" t="str">
        <f ca="1">IFERROR(__xludf.DUMMYFUNCTION("""COMPUTED_VALUE"""),"LU000030")</f>
        <v>LU000030</v>
      </c>
      <c r="AP159" s="13" t="str">
        <f ca="1">IFERROR(__xludf.DUMMYFUNCTION("""COMPUTED_VALUE"""),"Definition of area")</f>
        <v>Definition of area</v>
      </c>
      <c r="AQ159" s="13"/>
      <c r="AR159" s="13"/>
      <c r="AS159" s="13"/>
      <c r="AT159" s="13"/>
    </row>
    <row r="160" spans="1:46">
      <c r="A160" s="8" t="s">
        <v>247</v>
      </c>
      <c r="B160" s="8" t="s">
        <v>47</v>
      </c>
      <c r="C160" s="8" t="s">
        <v>48</v>
      </c>
      <c r="D160" s="8" t="s">
        <v>49</v>
      </c>
      <c r="E160" s="8" t="s">
        <v>386</v>
      </c>
      <c r="F160" s="8" t="s">
        <v>161</v>
      </c>
      <c r="G160" s="8" t="s">
        <v>162</v>
      </c>
      <c r="H160" s="8" t="str">
        <f ca="1">IFERROR(__xludf.DUMMYFUNCTION("VLOOKUP(G160, IMPORTRANGE(""https://docs.google.com/spreadsheets/d/14deopnvwcrKtEGCKuYXdUHJbeLDZlkiSSWWT0g7x2pM/edit#gid=999382323"", ""LU List Maths (Filter)!A:B""), 2, FALSE)"),"Area of a composite shape (made of more than one basic geometrical shapes)")</f>
        <v>Area of a composite shape (made of more than one basic geometrical shapes)</v>
      </c>
      <c r="I160" s="10" t="str">
        <f t="shared" si="0"/>
        <v>LU000926.001</v>
      </c>
      <c r="J160" s="10" t="str">
        <f ca="1">IFERROR(__xludf.DUMMYFUNCTION("VLOOKUP(I160, IMPORTRANGE(""https://docs.google.com/spreadsheets/d/1yDAaXNsi4Mr5FtRQL4tbmSdIzhx6_m4wkOD7IG-k_eo/edit#gid=0"", ""Maths!M:N""), 2, FALSE)"),"Recall the method for finding the area of composite shapes made from basic geometrical shapes.")</f>
        <v>Recall the method for finding the area of composite shapes made from basic geometrical shapes.</v>
      </c>
      <c r="K160" s="10" t="str">
        <f t="shared" si="1"/>
        <v>LU000926.002</v>
      </c>
      <c r="L160" s="10" t="str">
        <f ca="1">IFERROR(__xludf.DUMMYFUNCTION("VLOOKUP(K160, IMPORTRANGE(""https://docs.google.com/spreadsheets/d/1yDAaXNsi4Mr5FtRQL4tbmSdIzhx6_m4wkOD7IG-k_eo/edit#gid=0"", ""Maths!M:N""), 2, FALSE)"),"Explain the concept of composite shapes and how they are formed by combining basic geometrical shapes.")</f>
        <v>Explain the concept of composite shapes and how they are formed by combining basic geometrical shapes.</v>
      </c>
      <c r="M160" s="10" t="str">
        <f t="shared" si="2"/>
        <v>LU000926.003</v>
      </c>
      <c r="N160" s="10" t="str">
        <f ca="1">IFERROR(__xludf.DUMMYFUNCTION("VLOOKUP(M160, IMPORTRANGE(""https://docs.google.com/spreadsheets/d/1yDAaXNsi4Mr5FtRQL4tbmSdIzhx6_m4wkOD7IG-k_eo/edit#gid=0"", ""Maths!M:N""), 2, FALSE)"),"Apply the appropriate area formulas for individual shapes to calculate the total area of a composite shape.")</f>
        <v>Apply the appropriate area formulas for individual shapes to calculate the total area of a composite shape.</v>
      </c>
      <c r="O160" s="10" t="str">
        <f t="shared" si="3"/>
        <v>LU000926.004</v>
      </c>
      <c r="P160" s="10" t="str">
        <f ca="1">IFERROR(__xludf.DUMMYFUNCTION("VLOOKUP(O160, IMPORTRANGE(""https://docs.google.com/spreadsheets/d/1yDAaXNsi4Mr5FtRQL4tbmSdIzhx6_m4wkOD7IG-k_eo/edit#gid=0"", ""Maths!M:N""), 2, FALSE)"),"Analyze the decomposition of a composite shape into basic geometrical shapes for area calculation.")</f>
        <v>Analyze the decomposition of a composite shape into basic geometrical shapes for area calculation.</v>
      </c>
      <c r="Q160" s="10" t="str">
        <f t="shared" si="4"/>
        <v>LU000926.005</v>
      </c>
      <c r="R160" s="10" t="str">
        <f ca="1">IFERROR(__xludf.DUMMYFUNCTION("VLOOKUP(Q160, IMPORTRANGE(""https://docs.google.com/spreadsheets/d/1yDAaXNsi4Mr5FtRQL4tbmSdIzhx6_m4wkOD7IG-k_eo/edit#gid=0"", ""Maths!M:N""), 2, FALSE)"),"Evaluate the accuracy of solutions to area problems involving composite shapes.")</f>
        <v>Evaluate the accuracy of solutions to area problems involving composite shapes.</v>
      </c>
      <c r="S160" s="10" t="str">
        <f t="shared" si="5"/>
        <v>LU000926.006</v>
      </c>
      <c r="T160" s="10" t="str">
        <f ca="1">IFERROR(__xludf.DUMMYFUNCTION("VLOOKUP(S160, IMPORTRANGE(""https://docs.google.com/spreadsheets/d/1yDAaXNsi4Mr5FtRQL4tbmSdIzhx6_m4wkOD7IG-k_eo/edit#gid=0"", ""Maths!M:N""), 2, FALSE)"),"Create a real-world scenario where finding the area of composite shapes is crucial")</f>
        <v>Create a real-world scenario where finding the area of composite shapes is crucial</v>
      </c>
      <c r="U160" s="11">
        <f ca="1">IFERROR(__xludf.DUMMYFUNCTION("ArrayFormula(VLOOKUP(G160, IMPORTRANGE(""https://docs.google.com/spreadsheets/d/1p7R4vtkWt5VOBim4ltsDG9KTzSjrtKXsMtQGXPHyND0/edit#gid=795171502"", ""'Filter 30_05_2024'!A1:M2000""), {2, 3, 4, 5,6,7,8,9,10,11,12,13}, 0))"),5)</f>
        <v>5</v>
      </c>
      <c r="V160" s="11">
        <f ca="1">IFERROR(__xludf.DUMMYFUNCTION("""COMPUTED_VALUE"""),6)</f>
        <v>6</v>
      </c>
      <c r="W160" s="11">
        <f ca="1">IFERROR(__xludf.DUMMYFUNCTION("""COMPUTED_VALUE"""),3)</f>
        <v>3</v>
      </c>
      <c r="X160" s="11">
        <f ca="1">IFERROR(__xludf.DUMMYFUNCTION("""COMPUTED_VALUE"""),14)</f>
        <v>14</v>
      </c>
      <c r="Y160" s="11">
        <f ca="1">IFERROR(__xludf.DUMMYFUNCTION("""COMPUTED_VALUE"""),4)</f>
        <v>4</v>
      </c>
      <c r="Z160" s="29">
        <f ca="1">IFERROR(__xludf.DUMMYFUNCTION("""COMPUTED_VALUE"""),3)</f>
        <v>3</v>
      </c>
      <c r="AA160" s="29">
        <f ca="1">IFERROR(__xludf.DUMMYFUNCTION("""COMPUTED_VALUE"""),1)</f>
        <v>1</v>
      </c>
      <c r="AB160" s="12">
        <f ca="1">IFERROR(__xludf.DUMMYFUNCTION("""COMPUTED_VALUE"""),8)</f>
        <v>8</v>
      </c>
      <c r="AC160" s="12"/>
      <c r="AD160" s="12"/>
      <c r="AE160" s="12"/>
      <c r="AF160" s="12"/>
      <c r="AG160" s="13" t="str">
        <f ca="1">IFERROR(__xludf.DUMMYFUNCTION("ArrayFormula(VLOOKUP(G160, IMPORTRANGE(""https://docs.google.com/spreadsheets/d/1Co934fvtviyaRiMsrIlT05Jaq7iiYq07aLvRr35KA48/edit?gid=173865642#gid=173865642"", ""'G6_Maths_Pri_LU'!G2:V2000""), {3, 4, 5, 6, 7, 8, 9, 10, 11, 12, 13, 14, 15, 16}, 0))"),"LU000327")</f>
        <v>LU000327</v>
      </c>
      <c r="AH160" s="13" t="str">
        <f ca="1">IFERROR(__xludf.DUMMYFUNCTION("""COMPUTED_VALUE"""),"Area of a rectangle using formula")</f>
        <v>Area of a rectangle using formula</v>
      </c>
      <c r="AI160" s="13" t="str">
        <f ca="1">IFERROR(__xludf.DUMMYFUNCTION("""COMPUTED_VALUE"""),"LU000328")</f>
        <v>LU000328</v>
      </c>
      <c r="AJ160" s="13" t="str">
        <f ca="1">IFERROR(__xludf.DUMMYFUNCTION("""COMPUTED_VALUE"""),"Area of a square using formula")</f>
        <v>Area of a square using formula</v>
      </c>
      <c r="AK160" s="13" t="str">
        <f ca="1">IFERROR(__xludf.DUMMYFUNCTION("""COMPUTED_VALUE"""),"LU000324")</f>
        <v>LU000324</v>
      </c>
      <c r="AL160" s="13" t="str">
        <f ca="1">IFERROR(__xludf.DUMMYFUNCTION("""COMPUTED_VALUE"""),"Perimeter of a rectangle using formula")</f>
        <v>Perimeter of a rectangle using formula</v>
      </c>
      <c r="AM160" s="13" t="str">
        <f ca="1">IFERROR(__xludf.DUMMYFUNCTION("""COMPUTED_VALUE"""),"LU001356")</f>
        <v>LU001356</v>
      </c>
      <c r="AN160" s="13" t="str">
        <f ca="1">IFERROR(__xludf.DUMMYFUNCTION("""COMPUTED_VALUE"""),"Perimeter of a square using formula")</f>
        <v>Perimeter of a square using formula</v>
      </c>
      <c r="AO160" s="13" t="str">
        <f ca="1">IFERROR(__xludf.DUMMYFUNCTION("""COMPUTED_VALUE"""),"LU000030")</f>
        <v>LU000030</v>
      </c>
      <c r="AP160" s="13" t="str">
        <f ca="1">IFERROR(__xludf.DUMMYFUNCTION("""COMPUTED_VALUE"""),"Definition of area")</f>
        <v>Definition of area</v>
      </c>
      <c r="AQ160" s="13"/>
      <c r="AR160" s="13"/>
      <c r="AS160" s="13"/>
      <c r="AT160" s="13"/>
    </row>
    <row r="161" spans="1:46">
      <c r="A161" s="8" t="s">
        <v>247</v>
      </c>
      <c r="B161" s="8" t="s">
        <v>47</v>
      </c>
      <c r="C161" s="8" t="s">
        <v>48</v>
      </c>
      <c r="D161" s="8" t="s">
        <v>49</v>
      </c>
      <c r="E161" s="8" t="s">
        <v>390</v>
      </c>
      <c r="F161" s="8" t="s">
        <v>391</v>
      </c>
      <c r="G161" s="8" t="s">
        <v>392</v>
      </c>
      <c r="H161" s="8" t="str">
        <f ca="1">IFERROR(__xludf.DUMMYFUNCTION("VLOOKUP(G161, IMPORTRANGE(""https://docs.google.com/spreadsheets/d/14deopnvwcrKtEGCKuYXdUHJbeLDZlkiSSWWT0g7x2pM/edit#gid=999382323"", ""LU List Maths (Filter)!A:B""), 2, FALSE)"),"Definition of variable and constant")</f>
        <v>Definition of variable and constant</v>
      </c>
      <c r="I161" s="10" t="str">
        <f t="shared" si="0"/>
        <v>LU000330.001</v>
      </c>
      <c r="J161" s="10" t="str">
        <f ca="1">IFERROR(__xludf.DUMMYFUNCTION("VLOOKUP(I161, IMPORTRANGE(""https://docs.google.com/spreadsheets/d/1yDAaXNsi4Mr5FtRQL4tbmSdIzhx6_m4wkOD7IG-k_eo/edit#gid=0"", ""Maths!M:N""), 2, FALSE)"),"Recall the definition of variables and constants.")</f>
        <v>Recall the definition of variables and constants.</v>
      </c>
      <c r="K161" s="10" t="str">
        <f t="shared" si="1"/>
        <v>LU000330.002</v>
      </c>
      <c r="L161" s="10" t="str">
        <f ca="1">IFERROR(__xludf.DUMMYFUNCTION("VLOOKUP(K161, IMPORTRANGE(""https://docs.google.com/spreadsheets/d/1yDAaXNsi4Mr5FtRQL4tbmSdIzhx6_m4wkOD7IG-k_eo/edit#gid=0"", ""Maths!M:N""), 2, FALSE)"),"List the examples of variables and constants.")</f>
        <v>List the examples of variables and constants.</v>
      </c>
      <c r="M161" s="10" t="str">
        <f t="shared" si="2"/>
        <v>LU000330.003</v>
      </c>
      <c r="N161" s="10" t="str">
        <f ca="1">IFERROR(__xludf.DUMMYFUNCTION("VLOOKUP(M161, IMPORTRANGE(""https://docs.google.com/spreadsheets/d/1yDAaXNsi4Mr5FtRQL4tbmSdIzhx6_m4wkOD7IG-k_eo/edit#gid=0"", ""Maths!M:N""), 2, FALSE)"),"Differences between variables and constants.")</f>
        <v>Differences between variables and constants.</v>
      </c>
      <c r="O161" s="10" t="str">
        <f t="shared" si="3"/>
        <v>LU000330.004</v>
      </c>
      <c r="P161" s="10" t="str">
        <f ca="1">IFERROR(__xludf.DUMMYFUNCTION("VLOOKUP(O161, IMPORTRANGE(""https://docs.google.com/spreadsheets/d/1yDAaXNsi4Mr5FtRQL4tbmSdIzhx6_m4wkOD7IG-k_eo/edit#gid=0"", ""Maths!M:N""), 2, FALSE)"),"Examine the role of variables in representing changing quantities and relationships in algebraic contexts.")</f>
        <v>Examine the role of variables in representing changing quantities and relationships in algebraic contexts.</v>
      </c>
      <c r="Q161" s="10" t="str">
        <f t="shared" si="4"/>
        <v>LU000330.005</v>
      </c>
      <c r="R161" s="10" t="str">
        <f ca="1">IFERROR(__xludf.DUMMYFUNCTION("VLOOKUP(Q161, IMPORTRANGE(""https://docs.google.com/spreadsheets/d/1yDAaXNsi4Mr5FtRQL4tbmSdIzhx6_m4wkOD7IG-k_eo/edit#gid=0"", ""Maths!M:N""), 2, FALSE)"),"Assess the effectiveness of using variables in solving problems and representing changing quantities.")</f>
        <v>Assess the effectiveness of using variables in solving problems and representing changing quantities.</v>
      </c>
      <c r="S161" s="10" t="str">
        <f t="shared" si="5"/>
        <v>LU000330.006</v>
      </c>
      <c r="T161" s="10" t="str">
        <f ca="1">IFERROR(__xludf.DUMMYFUNCTION("VLOOKUP(S161, IMPORTRANGE(""https://docs.google.com/spreadsheets/d/1yDAaXNsi4Mr5FtRQL4tbmSdIzhx6_m4wkOD7IG-k_eo/edit#gid=0"", ""Maths!M:N""), 2, FALSE)"),"Formulate scenarios where variables are used to represent changing values.")</f>
        <v>Formulate scenarios where variables are used to represent changing values.</v>
      </c>
      <c r="U161" s="11">
        <f ca="1">IFERROR(__xludf.DUMMYFUNCTION("ArrayFormula(VLOOKUP(G161, IMPORTRANGE(""https://docs.google.com/spreadsheets/d/1p7R4vtkWt5VOBim4ltsDG9KTzSjrtKXsMtQGXPHyND0/edit#gid=795171502"", ""'Filter 30_05_2024'!A1:M2000""), {2, 3, 4, 5,6,7,8,9,10,11,12,13}, 0))"),10)</f>
        <v>10</v>
      </c>
      <c r="V161" s="11">
        <f ca="1">IFERROR(__xludf.DUMMYFUNCTION("""COMPUTED_VALUE"""),6)</f>
        <v>6</v>
      </c>
      <c r="W161" s="11">
        <f ca="1">IFERROR(__xludf.DUMMYFUNCTION("""COMPUTED_VALUE"""),2)</f>
        <v>2</v>
      </c>
      <c r="X161" s="11">
        <f ca="1">IFERROR(__xludf.DUMMYFUNCTION("""COMPUTED_VALUE"""),18)</f>
        <v>18</v>
      </c>
      <c r="Y161" s="11">
        <f ca="1">IFERROR(__xludf.DUMMYFUNCTION("""COMPUTED_VALUE"""),6)</f>
        <v>6</v>
      </c>
      <c r="Z161" s="29">
        <f ca="1">IFERROR(__xludf.DUMMYFUNCTION("""COMPUTED_VALUE"""),4)</f>
        <v>4</v>
      </c>
      <c r="AA161" s="29">
        <f ca="1">IFERROR(__xludf.DUMMYFUNCTION("""COMPUTED_VALUE"""),1)</f>
        <v>1</v>
      </c>
      <c r="AB161" s="12">
        <f ca="1">IFERROR(__xludf.DUMMYFUNCTION("""COMPUTED_VALUE"""),11)</f>
        <v>11</v>
      </c>
      <c r="AC161" s="12"/>
      <c r="AD161" s="12"/>
      <c r="AE161" s="12"/>
      <c r="AF161" s="12"/>
      <c r="AG161" s="13" t="str">
        <f ca="1">IFERROR(__xludf.DUMMYFUNCTION("ArrayFormula(VLOOKUP(G161, IMPORTRANGE(""https://docs.google.com/spreadsheets/d/1Co934fvtviyaRiMsrIlT05Jaq7iiYq07aLvRr35KA48/edit?gid=173865642#gid=173865642"", ""'G6_Maths_Pri_LU'!G2:V2000""), {3, 4, 5, 6, 7, 8, 9, 10, 11, 12, 13, 14, 15, 16}, 0))"),"")</f>
        <v/>
      </c>
      <c r="AH161" s="13"/>
      <c r="AI161" s="13"/>
      <c r="AJ161" s="13"/>
      <c r="AK161" s="13"/>
      <c r="AL161" s="13"/>
      <c r="AM161" s="13"/>
      <c r="AN161" s="13"/>
      <c r="AO161" s="13"/>
      <c r="AP161" s="13"/>
      <c r="AQ161" s="13"/>
      <c r="AR161" s="13"/>
      <c r="AS161" s="13"/>
      <c r="AT161" s="13"/>
    </row>
    <row r="162" spans="1:46">
      <c r="A162" s="8" t="s">
        <v>247</v>
      </c>
      <c r="B162" s="8" t="s">
        <v>47</v>
      </c>
      <c r="C162" s="8" t="s">
        <v>48</v>
      </c>
      <c r="D162" s="8" t="s">
        <v>49</v>
      </c>
      <c r="E162" s="8" t="s">
        <v>390</v>
      </c>
      <c r="F162" s="8" t="s">
        <v>393</v>
      </c>
      <c r="G162" s="8" t="s">
        <v>394</v>
      </c>
      <c r="H162" s="8" t="str">
        <f ca="1">IFERROR(__xludf.DUMMYFUNCTION("VLOOKUP(G162, IMPORTRANGE(""https://docs.google.com/spreadsheets/d/14deopnvwcrKtEGCKuYXdUHJbeLDZlkiSSWWT0g7x2pM/edit#gid=999382323"", ""LU List Maths (Filter)!A:B""), 2, FALSE)"),"Generalization of number patterns using variables (e.g., 3n, 4m, 7z...)")</f>
        <v>Generalization of number patterns using variables (e.g., 3n, 4m, 7z...)</v>
      </c>
      <c r="I162" s="10" t="str">
        <f t="shared" si="0"/>
        <v>LU000936.001</v>
      </c>
      <c r="J162" s="10" t="str">
        <f ca="1">IFERROR(__xludf.DUMMYFUNCTION("VLOOKUP(I162, IMPORTRANGE(""https://docs.google.com/spreadsheets/d/1yDAaXNsi4Mr5FtRQL4tbmSdIzhx6_m4wkOD7IG-k_eo/edit#gid=0"", ""Maths!M:N""), 2, FALSE)"),"Recall the purpose of using variables to represent number patterns.")</f>
        <v>Recall the purpose of using variables to represent number patterns.</v>
      </c>
      <c r="K162" s="10" t="str">
        <f t="shared" si="1"/>
        <v>LU000936.002</v>
      </c>
      <c r="L162" s="10" t="str">
        <f ca="1">IFERROR(__xludf.DUMMYFUNCTION("VLOOKUP(K162, IMPORTRANGE(""https://docs.google.com/spreadsheets/d/1yDAaXNsi4Mr5FtRQL4tbmSdIzhx6_m4wkOD7IG-k_eo/edit#gid=0"", ""Maths!M:N""), 2, FALSE)"),"Explain how variables represent numbers in patterns.")</f>
        <v>Explain how variables represent numbers in patterns.</v>
      </c>
      <c r="M162" s="10" t="str">
        <f t="shared" si="2"/>
        <v>LU000936.003</v>
      </c>
      <c r="N162" s="10" t="str">
        <f ca="1">IFERROR(__xludf.DUMMYFUNCTION("VLOOKUP(M162, IMPORTRANGE(""https://docs.google.com/spreadsheets/d/1yDAaXNsi4Mr5FtRQL4tbmSdIzhx6_m4wkOD7IG-k_eo/edit#gid=0"", ""Maths!M:N""), 2, FALSE)"),"Use variables to form a rule for the given number pattern.")</f>
        <v>Use variables to form a rule for the given number pattern.</v>
      </c>
      <c r="O162" s="10" t="str">
        <f t="shared" si="3"/>
        <v>LU000936.004</v>
      </c>
      <c r="P162" s="10" t="str">
        <f ca="1">IFERROR(__xludf.DUMMYFUNCTION("VLOOKUP(O162, IMPORTRANGE(""https://docs.google.com/spreadsheets/d/1yDAaXNsi4Mr5FtRQL4tbmSdIzhx6_m4wkOD7IG-k_eo/edit#gid=0"", ""Maths!M:N""), 2, FALSE)"),"Examine number patterns to identify underlying rules.")</f>
        <v>Examine number patterns to identify underlying rules.</v>
      </c>
      <c r="Q162" s="10" t="str">
        <f t="shared" si="4"/>
        <v>LU000936.005</v>
      </c>
      <c r="R162" s="10" t="str">
        <f ca="1">IFERROR(__xludf.DUMMYFUNCTION("VLOOKUP(Q162, IMPORTRANGE(""https://docs.google.com/spreadsheets/d/1yDAaXNsi4Mr5FtRQL4tbmSdIzhx6_m4wkOD7IG-k_eo/edit#gid=0"", ""Maths!M:N""), 2, FALSE)"),"Compare different variable expressions for representing the number patterns.")</f>
        <v>Compare different variable expressions for representing the number patterns.</v>
      </c>
      <c r="S162" s="10" t="str">
        <f t="shared" si="5"/>
        <v>LU000936.006</v>
      </c>
      <c r="T162" s="10" t="str">
        <f ca="1">IFERROR(__xludf.DUMMYFUNCTION("VLOOKUP(S162, IMPORTRANGE(""https://docs.google.com/spreadsheets/d/1yDAaXNsi4Mr5FtRQL4tbmSdIzhx6_m4wkOD7IG-k_eo/edit#gid=0"", ""Maths!M:N""), 2, FALSE)"),"#N/A")</f>
        <v>#N/A</v>
      </c>
      <c r="U162" s="11">
        <f ca="1">IFERROR(__xludf.DUMMYFUNCTION("ArrayFormula(VLOOKUP(G162, IMPORTRANGE(""https://docs.google.com/spreadsheets/d/1p7R4vtkWt5VOBim4ltsDG9KTzSjrtKXsMtQGXPHyND0/edit#gid=795171502"", ""'Filter 30_05_2024'!A1:M2000""), {2, 3, 4, 5,6,7,8,9,10,11,12,13}, 0))"),4)</f>
        <v>4</v>
      </c>
      <c r="V162" s="11">
        <f ca="1">IFERROR(__xludf.DUMMYFUNCTION("""COMPUTED_VALUE"""),15)</f>
        <v>15</v>
      </c>
      <c r="W162" s="11">
        <f ca="1">IFERROR(__xludf.DUMMYFUNCTION("""COMPUTED_VALUE"""),2)</f>
        <v>2</v>
      </c>
      <c r="X162" s="11">
        <f ca="1">IFERROR(__xludf.DUMMYFUNCTION("""COMPUTED_VALUE"""),21)</f>
        <v>21</v>
      </c>
      <c r="Y162" s="11">
        <f ca="1">IFERROR(__xludf.DUMMYFUNCTION("""COMPUTED_VALUE"""),4)</f>
        <v>4</v>
      </c>
      <c r="Z162" s="29">
        <f ca="1">IFERROR(__xludf.DUMMYFUNCTION("""COMPUTED_VALUE"""),10)</f>
        <v>10</v>
      </c>
      <c r="AA162" s="29">
        <f ca="1">IFERROR(__xludf.DUMMYFUNCTION("""COMPUTED_VALUE"""),1)</f>
        <v>1</v>
      </c>
      <c r="AB162" s="12">
        <f ca="1">IFERROR(__xludf.DUMMYFUNCTION("""COMPUTED_VALUE"""),15)</f>
        <v>15</v>
      </c>
      <c r="AC162" s="12"/>
      <c r="AD162" s="12"/>
      <c r="AE162" s="12"/>
      <c r="AF162" s="12"/>
      <c r="AG162" s="13" t="str">
        <f ca="1">IFERROR(__xludf.DUMMYFUNCTION("ArrayFormula(VLOOKUP(G162, IMPORTRANGE(""https://docs.google.com/spreadsheets/d/1Co934fvtviyaRiMsrIlT05Jaq7iiYq07aLvRr35KA48/edit?gid=173865642#gid=173865642"", ""'G6_Maths_Pri_LU'!G2:V2000""), {3, 4, 5, 6, 7, 8, 9, 10, 11, 12, 13, 14, 15, 16}, 0))"),"LU000330")</f>
        <v>LU000330</v>
      </c>
      <c r="AH162" s="13" t="str">
        <f ca="1">IFERROR(__xludf.DUMMYFUNCTION("""COMPUTED_VALUE"""),"Definition of variable and constant")</f>
        <v>Definition of variable and constant</v>
      </c>
      <c r="AI162" s="13"/>
      <c r="AJ162" s="13"/>
      <c r="AK162" s="13"/>
      <c r="AL162" s="13"/>
      <c r="AM162" s="13"/>
      <c r="AN162" s="13"/>
      <c r="AO162" s="13"/>
      <c r="AP162" s="13"/>
      <c r="AQ162" s="13"/>
      <c r="AR162" s="13"/>
      <c r="AS162" s="13"/>
      <c r="AT162" s="13"/>
    </row>
    <row r="163" spans="1:46">
      <c r="A163" s="8" t="s">
        <v>247</v>
      </c>
      <c r="B163" s="8" t="s">
        <v>47</v>
      </c>
      <c r="C163" s="8" t="s">
        <v>48</v>
      </c>
      <c r="D163" s="8" t="s">
        <v>49</v>
      </c>
      <c r="E163" s="8" t="s">
        <v>390</v>
      </c>
      <c r="F163" s="8" t="s">
        <v>393</v>
      </c>
      <c r="G163" s="8" t="s">
        <v>395</v>
      </c>
      <c r="H163" s="8" t="str">
        <f ca="1">IFERROR(__xludf.DUMMYFUNCTION("VLOOKUP(G163, IMPORTRANGE(""https://docs.google.com/spreadsheets/d/14deopnvwcrKtEGCKuYXdUHJbeLDZlkiSSWWT0g7x2pM/edit#gid=999382323"", ""LU List Maths (Filter)!A:B""), 2, FALSE)"),"Generalization of number patterns using variables (e.g., 3n+1, 4m - 5...)")</f>
        <v>Generalization of number patterns using variables (e.g., 3n+1, 4m - 5...)</v>
      </c>
      <c r="I163" s="10" t="str">
        <f t="shared" si="0"/>
        <v>LU000516.001</v>
      </c>
      <c r="J163" s="10" t="str">
        <f ca="1">IFERROR(__xludf.DUMMYFUNCTION("VLOOKUP(I163, IMPORTRANGE(""https://docs.google.com/spreadsheets/d/1yDAaXNsi4Mr5FtRQL4tbmSdIzhx6_m4wkOD7IG-k_eo/edit#gid=0"", ""Maths!M:N""), 2, FALSE)"),"Recall the relationships between algebraic expressions and patterns in various contexts.")</f>
        <v>Recall the relationships between algebraic expressions and patterns in various contexts.</v>
      </c>
      <c r="K163" s="10" t="str">
        <f t="shared" si="1"/>
        <v>LU000516.002</v>
      </c>
      <c r="L163" s="10" t="str">
        <f ca="1">IFERROR(__xludf.DUMMYFUNCTION("VLOOKUP(K163, IMPORTRANGE(""https://docs.google.com/spreadsheets/d/1yDAaXNsi4Mr5FtRQL4tbmSdIzhx6_m4wkOD7IG-k_eo/edit#gid=0"", ""Maths!M:N""), 2, FALSE)"),"Explain how algebraic expressions are derived from patterns and how they represent corresponding relationships.")</f>
        <v>Explain how algebraic expressions are derived from patterns and how they represent corresponding relationships.</v>
      </c>
      <c r="M163" s="10" t="str">
        <f t="shared" si="2"/>
        <v>LU000516.003</v>
      </c>
      <c r="N163" s="10" t="str">
        <f ca="1">IFERROR(__xludf.DUMMYFUNCTION("VLOOKUP(M163, IMPORTRANGE(""https://docs.google.com/spreadsheets/d/1yDAaXNsi4Mr5FtRQL4tbmSdIzhx6_m4wkOD7IG-k_eo/edit#gid=0"", ""Maths!M:N""), 2, FALSE)"),"Use the given algebraic expression to complete the table of number patterns.")</f>
        <v>Use the given algebraic expression to complete the table of number patterns.</v>
      </c>
      <c r="O163" s="10" t="str">
        <f t="shared" si="3"/>
        <v>LU000516.004</v>
      </c>
      <c r="P163" s="10" t="str">
        <f ca="1">IFERROR(__xludf.DUMMYFUNCTION("VLOOKUP(O163, IMPORTRANGE(""https://docs.google.com/spreadsheets/d/1yDAaXNsi4Mr5FtRQL4tbmSdIzhx6_m4wkOD7IG-k_eo/edit#gid=0"", ""Maths!M:N""), 2, FALSE)"),"Analyze different pattern rules and express them using algebraic expressions.")</f>
        <v>Analyze different pattern rules and express them using algebraic expressions.</v>
      </c>
      <c r="Q163" s="10" t="str">
        <f t="shared" si="4"/>
        <v>LU000516.005</v>
      </c>
      <c r="R163" s="10" t="str">
        <f ca="1">IFERROR(__xludf.DUMMYFUNCTION("VLOOKUP(Q163, IMPORTRANGE(""https://docs.google.com/spreadsheets/d/1yDAaXNsi4Mr5FtRQL4tbmSdIzhx6_m4wkOD7IG-k_eo/edit#gid=0"", ""Maths!M:N""), 2, FALSE)"),"Evaluate the validity of algebraic expressions for finding terms in number sequences.")</f>
        <v>Evaluate the validity of algebraic expressions for finding terms in number sequences.</v>
      </c>
      <c r="S163" s="10" t="str">
        <f t="shared" si="5"/>
        <v>LU000516.006</v>
      </c>
      <c r="T163" s="10" t="str">
        <f ca="1">IFERROR(__xludf.DUMMYFUNCTION("VLOOKUP(S163, IMPORTRANGE(""https://docs.google.com/spreadsheets/d/1yDAaXNsi4Mr5FtRQL4tbmSdIzhx6_m4wkOD7IG-k_eo/edit#gid=0"", ""Maths!M:N""), 2, FALSE)"),"Create new geometric patterns and develop algebraic expressions to calculate the quantities of elements.")</f>
        <v>Create new geometric patterns and develop algebraic expressions to calculate the quantities of elements.</v>
      </c>
      <c r="U163" s="11">
        <f ca="1">IFERROR(__xludf.DUMMYFUNCTION("ArrayFormula(VLOOKUP(G163, IMPORTRANGE(""https://docs.google.com/spreadsheets/d/1p7R4vtkWt5VOBim4ltsDG9KTzSjrtKXsMtQGXPHyND0/edit#gid=795171502"", ""'Filter 30_05_2024'!A1:M2000""), {2, 3, 4, 5,6,7,8,9,10,11,12,13}, 0))"),4)</f>
        <v>4</v>
      </c>
      <c r="V163" s="11">
        <f ca="1">IFERROR(__xludf.DUMMYFUNCTION("""COMPUTED_VALUE"""),6)</f>
        <v>6</v>
      </c>
      <c r="W163" s="11">
        <f ca="1">IFERROR(__xludf.DUMMYFUNCTION("""COMPUTED_VALUE"""),2)</f>
        <v>2</v>
      </c>
      <c r="X163" s="11">
        <f ca="1">IFERROR(__xludf.DUMMYFUNCTION("""COMPUTED_VALUE"""),12)</f>
        <v>12</v>
      </c>
      <c r="Y163" s="11">
        <f ca="1">IFERROR(__xludf.DUMMYFUNCTION("""COMPUTED_VALUE"""),4)</f>
        <v>4</v>
      </c>
      <c r="Z163" s="29">
        <f ca="1">IFERROR(__xludf.DUMMYFUNCTION("""COMPUTED_VALUE"""),3)</f>
        <v>3</v>
      </c>
      <c r="AA163" s="29">
        <f ca="1">IFERROR(__xludf.DUMMYFUNCTION("""COMPUTED_VALUE"""),1)</f>
        <v>1</v>
      </c>
      <c r="AB163" s="12">
        <f ca="1">IFERROR(__xludf.DUMMYFUNCTION("""COMPUTED_VALUE"""),8)</f>
        <v>8</v>
      </c>
      <c r="AC163" s="12"/>
      <c r="AD163" s="12"/>
      <c r="AE163" s="12"/>
      <c r="AF163" s="12"/>
      <c r="AG163" s="13" t="str">
        <f ca="1">IFERROR(__xludf.DUMMYFUNCTION("ArrayFormula(VLOOKUP(G163, IMPORTRANGE(""https://docs.google.com/spreadsheets/d/1Co934fvtviyaRiMsrIlT05Jaq7iiYq07aLvRr35KA48/edit?gid=173865642#gid=173865642"", ""'G6_Maths_Pri_LU'!G2:V2000""), {3, 4, 5, 6, 7, 8, 9, 10, 11, 12, 13, 14, 15, 16}, 0))"),"LU000936")</f>
        <v>LU000936</v>
      </c>
      <c r="AH163" s="13" t="str">
        <f ca="1">IFERROR(__xludf.DUMMYFUNCTION("""COMPUTED_VALUE"""),"Generalization of number patterns using variables (e.g., 3n, 4m, 7z...)")</f>
        <v>Generalization of number patterns using variables (e.g., 3n, 4m, 7z...)</v>
      </c>
      <c r="AI163" s="13" t="str">
        <f ca="1">IFERROR(__xludf.DUMMYFUNCTION("""COMPUTED_VALUE"""),"LU000330")</f>
        <v>LU000330</v>
      </c>
      <c r="AJ163" s="13" t="str">
        <f ca="1">IFERROR(__xludf.DUMMYFUNCTION("""COMPUTED_VALUE"""),"Definition of variable and constant")</f>
        <v>Definition of variable and constant</v>
      </c>
      <c r="AK163" s="13"/>
      <c r="AL163" s="13"/>
      <c r="AM163" s="13"/>
      <c r="AN163" s="13"/>
      <c r="AO163" s="13"/>
      <c r="AP163" s="13"/>
      <c r="AQ163" s="13"/>
      <c r="AR163" s="13"/>
      <c r="AS163" s="13"/>
      <c r="AT163" s="13"/>
    </row>
    <row r="164" spans="1:46">
      <c r="A164" s="8" t="s">
        <v>247</v>
      </c>
      <c r="B164" s="8" t="s">
        <v>47</v>
      </c>
      <c r="C164" s="8" t="s">
        <v>48</v>
      </c>
      <c r="D164" s="8" t="s">
        <v>49</v>
      </c>
      <c r="E164" s="8" t="s">
        <v>390</v>
      </c>
      <c r="F164" s="8" t="s">
        <v>396</v>
      </c>
      <c r="G164" s="8" t="s">
        <v>397</v>
      </c>
      <c r="H164" s="8" t="str">
        <f ca="1">IFERROR(__xludf.DUMMYFUNCTION("VLOOKUP(G164, IMPORTRANGE(""https://docs.google.com/spreadsheets/d/14deopnvwcrKtEGCKuYXdUHJbeLDZlkiSSWWT0g7x2pM/edit#gid=999382323"", ""LU List Maths (Filter)!A:B""), 2, FALSE)"),"Generalization of rules of geometric patterns using variables (matchstick patterns, etc...)")</f>
        <v>Generalization of rules of geometric patterns using variables (matchstick patterns, etc...)</v>
      </c>
      <c r="I164" s="10" t="str">
        <f t="shared" si="0"/>
        <v>LU000937.001</v>
      </c>
      <c r="J164" s="10" t="str">
        <f ca="1">IFERROR(__xludf.DUMMYFUNCTION("VLOOKUP(I164, IMPORTRANGE(""https://docs.google.com/spreadsheets/d/1yDAaXNsi4Mr5FtRQL4tbmSdIzhx6_m4wkOD7IG-k_eo/edit#gid=0"", ""Maths!M:N""), 2, FALSE)"),"Recall the purpose of using variables to represent geometric rules.")</f>
        <v>Recall the purpose of using variables to represent geometric rules.</v>
      </c>
      <c r="K164" s="10" t="str">
        <f t="shared" si="1"/>
        <v>LU000937.002</v>
      </c>
      <c r="L164" s="10" t="str">
        <f ca="1">IFERROR(__xludf.DUMMYFUNCTION("VLOOKUP(K164, IMPORTRANGE(""https://docs.google.com/spreadsheets/d/1yDAaXNsi4Mr5FtRQL4tbmSdIzhx6_m4wkOD7IG-k_eo/edit#gid=0"", ""Maths!M:N""), 2, FALSE)"),"Describe how variables and equations represent geometric patterns, such as matchstick patterns.")</f>
        <v>Describe how variables and equations represent geometric patterns, such as matchstick patterns.</v>
      </c>
      <c r="M164" s="10" t="str">
        <f t="shared" si="2"/>
        <v>LU000937.003</v>
      </c>
      <c r="N164" s="10" t="str">
        <f ca="1">IFERROR(__xludf.DUMMYFUNCTION("VLOOKUP(M164, IMPORTRANGE(""https://docs.google.com/spreadsheets/d/1yDAaXNsi4Mr5FtRQL4tbmSdIzhx6_m4wkOD7IG-k_eo/edit#gid=0"", ""Maths!M:N""), 2, FALSE)"),"Use variables to form a rule for the given geometric pattern.")</f>
        <v>Use variables to form a rule for the given geometric pattern.</v>
      </c>
      <c r="O164" s="10" t="str">
        <f t="shared" si="3"/>
        <v>LU000937.004</v>
      </c>
      <c r="P164" s="10" t="str">
        <f ca="1">IFERROR(__xludf.DUMMYFUNCTION("VLOOKUP(O164, IMPORTRANGE(""https://docs.google.com/spreadsheets/d/1yDAaXNsi4Mr5FtRQL4tbmSdIzhx6_m4wkOD7IG-k_eo/edit#gid=0"", ""Maths!M:N""), 2, FALSE)"),"Examine geometric patterns to identify underlying rules.")</f>
        <v>Examine geometric patterns to identify underlying rules.</v>
      </c>
      <c r="Q164" s="10" t="str">
        <f t="shared" si="4"/>
        <v>LU000937.005</v>
      </c>
      <c r="R164" s="10" t="str">
        <f ca="1">IFERROR(__xludf.DUMMYFUNCTION("VLOOKUP(Q164, IMPORTRANGE(""https://docs.google.com/spreadsheets/d/1yDAaXNsi4Mr5FtRQL4tbmSdIzhx6_m4wkOD7IG-k_eo/edit#gid=0"", ""Maths!M:N""), 2, FALSE)"),"Compare different variable expressions for representing the geometric patterns.")</f>
        <v>Compare different variable expressions for representing the geometric patterns.</v>
      </c>
      <c r="S164" s="10" t="str">
        <f t="shared" si="5"/>
        <v>LU000937.006</v>
      </c>
      <c r="T164" s="10" t="str">
        <f ca="1">IFERROR(__xludf.DUMMYFUNCTION("VLOOKUP(S164, IMPORTRANGE(""https://docs.google.com/spreadsheets/d/1yDAaXNsi4Mr5FtRQL4tbmSdIzhx6_m4wkOD7IG-k_eo/edit#gid=0"", ""Maths!M:N""), 2, FALSE)"),"#N/A")</f>
        <v>#N/A</v>
      </c>
      <c r="U164" s="11">
        <f ca="1">IFERROR(__xludf.DUMMYFUNCTION("ArrayFormula(VLOOKUP(G164, IMPORTRANGE(""https://docs.google.com/spreadsheets/d/1p7R4vtkWt5VOBim4ltsDG9KTzSjrtKXsMtQGXPHyND0/edit#gid=795171502"", ""'Filter 30_05_2024'!A1:M2000""), {2, 3, 4, 5,6,7,8,9,10,11,12,13}, 0))"),4)</f>
        <v>4</v>
      </c>
      <c r="V164" s="11">
        <f ca="1">IFERROR(__xludf.DUMMYFUNCTION("""COMPUTED_VALUE"""),8)</f>
        <v>8</v>
      </c>
      <c r="W164" s="11">
        <f ca="1">IFERROR(__xludf.DUMMYFUNCTION("""COMPUTED_VALUE"""),2)</f>
        <v>2</v>
      </c>
      <c r="X164" s="11">
        <f ca="1">IFERROR(__xludf.DUMMYFUNCTION("""COMPUTED_VALUE"""),14)</f>
        <v>14</v>
      </c>
      <c r="Y164" s="11">
        <f ca="1">IFERROR(__xludf.DUMMYFUNCTION("""COMPUTED_VALUE"""),4)</f>
        <v>4</v>
      </c>
      <c r="Z164" s="29">
        <f ca="1">IFERROR(__xludf.DUMMYFUNCTION("""COMPUTED_VALUE"""),8)</f>
        <v>8</v>
      </c>
      <c r="AA164" s="29">
        <f ca="1">IFERROR(__xludf.DUMMYFUNCTION("""COMPUTED_VALUE"""),1)</f>
        <v>1</v>
      </c>
      <c r="AB164" s="12">
        <f ca="1">IFERROR(__xludf.DUMMYFUNCTION("""COMPUTED_VALUE"""),13)</f>
        <v>13</v>
      </c>
      <c r="AC164" s="12"/>
      <c r="AD164" s="12"/>
      <c r="AE164" s="12"/>
      <c r="AF164" s="12"/>
      <c r="AG164" s="13" t="str">
        <f ca="1">IFERROR(__xludf.DUMMYFUNCTION("ArrayFormula(VLOOKUP(G164, IMPORTRANGE(""https://docs.google.com/spreadsheets/d/1Co934fvtviyaRiMsrIlT05Jaq7iiYq07aLvRr35KA48/edit?gid=173865642#gid=173865642"", ""'G6_Maths_Pri_LU'!G2:V2000""), {3, 4, 5, 6, 7, 8, 9, 10, 11, 12, 13, 14, 15, 16}, 0))"),"LU000516")</f>
        <v>LU000516</v>
      </c>
      <c r="AH164" s="13" t="str">
        <f ca="1">IFERROR(__xludf.DUMMYFUNCTION("""COMPUTED_VALUE"""),"Generalization of number patterns using variables (e.g., 3n+1, 4m - 5...)")</f>
        <v>Generalization of number patterns using variables (e.g., 3n+1, 4m - 5...)</v>
      </c>
      <c r="AI164" s="13" t="str">
        <f ca="1">IFERROR(__xludf.DUMMYFUNCTION("""COMPUTED_VALUE"""),"LU000936")</f>
        <v>LU000936</v>
      </c>
      <c r="AJ164" s="13" t="str">
        <f ca="1">IFERROR(__xludf.DUMMYFUNCTION("""COMPUTED_VALUE"""),"Generalization of number patterns using variables (e.g., 3n, 4m, 7z...)")</f>
        <v>Generalization of number patterns using variables (e.g., 3n, 4m, 7z...)</v>
      </c>
      <c r="AK164" s="13" t="str">
        <f ca="1">IFERROR(__xludf.DUMMYFUNCTION("""COMPUTED_VALUE"""),"LU000330")</f>
        <v>LU000330</v>
      </c>
      <c r="AL164" s="13" t="str">
        <f ca="1">IFERROR(__xludf.DUMMYFUNCTION("""COMPUTED_VALUE"""),"Definition of variable and constant")</f>
        <v>Definition of variable and constant</v>
      </c>
      <c r="AM164" s="13"/>
      <c r="AN164" s="13"/>
      <c r="AO164" s="13"/>
      <c r="AP164" s="13"/>
      <c r="AQ164" s="13"/>
      <c r="AR164" s="13"/>
      <c r="AS164" s="13"/>
      <c r="AT164" s="13"/>
    </row>
    <row r="165" spans="1:46">
      <c r="A165" s="8" t="s">
        <v>247</v>
      </c>
      <c r="B165" s="8" t="s">
        <v>47</v>
      </c>
      <c r="C165" s="8" t="s">
        <v>48</v>
      </c>
      <c r="D165" s="8" t="s">
        <v>49</v>
      </c>
      <c r="E165" s="8" t="s">
        <v>390</v>
      </c>
      <c r="F165" s="8" t="s">
        <v>396</v>
      </c>
      <c r="G165" s="8" t="s">
        <v>398</v>
      </c>
      <c r="H165" s="8" t="str">
        <f ca="1">IFERROR(__xludf.DUMMYFUNCTION("VLOOKUP(G165, IMPORTRANGE(""https://docs.google.com/spreadsheets/d/14deopnvwcrKtEGCKuYXdUHJbeLDZlkiSSWWT0g7x2pM/edit#gid=999382323"", ""LU List Maths (Filter)!A:B""), 2, FALSE)"),"Generalization of practical situations using variables")</f>
        <v>Generalization of practical situations using variables</v>
      </c>
      <c r="I165" s="10" t="str">
        <f t="shared" si="0"/>
        <v>LU000938.001</v>
      </c>
      <c r="J165" s="10" t="str">
        <f ca="1">IFERROR(__xludf.DUMMYFUNCTION("VLOOKUP(I165, IMPORTRANGE(""https://docs.google.com/spreadsheets/d/1yDAaXNsi4Mr5FtRQL4tbmSdIzhx6_m4wkOD7IG-k_eo/edit#gid=0"", ""Maths!M:N""), 2, FALSE)"),"Recall the concept of variables and basic algebraic expressions used in practical situations.")</f>
        <v>Recall the concept of variables and basic algebraic expressions used in practical situations.</v>
      </c>
      <c r="K165" s="10" t="str">
        <f t="shared" si="1"/>
        <v>LU000938.002</v>
      </c>
      <c r="L165" s="10" t="str">
        <f ca="1">IFERROR(__xludf.DUMMYFUNCTION("VLOOKUP(K165, IMPORTRANGE(""https://docs.google.com/spreadsheets/d/1yDAaXNsi4Mr5FtRQL4tbmSdIzhx6_m4wkOD7IG-k_eo/edit#gid=0"", ""Maths!M:N""), 2, FALSE)"),"Explain how variables are used to generalize real-life situations and practical problems.")</f>
        <v>Explain how variables are used to generalize real-life situations and practical problems.</v>
      </c>
      <c r="M165" s="10" t="str">
        <f t="shared" si="2"/>
        <v>LU000938.003</v>
      </c>
      <c r="N165" s="10" t="str">
        <f ca="1">IFERROR(__xludf.DUMMYFUNCTION("VLOOKUP(M165, IMPORTRANGE(""https://docs.google.com/spreadsheets/d/1yDAaXNsi4Mr5FtRQL4tbmSdIzhx6_m4wkOD7IG-k_eo/edit#gid=0"", ""Maths!M:N""), 2, FALSE)"),"Use variables to generalize and solve problems derived from real-life situations.")</f>
        <v>Use variables to generalize and solve problems derived from real-life situations.</v>
      </c>
      <c r="O165" s="10" t="str">
        <f t="shared" si="3"/>
        <v>LU000938.004</v>
      </c>
      <c r="P165" s="10" t="str">
        <f ca="1">IFERROR(__xludf.DUMMYFUNCTION("VLOOKUP(O165, IMPORTRANGE(""https://docs.google.com/spreadsheets/d/1yDAaXNsi4Mr5FtRQL4tbmSdIzhx6_m4wkOD7IG-k_eo/edit#gid=0"", ""Maths!M:N""), 2, FALSE)"),"Examine different practical situations and determine the appropriate variables and expressions to represent them.")</f>
        <v>Examine different practical situations and determine the appropriate variables and expressions to represent them.</v>
      </c>
      <c r="Q165" s="10" t="str">
        <f t="shared" si="4"/>
        <v>LU000938.005</v>
      </c>
      <c r="R165" s="10" t="str">
        <f ca="1">IFERROR(__xludf.DUMMYFUNCTION("VLOOKUP(Q165, IMPORTRANGE(""https://docs.google.com/spreadsheets/d/1yDAaXNsi4Mr5FtRQL4tbmSdIzhx6_m4wkOD7IG-k_eo/edit#gid=0"", ""Maths!M:N""), 2, FALSE)"),"#N/A")</f>
        <v>#N/A</v>
      </c>
      <c r="S165" s="10" t="str">
        <f t="shared" si="5"/>
        <v>LU000938.006</v>
      </c>
      <c r="T165" s="10" t="str">
        <f ca="1">IFERROR(__xludf.DUMMYFUNCTION("VLOOKUP(S165, IMPORTRANGE(""https://docs.google.com/spreadsheets/d/1yDAaXNsi4Mr5FtRQL4tbmSdIzhx6_m4wkOD7IG-k_eo/edit#gid=0"", ""Maths!M:N""), 2, FALSE)"),"#N/A")</f>
        <v>#N/A</v>
      </c>
      <c r="U165" s="11">
        <f ca="1">IFERROR(__xludf.DUMMYFUNCTION("ArrayFormula(VLOOKUP(G165, IMPORTRANGE(""https://docs.google.com/spreadsheets/d/1p7R4vtkWt5VOBim4ltsDG9KTzSjrtKXsMtQGXPHyND0/edit#gid=795171502"", ""'Filter 30_05_2024'!A1:M2000""), {2, 3, 4, 5,6,7,8,9,10,11,12,13}, 0))"),4)</f>
        <v>4</v>
      </c>
      <c r="V165" s="11">
        <f ca="1">IFERROR(__xludf.DUMMYFUNCTION("""COMPUTED_VALUE"""),11)</f>
        <v>11</v>
      </c>
      <c r="W165" s="11">
        <f ca="1">IFERROR(__xludf.DUMMYFUNCTION("""COMPUTED_VALUE"""),2)</f>
        <v>2</v>
      </c>
      <c r="X165" s="11">
        <f ca="1">IFERROR(__xludf.DUMMYFUNCTION("""COMPUTED_VALUE"""),17)</f>
        <v>17</v>
      </c>
      <c r="Y165" s="11">
        <f ca="1">IFERROR(__xludf.DUMMYFUNCTION("""COMPUTED_VALUE"""),5)</f>
        <v>5</v>
      </c>
      <c r="Z165" s="29">
        <f ca="1">IFERROR(__xludf.DUMMYFUNCTION("""COMPUTED_VALUE"""),12)</f>
        <v>12</v>
      </c>
      <c r="AA165" s="29">
        <f ca="1">IFERROR(__xludf.DUMMYFUNCTION("""COMPUTED_VALUE"""),1)</f>
        <v>1</v>
      </c>
      <c r="AB165" s="12">
        <f ca="1">IFERROR(__xludf.DUMMYFUNCTION("""COMPUTED_VALUE"""),18)</f>
        <v>18</v>
      </c>
      <c r="AC165" s="12"/>
      <c r="AD165" s="12"/>
      <c r="AE165" s="12"/>
      <c r="AF165" s="12"/>
      <c r="AG165" s="13" t="str">
        <f ca="1">IFERROR(__xludf.DUMMYFUNCTION("ArrayFormula(VLOOKUP(G165, IMPORTRANGE(""https://docs.google.com/spreadsheets/d/1Co934fvtviyaRiMsrIlT05Jaq7iiYq07aLvRr35KA48/edit?gid=173865642#gid=173865642"", ""'G6_Maths_Pri_LU'!G2:V2000""), {3, 4, 5, 6, 7, 8, 9, 10, 11, 12, 13, 14, 15, 16}, 0))"),"LU000330")</f>
        <v>LU000330</v>
      </c>
      <c r="AH165" s="13" t="str">
        <f ca="1">IFERROR(__xludf.DUMMYFUNCTION("""COMPUTED_VALUE"""),"Definition of variable and constant")</f>
        <v>Definition of variable and constant</v>
      </c>
      <c r="AI165" s="13" t="str">
        <f ca="1">IFERROR(__xludf.DUMMYFUNCTION("""COMPUTED_VALUE"""),"LU000936")</f>
        <v>LU000936</v>
      </c>
      <c r="AJ165" s="13" t="str">
        <f ca="1">IFERROR(__xludf.DUMMYFUNCTION("""COMPUTED_VALUE"""),"Generalization of number patterns using variables (e.g., 3n, 4m, 7z...)")</f>
        <v>Generalization of number patterns using variables (e.g., 3n, 4m, 7z...)</v>
      </c>
      <c r="AK165" s="13"/>
      <c r="AL165" s="13"/>
      <c r="AM165" s="13"/>
      <c r="AN165" s="13"/>
      <c r="AO165" s="13"/>
      <c r="AP165" s="13"/>
      <c r="AQ165" s="13"/>
      <c r="AR165" s="13"/>
      <c r="AS165" s="13"/>
      <c r="AT165" s="13"/>
    </row>
    <row r="166" spans="1:46">
      <c r="A166" s="8" t="s">
        <v>247</v>
      </c>
      <c r="B166" s="8" t="s">
        <v>47</v>
      </c>
      <c r="C166" s="8" t="s">
        <v>48</v>
      </c>
      <c r="D166" s="8" t="s">
        <v>49</v>
      </c>
      <c r="E166" s="8" t="s">
        <v>399</v>
      </c>
      <c r="F166" s="8" t="s">
        <v>400</v>
      </c>
      <c r="G166" s="8" t="s">
        <v>401</v>
      </c>
      <c r="H166" s="8" t="str">
        <f ca="1">IFERROR(__xludf.DUMMYFUNCTION("VLOOKUP(G166, IMPORTRANGE(""https://docs.google.com/spreadsheets/d/14deopnvwcrKtEGCKuYXdUHJbeLDZlkiSSWWT0g7x2pM/edit#gid=999382323"", ""LU List Maths (Filter)!A:B""), 2, FALSE)"),"Definition of ratio")</f>
        <v>Definition of ratio</v>
      </c>
      <c r="I166" s="10" t="str">
        <f t="shared" si="0"/>
        <v>LU000342.001</v>
      </c>
      <c r="J166" s="10" t="str">
        <f ca="1">IFERROR(__xludf.DUMMYFUNCTION("VLOOKUP(I166, IMPORTRANGE(""https://docs.google.com/spreadsheets/d/1yDAaXNsi4Mr5FtRQL4tbmSdIzhx6_m4wkOD7IG-k_eo/edit#gid=0"", ""Maths!M:N""), 2, FALSE)"),"State the definition of a ratio with examples")</f>
        <v>State the definition of a ratio with examples</v>
      </c>
      <c r="K166" s="10" t="str">
        <f t="shared" si="1"/>
        <v>LU000342.002</v>
      </c>
      <c r="L166" s="10" t="str">
        <f ca="1">IFERROR(__xludf.DUMMYFUNCTION("VLOOKUP(K166, IMPORTRANGE(""https://docs.google.com/spreadsheets/d/1yDAaXNsi4Mr5FtRQL4tbmSdIzhx6_m4wkOD7IG-k_eo/edit#gid=0"", ""Maths!M:N""), 2, FALSE)"),"Describe the concept of a ratio and how it can be represented as a fraction or in the form ""a:b"".")</f>
        <v>Describe the concept of a ratio and how it can be represented as a fraction or in the form "a:b".</v>
      </c>
      <c r="M166" s="10" t="str">
        <f t="shared" si="2"/>
        <v>LU000342.003</v>
      </c>
      <c r="N166" s="10" t="str">
        <f ca="1">IFERROR(__xludf.DUMMYFUNCTION("VLOOKUP(M166, IMPORTRANGE(""https://docs.google.com/spreadsheets/d/1yDAaXNsi4Mr5FtRQL4tbmSdIzhx6_m4wkOD7IG-k_eo/edit#gid=0"", ""Maths!M:N""), 2, FALSE)"),"Solve real life problems involving ratios such as sharing things based on certain ratios.")</f>
        <v>Solve real life problems involving ratios such as sharing things based on certain ratios.</v>
      </c>
      <c r="O166" s="10" t="str">
        <f t="shared" si="3"/>
        <v>LU000342.004</v>
      </c>
      <c r="P166" s="10" t="str">
        <f ca="1">IFERROR(__xludf.DUMMYFUNCTION("VLOOKUP(O166, IMPORTRANGE(""https://docs.google.com/spreadsheets/d/1yDAaXNsi4Mr5FtRQL4tbmSdIzhx6_m4wkOD7IG-k_eo/edit#gid=0"", ""Maths!M:N""), 2, FALSE)"),"Analyse the significance of ratios in practical scenarios, discussing how ratios provide insights into the comparative sizes or quantities of different entities.")</f>
        <v>Analyse the significance of ratios in practical scenarios, discussing how ratios provide insights into the comparative sizes or quantities of different entities.</v>
      </c>
      <c r="Q166" s="10" t="str">
        <f t="shared" si="4"/>
        <v>LU000342.005</v>
      </c>
      <c r="R166" s="10" t="str">
        <f ca="1">IFERROR(__xludf.DUMMYFUNCTION("VLOOKUP(Q166, IMPORTRANGE(""https://docs.google.com/spreadsheets/d/1yDAaXNsi4Mr5FtRQL4tbmSdIzhx6_m4wkOD7IG-k_eo/edit#gid=0"", ""Maths!M:N""), 2, FALSE)"),"Evaluate the accuracy of solutions involving ratios, assessing the ability to express the relationship correctly, simplify the ratio and apply it to real-world situations.")</f>
        <v>Evaluate the accuracy of solutions involving ratios, assessing the ability to express the relationship correctly, simplify the ratio and apply it to real-world situations.</v>
      </c>
      <c r="S166" s="10" t="str">
        <f t="shared" si="5"/>
        <v>LU000342.006</v>
      </c>
      <c r="T166" s="10" t="str">
        <f ca="1">IFERROR(__xludf.DUMMYFUNCTION("VLOOKUP(S166, IMPORTRANGE(""https://docs.google.com/spreadsheets/d/1yDAaXNsi4Mr5FtRQL4tbmSdIzhx6_m4wkOD7IG-k_eo/edit#gid=0"", ""Maths!M:N""), 2, FALSE)"),"Create scenarios related to sharing a fixed quantity of resources among a group and design problem that requires to determine the appropriate ratio for the distribution.")</f>
        <v>Create scenarios related to sharing a fixed quantity of resources among a group and design problem that requires to determine the appropriate ratio for the distribution.</v>
      </c>
      <c r="U166" s="11">
        <f ca="1">IFERROR(__xludf.DUMMYFUNCTION("ArrayFormula(VLOOKUP(G166, IMPORTRANGE(""https://docs.google.com/spreadsheets/d/1p7R4vtkWt5VOBim4ltsDG9KTzSjrtKXsMtQGXPHyND0/edit#gid=795171502"", ""'Filter 30_05_2024'!A1:M2000""), {2, 3, 4, 5,6,7,8,9,10,11,12,13}, 0))"),6)</f>
        <v>6</v>
      </c>
      <c r="V166" s="11">
        <f ca="1">IFERROR(__xludf.DUMMYFUNCTION("""COMPUTED_VALUE"""),8)</f>
        <v>8</v>
      </c>
      <c r="W166" s="11">
        <f ca="1">IFERROR(__xludf.DUMMYFUNCTION("""COMPUTED_VALUE"""),3)</f>
        <v>3</v>
      </c>
      <c r="X166" s="11">
        <f ca="1">IFERROR(__xludf.DUMMYFUNCTION("""COMPUTED_VALUE"""),17)</f>
        <v>17</v>
      </c>
      <c r="Y166" s="11">
        <f ca="1">IFERROR(__xludf.DUMMYFUNCTION("""COMPUTED_VALUE"""),4)</f>
        <v>4</v>
      </c>
      <c r="Z166" s="29">
        <f ca="1">IFERROR(__xludf.DUMMYFUNCTION("""COMPUTED_VALUE"""),5)</f>
        <v>5</v>
      </c>
      <c r="AA166" s="29">
        <f ca="1">IFERROR(__xludf.DUMMYFUNCTION("""COMPUTED_VALUE"""),5)</f>
        <v>5</v>
      </c>
      <c r="AB166" s="12">
        <f ca="1">IFERROR(__xludf.DUMMYFUNCTION("""COMPUTED_VALUE"""),14)</f>
        <v>14</v>
      </c>
      <c r="AC166" s="12"/>
      <c r="AD166" s="12"/>
      <c r="AE166" s="12"/>
      <c r="AF166" s="12"/>
      <c r="AG166" s="13" t="str">
        <f ca="1">IFERROR(__xludf.DUMMYFUNCTION("ArrayFormula(VLOOKUP(G166, IMPORTRANGE(""https://docs.google.com/spreadsheets/d/1Co934fvtviyaRiMsrIlT05Jaq7iiYq07aLvRr35KA48/edit?gid=173865642#gid=173865642"", ""'G6_Maths_Pri_LU'!G2:V2000""), {3, 4, 5, 6, 7, 8, 9, 10, 11, 12, 13, 14, 15, 16}, 0))"),"LU000278")</f>
        <v>LU000278</v>
      </c>
      <c r="AH166" s="13" t="str">
        <f ca="1">IFERROR(__xludf.DUMMYFUNCTION("""COMPUTED_VALUE"""),"Definition of fraction")</f>
        <v>Definition of fraction</v>
      </c>
      <c r="AI166" s="13"/>
      <c r="AJ166" s="13"/>
      <c r="AK166" s="13"/>
      <c r="AL166" s="13"/>
      <c r="AM166" s="13"/>
      <c r="AN166" s="13"/>
      <c r="AO166" s="13"/>
      <c r="AP166" s="13"/>
      <c r="AQ166" s="13"/>
      <c r="AR166" s="13"/>
      <c r="AS166" s="13"/>
      <c r="AT166" s="13"/>
    </row>
    <row r="167" spans="1:46">
      <c r="A167" s="8" t="s">
        <v>247</v>
      </c>
      <c r="B167" s="8" t="s">
        <v>47</v>
      </c>
      <c r="C167" s="8" t="s">
        <v>48</v>
      </c>
      <c r="D167" s="8" t="s">
        <v>49</v>
      </c>
      <c r="E167" s="8" t="s">
        <v>399</v>
      </c>
      <c r="F167" s="8" t="s">
        <v>400</v>
      </c>
      <c r="G167" s="8" t="s">
        <v>402</v>
      </c>
      <c r="H167" s="8" t="str">
        <f ca="1">IFERROR(__xludf.DUMMYFUNCTION("VLOOKUP(G167, IMPORTRANGE(""https://docs.google.com/spreadsheets/d/14deopnvwcrKtEGCKuYXdUHJbeLDZlkiSSWWT0g7x2pM/edit#gid=999382323"", ""LU List Maths (Filter)!A:B""), 2, FALSE)"),"Calculate the ratio of two quantities")</f>
        <v>Calculate the ratio of two quantities</v>
      </c>
      <c r="I167" s="10" t="str">
        <f t="shared" si="0"/>
        <v>LU000343.001</v>
      </c>
      <c r="J167" s="10" t="str">
        <f ca="1">IFERROR(__xludf.DUMMYFUNCTION("VLOOKUP(I167, IMPORTRANGE(""https://docs.google.com/spreadsheets/d/1yDAaXNsi4Mr5FtRQL4tbmSdIzhx6_m4wkOD7IG-k_eo/edit#gid=0"", ""Maths!M:N""), 2, FALSE)"),"State the steps for calculating the ratio of two quantities and explain that the first quantity is usually written before the second quantity in the ratio.")</f>
        <v>State the steps for calculating the ratio of two quantities and explain that the first quantity is usually written before the second quantity in the ratio.</v>
      </c>
      <c r="K167" s="10" t="str">
        <f t="shared" si="1"/>
        <v>LU000343.002</v>
      </c>
      <c r="L167" s="10" t="str">
        <f ca="1">IFERROR(__xludf.DUMMYFUNCTION("VLOOKUP(K167, IMPORTRANGE(""https://docs.google.com/spreadsheets/d/1yDAaXNsi4Mr5FtRQL4tbmSdIzhx6_m4wkOD7IG-k_eo/edit#gid=0"", ""Maths!M:N""), 2, FALSE)"),"Describe the concept of calculating ratios, clarifying that the ratio shows the relative sizes of two quantities and the numbers in the ratio signify their proportionate values.")</f>
        <v>Describe the concept of calculating ratios, clarifying that the ratio shows the relative sizes of two quantities and the numbers in the ratio signify their proportionate values.</v>
      </c>
      <c r="M167" s="10" t="str">
        <f t="shared" si="2"/>
        <v>LU000343.003</v>
      </c>
      <c r="N167" s="10" t="str">
        <f ca="1">IFERROR(__xludf.DUMMYFUNCTION("VLOOKUP(M167, IMPORTRANGE(""https://docs.google.com/spreadsheets/d/1yDAaXNsi4Mr5FtRQL4tbmSdIzhx6_m4wkOD7IG-k_eo/edit#gid=0"", ""Maths!M:N""), 2, FALSE)"),"Solve problems involving different quantities, using the correct order of numbers and ensuring the ratio is simplified to its simplest form.")</f>
        <v>Solve problems involving different quantities, using the correct order of numbers and ensuring the ratio is simplified to its simplest form.</v>
      </c>
      <c r="O167" s="10" t="str">
        <f t="shared" si="3"/>
        <v>LU000343.004</v>
      </c>
      <c r="P167" s="10" t="str">
        <f ca="1">IFERROR(__xludf.DUMMYFUNCTION("VLOOKUP(O167, IMPORTRANGE(""https://docs.google.com/spreadsheets/d/1yDAaXNsi4Mr5FtRQL4tbmSdIzhx6_m4wkOD7IG-k_eo/edit#gid=0"", ""Maths!M:N""), 2, FALSE)"),"Analyse the significance of the order of numbers in a ratio, discussing how it influences the interpretation of the relationship between the quantities being compared.")</f>
        <v>Analyse the significance of the order of numbers in a ratio, discussing how it influences the interpretation of the relationship between the quantities being compared.</v>
      </c>
      <c r="Q167" s="10" t="str">
        <f t="shared" si="4"/>
        <v>LU000343.005</v>
      </c>
      <c r="R167" s="10" t="str">
        <f ca="1">IFERROR(__xludf.DUMMYFUNCTION("VLOOKUP(Q167, IMPORTRANGE(""https://docs.google.com/spreadsheets/d/1yDAaXNsi4Mr5FtRQL4tbmSdIzhx6_m4wkOD7IG-k_eo/edit#gid=0"", ""Maths!M:N""), 2, FALSE)"),"Evaluate the accuracy of solutions involving ratio calculations, assessing their ability to correctly determine the ratio order, simplify the ratio and apply it appropriately.")</f>
        <v>Evaluate the accuracy of solutions involving ratio calculations, assessing their ability to correctly determine the ratio order, simplify the ratio and apply it appropriately.</v>
      </c>
      <c r="S167" s="10" t="str">
        <f t="shared" si="5"/>
        <v>LU000343.006</v>
      </c>
      <c r="T167" s="10" t="str">
        <f ca="1">IFERROR(__xludf.DUMMYFUNCTION("VLOOKUP(S167, IMPORTRANGE(""https://docs.google.com/spreadsheets/d/1yDAaXNsi4Mr5FtRQL4tbmSdIzhx6_m4wkOD7IG-k_eo/edit#gid=0"", ""Maths!M:N""), 2, FALSE)"),"Create scenarios involving the division of resources between friends and design a problem that prompts classmates to calculate the correct ratio of resource distribution.")</f>
        <v>Create scenarios involving the division of resources between friends and design a problem that prompts classmates to calculate the correct ratio of resource distribution.</v>
      </c>
      <c r="U167" s="11">
        <f ca="1">IFERROR(__xludf.DUMMYFUNCTION("ArrayFormula(VLOOKUP(G167, IMPORTRANGE(""https://docs.google.com/spreadsheets/d/1p7R4vtkWt5VOBim4ltsDG9KTzSjrtKXsMtQGXPHyND0/edit#gid=795171502"", ""'Filter 30_05_2024'!A1:M2000""), {2, 3, 4, 5,6,7,8,9,10,11,12,13}, 0))"),4)</f>
        <v>4</v>
      </c>
      <c r="V167" s="11">
        <f ca="1">IFERROR(__xludf.DUMMYFUNCTION("""COMPUTED_VALUE"""),27)</f>
        <v>27</v>
      </c>
      <c r="W167" s="11">
        <f ca="1">IFERROR(__xludf.DUMMYFUNCTION("""COMPUTED_VALUE"""),2)</f>
        <v>2</v>
      </c>
      <c r="X167" s="11">
        <f ca="1">IFERROR(__xludf.DUMMYFUNCTION("""COMPUTED_VALUE"""),33)</f>
        <v>33</v>
      </c>
      <c r="Y167" s="11">
        <f ca="1">IFERROR(__xludf.DUMMYFUNCTION("""COMPUTED_VALUE"""),4)</f>
        <v>4</v>
      </c>
      <c r="Z167" s="29">
        <f ca="1">IFERROR(__xludf.DUMMYFUNCTION("""COMPUTED_VALUE"""),11)</f>
        <v>11</v>
      </c>
      <c r="AA167" s="29">
        <f ca="1">IFERROR(__xludf.DUMMYFUNCTION("""COMPUTED_VALUE"""),1)</f>
        <v>1</v>
      </c>
      <c r="AB167" s="12">
        <f ca="1">IFERROR(__xludf.DUMMYFUNCTION("""COMPUTED_VALUE"""),16)</f>
        <v>16</v>
      </c>
      <c r="AC167" s="12"/>
      <c r="AD167" s="12"/>
      <c r="AE167" s="12"/>
      <c r="AF167" s="12"/>
      <c r="AG167" s="13" t="str">
        <f ca="1">IFERROR(__xludf.DUMMYFUNCTION("ArrayFormula(VLOOKUP(G167, IMPORTRANGE(""https://docs.google.com/spreadsheets/d/1Co934fvtviyaRiMsrIlT05Jaq7iiYq07aLvRr35KA48/edit?gid=173865642#gid=173865642"", ""'G6_Maths_Pri_LU'!G2:V2000""), {3, 4, 5, 6, 7, 8, 9, 10, 11, 12, 13, 14, 15, 16}, 0))"),"LU000342")</f>
        <v>LU000342</v>
      </c>
      <c r="AH167" s="13" t="str">
        <f ca="1">IFERROR(__xludf.DUMMYFUNCTION("""COMPUTED_VALUE"""),"Definition of ratio")</f>
        <v>Definition of ratio</v>
      </c>
      <c r="AI167" s="13" t="str">
        <f ca="1">IFERROR(__xludf.DUMMYFUNCTION("""COMPUTED_VALUE"""),"LU000291")</f>
        <v>LU000291</v>
      </c>
      <c r="AJ167" s="13" t="str">
        <f ca="1">IFERROR(__xludf.DUMMYFUNCTION("""COMPUTED_VALUE"""),"Simplest (or Lowest) form of a fraction")</f>
        <v>Simplest (or Lowest) form of a fraction</v>
      </c>
      <c r="AK167" s="13"/>
      <c r="AL167" s="13"/>
      <c r="AM167" s="13"/>
      <c r="AN167" s="13"/>
      <c r="AO167" s="13"/>
      <c r="AP167" s="13"/>
      <c r="AQ167" s="13"/>
      <c r="AR167" s="13"/>
      <c r="AS167" s="13"/>
      <c r="AT167" s="13"/>
    </row>
    <row r="168" spans="1:46">
      <c r="A168" s="8" t="s">
        <v>247</v>
      </c>
      <c r="B168" s="8" t="s">
        <v>47</v>
      </c>
      <c r="C168" s="8" t="s">
        <v>48</v>
      </c>
      <c r="D168" s="8" t="s">
        <v>49</v>
      </c>
      <c r="E168" s="8" t="s">
        <v>399</v>
      </c>
      <c r="F168" s="8" t="s">
        <v>400</v>
      </c>
      <c r="G168" s="8" t="s">
        <v>403</v>
      </c>
      <c r="H168" s="8" t="str">
        <f ca="1">IFERROR(__xludf.DUMMYFUNCTION("VLOOKUP(G168, IMPORTRANGE(""https://docs.google.com/spreadsheets/d/14deopnvwcrKtEGCKuYXdUHJbeLDZlkiSSWWT0g7x2pM/edit#gid=999382323"", ""LU List Maths (Filter)!A:B""), 2, FALSE)"),"Representation of ratio as fraction")</f>
        <v>Representation of ratio as fraction</v>
      </c>
      <c r="I168" s="10" t="str">
        <f t="shared" si="0"/>
        <v>LU000348.001</v>
      </c>
      <c r="J168" s="10" t="str">
        <f ca="1">IFERROR(__xludf.DUMMYFUNCTION("VLOOKUP(I168, IMPORTRANGE(""https://docs.google.com/spreadsheets/d/1yDAaXNsi4Mr5FtRQL4tbmSdIzhx6_m4wkOD7IG-k_eo/edit#gid=0"", ""Maths!M:N""), 2, FALSE)"),"State the steps to represent a ratio as a fraction.")</f>
        <v>State the steps to represent a ratio as a fraction.</v>
      </c>
      <c r="K168" s="10" t="str">
        <f t="shared" si="1"/>
        <v>LU000348.002</v>
      </c>
      <c r="L168" s="10" t="str">
        <f ca="1">IFERROR(__xludf.DUMMYFUNCTION("VLOOKUP(K168, IMPORTRANGE(""https://docs.google.com/spreadsheets/d/1yDAaXNsi4Mr5FtRQL4tbmSdIzhx6_m4wkOD7IG-k_eo/edit#gid=0"", ""Maths!M:N""), 2, FALSE)"),"Describe the concept of representing a ratio as a fraction, clarifying that the terms of the ratio are translated into the numerator and denominator of the fraction, illustrating the proportional relationship.")</f>
        <v>Describe the concept of representing a ratio as a fraction, clarifying that the terms of the ratio are translated into the numerator and denominator of the fraction, illustrating the proportional relationship.</v>
      </c>
      <c r="M168" s="10" t="str">
        <f t="shared" si="2"/>
        <v>LU000348.003</v>
      </c>
      <c r="N168" s="10" t="str">
        <f ca="1">IFERROR(__xludf.DUMMYFUNCTION("VLOOKUP(M168, IMPORTRANGE(""https://docs.google.com/spreadsheets/d/1yDAaXNsi4Mr5FtRQL4tbmSdIzhx6_m4wkOD7IG-k_eo/edit#gid=0"", ""Maths!M:N""), 2, FALSE)"),"Apply the understanding of representing a ratio as a fraction by solving problems that require converting given ratios into equivalent fractions.")</f>
        <v>Apply the understanding of representing a ratio as a fraction by solving problems that require converting given ratios into equivalent fractions.</v>
      </c>
      <c r="O168" s="10" t="str">
        <f t="shared" si="3"/>
        <v>LU000348.004</v>
      </c>
      <c r="P168" s="10" t="str">
        <f ca="1">IFERROR(__xludf.DUMMYFUNCTION("VLOOKUP(O168, IMPORTRANGE(""https://docs.google.com/spreadsheets/d/1yDAaXNsi4Mr5FtRQL4tbmSdIzhx6_m4wkOD7IG-k_eo/edit#gid=0"", ""Maths!M:N""), 2, FALSE)"),"Analyse and explain how ratios are represented as fractions in various contexts.")</f>
        <v>Analyse and explain how ratios are represented as fractions in various contexts.</v>
      </c>
      <c r="Q168" s="10" t="str">
        <f t="shared" si="4"/>
        <v>LU000348.005</v>
      </c>
      <c r="R168" s="10" t="str">
        <f ca="1">IFERROR(__xludf.DUMMYFUNCTION("VLOOKUP(Q168, IMPORTRANGE(""https://docs.google.com/spreadsheets/d/1yDAaXNsi4Mr5FtRQL4tbmSdIzhx6_m4wkOD7IG-k_eo/edit#gid=0"", ""Maths!M:N""), 2, FALSE)"),"Evaluate and justify the conversion of ratios to fractions in diverse situations.")</f>
        <v>Evaluate and justify the conversion of ratios to fractions in diverse situations.</v>
      </c>
      <c r="S168" s="10" t="str">
        <f t="shared" si="5"/>
        <v>LU000348.006</v>
      </c>
      <c r="T168" s="10" t="str">
        <f ca="1">IFERROR(__xludf.DUMMYFUNCTION("VLOOKUP(S168, IMPORTRANGE(""https://docs.google.com/spreadsheets/d/1yDAaXNsi4Mr5FtRQL4tbmSdIzhx6_m4wkOD7IG-k_eo/edit#gid=0"", ""Maths!M:N""), 2, FALSE)"),"#N/A")</f>
        <v>#N/A</v>
      </c>
      <c r="U168" s="11">
        <f ca="1">IFERROR(__xludf.DUMMYFUNCTION("ArrayFormula(VLOOKUP(G168, IMPORTRANGE(""https://docs.google.com/spreadsheets/d/1p7R4vtkWt5VOBim4ltsDG9KTzSjrtKXsMtQGXPHyND0/edit#gid=795171502"", ""'Filter 30_05_2024'!A1:M2000""), {2, 3, 4, 5,6,7,8,9,10,11,12,13}, 0))"),4)</f>
        <v>4</v>
      </c>
      <c r="V168" s="11">
        <f ca="1">IFERROR(__xludf.DUMMYFUNCTION("""COMPUTED_VALUE"""),6)</f>
        <v>6</v>
      </c>
      <c r="W168" s="11">
        <f ca="1">IFERROR(__xludf.DUMMYFUNCTION("""COMPUTED_VALUE"""),2)</f>
        <v>2</v>
      </c>
      <c r="X168" s="11">
        <f ca="1">IFERROR(__xludf.DUMMYFUNCTION("""COMPUTED_VALUE"""),12)</f>
        <v>12</v>
      </c>
      <c r="Y168" s="11">
        <f ca="1">IFERROR(__xludf.DUMMYFUNCTION("""COMPUTED_VALUE"""),4)</f>
        <v>4</v>
      </c>
      <c r="Z168" s="29">
        <f ca="1">IFERROR(__xludf.DUMMYFUNCTION("""COMPUTED_VALUE"""),3)</f>
        <v>3</v>
      </c>
      <c r="AA168" s="29">
        <f ca="1">IFERROR(__xludf.DUMMYFUNCTION("""COMPUTED_VALUE"""),1)</f>
        <v>1</v>
      </c>
      <c r="AB168" s="12">
        <f ca="1">IFERROR(__xludf.DUMMYFUNCTION("""COMPUTED_VALUE"""),8)</f>
        <v>8</v>
      </c>
      <c r="AC168" s="12"/>
      <c r="AD168" s="12"/>
      <c r="AE168" s="12"/>
      <c r="AF168" s="12"/>
      <c r="AG168" s="13" t="str">
        <f ca="1">IFERROR(__xludf.DUMMYFUNCTION("ArrayFormula(VLOOKUP(G168, IMPORTRANGE(""https://docs.google.com/spreadsheets/d/1Co934fvtviyaRiMsrIlT05Jaq7iiYq07aLvRr35KA48/edit?gid=173865642#gid=173865642"", ""'G6_Maths_Pri_LU'!G2:V2000""), {3, 4, 5, 6, 7, 8, 9, 10, 11, 12, 13, 14, 15, 16}, 0))"),"LU000342")</f>
        <v>LU000342</v>
      </c>
      <c r="AH168" s="13" t="str">
        <f ca="1">IFERROR(__xludf.DUMMYFUNCTION("""COMPUTED_VALUE"""),"Definition of ratio")</f>
        <v>Definition of ratio</v>
      </c>
      <c r="AI168" s="13" t="str">
        <f ca="1">IFERROR(__xludf.DUMMYFUNCTION("""COMPUTED_VALUE"""),"LU000278")</f>
        <v>LU000278</v>
      </c>
      <c r="AJ168" s="13" t="str">
        <f ca="1">IFERROR(__xludf.DUMMYFUNCTION("""COMPUTED_VALUE"""),"Definition of fraction")</f>
        <v>Definition of fraction</v>
      </c>
      <c r="AK168" s="13"/>
      <c r="AL168" s="13"/>
      <c r="AM168" s="13"/>
      <c r="AN168" s="13"/>
      <c r="AO168" s="13"/>
      <c r="AP168" s="13"/>
      <c r="AQ168" s="13"/>
      <c r="AR168" s="13"/>
      <c r="AS168" s="13"/>
      <c r="AT168" s="13"/>
    </row>
    <row r="169" spans="1:46">
      <c r="A169" s="8" t="s">
        <v>247</v>
      </c>
      <c r="B169" s="8" t="s">
        <v>47</v>
      </c>
      <c r="C169" s="8" t="s">
        <v>48</v>
      </c>
      <c r="D169" s="8" t="s">
        <v>49</v>
      </c>
      <c r="E169" s="8" t="s">
        <v>399</v>
      </c>
      <c r="F169" s="8" t="s">
        <v>404</v>
      </c>
      <c r="G169" s="8" t="s">
        <v>405</v>
      </c>
      <c r="H169" s="8" t="str">
        <f ca="1">IFERROR(__xludf.DUMMYFUNCTION("VLOOKUP(G169, IMPORTRANGE(""https://docs.google.com/spreadsheets/d/14deopnvwcrKtEGCKuYXdUHJbeLDZlkiSSWWT0g7x2pM/edit#gid=999382323"", ""LU List Maths (Filter)!A:B""), 2, FALSE)"),"Definition of equivalent ratios")</f>
        <v>Definition of equivalent ratios</v>
      </c>
      <c r="I169" s="10" t="str">
        <f t="shared" si="0"/>
        <v>LU000344.001</v>
      </c>
      <c r="J169" s="10" t="str">
        <f ca="1">IFERROR(__xludf.DUMMYFUNCTION("VLOOKUP(I169, IMPORTRANGE(""https://docs.google.com/spreadsheets/d/1yDAaXNsi4Mr5FtRQL4tbmSdIzhx6_m4wkOD7IG-k_eo/edit#gid=0"", ""Maths!M:N""), 2, FALSE)"),"State the definition of equivalent ratios and explain how they represent the same proportional relationship between quantities, but with different numerical values.")</f>
        <v>State the definition of equivalent ratios and explain how they represent the same proportional relationship between quantities, but with different numerical values.</v>
      </c>
      <c r="K169" s="10" t="str">
        <f t="shared" si="1"/>
        <v>LU000344.002</v>
      </c>
      <c r="L169" s="10" t="str">
        <f ca="1">IFERROR(__xludf.DUMMYFUNCTION("VLOOKUP(K169, IMPORTRANGE(""https://docs.google.com/spreadsheets/d/1yDAaXNsi4Mr5FtRQL4tbmSdIzhx6_m4wkOD7IG-k_eo/edit#gid=0"", ""Maths!M:N""), 2, FALSE)"),"Identify equivalent ratios")</f>
        <v>Identify equivalent ratios</v>
      </c>
      <c r="M169" s="10" t="str">
        <f t="shared" si="2"/>
        <v>LU000344.003</v>
      </c>
      <c r="N169" s="10" t="str">
        <f ca="1">IFERROR(__xludf.DUMMYFUNCTION("VLOOKUP(M169, IMPORTRANGE(""https://docs.google.com/spreadsheets/d/1yDAaXNsi4Mr5FtRQL4tbmSdIzhx6_m4wkOD7IG-k_eo/edit#gid=0"", ""Maths!M:N""), 2, FALSE)"),"Solve problems that involve finding ratios equivalent to a given ratio, ensuring the proportions remain consistent.")</f>
        <v>Solve problems that involve finding ratios equivalent to a given ratio, ensuring the proportions remain consistent.</v>
      </c>
      <c r="O169" s="10" t="str">
        <f t="shared" si="3"/>
        <v>LU000344.004</v>
      </c>
      <c r="P169" s="10" t="str">
        <f ca="1">IFERROR(__xludf.DUMMYFUNCTION("VLOOKUP(O169, IMPORTRANGE(""https://docs.google.com/spreadsheets/d/1yDAaXNsi4Mr5FtRQL4tbmSdIzhx6_m4wkOD7IG-k_eo/edit#gid=0"", ""Maths!M:N""), 2, FALSE)"),"Analyse the significance of equivalent ratios in practical situations, discussing how they allow for different ways of expressing the same proportional relationship.")</f>
        <v>Analyse the significance of equivalent ratios in practical situations, discussing how they allow for different ways of expressing the same proportional relationship.</v>
      </c>
      <c r="Q169" s="10" t="str">
        <f t="shared" si="4"/>
        <v>LU000344.005</v>
      </c>
      <c r="R169" s="10" t="str">
        <f ca="1">IFERROR(__xludf.DUMMYFUNCTION("VLOOKUP(Q169, IMPORTRANGE(""https://docs.google.com/spreadsheets/d/1yDAaXNsi4Mr5FtRQL4tbmSdIzhx6_m4wkOD7IG-k_eo/edit#gid=0"", ""Maths!M:N""), 2, FALSE)"),"Evaluate the accuracy of solutions involving equivalent ratios, assessing the ability to find ratios that maintain the same proportionality while using different numerical values.")</f>
        <v>Evaluate the accuracy of solutions involving equivalent ratios, assessing the ability to find ratios that maintain the same proportionality while using different numerical values.</v>
      </c>
      <c r="S169" s="10" t="str">
        <f t="shared" si="5"/>
        <v>LU000344.006</v>
      </c>
      <c r="T169" s="10" t="str">
        <f ca="1">IFERROR(__xludf.DUMMYFUNCTION("VLOOKUP(S169, IMPORTRANGE(""https://docs.google.com/spreadsheets/d/1yDAaXNsi4Mr5FtRQL4tbmSdIzhx6_m4wkOD7IG-k_eo/edit#gid=0"", ""Maths!M:N""), 2, FALSE)"),"Create scenarios where a given ratio needs to be expressed in multiple equivalent forms, and design a problem that prompts classmates to find ratios that maintain the same proportionality.")</f>
        <v>Create scenarios where a given ratio needs to be expressed in multiple equivalent forms, and design a problem that prompts classmates to find ratios that maintain the same proportionality.</v>
      </c>
      <c r="U169" s="11">
        <f ca="1">IFERROR(__xludf.DUMMYFUNCTION("ArrayFormula(VLOOKUP(G169, IMPORTRANGE(""https://docs.google.com/spreadsheets/d/1p7R4vtkWt5VOBim4ltsDG9KTzSjrtKXsMtQGXPHyND0/edit#gid=795171502"", ""'Filter 30_05_2024'!A1:M2000""), {2, 3, 4, 5,6,7,8,9,10,11,12,13}, 0))"),4)</f>
        <v>4</v>
      </c>
      <c r="V169" s="11">
        <f ca="1">IFERROR(__xludf.DUMMYFUNCTION("""COMPUTED_VALUE"""),6)</f>
        <v>6</v>
      </c>
      <c r="W169" s="11">
        <f ca="1">IFERROR(__xludf.DUMMYFUNCTION("""COMPUTED_VALUE"""),2)</f>
        <v>2</v>
      </c>
      <c r="X169" s="11">
        <f ca="1">IFERROR(__xludf.DUMMYFUNCTION("""COMPUTED_VALUE"""),12)</f>
        <v>12</v>
      </c>
      <c r="Y169" s="11">
        <f ca="1">IFERROR(__xludf.DUMMYFUNCTION("""COMPUTED_VALUE"""),5)</f>
        <v>5</v>
      </c>
      <c r="Z169" s="29">
        <f ca="1">IFERROR(__xludf.DUMMYFUNCTION("""COMPUTED_VALUE"""),8)</f>
        <v>8</v>
      </c>
      <c r="AA169" s="29">
        <f ca="1">IFERROR(__xludf.DUMMYFUNCTION("""COMPUTED_VALUE"""),1)</f>
        <v>1</v>
      </c>
      <c r="AB169" s="12">
        <f ca="1">IFERROR(__xludf.DUMMYFUNCTION("""COMPUTED_VALUE"""),14)</f>
        <v>14</v>
      </c>
      <c r="AC169" s="12"/>
      <c r="AD169" s="12"/>
      <c r="AE169" s="12"/>
      <c r="AF169" s="12"/>
      <c r="AG169" s="13" t="str">
        <f ca="1">IFERROR(__xludf.DUMMYFUNCTION("ArrayFormula(VLOOKUP(G169, IMPORTRANGE(""https://docs.google.com/spreadsheets/d/1Co934fvtviyaRiMsrIlT05Jaq7iiYq07aLvRr35KA48/edit?gid=173865642#gid=173865642"", ""'G6_Maths_Pri_LU'!G2:V2000""), {3, 4, 5, 6, 7, 8, 9, 10, 11, 12, 13, 14, 15, 16}, 0))"),"LU000348")</f>
        <v>LU000348</v>
      </c>
      <c r="AH169" s="13" t="str">
        <f ca="1">IFERROR(__xludf.DUMMYFUNCTION("""COMPUTED_VALUE"""),"Representation of ratio as fraction")</f>
        <v>Representation of ratio as fraction</v>
      </c>
      <c r="AI169" s="13" t="str">
        <f ca="1">IFERROR(__xludf.DUMMYFUNCTION("""COMPUTED_VALUE"""),"LU000285")</f>
        <v>LU000285</v>
      </c>
      <c r="AJ169" s="13" t="str">
        <f ca="1">IFERROR(__xludf.DUMMYFUNCTION("""COMPUTED_VALUE"""),"Definition of equivalent fractions")</f>
        <v>Definition of equivalent fractions</v>
      </c>
      <c r="AK169" s="13" t="str">
        <f ca="1">IFERROR(__xludf.DUMMYFUNCTION("""COMPUTED_VALUE"""),"LU000342")</f>
        <v>LU000342</v>
      </c>
      <c r="AL169" s="13" t="str">
        <f ca="1">IFERROR(__xludf.DUMMYFUNCTION("""COMPUTED_VALUE"""),"Definition of ratio")</f>
        <v>Definition of ratio</v>
      </c>
      <c r="AM169" s="13" t="str">
        <f ca="1">IFERROR(__xludf.DUMMYFUNCTION("""COMPUTED_VALUE"""),"LU000342")</f>
        <v>LU000342</v>
      </c>
      <c r="AN169" s="13" t="str">
        <f ca="1">IFERROR(__xludf.DUMMYFUNCTION("""COMPUTED_VALUE"""),"Definition of ratio")</f>
        <v>Definition of ratio</v>
      </c>
      <c r="AO169" s="13"/>
      <c r="AP169" s="13"/>
      <c r="AQ169" s="13"/>
      <c r="AR169" s="13"/>
      <c r="AS169" s="13"/>
      <c r="AT169" s="13"/>
    </row>
    <row r="170" spans="1:46">
      <c r="A170" s="8" t="s">
        <v>247</v>
      </c>
      <c r="B170" s="8" t="s">
        <v>47</v>
      </c>
      <c r="C170" s="8" t="s">
        <v>48</v>
      </c>
      <c r="D170" s="8" t="s">
        <v>49</v>
      </c>
      <c r="E170" s="8" t="s">
        <v>399</v>
      </c>
      <c r="F170" s="8" t="s">
        <v>404</v>
      </c>
      <c r="G170" s="8" t="s">
        <v>406</v>
      </c>
      <c r="H170" s="8" t="str">
        <f ca="1">IFERROR(__xludf.DUMMYFUNCTION("VLOOKUP(G170, IMPORTRANGE(""https://docs.google.com/spreadsheets/d/14deopnvwcrKtEGCKuYXdUHJbeLDZlkiSSWWT0g7x2pM/edit#gid=999382323"", ""LU List Maths (Filter)!A:B""), 2, FALSE)"),"Lowest form of ratio")</f>
        <v>Lowest form of ratio</v>
      </c>
      <c r="I170" s="10" t="str">
        <f t="shared" si="0"/>
        <v>LU000349.001</v>
      </c>
      <c r="J170" s="10" t="str">
        <f ca="1">IFERROR(__xludf.DUMMYFUNCTION("VLOOKUP(I170, IMPORTRANGE(""https://docs.google.com/spreadsheets/d/1yDAaXNsi4Mr5FtRQL4tbmSdIzhx6_m4wkOD7IG-k_eo/edit#gid=0"", ""Maths!M:N""), 2, FALSE)"),"State the definition of the lowest form of a ratio and explain its role in simplifying ratios to their smallest possible values.")</f>
        <v>State the definition of the lowest form of a ratio and explain its role in simplifying ratios to their smallest possible values.</v>
      </c>
      <c r="K170" s="10" t="str">
        <f t="shared" si="1"/>
        <v>LU000349.002</v>
      </c>
      <c r="L170" s="10" t="str">
        <f ca="1">IFERROR(__xludf.DUMMYFUNCTION("VLOOKUP(K170, IMPORTRANGE(""https://docs.google.com/spreadsheets/d/1yDAaXNsi4Mr5FtRQL4tbmSdIzhx6_m4wkOD7IG-k_eo/edit#gid=0"", ""Maths!M:N""), 2, FALSE)"),"Describe the concept of the lowest form of a ratio, emphasising that it entails determining the greatest common divisor of the terms")</f>
        <v>Describe the concept of the lowest form of a ratio, emphasising that it entails determining the greatest common divisor of the terms</v>
      </c>
      <c r="M170" s="10" t="str">
        <f t="shared" si="2"/>
        <v>LU000349.003</v>
      </c>
      <c r="N170" s="10" t="str">
        <f ca="1">IFERROR(__xludf.DUMMYFUNCTION("VLOOKUP(M170, IMPORTRANGE(""https://docs.google.com/spreadsheets/d/1yDAaXNsi4Mr5FtRQL4tbmSdIzhx6_m4wkOD7IG-k_eo/edit#gid=0"", ""Maths!M:N""), 2, FALSE)"),"Solve problems that require simplifying given ratios to their lowest terms.")</f>
        <v>Solve problems that require simplifying given ratios to their lowest terms.</v>
      </c>
      <c r="O170" s="10" t="str">
        <f t="shared" si="3"/>
        <v>LU000349.004</v>
      </c>
      <c r="P170" s="10" t="str">
        <f ca="1">IFERROR(__xludf.DUMMYFUNCTION("VLOOKUP(O170, IMPORTRANGE(""https://docs.google.com/spreadsheets/d/1yDAaXNsi4Mr5FtRQL4tbmSdIzhx6_m4wkOD7IG-k_eo/edit#gid=0"", ""Maths!M:N""), 2, FALSE)"),"Analyse the significance of finding the lowest form of ratios in real-world situations.")</f>
        <v>Analyse the significance of finding the lowest form of ratios in real-world situations.</v>
      </c>
      <c r="Q170" s="10" t="str">
        <f t="shared" si="4"/>
        <v>LU000349.005</v>
      </c>
      <c r="R170" s="10" t="str">
        <f ca="1">IFERROR(__xludf.DUMMYFUNCTION("VLOOKUP(Q170, IMPORTRANGE(""https://docs.google.com/spreadsheets/d/1yDAaXNsi4Mr5FtRQL4tbmSdIzhx6_m4wkOD7IG-k_eo/edit#gid=0"", ""Maths!M:N""), 2, FALSE)"),"Assess and justify the simplification of ratios to their lowest form in various contexts.")</f>
        <v>Assess and justify the simplification of ratios to their lowest form in various contexts.</v>
      </c>
      <c r="S170" s="10" t="str">
        <f t="shared" si="5"/>
        <v>LU000349.006</v>
      </c>
      <c r="T170" s="10" t="str">
        <f ca="1">IFERROR(__xludf.DUMMYFUNCTION("VLOOKUP(S170, IMPORTRANGE(""https://docs.google.com/spreadsheets/d/1yDAaXNsi4Mr5FtRQL4tbmSdIzhx6_m4wkOD7IG-k_eo/edit#gid=0"", ""Maths!M:N""), 2, FALSE)"),"#N/A")</f>
        <v>#N/A</v>
      </c>
      <c r="U170" s="11">
        <f ca="1">IFERROR(__xludf.DUMMYFUNCTION("ArrayFormula(VLOOKUP(G170, IMPORTRANGE(""https://docs.google.com/spreadsheets/d/1p7R4vtkWt5VOBim4ltsDG9KTzSjrtKXsMtQGXPHyND0/edit#gid=795171502"", ""'Filter 30_05_2024'!A1:M2000""), {2, 3, 4, 5,6,7,8,9,10,11,12,13}, 0))"),4)</f>
        <v>4</v>
      </c>
      <c r="V170" s="11">
        <f ca="1">IFERROR(__xludf.DUMMYFUNCTION("""COMPUTED_VALUE"""),6)</f>
        <v>6</v>
      </c>
      <c r="W170" s="11">
        <f ca="1">IFERROR(__xludf.DUMMYFUNCTION("""COMPUTED_VALUE"""),2)</f>
        <v>2</v>
      </c>
      <c r="X170" s="11">
        <f ca="1">IFERROR(__xludf.DUMMYFUNCTION("""COMPUTED_VALUE"""),12)</f>
        <v>12</v>
      </c>
      <c r="Y170" s="11">
        <f ca="1">IFERROR(__xludf.DUMMYFUNCTION("""COMPUTED_VALUE"""),4)</f>
        <v>4</v>
      </c>
      <c r="Z170" s="29">
        <f ca="1">IFERROR(__xludf.DUMMYFUNCTION("""COMPUTED_VALUE"""),3)</f>
        <v>3</v>
      </c>
      <c r="AA170" s="29">
        <f ca="1">IFERROR(__xludf.DUMMYFUNCTION("""COMPUTED_VALUE"""),1)</f>
        <v>1</v>
      </c>
      <c r="AB170" s="12">
        <f ca="1">IFERROR(__xludf.DUMMYFUNCTION("""COMPUTED_VALUE"""),8)</f>
        <v>8</v>
      </c>
      <c r="AC170" s="12"/>
      <c r="AD170" s="12"/>
      <c r="AE170" s="12"/>
      <c r="AF170" s="12"/>
      <c r="AG170" s="13" t="str">
        <f ca="1">IFERROR(__xludf.DUMMYFUNCTION("ArrayFormula(VLOOKUP(G170, IMPORTRANGE(""https://docs.google.com/spreadsheets/d/1Co934fvtviyaRiMsrIlT05Jaq7iiYq07aLvRr35KA48/edit?gid=173865642#gid=173865642"", ""'G6_Maths_Pri_LU'!G2:V2000""), {3, 4, 5, 6, 7, 8, 9, 10, 11, 12, 13, 14, 15, 16}, 0))"),"LU000291")</f>
        <v>LU000291</v>
      </c>
      <c r="AH170" s="13" t="str">
        <f ca="1">IFERROR(__xludf.DUMMYFUNCTION("""COMPUTED_VALUE"""),"Simplest (or Lowest) form of a fraction")</f>
        <v>Simplest (or Lowest) form of a fraction</v>
      </c>
      <c r="AI170" s="13" t="str">
        <f ca="1">IFERROR(__xludf.DUMMYFUNCTION("""COMPUTED_VALUE"""),"LU000348")</f>
        <v>LU000348</v>
      </c>
      <c r="AJ170" s="13" t="str">
        <f ca="1">IFERROR(__xludf.DUMMYFUNCTION("""COMPUTED_VALUE"""),"Representation of ratio as fraction")</f>
        <v>Representation of ratio as fraction</v>
      </c>
      <c r="AK170" s="13" t="str">
        <f ca="1">IFERROR(__xludf.DUMMYFUNCTION("""COMPUTED_VALUE"""),"LU000211")</f>
        <v>LU000211</v>
      </c>
      <c r="AL170" s="13" t="str">
        <f ca="1">IFERROR(__xludf.DUMMYFUNCTION("""COMPUTED_VALUE"""),"Highest Common Factor (HCF) of the numbers")</f>
        <v>Highest Common Factor (HCF) of the numbers</v>
      </c>
      <c r="AM170" s="13"/>
      <c r="AN170" s="13"/>
      <c r="AO170" s="13"/>
      <c r="AP170" s="13"/>
      <c r="AQ170" s="13"/>
      <c r="AR170" s="13"/>
      <c r="AS170" s="13"/>
      <c r="AT170" s="13"/>
    </row>
    <row r="171" spans="1:46">
      <c r="A171" s="8" t="s">
        <v>247</v>
      </c>
      <c r="B171" s="8" t="s">
        <v>47</v>
      </c>
      <c r="C171" s="8" t="s">
        <v>48</v>
      </c>
      <c r="D171" s="8" t="s">
        <v>49</v>
      </c>
      <c r="E171" s="8" t="s">
        <v>399</v>
      </c>
      <c r="F171" s="8" t="s">
        <v>407</v>
      </c>
      <c r="G171" s="8" t="s">
        <v>408</v>
      </c>
      <c r="H171" s="8" t="str">
        <f ca="1">IFERROR(__xludf.DUMMYFUNCTION("VLOOKUP(G171, IMPORTRANGE(""https://docs.google.com/spreadsheets/d/14deopnvwcrKtEGCKuYXdUHJbeLDZlkiSSWWT0g7x2pM/edit#gid=999382323"", ""LU List Maths (Filter)!A:B""), 2, FALSE)"),"Use of same ratio in different situations")</f>
        <v>Use of same ratio in different situations</v>
      </c>
      <c r="I171" s="10" t="str">
        <f t="shared" si="0"/>
        <v>LU000350.001</v>
      </c>
      <c r="J171" s="10" t="str">
        <f ca="1">IFERROR(__xludf.DUMMYFUNCTION("VLOOKUP(I171, IMPORTRANGE(""https://docs.google.com/spreadsheets/d/1yDAaXNsi4Mr5FtRQL4tbmSdIzhx6_m4wkOD7IG-k_eo/edit#gid=0"", ""Maths!M:N""), 2, FALSE)"),"State the concept of using the same ratio in various situations and explain its significance in ensuring consistent proportions.")</f>
        <v>State the concept of using the same ratio in various situations and explain its significance in ensuring consistent proportions.</v>
      </c>
      <c r="K171" s="10" t="str">
        <f t="shared" si="1"/>
        <v>LU000350.002</v>
      </c>
      <c r="L171" s="10" t="str">
        <f ca="1">IFERROR(__xludf.DUMMYFUNCTION("VLOOKUP(K171, IMPORTRANGE(""https://docs.google.com/spreadsheets/d/1yDAaXNsi4Mr5FtRQL4tbmSdIzhx6_m4wkOD7IG-k_eo/edit#gid=0"", ""Maths!M:N""), 2, FALSE)"),"Describe the concept of using the same ratio in various scenarios.")</f>
        <v>Describe the concept of using the same ratio in various scenarios.</v>
      </c>
      <c r="M171" s="10" t="str">
        <f t="shared" si="2"/>
        <v>LU000350.003</v>
      </c>
      <c r="N171" s="10" t="str">
        <f ca="1">IFERROR(__xludf.DUMMYFUNCTION("VLOOKUP(M171, IMPORTRANGE(""https://docs.google.com/spreadsheets/d/1yDAaXNsi4Mr5FtRQL4tbmSdIzhx6_m4wkOD7IG-k_eo/edit#gid=0"", ""Maths!M:N""), 2, FALSE)"),"Solve problems that require applying the same ratio to calculate quantities in diverse scenarios.")</f>
        <v>Solve problems that require applying the same ratio to calculate quantities in diverse scenarios.</v>
      </c>
      <c r="O171" s="10" t="str">
        <f t="shared" si="3"/>
        <v>LU000350.004</v>
      </c>
      <c r="P171" s="10" t="str">
        <f ca="1">IFERROR(__xludf.DUMMYFUNCTION("VLOOKUP(O171, IMPORTRANGE(""https://docs.google.com/spreadsheets/d/1yDAaXNsi4Mr5FtRQL4tbmSdIzhx6_m4wkOD7IG-k_eo/edit#gid=0"", ""Maths!M:N""), 2, FALSE)"),"Analyse the significance of using the same ratio across different situations, discussing how it simplifies calculations and ensures that the same proportional relationship is maintained.")</f>
        <v>Analyse the significance of using the same ratio across different situations, discussing how it simplifies calculations and ensures that the same proportional relationship is maintained.</v>
      </c>
      <c r="Q171" s="10" t="str">
        <f t="shared" si="4"/>
        <v>LU000350.005</v>
      </c>
      <c r="R171" s="10" t="str">
        <f ca="1">IFERROR(__xludf.DUMMYFUNCTION("VLOOKUP(Q171, IMPORTRANGE(""https://docs.google.com/spreadsheets/d/1yDAaXNsi4Mr5FtRQL4tbmSdIzhx6_m4wkOD7IG-k_eo/edit#gid=0"", ""Maths!M:N""), 2, FALSE)"),"#N/A")</f>
        <v>#N/A</v>
      </c>
      <c r="S171" s="10" t="str">
        <f t="shared" si="5"/>
        <v>LU000350.006</v>
      </c>
      <c r="T171" s="10" t="str">
        <f ca="1">IFERROR(__xludf.DUMMYFUNCTION("VLOOKUP(S171, IMPORTRANGE(""https://docs.google.com/spreadsheets/d/1yDAaXNsi4Mr5FtRQL4tbmSdIzhx6_m4wkOD7IG-k_eo/edit#gid=0"", ""Maths!M:N""), 2, FALSE)"),"#N/A")</f>
        <v>#N/A</v>
      </c>
      <c r="U171" s="11">
        <f ca="1">IFERROR(__xludf.DUMMYFUNCTION("ArrayFormula(VLOOKUP(G171, IMPORTRANGE(""https://docs.google.com/spreadsheets/d/1p7R4vtkWt5VOBim4ltsDG9KTzSjrtKXsMtQGXPHyND0/edit#gid=795171502"", ""'Filter 30_05_2024'!A1:M2000""), {2, 3, 4, 5,6,7,8,9,10,11,12,13}, 0))"),4)</f>
        <v>4</v>
      </c>
      <c r="V171" s="11">
        <f ca="1">IFERROR(__xludf.DUMMYFUNCTION("""COMPUTED_VALUE"""),6)</f>
        <v>6</v>
      </c>
      <c r="W171" s="11">
        <f ca="1">IFERROR(__xludf.DUMMYFUNCTION("""COMPUTED_VALUE"""),2)</f>
        <v>2</v>
      </c>
      <c r="X171" s="11">
        <f ca="1">IFERROR(__xludf.DUMMYFUNCTION("""COMPUTED_VALUE"""),12)</f>
        <v>12</v>
      </c>
      <c r="Y171" s="11">
        <f ca="1">IFERROR(__xludf.DUMMYFUNCTION("""COMPUTED_VALUE"""),4)</f>
        <v>4</v>
      </c>
      <c r="Z171" s="29">
        <f ca="1">IFERROR(__xludf.DUMMYFUNCTION("""COMPUTED_VALUE"""),3)</f>
        <v>3</v>
      </c>
      <c r="AA171" s="29">
        <f ca="1">IFERROR(__xludf.DUMMYFUNCTION("""COMPUTED_VALUE"""),1)</f>
        <v>1</v>
      </c>
      <c r="AB171" s="12">
        <f ca="1">IFERROR(__xludf.DUMMYFUNCTION("""COMPUTED_VALUE"""),8)</f>
        <v>8</v>
      </c>
      <c r="AC171" s="12"/>
      <c r="AD171" s="12"/>
      <c r="AE171" s="12"/>
      <c r="AF171" s="12"/>
      <c r="AG171" s="13" t="str">
        <f ca="1">IFERROR(__xludf.DUMMYFUNCTION("ArrayFormula(VLOOKUP(G171, IMPORTRANGE(""https://docs.google.com/spreadsheets/d/1Co934fvtviyaRiMsrIlT05Jaq7iiYq07aLvRr35KA48/edit?gid=173865642#gid=173865642"", ""'G6_Maths_Pri_LU'!G2:V2000""), {3, 4, 5, 6, 7, 8, 9, 10, 11, 12, 13, 14, 15, 16}, 0))"),"LU000343")</f>
        <v>LU000343</v>
      </c>
      <c r="AH171" s="13" t="str">
        <f ca="1">IFERROR(__xludf.DUMMYFUNCTION("""COMPUTED_VALUE"""),"Calculate the ratio of two quantities")</f>
        <v>Calculate the ratio of two quantities</v>
      </c>
      <c r="AI171" s="13" t="str">
        <f ca="1">IFERROR(__xludf.DUMMYFUNCTION("""COMPUTED_VALUE"""),"LU000344")</f>
        <v>LU000344</v>
      </c>
      <c r="AJ171" s="13" t="str">
        <f ca="1">IFERROR(__xludf.DUMMYFUNCTION("""COMPUTED_VALUE"""),"Definition of equivalent ratios")</f>
        <v>Definition of equivalent ratios</v>
      </c>
      <c r="AK171" s="13" t="str">
        <f ca="1">IFERROR(__xludf.DUMMYFUNCTION("""COMPUTED_VALUE"""),"LU000348")</f>
        <v>LU000348</v>
      </c>
      <c r="AL171" s="13" t="str">
        <f ca="1">IFERROR(__xludf.DUMMYFUNCTION("""COMPUTED_VALUE"""),"Representation of ratio as fraction")</f>
        <v>Representation of ratio as fraction</v>
      </c>
      <c r="AM171" s="13"/>
      <c r="AN171" s="13"/>
      <c r="AO171" s="13"/>
      <c r="AP171" s="13"/>
      <c r="AQ171" s="13"/>
      <c r="AR171" s="13"/>
      <c r="AS171" s="13"/>
      <c r="AT171" s="13"/>
    </row>
    <row r="172" spans="1:46">
      <c r="A172" s="8" t="s">
        <v>247</v>
      </c>
      <c r="B172" s="8" t="s">
        <v>47</v>
      </c>
      <c r="C172" s="8" t="s">
        <v>48</v>
      </c>
      <c r="D172" s="8" t="s">
        <v>49</v>
      </c>
      <c r="E172" s="8" t="s">
        <v>399</v>
      </c>
      <c r="F172" s="8" t="s">
        <v>407</v>
      </c>
      <c r="G172" s="8" t="s">
        <v>409</v>
      </c>
      <c r="H172" s="8" t="str">
        <f ca="1">IFERROR(__xludf.DUMMYFUNCTION("VLOOKUP(G172, IMPORTRANGE(""https://docs.google.com/spreadsheets/d/14deopnvwcrKtEGCKuYXdUHJbeLDZlkiSSWWT0g7x2pM/edit#gid=999382323"", ""LU List Maths (Filter)!A:B""), 2, FALSE)"),"Use of ratio of part to whole in real life situations")</f>
        <v>Use of ratio of part to whole in real life situations</v>
      </c>
      <c r="I172" s="10" t="str">
        <f t="shared" si="0"/>
        <v>LU000351.001</v>
      </c>
      <c r="J172" s="10" t="str">
        <f ca="1">IFERROR(__xludf.DUMMYFUNCTION("VLOOKUP(I172, IMPORTRANGE(""https://docs.google.com/spreadsheets/d/1yDAaXNsi4Mr5FtRQL4tbmSdIzhx6_m4wkOD7IG-k_eo/edit#gid=0"", ""Maths!M:N""), 2, FALSE)"),"Recall the definition of a ratio and identify its components - the part and the whole.")</f>
        <v>Recall the definition of a ratio and identify its components - the part and the whole.</v>
      </c>
      <c r="K172" s="10" t="str">
        <f t="shared" si="1"/>
        <v>LU000351.002</v>
      </c>
      <c r="L172" s="10" t="str">
        <f ca="1">IFERROR(__xludf.DUMMYFUNCTION("VLOOKUP(K172, IMPORTRANGE(""https://docs.google.com/spreadsheets/d/1yDAaXNsi4Mr5FtRQL4tbmSdIzhx6_m4wkOD7IG-k_eo/edit#gid=0"", ""Maths!M:N""), 2, FALSE)"),"Explain the concept of a ratio in terms of comparing the relative sizes of a part and a whole.")</f>
        <v>Explain the concept of a ratio in terms of comparing the relative sizes of a part and a whole.</v>
      </c>
      <c r="M172" s="10" t="str">
        <f t="shared" si="2"/>
        <v>LU000351.003</v>
      </c>
      <c r="N172" s="10" t="str">
        <f ca="1">IFERROR(__xludf.DUMMYFUNCTION("VLOOKUP(M172, IMPORTRANGE(""https://docs.google.com/spreadsheets/d/1yDAaXNsi4Mr5FtRQL4tbmSdIzhx6_m4wkOD7IG-k_eo/edit#gid=0"", ""Maths!M:N""), 2, FALSE)"),"Apply the concept of ratios to real-life situations by solving problems that involve finding ratios of part to whole.")</f>
        <v>Apply the concept of ratios to real-life situations by solving problems that involve finding ratios of part to whole.</v>
      </c>
      <c r="O172" s="10" t="str">
        <f t="shared" si="3"/>
        <v>LU000351.004</v>
      </c>
      <c r="P172" s="10" t="str">
        <f ca="1">IFERROR(__xludf.DUMMYFUNCTION("VLOOKUP(O172, IMPORTRANGE(""https://docs.google.com/spreadsheets/d/1yDAaXNsi4Mr5FtRQL4tbmSdIzhx6_m4wkOD7IG-k_eo/edit#gid=0"", ""Maths!M:N""), 2, FALSE)"),"Analyse and interpret ratios in different contexts, identifying the significance of the relationship between the part and the whole.")</f>
        <v>Analyse and interpret ratios in different contexts, identifying the significance of the relationship between the part and the whole.</v>
      </c>
      <c r="Q172" s="10" t="str">
        <f t="shared" si="4"/>
        <v>LU000351.005</v>
      </c>
      <c r="R172" s="10" t="str">
        <f ca="1">IFERROR(__xludf.DUMMYFUNCTION("VLOOKUP(Q172, IMPORTRANGE(""https://docs.google.com/spreadsheets/d/1yDAaXNsi4Mr5FtRQL4tbmSdIzhx6_m4wkOD7IG-k_eo/edit#gid=0"", ""Maths!M:N""), 2, FALSE)"),"Evaluate the effectiveness of using ratios to represent relationships in real-life scenarios.")</f>
        <v>Evaluate the effectiveness of using ratios to represent relationships in real-life scenarios.</v>
      </c>
      <c r="S172" s="10" t="str">
        <f t="shared" si="5"/>
        <v>LU000351.006</v>
      </c>
      <c r="T172" s="10" t="str">
        <f ca="1">IFERROR(__xludf.DUMMYFUNCTION("VLOOKUP(S172, IMPORTRANGE(""https://docs.google.com/spreadsheets/d/1yDAaXNsi4Mr5FtRQL4tbmSdIzhx6_m4wkOD7IG-k_eo/edit#gid=0"", ""Maths!M:N""), 2, FALSE)"),"Create a set of real-world scenarios where ratios are used to represent the relationship between a part and a whole.")</f>
        <v>Create a set of real-world scenarios where ratios are used to represent the relationship between a part and a whole.</v>
      </c>
      <c r="U172" s="11">
        <f ca="1">IFERROR(__xludf.DUMMYFUNCTION("ArrayFormula(VLOOKUP(G172, IMPORTRANGE(""https://docs.google.com/spreadsheets/d/1p7R4vtkWt5VOBim4ltsDG9KTzSjrtKXsMtQGXPHyND0/edit#gid=795171502"", ""'Filter 30_05_2024'!A1:M2000""), {2, 3, 4, 5,6,7,8,9,10,11,12,13}, 0))"),4)</f>
        <v>4</v>
      </c>
      <c r="V172" s="11">
        <f ca="1">IFERROR(__xludf.DUMMYFUNCTION("""COMPUTED_VALUE"""),6)</f>
        <v>6</v>
      </c>
      <c r="W172" s="11">
        <f ca="1">IFERROR(__xludf.DUMMYFUNCTION("""COMPUTED_VALUE"""),2)</f>
        <v>2</v>
      </c>
      <c r="X172" s="11">
        <f ca="1">IFERROR(__xludf.DUMMYFUNCTION("""COMPUTED_VALUE"""),12)</f>
        <v>12</v>
      </c>
      <c r="Y172" s="11">
        <f ca="1">IFERROR(__xludf.DUMMYFUNCTION("""COMPUTED_VALUE"""),4)</f>
        <v>4</v>
      </c>
      <c r="Z172" s="29">
        <f ca="1">IFERROR(__xludf.DUMMYFUNCTION("""COMPUTED_VALUE"""),3)</f>
        <v>3</v>
      </c>
      <c r="AA172" s="29">
        <f ca="1">IFERROR(__xludf.DUMMYFUNCTION("""COMPUTED_VALUE"""),1)</f>
        <v>1</v>
      </c>
      <c r="AB172" s="12">
        <f ca="1">IFERROR(__xludf.DUMMYFUNCTION("""COMPUTED_VALUE"""),8)</f>
        <v>8</v>
      </c>
      <c r="AC172" s="12"/>
      <c r="AD172" s="12"/>
      <c r="AE172" s="12"/>
      <c r="AF172" s="12"/>
      <c r="AG172" s="13" t="str">
        <f ca="1">IFERROR(__xludf.DUMMYFUNCTION("ArrayFormula(VLOOKUP(G172, IMPORTRANGE(""https://docs.google.com/spreadsheets/d/1Co934fvtviyaRiMsrIlT05Jaq7iiYq07aLvRr35KA48/edit?gid=173865642#gid=173865642"", ""'G6_Maths_Pri_LU'!G2:V2000""), {3, 4, 5, 6, 7, 8, 9, 10, 11, 12, 13, 14, 15, 16}, 0))"),"LU000343")</f>
        <v>LU000343</v>
      </c>
      <c r="AH172" s="13" t="str">
        <f ca="1">IFERROR(__xludf.DUMMYFUNCTION("""COMPUTED_VALUE"""),"Calculate the ratio of two quantities")</f>
        <v>Calculate the ratio of two quantities</v>
      </c>
      <c r="AI172" s="13" t="str">
        <f ca="1">IFERROR(__xludf.DUMMYFUNCTION("""COMPUTED_VALUE"""),"LU000348")</f>
        <v>LU000348</v>
      </c>
      <c r="AJ172" s="13" t="str">
        <f ca="1">IFERROR(__xludf.DUMMYFUNCTION("""COMPUTED_VALUE"""),"Representation of ratio as fraction")</f>
        <v>Representation of ratio as fraction</v>
      </c>
      <c r="AK172" s="13" t="str">
        <f ca="1">IFERROR(__xludf.DUMMYFUNCTION("""COMPUTED_VALUE"""),"LU000342")</f>
        <v>LU000342</v>
      </c>
      <c r="AL172" s="13" t="str">
        <f ca="1">IFERROR(__xludf.DUMMYFUNCTION("""COMPUTED_VALUE"""),"Definition of ratio")</f>
        <v>Definition of ratio</v>
      </c>
      <c r="AM172" s="13"/>
      <c r="AN172" s="13"/>
      <c r="AO172" s="13"/>
      <c r="AP172" s="13"/>
      <c r="AQ172" s="13"/>
      <c r="AR172" s="13"/>
      <c r="AS172" s="13"/>
      <c r="AT172" s="13"/>
    </row>
    <row r="173" spans="1:46">
      <c r="A173" s="8" t="s">
        <v>247</v>
      </c>
      <c r="B173" s="8" t="s">
        <v>47</v>
      </c>
      <c r="C173" s="8" t="s">
        <v>48</v>
      </c>
      <c r="D173" s="8" t="s">
        <v>49</v>
      </c>
      <c r="E173" s="8" t="s">
        <v>399</v>
      </c>
      <c r="F173" s="8" t="s">
        <v>410</v>
      </c>
      <c r="G173" s="8" t="s">
        <v>411</v>
      </c>
      <c r="H173" s="8" t="str">
        <f ca="1">IFERROR(__xludf.DUMMYFUNCTION("VLOOKUP(G173, IMPORTRANGE(""https://docs.google.com/spreadsheets/d/14deopnvwcrKtEGCKuYXdUHJbeLDZlkiSSWWT0g7x2pM/edit#gid=999382323"", ""LU List Maths (Filter)!A:B""), 2, FALSE)"),"Definition of proportion")</f>
        <v>Definition of proportion</v>
      </c>
      <c r="I173" s="10" t="str">
        <f t="shared" si="0"/>
        <v>LU000345.001</v>
      </c>
      <c r="J173" s="10" t="str">
        <f ca="1">IFERROR(__xludf.DUMMYFUNCTION("VLOOKUP(I173, IMPORTRANGE(""https://docs.google.com/spreadsheets/d/1yDAaXNsi4Mr5FtRQL4tbmSdIzhx6_m4wkOD7IG-k_eo/edit#gid=0"", ""Maths!M:N""), 2, FALSE)"),"State the definition of proportion with examples.")</f>
        <v>State the definition of proportion with examples.</v>
      </c>
      <c r="K173" s="10" t="str">
        <f t="shared" si="1"/>
        <v>LU000345.002</v>
      </c>
      <c r="L173" s="10" t="str">
        <f ca="1">IFERROR(__xludf.DUMMYFUNCTION("VLOOKUP(K173, IMPORTRANGE(""https://docs.google.com/spreadsheets/d/1yDAaXNsi4Mr5FtRQL4tbmSdIzhx6_m4wkOD7IG-k_eo/edit#gid=0"", ""Maths!M:N""), 2, FALSE)"),"Describe the concept of proportion, emphasising that it indicates the equal relationship between two sets of quantities expressed as ratios.")</f>
        <v>Describe the concept of proportion, emphasising that it indicates the equal relationship between two sets of quantities expressed as ratios.</v>
      </c>
      <c r="M173" s="10" t="str">
        <f t="shared" si="2"/>
        <v>LU000345.003</v>
      </c>
      <c r="N173" s="10" t="str">
        <f ca="1">IFERROR(__xludf.DUMMYFUNCTION("VLOOKUP(M173, IMPORTRANGE(""https://docs.google.com/spreadsheets/d/1yDAaXNsi4Mr5FtRQL4tbmSdIzhx6_m4wkOD7IG-k_eo/edit#gid=0"", ""Maths!M:N""), 2, FALSE)"),"Solve problems involving the verification of whether two ratios are in proportion or not.")</f>
        <v>Solve problems involving the verification of whether two ratios are in proportion or not.</v>
      </c>
      <c r="O173" s="10" t="str">
        <f t="shared" si="3"/>
        <v>LU000345.004</v>
      </c>
      <c r="P173" s="10" t="str">
        <f ca="1">IFERROR(__xludf.DUMMYFUNCTION("VLOOKUP(O173, IMPORTRANGE(""https://docs.google.com/spreadsheets/d/1yDAaXNsi4Mr5FtRQL4tbmSdIzhx6_m4wkOD7IG-k_eo/edit#gid=0"", ""Maths!M:N""), 2, FALSE)"),"Analyse the significance of proportion in real-world scenarios.")</f>
        <v>Analyse the significance of proportion in real-world scenarios.</v>
      </c>
      <c r="Q173" s="10" t="str">
        <f t="shared" si="4"/>
        <v>LU000345.005</v>
      </c>
      <c r="R173" s="10" t="str">
        <f ca="1">IFERROR(__xludf.DUMMYFUNCTION("VLOOKUP(Q173, IMPORTRANGE(""https://docs.google.com/spreadsheets/d/1yDAaXNsi4Mr5FtRQL4tbmSdIzhx6_m4wkOD7IG-k_eo/edit#gid=0"", ""Maths!M:N""), 2, FALSE)"),"Evaluate the accuracy of solutions involving proportion, assessing their ability to identify whether given ratios are in proportion or not and provide reasoning for their answers.")</f>
        <v>Evaluate the accuracy of solutions involving proportion, assessing their ability to identify whether given ratios are in proportion or not and provide reasoning for their answers.</v>
      </c>
      <c r="S173" s="10" t="str">
        <f t="shared" si="5"/>
        <v>LU000345.006</v>
      </c>
      <c r="T173" s="10" t="str">
        <f ca="1">IFERROR(__xludf.DUMMYFUNCTION("VLOOKUP(S173, IMPORTRANGE(""https://docs.google.com/spreadsheets/d/1yDAaXNsi4Mr5FtRQL4tbmSdIzhx6_m4wkOD7IG-k_eo/edit#gid=0"", ""Maths!M:N""), 2, FALSE)"),"Create scenarios where quantities need to be compared using proportion, and design problems that challenges cto determine whether given ratios are in proportion or not.")</f>
        <v>Create scenarios where quantities need to be compared using proportion, and design problems that challenges cto determine whether given ratios are in proportion or not.</v>
      </c>
      <c r="U173" s="11">
        <f ca="1">IFERROR(__xludf.DUMMYFUNCTION("ArrayFormula(VLOOKUP(G173, IMPORTRANGE(""https://docs.google.com/spreadsheets/d/1p7R4vtkWt5VOBim4ltsDG9KTzSjrtKXsMtQGXPHyND0/edit#gid=795171502"", ""'Filter 30_05_2024'!A1:M2000""), {2, 3, 4, 5,6,7,8,9,10,11,12,13}, 0))"),4)</f>
        <v>4</v>
      </c>
      <c r="V173" s="11">
        <f ca="1">IFERROR(__xludf.DUMMYFUNCTION("""COMPUTED_VALUE"""),16)</f>
        <v>16</v>
      </c>
      <c r="W173" s="11">
        <f ca="1">IFERROR(__xludf.DUMMYFUNCTION("""COMPUTED_VALUE"""),2)</f>
        <v>2</v>
      </c>
      <c r="X173" s="11">
        <f ca="1">IFERROR(__xludf.DUMMYFUNCTION("""COMPUTED_VALUE"""),22)</f>
        <v>22</v>
      </c>
      <c r="Y173" s="11">
        <f ca="1">IFERROR(__xludf.DUMMYFUNCTION("""COMPUTED_VALUE"""),4)</f>
        <v>4</v>
      </c>
      <c r="Z173" s="29">
        <f ca="1">IFERROR(__xludf.DUMMYFUNCTION("""COMPUTED_VALUE"""),10)</f>
        <v>10</v>
      </c>
      <c r="AA173" s="29">
        <f ca="1">IFERROR(__xludf.DUMMYFUNCTION("""COMPUTED_VALUE"""),1)</f>
        <v>1</v>
      </c>
      <c r="AB173" s="12">
        <f ca="1">IFERROR(__xludf.DUMMYFUNCTION("""COMPUTED_VALUE"""),15)</f>
        <v>15</v>
      </c>
      <c r="AC173" s="12"/>
      <c r="AD173" s="12"/>
      <c r="AE173" s="12"/>
      <c r="AF173" s="12"/>
      <c r="AG173" s="13" t="str">
        <f ca="1">IFERROR(__xludf.DUMMYFUNCTION("ArrayFormula(VLOOKUP(G173, IMPORTRANGE(""https://docs.google.com/spreadsheets/d/1Co934fvtviyaRiMsrIlT05Jaq7iiYq07aLvRr35KA48/edit?gid=173865642#gid=173865642"", ""'G6_Maths_Pri_LU'!G2:V2000""), {3, 4, 5, 6, 7, 8, 9, 10, 11, 12, 13, 14, 15, 16}, 0))"),"LU000342")</f>
        <v>LU000342</v>
      </c>
      <c r="AH173" s="13" t="str">
        <f ca="1">IFERROR(__xludf.DUMMYFUNCTION("""COMPUTED_VALUE"""),"Definition of ratio")</f>
        <v>Definition of ratio</v>
      </c>
      <c r="AI173" s="13" t="str">
        <f ca="1">IFERROR(__xludf.DUMMYFUNCTION("""COMPUTED_VALUE"""),"LU000343")</f>
        <v>LU000343</v>
      </c>
      <c r="AJ173" s="13" t="str">
        <f ca="1">IFERROR(__xludf.DUMMYFUNCTION("""COMPUTED_VALUE"""),"Calculate the ratio of two quantities")</f>
        <v>Calculate the ratio of two quantities</v>
      </c>
      <c r="AK173" s="13"/>
      <c r="AL173" s="13"/>
      <c r="AM173" s="13"/>
      <c r="AN173" s="13"/>
      <c r="AO173" s="13"/>
      <c r="AP173" s="13"/>
      <c r="AQ173" s="13"/>
      <c r="AR173" s="13"/>
      <c r="AS173" s="13"/>
      <c r="AT173" s="13"/>
    </row>
    <row r="174" spans="1:46">
      <c r="A174" s="8" t="s">
        <v>247</v>
      </c>
      <c r="B174" s="8" t="s">
        <v>47</v>
      </c>
      <c r="C174" s="8" t="s">
        <v>48</v>
      </c>
      <c r="D174" s="8" t="s">
        <v>49</v>
      </c>
      <c r="E174" s="8" t="s">
        <v>399</v>
      </c>
      <c r="F174" s="8" t="s">
        <v>410</v>
      </c>
      <c r="G174" s="8" t="s">
        <v>412</v>
      </c>
      <c r="H174" s="8" t="str">
        <f ca="1">IFERROR(__xludf.DUMMYFUNCTION("VLOOKUP(G174, IMPORTRANGE(""https://docs.google.com/spreadsheets/d/14deopnvwcrKtEGCKuYXdUHJbeLDZlkiSSWWT0g7x2pM/edit#gid=999382323"", ""LU List Maths (Filter)!A:B""), 2, FALSE)"),"Procedure to check for proportion")</f>
        <v>Procedure to check for proportion</v>
      </c>
      <c r="I174" s="10" t="str">
        <f t="shared" si="0"/>
        <v>LU000346.001</v>
      </c>
      <c r="J174" s="10" t="str">
        <f ca="1">IFERROR(__xludf.DUMMYFUNCTION("VLOOKUP(I174, IMPORTRANGE(""https://docs.google.com/spreadsheets/d/1yDAaXNsi4Mr5FtRQL4tbmSdIzhx6_m4wkOD7IG-k_eo/edit#gid=0"", ""Maths!M:N""), 2, FALSE)"),"State the steps for checking if two sets of ratios are in proportion and list the key criteria that must be satisfied for proportions to hold.")</f>
        <v>State the steps for checking if two sets of ratios are in proportion and list the key criteria that must be satisfied for proportions to hold.</v>
      </c>
      <c r="K174" s="10" t="str">
        <f t="shared" si="1"/>
        <v>LU000346.002</v>
      </c>
      <c r="L174" s="10" t="str">
        <f ca="1">IFERROR(__xludf.DUMMYFUNCTION("VLOOKUP(K174, IMPORTRANGE(""https://docs.google.com/spreadsheets/d/1yDAaXNsi4Mr5FtRQL4tbmSdIzhx6_m4wkOD7IG-k_eo/edit#gid=0"", ""Maths!M:N""), 2, FALSE)"),"Describe the procedure to check for proportion, clarifying that cross-multiplying the two ratios and comparing the cross-products for equality determines if they are in proportion.")</f>
        <v>Describe the procedure to check for proportion, clarifying that cross-multiplying the two ratios and comparing the cross-products for equality determines if they are in proportion.</v>
      </c>
      <c r="M174" s="10" t="str">
        <f t="shared" si="2"/>
        <v>LU000346.003</v>
      </c>
      <c r="N174" s="10" t="str">
        <f ca="1">IFERROR(__xludf.DUMMYFUNCTION("VLOOKUP(M174, IMPORTRANGE(""https://docs.google.com/spreadsheets/d/1yDAaXNsi4Mr5FtRQL4tbmSdIzhx6_m4wkOD7IG-k_eo/edit#gid=0"", ""Maths!M:N""), 2, FALSE)"),"Solve problems that involve rewriting the given equivalent ratios in the form of proportion and find the unknown quantity")</f>
        <v>Solve problems that involve rewriting the given equivalent ratios in the form of proportion and find the unknown quantity</v>
      </c>
      <c r="O174" s="10" t="str">
        <f t="shared" si="3"/>
        <v>LU000346.004</v>
      </c>
      <c r="P174" s="10" t="str">
        <f ca="1">IFERROR(__xludf.DUMMYFUNCTION("VLOOKUP(O174, IMPORTRANGE(""https://docs.google.com/spreadsheets/d/1yDAaXNsi4Mr5FtRQL4tbmSdIzhx6_m4wkOD7IG-k_eo/edit#gid=0"", ""Maths!M:N""), 2, FALSE)"),"Analyse the significance of the cross-multiplication method in determining proportionality, discussing how it guarantees that the ratios maintain a consistent relationship.")</f>
        <v>Analyse the significance of the cross-multiplication method in determining proportionality, discussing how it guarantees that the ratios maintain a consistent relationship.</v>
      </c>
      <c r="Q174" s="10" t="str">
        <f t="shared" si="4"/>
        <v>LU000346.005</v>
      </c>
      <c r="R174" s="10" t="str">
        <f ca="1">IFERROR(__xludf.DUMMYFUNCTION("VLOOKUP(Q174, IMPORTRANGE(""https://docs.google.com/spreadsheets/d/1yDAaXNsi4Mr5FtRQL4tbmSdIzhx6_m4wkOD7IG-k_eo/edit#gid=0"", ""Maths!M:N""), 2, FALSE)"),"Evaluate the accuracy of solutions involving the procedure to check for proportion.")</f>
        <v>Evaluate the accuracy of solutions involving the procedure to check for proportion.</v>
      </c>
      <c r="S174" s="10" t="str">
        <f t="shared" si="5"/>
        <v>LU000346.006</v>
      </c>
      <c r="T174" s="10" t="str">
        <f ca="1">IFERROR(__xludf.DUMMYFUNCTION("VLOOKUP(S174, IMPORTRANGE(""https://docs.google.com/spreadsheets/d/1yDAaXNsi4Mr5FtRQL4tbmSdIzhx6_m4wkOD7IG-k_eo/edit#gid=0"", ""Maths!M:N""), 2, FALSE)"),"Create scenarios with multiple sets of ratios and design a problem that challenges classmates to check for proportion using the cross-multiplication method.")</f>
        <v>Create scenarios with multiple sets of ratios and design a problem that challenges classmates to check for proportion using the cross-multiplication method.</v>
      </c>
      <c r="U174" s="11">
        <f ca="1">IFERROR(__xludf.DUMMYFUNCTION("ArrayFormula(VLOOKUP(G174, IMPORTRANGE(""https://docs.google.com/spreadsheets/d/1p7R4vtkWt5VOBim4ltsDG9KTzSjrtKXsMtQGXPHyND0/edit#gid=795171502"", ""'Filter 30_05_2024'!A1:M2000""), {2, 3, 4, 5,6,7,8,9,10,11,12,13}, 0))"),4)</f>
        <v>4</v>
      </c>
      <c r="V174" s="11">
        <f ca="1">IFERROR(__xludf.DUMMYFUNCTION("""COMPUTED_VALUE"""),11)</f>
        <v>11</v>
      </c>
      <c r="W174" s="11">
        <f ca="1">IFERROR(__xludf.DUMMYFUNCTION("""COMPUTED_VALUE"""),2)</f>
        <v>2</v>
      </c>
      <c r="X174" s="11">
        <f ca="1">IFERROR(__xludf.DUMMYFUNCTION("""COMPUTED_VALUE"""),17)</f>
        <v>17</v>
      </c>
      <c r="Y174" s="11">
        <f ca="1">IFERROR(__xludf.DUMMYFUNCTION("""COMPUTED_VALUE"""),4)</f>
        <v>4</v>
      </c>
      <c r="Z174" s="29">
        <f ca="1">IFERROR(__xludf.DUMMYFUNCTION("""COMPUTED_VALUE"""),3)</f>
        <v>3</v>
      </c>
      <c r="AA174" s="29">
        <f ca="1">IFERROR(__xludf.DUMMYFUNCTION("""COMPUTED_VALUE"""),1)</f>
        <v>1</v>
      </c>
      <c r="AB174" s="12">
        <f ca="1">IFERROR(__xludf.DUMMYFUNCTION("""COMPUTED_VALUE"""),8)</f>
        <v>8</v>
      </c>
      <c r="AC174" s="12"/>
      <c r="AD174" s="12"/>
      <c r="AE174" s="12"/>
      <c r="AF174" s="12"/>
      <c r="AG174" s="13" t="str">
        <f ca="1">IFERROR(__xludf.DUMMYFUNCTION("ArrayFormula(VLOOKUP(G174, IMPORTRANGE(""https://docs.google.com/spreadsheets/d/1Co934fvtviyaRiMsrIlT05Jaq7iiYq07aLvRr35KA48/edit?gid=173865642#gid=173865642"", ""'G6_Maths_Pri_LU'!G2:V2000""), {3, 4, 5, 6, 7, 8, 9, 10, 11, 12, 13, 14, 15, 16}, 0))"),"LU000345")</f>
        <v>LU000345</v>
      </c>
      <c r="AH174" s="13" t="str">
        <f ca="1">IFERROR(__xludf.DUMMYFUNCTION("""COMPUTED_VALUE"""),"Definition of proportion")</f>
        <v>Definition of proportion</v>
      </c>
      <c r="AI174" s="13" t="str">
        <f ca="1">IFERROR(__xludf.DUMMYFUNCTION("""COMPUTED_VALUE"""),"LU000343")</f>
        <v>LU000343</v>
      </c>
      <c r="AJ174" s="13" t="str">
        <f ca="1">IFERROR(__xludf.DUMMYFUNCTION("""COMPUTED_VALUE"""),"Calculate the ratio of two quantities")</f>
        <v>Calculate the ratio of two quantities</v>
      </c>
      <c r="AK174" s="13"/>
      <c r="AL174" s="13"/>
      <c r="AM174" s="13"/>
      <c r="AN174" s="13"/>
      <c r="AO174" s="13"/>
      <c r="AP174" s="13"/>
      <c r="AQ174" s="13"/>
      <c r="AR174" s="13"/>
      <c r="AS174" s="13"/>
      <c r="AT174" s="13"/>
    </row>
    <row r="175" spans="1:46">
      <c r="A175" s="8" t="s">
        <v>247</v>
      </c>
      <c r="B175" s="8" t="s">
        <v>47</v>
      </c>
      <c r="C175" s="8" t="s">
        <v>48</v>
      </c>
      <c r="D175" s="8" t="s">
        <v>49</v>
      </c>
      <c r="E175" s="8" t="s">
        <v>399</v>
      </c>
      <c r="F175" s="8" t="s">
        <v>413</v>
      </c>
      <c r="G175" s="8" t="s">
        <v>414</v>
      </c>
      <c r="H175" s="8" t="str">
        <f ca="1">IFERROR(__xludf.DUMMYFUNCTION("VLOOKUP(G175, IMPORTRANGE(""https://docs.google.com/spreadsheets/d/14deopnvwcrKtEGCKuYXdUHJbeLDZlkiSSWWT0g7x2pM/edit#gid=999382323"", ""LU List Maths (Filter)!A:B""), 2, FALSE)"),"Lexical explanation of unitary method")</f>
        <v>Lexical explanation of unitary method</v>
      </c>
      <c r="I175" s="10" t="str">
        <f t="shared" si="0"/>
        <v>LU000347.001</v>
      </c>
      <c r="J175" s="10" t="str">
        <f ca="1">IFERROR(__xludf.DUMMYFUNCTION("VLOOKUP(I175, IMPORTRANGE(""https://docs.google.com/spreadsheets/d/1yDAaXNsi4Mr5FtRQL4tbmSdIzhx6_m4wkOD7IG-k_eo/edit#gid=0"", ""Maths!M:N""), 2, FALSE)"),"State the definition of the unitary method and explain its role in solving problems.")</f>
        <v>State the definition of the unitary method and explain its role in solving problems.</v>
      </c>
      <c r="K175" s="10" t="str">
        <f t="shared" si="1"/>
        <v>LU000347.002</v>
      </c>
      <c r="L175" s="10" t="str">
        <f ca="1">IFERROR(__xludf.DUMMYFUNCTION("VLOOKUP(K175, IMPORTRANGE(""https://docs.google.com/spreadsheets/d/1yDAaXNsi4Mr5FtRQL4tbmSdIzhx6_m4wkOD7IG-k_eo/edit#gid=0"", ""Maths!M:N""), 2, FALSE)"),"Describe the concept of the unitary method, highlighting that it entails determining the value of a single unit to calculate the value of other quantities in the given proportion.")</f>
        <v>Describe the concept of the unitary method, highlighting that it entails determining the value of a single unit to calculate the value of other quantities in the given proportion.</v>
      </c>
      <c r="M175" s="10" t="str">
        <f t="shared" si="2"/>
        <v>LU000347.003</v>
      </c>
      <c r="N175" s="10" t="str">
        <f ca="1">IFERROR(__xludf.DUMMYFUNCTION("VLOOKUP(M175, IMPORTRANGE(""https://docs.google.com/spreadsheets/d/1yDAaXNsi4Mr5FtRQL4tbmSdIzhx6_m4wkOD7IG-k_eo/edit#gid=0"", ""Maths!M:N""), 2, FALSE)"),"Apply the understanding of the unitary method to solve arithmetic and practical problems.")</f>
        <v>Apply the understanding of the unitary method to solve arithmetic and practical problems.</v>
      </c>
      <c r="O175" s="10" t="str">
        <f t="shared" si="3"/>
        <v>LU000347.004</v>
      </c>
      <c r="P175" s="10" t="str">
        <f ca="1">IFERROR(__xludf.DUMMYFUNCTION("VLOOKUP(O175, IMPORTRANGE(""https://docs.google.com/spreadsheets/d/1yDAaXNsi4Mr5FtRQL4tbmSdIzhx6_m4wkOD7IG-k_eo/edit#gid=0"", ""Maths!M:N""), 2, FALSE)"),"Analyse the significance of the unitary method in solving practical problems.")</f>
        <v>Analyse the significance of the unitary method in solving practical problems.</v>
      </c>
      <c r="Q175" s="10" t="str">
        <f t="shared" si="4"/>
        <v>LU000347.005</v>
      </c>
      <c r="R175" s="10" t="str">
        <f ca="1">IFERROR(__xludf.DUMMYFUNCTION("VLOOKUP(Q175, IMPORTRANGE(""https://docs.google.com/spreadsheets/d/1yDAaXNsi4Mr5FtRQL4tbmSdIzhx6_m4wkOD7IG-k_eo/edit#gid=0"", ""Maths!M:N""), 2, FALSE)"),"Evaluate the accuracy of solutions involving the unitary method, assessing the ability to correctly determine the value of a single unit and apply it to various scenarios.")</f>
        <v>Evaluate the accuracy of solutions involving the unitary method, assessing the ability to correctly determine the value of a single unit and apply it to various scenarios.</v>
      </c>
      <c r="S175" s="10" t="str">
        <f t="shared" si="5"/>
        <v>LU000347.006</v>
      </c>
      <c r="T175" s="10" t="str">
        <f ca="1">IFERROR(__xludf.DUMMYFUNCTION("VLOOKUP(S175, IMPORTRANGE(""https://docs.google.com/spreadsheets/d/1yDAaXNsi4Mr5FtRQL4tbmSdIzhx6_m4wkOD7IG-k_eo/edit#gid=0"", ""Maths!M:N""), 2, FALSE)"),"Create scenarios where a complex ratio needs to be simplified using the unitary method, and design problems to determine the value of a single unit and apply it.")</f>
        <v>Create scenarios where a complex ratio needs to be simplified using the unitary method, and design problems to determine the value of a single unit and apply it.</v>
      </c>
      <c r="U175" s="11">
        <f ca="1">IFERROR(__xludf.DUMMYFUNCTION("ArrayFormula(VLOOKUP(G175, IMPORTRANGE(""https://docs.google.com/spreadsheets/d/1p7R4vtkWt5VOBim4ltsDG9KTzSjrtKXsMtQGXPHyND0/edit#gid=795171502"", ""'Filter 30_05_2024'!A1:M2000""), {2, 3, 4, 5,6,7,8,9,10,11,12,13}, 0))"),3)</f>
        <v>3</v>
      </c>
      <c r="V175" s="11">
        <f ca="1">IFERROR(__xludf.DUMMYFUNCTION("""COMPUTED_VALUE"""),7)</f>
        <v>7</v>
      </c>
      <c r="W175" s="11">
        <f ca="1">IFERROR(__xludf.DUMMYFUNCTION("""COMPUTED_VALUE"""),2)</f>
        <v>2</v>
      </c>
      <c r="X175" s="11">
        <f ca="1">IFERROR(__xludf.DUMMYFUNCTION("""COMPUTED_VALUE"""),12)</f>
        <v>12</v>
      </c>
      <c r="Y175" s="11">
        <f ca="1">IFERROR(__xludf.DUMMYFUNCTION("""COMPUTED_VALUE"""),5)</f>
        <v>5</v>
      </c>
      <c r="Z175" s="29">
        <f ca="1">IFERROR(__xludf.DUMMYFUNCTION("""COMPUTED_VALUE"""),9)</f>
        <v>9</v>
      </c>
      <c r="AA175" s="29">
        <f ca="1">IFERROR(__xludf.DUMMYFUNCTION("""COMPUTED_VALUE"""),1)</f>
        <v>1</v>
      </c>
      <c r="AB175" s="12">
        <f ca="1">IFERROR(__xludf.DUMMYFUNCTION("""COMPUTED_VALUE"""),15)</f>
        <v>15</v>
      </c>
      <c r="AC175" s="12"/>
      <c r="AD175" s="12"/>
      <c r="AE175" s="12"/>
      <c r="AF175" s="12"/>
      <c r="AG175" s="13" t="str">
        <f ca="1">IFERROR(__xludf.DUMMYFUNCTION("ArrayFormula(VLOOKUP(G175, IMPORTRANGE(""https://docs.google.com/spreadsheets/d/1Co934fvtviyaRiMsrIlT05Jaq7iiYq07aLvRr35KA48/edit?gid=173865642#gid=173865642"", ""'G6_Maths_Pri_LU'!G2:V2000""), {3, 4, 5, 6, 7, 8, 9, 10, 11, 12, 13, 14, 15, 16}, 0))"),"LU000121")</f>
        <v>LU000121</v>
      </c>
      <c r="AH175" s="13" t="str">
        <f ca="1">IFERROR(__xludf.DUMMYFUNCTION("""COMPUTED_VALUE"""),"Division of five-digit numbers by one-digit/two-digit/three-digit/four-digit numbers using standard algorithms")</f>
        <v>Division of five-digit numbers by one-digit/two-digit/three-digit/four-digit numbers using standard algorithms</v>
      </c>
      <c r="AI175" s="13"/>
      <c r="AJ175" s="13"/>
      <c r="AK175" s="13"/>
      <c r="AL175" s="13"/>
      <c r="AM175" s="13"/>
      <c r="AN175" s="13"/>
      <c r="AO175" s="13"/>
      <c r="AP175" s="13"/>
      <c r="AQ175" s="13"/>
      <c r="AR175" s="13"/>
      <c r="AS175" s="13"/>
      <c r="AT175" s="13"/>
    </row>
    <row r="176" spans="1:46">
      <c r="A176" s="8"/>
      <c r="B176" s="8"/>
      <c r="C176" s="8"/>
      <c r="D176" s="8"/>
      <c r="E176" s="8"/>
      <c r="F176" s="8"/>
      <c r="G176" s="8"/>
      <c r="H176" s="8"/>
      <c r="I176" s="8"/>
      <c r="J176" s="8"/>
      <c r="K176" s="8"/>
      <c r="L176" s="8"/>
      <c r="M176" s="8"/>
      <c r="N176" s="8"/>
      <c r="O176" s="8"/>
      <c r="P176" s="8"/>
      <c r="Q176" s="8"/>
      <c r="R176" s="8"/>
      <c r="S176" s="8"/>
      <c r="T176" s="8"/>
      <c r="U176" s="12"/>
      <c r="V176" s="12"/>
      <c r="W176" s="12"/>
      <c r="X176" s="12"/>
      <c r="Y176" s="29"/>
      <c r="Z176" s="29"/>
      <c r="AA176" s="29"/>
      <c r="AB176" s="12"/>
      <c r="AC176" s="12"/>
      <c r="AD176" s="12"/>
      <c r="AE176" s="12"/>
      <c r="AF176" s="12"/>
    </row>
    <row r="177" spans="1:32">
      <c r="A177" s="8"/>
      <c r="B177" s="8"/>
      <c r="C177" s="8"/>
      <c r="D177" s="8"/>
      <c r="E177" s="8"/>
      <c r="F177" s="8"/>
      <c r="G177" s="8"/>
      <c r="H177" s="8"/>
      <c r="I177" s="8"/>
      <c r="J177" s="8"/>
      <c r="K177" s="8"/>
      <c r="L177" s="8"/>
      <c r="M177" s="8"/>
      <c r="N177" s="8"/>
      <c r="O177" s="8"/>
      <c r="P177" s="8"/>
      <c r="Q177" s="8"/>
      <c r="R177" s="8"/>
      <c r="S177" s="8"/>
      <c r="T177" s="8"/>
      <c r="U177" s="12"/>
      <c r="V177" s="12"/>
      <c r="W177" s="12"/>
      <c r="X177" s="12"/>
      <c r="Y177" s="29"/>
      <c r="Z177" s="29"/>
      <c r="AA177" s="29"/>
      <c r="AB177" s="12"/>
      <c r="AC177" s="12"/>
      <c r="AD177" s="12"/>
      <c r="AE177" s="12"/>
      <c r="AF177" s="12"/>
    </row>
    <row r="178" spans="1:32">
      <c r="A178" s="8"/>
      <c r="B178" s="8"/>
      <c r="C178" s="8"/>
      <c r="D178" s="8"/>
      <c r="E178" s="8"/>
      <c r="F178" s="8"/>
      <c r="G178" s="30"/>
      <c r="H178" s="8"/>
      <c r="I178" s="8"/>
      <c r="J178" s="8"/>
      <c r="K178" s="8"/>
      <c r="L178" s="8"/>
      <c r="M178" s="8"/>
      <c r="N178" s="8"/>
      <c r="O178" s="8"/>
      <c r="P178" s="8"/>
      <c r="Q178" s="8"/>
      <c r="R178" s="8"/>
      <c r="S178" s="8"/>
      <c r="T178" s="8"/>
      <c r="U178" s="12"/>
      <c r="V178" s="12"/>
      <c r="W178" s="12"/>
      <c r="X178" s="12"/>
      <c r="Y178" s="29"/>
      <c r="Z178" s="29"/>
      <c r="AA178" s="29"/>
      <c r="AB178" s="12"/>
      <c r="AC178" s="12"/>
      <c r="AD178" s="12"/>
      <c r="AE178" s="12"/>
      <c r="AF178" s="12"/>
    </row>
    <row r="179" spans="1:32">
      <c r="A179" s="8"/>
      <c r="B179" s="8"/>
      <c r="C179" s="8"/>
      <c r="D179" s="8"/>
      <c r="E179" s="8"/>
      <c r="F179" s="8"/>
      <c r="G179" s="8"/>
      <c r="H179" s="8"/>
      <c r="I179" s="8"/>
      <c r="J179" s="8"/>
      <c r="K179" s="8"/>
      <c r="L179" s="8"/>
      <c r="M179" s="8"/>
      <c r="N179" s="8"/>
      <c r="O179" s="8"/>
      <c r="P179" s="8"/>
      <c r="Q179" s="8"/>
      <c r="R179" s="8"/>
      <c r="S179" s="8"/>
      <c r="T179" s="8"/>
      <c r="U179" s="12"/>
      <c r="V179" s="12"/>
      <c r="W179" s="12"/>
      <c r="X179" s="12"/>
      <c r="Y179" s="29"/>
      <c r="Z179" s="29"/>
      <c r="AA179" s="29"/>
      <c r="AB179" s="12"/>
      <c r="AC179" s="12"/>
      <c r="AD179" s="12"/>
      <c r="AE179" s="12"/>
      <c r="AF179" s="12"/>
    </row>
    <row r="180" spans="1:32">
      <c r="A180" s="8"/>
      <c r="B180" s="8"/>
      <c r="C180" s="8"/>
      <c r="D180" s="8"/>
      <c r="E180" s="8"/>
      <c r="F180" s="8"/>
      <c r="G180" s="8"/>
      <c r="H180" s="8"/>
      <c r="I180" s="8"/>
      <c r="J180" s="8"/>
      <c r="K180" s="8"/>
      <c r="L180" s="8"/>
      <c r="M180" s="8"/>
      <c r="N180" s="8"/>
      <c r="O180" s="8"/>
      <c r="P180" s="8"/>
      <c r="Q180" s="8"/>
      <c r="R180" s="8"/>
      <c r="S180" s="8"/>
      <c r="T180" s="8"/>
      <c r="U180" s="12"/>
      <c r="V180" s="12"/>
      <c r="W180" s="12"/>
      <c r="X180" s="12"/>
      <c r="Y180" s="29"/>
      <c r="Z180" s="29"/>
      <c r="AA180" s="29"/>
      <c r="AB180" s="12"/>
      <c r="AC180" s="12"/>
      <c r="AD180" s="12"/>
      <c r="AE180" s="12"/>
      <c r="AF180" s="12"/>
    </row>
    <row r="181" spans="1:32">
      <c r="A181" s="8"/>
      <c r="B181" s="8"/>
      <c r="C181" s="8"/>
      <c r="D181" s="8"/>
      <c r="E181" s="8"/>
      <c r="F181" s="8"/>
      <c r="G181" s="8"/>
      <c r="H181" s="8"/>
      <c r="I181" s="8"/>
      <c r="J181" s="8"/>
      <c r="K181" s="8"/>
      <c r="L181" s="8"/>
      <c r="M181" s="8"/>
      <c r="N181" s="8"/>
      <c r="O181" s="8"/>
      <c r="P181" s="8"/>
      <c r="Q181" s="8"/>
      <c r="R181" s="8"/>
      <c r="S181" s="8"/>
      <c r="T181" s="8"/>
      <c r="U181" s="12"/>
      <c r="V181" s="12"/>
      <c r="W181" s="12"/>
      <c r="X181" s="12"/>
      <c r="Y181" s="29"/>
      <c r="Z181" s="29"/>
      <c r="AA181" s="29"/>
      <c r="AB181" s="12"/>
      <c r="AC181" s="12"/>
      <c r="AD181" s="12"/>
      <c r="AE181" s="12"/>
      <c r="AF181" s="12"/>
    </row>
    <row r="182" spans="1:32">
      <c r="A182" s="8"/>
      <c r="B182" s="8"/>
      <c r="C182" s="8"/>
      <c r="D182" s="8"/>
      <c r="E182" s="8"/>
      <c r="F182" s="8"/>
      <c r="G182" s="8"/>
      <c r="H182" s="8"/>
      <c r="I182" s="8"/>
      <c r="J182" s="8"/>
      <c r="K182" s="8"/>
      <c r="L182" s="8"/>
      <c r="M182" s="8"/>
      <c r="N182" s="8"/>
      <c r="O182" s="8"/>
      <c r="P182" s="8"/>
      <c r="Q182" s="8"/>
      <c r="R182" s="8"/>
      <c r="S182" s="8"/>
      <c r="T182" s="8"/>
      <c r="U182" s="12"/>
      <c r="V182" s="12"/>
      <c r="W182" s="12"/>
      <c r="X182" s="12"/>
      <c r="Y182" s="29"/>
      <c r="Z182" s="29"/>
      <c r="AA182" s="29"/>
      <c r="AB182" s="12"/>
      <c r="AC182" s="12"/>
      <c r="AD182" s="12"/>
      <c r="AE182" s="12"/>
      <c r="AF182" s="12"/>
    </row>
    <row r="183" spans="1:32">
      <c r="A183" s="8"/>
      <c r="B183" s="8"/>
      <c r="C183" s="8"/>
      <c r="D183" s="8"/>
      <c r="E183" s="8"/>
      <c r="F183" s="8"/>
      <c r="G183" s="8"/>
      <c r="H183" s="8"/>
      <c r="I183" s="8"/>
      <c r="J183" s="8"/>
      <c r="K183" s="8"/>
      <c r="L183" s="8"/>
      <c r="M183" s="8"/>
      <c r="N183" s="8"/>
      <c r="O183" s="8"/>
      <c r="P183" s="8"/>
      <c r="Q183" s="8"/>
      <c r="R183" s="8"/>
      <c r="S183" s="8"/>
      <c r="T183" s="8"/>
      <c r="U183" s="12"/>
      <c r="V183" s="12"/>
      <c r="W183" s="12"/>
      <c r="X183" s="12"/>
      <c r="Y183" s="29"/>
      <c r="Z183" s="29"/>
      <c r="AA183" s="29"/>
      <c r="AB183" s="12"/>
      <c r="AC183" s="12"/>
      <c r="AD183" s="12"/>
      <c r="AE183" s="12"/>
      <c r="AF183" s="12"/>
    </row>
    <row r="184" spans="1:32">
      <c r="A184" s="8"/>
      <c r="B184" s="8"/>
      <c r="C184" s="8"/>
      <c r="D184" s="8"/>
      <c r="E184" s="8"/>
      <c r="F184" s="8"/>
      <c r="G184" s="8"/>
      <c r="H184" s="8"/>
      <c r="I184" s="8"/>
      <c r="J184" s="8"/>
      <c r="K184" s="8"/>
      <c r="L184" s="8"/>
      <c r="M184" s="8"/>
      <c r="N184" s="8"/>
      <c r="O184" s="8"/>
      <c r="P184" s="8"/>
      <c r="Q184" s="8"/>
      <c r="R184" s="8"/>
      <c r="S184" s="8"/>
      <c r="T184" s="8"/>
      <c r="U184" s="12"/>
      <c r="V184" s="12"/>
      <c r="W184" s="12"/>
      <c r="X184" s="12"/>
      <c r="Y184" s="29"/>
      <c r="Z184" s="29"/>
      <c r="AA184" s="29"/>
      <c r="AB184" s="12"/>
      <c r="AC184" s="12"/>
      <c r="AD184" s="12"/>
      <c r="AE184" s="12"/>
      <c r="AF184" s="12"/>
    </row>
    <row r="185" spans="1:32">
      <c r="A185" s="8"/>
      <c r="B185" s="8"/>
      <c r="C185" s="8"/>
      <c r="D185" s="8"/>
      <c r="E185" s="8"/>
      <c r="F185" s="8"/>
      <c r="G185" s="8"/>
      <c r="H185" s="8"/>
      <c r="I185" s="8"/>
      <c r="J185" s="8"/>
      <c r="K185" s="8"/>
      <c r="L185" s="8"/>
      <c r="M185" s="8"/>
      <c r="N185" s="8"/>
      <c r="O185" s="8"/>
      <c r="P185" s="8"/>
      <c r="Q185" s="8"/>
      <c r="R185" s="8"/>
      <c r="S185" s="8"/>
      <c r="T185" s="8"/>
      <c r="U185" s="12"/>
      <c r="V185" s="12"/>
      <c r="W185" s="12"/>
      <c r="X185" s="12"/>
      <c r="Y185" s="29"/>
      <c r="Z185" s="29"/>
      <c r="AA185" s="29"/>
      <c r="AB185" s="12"/>
      <c r="AC185" s="12"/>
      <c r="AD185" s="12"/>
      <c r="AE185" s="12"/>
      <c r="AF185" s="12"/>
    </row>
    <row r="186" spans="1:32">
      <c r="A186" s="8"/>
      <c r="B186" s="8"/>
      <c r="C186" s="8"/>
      <c r="D186" s="8"/>
      <c r="E186" s="8"/>
      <c r="F186" s="8"/>
      <c r="G186" s="8"/>
      <c r="H186" s="8"/>
      <c r="I186" s="8"/>
      <c r="J186" s="8"/>
      <c r="K186" s="8"/>
      <c r="L186" s="8"/>
      <c r="M186" s="8"/>
      <c r="N186" s="8"/>
      <c r="O186" s="8"/>
      <c r="P186" s="8"/>
      <c r="Q186" s="8"/>
      <c r="R186" s="8"/>
      <c r="S186" s="8"/>
      <c r="T186" s="8"/>
      <c r="U186" s="12"/>
      <c r="V186" s="12"/>
      <c r="W186" s="12"/>
      <c r="X186" s="12"/>
      <c r="Y186" s="29"/>
      <c r="Z186" s="29"/>
      <c r="AA186" s="29"/>
      <c r="AB186" s="12"/>
      <c r="AC186" s="12"/>
      <c r="AD186" s="12"/>
      <c r="AE186" s="12"/>
      <c r="AF186" s="12"/>
    </row>
    <row r="187" spans="1:32">
      <c r="A187" s="8"/>
      <c r="B187" s="8"/>
      <c r="C187" s="8"/>
      <c r="D187" s="8"/>
      <c r="E187" s="8"/>
      <c r="F187" s="8"/>
      <c r="G187" s="8"/>
      <c r="H187" s="8"/>
      <c r="I187" s="8"/>
      <c r="J187" s="8"/>
      <c r="K187" s="8"/>
      <c r="L187" s="8"/>
      <c r="M187" s="8"/>
      <c r="N187" s="8"/>
      <c r="O187" s="8"/>
      <c r="P187" s="8"/>
      <c r="Q187" s="8"/>
      <c r="R187" s="8"/>
      <c r="S187" s="8"/>
      <c r="T187" s="8"/>
      <c r="U187" s="12"/>
      <c r="V187" s="12"/>
      <c r="W187" s="12"/>
      <c r="X187" s="12"/>
      <c r="Y187" s="29"/>
      <c r="Z187" s="29"/>
      <c r="AA187" s="29"/>
      <c r="AB187" s="12"/>
      <c r="AC187" s="12"/>
      <c r="AD187" s="12"/>
      <c r="AE187" s="12"/>
      <c r="AF187" s="12"/>
    </row>
    <row r="188" spans="1:32">
      <c r="A188" s="8"/>
      <c r="B188" s="8"/>
      <c r="C188" s="8"/>
      <c r="D188" s="8"/>
      <c r="E188" s="8"/>
      <c r="F188" s="8"/>
      <c r="G188" s="8"/>
      <c r="H188" s="8"/>
      <c r="I188" s="8"/>
      <c r="J188" s="8"/>
      <c r="K188" s="8"/>
      <c r="L188" s="8"/>
      <c r="M188" s="8"/>
      <c r="N188" s="8"/>
      <c r="O188" s="8"/>
      <c r="P188" s="8"/>
      <c r="Q188" s="8"/>
      <c r="R188" s="8"/>
      <c r="S188" s="8"/>
      <c r="T188" s="8"/>
      <c r="U188" s="12"/>
      <c r="V188" s="12"/>
      <c r="W188" s="12"/>
      <c r="X188" s="12"/>
      <c r="Y188" s="29"/>
      <c r="Z188" s="29"/>
      <c r="AA188" s="29"/>
      <c r="AB188" s="12"/>
      <c r="AC188" s="12"/>
      <c r="AD188" s="12"/>
      <c r="AE188" s="12"/>
      <c r="AF188" s="12"/>
    </row>
    <row r="189" spans="1:32">
      <c r="A189" s="8"/>
      <c r="B189" s="8"/>
      <c r="C189" s="8"/>
      <c r="D189" s="8"/>
      <c r="E189" s="8"/>
      <c r="F189" s="8"/>
      <c r="G189" s="8"/>
      <c r="H189" s="8"/>
      <c r="I189" s="8"/>
      <c r="J189" s="8"/>
      <c r="K189" s="8"/>
      <c r="L189" s="8"/>
      <c r="M189" s="8"/>
      <c r="N189" s="8"/>
      <c r="O189" s="8"/>
      <c r="P189" s="8"/>
      <c r="Q189" s="8"/>
      <c r="R189" s="8"/>
      <c r="S189" s="8"/>
      <c r="T189" s="8"/>
      <c r="U189" s="12"/>
      <c r="V189" s="12"/>
      <c r="W189" s="12"/>
      <c r="X189" s="12"/>
      <c r="Y189" s="29"/>
      <c r="Z189" s="29"/>
      <c r="AA189" s="29"/>
      <c r="AB189" s="12"/>
      <c r="AC189" s="12"/>
      <c r="AD189" s="12"/>
      <c r="AE189" s="12"/>
      <c r="AF189" s="12"/>
    </row>
    <row r="190" spans="1:32">
      <c r="A190" s="8"/>
      <c r="B190" s="8"/>
      <c r="C190" s="8"/>
      <c r="D190" s="8"/>
      <c r="E190" s="8"/>
      <c r="F190" s="8"/>
      <c r="G190" s="8"/>
      <c r="H190" s="8"/>
      <c r="I190" s="8"/>
      <c r="J190" s="8"/>
      <c r="K190" s="8"/>
      <c r="L190" s="8"/>
      <c r="M190" s="8"/>
      <c r="N190" s="8"/>
      <c r="O190" s="8"/>
      <c r="P190" s="8"/>
      <c r="Q190" s="8"/>
      <c r="R190" s="8"/>
      <c r="S190" s="8"/>
      <c r="T190" s="8"/>
      <c r="U190" s="12"/>
      <c r="V190" s="12"/>
      <c r="W190" s="12"/>
      <c r="X190" s="12"/>
      <c r="Y190" s="29"/>
      <c r="Z190" s="29"/>
      <c r="AA190" s="29"/>
      <c r="AB190" s="12"/>
      <c r="AC190" s="12"/>
      <c r="AD190" s="12"/>
      <c r="AE190" s="12"/>
      <c r="AF190" s="12"/>
    </row>
    <row r="191" spans="1:32">
      <c r="A191" s="8"/>
      <c r="B191" s="8"/>
      <c r="C191" s="8"/>
      <c r="D191" s="8"/>
      <c r="E191" s="8"/>
      <c r="F191" s="8"/>
      <c r="G191" s="8"/>
      <c r="H191" s="8"/>
      <c r="I191" s="8"/>
      <c r="J191" s="8"/>
      <c r="K191" s="8"/>
      <c r="L191" s="8"/>
      <c r="M191" s="8"/>
      <c r="N191" s="8"/>
      <c r="O191" s="8"/>
      <c r="P191" s="8"/>
      <c r="Q191" s="8"/>
      <c r="R191" s="8"/>
      <c r="S191" s="8"/>
      <c r="T191" s="8"/>
      <c r="U191" s="12"/>
      <c r="V191" s="12"/>
      <c r="W191" s="12"/>
      <c r="X191" s="12"/>
      <c r="Y191" s="29"/>
      <c r="Z191" s="29"/>
      <c r="AA191" s="29"/>
      <c r="AB191" s="12"/>
      <c r="AC191" s="12"/>
      <c r="AD191" s="12"/>
      <c r="AE191" s="12"/>
      <c r="AF191" s="12"/>
    </row>
    <row r="192" spans="1:32">
      <c r="A192" s="8"/>
      <c r="B192" s="8"/>
      <c r="C192" s="8"/>
      <c r="D192" s="8"/>
      <c r="E192" s="8"/>
      <c r="F192" s="8"/>
      <c r="G192" s="8"/>
      <c r="H192" s="8"/>
      <c r="I192" s="8"/>
      <c r="J192" s="8"/>
      <c r="K192" s="8"/>
      <c r="L192" s="8"/>
      <c r="M192" s="8"/>
      <c r="N192" s="8"/>
      <c r="O192" s="8"/>
      <c r="P192" s="8"/>
      <c r="Q192" s="8"/>
      <c r="R192" s="8"/>
      <c r="S192" s="8"/>
      <c r="T192" s="8"/>
      <c r="U192" s="12"/>
      <c r="V192" s="12"/>
      <c r="W192" s="12"/>
      <c r="X192" s="12"/>
      <c r="Y192" s="29"/>
      <c r="Z192" s="29"/>
      <c r="AA192" s="29"/>
      <c r="AB192" s="12"/>
      <c r="AC192" s="12"/>
      <c r="AD192" s="12"/>
      <c r="AE192" s="12"/>
      <c r="AF192" s="12"/>
    </row>
    <row r="193" spans="1:32">
      <c r="A193" s="8"/>
      <c r="B193" s="8"/>
      <c r="C193" s="8"/>
      <c r="D193" s="8"/>
      <c r="E193" s="8"/>
      <c r="F193" s="8"/>
      <c r="G193" s="8"/>
      <c r="H193" s="8"/>
      <c r="I193" s="8"/>
      <c r="J193" s="8"/>
      <c r="K193" s="8"/>
      <c r="L193" s="8"/>
      <c r="M193" s="8"/>
      <c r="N193" s="8"/>
      <c r="O193" s="8"/>
      <c r="P193" s="8"/>
      <c r="Q193" s="8"/>
      <c r="R193" s="8"/>
      <c r="S193" s="8"/>
      <c r="T193" s="8"/>
      <c r="U193" s="12"/>
      <c r="V193" s="12"/>
      <c r="W193" s="12"/>
      <c r="X193" s="12"/>
      <c r="Y193" s="29"/>
      <c r="Z193" s="29"/>
      <c r="AA193" s="29"/>
      <c r="AB193" s="12"/>
      <c r="AC193" s="12"/>
      <c r="AD193" s="12"/>
      <c r="AE193" s="12"/>
      <c r="AF193" s="12"/>
    </row>
    <row r="194" spans="1:32">
      <c r="A194" s="8"/>
      <c r="B194" s="8"/>
      <c r="C194" s="8"/>
      <c r="D194" s="8"/>
      <c r="E194" s="8"/>
      <c r="F194" s="8"/>
      <c r="G194" s="8"/>
      <c r="H194" s="8"/>
      <c r="I194" s="8"/>
      <c r="J194" s="8"/>
      <c r="K194" s="8"/>
      <c r="L194" s="8"/>
      <c r="M194" s="8"/>
      <c r="N194" s="8"/>
      <c r="O194" s="8"/>
      <c r="P194" s="8"/>
      <c r="Q194" s="8"/>
      <c r="R194" s="8"/>
      <c r="S194" s="8"/>
      <c r="T194" s="8"/>
      <c r="U194" s="12"/>
      <c r="V194" s="12"/>
      <c r="W194" s="12"/>
      <c r="X194" s="12"/>
      <c r="Y194" s="29"/>
      <c r="Z194" s="29"/>
      <c r="AA194" s="29"/>
      <c r="AB194" s="12"/>
      <c r="AC194" s="12"/>
      <c r="AD194" s="12"/>
      <c r="AE194" s="12"/>
      <c r="AF194" s="12"/>
    </row>
    <row r="195" spans="1:32">
      <c r="A195" s="8"/>
      <c r="B195" s="8"/>
      <c r="C195" s="8"/>
      <c r="D195" s="8"/>
      <c r="E195" s="8"/>
      <c r="F195" s="8"/>
      <c r="G195" s="8"/>
      <c r="H195" s="8"/>
      <c r="I195" s="8"/>
      <c r="J195" s="8"/>
      <c r="K195" s="8"/>
      <c r="L195" s="8"/>
      <c r="M195" s="8"/>
      <c r="N195" s="8"/>
      <c r="O195" s="8"/>
      <c r="P195" s="8"/>
      <c r="Q195" s="8"/>
      <c r="R195" s="8"/>
      <c r="S195" s="8"/>
      <c r="T195" s="8"/>
      <c r="U195" s="12"/>
      <c r="V195" s="12"/>
      <c r="W195" s="12"/>
      <c r="X195" s="12"/>
      <c r="Y195" s="29"/>
      <c r="Z195" s="29"/>
      <c r="AA195" s="29"/>
      <c r="AB195" s="12"/>
      <c r="AC195" s="12"/>
      <c r="AD195" s="12"/>
      <c r="AE195" s="12"/>
      <c r="AF195" s="12"/>
    </row>
    <row r="196" spans="1:32">
      <c r="A196" s="8"/>
      <c r="B196" s="8"/>
      <c r="C196" s="8"/>
      <c r="D196" s="8"/>
      <c r="E196" s="8"/>
      <c r="F196" s="8"/>
      <c r="G196" s="8"/>
      <c r="H196" s="8"/>
      <c r="I196" s="8"/>
      <c r="J196" s="8"/>
      <c r="K196" s="8"/>
      <c r="L196" s="8"/>
      <c r="M196" s="8"/>
      <c r="N196" s="8"/>
      <c r="O196" s="8"/>
      <c r="P196" s="8"/>
      <c r="Q196" s="8"/>
      <c r="R196" s="8"/>
      <c r="S196" s="8"/>
      <c r="T196" s="8"/>
      <c r="U196" s="12"/>
      <c r="V196" s="12"/>
      <c r="W196" s="12"/>
      <c r="X196" s="12"/>
      <c r="Y196" s="29"/>
      <c r="Z196" s="29"/>
      <c r="AA196" s="29"/>
      <c r="AB196" s="12"/>
      <c r="AC196" s="12"/>
      <c r="AD196" s="12"/>
      <c r="AE196" s="12"/>
      <c r="AF196" s="12"/>
    </row>
    <row r="197" spans="1:32">
      <c r="A197" s="8"/>
      <c r="B197" s="8"/>
      <c r="C197" s="8"/>
      <c r="D197" s="8"/>
      <c r="E197" s="8"/>
      <c r="F197" s="8"/>
      <c r="G197" s="8"/>
      <c r="H197" s="8"/>
      <c r="I197" s="8"/>
      <c r="J197" s="8"/>
      <c r="K197" s="8"/>
      <c r="L197" s="8"/>
      <c r="M197" s="8"/>
      <c r="N197" s="8"/>
      <c r="O197" s="8"/>
      <c r="P197" s="8"/>
      <c r="Q197" s="8"/>
      <c r="R197" s="8"/>
      <c r="S197" s="8"/>
      <c r="T197" s="8"/>
      <c r="U197" s="12"/>
      <c r="V197" s="12"/>
      <c r="W197" s="12"/>
      <c r="X197" s="12"/>
      <c r="Y197" s="29"/>
      <c r="Z197" s="29"/>
      <c r="AA197" s="29"/>
      <c r="AB197" s="12"/>
      <c r="AC197" s="12"/>
      <c r="AD197" s="12"/>
      <c r="AE197" s="12"/>
      <c r="AF197" s="12"/>
    </row>
    <row r="198" spans="1:32">
      <c r="A198" s="8"/>
      <c r="B198" s="8"/>
      <c r="C198" s="8"/>
      <c r="D198" s="8"/>
      <c r="E198" s="8"/>
      <c r="F198" s="8"/>
      <c r="G198" s="8"/>
      <c r="H198" s="8"/>
      <c r="I198" s="8"/>
      <c r="J198" s="8"/>
      <c r="K198" s="8"/>
      <c r="L198" s="8"/>
      <c r="M198" s="8"/>
      <c r="N198" s="8"/>
      <c r="O198" s="8"/>
      <c r="P198" s="8"/>
      <c r="Q198" s="8"/>
      <c r="R198" s="8"/>
      <c r="S198" s="8"/>
      <c r="T198" s="8"/>
      <c r="U198" s="12"/>
      <c r="V198" s="12"/>
      <c r="W198" s="12"/>
      <c r="X198" s="12"/>
      <c r="Y198" s="29"/>
      <c r="Z198" s="29"/>
      <c r="AA198" s="29"/>
      <c r="AB198" s="12"/>
      <c r="AC198" s="12"/>
      <c r="AD198" s="12"/>
      <c r="AE198" s="12"/>
      <c r="AF198" s="12"/>
    </row>
    <row r="199" spans="1:32">
      <c r="A199" s="8"/>
      <c r="B199" s="8"/>
      <c r="C199" s="8"/>
      <c r="D199" s="8"/>
      <c r="E199" s="8"/>
      <c r="F199" s="8"/>
      <c r="G199" s="8"/>
      <c r="H199" s="8"/>
      <c r="I199" s="8"/>
      <c r="J199" s="8"/>
      <c r="K199" s="8"/>
      <c r="L199" s="8"/>
      <c r="M199" s="8"/>
      <c r="N199" s="8"/>
      <c r="O199" s="8"/>
      <c r="P199" s="8"/>
      <c r="Q199" s="8"/>
      <c r="R199" s="8"/>
      <c r="S199" s="8"/>
      <c r="T199" s="8"/>
      <c r="U199" s="12"/>
      <c r="V199" s="12"/>
      <c r="W199" s="12"/>
      <c r="X199" s="12"/>
      <c r="Y199" s="29"/>
      <c r="Z199" s="29"/>
      <c r="AA199" s="29"/>
      <c r="AB199" s="12"/>
      <c r="AC199" s="12"/>
      <c r="AD199" s="12"/>
      <c r="AE199" s="12"/>
      <c r="AF199" s="12"/>
    </row>
    <row r="200" spans="1:32">
      <c r="A200" s="8"/>
      <c r="B200" s="8"/>
      <c r="C200" s="8"/>
      <c r="D200" s="8"/>
      <c r="E200" s="8"/>
      <c r="F200" s="8"/>
      <c r="G200" s="8"/>
      <c r="H200" s="8"/>
      <c r="I200" s="8"/>
      <c r="J200" s="8"/>
      <c r="K200" s="8"/>
      <c r="L200" s="8"/>
      <c r="M200" s="8"/>
      <c r="N200" s="8"/>
      <c r="O200" s="8"/>
      <c r="P200" s="8"/>
      <c r="Q200" s="8"/>
      <c r="R200" s="8"/>
      <c r="S200" s="8"/>
      <c r="T200" s="8"/>
      <c r="U200" s="12"/>
      <c r="V200" s="12"/>
      <c r="W200" s="12"/>
      <c r="X200" s="12"/>
      <c r="Y200" s="29"/>
      <c r="Z200" s="29"/>
      <c r="AA200" s="29"/>
      <c r="AB200" s="12"/>
      <c r="AC200" s="12"/>
      <c r="AD200" s="12"/>
      <c r="AE200" s="12"/>
      <c r="AF200" s="12"/>
    </row>
    <row r="201" spans="1:32">
      <c r="A201" s="8"/>
      <c r="B201" s="8"/>
      <c r="C201" s="8"/>
      <c r="D201" s="8"/>
      <c r="E201" s="8"/>
      <c r="F201" s="8"/>
      <c r="G201" s="8"/>
      <c r="H201" s="8"/>
      <c r="I201" s="8"/>
      <c r="J201" s="8"/>
      <c r="K201" s="8"/>
      <c r="L201" s="8"/>
      <c r="M201" s="8"/>
      <c r="N201" s="8"/>
      <c r="O201" s="8"/>
      <c r="P201" s="8"/>
      <c r="Q201" s="8"/>
      <c r="R201" s="8"/>
      <c r="S201" s="8"/>
      <c r="T201" s="8"/>
      <c r="U201" s="12"/>
      <c r="V201" s="12"/>
      <c r="W201" s="12"/>
      <c r="X201" s="12"/>
      <c r="Y201" s="29"/>
      <c r="Z201" s="29"/>
      <c r="AA201" s="29"/>
      <c r="AB201" s="12"/>
      <c r="AC201" s="12"/>
      <c r="AD201" s="12"/>
      <c r="AE201" s="12"/>
      <c r="AF201" s="12"/>
    </row>
    <row r="202" spans="1:32">
      <c r="A202" s="8"/>
      <c r="B202" s="8"/>
      <c r="C202" s="8"/>
      <c r="D202" s="8"/>
      <c r="E202" s="8"/>
      <c r="F202" s="8"/>
      <c r="G202" s="8"/>
      <c r="H202" s="8"/>
      <c r="I202" s="8"/>
      <c r="J202" s="8"/>
      <c r="K202" s="8"/>
      <c r="L202" s="8"/>
      <c r="M202" s="8"/>
      <c r="N202" s="8"/>
      <c r="O202" s="8"/>
      <c r="P202" s="8"/>
      <c r="Q202" s="8"/>
      <c r="R202" s="8"/>
      <c r="S202" s="8"/>
      <c r="T202" s="8"/>
      <c r="U202" s="12"/>
      <c r="V202" s="12"/>
      <c r="W202" s="12"/>
      <c r="X202" s="12"/>
      <c r="Y202" s="29"/>
      <c r="Z202" s="29"/>
      <c r="AA202" s="29"/>
      <c r="AB202" s="12"/>
      <c r="AC202" s="12"/>
      <c r="AD202" s="12"/>
      <c r="AE202" s="12"/>
      <c r="AF202" s="12"/>
    </row>
    <row r="203" spans="1:32">
      <c r="A203" s="8"/>
      <c r="B203" s="8"/>
      <c r="C203" s="8"/>
      <c r="D203" s="8"/>
      <c r="E203" s="8"/>
      <c r="F203" s="8"/>
      <c r="G203" s="8"/>
      <c r="H203" s="8"/>
      <c r="I203" s="8"/>
      <c r="J203" s="8"/>
      <c r="K203" s="8"/>
      <c r="L203" s="8"/>
      <c r="M203" s="8"/>
      <c r="N203" s="8"/>
      <c r="O203" s="8"/>
      <c r="P203" s="8"/>
      <c r="Q203" s="8"/>
      <c r="R203" s="8"/>
      <c r="S203" s="8"/>
      <c r="T203" s="8"/>
      <c r="U203" s="12"/>
      <c r="V203" s="12"/>
      <c r="W203" s="12"/>
      <c r="X203" s="12"/>
      <c r="Y203" s="29"/>
      <c r="Z203" s="29"/>
      <c r="AA203" s="29"/>
      <c r="AB203" s="12"/>
      <c r="AC203" s="12"/>
      <c r="AD203" s="12"/>
      <c r="AE203" s="12"/>
      <c r="AF203" s="12"/>
    </row>
    <row r="204" spans="1:32">
      <c r="A204" s="8"/>
      <c r="B204" s="8"/>
      <c r="C204" s="8"/>
      <c r="D204" s="8"/>
      <c r="E204" s="8"/>
      <c r="F204" s="8"/>
      <c r="G204" s="8"/>
      <c r="H204" s="8"/>
      <c r="I204" s="8"/>
      <c r="J204" s="8"/>
      <c r="K204" s="8"/>
      <c r="L204" s="8"/>
      <c r="M204" s="8"/>
      <c r="N204" s="8"/>
      <c r="O204" s="8"/>
      <c r="P204" s="8"/>
      <c r="Q204" s="8"/>
      <c r="R204" s="8"/>
      <c r="S204" s="8"/>
      <c r="T204" s="8"/>
      <c r="U204" s="12"/>
      <c r="V204" s="12"/>
      <c r="W204" s="12"/>
      <c r="X204" s="12"/>
      <c r="Y204" s="29"/>
      <c r="Z204" s="29"/>
      <c r="AA204" s="29"/>
      <c r="AB204" s="12"/>
      <c r="AC204" s="12"/>
      <c r="AD204" s="12"/>
      <c r="AE204" s="12"/>
      <c r="AF204" s="12"/>
    </row>
    <row r="205" spans="1:32">
      <c r="A205" s="8"/>
      <c r="B205" s="8"/>
      <c r="C205" s="8"/>
      <c r="D205" s="8"/>
      <c r="E205" s="8"/>
      <c r="F205" s="8"/>
      <c r="G205" s="8"/>
      <c r="H205" s="8"/>
      <c r="I205" s="8"/>
      <c r="J205" s="8"/>
      <c r="K205" s="8"/>
      <c r="L205" s="8"/>
      <c r="M205" s="8"/>
      <c r="N205" s="8"/>
      <c r="O205" s="8"/>
      <c r="P205" s="8"/>
      <c r="Q205" s="8"/>
      <c r="R205" s="8"/>
      <c r="S205" s="8"/>
      <c r="T205" s="8"/>
      <c r="U205" s="12"/>
      <c r="V205" s="12"/>
      <c r="W205" s="12"/>
      <c r="X205" s="12"/>
      <c r="Y205" s="29"/>
      <c r="Z205" s="29"/>
      <c r="AA205" s="29"/>
      <c r="AB205" s="12"/>
      <c r="AC205" s="12"/>
      <c r="AD205" s="12"/>
      <c r="AE205" s="12"/>
      <c r="AF205" s="12"/>
    </row>
    <row r="206" spans="1:32">
      <c r="A206" s="8"/>
      <c r="B206" s="8"/>
      <c r="C206" s="8"/>
      <c r="D206" s="8"/>
      <c r="E206" s="8"/>
      <c r="F206" s="8"/>
      <c r="G206" s="8"/>
      <c r="H206" s="8"/>
      <c r="I206" s="8"/>
      <c r="J206" s="8"/>
      <c r="K206" s="8"/>
      <c r="L206" s="8"/>
      <c r="M206" s="8"/>
      <c r="N206" s="8"/>
      <c r="O206" s="8"/>
      <c r="P206" s="8"/>
      <c r="Q206" s="8"/>
      <c r="R206" s="8"/>
      <c r="S206" s="8"/>
      <c r="T206" s="8"/>
      <c r="U206" s="12"/>
      <c r="V206" s="12"/>
      <c r="W206" s="12"/>
      <c r="X206" s="12"/>
      <c r="Y206" s="29"/>
      <c r="Z206" s="29"/>
      <c r="AA206" s="29"/>
      <c r="AB206" s="12"/>
      <c r="AC206" s="12"/>
      <c r="AD206" s="12"/>
      <c r="AE206" s="12"/>
      <c r="AF206" s="12"/>
    </row>
    <row r="207" spans="1:32">
      <c r="A207" s="8"/>
      <c r="B207" s="8"/>
      <c r="C207" s="8"/>
      <c r="D207" s="8"/>
      <c r="E207" s="8"/>
      <c r="F207" s="8"/>
      <c r="G207" s="8"/>
      <c r="H207" s="8"/>
      <c r="I207" s="8"/>
      <c r="J207" s="8"/>
      <c r="K207" s="8"/>
      <c r="L207" s="8"/>
      <c r="M207" s="8"/>
      <c r="N207" s="8"/>
      <c r="O207" s="8"/>
      <c r="P207" s="8"/>
      <c r="Q207" s="8"/>
      <c r="R207" s="8"/>
      <c r="S207" s="8"/>
      <c r="T207" s="8"/>
      <c r="U207" s="12"/>
      <c r="V207" s="12"/>
      <c r="W207" s="12"/>
      <c r="X207" s="12"/>
      <c r="Y207" s="29"/>
      <c r="Z207" s="29"/>
      <c r="AA207" s="29"/>
      <c r="AB207" s="12"/>
      <c r="AC207" s="12"/>
      <c r="AD207" s="12"/>
      <c r="AE207" s="12"/>
      <c r="AF207" s="12"/>
    </row>
    <row r="208" spans="1:32">
      <c r="A208" s="8"/>
      <c r="B208" s="8"/>
      <c r="C208" s="8"/>
      <c r="D208" s="8"/>
      <c r="E208" s="8"/>
      <c r="F208" s="8"/>
      <c r="G208" s="8"/>
      <c r="H208" s="8"/>
      <c r="I208" s="8"/>
      <c r="J208" s="8"/>
      <c r="K208" s="8"/>
      <c r="L208" s="8"/>
      <c r="M208" s="8"/>
      <c r="N208" s="8"/>
      <c r="O208" s="8"/>
      <c r="P208" s="8"/>
      <c r="Q208" s="8"/>
      <c r="R208" s="8"/>
      <c r="S208" s="8"/>
      <c r="T208" s="8"/>
      <c r="U208" s="12"/>
      <c r="V208" s="12"/>
      <c r="W208" s="12"/>
      <c r="X208" s="12"/>
      <c r="Y208" s="29"/>
      <c r="Z208" s="29"/>
      <c r="AA208" s="29"/>
      <c r="AB208" s="12"/>
      <c r="AC208" s="12"/>
      <c r="AD208" s="12"/>
      <c r="AE208" s="12"/>
      <c r="AF208" s="12"/>
    </row>
    <row r="209" spans="1:32">
      <c r="A209" s="8"/>
      <c r="B209" s="8"/>
      <c r="C209" s="8"/>
      <c r="D209" s="8"/>
      <c r="E209" s="8"/>
      <c r="F209" s="8"/>
      <c r="G209" s="8"/>
      <c r="H209" s="8"/>
      <c r="I209" s="8"/>
      <c r="J209" s="8"/>
      <c r="K209" s="8"/>
      <c r="L209" s="8"/>
      <c r="M209" s="8"/>
      <c r="N209" s="8"/>
      <c r="O209" s="8"/>
      <c r="P209" s="8"/>
      <c r="Q209" s="8"/>
      <c r="R209" s="8"/>
      <c r="S209" s="8"/>
      <c r="T209" s="8"/>
      <c r="U209" s="12"/>
      <c r="V209" s="12"/>
      <c r="W209" s="12"/>
      <c r="X209" s="12"/>
      <c r="Y209" s="29"/>
      <c r="Z209" s="29"/>
      <c r="AA209" s="29"/>
      <c r="AB209" s="12"/>
      <c r="AC209" s="12"/>
      <c r="AD209" s="12"/>
      <c r="AE209" s="12"/>
      <c r="AF209" s="12"/>
    </row>
    <row r="210" spans="1:32">
      <c r="A210" s="8"/>
      <c r="B210" s="8"/>
      <c r="C210" s="8"/>
      <c r="D210" s="8"/>
      <c r="E210" s="8"/>
      <c r="F210" s="8"/>
      <c r="G210" s="8"/>
      <c r="H210" s="8"/>
      <c r="I210" s="8"/>
      <c r="J210" s="8"/>
      <c r="K210" s="8"/>
      <c r="L210" s="8"/>
      <c r="M210" s="8"/>
      <c r="N210" s="8"/>
      <c r="O210" s="8"/>
      <c r="P210" s="8"/>
      <c r="Q210" s="8"/>
      <c r="R210" s="8"/>
      <c r="S210" s="8"/>
      <c r="T210" s="8"/>
      <c r="U210" s="12"/>
      <c r="V210" s="12"/>
      <c r="W210" s="12"/>
      <c r="X210" s="12"/>
      <c r="Y210" s="29"/>
      <c r="Z210" s="29"/>
      <c r="AA210" s="29"/>
      <c r="AB210" s="12"/>
      <c r="AC210" s="12"/>
      <c r="AD210" s="12"/>
      <c r="AE210" s="12"/>
      <c r="AF210" s="12"/>
    </row>
    <row r="211" spans="1:32">
      <c r="A211" s="8"/>
      <c r="B211" s="8"/>
      <c r="C211" s="8"/>
      <c r="D211" s="8"/>
      <c r="E211" s="8"/>
      <c r="F211" s="8"/>
      <c r="G211" s="8"/>
      <c r="H211" s="8"/>
      <c r="I211" s="8"/>
      <c r="J211" s="8"/>
      <c r="K211" s="8"/>
      <c r="L211" s="8"/>
      <c r="M211" s="8"/>
      <c r="N211" s="8"/>
      <c r="O211" s="8"/>
      <c r="P211" s="8"/>
      <c r="Q211" s="8"/>
      <c r="R211" s="8"/>
      <c r="S211" s="8"/>
      <c r="T211" s="8"/>
      <c r="U211" s="12"/>
      <c r="V211" s="12"/>
      <c r="W211" s="12"/>
      <c r="X211" s="12"/>
      <c r="Y211" s="29"/>
      <c r="Z211" s="29"/>
      <c r="AA211" s="29"/>
      <c r="AB211" s="12"/>
      <c r="AC211" s="12"/>
      <c r="AD211" s="12"/>
      <c r="AE211" s="12"/>
      <c r="AF211" s="12"/>
    </row>
    <row r="212" spans="1:32">
      <c r="A212" s="8"/>
      <c r="B212" s="8"/>
      <c r="C212" s="8"/>
      <c r="D212" s="8"/>
      <c r="E212" s="8"/>
      <c r="F212" s="8"/>
      <c r="G212" s="8"/>
      <c r="H212" s="8"/>
      <c r="I212" s="8"/>
      <c r="J212" s="8"/>
      <c r="K212" s="8"/>
      <c r="L212" s="8"/>
      <c r="M212" s="8"/>
      <c r="N212" s="8"/>
      <c r="O212" s="8"/>
      <c r="P212" s="8"/>
      <c r="Q212" s="8"/>
      <c r="R212" s="8"/>
      <c r="S212" s="8"/>
      <c r="T212" s="8"/>
      <c r="U212" s="12"/>
      <c r="V212" s="12"/>
      <c r="W212" s="12"/>
      <c r="X212" s="12"/>
      <c r="Y212" s="29"/>
      <c r="Z212" s="29"/>
      <c r="AA212" s="29"/>
      <c r="AB212" s="12"/>
      <c r="AC212" s="12"/>
      <c r="AD212" s="12"/>
      <c r="AE212" s="12"/>
      <c r="AF212" s="12"/>
    </row>
    <row r="213" spans="1:32">
      <c r="A213" s="8"/>
      <c r="B213" s="8"/>
      <c r="C213" s="8"/>
      <c r="D213" s="8"/>
      <c r="E213" s="8"/>
      <c r="F213" s="8"/>
      <c r="G213" s="8"/>
      <c r="H213" s="8"/>
      <c r="I213" s="8"/>
      <c r="J213" s="8"/>
      <c r="K213" s="8"/>
      <c r="L213" s="8"/>
      <c r="M213" s="8"/>
      <c r="N213" s="8"/>
      <c r="O213" s="8"/>
      <c r="P213" s="8"/>
      <c r="Q213" s="8"/>
      <c r="R213" s="8"/>
      <c r="S213" s="8"/>
      <c r="T213" s="8"/>
      <c r="U213" s="12"/>
      <c r="V213" s="12"/>
      <c r="W213" s="12"/>
      <c r="X213" s="12"/>
      <c r="Y213" s="29"/>
      <c r="Z213" s="29"/>
      <c r="AA213" s="29"/>
      <c r="AB213" s="12"/>
      <c r="AC213" s="12"/>
      <c r="AD213" s="12"/>
      <c r="AE213" s="12"/>
      <c r="AF213" s="12"/>
    </row>
    <row r="214" spans="1:32">
      <c r="A214" s="8"/>
      <c r="B214" s="8"/>
      <c r="C214" s="8"/>
      <c r="D214" s="8"/>
      <c r="E214" s="8"/>
      <c r="F214" s="8"/>
      <c r="G214" s="8"/>
      <c r="H214" s="8"/>
      <c r="I214" s="8"/>
      <c r="J214" s="8"/>
      <c r="K214" s="8"/>
      <c r="L214" s="8"/>
      <c r="M214" s="8"/>
      <c r="N214" s="8"/>
      <c r="O214" s="8"/>
      <c r="P214" s="8"/>
      <c r="Q214" s="8"/>
      <c r="R214" s="8"/>
      <c r="S214" s="8"/>
      <c r="T214" s="8"/>
      <c r="U214" s="12"/>
      <c r="V214" s="12"/>
      <c r="W214" s="12"/>
      <c r="X214" s="12"/>
      <c r="Y214" s="29"/>
      <c r="Z214" s="29"/>
      <c r="AA214" s="29"/>
      <c r="AB214" s="12"/>
      <c r="AC214" s="12"/>
      <c r="AD214" s="12"/>
      <c r="AE214" s="12"/>
      <c r="AF214" s="12"/>
    </row>
    <row r="215" spans="1:32">
      <c r="A215" s="8"/>
      <c r="B215" s="8"/>
      <c r="C215" s="8"/>
      <c r="D215" s="8"/>
      <c r="E215" s="8"/>
      <c r="F215" s="8"/>
      <c r="G215" s="8"/>
      <c r="H215" s="8"/>
      <c r="I215" s="8"/>
      <c r="J215" s="8"/>
      <c r="K215" s="8"/>
      <c r="L215" s="8"/>
      <c r="M215" s="8"/>
      <c r="N215" s="8"/>
      <c r="O215" s="8"/>
      <c r="P215" s="8"/>
      <c r="Q215" s="8"/>
      <c r="R215" s="8"/>
      <c r="S215" s="8"/>
      <c r="T215" s="8"/>
      <c r="U215" s="12"/>
      <c r="V215" s="12"/>
      <c r="W215" s="12"/>
      <c r="X215" s="12"/>
      <c r="Y215" s="29"/>
      <c r="Z215" s="29"/>
      <c r="AA215" s="29"/>
      <c r="AB215" s="12"/>
      <c r="AC215" s="12"/>
      <c r="AD215" s="12"/>
      <c r="AE215" s="12"/>
      <c r="AF215" s="12"/>
    </row>
    <row r="216" spans="1:32">
      <c r="A216" s="8"/>
      <c r="B216" s="8"/>
      <c r="C216" s="8"/>
      <c r="D216" s="8"/>
      <c r="E216" s="8"/>
      <c r="F216" s="8"/>
      <c r="G216" s="8"/>
      <c r="H216" s="8"/>
      <c r="I216" s="8"/>
      <c r="J216" s="8"/>
      <c r="K216" s="8"/>
      <c r="L216" s="8"/>
      <c r="M216" s="8"/>
      <c r="N216" s="8"/>
      <c r="O216" s="8"/>
      <c r="P216" s="8"/>
      <c r="Q216" s="8"/>
      <c r="R216" s="8"/>
      <c r="S216" s="8"/>
      <c r="T216" s="8"/>
      <c r="U216" s="12"/>
      <c r="V216" s="12"/>
      <c r="W216" s="12"/>
      <c r="X216" s="12"/>
      <c r="Y216" s="29"/>
      <c r="Z216" s="29"/>
      <c r="AA216" s="29"/>
      <c r="AB216" s="12"/>
      <c r="AC216" s="12"/>
      <c r="AD216" s="12"/>
      <c r="AE216" s="12"/>
      <c r="AF216" s="12"/>
    </row>
    <row r="217" spans="1:32">
      <c r="A217" s="8"/>
      <c r="B217" s="8"/>
      <c r="C217" s="8"/>
      <c r="D217" s="8"/>
      <c r="E217" s="8"/>
      <c r="F217" s="8"/>
      <c r="G217" s="8"/>
      <c r="H217" s="8"/>
      <c r="I217" s="8"/>
      <c r="J217" s="8"/>
      <c r="K217" s="8"/>
      <c r="L217" s="8"/>
      <c r="M217" s="8"/>
      <c r="N217" s="8"/>
      <c r="O217" s="8"/>
      <c r="P217" s="8"/>
      <c r="Q217" s="8"/>
      <c r="R217" s="8"/>
      <c r="S217" s="8"/>
      <c r="T217" s="8"/>
      <c r="U217" s="12"/>
      <c r="V217" s="12"/>
      <c r="W217" s="12"/>
      <c r="X217" s="12"/>
      <c r="Y217" s="29"/>
      <c r="Z217" s="29"/>
      <c r="AA217" s="29"/>
      <c r="AB217" s="12"/>
      <c r="AC217" s="12"/>
      <c r="AD217" s="12"/>
      <c r="AE217" s="12"/>
      <c r="AF217" s="12"/>
    </row>
    <row r="218" spans="1:32">
      <c r="A218" s="8"/>
      <c r="B218" s="8"/>
      <c r="C218" s="8"/>
      <c r="D218" s="8"/>
      <c r="E218" s="8"/>
      <c r="F218" s="8"/>
      <c r="G218" s="8"/>
      <c r="H218" s="8"/>
      <c r="I218" s="8"/>
      <c r="J218" s="8"/>
      <c r="K218" s="8"/>
      <c r="L218" s="8"/>
      <c r="M218" s="8"/>
      <c r="N218" s="8"/>
      <c r="O218" s="8"/>
      <c r="P218" s="8"/>
      <c r="Q218" s="8"/>
      <c r="R218" s="8"/>
      <c r="S218" s="8"/>
      <c r="T218" s="8"/>
      <c r="U218" s="12"/>
      <c r="V218" s="12"/>
      <c r="W218" s="12"/>
      <c r="X218" s="12"/>
      <c r="Y218" s="29"/>
      <c r="Z218" s="29"/>
      <c r="AA218" s="29"/>
      <c r="AB218" s="12"/>
      <c r="AC218" s="12"/>
      <c r="AD218" s="12"/>
      <c r="AE218" s="12"/>
      <c r="AF218" s="12"/>
    </row>
    <row r="219" spans="1:32">
      <c r="A219" s="8"/>
      <c r="B219" s="8"/>
      <c r="C219" s="8"/>
      <c r="D219" s="8"/>
      <c r="E219" s="8"/>
      <c r="F219" s="8"/>
      <c r="G219" s="8"/>
      <c r="H219" s="8"/>
      <c r="I219" s="8"/>
      <c r="J219" s="8"/>
      <c r="K219" s="8"/>
      <c r="L219" s="8"/>
      <c r="M219" s="8"/>
      <c r="N219" s="8"/>
      <c r="O219" s="8"/>
      <c r="P219" s="8"/>
      <c r="Q219" s="8"/>
      <c r="R219" s="8"/>
      <c r="S219" s="8"/>
      <c r="T219" s="8"/>
      <c r="U219" s="12"/>
      <c r="V219" s="12"/>
      <c r="W219" s="12"/>
      <c r="X219" s="12"/>
      <c r="Y219" s="29"/>
      <c r="Z219" s="29"/>
      <c r="AA219" s="29"/>
      <c r="AB219" s="12"/>
      <c r="AC219" s="12"/>
      <c r="AD219" s="12"/>
      <c r="AE219" s="12"/>
      <c r="AF219" s="12"/>
    </row>
    <row r="220" spans="1:32">
      <c r="A220" s="8"/>
      <c r="B220" s="8"/>
      <c r="C220" s="8"/>
      <c r="D220" s="8"/>
      <c r="E220" s="8"/>
      <c r="F220" s="8"/>
      <c r="G220" s="8"/>
      <c r="H220" s="8"/>
      <c r="I220" s="8"/>
      <c r="J220" s="8"/>
      <c r="K220" s="8"/>
      <c r="L220" s="8"/>
      <c r="M220" s="8"/>
      <c r="N220" s="8"/>
      <c r="O220" s="8"/>
      <c r="P220" s="8"/>
      <c r="Q220" s="8"/>
      <c r="R220" s="8"/>
      <c r="S220" s="8"/>
      <c r="T220" s="8"/>
      <c r="U220" s="12"/>
      <c r="V220" s="12"/>
      <c r="W220" s="12"/>
      <c r="X220" s="12"/>
      <c r="Y220" s="29"/>
      <c r="Z220" s="29"/>
      <c r="AA220" s="29"/>
      <c r="AB220" s="12"/>
      <c r="AC220" s="12"/>
      <c r="AD220" s="12"/>
      <c r="AE220" s="12"/>
      <c r="AF220" s="12"/>
    </row>
    <row r="221" spans="1:32">
      <c r="A221" s="8"/>
      <c r="B221" s="8"/>
      <c r="C221" s="8"/>
      <c r="D221" s="8"/>
      <c r="E221" s="8"/>
      <c r="F221" s="8"/>
      <c r="G221" s="8"/>
      <c r="H221" s="8"/>
      <c r="I221" s="8"/>
      <c r="J221" s="8"/>
      <c r="K221" s="8"/>
      <c r="L221" s="8"/>
      <c r="M221" s="8"/>
      <c r="N221" s="8"/>
      <c r="O221" s="8"/>
      <c r="P221" s="8"/>
      <c r="Q221" s="8"/>
      <c r="R221" s="8"/>
      <c r="S221" s="8"/>
      <c r="T221" s="8"/>
      <c r="U221" s="12"/>
      <c r="V221" s="12"/>
      <c r="W221" s="12"/>
      <c r="X221" s="12"/>
      <c r="Y221" s="29"/>
      <c r="Z221" s="29"/>
      <c r="AA221" s="29"/>
      <c r="AB221" s="12"/>
      <c r="AC221" s="12"/>
      <c r="AD221" s="12"/>
      <c r="AE221" s="12"/>
      <c r="AF221" s="12"/>
    </row>
    <row r="222" spans="1:32">
      <c r="A222" s="8"/>
      <c r="B222" s="8"/>
      <c r="C222" s="8"/>
      <c r="D222" s="8"/>
      <c r="E222" s="8"/>
      <c r="F222" s="8"/>
      <c r="G222" s="8"/>
      <c r="H222" s="8"/>
      <c r="I222" s="8"/>
      <c r="J222" s="8"/>
      <c r="K222" s="8"/>
      <c r="L222" s="8"/>
      <c r="M222" s="8"/>
      <c r="N222" s="8"/>
      <c r="O222" s="8"/>
      <c r="P222" s="8"/>
      <c r="Q222" s="8"/>
      <c r="R222" s="8"/>
      <c r="S222" s="8"/>
      <c r="T222" s="8"/>
      <c r="U222" s="12"/>
      <c r="V222" s="12"/>
      <c r="W222" s="12"/>
      <c r="X222" s="12"/>
      <c r="Y222" s="29"/>
      <c r="Z222" s="29"/>
      <c r="AA222" s="29"/>
      <c r="AB222" s="12"/>
      <c r="AC222" s="12"/>
      <c r="AD222" s="12"/>
      <c r="AE222" s="12"/>
      <c r="AF222" s="12"/>
    </row>
    <row r="223" spans="1:32">
      <c r="A223" s="8"/>
      <c r="B223" s="8"/>
      <c r="C223" s="8"/>
      <c r="D223" s="8"/>
      <c r="E223" s="8"/>
      <c r="F223" s="8"/>
      <c r="G223" s="8"/>
      <c r="H223" s="8"/>
      <c r="I223" s="8"/>
      <c r="J223" s="8"/>
      <c r="K223" s="8"/>
      <c r="L223" s="8"/>
      <c r="M223" s="8"/>
      <c r="N223" s="8"/>
      <c r="O223" s="8"/>
      <c r="P223" s="8"/>
      <c r="Q223" s="8"/>
      <c r="R223" s="8"/>
      <c r="S223" s="8"/>
      <c r="T223" s="8"/>
      <c r="U223" s="12"/>
      <c r="V223" s="12"/>
      <c r="W223" s="12"/>
      <c r="X223" s="12"/>
      <c r="Y223" s="29"/>
      <c r="Z223" s="29"/>
      <c r="AA223" s="29"/>
      <c r="AB223" s="12"/>
      <c r="AC223" s="12"/>
      <c r="AD223" s="12"/>
      <c r="AE223" s="12"/>
      <c r="AF223" s="12"/>
    </row>
    <row r="224" spans="1:32">
      <c r="A224" s="8"/>
      <c r="B224" s="8"/>
      <c r="C224" s="8"/>
      <c r="D224" s="8"/>
      <c r="E224" s="8"/>
      <c r="F224" s="8"/>
      <c r="G224" s="8"/>
      <c r="H224" s="8"/>
      <c r="I224" s="8"/>
      <c r="J224" s="8"/>
      <c r="K224" s="8"/>
      <c r="L224" s="8"/>
      <c r="M224" s="8"/>
      <c r="N224" s="8"/>
      <c r="O224" s="8"/>
      <c r="P224" s="8"/>
      <c r="Q224" s="8"/>
      <c r="R224" s="8"/>
      <c r="S224" s="8"/>
      <c r="T224" s="8"/>
      <c r="U224" s="12"/>
      <c r="V224" s="12"/>
      <c r="W224" s="12"/>
      <c r="X224" s="12"/>
      <c r="Y224" s="29"/>
      <c r="Z224" s="29"/>
      <c r="AA224" s="29"/>
      <c r="AB224" s="12"/>
      <c r="AC224" s="12"/>
      <c r="AD224" s="12"/>
      <c r="AE224" s="12"/>
      <c r="AF224" s="12"/>
    </row>
    <row r="225" spans="1:32">
      <c r="A225" s="8"/>
      <c r="B225" s="8"/>
      <c r="C225" s="8"/>
      <c r="D225" s="8"/>
      <c r="E225" s="8"/>
      <c r="F225" s="8"/>
      <c r="G225" s="8"/>
      <c r="H225" s="8"/>
      <c r="I225" s="8"/>
      <c r="J225" s="8"/>
      <c r="K225" s="8"/>
      <c r="L225" s="8"/>
      <c r="M225" s="8"/>
      <c r="N225" s="8"/>
      <c r="O225" s="8"/>
      <c r="P225" s="8"/>
      <c r="Q225" s="8"/>
      <c r="R225" s="8"/>
      <c r="S225" s="8"/>
      <c r="T225" s="8"/>
      <c r="U225" s="12"/>
      <c r="V225" s="12"/>
      <c r="W225" s="12"/>
      <c r="X225" s="12"/>
      <c r="Y225" s="29"/>
      <c r="Z225" s="29"/>
      <c r="AA225" s="29"/>
      <c r="AB225" s="12"/>
      <c r="AC225" s="12"/>
      <c r="AD225" s="12"/>
      <c r="AE225" s="12"/>
      <c r="AF225" s="12"/>
    </row>
    <row r="226" spans="1:32">
      <c r="A226" s="8"/>
      <c r="B226" s="8"/>
      <c r="C226" s="8"/>
      <c r="D226" s="8"/>
      <c r="E226" s="8"/>
      <c r="F226" s="8"/>
      <c r="G226" s="8"/>
      <c r="H226" s="8"/>
      <c r="I226" s="8"/>
      <c r="J226" s="8"/>
      <c r="K226" s="8"/>
      <c r="L226" s="8"/>
      <c r="M226" s="8"/>
      <c r="N226" s="8"/>
      <c r="O226" s="8"/>
      <c r="P226" s="8"/>
      <c r="Q226" s="8"/>
      <c r="R226" s="8"/>
      <c r="S226" s="8"/>
      <c r="T226" s="8"/>
      <c r="U226" s="12"/>
      <c r="V226" s="12"/>
      <c r="W226" s="12"/>
      <c r="X226" s="12"/>
      <c r="Y226" s="29"/>
      <c r="Z226" s="29"/>
      <c r="AA226" s="29"/>
      <c r="AB226" s="12"/>
      <c r="AC226" s="12"/>
      <c r="AD226" s="12"/>
      <c r="AE226" s="12"/>
      <c r="AF226" s="12"/>
    </row>
    <row r="227" spans="1:32">
      <c r="A227" s="8"/>
      <c r="B227" s="8"/>
      <c r="C227" s="8"/>
      <c r="D227" s="8"/>
      <c r="E227" s="8"/>
      <c r="F227" s="8"/>
      <c r="G227" s="8"/>
      <c r="H227" s="8"/>
      <c r="I227" s="8"/>
      <c r="J227" s="8"/>
      <c r="K227" s="8"/>
      <c r="L227" s="8"/>
      <c r="M227" s="8"/>
      <c r="N227" s="8"/>
      <c r="O227" s="8"/>
      <c r="P227" s="8"/>
      <c r="Q227" s="8"/>
      <c r="R227" s="8"/>
      <c r="S227" s="8"/>
      <c r="T227" s="8"/>
      <c r="U227" s="12"/>
      <c r="V227" s="12"/>
      <c r="W227" s="12"/>
      <c r="X227" s="12"/>
      <c r="Y227" s="29"/>
      <c r="Z227" s="29"/>
      <c r="AA227" s="29"/>
      <c r="AB227" s="12"/>
      <c r="AC227" s="12"/>
      <c r="AD227" s="12"/>
      <c r="AE227" s="12"/>
      <c r="AF227" s="12"/>
    </row>
    <row r="228" spans="1:32">
      <c r="A228" s="8"/>
      <c r="B228" s="8"/>
      <c r="C228" s="8"/>
      <c r="D228" s="8"/>
      <c r="E228" s="8"/>
      <c r="F228" s="8"/>
      <c r="G228" s="8"/>
      <c r="H228" s="8"/>
      <c r="I228" s="8"/>
      <c r="J228" s="8"/>
      <c r="K228" s="8"/>
      <c r="L228" s="8"/>
      <c r="M228" s="8"/>
      <c r="N228" s="8"/>
      <c r="O228" s="8"/>
      <c r="P228" s="8"/>
      <c r="Q228" s="8"/>
      <c r="R228" s="8"/>
      <c r="S228" s="8"/>
      <c r="T228" s="8"/>
      <c r="U228" s="12"/>
      <c r="V228" s="12"/>
      <c r="W228" s="12"/>
      <c r="X228" s="12"/>
      <c r="Y228" s="29"/>
      <c r="Z228" s="29"/>
      <c r="AA228" s="29"/>
      <c r="AB228" s="12"/>
      <c r="AC228" s="12"/>
      <c r="AD228" s="12"/>
      <c r="AE228" s="12"/>
      <c r="AF228" s="12"/>
    </row>
    <row r="229" spans="1:32">
      <c r="A229" s="8"/>
      <c r="B229" s="8"/>
      <c r="C229" s="8"/>
      <c r="D229" s="8"/>
      <c r="E229" s="8"/>
      <c r="F229" s="8"/>
      <c r="G229" s="8"/>
      <c r="H229" s="8"/>
      <c r="I229" s="8"/>
      <c r="J229" s="8"/>
      <c r="K229" s="8"/>
      <c r="L229" s="8"/>
      <c r="M229" s="8"/>
      <c r="N229" s="8"/>
      <c r="O229" s="8"/>
      <c r="P229" s="8"/>
      <c r="Q229" s="8"/>
      <c r="R229" s="8"/>
      <c r="S229" s="8"/>
      <c r="T229" s="8"/>
      <c r="U229" s="12"/>
      <c r="V229" s="12"/>
      <c r="W229" s="12"/>
      <c r="X229" s="12"/>
      <c r="Y229" s="29"/>
      <c r="Z229" s="29"/>
      <c r="AA229" s="29"/>
      <c r="AB229" s="12"/>
      <c r="AC229" s="12"/>
      <c r="AD229" s="12"/>
      <c r="AE229" s="12"/>
      <c r="AF229" s="12"/>
    </row>
    <row r="230" spans="1:32">
      <c r="A230" s="8"/>
      <c r="B230" s="8"/>
      <c r="C230" s="8"/>
      <c r="D230" s="8"/>
      <c r="E230" s="8"/>
      <c r="F230" s="8"/>
      <c r="G230" s="8"/>
      <c r="H230" s="8"/>
      <c r="I230" s="8"/>
      <c r="J230" s="8"/>
      <c r="K230" s="8"/>
      <c r="L230" s="8"/>
      <c r="M230" s="8"/>
      <c r="N230" s="8"/>
      <c r="O230" s="8"/>
      <c r="P230" s="8"/>
      <c r="Q230" s="8"/>
      <c r="R230" s="8"/>
      <c r="S230" s="8"/>
      <c r="T230" s="8"/>
      <c r="U230" s="12"/>
      <c r="V230" s="12"/>
      <c r="W230" s="12"/>
      <c r="X230" s="12"/>
      <c r="Y230" s="29"/>
      <c r="Z230" s="29"/>
      <c r="AA230" s="29"/>
      <c r="AB230" s="12"/>
      <c r="AC230" s="12"/>
      <c r="AD230" s="12"/>
      <c r="AE230" s="12"/>
      <c r="AF230" s="12"/>
    </row>
    <row r="231" spans="1:32">
      <c r="A231" s="8"/>
      <c r="B231" s="8"/>
      <c r="C231" s="8"/>
      <c r="D231" s="8"/>
      <c r="E231" s="8"/>
      <c r="F231" s="8"/>
      <c r="G231" s="8"/>
      <c r="H231" s="8"/>
      <c r="I231" s="8"/>
      <c r="J231" s="8"/>
      <c r="K231" s="8"/>
      <c r="L231" s="8"/>
      <c r="M231" s="8"/>
      <c r="N231" s="8"/>
      <c r="O231" s="8"/>
      <c r="P231" s="8"/>
      <c r="Q231" s="8"/>
      <c r="R231" s="8"/>
      <c r="S231" s="8"/>
      <c r="T231" s="8"/>
      <c r="U231" s="12"/>
      <c r="V231" s="12"/>
      <c r="W231" s="12"/>
      <c r="X231" s="12"/>
      <c r="Y231" s="29"/>
      <c r="Z231" s="29"/>
      <c r="AA231" s="29"/>
      <c r="AB231" s="12"/>
      <c r="AC231" s="12"/>
      <c r="AD231" s="12"/>
      <c r="AE231" s="12"/>
      <c r="AF231" s="12"/>
    </row>
    <row r="232" spans="1:32">
      <c r="A232" s="8"/>
      <c r="B232" s="8"/>
      <c r="C232" s="8"/>
      <c r="D232" s="8"/>
      <c r="E232" s="8"/>
      <c r="F232" s="8"/>
      <c r="G232" s="8"/>
      <c r="H232" s="8"/>
      <c r="I232" s="8"/>
      <c r="J232" s="8"/>
      <c r="K232" s="8"/>
      <c r="L232" s="8"/>
      <c r="M232" s="8"/>
      <c r="N232" s="8"/>
      <c r="O232" s="8"/>
      <c r="P232" s="8"/>
      <c r="Q232" s="8"/>
      <c r="R232" s="8"/>
      <c r="S232" s="8"/>
      <c r="T232" s="8"/>
      <c r="U232" s="12"/>
      <c r="V232" s="12"/>
      <c r="W232" s="12"/>
      <c r="X232" s="12"/>
      <c r="Y232" s="29"/>
      <c r="Z232" s="29"/>
      <c r="AA232" s="29"/>
      <c r="AB232" s="12"/>
      <c r="AC232" s="12"/>
      <c r="AD232" s="12"/>
      <c r="AE232" s="12"/>
      <c r="AF232" s="12"/>
    </row>
    <row r="233" spans="1:32">
      <c r="A233" s="8"/>
      <c r="B233" s="8"/>
      <c r="C233" s="8"/>
      <c r="D233" s="8"/>
      <c r="E233" s="8"/>
      <c r="F233" s="8"/>
      <c r="G233" s="8"/>
      <c r="H233" s="8"/>
      <c r="I233" s="8"/>
      <c r="J233" s="8"/>
      <c r="K233" s="8"/>
      <c r="L233" s="8"/>
      <c r="M233" s="8"/>
      <c r="N233" s="8"/>
      <c r="O233" s="8"/>
      <c r="P233" s="8"/>
      <c r="Q233" s="8"/>
      <c r="R233" s="8"/>
      <c r="S233" s="8"/>
      <c r="T233" s="8"/>
      <c r="U233" s="12"/>
      <c r="V233" s="12"/>
      <c r="W233" s="12"/>
      <c r="X233" s="12"/>
      <c r="Y233" s="29"/>
      <c r="Z233" s="29"/>
      <c r="AA233" s="29"/>
      <c r="AB233" s="12"/>
      <c r="AC233" s="12"/>
      <c r="AD233" s="12"/>
      <c r="AE233" s="12"/>
      <c r="AF233" s="12"/>
    </row>
    <row r="234" spans="1:32">
      <c r="A234" s="8"/>
      <c r="B234" s="8"/>
      <c r="C234" s="8"/>
      <c r="D234" s="8"/>
      <c r="E234" s="8"/>
      <c r="F234" s="8"/>
      <c r="G234" s="8"/>
      <c r="H234" s="8"/>
      <c r="I234" s="8"/>
      <c r="J234" s="8"/>
      <c r="K234" s="8"/>
      <c r="L234" s="8"/>
      <c r="M234" s="8"/>
      <c r="N234" s="8"/>
      <c r="O234" s="8"/>
      <c r="P234" s="8"/>
      <c r="Q234" s="8"/>
      <c r="R234" s="8"/>
      <c r="S234" s="8"/>
      <c r="T234" s="8"/>
      <c r="U234" s="12"/>
      <c r="V234" s="12"/>
      <c r="W234" s="12"/>
      <c r="X234" s="12"/>
      <c r="Y234" s="29"/>
      <c r="Z234" s="29"/>
      <c r="AA234" s="29"/>
      <c r="AB234" s="12"/>
      <c r="AC234" s="12"/>
      <c r="AD234" s="12"/>
      <c r="AE234" s="12"/>
      <c r="AF234" s="12"/>
    </row>
    <row r="235" spans="1:32">
      <c r="A235" s="8"/>
      <c r="B235" s="8"/>
      <c r="C235" s="8"/>
      <c r="D235" s="8"/>
      <c r="E235" s="8"/>
      <c r="F235" s="8"/>
      <c r="G235" s="8"/>
      <c r="H235" s="8"/>
      <c r="I235" s="8"/>
      <c r="J235" s="8"/>
      <c r="K235" s="8"/>
      <c r="L235" s="8"/>
      <c r="M235" s="8"/>
      <c r="N235" s="8"/>
      <c r="O235" s="8"/>
      <c r="P235" s="8"/>
      <c r="Q235" s="8"/>
      <c r="R235" s="8"/>
      <c r="S235" s="8"/>
      <c r="T235" s="8"/>
      <c r="U235" s="12"/>
      <c r="V235" s="12"/>
      <c r="W235" s="12"/>
      <c r="X235" s="12"/>
      <c r="Y235" s="29"/>
      <c r="Z235" s="29"/>
      <c r="AA235" s="29"/>
      <c r="AB235" s="12"/>
      <c r="AC235" s="12"/>
      <c r="AD235" s="12"/>
      <c r="AE235" s="12"/>
      <c r="AF235" s="12"/>
    </row>
    <row r="236" spans="1:32">
      <c r="A236" s="8"/>
      <c r="B236" s="8"/>
      <c r="C236" s="8"/>
      <c r="D236" s="8"/>
      <c r="E236" s="8"/>
      <c r="F236" s="8"/>
      <c r="G236" s="8"/>
      <c r="H236" s="8"/>
      <c r="I236" s="8"/>
      <c r="J236" s="8"/>
      <c r="K236" s="8"/>
      <c r="L236" s="8"/>
      <c r="M236" s="8"/>
      <c r="N236" s="8"/>
      <c r="O236" s="8"/>
      <c r="P236" s="8"/>
      <c r="Q236" s="8"/>
      <c r="R236" s="8"/>
      <c r="S236" s="8"/>
      <c r="T236" s="8"/>
      <c r="U236" s="12"/>
      <c r="V236" s="12"/>
      <c r="W236" s="12"/>
      <c r="X236" s="12"/>
      <c r="Y236" s="29"/>
      <c r="Z236" s="29"/>
      <c r="AA236" s="29"/>
      <c r="AB236" s="12"/>
      <c r="AC236" s="12"/>
      <c r="AD236" s="12"/>
      <c r="AE236" s="12"/>
      <c r="AF236" s="12"/>
    </row>
    <row r="237" spans="1:32">
      <c r="A237" s="8"/>
      <c r="B237" s="8"/>
      <c r="C237" s="8"/>
      <c r="D237" s="8"/>
      <c r="E237" s="8"/>
      <c r="F237" s="8"/>
      <c r="G237" s="8"/>
      <c r="H237" s="8"/>
      <c r="I237" s="8"/>
      <c r="J237" s="8"/>
      <c r="K237" s="8"/>
      <c r="L237" s="8"/>
      <c r="M237" s="8"/>
      <c r="N237" s="8"/>
      <c r="O237" s="8"/>
      <c r="P237" s="8"/>
      <c r="Q237" s="8"/>
      <c r="R237" s="8"/>
      <c r="S237" s="8"/>
      <c r="T237" s="8"/>
      <c r="U237" s="12"/>
      <c r="V237" s="12"/>
      <c r="W237" s="12"/>
      <c r="X237" s="12"/>
      <c r="Y237" s="29"/>
      <c r="Z237" s="29"/>
      <c r="AA237" s="29"/>
      <c r="AB237" s="12"/>
      <c r="AC237" s="12"/>
      <c r="AD237" s="12"/>
      <c r="AE237" s="12"/>
      <c r="AF237" s="12"/>
    </row>
    <row r="238" spans="1:32">
      <c r="A238" s="8"/>
      <c r="B238" s="8"/>
      <c r="C238" s="8"/>
      <c r="D238" s="8"/>
      <c r="E238" s="8"/>
      <c r="F238" s="8"/>
      <c r="G238" s="8"/>
      <c r="H238" s="8"/>
      <c r="I238" s="8"/>
      <c r="J238" s="8"/>
      <c r="K238" s="8"/>
      <c r="L238" s="8"/>
      <c r="M238" s="8"/>
      <c r="N238" s="8"/>
      <c r="O238" s="8"/>
      <c r="P238" s="8"/>
      <c r="Q238" s="8"/>
      <c r="R238" s="8"/>
      <c r="S238" s="8"/>
      <c r="T238" s="8"/>
      <c r="U238" s="12"/>
      <c r="V238" s="12"/>
      <c r="W238" s="12"/>
      <c r="X238" s="12"/>
      <c r="Y238" s="29"/>
      <c r="Z238" s="29"/>
      <c r="AA238" s="29"/>
      <c r="AB238" s="12"/>
      <c r="AC238" s="12"/>
      <c r="AD238" s="12"/>
      <c r="AE238" s="12"/>
      <c r="AF238" s="12"/>
    </row>
    <row r="239" spans="1:32">
      <c r="A239" s="8"/>
      <c r="B239" s="8"/>
      <c r="C239" s="8"/>
      <c r="D239" s="8"/>
      <c r="E239" s="8"/>
      <c r="F239" s="8"/>
      <c r="G239" s="8"/>
      <c r="H239" s="8"/>
      <c r="I239" s="8"/>
      <c r="J239" s="8"/>
      <c r="K239" s="8"/>
      <c r="L239" s="8"/>
      <c r="M239" s="8"/>
      <c r="N239" s="8"/>
      <c r="O239" s="8"/>
      <c r="P239" s="8"/>
      <c r="Q239" s="8"/>
      <c r="R239" s="8"/>
      <c r="S239" s="8"/>
      <c r="T239" s="8"/>
      <c r="U239" s="12"/>
      <c r="V239" s="12"/>
      <c r="W239" s="12"/>
      <c r="X239" s="12"/>
      <c r="Y239" s="29"/>
      <c r="Z239" s="29"/>
      <c r="AA239" s="29"/>
      <c r="AB239" s="12"/>
      <c r="AC239" s="12"/>
      <c r="AD239" s="12"/>
      <c r="AE239" s="12"/>
      <c r="AF239" s="12"/>
    </row>
    <row r="240" spans="1:32">
      <c r="A240" s="8"/>
      <c r="B240" s="8"/>
      <c r="C240" s="8"/>
      <c r="D240" s="8"/>
      <c r="E240" s="8"/>
      <c r="F240" s="8"/>
      <c r="G240" s="8"/>
      <c r="H240" s="8"/>
      <c r="I240" s="8"/>
      <c r="J240" s="8"/>
      <c r="K240" s="8"/>
      <c r="L240" s="8"/>
      <c r="M240" s="8"/>
      <c r="N240" s="8"/>
      <c r="O240" s="8"/>
      <c r="P240" s="8"/>
      <c r="Q240" s="8"/>
      <c r="R240" s="8"/>
      <c r="S240" s="8"/>
      <c r="T240" s="8"/>
      <c r="U240" s="12"/>
      <c r="V240" s="12"/>
      <c r="W240" s="12"/>
      <c r="X240" s="12"/>
      <c r="Y240" s="29"/>
      <c r="Z240" s="29"/>
      <c r="AA240" s="29"/>
      <c r="AB240" s="12"/>
      <c r="AC240" s="12"/>
      <c r="AD240" s="12"/>
      <c r="AE240" s="12"/>
      <c r="AF240" s="12"/>
    </row>
    <row r="241" spans="1:32">
      <c r="A241" s="8"/>
      <c r="B241" s="8"/>
      <c r="C241" s="8"/>
      <c r="D241" s="8"/>
      <c r="E241" s="8"/>
      <c r="F241" s="8"/>
      <c r="G241" s="8"/>
      <c r="H241" s="8"/>
      <c r="I241" s="8"/>
      <c r="J241" s="8"/>
      <c r="K241" s="8"/>
      <c r="L241" s="8"/>
      <c r="M241" s="8"/>
      <c r="N241" s="8"/>
      <c r="O241" s="8"/>
      <c r="P241" s="8"/>
      <c r="Q241" s="8"/>
      <c r="R241" s="8"/>
      <c r="S241" s="8"/>
      <c r="T241" s="8"/>
      <c r="U241" s="12"/>
      <c r="V241" s="12"/>
      <c r="W241" s="12"/>
      <c r="X241" s="12"/>
      <c r="Y241" s="29"/>
      <c r="Z241" s="29"/>
      <c r="AA241" s="29"/>
      <c r="AB241" s="12"/>
      <c r="AC241" s="12"/>
      <c r="AD241" s="12"/>
      <c r="AE241" s="12"/>
      <c r="AF241" s="12"/>
    </row>
    <row r="242" spans="1:32">
      <c r="A242" s="8"/>
      <c r="B242" s="8"/>
      <c r="C242" s="8"/>
      <c r="D242" s="8"/>
      <c r="E242" s="8"/>
      <c r="F242" s="8"/>
      <c r="G242" s="8"/>
      <c r="H242" s="8"/>
      <c r="I242" s="8"/>
      <c r="J242" s="8"/>
      <c r="K242" s="8"/>
      <c r="L242" s="8"/>
      <c r="M242" s="8"/>
      <c r="N242" s="8"/>
      <c r="O242" s="8"/>
      <c r="P242" s="8"/>
      <c r="Q242" s="8"/>
      <c r="R242" s="8"/>
      <c r="S242" s="8"/>
      <c r="T242" s="8"/>
      <c r="U242" s="12"/>
      <c r="V242" s="12"/>
      <c r="W242" s="12"/>
      <c r="X242" s="12"/>
      <c r="Y242" s="29"/>
      <c r="Z242" s="29"/>
      <c r="AA242" s="29"/>
      <c r="AB242" s="12"/>
      <c r="AC242" s="12"/>
      <c r="AD242" s="12"/>
      <c r="AE242" s="12"/>
      <c r="AF242" s="12"/>
    </row>
    <row r="243" spans="1:32">
      <c r="A243" s="8"/>
      <c r="B243" s="8"/>
      <c r="C243" s="8"/>
      <c r="D243" s="8"/>
      <c r="E243" s="8"/>
      <c r="F243" s="8"/>
      <c r="G243" s="8"/>
      <c r="H243" s="8"/>
      <c r="I243" s="8"/>
      <c r="J243" s="8"/>
      <c r="K243" s="8"/>
      <c r="L243" s="8"/>
      <c r="M243" s="8"/>
      <c r="N243" s="8"/>
      <c r="O243" s="8"/>
      <c r="P243" s="8"/>
      <c r="Q243" s="8"/>
      <c r="R243" s="8"/>
      <c r="S243" s="8"/>
      <c r="T243" s="8"/>
      <c r="U243" s="12"/>
      <c r="V243" s="12"/>
      <c r="W243" s="12"/>
      <c r="X243" s="12"/>
      <c r="Y243" s="29"/>
      <c r="Z243" s="29"/>
      <c r="AA243" s="29"/>
      <c r="AB243" s="12"/>
      <c r="AC243" s="12"/>
      <c r="AD243" s="12"/>
      <c r="AE243" s="12"/>
      <c r="AF243" s="12"/>
    </row>
    <row r="244" spans="1:32">
      <c r="A244" s="8"/>
      <c r="B244" s="8"/>
      <c r="C244" s="8"/>
      <c r="D244" s="8"/>
      <c r="E244" s="8"/>
      <c r="F244" s="8"/>
      <c r="G244" s="8"/>
      <c r="H244" s="8"/>
      <c r="I244" s="8"/>
      <c r="J244" s="8"/>
      <c r="K244" s="8"/>
      <c r="L244" s="8"/>
      <c r="M244" s="8"/>
      <c r="N244" s="8"/>
      <c r="O244" s="8"/>
      <c r="P244" s="8"/>
      <c r="Q244" s="8"/>
      <c r="R244" s="8"/>
      <c r="S244" s="8"/>
      <c r="T244" s="8"/>
      <c r="U244" s="12"/>
      <c r="V244" s="12"/>
      <c r="W244" s="12"/>
      <c r="X244" s="12"/>
      <c r="Y244" s="29"/>
      <c r="Z244" s="29"/>
      <c r="AA244" s="29"/>
      <c r="AB244" s="12"/>
      <c r="AC244" s="12"/>
      <c r="AD244" s="12"/>
      <c r="AE244" s="12"/>
      <c r="AF244" s="12"/>
    </row>
    <row r="245" spans="1:32">
      <c r="A245" s="8"/>
      <c r="B245" s="8"/>
      <c r="C245" s="8"/>
      <c r="D245" s="8"/>
      <c r="E245" s="8"/>
      <c r="F245" s="8"/>
      <c r="G245" s="8"/>
      <c r="H245" s="8"/>
      <c r="I245" s="8"/>
      <c r="J245" s="8"/>
      <c r="K245" s="8"/>
      <c r="L245" s="8"/>
      <c r="M245" s="8"/>
      <c r="N245" s="8"/>
      <c r="O245" s="8"/>
      <c r="P245" s="8"/>
      <c r="Q245" s="8"/>
      <c r="R245" s="8"/>
      <c r="S245" s="8"/>
      <c r="T245" s="8"/>
      <c r="U245" s="12"/>
      <c r="V245" s="12"/>
      <c r="W245" s="12"/>
      <c r="X245" s="12"/>
      <c r="Y245" s="29"/>
      <c r="Z245" s="29"/>
      <c r="AA245" s="29"/>
      <c r="AB245" s="12"/>
      <c r="AC245" s="12"/>
      <c r="AD245" s="12"/>
      <c r="AE245" s="12"/>
      <c r="AF245" s="12"/>
    </row>
    <row r="246" spans="1:32">
      <c r="A246" s="8"/>
      <c r="B246" s="8"/>
      <c r="C246" s="8"/>
      <c r="D246" s="8"/>
      <c r="E246" s="8"/>
      <c r="F246" s="8"/>
      <c r="G246" s="8"/>
      <c r="H246" s="8"/>
      <c r="I246" s="8"/>
      <c r="J246" s="8"/>
      <c r="K246" s="8"/>
      <c r="L246" s="8"/>
      <c r="M246" s="8"/>
      <c r="N246" s="8"/>
      <c r="O246" s="8"/>
      <c r="P246" s="8"/>
      <c r="Q246" s="8"/>
      <c r="R246" s="8"/>
      <c r="S246" s="8"/>
      <c r="T246" s="8"/>
      <c r="U246" s="12"/>
      <c r="V246" s="12"/>
      <c r="W246" s="12"/>
      <c r="X246" s="12"/>
      <c r="Y246" s="29"/>
      <c r="Z246" s="29"/>
      <c r="AA246" s="29"/>
      <c r="AB246" s="12"/>
      <c r="AC246" s="12"/>
      <c r="AD246" s="12"/>
      <c r="AE246" s="12"/>
      <c r="AF246" s="12"/>
    </row>
    <row r="247" spans="1:32">
      <c r="A247" s="8"/>
      <c r="B247" s="8"/>
      <c r="C247" s="8"/>
      <c r="D247" s="8"/>
      <c r="E247" s="8"/>
      <c r="F247" s="8"/>
      <c r="G247" s="8"/>
      <c r="H247" s="8"/>
      <c r="I247" s="8"/>
      <c r="J247" s="8"/>
      <c r="K247" s="8"/>
      <c r="L247" s="8"/>
      <c r="M247" s="8"/>
      <c r="N247" s="8"/>
      <c r="O247" s="8"/>
      <c r="P247" s="8"/>
      <c r="Q247" s="8"/>
      <c r="R247" s="8"/>
      <c r="S247" s="8"/>
      <c r="T247" s="8"/>
      <c r="U247" s="12"/>
      <c r="V247" s="12"/>
      <c r="W247" s="12"/>
      <c r="X247" s="12"/>
      <c r="Y247" s="29"/>
      <c r="Z247" s="29"/>
      <c r="AA247" s="29"/>
      <c r="AB247" s="12"/>
      <c r="AC247" s="12"/>
      <c r="AD247" s="12"/>
      <c r="AE247" s="12"/>
      <c r="AF247" s="12"/>
    </row>
    <row r="248" spans="1:32">
      <c r="A248" s="8"/>
      <c r="B248" s="8"/>
      <c r="C248" s="8"/>
      <c r="D248" s="8"/>
      <c r="E248" s="8"/>
      <c r="F248" s="8"/>
      <c r="G248" s="8"/>
      <c r="H248" s="8"/>
      <c r="I248" s="8"/>
      <c r="J248" s="8"/>
      <c r="K248" s="8"/>
      <c r="L248" s="8"/>
      <c r="M248" s="8"/>
      <c r="N248" s="8"/>
      <c r="O248" s="8"/>
      <c r="P248" s="8"/>
      <c r="Q248" s="8"/>
      <c r="R248" s="8"/>
      <c r="S248" s="8"/>
      <c r="T248" s="8"/>
      <c r="U248" s="12"/>
      <c r="V248" s="12"/>
      <c r="W248" s="12"/>
      <c r="X248" s="12"/>
      <c r="Y248" s="29"/>
      <c r="Z248" s="29"/>
      <c r="AA248" s="29"/>
      <c r="AB248" s="12"/>
      <c r="AC248" s="12"/>
      <c r="AD248" s="12"/>
      <c r="AE248" s="12"/>
      <c r="AF248" s="12"/>
    </row>
    <row r="249" spans="1:32">
      <c r="A249" s="8"/>
      <c r="B249" s="8"/>
      <c r="C249" s="8"/>
      <c r="D249" s="8"/>
      <c r="E249" s="8"/>
      <c r="F249" s="8"/>
      <c r="G249" s="8"/>
      <c r="H249" s="8"/>
      <c r="I249" s="8"/>
      <c r="J249" s="8"/>
      <c r="K249" s="8"/>
      <c r="L249" s="8"/>
      <c r="M249" s="8"/>
      <c r="N249" s="8"/>
      <c r="O249" s="8"/>
      <c r="P249" s="8"/>
      <c r="Q249" s="8"/>
      <c r="R249" s="8"/>
      <c r="S249" s="8"/>
      <c r="T249" s="8"/>
      <c r="U249" s="12"/>
      <c r="V249" s="12"/>
      <c r="W249" s="12"/>
      <c r="X249" s="12"/>
      <c r="Y249" s="29"/>
      <c r="Z249" s="29"/>
      <c r="AA249" s="29"/>
      <c r="AB249" s="12"/>
      <c r="AC249" s="12"/>
      <c r="AD249" s="12"/>
      <c r="AE249" s="12"/>
      <c r="AF249" s="12"/>
    </row>
    <row r="250" spans="1:32">
      <c r="A250" s="8"/>
      <c r="B250" s="8"/>
      <c r="C250" s="8"/>
      <c r="D250" s="8"/>
      <c r="E250" s="8"/>
      <c r="F250" s="8"/>
      <c r="G250" s="8"/>
      <c r="H250" s="8"/>
      <c r="I250" s="8"/>
      <c r="J250" s="8"/>
      <c r="K250" s="8"/>
      <c r="L250" s="8"/>
      <c r="M250" s="8"/>
      <c r="N250" s="8"/>
      <c r="O250" s="8"/>
      <c r="P250" s="8"/>
      <c r="Q250" s="8"/>
      <c r="R250" s="8"/>
      <c r="S250" s="8"/>
      <c r="T250" s="8"/>
      <c r="U250" s="12"/>
      <c r="V250" s="12"/>
      <c r="W250" s="12"/>
      <c r="X250" s="12"/>
      <c r="Y250" s="29"/>
      <c r="Z250" s="29"/>
      <c r="AA250" s="29"/>
      <c r="AB250" s="12"/>
      <c r="AC250" s="12"/>
      <c r="AD250" s="12"/>
      <c r="AE250" s="12"/>
      <c r="AF250" s="12"/>
    </row>
    <row r="251" spans="1:32">
      <c r="A251" s="8"/>
      <c r="B251" s="8"/>
      <c r="C251" s="8"/>
      <c r="D251" s="8"/>
      <c r="E251" s="8"/>
      <c r="F251" s="8"/>
      <c r="G251" s="8"/>
      <c r="H251" s="8"/>
      <c r="I251" s="8"/>
      <c r="J251" s="8"/>
      <c r="K251" s="8"/>
      <c r="L251" s="8"/>
      <c r="M251" s="8"/>
      <c r="N251" s="8"/>
      <c r="O251" s="8"/>
      <c r="P251" s="8"/>
      <c r="Q251" s="8"/>
      <c r="R251" s="8"/>
      <c r="S251" s="8"/>
      <c r="T251" s="8"/>
      <c r="U251" s="12"/>
      <c r="V251" s="12"/>
      <c r="W251" s="12"/>
      <c r="X251" s="12"/>
      <c r="Y251" s="29"/>
      <c r="Z251" s="29"/>
      <c r="AA251" s="29"/>
      <c r="AB251" s="12"/>
      <c r="AC251" s="12"/>
      <c r="AD251" s="12"/>
      <c r="AE251" s="12"/>
      <c r="AF251" s="12"/>
    </row>
    <row r="252" spans="1:32">
      <c r="A252" s="8"/>
      <c r="B252" s="8"/>
      <c r="C252" s="8"/>
      <c r="D252" s="8"/>
      <c r="E252" s="8"/>
      <c r="F252" s="8"/>
      <c r="G252" s="8"/>
      <c r="H252" s="8"/>
      <c r="I252" s="8"/>
      <c r="J252" s="8"/>
      <c r="K252" s="8"/>
      <c r="L252" s="8"/>
      <c r="M252" s="8"/>
      <c r="N252" s="8"/>
      <c r="O252" s="8"/>
      <c r="P252" s="8"/>
      <c r="Q252" s="8"/>
      <c r="R252" s="8"/>
      <c r="S252" s="8"/>
      <c r="T252" s="8"/>
      <c r="U252" s="12"/>
      <c r="V252" s="12"/>
      <c r="W252" s="12"/>
      <c r="X252" s="12"/>
      <c r="Y252" s="29"/>
      <c r="Z252" s="29"/>
      <c r="AA252" s="29"/>
      <c r="AB252" s="12"/>
      <c r="AC252" s="12"/>
      <c r="AD252" s="12"/>
      <c r="AE252" s="12"/>
      <c r="AF252" s="12"/>
    </row>
    <row r="253" spans="1:32">
      <c r="A253" s="8"/>
      <c r="B253" s="8"/>
      <c r="C253" s="8"/>
      <c r="D253" s="8"/>
      <c r="E253" s="8"/>
      <c r="F253" s="8"/>
      <c r="G253" s="8"/>
      <c r="H253" s="8"/>
      <c r="I253" s="8"/>
      <c r="J253" s="8"/>
      <c r="K253" s="8"/>
      <c r="L253" s="8"/>
      <c r="M253" s="8"/>
      <c r="N253" s="8"/>
      <c r="O253" s="8"/>
      <c r="P253" s="8"/>
      <c r="Q253" s="8"/>
      <c r="R253" s="8"/>
      <c r="S253" s="8"/>
      <c r="T253" s="8"/>
      <c r="U253" s="12"/>
      <c r="V253" s="12"/>
      <c r="W253" s="12"/>
      <c r="X253" s="12"/>
      <c r="Y253" s="29"/>
      <c r="Z253" s="29"/>
      <c r="AA253" s="29"/>
      <c r="AB253" s="12"/>
      <c r="AC253" s="12"/>
      <c r="AD253" s="12"/>
      <c r="AE253" s="12"/>
      <c r="AF253" s="12"/>
    </row>
    <row r="254" spans="1:32">
      <c r="A254" s="8"/>
      <c r="B254" s="8"/>
      <c r="C254" s="8"/>
      <c r="D254" s="8"/>
      <c r="E254" s="8"/>
      <c r="F254" s="8"/>
      <c r="G254" s="8"/>
      <c r="H254" s="8"/>
      <c r="I254" s="8"/>
      <c r="J254" s="8"/>
      <c r="K254" s="8"/>
      <c r="L254" s="8"/>
      <c r="M254" s="8"/>
      <c r="N254" s="8"/>
      <c r="O254" s="8"/>
      <c r="P254" s="8"/>
      <c r="Q254" s="8"/>
      <c r="R254" s="8"/>
      <c r="S254" s="8"/>
      <c r="T254" s="8"/>
      <c r="U254" s="12"/>
      <c r="V254" s="12"/>
      <c r="W254" s="12"/>
      <c r="X254" s="12"/>
      <c r="Y254" s="29"/>
      <c r="Z254" s="29"/>
      <c r="AA254" s="29"/>
      <c r="AB254" s="12"/>
      <c r="AC254" s="12"/>
      <c r="AD254" s="12"/>
      <c r="AE254" s="12"/>
      <c r="AF254" s="12"/>
    </row>
    <row r="255" spans="1:32">
      <c r="A255" s="8"/>
      <c r="B255" s="8"/>
      <c r="C255" s="8"/>
      <c r="D255" s="8"/>
      <c r="E255" s="8"/>
      <c r="F255" s="8"/>
      <c r="G255" s="8"/>
      <c r="H255" s="8"/>
      <c r="I255" s="8"/>
      <c r="J255" s="8"/>
      <c r="K255" s="8"/>
      <c r="L255" s="8"/>
      <c r="M255" s="8"/>
      <c r="N255" s="8"/>
      <c r="O255" s="8"/>
      <c r="P255" s="8"/>
      <c r="Q255" s="8"/>
      <c r="R255" s="8"/>
      <c r="S255" s="8"/>
      <c r="T255" s="8"/>
      <c r="U255" s="12"/>
      <c r="V255" s="12"/>
      <c r="W255" s="12"/>
      <c r="X255" s="12"/>
      <c r="Y255" s="29"/>
      <c r="Z255" s="29"/>
      <c r="AA255" s="29"/>
      <c r="AB255" s="12"/>
      <c r="AC255" s="12"/>
      <c r="AD255" s="12"/>
      <c r="AE255" s="12"/>
      <c r="AF255" s="12"/>
    </row>
    <row r="256" spans="1:32">
      <c r="A256" s="8"/>
      <c r="B256" s="8"/>
      <c r="C256" s="8"/>
      <c r="D256" s="8"/>
      <c r="E256" s="8"/>
      <c r="F256" s="8"/>
      <c r="G256" s="8"/>
      <c r="H256" s="8"/>
      <c r="I256" s="8"/>
      <c r="J256" s="8"/>
      <c r="K256" s="8"/>
      <c r="L256" s="8"/>
      <c r="M256" s="8"/>
      <c r="N256" s="8"/>
      <c r="O256" s="8"/>
      <c r="P256" s="8"/>
      <c r="Q256" s="8"/>
      <c r="R256" s="8"/>
      <c r="S256" s="8"/>
      <c r="T256" s="8"/>
      <c r="U256" s="12"/>
      <c r="V256" s="12"/>
      <c r="W256" s="12"/>
      <c r="X256" s="12"/>
      <c r="Y256" s="29"/>
      <c r="Z256" s="29"/>
      <c r="AA256" s="29"/>
      <c r="AB256" s="12"/>
      <c r="AC256" s="12"/>
      <c r="AD256" s="12"/>
      <c r="AE256" s="12"/>
      <c r="AF256" s="12"/>
    </row>
    <row r="257" spans="1:32">
      <c r="A257" s="8"/>
      <c r="B257" s="8"/>
      <c r="C257" s="8"/>
      <c r="D257" s="8"/>
      <c r="E257" s="8"/>
      <c r="F257" s="8"/>
      <c r="G257" s="8"/>
      <c r="H257" s="8"/>
      <c r="I257" s="8"/>
      <c r="J257" s="8"/>
      <c r="K257" s="8"/>
      <c r="L257" s="8"/>
      <c r="M257" s="8"/>
      <c r="N257" s="8"/>
      <c r="O257" s="8"/>
      <c r="P257" s="8"/>
      <c r="Q257" s="8"/>
      <c r="R257" s="8"/>
      <c r="S257" s="8"/>
      <c r="T257" s="8"/>
      <c r="U257" s="12"/>
      <c r="V257" s="12"/>
      <c r="W257" s="12"/>
      <c r="X257" s="12"/>
      <c r="Y257" s="29"/>
      <c r="Z257" s="29"/>
      <c r="AA257" s="29"/>
      <c r="AB257" s="12"/>
      <c r="AC257" s="12"/>
      <c r="AD257" s="12"/>
      <c r="AE257" s="12"/>
      <c r="AF257" s="12"/>
    </row>
    <row r="258" spans="1:32">
      <c r="A258" s="8"/>
      <c r="B258" s="8"/>
      <c r="C258" s="8"/>
      <c r="D258" s="8"/>
      <c r="E258" s="8"/>
      <c r="F258" s="8"/>
      <c r="G258" s="8"/>
      <c r="H258" s="8"/>
      <c r="I258" s="8"/>
      <c r="J258" s="8"/>
      <c r="K258" s="8"/>
      <c r="L258" s="8"/>
      <c r="M258" s="8"/>
      <c r="N258" s="8"/>
      <c r="O258" s="8"/>
      <c r="P258" s="8"/>
      <c r="Q258" s="8"/>
      <c r="R258" s="8"/>
      <c r="S258" s="8"/>
      <c r="T258" s="8"/>
      <c r="U258" s="12"/>
      <c r="V258" s="12"/>
      <c r="W258" s="12"/>
      <c r="X258" s="12"/>
      <c r="Y258" s="29"/>
      <c r="Z258" s="29"/>
      <c r="AA258" s="29"/>
      <c r="AB258" s="12"/>
      <c r="AC258" s="12"/>
      <c r="AD258" s="12"/>
      <c r="AE258" s="12"/>
      <c r="AF258" s="12"/>
    </row>
    <row r="259" spans="1:32">
      <c r="A259" s="8"/>
      <c r="B259" s="8"/>
      <c r="C259" s="8"/>
      <c r="D259" s="8"/>
      <c r="E259" s="8"/>
      <c r="F259" s="8"/>
      <c r="G259" s="8"/>
      <c r="H259" s="8"/>
      <c r="I259" s="8"/>
      <c r="J259" s="8"/>
      <c r="K259" s="8"/>
      <c r="L259" s="8"/>
      <c r="M259" s="8"/>
      <c r="N259" s="8"/>
      <c r="O259" s="8"/>
      <c r="P259" s="8"/>
      <c r="Q259" s="8"/>
      <c r="R259" s="8"/>
      <c r="S259" s="8"/>
      <c r="T259" s="8"/>
      <c r="U259" s="12"/>
      <c r="V259" s="12"/>
      <c r="W259" s="12"/>
      <c r="X259" s="12"/>
      <c r="Y259" s="29"/>
      <c r="Z259" s="29"/>
      <c r="AA259" s="29"/>
      <c r="AB259" s="12"/>
      <c r="AC259" s="12"/>
      <c r="AD259" s="12"/>
      <c r="AE259" s="12"/>
      <c r="AF259" s="12"/>
    </row>
    <row r="260" spans="1:32">
      <c r="A260" s="8"/>
      <c r="B260" s="8"/>
      <c r="C260" s="8"/>
      <c r="D260" s="8"/>
      <c r="E260" s="8"/>
      <c r="F260" s="8"/>
      <c r="G260" s="8"/>
      <c r="H260" s="8"/>
      <c r="I260" s="8"/>
      <c r="J260" s="8"/>
      <c r="K260" s="8"/>
      <c r="L260" s="8"/>
      <c r="M260" s="8"/>
      <c r="N260" s="8"/>
      <c r="O260" s="8"/>
      <c r="P260" s="8"/>
      <c r="Q260" s="8"/>
      <c r="R260" s="8"/>
      <c r="S260" s="8"/>
      <c r="T260" s="8"/>
      <c r="U260" s="12"/>
      <c r="V260" s="12"/>
      <c r="W260" s="12"/>
      <c r="X260" s="12"/>
      <c r="Y260" s="29"/>
      <c r="Z260" s="29"/>
      <c r="AA260" s="29"/>
      <c r="AB260" s="12"/>
      <c r="AC260" s="12"/>
      <c r="AD260" s="12"/>
      <c r="AE260" s="12"/>
      <c r="AF260" s="12"/>
    </row>
    <row r="261" spans="1:32">
      <c r="A261" s="8"/>
      <c r="B261" s="8"/>
      <c r="C261" s="8"/>
      <c r="D261" s="8"/>
      <c r="E261" s="8"/>
      <c r="F261" s="8"/>
      <c r="G261" s="8"/>
      <c r="H261" s="8"/>
      <c r="I261" s="8"/>
      <c r="J261" s="8"/>
      <c r="K261" s="8"/>
      <c r="L261" s="8"/>
      <c r="M261" s="8"/>
      <c r="N261" s="8"/>
      <c r="O261" s="8"/>
      <c r="P261" s="8"/>
      <c r="Q261" s="8"/>
      <c r="R261" s="8"/>
      <c r="S261" s="8"/>
      <c r="T261" s="8"/>
      <c r="U261" s="12"/>
      <c r="V261" s="12"/>
      <c r="W261" s="12"/>
      <c r="X261" s="12"/>
      <c r="Y261" s="29"/>
      <c r="Z261" s="29"/>
      <c r="AA261" s="29"/>
      <c r="AB261" s="12"/>
      <c r="AC261" s="12"/>
      <c r="AD261" s="12"/>
      <c r="AE261" s="12"/>
      <c r="AF261" s="12"/>
    </row>
    <row r="262" spans="1:32">
      <c r="A262" s="8"/>
      <c r="B262" s="8"/>
      <c r="C262" s="8"/>
      <c r="D262" s="8"/>
      <c r="E262" s="8"/>
      <c r="F262" s="8"/>
      <c r="G262" s="8"/>
      <c r="H262" s="8"/>
      <c r="I262" s="8"/>
      <c r="J262" s="8"/>
      <c r="K262" s="8"/>
      <c r="L262" s="8"/>
      <c r="M262" s="8"/>
      <c r="N262" s="8"/>
      <c r="O262" s="8"/>
      <c r="P262" s="8"/>
      <c r="Q262" s="8"/>
      <c r="R262" s="8"/>
      <c r="S262" s="8"/>
      <c r="T262" s="8"/>
      <c r="U262" s="12"/>
      <c r="V262" s="12"/>
      <c r="W262" s="12"/>
      <c r="X262" s="12"/>
      <c r="Y262" s="29"/>
      <c r="Z262" s="29"/>
      <c r="AA262" s="29"/>
      <c r="AB262" s="12"/>
      <c r="AC262" s="12"/>
      <c r="AD262" s="12"/>
      <c r="AE262" s="12"/>
      <c r="AF262" s="12"/>
    </row>
    <row r="263" spans="1:32">
      <c r="A263" s="8"/>
      <c r="B263" s="8"/>
      <c r="C263" s="8"/>
      <c r="D263" s="8"/>
      <c r="E263" s="8"/>
      <c r="F263" s="8"/>
      <c r="G263" s="8"/>
      <c r="H263" s="8"/>
      <c r="I263" s="8"/>
      <c r="J263" s="8"/>
      <c r="K263" s="8"/>
      <c r="L263" s="8"/>
      <c r="M263" s="8"/>
      <c r="N263" s="8"/>
      <c r="O263" s="8"/>
      <c r="P263" s="8"/>
      <c r="Q263" s="8"/>
      <c r="R263" s="8"/>
      <c r="S263" s="8"/>
      <c r="T263" s="8"/>
      <c r="U263" s="12"/>
      <c r="V263" s="12"/>
      <c r="W263" s="12"/>
      <c r="X263" s="12"/>
      <c r="Y263" s="29"/>
      <c r="Z263" s="29"/>
      <c r="AA263" s="29"/>
      <c r="AB263" s="12"/>
      <c r="AC263" s="12"/>
      <c r="AD263" s="12"/>
      <c r="AE263" s="12"/>
      <c r="AF263" s="12"/>
    </row>
    <row r="264" spans="1:32">
      <c r="A264" s="8"/>
      <c r="B264" s="8"/>
      <c r="C264" s="8"/>
      <c r="D264" s="8"/>
      <c r="E264" s="8"/>
      <c r="F264" s="8"/>
      <c r="G264" s="8"/>
      <c r="H264" s="8"/>
      <c r="I264" s="8"/>
      <c r="J264" s="8"/>
      <c r="K264" s="8"/>
      <c r="L264" s="8"/>
      <c r="M264" s="8"/>
      <c r="N264" s="8"/>
      <c r="O264" s="8"/>
      <c r="P264" s="8"/>
      <c r="Q264" s="8"/>
      <c r="R264" s="8"/>
      <c r="S264" s="8"/>
      <c r="T264" s="8"/>
      <c r="U264" s="12"/>
      <c r="V264" s="12"/>
      <c r="W264" s="12"/>
      <c r="X264" s="12"/>
      <c r="Y264" s="29"/>
      <c r="Z264" s="29"/>
      <c r="AA264" s="29"/>
      <c r="AB264" s="12"/>
      <c r="AC264" s="12"/>
      <c r="AD264" s="12"/>
      <c r="AE264" s="12"/>
      <c r="AF264" s="12"/>
    </row>
    <row r="265" spans="1:32">
      <c r="A265" s="8"/>
      <c r="B265" s="8"/>
      <c r="C265" s="8"/>
      <c r="D265" s="8"/>
      <c r="E265" s="8"/>
      <c r="F265" s="8"/>
      <c r="G265" s="8"/>
      <c r="H265" s="8"/>
      <c r="I265" s="8"/>
      <c r="J265" s="8"/>
      <c r="K265" s="8"/>
      <c r="L265" s="8"/>
      <c r="M265" s="8"/>
      <c r="N265" s="8"/>
      <c r="O265" s="8"/>
      <c r="P265" s="8"/>
      <c r="Q265" s="8"/>
      <c r="R265" s="8"/>
      <c r="S265" s="8"/>
      <c r="T265" s="8"/>
      <c r="U265" s="12"/>
      <c r="V265" s="12"/>
      <c r="W265" s="12"/>
      <c r="X265" s="12"/>
      <c r="Y265" s="29"/>
      <c r="Z265" s="29"/>
      <c r="AA265" s="29"/>
      <c r="AB265" s="12"/>
      <c r="AC265" s="12"/>
      <c r="AD265" s="12"/>
      <c r="AE265" s="12"/>
      <c r="AF265" s="12"/>
    </row>
    <row r="266" spans="1:32">
      <c r="A266" s="8"/>
      <c r="B266" s="8"/>
      <c r="C266" s="8"/>
      <c r="D266" s="8"/>
      <c r="E266" s="8"/>
      <c r="F266" s="8"/>
      <c r="G266" s="8"/>
      <c r="H266" s="8"/>
      <c r="I266" s="8"/>
      <c r="J266" s="8"/>
      <c r="K266" s="8"/>
      <c r="L266" s="8"/>
      <c r="M266" s="8"/>
      <c r="N266" s="8"/>
      <c r="O266" s="8"/>
      <c r="P266" s="8"/>
      <c r="Q266" s="8"/>
      <c r="R266" s="8"/>
      <c r="S266" s="8"/>
      <c r="T266" s="8"/>
      <c r="U266" s="12"/>
      <c r="V266" s="12"/>
      <c r="W266" s="12"/>
      <c r="X266" s="12"/>
      <c r="Y266" s="29"/>
      <c r="Z266" s="29"/>
      <c r="AA266" s="29"/>
      <c r="AB266" s="12"/>
      <c r="AC266" s="12"/>
      <c r="AD266" s="12"/>
      <c r="AE266" s="12"/>
      <c r="AF266" s="12"/>
    </row>
    <row r="267" spans="1:32">
      <c r="A267" s="8"/>
      <c r="B267" s="8"/>
      <c r="C267" s="8"/>
      <c r="D267" s="8"/>
      <c r="E267" s="8"/>
      <c r="F267" s="8"/>
      <c r="G267" s="8"/>
      <c r="H267" s="8"/>
      <c r="I267" s="8"/>
      <c r="J267" s="8"/>
      <c r="K267" s="8"/>
      <c r="L267" s="8"/>
      <c r="M267" s="8"/>
      <c r="N267" s="8"/>
      <c r="O267" s="8"/>
      <c r="P267" s="8"/>
      <c r="Q267" s="8"/>
      <c r="R267" s="8"/>
      <c r="S267" s="8"/>
      <c r="T267" s="8"/>
      <c r="U267" s="12"/>
      <c r="V267" s="12"/>
      <c r="W267" s="12"/>
      <c r="X267" s="12"/>
      <c r="Y267" s="29"/>
      <c r="Z267" s="29"/>
      <c r="AA267" s="29"/>
      <c r="AB267" s="12"/>
      <c r="AC267" s="12"/>
      <c r="AD267" s="12"/>
      <c r="AE267" s="12"/>
      <c r="AF267" s="12"/>
    </row>
    <row r="268" spans="1:32">
      <c r="A268" s="8"/>
      <c r="B268" s="8"/>
      <c r="C268" s="8"/>
      <c r="D268" s="8"/>
      <c r="E268" s="8"/>
      <c r="F268" s="8"/>
      <c r="G268" s="8"/>
      <c r="H268" s="8"/>
      <c r="I268" s="8"/>
      <c r="J268" s="8"/>
      <c r="K268" s="8"/>
      <c r="L268" s="8"/>
      <c r="M268" s="8"/>
      <c r="N268" s="8"/>
      <c r="O268" s="8"/>
      <c r="P268" s="8"/>
      <c r="Q268" s="8"/>
      <c r="R268" s="8"/>
      <c r="S268" s="8"/>
      <c r="T268" s="8"/>
      <c r="U268" s="12"/>
      <c r="V268" s="12"/>
      <c r="W268" s="12"/>
      <c r="X268" s="12"/>
      <c r="Y268" s="29"/>
      <c r="Z268" s="29"/>
      <c r="AA268" s="29"/>
      <c r="AB268" s="12"/>
      <c r="AC268" s="12"/>
      <c r="AD268" s="12"/>
      <c r="AE268" s="12"/>
      <c r="AF268" s="12"/>
    </row>
    <row r="269" spans="1:32">
      <c r="A269" s="8"/>
      <c r="B269" s="8"/>
      <c r="C269" s="8"/>
      <c r="D269" s="8"/>
      <c r="E269" s="8"/>
      <c r="F269" s="8"/>
      <c r="G269" s="8"/>
      <c r="H269" s="8"/>
      <c r="I269" s="8"/>
      <c r="J269" s="8"/>
      <c r="K269" s="8"/>
      <c r="L269" s="8"/>
      <c r="M269" s="8"/>
      <c r="N269" s="8"/>
      <c r="O269" s="8"/>
      <c r="P269" s="8"/>
      <c r="Q269" s="8"/>
      <c r="R269" s="8"/>
      <c r="S269" s="8"/>
      <c r="T269" s="8"/>
      <c r="U269" s="12"/>
      <c r="V269" s="12"/>
      <c r="W269" s="12"/>
      <c r="X269" s="12"/>
      <c r="Y269" s="29"/>
      <c r="Z269" s="29"/>
      <c r="AA269" s="29"/>
      <c r="AB269" s="12"/>
      <c r="AC269" s="12"/>
      <c r="AD269" s="12"/>
      <c r="AE269" s="12"/>
      <c r="AF269" s="12"/>
    </row>
    <row r="270" spans="1:32">
      <c r="A270" s="8"/>
      <c r="B270" s="8"/>
      <c r="C270" s="8"/>
      <c r="D270" s="8"/>
      <c r="E270" s="8"/>
      <c r="F270" s="8"/>
      <c r="G270" s="8"/>
      <c r="H270" s="8"/>
      <c r="I270" s="8"/>
      <c r="J270" s="8"/>
      <c r="K270" s="8"/>
      <c r="L270" s="8"/>
      <c r="M270" s="8"/>
      <c r="N270" s="8"/>
      <c r="O270" s="8"/>
      <c r="P270" s="8"/>
      <c r="Q270" s="8"/>
      <c r="R270" s="8"/>
      <c r="S270" s="8"/>
      <c r="T270" s="8"/>
      <c r="U270" s="12"/>
      <c r="V270" s="12"/>
      <c r="W270" s="12"/>
      <c r="X270" s="12"/>
      <c r="Y270" s="29"/>
      <c r="Z270" s="29"/>
      <c r="AA270" s="29"/>
      <c r="AB270" s="12"/>
      <c r="AC270" s="12"/>
      <c r="AD270" s="12"/>
      <c r="AE270" s="12"/>
      <c r="AF270" s="12"/>
    </row>
    <row r="271" spans="1:32">
      <c r="A271" s="8"/>
      <c r="B271" s="8"/>
      <c r="C271" s="8"/>
      <c r="D271" s="8"/>
      <c r="E271" s="8"/>
      <c r="F271" s="8"/>
      <c r="G271" s="8"/>
      <c r="H271" s="8"/>
      <c r="I271" s="8"/>
      <c r="J271" s="8"/>
      <c r="K271" s="8"/>
      <c r="L271" s="8"/>
      <c r="M271" s="8"/>
      <c r="N271" s="8"/>
      <c r="O271" s="8"/>
      <c r="P271" s="8"/>
      <c r="Q271" s="8"/>
      <c r="R271" s="8"/>
      <c r="S271" s="8"/>
      <c r="T271" s="8"/>
      <c r="U271" s="12"/>
      <c r="V271" s="12"/>
      <c r="W271" s="12"/>
      <c r="X271" s="12"/>
      <c r="Y271" s="29"/>
      <c r="Z271" s="29"/>
      <c r="AA271" s="29"/>
      <c r="AB271" s="12"/>
      <c r="AC271" s="12"/>
      <c r="AD271" s="12"/>
      <c r="AE271" s="12"/>
      <c r="AF271" s="12"/>
    </row>
    <row r="272" spans="1:32">
      <c r="A272" s="8"/>
      <c r="B272" s="8"/>
      <c r="C272" s="8"/>
      <c r="D272" s="8"/>
      <c r="E272" s="8"/>
      <c r="F272" s="8"/>
      <c r="G272" s="8"/>
      <c r="H272" s="8"/>
      <c r="I272" s="8"/>
      <c r="J272" s="8"/>
      <c r="K272" s="8"/>
      <c r="L272" s="8"/>
      <c r="M272" s="8"/>
      <c r="N272" s="8"/>
      <c r="O272" s="8"/>
      <c r="P272" s="8"/>
      <c r="Q272" s="8"/>
      <c r="R272" s="8"/>
      <c r="S272" s="8"/>
      <c r="T272" s="8"/>
      <c r="U272" s="12"/>
      <c r="V272" s="12"/>
      <c r="W272" s="12"/>
      <c r="X272" s="12"/>
      <c r="Y272" s="29"/>
      <c r="Z272" s="29"/>
      <c r="AA272" s="29"/>
      <c r="AB272" s="12"/>
      <c r="AC272" s="12"/>
      <c r="AD272" s="12"/>
      <c r="AE272" s="12"/>
      <c r="AF272" s="12"/>
    </row>
    <row r="273" spans="1:32">
      <c r="A273" s="8"/>
      <c r="B273" s="8"/>
      <c r="C273" s="8"/>
      <c r="D273" s="8"/>
      <c r="E273" s="8"/>
      <c r="F273" s="8"/>
      <c r="G273" s="8"/>
      <c r="H273" s="8"/>
      <c r="I273" s="8"/>
      <c r="J273" s="8"/>
      <c r="K273" s="8"/>
      <c r="L273" s="8"/>
      <c r="M273" s="8"/>
      <c r="N273" s="8"/>
      <c r="O273" s="8"/>
      <c r="P273" s="8"/>
      <c r="Q273" s="8"/>
      <c r="R273" s="8"/>
      <c r="S273" s="8"/>
      <c r="T273" s="8"/>
      <c r="U273" s="12"/>
      <c r="V273" s="12"/>
      <c r="W273" s="12"/>
      <c r="X273" s="12"/>
      <c r="Y273" s="29"/>
      <c r="Z273" s="29"/>
      <c r="AA273" s="29"/>
      <c r="AB273" s="12"/>
      <c r="AC273" s="12"/>
      <c r="AD273" s="12"/>
      <c r="AE273" s="12"/>
      <c r="AF273" s="12"/>
    </row>
    <row r="274" spans="1:32">
      <c r="A274" s="8"/>
      <c r="B274" s="8"/>
      <c r="C274" s="8"/>
      <c r="D274" s="8"/>
      <c r="E274" s="8"/>
      <c r="F274" s="8"/>
      <c r="G274" s="8"/>
      <c r="H274" s="8"/>
      <c r="I274" s="8"/>
      <c r="J274" s="8"/>
      <c r="K274" s="8"/>
      <c r="L274" s="8"/>
      <c r="M274" s="8"/>
      <c r="N274" s="8"/>
      <c r="O274" s="8"/>
      <c r="P274" s="8"/>
      <c r="Q274" s="8"/>
      <c r="R274" s="8"/>
      <c r="S274" s="8"/>
      <c r="T274" s="8"/>
      <c r="U274" s="12"/>
      <c r="V274" s="12"/>
      <c r="W274" s="12"/>
      <c r="X274" s="12"/>
      <c r="Y274" s="29"/>
      <c r="Z274" s="29"/>
      <c r="AA274" s="29"/>
      <c r="AB274" s="12"/>
      <c r="AC274" s="12"/>
      <c r="AD274" s="12"/>
      <c r="AE274" s="12"/>
      <c r="AF274" s="12"/>
    </row>
    <row r="275" spans="1:32">
      <c r="A275" s="8"/>
      <c r="B275" s="8"/>
      <c r="C275" s="8"/>
      <c r="D275" s="8"/>
      <c r="E275" s="8"/>
      <c r="F275" s="8"/>
      <c r="G275" s="8"/>
      <c r="H275" s="8"/>
      <c r="I275" s="8"/>
      <c r="J275" s="8"/>
      <c r="K275" s="8"/>
      <c r="L275" s="8"/>
      <c r="M275" s="8"/>
      <c r="N275" s="8"/>
      <c r="O275" s="8"/>
      <c r="P275" s="8"/>
      <c r="Q275" s="8"/>
      <c r="R275" s="8"/>
      <c r="S275" s="8"/>
      <c r="T275" s="8"/>
      <c r="U275" s="12"/>
      <c r="V275" s="12"/>
      <c r="W275" s="12"/>
      <c r="X275" s="12"/>
      <c r="Y275" s="29"/>
      <c r="Z275" s="29"/>
      <c r="AA275" s="29"/>
      <c r="AB275" s="12"/>
      <c r="AC275" s="12"/>
      <c r="AD275" s="12"/>
      <c r="AE275" s="12"/>
      <c r="AF275" s="12"/>
    </row>
    <row r="276" spans="1:32">
      <c r="A276" s="8"/>
      <c r="B276" s="8"/>
      <c r="C276" s="8"/>
      <c r="D276" s="8"/>
      <c r="E276" s="8"/>
      <c r="F276" s="8"/>
      <c r="G276" s="8"/>
      <c r="H276" s="8"/>
      <c r="I276" s="8"/>
      <c r="J276" s="8"/>
      <c r="K276" s="8"/>
      <c r="L276" s="8"/>
      <c r="M276" s="8"/>
      <c r="N276" s="8"/>
      <c r="O276" s="8"/>
      <c r="P276" s="8"/>
      <c r="Q276" s="8"/>
      <c r="R276" s="8"/>
      <c r="S276" s="8"/>
      <c r="T276" s="8"/>
      <c r="U276" s="12"/>
      <c r="V276" s="12"/>
      <c r="W276" s="12"/>
      <c r="X276" s="12"/>
      <c r="Y276" s="29"/>
      <c r="Z276" s="29"/>
      <c r="AA276" s="29"/>
      <c r="AB276" s="12"/>
      <c r="AC276" s="12"/>
      <c r="AD276" s="12"/>
      <c r="AE276" s="12"/>
      <c r="AF276" s="12"/>
    </row>
    <row r="277" spans="1:32">
      <c r="A277" s="8"/>
      <c r="B277" s="8"/>
      <c r="C277" s="8"/>
      <c r="D277" s="8"/>
      <c r="E277" s="8"/>
      <c r="F277" s="8"/>
      <c r="G277" s="8"/>
      <c r="H277" s="8"/>
      <c r="I277" s="8"/>
      <c r="J277" s="8"/>
      <c r="K277" s="8"/>
      <c r="L277" s="8"/>
      <c r="M277" s="8"/>
      <c r="N277" s="8"/>
      <c r="O277" s="8"/>
      <c r="P277" s="8"/>
      <c r="Q277" s="8"/>
      <c r="R277" s="8"/>
      <c r="S277" s="8"/>
      <c r="T277" s="8"/>
      <c r="U277" s="12"/>
      <c r="V277" s="12"/>
      <c r="W277" s="12"/>
      <c r="X277" s="12"/>
      <c r="Y277" s="29"/>
      <c r="Z277" s="29"/>
      <c r="AA277" s="29"/>
      <c r="AB277" s="12"/>
      <c r="AC277" s="12"/>
      <c r="AD277" s="12"/>
      <c r="AE277" s="12"/>
      <c r="AF277" s="12"/>
    </row>
    <row r="278" spans="1:32">
      <c r="A278" s="8"/>
      <c r="B278" s="8"/>
      <c r="C278" s="8"/>
      <c r="D278" s="8"/>
      <c r="E278" s="8"/>
      <c r="F278" s="8"/>
      <c r="G278" s="8"/>
      <c r="H278" s="8"/>
      <c r="I278" s="8"/>
      <c r="J278" s="8"/>
      <c r="K278" s="8"/>
      <c r="L278" s="8"/>
      <c r="M278" s="8"/>
      <c r="N278" s="8"/>
      <c r="O278" s="8"/>
      <c r="P278" s="8"/>
      <c r="Q278" s="8"/>
      <c r="R278" s="8"/>
      <c r="S278" s="8"/>
      <c r="T278" s="8"/>
      <c r="U278" s="12"/>
      <c r="V278" s="12"/>
      <c r="W278" s="12"/>
      <c r="X278" s="12"/>
      <c r="Y278" s="29"/>
      <c r="Z278" s="29"/>
      <c r="AA278" s="29"/>
      <c r="AB278" s="12"/>
      <c r="AC278" s="12"/>
      <c r="AD278" s="12"/>
      <c r="AE278" s="12"/>
      <c r="AF278" s="12"/>
    </row>
    <row r="279" spans="1:32">
      <c r="A279" s="8"/>
      <c r="B279" s="8"/>
      <c r="C279" s="8"/>
      <c r="D279" s="8"/>
      <c r="E279" s="8"/>
      <c r="F279" s="8"/>
      <c r="G279" s="8"/>
      <c r="H279" s="8"/>
      <c r="I279" s="8"/>
      <c r="J279" s="8"/>
      <c r="K279" s="8"/>
      <c r="L279" s="8"/>
      <c r="M279" s="8"/>
      <c r="N279" s="8"/>
      <c r="O279" s="8"/>
      <c r="P279" s="8"/>
      <c r="Q279" s="8"/>
      <c r="R279" s="8"/>
      <c r="S279" s="8"/>
      <c r="T279" s="8"/>
      <c r="U279" s="12"/>
      <c r="V279" s="12"/>
      <c r="W279" s="12"/>
      <c r="X279" s="12"/>
      <c r="Y279" s="29"/>
      <c r="Z279" s="29"/>
      <c r="AA279" s="29"/>
      <c r="AB279" s="12"/>
      <c r="AC279" s="12"/>
      <c r="AD279" s="12"/>
      <c r="AE279" s="12"/>
      <c r="AF279" s="12"/>
    </row>
    <row r="280" spans="1:32">
      <c r="A280" s="8"/>
      <c r="B280" s="8"/>
      <c r="C280" s="8"/>
      <c r="D280" s="8"/>
      <c r="E280" s="8"/>
      <c r="F280" s="8"/>
      <c r="G280" s="8"/>
      <c r="H280" s="8"/>
      <c r="I280" s="8"/>
      <c r="J280" s="8"/>
      <c r="K280" s="8"/>
      <c r="L280" s="8"/>
      <c r="M280" s="8"/>
      <c r="N280" s="8"/>
      <c r="O280" s="8"/>
      <c r="P280" s="8"/>
      <c r="Q280" s="8"/>
      <c r="R280" s="8"/>
      <c r="S280" s="8"/>
      <c r="T280" s="8"/>
      <c r="U280" s="12"/>
      <c r="V280" s="12"/>
      <c r="W280" s="12"/>
      <c r="X280" s="12"/>
      <c r="Y280" s="29"/>
      <c r="Z280" s="29"/>
      <c r="AA280" s="29"/>
      <c r="AB280" s="12"/>
      <c r="AC280" s="12"/>
      <c r="AD280" s="12"/>
      <c r="AE280" s="12"/>
      <c r="AF280" s="12"/>
    </row>
    <row r="281" spans="1:32">
      <c r="A281" s="8"/>
      <c r="B281" s="8"/>
      <c r="C281" s="8"/>
      <c r="D281" s="8"/>
      <c r="E281" s="8"/>
      <c r="F281" s="8"/>
      <c r="G281" s="8"/>
      <c r="H281" s="8"/>
      <c r="I281" s="8"/>
      <c r="J281" s="8"/>
      <c r="K281" s="8"/>
      <c r="L281" s="8"/>
      <c r="M281" s="8"/>
      <c r="N281" s="8"/>
      <c r="O281" s="8"/>
      <c r="P281" s="8"/>
      <c r="Q281" s="8"/>
      <c r="R281" s="8"/>
      <c r="S281" s="8"/>
      <c r="T281" s="8"/>
      <c r="U281" s="12"/>
      <c r="V281" s="12"/>
      <c r="W281" s="12"/>
      <c r="X281" s="12"/>
      <c r="Y281" s="29"/>
      <c r="Z281" s="29"/>
      <c r="AA281" s="29"/>
      <c r="AB281" s="12"/>
      <c r="AC281" s="12"/>
      <c r="AD281" s="12"/>
      <c r="AE281" s="12"/>
      <c r="AF281" s="12"/>
    </row>
    <row r="282" spans="1:32">
      <c r="A282" s="8"/>
      <c r="B282" s="8"/>
      <c r="C282" s="8"/>
      <c r="D282" s="8"/>
      <c r="E282" s="8"/>
      <c r="F282" s="8"/>
      <c r="G282" s="8"/>
      <c r="H282" s="8"/>
      <c r="I282" s="8"/>
      <c r="J282" s="8"/>
      <c r="K282" s="8"/>
      <c r="L282" s="8"/>
      <c r="M282" s="8"/>
      <c r="N282" s="8"/>
      <c r="O282" s="8"/>
      <c r="P282" s="8"/>
      <c r="Q282" s="8"/>
      <c r="R282" s="8"/>
      <c r="S282" s="8"/>
      <c r="T282" s="8"/>
      <c r="U282" s="12"/>
      <c r="V282" s="12"/>
      <c r="W282" s="12"/>
      <c r="X282" s="12"/>
      <c r="Y282" s="29"/>
      <c r="Z282" s="29"/>
      <c r="AA282" s="29"/>
      <c r="AB282" s="12"/>
      <c r="AC282" s="12"/>
      <c r="AD282" s="12"/>
      <c r="AE282" s="12"/>
      <c r="AF282" s="12"/>
    </row>
    <row r="283" spans="1:32">
      <c r="A283" s="8"/>
      <c r="B283" s="8"/>
      <c r="C283" s="8"/>
      <c r="D283" s="8"/>
      <c r="E283" s="8"/>
      <c r="F283" s="8"/>
      <c r="G283" s="8"/>
      <c r="H283" s="8"/>
      <c r="I283" s="8"/>
      <c r="J283" s="8"/>
      <c r="K283" s="8"/>
      <c r="L283" s="8"/>
      <c r="M283" s="8"/>
      <c r="N283" s="8"/>
      <c r="O283" s="8"/>
      <c r="P283" s="8"/>
      <c r="Q283" s="8"/>
      <c r="R283" s="8"/>
      <c r="S283" s="8"/>
      <c r="T283" s="8"/>
      <c r="U283" s="12"/>
      <c r="V283" s="12"/>
      <c r="W283" s="12"/>
      <c r="X283" s="12"/>
      <c r="Y283" s="29"/>
      <c r="Z283" s="29"/>
      <c r="AA283" s="29"/>
      <c r="AB283" s="12"/>
      <c r="AC283" s="12"/>
      <c r="AD283" s="12"/>
      <c r="AE283" s="12"/>
      <c r="AF283" s="12"/>
    </row>
    <row r="284" spans="1:32">
      <c r="A284" s="8"/>
      <c r="B284" s="8"/>
      <c r="C284" s="8"/>
      <c r="D284" s="8"/>
      <c r="E284" s="8"/>
      <c r="F284" s="8"/>
      <c r="G284" s="8"/>
      <c r="H284" s="8"/>
      <c r="I284" s="8"/>
      <c r="J284" s="8"/>
      <c r="K284" s="8"/>
      <c r="L284" s="8"/>
      <c r="M284" s="8"/>
      <c r="N284" s="8"/>
      <c r="O284" s="8"/>
      <c r="P284" s="8"/>
      <c r="Q284" s="8"/>
      <c r="R284" s="8"/>
      <c r="S284" s="8"/>
      <c r="T284" s="8"/>
      <c r="U284" s="12"/>
      <c r="V284" s="12"/>
      <c r="W284" s="12"/>
      <c r="X284" s="12"/>
      <c r="Y284" s="29"/>
      <c r="Z284" s="29"/>
      <c r="AA284" s="29"/>
      <c r="AB284" s="12"/>
      <c r="AC284" s="12"/>
      <c r="AD284" s="12"/>
      <c r="AE284" s="12"/>
      <c r="AF284" s="12"/>
    </row>
    <row r="285" spans="1:32">
      <c r="A285" s="8"/>
      <c r="B285" s="8"/>
      <c r="C285" s="8"/>
      <c r="D285" s="8"/>
      <c r="E285" s="8"/>
      <c r="F285" s="8"/>
      <c r="G285" s="8"/>
      <c r="H285" s="8"/>
      <c r="I285" s="8"/>
      <c r="J285" s="8"/>
      <c r="K285" s="8"/>
      <c r="L285" s="8"/>
      <c r="M285" s="8"/>
      <c r="N285" s="8"/>
      <c r="O285" s="8"/>
      <c r="P285" s="8"/>
      <c r="Q285" s="8"/>
      <c r="R285" s="8"/>
      <c r="S285" s="8"/>
      <c r="T285" s="8"/>
      <c r="U285" s="12"/>
      <c r="V285" s="12"/>
      <c r="W285" s="12"/>
      <c r="X285" s="12"/>
      <c r="Y285" s="29"/>
      <c r="Z285" s="29"/>
      <c r="AA285" s="29"/>
      <c r="AB285" s="12"/>
      <c r="AC285" s="12"/>
      <c r="AD285" s="12"/>
      <c r="AE285" s="12"/>
      <c r="AF285" s="12"/>
    </row>
    <row r="286" spans="1:32">
      <c r="A286" s="8"/>
      <c r="B286" s="8"/>
      <c r="C286" s="8"/>
      <c r="D286" s="8"/>
      <c r="E286" s="8"/>
      <c r="F286" s="8"/>
      <c r="G286" s="8"/>
      <c r="H286" s="8"/>
      <c r="I286" s="8"/>
      <c r="J286" s="8"/>
      <c r="K286" s="8"/>
      <c r="L286" s="8"/>
      <c r="M286" s="8"/>
      <c r="N286" s="8"/>
      <c r="O286" s="8"/>
      <c r="P286" s="8"/>
      <c r="Q286" s="8"/>
      <c r="R286" s="8"/>
      <c r="S286" s="8"/>
      <c r="T286" s="8"/>
      <c r="U286" s="12"/>
      <c r="V286" s="12"/>
      <c r="W286" s="12"/>
      <c r="X286" s="12"/>
      <c r="Y286" s="29"/>
      <c r="Z286" s="29"/>
      <c r="AA286" s="29"/>
      <c r="AB286" s="12"/>
      <c r="AC286" s="12"/>
      <c r="AD286" s="12"/>
      <c r="AE286" s="12"/>
      <c r="AF286" s="12"/>
    </row>
    <row r="287" spans="1:32">
      <c r="A287" s="8"/>
      <c r="B287" s="8"/>
      <c r="C287" s="8"/>
      <c r="D287" s="8"/>
      <c r="E287" s="8"/>
      <c r="F287" s="8"/>
      <c r="G287" s="8"/>
      <c r="H287" s="8"/>
      <c r="I287" s="8"/>
      <c r="J287" s="8"/>
      <c r="K287" s="8"/>
      <c r="L287" s="8"/>
      <c r="M287" s="8"/>
      <c r="N287" s="8"/>
      <c r="O287" s="8"/>
      <c r="P287" s="8"/>
      <c r="Q287" s="8"/>
      <c r="R287" s="8"/>
      <c r="S287" s="8"/>
      <c r="T287" s="8"/>
      <c r="U287" s="12"/>
      <c r="V287" s="12"/>
      <c r="W287" s="12"/>
      <c r="X287" s="12"/>
      <c r="Y287" s="29"/>
      <c r="Z287" s="29"/>
      <c r="AA287" s="29"/>
      <c r="AB287" s="12"/>
      <c r="AC287" s="12"/>
      <c r="AD287" s="12"/>
      <c r="AE287" s="12"/>
      <c r="AF287" s="12"/>
    </row>
    <row r="288" spans="1:32">
      <c r="A288" s="8"/>
      <c r="B288" s="8"/>
      <c r="C288" s="8"/>
      <c r="D288" s="8"/>
      <c r="E288" s="8"/>
      <c r="F288" s="8"/>
      <c r="G288" s="8"/>
      <c r="H288" s="8"/>
      <c r="I288" s="8"/>
      <c r="J288" s="8"/>
      <c r="K288" s="8"/>
      <c r="L288" s="8"/>
      <c r="M288" s="8"/>
      <c r="N288" s="8"/>
      <c r="O288" s="8"/>
      <c r="P288" s="8"/>
      <c r="Q288" s="8"/>
      <c r="R288" s="8"/>
      <c r="S288" s="8"/>
      <c r="T288" s="8"/>
      <c r="U288" s="12"/>
      <c r="V288" s="12"/>
      <c r="W288" s="12"/>
      <c r="X288" s="12"/>
      <c r="Y288" s="29"/>
      <c r="Z288" s="29"/>
      <c r="AA288" s="29"/>
      <c r="AB288" s="12"/>
      <c r="AC288" s="12"/>
      <c r="AD288" s="12"/>
      <c r="AE288" s="12"/>
      <c r="AF288" s="12"/>
    </row>
    <row r="289" spans="1:32">
      <c r="A289" s="8"/>
      <c r="B289" s="8"/>
      <c r="C289" s="8"/>
      <c r="D289" s="8"/>
      <c r="E289" s="8"/>
      <c r="F289" s="8"/>
      <c r="G289" s="8"/>
      <c r="H289" s="8"/>
      <c r="I289" s="8"/>
      <c r="J289" s="8"/>
      <c r="K289" s="8"/>
      <c r="L289" s="8"/>
      <c r="M289" s="8"/>
      <c r="N289" s="8"/>
      <c r="O289" s="8"/>
      <c r="P289" s="8"/>
      <c r="Q289" s="8"/>
      <c r="R289" s="8"/>
      <c r="S289" s="8"/>
      <c r="T289" s="8"/>
      <c r="U289" s="12"/>
      <c r="V289" s="12"/>
      <c r="W289" s="12"/>
      <c r="X289" s="12"/>
      <c r="Y289" s="29"/>
      <c r="Z289" s="29"/>
      <c r="AA289" s="29"/>
      <c r="AB289" s="12"/>
      <c r="AC289" s="12"/>
      <c r="AD289" s="12"/>
      <c r="AE289" s="12"/>
      <c r="AF289" s="12"/>
    </row>
    <row r="290" spans="1:32">
      <c r="A290" s="8"/>
      <c r="B290" s="8"/>
      <c r="C290" s="8"/>
      <c r="D290" s="8"/>
      <c r="E290" s="8"/>
      <c r="F290" s="8"/>
      <c r="G290" s="8"/>
      <c r="H290" s="8"/>
      <c r="I290" s="8"/>
      <c r="J290" s="8"/>
      <c r="K290" s="8"/>
      <c r="L290" s="8"/>
      <c r="M290" s="8"/>
      <c r="N290" s="8"/>
      <c r="O290" s="8"/>
      <c r="P290" s="8"/>
      <c r="Q290" s="8"/>
      <c r="R290" s="8"/>
      <c r="S290" s="8"/>
      <c r="T290" s="8"/>
      <c r="U290" s="12"/>
      <c r="V290" s="12"/>
      <c r="W290" s="12"/>
      <c r="X290" s="12"/>
      <c r="Y290" s="29"/>
      <c r="Z290" s="29"/>
      <c r="AA290" s="29"/>
      <c r="AB290" s="12"/>
      <c r="AC290" s="12"/>
      <c r="AD290" s="12"/>
      <c r="AE290" s="12"/>
      <c r="AF290" s="12"/>
    </row>
    <row r="291" spans="1:32">
      <c r="A291" s="8"/>
      <c r="B291" s="8"/>
      <c r="C291" s="8"/>
      <c r="D291" s="8"/>
      <c r="E291" s="8"/>
      <c r="F291" s="8"/>
      <c r="G291" s="8"/>
      <c r="H291" s="8"/>
      <c r="I291" s="8"/>
      <c r="J291" s="8"/>
      <c r="K291" s="8"/>
      <c r="L291" s="8"/>
      <c r="M291" s="8"/>
      <c r="N291" s="8"/>
      <c r="O291" s="8"/>
      <c r="P291" s="8"/>
      <c r="Q291" s="8"/>
      <c r="R291" s="8"/>
      <c r="S291" s="8"/>
      <c r="T291" s="8"/>
      <c r="U291" s="12"/>
      <c r="V291" s="12"/>
      <c r="W291" s="12"/>
      <c r="X291" s="12"/>
      <c r="Y291" s="29"/>
      <c r="Z291" s="29"/>
      <c r="AA291" s="29"/>
      <c r="AB291" s="12"/>
      <c r="AC291" s="12"/>
      <c r="AD291" s="12"/>
      <c r="AE291" s="12"/>
      <c r="AF291" s="12"/>
    </row>
    <row r="292" spans="1:32">
      <c r="A292" s="8"/>
      <c r="B292" s="8"/>
      <c r="C292" s="8"/>
      <c r="D292" s="8"/>
      <c r="E292" s="8"/>
      <c r="F292" s="8"/>
      <c r="G292" s="8"/>
      <c r="H292" s="8"/>
      <c r="I292" s="8"/>
      <c r="J292" s="8"/>
      <c r="K292" s="8"/>
      <c r="L292" s="8"/>
      <c r="M292" s="8"/>
      <c r="N292" s="8"/>
      <c r="O292" s="8"/>
      <c r="P292" s="8"/>
      <c r="Q292" s="8"/>
      <c r="R292" s="8"/>
      <c r="S292" s="8"/>
      <c r="T292" s="8"/>
      <c r="U292" s="12"/>
      <c r="V292" s="12"/>
      <c r="W292" s="12"/>
      <c r="X292" s="12"/>
      <c r="Y292" s="29"/>
      <c r="Z292" s="29"/>
      <c r="AA292" s="29"/>
      <c r="AB292" s="12"/>
      <c r="AC292" s="12"/>
      <c r="AD292" s="12"/>
      <c r="AE292" s="12"/>
      <c r="AF292" s="12"/>
    </row>
    <row r="293" spans="1:32">
      <c r="A293" s="8"/>
      <c r="B293" s="8"/>
      <c r="C293" s="8"/>
      <c r="D293" s="8"/>
      <c r="E293" s="8"/>
      <c r="F293" s="8"/>
      <c r="G293" s="8"/>
      <c r="H293" s="8"/>
      <c r="I293" s="8"/>
      <c r="J293" s="8"/>
      <c r="K293" s="8"/>
      <c r="L293" s="8"/>
      <c r="M293" s="8"/>
      <c r="N293" s="8"/>
      <c r="O293" s="8"/>
      <c r="P293" s="8"/>
      <c r="Q293" s="8"/>
      <c r="R293" s="8"/>
      <c r="S293" s="8"/>
      <c r="T293" s="8"/>
      <c r="U293" s="12"/>
      <c r="V293" s="12"/>
      <c r="W293" s="12"/>
      <c r="X293" s="12"/>
      <c r="Y293" s="29"/>
      <c r="Z293" s="29"/>
      <c r="AA293" s="29"/>
      <c r="AB293" s="12"/>
      <c r="AC293" s="12"/>
      <c r="AD293" s="12"/>
      <c r="AE293" s="12"/>
      <c r="AF293" s="12"/>
    </row>
    <row r="294" spans="1:32">
      <c r="A294" s="8"/>
      <c r="B294" s="8"/>
      <c r="C294" s="8"/>
      <c r="D294" s="8"/>
      <c r="E294" s="8"/>
      <c r="F294" s="8"/>
      <c r="G294" s="8"/>
      <c r="H294" s="8"/>
      <c r="I294" s="8"/>
      <c r="J294" s="8"/>
      <c r="K294" s="8"/>
      <c r="L294" s="8"/>
      <c r="M294" s="8"/>
      <c r="N294" s="8"/>
      <c r="O294" s="8"/>
      <c r="P294" s="8"/>
      <c r="Q294" s="8"/>
      <c r="R294" s="8"/>
      <c r="S294" s="8"/>
      <c r="T294" s="8"/>
      <c r="U294" s="12"/>
      <c r="V294" s="12"/>
      <c r="W294" s="12"/>
      <c r="X294" s="12"/>
      <c r="Y294" s="29"/>
      <c r="Z294" s="29"/>
      <c r="AA294" s="29"/>
      <c r="AB294" s="12"/>
      <c r="AC294" s="12"/>
      <c r="AD294" s="12"/>
      <c r="AE294" s="12"/>
      <c r="AF294" s="12"/>
    </row>
    <row r="295" spans="1:32">
      <c r="A295" s="8"/>
      <c r="B295" s="8"/>
      <c r="C295" s="8"/>
      <c r="D295" s="8"/>
      <c r="E295" s="8"/>
      <c r="F295" s="8"/>
      <c r="G295" s="8"/>
      <c r="H295" s="8"/>
      <c r="I295" s="8"/>
      <c r="J295" s="8"/>
      <c r="K295" s="8"/>
      <c r="L295" s="8"/>
      <c r="M295" s="8"/>
      <c r="N295" s="8"/>
      <c r="O295" s="8"/>
      <c r="P295" s="8"/>
      <c r="Q295" s="8"/>
      <c r="R295" s="8"/>
      <c r="S295" s="8"/>
      <c r="T295" s="8"/>
      <c r="U295" s="12"/>
      <c r="V295" s="12"/>
      <c r="W295" s="12"/>
      <c r="X295" s="12"/>
      <c r="Y295" s="29"/>
      <c r="Z295" s="29"/>
      <c r="AA295" s="29"/>
      <c r="AB295" s="12"/>
      <c r="AC295" s="12"/>
      <c r="AD295" s="12"/>
      <c r="AE295" s="12"/>
      <c r="AF295" s="12"/>
    </row>
    <row r="296" spans="1:32">
      <c r="A296" s="8"/>
      <c r="B296" s="8"/>
      <c r="C296" s="8"/>
      <c r="D296" s="8"/>
      <c r="E296" s="8"/>
      <c r="F296" s="8"/>
      <c r="G296" s="8"/>
      <c r="H296" s="8"/>
      <c r="I296" s="8"/>
      <c r="J296" s="8"/>
      <c r="K296" s="8"/>
      <c r="L296" s="8"/>
      <c r="M296" s="8"/>
      <c r="N296" s="8"/>
      <c r="O296" s="8"/>
      <c r="P296" s="8"/>
      <c r="Q296" s="8"/>
      <c r="R296" s="8"/>
      <c r="S296" s="8"/>
      <c r="T296" s="8"/>
      <c r="U296" s="12"/>
      <c r="V296" s="12"/>
      <c r="W296" s="12"/>
      <c r="X296" s="12"/>
      <c r="Y296" s="29"/>
      <c r="Z296" s="29"/>
      <c r="AA296" s="29"/>
      <c r="AB296" s="12"/>
      <c r="AC296" s="12"/>
      <c r="AD296" s="12"/>
      <c r="AE296" s="12"/>
      <c r="AF296" s="12"/>
    </row>
    <row r="297" spans="1:32">
      <c r="A297" s="8"/>
      <c r="B297" s="8"/>
      <c r="C297" s="8"/>
      <c r="D297" s="8"/>
      <c r="E297" s="8"/>
      <c r="F297" s="8"/>
      <c r="G297" s="8"/>
      <c r="H297" s="8"/>
      <c r="I297" s="8"/>
      <c r="J297" s="8"/>
      <c r="K297" s="8"/>
      <c r="L297" s="8"/>
      <c r="M297" s="8"/>
      <c r="N297" s="8"/>
      <c r="O297" s="8"/>
      <c r="P297" s="8"/>
      <c r="Q297" s="8"/>
      <c r="R297" s="8"/>
      <c r="S297" s="8"/>
      <c r="T297" s="8"/>
      <c r="U297" s="12"/>
      <c r="V297" s="12"/>
      <c r="W297" s="12"/>
      <c r="X297" s="12"/>
      <c r="Y297" s="29"/>
      <c r="Z297" s="29"/>
      <c r="AA297" s="29"/>
      <c r="AB297" s="12"/>
      <c r="AC297" s="12"/>
      <c r="AD297" s="12"/>
      <c r="AE297" s="12"/>
      <c r="AF297" s="12"/>
    </row>
    <row r="298" spans="1:32">
      <c r="A298" s="8"/>
      <c r="B298" s="8"/>
      <c r="C298" s="8"/>
      <c r="D298" s="8"/>
      <c r="E298" s="8"/>
      <c r="F298" s="8"/>
      <c r="G298" s="8"/>
      <c r="H298" s="8"/>
      <c r="I298" s="8"/>
      <c r="J298" s="8"/>
      <c r="K298" s="8"/>
      <c r="L298" s="8"/>
      <c r="M298" s="8"/>
      <c r="N298" s="8"/>
      <c r="O298" s="8"/>
      <c r="P298" s="8"/>
      <c r="Q298" s="8"/>
      <c r="R298" s="8"/>
      <c r="S298" s="8"/>
      <c r="T298" s="8"/>
      <c r="U298" s="12"/>
      <c r="V298" s="12"/>
      <c r="W298" s="12"/>
      <c r="X298" s="12"/>
      <c r="Y298" s="29"/>
      <c r="Z298" s="29"/>
      <c r="AA298" s="29"/>
      <c r="AB298" s="12"/>
      <c r="AC298" s="12"/>
      <c r="AD298" s="12"/>
      <c r="AE298" s="12"/>
      <c r="AF298" s="12"/>
    </row>
    <row r="299" spans="1:32">
      <c r="A299" s="8"/>
      <c r="B299" s="8"/>
      <c r="C299" s="8"/>
      <c r="D299" s="8"/>
      <c r="E299" s="8"/>
      <c r="F299" s="8"/>
      <c r="G299" s="8"/>
      <c r="H299" s="8"/>
      <c r="I299" s="8"/>
      <c r="J299" s="8"/>
      <c r="K299" s="8"/>
      <c r="L299" s="8"/>
      <c r="M299" s="8"/>
      <c r="N299" s="8"/>
      <c r="O299" s="8"/>
      <c r="P299" s="8"/>
      <c r="Q299" s="8"/>
      <c r="R299" s="8"/>
      <c r="S299" s="8"/>
      <c r="T299" s="8"/>
      <c r="U299" s="12"/>
      <c r="V299" s="12"/>
      <c r="W299" s="12"/>
      <c r="X299" s="12"/>
      <c r="Y299" s="29"/>
      <c r="Z299" s="29"/>
      <c r="AA299" s="29"/>
      <c r="AB299" s="12"/>
      <c r="AC299" s="12"/>
      <c r="AD299" s="12"/>
      <c r="AE299" s="12"/>
      <c r="AF299" s="12"/>
    </row>
    <row r="300" spans="1:32">
      <c r="A300" s="8"/>
      <c r="B300" s="8"/>
      <c r="C300" s="8"/>
      <c r="D300" s="8"/>
      <c r="E300" s="8"/>
      <c r="F300" s="8"/>
      <c r="G300" s="8"/>
      <c r="H300" s="8"/>
      <c r="I300" s="8"/>
      <c r="J300" s="8"/>
      <c r="K300" s="8"/>
      <c r="L300" s="8"/>
      <c r="M300" s="8"/>
      <c r="N300" s="8"/>
      <c r="O300" s="8"/>
      <c r="P300" s="8"/>
      <c r="Q300" s="8"/>
      <c r="R300" s="8"/>
      <c r="S300" s="8"/>
      <c r="T300" s="8"/>
      <c r="U300" s="12"/>
      <c r="V300" s="12"/>
      <c r="W300" s="12"/>
      <c r="X300" s="12"/>
      <c r="Y300" s="29"/>
      <c r="Z300" s="29"/>
      <c r="AA300" s="29"/>
      <c r="AB300" s="12"/>
      <c r="AC300" s="12"/>
      <c r="AD300" s="12"/>
      <c r="AE300" s="12"/>
      <c r="AF300" s="12"/>
    </row>
    <row r="301" spans="1:32">
      <c r="A301" s="8"/>
      <c r="B301" s="8"/>
      <c r="C301" s="8"/>
      <c r="D301" s="8"/>
      <c r="E301" s="8"/>
      <c r="F301" s="8"/>
      <c r="G301" s="8"/>
      <c r="H301" s="8"/>
      <c r="I301" s="8"/>
      <c r="J301" s="8"/>
      <c r="K301" s="8"/>
      <c r="L301" s="8"/>
      <c r="M301" s="8"/>
      <c r="N301" s="8"/>
      <c r="O301" s="8"/>
      <c r="P301" s="8"/>
      <c r="Q301" s="8"/>
      <c r="R301" s="8"/>
      <c r="S301" s="8"/>
      <c r="T301" s="8"/>
      <c r="U301" s="12"/>
      <c r="V301" s="12"/>
      <c r="W301" s="12"/>
      <c r="X301" s="12"/>
      <c r="Y301" s="29"/>
      <c r="Z301" s="29"/>
      <c r="AA301" s="29"/>
      <c r="AB301" s="12"/>
      <c r="AC301" s="12"/>
      <c r="AD301" s="12"/>
      <c r="AE301" s="12"/>
      <c r="AF301" s="12"/>
    </row>
    <row r="302" spans="1:32">
      <c r="A302" s="8"/>
      <c r="B302" s="8"/>
      <c r="C302" s="8"/>
      <c r="D302" s="8"/>
      <c r="E302" s="8"/>
      <c r="F302" s="8"/>
      <c r="G302" s="8"/>
      <c r="H302" s="8"/>
      <c r="I302" s="8"/>
      <c r="J302" s="8"/>
      <c r="K302" s="8"/>
      <c r="L302" s="8"/>
      <c r="M302" s="8"/>
      <c r="N302" s="8"/>
      <c r="O302" s="8"/>
      <c r="P302" s="8"/>
      <c r="Q302" s="8"/>
      <c r="R302" s="8"/>
      <c r="S302" s="8"/>
      <c r="T302" s="8"/>
      <c r="U302" s="12"/>
      <c r="V302" s="12"/>
      <c r="W302" s="12"/>
      <c r="X302" s="12"/>
      <c r="Y302" s="29"/>
      <c r="Z302" s="29"/>
      <c r="AA302" s="29"/>
      <c r="AB302" s="12"/>
      <c r="AC302" s="12"/>
      <c r="AD302" s="12"/>
      <c r="AE302" s="12"/>
      <c r="AF302" s="12"/>
    </row>
    <row r="303" spans="1:32">
      <c r="A303" s="8"/>
      <c r="B303" s="8"/>
      <c r="C303" s="8"/>
      <c r="D303" s="8"/>
      <c r="E303" s="8"/>
      <c r="F303" s="8"/>
      <c r="G303" s="8"/>
      <c r="H303" s="8"/>
      <c r="I303" s="8"/>
      <c r="J303" s="8"/>
      <c r="K303" s="8"/>
      <c r="L303" s="8"/>
      <c r="M303" s="8"/>
      <c r="N303" s="8"/>
      <c r="O303" s="8"/>
      <c r="P303" s="8"/>
      <c r="Q303" s="8"/>
      <c r="R303" s="8"/>
      <c r="S303" s="8"/>
      <c r="T303" s="8"/>
      <c r="U303" s="12"/>
      <c r="V303" s="12"/>
      <c r="W303" s="12"/>
      <c r="X303" s="12"/>
      <c r="Y303" s="29"/>
      <c r="Z303" s="29"/>
      <c r="AA303" s="29"/>
      <c r="AB303" s="12"/>
      <c r="AC303" s="12"/>
      <c r="AD303" s="12"/>
      <c r="AE303" s="12"/>
      <c r="AF303" s="12"/>
    </row>
    <row r="304" spans="1:32">
      <c r="A304" s="8"/>
      <c r="B304" s="8"/>
      <c r="C304" s="8"/>
      <c r="D304" s="8"/>
      <c r="E304" s="8"/>
      <c r="F304" s="8"/>
      <c r="G304" s="8"/>
      <c r="H304" s="8"/>
      <c r="I304" s="8"/>
      <c r="J304" s="8"/>
      <c r="K304" s="8"/>
      <c r="L304" s="8"/>
      <c r="M304" s="8"/>
      <c r="N304" s="8"/>
      <c r="O304" s="8"/>
      <c r="P304" s="8"/>
      <c r="Q304" s="8"/>
      <c r="R304" s="8"/>
      <c r="S304" s="8"/>
      <c r="T304" s="8"/>
      <c r="U304" s="12"/>
      <c r="V304" s="12"/>
      <c r="W304" s="12"/>
      <c r="X304" s="12"/>
      <c r="Y304" s="29"/>
      <c r="Z304" s="29"/>
      <c r="AA304" s="29"/>
      <c r="AB304" s="12"/>
      <c r="AC304" s="12"/>
      <c r="AD304" s="12"/>
      <c r="AE304" s="12"/>
      <c r="AF304" s="12"/>
    </row>
    <row r="305" spans="1:32">
      <c r="A305" s="8"/>
      <c r="B305" s="8"/>
      <c r="C305" s="8"/>
      <c r="D305" s="8"/>
      <c r="E305" s="8"/>
      <c r="F305" s="8"/>
      <c r="G305" s="8"/>
      <c r="H305" s="8"/>
      <c r="I305" s="8"/>
      <c r="J305" s="8"/>
      <c r="K305" s="8"/>
      <c r="L305" s="8"/>
      <c r="M305" s="8"/>
      <c r="N305" s="8"/>
      <c r="O305" s="8"/>
      <c r="P305" s="8"/>
      <c r="Q305" s="8"/>
      <c r="R305" s="8"/>
      <c r="S305" s="8"/>
      <c r="T305" s="8"/>
      <c r="U305" s="12"/>
      <c r="V305" s="12"/>
      <c r="W305" s="12"/>
      <c r="X305" s="12"/>
      <c r="Y305" s="29"/>
      <c r="Z305" s="29"/>
      <c r="AA305" s="29"/>
      <c r="AB305" s="12"/>
      <c r="AC305" s="12"/>
      <c r="AD305" s="12"/>
      <c r="AE305" s="12"/>
      <c r="AF305" s="12"/>
    </row>
    <row r="306" spans="1:32">
      <c r="A306" s="8"/>
      <c r="B306" s="8"/>
      <c r="C306" s="8"/>
      <c r="D306" s="8"/>
      <c r="E306" s="8"/>
      <c r="F306" s="8"/>
      <c r="G306" s="8"/>
      <c r="H306" s="8"/>
      <c r="I306" s="8"/>
      <c r="J306" s="8"/>
      <c r="K306" s="8"/>
      <c r="L306" s="8"/>
      <c r="M306" s="8"/>
      <c r="N306" s="8"/>
      <c r="O306" s="8"/>
      <c r="P306" s="8"/>
      <c r="Q306" s="8"/>
      <c r="R306" s="8"/>
      <c r="S306" s="8"/>
      <c r="T306" s="8"/>
      <c r="U306" s="12"/>
      <c r="V306" s="12"/>
      <c r="W306" s="12"/>
      <c r="X306" s="12"/>
      <c r="Y306" s="29"/>
      <c r="Z306" s="29"/>
      <c r="AA306" s="29"/>
      <c r="AB306" s="12"/>
      <c r="AC306" s="12"/>
      <c r="AD306" s="12"/>
      <c r="AE306" s="12"/>
      <c r="AF306" s="12"/>
    </row>
    <row r="307" spans="1:32">
      <c r="A307" s="8"/>
      <c r="B307" s="8"/>
      <c r="C307" s="8"/>
      <c r="D307" s="8"/>
      <c r="E307" s="8"/>
      <c r="F307" s="8"/>
      <c r="G307" s="8"/>
      <c r="H307" s="8"/>
      <c r="I307" s="8"/>
      <c r="J307" s="8"/>
      <c r="K307" s="8"/>
      <c r="L307" s="8"/>
      <c r="M307" s="8"/>
      <c r="N307" s="8"/>
      <c r="O307" s="8"/>
      <c r="P307" s="8"/>
      <c r="Q307" s="8"/>
      <c r="R307" s="8"/>
      <c r="S307" s="8"/>
      <c r="T307" s="8"/>
      <c r="U307" s="12"/>
      <c r="V307" s="12"/>
      <c r="W307" s="12"/>
      <c r="X307" s="12"/>
      <c r="Y307" s="29"/>
      <c r="Z307" s="29"/>
      <c r="AA307" s="29"/>
      <c r="AB307" s="12"/>
      <c r="AC307" s="12"/>
      <c r="AD307" s="12"/>
      <c r="AE307" s="12"/>
      <c r="AF307" s="12"/>
    </row>
    <row r="308" spans="1:32">
      <c r="A308" s="8"/>
      <c r="B308" s="8"/>
      <c r="C308" s="8"/>
      <c r="D308" s="8"/>
      <c r="E308" s="8"/>
      <c r="F308" s="8"/>
      <c r="G308" s="8"/>
      <c r="H308" s="8"/>
      <c r="I308" s="8"/>
      <c r="J308" s="8"/>
      <c r="K308" s="8"/>
      <c r="L308" s="8"/>
      <c r="M308" s="8"/>
      <c r="N308" s="8"/>
      <c r="O308" s="8"/>
      <c r="P308" s="8"/>
      <c r="Q308" s="8"/>
      <c r="R308" s="8"/>
      <c r="S308" s="8"/>
      <c r="T308" s="8"/>
      <c r="U308" s="12"/>
      <c r="V308" s="12"/>
      <c r="W308" s="12"/>
      <c r="X308" s="12"/>
      <c r="Y308" s="29"/>
      <c r="Z308" s="29"/>
      <c r="AA308" s="29"/>
      <c r="AB308" s="12"/>
      <c r="AC308" s="12"/>
      <c r="AD308" s="12"/>
      <c r="AE308" s="12"/>
      <c r="AF308" s="12"/>
    </row>
    <row r="309" spans="1:32">
      <c r="A309" s="8"/>
      <c r="B309" s="8"/>
      <c r="C309" s="8"/>
      <c r="D309" s="8"/>
      <c r="E309" s="8"/>
      <c r="F309" s="8"/>
      <c r="G309" s="8"/>
      <c r="H309" s="8"/>
      <c r="I309" s="8"/>
      <c r="J309" s="8"/>
      <c r="K309" s="8"/>
      <c r="L309" s="8"/>
      <c r="M309" s="8"/>
      <c r="N309" s="8"/>
      <c r="O309" s="8"/>
      <c r="P309" s="8"/>
      <c r="Q309" s="8"/>
      <c r="R309" s="8"/>
      <c r="S309" s="8"/>
      <c r="T309" s="8"/>
      <c r="U309" s="12"/>
      <c r="V309" s="12"/>
      <c r="W309" s="12"/>
      <c r="X309" s="12"/>
      <c r="Y309" s="29"/>
      <c r="Z309" s="29"/>
      <c r="AA309" s="29"/>
      <c r="AB309" s="12"/>
      <c r="AC309" s="12"/>
      <c r="AD309" s="12"/>
      <c r="AE309" s="12"/>
      <c r="AF309" s="12"/>
    </row>
    <row r="310" spans="1:32">
      <c r="A310" s="8"/>
      <c r="B310" s="8"/>
      <c r="C310" s="8"/>
      <c r="D310" s="8"/>
      <c r="E310" s="8"/>
      <c r="F310" s="8"/>
      <c r="G310" s="8"/>
      <c r="H310" s="8"/>
      <c r="I310" s="8"/>
      <c r="J310" s="8"/>
      <c r="K310" s="8"/>
      <c r="L310" s="8"/>
      <c r="M310" s="8"/>
      <c r="N310" s="8"/>
      <c r="O310" s="8"/>
      <c r="P310" s="8"/>
      <c r="Q310" s="8"/>
      <c r="R310" s="8"/>
      <c r="S310" s="8"/>
      <c r="T310" s="8"/>
      <c r="U310" s="12"/>
      <c r="V310" s="12"/>
      <c r="W310" s="12"/>
      <c r="X310" s="12"/>
      <c r="Y310" s="29"/>
      <c r="Z310" s="29"/>
      <c r="AA310" s="29"/>
      <c r="AB310" s="12"/>
      <c r="AC310" s="12"/>
      <c r="AD310" s="12"/>
      <c r="AE310" s="12"/>
      <c r="AF310" s="12"/>
    </row>
    <row r="311" spans="1:32">
      <c r="A311" s="8"/>
      <c r="B311" s="8"/>
      <c r="C311" s="8"/>
      <c r="D311" s="8"/>
      <c r="E311" s="8"/>
      <c r="F311" s="8"/>
      <c r="G311" s="8"/>
      <c r="H311" s="8"/>
      <c r="I311" s="8"/>
      <c r="J311" s="8"/>
      <c r="K311" s="8"/>
      <c r="L311" s="8"/>
      <c r="M311" s="8"/>
      <c r="N311" s="8"/>
      <c r="O311" s="8"/>
      <c r="P311" s="8"/>
      <c r="Q311" s="8"/>
      <c r="R311" s="8"/>
      <c r="S311" s="8"/>
      <c r="T311" s="8"/>
      <c r="U311" s="12"/>
      <c r="V311" s="12"/>
      <c r="W311" s="12"/>
      <c r="X311" s="12"/>
      <c r="Y311" s="29"/>
      <c r="Z311" s="29"/>
      <c r="AA311" s="29"/>
      <c r="AB311" s="12"/>
      <c r="AC311" s="12"/>
      <c r="AD311" s="12"/>
      <c r="AE311" s="12"/>
      <c r="AF311" s="12"/>
    </row>
    <row r="312" spans="1:32">
      <c r="A312" s="8"/>
      <c r="B312" s="8"/>
      <c r="C312" s="8"/>
      <c r="D312" s="8"/>
      <c r="E312" s="8"/>
      <c r="F312" s="8"/>
      <c r="G312" s="8"/>
      <c r="H312" s="8"/>
      <c r="I312" s="8"/>
      <c r="J312" s="8"/>
      <c r="K312" s="8"/>
      <c r="L312" s="8"/>
      <c r="M312" s="8"/>
      <c r="N312" s="8"/>
      <c r="O312" s="8"/>
      <c r="P312" s="8"/>
      <c r="Q312" s="8"/>
      <c r="R312" s="8"/>
      <c r="S312" s="8"/>
      <c r="T312" s="8"/>
      <c r="U312" s="12"/>
      <c r="V312" s="12"/>
      <c r="W312" s="12"/>
      <c r="X312" s="12"/>
      <c r="Y312" s="29"/>
      <c r="Z312" s="29"/>
      <c r="AA312" s="29"/>
      <c r="AB312" s="12"/>
      <c r="AC312" s="12"/>
      <c r="AD312" s="12"/>
      <c r="AE312" s="12"/>
      <c r="AF312" s="12"/>
    </row>
    <row r="313" spans="1:32">
      <c r="A313" s="8"/>
      <c r="B313" s="8"/>
      <c r="C313" s="8"/>
      <c r="D313" s="8"/>
      <c r="E313" s="8"/>
      <c r="F313" s="8"/>
      <c r="G313" s="8"/>
      <c r="H313" s="8"/>
      <c r="I313" s="8"/>
      <c r="J313" s="8"/>
      <c r="K313" s="8"/>
      <c r="L313" s="8"/>
      <c r="M313" s="8"/>
      <c r="N313" s="8"/>
      <c r="O313" s="8"/>
      <c r="P313" s="8"/>
      <c r="Q313" s="8"/>
      <c r="R313" s="8"/>
      <c r="S313" s="8"/>
      <c r="T313" s="8"/>
      <c r="U313" s="12"/>
      <c r="V313" s="12"/>
      <c r="W313" s="12"/>
      <c r="X313" s="12"/>
      <c r="Y313" s="29"/>
      <c r="Z313" s="29"/>
      <c r="AA313" s="29"/>
      <c r="AB313" s="12"/>
      <c r="AC313" s="12"/>
      <c r="AD313" s="12"/>
      <c r="AE313" s="12"/>
      <c r="AF313" s="12"/>
    </row>
    <row r="314" spans="1:32">
      <c r="A314" s="8"/>
      <c r="B314" s="8"/>
      <c r="C314" s="8"/>
      <c r="D314" s="8"/>
      <c r="E314" s="8"/>
      <c r="F314" s="8"/>
      <c r="G314" s="8"/>
      <c r="H314" s="8"/>
      <c r="I314" s="8"/>
      <c r="J314" s="8"/>
      <c r="K314" s="8"/>
      <c r="L314" s="8"/>
      <c r="M314" s="8"/>
      <c r="N314" s="8"/>
      <c r="O314" s="8"/>
      <c r="P314" s="8"/>
      <c r="Q314" s="8"/>
      <c r="R314" s="8"/>
      <c r="S314" s="8"/>
      <c r="T314" s="8"/>
      <c r="U314" s="12"/>
      <c r="V314" s="12"/>
      <c r="W314" s="12"/>
      <c r="X314" s="12"/>
      <c r="Y314" s="29"/>
      <c r="Z314" s="29"/>
      <c r="AA314" s="29"/>
      <c r="AB314" s="12"/>
      <c r="AC314" s="12"/>
      <c r="AD314" s="12"/>
      <c r="AE314" s="12"/>
      <c r="AF314" s="12"/>
    </row>
    <row r="315" spans="1:32">
      <c r="A315" s="8"/>
      <c r="B315" s="8"/>
      <c r="C315" s="8"/>
      <c r="D315" s="8"/>
      <c r="E315" s="8"/>
      <c r="F315" s="8"/>
      <c r="G315" s="8"/>
      <c r="H315" s="8"/>
      <c r="I315" s="8"/>
      <c r="J315" s="8"/>
      <c r="K315" s="8"/>
      <c r="L315" s="8"/>
      <c r="M315" s="8"/>
      <c r="N315" s="8"/>
      <c r="O315" s="8"/>
      <c r="P315" s="8"/>
      <c r="Q315" s="8"/>
      <c r="R315" s="8"/>
      <c r="S315" s="8"/>
      <c r="T315" s="8"/>
      <c r="U315" s="12"/>
      <c r="V315" s="12"/>
      <c r="W315" s="12"/>
      <c r="X315" s="12"/>
      <c r="Y315" s="29"/>
      <c r="Z315" s="29"/>
      <c r="AA315" s="29"/>
      <c r="AB315" s="12"/>
      <c r="AC315" s="12"/>
      <c r="AD315" s="12"/>
      <c r="AE315" s="12"/>
      <c r="AF315" s="12"/>
    </row>
    <row r="316" spans="1:32">
      <c r="A316" s="8"/>
      <c r="B316" s="8"/>
      <c r="C316" s="8"/>
      <c r="D316" s="8"/>
      <c r="E316" s="8"/>
      <c r="F316" s="8"/>
      <c r="G316" s="8"/>
      <c r="H316" s="8"/>
      <c r="I316" s="8"/>
      <c r="J316" s="8"/>
      <c r="K316" s="8"/>
      <c r="L316" s="8"/>
      <c r="M316" s="8"/>
      <c r="N316" s="8"/>
      <c r="O316" s="8"/>
      <c r="P316" s="8"/>
      <c r="Q316" s="8"/>
      <c r="R316" s="8"/>
      <c r="S316" s="8"/>
      <c r="T316" s="8"/>
      <c r="U316" s="12"/>
      <c r="V316" s="12"/>
      <c r="W316" s="12"/>
      <c r="X316" s="12"/>
      <c r="Y316" s="29"/>
      <c r="Z316" s="29"/>
      <c r="AA316" s="29"/>
      <c r="AB316" s="12"/>
      <c r="AC316" s="12"/>
      <c r="AD316" s="12"/>
      <c r="AE316" s="12"/>
      <c r="AF316" s="12"/>
    </row>
    <row r="317" spans="1:32">
      <c r="A317" s="8"/>
      <c r="B317" s="8"/>
      <c r="C317" s="8"/>
      <c r="D317" s="8"/>
      <c r="E317" s="8"/>
      <c r="F317" s="8"/>
      <c r="G317" s="8"/>
      <c r="H317" s="8"/>
      <c r="I317" s="8"/>
      <c r="J317" s="8"/>
      <c r="K317" s="8"/>
      <c r="L317" s="8"/>
      <c r="M317" s="8"/>
      <c r="N317" s="8"/>
      <c r="O317" s="8"/>
      <c r="P317" s="8"/>
      <c r="Q317" s="8"/>
      <c r="R317" s="8"/>
      <c r="S317" s="8"/>
      <c r="T317" s="8"/>
      <c r="U317" s="12"/>
      <c r="V317" s="12"/>
      <c r="W317" s="12"/>
      <c r="X317" s="12"/>
      <c r="Y317" s="29"/>
      <c r="Z317" s="29"/>
      <c r="AA317" s="29"/>
      <c r="AB317" s="12"/>
      <c r="AC317" s="12"/>
      <c r="AD317" s="12"/>
      <c r="AE317" s="12"/>
      <c r="AF317" s="12"/>
    </row>
    <row r="318" spans="1:32">
      <c r="A318" s="8"/>
      <c r="B318" s="8"/>
      <c r="C318" s="8"/>
      <c r="D318" s="8"/>
      <c r="E318" s="8"/>
      <c r="F318" s="8"/>
      <c r="G318" s="8"/>
      <c r="H318" s="8"/>
      <c r="I318" s="8"/>
      <c r="J318" s="8"/>
      <c r="K318" s="8"/>
      <c r="L318" s="8"/>
      <c r="M318" s="8"/>
      <c r="N318" s="8"/>
      <c r="O318" s="8"/>
      <c r="P318" s="8"/>
      <c r="Q318" s="8"/>
      <c r="R318" s="8"/>
      <c r="S318" s="8"/>
      <c r="T318" s="8"/>
      <c r="U318" s="12"/>
      <c r="V318" s="12"/>
      <c r="W318" s="12"/>
      <c r="X318" s="12"/>
      <c r="Y318" s="29"/>
      <c r="Z318" s="29"/>
      <c r="AA318" s="29"/>
      <c r="AB318" s="12"/>
      <c r="AC318" s="12"/>
      <c r="AD318" s="12"/>
      <c r="AE318" s="12"/>
      <c r="AF318" s="12"/>
    </row>
    <row r="319" spans="1:32">
      <c r="A319" s="8"/>
      <c r="B319" s="8"/>
      <c r="C319" s="8"/>
      <c r="D319" s="8"/>
      <c r="E319" s="8"/>
      <c r="F319" s="8"/>
      <c r="G319" s="8"/>
      <c r="H319" s="8"/>
      <c r="I319" s="8"/>
      <c r="J319" s="8"/>
      <c r="K319" s="8"/>
      <c r="L319" s="8"/>
      <c r="M319" s="8"/>
      <c r="N319" s="8"/>
      <c r="O319" s="8"/>
      <c r="P319" s="8"/>
      <c r="Q319" s="8"/>
      <c r="R319" s="8"/>
      <c r="S319" s="8"/>
      <c r="T319" s="8"/>
      <c r="U319" s="12"/>
      <c r="V319" s="12"/>
      <c r="W319" s="12"/>
      <c r="X319" s="12"/>
      <c r="Y319" s="29"/>
      <c r="Z319" s="29"/>
      <c r="AA319" s="29"/>
      <c r="AB319" s="12"/>
      <c r="AC319" s="12"/>
      <c r="AD319" s="12"/>
      <c r="AE319" s="12"/>
      <c r="AF319" s="12"/>
    </row>
    <row r="320" spans="1:32">
      <c r="A320" s="8"/>
      <c r="B320" s="8"/>
      <c r="C320" s="8"/>
      <c r="D320" s="8"/>
      <c r="E320" s="8"/>
      <c r="F320" s="8"/>
      <c r="G320" s="8"/>
      <c r="H320" s="8"/>
      <c r="I320" s="8"/>
      <c r="J320" s="8"/>
      <c r="K320" s="8"/>
      <c r="L320" s="8"/>
      <c r="M320" s="8"/>
      <c r="N320" s="8"/>
      <c r="O320" s="8"/>
      <c r="P320" s="8"/>
      <c r="Q320" s="8"/>
      <c r="R320" s="8"/>
      <c r="S320" s="8"/>
      <c r="T320" s="8"/>
      <c r="U320" s="12"/>
      <c r="V320" s="12"/>
      <c r="W320" s="12"/>
      <c r="X320" s="12"/>
      <c r="Y320" s="29"/>
      <c r="Z320" s="29"/>
      <c r="AA320" s="29"/>
      <c r="AB320" s="12"/>
      <c r="AC320" s="12"/>
      <c r="AD320" s="12"/>
      <c r="AE320" s="12"/>
      <c r="AF320" s="12"/>
    </row>
    <row r="321" spans="1:32">
      <c r="A321" s="8"/>
      <c r="B321" s="8"/>
      <c r="C321" s="8"/>
      <c r="D321" s="8"/>
      <c r="E321" s="8"/>
      <c r="F321" s="8"/>
      <c r="G321" s="8"/>
      <c r="H321" s="8"/>
      <c r="I321" s="8"/>
      <c r="J321" s="8"/>
      <c r="K321" s="8"/>
      <c r="L321" s="8"/>
      <c r="M321" s="8"/>
      <c r="N321" s="8"/>
      <c r="O321" s="8"/>
      <c r="P321" s="8"/>
      <c r="Q321" s="8"/>
      <c r="R321" s="8"/>
      <c r="S321" s="8"/>
      <c r="T321" s="8"/>
      <c r="U321" s="12"/>
      <c r="V321" s="12"/>
      <c r="W321" s="12"/>
      <c r="X321" s="12"/>
      <c r="Y321" s="29"/>
      <c r="Z321" s="29"/>
      <c r="AA321" s="29"/>
      <c r="AB321" s="12"/>
      <c r="AC321" s="12"/>
      <c r="AD321" s="12"/>
      <c r="AE321" s="12"/>
      <c r="AF321" s="12"/>
    </row>
    <row r="322" spans="1:32">
      <c r="A322" s="8"/>
      <c r="B322" s="8"/>
      <c r="C322" s="8"/>
      <c r="D322" s="8"/>
      <c r="E322" s="8"/>
      <c r="F322" s="8"/>
      <c r="G322" s="8"/>
      <c r="H322" s="8"/>
      <c r="I322" s="8"/>
      <c r="J322" s="8"/>
      <c r="K322" s="8"/>
      <c r="L322" s="8"/>
      <c r="M322" s="8"/>
      <c r="N322" s="8"/>
      <c r="O322" s="8"/>
      <c r="P322" s="8"/>
      <c r="Q322" s="8"/>
      <c r="R322" s="8"/>
      <c r="S322" s="8"/>
      <c r="T322" s="8"/>
      <c r="U322" s="12"/>
      <c r="V322" s="12"/>
      <c r="W322" s="12"/>
      <c r="X322" s="12"/>
      <c r="Y322" s="29"/>
      <c r="Z322" s="29"/>
      <c r="AA322" s="29"/>
      <c r="AB322" s="12"/>
      <c r="AC322" s="12"/>
      <c r="AD322" s="12"/>
      <c r="AE322" s="12"/>
      <c r="AF322" s="12"/>
    </row>
    <row r="323" spans="1:32">
      <c r="A323" s="8"/>
      <c r="B323" s="8"/>
      <c r="C323" s="8"/>
      <c r="D323" s="8"/>
      <c r="E323" s="8"/>
      <c r="F323" s="8"/>
      <c r="G323" s="8"/>
      <c r="H323" s="8"/>
      <c r="I323" s="8"/>
      <c r="J323" s="8"/>
      <c r="K323" s="8"/>
      <c r="L323" s="8"/>
      <c r="M323" s="8"/>
      <c r="N323" s="8"/>
      <c r="O323" s="8"/>
      <c r="P323" s="8"/>
      <c r="Q323" s="8"/>
      <c r="R323" s="8"/>
      <c r="S323" s="8"/>
      <c r="T323" s="8"/>
      <c r="U323" s="12"/>
      <c r="V323" s="12"/>
      <c r="W323" s="12"/>
      <c r="X323" s="12"/>
      <c r="Y323" s="29"/>
      <c r="Z323" s="29"/>
      <c r="AA323" s="29"/>
      <c r="AB323" s="12"/>
      <c r="AC323" s="12"/>
      <c r="AD323" s="12"/>
      <c r="AE323" s="12"/>
      <c r="AF323" s="12"/>
    </row>
    <row r="324" spans="1:32">
      <c r="A324" s="8"/>
      <c r="B324" s="8"/>
      <c r="C324" s="8"/>
      <c r="D324" s="8"/>
      <c r="E324" s="8"/>
      <c r="F324" s="8"/>
      <c r="G324" s="8"/>
      <c r="H324" s="8"/>
      <c r="I324" s="8"/>
      <c r="J324" s="8"/>
      <c r="K324" s="8"/>
      <c r="L324" s="8"/>
      <c r="M324" s="8"/>
      <c r="N324" s="8"/>
      <c r="O324" s="8"/>
      <c r="P324" s="8"/>
      <c r="Q324" s="8"/>
      <c r="R324" s="8"/>
      <c r="S324" s="8"/>
      <c r="T324" s="8"/>
      <c r="U324" s="12"/>
      <c r="V324" s="12"/>
      <c r="W324" s="12"/>
      <c r="X324" s="12"/>
      <c r="Y324" s="29"/>
      <c r="Z324" s="29"/>
      <c r="AA324" s="29"/>
      <c r="AB324" s="12"/>
      <c r="AC324" s="12"/>
      <c r="AD324" s="12"/>
      <c r="AE324" s="12"/>
      <c r="AF324" s="12"/>
    </row>
    <row r="325" spans="1:32">
      <c r="A325" s="8"/>
      <c r="B325" s="8"/>
      <c r="C325" s="8"/>
      <c r="D325" s="8"/>
      <c r="E325" s="8"/>
      <c r="F325" s="8"/>
      <c r="G325" s="8"/>
      <c r="H325" s="8"/>
      <c r="I325" s="8"/>
      <c r="J325" s="8"/>
      <c r="K325" s="8"/>
      <c r="L325" s="8"/>
      <c r="M325" s="8"/>
      <c r="N325" s="8"/>
      <c r="O325" s="8"/>
      <c r="P325" s="8"/>
      <c r="Q325" s="8"/>
      <c r="R325" s="8"/>
      <c r="S325" s="8"/>
      <c r="T325" s="8"/>
      <c r="U325" s="12"/>
      <c r="V325" s="12"/>
      <c r="W325" s="12"/>
      <c r="X325" s="12"/>
      <c r="Y325" s="29"/>
      <c r="Z325" s="29"/>
      <c r="AA325" s="29"/>
      <c r="AB325" s="12"/>
      <c r="AC325" s="12"/>
      <c r="AD325" s="12"/>
      <c r="AE325" s="12"/>
      <c r="AF325" s="12"/>
    </row>
    <row r="326" spans="1:32">
      <c r="A326" s="8"/>
      <c r="B326" s="8"/>
      <c r="C326" s="8"/>
      <c r="D326" s="8"/>
      <c r="E326" s="8"/>
      <c r="F326" s="8"/>
      <c r="G326" s="8"/>
      <c r="H326" s="8"/>
      <c r="I326" s="8"/>
      <c r="J326" s="8"/>
      <c r="K326" s="8"/>
      <c r="L326" s="8"/>
      <c r="M326" s="8"/>
      <c r="N326" s="8"/>
      <c r="O326" s="8"/>
      <c r="P326" s="8"/>
      <c r="Q326" s="8"/>
      <c r="R326" s="8"/>
      <c r="S326" s="8"/>
      <c r="T326" s="8"/>
      <c r="U326" s="12"/>
      <c r="V326" s="12"/>
      <c r="W326" s="12"/>
      <c r="X326" s="12"/>
      <c r="Y326" s="29"/>
      <c r="Z326" s="29"/>
      <c r="AA326" s="29"/>
      <c r="AB326" s="12"/>
      <c r="AC326" s="12"/>
      <c r="AD326" s="12"/>
      <c r="AE326" s="12"/>
      <c r="AF326" s="12"/>
    </row>
    <row r="327" spans="1:32">
      <c r="A327" s="8"/>
      <c r="B327" s="8"/>
      <c r="C327" s="8"/>
      <c r="D327" s="8"/>
      <c r="E327" s="8"/>
      <c r="F327" s="8"/>
      <c r="G327" s="8"/>
      <c r="H327" s="8"/>
      <c r="I327" s="8"/>
      <c r="J327" s="8"/>
      <c r="K327" s="8"/>
      <c r="L327" s="8"/>
      <c r="M327" s="8"/>
      <c r="N327" s="8"/>
      <c r="O327" s="8"/>
      <c r="P327" s="8"/>
      <c r="Q327" s="8"/>
      <c r="R327" s="8"/>
      <c r="S327" s="8"/>
      <c r="T327" s="8"/>
      <c r="U327" s="12"/>
      <c r="V327" s="12"/>
      <c r="W327" s="12"/>
      <c r="X327" s="12"/>
      <c r="Y327" s="29"/>
      <c r="Z327" s="29"/>
      <c r="AA327" s="29"/>
      <c r="AB327" s="12"/>
      <c r="AC327" s="12"/>
      <c r="AD327" s="12"/>
      <c r="AE327" s="12"/>
      <c r="AF327" s="12"/>
    </row>
    <row r="328" spans="1:32">
      <c r="A328" s="8"/>
      <c r="B328" s="8"/>
      <c r="C328" s="8"/>
      <c r="D328" s="8"/>
      <c r="E328" s="8"/>
      <c r="F328" s="8"/>
      <c r="G328" s="8"/>
      <c r="H328" s="8"/>
      <c r="I328" s="8"/>
      <c r="J328" s="8"/>
      <c r="K328" s="8"/>
      <c r="L328" s="8"/>
      <c r="M328" s="8"/>
      <c r="N328" s="8"/>
      <c r="O328" s="8"/>
      <c r="P328" s="8"/>
      <c r="Q328" s="8"/>
      <c r="R328" s="8"/>
      <c r="S328" s="8"/>
      <c r="T328" s="8"/>
      <c r="U328" s="12"/>
      <c r="V328" s="12"/>
      <c r="W328" s="12"/>
      <c r="X328" s="12"/>
      <c r="Y328" s="29"/>
      <c r="Z328" s="29"/>
      <c r="AA328" s="29"/>
      <c r="AB328" s="12"/>
      <c r="AC328" s="12"/>
      <c r="AD328" s="12"/>
      <c r="AE328" s="12"/>
      <c r="AF328" s="12"/>
    </row>
    <row r="329" spans="1:32">
      <c r="A329" s="8"/>
      <c r="B329" s="8"/>
      <c r="C329" s="8"/>
      <c r="D329" s="8"/>
      <c r="E329" s="8"/>
      <c r="F329" s="8"/>
      <c r="G329" s="8"/>
      <c r="H329" s="8"/>
      <c r="I329" s="8"/>
      <c r="J329" s="8"/>
      <c r="K329" s="8"/>
      <c r="L329" s="8"/>
      <c r="M329" s="8"/>
      <c r="N329" s="8"/>
      <c r="O329" s="8"/>
      <c r="P329" s="8"/>
      <c r="Q329" s="8"/>
      <c r="R329" s="8"/>
      <c r="S329" s="8"/>
      <c r="T329" s="8"/>
      <c r="U329" s="12"/>
      <c r="V329" s="12"/>
      <c r="W329" s="12"/>
      <c r="X329" s="12"/>
      <c r="Y329" s="29"/>
      <c r="Z329" s="29"/>
      <c r="AA329" s="29"/>
      <c r="AB329" s="12"/>
      <c r="AC329" s="12"/>
      <c r="AD329" s="12"/>
      <c r="AE329" s="12"/>
      <c r="AF329" s="12"/>
    </row>
    <row r="330" spans="1:32">
      <c r="A330" s="8"/>
      <c r="B330" s="8"/>
      <c r="C330" s="8"/>
      <c r="D330" s="8"/>
      <c r="E330" s="8"/>
      <c r="F330" s="8"/>
      <c r="G330" s="8"/>
      <c r="H330" s="8"/>
      <c r="I330" s="8"/>
      <c r="J330" s="8"/>
      <c r="K330" s="8"/>
      <c r="L330" s="8"/>
      <c r="M330" s="8"/>
      <c r="N330" s="8"/>
      <c r="O330" s="8"/>
      <c r="P330" s="8"/>
      <c r="Q330" s="8"/>
      <c r="R330" s="8"/>
      <c r="S330" s="8"/>
      <c r="T330" s="8"/>
      <c r="U330" s="12"/>
      <c r="V330" s="12"/>
      <c r="W330" s="12"/>
      <c r="X330" s="12"/>
      <c r="Y330" s="29"/>
      <c r="Z330" s="29"/>
      <c r="AA330" s="29"/>
      <c r="AB330" s="12"/>
      <c r="AC330" s="12"/>
      <c r="AD330" s="12"/>
      <c r="AE330" s="12"/>
      <c r="AF330" s="12"/>
    </row>
    <row r="331" spans="1:32">
      <c r="A331" s="8"/>
      <c r="B331" s="8"/>
      <c r="C331" s="8"/>
      <c r="D331" s="8"/>
      <c r="E331" s="8"/>
      <c r="F331" s="8"/>
      <c r="G331" s="8"/>
      <c r="H331" s="8"/>
      <c r="I331" s="8"/>
      <c r="J331" s="8"/>
      <c r="K331" s="8"/>
      <c r="L331" s="8"/>
      <c r="M331" s="8"/>
      <c r="N331" s="8"/>
      <c r="O331" s="8"/>
      <c r="P331" s="8"/>
      <c r="Q331" s="8"/>
      <c r="R331" s="8"/>
      <c r="S331" s="8"/>
      <c r="T331" s="8"/>
      <c r="U331" s="12"/>
      <c r="V331" s="12"/>
      <c r="W331" s="12"/>
      <c r="X331" s="12"/>
      <c r="Y331" s="29"/>
      <c r="Z331" s="29"/>
      <c r="AA331" s="29"/>
      <c r="AB331" s="12"/>
      <c r="AC331" s="12"/>
      <c r="AD331" s="12"/>
      <c r="AE331" s="12"/>
      <c r="AF331" s="12"/>
    </row>
    <row r="332" spans="1:32">
      <c r="A332" s="8"/>
      <c r="B332" s="8"/>
      <c r="C332" s="8"/>
      <c r="D332" s="8"/>
      <c r="E332" s="8"/>
      <c r="F332" s="8"/>
      <c r="G332" s="8"/>
      <c r="H332" s="8"/>
      <c r="I332" s="8"/>
      <c r="J332" s="8"/>
      <c r="K332" s="8"/>
      <c r="L332" s="8"/>
      <c r="M332" s="8"/>
      <c r="N332" s="8"/>
      <c r="O332" s="8"/>
      <c r="P332" s="8"/>
      <c r="Q332" s="8"/>
      <c r="R332" s="8"/>
      <c r="S332" s="8"/>
      <c r="T332" s="8"/>
      <c r="U332" s="12"/>
      <c r="V332" s="12"/>
      <c r="W332" s="12"/>
      <c r="X332" s="12"/>
      <c r="Y332" s="29"/>
      <c r="Z332" s="29"/>
      <c r="AA332" s="29"/>
      <c r="AB332" s="12"/>
      <c r="AC332" s="12"/>
      <c r="AD332" s="12"/>
      <c r="AE332" s="12"/>
      <c r="AF332" s="12"/>
    </row>
    <row r="333" spans="1:32">
      <c r="A333" s="8"/>
      <c r="B333" s="8"/>
      <c r="C333" s="8"/>
      <c r="D333" s="8"/>
      <c r="E333" s="8"/>
      <c r="F333" s="8"/>
      <c r="G333" s="8"/>
      <c r="H333" s="8"/>
      <c r="I333" s="8"/>
      <c r="J333" s="8"/>
      <c r="K333" s="8"/>
      <c r="L333" s="8"/>
      <c r="M333" s="8"/>
      <c r="N333" s="8"/>
      <c r="O333" s="8"/>
      <c r="P333" s="8"/>
      <c r="Q333" s="8"/>
      <c r="R333" s="8"/>
      <c r="S333" s="8"/>
      <c r="T333" s="8"/>
      <c r="U333" s="12"/>
      <c r="V333" s="12"/>
      <c r="W333" s="12"/>
      <c r="X333" s="12"/>
      <c r="Y333" s="29"/>
      <c r="Z333" s="29"/>
      <c r="AA333" s="29"/>
      <c r="AB333" s="12"/>
      <c r="AC333" s="12"/>
      <c r="AD333" s="12"/>
      <c r="AE333" s="12"/>
      <c r="AF333" s="12"/>
    </row>
    <row r="334" spans="1:32">
      <c r="A334" s="8"/>
      <c r="B334" s="8"/>
      <c r="C334" s="8"/>
      <c r="D334" s="8"/>
      <c r="E334" s="8"/>
      <c r="F334" s="8"/>
      <c r="G334" s="8"/>
      <c r="H334" s="8"/>
      <c r="I334" s="8"/>
      <c r="J334" s="8"/>
      <c r="K334" s="8"/>
      <c r="L334" s="8"/>
      <c r="M334" s="8"/>
      <c r="N334" s="8"/>
      <c r="O334" s="8"/>
      <c r="P334" s="8"/>
      <c r="Q334" s="8"/>
      <c r="R334" s="8"/>
      <c r="S334" s="8"/>
      <c r="T334" s="8"/>
      <c r="U334" s="12"/>
      <c r="V334" s="12"/>
      <c r="W334" s="12"/>
      <c r="X334" s="12"/>
      <c r="Y334" s="29"/>
      <c r="Z334" s="29"/>
      <c r="AA334" s="29"/>
      <c r="AB334" s="12"/>
      <c r="AC334" s="12"/>
      <c r="AD334" s="12"/>
      <c r="AE334" s="12"/>
      <c r="AF334" s="12"/>
    </row>
    <row r="335" spans="1:32">
      <c r="A335" s="8"/>
      <c r="B335" s="8"/>
      <c r="C335" s="8"/>
      <c r="D335" s="8"/>
      <c r="E335" s="8"/>
      <c r="F335" s="8"/>
      <c r="G335" s="8"/>
      <c r="H335" s="8"/>
      <c r="I335" s="8"/>
      <c r="J335" s="8"/>
      <c r="K335" s="8"/>
      <c r="L335" s="8"/>
      <c r="M335" s="8"/>
      <c r="N335" s="8"/>
      <c r="O335" s="8"/>
      <c r="P335" s="8"/>
      <c r="Q335" s="8"/>
      <c r="R335" s="8"/>
      <c r="S335" s="8"/>
      <c r="T335" s="8"/>
      <c r="U335" s="12"/>
      <c r="V335" s="12"/>
      <c r="W335" s="12"/>
      <c r="X335" s="12"/>
      <c r="Y335" s="29"/>
      <c r="Z335" s="29"/>
      <c r="AA335" s="29"/>
      <c r="AB335" s="12"/>
      <c r="AC335" s="12"/>
      <c r="AD335" s="12"/>
      <c r="AE335" s="12"/>
      <c r="AF335" s="12"/>
    </row>
    <row r="336" spans="1:32">
      <c r="A336" s="8"/>
      <c r="B336" s="8"/>
      <c r="C336" s="8"/>
      <c r="D336" s="8"/>
      <c r="E336" s="8"/>
      <c r="F336" s="8"/>
      <c r="G336" s="8"/>
      <c r="H336" s="8"/>
      <c r="I336" s="8"/>
      <c r="J336" s="8"/>
      <c r="K336" s="8"/>
      <c r="L336" s="8"/>
      <c r="M336" s="8"/>
      <c r="N336" s="8"/>
      <c r="O336" s="8"/>
      <c r="P336" s="8"/>
      <c r="Q336" s="8"/>
      <c r="R336" s="8"/>
      <c r="S336" s="8"/>
      <c r="T336" s="8"/>
      <c r="U336" s="12"/>
      <c r="V336" s="12"/>
      <c r="W336" s="12"/>
      <c r="X336" s="12"/>
      <c r="Y336" s="29"/>
      <c r="Z336" s="29"/>
      <c r="AA336" s="29"/>
      <c r="AB336" s="12"/>
      <c r="AC336" s="12"/>
      <c r="AD336" s="12"/>
      <c r="AE336" s="12"/>
      <c r="AF336" s="12"/>
    </row>
    <row r="337" spans="1:32">
      <c r="A337" s="8"/>
      <c r="B337" s="8"/>
      <c r="C337" s="8"/>
      <c r="D337" s="8"/>
      <c r="E337" s="8"/>
      <c r="F337" s="8"/>
      <c r="G337" s="8"/>
      <c r="H337" s="8"/>
      <c r="I337" s="8"/>
      <c r="J337" s="8"/>
      <c r="K337" s="8"/>
      <c r="L337" s="8"/>
      <c r="M337" s="8"/>
      <c r="N337" s="8"/>
      <c r="O337" s="8"/>
      <c r="P337" s="8"/>
      <c r="Q337" s="8"/>
      <c r="R337" s="8"/>
      <c r="S337" s="8"/>
      <c r="T337" s="8"/>
      <c r="U337" s="12"/>
      <c r="V337" s="12"/>
      <c r="W337" s="12"/>
      <c r="X337" s="12"/>
      <c r="Y337" s="29"/>
      <c r="Z337" s="29"/>
      <c r="AA337" s="29"/>
      <c r="AB337" s="12"/>
      <c r="AC337" s="12"/>
      <c r="AD337" s="12"/>
      <c r="AE337" s="12"/>
      <c r="AF337" s="12"/>
    </row>
    <row r="338" spans="1:32">
      <c r="A338" s="8"/>
      <c r="B338" s="8"/>
      <c r="C338" s="8"/>
      <c r="D338" s="8"/>
      <c r="E338" s="8"/>
      <c r="F338" s="8"/>
      <c r="G338" s="8"/>
      <c r="H338" s="8"/>
      <c r="I338" s="8"/>
      <c r="J338" s="8"/>
      <c r="K338" s="8"/>
      <c r="L338" s="8"/>
      <c r="M338" s="8"/>
      <c r="N338" s="8"/>
      <c r="O338" s="8"/>
      <c r="P338" s="8"/>
      <c r="Q338" s="8"/>
      <c r="R338" s="8"/>
      <c r="S338" s="8"/>
      <c r="T338" s="8"/>
      <c r="U338" s="12"/>
      <c r="V338" s="12"/>
      <c r="W338" s="12"/>
      <c r="X338" s="12"/>
      <c r="Y338" s="29"/>
      <c r="Z338" s="29"/>
      <c r="AA338" s="29"/>
      <c r="AB338" s="12"/>
      <c r="AC338" s="12"/>
      <c r="AD338" s="12"/>
      <c r="AE338" s="12"/>
      <c r="AF338" s="12"/>
    </row>
    <row r="339" spans="1:32">
      <c r="A339" s="8"/>
      <c r="B339" s="8"/>
      <c r="C339" s="8"/>
      <c r="D339" s="8"/>
      <c r="E339" s="8"/>
      <c r="F339" s="8"/>
      <c r="G339" s="8"/>
      <c r="H339" s="8"/>
      <c r="I339" s="8"/>
      <c r="J339" s="8"/>
      <c r="K339" s="8"/>
      <c r="L339" s="8"/>
      <c r="M339" s="8"/>
      <c r="N339" s="8"/>
      <c r="O339" s="8"/>
      <c r="P339" s="8"/>
      <c r="Q339" s="8"/>
      <c r="R339" s="8"/>
      <c r="S339" s="8"/>
      <c r="T339" s="8"/>
      <c r="U339" s="12"/>
      <c r="V339" s="12"/>
      <c r="W339" s="12"/>
      <c r="X339" s="12"/>
      <c r="Y339" s="29"/>
      <c r="Z339" s="29"/>
      <c r="AA339" s="29"/>
      <c r="AB339" s="12"/>
      <c r="AC339" s="12"/>
      <c r="AD339" s="12"/>
      <c r="AE339" s="12"/>
      <c r="AF339" s="12"/>
    </row>
    <row r="340" spans="1:32">
      <c r="A340" s="8"/>
      <c r="B340" s="8"/>
      <c r="C340" s="8"/>
      <c r="D340" s="8"/>
      <c r="E340" s="8"/>
      <c r="F340" s="8"/>
      <c r="G340" s="8"/>
      <c r="H340" s="8"/>
      <c r="I340" s="8"/>
      <c r="J340" s="8"/>
      <c r="K340" s="8"/>
      <c r="L340" s="8"/>
      <c r="M340" s="8"/>
      <c r="N340" s="8"/>
      <c r="O340" s="8"/>
      <c r="P340" s="8"/>
      <c r="Q340" s="8"/>
      <c r="R340" s="8"/>
      <c r="S340" s="8"/>
      <c r="T340" s="8"/>
      <c r="U340" s="12"/>
      <c r="V340" s="12"/>
      <c r="W340" s="12"/>
      <c r="X340" s="12"/>
      <c r="Y340" s="29"/>
      <c r="Z340" s="29"/>
      <c r="AA340" s="29"/>
      <c r="AB340" s="12"/>
      <c r="AC340" s="12"/>
      <c r="AD340" s="12"/>
      <c r="AE340" s="12"/>
      <c r="AF340" s="12"/>
    </row>
    <row r="341" spans="1:32">
      <c r="A341" s="8"/>
      <c r="B341" s="8"/>
      <c r="C341" s="8"/>
      <c r="D341" s="8"/>
      <c r="E341" s="8"/>
      <c r="F341" s="8"/>
      <c r="G341" s="8"/>
      <c r="H341" s="8"/>
      <c r="I341" s="8"/>
      <c r="J341" s="8"/>
      <c r="K341" s="8"/>
      <c r="L341" s="8"/>
      <c r="M341" s="8"/>
      <c r="N341" s="8"/>
      <c r="O341" s="8"/>
      <c r="P341" s="8"/>
      <c r="Q341" s="8"/>
      <c r="R341" s="8"/>
      <c r="S341" s="8"/>
      <c r="T341" s="8"/>
      <c r="U341" s="12"/>
      <c r="V341" s="12"/>
      <c r="W341" s="12"/>
      <c r="X341" s="12"/>
      <c r="Y341" s="29"/>
      <c r="Z341" s="29"/>
      <c r="AA341" s="29"/>
      <c r="AB341" s="12"/>
      <c r="AC341" s="12"/>
      <c r="AD341" s="12"/>
      <c r="AE341" s="12"/>
      <c r="AF341" s="12"/>
    </row>
    <row r="342" spans="1:32">
      <c r="A342" s="8"/>
      <c r="B342" s="8"/>
      <c r="C342" s="8"/>
      <c r="D342" s="8"/>
      <c r="E342" s="8"/>
      <c r="F342" s="8"/>
      <c r="G342" s="8"/>
      <c r="H342" s="8"/>
      <c r="I342" s="8"/>
      <c r="J342" s="8"/>
      <c r="K342" s="8"/>
      <c r="L342" s="8"/>
      <c r="M342" s="8"/>
      <c r="N342" s="8"/>
      <c r="O342" s="8"/>
      <c r="P342" s="8"/>
      <c r="Q342" s="8"/>
      <c r="R342" s="8"/>
      <c r="S342" s="8"/>
      <c r="T342" s="8"/>
      <c r="U342" s="12"/>
      <c r="V342" s="12"/>
      <c r="W342" s="12"/>
      <c r="X342" s="12"/>
      <c r="Y342" s="29"/>
      <c r="Z342" s="29"/>
      <c r="AA342" s="29"/>
      <c r="AB342" s="12"/>
      <c r="AC342" s="12"/>
      <c r="AD342" s="12"/>
      <c r="AE342" s="12"/>
      <c r="AF342" s="12"/>
    </row>
    <row r="343" spans="1:32">
      <c r="A343" s="8"/>
      <c r="B343" s="8"/>
      <c r="C343" s="8"/>
      <c r="D343" s="8"/>
      <c r="E343" s="8"/>
      <c r="F343" s="8"/>
      <c r="G343" s="8"/>
      <c r="H343" s="8"/>
      <c r="I343" s="8"/>
      <c r="J343" s="8"/>
      <c r="K343" s="8"/>
      <c r="L343" s="8"/>
      <c r="M343" s="8"/>
      <c r="N343" s="8"/>
      <c r="O343" s="8"/>
      <c r="P343" s="8"/>
      <c r="Q343" s="8"/>
      <c r="R343" s="8"/>
      <c r="S343" s="8"/>
      <c r="T343" s="8"/>
      <c r="U343" s="12"/>
      <c r="V343" s="12"/>
      <c r="W343" s="12"/>
      <c r="X343" s="12"/>
      <c r="Y343" s="29"/>
      <c r="Z343" s="29"/>
      <c r="AA343" s="29"/>
      <c r="AB343" s="12"/>
      <c r="AC343" s="12"/>
      <c r="AD343" s="12"/>
      <c r="AE343" s="12"/>
      <c r="AF343" s="12"/>
    </row>
    <row r="344" spans="1:32">
      <c r="A344" s="8"/>
      <c r="B344" s="8"/>
      <c r="C344" s="8"/>
      <c r="D344" s="8"/>
      <c r="E344" s="8"/>
      <c r="F344" s="8"/>
      <c r="G344" s="8"/>
      <c r="H344" s="8"/>
      <c r="I344" s="8"/>
      <c r="J344" s="8"/>
      <c r="K344" s="8"/>
      <c r="L344" s="8"/>
      <c r="M344" s="8"/>
      <c r="N344" s="8"/>
      <c r="O344" s="8"/>
      <c r="P344" s="8"/>
      <c r="Q344" s="8"/>
      <c r="R344" s="8"/>
      <c r="S344" s="8"/>
      <c r="T344" s="8"/>
      <c r="U344" s="12"/>
      <c r="V344" s="12"/>
      <c r="W344" s="12"/>
      <c r="X344" s="12"/>
      <c r="Y344" s="29"/>
      <c r="Z344" s="29"/>
      <c r="AA344" s="29"/>
      <c r="AB344" s="12"/>
      <c r="AC344" s="12"/>
      <c r="AD344" s="12"/>
      <c r="AE344" s="12"/>
      <c r="AF344" s="12"/>
    </row>
    <row r="345" spans="1:32">
      <c r="A345" s="8"/>
      <c r="B345" s="8"/>
      <c r="C345" s="8"/>
      <c r="D345" s="8"/>
      <c r="E345" s="8"/>
      <c r="F345" s="8"/>
      <c r="G345" s="8"/>
      <c r="H345" s="8"/>
      <c r="I345" s="8"/>
      <c r="J345" s="8"/>
      <c r="K345" s="8"/>
      <c r="L345" s="8"/>
      <c r="M345" s="8"/>
      <c r="N345" s="8"/>
      <c r="O345" s="8"/>
      <c r="P345" s="8"/>
      <c r="Q345" s="8"/>
      <c r="R345" s="8"/>
      <c r="S345" s="8"/>
      <c r="T345" s="8"/>
      <c r="U345" s="12"/>
      <c r="V345" s="12"/>
      <c r="W345" s="12"/>
      <c r="X345" s="12"/>
      <c r="Y345" s="29"/>
      <c r="Z345" s="29"/>
      <c r="AA345" s="29"/>
      <c r="AB345" s="12"/>
      <c r="AC345" s="12"/>
      <c r="AD345" s="12"/>
      <c r="AE345" s="12"/>
      <c r="AF345" s="12"/>
    </row>
    <row r="346" spans="1:32">
      <c r="A346" s="8"/>
      <c r="B346" s="8"/>
      <c r="C346" s="8"/>
      <c r="D346" s="8"/>
      <c r="E346" s="8"/>
      <c r="F346" s="8"/>
      <c r="G346" s="8"/>
      <c r="H346" s="8"/>
      <c r="I346" s="8"/>
      <c r="J346" s="8"/>
      <c r="K346" s="8"/>
      <c r="L346" s="8"/>
      <c r="M346" s="8"/>
      <c r="N346" s="8"/>
      <c r="O346" s="8"/>
      <c r="P346" s="8"/>
      <c r="Q346" s="8"/>
      <c r="R346" s="8"/>
      <c r="S346" s="8"/>
      <c r="T346" s="8"/>
      <c r="U346" s="12"/>
      <c r="V346" s="12"/>
      <c r="W346" s="12"/>
      <c r="X346" s="12"/>
      <c r="Y346" s="29"/>
      <c r="Z346" s="29"/>
      <c r="AA346" s="29"/>
      <c r="AB346" s="12"/>
      <c r="AC346" s="12"/>
      <c r="AD346" s="12"/>
      <c r="AE346" s="12"/>
      <c r="AF346" s="12"/>
    </row>
    <row r="347" spans="1:32">
      <c r="A347" s="8"/>
      <c r="B347" s="8"/>
      <c r="C347" s="8"/>
      <c r="D347" s="8"/>
      <c r="E347" s="8"/>
      <c r="F347" s="8"/>
      <c r="G347" s="8"/>
      <c r="H347" s="8"/>
      <c r="I347" s="8"/>
      <c r="J347" s="8"/>
      <c r="K347" s="8"/>
      <c r="L347" s="8"/>
      <c r="M347" s="8"/>
      <c r="N347" s="8"/>
      <c r="O347" s="8"/>
      <c r="P347" s="8"/>
      <c r="Q347" s="8"/>
      <c r="R347" s="8"/>
      <c r="S347" s="8"/>
      <c r="T347" s="8"/>
      <c r="U347" s="12"/>
      <c r="V347" s="12"/>
      <c r="W347" s="12"/>
      <c r="X347" s="12"/>
      <c r="Y347" s="29"/>
      <c r="Z347" s="29"/>
      <c r="AA347" s="29"/>
      <c r="AB347" s="12"/>
      <c r="AC347" s="12"/>
      <c r="AD347" s="12"/>
      <c r="AE347" s="12"/>
      <c r="AF347" s="12"/>
    </row>
    <row r="348" spans="1:32">
      <c r="A348" s="8"/>
      <c r="B348" s="8"/>
      <c r="C348" s="8"/>
      <c r="D348" s="8"/>
      <c r="E348" s="8"/>
      <c r="F348" s="8"/>
      <c r="G348" s="8"/>
      <c r="H348" s="8"/>
      <c r="I348" s="8"/>
      <c r="J348" s="8"/>
      <c r="K348" s="8"/>
      <c r="L348" s="8"/>
      <c r="M348" s="8"/>
      <c r="N348" s="8"/>
      <c r="O348" s="8"/>
      <c r="P348" s="8"/>
      <c r="Q348" s="8"/>
      <c r="R348" s="8"/>
      <c r="S348" s="8"/>
      <c r="T348" s="8"/>
      <c r="U348" s="12"/>
      <c r="V348" s="12"/>
      <c r="W348" s="12"/>
      <c r="X348" s="12"/>
      <c r="Y348" s="29"/>
      <c r="Z348" s="29"/>
      <c r="AA348" s="29"/>
      <c r="AB348" s="12"/>
      <c r="AC348" s="12"/>
      <c r="AD348" s="12"/>
      <c r="AE348" s="12"/>
      <c r="AF348" s="12"/>
    </row>
    <row r="349" spans="1:32">
      <c r="A349" s="8"/>
      <c r="B349" s="8"/>
      <c r="C349" s="8"/>
      <c r="D349" s="8"/>
      <c r="E349" s="8"/>
      <c r="F349" s="8"/>
      <c r="G349" s="8"/>
      <c r="H349" s="8"/>
      <c r="I349" s="8"/>
      <c r="J349" s="8"/>
      <c r="K349" s="8"/>
      <c r="L349" s="8"/>
      <c r="M349" s="8"/>
      <c r="N349" s="8"/>
      <c r="O349" s="8"/>
      <c r="P349" s="8"/>
      <c r="Q349" s="8"/>
      <c r="R349" s="8"/>
      <c r="S349" s="8"/>
      <c r="T349" s="8"/>
      <c r="U349" s="12"/>
      <c r="V349" s="12"/>
      <c r="W349" s="12"/>
      <c r="X349" s="12"/>
      <c r="Y349" s="29"/>
      <c r="Z349" s="29"/>
      <c r="AA349" s="29"/>
      <c r="AB349" s="12"/>
      <c r="AC349" s="12"/>
      <c r="AD349" s="12"/>
      <c r="AE349" s="12"/>
      <c r="AF349" s="12"/>
    </row>
    <row r="350" spans="1:32">
      <c r="A350" s="8"/>
      <c r="B350" s="8"/>
      <c r="C350" s="8"/>
      <c r="D350" s="8"/>
      <c r="E350" s="8"/>
      <c r="F350" s="8"/>
      <c r="G350" s="8"/>
      <c r="H350" s="8"/>
      <c r="I350" s="8"/>
      <c r="J350" s="8"/>
      <c r="K350" s="8"/>
      <c r="L350" s="8"/>
      <c r="M350" s="8"/>
      <c r="N350" s="8"/>
      <c r="O350" s="8"/>
      <c r="P350" s="8"/>
      <c r="Q350" s="8"/>
      <c r="R350" s="8"/>
      <c r="S350" s="8"/>
      <c r="T350" s="8"/>
      <c r="U350" s="12"/>
      <c r="V350" s="12"/>
      <c r="W350" s="12"/>
      <c r="X350" s="12"/>
      <c r="Y350" s="29"/>
      <c r="Z350" s="29"/>
      <c r="AA350" s="29"/>
      <c r="AB350" s="12"/>
      <c r="AC350" s="12"/>
      <c r="AD350" s="12"/>
      <c r="AE350" s="12"/>
      <c r="AF350" s="12"/>
    </row>
    <row r="351" spans="1:32">
      <c r="A351" s="8"/>
      <c r="B351" s="8"/>
      <c r="C351" s="8"/>
      <c r="D351" s="8"/>
      <c r="E351" s="8"/>
      <c r="F351" s="8"/>
      <c r="G351" s="8"/>
      <c r="H351" s="8"/>
      <c r="I351" s="8"/>
      <c r="J351" s="8"/>
      <c r="K351" s="8"/>
      <c r="L351" s="8"/>
      <c r="M351" s="8"/>
      <c r="N351" s="8"/>
      <c r="O351" s="8"/>
      <c r="P351" s="8"/>
      <c r="Q351" s="8"/>
      <c r="R351" s="8"/>
      <c r="S351" s="8"/>
      <c r="T351" s="8"/>
      <c r="U351" s="12"/>
      <c r="V351" s="12"/>
      <c r="W351" s="12"/>
      <c r="X351" s="12"/>
      <c r="Y351" s="29"/>
      <c r="Z351" s="29"/>
      <c r="AA351" s="29"/>
      <c r="AB351" s="12"/>
      <c r="AC351" s="12"/>
      <c r="AD351" s="12"/>
      <c r="AE351" s="12"/>
      <c r="AF351" s="12"/>
    </row>
    <row r="352" spans="1:32">
      <c r="A352" s="8"/>
      <c r="B352" s="8"/>
      <c r="C352" s="8"/>
      <c r="D352" s="8"/>
      <c r="E352" s="8"/>
      <c r="F352" s="8"/>
      <c r="G352" s="8"/>
      <c r="H352" s="8"/>
      <c r="I352" s="8"/>
      <c r="J352" s="8"/>
      <c r="K352" s="8"/>
      <c r="L352" s="8"/>
      <c r="M352" s="8"/>
      <c r="N352" s="8"/>
      <c r="O352" s="8"/>
      <c r="P352" s="8"/>
      <c r="Q352" s="8"/>
      <c r="R352" s="8"/>
      <c r="S352" s="8"/>
      <c r="T352" s="8"/>
      <c r="U352" s="12"/>
      <c r="V352" s="12"/>
      <c r="W352" s="12"/>
      <c r="X352" s="12"/>
      <c r="Y352" s="29"/>
      <c r="Z352" s="29"/>
      <c r="AA352" s="29"/>
      <c r="AB352" s="12"/>
      <c r="AC352" s="12"/>
      <c r="AD352" s="12"/>
      <c r="AE352" s="12"/>
      <c r="AF352" s="12"/>
    </row>
    <row r="353" spans="1:32">
      <c r="A353" s="8"/>
      <c r="B353" s="8"/>
      <c r="C353" s="8"/>
      <c r="D353" s="8"/>
      <c r="E353" s="8"/>
      <c r="F353" s="8"/>
      <c r="G353" s="8"/>
      <c r="H353" s="8"/>
      <c r="I353" s="8"/>
      <c r="J353" s="8"/>
      <c r="K353" s="8"/>
      <c r="L353" s="8"/>
      <c r="M353" s="8"/>
      <c r="N353" s="8"/>
      <c r="O353" s="8"/>
      <c r="P353" s="8"/>
      <c r="Q353" s="8"/>
      <c r="R353" s="8"/>
      <c r="S353" s="8"/>
      <c r="T353" s="8"/>
      <c r="U353" s="12"/>
      <c r="V353" s="12"/>
      <c r="W353" s="12"/>
      <c r="X353" s="12"/>
      <c r="Y353" s="29"/>
      <c r="Z353" s="29"/>
      <c r="AA353" s="29"/>
      <c r="AB353" s="12"/>
      <c r="AC353" s="12"/>
      <c r="AD353" s="12"/>
      <c r="AE353" s="12"/>
      <c r="AF353" s="12"/>
    </row>
    <row r="354" spans="1:32">
      <c r="A354" s="8"/>
      <c r="B354" s="8"/>
      <c r="C354" s="8"/>
      <c r="D354" s="8"/>
      <c r="E354" s="8"/>
      <c r="F354" s="8"/>
      <c r="G354" s="8"/>
      <c r="H354" s="8"/>
      <c r="I354" s="8"/>
      <c r="J354" s="8"/>
      <c r="K354" s="8"/>
      <c r="L354" s="8"/>
      <c r="M354" s="8"/>
      <c r="N354" s="8"/>
      <c r="O354" s="8"/>
      <c r="P354" s="8"/>
      <c r="Q354" s="8"/>
      <c r="R354" s="8"/>
      <c r="S354" s="8"/>
      <c r="T354" s="8"/>
      <c r="U354" s="12"/>
      <c r="V354" s="12"/>
      <c r="W354" s="12"/>
      <c r="X354" s="12"/>
      <c r="Y354" s="29"/>
      <c r="Z354" s="29"/>
      <c r="AA354" s="29"/>
      <c r="AB354" s="12"/>
      <c r="AC354" s="12"/>
      <c r="AD354" s="12"/>
      <c r="AE354" s="12"/>
      <c r="AF354" s="12"/>
    </row>
    <row r="355" spans="1:32">
      <c r="A355" s="8"/>
      <c r="B355" s="8"/>
      <c r="C355" s="8"/>
      <c r="D355" s="8"/>
      <c r="E355" s="8"/>
      <c r="F355" s="8"/>
      <c r="G355" s="8"/>
      <c r="H355" s="8"/>
      <c r="I355" s="8"/>
      <c r="J355" s="8"/>
      <c r="K355" s="8"/>
      <c r="L355" s="8"/>
      <c r="M355" s="8"/>
      <c r="N355" s="8"/>
      <c r="O355" s="8"/>
      <c r="P355" s="8"/>
      <c r="Q355" s="8"/>
      <c r="R355" s="8"/>
      <c r="S355" s="8"/>
      <c r="T355" s="8"/>
      <c r="U355" s="12"/>
      <c r="V355" s="12"/>
      <c r="W355" s="12"/>
      <c r="X355" s="12"/>
      <c r="Y355" s="29"/>
      <c r="Z355" s="29"/>
      <c r="AA355" s="29"/>
      <c r="AB355" s="12"/>
      <c r="AC355" s="12"/>
      <c r="AD355" s="12"/>
      <c r="AE355" s="12"/>
      <c r="AF355" s="12"/>
    </row>
    <row r="356" spans="1:32">
      <c r="A356" s="8"/>
      <c r="B356" s="8"/>
      <c r="C356" s="8"/>
      <c r="D356" s="8"/>
      <c r="E356" s="8"/>
      <c r="F356" s="8"/>
      <c r="G356" s="8"/>
      <c r="H356" s="8"/>
      <c r="I356" s="8"/>
      <c r="J356" s="8"/>
      <c r="K356" s="8"/>
      <c r="L356" s="8"/>
      <c r="M356" s="8"/>
      <c r="N356" s="8"/>
      <c r="O356" s="8"/>
      <c r="P356" s="8"/>
      <c r="Q356" s="8"/>
      <c r="R356" s="8"/>
      <c r="S356" s="8"/>
      <c r="T356" s="8"/>
      <c r="U356" s="12"/>
      <c r="V356" s="12"/>
      <c r="W356" s="12"/>
      <c r="X356" s="12"/>
      <c r="Y356" s="29"/>
      <c r="Z356" s="29"/>
      <c r="AA356" s="29"/>
      <c r="AB356" s="12"/>
      <c r="AC356" s="12"/>
      <c r="AD356" s="12"/>
      <c r="AE356" s="12"/>
      <c r="AF356" s="12"/>
    </row>
    <row r="357" spans="1:32">
      <c r="A357" s="8"/>
      <c r="B357" s="8"/>
      <c r="C357" s="8"/>
      <c r="D357" s="8"/>
      <c r="E357" s="8"/>
      <c r="F357" s="8"/>
      <c r="G357" s="8"/>
      <c r="H357" s="8"/>
      <c r="I357" s="8"/>
      <c r="J357" s="8"/>
      <c r="K357" s="8"/>
      <c r="L357" s="8"/>
      <c r="M357" s="8"/>
      <c r="N357" s="8"/>
      <c r="O357" s="8"/>
      <c r="P357" s="8"/>
      <c r="Q357" s="8"/>
      <c r="R357" s="8"/>
      <c r="S357" s="8"/>
      <c r="T357" s="8"/>
      <c r="U357" s="12"/>
      <c r="V357" s="12"/>
      <c r="W357" s="12"/>
      <c r="X357" s="12"/>
      <c r="Y357" s="29"/>
      <c r="Z357" s="29"/>
      <c r="AA357" s="29"/>
      <c r="AB357" s="12"/>
      <c r="AC357" s="12"/>
      <c r="AD357" s="12"/>
      <c r="AE357" s="12"/>
      <c r="AF357" s="12"/>
    </row>
    <row r="358" spans="1:32">
      <c r="A358" s="8"/>
      <c r="B358" s="8"/>
      <c r="C358" s="8"/>
      <c r="D358" s="8"/>
      <c r="E358" s="8"/>
      <c r="F358" s="8"/>
      <c r="G358" s="8"/>
      <c r="H358" s="8"/>
      <c r="I358" s="8"/>
      <c r="J358" s="8"/>
      <c r="K358" s="8"/>
      <c r="L358" s="8"/>
      <c r="M358" s="8"/>
      <c r="N358" s="8"/>
      <c r="O358" s="8"/>
      <c r="P358" s="8"/>
      <c r="Q358" s="8"/>
      <c r="R358" s="8"/>
      <c r="S358" s="8"/>
      <c r="T358" s="8"/>
      <c r="U358" s="12"/>
      <c r="V358" s="12"/>
      <c r="W358" s="12"/>
      <c r="X358" s="12"/>
      <c r="Y358" s="29"/>
      <c r="Z358" s="29"/>
      <c r="AA358" s="29"/>
      <c r="AB358" s="12"/>
      <c r="AC358" s="12"/>
      <c r="AD358" s="12"/>
      <c r="AE358" s="12"/>
      <c r="AF358" s="12"/>
    </row>
    <row r="359" spans="1:32">
      <c r="A359" s="8"/>
      <c r="B359" s="8"/>
      <c r="C359" s="8"/>
      <c r="D359" s="8"/>
      <c r="E359" s="8"/>
      <c r="F359" s="8"/>
      <c r="G359" s="8"/>
      <c r="H359" s="8"/>
      <c r="I359" s="8"/>
      <c r="J359" s="8"/>
      <c r="K359" s="8"/>
      <c r="L359" s="8"/>
      <c r="M359" s="8"/>
      <c r="N359" s="8"/>
      <c r="O359" s="8"/>
      <c r="P359" s="8"/>
      <c r="Q359" s="8"/>
      <c r="R359" s="8"/>
      <c r="S359" s="8"/>
      <c r="T359" s="8"/>
      <c r="U359" s="12"/>
      <c r="V359" s="12"/>
      <c r="W359" s="12"/>
      <c r="X359" s="12"/>
      <c r="Y359" s="29"/>
      <c r="Z359" s="29"/>
      <c r="AA359" s="29"/>
      <c r="AB359" s="12"/>
      <c r="AC359" s="12"/>
      <c r="AD359" s="12"/>
      <c r="AE359" s="12"/>
      <c r="AF359" s="12"/>
    </row>
    <row r="360" spans="1:32">
      <c r="A360" s="8"/>
      <c r="B360" s="8"/>
      <c r="C360" s="8"/>
      <c r="D360" s="8"/>
      <c r="E360" s="8"/>
      <c r="F360" s="8"/>
      <c r="G360" s="8"/>
      <c r="H360" s="8"/>
      <c r="I360" s="8"/>
      <c r="J360" s="8"/>
      <c r="K360" s="8"/>
      <c r="L360" s="8"/>
      <c r="M360" s="8"/>
      <c r="N360" s="8"/>
      <c r="O360" s="8"/>
      <c r="P360" s="8"/>
      <c r="Q360" s="8"/>
      <c r="R360" s="8"/>
      <c r="S360" s="8"/>
      <c r="T360" s="8"/>
      <c r="U360" s="12"/>
      <c r="V360" s="12"/>
      <c r="W360" s="12"/>
      <c r="X360" s="12"/>
      <c r="Y360" s="29"/>
      <c r="Z360" s="29"/>
      <c r="AA360" s="29"/>
      <c r="AB360" s="12"/>
      <c r="AC360" s="12"/>
      <c r="AD360" s="12"/>
      <c r="AE360" s="12"/>
      <c r="AF360" s="12"/>
    </row>
    <row r="361" spans="1:32">
      <c r="A361" s="8"/>
      <c r="B361" s="8"/>
      <c r="C361" s="8"/>
      <c r="D361" s="8"/>
      <c r="E361" s="8"/>
      <c r="F361" s="8"/>
      <c r="G361" s="8"/>
      <c r="H361" s="8"/>
      <c r="I361" s="8"/>
      <c r="J361" s="8"/>
      <c r="K361" s="8"/>
      <c r="L361" s="8"/>
      <c r="M361" s="8"/>
      <c r="N361" s="8"/>
      <c r="O361" s="8"/>
      <c r="P361" s="8"/>
      <c r="Q361" s="8"/>
      <c r="R361" s="8"/>
      <c r="S361" s="8"/>
      <c r="T361" s="8"/>
      <c r="U361" s="12"/>
      <c r="V361" s="12"/>
      <c r="W361" s="12"/>
      <c r="X361" s="12"/>
      <c r="Y361" s="29"/>
      <c r="Z361" s="29"/>
      <c r="AA361" s="29"/>
      <c r="AB361" s="12"/>
      <c r="AC361" s="12"/>
      <c r="AD361" s="12"/>
      <c r="AE361" s="12"/>
      <c r="AF361" s="12"/>
    </row>
    <row r="362" spans="1:32">
      <c r="A362" s="8"/>
      <c r="B362" s="8"/>
      <c r="C362" s="8"/>
      <c r="D362" s="8"/>
      <c r="E362" s="8"/>
      <c r="F362" s="8"/>
      <c r="G362" s="8"/>
      <c r="H362" s="8"/>
      <c r="I362" s="8"/>
      <c r="J362" s="8"/>
      <c r="K362" s="8"/>
      <c r="L362" s="8"/>
      <c r="M362" s="8"/>
      <c r="N362" s="8"/>
      <c r="O362" s="8"/>
      <c r="P362" s="8"/>
      <c r="Q362" s="8"/>
      <c r="R362" s="8"/>
      <c r="S362" s="8"/>
      <c r="T362" s="8"/>
      <c r="U362" s="12"/>
      <c r="V362" s="12"/>
      <c r="W362" s="12"/>
      <c r="X362" s="12"/>
      <c r="Y362" s="29"/>
      <c r="Z362" s="29"/>
      <c r="AA362" s="29"/>
      <c r="AB362" s="12"/>
      <c r="AC362" s="12"/>
      <c r="AD362" s="12"/>
      <c r="AE362" s="12"/>
      <c r="AF362" s="12"/>
    </row>
    <row r="363" spans="1:32">
      <c r="A363" s="8"/>
      <c r="B363" s="8"/>
      <c r="C363" s="8"/>
      <c r="D363" s="8"/>
      <c r="E363" s="8"/>
      <c r="F363" s="8"/>
      <c r="G363" s="8"/>
      <c r="H363" s="8"/>
      <c r="I363" s="8"/>
      <c r="J363" s="8"/>
      <c r="K363" s="8"/>
      <c r="L363" s="8"/>
      <c r="M363" s="8"/>
      <c r="N363" s="8"/>
      <c r="O363" s="8"/>
      <c r="P363" s="8"/>
      <c r="Q363" s="8"/>
      <c r="R363" s="8"/>
      <c r="S363" s="8"/>
      <c r="T363" s="8"/>
      <c r="U363" s="12"/>
      <c r="V363" s="12"/>
      <c r="W363" s="12"/>
      <c r="X363" s="12"/>
      <c r="Y363" s="29"/>
      <c r="Z363" s="29"/>
      <c r="AA363" s="29"/>
      <c r="AB363" s="12"/>
      <c r="AC363" s="12"/>
      <c r="AD363" s="12"/>
      <c r="AE363" s="12"/>
      <c r="AF363" s="12"/>
    </row>
    <row r="364" spans="1:32">
      <c r="A364" s="8"/>
      <c r="B364" s="8"/>
      <c r="C364" s="8"/>
      <c r="D364" s="8"/>
      <c r="E364" s="8"/>
      <c r="F364" s="8"/>
      <c r="G364" s="8"/>
      <c r="H364" s="8"/>
      <c r="I364" s="8"/>
      <c r="J364" s="8"/>
      <c r="K364" s="8"/>
      <c r="L364" s="8"/>
      <c r="M364" s="8"/>
      <c r="N364" s="8"/>
      <c r="O364" s="8"/>
      <c r="P364" s="8"/>
      <c r="Q364" s="8"/>
      <c r="R364" s="8"/>
      <c r="S364" s="8"/>
      <c r="T364" s="8"/>
      <c r="U364" s="12"/>
      <c r="V364" s="12"/>
      <c r="W364" s="12"/>
      <c r="X364" s="12"/>
      <c r="Y364" s="29"/>
      <c r="Z364" s="29"/>
      <c r="AA364" s="29"/>
      <c r="AB364" s="12"/>
      <c r="AC364" s="12"/>
      <c r="AD364" s="12"/>
      <c r="AE364" s="12"/>
      <c r="AF364" s="12"/>
    </row>
    <row r="365" spans="1:32">
      <c r="A365" s="8"/>
      <c r="B365" s="8"/>
      <c r="C365" s="8"/>
      <c r="D365" s="8"/>
      <c r="E365" s="8"/>
      <c r="F365" s="8"/>
      <c r="G365" s="8"/>
      <c r="H365" s="8"/>
      <c r="I365" s="8"/>
      <c r="J365" s="8"/>
      <c r="K365" s="8"/>
      <c r="L365" s="8"/>
      <c r="M365" s="8"/>
      <c r="N365" s="8"/>
      <c r="O365" s="8"/>
      <c r="P365" s="8"/>
      <c r="Q365" s="8"/>
      <c r="R365" s="8"/>
      <c r="S365" s="8"/>
      <c r="T365" s="8"/>
      <c r="U365" s="12"/>
      <c r="V365" s="12"/>
      <c r="W365" s="12"/>
      <c r="X365" s="12"/>
      <c r="Y365" s="29"/>
      <c r="Z365" s="29"/>
      <c r="AA365" s="29"/>
      <c r="AB365" s="12"/>
      <c r="AC365" s="12"/>
      <c r="AD365" s="12"/>
      <c r="AE365" s="12"/>
      <c r="AF365" s="12"/>
    </row>
    <row r="366" spans="1:32">
      <c r="A366" s="8"/>
      <c r="B366" s="8"/>
      <c r="C366" s="8"/>
      <c r="D366" s="8"/>
      <c r="E366" s="8"/>
      <c r="F366" s="8"/>
      <c r="G366" s="8"/>
      <c r="H366" s="8"/>
      <c r="I366" s="8"/>
      <c r="J366" s="8"/>
      <c r="K366" s="8"/>
      <c r="L366" s="8"/>
      <c r="M366" s="8"/>
      <c r="N366" s="8"/>
      <c r="O366" s="8"/>
      <c r="P366" s="8"/>
      <c r="Q366" s="8"/>
      <c r="R366" s="8"/>
      <c r="S366" s="8"/>
      <c r="T366" s="8"/>
      <c r="U366" s="12"/>
      <c r="V366" s="12"/>
      <c r="W366" s="12"/>
      <c r="X366" s="12"/>
      <c r="Y366" s="29"/>
      <c r="Z366" s="29"/>
      <c r="AA366" s="29"/>
      <c r="AB366" s="12"/>
      <c r="AC366" s="12"/>
      <c r="AD366" s="12"/>
      <c r="AE366" s="12"/>
      <c r="AF366" s="12"/>
    </row>
    <row r="367" spans="1:32">
      <c r="A367" s="8"/>
      <c r="B367" s="8"/>
      <c r="C367" s="8"/>
      <c r="D367" s="8"/>
      <c r="E367" s="8"/>
      <c r="F367" s="8"/>
      <c r="G367" s="8"/>
      <c r="H367" s="8"/>
      <c r="I367" s="8"/>
      <c r="J367" s="8"/>
      <c r="K367" s="8"/>
      <c r="L367" s="8"/>
      <c r="M367" s="8"/>
      <c r="N367" s="8"/>
      <c r="O367" s="8"/>
      <c r="P367" s="8"/>
      <c r="Q367" s="8"/>
      <c r="R367" s="8"/>
      <c r="S367" s="8"/>
      <c r="T367" s="8"/>
      <c r="U367" s="12"/>
      <c r="V367" s="12"/>
      <c r="W367" s="12"/>
      <c r="X367" s="12"/>
      <c r="Y367" s="29"/>
      <c r="Z367" s="29"/>
      <c r="AA367" s="29"/>
      <c r="AB367" s="12"/>
      <c r="AC367" s="12"/>
      <c r="AD367" s="12"/>
      <c r="AE367" s="12"/>
      <c r="AF367" s="12"/>
    </row>
    <row r="368" spans="1:32">
      <c r="A368" s="8"/>
      <c r="B368" s="8"/>
      <c r="C368" s="8"/>
      <c r="D368" s="8"/>
      <c r="E368" s="8"/>
      <c r="F368" s="8"/>
      <c r="G368" s="8"/>
      <c r="H368" s="8"/>
      <c r="I368" s="8"/>
      <c r="J368" s="8"/>
      <c r="K368" s="8"/>
      <c r="L368" s="8"/>
      <c r="M368" s="8"/>
      <c r="N368" s="8"/>
      <c r="O368" s="8"/>
      <c r="P368" s="8"/>
      <c r="Q368" s="8"/>
      <c r="R368" s="8"/>
      <c r="S368" s="8"/>
      <c r="T368" s="8"/>
      <c r="U368" s="12"/>
      <c r="V368" s="12"/>
      <c r="W368" s="12"/>
      <c r="X368" s="12"/>
      <c r="Y368" s="29"/>
      <c r="Z368" s="29"/>
      <c r="AA368" s="29"/>
      <c r="AB368" s="12"/>
      <c r="AC368" s="12"/>
      <c r="AD368" s="12"/>
      <c r="AE368" s="12"/>
      <c r="AF368" s="12"/>
    </row>
    <row r="369" spans="1:32">
      <c r="A369" s="8"/>
      <c r="B369" s="8"/>
      <c r="C369" s="8"/>
      <c r="D369" s="8"/>
      <c r="E369" s="8"/>
      <c r="F369" s="8"/>
      <c r="G369" s="8"/>
      <c r="H369" s="8"/>
      <c r="I369" s="8"/>
      <c r="J369" s="8"/>
      <c r="K369" s="8"/>
      <c r="L369" s="8"/>
      <c r="M369" s="8"/>
      <c r="N369" s="8"/>
      <c r="O369" s="8"/>
      <c r="P369" s="8"/>
      <c r="Q369" s="8"/>
      <c r="R369" s="8"/>
      <c r="S369" s="8"/>
      <c r="T369" s="8"/>
      <c r="U369" s="12"/>
      <c r="V369" s="12"/>
      <c r="W369" s="12"/>
      <c r="X369" s="12"/>
      <c r="Y369" s="29"/>
      <c r="Z369" s="29"/>
      <c r="AA369" s="29"/>
      <c r="AB369" s="12"/>
      <c r="AC369" s="12"/>
      <c r="AD369" s="12"/>
      <c r="AE369" s="12"/>
      <c r="AF369" s="12"/>
    </row>
    <row r="370" spans="1:32">
      <c r="A370" s="8"/>
      <c r="B370" s="8"/>
      <c r="C370" s="8"/>
      <c r="D370" s="8"/>
      <c r="E370" s="8"/>
      <c r="F370" s="8"/>
      <c r="G370" s="8"/>
      <c r="H370" s="8"/>
      <c r="I370" s="8"/>
      <c r="J370" s="8"/>
      <c r="K370" s="8"/>
      <c r="L370" s="8"/>
      <c r="M370" s="8"/>
      <c r="N370" s="8"/>
      <c r="O370" s="8"/>
      <c r="P370" s="8"/>
      <c r="Q370" s="8"/>
      <c r="R370" s="8"/>
      <c r="S370" s="8"/>
      <c r="T370" s="8"/>
      <c r="U370" s="12"/>
      <c r="V370" s="12"/>
      <c r="W370" s="12"/>
      <c r="X370" s="12"/>
      <c r="Y370" s="29"/>
      <c r="Z370" s="29"/>
      <c r="AA370" s="29"/>
      <c r="AB370" s="12"/>
      <c r="AC370" s="12"/>
      <c r="AD370" s="12"/>
      <c r="AE370" s="12"/>
      <c r="AF370" s="12"/>
    </row>
    <row r="371" spans="1:32">
      <c r="A371" s="8"/>
      <c r="B371" s="8"/>
      <c r="C371" s="8"/>
      <c r="D371" s="8"/>
      <c r="E371" s="8"/>
      <c r="F371" s="8"/>
      <c r="G371" s="8"/>
      <c r="H371" s="8"/>
      <c r="I371" s="8"/>
      <c r="J371" s="8"/>
      <c r="K371" s="8"/>
      <c r="L371" s="8"/>
      <c r="M371" s="8"/>
      <c r="N371" s="8"/>
      <c r="O371" s="8"/>
      <c r="P371" s="8"/>
      <c r="Q371" s="8"/>
      <c r="R371" s="8"/>
      <c r="S371" s="8"/>
      <c r="T371" s="8"/>
      <c r="U371" s="12"/>
      <c r="V371" s="12"/>
      <c r="W371" s="12"/>
      <c r="X371" s="12"/>
      <c r="Y371" s="29"/>
      <c r="Z371" s="29"/>
      <c r="AA371" s="29"/>
      <c r="AB371" s="12"/>
      <c r="AC371" s="12"/>
      <c r="AD371" s="12"/>
      <c r="AE371" s="12"/>
      <c r="AF371" s="12"/>
    </row>
    <row r="372" spans="1:32">
      <c r="A372" s="8"/>
      <c r="B372" s="8"/>
      <c r="C372" s="8"/>
      <c r="D372" s="8"/>
      <c r="E372" s="8"/>
      <c r="F372" s="8"/>
      <c r="G372" s="8"/>
      <c r="H372" s="8"/>
      <c r="I372" s="8"/>
      <c r="J372" s="8"/>
      <c r="K372" s="8"/>
      <c r="L372" s="8"/>
      <c r="M372" s="8"/>
      <c r="N372" s="8"/>
      <c r="O372" s="8"/>
      <c r="P372" s="8"/>
      <c r="Q372" s="8"/>
      <c r="R372" s="8"/>
      <c r="S372" s="8"/>
      <c r="T372" s="8"/>
      <c r="U372" s="12"/>
      <c r="V372" s="12"/>
      <c r="W372" s="12"/>
      <c r="X372" s="12"/>
      <c r="Y372" s="29"/>
      <c r="Z372" s="29"/>
      <c r="AA372" s="29"/>
      <c r="AB372" s="12"/>
      <c r="AC372" s="12"/>
      <c r="AD372" s="12"/>
      <c r="AE372" s="12"/>
      <c r="AF372" s="12"/>
    </row>
    <row r="373" spans="1:32">
      <c r="A373" s="8"/>
      <c r="B373" s="8"/>
      <c r="C373" s="8"/>
      <c r="D373" s="8"/>
      <c r="E373" s="8"/>
      <c r="F373" s="8"/>
      <c r="G373" s="8"/>
      <c r="H373" s="8"/>
      <c r="I373" s="8"/>
      <c r="J373" s="8"/>
      <c r="K373" s="8"/>
      <c r="L373" s="8"/>
      <c r="M373" s="8"/>
      <c r="N373" s="8"/>
      <c r="O373" s="8"/>
      <c r="P373" s="8"/>
      <c r="Q373" s="8"/>
      <c r="R373" s="8"/>
      <c r="S373" s="8"/>
      <c r="T373" s="8"/>
      <c r="U373" s="12"/>
      <c r="V373" s="12"/>
      <c r="W373" s="12"/>
      <c r="X373" s="12"/>
      <c r="Y373" s="29"/>
      <c r="Z373" s="29"/>
      <c r="AA373" s="29"/>
      <c r="AB373" s="12"/>
      <c r="AC373" s="12"/>
      <c r="AD373" s="12"/>
      <c r="AE373" s="12"/>
      <c r="AF373" s="12"/>
    </row>
    <row r="374" spans="1:32">
      <c r="A374" s="8"/>
      <c r="B374" s="8"/>
      <c r="C374" s="8"/>
      <c r="D374" s="8"/>
      <c r="E374" s="8"/>
      <c r="F374" s="8"/>
      <c r="G374" s="8"/>
      <c r="H374" s="8"/>
      <c r="I374" s="8"/>
      <c r="J374" s="8"/>
      <c r="K374" s="8"/>
      <c r="L374" s="8"/>
      <c r="M374" s="8"/>
      <c r="N374" s="8"/>
      <c r="O374" s="8"/>
      <c r="P374" s="8"/>
      <c r="Q374" s="8"/>
      <c r="R374" s="8"/>
      <c r="S374" s="8"/>
      <c r="T374" s="8"/>
      <c r="U374" s="12"/>
      <c r="V374" s="12"/>
      <c r="W374" s="12"/>
      <c r="X374" s="12"/>
      <c r="Y374" s="29"/>
      <c r="Z374" s="29"/>
      <c r="AA374" s="29"/>
      <c r="AB374" s="12"/>
      <c r="AC374" s="12"/>
      <c r="AD374" s="12"/>
      <c r="AE374" s="12"/>
      <c r="AF374" s="12"/>
    </row>
    <row r="375" spans="1:32">
      <c r="A375" s="8"/>
      <c r="B375" s="8"/>
      <c r="C375" s="8"/>
      <c r="D375" s="8"/>
      <c r="E375" s="8"/>
      <c r="F375" s="8"/>
      <c r="G375" s="8"/>
      <c r="H375" s="8"/>
      <c r="I375" s="8"/>
      <c r="J375" s="8"/>
      <c r="K375" s="8"/>
      <c r="L375" s="8"/>
      <c r="M375" s="8"/>
      <c r="N375" s="8"/>
      <c r="O375" s="8"/>
      <c r="P375" s="8"/>
      <c r="Q375" s="8"/>
      <c r="R375" s="8"/>
      <c r="S375" s="8"/>
      <c r="T375" s="8"/>
      <c r="U375" s="12"/>
      <c r="V375" s="12"/>
      <c r="W375" s="12"/>
      <c r="X375" s="12"/>
      <c r="Y375" s="29"/>
      <c r="Z375" s="29"/>
      <c r="AA375" s="29"/>
      <c r="AB375" s="12"/>
      <c r="AC375" s="12"/>
      <c r="AD375" s="12"/>
      <c r="AE375" s="12"/>
      <c r="AF375" s="12"/>
    </row>
    <row r="376" spans="1:32">
      <c r="A376" s="8"/>
      <c r="B376" s="8"/>
      <c r="C376" s="8"/>
      <c r="D376" s="8"/>
      <c r="E376" s="8"/>
      <c r="F376" s="8"/>
      <c r="G376" s="8"/>
      <c r="H376" s="8"/>
      <c r="I376" s="8"/>
      <c r="J376" s="8"/>
      <c r="K376" s="8"/>
      <c r="L376" s="8"/>
      <c r="M376" s="8"/>
      <c r="N376" s="8"/>
      <c r="O376" s="8"/>
      <c r="P376" s="8"/>
      <c r="Q376" s="8"/>
      <c r="R376" s="8"/>
      <c r="S376" s="8"/>
      <c r="T376" s="8"/>
      <c r="U376" s="12"/>
      <c r="V376" s="12"/>
      <c r="W376" s="12"/>
      <c r="X376" s="12"/>
      <c r="Y376" s="29"/>
      <c r="Z376" s="29"/>
      <c r="AA376" s="29"/>
      <c r="AB376" s="12"/>
      <c r="AC376" s="12"/>
      <c r="AD376" s="12"/>
      <c r="AE376" s="12"/>
      <c r="AF376" s="12"/>
    </row>
    <row r="377" spans="1:32">
      <c r="A377" s="8"/>
      <c r="B377" s="8"/>
      <c r="C377" s="8"/>
      <c r="D377" s="8"/>
      <c r="E377" s="8"/>
      <c r="F377" s="8"/>
      <c r="G377" s="8"/>
      <c r="H377" s="8"/>
      <c r="I377" s="8"/>
      <c r="J377" s="8"/>
      <c r="K377" s="8"/>
      <c r="L377" s="8"/>
      <c r="M377" s="8"/>
      <c r="N377" s="8"/>
      <c r="O377" s="8"/>
      <c r="P377" s="8"/>
      <c r="Q377" s="8"/>
      <c r="R377" s="8"/>
      <c r="S377" s="8"/>
      <c r="T377" s="8"/>
      <c r="U377" s="12"/>
      <c r="V377" s="12"/>
      <c r="W377" s="12"/>
      <c r="X377" s="12"/>
      <c r="Y377" s="29"/>
      <c r="Z377" s="29"/>
      <c r="AA377" s="29"/>
      <c r="AB377" s="12"/>
      <c r="AC377" s="12"/>
      <c r="AD377" s="12"/>
      <c r="AE377" s="12"/>
      <c r="AF377" s="12"/>
    </row>
    <row r="378" spans="1:32">
      <c r="A378" s="8"/>
      <c r="B378" s="8"/>
      <c r="C378" s="8"/>
      <c r="D378" s="8"/>
      <c r="E378" s="8"/>
      <c r="F378" s="8"/>
      <c r="G378" s="8"/>
      <c r="H378" s="8"/>
      <c r="I378" s="8"/>
      <c r="J378" s="8"/>
      <c r="K378" s="8"/>
      <c r="L378" s="8"/>
      <c r="M378" s="8"/>
      <c r="N378" s="8"/>
      <c r="O378" s="8"/>
      <c r="P378" s="8"/>
      <c r="Q378" s="8"/>
      <c r="R378" s="8"/>
      <c r="S378" s="8"/>
      <c r="T378" s="8"/>
      <c r="U378" s="12"/>
      <c r="V378" s="12"/>
      <c r="W378" s="12"/>
      <c r="X378" s="12"/>
      <c r="Y378" s="29"/>
      <c r="Z378" s="29"/>
      <c r="AA378" s="29"/>
      <c r="AB378" s="12"/>
      <c r="AC378" s="12"/>
      <c r="AD378" s="12"/>
      <c r="AE378" s="12"/>
      <c r="AF378" s="12"/>
    </row>
    <row r="379" spans="1:32">
      <c r="A379" s="8"/>
      <c r="B379" s="8"/>
      <c r="C379" s="8"/>
      <c r="D379" s="8"/>
      <c r="E379" s="8"/>
      <c r="F379" s="8"/>
      <c r="G379" s="8"/>
      <c r="H379" s="8"/>
      <c r="I379" s="8"/>
      <c r="J379" s="8"/>
      <c r="K379" s="8"/>
      <c r="L379" s="8"/>
      <c r="M379" s="8"/>
      <c r="N379" s="8"/>
      <c r="O379" s="8"/>
      <c r="P379" s="8"/>
      <c r="Q379" s="8"/>
      <c r="R379" s="8"/>
      <c r="S379" s="8"/>
      <c r="T379" s="8"/>
      <c r="U379" s="12"/>
      <c r="V379" s="12"/>
      <c r="W379" s="12"/>
      <c r="X379" s="12"/>
      <c r="Y379" s="29"/>
      <c r="Z379" s="29"/>
      <c r="AA379" s="29"/>
      <c r="AB379" s="12"/>
      <c r="AC379" s="12"/>
      <c r="AD379" s="12"/>
      <c r="AE379" s="12"/>
      <c r="AF379" s="12"/>
    </row>
    <row r="380" spans="1:32">
      <c r="A380" s="8"/>
      <c r="B380" s="8"/>
      <c r="C380" s="8"/>
      <c r="D380" s="8"/>
      <c r="E380" s="8"/>
      <c r="F380" s="8"/>
      <c r="G380" s="8"/>
      <c r="H380" s="8"/>
      <c r="I380" s="8"/>
      <c r="J380" s="8"/>
      <c r="K380" s="8"/>
      <c r="L380" s="8"/>
      <c r="M380" s="8"/>
      <c r="N380" s="8"/>
      <c r="O380" s="8"/>
      <c r="P380" s="8"/>
      <c r="Q380" s="8"/>
      <c r="R380" s="8"/>
      <c r="S380" s="8"/>
      <c r="T380" s="8"/>
      <c r="U380" s="12"/>
      <c r="V380" s="12"/>
      <c r="W380" s="12"/>
      <c r="X380" s="12"/>
      <c r="Y380" s="29"/>
      <c r="Z380" s="29"/>
      <c r="AA380" s="29"/>
      <c r="AB380" s="12"/>
      <c r="AC380" s="12"/>
      <c r="AD380" s="12"/>
      <c r="AE380" s="12"/>
      <c r="AF380" s="12"/>
    </row>
    <row r="381" spans="1:32">
      <c r="A381" s="8"/>
      <c r="B381" s="8"/>
      <c r="C381" s="8"/>
      <c r="D381" s="8"/>
      <c r="E381" s="8"/>
      <c r="F381" s="8"/>
      <c r="G381" s="8"/>
      <c r="H381" s="8"/>
      <c r="I381" s="8"/>
      <c r="J381" s="8"/>
      <c r="K381" s="8"/>
      <c r="L381" s="8"/>
      <c r="M381" s="8"/>
      <c r="N381" s="8"/>
      <c r="O381" s="8"/>
      <c r="P381" s="8"/>
      <c r="Q381" s="8"/>
      <c r="R381" s="8"/>
      <c r="S381" s="8"/>
      <c r="T381" s="8"/>
      <c r="U381" s="12"/>
      <c r="V381" s="12"/>
      <c r="W381" s="12"/>
      <c r="X381" s="12"/>
      <c r="Y381" s="29"/>
      <c r="Z381" s="29"/>
      <c r="AA381" s="29"/>
      <c r="AB381" s="12"/>
      <c r="AC381" s="12"/>
      <c r="AD381" s="12"/>
      <c r="AE381" s="12"/>
      <c r="AF381" s="12"/>
    </row>
    <row r="382" spans="1:32">
      <c r="A382" s="8"/>
      <c r="B382" s="8"/>
      <c r="C382" s="8"/>
      <c r="D382" s="8"/>
      <c r="E382" s="8"/>
      <c r="F382" s="8"/>
      <c r="G382" s="8"/>
      <c r="H382" s="8"/>
      <c r="I382" s="8"/>
      <c r="J382" s="8"/>
      <c r="K382" s="8"/>
      <c r="L382" s="8"/>
      <c r="M382" s="8"/>
      <c r="N382" s="8"/>
      <c r="O382" s="8"/>
      <c r="P382" s="8"/>
      <c r="Q382" s="8"/>
      <c r="R382" s="8"/>
      <c r="S382" s="8"/>
      <c r="T382" s="8"/>
      <c r="U382" s="12"/>
      <c r="V382" s="12"/>
      <c r="W382" s="12"/>
      <c r="X382" s="12"/>
      <c r="Y382" s="29"/>
      <c r="Z382" s="29"/>
      <c r="AA382" s="29"/>
      <c r="AB382" s="12"/>
      <c r="AC382" s="12"/>
      <c r="AD382" s="12"/>
      <c r="AE382" s="12"/>
      <c r="AF382" s="12"/>
    </row>
    <row r="383" spans="1:32">
      <c r="A383" s="8"/>
      <c r="B383" s="8"/>
      <c r="C383" s="8"/>
      <c r="D383" s="8"/>
      <c r="E383" s="8"/>
      <c r="F383" s="8"/>
      <c r="G383" s="8"/>
      <c r="H383" s="8"/>
      <c r="I383" s="8"/>
      <c r="J383" s="8"/>
      <c r="K383" s="8"/>
      <c r="L383" s="8"/>
      <c r="M383" s="8"/>
      <c r="N383" s="8"/>
      <c r="O383" s="8"/>
      <c r="P383" s="8"/>
      <c r="Q383" s="8"/>
      <c r="R383" s="8"/>
      <c r="S383" s="8"/>
      <c r="T383" s="8"/>
      <c r="U383" s="12"/>
      <c r="V383" s="12"/>
      <c r="W383" s="12"/>
      <c r="X383" s="12"/>
      <c r="Y383" s="29"/>
      <c r="Z383" s="29"/>
      <c r="AA383" s="29"/>
      <c r="AB383" s="12"/>
      <c r="AC383" s="12"/>
      <c r="AD383" s="12"/>
      <c r="AE383" s="12"/>
      <c r="AF383" s="12"/>
    </row>
    <row r="384" spans="1:32">
      <c r="A384" s="8"/>
      <c r="B384" s="8"/>
      <c r="C384" s="8"/>
      <c r="D384" s="8"/>
      <c r="E384" s="8"/>
      <c r="F384" s="8"/>
      <c r="G384" s="8"/>
      <c r="H384" s="8"/>
      <c r="I384" s="8"/>
      <c r="J384" s="8"/>
      <c r="K384" s="8"/>
      <c r="L384" s="8"/>
      <c r="M384" s="8"/>
      <c r="N384" s="8"/>
      <c r="O384" s="8"/>
      <c r="P384" s="8"/>
      <c r="Q384" s="8"/>
      <c r="R384" s="8"/>
      <c r="S384" s="8"/>
      <c r="T384" s="8"/>
      <c r="U384" s="12"/>
      <c r="V384" s="12"/>
      <c r="W384" s="12"/>
      <c r="X384" s="12"/>
      <c r="Y384" s="29"/>
      <c r="Z384" s="29"/>
      <c r="AA384" s="29"/>
      <c r="AB384" s="12"/>
      <c r="AC384" s="12"/>
      <c r="AD384" s="12"/>
      <c r="AE384" s="12"/>
      <c r="AF384" s="12"/>
    </row>
    <row r="385" spans="1:32">
      <c r="A385" s="8"/>
      <c r="B385" s="8"/>
      <c r="C385" s="8"/>
      <c r="D385" s="8"/>
      <c r="E385" s="8"/>
      <c r="F385" s="8"/>
      <c r="G385" s="8"/>
      <c r="H385" s="8"/>
      <c r="I385" s="8"/>
      <c r="J385" s="8"/>
      <c r="K385" s="8"/>
      <c r="L385" s="8"/>
      <c r="M385" s="8"/>
      <c r="N385" s="8"/>
      <c r="O385" s="8"/>
      <c r="P385" s="8"/>
      <c r="Q385" s="8"/>
      <c r="R385" s="8"/>
      <c r="S385" s="8"/>
      <c r="T385" s="8"/>
      <c r="U385" s="12"/>
      <c r="V385" s="12"/>
      <c r="W385" s="12"/>
      <c r="X385" s="12"/>
      <c r="Y385" s="29"/>
      <c r="Z385" s="29"/>
      <c r="AA385" s="29"/>
      <c r="AB385" s="12"/>
      <c r="AC385" s="12"/>
      <c r="AD385" s="12"/>
      <c r="AE385" s="12"/>
      <c r="AF385" s="12"/>
    </row>
    <row r="386" spans="1:32">
      <c r="A386" s="8"/>
      <c r="B386" s="8"/>
      <c r="C386" s="8"/>
      <c r="D386" s="8"/>
      <c r="E386" s="8"/>
      <c r="F386" s="8"/>
      <c r="G386" s="8"/>
      <c r="H386" s="8"/>
      <c r="I386" s="8"/>
      <c r="J386" s="8"/>
      <c r="K386" s="8"/>
      <c r="L386" s="8"/>
      <c r="M386" s="8"/>
      <c r="N386" s="8"/>
      <c r="O386" s="8"/>
      <c r="P386" s="8"/>
      <c r="Q386" s="8"/>
      <c r="R386" s="8"/>
      <c r="S386" s="8"/>
      <c r="T386" s="8"/>
      <c r="U386" s="12"/>
      <c r="V386" s="12"/>
      <c r="W386" s="12"/>
      <c r="X386" s="12"/>
      <c r="Y386" s="29"/>
      <c r="Z386" s="29"/>
      <c r="AA386" s="29"/>
      <c r="AB386" s="12"/>
      <c r="AC386" s="12"/>
      <c r="AD386" s="12"/>
      <c r="AE386" s="12"/>
      <c r="AF386" s="12"/>
    </row>
    <row r="387" spans="1:32">
      <c r="A387" s="8"/>
      <c r="B387" s="8"/>
      <c r="C387" s="8"/>
      <c r="D387" s="8"/>
      <c r="E387" s="8"/>
      <c r="F387" s="8"/>
      <c r="G387" s="8"/>
      <c r="H387" s="8"/>
      <c r="I387" s="8"/>
      <c r="J387" s="8"/>
      <c r="K387" s="8"/>
      <c r="L387" s="8"/>
      <c r="M387" s="8"/>
      <c r="N387" s="8"/>
      <c r="O387" s="8"/>
      <c r="P387" s="8"/>
      <c r="Q387" s="8"/>
      <c r="R387" s="8"/>
      <c r="S387" s="8"/>
      <c r="T387" s="8"/>
      <c r="U387" s="12"/>
      <c r="V387" s="12"/>
      <c r="W387" s="12"/>
      <c r="X387" s="12"/>
      <c r="Y387" s="29"/>
      <c r="Z387" s="29"/>
      <c r="AA387" s="29"/>
      <c r="AB387" s="12"/>
      <c r="AC387" s="12"/>
      <c r="AD387" s="12"/>
      <c r="AE387" s="12"/>
      <c r="AF387" s="12"/>
    </row>
    <row r="388" spans="1:32">
      <c r="A388" s="8"/>
      <c r="B388" s="8"/>
      <c r="C388" s="8"/>
      <c r="D388" s="8"/>
      <c r="E388" s="8"/>
      <c r="F388" s="8"/>
      <c r="G388" s="8"/>
      <c r="H388" s="8"/>
      <c r="I388" s="8"/>
      <c r="J388" s="8"/>
      <c r="K388" s="8"/>
      <c r="L388" s="8"/>
      <c r="M388" s="8"/>
      <c r="N388" s="8"/>
      <c r="O388" s="8"/>
      <c r="P388" s="8"/>
      <c r="Q388" s="8"/>
      <c r="R388" s="8"/>
      <c r="S388" s="8"/>
      <c r="T388" s="8"/>
      <c r="U388" s="12"/>
      <c r="V388" s="12"/>
      <c r="W388" s="12"/>
      <c r="X388" s="12"/>
      <c r="Y388" s="29"/>
      <c r="Z388" s="29"/>
      <c r="AA388" s="29"/>
      <c r="AB388" s="12"/>
      <c r="AC388" s="12"/>
      <c r="AD388" s="12"/>
      <c r="AE388" s="12"/>
      <c r="AF388" s="12"/>
    </row>
    <row r="389" spans="1:32">
      <c r="A389" s="8"/>
      <c r="B389" s="8"/>
      <c r="C389" s="8"/>
      <c r="D389" s="8"/>
      <c r="E389" s="8"/>
      <c r="F389" s="8"/>
      <c r="G389" s="8"/>
      <c r="H389" s="8"/>
      <c r="I389" s="8"/>
      <c r="J389" s="8"/>
      <c r="K389" s="8"/>
      <c r="L389" s="8"/>
      <c r="M389" s="8"/>
      <c r="N389" s="8"/>
      <c r="O389" s="8"/>
      <c r="P389" s="8"/>
      <c r="Q389" s="8"/>
      <c r="R389" s="8"/>
      <c r="S389" s="8"/>
      <c r="T389" s="8"/>
      <c r="U389" s="12"/>
      <c r="V389" s="12"/>
      <c r="W389" s="12"/>
      <c r="X389" s="12"/>
      <c r="Y389" s="29"/>
      <c r="Z389" s="29"/>
      <c r="AA389" s="29"/>
      <c r="AB389" s="12"/>
      <c r="AC389" s="12"/>
      <c r="AD389" s="12"/>
      <c r="AE389" s="12"/>
      <c r="AF389" s="12"/>
    </row>
    <row r="390" spans="1:32">
      <c r="A390" s="8"/>
      <c r="B390" s="8"/>
      <c r="C390" s="8"/>
      <c r="D390" s="8"/>
      <c r="E390" s="8"/>
      <c r="F390" s="8"/>
      <c r="G390" s="8"/>
      <c r="H390" s="8"/>
      <c r="I390" s="8"/>
      <c r="J390" s="8"/>
      <c r="K390" s="8"/>
      <c r="L390" s="8"/>
      <c r="M390" s="8"/>
      <c r="N390" s="8"/>
      <c r="O390" s="8"/>
      <c r="P390" s="8"/>
      <c r="Q390" s="8"/>
      <c r="R390" s="8"/>
      <c r="S390" s="8"/>
      <c r="T390" s="8"/>
      <c r="U390" s="12"/>
      <c r="V390" s="12"/>
      <c r="W390" s="12"/>
      <c r="X390" s="12"/>
      <c r="Y390" s="29"/>
      <c r="Z390" s="29"/>
      <c r="AA390" s="29"/>
      <c r="AB390" s="12"/>
      <c r="AC390" s="12"/>
      <c r="AD390" s="12"/>
      <c r="AE390" s="12"/>
      <c r="AF390" s="12"/>
    </row>
    <row r="391" spans="1:32">
      <c r="A391" s="8"/>
      <c r="B391" s="8"/>
      <c r="C391" s="8"/>
      <c r="D391" s="8"/>
      <c r="E391" s="8"/>
      <c r="F391" s="8"/>
      <c r="G391" s="8"/>
      <c r="H391" s="8"/>
      <c r="I391" s="8"/>
      <c r="J391" s="8"/>
      <c r="K391" s="8"/>
      <c r="L391" s="8"/>
      <c r="M391" s="8"/>
      <c r="N391" s="8"/>
      <c r="O391" s="8"/>
      <c r="P391" s="8"/>
      <c r="Q391" s="8"/>
      <c r="R391" s="8"/>
      <c r="S391" s="8"/>
      <c r="T391" s="8"/>
      <c r="U391" s="12"/>
      <c r="V391" s="12"/>
      <c r="W391" s="12"/>
      <c r="X391" s="12"/>
      <c r="Y391" s="29"/>
      <c r="Z391" s="29"/>
      <c r="AA391" s="29"/>
      <c r="AB391" s="12"/>
      <c r="AC391" s="12"/>
      <c r="AD391" s="12"/>
      <c r="AE391" s="12"/>
      <c r="AF391" s="12"/>
    </row>
    <row r="392" spans="1:32">
      <c r="A392" s="8"/>
      <c r="B392" s="8"/>
      <c r="C392" s="8"/>
      <c r="D392" s="8"/>
      <c r="E392" s="8"/>
      <c r="F392" s="8"/>
      <c r="G392" s="8"/>
      <c r="H392" s="8"/>
      <c r="I392" s="8"/>
      <c r="J392" s="8"/>
      <c r="K392" s="8"/>
      <c r="L392" s="8"/>
      <c r="M392" s="8"/>
      <c r="N392" s="8"/>
      <c r="O392" s="8"/>
      <c r="P392" s="8"/>
      <c r="Q392" s="8"/>
      <c r="R392" s="8"/>
      <c r="S392" s="8"/>
      <c r="T392" s="8"/>
      <c r="U392" s="12"/>
      <c r="V392" s="12"/>
      <c r="W392" s="12"/>
      <c r="X392" s="12"/>
      <c r="Y392" s="29"/>
      <c r="Z392" s="29"/>
      <c r="AA392" s="29"/>
      <c r="AB392" s="12"/>
      <c r="AC392" s="12"/>
      <c r="AD392" s="12"/>
      <c r="AE392" s="12"/>
      <c r="AF392" s="12"/>
    </row>
    <row r="393" spans="1:32">
      <c r="A393" s="8"/>
      <c r="B393" s="8"/>
      <c r="C393" s="8"/>
      <c r="D393" s="8"/>
      <c r="E393" s="8"/>
      <c r="F393" s="8"/>
      <c r="G393" s="8"/>
      <c r="H393" s="8"/>
      <c r="I393" s="8"/>
      <c r="J393" s="8"/>
      <c r="K393" s="8"/>
      <c r="L393" s="8"/>
      <c r="M393" s="8"/>
      <c r="N393" s="8"/>
      <c r="O393" s="8"/>
      <c r="P393" s="8"/>
      <c r="Q393" s="8"/>
      <c r="R393" s="8"/>
      <c r="S393" s="8"/>
      <c r="T393" s="8"/>
      <c r="U393" s="12"/>
      <c r="V393" s="12"/>
      <c r="W393" s="12"/>
      <c r="X393" s="12"/>
      <c r="Y393" s="29"/>
      <c r="Z393" s="29"/>
      <c r="AA393" s="29"/>
      <c r="AB393" s="12"/>
      <c r="AC393" s="12"/>
      <c r="AD393" s="12"/>
      <c r="AE393" s="12"/>
      <c r="AF393" s="12"/>
    </row>
    <row r="394" spans="1:32">
      <c r="A394" s="8"/>
      <c r="B394" s="8"/>
      <c r="C394" s="8"/>
      <c r="D394" s="8"/>
      <c r="E394" s="8"/>
      <c r="F394" s="8"/>
      <c r="G394" s="8"/>
      <c r="H394" s="8"/>
      <c r="I394" s="8"/>
      <c r="J394" s="8"/>
      <c r="K394" s="8"/>
      <c r="L394" s="8"/>
      <c r="M394" s="8"/>
      <c r="N394" s="8"/>
      <c r="O394" s="8"/>
      <c r="P394" s="8"/>
      <c r="Q394" s="8"/>
      <c r="R394" s="8"/>
      <c r="S394" s="8"/>
      <c r="T394" s="8"/>
      <c r="U394" s="12"/>
      <c r="V394" s="12"/>
      <c r="W394" s="12"/>
      <c r="X394" s="12"/>
      <c r="Y394" s="29"/>
      <c r="Z394" s="29"/>
      <c r="AA394" s="29"/>
      <c r="AB394" s="12"/>
      <c r="AC394" s="12"/>
      <c r="AD394" s="12"/>
      <c r="AE394" s="12"/>
      <c r="AF394" s="12"/>
    </row>
    <row r="395" spans="1:32">
      <c r="A395" s="8"/>
      <c r="B395" s="8"/>
      <c r="C395" s="8"/>
      <c r="D395" s="8"/>
      <c r="E395" s="8"/>
      <c r="F395" s="8"/>
      <c r="G395" s="8"/>
      <c r="H395" s="8"/>
      <c r="I395" s="8"/>
      <c r="J395" s="8"/>
      <c r="K395" s="8"/>
      <c r="L395" s="8"/>
      <c r="M395" s="8"/>
      <c r="N395" s="8"/>
      <c r="O395" s="8"/>
      <c r="P395" s="8"/>
      <c r="Q395" s="8"/>
      <c r="R395" s="8"/>
      <c r="S395" s="8"/>
      <c r="T395" s="8"/>
      <c r="U395" s="12"/>
      <c r="V395" s="12"/>
      <c r="W395" s="12"/>
      <c r="X395" s="12"/>
      <c r="Y395" s="29"/>
      <c r="Z395" s="29"/>
      <c r="AA395" s="29"/>
      <c r="AB395" s="12"/>
      <c r="AC395" s="12"/>
      <c r="AD395" s="12"/>
      <c r="AE395" s="12"/>
      <c r="AF395" s="12"/>
    </row>
    <row r="396" spans="1:32">
      <c r="A396" s="8"/>
      <c r="B396" s="8"/>
      <c r="C396" s="8"/>
      <c r="D396" s="8"/>
      <c r="E396" s="8"/>
      <c r="F396" s="8"/>
      <c r="G396" s="8"/>
      <c r="H396" s="8"/>
      <c r="I396" s="8"/>
      <c r="J396" s="8"/>
      <c r="K396" s="8"/>
      <c r="L396" s="8"/>
      <c r="M396" s="8"/>
      <c r="N396" s="8"/>
      <c r="O396" s="8"/>
      <c r="P396" s="8"/>
      <c r="Q396" s="8"/>
      <c r="R396" s="8"/>
      <c r="S396" s="8"/>
      <c r="T396" s="8"/>
      <c r="U396" s="12"/>
      <c r="V396" s="12"/>
      <c r="W396" s="12"/>
      <c r="X396" s="12"/>
      <c r="Y396" s="29"/>
      <c r="Z396" s="29"/>
      <c r="AA396" s="29"/>
      <c r="AB396" s="12"/>
      <c r="AC396" s="12"/>
      <c r="AD396" s="12"/>
      <c r="AE396" s="12"/>
      <c r="AF396" s="12"/>
    </row>
    <row r="397" spans="1:32">
      <c r="A397" s="8"/>
      <c r="B397" s="8"/>
      <c r="C397" s="8"/>
      <c r="D397" s="8"/>
      <c r="E397" s="8"/>
      <c r="F397" s="8"/>
      <c r="G397" s="8"/>
      <c r="H397" s="8"/>
      <c r="I397" s="8"/>
      <c r="J397" s="8"/>
      <c r="K397" s="8"/>
      <c r="L397" s="8"/>
      <c r="M397" s="8"/>
      <c r="N397" s="8"/>
      <c r="O397" s="8"/>
      <c r="P397" s="8"/>
      <c r="Q397" s="8"/>
      <c r="R397" s="8"/>
      <c r="S397" s="8"/>
      <c r="T397" s="8"/>
      <c r="U397" s="12"/>
      <c r="V397" s="12"/>
      <c r="W397" s="12"/>
      <c r="X397" s="12"/>
      <c r="Y397" s="29"/>
      <c r="Z397" s="29"/>
      <c r="AA397" s="29"/>
      <c r="AB397" s="12"/>
      <c r="AC397" s="12"/>
      <c r="AD397" s="12"/>
      <c r="AE397" s="12"/>
      <c r="AF397" s="12"/>
    </row>
    <row r="398" spans="1:32">
      <c r="A398" s="8"/>
      <c r="B398" s="8"/>
      <c r="C398" s="8"/>
      <c r="D398" s="8"/>
      <c r="E398" s="8"/>
      <c r="F398" s="8"/>
      <c r="G398" s="8"/>
      <c r="H398" s="8"/>
      <c r="I398" s="8"/>
      <c r="J398" s="8"/>
      <c r="K398" s="8"/>
      <c r="L398" s="8"/>
      <c r="M398" s="8"/>
      <c r="N398" s="8"/>
      <c r="O398" s="8"/>
      <c r="P398" s="8"/>
      <c r="Q398" s="8"/>
      <c r="R398" s="8"/>
      <c r="S398" s="8"/>
      <c r="T398" s="8"/>
      <c r="U398" s="12"/>
      <c r="V398" s="12"/>
      <c r="W398" s="12"/>
      <c r="X398" s="12"/>
      <c r="Y398" s="29"/>
      <c r="Z398" s="29"/>
      <c r="AA398" s="29"/>
      <c r="AB398" s="12"/>
      <c r="AC398" s="12"/>
      <c r="AD398" s="12"/>
      <c r="AE398" s="12"/>
      <c r="AF398" s="12"/>
    </row>
    <row r="399" spans="1:32">
      <c r="A399" s="8"/>
      <c r="B399" s="8"/>
      <c r="C399" s="8"/>
      <c r="D399" s="8"/>
      <c r="E399" s="8"/>
      <c r="F399" s="8"/>
      <c r="G399" s="8"/>
      <c r="H399" s="8"/>
      <c r="I399" s="8"/>
      <c r="J399" s="8"/>
      <c r="K399" s="8"/>
      <c r="L399" s="8"/>
      <c r="M399" s="8"/>
      <c r="N399" s="8"/>
      <c r="O399" s="8"/>
      <c r="P399" s="8"/>
      <c r="Q399" s="8"/>
      <c r="R399" s="8"/>
      <c r="S399" s="8"/>
      <c r="T399" s="8"/>
      <c r="U399" s="12"/>
      <c r="V399" s="12"/>
      <c r="W399" s="12"/>
      <c r="X399" s="12"/>
      <c r="Y399" s="29"/>
      <c r="Z399" s="29"/>
      <c r="AA399" s="29"/>
      <c r="AB399" s="12"/>
      <c r="AC399" s="12"/>
      <c r="AD399" s="12"/>
      <c r="AE399" s="12"/>
      <c r="AF399" s="12"/>
    </row>
    <row r="400" spans="1:32">
      <c r="A400" s="8"/>
      <c r="B400" s="8"/>
      <c r="C400" s="8"/>
      <c r="D400" s="8"/>
      <c r="E400" s="8"/>
      <c r="F400" s="8"/>
      <c r="G400" s="8"/>
      <c r="H400" s="8"/>
      <c r="I400" s="8"/>
      <c r="J400" s="8"/>
      <c r="K400" s="8"/>
      <c r="L400" s="8"/>
      <c r="M400" s="8"/>
      <c r="N400" s="8"/>
      <c r="O400" s="8"/>
      <c r="P400" s="8"/>
      <c r="Q400" s="8"/>
      <c r="R400" s="8"/>
      <c r="S400" s="8"/>
      <c r="T400" s="8"/>
      <c r="U400" s="12"/>
      <c r="V400" s="12"/>
      <c r="W400" s="12"/>
      <c r="X400" s="12"/>
      <c r="Y400" s="29"/>
      <c r="Z400" s="29"/>
      <c r="AA400" s="29"/>
      <c r="AB400" s="12"/>
      <c r="AC400" s="12"/>
      <c r="AD400" s="12"/>
      <c r="AE400" s="12"/>
      <c r="AF400" s="12"/>
    </row>
    <row r="401" spans="1:32">
      <c r="A401" s="8"/>
      <c r="B401" s="8"/>
      <c r="C401" s="8"/>
      <c r="D401" s="8"/>
      <c r="E401" s="8"/>
      <c r="F401" s="8"/>
      <c r="G401" s="8"/>
      <c r="H401" s="8"/>
      <c r="I401" s="8"/>
      <c r="J401" s="8"/>
      <c r="K401" s="8"/>
      <c r="L401" s="8"/>
      <c r="M401" s="8"/>
      <c r="N401" s="8"/>
      <c r="O401" s="8"/>
      <c r="P401" s="8"/>
      <c r="Q401" s="8"/>
      <c r="R401" s="8"/>
      <c r="S401" s="8"/>
      <c r="T401" s="8"/>
      <c r="U401" s="12"/>
      <c r="V401" s="12"/>
      <c r="W401" s="12"/>
      <c r="X401" s="12"/>
      <c r="Y401" s="29"/>
      <c r="Z401" s="29"/>
      <c r="AA401" s="29"/>
      <c r="AB401" s="12"/>
      <c r="AC401" s="12"/>
      <c r="AD401" s="12"/>
      <c r="AE401" s="12"/>
      <c r="AF401" s="12"/>
    </row>
    <row r="402" spans="1:32">
      <c r="A402" s="8"/>
      <c r="B402" s="8"/>
      <c r="C402" s="8"/>
      <c r="D402" s="8"/>
      <c r="E402" s="8"/>
      <c r="F402" s="8"/>
      <c r="G402" s="8"/>
      <c r="H402" s="8"/>
      <c r="I402" s="8"/>
      <c r="J402" s="8"/>
      <c r="K402" s="8"/>
      <c r="L402" s="8"/>
      <c r="M402" s="8"/>
      <c r="N402" s="8"/>
      <c r="O402" s="8"/>
      <c r="P402" s="8"/>
      <c r="Q402" s="8"/>
      <c r="R402" s="8"/>
      <c r="S402" s="8"/>
      <c r="T402" s="8"/>
      <c r="U402" s="12"/>
      <c r="V402" s="12"/>
      <c r="W402" s="12"/>
      <c r="X402" s="12"/>
      <c r="Y402" s="29"/>
      <c r="Z402" s="29"/>
      <c r="AA402" s="29"/>
      <c r="AB402" s="12"/>
      <c r="AC402" s="12"/>
      <c r="AD402" s="12"/>
      <c r="AE402" s="12"/>
      <c r="AF402" s="12"/>
    </row>
    <row r="403" spans="1:32">
      <c r="A403" s="8"/>
      <c r="B403" s="8"/>
      <c r="C403" s="8"/>
      <c r="D403" s="8"/>
      <c r="E403" s="8"/>
      <c r="F403" s="8"/>
      <c r="G403" s="8"/>
      <c r="H403" s="8"/>
      <c r="I403" s="8"/>
      <c r="J403" s="8"/>
      <c r="K403" s="8"/>
      <c r="L403" s="8"/>
      <c r="M403" s="8"/>
      <c r="N403" s="8"/>
      <c r="O403" s="8"/>
      <c r="P403" s="8"/>
      <c r="Q403" s="8"/>
      <c r="R403" s="8"/>
      <c r="S403" s="8"/>
      <c r="T403" s="8"/>
      <c r="U403" s="12"/>
      <c r="V403" s="12"/>
      <c r="W403" s="12"/>
      <c r="X403" s="12"/>
      <c r="Y403" s="29"/>
      <c r="Z403" s="29"/>
      <c r="AA403" s="29"/>
      <c r="AB403" s="12"/>
      <c r="AC403" s="12"/>
      <c r="AD403" s="12"/>
      <c r="AE403" s="12"/>
      <c r="AF403" s="12"/>
    </row>
    <row r="404" spans="1:32">
      <c r="A404" s="8"/>
      <c r="B404" s="8"/>
      <c r="C404" s="8"/>
      <c r="D404" s="8"/>
      <c r="E404" s="8"/>
      <c r="F404" s="8"/>
      <c r="G404" s="8"/>
      <c r="H404" s="8"/>
      <c r="I404" s="8"/>
      <c r="J404" s="8"/>
      <c r="K404" s="8"/>
      <c r="L404" s="8"/>
      <c r="M404" s="8"/>
      <c r="N404" s="8"/>
      <c r="O404" s="8"/>
      <c r="P404" s="8"/>
      <c r="Q404" s="8"/>
      <c r="R404" s="8"/>
      <c r="S404" s="8"/>
      <c r="T404" s="8"/>
      <c r="U404" s="12"/>
      <c r="V404" s="12"/>
      <c r="W404" s="12"/>
      <c r="X404" s="12"/>
      <c r="Y404" s="29"/>
      <c r="Z404" s="29"/>
      <c r="AA404" s="29"/>
      <c r="AB404" s="12"/>
      <c r="AC404" s="12"/>
      <c r="AD404" s="12"/>
      <c r="AE404" s="12"/>
      <c r="AF404" s="12"/>
    </row>
    <row r="405" spans="1:32">
      <c r="A405" s="8"/>
      <c r="B405" s="8"/>
      <c r="C405" s="8"/>
      <c r="D405" s="8"/>
      <c r="E405" s="8"/>
      <c r="F405" s="8"/>
      <c r="G405" s="8"/>
      <c r="H405" s="8"/>
      <c r="I405" s="8"/>
      <c r="J405" s="8"/>
      <c r="K405" s="8"/>
      <c r="L405" s="8"/>
      <c r="M405" s="8"/>
      <c r="N405" s="8"/>
      <c r="O405" s="8"/>
      <c r="P405" s="8"/>
      <c r="Q405" s="8"/>
      <c r="R405" s="8"/>
      <c r="S405" s="8"/>
      <c r="T405" s="8"/>
      <c r="U405" s="12"/>
      <c r="V405" s="12"/>
      <c r="W405" s="12"/>
      <c r="X405" s="12"/>
      <c r="Y405" s="29"/>
      <c r="Z405" s="29"/>
      <c r="AA405" s="29"/>
      <c r="AB405" s="12"/>
      <c r="AC405" s="12"/>
      <c r="AD405" s="12"/>
      <c r="AE405" s="12"/>
      <c r="AF405" s="12"/>
    </row>
    <row r="406" spans="1:32">
      <c r="A406" s="8"/>
      <c r="B406" s="8"/>
      <c r="C406" s="8"/>
      <c r="D406" s="8"/>
      <c r="E406" s="8"/>
      <c r="F406" s="8"/>
      <c r="G406" s="8"/>
      <c r="H406" s="8"/>
      <c r="I406" s="8"/>
      <c r="J406" s="8"/>
      <c r="K406" s="8"/>
      <c r="L406" s="8"/>
      <c r="M406" s="8"/>
      <c r="N406" s="8"/>
      <c r="O406" s="8"/>
      <c r="P406" s="8"/>
      <c r="Q406" s="8"/>
      <c r="R406" s="8"/>
      <c r="S406" s="8"/>
      <c r="T406" s="8"/>
      <c r="U406" s="12"/>
      <c r="V406" s="12"/>
      <c r="W406" s="12"/>
      <c r="X406" s="12"/>
      <c r="Y406" s="29"/>
      <c r="Z406" s="29"/>
      <c r="AA406" s="29"/>
      <c r="AB406" s="12"/>
      <c r="AC406" s="12"/>
      <c r="AD406" s="12"/>
      <c r="AE406" s="12"/>
      <c r="AF406" s="12"/>
    </row>
    <row r="407" spans="1:32">
      <c r="A407" s="8"/>
      <c r="B407" s="8"/>
      <c r="C407" s="8"/>
      <c r="D407" s="8"/>
      <c r="E407" s="8"/>
      <c r="F407" s="8"/>
      <c r="G407" s="8"/>
      <c r="H407" s="8"/>
      <c r="I407" s="8"/>
      <c r="J407" s="8"/>
      <c r="K407" s="8"/>
      <c r="L407" s="8"/>
      <c r="M407" s="8"/>
      <c r="N407" s="8"/>
      <c r="O407" s="8"/>
      <c r="P407" s="8"/>
      <c r="Q407" s="8"/>
      <c r="R407" s="8"/>
      <c r="S407" s="8"/>
      <c r="T407" s="8"/>
      <c r="U407" s="12"/>
      <c r="V407" s="12"/>
      <c r="W407" s="12"/>
      <c r="X407" s="12"/>
      <c r="Y407" s="29"/>
      <c r="Z407" s="29"/>
      <c r="AA407" s="29"/>
      <c r="AB407" s="12"/>
      <c r="AC407" s="12"/>
      <c r="AD407" s="12"/>
      <c r="AE407" s="12"/>
      <c r="AF407" s="12"/>
    </row>
    <row r="408" spans="1:32">
      <c r="A408" s="8"/>
      <c r="B408" s="8"/>
      <c r="C408" s="8"/>
      <c r="D408" s="8"/>
      <c r="E408" s="8"/>
      <c r="F408" s="8"/>
      <c r="G408" s="8"/>
      <c r="H408" s="8"/>
      <c r="I408" s="8"/>
      <c r="J408" s="8"/>
      <c r="K408" s="8"/>
      <c r="L408" s="8"/>
      <c r="M408" s="8"/>
      <c r="N408" s="8"/>
      <c r="O408" s="8"/>
      <c r="P408" s="8"/>
      <c r="Q408" s="8"/>
      <c r="R408" s="8"/>
      <c r="S408" s="8"/>
      <c r="T408" s="8"/>
      <c r="U408" s="12"/>
      <c r="V408" s="12"/>
      <c r="W408" s="12"/>
      <c r="X408" s="12"/>
      <c r="Y408" s="29"/>
      <c r="Z408" s="29"/>
      <c r="AA408" s="29"/>
      <c r="AB408" s="12"/>
      <c r="AC408" s="12"/>
      <c r="AD408" s="12"/>
      <c r="AE408" s="12"/>
      <c r="AF408" s="12"/>
    </row>
    <row r="409" spans="1:32">
      <c r="A409" s="8"/>
      <c r="B409" s="8"/>
      <c r="C409" s="8"/>
      <c r="D409" s="8"/>
      <c r="E409" s="8"/>
      <c r="F409" s="8"/>
      <c r="G409" s="8"/>
      <c r="H409" s="8"/>
      <c r="I409" s="8"/>
      <c r="J409" s="8"/>
      <c r="K409" s="8"/>
      <c r="L409" s="8"/>
      <c r="M409" s="8"/>
      <c r="N409" s="8"/>
      <c r="O409" s="8"/>
      <c r="P409" s="8"/>
      <c r="Q409" s="8"/>
      <c r="R409" s="8"/>
      <c r="S409" s="8"/>
      <c r="T409" s="8"/>
      <c r="U409" s="12"/>
      <c r="V409" s="12"/>
      <c r="W409" s="12"/>
      <c r="X409" s="12"/>
      <c r="Y409" s="29"/>
      <c r="Z409" s="29"/>
      <c r="AA409" s="29"/>
      <c r="AB409" s="12"/>
      <c r="AC409" s="12"/>
      <c r="AD409" s="12"/>
      <c r="AE409" s="12"/>
      <c r="AF409" s="12"/>
    </row>
    <row r="410" spans="1:32">
      <c r="A410" s="8"/>
      <c r="B410" s="8"/>
      <c r="C410" s="8"/>
      <c r="D410" s="8"/>
      <c r="E410" s="8"/>
      <c r="F410" s="8"/>
      <c r="G410" s="8"/>
      <c r="H410" s="8"/>
      <c r="I410" s="8"/>
      <c r="J410" s="8"/>
      <c r="K410" s="8"/>
      <c r="L410" s="8"/>
      <c r="M410" s="8"/>
      <c r="N410" s="8"/>
      <c r="O410" s="8"/>
      <c r="P410" s="8"/>
      <c r="Q410" s="8"/>
      <c r="R410" s="8"/>
      <c r="S410" s="8"/>
      <c r="T410" s="8"/>
      <c r="U410" s="12"/>
      <c r="V410" s="12"/>
      <c r="W410" s="12"/>
      <c r="X410" s="12"/>
      <c r="Y410" s="29"/>
      <c r="Z410" s="29"/>
      <c r="AA410" s="29"/>
      <c r="AB410" s="12"/>
      <c r="AC410" s="12"/>
      <c r="AD410" s="12"/>
      <c r="AE410" s="12"/>
      <c r="AF410" s="12"/>
    </row>
    <row r="411" spans="1:32">
      <c r="A411" s="8"/>
      <c r="B411" s="8"/>
      <c r="C411" s="8"/>
      <c r="D411" s="8"/>
      <c r="E411" s="8"/>
      <c r="F411" s="8"/>
      <c r="G411" s="8"/>
      <c r="H411" s="8"/>
      <c r="I411" s="8"/>
      <c r="J411" s="8"/>
      <c r="K411" s="8"/>
      <c r="L411" s="8"/>
      <c r="M411" s="8"/>
      <c r="N411" s="8"/>
      <c r="O411" s="8"/>
      <c r="P411" s="8"/>
      <c r="Q411" s="8"/>
      <c r="R411" s="8"/>
      <c r="S411" s="8"/>
      <c r="T411" s="8"/>
      <c r="U411" s="12"/>
      <c r="V411" s="12"/>
      <c r="W411" s="12"/>
      <c r="X411" s="12"/>
      <c r="Y411" s="29"/>
      <c r="Z411" s="29"/>
      <c r="AA411" s="29"/>
      <c r="AB411" s="12"/>
      <c r="AC411" s="12"/>
      <c r="AD411" s="12"/>
      <c r="AE411" s="12"/>
      <c r="AF411" s="12"/>
    </row>
    <row r="412" spans="1:32">
      <c r="A412" s="8"/>
      <c r="B412" s="8"/>
      <c r="C412" s="8"/>
      <c r="D412" s="8"/>
      <c r="E412" s="8"/>
      <c r="F412" s="8"/>
      <c r="G412" s="8"/>
      <c r="H412" s="8"/>
      <c r="I412" s="8"/>
      <c r="J412" s="8"/>
      <c r="K412" s="8"/>
      <c r="L412" s="8"/>
      <c r="M412" s="8"/>
      <c r="N412" s="8"/>
      <c r="O412" s="8"/>
      <c r="P412" s="8"/>
      <c r="Q412" s="8"/>
      <c r="R412" s="8"/>
      <c r="S412" s="8"/>
      <c r="T412" s="8"/>
      <c r="U412" s="12"/>
      <c r="V412" s="12"/>
      <c r="W412" s="12"/>
      <c r="X412" s="12"/>
      <c r="Y412" s="29"/>
      <c r="Z412" s="29"/>
      <c r="AA412" s="29"/>
      <c r="AB412" s="12"/>
      <c r="AC412" s="12"/>
      <c r="AD412" s="12"/>
      <c r="AE412" s="12"/>
      <c r="AF412" s="12"/>
    </row>
    <row r="413" spans="1:32">
      <c r="A413" s="8"/>
      <c r="B413" s="8"/>
      <c r="C413" s="8"/>
      <c r="D413" s="8"/>
      <c r="E413" s="8"/>
      <c r="F413" s="8"/>
      <c r="G413" s="8"/>
      <c r="H413" s="8"/>
      <c r="I413" s="8"/>
      <c r="J413" s="8"/>
      <c r="K413" s="8"/>
      <c r="L413" s="8"/>
      <c r="M413" s="8"/>
      <c r="N413" s="8"/>
      <c r="O413" s="8"/>
      <c r="P413" s="8"/>
      <c r="Q413" s="8"/>
      <c r="R413" s="8"/>
      <c r="S413" s="8"/>
      <c r="T413" s="8"/>
      <c r="U413" s="12"/>
      <c r="V413" s="12"/>
      <c r="W413" s="12"/>
      <c r="X413" s="12"/>
      <c r="Y413" s="29"/>
      <c r="Z413" s="29"/>
      <c r="AA413" s="29"/>
      <c r="AB413" s="12"/>
      <c r="AC413" s="12"/>
      <c r="AD413" s="12"/>
      <c r="AE413" s="12"/>
      <c r="AF413" s="12"/>
    </row>
    <row r="414" spans="1:32">
      <c r="A414" s="8"/>
      <c r="B414" s="8"/>
      <c r="C414" s="8"/>
      <c r="D414" s="8"/>
      <c r="E414" s="8"/>
      <c r="F414" s="8"/>
      <c r="G414" s="8"/>
      <c r="H414" s="8"/>
      <c r="I414" s="8"/>
      <c r="J414" s="8"/>
      <c r="K414" s="8"/>
      <c r="L414" s="8"/>
      <c r="M414" s="8"/>
      <c r="N414" s="8"/>
      <c r="O414" s="8"/>
      <c r="P414" s="8"/>
      <c r="Q414" s="8"/>
      <c r="R414" s="8"/>
      <c r="S414" s="8"/>
      <c r="T414" s="8"/>
      <c r="U414" s="12"/>
      <c r="V414" s="12"/>
      <c r="W414" s="12"/>
      <c r="X414" s="12"/>
      <c r="Y414" s="29"/>
      <c r="Z414" s="29"/>
      <c r="AA414" s="29"/>
      <c r="AB414" s="12"/>
      <c r="AC414" s="12"/>
      <c r="AD414" s="12"/>
      <c r="AE414" s="12"/>
      <c r="AF414" s="12"/>
    </row>
    <row r="415" spans="1:32">
      <c r="A415" s="8"/>
      <c r="B415" s="8"/>
      <c r="C415" s="8"/>
      <c r="D415" s="8"/>
      <c r="E415" s="8"/>
      <c r="F415" s="8"/>
      <c r="G415" s="8"/>
      <c r="H415" s="8"/>
      <c r="I415" s="8"/>
      <c r="J415" s="8"/>
      <c r="K415" s="8"/>
      <c r="L415" s="8"/>
      <c r="M415" s="8"/>
      <c r="N415" s="8"/>
      <c r="O415" s="8"/>
      <c r="P415" s="8"/>
      <c r="Q415" s="8"/>
      <c r="R415" s="8"/>
      <c r="S415" s="8"/>
      <c r="T415" s="8"/>
      <c r="U415" s="12"/>
      <c r="V415" s="12"/>
      <c r="W415" s="12"/>
      <c r="X415" s="12"/>
      <c r="Y415" s="29"/>
      <c r="Z415" s="29"/>
      <c r="AA415" s="29"/>
      <c r="AB415" s="12"/>
      <c r="AC415" s="12"/>
      <c r="AD415" s="12"/>
      <c r="AE415" s="12"/>
      <c r="AF415" s="12"/>
    </row>
    <row r="416" spans="1:32">
      <c r="A416" s="8"/>
      <c r="B416" s="8"/>
      <c r="C416" s="8"/>
      <c r="D416" s="8"/>
      <c r="E416" s="8"/>
      <c r="F416" s="8"/>
      <c r="G416" s="8"/>
      <c r="H416" s="8"/>
      <c r="I416" s="8"/>
      <c r="J416" s="8"/>
      <c r="K416" s="8"/>
      <c r="L416" s="8"/>
      <c r="M416" s="8"/>
      <c r="N416" s="8"/>
      <c r="O416" s="8"/>
      <c r="P416" s="8"/>
      <c r="Q416" s="8"/>
      <c r="R416" s="8"/>
      <c r="S416" s="8"/>
      <c r="T416" s="8"/>
      <c r="U416" s="12"/>
      <c r="V416" s="12"/>
      <c r="W416" s="12"/>
      <c r="X416" s="12"/>
      <c r="Y416" s="29"/>
      <c r="Z416" s="29"/>
      <c r="AA416" s="29"/>
      <c r="AB416" s="12"/>
      <c r="AC416" s="12"/>
      <c r="AD416" s="12"/>
      <c r="AE416" s="12"/>
      <c r="AF416" s="12"/>
    </row>
    <row r="417" spans="1:32">
      <c r="A417" s="8"/>
      <c r="B417" s="8"/>
      <c r="C417" s="8"/>
      <c r="D417" s="8"/>
      <c r="E417" s="8"/>
      <c r="F417" s="8"/>
      <c r="G417" s="8"/>
      <c r="H417" s="8"/>
      <c r="I417" s="8"/>
      <c r="J417" s="8"/>
      <c r="K417" s="8"/>
      <c r="L417" s="8"/>
      <c r="M417" s="8"/>
      <c r="N417" s="8"/>
      <c r="O417" s="8"/>
      <c r="P417" s="8"/>
      <c r="Q417" s="8"/>
      <c r="R417" s="8"/>
      <c r="S417" s="8"/>
      <c r="T417" s="8"/>
      <c r="U417" s="12"/>
      <c r="V417" s="12"/>
      <c r="W417" s="12"/>
      <c r="X417" s="12"/>
      <c r="Y417" s="29"/>
      <c r="Z417" s="29"/>
      <c r="AA417" s="29"/>
      <c r="AB417" s="12"/>
      <c r="AC417" s="12"/>
      <c r="AD417" s="12"/>
      <c r="AE417" s="12"/>
      <c r="AF417" s="12"/>
    </row>
    <row r="418" spans="1:32">
      <c r="A418" s="8"/>
      <c r="B418" s="8"/>
      <c r="C418" s="8"/>
      <c r="D418" s="8"/>
      <c r="E418" s="8"/>
      <c r="F418" s="8"/>
      <c r="G418" s="8"/>
      <c r="H418" s="8"/>
      <c r="I418" s="8"/>
      <c r="J418" s="8"/>
      <c r="K418" s="8"/>
      <c r="L418" s="8"/>
      <c r="M418" s="8"/>
      <c r="N418" s="8"/>
      <c r="O418" s="8"/>
      <c r="P418" s="8"/>
      <c r="Q418" s="8"/>
      <c r="R418" s="8"/>
      <c r="S418" s="8"/>
      <c r="T418" s="8"/>
      <c r="U418" s="12"/>
      <c r="V418" s="12"/>
      <c r="W418" s="12"/>
      <c r="X418" s="12"/>
      <c r="Y418" s="29"/>
      <c r="Z418" s="29"/>
      <c r="AA418" s="29"/>
      <c r="AB418" s="12"/>
      <c r="AC418" s="12"/>
      <c r="AD418" s="12"/>
      <c r="AE418" s="12"/>
      <c r="AF418" s="12"/>
    </row>
    <row r="419" spans="1:32">
      <c r="A419" s="8"/>
      <c r="B419" s="8"/>
      <c r="C419" s="8"/>
      <c r="D419" s="8"/>
      <c r="E419" s="8"/>
      <c r="F419" s="8"/>
      <c r="G419" s="8"/>
      <c r="H419" s="8"/>
      <c r="I419" s="8"/>
      <c r="J419" s="8"/>
      <c r="K419" s="8"/>
      <c r="L419" s="8"/>
      <c r="M419" s="8"/>
      <c r="N419" s="8"/>
      <c r="O419" s="8"/>
      <c r="P419" s="8"/>
      <c r="Q419" s="8"/>
      <c r="R419" s="8"/>
      <c r="S419" s="8"/>
      <c r="T419" s="8"/>
      <c r="U419" s="12"/>
      <c r="V419" s="12"/>
      <c r="W419" s="12"/>
      <c r="X419" s="12"/>
      <c r="Y419" s="29"/>
      <c r="Z419" s="29"/>
      <c r="AA419" s="29"/>
      <c r="AB419" s="12"/>
      <c r="AC419" s="12"/>
      <c r="AD419" s="12"/>
      <c r="AE419" s="12"/>
      <c r="AF419" s="12"/>
    </row>
    <row r="420" spans="1:32">
      <c r="A420" s="8"/>
      <c r="B420" s="8"/>
      <c r="C420" s="8"/>
      <c r="D420" s="8"/>
      <c r="E420" s="8"/>
      <c r="F420" s="8"/>
      <c r="G420" s="8"/>
      <c r="H420" s="8"/>
      <c r="I420" s="8"/>
      <c r="J420" s="8"/>
      <c r="K420" s="8"/>
      <c r="L420" s="8"/>
      <c r="M420" s="8"/>
      <c r="N420" s="8"/>
      <c r="O420" s="8"/>
      <c r="P420" s="8"/>
      <c r="Q420" s="8"/>
      <c r="R420" s="8"/>
      <c r="S420" s="8"/>
      <c r="T420" s="8"/>
      <c r="U420" s="12"/>
      <c r="V420" s="12"/>
      <c r="W420" s="12"/>
      <c r="X420" s="12"/>
      <c r="Y420" s="29"/>
      <c r="Z420" s="29"/>
      <c r="AA420" s="29"/>
      <c r="AB420" s="12"/>
      <c r="AC420" s="12"/>
      <c r="AD420" s="12"/>
      <c r="AE420" s="12"/>
      <c r="AF420" s="12"/>
    </row>
    <row r="421" spans="1:32">
      <c r="A421" s="8"/>
      <c r="B421" s="8"/>
      <c r="C421" s="8"/>
      <c r="D421" s="8"/>
      <c r="E421" s="8"/>
      <c r="F421" s="8"/>
      <c r="G421" s="8"/>
      <c r="H421" s="8"/>
      <c r="I421" s="8"/>
      <c r="J421" s="8"/>
      <c r="K421" s="8"/>
      <c r="L421" s="8"/>
      <c r="M421" s="8"/>
      <c r="N421" s="8"/>
      <c r="O421" s="8"/>
      <c r="P421" s="8"/>
      <c r="Q421" s="8"/>
      <c r="R421" s="8"/>
      <c r="S421" s="8"/>
      <c r="T421" s="8"/>
      <c r="U421" s="12"/>
      <c r="V421" s="12"/>
      <c r="W421" s="12"/>
      <c r="X421" s="12"/>
      <c r="Y421" s="29"/>
      <c r="Z421" s="29"/>
      <c r="AA421" s="29"/>
      <c r="AB421" s="12"/>
      <c r="AC421" s="12"/>
      <c r="AD421" s="12"/>
      <c r="AE421" s="12"/>
      <c r="AF421" s="12"/>
    </row>
    <row r="422" spans="1:32">
      <c r="A422" s="8"/>
      <c r="B422" s="8"/>
      <c r="C422" s="8"/>
      <c r="D422" s="8"/>
      <c r="E422" s="8"/>
      <c r="F422" s="8"/>
      <c r="G422" s="8"/>
      <c r="H422" s="8"/>
      <c r="I422" s="8"/>
      <c r="J422" s="8"/>
      <c r="K422" s="8"/>
      <c r="L422" s="8"/>
      <c r="M422" s="8"/>
      <c r="N422" s="8"/>
      <c r="O422" s="8"/>
      <c r="P422" s="8"/>
      <c r="Q422" s="8"/>
      <c r="R422" s="8"/>
      <c r="S422" s="8"/>
      <c r="T422" s="8"/>
      <c r="U422" s="12"/>
      <c r="V422" s="12"/>
      <c r="W422" s="12"/>
      <c r="X422" s="12"/>
      <c r="Y422" s="29"/>
      <c r="Z422" s="29"/>
      <c r="AA422" s="29"/>
      <c r="AB422" s="12"/>
      <c r="AC422" s="12"/>
      <c r="AD422" s="12"/>
      <c r="AE422" s="12"/>
      <c r="AF422" s="12"/>
    </row>
    <row r="423" spans="1:32">
      <c r="A423" s="8"/>
      <c r="B423" s="8"/>
      <c r="C423" s="8"/>
      <c r="D423" s="8"/>
      <c r="E423" s="8"/>
      <c r="F423" s="8"/>
      <c r="G423" s="8"/>
      <c r="H423" s="8"/>
      <c r="I423" s="8"/>
      <c r="J423" s="8"/>
      <c r="K423" s="8"/>
      <c r="L423" s="8"/>
      <c r="M423" s="8"/>
      <c r="N423" s="8"/>
      <c r="O423" s="8"/>
      <c r="P423" s="8"/>
      <c r="Q423" s="8"/>
      <c r="R423" s="8"/>
      <c r="S423" s="8"/>
      <c r="T423" s="8"/>
      <c r="U423" s="12"/>
      <c r="V423" s="12"/>
      <c r="W423" s="12"/>
      <c r="X423" s="12"/>
      <c r="Y423" s="29"/>
      <c r="Z423" s="29"/>
      <c r="AA423" s="29"/>
      <c r="AB423" s="12"/>
      <c r="AC423" s="12"/>
      <c r="AD423" s="12"/>
      <c r="AE423" s="12"/>
      <c r="AF423" s="12"/>
    </row>
    <row r="424" spans="1:32">
      <c r="A424" s="8"/>
      <c r="B424" s="8"/>
      <c r="C424" s="8"/>
      <c r="D424" s="8"/>
      <c r="E424" s="8"/>
      <c r="F424" s="8"/>
      <c r="G424" s="8"/>
      <c r="H424" s="8"/>
      <c r="I424" s="8"/>
      <c r="J424" s="8"/>
      <c r="K424" s="8"/>
      <c r="L424" s="8"/>
      <c r="M424" s="8"/>
      <c r="N424" s="8"/>
      <c r="O424" s="8"/>
      <c r="P424" s="8"/>
      <c r="Q424" s="8"/>
      <c r="R424" s="8"/>
      <c r="S424" s="8"/>
      <c r="T424" s="8"/>
      <c r="U424" s="12"/>
      <c r="V424" s="12"/>
      <c r="W424" s="12"/>
      <c r="X424" s="12"/>
      <c r="Y424" s="29"/>
      <c r="Z424" s="29"/>
      <c r="AA424" s="29"/>
      <c r="AB424" s="12"/>
      <c r="AC424" s="12"/>
      <c r="AD424" s="12"/>
      <c r="AE424" s="12"/>
      <c r="AF424" s="12"/>
    </row>
    <row r="425" spans="1:32">
      <c r="A425" s="8"/>
      <c r="B425" s="8"/>
      <c r="C425" s="8"/>
      <c r="D425" s="8"/>
      <c r="E425" s="8"/>
      <c r="F425" s="8"/>
      <c r="G425" s="8"/>
      <c r="H425" s="8"/>
      <c r="I425" s="8"/>
      <c r="J425" s="8"/>
      <c r="K425" s="8"/>
      <c r="L425" s="8"/>
      <c r="M425" s="8"/>
      <c r="N425" s="8"/>
      <c r="O425" s="8"/>
      <c r="P425" s="8"/>
      <c r="Q425" s="8"/>
      <c r="R425" s="8"/>
      <c r="S425" s="8"/>
      <c r="T425" s="8"/>
      <c r="U425" s="12"/>
      <c r="V425" s="12"/>
      <c r="W425" s="12"/>
      <c r="X425" s="12"/>
      <c r="Y425" s="29"/>
      <c r="Z425" s="29"/>
      <c r="AA425" s="29"/>
      <c r="AB425" s="12"/>
      <c r="AC425" s="12"/>
      <c r="AD425" s="12"/>
      <c r="AE425" s="12"/>
      <c r="AF425" s="12"/>
    </row>
    <row r="426" spans="1:32">
      <c r="A426" s="8"/>
      <c r="B426" s="8"/>
      <c r="C426" s="8"/>
      <c r="D426" s="8"/>
      <c r="E426" s="8"/>
      <c r="F426" s="8"/>
      <c r="G426" s="8"/>
      <c r="H426" s="8"/>
      <c r="I426" s="8"/>
      <c r="J426" s="8"/>
      <c r="K426" s="8"/>
      <c r="L426" s="8"/>
      <c r="M426" s="8"/>
      <c r="N426" s="8"/>
      <c r="O426" s="8"/>
      <c r="P426" s="8"/>
      <c r="Q426" s="8"/>
      <c r="R426" s="8"/>
      <c r="S426" s="8"/>
      <c r="T426" s="8"/>
      <c r="U426" s="12"/>
      <c r="V426" s="12"/>
      <c r="W426" s="12"/>
      <c r="X426" s="12"/>
      <c r="Y426" s="29"/>
      <c r="Z426" s="29"/>
      <c r="AA426" s="29"/>
      <c r="AB426" s="12"/>
      <c r="AC426" s="12"/>
      <c r="AD426" s="12"/>
      <c r="AE426" s="12"/>
      <c r="AF426" s="12"/>
    </row>
    <row r="427" spans="1:32">
      <c r="A427" s="8"/>
      <c r="B427" s="8"/>
      <c r="C427" s="8"/>
      <c r="D427" s="8"/>
      <c r="E427" s="8"/>
      <c r="F427" s="8"/>
      <c r="G427" s="8"/>
      <c r="H427" s="8"/>
      <c r="I427" s="8"/>
      <c r="J427" s="8"/>
      <c r="K427" s="8"/>
      <c r="L427" s="8"/>
      <c r="M427" s="8"/>
      <c r="N427" s="8"/>
      <c r="O427" s="8"/>
      <c r="P427" s="8"/>
      <c r="Q427" s="8"/>
      <c r="R427" s="8"/>
      <c r="S427" s="8"/>
      <c r="T427" s="8"/>
      <c r="U427" s="12"/>
      <c r="V427" s="12"/>
      <c r="W427" s="12"/>
      <c r="X427" s="12"/>
      <c r="Y427" s="29"/>
      <c r="Z427" s="29"/>
      <c r="AA427" s="29"/>
      <c r="AB427" s="12"/>
      <c r="AC427" s="12"/>
      <c r="AD427" s="12"/>
      <c r="AE427" s="12"/>
      <c r="AF427" s="12"/>
    </row>
    <row r="428" spans="1:32">
      <c r="A428" s="8"/>
      <c r="B428" s="8"/>
      <c r="C428" s="8"/>
      <c r="D428" s="8"/>
      <c r="E428" s="8"/>
      <c r="F428" s="8"/>
      <c r="G428" s="8"/>
      <c r="H428" s="8"/>
      <c r="I428" s="8"/>
      <c r="J428" s="8"/>
      <c r="K428" s="8"/>
      <c r="L428" s="8"/>
      <c r="M428" s="8"/>
      <c r="N428" s="8"/>
      <c r="O428" s="8"/>
      <c r="P428" s="8"/>
      <c r="Q428" s="8"/>
      <c r="R428" s="8"/>
      <c r="S428" s="8"/>
      <c r="T428" s="8"/>
      <c r="U428" s="12"/>
      <c r="V428" s="12"/>
      <c r="W428" s="12"/>
      <c r="X428" s="12"/>
      <c r="Y428" s="29"/>
      <c r="Z428" s="29"/>
      <c r="AA428" s="29"/>
      <c r="AB428" s="12"/>
      <c r="AC428" s="12"/>
      <c r="AD428" s="12"/>
      <c r="AE428" s="12"/>
      <c r="AF428" s="12"/>
    </row>
    <row r="429" spans="1:32">
      <c r="A429" s="8"/>
      <c r="B429" s="8"/>
      <c r="C429" s="8"/>
      <c r="D429" s="8"/>
      <c r="E429" s="8"/>
      <c r="F429" s="8"/>
      <c r="G429" s="8"/>
      <c r="H429" s="8"/>
      <c r="I429" s="8"/>
      <c r="J429" s="8"/>
      <c r="K429" s="8"/>
      <c r="L429" s="8"/>
      <c r="M429" s="8"/>
      <c r="N429" s="8"/>
      <c r="O429" s="8"/>
      <c r="P429" s="8"/>
      <c r="Q429" s="8"/>
      <c r="R429" s="8"/>
      <c r="S429" s="8"/>
      <c r="T429" s="8"/>
      <c r="U429" s="12"/>
      <c r="V429" s="12"/>
      <c r="W429" s="12"/>
      <c r="X429" s="12"/>
      <c r="Y429" s="29"/>
      <c r="Z429" s="29"/>
      <c r="AA429" s="29"/>
      <c r="AB429" s="12"/>
      <c r="AC429" s="12"/>
      <c r="AD429" s="12"/>
      <c r="AE429" s="12"/>
      <c r="AF429" s="12"/>
    </row>
    <row r="430" spans="1:32">
      <c r="A430" s="8"/>
      <c r="B430" s="8"/>
      <c r="C430" s="8"/>
      <c r="D430" s="8"/>
      <c r="E430" s="8"/>
      <c r="F430" s="8"/>
      <c r="G430" s="8"/>
      <c r="H430" s="8"/>
      <c r="I430" s="8"/>
      <c r="J430" s="8"/>
      <c r="K430" s="8"/>
      <c r="L430" s="8"/>
      <c r="M430" s="8"/>
      <c r="N430" s="8"/>
      <c r="O430" s="8"/>
      <c r="P430" s="8"/>
      <c r="Q430" s="8"/>
      <c r="R430" s="8"/>
      <c r="S430" s="8"/>
      <c r="T430" s="8"/>
      <c r="U430" s="12"/>
      <c r="V430" s="12"/>
      <c r="W430" s="12"/>
      <c r="X430" s="12"/>
      <c r="Y430" s="29"/>
      <c r="Z430" s="29"/>
      <c r="AA430" s="29"/>
      <c r="AB430" s="12"/>
      <c r="AC430" s="12"/>
      <c r="AD430" s="12"/>
      <c r="AE430" s="12"/>
      <c r="AF430" s="12"/>
    </row>
    <row r="431" spans="1:32">
      <c r="A431" s="8"/>
      <c r="B431" s="8"/>
      <c r="C431" s="8"/>
      <c r="D431" s="8"/>
      <c r="E431" s="8"/>
      <c r="F431" s="8"/>
      <c r="G431" s="8"/>
      <c r="H431" s="8"/>
      <c r="I431" s="8"/>
      <c r="J431" s="8"/>
      <c r="K431" s="8"/>
      <c r="L431" s="8"/>
      <c r="M431" s="8"/>
      <c r="N431" s="8"/>
      <c r="O431" s="8"/>
      <c r="P431" s="8"/>
      <c r="Q431" s="8"/>
      <c r="R431" s="8"/>
      <c r="S431" s="8"/>
      <c r="T431" s="8"/>
      <c r="U431" s="12"/>
      <c r="V431" s="12"/>
      <c r="W431" s="12"/>
      <c r="X431" s="12"/>
      <c r="Y431" s="29"/>
      <c r="Z431" s="29"/>
      <c r="AA431" s="29"/>
      <c r="AB431" s="12"/>
      <c r="AC431" s="12"/>
      <c r="AD431" s="12"/>
      <c r="AE431" s="12"/>
      <c r="AF431" s="12"/>
    </row>
    <row r="432" spans="1:32">
      <c r="A432" s="8"/>
      <c r="B432" s="8"/>
      <c r="C432" s="8"/>
      <c r="D432" s="8"/>
      <c r="E432" s="8"/>
      <c r="F432" s="8"/>
      <c r="G432" s="8"/>
      <c r="H432" s="8"/>
      <c r="I432" s="8"/>
      <c r="J432" s="8"/>
      <c r="K432" s="8"/>
      <c r="L432" s="8"/>
      <c r="M432" s="8"/>
      <c r="N432" s="8"/>
      <c r="O432" s="8"/>
      <c r="P432" s="8"/>
      <c r="Q432" s="8"/>
      <c r="R432" s="8"/>
      <c r="S432" s="8"/>
      <c r="T432" s="8"/>
      <c r="U432" s="12"/>
      <c r="V432" s="12"/>
      <c r="W432" s="12"/>
      <c r="X432" s="12"/>
      <c r="Y432" s="29"/>
      <c r="Z432" s="29"/>
      <c r="AA432" s="29"/>
      <c r="AB432" s="12"/>
      <c r="AC432" s="12"/>
      <c r="AD432" s="12"/>
      <c r="AE432" s="12"/>
      <c r="AF432" s="12"/>
    </row>
    <row r="433" spans="1:32">
      <c r="A433" s="8"/>
      <c r="B433" s="8"/>
      <c r="C433" s="8"/>
      <c r="D433" s="8"/>
      <c r="E433" s="8"/>
      <c r="F433" s="8"/>
      <c r="G433" s="8"/>
      <c r="H433" s="8"/>
      <c r="I433" s="8"/>
      <c r="J433" s="8"/>
      <c r="K433" s="8"/>
      <c r="L433" s="8"/>
      <c r="M433" s="8"/>
      <c r="N433" s="8"/>
      <c r="O433" s="8"/>
      <c r="P433" s="8"/>
      <c r="Q433" s="8"/>
      <c r="R433" s="8"/>
      <c r="S433" s="8"/>
      <c r="T433" s="8"/>
      <c r="U433" s="12"/>
      <c r="V433" s="12"/>
      <c r="W433" s="12"/>
      <c r="X433" s="12"/>
      <c r="Y433" s="29"/>
      <c r="Z433" s="29"/>
      <c r="AA433" s="29"/>
      <c r="AB433" s="12"/>
      <c r="AC433" s="12"/>
      <c r="AD433" s="12"/>
      <c r="AE433" s="12"/>
      <c r="AF433" s="12"/>
    </row>
    <row r="434" spans="1:32">
      <c r="A434" s="8"/>
      <c r="B434" s="8"/>
      <c r="C434" s="8"/>
      <c r="D434" s="8"/>
      <c r="E434" s="8"/>
      <c r="F434" s="8"/>
      <c r="G434" s="8"/>
      <c r="H434" s="8"/>
      <c r="I434" s="8"/>
      <c r="J434" s="8"/>
      <c r="K434" s="8"/>
      <c r="L434" s="8"/>
      <c r="M434" s="8"/>
      <c r="N434" s="8"/>
      <c r="O434" s="8"/>
      <c r="P434" s="8"/>
      <c r="Q434" s="8"/>
      <c r="R434" s="8"/>
      <c r="S434" s="8"/>
      <c r="T434" s="8"/>
      <c r="U434" s="12"/>
      <c r="V434" s="12"/>
      <c r="W434" s="12"/>
      <c r="X434" s="12"/>
      <c r="Y434" s="29"/>
      <c r="Z434" s="29"/>
      <c r="AA434" s="29"/>
      <c r="AB434" s="12"/>
      <c r="AC434" s="12"/>
      <c r="AD434" s="12"/>
      <c r="AE434" s="12"/>
      <c r="AF434" s="12"/>
    </row>
    <row r="435" spans="1:32">
      <c r="A435" s="8"/>
      <c r="B435" s="8"/>
      <c r="C435" s="8"/>
      <c r="D435" s="8"/>
      <c r="E435" s="8"/>
      <c r="F435" s="8"/>
      <c r="G435" s="8"/>
      <c r="H435" s="8"/>
      <c r="I435" s="8"/>
      <c r="J435" s="8"/>
      <c r="K435" s="8"/>
      <c r="L435" s="8"/>
      <c r="M435" s="8"/>
      <c r="N435" s="8"/>
      <c r="O435" s="8"/>
      <c r="P435" s="8"/>
      <c r="Q435" s="8"/>
      <c r="R435" s="8"/>
      <c r="S435" s="8"/>
      <c r="T435" s="8"/>
      <c r="U435" s="12"/>
      <c r="V435" s="12"/>
      <c r="W435" s="12"/>
      <c r="X435" s="12"/>
      <c r="Y435" s="29"/>
      <c r="Z435" s="29"/>
      <c r="AA435" s="29"/>
      <c r="AB435" s="12"/>
      <c r="AC435" s="12"/>
      <c r="AD435" s="12"/>
      <c r="AE435" s="12"/>
      <c r="AF435" s="12"/>
    </row>
    <row r="436" spans="1:32">
      <c r="A436" s="8"/>
      <c r="B436" s="8"/>
      <c r="C436" s="8"/>
      <c r="D436" s="8"/>
      <c r="E436" s="8"/>
      <c r="F436" s="8"/>
      <c r="G436" s="8"/>
      <c r="H436" s="8"/>
      <c r="I436" s="8"/>
      <c r="J436" s="8"/>
      <c r="K436" s="8"/>
      <c r="L436" s="8"/>
      <c r="M436" s="8"/>
      <c r="N436" s="8"/>
      <c r="O436" s="8"/>
      <c r="P436" s="8"/>
      <c r="Q436" s="8"/>
      <c r="R436" s="8"/>
      <c r="S436" s="8"/>
      <c r="T436" s="8"/>
      <c r="U436" s="12"/>
      <c r="V436" s="12"/>
      <c r="W436" s="12"/>
      <c r="X436" s="12"/>
      <c r="Y436" s="29"/>
      <c r="Z436" s="29"/>
      <c r="AA436" s="29"/>
      <c r="AB436" s="12"/>
      <c r="AC436" s="12"/>
      <c r="AD436" s="12"/>
      <c r="AE436" s="12"/>
      <c r="AF436" s="12"/>
    </row>
    <row r="437" spans="1:32">
      <c r="A437" s="8"/>
      <c r="B437" s="8"/>
      <c r="C437" s="8"/>
      <c r="D437" s="8"/>
      <c r="E437" s="8"/>
      <c r="F437" s="8"/>
      <c r="G437" s="8"/>
      <c r="H437" s="8"/>
      <c r="I437" s="8"/>
      <c r="J437" s="8"/>
      <c r="K437" s="8"/>
      <c r="L437" s="8"/>
      <c r="M437" s="8"/>
      <c r="N437" s="8"/>
      <c r="O437" s="8"/>
      <c r="P437" s="8"/>
      <c r="Q437" s="8"/>
      <c r="R437" s="8"/>
      <c r="S437" s="8"/>
      <c r="T437" s="8"/>
      <c r="U437" s="12"/>
      <c r="V437" s="12"/>
      <c r="W437" s="12"/>
      <c r="X437" s="12"/>
      <c r="Y437" s="29"/>
      <c r="Z437" s="29"/>
      <c r="AA437" s="29"/>
      <c r="AB437" s="12"/>
      <c r="AC437" s="12"/>
      <c r="AD437" s="12"/>
      <c r="AE437" s="12"/>
      <c r="AF437" s="12"/>
    </row>
    <row r="438" spans="1:32">
      <c r="A438" s="8"/>
      <c r="B438" s="8"/>
      <c r="C438" s="8"/>
      <c r="D438" s="8"/>
      <c r="E438" s="8"/>
      <c r="F438" s="8"/>
      <c r="G438" s="8"/>
      <c r="H438" s="8"/>
      <c r="I438" s="8"/>
      <c r="J438" s="8"/>
      <c r="K438" s="8"/>
      <c r="L438" s="8"/>
      <c r="M438" s="8"/>
      <c r="N438" s="8"/>
      <c r="O438" s="8"/>
      <c r="P438" s="8"/>
      <c r="Q438" s="8"/>
      <c r="R438" s="8"/>
      <c r="S438" s="8"/>
      <c r="T438" s="8"/>
      <c r="U438" s="12"/>
      <c r="V438" s="12"/>
      <c r="W438" s="12"/>
      <c r="X438" s="12"/>
      <c r="Y438" s="29"/>
      <c r="Z438" s="29"/>
      <c r="AA438" s="29"/>
      <c r="AB438" s="12"/>
      <c r="AC438" s="12"/>
      <c r="AD438" s="12"/>
      <c r="AE438" s="12"/>
      <c r="AF438" s="12"/>
    </row>
    <row r="439" spans="1:32">
      <c r="A439" s="8"/>
      <c r="B439" s="8"/>
      <c r="C439" s="8"/>
      <c r="D439" s="8"/>
      <c r="E439" s="8"/>
      <c r="F439" s="8"/>
      <c r="G439" s="8"/>
      <c r="H439" s="8"/>
      <c r="I439" s="8"/>
      <c r="J439" s="8"/>
      <c r="K439" s="8"/>
      <c r="L439" s="8"/>
      <c r="M439" s="8"/>
      <c r="N439" s="8"/>
      <c r="O439" s="8"/>
      <c r="P439" s="8"/>
      <c r="Q439" s="8"/>
      <c r="R439" s="8"/>
      <c r="S439" s="8"/>
      <c r="T439" s="8"/>
      <c r="U439" s="12"/>
      <c r="V439" s="12"/>
      <c r="W439" s="12"/>
      <c r="X439" s="12"/>
      <c r="Y439" s="29"/>
      <c r="Z439" s="29"/>
      <c r="AA439" s="29"/>
      <c r="AB439" s="12"/>
      <c r="AC439" s="12"/>
      <c r="AD439" s="12"/>
      <c r="AE439" s="12"/>
      <c r="AF439" s="12"/>
    </row>
    <row r="440" spans="1:32">
      <c r="A440" s="8"/>
      <c r="B440" s="8"/>
      <c r="C440" s="8"/>
      <c r="D440" s="8"/>
      <c r="E440" s="8"/>
      <c r="F440" s="8"/>
      <c r="G440" s="8"/>
      <c r="H440" s="8"/>
      <c r="I440" s="8"/>
      <c r="J440" s="8"/>
      <c r="K440" s="8"/>
      <c r="L440" s="8"/>
      <c r="M440" s="8"/>
      <c r="N440" s="8"/>
      <c r="O440" s="8"/>
      <c r="P440" s="8"/>
      <c r="Q440" s="8"/>
      <c r="R440" s="8"/>
      <c r="S440" s="8"/>
      <c r="T440" s="8"/>
      <c r="U440" s="12"/>
      <c r="V440" s="12"/>
      <c r="W440" s="12"/>
      <c r="X440" s="12"/>
      <c r="Y440" s="29"/>
      <c r="Z440" s="29"/>
      <c r="AA440" s="29"/>
      <c r="AB440" s="12"/>
      <c r="AC440" s="12"/>
      <c r="AD440" s="12"/>
      <c r="AE440" s="12"/>
      <c r="AF440" s="12"/>
    </row>
    <row r="441" spans="1:32">
      <c r="A441" s="8"/>
      <c r="B441" s="8"/>
      <c r="C441" s="8"/>
      <c r="D441" s="8"/>
      <c r="E441" s="8"/>
      <c r="F441" s="8"/>
      <c r="G441" s="8"/>
      <c r="H441" s="8"/>
      <c r="I441" s="8"/>
      <c r="J441" s="8"/>
      <c r="K441" s="8"/>
      <c r="L441" s="8"/>
      <c r="M441" s="8"/>
      <c r="N441" s="8"/>
      <c r="O441" s="8"/>
      <c r="P441" s="8"/>
      <c r="Q441" s="8"/>
      <c r="R441" s="8"/>
      <c r="S441" s="8"/>
      <c r="T441" s="8"/>
      <c r="U441" s="12"/>
      <c r="V441" s="12"/>
      <c r="W441" s="12"/>
      <c r="X441" s="12"/>
      <c r="Y441" s="29"/>
      <c r="Z441" s="29"/>
      <c r="AA441" s="29"/>
      <c r="AB441" s="12"/>
      <c r="AC441" s="12"/>
      <c r="AD441" s="12"/>
      <c r="AE441" s="12"/>
      <c r="AF441" s="12"/>
    </row>
    <row r="442" spans="1:32">
      <c r="A442" s="8"/>
      <c r="B442" s="8"/>
      <c r="C442" s="8"/>
      <c r="D442" s="8"/>
      <c r="E442" s="8"/>
      <c r="F442" s="8"/>
      <c r="G442" s="8"/>
      <c r="H442" s="8"/>
      <c r="I442" s="8"/>
      <c r="J442" s="8"/>
      <c r="K442" s="8"/>
      <c r="L442" s="8"/>
      <c r="M442" s="8"/>
      <c r="N442" s="8"/>
      <c r="O442" s="8"/>
      <c r="P442" s="8"/>
      <c r="Q442" s="8"/>
      <c r="R442" s="8"/>
      <c r="S442" s="8"/>
      <c r="T442" s="8"/>
      <c r="U442" s="12"/>
      <c r="V442" s="12"/>
      <c r="W442" s="12"/>
      <c r="X442" s="12"/>
      <c r="Y442" s="29"/>
      <c r="Z442" s="29"/>
      <c r="AA442" s="29"/>
      <c r="AB442" s="12"/>
      <c r="AC442" s="12"/>
      <c r="AD442" s="12"/>
      <c r="AE442" s="12"/>
      <c r="AF442" s="12"/>
    </row>
    <row r="443" spans="1:32">
      <c r="A443" s="8"/>
      <c r="B443" s="8"/>
      <c r="C443" s="8"/>
      <c r="D443" s="8"/>
      <c r="E443" s="8"/>
      <c r="F443" s="8"/>
      <c r="G443" s="8"/>
      <c r="H443" s="8"/>
      <c r="I443" s="8"/>
      <c r="J443" s="8"/>
      <c r="K443" s="8"/>
      <c r="L443" s="8"/>
      <c r="M443" s="8"/>
      <c r="N443" s="8"/>
      <c r="O443" s="8"/>
      <c r="P443" s="8"/>
      <c r="Q443" s="8"/>
      <c r="R443" s="8"/>
      <c r="S443" s="8"/>
      <c r="T443" s="8"/>
      <c r="U443" s="12"/>
      <c r="V443" s="12"/>
      <c r="W443" s="12"/>
      <c r="X443" s="12"/>
      <c r="Y443" s="29"/>
      <c r="Z443" s="29"/>
      <c r="AA443" s="29"/>
      <c r="AB443" s="12"/>
      <c r="AC443" s="12"/>
      <c r="AD443" s="12"/>
      <c r="AE443" s="12"/>
      <c r="AF443" s="12"/>
    </row>
    <row r="444" spans="1:32">
      <c r="A444" s="8"/>
      <c r="B444" s="8"/>
      <c r="C444" s="8"/>
      <c r="D444" s="8"/>
      <c r="E444" s="8"/>
      <c r="F444" s="8"/>
      <c r="G444" s="8"/>
      <c r="H444" s="8"/>
      <c r="I444" s="8"/>
      <c r="J444" s="8"/>
      <c r="K444" s="8"/>
      <c r="L444" s="8"/>
      <c r="M444" s="8"/>
      <c r="N444" s="8"/>
      <c r="O444" s="8"/>
      <c r="P444" s="8"/>
      <c r="Q444" s="8"/>
      <c r="R444" s="8"/>
      <c r="S444" s="8"/>
      <c r="T444" s="8"/>
      <c r="U444" s="12"/>
      <c r="V444" s="12"/>
      <c r="W444" s="12"/>
      <c r="X444" s="12"/>
      <c r="Y444" s="29"/>
      <c r="Z444" s="29"/>
      <c r="AA444" s="29"/>
      <c r="AB444" s="12"/>
      <c r="AC444" s="12"/>
      <c r="AD444" s="12"/>
      <c r="AE444" s="12"/>
      <c r="AF444" s="12"/>
    </row>
    <row r="445" spans="1:32">
      <c r="A445" s="8"/>
      <c r="B445" s="8"/>
      <c r="C445" s="8"/>
      <c r="D445" s="8"/>
      <c r="E445" s="8"/>
      <c r="F445" s="8"/>
      <c r="G445" s="8"/>
      <c r="H445" s="8"/>
      <c r="I445" s="8"/>
      <c r="J445" s="8"/>
      <c r="K445" s="8"/>
      <c r="L445" s="8"/>
      <c r="M445" s="8"/>
      <c r="N445" s="8"/>
      <c r="O445" s="8"/>
      <c r="P445" s="8"/>
      <c r="Q445" s="8"/>
      <c r="R445" s="8"/>
      <c r="S445" s="8"/>
      <c r="T445" s="8"/>
      <c r="U445" s="12"/>
      <c r="V445" s="12"/>
      <c r="W445" s="12"/>
      <c r="X445" s="12"/>
      <c r="Y445" s="29"/>
      <c r="Z445" s="29"/>
      <c r="AA445" s="29"/>
      <c r="AB445" s="12"/>
      <c r="AC445" s="12"/>
      <c r="AD445" s="12"/>
      <c r="AE445" s="12"/>
      <c r="AF445" s="12"/>
    </row>
    <row r="446" spans="1:32">
      <c r="A446" s="8"/>
      <c r="B446" s="8"/>
      <c r="C446" s="8"/>
      <c r="D446" s="8"/>
      <c r="E446" s="8"/>
      <c r="F446" s="8"/>
      <c r="G446" s="8"/>
      <c r="H446" s="8"/>
      <c r="I446" s="8"/>
      <c r="J446" s="8"/>
      <c r="K446" s="8"/>
      <c r="L446" s="8"/>
      <c r="M446" s="8"/>
      <c r="N446" s="8"/>
      <c r="O446" s="8"/>
      <c r="P446" s="8"/>
      <c r="Q446" s="8"/>
      <c r="R446" s="8"/>
      <c r="S446" s="8"/>
      <c r="T446" s="8"/>
      <c r="U446" s="12"/>
      <c r="V446" s="12"/>
      <c r="W446" s="12"/>
      <c r="X446" s="12"/>
      <c r="Y446" s="29"/>
      <c r="Z446" s="29"/>
      <c r="AA446" s="29"/>
      <c r="AB446" s="12"/>
      <c r="AC446" s="12"/>
      <c r="AD446" s="12"/>
      <c r="AE446" s="12"/>
      <c r="AF446" s="12"/>
    </row>
    <row r="447" spans="1:32">
      <c r="A447" s="8"/>
      <c r="B447" s="8"/>
      <c r="C447" s="8"/>
      <c r="D447" s="8"/>
      <c r="E447" s="8"/>
      <c r="F447" s="8"/>
      <c r="G447" s="8"/>
      <c r="H447" s="8"/>
      <c r="I447" s="8"/>
      <c r="J447" s="8"/>
      <c r="K447" s="8"/>
      <c r="L447" s="8"/>
      <c r="M447" s="8"/>
      <c r="N447" s="8"/>
      <c r="O447" s="8"/>
      <c r="P447" s="8"/>
      <c r="Q447" s="8"/>
      <c r="R447" s="8"/>
      <c r="S447" s="8"/>
      <c r="T447" s="8"/>
      <c r="U447" s="12"/>
      <c r="V447" s="12"/>
      <c r="W447" s="12"/>
      <c r="X447" s="12"/>
      <c r="Y447" s="29"/>
      <c r="Z447" s="29"/>
      <c r="AA447" s="29"/>
      <c r="AB447" s="12"/>
      <c r="AC447" s="12"/>
      <c r="AD447" s="12"/>
      <c r="AE447" s="12"/>
      <c r="AF447" s="12"/>
    </row>
    <row r="448" spans="1:32">
      <c r="A448" s="8"/>
      <c r="B448" s="8"/>
      <c r="C448" s="8"/>
      <c r="D448" s="8"/>
      <c r="E448" s="8"/>
      <c r="F448" s="8"/>
      <c r="G448" s="8"/>
      <c r="H448" s="8"/>
      <c r="I448" s="8"/>
      <c r="J448" s="8"/>
      <c r="K448" s="8"/>
      <c r="L448" s="8"/>
      <c r="M448" s="8"/>
      <c r="N448" s="8"/>
      <c r="O448" s="8"/>
      <c r="P448" s="8"/>
      <c r="Q448" s="8"/>
      <c r="R448" s="8"/>
      <c r="S448" s="8"/>
      <c r="T448" s="8"/>
      <c r="U448" s="12"/>
      <c r="V448" s="12"/>
      <c r="W448" s="12"/>
      <c r="X448" s="12"/>
      <c r="Y448" s="29"/>
      <c r="Z448" s="29"/>
      <c r="AA448" s="29"/>
      <c r="AB448" s="12"/>
      <c r="AC448" s="12"/>
      <c r="AD448" s="12"/>
      <c r="AE448" s="12"/>
      <c r="AF448" s="12"/>
    </row>
    <row r="449" spans="1:32">
      <c r="A449" s="8"/>
      <c r="B449" s="8"/>
      <c r="C449" s="8"/>
      <c r="D449" s="8"/>
      <c r="E449" s="8"/>
      <c r="F449" s="8"/>
      <c r="G449" s="8"/>
      <c r="H449" s="8"/>
      <c r="I449" s="8"/>
      <c r="J449" s="8"/>
      <c r="K449" s="8"/>
      <c r="L449" s="8"/>
      <c r="M449" s="8"/>
      <c r="N449" s="8"/>
      <c r="O449" s="8"/>
      <c r="P449" s="8"/>
      <c r="Q449" s="8"/>
      <c r="R449" s="8"/>
      <c r="S449" s="8"/>
      <c r="T449" s="8"/>
      <c r="U449" s="12"/>
      <c r="V449" s="12"/>
      <c r="W449" s="12"/>
      <c r="X449" s="12"/>
      <c r="Y449" s="29"/>
      <c r="Z449" s="29"/>
      <c r="AA449" s="29"/>
      <c r="AB449" s="12"/>
      <c r="AC449" s="12"/>
      <c r="AD449" s="12"/>
      <c r="AE449" s="12"/>
      <c r="AF449" s="12"/>
    </row>
    <row r="450" spans="1:32">
      <c r="A450" s="8"/>
      <c r="B450" s="8"/>
      <c r="C450" s="8"/>
      <c r="D450" s="8"/>
      <c r="E450" s="8"/>
      <c r="F450" s="8"/>
      <c r="G450" s="8"/>
      <c r="H450" s="8"/>
      <c r="I450" s="8"/>
      <c r="J450" s="8"/>
      <c r="K450" s="8"/>
      <c r="L450" s="8"/>
      <c r="M450" s="8"/>
      <c r="N450" s="8"/>
      <c r="O450" s="8"/>
      <c r="P450" s="8"/>
      <c r="Q450" s="8"/>
      <c r="R450" s="8"/>
      <c r="S450" s="8"/>
      <c r="T450" s="8"/>
      <c r="U450" s="12"/>
      <c r="V450" s="12"/>
      <c r="W450" s="12"/>
      <c r="X450" s="12"/>
      <c r="Y450" s="29"/>
      <c r="Z450" s="29"/>
      <c r="AA450" s="29"/>
      <c r="AB450" s="12"/>
      <c r="AC450" s="12"/>
      <c r="AD450" s="12"/>
      <c r="AE450" s="12"/>
      <c r="AF450" s="12"/>
    </row>
    <row r="451" spans="1:32">
      <c r="A451" s="8"/>
      <c r="B451" s="8"/>
      <c r="C451" s="8"/>
      <c r="D451" s="8"/>
      <c r="E451" s="8"/>
      <c r="F451" s="8"/>
      <c r="G451" s="8"/>
      <c r="H451" s="8"/>
      <c r="I451" s="8"/>
      <c r="J451" s="8"/>
      <c r="K451" s="8"/>
      <c r="L451" s="8"/>
      <c r="M451" s="8"/>
      <c r="N451" s="8"/>
      <c r="O451" s="8"/>
      <c r="P451" s="8"/>
      <c r="Q451" s="8"/>
      <c r="R451" s="8"/>
      <c r="S451" s="8"/>
      <c r="T451" s="8"/>
      <c r="U451" s="12"/>
      <c r="V451" s="12"/>
      <c r="W451" s="12"/>
      <c r="X451" s="12"/>
      <c r="Y451" s="29"/>
      <c r="Z451" s="29"/>
      <c r="AA451" s="29"/>
      <c r="AB451" s="12"/>
      <c r="AC451" s="12"/>
      <c r="AD451" s="12"/>
      <c r="AE451" s="12"/>
      <c r="AF451" s="12"/>
    </row>
    <row r="452" spans="1:32">
      <c r="A452" s="8"/>
      <c r="B452" s="8"/>
      <c r="C452" s="8"/>
      <c r="D452" s="8"/>
      <c r="E452" s="8"/>
      <c r="F452" s="8"/>
      <c r="G452" s="8"/>
      <c r="H452" s="8"/>
      <c r="I452" s="8"/>
      <c r="J452" s="8"/>
      <c r="K452" s="8"/>
      <c r="L452" s="8"/>
      <c r="M452" s="8"/>
      <c r="N452" s="8"/>
      <c r="O452" s="8"/>
      <c r="P452" s="8"/>
      <c r="Q452" s="8"/>
      <c r="R452" s="8"/>
      <c r="S452" s="8"/>
      <c r="T452" s="8"/>
      <c r="U452" s="12"/>
      <c r="V452" s="12"/>
      <c r="W452" s="12"/>
      <c r="X452" s="12"/>
      <c r="Y452" s="29"/>
      <c r="Z452" s="29"/>
      <c r="AA452" s="29"/>
      <c r="AB452" s="12"/>
      <c r="AC452" s="12"/>
      <c r="AD452" s="12"/>
      <c r="AE452" s="12"/>
      <c r="AF452" s="12"/>
    </row>
    <row r="453" spans="1:32">
      <c r="A453" s="8"/>
      <c r="B453" s="8"/>
      <c r="C453" s="8"/>
      <c r="D453" s="8"/>
      <c r="E453" s="8"/>
      <c r="F453" s="8"/>
      <c r="G453" s="8"/>
      <c r="H453" s="8"/>
      <c r="I453" s="8"/>
      <c r="J453" s="8"/>
      <c r="K453" s="8"/>
      <c r="L453" s="8"/>
      <c r="M453" s="8"/>
      <c r="N453" s="8"/>
      <c r="O453" s="8"/>
      <c r="P453" s="8"/>
      <c r="Q453" s="8"/>
      <c r="R453" s="8"/>
      <c r="S453" s="8"/>
      <c r="T453" s="8"/>
      <c r="U453" s="12"/>
      <c r="V453" s="12"/>
      <c r="W453" s="12"/>
      <c r="X453" s="12"/>
      <c r="Y453" s="29"/>
      <c r="Z453" s="29"/>
      <c r="AA453" s="29"/>
      <c r="AB453" s="12"/>
      <c r="AC453" s="12"/>
      <c r="AD453" s="12"/>
      <c r="AE453" s="12"/>
      <c r="AF453" s="12"/>
    </row>
    <row r="454" spans="1:32">
      <c r="A454" s="8"/>
      <c r="B454" s="8"/>
      <c r="C454" s="8"/>
      <c r="D454" s="8"/>
      <c r="E454" s="8"/>
      <c r="F454" s="8"/>
      <c r="G454" s="8"/>
      <c r="H454" s="8"/>
      <c r="I454" s="8"/>
      <c r="J454" s="8"/>
      <c r="K454" s="8"/>
      <c r="L454" s="8"/>
      <c r="M454" s="8"/>
      <c r="N454" s="8"/>
      <c r="O454" s="8"/>
      <c r="P454" s="8"/>
      <c r="Q454" s="8"/>
      <c r="R454" s="8"/>
      <c r="S454" s="8"/>
      <c r="T454" s="8"/>
      <c r="U454" s="12"/>
      <c r="V454" s="12"/>
      <c r="W454" s="12"/>
      <c r="X454" s="12"/>
      <c r="Y454" s="29"/>
      <c r="Z454" s="29"/>
      <c r="AA454" s="29"/>
      <c r="AB454" s="12"/>
      <c r="AC454" s="12"/>
      <c r="AD454" s="12"/>
      <c r="AE454" s="12"/>
      <c r="AF454" s="12"/>
    </row>
    <row r="455" spans="1:32">
      <c r="A455" s="8"/>
      <c r="B455" s="8"/>
      <c r="C455" s="8"/>
      <c r="D455" s="8"/>
      <c r="E455" s="8"/>
      <c r="F455" s="8"/>
      <c r="G455" s="8"/>
      <c r="H455" s="8"/>
      <c r="I455" s="8"/>
      <c r="J455" s="8"/>
      <c r="K455" s="8"/>
      <c r="L455" s="8"/>
      <c r="M455" s="8"/>
      <c r="N455" s="8"/>
      <c r="O455" s="8"/>
      <c r="P455" s="8"/>
      <c r="Q455" s="8"/>
      <c r="R455" s="8"/>
      <c r="S455" s="8"/>
      <c r="T455" s="8"/>
      <c r="U455" s="12"/>
      <c r="V455" s="12"/>
      <c r="W455" s="12"/>
      <c r="X455" s="12"/>
      <c r="Y455" s="29"/>
      <c r="Z455" s="29"/>
      <c r="AA455" s="29"/>
      <c r="AB455" s="12"/>
      <c r="AC455" s="12"/>
      <c r="AD455" s="12"/>
      <c r="AE455" s="12"/>
      <c r="AF455" s="12"/>
    </row>
    <row r="456" spans="1:32">
      <c r="A456" s="8"/>
      <c r="B456" s="8"/>
      <c r="C456" s="8"/>
      <c r="D456" s="8"/>
      <c r="E456" s="8"/>
      <c r="F456" s="8"/>
      <c r="G456" s="8"/>
      <c r="H456" s="8"/>
      <c r="I456" s="8"/>
      <c r="J456" s="8"/>
      <c r="K456" s="8"/>
      <c r="L456" s="8"/>
      <c r="M456" s="8"/>
      <c r="N456" s="8"/>
      <c r="O456" s="8"/>
      <c r="P456" s="8"/>
      <c r="Q456" s="8"/>
      <c r="R456" s="8"/>
      <c r="S456" s="8"/>
      <c r="T456" s="8"/>
      <c r="U456" s="12"/>
      <c r="V456" s="12"/>
      <c r="W456" s="12"/>
      <c r="X456" s="12"/>
      <c r="Y456" s="29"/>
      <c r="Z456" s="29"/>
      <c r="AA456" s="29"/>
      <c r="AB456" s="12"/>
      <c r="AC456" s="12"/>
      <c r="AD456" s="12"/>
      <c r="AE456" s="12"/>
      <c r="AF456" s="12"/>
    </row>
    <row r="457" spans="1:32">
      <c r="A457" s="8"/>
      <c r="B457" s="8"/>
      <c r="C457" s="8"/>
      <c r="D457" s="8"/>
      <c r="E457" s="8"/>
      <c r="F457" s="8"/>
      <c r="G457" s="8"/>
      <c r="H457" s="8"/>
      <c r="I457" s="8"/>
      <c r="J457" s="8"/>
      <c r="K457" s="8"/>
      <c r="L457" s="8"/>
      <c r="M457" s="8"/>
      <c r="N457" s="8"/>
      <c r="O457" s="8"/>
      <c r="P457" s="8"/>
      <c r="Q457" s="8"/>
      <c r="R457" s="8"/>
      <c r="S457" s="8"/>
      <c r="T457" s="8"/>
      <c r="U457" s="12"/>
      <c r="V457" s="12"/>
      <c r="W457" s="12"/>
      <c r="X457" s="12"/>
      <c r="Y457" s="29"/>
      <c r="Z457" s="29"/>
      <c r="AA457" s="29"/>
      <c r="AB457" s="12"/>
      <c r="AC457" s="12"/>
      <c r="AD457" s="12"/>
      <c r="AE457" s="12"/>
      <c r="AF457" s="12"/>
    </row>
    <row r="458" spans="1:32">
      <c r="A458" s="8"/>
      <c r="B458" s="8"/>
      <c r="C458" s="8"/>
      <c r="D458" s="8"/>
      <c r="E458" s="8"/>
      <c r="F458" s="8"/>
      <c r="G458" s="8"/>
      <c r="H458" s="8"/>
      <c r="I458" s="8"/>
      <c r="J458" s="8"/>
      <c r="K458" s="8"/>
      <c r="L458" s="8"/>
      <c r="M458" s="8"/>
      <c r="N458" s="8"/>
      <c r="O458" s="8"/>
      <c r="P458" s="8"/>
      <c r="Q458" s="8"/>
      <c r="R458" s="8"/>
      <c r="S458" s="8"/>
      <c r="T458" s="8"/>
      <c r="U458" s="12"/>
      <c r="V458" s="12"/>
      <c r="W458" s="12"/>
      <c r="X458" s="12"/>
      <c r="Y458" s="29"/>
      <c r="Z458" s="29"/>
      <c r="AA458" s="29"/>
      <c r="AB458" s="12"/>
      <c r="AC458" s="12"/>
      <c r="AD458" s="12"/>
      <c r="AE458" s="12"/>
      <c r="AF458" s="12"/>
    </row>
    <row r="459" spans="1:32">
      <c r="A459" s="8"/>
      <c r="B459" s="8"/>
      <c r="C459" s="8"/>
      <c r="D459" s="8"/>
      <c r="E459" s="8"/>
      <c r="F459" s="8"/>
      <c r="G459" s="8"/>
      <c r="H459" s="8"/>
      <c r="I459" s="8"/>
      <c r="J459" s="8"/>
      <c r="K459" s="8"/>
      <c r="L459" s="8"/>
      <c r="M459" s="8"/>
      <c r="N459" s="8"/>
      <c r="O459" s="8"/>
      <c r="P459" s="8"/>
      <c r="Q459" s="8"/>
      <c r="R459" s="8"/>
      <c r="S459" s="8"/>
      <c r="T459" s="8"/>
      <c r="U459" s="12"/>
      <c r="V459" s="12"/>
      <c r="W459" s="12"/>
      <c r="X459" s="12"/>
      <c r="Y459" s="29"/>
      <c r="Z459" s="29"/>
      <c r="AA459" s="29"/>
      <c r="AB459" s="12"/>
      <c r="AC459" s="12"/>
      <c r="AD459" s="12"/>
      <c r="AE459" s="12"/>
      <c r="AF459" s="12"/>
    </row>
    <row r="460" spans="1:32">
      <c r="A460" s="8"/>
      <c r="B460" s="8"/>
      <c r="C460" s="8"/>
      <c r="D460" s="8"/>
      <c r="E460" s="8"/>
      <c r="F460" s="8"/>
      <c r="G460" s="8"/>
      <c r="H460" s="8"/>
      <c r="I460" s="8"/>
      <c r="J460" s="8"/>
      <c r="K460" s="8"/>
      <c r="L460" s="8"/>
      <c r="M460" s="8"/>
      <c r="N460" s="8"/>
      <c r="O460" s="8"/>
      <c r="P460" s="8"/>
      <c r="Q460" s="8"/>
      <c r="R460" s="8"/>
      <c r="S460" s="8"/>
      <c r="T460" s="8"/>
      <c r="U460" s="12"/>
      <c r="V460" s="12"/>
      <c r="W460" s="12"/>
      <c r="X460" s="12"/>
      <c r="Y460" s="29"/>
      <c r="Z460" s="29"/>
      <c r="AA460" s="29"/>
      <c r="AB460" s="12"/>
      <c r="AC460" s="12"/>
      <c r="AD460" s="12"/>
      <c r="AE460" s="12"/>
      <c r="AF460" s="12"/>
    </row>
    <row r="461" spans="1:32">
      <c r="A461" s="8"/>
      <c r="B461" s="8"/>
      <c r="C461" s="8"/>
      <c r="D461" s="8"/>
      <c r="E461" s="8"/>
      <c r="F461" s="8"/>
      <c r="G461" s="8"/>
      <c r="H461" s="8"/>
      <c r="I461" s="8"/>
      <c r="J461" s="8"/>
      <c r="K461" s="8"/>
      <c r="L461" s="8"/>
      <c r="M461" s="8"/>
      <c r="N461" s="8"/>
      <c r="O461" s="8"/>
      <c r="P461" s="8"/>
      <c r="Q461" s="8"/>
      <c r="R461" s="8"/>
      <c r="S461" s="8"/>
      <c r="T461" s="8"/>
      <c r="U461" s="12"/>
      <c r="V461" s="12"/>
      <c r="W461" s="12"/>
      <c r="X461" s="12"/>
      <c r="Y461" s="29"/>
      <c r="Z461" s="29"/>
      <c r="AA461" s="29"/>
      <c r="AB461" s="12"/>
      <c r="AC461" s="12"/>
      <c r="AD461" s="12"/>
      <c r="AE461" s="12"/>
      <c r="AF461" s="12"/>
    </row>
    <row r="462" spans="1:32">
      <c r="A462" s="8"/>
      <c r="B462" s="8"/>
      <c r="C462" s="8"/>
      <c r="D462" s="8"/>
      <c r="E462" s="8"/>
      <c r="F462" s="8"/>
      <c r="G462" s="8"/>
      <c r="H462" s="8"/>
      <c r="I462" s="8"/>
      <c r="J462" s="8"/>
      <c r="K462" s="8"/>
      <c r="L462" s="8"/>
      <c r="M462" s="8"/>
      <c r="N462" s="8"/>
      <c r="O462" s="8"/>
      <c r="P462" s="8"/>
      <c r="Q462" s="8"/>
      <c r="R462" s="8"/>
      <c r="S462" s="8"/>
      <c r="T462" s="8"/>
      <c r="U462" s="12"/>
      <c r="V462" s="12"/>
      <c r="W462" s="12"/>
      <c r="X462" s="12"/>
      <c r="Y462" s="29"/>
      <c r="Z462" s="29"/>
      <c r="AA462" s="29"/>
      <c r="AB462" s="12"/>
      <c r="AC462" s="12"/>
      <c r="AD462" s="12"/>
      <c r="AE462" s="12"/>
      <c r="AF462" s="12"/>
    </row>
    <row r="463" spans="1:32">
      <c r="A463" s="8"/>
      <c r="B463" s="8"/>
      <c r="C463" s="8"/>
      <c r="D463" s="8"/>
      <c r="E463" s="8"/>
      <c r="F463" s="8"/>
      <c r="G463" s="8"/>
      <c r="H463" s="8"/>
      <c r="I463" s="8"/>
      <c r="J463" s="8"/>
      <c r="K463" s="8"/>
      <c r="L463" s="8"/>
      <c r="M463" s="8"/>
      <c r="N463" s="8"/>
      <c r="O463" s="8"/>
      <c r="P463" s="8"/>
      <c r="Q463" s="8"/>
      <c r="R463" s="8"/>
      <c r="S463" s="8"/>
      <c r="T463" s="8"/>
      <c r="U463" s="12"/>
      <c r="V463" s="12"/>
      <c r="W463" s="12"/>
      <c r="X463" s="12"/>
      <c r="Y463" s="29"/>
      <c r="Z463" s="29"/>
      <c r="AA463" s="29"/>
      <c r="AB463" s="12"/>
      <c r="AC463" s="12"/>
      <c r="AD463" s="12"/>
      <c r="AE463" s="12"/>
      <c r="AF463" s="12"/>
    </row>
    <row r="464" spans="1:32">
      <c r="A464" s="8"/>
      <c r="B464" s="8"/>
      <c r="C464" s="8"/>
      <c r="D464" s="8"/>
      <c r="E464" s="8"/>
      <c r="F464" s="8"/>
      <c r="G464" s="8"/>
      <c r="H464" s="8"/>
      <c r="I464" s="8"/>
      <c r="J464" s="8"/>
      <c r="K464" s="8"/>
      <c r="L464" s="8"/>
      <c r="M464" s="8"/>
      <c r="N464" s="8"/>
      <c r="O464" s="8"/>
      <c r="P464" s="8"/>
      <c r="Q464" s="8"/>
      <c r="R464" s="8"/>
      <c r="S464" s="8"/>
      <c r="T464" s="8"/>
      <c r="U464" s="12"/>
      <c r="V464" s="12"/>
      <c r="W464" s="12"/>
      <c r="X464" s="12"/>
      <c r="Y464" s="29"/>
      <c r="Z464" s="29"/>
      <c r="AA464" s="29"/>
      <c r="AB464" s="12"/>
      <c r="AC464" s="12"/>
      <c r="AD464" s="12"/>
      <c r="AE464" s="12"/>
      <c r="AF464" s="12"/>
    </row>
    <row r="465" spans="1:32">
      <c r="A465" s="8"/>
      <c r="B465" s="8"/>
      <c r="C465" s="8"/>
      <c r="D465" s="8"/>
      <c r="E465" s="8"/>
      <c r="F465" s="8"/>
      <c r="G465" s="8"/>
      <c r="H465" s="8"/>
      <c r="I465" s="8"/>
      <c r="J465" s="8"/>
      <c r="K465" s="8"/>
      <c r="L465" s="8"/>
      <c r="M465" s="8"/>
      <c r="N465" s="8"/>
      <c r="O465" s="8"/>
      <c r="P465" s="8"/>
      <c r="Q465" s="8"/>
      <c r="R465" s="8"/>
      <c r="S465" s="8"/>
      <c r="T465" s="8"/>
      <c r="U465" s="12"/>
      <c r="V465" s="12"/>
      <c r="W465" s="12"/>
      <c r="X465" s="12"/>
      <c r="Y465" s="29"/>
      <c r="Z465" s="29"/>
      <c r="AA465" s="29"/>
      <c r="AB465" s="12"/>
      <c r="AC465" s="12"/>
      <c r="AD465" s="12"/>
      <c r="AE465" s="12"/>
      <c r="AF465" s="12"/>
    </row>
    <row r="466" spans="1:32">
      <c r="A466" s="8"/>
      <c r="B466" s="8"/>
      <c r="C466" s="8"/>
      <c r="D466" s="8"/>
      <c r="E466" s="8"/>
      <c r="F466" s="8"/>
      <c r="G466" s="8"/>
      <c r="H466" s="8"/>
      <c r="I466" s="8"/>
      <c r="J466" s="8"/>
      <c r="K466" s="8"/>
      <c r="L466" s="8"/>
      <c r="M466" s="8"/>
      <c r="N466" s="8"/>
      <c r="O466" s="8"/>
      <c r="P466" s="8"/>
      <c r="Q466" s="8"/>
      <c r="R466" s="8"/>
      <c r="S466" s="8"/>
      <c r="T466" s="8"/>
      <c r="U466" s="12"/>
      <c r="V466" s="12"/>
      <c r="W466" s="12"/>
      <c r="X466" s="12"/>
      <c r="Y466" s="29"/>
      <c r="Z466" s="29"/>
      <c r="AA466" s="29"/>
      <c r="AB466" s="12"/>
      <c r="AC466" s="12"/>
      <c r="AD466" s="12"/>
      <c r="AE466" s="12"/>
      <c r="AF466" s="12"/>
    </row>
    <row r="467" spans="1:32">
      <c r="A467" s="8"/>
      <c r="B467" s="8"/>
      <c r="C467" s="8"/>
      <c r="D467" s="8"/>
      <c r="E467" s="8"/>
      <c r="F467" s="8"/>
      <c r="G467" s="8"/>
      <c r="H467" s="8"/>
      <c r="I467" s="8"/>
      <c r="J467" s="8"/>
      <c r="K467" s="8"/>
      <c r="L467" s="8"/>
      <c r="M467" s="8"/>
      <c r="N467" s="8"/>
      <c r="O467" s="8"/>
      <c r="P467" s="8"/>
      <c r="Q467" s="8"/>
      <c r="R467" s="8"/>
      <c r="S467" s="8"/>
      <c r="T467" s="8"/>
      <c r="U467" s="12"/>
      <c r="V467" s="12"/>
      <c r="W467" s="12"/>
      <c r="X467" s="12"/>
      <c r="Y467" s="29"/>
      <c r="Z467" s="29"/>
      <c r="AA467" s="29"/>
      <c r="AB467" s="12"/>
      <c r="AC467" s="12"/>
      <c r="AD467" s="12"/>
      <c r="AE467" s="12"/>
      <c r="AF467" s="12"/>
    </row>
    <row r="468" spans="1:32">
      <c r="A468" s="8"/>
      <c r="B468" s="8"/>
      <c r="C468" s="8"/>
      <c r="D468" s="8"/>
      <c r="E468" s="8"/>
      <c r="F468" s="8"/>
      <c r="G468" s="8"/>
      <c r="H468" s="8"/>
      <c r="I468" s="8"/>
      <c r="J468" s="8"/>
      <c r="K468" s="8"/>
      <c r="L468" s="8"/>
      <c r="M468" s="8"/>
      <c r="N468" s="8"/>
      <c r="O468" s="8"/>
      <c r="P468" s="8"/>
      <c r="Q468" s="8"/>
      <c r="R468" s="8"/>
      <c r="S468" s="8"/>
      <c r="T468" s="8"/>
      <c r="U468" s="12"/>
      <c r="V468" s="12"/>
      <c r="W468" s="12"/>
      <c r="X468" s="12"/>
      <c r="Y468" s="29"/>
      <c r="Z468" s="29"/>
      <c r="AA468" s="29"/>
      <c r="AB468" s="12"/>
      <c r="AC468" s="12"/>
      <c r="AD468" s="12"/>
      <c r="AE468" s="12"/>
      <c r="AF468" s="12"/>
    </row>
    <row r="469" spans="1:32">
      <c r="A469" s="8"/>
      <c r="B469" s="8"/>
      <c r="C469" s="8"/>
      <c r="D469" s="8"/>
      <c r="E469" s="8"/>
      <c r="F469" s="8"/>
      <c r="G469" s="8"/>
      <c r="H469" s="8"/>
      <c r="I469" s="8"/>
      <c r="J469" s="8"/>
      <c r="K469" s="8"/>
      <c r="L469" s="8"/>
      <c r="M469" s="8"/>
      <c r="N469" s="8"/>
      <c r="O469" s="8"/>
      <c r="P469" s="8"/>
      <c r="Q469" s="8"/>
      <c r="R469" s="8"/>
      <c r="S469" s="8"/>
      <c r="T469" s="8"/>
      <c r="U469" s="12"/>
      <c r="V469" s="12"/>
      <c r="W469" s="12"/>
      <c r="X469" s="12"/>
      <c r="Y469" s="29"/>
      <c r="Z469" s="29"/>
      <c r="AA469" s="29"/>
      <c r="AB469" s="12"/>
      <c r="AC469" s="12"/>
      <c r="AD469" s="12"/>
      <c r="AE469" s="12"/>
      <c r="AF469" s="12"/>
    </row>
    <row r="470" spans="1:32">
      <c r="A470" s="8"/>
      <c r="B470" s="8"/>
      <c r="C470" s="8"/>
      <c r="D470" s="8"/>
      <c r="E470" s="8"/>
      <c r="F470" s="8"/>
      <c r="G470" s="8"/>
      <c r="H470" s="8"/>
      <c r="I470" s="8"/>
      <c r="J470" s="8"/>
      <c r="K470" s="8"/>
      <c r="L470" s="8"/>
      <c r="M470" s="8"/>
      <c r="N470" s="8"/>
      <c r="O470" s="8"/>
      <c r="P470" s="8"/>
      <c r="Q470" s="8"/>
      <c r="R470" s="8"/>
      <c r="S470" s="8"/>
      <c r="T470" s="8"/>
      <c r="U470" s="12"/>
      <c r="V470" s="12"/>
      <c r="W470" s="12"/>
      <c r="X470" s="12"/>
      <c r="Y470" s="29"/>
      <c r="Z470" s="29"/>
      <c r="AA470" s="29"/>
      <c r="AB470" s="12"/>
      <c r="AC470" s="12"/>
      <c r="AD470" s="12"/>
      <c r="AE470" s="12"/>
      <c r="AF470" s="12"/>
    </row>
    <row r="471" spans="1:32">
      <c r="A471" s="8"/>
      <c r="B471" s="8"/>
      <c r="C471" s="8"/>
      <c r="D471" s="8"/>
      <c r="E471" s="8"/>
      <c r="F471" s="8"/>
      <c r="G471" s="8"/>
      <c r="H471" s="8"/>
      <c r="I471" s="8"/>
      <c r="J471" s="8"/>
      <c r="K471" s="8"/>
      <c r="L471" s="8"/>
      <c r="M471" s="8"/>
      <c r="N471" s="8"/>
      <c r="O471" s="8"/>
      <c r="P471" s="8"/>
      <c r="Q471" s="8"/>
      <c r="R471" s="8"/>
      <c r="S471" s="8"/>
      <c r="T471" s="8"/>
      <c r="U471" s="12"/>
      <c r="V471" s="12"/>
      <c r="W471" s="12"/>
      <c r="X471" s="12"/>
      <c r="Y471" s="29"/>
      <c r="Z471" s="29"/>
      <c r="AA471" s="29"/>
      <c r="AB471" s="12"/>
      <c r="AC471" s="12"/>
      <c r="AD471" s="12"/>
      <c r="AE471" s="12"/>
      <c r="AF471" s="12"/>
    </row>
    <row r="472" spans="1:32">
      <c r="A472" s="8"/>
      <c r="B472" s="8"/>
      <c r="C472" s="8"/>
      <c r="D472" s="8"/>
      <c r="E472" s="8"/>
      <c r="F472" s="8"/>
      <c r="G472" s="8"/>
      <c r="H472" s="8"/>
      <c r="I472" s="8"/>
      <c r="J472" s="8"/>
      <c r="K472" s="8"/>
      <c r="L472" s="8"/>
      <c r="M472" s="8"/>
      <c r="N472" s="8"/>
      <c r="O472" s="8"/>
      <c r="P472" s="8"/>
      <c r="Q472" s="8"/>
      <c r="R472" s="8"/>
      <c r="S472" s="8"/>
      <c r="T472" s="8"/>
      <c r="U472" s="12"/>
      <c r="V472" s="12"/>
      <c r="W472" s="12"/>
      <c r="X472" s="12"/>
      <c r="Y472" s="29"/>
      <c r="Z472" s="29"/>
      <c r="AA472" s="29"/>
      <c r="AB472" s="12"/>
      <c r="AC472" s="12"/>
      <c r="AD472" s="12"/>
      <c r="AE472" s="12"/>
      <c r="AF472" s="12"/>
    </row>
    <row r="473" spans="1:32">
      <c r="A473" s="8"/>
      <c r="B473" s="8"/>
      <c r="C473" s="8"/>
      <c r="D473" s="8"/>
      <c r="E473" s="8"/>
      <c r="F473" s="8"/>
      <c r="G473" s="8"/>
      <c r="H473" s="8"/>
      <c r="I473" s="8"/>
      <c r="J473" s="8"/>
      <c r="K473" s="8"/>
      <c r="L473" s="8"/>
      <c r="M473" s="8"/>
      <c r="N473" s="8"/>
      <c r="O473" s="8"/>
      <c r="P473" s="8"/>
      <c r="Q473" s="8"/>
      <c r="R473" s="8"/>
      <c r="S473" s="8"/>
      <c r="T473" s="8"/>
      <c r="U473" s="12"/>
      <c r="V473" s="12"/>
      <c r="W473" s="12"/>
      <c r="X473" s="12"/>
      <c r="Y473" s="29"/>
      <c r="Z473" s="29"/>
      <c r="AA473" s="29"/>
      <c r="AB473" s="12"/>
      <c r="AC473" s="12"/>
      <c r="AD473" s="12"/>
      <c r="AE473" s="12"/>
      <c r="AF473" s="12"/>
    </row>
    <row r="474" spans="1:32">
      <c r="A474" s="8"/>
      <c r="B474" s="8"/>
      <c r="C474" s="8"/>
      <c r="D474" s="8"/>
      <c r="E474" s="8"/>
      <c r="F474" s="8"/>
      <c r="G474" s="8"/>
      <c r="H474" s="8"/>
      <c r="I474" s="8"/>
      <c r="J474" s="8"/>
      <c r="K474" s="8"/>
      <c r="L474" s="8"/>
      <c r="M474" s="8"/>
      <c r="N474" s="8"/>
      <c r="O474" s="8"/>
      <c r="P474" s="8"/>
      <c r="Q474" s="8"/>
      <c r="R474" s="8"/>
      <c r="S474" s="8"/>
      <c r="T474" s="8"/>
      <c r="U474" s="12"/>
      <c r="V474" s="12"/>
      <c r="W474" s="12"/>
      <c r="X474" s="12"/>
      <c r="Y474" s="29"/>
      <c r="Z474" s="29"/>
      <c r="AA474" s="29"/>
      <c r="AB474" s="12"/>
      <c r="AC474" s="12"/>
      <c r="AD474" s="12"/>
      <c r="AE474" s="12"/>
      <c r="AF474" s="12"/>
    </row>
    <row r="475" spans="1:32">
      <c r="A475" s="8"/>
      <c r="B475" s="8"/>
      <c r="C475" s="8"/>
      <c r="D475" s="8"/>
      <c r="E475" s="8"/>
      <c r="F475" s="8"/>
      <c r="G475" s="8"/>
      <c r="H475" s="8"/>
      <c r="I475" s="8"/>
      <c r="J475" s="8"/>
      <c r="K475" s="8"/>
      <c r="L475" s="8"/>
      <c r="M475" s="8"/>
      <c r="N475" s="8"/>
      <c r="O475" s="8"/>
      <c r="P475" s="8"/>
      <c r="Q475" s="8"/>
      <c r="R475" s="8"/>
      <c r="S475" s="8"/>
      <c r="T475" s="8"/>
      <c r="U475" s="12"/>
      <c r="V475" s="12"/>
      <c r="W475" s="12"/>
      <c r="X475" s="12"/>
      <c r="Y475" s="29"/>
      <c r="Z475" s="29"/>
      <c r="AA475" s="29"/>
      <c r="AB475" s="12"/>
      <c r="AC475" s="12"/>
      <c r="AD475" s="12"/>
      <c r="AE475" s="12"/>
      <c r="AF475" s="12"/>
    </row>
    <row r="476" spans="1:32">
      <c r="A476" s="8"/>
      <c r="B476" s="8"/>
      <c r="C476" s="8"/>
      <c r="D476" s="8"/>
      <c r="E476" s="8"/>
      <c r="F476" s="8"/>
      <c r="G476" s="8"/>
      <c r="H476" s="8"/>
      <c r="I476" s="8"/>
      <c r="J476" s="8"/>
      <c r="K476" s="8"/>
      <c r="L476" s="8"/>
      <c r="M476" s="8"/>
      <c r="N476" s="8"/>
      <c r="O476" s="8"/>
      <c r="P476" s="8"/>
      <c r="Q476" s="8"/>
      <c r="R476" s="8"/>
      <c r="S476" s="8"/>
      <c r="T476" s="8"/>
      <c r="U476" s="12"/>
      <c r="V476" s="12"/>
      <c r="W476" s="12"/>
      <c r="X476" s="12"/>
      <c r="Y476" s="29"/>
      <c r="Z476" s="29"/>
      <c r="AA476" s="29"/>
      <c r="AB476" s="12"/>
      <c r="AC476" s="12"/>
      <c r="AD476" s="12"/>
      <c r="AE476" s="12"/>
      <c r="AF476" s="12"/>
    </row>
    <row r="477" spans="1:32">
      <c r="A477" s="8"/>
      <c r="B477" s="8"/>
      <c r="C477" s="8"/>
      <c r="D477" s="8"/>
      <c r="E477" s="8"/>
      <c r="F477" s="8"/>
      <c r="G477" s="8"/>
      <c r="H477" s="8"/>
      <c r="I477" s="8"/>
      <c r="J477" s="8"/>
      <c r="K477" s="8"/>
      <c r="L477" s="8"/>
      <c r="M477" s="8"/>
      <c r="N477" s="8"/>
      <c r="O477" s="8"/>
      <c r="P477" s="8"/>
      <c r="Q477" s="8"/>
      <c r="R477" s="8"/>
      <c r="S477" s="8"/>
      <c r="T477" s="8"/>
      <c r="U477" s="12"/>
      <c r="V477" s="12"/>
      <c r="W477" s="12"/>
      <c r="X477" s="12"/>
      <c r="Y477" s="29"/>
      <c r="Z477" s="29"/>
      <c r="AA477" s="29"/>
      <c r="AB477" s="12"/>
      <c r="AC477" s="12"/>
      <c r="AD477" s="12"/>
      <c r="AE477" s="12"/>
      <c r="AF477" s="12"/>
    </row>
    <row r="478" spans="1:32">
      <c r="A478" s="8"/>
      <c r="B478" s="8"/>
      <c r="C478" s="8"/>
      <c r="D478" s="8"/>
      <c r="E478" s="8"/>
      <c r="F478" s="8"/>
      <c r="G478" s="8"/>
      <c r="H478" s="8"/>
      <c r="I478" s="8"/>
      <c r="J478" s="8"/>
      <c r="K478" s="8"/>
      <c r="L478" s="8"/>
      <c r="M478" s="8"/>
      <c r="N478" s="8"/>
      <c r="O478" s="8"/>
      <c r="P478" s="8"/>
      <c r="Q478" s="8"/>
      <c r="R478" s="8"/>
      <c r="S478" s="8"/>
      <c r="T478" s="8"/>
      <c r="U478" s="12"/>
      <c r="V478" s="12"/>
      <c r="W478" s="12"/>
      <c r="X478" s="12"/>
      <c r="Y478" s="29"/>
      <c r="Z478" s="29"/>
      <c r="AA478" s="29"/>
      <c r="AB478" s="12"/>
      <c r="AC478" s="12"/>
      <c r="AD478" s="12"/>
      <c r="AE478" s="12"/>
      <c r="AF478" s="12"/>
    </row>
    <row r="479" spans="1:32">
      <c r="A479" s="8"/>
      <c r="B479" s="8"/>
      <c r="C479" s="8"/>
      <c r="D479" s="8"/>
      <c r="E479" s="8"/>
      <c r="F479" s="8"/>
      <c r="G479" s="8"/>
      <c r="H479" s="8"/>
      <c r="I479" s="8"/>
      <c r="J479" s="8"/>
      <c r="K479" s="8"/>
      <c r="L479" s="8"/>
      <c r="M479" s="8"/>
      <c r="N479" s="8"/>
      <c r="O479" s="8"/>
      <c r="P479" s="8"/>
      <c r="Q479" s="8"/>
      <c r="R479" s="8"/>
      <c r="S479" s="8"/>
      <c r="T479" s="8"/>
      <c r="U479" s="12"/>
      <c r="V479" s="12"/>
      <c r="W479" s="12"/>
      <c r="X479" s="12"/>
      <c r="Y479" s="29"/>
      <c r="Z479" s="29"/>
      <c r="AA479" s="29"/>
      <c r="AB479" s="12"/>
      <c r="AC479" s="12"/>
      <c r="AD479" s="12"/>
      <c r="AE479" s="12"/>
      <c r="AF479" s="12"/>
    </row>
    <row r="480" spans="1:32">
      <c r="A480" s="8"/>
      <c r="B480" s="8"/>
      <c r="C480" s="8"/>
      <c r="D480" s="8"/>
      <c r="E480" s="8"/>
      <c r="F480" s="8"/>
      <c r="G480" s="8"/>
      <c r="H480" s="8"/>
      <c r="I480" s="8"/>
      <c r="J480" s="8"/>
      <c r="K480" s="8"/>
      <c r="L480" s="8"/>
      <c r="M480" s="8"/>
      <c r="N480" s="8"/>
      <c r="O480" s="8"/>
      <c r="P480" s="8"/>
      <c r="Q480" s="8"/>
      <c r="R480" s="8"/>
      <c r="S480" s="8"/>
      <c r="T480" s="8"/>
      <c r="U480" s="12"/>
      <c r="V480" s="12"/>
      <c r="W480" s="12"/>
      <c r="X480" s="12"/>
      <c r="Y480" s="29"/>
      <c r="Z480" s="29"/>
      <c r="AA480" s="29"/>
      <c r="AB480" s="12"/>
      <c r="AC480" s="12"/>
      <c r="AD480" s="12"/>
      <c r="AE480" s="12"/>
      <c r="AF480" s="12"/>
    </row>
    <row r="481" spans="1:32">
      <c r="A481" s="8"/>
      <c r="B481" s="8"/>
      <c r="C481" s="8"/>
      <c r="D481" s="8"/>
      <c r="E481" s="8"/>
      <c r="F481" s="8"/>
      <c r="G481" s="8"/>
      <c r="H481" s="8"/>
      <c r="I481" s="8"/>
      <c r="J481" s="8"/>
      <c r="K481" s="8"/>
      <c r="L481" s="8"/>
      <c r="M481" s="8"/>
      <c r="N481" s="8"/>
      <c r="O481" s="8"/>
      <c r="P481" s="8"/>
      <c r="Q481" s="8"/>
      <c r="R481" s="8"/>
      <c r="S481" s="8"/>
      <c r="T481" s="8"/>
      <c r="U481" s="12"/>
      <c r="V481" s="12"/>
      <c r="W481" s="12"/>
      <c r="X481" s="12"/>
      <c r="Y481" s="29"/>
      <c r="Z481" s="29"/>
      <c r="AA481" s="29"/>
      <c r="AB481" s="12"/>
      <c r="AC481" s="12"/>
      <c r="AD481" s="12"/>
      <c r="AE481" s="12"/>
      <c r="AF481" s="12"/>
    </row>
    <row r="482" spans="1:32">
      <c r="A482" s="8"/>
      <c r="B482" s="8"/>
      <c r="C482" s="8"/>
      <c r="D482" s="8"/>
      <c r="E482" s="8"/>
      <c r="F482" s="8"/>
      <c r="G482" s="8"/>
      <c r="H482" s="8"/>
      <c r="I482" s="8"/>
      <c r="J482" s="8"/>
      <c r="K482" s="8"/>
      <c r="L482" s="8"/>
      <c r="M482" s="8"/>
      <c r="N482" s="8"/>
      <c r="O482" s="8"/>
      <c r="P482" s="8"/>
      <c r="Q482" s="8"/>
      <c r="R482" s="8"/>
      <c r="S482" s="8"/>
      <c r="T482" s="8"/>
      <c r="U482" s="12"/>
      <c r="V482" s="12"/>
      <c r="W482" s="12"/>
      <c r="X482" s="12"/>
      <c r="Y482" s="29"/>
      <c r="Z482" s="29"/>
      <c r="AA482" s="29"/>
      <c r="AB482" s="12"/>
      <c r="AC482" s="12"/>
      <c r="AD482" s="12"/>
      <c r="AE482" s="12"/>
      <c r="AF482" s="12"/>
    </row>
    <row r="483" spans="1:32">
      <c r="A483" s="8"/>
      <c r="B483" s="8"/>
      <c r="C483" s="8"/>
      <c r="D483" s="8"/>
      <c r="E483" s="8"/>
      <c r="F483" s="8"/>
      <c r="G483" s="8"/>
      <c r="H483" s="8"/>
      <c r="I483" s="8"/>
      <c r="J483" s="8"/>
      <c r="K483" s="8"/>
      <c r="L483" s="8"/>
      <c r="M483" s="8"/>
      <c r="N483" s="8"/>
      <c r="O483" s="8"/>
      <c r="P483" s="8"/>
      <c r="Q483" s="8"/>
      <c r="R483" s="8"/>
      <c r="S483" s="8"/>
      <c r="T483" s="8"/>
      <c r="U483" s="12"/>
      <c r="V483" s="12"/>
      <c r="W483" s="12"/>
      <c r="X483" s="12"/>
      <c r="Y483" s="29"/>
      <c r="Z483" s="29"/>
      <c r="AA483" s="29"/>
      <c r="AB483" s="12"/>
      <c r="AC483" s="12"/>
      <c r="AD483" s="12"/>
      <c r="AE483" s="12"/>
      <c r="AF483" s="12"/>
    </row>
    <row r="484" spans="1:32">
      <c r="A484" s="8"/>
      <c r="B484" s="8"/>
      <c r="C484" s="8"/>
      <c r="D484" s="8"/>
      <c r="E484" s="8"/>
      <c r="F484" s="8"/>
      <c r="G484" s="8"/>
      <c r="H484" s="8"/>
      <c r="I484" s="8"/>
      <c r="J484" s="8"/>
      <c r="K484" s="8"/>
      <c r="L484" s="8"/>
      <c r="M484" s="8"/>
      <c r="N484" s="8"/>
      <c r="O484" s="8"/>
      <c r="P484" s="8"/>
      <c r="Q484" s="8"/>
      <c r="R484" s="8"/>
      <c r="S484" s="8"/>
      <c r="T484" s="8"/>
      <c r="U484" s="12"/>
      <c r="V484" s="12"/>
      <c r="W484" s="12"/>
      <c r="X484" s="12"/>
      <c r="Y484" s="29"/>
      <c r="Z484" s="29"/>
      <c r="AA484" s="29"/>
      <c r="AB484" s="12"/>
      <c r="AC484" s="12"/>
      <c r="AD484" s="12"/>
      <c r="AE484" s="12"/>
      <c r="AF484" s="12"/>
    </row>
    <row r="485" spans="1:32">
      <c r="A485" s="8"/>
      <c r="B485" s="8"/>
      <c r="C485" s="8"/>
      <c r="D485" s="8"/>
      <c r="E485" s="8"/>
      <c r="F485" s="8"/>
      <c r="G485" s="8"/>
      <c r="H485" s="8"/>
      <c r="I485" s="8"/>
      <c r="J485" s="8"/>
      <c r="K485" s="8"/>
      <c r="L485" s="8"/>
      <c r="M485" s="8"/>
      <c r="N485" s="8"/>
      <c r="O485" s="8"/>
      <c r="P485" s="8"/>
      <c r="Q485" s="8"/>
      <c r="R485" s="8"/>
      <c r="S485" s="8"/>
      <c r="T485" s="8"/>
      <c r="U485" s="12"/>
      <c r="V485" s="12"/>
      <c r="W485" s="12"/>
      <c r="X485" s="12"/>
      <c r="Y485" s="29"/>
      <c r="Z485" s="29"/>
      <c r="AA485" s="29"/>
      <c r="AB485" s="12"/>
      <c r="AC485" s="12"/>
      <c r="AD485" s="12"/>
      <c r="AE485" s="12"/>
      <c r="AF485" s="12"/>
    </row>
    <row r="486" spans="1:32">
      <c r="A486" s="8"/>
      <c r="B486" s="8"/>
      <c r="C486" s="8"/>
      <c r="D486" s="8"/>
      <c r="E486" s="8"/>
      <c r="F486" s="8"/>
      <c r="G486" s="8"/>
      <c r="H486" s="8"/>
      <c r="I486" s="8"/>
      <c r="J486" s="8"/>
      <c r="K486" s="8"/>
      <c r="L486" s="8"/>
      <c r="M486" s="8"/>
      <c r="N486" s="8"/>
      <c r="O486" s="8"/>
      <c r="P486" s="8"/>
      <c r="Q486" s="8"/>
      <c r="R486" s="8"/>
      <c r="S486" s="8"/>
      <c r="T486" s="8"/>
      <c r="U486" s="12"/>
      <c r="V486" s="12"/>
      <c r="W486" s="12"/>
      <c r="X486" s="12"/>
      <c r="Y486" s="29"/>
      <c r="Z486" s="29"/>
      <c r="AA486" s="29"/>
      <c r="AB486" s="12"/>
      <c r="AC486" s="12"/>
      <c r="AD486" s="12"/>
      <c r="AE486" s="12"/>
      <c r="AF486" s="12"/>
    </row>
    <row r="487" spans="1:32">
      <c r="A487" s="8"/>
      <c r="B487" s="8"/>
      <c r="C487" s="8"/>
      <c r="D487" s="8"/>
      <c r="E487" s="8"/>
      <c r="F487" s="8"/>
      <c r="G487" s="8"/>
      <c r="H487" s="8"/>
      <c r="I487" s="8"/>
      <c r="J487" s="8"/>
      <c r="K487" s="8"/>
      <c r="L487" s="8"/>
      <c r="M487" s="8"/>
      <c r="N487" s="8"/>
      <c r="O487" s="8"/>
      <c r="P487" s="8"/>
      <c r="Q487" s="8"/>
      <c r="R487" s="8"/>
      <c r="S487" s="8"/>
      <c r="T487" s="8"/>
      <c r="U487" s="12"/>
      <c r="V487" s="12"/>
      <c r="W487" s="12"/>
      <c r="X487" s="12"/>
      <c r="Y487" s="29"/>
      <c r="Z487" s="29"/>
      <c r="AA487" s="29"/>
      <c r="AB487" s="12"/>
      <c r="AC487" s="12"/>
      <c r="AD487" s="12"/>
      <c r="AE487" s="12"/>
      <c r="AF487" s="12"/>
    </row>
    <row r="488" spans="1:32">
      <c r="A488" s="8"/>
      <c r="B488" s="8"/>
      <c r="C488" s="8"/>
      <c r="D488" s="8"/>
      <c r="E488" s="8"/>
      <c r="F488" s="8"/>
      <c r="G488" s="8"/>
      <c r="H488" s="8"/>
      <c r="I488" s="8"/>
      <c r="J488" s="8"/>
      <c r="K488" s="8"/>
      <c r="L488" s="8"/>
      <c r="M488" s="8"/>
      <c r="N488" s="8"/>
      <c r="O488" s="8"/>
      <c r="P488" s="8"/>
      <c r="Q488" s="8"/>
      <c r="R488" s="8"/>
      <c r="S488" s="8"/>
      <c r="T488" s="8"/>
      <c r="U488" s="12"/>
      <c r="V488" s="12"/>
      <c r="W488" s="12"/>
      <c r="X488" s="12"/>
      <c r="Y488" s="29"/>
      <c r="Z488" s="29"/>
      <c r="AA488" s="29"/>
      <c r="AB488" s="12"/>
      <c r="AC488" s="12"/>
      <c r="AD488" s="12"/>
      <c r="AE488" s="12"/>
      <c r="AF488" s="12"/>
    </row>
    <row r="489" spans="1:32">
      <c r="A489" s="8"/>
      <c r="B489" s="8"/>
      <c r="C489" s="8"/>
      <c r="D489" s="8"/>
      <c r="E489" s="8"/>
      <c r="F489" s="8"/>
      <c r="G489" s="8"/>
      <c r="H489" s="8"/>
      <c r="I489" s="8"/>
      <c r="J489" s="8"/>
      <c r="K489" s="8"/>
      <c r="L489" s="8"/>
      <c r="M489" s="8"/>
      <c r="N489" s="8"/>
      <c r="O489" s="8"/>
      <c r="P489" s="8"/>
      <c r="Q489" s="8"/>
      <c r="R489" s="8"/>
      <c r="S489" s="8"/>
      <c r="T489" s="8"/>
      <c r="U489" s="12"/>
      <c r="V489" s="12"/>
      <c r="W489" s="12"/>
      <c r="X489" s="12"/>
      <c r="Y489" s="29"/>
      <c r="Z489" s="29"/>
      <c r="AA489" s="29"/>
      <c r="AB489" s="12"/>
      <c r="AC489" s="12"/>
      <c r="AD489" s="12"/>
      <c r="AE489" s="12"/>
      <c r="AF489" s="12"/>
    </row>
    <row r="490" spans="1:32">
      <c r="A490" s="8"/>
      <c r="B490" s="8"/>
      <c r="C490" s="8"/>
      <c r="D490" s="8"/>
      <c r="E490" s="8"/>
      <c r="F490" s="8"/>
      <c r="G490" s="8"/>
      <c r="H490" s="8"/>
      <c r="I490" s="8"/>
      <c r="J490" s="8"/>
      <c r="K490" s="8"/>
      <c r="L490" s="8"/>
      <c r="M490" s="8"/>
      <c r="N490" s="8"/>
      <c r="O490" s="8"/>
      <c r="P490" s="8"/>
      <c r="Q490" s="8"/>
      <c r="R490" s="8"/>
      <c r="S490" s="8"/>
      <c r="T490" s="8"/>
      <c r="U490" s="12"/>
      <c r="V490" s="12"/>
      <c r="W490" s="12"/>
      <c r="X490" s="12"/>
      <c r="Y490" s="29"/>
      <c r="Z490" s="29"/>
      <c r="AA490" s="29"/>
      <c r="AB490" s="12"/>
      <c r="AC490" s="12"/>
      <c r="AD490" s="12"/>
      <c r="AE490" s="12"/>
      <c r="AF490" s="12"/>
    </row>
    <row r="491" spans="1:32">
      <c r="A491" s="8"/>
      <c r="B491" s="8"/>
      <c r="C491" s="8"/>
      <c r="D491" s="8"/>
      <c r="E491" s="8"/>
      <c r="F491" s="8"/>
      <c r="G491" s="8"/>
      <c r="H491" s="8"/>
      <c r="I491" s="8"/>
      <c r="J491" s="8"/>
      <c r="K491" s="8"/>
      <c r="L491" s="8"/>
      <c r="M491" s="8"/>
      <c r="N491" s="8"/>
      <c r="O491" s="8"/>
      <c r="P491" s="8"/>
      <c r="Q491" s="8"/>
      <c r="R491" s="8"/>
      <c r="S491" s="8"/>
      <c r="T491" s="8"/>
      <c r="U491" s="12"/>
      <c r="V491" s="12"/>
      <c r="W491" s="12"/>
      <c r="X491" s="12"/>
      <c r="Y491" s="29"/>
      <c r="Z491" s="29"/>
      <c r="AA491" s="29"/>
      <c r="AB491" s="12"/>
      <c r="AC491" s="12"/>
      <c r="AD491" s="12"/>
      <c r="AE491" s="12"/>
      <c r="AF491" s="12"/>
    </row>
    <row r="492" spans="1:32">
      <c r="A492" s="8"/>
      <c r="B492" s="8"/>
      <c r="C492" s="8"/>
      <c r="D492" s="8"/>
      <c r="E492" s="8"/>
      <c r="F492" s="8"/>
      <c r="G492" s="8"/>
      <c r="H492" s="8"/>
      <c r="I492" s="8"/>
      <c r="J492" s="8"/>
      <c r="K492" s="8"/>
      <c r="L492" s="8"/>
      <c r="M492" s="8"/>
      <c r="N492" s="8"/>
      <c r="O492" s="8"/>
      <c r="P492" s="8"/>
      <c r="Q492" s="8"/>
      <c r="R492" s="8"/>
      <c r="S492" s="8"/>
      <c r="T492" s="8"/>
      <c r="U492" s="12"/>
      <c r="V492" s="12"/>
      <c r="W492" s="12"/>
      <c r="X492" s="12"/>
      <c r="Y492" s="29"/>
      <c r="Z492" s="29"/>
      <c r="AA492" s="29"/>
      <c r="AB492" s="12"/>
      <c r="AC492" s="12"/>
      <c r="AD492" s="12"/>
      <c r="AE492" s="12"/>
      <c r="AF492" s="12"/>
    </row>
    <row r="493" spans="1:32">
      <c r="A493" s="8"/>
      <c r="B493" s="8"/>
      <c r="C493" s="8"/>
      <c r="D493" s="8"/>
      <c r="E493" s="8"/>
      <c r="F493" s="8"/>
      <c r="G493" s="8"/>
      <c r="H493" s="8"/>
      <c r="I493" s="8"/>
      <c r="J493" s="8"/>
      <c r="K493" s="8"/>
      <c r="L493" s="8"/>
      <c r="M493" s="8"/>
      <c r="N493" s="8"/>
      <c r="O493" s="8"/>
      <c r="P493" s="8"/>
      <c r="Q493" s="8"/>
      <c r="R493" s="8"/>
      <c r="S493" s="8"/>
      <c r="T493" s="8"/>
      <c r="U493" s="12"/>
      <c r="V493" s="12"/>
      <c r="W493" s="12"/>
      <c r="X493" s="12"/>
      <c r="Y493" s="29"/>
      <c r="Z493" s="29"/>
      <c r="AA493" s="29"/>
      <c r="AB493" s="12"/>
      <c r="AC493" s="12"/>
      <c r="AD493" s="12"/>
      <c r="AE493" s="12"/>
      <c r="AF493" s="12"/>
    </row>
    <row r="494" spans="1:32">
      <c r="A494" s="8"/>
      <c r="B494" s="8"/>
      <c r="C494" s="8"/>
      <c r="D494" s="8"/>
      <c r="E494" s="8"/>
      <c r="F494" s="8"/>
      <c r="G494" s="8"/>
      <c r="H494" s="8"/>
      <c r="I494" s="8"/>
      <c r="J494" s="8"/>
      <c r="K494" s="8"/>
      <c r="L494" s="8"/>
      <c r="M494" s="8"/>
      <c r="N494" s="8"/>
      <c r="O494" s="8"/>
      <c r="P494" s="8"/>
      <c r="Q494" s="8"/>
      <c r="R494" s="8"/>
      <c r="S494" s="8"/>
      <c r="T494" s="8"/>
      <c r="U494" s="12"/>
      <c r="V494" s="12"/>
      <c r="W494" s="12"/>
      <c r="X494" s="12"/>
      <c r="Y494" s="29"/>
      <c r="Z494" s="29"/>
      <c r="AA494" s="29"/>
      <c r="AB494" s="12"/>
      <c r="AC494" s="12"/>
      <c r="AD494" s="12"/>
      <c r="AE494" s="12"/>
      <c r="AF494" s="12"/>
    </row>
    <row r="495" spans="1:32">
      <c r="A495" s="8"/>
      <c r="B495" s="8"/>
      <c r="C495" s="8"/>
      <c r="D495" s="8"/>
      <c r="E495" s="8"/>
      <c r="F495" s="8"/>
      <c r="G495" s="8"/>
      <c r="H495" s="8"/>
      <c r="I495" s="8"/>
      <c r="J495" s="8"/>
      <c r="K495" s="8"/>
      <c r="L495" s="8"/>
      <c r="M495" s="8"/>
      <c r="N495" s="8"/>
      <c r="O495" s="8"/>
      <c r="P495" s="8"/>
      <c r="Q495" s="8"/>
      <c r="R495" s="8"/>
      <c r="S495" s="8"/>
      <c r="T495" s="8"/>
      <c r="U495" s="12"/>
      <c r="V495" s="12"/>
      <c r="W495" s="12"/>
      <c r="X495" s="12"/>
      <c r="Y495" s="29"/>
      <c r="Z495" s="29"/>
      <c r="AA495" s="29"/>
      <c r="AB495" s="12"/>
      <c r="AC495" s="12"/>
      <c r="AD495" s="12"/>
      <c r="AE495" s="12"/>
      <c r="AF495" s="12"/>
    </row>
    <row r="496" spans="1:32">
      <c r="A496" s="8"/>
      <c r="B496" s="8"/>
      <c r="C496" s="8"/>
      <c r="D496" s="8"/>
      <c r="E496" s="8"/>
      <c r="F496" s="8"/>
      <c r="G496" s="8"/>
      <c r="H496" s="8"/>
      <c r="I496" s="8"/>
      <c r="J496" s="8"/>
      <c r="K496" s="8"/>
      <c r="L496" s="8"/>
      <c r="M496" s="8"/>
      <c r="N496" s="8"/>
      <c r="O496" s="8"/>
      <c r="P496" s="8"/>
      <c r="Q496" s="8"/>
      <c r="R496" s="8"/>
      <c r="S496" s="8"/>
      <c r="T496" s="8"/>
      <c r="U496" s="12"/>
      <c r="V496" s="12"/>
      <c r="W496" s="12"/>
      <c r="X496" s="12"/>
      <c r="Y496" s="29"/>
      <c r="Z496" s="29"/>
      <c r="AA496" s="29"/>
      <c r="AB496" s="12"/>
      <c r="AC496" s="12"/>
      <c r="AD496" s="12"/>
      <c r="AE496" s="12"/>
      <c r="AF496" s="12"/>
    </row>
    <row r="497" spans="1:32">
      <c r="A497" s="8"/>
      <c r="B497" s="8"/>
      <c r="C497" s="8"/>
      <c r="D497" s="8"/>
      <c r="E497" s="8"/>
      <c r="F497" s="8"/>
      <c r="G497" s="8"/>
      <c r="H497" s="8"/>
      <c r="I497" s="8"/>
      <c r="J497" s="8"/>
      <c r="K497" s="8"/>
      <c r="L497" s="8"/>
      <c r="M497" s="8"/>
      <c r="N497" s="8"/>
      <c r="O497" s="8"/>
      <c r="P497" s="8"/>
      <c r="Q497" s="8"/>
      <c r="R497" s="8"/>
      <c r="S497" s="8"/>
      <c r="T497" s="8"/>
      <c r="U497" s="12"/>
      <c r="V497" s="12"/>
      <c r="W497" s="12"/>
      <c r="X497" s="12"/>
      <c r="Y497" s="29"/>
      <c r="Z497" s="29"/>
      <c r="AA497" s="29"/>
      <c r="AB497" s="12"/>
      <c r="AC497" s="12"/>
      <c r="AD497" s="12"/>
      <c r="AE497" s="12"/>
      <c r="AF497" s="12"/>
    </row>
    <row r="498" spans="1:32">
      <c r="A498" s="8"/>
      <c r="B498" s="8"/>
      <c r="C498" s="8"/>
      <c r="D498" s="8"/>
      <c r="E498" s="8"/>
      <c r="F498" s="8"/>
      <c r="G498" s="8"/>
      <c r="H498" s="8"/>
      <c r="I498" s="8"/>
      <c r="J498" s="8"/>
      <c r="K498" s="8"/>
      <c r="L498" s="8"/>
      <c r="M498" s="8"/>
      <c r="N498" s="8"/>
      <c r="O498" s="8"/>
      <c r="P498" s="8"/>
      <c r="Q498" s="8"/>
      <c r="R498" s="8"/>
      <c r="S498" s="8"/>
      <c r="T498" s="8"/>
      <c r="U498" s="12"/>
      <c r="V498" s="12"/>
      <c r="W498" s="12"/>
      <c r="X498" s="12"/>
      <c r="Y498" s="29"/>
      <c r="Z498" s="29"/>
      <c r="AA498" s="29"/>
      <c r="AB498" s="12"/>
      <c r="AC498" s="12"/>
      <c r="AD498" s="12"/>
      <c r="AE498" s="12"/>
      <c r="AF498" s="12"/>
    </row>
    <row r="499" spans="1:32">
      <c r="A499" s="8"/>
      <c r="B499" s="8"/>
      <c r="C499" s="8"/>
      <c r="D499" s="8"/>
      <c r="E499" s="8"/>
      <c r="F499" s="8"/>
      <c r="G499" s="8"/>
      <c r="H499" s="8"/>
      <c r="I499" s="8"/>
      <c r="J499" s="8"/>
      <c r="K499" s="8"/>
      <c r="L499" s="8"/>
      <c r="M499" s="8"/>
      <c r="N499" s="8"/>
      <c r="O499" s="8"/>
      <c r="P499" s="8"/>
      <c r="Q499" s="8"/>
      <c r="R499" s="8"/>
      <c r="S499" s="8"/>
      <c r="T499" s="8"/>
      <c r="U499" s="12"/>
      <c r="V499" s="12"/>
      <c r="W499" s="12"/>
      <c r="X499" s="12"/>
      <c r="Y499" s="29"/>
      <c r="Z499" s="29"/>
      <c r="AA499" s="29"/>
      <c r="AB499" s="12"/>
      <c r="AC499" s="12"/>
      <c r="AD499" s="12"/>
      <c r="AE499" s="12"/>
      <c r="AF499" s="12"/>
    </row>
    <row r="500" spans="1:32">
      <c r="A500" s="8"/>
      <c r="B500" s="8"/>
      <c r="C500" s="8"/>
      <c r="D500" s="8"/>
      <c r="E500" s="8"/>
      <c r="F500" s="8"/>
      <c r="G500" s="8"/>
      <c r="H500" s="8"/>
      <c r="I500" s="8"/>
      <c r="J500" s="8"/>
      <c r="K500" s="8"/>
      <c r="L500" s="8"/>
      <c r="M500" s="8"/>
      <c r="N500" s="8"/>
      <c r="O500" s="8"/>
      <c r="P500" s="8"/>
      <c r="Q500" s="8"/>
      <c r="R500" s="8"/>
      <c r="S500" s="8"/>
      <c r="T500" s="8"/>
      <c r="U500" s="12"/>
      <c r="V500" s="12"/>
      <c r="W500" s="12"/>
      <c r="X500" s="12"/>
      <c r="Y500" s="29"/>
      <c r="Z500" s="29"/>
      <c r="AA500" s="29"/>
      <c r="AB500" s="12"/>
      <c r="AC500" s="12"/>
      <c r="AD500" s="12"/>
      <c r="AE500" s="12"/>
      <c r="AF500" s="12"/>
    </row>
    <row r="501" spans="1:32">
      <c r="A501" s="8"/>
      <c r="B501" s="8"/>
      <c r="C501" s="8"/>
      <c r="D501" s="8"/>
      <c r="E501" s="8"/>
      <c r="F501" s="8"/>
      <c r="G501" s="8"/>
      <c r="H501" s="8"/>
      <c r="I501" s="8"/>
      <c r="J501" s="8"/>
      <c r="K501" s="8"/>
      <c r="L501" s="8"/>
      <c r="M501" s="8"/>
      <c r="N501" s="8"/>
      <c r="O501" s="8"/>
      <c r="P501" s="8"/>
      <c r="Q501" s="8"/>
      <c r="R501" s="8"/>
      <c r="S501" s="8"/>
      <c r="T501" s="8"/>
      <c r="U501" s="12"/>
      <c r="V501" s="12"/>
      <c r="W501" s="12"/>
      <c r="X501" s="12"/>
      <c r="Y501" s="29"/>
      <c r="Z501" s="29"/>
      <c r="AA501" s="29"/>
      <c r="AB501" s="12"/>
      <c r="AC501" s="12"/>
      <c r="AD501" s="12"/>
      <c r="AE501" s="12"/>
      <c r="AF501" s="12"/>
    </row>
    <row r="502" spans="1:32">
      <c r="A502" s="8"/>
      <c r="B502" s="8"/>
      <c r="C502" s="8"/>
      <c r="D502" s="8"/>
      <c r="E502" s="8"/>
      <c r="F502" s="8"/>
      <c r="G502" s="8"/>
      <c r="H502" s="8"/>
      <c r="I502" s="8"/>
      <c r="J502" s="8"/>
      <c r="K502" s="8"/>
      <c r="L502" s="8"/>
      <c r="M502" s="8"/>
      <c r="N502" s="8"/>
      <c r="O502" s="8"/>
      <c r="P502" s="8"/>
      <c r="Q502" s="8"/>
      <c r="R502" s="8"/>
      <c r="S502" s="8"/>
      <c r="T502" s="8"/>
      <c r="U502" s="12"/>
      <c r="V502" s="12"/>
      <c r="W502" s="12"/>
      <c r="X502" s="12"/>
      <c r="Y502" s="29"/>
      <c r="Z502" s="29"/>
      <c r="AA502" s="29"/>
      <c r="AB502" s="12"/>
      <c r="AC502" s="12"/>
      <c r="AD502" s="12"/>
      <c r="AE502" s="12"/>
      <c r="AF502" s="12"/>
    </row>
    <row r="503" spans="1:32">
      <c r="A503" s="8"/>
      <c r="B503" s="8"/>
      <c r="C503" s="8"/>
      <c r="D503" s="8"/>
      <c r="E503" s="8"/>
      <c r="F503" s="8"/>
      <c r="G503" s="8"/>
      <c r="H503" s="8"/>
      <c r="I503" s="8"/>
      <c r="J503" s="8"/>
      <c r="K503" s="8"/>
      <c r="L503" s="8"/>
      <c r="M503" s="8"/>
      <c r="N503" s="8"/>
      <c r="O503" s="8"/>
      <c r="P503" s="8"/>
      <c r="Q503" s="8"/>
      <c r="R503" s="8"/>
      <c r="S503" s="8"/>
      <c r="T503" s="8"/>
      <c r="U503" s="12"/>
      <c r="V503" s="12"/>
      <c r="W503" s="12"/>
      <c r="X503" s="12"/>
      <c r="Y503" s="29"/>
      <c r="Z503" s="29"/>
      <c r="AA503" s="29"/>
      <c r="AB503" s="12"/>
      <c r="AC503" s="12"/>
      <c r="AD503" s="12"/>
      <c r="AE503" s="12"/>
      <c r="AF503" s="12"/>
    </row>
    <row r="504" spans="1:32">
      <c r="A504" s="8"/>
      <c r="B504" s="8"/>
      <c r="C504" s="8"/>
      <c r="D504" s="8"/>
      <c r="E504" s="8"/>
      <c r="F504" s="8"/>
      <c r="G504" s="8"/>
      <c r="H504" s="8"/>
      <c r="I504" s="8"/>
      <c r="J504" s="8"/>
      <c r="K504" s="8"/>
      <c r="L504" s="8"/>
      <c r="M504" s="8"/>
      <c r="N504" s="8"/>
      <c r="O504" s="8"/>
      <c r="P504" s="8"/>
      <c r="Q504" s="8"/>
      <c r="R504" s="8"/>
      <c r="S504" s="8"/>
      <c r="T504" s="8"/>
      <c r="U504" s="12"/>
      <c r="V504" s="12"/>
      <c r="W504" s="12"/>
      <c r="X504" s="12"/>
      <c r="Y504" s="29"/>
      <c r="Z504" s="29"/>
      <c r="AA504" s="29"/>
      <c r="AB504" s="12"/>
      <c r="AC504" s="12"/>
      <c r="AD504" s="12"/>
      <c r="AE504" s="12"/>
      <c r="AF504" s="12"/>
    </row>
    <row r="505" spans="1:32">
      <c r="A505" s="8"/>
      <c r="B505" s="8"/>
      <c r="C505" s="8"/>
      <c r="D505" s="8"/>
      <c r="E505" s="8"/>
      <c r="F505" s="8"/>
      <c r="G505" s="8"/>
      <c r="H505" s="8"/>
      <c r="I505" s="8"/>
      <c r="J505" s="8"/>
      <c r="K505" s="8"/>
      <c r="L505" s="8"/>
      <c r="M505" s="8"/>
      <c r="N505" s="8"/>
      <c r="O505" s="8"/>
      <c r="P505" s="8"/>
      <c r="Q505" s="8"/>
      <c r="R505" s="8"/>
      <c r="S505" s="8"/>
      <c r="T505" s="8"/>
      <c r="U505" s="12"/>
      <c r="V505" s="12"/>
      <c r="W505" s="12"/>
      <c r="X505" s="12"/>
      <c r="Y505" s="29"/>
      <c r="Z505" s="29"/>
      <c r="AA505" s="29"/>
      <c r="AB505" s="12"/>
      <c r="AC505" s="12"/>
      <c r="AD505" s="12"/>
      <c r="AE505" s="12"/>
      <c r="AF505" s="12"/>
    </row>
    <row r="506" spans="1:32">
      <c r="A506" s="8"/>
      <c r="B506" s="8"/>
      <c r="C506" s="8"/>
      <c r="D506" s="8"/>
      <c r="E506" s="8"/>
      <c r="F506" s="8"/>
      <c r="G506" s="8"/>
      <c r="H506" s="8"/>
      <c r="I506" s="8"/>
      <c r="J506" s="8"/>
      <c r="K506" s="8"/>
      <c r="L506" s="8"/>
      <c r="M506" s="8"/>
      <c r="N506" s="8"/>
      <c r="O506" s="8"/>
      <c r="P506" s="8"/>
      <c r="Q506" s="8"/>
      <c r="R506" s="8"/>
      <c r="S506" s="8"/>
      <c r="T506" s="8"/>
      <c r="U506" s="12"/>
      <c r="V506" s="12"/>
      <c r="W506" s="12"/>
      <c r="X506" s="12"/>
      <c r="Y506" s="29"/>
      <c r="Z506" s="29"/>
      <c r="AA506" s="29"/>
      <c r="AB506" s="12"/>
      <c r="AC506" s="12"/>
      <c r="AD506" s="12"/>
      <c r="AE506" s="12"/>
      <c r="AF506" s="12"/>
    </row>
    <row r="507" spans="1:32">
      <c r="A507" s="8"/>
      <c r="B507" s="8"/>
      <c r="C507" s="8"/>
      <c r="D507" s="8"/>
      <c r="E507" s="8"/>
      <c r="F507" s="8"/>
      <c r="G507" s="8"/>
      <c r="H507" s="8"/>
      <c r="I507" s="8"/>
      <c r="J507" s="8"/>
      <c r="K507" s="8"/>
      <c r="L507" s="8"/>
      <c r="M507" s="8"/>
      <c r="N507" s="8"/>
      <c r="O507" s="8"/>
      <c r="P507" s="8"/>
      <c r="Q507" s="8"/>
      <c r="R507" s="8"/>
      <c r="S507" s="8"/>
      <c r="T507" s="8"/>
      <c r="U507" s="12"/>
      <c r="V507" s="12"/>
      <c r="W507" s="12"/>
      <c r="X507" s="12"/>
      <c r="Y507" s="29"/>
      <c r="Z507" s="29"/>
      <c r="AA507" s="29"/>
      <c r="AB507" s="12"/>
      <c r="AC507" s="12"/>
      <c r="AD507" s="12"/>
      <c r="AE507" s="12"/>
      <c r="AF507" s="12"/>
    </row>
    <row r="508" spans="1:32">
      <c r="A508" s="8"/>
      <c r="B508" s="8"/>
      <c r="C508" s="8"/>
      <c r="D508" s="8"/>
      <c r="E508" s="8"/>
      <c r="F508" s="8"/>
      <c r="G508" s="8"/>
      <c r="H508" s="8"/>
      <c r="I508" s="8"/>
      <c r="J508" s="8"/>
      <c r="K508" s="8"/>
      <c r="L508" s="8"/>
      <c r="M508" s="8"/>
      <c r="N508" s="8"/>
      <c r="O508" s="8"/>
      <c r="P508" s="8"/>
      <c r="Q508" s="8"/>
      <c r="R508" s="8"/>
      <c r="S508" s="8"/>
      <c r="T508" s="8"/>
      <c r="U508" s="12"/>
      <c r="V508" s="12"/>
      <c r="W508" s="12"/>
      <c r="X508" s="12"/>
      <c r="Y508" s="29"/>
      <c r="Z508" s="29"/>
      <c r="AA508" s="29"/>
      <c r="AB508" s="12"/>
      <c r="AC508" s="12"/>
      <c r="AD508" s="12"/>
      <c r="AE508" s="12"/>
      <c r="AF508" s="12"/>
    </row>
    <row r="509" spans="1:32">
      <c r="A509" s="8"/>
      <c r="B509" s="8"/>
      <c r="C509" s="8"/>
      <c r="D509" s="8"/>
      <c r="E509" s="8"/>
      <c r="F509" s="8"/>
      <c r="G509" s="8"/>
      <c r="H509" s="8"/>
      <c r="I509" s="8"/>
      <c r="J509" s="8"/>
      <c r="K509" s="8"/>
      <c r="L509" s="8"/>
      <c r="M509" s="8"/>
      <c r="N509" s="8"/>
      <c r="O509" s="8"/>
      <c r="P509" s="8"/>
      <c r="Q509" s="8"/>
      <c r="R509" s="8"/>
      <c r="S509" s="8"/>
      <c r="T509" s="8"/>
      <c r="U509" s="12"/>
      <c r="V509" s="12"/>
      <c r="W509" s="12"/>
      <c r="X509" s="12"/>
      <c r="Y509" s="29"/>
      <c r="Z509" s="29"/>
      <c r="AA509" s="29"/>
      <c r="AB509" s="12"/>
      <c r="AC509" s="12"/>
      <c r="AD509" s="12"/>
      <c r="AE509" s="12"/>
      <c r="AF509" s="12"/>
    </row>
    <row r="510" spans="1:32">
      <c r="A510" s="8"/>
      <c r="B510" s="8"/>
      <c r="C510" s="8"/>
      <c r="D510" s="8"/>
      <c r="E510" s="8"/>
      <c r="F510" s="8"/>
      <c r="G510" s="8"/>
      <c r="H510" s="8"/>
      <c r="I510" s="8"/>
      <c r="J510" s="8"/>
      <c r="K510" s="8"/>
      <c r="L510" s="8"/>
      <c r="M510" s="8"/>
      <c r="N510" s="8"/>
      <c r="O510" s="8"/>
      <c r="P510" s="8"/>
      <c r="Q510" s="8"/>
      <c r="R510" s="8"/>
      <c r="S510" s="8"/>
      <c r="T510" s="8"/>
      <c r="U510" s="12"/>
      <c r="V510" s="12"/>
      <c r="W510" s="12"/>
      <c r="X510" s="12"/>
      <c r="Y510" s="29"/>
      <c r="Z510" s="29"/>
      <c r="AA510" s="29"/>
      <c r="AB510" s="12"/>
      <c r="AC510" s="12"/>
      <c r="AD510" s="12"/>
      <c r="AE510" s="12"/>
      <c r="AF510" s="12"/>
    </row>
    <row r="511" spans="1:32">
      <c r="A511" s="8"/>
      <c r="B511" s="8"/>
      <c r="C511" s="8"/>
      <c r="D511" s="8"/>
      <c r="E511" s="8"/>
      <c r="F511" s="8"/>
      <c r="G511" s="8"/>
      <c r="H511" s="8"/>
      <c r="I511" s="8"/>
      <c r="J511" s="8"/>
      <c r="K511" s="8"/>
      <c r="L511" s="8"/>
      <c r="M511" s="8"/>
      <c r="N511" s="8"/>
      <c r="O511" s="8"/>
      <c r="P511" s="8"/>
      <c r="Q511" s="8"/>
      <c r="R511" s="8"/>
      <c r="S511" s="8"/>
      <c r="T511" s="8"/>
      <c r="U511" s="12"/>
      <c r="V511" s="12"/>
      <c r="W511" s="12"/>
      <c r="X511" s="12"/>
      <c r="Y511" s="29"/>
      <c r="Z511" s="29"/>
      <c r="AA511" s="29"/>
      <c r="AB511" s="12"/>
      <c r="AC511" s="12"/>
      <c r="AD511" s="12"/>
      <c r="AE511" s="12"/>
      <c r="AF511" s="12"/>
    </row>
    <row r="512" spans="1:32">
      <c r="A512" s="8"/>
      <c r="B512" s="8"/>
      <c r="C512" s="8"/>
      <c r="D512" s="8"/>
      <c r="E512" s="8"/>
      <c r="F512" s="8"/>
      <c r="G512" s="8"/>
      <c r="H512" s="8"/>
      <c r="I512" s="8"/>
      <c r="J512" s="8"/>
      <c r="K512" s="8"/>
      <c r="L512" s="8"/>
      <c r="M512" s="8"/>
      <c r="N512" s="8"/>
      <c r="O512" s="8"/>
      <c r="P512" s="8"/>
      <c r="Q512" s="8"/>
      <c r="R512" s="8"/>
      <c r="S512" s="8"/>
      <c r="T512" s="8"/>
      <c r="U512" s="12"/>
      <c r="V512" s="12"/>
      <c r="W512" s="12"/>
      <c r="X512" s="12"/>
      <c r="Y512" s="29"/>
      <c r="Z512" s="29"/>
      <c r="AA512" s="29"/>
      <c r="AB512" s="12"/>
      <c r="AC512" s="12"/>
      <c r="AD512" s="12"/>
      <c r="AE512" s="12"/>
      <c r="AF512" s="12"/>
    </row>
    <row r="513" spans="1:32">
      <c r="A513" s="8"/>
      <c r="B513" s="8"/>
      <c r="C513" s="8"/>
      <c r="D513" s="8"/>
      <c r="E513" s="8"/>
      <c r="F513" s="8"/>
      <c r="G513" s="8"/>
      <c r="H513" s="8"/>
      <c r="I513" s="8"/>
      <c r="J513" s="8"/>
      <c r="K513" s="8"/>
      <c r="L513" s="8"/>
      <c r="M513" s="8"/>
      <c r="N513" s="8"/>
      <c r="O513" s="8"/>
      <c r="P513" s="8"/>
      <c r="Q513" s="8"/>
      <c r="R513" s="8"/>
      <c r="S513" s="8"/>
      <c r="T513" s="8"/>
      <c r="U513" s="12"/>
      <c r="V513" s="12"/>
      <c r="W513" s="12"/>
      <c r="X513" s="12"/>
      <c r="Y513" s="29"/>
      <c r="Z513" s="29"/>
      <c r="AA513" s="29"/>
      <c r="AB513" s="12"/>
      <c r="AC513" s="12"/>
      <c r="AD513" s="12"/>
      <c r="AE513" s="12"/>
      <c r="AF513" s="12"/>
    </row>
    <row r="514" spans="1:32">
      <c r="A514" s="8"/>
      <c r="B514" s="8"/>
      <c r="C514" s="8"/>
      <c r="D514" s="8"/>
      <c r="E514" s="8"/>
      <c r="F514" s="8"/>
      <c r="G514" s="8"/>
      <c r="H514" s="8"/>
      <c r="I514" s="8"/>
      <c r="J514" s="8"/>
      <c r="K514" s="8"/>
      <c r="L514" s="8"/>
      <c r="M514" s="8"/>
      <c r="N514" s="8"/>
      <c r="O514" s="8"/>
      <c r="P514" s="8"/>
      <c r="Q514" s="8"/>
      <c r="R514" s="8"/>
      <c r="S514" s="8"/>
      <c r="T514" s="8"/>
      <c r="U514" s="12"/>
      <c r="V514" s="12"/>
      <c r="W514" s="12"/>
      <c r="X514" s="12"/>
      <c r="Y514" s="29"/>
      <c r="Z514" s="29"/>
      <c r="AA514" s="29"/>
      <c r="AB514" s="12"/>
      <c r="AC514" s="12"/>
      <c r="AD514" s="12"/>
      <c r="AE514" s="12"/>
      <c r="AF514" s="12"/>
    </row>
    <row r="515" spans="1:32">
      <c r="A515" s="8"/>
      <c r="B515" s="8"/>
      <c r="C515" s="8"/>
      <c r="D515" s="8"/>
      <c r="E515" s="8"/>
      <c r="F515" s="8"/>
      <c r="G515" s="8"/>
      <c r="H515" s="8"/>
      <c r="I515" s="8"/>
      <c r="J515" s="8"/>
      <c r="K515" s="8"/>
      <c r="L515" s="8"/>
      <c r="M515" s="8"/>
      <c r="N515" s="8"/>
      <c r="O515" s="8"/>
      <c r="P515" s="8"/>
      <c r="Q515" s="8"/>
      <c r="R515" s="8"/>
      <c r="S515" s="8"/>
      <c r="T515" s="8"/>
      <c r="U515" s="12"/>
      <c r="V515" s="12"/>
      <c r="W515" s="12"/>
      <c r="X515" s="12"/>
      <c r="Y515" s="29"/>
      <c r="Z515" s="29"/>
      <c r="AA515" s="29"/>
      <c r="AB515" s="12"/>
      <c r="AC515" s="12"/>
      <c r="AD515" s="12"/>
      <c r="AE515" s="12"/>
      <c r="AF515" s="12"/>
    </row>
    <row r="516" spans="1:32">
      <c r="A516" s="8"/>
      <c r="B516" s="8"/>
      <c r="C516" s="8"/>
      <c r="D516" s="8"/>
      <c r="E516" s="8"/>
      <c r="F516" s="8"/>
      <c r="G516" s="8"/>
      <c r="H516" s="8"/>
      <c r="I516" s="8"/>
      <c r="J516" s="8"/>
      <c r="K516" s="8"/>
      <c r="L516" s="8"/>
      <c r="M516" s="8"/>
      <c r="N516" s="8"/>
      <c r="O516" s="8"/>
      <c r="P516" s="8"/>
      <c r="Q516" s="8"/>
      <c r="R516" s="8"/>
      <c r="S516" s="8"/>
      <c r="T516" s="8"/>
      <c r="U516" s="12"/>
      <c r="V516" s="12"/>
      <c r="W516" s="12"/>
      <c r="X516" s="12"/>
      <c r="Y516" s="29"/>
      <c r="Z516" s="29"/>
      <c r="AA516" s="29"/>
      <c r="AB516" s="12"/>
      <c r="AC516" s="12"/>
      <c r="AD516" s="12"/>
      <c r="AE516" s="12"/>
      <c r="AF516" s="12"/>
    </row>
    <row r="517" spans="1:32">
      <c r="A517" s="8"/>
      <c r="B517" s="8"/>
      <c r="C517" s="8"/>
      <c r="D517" s="8"/>
      <c r="E517" s="8"/>
      <c r="F517" s="8"/>
      <c r="G517" s="8"/>
      <c r="H517" s="8"/>
      <c r="I517" s="8"/>
      <c r="J517" s="8"/>
      <c r="K517" s="8"/>
      <c r="L517" s="8"/>
      <c r="M517" s="8"/>
      <c r="N517" s="8"/>
      <c r="O517" s="8"/>
      <c r="P517" s="8"/>
      <c r="Q517" s="8"/>
      <c r="R517" s="8"/>
      <c r="S517" s="8"/>
      <c r="T517" s="8"/>
      <c r="U517" s="12"/>
      <c r="V517" s="12"/>
      <c r="W517" s="12"/>
      <c r="X517" s="12"/>
      <c r="Y517" s="29"/>
      <c r="Z517" s="29"/>
      <c r="AA517" s="29"/>
      <c r="AB517" s="12"/>
      <c r="AC517" s="12"/>
      <c r="AD517" s="12"/>
      <c r="AE517" s="12"/>
      <c r="AF517" s="12"/>
    </row>
    <row r="518" spans="1:32">
      <c r="A518" s="8"/>
      <c r="B518" s="8"/>
      <c r="C518" s="8"/>
      <c r="D518" s="8"/>
      <c r="E518" s="8"/>
      <c r="F518" s="8"/>
      <c r="G518" s="8"/>
      <c r="H518" s="8"/>
      <c r="I518" s="8"/>
      <c r="J518" s="8"/>
      <c r="K518" s="8"/>
      <c r="L518" s="8"/>
      <c r="M518" s="8"/>
      <c r="N518" s="8"/>
      <c r="O518" s="8"/>
      <c r="P518" s="8"/>
      <c r="Q518" s="8"/>
      <c r="R518" s="8"/>
      <c r="S518" s="8"/>
      <c r="T518" s="8"/>
      <c r="U518" s="12"/>
      <c r="V518" s="12"/>
      <c r="W518" s="12"/>
      <c r="X518" s="12"/>
      <c r="Y518" s="29"/>
      <c r="Z518" s="29"/>
      <c r="AA518" s="29"/>
      <c r="AB518" s="12"/>
      <c r="AC518" s="12"/>
      <c r="AD518" s="12"/>
      <c r="AE518" s="12"/>
      <c r="AF518" s="12"/>
    </row>
    <row r="519" spans="1:32">
      <c r="A519" s="8"/>
      <c r="B519" s="8"/>
      <c r="C519" s="8"/>
      <c r="D519" s="8"/>
      <c r="E519" s="8"/>
      <c r="F519" s="8"/>
      <c r="G519" s="8"/>
      <c r="H519" s="8"/>
      <c r="I519" s="8"/>
      <c r="J519" s="8"/>
      <c r="K519" s="8"/>
      <c r="L519" s="8"/>
      <c r="M519" s="8"/>
      <c r="N519" s="8"/>
      <c r="O519" s="8"/>
      <c r="P519" s="8"/>
      <c r="Q519" s="8"/>
      <c r="R519" s="8"/>
      <c r="S519" s="8"/>
      <c r="T519" s="8"/>
      <c r="U519" s="12"/>
      <c r="V519" s="12"/>
      <c r="W519" s="12"/>
      <c r="X519" s="12"/>
      <c r="Y519" s="29"/>
      <c r="Z519" s="29"/>
      <c r="AA519" s="29"/>
      <c r="AB519" s="12"/>
      <c r="AC519" s="12"/>
      <c r="AD519" s="12"/>
      <c r="AE519" s="12"/>
      <c r="AF519" s="12"/>
    </row>
    <row r="520" spans="1:32">
      <c r="A520" s="8"/>
      <c r="B520" s="8"/>
      <c r="C520" s="8"/>
      <c r="D520" s="8"/>
      <c r="E520" s="8"/>
      <c r="F520" s="8"/>
      <c r="G520" s="8"/>
      <c r="H520" s="8"/>
      <c r="I520" s="8"/>
      <c r="J520" s="8"/>
      <c r="K520" s="8"/>
      <c r="L520" s="8"/>
      <c r="M520" s="8"/>
      <c r="N520" s="8"/>
      <c r="O520" s="8"/>
      <c r="P520" s="8"/>
      <c r="Q520" s="8"/>
      <c r="R520" s="8"/>
      <c r="S520" s="8"/>
      <c r="T520" s="8"/>
      <c r="U520" s="12"/>
      <c r="V520" s="12"/>
      <c r="W520" s="12"/>
      <c r="X520" s="12"/>
      <c r="Y520" s="29"/>
      <c r="Z520" s="29"/>
      <c r="AA520" s="29"/>
      <c r="AB520" s="12"/>
      <c r="AC520" s="12"/>
      <c r="AD520" s="12"/>
      <c r="AE520" s="12"/>
      <c r="AF520" s="12"/>
    </row>
    <row r="521" spans="1:32">
      <c r="A521" s="8"/>
      <c r="B521" s="8"/>
      <c r="C521" s="8"/>
      <c r="D521" s="8"/>
      <c r="E521" s="8"/>
      <c r="F521" s="8"/>
      <c r="G521" s="8"/>
      <c r="H521" s="8"/>
      <c r="I521" s="8"/>
      <c r="J521" s="8"/>
      <c r="K521" s="8"/>
      <c r="L521" s="8"/>
      <c r="M521" s="8"/>
      <c r="N521" s="8"/>
      <c r="O521" s="8"/>
      <c r="P521" s="8"/>
      <c r="Q521" s="8"/>
      <c r="R521" s="8"/>
      <c r="S521" s="8"/>
      <c r="T521" s="8"/>
      <c r="U521" s="12"/>
      <c r="V521" s="12"/>
      <c r="W521" s="12"/>
      <c r="X521" s="12"/>
      <c r="Y521" s="29"/>
      <c r="Z521" s="29"/>
      <c r="AA521" s="29"/>
      <c r="AB521" s="12"/>
      <c r="AC521" s="12"/>
      <c r="AD521" s="12"/>
      <c r="AE521" s="12"/>
      <c r="AF521" s="12"/>
    </row>
    <row r="522" spans="1:32">
      <c r="A522" s="8"/>
      <c r="B522" s="8"/>
      <c r="C522" s="8"/>
      <c r="D522" s="8"/>
      <c r="E522" s="8"/>
      <c r="F522" s="8"/>
      <c r="G522" s="8"/>
      <c r="H522" s="8"/>
      <c r="I522" s="8"/>
      <c r="J522" s="8"/>
      <c r="K522" s="8"/>
      <c r="L522" s="8"/>
      <c r="M522" s="8"/>
      <c r="N522" s="8"/>
      <c r="O522" s="8"/>
      <c r="P522" s="8"/>
      <c r="Q522" s="8"/>
      <c r="R522" s="8"/>
      <c r="S522" s="8"/>
      <c r="T522" s="8"/>
      <c r="U522" s="12"/>
      <c r="V522" s="12"/>
      <c r="W522" s="12"/>
      <c r="X522" s="12"/>
      <c r="Y522" s="29"/>
      <c r="Z522" s="29"/>
      <c r="AA522" s="29"/>
      <c r="AB522" s="12"/>
      <c r="AC522" s="12"/>
      <c r="AD522" s="12"/>
      <c r="AE522" s="12"/>
      <c r="AF522" s="12"/>
    </row>
    <row r="523" spans="1:32">
      <c r="A523" s="8"/>
      <c r="B523" s="8"/>
      <c r="C523" s="8"/>
      <c r="D523" s="8"/>
      <c r="E523" s="8"/>
      <c r="F523" s="8"/>
      <c r="G523" s="8"/>
      <c r="H523" s="8"/>
      <c r="I523" s="8"/>
      <c r="J523" s="8"/>
      <c r="K523" s="8"/>
      <c r="L523" s="8"/>
      <c r="M523" s="8"/>
      <c r="N523" s="8"/>
      <c r="O523" s="8"/>
      <c r="P523" s="8"/>
      <c r="Q523" s="8"/>
      <c r="R523" s="8"/>
      <c r="S523" s="8"/>
      <c r="T523" s="8"/>
      <c r="U523" s="12"/>
      <c r="V523" s="12"/>
      <c r="W523" s="12"/>
      <c r="X523" s="12"/>
      <c r="Y523" s="29"/>
      <c r="Z523" s="29"/>
      <c r="AA523" s="29"/>
      <c r="AB523" s="12"/>
      <c r="AC523" s="12"/>
      <c r="AD523" s="12"/>
      <c r="AE523" s="12"/>
      <c r="AF523" s="12"/>
    </row>
    <row r="524" spans="1:32">
      <c r="A524" s="8"/>
      <c r="B524" s="8"/>
      <c r="C524" s="8"/>
      <c r="D524" s="8"/>
      <c r="E524" s="8"/>
      <c r="F524" s="8"/>
      <c r="G524" s="8"/>
      <c r="H524" s="8"/>
      <c r="I524" s="8"/>
      <c r="J524" s="8"/>
      <c r="K524" s="8"/>
      <c r="L524" s="8"/>
      <c r="M524" s="8"/>
      <c r="N524" s="8"/>
      <c r="O524" s="8"/>
      <c r="P524" s="8"/>
      <c r="Q524" s="8"/>
      <c r="R524" s="8"/>
      <c r="S524" s="8"/>
      <c r="T524" s="8"/>
      <c r="U524" s="12"/>
      <c r="V524" s="12"/>
      <c r="W524" s="12"/>
      <c r="X524" s="12"/>
      <c r="Y524" s="29"/>
      <c r="Z524" s="29"/>
      <c r="AA524" s="29"/>
      <c r="AB524" s="12"/>
      <c r="AC524" s="12"/>
      <c r="AD524" s="12"/>
      <c r="AE524" s="12"/>
      <c r="AF524" s="12"/>
    </row>
    <row r="525" spans="1:32">
      <c r="A525" s="8"/>
      <c r="B525" s="8"/>
      <c r="C525" s="8"/>
      <c r="D525" s="8"/>
      <c r="E525" s="8"/>
      <c r="F525" s="8"/>
      <c r="G525" s="8"/>
      <c r="H525" s="8"/>
      <c r="I525" s="8"/>
      <c r="J525" s="8"/>
      <c r="K525" s="8"/>
      <c r="L525" s="8"/>
      <c r="M525" s="8"/>
      <c r="N525" s="8"/>
      <c r="O525" s="8"/>
      <c r="P525" s="8"/>
      <c r="Q525" s="8"/>
      <c r="R525" s="8"/>
      <c r="S525" s="8"/>
      <c r="T525" s="8"/>
      <c r="U525" s="12"/>
      <c r="V525" s="12"/>
      <c r="W525" s="12"/>
      <c r="X525" s="12"/>
      <c r="Y525" s="29"/>
      <c r="Z525" s="29"/>
      <c r="AA525" s="29"/>
      <c r="AB525" s="12"/>
      <c r="AC525" s="12"/>
      <c r="AD525" s="12"/>
      <c r="AE525" s="12"/>
      <c r="AF525" s="12"/>
    </row>
    <row r="526" spans="1:32">
      <c r="A526" s="8"/>
      <c r="B526" s="8"/>
      <c r="C526" s="8"/>
      <c r="D526" s="8"/>
      <c r="E526" s="8"/>
      <c r="F526" s="8"/>
      <c r="G526" s="8"/>
      <c r="H526" s="8"/>
      <c r="I526" s="8"/>
      <c r="J526" s="8"/>
      <c r="K526" s="8"/>
      <c r="L526" s="8"/>
      <c r="M526" s="8"/>
      <c r="N526" s="8"/>
      <c r="O526" s="8"/>
      <c r="P526" s="8"/>
      <c r="Q526" s="8"/>
      <c r="R526" s="8"/>
      <c r="S526" s="8"/>
      <c r="T526" s="8"/>
      <c r="U526" s="12"/>
      <c r="V526" s="12"/>
      <c r="W526" s="12"/>
      <c r="X526" s="12"/>
      <c r="Y526" s="29"/>
      <c r="Z526" s="29"/>
      <c r="AA526" s="29"/>
      <c r="AB526" s="12"/>
      <c r="AC526" s="12"/>
      <c r="AD526" s="12"/>
      <c r="AE526" s="12"/>
      <c r="AF526" s="12"/>
    </row>
    <row r="527" spans="1:32">
      <c r="A527" s="8"/>
      <c r="B527" s="8"/>
      <c r="C527" s="8"/>
      <c r="D527" s="8"/>
      <c r="E527" s="8"/>
      <c r="F527" s="8"/>
      <c r="G527" s="8"/>
      <c r="H527" s="8"/>
      <c r="I527" s="8"/>
      <c r="J527" s="8"/>
      <c r="K527" s="8"/>
      <c r="L527" s="8"/>
      <c r="M527" s="8"/>
      <c r="N527" s="8"/>
      <c r="O527" s="8"/>
      <c r="P527" s="8"/>
      <c r="Q527" s="8"/>
      <c r="R527" s="8"/>
      <c r="S527" s="8"/>
      <c r="T527" s="8"/>
      <c r="U527" s="12"/>
      <c r="V527" s="12"/>
      <c r="W527" s="12"/>
      <c r="X527" s="12"/>
      <c r="Y527" s="29"/>
      <c r="Z527" s="29"/>
      <c r="AA527" s="29"/>
      <c r="AB527" s="12"/>
      <c r="AC527" s="12"/>
      <c r="AD527" s="12"/>
      <c r="AE527" s="12"/>
      <c r="AF527" s="12"/>
    </row>
    <row r="528" spans="1:32">
      <c r="A528" s="8"/>
      <c r="B528" s="8"/>
      <c r="C528" s="8"/>
      <c r="D528" s="8"/>
      <c r="E528" s="8"/>
      <c r="F528" s="8"/>
      <c r="G528" s="8"/>
      <c r="H528" s="8"/>
      <c r="I528" s="8"/>
      <c r="J528" s="8"/>
      <c r="K528" s="8"/>
      <c r="L528" s="8"/>
      <c r="M528" s="8"/>
      <c r="N528" s="8"/>
      <c r="O528" s="8"/>
      <c r="P528" s="8"/>
      <c r="Q528" s="8"/>
      <c r="R528" s="8"/>
      <c r="S528" s="8"/>
      <c r="T528" s="8"/>
      <c r="U528" s="12"/>
      <c r="V528" s="12"/>
      <c r="W528" s="12"/>
      <c r="X528" s="12"/>
      <c r="Y528" s="29"/>
      <c r="Z528" s="29"/>
      <c r="AA528" s="29"/>
      <c r="AB528" s="12"/>
      <c r="AC528" s="12"/>
      <c r="AD528" s="12"/>
      <c r="AE528" s="12"/>
      <c r="AF528" s="12"/>
    </row>
    <row r="529" spans="1:32">
      <c r="A529" s="8"/>
      <c r="B529" s="8"/>
      <c r="C529" s="8"/>
      <c r="D529" s="8"/>
      <c r="E529" s="8"/>
      <c r="F529" s="8"/>
      <c r="G529" s="8"/>
      <c r="H529" s="8"/>
      <c r="I529" s="8"/>
      <c r="J529" s="8"/>
      <c r="K529" s="8"/>
      <c r="L529" s="8"/>
      <c r="M529" s="8"/>
      <c r="N529" s="8"/>
      <c r="O529" s="8"/>
      <c r="P529" s="8"/>
      <c r="Q529" s="8"/>
      <c r="R529" s="8"/>
      <c r="S529" s="8"/>
      <c r="T529" s="8"/>
      <c r="U529" s="12"/>
      <c r="V529" s="12"/>
      <c r="W529" s="12"/>
      <c r="X529" s="12"/>
      <c r="Y529" s="29"/>
      <c r="Z529" s="29"/>
      <c r="AA529" s="29"/>
      <c r="AB529" s="12"/>
      <c r="AC529" s="12"/>
      <c r="AD529" s="12"/>
      <c r="AE529" s="12"/>
      <c r="AF529" s="12"/>
    </row>
    <row r="530" spans="1:32">
      <c r="A530" s="8"/>
      <c r="B530" s="8"/>
      <c r="C530" s="8"/>
      <c r="D530" s="8"/>
      <c r="E530" s="8"/>
      <c r="F530" s="8"/>
      <c r="G530" s="8"/>
      <c r="H530" s="8"/>
      <c r="I530" s="8"/>
      <c r="J530" s="8"/>
      <c r="K530" s="8"/>
      <c r="L530" s="8"/>
      <c r="M530" s="8"/>
      <c r="N530" s="8"/>
      <c r="O530" s="8"/>
      <c r="P530" s="8"/>
      <c r="Q530" s="8"/>
      <c r="R530" s="8"/>
      <c r="S530" s="8"/>
      <c r="T530" s="8"/>
      <c r="U530" s="12"/>
      <c r="V530" s="12"/>
      <c r="W530" s="12"/>
      <c r="X530" s="12"/>
      <c r="Y530" s="29"/>
      <c r="Z530" s="29"/>
      <c r="AA530" s="29"/>
      <c r="AB530" s="12"/>
      <c r="AC530" s="12"/>
      <c r="AD530" s="12"/>
      <c r="AE530" s="12"/>
      <c r="AF530" s="12"/>
    </row>
    <row r="531" spans="1:32">
      <c r="A531" s="8"/>
      <c r="B531" s="8"/>
      <c r="C531" s="8"/>
      <c r="D531" s="8"/>
      <c r="E531" s="8"/>
      <c r="F531" s="8"/>
      <c r="G531" s="8"/>
      <c r="H531" s="8"/>
      <c r="I531" s="8"/>
      <c r="J531" s="8"/>
      <c r="K531" s="8"/>
      <c r="L531" s="8"/>
      <c r="M531" s="8"/>
      <c r="N531" s="8"/>
      <c r="O531" s="8"/>
      <c r="P531" s="8"/>
      <c r="Q531" s="8"/>
      <c r="R531" s="8"/>
      <c r="S531" s="8"/>
      <c r="T531" s="8"/>
      <c r="U531" s="12"/>
      <c r="V531" s="12"/>
      <c r="W531" s="12"/>
      <c r="X531" s="12"/>
      <c r="Y531" s="29"/>
      <c r="Z531" s="29"/>
      <c r="AA531" s="29"/>
      <c r="AB531" s="12"/>
      <c r="AC531" s="12"/>
      <c r="AD531" s="12"/>
      <c r="AE531" s="12"/>
      <c r="AF531" s="12"/>
    </row>
    <row r="532" spans="1:32">
      <c r="A532" s="8"/>
      <c r="B532" s="8"/>
      <c r="C532" s="8"/>
      <c r="D532" s="8"/>
      <c r="E532" s="8"/>
      <c r="F532" s="8"/>
      <c r="G532" s="8"/>
      <c r="H532" s="8"/>
      <c r="I532" s="8"/>
      <c r="J532" s="8"/>
      <c r="K532" s="8"/>
      <c r="L532" s="8"/>
      <c r="M532" s="8"/>
      <c r="N532" s="8"/>
      <c r="O532" s="8"/>
      <c r="P532" s="8"/>
      <c r="Q532" s="8"/>
      <c r="R532" s="8"/>
      <c r="S532" s="8"/>
      <c r="T532" s="8"/>
      <c r="U532" s="12"/>
      <c r="V532" s="12"/>
      <c r="W532" s="12"/>
      <c r="X532" s="12"/>
      <c r="Y532" s="29"/>
      <c r="Z532" s="29"/>
      <c r="AA532" s="29"/>
      <c r="AB532" s="12"/>
      <c r="AC532" s="12"/>
      <c r="AD532" s="12"/>
      <c r="AE532" s="12"/>
      <c r="AF532" s="12"/>
    </row>
    <row r="533" spans="1:32">
      <c r="A533" s="8"/>
      <c r="B533" s="8"/>
      <c r="C533" s="8"/>
      <c r="D533" s="8"/>
      <c r="E533" s="8"/>
      <c r="F533" s="8"/>
      <c r="G533" s="8"/>
      <c r="H533" s="8"/>
      <c r="I533" s="8"/>
      <c r="J533" s="8"/>
      <c r="K533" s="8"/>
      <c r="L533" s="8"/>
      <c r="M533" s="8"/>
      <c r="N533" s="8"/>
      <c r="O533" s="8"/>
      <c r="P533" s="8"/>
      <c r="Q533" s="8"/>
      <c r="R533" s="8"/>
      <c r="S533" s="8"/>
      <c r="T533" s="8"/>
      <c r="U533" s="12"/>
      <c r="V533" s="12"/>
      <c r="W533" s="12"/>
      <c r="X533" s="12"/>
      <c r="Y533" s="29"/>
      <c r="Z533" s="29"/>
      <c r="AA533" s="29"/>
      <c r="AB533" s="12"/>
      <c r="AC533" s="12"/>
      <c r="AD533" s="12"/>
      <c r="AE533" s="12"/>
      <c r="AF533" s="12"/>
    </row>
    <row r="534" spans="1:32">
      <c r="A534" s="8"/>
      <c r="B534" s="8"/>
      <c r="C534" s="8"/>
      <c r="D534" s="8"/>
      <c r="E534" s="8"/>
      <c r="F534" s="8"/>
      <c r="G534" s="8"/>
      <c r="H534" s="8"/>
      <c r="I534" s="8"/>
      <c r="J534" s="8"/>
      <c r="K534" s="8"/>
      <c r="L534" s="8"/>
      <c r="M534" s="8"/>
      <c r="N534" s="8"/>
      <c r="O534" s="8"/>
      <c r="P534" s="8"/>
      <c r="Q534" s="8"/>
      <c r="R534" s="8"/>
      <c r="S534" s="8"/>
      <c r="T534" s="8"/>
      <c r="U534" s="12"/>
      <c r="V534" s="12"/>
      <c r="W534" s="12"/>
      <c r="X534" s="12"/>
      <c r="Y534" s="29"/>
      <c r="Z534" s="29"/>
      <c r="AA534" s="29"/>
      <c r="AB534" s="12"/>
      <c r="AC534" s="12"/>
      <c r="AD534" s="12"/>
      <c r="AE534" s="12"/>
      <c r="AF534" s="12"/>
    </row>
    <row r="535" spans="1:32">
      <c r="A535" s="8"/>
      <c r="B535" s="8"/>
      <c r="C535" s="8"/>
      <c r="D535" s="8"/>
      <c r="E535" s="8"/>
      <c r="F535" s="8"/>
      <c r="G535" s="8"/>
      <c r="H535" s="8"/>
      <c r="I535" s="8"/>
      <c r="J535" s="8"/>
      <c r="K535" s="8"/>
      <c r="L535" s="8"/>
      <c r="M535" s="8"/>
      <c r="N535" s="8"/>
      <c r="O535" s="8"/>
      <c r="P535" s="8"/>
      <c r="Q535" s="8"/>
      <c r="R535" s="8"/>
      <c r="S535" s="8"/>
      <c r="T535" s="8"/>
      <c r="U535" s="12"/>
      <c r="V535" s="12"/>
      <c r="W535" s="12"/>
      <c r="X535" s="12"/>
      <c r="Y535" s="29"/>
      <c r="Z535" s="29"/>
      <c r="AA535" s="29"/>
      <c r="AB535" s="12"/>
      <c r="AC535" s="12"/>
      <c r="AD535" s="12"/>
      <c r="AE535" s="12"/>
      <c r="AF535" s="12"/>
    </row>
    <row r="536" spans="1:32">
      <c r="A536" s="8"/>
      <c r="B536" s="8"/>
      <c r="C536" s="8"/>
      <c r="D536" s="8"/>
      <c r="E536" s="8"/>
      <c r="F536" s="8"/>
      <c r="G536" s="8"/>
      <c r="H536" s="8"/>
      <c r="I536" s="8"/>
      <c r="J536" s="8"/>
      <c r="K536" s="8"/>
      <c r="L536" s="8"/>
      <c r="M536" s="8"/>
      <c r="N536" s="8"/>
      <c r="O536" s="8"/>
      <c r="P536" s="8"/>
      <c r="Q536" s="8"/>
      <c r="R536" s="8"/>
      <c r="S536" s="8"/>
      <c r="T536" s="8"/>
      <c r="U536" s="12"/>
      <c r="V536" s="12"/>
      <c r="W536" s="12"/>
      <c r="X536" s="12"/>
      <c r="Y536" s="29"/>
      <c r="Z536" s="29"/>
      <c r="AA536" s="29"/>
      <c r="AB536" s="12"/>
      <c r="AC536" s="12"/>
      <c r="AD536" s="12"/>
      <c r="AE536" s="12"/>
      <c r="AF536" s="12"/>
    </row>
    <row r="537" spans="1:32">
      <c r="A537" s="8"/>
      <c r="B537" s="8"/>
      <c r="C537" s="8"/>
      <c r="D537" s="8"/>
      <c r="E537" s="8"/>
      <c r="F537" s="8"/>
      <c r="G537" s="8"/>
      <c r="H537" s="8"/>
      <c r="I537" s="8"/>
      <c r="J537" s="8"/>
      <c r="K537" s="8"/>
      <c r="L537" s="8"/>
      <c r="M537" s="8"/>
      <c r="N537" s="8"/>
      <c r="O537" s="8"/>
      <c r="P537" s="8"/>
      <c r="Q537" s="8"/>
      <c r="R537" s="8"/>
      <c r="S537" s="8"/>
      <c r="T537" s="8"/>
      <c r="U537" s="12"/>
      <c r="V537" s="12"/>
      <c r="W537" s="12"/>
      <c r="X537" s="12"/>
      <c r="Y537" s="29"/>
      <c r="Z537" s="29"/>
      <c r="AA537" s="29"/>
      <c r="AB537" s="12"/>
      <c r="AC537" s="12"/>
      <c r="AD537" s="12"/>
      <c r="AE537" s="12"/>
      <c r="AF537" s="12"/>
    </row>
    <row r="538" spans="1:32">
      <c r="A538" s="8"/>
      <c r="B538" s="8"/>
      <c r="C538" s="8"/>
      <c r="D538" s="8"/>
      <c r="E538" s="8"/>
      <c r="F538" s="8"/>
      <c r="G538" s="8"/>
      <c r="H538" s="8"/>
      <c r="I538" s="8"/>
      <c r="J538" s="8"/>
      <c r="K538" s="8"/>
      <c r="L538" s="8"/>
      <c r="M538" s="8"/>
      <c r="N538" s="8"/>
      <c r="O538" s="8"/>
      <c r="P538" s="8"/>
      <c r="Q538" s="8"/>
      <c r="R538" s="8"/>
      <c r="S538" s="8"/>
      <c r="T538" s="8"/>
      <c r="U538" s="12"/>
      <c r="V538" s="12"/>
      <c r="W538" s="12"/>
      <c r="X538" s="12"/>
      <c r="Y538" s="29"/>
      <c r="Z538" s="29"/>
      <c r="AA538" s="29"/>
      <c r="AB538" s="12"/>
      <c r="AC538" s="12"/>
      <c r="AD538" s="12"/>
      <c r="AE538" s="12"/>
      <c r="AF538" s="12"/>
    </row>
    <row r="539" spans="1:32">
      <c r="A539" s="8"/>
      <c r="B539" s="8"/>
      <c r="C539" s="8"/>
      <c r="D539" s="8"/>
      <c r="E539" s="8"/>
      <c r="F539" s="8"/>
      <c r="G539" s="8"/>
      <c r="H539" s="8"/>
      <c r="I539" s="8"/>
      <c r="J539" s="8"/>
      <c r="K539" s="8"/>
      <c r="L539" s="8"/>
      <c r="M539" s="8"/>
      <c r="N539" s="8"/>
      <c r="O539" s="8"/>
      <c r="P539" s="8"/>
      <c r="Q539" s="8"/>
      <c r="R539" s="8"/>
      <c r="S539" s="8"/>
      <c r="T539" s="8"/>
      <c r="U539" s="12"/>
      <c r="V539" s="12"/>
      <c r="W539" s="12"/>
      <c r="X539" s="12"/>
      <c r="Y539" s="29"/>
      <c r="Z539" s="29"/>
      <c r="AA539" s="29"/>
      <c r="AB539" s="12"/>
      <c r="AC539" s="12"/>
      <c r="AD539" s="12"/>
      <c r="AE539" s="12"/>
      <c r="AF539" s="12"/>
    </row>
    <row r="540" spans="1:32">
      <c r="A540" s="8"/>
      <c r="B540" s="8"/>
      <c r="C540" s="8"/>
      <c r="D540" s="8"/>
      <c r="E540" s="8"/>
      <c r="F540" s="8"/>
      <c r="G540" s="8"/>
      <c r="H540" s="8"/>
      <c r="I540" s="8"/>
      <c r="J540" s="8"/>
      <c r="K540" s="8"/>
      <c r="L540" s="8"/>
      <c r="M540" s="8"/>
      <c r="N540" s="8"/>
      <c r="O540" s="8"/>
      <c r="P540" s="8"/>
      <c r="Q540" s="8"/>
      <c r="R540" s="8"/>
      <c r="S540" s="8"/>
      <c r="T540" s="8"/>
      <c r="U540" s="12"/>
      <c r="V540" s="12"/>
      <c r="W540" s="12"/>
      <c r="X540" s="12"/>
      <c r="Y540" s="29"/>
      <c r="Z540" s="29"/>
      <c r="AA540" s="29"/>
      <c r="AB540" s="12"/>
      <c r="AC540" s="12"/>
      <c r="AD540" s="12"/>
      <c r="AE540" s="12"/>
      <c r="AF540" s="12"/>
    </row>
    <row r="541" spans="1:32">
      <c r="A541" s="8"/>
      <c r="B541" s="8"/>
      <c r="C541" s="8"/>
      <c r="D541" s="8"/>
      <c r="E541" s="8"/>
      <c r="F541" s="8"/>
      <c r="G541" s="8"/>
      <c r="H541" s="8"/>
      <c r="I541" s="8"/>
      <c r="J541" s="8"/>
      <c r="K541" s="8"/>
      <c r="L541" s="8"/>
      <c r="M541" s="8"/>
      <c r="N541" s="8"/>
      <c r="O541" s="8"/>
      <c r="P541" s="8"/>
      <c r="Q541" s="8"/>
      <c r="R541" s="8"/>
      <c r="S541" s="8"/>
      <c r="T541" s="8"/>
      <c r="U541" s="12"/>
      <c r="V541" s="12"/>
      <c r="W541" s="12"/>
      <c r="X541" s="12"/>
      <c r="Y541" s="29"/>
      <c r="Z541" s="29"/>
      <c r="AA541" s="29"/>
      <c r="AB541" s="12"/>
      <c r="AC541" s="12"/>
      <c r="AD541" s="12"/>
      <c r="AE541" s="12"/>
      <c r="AF541" s="12"/>
    </row>
    <row r="542" spans="1:32">
      <c r="A542" s="8"/>
      <c r="B542" s="8"/>
      <c r="C542" s="8"/>
      <c r="D542" s="8"/>
      <c r="E542" s="8"/>
      <c r="F542" s="8"/>
      <c r="G542" s="8"/>
      <c r="H542" s="8"/>
      <c r="I542" s="8"/>
      <c r="J542" s="8"/>
      <c r="K542" s="8"/>
      <c r="L542" s="8"/>
      <c r="M542" s="8"/>
      <c r="N542" s="8"/>
      <c r="O542" s="8"/>
      <c r="P542" s="8"/>
      <c r="Q542" s="8"/>
      <c r="R542" s="8"/>
      <c r="S542" s="8"/>
      <c r="T542" s="8"/>
      <c r="U542" s="12"/>
      <c r="V542" s="12"/>
      <c r="W542" s="12"/>
      <c r="X542" s="12"/>
      <c r="Y542" s="29"/>
      <c r="Z542" s="29"/>
      <c r="AA542" s="29"/>
      <c r="AB542" s="12"/>
      <c r="AC542" s="12"/>
      <c r="AD542" s="12"/>
      <c r="AE542" s="12"/>
      <c r="AF542" s="12"/>
    </row>
    <row r="543" spans="1:32">
      <c r="A543" s="8"/>
      <c r="B543" s="8"/>
      <c r="C543" s="8"/>
      <c r="D543" s="8"/>
      <c r="E543" s="8"/>
      <c r="F543" s="8"/>
      <c r="G543" s="8"/>
      <c r="H543" s="8"/>
      <c r="I543" s="8"/>
      <c r="J543" s="8"/>
      <c r="K543" s="8"/>
      <c r="L543" s="8"/>
      <c r="M543" s="8"/>
      <c r="N543" s="8"/>
      <c r="O543" s="8"/>
      <c r="P543" s="8"/>
      <c r="Q543" s="8"/>
      <c r="R543" s="8"/>
      <c r="S543" s="8"/>
      <c r="T543" s="8"/>
      <c r="U543" s="12"/>
      <c r="V543" s="12"/>
      <c r="W543" s="12"/>
      <c r="X543" s="12"/>
      <c r="Y543" s="29"/>
      <c r="Z543" s="29"/>
      <c r="AA543" s="29"/>
      <c r="AB543" s="12"/>
      <c r="AC543" s="12"/>
      <c r="AD543" s="12"/>
      <c r="AE543" s="12"/>
      <c r="AF543" s="12"/>
    </row>
    <row r="544" spans="1:32">
      <c r="A544" s="8"/>
      <c r="B544" s="8"/>
      <c r="C544" s="8"/>
      <c r="D544" s="8"/>
      <c r="E544" s="8"/>
      <c r="F544" s="8"/>
      <c r="G544" s="8"/>
      <c r="H544" s="8"/>
      <c r="I544" s="8"/>
      <c r="J544" s="8"/>
      <c r="K544" s="8"/>
      <c r="L544" s="8"/>
      <c r="M544" s="8"/>
      <c r="N544" s="8"/>
      <c r="O544" s="8"/>
      <c r="P544" s="8"/>
      <c r="Q544" s="8"/>
      <c r="R544" s="8"/>
      <c r="S544" s="8"/>
      <c r="T544" s="8"/>
      <c r="U544" s="12"/>
      <c r="V544" s="12"/>
      <c r="W544" s="12"/>
      <c r="X544" s="12"/>
      <c r="Y544" s="29"/>
      <c r="Z544" s="29"/>
      <c r="AA544" s="29"/>
      <c r="AB544" s="12"/>
      <c r="AC544" s="12"/>
      <c r="AD544" s="12"/>
      <c r="AE544" s="12"/>
      <c r="AF544" s="12"/>
    </row>
    <row r="545" spans="1:32">
      <c r="A545" s="8"/>
      <c r="B545" s="8"/>
      <c r="C545" s="8"/>
      <c r="D545" s="8"/>
      <c r="E545" s="8"/>
      <c r="F545" s="8"/>
      <c r="G545" s="8"/>
      <c r="H545" s="8"/>
      <c r="I545" s="8"/>
      <c r="J545" s="8"/>
      <c r="K545" s="8"/>
      <c r="L545" s="8"/>
      <c r="M545" s="8"/>
      <c r="N545" s="8"/>
      <c r="O545" s="8"/>
      <c r="P545" s="8"/>
      <c r="Q545" s="8"/>
      <c r="R545" s="8"/>
      <c r="S545" s="8"/>
      <c r="T545" s="8"/>
      <c r="U545" s="12"/>
      <c r="V545" s="12"/>
      <c r="W545" s="12"/>
      <c r="X545" s="12"/>
      <c r="Y545" s="29"/>
      <c r="Z545" s="29"/>
      <c r="AA545" s="29"/>
      <c r="AB545" s="12"/>
      <c r="AC545" s="12"/>
      <c r="AD545" s="12"/>
      <c r="AE545" s="12"/>
      <c r="AF545" s="12"/>
    </row>
    <row r="546" spans="1:32">
      <c r="A546" s="8"/>
      <c r="B546" s="8"/>
      <c r="C546" s="8"/>
      <c r="D546" s="8"/>
      <c r="E546" s="8"/>
      <c r="F546" s="8"/>
      <c r="G546" s="8"/>
      <c r="H546" s="8"/>
      <c r="I546" s="8"/>
      <c r="J546" s="8"/>
      <c r="K546" s="8"/>
      <c r="L546" s="8"/>
      <c r="M546" s="8"/>
      <c r="N546" s="8"/>
      <c r="O546" s="8"/>
      <c r="P546" s="8"/>
      <c r="Q546" s="8"/>
      <c r="R546" s="8"/>
      <c r="S546" s="8"/>
      <c r="T546" s="8"/>
      <c r="U546" s="12"/>
      <c r="V546" s="12"/>
      <c r="W546" s="12"/>
      <c r="X546" s="12"/>
      <c r="Y546" s="29"/>
      <c r="Z546" s="29"/>
      <c r="AA546" s="29"/>
      <c r="AB546" s="12"/>
      <c r="AC546" s="12"/>
      <c r="AD546" s="12"/>
      <c r="AE546" s="12"/>
      <c r="AF546" s="12"/>
    </row>
    <row r="547" spans="1:32">
      <c r="A547" s="8"/>
      <c r="B547" s="8"/>
      <c r="C547" s="8"/>
      <c r="D547" s="8"/>
      <c r="E547" s="8"/>
      <c r="F547" s="8"/>
      <c r="G547" s="8"/>
      <c r="H547" s="8"/>
      <c r="I547" s="8"/>
      <c r="J547" s="8"/>
      <c r="K547" s="8"/>
      <c r="L547" s="8"/>
      <c r="M547" s="8"/>
      <c r="N547" s="8"/>
      <c r="O547" s="8"/>
      <c r="P547" s="8"/>
      <c r="Q547" s="8"/>
      <c r="R547" s="8"/>
      <c r="S547" s="8"/>
      <c r="T547" s="8"/>
      <c r="U547" s="12"/>
      <c r="V547" s="12"/>
      <c r="W547" s="12"/>
      <c r="X547" s="12"/>
      <c r="Y547" s="29"/>
      <c r="Z547" s="29"/>
      <c r="AA547" s="29"/>
      <c r="AB547" s="12"/>
      <c r="AC547" s="12"/>
      <c r="AD547" s="12"/>
      <c r="AE547" s="12"/>
      <c r="AF547" s="12"/>
    </row>
    <row r="548" spans="1:32">
      <c r="A548" s="8"/>
      <c r="B548" s="8"/>
      <c r="C548" s="8"/>
      <c r="D548" s="8"/>
      <c r="E548" s="8"/>
      <c r="F548" s="8"/>
      <c r="G548" s="8"/>
      <c r="H548" s="8"/>
      <c r="I548" s="8"/>
      <c r="J548" s="8"/>
      <c r="K548" s="8"/>
      <c r="L548" s="8"/>
      <c r="M548" s="8"/>
      <c r="N548" s="8"/>
      <c r="O548" s="8"/>
      <c r="P548" s="8"/>
      <c r="Q548" s="8"/>
      <c r="R548" s="8"/>
      <c r="S548" s="8"/>
      <c r="T548" s="8"/>
      <c r="U548" s="12"/>
      <c r="V548" s="12"/>
      <c r="W548" s="12"/>
      <c r="X548" s="12"/>
      <c r="Y548" s="29"/>
      <c r="Z548" s="29"/>
      <c r="AA548" s="29"/>
      <c r="AB548" s="12"/>
      <c r="AC548" s="12"/>
      <c r="AD548" s="12"/>
      <c r="AE548" s="12"/>
      <c r="AF548" s="12"/>
    </row>
    <row r="549" spans="1:32">
      <c r="A549" s="8"/>
      <c r="B549" s="8"/>
      <c r="C549" s="8"/>
      <c r="D549" s="8"/>
      <c r="E549" s="8"/>
      <c r="F549" s="8"/>
      <c r="G549" s="8"/>
      <c r="H549" s="8"/>
      <c r="I549" s="8"/>
      <c r="J549" s="8"/>
      <c r="K549" s="8"/>
      <c r="L549" s="8"/>
      <c r="M549" s="8"/>
      <c r="N549" s="8"/>
      <c r="O549" s="8"/>
      <c r="P549" s="8"/>
      <c r="Q549" s="8"/>
      <c r="R549" s="8"/>
      <c r="S549" s="8"/>
      <c r="T549" s="8"/>
      <c r="U549" s="12"/>
      <c r="V549" s="12"/>
      <c r="W549" s="12"/>
      <c r="X549" s="12"/>
      <c r="Y549" s="29"/>
      <c r="Z549" s="29"/>
      <c r="AA549" s="29"/>
      <c r="AB549" s="12"/>
      <c r="AC549" s="12"/>
      <c r="AD549" s="12"/>
      <c r="AE549" s="12"/>
      <c r="AF549" s="12"/>
    </row>
    <row r="550" spans="1:32">
      <c r="A550" s="8"/>
      <c r="B550" s="8"/>
      <c r="C550" s="8"/>
      <c r="D550" s="8"/>
      <c r="E550" s="8"/>
      <c r="F550" s="8"/>
      <c r="G550" s="8"/>
      <c r="H550" s="8"/>
      <c r="I550" s="8"/>
      <c r="J550" s="8"/>
      <c r="K550" s="8"/>
      <c r="L550" s="8"/>
      <c r="M550" s="8"/>
      <c r="N550" s="8"/>
      <c r="O550" s="8"/>
      <c r="P550" s="8"/>
      <c r="Q550" s="8"/>
      <c r="R550" s="8"/>
      <c r="S550" s="8"/>
      <c r="T550" s="8"/>
      <c r="U550" s="12"/>
      <c r="V550" s="12"/>
      <c r="W550" s="12"/>
      <c r="X550" s="12"/>
      <c r="Y550" s="29"/>
      <c r="Z550" s="29"/>
      <c r="AA550" s="29"/>
      <c r="AB550" s="12"/>
      <c r="AC550" s="12"/>
      <c r="AD550" s="12"/>
      <c r="AE550" s="12"/>
      <c r="AF550" s="12"/>
    </row>
    <row r="551" spans="1:32">
      <c r="A551" s="8"/>
      <c r="B551" s="8"/>
      <c r="C551" s="8"/>
      <c r="D551" s="8"/>
      <c r="E551" s="8"/>
      <c r="F551" s="8"/>
      <c r="G551" s="8"/>
      <c r="H551" s="8"/>
      <c r="I551" s="8"/>
      <c r="J551" s="8"/>
      <c r="K551" s="8"/>
      <c r="L551" s="8"/>
      <c r="M551" s="8"/>
      <c r="N551" s="8"/>
      <c r="O551" s="8"/>
      <c r="P551" s="8"/>
      <c r="Q551" s="8"/>
      <c r="R551" s="8"/>
      <c r="S551" s="8"/>
      <c r="T551" s="8"/>
      <c r="U551" s="12"/>
      <c r="V551" s="12"/>
      <c r="W551" s="12"/>
      <c r="X551" s="12"/>
      <c r="Y551" s="29"/>
      <c r="Z551" s="29"/>
      <c r="AA551" s="29"/>
      <c r="AB551" s="12"/>
      <c r="AC551" s="12"/>
      <c r="AD551" s="12"/>
      <c r="AE551" s="12"/>
      <c r="AF551" s="12"/>
    </row>
    <row r="552" spans="1:32">
      <c r="A552" s="8"/>
      <c r="B552" s="8"/>
      <c r="C552" s="8"/>
      <c r="D552" s="8"/>
      <c r="E552" s="8"/>
      <c r="F552" s="8"/>
      <c r="G552" s="8"/>
      <c r="H552" s="8"/>
      <c r="I552" s="8"/>
      <c r="J552" s="8"/>
      <c r="K552" s="8"/>
      <c r="L552" s="8"/>
      <c r="M552" s="8"/>
      <c r="N552" s="8"/>
      <c r="O552" s="8"/>
      <c r="P552" s="8"/>
      <c r="Q552" s="8"/>
      <c r="R552" s="8"/>
      <c r="S552" s="8"/>
      <c r="T552" s="8"/>
      <c r="U552" s="12"/>
      <c r="V552" s="12"/>
      <c r="W552" s="12"/>
      <c r="X552" s="12"/>
      <c r="Y552" s="29"/>
      <c r="Z552" s="29"/>
      <c r="AA552" s="29"/>
      <c r="AB552" s="12"/>
      <c r="AC552" s="12"/>
      <c r="AD552" s="12"/>
      <c r="AE552" s="12"/>
      <c r="AF552" s="12"/>
    </row>
    <row r="553" spans="1:32">
      <c r="A553" s="8"/>
      <c r="B553" s="8"/>
      <c r="C553" s="8"/>
      <c r="D553" s="8"/>
      <c r="E553" s="8"/>
      <c r="F553" s="8"/>
      <c r="G553" s="8"/>
      <c r="H553" s="8"/>
      <c r="I553" s="8"/>
      <c r="J553" s="8"/>
      <c r="K553" s="8"/>
      <c r="L553" s="8"/>
      <c r="M553" s="8"/>
      <c r="N553" s="8"/>
      <c r="O553" s="8"/>
      <c r="P553" s="8"/>
      <c r="Q553" s="8"/>
      <c r="R553" s="8"/>
      <c r="S553" s="8"/>
      <c r="T553" s="8"/>
      <c r="U553" s="12"/>
      <c r="V553" s="12"/>
      <c r="W553" s="12"/>
      <c r="X553" s="12"/>
      <c r="Y553" s="29"/>
      <c r="Z553" s="29"/>
      <c r="AA553" s="29"/>
      <c r="AB553" s="12"/>
      <c r="AC553" s="12"/>
      <c r="AD553" s="12"/>
      <c r="AE553" s="12"/>
      <c r="AF553" s="12"/>
    </row>
    <row r="554" spans="1:32">
      <c r="A554" s="8"/>
      <c r="B554" s="8"/>
      <c r="C554" s="8"/>
      <c r="D554" s="8"/>
      <c r="E554" s="8"/>
      <c r="F554" s="8"/>
      <c r="G554" s="8"/>
      <c r="H554" s="8"/>
      <c r="I554" s="8"/>
      <c r="J554" s="8"/>
      <c r="K554" s="8"/>
      <c r="L554" s="8"/>
      <c r="M554" s="8"/>
      <c r="N554" s="8"/>
      <c r="O554" s="8"/>
      <c r="P554" s="8"/>
      <c r="Q554" s="8"/>
      <c r="R554" s="8"/>
      <c r="S554" s="8"/>
      <c r="T554" s="8"/>
      <c r="U554" s="12"/>
      <c r="V554" s="12"/>
      <c r="W554" s="12"/>
      <c r="X554" s="12"/>
      <c r="Y554" s="29"/>
      <c r="Z554" s="29"/>
      <c r="AA554" s="29"/>
      <c r="AB554" s="12"/>
      <c r="AC554" s="12"/>
      <c r="AD554" s="12"/>
      <c r="AE554" s="12"/>
      <c r="AF554" s="12"/>
    </row>
    <row r="555" spans="1:32">
      <c r="A555" s="8"/>
      <c r="B555" s="8"/>
      <c r="C555" s="8"/>
      <c r="D555" s="8"/>
      <c r="E555" s="8"/>
      <c r="F555" s="8"/>
      <c r="G555" s="8"/>
      <c r="H555" s="8"/>
      <c r="I555" s="8"/>
      <c r="J555" s="8"/>
      <c r="K555" s="8"/>
      <c r="L555" s="8"/>
      <c r="M555" s="8"/>
      <c r="N555" s="8"/>
      <c r="O555" s="8"/>
      <c r="P555" s="8"/>
      <c r="Q555" s="8"/>
      <c r="R555" s="8"/>
      <c r="S555" s="8"/>
      <c r="T555" s="8"/>
      <c r="U555" s="12"/>
      <c r="V555" s="12"/>
      <c r="W555" s="12"/>
      <c r="X555" s="12"/>
      <c r="Y555" s="29"/>
      <c r="Z555" s="29"/>
      <c r="AA555" s="29"/>
      <c r="AB555" s="12"/>
      <c r="AC555" s="12"/>
      <c r="AD555" s="12"/>
      <c r="AE555" s="12"/>
      <c r="AF555" s="12"/>
    </row>
    <row r="556" spans="1:32">
      <c r="A556" s="8"/>
      <c r="B556" s="8"/>
      <c r="C556" s="8"/>
      <c r="D556" s="8"/>
      <c r="E556" s="8"/>
      <c r="F556" s="8"/>
      <c r="G556" s="8"/>
      <c r="H556" s="8"/>
      <c r="I556" s="8"/>
      <c r="J556" s="8"/>
      <c r="K556" s="8"/>
      <c r="L556" s="8"/>
      <c r="M556" s="8"/>
      <c r="N556" s="8"/>
      <c r="O556" s="8"/>
      <c r="P556" s="8"/>
      <c r="Q556" s="8"/>
      <c r="R556" s="8"/>
      <c r="S556" s="8"/>
      <c r="T556" s="8"/>
      <c r="U556" s="12"/>
      <c r="V556" s="12"/>
      <c r="W556" s="12"/>
      <c r="X556" s="12"/>
      <c r="Y556" s="29"/>
      <c r="Z556" s="29"/>
      <c r="AA556" s="29"/>
      <c r="AB556" s="12"/>
      <c r="AC556" s="12"/>
      <c r="AD556" s="12"/>
      <c r="AE556" s="12"/>
      <c r="AF556" s="12"/>
    </row>
    <row r="557" spans="1:32">
      <c r="A557" s="8"/>
      <c r="B557" s="8"/>
      <c r="C557" s="8"/>
      <c r="D557" s="8"/>
      <c r="E557" s="8"/>
      <c r="F557" s="8"/>
      <c r="G557" s="8"/>
      <c r="H557" s="8"/>
      <c r="I557" s="8"/>
      <c r="J557" s="8"/>
      <c r="K557" s="8"/>
      <c r="L557" s="8"/>
      <c r="M557" s="8"/>
      <c r="N557" s="8"/>
      <c r="O557" s="8"/>
      <c r="P557" s="8"/>
      <c r="Q557" s="8"/>
      <c r="R557" s="8"/>
      <c r="S557" s="8"/>
      <c r="T557" s="8"/>
      <c r="U557" s="12"/>
      <c r="V557" s="12"/>
      <c r="W557" s="12"/>
      <c r="X557" s="12"/>
      <c r="Y557" s="29"/>
      <c r="Z557" s="29"/>
      <c r="AA557" s="29"/>
      <c r="AB557" s="12"/>
      <c r="AC557" s="12"/>
      <c r="AD557" s="12"/>
      <c r="AE557" s="12"/>
      <c r="AF557" s="12"/>
    </row>
    <row r="558" spans="1:32">
      <c r="A558" s="8"/>
      <c r="B558" s="8"/>
      <c r="C558" s="8"/>
      <c r="D558" s="8"/>
      <c r="E558" s="8"/>
      <c r="F558" s="8"/>
      <c r="G558" s="8"/>
      <c r="H558" s="8"/>
      <c r="I558" s="8"/>
      <c r="J558" s="8"/>
      <c r="K558" s="8"/>
      <c r="L558" s="8"/>
      <c r="M558" s="8"/>
      <c r="N558" s="8"/>
      <c r="O558" s="8"/>
      <c r="P558" s="8"/>
      <c r="Q558" s="8"/>
      <c r="R558" s="8"/>
      <c r="S558" s="8"/>
      <c r="T558" s="8"/>
      <c r="U558" s="12"/>
      <c r="V558" s="12"/>
      <c r="W558" s="12"/>
      <c r="X558" s="12"/>
      <c r="Y558" s="29"/>
      <c r="Z558" s="29"/>
      <c r="AA558" s="29"/>
      <c r="AB558" s="12"/>
      <c r="AC558" s="12"/>
      <c r="AD558" s="12"/>
      <c r="AE558" s="12"/>
      <c r="AF558" s="12"/>
    </row>
    <row r="559" spans="1:32">
      <c r="A559" s="8"/>
      <c r="B559" s="8"/>
      <c r="C559" s="8"/>
      <c r="D559" s="8"/>
      <c r="E559" s="8"/>
      <c r="F559" s="8"/>
      <c r="G559" s="8"/>
      <c r="H559" s="8"/>
      <c r="I559" s="8"/>
      <c r="J559" s="8"/>
      <c r="K559" s="8"/>
      <c r="L559" s="8"/>
      <c r="M559" s="8"/>
      <c r="N559" s="8"/>
      <c r="O559" s="8"/>
      <c r="P559" s="8"/>
      <c r="Q559" s="8"/>
      <c r="R559" s="8"/>
      <c r="S559" s="8"/>
      <c r="T559" s="8"/>
      <c r="U559" s="12"/>
      <c r="V559" s="12"/>
      <c r="W559" s="12"/>
      <c r="X559" s="12"/>
      <c r="Y559" s="29"/>
      <c r="Z559" s="29"/>
      <c r="AA559" s="29"/>
      <c r="AB559" s="12"/>
      <c r="AC559" s="12"/>
      <c r="AD559" s="12"/>
      <c r="AE559" s="12"/>
      <c r="AF559" s="12"/>
    </row>
    <row r="560" spans="1:32">
      <c r="A560" s="8"/>
      <c r="B560" s="8"/>
      <c r="C560" s="8"/>
      <c r="D560" s="8"/>
      <c r="E560" s="8"/>
      <c r="F560" s="8"/>
      <c r="G560" s="8"/>
      <c r="H560" s="8"/>
      <c r="I560" s="8"/>
      <c r="J560" s="8"/>
      <c r="K560" s="8"/>
      <c r="L560" s="8"/>
      <c r="M560" s="8"/>
      <c r="N560" s="8"/>
      <c r="O560" s="8"/>
      <c r="P560" s="8"/>
      <c r="Q560" s="8"/>
      <c r="R560" s="8"/>
      <c r="S560" s="8"/>
      <c r="T560" s="8"/>
      <c r="U560" s="12"/>
      <c r="V560" s="12"/>
      <c r="W560" s="12"/>
      <c r="X560" s="12"/>
      <c r="Y560" s="29"/>
      <c r="Z560" s="29"/>
      <c r="AA560" s="29"/>
      <c r="AB560" s="12"/>
      <c r="AC560" s="12"/>
      <c r="AD560" s="12"/>
      <c r="AE560" s="12"/>
      <c r="AF560" s="12"/>
    </row>
    <row r="561" spans="1:32">
      <c r="A561" s="8"/>
      <c r="B561" s="8"/>
      <c r="C561" s="8"/>
      <c r="D561" s="8"/>
      <c r="E561" s="8"/>
      <c r="F561" s="8"/>
      <c r="G561" s="8"/>
      <c r="H561" s="8"/>
      <c r="I561" s="8"/>
      <c r="J561" s="8"/>
      <c r="K561" s="8"/>
      <c r="L561" s="8"/>
      <c r="M561" s="8"/>
      <c r="N561" s="8"/>
      <c r="O561" s="8"/>
      <c r="P561" s="8"/>
      <c r="Q561" s="8"/>
      <c r="R561" s="8"/>
      <c r="S561" s="8"/>
      <c r="T561" s="8"/>
      <c r="U561" s="12"/>
      <c r="V561" s="12"/>
      <c r="W561" s="12"/>
      <c r="X561" s="12"/>
      <c r="Y561" s="29"/>
      <c r="Z561" s="29"/>
      <c r="AA561" s="29"/>
      <c r="AB561" s="12"/>
      <c r="AC561" s="12"/>
      <c r="AD561" s="12"/>
      <c r="AE561" s="12"/>
      <c r="AF561" s="12"/>
    </row>
    <row r="562" spans="1:32">
      <c r="A562" s="8"/>
      <c r="B562" s="8"/>
      <c r="C562" s="8"/>
      <c r="D562" s="8"/>
      <c r="E562" s="8"/>
      <c r="F562" s="8"/>
      <c r="G562" s="8"/>
      <c r="H562" s="8"/>
      <c r="I562" s="8"/>
      <c r="J562" s="8"/>
      <c r="K562" s="8"/>
      <c r="L562" s="8"/>
      <c r="M562" s="8"/>
      <c r="N562" s="8"/>
      <c r="O562" s="8"/>
      <c r="P562" s="8"/>
      <c r="Q562" s="8"/>
      <c r="R562" s="8"/>
      <c r="S562" s="8"/>
      <c r="T562" s="8"/>
      <c r="U562" s="12"/>
      <c r="V562" s="12"/>
      <c r="W562" s="12"/>
      <c r="X562" s="12"/>
      <c r="Y562" s="29"/>
      <c r="Z562" s="29"/>
      <c r="AA562" s="29"/>
      <c r="AB562" s="12"/>
      <c r="AC562" s="12"/>
      <c r="AD562" s="12"/>
      <c r="AE562" s="12"/>
      <c r="AF562" s="12"/>
    </row>
    <row r="563" spans="1:32">
      <c r="A563" s="8"/>
      <c r="B563" s="8"/>
      <c r="C563" s="8"/>
      <c r="D563" s="8"/>
      <c r="E563" s="8"/>
      <c r="F563" s="8"/>
      <c r="G563" s="8"/>
      <c r="H563" s="8"/>
      <c r="I563" s="8"/>
      <c r="J563" s="8"/>
      <c r="K563" s="8"/>
      <c r="L563" s="8"/>
      <c r="M563" s="8"/>
      <c r="N563" s="8"/>
      <c r="O563" s="8"/>
      <c r="P563" s="8"/>
      <c r="Q563" s="8"/>
      <c r="R563" s="8"/>
      <c r="S563" s="8"/>
      <c r="T563" s="8"/>
      <c r="U563" s="12"/>
      <c r="V563" s="12"/>
      <c r="W563" s="12"/>
      <c r="X563" s="12"/>
      <c r="Y563" s="29"/>
      <c r="Z563" s="29"/>
      <c r="AA563" s="29"/>
      <c r="AB563" s="12"/>
      <c r="AC563" s="12"/>
      <c r="AD563" s="12"/>
      <c r="AE563" s="12"/>
      <c r="AF563" s="12"/>
    </row>
    <row r="564" spans="1:32">
      <c r="A564" s="8"/>
      <c r="B564" s="8"/>
      <c r="C564" s="8"/>
      <c r="D564" s="8"/>
      <c r="E564" s="8"/>
      <c r="F564" s="8"/>
      <c r="G564" s="8"/>
      <c r="H564" s="8"/>
      <c r="I564" s="8"/>
      <c r="J564" s="8"/>
      <c r="K564" s="8"/>
      <c r="L564" s="8"/>
      <c r="M564" s="8"/>
      <c r="N564" s="8"/>
      <c r="O564" s="8"/>
      <c r="P564" s="8"/>
      <c r="Q564" s="8"/>
      <c r="R564" s="8"/>
      <c r="S564" s="8"/>
      <c r="T564" s="8"/>
      <c r="U564" s="12"/>
      <c r="V564" s="12"/>
      <c r="W564" s="12"/>
      <c r="X564" s="12"/>
      <c r="Y564" s="29"/>
      <c r="Z564" s="29"/>
      <c r="AA564" s="29"/>
      <c r="AB564" s="12"/>
      <c r="AC564" s="12"/>
      <c r="AD564" s="12"/>
      <c r="AE564" s="12"/>
      <c r="AF564" s="12"/>
    </row>
    <row r="565" spans="1:32">
      <c r="A565" s="8"/>
      <c r="B565" s="8"/>
      <c r="C565" s="8"/>
      <c r="D565" s="8"/>
      <c r="E565" s="8"/>
      <c r="F565" s="8"/>
      <c r="G565" s="8"/>
      <c r="H565" s="8"/>
      <c r="I565" s="8"/>
      <c r="J565" s="8"/>
      <c r="K565" s="8"/>
      <c r="L565" s="8"/>
      <c r="M565" s="8"/>
      <c r="N565" s="8"/>
      <c r="O565" s="8"/>
      <c r="P565" s="8"/>
      <c r="Q565" s="8"/>
      <c r="R565" s="8"/>
      <c r="S565" s="8"/>
      <c r="T565" s="8"/>
      <c r="U565" s="12"/>
      <c r="V565" s="12"/>
      <c r="W565" s="12"/>
      <c r="X565" s="12"/>
      <c r="Y565" s="29"/>
      <c r="Z565" s="29"/>
      <c r="AA565" s="29"/>
      <c r="AB565" s="12"/>
      <c r="AC565" s="12"/>
      <c r="AD565" s="12"/>
      <c r="AE565" s="12"/>
      <c r="AF565" s="12"/>
    </row>
    <row r="566" spans="1:32">
      <c r="A566" s="8"/>
      <c r="B566" s="8"/>
      <c r="C566" s="8"/>
      <c r="D566" s="8"/>
      <c r="E566" s="8"/>
      <c r="F566" s="8"/>
      <c r="G566" s="8"/>
      <c r="H566" s="8"/>
      <c r="I566" s="8"/>
      <c r="J566" s="8"/>
      <c r="K566" s="8"/>
      <c r="L566" s="8"/>
      <c r="M566" s="8"/>
      <c r="N566" s="8"/>
      <c r="O566" s="8"/>
      <c r="P566" s="8"/>
      <c r="Q566" s="8"/>
      <c r="R566" s="8"/>
      <c r="S566" s="8"/>
      <c r="T566" s="8"/>
      <c r="U566" s="12"/>
      <c r="V566" s="12"/>
      <c r="W566" s="12"/>
      <c r="X566" s="12"/>
      <c r="Y566" s="29"/>
      <c r="Z566" s="29"/>
      <c r="AA566" s="29"/>
      <c r="AB566" s="12"/>
      <c r="AC566" s="12"/>
      <c r="AD566" s="12"/>
      <c r="AE566" s="12"/>
      <c r="AF566" s="12"/>
    </row>
    <row r="567" spans="1:32">
      <c r="A567" s="8"/>
      <c r="B567" s="8"/>
      <c r="C567" s="8"/>
      <c r="D567" s="8"/>
      <c r="E567" s="8"/>
      <c r="F567" s="8"/>
      <c r="G567" s="8"/>
      <c r="H567" s="8"/>
      <c r="I567" s="8"/>
      <c r="J567" s="8"/>
      <c r="K567" s="8"/>
      <c r="L567" s="8"/>
      <c r="M567" s="8"/>
      <c r="N567" s="8"/>
      <c r="O567" s="8"/>
      <c r="P567" s="8"/>
      <c r="Q567" s="8"/>
      <c r="R567" s="8"/>
      <c r="S567" s="8"/>
      <c r="T567" s="8"/>
      <c r="U567" s="12"/>
      <c r="V567" s="12"/>
      <c r="W567" s="12"/>
      <c r="X567" s="12"/>
      <c r="Y567" s="29"/>
      <c r="Z567" s="29"/>
      <c r="AA567" s="29"/>
      <c r="AB567" s="12"/>
      <c r="AC567" s="12"/>
      <c r="AD567" s="12"/>
      <c r="AE567" s="12"/>
      <c r="AF567" s="12"/>
    </row>
    <row r="568" spans="1:32">
      <c r="A568" s="8"/>
      <c r="B568" s="8"/>
      <c r="C568" s="8"/>
      <c r="D568" s="8"/>
      <c r="E568" s="8"/>
      <c r="F568" s="8"/>
      <c r="G568" s="8"/>
      <c r="H568" s="8"/>
      <c r="I568" s="8"/>
      <c r="J568" s="8"/>
      <c r="K568" s="8"/>
      <c r="L568" s="8"/>
      <c r="M568" s="8"/>
      <c r="N568" s="8"/>
      <c r="O568" s="8"/>
      <c r="P568" s="8"/>
      <c r="Q568" s="8"/>
      <c r="R568" s="8"/>
      <c r="S568" s="8"/>
      <c r="T568" s="8"/>
      <c r="U568" s="12"/>
      <c r="V568" s="12"/>
      <c r="W568" s="12"/>
      <c r="X568" s="12"/>
      <c r="Y568" s="29"/>
      <c r="Z568" s="29"/>
      <c r="AA568" s="29"/>
      <c r="AB568" s="12"/>
      <c r="AC568" s="12"/>
      <c r="AD568" s="12"/>
      <c r="AE568" s="12"/>
      <c r="AF568" s="12"/>
    </row>
    <row r="569" spans="1:32">
      <c r="A569" s="8"/>
      <c r="B569" s="8"/>
      <c r="C569" s="8"/>
      <c r="D569" s="8"/>
      <c r="E569" s="8"/>
      <c r="F569" s="8"/>
      <c r="G569" s="8"/>
      <c r="H569" s="8"/>
      <c r="I569" s="8"/>
      <c r="J569" s="8"/>
      <c r="K569" s="8"/>
      <c r="L569" s="8"/>
      <c r="M569" s="8"/>
      <c r="N569" s="8"/>
      <c r="O569" s="8"/>
      <c r="P569" s="8"/>
      <c r="Q569" s="8"/>
      <c r="R569" s="8"/>
      <c r="S569" s="8"/>
      <c r="T569" s="8"/>
      <c r="U569" s="12"/>
      <c r="V569" s="12"/>
      <c r="W569" s="12"/>
      <c r="X569" s="12"/>
      <c r="Y569" s="29"/>
      <c r="Z569" s="29"/>
      <c r="AA569" s="29"/>
      <c r="AB569" s="12"/>
      <c r="AC569" s="12"/>
      <c r="AD569" s="12"/>
      <c r="AE569" s="12"/>
      <c r="AF569" s="12"/>
    </row>
    <row r="570" spans="1:32">
      <c r="A570" s="8"/>
      <c r="B570" s="8"/>
      <c r="C570" s="8"/>
      <c r="D570" s="8"/>
      <c r="E570" s="8"/>
      <c r="F570" s="8"/>
      <c r="G570" s="8"/>
      <c r="H570" s="8"/>
      <c r="I570" s="8"/>
      <c r="J570" s="8"/>
      <c r="K570" s="8"/>
      <c r="L570" s="8"/>
      <c r="M570" s="8"/>
      <c r="N570" s="8"/>
      <c r="O570" s="8"/>
      <c r="P570" s="8"/>
      <c r="Q570" s="8"/>
      <c r="R570" s="8"/>
      <c r="S570" s="8"/>
      <c r="T570" s="8"/>
      <c r="U570" s="12"/>
      <c r="V570" s="12"/>
      <c r="W570" s="12"/>
      <c r="X570" s="12"/>
      <c r="Y570" s="29"/>
      <c r="Z570" s="29"/>
      <c r="AA570" s="29"/>
      <c r="AB570" s="12"/>
      <c r="AC570" s="12"/>
      <c r="AD570" s="12"/>
      <c r="AE570" s="12"/>
      <c r="AF570" s="12"/>
    </row>
    <row r="571" spans="1:32">
      <c r="A571" s="8"/>
      <c r="B571" s="8"/>
      <c r="C571" s="8"/>
      <c r="D571" s="8"/>
      <c r="E571" s="8"/>
      <c r="F571" s="8"/>
      <c r="G571" s="8"/>
      <c r="H571" s="8"/>
      <c r="I571" s="8"/>
      <c r="J571" s="8"/>
      <c r="K571" s="8"/>
      <c r="L571" s="8"/>
      <c r="M571" s="8"/>
      <c r="N571" s="8"/>
      <c r="O571" s="8"/>
      <c r="P571" s="8"/>
      <c r="Q571" s="8"/>
      <c r="R571" s="8"/>
      <c r="S571" s="8"/>
      <c r="T571" s="8"/>
      <c r="U571" s="12"/>
      <c r="V571" s="12"/>
      <c r="W571" s="12"/>
      <c r="X571" s="12"/>
      <c r="Y571" s="29"/>
      <c r="Z571" s="29"/>
      <c r="AA571" s="29"/>
      <c r="AB571" s="12"/>
      <c r="AC571" s="12"/>
      <c r="AD571" s="12"/>
      <c r="AE571" s="12"/>
      <c r="AF571" s="12"/>
    </row>
    <row r="572" spans="1:32">
      <c r="A572" s="8"/>
      <c r="B572" s="8"/>
      <c r="C572" s="8"/>
      <c r="D572" s="8"/>
      <c r="E572" s="8"/>
      <c r="F572" s="8"/>
      <c r="G572" s="8"/>
      <c r="H572" s="8"/>
      <c r="I572" s="8"/>
      <c r="J572" s="8"/>
      <c r="K572" s="8"/>
      <c r="L572" s="8"/>
      <c r="M572" s="8"/>
      <c r="N572" s="8"/>
      <c r="O572" s="8"/>
      <c r="P572" s="8"/>
      <c r="Q572" s="8"/>
      <c r="R572" s="8"/>
      <c r="S572" s="8"/>
      <c r="T572" s="8"/>
      <c r="U572" s="12"/>
      <c r="V572" s="12"/>
      <c r="W572" s="12"/>
      <c r="X572" s="12"/>
      <c r="Y572" s="29"/>
      <c r="Z572" s="29"/>
      <c r="AA572" s="29"/>
      <c r="AB572" s="12"/>
      <c r="AC572" s="12"/>
      <c r="AD572" s="12"/>
      <c r="AE572" s="12"/>
      <c r="AF572" s="12"/>
    </row>
    <row r="573" spans="1:32">
      <c r="A573" s="8"/>
      <c r="B573" s="8"/>
      <c r="C573" s="8"/>
      <c r="D573" s="8"/>
      <c r="E573" s="8"/>
      <c r="F573" s="8"/>
      <c r="G573" s="8"/>
      <c r="H573" s="8"/>
      <c r="I573" s="8"/>
      <c r="J573" s="8"/>
      <c r="K573" s="8"/>
      <c r="L573" s="8"/>
      <c r="M573" s="8"/>
      <c r="N573" s="8"/>
      <c r="O573" s="8"/>
      <c r="P573" s="8"/>
      <c r="Q573" s="8"/>
      <c r="R573" s="8"/>
      <c r="S573" s="8"/>
      <c r="T573" s="8"/>
      <c r="U573" s="12"/>
      <c r="V573" s="12"/>
      <c r="W573" s="12"/>
      <c r="X573" s="12"/>
      <c r="Y573" s="29"/>
      <c r="Z573" s="29"/>
      <c r="AA573" s="29"/>
      <c r="AB573" s="12"/>
      <c r="AC573" s="12"/>
      <c r="AD573" s="12"/>
      <c r="AE573" s="12"/>
      <c r="AF573" s="12"/>
    </row>
    <row r="574" spans="1:32">
      <c r="A574" s="8"/>
      <c r="B574" s="8"/>
      <c r="C574" s="8"/>
      <c r="D574" s="8"/>
      <c r="E574" s="8"/>
      <c r="F574" s="8"/>
      <c r="G574" s="8"/>
      <c r="H574" s="8"/>
      <c r="I574" s="8"/>
      <c r="J574" s="8"/>
      <c r="K574" s="8"/>
      <c r="L574" s="8"/>
      <c r="M574" s="8"/>
      <c r="N574" s="8"/>
      <c r="O574" s="8"/>
      <c r="P574" s="8"/>
      <c r="Q574" s="8"/>
      <c r="R574" s="8"/>
      <c r="S574" s="8"/>
      <c r="T574" s="8"/>
      <c r="U574" s="12"/>
      <c r="V574" s="12"/>
      <c r="W574" s="12"/>
      <c r="X574" s="12"/>
      <c r="Y574" s="29"/>
      <c r="Z574" s="29"/>
      <c r="AA574" s="29"/>
      <c r="AB574" s="12"/>
      <c r="AC574" s="12"/>
      <c r="AD574" s="12"/>
      <c r="AE574" s="12"/>
      <c r="AF574" s="12"/>
    </row>
    <row r="575" spans="1:32">
      <c r="A575" s="8"/>
      <c r="B575" s="8"/>
      <c r="C575" s="8"/>
      <c r="D575" s="8"/>
      <c r="E575" s="8"/>
      <c r="F575" s="8"/>
      <c r="G575" s="8"/>
      <c r="H575" s="8"/>
      <c r="I575" s="8"/>
      <c r="J575" s="8"/>
      <c r="K575" s="8"/>
      <c r="L575" s="8"/>
      <c r="M575" s="8"/>
      <c r="N575" s="8"/>
      <c r="O575" s="8"/>
      <c r="P575" s="8"/>
      <c r="Q575" s="8"/>
      <c r="R575" s="8"/>
      <c r="S575" s="8"/>
      <c r="T575" s="8"/>
      <c r="U575" s="12"/>
      <c r="V575" s="12"/>
      <c r="W575" s="12"/>
      <c r="X575" s="12"/>
      <c r="Y575" s="29"/>
      <c r="Z575" s="29"/>
      <c r="AA575" s="29"/>
      <c r="AB575" s="12"/>
      <c r="AC575" s="12"/>
      <c r="AD575" s="12"/>
      <c r="AE575" s="12"/>
      <c r="AF575" s="12"/>
    </row>
    <row r="576" spans="1:32">
      <c r="A576" s="8"/>
      <c r="B576" s="8"/>
      <c r="C576" s="8"/>
      <c r="D576" s="8"/>
      <c r="E576" s="8"/>
      <c r="F576" s="8"/>
      <c r="G576" s="8"/>
      <c r="H576" s="8"/>
      <c r="I576" s="8"/>
      <c r="J576" s="8"/>
      <c r="K576" s="8"/>
      <c r="L576" s="8"/>
      <c r="M576" s="8"/>
      <c r="N576" s="8"/>
      <c r="O576" s="8"/>
      <c r="P576" s="8"/>
      <c r="Q576" s="8"/>
      <c r="R576" s="8"/>
      <c r="S576" s="8"/>
      <c r="T576" s="8"/>
      <c r="U576" s="12"/>
      <c r="V576" s="12"/>
      <c r="W576" s="12"/>
      <c r="X576" s="12"/>
      <c r="Y576" s="29"/>
      <c r="Z576" s="29"/>
      <c r="AA576" s="29"/>
      <c r="AB576" s="12"/>
      <c r="AC576" s="12"/>
      <c r="AD576" s="12"/>
      <c r="AE576" s="12"/>
      <c r="AF576" s="12"/>
    </row>
    <row r="577" spans="1:32">
      <c r="A577" s="8"/>
      <c r="B577" s="8"/>
      <c r="C577" s="8"/>
      <c r="D577" s="8"/>
      <c r="E577" s="8"/>
      <c r="F577" s="8"/>
      <c r="G577" s="8"/>
      <c r="H577" s="8"/>
      <c r="I577" s="8"/>
      <c r="J577" s="8"/>
      <c r="K577" s="8"/>
      <c r="L577" s="8"/>
      <c r="M577" s="8"/>
      <c r="N577" s="8"/>
      <c r="O577" s="8"/>
      <c r="P577" s="8"/>
      <c r="Q577" s="8"/>
      <c r="R577" s="8"/>
      <c r="S577" s="8"/>
      <c r="T577" s="8"/>
      <c r="U577" s="12"/>
      <c r="V577" s="12"/>
      <c r="W577" s="12"/>
      <c r="X577" s="12"/>
      <c r="Y577" s="29"/>
      <c r="Z577" s="29"/>
      <c r="AA577" s="29"/>
      <c r="AB577" s="12"/>
      <c r="AC577" s="12"/>
      <c r="AD577" s="12"/>
      <c r="AE577" s="12"/>
      <c r="AF577" s="12"/>
    </row>
    <row r="578" spans="1:32">
      <c r="A578" s="8"/>
      <c r="B578" s="8"/>
      <c r="C578" s="8"/>
      <c r="D578" s="8"/>
      <c r="E578" s="8"/>
      <c r="F578" s="8"/>
      <c r="G578" s="8"/>
      <c r="H578" s="8"/>
      <c r="I578" s="8"/>
      <c r="J578" s="8"/>
      <c r="K578" s="8"/>
      <c r="L578" s="8"/>
      <c r="M578" s="8"/>
      <c r="N578" s="8"/>
      <c r="O578" s="8"/>
      <c r="P578" s="8"/>
      <c r="Q578" s="8"/>
      <c r="R578" s="8"/>
      <c r="S578" s="8"/>
      <c r="T578" s="8"/>
      <c r="U578" s="12"/>
      <c r="V578" s="12"/>
      <c r="W578" s="12"/>
      <c r="X578" s="12"/>
      <c r="Y578" s="29"/>
      <c r="Z578" s="29"/>
      <c r="AA578" s="29"/>
      <c r="AB578" s="12"/>
      <c r="AC578" s="12"/>
      <c r="AD578" s="12"/>
      <c r="AE578" s="12"/>
      <c r="AF578" s="12"/>
    </row>
    <row r="579" spans="1:32">
      <c r="A579" s="8"/>
      <c r="B579" s="8"/>
      <c r="C579" s="8"/>
      <c r="D579" s="8"/>
      <c r="E579" s="8"/>
      <c r="F579" s="8"/>
      <c r="G579" s="8"/>
      <c r="H579" s="8"/>
      <c r="I579" s="8"/>
      <c r="J579" s="8"/>
      <c r="K579" s="8"/>
      <c r="L579" s="8"/>
      <c r="M579" s="8"/>
      <c r="N579" s="8"/>
      <c r="O579" s="8"/>
      <c r="P579" s="8"/>
      <c r="Q579" s="8"/>
      <c r="R579" s="8"/>
      <c r="S579" s="8"/>
      <c r="T579" s="8"/>
      <c r="U579" s="12"/>
      <c r="V579" s="12"/>
      <c r="W579" s="12"/>
      <c r="X579" s="12"/>
      <c r="Y579" s="29"/>
      <c r="Z579" s="29"/>
      <c r="AA579" s="29"/>
      <c r="AB579" s="12"/>
      <c r="AC579" s="12"/>
      <c r="AD579" s="12"/>
      <c r="AE579" s="12"/>
      <c r="AF579" s="12"/>
    </row>
    <row r="580" spans="1:32">
      <c r="A580" s="8"/>
      <c r="B580" s="8"/>
      <c r="C580" s="8"/>
      <c r="D580" s="8"/>
      <c r="E580" s="8"/>
      <c r="F580" s="8"/>
      <c r="G580" s="8"/>
      <c r="H580" s="8"/>
      <c r="I580" s="8"/>
      <c r="J580" s="8"/>
      <c r="K580" s="8"/>
      <c r="L580" s="8"/>
      <c r="M580" s="8"/>
      <c r="N580" s="8"/>
      <c r="O580" s="8"/>
      <c r="P580" s="8"/>
      <c r="Q580" s="8"/>
      <c r="R580" s="8"/>
      <c r="S580" s="8"/>
      <c r="T580" s="8"/>
      <c r="U580" s="12"/>
      <c r="V580" s="12"/>
      <c r="W580" s="12"/>
      <c r="X580" s="12"/>
      <c r="Y580" s="29"/>
      <c r="Z580" s="29"/>
      <c r="AA580" s="29"/>
      <c r="AB580" s="12"/>
      <c r="AC580" s="12"/>
      <c r="AD580" s="12"/>
      <c r="AE580" s="12"/>
      <c r="AF580" s="12"/>
    </row>
    <row r="581" spans="1:32">
      <c r="A581" s="8"/>
      <c r="B581" s="8"/>
      <c r="C581" s="8"/>
      <c r="D581" s="8"/>
      <c r="E581" s="8"/>
      <c r="F581" s="8"/>
      <c r="G581" s="8"/>
      <c r="H581" s="8"/>
      <c r="I581" s="8"/>
      <c r="J581" s="8"/>
      <c r="K581" s="8"/>
      <c r="L581" s="8"/>
      <c r="M581" s="8"/>
      <c r="N581" s="8"/>
      <c r="O581" s="8"/>
      <c r="P581" s="8"/>
      <c r="Q581" s="8"/>
      <c r="R581" s="8"/>
      <c r="S581" s="8"/>
      <c r="T581" s="8"/>
      <c r="U581" s="12"/>
      <c r="V581" s="12"/>
      <c r="W581" s="12"/>
      <c r="X581" s="12"/>
      <c r="Y581" s="29"/>
      <c r="Z581" s="29"/>
      <c r="AA581" s="29"/>
      <c r="AB581" s="12"/>
      <c r="AC581" s="12"/>
      <c r="AD581" s="12"/>
      <c r="AE581" s="12"/>
      <c r="AF581" s="12"/>
    </row>
    <row r="582" spans="1:32">
      <c r="A582" s="8"/>
      <c r="B582" s="8"/>
      <c r="C582" s="8"/>
      <c r="D582" s="8"/>
      <c r="E582" s="8"/>
      <c r="F582" s="8"/>
      <c r="G582" s="8"/>
      <c r="H582" s="8"/>
      <c r="I582" s="8"/>
      <c r="J582" s="8"/>
      <c r="K582" s="8"/>
      <c r="L582" s="8"/>
      <c r="M582" s="8"/>
      <c r="N582" s="8"/>
      <c r="O582" s="8"/>
      <c r="P582" s="8"/>
      <c r="Q582" s="8"/>
      <c r="R582" s="8"/>
      <c r="S582" s="8"/>
      <c r="T582" s="8"/>
      <c r="U582" s="12"/>
      <c r="V582" s="12"/>
      <c r="W582" s="12"/>
      <c r="X582" s="12"/>
      <c r="Y582" s="29"/>
      <c r="Z582" s="29"/>
      <c r="AA582" s="29"/>
      <c r="AB582" s="12"/>
      <c r="AC582" s="12"/>
      <c r="AD582" s="12"/>
      <c r="AE582" s="12"/>
      <c r="AF582" s="12"/>
    </row>
    <row r="583" spans="1:32">
      <c r="A583" s="8"/>
      <c r="B583" s="8"/>
      <c r="C583" s="8"/>
      <c r="D583" s="8"/>
      <c r="E583" s="8"/>
      <c r="F583" s="8"/>
      <c r="G583" s="8"/>
      <c r="H583" s="8"/>
      <c r="I583" s="8"/>
      <c r="J583" s="8"/>
      <c r="K583" s="8"/>
      <c r="L583" s="8"/>
      <c r="M583" s="8"/>
      <c r="N583" s="8"/>
      <c r="O583" s="8"/>
      <c r="P583" s="8"/>
      <c r="Q583" s="8"/>
      <c r="R583" s="8"/>
      <c r="S583" s="8"/>
      <c r="T583" s="8"/>
      <c r="U583" s="12"/>
      <c r="V583" s="12"/>
      <c r="W583" s="12"/>
      <c r="X583" s="12"/>
      <c r="Y583" s="29"/>
      <c r="Z583" s="29"/>
      <c r="AA583" s="29"/>
      <c r="AB583" s="12"/>
      <c r="AC583" s="12"/>
      <c r="AD583" s="12"/>
      <c r="AE583" s="12"/>
      <c r="AF583" s="12"/>
    </row>
    <row r="584" spans="1:32">
      <c r="A584" s="8"/>
      <c r="B584" s="8"/>
      <c r="C584" s="8"/>
      <c r="D584" s="8"/>
      <c r="E584" s="8"/>
      <c r="F584" s="8"/>
      <c r="G584" s="8"/>
      <c r="H584" s="8"/>
      <c r="I584" s="8"/>
      <c r="J584" s="8"/>
      <c r="K584" s="8"/>
      <c r="L584" s="8"/>
      <c r="M584" s="8"/>
      <c r="N584" s="8"/>
      <c r="O584" s="8"/>
      <c r="P584" s="8"/>
      <c r="Q584" s="8"/>
      <c r="R584" s="8"/>
      <c r="S584" s="8"/>
      <c r="T584" s="8"/>
      <c r="U584" s="12"/>
      <c r="V584" s="12"/>
      <c r="W584" s="12"/>
      <c r="X584" s="12"/>
      <c r="Y584" s="29"/>
      <c r="Z584" s="29"/>
      <c r="AA584" s="29"/>
      <c r="AB584" s="12"/>
      <c r="AC584" s="12"/>
      <c r="AD584" s="12"/>
      <c r="AE584" s="12"/>
      <c r="AF584" s="12"/>
    </row>
    <row r="585" spans="1:32">
      <c r="A585" s="8"/>
      <c r="B585" s="8"/>
      <c r="C585" s="8"/>
      <c r="D585" s="8"/>
      <c r="E585" s="8"/>
      <c r="F585" s="8"/>
      <c r="G585" s="8"/>
      <c r="H585" s="8"/>
      <c r="I585" s="8"/>
      <c r="J585" s="8"/>
      <c r="K585" s="8"/>
      <c r="L585" s="8"/>
      <c r="M585" s="8"/>
      <c r="N585" s="8"/>
      <c r="O585" s="8"/>
      <c r="P585" s="8"/>
      <c r="Q585" s="8"/>
      <c r="R585" s="8"/>
      <c r="S585" s="8"/>
      <c r="T585" s="8"/>
      <c r="U585" s="12"/>
      <c r="V585" s="12"/>
      <c r="W585" s="12"/>
      <c r="X585" s="12"/>
      <c r="Y585" s="29"/>
      <c r="Z585" s="29"/>
      <c r="AA585" s="29"/>
      <c r="AB585" s="12"/>
      <c r="AC585" s="12"/>
      <c r="AD585" s="12"/>
      <c r="AE585" s="12"/>
      <c r="AF585" s="12"/>
    </row>
    <row r="586" spans="1:32">
      <c r="A586" s="8"/>
      <c r="B586" s="8"/>
      <c r="C586" s="8"/>
      <c r="D586" s="8"/>
      <c r="E586" s="8"/>
      <c r="F586" s="8"/>
      <c r="G586" s="8"/>
      <c r="H586" s="8"/>
      <c r="I586" s="8"/>
      <c r="J586" s="8"/>
      <c r="K586" s="8"/>
      <c r="L586" s="8"/>
      <c r="M586" s="8"/>
      <c r="N586" s="8"/>
      <c r="O586" s="8"/>
      <c r="P586" s="8"/>
      <c r="Q586" s="8"/>
      <c r="R586" s="8"/>
      <c r="S586" s="8"/>
      <c r="T586" s="8"/>
      <c r="U586" s="12"/>
      <c r="V586" s="12"/>
      <c r="W586" s="12"/>
      <c r="X586" s="12"/>
      <c r="Y586" s="29"/>
      <c r="Z586" s="29"/>
      <c r="AA586" s="29"/>
      <c r="AB586" s="12"/>
      <c r="AC586" s="12"/>
      <c r="AD586" s="12"/>
      <c r="AE586" s="12"/>
      <c r="AF586" s="12"/>
    </row>
    <row r="587" spans="1:32">
      <c r="A587" s="8"/>
      <c r="B587" s="8"/>
      <c r="C587" s="8"/>
      <c r="D587" s="8"/>
      <c r="E587" s="8"/>
      <c r="F587" s="8"/>
      <c r="G587" s="8"/>
      <c r="H587" s="8"/>
      <c r="I587" s="8"/>
      <c r="J587" s="8"/>
      <c r="K587" s="8"/>
      <c r="L587" s="8"/>
      <c r="M587" s="8"/>
      <c r="N587" s="8"/>
      <c r="O587" s="8"/>
      <c r="P587" s="8"/>
      <c r="Q587" s="8"/>
      <c r="R587" s="8"/>
      <c r="S587" s="8"/>
      <c r="T587" s="8"/>
      <c r="U587" s="12"/>
      <c r="V587" s="12"/>
      <c r="W587" s="12"/>
      <c r="X587" s="12"/>
      <c r="Y587" s="29"/>
      <c r="Z587" s="29"/>
      <c r="AA587" s="29"/>
      <c r="AB587" s="12"/>
      <c r="AC587" s="12"/>
      <c r="AD587" s="12"/>
      <c r="AE587" s="12"/>
      <c r="AF587" s="12"/>
    </row>
    <row r="588" spans="1:32">
      <c r="A588" s="8"/>
      <c r="B588" s="8"/>
      <c r="C588" s="8"/>
      <c r="D588" s="8"/>
      <c r="E588" s="8"/>
      <c r="F588" s="8"/>
      <c r="G588" s="8"/>
      <c r="H588" s="8"/>
      <c r="I588" s="8"/>
      <c r="J588" s="8"/>
      <c r="K588" s="8"/>
      <c r="L588" s="8"/>
      <c r="M588" s="8"/>
      <c r="N588" s="8"/>
      <c r="O588" s="8"/>
      <c r="P588" s="8"/>
      <c r="Q588" s="8"/>
      <c r="R588" s="8"/>
      <c r="S588" s="8"/>
      <c r="T588" s="8"/>
      <c r="U588" s="12"/>
      <c r="V588" s="12"/>
      <c r="W588" s="12"/>
      <c r="X588" s="12"/>
      <c r="Y588" s="29"/>
      <c r="Z588" s="29"/>
      <c r="AA588" s="29"/>
      <c r="AB588" s="12"/>
      <c r="AC588" s="12"/>
      <c r="AD588" s="12"/>
      <c r="AE588" s="12"/>
      <c r="AF588" s="12"/>
    </row>
    <row r="589" spans="1:32">
      <c r="A589" s="8"/>
      <c r="B589" s="8"/>
      <c r="C589" s="8"/>
      <c r="D589" s="8"/>
      <c r="E589" s="8"/>
      <c r="F589" s="8"/>
      <c r="G589" s="8"/>
      <c r="H589" s="8"/>
      <c r="I589" s="8"/>
      <c r="J589" s="8"/>
      <c r="K589" s="8"/>
      <c r="L589" s="8"/>
      <c r="M589" s="8"/>
      <c r="N589" s="8"/>
      <c r="O589" s="8"/>
      <c r="P589" s="8"/>
      <c r="Q589" s="8"/>
      <c r="R589" s="8"/>
      <c r="S589" s="8"/>
      <c r="T589" s="8"/>
      <c r="U589" s="12"/>
      <c r="V589" s="12"/>
      <c r="W589" s="12"/>
      <c r="X589" s="12"/>
      <c r="Y589" s="29"/>
      <c r="Z589" s="29"/>
      <c r="AA589" s="29"/>
      <c r="AB589" s="12"/>
      <c r="AC589" s="12"/>
      <c r="AD589" s="12"/>
      <c r="AE589" s="12"/>
      <c r="AF589" s="12"/>
    </row>
    <row r="590" spans="1:32">
      <c r="A590" s="8"/>
      <c r="B590" s="8"/>
      <c r="C590" s="8"/>
      <c r="D590" s="8"/>
      <c r="E590" s="8"/>
      <c r="F590" s="8"/>
      <c r="G590" s="8"/>
      <c r="H590" s="8"/>
      <c r="I590" s="8"/>
      <c r="J590" s="8"/>
      <c r="K590" s="8"/>
      <c r="L590" s="8"/>
      <c r="M590" s="8"/>
      <c r="N590" s="8"/>
      <c r="O590" s="8"/>
      <c r="P590" s="8"/>
      <c r="Q590" s="8"/>
      <c r="R590" s="8"/>
      <c r="S590" s="8"/>
      <c r="T590" s="8"/>
      <c r="U590" s="12"/>
      <c r="V590" s="12"/>
      <c r="W590" s="12"/>
      <c r="X590" s="12"/>
      <c r="Y590" s="29"/>
      <c r="Z590" s="29"/>
      <c r="AA590" s="29"/>
      <c r="AB590" s="12"/>
      <c r="AC590" s="12"/>
      <c r="AD590" s="12"/>
      <c r="AE590" s="12"/>
      <c r="AF590" s="12"/>
    </row>
    <row r="591" spans="1:32">
      <c r="A591" s="8"/>
      <c r="B591" s="8"/>
      <c r="C591" s="8"/>
      <c r="D591" s="8"/>
      <c r="E591" s="8"/>
      <c r="F591" s="8"/>
      <c r="G591" s="8"/>
      <c r="H591" s="8"/>
      <c r="I591" s="8"/>
      <c r="J591" s="8"/>
      <c r="K591" s="8"/>
      <c r="L591" s="8"/>
      <c r="M591" s="8"/>
      <c r="N591" s="8"/>
      <c r="O591" s="8"/>
      <c r="P591" s="8"/>
      <c r="Q591" s="8"/>
      <c r="R591" s="8"/>
      <c r="S591" s="8"/>
      <c r="T591" s="8"/>
      <c r="U591" s="12"/>
      <c r="V591" s="12"/>
      <c r="W591" s="12"/>
      <c r="X591" s="12"/>
      <c r="Y591" s="29"/>
      <c r="Z591" s="29"/>
      <c r="AA591" s="29"/>
      <c r="AB591" s="12"/>
      <c r="AC591" s="12"/>
      <c r="AD591" s="12"/>
      <c r="AE591" s="12"/>
      <c r="AF591" s="12"/>
    </row>
    <row r="592" spans="1:32">
      <c r="A592" s="8"/>
      <c r="B592" s="8"/>
      <c r="C592" s="8"/>
      <c r="D592" s="8"/>
      <c r="E592" s="8"/>
      <c r="F592" s="8"/>
      <c r="G592" s="8"/>
      <c r="H592" s="8"/>
      <c r="I592" s="8"/>
      <c r="J592" s="8"/>
      <c r="K592" s="8"/>
      <c r="L592" s="8"/>
      <c r="M592" s="8"/>
      <c r="N592" s="8"/>
      <c r="O592" s="8"/>
      <c r="P592" s="8"/>
      <c r="Q592" s="8"/>
      <c r="R592" s="8"/>
      <c r="S592" s="8"/>
      <c r="T592" s="8"/>
      <c r="U592" s="12"/>
      <c r="V592" s="12"/>
      <c r="W592" s="12"/>
      <c r="X592" s="12"/>
      <c r="Y592" s="29"/>
      <c r="Z592" s="29"/>
      <c r="AA592" s="29"/>
      <c r="AB592" s="12"/>
      <c r="AC592" s="12"/>
      <c r="AD592" s="12"/>
      <c r="AE592" s="12"/>
      <c r="AF592" s="12"/>
    </row>
    <row r="593" spans="1:32">
      <c r="A593" s="8"/>
      <c r="B593" s="8"/>
      <c r="C593" s="8"/>
      <c r="D593" s="8"/>
      <c r="E593" s="8"/>
      <c r="F593" s="8"/>
      <c r="G593" s="8"/>
      <c r="H593" s="8"/>
      <c r="I593" s="8"/>
      <c r="J593" s="8"/>
      <c r="K593" s="8"/>
      <c r="L593" s="8"/>
      <c r="M593" s="8"/>
      <c r="N593" s="8"/>
      <c r="O593" s="8"/>
      <c r="P593" s="8"/>
      <c r="Q593" s="8"/>
      <c r="R593" s="8"/>
      <c r="S593" s="8"/>
      <c r="T593" s="8"/>
      <c r="U593" s="12"/>
      <c r="V593" s="12"/>
      <c r="W593" s="12"/>
      <c r="X593" s="12"/>
      <c r="Y593" s="29"/>
      <c r="Z593" s="29"/>
      <c r="AA593" s="29"/>
      <c r="AB593" s="12"/>
      <c r="AC593" s="12"/>
      <c r="AD593" s="12"/>
      <c r="AE593" s="12"/>
      <c r="AF593" s="12"/>
    </row>
    <row r="594" spans="1:32">
      <c r="A594" s="8"/>
      <c r="B594" s="8"/>
      <c r="C594" s="8"/>
      <c r="D594" s="8"/>
      <c r="E594" s="8"/>
      <c r="F594" s="8"/>
      <c r="G594" s="8"/>
      <c r="H594" s="8"/>
      <c r="I594" s="8"/>
      <c r="J594" s="8"/>
      <c r="K594" s="8"/>
      <c r="L594" s="8"/>
      <c r="M594" s="8"/>
      <c r="N594" s="8"/>
      <c r="O594" s="8"/>
      <c r="P594" s="8"/>
      <c r="Q594" s="8"/>
      <c r="R594" s="8"/>
      <c r="S594" s="8"/>
      <c r="T594" s="8"/>
      <c r="U594" s="12"/>
      <c r="V594" s="12"/>
      <c r="W594" s="12"/>
      <c r="X594" s="12"/>
      <c r="Y594" s="29"/>
      <c r="Z594" s="29"/>
      <c r="AA594" s="29"/>
      <c r="AB594" s="12"/>
      <c r="AC594" s="12"/>
      <c r="AD594" s="12"/>
      <c r="AE594" s="12"/>
      <c r="AF594" s="12"/>
    </row>
    <row r="595" spans="1:32">
      <c r="A595" s="8"/>
      <c r="B595" s="8"/>
      <c r="C595" s="8"/>
      <c r="D595" s="8"/>
      <c r="E595" s="8"/>
      <c r="F595" s="8"/>
      <c r="G595" s="8"/>
      <c r="H595" s="8"/>
      <c r="I595" s="8"/>
      <c r="J595" s="8"/>
      <c r="K595" s="8"/>
      <c r="L595" s="8"/>
      <c r="M595" s="8"/>
      <c r="N595" s="8"/>
      <c r="O595" s="8"/>
      <c r="P595" s="8"/>
      <c r="Q595" s="8"/>
      <c r="R595" s="8"/>
      <c r="S595" s="8"/>
      <c r="T595" s="8"/>
      <c r="U595" s="12"/>
      <c r="V595" s="12"/>
      <c r="W595" s="12"/>
      <c r="X595" s="12"/>
      <c r="Y595" s="29"/>
      <c r="Z595" s="29"/>
      <c r="AA595" s="29"/>
      <c r="AB595" s="12"/>
      <c r="AC595" s="12"/>
      <c r="AD595" s="12"/>
      <c r="AE595" s="12"/>
      <c r="AF595" s="12"/>
    </row>
    <row r="596" spans="1:32">
      <c r="A596" s="8"/>
      <c r="B596" s="8"/>
      <c r="C596" s="8"/>
      <c r="D596" s="8"/>
      <c r="E596" s="8"/>
      <c r="F596" s="8"/>
      <c r="G596" s="8"/>
      <c r="H596" s="8"/>
      <c r="I596" s="8"/>
      <c r="J596" s="8"/>
      <c r="K596" s="8"/>
      <c r="L596" s="8"/>
      <c r="M596" s="8"/>
      <c r="N596" s="8"/>
      <c r="O596" s="8"/>
      <c r="P596" s="8"/>
      <c r="Q596" s="8"/>
      <c r="R596" s="8"/>
      <c r="S596" s="8"/>
      <c r="T596" s="8"/>
      <c r="U596" s="12"/>
      <c r="V596" s="12"/>
      <c r="W596" s="12"/>
      <c r="X596" s="12"/>
      <c r="Y596" s="29"/>
      <c r="Z596" s="29"/>
      <c r="AA596" s="29"/>
      <c r="AB596" s="12"/>
      <c r="AC596" s="12"/>
      <c r="AD596" s="12"/>
      <c r="AE596" s="12"/>
      <c r="AF596" s="12"/>
    </row>
    <row r="597" spans="1:32">
      <c r="A597" s="8"/>
      <c r="B597" s="8"/>
      <c r="C597" s="8"/>
      <c r="D597" s="8"/>
      <c r="E597" s="8"/>
      <c r="F597" s="8"/>
      <c r="G597" s="8"/>
      <c r="H597" s="8"/>
      <c r="I597" s="8"/>
      <c r="J597" s="8"/>
      <c r="K597" s="8"/>
      <c r="L597" s="8"/>
      <c r="M597" s="8"/>
      <c r="N597" s="8"/>
      <c r="O597" s="8"/>
      <c r="P597" s="8"/>
      <c r="Q597" s="8"/>
      <c r="R597" s="8"/>
      <c r="S597" s="8"/>
      <c r="T597" s="8"/>
      <c r="U597" s="12"/>
      <c r="V597" s="12"/>
      <c r="W597" s="12"/>
      <c r="X597" s="12"/>
      <c r="Y597" s="29"/>
      <c r="Z597" s="29"/>
      <c r="AA597" s="29"/>
      <c r="AB597" s="12"/>
      <c r="AC597" s="12"/>
      <c r="AD597" s="12"/>
      <c r="AE597" s="12"/>
      <c r="AF597" s="12"/>
    </row>
    <row r="598" spans="1:32">
      <c r="A598" s="8"/>
      <c r="B598" s="8"/>
      <c r="C598" s="8"/>
      <c r="D598" s="8"/>
      <c r="E598" s="8"/>
      <c r="F598" s="8"/>
      <c r="G598" s="8"/>
      <c r="H598" s="8"/>
      <c r="I598" s="8"/>
      <c r="J598" s="8"/>
      <c r="K598" s="8"/>
      <c r="L598" s="8"/>
      <c r="M598" s="8"/>
      <c r="N598" s="8"/>
      <c r="O598" s="8"/>
      <c r="P598" s="8"/>
      <c r="Q598" s="8"/>
      <c r="R598" s="8"/>
      <c r="S598" s="8"/>
      <c r="T598" s="8"/>
      <c r="U598" s="12"/>
      <c r="V598" s="12"/>
      <c r="W598" s="12"/>
      <c r="X598" s="12"/>
      <c r="Y598" s="29"/>
      <c r="Z598" s="29"/>
      <c r="AA598" s="29"/>
      <c r="AB598" s="12"/>
      <c r="AC598" s="12"/>
      <c r="AD598" s="12"/>
      <c r="AE598" s="12"/>
      <c r="AF598" s="12"/>
    </row>
    <row r="599" spans="1:32">
      <c r="A599" s="8"/>
      <c r="B599" s="8"/>
      <c r="C599" s="8"/>
      <c r="D599" s="8"/>
      <c r="E599" s="8"/>
      <c r="F599" s="8"/>
      <c r="G599" s="8"/>
      <c r="H599" s="8"/>
      <c r="I599" s="8"/>
      <c r="J599" s="8"/>
      <c r="K599" s="8"/>
      <c r="L599" s="8"/>
      <c r="M599" s="8"/>
      <c r="N599" s="8"/>
      <c r="O599" s="8"/>
      <c r="P599" s="8"/>
      <c r="Q599" s="8"/>
      <c r="R599" s="8"/>
      <c r="S599" s="8"/>
      <c r="T599" s="8"/>
      <c r="U599" s="12"/>
      <c r="V599" s="12"/>
      <c r="W599" s="12"/>
      <c r="X599" s="12"/>
      <c r="Y599" s="29"/>
      <c r="Z599" s="29"/>
      <c r="AA599" s="29"/>
      <c r="AB599" s="12"/>
      <c r="AC599" s="12"/>
      <c r="AD599" s="12"/>
      <c r="AE599" s="12"/>
      <c r="AF599" s="12"/>
    </row>
    <row r="600" spans="1:32">
      <c r="A600" s="8"/>
      <c r="B600" s="8"/>
      <c r="C600" s="8"/>
      <c r="D600" s="8"/>
      <c r="E600" s="8"/>
      <c r="F600" s="8"/>
      <c r="G600" s="8"/>
      <c r="H600" s="8"/>
      <c r="I600" s="8"/>
      <c r="J600" s="8"/>
      <c r="K600" s="8"/>
      <c r="L600" s="8"/>
      <c r="M600" s="8"/>
      <c r="N600" s="8"/>
      <c r="O600" s="8"/>
      <c r="P600" s="8"/>
      <c r="Q600" s="8"/>
      <c r="R600" s="8"/>
      <c r="S600" s="8"/>
      <c r="T600" s="8"/>
      <c r="U600" s="12"/>
      <c r="V600" s="12"/>
      <c r="W600" s="12"/>
      <c r="X600" s="12"/>
      <c r="Y600" s="29"/>
      <c r="Z600" s="29"/>
      <c r="AA600" s="29"/>
      <c r="AB600" s="12"/>
      <c r="AC600" s="12"/>
      <c r="AD600" s="12"/>
      <c r="AE600" s="12"/>
      <c r="AF600" s="12"/>
    </row>
    <row r="601" spans="1:32">
      <c r="A601" s="8"/>
      <c r="B601" s="8"/>
      <c r="C601" s="8"/>
      <c r="D601" s="8"/>
      <c r="E601" s="8"/>
      <c r="F601" s="8"/>
      <c r="G601" s="8"/>
      <c r="H601" s="8"/>
      <c r="I601" s="8"/>
      <c r="J601" s="8"/>
      <c r="K601" s="8"/>
      <c r="L601" s="8"/>
      <c r="M601" s="8"/>
      <c r="N601" s="8"/>
      <c r="O601" s="8"/>
      <c r="P601" s="8"/>
      <c r="Q601" s="8"/>
      <c r="R601" s="8"/>
      <c r="S601" s="8"/>
      <c r="T601" s="8"/>
      <c r="U601" s="12"/>
      <c r="V601" s="12"/>
      <c r="W601" s="12"/>
      <c r="X601" s="12"/>
      <c r="Y601" s="29"/>
      <c r="Z601" s="29"/>
      <c r="AA601" s="29"/>
      <c r="AB601" s="12"/>
      <c r="AC601" s="12"/>
      <c r="AD601" s="12"/>
      <c r="AE601" s="12"/>
      <c r="AF601" s="12"/>
    </row>
    <row r="602" spans="1:32">
      <c r="A602" s="8"/>
      <c r="B602" s="8"/>
      <c r="C602" s="8"/>
      <c r="D602" s="8"/>
      <c r="E602" s="8"/>
      <c r="F602" s="8"/>
      <c r="G602" s="8"/>
      <c r="H602" s="8"/>
      <c r="I602" s="8"/>
      <c r="J602" s="8"/>
      <c r="K602" s="8"/>
      <c r="L602" s="8"/>
      <c r="M602" s="8"/>
      <c r="N602" s="8"/>
      <c r="O602" s="8"/>
      <c r="P602" s="8"/>
      <c r="Q602" s="8"/>
      <c r="R602" s="8"/>
      <c r="S602" s="8"/>
      <c r="T602" s="8"/>
      <c r="U602" s="12"/>
      <c r="V602" s="12"/>
      <c r="W602" s="12"/>
      <c r="X602" s="12"/>
      <c r="Y602" s="29"/>
      <c r="Z602" s="29"/>
      <c r="AA602" s="29"/>
      <c r="AB602" s="12"/>
      <c r="AC602" s="12"/>
      <c r="AD602" s="12"/>
      <c r="AE602" s="12"/>
      <c r="AF602" s="12"/>
    </row>
    <row r="603" spans="1:32">
      <c r="A603" s="8"/>
      <c r="B603" s="8"/>
      <c r="C603" s="8"/>
      <c r="D603" s="8"/>
      <c r="E603" s="8"/>
      <c r="F603" s="8"/>
      <c r="G603" s="8"/>
      <c r="H603" s="8"/>
      <c r="I603" s="8"/>
      <c r="J603" s="8"/>
      <c r="K603" s="8"/>
      <c r="L603" s="8"/>
      <c r="M603" s="8"/>
      <c r="N603" s="8"/>
      <c r="O603" s="8"/>
      <c r="P603" s="8"/>
      <c r="Q603" s="8"/>
      <c r="R603" s="8"/>
      <c r="S603" s="8"/>
      <c r="T603" s="8"/>
      <c r="U603" s="12"/>
      <c r="V603" s="12"/>
      <c r="W603" s="12"/>
      <c r="X603" s="12"/>
      <c r="Y603" s="29"/>
      <c r="Z603" s="29"/>
      <c r="AA603" s="29"/>
      <c r="AB603" s="12"/>
      <c r="AC603" s="12"/>
      <c r="AD603" s="12"/>
      <c r="AE603" s="12"/>
      <c r="AF603" s="12"/>
    </row>
    <row r="604" spans="1:32">
      <c r="A604" s="8"/>
      <c r="B604" s="8"/>
      <c r="C604" s="8"/>
      <c r="D604" s="8"/>
      <c r="E604" s="8"/>
      <c r="F604" s="8"/>
      <c r="G604" s="8"/>
      <c r="H604" s="8"/>
      <c r="I604" s="8"/>
      <c r="J604" s="8"/>
      <c r="K604" s="8"/>
      <c r="L604" s="8"/>
      <c r="M604" s="8"/>
      <c r="N604" s="8"/>
      <c r="O604" s="8"/>
      <c r="P604" s="8"/>
      <c r="Q604" s="8"/>
      <c r="R604" s="8"/>
      <c r="S604" s="8"/>
      <c r="T604" s="8"/>
      <c r="U604" s="12"/>
      <c r="V604" s="12"/>
      <c r="W604" s="12"/>
      <c r="X604" s="12"/>
      <c r="Y604" s="29"/>
      <c r="Z604" s="29"/>
      <c r="AA604" s="29"/>
      <c r="AB604" s="12"/>
      <c r="AC604" s="12"/>
      <c r="AD604" s="12"/>
      <c r="AE604" s="12"/>
      <c r="AF604" s="12"/>
    </row>
    <row r="605" spans="1:32">
      <c r="A605" s="8"/>
      <c r="B605" s="8"/>
      <c r="C605" s="8"/>
      <c r="D605" s="8"/>
      <c r="E605" s="8"/>
      <c r="F605" s="8"/>
      <c r="G605" s="8"/>
      <c r="H605" s="8"/>
      <c r="I605" s="8"/>
      <c r="J605" s="8"/>
      <c r="K605" s="8"/>
      <c r="L605" s="8"/>
      <c r="M605" s="8"/>
      <c r="N605" s="8"/>
      <c r="O605" s="8"/>
      <c r="P605" s="8"/>
      <c r="Q605" s="8"/>
      <c r="R605" s="8"/>
      <c r="S605" s="8"/>
      <c r="T605" s="8"/>
      <c r="U605" s="12"/>
      <c r="V605" s="12"/>
      <c r="W605" s="12"/>
      <c r="X605" s="12"/>
      <c r="Y605" s="29"/>
      <c r="Z605" s="29"/>
      <c r="AA605" s="29"/>
      <c r="AB605" s="12"/>
      <c r="AC605" s="12"/>
      <c r="AD605" s="12"/>
      <c r="AE605" s="12"/>
      <c r="AF605" s="12"/>
    </row>
    <row r="606" spans="1:32">
      <c r="A606" s="8"/>
      <c r="B606" s="8"/>
      <c r="C606" s="8"/>
      <c r="D606" s="8"/>
      <c r="E606" s="8"/>
      <c r="F606" s="8"/>
      <c r="G606" s="8"/>
      <c r="H606" s="8"/>
      <c r="I606" s="8"/>
      <c r="J606" s="8"/>
      <c r="K606" s="8"/>
      <c r="L606" s="8"/>
      <c r="M606" s="8"/>
      <c r="N606" s="8"/>
      <c r="O606" s="8"/>
      <c r="P606" s="8"/>
      <c r="Q606" s="8"/>
      <c r="R606" s="8"/>
      <c r="S606" s="8"/>
      <c r="T606" s="8"/>
      <c r="U606" s="12"/>
      <c r="V606" s="12"/>
      <c r="W606" s="12"/>
      <c r="X606" s="12"/>
      <c r="Y606" s="29"/>
      <c r="Z606" s="29"/>
      <c r="AA606" s="29"/>
      <c r="AB606" s="12"/>
      <c r="AC606" s="12"/>
      <c r="AD606" s="12"/>
      <c r="AE606" s="12"/>
      <c r="AF606" s="12"/>
    </row>
    <row r="607" spans="1:32">
      <c r="A607" s="8"/>
      <c r="B607" s="8"/>
      <c r="C607" s="8"/>
      <c r="D607" s="8"/>
      <c r="E607" s="8"/>
      <c r="F607" s="8"/>
      <c r="G607" s="8"/>
      <c r="H607" s="8"/>
      <c r="I607" s="8"/>
      <c r="J607" s="8"/>
      <c r="K607" s="8"/>
      <c r="L607" s="8"/>
      <c r="M607" s="8"/>
      <c r="N607" s="8"/>
      <c r="O607" s="8"/>
      <c r="P607" s="8"/>
      <c r="Q607" s="8"/>
      <c r="R607" s="8"/>
      <c r="S607" s="8"/>
      <c r="T607" s="8"/>
      <c r="U607" s="12"/>
      <c r="V607" s="12"/>
      <c r="W607" s="12"/>
      <c r="X607" s="12"/>
      <c r="Y607" s="29"/>
      <c r="Z607" s="29"/>
      <c r="AA607" s="29"/>
      <c r="AB607" s="12"/>
      <c r="AC607" s="12"/>
      <c r="AD607" s="12"/>
      <c r="AE607" s="12"/>
      <c r="AF607" s="12"/>
    </row>
    <row r="608" spans="1:32">
      <c r="A608" s="8"/>
      <c r="B608" s="8"/>
      <c r="C608" s="8"/>
      <c r="D608" s="8"/>
      <c r="E608" s="8"/>
      <c r="F608" s="8"/>
      <c r="G608" s="8"/>
      <c r="H608" s="8"/>
      <c r="I608" s="8"/>
      <c r="J608" s="8"/>
      <c r="K608" s="8"/>
      <c r="L608" s="8"/>
      <c r="M608" s="8"/>
      <c r="N608" s="8"/>
      <c r="O608" s="8"/>
      <c r="P608" s="8"/>
      <c r="Q608" s="8"/>
      <c r="R608" s="8"/>
      <c r="S608" s="8"/>
      <c r="T608" s="8"/>
      <c r="U608" s="12"/>
      <c r="V608" s="12"/>
      <c r="W608" s="12"/>
      <c r="X608" s="12"/>
      <c r="Y608" s="29"/>
      <c r="Z608" s="29"/>
      <c r="AA608" s="29"/>
      <c r="AB608" s="12"/>
      <c r="AC608" s="12"/>
      <c r="AD608" s="12"/>
      <c r="AE608" s="12"/>
      <c r="AF608" s="12"/>
    </row>
    <row r="609" spans="1:32">
      <c r="A609" s="8"/>
      <c r="B609" s="8"/>
      <c r="C609" s="8"/>
      <c r="D609" s="8"/>
      <c r="E609" s="8"/>
      <c r="F609" s="8"/>
      <c r="G609" s="8"/>
      <c r="H609" s="8"/>
      <c r="I609" s="8"/>
      <c r="J609" s="8"/>
      <c r="K609" s="8"/>
      <c r="L609" s="8"/>
      <c r="M609" s="8"/>
      <c r="N609" s="8"/>
      <c r="O609" s="8"/>
      <c r="P609" s="8"/>
      <c r="Q609" s="8"/>
      <c r="R609" s="8"/>
      <c r="S609" s="8"/>
      <c r="T609" s="8"/>
      <c r="U609" s="12"/>
      <c r="V609" s="12"/>
      <c r="W609" s="12"/>
      <c r="X609" s="12"/>
      <c r="Y609" s="29"/>
      <c r="Z609" s="29"/>
      <c r="AA609" s="29"/>
      <c r="AB609" s="12"/>
      <c r="AC609" s="12"/>
      <c r="AD609" s="12"/>
      <c r="AE609" s="12"/>
      <c r="AF609" s="12"/>
    </row>
    <row r="610" spans="1:32">
      <c r="A610" s="8"/>
      <c r="B610" s="8"/>
      <c r="C610" s="8"/>
      <c r="D610" s="8"/>
      <c r="E610" s="8"/>
      <c r="F610" s="8"/>
      <c r="G610" s="8"/>
      <c r="H610" s="8"/>
      <c r="I610" s="8"/>
      <c r="J610" s="8"/>
      <c r="K610" s="8"/>
      <c r="L610" s="8"/>
      <c r="M610" s="8"/>
      <c r="N610" s="8"/>
      <c r="O610" s="8"/>
      <c r="P610" s="8"/>
      <c r="Q610" s="8"/>
      <c r="R610" s="8"/>
      <c r="S610" s="8"/>
      <c r="T610" s="8"/>
      <c r="U610" s="12"/>
      <c r="V610" s="12"/>
      <c r="W610" s="12"/>
      <c r="X610" s="12"/>
      <c r="Y610" s="29"/>
      <c r="Z610" s="29"/>
      <c r="AA610" s="29"/>
      <c r="AB610" s="12"/>
      <c r="AC610" s="12"/>
      <c r="AD610" s="12"/>
      <c r="AE610" s="12"/>
      <c r="AF610" s="12"/>
    </row>
    <row r="611" spans="1:32">
      <c r="A611" s="8"/>
      <c r="B611" s="8"/>
      <c r="C611" s="8"/>
      <c r="D611" s="8"/>
      <c r="E611" s="8"/>
      <c r="F611" s="8"/>
      <c r="G611" s="8"/>
      <c r="H611" s="8"/>
      <c r="I611" s="8"/>
      <c r="J611" s="8"/>
      <c r="K611" s="8"/>
      <c r="L611" s="8"/>
      <c r="M611" s="8"/>
      <c r="N611" s="8"/>
      <c r="O611" s="8"/>
      <c r="P611" s="8"/>
      <c r="Q611" s="8"/>
      <c r="R611" s="8"/>
      <c r="S611" s="8"/>
      <c r="T611" s="8"/>
      <c r="U611" s="12"/>
      <c r="V611" s="12"/>
      <c r="W611" s="12"/>
      <c r="X611" s="12"/>
      <c r="Y611" s="29"/>
      <c r="Z611" s="29"/>
      <c r="AA611" s="29"/>
      <c r="AB611" s="12"/>
      <c r="AC611" s="12"/>
      <c r="AD611" s="12"/>
      <c r="AE611" s="12"/>
      <c r="AF611" s="12"/>
    </row>
    <row r="612" spans="1:32">
      <c r="A612" s="8"/>
      <c r="B612" s="8"/>
      <c r="C612" s="8"/>
      <c r="D612" s="8"/>
      <c r="E612" s="8"/>
      <c r="F612" s="8"/>
      <c r="G612" s="8"/>
      <c r="H612" s="8"/>
      <c r="I612" s="8"/>
      <c r="J612" s="8"/>
      <c r="K612" s="8"/>
      <c r="L612" s="8"/>
      <c r="M612" s="8"/>
      <c r="N612" s="8"/>
      <c r="O612" s="8"/>
      <c r="P612" s="8"/>
      <c r="Q612" s="8"/>
      <c r="R612" s="8"/>
      <c r="S612" s="8"/>
      <c r="T612" s="8"/>
      <c r="U612" s="12"/>
      <c r="V612" s="12"/>
      <c r="W612" s="12"/>
      <c r="X612" s="12"/>
      <c r="Y612" s="29"/>
      <c r="Z612" s="29"/>
      <c r="AA612" s="29"/>
      <c r="AB612" s="12"/>
      <c r="AC612" s="12"/>
      <c r="AD612" s="12"/>
      <c r="AE612" s="12"/>
      <c r="AF612" s="12"/>
    </row>
    <row r="613" spans="1:32">
      <c r="A613" s="8"/>
      <c r="B613" s="8"/>
      <c r="C613" s="8"/>
      <c r="D613" s="8"/>
      <c r="E613" s="8"/>
      <c r="F613" s="8"/>
      <c r="G613" s="8"/>
      <c r="H613" s="8"/>
      <c r="I613" s="8"/>
      <c r="J613" s="8"/>
      <c r="K613" s="8"/>
      <c r="L613" s="8"/>
      <c r="M613" s="8"/>
      <c r="N613" s="8"/>
      <c r="O613" s="8"/>
      <c r="P613" s="8"/>
      <c r="Q613" s="8"/>
      <c r="R613" s="8"/>
      <c r="S613" s="8"/>
      <c r="T613" s="8"/>
      <c r="U613" s="12"/>
      <c r="V613" s="12"/>
      <c r="W613" s="12"/>
      <c r="X613" s="12"/>
      <c r="Y613" s="29"/>
      <c r="Z613" s="29"/>
      <c r="AA613" s="29"/>
      <c r="AB613" s="12"/>
      <c r="AC613" s="12"/>
      <c r="AD613" s="12"/>
      <c r="AE613" s="12"/>
      <c r="AF613" s="12"/>
    </row>
    <row r="614" spans="1:32">
      <c r="A614" s="8"/>
      <c r="B614" s="8"/>
      <c r="C614" s="8"/>
      <c r="D614" s="8"/>
      <c r="E614" s="8"/>
      <c r="F614" s="8"/>
      <c r="G614" s="8"/>
      <c r="H614" s="8"/>
      <c r="I614" s="8"/>
      <c r="J614" s="8"/>
      <c r="K614" s="8"/>
      <c r="L614" s="8"/>
      <c r="M614" s="8"/>
      <c r="N614" s="8"/>
      <c r="O614" s="8"/>
      <c r="P614" s="8"/>
      <c r="Q614" s="8"/>
      <c r="R614" s="8"/>
      <c r="S614" s="8"/>
      <c r="T614" s="8"/>
      <c r="U614" s="12"/>
      <c r="V614" s="12"/>
      <c r="W614" s="12"/>
      <c r="X614" s="12"/>
      <c r="Y614" s="29"/>
      <c r="Z614" s="29"/>
      <c r="AA614" s="29"/>
      <c r="AB614" s="12"/>
      <c r="AC614" s="12"/>
      <c r="AD614" s="12"/>
      <c r="AE614" s="12"/>
      <c r="AF614" s="12"/>
    </row>
    <row r="615" spans="1:32">
      <c r="A615" s="8"/>
      <c r="B615" s="8"/>
      <c r="C615" s="8"/>
      <c r="D615" s="8"/>
      <c r="E615" s="8"/>
      <c r="F615" s="8"/>
      <c r="G615" s="8"/>
      <c r="H615" s="8"/>
      <c r="I615" s="8"/>
      <c r="J615" s="8"/>
      <c r="K615" s="8"/>
      <c r="L615" s="8"/>
      <c r="M615" s="8"/>
      <c r="N615" s="8"/>
      <c r="O615" s="8"/>
      <c r="P615" s="8"/>
      <c r="Q615" s="8"/>
      <c r="R615" s="8"/>
      <c r="S615" s="8"/>
      <c r="T615" s="8"/>
      <c r="U615" s="12"/>
      <c r="V615" s="12"/>
      <c r="W615" s="12"/>
      <c r="X615" s="12"/>
      <c r="Y615" s="29"/>
      <c r="Z615" s="29"/>
      <c r="AA615" s="29"/>
      <c r="AB615" s="12"/>
      <c r="AC615" s="12"/>
      <c r="AD615" s="12"/>
      <c r="AE615" s="12"/>
      <c r="AF615" s="12"/>
    </row>
    <row r="616" spans="1:32">
      <c r="A616" s="8"/>
      <c r="B616" s="8"/>
      <c r="C616" s="8"/>
      <c r="D616" s="8"/>
      <c r="E616" s="8"/>
      <c r="F616" s="8"/>
      <c r="G616" s="8"/>
      <c r="H616" s="8"/>
      <c r="I616" s="8"/>
      <c r="J616" s="8"/>
      <c r="K616" s="8"/>
      <c r="L616" s="8"/>
      <c r="M616" s="8"/>
      <c r="N616" s="8"/>
      <c r="O616" s="8"/>
      <c r="P616" s="8"/>
      <c r="Q616" s="8"/>
      <c r="R616" s="8"/>
      <c r="S616" s="8"/>
      <c r="T616" s="8"/>
      <c r="U616" s="12"/>
      <c r="V616" s="12"/>
      <c r="W616" s="12"/>
      <c r="X616" s="12"/>
      <c r="Y616" s="29"/>
      <c r="Z616" s="29"/>
      <c r="AA616" s="29"/>
      <c r="AB616" s="12"/>
      <c r="AC616" s="12"/>
      <c r="AD616" s="12"/>
      <c r="AE616" s="12"/>
      <c r="AF616" s="12"/>
    </row>
    <row r="617" spans="1:32">
      <c r="A617" s="8"/>
      <c r="B617" s="8"/>
      <c r="C617" s="8"/>
      <c r="D617" s="8"/>
      <c r="E617" s="8"/>
      <c r="F617" s="8"/>
      <c r="G617" s="8"/>
      <c r="H617" s="8"/>
      <c r="I617" s="8"/>
      <c r="J617" s="8"/>
      <c r="K617" s="8"/>
      <c r="L617" s="8"/>
      <c r="M617" s="8"/>
      <c r="N617" s="8"/>
      <c r="O617" s="8"/>
      <c r="P617" s="8"/>
      <c r="Q617" s="8"/>
      <c r="R617" s="8"/>
      <c r="S617" s="8"/>
      <c r="T617" s="8"/>
      <c r="U617" s="12"/>
      <c r="V617" s="12"/>
      <c r="W617" s="12"/>
      <c r="X617" s="12"/>
      <c r="Y617" s="29"/>
      <c r="Z617" s="29"/>
      <c r="AA617" s="29"/>
      <c r="AB617" s="12"/>
      <c r="AC617" s="12"/>
      <c r="AD617" s="12"/>
      <c r="AE617" s="12"/>
      <c r="AF617" s="12"/>
    </row>
    <row r="618" spans="1:32">
      <c r="A618" s="8"/>
      <c r="B618" s="8"/>
      <c r="C618" s="8"/>
      <c r="D618" s="8"/>
      <c r="E618" s="8"/>
      <c r="F618" s="8"/>
      <c r="G618" s="8"/>
      <c r="H618" s="8"/>
      <c r="I618" s="8"/>
      <c r="J618" s="8"/>
      <c r="K618" s="8"/>
      <c r="L618" s="8"/>
      <c r="M618" s="8"/>
      <c r="N618" s="8"/>
      <c r="O618" s="8"/>
      <c r="P618" s="8"/>
      <c r="Q618" s="8"/>
      <c r="R618" s="8"/>
      <c r="S618" s="8"/>
      <c r="T618" s="8"/>
      <c r="U618" s="12"/>
      <c r="V618" s="12"/>
      <c r="W618" s="12"/>
      <c r="X618" s="12"/>
      <c r="Y618" s="29"/>
      <c r="Z618" s="29"/>
      <c r="AA618" s="29"/>
      <c r="AB618" s="12"/>
      <c r="AC618" s="12"/>
      <c r="AD618" s="12"/>
      <c r="AE618" s="12"/>
      <c r="AF618" s="12"/>
    </row>
    <row r="619" spans="1:32">
      <c r="A619" s="8"/>
      <c r="B619" s="8"/>
      <c r="C619" s="8"/>
      <c r="D619" s="8"/>
      <c r="E619" s="8"/>
      <c r="F619" s="8"/>
      <c r="G619" s="8"/>
      <c r="H619" s="8"/>
      <c r="I619" s="8"/>
      <c r="J619" s="8"/>
      <c r="K619" s="8"/>
      <c r="L619" s="8"/>
      <c r="M619" s="8"/>
      <c r="N619" s="8"/>
      <c r="O619" s="8"/>
      <c r="P619" s="8"/>
      <c r="Q619" s="8"/>
      <c r="R619" s="8"/>
      <c r="S619" s="8"/>
      <c r="T619" s="8"/>
      <c r="U619" s="12"/>
      <c r="V619" s="12"/>
      <c r="W619" s="12"/>
      <c r="X619" s="12"/>
      <c r="Y619" s="29"/>
      <c r="Z619" s="29"/>
      <c r="AA619" s="29"/>
      <c r="AB619" s="12"/>
      <c r="AC619" s="12"/>
      <c r="AD619" s="12"/>
      <c r="AE619" s="12"/>
      <c r="AF619" s="12"/>
    </row>
    <row r="620" spans="1:32">
      <c r="A620" s="8"/>
      <c r="B620" s="8"/>
      <c r="C620" s="8"/>
      <c r="D620" s="8"/>
      <c r="E620" s="8"/>
      <c r="F620" s="8"/>
      <c r="G620" s="8"/>
      <c r="H620" s="8"/>
      <c r="I620" s="8"/>
      <c r="J620" s="8"/>
      <c r="K620" s="8"/>
      <c r="L620" s="8"/>
      <c r="M620" s="8"/>
      <c r="N620" s="8"/>
      <c r="O620" s="8"/>
      <c r="P620" s="8"/>
      <c r="Q620" s="8"/>
      <c r="R620" s="8"/>
      <c r="S620" s="8"/>
      <c r="T620" s="8"/>
      <c r="U620" s="12"/>
      <c r="V620" s="12"/>
      <c r="W620" s="12"/>
      <c r="X620" s="12"/>
      <c r="Y620" s="29"/>
      <c r="Z620" s="29"/>
      <c r="AA620" s="29"/>
      <c r="AB620" s="12"/>
      <c r="AC620" s="12"/>
      <c r="AD620" s="12"/>
      <c r="AE620" s="12"/>
      <c r="AF620" s="12"/>
    </row>
    <row r="621" spans="1:32">
      <c r="A621" s="8"/>
      <c r="B621" s="8"/>
      <c r="C621" s="8"/>
      <c r="D621" s="8"/>
      <c r="E621" s="8"/>
      <c r="F621" s="8"/>
      <c r="G621" s="8"/>
      <c r="H621" s="8"/>
      <c r="I621" s="8"/>
      <c r="J621" s="8"/>
      <c r="K621" s="8"/>
      <c r="L621" s="8"/>
      <c r="M621" s="8"/>
      <c r="N621" s="8"/>
      <c r="O621" s="8"/>
      <c r="P621" s="8"/>
      <c r="Q621" s="8"/>
      <c r="R621" s="8"/>
      <c r="S621" s="8"/>
      <c r="T621" s="8"/>
      <c r="U621" s="12"/>
      <c r="V621" s="12"/>
      <c r="W621" s="12"/>
      <c r="X621" s="12"/>
      <c r="Y621" s="29"/>
      <c r="Z621" s="29"/>
      <c r="AA621" s="29"/>
      <c r="AB621" s="12"/>
      <c r="AC621" s="12"/>
      <c r="AD621" s="12"/>
      <c r="AE621" s="12"/>
      <c r="AF621" s="12"/>
    </row>
    <row r="622" spans="1:32">
      <c r="A622" s="8"/>
      <c r="B622" s="8"/>
      <c r="C622" s="8"/>
      <c r="D622" s="8"/>
      <c r="E622" s="8"/>
      <c r="F622" s="8"/>
      <c r="G622" s="8"/>
      <c r="H622" s="8"/>
      <c r="I622" s="8"/>
      <c r="J622" s="8"/>
      <c r="K622" s="8"/>
      <c r="L622" s="8"/>
      <c r="M622" s="8"/>
      <c r="N622" s="8"/>
      <c r="O622" s="8"/>
      <c r="P622" s="8"/>
      <c r="Q622" s="8"/>
      <c r="R622" s="8"/>
      <c r="S622" s="8"/>
      <c r="T622" s="8"/>
      <c r="U622" s="12"/>
      <c r="V622" s="12"/>
      <c r="W622" s="12"/>
      <c r="X622" s="12"/>
      <c r="Y622" s="29"/>
      <c r="Z622" s="29"/>
      <c r="AA622" s="29"/>
      <c r="AB622" s="12"/>
      <c r="AC622" s="12"/>
      <c r="AD622" s="12"/>
      <c r="AE622" s="12"/>
      <c r="AF622" s="12"/>
    </row>
    <row r="623" spans="1:32">
      <c r="A623" s="8"/>
      <c r="B623" s="8"/>
      <c r="C623" s="8"/>
      <c r="D623" s="8"/>
      <c r="E623" s="8"/>
      <c r="F623" s="8"/>
      <c r="G623" s="8"/>
      <c r="H623" s="8"/>
      <c r="I623" s="8"/>
      <c r="J623" s="8"/>
      <c r="K623" s="8"/>
      <c r="L623" s="8"/>
      <c r="M623" s="8"/>
      <c r="N623" s="8"/>
      <c r="O623" s="8"/>
      <c r="P623" s="8"/>
      <c r="Q623" s="8"/>
      <c r="R623" s="8"/>
      <c r="S623" s="8"/>
      <c r="T623" s="8"/>
      <c r="U623" s="12"/>
      <c r="V623" s="12"/>
      <c r="W623" s="12"/>
      <c r="X623" s="12"/>
      <c r="Y623" s="29"/>
      <c r="Z623" s="29"/>
      <c r="AA623" s="29"/>
      <c r="AB623" s="12"/>
      <c r="AC623" s="12"/>
      <c r="AD623" s="12"/>
      <c r="AE623" s="12"/>
      <c r="AF623" s="12"/>
    </row>
    <row r="624" spans="1:32">
      <c r="A624" s="8"/>
      <c r="B624" s="8"/>
      <c r="C624" s="8"/>
      <c r="D624" s="8"/>
      <c r="E624" s="8"/>
      <c r="F624" s="8"/>
      <c r="G624" s="8"/>
      <c r="H624" s="8"/>
      <c r="I624" s="8"/>
      <c r="J624" s="8"/>
      <c r="K624" s="8"/>
      <c r="L624" s="8"/>
      <c r="M624" s="8"/>
      <c r="N624" s="8"/>
      <c r="O624" s="8"/>
      <c r="P624" s="8"/>
      <c r="Q624" s="8"/>
      <c r="R624" s="8"/>
      <c r="S624" s="8"/>
      <c r="T624" s="8"/>
      <c r="U624" s="12"/>
      <c r="V624" s="12"/>
      <c r="W624" s="12"/>
      <c r="X624" s="12"/>
      <c r="Y624" s="29"/>
      <c r="Z624" s="29"/>
      <c r="AA624" s="29"/>
      <c r="AB624" s="12"/>
      <c r="AC624" s="12"/>
      <c r="AD624" s="12"/>
      <c r="AE624" s="12"/>
      <c r="AF624" s="12"/>
    </row>
    <row r="625" spans="1:32">
      <c r="A625" s="8"/>
      <c r="B625" s="8"/>
      <c r="C625" s="8"/>
      <c r="D625" s="8"/>
      <c r="E625" s="8"/>
      <c r="F625" s="8"/>
      <c r="G625" s="8"/>
      <c r="H625" s="8"/>
      <c r="I625" s="8"/>
      <c r="J625" s="8"/>
      <c r="K625" s="8"/>
      <c r="L625" s="8"/>
      <c r="M625" s="8"/>
      <c r="N625" s="8"/>
      <c r="O625" s="8"/>
      <c r="P625" s="8"/>
      <c r="Q625" s="8"/>
      <c r="R625" s="8"/>
      <c r="S625" s="8"/>
      <c r="T625" s="8"/>
      <c r="U625" s="12"/>
      <c r="V625" s="12"/>
      <c r="W625" s="12"/>
      <c r="X625" s="12"/>
      <c r="Y625" s="29"/>
      <c r="Z625" s="29"/>
      <c r="AA625" s="29"/>
      <c r="AB625" s="12"/>
      <c r="AC625" s="12"/>
      <c r="AD625" s="12"/>
      <c r="AE625" s="12"/>
      <c r="AF625" s="12"/>
    </row>
    <row r="626" spans="1:32">
      <c r="A626" s="8"/>
      <c r="B626" s="8"/>
      <c r="C626" s="8"/>
      <c r="D626" s="8"/>
      <c r="E626" s="8"/>
      <c r="F626" s="8"/>
      <c r="G626" s="8"/>
      <c r="H626" s="8"/>
      <c r="I626" s="8"/>
      <c r="J626" s="8"/>
      <c r="K626" s="8"/>
      <c r="L626" s="8"/>
      <c r="M626" s="8"/>
      <c r="N626" s="8"/>
      <c r="O626" s="8"/>
      <c r="P626" s="8"/>
      <c r="Q626" s="8"/>
      <c r="R626" s="8"/>
      <c r="S626" s="8"/>
      <c r="T626" s="8"/>
      <c r="U626" s="12"/>
      <c r="V626" s="12"/>
      <c r="W626" s="12"/>
      <c r="X626" s="12"/>
      <c r="Y626" s="29"/>
      <c r="Z626" s="29"/>
      <c r="AA626" s="29"/>
      <c r="AB626" s="12"/>
      <c r="AC626" s="12"/>
      <c r="AD626" s="12"/>
      <c r="AE626" s="12"/>
      <c r="AF626" s="12"/>
    </row>
    <row r="627" spans="1:32">
      <c r="A627" s="8"/>
      <c r="B627" s="8"/>
      <c r="C627" s="8"/>
      <c r="D627" s="8"/>
      <c r="E627" s="8"/>
      <c r="F627" s="8"/>
      <c r="G627" s="8"/>
      <c r="H627" s="8"/>
      <c r="I627" s="8"/>
      <c r="J627" s="8"/>
      <c r="K627" s="8"/>
      <c r="L627" s="8"/>
      <c r="M627" s="8"/>
      <c r="N627" s="8"/>
      <c r="O627" s="8"/>
      <c r="P627" s="8"/>
      <c r="Q627" s="8"/>
      <c r="R627" s="8"/>
      <c r="S627" s="8"/>
      <c r="T627" s="8"/>
      <c r="U627" s="12"/>
      <c r="V627" s="12"/>
      <c r="W627" s="12"/>
      <c r="X627" s="12"/>
      <c r="Y627" s="29"/>
      <c r="Z627" s="29"/>
      <c r="AA627" s="29"/>
      <c r="AB627" s="12"/>
      <c r="AC627" s="12"/>
      <c r="AD627" s="12"/>
      <c r="AE627" s="12"/>
      <c r="AF627" s="12"/>
    </row>
    <row r="628" spans="1:32">
      <c r="A628" s="8"/>
      <c r="B628" s="8"/>
      <c r="C628" s="8"/>
      <c r="D628" s="8"/>
      <c r="E628" s="8"/>
      <c r="F628" s="8"/>
      <c r="G628" s="8"/>
      <c r="H628" s="8"/>
      <c r="I628" s="8"/>
      <c r="J628" s="8"/>
      <c r="K628" s="8"/>
      <c r="L628" s="8"/>
      <c r="M628" s="8"/>
      <c r="N628" s="8"/>
      <c r="O628" s="8"/>
      <c r="P628" s="8"/>
      <c r="Q628" s="8"/>
      <c r="R628" s="8"/>
      <c r="S628" s="8"/>
      <c r="T628" s="8"/>
      <c r="U628" s="12"/>
      <c r="V628" s="12"/>
      <c r="W628" s="12"/>
      <c r="X628" s="12"/>
      <c r="Y628" s="29"/>
      <c r="Z628" s="29"/>
      <c r="AA628" s="29"/>
      <c r="AB628" s="12"/>
      <c r="AC628" s="12"/>
      <c r="AD628" s="12"/>
      <c r="AE628" s="12"/>
      <c r="AF628" s="12"/>
    </row>
    <row r="629" spans="1:32">
      <c r="A629" s="8"/>
      <c r="B629" s="8"/>
      <c r="C629" s="8"/>
      <c r="D629" s="8"/>
      <c r="E629" s="8"/>
      <c r="F629" s="8"/>
      <c r="G629" s="8"/>
      <c r="H629" s="8"/>
      <c r="I629" s="8"/>
      <c r="J629" s="8"/>
      <c r="K629" s="8"/>
      <c r="L629" s="8"/>
      <c r="M629" s="8"/>
      <c r="N629" s="8"/>
      <c r="O629" s="8"/>
      <c r="P629" s="8"/>
      <c r="Q629" s="8"/>
      <c r="R629" s="8"/>
      <c r="S629" s="8"/>
      <c r="T629" s="8"/>
      <c r="U629" s="12"/>
      <c r="V629" s="12"/>
      <c r="W629" s="12"/>
      <c r="X629" s="12"/>
      <c r="Y629" s="29"/>
      <c r="Z629" s="29"/>
      <c r="AA629" s="29"/>
      <c r="AB629" s="12"/>
      <c r="AC629" s="12"/>
      <c r="AD629" s="12"/>
      <c r="AE629" s="12"/>
      <c r="AF629" s="12"/>
    </row>
    <row r="630" spans="1:32">
      <c r="A630" s="8"/>
      <c r="B630" s="8"/>
      <c r="C630" s="8"/>
      <c r="D630" s="8"/>
      <c r="E630" s="8"/>
      <c r="F630" s="8"/>
      <c r="G630" s="8"/>
      <c r="H630" s="8"/>
      <c r="I630" s="8"/>
      <c r="J630" s="8"/>
      <c r="K630" s="8"/>
      <c r="L630" s="8"/>
      <c r="M630" s="8"/>
      <c r="N630" s="8"/>
      <c r="O630" s="8"/>
      <c r="P630" s="8"/>
      <c r="Q630" s="8"/>
      <c r="R630" s="8"/>
      <c r="S630" s="8"/>
      <c r="T630" s="8"/>
      <c r="U630" s="12"/>
      <c r="V630" s="12"/>
      <c r="W630" s="12"/>
      <c r="X630" s="12"/>
      <c r="Y630" s="29"/>
      <c r="Z630" s="29"/>
      <c r="AA630" s="29"/>
      <c r="AB630" s="12"/>
      <c r="AC630" s="12"/>
      <c r="AD630" s="12"/>
      <c r="AE630" s="12"/>
      <c r="AF630" s="12"/>
    </row>
    <row r="631" spans="1:32">
      <c r="A631" s="8"/>
      <c r="B631" s="8"/>
      <c r="C631" s="8"/>
      <c r="D631" s="8"/>
      <c r="E631" s="8"/>
      <c r="F631" s="8"/>
      <c r="G631" s="8"/>
      <c r="H631" s="8"/>
      <c r="I631" s="8"/>
      <c r="J631" s="8"/>
      <c r="K631" s="8"/>
      <c r="L631" s="8"/>
      <c r="M631" s="8"/>
      <c r="N631" s="8"/>
      <c r="O631" s="8"/>
      <c r="P631" s="8"/>
      <c r="Q631" s="8"/>
      <c r="R631" s="8"/>
      <c r="S631" s="8"/>
      <c r="T631" s="8"/>
      <c r="U631" s="12"/>
      <c r="V631" s="12"/>
      <c r="W631" s="12"/>
      <c r="X631" s="12"/>
      <c r="Y631" s="29"/>
      <c r="Z631" s="29"/>
      <c r="AA631" s="29"/>
      <c r="AB631" s="12"/>
      <c r="AC631" s="12"/>
      <c r="AD631" s="12"/>
      <c r="AE631" s="12"/>
      <c r="AF631" s="12"/>
    </row>
    <row r="632" spans="1:32">
      <c r="A632" s="8"/>
      <c r="B632" s="8"/>
      <c r="C632" s="8"/>
      <c r="D632" s="8"/>
      <c r="E632" s="8"/>
      <c r="F632" s="8"/>
      <c r="G632" s="8"/>
      <c r="H632" s="8"/>
      <c r="I632" s="8"/>
      <c r="J632" s="8"/>
      <c r="K632" s="8"/>
      <c r="L632" s="8"/>
      <c r="M632" s="8"/>
      <c r="N632" s="8"/>
      <c r="O632" s="8"/>
      <c r="P632" s="8"/>
      <c r="Q632" s="8"/>
      <c r="R632" s="8"/>
      <c r="S632" s="8"/>
      <c r="T632" s="8"/>
      <c r="U632" s="12"/>
      <c r="V632" s="12"/>
      <c r="W632" s="12"/>
      <c r="X632" s="12"/>
      <c r="Y632" s="29"/>
      <c r="Z632" s="29"/>
      <c r="AA632" s="29"/>
      <c r="AB632" s="12"/>
      <c r="AC632" s="12"/>
      <c r="AD632" s="12"/>
      <c r="AE632" s="12"/>
      <c r="AF632" s="12"/>
    </row>
    <row r="633" spans="1:32">
      <c r="A633" s="8"/>
      <c r="B633" s="8"/>
      <c r="C633" s="8"/>
      <c r="D633" s="8"/>
      <c r="E633" s="8"/>
      <c r="F633" s="8"/>
      <c r="G633" s="8"/>
      <c r="H633" s="8"/>
      <c r="I633" s="8"/>
      <c r="J633" s="8"/>
      <c r="K633" s="8"/>
      <c r="L633" s="8"/>
      <c r="M633" s="8"/>
      <c r="N633" s="8"/>
      <c r="O633" s="8"/>
      <c r="P633" s="8"/>
      <c r="Q633" s="8"/>
      <c r="R633" s="8"/>
      <c r="S633" s="8"/>
      <c r="T633" s="8"/>
      <c r="U633" s="12"/>
      <c r="V633" s="12"/>
      <c r="W633" s="12"/>
      <c r="X633" s="12"/>
      <c r="Y633" s="29"/>
      <c r="Z633" s="29"/>
      <c r="AA633" s="29"/>
      <c r="AB633" s="12"/>
      <c r="AC633" s="12"/>
      <c r="AD633" s="12"/>
      <c r="AE633" s="12"/>
      <c r="AF633" s="12"/>
    </row>
    <row r="634" spans="1:32">
      <c r="A634" s="8"/>
      <c r="B634" s="8"/>
      <c r="C634" s="8"/>
      <c r="D634" s="8"/>
      <c r="E634" s="8"/>
      <c r="F634" s="8"/>
      <c r="G634" s="8"/>
      <c r="H634" s="8"/>
      <c r="I634" s="8"/>
      <c r="J634" s="8"/>
      <c r="K634" s="8"/>
      <c r="L634" s="8"/>
      <c r="M634" s="8"/>
      <c r="N634" s="8"/>
      <c r="O634" s="8"/>
      <c r="P634" s="8"/>
      <c r="Q634" s="8"/>
      <c r="R634" s="8"/>
      <c r="S634" s="8"/>
      <c r="T634" s="8"/>
      <c r="U634" s="12"/>
      <c r="V634" s="12"/>
      <c r="W634" s="12"/>
      <c r="X634" s="12"/>
      <c r="Y634" s="29"/>
      <c r="Z634" s="29"/>
      <c r="AA634" s="29"/>
      <c r="AB634" s="12"/>
      <c r="AC634" s="12"/>
      <c r="AD634" s="12"/>
      <c r="AE634" s="12"/>
      <c r="AF634" s="12"/>
    </row>
    <row r="635" spans="1:32">
      <c r="A635" s="8"/>
      <c r="B635" s="8"/>
      <c r="C635" s="8"/>
      <c r="D635" s="8"/>
      <c r="E635" s="8"/>
      <c r="F635" s="8"/>
      <c r="G635" s="8"/>
      <c r="H635" s="8"/>
      <c r="I635" s="8"/>
      <c r="J635" s="8"/>
      <c r="K635" s="8"/>
      <c r="L635" s="8"/>
      <c r="M635" s="8"/>
      <c r="N635" s="8"/>
      <c r="O635" s="8"/>
      <c r="P635" s="8"/>
      <c r="Q635" s="8"/>
      <c r="R635" s="8"/>
      <c r="S635" s="8"/>
      <c r="T635" s="8"/>
      <c r="U635" s="12"/>
      <c r="V635" s="12"/>
      <c r="W635" s="12"/>
      <c r="X635" s="12"/>
      <c r="Y635" s="29"/>
      <c r="Z635" s="29"/>
      <c r="AA635" s="29"/>
      <c r="AB635" s="12"/>
      <c r="AC635" s="12"/>
      <c r="AD635" s="12"/>
      <c r="AE635" s="12"/>
      <c r="AF635" s="12"/>
    </row>
    <row r="636" spans="1:32">
      <c r="A636" s="8"/>
      <c r="B636" s="8"/>
      <c r="C636" s="8"/>
      <c r="D636" s="8"/>
      <c r="E636" s="8"/>
      <c r="F636" s="8"/>
      <c r="G636" s="8"/>
      <c r="H636" s="8"/>
      <c r="I636" s="8"/>
      <c r="J636" s="8"/>
      <c r="K636" s="8"/>
      <c r="L636" s="8"/>
      <c r="M636" s="8"/>
      <c r="N636" s="8"/>
      <c r="O636" s="8"/>
      <c r="P636" s="8"/>
      <c r="Q636" s="8"/>
      <c r="R636" s="8"/>
      <c r="S636" s="8"/>
      <c r="T636" s="8"/>
      <c r="U636" s="12"/>
      <c r="V636" s="12"/>
      <c r="W636" s="12"/>
      <c r="X636" s="12"/>
      <c r="Y636" s="29"/>
      <c r="Z636" s="29"/>
      <c r="AA636" s="29"/>
      <c r="AB636" s="12"/>
      <c r="AC636" s="12"/>
      <c r="AD636" s="12"/>
      <c r="AE636" s="12"/>
      <c r="AF636" s="12"/>
    </row>
    <row r="637" spans="1:32">
      <c r="A637" s="8"/>
      <c r="B637" s="8"/>
      <c r="C637" s="8"/>
      <c r="D637" s="8"/>
      <c r="E637" s="8"/>
      <c r="F637" s="8"/>
      <c r="G637" s="8"/>
      <c r="H637" s="8"/>
      <c r="I637" s="8"/>
      <c r="J637" s="8"/>
      <c r="K637" s="8"/>
      <c r="L637" s="8"/>
      <c r="M637" s="8"/>
      <c r="N637" s="8"/>
      <c r="O637" s="8"/>
      <c r="P637" s="8"/>
      <c r="Q637" s="8"/>
      <c r="R637" s="8"/>
      <c r="S637" s="8"/>
      <c r="T637" s="8"/>
      <c r="U637" s="12"/>
      <c r="V637" s="12"/>
      <c r="W637" s="12"/>
      <c r="X637" s="12"/>
      <c r="Y637" s="29"/>
      <c r="Z637" s="29"/>
      <c r="AA637" s="29"/>
      <c r="AB637" s="12"/>
      <c r="AC637" s="12"/>
      <c r="AD637" s="12"/>
      <c r="AE637" s="12"/>
      <c r="AF637" s="12"/>
    </row>
    <row r="638" spans="1:32">
      <c r="A638" s="8"/>
      <c r="B638" s="8"/>
      <c r="C638" s="8"/>
      <c r="D638" s="8"/>
      <c r="E638" s="8"/>
      <c r="F638" s="8"/>
      <c r="G638" s="8"/>
      <c r="H638" s="8"/>
      <c r="I638" s="8"/>
      <c r="J638" s="8"/>
      <c r="K638" s="8"/>
      <c r="L638" s="8"/>
      <c r="M638" s="8"/>
      <c r="N638" s="8"/>
      <c r="O638" s="8"/>
      <c r="P638" s="8"/>
      <c r="Q638" s="8"/>
      <c r="R638" s="8"/>
      <c r="S638" s="8"/>
      <c r="T638" s="8"/>
      <c r="U638" s="12"/>
      <c r="V638" s="12"/>
      <c r="W638" s="12"/>
      <c r="X638" s="12"/>
      <c r="Y638" s="29"/>
      <c r="Z638" s="29"/>
      <c r="AA638" s="29"/>
      <c r="AB638" s="12"/>
      <c r="AC638" s="12"/>
      <c r="AD638" s="12"/>
      <c r="AE638" s="12"/>
      <c r="AF638" s="12"/>
    </row>
    <row r="639" spans="1:32">
      <c r="A639" s="8"/>
      <c r="B639" s="8"/>
      <c r="C639" s="8"/>
      <c r="D639" s="8"/>
      <c r="E639" s="8"/>
      <c r="F639" s="8"/>
      <c r="G639" s="8"/>
      <c r="H639" s="8"/>
      <c r="I639" s="8"/>
      <c r="J639" s="8"/>
      <c r="K639" s="8"/>
      <c r="L639" s="8"/>
      <c r="M639" s="8"/>
      <c r="N639" s="8"/>
      <c r="O639" s="8"/>
      <c r="P639" s="8"/>
      <c r="Q639" s="8"/>
      <c r="R639" s="8"/>
      <c r="S639" s="8"/>
      <c r="T639" s="8"/>
      <c r="U639" s="12"/>
      <c r="V639" s="12"/>
      <c r="W639" s="12"/>
      <c r="X639" s="12"/>
      <c r="Y639" s="29"/>
      <c r="Z639" s="29"/>
      <c r="AA639" s="29"/>
      <c r="AB639" s="12"/>
      <c r="AC639" s="12"/>
      <c r="AD639" s="12"/>
      <c r="AE639" s="12"/>
      <c r="AF639" s="12"/>
    </row>
    <row r="640" spans="1:32">
      <c r="A640" s="8"/>
      <c r="B640" s="8"/>
      <c r="C640" s="8"/>
      <c r="D640" s="8"/>
      <c r="E640" s="8"/>
      <c r="F640" s="8"/>
      <c r="G640" s="8"/>
      <c r="H640" s="8"/>
      <c r="I640" s="8"/>
      <c r="J640" s="8"/>
      <c r="K640" s="8"/>
      <c r="L640" s="8"/>
      <c r="M640" s="8"/>
      <c r="N640" s="8"/>
      <c r="O640" s="8"/>
      <c r="P640" s="8"/>
      <c r="Q640" s="8"/>
      <c r="R640" s="8"/>
      <c r="S640" s="8"/>
      <c r="T640" s="8"/>
      <c r="U640" s="12"/>
      <c r="V640" s="12"/>
      <c r="W640" s="12"/>
      <c r="X640" s="12"/>
      <c r="Y640" s="29"/>
      <c r="Z640" s="29"/>
      <c r="AA640" s="29"/>
      <c r="AB640" s="12"/>
      <c r="AC640" s="12"/>
      <c r="AD640" s="12"/>
      <c r="AE640" s="12"/>
      <c r="AF640" s="12"/>
    </row>
    <row r="641" spans="1:32">
      <c r="A641" s="8"/>
      <c r="B641" s="8"/>
      <c r="C641" s="8"/>
      <c r="D641" s="8"/>
      <c r="E641" s="8"/>
      <c r="F641" s="8"/>
      <c r="G641" s="8"/>
      <c r="H641" s="8"/>
      <c r="I641" s="8"/>
      <c r="J641" s="8"/>
      <c r="K641" s="8"/>
      <c r="L641" s="8"/>
      <c r="M641" s="8"/>
      <c r="N641" s="8"/>
      <c r="O641" s="8"/>
      <c r="P641" s="8"/>
      <c r="Q641" s="8"/>
      <c r="R641" s="8"/>
      <c r="S641" s="8"/>
      <c r="T641" s="8"/>
      <c r="U641" s="12"/>
      <c r="V641" s="12"/>
      <c r="W641" s="12"/>
      <c r="X641" s="12"/>
      <c r="Y641" s="29"/>
      <c r="Z641" s="29"/>
      <c r="AA641" s="29"/>
      <c r="AB641" s="12"/>
      <c r="AC641" s="12"/>
      <c r="AD641" s="12"/>
      <c r="AE641" s="12"/>
      <c r="AF641" s="12"/>
    </row>
    <row r="642" spans="1:32">
      <c r="A642" s="8"/>
      <c r="B642" s="8"/>
      <c r="C642" s="8"/>
      <c r="D642" s="8"/>
      <c r="E642" s="8"/>
      <c r="F642" s="8"/>
      <c r="G642" s="8"/>
      <c r="H642" s="8"/>
      <c r="I642" s="8"/>
      <c r="J642" s="8"/>
      <c r="K642" s="8"/>
      <c r="L642" s="8"/>
      <c r="M642" s="8"/>
      <c r="N642" s="8"/>
      <c r="O642" s="8"/>
      <c r="P642" s="8"/>
      <c r="Q642" s="8"/>
      <c r="R642" s="8"/>
      <c r="S642" s="8"/>
      <c r="T642" s="8"/>
      <c r="U642" s="12"/>
      <c r="V642" s="12"/>
      <c r="W642" s="12"/>
      <c r="X642" s="12"/>
      <c r="Y642" s="29"/>
      <c r="Z642" s="29"/>
      <c r="AA642" s="29"/>
      <c r="AB642" s="12"/>
      <c r="AC642" s="12"/>
      <c r="AD642" s="12"/>
      <c r="AE642" s="12"/>
      <c r="AF642" s="12"/>
    </row>
    <row r="643" spans="1:32">
      <c r="A643" s="8"/>
      <c r="B643" s="8"/>
      <c r="C643" s="8"/>
      <c r="D643" s="8"/>
      <c r="E643" s="8"/>
      <c r="F643" s="8"/>
      <c r="G643" s="8"/>
      <c r="H643" s="8"/>
      <c r="I643" s="8"/>
      <c r="J643" s="8"/>
      <c r="K643" s="8"/>
      <c r="L643" s="8"/>
      <c r="M643" s="8"/>
      <c r="N643" s="8"/>
      <c r="O643" s="8"/>
      <c r="P643" s="8"/>
      <c r="Q643" s="8"/>
      <c r="R643" s="8"/>
      <c r="S643" s="8"/>
      <c r="T643" s="8"/>
      <c r="U643" s="12"/>
      <c r="V643" s="12"/>
      <c r="W643" s="12"/>
      <c r="X643" s="12"/>
      <c r="Y643" s="29"/>
      <c r="Z643" s="29"/>
      <c r="AA643" s="29"/>
      <c r="AB643" s="12"/>
      <c r="AC643" s="12"/>
      <c r="AD643" s="12"/>
      <c r="AE643" s="12"/>
      <c r="AF643" s="12"/>
    </row>
    <row r="644" spans="1:32">
      <c r="A644" s="8"/>
      <c r="B644" s="8"/>
      <c r="C644" s="8"/>
      <c r="D644" s="8"/>
      <c r="E644" s="8"/>
      <c r="F644" s="8"/>
      <c r="G644" s="8"/>
      <c r="H644" s="8"/>
      <c r="I644" s="8"/>
      <c r="J644" s="8"/>
      <c r="K644" s="8"/>
      <c r="L644" s="8"/>
      <c r="M644" s="8"/>
      <c r="N644" s="8"/>
      <c r="O644" s="8"/>
      <c r="P644" s="8"/>
      <c r="Q644" s="8"/>
      <c r="R644" s="8"/>
      <c r="S644" s="8"/>
      <c r="T644" s="8"/>
      <c r="U644" s="12"/>
      <c r="V644" s="12"/>
      <c r="W644" s="12"/>
      <c r="X644" s="12"/>
      <c r="Y644" s="29"/>
      <c r="Z644" s="29"/>
      <c r="AA644" s="29"/>
      <c r="AB644" s="12"/>
      <c r="AC644" s="12"/>
      <c r="AD644" s="12"/>
      <c r="AE644" s="12"/>
      <c r="AF644" s="12"/>
    </row>
    <row r="645" spans="1:32">
      <c r="A645" s="8"/>
      <c r="B645" s="8"/>
      <c r="C645" s="8"/>
      <c r="D645" s="8"/>
      <c r="E645" s="8"/>
      <c r="F645" s="8"/>
      <c r="G645" s="8"/>
      <c r="H645" s="8"/>
      <c r="I645" s="8"/>
      <c r="J645" s="8"/>
      <c r="K645" s="8"/>
      <c r="L645" s="8"/>
      <c r="M645" s="8"/>
      <c r="N645" s="8"/>
      <c r="O645" s="8"/>
      <c r="P645" s="8"/>
      <c r="Q645" s="8"/>
      <c r="R645" s="8"/>
      <c r="S645" s="8"/>
      <c r="T645" s="8"/>
      <c r="U645" s="12"/>
      <c r="V645" s="12"/>
      <c r="W645" s="12"/>
      <c r="X645" s="12"/>
      <c r="Y645" s="29"/>
      <c r="Z645" s="29"/>
      <c r="AA645" s="29"/>
      <c r="AB645" s="12"/>
      <c r="AC645" s="12"/>
      <c r="AD645" s="12"/>
      <c r="AE645" s="12"/>
      <c r="AF645" s="12"/>
    </row>
    <row r="646" spans="1:32">
      <c r="A646" s="8"/>
      <c r="B646" s="8"/>
      <c r="C646" s="8"/>
      <c r="D646" s="8"/>
      <c r="E646" s="8"/>
      <c r="F646" s="8"/>
      <c r="G646" s="8"/>
      <c r="H646" s="8"/>
      <c r="I646" s="8"/>
      <c r="J646" s="8"/>
      <c r="K646" s="8"/>
      <c r="L646" s="8"/>
      <c r="M646" s="8"/>
      <c r="N646" s="8"/>
      <c r="O646" s="8"/>
      <c r="P646" s="8"/>
      <c r="Q646" s="8"/>
      <c r="R646" s="8"/>
      <c r="S646" s="8"/>
      <c r="T646" s="8"/>
      <c r="U646" s="12"/>
      <c r="V646" s="12"/>
      <c r="W646" s="12"/>
      <c r="X646" s="12"/>
      <c r="Y646" s="29"/>
      <c r="Z646" s="29"/>
      <c r="AA646" s="29"/>
      <c r="AB646" s="12"/>
      <c r="AC646" s="12"/>
      <c r="AD646" s="12"/>
      <c r="AE646" s="12"/>
      <c r="AF646" s="12"/>
    </row>
    <row r="647" spans="1:32">
      <c r="A647" s="8"/>
      <c r="B647" s="8"/>
      <c r="C647" s="8"/>
      <c r="D647" s="8"/>
      <c r="E647" s="8"/>
      <c r="F647" s="8"/>
      <c r="G647" s="8"/>
      <c r="H647" s="8"/>
      <c r="I647" s="8"/>
      <c r="J647" s="8"/>
      <c r="K647" s="8"/>
      <c r="L647" s="8"/>
      <c r="M647" s="8"/>
      <c r="N647" s="8"/>
      <c r="O647" s="8"/>
      <c r="P647" s="8"/>
      <c r="Q647" s="8"/>
      <c r="R647" s="8"/>
      <c r="S647" s="8"/>
      <c r="T647" s="8"/>
      <c r="U647" s="12"/>
      <c r="V647" s="12"/>
      <c r="W647" s="12"/>
      <c r="X647" s="12"/>
      <c r="Y647" s="29"/>
      <c r="Z647" s="29"/>
      <c r="AA647" s="29"/>
      <c r="AB647" s="12"/>
      <c r="AC647" s="12"/>
      <c r="AD647" s="12"/>
      <c r="AE647" s="12"/>
      <c r="AF647" s="12"/>
    </row>
    <row r="648" spans="1:32">
      <c r="A648" s="8"/>
      <c r="B648" s="8"/>
      <c r="C648" s="8"/>
      <c r="D648" s="8"/>
      <c r="E648" s="8"/>
      <c r="F648" s="8"/>
      <c r="G648" s="8"/>
      <c r="H648" s="8"/>
      <c r="I648" s="8"/>
      <c r="J648" s="8"/>
      <c r="K648" s="8"/>
      <c r="L648" s="8"/>
      <c r="M648" s="8"/>
      <c r="N648" s="8"/>
      <c r="O648" s="8"/>
      <c r="P648" s="8"/>
      <c r="Q648" s="8"/>
      <c r="R648" s="8"/>
      <c r="S648" s="8"/>
      <c r="T648" s="8"/>
      <c r="U648" s="12"/>
      <c r="V648" s="12"/>
      <c r="W648" s="12"/>
      <c r="X648" s="12"/>
      <c r="Y648" s="29"/>
      <c r="Z648" s="29"/>
      <c r="AA648" s="29"/>
      <c r="AB648" s="12"/>
      <c r="AC648" s="12"/>
      <c r="AD648" s="12"/>
      <c r="AE648" s="12"/>
      <c r="AF648" s="12"/>
    </row>
    <row r="649" spans="1:32">
      <c r="A649" s="8"/>
      <c r="B649" s="8"/>
      <c r="C649" s="8"/>
      <c r="D649" s="8"/>
      <c r="E649" s="8"/>
      <c r="F649" s="8"/>
      <c r="G649" s="8"/>
      <c r="H649" s="8"/>
      <c r="I649" s="8"/>
      <c r="J649" s="8"/>
      <c r="K649" s="8"/>
      <c r="L649" s="8"/>
      <c r="M649" s="8"/>
      <c r="N649" s="8"/>
      <c r="O649" s="8"/>
      <c r="P649" s="8"/>
      <c r="Q649" s="8"/>
      <c r="R649" s="8"/>
      <c r="S649" s="8"/>
      <c r="T649" s="8"/>
      <c r="U649" s="12"/>
      <c r="V649" s="12"/>
      <c r="W649" s="12"/>
      <c r="X649" s="12"/>
      <c r="Y649" s="29"/>
      <c r="Z649" s="29"/>
      <c r="AA649" s="29"/>
      <c r="AB649" s="12"/>
      <c r="AC649" s="12"/>
      <c r="AD649" s="12"/>
      <c r="AE649" s="12"/>
      <c r="AF649" s="12"/>
    </row>
    <row r="650" spans="1:32">
      <c r="A650" s="8"/>
      <c r="B650" s="8"/>
      <c r="C650" s="8"/>
      <c r="D650" s="8"/>
      <c r="E650" s="8"/>
      <c r="F650" s="8"/>
      <c r="G650" s="8"/>
      <c r="H650" s="8"/>
      <c r="I650" s="8"/>
      <c r="J650" s="8"/>
      <c r="K650" s="8"/>
      <c r="L650" s="8"/>
      <c r="M650" s="8"/>
      <c r="N650" s="8"/>
      <c r="O650" s="8"/>
      <c r="P650" s="8"/>
      <c r="Q650" s="8"/>
      <c r="R650" s="8"/>
      <c r="S650" s="8"/>
      <c r="T650" s="8"/>
      <c r="U650" s="12"/>
      <c r="V650" s="12"/>
      <c r="W650" s="12"/>
      <c r="X650" s="12"/>
      <c r="Y650" s="29"/>
      <c r="Z650" s="29"/>
      <c r="AA650" s="29"/>
      <c r="AB650" s="12"/>
      <c r="AC650" s="12"/>
      <c r="AD650" s="12"/>
      <c r="AE650" s="12"/>
      <c r="AF650" s="12"/>
    </row>
    <row r="651" spans="1:32">
      <c r="A651" s="8"/>
      <c r="B651" s="8"/>
      <c r="C651" s="8"/>
      <c r="D651" s="8"/>
      <c r="E651" s="8"/>
      <c r="F651" s="8"/>
      <c r="G651" s="8"/>
      <c r="H651" s="8"/>
      <c r="I651" s="8"/>
      <c r="J651" s="8"/>
      <c r="K651" s="8"/>
      <c r="L651" s="8"/>
      <c r="M651" s="8"/>
      <c r="N651" s="8"/>
      <c r="O651" s="8"/>
      <c r="P651" s="8"/>
      <c r="Q651" s="8"/>
      <c r="R651" s="8"/>
      <c r="S651" s="8"/>
      <c r="T651" s="8"/>
      <c r="U651" s="12"/>
      <c r="V651" s="12"/>
      <c r="W651" s="12"/>
      <c r="X651" s="12"/>
      <c r="Y651" s="29"/>
      <c r="Z651" s="29"/>
      <c r="AA651" s="29"/>
      <c r="AB651" s="12"/>
      <c r="AC651" s="12"/>
      <c r="AD651" s="12"/>
      <c r="AE651" s="12"/>
      <c r="AF651" s="12"/>
    </row>
    <row r="652" spans="1:32">
      <c r="A652" s="8"/>
      <c r="B652" s="8"/>
      <c r="C652" s="8"/>
      <c r="D652" s="8"/>
      <c r="E652" s="8"/>
      <c r="F652" s="8"/>
      <c r="G652" s="8"/>
      <c r="H652" s="8"/>
      <c r="I652" s="8"/>
      <c r="J652" s="8"/>
      <c r="K652" s="8"/>
      <c r="L652" s="8"/>
      <c r="M652" s="8"/>
      <c r="N652" s="8"/>
      <c r="O652" s="8"/>
      <c r="P652" s="8"/>
      <c r="Q652" s="8"/>
      <c r="R652" s="8"/>
      <c r="S652" s="8"/>
      <c r="T652" s="8"/>
      <c r="U652" s="12"/>
      <c r="V652" s="12"/>
      <c r="W652" s="12"/>
      <c r="X652" s="12"/>
      <c r="Y652" s="29"/>
      <c r="Z652" s="29"/>
      <c r="AA652" s="29"/>
      <c r="AB652" s="12"/>
      <c r="AC652" s="12"/>
      <c r="AD652" s="12"/>
      <c r="AE652" s="12"/>
      <c r="AF652" s="12"/>
    </row>
    <row r="653" spans="1:32">
      <c r="A653" s="8"/>
      <c r="B653" s="8"/>
      <c r="C653" s="8"/>
      <c r="D653" s="8"/>
      <c r="E653" s="8"/>
      <c r="F653" s="8"/>
      <c r="G653" s="8"/>
      <c r="H653" s="8"/>
      <c r="I653" s="8"/>
      <c r="J653" s="8"/>
      <c r="K653" s="8"/>
      <c r="L653" s="8"/>
      <c r="M653" s="8"/>
      <c r="N653" s="8"/>
      <c r="O653" s="8"/>
      <c r="P653" s="8"/>
      <c r="Q653" s="8"/>
      <c r="R653" s="8"/>
      <c r="S653" s="8"/>
      <c r="T653" s="8"/>
      <c r="U653" s="12"/>
      <c r="V653" s="12"/>
      <c r="W653" s="12"/>
      <c r="X653" s="12"/>
      <c r="Y653" s="29"/>
      <c r="Z653" s="29"/>
      <c r="AA653" s="29"/>
      <c r="AB653" s="12"/>
      <c r="AC653" s="12"/>
      <c r="AD653" s="12"/>
      <c r="AE653" s="12"/>
      <c r="AF653" s="12"/>
    </row>
    <row r="654" spans="1:32">
      <c r="A654" s="8"/>
      <c r="B654" s="8"/>
      <c r="C654" s="8"/>
      <c r="D654" s="8"/>
      <c r="E654" s="8"/>
      <c r="F654" s="8"/>
      <c r="G654" s="8"/>
      <c r="H654" s="8"/>
      <c r="I654" s="8"/>
      <c r="J654" s="8"/>
      <c r="K654" s="8"/>
      <c r="L654" s="8"/>
      <c r="M654" s="8"/>
      <c r="N654" s="8"/>
      <c r="O654" s="8"/>
      <c r="P654" s="8"/>
      <c r="Q654" s="8"/>
      <c r="R654" s="8"/>
      <c r="S654" s="8"/>
      <c r="T654" s="8"/>
      <c r="U654" s="12"/>
      <c r="V654" s="12"/>
      <c r="W654" s="12"/>
      <c r="X654" s="12"/>
      <c r="Y654" s="29"/>
      <c r="Z654" s="29"/>
      <c r="AA654" s="29"/>
      <c r="AB654" s="12"/>
      <c r="AC654" s="12"/>
      <c r="AD654" s="12"/>
      <c r="AE654" s="12"/>
      <c r="AF654" s="12"/>
    </row>
    <row r="655" spans="1:32">
      <c r="A655" s="8"/>
      <c r="B655" s="8"/>
      <c r="C655" s="8"/>
      <c r="D655" s="8"/>
      <c r="E655" s="8"/>
      <c r="F655" s="8"/>
      <c r="G655" s="8"/>
      <c r="H655" s="8"/>
      <c r="I655" s="8"/>
      <c r="J655" s="8"/>
      <c r="K655" s="8"/>
      <c r="L655" s="8"/>
      <c r="M655" s="8"/>
      <c r="N655" s="8"/>
      <c r="O655" s="8"/>
      <c r="P655" s="8"/>
      <c r="Q655" s="8"/>
      <c r="R655" s="8"/>
      <c r="S655" s="8"/>
      <c r="T655" s="8"/>
      <c r="U655" s="12"/>
      <c r="V655" s="12"/>
      <c r="W655" s="12"/>
      <c r="X655" s="12"/>
      <c r="Y655" s="29"/>
      <c r="Z655" s="29"/>
      <c r="AA655" s="29"/>
      <c r="AB655" s="12"/>
      <c r="AC655" s="12"/>
      <c r="AD655" s="12"/>
      <c r="AE655" s="12"/>
      <c r="AF655" s="12"/>
    </row>
    <row r="656" spans="1:32">
      <c r="A656" s="8"/>
      <c r="B656" s="8"/>
      <c r="C656" s="8"/>
      <c r="D656" s="8"/>
      <c r="E656" s="8"/>
      <c r="F656" s="8"/>
      <c r="G656" s="8"/>
      <c r="H656" s="8"/>
      <c r="I656" s="8"/>
      <c r="J656" s="8"/>
      <c r="K656" s="8"/>
      <c r="L656" s="8"/>
      <c r="M656" s="8"/>
      <c r="N656" s="8"/>
      <c r="O656" s="8"/>
      <c r="P656" s="8"/>
      <c r="Q656" s="8"/>
      <c r="R656" s="8"/>
      <c r="S656" s="8"/>
      <c r="T656" s="8"/>
      <c r="U656" s="12"/>
      <c r="V656" s="12"/>
      <c r="W656" s="12"/>
      <c r="X656" s="12"/>
      <c r="Y656" s="29"/>
      <c r="Z656" s="29"/>
      <c r="AA656" s="29"/>
      <c r="AB656" s="12"/>
      <c r="AC656" s="12"/>
      <c r="AD656" s="12"/>
      <c r="AE656" s="12"/>
      <c r="AF656" s="12"/>
    </row>
    <row r="657" spans="1:32">
      <c r="A657" s="8"/>
      <c r="B657" s="8"/>
      <c r="C657" s="8"/>
      <c r="D657" s="8"/>
      <c r="E657" s="8"/>
      <c r="F657" s="8"/>
      <c r="G657" s="8"/>
      <c r="H657" s="8"/>
      <c r="I657" s="8"/>
      <c r="J657" s="8"/>
      <c r="K657" s="8"/>
      <c r="L657" s="8"/>
      <c r="M657" s="8"/>
      <c r="N657" s="8"/>
      <c r="O657" s="8"/>
      <c r="P657" s="8"/>
      <c r="Q657" s="8"/>
      <c r="R657" s="8"/>
      <c r="S657" s="8"/>
      <c r="T657" s="8"/>
      <c r="U657" s="12"/>
      <c r="V657" s="12"/>
      <c r="W657" s="12"/>
      <c r="X657" s="12"/>
      <c r="Y657" s="29"/>
      <c r="Z657" s="29"/>
      <c r="AA657" s="29"/>
      <c r="AB657" s="12"/>
      <c r="AC657" s="12"/>
      <c r="AD657" s="12"/>
      <c r="AE657" s="12"/>
      <c r="AF657" s="12"/>
    </row>
    <row r="658" spans="1:32">
      <c r="A658" s="8"/>
      <c r="B658" s="8"/>
      <c r="C658" s="8"/>
      <c r="D658" s="8"/>
      <c r="E658" s="8"/>
      <c r="F658" s="8"/>
      <c r="G658" s="8"/>
      <c r="H658" s="8"/>
      <c r="I658" s="8"/>
      <c r="J658" s="8"/>
      <c r="K658" s="8"/>
      <c r="L658" s="8"/>
      <c r="M658" s="8"/>
      <c r="N658" s="8"/>
      <c r="O658" s="8"/>
      <c r="P658" s="8"/>
      <c r="Q658" s="8"/>
      <c r="R658" s="8"/>
      <c r="S658" s="8"/>
      <c r="T658" s="8"/>
      <c r="U658" s="12"/>
      <c r="V658" s="12"/>
      <c r="W658" s="12"/>
      <c r="X658" s="12"/>
      <c r="Y658" s="29"/>
      <c r="Z658" s="29"/>
      <c r="AA658" s="29"/>
      <c r="AB658" s="12"/>
      <c r="AC658" s="12"/>
      <c r="AD658" s="12"/>
      <c r="AE658" s="12"/>
      <c r="AF658" s="12"/>
    </row>
    <row r="659" spans="1:32">
      <c r="A659" s="8"/>
      <c r="B659" s="8"/>
      <c r="C659" s="8"/>
      <c r="D659" s="8"/>
      <c r="E659" s="8"/>
      <c r="F659" s="8"/>
      <c r="G659" s="8"/>
      <c r="H659" s="8"/>
      <c r="I659" s="8"/>
      <c r="J659" s="8"/>
      <c r="K659" s="8"/>
      <c r="L659" s="8"/>
      <c r="M659" s="8"/>
      <c r="N659" s="8"/>
      <c r="O659" s="8"/>
      <c r="P659" s="8"/>
      <c r="Q659" s="8"/>
      <c r="R659" s="8"/>
      <c r="S659" s="8"/>
      <c r="T659" s="8"/>
      <c r="U659" s="12"/>
      <c r="V659" s="12"/>
      <c r="W659" s="12"/>
      <c r="X659" s="12"/>
      <c r="Y659" s="29"/>
      <c r="Z659" s="29"/>
      <c r="AA659" s="29"/>
      <c r="AB659" s="12"/>
      <c r="AC659" s="12"/>
      <c r="AD659" s="12"/>
      <c r="AE659" s="12"/>
      <c r="AF659" s="12"/>
    </row>
    <row r="660" spans="1:32">
      <c r="A660" s="8"/>
      <c r="B660" s="8"/>
      <c r="C660" s="8"/>
      <c r="D660" s="8"/>
      <c r="E660" s="8"/>
      <c r="F660" s="8"/>
      <c r="G660" s="8"/>
      <c r="H660" s="8"/>
      <c r="I660" s="8"/>
      <c r="J660" s="8"/>
      <c r="K660" s="8"/>
      <c r="L660" s="8"/>
      <c r="M660" s="8"/>
      <c r="N660" s="8"/>
      <c r="O660" s="8"/>
      <c r="P660" s="8"/>
      <c r="Q660" s="8"/>
      <c r="R660" s="8"/>
      <c r="S660" s="8"/>
      <c r="T660" s="8"/>
      <c r="U660" s="12"/>
      <c r="V660" s="12"/>
      <c r="W660" s="12"/>
      <c r="X660" s="12"/>
      <c r="Y660" s="29"/>
      <c r="Z660" s="29"/>
      <c r="AA660" s="29"/>
      <c r="AB660" s="12"/>
      <c r="AC660" s="12"/>
      <c r="AD660" s="12"/>
      <c r="AE660" s="12"/>
      <c r="AF660" s="12"/>
    </row>
    <row r="661" spans="1:32">
      <c r="A661" s="8"/>
      <c r="B661" s="8"/>
      <c r="C661" s="8"/>
      <c r="D661" s="8"/>
      <c r="E661" s="8"/>
      <c r="F661" s="8"/>
      <c r="G661" s="8"/>
      <c r="H661" s="8"/>
      <c r="I661" s="8"/>
      <c r="J661" s="8"/>
      <c r="K661" s="8"/>
      <c r="L661" s="8"/>
      <c r="M661" s="8"/>
      <c r="N661" s="8"/>
      <c r="O661" s="8"/>
      <c r="P661" s="8"/>
      <c r="Q661" s="8"/>
      <c r="R661" s="8"/>
      <c r="S661" s="8"/>
      <c r="T661" s="8"/>
      <c r="U661" s="12"/>
      <c r="V661" s="12"/>
      <c r="W661" s="12"/>
      <c r="X661" s="12"/>
      <c r="Y661" s="29"/>
      <c r="Z661" s="29"/>
      <c r="AA661" s="29"/>
      <c r="AB661" s="12"/>
      <c r="AC661" s="12"/>
      <c r="AD661" s="12"/>
      <c r="AE661" s="12"/>
      <c r="AF661" s="12"/>
    </row>
    <row r="662" spans="1:32">
      <c r="A662" s="8"/>
      <c r="B662" s="8"/>
      <c r="C662" s="8"/>
      <c r="D662" s="8"/>
      <c r="E662" s="8"/>
      <c r="F662" s="8"/>
      <c r="G662" s="8"/>
      <c r="H662" s="8"/>
      <c r="I662" s="8"/>
      <c r="J662" s="8"/>
      <c r="K662" s="8"/>
      <c r="L662" s="8"/>
      <c r="M662" s="8"/>
      <c r="N662" s="8"/>
      <c r="O662" s="8"/>
      <c r="P662" s="8"/>
      <c r="Q662" s="8"/>
      <c r="R662" s="8"/>
      <c r="S662" s="8"/>
      <c r="T662" s="8"/>
      <c r="U662" s="12"/>
      <c r="V662" s="12"/>
      <c r="W662" s="12"/>
      <c r="X662" s="12"/>
      <c r="Y662" s="29"/>
      <c r="Z662" s="29"/>
      <c r="AA662" s="29"/>
      <c r="AB662" s="12"/>
      <c r="AC662" s="12"/>
      <c r="AD662" s="12"/>
      <c r="AE662" s="12"/>
      <c r="AF662" s="12"/>
    </row>
    <row r="663" spans="1:32">
      <c r="A663" s="8"/>
      <c r="B663" s="8"/>
      <c r="C663" s="8"/>
      <c r="D663" s="8"/>
      <c r="E663" s="8"/>
      <c r="F663" s="8"/>
      <c r="G663" s="8"/>
      <c r="H663" s="8"/>
      <c r="I663" s="8"/>
      <c r="J663" s="8"/>
      <c r="K663" s="8"/>
      <c r="L663" s="8"/>
      <c r="M663" s="8"/>
      <c r="N663" s="8"/>
      <c r="O663" s="8"/>
      <c r="P663" s="8"/>
      <c r="Q663" s="8"/>
      <c r="R663" s="8"/>
      <c r="S663" s="8"/>
      <c r="T663" s="8"/>
      <c r="U663" s="12"/>
      <c r="V663" s="12"/>
      <c r="W663" s="12"/>
      <c r="X663" s="12"/>
      <c r="Y663" s="29"/>
      <c r="Z663" s="29"/>
      <c r="AA663" s="29"/>
      <c r="AB663" s="12"/>
      <c r="AC663" s="12"/>
      <c r="AD663" s="12"/>
      <c r="AE663" s="12"/>
      <c r="AF663" s="12"/>
    </row>
    <row r="664" spans="1:32">
      <c r="A664" s="8"/>
      <c r="B664" s="8"/>
      <c r="C664" s="8"/>
      <c r="D664" s="8"/>
      <c r="E664" s="8"/>
      <c r="F664" s="8"/>
      <c r="G664" s="8"/>
      <c r="H664" s="8"/>
      <c r="I664" s="8"/>
      <c r="J664" s="8"/>
      <c r="K664" s="8"/>
      <c r="L664" s="8"/>
      <c r="M664" s="8"/>
      <c r="N664" s="8"/>
      <c r="O664" s="8"/>
      <c r="P664" s="8"/>
      <c r="Q664" s="8"/>
      <c r="R664" s="8"/>
      <c r="S664" s="8"/>
      <c r="T664" s="8"/>
      <c r="U664" s="12"/>
      <c r="V664" s="12"/>
      <c r="W664" s="12"/>
      <c r="X664" s="12"/>
      <c r="Y664" s="29"/>
      <c r="Z664" s="29"/>
      <c r="AA664" s="29"/>
      <c r="AB664" s="12"/>
      <c r="AC664" s="12"/>
      <c r="AD664" s="12"/>
      <c r="AE664" s="12"/>
      <c r="AF664" s="12"/>
    </row>
    <row r="665" spans="1:32">
      <c r="A665" s="8"/>
      <c r="B665" s="8"/>
      <c r="C665" s="8"/>
      <c r="D665" s="8"/>
      <c r="E665" s="8"/>
      <c r="F665" s="8"/>
      <c r="G665" s="8"/>
      <c r="H665" s="8"/>
      <c r="I665" s="8"/>
      <c r="J665" s="8"/>
      <c r="K665" s="8"/>
      <c r="L665" s="8"/>
      <c r="M665" s="8"/>
      <c r="N665" s="8"/>
      <c r="O665" s="8"/>
      <c r="P665" s="8"/>
      <c r="Q665" s="8"/>
      <c r="R665" s="8"/>
      <c r="S665" s="8"/>
      <c r="T665" s="8"/>
      <c r="U665" s="12"/>
      <c r="V665" s="12"/>
      <c r="W665" s="12"/>
      <c r="X665" s="12"/>
      <c r="Y665" s="29"/>
      <c r="Z665" s="29"/>
      <c r="AA665" s="29"/>
      <c r="AB665" s="12"/>
      <c r="AC665" s="12"/>
      <c r="AD665" s="12"/>
      <c r="AE665" s="12"/>
      <c r="AF665" s="12"/>
    </row>
    <row r="666" spans="1:32">
      <c r="A666" s="8"/>
      <c r="B666" s="8"/>
      <c r="C666" s="8"/>
      <c r="D666" s="8"/>
      <c r="E666" s="8"/>
      <c r="F666" s="8"/>
      <c r="G666" s="8"/>
      <c r="H666" s="8"/>
      <c r="I666" s="8"/>
      <c r="J666" s="8"/>
      <c r="K666" s="8"/>
      <c r="L666" s="8"/>
      <c r="M666" s="8"/>
      <c r="N666" s="8"/>
      <c r="O666" s="8"/>
      <c r="P666" s="8"/>
      <c r="Q666" s="8"/>
      <c r="R666" s="8"/>
      <c r="S666" s="8"/>
      <c r="T666" s="8"/>
      <c r="U666" s="12"/>
      <c r="V666" s="12"/>
      <c r="W666" s="12"/>
      <c r="X666" s="12"/>
      <c r="Y666" s="29"/>
      <c r="Z666" s="29"/>
      <c r="AA666" s="29"/>
      <c r="AB666" s="12"/>
      <c r="AC666" s="12"/>
      <c r="AD666" s="12"/>
      <c r="AE666" s="12"/>
      <c r="AF666" s="12"/>
    </row>
    <row r="667" spans="1:32">
      <c r="A667" s="8"/>
      <c r="B667" s="8"/>
      <c r="C667" s="8"/>
      <c r="D667" s="8"/>
      <c r="E667" s="8"/>
      <c r="F667" s="8"/>
      <c r="G667" s="8"/>
      <c r="H667" s="8"/>
      <c r="I667" s="8"/>
      <c r="J667" s="8"/>
      <c r="K667" s="8"/>
      <c r="L667" s="8"/>
      <c r="M667" s="8"/>
      <c r="N667" s="8"/>
      <c r="O667" s="8"/>
      <c r="P667" s="8"/>
      <c r="Q667" s="8"/>
      <c r="R667" s="8"/>
      <c r="S667" s="8"/>
      <c r="T667" s="8"/>
      <c r="U667" s="12"/>
      <c r="V667" s="12"/>
      <c r="W667" s="12"/>
      <c r="X667" s="12"/>
      <c r="Y667" s="29"/>
      <c r="Z667" s="29"/>
      <c r="AA667" s="29"/>
      <c r="AB667" s="12"/>
      <c r="AC667" s="12"/>
      <c r="AD667" s="12"/>
      <c r="AE667" s="12"/>
      <c r="AF667" s="12"/>
    </row>
    <row r="668" spans="1:32">
      <c r="A668" s="8"/>
      <c r="B668" s="8"/>
      <c r="C668" s="8"/>
      <c r="D668" s="8"/>
      <c r="E668" s="8"/>
      <c r="F668" s="8"/>
      <c r="G668" s="8"/>
      <c r="H668" s="8"/>
      <c r="I668" s="8"/>
      <c r="J668" s="8"/>
      <c r="K668" s="8"/>
      <c r="L668" s="8"/>
      <c r="M668" s="8"/>
      <c r="N668" s="8"/>
      <c r="O668" s="8"/>
      <c r="P668" s="8"/>
      <c r="Q668" s="8"/>
      <c r="R668" s="8"/>
      <c r="S668" s="8"/>
      <c r="T668" s="8"/>
      <c r="U668" s="12"/>
      <c r="V668" s="12"/>
      <c r="W668" s="12"/>
      <c r="X668" s="12"/>
      <c r="Y668" s="29"/>
      <c r="Z668" s="29"/>
      <c r="AA668" s="29"/>
      <c r="AB668" s="12"/>
      <c r="AC668" s="12"/>
      <c r="AD668" s="12"/>
      <c r="AE668" s="12"/>
      <c r="AF668" s="12"/>
    </row>
    <row r="669" spans="1:32">
      <c r="A669" s="8"/>
      <c r="B669" s="8"/>
      <c r="C669" s="8"/>
      <c r="D669" s="8"/>
      <c r="E669" s="8"/>
      <c r="F669" s="8"/>
      <c r="G669" s="8"/>
      <c r="H669" s="8"/>
      <c r="I669" s="8"/>
      <c r="J669" s="8"/>
      <c r="K669" s="8"/>
      <c r="L669" s="8"/>
      <c r="M669" s="8"/>
      <c r="N669" s="8"/>
      <c r="O669" s="8"/>
      <c r="P669" s="8"/>
      <c r="Q669" s="8"/>
      <c r="R669" s="8"/>
      <c r="S669" s="8"/>
      <c r="T669" s="8"/>
      <c r="U669" s="12"/>
      <c r="V669" s="12"/>
      <c r="W669" s="12"/>
      <c r="X669" s="12"/>
      <c r="Y669" s="29"/>
      <c r="Z669" s="29"/>
      <c r="AA669" s="29"/>
      <c r="AB669" s="12"/>
      <c r="AC669" s="12"/>
      <c r="AD669" s="12"/>
      <c r="AE669" s="12"/>
      <c r="AF669" s="12"/>
    </row>
    <row r="670" spans="1:32">
      <c r="A670" s="8"/>
      <c r="B670" s="8"/>
      <c r="C670" s="8"/>
      <c r="D670" s="8"/>
      <c r="E670" s="8"/>
      <c r="F670" s="8"/>
      <c r="G670" s="8"/>
      <c r="H670" s="8"/>
      <c r="I670" s="8"/>
      <c r="J670" s="8"/>
      <c r="K670" s="8"/>
      <c r="L670" s="8"/>
      <c r="M670" s="8"/>
      <c r="N670" s="8"/>
      <c r="O670" s="8"/>
      <c r="P670" s="8"/>
      <c r="Q670" s="8"/>
      <c r="R670" s="8"/>
      <c r="S670" s="8"/>
      <c r="T670" s="8"/>
      <c r="U670" s="12"/>
      <c r="V670" s="12"/>
      <c r="W670" s="12"/>
      <c r="X670" s="12"/>
      <c r="Y670" s="29"/>
      <c r="Z670" s="29"/>
      <c r="AA670" s="29"/>
      <c r="AB670" s="12"/>
      <c r="AC670" s="12"/>
      <c r="AD670" s="12"/>
      <c r="AE670" s="12"/>
      <c r="AF670" s="12"/>
    </row>
    <row r="671" spans="1:32">
      <c r="A671" s="8"/>
      <c r="B671" s="8"/>
      <c r="C671" s="8"/>
      <c r="D671" s="8"/>
      <c r="E671" s="8"/>
      <c r="F671" s="8"/>
      <c r="G671" s="8"/>
      <c r="H671" s="8"/>
      <c r="I671" s="8"/>
      <c r="J671" s="8"/>
      <c r="K671" s="8"/>
      <c r="L671" s="8"/>
      <c r="M671" s="8"/>
      <c r="N671" s="8"/>
      <c r="O671" s="8"/>
      <c r="P671" s="8"/>
      <c r="Q671" s="8"/>
      <c r="R671" s="8"/>
      <c r="S671" s="8"/>
      <c r="T671" s="8"/>
      <c r="U671" s="12"/>
      <c r="V671" s="12"/>
      <c r="W671" s="12"/>
      <c r="X671" s="12"/>
      <c r="Y671" s="29"/>
      <c r="Z671" s="29"/>
      <c r="AA671" s="29"/>
      <c r="AB671" s="12"/>
      <c r="AC671" s="12"/>
      <c r="AD671" s="12"/>
      <c r="AE671" s="12"/>
      <c r="AF671" s="12"/>
    </row>
    <row r="672" spans="1:32">
      <c r="A672" s="8"/>
      <c r="B672" s="8"/>
      <c r="C672" s="8"/>
      <c r="D672" s="8"/>
      <c r="E672" s="8"/>
      <c r="F672" s="8"/>
      <c r="G672" s="8"/>
      <c r="H672" s="8"/>
      <c r="I672" s="8"/>
      <c r="J672" s="8"/>
      <c r="K672" s="8"/>
      <c r="L672" s="8"/>
      <c r="M672" s="8"/>
      <c r="N672" s="8"/>
      <c r="O672" s="8"/>
      <c r="P672" s="8"/>
      <c r="Q672" s="8"/>
      <c r="R672" s="8"/>
      <c r="S672" s="8"/>
      <c r="T672" s="8"/>
      <c r="U672" s="12"/>
      <c r="V672" s="12"/>
      <c r="W672" s="12"/>
      <c r="X672" s="12"/>
      <c r="Y672" s="29"/>
      <c r="Z672" s="29"/>
      <c r="AA672" s="29"/>
      <c r="AB672" s="12"/>
      <c r="AC672" s="12"/>
      <c r="AD672" s="12"/>
      <c r="AE672" s="12"/>
      <c r="AF672" s="12"/>
    </row>
    <row r="673" spans="1:32">
      <c r="A673" s="8"/>
      <c r="B673" s="8"/>
      <c r="C673" s="8"/>
      <c r="D673" s="8"/>
      <c r="E673" s="8"/>
      <c r="F673" s="8"/>
      <c r="G673" s="8"/>
      <c r="H673" s="8"/>
      <c r="I673" s="8"/>
      <c r="J673" s="8"/>
      <c r="K673" s="8"/>
      <c r="L673" s="8"/>
      <c r="M673" s="8"/>
      <c r="N673" s="8"/>
      <c r="O673" s="8"/>
      <c r="P673" s="8"/>
      <c r="Q673" s="8"/>
      <c r="R673" s="8"/>
      <c r="S673" s="8"/>
      <c r="T673" s="8"/>
      <c r="U673" s="12"/>
      <c r="V673" s="12"/>
      <c r="W673" s="12"/>
      <c r="X673" s="12"/>
      <c r="Y673" s="29"/>
      <c r="Z673" s="29"/>
      <c r="AA673" s="29"/>
      <c r="AB673" s="12"/>
      <c r="AC673" s="12"/>
      <c r="AD673" s="12"/>
      <c r="AE673" s="12"/>
      <c r="AF673" s="12"/>
    </row>
    <row r="674" spans="1:32">
      <c r="A674" s="8"/>
      <c r="B674" s="8"/>
      <c r="C674" s="8"/>
      <c r="D674" s="8"/>
      <c r="E674" s="8"/>
      <c r="F674" s="8"/>
      <c r="G674" s="8"/>
      <c r="H674" s="8"/>
      <c r="I674" s="8"/>
      <c r="J674" s="8"/>
      <c r="K674" s="8"/>
      <c r="L674" s="8"/>
      <c r="M674" s="8"/>
      <c r="N674" s="8"/>
      <c r="O674" s="8"/>
      <c r="P674" s="8"/>
      <c r="Q674" s="8"/>
      <c r="R674" s="8"/>
      <c r="S674" s="8"/>
      <c r="T674" s="8"/>
      <c r="U674" s="12"/>
      <c r="V674" s="12"/>
      <c r="W674" s="12"/>
      <c r="X674" s="12"/>
      <c r="Y674" s="29"/>
      <c r="Z674" s="29"/>
      <c r="AA674" s="29"/>
      <c r="AB674" s="12"/>
      <c r="AC674" s="12"/>
      <c r="AD674" s="12"/>
      <c r="AE674" s="12"/>
      <c r="AF674" s="12"/>
    </row>
    <row r="675" spans="1:32">
      <c r="A675" s="8"/>
      <c r="B675" s="8"/>
      <c r="C675" s="8"/>
      <c r="D675" s="8"/>
      <c r="E675" s="8"/>
      <c r="F675" s="8"/>
      <c r="G675" s="8"/>
      <c r="H675" s="8"/>
      <c r="I675" s="8"/>
      <c r="J675" s="8"/>
      <c r="K675" s="8"/>
      <c r="L675" s="8"/>
      <c r="M675" s="8"/>
      <c r="N675" s="8"/>
      <c r="O675" s="8"/>
      <c r="P675" s="8"/>
      <c r="Q675" s="8"/>
      <c r="R675" s="8"/>
      <c r="S675" s="8"/>
      <c r="T675" s="8"/>
      <c r="U675" s="12"/>
      <c r="V675" s="12"/>
      <c r="W675" s="12"/>
      <c r="X675" s="12"/>
      <c r="Y675" s="29"/>
      <c r="Z675" s="29"/>
      <c r="AA675" s="29"/>
      <c r="AB675" s="12"/>
      <c r="AC675" s="12"/>
      <c r="AD675" s="12"/>
      <c r="AE675" s="12"/>
      <c r="AF675" s="12"/>
    </row>
    <row r="676" spans="1:32">
      <c r="A676" s="8"/>
      <c r="B676" s="8"/>
      <c r="C676" s="8"/>
      <c r="D676" s="8"/>
      <c r="E676" s="8"/>
      <c r="F676" s="8"/>
      <c r="G676" s="8"/>
      <c r="H676" s="8"/>
      <c r="I676" s="8"/>
      <c r="J676" s="8"/>
      <c r="K676" s="8"/>
      <c r="L676" s="8"/>
      <c r="M676" s="8"/>
      <c r="N676" s="8"/>
      <c r="O676" s="8"/>
      <c r="P676" s="8"/>
      <c r="Q676" s="8"/>
      <c r="R676" s="8"/>
      <c r="S676" s="8"/>
      <c r="T676" s="8"/>
      <c r="U676" s="12"/>
      <c r="V676" s="12"/>
      <c r="W676" s="12"/>
      <c r="X676" s="12"/>
      <c r="Y676" s="29"/>
      <c r="Z676" s="29"/>
      <c r="AA676" s="29"/>
      <c r="AB676" s="12"/>
      <c r="AC676" s="12"/>
      <c r="AD676" s="12"/>
      <c r="AE676" s="12"/>
      <c r="AF676" s="12"/>
    </row>
    <row r="677" spans="1:32">
      <c r="A677" s="8"/>
      <c r="B677" s="8"/>
      <c r="C677" s="8"/>
      <c r="D677" s="8"/>
      <c r="E677" s="8"/>
      <c r="F677" s="8"/>
      <c r="G677" s="8"/>
      <c r="H677" s="8"/>
      <c r="I677" s="8"/>
      <c r="J677" s="8"/>
      <c r="K677" s="8"/>
      <c r="L677" s="8"/>
      <c r="M677" s="8"/>
      <c r="N677" s="8"/>
      <c r="O677" s="8"/>
      <c r="P677" s="8"/>
      <c r="Q677" s="8"/>
      <c r="R677" s="8"/>
      <c r="S677" s="8"/>
      <c r="T677" s="8"/>
      <c r="U677" s="12"/>
      <c r="V677" s="12"/>
      <c r="W677" s="12"/>
      <c r="X677" s="12"/>
      <c r="Y677" s="29"/>
      <c r="Z677" s="29"/>
      <c r="AA677" s="29"/>
      <c r="AB677" s="12"/>
      <c r="AC677" s="12"/>
      <c r="AD677" s="12"/>
      <c r="AE677" s="12"/>
      <c r="AF677" s="12"/>
    </row>
    <row r="678" spans="1:32">
      <c r="A678" s="8"/>
      <c r="B678" s="8"/>
      <c r="C678" s="8"/>
      <c r="D678" s="8"/>
      <c r="E678" s="8"/>
      <c r="F678" s="8"/>
      <c r="G678" s="8"/>
      <c r="H678" s="8"/>
      <c r="I678" s="8"/>
      <c r="J678" s="8"/>
      <c r="K678" s="8"/>
      <c r="L678" s="8"/>
      <c r="M678" s="8"/>
      <c r="N678" s="8"/>
      <c r="O678" s="8"/>
      <c r="P678" s="8"/>
      <c r="Q678" s="8"/>
      <c r="R678" s="8"/>
      <c r="S678" s="8"/>
      <c r="T678" s="8"/>
      <c r="U678" s="12"/>
      <c r="V678" s="12"/>
      <c r="W678" s="12"/>
      <c r="X678" s="12"/>
      <c r="Y678" s="29"/>
      <c r="Z678" s="29"/>
      <c r="AA678" s="29"/>
      <c r="AB678" s="12"/>
      <c r="AC678" s="12"/>
      <c r="AD678" s="12"/>
      <c r="AE678" s="12"/>
      <c r="AF678" s="12"/>
    </row>
    <row r="679" spans="1:32">
      <c r="A679" s="8"/>
      <c r="B679" s="8"/>
      <c r="C679" s="8"/>
      <c r="D679" s="8"/>
      <c r="E679" s="8"/>
      <c r="F679" s="8"/>
      <c r="G679" s="8"/>
      <c r="H679" s="8"/>
      <c r="I679" s="8"/>
      <c r="J679" s="8"/>
      <c r="K679" s="8"/>
      <c r="L679" s="8"/>
      <c r="M679" s="8"/>
      <c r="N679" s="8"/>
      <c r="O679" s="8"/>
      <c r="P679" s="8"/>
      <c r="Q679" s="8"/>
      <c r="R679" s="8"/>
      <c r="S679" s="8"/>
      <c r="T679" s="8"/>
      <c r="U679" s="12"/>
      <c r="V679" s="12"/>
      <c r="W679" s="12"/>
      <c r="X679" s="12"/>
      <c r="Y679" s="29"/>
      <c r="Z679" s="29"/>
      <c r="AA679" s="29"/>
      <c r="AB679" s="12"/>
      <c r="AC679" s="12"/>
      <c r="AD679" s="12"/>
      <c r="AE679" s="12"/>
      <c r="AF679" s="12"/>
    </row>
    <row r="680" spans="1:32">
      <c r="A680" s="8"/>
      <c r="B680" s="8"/>
      <c r="C680" s="8"/>
      <c r="D680" s="8"/>
      <c r="E680" s="8"/>
      <c r="F680" s="8"/>
      <c r="G680" s="8"/>
      <c r="H680" s="8"/>
      <c r="I680" s="8"/>
      <c r="J680" s="8"/>
      <c r="K680" s="8"/>
      <c r="L680" s="8"/>
      <c r="M680" s="8"/>
      <c r="N680" s="8"/>
      <c r="O680" s="8"/>
      <c r="P680" s="8"/>
      <c r="Q680" s="8"/>
      <c r="R680" s="8"/>
      <c r="S680" s="8"/>
      <c r="T680" s="8"/>
      <c r="U680" s="12"/>
      <c r="V680" s="12"/>
      <c r="W680" s="12"/>
      <c r="X680" s="12"/>
      <c r="Y680" s="29"/>
      <c r="Z680" s="29"/>
      <c r="AA680" s="29"/>
      <c r="AB680" s="12"/>
      <c r="AC680" s="12"/>
      <c r="AD680" s="12"/>
      <c r="AE680" s="12"/>
      <c r="AF680" s="12"/>
    </row>
    <row r="681" spans="1:32">
      <c r="A681" s="8"/>
      <c r="B681" s="8"/>
      <c r="C681" s="8"/>
      <c r="D681" s="8"/>
      <c r="E681" s="8"/>
      <c r="F681" s="8"/>
      <c r="G681" s="8"/>
      <c r="H681" s="8"/>
      <c r="I681" s="8"/>
      <c r="J681" s="8"/>
      <c r="K681" s="8"/>
      <c r="L681" s="8"/>
      <c r="M681" s="8"/>
      <c r="N681" s="8"/>
      <c r="O681" s="8"/>
      <c r="P681" s="8"/>
      <c r="Q681" s="8"/>
      <c r="R681" s="8"/>
      <c r="S681" s="8"/>
      <c r="T681" s="8"/>
      <c r="U681" s="12"/>
      <c r="V681" s="12"/>
      <c r="W681" s="12"/>
      <c r="X681" s="12"/>
      <c r="Y681" s="29"/>
      <c r="Z681" s="29"/>
      <c r="AA681" s="29"/>
      <c r="AB681" s="12"/>
      <c r="AC681" s="12"/>
      <c r="AD681" s="12"/>
      <c r="AE681" s="12"/>
      <c r="AF681" s="12"/>
    </row>
    <row r="682" spans="1:32">
      <c r="A682" s="8"/>
      <c r="B682" s="8"/>
      <c r="C682" s="8"/>
      <c r="D682" s="8"/>
      <c r="E682" s="8"/>
      <c r="F682" s="8"/>
      <c r="G682" s="8"/>
      <c r="H682" s="8"/>
      <c r="I682" s="8"/>
      <c r="J682" s="8"/>
      <c r="K682" s="8"/>
      <c r="L682" s="8"/>
      <c r="M682" s="8"/>
      <c r="N682" s="8"/>
      <c r="O682" s="8"/>
      <c r="P682" s="8"/>
      <c r="Q682" s="8"/>
      <c r="R682" s="8"/>
      <c r="S682" s="8"/>
      <c r="T682" s="8"/>
      <c r="U682" s="12"/>
      <c r="V682" s="12"/>
      <c r="W682" s="12"/>
      <c r="X682" s="12"/>
      <c r="Y682" s="29"/>
      <c r="Z682" s="29"/>
      <c r="AA682" s="29"/>
      <c r="AB682" s="12"/>
      <c r="AC682" s="12"/>
      <c r="AD682" s="12"/>
      <c r="AE682" s="12"/>
      <c r="AF682" s="12"/>
    </row>
    <row r="683" spans="1:32">
      <c r="A683" s="8"/>
      <c r="B683" s="8"/>
      <c r="C683" s="8"/>
      <c r="D683" s="8"/>
      <c r="E683" s="8"/>
      <c r="F683" s="8"/>
      <c r="G683" s="8"/>
      <c r="H683" s="8"/>
      <c r="I683" s="8"/>
      <c r="J683" s="8"/>
      <c r="K683" s="8"/>
      <c r="L683" s="8"/>
      <c r="M683" s="8"/>
      <c r="N683" s="8"/>
      <c r="O683" s="8"/>
      <c r="P683" s="8"/>
      <c r="Q683" s="8"/>
      <c r="R683" s="8"/>
      <c r="S683" s="8"/>
      <c r="T683" s="8"/>
      <c r="U683" s="12"/>
      <c r="V683" s="12"/>
      <c r="W683" s="12"/>
      <c r="X683" s="12"/>
      <c r="Y683" s="29"/>
      <c r="Z683" s="29"/>
      <c r="AA683" s="29"/>
      <c r="AB683" s="12"/>
      <c r="AC683" s="12"/>
      <c r="AD683" s="12"/>
      <c r="AE683" s="12"/>
      <c r="AF683" s="12"/>
    </row>
    <row r="684" spans="1:32">
      <c r="A684" s="8"/>
      <c r="B684" s="8"/>
      <c r="C684" s="8"/>
      <c r="D684" s="8"/>
      <c r="E684" s="8"/>
      <c r="F684" s="8"/>
      <c r="G684" s="8"/>
      <c r="H684" s="8"/>
      <c r="I684" s="8"/>
      <c r="J684" s="8"/>
      <c r="K684" s="8"/>
      <c r="L684" s="8"/>
      <c r="M684" s="8"/>
      <c r="N684" s="8"/>
      <c r="O684" s="8"/>
      <c r="P684" s="8"/>
      <c r="Q684" s="8"/>
      <c r="R684" s="8"/>
      <c r="S684" s="8"/>
      <c r="T684" s="8"/>
      <c r="U684" s="12"/>
      <c r="V684" s="12"/>
      <c r="W684" s="12"/>
      <c r="X684" s="12"/>
      <c r="Y684" s="29"/>
      <c r="Z684" s="29"/>
      <c r="AA684" s="29"/>
      <c r="AB684" s="12"/>
      <c r="AC684" s="12"/>
      <c r="AD684" s="12"/>
      <c r="AE684" s="12"/>
      <c r="AF684" s="12"/>
    </row>
    <row r="685" spans="1:32">
      <c r="A685" s="8"/>
      <c r="B685" s="8"/>
      <c r="C685" s="8"/>
      <c r="D685" s="8"/>
      <c r="E685" s="8"/>
      <c r="F685" s="8"/>
      <c r="G685" s="8"/>
      <c r="H685" s="8"/>
      <c r="I685" s="8"/>
      <c r="J685" s="8"/>
      <c r="K685" s="8"/>
      <c r="L685" s="8"/>
      <c r="M685" s="8"/>
      <c r="N685" s="8"/>
      <c r="O685" s="8"/>
      <c r="P685" s="8"/>
      <c r="Q685" s="8"/>
      <c r="R685" s="8"/>
      <c r="S685" s="8"/>
      <c r="T685" s="8"/>
      <c r="U685" s="12"/>
      <c r="V685" s="12"/>
      <c r="W685" s="12"/>
      <c r="X685" s="12"/>
      <c r="Y685" s="29"/>
      <c r="Z685" s="29"/>
      <c r="AA685" s="29"/>
      <c r="AB685" s="12"/>
      <c r="AC685" s="12"/>
      <c r="AD685" s="12"/>
      <c r="AE685" s="12"/>
      <c r="AF685" s="12"/>
    </row>
    <row r="686" spans="1:32">
      <c r="A686" s="8"/>
      <c r="B686" s="8"/>
      <c r="C686" s="8"/>
      <c r="D686" s="8"/>
      <c r="E686" s="8"/>
      <c r="F686" s="8"/>
      <c r="G686" s="8"/>
      <c r="H686" s="8"/>
      <c r="I686" s="8"/>
      <c r="J686" s="8"/>
      <c r="K686" s="8"/>
      <c r="L686" s="8"/>
      <c r="M686" s="8"/>
      <c r="N686" s="8"/>
      <c r="O686" s="8"/>
      <c r="P686" s="8"/>
      <c r="Q686" s="8"/>
      <c r="R686" s="8"/>
      <c r="S686" s="8"/>
      <c r="T686" s="8"/>
      <c r="U686" s="12"/>
      <c r="V686" s="12"/>
      <c r="W686" s="12"/>
      <c r="X686" s="12"/>
      <c r="Y686" s="29"/>
      <c r="Z686" s="29"/>
      <c r="AA686" s="29"/>
      <c r="AB686" s="12"/>
      <c r="AC686" s="12"/>
      <c r="AD686" s="12"/>
      <c r="AE686" s="12"/>
      <c r="AF686" s="12"/>
    </row>
    <row r="687" spans="1:32">
      <c r="A687" s="8"/>
      <c r="B687" s="8"/>
      <c r="C687" s="8"/>
      <c r="D687" s="8"/>
      <c r="E687" s="8"/>
      <c r="F687" s="8"/>
      <c r="G687" s="8"/>
      <c r="H687" s="8"/>
      <c r="I687" s="8"/>
      <c r="J687" s="8"/>
      <c r="K687" s="8"/>
      <c r="L687" s="8"/>
      <c r="M687" s="8"/>
      <c r="N687" s="8"/>
      <c r="O687" s="8"/>
      <c r="P687" s="8"/>
      <c r="Q687" s="8"/>
      <c r="R687" s="8"/>
      <c r="S687" s="8"/>
      <c r="T687" s="8"/>
      <c r="U687" s="12"/>
      <c r="V687" s="12"/>
      <c r="W687" s="12"/>
      <c r="X687" s="12"/>
      <c r="Y687" s="29"/>
      <c r="Z687" s="29"/>
      <c r="AA687" s="29"/>
      <c r="AB687" s="12"/>
      <c r="AC687" s="12"/>
      <c r="AD687" s="12"/>
      <c r="AE687" s="12"/>
      <c r="AF687" s="12"/>
    </row>
    <row r="688" spans="1:32">
      <c r="A688" s="8"/>
      <c r="B688" s="8"/>
      <c r="C688" s="8"/>
      <c r="D688" s="8"/>
      <c r="E688" s="8"/>
      <c r="F688" s="8"/>
      <c r="G688" s="8"/>
      <c r="H688" s="8"/>
      <c r="I688" s="8"/>
      <c r="J688" s="8"/>
      <c r="K688" s="8"/>
      <c r="L688" s="8"/>
      <c r="M688" s="8"/>
      <c r="N688" s="8"/>
      <c r="O688" s="8"/>
      <c r="P688" s="8"/>
      <c r="Q688" s="8"/>
      <c r="R688" s="8"/>
      <c r="S688" s="8"/>
      <c r="T688" s="8"/>
      <c r="U688" s="12"/>
      <c r="V688" s="12"/>
      <c r="W688" s="12"/>
      <c r="X688" s="12"/>
      <c r="Y688" s="29"/>
      <c r="Z688" s="29"/>
      <c r="AA688" s="29"/>
      <c r="AB688" s="12"/>
      <c r="AC688" s="12"/>
      <c r="AD688" s="12"/>
      <c r="AE688" s="12"/>
      <c r="AF688" s="12"/>
    </row>
    <row r="689" spans="1:32">
      <c r="A689" s="8"/>
      <c r="B689" s="8"/>
      <c r="C689" s="8"/>
      <c r="D689" s="8"/>
      <c r="E689" s="8"/>
      <c r="F689" s="8"/>
      <c r="G689" s="8"/>
      <c r="H689" s="8"/>
      <c r="I689" s="8"/>
      <c r="J689" s="8"/>
      <c r="K689" s="8"/>
      <c r="L689" s="8"/>
      <c r="M689" s="8"/>
      <c r="N689" s="8"/>
      <c r="O689" s="8"/>
      <c r="P689" s="8"/>
      <c r="Q689" s="8"/>
      <c r="R689" s="8"/>
      <c r="S689" s="8"/>
      <c r="T689" s="8"/>
      <c r="U689" s="12"/>
      <c r="V689" s="12"/>
      <c r="W689" s="12"/>
      <c r="X689" s="12"/>
      <c r="Y689" s="29"/>
      <c r="Z689" s="29"/>
      <c r="AA689" s="29"/>
      <c r="AB689" s="12"/>
      <c r="AC689" s="12"/>
      <c r="AD689" s="12"/>
      <c r="AE689" s="12"/>
      <c r="AF689" s="12"/>
    </row>
    <row r="690" spans="1:32">
      <c r="A690" s="8"/>
      <c r="B690" s="8"/>
      <c r="C690" s="8"/>
      <c r="D690" s="8"/>
      <c r="E690" s="8"/>
      <c r="F690" s="8"/>
      <c r="G690" s="8"/>
      <c r="H690" s="8"/>
      <c r="I690" s="8"/>
      <c r="J690" s="8"/>
      <c r="K690" s="8"/>
      <c r="L690" s="8"/>
      <c r="M690" s="8"/>
      <c r="N690" s="8"/>
      <c r="O690" s="8"/>
      <c r="P690" s="8"/>
      <c r="Q690" s="8"/>
      <c r="R690" s="8"/>
      <c r="S690" s="8"/>
      <c r="T690" s="8"/>
      <c r="U690" s="12"/>
      <c r="V690" s="12"/>
      <c r="W690" s="12"/>
      <c r="X690" s="12"/>
      <c r="Y690" s="29"/>
      <c r="Z690" s="29"/>
      <c r="AA690" s="29"/>
      <c r="AB690" s="12"/>
      <c r="AC690" s="12"/>
      <c r="AD690" s="12"/>
      <c r="AE690" s="12"/>
      <c r="AF690" s="12"/>
    </row>
    <row r="691" spans="1:32">
      <c r="A691" s="8"/>
      <c r="B691" s="8"/>
      <c r="C691" s="8"/>
      <c r="D691" s="8"/>
      <c r="E691" s="8"/>
      <c r="F691" s="8"/>
      <c r="G691" s="8"/>
      <c r="H691" s="8"/>
      <c r="I691" s="8"/>
      <c r="J691" s="8"/>
      <c r="K691" s="8"/>
      <c r="L691" s="8"/>
      <c r="M691" s="8"/>
      <c r="N691" s="8"/>
      <c r="O691" s="8"/>
      <c r="P691" s="8"/>
      <c r="Q691" s="8"/>
      <c r="R691" s="8"/>
      <c r="S691" s="8"/>
      <c r="T691" s="8"/>
      <c r="U691" s="12"/>
      <c r="V691" s="12"/>
      <c r="W691" s="12"/>
      <c r="X691" s="12"/>
      <c r="Y691" s="29"/>
      <c r="Z691" s="29"/>
      <c r="AA691" s="29"/>
      <c r="AB691" s="12"/>
      <c r="AC691" s="12"/>
      <c r="AD691" s="12"/>
      <c r="AE691" s="12"/>
      <c r="AF691" s="12"/>
    </row>
    <row r="692" spans="1:32">
      <c r="A692" s="8"/>
      <c r="B692" s="8"/>
      <c r="C692" s="8"/>
      <c r="D692" s="8"/>
      <c r="E692" s="8"/>
      <c r="F692" s="8"/>
      <c r="G692" s="8"/>
      <c r="H692" s="8"/>
      <c r="I692" s="8"/>
      <c r="J692" s="8"/>
      <c r="K692" s="8"/>
      <c r="L692" s="8"/>
      <c r="M692" s="8"/>
      <c r="N692" s="8"/>
      <c r="O692" s="8"/>
      <c r="P692" s="8"/>
      <c r="Q692" s="8"/>
      <c r="R692" s="8"/>
      <c r="S692" s="8"/>
      <c r="T692" s="8"/>
      <c r="U692" s="12"/>
      <c r="V692" s="12"/>
      <c r="W692" s="12"/>
      <c r="X692" s="12"/>
      <c r="Y692" s="29"/>
      <c r="Z692" s="29"/>
      <c r="AA692" s="29"/>
      <c r="AB692" s="12"/>
      <c r="AC692" s="12"/>
      <c r="AD692" s="12"/>
      <c r="AE692" s="12"/>
      <c r="AF692" s="12"/>
    </row>
    <row r="693" spans="1:32">
      <c r="A693" s="8"/>
      <c r="B693" s="8"/>
      <c r="C693" s="8"/>
      <c r="D693" s="8"/>
      <c r="E693" s="8"/>
      <c r="F693" s="8"/>
      <c r="G693" s="8"/>
      <c r="H693" s="8"/>
      <c r="I693" s="8"/>
      <c r="J693" s="8"/>
      <c r="K693" s="8"/>
      <c r="L693" s="8"/>
      <c r="M693" s="8"/>
      <c r="N693" s="8"/>
      <c r="O693" s="8"/>
      <c r="P693" s="8"/>
      <c r="Q693" s="8"/>
      <c r="R693" s="8"/>
      <c r="S693" s="8"/>
      <c r="T693" s="8"/>
      <c r="U693" s="12"/>
      <c r="V693" s="12"/>
      <c r="W693" s="12"/>
      <c r="X693" s="12"/>
      <c r="Y693" s="29"/>
      <c r="Z693" s="29"/>
      <c r="AA693" s="29"/>
      <c r="AB693" s="12"/>
      <c r="AC693" s="12"/>
      <c r="AD693" s="12"/>
      <c r="AE693" s="12"/>
      <c r="AF693" s="12"/>
    </row>
    <row r="694" spans="1:32">
      <c r="A694" s="8"/>
      <c r="B694" s="8"/>
      <c r="C694" s="8"/>
      <c r="D694" s="8"/>
      <c r="E694" s="8"/>
      <c r="F694" s="8"/>
      <c r="G694" s="8"/>
      <c r="H694" s="8"/>
      <c r="I694" s="8"/>
      <c r="J694" s="8"/>
      <c r="K694" s="8"/>
      <c r="L694" s="8"/>
      <c r="M694" s="8"/>
      <c r="N694" s="8"/>
      <c r="O694" s="8"/>
      <c r="P694" s="8"/>
      <c r="Q694" s="8"/>
      <c r="R694" s="8"/>
      <c r="S694" s="8"/>
      <c r="T694" s="8"/>
      <c r="U694" s="12"/>
      <c r="V694" s="12"/>
      <c r="W694" s="12"/>
      <c r="X694" s="12"/>
      <c r="Y694" s="29"/>
      <c r="Z694" s="29"/>
      <c r="AA694" s="29"/>
      <c r="AB694" s="12"/>
      <c r="AC694" s="12"/>
      <c r="AD694" s="12"/>
      <c r="AE694" s="12"/>
      <c r="AF694" s="12"/>
    </row>
    <row r="695" spans="1:32">
      <c r="A695" s="8"/>
      <c r="B695" s="8"/>
      <c r="C695" s="8"/>
      <c r="D695" s="8"/>
      <c r="E695" s="8"/>
      <c r="F695" s="8"/>
      <c r="G695" s="8"/>
      <c r="H695" s="8"/>
      <c r="I695" s="8"/>
      <c r="J695" s="8"/>
      <c r="K695" s="8"/>
      <c r="L695" s="8"/>
      <c r="M695" s="8"/>
      <c r="N695" s="8"/>
      <c r="O695" s="8"/>
      <c r="P695" s="8"/>
      <c r="Q695" s="8"/>
      <c r="R695" s="8"/>
      <c r="S695" s="8"/>
      <c r="T695" s="8"/>
      <c r="U695" s="12"/>
      <c r="V695" s="12"/>
      <c r="W695" s="12"/>
      <c r="X695" s="12"/>
      <c r="Y695" s="29"/>
      <c r="Z695" s="29"/>
      <c r="AA695" s="29"/>
      <c r="AB695" s="12"/>
      <c r="AC695" s="12"/>
      <c r="AD695" s="12"/>
      <c r="AE695" s="12"/>
      <c r="AF695" s="12"/>
    </row>
    <row r="696" spans="1:32">
      <c r="A696" s="8"/>
      <c r="B696" s="8"/>
      <c r="C696" s="8"/>
      <c r="D696" s="8"/>
      <c r="E696" s="8"/>
      <c r="F696" s="8"/>
      <c r="G696" s="8"/>
      <c r="H696" s="8"/>
      <c r="I696" s="8"/>
      <c r="J696" s="8"/>
      <c r="K696" s="8"/>
      <c r="L696" s="8"/>
      <c r="M696" s="8"/>
      <c r="N696" s="8"/>
      <c r="O696" s="8"/>
      <c r="P696" s="8"/>
      <c r="Q696" s="8"/>
      <c r="R696" s="8"/>
      <c r="S696" s="8"/>
      <c r="T696" s="8"/>
      <c r="U696" s="12"/>
      <c r="V696" s="12"/>
      <c r="W696" s="12"/>
      <c r="X696" s="12"/>
      <c r="Y696" s="29"/>
      <c r="Z696" s="29"/>
      <c r="AA696" s="29"/>
      <c r="AB696" s="12"/>
      <c r="AC696" s="12"/>
      <c r="AD696" s="12"/>
      <c r="AE696" s="12"/>
      <c r="AF696" s="12"/>
    </row>
    <row r="697" spans="1:32">
      <c r="A697" s="8"/>
      <c r="B697" s="8"/>
      <c r="C697" s="8"/>
      <c r="D697" s="8"/>
      <c r="E697" s="8"/>
      <c r="F697" s="8"/>
      <c r="G697" s="8"/>
      <c r="H697" s="8"/>
      <c r="I697" s="8"/>
      <c r="J697" s="8"/>
      <c r="K697" s="8"/>
      <c r="L697" s="8"/>
      <c r="M697" s="8"/>
      <c r="N697" s="8"/>
      <c r="O697" s="8"/>
      <c r="P697" s="8"/>
      <c r="Q697" s="8"/>
      <c r="R697" s="8"/>
      <c r="S697" s="8"/>
      <c r="T697" s="8"/>
      <c r="U697" s="12"/>
      <c r="V697" s="12"/>
      <c r="W697" s="12"/>
      <c r="X697" s="12"/>
      <c r="Y697" s="29"/>
      <c r="Z697" s="29"/>
      <c r="AA697" s="29"/>
      <c r="AB697" s="12"/>
      <c r="AC697" s="12"/>
      <c r="AD697" s="12"/>
      <c r="AE697" s="12"/>
      <c r="AF697" s="12"/>
    </row>
    <row r="698" spans="1:32">
      <c r="A698" s="8"/>
      <c r="B698" s="8"/>
      <c r="C698" s="8"/>
      <c r="D698" s="8"/>
      <c r="E698" s="8"/>
      <c r="F698" s="8"/>
      <c r="G698" s="8"/>
      <c r="H698" s="8"/>
      <c r="I698" s="8"/>
      <c r="J698" s="8"/>
      <c r="K698" s="8"/>
      <c r="L698" s="8"/>
      <c r="M698" s="8"/>
      <c r="N698" s="8"/>
      <c r="O698" s="8"/>
      <c r="P698" s="8"/>
      <c r="Q698" s="8"/>
      <c r="R698" s="8"/>
      <c r="S698" s="8"/>
      <c r="T698" s="8"/>
      <c r="U698" s="12"/>
      <c r="V698" s="12"/>
      <c r="W698" s="12"/>
      <c r="X698" s="12"/>
      <c r="Y698" s="29"/>
      <c r="Z698" s="29"/>
      <c r="AA698" s="29"/>
      <c r="AB698" s="12"/>
      <c r="AC698" s="12"/>
      <c r="AD698" s="12"/>
      <c r="AE698" s="12"/>
      <c r="AF698" s="12"/>
    </row>
    <row r="699" spans="1:32">
      <c r="A699" s="8"/>
      <c r="B699" s="8"/>
      <c r="C699" s="8"/>
      <c r="D699" s="8"/>
      <c r="E699" s="8"/>
      <c r="F699" s="8"/>
      <c r="G699" s="8"/>
      <c r="H699" s="8"/>
      <c r="I699" s="8"/>
      <c r="J699" s="8"/>
      <c r="K699" s="8"/>
      <c r="L699" s="8"/>
      <c r="M699" s="8"/>
      <c r="N699" s="8"/>
      <c r="O699" s="8"/>
      <c r="P699" s="8"/>
      <c r="Q699" s="8"/>
      <c r="R699" s="8"/>
      <c r="S699" s="8"/>
      <c r="T699" s="8"/>
      <c r="U699" s="12"/>
      <c r="V699" s="12"/>
      <c r="W699" s="12"/>
      <c r="X699" s="12"/>
      <c r="Y699" s="29"/>
      <c r="Z699" s="29"/>
      <c r="AA699" s="29"/>
      <c r="AB699" s="12"/>
      <c r="AC699" s="12"/>
      <c r="AD699" s="12"/>
      <c r="AE699" s="12"/>
      <c r="AF699" s="12"/>
    </row>
    <row r="700" spans="1:32">
      <c r="A700" s="8"/>
      <c r="B700" s="8"/>
      <c r="C700" s="8"/>
      <c r="D700" s="8"/>
      <c r="E700" s="8"/>
      <c r="F700" s="8"/>
      <c r="G700" s="8"/>
      <c r="H700" s="8"/>
      <c r="I700" s="8"/>
      <c r="J700" s="8"/>
      <c r="K700" s="8"/>
      <c r="L700" s="8"/>
      <c r="M700" s="8"/>
      <c r="N700" s="8"/>
      <c r="O700" s="8"/>
      <c r="P700" s="8"/>
      <c r="Q700" s="8"/>
      <c r="R700" s="8"/>
      <c r="S700" s="8"/>
      <c r="T700" s="8"/>
      <c r="U700" s="12"/>
      <c r="V700" s="12"/>
      <c r="W700" s="12"/>
      <c r="X700" s="12"/>
      <c r="Y700" s="29"/>
      <c r="Z700" s="29"/>
      <c r="AA700" s="29"/>
      <c r="AB700" s="12"/>
      <c r="AC700" s="12"/>
      <c r="AD700" s="12"/>
      <c r="AE700" s="12"/>
      <c r="AF700" s="12"/>
    </row>
    <row r="701" spans="1:32">
      <c r="A701" s="8"/>
      <c r="B701" s="8"/>
      <c r="C701" s="8"/>
      <c r="D701" s="8"/>
      <c r="E701" s="8"/>
      <c r="F701" s="8"/>
      <c r="G701" s="8"/>
      <c r="H701" s="8"/>
      <c r="I701" s="8"/>
      <c r="J701" s="8"/>
      <c r="K701" s="8"/>
      <c r="L701" s="8"/>
      <c r="M701" s="8"/>
      <c r="N701" s="8"/>
      <c r="O701" s="8"/>
      <c r="P701" s="8"/>
      <c r="Q701" s="8"/>
      <c r="R701" s="8"/>
      <c r="S701" s="8"/>
      <c r="T701" s="8"/>
      <c r="U701" s="12"/>
      <c r="V701" s="12"/>
      <c r="W701" s="12"/>
      <c r="X701" s="12"/>
      <c r="Y701" s="29"/>
      <c r="Z701" s="29"/>
      <c r="AA701" s="29"/>
      <c r="AB701" s="12"/>
      <c r="AC701" s="12"/>
      <c r="AD701" s="12"/>
      <c r="AE701" s="12"/>
      <c r="AF701" s="12"/>
    </row>
    <row r="702" spans="1:32">
      <c r="A702" s="8"/>
      <c r="B702" s="8"/>
      <c r="C702" s="8"/>
      <c r="D702" s="8"/>
      <c r="E702" s="8"/>
      <c r="F702" s="8"/>
      <c r="G702" s="8"/>
      <c r="H702" s="8"/>
      <c r="I702" s="8"/>
      <c r="J702" s="8"/>
      <c r="K702" s="8"/>
      <c r="L702" s="8"/>
      <c r="M702" s="8"/>
      <c r="N702" s="8"/>
      <c r="O702" s="8"/>
      <c r="P702" s="8"/>
      <c r="Q702" s="8"/>
      <c r="R702" s="8"/>
      <c r="S702" s="8"/>
      <c r="T702" s="8"/>
      <c r="U702" s="12"/>
      <c r="V702" s="12"/>
      <c r="W702" s="12"/>
      <c r="X702" s="12"/>
      <c r="Y702" s="29"/>
      <c r="Z702" s="29"/>
      <c r="AA702" s="29"/>
      <c r="AB702" s="12"/>
      <c r="AC702" s="12"/>
      <c r="AD702" s="12"/>
      <c r="AE702" s="12"/>
      <c r="AF702" s="12"/>
    </row>
    <row r="703" spans="1:32">
      <c r="A703" s="8"/>
      <c r="B703" s="8"/>
      <c r="C703" s="8"/>
      <c r="D703" s="8"/>
      <c r="E703" s="8"/>
      <c r="F703" s="8"/>
      <c r="G703" s="8"/>
      <c r="H703" s="8"/>
      <c r="I703" s="8"/>
      <c r="J703" s="8"/>
      <c r="K703" s="8"/>
      <c r="L703" s="8"/>
      <c r="M703" s="8"/>
      <c r="N703" s="8"/>
      <c r="O703" s="8"/>
      <c r="P703" s="8"/>
      <c r="Q703" s="8"/>
      <c r="R703" s="8"/>
      <c r="S703" s="8"/>
      <c r="T703" s="8"/>
      <c r="U703" s="12"/>
      <c r="V703" s="12"/>
      <c r="W703" s="12"/>
      <c r="X703" s="12"/>
      <c r="Y703" s="29"/>
      <c r="Z703" s="29"/>
      <c r="AA703" s="29"/>
      <c r="AB703" s="12"/>
      <c r="AC703" s="12"/>
      <c r="AD703" s="12"/>
      <c r="AE703" s="12"/>
      <c r="AF703" s="12"/>
    </row>
    <row r="704" spans="1:32">
      <c r="A704" s="8"/>
      <c r="B704" s="8"/>
      <c r="C704" s="8"/>
      <c r="D704" s="8"/>
      <c r="E704" s="8"/>
      <c r="F704" s="8"/>
      <c r="G704" s="8"/>
      <c r="H704" s="8"/>
      <c r="I704" s="8"/>
      <c r="J704" s="8"/>
      <c r="K704" s="8"/>
      <c r="L704" s="8"/>
      <c r="M704" s="8"/>
      <c r="N704" s="8"/>
      <c r="O704" s="8"/>
      <c r="P704" s="8"/>
      <c r="Q704" s="8"/>
      <c r="R704" s="8"/>
      <c r="S704" s="8"/>
      <c r="T704" s="8"/>
      <c r="U704" s="12"/>
      <c r="V704" s="12"/>
      <c r="W704" s="12"/>
      <c r="X704" s="12"/>
      <c r="Y704" s="29"/>
      <c r="Z704" s="29"/>
      <c r="AA704" s="29"/>
      <c r="AB704" s="12"/>
      <c r="AC704" s="12"/>
      <c r="AD704" s="12"/>
      <c r="AE704" s="12"/>
      <c r="AF704" s="12"/>
    </row>
    <row r="705" spans="1:32">
      <c r="A705" s="8"/>
      <c r="B705" s="8"/>
      <c r="C705" s="8"/>
      <c r="D705" s="8"/>
      <c r="E705" s="8"/>
      <c r="F705" s="8"/>
      <c r="G705" s="8"/>
      <c r="H705" s="8"/>
      <c r="I705" s="8"/>
      <c r="J705" s="8"/>
      <c r="K705" s="8"/>
      <c r="L705" s="8"/>
      <c r="M705" s="8"/>
      <c r="N705" s="8"/>
      <c r="O705" s="8"/>
      <c r="P705" s="8"/>
      <c r="Q705" s="8"/>
      <c r="R705" s="8"/>
      <c r="S705" s="8"/>
      <c r="T705" s="8"/>
      <c r="U705" s="12"/>
      <c r="V705" s="12"/>
      <c r="W705" s="12"/>
      <c r="X705" s="12"/>
      <c r="Y705" s="29"/>
      <c r="Z705" s="29"/>
      <c r="AA705" s="29"/>
      <c r="AB705" s="12"/>
      <c r="AC705" s="12"/>
      <c r="AD705" s="12"/>
      <c r="AE705" s="12"/>
      <c r="AF705" s="12"/>
    </row>
    <row r="706" spans="1:32">
      <c r="A706" s="8"/>
      <c r="B706" s="8"/>
      <c r="C706" s="8"/>
      <c r="D706" s="8"/>
      <c r="E706" s="8"/>
      <c r="F706" s="8"/>
      <c r="G706" s="8"/>
      <c r="H706" s="8"/>
      <c r="I706" s="8"/>
      <c r="J706" s="8"/>
      <c r="K706" s="8"/>
      <c r="L706" s="8"/>
      <c r="M706" s="8"/>
      <c r="N706" s="8"/>
      <c r="O706" s="8"/>
      <c r="P706" s="8"/>
      <c r="Q706" s="8"/>
      <c r="R706" s="8"/>
      <c r="S706" s="8"/>
      <c r="T706" s="8"/>
      <c r="U706" s="12"/>
      <c r="V706" s="12"/>
      <c r="W706" s="12"/>
      <c r="X706" s="12"/>
      <c r="Y706" s="29"/>
      <c r="Z706" s="29"/>
      <c r="AA706" s="29"/>
      <c r="AB706" s="12"/>
      <c r="AC706" s="12"/>
      <c r="AD706" s="12"/>
      <c r="AE706" s="12"/>
      <c r="AF706" s="12"/>
    </row>
    <row r="707" spans="1:32">
      <c r="A707" s="8"/>
      <c r="B707" s="8"/>
      <c r="C707" s="8"/>
      <c r="D707" s="8"/>
      <c r="E707" s="8"/>
      <c r="F707" s="8"/>
      <c r="G707" s="8"/>
      <c r="H707" s="8"/>
      <c r="I707" s="8"/>
      <c r="J707" s="8"/>
      <c r="K707" s="8"/>
      <c r="L707" s="8"/>
      <c r="M707" s="8"/>
      <c r="N707" s="8"/>
      <c r="O707" s="8"/>
      <c r="P707" s="8"/>
      <c r="Q707" s="8"/>
      <c r="R707" s="8"/>
      <c r="S707" s="8"/>
      <c r="T707" s="8"/>
      <c r="U707" s="12"/>
      <c r="V707" s="12"/>
      <c r="W707" s="12"/>
      <c r="X707" s="12"/>
      <c r="Y707" s="29"/>
      <c r="Z707" s="29"/>
      <c r="AA707" s="29"/>
      <c r="AB707" s="12"/>
      <c r="AC707" s="12"/>
      <c r="AD707" s="12"/>
      <c r="AE707" s="12"/>
      <c r="AF707" s="12"/>
    </row>
    <row r="708" spans="1:32">
      <c r="A708" s="8"/>
      <c r="B708" s="8"/>
      <c r="C708" s="8"/>
      <c r="D708" s="8"/>
      <c r="E708" s="8"/>
      <c r="F708" s="8"/>
      <c r="G708" s="8"/>
      <c r="H708" s="8"/>
      <c r="I708" s="8"/>
      <c r="J708" s="8"/>
      <c r="K708" s="8"/>
      <c r="L708" s="8"/>
      <c r="M708" s="8"/>
      <c r="N708" s="8"/>
      <c r="O708" s="8"/>
      <c r="P708" s="8"/>
      <c r="Q708" s="8"/>
      <c r="R708" s="8"/>
      <c r="S708" s="8"/>
      <c r="T708" s="8"/>
      <c r="U708" s="12"/>
      <c r="V708" s="12"/>
      <c r="W708" s="12"/>
      <c r="X708" s="12"/>
      <c r="Y708" s="29"/>
      <c r="Z708" s="29"/>
      <c r="AA708" s="29"/>
      <c r="AB708" s="12"/>
      <c r="AC708" s="12"/>
      <c r="AD708" s="12"/>
      <c r="AE708" s="12"/>
      <c r="AF708" s="12"/>
    </row>
    <row r="709" spans="1:32">
      <c r="A709" s="8"/>
      <c r="B709" s="8"/>
      <c r="C709" s="8"/>
      <c r="D709" s="8"/>
      <c r="E709" s="8"/>
      <c r="F709" s="8"/>
      <c r="G709" s="8"/>
      <c r="H709" s="8"/>
      <c r="I709" s="8"/>
      <c r="J709" s="8"/>
      <c r="K709" s="8"/>
      <c r="L709" s="8"/>
      <c r="M709" s="8"/>
      <c r="N709" s="8"/>
      <c r="O709" s="8"/>
      <c r="P709" s="8"/>
      <c r="Q709" s="8"/>
      <c r="R709" s="8"/>
      <c r="S709" s="8"/>
      <c r="T709" s="8"/>
      <c r="U709" s="12"/>
      <c r="V709" s="12"/>
      <c r="W709" s="12"/>
      <c r="X709" s="12"/>
      <c r="Y709" s="29"/>
      <c r="Z709" s="29"/>
      <c r="AA709" s="29"/>
      <c r="AB709" s="12"/>
      <c r="AC709" s="12"/>
      <c r="AD709" s="12"/>
      <c r="AE709" s="12"/>
      <c r="AF709" s="12"/>
    </row>
    <row r="710" spans="1:32">
      <c r="A710" s="8"/>
      <c r="B710" s="8"/>
      <c r="C710" s="8"/>
      <c r="D710" s="8"/>
      <c r="E710" s="8"/>
      <c r="F710" s="8"/>
      <c r="G710" s="8"/>
      <c r="H710" s="8"/>
      <c r="I710" s="8"/>
      <c r="J710" s="8"/>
      <c r="K710" s="8"/>
      <c r="L710" s="8"/>
      <c r="M710" s="8"/>
      <c r="N710" s="8"/>
      <c r="O710" s="8"/>
      <c r="P710" s="8"/>
      <c r="Q710" s="8"/>
      <c r="R710" s="8"/>
      <c r="S710" s="8"/>
      <c r="T710" s="8"/>
      <c r="U710" s="12"/>
      <c r="V710" s="12"/>
      <c r="W710" s="12"/>
      <c r="X710" s="12"/>
      <c r="Y710" s="29"/>
      <c r="Z710" s="29"/>
      <c r="AA710" s="29"/>
      <c r="AB710" s="12"/>
      <c r="AC710" s="12"/>
      <c r="AD710" s="12"/>
      <c r="AE710" s="12"/>
      <c r="AF710" s="12"/>
    </row>
    <row r="711" spans="1:32">
      <c r="A711" s="8"/>
      <c r="B711" s="8"/>
      <c r="C711" s="8"/>
      <c r="D711" s="8"/>
      <c r="E711" s="8"/>
      <c r="F711" s="8"/>
      <c r="G711" s="8"/>
      <c r="H711" s="8"/>
      <c r="I711" s="8"/>
      <c r="J711" s="8"/>
      <c r="K711" s="8"/>
      <c r="L711" s="8"/>
      <c r="M711" s="8"/>
      <c r="N711" s="8"/>
      <c r="O711" s="8"/>
      <c r="P711" s="8"/>
      <c r="Q711" s="8"/>
      <c r="R711" s="8"/>
      <c r="S711" s="8"/>
      <c r="T711" s="8"/>
      <c r="U711" s="12"/>
      <c r="V711" s="12"/>
      <c r="W711" s="12"/>
      <c r="X711" s="12"/>
      <c r="Y711" s="29"/>
      <c r="Z711" s="29"/>
      <c r="AA711" s="29"/>
      <c r="AB711" s="12"/>
      <c r="AC711" s="12"/>
      <c r="AD711" s="12"/>
      <c r="AE711" s="12"/>
      <c r="AF711" s="12"/>
    </row>
    <row r="712" spans="1:32">
      <c r="A712" s="8"/>
      <c r="B712" s="8"/>
      <c r="C712" s="8"/>
      <c r="D712" s="8"/>
      <c r="E712" s="8"/>
      <c r="F712" s="8"/>
      <c r="G712" s="8"/>
      <c r="H712" s="8"/>
      <c r="I712" s="8"/>
      <c r="J712" s="8"/>
      <c r="K712" s="8"/>
      <c r="L712" s="8"/>
      <c r="M712" s="8"/>
      <c r="N712" s="8"/>
      <c r="O712" s="8"/>
      <c r="P712" s="8"/>
      <c r="Q712" s="8"/>
      <c r="R712" s="8"/>
      <c r="S712" s="8"/>
      <c r="T712" s="8"/>
      <c r="U712" s="12"/>
      <c r="V712" s="12"/>
      <c r="W712" s="12"/>
      <c r="X712" s="12"/>
      <c r="Y712" s="29"/>
      <c r="Z712" s="29"/>
      <c r="AA712" s="29"/>
      <c r="AB712" s="12"/>
      <c r="AC712" s="12"/>
      <c r="AD712" s="12"/>
      <c r="AE712" s="12"/>
      <c r="AF712" s="12"/>
    </row>
    <row r="713" spans="1:32">
      <c r="A713" s="8"/>
      <c r="B713" s="8"/>
      <c r="C713" s="8"/>
      <c r="D713" s="8"/>
      <c r="E713" s="8"/>
      <c r="F713" s="8"/>
      <c r="G713" s="8"/>
      <c r="H713" s="8"/>
      <c r="I713" s="8"/>
      <c r="J713" s="8"/>
      <c r="K713" s="8"/>
      <c r="L713" s="8"/>
      <c r="M713" s="8"/>
      <c r="N713" s="8"/>
      <c r="O713" s="8"/>
      <c r="P713" s="8"/>
      <c r="Q713" s="8"/>
      <c r="R713" s="8"/>
      <c r="S713" s="8"/>
      <c r="T713" s="8"/>
      <c r="U713" s="12"/>
      <c r="V713" s="12"/>
      <c r="W713" s="12"/>
      <c r="X713" s="12"/>
      <c r="Y713" s="29"/>
      <c r="Z713" s="29"/>
      <c r="AA713" s="29"/>
      <c r="AB713" s="12"/>
      <c r="AC713" s="12"/>
      <c r="AD713" s="12"/>
      <c r="AE713" s="12"/>
      <c r="AF713" s="12"/>
    </row>
    <row r="714" spans="1:32">
      <c r="A714" s="8"/>
      <c r="B714" s="8"/>
      <c r="C714" s="8"/>
      <c r="D714" s="8"/>
      <c r="E714" s="8"/>
      <c r="F714" s="8"/>
      <c r="G714" s="8"/>
      <c r="H714" s="8"/>
      <c r="I714" s="8"/>
      <c r="J714" s="8"/>
      <c r="K714" s="8"/>
      <c r="L714" s="8"/>
      <c r="M714" s="8"/>
      <c r="N714" s="8"/>
      <c r="O714" s="8"/>
      <c r="P714" s="8"/>
      <c r="Q714" s="8"/>
      <c r="R714" s="8"/>
      <c r="S714" s="8"/>
      <c r="T714" s="8"/>
      <c r="U714" s="12"/>
      <c r="V714" s="12"/>
      <c r="W714" s="12"/>
      <c r="X714" s="12"/>
      <c r="Y714" s="29"/>
      <c r="Z714" s="29"/>
      <c r="AA714" s="29"/>
      <c r="AB714" s="12"/>
      <c r="AC714" s="12"/>
      <c r="AD714" s="12"/>
      <c r="AE714" s="12"/>
      <c r="AF714" s="12"/>
    </row>
    <row r="715" spans="1:32">
      <c r="A715" s="8"/>
      <c r="B715" s="8"/>
      <c r="C715" s="8"/>
      <c r="D715" s="8"/>
      <c r="E715" s="8"/>
      <c r="F715" s="8"/>
      <c r="G715" s="8"/>
      <c r="H715" s="8"/>
      <c r="I715" s="8"/>
      <c r="J715" s="8"/>
      <c r="K715" s="8"/>
      <c r="L715" s="8"/>
      <c r="M715" s="8"/>
      <c r="N715" s="8"/>
      <c r="O715" s="8"/>
      <c r="P715" s="8"/>
      <c r="Q715" s="8"/>
      <c r="R715" s="8"/>
      <c r="S715" s="8"/>
      <c r="T715" s="8"/>
      <c r="U715" s="12"/>
      <c r="V715" s="12"/>
      <c r="W715" s="12"/>
      <c r="X715" s="12"/>
      <c r="Y715" s="29"/>
      <c r="Z715" s="29"/>
      <c r="AA715" s="29"/>
      <c r="AB715" s="12"/>
      <c r="AC715" s="12"/>
      <c r="AD715" s="12"/>
      <c r="AE715" s="12"/>
      <c r="AF715" s="12"/>
    </row>
    <row r="716" spans="1:32">
      <c r="A716" s="8"/>
      <c r="B716" s="8"/>
      <c r="C716" s="8"/>
      <c r="D716" s="8"/>
      <c r="E716" s="8"/>
      <c r="F716" s="8"/>
      <c r="G716" s="8"/>
      <c r="H716" s="8"/>
      <c r="I716" s="8"/>
      <c r="J716" s="8"/>
      <c r="K716" s="8"/>
      <c r="L716" s="8"/>
      <c r="M716" s="8"/>
      <c r="N716" s="8"/>
      <c r="O716" s="8"/>
      <c r="P716" s="8"/>
      <c r="Q716" s="8"/>
      <c r="R716" s="8"/>
      <c r="S716" s="8"/>
      <c r="T716" s="8"/>
      <c r="U716" s="12"/>
      <c r="V716" s="12"/>
      <c r="W716" s="12"/>
      <c r="X716" s="12"/>
      <c r="Y716" s="29"/>
      <c r="Z716" s="29"/>
      <c r="AA716" s="29"/>
      <c r="AB716" s="12"/>
      <c r="AC716" s="12"/>
      <c r="AD716" s="12"/>
      <c r="AE716" s="12"/>
      <c r="AF716" s="12"/>
    </row>
    <row r="717" spans="1:32">
      <c r="A717" s="8"/>
      <c r="B717" s="8"/>
      <c r="C717" s="8"/>
      <c r="D717" s="8"/>
      <c r="E717" s="8"/>
      <c r="F717" s="8"/>
      <c r="G717" s="8"/>
      <c r="H717" s="8"/>
      <c r="I717" s="8"/>
      <c r="J717" s="8"/>
      <c r="K717" s="8"/>
      <c r="L717" s="8"/>
      <c r="M717" s="8"/>
      <c r="N717" s="8"/>
      <c r="O717" s="8"/>
      <c r="P717" s="8"/>
      <c r="Q717" s="8"/>
      <c r="R717" s="8"/>
      <c r="S717" s="8"/>
      <c r="T717" s="8"/>
      <c r="U717" s="12"/>
      <c r="V717" s="12"/>
      <c r="W717" s="12"/>
      <c r="X717" s="12"/>
      <c r="Y717" s="29"/>
      <c r="Z717" s="29"/>
      <c r="AA717" s="29"/>
      <c r="AB717" s="12"/>
      <c r="AC717" s="12"/>
      <c r="AD717" s="12"/>
      <c r="AE717" s="12"/>
      <c r="AF717" s="12"/>
    </row>
    <row r="718" spans="1:32">
      <c r="A718" s="8"/>
      <c r="B718" s="8"/>
      <c r="C718" s="8"/>
      <c r="D718" s="8"/>
      <c r="E718" s="8"/>
      <c r="F718" s="8"/>
      <c r="G718" s="8"/>
      <c r="H718" s="8"/>
      <c r="I718" s="8"/>
      <c r="J718" s="8"/>
      <c r="K718" s="8"/>
      <c r="L718" s="8"/>
      <c r="M718" s="8"/>
      <c r="N718" s="8"/>
      <c r="O718" s="8"/>
      <c r="P718" s="8"/>
      <c r="Q718" s="8"/>
      <c r="R718" s="8"/>
      <c r="S718" s="8"/>
      <c r="T718" s="8"/>
      <c r="U718" s="12"/>
      <c r="V718" s="12"/>
      <c r="W718" s="12"/>
      <c r="X718" s="12"/>
      <c r="Y718" s="29"/>
      <c r="Z718" s="29"/>
      <c r="AA718" s="29"/>
      <c r="AB718" s="12"/>
      <c r="AC718" s="12"/>
      <c r="AD718" s="12"/>
      <c r="AE718" s="12"/>
      <c r="AF718" s="12"/>
    </row>
    <row r="719" spans="1:32">
      <c r="A719" s="8"/>
      <c r="B719" s="8"/>
      <c r="C719" s="8"/>
      <c r="D719" s="8"/>
      <c r="E719" s="8"/>
      <c r="F719" s="8"/>
      <c r="G719" s="8"/>
      <c r="H719" s="8"/>
      <c r="I719" s="8"/>
      <c r="J719" s="8"/>
      <c r="K719" s="8"/>
      <c r="L719" s="8"/>
      <c r="M719" s="8"/>
      <c r="N719" s="8"/>
      <c r="O719" s="8"/>
      <c r="P719" s="8"/>
      <c r="Q719" s="8"/>
      <c r="R719" s="8"/>
      <c r="S719" s="8"/>
      <c r="T719" s="8"/>
      <c r="U719" s="12"/>
      <c r="V719" s="12"/>
      <c r="W719" s="12"/>
      <c r="X719" s="12"/>
      <c r="Y719" s="29"/>
      <c r="Z719" s="29"/>
      <c r="AA719" s="29"/>
      <c r="AB719" s="12"/>
      <c r="AC719" s="12"/>
      <c r="AD719" s="12"/>
      <c r="AE719" s="12"/>
      <c r="AF719" s="12"/>
    </row>
    <row r="720" spans="1:32">
      <c r="A720" s="8"/>
      <c r="B720" s="8"/>
      <c r="C720" s="8"/>
      <c r="D720" s="8"/>
      <c r="E720" s="8"/>
      <c r="F720" s="8"/>
      <c r="G720" s="8"/>
      <c r="H720" s="8"/>
      <c r="I720" s="8"/>
      <c r="J720" s="8"/>
      <c r="K720" s="8"/>
      <c r="L720" s="8"/>
      <c r="M720" s="8"/>
      <c r="N720" s="8"/>
      <c r="O720" s="8"/>
      <c r="P720" s="8"/>
      <c r="Q720" s="8"/>
      <c r="R720" s="8"/>
      <c r="S720" s="8"/>
      <c r="T720" s="8"/>
      <c r="U720" s="12"/>
      <c r="V720" s="12"/>
      <c r="W720" s="12"/>
      <c r="X720" s="12"/>
      <c r="Y720" s="29"/>
      <c r="Z720" s="29"/>
      <c r="AA720" s="29"/>
      <c r="AB720" s="12"/>
      <c r="AC720" s="12"/>
      <c r="AD720" s="12"/>
      <c r="AE720" s="12"/>
      <c r="AF720" s="12"/>
    </row>
    <row r="721" spans="1:32">
      <c r="A721" s="8"/>
      <c r="B721" s="8"/>
      <c r="C721" s="8"/>
      <c r="D721" s="8"/>
      <c r="E721" s="8"/>
      <c r="F721" s="8"/>
      <c r="G721" s="8"/>
      <c r="H721" s="8"/>
      <c r="I721" s="8"/>
      <c r="J721" s="8"/>
      <c r="K721" s="8"/>
      <c r="L721" s="8"/>
      <c r="M721" s="8"/>
      <c r="N721" s="8"/>
      <c r="O721" s="8"/>
      <c r="P721" s="8"/>
      <c r="Q721" s="8"/>
      <c r="R721" s="8"/>
      <c r="S721" s="8"/>
      <c r="T721" s="8"/>
      <c r="U721" s="12"/>
      <c r="V721" s="12"/>
      <c r="W721" s="12"/>
      <c r="X721" s="12"/>
      <c r="Y721" s="29"/>
      <c r="Z721" s="29"/>
      <c r="AA721" s="29"/>
      <c r="AB721" s="12"/>
      <c r="AC721" s="12"/>
      <c r="AD721" s="12"/>
      <c r="AE721" s="12"/>
      <c r="AF721" s="12"/>
    </row>
    <row r="722" spans="1:32">
      <c r="A722" s="8"/>
      <c r="B722" s="8"/>
      <c r="C722" s="8"/>
      <c r="D722" s="8"/>
      <c r="E722" s="8"/>
      <c r="F722" s="8"/>
      <c r="G722" s="8"/>
      <c r="H722" s="8"/>
      <c r="I722" s="8"/>
      <c r="J722" s="8"/>
      <c r="K722" s="8"/>
      <c r="L722" s="8"/>
      <c r="M722" s="8"/>
      <c r="N722" s="8"/>
      <c r="O722" s="8"/>
      <c r="P722" s="8"/>
      <c r="Q722" s="8"/>
      <c r="R722" s="8"/>
      <c r="S722" s="8"/>
      <c r="T722" s="8"/>
      <c r="U722" s="12"/>
      <c r="V722" s="12"/>
      <c r="W722" s="12"/>
      <c r="X722" s="12"/>
      <c r="Y722" s="29"/>
      <c r="Z722" s="29"/>
      <c r="AA722" s="29"/>
      <c r="AB722" s="12"/>
      <c r="AC722" s="12"/>
      <c r="AD722" s="12"/>
      <c r="AE722" s="12"/>
      <c r="AF722" s="12"/>
    </row>
    <row r="723" spans="1:32">
      <c r="A723" s="8"/>
      <c r="B723" s="8"/>
      <c r="C723" s="8"/>
      <c r="D723" s="8"/>
      <c r="E723" s="8"/>
      <c r="F723" s="8"/>
      <c r="G723" s="8"/>
      <c r="H723" s="8"/>
      <c r="I723" s="8"/>
      <c r="J723" s="8"/>
      <c r="K723" s="8"/>
      <c r="L723" s="8"/>
      <c r="M723" s="8"/>
      <c r="N723" s="8"/>
      <c r="O723" s="8"/>
      <c r="P723" s="8"/>
      <c r="Q723" s="8"/>
      <c r="R723" s="8"/>
      <c r="S723" s="8"/>
      <c r="T723" s="8"/>
      <c r="U723" s="12"/>
      <c r="V723" s="12"/>
      <c r="W723" s="12"/>
      <c r="X723" s="12"/>
      <c r="Y723" s="29"/>
      <c r="Z723" s="29"/>
      <c r="AA723" s="29"/>
      <c r="AB723" s="12"/>
      <c r="AC723" s="12"/>
      <c r="AD723" s="12"/>
      <c r="AE723" s="12"/>
      <c r="AF723" s="12"/>
    </row>
    <row r="724" spans="1:32">
      <c r="A724" s="8"/>
      <c r="B724" s="8"/>
      <c r="C724" s="8"/>
      <c r="D724" s="8"/>
      <c r="E724" s="8"/>
      <c r="F724" s="8"/>
      <c r="G724" s="8"/>
      <c r="H724" s="8"/>
      <c r="I724" s="8"/>
      <c r="J724" s="8"/>
      <c r="K724" s="8"/>
      <c r="L724" s="8"/>
      <c r="M724" s="8"/>
      <c r="N724" s="8"/>
      <c r="O724" s="8"/>
      <c r="P724" s="8"/>
      <c r="Q724" s="8"/>
      <c r="R724" s="8"/>
      <c r="S724" s="8"/>
      <c r="T724" s="8"/>
      <c r="U724" s="12"/>
      <c r="V724" s="12"/>
      <c r="W724" s="12"/>
      <c r="X724" s="12"/>
      <c r="Y724" s="29"/>
      <c r="Z724" s="29"/>
      <c r="AA724" s="29"/>
      <c r="AB724" s="12"/>
      <c r="AC724" s="12"/>
      <c r="AD724" s="12"/>
      <c r="AE724" s="12"/>
      <c r="AF724" s="12"/>
    </row>
    <row r="725" spans="1:32">
      <c r="A725" s="8"/>
      <c r="B725" s="8"/>
      <c r="C725" s="8"/>
      <c r="D725" s="8"/>
      <c r="E725" s="8"/>
      <c r="F725" s="8"/>
      <c r="G725" s="8"/>
      <c r="H725" s="8"/>
      <c r="I725" s="8"/>
      <c r="J725" s="8"/>
      <c r="K725" s="8"/>
      <c r="L725" s="8"/>
      <c r="M725" s="8"/>
      <c r="N725" s="8"/>
      <c r="O725" s="8"/>
      <c r="P725" s="8"/>
      <c r="Q725" s="8"/>
      <c r="R725" s="8"/>
      <c r="S725" s="8"/>
      <c r="T725" s="8"/>
      <c r="U725" s="12"/>
      <c r="V725" s="12"/>
      <c r="W725" s="12"/>
      <c r="X725" s="12"/>
      <c r="Y725" s="29"/>
      <c r="Z725" s="29"/>
      <c r="AA725" s="29"/>
      <c r="AB725" s="12"/>
      <c r="AC725" s="12"/>
      <c r="AD725" s="12"/>
      <c r="AE725" s="12"/>
      <c r="AF725" s="12"/>
    </row>
    <row r="726" spans="1:32">
      <c r="A726" s="8"/>
      <c r="B726" s="8"/>
      <c r="C726" s="8"/>
      <c r="D726" s="8"/>
      <c r="E726" s="8"/>
      <c r="F726" s="8"/>
      <c r="G726" s="8"/>
      <c r="H726" s="8"/>
      <c r="I726" s="8"/>
      <c r="J726" s="8"/>
      <c r="K726" s="8"/>
      <c r="L726" s="8"/>
      <c r="M726" s="8"/>
      <c r="N726" s="8"/>
      <c r="O726" s="8"/>
      <c r="P726" s="8"/>
      <c r="Q726" s="8"/>
      <c r="R726" s="8"/>
      <c r="S726" s="8"/>
      <c r="T726" s="8"/>
      <c r="U726" s="12"/>
      <c r="V726" s="12"/>
      <c r="W726" s="12"/>
      <c r="X726" s="12"/>
      <c r="Y726" s="29"/>
      <c r="Z726" s="29"/>
      <c r="AA726" s="29"/>
      <c r="AB726" s="12"/>
      <c r="AC726" s="12"/>
      <c r="AD726" s="12"/>
      <c r="AE726" s="12"/>
      <c r="AF726" s="12"/>
    </row>
    <row r="727" spans="1:32">
      <c r="A727" s="8"/>
      <c r="B727" s="8"/>
      <c r="C727" s="8"/>
      <c r="D727" s="8"/>
      <c r="E727" s="8"/>
      <c r="F727" s="8"/>
      <c r="G727" s="8"/>
      <c r="H727" s="8"/>
      <c r="I727" s="8"/>
      <c r="J727" s="8"/>
      <c r="K727" s="8"/>
      <c r="L727" s="8"/>
      <c r="M727" s="8"/>
      <c r="N727" s="8"/>
      <c r="O727" s="8"/>
      <c r="P727" s="8"/>
      <c r="Q727" s="8"/>
      <c r="R727" s="8"/>
      <c r="S727" s="8"/>
      <c r="T727" s="8"/>
      <c r="U727" s="12"/>
      <c r="V727" s="12"/>
      <c r="W727" s="12"/>
      <c r="X727" s="12"/>
      <c r="Y727" s="29"/>
      <c r="Z727" s="29"/>
      <c r="AA727" s="29"/>
      <c r="AB727" s="12"/>
      <c r="AC727" s="12"/>
      <c r="AD727" s="12"/>
      <c r="AE727" s="12"/>
      <c r="AF727" s="12"/>
    </row>
    <row r="728" spans="1:32">
      <c r="A728" s="8"/>
      <c r="B728" s="8"/>
      <c r="C728" s="8"/>
      <c r="D728" s="8"/>
      <c r="E728" s="8"/>
      <c r="F728" s="8"/>
      <c r="G728" s="8"/>
      <c r="H728" s="8"/>
      <c r="I728" s="8"/>
      <c r="J728" s="8"/>
      <c r="K728" s="8"/>
      <c r="L728" s="8"/>
      <c r="M728" s="8"/>
      <c r="N728" s="8"/>
      <c r="O728" s="8"/>
      <c r="P728" s="8"/>
      <c r="Q728" s="8"/>
      <c r="R728" s="8"/>
      <c r="S728" s="8"/>
      <c r="T728" s="8"/>
      <c r="U728" s="12"/>
      <c r="V728" s="12"/>
      <c r="W728" s="12"/>
      <c r="X728" s="12"/>
      <c r="Y728" s="29"/>
      <c r="Z728" s="29"/>
      <c r="AA728" s="29"/>
      <c r="AB728" s="12"/>
      <c r="AC728" s="12"/>
      <c r="AD728" s="12"/>
      <c r="AE728" s="12"/>
      <c r="AF728" s="12"/>
    </row>
    <row r="729" spans="1:32">
      <c r="A729" s="8"/>
      <c r="B729" s="8"/>
      <c r="C729" s="8"/>
      <c r="D729" s="8"/>
      <c r="E729" s="8"/>
      <c r="F729" s="8"/>
      <c r="G729" s="8"/>
      <c r="H729" s="8"/>
      <c r="I729" s="8"/>
      <c r="J729" s="8"/>
      <c r="K729" s="8"/>
      <c r="L729" s="8"/>
      <c r="M729" s="8"/>
      <c r="N729" s="8"/>
      <c r="O729" s="8"/>
      <c r="P729" s="8"/>
      <c r="Q729" s="8"/>
      <c r="R729" s="8"/>
      <c r="S729" s="8"/>
      <c r="T729" s="8"/>
      <c r="U729" s="12"/>
      <c r="V729" s="12"/>
      <c r="W729" s="12"/>
      <c r="X729" s="12"/>
      <c r="Y729" s="29"/>
      <c r="Z729" s="29"/>
      <c r="AA729" s="29"/>
      <c r="AB729" s="12"/>
      <c r="AC729" s="12"/>
      <c r="AD729" s="12"/>
      <c r="AE729" s="12"/>
      <c r="AF729" s="12"/>
    </row>
    <row r="730" spans="1:32">
      <c r="A730" s="8"/>
      <c r="B730" s="8"/>
      <c r="C730" s="8"/>
      <c r="D730" s="8"/>
      <c r="E730" s="8"/>
      <c r="F730" s="8"/>
      <c r="G730" s="8"/>
      <c r="H730" s="8"/>
      <c r="I730" s="8"/>
      <c r="J730" s="8"/>
      <c r="K730" s="8"/>
      <c r="L730" s="8"/>
      <c r="M730" s="8"/>
      <c r="N730" s="8"/>
      <c r="O730" s="8"/>
      <c r="P730" s="8"/>
      <c r="Q730" s="8"/>
      <c r="R730" s="8"/>
      <c r="S730" s="8"/>
      <c r="T730" s="8"/>
      <c r="U730" s="12"/>
      <c r="V730" s="12"/>
      <c r="W730" s="12"/>
      <c r="X730" s="12"/>
      <c r="Y730" s="29"/>
      <c r="Z730" s="29"/>
      <c r="AA730" s="29"/>
      <c r="AB730" s="12"/>
      <c r="AC730" s="12"/>
      <c r="AD730" s="12"/>
      <c r="AE730" s="12"/>
      <c r="AF730" s="12"/>
    </row>
    <row r="731" spans="1:32">
      <c r="A731" s="8"/>
      <c r="B731" s="8"/>
      <c r="C731" s="8"/>
      <c r="D731" s="8"/>
      <c r="E731" s="8"/>
      <c r="F731" s="8"/>
      <c r="G731" s="8"/>
      <c r="H731" s="8"/>
      <c r="I731" s="8"/>
      <c r="J731" s="8"/>
      <c r="K731" s="8"/>
      <c r="L731" s="8"/>
      <c r="M731" s="8"/>
      <c r="N731" s="8"/>
      <c r="O731" s="8"/>
      <c r="P731" s="8"/>
      <c r="Q731" s="8"/>
      <c r="R731" s="8"/>
      <c r="S731" s="8"/>
      <c r="T731" s="8"/>
      <c r="U731" s="12"/>
      <c r="V731" s="12"/>
      <c r="W731" s="12"/>
      <c r="X731" s="12"/>
      <c r="Y731" s="29"/>
      <c r="Z731" s="29"/>
      <c r="AA731" s="29"/>
      <c r="AB731" s="12"/>
      <c r="AC731" s="12"/>
      <c r="AD731" s="12"/>
      <c r="AE731" s="12"/>
      <c r="AF731" s="12"/>
    </row>
    <row r="732" spans="1:32">
      <c r="A732" s="8"/>
      <c r="B732" s="8"/>
      <c r="C732" s="8"/>
      <c r="D732" s="8"/>
      <c r="E732" s="8"/>
      <c r="F732" s="8"/>
      <c r="G732" s="8"/>
      <c r="H732" s="8"/>
      <c r="I732" s="8"/>
      <c r="J732" s="8"/>
      <c r="K732" s="8"/>
      <c r="L732" s="8"/>
      <c r="M732" s="8"/>
      <c r="N732" s="8"/>
      <c r="O732" s="8"/>
      <c r="P732" s="8"/>
      <c r="Q732" s="8"/>
      <c r="R732" s="8"/>
      <c r="S732" s="8"/>
      <c r="T732" s="8"/>
      <c r="U732" s="12"/>
      <c r="V732" s="12"/>
      <c r="W732" s="12"/>
      <c r="X732" s="12"/>
      <c r="Y732" s="29"/>
      <c r="Z732" s="29"/>
      <c r="AA732" s="29"/>
      <c r="AB732" s="12"/>
      <c r="AC732" s="12"/>
      <c r="AD732" s="12"/>
      <c r="AE732" s="12"/>
      <c r="AF732" s="12"/>
    </row>
    <row r="733" spans="1:32">
      <c r="A733" s="8"/>
      <c r="B733" s="8"/>
      <c r="C733" s="8"/>
      <c r="D733" s="8"/>
      <c r="E733" s="8"/>
      <c r="F733" s="8"/>
      <c r="G733" s="8"/>
      <c r="H733" s="8"/>
      <c r="I733" s="8"/>
      <c r="J733" s="8"/>
      <c r="K733" s="8"/>
      <c r="L733" s="8"/>
      <c r="M733" s="8"/>
      <c r="N733" s="8"/>
      <c r="O733" s="8"/>
      <c r="P733" s="8"/>
      <c r="Q733" s="8"/>
      <c r="R733" s="8"/>
      <c r="S733" s="8"/>
      <c r="T733" s="8"/>
      <c r="U733" s="12"/>
      <c r="V733" s="12"/>
      <c r="W733" s="12"/>
      <c r="X733" s="12"/>
      <c r="Y733" s="29"/>
      <c r="Z733" s="29"/>
      <c r="AA733" s="29"/>
      <c r="AB733" s="12"/>
      <c r="AC733" s="12"/>
      <c r="AD733" s="12"/>
      <c r="AE733" s="12"/>
      <c r="AF733" s="12"/>
    </row>
    <row r="734" spans="1:32">
      <c r="A734" s="8"/>
      <c r="B734" s="8"/>
      <c r="C734" s="8"/>
      <c r="D734" s="8"/>
      <c r="E734" s="8"/>
      <c r="F734" s="8"/>
      <c r="G734" s="8"/>
      <c r="H734" s="8"/>
      <c r="I734" s="8"/>
      <c r="J734" s="8"/>
      <c r="K734" s="8"/>
      <c r="L734" s="8"/>
      <c r="M734" s="8"/>
      <c r="N734" s="8"/>
      <c r="O734" s="8"/>
      <c r="P734" s="8"/>
      <c r="Q734" s="8"/>
      <c r="R734" s="8"/>
      <c r="S734" s="8"/>
      <c r="T734" s="8"/>
      <c r="U734" s="12"/>
      <c r="V734" s="12"/>
      <c r="W734" s="12"/>
      <c r="X734" s="12"/>
      <c r="Y734" s="29"/>
      <c r="Z734" s="29"/>
      <c r="AA734" s="29"/>
      <c r="AB734" s="12"/>
      <c r="AC734" s="12"/>
      <c r="AD734" s="12"/>
      <c r="AE734" s="12"/>
      <c r="AF734" s="12"/>
    </row>
    <row r="735" spans="1:32">
      <c r="A735" s="8"/>
      <c r="B735" s="8"/>
      <c r="C735" s="8"/>
      <c r="D735" s="8"/>
      <c r="E735" s="8"/>
      <c r="F735" s="8"/>
      <c r="G735" s="8"/>
      <c r="H735" s="8"/>
      <c r="I735" s="8"/>
      <c r="J735" s="8"/>
      <c r="K735" s="8"/>
      <c r="L735" s="8"/>
      <c r="M735" s="8"/>
      <c r="N735" s="8"/>
      <c r="O735" s="8"/>
      <c r="P735" s="8"/>
      <c r="Q735" s="8"/>
      <c r="R735" s="8"/>
      <c r="S735" s="8"/>
      <c r="T735" s="8"/>
      <c r="U735" s="12"/>
      <c r="V735" s="12"/>
      <c r="W735" s="12"/>
      <c r="X735" s="12"/>
      <c r="Y735" s="29"/>
      <c r="Z735" s="29"/>
      <c r="AA735" s="29"/>
      <c r="AB735" s="12"/>
      <c r="AC735" s="12"/>
      <c r="AD735" s="12"/>
      <c r="AE735" s="12"/>
      <c r="AF735" s="12"/>
    </row>
    <row r="736" spans="1:32">
      <c r="A736" s="8"/>
      <c r="B736" s="8"/>
      <c r="C736" s="8"/>
      <c r="D736" s="8"/>
      <c r="E736" s="8"/>
      <c r="F736" s="8"/>
      <c r="G736" s="8"/>
      <c r="H736" s="8"/>
      <c r="I736" s="8"/>
      <c r="J736" s="8"/>
      <c r="K736" s="8"/>
      <c r="L736" s="8"/>
      <c r="M736" s="8"/>
      <c r="N736" s="8"/>
      <c r="O736" s="8"/>
      <c r="P736" s="8"/>
      <c r="Q736" s="8"/>
      <c r="R736" s="8"/>
      <c r="S736" s="8"/>
      <c r="T736" s="8"/>
      <c r="U736" s="12"/>
      <c r="V736" s="12"/>
      <c r="W736" s="12"/>
      <c r="X736" s="12"/>
      <c r="Y736" s="29"/>
      <c r="Z736" s="29"/>
      <c r="AA736" s="29"/>
      <c r="AB736" s="12"/>
      <c r="AC736" s="12"/>
      <c r="AD736" s="12"/>
      <c r="AE736" s="12"/>
      <c r="AF736" s="12"/>
    </row>
    <row r="737" spans="1:32">
      <c r="A737" s="8"/>
      <c r="B737" s="8"/>
      <c r="C737" s="8"/>
      <c r="D737" s="8"/>
      <c r="E737" s="8"/>
      <c r="F737" s="8"/>
      <c r="G737" s="8"/>
      <c r="H737" s="8"/>
      <c r="I737" s="8"/>
      <c r="J737" s="8"/>
      <c r="K737" s="8"/>
      <c r="L737" s="8"/>
      <c r="M737" s="8"/>
      <c r="N737" s="8"/>
      <c r="O737" s="8"/>
      <c r="P737" s="8"/>
      <c r="Q737" s="8"/>
      <c r="R737" s="8"/>
      <c r="S737" s="8"/>
      <c r="T737" s="8"/>
      <c r="U737" s="12"/>
      <c r="V737" s="12"/>
      <c r="W737" s="12"/>
      <c r="X737" s="12"/>
      <c r="Y737" s="29"/>
      <c r="Z737" s="29"/>
      <c r="AA737" s="29"/>
      <c r="AB737" s="12"/>
      <c r="AC737" s="12"/>
      <c r="AD737" s="12"/>
      <c r="AE737" s="12"/>
      <c r="AF737" s="12"/>
    </row>
    <row r="738" spans="1:32">
      <c r="A738" s="8"/>
      <c r="B738" s="8"/>
      <c r="C738" s="8"/>
      <c r="D738" s="8"/>
      <c r="E738" s="8"/>
      <c r="F738" s="8"/>
      <c r="G738" s="8"/>
      <c r="H738" s="8"/>
      <c r="I738" s="8"/>
      <c r="J738" s="8"/>
      <c r="K738" s="8"/>
      <c r="L738" s="8"/>
      <c r="M738" s="8"/>
      <c r="N738" s="8"/>
      <c r="O738" s="8"/>
      <c r="P738" s="8"/>
      <c r="Q738" s="8"/>
      <c r="R738" s="8"/>
      <c r="S738" s="8"/>
      <c r="T738" s="8"/>
      <c r="U738" s="12"/>
      <c r="V738" s="12"/>
      <c r="W738" s="12"/>
      <c r="X738" s="12"/>
      <c r="Y738" s="29"/>
      <c r="Z738" s="29"/>
      <c r="AA738" s="29"/>
      <c r="AB738" s="12"/>
      <c r="AC738" s="12"/>
      <c r="AD738" s="12"/>
      <c r="AE738" s="12"/>
      <c r="AF738" s="12"/>
    </row>
    <row r="739" spans="1:32">
      <c r="A739" s="8"/>
      <c r="B739" s="8"/>
      <c r="C739" s="8"/>
      <c r="D739" s="8"/>
      <c r="E739" s="8"/>
      <c r="F739" s="8"/>
      <c r="G739" s="8"/>
      <c r="H739" s="8"/>
      <c r="I739" s="8"/>
      <c r="J739" s="8"/>
      <c r="K739" s="8"/>
      <c r="L739" s="8"/>
      <c r="M739" s="8"/>
      <c r="N739" s="8"/>
      <c r="O739" s="8"/>
      <c r="P739" s="8"/>
      <c r="Q739" s="8"/>
      <c r="R739" s="8"/>
      <c r="S739" s="8"/>
      <c r="T739" s="8"/>
      <c r="U739" s="12"/>
      <c r="V739" s="12"/>
      <c r="W739" s="12"/>
      <c r="X739" s="12"/>
      <c r="Y739" s="29"/>
      <c r="Z739" s="29"/>
      <c r="AA739" s="29"/>
      <c r="AB739" s="12"/>
      <c r="AC739" s="12"/>
      <c r="AD739" s="12"/>
      <c r="AE739" s="12"/>
      <c r="AF739" s="12"/>
    </row>
    <row r="740" spans="1:32">
      <c r="A740" s="8"/>
      <c r="B740" s="8"/>
      <c r="C740" s="8"/>
      <c r="D740" s="8"/>
      <c r="E740" s="8"/>
      <c r="F740" s="8"/>
      <c r="G740" s="8"/>
      <c r="H740" s="8"/>
      <c r="I740" s="8"/>
      <c r="J740" s="8"/>
      <c r="K740" s="8"/>
      <c r="L740" s="8"/>
      <c r="M740" s="8"/>
      <c r="N740" s="8"/>
      <c r="O740" s="8"/>
      <c r="P740" s="8"/>
      <c r="Q740" s="8"/>
      <c r="R740" s="8"/>
      <c r="S740" s="8"/>
      <c r="T740" s="8"/>
      <c r="U740" s="12"/>
      <c r="V740" s="12"/>
      <c r="W740" s="12"/>
      <c r="X740" s="12"/>
      <c r="Y740" s="29"/>
      <c r="Z740" s="29"/>
      <c r="AA740" s="29"/>
      <c r="AB740" s="12"/>
      <c r="AC740" s="12"/>
      <c r="AD740" s="12"/>
      <c r="AE740" s="12"/>
      <c r="AF740" s="12"/>
    </row>
    <row r="741" spans="1:32">
      <c r="A741" s="8"/>
      <c r="B741" s="8"/>
      <c r="C741" s="8"/>
      <c r="D741" s="8"/>
      <c r="E741" s="8"/>
      <c r="F741" s="8"/>
      <c r="G741" s="8"/>
      <c r="H741" s="8"/>
      <c r="I741" s="8"/>
      <c r="J741" s="8"/>
      <c r="K741" s="8"/>
      <c r="L741" s="8"/>
      <c r="M741" s="8"/>
      <c r="N741" s="8"/>
      <c r="O741" s="8"/>
      <c r="P741" s="8"/>
      <c r="Q741" s="8"/>
      <c r="R741" s="8"/>
      <c r="S741" s="8"/>
      <c r="T741" s="8"/>
      <c r="U741" s="12"/>
      <c r="V741" s="12"/>
      <c r="W741" s="12"/>
      <c r="X741" s="12"/>
      <c r="Y741" s="29"/>
      <c r="Z741" s="29"/>
      <c r="AA741" s="29"/>
      <c r="AB741" s="12"/>
      <c r="AC741" s="12"/>
      <c r="AD741" s="12"/>
      <c r="AE741" s="12"/>
      <c r="AF741" s="12"/>
    </row>
    <row r="742" spans="1:32">
      <c r="A742" s="8"/>
      <c r="B742" s="8"/>
      <c r="C742" s="8"/>
      <c r="D742" s="8"/>
      <c r="E742" s="8"/>
      <c r="F742" s="8"/>
      <c r="G742" s="8"/>
      <c r="H742" s="8"/>
      <c r="I742" s="8"/>
      <c r="J742" s="8"/>
      <c r="K742" s="8"/>
      <c r="L742" s="8"/>
      <c r="M742" s="8"/>
      <c r="N742" s="8"/>
      <c r="O742" s="8"/>
      <c r="P742" s="8"/>
      <c r="Q742" s="8"/>
      <c r="R742" s="8"/>
      <c r="S742" s="8"/>
      <c r="T742" s="8"/>
      <c r="U742" s="12"/>
      <c r="V742" s="12"/>
      <c r="W742" s="12"/>
      <c r="X742" s="12"/>
      <c r="Y742" s="29"/>
      <c r="Z742" s="29"/>
      <c r="AA742" s="29"/>
      <c r="AB742" s="12"/>
      <c r="AC742" s="12"/>
      <c r="AD742" s="12"/>
      <c r="AE742" s="12"/>
      <c r="AF742" s="12"/>
    </row>
    <row r="743" spans="1:32">
      <c r="A743" s="8"/>
      <c r="B743" s="8"/>
      <c r="C743" s="8"/>
      <c r="D743" s="8"/>
      <c r="E743" s="8"/>
      <c r="F743" s="8"/>
      <c r="G743" s="8"/>
      <c r="H743" s="8"/>
      <c r="I743" s="8"/>
      <c r="J743" s="8"/>
      <c r="K743" s="8"/>
      <c r="L743" s="8"/>
      <c r="M743" s="8"/>
      <c r="N743" s="8"/>
      <c r="O743" s="8"/>
      <c r="P743" s="8"/>
      <c r="Q743" s="8"/>
      <c r="R743" s="8"/>
      <c r="S743" s="8"/>
      <c r="T743" s="8"/>
      <c r="U743" s="12"/>
      <c r="V743" s="12"/>
      <c r="W743" s="12"/>
      <c r="X743" s="12"/>
      <c r="Y743" s="29"/>
      <c r="Z743" s="29"/>
      <c r="AA743" s="29"/>
      <c r="AB743" s="12"/>
      <c r="AC743" s="12"/>
      <c r="AD743" s="12"/>
      <c r="AE743" s="12"/>
      <c r="AF743" s="12"/>
    </row>
    <row r="744" spans="1:32">
      <c r="A744" s="8"/>
      <c r="B744" s="8"/>
      <c r="C744" s="8"/>
      <c r="D744" s="8"/>
      <c r="E744" s="8"/>
      <c r="F744" s="8"/>
      <c r="G744" s="8"/>
      <c r="H744" s="8"/>
      <c r="I744" s="8"/>
      <c r="J744" s="8"/>
      <c r="K744" s="8"/>
      <c r="L744" s="8"/>
      <c r="M744" s="8"/>
      <c r="N744" s="8"/>
      <c r="O744" s="8"/>
      <c r="P744" s="8"/>
      <c r="Q744" s="8"/>
      <c r="R744" s="8"/>
      <c r="S744" s="8"/>
      <c r="T744" s="8"/>
      <c r="U744" s="12"/>
      <c r="V744" s="12"/>
      <c r="W744" s="12"/>
      <c r="X744" s="12"/>
      <c r="Y744" s="29"/>
      <c r="Z744" s="29"/>
      <c r="AA744" s="29"/>
      <c r="AB744" s="12"/>
      <c r="AC744" s="12"/>
      <c r="AD744" s="12"/>
      <c r="AE744" s="12"/>
      <c r="AF744" s="12"/>
    </row>
    <row r="745" spans="1:32">
      <c r="A745" s="8"/>
      <c r="B745" s="8"/>
      <c r="C745" s="8"/>
      <c r="D745" s="8"/>
      <c r="E745" s="8"/>
      <c r="F745" s="8"/>
      <c r="G745" s="8"/>
      <c r="H745" s="8"/>
      <c r="I745" s="8"/>
      <c r="J745" s="8"/>
      <c r="K745" s="8"/>
      <c r="L745" s="8"/>
      <c r="M745" s="8"/>
      <c r="N745" s="8"/>
      <c r="O745" s="8"/>
      <c r="P745" s="8"/>
      <c r="Q745" s="8"/>
      <c r="R745" s="8"/>
      <c r="S745" s="8"/>
      <c r="T745" s="8"/>
      <c r="U745" s="12"/>
      <c r="V745" s="12"/>
      <c r="W745" s="12"/>
      <c r="X745" s="12"/>
      <c r="Y745" s="29"/>
      <c r="Z745" s="29"/>
      <c r="AA745" s="29"/>
      <c r="AB745" s="12"/>
      <c r="AC745" s="12"/>
      <c r="AD745" s="12"/>
      <c r="AE745" s="12"/>
      <c r="AF745" s="12"/>
    </row>
    <row r="746" spans="1:32">
      <c r="A746" s="8"/>
      <c r="B746" s="8"/>
      <c r="C746" s="8"/>
      <c r="D746" s="8"/>
      <c r="E746" s="8"/>
      <c r="F746" s="8"/>
      <c r="G746" s="8"/>
      <c r="H746" s="8"/>
      <c r="I746" s="8"/>
      <c r="J746" s="8"/>
      <c r="K746" s="8"/>
      <c r="L746" s="8"/>
      <c r="M746" s="8"/>
      <c r="N746" s="8"/>
      <c r="O746" s="8"/>
      <c r="P746" s="8"/>
      <c r="Q746" s="8"/>
      <c r="R746" s="8"/>
      <c r="S746" s="8"/>
      <c r="T746" s="8"/>
      <c r="U746" s="12"/>
      <c r="V746" s="12"/>
      <c r="W746" s="12"/>
      <c r="X746" s="12"/>
      <c r="Y746" s="29"/>
      <c r="Z746" s="29"/>
      <c r="AA746" s="29"/>
      <c r="AB746" s="12"/>
      <c r="AC746" s="12"/>
      <c r="AD746" s="12"/>
      <c r="AE746" s="12"/>
      <c r="AF746" s="12"/>
    </row>
    <row r="747" spans="1:32">
      <c r="A747" s="8"/>
      <c r="B747" s="8"/>
      <c r="C747" s="8"/>
      <c r="D747" s="8"/>
      <c r="E747" s="8"/>
      <c r="F747" s="8"/>
      <c r="G747" s="8"/>
      <c r="H747" s="8"/>
      <c r="I747" s="8"/>
      <c r="J747" s="8"/>
      <c r="K747" s="8"/>
      <c r="L747" s="8"/>
      <c r="M747" s="8"/>
      <c r="N747" s="8"/>
      <c r="O747" s="8"/>
      <c r="P747" s="8"/>
      <c r="Q747" s="8"/>
      <c r="R747" s="8"/>
      <c r="S747" s="8"/>
      <c r="T747" s="8"/>
      <c r="U747" s="12"/>
      <c r="V747" s="12"/>
      <c r="W747" s="12"/>
      <c r="X747" s="12"/>
      <c r="Y747" s="29"/>
      <c r="Z747" s="29"/>
      <c r="AA747" s="29"/>
      <c r="AB747" s="12"/>
      <c r="AC747" s="12"/>
      <c r="AD747" s="12"/>
      <c r="AE747" s="12"/>
      <c r="AF747" s="12"/>
    </row>
    <row r="748" spans="1:32">
      <c r="A748" s="8"/>
      <c r="B748" s="8"/>
      <c r="C748" s="8"/>
      <c r="D748" s="8"/>
      <c r="E748" s="8"/>
      <c r="F748" s="8"/>
      <c r="G748" s="8"/>
      <c r="H748" s="8"/>
      <c r="I748" s="8"/>
      <c r="J748" s="8"/>
      <c r="K748" s="8"/>
      <c r="L748" s="8"/>
      <c r="M748" s="8"/>
      <c r="N748" s="8"/>
      <c r="O748" s="8"/>
      <c r="P748" s="8"/>
      <c r="Q748" s="8"/>
      <c r="R748" s="8"/>
      <c r="S748" s="8"/>
      <c r="T748" s="8"/>
      <c r="U748" s="12"/>
      <c r="V748" s="12"/>
      <c r="W748" s="12"/>
      <c r="X748" s="12"/>
      <c r="Y748" s="29"/>
      <c r="Z748" s="29"/>
      <c r="AA748" s="29"/>
      <c r="AB748" s="12"/>
      <c r="AC748" s="12"/>
      <c r="AD748" s="12"/>
      <c r="AE748" s="12"/>
      <c r="AF748" s="12"/>
    </row>
    <row r="749" spans="1:32">
      <c r="A749" s="8"/>
      <c r="B749" s="8"/>
      <c r="C749" s="8"/>
      <c r="D749" s="8"/>
      <c r="E749" s="8"/>
      <c r="F749" s="8"/>
      <c r="G749" s="8"/>
      <c r="H749" s="8"/>
      <c r="I749" s="8"/>
      <c r="J749" s="8"/>
      <c r="K749" s="8"/>
      <c r="L749" s="8"/>
      <c r="M749" s="8"/>
      <c r="N749" s="8"/>
      <c r="O749" s="8"/>
      <c r="P749" s="8"/>
      <c r="Q749" s="8"/>
      <c r="R749" s="8"/>
      <c r="S749" s="8"/>
      <c r="T749" s="8"/>
      <c r="U749" s="12"/>
      <c r="V749" s="12"/>
      <c r="W749" s="12"/>
      <c r="X749" s="12"/>
      <c r="Y749" s="29"/>
      <c r="Z749" s="29"/>
      <c r="AA749" s="29"/>
      <c r="AB749" s="12"/>
      <c r="AC749" s="12"/>
      <c r="AD749" s="12"/>
      <c r="AE749" s="12"/>
      <c r="AF749" s="12"/>
    </row>
    <row r="750" spans="1:32">
      <c r="A750" s="8"/>
      <c r="B750" s="8"/>
      <c r="C750" s="8"/>
      <c r="D750" s="8"/>
      <c r="E750" s="8"/>
      <c r="F750" s="8"/>
      <c r="G750" s="8"/>
      <c r="H750" s="8"/>
      <c r="I750" s="8"/>
      <c r="J750" s="8"/>
      <c r="K750" s="8"/>
      <c r="L750" s="8"/>
      <c r="M750" s="8"/>
      <c r="N750" s="8"/>
      <c r="O750" s="8"/>
      <c r="P750" s="8"/>
      <c r="Q750" s="8"/>
      <c r="R750" s="8"/>
      <c r="S750" s="8"/>
      <c r="T750" s="8"/>
      <c r="U750" s="12"/>
      <c r="V750" s="12"/>
      <c r="W750" s="12"/>
      <c r="X750" s="12"/>
      <c r="Y750" s="29"/>
      <c r="Z750" s="29"/>
      <c r="AA750" s="29"/>
      <c r="AB750" s="12"/>
      <c r="AC750" s="12"/>
      <c r="AD750" s="12"/>
      <c r="AE750" s="12"/>
      <c r="AF750" s="12"/>
    </row>
    <row r="751" spans="1:32">
      <c r="A751" s="8"/>
      <c r="B751" s="8"/>
      <c r="C751" s="8"/>
      <c r="D751" s="8"/>
      <c r="E751" s="8"/>
      <c r="F751" s="8"/>
      <c r="G751" s="8"/>
      <c r="H751" s="8"/>
      <c r="I751" s="8"/>
      <c r="J751" s="8"/>
      <c r="K751" s="8"/>
      <c r="L751" s="8"/>
      <c r="M751" s="8"/>
      <c r="N751" s="8"/>
      <c r="O751" s="8"/>
      <c r="P751" s="8"/>
      <c r="Q751" s="8"/>
      <c r="R751" s="8"/>
      <c r="S751" s="8"/>
      <c r="T751" s="8"/>
      <c r="U751" s="12"/>
      <c r="V751" s="12"/>
      <c r="W751" s="12"/>
      <c r="X751" s="12"/>
      <c r="Y751" s="29"/>
      <c r="Z751" s="29"/>
      <c r="AA751" s="29"/>
      <c r="AB751" s="12"/>
      <c r="AC751" s="12"/>
      <c r="AD751" s="12"/>
      <c r="AE751" s="12"/>
      <c r="AF751" s="12"/>
    </row>
    <row r="752" spans="1:32">
      <c r="A752" s="8"/>
      <c r="B752" s="8"/>
      <c r="C752" s="8"/>
      <c r="D752" s="8"/>
      <c r="E752" s="8"/>
      <c r="F752" s="8"/>
      <c r="G752" s="8"/>
      <c r="H752" s="8"/>
      <c r="I752" s="8"/>
      <c r="J752" s="8"/>
      <c r="K752" s="8"/>
      <c r="L752" s="8"/>
      <c r="M752" s="8"/>
      <c r="N752" s="8"/>
      <c r="O752" s="8"/>
      <c r="P752" s="8"/>
      <c r="Q752" s="8"/>
      <c r="R752" s="8"/>
      <c r="S752" s="8"/>
      <c r="T752" s="8"/>
      <c r="U752" s="12"/>
      <c r="V752" s="12"/>
      <c r="W752" s="12"/>
      <c r="X752" s="12"/>
      <c r="Y752" s="29"/>
      <c r="Z752" s="29"/>
      <c r="AA752" s="29"/>
      <c r="AB752" s="12"/>
      <c r="AC752" s="12"/>
      <c r="AD752" s="12"/>
      <c r="AE752" s="12"/>
      <c r="AF752" s="12"/>
    </row>
    <row r="753" spans="1:32">
      <c r="A753" s="8"/>
      <c r="B753" s="8"/>
      <c r="C753" s="8"/>
      <c r="D753" s="8"/>
      <c r="E753" s="8"/>
      <c r="F753" s="8"/>
      <c r="G753" s="8"/>
      <c r="H753" s="8"/>
      <c r="I753" s="8"/>
      <c r="J753" s="8"/>
      <c r="K753" s="8"/>
      <c r="L753" s="8"/>
      <c r="M753" s="8"/>
      <c r="N753" s="8"/>
      <c r="O753" s="8"/>
      <c r="P753" s="8"/>
      <c r="Q753" s="8"/>
      <c r="R753" s="8"/>
      <c r="S753" s="8"/>
      <c r="T753" s="8"/>
      <c r="U753" s="12"/>
      <c r="V753" s="12"/>
      <c r="W753" s="12"/>
      <c r="X753" s="12"/>
      <c r="Y753" s="29"/>
      <c r="Z753" s="29"/>
      <c r="AA753" s="29"/>
      <c r="AB753" s="12"/>
      <c r="AC753" s="12"/>
      <c r="AD753" s="12"/>
      <c r="AE753" s="12"/>
      <c r="AF753" s="12"/>
    </row>
    <row r="754" spans="1:32">
      <c r="A754" s="8"/>
      <c r="B754" s="8"/>
      <c r="C754" s="8"/>
      <c r="D754" s="8"/>
      <c r="E754" s="8"/>
      <c r="F754" s="8"/>
      <c r="G754" s="8"/>
      <c r="H754" s="8"/>
      <c r="I754" s="8"/>
      <c r="J754" s="8"/>
      <c r="K754" s="8"/>
      <c r="L754" s="8"/>
      <c r="M754" s="8"/>
      <c r="N754" s="8"/>
      <c r="O754" s="8"/>
      <c r="P754" s="8"/>
      <c r="Q754" s="8"/>
      <c r="R754" s="8"/>
      <c r="S754" s="8"/>
      <c r="T754" s="8"/>
      <c r="U754" s="12"/>
      <c r="V754" s="12"/>
      <c r="W754" s="12"/>
      <c r="X754" s="12"/>
      <c r="Y754" s="29"/>
      <c r="Z754" s="29"/>
      <c r="AA754" s="29"/>
      <c r="AB754" s="12"/>
      <c r="AC754" s="12"/>
      <c r="AD754" s="12"/>
      <c r="AE754" s="12"/>
      <c r="AF754" s="12"/>
    </row>
    <row r="755" spans="1:32">
      <c r="A755" s="8"/>
      <c r="B755" s="8"/>
      <c r="C755" s="8"/>
      <c r="D755" s="8"/>
      <c r="E755" s="8"/>
      <c r="F755" s="8"/>
      <c r="G755" s="8"/>
      <c r="H755" s="8"/>
      <c r="I755" s="8"/>
      <c r="J755" s="8"/>
      <c r="K755" s="8"/>
      <c r="L755" s="8"/>
      <c r="M755" s="8"/>
      <c r="N755" s="8"/>
      <c r="O755" s="8"/>
      <c r="P755" s="8"/>
      <c r="Q755" s="8"/>
      <c r="R755" s="8"/>
      <c r="S755" s="8"/>
      <c r="T755" s="8"/>
      <c r="U755" s="12"/>
      <c r="V755" s="12"/>
      <c r="W755" s="12"/>
      <c r="X755" s="12"/>
      <c r="Y755" s="29"/>
      <c r="Z755" s="29"/>
      <c r="AA755" s="29"/>
      <c r="AB755" s="12"/>
      <c r="AC755" s="12"/>
      <c r="AD755" s="12"/>
      <c r="AE755" s="12"/>
      <c r="AF755" s="12"/>
    </row>
    <row r="756" spans="1:32">
      <c r="A756" s="8"/>
      <c r="B756" s="8"/>
      <c r="C756" s="8"/>
      <c r="D756" s="8"/>
      <c r="E756" s="8"/>
      <c r="F756" s="8"/>
      <c r="G756" s="8"/>
      <c r="H756" s="8"/>
      <c r="I756" s="8"/>
      <c r="J756" s="8"/>
      <c r="K756" s="8"/>
      <c r="L756" s="8"/>
      <c r="M756" s="8"/>
      <c r="N756" s="8"/>
      <c r="O756" s="8"/>
      <c r="P756" s="8"/>
      <c r="Q756" s="8"/>
      <c r="R756" s="8"/>
      <c r="S756" s="8"/>
      <c r="T756" s="8"/>
      <c r="U756" s="12"/>
      <c r="V756" s="12"/>
      <c r="W756" s="12"/>
      <c r="X756" s="12"/>
      <c r="Y756" s="29"/>
      <c r="Z756" s="29"/>
      <c r="AA756" s="29"/>
      <c r="AB756" s="12"/>
      <c r="AC756" s="12"/>
      <c r="AD756" s="12"/>
      <c r="AE756" s="12"/>
      <c r="AF756" s="12"/>
    </row>
    <row r="757" spans="1:32">
      <c r="A757" s="8"/>
      <c r="B757" s="8"/>
      <c r="C757" s="8"/>
      <c r="D757" s="8"/>
      <c r="E757" s="8"/>
      <c r="F757" s="8"/>
      <c r="G757" s="8"/>
      <c r="H757" s="8"/>
      <c r="I757" s="8"/>
      <c r="J757" s="8"/>
      <c r="K757" s="8"/>
      <c r="L757" s="8"/>
      <c r="M757" s="8"/>
      <c r="N757" s="8"/>
      <c r="O757" s="8"/>
      <c r="P757" s="8"/>
      <c r="Q757" s="8"/>
      <c r="R757" s="8"/>
      <c r="S757" s="8"/>
      <c r="T757" s="8"/>
      <c r="U757" s="12"/>
      <c r="V757" s="12"/>
      <c r="W757" s="12"/>
      <c r="X757" s="12"/>
      <c r="Y757" s="29"/>
      <c r="Z757" s="29"/>
      <c r="AA757" s="29"/>
      <c r="AB757" s="12"/>
      <c r="AC757" s="12"/>
      <c r="AD757" s="12"/>
      <c r="AE757" s="12"/>
      <c r="AF757" s="12"/>
    </row>
    <row r="758" spans="1:32">
      <c r="A758" s="8"/>
      <c r="B758" s="8"/>
      <c r="C758" s="8"/>
      <c r="D758" s="8"/>
      <c r="E758" s="8"/>
      <c r="F758" s="8"/>
      <c r="G758" s="8"/>
      <c r="H758" s="8"/>
      <c r="I758" s="8"/>
      <c r="J758" s="8"/>
      <c r="K758" s="8"/>
      <c r="L758" s="8"/>
      <c r="M758" s="8"/>
      <c r="N758" s="8"/>
      <c r="O758" s="8"/>
      <c r="P758" s="8"/>
      <c r="Q758" s="8"/>
      <c r="R758" s="8"/>
      <c r="S758" s="8"/>
      <c r="T758" s="8"/>
      <c r="U758" s="12"/>
      <c r="V758" s="12"/>
      <c r="W758" s="12"/>
      <c r="X758" s="12"/>
      <c r="Y758" s="29"/>
      <c r="Z758" s="29"/>
      <c r="AA758" s="29"/>
      <c r="AB758" s="12"/>
      <c r="AC758" s="12"/>
      <c r="AD758" s="12"/>
      <c r="AE758" s="12"/>
      <c r="AF758" s="12"/>
    </row>
    <row r="759" spans="1:32">
      <c r="A759" s="8"/>
      <c r="B759" s="8"/>
      <c r="C759" s="8"/>
      <c r="D759" s="8"/>
      <c r="E759" s="8"/>
      <c r="F759" s="8"/>
      <c r="G759" s="8"/>
      <c r="H759" s="8"/>
      <c r="I759" s="8"/>
      <c r="J759" s="8"/>
      <c r="K759" s="8"/>
      <c r="L759" s="8"/>
      <c r="M759" s="8"/>
      <c r="N759" s="8"/>
      <c r="O759" s="8"/>
      <c r="P759" s="8"/>
      <c r="Q759" s="8"/>
      <c r="R759" s="8"/>
      <c r="S759" s="8"/>
      <c r="T759" s="8"/>
      <c r="U759" s="12"/>
      <c r="V759" s="12"/>
      <c r="W759" s="12"/>
      <c r="X759" s="12"/>
      <c r="Y759" s="29"/>
      <c r="Z759" s="29"/>
      <c r="AA759" s="29"/>
      <c r="AB759" s="12"/>
      <c r="AC759" s="12"/>
      <c r="AD759" s="12"/>
      <c r="AE759" s="12"/>
      <c r="AF759" s="12"/>
    </row>
    <row r="760" spans="1:32">
      <c r="A760" s="8"/>
      <c r="B760" s="8"/>
      <c r="C760" s="8"/>
      <c r="D760" s="8"/>
      <c r="E760" s="8"/>
      <c r="F760" s="8"/>
      <c r="G760" s="8"/>
      <c r="H760" s="8"/>
      <c r="I760" s="8"/>
      <c r="J760" s="8"/>
      <c r="K760" s="8"/>
      <c r="L760" s="8"/>
      <c r="M760" s="8"/>
      <c r="N760" s="8"/>
      <c r="O760" s="8"/>
      <c r="P760" s="8"/>
      <c r="Q760" s="8"/>
      <c r="R760" s="8"/>
      <c r="S760" s="8"/>
      <c r="T760" s="8"/>
      <c r="U760" s="12"/>
      <c r="V760" s="12"/>
      <c r="W760" s="12"/>
      <c r="X760" s="12"/>
      <c r="Y760" s="29"/>
      <c r="Z760" s="29"/>
      <c r="AA760" s="29"/>
      <c r="AB760" s="12"/>
      <c r="AC760" s="12"/>
      <c r="AD760" s="12"/>
      <c r="AE760" s="12"/>
      <c r="AF760" s="12"/>
    </row>
    <row r="761" spans="1:32">
      <c r="A761" s="8"/>
      <c r="B761" s="8"/>
      <c r="C761" s="8"/>
      <c r="D761" s="8"/>
      <c r="E761" s="8"/>
      <c r="F761" s="8"/>
      <c r="G761" s="8"/>
      <c r="H761" s="8"/>
      <c r="I761" s="8"/>
      <c r="J761" s="8"/>
      <c r="K761" s="8"/>
      <c r="L761" s="8"/>
      <c r="M761" s="8"/>
      <c r="N761" s="8"/>
      <c r="O761" s="8"/>
      <c r="P761" s="8"/>
      <c r="Q761" s="8"/>
      <c r="R761" s="8"/>
      <c r="S761" s="8"/>
      <c r="T761" s="8"/>
      <c r="U761" s="12"/>
      <c r="V761" s="12"/>
      <c r="W761" s="12"/>
      <c r="X761" s="12"/>
      <c r="Y761" s="29"/>
      <c r="Z761" s="29"/>
      <c r="AA761" s="29"/>
      <c r="AB761" s="12"/>
      <c r="AC761" s="12"/>
      <c r="AD761" s="12"/>
      <c r="AE761" s="12"/>
      <c r="AF761" s="12"/>
    </row>
    <row r="762" spans="1:32">
      <c r="A762" s="8"/>
      <c r="B762" s="8"/>
      <c r="C762" s="8"/>
      <c r="D762" s="8"/>
      <c r="E762" s="8"/>
      <c r="F762" s="8"/>
      <c r="G762" s="8"/>
      <c r="H762" s="8"/>
      <c r="I762" s="8"/>
      <c r="J762" s="8"/>
      <c r="K762" s="8"/>
      <c r="L762" s="8"/>
      <c r="M762" s="8"/>
      <c r="N762" s="8"/>
      <c r="O762" s="8"/>
      <c r="P762" s="8"/>
      <c r="Q762" s="8"/>
      <c r="R762" s="8"/>
      <c r="S762" s="8"/>
      <c r="T762" s="8"/>
      <c r="U762" s="12"/>
      <c r="V762" s="12"/>
      <c r="W762" s="12"/>
      <c r="X762" s="12"/>
      <c r="Y762" s="29"/>
      <c r="Z762" s="29"/>
      <c r="AA762" s="29"/>
      <c r="AB762" s="12"/>
      <c r="AC762" s="12"/>
      <c r="AD762" s="12"/>
      <c r="AE762" s="12"/>
      <c r="AF762" s="12"/>
    </row>
    <row r="763" spans="1:32">
      <c r="A763" s="8"/>
      <c r="B763" s="8"/>
      <c r="C763" s="8"/>
      <c r="D763" s="8"/>
      <c r="E763" s="8"/>
      <c r="F763" s="8"/>
      <c r="G763" s="8"/>
      <c r="H763" s="8"/>
      <c r="I763" s="8"/>
      <c r="J763" s="8"/>
      <c r="K763" s="8"/>
      <c r="L763" s="8"/>
      <c r="M763" s="8"/>
      <c r="N763" s="8"/>
      <c r="O763" s="8"/>
      <c r="P763" s="8"/>
      <c r="Q763" s="8"/>
      <c r="R763" s="8"/>
      <c r="S763" s="8"/>
      <c r="T763" s="8"/>
      <c r="U763" s="12"/>
      <c r="V763" s="12"/>
      <c r="W763" s="12"/>
      <c r="X763" s="12"/>
      <c r="Y763" s="29"/>
      <c r="Z763" s="29"/>
      <c r="AA763" s="29"/>
      <c r="AB763" s="12"/>
      <c r="AC763" s="12"/>
      <c r="AD763" s="12"/>
      <c r="AE763" s="12"/>
      <c r="AF763" s="12"/>
    </row>
    <row r="764" spans="1:32">
      <c r="A764" s="8"/>
      <c r="B764" s="8"/>
      <c r="C764" s="8"/>
      <c r="D764" s="8"/>
      <c r="E764" s="8"/>
      <c r="F764" s="8"/>
      <c r="G764" s="8"/>
      <c r="H764" s="8"/>
      <c r="I764" s="8"/>
      <c r="J764" s="8"/>
      <c r="K764" s="8"/>
      <c r="L764" s="8"/>
      <c r="M764" s="8"/>
      <c r="N764" s="8"/>
      <c r="O764" s="8"/>
      <c r="P764" s="8"/>
      <c r="Q764" s="8"/>
      <c r="R764" s="8"/>
      <c r="S764" s="8"/>
      <c r="T764" s="8"/>
      <c r="U764" s="12"/>
      <c r="V764" s="12"/>
      <c r="W764" s="12"/>
      <c r="X764" s="12"/>
      <c r="Y764" s="29"/>
      <c r="Z764" s="29"/>
      <c r="AA764" s="29"/>
      <c r="AB764" s="12"/>
      <c r="AC764" s="12"/>
      <c r="AD764" s="12"/>
      <c r="AE764" s="12"/>
      <c r="AF764" s="12"/>
    </row>
    <row r="765" spans="1:32">
      <c r="A765" s="8"/>
      <c r="B765" s="8"/>
      <c r="C765" s="8"/>
      <c r="D765" s="8"/>
      <c r="E765" s="8"/>
      <c r="F765" s="8"/>
      <c r="G765" s="8"/>
      <c r="H765" s="8"/>
      <c r="I765" s="8"/>
      <c r="J765" s="8"/>
      <c r="K765" s="8"/>
      <c r="L765" s="8"/>
      <c r="M765" s="8"/>
      <c r="N765" s="8"/>
      <c r="O765" s="8"/>
      <c r="P765" s="8"/>
      <c r="Q765" s="8"/>
      <c r="R765" s="8"/>
      <c r="S765" s="8"/>
      <c r="T765" s="8"/>
      <c r="U765" s="12"/>
      <c r="V765" s="12"/>
      <c r="W765" s="12"/>
      <c r="X765" s="12"/>
      <c r="Y765" s="29"/>
      <c r="Z765" s="29"/>
      <c r="AA765" s="29"/>
      <c r="AB765" s="12"/>
      <c r="AC765" s="12"/>
      <c r="AD765" s="12"/>
      <c r="AE765" s="12"/>
      <c r="AF765" s="12"/>
    </row>
    <row r="766" spans="1:32">
      <c r="A766" s="8"/>
      <c r="B766" s="8"/>
      <c r="C766" s="8"/>
      <c r="D766" s="8"/>
      <c r="E766" s="8"/>
      <c r="F766" s="8"/>
      <c r="G766" s="8"/>
      <c r="H766" s="8"/>
      <c r="I766" s="8"/>
      <c r="J766" s="8"/>
      <c r="K766" s="8"/>
      <c r="L766" s="8"/>
      <c r="M766" s="8"/>
      <c r="N766" s="8"/>
      <c r="O766" s="8"/>
      <c r="P766" s="8"/>
      <c r="Q766" s="8"/>
      <c r="R766" s="8"/>
      <c r="S766" s="8"/>
      <c r="T766" s="8"/>
      <c r="U766" s="12"/>
      <c r="V766" s="12"/>
      <c r="W766" s="12"/>
      <c r="X766" s="12"/>
      <c r="Y766" s="29"/>
      <c r="Z766" s="29"/>
      <c r="AA766" s="29"/>
      <c r="AB766" s="12"/>
      <c r="AC766" s="12"/>
      <c r="AD766" s="12"/>
      <c r="AE766" s="12"/>
      <c r="AF766" s="12"/>
    </row>
    <row r="767" spans="1:32">
      <c r="A767" s="8"/>
      <c r="B767" s="8"/>
      <c r="C767" s="8"/>
      <c r="D767" s="8"/>
      <c r="E767" s="8"/>
      <c r="F767" s="8"/>
      <c r="G767" s="8"/>
      <c r="H767" s="8"/>
      <c r="I767" s="8"/>
      <c r="J767" s="8"/>
      <c r="K767" s="8"/>
      <c r="L767" s="8"/>
      <c r="M767" s="8"/>
      <c r="N767" s="8"/>
      <c r="O767" s="8"/>
      <c r="P767" s="8"/>
      <c r="Q767" s="8"/>
      <c r="R767" s="8"/>
      <c r="S767" s="8"/>
      <c r="T767" s="8"/>
      <c r="U767" s="12"/>
      <c r="V767" s="12"/>
      <c r="W767" s="12"/>
      <c r="X767" s="12"/>
      <c r="Y767" s="29"/>
      <c r="Z767" s="29"/>
      <c r="AA767" s="29"/>
      <c r="AB767" s="12"/>
      <c r="AC767" s="12"/>
      <c r="AD767" s="12"/>
      <c r="AE767" s="12"/>
      <c r="AF767" s="12"/>
    </row>
    <row r="768" spans="1:32">
      <c r="A768" s="8"/>
      <c r="B768" s="8"/>
      <c r="C768" s="8"/>
      <c r="D768" s="8"/>
      <c r="E768" s="8"/>
      <c r="F768" s="8"/>
      <c r="G768" s="8"/>
      <c r="H768" s="8"/>
      <c r="I768" s="8"/>
      <c r="J768" s="8"/>
      <c r="K768" s="8"/>
      <c r="L768" s="8"/>
      <c r="M768" s="8"/>
      <c r="N768" s="8"/>
      <c r="O768" s="8"/>
      <c r="P768" s="8"/>
      <c r="Q768" s="8"/>
      <c r="R768" s="8"/>
      <c r="S768" s="8"/>
      <c r="T768" s="8"/>
      <c r="U768" s="12"/>
      <c r="V768" s="12"/>
      <c r="W768" s="12"/>
      <c r="X768" s="12"/>
      <c r="Y768" s="29"/>
      <c r="Z768" s="29"/>
      <c r="AA768" s="29"/>
      <c r="AB768" s="12"/>
      <c r="AC768" s="12"/>
      <c r="AD768" s="12"/>
      <c r="AE768" s="12"/>
      <c r="AF768" s="12"/>
    </row>
    <row r="769" spans="1:32">
      <c r="A769" s="8"/>
      <c r="B769" s="8"/>
      <c r="C769" s="8"/>
      <c r="D769" s="8"/>
      <c r="E769" s="8"/>
      <c r="F769" s="8"/>
      <c r="G769" s="8"/>
      <c r="H769" s="8"/>
      <c r="I769" s="8"/>
      <c r="J769" s="8"/>
      <c r="K769" s="8"/>
      <c r="L769" s="8"/>
      <c r="M769" s="8"/>
      <c r="N769" s="8"/>
      <c r="O769" s="8"/>
      <c r="P769" s="8"/>
      <c r="Q769" s="8"/>
      <c r="R769" s="8"/>
      <c r="S769" s="8"/>
      <c r="T769" s="8"/>
      <c r="U769" s="12"/>
      <c r="V769" s="12"/>
      <c r="W769" s="12"/>
      <c r="X769" s="12"/>
      <c r="Y769" s="29"/>
      <c r="Z769" s="29"/>
      <c r="AA769" s="29"/>
      <c r="AB769" s="12"/>
      <c r="AC769" s="12"/>
      <c r="AD769" s="12"/>
      <c r="AE769" s="12"/>
      <c r="AF769" s="12"/>
    </row>
    <row r="770" spans="1:32">
      <c r="A770" s="8"/>
      <c r="B770" s="8"/>
      <c r="C770" s="8"/>
      <c r="D770" s="8"/>
      <c r="E770" s="8"/>
      <c r="F770" s="8"/>
      <c r="G770" s="8"/>
      <c r="H770" s="8"/>
      <c r="I770" s="8"/>
      <c r="J770" s="8"/>
      <c r="K770" s="8"/>
      <c r="L770" s="8"/>
      <c r="M770" s="8"/>
      <c r="N770" s="8"/>
      <c r="O770" s="8"/>
      <c r="P770" s="8"/>
      <c r="Q770" s="8"/>
      <c r="R770" s="8"/>
      <c r="S770" s="8"/>
      <c r="T770" s="8"/>
      <c r="U770" s="12"/>
      <c r="V770" s="12"/>
      <c r="W770" s="12"/>
      <c r="X770" s="12"/>
      <c r="Y770" s="29"/>
      <c r="Z770" s="29"/>
      <c r="AA770" s="29"/>
      <c r="AB770" s="12"/>
      <c r="AC770" s="12"/>
      <c r="AD770" s="12"/>
      <c r="AE770" s="12"/>
      <c r="AF770" s="12"/>
    </row>
    <row r="771" spans="1:32">
      <c r="A771" s="8"/>
      <c r="B771" s="8"/>
      <c r="C771" s="8"/>
      <c r="D771" s="8"/>
      <c r="E771" s="8"/>
      <c r="F771" s="8"/>
      <c r="G771" s="8"/>
      <c r="H771" s="8"/>
      <c r="I771" s="8"/>
      <c r="J771" s="8"/>
      <c r="K771" s="8"/>
      <c r="L771" s="8"/>
      <c r="M771" s="8"/>
      <c r="N771" s="8"/>
      <c r="O771" s="8"/>
      <c r="P771" s="8"/>
      <c r="Q771" s="8"/>
      <c r="R771" s="8"/>
      <c r="S771" s="8"/>
      <c r="T771" s="8"/>
      <c r="U771" s="12"/>
      <c r="V771" s="12"/>
      <c r="W771" s="12"/>
      <c r="X771" s="12"/>
      <c r="Y771" s="29"/>
      <c r="Z771" s="29"/>
      <c r="AA771" s="29"/>
      <c r="AB771" s="12"/>
      <c r="AC771" s="12"/>
      <c r="AD771" s="12"/>
      <c r="AE771" s="12"/>
      <c r="AF771" s="12"/>
    </row>
    <row r="772" spans="1:32">
      <c r="A772" s="8"/>
      <c r="B772" s="8"/>
      <c r="C772" s="8"/>
      <c r="D772" s="8"/>
      <c r="E772" s="8"/>
      <c r="F772" s="8"/>
      <c r="G772" s="8"/>
      <c r="H772" s="8"/>
      <c r="I772" s="8"/>
      <c r="J772" s="8"/>
      <c r="K772" s="8"/>
      <c r="L772" s="8"/>
      <c r="M772" s="8"/>
      <c r="N772" s="8"/>
      <c r="O772" s="8"/>
      <c r="P772" s="8"/>
      <c r="Q772" s="8"/>
      <c r="R772" s="8"/>
      <c r="S772" s="8"/>
      <c r="T772" s="8"/>
      <c r="U772" s="12"/>
      <c r="V772" s="12"/>
      <c r="W772" s="12"/>
      <c r="X772" s="12"/>
      <c r="Y772" s="29"/>
      <c r="Z772" s="29"/>
      <c r="AA772" s="29"/>
      <c r="AB772" s="12"/>
      <c r="AC772" s="12"/>
      <c r="AD772" s="12"/>
      <c r="AE772" s="12"/>
      <c r="AF772" s="12"/>
    </row>
    <row r="773" spans="1:32">
      <c r="A773" s="8"/>
      <c r="B773" s="8"/>
      <c r="C773" s="8"/>
      <c r="D773" s="8"/>
      <c r="E773" s="8"/>
      <c r="F773" s="8"/>
      <c r="G773" s="8"/>
      <c r="H773" s="8"/>
      <c r="I773" s="8"/>
      <c r="J773" s="8"/>
      <c r="K773" s="8"/>
      <c r="L773" s="8"/>
      <c r="M773" s="8"/>
      <c r="N773" s="8"/>
      <c r="O773" s="8"/>
      <c r="P773" s="8"/>
      <c r="Q773" s="8"/>
      <c r="R773" s="8"/>
      <c r="S773" s="8"/>
      <c r="T773" s="8"/>
      <c r="U773" s="12"/>
      <c r="V773" s="12"/>
      <c r="W773" s="12"/>
      <c r="X773" s="12"/>
      <c r="Y773" s="29"/>
      <c r="Z773" s="29"/>
      <c r="AA773" s="29"/>
      <c r="AB773" s="12"/>
      <c r="AC773" s="12"/>
      <c r="AD773" s="12"/>
      <c r="AE773" s="12"/>
      <c r="AF773" s="12"/>
    </row>
    <row r="774" spans="1:32">
      <c r="A774" s="8"/>
      <c r="B774" s="8"/>
      <c r="C774" s="8"/>
      <c r="D774" s="8"/>
      <c r="E774" s="8"/>
      <c r="F774" s="8"/>
      <c r="G774" s="8"/>
      <c r="H774" s="8"/>
      <c r="I774" s="8"/>
      <c r="J774" s="8"/>
      <c r="K774" s="8"/>
      <c r="L774" s="8"/>
      <c r="M774" s="8"/>
      <c r="N774" s="8"/>
      <c r="O774" s="8"/>
      <c r="P774" s="8"/>
      <c r="Q774" s="8"/>
      <c r="R774" s="8"/>
      <c r="S774" s="8"/>
      <c r="T774" s="8"/>
      <c r="U774" s="12"/>
      <c r="V774" s="12"/>
      <c r="W774" s="12"/>
      <c r="X774" s="12"/>
      <c r="Y774" s="29"/>
      <c r="Z774" s="29"/>
      <c r="AA774" s="29"/>
      <c r="AB774" s="12"/>
      <c r="AC774" s="12"/>
      <c r="AD774" s="12"/>
      <c r="AE774" s="12"/>
      <c r="AF774" s="12"/>
    </row>
    <row r="775" spans="1:32">
      <c r="A775" s="8"/>
      <c r="B775" s="8"/>
      <c r="C775" s="8"/>
      <c r="D775" s="8"/>
      <c r="E775" s="8"/>
      <c r="F775" s="8"/>
      <c r="G775" s="8"/>
      <c r="H775" s="8"/>
      <c r="I775" s="8"/>
      <c r="J775" s="8"/>
      <c r="K775" s="8"/>
      <c r="L775" s="8"/>
      <c r="M775" s="8"/>
      <c r="N775" s="8"/>
      <c r="O775" s="8"/>
      <c r="P775" s="8"/>
      <c r="Q775" s="8"/>
      <c r="R775" s="8"/>
      <c r="S775" s="8"/>
      <c r="T775" s="8"/>
      <c r="U775" s="12"/>
      <c r="V775" s="12"/>
      <c r="W775" s="12"/>
      <c r="X775" s="12"/>
      <c r="Y775" s="29"/>
      <c r="Z775" s="29"/>
      <c r="AA775" s="29"/>
      <c r="AB775" s="12"/>
      <c r="AC775" s="12"/>
      <c r="AD775" s="12"/>
      <c r="AE775" s="12"/>
      <c r="AF775" s="12"/>
    </row>
    <row r="776" spans="1:32">
      <c r="A776" s="8"/>
      <c r="B776" s="8"/>
      <c r="C776" s="8"/>
      <c r="D776" s="8"/>
      <c r="E776" s="8"/>
      <c r="F776" s="8"/>
      <c r="G776" s="8"/>
      <c r="H776" s="8"/>
      <c r="I776" s="8"/>
      <c r="J776" s="8"/>
      <c r="K776" s="8"/>
      <c r="L776" s="8"/>
      <c r="M776" s="8"/>
      <c r="N776" s="8"/>
      <c r="O776" s="8"/>
      <c r="P776" s="8"/>
      <c r="Q776" s="8"/>
      <c r="R776" s="8"/>
      <c r="S776" s="8"/>
      <c r="T776" s="8"/>
      <c r="U776" s="12"/>
      <c r="V776" s="12"/>
      <c r="W776" s="12"/>
      <c r="X776" s="12"/>
      <c r="Y776" s="29"/>
      <c r="Z776" s="29"/>
      <c r="AA776" s="29"/>
      <c r="AB776" s="12"/>
      <c r="AC776" s="12"/>
      <c r="AD776" s="12"/>
      <c r="AE776" s="12"/>
      <c r="AF776" s="12"/>
    </row>
    <row r="777" spans="1:32">
      <c r="A777" s="8"/>
      <c r="B777" s="8"/>
      <c r="C777" s="8"/>
      <c r="D777" s="8"/>
      <c r="E777" s="8"/>
      <c r="F777" s="8"/>
      <c r="G777" s="8"/>
      <c r="H777" s="8"/>
      <c r="I777" s="8"/>
      <c r="J777" s="8"/>
      <c r="K777" s="8"/>
      <c r="L777" s="8"/>
      <c r="M777" s="8"/>
      <c r="N777" s="8"/>
      <c r="O777" s="8"/>
      <c r="P777" s="8"/>
      <c r="Q777" s="8"/>
      <c r="R777" s="8"/>
      <c r="S777" s="8"/>
      <c r="T777" s="8"/>
      <c r="U777" s="12"/>
      <c r="V777" s="12"/>
      <c r="W777" s="12"/>
      <c r="X777" s="12"/>
      <c r="Y777" s="29"/>
      <c r="Z777" s="29"/>
      <c r="AA777" s="29"/>
      <c r="AB777" s="12"/>
      <c r="AC777" s="12"/>
      <c r="AD777" s="12"/>
      <c r="AE777" s="12"/>
      <c r="AF777" s="12"/>
    </row>
    <row r="778" spans="1:32">
      <c r="A778" s="8"/>
      <c r="B778" s="8"/>
      <c r="C778" s="8"/>
      <c r="D778" s="8"/>
      <c r="E778" s="8"/>
      <c r="F778" s="8"/>
      <c r="G778" s="8"/>
      <c r="H778" s="8"/>
      <c r="I778" s="8"/>
      <c r="J778" s="8"/>
      <c r="K778" s="8"/>
      <c r="L778" s="8"/>
      <c r="M778" s="8"/>
      <c r="N778" s="8"/>
      <c r="O778" s="8"/>
      <c r="P778" s="8"/>
      <c r="Q778" s="8"/>
      <c r="R778" s="8"/>
      <c r="S778" s="8"/>
      <c r="T778" s="8"/>
      <c r="U778" s="12"/>
      <c r="V778" s="12"/>
      <c r="W778" s="12"/>
      <c r="X778" s="12"/>
      <c r="Y778" s="29"/>
      <c r="Z778" s="29"/>
      <c r="AA778" s="29"/>
      <c r="AB778" s="12"/>
      <c r="AC778" s="12"/>
      <c r="AD778" s="12"/>
      <c r="AE778" s="12"/>
      <c r="AF778" s="12"/>
    </row>
    <row r="779" spans="1:32">
      <c r="A779" s="8"/>
      <c r="B779" s="8"/>
      <c r="C779" s="8"/>
      <c r="D779" s="8"/>
      <c r="E779" s="8"/>
      <c r="F779" s="8"/>
      <c r="G779" s="8"/>
      <c r="H779" s="8"/>
      <c r="I779" s="8"/>
      <c r="J779" s="8"/>
      <c r="K779" s="8"/>
      <c r="L779" s="8"/>
      <c r="M779" s="8"/>
      <c r="N779" s="8"/>
      <c r="O779" s="8"/>
      <c r="P779" s="8"/>
      <c r="Q779" s="8"/>
      <c r="R779" s="8"/>
      <c r="S779" s="8"/>
      <c r="T779" s="8"/>
      <c r="U779" s="12"/>
      <c r="V779" s="12"/>
      <c r="W779" s="12"/>
      <c r="X779" s="12"/>
      <c r="Y779" s="29"/>
      <c r="Z779" s="29"/>
      <c r="AA779" s="29"/>
      <c r="AB779" s="12"/>
      <c r="AC779" s="12"/>
      <c r="AD779" s="12"/>
      <c r="AE779" s="12"/>
      <c r="AF779" s="12"/>
    </row>
    <row r="780" spans="1:32">
      <c r="A780" s="8"/>
      <c r="B780" s="8"/>
      <c r="C780" s="8"/>
      <c r="D780" s="8"/>
      <c r="E780" s="8"/>
      <c r="F780" s="8"/>
      <c r="G780" s="8"/>
      <c r="H780" s="8"/>
      <c r="I780" s="8"/>
      <c r="J780" s="8"/>
      <c r="K780" s="8"/>
      <c r="L780" s="8"/>
      <c r="M780" s="8"/>
      <c r="N780" s="8"/>
      <c r="O780" s="8"/>
      <c r="P780" s="8"/>
      <c r="Q780" s="8"/>
      <c r="R780" s="8"/>
      <c r="S780" s="8"/>
      <c r="T780" s="8"/>
      <c r="U780" s="12"/>
      <c r="V780" s="12"/>
      <c r="W780" s="12"/>
      <c r="X780" s="12"/>
      <c r="Y780" s="29"/>
      <c r="Z780" s="29"/>
      <c r="AA780" s="29"/>
      <c r="AB780" s="12"/>
      <c r="AC780" s="12"/>
      <c r="AD780" s="12"/>
      <c r="AE780" s="12"/>
      <c r="AF780" s="12"/>
    </row>
    <row r="781" spans="1:32">
      <c r="A781" s="8"/>
      <c r="B781" s="8"/>
      <c r="C781" s="8"/>
      <c r="D781" s="8"/>
      <c r="E781" s="8"/>
      <c r="F781" s="8"/>
      <c r="G781" s="8"/>
      <c r="H781" s="8"/>
      <c r="I781" s="8"/>
      <c r="J781" s="8"/>
      <c r="K781" s="8"/>
      <c r="L781" s="8"/>
      <c r="M781" s="8"/>
      <c r="N781" s="8"/>
      <c r="O781" s="8"/>
      <c r="P781" s="8"/>
      <c r="Q781" s="8"/>
      <c r="R781" s="8"/>
      <c r="S781" s="8"/>
      <c r="T781" s="8"/>
      <c r="U781" s="12"/>
      <c r="V781" s="12"/>
      <c r="W781" s="12"/>
      <c r="X781" s="12"/>
      <c r="Y781" s="29"/>
      <c r="Z781" s="29"/>
      <c r="AA781" s="29"/>
      <c r="AB781" s="12"/>
      <c r="AC781" s="12"/>
      <c r="AD781" s="12"/>
      <c r="AE781" s="12"/>
      <c r="AF781" s="12"/>
    </row>
    <row r="782" spans="1:32">
      <c r="A782" s="8"/>
      <c r="B782" s="8"/>
      <c r="C782" s="8"/>
      <c r="D782" s="8"/>
      <c r="E782" s="8"/>
      <c r="F782" s="8"/>
      <c r="G782" s="8"/>
      <c r="H782" s="8"/>
      <c r="I782" s="8"/>
      <c r="J782" s="8"/>
      <c r="K782" s="8"/>
      <c r="L782" s="8"/>
      <c r="M782" s="8"/>
      <c r="N782" s="8"/>
      <c r="O782" s="8"/>
      <c r="P782" s="8"/>
      <c r="Q782" s="8"/>
      <c r="R782" s="8"/>
      <c r="S782" s="8"/>
      <c r="T782" s="8"/>
      <c r="U782" s="12"/>
      <c r="V782" s="12"/>
      <c r="W782" s="12"/>
      <c r="X782" s="12"/>
      <c r="Y782" s="29"/>
      <c r="Z782" s="29"/>
      <c r="AA782" s="29"/>
      <c r="AB782" s="12"/>
      <c r="AC782" s="12"/>
      <c r="AD782" s="12"/>
      <c r="AE782" s="12"/>
      <c r="AF782" s="12"/>
    </row>
    <row r="783" spans="1:32">
      <c r="A783" s="8"/>
      <c r="B783" s="8"/>
      <c r="C783" s="8"/>
      <c r="D783" s="8"/>
      <c r="E783" s="8"/>
      <c r="F783" s="8"/>
      <c r="G783" s="8"/>
      <c r="H783" s="8"/>
      <c r="I783" s="8"/>
      <c r="J783" s="8"/>
      <c r="K783" s="8"/>
      <c r="L783" s="8"/>
      <c r="M783" s="8"/>
      <c r="N783" s="8"/>
      <c r="O783" s="8"/>
      <c r="P783" s="8"/>
      <c r="Q783" s="8"/>
      <c r="R783" s="8"/>
      <c r="S783" s="8"/>
      <c r="T783" s="8"/>
      <c r="U783" s="12"/>
      <c r="V783" s="12"/>
      <c r="W783" s="12"/>
      <c r="X783" s="12"/>
      <c r="Y783" s="29"/>
      <c r="Z783" s="29"/>
      <c r="AA783" s="29"/>
      <c r="AB783" s="12"/>
      <c r="AC783" s="12"/>
      <c r="AD783" s="12"/>
      <c r="AE783" s="12"/>
      <c r="AF783" s="12"/>
    </row>
    <row r="784" spans="1:32">
      <c r="A784" s="8"/>
      <c r="B784" s="8"/>
      <c r="C784" s="8"/>
      <c r="D784" s="8"/>
      <c r="E784" s="8"/>
      <c r="F784" s="8"/>
      <c r="G784" s="8"/>
      <c r="H784" s="8"/>
      <c r="I784" s="8"/>
      <c r="J784" s="8"/>
      <c r="K784" s="8"/>
      <c r="L784" s="8"/>
      <c r="M784" s="8"/>
      <c r="N784" s="8"/>
      <c r="O784" s="8"/>
      <c r="P784" s="8"/>
      <c r="Q784" s="8"/>
      <c r="R784" s="8"/>
      <c r="S784" s="8"/>
      <c r="T784" s="8"/>
      <c r="U784" s="12"/>
      <c r="V784" s="12"/>
      <c r="W784" s="12"/>
      <c r="X784" s="12"/>
      <c r="Y784" s="29"/>
      <c r="Z784" s="29"/>
      <c r="AA784" s="29"/>
      <c r="AB784" s="12"/>
      <c r="AC784" s="12"/>
      <c r="AD784" s="12"/>
      <c r="AE784" s="12"/>
      <c r="AF784" s="12"/>
    </row>
    <row r="785" spans="1:32">
      <c r="A785" s="8"/>
      <c r="B785" s="8"/>
      <c r="C785" s="8"/>
      <c r="D785" s="8"/>
      <c r="E785" s="8"/>
      <c r="F785" s="8"/>
      <c r="G785" s="8"/>
      <c r="H785" s="8"/>
      <c r="I785" s="8"/>
      <c r="J785" s="8"/>
      <c r="K785" s="8"/>
      <c r="L785" s="8"/>
      <c r="M785" s="8"/>
      <c r="N785" s="8"/>
      <c r="O785" s="8"/>
      <c r="P785" s="8"/>
      <c r="Q785" s="8"/>
      <c r="R785" s="8"/>
      <c r="S785" s="8"/>
      <c r="T785" s="8"/>
      <c r="U785" s="12"/>
      <c r="V785" s="12"/>
      <c r="W785" s="12"/>
      <c r="X785" s="12"/>
      <c r="Y785" s="29"/>
      <c r="Z785" s="29"/>
      <c r="AA785" s="29"/>
      <c r="AB785" s="12"/>
      <c r="AC785" s="12"/>
      <c r="AD785" s="12"/>
      <c r="AE785" s="12"/>
      <c r="AF785" s="12"/>
    </row>
    <row r="786" spans="1:32">
      <c r="A786" s="8"/>
      <c r="B786" s="8"/>
      <c r="C786" s="8"/>
      <c r="D786" s="8"/>
      <c r="E786" s="8"/>
      <c r="F786" s="8"/>
      <c r="G786" s="8"/>
      <c r="H786" s="8"/>
      <c r="I786" s="8"/>
      <c r="J786" s="8"/>
      <c r="K786" s="8"/>
      <c r="L786" s="8"/>
      <c r="M786" s="8"/>
      <c r="N786" s="8"/>
      <c r="O786" s="8"/>
      <c r="P786" s="8"/>
      <c r="Q786" s="8"/>
      <c r="R786" s="8"/>
      <c r="S786" s="8"/>
      <c r="T786" s="8"/>
      <c r="U786" s="12"/>
      <c r="V786" s="12"/>
      <c r="W786" s="12"/>
      <c r="X786" s="12"/>
      <c r="Y786" s="29"/>
      <c r="Z786" s="29"/>
      <c r="AA786" s="29"/>
      <c r="AB786" s="12"/>
      <c r="AC786" s="12"/>
      <c r="AD786" s="12"/>
      <c r="AE786" s="12"/>
      <c r="AF786" s="12"/>
    </row>
    <row r="787" spans="1:32">
      <c r="A787" s="8"/>
      <c r="B787" s="8"/>
      <c r="C787" s="8"/>
      <c r="D787" s="8"/>
      <c r="E787" s="8"/>
      <c r="F787" s="8"/>
      <c r="G787" s="8"/>
      <c r="H787" s="8"/>
      <c r="I787" s="8"/>
      <c r="J787" s="8"/>
      <c r="K787" s="8"/>
      <c r="L787" s="8"/>
      <c r="M787" s="8"/>
      <c r="N787" s="8"/>
      <c r="O787" s="8"/>
      <c r="P787" s="8"/>
      <c r="Q787" s="8"/>
      <c r="R787" s="8"/>
      <c r="S787" s="8"/>
      <c r="T787" s="8"/>
      <c r="U787" s="12"/>
      <c r="V787" s="12"/>
      <c r="W787" s="12"/>
      <c r="X787" s="12"/>
      <c r="Y787" s="29"/>
      <c r="Z787" s="29"/>
      <c r="AA787" s="29"/>
      <c r="AB787" s="12"/>
      <c r="AC787" s="12"/>
      <c r="AD787" s="12"/>
      <c r="AE787" s="12"/>
      <c r="AF787" s="12"/>
    </row>
    <row r="788" spans="1:32">
      <c r="A788" s="8"/>
      <c r="B788" s="8"/>
      <c r="C788" s="8"/>
      <c r="D788" s="8"/>
      <c r="E788" s="8"/>
      <c r="F788" s="8"/>
      <c r="G788" s="8"/>
      <c r="H788" s="8"/>
      <c r="I788" s="8"/>
      <c r="J788" s="8"/>
      <c r="K788" s="8"/>
      <c r="L788" s="8"/>
      <c r="M788" s="8"/>
      <c r="N788" s="8"/>
      <c r="O788" s="8"/>
      <c r="P788" s="8"/>
      <c r="Q788" s="8"/>
      <c r="R788" s="8"/>
      <c r="S788" s="8"/>
      <c r="T788" s="8"/>
      <c r="U788" s="12"/>
      <c r="V788" s="12"/>
      <c r="W788" s="12"/>
      <c r="X788" s="12"/>
      <c r="Y788" s="29"/>
      <c r="Z788" s="29"/>
      <c r="AA788" s="29"/>
      <c r="AB788" s="12"/>
      <c r="AC788" s="12"/>
      <c r="AD788" s="12"/>
      <c r="AE788" s="12"/>
      <c r="AF788" s="12"/>
    </row>
    <row r="789" spans="1:32">
      <c r="A789" s="8"/>
      <c r="B789" s="8"/>
      <c r="C789" s="8"/>
      <c r="D789" s="8"/>
      <c r="E789" s="8"/>
      <c r="F789" s="8"/>
      <c r="G789" s="8"/>
      <c r="H789" s="8"/>
      <c r="I789" s="8"/>
      <c r="J789" s="8"/>
      <c r="K789" s="8"/>
      <c r="L789" s="8"/>
      <c r="M789" s="8"/>
      <c r="N789" s="8"/>
      <c r="O789" s="8"/>
      <c r="P789" s="8"/>
      <c r="Q789" s="8"/>
      <c r="R789" s="8"/>
      <c r="S789" s="8"/>
      <c r="T789" s="8"/>
      <c r="U789" s="12"/>
      <c r="V789" s="12"/>
      <c r="W789" s="12"/>
      <c r="X789" s="12"/>
      <c r="Y789" s="29"/>
      <c r="Z789" s="29"/>
      <c r="AA789" s="29"/>
      <c r="AB789" s="12"/>
      <c r="AC789" s="12"/>
      <c r="AD789" s="12"/>
      <c r="AE789" s="12"/>
      <c r="AF789" s="12"/>
    </row>
    <row r="790" spans="1:32">
      <c r="A790" s="8"/>
      <c r="B790" s="8"/>
      <c r="C790" s="8"/>
      <c r="D790" s="8"/>
      <c r="E790" s="8"/>
      <c r="F790" s="8"/>
      <c r="G790" s="8"/>
      <c r="H790" s="8"/>
      <c r="I790" s="8"/>
      <c r="J790" s="8"/>
      <c r="K790" s="8"/>
      <c r="L790" s="8"/>
      <c r="M790" s="8"/>
      <c r="N790" s="8"/>
      <c r="O790" s="8"/>
      <c r="P790" s="8"/>
      <c r="Q790" s="8"/>
      <c r="R790" s="8"/>
      <c r="S790" s="8"/>
      <c r="T790" s="8"/>
      <c r="U790" s="12"/>
      <c r="V790" s="12"/>
      <c r="W790" s="12"/>
      <c r="X790" s="12"/>
      <c r="Y790" s="29"/>
      <c r="Z790" s="29"/>
      <c r="AA790" s="29"/>
      <c r="AB790" s="12"/>
      <c r="AC790" s="12"/>
      <c r="AD790" s="12"/>
      <c r="AE790" s="12"/>
      <c r="AF790" s="12"/>
    </row>
    <row r="791" spans="1:32">
      <c r="A791" s="8"/>
      <c r="B791" s="8"/>
      <c r="C791" s="8"/>
      <c r="D791" s="8"/>
      <c r="E791" s="8"/>
      <c r="F791" s="8"/>
      <c r="G791" s="8"/>
      <c r="H791" s="8"/>
      <c r="I791" s="8"/>
      <c r="J791" s="8"/>
      <c r="K791" s="8"/>
      <c r="L791" s="8"/>
      <c r="M791" s="8"/>
      <c r="N791" s="8"/>
      <c r="O791" s="8"/>
      <c r="P791" s="8"/>
      <c r="Q791" s="8"/>
      <c r="R791" s="8"/>
      <c r="S791" s="8"/>
      <c r="T791" s="8"/>
      <c r="U791" s="12"/>
      <c r="V791" s="12"/>
      <c r="W791" s="12"/>
      <c r="X791" s="12"/>
      <c r="Y791" s="29"/>
      <c r="Z791" s="29"/>
      <c r="AA791" s="29"/>
      <c r="AB791" s="12"/>
      <c r="AC791" s="12"/>
      <c r="AD791" s="12"/>
      <c r="AE791" s="12"/>
      <c r="AF791" s="12"/>
    </row>
    <row r="792" spans="1:32">
      <c r="A792" s="8"/>
      <c r="B792" s="8"/>
      <c r="C792" s="8"/>
      <c r="D792" s="8"/>
      <c r="E792" s="8"/>
      <c r="F792" s="8"/>
      <c r="G792" s="8"/>
      <c r="H792" s="8"/>
      <c r="I792" s="8"/>
      <c r="J792" s="8"/>
      <c r="K792" s="8"/>
      <c r="L792" s="8"/>
      <c r="M792" s="8"/>
      <c r="N792" s="8"/>
      <c r="O792" s="8"/>
      <c r="P792" s="8"/>
      <c r="Q792" s="8"/>
      <c r="R792" s="8"/>
      <c r="S792" s="8"/>
      <c r="T792" s="8"/>
      <c r="U792" s="12"/>
      <c r="V792" s="12"/>
      <c r="W792" s="12"/>
      <c r="X792" s="12"/>
      <c r="Y792" s="29"/>
      <c r="Z792" s="29"/>
      <c r="AA792" s="29"/>
      <c r="AB792" s="12"/>
      <c r="AC792" s="12"/>
      <c r="AD792" s="12"/>
      <c r="AE792" s="12"/>
      <c r="AF792" s="12"/>
    </row>
    <row r="793" spans="1:32">
      <c r="A793" s="8"/>
      <c r="B793" s="8"/>
      <c r="C793" s="8"/>
      <c r="D793" s="8"/>
      <c r="E793" s="8"/>
      <c r="F793" s="8"/>
      <c r="G793" s="8"/>
      <c r="H793" s="8"/>
      <c r="I793" s="8"/>
      <c r="J793" s="8"/>
      <c r="K793" s="8"/>
      <c r="L793" s="8"/>
      <c r="M793" s="8"/>
      <c r="N793" s="8"/>
      <c r="O793" s="8"/>
      <c r="P793" s="8"/>
      <c r="Q793" s="8"/>
      <c r="R793" s="8"/>
      <c r="S793" s="8"/>
      <c r="T793" s="8"/>
      <c r="U793" s="12"/>
      <c r="V793" s="12"/>
      <c r="W793" s="12"/>
      <c r="X793" s="12"/>
      <c r="Y793" s="29"/>
      <c r="Z793" s="29"/>
      <c r="AA793" s="29"/>
      <c r="AB793" s="12"/>
      <c r="AC793" s="12"/>
      <c r="AD793" s="12"/>
      <c r="AE793" s="12"/>
      <c r="AF793" s="12"/>
    </row>
    <row r="794" spans="1:32">
      <c r="A794" s="8"/>
      <c r="B794" s="8"/>
      <c r="C794" s="8"/>
      <c r="D794" s="8"/>
      <c r="E794" s="8"/>
      <c r="F794" s="8"/>
      <c r="G794" s="8"/>
      <c r="H794" s="8"/>
      <c r="I794" s="8"/>
      <c r="J794" s="8"/>
      <c r="K794" s="8"/>
      <c r="L794" s="8"/>
      <c r="M794" s="8"/>
      <c r="N794" s="8"/>
      <c r="O794" s="8"/>
      <c r="P794" s="8"/>
      <c r="Q794" s="8"/>
      <c r="R794" s="8"/>
      <c r="S794" s="8"/>
      <c r="T794" s="8"/>
      <c r="U794" s="12"/>
      <c r="V794" s="12"/>
      <c r="W794" s="12"/>
      <c r="X794" s="12"/>
      <c r="Y794" s="29"/>
      <c r="Z794" s="29"/>
      <c r="AA794" s="29"/>
      <c r="AB794" s="12"/>
      <c r="AC794" s="12"/>
      <c r="AD794" s="12"/>
      <c r="AE794" s="12"/>
      <c r="AF794" s="12"/>
    </row>
    <row r="795" spans="1:32">
      <c r="A795" s="8"/>
      <c r="B795" s="8"/>
      <c r="C795" s="8"/>
      <c r="D795" s="8"/>
      <c r="E795" s="8"/>
      <c r="F795" s="8"/>
      <c r="G795" s="8"/>
      <c r="H795" s="8"/>
      <c r="I795" s="8"/>
      <c r="J795" s="8"/>
      <c r="K795" s="8"/>
      <c r="L795" s="8"/>
      <c r="M795" s="8"/>
      <c r="N795" s="8"/>
      <c r="O795" s="8"/>
      <c r="P795" s="8"/>
      <c r="Q795" s="8"/>
      <c r="R795" s="8"/>
      <c r="S795" s="8"/>
      <c r="T795" s="8"/>
      <c r="U795" s="12"/>
      <c r="V795" s="12"/>
      <c r="W795" s="12"/>
      <c r="X795" s="12"/>
      <c r="Y795" s="29"/>
      <c r="Z795" s="29"/>
      <c r="AA795" s="29"/>
      <c r="AB795" s="12"/>
      <c r="AC795" s="12"/>
      <c r="AD795" s="12"/>
      <c r="AE795" s="12"/>
      <c r="AF795" s="12"/>
    </row>
    <row r="796" spans="1:32">
      <c r="A796" s="8"/>
      <c r="B796" s="8"/>
      <c r="C796" s="8"/>
      <c r="D796" s="8"/>
      <c r="E796" s="8"/>
      <c r="F796" s="8"/>
      <c r="G796" s="8"/>
      <c r="H796" s="8"/>
      <c r="I796" s="8"/>
      <c r="J796" s="8"/>
      <c r="K796" s="8"/>
      <c r="L796" s="8"/>
      <c r="M796" s="8"/>
      <c r="N796" s="8"/>
      <c r="O796" s="8"/>
      <c r="P796" s="8"/>
      <c r="Q796" s="8"/>
      <c r="R796" s="8"/>
      <c r="S796" s="8"/>
      <c r="T796" s="8"/>
      <c r="U796" s="12"/>
      <c r="V796" s="12"/>
      <c r="W796" s="12"/>
      <c r="X796" s="12"/>
      <c r="Y796" s="29"/>
      <c r="Z796" s="29"/>
      <c r="AA796" s="29"/>
      <c r="AB796" s="12"/>
      <c r="AC796" s="12"/>
      <c r="AD796" s="12"/>
      <c r="AE796" s="12"/>
      <c r="AF796" s="12"/>
    </row>
    <row r="797" spans="1:32">
      <c r="A797" s="8"/>
      <c r="B797" s="8"/>
      <c r="C797" s="8"/>
      <c r="D797" s="8"/>
      <c r="E797" s="8"/>
      <c r="F797" s="8"/>
      <c r="G797" s="8"/>
      <c r="H797" s="8"/>
      <c r="I797" s="8"/>
      <c r="J797" s="8"/>
      <c r="K797" s="8"/>
      <c r="L797" s="8"/>
      <c r="M797" s="8"/>
      <c r="N797" s="8"/>
      <c r="O797" s="8"/>
      <c r="P797" s="8"/>
      <c r="Q797" s="8"/>
      <c r="R797" s="8"/>
      <c r="S797" s="8"/>
      <c r="T797" s="8"/>
      <c r="U797" s="12"/>
      <c r="V797" s="12"/>
      <c r="W797" s="12"/>
      <c r="X797" s="12"/>
      <c r="Y797" s="29"/>
      <c r="Z797" s="29"/>
      <c r="AA797" s="29"/>
      <c r="AB797" s="12"/>
      <c r="AC797" s="12"/>
      <c r="AD797" s="12"/>
      <c r="AE797" s="12"/>
      <c r="AF797" s="12"/>
    </row>
    <row r="798" spans="1:32">
      <c r="A798" s="8"/>
      <c r="B798" s="8"/>
      <c r="C798" s="8"/>
      <c r="D798" s="8"/>
      <c r="E798" s="8"/>
      <c r="F798" s="8"/>
      <c r="G798" s="8"/>
      <c r="H798" s="8"/>
      <c r="I798" s="8"/>
      <c r="J798" s="8"/>
      <c r="K798" s="8"/>
      <c r="L798" s="8"/>
      <c r="M798" s="8"/>
      <c r="N798" s="8"/>
      <c r="O798" s="8"/>
      <c r="P798" s="8"/>
      <c r="Q798" s="8"/>
      <c r="R798" s="8"/>
      <c r="S798" s="8"/>
      <c r="T798" s="8"/>
      <c r="U798" s="12"/>
      <c r="V798" s="12"/>
      <c r="W798" s="12"/>
      <c r="X798" s="12"/>
      <c r="Y798" s="29"/>
      <c r="Z798" s="29"/>
      <c r="AA798" s="29"/>
      <c r="AB798" s="12"/>
      <c r="AC798" s="12"/>
      <c r="AD798" s="12"/>
      <c r="AE798" s="12"/>
      <c r="AF798" s="12"/>
    </row>
    <row r="799" spans="1:32">
      <c r="A799" s="8"/>
      <c r="B799" s="8"/>
      <c r="C799" s="8"/>
      <c r="D799" s="8"/>
      <c r="E799" s="8"/>
      <c r="F799" s="8"/>
      <c r="G799" s="8"/>
      <c r="H799" s="8"/>
      <c r="I799" s="8"/>
      <c r="J799" s="8"/>
      <c r="K799" s="8"/>
      <c r="L799" s="8"/>
      <c r="M799" s="8"/>
      <c r="N799" s="8"/>
      <c r="O799" s="8"/>
      <c r="P799" s="8"/>
      <c r="Q799" s="8"/>
      <c r="R799" s="8"/>
      <c r="S799" s="8"/>
      <c r="T799" s="8"/>
      <c r="U799" s="12"/>
      <c r="V799" s="12"/>
      <c r="W799" s="12"/>
      <c r="X799" s="12"/>
      <c r="Y799" s="29"/>
      <c r="Z799" s="29"/>
      <c r="AA799" s="29"/>
      <c r="AB799" s="12"/>
      <c r="AC799" s="12"/>
      <c r="AD799" s="12"/>
      <c r="AE799" s="12"/>
      <c r="AF799" s="12"/>
    </row>
    <row r="800" spans="1:32">
      <c r="A800" s="8"/>
      <c r="B800" s="8"/>
      <c r="C800" s="8"/>
      <c r="D800" s="8"/>
      <c r="E800" s="8"/>
      <c r="F800" s="8"/>
      <c r="G800" s="8"/>
      <c r="H800" s="8"/>
      <c r="I800" s="8"/>
      <c r="J800" s="8"/>
      <c r="K800" s="8"/>
      <c r="L800" s="8"/>
      <c r="M800" s="8"/>
      <c r="N800" s="8"/>
      <c r="O800" s="8"/>
      <c r="P800" s="8"/>
      <c r="Q800" s="8"/>
      <c r="R800" s="8"/>
      <c r="S800" s="8"/>
      <c r="T800" s="8"/>
      <c r="U800" s="12"/>
      <c r="V800" s="12"/>
      <c r="W800" s="12"/>
      <c r="X800" s="12"/>
      <c r="Y800" s="29"/>
      <c r="Z800" s="29"/>
      <c r="AA800" s="29"/>
      <c r="AB800" s="12"/>
      <c r="AC800" s="12"/>
      <c r="AD800" s="12"/>
      <c r="AE800" s="12"/>
      <c r="AF800" s="12"/>
    </row>
    <row r="801" spans="1:32">
      <c r="A801" s="8"/>
      <c r="B801" s="8"/>
      <c r="C801" s="8"/>
      <c r="D801" s="8"/>
      <c r="E801" s="8"/>
      <c r="F801" s="8"/>
      <c r="G801" s="8"/>
      <c r="H801" s="8"/>
      <c r="I801" s="8"/>
      <c r="J801" s="8"/>
      <c r="K801" s="8"/>
      <c r="L801" s="8"/>
      <c r="M801" s="8"/>
      <c r="N801" s="8"/>
      <c r="O801" s="8"/>
      <c r="P801" s="8"/>
      <c r="Q801" s="8"/>
      <c r="R801" s="8"/>
      <c r="S801" s="8"/>
      <c r="T801" s="8"/>
      <c r="U801" s="12"/>
      <c r="V801" s="12"/>
      <c r="W801" s="12"/>
      <c r="X801" s="12"/>
      <c r="Y801" s="29"/>
      <c r="Z801" s="29"/>
      <c r="AA801" s="29"/>
      <c r="AB801" s="12"/>
      <c r="AC801" s="12"/>
      <c r="AD801" s="12"/>
      <c r="AE801" s="12"/>
      <c r="AF801" s="12"/>
    </row>
    <row r="802" spans="1:32">
      <c r="A802" s="8"/>
      <c r="B802" s="8"/>
      <c r="C802" s="8"/>
      <c r="D802" s="8"/>
      <c r="E802" s="8"/>
      <c r="F802" s="8"/>
      <c r="G802" s="8"/>
      <c r="H802" s="8"/>
      <c r="I802" s="8"/>
      <c r="J802" s="8"/>
      <c r="K802" s="8"/>
      <c r="L802" s="8"/>
      <c r="M802" s="8"/>
      <c r="N802" s="8"/>
      <c r="O802" s="8"/>
      <c r="P802" s="8"/>
      <c r="Q802" s="8"/>
      <c r="R802" s="8"/>
      <c r="S802" s="8"/>
      <c r="T802" s="8"/>
      <c r="U802" s="12"/>
      <c r="V802" s="12"/>
      <c r="W802" s="12"/>
      <c r="X802" s="12"/>
      <c r="Y802" s="29"/>
      <c r="Z802" s="29"/>
      <c r="AA802" s="29"/>
      <c r="AB802" s="12"/>
      <c r="AC802" s="12"/>
      <c r="AD802" s="12"/>
      <c r="AE802" s="12"/>
      <c r="AF802" s="12"/>
    </row>
    <row r="803" spans="1:32">
      <c r="A803" s="8"/>
      <c r="B803" s="8"/>
      <c r="C803" s="8"/>
      <c r="D803" s="8"/>
      <c r="E803" s="8"/>
      <c r="F803" s="8"/>
      <c r="G803" s="8"/>
      <c r="H803" s="8"/>
      <c r="I803" s="8"/>
      <c r="J803" s="8"/>
      <c r="K803" s="8"/>
      <c r="L803" s="8"/>
      <c r="M803" s="8"/>
      <c r="N803" s="8"/>
      <c r="O803" s="8"/>
      <c r="P803" s="8"/>
      <c r="Q803" s="8"/>
      <c r="R803" s="8"/>
      <c r="S803" s="8"/>
      <c r="T803" s="8"/>
      <c r="U803" s="12"/>
      <c r="V803" s="12"/>
      <c r="W803" s="12"/>
      <c r="X803" s="12"/>
      <c r="Y803" s="29"/>
      <c r="Z803" s="29"/>
      <c r="AA803" s="29"/>
      <c r="AB803" s="12"/>
      <c r="AC803" s="12"/>
      <c r="AD803" s="12"/>
      <c r="AE803" s="12"/>
      <c r="AF803" s="12"/>
    </row>
    <row r="804" spans="1:32">
      <c r="A804" s="8"/>
      <c r="B804" s="8"/>
      <c r="C804" s="8"/>
      <c r="D804" s="8"/>
      <c r="E804" s="8"/>
      <c r="F804" s="8"/>
      <c r="G804" s="8"/>
      <c r="H804" s="8"/>
      <c r="I804" s="8"/>
      <c r="J804" s="8"/>
      <c r="K804" s="8"/>
      <c r="L804" s="8"/>
      <c r="M804" s="8"/>
      <c r="N804" s="8"/>
      <c r="O804" s="8"/>
      <c r="P804" s="8"/>
      <c r="Q804" s="8"/>
      <c r="R804" s="8"/>
      <c r="S804" s="8"/>
      <c r="T804" s="8"/>
      <c r="U804" s="12"/>
      <c r="V804" s="12"/>
      <c r="W804" s="12"/>
      <c r="X804" s="12"/>
      <c r="Y804" s="29"/>
      <c r="Z804" s="29"/>
      <c r="AA804" s="29"/>
      <c r="AB804" s="12"/>
      <c r="AC804" s="12"/>
      <c r="AD804" s="12"/>
      <c r="AE804" s="12"/>
      <c r="AF804" s="12"/>
    </row>
    <row r="805" spans="1:32">
      <c r="A805" s="8"/>
      <c r="B805" s="8"/>
      <c r="C805" s="8"/>
      <c r="D805" s="8"/>
      <c r="E805" s="8"/>
      <c r="F805" s="8"/>
      <c r="G805" s="8"/>
      <c r="H805" s="8"/>
      <c r="I805" s="8"/>
      <c r="J805" s="8"/>
      <c r="K805" s="8"/>
      <c r="L805" s="8"/>
      <c r="M805" s="8"/>
      <c r="N805" s="8"/>
      <c r="O805" s="8"/>
      <c r="P805" s="8"/>
      <c r="Q805" s="8"/>
      <c r="R805" s="8"/>
      <c r="S805" s="8"/>
      <c r="T805" s="8"/>
      <c r="U805" s="12"/>
      <c r="V805" s="12"/>
      <c r="W805" s="12"/>
      <c r="X805" s="12"/>
      <c r="Y805" s="29"/>
      <c r="Z805" s="29"/>
      <c r="AA805" s="29"/>
      <c r="AB805" s="12"/>
      <c r="AC805" s="12"/>
      <c r="AD805" s="12"/>
      <c r="AE805" s="12"/>
      <c r="AF805" s="12"/>
    </row>
    <row r="806" spans="1:32">
      <c r="A806" s="8"/>
      <c r="B806" s="8"/>
      <c r="C806" s="8"/>
      <c r="D806" s="8"/>
      <c r="E806" s="8"/>
      <c r="F806" s="8"/>
      <c r="G806" s="8"/>
      <c r="H806" s="8"/>
      <c r="I806" s="8"/>
      <c r="J806" s="8"/>
      <c r="K806" s="8"/>
      <c r="L806" s="8"/>
      <c r="M806" s="8"/>
      <c r="N806" s="8"/>
      <c r="O806" s="8"/>
      <c r="P806" s="8"/>
      <c r="Q806" s="8"/>
      <c r="R806" s="8"/>
      <c r="S806" s="8"/>
      <c r="T806" s="8"/>
      <c r="U806" s="12"/>
      <c r="V806" s="12"/>
      <c r="W806" s="12"/>
      <c r="X806" s="12"/>
      <c r="Y806" s="29"/>
      <c r="Z806" s="29"/>
      <c r="AA806" s="29"/>
      <c r="AB806" s="12"/>
      <c r="AC806" s="12"/>
      <c r="AD806" s="12"/>
      <c r="AE806" s="12"/>
      <c r="AF806" s="12"/>
    </row>
    <row r="807" spans="1:32">
      <c r="A807" s="8"/>
      <c r="B807" s="8"/>
      <c r="C807" s="8"/>
      <c r="D807" s="8"/>
      <c r="E807" s="8"/>
      <c r="F807" s="8"/>
      <c r="G807" s="8"/>
      <c r="H807" s="8"/>
      <c r="I807" s="8"/>
      <c r="J807" s="8"/>
      <c r="K807" s="8"/>
      <c r="L807" s="8"/>
      <c r="M807" s="8"/>
      <c r="N807" s="8"/>
      <c r="O807" s="8"/>
      <c r="P807" s="8"/>
      <c r="Q807" s="8"/>
      <c r="R807" s="8"/>
      <c r="S807" s="8"/>
      <c r="T807" s="8"/>
      <c r="U807" s="12"/>
      <c r="V807" s="12"/>
      <c r="W807" s="12"/>
      <c r="X807" s="12"/>
      <c r="Y807" s="29"/>
      <c r="Z807" s="29"/>
      <c r="AA807" s="29"/>
      <c r="AB807" s="12"/>
      <c r="AC807" s="12"/>
      <c r="AD807" s="12"/>
      <c r="AE807" s="12"/>
      <c r="AF807" s="12"/>
    </row>
    <row r="808" spans="1:32">
      <c r="A808" s="8"/>
      <c r="B808" s="8"/>
      <c r="C808" s="8"/>
      <c r="D808" s="8"/>
      <c r="E808" s="8"/>
      <c r="F808" s="8"/>
      <c r="G808" s="8"/>
      <c r="H808" s="8"/>
      <c r="I808" s="8"/>
      <c r="J808" s="8"/>
      <c r="K808" s="8"/>
      <c r="L808" s="8"/>
      <c r="M808" s="8"/>
      <c r="N808" s="8"/>
      <c r="O808" s="8"/>
      <c r="P808" s="8"/>
      <c r="Q808" s="8"/>
      <c r="R808" s="8"/>
      <c r="S808" s="8"/>
      <c r="T808" s="8"/>
      <c r="U808" s="12"/>
      <c r="V808" s="12"/>
      <c r="W808" s="12"/>
      <c r="X808" s="12"/>
      <c r="Y808" s="29"/>
      <c r="Z808" s="29"/>
      <c r="AA808" s="29"/>
      <c r="AB808" s="12"/>
      <c r="AC808" s="12"/>
      <c r="AD808" s="12"/>
      <c r="AE808" s="12"/>
      <c r="AF808" s="12"/>
    </row>
    <row r="809" spans="1:32">
      <c r="A809" s="8"/>
      <c r="B809" s="8"/>
      <c r="C809" s="8"/>
      <c r="D809" s="8"/>
      <c r="E809" s="8"/>
      <c r="F809" s="8"/>
      <c r="G809" s="8"/>
      <c r="H809" s="8"/>
      <c r="I809" s="8"/>
      <c r="J809" s="8"/>
      <c r="K809" s="8"/>
      <c r="L809" s="8"/>
      <c r="M809" s="8"/>
      <c r="N809" s="8"/>
      <c r="O809" s="8"/>
      <c r="P809" s="8"/>
      <c r="Q809" s="8"/>
      <c r="R809" s="8"/>
      <c r="S809" s="8"/>
      <c r="T809" s="8"/>
      <c r="U809" s="12"/>
      <c r="V809" s="12"/>
      <c r="W809" s="12"/>
      <c r="X809" s="12"/>
      <c r="Y809" s="29"/>
      <c r="Z809" s="29"/>
      <c r="AA809" s="29"/>
      <c r="AB809" s="12"/>
      <c r="AC809" s="12"/>
      <c r="AD809" s="12"/>
      <c r="AE809" s="12"/>
      <c r="AF809" s="12"/>
    </row>
    <row r="810" spans="1:32">
      <c r="A810" s="8"/>
      <c r="B810" s="8"/>
      <c r="C810" s="8"/>
      <c r="D810" s="8"/>
      <c r="E810" s="8"/>
      <c r="F810" s="8"/>
      <c r="G810" s="8"/>
      <c r="H810" s="8"/>
      <c r="I810" s="8"/>
      <c r="J810" s="8"/>
      <c r="K810" s="8"/>
      <c r="L810" s="8"/>
      <c r="M810" s="8"/>
      <c r="N810" s="8"/>
      <c r="O810" s="8"/>
      <c r="P810" s="8"/>
      <c r="Q810" s="8"/>
      <c r="R810" s="8"/>
      <c r="S810" s="8"/>
      <c r="T810" s="8"/>
      <c r="U810" s="12"/>
      <c r="V810" s="12"/>
      <c r="W810" s="12"/>
      <c r="X810" s="12"/>
      <c r="Y810" s="29"/>
      <c r="Z810" s="29"/>
      <c r="AA810" s="29"/>
      <c r="AB810" s="12"/>
      <c r="AC810" s="12"/>
      <c r="AD810" s="12"/>
      <c r="AE810" s="12"/>
      <c r="AF810" s="12"/>
    </row>
    <row r="811" spans="1:32">
      <c r="A811" s="8"/>
      <c r="B811" s="8"/>
      <c r="C811" s="8"/>
      <c r="D811" s="8"/>
      <c r="E811" s="8"/>
      <c r="F811" s="8"/>
      <c r="G811" s="8"/>
      <c r="H811" s="8"/>
      <c r="I811" s="8"/>
      <c r="J811" s="8"/>
      <c r="K811" s="8"/>
      <c r="L811" s="8"/>
      <c r="M811" s="8"/>
      <c r="N811" s="8"/>
      <c r="O811" s="8"/>
      <c r="P811" s="8"/>
      <c r="Q811" s="8"/>
      <c r="R811" s="8"/>
      <c r="S811" s="8"/>
      <c r="T811" s="8"/>
      <c r="U811" s="12"/>
      <c r="V811" s="12"/>
      <c r="W811" s="12"/>
      <c r="X811" s="12"/>
      <c r="Y811" s="29"/>
      <c r="Z811" s="29"/>
      <c r="AA811" s="29"/>
      <c r="AB811" s="12"/>
      <c r="AC811" s="12"/>
      <c r="AD811" s="12"/>
      <c r="AE811" s="12"/>
      <c r="AF811" s="12"/>
    </row>
    <row r="812" spans="1:32">
      <c r="A812" s="8"/>
      <c r="B812" s="8"/>
      <c r="C812" s="8"/>
      <c r="D812" s="8"/>
      <c r="E812" s="8"/>
      <c r="F812" s="8"/>
      <c r="G812" s="8"/>
      <c r="H812" s="8"/>
      <c r="I812" s="8"/>
      <c r="J812" s="8"/>
      <c r="K812" s="8"/>
      <c r="L812" s="8"/>
      <c r="M812" s="8"/>
      <c r="N812" s="8"/>
      <c r="O812" s="8"/>
      <c r="P812" s="8"/>
      <c r="Q812" s="8"/>
      <c r="R812" s="8"/>
      <c r="S812" s="8"/>
      <c r="T812" s="8"/>
      <c r="U812" s="12"/>
      <c r="V812" s="12"/>
      <c r="W812" s="12"/>
      <c r="X812" s="12"/>
      <c r="Y812" s="29"/>
      <c r="Z812" s="29"/>
      <c r="AA812" s="29"/>
      <c r="AB812" s="12"/>
      <c r="AC812" s="12"/>
      <c r="AD812" s="12"/>
      <c r="AE812" s="12"/>
      <c r="AF812" s="12"/>
    </row>
    <row r="813" spans="1:32">
      <c r="A813" s="8"/>
      <c r="B813" s="8"/>
      <c r="C813" s="8"/>
      <c r="D813" s="8"/>
      <c r="E813" s="8"/>
      <c r="F813" s="8"/>
      <c r="G813" s="8"/>
      <c r="H813" s="8"/>
      <c r="I813" s="8"/>
      <c r="J813" s="8"/>
      <c r="K813" s="8"/>
      <c r="L813" s="8"/>
      <c r="M813" s="8"/>
      <c r="N813" s="8"/>
      <c r="O813" s="8"/>
      <c r="P813" s="8"/>
      <c r="Q813" s="8"/>
      <c r="R813" s="8"/>
      <c r="S813" s="8"/>
      <c r="T813" s="8"/>
      <c r="U813" s="12"/>
      <c r="V813" s="12"/>
      <c r="W813" s="12"/>
      <c r="X813" s="12"/>
      <c r="Y813" s="29"/>
      <c r="Z813" s="29"/>
      <c r="AA813" s="29"/>
      <c r="AB813" s="12"/>
      <c r="AC813" s="12"/>
      <c r="AD813" s="12"/>
      <c r="AE813" s="12"/>
      <c r="AF813" s="12"/>
    </row>
    <row r="814" spans="1:32">
      <c r="A814" s="8"/>
      <c r="B814" s="8"/>
      <c r="C814" s="8"/>
      <c r="D814" s="8"/>
      <c r="E814" s="8"/>
      <c r="F814" s="8"/>
      <c r="G814" s="8"/>
      <c r="H814" s="8"/>
      <c r="I814" s="8"/>
      <c r="J814" s="8"/>
      <c r="K814" s="8"/>
      <c r="L814" s="8"/>
      <c r="M814" s="8"/>
      <c r="N814" s="8"/>
      <c r="O814" s="8"/>
      <c r="P814" s="8"/>
      <c r="Q814" s="8"/>
      <c r="R814" s="8"/>
      <c r="S814" s="8"/>
      <c r="T814" s="8"/>
      <c r="U814" s="12"/>
      <c r="V814" s="12"/>
      <c r="W814" s="12"/>
      <c r="X814" s="12"/>
      <c r="Y814" s="29"/>
      <c r="Z814" s="29"/>
      <c r="AA814" s="29"/>
      <c r="AB814" s="12"/>
      <c r="AC814" s="12"/>
      <c r="AD814" s="12"/>
      <c r="AE814" s="12"/>
      <c r="AF814" s="12"/>
    </row>
    <row r="815" spans="1:32">
      <c r="A815" s="8"/>
      <c r="B815" s="8"/>
      <c r="C815" s="8"/>
      <c r="D815" s="8"/>
      <c r="E815" s="8"/>
      <c r="F815" s="8"/>
      <c r="G815" s="8"/>
      <c r="H815" s="8"/>
      <c r="I815" s="8"/>
      <c r="J815" s="8"/>
      <c r="K815" s="8"/>
      <c r="L815" s="8"/>
      <c r="M815" s="8"/>
      <c r="N815" s="8"/>
      <c r="O815" s="8"/>
      <c r="P815" s="8"/>
      <c r="Q815" s="8"/>
      <c r="R815" s="8"/>
      <c r="S815" s="8"/>
      <c r="T815" s="8"/>
      <c r="U815" s="12"/>
      <c r="V815" s="12"/>
      <c r="W815" s="12"/>
      <c r="X815" s="12"/>
      <c r="Y815" s="29"/>
      <c r="Z815" s="29"/>
      <c r="AA815" s="29"/>
      <c r="AB815" s="12"/>
      <c r="AC815" s="12"/>
      <c r="AD815" s="12"/>
      <c r="AE815" s="12"/>
      <c r="AF815" s="12"/>
    </row>
    <row r="816" spans="1:32">
      <c r="A816" s="8"/>
      <c r="B816" s="8"/>
      <c r="C816" s="8"/>
      <c r="D816" s="8"/>
      <c r="E816" s="8"/>
      <c r="F816" s="8"/>
      <c r="G816" s="8"/>
      <c r="H816" s="8"/>
      <c r="I816" s="8"/>
      <c r="J816" s="8"/>
      <c r="K816" s="8"/>
      <c r="L816" s="8"/>
      <c r="M816" s="8"/>
      <c r="N816" s="8"/>
      <c r="O816" s="8"/>
      <c r="P816" s="8"/>
      <c r="Q816" s="8"/>
      <c r="R816" s="8"/>
      <c r="S816" s="8"/>
      <c r="T816" s="8"/>
      <c r="U816" s="12"/>
      <c r="V816" s="12"/>
      <c r="W816" s="12"/>
      <c r="X816" s="12"/>
      <c r="Y816" s="29"/>
      <c r="Z816" s="29"/>
      <c r="AA816" s="29"/>
      <c r="AB816" s="12"/>
      <c r="AC816" s="12"/>
      <c r="AD816" s="12"/>
      <c r="AE816" s="12"/>
      <c r="AF816" s="12"/>
    </row>
    <row r="817" spans="1:32">
      <c r="A817" s="8"/>
      <c r="B817" s="8"/>
      <c r="C817" s="8"/>
      <c r="D817" s="8"/>
      <c r="E817" s="8"/>
      <c r="F817" s="8"/>
      <c r="G817" s="8"/>
      <c r="H817" s="8"/>
      <c r="I817" s="8"/>
      <c r="J817" s="8"/>
      <c r="K817" s="8"/>
      <c r="L817" s="8"/>
      <c r="M817" s="8"/>
      <c r="N817" s="8"/>
      <c r="O817" s="8"/>
      <c r="P817" s="8"/>
      <c r="Q817" s="8"/>
      <c r="R817" s="8"/>
      <c r="S817" s="8"/>
      <c r="T817" s="8"/>
      <c r="U817" s="12"/>
      <c r="V817" s="12"/>
      <c r="W817" s="12"/>
      <c r="X817" s="12"/>
      <c r="Y817" s="29"/>
      <c r="Z817" s="29"/>
      <c r="AA817" s="29"/>
      <c r="AB817" s="12"/>
      <c r="AC817" s="12"/>
      <c r="AD817" s="12"/>
      <c r="AE817" s="12"/>
      <c r="AF817" s="12"/>
    </row>
    <row r="818" spans="1:32">
      <c r="A818" s="8"/>
      <c r="B818" s="8"/>
      <c r="C818" s="8"/>
      <c r="D818" s="8"/>
      <c r="E818" s="8"/>
      <c r="F818" s="8"/>
      <c r="G818" s="8"/>
      <c r="H818" s="8"/>
      <c r="I818" s="8"/>
      <c r="J818" s="8"/>
      <c r="K818" s="8"/>
      <c r="L818" s="8"/>
      <c r="M818" s="8"/>
      <c r="N818" s="8"/>
      <c r="O818" s="8"/>
      <c r="P818" s="8"/>
      <c r="Q818" s="8"/>
      <c r="R818" s="8"/>
      <c r="S818" s="8"/>
      <c r="T818" s="8"/>
      <c r="U818" s="12"/>
      <c r="V818" s="12"/>
      <c r="W818" s="12"/>
      <c r="X818" s="12"/>
      <c r="Y818" s="29"/>
      <c r="Z818" s="29"/>
      <c r="AA818" s="29"/>
      <c r="AB818" s="12"/>
      <c r="AC818" s="12"/>
      <c r="AD818" s="12"/>
      <c r="AE818" s="12"/>
      <c r="AF818" s="12"/>
    </row>
    <row r="819" spans="1:32">
      <c r="A819" s="8"/>
      <c r="B819" s="8"/>
      <c r="C819" s="8"/>
      <c r="D819" s="8"/>
      <c r="E819" s="8"/>
      <c r="F819" s="8"/>
      <c r="G819" s="8"/>
      <c r="H819" s="8"/>
      <c r="I819" s="8"/>
      <c r="J819" s="8"/>
      <c r="K819" s="8"/>
      <c r="L819" s="8"/>
      <c r="M819" s="8"/>
      <c r="N819" s="8"/>
      <c r="O819" s="8"/>
      <c r="P819" s="8"/>
      <c r="Q819" s="8"/>
      <c r="R819" s="8"/>
      <c r="S819" s="8"/>
      <c r="T819" s="8"/>
      <c r="U819" s="12"/>
      <c r="V819" s="12"/>
      <c r="W819" s="12"/>
      <c r="X819" s="12"/>
      <c r="Y819" s="29"/>
      <c r="Z819" s="29"/>
      <c r="AA819" s="29"/>
      <c r="AB819" s="12"/>
      <c r="AC819" s="12"/>
      <c r="AD819" s="12"/>
      <c r="AE819" s="12"/>
      <c r="AF819" s="12"/>
    </row>
    <row r="820" spans="1:32">
      <c r="A820" s="8"/>
      <c r="B820" s="8"/>
      <c r="C820" s="8"/>
      <c r="D820" s="8"/>
      <c r="E820" s="8"/>
      <c r="F820" s="8"/>
      <c r="G820" s="8"/>
      <c r="H820" s="8"/>
      <c r="I820" s="8"/>
      <c r="J820" s="8"/>
      <c r="K820" s="8"/>
      <c r="L820" s="8"/>
      <c r="M820" s="8"/>
      <c r="N820" s="8"/>
      <c r="O820" s="8"/>
      <c r="P820" s="8"/>
      <c r="Q820" s="8"/>
      <c r="R820" s="8"/>
      <c r="S820" s="8"/>
      <c r="T820" s="8"/>
      <c r="U820" s="12"/>
      <c r="V820" s="12"/>
      <c r="W820" s="12"/>
      <c r="X820" s="12"/>
      <c r="Y820" s="29"/>
      <c r="Z820" s="29"/>
      <c r="AA820" s="29"/>
      <c r="AB820" s="12"/>
      <c r="AC820" s="12"/>
      <c r="AD820" s="12"/>
      <c r="AE820" s="12"/>
      <c r="AF820" s="12"/>
    </row>
    <row r="821" spans="1:32">
      <c r="A821" s="8"/>
      <c r="B821" s="8"/>
      <c r="C821" s="8"/>
      <c r="D821" s="8"/>
      <c r="E821" s="8"/>
      <c r="F821" s="8"/>
      <c r="G821" s="8"/>
      <c r="H821" s="8"/>
      <c r="I821" s="8"/>
      <c r="J821" s="8"/>
      <c r="K821" s="8"/>
      <c r="L821" s="8"/>
      <c r="M821" s="8"/>
      <c r="N821" s="8"/>
      <c r="O821" s="8"/>
      <c r="P821" s="8"/>
      <c r="Q821" s="8"/>
      <c r="R821" s="8"/>
      <c r="S821" s="8"/>
      <c r="T821" s="8"/>
      <c r="U821" s="12"/>
      <c r="V821" s="12"/>
      <c r="W821" s="12"/>
      <c r="X821" s="12"/>
      <c r="Y821" s="29"/>
      <c r="Z821" s="29"/>
      <c r="AA821" s="29"/>
      <c r="AB821" s="12"/>
      <c r="AC821" s="12"/>
      <c r="AD821" s="12"/>
      <c r="AE821" s="12"/>
      <c r="AF821" s="12"/>
    </row>
    <row r="822" spans="1:32">
      <c r="A822" s="8"/>
      <c r="B822" s="8"/>
      <c r="C822" s="8"/>
      <c r="D822" s="8"/>
      <c r="E822" s="8"/>
      <c r="F822" s="8"/>
      <c r="G822" s="8"/>
      <c r="H822" s="8"/>
      <c r="I822" s="8"/>
      <c r="J822" s="8"/>
      <c r="K822" s="8"/>
      <c r="L822" s="8"/>
      <c r="M822" s="8"/>
      <c r="N822" s="8"/>
      <c r="O822" s="8"/>
      <c r="P822" s="8"/>
      <c r="Q822" s="8"/>
      <c r="R822" s="8"/>
      <c r="S822" s="8"/>
      <c r="T822" s="8"/>
      <c r="U822" s="12"/>
      <c r="V822" s="12"/>
      <c r="W822" s="12"/>
      <c r="X822" s="12"/>
      <c r="Y822" s="29"/>
      <c r="Z822" s="29"/>
      <c r="AA822" s="29"/>
      <c r="AB822" s="12"/>
      <c r="AC822" s="12"/>
      <c r="AD822" s="12"/>
      <c r="AE822" s="12"/>
      <c r="AF822" s="12"/>
    </row>
    <row r="823" spans="1:32">
      <c r="A823" s="8"/>
      <c r="B823" s="8"/>
      <c r="C823" s="8"/>
      <c r="D823" s="8"/>
      <c r="E823" s="8"/>
      <c r="F823" s="8"/>
      <c r="G823" s="8"/>
      <c r="H823" s="8"/>
      <c r="I823" s="8"/>
      <c r="J823" s="8"/>
      <c r="K823" s="8"/>
      <c r="L823" s="8"/>
      <c r="M823" s="8"/>
      <c r="N823" s="8"/>
      <c r="O823" s="8"/>
      <c r="P823" s="8"/>
      <c r="Q823" s="8"/>
      <c r="R823" s="8"/>
      <c r="S823" s="8"/>
      <c r="T823" s="8"/>
      <c r="U823" s="12"/>
      <c r="V823" s="12"/>
      <c r="W823" s="12"/>
      <c r="X823" s="12"/>
      <c r="Y823" s="29"/>
      <c r="Z823" s="29"/>
      <c r="AA823" s="29"/>
      <c r="AB823" s="12"/>
      <c r="AC823" s="12"/>
      <c r="AD823" s="12"/>
      <c r="AE823" s="12"/>
      <c r="AF823" s="12"/>
    </row>
    <row r="824" spans="1:32">
      <c r="A824" s="8"/>
      <c r="B824" s="8"/>
      <c r="C824" s="8"/>
      <c r="D824" s="8"/>
      <c r="E824" s="8"/>
      <c r="F824" s="8"/>
      <c r="G824" s="8"/>
      <c r="H824" s="8"/>
      <c r="I824" s="8"/>
      <c r="J824" s="8"/>
      <c r="K824" s="8"/>
      <c r="L824" s="8"/>
      <c r="M824" s="8"/>
      <c r="N824" s="8"/>
      <c r="O824" s="8"/>
      <c r="P824" s="8"/>
      <c r="Q824" s="8"/>
      <c r="R824" s="8"/>
      <c r="S824" s="8"/>
      <c r="T824" s="8"/>
      <c r="U824" s="12"/>
      <c r="V824" s="12"/>
      <c r="W824" s="12"/>
      <c r="X824" s="12"/>
      <c r="Y824" s="29"/>
      <c r="Z824" s="29"/>
      <c r="AA824" s="29"/>
      <c r="AB824" s="12"/>
      <c r="AC824" s="12"/>
      <c r="AD824" s="12"/>
      <c r="AE824" s="12"/>
      <c r="AF824" s="12"/>
    </row>
    <row r="825" spans="1:32">
      <c r="A825" s="8"/>
      <c r="B825" s="8"/>
      <c r="C825" s="8"/>
      <c r="D825" s="8"/>
      <c r="E825" s="8"/>
      <c r="F825" s="8"/>
      <c r="G825" s="8"/>
      <c r="H825" s="8"/>
      <c r="I825" s="8"/>
      <c r="J825" s="8"/>
      <c r="K825" s="8"/>
      <c r="L825" s="8"/>
      <c r="M825" s="8"/>
      <c r="N825" s="8"/>
      <c r="O825" s="8"/>
      <c r="P825" s="8"/>
      <c r="Q825" s="8"/>
      <c r="R825" s="8"/>
      <c r="S825" s="8"/>
      <c r="T825" s="8"/>
      <c r="U825" s="12"/>
      <c r="V825" s="12"/>
      <c r="W825" s="12"/>
      <c r="X825" s="12"/>
      <c r="Y825" s="29"/>
      <c r="Z825" s="29"/>
      <c r="AA825" s="29"/>
      <c r="AB825" s="12"/>
      <c r="AC825" s="12"/>
      <c r="AD825" s="12"/>
      <c r="AE825" s="12"/>
      <c r="AF825" s="12"/>
    </row>
    <row r="826" spans="1:32">
      <c r="A826" s="8"/>
      <c r="B826" s="8"/>
      <c r="C826" s="8"/>
      <c r="D826" s="8"/>
      <c r="E826" s="8"/>
      <c r="F826" s="8"/>
      <c r="G826" s="8"/>
      <c r="H826" s="8"/>
      <c r="I826" s="8"/>
      <c r="J826" s="8"/>
      <c r="K826" s="8"/>
      <c r="L826" s="8"/>
      <c r="M826" s="8"/>
      <c r="N826" s="8"/>
      <c r="O826" s="8"/>
      <c r="P826" s="8"/>
      <c r="Q826" s="8"/>
      <c r="R826" s="8"/>
      <c r="S826" s="8"/>
      <c r="T826" s="8"/>
      <c r="U826" s="12"/>
      <c r="V826" s="12"/>
      <c r="W826" s="12"/>
      <c r="X826" s="12"/>
      <c r="Y826" s="29"/>
      <c r="Z826" s="29"/>
      <c r="AA826" s="29"/>
      <c r="AB826" s="12"/>
      <c r="AC826" s="12"/>
      <c r="AD826" s="12"/>
      <c r="AE826" s="12"/>
      <c r="AF826" s="12"/>
    </row>
    <row r="827" spans="1:32">
      <c r="A827" s="8"/>
      <c r="B827" s="8"/>
      <c r="C827" s="8"/>
      <c r="D827" s="8"/>
      <c r="E827" s="8"/>
      <c r="F827" s="8"/>
      <c r="G827" s="8"/>
      <c r="H827" s="8"/>
      <c r="I827" s="8"/>
      <c r="J827" s="8"/>
      <c r="K827" s="8"/>
      <c r="L827" s="8"/>
      <c r="M827" s="8"/>
      <c r="N827" s="8"/>
      <c r="O827" s="8"/>
      <c r="P827" s="8"/>
      <c r="Q827" s="8"/>
      <c r="R827" s="8"/>
      <c r="S827" s="8"/>
      <c r="T827" s="8"/>
      <c r="U827" s="12"/>
      <c r="V827" s="12"/>
      <c r="W827" s="12"/>
      <c r="X827" s="12"/>
      <c r="Y827" s="29"/>
      <c r="Z827" s="29"/>
      <c r="AA827" s="29"/>
      <c r="AB827" s="12"/>
      <c r="AC827" s="12"/>
      <c r="AD827" s="12"/>
      <c r="AE827" s="12"/>
      <c r="AF827" s="12"/>
    </row>
    <row r="828" spans="1:32">
      <c r="A828" s="8"/>
      <c r="B828" s="8"/>
      <c r="C828" s="8"/>
      <c r="D828" s="8"/>
      <c r="E828" s="8"/>
      <c r="F828" s="8"/>
      <c r="G828" s="8"/>
      <c r="H828" s="8"/>
      <c r="I828" s="8"/>
      <c r="J828" s="8"/>
      <c r="K828" s="8"/>
      <c r="L828" s="8"/>
      <c r="M828" s="8"/>
      <c r="N828" s="8"/>
      <c r="O828" s="8"/>
      <c r="P828" s="8"/>
      <c r="Q828" s="8"/>
      <c r="R828" s="8"/>
      <c r="S828" s="8"/>
      <c r="T828" s="8"/>
      <c r="U828" s="12"/>
      <c r="V828" s="12"/>
      <c r="W828" s="12"/>
      <c r="X828" s="12"/>
      <c r="Y828" s="29"/>
      <c r="Z828" s="29"/>
      <c r="AA828" s="29"/>
      <c r="AB828" s="12"/>
      <c r="AC828" s="12"/>
      <c r="AD828" s="12"/>
      <c r="AE828" s="12"/>
      <c r="AF828" s="12"/>
    </row>
    <row r="829" spans="1:32">
      <c r="A829" s="8"/>
      <c r="B829" s="8"/>
      <c r="C829" s="8"/>
      <c r="D829" s="8"/>
      <c r="E829" s="8"/>
      <c r="F829" s="8"/>
      <c r="G829" s="8"/>
      <c r="H829" s="8"/>
      <c r="I829" s="8"/>
      <c r="J829" s="8"/>
      <c r="K829" s="8"/>
      <c r="L829" s="8"/>
      <c r="M829" s="8"/>
      <c r="N829" s="8"/>
      <c r="O829" s="8"/>
      <c r="P829" s="8"/>
      <c r="Q829" s="8"/>
      <c r="R829" s="8"/>
      <c r="S829" s="8"/>
      <c r="T829" s="8"/>
      <c r="U829" s="12"/>
      <c r="V829" s="12"/>
      <c r="W829" s="12"/>
      <c r="X829" s="12"/>
      <c r="Y829" s="29"/>
      <c r="Z829" s="29"/>
      <c r="AA829" s="29"/>
      <c r="AB829" s="12"/>
      <c r="AC829" s="12"/>
      <c r="AD829" s="12"/>
      <c r="AE829" s="12"/>
      <c r="AF829" s="12"/>
    </row>
    <row r="830" spans="1:32">
      <c r="A830" s="8"/>
      <c r="B830" s="8"/>
      <c r="C830" s="8"/>
      <c r="D830" s="8"/>
      <c r="E830" s="8"/>
      <c r="F830" s="8"/>
      <c r="G830" s="8"/>
      <c r="H830" s="8"/>
      <c r="I830" s="8"/>
      <c r="J830" s="8"/>
      <c r="K830" s="8"/>
      <c r="L830" s="8"/>
      <c r="M830" s="8"/>
      <c r="N830" s="8"/>
      <c r="O830" s="8"/>
      <c r="P830" s="8"/>
      <c r="Q830" s="8"/>
      <c r="R830" s="8"/>
      <c r="S830" s="8"/>
      <c r="T830" s="8"/>
      <c r="U830" s="12"/>
      <c r="V830" s="12"/>
      <c r="W830" s="12"/>
      <c r="X830" s="12"/>
      <c r="Y830" s="29"/>
      <c r="Z830" s="29"/>
      <c r="AA830" s="29"/>
      <c r="AB830" s="12"/>
      <c r="AC830" s="12"/>
      <c r="AD830" s="12"/>
      <c r="AE830" s="12"/>
      <c r="AF830" s="12"/>
    </row>
    <row r="831" spans="1:32">
      <c r="A831" s="8"/>
      <c r="B831" s="8"/>
      <c r="C831" s="8"/>
      <c r="D831" s="8"/>
      <c r="E831" s="8"/>
      <c r="F831" s="8"/>
      <c r="G831" s="8"/>
      <c r="H831" s="8"/>
      <c r="I831" s="8"/>
      <c r="J831" s="8"/>
      <c r="K831" s="8"/>
      <c r="L831" s="8"/>
      <c r="M831" s="8"/>
      <c r="N831" s="8"/>
      <c r="O831" s="8"/>
      <c r="P831" s="8"/>
      <c r="Q831" s="8"/>
      <c r="R831" s="8"/>
      <c r="S831" s="8"/>
      <c r="T831" s="8"/>
      <c r="U831" s="12"/>
      <c r="V831" s="12"/>
      <c r="W831" s="12"/>
      <c r="X831" s="12"/>
      <c r="Y831" s="29"/>
      <c r="Z831" s="29"/>
      <c r="AA831" s="29"/>
      <c r="AB831" s="12"/>
      <c r="AC831" s="12"/>
      <c r="AD831" s="12"/>
      <c r="AE831" s="12"/>
      <c r="AF831" s="12"/>
    </row>
    <row r="832" spans="1:32">
      <c r="A832" s="8"/>
      <c r="B832" s="8"/>
      <c r="C832" s="8"/>
      <c r="D832" s="8"/>
      <c r="E832" s="8"/>
      <c r="F832" s="8"/>
      <c r="G832" s="8"/>
      <c r="H832" s="8"/>
      <c r="I832" s="8"/>
      <c r="J832" s="8"/>
      <c r="K832" s="8"/>
      <c r="L832" s="8"/>
      <c r="M832" s="8"/>
      <c r="N832" s="8"/>
      <c r="O832" s="8"/>
      <c r="P832" s="8"/>
      <c r="Q832" s="8"/>
      <c r="R832" s="8"/>
      <c r="S832" s="8"/>
      <c r="T832" s="8"/>
      <c r="U832" s="12"/>
      <c r="V832" s="12"/>
      <c r="W832" s="12"/>
      <c r="X832" s="12"/>
      <c r="Y832" s="29"/>
      <c r="Z832" s="29"/>
      <c r="AA832" s="29"/>
      <c r="AB832" s="12"/>
      <c r="AC832" s="12"/>
      <c r="AD832" s="12"/>
      <c r="AE832" s="12"/>
      <c r="AF832" s="12"/>
    </row>
    <row r="833" spans="1:32">
      <c r="A833" s="8"/>
      <c r="B833" s="8"/>
      <c r="C833" s="8"/>
      <c r="D833" s="8"/>
      <c r="E833" s="8"/>
      <c r="F833" s="8"/>
      <c r="G833" s="8"/>
      <c r="H833" s="8"/>
      <c r="I833" s="8"/>
      <c r="J833" s="8"/>
      <c r="K833" s="8"/>
      <c r="L833" s="8"/>
      <c r="M833" s="8"/>
      <c r="N833" s="8"/>
      <c r="O833" s="8"/>
      <c r="P833" s="8"/>
      <c r="Q833" s="8"/>
      <c r="R833" s="8"/>
      <c r="S833" s="8"/>
      <c r="T833" s="8"/>
      <c r="U833" s="12"/>
      <c r="V833" s="12"/>
      <c r="W833" s="12"/>
      <c r="X833" s="12"/>
      <c r="Y833" s="29"/>
      <c r="Z833" s="29"/>
      <c r="AA833" s="29"/>
      <c r="AB833" s="12"/>
      <c r="AC833" s="12"/>
      <c r="AD833" s="12"/>
      <c r="AE833" s="12"/>
      <c r="AF833" s="12"/>
    </row>
    <row r="834" spans="1:32">
      <c r="A834" s="8"/>
      <c r="B834" s="8"/>
      <c r="C834" s="8"/>
      <c r="D834" s="8"/>
      <c r="E834" s="8"/>
      <c r="F834" s="8"/>
      <c r="G834" s="8"/>
      <c r="H834" s="8"/>
      <c r="I834" s="8"/>
      <c r="J834" s="8"/>
      <c r="K834" s="8"/>
      <c r="L834" s="8"/>
      <c r="M834" s="8"/>
      <c r="N834" s="8"/>
      <c r="O834" s="8"/>
      <c r="P834" s="8"/>
      <c r="Q834" s="8"/>
      <c r="R834" s="8"/>
      <c r="S834" s="8"/>
      <c r="T834" s="8"/>
      <c r="U834" s="12"/>
      <c r="V834" s="12"/>
      <c r="W834" s="12"/>
      <c r="X834" s="12"/>
      <c r="Y834" s="29"/>
      <c r="Z834" s="29"/>
      <c r="AA834" s="29"/>
      <c r="AB834" s="12"/>
      <c r="AC834" s="12"/>
      <c r="AD834" s="12"/>
      <c r="AE834" s="12"/>
      <c r="AF834" s="12"/>
    </row>
    <row r="835" spans="1:32">
      <c r="A835" s="8"/>
      <c r="B835" s="8"/>
      <c r="C835" s="8"/>
      <c r="D835" s="8"/>
      <c r="E835" s="8"/>
      <c r="F835" s="8"/>
      <c r="G835" s="8"/>
      <c r="H835" s="8"/>
      <c r="I835" s="8"/>
      <c r="J835" s="8"/>
      <c r="K835" s="8"/>
      <c r="L835" s="8"/>
      <c r="M835" s="8"/>
      <c r="N835" s="8"/>
      <c r="O835" s="8"/>
      <c r="P835" s="8"/>
      <c r="Q835" s="8"/>
      <c r="R835" s="8"/>
      <c r="S835" s="8"/>
      <c r="T835" s="8"/>
      <c r="U835" s="12"/>
      <c r="V835" s="12"/>
      <c r="W835" s="12"/>
      <c r="X835" s="12"/>
      <c r="Y835" s="29"/>
      <c r="Z835" s="29"/>
      <c r="AA835" s="29"/>
      <c r="AB835" s="12"/>
      <c r="AC835" s="12"/>
      <c r="AD835" s="12"/>
      <c r="AE835" s="12"/>
      <c r="AF835" s="12"/>
    </row>
    <row r="836" spans="1:32">
      <c r="A836" s="8"/>
      <c r="B836" s="8"/>
      <c r="C836" s="8"/>
      <c r="D836" s="8"/>
      <c r="E836" s="8"/>
      <c r="F836" s="8"/>
      <c r="G836" s="8"/>
      <c r="H836" s="8"/>
      <c r="I836" s="8"/>
      <c r="J836" s="8"/>
      <c r="K836" s="8"/>
      <c r="L836" s="8"/>
      <c r="M836" s="8"/>
      <c r="N836" s="8"/>
      <c r="O836" s="8"/>
      <c r="P836" s="8"/>
      <c r="Q836" s="8"/>
      <c r="R836" s="8"/>
      <c r="S836" s="8"/>
      <c r="T836" s="8"/>
      <c r="U836" s="12"/>
      <c r="V836" s="12"/>
      <c r="W836" s="12"/>
      <c r="X836" s="12"/>
      <c r="Y836" s="29"/>
      <c r="Z836" s="29"/>
      <c r="AA836" s="29"/>
      <c r="AB836" s="12"/>
      <c r="AC836" s="12"/>
      <c r="AD836" s="12"/>
      <c r="AE836" s="12"/>
      <c r="AF836" s="12"/>
    </row>
    <row r="837" spans="1:32">
      <c r="A837" s="8"/>
      <c r="B837" s="8"/>
      <c r="C837" s="8"/>
      <c r="D837" s="8"/>
      <c r="E837" s="8"/>
      <c r="F837" s="8"/>
      <c r="G837" s="8"/>
      <c r="H837" s="8"/>
      <c r="I837" s="8"/>
      <c r="J837" s="8"/>
      <c r="K837" s="8"/>
      <c r="L837" s="8"/>
      <c r="M837" s="8"/>
      <c r="N837" s="8"/>
      <c r="O837" s="8"/>
      <c r="P837" s="8"/>
      <c r="Q837" s="8"/>
      <c r="R837" s="8"/>
      <c r="S837" s="8"/>
      <c r="T837" s="8"/>
      <c r="U837" s="12"/>
      <c r="V837" s="12"/>
      <c r="W837" s="12"/>
      <c r="X837" s="12"/>
      <c r="Y837" s="29"/>
      <c r="Z837" s="29"/>
      <c r="AA837" s="29"/>
      <c r="AB837" s="12"/>
      <c r="AC837" s="12"/>
      <c r="AD837" s="12"/>
      <c r="AE837" s="12"/>
      <c r="AF837" s="12"/>
    </row>
    <row r="838" spans="1:32">
      <c r="A838" s="8"/>
      <c r="B838" s="8"/>
      <c r="C838" s="8"/>
      <c r="D838" s="8"/>
      <c r="E838" s="8"/>
      <c r="F838" s="8"/>
      <c r="G838" s="8"/>
      <c r="H838" s="8"/>
      <c r="I838" s="8"/>
      <c r="J838" s="8"/>
      <c r="K838" s="8"/>
      <c r="L838" s="8"/>
      <c r="M838" s="8"/>
      <c r="N838" s="8"/>
      <c r="O838" s="8"/>
      <c r="P838" s="8"/>
      <c r="Q838" s="8"/>
      <c r="R838" s="8"/>
      <c r="S838" s="8"/>
      <c r="T838" s="8"/>
      <c r="U838" s="12"/>
      <c r="V838" s="12"/>
      <c r="W838" s="12"/>
      <c r="X838" s="12"/>
      <c r="Y838" s="29"/>
      <c r="Z838" s="29"/>
      <c r="AA838" s="29"/>
      <c r="AB838" s="12"/>
      <c r="AC838" s="12"/>
      <c r="AD838" s="12"/>
      <c r="AE838" s="12"/>
      <c r="AF838" s="12"/>
    </row>
    <row r="839" spans="1:32">
      <c r="A839" s="8"/>
      <c r="B839" s="8"/>
      <c r="C839" s="8"/>
      <c r="D839" s="8"/>
      <c r="E839" s="8"/>
      <c r="F839" s="8"/>
      <c r="G839" s="8"/>
      <c r="H839" s="8"/>
      <c r="I839" s="8"/>
      <c r="J839" s="8"/>
      <c r="K839" s="8"/>
      <c r="L839" s="8"/>
      <c r="M839" s="8"/>
      <c r="N839" s="8"/>
      <c r="O839" s="8"/>
      <c r="P839" s="8"/>
      <c r="Q839" s="8"/>
      <c r="R839" s="8"/>
      <c r="S839" s="8"/>
      <c r="T839" s="8"/>
      <c r="U839" s="12"/>
      <c r="V839" s="12"/>
      <c r="W839" s="12"/>
      <c r="X839" s="12"/>
      <c r="Y839" s="29"/>
      <c r="Z839" s="29"/>
      <c r="AA839" s="29"/>
      <c r="AB839" s="12"/>
      <c r="AC839" s="12"/>
      <c r="AD839" s="12"/>
      <c r="AE839" s="12"/>
      <c r="AF839" s="12"/>
    </row>
    <row r="840" spans="1:32">
      <c r="A840" s="8"/>
      <c r="B840" s="8"/>
      <c r="C840" s="8"/>
      <c r="D840" s="8"/>
      <c r="E840" s="8"/>
      <c r="F840" s="8"/>
      <c r="G840" s="8"/>
      <c r="H840" s="8"/>
      <c r="I840" s="8"/>
      <c r="J840" s="8"/>
      <c r="K840" s="8"/>
      <c r="L840" s="8"/>
      <c r="M840" s="8"/>
      <c r="N840" s="8"/>
      <c r="O840" s="8"/>
      <c r="P840" s="8"/>
      <c r="Q840" s="8"/>
      <c r="R840" s="8"/>
      <c r="S840" s="8"/>
      <c r="T840" s="8"/>
      <c r="U840" s="12"/>
      <c r="V840" s="12"/>
      <c r="W840" s="12"/>
      <c r="X840" s="12"/>
      <c r="Y840" s="29"/>
      <c r="Z840" s="29"/>
      <c r="AA840" s="29"/>
      <c r="AB840" s="12"/>
      <c r="AC840" s="12"/>
      <c r="AD840" s="12"/>
      <c r="AE840" s="12"/>
      <c r="AF840" s="12"/>
    </row>
    <row r="841" spans="1:32">
      <c r="A841" s="8"/>
      <c r="B841" s="8"/>
      <c r="C841" s="8"/>
      <c r="D841" s="8"/>
      <c r="E841" s="8"/>
      <c r="F841" s="8"/>
      <c r="G841" s="8"/>
      <c r="H841" s="8"/>
      <c r="I841" s="8"/>
      <c r="J841" s="8"/>
      <c r="K841" s="8"/>
      <c r="L841" s="8"/>
      <c r="M841" s="8"/>
      <c r="N841" s="8"/>
      <c r="O841" s="8"/>
      <c r="P841" s="8"/>
      <c r="Q841" s="8"/>
      <c r="R841" s="8"/>
      <c r="S841" s="8"/>
      <c r="T841" s="8"/>
      <c r="U841" s="12"/>
      <c r="V841" s="12"/>
      <c r="W841" s="12"/>
      <c r="X841" s="12"/>
      <c r="Y841" s="29"/>
      <c r="Z841" s="29"/>
      <c r="AA841" s="29"/>
      <c r="AB841" s="12"/>
      <c r="AC841" s="12"/>
      <c r="AD841" s="12"/>
      <c r="AE841" s="12"/>
      <c r="AF841" s="12"/>
    </row>
    <row r="842" spans="1:32">
      <c r="A842" s="8"/>
      <c r="B842" s="8"/>
      <c r="C842" s="8"/>
      <c r="D842" s="8"/>
      <c r="E842" s="8"/>
      <c r="F842" s="8"/>
      <c r="G842" s="8"/>
      <c r="H842" s="8"/>
      <c r="I842" s="8"/>
      <c r="J842" s="8"/>
      <c r="K842" s="8"/>
      <c r="L842" s="8"/>
      <c r="M842" s="8"/>
      <c r="N842" s="8"/>
      <c r="O842" s="8"/>
      <c r="P842" s="8"/>
      <c r="Q842" s="8"/>
      <c r="R842" s="8"/>
      <c r="S842" s="8"/>
      <c r="T842" s="8"/>
      <c r="U842" s="12"/>
      <c r="V842" s="12"/>
      <c r="W842" s="12"/>
      <c r="X842" s="12"/>
      <c r="Y842" s="29"/>
      <c r="Z842" s="29"/>
      <c r="AA842" s="29"/>
      <c r="AB842" s="12"/>
      <c r="AC842" s="12"/>
      <c r="AD842" s="12"/>
      <c r="AE842" s="12"/>
      <c r="AF842" s="12"/>
    </row>
    <row r="843" spans="1:32">
      <c r="A843" s="8"/>
      <c r="B843" s="8"/>
      <c r="C843" s="8"/>
      <c r="D843" s="8"/>
      <c r="E843" s="8"/>
      <c r="F843" s="8"/>
      <c r="G843" s="8"/>
      <c r="H843" s="8"/>
      <c r="I843" s="8"/>
      <c r="J843" s="8"/>
      <c r="K843" s="8"/>
      <c r="L843" s="8"/>
      <c r="M843" s="8"/>
      <c r="N843" s="8"/>
      <c r="O843" s="8"/>
      <c r="P843" s="8"/>
      <c r="Q843" s="8"/>
      <c r="R843" s="8"/>
      <c r="S843" s="8"/>
      <c r="T843" s="8"/>
      <c r="U843" s="12"/>
      <c r="V843" s="12"/>
      <c r="W843" s="12"/>
      <c r="X843" s="12"/>
      <c r="Y843" s="29"/>
      <c r="Z843" s="29"/>
      <c r="AA843" s="29"/>
      <c r="AB843" s="12"/>
      <c r="AC843" s="12"/>
      <c r="AD843" s="12"/>
      <c r="AE843" s="12"/>
      <c r="AF843" s="12"/>
    </row>
    <row r="844" spans="1:32">
      <c r="A844" s="8"/>
      <c r="B844" s="8"/>
      <c r="C844" s="8"/>
      <c r="D844" s="8"/>
      <c r="E844" s="8"/>
      <c r="F844" s="8"/>
      <c r="G844" s="8"/>
      <c r="H844" s="8"/>
      <c r="I844" s="8"/>
      <c r="J844" s="8"/>
      <c r="K844" s="8"/>
      <c r="L844" s="8"/>
      <c r="M844" s="8"/>
      <c r="N844" s="8"/>
      <c r="O844" s="8"/>
      <c r="P844" s="8"/>
      <c r="Q844" s="8"/>
      <c r="R844" s="8"/>
      <c r="S844" s="8"/>
      <c r="T844" s="8"/>
      <c r="U844" s="12"/>
      <c r="V844" s="12"/>
      <c r="W844" s="12"/>
      <c r="X844" s="12"/>
      <c r="Y844" s="29"/>
      <c r="Z844" s="29"/>
      <c r="AA844" s="29"/>
      <c r="AB844" s="12"/>
      <c r="AC844" s="12"/>
      <c r="AD844" s="12"/>
      <c r="AE844" s="12"/>
      <c r="AF844" s="12"/>
    </row>
    <row r="845" spans="1:32">
      <c r="A845" s="8"/>
      <c r="B845" s="8"/>
      <c r="C845" s="8"/>
      <c r="D845" s="8"/>
      <c r="E845" s="8"/>
      <c r="F845" s="8"/>
      <c r="G845" s="8"/>
      <c r="H845" s="8"/>
      <c r="I845" s="8"/>
      <c r="J845" s="8"/>
      <c r="K845" s="8"/>
      <c r="L845" s="8"/>
      <c r="M845" s="8"/>
      <c r="N845" s="8"/>
      <c r="O845" s="8"/>
      <c r="P845" s="8"/>
      <c r="Q845" s="8"/>
      <c r="R845" s="8"/>
      <c r="S845" s="8"/>
      <c r="T845" s="8"/>
      <c r="U845" s="12"/>
      <c r="V845" s="12"/>
      <c r="W845" s="12"/>
      <c r="X845" s="12"/>
      <c r="Y845" s="29"/>
      <c r="Z845" s="29"/>
      <c r="AA845" s="29"/>
      <c r="AB845" s="12"/>
      <c r="AC845" s="12"/>
      <c r="AD845" s="12"/>
      <c r="AE845" s="12"/>
      <c r="AF845" s="12"/>
    </row>
    <row r="846" spans="1:32">
      <c r="A846" s="8"/>
      <c r="B846" s="8"/>
      <c r="C846" s="8"/>
      <c r="D846" s="8"/>
      <c r="E846" s="8"/>
      <c r="F846" s="8"/>
      <c r="G846" s="8"/>
      <c r="H846" s="8"/>
      <c r="I846" s="8"/>
      <c r="J846" s="8"/>
      <c r="K846" s="8"/>
      <c r="L846" s="8"/>
      <c r="M846" s="8"/>
      <c r="N846" s="8"/>
      <c r="O846" s="8"/>
      <c r="P846" s="8"/>
      <c r="Q846" s="8"/>
      <c r="R846" s="8"/>
      <c r="S846" s="8"/>
      <c r="T846" s="8"/>
      <c r="U846" s="12"/>
      <c r="V846" s="12"/>
      <c r="W846" s="12"/>
      <c r="X846" s="12"/>
      <c r="Y846" s="29"/>
      <c r="Z846" s="29"/>
      <c r="AA846" s="29"/>
      <c r="AB846" s="12"/>
      <c r="AC846" s="12"/>
      <c r="AD846" s="12"/>
      <c r="AE846" s="12"/>
      <c r="AF846" s="12"/>
    </row>
    <row r="847" spans="1:32">
      <c r="A847" s="8"/>
      <c r="B847" s="8"/>
      <c r="C847" s="8"/>
      <c r="D847" s="8"/>
      <c r="E847" s="8"/>
      <c r="F847" s="8"/>
      <c r="G847" s="8"/>
      <c r="H847" s="8"/>
      <c r="I847" s="8"/>
      <c r="J847" s="8"/>
      <c r="K847" s="8"/>
      <c r="L847" s="8"/>
      <c r="M847" s="8"/>
      <c r="N847" s="8"/>
      <c r="O847" s="8"/>
      <c r="P847" s="8"/>
      <c r="Q847" s="8"/>
      <c r="R847" s="8"/>
      <c r="S847" s="8"/>
      <c r="T847" s="8"/>
      <c r="U847" s="12"/>
      <c r="V847" s="12"/>
      <c r="W847" s="12"/>
      <c r="X847" s="12"/>
      <c r="Y847" s="29"/>
      <c r="Z847" s="29"/>
      <c r="AA847" s="29"/>
      <c r="AB847" s="12"/>
      <c r="AC847" s="12"/>
      <c r="AD847" s="12"/>
      <c r="AE847" s="12"/>
      <c r="AF847" s="12"/>
    </row>
    <row r="848" spans="1:32">
      <c r="A848" s="8"/>
      <c r="B848" s="8"/>
      <c r="C848" s="8"/>
      <c r="D848" s="8"/>
      <c r="E848" s="8"/>
      <c r="F848" s="8"/>
      <c r="G848" s="8"/>
      <c r="H848" s="8"/>
      <c r="I848" s="8"/>
      <c r="J848" s="8"/>
      <c r="K848" s="8"/>
      <c r="L848" s="8"/>
      <c r="M848" s="8"/>
      <c r="N848" s="8"/>
      <c r="O848" s="8"/>
      <c r="P848" s="8"/>
      <c r="Q848" s="8"/>
      <c r="R848" s="8"/>
      <c r="S848" s="8"/>
      <c r="T848" s="8"/>
      <c r="U848" s="12"/>
      <c r="V848" s="12"/>
      <c r="W848" s="12"/>
      <c r="X848" s="12"/>
      <c r="Y848" s="29"/>
      <c r="Z848" s="29"/>
      <c r="AA848" s="29"/>
      <c r="AB848" s="12"/>
      <c r="AC848" s="12"/>
      <c r="AD848" s="12"/>
      <c r="AE848" s="12"/>
      <c r="AF848" s="12"/>
    </row>
    <row r="849" spans="1:32">
      <c r="A849" s="8"/>
      <c r="B849" s="8"/>
      <c r="C849" s="8"/>
      <c r="D849" s="8"/>
      <c r="E849" s="8"/>
      <c r="F849" s="8"/>
      <c r="G849" s="8"/>
      <c r="H849" s="8"/>
      <c r="I849" s="8"/>
      <c r="J849" s="8"/>
      <c r="K849" s="8"/>
      <c r="L849" s="8"/>
      <c r="M849" s="8"/>
      <c r="N849" s="8"/>
      <c r="O849" s="8"/>
      <c r="P849" s="8"/>
      <c r="Q849" s="8"/>
      <c r="R849" s="8"/>
      <c r="S849" s="8"/>
      <c r="T849" s="8"/>
      <c r="U849" s="12"/>
      <c r="V849" s="12"/>
      <c r="W849" s="12"/>
      <c r="X849" s="12"/>
      <c r="Y849" s="29"/>
      <c r="Z849" s="29"/>
      <c r="AA849" s="29"/>
      <c r="AB849" s="12"/>
      <c r="AC849" s="12"/>
      <c r="AD849" s="12"/>
      <c r="AE849" s="12"/>
      <c r="AF849" s="12"/>
    </row>
    <row r="850" spans="1:32">
      <c r="A850" s="8"/>
      <c r="B850" s="8"/>
      <c r="C850" s="8"/>
      <c r="D850" s="8"/>
      <c r="E850" s="8"/>
      <c r="F850" s="8"/>
      <c r="G850" s="8"/>
      <c r="H850" s="8"/>
      <c r="I850" s="8"/>
      <c r="J850" s="8"/>
      <c r="K850" s="8"/>
      <c r="L850" s="8"/>
      <c r="M850" s="8"/>
      <c r="N850" s="8"/>
      <c r="O850" s="8"/>
      <c r="P850" s="8"/>
      <c r="Q850" s="8"/>
      <c r="R850" s="8"/>
      <c r="S850" s="8"/>
      <c r="T850" s="8"/>
      <c r="U850" s="12"/>
      <c r="V850" s="12"/>
      <c r="W850" s="12"/>
      <c r="X850" s="12"/>
      <c r="Y850" s="29"/>
      <c r="Z850" s="29"/>
      <c r="AA850" s="29"/>
      <c r="AB850" s="12"/>
      <c r="AC850" s="12"/>
      <c r="AD850" s="12"/>
      <c r="AE850" s="12"/>
      <c r="AF850" s="12"/>
    </row>
    <row r="851" spans="1:32">
      <c r="A851" s="8"/>
      <c r="B851" s="8"/>
      <c r="C851" s="8"/>
      <c r="D851" s="8"/>
      <c r="E851" s="8"/>
      <c r="F851" s="8"/>
      <c r="G851" s="8"/>
      <c r="H851" s="8"/>
      <c r="I851" s="8"/>
      <c r="J851" s="8"/>
      <c r="K851" s="8"/>
      <c r="L851" s="8"/>
      <c r="M851" s="8"/>
      <c r="N851" s="8"/>
      <c r="O851" s="8"/>
      <c r="P851" s="8"/>
      <c r="Q851" s="8"/>
      <c r="R851" s="8"/>
      <c r="S851" s="8"/>
      <c r="T851" s="8"/>
      <c r="U851" s="12"/>
      <c r="V851" s="12"/>
      <c r="W851" s="12"/>
      <c r="X851" s="12"/>
      <c r="Y851" s="29"/>
      <c r="Z851" s="29"/>
      <c r="AA851" s="29"/>
      <c r="AB851" s="12"/>
      <c r="AC851" s="12"/>
      <c r="AD851" s="12"/>
      <c r="AE851" s="12"/>
      <c r="AF851" s="12"/>
    </row>
    <row r="852" spans="1:32">
      <c r="A852" s="8"/>
      <c r="B852" s="8"/>
      <c r="C852" s="8"/>
      <c r="D852" s="8"/>
      <c r="E852" s="8"/>
      <c r="F852" s="8"/>
      <c r="G852" s="8"/>
      <c r="H852" s="8"/>
      <c r="I852" s="8"/>
      <c r="J852" s="8"/>
      <c r="K852" s="8"/>
      <c r="L852" s="8"/>
      <c r="M852" s="8"/>
      <c r="N852" s="8"/>
      <c r="O852" s="8"/>
      <c r="P852" s="8"/>
      <c r="Q852" s="8"/>
      <c r="R852" s="8"/>
      <c r="S852" s="8"/>
      <c r="T852" s="8"/>
      <c r="U852" s="12"/>
      <c r="V852" s="12"/>
      <c r="W852" s="12"/>
      <c r="X852" s="12"/>
      <c r="Y852" s="29"/>
      <c r="Z852" s="29"/>
      <c r="AA852" s="29"/>
      <c r="AB852" s="12"/>
      <c r="AC852" s="12"/>
      <c r="AD852" s="12"/>
      <c r="AE852" s="12"/>
      <c r="AF852" s="12"/>
    </row>
    <row r="853" spans="1:32">
      <c r="A853" s="8"/>
      <c r="B853" s="8"/>
      <c r="C853" s="8"/>
      <c r="D853" s="8"/>
      <c r="E853" s="8"/>
      <c r="F853" s="8"/>
      <c r="G853" s="8"/>
      <c r="H853" s="8"/>
      <c r="I853" s="8"/>
      <c r="J853" s="8"/>
      <c r="K853" s="8"/>
      <c r="L853" s="8"/>
      <c r="M853" s="8"/>
      <c r="N853" s="8"/>
      <c r="O853" s="8"/>
      <c r="P853" s="8"/>
      <c r="Q853" s="8"/>
      <c r="R853" s="8"/>
      <c r="S853" s="8"/>
      <c r="T853" s="8"/>
      <c r="U853" s="12"/>
      <c r="V853" s="12"/>
      <c r="W853" s="12"/>
      <c r="X853" s="12"/>
      <c r="Y853" s="29"/>
      <c r="Z853" s="29"/>
      <c r="AA853" s="29"/>
      <c r="AB853" s="12"/>
      <c r="AC853" s="12"/>
      <c r="AD853" s="12"/>
      <c r="AE853" s="12"/>
      <c r="AF853" s="12"/>
    </row>
    <row r="854" spans="1:32">
      <c r="A854" s="8"/>
      <c r="B854" s="8"/>
      <c r="C854" s="8"/>
      <c r="D854" s="8"/>
      <c r="E854" s="8"/>
      <c r="F854" s="8"/>
      <c r="G854" s="8"/>
      <c r="H854" s="8"/>
      <c r="I854" s="8"/>
      <c r="J854" s="8"/>
      <c r="K854" s="8"/>
      <c r="L854" s="8"/>
      <c r="M854" s="8"/>
      <c r="N854" s="8"/>
      <c r="O854" s="8"/>
      <c r="P854" s="8"/>
      <c r="Q854" s="8"/>
      <c r="R854" s="8"/>
      <c r="S854" s="8"/>
      <c r="T854" s="8"/>
      <c r="U854" s="12"/>
      <c r="V854" s="12"/>
      <c r="W854" s="12"/>
      <c r="X854" s="12"/>
      <c r="Y854" s="29"/>
      <c r="Z854" s="29"/>
      <c r="AA854" s="29"/>
      <c r="AB854" s="12"/>
      <c r="AC854" s="12"/>
      <c r="AD854" s="12"/>
      <c r="AE854" s="12"/>
      <c r="AF854" s="12"/>
    </row>
    <row r="855" spans="1:32">
      <c r="A855" s="8"/>
      <c r="B855" s="8"/>
      <c r="C855" s="8"/>
      <c r="D855" s="8"/>
      <c r="E855" s="8"/>
      <c r="F855" s="8"/>
      <c r="G855" s="8"/>
      <c r="H855" s="8"/>
      <c r="I855" s="8"/>
      <c r="J855" s="8"/>
      <c r="K855" s="8"/>
      <c r="L855" s="8"/>
      <c r="M855" s="8"/>
      <c r="N855" s="8"/>
      <c r="O855" s="8"/>
      <c r="P855" s="8"/>
      <c r="Q855" s="8"/>
      <c r="R855" s="8"/>
      <c r="S855" s="8"/>
      <c r="T855" s="8"/>
      <c r="U855" s="12"/>
      <c r="V855" s="12"/>
      <c r="W855" s="12"/>
      <c r="X855" s="12"/>
      <c r="Y855" s="29"/>
      <c r="Z855" s="29"/>
      <c r="AA855" s="29"/>
      <c r="AB855" s="12"/>
      <c r="AC855" s="12"/>
      <c r="AD855" s="12"/>
      <c r="AE855" s="12"/>
      <c r="AF855" s="12"/>
    </row>
    <row r="856" spans="1:32">
      <c r="A856" s="8"/>
      <c r="B856" s="8"/>
      <c r="C856" s="8"/>
      <c r="D856" s="8"/>
      <c r="E856" s="8"/>
      <c r="F856" s="8"/>
      <c r="G856" s="8"/>
      <c r="H856" s="8"/>
      <c r="I856" s="8"/>
      <c r="J856" s="8"/>
      <c r="K856" s="8"/>
      <c r="L856" s="8"/>
      <c r="M856" s="8"/>
      <c r="N856" s="8"/>
      <c r="O856" s="8"/>
      <c r="P856" s="8"/>
      <c r="Q856" s="8"/>
      <c r="R856" s="8"/>
      <c r="S856" s="8"/>
      <c r="T856" s="8"/>
      <c r="U856" s="12"/>
      <c r="V856" s="12"/>
      <c r="W856" s="12"/>
      <c r="X856" s="12"/>
      <c r="Y856" s="29"/>
      <c r="Z856" s="29"/>
      <c r="AA856" s="29"/>
      <c r="AB856" s="12"/>
      <c r="AC856" s="12"/>
      <c r="AD856" s="12"/>
      <c r="AE856" s="12"/>
      <c r="AF856" s="12"/>
    </row>
    <row r="857" spans="1:32">
      <c r="A857" s="8"/>
      <c r="B857" s="8"/>
      <c r="C857" s="8"/>
      <c r="D857" s="8"/>
      <c r="E857" s="8"/>
      <c r="F857" s="8"/>
      <c r="G857" s="8"/>
      <c r="H857" s="8"/>
      <c r="I857" s="8"/>
      <c r="J857" s="8"/>
      <c r="K857" s="8"/>
      <c r="L857" s="8"/>
      <c r="M857" s="8"/>
      <c r="N857" s="8"/>
      <c r="O857" s="8"/>
      <c r="P857" s="8"/>
      <c r="Q857" s="8"/>
      <c r="R857" s="8"/>
      <c r="S857" s="8"/>
      <c r="T857" s="8"/>
      <c r="U857" s="12"/>
      <c r="V857" s="12"/>
      <c r="W857" s="12"/>
      <c r="X857" s="12"/>
      <c r="Y857" s="29"/>
      <c r="Z857" s="29"/>
      <c r="AA857" s="29"/>
      <c r="AB857" s="12"/>
      <c r="AC857" s="12"/>
      <c r="AD857" s="12"/>
      <c r="AE857" s="12"/>
      <c r="AF857" s="12"/>
    </row>
    <row r="858" spans="1:32">
      <c r="A858" s="8"/>
      <c r="B858" s="8"/>
      <c r="C858" s="8"/>
      <c r="D858" s="8"/>
      <c r="E858" s="8"/>
      <c r="F858" s="8"/>
      <c r="G858" s="8"/>
      <c r="H858" s="8"/>
      <c r="I858" s="8"/>
      <c r="J858" s="8"/>
      <c r="K858" s="8"/>
      <c r="L858" s="8"/>
      <c r="M858" s="8"/>
      <c r="N858" s="8"/>
      <c r="O858" s="8"/>
      <c r="P858" s="8"/>
      <c r="Q858" s="8"/>
      <c r="R858" s="8"/>
      <c r="S858" s="8"/>
      <c r="T858" s="8"/>
      <c r="U858" s="12"/>
      <c r="V858" s="12"/>
      <c r="W858" s="12"/>
      <c r="X858" s="12"/>
      <c r="Y858" s="29"/>
      <c r="Z858" s="29"/>
      <c r="AA858" s="29"/>
      <c r="AB858" s="12"/>
      <c r="AC858" s="12"/>
      <c r="AD858" s="12"/>
      <c r="AE858" s="12"/>
      <c r="AF858" s="12"/>
    </row>
    <row r="859" spans="1:32">
      <c r="A859" s="8"/>
      <c r="B859" s="8"/>
      <c r="C859" s="8"/>
      <c r="D859" s="8"/>
      <c r="E859" s="8"/>
      <c r="F859" s="8"/>
      <c r="G859" s="8"/>
      <c r="H859" s="8"/>
      <c r="I859" s="8"/>
      <c r="J859" s="8"/>
      <c r="K859" s="8"/>
      <c r="L859" s="8"/>
      <c r="M859" s="8"/>
      <c r="N859" s="8"/>
      <c r="O859" s="8"/>
      <c r="P859" s="8"/>
      <c r="Q859" s="8"/>
      <c r="R859" s="8"/>
      <c r="S859" s="8"/>
      <c r="T859" s="8"/>
      <c r="U859" s="12"/>
      <c r="V859" s="12"/>
      <c r="W859" s="12"/>
      <c r="X859" s="12"/>
      <c r="Y859" s="29"/>
      <c r="Z859" s="29"/>
      <c r="AA859" s="29"/>
      <c r="AB859" s="12"/>
      <c r="AC859" s="12"/>
      <c r="AD859" s="12"/>
      <c r="AE859" s="12"/>
      <c r="AF859" s="12"/>
    </row>
    <row r="860" spans="1:32">
      <c r="A860" s="8"/>
      <c r="B860" s="8"/>
      <c r="C860" s="8"/>
      <c r="D860" s="8"/>
      <c r="E860" s="8"/>
      <c r="F860" s="8"/>
      <c r="G860" s="8"/>
      <c r="H860" s="8"/>
      <c r="I860" s="8"/>
      <c r="J860" s="8"/>
      <c r="K860" s="8"/>
      <c r="L860" s="8"/>
      <c r="M860" s="8"/>
      <c r="N860" s="8"/>
      <c r="O860" s="8"/>
      <c r="P860" s="8"/>
      <c r="Q860" s="8"/>
      <c r="R860" s="8"/>
      <c r="S860" s="8"/>
      <c r="T860" s="8"/>
      <c r="U860" s="12"/>
      <c r="V860" s="12"/>
      <c r="W860" s="12"/>
      <c r="X860" s="12"/>
      <c r="Y860" s="29"/>
      <c r="Z860" s="29"/>
      <c r="AA860" s="29"/>
      <c r="AB860" s="12"/>
      <c r="AC860" s="12"/>
      <c r="AD860" s="12"/>
      <c r="AE860" s="12"/>
      <c r="AF860" s="12"/>
    </row>
    <row r="861" spans="1:32">
      <c r="A861" s="8"/>
      <c r="B861" s="8"/>
      <c r="C861" s="8"/>
      <c r="D861" s="8"/>
      <c r="E861" s="8"/>
      <c r="F861" s="8"/>
      <c r="G861" s="8"/>
      <c r="H861" s="8"/>
      <c r="I861" s="8"/>
      <c r="J861" s="8"/>
      <c r="K861" s="8"/>
      <c r="L861" s="8"/>
      <c r="M861" s="8"/>
      <c r="N861" s="8"/>
      <c r="O861" s="8"/>
      <c r="P861" s="8"/>
      <c r="Q861" s="8"/>
      <c r="R861" s="8"/>
      <c r="S861" s="8"/>
      <c r="T861" s="8"/>
      <c r="U861" s="12"/>
      <c r="V861" s="12"/>
      <c r="W861" s="12"/>
      <c r="X861" s="12"/>
      <c r="Y861" s="29"/>
      <c r="Z861" s="29"/>
      <c r="AA861" s="29"/>
      <c r="AB861" s="12"/>
      <c r="AC861" s="12"/>
      <c r="AD861" s="12"/>
      <c r="AE861" s="12"/>
      <c r="AF861" s="12"/>
    </row>
    <row r="862" spans="1:32">
      <c r="A862" s="8"/>
      <c r="B862" s="8"/>
      <c r="C862" s="8"/>
      <c r="D862" s="8"/>
      <c r="E862" s="8"/>
      <c r="F862" s="8"/>
      <c r="G862" s="8"/>
      <c r="H862" s="8"/>
      <c r="I862" s="8"/>
      <c r="J862" s="8"/>
      <c r="K862" s="8"/>
      <c r="L862" s="8"/>
      <c r="M862" s="8"/>
      <c r="N862" s="8"/>
      <c r="O862" s="8"/>
      <c r="P862" s="8"/>
      <c r="Q862" s="8"/>
      <c r="R862" s="8"/>
      <c r="S862" s="8"/>
      <c r="T862" s="8"/>
      <c r="U862" s="12"/>
      <c r="V862" s="12"/>
      <c r="W862" s="12"/>
      <c r="X862" s="12"/>
      <c r="Y862" s="29"/>
      <c r="Z862" s="29"/>
      <c r="AA862" s="29"/>
      <c r="AB862" s="12"/>
      <c r="AC862" s="12"/>
      <c r="AD862" s="12"/>
      <c r="AE862" s="12"/>
      <c r="AF862" s="12"/>
    </row>
    <row r="863" spans="1:32">
      <c r="A863" s="8"/>
      <c r="B863" s="8"/>
      <c r="C863" s="8"/>
      <c r="D863" s="8"/>
      <c r="E863" s="8"/>
      <c r="F863" s="8"/>
      <c r="G863" s="8"/>
      <c r="H863" s="8"/>
      <c r="I863" s="8"/>
      <c r="J863" s="8"/>
      <c r="K863" s="8"/>
      <c r="L863" s="8"/>
      <c r="M863" s="8"/>
      <c r="N863" s="8"/>
      <c r="O863" s="8"/>
      <c r="P863" s="8"/>
      <c r="Q863" s="8"/>
      <c r="R863" s="8"/>
      <c r="S863" s="8"/>
      <c r="T863" s="8"/>
      <c r="U863" s="12"/>
      <c r="V863" s="12"/>
      <c r="W863" s="12"/>
      <c r="X863" s="12"/>
      <c r="Y863" s="29"/>
      <c r="Z863" s="29"/>
      <c r="AA863" s="29"/>
      <c r="AB863" s="12"/>
      <c r="AC863" s="12"/>
      <c r="AD863" s="12"/>
      <c r="AE863" s="12"/>
      <c r="AF863" s="12"/>
    </row>
    <row r="864" spans="1:32">
      <c r="A864" s="8"/>
      <c r="B864" s="8"/>
      <c r="C864" s="8"/>
      <c r="D864" s="8"/>
      <c r="E864" s="8"/>
      <c r="F864" s="8"/>
      <c r="G864" s="8"/>
      <c r="H864" s="8"/>
      <c r="I864" s="8"/>
      <c r="J864" s="8"/>
      <c r="K864" s="8"/>
      <c r="L864" s="8"/>
      <c r="M864" s="8"/>
      <c r="N864" s="8"/>
      <c r="O864" s="8"/>
      <c r="P864" s="8"/>
      <c r="Q864" s="8"/>
      <c r="R864" s="8"/>
      <c r="S864" s="8"/>
      <c r="T864" s="8"/>
      <c r="U864" s="12"/>
      <c r="V864" s="12"/>
      <c r="W864" s="12"/>
      <c r="X864" s="12"/>
      <c r="Y864" s="29"/>
      <c r="Z864" s="29"/>
      <c r="AA864" s="29"/>
      <c r="AB864" s="12"/>
      <c r="AC864" s="12"/>
      <c r="AD864" s="12"/>
      <c r="AE864" s="12"/>
      <c r="AF864" s="12"/>
    </row>
    <row r="865" spans="1:32">
      <c r="A865" s="8"/>
      <c r="B865" s="8"/>
      <c r="C865" s="8"/>
      <c r="D865" s="8"/>
      <c r="E865" s="8"/>
      <c r="F865" s="8"/>
      <c r="G865" s="8"/>
      <c r="H865" s="8"/>
      <c r="I865" s="8"/>
      <c r="J865" s="8"/>
      <c r="K865" s="8"/>
      <c r="L865" s="8"/>
      <c r="M865" s="8"/>
      <c r="N865" s="8"/>
      <c r="O865" s="8"/>
      <c r="P865" s="8"/>
      <c r="Q865" s="8"/>
      <c r="R865" s="8"/>
      <c r="S865" s="8"/>
      <c r="T865" s="8"/>
      <c r="U865" s="12"/>
      <c r="V865" s="12"/>
      <c r="W865" s="12"/>
      <c r="X865" s="12"/>
      <c r="Y865" s="29"/>
      <c r="Z865" s="29"/>
      <c r="AA865" s="29"/>
      <c r="AB865" s="12"/>
      <c r="AC865" s="12"/>
      <c r="AD865" s="12"/>
      <c r="AE865" s="12"/>
      <c r="AF865" s="12"/>
    </row>
    <row r="866" spans="1:32">
      <c r="A866" s="8"/>
      <c r="B866" s="8"/>
      <c r="C866" s="8"/>
      <c r="D866" s="8"/>
      <c r="E866" s="8"/>
      <c r="F866" s="8"/>
      <c r="G866" s="8"/>
      <c r="H866" s="8"/>
      <c r="I866" s="8"/>
      <c r="J866" s="8"/>
      <c r="K866" s="8"/>
      <c r="L866" s="8"/>
      <c r="M866" s="8"/>
      <c r="N866" s="8"/>
      <c r="O866" s="8"/>
      <c r="P866" s="8"/>
      <c r="Q866" s="8"/>
      <c r="R866" s="8"/>
      <c r="S866" s="8"/>
      <c r="T866" s="8"/>
      <c r="U866" s="12"/>
      <c r="V866" s="12"/>
      <c r="W866" s="12"/>
      <c r="X866" s="12"/>
      <c r="Y866" s="29"/>
      <c r="Z866" s="29"/>
      <c r="AA866" s="29"/>
      <c r="AB866" s="12"/>
      <c r="AC866" s="12"/>
      <c r="AD866" s="12"/>
      <c r="AE866" s="12"/>
      <c r="AF866" s="12"/>
    </row>
    <row r="867" spans="1:32">
      <c r="A867" s="8"/>
      <c r="B867" s="8"/>
      <c r="C867" s="8"/>
      <c r="D867" s="8"/>
      <c r="E867" s="8"/>
      <c r="F867" s="8"/>
      <c r="G867" s="8"/>
      <c r="H867" s="8"/>
      <c r="I867" s="8"/>
      <c r="J867" s="8"/>
      <c r="K867" s="8"/>
      <c r="L867" s="8"/>
      <c r="M867" s="8"/>
      <c r="N867" s="8"/>
      <c r="O867" s="8"/>
      <c r="P867" s="8"/>
      <c r="Q867" s="8"/>
      <c r="R867" s="8"/>
      <c r="S867" s="8"/>
      <c r="T867" s="8"/>
      <c r="U867" s="12"/>
      <c r="V867" s="12"/>
      <c r="W867" s="12"/>
      <c r="X867" s="12"/>
      <c r="Y867" s="29"/>
      <c r="Z867" s="29"/>
      <c r="AA867" s="29"/>
      <c r="AB867" s="12"/>
      <c r="AC867" s="12"/>
      <c r="AD867" s="12"/>
      <c r="AE867" s="12"/>
      <c r="AF867" s="12"/>
    </row>
    <row r="868" spans="1:32">
      <c r="A868" s="8"/>
      <c r="B868" s="8"/>
      <c r="C868" s="8"/>
      <c r="D868" s="8"/>
      <c r="E868" s="8"/>
      <c r="F868" s="8"/>
      <c r="G868" s="8"/>
      <c r="H868" s="8"/>
      <c r="I868" s="8"/>
      <c r="J868" s="8"/>
      <c r="K868" s="8"/>
      <c r="L868" s="8"/>
      <c r="M868" s="8"/>
      <c r="N868" s="8"/>
      <c r="O868" s="8"/>
      <c r="P868" s="8"/>
      <c r="Q868" s="8"/>
      <c r="R868" s="8"/>
      <c r="S868" s="8"/>
      <c r="T868" s="8"/>
      <c r="U868" s="12"/>
      <c r="V868" s="12"/>
      <c r="W868" s="12"/>
      <c r="X868" s="12"/>
      <c r="Y868" s="29"/>
      <c r="Z868" s="29"/>
      <c r="AA868" s="29"/>
      <c r="AB868" s="12"/>
      <c r="AC868" s="12"/>
      <c r="AD868" s="12"/>
      <c r="AE868" s="12"/>
      <c r="AF868" s="12"/>
    </row>
    <row r="869" spans="1:32">
      <c r="A869" s="8"/>
      <c r="B869" s="8"/>
      <c r="C869" s="8"/>
      <c r="D869" s="8"/>
      <c r="E869" s="8"/>
      <c r="F869" s="8"/>
      <c r="G869" s="8"/>
      <c r="H869" s="8"/>
      <c r="I869" s="8"/>
      <c r="J869" s="8"/>
      <c r="K869" s="8"/>
      <c r="L869" s="8"/>
      <c r="M869" s="8"/>
      <c r="N869" s="8"/>
      <c r="O869" s="8"/>
      <c r="P869" s="8"/>
      <c r="Q869" s="8"/>
      <c r="R869" s="8"/>
      <c r="S869" s="8"/>
      <c r="T869" s="8"/>
      <c r="U869" s="12"/>
      <c r="V869" s="12"/>
      <c r="W869" s="12"/>
      <c r="X869" s="12"/>
      <c r="Y869" s="29"/>
      <c r="Z869" s="29"/>
      <c r="AA869" s="29"/>
      <c r="AB869" s="12"/>
      <c r="AC869" s="12"/>
      <c r="AD869" s="12"/>
      <c r="AE869" s="12"/>
      <c r="AF869" s="12"/>
    </row>
    <row r="870" spans="1:32">
      <c r="A870" s="8"/>
      <c r="B870" s="8"/>
      <c r="C870" s="8"/>
      <c r="D870" s="8"/>
      <c r="E870" s="8"/>
      <c r="F870" s="8"/>
      <c r="G870" s="8"/>
      <c r="H870" s="8"/>
      <c r="I870" s="8"/>
      <c r="J870" s="8"/>
      <c r="K870" s="8"/>
      <c r="L870" s="8"/>
      <c r="M870" s="8"/>
      <c r="N870" s="8"/>
      <c r="O870" s="8"/>
      <c r="P870" s="8"/>
      <c r="Q870" s="8"/>
      <c r="R870" s="8"/>
      <c r="S870" s="8"/>
      <c r="T870" s="8"/>
      <c r="U870" s="12"/>
      <c r="V870" s="12"/>
      <c r="W870" s="12"/>
      <c r="X870" s="12"/>
      <c r="Y870" s="29"/>
      <c r="Z870" s="29"/>
      <c r="AA870" s="29"/>
      <c r="AB870" s="12"/>
      <c r="AC870" s="12"/>
      <c r="AD870" s="12"/>
      <c r="AE870" s="12"/>
      <c r="AF870" s="12"/>
    </row>
    <row r="871" spans="1:32">
      <c r="A871" s="8"/>
      <c r="B871" s="8"/>
      <c r="C871" s="8"/>
      <c r="D871" s="8"/>
      <c r="E871" s="8"/>
      <c r="F871" s="8"/>
      <c r="G871" s="8"/>
      <c r="H871" s="8"/>
      <c r="I871" s="8"/>
      <c r="J871" s="8"/>
      <c r="K871" s="8"/>
      <c r="L871" s="8"/>
      <c r="M871" s="8"/>
      <c r="N871" s="8"/>
      <c r="O871" s="8"/>
      <c r="P871" s="8"/>
      <c r="Q871" s="8"/>
      <c r="R871" s="8"/>
      <c r="S871" s="8"/>
      <c r="T871" s="8"/>
      <c r="U871" s="12"/>
      <c r="V871" s="12"/>
      <c r="W871" s="12"/>
      <c r="X871" s="12"/>
      <c r="Y871" s="29"/>
      <c r="Z871" s="29"/>
      <c r="AA871" s="29"/>
      <c r="AB871" s="12"/>
      <c r="AC871" s="12"/>
      <c r="AD871" s="12"/>
      <c r="AE871" s="12"/>
      <c r="AF871" s="12"/>
    </row>
    <row r="872" spans="1:32">
      <c r="A872" s="8"/>
      <c r="B872" s="8"/>
      <c r="C872" s="8"/>
      <c r="D872" s="8"/>
      <c r="E872" s="8"/>
      <c r="F872" s="8"/>
      <c r="G872" s="8"/>
      <c r="H872" s="8"/>
      <c r="I872" s="8"/>
      <c r="J872" s="8"/>
      <c r="K872" s="8"/>
      <c r="L872" s="8"/>
      <c r="M872" s="8"/>
      <c r="N872" s="8"/>
      <c r="O872" s="8"/>
      <c r="P872" s="8"/>
      <c r="Q872" s="8"/>
      <c r="R872" s="8"/>
      <c r="S872" s="8"/>
      <c r="T872" s="8"/>
      <c r="U872" s="12"/>
      <c r="V872" s="12"/>
      <c r="W872" s="12"/>
      <c r="X872" s="12"/>
      <c r="Y872" s="29"/>
      <c r="Z872" s="29"/>
      <c r="AA872" s="29"/>
      <c r="AB872" s="12"/>
      <c r="AC872" s="12"/>
      <c r="AD872" s="12"/>
      <c r="AE872" s="12"/>
      <c r="AF872" s="12"/>
    </row>
    <row r="873" spans="1:32">
      <c r="A873" s="8"/>
      <c r="B873" s="8"/>
      <c r="C873" s="8"/>
      <c r="D873" s="8"/>
      <c r="E873" s="8"/>
      <c r="F873" s="8"/>
      <c r="G873" s="8"/>
      <c r="H873" s="8"/>
      <c r="I873" s="8"/>
      <c r="J873" s="8"/>
      <c r="K873" s="8"/>
      <c r="L873" s="8"/>
      <c r="M873" s="8"/>
      <c r="N873" s="8"/>
      <c r="O873" s="8"/>
      <c r="P873" s="8"/>
      <c r="Q873" s="8"/>
      <c r="R873" s="8"/>
      <c r="S873" s="8"/>
      <c r="T873" s="8"/>
      <c r="U873" s="12"/>
      <c r="V873" s="12"/>
      <c r="W873" s="12"/>
      <c r="X873" s="12"/>
      <c r="Y873" s="29"/>
      <c r="Z873" s="29"/>
      <c r="AA873" s="29"/>
      <c r="AB873" s="12"/>
      <c r="AC873" s="12"/>
      <c r="AD873" s="12"/>
      <c r="AE873" s="12"/>
      <c r="AF873" s="12"/>
    </row>
    <row r="874" spans="1:32">
      <c r="A874" s="8"/>
      <c r="B874" s="8"/>
      <c r="C874" s="8"/>
      <c r="D874" s="8"/>
      <c r="E874" s="8"/>
      <c r="F874" s="8"/>
      <c r="G874" s="8"/>
      <c r="H874" s="8"/>
      <c r="I874" s="8"/>
      <c r="J874" s="8"/>
      <c r="K874" s="8"/>
      <c r="L874" s="8"/>
      <c r="M874" s="8"/>
      <c r="N874" s="8"/>
      <c r="O874" s="8"/>
      <c r="P874" s="8"/>
      <c r="Q874" s="8"/>
      <c r="R874" s="8"/>
      <c r="S874" s="8"/>
      <c r="T874" s="8"/>
      <c r="U874" s="12"/>
      <c r="V874" s="12"/>
      <c r="W874" s="12"/>
      <c r="X874" s="12"/>
      <c r="Y874" s="29"/>
      <c r="Z874" s="29"/>
      <c r="AA874" s="29"/>
      <c r="AB874" s="12"/>
      <c r="AC874" s="12"/>
      <c r="AD874" s="12"/>
      <c r="AE874" s="12"/>
      <c r="AF874" s="12"/>
    </row>
    <row r="875" spans="1:32">
      <c r="A875" s="8"/>
      <c r="B875" s="8"/>
      <c r="C875" s="8"/>
      <c r="D875" s="8"/>
      <c r="E875" s="8"/>
      <c r="F875" s="8"/>
      <c r="G875" s="8"/>
      <c r="H875" s="8"/>
      <c r="I875" s="8"/>
      <c r="J875" s="8"/>
      <c r="K875" s="8"/>
      <c r="L875" s="8"/>
      <c r="M875" s="8"/>
      <c r="N875" s="8"/>
      <c r="O875" s="8"/>
      <c r="P875" s="8"/>
      <c r="Q875" s="8"/>
      <c r="R875" s="8"/>
      <c r="S875" s="8"/>
      <c r="T875" s="8"/>
      <c r="U875" s="12"/>
      <c r="V875" s="12"/>
      <c r="W875" s="12"/>
      <c r="X875" s="12"/>
      <c r="Y875" s="29"/>
      <c r="Z875" s="29"/>
      <c r="AA875" s="29"/>
      <c r="AB875" s="12"/>
      <c r="AC875" s="12"/>
      <c r="AD875" s="12"/>
      <c r="AE875" s="12"/>
      <c r="AF875" s="12"/>
    </row>
    <row r="876" spans="1:32">
      <c r="A876" s="8"/>
      <c r="B876" s="8"/>
      <c r="C876" s="8"/>
      <c r="D876" s="8"/>
      <c r="E876" s="8"/>
      <c r="F876" s="8"/>
      <c r="G876" s="8"/>
      <c r="H876" s="8"/>
      <c r="I876" s="8"/>
      <c r="J876" s="8"/>
      <c r="K876" s="8"/>
      <c r="L876" s="8"/>
      <c r="M876" s="8"/>
      <c r="N876" s="8"/>
      <c r="O876" s="8"/>
      <c r="P876" s="8"/>
      <c r="Q876" s="8"/>
      <c r="R876" s="8"/>
      <c r="S876" s="8"/>
      <c r="T876" s="8"/>
      <c r="U876" s="12"/>
      <c r="V876" s="12"/>
      <c r="W876" s="12"/>
      <c r="X876" s="12"/>
      <c r="Y876" s="29"/>
      <c r="Z876" s="29"/>
      <c r="AA876" s="29"/>
      <c r="AB876" s="12"/>
      <c r="AC876" s="12"/>
      <c r="AD876" s="12"/>
      <c r="AE876" s="12"/>
      <c r="AF876" s="12"/>
    </row>
    <row r="877" spans="1:32">
      <c r="A877" s="8"/>
      <c r="B877" s="8"/>
      <c r="C877" s="8"/>
      <c r="D877" s="8"/>
      <c r="E877" s="8"/>
      <c r="F877" s="8"/>
      <c r="G877" s="8"/>
      <c r="H877" s="8"/>
      <c r="I877" s="8"/>
      <c r="J877" s="8"/>
      <c r="K877" s="8"/>
      <c r="L877" s="8"/>
      <c r="M877" s="8"/>
      <c r="N877" s="8"/>
      <c r="O877" s="8"/>
      <c r="P877" s="8"/>
      <c r="Q877" s="8"/>
      <c r="R877" s="8"/>
      <c r="S877" s="8"/>
      <c r="T877" s="8"/>
      <c r="U877" s="12"/>
      <c r="V877" s="12"/>
      <c r="W877" s="12"/>
      <c r="X877" s="12"/>
      <c r="Y877" s="29"/>
      <c r="Z877" s="29"/>
      <c r="AA877" s="29"/>
      <c r="AB877" s="12"/>
      <c r="AC877" s="12"/>
      <c r="AD877" s="12"/>
      <c r="AE877" s="12"/>
      <c r="AF877" s="12"/>
    </row>
    <row r="878" spans="1:32">
      <c r="A878" s="8"/>
      <c r="B878" s="8"/>
      <c r="C878" s="8"/>
      <c r="D878" s="8"/>
      <c r="E878" s="8"/>
      <c r="F878" s="8"/>
      <c r="G878" s="8"/>
      <c r="H878" s="8"/>
      <c r="I878" s="8"/>
      <c r="J878" s="8"/>
      <c r="K878" s="8"/>
      <c r="L878" s="8"/>
      <c r="M878" s="8"/>
      <c r="N878" s="8"/>
      <c r="O878" s="8"/>
      <c r="P878" s="8"/>
      <c r="Q878" s="8"/>
      <c r="R878" s="8"/>
      <c r="S878" s="8"/>
      <c r="T878" s="8"/>
      <c r="U878" s="12"/>
      <c r="V878" s="12"/>
      <c r="W878" s="12"/>
      <c r="X878" s="12"/>
      <c r="Y878" s="29"/>
      <c r="Z878" s="29"/>
      <c r="AA878" s="29"/>
      <c r="AB878" s="12"/>
      <c r="AC878" s="12"/>
      <c r="AD878" s="12"/>
      <c r="AE878" s="12"/>
      <c r="AF878" s="12"/>
    </row>
    <row r="879" spans="1:32">
      <c r="A879" s="8"/>
      <c r="B879" s="8"/>
      <c r="C879" s="8"/>
      <c r="D879" s="8"/>
      <c r="E879" s="8"/>
      <c r="F879" s="8"/>
      <c r="G879" s="8"/>
      <c r="H879" s="8"/>
      <c r="I879" s="8"/>
      <c r="J879" s="8"/>
      <c r="K879" s="8"/>
      <c r="L879" s="8"/>
      <c r="M879" s="8"/>
      <c r="N879" s="8"/>
      <c r="O879" s="8"/>
      <c r="P879" s="8"/>
      <c r="Q879" s="8"/>
      <c r="R879" s="8"/>
      <c r="S879" s="8"/>
      <c r="T879" s="8"/>
      <c r="U879" s="12"/>
      <c r="V879" s="12"/>
      <c r="W879" s="12"/>
      <c r="X879" s="12"/>
      <c r="Y879" s="29"/>
      <c r="Z879" s="29"/>
      <c r="AA879" s="29"/>
      <c r="AB879" s="12"/>
      <c r="AC879" s="12"/>
      <c r="AD879" s="12"/>
      <c r="AE879" s="12"/>
      <c r="AF879" s="12"/>
    </row>
    <row r="880" spans="1:32">
      <c r="A880" s="8"/>
      <c r="B880" s="8"/>
      <c r="C880" s="8"/>
      <c r="D880" s="8"/>
      <c r="E880" s="8"/>
      <c r="F880" s="8"/>
      <c r="G880" s="8"/>
      <c r="H880" s="8"/>
      <c r="I880" s="8"/>
      <c r="J880" s="8"/>
      <c r="K880" s="8"/>
      <c r="L880" s="8"/>
      <c r="M880" s="8"/>
      <c r="N880" s="8"/>
      <c r="O880" s="8"/>
      <c r="P880" s="8"/>
      <c r="Q880" s="8"/>
      <c r="R880" s="8"/>
      <c r="S880" s="8"/>
      <c r="T880" s="8"/>
      <c r="U880" s="12"/>
      <c r="V880" s="12"/>
      <c r="W880" s="12"/>
      <c r="X880" s="12"/>
      <c r="Y880" s="29"/>
      <c r="Z880" s="29"/>
      <c r="AA880" s="29"/>
      <c r="AB880" s="12"/>
      <c r="AC880" s="12"/>
      <c r="AD880" s="12"/>
      <c r="AE880" s="12"/>
      <c r="AF880" s="12"/>
    </row>
    <row r="881" spans="1:32">
      <c r="A881" s="8"/>
      <c r="B881" s="8"/>
      <c r="C881" s="8"/>
      <c r="D881" s="8"/>
      <c r="E881" s="8"/>
      <c r="F881" s="8"/>
      <c r="G881" s="8"/>
      <c r="H881" s="8"/>
      <c r="I881" s="8"/>
      <c r="J881" s="8"/>
      <c r="K881" s="8"/>
      <c r="L881" s="8"/>
      <c r="M881" s="8"/>
      <c r="N881" s="8"/>
      <c r="O881" s="8"/>
      <c r="P881" s="8"/>
      <c r="Q881" s="8"/>
      <c r="R881" s="8"/>
      <c r="S881" s="8"/>
      <c r="T881" s="8"/>
      <c r="U881" s="12"/>
      <c r="V881" s="12"/>
      <c r="W881" s="12"/>
      <c r="X881" s="12"/>
      <c r="Y881" s="29"/>
      <c r="Z881" s="29"/>
      <c r="AA881" s="29"/>
      <c r="AB881" s="12"/>
      <c r="AC881" s="12"/>
      <c r="AD881" s="12"/>
      <c r="AE881" s="12"/>
      <c r="AF881" s="12"/>
    </row>
    <row r="882" spans="1:32">
      <c r="A882" s="8"/>
      <c r="B882" s="8"/>
      <c r="C882" s="8"/>
      <c r="D882" s="8"/>
      <c r="E882" s="8"/>
      <c r="F882" s="8"/>
      <c r="G882" s="8"/>
      <c r="H882" s="8"/>
      <c r="I882" s="8"/>
      <c r="J882" s="8"/>
      <c r="K882" s="8"/>
      <c r="L882" s="8"/>
      <c r="M882" s="8"/>
      <c r="N882" s="8"/>
      <c r="O882" s="8"/>
      <c r="P882" s="8"/>
      <c r="Q882" s="8"/>
      <c r="R882" s="8"/>
      <c r="S882" s="8"/>
      <c r="T882" s="8"/>
      <c r="U882" s="12"/>
      <c r="V882" s="12"/>
      <c r="W882" s="12"/>
      <c r="X882" s="12"/>
      <c r="Y882" s="29"/>
      <c r="Z882" s="29"/>
      <c r="AA882" s="29"/>
      <c r="AB882" s="12"/>
      <c r="AC882" s="12"/>
      <c r="AD882" s="12"/>
      <c r="AE882" s="12"/>
      <c r="AF882" s="12"/>
    </row>
    <row r="883" spans="1:32">
      <c r="A883" s="8"/>
      <c r="B883" s="8"/>
      <c r="C883" s="8"/>
      <c r="D883" s="8"/>
      <c r="E883" s="8"/>
      <c r="F883" s="8"/>
      <c r="G883" s="8"/>
      <c r="H883" s="8"/>
      <c r="I883" s="8"/>
      <c r="J883" s="8"/>
      <c r="K883" s="8"/>
      <c r="L883" s="8"/>
      <c r="M883" s="8"/>
      <c r="N883" s="8"/>
      <c r="O883" s="8"/>
      <c r="P883" s="8"/>
      <c r="Q883" s="8"/>
      <c r="R883" s="8"/>
      <c r="S883" s="8"/>
      <c r="T883" s="8"/>
      <c r="U883" s="12"/>
      <c r="V883" s="12"/>
      <c r="W883" s="12"/>
      <c r="X883" s="12"/>
      <c r="Y883" s="29"/>
      <c r="Z883" s="29"/>
      <c r="AA883" s="29"/>
      <c r="AB883" s="12"/>
      <c r="AC883" s="12"/>
      <c r="AD883" s="12"/>
      <c r="AE883" s="12"/>
      <c r="AF883" s="12"/>
    </row>
    <row r="884" spans="1:32">
      <c r="A884" s="8"/>
      <c r="B884" s="8"/>
      <c r="C884" s="8"/>
      <c r="D884" s="8"/>
      <c r="E884" s="8"/>
      <c r="F884" s="8"/>
      <c r="G884" s="8"/>
      <c r="H884" s="8"/>
      <c r="I884" s="8"/>
      <c r="J884" s="8"/>
      <c r="K884" s="8"/>
      <c r="L884" s="8"/>
      <c r="M884" s="8"/>
      <c r="N884" s="8"/>
      <c r="O884" s="8"/>
      <c r="P884" s="8"/>
      <c r="Q884" s="8"/>
      <c r="R884" s="8"/>
      <c r="S884" s="8"/>
      <c r="T884" s="8"/>
      <c r="U884" s="12"/>
      <c r="V884" s="12"/>
      <c r="W884" s="12"/>
      <c r="X884" s="12"/>
      <c r="Y884" s="29"/>
      <c r="Z884" s="29"/>
      <c r="AA884" s="29"/>
      <c r="AB884" s="12"/>
      <c r="AC884" s="12"/>
      <c r="AD884" s="12"/>
      <c r="AE884" s="12"/>
      <c r="AF884" s="12"/>
    </row>
    <row r="885" spans="1:32">
      <c r="A885" s="8"/>
      <c r="B885" s="8"/>
      <c r="C885" s="8"/>
      <c r="D885" s="8"/>
      <c r="E885" s="8"/>
      <c r="F885" s="8"/>
      <c r="G885" s="8"/>
      <c r="H885" s="8"/>
      <c r="I885" s="8"/>
      <c r="J885" s="8"/>
      <c r="K885" s="8"/>
      <c r="L885" s="8"/>
      <c r="M885" s="8"/>
      <c r="N885" s="8"/>
      <c r="O885" s="8"/>
      <c r="P885" s="8"/>
      <c r="Q885" s="8"/>
      <c r="R885" s="8"/>
      <c r="S885" s="8"/>
      <c r="T885" s="8"/>
      <c r="U885" s="12"/>
      <c r="V885" s="12"/>
      <c r="W885" s="12"/>
      <c r="X885" s="12"/>
      <c r="Y885" s="29"/>
      <c r="Z885" s="29"/>
      <c r="AA885" s="29"/>
      <c r="AB885" s="12"/>
      <c r="AC885" s="12"/>
      <c r="AD885" s="12"/>
      <c r="AE885" s="12"/>
      <c r="AF885" s="12"/>
    </row>
    <row r="886" spans="1:32">
      <c r="A886" s="8"/>
      <c r="B886" s="8"/>
      <c r="C886" s="8"/>
      <c r="D886" s="8"/>
      <c r="E886" s="8"/>
      <c r="F886" s="8"/>
      <c r="G886" s="8"/>
      <c r="H886" s="8"/>
      <c r="I886" s="8"/>
      <c r="J886" s="8"/>
      <c r="K886" s="8"/>
      <c r="L886" s="8"/>
      <c r="M886" s="8"/>
      <c r="N886" s="8"/>
      <c r="O886" s="8"/>
      <c r="P886" s="8"/>
      <c r="Q886" s="8"/>
      <c r="R886" s="8"/>
      <c r="S886" s="8"/>
      <c r="T886" s="8"/>
      <c r="U886" s="12"/>
      <c r="V886" s="12"/>
      <c r="W886" s="12"/>
      <c r="X886" s="12"/>
      <c r="Y886" s="29"/>
      <c r="Z886" s="29"/>
      <c r="AA886" s="29"/>
      <c r="AB886" s="12"/>
      <c r="AC886" s="12"/>
      <c r="AD886" s="12"/>
      <c r="AE886" s="12"/>
      <c r="AF886" s="12"/>
    </row>
    <row r="887" spans="1:32">
      <c r="A887" s="8"/>
      <c r="B887" s="8"/>
      <c r="C887" s="8"/>
      <c r="D887" s="8"/>
      <c r="E887" s="8"/>
      <c r="F887" s="8"/>
      <c r="G887" s="8"/>
      <c r="H887" s="8"/>
      <c r="I887" s="8"/>
      <c r="J887" s="8"/>
      <c r="K887" s="8"/>
      <c r="L887" s="8"/>
      <c r="M887" s="8"/>
      <c r="N887" s="8"/>
      <c r="O887" s="8"/>
      <c r="P887" s="8"/>
      <c r="Q887" s="8"/>
      <c r="R887" s="8"/>
      <c r="S887" s="8"/>
      <c r="T887" s="8"/>
      <c r="U887" s="12"/>
      <c r="V887" s="12"/>
      <c r="W887" s="12"/>
      <c r="X887" s="12"/>
      <c r="Y887" s="29"/>
      <c r="Z887" s="29"/>
      <c r="AA887" s="29"/>
      <c r="AB887" s="12"/>
      <c r="AC887" s="12"/>
      <c r="AD887" s="12"/>
      <c r="AE887" s="12"/>
      <c r="AF887" s="12"/>
    </row>
    <row r="888" spans="1:32">
      <c r="A888" s="8"/>
      <c r="B888" s="8"/>
      <c r="C888" s="8"/>
      <c r="D888" s="8"/>
      <c r="E888" s="8"/>
      <c r="F888" s="8"/>
      <c r="G888" s="8"/>
      <c r="H888" s="8"/>
      <c r="I888" s="8"/>
      <c r="J888" s="8"/>
      <c r="K888" s="8"/>
      <c r="L888" s="8"/>
      <c r="M888" s="8"/>
      <c r="N888" s="8"/>
      <c r="O888" s="8"/>
      <c r="P888" s="8"/>
      <c r="Q888" s="8"/>
      <c r="R888" s="8"/>
      <c r="S888" s="8"/>
      <c r="T888" s="8"/>
      <c r="U888" s="12"/>
      <c r="V888" s="12"/>
      <c r="W888" s="12"/>
      <c r="X888" s="12"/>
      <c r="Y888" s="29"/>
      <c r="Z888" s="29"/>
      <c r="AA888" s="29"/>
      <c r="AB888" s="12"/>
      <c r="AC888" s="12"/>
      <c r="AD888" s="12"/>
      <c r="AE888" s="12"/>
      <c r="AF888" s="12"/>
    </row>
    <row r="889" spans="1:32">
      <c r="A889" s="8"/>
      <c r="B889" s="8"/>
      <c r="C889" s="8"/>
      <c r="D889" s="8"/>
      <c r="E889" s="8"/>
      <c r="F889" s="8"/>
      <c r="G889" s="8"/>
      <c r="H889" s="8"/>
      <c r="I889" s="8"/>
      <c r="J889" s="8"/>
      <c r="K889" s="8"/>
      <c r="L889" s="8"/>
      <c r="M889" s="8"/>
      <c r="N889" s="8"/>
      <c r="O889" s="8"/>
      <c r="P889" s="8"/>
      <c r="Q889" s="8"/>
      <c r="R889" s="8"/>
      <c r="S889" s="8"/>
      <c r="T889" s="8"/>
      <c r="U889" s="12"/>
      <c r="V889" s="12"/>
      <c r="W889" s="12"/>
      <c r="X889" s="12"/>
      <c r="Y889" s="29"/>
      <c r="Z889" s="29"/>
      <c r="AA889" s="29"/>
      <c r="AB889" s="12"/>
      <c r="AC889" s="12"/>
      <c r="AD889" s="12"/>
      <c r="AE889" s="12"/>
      <c r="AF889" s="12"/>
    </row>
    <row r="890" spans="1:32">
      <c r="A890" s="8"/>
      <c r="B890" s="8"/>
      <c r="C890" s="8"/>
      <c r="D890" s="8"/>
      <c r="E890" s="8"/>
      <c r="F890" s="8"/>
      <c r="G890" s="8"/>
      <c r="H890" s="8"/>
      <c r="I890" s="8"/>
      <c r="J890" s="8"/>
      <c r="K890" s="8"/>
      <c r="L890" s="8"/>
      <c r="M890" s="8"/>
      <c r="N890" s="8"/>
      <c r="O890" s="8"/>
      <c r="P890" s="8"/>
      <c r="Q890" s="8"/>
      <c r="R890" s="8"/>
      <c r="S890" s="8"/>
      <c r="T890" s="8"/>
      <c r="U890" s="12"/>
      <c r="V890" s="12"/>
      <c r="W890" s="12"/>
      <c r="X890" s="12"/>
      <c r="Y890" s="29"/>
      <c r="Z890" s="29"/>
      <c r="AA890" s="29"/>
      <c r="AB890" s="12"/>
      <c r="AC890" s="12"/>
      <c r="AD890" s="12"/>
      <c r="AE890" s="12"/>
      <c r="AF890" s="12"/>
    </row>
    <row r="891" spans="1:32">
      <c r="A891" s="8"/>
      <c r="B891" s="8"/>
      <c r="C891" s="8"/>
      <c r="D891" s="8"/>
      <c r="E891" s="8"/>
      <c r="F891" s="8"/>
      <c r="G891" s="8"/>
      <c r="H891" s="8"/>
      <c r="I891" s="8"/>
      <c r="J891" s="8"/>
      <c r="K891" s="8"/>
      <c r="L891" s="8"/>
      <c r="M891" s="8"/>
      <c r="N891" s="8"/>
      <c r="O891" s="8"/>
      <c r="P891" s="8"/>
      <c r="Q891" s="8"/>
      <c r="R891" s="8"/>
      <c r="S891" s="8"/>
      <c r="T891" s="8"/>
      <c r="U891" s="12"/>
      <c r="V891" s="12"/>
      <c r="W891" s="12"/>
      <c r="X891" s="12"/>
      <c r="Y891" s="29"/>
      <c r="Z891" s="29"/>
      <c r="AA891" s="29"/>
      <c r="AB891" s="12"/>
      <c r="AC891" s="12"/>
      <c r="AD891" s="12"/>
      <c r="AE891" s="12"/>
      <c r="AF891" s="12"/>
    </row>
    <row r="892" spans="1:32">
      <c r="A892" s="8"/>
      <c r="B892" s="8"/>
      <c r="C892" s="8"/>
      <c r="D892" s="8"/>
      <c r="E892" s="8"/>
      <c r="F892" s="8"/>
      <c r="G892" s="8"/>
      <c r="H892" s="8"/>
      <c r="I892" s="8"/>
      <c r="J892" s="8"/>
      <c r="K892" s="8"/>
      <c r="L892" s="8"/>
      <c r="M892" s="8"/>
      <c r="N892" s="8"/>
      <c r="O892" s="8"/>
      <c r="P892" s="8"/>
      <c r="Q892" s="8"/>
      <c r="R892" s="8"/>
      <c r="S892" s="8"/>
      <c r="T892" s="8"/>
      <c r="U892" s="12"/>
      <c r="V892" s="12"/>
      <c r="W892" s="12"/>
      <c r="X892" s="12"/>
      <c r="Y892" s="29"/>
      <c r="Z892" s="29"/>
      <c r="AA892" s="29"/>
      <c r="AB892" s="12"/>
      <c r="AC892" s="12"/>
      <c r="AD892" s="12"/>
      <c r="AE892" s="12"/>
      <c r="AF892" s="12"/>
    </row>
    <row r="893" spans="1:32">
      <c r="A893" s="8"/>
      <c r="B893" s="8"/>
      <c r="C893" s="8"/>
      <c r="D893" s="8"/>
      <c r="E893" s="8"/>
      <c r="F893" s="8"/>
      <c r="G893" s="8"/>
      <c r="H893" s="8"/>
      <c r="I893" s="8"/>
      <c r="J893" s="8"/>
      <c r="K893" s="8"/>
      <c r="L893" s="8"/>
      <c r="M893" s="8"/>
      <c r="N893" s="8"/>
      <c r="O893" s="8"/>
      <c r="P893" s="8"/>
      <c r="Q893" s="8"/>
      <c r="R893" s="8"/>
      <c r="S893" s="8"/>
      <c r="T893" s="8"/>
      <c r="U893" s="12"/>
      <c r="V893" s="12"/>
      <c r="W893" s="12"/>
      <c r="X893" s="12"/>
      <c r="Y893" s="29"/>
      <c r="Z893" s="29"/>
      <c r="AA893" s="29"/>
      <c r="AB893" s="12"/>
      <c r="AC893" s="12"/>
      <c r="AD893" s="12"/>
      <c r="AE893" s="12"/>
      <c r="AF893" s="12"/>
    </row>
    <row r="894" spans="1:32">
      <c r="A894" s="8"/>
      <c r="B894" s="8"/>
      <c r="C894" s="8"/>
      <c r="D894" s="8"/>
      <c r="E894" s="8"/>
      <c r="F894" s="8"/>
      <c r="G894" s="8"/>
      <c r="H894" s="8"/>
      <c r="I894" s="8"/>
      <c r="J894" s="8"/>
      <c r="K894" s="8"/>
      <c r="L894" s="8"/>
      <c r="M894" s="8"/>
      <c r="N894" s="8"/>
      <c r="O894" s="8"/>
      <c r="P894" s="8"/>
      <c r="Q894" s="8"/>
      <c r="R894" s="8"/>
      <c r="S894" s="8"/>
      <c r="T894" s="8"/>
      <c r="U894" s="12"/>
      <c r="V894" s="12"/>
      <c r="W894" s="12"/>
      <c r="X894" s="12"/>
      <c r="Y894" s="29"/>
      <c r="Z894" s="29"/>
      <c r="AA894" s="29"/>
      <c r="AB894" s="12"/>
      <c r="AC894" s="12"/>
      <c r="AD894" s="12"/>
      <c r="AE894" s="12"/>
      <c r="AF894" s="12"/>
    </row>
    <row r="895" spans="1:32">
      <c r="A895" s="8"/>
      <c r="B895" s="8"/>
      <c r="C895" s="8"/>
      <c r="D895" s="8"/>
      <c r="E895" s="8"/>
      <c r="F895" s="8"/>
      <c r="G895" s="8"/>
      <c r="H895" s="8"/>
      <c r="I895" s="8"/>
      <c r="J895" s="8"/>
      <c r="K895" s="8"/>
      <c r="L895" s="8"/>
      <c r="M895" s="8"/>
      <c r="N895" s="8"/>
      <c r="O895" s="8"/>
      <c r="P895" s="8"/>
      <c r="Q895" s="8"/>
      <c r="R895" s="8"/>
      <c r="S895" s="8"/>
      <c r="T895" s="8"/>
      <c r="U895" s="12"/>
      <c r="V895" s="12"/>
      <c r="W895" s="12"/>
      <c r="X895" s="12"/>
      <c r="Y895" s="29"/>
      <c r="Z895" s="29"/>
      <c r="AA895" s="29"/>
      <c r="AB895" s="12"/>
      <c r="AC895" s="12"/>
      <c r="AD895" s="12"/>
      <c r="AE895" s="12"/>
      <c r="AF895" s="12"/>
    </row>
    <row r="896" spans="1:32">
      <c r="A896" s="8"/>
      <c r="B896" s="8"/>
      <c r="C896" s="8"/>
      <c r="D896" s="8"/>
      <c r="E896" s="8"/>
      <c r="F896" s="8"/>
      <c r="G896" s="8"/>
      <c r="H896" s="8"/>
      <c r="I896" s="8"/>
      <c r="J896" s="8"/>
      <c r="K896" s="8"/>
      <c r="L896" s="8"/>
      <c r="M896" s="8"/>
      <c r="N896" s="8"/>
      <c r="O896" s="8"/>
      <c r="P896" s="8"/>
      <c r="Q896" s="8"/>
      <c r="R896" s="8"/>
      <c r="S896" s="8"/>
      <c r="T896" s="8"/>
      <c r="U896" s="12"/>
      <c r="V896" s="12"/>
      <c r="W896" s="12"/>
      <c r="X896" s="12"/>
      <c r="Y896" s="29"/>
      <c r="Z896" s="29"/>
      <c r="AA896" s="29"/>
      <c r="AB896" s="12"/>
      <c r="AC896" s="12"/>
      <c r="AD896" s="12"/>
      <c r="AE896" s="12"/>
      <c r="AF896" s="12"/>
    </row>
    <row r="897" spans="1:32">
      <c r="A897" s="8"/>
      <c r="B897" s="8"/>
      <c r="C897" s="8"/>
      <c r="D897" s="8"/>
      <c r="E897" s="8"/>
      <c r="F897" s="8"/>
      <c r="G897" s="8"/>
      <c r="H897" s="8"/>
      <c r="I897" s="8"/>
      <c r="J897" s="8"/>
      <c r="K897" s="8"/>
      <c r="L897" s="8"/>
      <c r="M897" s="8"/>
      <c r="N897" s="8"/>
      <c r="O897" s="8"/>
      <c r="P897" s="8"/>
      <c r="Q897" s="8"/>
      <c r="R897" s="8"/>
      <c r="S897" s="8"/>
      <c r="T897" s="8"/>
      <c r="U897" s="12"/>
      <c r="V897" s="12"/>
      <c r="W897" s="12"/>
      <c r="X897" s="12"/>
      <c r="Y897" s="29"/>
      <c r="Z897" s="29"/>
      <c r="AA897" s="29"/>
      <c r="AB897" s="12"/>
      <c r="AC897" s="12"/>
      <c r="AD897" s="12"/>
      <c r="AE897" s="12"/>
      <c r="AF897" s="12"/>
    </row>
    <row r="898" spans="1:32">
      <c r="A898" s="8"/>
      <c r="B898" s="8"/>
      <c r="C898" s="8"/>
      <c r="D898" s="8"/>
      <c r="E898" s="8"/>
      <c r="F898" s="8"/>
      <c r="G898" s="8"/>
      <c r="H898" s="8"/>
      <c r="I898" s="8"/>
      <c r="J898" s="8"/>
      <c r="K898" s="8"/>
      <c r="L898" s="8"/>
      <c r="M898" s="8"/>
      <c r="N898" s="8"/>
      <c r="O898" s="8"/>
      <c r="P898" s="8"/>
      <c r="Q898" s="8"/>
      <c r="R898" s="8"/>
      <c r="S898" s="8"/>
      <c r="T898" s="8"/>
      <c r="U898" s="12"/>
      <c r="V898" s="12"/>
      <c r="W898" s="12"/>
      <c r="X898" s="12"/>
      <c r="Y898" s="29"/>
      <c r="Z898" s="29"/>
      <c r="AA898" s="29"/>
      <c r="AB898" s="12"/>
      <c r="AC898" s="12"/>
      <c r="AD898" s="12"/>
      <c r="AE898" s="12"/>
      <c r="AF898" s="12"/>
    </row>
    <row r="899" spans="1:32">
      <c r="A899" s="8"/>
      <c r="B899" s="8"/>
      <c r="C899" s="8"/>
      <c r="D899" s="8"/>
      <c r="E899" s="8"/>
      <c r="F899" s="8"/>
      <c r="G899" s="8"/>
      <c r="H899" s="8"/>
      <c r="I899" s="8"/>
      <c r="J899" s="8"/>
      <c r="K899" s="8"/>
      <c r="L899" s="8"/>
      <c r="M899" s="8"/>
      <c r="N899" s="8"/>
      <c r="O899" s="8"/>
      <c r="P899" s="8"/>
      <c r="Q899" s="8"/>
      <c r="R899" s="8"/>
      <c r="S899" s="8"/>
      <c r="T899" s="8"/>
      <c r="U899" s="12"/>
      <c r="V899" s="12"/>
      <c r="W899" s="12"/>
      <c r="X899" s="12"/>
      <c r="Y899" s="29"/>
      <c r="Z899" s="29"/>
      <c r="AA899" s="29"/>
      <c r="AB899" s="12"/>
      <c r="AC899" s="12"/>
      <c r="AD899" s="12"/>
      <c r="AE899" s="12"/>
      <c r="AF899" s="12"/>
    </row>
    <row r="900" spans="1:32">
      <c r="A900" s="8"/>
      <c r="B900" s="8"/>
      <c r="C900" s="8"/>
      <c r="D900" s="8"/>
      <c r="E900" s="8"/>
      <c r="F900" s="8"/>
      <c r="G900" s="8"/>
      <c r="H900" s="8"/>
      <c r="I900" s="8"/>
      <c r="J900" s="8"/>
      <c r="K900" s="8"/>
      <c r="L900" s="8"/>
      <c r="M900" s="8"/>
      <c r="N900" s="8"/>
      <c r="O900" s="8"/>
      <c r="P900" s="8"/>
      <c r="Q900" s="8"/>
      <c r="R900" s="8"/>
      <c r="S900" s="8"/>
      <c r="T900" s="8"/>
      <c r="U900" s="12"/>
      <c r="V900" s="12"/>
      <c r="W900" s="12"/>
      <c r="X900" s="12"/>
      <c r="Y900" s="29"/>
      <c r="Z900" s="29"/>
      <c r="AA900" s="29"/>
      <c r="AB900" s="12"/>
      <c r="AC900" s="12"/>
      <c r="AD900" s="12"/>
      <c r="AE900" s="12"/>
      <c r="AF900" s="12"/>
    </row>
    <row r="901" spans="1:32">
      <c r="A901" s="8"/>
      <c r="B901" s="8"/>
      <c r="C901" s="8"/>
      <c r="D901" s="8"/>
      <c r="E901" s="8"/>
      <c r="F901" s="8"/>
      <c r="G901" s="8"/>
      <c r="H901" s="8"/>
      <c r="I901" s="8"/>
      <c r="J901" s="8"/>
      <c r="K901" s="8"/>
      <c r="L901" s="8"/>
      <c r="M901" s="8"/>
      <c r="N901" s="8"/>
      <c r="O901" s="8"/>
      <c r="P901" s="8"/>
      <c r="Q901" s="8"/>
      <c r="R901" s="8"/>
      <c r="S901" s="8"/>
      <c r="T901" s="8"/>
      <c r="U901" s="12"/>
      <c r="V901" s="12"/>
      <c r="W901" s="12"/>
      <c r="X901" s="12"/>
      <c r="Y901" s="29"/>
      <c r="Z901" s="29"/>
      <c r="AA901" s="29"/>
      <c r="AB901" s="12"/>
      <c r="AC901" s="12"/>
      <c r="AD901" s="12"/>
      <c r="AE901" s="12"/>
      <c r="AF901" s="12"/>
    </row>
    <row r="902" spans="1:32">
      <c r="A902" s="8"/>
      <c r="B902" s="8"/>
      <c r="C902" s="8"/>
      <c r="D902" s="8"/>
      <c r="E902" s="8"/>
      <c r="F902" s="8"/>
      <c r="G902" s="8"/>
      <c r="H902" s="8"/>
      <c r="I902" s="8"/>
      <c r="J902" s="8"/>
      <c r="K902" s="8"/>
      <c r="L902" s="8"/>
      <c r="M902" s="8"/>
      <c r="N902" s="8"/>
      <c r="O902" s="8"/>
      <c r="P902" s="8"/>
      <c r="Q902" s="8"/>
      <c r="R902" s="8"/>
      <c r="S902" s="8"/>
      <c r="T902" s="8"/>
      <c r="U902" s="12"/>
      <c r="V902" s="12"/>
      <c r="W902" s="12"/>
      <c r="X902" s="12"/>
      <c r="Y902" s="29"/>
      <c r="Z902" s="29"/>
      <c r="AA902" s="29"/>
      <c r="AB902" s="12"/>
      <c r="AC902" s="12"/>
      <c r="AD902" s="12"/>
      <c r="AE902" s="12"/>
      <c r="AF902" s="12"/>
    </row>
    <row r="903" spans="1:32">
      <c r="A903" s="8"/>
      <c r="B903" s="8"/>
      <c r="C903" s="8"/>
      <c r="D903" s="8"/>
      <c r="E903" s="8"/>
      <c r="F903" s="8"/>
      <c r="G903" s="8"/>
      <c r="H903" s="8"/>
      <c r="I903" s="8"/>
      <c r="J903" s="8"/>
      <c r="K903" s="8"/>
      <c r="L903" s="8"/>
      <c r="M903" s="8"/>
      <c r="N903" s="8"/>
      <c r="O903" s="8"/>
      <c r="P903" s="8"/>
      <c r="Q903" s="8"/>
      <c r="R903" s="8"/>
      <c r="S903" s="8"/>
      <c r="T903" s="8"/>
      <c r="U903" s="12"/>
      <c r="V903" s="12"/>
      <c r="W903" s="12"/>
      <c r="X903" s="12"/>
      <c r="Y903" s="29"/>
      <c r="Z903" s="29"/>
      <c r="AA903" s="29"/>
      <c r="AB903" s="12"/>
      <c r="AC903" s="12"/>
      <c r="AD903" s="12"/>
      <c r="AE903" s="12"/>
      <c r="AF903" s="12"/>
    </row>
    <row r="904" spans="1:32">
      <c r="A904" s="8"/>
      <c r="B904" s="8"/>
      <c r="C904" s="8"/>
      <c r="D904" s="8"/>
      <c r="E904" s="8"/>
      <c r="F904" s="8"/>
      <c r="G904" s="8"/>
      <c r="H904" s="8"/>
      <c r="I904" s="8"/>
      <c r="J904" s="8"/>
      <c r="K904" s="8"/>
      <c r="L904" s="8"/>
      <c r="M904" s="8"/>
      <c r="N904" s="8"/>
      <c r="O904" s="8"/>
      <c r="P904" s="8"/>
      <c r="Q904" s="8"/>
      <c r="R904" s="8"/>
      <c r="S904" s="8"/>
      <c r="T904" s="8"/>
      <c r="U904" s="12"/>
      <c r="V904" s="12"/>
      <c r="W904" s="12"/>
      <c r="X904" s="12"/>
      <c r="Y904" s="29"/>
      <c r="Z904" s="29"/>
      <c r="AA904" s="29"/>
      <c r="AB904" s="12"/>
      <c r="AC904" s="12"/>
      <c r="AD904" s="12"/>
      <c r="AE904" s="12"/>
      <c r="AF904" s="12"/>
    </row>
    <row r="905" spans="1:32">
      <c r="A905" s="8"/>
      <c r="B905" s="8"/>
      <c r="C905" s="8"/>
      <c r="D905" s="8"/>
      <c r="E905" s="8"/>
      <c r="F905" s="8"/>
      <c r="G905" s="8"/>
      <c r="H905" s="8"/>
      <c r="I905" s="8"/>
      <c r="J905" s="8"/>
      <c r="K905" s="8"/>
      <c r="L905" s="8"/>
      <c r="M905" s="8"/>
      <c r="N905" s="8"/>
      <c r="O905" s="8"/>
      <c r="P905" s="8"/>
      <c r="Q905" s="8"/>
      <c r="R905" s="8"/>
      <c r="S905" s="8"/>
      <c r="T905" s="8"/>
      <c r="U905" s="12"/>
      <c r="V905" s="12"/>
      <c r="W905" s="12"/>
      <c r="X905" s="12"/>
      <c r="Y905" s="29"/>
      <c r="Z905" s="29"/>
      <c r="AA905" s="29"/>
      <c r="AB905" s="12"/>
      <c r="AC905" s="12"/>
      <c r="AD905" s="12"/>
      <c r="AE905" s="12"/>
      <c r="AF905" s="12"/>
    </row>
    <row r="906" spans="1:32">
      <c r="A906" s="8"/>
      <c r="B906" s="8"/>
      <c r="C906" s="8"/>
      <c r="D906" s="8"/>
      <c r="E906" s="8"/>
      <c r="F906" s="8"/>
      <c r="G906" s="8"/>
      <c r="H906" s="8"/>
      <c r="I906" s="8"/>
      <c r="J906" s="8"/>
      <c r="K906" s="8"/>
      <c r="L906" s="8"/>
      <c r="M906" s="8"/>
      <c r="N906" s="8"/>
      <c r="O906" s="8"/>
      <c r="P906" s="8"/>
      <c r="Q906" s="8"/>
      <c r="R906" s="8"/>
      <c r="S906" s="8"/>
      <c r="T906" s="8"/>
      <c r="U906" s="12"/>
      <c r="V906" s="12"/>
      <c r="W906" s="12"/>
      <c r="X906" s="12"/>
      <c r="Y906" s="29"/>
      <c r="Z906" s="29"/>
      <c r="AA906" s="29"/>
      <c r="AB906" s="12"/>
      <c r="AC906" s="12"/>
      <c r="AD906" s="12"/>
      <c r="AE906" s="12"/>
      <c r="AF906" s="12"/>
    </row>
    <row r="907" spans="1:32">
      <c r="A907" s="8"/>
      <c r="B907" s="8"/>
      <c r="C907" s="8"/>
      <c r="D907" s="8"/>
      <c r="E907" s="8"/>
      <c r="F907" s="8"/>
      <c r="G907" s="8"/>
      <c r="H907" s="8"/>
      <c r="I907" s="8"/>
      <c r="J907" s="8"/>
      <c r="K907" s="8"/>
      <c r="L907" s="8"/>
      <c r="M907" s="8"/>
      <c r="N907" s="8"/>
      <c r="O907" s="8"/>
      <c r="P907" s="8"/>
      <c r="Q907" s="8"/>
      <c r="R907" s="8"/>
      <c r="S907" s="8"/>
      <c r="T907" s="8"/>
      <c r="U907" s="12"/>
      <c r="V907" s="12"/>
      <c r="W907" s="12"/>
      <c r="X907" s="12"/>
      <c r="Y907" s="29"/>
      <c r="Z907" s="29"/>
      <c r="AA907" s="29"/>
      <c r="AB907" s="12"/>
      <c r="AC907" s="12"/>
      <c r="AD907" s="12"/>
      <c r="AE907" s="12"/>
      <c r="AF907" s="12"/>
    </row>
    <row r="908" spans="1:32">
      <c r="A908" s="8"/>
      <c r="B908" s="8"/>
      <c r="C908" s="8"/>
      <c r="D908" s="8"/>
      <c r="E908" s="8"/>
      <c r="F908" s="8"/>
      <c r="G908" s="8"/>
      <c r="H908" s="8"/>
      <c r="I908" s="8"/>
      <c r="J908" s="8"/>
      <c r="K908" s="8"/>
      <c r="L908" s="8"/>
      <c r="M908" s="8"/>
      <c r="N908" s="8"/>
      <c r="O908" s="8"/>
      <c r="P908" s="8"/>
      <c r="Q908" s="8"/>
      <c r="R908" s="8"/>
      <c r="S908" s="8"/>
      <c r="T908" s="8"/>
      <c r="U908" s="12"/>
      <c r="V908" s="12"/>
      <c r="W908" s="12"/>
      <c r="X908" s="12"/>
      <c r="Y908" s="29"/>
      <c r="Z908" s="29"/>
      <c r="AA908" s="29"/>
      <c r="AB908" s="12"/>
      <c r="AC908" s="12"/>
      <c r="AD908" s="12"/>
      <c r="AE908" s="12"/>
      <c r="AF908" s="12"/>
    </row>
    <row r="909" spans="1:32">
      <c r="A909" s="8"/>
      <c r="B909" s="8"/>
      <c r="C909" s="8"/>
      <c r="D909" s="8"/>
      <c r="E909" s="8"/>
      <c r="F909" s="8"/>
      <c r="G909" s="8"/>
      <c r="H909" s="8"/>
      <c r="I909" s="8"/>
      <c r="J909" s="8"/>
      <c r="K909" s="8"/>
      <c r="L909" s="8"/>
      <c r="M909" s="8"/>
      <c r="N909" s="8"/>
      <c r="O909" s="8"/>
      <c r="P909" s="8"/>
      <c r="Q909" s="8"/>
      <c r="R909" s="8"/>
      <c r="S909" s="8"/>
      <c r="T909" s="8"/>
      <c r="U909" s="12"/>
      <c r="V909" s="12"/>
      <c r="W909" s="12"/>
      <c r="X909" s="12"/>
      <c r="Y909" s="29"/>
      <c r="Z909" s="29"/>
      <c r="AA909" s="29"/>
      <c r="AB909" s="12"/>
      <c r="AC909" s="12"/>
      <c r="AD909" s="12"/>
      <c r="AE909" s="12"/>
      <c r="AF909" s="12"/>
    </row>
    <row r="910" spans="1:32">
      <c r="A910" s="8"/>
      <c r="B910" s="8"/>
      <c r="C910" s="8"/>
      <c r="D910" s="8"/>
      <c r="E910" s="8"/>
      <c r="F910" s="8"/>
      <c r="G910" s="8"/>
      <c r="H910" s="8"/>
      <c r="I910" s="8"/>
      <c r="J910" s="8"/>
      <c r="K910" s="8"/>
      <c r="L910" s="8"/>
      <c r="M910" s="8"/>
      <c r="N910" s="8"/>
      <c r="O910" s="8"/>
      <c r="P910" s="8"/>
      <c r="Q910" s="8"/>
      <c r="R910" s="8"/>
      <c r="S910" s="8"/>
      <c r="T910" s="8"/>
      <c r="U910" s="12"/>
      <c r="V910" s="12"/>
      <c r="W910" s="12"/>
      <c r="X910" s="12"/>
      <c r="Y910" s="29"/>
      <c r="Z910" s="29"/>
      <c r="AA910" s="29"/>
      <c r="AB910" s="12"/>
      <c r="AC910" s="12"/>
      <c r="AD910" s="12"/>
      <c r="AE910" s="12"/>
      <c r="AF910" s="12"/>
    </row>
    <row r="911" spans="1:32">
      <c r="A911" s="8"/>
      <c r="B911" s="8"/>
      <c r="C911" s="8"/>
      <c r="D911" s="8"/>
      <c r="E911" s="8"/>
      <c r="F911" s="8"/>
      <c r="G911" s="8"/>
      <c r="H911" s="8"/>
      <c r="I911" s="8"/>
      <c r="J911" s="8"/>
      <c r="K911" s="8"/>
      <c r="L911" s="8"/>
      <c r="M911" s="8"/>
      <c r="N911" s="8"/>
      <c r="O911" s="8"/>
      <c r="P911" s="8"/>
      <c r="Q911" s="8"/>
      <c r="R911" s="8"/>
      <c r="S911" s="8"/>
      <c r="T911" s="8"/>
      <c r="U911" s="12"/>
      <c r="V911" s="12"/>
      <c r="W911" s="12"/>
      <c r="X911" s="12"/>
      <c r="Y911" s="29"/>
      <c r="Z911" s="29"/>
      <c r="AA911" s="29"/>
      <c r="AB911" s="12"/>
      <c r="AC911" s="12"/>
      <c r="AD911" s="12"/>
      <c r="AE911" s="12"/>
      <c r="AF911" s="12"/>
    </row>
    <row r="912" spans="1:32">
      <c r="A912" s="8"/>
      <c r="B912" s="8"/>
      <c r="C912" s="8"/>
      <c r="D912" s="8"/>
      <c r="E912" s="8"/>
      <c r="F912" s="8"/>
      <c r="G912" s="8"/>
      <c r="H912" s="8"/>
      <c r="I912" s="8"/>
      <c r="J912" s="8"/>
      <c r="K912" s="8"/>
      <c r="L912" s="8"/>
      <c r="M912" s="8"/>
      <c r="N912" s="8"/>
      <c r="O912" s="8"/>
      <c r="P912" s="8"/>
      <c r="Q912" s="8"/>
      <c r="R912" s="8"/>
      <c r="S912" s="8"/>
      <c r="T912" s="8"/>
      <c r="U912" s="12"/>
      <c r="V912" s="12"/>
      <c r="W912" s="12"/>
      <c r="X912" s="12"/>
      <c r="Y912" s="29"/>
      <c r="Z912" s="29"/>
      <c r="AA912" s="29"/>
      <c r="AB912" s="12"/>
      <c r="AC912" s="12"/>
      <c r="AD912" s="12"/>
      <c r="AE912" s="12"/>
      <c r="AF912" s="12"/>
    </row>
    <row r="913" spans="1:32">
      <c r="A913" s="8"/>
      <c r="B913" s="8"/>
      <c r="C913" s="8"/>
      <c r="D913" s="8"/>
      <c r="E913" s="8"/>
      <c r="F913" s="8"/>
      <c r="G913" s="8"/>
      <c r="H913" s="8"/>
      <c r="I913" s="8"/>
      <c r="J913" s="8"/>
      <c r="K913" s="8"/>
      <c r="L913" s="8"/>
      <c r="M913" s="8"/>
      <c r="N913" s="8"/>
      <c r="O913" s="8"/>
      <c r="P913" s="8"/>
      <c r="Q913" s="8"/>
      <c r="R913" s="8"/>
      <c r="S913" s="8"/>
      <c r="T913" s="8"/>
      <c r="U913" s="12"/>
      <c r="V913" s="12"/>
      <c r="W913" s="12"/>
      <c r="X913" s="12"/>
      <c r="Y913" s="29"/>
      <c r="Z913" s="29"/>
      <c r="AA913" s="29"/>
      <c r="AB913" s="12"/>
      <c r="AC913" s="12"/>
      <c r="AD913" s="12"/>
      <c r="AE913" s="12"/>
      <c r="AF913" s="12"/>
    </row>
    <row r="914" spans="1:32">
      <c r="A914" s="8"/>
      <c r="B914" s="8"/>
      <c r="C914" s="8"/>
      <c r="D914" s="8"/>
      <c r="E914" s="8"/>
      <c r="F914" s="8"/>
      <c r="G914" s="8"/>
      <c r="H914" s="8"/>
      <c r="I914" s="8"/>
      <c r="J914" s="8"/>
      <c r="K914" s="8"/>
      <c r="L914" s="8"/>
      <c r="M914" s="8"/>
      <c r="N914" s="8"/>
      <c r="O914" s="8"/>
      <c r="P914" s="8"/>
      <c r="Q914" s="8"/>
      <c r="R914" s="8"/>
      <c r="S914" s="8"/>
      <c r="T914" s="8"/>
      <c r="U914" s="12"/>
      <c r="V914" s="12"/>
      <c r="W914" s="12"/>
      <c r="X914" s="12"/>
      <c r="Y914" s="29"/>
      <c r="Z914" s="29"/>
      <c r="AA914" s="29"/>
      <c r="AB914" s="12"/>
      <c r="AC914" s="12"/>
      <c r="AD914" s="12"/>
      <c r="AE914" s="12"/>
      <c r="AF914" s="12"/>
    </row>
    <row r="915" spans="1:32">
      <c r="A915" s="8"/>
      <c r="B915" s="8"/>
      <c r="C915" s="8"/>
      <c r="D915" s="8"/>
      <c r="E915" s="8"/>
      <c r="F915" s="8"/>
      <c r="G915" s="8"/>
      <c r="H915" s="8"/>
      <c r="I915" s="8"/>
      <c r="J915" s="8"/>
      <c r="K915" s="8"/>
      <c r="L915" s="8"/>
      <c r="M915" s="8"/>
      <c r="N915" s="8"/>
      <c r="O915" s="8"/>
      <c r="P915" s="8"/>
      <c r="Q915" s="8"/>
      <c r="R915" s="8"/>
      <c r="S915" s="8"/>
      <c r="T915" s="8"/>
      <c r="U915" s="12"/>
      <c r="V915" s="12"/>
      <c r="W915" s="12"/>
      <c r="X915" s="12"/>
      <c r="Y915" s="29"/>
      <c r="Z915" s="29"/>
      <c r="AA915" s="29"/>
      <c r="AB915" s="12"/>
      <c r="AC915" s="12"/>
      <c r="AD915" s="12"/>
      <c r="AE915" s="12"/>
      <c r="AF915" s="12"/>
    </row>
    <row r="916" spans="1:32">
      <c r="A916" s="8"/>
      <c r="B916" s="8"/>
      <c r="C916" s="8"/>
      <c r="D916" s="8"/>
      <c r="E916" s="8"/>
      <c r="F916" s="8"/>
      <c r="G916" s="8"/>
      <c r="H916" s="8"/>
      <c r="I916" s="8"/>
      <c r="J916" s="8"/>
      <c r="K916" s="8"/>
      <c r="L916" s="8"/>
      <c r="M916" s="8"/>
      <c r="N916" s="8"/>
      <c r="O916" s="8"/>
      <c r="P916" s="8"/>
      <c r="Q916" s="8"/>
      <c r="R916" s="8"/>
      <c r="S916" s="8"/>
      <c r="T916" s="8"/>
      <c r="U916" s="12"/>
      <c r="V916" s="12"/>
      <c r="W916" s="12"/>
      <c r="X916" s="12"/>
      <c r="Y916" s="29"/>
      <c r="Z916" s="29"/>
      <c r="AA916" s="29"/>
      <c r="AB916" s="12"/>
      <c r="AC916" s="12"/>
      <c r="AD916" s="12"/>
      <c r="AE916" s="12"/>
      <c r="AF916" s="12"/>
    </row>
    <row r="917" spans="1:32">
      <c r="A917" s="8"/>
      <c r="B917" s="8"/>
      <c r="C917" s="8"/>
      <c r="D917" s="8"/>
      <c r="E917" s="8"/>
      <c r="F917" s="8"/>
      <c r="G917" s="8"/>
      <c r="H917" s="8"/>
      <c r="I917" s="8"/>
      <c r="J917" s="8"/>
      <c r="K917" s="8"/>
      <c r="L917" s="8"/>
      <c r="M917" s="8"/>
      <c r="N917" s="8"/>
      <c r="O917" s="8"/>
      <c r="P917" s="8"/>
      <c r="Q917" s="8"/>
      <c r="R917" s="8"/>
      <c r="S917" s="8"/>
      <c r="T917" s="8"/>
      <c r="U917" s="12"/>
      <c r="V917" s="12"/>
      <c r="W917" s="12"/>
      <c r="X917" s="12"/>
      <c r="Y917" s="29"/>
      <c r="Z917" s="29"/>
      <c r="AA917" s="29"/>
      <c r="AB917" s="12"/>
      <c r="AC917" s="12"/>
      <c r="AD917" s="12"/>
      <c r="AE917" s="12"/>
      <c r="AF917" s="12"/>
    </row>
    <row r="918" spans="1:32">
      <c r="A918" s="8"/>
      <c r="B918" s="8"/>
      <c r="C918" s="8"/>
      <c r="D918" s="8"/>
      <c r="E918" s="8"/>
      <c r="F918" s="8"/>
      <c r="G918" s="8"/>
      <c r="H918" s="8"/>
      <c r="I918" s="8"/>
      <c r="J918" s="8"/>
      <c r="K918" s="8"/>
      <c r="L918" s="8"/>
      <c r="M918" s="8"/>
      <c r="N918" s="8"/>
      <c r="O918" s="8"/>
      <c r="P918" s="8"/>
      <c r="Q918" s="8"/>
      <c r="R918" s="8"/>
      <c r="S918" s="8"/>
      <c r="T918" s="8"/>
      <c r="U918" s="12"/>
      <c r="V918" s="12"/>
      <c r="W918" s="12"/>
      <c r="X918" s="12"/>
      <c r="Y918" s="29"/>
      <c r="Z918" s="29"/>
      <c r="AA918" s="29"/>
      <c r="AB918" s="12"/>
      <c r="AC918" s="12"/>
      <c r="AD918" s="12"/>
      <c r="AE918" s="12"/>
      <c r="AF918" s="12"/>
    </row>
    <row r="919" spans="1:32">
      <c r="A919" s="8"/>
      <c r="B919" s="8"/>
      <c r="C919" s="8"/>
      <c r="D919" s="8"/>
      <c r="E919" s="8"/>
      <c r="F919" s="8"/>
      <c r="G919" s="8"/>
      <c r="H919" s="8"/>
      <c r="I919" s="8"/>
      <c r="J919" s="8"/>
      <c r="K919" s="8"/>
      <c r="L919" s="8"/>
      <c r="M919" s="8"/>
      <c r="N919" s="8"/>
      <c r="O919" s="8"/>
      <c r="P919" s="8"/>
      <c r="Q919" s="8"/>
      <c r="R919" s="8"/>
      <c r="S919" s="8"/>
      <c r="T919" s="8"/>
      <c r="U919" s="12"/>
      <c r="V919" s="12"/>
      <c r="W919" s="12"/>
      <c r="X919" s="12"/>
      <c r="Y919" s="29"/>
      <c r="Z919" s="29"/>
      <c r="AA919" s="29"/>
      <c r="AB919" s="12"/>
      <c r="AC919" s="12"/>
      <c r="AD919" s="12"/>
      <c r="AE919" s="12"/>
      <c r="AF919" s="12"/>
    </row>
    <row r="920" spans="1:32">
      <c r="A920" s="8"/>
      <c r="B920" s="8"/>
      <c r="C920" s="8"/>
      <c r="D920" s="8"/>
      <c r="E920" s="8"/>
      <c r="F920" s="8"/>
      <c r="G920" s="8"/>
      <c r="H920" s="8"/>
      <c r="I920" s="8"/>
      <c r="J920" s="8"/>
      <c r="K920" s="8"/>
      <c r="L920" s="8"/>
      <c r="M920" s="8"/>
      <c r="N920" s="8"/>
      <c r="O920" s="8"/>
      <c r="P920" s="8"/>
      <c r="Q920" s="8"/>
      <c r="R920" s="8"/>
      <c r="S920" s="8"/>
      <c r="T920" s="8"/>
      <c r="U920" s="12"/>
      <c r="V920" s="12"/>
      <c r="W920" s="12"/>
      <c r="X920" s="12"/>
      <c r="Y920" s="29"/>
      <c r="Z920" s="29"/>
      <c r="AA920" s="29"/>
      <c r="AB920" s="12"/>
      <c r="AC920" s="12"/>
      <c r="AD920" s="12"/>
      <c r="AE920" s="12"/>
      <c r="AF920" s="12"/>
    </row>
    <row r="921" spans="1:32">
      <c r="A921" s="8"/>
      <c r="B921" s="8"/>
      <c r="C921" s="8"/>
      <c r="D921" s="8"/>
      <c r="E921" s="8"/>
      <c r="F921" s="8"/>
      <c r="G921" s="8"/>
      <c r="H921" s="8"/>
      <c r="I921" s="8"/>
      <c r="J921" s="8"/>
      <c r="K921" s="8"/>
      <c r="L921" s="8"/>
      <c r="M921" s="8"/>
      <c r="N921" s="8"/>
      <c r="O921" s="8"/>
      <c r="P921" s="8"/>
      <c r="Q921" s="8"/>
      <c r="R921" s="8"/>
      <c r="S921" s="8"/>
      <c r="T921" s="8"/>
      <c r="U921" s="12"/>
      <c r="V921" s="12"/>
      <c r="W921" s="12"/>
      <c r="X921" s="12"/>
      <c r="Y921" s="29"/>
      <c r="Z921" s="29"/>
      <c r="AA921" s="29"/>
      <c r="AB921" s="12"/>
      <c r="AC921" s="12"/>
      <c r="AD921" s="12"/>
      <c r="AE921" s="12"/>
      <c r="AF921" s="12"/>
    </row>
    <row r="922" spans="1:32">
      <c r="A922" s="8"/>
      <c r="B922" s="8"/>
      <c r="C922" s="8"/>
      <c r="D922" s="8"/>
      <c r="E922" s="8"/>
      <c r="F922" s="8"/>
      <c r="G922" s="8"/>
      <c r="H922" s="8"/>
      <c r="I922" s="8"/>
      <c r="J922" s="8"/>
      <c r="K922" s="8"/>
      <c r="L922" s="8"/>
      <c r="M922" s="8"/>
      <c r="N922" s="8"/>
      <c r="O922" s="8"/>
      <c r="P922" s="8"/>
      <c r="Q922" s="8"/>
      <c r="R922" s="8"/>
      <c r="S922" s="8"/>
      <c r="T922" s="8"/>
      <c r="U922" s="12"/>
      <c r="V922" s="12"/>
      <c r="W922" s="12"/>
      <c r="X922" s="12"/>
      <c r="Y922" s="29"/>
      <c r="Z922" s="29"/>
      <c r="AA922" s="29"/>
      <c r="AB922" s="12"/>
      <c r="AC922" s="12"/>
      <c r="AD922" s="12"/>
      <c r="AE922" s="12"/>
      <c r="AF922" s="12"/>
    </row>
    <row r="923" spans="1:32">
      <c r="A923" s="8"/>
      <c r="B923" s="8"/>
      <c r="C923" s="8"/>
      <c r="D923" s="8"/>
      <c r="E923" s="8"/>
      <c r="F923" s="8"/>
      <c r="G923" s="8"/>
      <c r="H923" s="8"/>
      <c r="I923" s="8"/>
      <c r="J923" s="8"/>
      <c r="K923" s="8"/>
      <c r="L923" s="8"/>
      <c r="M923" s="8"/>
      <c r="N923" s="8"/>
      <c r="O923" s="8"/>
      <c r="P923" s="8"/>
      <c r="Q923" s="8"/>
      <c r="R923" s="8"/>
      <c r="S923" s="8"/>
      <c r="T923" s="8"/>
      <c r="U923" s="12"/>
      <c r="V923" s="12"/>
      <c r="W923" s="12"/>
      <c r="X923" s="12"/>
      <c r="Y923" s="29"/>
      <c r="Z923" s="29"/>
      <c r="AA923" s="29"/>
      <c r="AB923" s="12"/>
      <c r="AC923" s="12"/>
      <c r="AD923" s="12"/>
      <c r="AE923" s="12"/>
      <c r="AF923" s="12"/>
    </row>
    <row r="924" spans="1:32">
      <c r="A924" s="8"/>
      <c r="B924" s="8"/>
      <c r="C924" s="8"/>
      <c r="D924" s="8"/>
      <c r="E924" s="8"/>
      <c r="F924" s="8"/>
      <c r="G924" s="8"/>
      <c r="H924" s="8"/>
      <c r="I924" s="8"/>
      <c r="J924" s="8"/>
      <c r="K924" s="8"/>
      <c r="L924" s="8"/>
      <c r="M924" s="8"/>
      <c r="N924" s="8"/>
      <c r="O924" s="8"/>
      <c r="P924" s="8"/>
      <c r="Q924" s="8"/>
      <c r="R924" s="8"/>
      <c r="S924" s="8"/>
      <c r="T924" s="8"/>
      <c r="U924" s="12"/>
      <c r="V924" s="12"/>
      <c r="W924" s="12"/>
      <c r="X924" s="12"/>
      <c r="Y924" s="29"/>
      <c r="Z924" s="29"/>
      <c r="AA924" s="29"/>
      <c r="AB924" s="12"/>
      <c r="AC924" s="12"/>
      <c r="AD924" s="12"/>
      <c r="AE924" s="12"/>
      <c r="AF924" s="12"/>
    </row>
    <row r="925" spans="1:32">
      <c r="A925" s="8"/>
      <c r="B925" s="8"/>
      <c r="C925" s="8"/>
      <c r="D925" s="8"/>
      <c r="E925" s="8"/>
      <c r="F925" s="8"/>
      <c r="G925" s="8"/>
      <c r="H925" s="8"/>
      <c r="I925" s="8"/>
      <c r="J925" s="8"/>
      <c r="K925" s="8"/>
      <c r="L925" s="8"/>
      <c r="M925" s="8"/>
      <c r="N925" s="8"/>
      <c r="O925" s="8"/>
      <c r="P925" s="8"/>
      <c r="Q925" s="8"/>
      <c r="R925" s="8"/>
      <c r="S925" s="8"/>
      <c r="T925" s="8"/>
      <c r="U925" s="12"/>
      <c r="V925" s="12"/>
      <c r="W925" s="12"/>
      <c r="X925" s="12"/>
      <c r="Y925" s="29"/>
      <c r="Z925" s="29"/>
      <c r="AA925" s="29"/>
      <c r="AB925" s="12"/>
      <c r="AC925" s="12"/>
      <c r="AD925" s="12"/>
      <c r="AE925" s="12"/>
      <c r="AF925" s="12"/>
    </row>
    <row r="926" spans="1:32">
      <c r="A926" s="8"/>
      <c r="B926" s="8"/>
      <c r="C926" s="8"/>
      <c r="D926" s="8"/>
      <c r="E926" s="8"/>
      <c r="F926" s="8"/>
      <c r="G926" s="8"/>
      <c r="H926" s="8"/>
      <c r="I926" s="8"/>
      <c r="J926" s="8"/>
      <c r="K926" s="8"/>
      <c r="L926" s="8"/>
      <c r="M926" s="8"/>
      <c r="N926" s="8"/>
      <c r="O926" s="8"/>
      <c r="P926" s="8"/>
      <c r="Q926" s="8"/>
      <c r="R926" s="8"/>
      <c r="S926" s="8"/>
      <c r="T926" s="8"/>
      <c r="U926" s="12"/>
      <c r="V926" s="12"/>
      <c r="W926" s="12"/>
      <c r="X926" s="12"/>
      <c r="Y926" s="29"/>
      <c r="Z926" s="29"/>
      <c r="AA926" s="29"/>
      <c r="AB926" s="12"/>
      <c r="AC926" s="12"/>
      <c r="AD926" s="12"/>
      <c r="AE926" s="12"/>
      <c r="AF926" s="12"/>
    </row>
    <row r="927" spans="1:32">
      <c r="A927" s="8"/>
      <c r="B927" s="8"/>
      <c r="C927" s="8"/>
      <c r="D927" s="8"/>
      <c r="E927" s="8"/>
      <c r="F927" s="8"/>
      <c r="G927" s="8"/>
      <c r="H927" s="8"/>
      <c r="I927" s="8"/>
      <c r="J927" s="8"/>
      <c r="K927" s="8"/>
      <c r="L927" s="8"/>
      <c r="M927" s="8"/>
      <c r="N927" s="8"/>
      <c r="O927" s="8"/>
      <c r="P927" s="8"/>
      <c r="Q927" s="8"/>
      <c r="R927" s="8"/>
      <c r="S927" s="8"/>
      <c r="T927" s="8"/>
      <c r="U927" s="12"/>
      <c r="V927" s="12"/>
      <c r="W927" s="12"/>
      <c r="X927" s="12"/>
      <c r="Y927" s="29"/>
      <c r="Z927" s="29"/>
      <c r="AA927" s="29"/>
      <c r="AB927" s="12"/>
      <c r="AC927" s="12"/>
      <c r="AD927" s="12"/>
      <c r="AE927" s="12"/>
      <c r="AF927" s="12"/>
    </row>
    <row r="928" spans="1:32">
      <c r="A928" s="8"/>
      <c r="B928" s="8"/>
      <c r="C928" s="8"/>
      <c r="D928" s="8"/>
      <c r="E928" s="8"/>
      <c r="F928" s="8"/>
      <c r="G928" s="8"/>
      <c r="H928" s="8"/>
      <c r="I928" s="8"/>
      <c r="J928" s="8"/>
      <c r="K928" s="8"/>
      <c r="L928" s="8"/>
      <c r="M928" s="8"/>
      <c r="N928" s="8"/>
      <c r="O928" s="8"/>
      <c r="P928" s="8"/>
      <c r="Q928" s="8"/>
      <c r="R928" s="8"/>
      <c r="S928" s="8"/>
      <c r="T928" s="8"/>
      <c r="U928" s="12"/>
      <c r="V928" s="12"/>
      <c r="W928" s="12"/>
      <c r="X928" s="12"/>
      <c r="Y928" s="29"/>
      <c r="Z928" s="29"/>
      <c r="AA928" s="29"/>
      <c r="AB928" s="12"/>
      <c r="AC928" s="12"/>
      <c r="AD928" s="12"/>
      <c r="AE928" s="12"/>
      <c r="AF928" s="12"/>
    </row>
    <row r="929" spans="1:32">
      <c r="A929" s="8"/>
      <c r="B929" s="8"/>
      <c r="C929" s="8"/>
      <c r="D929" s="8"/>
      <c r="E929" s="8"/>
      <c r="F929" s="8"/>
      <c r="G929" s="8"/>
      <c r="H929" s="8"/>
      <c r="I929" s="8"/>
      <c r="J929" s="8"/>
      <c r="K929" s="8"/>
      <c r="L929" s="8"/>
      <c r="M929" s="8"/>
      <c r="N929" s="8"/>
      <c r="O929" s="8"/>
      <c r="P929" s="8"/>
      <c r="Q929" s="8"/>
      <c r="R929" s="8"/>
      <c r="S929" s="8"/>
      <c r="T929" s="8"/>
      <c r="U929" s="12"/>
      <c r="V929" s="12"/>
      <c r="W929" s="12"/>
      <c r="X929" s="12"/>
      <c r="Y929" s="29"/>
      <c r="Z929" s="29"/>
      <c r="AA929" s="29"/>
      <c r="AB929" s="12"/>
      <c r="AC929" s="12"/>
      <c r="AD929" s="12"/>
      <c r="AE929" s="12"/>
      <c r="AF929" s="12"/>
    </row>
    <row r="930" spans="1:32">
      <c r="A930" s="8"/>
      <c r="B930" s="8"/>
      <c r="C930" s="8"/>
      <c r="D930" s="8"/>
      <c r="E930" s="8"/>
      <c r="F930" s="8"/>
      <c r="G930" s="8"/>
      <c r="H930" s="8"/>
      <c r="I930" s="8"/>
      <c r="J930" s="8"/>
      <c r="K930" s="8"/>
      <c r="L930" s="8"/>
      <c r="M930" s="8"/>
      <c r="N930" s="8"/>
      <c r="O930" s="8"/>
      <c r="P930" s="8"/>
      <c r="Q930" s="8"/>
      <c r="R930" s="8"/>
      <c r="S930" s="8"/>
      <c r="T930" s="8"/>
      <c r="U930" s="12"/>
      <c r="V930" s="12"/>
      <c r="W930" s="12"/>
      <c r="X930" s="12"/>
      <c r="Y930" s="29"/>
      <c r="Z930" s="29"/>
      <c r="AA930" s="29"/>
      <c r="AB930" s="12"/>
      <c r="AC930" s="12"/>
      <c r="AD930" s="12"/>
      <c r="AE930" s="12"/>
      <c r="AF930" s="12"/>
    </row>
    <row r="931" spans="1:32">
      <c r="A931" s="8"/>
      <c r="B931" s="8"/>
      <c r="C931" s="8"/>
      <c r="D931" s="8"/>
      <c r="E931" s="8"/>
      <c r="F931" s="8"/>
      <c r="G931" s="8"/>
      <c r="H931" s="8"/>
      <c r="I931" s="8"/>
      <c r="J931" s="8"/>
      <c r="K931" s="8"/>
      <c r="L931" s="8"/>
      <c r="M931" s="8"/>
      <c r="N931" s="8"/>
      <c r="O931" s="8"/>
      <c r="P931" s="8"/>
      <c r="Q931" s="8"/>
      <c r="R931" s="8"/>
      <c r="S931" s="8"/>
      <c r="T931" s="8"/>
      <c r="U931" s="12"/>
      <c r="V931" s="12"/>
      <c r="W931" s="12"/>
      <c r="X931" s="12"/>
      <c r="Y931" s="29"/>
      <c r="Z931" s="29"/>
      <c r="AA931" s="29"/>
      <c r="AB931" s="12"/>
      <c r="AC931" s="12"/>
      <c r="AD931" s="12"/>
      <c r="AE931" s="12"/>
      <c r="AF931" s="12"/>
    </row>
    <row r="932" spans="1:32">
      <c r="A932" s="8"/>
      <c r="B932" s="8"/>
      <c r="C932" s="8"/>
      <c r="D932" s="8"/>
      <c r="E932" s="8"/>
      <c r="F932" s="8"/>
      <c r="G932" s="8"/>
      <c r="H932" s="8"/>
      <c r="I932" s="8"/>
      <c r="J932" s="8"/>
      <c r="K932" s="8"/>
      <c r="L932" s="8"/>
      <c r="M932" s="8"/>
      <c r="N932" s="8"/>
      <c r="O932" s="8"/>
      <c r="P932" s="8"/>
      <c r="Q932" s="8"/>
      <c r="R932" s="8"/>
      <c r="S932" s="8"/>
      <c r="T932" s="8"/>
      <c r="U932" s="12"/>
      <c r="V932" s="12"/>
      <c r="W932" s="12"/>
      <c r="X932" s="12"/>
      <c r="Y932" s="29"/>
      <c r="Z932" s="29"/>
      <c r="AA932" s="29"/>
      <c r="AB932" s="12"/>
      <c r="AC932" s="12"/>
      <c r="AD932" s="12"/>
      <c r="AE932" s="12"/>
      <c r="AF932" s="12"/>
    </row>
    <row r="933" spans="1:32">
      <c r="A933" s="8"/>
      <c r="B933" s="8"/>
      <c r="C933" s="8"/>
      <c r="D933" s="8"/>
      <c r="E933" s="8"/>
      <c r="F933" s="8"/>
      <c r="G933" s="8"/>
      <c r="H933" s="8"/>
      <c r="I933" s="8"/>
      <c r="J933" s="8"/>
      <c r="K933" s="8"/>
      <c r="L933" s="8"/>
      <c r="M933" s="8"/>
      <c r="N933" s="8"/>
      <c r="O933" s="8"/>
      <c r="P933" s="8"/>
      <c r="Q933" s="8"/>
      <c r="R933" s="8"/>
      <c r="S933" s="8"/>
      <c r="T933" s="8"/>
      <c r="U933" s="12"/>
      <c r="V933" s="12"/>
      <c r="W933" s="12"/>
      <c r="X933" s="12"/>
      <c r="Y933" s="29"/>
      <c r="Z933" s="29"/>
      <c r="AA933" s="29"/>
      <c r="AB933" s="12"/>
      <c r="AC933" s="12"/>
      <c r="AD933" s="12"/>
      <c r="AE933" s="12"/>
      <c r="AF933" s="12"/>
    </row>
    <row r="934" spans="1:32">
      <c r="A934" s="8"/>
      <c r="B934" s="8"/>
      <c r="C934" s="8"/>
      <c r="D934" s="8"/>
      <c r="E934" s="8"/>
      <c r="F934" s="8"/>
      <c r="G934" s="8"/>
      <c r="H934" s="8"/>
      <c r="I934" s="8"/>
      <c r="J934" s="8"/>
      <c r="K934" s="8"/>
      <c r="L934" s="8"/>
      <c r="M934" s="8"/>
      <c r="N934" s="8"/>
      <c r="O934" s="8"/>
      <c r="P934" s="8"/>
      <c r="Q934" s="8"/>
      <c r="R934" s="8"/>
      <c r="S934" s="8"/>
      <c r="T934" s="8"/>
      <c r="U934" s="12"/>
      <c r="V934" s="12"/>
      <c r="W934" s="12"/>
      <c r="X934" s="12"/>
      <c r="Y934" s="29"/>
      <c r="Z934" s="29"/>
      <c r="AA934" s="29"/>
      <c r="AB934" s="12"/>
      <c r="AC934" s="12"/>
      <c r="AD934" s="12"/>
      <c r="AE934" s="12"/>
      <c r="AF934" s="12"/>
    </row>
    <row r="935" spans="1:32">
      <c r="A935" s="8"/>
      <c r="B935" s="8"/>
      <c r="C935" s="8"/>
      <c r="D935" s="8"/>
      <c r="E935" s="8"/>
      <c r="F935" s="8"/>
      <c r="G935" s="8"/>
      <c r="H935" s="8"/>
      <c r="I935" s="8"/>
      <c r="J935" s="8"/>
      <c r="K935" s="8"/>
      <c r="L935" s="8"/>
      <c r="M935" s="8"/>
      <c r="N935" s="8"/>
      <c r="O935" s="8"/>
      <c r="P935" s="8"/>
      <c r="Q935" s="8"/>
      <c r="R935" s="8"/>
      <c r="S935" s="8"/>
      <c r="T935" s="8"/>
      <c r="U935" s="12"/>
      <c r="V935" s="12"/>
      <c r="W935" s="12"/>
      <c r="X935" s="12"/>
      <c r="Y935" s="29"/>
      <c r="Z935" s="29"/>
      <c r="AA935" s="29"/>
      <c r="AB935" s="12"/>
      <c r="AC935" s="12"/>
      <c r="AD935" s="12"/>
      <c r="AE935" s="12"/>
      <c r="AF935" s="12"/>
    </row>
    <row r="936" spans="1:32">
      <c r="A936" s="8"/>
      <c r="B936" s="8"/>
      <c r="C936" s="8"/>
      <c r="D936" s="8"/>
      <c r="E936" s="8"/>
      <c r="F936" s="8"/>
      <c r="G936" s="8"/>
      <c r="H936" s="8"/>
      <c r="I936" s="8"/>
      <c r="J936" s="8"/>
      <c r="K936" s="8"/>
      <c r="L936" s="8"/>
      <c r="M936" s="8"/>
      <c r="N936" s="8"/>
      <c r="O936" s="8"/>
      <c r="P936" s="8"/>
      <c r="Q936" s="8"/>
      <c r="R936" s="8"/>
      <c r="S936" s="8"/>
      <c r="T936" s="8"/>
      <c r="U936" s="12"/>
      <c r="V936" s="12"/>
      <c r="W936" s="12"/>
      <c r="X936" s="12"/>
      <c r="Y936" s="29"/>
      <c r="Z936" s="29"/>
      <c r="AA936" s="29"/>
      <c r="AB936" s="12"/>
      <c r="AC936" s="12"/>
      <c r="AD936" s="12"/>
      <c r="AE936" s="12"/>
      <c r="AF936" s="12"/>
    </row>
    <row r="937" spans="1:32">
      <c r="A937" s="8"/>
      <c r="B937" s="8"/>
      <c r="C937" s="8"/>
      <c r="D937" s="8"/>
      <c r="E937" s="8"/>
      <c r="F937" s="8"/>
      <c r="G937" s="8"/>
      <c r="H937" s="8"/>
      <c r="I937" s="8"/>
      <c r="J937" s="8"/>
      <c r="K937" s="8"/>
      <c r="L937" s="8"/>
      <c r="M937" s="8"/>
      <c r="N937" s="8"/>
      <c r="O937" s="8"/>
      <c r="P937" s="8"/>
      <c r="Q937" s="8"/>
      <c r="R937" s="8"/>
      <c r="S937" s="8"/>
      <c r="T937" s="8"/>
      <c r="U937" s="12"/>
      <c r="V937" s="12"/>
      <c r="W937" s="12"/>
      <c r="X937" s="12"/>
      <c r="Y937" s="29"/>
      <c r="Z937" s="29"/>
      <c r="AA937" s="29"/>
      <c r="AB937" s="12"/>
      <c r="AC937" s="12"/>
      <c r="AD937" s="12"/>
      <c r="AE937" s="12"/>
      <c r="AF937" s="12"/>
    </row>
    <row r="938" spans="1:32">
      <c r="A938" s="8"/>
      <c r="B938" s="8"/>
      <c r="C938" s="8"/>
      <c r="D938" s="8"/>
      <c r="E938" s="8"/>
      <c r="F938" s="8"/>
      <c r="G938" s="8"/>
      <c r="H938" s="8"/>
      <c r="I938" s="8"/>
      <c r="J938" s="8"/>
      <c r="K938" s="8"/>
      <c r="L938" s="8"/>
      <c r="M938" s="8"/>
      <c r="N938" s="8"/>
      <c r="O938" s="8"/>
      <c r="P938" s="8"/>
      <c r="Q938" s="8"/>
      <c r="R938" s="8"/>
      <c r="S938" s="8"/>
      <c r="T938" s="8"/>
      <c r="U938" s="12"/>
      <c r="V938" s="12"/>
      <c r="W938" s="12"/>
      <c r="X938" s="12"/>
      <c r="Y938" s="29"/>
      <c r="Z938" s="29"/>
      <c r="AA938" s="29"/>
      <c r="AB938" s="12"/>
      <c r="AC938" s="12"/>
      <c r="AD938" s="12"/>
      <c r="AE938" s="12"/>
      <c r="AF938" s="12"/>
    </row>
    <row r="939" spans="1:32">
      <c r="A939" s="8"/>
      <c r="B939" s="8"/>
      <c r="C939" s="8"/>
      <c r="D939" s="8"/>
      <c r="E939" s="8"/>
      <c r="F939" s="8"/>
      <c r="G939" s="8"/>
      <c r="H939" s="8"/>
      <c r="I939" s="8"/>
      <c r="J939" s="8"/>
      <c r="K939" s="8"/>
      <c r="L939" s="8"/>
      <c r="M939" s="8"/>
      <c r="N939" s="8"/>
      <c r="O939" s="8"/>
      <c r="P939" s="8"/>
      <c r="Q939" s="8"/>
      <c r="R939" s="8"/>
      <c r="S939" s="8"/>
      <c r="T939" s="8"/>
      <c r="U939" s="12"/>
      <c r="V939" s="12"/>
      <c r="W939" s="12"/>
      <c r="X939" s="12"/>
      <c r="Y939" s="29"/>
      <c r="Z939" s="29"/>
      <c r="AA939" s="29"/>
      <c r="AB939" s="12"/>
      <c r="AC939" s="12"/>
      <c r="AD939" s="12"/>
      <c r="AE939" s="12"/>
      <c r="AF939" s="12"/>
    </row>
    <row r="940" spans="1:32">
      <c r="A940" s="8"/>
      <c r="B940" s="8"/>
      <c r="C940" s="8"/>
      <c r="D940" s="8"/>
      <c r="E940" s="8"/>
      <c r="F940" s="8"/>
      <c r="G940" s="8"/>
      <c r="H940" s="8"/>
      <c r="I940" s="8"/>
      <c r="J940" s="8"/>
      <c r="K940" s="8"/>
      <c r="L940" s="8"/>
      <c r="M940" s="8"/>
      <c r="N940" s="8"/>
      <c r="O940" s="8"/>
      <c r="P940" s="8"/>
      <c r="Q940" s="8"/>
      <c r="R940" s="8"/>
      <c r="S940" s="8"/>
      <c r="T940" s="8"/>
      <c r="U940" s="12"/>
      <c r="V940" s="12"/>
      <c r="W940" s="12"/>
      <c r="X940" s="12"/>
      <c r="Y940" s="29"/>
      <c r="Z940" s="29"/>
      <c r="AA940" s="29"/>
      <c r="AB940" s="12"/>
      <c r="AC940" s="12"/>
      <c r="AD940" s="12"/>
      <c r="AE940" s="12"/>
      <c r="AF940" s="12"/>
    </row>
    <row r="941" spans="1:32">
      <c r="A941" s="8"/>
      <c r="B941" s="8"/>
      <c r="C941" s="8"/>
      <c r="D941" s="8"/>
      <c r="E941" s="8"/>
      <c r="F941" s="8"/>
      <c r="G941" s="8"/>
      <c r="H941" s="8"/>
      <c r="I941" s="8"/>
      <c r="J941" s="8"/>
      <c r="K941" s="8"/>
      <c r="L941" s="8"/>
      <c r="M941" s="8"/>
      <c r="N941" s="8"/>
      <c r="O941" s="8"/>
      <c r="P941" s="8"/>
      <c r="Q941" s="8"/>
      <c r="R941" s="8"/>
      <c r="S941" s="8"/>
      <c r="T941" s="8"/>
      <c r="U941" s="12"/>
      <c r="V941" s="12"/>
      <c r="W941" s="12"/>
      <c r="X941" s="12"/>
      <c r="Y941" s="29"/>
      <c r="Z941" s="29"/>
      <c r="AA941" s="29"/>
      <c r="AB941" s="12"/>
      <c r="AC941" s="12"/>
      <c r="AD941" s="12"/>
      <c r="AE941" s="12"/>
      <c r="AF941" s="12"/>
    </row>
    <row r="942" spans="1:32">
      <c r="A942" s="8"/>
      <c r="B942" s="8"/>
      <c r="C942" s="8"/>
      <c r="D942" s="8"/>
      <c r="E942" s="8"/>
      <c r="F942" s="8"/>
      <c r="G942" s="8"/>
      <c r="H942" s="8"/>
      <c r="I942" s="8"/>
      <c r="J942" s="8"/>
      <c r="K942" s="8"/>
      <c r="L942" s="8"/>
      <c r="M942" s="8"/>
      <c r="N942" s="8"/>
      <c r="O942" s="8"/>
      <c r="P942" s="8"/>
      <c r="Q942" s="8"/>
      <c r="R942" s="8"/>
      <c r="S942" s="8"/>
      <c r="T942" s="8"/>
      <c r="U942" s="12"/>
      <c r="V942" s="12"/>
      <c r="W942" s="12"/>
      <c r="X942" s="12"/>
      <c r="Y942" s="29"/>
      <c r="Z942" s="29"/>
      <c r="AA942" s="29"/>
      <c r="AB942" s="12"/>
      <c r="AC942" s="12"/>
      <c r="AD942" s="12"/>
      <c r="AE942" s="12"/>
      <c r="AF942" s="12"/>
    </row>
    <row r="943" spans="1:32">
      <c r="A943" s="8"/>
      <c r="B943" s="8"/>
      <c r="C943" s="8"/>
      <c r="D943" s="8"/>
      <c r="E943" s="8"/>
      <c r="F943" s="8"/>
      <c r="G943" s="8"/>
      <c r="H943" s="8"/>
      <c r="I943" s="8"/>
      <c r="J943" s="8"/>
      <c r="K943" s="8"/>
      <c r="L943" s="8"/>
      <c r="M943" s="8"/>
      <c r="N943" s="8"/>
      <c r="O943" s="8"/>
      <c r="P943" s="8"/>
      <c r="Q943" s="8"/>
      <c r="R943" s="8"/>
      <c r="S943" s="8"/>
      <c r="T943" s="8"/>
      <c r="U943" s="12"/>
      <c r="V943" s="12"/>
      <c r="W943" s="12"/>
      <c r="X943" s="12"/>
      <c r="Y943" s="29"/>
      <c r="Z943" s="29"/>
      <c r="AA943" s="29"/>
      <c r="AB943" s="12"/>
      <c r="AC943" s="12"/>
      <c r="AD943" s="12"/>
      <c r="AE943" s="12"/>
      <c r="AF943" s="12"/>
    </row>
    <row r="944" spans="1:32">
      <c r="A944" s="8"/>
      <c r="B944" s="8"/>
      <c r="C944" s="8"/>
      <c r="D944" s="8"/>
      <c r="E944" s="8"/>
      <c r="F944" s="8"/>
      <c r="G944" s="8"/>
      <c r="H944" s="8"/>
      <c r="I944" s="8"/>
      <c r="J944" s="8"/>
      <c r="K944" s="8"/>
      <c r="L944" s="8"/>
      <c r="M944" s="8"/>
      <c r="N944" s="8"/>
      <c r="O944" s="8"/>
      <c r="P944" s="8"/>
      <c r="Q944" s="8"/>
      <c r="R944" s="8"/>
      <c r="S944" s="8"/>
      <c r="T944" s="8"/>
      <c r="U944" s="12"/>
      <c r="V944" s="12"/>
      <c r="W944" s="12"/>
      <c r="X944" s="12"/>
      <c r="Y944" s="29"/>
      <c r="Z944" s="29"/>
      <c r="AA944" s="29"/>
      <c r="AB944" s="12"/>
      <c r="AC944" s="12"/>
      <c r="AD944" s="12"/>
      <c r="AE944" s="12"/>
      <c r="AF944" s="12"/>
    </row>
    <row r="945" spans="1:32">
      <c r="A945" s="8"/>
      <c r="B945" s="8"/>
      <c r="C945" s="8"/>
      <c r="D945" s="8"/>
      <c r="E945" s="8"/>
      <c r="F945" s="8"/>
      <c r="G945" s="8"/>
      <c r="H945" s="8"/>
      <c r="I945" s="8"/>
      <c r="J945" s="8"/>
      <c r="K945" s="8"/>
      <c r="L945" s="8"/>
      <c r="M945" s="8"/>
      <c r="N945" s="8"/>
      <c r="O945" s="8"/>
      <c r="P945" s="8"/>
      <c r="Q945" s="8"/>
      <c r="R945" s="8"/>
      <c r="S945" s="8"/>
      <c r="T945" s="8"/>
      <c r="U945" s="12"/>
      <c r="V945" s="12"/>
      <c r="W945" s="12"/>
      <c r="X945" s="12"/>
      <c r="Y945" s="29"/>
      <c r="Z945" s="29"/>
      <c r="AA945" s="29"/>
      <c r="AB945" s="12"/>
      <c r="AC945" s="12"/>
      <c r="AD945" s="12"/>
      <c r="AE945" s="12"/>
      <c r="AF945" s="12"/>
    </row>
    <row r="946" spans="1:32">
      <c r="A946" s="8"/>
      <c r="B946" s="8"/>
      <c r="C946" s="8"/>
      <c r="D946" s="8"/>
      <c r="E946" s="8"/>
      <c r="F946" s="8"/>
      <c r="G946" s="8"/>
      <c r="H946" s="8"/>
      <c r="I946" s="8"/>
      <c r="J946" s="8"/>
      <c r="K946" s="8"/>
      <c r="L946" s="8"/>
      <c r="M946" s="8"/>
      <c r="N946" s="8"/>
      <c r="O946" s="8"/>
      <c r="P946" s="8"/>
      <c r="Q946" s="8"/>
      <c r="R946" s="8"/>
      <c r="S946" s="8"/>
      <c r="T946" s="8"/>
      <c r="U946" s="12"/>
      <c r="V946" s="12"/>
      <c r="W946" s="12"/>
      <c r="X946" s="12"/>
      <c r="Y946" s="29"/>
      <c r="Z946" s="29"/>
      <c r="AA946" s="29"/>
      <c r="AB946" s="12"/>
      <c r="AC946" s="12"/>
      <c r="AD946" s="12"/>
      <c r="AE946" s="12"/>
      <c r="AF946" s="12"/>
    </row>
    <row r="947" spans="1:32">
      <c r="A947" s="8"/>
      <c r="B947" s="8"/>
      <c r="C947" s="8"/>
      <c r="D947" s="8"/>
      <c r="E947" s="8"/>
      <c r="F947" s="8"/>
      <c r="G947" s="8"/>
      <c r="H947" s="8"/>
      <c r="I947" s="8"/>
      <c r="J947" s="8"/>
      <c r="K947" s="8"/>
      <c r="L947" s="8"/>
      <c r="M947" s="8"/>
      <c r="N947" s="8"/>
      <c r="O947" s="8"/>
      <c r="P947" s="8"/>
      <c r="Q947" s="8"/>
      <c r="R947" s="8"/>
      <c r="S947" s="8"/>
      <c r="T947" s="8"/>
      <c r="U947" s="12"/>
      <c r="V947" s="12"/>
      <c r="W947" s="12"/>
      <c r="X947" s="12"/>
      <c r="Y947" s="29"/>
      <c r="Z947" s="29"/>
      <c r="AA947" s="29"/>
      <c r="AB947" s="12"/>
      <c r="AC947" s="12"/>
      <c r="AD947" s="12"/>
      <c r="AE947" s="12"/>
      <c r="AF947" s="12"/>
    </row>
    <row r="948" spans="1:32">
      <c r="A948" s="8"/>
      <c r="B948" s="8"/>
      <c r="C948" s="8"/>
      <c r="D948" s="8"/>
      <c r="E948" s="8"/>
      <c r="F948" s="8"/>
      <c r="G948" s="8"/>
      <c r="H948" s="8"/>
      <c r="I948" s="8"/>
      <c r="J948" s="8"/>
      <c r="K948" s="8"/>
      <c r="L948" s="8"/>
      <c r="M948" s="8"/>
      <c r="N948" s="8"/>
      <c r="O948" s="8"/>
      <c r="P948" s="8"/>
      <c r="Q948" s="8"/>
      <c r="R948" s="8"/>
      <c r="S948" s="8"/>
      <c r="T948" s="8"/>
      <c r="U948" s="12"/>
      <c r="V948" s="12"/>
      <c r="W948" s="12"/>
      <c r="X948" s="12"/>
      <c r="Y948" s="29"/>
      <c r="Z948" s="29"/>
      <c r="AA948" s="29"/>
      <c r="AB948" s="12"/>
      <c r="AC948" s="12"/>
      <c r="AD948" s="12"/>
      <c r="AE948" s="12"/>
      <c r="AF948" s="12"/>
    </row>
    <row r="949" spans="1:32">
      <c r="A949" s="8"/>
      <c r="B949" s="8"/>
      <c r="C949" s="8"/>
      <c r="D949" s="8"/>
      <c r="E949" s="8"/>
      <c r="F949" s="8"/>
      <c r="G949" s="8"/>
      <c r="H949" s="8"/>
      <c r="I949" s="8"/>
      <c r="J949" s="8"/>
      <c r="K949" s="8"/>
      <c r="L949" s="8"/>
      <c r="M949" s="8"/>
      <c r="N949" s="8"/>
      <c r="O949" s="8"/>
      <c r="P949" s="8"/>
      <c r="Q949" s="8"/>
      <c r="R949" s="8"/>
      <c r="S949" s="8"/>
      <c r="T949" s="8"/>
      <c r="U949" s="12"/>
      <c r="V949" s="12"/>
      <c r="W949" s="12"/>
      <c r="X949" s="12"/>
      <c r="Y949" s="29"/>
      <c r="Z949" s="29"/>
      <c r="AA949" s="29"/>
      <c r="AB949" s="12"/>
      <c r="AC949" s="12"/>
      <c r="AD949" s="12"/>
      <c r="AE949" s="12"/>
      <c r="AF949" s="12"/>
    </row>
    <row r="950" spans="1:32">
      <c r="A950" s="8"/>
      <c r="B950" s="8"/>
      <c r="C950" s="8"/>
      <c r="D950" s="8"/>
      <c r="E950" s="8"/>
      <c r="F950" s="8"/>
      <c r="G950" s="8"/>
      <c r="H950" s="8"/>
      <c r="I950" s="8"/>
      <c r="J950" s="8"/>
      <c r="K950" s="8"/>
      <c r="L950" s="8"/>
      <c r="M950" s="8"/>
      <c r="N950" s="8"/>
      <c r="O950" s="8"/>
      <c r="P950" s="8"/>
      <c r="Q950" s="8"/>
      <c r="R950" s="8"/>
      <c r="S950" s="8"/>
      <c r="T950" s="8"/>
      <c r="U950" s="12"/>
      <c r="V950" s="12"/>
      <c r="W950" s="12"/>
      <c r="X950" s="12"/>
      <c r="Y950" s="29"/>
      <c r="Z950" s="29"/>
      <c r="AA950" s="29"/>
      <c r="AB950" s="12"/>
      <c r="AC950" s="12"/>
      <c r="AD950" s="12"/>
      <c r="AE950" s="12"/>
      <c r="AF950" s="12"/>
    </row>
    <row r="951" spans="1:32">
      <c r="A951" s="8"/>
      <c r="B951" s="8"/>
      <c r="C951" s="8"/>
      <c r="D951" s="8"/>
      <c r="E951" s="8"/>
      <c r="F951" s="8"/>
      <c r="G951" s="8"/>
      <c r="H951" s="8"/>
      <c r="I951" s="8"/>
      <c r="J951" s="8"/>
      <c r="K951" s="8"/>
      <c r="L951" s="8"/>
      <c r="M951" s="8"/>
      <c r="N951" s="8"/>
      <c r="O951" s="8"/>
      <c r="P951" s="8"/>
      <c r="Q951" s="8"/>
      <c r="R951" s="8"/>
      <c r="S951" s="8"/>
      <c r="T951" s="8"/>
      <c r="U951" s="12"/>
      <c r="V951" s="12"/>
      <c r="W951" s="12"/>
      <c r="X951" s="12"/>
      <c r="Y951" s="29"/>
      <c r="Z951" s="29"/>
      <c r="AA951" s="29"/>
      <c r="AB951" s="12"/>
      <c r="AC951" s="12"/>
      <c r="AD951" s="12"/>
      <c r="AE951" s="12"/>
      <c r="AF951" s="12"/>
    </row>
    <row r="952" spans="1:32">
      <c r="A952" s="8"/>
      <c r="B952" s="8"/>
      <c r="C952" s="8"/>
      <c r="D952" s="8"/>
      <c r="E952" s="8"/>
      <c r="F952" s="8"/>
      <c r="G952" s="8"/>
      <c r="H952" s="8"/>
      <c r="I952" s="8"/>
      <c r="J952" s="8"/>
      <c r="K952" s="8"/>
      <c r="L952" s="8"/>
      <c r="M952" s="8"/>
      <c r="N952" s="8"/>
      <c r="O952" s="8"/>
      <c r="P952" s="8"/>
      <c r="Q952" s="8"/>
      <c r="R952" s="8"/>
      <c r="S952" s="8"/>
      <c r="T952" s="8"/>
      <c r="U952" s="12"/>
      <c r="V952" s="12"/>
      <c r="W952" s="12"/>
      <c r="X952" s="12"/>
      <c r="Y952" s="29"/>
      <c r="Z952" s="29"/>
      <c r="AA952" s="29"/>
      <c r="AB952" s="12"/>
      <c r="AC952" s="12"/>
      <c r="AD952" s="12"/>
      <c r="AE952" s="12"/>
      <c r="AF952" s="12"/>
    </row>
    <row r="953" spans="1:32">
      <c r="A953" s="8"/>
      <c r="B953" s="8"/>
      <c r="C953" s="8"/>
      <c r="D953" s="8"/>
      <c r="E953" s="8"/>
      <c r="F953" s="8"/>
      <c r="G953" s="8"/>
      <c r="H953" s="8"/>
      <c r="I953" s="8"/>
      <c r="J953" s="8"/>
      <c r="K953" s="8"/>
      <c r="L953" s="8"/>
      <c r="M953" s="8"/>
      <c r="N953" s="8"/>
      <c r="O953" s="8"/>
      <c r="P953" s="8"/>
      <c r="Q953" s="8"/>
      <c r="R953" s="8"/>
      <c r="S953" s="8"/>
      <c r="T953" s="8"/>
      <c r="U953" s="12"/>
      <c r="V953" s="12"/>
      <c r="W953" s="12"/>
      <c r="X953" s="12"/>
      <c r="Y953" s="29"/>
      <c r="Z953" s="29"/>
      <c r="AA953" s="29"/>
      <c r="AB953" s="12"/>
      <c r="AC953" s="12"/>
      <c r="AD953" s="12"/>
      <c r="AE953" s="12"/>
      <c r="AF953" s="12"/>
    </row>
    <row r="954" spans="1:32">
      <c r="A954" s="8"/>
      <c r="B954" s="8"/>
      <c r="C954" s="8"/>
      <c r="D954" s="8"/>
      <c r="E954" s="8"/>
      <c r="F954" s="8"/>
      <c r="G954" s="8"/>
      <c r="H954" s="8"/>
      <c r="I954" s="8"/>
      <c r="J954" s="8"/>
      <c r="K954" s="8"/>
      <c r="L954" s="8"/>
      <c r="M954" s="8"/>
      <c r="N954" s="8"/>
      <c r="O954" s="8"/>
      <c r="P954" s="8"/>
      <c r="Q954" s="8"/>
      <c r="R954" s="8"/>
      <c r="S954" s="8"/>
      <c r="T954" s="8"/>
      <c r="U954" s="12"/>
      <c r="V954" s="12"/>
      <c r="W954" s="12"/>
      <c r="X954" s="12"/>
      <c r="Y954" s="29"/>
      <c r="Z954" s="29"/>
      <c r="AA954" s="29"/>
      <c r="AB954" s="12"/>
      <c r="AC954" s="12"/>
      <c r="AD954" s="12"/>
      <c r="AE954" s="12"/>
      <c r="AF954" s="12"/>
    </row>
    <row r="955" spans="1:32">
      <c r="A955" s="8"/>
      <c r="B955" s="8"/>
      <c r="C955" s="8"/>
      <c r="D955" s="8"/>
      <c r="E955" s="8"/>
      <c r="F955" s="8"/>
      <c r="G955" s="8"/>
      <c r="H955" s="8"/>
      <c r="I955" s="8"/>
      <c r="J955" s="8"/>
      <c r="K955" s="8"/>
      <c r="L955" s="8"/>
      <c r="M955" s="8"/>
      <c r="N955" s="8"/>
      <c r="O955" s="8"/>
      <c r="P955" s="8"/>
      <c r="Q955" s="8"/>
      <c r="R955" s="8"/>
      <c r="S955" s="8"/>
      <c r="T955" s="8"/>
      <c r="U955" s="12"/>
      <c r="V955" s="12"/>
      <c r="W955" s="12"/>
      <c r="X955" s="12"/>
      <c r="Y955" s="29"/>
      <c r="Z955" s="29"/>
      <c r="AA955" s="29"/>
      <c r="AB955" s="12"/>
      <c r="AC955" s="12"/>
      <c r="AD955" s="12"/>
      <c r="AE955" s="12"/>
      <c r="AF955" s="12"/>
    </row>
    <row r="956" spans="1:32">
      <c r="A956" s="8"/>
      <c r="B956" s="8"/>
      <c r="C956" s="8"/>
      <c r="D956" s="8"/>
      <c r="E956" s="8"/>
      <c r="F956" s="8"/>
      <c r="G956" s="8"/>
      <c r="H956" s="8"/>
      <c r="I956" s="8"/>
      <c r="J956" s="8"/>
      <c r="K956" s="8"/>
      <c r="L956" s="8"/>
      <c r="M956" s="8"/>
      <c r="N956" s="8"/>
      <c r="O956" s="8"/>
      <c r="P956" s="8"/>
      <c r="Q956" s="8"/>
      <c r="R956" s="8"/>
      <c r="S956" s="8"/>
      <c r="T956" s="8"/>
      <c r="U956" s="12"/>
      <c r="V956" s="12"/>
      <c r="W956" s="12"/>
      <c r="X956" s="12"/>
      <c r="Y956" s="29"/>
      <c r="Z956" s="29"/>
      <c r="AA956" s="29"/>
      <c r="AB956" s="12"/>
      <c r="AC956" s="12"/>
      <c r="AD956" s="12"/>
      <c r="AE956" s="12"/>
      <c r="AF956" s="12"/>
    </row>
    <row r="957" spans="1:32">
      <c r="A957" s="8"/>
      <c r="B957" s="8"/>
      <c r="C957" s="8"/>
      <c r="D957" s="8"/>
      <c r="E957" s="8"/>
      <c r="F957" s="8"/>
      <c r="G957" s="8"/>
      <c r="H957" s="8"/>
      <c r="I957" s="8"/>
      <c r="J957" s="8"/>
      <c r="K957" s="8"/>
      <c r="L957" s="8"/>
      <c r="M957" s="8"/>
      <c r="N957" s="8"/>
      <c r="O957" s="8"/>
      <c r="P957" s="8"/>
      <c r="Q957" s="8"/>
      <c r="R957" s="8"/>
      <c r="S957" s="8"/>
      <c r="T957" s="8"/>
      <c r="U957" s="12"/>
      <c r="V957" s="12"/>
      <c r="W957" s="12"/>
      <c r="X957" s="12"/>
      <c r="Y957" s="29"/>
      <c r="Z957" s="29"/>
      <c r="AA957" s="29"/>
      <c r="AB957" s="12"/>
      <c r="AC957" s="12"/>
      <c r="AD957" s="12"/>
      <c r="AE957" s="12"/>
      <c r="AF957" s="12"/>
    </row>
    <row r="958" spans="1:32">
      <c r="A958" s="8"/>
      <c r="B958" s="8"/>
      <c r="C958" s="8"/>
      <c r="D958" s="8"/>
      <c r="E958" s="8"/>
      <c r="F958" s="8"/>
      <c r="G958" s="8"/>
      <c r="H958" s="8"/>
      <c r="I958" s="8"/>
      <c r="J958" s="8"/>
      <c r="K958" s="8"/>
      <c r="L958" s="8"/>
      <c r="M958" s="8"/>
      <c r="N958" s="8"/>
      <c r="O958" s="8"/>
      <c r="P958" s="8"/>
      <c r="Q958" s="8"/>
      <c r="R958" s="8"/>
      <c r="S958" s="8"/>
      <c r="T958" s="8"/>
      <c r="U958" s="12"/>
      <c r="V958" s="12"/>
      <c r="W958" s="12"/>
      <c r="X958" s="12"/>
      <c r="Y958" s="29"/>
      <c r="Z958" s="29"/>
      <c r="AA958" s="29"/>
      <c r="AB958" s="12"/>
      <c r="AC958" s="12"/>
      <c r="AD958" s="12"/>
      <c r="AE958" s="12"/>
      <c r="AF958" s="12"/>
    </row>
    <row r="959" spans="1:32">
      <c r="A959" s="8"/>
      <c r="B959" s="8"/>
      <c r="C959" s="8"/>
      <c r="D959" s="8"/>
      <c r="E959" s="8"/>
      <c r="F959" s="8"/>
      <c r="G959" s="8"/>
      <c r="H959" s="8"/>
      <c r="I959" s="8"/>
      <c r="J959" s="8"/>
      <c r="K959" s="8"/>
      <c r="L959" s="8"/>
      <c r="M959" s="8"/>
      <c r="N959" s="8"/>
      <c r="O959" s="8"/>
      <c r="P959" s="8"/>
      <c r="Q959" s="8"/>
      <c r="R959" s="8"/>
      <c r="S959" s="8"/>
      <c r="T959" s="8"/>
      <c r="U959" s="12"/>
      <c r="V959" s="12"/>
      <c r="W959" s="12"/>
      <c r="X959" s="12"/>
      <c r="Y959" s="29"/>
      <c r="Z959" s="29"/>
      <c r="AA959" s="29"/>
      <c r="AB959" s="12"/>
      <c r="AC959" s="12"/>
      <c r="AD959" s="12"/>
      <c r="AE959" s="12"/>
      <c r="AF959" s="12"/>
    </row>
    <row r="960" spans="1:32">
      <c r="A960" s="8"/>
      <c r="B960" s="8"/>
      <c r="C960" s="8"/>
      <c r="D960" s="8"/>
      <c r="E960" s="8"/>
      <c r="F960" s="8"/>
      <c r="G960" s="8"/>
      <c r="H960" s="8"/>
      <c r="I960" s="8"/>
      <c r="J960" s="8"/>
      <c r="K960" s="8"/>
      <c r="L960" s="8"/>
      <c r="M960" s="8"/>
      <c r="N960" s="8"/>
      <c r="O960" s="8"/>
      <c r="P960" s="8"/>
      <c r="Q960" s="8"/>
      <c r="R960" s="8"/>
      <c r="S960" s="8"/>
      <c r="T960" s="8"/>
      <c r="U960" s="12"/>
      <c r="V960" s="12"/>
      <c r="W960" s="12"/>
      <c r="X960" s="12"/>
      <c r="Y960" s="29"/>
      <c r="Z960" s="29"/>
      <c r="AA960" s="29"/>
      <c r="AB960" s="12"/>
      <c r="AC960" s="12"/>
      <c r="AD960" s="12"/>
      <c r="AE960" s="12"/>
      <c r="AF960" s="12"/>
    </row>
    <row r="961" spans="1:32">
      <c r="A961" s="8"/>
      <c r="B961" s="8"/>
      <c r="C961" s="8"/>
      <c r="D961" s="8"/>
      <c r="E961" s="8"/>
      <c r="F961" s="8"/>
      <c r="G961" s="8"/>
      <c r="H961" s="8"/>
      <c r="I961" s="8"/>
      <c r="J961" s="8"/>
      <c r="K961" s="8"/>
      <c r="L961" s="8"/>
      <c r="M961" s="8"/>
      <c r="N961" s="8"/>
      <c r="O961" s="8"/>
      <c r="P961" s="8"/>
      <c r="Q961" s="8"/>
      <c r="R961" s="8"/>
      <c r="S961" s="8"/>
      <c r="T961" s="8"/>
      <c r="U961" s="12"/>
      <c r="V961" s="12"/>
      <c r="W961" s="12"/>
      <c r="X961" s="12"/>
      <c r="Y961" s="29"/>
      <c r="Z961" s="29"/>
      <c r="AA961" s="29"/>
      <c r="AB961" s="12"/>
      <c r="AC961" s="12"/>
      <c r="AD961" s="12"/>
      <c r="AE961" s="12"/>
      <c r="AF961" s="12"/>
    </row>
    <row r="962" spans="1:32">
      <c r="A962" s="8"/>
      <c r="B962" s="8"/>
      <c r="C962" s="8"/>
      <c r="D962" s="8"/>
      <c r="E962" s="8"/>
      <c r="F962" s="8"/>
      <c r="G962" s="8"/>
      <c r="H962" s="8"/>
      <c r="I962" s="8"/>
      <c r="J962" s="8"/>
      <c r="K962" s="8"/>
      <c r="L962" s="8"/>
      <c r="M962" s="8"/>
      <c r="N962" s="8"/>
      <c r="O962" s="8"/>
      <c r="P962" s="8"/>
      <c r="Q962" s="8"/>
      <c r="R962" s="8"/>
      <c r="S962" s="8"/>
      <c r="T962" s="8"/>
      <c r="U962" s="12"/>
      <c r="V962" s="12"/>
      <c r="W962" s="12"/>
      <c r="X962" s="12"/>
      <c r="Y962" s="29"/>
      <c r="Z962" s="29"/>
      <c r="AA962" s="29"/>
      <c r="AB962" s="12"/>
      <c r="AC962" s="12"/>
      <c r="AD962" s="12"/>
      <c r="AE962" s="12"/>
      <c r="AF962" s="12"/>
    </row>
    <row r="963" spans="1:32">
      <c r="A963" s="8"/>
      <c r="B963" s="8"/>
      <c r="C963" s="8"/>
      <c r="D963" s="8"/>
      <c r="E963" s="8"/>
      <c r="F963" s="8"/>
      <c r="G963" s="8"/>
      <c r="H963" s="8"/>
      <c r="I963" s="8"/>
      <c r="J963" s="8"/>
      <c r="K963" s="8"/>
      <c r="L963" s="8"/>
      <c r="M963" s="8"/>
      <c r="N963" s="8"/>
      <c r="O963" s="8"/>
      <c r="P963" s="8"/>
      <c r="Q963" s="8"/>
      <c r="R963" s="8"/>
      <c r="S963" s="8"/>
      <c r="T963" s="8"/>
      <c r="U963" s="12"/>
      <c r="V963" s="12"/>
      <c r="W963" s="12"/>
      <c r="X963" s="12"/>
      <c r="Y963" s="29"/>
      <c r="Z963" s="29"/>
      <c r="AA963" s="29"/>
      <c r="AB963" s="12"/>
      <c r="AC963" s="12"/>
      <c r="AD963" s="12"/>
      <c r="AE963" s="12"/>
      <c r="AF963" s="12"/>
    </row>
    <row r="964" spans="1:32">
      <c r="A964" s="8"/>
      <c r="B964" s="8"/>
      <c r="C964" s="8"/>
      <c r="D964" s="8"/>
      <c r="E964" s="8"/>
      <c r="F964" s="8"/>
      <c r="G964" s="8"/>
      <c r="H964" s="8"/>
      <c r="I964" s="8"/>
      <c r="J964" s="8"/>
      <c r="K964" s="8"/>
      <c r="L964" s="8"/>
      <c r="M964" s="8"/>
      <c r="N964" s="8"/>
      <c r="O964" s="8"/>
      <c r="P964" s="8"/>
      <c r="Q964" s="8"/>
      <c r="R964" s="8"/>
      <c r="S964" s="8"/>
      <c r="T964" s="8"/>
      <c r="U964" s="12"/>
      <c r="V964" s="12"/>
      <c r="W964" s="12"/>
      <c r="X964" s="12"/>
      <c r="Y964" s="29"/>
      <c r="Z964" s="29"/>
      <c r="AA964" s="29"/>
      <c r="AB964" s="12"/>
      <c r="AC964" s="12"/>
      <c r="AD964" s="12"/>
      <c r="AE964" s="12"/>
      <c r="AF964" s="12"/>
    </row>
    <row r="965" spans="1:32">
      <c r="A965" s="8"/>
      <c r="B965" s="8"/>
      <c r="C965" s="8"/>
      <c r="D965" s="8"/>
      <c r="E965" s="8"/>
      <c r="F965" s="8"/>
      <c r="G965" s="8"/>
      <c r="H965" s="8"/>
      <c r="I965" s="8"/>
      <c r="J965" s="8"/>
      <c r="K965" s="8"/>
      <c r="L965" s="8"/>
      <c r="M965" s="8"/>
      <c r="N965" s="8"/>
      <c r="O965" s="8"/>
      <c r="P965" s="8"/>
      <c r="Q965" s="8"/>
      <c r="R965" s="8"/>
      <c r="S965" s="8"/>
      <c r="T965" s="8"/>
      <c r="U965" s="12"/>
      <c r="V965" s="12"/>
      <c r="W965" s="12"/>
      <c r="X965" s="12"/>
      <c r="Y965" s="29"/>
      <c r="Z965" s="29"/>
      <c r="AA965" s="29"/>
      <c r="AB965" s="12"/>
      <c r="AC965" s="12"/>
      <c r="AD965" s="12"/>
      <c r="AE965" s="12"/>
      <c r="AF965" s="12"/>
    </row>
    <row r="966" spans="1:32">
      <c r="A966" s="8"/>
      <c r="B966" s="8"/>
      <c r="C966" s="8"/>
      <c r="D966" s="8"/>
      <c r="E966" s="8"/>
      <c r="F966" s="8"/>
      <c r="G966" s="8"/>
      <c r="H966" s="8"/>
      <c r="I966" s="8"/>
      <c r="J966" s="8"/>
      <c r="K966" s="8"/>
      <c r="L966" s="8"/>
      <c r="M966" s="8"/>
      <c r="N966" s="8"/>
      <c r="O966" s="8"/>
      <c r="P966" s="8"/>
      <c r="Q966" s="8"/>
      <c r="R966" s="8"/>
      <c r="S966" s="8"/>
      <c r="T966" s="8"/>
      <c r="U966" s="12"/>
      <c r="V966" s="12"/>
      <c r="W966" s="12"/>
      <c r="X966" s="12"/>
      <c r="Y966" s="29"/>
      <c r="Z966" s="29"/>
      <c r="AA966" s="29"/>
      <c r="AB966" s="12"/>
      <c r="AC966" s="12"/>
      <c r="AD966" s="12"/>
      <c r="AE966" s="12"/>
      <c r="AF966" s="12"/>
    </row>
    <row r="967" spans="1:32">
      <c r="A967" s="8"/>
      <c r="B967" s="8"/>
      <c r="C967" s="8"/>
      <c r="D967" s="8"/>
      <c r="E967" s="8"/>
      <c r="F967" s="8"/>
      <c r="G967" s="8"/>
      <c r="H967" s="8"/>
      <c r="I967" s="8"/>
      <c r="J967" s="8"/>
      <c r="K967" s="8"/>
      <c r="L967" s="8"/>
      <c r="M967" s="8"/>
      <c r="N967" s="8"/>
      <c r="O967" s="8"/>
      <c r="P967" s="8"/>
      <c r="Q967" s="8"/>
      <c r="R967" s="8"/>
      <c r="S967" s="8"/>
      <c r="T967" s="8"/>
      <c r="U967" s="12"/>
      <c r="V967" s="12"/>
      <c r="W967" s="12"/>
      <c r="X967" s="12"/>
      <c r="Y967" s="29"/>
      <c r="Z967" s="29"/>
      <c r="AA967" s="29"/>
      <c r="AB967" s="12"/>
      <c r="AC967" s="12"/>
      <c r="AD967" s="12"/>
      <c r="AE967" s="12"/>
      <c r="AF967" s="12"/>
    </row>
    <row r="968" spans="1:32">
      <c r="A968" s="8"/>
      <c r="B968" s="8"/>
      <c r="C968" s="8"/>
      <c r="D968" s="8"/>
      <c r="E968" s="8"/>
      <c r="F968" s="8"/>
      <c r="G968" s="8"/>
      <c r="H968" s="8"/>
      <c r="I968" s="8"/>
      <c r="J968" s="8"/>
      <c r="K968" s="8"/>
      <c r="L968" s="8"/>
      <c r="M968" s="8"/>
      <c r="N968" s="8"/>
      <c r="O968" s="8"/>
      <c r="P968" s="8"/>
      <c r="Q968" s="8"/>
      <c r="R968" s="8"/>
      <c r="S968" s="8"/>
      <c r="T968" s="8"/>
      <c r="U968" s="12"/>
      <c r="V968" s="12"/>
      <c r="W968" s="12"/>
      <c r="X968" s="12"/>
      <c r="Y968" s="29"/>
      <c r="Z968" s="29"/>
      <c r="AA968" s="29"/>
      <c r="AB968" s="12"/>
      <c r="AC968" s="12"/>
      <c r="AD968" s="12"/>
      <c r="AE968" s="12"/>
      <c r="AF968" s="12"/>
    </row>
    <row r="969" spans="1:32">
      <c r="A969" s="8"/>
      <c r="B969" s="8"/>
      <c r="C969" s="8"/>
      <c r="D969" s="8"/>
      <c r="E969" s="8"/>
      <c r="F969" s="8"/>
      <c r="G969" s="8"/>
      <c r="H969" s="8"/>
      <c r="I969" s="8"/>
      <c r="J969" s="8"/>
      <c r="K969" s="8"/>
      <c r="L969" s="8"/>
      <c r="M969" s="8"/>
      <c r="N969" s="8"/>
      <c r="O969" s="8"/>
      <c r="P969" s="8"/>
      <c r="Q969" s="8"/>
      <c r="R969" s="8"/>
      <c r="S969" s="8"/>
      <c r="T969" s="8"/>
      <c r="U969" s="12"/>
      <c r="V969" s="12"/>
      <c r="W969" s="12"/>
      <c r="X969" s="12"/>
      <c r="Y969" s="29"/>
      <c r="Z969" s="29"/>
      <c r="AA969" s="29"/>
      <c r="AB969" s="12"/>
      <c r="AC969" s="12"/>
      <c r="AD969" s="12"/>
      <c r="AE969" s="12"/>
      <c r="AF969" s="12"/>
    </row>
    <row r="970" spans="1:32">
      <c r="A970" s="8"/>
      <c r="B970" s="8"/>
      <c r="C970" s="8"/>
      <c r="D970" s="8"/>
      <c r="E970" s="8"/>
      <c r="F970" s="8"/>
      <c r="G970" s="8"/>
      <c r="H970" s="8"/>
      <c r="I970" s="8"/>
      <c r="J970" s="8"/>
      <c r="K970" s="8"/>
      <c r="L970" s="8"/>
      <c r="M970" s="8"/>
      <c r="N970" s="8"/>
      <c r="O970" s="8"/>
      <c r="P970" s="8"/>
      <c r="Q970" s="8"/>
      <c r="R970" s="8"/>
      <c r="S970" s="8"/>
      <c r="T970" s="8"/>
      <c r="U970" s="12"/>
      <c r="V970" s="12"/>
      <c r="W970" s="12"/>
      <c r="X970" s="12"/>
      <c r="Y970" s="29"/>
      <c r="Z970" s="29"/>
      <c r="AA970" s="29"/>
      <c r="AB970" s="12"/>
      <c r="AC970" s="12"/>
      <c r="AD970" s="12"/>
      <c r="AE970" s="12"/>
      <c r="AF970" s="12"/>
    </row>
    <row r="971" spans="1:32">
      <c r="A971" s="8"/>
      <c r="B971" s="8"/>
      <c r="C971" s="8"/>
      <c r="D971" s="8"/>
      <c r="E971" s="8"/>
      <c r="F971" s="8"/>
      <c r="G971" s="8"/>
      <c r="H971" s="8"/>
      <c r="I971" s="8"/>
      <c r="J971" s="8"/>
      <c r="K971" s="8"/>
      <c r="L971" s="8"/>
      <c r="M971" s="8"/>
      <c r="N971" s="8"/>
      <c r="O971" s="8"/>
      <c r="P971" s="8"/>
      <c r="Q971" s="8"/>
      <c r="R971" s="8"/>
      <c r="S971" s="8"/>
      <c r="T971" s="8"/>
      <c r="U971" s="12"/>
      <c r="V971" s="12"/>
      <c r="W971" s="12"/>
      <c r="X971" s="12"/>
      <c r="Y971" s="29"/>
      <c r="Z971" s="29"/>
      <c r="AA971" s="29"/>
      <c r="AB971" s="12"/>
      <c r="AC971" s="12"/>
      <c r="AD971" s="12"/>
      <c r="AE971" s="12"/>
      <c r="AF971" s="12"/>
    </row>
    <row r="972" spans="1:32">
      <c r="A972" s="8"/>
      <c r="B972" s="8"/>
      <c r="C972" s="8"/>
      <c r="D972" s="8"/>
      <c r="E972" s="8"/>
      <c r="F972" s="8"/>
      <c r="G972" s="8"/>
      <c r="H972" s="8"/>
      <c r="I972" s="8"/>
      <c r="J972" s="8"/>
      <c r="K972" s="8"/>
      <c r="L972" s="8"/>
      <c r="M972" s="8"/>
      <c r="N972" s="8"/>
      <c r="O972" s="8"/>
      <c r="P972" s="8"/>
      <c r="Q972" s="8"/>
      <c r="R972" s="8"/>
      <c r="S972" s="8"/>
      <c r="T972" s="8"/>
      <c r="U972" s="12"/>
      <c r="V972" s="12"/>
      <c r="W972" s="12"/>
      <c r="X972" s="12"/>
      <c r="Y972" s="29"/>
      <c r="Z972" s="29"/>
      <c r="AA972" s="29"/>
      <c r="AB972" s="12"/>
      <c r="AC972" s="12"/>
      <c r="AD972" s="12"/>
      <c r="AE972" s="12"/>
      <c r="AF972" s="12"/>
    </row>
    <row r="973" spans="1:32">
      <c r="A973" s="8"/>
      <c r="B973" s="8"/>
      <c r="C973" s="8"/>
      <c r="D973" s="8"/>
      <c r="E973" s="8"/>
      <c r="F973" s="8"/>
      <c r="G973" s="8"/>
      <c r="H973" s="8"/>
      <c r="I973" s="8"/>
      <c r="J973" s="8"/>
      <c r="K973" s="8"/>
      <c r="L973" s="8"/>
      <c r="M973" s="8"/>
      <c r="N973" s="8"/>
      <c r="O973" s="8"/>
      <c r="P973" s="8"/>
      <c r="Q973" s="8"/>
      <c r="R973" s="8"/>
      <c r="S973" s="8"/>
      <c r="T973" s="8"/>
      <c r="U973" s="12"/>
      <c r="V973" s="12"/>
      <c r="W973" s="12"/>
      <c r="X973" s="12"/>
      <c r="Y973" s="29"/>
      <c r="Z973" s="29"/>
      <c r="AA973" s="29"/>
      <c r="AB973" s="12"/>
      <c r="AC973" s="12"/>
      <c r="AD973" s="12"/>
      <c r="AE973" s="12"/>
      <c r="AF973" s="12"/>
    </row>
    <row r="974" spans="1:32">
      <c r="A974" s="8"/>
      <c r="B974" s="8"/>
      <c r="C974" s="8"/>
      <c r="D974" s="8"/>
      <c r="E974" s="8"/>
      <c r="F974" s="8"/>
      <c r="G974" s="8"/>
      <c r="H974" s="8"/>
      <c r="I974" s="8"/>
      <c r="J974" s="8"/>
      <c r="K974" s="8"/>
      <c r="L974" s="8"/>
      <c r="M974" s="8"/>
      <c r="N974" s="8"/>
      <c r="O974" s="8"/>
      <c r="P974" s="8"/>
      <c r="Q974" s="8"/>
      <c r="R974" s="8"/>
      <c r="S974" s="8"/>
      <c r="T974" s="8"/>
      <c r="U974" s="12"/>
      <c r="V974" s="12"/>
      <c r="W974" s="12"/>
      <c r="X974" s="12"/>
      <c r="Y974" s="29"/>
      <c r="Z974" s="29"/>
      <c r="AA974" s="29"/>
      <c r="AB974" s="12"/>
      <c r="AC974" s="12"/>
      <c r="AD974" s="12"/>
      <c r="AE974" s="12"/>
      <c r="AF974" s="12"/>
    </row>
    <row r="975" spans="1:32">
      <c r="A975" s="8"/>
      <c r="B975" s="8"/>
      <c r="C975" s="8"/>
      <c r="D975" s="8"/>
      <c r="E975" s="8"/>
      <c r="F975" s="8"/>
      <c r="G975" s="8"/>
      <c r="H975" s="8"/>
      <c r="I975" s="8"/>
      <c r="J975" s="8"/>
      <c r="K975" s="8"/>
      <c r="L975" s="8"/>
      <c r="M975" s="8"/>
      <c r="N975" s="8"/>
      <c r="O975" s="8"/>
      <c r="P975" s="8"/>
      <c r="Q975" s="8"/>
      <c r="R975" s="8"/>
      <c r="S975" s="8"/>
      <c r="T975" s="8"/>
      <c r="U975" s="12"/>
      <c r="V975" s="12"/>
      <c r="W975" s="12"/>
      <c r="X975" s="12"/>
      <c r="Y975" s="29"/>
      <c r="Z975" s="29"/>
      <c r="AA975" s="29"/>
      <c r="AB975" s="12"/>
      <c r="AC975" s="12"/>
      <c r="AD975" s="12"/>
      <c r="AE975" s="12"/>
      <c r="AF975" s="12"/>
    </row>
    <row r="976" spans="1:32">
      <c r="A976" s="8"/>
      <c r="B976" s="8"/>
      <c r="C976" s="8"/>
      <c r="D976" s="8"/>
      <c r="E976" s="8"/>
      <c r="F976" s="8"/>
      <c r="G976" s="8"/>
      <c r="H976" s="8"/>
      <c r="I976" s="8"/>
      <c r="J976" s="8"/>
      <c r="K976" s="8"/>
      <c r="L976" s="8"/>
      <c r="M976" s="8"/>
      <c r="N976" s="8"/>
      <c r="O976" s="8"/>
      <c r="P976" s="8"/>
      <c r="Q976" s="8"/>
      <c r="R976" s="8"/>
      <c r="S976" s="8"/>
      <c r="T976" s="8"/>
      <c r="U976" s="12"/>
      <c r="V976" s="12"/>
      <c r="W976" s="12"/>
      <c r="X976" s="12"/>
      <c r="Y976" s="29"/>
      <c r="Z976" s="29"/>
      <c r="AA976" s="29"/>
      <c r="AB976" s="12"/>
      <c r="AC976" s="12"/>
      <c r="AD976" s="12"/>
      <c r="AE976" s="12"/>
      <c r="AF976" s="12"/>
    </row>
    <row r="977" spans="1:32">
      <c r="A977" s="8"/>
      <c r="B977" s="8"/>
      <c r="C977" s="8"/>
      <c r="D977" s="8"/>
      <c r="E977" s="8"/>
      <c r="F977" s="8"/>
      <c r="G977" s="8"/>
      <c r="H977" s="8"/>
      <c r="I977" s="8"/>
      <c r="J977" s="8"/>
      <c r="K977" s="8"/>
      <c r="L977" s="8"/>
      <c r="M977" s="8"/>
      <c r="N977" s="8"/>
      <c r="O977" s="8"/>
      <c r="P977" s="8"/>
      <c r="Q977" s="8"/>
      <c r="R977" s="8"/>
      <c r="S977" s="8"/>
      <c r="T977" s="8"/>
      <c r="U977" s="12"/>
      <c r="V977" s="12"/>
      <c r="W977" s="12"/>
      <c r="X977" s="12"/>
      <c r="Y977" s="29"/>
      <c r="Z977" s="29"/>
      <c r="AA977" s="29"/>
      <c r="AB977" s="12"/>
      <c r="AC977" s="12"/>
      <c r="AD977" s="12"/>
      <c r="AE977" s="12"/>
      <c r="AF977" s="12"/>
    </row>
    <row r="978" spans="1:32">
      <c r="A978" s="8"/>
      <c r="B978" s="8"/>
      <c r="C978" s="8"/>
      <c r="D978" s="8"/>
      <c r="E978" s="8"/>
      <c r="F978" s="8"/>
      <c r="G978" s="8"/>
      <c r="H978" s="8"/>
      <c r="I978" s="8"/>
      <c r="J978" s="8"/>
      <c r="K978" s="8"/>
      <c r="L978" s="8"/>
      <c r="M978" s="8"/>
      <c r="N978" s="8"/>
      <c r="O978" s="8"/>
      <c r="P978" s="8"/>
      <c r="Q978" s="8"/>
      <c r="R978" s="8"/>
      <c r="S978" s="8"/>
      <c r="T978" s="8"/>
      <c r="U978" s="12"/>
      <c r="V978" s="12"/>
      <c r="W978" s="12"/>
      <c r="X978" s="12"/>
      <c r="Y978" s="29"/>
      <c r="Z978" s="29"/>
      <c r="AA978" s="29"/>
      <c r="AB978" s="12"/>
      <c r="AC978" s="12"/>
      <c r="AD978" s="12"/>
      <c r="AE978" s="12"/>
      <c r="AF978" s="12"/>
    </row>
    <row r="979" spans="1:32">
      <c r="A979" s="8"/>
      <c r="B979" s="8"/>
      <c r="C979" s="8"/>
      <c r="D979" s="8"/>
      <c r="E979" s="8"/>
      <c r="F979" s="8"/>
      <c r="G979" s="8"/>
      <c r="H979" s="8"/>
      <c r="I979" s="8"/>
      <c r="J979" s="8"/>
      <c r="K979" s="8"/>
      <c r="L979" s="8"/>
      <c r="M979" s="8"/>
      <c r="N979" s="8"/>
      <c r="O979" s="8"/>
      <c r="P979" s="8"/>
      <c r="Q979" s="8"/>
      <c r="R979" s="8"/>
      <c r="S979" s="8"/>
      <c r="T979" s="8"/>
      <c r="U979" s="12"/>
      <c r="V979" s="12"/>
      <c r="W979" s="12"/>
      <c r="X979" s="12"/>
      <c r="Y979" s="29"/>
      <c r="Z979" s="29"/>
      <c r="AA979" s="29"/>
      <c r="AB979" s="12"/>
      <c r="AC979" s="12"/>
      <c r="AD979" s="12"/>
      <c r="AE979" s="12"/>
      <c r="AF979" s="12"/>
    </row>
    <row r="980" spans="1:32">
      <c r="A980" s="8"/>
      <c r="B980" s="8"/>
      <c r="C980" s="8"/>
      <c r="D980" s="8"/>
      <c r="E980" s="8"/>
      <c r="F980" s="8"/>
      <c r="G980" s="8"/>
      <c r="H980" s="8"/>
      <c r="I980" s="8"/>
      <c r="J980" s="8"/>
      <c r="K980" s="8"/>
      <c r="L980" s="8"/>
      <c r="M980" s="8"/>
      <c r="N980" s="8"/>
      <c r="O980" s="8"/>
      <c r="P980" s="8"/>
      <c r="Q980" s="8"/>
      <c r="R980" s="8"/>
      <c r="S980" s="8"/>
      <c r="T980" s="8"/>
      <c r="U980" s="12"/>
      <c r="V980" s="12"/>
      <c r="W980" s="12"/>
      <c r="X980" s="12"/>
      <c r="Y980" s="29"/>
      <c r="Z980" s="29"/>
      <c r="AA980" s="29"/>
      <c r="AB980" s="12"/>
      <c r="AC980" s="12"/>
      <c r="AD980" s="12"/>
      <c r="AE980" s="12"/>
      <c r="AF980" s="12"/>
    </row>
    <row r="981" spans="1:32">
      <c r="A981" s="8"/>
      <c r="B981" s="8"/>
      <c r="C981" s="8"/>
      <c r="D981" s="8"/>
      <c r="E981" s="8"/>
      <c r="F981" s="8"/>
      <c r="G981" s="8"/>
      <c r="H981" s="8"/>
      <c r="I981" s="8"/>
      <c r="J981" s="8"/>
      <c r="K981" s="8"/>
      <c r="L981" s="8"/>
      <c r="M981" s="8"/>
      <c r="N981" s="8"/>
      <c r="O981" s="8"/>
      <c r="P981" s="8"/>
      <c r="Q981" s="8"/>
      <c r="R981" s="8"/>
      <c r="S981" s="8"/>
      <c r="T981" s="8"/>
      <c r="U981" s="12"/>
      <c r="V981" s="12"/>
      <c r="W981" s="12"/>
      <c r="X981" s="12"/>
      <c r="Y981" s="29"/>
      <c r="Z981" s="29"/>
      <c r="AA981" s="29"/>
      <c r="AB981" s="12"/>
      <c r="AC981" s="12"/>
      <c r="AD981" s="12"/>
      <c r="AE981" s="12"/>
      <c r="AF981" s="12"/>
    </row>
    <row r="982" spans="1:32">
      <c r="A982" s="8"/>
      <c r="B982" s="8"/>
      <c r="C982" s="8"/>
      <c r="D982" s="8"/>
      <c r="E982" s="8"/>
      <c r="F982" s="8"/>
      <c r="G982" s="8"/>
      <c r="H982" s="8"/>
      <c r="I982" s="8"/>
      <c r="J982" s="8"/>
      <c r="K982" s="8"/>
      <c r="L982" s="8"/>
      <c r="M982" s="8"/>
      <c r="N982" s="8"/>
      <c r="O982" s="8"/>
      <c r="P982" s="8"/>
      <c r="Q982" s="8"/>
      <c r="R982" s="8"/>
      <c r="S982" s="8"/>
      <c r="T982" s="8"/>
      <c r="U982" s="12"/>
      <c r="V982" s="12"/>
      <c r="W982" s="12"/>
      <c r="X982" s="12"/>
      <c r="Y982" s="29"/>
      <c r="Z982" s="29"/>
      <c r="AA982" s="29"/>
      <c r="AB982" s="12"/>
      <c r="AC982" s="12"/>
      <c r="AD982" s="12"/>
      <c r="AE982" s="12"/>
      <c r="AF982" s="12"/>
    </row>
    <row r="983" spans="1:32">
      <c r="A983" s="8"/>
      <c r="B983" s="8"/>
      <c r="C983" s="8"/>
      <c r="D983" s="8"/>
      <c r="E983" s="8"/>
      <c r="F983" s="8"/>
      <c r="G983" s="8"/>
      <c r="H983" s="8"/>
      <c r="I983" s="8"/>
      <c r="J983" s="8"/>
      <c r="K983" s="8"/>
      <c r="L983" s="8"/>
      <c r="M983" s="8"/>
      <c r="N983" s="8"/>
      <c r="O983" s="8"/>
      <c r="P983" s="8"/>
      <c r="Q983" s="8"/>
      <c r="R983" s="8"/>
      <c r="S983" s="8"/>
      <c r="T983" s="8"/>
      <c r="U983" s="12"/>
      <c r="V983" s="12"/>
      <c r="W983" s="12"/>
      <c r="X983" s="12"/>
      <c r="Y983" s="29"/>
      <c r="Z983" s="29"/>
      <c r="AA983" s="29"/>
      <c r="AB983" s="12"/>
      <c r="AC983" s="12"/>
      <c r="AD983" s="12"/>
      <c r="AE983" s="12"/>
      <c r="AF983" s="12"/>
    </row>
    <row r="984" spans="1:32">
      <c r="A984" s="8"/>
      <c r="B984" s="8"/>
      <c r="C984" s="8"/>
      <c r="D984" s="8"/>
      <c r="E984" s="8"/>
      <c r="F984" s="8"/>
      <c r="G984" s="8"/>
      <c r="H984" s="8"/>
      <c r="I984" s="8"/>
      <c r="J984" s="8"/>
      <c r="K984" s="8"/>
      <c r="L984" s="8"/>
      <c r="M984" s="8"/>
      <c r="N984" s="8"/>
      <c r="O984" s="8"/>
      <c r="P984" s="8"/>
      <c r="Q984" s="8"/>
      <c r="R984" s="8"/>
      <c r="S984" s="8"/>
      <c r="T984" s="8"/>
      <c r="U984" s="12"/>
      <c r="V984" s="12"/>
      <c r="W984" s="12"/>
      <c r="X984" s="12"/>
      <c r="Y984" s="29"/>
      <c r="Z984" s="29"/>
      <c r="AA984" s="29"/>
      <c r="AB984" s="12"/>
      <c r="AC984" s="12"/>
      <c r="AD984" s="12"/>
      <c r="AE984" s="12"/>
      <c r="AF984" s="12"/>
    </row>
    <row r="985" spans="1:32">
      <c r="A985" s="8"/>
      <c r="B985" s="8"/>
      <c r="C985" s="8"/>
      <c r="D985" s="8"/>
      <c r="E985" s="8"/>
      <c r="F985" s="8"/>
      <c r="G985" s="8"/>
      <c r="H985" s="8"/>
      <c r="I985" s="8"/>
      <c r="J985" s="8"/>
      <c r="K985" s="8"/>
      <c r="L985" s="8"/>
      <c r="M985" s="8"/>
      <c r="N985" s="8"/>
      <c r="O985" s="8"/>
      <c r="P985" s="8"/>
      <c r="Q985" s="8"/>
      <c r="R985" s="8"/>
      <c r="S985" s="8"/>
      <c r="T985" s="8"/>
      <c r="U985" s="12"/>
      <c r="V985" s="12"/>
      <c r="W985" s="12"/>
      <c r="X985" s="12"/>
      <c r="Y985" s="29"/>
      <c r="Z985" s="29"/>
      <c r="AA985" s="29"/>
      <c r="AB985" s="12"/>
      <c r="AC985" s="12"/>
      <c r="AD985" s="12"/>
      <c r="AE985" s="12"/>
      <c r="AF985" s="12"/>
    </row>
    <row r="986" spans="1:32">
      <c r="A986" s="8"/>
      <c r="B986" s="8"/>
      <c r="C986" s="8"/>
      <c r="D986" s="8"/>
      <c r="E986" s="8"/>
      <c r="F986" s="8"/>
      <c r="G986" s="8"/>
      <c r="H986" s="8"/>
      <c r="I986" s="8"/>
      <c r="J986" s="8"/>
      <c r="K986" s="8"/>
      <c r="L986" s="8"/>
      <c r="M986" s="8"/>
      <c r="N986" s="8"/>
      <c r="O986" s="8"/>
      <c r="P986" s="8"/>
      <c r="Q986" s="8"/>
      <c r="R986" s="8"/>
      <c r="S986" s="8"/>
      <c r="T986" s="8"/>
      <c r="U986" s="12"/>
      <c r="V986" s="12"/>
      <c r="W986" s="12"/>
      <c r="X986" s="12"/>
      <c r="Y986" s="29"/>
      <c r="Z986" s="29"/>
      <c r="AA986" s="29"/>
      <c r="AB986" s="12"/>
      <c r="AC986" s="12"/>
      <c r="AD986" s="12"/>
      <c r="AE986" s="12"/>
      <c r="AF986" s="12"/>
    </row>
    <row r="987" spans="1:32">
      <c r="A987" s="8"/>
      <c r="B987" s="8"/>
      <c r="C987" s="8"/>
      <c r="D987" s="8"/>
      <c r="E987" s="8"/>
      <c r="F987" s="8"/>
      <c r="G987" s="8"/>
      <c r="H987" s="8"/>
      <c r="I987" s="8"/>
      <c r="J987" s="8"/>
      <c r="K987" s="8"/>
      <c r="L987" s="8"/>
      <c r="M987" s="8"/>
      <c r="N987" s="8"/>
      <c r="O987" s="8"/>
      <c r="P987" s="8"/>
      <c r="Q987" s="8"/>
      <c r="R987" s="8"/>
      <c r="S987" s="8"/>
      <c r="T987" s="8"/>
      <c r="U987" s="12"/>
      <c r="V987" s="12"/>
      <c r="W987" s="12"/>
      <c r="X987" s="12"/>
      <c r="Y987" s="29"/>
      <c r="Z987" s="29"/>
      <c r="AA987" s="29"/>
      <c r="AB987" s="12"/>
      <c r="AC987" s="12"/>
      <c r="AD987" s="12"/>
      <c r="AE987" s="12"/>
      <c r="AF987" s="12"/>
    </row>
    <row r="988" spans="1:32">
      <c r="A988" s="8"/>
      <c r="B988" s="8"/>
      <c r="C988" s="8"/>
      <c r="D988" s="8"/>
      <c r="E988" s="8"/>
      <c r="F988" s="8"/>
      <c r="G988" s="8"/>
      <c r="H988" s="8"/>
      <c r="I988" s="8"/>
      <c r="J988" s="8"/>
      <c r="K988" s="8"/>
      <c r="L988" s="8"/>
      <c r="M988" s="8"/>
      <c r="N988" s="8"/>
      <c r="O988" s="8"/>
      <c r="P988" s="8"/>
      <c r="Q988" s="8"/>
      <c r="R988" s="8"/>
      <c r="S988" s="8"/>
      <c r="T988" s="8"/>
      <c r="U988" s="12"/>
      <c r="V988" s="12"/>
      <c r="W988" s="12"/>
      <c r="X988" s="12"/>
      <c r="Y988" s="29"/>
      <c r="Z988" s="29"/>
      <c r="AA988" s="29"/>
      <c r="AB988" s="12"/>
      <c r="AC988" s="12"/>
      <c r="AD988" s="12"/>
      <c r="AE988" s="12"/>
      <c r="AF988" s="12"/>
    </row>
    <row r="989" spans="1:32">
      <c r="A989" s="8"/>
      <c r="B989" s="8"/>
      <c r="C989" s="8"/>
      <c r="D989" s="8"/>
      <c r="E989" s="8"/>
      <c r="F989" s="8"/>
      <c r="G989" s="8"/>
      <c r="H989" s="8"/>
      <c r="I989" s="8"/>
      <c r="J989" s="8"/>
      <c r="K989" s="8"/>
      <c r="L989" s="8"/>
      <c r="M989" s="8"/>
      <c r="N989" s="8"/>
      <c r="O989" s="8"/>
      <c r="P989" s="8"/>
      <c r="Q989" s="8"/>
      <c r="R989" s="8"/>
      <c r="S989" s="8"/>
      <c r="T989" s="8"/>
      <c r="U989" s="12"/>
      <c r="V989" s="12"/>
      <c r="W989" s="12"/>
      <c r="X989" s="12"/>
      <c r="Y989" s="29"/>
      <c r="Z989" s="29"/>
      <c r="AA989" s="29"/>
      <c r="AB989" s="12"/>
      <c r="AC989" s="12"/>
      <c r="AD989" s="12"/>
      <c r="AE989" s="12"/>
      <c r="AF989" s="12"/>
    </row>
    <row r="990" spans="1:32">
      <c r="A990" s="8"/>
      <c r="B990" s="8"/>
      <c r="C990" s="8"/>
      <c r="D990" s="8"/>
      <c r="E990" s="8"/>
      <c r="F990" s="8"/>
      <c r="G990" s="8"/>
      <c r="H990" s="8"/>
      <c r="I990" s="8"/>
      <c r="J990" s="8"/>
      <c r="K990" s="8"/>
      <c r="L990" s="8"/>
      <c r="M990" s="8"/>
      <c r="N990" s="8"/>
      <c r="O990" s="8"/>
      <c r="P990" s="8"/>
      <c r="Q990" s="8"/>
      <c r="R990" s="8"/>
      <c r="S990" s="8"/>
      <c r="T990" s="8"/>
      <c r="U990" s="12"/>
      <c r="V990" s="12"/>
      <c r="W990" s="12"/>
      <c r="X990" s="12"/>
      <c r="Y990" s="29"/>
      <c r="Z990" s="29"/>
      <c r="AA990" s="29"/>
      <c r="AB990" s="12"/>
      <c r="AC990" s="12"/>
      <c r="AD990" s="12"/>
      <c r="AE990" s="12"/>
      <c r="AF990" s="12"/>
    </row>
    <row r="991" spans="1:32">
      <c r="A991" s="8"/>
      <c r="B991" s="8"/>
      <c r="C991" s="8"/>
      <c r="D991" s="8"/>
      <c r="E991" s="8"/>
      <c r="F991" s="8"/>
      <c r="G991" s="8"/>
      <c r="H991" s="8"/>
      <c r="I991" s="8"/>
      <c r="J991" s="8"/>
      <c r="K991" s="8"/>
      <c r="L991" s="8"/>
      <c r="M991" s="8"/>
      <c r="N991" s="8"/>
      <c r="O991" s="8"/>
      <c r="P991" s="8"/>
      <c r="Q991" s="8"/>
      <c r="R991" s="8"/>
      <c r="S991" s="8"/>
      <c r="T991" s="8"/>
      <c r="U991" s="12"/>
      <c r="V991" s="12"/>
      <c r="W991" s="12"/>
      <c r="X991" s="12"/>
      <c r="Y991" s="29"/>
      <c r="Z991" s="29"/>
      <c r="AA991" s="29"/>
      <c r="AB991" s="12"/>
      <c r="AC991" s="12"/>
      <c r="AD991" s="12"/>
      <c r="AE991" s="12"/>
      <c r="AF991" s="12"/>
    </row>
    <row r="992" spans="1:32">
      <c r="A992" s="8"/>
      <c r="B992" s="8"/>
      <c r="C992" s="8"/>
      <c r="D992" s="8"/>
      <c r="E992" s="8"/>
      <c r="F992" s="8"/>
      <c r="G992" s="8"/>
      <c r="H992" s="8"/>
      <c r="I992" s="8"/>
      <c r="J992" s="8"/>
      <c r="K992" s="8"/>
      <c r="L992" s="8"/>
      <c r="M992" s="8"/>
      <c r="N992" s="8"/>
      <c r="O992" s="8"/>
      <c r="P992" s="8"/>
      <c r="Q992" s="8"/>
      <c r="R992" s="8"/>
      <c r="S992" s="8"/>
      <c r="T992" s="8"/>
      <c r="U992" s="12"/>
      <c r="V992" s="12"/>
      <c r="W992" s="12"/>
      <c r="X992" s="12"/>
      <c r="Y992" s="29"/>
      <c r="Z992" s="29"/>
      <c r="AA992" s="29"/>
      <c r="AB992" s="12"/>
      <c r="AC992" s="12"/>
      <c r="AD992" s="12"/>
      <c r="AE992" s="12"/>
      <c r="AF992" s="12"/>
    </row>
    <row r="993" spans="1:32">
      <c r="A993" s="8"/>
      <c r="B993" s="8"/>
      <c r="C993" s="8"/>
      <c r="D993" s="8"/>
      <c r="E993" s="8"/>
      <c r="F993" s="8"/>
      <c r="G993" s="8"/>
      <c r="H993" s="8"/>
      <c r="I993" s="8"/>
      <c r="J993" s="8"/>
      <c r="K993" s="8"/>
      <c r="L993" s="8"/>
      <c r="M993" s="8"/>
      <c r="N993" s="8"/>
      <c r="O993" s="8"/>
      <c r="P993" s="8"/>
      <c r="Q993" s="8"/>
      <c r="R993" s="8"/>
      <c r="S993" s="8"/>
      <c r="T993" s="8"/>
      <c r="U993" s="12"/>
      <c r="V993" s="12"/>
      <c r="W993" s="12"/>
      <c r="X993" s="12"/>
      <c r="Y993" s="29"/>
      <c r="Z993" s="29"/>
      <c r="AA993" s="29"/>
      <c r="AB993" s="12"/>
      <c r="AC993" s="12"/>
      <c r="AD993" s="12"/>
      <c r="AE993" s="12"/>
      <c r="AF993" s="12"/>
    </row>
    <row r="994" spans="1:32">
      <c r="A994" s="8"/>
      <c r="B994" s="8"/>
      <c r="C994" s="8"/>
      <c r="D994" s="8"/>
      <c r="E994" s="8"/>
      <c r="F994" s="8"/>
      <c r="G994" s="8"/>
      <c r="H994" s="8"/>
      <c r="I994" s="8"/>
      <c r="J994" s="8"/>
      <c r="K994" s="8"/>
      <c r="L994" s="8"/>
      <c r="M994" s="8"/>
      <c r="N994" s="8"/>
      <c r="O994" s="8"/>
      <c r="P994" s="8"/>
      <c r="Q994" s="8"/>
      <c r="R994" s="8"/>
      <c r="S994" s="8"/>
      <c r="T994" s="8"/>
      <c r="U994" s="12"/>
      <c r="V994" s="12"/>
      <c r="W994" s="12"/>
      <c r="X994" s="12"/>
      <c r="Y994" s="29"/>
      <c r="Z994" s="29"/>
      <c r="AA994" s="29"/>
      <c r="AB994" s="12"/>
      <c r="AC994" s="12"/>
      <c r="AD994" s="12"/>
      <c r="AE994" s="12"/>
      <c r="AF994" s="12"/>
    </row>
    <row r="995" spans="1:32">
      <c r="A995" s="8"/>
      <c r="B995" s="8"/>
      <c r="C995" s="8"/>
      <c r="D995" s="8"/>
      <c r="E995" s="8"/>
      <c r="F995" s="8"/>
      <c r="G995" s="8"/>
      <c r="H995" s="8"/>
      <c r="I995" s="8"/>
      <c r="J995" s="8"/>
      <c r="K995" s="8"/>
      <c r="L995" s="8"/>
      <c r="M995" s="8"/>
      <c r="N995" s="8"/>
      <c r="O995" s="8"/>
      <c r="P995" s="8"/>
      <c r="Q995" s="8"/>
      <c r="R995" s="8"/>
      <c r="S995" s="8"/>
      <c r="T995" s="8"/>
      <c r="U995" s="12"/>
      <c r="V995" s="12"/>
      <c r="W995" s="12"/>
      <c r="X995" s="12"/>
      <c r="Y995" s="29"/>
      <c r="Z995" s="29"/>
      <c r="AA995" s="29"/>
      <c r="AB995" s="12"/>
      <c r="AC995" s="12"/>
      <c r="AD995" s="12"/>
      <c r="AE995" s="12"/>
      <c r="AF995" s="12"/>
    </row>
    <row r="996" spans="1:32">
      <c r="A996" s="8"/>
      <c r="B996" s="8"/>
      <c r="C996" s="8"/>
      <c r="D996" s="8"/>
      <c r="E996" s="8"/>
      <c r="F996" s="8"/>
      <c r="G996" s="8"/>
      <c r="H996" s="8"/>
      <c r="I996" s="8"/>
      <c r="J996" s="8"/>
      <c r="K996" s="8"/>
      <c r="L996" s="8"/>
      <c r="M996" s="8"/>
      <c r="N996" s="8"/>
      <c r="O996" s="8"/>
      <c r="P996" s="8"/>
      <c r="Q996" s="8"/>
      <c r="R996" s="8"/>
      <c r="S996" s="8"/>
      <c r="T996" s="8"/>
      <c r="U996" s="12"/>
      <c r="V996" s="12"/>
      <c r="W996" s="12"/>
      <c r="X996" s="12"/>
      <c r="Y996" s="29"/>
      <c r="Z996" s="29"/>
      <c r="AA996" s="29"/>
      <c r="AB996" s="12"/>
      <c r="AC996" s="12"/>
      <c r="AD996" s="12"/>
      <c r="AE996" s="12"/>
      <c r="AF996" s="12"/>
    </row>
    <row r="997" spans="1:32">
      <c r="A997" s="8"/>
      <c r="B997" s="8"/>
      <c r="C997" s="8"/>
      <c r="D997" s="8"/>
      <c r="E997" s="8"/>
      <c r="F997" s="8"/>
      <c r="G997" s="8"/>
      <c r="H997" s="8"/>
      <c r="I997" s="8"/>
      <c r="J997" s="8"/>
      <c r="K997" s="8"/>
      <c r="L997" s="8"/>
      <c r="M997" s="8"/>
      <c r="N997" s="8"/>
      <c r="O997" s="8"/>
      <c r="P997" s="8"/>
      <c r="Q997" s="8"/>
      <c r="R997" s="8"/>
      <c r="S997" s="8"/>
      <c r="T997" s="8"/>
      <c r="U997" s="12"/>
      <c r="V997" s="12"/>
      <c r="W997" s="12"/>
      <c r="X997" s="12"/>
      <c r="Y997" s="29"/>
      <c r="Z997" s="29"/>
      <c r="AA997" s="29"/>
      <c r="AB997" s="12"/>
      <c r="AC997" s="12"/>
      <c r="AD997" s="12"/>
      <c r="AE997" s="12"/>
      <c r="AF997" s="12"/>
    </row>
  </sheetData>
  <conditionalFormatting sqref="Y1:Y997">
    <cfRule type="cellIs" dxfId="8" priority="1" operator="lessThan">
      <formula>4</formula>
    </cfRule>
  </conditionalFormatting>
  <conditionalFormatting sqref="Z1:Z997">
    <cfRule type="cellIs" dxfId="7" priority="2" operator="lessThan">
      <formula>3</formula>
    </cfRule>
  </conditionalFormatting>
  <conditionalFormatting sqref="AA1:AA997">
    <cfRule type="cellIs" dxfId="6" priority="3" operator="lessThan">
      <formula>1</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AT991"/>
  <sheetViews>
    <sheetView workbookViewId="0">
      <pane ySplit="1" topLeftCell="A2" activePane="bottomLeft" state="frozen"/>
      <selection pane="bottomLeft" activeCell="B3" sqref="B3"/>
    </sheetView>
  </sheetViews>
  <sheetFormatPr defaultColWidth="12.6640625" defaultRowHeight="15.75" customHeight="1"/>
  <cols>
    <col min="5" max="5" width="14.33203125" customWidth="1"/>
    <col min="6" max="6" width="23" customWidth="1"/>
    <col min="8" max="8" width="39.88671875" customWidth="1"/>
    <col min="9" max="9" width="12.6640625" hidden="1"/>
    <col min="10" max="10" width="38.44140625" hidden="1" customWidth="1"/>
    <col min="11" max="11" width="12.6640625" hidden="1"/>
    <col min="12" max="12" width="38.33203125" hidden="1" customWidth="1"/>
    <col min="13" max="13" width="12.6640625" hidden="1"/>
    <col min="14" max="14" width="38.44140625" hidden="1" customWidth="1"/>
    <col min="15" max="15" width="12.6640625" hidden="1"/>
    <col min="16" max="16" width="37.77734375" hidden="1" customWidth="1"/>
    <col min="17" max="17" width="12.6640625" hidden="1"/>
    <col min="18" max="18" width="38.33203125" hidden="1" customWidth="1"/>
    <col min="19" max="19" width="12.6640625" hidden="1"/>
    <col min="20" max="20" width="38.21875" hidden="1" customWidth="1"/>
    <col min="21" max="32" width="12.6640625" hidden="1"/>
  </cols>
  <sheetData>
    <row r="1" spans="1:46">
      <c r="A1" s="31" t="s">
        <v>0</v>
      </c>
      <c r="B1" s="31" t="s">
        <v>1</v>
      </c>
      <c r="C1" s="31" t="s">
        <v>2</v>
      </c>
      <c r="D1" s="32" t="s">
        <v>3</v>
      </c>
      <c r="E1" s="32" t="s">
        <v>4</v>
      </c>
      <c r="F1" s="32" t="s">
        <v>5</v>
      </c>
      <c r="G1" s="32" t="s">
        <v>6</v>
      </c>
      <c r="H1" s="32" t="s">
        <v>7</v>
      </c>
      <c r="I1" s="39" t="s">
        <v>8</v>
      </c>
      <c r="J1" s="39" t="s">
        <v>9</v>
      </c>
      <c r="K1" s="39" t="s">
        <v>10</v>
      </c>
      <c r="L1" s="39" t="s">
        <v>11</v>
      </c>
      <c r="M1" s="39" t="s">
        <v>12</v>
      </c>
      <c r="N1" s="39" t="s">
        <v>13</v>
      </c>
      <c r="O1" s="39" t="s">
        <v>14</v>
      </c>
      <c r="P1" s="39" t="s">
        <v>15</v>
      </c>
      <c r="Q1" s="39" t="s">
        <v>16</v>
      </c>
      <c r="R1" s="39" t="s">
        <v>17</v>
      </c>
      <c r="S1" s="39" t="s">
        <v>18</v>
      </c>
      <c r="T1" s="39" t="s">
        <v>19</v>
      </c>
      <c r="U1" s="33" t="s">
        <v>20</v>
      </c>
      <c r="V1" s="33" t="s">
        <v>21</v>
      </c>
      <c r="W1" s="33" t="s">
        <v>22</v>
      </c>
      <c r="X1" s="33" t="s">
        <v>23</v>
      </c>
      <c r="Y1" s="33" t="s">
        <v>24</v>
      </c>
      <c r="Z1" s="33" t="s">
        <v>25</v>
      </c>
      <c r="AA1" s="33" t="s">
        <v>26</v>
      </c>
      <c r="AB1" s="35" t="s">
        <v>27</v>
      </c>
      <c r="AC1" s="36" t="s">
        <v>28</v>
      </c>
      <c r="AD1" s="36" t="s">
        <v>29</v>
      </c>
      <c r="AE1" s="36" t="s">
        <v>30</v>
      </c>
      <c r="AF1" s="37" t="s">
        <v>415</v>
      </c>
      <c r="AG1" s="6" t="s">
        <v>32</v>
      </c>
      <c r="AH1" s="7" t="s">
        <v>33</v>
      </c>
      <c r="AI1" s="6" t="s">
        <v>34</v>
      </c>
      <c r="AJ1" s="7" t="s">
        <v>35</v>
      </c>
      <c r="AK1" s="6" t="s">
        <v>36</v>
      </c>
      <c r="AL1" s="7" t="s">
        <v>37</v>
      </c>
      <c r="AM1" s="6" t="s">
        <v>38</v>
      </c>
      <c r="AN1" s="7" t="s">
        <v>39</v>
      </c>
      <c r="AO1" s="6" t="s">
        <v>40</v>
      </c>
      <c r="AP1" s="7" t="s">
        <v>41</v>
      </c>
      <c r="AQ1" s="6" t="s">
        <v>42</v>
      </c>
      <c r="AR1" s="7" t="s">
        <v>43</v>
      </c>
      <c r="AS1" s="6" t="s">
        <v>44</v>
      </c>
      <c r="AT1" s="7" t="s">
        <v>45</v>
      </c>
    </row>
    <row r="2" spans="1:46">
      <c r="A2" s="8" t="s">
        <v>247</v>
      </c>
      <c r="B2" s="8" t="s">
        <v>47</v>
      </c>
      <c r="C2" s="8" t="s">
        <v>416</v>
      </c>
      <c r="D2" s="8" t="s">
        <v>49</v>
      </c>
      <c r="E2" s="8" t="s">
        <v>352</v>
      </c>
      <c r="F2" s="8" t="s">
        <v>417</v>
      </c>
      <c r="G2" s="8" t="s">
        <v>418</v>
      </c>
      <c r="H2" s="8" t="str">
        <f ca="1">IFERROR(__xludf.DUMMYFUNCTION("VLOOKUP(G2, IMPORTRANGE(""https://docs.google.com/spreadsheets/d/14deopnvwcrKtEGCKuYXdUHJbeLDZlkiSSWWT0g7x2pM/edit#gid=999382323"", ""LU List Maths (Filter)!A:B""), 2, FALSE)"),"Closure property for addition of integers")</f>
        <v>Closure property for addition of integers</v>
      </c>
      <c r="I2" s="10" t="str">
        <f t="shared" ref="I2:I215" si="0">G2 &amp; ".001"</f>
        <v>LU000991.001</v>
      </c>
      <c r="J2" s="10" t="str">
        <f ca="1">IFERROR(__xludf.DUMMYFUNCTION("VLOOKUP(I2, IMPORTRANGE(""https://docs.google.com/spreadsheets/d/1yDAaXNsi4Mr5FtRQL4tbmSdIzhx6_m4wkOD7IG-k_eo/edit#gid=0"", ""Maths!M:N""), 2, FALSE)"),"Recall the definition of the closure property for addition of integers.")</f>
        <v>Recall the definition of the closure property for addition of integers.</v>
      </c>
      <c r="K2" s="10" t="str">
        <f t="shared" ref="K2:K215" si="1">G2 &amp; ".002"</f>
        <v>LU000991.002</v>
      </c>
      <c r="L2" s="10" t="str">
        <f ca="1">IFERROR(__xludf.DUMMYFUNCTION("VLOOKUP(K2, IMPORTRANGE(""https://docs.google.com/spreadsheets/d/1yDAaXNsi4Mr5FtRQL4tbmSdIzhx6_m4wkOD7IG-k_eo/edit#gid=0"", ""Maths!M:N""), 2, FALSE)"),"Explain the concept of the closure property and how it applies to the addition of integers.")</f>
        <v>Explain the concept of the closure property and how it applies to the addition of integers.</v>
      </c>
      <c r="M2" s="10" t="str">
        <f t="shared" ref="M2:M215" si="2">G2 &amp; ".003"</f>
        <v>LU000991.003</v>
      </c>
      <c r="N2" s="10" t="str">
        <f ca="1">IFERROR(__xludf.DUMMYFUNCTION("VLOOKUP(M2, IMPORTRANGE(""https://docs.google.com/spreadsheets/d/1yDAaXNsi4Mr5FtRQL4tbmSdIzhx6_m4wkOD7IG-k_eo/edit#gid=0"", ""Maths!M:N""), 2, FALSE)"),"Apply the closure property to demonstrate that the sum of two integers is always an integer in practical addition calculations.")</f>
        <v>Apply the closure property to demonstrate that the sum of two integers is always an integer in practical addition calculations.</v>
      </c>
      <c r="O2" s="10" t="str">
        <f t="shared" ref="O2:O215" si="3">G2 &amp; ".004"</f>
        <v>LU000991.004</v>
      </c>
      <c r="P2" s="10" t="str">
        <f ca="1">IFERROR(__xludf.DUMMYFUNCTION("VLOOKUP(O2, IMPORTRANGE(""https://docs.google.com/spreadsheets/d/1yDAaXNsi4Mr5FtRQL4tbmSdIzhx6_m4wkOD7IG-k_eo/edit#gid=0"", ""Maths!M:N""), 2, FALSE)"),"Analyze mathematical expressions to verify the closure property in action for addition of integers.")</f>
        <v>Analyze mathematical expressions to verify the closure property in action for addition of integers.</v>
      </c>
      <c r="Q2" s="10" t="str">
        <f t="shared" ref="Q2:Q215" si="4">G2 &amp; ".005"</f>
        <v>LU000991.005</v>
      </c>
      <c r="R2" s="10" t="str">
        <f ca="1">IFERROR(__xludf.DUMMYFUNCTION("VLOOKUP(Q2, IMPORTRANGE(""https://docs.google.com/spreadsheets/d/1yDAaXNsi4Mr5FtRQL4tbmSdIzhx6_m4wkOD7IG-k_eo/edit#gid=0"", ""Maths!M:N""), 2, FALSE)"),"Evaluate the correctness of statements regarding the closure property and its significance in integer addition.")</f>
        <v>Evaluate the correctness of statements regarding the closure property and its significance in integer addition.</v>
      </c>
      <c r="S2" s="10" t="str">
        <f t="shared" ref="S2:S215" si="5">G2 &amp; ".006"</f>
        <v>LU000991.006</v>
      </c>
      <c r="T2" s="10" t="str">
        <f ca="1">IFERROR(__xludf.DUMMYFUNCTION("VLOOKUP(S2, IMPORTRANGE(""https://docs.google.com/spreadsheets/d/1yDAaXNsi4Mr5FtRQL4tbmSdIzhx6_m4wkOD7IG-k_eo/edit#gid=0"", ""Maths!M:N""), 2, FALSE)"),"#N/A")</f>
        <v>#N/A</v>
      </c>
      <c r="U2" s="11">
        <f ca="1">IFERROR(__xludf.DUMMYFUNCTION("ArrayFormula(VLOOKUP(G2, IMPORTRANGE(""https://docs.google.com/spreadsheets/d/1p7R4vtkWt5VOBim4ltsDG9KTzSjrtKXsMtQGXPHyND0/edit#gid=795171502"", ""'Filter 30_05_2024'!A1:M2000""), {2, 3, 4, 5,6,7,8,9,10,11,12,13}, 0))"),4)</f>
        <v>4</v>
      </c>
      <c r="V2" s="11">
        <f ca="1">IFERROR(__xludf.DUMMYFUNCTION("""COMPUTED_VALUE"""),6)</f>
        <v>6</v>
      </c>
      <c r="W2" s="11">
        <f ca="1">IFERROR(__xludf.DUMMYFUNCTION("""COMPUTED_VALUE"""),2)</f>
        <v>2</v>
      </c>
      <c r="X2" s="11">
        <f ca="1">IFERROR(__xludf.DUMMYFUNCTION("""COMPUTED_VALUE"""),12)</f>
        <v>12</v>
      </c>
      <c r="Y2" s="11">
        <f ca="1">IFERROR(__xludf.DUMMYFUNCTION("""COMPUTED_VALUE"""),5)</f>
        <v>5</v>
      </c>
      <c r="Z2" s="12">
        <f ca="1">IFERROR(__xludf.DUMMYFUNCTION("""COMPUTED_VALUE"""),3)</f>
        <v>3</v>
      </c>
      <c r="AA2" s="12">
        <f ca="1">IFERROR(__xludf.DUMMYFUNCTION("""COMPUTED_VALUE"""),1)</f>
        <v>1</v>
      </c>
      <c r="AB2" s="12">
        <f ca="1">IFERROR(__xludf.DUMMYFUNCTION("""COMPUTED_VALUE"""),9)</f>
        <v>9</v>
      </c>
      <c r="AC2" s="12"/>
      <c r="AD2" s="12"/>
      <c r="AE2" s="12"/>
      <c r="AF2" s="12"/>
      <c r="AG2" s="13" t="str">
        <f ca="1">IFERROR(__xludf.DUMMYFUNCTION("ArrayFormula(VLOOKUP(G2, IMPORTRANGE(""https://docs.google.com/spreadsheets/d/1Co934fvtviyaRiMsrIlT05Jaq7iiYq07aLvRr35KA48/edit?gid=173865642#gid=173865642"", ""'G7_Maths_Pri_LU'!G2:V2000""), {3, 4, 5, 6, 7, 8, 9, 10, 11, 12, 13, 14, 15, 16}, 0))"),"LU000952")</f>
        <v>LU000952</v>
      </c>
      <c r="AH2" s="13" t="str">
        <f ca="1">IFERROR(__xludf.DUMMYFUNCTION("""COMPUTED_VALUE"""),"Closure property for addition of whole numbers")</f>
        <v>Closure property for addition of whole numbers</v>
      </c>
      <c r="AI2" s="13" t="str">
        <f ca="1">IFERROR(__xludf.DUMMYFUNCTION("""COMPUTED_VALUE"""),"LU000271")</f>
        <v>LU000271</v>
      </c>
      <c r="AJ2" s="13" t="str">
        <f ca="1">IFERROR(__xludf.DUMMYFUNCTION("""COMPUTED_VALUE"""),"Addition of integers using rules of signs")</f>
        <v>Addition of integers using rules of signs</v>
      </c>
      <c r="AK2" s="13" t="str">
        <f ca="1">IFERROR(__xludf.DUMMYFUNCTION("""COMPUTED_VALUE"""),"LU000265")</f>
        <v>LU000265</v>
      </c>
      <c r="AL2" s="13" t="str">
        <f ca="1">IFERROR(__xludf.DUMMYFUNCTION("""COMPUTED_VALUE"""),"Definition of integers")</f>
        <v>Definition of integers</v>
      </c>
      <c r="AM2" s="13"/>
      <c r="AN2" s="13"/>
      <c r="AO2" s="13"/>
      <c r="AP2" s="13"/>
      <c r="AQ2" s="13"/>
      <c r="AR2" s="13"/>
      <c r="AS2" s="13"/>
      <c r="AT2" s="13"/>
    </row>
    <row r="3" spans="1:46">
      <c r="A3" s="8" t="s">
        <v>247</v>
      </c>
      <c r="B3" s="8" t="s">
        <v>47</v>
      </c>
      <c r="C3" s="8" t="s">
        <v>416</v>
      </c>
      <c r="D3" s="8" t="s">
        <v>49</v>
      </c>
      <c r="E3" s="8" t="s">
        <v>352</v>
      </c>
      <c r="F3" s="8" t="s">
        <v>417</v>
      </c>
      <c r="G3" s="8" t="s">
        <v>419</v>
      </c>
      <c r="H3" s="8" t="str">
        <f ca="1">IFERROR(__xludf.DUMMYFUNCTION("VLOOKUP(G3, IMPORTRANGE(""https://docs.google.com/spreadsheets/d/14deopnvwcrKtEGCKuYXdUHJbeLDZlkiSSWWT0g7x2pM/edit#gid=999382323"", ""LU List Maths (Filter)!A:B""), 2, FALSE)"),"Commutative property for addition of integers")</f>
        <v>Commutative property for addition of integers</v>
      </c>
      <c r="I3" s="10" t="str">
        <f t="shared" si="0"/>
        <v>LU000995.001</v>
      </c>
      <c r="J3" s="10" t="str">
        <f ca="1">IFERROR(__xludf.DUMMYFUNCTION("VLOOKUP(I3, IMPORTRANGE(""https://docs.google.com/spreadsheets/d/1yDAaXNsi4Mr5FtRQL4tbmSdIzhx6_m4wkOD7IG-k_eo/edit#gid=0"", ""Maths!M:N""), 2, FALSE)"),"Recall the statement of the commutative property for addition of integers.")</f>
        <v>Recall the statement of the commutative property for addition of integers.</v>
      </c>
      <c r="K3" s="10" t="str">
        <f t="shared" si="1"/>
        <v>LU000995.002</v>
      </c>
      <c r="L3" s="10" t="str">
        <f ca="1">IFERROR(__xludf.DUMMYFUNCTION("VLOOKUP(K3, IMPORTRANGE(""https://docs.google.com/spreadsheets/d/1yDAaXNsi4Mr5FtRQL4tbmSdIzhx6_m4wkOD7IG-k_eo/edit#gid=0"", ""Maths!M:N""), 2, FALSE)"),"Explain the concept of the commutative property and its application to addition of integers.")</f>
        <v>Explain the concept of the commutative property and its application to addition of integers.</v>
      </c>
      <c r="M3" s="10" t="str">
        <f t="shared" si="2"/>
        <v>LU000995.003</v>
      </c>
      <c r="N3" s="10" t="str">
        <f ca="1">IFERROR(__xludf.DUMMYFUNCTION("VLOOKUP(M3, IMPORTRANGE(""https://docs.google.com/spreadsheets/d/1yDAaXNsi4Mr5FtRQL4tbmSdIzhx6_m4wkOD7IG-k_eo/edit#gid=0"", ""Maths!M:N""), 2, FALSE)"),"Apply the commutative property to demonstrate that the sum of two integers remains the same regardless of the order in practical addition calculations.")</f>
        <v>Apply the commutative property to demonstrate that the sum of two integers remains the same regardless of the order in practical addition calculations.</v>
      </c>
      <c r="O3" s="10" t="str">
        <f t="shared" si="3"/>
        <v>LU000995.004</v>
      </c>
      <c r="P3" s="10" t="str">
        <f ca="1">IFERROR(__xludf.DUMMYFUNCTION("VLOOKUP(O3, IMPORTRANGE(""https://docs.google.com/spreadsheets/d/1yDAaXNsi4Mr5FtRQL4tbmSdIzhx6_m4wkOD7IG-k_eo/edit#gid=0"", ""Maths!M:N""), 2, FALSE)"),"Analyze mathematical expressions to verify the commutative property in action for addition of integers.")</f>
        <v>Analyze mathematical expressions to verify the commutative property in action for addition of integers.</v>
      </c>
      <c r="Q3" s="10" t="str">
        <f t="shared" si="4"/>
        <v>LU000995.005</v>
      </c>
      <c r="R3" s="10" t="str">
        <f ca="1">IFERROR(__xludf.DUMMYFUNCTION("VLOOKUP(Q3, IMPORTRANGE(""https://docs.google.com/spreadsheets/d/1yDAaXNsi4Mr5FtRQL4tbmSdIzhx6_m4wkOD7IG-k_eo/edit#gid=0"", ""Maths!M:N""), 2, FALSE)"),"Evaluate the correctness of statements regarding the commutative property and its relevance in integer addition.")</f>
        <v>Evaluate the correctness of statements regarding the commutative property and its relevance in integer addition.</v>
      </c>
      <c r="S3" s="10" t="str">
        <f t="shared" si="5"/>
        <v>LU000995.006</v>
      </c>
      <c r="T3" s="10" t="str">
        <f ca="1">IFERROR(__xludf.DUMMYFUNCTION("VLOOKUP(S3, IMPORTRANGE(""https://docs.google.com/spreadsheets/d/1yDAaXNsi4Mr5FtRQL4tbmSdIzhx6_m4wkOD7IG-k_eo/edit#gid=0"", ""Maths!M:N""), 2, FALSE)"),"#N/A")</f>
        <v>#N/A</v>
      </c>
      <c r="U3" s="11">
        <f ca="1">IFERROR(__xludf.DUMMYFUNCTION("ArrayFormula(VLOOKUP(G3, IMPORTRANGE(""https://docs.google.com/spreadsheets/d/1p7R4vtkWt5VOBim4ltsDG9KTzSjrtKXsMtQGXPHyND0/edit#gid=795171502"", ""'Filter 30_05_2024'!A1:M2000""), {2, 3, 4, 5,6,7,8,9,10,11,12,13}, 0))"),14)</f>
        <v>14</v>
      </c>
      <c r="V3" s="11">
        <f ca="1">IFERROR(__xludf.DUMMYFUNCTION("""COMPUTED_VALUE"""),9)</f>
        <v>9</v>
      </c>
      <c r="W3" s="11">
        <f ca="1">IFERROR(__xludf.DUMMYFUNCTION("""COMPUTED_VALUE"""),5)</f>
        <v>5</v>
      </c>
      <c r="X3" s="11">
        <f ca="1">IFERROR(__xludf.DUMMYFUNCTION("""COMPUTED_VALUE"""),28)</f>
        <v>28</v>
      </c>
      <c r="Y3" s="11">
        <f ca="1">IFERROR(__xludf.DUMMYFUNCTION("""COMPUTED_VALUE"""),4)</f>
        <v>4</v>
      </c>
      <c r="Z3" s="12">
        <f ca="1">IFERROR(__xludf.DUMMYFUNCTION("""COMPUTED_VALUE"""),3)</f>
        <v>3</v>
      </c>
      <c r="AA3" s="12">
        <f ca="1">IFERROR(__xludf.DUMMYFUNCTION("""COMPUTED_VALUE"""),2)</f>
        <v>2</v>
      </c>
      <c r="AB3" s="12">
        <f ca="1">IFERROR(__xludf.DUMMYFUNCTION("""COMPUTED_VALUE"""),9)</f>
        <v>9</v>
      </c>
      <c r="AC3" s="12"/>
      <c r="AD3" s="12"/>
      <c r="AE3" s="12"/>
      <c r="AF3" s="12"/>
      <c r="AG3" s="13" t="str">
        <f ca="1">IFERROR(__xludf.DUMMYFUNCTION("ArrayFormula(VLOOKUP(G3, IMPORTRANGE(""https://docs.google.com/spreadsheets/d/1Co934fvtviyaRiMsrIlT05Jaq7iiYq07aLvRr35KA48/edit?gid=173865642#gid=173865642"", ""'G7_Maths_Pri_LU'!G2:V2000""), {3, 4, 5, 6, 7, 8, 9, 10, 11, 12, 13, 14, 15, 16}, 0))"),"LU000956")</f>
        <v>LU000956</v>
      </c>
      <c r="AH3" s="13" t="str">
        <f ca="1">IFERROR(__xludf.DUMMYFUNCTION("""COMPUTED_VALUE"""),"Commutative property for addition of whole numbers")</f>
        <v>Commutative property for addition of whole numbers</v>
      </c>
      <c r="AI3" s="13" t="str">
        <f ca="1">IFERROR(__xludf.DUMMYFUNCTION("""COMPUTED_VALUE"""),"LU000271")</f>
        <v>LU000271</v>
      </c>
      <c r="AJ3" s="13" t="str">
        <f ca="1">IFERROR(__xludf.DUMMYFUNCTION("""COMPUTED_VALUE"""),"Addition of integers using rules of signs")</f>
        <v>Addition of integers using rules of signs</v>
      </c>
      <c r="AK3" s="13" t="str">
        <f ca="1">IFERROR(__xludf.DUMMYFUNCTION("""COMPUTED_VALUE"""),"LU000265")</f>
        <v>LU000265</v>
      </c>
      <c r="AL3" s="13" t="str">
        <f ca="1">IFERROR(__xludf.DUMMYFUNCTION("""COMPUTED_VALUE"""),"Definition of integers")</f>
        <v>Definition of integers</v>
      </c>
      <c r="AM3" s="13"/>
      <c r="AN3" s="13"/>
      <c r="AO3" s="13"/>
      <c r="AP3" s="13"/>
      <c r="AQ3" s="13"/>
      <c r="AR3" s="13"/>
      <c r="AS3" s="13"/>
      <c r="AT3" s="13"/>
    </row>
    <row r="4" spans="1:46">
      <c r="A4" s="8" t="s">
        <v>247</v>
      </c>
      <c r="B4" s="8" t="s">
        <v>47</v>
      </c>
      <c r="C4" s="8" t="s">
        <v>416</v>
      </c>
      <c r="D4" s="8" t="s">
        <v>49</v>
      </c>
      <c r="E4" s="8" t="s">
        <v>352</v>
      </c>
      <c r="F4" s="8" t="s">
        <v>420</v>
      </c>
      <c r="G4" s="8" t="s">
        <v>421</v>
      </c>
      <c r="H4" s="8" t="str">
        <f ca="1">IFERROR(__xludf.DUMMYFUNCTION("VLOOKUP(G4, IMPORTRANGE(""https://docs.google.com/spreadsheets/d/14deopnvwcrKtEGCKuYXdUHJbeLDZlkiSSWWT0g7x2pM/edit#gid=999382323"", ""LU List Maths (Filter)!A:B""), 2, FALSE)"),"Additive identity of integers")</f>
        <v>Additive identity of integers</v>
      </c>
      <c r="I4" s="10" t="str">
        <f t="shared" si="0"/>
        <v>LU000354.001</v>
      </c>
      <c r="J4" s="10" t="str">
        <f ca="1">IFERROR(__xludf.DUMMYFUNCTION("VLOOKUP(I4, IMPORTRANGE(""https://docs.google.com/spreadsheets/d/1yDAaXNsi4Mr5FtRQL4tbmSdIzhx6_m4wkOD7IG-k_eo/edit#gid=0"", ""Maths!M:N""), 2, FALSE)"),"Define the additive identity of integers and its mathematical representation.")</f>
        <v>Define the additive identity of integers and its mathematical representation.</v>
      </c>
      <c r="K4" s="10" t="str">
        <f t="shared" si="1"/>
        <v>LU000354.002</v>
      </c>
      <c r="L4" s="10" t="str">
        <f ca="1">IFERROR(__xludf.DUMMYFUNCTION("VLOOKUP(K4, IMPORTRANGE(""https://docs.google.com/spreadsheets/d/1yDAaXNsi4Mr5FtRQL4tbmSdIzhx6_m4wkOD7IG-k_eo/edit#gid=0"", ""Maths!M:N""), 2, FALSE)"),"Explain the concept of additive identity in the context of integers and its role in addition operations.")</f>
        <v>Explain the concept of additive identity in the context of integers and its role in addition operations.</v>
      </c>
      <c r="M4" s="10" t="str">
        <f t="shared" si="2"/>
        <v>LU000354.003</v>
      </c>
      <c r="N4" s="10" t="str">
        <f ca="1">IFERROR(__xludf.DUMMYFUNCTION("VLOOKUP(M4, IMPORTRANGE(""https://docs.google.com/spreadsheets/d/1yDAaXNsi4Mr5FtRQL4tbmSdIzhx6_m4wkOD7IG-k_eo/edit#gid=0"", ""Maths!M:N""), 2, FALSE)"),"Apply the additive identity property to simplify expressions involving integers.")</f>
        <v>Apply the additive identity property to simplify expressions involving integers.</v>
      </c>
      <c r="O4" s="10" t="str">
        <f t="shared" si="3"/>
        <v>LU000354.004</v>
      </c>
      <c r="P4" s="10" t="str">
        <f ca="1">IFERROR(__xludf.DUMMYFUNCTION("VLOOKUP(O4, IMPORTRANGE(""https://docs.google.com/spreadsheets/d/1yDAaXNsi4Mr5FtRQL4tbmSdIzhx6_m4wkOD7IG-k_eo/edit#gid=0"", ""Maths!M:N""), 2, FALSE)"),"Analyse a series of integer operations and identify instances where the additive identity property is used.")</f>
        <v>Analyse a series of integer operations and identify instances where the additive identity property is used.</v>
      </c>
      <c r="Q4" s="10" t="str">
        <f t="shared" si="4"/>
        <v>LU000354.005</v>
      </c>
      <c r="R4" s="10" t="str">
        <f ca="1">IFERROR(__xludf.DUMMYFUNCTION("VLOOKUP(Q4, IMPORTRANGE(""https://docs.google.com/spreadsheets/d/1yDAaXNsi4Mr5FtRQL4tbmSdIzhx6_m4wkOD7IG-k_eo/edit#gid=0"", ""Maths!M:N""), 2, FALSE)"),"Evaluate the application of the additive identity property in a solution to an integer addition problem.")</f>
        <v>Evaluate the application of the additive identity property in a solution to an integer addition problem.</v>
      </c>
      <c r="S4" s="10" t="str">
        <f t="shared" si="5"/>
        <v>LU000354.006</v>
      </c>
      <c r="T4" s="10" t="str">
        <f ca="1">IFERROR(__xludf.DUMMYFUNCTION("VLOOKUP(S4, IMPORTRANGE(""https://docs.google.com/spreadsheets/d/1yDAaXNsi4Mr5FtRQL4tbmSdIzhx6_m4wkOD7IG-k_eo/edit#gid=0"", ""Maths!M:N""), 2, FALSE)"),"Design a set of problems that require to utilise the additive identity property in creative ways.")</f>
        <v>Design a set of problems that require to utilise the additive identity property in creative ways.</v>
      </c>
      <c r="U4" s="11">
        <f ca="1">IFERROR(__xludf.DUMMYFUNCTION("ArrayFormula(VLOOKUP(G4, IMPORTRANGE(""https://docs.google.com/spreadsheets/d/1p7R4vtkWt5VOBim4ltsDG9KTzSjrtKXsMtQGXPHyND0/edit#gid=795171502"", ""'Filter 30_05_2024'!A1:M2000""), {2, 3, 4, 5,6,7,8,9,10,11,12,13}, 0))"),4)</f>
        <v>4</v>
      </c>
      <c r="V4" s="11">
        <f ca="1">IFERROR(__xludf.DUMMYFUNCTION("""COMPUTED_VALUE"""),7)</f>
        <v>7</v>
      </c>
      <c r="W4" s="11">
        <f ca="1">IFERROR(__xludf.DUMMYFUNCTION("""COMPUTED_VALUE"""),2)</f>
        <v>2</v>
      </c>
      <c r="X4" s="11">
        <f ca="1">IFERROR(__xludf.DUMMYFUNCTION("""COMPUTED_VALUE"""),13)</f>
        <v>13</v>
      </c>
      <c r="Y4" s="11">
        <f ca="1">IFERROR(__xludf.DUMMYFUNCTION("""COMPUTED_VALUE"""),4)</f>
        <v>4</v>
      </c>
      <c r="Z4" s="12">
        <f ca="1">IFERROR(__xludf.DUMMYFUNCTION("""COMPUTED_VALUE"""),3)</f>
        <v>3</v>
      </c>
      <c r="AA4" s="12">
        <f ca="1">IFERROR(__xludf.DUMMYFUNCTION("""COMPUTED_VALUE"""),1)</f>
        <v>1</v>
      </c>
      <c r="AB4" s="12">
        <f ca="1">IFERROR(__xludf.DUMMYFUNCTION("""COMPUTED_VALUE"""),8)</f>
        <v>8</v>
      </c>
      <c r="AC4" s="12"/>
      <c r="AD4" s="12"/>
      <c r="AE4" s="12"/>
      <c r="AF4" s="12"/>
      <c r="AG4" s="13" t="str">
        <f ca="1">IFERROR(__xludf.DUMMYFUNCTION("ArrayFormula(VLOOKUP(G4, IMPORTRANGE(""https://docs.google.com/spreadsheets/d/1Co934fvtviyaRiMsrIlT05Jaq7iiYq07aLvRr35KA48/edit?gid=173865642#gid=173865642"", ""'G7_Maths_Pri_LU'!G2:V2000""), {3, 4, 5, 6, 7, 8, 9, 10, 11, 12, 13, 14, 15, 16}, 0))"),"LU000189")</f>
        <v>LU000189</v>
      </c>
      <c r="AH4" s="13" t="str">
        <f ca="1">IFERROR(__xludf.DUMMYFUNCTION("""COMPUTED_VALUE"""),"Additive identity of whole numbers")</f>
        <v>Additive identity of whole numbers</v>
      </c>
      <c r="AI4" s="13" t="str">
        <f ca="1">IFERROR(__xludf.DUMMYFUNCTION("""COMPUTED_VALUE"""),"LU000271")</f>
        <v>LU000271</v>
      </c>
      <c r="AJ4" s="13" t="str">
        <f ca="1">IFERROR(__xludf.DUMMYFUNCTION("""COMPUTED_VALUE"""),"Addition of integers using rules of signs")</f>
        <v>Addition of integers using rules of signs</v>
      </c>
      <c r="AK4" s="13" t="str">
        <f ca="1">IFERROR(__xludf.DUMMYFUNCTION("""COMPUTED_VALUE"""),"LU000265")</f>
        <v>LU000265</v>
      </c>
      <c r="AL4" s="13" t="str">
        <f ca="1">IFERROR(__xludf.DUMMYFUNCTION("""COMPUTED_VALUE"""),"Definition of integers")</f>
        <v>Definition of integers</v>
      </c>
      <c r="AM4" s="13"/>
      <c r="AN4" s="13"/>
      <c r="AO4" s="13"/>
      <c r="AP4" s="13"/>
      <c r="AQ4" s="13"/>
      <c r="AR4" s="13"/>
      <c r="AS4" s="13"/>
      <c r="AT4" s="13"/>
    </row>
    <row r="5" spans="1:46">
      <c r="A5" s="8" t="s">
        <v>247</v>
      </c>
      <c r="B5" s="8" t="s">
        <v>47</v>
      </c>
      <c r="C5" s="8" t="s">
        <v>416</v>
      </c>
      <c r="D5" s="8" t="s">
        <v>49</v>
      </c>
      <c r="E5" s="8" t="s">
        <v>352</v>
      </c>
      <c r="F5" s="8" t="s">
        <v>420</v>
      </c>
      <c r="G5" s="8" t="s">
        <v>422</v>
      </c>
      <c r="H5" s="8" t="str">
        <f ca="1">IFERROR(__xludf.DUMMYFUNCTION("VLOOKUP(G5, IMPORTRANGE(""https://docs.google.com/spreadsheets/d/14deopnvwcrKtEGCKuYXdUHJbeLDZlkiSSWWT0g7x2pM/edit#gid=999382323"", ""LU List Maths (Filter)!A:B""), 2, FALSE)"),"Associative property for addition of integers")</f>
        <v>Associative property for addition of integers</v>
      </c>
      <c r="I5" s="10" t="str">
        <f t="shared" si="0"/>
        <v>LU001001.001</v>
      </c>
      <c r="J5" s="10" t="str">
        <f ca="1">IFERROR(__xludf.DUMMYFUNCTION("VLOOKUP(I5, IMPORTRANGE(""https://docs.google.com/spreadsheets/d/1yDAaXNsi4Mr5FtRQL4tbmSdIzhx6_m4wkOD7IG-k_eo/edit#gid=0"", ""Maths!M:N""), 2, FALSE)"),"Recall the statement of the associative property for addition of integers.")</f>
        <v>Recall the statement of the associative property for addition of integers.</v>
      </c>
      <c r="K5" s="10" t="str">
        <f t="shared" si="1"/>
        <v>LU001001.002</v>
      </c>
      <c r="L5" s="10" t="str">
        <f ca="1">IFERROR(__xludf.DUMMYFUNCTION("VLOOKUP(K5, IMPORTRANGE(""https://docs.google.com/spreadsheets/d/1yDAaXNsi4Mr5FtRQL4tbmSdIzhx6_m4wkOD7IG-k_eo/edit#gid=0"", ""Maths!M:N""), 2, FALSE)"),"Explain the concept of the associative property and how it applies to addition of integers.")</f>
        <v>Explain the concept of the associative property and how it applies to addition of integers.</v>
      </c>
      <c r="M5" s="10" t="str">
        <f t="shared" si="2"/>
        <v>LU001001.003</v>
      </c>
      <c r="N5" s="10" t="str">
        <f ca="1">IFERROR(__xludf.DUMMYFUNCTION("VLOOKUP(M5, IMPORTRANGE(""https://docs.google.com/spreadsheets/d/1yDAaXNsi4Mr5FtRQL4tbmSdIzhx6_m4wkOD7IG-k_eo/edit#gid=0"", ""Maths!M:N""), 2, FALSE)"),"Apply the associative property to re-group and simplify integer addition expressions.")</f>
        <v>Apply the associative property to re-group and simplify integer addition expressions.</v>
      </c>
      <c r="O5" s="10" t="str">
        <f t="shared" si="3"/>
        <v>LU001001.004</v>
      </c>
      <c r="P5" s="10" t="str">
        <f ca="1">IFERROR(__xludf.DUMMYFUNCTION("VLOOKUP(O5, IMPORTRANGE(""https://docs.google.com/spreadsheets/d/1yDAaXNsi4Mr5FtRQL4tbmSdIzhx6_m4wkOD7IG-k_eo/edit#gid=0"", ""Maths!M:N""), 2, FALSE)"),"Analyze mathematical equations to demonstrate the use of the associative property and how it affects the grouping of integers in addition.")</f>
        <v>Analyze mathematical equations to demonstrate the use of the associative property and how it affects the grouping of integers in addition.</v>
      </c>
      <c r="Q5" s="10" t="str">
        <f t="shared" si="4"/>
        <v>LU001001.005</v>
      </c>
      <c r="R5" s="10" t="str">
        <f ca="1">IFERROR(__xludf.DUMMYFUNCTION("VLOOKUP(Q5, IMPORTRANGE(""https://docs.google.com/spreadsheets/d/1yDAaXNsi4Mr5FtRQL4tbmSdIzhx6_m4wkOD7IG-k_eo/edit#gid=0"", ""Maths!M:N""), 2, FALSE)"),"Evaluate the correctness of solutions obtained using the associative property in integer addition problems and identify any errors.")</f>
        <v>Evaluate the correctness of solutions obtained using the associative property in integer addition problems and identify any errors.</v>
      </c>
      <c r="S5" s="10" t="str">
        <f t="shared" si="5"/>
        <v>LU001001.006</v>
      </c>
      <c r="T5" s="10" t="str">
        <f ca="1">IFERROR(__xludf.DUMMYFUNCTION("VLOOKUP(S5, IMPORTRANGE(""https://docs.google.com/spreadsheets/d/1yDAaXNsi4Mr5FtRQL4tbmSdIzhx6_m4wkOD7IG-k_eo/edit#gid=0"", ""Maths!M:N""), 2, FALSE)"),"#N/A")</f>
        <v>#N/A</v>
      </c>
      <c r="U5" s="11">
        <f ca="1">IFERROR(__xludf.DUMMYFUNCTION("ArrayFormula(VLOOKUP(G5, IMPORTRANGE(""https://docs.google.com/spreadsheets/d/1p7R4vtkWt5VOBim4ltsDG9KTzSjrtKXsMtQGXPHyND0/edit#gid=795171502"", ""'Filter 30_05_2024'!A1:M2000""), {2, 3, 4, 5,6,7,8,9,10,11,12,13}, 0))"),5)</f>
        <v>5</v>
      </c>
      <c r="V5" s="11">
        <f ca="1">IFERROR(__xludf.DUMMYFUNCTION("""COMPUTED_VALUE"""),5)</f>
        <v>5</v>
      </c>
      <c r="W5" s="11">
        <f ca="1">IFERROR(__xludf.DUMMYFUNCTION("""COMPUTED_VALUE"""),17)</f>
        <v>17</v>
      </c>
      <c r="X5" s="11">
        <f ca="1">IFERROR(__xludf.DUMMYFUNCTION("""COMPUTED_VALUE"""),27)</f>
        <v>27</v>
      </c>
      <c r="Y5" s="11">
        <f ca="1">IFERROR(__xludf.DUMMYFUNCTION("""COMPUTED_VALUE"""),4)</f>
        <v>4</v>
      </c>
      <c r="Z5" s="12">
        <f ca="1">IFERROR(__xludf.DUMMYFUNCTION("""COMPUTED_VALUE"""),5)</f>
        <v>5</v>
      </c>
      <c r="AA5" s="12">
        <f ca="1">IFERROR(__xludf.DUMMYFUNCTION("""COMPUTED_VALUE"""),2)</f>
        <v>2</v>
      </c>
      <c r="AB5" s="12">
        <f ca="1">IFERROR(__xludf.DUMMYFUNCTION("""COMPUTED_VALUE"""),11)</f>
        <v>11</v>
      </c>
      <c r="AC5" s="12"/>
      <c r="AD5" s="12"/>
      <c r="AE5" s="12"/>
      <c r="AF5" s="12"/>
      <c r="AG5" s="13" t="str">
        <f ca="1">IFERROR(__xludf.DUMMYFUNCTION("ArrayFormula(VLOOKUP(G5, IMPORTRANGE(""https://docs.google.com/spreadsheets/d/1Co934fvtviyaRiMsrIlT05Jaq7iiYq07aLvRr35KA48/edit?gid=173865642#gid=173865642"", ""'G7_Maths_Pri_LU'!G2:V2000""), {3, 4, 5, 6, 7, 8, 9, 10, 11, 12, 13, 14, 15, 16}, 0))"),"LU000960")</f>
        <v>LU000960</v>
      </c>
      <c r="AH5" s="13" t="str">
        <f ca="1">IFERROR(__xludf.DUMMYFUNCTION("""COMPUTED_VALUE"""),"Associative property for addition of whole numbers")</f>
        <v>Associative property for addition of whole numbers</v>
      </c>
      <c r="AI5" s="13" t="str">
        <f ca="1">IFERROR(__xludf.DUMMYFUNCTION("""COMPUTED_VALUE"""),"LU000271")</f>
        <v>LU000271</v>
      </c>
      <c r="AJ5" s="13" t="str">
        <f ca="1">IFERROR(__xludf.DUMMYFUNCTION("""COMPUTED_VALUE"""),"Addition of integers using rules of signs")</f>
        <v>Addition of integers using rules of signs</v>
      </c>
      <c r="AK5" s="13" t="str">
        <f ca="1">IFERROR(__xludf.DUMMYFUNCTION("""COMPUTED_VALUE"""),"LU000265")</f>
        <v>LU000265</v>
      </c>
      <c r="AL5" s="13" t="str">
        <f ca="1">IFERROR(__xludf.DUMMYFUNCTION("""COMPUTED_VALUE"""),"Definition of integers")</f>
        <v>Definition of integers</v>
      </c>
      <c r="AM5" s="13"/>
      <c r="AN5" s="13"/>
      <c r="AO5" s="13"/>
      <c r="AP5" s="13"/>
      <c r="AQ5" s="13"/>
      <c r="AR5" s="13"/>
      <c r="AS5" s="13"/>
      <c r="AT5" s="13"/>
    </row>
    <row r="6" spans="1:46">
      <c r="A6" s="8" t="s">
        <v>247</v>
      </c>
      <c r="B6" s="8" t="s">
        <v>47</v>
      </c>
      <c r="C6" s="8" t="s">
        <v>416</v>
      </c>
      <c r="D6" s="8" t="s">
        <v>49</v>
      </c>
      <c r="E6" s="8" t="s">
        <v>352</v>
      </c>
      <c r="F6" s="8" t="s">
        <v>423</v>
      </c>
      <c r="G6" s="8" t="s">
        <v>424</v>
      </c>
      <c r="H6" s="8" t="str">
        <f ca="1">IFERROR(__xludf.DUMMYFUNCTION("VLOOKUP(G6, IMPORTRANGE(""https://docs.google.com/spreadsheets/d/14deopnvwcrKtEGCKuYXdUHJbeLDZlkiSSWWT0g7x2pM/edit#gid=999382323"", ""LU List Maths (Filter)!A:B""), 2, FALSE)"),"Closure property for subtraction of integers")</f>
        <v>Closure property for subtraction of integers</v>
      </c>
      <c r="I6" s="10" t="str">
        <f t="shared" si="0"/>
        <v>LU000992.001</v>
      </c>
      <c r="J6" s="10" t="str">
        <f ca="1">IFERROR(__xludf.DUMMYFUNCTION("VLOOKUP(I6, IMPORTRANGE(""https://docs.google.com/spreadsheets/d/1yDAaXNsi4Mr5FtRQL4tbmSdIzhx6_m4wkOD7IG-k_eo/edit#gid=0"", ""Maths!M:N""), 2, FALSE)"),"Recall the definition of the closure property for subtraction of integers.")</f>
        <v>Recall the definition of the closure property for subtraction of integers.</v>
      </c>
      <c r="K6" s="10" t="str">
        <f t="shared" si="1"/>
        <v>LU000992.002</v>
      </c>
      <c r="L6" s="10" t="str">
        <f ca="1">IFERROR(__xludf.DUMMYFUNCTION("VLOOKUP(K6, IMPORTRANGE(""https://docs.google.com/spreadsheets/d/1yDAaXNsi4Mr5FtRQL4tbmSdIzhx6_m4wkOD7IG-k_eo/edit#gid=0"", ""Maths!M:N""), 2, FALSE)"),"Explain the concept of the closure property and how it applies to the subtraction of integers.")</f>
        <v>Explain the concept of the closure property and how it applies to the subtraction of integers.</v>
      </c>
      <c r="M6" s="10" t="str">
        <f t="shared" si="2"/>
        <v>LU000992.003</v>
      </c>
      <c r="N6" s="10" t="str">
        <f ca="1">IFERROR(__xludf.DUMMYFUNCTION("VLOOKUP(M6, IMPORTRANGE(""https://docs.google.com/spreadsheets/d/1yDAaXNsi4Mr5FtRQL4tbmSdIzhx6_m4wkOD7IG-k_eo/edit#gid=0"", ""Maths!M:N""), 2, FALSE)"),"Apply the closure property to demonstrate that the result of subtracting two integers is always an integer in practical subtraction calculations.")</f>
        <v>Apply the closure property to demonstrate that the result of subtracting two integers is always an integer in practical subtraction calculations.</v>
      </c>
      <c r="O6" s="10" t="str">
        <f t="shared" si="3"/>
        <v>LU000992.004</v>
      </c>
      <c r="P6" s="10" t="str">
        <f ca="1">IFERROR(__xludf.DUMMYFUNCTION("VLOOKUP(O6, IMPORTRANGE(""https://docs.google.com/spreadsheets/d/1yDAaXNsi4Mr5FtRQL4tbmSdIzhx6_m4wkOD7IG-k_eo/edit#gid=0"", ""Maths!M:N""), 2, FALSE)"),"Analyze mathematical expressions to verify the closure property in action for subtraction of integers.")</f>
        <v>Analyze mathematical expressions to verify the closure property in action for subtraction of integers.</v>
      </c>
      <c r="Q6" s="10" t="str">
        <f t="shared" si="4"/>
        <v>LU000992.005</v>
      </c>
      <c r="R6" s="10" t="str">
        <f ca="1">IFERROR(__xludf.DUMMYFUNCTION("VLOOKUP(Q6, IMPORTRANGE(""https://docs.google.com/spreadsheets/d/1yDAaXNsi4Mr5FtRQL4tbmSdIzhx6_m4wkOD7IG-k_eo/edit#gid=0"", ""Maths!M:N""), 2, FALSE)"),"Evaluate the correctness of statements regarding the closure property and its significance in integer subtraction.")</f>
        <v>Evaluate the correctness of statements regarding the closure property and its significance in integer subtraction.</v>
      </c>
      <c r="S6" s="10" t="str">
        <f t="shared" si="5"/>
        <v>LU000992.006</v>
      </c>
      <c r="T6" s="10" t="str">
        <f ca="1">IFERROR(__xludf.DUMMYFUNCTION("VLOOKUP(S6, IMPORTRANGE(""https://docs.google.com/spreadsheets/d/1yDAaXNsi4Mr5FtRQL4tbmSdIzhx6_m4wkOD7IG-k_eo/edit#gid=0"", ""Maths!M:N""), 2, FALSE)"),"#N/A")</f>
        <v>#N/A</v>
      </c>
      <c r="U6" s="11">
        <f ca="1">IFERROR(__xludf.DUMMYFUNCTION("ArrayFormula(VLOOKUP(G6, IMPORTRANGE(""https://docs.google.com/spreadsheets/d/1p7R4vtkWt5VOBim4ltsDG9KTzSjrtKXsMtQGXPHyND0/edit#gid=795171502"", ""'Filter 30_05_2024'!A1:M2000""), {2, 3, 4, 5,6,7,8,9,10,11,12,13}, 0))"),4)</f>
        <v>4</v>
      </c>
      <c r="V6" s="11">
        <f ca="1">IFERROR(__xludf.DUMMYFUNCTION("""COMPUTED_VALUE"""),6)</f>
        <v>6</v>
      </c>
      <c r="W6" s="11">
        <f ca="1">IFERROR(__xludf.DUMMYFUNCTION("""COMPUTED_VALUE"""),7)</f>
        <v>7</v>
      </c>
      <c r="X6" s="11">
        <f ca="1">IFERROR(__xludf.DUMMYFUNCTION("""COMPUTED_VALUE"""),17)</f>
        <v>17</v>
      </c>
      <c r="Y6" s="11">
        <f ca="1">IFERROR(__xludf.DUMMYFUNCTION("""COMPUTED_VALUE"""),4)</f>
        <v>4</v>
      </c>
      <c r="Z6" s="12">
        <f ca="1">IFERROR(__xludf.DUMMYFUNCTION("""COMPUTED_VALUE"""),3)</f>
        <v>3</v>
      </c>
      <c r="AA6" s="12">
        <f ca="1">IFERROR(__xludf.DUMMYFUNCTION("""COMPUTED_VALUE"""),1)</f>
        <v>1</v>
      </c>
      <c r="AB6" s="12">
        <f ca="1">IFERROR(__xludf.DUMMYFUNCTION("""COMPUTED_VALUE"""),8)</f>
        <v>8</v>
      </c>
      <c r="AC6" s="12"/>
      <c r="AD6" s="12"/>
      <c r="AE6" s="12"/>
      <c r="AF6" s="12"/>
      <c r="AG6" s="13" t="str">
        <f ca="1">IFERROR(__xludf.DUMMYFUNCTION("ArrayFormula(VLOOKUP(G6, IMPORTRANGE(""https://docs.google.com/spreadsheets/d/1Co934fvtviyaRiMsrIlT05Jaq7iiYq07aLvRr35KA48/edit?gid=173865642#gid=173865642"", ""'G7_Maths_Pri_LU'!G2:V2000""), {3, 4, 5, 6, 7, 8, 9, 10, 11, 12, 13, 14, 15, 16}, 0))"),"LU000953")</f>
        <v>LU000953</v>
      </c>
      <c r="AH6" s="13" t="str">
        <f ca="1">IFERROR(__xludf.DUMMYFUNCTION("""COMPUTED_VALUE"""),"Examination of closure property for subtraction of whole numbers")</f>
        <v>Examination of closure property for subtraction of whole numbers</v>
      </c>
      <c r="AI6" s="13" t="str">
        <f ca="1">IFERROR(__xludf.DUMMYFUNCTION("""COMPUTED_VALUE"""),"LU000272")</f>
        <v>LU000272</v>
      </c>
      <c r="AJ6" s="13" t="str">
        <f ca="1">IFERROR(__xludf.DUMMYFUNCTION("""COMPUTED_VALUE"""),"Subtraction of integers using rules of signs")</f>
        <v>Subtraction of integers using rules of signs</v>
      </c>
      <c r="AK6" s="13" t="str">
        <f ca="1">IFERROR(__xludf.DUMMYFUNCTION("""COMPUTED_VALUE"""),"LU000265")</f>
        <v>LU000265</v>
      </c>
      <c r="AL6" s="13" t="str">
        <f ca="1">IFERROR(__xludf.DUMMYFUNCTION("""COMPUTED_VALUE"""),"Definition of integers")</f>
        <v>Definition of integers</v>
      </c>
      <c r="AM6" s="13"/>
      <c r="AN6" s="13"/>
      <c r="AO6" s="13"/>
      <c r="AP6" s="13"/>
      <c r="AQ6" s="13"/>
      <c r="AR6" s="13"/>
      <c r="AS6" s="13"/>
      <c r="AT6" s="13"/>
    </row>
    <row r="7" spans="1:46">
      <c r="A7" s="8" t="s">
        <v>247</v>
      </c>
      <c r="B7" s="8" t="s">
        <v>47</v>
      </c>
      <c r="C7" s="8" t="s">
        <v>416</v>
      </c>
      <c r="D7" s="8" t="s">
        <v>49</v>
      </c>
      <c r="E7" s="8" t="s">
        <v>352</v>
      </c>
      <c r="F7" s="8" t="s">
        <v>423</v>
      </c>
      <c r="G7" s="8" t="s">
        <v>425</v>
      </c>
      <c r="H7" s="40" t="str">
        <f ca="1">IFERROR(__xludf.DUMMYFUNCTION("VLOOKUP(G7, IMPORTRANGE(""https://docs.google.com/spreadsheets/d/14deopnvwcrKtEGCKuYXdUHJbeLDZlkiSSWWT0g7x2pM/edit#gid=999382323"", ""LU List Maths (Filter)!A:B""), 2, FALSE)"),"Examination of commutative property for subtraction of integers")</f>
        <v>Examination of commutative property for subtraction of integers</v>
      </c>
      <c r="I7" s="10" t="str">
        <f t="shared" si="0"/>
        <v>LU000996.001</v>
      </c>
      <c r="J7" s="10" t="str">
        <f ca="1">IFERROR(__xludf.DUMMYFUNCTION("VLOOKUP(I7, IMPORTRANGE(""https://docs.google.com/spreadsheets/d/1yDAaXNsi4Mr5FtRQL4tbmSdIzhx6_m4wkOD7IG-k_eo/edit#gid=0"", ""Maths!M:N""), 2, FALSE)"),"Recall that the commutative property does not apply to subtraction of integers.")</f>
        <v>Recall that the commutative property does not apply to subtraction of integers.</v>
      </c>
      <c r="K7" s="10" t="str">
        <f t="shared" si="1"/>
        <v>LU000996.002</v>
      </c>
      <c r="L7" s="10" t="str">
        <f ca="1">IFERROR(__xludf.DUMMYFUNCTION("VLOOKUP(K7, IMPORTRANGE(""https://docs.google.com/spreadsheets/d/1yDAaXNsi4Mr5FtRQL4tbmSdIzhx6_m4wkOD7IG-k_eo/edit#gid=0"", ""Maths!M:N""), 2, FALSE)"),"Explain why the commutative property is inapplicable to integer subtraction.")</f>
        <v>Explain why the commutative property is inapplicable to integer subtraction.</v>
      </c>
      <c r="M7" s="41" t="str">
        <f t="shared" si="2"/>
        <v>LU000996.003</v>
      </c>
      <c r="N7" s="41" t="str">
        <f ca="1">IFERROR(__xludf.DUMMYFUNCTION("VLOOKUP(M7, IMPORTRANGE(""https://docs.google.com/spreadsheets/d/1yDAaXNsi4Mr5FtRQL4tbmSdIzhx6_m4wkOD7IG-k_eo/edit#gid=0"", ""Maths!M:N""), 2, FALSE)"),"Identify examples where subtraction of integers demonstrates commutativity or non-commutativity.")</f>
        <v>Identify examples where subtraction of integers demonstrates commutativity or non-commutativity.</v>
      </c>
      <c r="O7" s="41" t="str">
        <f t="shared" si="3"/>
        <v>LU000996.004</v>
      </c>
      <c r="P7" s="41" t="str">
        <f ca="1">IFERROR(__xludf.DUMMYFUNCTION("VLOOKUP(O7, IMPORTRANGE(""https://docs.google.com/spreadsheets/d/1yDAaXNsi4Mr5FtRQL4tbmSdIzhx6_m4wkOD7IG-k_eo/edit#gid=0"", ""Maths!M:N""), 2, FALSE)"),"Analyse a range of subtraction problems involving integers to highlight the failure of the commutative property.")</f>
        <v>Analyse a range of subtraction problems involving integers to highlight the failure of the commutative property.</v>
      </c>
      <c r="Q7" s="10" t="str">
        <f t="shared" si="4"/>
        <v>LU000996.005</v>
      </c>
      <c r="R7" s="10" t="str">
        <f ca="1">IFERROR(__xludf.DUMMYFUNCTION("VLOOKUP(Q7, IMPORTRANGE(""https://docs.google.com/spreadsheets/d/1yDAaXNsi4Mr5FtRQL4tbmSdIzhx6_m4wkOD7IG-k_eo/edit#gid=0"", ""Maths!M:N""), 2, FALSE)"),"Evaluate the correctness of statements regarding the commutative property and its non-applicability in integer subtraction.")</f>
        <v>Evaluate the correctness of statements regarding the commutative property and its non-applicability in integer subtraction.</v>
      </c>
      <c r="S7" s="10" t="str">
        <f t="shared" si="5"/>
        <v>LU000996.006</v>
      </c>
      <c r="T7" s="10" t="str">
        <f ca="1">IFERROR(__xludf.DUMMYFUNCTION("VLOOKUP(S7, IMPORTRANGE(""https://docs.google.com/spreadsheets/d/1yDAaXNsi4Mr5FtRQL4tbmSdIzhx6_m4wkOD7IG-k_eo/edit#gid=0"", ""Maths!M:N""), 2, FALSE)"),"#N/A")</f>
        <v>#N/A</v>
      </c>
      <c r="U7" s="11">
        <f ca="1">IFERROR(__xludf.DUMMYFUNCTION("ArrayFormula(VLOOKUP(G7, IMPORTRANGE(""https://docs.google.com/spreadsheets/d/1p7R4vtkWt5VOBim4ltsDG9KTzSjrtKXsMtQGXPHyND0/edit#gid=795171502"", ""'Filter 30_05_2024'!A1:M2000""), {2, 3, 4, 5,6,7,8,9,10,11,12,13}, 0))"),4)</f>
        <v>4</v>
      </c>
      <c r="V7" s="11">
        <f ca="1">IFERROR(__xludf.DUMMYFUNCTION("""COMPUTED_VALUE"""),6)</f>
        <v>6</v>
      </c>
      <c r="W7" s="11">
        <f ca="1">IFERROR(__xludf.DUMMYFUNCTION("""COMPUTED_VALUE"""),3)</f>
        <v>3</v>
      </c>
      <c r="X7" s="11">
        <f ca="1">IFERROR(__xludf.DUMMYFUNCTION("""COMPUTED_VALUE"""),13)</f>
        <v>13</v>
      </c>
      <c r="Y7" s="11">
        <f ca="1">IFERROR(__xludf.DUMMYFUNCTION("""COMPUTED_VALUE"""),4)</f>
        <v>4</v>
      </c>
      <c r="Z7" s="12">
        <f ca="1">IFERROR(__xludf.DUMMYFUNCTION("""COMPUTED_VALUE"""),3)</f>
        <v>3</v>
      </c>
      <c r="AA7" s="12">
        <f ca="1">IFERROR(__xludf.DUMMYFUNCTION("""COMPUTED_VALUE"""),1)</f>
        <v>1</v>
      </c>
      <c r="AB7" s="12">
        <f ca="1">IFERROR(__xludf.DUMMYFUNCTION("""COMPUTED_VALUE"""),8)</f>
        <v>8</v>
      </c>
      <c r="AC7" s="12"/>
      <c r="AD7" s="12"/>
      <c r="AE7" s="12"/>
      <c r="AF7" s="12"/>
      <c r="AG7" s="13" t="str">
        <f ca="1">IFERROR(__xludf.DUMMYFUNCTION("ArrayFormula(VLOOKUP(G7, IMPORTRANGE(""https://docs.google.com/spreadsheets/d/1Co934fvtviyaRiMsrIlT05Jaq7iiYq07aLvRr35KA48/edit?gid=173865642#gid=173865642"", ""'G7_Maths_Pri_LU'!G2:V2000""), {3, 4, 5, 6, 7, 8, 9, 10, 11, 12, 13, 14, 15, 16}, 0))"),"LU000957")</f>
        <v>LU000957</v>
      </c>
      <c r="AH7" s="13" t="str">
        <f ca="1">IFERROR(__xludf.DUMMYFUNCTION("""COMPUTED_VALUE"""),"Examination of commutative property for subtraction of whole numbers")</f>
        <v>Examination of commutative property for subtraction of whole numbers</v>
      </c>
      <c r="AI7" s="13" t="str">
        <f ca="1">IFERROR(__xludf.DUMMYFUNCTION("""COMPUTED_VALUE"""),"LU000272")</f>
        <v>LU000272</v>
      </c>
      <c r="AJ7" s="13" t="str">
        <f ca="1">IFERROR(__xludf.DUMMYFUNCTION("""COMPUTED_VALUE"""),"Subtraction of integers using rules of signs")</f>
        <v>Subtraction of integers using rules of signs</v>
      </c>
      <c r="AK7" s="13" t="str">
        <f ca="1">IFERROR(__xludf.DUMMYFUNCTION("""COMPUTED_VALUE"""),"LU000265")</f>
        <v>LU000265</v>
      </c>
      <c r="AL7" s="13" t="str">
        <f ca="1">IFERROR(__xludf.DUMMYFUNCTION("""COMPUTED_VALUE"""),"Definition of integers")</f>
        <v>Definition of integers</v>
      </c>
      <c r="AM7" s="13"/>
      <c r="AN7" s="13"/>
      <c r="AO7" s="13"/>
      <c r="AP7" s="13"/>
      <c r="AQ7" s="13"/>
      <c r="AR7" s="13"/>
      <c r="AS7" s="13"/>
      <c r="AT7" s="13"/>
    </row>
    <row r="8" spans="1:46">
      <c r="A8" s="8" t="s">
        <v>247</v>
      </c>
      <c r="B8" s="8" t="s">
        <v>47</v>
      </c>
      <c r="C8" s="8" t="s">
        <v>416</v>
      </c>
      <c r="D8" s="8" t="s">
        <v>49</v>
      </c>
      <c r="E8" s="8" t="s">
        <v>352</v>
      </c>
      <c r="F8" s="8" t="s">
        <v>423</v>
      </c>
      <c r="G8" s="8" t="s">
        <v>426</v>
      </c>
      <c r="H8" s="40" t="str">
        <f ca="1">IFERROR(__xludf.DUMMYFUNCTION("VLOOKUP(G8, IMPORTRANGE(""https://docs.google.com/spreadsheets/d/14deopnvwcrKtEGCKuYXdUHJbeLDZlkiSSWWT0g7x2pM/edit#gid=999382323"", ""LU List Maths (Filter)!A:B""), 2, FALSE)"),"Examination of associative property for subtraction of integers")</f>
        <v>Examination of associative property for subtraction of integers</v>
      </c>
      <c r="I8" s="10" t="str">
        <f t="shared" si="0"/>
        <v>LU001002.001</v>
      </c>
      <c r="J8" s="10" t="str">
        <f ca="1">IFERROR(__xludf.DUMMYFUNCTION("VLOOKUP(I8, IMPORTRANGE(""https://docs.google.com/spreadsheets/d/1yDAaXNsi4Mr5FtRQL4tbmSdIzhx6_m4wkOD7IG-k_eo/edit#gid=0"", ""Maths!M:N""), 2, FALSE)"),"Recall that the associative property does not apply to subtraction of integers.")</f>
        <v>Recall that the associative property does not apply to subtraction of integers.</v>
      </c>
      <c r="K8" s="10" t="str">
        <f t="shared" si="1"/>
        <v>LU001002.002</v>
      </c>
      <c r="L8" s="10" t="str">
        <f ca="1">IFERROR(__xludf.DUMMYFUNCTION("VLOOKUP(K8, IMPORTRANGE(""https://docs.google.com/spreadsheets/d/1yDAaXNsi4Mr5FtRQL4tbmSdIzhx6_m4wkOD7IG-k_eo/edit#gid=0"", ""Maths!M:N""), 2, FALSE)"),"Explain why the associative property is inapplicable to integer subtraction.")</f>
        <v>Explain why the associative property is inapplicable to integer subtraction.</v>
      </c>
      <c r="M8" s="41" t="str">
        <f t="shared" si="2"/>
        <v>LU001002.003</v>
      </c>
      <c r="N8" s="41" t="str">
        <f ca="1">IFERROR(__xludf.DUMMYFUNCTION("VLOOKUP(M8, IMPORTRANGE(""https://docs.google.com/spreadsheets/d/1yDAaXNsi4Mr5FtRQL4tbmSdIzhx6_m4wkOD7IG-k_eo/edit#gid=0"", ""Maths!M:N""), 2, FALSE)"),"Identify examples where subtraction of integers demonstrates the non-associativity.")</f>
        <v>Identify examples where subtraction of integers demonstrates the non-associativity.</v>
      </c>
      <c r="O8" s="41" t="str">
        <f t="shared" si="3"/>
        <v>LU001002.004</v>
      </c>
      <c r="P8" s="41" t="str">
        <f ca="1">IFERROR(__xludf.DUMMYFUNCTION("VLOOKUP(O8, IMPORTRANGE(""https://docs.google.com/spreadsheets/d/1yDAaXNsi4Mr5FtRQL4tbmSdIzhx6_m4wkOD7IG-k_eo/edit#gid=0"", ""Maths!M:N""), 2, FALSE)"),"Analyse a range of subtraction problems involving integers to highlight the failure of the associative property.")</f>
        <v>Analyse a range of subtraction problems involving integers to highlight the failure of the associative property.</v>
      </c>
      <c r="Q8" s="10" t="str">
        <f t="shared" si="4"/>
        <v>LU001002.005</v>
      </c>
      <c r="R8" s="10" t="str">
        <f ca="1">IFERROR(__xludf.DUMMYFUNCTION("VLOOKUP(Q8, IMPORTRANGE(""https://docs.google.com/spreadsheets/d/1yDAaXNsi4Mr5FtRQL4tbmSdIzhx6_m4wkOD7IG-k_eo/edit#gid=0"", ""Maths!M:N""), 2, FALSE)"),"Evaluate the correctness of statements regarding the associative property and its non-applicability in integer subtraction.")</f>
        <v>Evaluate the correctness of statements regarding the associative property and its non-applicability in integer subtraction.</v>
      </c>
      <c r="S8" s="10" t="str">
        <f t="shared" si="5"/>
        <v>LU001002.006</v>
      </c>
      <c r="T8" s="10" t="str">
        <f ca="1">IFERROR(__xludf.DUMMYFUNCTION("VLOOKUP(S8, IMPORTRANGE(""https://docs.google.com/spreadsheets/d/1yDAaXNsi4Mr5FtRQL4tbmSdIzhx6_m4wkOD7IG-k_eo/edit#gid=0"", ""Maths!M:N""), 2, FALSE)"),"#N/A")</f>
        <v>#N/A</v>
      </c>
      <c r="U8" s="11">
        <f ca="1">IFERROR(__xludf.DUMMYFUNCTION("ArrayFormula(VLOOKUP(G8, IMPORTRANGE(""https://docs.google.com/spreadsheets/d/1p7R4vtkWt5VOBim4ltsDG9KTzSjrtKXsMtQGXPHyND0/edit#gid=795171502"", ""'Filter 30_05_2024'!A1:M2000""), {2, 3, 4, 5,6,7,8,9,10,11,12,13}, 0))"),8)</f>
        <v>8</v>
      </c>
      <c r="V8" s="11">
        <f ca="1">IFERROR(__xludf.DUMMYFUNCTION("""COMPUTED_VALUE"""),7)</f>
        <v>7</v>
      </c>
      <c r="W8" s="11">
        <f ca="1">IFERROR(__xludf.DUMMYFUNCTION("""COMPUTED_VALUE"""),4)</f>
        <v>4</v>
      </c>
      <c r="X8" s="11">
        <f ca="1">IFERROR(__xludf.DUMMYFUNCTION("""COMPUTED_VALUE"""),19)</f>
        <v>19</v>
      </c>
      <c r="Y8" s="11">
        <f ca="1">IFERROR(__xludf.DUMMYFUNCTION("""COMPUTED_VALUE"""),4)</f>
        <v>4</v>
      </c>
      <c r="Z8" s="12">
        <f ca="1">IFERROR(__xludf.DUMMYFUNCTION("""COMPUTED_VALUE"""),3)</f>
        <v>3</v>
      </c>
      <c r="AA8" s="12">
        <f ca="1">IFERROR(__xludf.DUMMYFUNCTION("""COMPUTED_VALUE"""),1)</f>
        <v>1</v>
      </c>
      <c r="AB8" s="12">
        <f ca="1">IFERROR(__xludf.DUMMYFUNCTION("""COMPUTED_VALUE"""),8)</f>
        <v>8</v>
      </c>
      <c r="AC8" s="12"/>
      <c r="AD8" s="12"/>
      <c r="AE8" s="12"/>
      <c r="AF8" s="12"/>
      <c r="AG8" s="13" t="str">
        <f ca="1">IFERROR(__xludf.DUMMYFUNCTION("ArrayFormula(VLOOKUP(G8, IMPORTRANGE(""https://docs.google.com/spreadsheets/d/1Co934fvtviyaRiMsrIlT05Jaq7iiYq07aLvRr35KA48/edit?gid=173865642#gid=173865642"", ""'G7_Maths_Pri_LU'!G2:V2000""), {3, 4, 5, 6, 7, 8, 9, 10, 11, 12, 13, 14, 15, 16}, 0))"),"LU000961")</f>
        <v>LU000961</v>
      </c>
      <c r="AH8" s="13" t="str">
        <f ca="1">IFERROR(__xludf.DUMMYFUNCTION("""COMPUTED_VALUE"""),"Examination of associative property for subtraction of whole numbers")</f>
        <v>Examination of associative property for subtraction of whole numbers</v>
      </c>
      <c r="AI8" s="13" t="str">
        <f ca="1">IFERROR(__xludf.DUMMYFUNCTION("""COMPUTED_VALUE"""),"LU000272")</f>
        <v>LU000272</v>
      </c>
      <c r="AJ8" s="13" t="str">
        <f ca="1">IFERROR(__xludf.DUMMYFUNCTION("""COMPUTED_VALUE"""),"Subtraction of integers using rules of signs")</f>
        <v>Subtraction of integers using rules of signs</v>
      </c>
      <c r="AK8" s="13" t="str">
        <f ca="1">IFERROR(__xludf.DUMMYFUNCTION("""COMPUTED_VALUE"""),"LU000265")</f>
        <v>LU000265</v>
      </c>
      <c r="AL8" s="13" t="str">
        <f ca="1">IFERROR(__xludf.DUMMYFUNCTION("""COMPUTED_VALUE"""),"Definition of integers")</f>
        <v>Definition of integers</v>
      </c>
      <c r="AM8" s="13"/>
      <c r="AN8" s="13"/>
      <c r="AO8" s="13"/>
      <c r="AP8" s="13"/>
      <c r="AQ8" s="13"/>
      <c r="AR8" s="13"/>
      <c r="AS8" s="13"/>
      <c r="AT8" s="13"/>
    </row>
    <row r="9" spans="1:46">
      <c r="A9" s="8" t="s">
        <v>247</v>
      </c>
      <c r="B9" s="8" t="s">
        <v>47</v>
      </c>
      <c r="C9" s="8" t="s">
        <v>416</v>
      </c>
      <c r="D9" s="8" t="s">
        <v>49</v>
      </c>
      <c r="E9" s="8" t="s">
        <v>352</v>
      </c>
      <c r="F9" s="21" t="s">
        <v>427</v>
      </c>
      <c r="G9" s="8" t="s">
        <v>428</v>
      </c>
      <c r="H9" s="8" t="str">
        <f ca="1">IFERROR(__xludf.DUMMYFUNCTION("VLOOKUP(G9, IMPORTRANGE(""https://docs.google.com/spreadsheets/d/14deopnvwcrKtEGCKuYXdUHJbeLDZlkiSSWWT0g7x2pM/edit#gid=999382323"", ""LU List Maths (Filter)!A:B""), 2, FALSE)"),"Multiplication of two integers")</f>
        <v>Multiplication of two integers</v>
      </c>
      <c r="I9" s="10" t="str">
        <f t="shared" si="0"/>
        <v>LU000355.001</v>
      </c>
      <c r="J9" s="10" t="str">
        <f ca="1">IFERROR(__xludf.DUMMYFUNCTION("VLOOKUP(I9, IMPORTRANGE(""https://docs.google.com/spreadsheets/d/1yDAaXNsi4Mr5FtRQL4tbmSdIzhx6_m4wkOD7IG-k_eo/edit#gid=0"", ""Maths!M:N""), 2, FALSE)"),"List the rules for multiplying integers with like and unlike signs.")</f>
        <v>List the rules for multiplying integers with like and unlike signs.</v>
      </c>
      <c r="K9" s="10" t="str">
        <f t="shared" si="1"/>
        <v>LU000355.002</v>
      </c>
      <c r="L9" s="10" t="str">
        <f ca="1">IFERROR(__xludf.DUMMYFUNCTION("VLOOKUP(K9, IMPORTRANGE(""https://docs.google.com/spreadsheets/d/1yDAaXNsi4Mr5FtRQL4tbmSdIzhx6_m4wkOD7IG-k_eo/edit#gid=0"", ""Maths!M:N""), 2, FALSE)"),"Explain the concept of multiplication of integers using number lines or visual models.")</f>
        <v>Explain the concept of multiplication of integers using number lines or visual models.</v>
      </c>
      <c r="M9" s="10" t="str">
        <f t="shared" si="2"/>
        <v>LU000355.003</v>
      </c>
      <c r="N9" s="10" t="str">
        <f ca="1">IFERROR(__xludf.DUMMYFUNCTION("VLOOKUP(M9, IMPORTRANGE(""https://docs.google.com/spreadsheets/d/1yDAaXNsi4Mr5FtRQL4tbmSdIzhx6_m4wkOD7IG-k_eo/edit#gid=0"", ""Maths!M:N""), 2, FALSE)"),"Solve arithmetic and practical problems involving multiplication of integers.")</f>
        <v>Solve arithmetic and practical problems involving multiplication of integers.</v>
      </c>
      <c r="O9" s="10" t="str">
        <f t="shared" si="3"/>
        <v>LU000355.004</v>
      </c>
      <c r="P9" s="10" t="str">
        <f ca="1">IFERROR(__xludf.DUMMYFUNCTION("VLOOKUP(O9, IMPORTRANGE(""https://docs.google.com/spreadsheets/d/1yDAaXNsi4Mr5FtRQL4tbmSdIzhx6_m4wkOD7IG-k_eo/edit#gid=0"", ""Maths!M:N""), 2, FALSE)"),"Analyse and identify errors in multiplication of integers calculations.")</f>
        <v>Analyse and identify errors in multiplication of integers calculations.</v>
      </c>
      <c r="Q9" s="10" t="str">
        <f t="shared" si="4"/>
        <v>LU000355.005</v>
      </c>
      <c r="R9" s="10" t="str">
        <f ca="1">IFERROR(__xludf.DUMMYFUNCTION("VLOOKUP(Q9, IMPORTRANGE(""https://docs.google.com/spreadsheets/d/1yDAaXNsi4Mr5FtRQL4tbmSdIzhx6_m4wkOD7IG-k_eo/edit#gid=0"", ""Maths!M:N""), 2, FALSE)"),"Judge which method is more effective for multiplying integers.")</f>
        <v>Judge which method is more effective for multiplying integers.</v>
      </c>
      <c r="S9" s="10" t="str">
        <f t="shared" si="5"/>
        <v>LU000355.006</v>
      </c>
      <c r="T9" s="10" t="str">
        <f ca="1">IFERROR(__xludf.DUMMYFUNCTION("VLOOKUP(S9, IMPORTRANGE(""https://docs.google.com/spreadsheets/d/1yDAaXNsi4Mr5FtRQL4tbmSdIzhx6_m4wkOD7IG-k_eo/edit#gid=0"", ""Maths!M:N""), 2, FALSE)"),"Create a set of word problems involving multiplication of integers.")</f>
        <v>Create a set of word problems involving multiplication of integers.</v>
      </c>
      <c r="U9" s="11">
        <f ca="1">IFERROR(__xludf.DUMMYFUNCTION("ArrayFormula(VLOOKUP(G9, IMPORTRANGE(""https://docs.google.com/spreadsheets/d/1p7R4vtkWt5VOBim4ltsDG9KTzSjrtKXsMtQGXPHyND0/edit#gid=795171502"", ""'Filter 30_05_2024'!A1:M2000""), {2, 3, 4, 5,6,7,8,9,10,11,12,13}, 0))"),9)</f>
        <v>9</v>
      </c>
      <c r="V9" s="11">
        <f ca="1">IFERROR(__xludf.DUMMYFUNCTION("""COMPUTED_VALUE"""),26)</f>
        <v>26</v>
      </c>
      <c r="W9" s="11">
        <f ca="1">IFERROR(__xludf.DUMMYFUNCTION("""COMPUTED_VALUE"""),11)</f>
        <v>11</v>
      </c>
      <c r="X9" s="11">
        <f ca="1">IFERROR(__xludf.DUMMYFUNCTION("""COMPUTED_VALUE"""),46)</f>
        <v>46</v>
      </c>
      <c r="Y9" s="11">
        <f ca="1">IFERROR(__xludf.DUMMYFUNCTION("""COMPUTED_VALUE"""),9)</f>
        <v>9</v>
      </c>
      <c r="Z9" s="12">
        <f ca="1">IFERROR(__xludf.DUMMYFUNCTION("""COMPUTED_VALUE"""),13)</f>
        <v>13</v>
      </c>
      <c r="AA9" s="12">
        <f ca="1">IFERROR(__xludf.DUMMYFUNCTION("""COMPUTED_VALUE"""),3)</f>
        <v>3</v>
      </c>
      <c r="AB9" s="12">
        <f ca="1">IFERROR(__xludf.DUMMYFUNCTION("""COMPUTED_VALUE"""),25)</f>
        <v>25</v>
      </c>
      <c r="AC9" s="12"/>
      <c r="AD9" s="12"/>
      <c r="AE9" s="12"/>
      <c r="AF9" s="12"/>
      <c r="AG9" s="13" t="str">
        <f ca="1">IFERROR(__xludf.DUMMYFUNCTION("ArrayFormula(VLOOKUP(G9, IMPORTRANGE(""https://docs.google.com/spreadsheets/d/1Co934fvtviyaRiMsrIlT05Jaq7iiYq07aLvRr35KA48/edit?gid=173865642#gid=173865642"", ""'G7_Maths_Pri_LU'!G2:V2000""), {3, 4, 5, 6, 7, 8, 9, 10, 11, 12, 13, 14, 15, 16}, 0))"),"LU000126")</f>
        <v>LU000126</v>
      </c>
      <c r="AH9" s="13" t="str">
        <f ca="1">IFERROR(__xludf.DUMMYFUNCTION("""COMPUTED_VALUE"""),"Multiplication of two-digit numbers by one-digit/two-digit numbers")</f>
        <v>Multiplication of two-digit numbers by one-digit/two-digit numbers</v>
      </c>
      <c r="AI9" s="13" t="str">
        <f ca="1">IFERROR(__xludf.DUMMYFUNCTION("""COMPUTED_VALUE"""),"LU000267")</f>
        <v>LU000267</v>
      </c>
      <c r="AJ9" s="13" t="str">
        <f ca="1">IFERROR(__xludf.DUMMYFUNCTION("""COMPUTED_VALUE"""),"Definition of negative integers")</f>
        <v>Definition of negative integers</v>
      </c>
      <c r="AK9" s="13" t="str">
        <f ca="1">IFERROR(__xludf.DUMMYFUNCTION("""COMPUTED_VALUE"""),"LU000182")</f>
        <v>LU000182</v>
      </c>
      <c r="AL9" s="13" t="str">
        <f ca="1">IFERROR(__xludf.DUMMYFUNCTION("""COMPUTED_VALUE"""),"Multiplication of whole numbers on number line")</f>
        <v>Multiplication of whole numbers on number line</v>
      </c>
      <c r="AM9" s="13" t="str">
        <f ca="1">IFERROR(__xludf.DUMMYFUNCTION("""COMPUTED_VALUE"""),"LU000265")</f>
        <v>LU000265</v>
      </c>
      <c r="AN9" s="13" t="str">
        <f ca="1">IFERROR(__xludf.DUMMYFUNCTION("""COMPUTED_VALUE"""),"Definition of integers")</f>
        <v>Definition of integers</v>
      </c>
      <c r="AO9" s="13"/>
      <c r="AP9" s="13"/>
      <c r="AQ9" s="13"/>
      <c r="AR9" s="13"/>
      <c r="AS9" s="13"/>
      <c r="AT9" s="13"/>
    </row>
    <row r="10" spans="1:46">
      <c r="A10" s="8" t="s">
        <v>247</v>
      </c>
      <c r="B10" s="8" t="s">
        <v>47</v>
      </c>
      <c r="C10" s="8" t="s">
        <v>416</v>
      </c>
      <c r="D10" s="8" t="s">
        <v>49</v>
      </c>
      <c r="E10" s="8" t="s">
        <v>352</v>
      </c>
      <c r="F10" s="21" t="s">
        <v>427</v>
      </c>
      <c r="G10" s="8" t="s">
        <v>429</v>
      </c>
      <c r="H10" s="8" t="str">
        <f ca="1">IFERROR(__xludf.DUMMYFUNCTION("VLOOKUP(G10, IMPORTRANGE(""https://docs.google.com/spreadsheets/d/14deopnvwcrKtEGCKuYXdUHJbeLDZlkiSSWWT0g7x2pM/edit#gid=999382323"", ""LU List Maths (Filter)!A:B""), 2, FALSE)"),"Multiplication by zero")</f>
        <v>Multiplication by zero</v>
      </c>
      <c r="I10" s="10" t="str">
        <f t="shared" si="0"/>
        <v>LU000358.001</v>
      </c>
      <c r="J10" s="10" t="str">
        <f ca="1">IFERROR(__xludf.DUMMYFUNCTION("VLOOKUP(I10, IMPORTRANGE(""https://docs.google.com/spreadsheets/d/1yDAaXNsi4Mr5FtRQL4tbmSdIzhx6_m4wkOD7IG-k_eo/edit#gid=0"", ""Maths!M:N""), 2, FALSE)"),"State the result of multiplying any integer by zero.")</f>
        <v>State the result of multiplying any integer by zero.</v>
      </c>
      <c r="K10" s="10" t="str">
        <f t="shared" si="1"/>
        <v>LU000358.002</v>
      </c>
      <c r="L10" s="10" t="str">
        <f ca="1">IFERROR(__xludf.DUMMYFUNCTION("VLOOKUP(K10, IMPORTRANGE(""https://docs.google.com/spreadsheets/d/1yDAaXNsi4Mr5FtRQL4tbmSdIzhx6_m4wkOD7IG-k_eo/edit#gid=0"", ""Maths!M:N""), 2, FALSE)"),"Explain why the multiplication by zero results in a product of zero using real-life analogies.")</f>
        <v>Explain why the multiplication by zero results in a product of zero using real-life analogies.</v>
      </c>
      <c r="M10" s="10" t="str">
        <f t="shared" si="2"/>
        <v>LU000358.003</v>
      </c>
      <c r="N10" s="10" t="str">
        <f ca="1">IFERROR(__xludf.DUMMYFUNCTION("VLOOKUP(M10, IMPORTRANGE(""https://docs.google.com/spreadsheets/d/1yDAaXNsi4Mr5FtRQL4tbmSdIzhx6_m4wkOD7IG-k_eo/edit#gid=0"", ""Maths!M:N""), 2, FALSE)"),"Apply the concept of multiplication by zero to simplify expressions involving integers.")</f>
        <v>Apply the concept of multiplication by zero to simplify expressions involving integers.</v>
      </c>
      <c r="O10" s="10" t="str">
        <f t="shared" si="3"/>
        <v>LU000358.004</v>
      </c>
      <c r="P10" s="10" t="str">
        <f ca="1">IFERROR(__xludf.DUMMYFUNCTION("VLOOKUP(O10, IMPORTRANGE(""https://docs.google.com/spreadsheets/d/1yDAaXNsi4Mr5FtRQL4tbmSdIzhx6_m4wkOD7IG-k_eo/edit#gid=0"", ""Maths!M:N""), 2, FALSE)"),"Analyse a set of mathematical expressions and identify instances where multiplication by zero is used to simplify.")</f>
        <v>Analyse a set of mathematical expressions and identify instances where multiplication by zero is used to simplify.</v>
      </c>
      <c r="Q10" s="10" t="str">
        <f t="shared" si="4"/>
        <v>LU000358.005</v>
      </c>
      <c r="R10" s="10" t="str">
        <f ca="1">IFERROR(__xludf.DUMMYFUNCTION("VLOOKUP(Q10, IMPORTRANGE(""https://docs.google.com/spreadsheets/d/1yDAaXNsi4Mr5FtRQL4tbmSdIzhx6_m4wkOD7IG-k_eo/edit#gid=0"", ""Maths!M:N""), 2, FALSE)"),"Evaluate the application of the multiplication by zero concept in a solution to a problem.")</f>
        <v>Evaluate the application of the multiplication by zero concept in a solution to a problem.</v>
      </c>
      <c r="S10" s="10" t="str">
        <f t="shared" si="5"/>
        <v>LU000358.006</v>
      </c>
      <c r="T10" s="10" t="str">
        <f ca="1">IFERROR(__xludf.DUMMYFUNCTION("VLOOKUP(S10, IMPORTRANGE(""https://docs.google.com/spreadsheets/d/1yDAaXNsi4Mr5FtRQL4tbmSdIzhx6_m4wkOD7IG-k_eo/edit#gid=0"", ""Maths!M:N""), 2, FALSE)"),"#N/A")</f>
        <v>#N/A</v>
      </c>
      <c r="U10" s="11">
        <f ca="1">IFERROR(__xludf.DUMMYFUNCTION("ArrayFormula(VLOOKUP(G10, IMPORTRANGE(""https://docs.google.com/spreadsheets/d/1p7R4vtkWt5VOBim4ltsDG9KTzSjrtKXsMtQGXPHyND0/edit#gid=795171502"", ""'Filter 30_05_2024'!A1:M2000""), {2, 3, 4, 5,6,7,8,9,10,11,12,13}, 0))"),4)</f>
        <v>4</v>
      </c>
      <c r="V10" s="11">
        <f ca="1">IFERROR(__xludf.DUMMYFUNCTION("""COMPUTED_VALUE"""),4)</f>
        <v>4</v>
      </c>
      <c r="W10" s="11">
        <f ca="1">IFERROR(__xludf.DUMMYFUNCTION("""COMPUTED_VALUE"""),2)</f>
        <v>2</v>
      </c>
      <c r="X10" s="11">
        <f ca="1">IFERROR(__xludf.DUMMYFUNCTION("""COMPUTED_VALUE"""),10)</f>
        <v>10</v>
      </c>
      <c r="Y10" s="11">
        <f ca="1">IFERROR(__xludf.DUMMYFUNCTION("""COMPUTED_VALUE"""),4)</f>
        <v>4</v>
      </c>
      <c r="Z10" s="12">
        <f ca="1">IFERROR(__xludf.DUMMYFUNCTION("""COMPUTED_VALUE"""),5)</f>
        <v>5</v>
      </c>
      <c r="AA10" s="12">
        <f ca="1">IFERROR(__xludf.DUMMYFUNCTION("""COMPUTED_VALUE"""),1)</f>
        <v>1</v>
      </c>
      <c r="AB10" s="12">
        <f ca="1">IFERROR(__xludf.DUMMYFUNCTION("""COMPUTED_VALUE"""),10)</f>
        <v>10</v>
      </c>
      <c r="AC10" s="12"/>
      <c r="AD10" s="12"/>
      <c r="AE10" s="12"/>
      <c r="AF10" s="12"/>
      <c r="AG10" s="13" t="str">
        <f ca="1">IFERROR(__xludf.DUMMYFUNCTION("ArrayFormula(VLOOKUP(G10, IMPORTRANGE(""https://docs.google.com/spreadsheets/d/1Co934fvtviyaRiMsrIlT05Jaq7iiYq07aLvRr35KA48/edit?gid=173865642#gid=173865642"", ""'G7_Maths_Pri_LU'!G2:V2000""), {3, 4, 5, 6, 7, 8, 9, 10, 11, 12, 13, 14, 15, 16}, 0))"),"LU000355")</f>
        <v>LU000355</v>
      </c>
      <c r="AH10" s="13" t="str">
        <f ca="1">IFERROR(__xludf.DUMMYFUNCTION("""COMPUTED_VALUE"""),"Multiplication of two integers")</f>
        <v>Multiplication of two integers</v>
      </c>
      <c r="AI10" s="13" t="str">
        <f ca="1">IFERROR(__xludf.DUMMYFUNCTION("""COMPUTED_VALUE"""),"LU000265")</f>
        <v>LU000265</v>
      </c>
      <c r="AJ10" s="13" t="str">
        <f ca="1">IFERROR(__xludf.DUMMYFUNCTION("""COMPUTED_VALUE"""),"Definition of integers")</f>
        <v>Definition of integers</v>
      </c>
      <c r="AK10" s="13"/>
      <c r="AL10" s="13"/>
      <c r="AM10" s="13"/>
      <c r="AN10" s="13"/>
      <c r="AO10" s="13"/>
      <c r="AP10" s="13"/>
      <c r="AQ10" s="13"/>
      <c r="AR10" s="13"/>
      <c r="AS10" s="13"/>
      <c r="AT10" s="13"/>
    </row>
    <row r="11" spans="1:46">
      <c r="A11" s="8" t="s">
        <v>247</v>
      </c>
      <c r="B11" s="8" t="s">
        <v>47</v>
      </c>
      <c r="C11" s="8" t="s">
        <v>416</v>
      </c>
      <c r="D11" s="8" t="s">
        <v>49</v>
      </c>
      <c r="E11" s="8" t="s">
        <v>352</v>
      </c>
      <c r="F11" s="21" t="s">
        <v>427</v>
      </c>
      <c r="G11" s="8" t="s">
        <v>430</v>
      </c>
      <c r="H11" s="8" t="str">
        <f ca="1">IFERROR(__xludf.DUMMYFUNCTION("VLOOKUP(G11, IMPORTRANGE(""https://docs.google.com/spreadsheets/d/14deopnvwcrKtEGCKuYXdUHJbeLDZlkiSSWWT0g7x2pM/edit#gid=999382323"", ""LU List Maths (Filter)!A:B""), 2, FALSE)"),"Multiplication of three or more negative integers")</f>
        <v>Multiplication of three or more negative integers</v>
      </c>
      <c r="I11" s="10" t="str">
        <f t="shared" si="0"/>
        <v>LU000356.001</v>
      </c>
      <c r="J11" s="10" t="str">
        <f ca="1">IFERROR(__xludf.DUMMYFUNCTION("VLOOKUP(I11, IMPORTRANGE(""https://docs.google.com/spreadsheets/d/1yDAaXNsi4Mr5FtRQL4tbmSdIzhx6_m4wkOD7IG-k_eo/edit#gid=0"", ""Maths!M:N""), 2, FALSE)"),"List the rule for multiplying three or more negative integers and provide an example.")</f>
        <v>List the rule for multiplying three or more negative integers and provide an example.</v>
      </c>
      <c r="K11" s="10" t="str">
        <f t="shared" si="1"/>
        <v>LU000356.002</v>
      </c>
      <c r="L11" s="10" t="str">
        <f ca="1">IFERROR(__xludf.DUMMYFUNCTION("VLOOKUP(K11, IMPORTRANGE(""https://docs.google.com/spreadsheets/d/1yDAaXNsi4Mr5FtRQL4tbmSdIzhx6_m4wkOD7IG-k_eo/edit#gid=0"", ""Maths!M:N""), 2, FALSE)"),"Explain the concept of multiplying multiple negative integers and the impact on the resulting sign.")</f>
        <v>Explain the concept of multiplying multiple negative integers and the impact on the resulting sign.</v>
      </c>
      <c r="M11" s="10" t="str">
        <f t="shared" si="2"/>
        <v>LU000356.003</v>
      </c>
      <c r="N11" s="10" t="str">
        <f ca="1">IFERROR(__xludf.DUMMYFUNCTION("VLOOKUP(M11, IMPORTRANGE(""https://docs.google.com/spreadsheets/d/1yDAaXNsi4Mr5FtRQL4tbmSdIzhx6_m4wkOD7IG-k_eo/edit#gid=0"", ""Maths!M:N""), 2, FALSE)"),"Apply the rules of multiplying three or more negative integers to solve complex problems.")</f>
        <v>Apply the rules of multiplying three or more negative integers to solve complex problems.</v>
      </c>
      <c r="O11" s="10" t="str">
        <f t="shared" si="3"/>
        <v>LU000356.004</v>
      </c>
      <c r="P11" s="10" t="str">
        <f ca="1">IFERROR(__xludf.DUMMYFUNCTION("VLOOKUP(O11, IMPORTRANGE(""https://docs.google.com/spreadsheets/d/1yDAaXNsi4Mr5FtRQL4tbmSdIzhx6_m4wkOD7IG-k_eo/edit#gid=0"", ""Maths!M:N""), 2, FALSE)"),"Analyse the multiplication process of multiple negative integers and identify the patterns in the resulting sign.")</f>
        <v>Analyse the multiplication process of multiple negative integers and identify the patterns in the resulting sign.</v>
      </c>
      <c r="Q11" s="10" t="str">
        <f t="shared" si="4"/>
        <v>LU000356.005</v>
      </c>
      <c r="R11" s="10" t="str">
        <f ca="1">IFERROR(__xludf.DUMMYFUNCTION("VLOOKUP(Q11, IMPORTRANGE(""https://docs.google.com/spreadsheets/d/1yDAaXNsi4Mr5FtRQL4tbmSdIzhx6_m4wkOD7IG-k_eo/edit#gid=0"", ""Maths!M:N""), 2, FALSE)"),"Evaluate the solutions of solving problems involving multiplication of three or more negative integers, checking for errors and accuracy.")</f>
        <v>Evaluate the solutions of solving problems involving multiplication of three or more negative integers, checking for errors and accuracy.</v>
      </c>
      <c r="S11" s="10" t="str">
        <f t="shared" si="5"/>
        <v>LU000356.006</v>
      </c>
      <c r="T11" s="10" t="str">
        <f ca="1">IFERROR(__xludf.DUMMYFUNCTION("VLOOKUP(S11, IMPORTRANGE(""https://docs.google.com/spreadsheets/d/1yDAaXNsi4Mr5FtRQL4tbmSdIzhx6_m4wkOD7IG-k_eo/edit#gid=0"", ""Maths!M:N""), 2, FALSE)"),"Create a set of word problems that involve multiplying three or more negative integers in unique situations, such as calculating the change in depth when diving to different depths underwater.")</f>
        <v>Create a set of word problems that involve multiplying three or more negative integers in unique situations, such as calculating the change in depth when diving to different depths underwater.</v>
      </c>
      <c r="U11" s="11">
        <f ca="1">IFERROR(__xludf.DUMMYFUNCTION("ArrayFormula(VLOOKUP(G11, IMPORTRANGE(""https://docs.google.com/spreadsheets/d/1p7R4vtkWt5VOBim4ltsDG9KTzSjrtKXsMtQGXPHyND0/edit#gid=795171502"", ""'Filter 30_05_2024'!A1:M2000""), {2, 3, 4, 5,6,7,8,9,10,11,12,13}, 0))"),4)</f>
        <v>4</v>
      </c>
      <c r="V11" s="11">
        <f ca="1">IFERROR(__xludf.DUMMYFUNCTION("""COMPUTED_VALUE"""),7)</f>
        <v>7</v>
      </c>
      <c r="W11" s="11">
        <f ca="1">IFERROR(__xludf.DUMMYFUNCTION("""COMPUTED_VALUE"""),2)</f>
        <v>2</v>
      </c>
      <c r="X11" s="11">
        <f ca="1">IFERROR(__xludf.DUMMYFUNCTION("""COMPUTED_VALUE"""),13)</f>
        <v>13</v>
      </c>
      <c r="Y11" s="11">
        <f ca="1">IFERROR(__xludf.DUMMYFUNCTION("""COMPUTED_VALUE"""),4)</f>
        <v>4</v>
      </c>
      <c r="Z11" s="12">
        <f ca="1">IFERROR(__xludf.DUMMYFUNCTION("""COMPUTED_VALUE"""),3)</f>
        <v>3</v>
      </c>
      <c r="AA11" s="12">
        <f ca="1">IFERROR(__xludf.DUMMYFUNCTION("""COMPUTED_VALUE"""),1)</f>
        <v>1</v>
      </c>
      <c r="AB11" s="12">
        <f ca="1">IFERROR(__xludf.DUMMYFUNCTION("""COMPUTED_VALUE"""),8)</f>
        <v>8</v>
      </c>
      <c r="AC11" s="12"/>
      <c r="AD11" s="12"/>
      <c r="AE11" s="12"/>
      <c r="AF11" s="12"/>
      <c r="AG11" s="13" t="str">
        <f ca="1">IFERROR(__xludf.DUMMYFUNCTION("ArrayFormula(VLOOKUP(G11, IMPORTRANGE(""https://docs.google.com/spreadsheets/d/1Co934fvtviyaRiMsrIlT05Jaq7iiYq07aLvRr35KA48/edit?gid=173865642#gid=173865642"", ""'G7_Maths_Pri_LU'!G2:V2000""), {3, 4, 5, 6, 7, 8, 9, 10, 11, 12, 13, 14, 15, 16}, 0))"),"LU000355")</f>
        <v>LU000355</v>
      </c>
      <c r="AH11" s="13" t="str">
        <f ca="1">IFERROR(__xludf.DUMMYFUNCTION("""COMPUTED_VALUE"""),"Multiplication of two integers")</f>
        <v>Multiplication of two integers</v>
      </c>
      <c r="AI11" s="13" t="str">
        <f ca="1">IFERROR(__xludf.DUMMYFUNCTION("""COMPUTED_VALUE"""),"LU000358")</f>
        <v>LU000358</v>
      </c>
      <c r="AJ11" s="13" t="str">
        <f ca="1">IFERROR(__xludf.DUMMYFUNCTION("""COMPUTED_VALUE"""),"Multiplication by zero")</f>
        <v>Multiplication by zero</v>
      </c>
      <c r="AK11" s="13" t="str">
        <f ca="1">IFERROR(__xludf.DUMMYFUNCTION("""COMPUTED_VALUE"""),"LU000267")</f>
        <v>LU000267</v>
      </c>
      <c r="AL11" s="13" t="str">
        <f ca="1">IFERROR(__xludf.DUMMYFUNCTION("""COMPUTED_VALUE"""),"Definition of negative integers")</f>
        <v>Definition of negative integers</v>
      </c>
      <c r="AM11" s="13" t="str">
        <f ca="1">IFERROR(__xludf.DUMMYFUNCTION("""COMPUTED_VALUE"""),"LU000126")</f>
        <v>LU000126</v>
      </c>
      <c r="AN11" s="13" t="str">
        <f ca="1">IFERROR(__xludf.DUMMYFUNCTION("""COMPUTED_VALUE"""),"Multiplication of two-digit numbers by one-digit/two-digit numbers")</f>
        <v>Multiplication of two-digit numbers by one-digit/two-digit numbers</v>
      </c>
      <c r="AO11" s="13"/>
      <c r="AP11" s="13"/>
      <c r="AQ11" s="13"/>
      <c r="AR11" s="13"/>
      <c r="AS11" s="13"/>
      <c r="AT11" s="13"/>
    </row>
    <row r="12" spans="1:46">
      <c r="A12" s="8" t="s">
        <v>247</v>
      </c>
      <c r="B12" s="8" t="s">
        <v>47</v>
      </c>
      <c r="C12" s="8" t="s">
        <v>416</v>
      </c>
      <c r="D12" s="8" t="s">
        <v>49</v>
      </c>
      <c r="E12" s="8" t="s">
        <v>352</v>
      </c>
      <c r="F12" s="8" t="s">
        <v>431</v>
      </c>
      <c r="G12" s="8" t="s">
        <v>432</v>
      </c>
      <c r="H12" s="8" t="str">
        <f ca="1">IFERROR(__xludf.DUMMYFUNCTION("VLOOKUP(G12, IMPORTRANGE(""https://docs.google.com/spreadsheets/d/14deopnvwcrKtEGCKuYXdUHJbeLDZlkiSSWWT0g7x2pM/edit#gid=999382323"", ""LU List Maths (Filter)!A:B""), 2, FALSE)"),"Closure property for multiplication of integers")</f>
        <v>Closure property for multiplication of integers</v>
      </c>
      <c r="I12" s="10" t="str">
        <f t="shared" si="0"/>
        <v>LU000993.001</v>
      </c>
      <c r="J12" s="10" t="str">
        <f ca="1">IFERROR(__xludf.DUMMYFUNCTION("VLOOKUP(I12, IMPORTRANGE(""https://docs.google.com/spreadsheets/d/1yDAaXNsi4Mr5FtRQL4tbmSdIzhx6_m4wkOD7IG-k_eo/edit#gid=0"", ""Maths!M:N""), 2, FALSE)"),"Recall the definition of the closure property for multiplication of integers.")</f>
        <v>Recall the definition of the closure property for multiplication of integers.</v>
      </c>
      <c r="K12" s="10" t="str">
        <f t="shared" si="1"/>
        <v>LU000993.002</v>
      </c>
      <c r="L12" s="10" t="str">
        <f ca="1">IFERROR(__xludf.DUMMYFUNCTION("VLOOKUP(K12, IMPORTRANGE(""https://docs.google.com/spreadsheets/d/1yDAaXNsi4Mr5FtRQL4tbmSdIzhx6_m4wkOD7IG-k_eo/edit#gid=0"", ""Maths!M:N""), 2, FALSE)"),"Explain the concept of the closure property and how it applies to the multiplication of integers.")</f>
        <v>Explain the concept of the closure property and how it applies to the multiplication of integers.</v>
      </c>
      <c r="M12" s="10" t="str">
        <f t="shared" si="2"/>
        <v>LU000993.003</v>
      </c>
      <c r="N12" s="10" t="str">
        <f ca="1">IFERROR(__xludf.DUMMYFUNCTION("VLOOKUP(M12, IMPORTRANGE(""https://docs.google.com/spreadsheets/d/1yDAaXNsi4Mr5FtRQL4tbmSdIzhx6_m4wkOD7IG-k_eo/edit#gid=0"", ""Maths!M:N""), 2, FALSE)"),"Apply the closure property to demonstrate that the product of two integers is always an integer in practical multiplication calculations.")</f>
        <v>Apply the closure property to demonstrate that the product of two integers is always an integer in practical multiplication calculations.</v>
      </c>
      <c r="O12" s="10" t="str">
        <f t="shared" si="3"/>
        <v>LU000993.004</v>
      </c>
      <c r="P12" s="10" t="str">
        <f ca="1">IFERROR(__xludf.DUMMYFUNCTION("VLOOKUP(O12, IMPORTRANGE(""https://docs.google.com/spreadsheets/d/1yDAaXNsi4Mr5FtRQL4tbmSdIzhx6_m4wkOD7IG-k_eo/edit#gid=0"", ""Maths!M:N""), 2, FALSE)"),"Analyze mathematical expressions to verify the closure property in action for multiplication of integers.")</f>
        <v>Analyze mathematical expressions to verify the closure property in action for multiplication of integers.</v>
      </c>
      <c r="Q12" s="10" t="str">
        <f t="shared" si="4"/>
        <v>LU000993.005</v>
      </c>
      <c r="R12" s="10" t="str">
        <f ca="1">IFERROR(__xludf.DUMMYFUNCTION("VLOOKUP(Q12, IMPORTRANGE(""https://docs.google.com/spreadsheets/d/1yDAaXNsi4Mr5FtRQL4tbmSdIzhx6_m4wkOD7IG-k_eo/edit#gid=0"", ""Maths!M:N""), 2, FALSE)"),"Evaluate the correctness of statements regarding the closure property and its significance in integer multiplication.")</f>
        <v>Evaluate the correctness of statements regarding the closure property and its significance in integer multiplication.</v>
      </c>
      <c r="S12" s="10" t="str">
        <f t="shared" si="5"/>
        <v>LU000993.006</v>
      </c>
      <c r="T12" s="10" t="str">
        <f ca="1">IFERROR(__xludf.DUMMYFUNCTION("VLOOKUP(S12, IMPORTRANGE(""https://docs.google.com/spreadsheets/d/1yDAaXNsi4Mr5FtRQL4tbmSdIzhx6_m4wkOD7IG-k_eo/edit#gid=0"", ""Maths!M:N""), 2, FALSE)"),"#N/A")</f>
        <v>#N/A</v>
      </c>
      <c r="U12" s="11">
        <f ca="1">IFERROR(__xludf.DUMMYFUNCTION("ArrayFormula(VLOOKUP(G12, IMPORTRANGE(""https://docs.google.com/spreadsheets/d/1p7R4vtkWt5VOBim4ltsDG9KTzSjrtKXsMtQGXPHyND0/edit#gid=795171502"", ""'Filter 30_05_2024'!A1:M2000""), {2, 3, 4, 5,6,7,8,9,10,11,12,13}, 0))"),6)</f>
        <v>6</v>
      </c>
      <c r="V12" s="11">
        <f ca="1">IFERROR(__xludf.DUMMYFUNCTION("""COMPUTED_VALUE"""),6)</f>
        <v>6</v>
      </c>
      <c r="W12" s="11">
        <f ca="1">IFERROR(__xludf.DUMMYFUNCTION("""COMPUTED_VALUE"""),2)</f>
        <v>2</v>
      </c>
      <c r="X12" s="11">
        <f ca="1">IFERROR(__xludf.DUMMYFUNCTION("""COMPUTED_VALUE"""),14)</f>
        <v>14</v>
      </c>
      <c r="Y12" s="11">
        <f ca="1">IFERROR(__xludf.DUMMYFUNCTION("""COMPUTED_VALUE"""),4)</f>
        <v>4</v>
      </c>
      <c r="Z12" s="12">
        <f ca="1">IFERROR(__xludf.DUMMYFUNCTION("""COMPUTED_VALUE"""),3)</f>
        <v>3</v>
      </c>
      <c r="AA12" s="12">
        <f ca="1">IFERROR(__xludf.DUMMYFUNCTION("""COMPUTED_VALUE"""),1)</f>
        <v>1</v>
      </c>
      <c r="AB12" s="12">
        <f ca="1">IFERROR(__xludf.DUMMYFUNCTION("""COMPUTED_VALUE"""),8)</f>
        <v>8</v>
      </c>
      <c r="AC12" s="12"/>
      <c r="AD12" s="12"/>
      <c r="AE12" s="12"/>
      <c r="AF12" s="12"/>
      <c r="AG12" s="13" t="str">
        <f ca="1">IFERROR(__xludf.DUMMYFUNCTION("ArrayFormula(VLOOKUP(G12, IMPORTRANGE(""https://docs.google.com/spreadsheets/d/1Co934fvtviyaRiMsrIlT05Jaq7iiYq07aLvRr35KA48/edit?gid=173865642#gid=173865642"", ""'G7_Maths_Pri_LU'!G2:V2000""), {3, 4, 5, 6, 7, 8, 9, 10, 11, 12, 13, 14, 15, 16}, 0))"),"LU000954")</f>
        <v>LU000954</v>
      </c>
      <c r="AH12" s="13" t="str">
        <f ca="1">IFERROR(__xludf.DUMMYFUNCTION("""COMPUTED_VALUE"""),"Closure property for multiplication of whole numbers")</f>
        <v>Closure property for multiplication of whole numbers</v>
      </c>
      <c r="AI12" s="13" t="str">
        <f ca="1">IFERROR(__xludf.DUMMYFUNCTION("""COMPUTED_VALUE"""),"LU000355")</f>
        <v>LU000355</v>
      </c>
      <c r="AJ12" s="13" t="str">
        <f ca="1">IFERROR(__xludf.DUMMYFUNCTION("""COMPUTED_VALUE"""),"Multiplication of two integers")</f>
        <v>Multiplication of two integers</v>
      </c>
      <c r="AK12" s="13" t="str">
        <f ca="1">IFERROR(__xludf.DUMMYFUNCTION("""COMPUTED_VALUE"""),"LU000358")</f>
        <v>LU000358</v>
      </c>
      <c r="AL12" s="13" t="str">
        <f ca="1">IFERROR(__xludf.DUMMYFUNCTION("""COMPUTED_VALUE"""),"Multiplication by zero")</f>
        <v>Multiplication by zero</v>
      </c>
      <c r="AM12" s="13" t="str">
        <f ca="1">IFERROR(__xludf.DUMMYFUNCTION("""COMPUTED_VALUE"""),"LU000265")</f>
        <v>LU000265</v>
      </c>
      <c r="AN12" s="13" t="str">
        <f ca="1">IFERROR(__xludf.DUMMYFUNCTION("""COMPUTED_VALUE"""),"Definition of integers")</f>
        <v>Definition of integers</v>
      </c>
      <c r="AO12" s="13"/>
      <c r="AP12" s="13"/>
      <c r="AQ12" s="13"/>
      <c r="AR12" s="13"/>
      <c r="AS12" s="13"/>
      <c r="AT12" s="13"/>
    </row>
    <row r="13" spans="1:46">
      <c r="A13" s="8" t="s">
        <v>247</v>
      </c>
      <c r="B13" s="8" t="s">
        <v>47</v>
      </c>
      <c r="C13" s="8" t="s">
        <v>416</v>
      </c>
      <c r="D13" s="8" t="s">
        <v>49</v>
      </c>
      <c r="E13" s="8" t="s">
        <v>352</v>
      </c>
      <c r="F13" s="8" t="s">
        <v>431</v>
      </c>
      <c r="G13" s="8" t="s">
        <v>433</v>
      </c>
      <c r="H13" s="8" t="str">
        <f ca="1">IFERROR(__xludf.DUMMYFUNCTION("VLOOKUP(G13, IMPORTRANGE(""https://docs.google.com/spreadsheets/d/14deopnvwcrKtEGCKuYXdUHJbeLDZlkiSSWWT0g7x2pM/edit#gid=999382323"", ""LU List Maths (Filter)!A:B""), 2, FALSE)"),"Commutative property for multiplication of integers")</f>
        <v>Commutative property for multiplication of integers</v>
      </c>
      <c r="I13" s="10" t="str">
        <f t="shared" si="0"/>
        <v>LU000997.001</v>
      </c>
      <c r="J13" s="10" t="str">
        <f ca="1">IFERROR(__xludf.DUMMYFUNCTION("VLOOKUP(I13, IMPORTRANGE(""https://docs.google.com/spreadsheets/d/1yDAaXNsi4Mr5FtRQL4tbmSdIzhx6_m4wkOD7IG-k_eo/edit#gid=0"", ""Maths!M:N""), 2, FALSE)"),"Recall the statement of the commutative property for multiplication of integers.")</f>
        <v>Recall the statement of the commutative property for multiplication of integers.</v>
      </c>
      <c r="K13" s="10" t="str">
        <f t="shared" si="1"/>
        <v>LU000997.002</v>
      </c>
      <c r="L13" s="10" t="str">
        <f ca="1">IFERROR(__xludf.DUMMYFUNCTION("VLOOKUP(K13, IMPORTRANGE(""https://docs.google.com/spreadsheets/d/1yDAaXNsi4Mr5FtRQL4tbmSdIzhx6_m4wkOD7IG-k_eo/edit#gid=0"", ""Maths!M:N""), 2, FALSE)"),"Explain the concept of the commutative property and its application to multiplication of integers.")</f>
        <v>Explain the concept of the commutative property and its application to multiplication of integers.</v>
      </c>
      <c r="M13" s="10" t="str">
        <f t="shared" si="2"/>
        <v>LU000997.003</v>
      </c>
      <c r="N13" s="10" t="str">
        <f ca="1">IFERROR(__xludf.DUMMYFUNCTION("VLOOKUP(M13, IMPORTRANGE(""https://docs.google.com/spreadsheets/d/1yDAaXNsi4Mr5FtRQL4tbmSdIzhx6_m4wkOD7IG-k_eo/edit#gid=0"", ""Maths!M:N""), 2, FALSE)"),"Apply the commutative property to demonstrate that the product of two integers remains the same regardless of the order in multiplication calculations.")</f>
        <v>Apply the commutative property to demonstrate that the product of two integers remains the same regardless of the order in multiplication calculations.</v>
      </c>
      <c r="O13" s="10" t="str">
        <f t="shared" si="3"/>
        <v>LU000997.004</v>
      </c>
      <c r="P13" s="10" t="str">
        <f ca="1">IFERROR(__xludf.DUMMYFUNCTION("VLOOKUP(O13, IMPORTRANGE(""https://docs.google.com/spreadsheets/d/1yDAaXNsi4Mr5FtRQL4tbmSdIzhx6_m4wkOD7IG-k_eo/edit#gid=0"", ""Maths!M:N""), 2, FALSE)"),"Analyze mathematical expressions to verify the commutative property in action for multiplication of integers.")</f>
        <v>Analyze mathematical expressions to verify the commutative property in action for multiplication of integers.</v>
      </c>
      <c r="Q13" s="10" t="str">
        <f t="shared" si="4"/>
        <v>LU000997.005</v>
      </c>
      <c r="R13" s="10" t="str">
        <f ca="1">IFERROR(__xludf.DUMMYFUNCTION("VLOOKUP(Q13, IMPORTRANGE(""https://docs.google.com/spreadsheets/d/1yDAaXNsi4Mr5FtRQL4tbmSdIzhx6_m4wkOD7IG-k_eo/edit#gid=0"", ""Maths!M:N""), 2, FALSE)"),"Evaluate the correctness of statements regarding the commutative property and its relevance in integer multiplication.")</f>
        <v>Evaluate the correctness of statements regarding the commutative property and its relevance in integer multiplication.</v>
      </c>
      <c r="S13" s="10" t="str">
        <f t="shared" si="5"/>
        <v>LU000997.006</v>
      </c>
      <c r="T13" s="10" t="str">
        <f ca="1">IFERROR(__xludf.DUMMYFUNCTION("VLOOKUP(S13, IMPORTRANGE(""https://docs.google.com/spreadsheets/d/1yDAaXNsi4Mr5FtRQL4tbmSdIzhx6_m4wkOD7IG-k_eo/edit#gid=0"", ""Maths!M:N""), 2, FALSE)"),"#N/A")</f>
        <v>#N/A</v>
      </c>
      <c r="U13" s="11">
        <f ca="1">IFERROR(__xludf.DUMMYFUNCTION("ArrayFormula(VLOOKUP(G13, IMPORTRANGE(""https://docs.google.com/spreadsheets/d/1p7R4vtkWt5VOBim4ltsDG9KTzSjrtKXsMtQGXPHyND0/edit#gid=795171502"", ""'Filter 30_05_2024'!A1:M2000""), {2, 3, 4, 5,6,7,8,9,10,11,12,13}, 0))"),5)</f>
        <v>5</v>
      </c>
      <c r="V13" s="11">
        <f ca="1">IFERROR(__xludf.DUMMYFUNCTION("""COMPUTED_VALUE"""),6)</f>
        <v>6</v>
      </c>
      <c r="W13" s="11">
        <f ca="1">IFERROR(__xludf.DUMMYFUNCTION("""COMPUTED_VALUE"""),5)</f>
        <v>5</v>
      </c>
      <c r="X13" s="11">
        <f ca="1">IFERROR(__xludf.DUMMYFUNCTION("""COMPUTED_VALUE"""),16)</f>
        <v>16</v>
      </c>
      <c r="Y13" s="11">
        <f ca="1">IFERROR(__xludf.DUMMYFUNCTION("""COMPUTED_VALUE"""),4)</f>
        <v>4</v>
      </c>
      <c r="Z13" s="12">
        <f ca="1">IFERROR(__xludf.DUMMYFUNCTION("""COMPUTED_VALUE"""),3)</f>
        <v>3</v>
      </c>
      <c r="AA13" s="12">
        <f ca="1">IFERROR(__xludf.DUMMYFUNCTION("""COMPUTED_VALUE"""),1)</f>
        <v>1</v>
      </c>
      <c r="AB13" s="12">
        <f ca="1">IFERROR(__xludf.DUMMYFUNCTION("""COMPUTED_VALUE"""),8)</f>
        <v>8</v>
      </c>
      <c r="AC13" s="12"/>
      <c r="AD13" s="12"/>
      <c r="AE13" s="12"/>
      <c r="AF13" s="12"/>
      <c r="AG13" s="13" t="str">
        <f ca="1">IFERROR(__xludf.DUMMYFUNCTION("ArrayFormula(VLOOKUP(G13, IMPORTRANGE(""https://docs.google.com/spreadsheets/d/1Co934fvtviyaRiMsrIlT05Jaq7iiYq07aLvRr35KA48/edit?gid=173865642#gid=173865642"", ""'G7_Maths_Pri_LU'!G2:V2000""), {3, 4, 5, 6, 7, 8, 9, 10, 11, 12, 13, 14, 15, 16}, 0))"),"LU000958")</f>
        <v>LU000958</v>
      </c>
      <c r="AH13" s="13" t="str">
        <f ca="1">IFERROR(__xludf.DUMMYFUNCTION("""COMPUTED_VALUE"""),"Commutative property for multiplication of whole numbers")</f>
        <v>Commutative property for multiplication of whole numbers</v>
      </c>
      <c r="AI13" s="13" t="str">
        <f ca="1">IFERROR(__xludf.DUMMYFUNCTION("""COMPUTED_VALUE"""),"LU000355")</f>
        <v>LU000355</v>
      </c>
      <c r="AJ13" s="13" t="str">
        <f ca="1">IFERROR(__xludf.DUMMYFUNCTION("""COMPUTED_VALUE"""),"Multiplication of two integers")</f>
        <v>Multiplication of two integers</v>
      </c>
      <c r="AK13" s="13" t="str">
        <f ca="1">IFERROR(__xludf.DUMMYFUNCTION("""COMPUTED_VALUE"""),"LU000356")</f>
        <v>LU000356</v>
      </c>
      <c r="AL13" s="13" t="str">
        <f ca="1">IFERROR(__xludf.DUMMYFUNCTION("""COMPUTED_VALUE"""),"Multiplication of three or more negative integers")</f>
        <v>Multiplication of three or more negative integers</v>
      </c>
      <c r="AM13" s="13" t="str">
        <f ca="1">IFERROR(__xludf.DUMMYFUNCTION("""COMPUTED_VALUE"""),"LU000358")</f>
        <v>LU000358</v>
      </c>
      <c r="AN13" s="13" t="str">
        <f ca="1">IFERROR(__xludf.DUMMYFUNCTION("""COMPUTED_VALUE"""),"Multiplication by zero")</f>
        <v>Multiplication by zero</v>
      </c>
      <c r="AO13" s="13" t="str">
        <f ca="1">IFERROR(__xludf.DUMMYFUNCTION("""COMPUTED_VALUE"""),"LU000265")</f>
        <v>LU000265</v>
      </c>
      <c r="AP13" s="13" t="str">
        <f ca="1">IFERROR(__xludf.DUMMYFUNCTION("""COMPUTED_VALUE"""),"Definition of integers")</f>
        <v>Definition of integers</v>
      </c>
      <c r="AQ13" s="13"/>
      <c r="AR13" s="13"/>
      <c r="AS13" s="13"/>
      <c r="AT13" s="13"/>
    </row>
    <row r="14" spans="1:46">
      <c r="A14" s="8" t="s">
        <v>247</v>
      </c>
      <c r="B14" s="8" t="s">
        <v>47</v>
      </c>
      <c r="C14" s="8" t="s">
        <v>416</v>
      </c>
      <c r="D14" s="8" t="s">
        <v>49</v>
      </c>
      <c r="E14" s="8" t="s">
        <v>352</v>
      </c>
      <c r="F14" s="8" t="s">
        <v>434</v>
      </c>
      <c r="G14" s="8" t="s">
        <v>435</v>
      </c>
      <c r="H14" s="8" t="str">
        <f ca="1">IFERROR(__xludf.DUMMYFUNCTION("VLOOKUP(G14, IMPORTRANGE(""https://docs.google.com/spreadsheets/d/14deopnvwcrKtEGCKuYXdUHJbeLDZlkiSSWWT0g7x2pM/edit#gid=999382323"", ""LU List Maths (Filter)!A:B""), 2, FALSE)"),"Multiplicative identity of integers")</f>
        <v>Multiplicative identity of integers</v>
      </c>
      <c r="I14" s="10" t="str">
        <f t="shared" si="0"/>
        <v>LU000359.001</v>
      </c>
      <c r="J14" s="10" t="str">
        <f ca="1">IFERROR(__xludf.DUMMYFUNCTION("VLOOKUP(I14, IMPORTRANGE(""https://docs.google.com/spreadsheets/d/1yDAaXNsi4Mr5FtRQL4tbmSdIzhx6_m4wkOD7IG-k_eo/edit#gid=0"", ""Maths!M:N""), 2, FALSE)"),"Define the multiplicative identity of integers and its mathematical representation.")</f>
        <v>Define the multiplicative identity of integers and its mathematical representation.</v>
      </c>
      <c r="K14" s="10" t="str">
        <f t="shared" si="1"/>
        <v>LU000359.002</v>
      </c>
      <c r="L14" s="10" t="str">
        <f ca="1">IFERROR(__xludf.DUMMYFUNCTION("VLOOKUP(K14, IMPORTRANGE(""https://docs.google.com/spreadsheets/d/1yDAaXNsi4Mr5FtRQL4tbmSdIzhx6_m4wkOD7IG-k_eo/edit#gid=0"", ""Maths!M:N""), 2, FALSE)"),"Explain the concept of the multiplicative identity and its role in integer multiplication.")</f>
        <v>Explain the concept of the multiplicative identity and its role in integer multiplication.</v>
      </c>
      <c r="M14" s="10" t="str">
        <f t="shared" si="2"/>
        <v>LU000359.003</v>
      </c>
      <c r="N14" s="10" t="str">
        <f ca="1">IFERROR(__xludf.DUMMYFUNCTION("VLOOKUP(M14, IMPORTRANGE(""https://docs.google.com/spreadsheets/d/1yDAaXNsi4Mr5FtRQL4tbmSdIzhx6_m4wkOD7IG-k_eo/edit#gid=0"", ""Maths!M:N""), 2, FALSE)"),"Simplify the expression using the multiplicative identity property.")</f>
        <v>Simplify the expression using the multiplicative identity property.</v>
      </c>
      <c r="O14" s="10" t="str">
        <f t="shared" si="3"/>
        <v>LU000359.004</v>
      </c>
      <c r="P14" s="10" t="str">
        <f ca="1">IFERROR(__xludf.DUMMYFUNCTION("VLOOKUP(O14, IMPORTRANGE(""https://docs.google.com/spreadsheets/d/1yDAaXNsi4Mr5FtRQL4tbmSdIzhx6_m4wkOD7IG-k_eo/edit#gid=0"", ""Maths!M:N""), 2, FALSE)"),"Analyse a series of integer operations and identify instances where the multiplicative identity property is used.")</f>
        <v>Analyse a series of integer operations and identify instances where the multiplicative identity property is used.</v>
      </c>
      <c r="Q14" s="10" t="str">
        <f t="shared" si="4"/>
        <v>LU000359.005</v>
      </c>
      <c r="R14" s="10" t="str">
        <f ca="1">IFERROR(__xludf.DUMMYFUNCTION("VLOOKUP(Q14, IMPORTRANGE(""https://docs.google.com/spreadsheets/d/1yDAaXNsi4Mr5FtRQL4tbmSdIzhx6_m4wkOD7IG-k_eo/edit#gid=0"", ""Maths!M:N""), 2, FALSE)"),"Evaluate the correctness of a solution to a multiplication problem involving the multiplicative identity.")</f>
        <v>Evaluate the correctness of a solution to a multiplication problem involving the multiplicative identity.</v>
      </c>
      <c r="S14" s="10" t="str">
        <f t="shared" si="5"/>
        <v>LU000359.006</v>
      </c>
      <c r="T14" s="10" t="str">
        <f ca="1">IFERROR(__xludf.DUMMYFUNCTION("VLOOKUP(S14, IMPORTRANGE(""https://docs.google.com/spreadsheets/d/1yDAaXNsi4Mr5FtRQL4tbmSdIzhx6_m4wkOD7IG-k_eo/edit#gid=0"", ""Maths!M:N""), 2, FALSE)"),"Create a set of word problems that challenge students to incorporate the multiplicative identity property in scenarios")</f>
        <v>Create a set of word problems that challenge students to incorporate the multiplicative identity property in scenarios</v>
      </c>
      <c r="U14" s="11">
        <f ca="1">IFERROR(__xludf.DUMMYFUNCTION("ArrayFormula(VLOOKUP(G14, IMPORTRANGE(""https://docs.google.com/spreadsheets/d/1p7R4vtkWt5VOBim4ltsDG9KTzSjrtKXsMtQGXPHyND0/edit#gid=795171502"", ""'Filter 30_05_2024'!A1:M2000""), {2, 3, 4, 5,6,7,8,9,10,11,12,13}, 0))"),4)</f>
        <v>4</v>
      </c>
      <c r="V14" s="11">
        <f ca="1">IFERROR(__xludf.DUMMYFUNCTION("""COMPUTED_VALUE"""),7)</f>
        <v>7</v>
      </c>
      <c r="W14" s="11">
        <f ca="1">IFERROR(__xludf.DUMMYFUNCTION("""COMPUTED_VALUE"""),2)</f>
        <v>2</v>
      </c>
      <c r="X14" s="11">
        <f ca="1">IFERROR(__xludf.DUMMYFUNCTION("""COMPUTED_VALUE"""),13)</f>
        <v>13</v>
      </c>
      <c r="Y14" s="11">
        <f ca="1">IFERROR(__xludf.DUMMYFUNCTION("""COMPUTED_VALUE"""),4)</f>
        <v>4</v>
      </c>
      <c r="Z14" s="12">
        <f ca="1">IFERROR(__xludf.DUMMYFUNCTION("""COMPUTED_VALUE"""),2)</f>
        <v>2</v>
      </c>
      <c r="AA14" s="12">
        <f ca="1">IFERROR(__xludf.DUMMYFUNCTION("""COMPUTED_VALUE"""),1)</f>
        <v>1</v>
      </c>
      <c r="AB14" s="12">
        <f ca="1">IFERROR(__xludf.DUMMYFUNCTION("""COMPUTED_VALUE"""),7)</f>
        <v>7</v>
      </c>
      <c r="AC14" s="12"/>
      <c r="AD14" s="12"/>
      <c r="AE14" s="12"/>
      <c r="AF14" s="12"/>
      <c r="AG14" s="13" t="str">
        <f ca="1">IFERROR(__xludf.DUMMYFUNCTION("ArrayFormula(VLOOKUP(G14, IMPORTRANGE(""https://docs.google.com/spreadsheets/d/1Co934fvtviyaRiMsrIlT05Jaq7iiYq07aLvRr35KA48/edit?gid=173865642#gid=173865642"", ""'G7_Maths_Pri_LU'!G2:V2000""), {3, 4, 5, 6, 7, 8, 9, 10, 11, 12, 13, 14, 15, 16}, 0))"),"LU000190")</f>
        <v>LU000190</v>
      </c>
      <c r="AH14" s="13" t="str">
        <f ca="1">IFERROR(__xludf.DUMMYFUNCTION("""COMPUTED_VALUE"""),"Multiplicative identity of whole numbers")</f>
        <v>Multiplicative identity of whole numbers</v>
      </c>
      <c r="AI14" s="13" t="str">
        <f ca="1">IFERROR(__xludf.DUMMYFUNCTION("""COMPUTED_VALUE"""),"LU000355")</f>
        <v>LU000355</v>
      </c>
      <c r="AJ14" s="13" t="str">
        <f ca="1">IFERROR(__xludf.DUMMYFUNCTION("""COMPUTED_VALUE"""),"Multiplication of two integers")</f>
        <v>Multiplication of two integers</v>
      </c>
      <c r="AK14" s="13" t="str">
        <f ca="1">IFERROR(__xludf.DUMMYFUNCTION("""COMPUTED_VALUE"""),"LU000265")</f>
        <v>LU000265</v>
      </c>
      <c r="AL14" s="13" t="str">
        <f ca="1">IFERROR(__xludf.DUMMYFUNCTION("""COMPUTED_VALUE"""),"Definition of integers")</f>
        <v>Definition of integers</v>
      </c>
      <c r="AM14" s="13"/>
      <c r="AN14" s="13"/>
      <c r="AO14" s="13"/>
      <c r="AP14" s="13"/>
      <c r="AQ14" s="13"/>
      <c r="AR14" s="13"/>
      <c r="AS14" s="13"/>
      <c r="AT14" s="13"/>
    </row>
    <row r="15" spans="1:46">
      <c r="A15" s="8" t="s">
        <v>247</v>
      </c>
      <c r="B15" s="8" t="s">
        <v>47</v>
      </c>
      <c r="C15" s="8" t="s">
        <v>416</v>
      </c>
      <c r="D15" s="8" t="s">
        <v>49</v>
      </c>
      <c r="E15" s="8" t="s">
        <v>352</v>
      </c>
      <c r="F15" s="8" t="s">
        <v>434</v>
      </c>
      <c r="G15" s="8" t="s">
        <v>436</v>
      </c>
      <c r="H15" s="8" t="str">
        <f ca="1">IFERROR(__xludf.DUMMYFUNCTION("VLOOKUP(G15, IMPORTRANGE(""https://docs.google.com/spreadsheets/d/14deopnvwcrKtEGCKuYXdUHJbeLDZlkiSSWWT0g7x2pM/edit#gid=999382323"", ""LU List Maths (Filter)!A:B""), 2, FALSE)"),"Associative property for multiplication of integers")</f>
        <v>Associative property for multiplication of integers</v>
      </c>
      <c r="I15" s="10" t="str">
        <f t="shared" si="0"/>
        <v>LU001003.001</v>
      </c>
      <c r="J15" s="10" t="str">
        <f ca="1">IFERROR(__xludf.DUMMYFUNCTION("VLOOKUP(I15, IMPORTRANGE(""https://docs.google.com/spreadsheets/d/1yDAaXNsi4Mr5FtRQL4tbmSdIzhx6_m4wkOD7IG-k_eo/edit#gid=0"", ""Maths!M:N""), 2, FALSE)"),"Recall the statement of the associative property for multiplication of integers.")</f>
        <v>Recall the statement of the associative property for multiplication of integers.</v>
      </c>
      <c r="K15" s="10" t="str">
        <f t="shared" si="1"/>
        <v>LU001003.002</v>
      </c>
      <c r="L15" s="10" t="str">
        <f ca="1">IFERROR(__xludf.DUMMYFUNCTION("VLOOKUP(K15, IMPORTRANGE(""https://docs.google.com/spreadsheets/d/1yDAaXNsi4Mr5FtRQL4tbmSdIzhx6_m4wkOD7IG-k_eo/edit#gid=0"", ""Maths!M:N""), 2, FALSE)"),"Explain the concept of the associative property and its application to multiplication of integers.")</f>
        <v>Explain the concept of the associative property and its application to multiplication of integers.</v>
      </c>
      <c r="M15" s="10" t="str">
        <f t="shared" si="2"/>
        <v>LU001003.003</v>
      </c>
      <c r="N15" s="10" t="str">
        <f ca="1">IFERROR(__xludf.DUMMYFUNCTION("VLOOKUP(M15, IMPORTRANGE(""https://docs.google.com/spreadsheets/d/1yDAaXNsi4Mr5FtRQL4tbmSdIzhx6_m4wkOD7IG-k_eo/edit#gid=0"", ""Maths!M:N""), 2, FALSE)"),"Apply the associative property to re-group and simplify integer multiplication expressions.")</f>
        <v>Apply the associative property to re-group and simplify integer multiplication expressions.</v>
      </c>
      <c r="O15" s="10" t="str">
        <f t="shared" si="3"/>
        <v>LU001003.004</v>
      </c>
      <c r="P15" s="10" t="str">
        <f ca="1">IFERROR(__xludf.DUMMYFUNCTION("VLOOKUP(O15, IMPORTRANGE(""https://docs.google.com/spreadsheets/d/1yDAaXNsi4Mr5FtRQL4tbmSdIzhx6_m4wkOD7IG-k_eo/edit#gid=0"", ""Maths!M:N""), 2, FALSE)"),"Analyze mathematical equations to demonstrate the use of the associative property and how it affects the grouping of integers in multiplication.")</f>
        <v>Analyze mathematical equations to demonstrate the use of the associative property and how it affects the grouping of integers in multiplication.</v>
      </c>
      <c r="Q15" s="10" t="str">
        <f t="shared" si="4"/>
        <v>LU001003.005</v>
      </c>
      <c r="R15" s="10" t="str">
        <f ca="1">IFERROR(__xludf.DUMMYFUNCTION("VLOOKUP(Q15, IMPORTRANGE(""https://docs.google.com/spreadsheets/d/1yDAaXNsi4Mr5FtRQL4tbmSdIzhx6_m4wkOD7IG-k_eo/edit#gid=0"", ""Maths!M:N""), 2, FALSE)"),"Evaluate the correctness of solutions obtained using the associative property in integer multiplication problems and identify any errors.")</f>
        <v>Evaluate the correctness of solutions obtained using the associative property in integer multiplication problems and identify any errors.</v>
      </c>
      <c r="S15" s="10" t="str">
        <f t="shared" si="5"/>
        <v>LU001003.006</v>
      </c>
      <c r="T15" s="10" t="str">
        <f ca="1">IFERROR(__xludf.DUMMYFUNCTION("VLOOKUP(S15, IMPORTRANGE(""https://docs.google.com/spreadsheets/d/1yDAaXNsi4Mr5FtRQL4tbmSdIzhx6_m4wkOD7IG-k_eo/edit#gid=0"", ""Maths!M:N""), 2, FALSE)"),"#N/A")</f>
        <v>#N/A</v>
      </c>
      <c r="U15" s="11">
        <f ca="1">IFERROR(__xludf.DUMMYFUNCTION("ArrayFormula(VLOOKUP(G15, IMPORTRANGE(""https://docs.google.com/spreadsheets/d/1p7R4vtkWt5VOBim4ltsDG9KTzSjrtKXsMtQGXPHyND0/edit#gid=795171502"", ""'Filter 30_05_2024'!A1:M2000""), {2, 3, 4, 5,6,7,8,9,10,11,12,13}, 0))"),4)</f>
        <v>4</v>
      </c>
      <c r="V15" s="11">
        <f ca="1">IFERROR(__xludf.DUMMYFUNCTION("""COMPUTED_VALUE"""),11)</f>
        <v>11</v>
      </c>
      <c r="W15" s="11">
        <f ca="1">IFERROR(__xludf.DUMMYFUNCTION("""COMPUTED_VALUE"""),2)</f>
        <v>2</v>
      </c>
      <c r="X15" s="11">
        <f ca="1">IFERROR(__xludf.DUMMYFUNCTION("""COMPUTED_VALUE"""),17)</f>
        <v>17</v>
      </c>
      <c r="Y15" s="11">
        <f ca="1">IFERROR(__xludf.DUMMYFUNCTION("""COMPUTED_VALUE"""),4)</f>
        <v>4</v>
      </c>
      <c r="Z15" s="12">
        <f ca="1">IFERROR(__xludf.DUMMYFUNCTION("""COMPUTED_VALUE"""),6)</f>
        <v>6</v>
      </c>
      <c r="AA15" s="12">
        <f ca="1">IFERROR(__xludf.DUMMYFUNCTION("""COMPUTED_VALUE"""),1)</f>
        <v>1</v>
      </c>
      <c r="AB15" s="12">
        <f ca="1">IFERROR(__xludf.DUMMYFUNCTION("""COMPUTED_VALUE"""),11)</f>
        <v>11</v>
      </c>
      <c r="AC15" s="12"/>
      <c r="AD15" s="12"/>
      <c r="AE15" s="12"/>
      <c r="AF15" s="12"/>
      <c r="AG15" s="13" t="str">
        <f ca="1">IFERROR(__xludf.DUMMYFUNCTION("ArrayFormula(VLOOKUP(G15, IMPORTRANGE(""https://docs.google.com/spreadsheets/d/1Co934fvtviyaRiMsrIlT05Jaq7iiYq07aLvRr35KA48/edit?gid=173865642#gid=173865642"", ""'G7_Maths_Pri_LU'!G2:V2000""), {3, 4, 5, 6, 7, 8, 9, 10, 11, 12, 13, 14, 15, 16}, 0))"),"LU000962")</f>
        <v>LU000962</v>
      </c>
      <c r="AH15" s="13" t="str">
        <f ca="1">IFERROR(__xludf.DUMMYFUNCTION("""COMPUTED_VALUE"""),"Associative property for multiplication of whole numbers")</f>
        <v>Associative property for multiplication of whole numbers</v>
      </c>
      <c r="AI15" s="13" t="str">
        <f ca="1">IFERROR(__xludf.DUMMYFUNCTION("""COMPUTED_VALUE"""),"LU000356")</f>
        <v>LU000356</v>
      </c>
      <c r="AJ15" s="13" t="str">
        <f ca="1">IFERROR(__xludf.DUMMYFUNCTION("""COMPUTED_VALUE"""),"Multiplication of three or more negative integers")</f>
        <v>Multiplication of three or more negative integers</v>
      </c>
      <c r="AK15" s="13" t="str">
        <f ca="1">IFERROR(__xludf.DUMMYFUNCTION("""COMPUTED_VALUE"""),"LU000355")</f>
        <v>LU000355</v>
      </c>
      <c r="AL15" s="13" t="str">
        <f ca="1">IFERROR(__xludf.DUMMYFUNCTION("""COMPUTED_VALUE"""),"Multiplication of two integers")</f>
        <v>Multiplication of two integers</v>
      </c>
      <c r="AM15" s="13" t="str">
        <f ca="1">IFERROR(__xludf.DUMMYFUNCTION("""COMPUTED_VALUE"""),"LU000358")</f>
        <v>LU000358</v>
      </c>
      <c r="AN15" s="13" t="str">
        <f ca="1">IFERROR(__xludf.DUMMYFUNCTION("""COMPUTED_VALUE"""),"Multiplication by zero")</f>
        <v>Multiplication by zero</v>
      </c>
      <c r="AO15" s="13"/>
      <c r="AP15" s="13"/>
      <c r="AQ15" s="13"/>
      <c r="AR15" s="13"/>
      <c r="AS15" s="13"/>
      <c r="AT15" s="13"/>
    </row>
    <row r="16" spans="1:46">
      <c r="A16" s="8" t="s">
        <v>247</v>
      </c>
      <c r="B16" s="8" t="s">
        <v>47</v>
      </c>
      <c r="C16" s="8" t="s">
        <v>416</v>
      </c>
      <c r="D16" s="8" t="s">
        <v>49</v>
      </c>
      <c r="E16" s="8" t="s">
        <v>352</v>
      </c>
      <c r="F16" s="8" t="s">
        <v>437</v>
      </c>
      <c r="G16" s="8" t="s">
        <v>438</v>
      </c>
      <c r="H16" s="8" t="str">
        <f ca="1">IFERROR(__xludf.DUMMYFUNCTION("VLOOKUP(G16, IMPORTRANGE(""https://docs.google.com/spreadsheets/d/14deopnvwcrKtEGCKuYXdUHJbeLDZlkiSSWWT0g7x2pM/edit#gid=999382323"", ""LU List Maths (Filter)!A:B""), 2, FALSE)"),"Distributive property of multiplication over addition of integers")</f>
        <v>Distributive property of multiplication over addition of integers</v>
      </c>
      <c r="I16" s="10" t="str">
        <f t="shared" si="0"/>
        <v>LU000999.001</v>
      </c>
      <c r="J16" s="10" t="str">
        <f ca="1">IFERROR(__xludf.DUMMYFUNCTION("VLOOKUP(I16, IMPORTRANGE(""https://docs.google.com/spreadsheets/d/1yDAaXNsi4Mr5FtRQL4tbmSdIzhx6_m4wkOD7IG-k_eo/edit#gid=0"", ""Maths!M:N""), 2, FALSE)"),"Recall the statement of the distributive property of multiplication over addition for integers.")</f>
        <v>Recall the statement of the distributive property of multiplication over addition for integers.</v>
      </c>
      <c r="K16" s="10" t="str">
        <f t="shared" si="1"/>
        <v>LU000999.002</v>
      </c>
      <c r="L16" s="10" t="str">
        <f ca="1">IFERROR(__xludf.DUMMYFUNCTION("VLOOKUP(K16, IMPORTRANGE(""https://docs.google.com/spreadsheets/d/1yDAaXNsi4Mr5FtRQL4tbmSdIzhx6_m4wkOD7IG-k_eo/edit#gid=0"", ""Maths!M:N""), 2, FALSE)"),"Explain the concept of the distributive property and how it applies to the multiplication of integers over addition.")</f>
        <v>Explain the concept of the distributive property and how it applies to the multiplication of integers over addition.</v>
      </c>
      <c r="M16" s="10" t="str">
        <f t="shared" si="2"/>
        <v>LU000999.003</v>
      </c>
      <c r="N16" s="10" t="str">
        <f ca="1">IFERROR(__xludf.DUMMYFUNCTION("VLOOKUP(M16, IMPORTRANGE(""https://docs.google.com/spreadsheets/d/1yDAaXNsi4Mr5FtRQL4tbmSdIzhx6_m4wkOD7IG-k_eo/edit#gid=0"", ""Maths!M:N""), 2, FALSE)"),"Apply the distributive property to simplify and evaluate mathematical expressions involving multiplication and addition of integers.")</f>
        <v>Apply the distributive property to simplify and evaluate mathematical expressions involving multiplication and addition of integers.</v>
      </c>
      <c r="O16" s="10" t="str">
        <f t="shared" si="3"/>
        <v>LU000999.004</v>
      </c>
      <c r="P16" s="10" t="str">
        <f ca="1">IFERROR(__xludf.DUMMYFUNCTION("VLOOKUP(O16, IMPORTRANGE(""https://docs.google.com/spreadsheets/d/1yDAaXNsi4Mr5FtRQL4tbmSdIzhx6_m4wkOD7IG-k_eo/edit#gid=0"", ""Maths!M:N""), 2, FALSE)"),"Analyze mathematical equations to demonstrate the use of the distributive property and its effect on integer expressions.")</f>
        <v>Analyze mathematical equations to demonstrate the use of the distributive property and its effect on integer expressions.</v>
      </c>
      <c r="Q16" s="10" t="str">
        <f t="shared" si="4"/>
        <v>LU000999.005</v>
      </c>
      <c r="R16" s="10" t="str">
        <f ca="1">IFERROR(__xludf.DUMMYFUNCTION("VLOOKUP(Q16, IMPORTRANGE(""https://docs.google.com/spreadsheets/d/1yDAaXNsi4Mr5FtRQL4tbmSdIzhx6_m4wkOD7IG-k_eo/edit#gid=0"", ""Maths!M:N""), 2, FALSE)"),"Evaluate the correctness of solutions obtained using the distributive property in integer calculations and identify errors if any.")</f>
        <v>Evaluate the correctness of solutions obtained using the distributive property in integer calculations and identify errors if any.</v>
      </c>
      <c r="S16" s="10" t="str">
        <f t="shared" si="5"/>
        <v>LU000999.006</v>
      </c>
      <c r="T16" s="10" t="str">
        <f ca="1">IFERROR(__xludf.DUMMYFUNCTION("VLOOKUP(S16, IMPORTRANGE(""https://docs.google.com/spreadsheets/d/1yDAaXNsi4Mr5FtRQL4tbmSdIzhx6_m4wkOD7IG-k_eo/edit#gid=0"", ""Maths!M:N""), 2, FALSE)"),"#N/A")</f>
        <v>#N/A</v>
      </c>
      <c r="U16" s="11">
        <f ca="1">IFERROR(__xludf.DUMMYFUNCTION("ArrayFormula(VLOOKUP(G16, IMPORTRANGE(""https://docs.google.com/spreadsheets/d/1p7R4vtkWt5VOBim4ltsDG9KTzSjrtKXsMtQGXPHyND0/edit#gid=795171502"", ""'Filter 30_05_2024'!A1:M2000""), {2, 3, 4, 5,6,7,8,9,10,11,12,13}, 0))"),6)</f>
        <v>6</v>
      </c>
      <c r="V16" s="11">
        <f ca="1">IFERROR(__xludf.DUMMYFUNCTION("""COMPUTED_VALUE"""),8)</f>
        <v>8</v>
      </c>
      <c r="W16" s="11">
        <f ca="1">IFERROR(__xludf.DUMMYFUNCTION("""COMPUTED_VALUE"""),2)</f>
        <v>2</v>
      </c>
      <c r="X16" s="11">
        <f ca="1">IFERROR(__xludf.DUMMYFUNCTION("""COMPUTED_VALUE"""),16)</f>
        <v>16</v>
      </c>
      <c r="Y16" s="11">
        <f ca="1">IFERROR(__xludf.DUMMYFUNCTION("""COMPUTED_VALUE"""),4)</f>
        <v>4</v>
      </c>
      <c r="Z16" s="12">
        <f ca="1">IFERROR(__xludf.DUMMYFUNCTION("""COMPUTED_VALUE"""),4)</f>
        <v>4</v>
      </c>
      <c r="AA16" s="12">
        <f ca="1">IFERROR(__xludf.DUMMYFUNCTION("""COMPUTED_VALUE"""),1)</f>
        <v>1</v>
      </c>
      <c r="AB16" s="12">
        <f ca="1">IFERROR(__xludf.DUMMYFUNCTION("""COMPUTED_VALUE"""),9)</f>
        <v>9</v>
      </c>
      <c r="AC16" s="12"/>
      <c r="AD16" s="12"/>
      <c r="AE16" s="12"/>
      <c r="AF16" s="12"/>
      <c r="AG16" s="13" t="str">
        <f ca="1">IFERROR(__xludf.DUMMYFUNCTION("ArrayFormula(VLOOKUP(G16, IMPORTRANGE(""https://docs.google.com/spreadsheets/d/1Co934fvtviyaRiMsrIlT05Jaq7iiYq07aLvRr35KA48/edit?gid=173865642#gid=173865642"", ""'G7_Maths_Pri_LU'!G2:V2000""), {3, 4, 5, 6, 7, 8, 9, 10, 11, 12, 13, 14, 15, 16}, 0))"),"LU000964")</f>
        <v>LU000964</v>
      </c>
      <c r="AH16" s="13" t="str">
        <f ca="1">IFERROR(__xludf.DUMMYFUNCTION("""COMPUTED_VALUE"""),"Distributive property of multiplication over addition of whole number")</f>
        <v>Distributive property of multiplication over addition of whole number</v>
      </c>
      <c r="AI16" s="13" t="str">
        <f ca="1">IFERROR(__xludf.DUMMYFUNCTION("""COMPUTED_VALUE"""),"LU000355")</f>
        <v>LU000355</v>
      </c>
      <c r="AJ16" s="13" t="str">
        <f ca="1">IFERROR(__xludf.DUMMYFUNCTION("""COMPUTED_VALUE"""),"Multiplication of two integers")</f>
        <v>Multiplication of two integers</v>
      </c>
      <c r="AK16" s="13" t="str">
        <f ca="1">IFERROR(__xludf.DUMMYFUNCTION("""COMPUTED_VALUE"""),"LU000271")</f>
        <v>LU000271</v>
      </c>
      <c r="AL16" s="13" t="str">
        <f ca="1">IFERROR(__xludf.DUMMYFUNCTION("""COMPUTED_VALUE"""),"Addition of integers using rules of signs")</f>
        <v>Addition of integers using rules of signs</v>
      </c>
      <c r="AM16" s="13"/>
      <c r="AN16" s="13"/>
      <c r="AO16" s="13"/>
      <c r="AP16" s="13"/>
      <c r="AQ16" s="13"/>
      <c r="AR16" s="13"/>
      <c r="AS16" s="13"/>
      <c r="AT16" s="13"/>
    </row>
    <row r="17" spans="1:46">
      <c r="A17" s="8" t="s">
        <v>247</v>
      </c>
      <c r="B17" s="8" t="s">
        <v>47</v>
      </c>
      <c r="C17" s="8" t="s">
        <v>416</v>
      </c>
      <c r="D17" s="8" t="s">
        <v>49</v>
      </c>
      <c r="E17" s="8" t="s">
        <v>352</v>
      </c>
      <c r="F17" s="8" t="s">
        <v>437</v>
      </c>
      <c r="G17" s="8" t="s">
        <v>439</v>
      </c>
      <c r="H17" s="8" t="str">
        <f ca="1">IFERROR(__xludf.DUMMYFUNCTION("VLOOKUP(G17, IMPORTRANGE(""https://docs.google.com/spreadsheets/d/14deopnvwcrKtEGCKuYXdUHJbeLDZlkiSSWWT0g7x2pM/edit#gid=999382323"", ""LU List Maths (Filter)!A:B""), 2, FALSE)"),"Distributive property of multiplication over subtraction of integers")</f>
        <v>Distributive property of multiplication over subtraction of integers</v>
      </c>
      <c r="I17" s="10" t="str">
        <f t="shared" si="0"/>
        <v>LU001000.001</v>
      </c>
      <c r="J17" s="10" t="str">
        <f ca="1">IFERROR(__xludf.DUMMYFUNCTION("VLOOKUP(I17, IMPORTRANGE(""https://docs.google.com/spreadsheets/d/1yDAaXNsi4Mr5FtRQL4tbmSdIzhx6_m4wkOD7IG-k_eo/edit#gid=0"", ""Maths!M:N""), 2, FALSE)"),"Recall the statement of the distributive property of multiplication over subtraction for integers.")</f>
        <v>Recall the statement of the distributive property of multiplication over subtraction for integers.</v>
      </c>
      <c r="K17" s="10" t="str">
        <f t="shared" si="1"/>
        <v>LU001000.002</v>
      </c>
      <c r="L17" s="10" t="str">
        <f ca="1">IFERROR(__xludf.DUMMYFUNCTION("VLOOKUP(K17, IMPORTRANGE(""https://docs.google.com/spreadsheets/d/1yDAaXNsi4Mr5FtRQL4tbmSdIzhx6_m4wkOD7IG-k_eo/edit#gid=0"", ""Maths!M:N""), 2, FALSE)"),"Explain the concept of the distributive property and its application to the multiplication of integers over subtraction.")</f>
        <v>Explain the concept of the distributive property and its application to the multiplication of integers over subtraction.</v>
      </c>
      <c r="M17" s="10" t="str">
        <f t="shared" si="2"/>
        <v>LU001000.003</v>
      </c>
      <c r="N17" s="10" t="str">
        <f ca="1">IFERROR(__xludf.DUMMYFUNCTION("VLOOKUP(M17, IMPORTRANGE(""https://docs.google.com/spreadsheets/d/1yDAaXNsi4Mr5FtRQL4tbmSdIzhx6_m4wkOD7IG-k_eo/edit#gid=0"", ""Maths!M:N""), 2, FALSE)"),"Apply the distributive property to simplify and evaluate mathematical expressions involving multiplication and subtraction of integers.")</f>
        <v>Apply the distributive property to simplify and evaluate mathematical expressions involving multiplication and subtraction of integers.</v>
      </c>
      <c r="O17" s="10" t="str">
        <f t="shared" si="3"/>
        <v>LU001000.004</v>
      </c>
      <c r="P17" s="10" t="str">
        <f ca="1">IFERROR(__xludf.DUMMYFUNCTION("VLOOKUP(O17, IMPORTRANGE(""https://docs.google.com/spreadsheets/d/1yDAaXNsi4Mr5FtRQL4tbmSdIzhx6_m4wkOD7IG-k_eo/edit#gid=0"", ""Maths!M:N""), 2, FALSE)"),"Analyze mathematical equations to demonstrate the use of the distributive property and its effect on integer expressions involving subtraction.")</f>
        <v>Analyze mathematical equations to demonstrate the use of the distributive property and its effect on integer expressions involving subtraction.</v>
      </c>
      <c r="Q17" s="10" t="str">
        <f t="shared" si="4"/>
        <v>LU001000.005</v>
      </c>
      <c r="R17" s="10" t="str">
        <f ca="1">IFERROR(__xludf.DUMMYFUNCTION("VLOOKUP(Q17, IMPORTRANGE(""https://docs.google.com/spreadsheets/d/1yDAaXNsi4Mr5FtRQL4tbmSdIzhx6_m4wkOD7IG-k_eo/edit#gid=0"", ""Maths!M:N""), 2, FALSE)"),"Evaluate the correctness of solutions obtained using the distributive property in integer calculations with subtraction and identify any errors.")</f>
        <v>Evaluate the correctness of solutions obtained using the distributive property in integer calculations with subtraction and identify any errors.</v>
      </c>
      <c r="S17" s="10" t="str">
        <f t="shared" si="5"/>
        <v>LU001000.006</v>
      </c>
      <c r="T17" s="10" t="str">
        <f ca="1">IFERROR(__xludf.DUMMYFUNCTION("VLOOKUP(S17, IMPORTRANGE(""https://docs.google.com/spreadsheets/d/1yDAaXNsi4Mr5FtRQL4tbmSdIzhx6_m4wkOD7IG-k_eo/edit#gid=0"", ""Maths!M:N""), 2, FALSE)"),"#N/A")</f>
        <v>#N/A</v>
      </c>
      <c r="U17" s="11">
        <f ca="1">IFERROR(__xludf.DUMMYFUNCTION("ArrayFormula(VLOOKUP(G17, IMPORTRANGE(""https://docs.google.com/spreadsheets/d/1p7R4vtkWt5VOBim4ltsDG9KTzSjrtKXsMtQGXPHyND0/edit#gid=795171502"", ""'Filter 30_05_2024'!A1:M2000""), {2, 3, 4, 5,6,7,8,9,10,11,12,13}, 0))"),5)</f>
        <v>5</v>
      </c>
      <c r="V17" s="11">
        <f ca="1">IFERROR(__xludf.DUMMYFUNCTION("""COMPUTED_VALUE"""),6)</f>
        <v>6</v>
      </c>
      <c r="W17" s="11">
        <f ca="1">IFERROR(__xludf.DUMMYFUNCTION("""COMPUTED_VALUE"""),2)</f>
        <v>2</v>
      </c>
      <c r="X17" s="11">
        <f ca="1">IFERROR(__xludf.DUMMYFUNCTION("""COMPUTED_VALUE"""),13)</f>
        <v>13</v>
      </c>
      <c r="Y17" s="11">
        <f ca="1">IFERROR(__xludf.DUMMYFUNCTION("""COMPUTED_VALUE"""),4)</f>
        <v>4</v>
      </c>
      <c r="Z17" s="12">
        <f ca="1">IFERROR(__xludf.DUMMYFUNCTION("""COMPUTED_VALUE"""),3)</f>
        <v>3</v>
      </c>
      <c r="AA17" s="12">
        <f ca="1">IFERROR(__xludf.DUMMYFUNCTION("""COMPUTED_VALUE"""),1)</f>
        <v>1</v>
      </c>
      <c r="AB17" s="12">
        <f ca="1">IFERROR(__xludf.DUMMYFUNCTION("""COMPUTED_VALUE"""),8)</f>
        <v>8</v>
      </c>
      <c r="AC17" s="12"/>
      <c r="AD17" s="12">
        <f ca="1">IFERROR(__xludf.DUMMYFUNCTION("""COMPUTED_VALUE"""),1)</f>
        <v>1</v>
      </c>
      <c r="AE17" s="12"/>
      <c r="AF17" s="12">
        <f ca="1">IFERROR(__xludf.DUMMYFUNCTION("""COMPUTED_VALUE"""),1)</f>
        <v>1</v>
      </c>
      <c r="AG17" s="13" t="str">
        <f ca="1">IFERROR(__xludf.DUMMYFUNCTION("ArrayFormula(VLOOKUP(G17, IMPORTRANGE(""https://docs.google.com/spreadsheets/d/1Co934fvtviyaRiMsrIlT05Jaq7iiYq07aLvRr35KA48/edit?gid=173865642#gid=173865642"", ""'G7_Maths_Pri_LU'!G2:V2000""), {3, 4, 5, 6, 7, 8, 9, 10, 11, 12, 13, 14, 15, 16}, 0))"),"LU000965")</f>
        <v>LU000965</v>
      </c>
      <c r="AH17" s="13" t="str">
        <f ca="1">IFERROR(__xludf.DUMMYFUNCTION("""COMPUTED_VALUE"""),"Distributive property of multiplication over subtraction of whole number")</f>
        <v>Distributive property of multiplication over subtraction of whole number</v>
      </c>
      <c r="AI17" s="13" t="str">
        <f ca="1">IFERROR(__xludf.DUMMYFUNCTION("""COMPUTED_VALUE"""),"LU000355")</f>
        <v>LU000355</v>
      </c>
      <c r="AJ17" s="13" t="str">
        <f ca="1">IFERROR(__xludf.DUMMYFUNCTION("""COMPUTED_VALUE"""),"Multiplication of two integers")</f>
        <v>Multiplication of two integers</v>
      </c>
      <c r="AK17" s="13" t="str">
        <f ca="1">IFERROR(__xludf.DUMMYFUNCTION("""COMPUTED_VALUE"""),"LU000272")</f>
        <v>LU000272</v>
      </c>
      <c r="AL17" s="13" t="str">
        <f ca="1">IFERROR(__xludf.DUMMYFUNCTION("""COMPUTED_VALUE"""),"Subtraction of integers using rules of signs")</f>
        <v>Subtraction of integers using rules of signs</v>
      </c>
      <c r="AM17" s="13"/>
      <c r="AN17" s="13"/>
      <c r="AO17" s="13"/>
      <c r="AP17" s="13"/>
      <c r="AQ17" s="13"/>
      <c r="AR17" s="13"/>
      <c r="AS17" s="13"/>
      <c r="AT17" s="13"/>
    </row>
    <row r="18" spans="1:46">
      <c r="A18" s="8" t="s">
        <v>247</v>
      </c>
      <c r="B18" s="8" t="s">
        <v>47</v>
      </c>
      <c r="C18" s="8" t="s">
        <v>416</v>
      </c>
      <c r="D18" s="8" t="s">
        <v>49</v>
      </c>
      <c r="E18" s="8" t="s">
        <v>352</v>
      </c>
      <c r="F18" s="8" t="s">
        <v>440</v>
      </c>
      <c r="G18" s="8" t="s">
        <v>441</v>
      </c>
      <c r="H18" s="8" t="str">
        <f ca="1">IFERROR(__xludf.DUMMYFUNCTION("VLOOKUP(G18, IMPORTRANGE(""https://docs.google.com/spreadsheets/d/14deopnvwcrKtEGCKuYXdUHJbeLDZlkiSSWWT0g7x2pM/edit#gid=999382323"", ""LU List Maths (Filter)!A:B""), 2, FALSE)"),"Division of integers by non zero integer")</f>
        <v>Division of integers by non zero integer</v>
      </c>
      <c r="I18" s="10" t="str">
        <f t="shared" si="0"/>
        <v>LU000361.001</v>
      </c>
      <c r="J18" s="10" t="str">
        <f ca="1">IFERROR(__xludf.DUMMYFUNCTION("VLOOKUP(I18, IMPORTRANGE(""https://docs.google.com/spreadsheets/d/1yDAaXNsi4Mr5FtRQL4tbmSdIzhx6_m4wkOD7IG-k_eo/edit#gid=0"", ""Maths!M:N""), 2, FALSE)"),"List the rules deduced from multiplication of integers for dividing integers with like and unlike signs.")</f>
        <v>List the rules deduced from multiplication of integers for dividing integers with like and unlike signs.</v>
      </c>
      <c r="K18" s="10" t="str">
        <f t="shared" si="1"/>
        <v>LU000361.002</v>
      </c>
      <c r="L18" s="10" t="str">
        <f ca="1">IFERROR(__xludf.DUMMYFUNCTION("VLOOKUP(K18, IMPORTRANGE(""https://docs.google.com/spreadsheets/d/1yDAaXNsi4Mr5FtRQL4tbmSdIzhx6_m4wkOD7IG-k_eo/edit#gid=0"", ""Maths!M:N""), 2, FALSE)"),"Explain the process of dividing an integer with non-zero integer.")</f>
        <v>Explain the process of dividing an integer with non-zero integer.</v>
      </c>
      <c r="M18" s="10" t="str">
        <f t="shared" si="2"/>
        <v>LU000361.003</v>
      </c>
      <c r="N18" s="10" t="str">
        <f ca="1">IFERROR(__xludf.DUMMYFUNCTION("VLOOKUP(M18, IMPORTRANGE(""https://docs.google.com/spreadsheets/d/1yDAaXNsi4Mr5FtRQL4tbmSdIzhx6_m4wkOD7IG-k_eo/edit#gid=0"", ""Maths!M:N""), 2, FALSE)"),"Solve a word problem that involves dividing integers to distribute resources among a group.")</f>
        <v>Solve a word problem that involves dividing integers to distribute resources among a group.</v>
      </c>
      <c r="O18" s="10" t="str">
        <f t="shared" si="3"/>
        <v>LU000361.004</v>
      </c>
      <c r="P18" s="10" t="str">
        <f ca="1">IFERROR(__xludf.DUMMYFUNCTION("VLOOKUP(O18, IMPORTRANGE(""https://docs.google.com/spreadsheets/d/1yDAaXNsi4Mr5FtRQL4tbmSdIzhx6_m4wkOD7IG-k_eo/edit#gid=0"", ""Maths!M:N""), 2, FALSE)"),"Analyse a set of division expressions and identify errors in calculations.")</f>
        <v>Analyse a set of division expressions and identify errors in calculations.</v>
      </c>
      <c r="Q18" s="10" t="str">
        <f t="shared" si="4"/>
        <v>LU000361.005</v>
      </c>
      <c r="R18" s="10" t="str">
        <f ca="1">IFERROR(__xludf.DUMMYFUNCTION("VLOOKUP(Q18, IMPORTRANGE(""https://docs.google.com/spreadsheets/d/1yDAaXNsi4Mr5FtRQL4tbmSdIzhx6_m4wkOD7IG-k_eo/edit#gid=0"", ""Maths!M:N""), 2, FALSE)"),"Evaluate the solution methods used in solving division of integer problems and determine their accuracy.")</f>
        <v>Evaluate the solution methods used in solving division of integer problems and determine their accuracy.</v>
      </c>
      <c r="S18" s="10" t="str">
        <f t="shared" si="5"/>
        <v>LU000361.006</v>
      </c>
      <c r="T18" s="10" t="str">
        <f ca="1">IFERROR(__xludf.DUMMYFUNCTION("VLOOKUP(S18, IMPORTRANGE(""https://docs.google.com/spreadsheets/d/1yDAaXNsi4Mr5FtRQL4tbmSdIzhx6_m4wkOD7IG-k_eo/edit#gid=0"", ""Maths!M:N""), 2, FALSE)"),"Design a set of word problems that requires to apply division of integers creatively.")</f>
        <v>Design a set of word problems that requires to apply division of integers creatively.</v>
      </c>
      <c r="U18" s="11">
        <f ca="1">IFERROR(__xludf.DUMMYFUNCTION("ArrayFormula(VLOOKUP(G18, IMPORTRANGE(""https://docs.google.com/spreadsheets/d/1p7R4vtkWt5VOBim4ltsDG9KTzSjrtKXsMtQGXPHyND0/edit#gid=795171502"", ""'Filter 30_05_2024'!A1:M2000""), {2, 3, 4, 5,6,7,8,9,10,11,12,13}, 0))"),11)</f>
        <v>11</v>
      </c>
      <c r="V18" s="11">
        <f ca="1">IFERROR(__xludf.DUMMYFUNCTION("""COMPUTED_VALUE"""),14)</f>
        <v>14</v>
      </c>
      <c r="W18" s="11">
        <f ca="1">IFERROR(__xludf.DUMMYFUNCTION("""COMPUTED_VALUE"""),11)</f>
        <v>11</v>
      </c>
      <c r="X18" s="11">
        <f ca="1">IFERROR(__xludf.DUMMYFUNCTION("""COMPUTED_VALUE"""),36)</f>
        <v>36</v>
      </c>
      <c r="Y18" s="11">
        <f ca="1">IFERROR(__xludf.DUMMYFUNCTION("""COMPUTED_VALUE"""),9)</f>
        <v>9</v>
      </c>
      <c r="Z18" s="12">
        <f ca="1">IFERROR(__xludf.DUMMYFUNCTION("""COMPUTED_VALUE"""),3)</f>
        <v>3</v>
      </c>
      <c r="AA18" s="12">
        <f ca="1">IFERROR(__xludf.DUMMYFUNCTION("""COMPUTED_VALUE"""),4)</f>
        <v>4</v>
      </c>
      <c r="AB18" s="12">
        <f ca="1">IFERROR(__xludf.DUMMYFUNCTION("""COMPUTED_VALUE"""),16)</f>
        <v>16</v>
      </c>
      <c r="AC18" s="12"/>
      <c r="AD18" s="12"/>
      <c r="AE18" s="12"/>
      <c r="AF18" s="12"/>
      <c r="AG18" s="13" t="str">
        <f ca="1">IFERROR(__xludf.DUMMYFUNCTION("ArrayFormula(VLOOKUP(G18, IMPORTRANGE(""https://docs.google.com/spreadsheets/d/1Co934fvtviyaRiMsrIlT05Jaq7iiYq07aLvRr35KA48/edit?gid=173865642#gid=173865642"", ""'G7_Maths_Pri_LU'!G2:V2000""), {3, 4, 5, 6, 7, 8, 9, 10, 11, 12, 13, 14, 15, 16}, 0))"),"LU000121")</f>
        <v>LU000121</v>
      </c>
      <c r="AH18" s="13" t="str">
        <f ca="1">IFERROR(__xludf.DUMMYFUNCTION("""COMPUTED_VALUE"""),"Division of five-digit numbers by one-digit/two-digit/three-digit/four-digit numbers using standard algorithms")</f>
        <v>Division of five-digit numbers by one-digit/two-digit/three-digit/four-digit numbers using standard algorithms</v>
      </c>
      <c r="AI18" s="13" t="str">
        <f ca="1">IFERROR(__xludf.DUMMYFUNCTION("""COMPUTED_VALUE"""),"LU000267")</f>
        <v>LU000267</v>
      </c>
      <c r="AJ18" s="13" t="str">
        <f ca="1">IFERROR(__xludf.DUMMYFUNCTION("""COMPUTED_VALUE"""),"Definition of negative integers")</f>
        <v>Definition of negative integers</v>
      </c>
      <c r="AK18" s="13" t="str">
        <f ca="1">IFERROR(__xludf.DUMMYFUNCTION("""COMPUTED_VALUE"""),"LU000272")</f>
        <v>LU000272</v>
      </c>
      <c r="AL18" s="13" t="str">
        <f ca="1">IFERROR(__xludf.DUMMYFUNCTION("""COMPUTED_VALUE"""),"Subtraction of integers using rules of signs")</f>
        <v>Subtraction of integers using rules of signs</v>
      </c>
      <c r="AM18" s="13"/>
      <c r="AN18" s="13"/>
      <c r="AO18" s="13"/>
      <c r="AP18" s="13"/>
      <c r="AQ18" s="13"/>
      <c r="AR18" s="13"/>
      <c r="AS18" s="13"/>
      <c r="AT18" s="13"/>
    </row>
    <row r="19" spans="1:46">
      <c r="A19" s="8" t="s">
        <v>247</v>
      </c>
      <c r="B19" s="8" t="s">
        <v>47</v>
      </c>
      <c r="C19" s="8" t="s">
        <v>416</v>
      </c>
      <c r="D19" s="8" t="s">
        <v>49</v>
      </c>
      <c r="E19" s="8" t="s">
        <v>352</v>
      </c>
      <c r="F19" s="8" t="s">
        <v>440</v>
      </c>
      <c r="G19" s="8" t="s">
        <v>442</v>
      </c>
      <c r="H19" s="8" t="str">
        <f ca="1">IFERROR(__xludf.DUMMYFUNCTION("VLOOKUP(G19, IMPORTRANGE(""https://docs.google.com/spreadsheets/d/14deopnvwcrKtEGCKuYXdUHJbeLDZlkiSSWWT0g7x2pM/edit#gid=999382323"", ""LU List Maths (Filter)!A:B""), 2, FALSE)"),"Division of integers by one")</f>
        <v>Division of integers by one</v>
      </c>
      <c r="I19" s="10" t="str">
        <f t="shared" si="0"/>
        <v>LU000363.001</v>
      </c>
      <c r="J19" s="10" t="str">
        <f ca="1">IFERROR(__xludf.DUMMYFUNCTION("VLOOKUP(I19, IMPORTRANGE(""https://docs.google.com/spreadsheets/d/1yDAaXNsi4Mr5FtRQL4tbmSdIzhx6_m4wkOD7IG-k_eo/edit#gid=0"", ""Maths!M:N""), 2, FALSE)"),"State the result of dividing any integer by 1.")</f>
        <v>State the result of dividing any integer by 1.</v>
      </c>
      <c r="K19" s="10" t="str">
        <f t="shared" si="1"/>
        <v>LU000363.002</v>
      </c>
      <c r="L19" s="10" t="str">
        <f ca="1">IFERROR(__xludf.DUMMYFUNCTION("VLOOKUP(K19, IMPORTRANGE(""https://docs.google.com/spreadsheets/d/1yDAaXNsi4Mr5FtRQL4tbmSdIzhx6_m4wkOD7IG-k_eo/edit#gid=0"", ""Maths!M:N""), 2, FALSE)"),"Explain why dividing an integer by 1 results in the integer itself and how this concept is applied.")</f>
        <v>Explain why dividing an integer by 1 results in the integer itself and how this concept is applied.</v>
      </c>
      <c r="M19" s="10" t="str">
        <f t="shared" si="2"/>
        <v>LU000363.003</v>
      </c>
      <c r="N19" s="10" t="str">
        <f ca="1">IFERROR(__xludf.DUMMYFUNCTION("VLOOKUP(M19, IMPORTRANGE(""https://docs.google.com/spreadsheets/d/1yDAaXNsi4Mr5FtRQL4tbmSdIzhx6_m4wkOD7IG-k_eo/edit#gid=0"", ""Maths!M:N""), 2, FALSE)"),"Apply the concept of division by 1 to simplify expressions involving integers.")</f>
        <v>Apply the concept of division by 1 to simplify expressions involving integers.</v>
      </c>
      <c r="O19" s="10" t="str">
        <f t="shared" si="3"/>
        <v>LU000363.004</v>
      </c>
      <c r="P19" s="10" t="str">
        <f ca="1">IFERROR(__xludf.DUMMYFUNCTION("VLOOKUP(O19, IMPORTRANGE(""https://docs.google.com/spreadsheets/d/1yDAaXNsi4Mr5FtRQL4tbmSdIzhx6_m4wkOD7IG-k_eo/edit#gid=0"", ""Maths!M:N""), 2, FALSE)"),"Analyse a set of division expressions involving division by 1 and identify its effect.")</f>
        <v>Analyse a set of division expressions involving division by 1 and identify its effect.</v>
      </c>
      <c r="Q19" s="10" t="str">
        <f t="shared" si="4"/>
        <v>LU000363.005</v>
      </c>
      <c r="R19" s="10" t="str">
        <f ca="1">IFERROR(__xludf.DUMMYFUNCTION("VLOOKUP(Q19, IMPORTRANGE(""https://docs.google.com/spreadsheets/d/1yDAaXNsi4Mr5FtRQL4tbmSdIzhx6_m4wkOD7IG-k_eo/edit#gid=0"", ""Maths!M:N""), 2, FALSE)"),"Evaluate the application of division by 1 in a solution to a division problem.")</f>
        <v>Evaluate the application of division by 1 in a solution to a division problem.</v>
      </c>
      <c r="S19" s="10" t="str">
        <f t="shared" si="5"/>
        <v>LU000363.006</v>
      </c>
      <c r="T19" s="10" t="str">
        <f ca="1">IFERROR(__xludf.DUMMYFUNCTION("VLOOKUP(S19, IMPORTRANGE(""https://docs.google.com/spreadsheets/d/1yDAaXNsi4Mr5FtRQL4tbmSdIzhx6_m4wkOD7IG-k_eo/edit#gid=0"", ""Maths!M:N""), 2, FALSE)"),"#N/A")</f>
        <v>#N/A</v>
      </c>
      <c r="U19" s="11">
        <f ca="1">IFERROR(__xludf.DUMMYFUNCTION("ArrayFormula(VLOOKUP(G19, IMPORTRANGE(""https://docs.google.com/spreadsheets/d/1p7R4vtkWt5VOBim4ltsDG9KTzSjrtKXsMtQGXPHyND0/edit#gid=795171502"", ""'Filter 30_05_2024'!A1:M2000""), {2, 3, 4, 5,6,7,8,9,10,11,12,13}, 0))"),4)</f>
        <v>4</v>
      </c>
      <c r="V19" s="11">
        <f ca="1">IFERROR(__xludf.DUMMYFUNCTION("""COMPUTED_VALUE"""),6)</f>
        <v>6</v>
      </c>
      <c r="W19" s="11">
        <f ca="1">IFERROR(__xludf.DUMMYFUNCTION("""COMPUTED_VALUE"""),2)</f>
        <v>2</v>
      </c>
      <c r="X19" s="11">
        <f ca="1">IFERROR(__xludf.DUMMYFUNCTION("""COMPUTED_VALUE"""),12)</f>
        <v>12</v>
      </c>
      <c r="Y19" s="11">
        <f ca="1">IFERROR(__xludf.DUMMYFUNCTION("""COMPUTED_VALUE"""),4)</f>
        <v>4</v>
      </c>
      <c r="Z19" s="12">
        <f ca="1">IFERROR(__xludf.DUMMYFUNCTION("""COMPUTED_VALUE"""),3)</f>
        <v>3</v>
      </c>
      <c r="AA19" s="12">
        <f ca="1">IFERROR(__xludf.DUMMYFUNCTION("""COMPUTED_VALUE"""),1)</f>
        <v>1</v>
      </c>
      <c r="AB19" s="12">
        <f ca="1">IFERROR(__xludf.DUMMYFUNCTION("""COMPUTED_VALUE"""),8)</f>
        <v>8</v>
      </c>
      <c r="AC19" s="12"/>
      <c r="AD19" s="12"/>
      <c r="AE19" s="12"/>
      <c r="AF19" s="12"/>
      <c r="AG19" s="13" t="str">
        <f ca="1">IFERROR(__xludf.DUMMYFUNCTION("ArrayFormula(VLOOKUP(G19, IMPORTRANGE(""https://docs.google.com/spreadsheets/d/1Co934fvtviyaRiMsrIlT05Jaq7iiYq07aLvRr35KA48/edit?gid=173865642#gid=173865642"", ""'G7_Maths_Pri_LU'!G2:V2000""), {3, 4, 5, 6, 7, 8, 9, 10, 11, 12, 13, 14, 15, 16}, 0))"),"LU000361")</f>
        <v>LU000361</v>
      </c>
      <c r="AH19" s="13" t="str">
        <f ca="1">IFERROR(__xludf.DUMMYFUNCTION("""COMPUTED_VALUE"""),"Division of integers by non zero integer")</f>
        <v>Division of integers by non zero integer</v>
      </c>
      <c r="AI19" s="13" t="str">
        <f ca="1">IFERROR(__xludf.DUMMYFUNCTION("""COMPUTED_VALUE"""),"LU000265")</f>
        <v>LU000265</v>
      </c>
      <c r="AJ19" s="13" t="str">
        <f ca="1">IFERROR(__xludf.DUMMYFUNCTION("""COMPUTED_VALUE"""),"Definition of integers")</f>
        <v>Definition of integers</v>
      </c>
      <c r="AK19" s="13"/>
      <c r="AL19" s="13"/>
      <c r="AM19" s="13"/>
      <c r="AN19" s="13"/>
      <c r="AO19" s="13"/>
      <c r="AP19" s="13"/>
      <c r="AQ19" s="13"/>
      <c r="AR19" s="13"/>
      <c r="AS19" s="13"/>
      <c r="AT19" s="13"/>
    </row>
    <row r="20" spans="1:46">
      <c r="A20" s="8" t="s">
        <v>247</v>
      </c>
      <c r="B20" s="8" t="s">
        <v>47</v>
      </c>
      <c r="C20" s="8" t="s">
        <v>416</v>
      </c>
      <c r="D20" s="8" t="s">
        <v>49</v>
      </c>
      <c r="E20" s="8" t="s">
        <v>352</v>
      </c>
      <c r="F20" s="8" t="s">
        <v>443</v>
      </c>
      <c r="G20" s="8" t="s">
        <v>444</v>
      </c>
      <c r="H20" s="8" t="str">
        <f ca="1">IFERROR(__xludf.DUMMYFUNCTION("VLOOKUP(G20, IMPORTRANGE(""https://docs.google.com/spreadsheets/d/14deopnvwcrKtEGCKuYXdUHJbeLDZlkiSSWWT0g7x2pM/edit#gid=999382323"", ""LU List Maths (Filter)!A:B""), 2, FALSE)"),"Division of integers by zero")</f>
        <v>Division of integers by zero</v>
      </c>
      <c r="I20" s="10" t="str">
        <f t="shared" si="0"/>
        <v>LU000364.001</v>
      </c>
      <c r="J20" s="10" t="str">
        <f ca="1">IFERROR(__xludf.DUMMYFUNCTION("VLOOKUP(I20, IMPORTRANGE(""https://docs.google.com/spreadsheets/d/1yDAaXNsi4Mr5FtRQL4tbmSdIzhx6_m4wkOD7IG-k_eo/edit#gid=0"", ""Maths!M:N""), 2, FALSE)"),"State the rule that division of any integer by 0 is not defined.")</f>
        <v>State the rule that division of any integer by 0 is not defined.</v>
      </c>
      <c r="K20" s="10" t="str">
        <f t="shared" si="1"/>
        <v>LU000364.002</v>
      </c>
      <c r="L20" s="10" t="str">
        <f ca="1">IFERROR(__xludf.DUMMYFUNCTION("VLOOKUP(K20, IMPORTRANGE(""https://docs.google.com/spreadsheets/d/1yDAaXNsi4Mr5FtRQL4tbmSdIzhx6_m4wkOD7IG-k_eo/edit#gid=0"", ""Maths!M:N""), 2, FALSE)"),"Explain why division of integers by 0 is not defined and the concept of ""undefined"" in mathematics.")</f>
        <v>Explain why division of integers by 0 is not defined and the concept of "undefined" in mathematics.</v>
      </c>
      <c r="M20" s="10" t="str">
        <f t="shared" si="2"/>
        <v>LU000364.003</v>
      </c>
      <c r="N20" s="10" t="str">
        <f ca="1">IFERROR(__xludf.DUMMYFUNCTION("VLOOKUP(M20, IMPORTRANGE(""https://docs.google.com/spreadsheets/d/1yDAaXNsi4Mr5FtRQL4tbmSdIzhx6_m4wkOD7IG-k_eo/edit#gid=0"", ""Maths!M:N""), 2, FALSE)"),"Apply the understanding of division by 0 to identify and explain instances where division by 0 is encountered.")</f>
        <v>Apply the understanding of division by 0 to identify and explain instances where division by 0 is encountered.</v>
      </c>
      <c r="O20" s="10" t="str">
        <f t="shared" si="3"/>
        <v>LU000364.004</v>
      </c>
      <c r="P20" s="10" t="str">
        <f ca="1">IFERROR(__xludf.DUMMYFUNCTION("VLOOKUP(O20, IMPORTRANGE(""https://docs.google.com/spreadsheets/d/1yDAaXNsi4Mr5FtRQL4tbmSdIzhx6_m4wkOD7IG-k_eo/edit#gid=0"", ""Maths!M:N""), 2, FALSE)"),"Analyse a set of mathematical expressions involving division by 0 and explain the implications.")</f>
        <v>Analyse a set of mathematical expressions involving division by 0 and explain the implications.</v>
      </c>
      <c r="Q20" s="10" t="str">
        <f t="shared" si="4"/>
        <v>LU000364.005</v>
      </c>
      <c r="R20" s="10" t="str">
        <f ca="1">IFERROR(__xludf.DUMMYFUNCTION("VLOOKUP(Q20, IMPORTRANGE(""https://docs.google.com/spreadsheets/d/1yDAaXNsi4Mr5FtRQL4tbmSdIzhx6_m4wkOD7IG-k_eo/edit#gid=0"", ""Maths!M:N""), 2, FALSE)"),"Evaluate the application of division by 0 in a solution to a problem and provide feedback on the error.")</f>
        <v>Evaluate the application of division by 0 in a solution to a problem and provide feedback on the error.</v>
      </c>
      <c r="S20" s="10" t="str">
        <f t="shared" si="5"/>
        <v>LU000364.006</v>
      </c>
      <c r="T20" s="10" t="str">
        <f ca="1">IFERROR(__xludf.DUMMYFUNCTION("VLOOKUP(S20, IMPORTRANGE(""https://docs.google.com/spreadsheets/d/1yDAaXNsi4Mr5FtRQL4tbmSdIzhx6_m4wkOD7IG-k_eo/edit#gid=0"", ""Maths!M:N""), 2, FALSE)"),"Construct a creative visual representation or infographic that illustrates why division by 0 is not defined.")</f>
        <v>Construct a creative visual representation or infographic that illustrates why division by 0 is not defined.</v>
      </c>
      <c r="U20" s="11">
        <f ca="1">IFERROR(__xludf.DUMMYFUNCTION("ArrayFormula(VLOOKUP(G20, IMPORTRANGE(""https://docs.google.com/spreadsheets/d/1p7R4vtkWt5VOBim4ltsDG9KTzSjrtKXsMtQGXPHyND0/edit#gid=795171502"", ""'Filter 30_05_2024'!A1:M2000""), {2, 3, 4, 5,6,7,8,9,10,11,12,13}, 0))"),4)</f>
        <v>4</v>
      </c>
      <c r="V20" s="11">
        <f ca="1">IFERROR(__xludf.DUMMYFUNCTION("""COMPUTED_VALUE"""),3)</f>
        <v>3</v>
      </c>
      <c r="W20" s="11">
        <f ca="1">IFERROR(__xludf.DUMMYFUNCTION("""COMPUTED_VALUE"""),2)</f>
        <v>2</v>
      </c>
      <c r="X20" s="11">
        <f ca="1">IFERROR(__xludf.DUMMYFUNCTION("""COMPUTED_VALUE"""),9)</f>
        <v>9</v>
      </c>
      <c r="Y20" s="11">
        <f ca="1">IFERROR(__xludf.DUMMYFUNCTION("""COMPUTED_VALUE"""),4)</f>
        <v>4</v>
      </c>
      <c r="Z20" s="12">
        <f ca="1">IFERROR(__xludf.DUMMYFUNCTION("""COMPUTED_VALUE"""),6)</f>
        <v>6</v>
      </c>
      <c r="AA20" s="12">
        <f ca="1">IFERROR(__xludf.DUMMYFUNCTION("""COMPUTED_VALUE"""),1)</f>
        <v>1</v>
      </c>
      <c r="AB20" s="12">
        <f ca="1">IFERROR(__xludf.DUMMYFUNCTION("""COMPUTED_VALUE"""),11)</f>
        <v>11</v>
      </c>
      <c r="AC20" s="12"/>
      <c r="AD20" s="12"/>
      <c r="AE20" s="12"/>
      <c r="AF20" s="12"/>
      <c r="AG20" s="13" t="str">
        <f ca="1">IFERROR(__xludf.DUMMYFUNCTION("ArrayFormula(VLOOKUP(G20, IMPORTRANGE(""https://docs.google.com/spreadsheets/d/1Co934fvtviyaRiMsrIlT05Jaq7iiYq07aLvRr35KA48/edit?gid=173865642#gid=173865642"", ""'G7_Maths_Pri_LU'!G2:V2000""), {3, 4, 5, 6, 7, 8, 9, 10, 11, 12, 13, 14, 15, 16}, 0))"),"LU000361")</f>
        <v>LU000361</v>
      </c>
      <c r="AH20" s="13" t="str">
        <f ca="1">IFERROR(__xludf.DUMMYFUNCTION("""COMPUTED_VALUE"""),"Division of integers by non zero integer")</f>
        <v>Division of integers by non zero integer</v>
      </c>
      <c r="AI20" s="13" t="str">
        <f ca="1">IFERROR(__xludf.DUMMYFUNCTION("""COMPUTED_VALUE"""),"LU000265")</f>
        <v>LU000265</v>
      </c>
      <c r="AJ20" s="13" t="str">
        <f ca="1">IFERROR(__xludf.DUMMYFUNCTION("""COMPUTED_VALUE"""),"Definition of integers")</f>
        <v>Definition of integers</v>
      </c>
      <c r="AK20" s="13"/>
      <c r="AL20" s="13"/>
      <c r="AM20" s="13"/>
      <c r="AN20" s="13"/>
      <c r="AO20" s="13"/>
      <c r="AP20" s="13"/>
      <c r="AQ20" s="13"/>
      <c r="AR20" s="13"/>
      <c r="AS20" s="13"/>
      <c r="AT20" s="13"/>
    </row>
    <row r="21" spans="1:46">
      <c r="A21" s="8" t="s">
        <v>247</v>
      </c>
      <c r="B21" s="8" t="s">
        <v>47</v>
      </c>
      <c r="C21" s="8" t="s">
        <v>416</v>
      </c>
      <c r="D21" s="8" t="s">
        <v>49</v>
      </c>
      <c r="E21" s="8" t="s">
        <v>352</v>
      </c>
      <c r="F21" s="8" t="s">
        <v>443</v>
      </c>
      <c r="G21" s="8" t="s">
        <v>445</v>
      </c>
      <c r="H21" s="8" t="str">
        <f ca="1">IFERROR(__xludf.DUMMYFUNCTION("VLOOKUP(G21, IMPORTRANGE(""https://docs.google.com/spreadsheets/d/14deopnvwcrKtEGCKuYXdUHJbeLDZlkiSSWWT0g7x2pM/edit#gid=999382323"", ""LU List Maths (Filter)!A:B""), 2, FALSE)"),"Division of zero by any non-zero integer")</f>
        <v>Division of zero by any non-zero integer</v>
      </c>
      <c r="I21" s="10" t="str">
        <f t="shared" si="0"/>
        <v>LU000365.001</v>
      </c>
      <c r="J21" s="10" t="str">
        <f ca="1">IFERROR(__xludf.DUMMYFUNCTION("VLOOKUP(I21, IMPORTRANGE(""https://docs.google.com/spreadsheets/d/1yDAaXNsi4Mr5FtRQL4tbmSdIzhx6_m4wkOD7IG-k_eo/edit#gid=0"", ""Maths!M:N""), 2, FALSE)"),"State the rule that division of 0 by any non-zero integer is 0.")</f>
        <v>State the rule that division of 0 by any non-zero integer is 0.</v>
      </c>
      <c r="K21" s="10" t="str">
        <f t="shared" si="1"/>
        <v>LU000365.002</v>
      </c>
      <c r="L21" s="10" t="str">
        <f ca="1">IFERROR(__xludf.DUMMYFUNCTION("VLOOKUP(K21, IMPORTRANGE(""https://docs.google.com/spreadsheets/d/1yDAaXNsi4Mr5FtRQL4tbmSdIzhx6_m4wkOD7IG-k_eo/edit#gid=0"", ""Maths!M:N""), 2, FALSE)"),"Explain why division of 0 by any non-zero integer results in 0.")</f>
        <v>Explain why division of 0 by any non-zero integer results in 0.</v>
      </c>
      <c r="M21" s="10" t="str">
        <f t="shared" si="2"/>
        <v>LU000365.003</v>
      </c>
      <c r="N21" s="10" t="str">
        <f ca="1">IFERROR(__xludf.DUMMYFUNCTION("VLOOKUP(M21, IMPORTRANGE(""https://docs.google.com/spreadsheets/d/1yDAaXNsi4Mr5FtRQL4tbmSdIzhx6_m4wkOD7IG-k_eo/edit#gid=0"", ""Maths!M:N""), 2, FALSE)"),"Solve word problems that requires dividing 0 by a non-zero integer to find the resulting quotient.")</f>
        <v>Solve word problems that requires dividing 0 by a non-zero integer to find the resulting quotient.</v>
      </c>
      <c r="O21" s="10" t="str">
        <f t="shared" si="3"/>
        <v>LU000365.004</v>
      </c>
      <c r="P21" s="10" t="str">
        <f ca="1">IFERROR(__xludf.DUMMYFUNCTION("VLOOKUP(O21, IMPORTRANGE(""https://docs.google.com/spreadsheets/d/1yDAaXNsi4Mr5FtRQL4tbmSdIzhx6_m4wkOD7IG-k_eo/edit#gid=0"", ""Maths!M:N""), 2, FALSE)"),"Analyse a set of mathematical expressions involving division of 0 by non-zero integers and explain the consistent result.")</f>
        <v>Analyse a set of mathematical expressions involving division of 0 by non-zero integers and explain the consistent result.</v>
      </c>
      <c r="Q21" s="10" t="str">
        <f t="shared" si="4"/>
        <v>LU000365.005</v>
      </c>
      <c r="R21" s="10" t="str">
        <f ca="1">IFERROR(__xludf.DUMMYFUNCTION("VLOOKUP(Q21, IMPORTRANGE(""https://docs.google.com/spreadsheets/d/1yDAaXNsi4Mr5FtRQL4tbmSdIzhx6_m4wkOD7IG-k_eo/edit#gid=0"", ""Maths!M:N""), 2, FALSE)"),"Evaluate the application of division of 0 by non-zero integers in a solution and provide feedback.")</f>
        <v>Evaluate the application of division of 0 by non-zero integers in a solution and provide feedback.</v>
      </c>
      <c r="S21" s="10" t="str">
        <f t="shared" si="5"/>
        <v>LU000365.006</v>
      </c>
      <c r="T21" s="10" t="str">
        <f ca="1">IFERROR(__xludf.DUMMYFUNCTION("VLOOKUP(S21, IMPORTRANGE(""https://docs.google.com/spreadsheets/d/1yDAaXNsi4Mr5FtRQL4tbmSdIzhx6_m4wkOD7IG-k_eo/edit#gid=0"", ""Maths!M:N""), 2, FALSE)"),"#N/A")</f>
        <v>#N/A</v>
      </c>
      <c r="U21" s="11">
        <f ca="1">IFERROR(__xludf.DUMMYFUNCTION("ArrayFormula(VLOOKUP(G21, IMPORTRANGE(""https://docs.google.com/spreadsheets/d/1p7R4vtkWt5VOBim4ltsDG9KTzSjrtKXsMtQGXPHyND0/edit#gid=795171502"", ""'Filter 30_05_2024'!A1:M2000""), {2, 3, 4, 5,6,7,8,9,10,11,12,13}, 0))"),4)</f>
        <v>4</v>
      </c>
      <c r="V21" s="11">
        <f ca="1">IFERROR(__xludf.DUMMYFUNCTION("""COMPUTED_VALUE"""),6)</f>
        <v>6</v>
      </c>
      <c r="W21" s="11">
        <f ca="1">IFERROR(__xludf.DUMMYFUNCTION("""COMPUTED_VALUE"""),2)</f>
        <v>2</v>
      </c>
      <c r="X21" s="11">
        <f ca="1">IFERROR(__xludf.DUMMYFUNCTION("""COMPUTED_VALUE"""),12)</f>
        <v>12</v>
      </c>
      <c r="Y21" s="11">
        <f ca="1">IFERROR(__xludf.DUMMYFUNCTION("""COMPUTED_VALUE"""),4)</f>
        <v>4</v>
      </c>
      <c r="Z21" s="12">
        <f ca="1">IFERROR(__xludf.DUMMYFUNCTION("""COMPUTED_VALUE"""),3)</f>
        <v>3</v>
      </c>
      <c r="AA21" s="12">
        <f ca="1">IFERROR(__xludf.DUMMYFUNCTION("""COMPUTED_VALUE"""),1)</f>
        <v>1</v>
      </c>
      <c r="AB21" s="12">
        <f ca="1">IFERROR(__xludf.DUMMYFUNCTION("""COMPUTED_VALUE"""),8)</f>
        <v>8</v>
      </c>
      <c r="AC21" s="12"/>
      <c r="AD21" s="12"/>
      <c r="AE21" s="12"/>
      <c r="AF21" s="12"/>
      <c r="AG21" s="13" t="str">
        <f ca="1">IFERROR(__xludf.DUMMYFUNCTION("ArrayFormula(VLOOKUP(G21, IMPORTRANGE(""https://docs.google.com/spreadsheets/d/1Co934fvtviyaRiMsrIlT05Jaq7iiYq07aLvRr35KA48/edit?gid=173865642#gid=173865642"", ""'G7_Maths_Pri_LU'!G2:V2000""), {3, 4, 5, 6, 7, 8, 9, 10, 11, 12, 13, 14, 15, 16}, 0))"),"LU000361")</f>
        <v>LU000361</v>
      </c>
      <c r="AH21" s="13" t="str">
        <f ca="1">IFERROR(__xludf.DUMMYFUNCTION("""COMPUTED_VALUE"""),"Division of integers by non zero integer")</f>
        <v>Division of integers by non zero integer</v>
      </c>
      <c r="AI21" s="13" t="str">
        <f ca="1">IFERROR(__xludf.DUMMYFUNCTION("""COMPUTED_VALUE"""),"LU000265")</f>
        <v>LU000265</v>
      </c>
      <c r="AJ21" s="13" t="str">
        <f ca="1">IFERROR(__xludf.DUMMYFUNCTION("""COMPUTED_VALUE"""),"Definition of integers")</f>
        <v>Definition of integers</v>
      </c>
      <c r="AK21" s="13"/>
      <c r="AL21" s="13"/>
      <c r="AM21" s="13"/>
      <c r="AN21" s="13"/>
      <c r="AO21" s="13"/>
      <c r="AP21" s="13"/>
      <c r="AQ21" s="13"/>
      <c r="AR21" s="13"/>
      <c r="AS21" s="13"/>
      <c r="AT21" s="13"/>
    </row>
    <row r="22" spans="1:46">
      <c r="A22" s="8" t="s">
        <v>247</v>
      </c>
      <c r="B22" s="8" t="s">
        <v>47</v>
      </c>
      <c r="C22" s="8" t="s">
        <v>416</v>
      </c>
      <c r="D22" s="8" t="s">
        <v>49</v>
      </c>
      <c r="E22" s="8" t="s">
        <v>352</v>
      </c>
      <c r="F22" s="8" t="s">
        <v>446</v>
      </c>
      <c r="G22" s="8" t="s">
        <v>447</v>
      </c>
      <c r="H22" s="40" t="str">
        <f ca="1">IFERROR(__xludf.DUMMYFUNCTION("VLOOKUP(G22, IMPORTRANGE(""https://docs.google.com/spreadsheets/d/14deopnvwcrKtEGCKuYXdUHJbeLDZlkiSSWWT0g7x2pM/edit#gid=999382323"", ""LU List Maths (Filter)!A:B""), 2, FALSE)"),"Examination of closure property for division of integers")</f>
        <v>Examination of closure property for division of integers</v>
      </c>
      <c r="I22" s="41" t="str">
        <f t="shared" si="0"/>
        <v>LU000994.001</v>
      </c>
      <c r="J22" s="41" t="str">
        <f ca="1">IFERROR(__xludf.DUMMYFUNCTION("VLOOKUP(I22, IMPORTRANGE(""https://docs.google.com/spreadsheets/d/1yDAaXNsi4Mr5FtRQL4tbmSdIzhx6_m4wkOD7IG-k_eo/edit#gid=0"", ""Maths!M:N""), 2, FALSE)"),"State that the closure property does not always hold for the division of integers.")</f>
        <v>State that the closure property does not always hold for the division of integers.</v>
      </c>
      <c r="K22" s="41" t="str">
        <f t="shared" si="1"/>
        <v>LU000994.002</v>
      </c>
      <c r="L22" s="41" t="str">
        <f ca="1">IFERROR(__xludf.DUMMYFUNCTION("VLOOKUP(K22, IMPORTRANGE(""https://docs.google.com/spreadsheets/d/1yDAaXNsi4Mr5FtRQL4tbmSdIzhx6_m4wkOD7IG-k_eo/edit#gid=0"", ""Maths!M:N""), 2, FALSE)"),"Explain why the closure property may or may not hold for the division of integers.")</f>
        <v>Explain why the closure property may or may not hold for the division of integers.</v>
      </c>
      <c r="M22" s="41" t="str">
        <f t="shared" si="2"/>
        <v>LU000994.003</v>
      </c>
      <c r="N22" s="41" t="str">
        <f ca="1">IFERROR(__xludf.DUMMYFUNCTION("VLOOKUP(M22, IMPORTRANGE(""https://docs.google.com/spreadsheets/d/1yDAaXNsi4Mr5FtRQL4tbmSdIzhx6_m4wkOD7IG-k_eo/edit#gid=0"", ""Maths!M:N""), 2, FALSE)"),"Identify examples where division of integers does not maintain the closure property.")</f>
        <v>Identify examples where division of integers does not maintain the closure property.</v>
      </c>
      <c r="O22" s="41" t="str">
        <f t="shared" si="3"/>
        <v>LU000994.004</v>
      </c>
      <c r="P22" s="41" t="str">
        <f ca="1">IFERROR(__xludf.DUMMYFUNCTION("VLOOKUP(O22, IMPORTRANGE(""https://docs.google.com/spreadsheets/d/1yDAaXNsi4Mr5FtRQL4tbmSdIzhx6_m4wkOD7IG-k_eo/edit#gid=0"", ""Maths!M:N""), 2, FALSE)"),"Analyse a range of division problems to determine when the closure property fails.")</f>
        <v>Analyse a range of division problems to determine when the closure property fails.</v>
      </c>
      <c r="Q22" s="10" t="str">
        <f t="shared" si="4"/>
        <v>LU000994.005</v>
      </c>
      <c r="R22" s="10" t="str">
        <f ca="1">IFERROR(__xludf.DUMMYFUNCTION("VLOOKUP(Q22, IMPORTRANGE(""https://docs.google.com/spreadsheets/d/1yDAaXNsi4Mr5FtRQL4tbmSdIzhx6_m4wkOD7IG-k_eo/edit#gid=0"", ""Maths!M:N""), 2, FALSE)"),"Evaluate the correctness of statements regarding the closure property and its non-applicability in integer division.")</f>
        <v>Evaluate the correctness of statements regarding the closure property and its non-applicability in integer division.</v>
      </c>
      <c r="S22" s="10" t="str">
        <f t="shared" si="5"/>
        <v>LU000994.006</v>
      </c>
      <c r="T22" s="10" t="str">
        <f ca="1">IFERROR(__xludf.DUMMYFUNCTION("VLOOKUP(S22, IMPORTRANGE(""https://docs.google.com/spreadsheets/d/1yDAaXNsi4Mr5FtRQL4tbmSdIzhx6_m4wkOD7IG-k_eo/edit#gid=0"", ""Maths!M:N""), 2, FALSE)"),"#N/A")</f>
        <v>#N/A</v>
      </c>
      <c r="U22" s="11">
        <f ca="1">IFERROR(__xludf.DUMMYFUNCTION("ArrayFormula(VLOOKUP(G22, IMPORTRANGE(""https://docs.google.com/spreadsheets/d/1p7R4vtkWt5VOBim4ltsDG9KTzSjrtKXsMtQGXPHyND0/edit#gid=795171502"", ""'Filter 30_05_2024'!A1:M2000""), {2, 3, 4, 5,6,7,8,9,10,11,12,13}, 0))"),3)</f>
        <v>3</v>
      </c>
      <c r="V22" s="11">
        <f ca="1">IFERROR(__xludf.DUMMYFUNCTION("""COMPUTED_VALUE"""),6)</f>
        <v>6</v>
      </c>
      <c r="W22" s="11">
        <f ca="1">IFERROR(__xludf.DUMMYFUNCTION("""COMPUTED_VALUE"""),2)</f>
        <v>2</v>
      </c>
      <c r="X22" s="11">
        <f ca="1">IFERROR(__xludf.DUMMYFUNCTION("""COMPUTED_VALUE"""),11)</f>
        <v>11</v>
      </c>
      <c r="Y22" s="11">
        <f ca="1">IFERROR(__xludf.DUMMYFUNCTION("""COMPUTED_VALUE"""),6)</f>
        <v>6</v>
      </c>
      <c r="Z22" s="12">
        <f ca="1">IFERROR(__xludf.DUMMYFUNCTION("""COMPUTED_VALUE"""),3)</f>
        <v>3</v>
      </c>
      <c r="AA22" s="12">
        <f ca="1">IFERROR(__xludf.DUMMYFUNCTION("""COMPUTED_VALUE"""),1)</f>
        <v>1</v>
      </c>
      <c r="AB22" s="12">
        <f ca="1">IFERROR(__xludf.DUMMYFUNCTION("""COMPUTED_VALUE"""),10)</f>
        <v>10</v>
      </c>
      <c r="AC22" s="12"/>
      <c r="AD22" s="12"/>
      <c r="AE22" s="12"/>
      <c r="AF22" s="12"/>
      <c r="AG22" s="13" t="str">
        <f ca="1">IFERROR(__xludf.DUMMYFUNCTION("ArrayFormula(VLOOKUP(G22, IMPORTRANGE(""https://docs.google.com/spreadsheets/d/1Co934fvtviyaRiMsrIlT05Jaq7iiYq07aLvRr35KA48/edit?gid=173865642#gid=173865642"", ""'G7_Maths_Pri_LU'!G2:V2000""), {3, 4, 5, 6, 7, 8, 9, 10, 11, 12, 13, 14, 15, 16}, 0))"),"LU000955")</f>
        <v>LU000955</v>
      </c>
      <c r="AH22" s="13" t="str">
        <f ca="1">IFERROR(__xludf.DUMMYFUNCTION("""COMPUTED_VALUE"""),"Examination of closure property for division of whole numbers")</f>
        <v>Examination of closure property for division of whole numbers</v>
      </c>
      <c r="AI22" s="13" t="str">
        <f ca="1">IFERROR(__xludf.DUMMYFUNCTION("""COMPUTED_VALUE"""),"LU000364")</f>
        <v>LU000364</v>
      </c>
      <c r="AJ22" s="13" t="str">
        <f ca="1">IFERROR(__xludf.DUMMYFUNCTION("""COMPUTED_VALUE"""),"Division of integers by zero")</f>
        <v>Division of integers by zero</v>
      </c>
      <c r="AK22" s="13" t="str">
        <f ca="1">IFERROR(__xludf.DUMMYFUNCTION("""COMPUTED_VALUE"""),"LU000361")</f>
        <v>LU000361</v>
      </c>
      <c r="AL22" s="13" t="str">
        <f ca="1">IFERROR(__xludf.DUMMYFUNCTION("""COMPUTED_VALUE"""),"Division of integers by non zero integer")</f>
        <v>Division of integers by non zero integer</v>
      </c>
      <c r="AM22" s="13" t="str">
        <f ca="1">IFERROR(__xludf.DUMMYFUNCTION("""COMPUTED_VALUE"""),"LU000365")</f>
        <v>LU000365</v>
      </c>
      <c r="AN22" s="13" t="str">
        <f ca="1">IFERROR(__xludf.DUMMYFUNCTION("""COMPUTED_VALUE"""),"Division of zero by any non-zero integer")</f>
        <v>Division of zero by any non-zero integer</v>
      </c>
      <c r="AO22" s="13"/>
      <c r="AP22" s="13"/>
      <c r="AQ22" s="13"/>
      <c r="AR22" s="13"/>
      <c r="AS22" s="13"/>
      <c r="AT22" s="13"/>
    </row>
    <row r="23" spans="1:46">
      <c r="A23" s="8" t="s">
        <v>247</v>
      </c>
      <c r="B23" s="8" t="s">
        <v>47</v>
      </c>
      <c r="C23" s="8" t="s">
        <v>416</v>
      </c>
      <c r="D23" s="8" t="s">
        <v>49</v>
      </c>
      <c r="E23" s="8" t="s">
        <v>352</v>
      </c>
      <c r="F23" s="8" t="s">
        <v>446</v>
      </c>
      <c r="G23" s="8" t="s">
        <v>448</v>
      </c>
      <c r="H23" s="40" t="str">
        <f ca="1">IFERROR(__xludf.DUMMYFUNCTION("VLOOKUP(G23, IMPORTRANGE(""https://docs.google.com/spreadsheets/d/14deopnvwcrKtEGCKuYXdUHJbeLDZlkiSSWWT0g7x2pM/edit#gid=999382323"", ""LU List Maths (Filter)!A:B""), 2, FALSE)"),"Examination of commutative property for division of integers")</f>
        <v>Examination of commutative property for division of integers</v>
      </c>
      <c r="I23" s="10" t="str">
        <f t="shared" si="0"/>
        <v>LU000998.001</v>
      </c>
      <c r="J23" s="10" t="str">
        <f ca="1">IFERROR(__xludf.DUMMYFUNCTION("VLOOKUP(I23, IMPORTRANGE(""https://docs.google.com/spreadsheets/d/1yDAaXNsi4Mr5FtRQL4tbmSdIzhx6_m4wkOD7IG-k_eo/edit#gid=0"", ""Maths!M:N""), 2, FALSE)"),"Recall that the commutative property does not apply to division of integers.")</f>
        <v>Recall that the commutative property does not apply to division of integers.</v>
      </c>
      <c r="K23" s="10" t="str">
        <f t="shared" si="1"/>
        <v>LU000998.002</v>
      </c>
      <c r="L23" s="10" t="str">
        <f ca="1">IFERROR(__xludf.DUMMYFUNCTION("VLOOKUP(K23, IMPORTRANGE(""https://docs.google.com/spreadsheets/d/1yDAaXNsi4Mr5FtRQL4tbmSdIzhx6_m4wkOD7IG-k_eo/edit#gid=0"", ""Maths!M:N""), 2, FALSE)"),"Explain why the commutative property is inapplicable to integer division.")</f>
        <v>Explain why the commutative property is inapplicable to integer division.</v>
      </c>
      <c r="M23" s="41" t="str">
        <f t="shared" si="2"/>
        <v>LU000998.003</v>
      </c>
      <c r="N23" s="41" t="str">
        <f ca="1">IFERROR(__xludf.DUMMYFUNCTION("VLOOKUP(M23, IMPORTRANGE(""https://docs.google.com/spreadsheets/d/1yDAaXNsi4Mr5FtRQL4tbmSdIzhx6_m4wkOD7IG-k_eo/edit#gid=0"", ""Maths!M:N""), 2, FALSE)"),"Identify examples where the division of integers demonstrates commutativity or non-commutativity.")</f>
        <v>Identify examples where the division of integers demonstrates commutativity or non-commutativity.</v>
      </c>
      <c r="O23" s="41" t="str">
        <f t="shared" si="3"/>
        <v>LU000998.004</v>
      </c>
      <c r="P23" s="41" t="str">
        <f ca="1">IFERROR(__xludf.DUMMYFUNCTION("VLOOKUP(O23, IMPORTRANGE(""https://docs.google.com/spreadsheets/d/1yDAaXNsi4Mr5FtRQL4tbmSdIzhx6_m4wkOD7IG-k_eo/edit#gid=0"", ""Maths!M:N""), 2, FALSE)"),"Analyse a range of division problems involving integers to highlight the failure of the commutative property.")</f>
        <v>Analyse a range of division problems involving integers to highlight the failure of the commutative property.</v>
      </c>
      <c r="Q23" s="10" t="str">
        <f t="shared" si="4"/>
        <v>LU000998.005</v>
      </c>
      <c r="R23" s="10" t="str">
        <f ca="1">IFERROR(__xludf.DUMMYFUNCTION("VLOOKUP(Q23, IMPORTRANGE(""https://docs.google.com/spreadsheets/d/1yDAaXNsi4Mr5FtRQL4tbmSdIzhx6_m4wkOD7IG-k_eo/edit#gid=0"", ""Maths!M:N""), 2, FALSE)"),"Evaluate the correctness of statements regarding the commutative property and its non-applicability in integer division.")</f>
        <v>Evaluate the correctness of statements regarding the commutative property and its non-applicability in integer division.</v>
      </c>
      <c r="S23" s="10" t="str">
        <f t="shared" si="5"/>
        <v>LU000998.006</v>
      </c>
      <c r="T23" s="10" t="str">
        <f ca="1">IFERROR(__xludf.DUMMYFUNCTION("VLOOKUP(S23, IMPORTRANGE(""https://docs.google.com/spreadsheets/d/1yDAaXNsi4Mr5FtRQL4tbmSdIzhx6_m4wkOD7IG-k_eo/edit#gid=0"", ""Maths!M:N""), 2, FALSE)"),"#N/A")</f>
        <v>#N/A</v>
      </c>
      <c r="U23" s="11">
        <f ca="1">IFERROR(__xludf.DUMMYFUNCTION("ArrayFormula(VLOOKUP(G23, IMPORTRANGE(""https://docs.google.com/spreadsheets/d/1p7R4vtkWt5VOBim4ltsDG9KTzSjrtKXsMtQGXPHyND0/edit#gid=795171502"", ""'Filter 30_05_2024'!A1:M2000""), {2, 3, 4, 5,6,7,8,9,10,11,12,13}, 0))"),4)</f>
        <v>4</v>
      </c>
      <c r="V23" s="11">
        <f ca="1">IFERROR(__xludf.DUMMYFUNCTION("""COMPUTED_VALUE"""),6)</f>
        <v>6</v>
      </c>
      <c r="W23" s="11">
        <f ca="1">IFERROR(__xludf.DUMMYFUNCTION("""COMPUTED_VALUE"""),2)</f>
        <v>2</v>
      </c>
      <c r="X23" s="11">
        <f ca="1">IFERROR(__xludf.DUMMYFUNCTION("""COMPUTED_VALUE"""),12)</f>
        <v>12</v>
      </c>
      <c r="Y23" s="11">
        <f ca="1">IFERROR(__xludf.DUMMYFUNCTION("""COMPUTED_VALUE"""),4)</f>
        <v>4</v>
      </c>
      <c r="Z23" s="12">
        <f ca="1">IFERROR(__xludf.DUMMYFUNCTION("""COMPUTED_VALUE"""),3)</f>
        <v>3</v>
      </c>
      <c r="AA23" s="12">
        <f ca="1">IFERROR(__xludf.DUMMYFUNCTION("""COMPUTED_VALUE"""),1)</f>
        <v>1</v>
      </c>
      <c r="AB23" s="12">
        <f ca="1">IFERROR(__xludf.DUMMYFUNCTION("""COMPUTED_VALUE"""),8)</f>
        <v>8</v>
      </c>
      <c r="AC23" s="12"/>
      <c r="AD23" s="12"/>
      <c r="AE23" s="12"/>
      <c r="AF23" s="12"/>
      <c r="AG23" s="13" t="str">
        <f ca="1">IFERROR(__xludf.DUMMYFUNCTION("ArrayFormula(VLOOKUP(G23, IMPORTRANGE(""https://docs.google.com/spreadsheets/d/1Co934fvtviyaRiMsrIlT05Jaq7iiYq07aLvRr35KA48/edit?gid=173865642#gid=173865642"", ""'G7_Maths_Pri_LU'!G2:V2000""), {3, 4, 5, 6, 7, 8, 9, 10, 11, 12, 13, 14, 15, 16}, 0))"),"LU000959")</f>
        <v>LU000959</v>
      </c>
      <c r="AH23" s="13" t="str">
        <f ca="1">IFERROR(__xludf.DUMMYFUNCTION("""COMPUTED_VALUE"""),"Examination of commutative property for division of whole numbers")</f>
        <v>Examination of commutative property for division of whole numbers</v>
      </c>
      <c r="AI23" s="13" t="str">
        <f ca="1">IFERROR(__xludf.DUMMYFUNCTION("""COMPUTED_VALUE"""),"LU000364")</f>
        <v>LU000364</v>
      </c>
      <c r="AJ23" s="13" t="str">
        <f ca="1">IFERROR(__xludf.DUMMYFUNCTION("""COMPUTED_VALUE"""),"Division of integers by zero")</f>
        <v>Division of integers by zero</v>
      </c>
      <c r="AK23" s="13" t="str">
        <f ca="1">IFERROR(__xludf.DUMMYFUNCTION("""COMPUTED_VALUE"""),"LU000361")</f>
        <v>LU000361</v>
      </c>
      <c r="AL23" s="13" t="str">
        <f ca="1">IFERROR(__xludf.DUMMYFUNCTION("""COMPUTED_VALUE"""),"Division of integers by non zero integer")</f>
        <v>Division of integers by non zero integer</v>
      </c>
      <c r="AM23" s="13" t="str">
        <f ca="1">IFERROR(__xludf.DUMMYFUNCTION("""COMPUTED_VALUE"""),"LU000365")</f>
        <v>LU000365</v>
      </c>
      <c r="AN23" s="13" t="str">
        <f ca="1">IFERROR(__xludf.DUMMYFUNCTION("""COMPUTED_VALUE"""),"Division of zero by any non-zero integer")</f>
        <v>Division of zero by any non-zero integer</v>
      </c>
      <c r="AO23" s="13"/>
      <c r="AP23" s="13"/>
      <c r="AQ23" s="13"/>
      <c r="AR23" s="13"/>
      <c r="AS23" s="13"/>
      <c r="AT23" s="13"/>
    </row>
    <row r="24" spans="1:46">
      <c r="A24" s="8" t="s">
        <v>247</v>
      </c>
      <c r="B24" s="8" t="s">
        <v>47</v>
      </c>
      <c r="C24" s="8" t="s">
        <v>416</v>
      </c>
      <c r="D24" s="8" t="s">
        <v>49</v>
      </c>
      <c r="E24" s="8" t="s">
        <v>352</v>
      </c>
      <c r="F24" s="8" t="s">
        <v>446</v>
      </c>
      <c r="G24" s="8" t="s">
        <v>449</v>
      </c>
      <c r="H24" s="40" t="str">
        <f ca="1">IFERROR(__xludf.DUMMYFUNCTION("VLOOKUP(G24, IMPORTRANGE(""https://docs.google.com/spreadsheets/d/14deopnvwcrKtEGCKuYXdUHJbeLDZlkiSSWWT0g7x2pM/edit#gid=999382323"", ""LU List Maths (Filter)!A:B""), 2, FALSE)"),"Examination of associative property for division of integers")</f>
        <v>Examination of associative property for division of integers</v>
      </c>
      <c r="I24" s="10" t="str">
        <f t="shared" si="0"/>
        <v>LU001004.001</v>
      </c>
      <c r="J24" s="10" t="str">
        <f ca="1">IFERROR(__xludf.DUMMYFUNCTION("VLOOKUP(I24, IMPORTRANGE(""https://docs.google.com/spreadsheets/d/1yDAaXNsi4Mr5FtRQL4tbmSdIzhx6_m4wkOD7IG-k_eo/edit#gid=0"", ""Maths!M:N""), 2, FALSE)"),"Recall that the associative property does not apply to division of integers.")</f>
        <v>Recall that the associative property does not apply to division of integers.</v>
      </c>
      <c r="K24" s="10" t="str">
        <f t="shared" si="1"/>
        <v>LU001004.002</v>
      </c>
      <c r="L24" s="10" t="str">
        <f ca="1">IFERROR(__xludf.DUMMYFUNCTION("VLOOKUP(K24, IMPORTRANGE(""https://docs.google.com/spreadsheets/d/1yDAaXNsi4Mr5FtRQL4tbmSdIzhx6_m4wkOD7IG-k_eo/edit#gid=0"", ""Maths!M:N""), 2, FALSE)"),"Explain why the associative property is inapplicable to integer division.")</f>
        <v>Explain why the associative property is inapplicable to integer division.</v>
      </c>
      <c r="M24" s="41" t="str">
        <f t="shared" si="2"/>
        <v>LU001004.003</v>
      </c>
      <c r="N24" s="41" t="str">
        <f ca="1">IFERROR(__xludf.DUMMYFUNCTION("VLOOKUP(M24, IMPORTRANGE(""https://docs.google.com/spreadsheets/d/1yDAaXNsi4Mr5FtRQL4tbmSdIzhx6_m4wkOD7IG-k_eo/edit#gid=0"", ""Maths!M:N""), 2, FALSE)"),"Identify examples where division of integers demonstrates the non-associativity.")</f>
        <v>Identify examples where division of integers demonstrates the non-associativity.</v>
      </c>
      <c r="O24" s="41" t="str">
        <f t="shared" si="3"/>
        <v>LU001004.004</v>
      </c>
      <c r="P24" s="41" t="str">
        <f ca="1">IFERROR(__xludf.DUMMYFUNCTION("VLOOKUP(O24, IMPORTRANGE(""https://docs.google.com/spreadsheets/d/1yDAaXNsi4Mr5FtRQL4tbmSdIzhx6_m4wkOD7IG-k_eo/edit#gid=0"", ""Maths!M:N""), 2, FALSE)"),"Analyse a range of division problems involving integers to highlight the failure of the associative property.")</f>
        <v>Analyse a range of division problems involving integers to highlight the failure of the associative property.</v>
      </c>
      <c r="Q24" s="10" t="str">
        <f t="shared" si="4"/>
        <v>LU001004.005</v>
      </c>
      <c r="R24" s="10" t="str">
        <f ca="1">IFERROR(__xludf.DUMMYFUNCTION("VLOOKUP(Q24, IMPORTRANGE(""https://docs.google.com/spreadsheets/d/1yDAaXNsi4Mr5FtRQL4tbmSdIzhx6_m4wkOD7IG-k_eo/edit#gid=0"", ""Maths!M:N""), 2, FALSE)"),"Evaluate the correctness of statements regarding the associative property and its non-applicability in integer division.")</f>
        <v>Evaluate the correctness of statements regarding the associative property and its non-applicability in integer division.</v>
      </c>
      <c r="S24" s="10" t="str">
        <f t="shared" si="5"/>
        <v>LU001004.006</v>
      </c>
      <c r="T24" s="10" t="str">
        <f ca="1">IFERROR(__xludf.DUMMYFUNCTION("VLOOKUP(S24, IMPORTRANGE(""https://docs.google.com/spreadsheets/d/1yDAaXNsi4Mr5FtRQL4tbmSdIzhx6_m4wkOD7IG-k_eo/edit#gid=0"", ""Maths!M:N""), 2, FALSE)"),"#N/A")</f>
        <v>#N/A</v>
      </c>
      <c r="U24" s="11">
        <f ca="1">IFERROR(__xludf.DUMMYFUNCTION("ArrayFormula(VLOOKUP(G24, IMPORTRANGE(""https://docs.google.com/spreadsheets/d/1p7R4vtkWt5VOBim4ltsDG9KTzSjrtKXsMtQGXPHyND0/edit#gid=795171502"", ""'Filter 30_05_2024'!A1:M2000""), {2, 3, 4, 5,6,7,8,9,10,11,12,13}, 0))"),4)</f>
        <v>4</v>
      </c>
      <c r="V24" s="11">
        <f ca="1">IFERROR(__xludf.DUMMYFUNCTION("""COMPUTED_VALUE"""),6)</f>
        <v>6</v>
      </c>
      <c r="W24" s="11">
        <f ca="1">IFERROR(__xludf.DUMMYFUNCTION("""COMPUTED_VALUE"""),2)</f>
        <v>2</v>
      </c>
      <c r="X24" s="11">
        <f ca="1">IFERROR(__xludf.DUMMYFUNCTION("""COMPUTED_VALUE"""),12)</f>
        <v>12</v>
      </c>
      <c r="Y24" s="11">
        <f ca="1">IFERROR(__xludf.DUMMYFUNCTION("""COMPUTED_VALUE"""),4)</f>
        <v>4</v>
      </c>
      <c r="Z24" s="12">
        <f ca="1">IFERROR(__xludf.DUMMYFUNCTION("""COMPUTED_VALUE"""),3)</f>
        <v>3</v>
      </c>
      <c r="AA24" s="12">
        <f ca="1">IFERROR(__xludf.DUMMYFUNCTION("""COMPUTED_VALUE"""),1)</f>
        <v>1</v>
      </c>
      <c r="AB24" s="12">
        <f ca="1">IFERROR(__xludf.DUMMYFUNCTION("""COMPUTED_VALUE"""),8)</f>
        <v>8</v>
      </c>
      <c r="AC24" s="12"/>
      <c r="AD24" s="12"/>
      <c r="AE24" s="12"/>
      <c r="AF24" s="12"/>
      <c r="AG24" s="13" t="str">
        <f ca="1">IFERROR(__xludf.DUMMYFUNCTION("ArrayFormula(VLOOKUP(G24, IMPORTRANGE(""https://docs.google.com/spreadsheets/d/1Co934fvtviyaRiMsrIlT05Jaq7iiYq07aLvRr35KA48/edit?gid=173865642#gid=173865642"", ""'G7_Maths_Pri_LU'!G2:V2000""), {3, 4, 5, 6, 7, 8, 9, 10, 11, 12, 13, 14, 15, 16}, 0))"),"LU000963")</f>
        <v>LU000963</v>
      </c>
      <c r="AH24" s="13" t="str">
        <f ca="1">IFERROR(__xludf.DUMMYFUNCTION("""COMPUTED_VALUE"""),"Examination of associative property for division of whole numbers")</f>
        <v>Examination of associative property for division of whole numbers</v>
      </c>
      <c r="AI24" s="13" t="str">
        <f ca="1">IFERROR(__xludf.DUMMYFUNCTION("""COMPUTED_VALUE"""),"LU000361")</f>
        <v>LU000361</v>
      </c>
      <c r="AJ24" s="13" t="str">
        <f ca="1">IFERROR(__xludf.DUMMYFUNCTION("""COMPUTED_VALUE"""),"Division of integers by non zero integer")</f>
        <v>Division of integers by non zero integer</v>
      </c>
      <c r="AK24" s="13" t="str">
        <f ca="1">IFERROR(__xludf.DUMMYFUNCTION("""COMPUTED_VALUE"""),"LU000364")</f>
        <v>LU000364</v>
      </c>
      <c r="AL24" s="13" t="str">
        <f ca="1">IFERROR(__xludf.DUMMYFUNCTION("""COMPUTED_VALUE"""),"Division of integers by zero")</f>
        <v>Division of integers by zero</v>
      </c>
      <c r="AM24" s="13" t="str">
        <f ca="1">IFERROR(__xludf.DUMMYFUNCTION("""COMPUTED_VALUE"""),"LU000365")</f>
        <v>LU000365</v>
      </c>
      <c r="AN24" s="13" t="str">
        <f ca="1">IFERROR(__xludf.DUMMYFUNCTION("""COMPUTED_VALUE"""),"Division of zero by any non-zero integer")</f>
        <v>Division of zero by any non-zero integer</v>
      </c>
      <c r="AO24" s="13"/>
      <c r="AP24" s="13"/>
      <c r="AQ24" s="13"/>
      <c r="AR24" s="13"/>
      <c r="AS24" s="13"/>
      <c r="AT24" s="13"/>
    </row>
    <row r="25" spans="1:46">
      <c r="A25" s="8" t="s">
        <v>247</v>
      </c>
      <c r="B25" s="8" t="s">
        <v>47</v>
      </c>
      <c r="C25" s="8" t="s">
        <v>416</v>
      </c>
      <c r="D25" s="8" t="s">
        <v>49</v>
      </c>
      <c r="E25" s="8" t="s">
        <v>450</v>
      </c>
      <c r="F25" s="8" t="s">
        <v>451</v>
      </c>
      <c r="G25" s="8" t="s">
        <v>452</v>
      </c>
      <c r="H25" s="8" t="str">
        <f ca="1">IFERROR(__xludf.DUMMYFUNCTION("VLOOKUP(G25, IMPORTRANGE(""https://docs.google.com/spreadsheets/d/14deopnvwcrKtEGCKuYXdUHJbeLDZlkiSSWWT0g7x2pM/edit#gid=999382323"", ""LU List Maths (Filter)!A:B""), 2, FALSE)"),"Multiplication of a proper fraction by a whole number")</f>
        <v>Multiplication of a proper fraction by a whole number</v>
      </c>
      <c r="I25" s="10" t="str">
        <f t="shared" si="0"/>
        <v>LU001005.001</v>
      </c>
      <c r="J25" s="10" t="str">
        <f ca="1">IFERROR(__xludf.DUMMYFUNCTION("VLOOKUP(I25, IMPORTRANGE(""https://docs.google.com/spreadsheets/d/1yDAaXNsi4Mr5FtRQL4tbmSdIzhx6_m4wkOD7IG-k_eo/edit#gid=0"", ""Maths!M:N""), 2, FALSE)"),"Define the process of multiplying a proper fraction by a whole number.")</f>
        <v>Define the process of multiplying a proper fraction by a whole number.</v>
      </c>
      <c r="K25" s="10" t="str">
        <f t="shared" si="1"/>
        <v>LU001005.002</v>
      </c>
      <c r="L25" s="10" t="str">
        <f ca="1">IFERROR(__xludf.DUMMYFUNCTION("VLOOKUP(K25, IMPORTRANGE(""https://docs.google.com/spreadsheets/d/1yDAaXNsi4Mr5FtRQL4tbmSdIzhx6_m4wkOD7IG-k_eo/edit#gid=0"", ""Maths!M:N""), 2, FALSE)"),"Explain the concept of multiplying a proper fraction by a whole number using examples.")</f>
        <v>Explain the concept of multiplying a proper fraction by a whole number using examples.</v>
      </c>
      <c r="M25" s="10" t="str">
        <f t="shared" si="2"/>
        <v>LU001005.003</v>
      </c>
      <c r="N25" s="10" t="str">
        <f ca="1">IFERROR(__xludf.DUMMYFUNCTION("VLOOKUP(M25, IMPORTRANGE(""https://docs.google.com/spreadsheets/d/1yDAaXNsi4Mr5FtRQL4tbmSdIzhx6_m4wkOD7IG-k_eo/edit#gid=0"", ""Maths!M:N""), 2, FALSE)"),"Solve problems involving the multiplication of a proper fraction by a whole number.")</f>
        <v>Solve problems involving the multiplication of a proper fraction by a whole number.</v>
      </c>
      <c r="O25" s="10" t="str">
        <f t="shared" si="3"/>
        <v>LU001005.004</v>
      </c>
      <c r="P25" s="10" t="str">
        <f ca="1">IFERROR(__xludf.DUMMYFUNCTION("VLOOKUP(O25, IMPORTRANGE(""https://docs.google.com/spreadsheets/d/1yDAaXNsi4Mr5FtRQL4tbmSdIzhx6_m4wkOD7IG-k_eo/edit#gid=0"", ""Maths!M:N""), 2, FALSE)"),"Differentiate between correct and incorrect applications of multiplying a proper fraction by a whole number in given examples.")</f>
        <v>Differentiate between correct and incorrect applications of multiplying a proper fraction by a whole number in given examples.</v>
      </c>
      <c r="Q25" s="10" t="str">
        <f t="shared" si="4"/>
        <v>LU001005.005</v>
      </c>
      <c r="R25" s="10" t="str">
        <f ca="1">IFERROR(__xludf.DUMMYFUNCTION("VLOOKUP(Q25, IMPORTRANGE(""https://docs.google.com/spreadsheets/d/1yDAaXNsi4Mr5FtRQL4tbmSdIzhx6_m4wkOD7IG-k_eo/edit#gid=0"", ""Maths!M:N""), 2, FALSE)"),"Assess the solutions to problems involving the multiplication of a proper fraction by a whole number and justify the methods used.")</f>
        <v>Assess the solutions to problems involving the multiplication of a proper fraction by a whole number and justify the methods used.</v>
      </c>
      <c r="S25" s="10" t="str">
        <f t="shared" si="5"/>
        <v>LU001005.006</v>
      </c>
      <c r="T25" s="10" t="str">
        <f ca="1">IFERROR(__xludf.DUMMYFUNCTION("VLOOKUP(S25, IMPORTRANGE(""https://docs.google.com/spreadsheets/d/1yDAaXNsi4Mr5FtRQL4tbmSdIzhx6_m4wkOD7IG-k_eo/edit#gid=0"", ""Maths!M:N""), 2, FALSE)"),"#N/A")</f>
        <v>#N/A</v>
      </c>
      <c r="U25" s="11">
        <f ca="1">IFERROR(__xludf.DUMMYFUNCTION("ArrayFormula(VLOOKUP(G25, IMPORTRANGE(""https://docs.google.com/spreadsheets/d/1p7R4vtkWt5VOBim4ltsDG9KTzSjrtKXsMtQGXPHyND0/edit#gid=795171502"", ""'Filter 30_05_2024'!A1:M2000""), {2, 3, 4, 5,6,7,8,9,10,11,12,13}, 0))"),20)</f>
        <v>20</v>
      </c>
      <c r="V25" s="11">
        <f ca="1">IFERROR(__xludf.DUMMYFUNCTION("""COMPUTED_VALUE"""),28)</f>
        <v>28</v>
      </c>
      <c r="W25" s="11">
        <f ca="1">IFERROR(__xludf.DUMMYFUNCTION("""COMPUTED_VALUE"""),5)</f>
        <v>5</v>
      </c>
      <c r="X25" s="11">
        <f ca="1">IFERROR(__xludf.DUMMYFUNCTION("""COMPUTED_VALUE"""),53)</f>
        <v>53</v>
      </c>
      <c r="Y25" s="11">
        <f ca="1">IFERROR(__xludf.DUMMYFUNCTION("""COMPUTED_VALUE"""),9)</f>
        <v>9</v>
      </c>
      <c r="Z25" s="12">
        <f ca="1">IFERROR(__xludf.DUMMYFUNCTION("""COMPUTED_VALUE"""),8)</f>
        <v>8</v>
      </c>
      <c r="AA25" s="12">
        <f ca="1">IFERROR(__xludf.DUMMYFUNCTION("""COMPUTED_VALUE"""),2)</f>
        <v>2</v>
      </c>
      <c r="AB25" s="12">
        <f ca="1">IFERROR(__xludf.DUMMYFUNCTION("""COMPUTED_VALUE"""),19)</f>
        <v>19</v>
      </c>
      <c r="AC25" s="12"/>
      <c r="AD25" s="12"/>
      <c r="AE25" s="12"/>
      <c r="AF25" s="12"/>
      <c r="AG25" s="13" t="str">
        <f ca="1">IFERROR(__xludf.DUMMYFUNCTION("ArrayFormula(VLOOKUP(G25, IMPORTRANGE(""https://docs.google.com/spreadsheets/d/1Co934fvtviyaRiMsrIlT05Jaq7iiYq07aLvRr35KA48/edit?gid=173865642#gid=173865642"", ""'G7_Maths_Pri_LU'!G2:V2000""), {3, 4, 5, 6, 7, 8, 9, 10, 11, 12, 13, 14, 15, 16}, 0))"),"LU000281")</f>
        <v>LU000281</v>
      </c>
      <c r="AH25" s="13" t="str">
        <f ca="1">IFERROR(__xludf.DUMMYFUNCTION("""COMPUTED_VALUE"""),"Definition of proper fractions")</f>
        <v>Definition of proper fractions</v>
      </c>
      <c r="AI25" s="13" t="str">
        <f ca="1">IFERROR(__xludf.DUMMYFUNCTION("""COMPUTED_VALUE"""),"LU000977")</f>
        <v>LU000977</v>
      </c>
      <c r="AJ25" s="13" t="str">
        <f ca="1">IFERROR(__xludf.DUMMYFUNCTION("""COMPUTED_VALUE"""),"Addition of fractions with the same denominators")</f>
        <v>Addition of fractions with the same denominators</v>
      </c>
      <c r="AK25" s="13"/>
      <c r="AL25" s="13"/>
      <c r="AM25" s="13"/>
      <c r="AN25" s="13"/>
      <c r="AO25" s="13"/>
      <c r="AP25" s="13"/>
      <c r="AQ25" s="13"/>
      <c r="AR25" s="13"/>
      <c r="AS25" s="13"/>
      <c r="AT25" s="13"/>
    </row>
    <row r="26" spans="1:46">
      <c r="A26" s="8" t="s">
        <v>247</v>
      </c>
      <c r="B26" s="8" t="s">
        <v>47</v>
      </c>
      <c r="C26" s="8" t="s">
        <v>416</v>
      </c>
      <c r="D26" s="8" t="s">
        <v>49</v>
      </c>
      <c r="E26" s="8" t="s">
        <v>450</v>
      </c>
      <c r="F26" s="8" t="s">
        <v>451</v>
      </c>
      <c r="G26" s="8" t="s">
        <v>453</v>
      </c>
      <c r="H26" s="8" t="str">
        <f ca="1">IFERROR(__xludf.DUMMYFUNCTION("VLOOKUP(G26, IMPORTRANGE(""https://docs.google.com/spreadsheets/d/14deopnvwcrKtEGCKuYXdUHJbeLDZlkiSSWWT0g7x2pM/edit#gid=999382323"", ""LU List Maths (Filter)!A:B""), 2, FALSE)"),"Multiplication of an improper fraction by a whole number")</f>
        <v>Multiplication of an improper fraction by a whole number</v>
      </c>
      <c r="I26" s="10" t="str">
        <f t="shared" si="0"/>
        <v>LU001006.001</v>
      </c>
      <c r="J26" s="10" t="str">
        <f ca="1">IFERROR(__xludf.DUMMYFUNCTION("VLOOKUP(I26, IMPORTRANGE(""https://docs.google.com/spreadsheets/d/1yDAaXNsi4Mr5FtRQL4tbmSdIzhx6_m4wkOD7IG-k_eo/edit#gid=0"", ""Maths!M:N""), 2, FALSE)"),"Identify the steps in multiplying an improper fraction by a whole number.")</f>
        <v>Identify the steps in multiplying an improper fraction by a whole number.</v>
      </c>
      <c r="K26" s="10" t="str">
        <f t="shared" si="1"/>
        <v>LU001006.002</v>
      </c>
      <c r="L26" s="10" t="str">
        <f ca="1">IFERROR(__xludf.DUMMYFUNCTION("VLOOKUP(K26, IMPORTRANGE(""https://docs.google.com/spreadsheets/d/1yDAaXNsi4Mr5FtRQL4tbmSdIzhx6_m4wkOD7IG-k_eo/edit#gid=0"", ""Maths!M:N""), 2, FALSE)"),"Summarize how to multiply an improper fraction by a whole number using illustrative examples.")</f>
        <v>Summarize how to multiply an improper fraction by a whole number using illustrative examples.</v>
      </c>
      <c r="M26" s="10" t="str">
        <f t="shared" si="2"/>
        <v>LU001006.003</v>
      </c>
      <c r="N26" s="10" t="str">
        <f ca="1">IFERROR(__xludf.DUMMYFUNCTION("VLOOKUP(M26, IMPORTRANGE(""https://docs.google.com/spreadsheets/d/1yDAaXNsi4Mr5FtRQL4tbmSdIzhx6_m4wkOD7IG-k_eo/edit#gid=0"", ""Maths!M:N""), 2, FALSE)"),"Perform calculations involving the multiplication of an improper fraction by a whole number.")</f>
        <v>Perform calculations involving the multiplication of an improper fraction by a whole number.</v>
      </c>
      <c r="O26" s="10" t="str">
        <f t="shared" si="3"/>
        <v>LU001006.004</v>
      </c>
      <c r="P26" s="10" t="str">
        <f ca="1">IFERROR(__xludf.DUMMYFUNCTION("VLOOKUP(O26, IMPORTRANGE(""https://docs.google.com/spreadsheets/d/1yDAaXNsi4Mr5FtRQL4tbmSdIzhx6_m4wkOD7IG-k_eo/edit#gid=0"", ""Maths!M:N""), 2, FALSE)"),"Examine a set of problems to distinguish correct and incorrect multiplication of an improper fraction by a whole number.")</f>
        <v>Examine a set of problems to distinguish correct and incorrect multiplication of an improper fraction by a whole number.</v>
      </c>
      <c r="Q26" s="10" t="str">
        <f t="shared" si="4"/>
        <v>LU001006.005</v>
      </c>
      <c r="R26" s="10" t="str">
        <f ca="1">IFERROR(__xludf.DUMMYFUNCTION("VLOOKUP(Q26, IMPORTRANGE(""https://docs.google.com/spreadsheets/d/1yDAaXNsi4Mr5FtRQL4tbmSdIzhx6_m4wkOD7IG-k_eo/edit#gid=0"", ""Maths!M:N""), 2, FALSE)"),"Critically review solutions to problems that involve the multiplication of an improper fraction by a whole number, explaining the correctness of each method.")</f>
        <v>Critically review solutions to problems that involve the multiplication of an improper fraction by a whole number, explaining the correctness of each method.</v>
      </c>
      <c r="S26" s="10" t="str">
        <f t="shared" si="5"/>
        <v>LU001006.006</v>
      </c>
      <c r="T26" s="10" t="str">
        <f ca="1">IFERROR(__xludf.DUMMYFUNCTION("VLOOKUP(S26, IMPORTRANGE(""https://docs.google.com/spreadsheets/d/1yDAaXNsi4Mr5FtRQL4tbmSdIzhx6_m4wkOD7IG-k_eo/edit#gid=0"", ""Maths!M:N""), 2, FALSE)"),"#N/A")</f>
        <v>#N/A</v>
      </c>
      <c r="U26" s="11">
        <f ca="1">IFERROR(__xludf.DUMMYFUNCTION("ArrayFormula(VLOOKUP(G26, IMPORTRANGE(""https://docs.google.com/spreadsheets/d/1p7R4vtkWt5VOBim4ltsDG9KTzSjrtKXsMtQGXPHyND0/edit#gid=795171502"", ""'Filter 30_05_2024'!A1:M2000""), {2, 3, 4, 5,6,7,8,9,10,11,12,13}, 0))"),4)</f>
        <v>4</v>
      </c>
      <c r="V26" s="11">
        <f ca="1">IFERROR(__xludf.DUMMYFUNCTION("""COMPUTED_VALUE"""),6)</f>
        <v>6</v>
      </c>
      <c r="W26" s="11">
        <f ca="1">IFERROR(__xludf.DUMMYFUNCTION("""COMPUTED_VALUE"""),2)</f>
        <v>2</v>
      </c>
      <c r="X26" s="11">
        <f ca="1">IFERROR(__xludf.DUMMYFUNCTION("""COMPUTED_VALUE"""),12)</f>
        <v>12</v>
      </c>
      <c r="Y26" s="11">
        <f ca="1">IFERROR(__xludf.DUMMYFUNCTION("""COMPUTED_VALUE"""),4)</f>
        <v>4</v>
      </c>
      <c r="Z26" s="12">
        <f ca="1">IFERROR(__xludf.DUMMYFUNCTION("""COMPUTED_VALUE"""),3)</f>
        <v>3</v>
      </c>
      <c r="AA26" s="12">
        <f ca="1">IFERROR(__xludf.DUMMYFUNCTION("""COMPUTED_VALUE"""),1)</f>
        <v>1</v>
      </c>
      <c r="AB26" s="12">
        <f ca="1">IFERROR(__xludf.DUMMYFUNCTION("""COMPUTED_VALUE"""),8)</f>
        <v>8</v>
      </c>
      <c r="AC26" s="12"/>
      <c r="AD26" s="12"/>
      <c r="AE26" s="12"/>
      <c r="AF26" s="12"/>
      <c r="AG26" s="13" t="str">
        <f ca="1">IFERROR(__xludf.DUMMYFUNCTION("ArrayFormula(VLOOKUP(G26, IMPORTRANGE(""https://docs.google.com/spreadsheets/d/1Co934fvtviyaRiMsrIlT05Jaq7iiYq07aLvRr35KA48/edit?gid=173865642#gid=173865642"", ""'G7_Maths_Pri_LU'!G2:V2000""), {3, 4, 5, 6, 7, 8, 9, 10, 11, 12, 13, 14, 15, 16}, 0))"),"LU001005")</f>
        <v>LU001005</v>
      </c>
      <c r="AH26" s="13" t="str">
        <f ca="1">IFERROR(__xludf.DUMMYFUNCTION("""COMPUTED_VALUE"""),"Multiplication of a proper fraction by a whole number")</f>
        <v>Multiplication of a proper fraction by a whole number</v>
      </c>
      <c r="AI26" s="13" t="str">
        <f ca="1">IFERROR(__xludf.DUMMYFUNCTION("""COMPUTED_VALUE"""),"LU000282")</f>
        <v>LU000282</v>
      </c>
      <c r="AJ26" s="13" t="str">
        <f ca="1">IFERROR(__xludf.DUMMYFUNCTION("""COMPUTED_VALUE"""),"Definition of improper fractions")</f>
        <v>Definition of improper fractions</v>
      </c>
      <c r="AK26" s="13" t="str">
        <f ca="1">IFERROR(__xludf.DUMMYFUNCTION("""COMPUTED_VALUE"""),"LU000975")</f>
        <v>LU000975</v>
      </c>
      <c r="AL26" s="13" t="str">
        <f ca="1">IFERROR(__xludf.DUMMYFUNCTION("""COMPUTED_VALUE"""),"Conversion of improper fraction to mixed fraction ")</f>
        <v xml:space="preserve">Conversion of improper fraction to mixed fraction </v>
      </c>
      <c r="AM26" s="13"/>
      <c r="AN26" s="13"/>
      <c r="AO26" s="13"/>
      <c r="AP26" s="13"/>
      <c r="AQ26" s="13"/>
      <c r="AR26" s="13"/>
      <c r="AS26" s="13"/>
      <c r="AT26" s="13"/>
    </row>
    <row r="27" spans="1:46">
      <c r="A27" s="8" t="s">
        <v>247</v>
      </c>
      <c r="B27" s="8" t="s">
        <v>47</v>
      </c>
      <c r="C27" s="8" t="s">
        <v>416</v>
      </c>
      <c r="D27" s="8" t="s">
        <v>49</v>
      </c>
      <c r="E27" s="8" t="s">
        <v>450</v>
      </c>
      <c r="F27" s="8" t="s">
        <v>451</v>
      </c>
      <c r="G27" s="8" t="s">
        <v>454</v>
      </c>
      <c r="H27" s="8" t="str">
        <f ca="1">IFERROR(__xludf.DUMMYFUNCTION("VLOOKUP(G27, IMPORTRANGE(""https://docs.google.com/spreadsheets/d/14deopnvwcrKtEGCKuYXdUHJbeLDZlkiSSWWT0g7x2pM/edit#gid=999382323"", ""LU List Maths (Filter)!A:B""), 2, FALSE)"),"Multiplication of a mixed fraction by a whole number")</f>
        <v>Multiplication of a mixed fraction by a whole number</v>
      </c>
      <c r="I27" s="10" t="str">
        <f t="shared" si="0"/>
        <v>LU001007.001</v>
      </c>
      <c r="J27" s="10" t="str">
        <f ca="1">IFERROR(__xludf.DUMMYFUNCTION("VLOOKUP(I27, IMPORTRANGE(""https://docs.google.com/spreadsheets/d/1yDAaXNsi4Mr5FtRQL4tbmSdIzhx6_m4wkOD7IG-k_eo/edit#gid=0"", ""Maths!M:N""), 2, FALSE)"),"Recall the method for multiplying a mixed fraction by a whole number.")</f>
        <v>Recall the method for multiplying a mixed fraction by a whole number.</v>
      </c>
      <c r="K27" s="10" t="str">
        <f t="shared" si="1"/>
        <v>LU001007.002</v>
      </c>
      <c r="L27" s="10" t="str">
        <f ca="1">IFERROR(__xludf.DUMMYFUNCTION("VLOOKUP(K27, IMPORTRANGE(""https://docs.google.com/spreadsheets/d/1yDAaXNsi4Mr5FtRQL4tbmSdIzhx6_m4wkOD7IG-k_eo/edit#gid=0"", ""Maths!M:N""), 2, FALSE)"),"Describe the process of multiplying a mixed fraction by a whole number with examples.")</f>
        <v>Describe the process of multiplying a mixed fraction by a whole number with examples.</v>
      </c>
      <c r="M27" s="10" t="str">
        <f t="shared" si="2"/>
        <v>LU001007.003</v>
      </c>
      <c r="N27" s="10" t="str">
        <f ca="1">IFERROR(__xludf.DUMMYFUNCTION("VLOOKUP(M27, IMPORTRANGE(""https://docs.google.com/spreadsheets/d/1yDAaXNsi4Mr5FtRQL4tbmSdIzhx6_m4wkOD7IG-k_eo/edit#gid=0"", ""Maths!M:N""), 2, FALSE)"),"Calculate the product of a mixed fraction and a whole number in various problems.")</f>
        <v>Calculate the product of a mixed fraction and a whole number in various problems.</v>
      </c>
      <c r="O27" s="10" t="str">
        <f t="shared" si="3"/>
        <v>LU001007.004</v>
      </c>
      <c r="P27" s="10" t="str">
        <f ca="1">IFERROR(__xludf.DUMMYFUNCTION("VLOOKUP(O27, IMPORTRANGE(""https://docs.google.com/spreadsheets/d/1yDAaXNsi4Mr5FtRQL4tbmSdIzhx6_m4wkOD7IG-k_eo/edit#gid=0"", ""Maths!M:N""), 2, FALSE)"),"Distinguish between correctly and incorrectly solved problems involving the multiplication of a mixed fraction by a whole number.")</f>
        <v>Distinguish between correctly and incorrectly solved problems involving the multiplication of a mixed fraction by a whole number.</v>
      </c>
      <c r="Q27" s="10" t="str">
        <f t="shared" si="4"/>
        <v>LU001007.005</v>
      </c>
      <c r="R27" s="10" t="str">
        <f ca="1">IFERROR(__xludf.DUMMYFUNCTION("VLOOKUP(Q27, IMPORTRANGE(""https://docs.google.com/spreadsheets/d/1yDAaXNsi4Mr5FtRQL4tbmSdIzhx6_m4wkOD7IG-k_eo/edit#gid=0"", ""Maths!M:N""), 2, FALSE)"),"Judge the accuracy of solutions to mixed fraction and whole number multiplication problems, and provide reasons for the evaluation.")</f>
        <v>Judge the accuracy of solutions to mixed fraction and whole number multiplication problems, and provide reasons for the evaluation.</v>
      </c>
      <c r="S27" s="10" t="str">
        <f t="shared" si="5"/>
        <v>LU001007.006</v>
      </c>
      <c r="T27" s="10" t="str">
        <f ca="1">IFERROR(__xludf.DUMMYFUNCTION("VLOOKUP(S27, IMPORTRANGE(""https://docs.google.com/spreadsheets/d/1yDAaXNsi4Mr5FtRQL4tbmSdIzhx6_m4wkOD7IG-k_eo/edit#gid=0"", ""Maths!M:N""), 2, FALSE)"),"#N/A")</f>
        <v>#N/A</v>
      </c>
      <c r="U27" s="11">
        <f ca="1">IFERROR(__xludf.DUMMYFUNCTION("ArrayFormula(VLOOKUP(G27, IMPORTRANGE(""https://docs.google.com/spreadsheets/d/1p7R4vtkWt5VOBim4ltsDG9KTzSjrtKXsMtQGXPHyND0/edit#gid=795171502"", ""'Filter 30_05_2024'!A1:M2000""), {2, 3, 4, 5,6,7,8,9,10,11,12,13}, 0))"),4)</f>
        <v>4</v>
      </c>
      <c r="V27" s="11">
        <f ca="1">IFERROR(__xludf.DUMMYFUNCTION("""COMPUTED_VALUE"""),10)</f>
        <v>10</v>
      </c>
      <c r="W27" s="11">
        <f ca="1">IFERROR(__xludf.DUMMYFUNCTION("""COMPUTED_VALUE"""),2)</f>
        <v>2</v>
      </c>
      <c r="X27" s="11">
        <f ca="1">IFERROR(__xludf.DUMMYFUNCTION("""COMPUTED_VALUE"""),16)</f>
        <v>16</v>
      </c>
      <c r="Y27" s="11">
        <f ca="1">IFERROR(__xludf.DUMMYFUNCTION("""COMPUTED_VALUE"""),4)</f>
        <v>4</v>
      </c>
      <c r="Z27" s="12">
        <f ca="1">IFERROR(__xludf.DUMMYFUNCTION("""COMPUTED_VALUE"""),2)</f>
        <v>2</v>
      </c>
      <c r="AA27" s="12">
        <f ca="1">IFERROR(__xludf.DUMMYFUNCTION("""COMPUTED_VALUE"""),1)</f>
        <v>1</v>
      </c>
      <c r="AB27" s="12">
        <f ca="1">IFERROR(__xludf.DUMMYFUNCTION("""COMPUTED_VALUE"""),7)</f>
        <v>7</v>
      </c>
      <c r="AC27" s="12"/>
      <c r="AD27" s="12"/>
      <c r="AE27" s="12"/>
      <c r="AF27" s="12"/>
      <c r="AG27" s="13" t="str">
        <f ca="1">IFERROR(__xludf.DUMMYFUNCTION("ArrayFormula(VLOOKUP(G27, IMPORTRANGE(""https://docs.google.com/spreadsheets/d/1Co934fvtviyaRiMsrIlT05Jaq7iiYq07aLvRr35KA48/edit?gid=173865642#gid=173865642"", ""'G7_Maths_Pri_LU'!G2:V2000""), {3, 4, 5, 6, 7, 8, 9, 10, 11, 12, 13, 14, 15, 16}, 0))"),"LU001006")</f>
        <v>LU001006</v>
      </c>
      <c r="AH27" s="13" t="str">
        <f ca="1">IFERROR(__xludf.DUMMYFUNCTION("""COMPUTED_VALUE"""),"Multiplication of an improper fraction by a whole number")</f>
        <v>Multiplication of an improper fraction by a whole number</v>
      </c>
      <c r="AI27" s="13" t="str">
        <f ca="1">IFERROR(__xludf.DUMMYFUNCTION("""COMPUTED_VALUE"""),"LU000976")</f>
        <v>LU000976</v>
      </c>
      <c r="AJ27" s="13" t="str">
        <f ca="1">IFERROR(__xludf.DUMMYFUNCTION("""COMPUTED_VALUE"""),"Conversion of mixed fraction to improper fraction ")</f>
        <v xml:space="preserve">Conversion of mixed fraction to improper fraction </v>
      </c>
      <c r="AK27" s="13" t="str">
        <f ca="1">IFERROR(__xludf.DUMMYFUNCTION("""COMPUTED_VALUE"""),"LU001006")</f>
        <v>LU001006</v>
      </c>
      <c r="AL27" s="13" t="str">
        <f ca="1">IFERROR(__xludf.DUMMYFUNCTION("""COMPUTED_VALUE"""),"Multiplication of an improper fraction by a whole number")</f>
        <v>Multiplication of an improper fraction by a whole number</v>
      </c>
      <c r="AM27" s="13"/>
      <c r="AN27" s="13"/>
      <c r="AO27" s="13"/>
      <c r="AP27" s="13"/>
      <c r="AQ27" s="13"/>
      <c r="AR27" s="13"/>
      <c r="AS27" s="13"/>
      <c r="AT27" s="13"/>
    </row>
    <row r="28" spans="1:46">
      <c r="A28" s="8" t="s">
        <v>247</v>
      </c>
      <c r="B28" s="8" t="s">
        <v>47</v>
      </c>
      <c r="C28" s="8" t="s">
        <v>416</v>
      </c>
      <c r="D28" s="8" t="s">
        <v>49</v>
      </c>
      <c r="E28" s="8" t="s">
        <v>450</v>
      </c>
      <c r="F28" s="8" t="s">
        <v>455</v>
      </c>
      <c r="G28" s="8" t="s">
        <v>456</v>
      </c>
      <c r="H28" s="8" t="str">
        <f ca="1">IFERROR(__xludf.DUMMYFUNCTION("VLOOKUP(G28, IMPORTRANGE(""https://docs.google.com/spreadsheets/d/14deopnvwcrKtEGCKuYXdUHJbeLDZlkiSSWWT0g7x2pM/edit#gid=999382323"", ""LU List Maths (Filter)!A:B""), 2, FALSE)"),"Multiplication of a proper fraction by another fraction(proper, improper and mixed)")</f>
        <v>Multiplication of a proper fraction by another fraction(proper, improper and mixed)</v>
      </c>
      <c r="I28" s="10" t="str">
        <f t="shared" si="0"/>
        <v>LU001008.001</v>
      </c>
      <c r="J28" s="10" t="str">
        <f ca="1">IFERROR(__xludf.DUMMYFUNCTION("VLOOKUP(I28, IMPORTRANGE(""https://docs.google.com/spreadsheets/d/1yDAaXNsi4Mr5FtRQL4tbmSdIzhx6_m4wkOD7IG-k_eo/edit#gid=0"", ""Maths!M:N""), 2, FALSE)"),"List the steps to multiply a proper fraction by another fraction (proper, improper, or mixed).")</f>
        <v>List the steps to multiply a proper fraction by another fraction (proper, improper, or mixed).</v>
      </c>
      <c r="K28" s="10" t="str">
        <f t="shared" si="1"/>
        <v>LU001008.002</v>
      </c>
      <c r="L28" s="10" t="str">
        <f ca="1">IFERROR(__xludf.DUMMYFUNCTION("VLOOKUP(K28, IMPORTRANGE(""https://docs.google.com/spreadsheets/d/1yDAaXNsi4Mr5FtRQL4tbmSdIzhx6_m4wkOD7IG-k_eo/edit#gid=0"", ""Maths!M:N""), 2, FALSE)"),"Interpret the concept of multiplying a proper fraction by various types of fractions with examples.")</f>
        <v>Interpret the concept of multiplying a proper fraction by various types of fractions with examples.</v>
      </c>
      <c r="M28" s="10" t="str">
        <f t="shared" si="2"/>
        <v>LU001008.003</v>
      </c>
      <c r="N28" s="10" t="str">
        <f ca="1">IFERROR(__xludf.DUMMYFUNCTION("VLOOKUP(M28, IMPORTRANGE(""https://docs.google.com/spreadsheets/d/1yDAaXNsi4Mr5FtRQL4tbmSdIzhx6_m4wkOD7IG-k_eo/edit#gid=0"", ""Maths!M:N""), 2, FALSE)"),"Execute multiplication problems involving a proper fraction and another fraction (proper, improper, or mixed).")</f>
        <v>Execute multiplication problems involving a proper fraction and another fraction (proper, improper, or mixed).</v>
      </c>
      <c r="O28" s="10" t="str">
        <f t="shared" si="3"/>
        <v>LU001008.004</v>
      </c>
      <c r="P28" s="10" t="str">
        <f ca="1">IFERROR(__xludf.DUMMYFUNCTION("VLOOKUP(O28, IMPORTRANGE(""https://docs.google.com/spreadsheets/d/1yDAaXNsi4Mr5FtRQL4tbmSdIzhx6_m4wkOD7IG-k_eo/edit#gid=0"", ""Maths!M:N""), 2, FALSE)"),"Examine and differentiate between correctly and incorrectly solved examples of multiplying a proper fraction by another fraction.")</f>
        <v>Examine and differentiate between correctly and incorrectly solved examples of multiplying a proper fraction by another fraction.</v>
      </c>
      <c r="Q28" s="10" t="str">
        <f t="shared" si="4"/>
        <v>LU001008.005</v>
      </c>
      <c r="R28" s="10" t="str">
        <f ca="1">IFERROR(__xludf.DUMMYFUNCTION("VLOOKUP(Q28, IMPORTRANGE(""https://docs.google.com/spreadsheets/d/1yDAaXNsi4Mr5FtRQL4tbmSdIzhx6_m4wkOD7IG-k_eo/edit#gid=0"", ""Maths!M:N""), 2, FALSE)"),"Critique solutions to problems that involve multiplying a proper fraction by another fraction, explaining the rationale behind correct and incorrect methods.")</f>
        <v>Critique solutions to problems that involve multiplying a proper fraction by another fraction, explaining the rationale behind correct and incorrect methods.</v>
      </c>
      <c r="S28" s="10" t="str">
        <f t="shared" si="5"/>
        <v>LU001008.006</v>
      </c>
      <c r="T28" s="10" t="str">
        <f ca="1">IFERROR(__xludf.DUMMYFUNCTION("VLOOKUP(S28, IMPORTRANGE(""https://docs.google.com/spreadsheets/d/1yDAaXNsi4Mr5FtRQL4tbmSdIzhx6_m4wkOD7IG-k_eo/edit#gid=0"", ""Maths!M:N""), 2, FALSE)"),"#N/A")</f>
        <v>#N/A</v>
      </c>
      <c r="U28" s="11">
        <f ca="1">IFERROR(__xludf.DUMMYFUNCTION("ArrayFormula(VLOOKUP(G28, IMPORTRANGE(""https://docs.google.com/spreadsheets/d/1p7R4vtkWt5VOBim4ltsDG9KTzSjrtKXsMtQGXPHyND0/edit#gid=795171502"", ""'Filter 30_05_2024'!A1:M2000""), {2, 3, 4, 5,6,7,8,9,10,11,12,13}, 0))"),4)</f>
        <v>4</v>
      </c>
      <c r="V28" s="11">
        <f ca="1">IFERROR(__xludf.DUMMYFUNCTION("""COMPUTED_VALUE"""),6)</f>
        <v>6</v>
      </c>
      <c r="W28" s="11"/>
      <c r="X28" s="11">
        <f ca="1">IFERROR(__xludf.DUMMYFUNCTION("""COMPUTED_VALUE"""),10)</f>
        <v>10</v>
      </c>
      <c r="Y28" s="11">
        <f ca="1">IFERROR(__xludf.DUMMYFUNCTION("""COMPUTED_VALUE"""),4)</f>
        <v>4</v>
      </c>
      <c r="Z28" s="12">
        <f ca="1">IFERROR(__xludf.DUMMYFUNCTION("""COMPUTED_VALUE"""),3)</f>
        <v>3</v>
      </c>
      <c r="AA28" s="12">
        <f ca="1">IFERROR(__xludf.DUMMYFUNCTION("""COMPUTED_VALUE"""),1)</f>
        <v>1</v>
      </c>
      <c r="AB28" s="12">
        <f ca="1">IFERROR(__xludf.DUMMYFUNCTION("""COMPUTED_VALUE"""),8)</f>
        <v>8</v>
      </c>
      <c r="AC28" s="12"/>
      <c r="AD28" s="12"/>
      <c r="AE28" s="12"/>
      <c r="AF28" s="12"/>
      <c r="AG28" s="13" t="str">
        <f ca="1">IFERROR(__xludf.DUMMYFUNCTION("ArrayFormula(VLOOKUP(G28, IMPORTRANGE(""https://docs.google.com/spreadsheets/d/1Co934fvtviyaRiMsrIlT05Jaq7iiYq07aLvRr35KA48/edit?gid=173865642#gid=173865642"", ""'G7_Maths_Pri_LU'!G2:V2000""), {3, 4, 5, 6, 7, 8, 9, 10, 11, 12, 13, 14, 15, 16}, 0))"),"LU001005")</f>
        <v>LU001005</v>
      </c>
      <c r="AH28" s="13" t="str">
        <f ca="1">IFERROR(__xludf.DUMMYFUNCTION("""COMPUTED_VALUE"""),"Multiplication of a proper fraction by a whole number")</f>
        <v>Multiplication of a proper fraction by a whole number</v>
      </c>
      <c r="AI28" s="13" t="str">
        <f ca="1">IFERROR(__xludf.DUMMYFUNCTION("""COMPUTED_VALUE"""),"LU001007")</f>
        <v>LU001007</v>
      </c>
      <c r="AJ28" s="13" t="str">
        <f ca="1">IFERROR(__xludf.DUMMYFUNCTION("""COMPUTED_VALUE"""),"Multiplication of a mixed fraction by a whole number")</f>
        <v>Multiplication of a mixed fraction by a whole number</v>
      </c>
      <c r="AK28" s="13" t="str">
        <f ca="1">IFERROR(__xludf.DUMMYFUNCTION("""COMPUTED_VALUE"""),"LU000281")</f>
        <v>LU000281</v>
      </c>
      <c r="AL28" s="13" t="str">
        <f ca="1">IFERROR(__xludf.DUMMYFUNCTION("""COMPUTED_VALUE"""),"Definition of proper fractions")</f>
        <v>Definition of proper fractions</v>
      </c>
      <c r="AM28" s="13" t="str">
        <f ca="1">IFERROR(__xludf.DUMMYFUNCTION("""COMPUTED_VALUE"""),"LU000282")</f>
        <v>LU000282</v>
      </c>
      <c r="AN28" s="13" t="str">
        <f ca="1">IFERROR(__xludf.DUMMYFUNCTION("""COMPUTED_VALUE"""),"Definition of improper fractions")</f>
        <v>Definition of improper fractions</v>
      </c>
      <c r="AO28" s="13" t="str">
        <f ca="1">IFERROR(__xludf.DUMMYFUNCTION("""COMPUTED_VALUE"""),"LU000283")</f>
        <v>LU000283</v>
      </c>
      <c r="AP28" s="13" t="str">
        <f ca="1">IFERROR(__xludf.DUMMYFUNCTION("""COMPUTED_VALUE"""),"Definition of mixed fractions")</f>
        <v>Definition of mixed fractions</v>
      </c>
      <c r="AQ28" s="13" t="str">
        <f ca="1">IFERROR(__xludf.DUMMYFUNCTION("""COMPUTED_VALUE"""),"LU001006")</f>
        <v>LU001006</v>
      </c>
      <c r="AR28" s="13" t="str">
        <f ca="1">IFERROR(__xludf.DUMMYFUNCTION("""COMPUTED_VALUE"""),"Multiplication of an improper fraction by a whole number")</f>
        <v>Multiplication of an improper fraction by a whole number</v>
      </c>
      <c r="AS28" s="13"/>
      <c r="AT28" s="13"/>
    </row>
    <row r="29" spans="1:46">
      <c r="A29" s="8" t="s">
        <v>247</v>
      </c>
      <c r="B29" s="8" t="s">
        <v>47</v>
      </c>
      <c r="C29" s="8" t="s">
        <v>416</v>
      </c>
      <c r="D29" s="8" t="s">
        <v>49</v>
      </c>
      <c r="E29" s="8" t="s">
        <v>450</v>
      </c>
      <c r="F29" s="8" t="s">
        <v>455</v>
      </c>
      <c r="G29" s="8" t="s">
        <v>457</v>
      </c>
      <c r="H29" s="8" t="str">
        <f ca="1">IFERROR(__xludf.DUMMYFUNCTION("VLOOKUP(G29, IMPORTRANGE(""https://docs.google.com/spreadsheets/d/14deopnvwcrKtEGCKuYXdUHJbeLDZlkiSSWWT0g7x2pM/edit#gid=999382323"", ""LU List Maths (Filter)!A:B""), 2, FALSE)"),"Multiplication of an improper fraction by another fraction(proper, improper and mixed)")</f>
        <v>Multiplication of an improper fraction by another fraction(proper, improper and mixed)</v>
      </c>
      <c r="I29" s="10" t="str">
        <f t="shared" si="0"/>
        <v>LU001009.001</v>
      </c>
      <c r="J29" s="10" t="str">
        <f ca="1">IFERROR(__xludf.DUMMYFUNCTION("VLOOKUP(I29, IMPORTRANGE(""https://docs.google.com/spreadsheets/d/1yDAaXNsi4Mr5FtRQL4tbmSdIzhx6_m4wkOD7IG-k_eo/edit#gid=0"", ""Maths!M:N""), 2, FALSE)"),"Outline steps for multiplying an improper fraction by various fractions.")</f>
        <v>Outline steps for multiplying an improper fraction by various fractions.</v>
      </c>
      <c r="K29" s="10" t="str">
        <f t="shared" si="1"/>
        <v>LU001009.002</v>
      </c>
      <c r="L29" s="10" t="str">
        <f ca="1">IFERROR(__xludf.DUMMYFUNCTION("VLOOKUP(K29, IMPORTRANGE(""https://docs.google.com/spreadsheets/d/1yDAaXNsi4Mr5FtRQL4tbmSdIzhx6_m4wkOD7IG-k_eo/edit#gid=0"", ""Maths!M:N""), 2, FALSE)"),"Summarize the multiplication of an improper fraction by different fraction types.")</f>
        <v>Summarize the multiplication of an improper fraction by different fraction types.</v>
      </c>
      <c r="M29" s="10" t="str">
        <f t="shared" si="2"/>
        <v>LU001009.003</v>
      </c>
      <c r="N29" s="10" t="str">
        <f ca="1">IFERROR(__xludf.DUMMYFUNCTION("VLOOKUP(M29, IMPORTRANGE(""https://docs.google.com/spreadsheets/d/1yDAaXNsi4Mr5FtRQL4tbmSdIzhx6_m4wkOD7IG-k_eo/edit#gid=0"", ""Maths!M:N""), 2, FALSE)"),"Compute products of an improper fraction with proper, improper, and mixed fractions.")</f>
        <v>Compute products of an improper fraction with proper, improper, and mixed fractions.</v>
      </c>
      <c r="O29" s="10" t="str">
        <f t="shared" si="3"/>
        <v>LU001009.004</v>
      </c>
      <c r="P29" s="10" t="str">
        <f ca="1">IFERROR(__xludf.DUMMYFUNCTION("VLOOKUP(O29, IMPORTRANGE(""https://docs.google.com/spreadsheets/d/1yDAaXNsi4Mr5FtRQL4tbmSdIzhx6_m4wkOD7IG-k_eo/edit#gid=0"", ""Maths!M:N""), 2, FALSE)"),"Differentiate correct and incorrect multiplication methods of improper fractions with others.")</f>
        <v>Differentiate correct and incorrect multiplication methods of improper fractions with others.</v>
      </c>
      <c r="Q29" s="10" t="str">
        <f t="shared" si="4"/>
        <v>LU001009.005</v>
      </c>
      <c r="R29" s="10" t="str">
        <f ca="1">IFERROR(__xludf.DUMMYFUNCTION("VLOOKUP(Q29, IMPORTRANGE(""https://docs.google.com/spreadsheets/d/1yDAaXNsi4Mr5FtRQL4tbmSdIzhx6_m4wkOD7IG-k_eo/edit#gid=0"", ""Maths!M:N""), 2, FALSE)"),"Assess the accuracy of multiplication solutions involving improper and other fractions.")</f>
        <v>Assess the accuracy of multiplication solutions involving improper and other fractions.</v>
      </c>
      <c r="S29" s="10" t="str">
        <f t="shared" si="5"/>
        <v>LU001009.006</v>
      </c>
      <c r="T29" s="10" t="str">
        <f ca="1">IFERROR(__xludf.DUMMYFUNCTION("VLOOKUP(S29, IMPORTRANGE(""https://docs.google.com/spreadsheets/d/1yDAaXNsi4Mr5FtRQL4tbmSdIzhx6_m4wkOD7IG-k_eo/edit#gid=0"", ""Maths!M:N""), 2, FALSE)"),"#N/A")</f>
        <v>#N/A</v>
      </c>
      <c r="U29" s="11">
        <f ca="1">IFERROR(__xludf.DUMMYFUNCTION("ArrayFormula(VLOOKUP(G29, IMPORTRANGE(""https://docs.google.com/spreadsheets/d/1p7R4vtkWt5VOBim4ltsDG9KTzSjrtKXsMtQGXPHyND0/edit#gid=795171502"", ""'Filter 30_05_2024'!A1:M2000""), {2, 3, 4, 5,6,7,8,9,10,11,12,13}, 0))"),4)</f>
        <v>4</v>
      </c>
      <c r="V29" s="11">
        <f ca="1">IFERROR(__xludf.DUMMYFUNCTION("""COMPUTED_VALUE"""),8)</f>
        <v>8</v>
      </c>
      <c r="W29" s="11">
        <f ca="1">IFERROR(__xludf.DUMMYFUNCTION("""COMPUTED_VALUE"""),2)</f>
        <v>2</v>
      </c>
      <c r="X29" s="11">
        <f ca="1">IFERROR(__xludf.DUMMYFUNCTION("""COMPUTED_VALUE"""),14)</f>
        <v>14</v>
      </c>
      <c r="Y29" s="11">
        <f ca="1">IFERROR(__xludf.DUMMYFUNCTION("""COMPUTED_VALUE"""),4)</f>
        <v>4</v>
      </c>
      <c r="Z29" s="12">
        <f ca="1">IFERROR(__xludf.DUMMYFUNCTION("""COMPUTED_VALUE"""),4)</f>
        <v>4</v>
      </c>
      <c r="AA29" s="12">
        <f ca="1">IFERROR(__xludf.DUMMYFUNCTION("""COMPUTED_VALUE"""),1)</f>
        <v>1</v>
      </c>
      <c r="AB29" s="12">
        <f ca="1">IFERROR(__xludf.DUMMYFUNCTION("""COMPUTED_VALUE"""),9)</f>
        <v>9</v>
      </c>
      <c r="AC29" s="12"/>
      <c r="AD29" s="12"/>
      <c r="AE29" s="12"/>
      <c r="AF29" s="12"/>
      <c r="AG29" s="13" t="str">
        <f ca="1">IFERROR(__xludf.DUMMYFUNCTION("ArrayFormula(VLOOKUP(G29, IMPORTRANGE(""https://docs.google.com/spreadsheets/d/1Co934fvtviyaRiMsrIlT05Jaq7iiYq07aLvRr35KA48/edit?gid=173865642#gid=173865642"", ""'G7_Maths_Pri_LU'!G2:V2000""), {3, 4, 5, 6, 7, 8, 9, 10, 11, 12, 13, 14, 15, 16}, 0))"),"LU001008")</f>
        <v>LU001008</v>
      </c>
      <c r="AH29" s="13" t="str">
        <f ca="1">IFERROR(__xludf.DUMMYFUNCTION("""COMPUTED_VALUE"""),"Multiplication of a proper fraction by another fraction(proper, improper and mixed)")</f>
        <v>Multiplication of a proper fraction by another fraction(proper, improper and mixed)</v>
      </c>
      <c r="AI29" s="13"/>
      <c r="AJ29" s="13"/>
      <c r="AK29" s="13"/>
      <c r="AL29" s="13"/>
      <c r="AM29" s="13"/>
      <c r="AN29" s="13"/>
      <c r="AO29" s="13"/>
      <c r="AP29" s="13"/>
      <c r="AQ29" s="13"/>
      <c r="AR29" s="13"/>
      <c r="AS29" s="13"/>
      <c r="AT29" s="13"/>
    </row>
    <row r="30" spans="1:46">
      <c r="A30" s="8" t="s">
        <v>247</v>
      </c>
      <c r="B30" s="8" t="s">
        <v>47</v>
      </c>
      <c r="C30" s="8" t="s">
        <v>416</v>
      </c>
      <c r="D30" s="8" t="s">
        <v>49</v>
      </c>
      <c r="E30" s="8" t="s">
        <v>450</v>
      </c>
      <c r="F30" s="8" t="s">
        <v>455</v>
      </c>
      <c r="G30" s="8" t="s">
        <v>458</v>
      </c>
      <c r="H30" s="42" t="str">
        <f ca="1">IFERROR(__xludf.DUMMYFUNCTION("VLOOKUP(G30, IMPORTRANGE(""https://docs.google.com/spreadsheets/d/14deopnvwcrKtEGCKuYXdUHJbeLDZlkiSSWWT0g7x2pM/edit#gid=999382323"", ""LU List Maths (Filter)!A:B""), 2, FALSE)"),"Multiplication of a mixed fraction by another fraction(proper, improper and mixed)")</f>
        <v>Multiplication of a mixed fraction by another fraction(proper, improper and mixed)</v>
      </c>
      <c r="I30" s="10" t="str">
        <f t="shared" si="0"/>
        <v>LU001010.001</v>
      </c>
      <c r="J30" s="10" t="str">
        <f ca="1">IFERROR(__xludf.DUMMYFUNCTION("VLOOKUP(I30, IMPORTRANGE(""https://docs.google.com/spreadsheets/d/1yDAaXNsi4Mr5FtRQL4tbmSdIzhx6_m4wkOD7IG-k_eo/edit#gid=0"", ""Maths!M:N""), 2, FALSE)"),"Identify the process for multiplying a mixed fraction by different types of fractions.")</f>
        <v>Identify the process for multiplying a mixed fraction by different types of fractions.</v>
      </c>
      <c r="K30" s="10" t="str">
        <f t="shared" si="1"/>
        <v>LU001010.002</v>
      </c>
      <c r="L30" s="10" t="str">
        <f ca="1">IFERROR(__xludf.DUMMYFUNCTION("VLOOKUP(K30, IMPORTRANGE(""https://docs.google.com/spreadsheets/d/1yDAaXNsi4Mr5FtRQL4tbmSdIzhx6_m4wkOD7IG-k_eo/edit#gid=0"", ""Maths!M:N""), 2, FALSE)"),"Explain the multiplication of a mixed fraction with various fractions using examples.")</f>
        <v>Explain the multiplication of a mixed fraction with various fractions using examples.</v>
      </c>
      <c r="M30" s="10" t="str">
        <f t="shared" si="2"/>
        <v>LU001010.003</v>
      </c>
      <c r="N30" s="10" t="str">
        <f ca="1">IFERROR(__xludf.DUMMYFUNCTION("VLOOKUP(M30, IMPORTRANGE(""https://docs.google.com/spreadsheets/d/1yDAaXNsi4Mr5FtRQL4tbmSdIzhx6_m4wkOD7IG-k_eo/edit#gid=0"", ""Maths!M:N""), 2, FALSE)"),"Calculate the product of mixed fractions with proper, improper, and mixed fractions.")</f>
        <v>Calculate the product of mixed fractions with proper, improper, and mixed fractions.</v>
      </c>
      <c r="O30" s="10" t="str">
        <f t="shared" si="3"/>
        <v>LU001010.004</v>
      </c>
      <c r="P30" s="10" t="str">
        <f ca="1">IFERROR(__xludf.DUMMYFUNCTION("VLOOKUP(O30, IMPORTRANGE(""https://docs.google.com/spreadsheets/d/1yDAaXNsi4Mr5FtRQL4tbmSdIzhx6_m4wkOD7IG-k_eo/edit#gid=0"", ""Maths!M:N""), 2, FALSE)"),"Evaluate solutions to distinguish correct from incorrect multiplication of mixed fractions with others.")</f>
        <v>Evaluate solutions to distinguish correct from incorrect multiplication of mixed fractions with others.</v>
      </c>
      <c r="Q30" s="10" t="str">
        <f t="shared" si="4"/>
        <v>LU001010.005</v>
      </c>
      <c r="R30" s="10" t="str">
        <f ca="1">IFERROR(__xludf.DUMMYFUNCTION("VLOOKUP(Q30, IMPORTRANGE(""https://docs.google.com/spreadsheets/d/1yDAaXNsi4Mr5FtRQL4tbmSdIzhx6_m4wkOD7IG-k_eo/edit#gid=0"", ""Maths!M:N""), 2, FALSE)"),"Judge the accuracy of solutions in multiplying mixed fractions by other fractions.")</f>
        <v>Judge the accuracy of solutions in multiplying mixed fractions by other fractions.</v>
      </c>
      <c r="S30" s="10" t="str">
        <f t="shared" si="5"/>
        <v>LU001010.006</v>
      </c>
      <c r="T30" s="10" t="str">
        <f ca="1">IFERROR(__xludf.DUMMYFUNCTION("VLOOKUP(S30, IMPORTRANGE(""https://docs.google.com/spreadsheets/d/1yDAaXNsi4Mr5FtRQL4tbmSdIzhx6_m4wkOD7IG-k_eo/edit#gid=0"", ""Maths!M:N""), 2, FALSE)"),"#N/A")</f>
        <v>#N/A</v>
      </c>
      <c r="U30" s="11">
        <f ca="1">IFERROR(__xludf.DUMMYFUNCTION("ArrayFormula(VLOOKUP(G30, IMPORTRANGE(""https://docs.google.com/spreadsheets/d/1p7R4vtkWt5VOBim4ltsDG9KTzSjrtKXsMtQGXPHyND0/edit#gid=795171502"", ""'Filter 30_05_2024'!A1:M2000""), {2, 3, 4, 5,6,7,8,9,10,11,12,13}, 0))"),4)</f>
        <v>4</v>
      </c>
      <c r="V30" s="11">
        <f ca="1">IFERROR(__xludf.DUMMYFUNCTION("""COMPUTED_VALUE"""),5)</f>
        <v>5</v>
      </c>
      <c r="W30" s="11">
        <f ca="1">IFERROR(__xludf.DUMMYFUNCTION("""COMPUTED_VALUE"""),2)</f>
        <v>2</v>
      </c>
      <c r="X30" s="11">
        <f ca="1">IFERROR(__xludf.DUMMYFUNCTION("""COMPUTED_VALUE"""),11)</f>
        <v>11</v>
      </c>
      <c r="Y30" s="11">
        <f ca="1">IFERROR(__xludf.DUMMYFUNCTION("""COMPUTED_VALUE"""),4)</f>
        <v>4</v>
      </c>
      <c r="Z30" s="12">
        <f ca="1">IFERROR(__xludf.DUMMYFUNCTION("""COMPUTED_VALUE"""),5)</f>
        <v>5</v>
      </c>
      <c r="AA30" s="12">
        <f ca="1">IFERROR(__xludf.DUMMYFUNCTION("""COMPUTED_VALUE"""),1)</f>
        <v>1</v>
      </c>
      <c r="AB30" s="12">
        <f ca="1">IFERROR(__xludf.DUMMYFUNCTION("""COMPUTED_VALUE"""),10)</f>
        <v>10</v>
      </c>
      <c r="AC30" s="12"/>
      <c r="AD30" s="12"/>
      <c r="AE30" s="12"/>
      <c r="AF30" s="12"/>
      <c r="AG30" s="13" t="str">
        <f ca="1">IFERROR(__xludf.DUMMYFUNCTION("ArrayFormula(VLOOKUP(G30, IMPORTRANGE(""https://docs.google.com/spreadsheets/d/1Co934fvtviyaRiMsrIlT05Jaq7iiYq07aLvRr35KA48/edit?gid=173865642#gid=173865642"", ""'G7_Maths_Pri_LU'!G2:V2000""), {3, 4, 5, 6, 7, 8, 9, 10, 11, 12, 13, 14, 15, 16}, 0))"),"LU001009")</f>
        <v>LU001009</v>
      </c>
      <c r="AH30" s="13" t="str">
        <f ca="1">IFERROR(__xludf.DUMMYFUNCTION("""COMPUTED_VALUE"""),"Multiplication of an improper fraction by another fraction(proper, improper and mixed)")</f>
        <v>Multiplication of an improper fraction by another fraction(proper, improper and mixed)</v>
      </c>
      <c r="AI30" s="13"/>
      <c r="AJ30" s="13"/>
      <c r="AK30" s="13"/>
      <c r="AL30" s="13"/>
      <c r="AM30" s="13"/>
      <c r="AN30" s="13"/>
      <c r="AO30" s="13"/>
      <c r="AP30" s="13"/>
      <c r="AQ30" s="13"/>
      <c r="AR30" s="13"/>
      <c r="AS30" s="13"/>
      <c r="AT30" s="13"/>
    </row>
    <row r="31" spans="1:46">
      <c r="A31" s="8" t="s">
        <v>247</v>
      </c>
      <c r="B31" s="8" t="s">
        <v>47</v>
      </c>
      <c r="C31" s="8" t="s">
        <v>416</v>
      </c>
      <c r="D31" s="8" t="s">
        <v>49</v>
      </c>
      <c r="E31" s="8" t="s">
        <v>450</v>
      </c>
      <c r="F31" s="42" t="s">
        <v>459</v>
      </c>
      <c r="G31" s="8" t="s">
        <v>460</v>
      </c>
      <c r="H31" s="42" t="str">
        <f ca="1">IFERROR(__xludf.DUMMYFUNCTION("VLOOKUP(G31, IMPORTRANGE(""https://docs.google.com/spreadsheets/d/14deopnvwcrKtEGCKuYXdUHJbeLDZlkiSSWWT0g7x2pM/edit#gid=999382323"", ""LU List Maths (Filter)!A:B""), 2, FALSE)"),"Comparison of the product value of the fractions with the original fractions")</f>
        <v>Comparison of the product value of the fractions with the original fractions</v>
      </c>
      <c r="I31" s="10" t="str">
        <f t="shared" si="0"/>
        <v>LU000368.001</v>
      </c>
      <c r="J31" s="10" t="str">
        <f ca="1">IFERROR(__xludf.DUMMYFUNCTION("VLOOKUP(I31, IMPORTRANGE(""https://docs.google.com/spreadsheets/d/1yDAaXNsi4Mr5FtRQL4tbmSdIzhx6_m4wkOD7IG-k_eo/edit#gid=0"", ""Maths!M:N""), 2, FALSE)"),"Recall that the product of two proper fractions is smaller than each fraction.")</f>
        <v>Recall that the product of two proper fractions is smaller than each fraction.</v>
      </c>
      <c r="K31" s="10" t="str">
        <f t="shared" si="1"/>
        <v>LU000368.002</v>
      </c>
      <c r="L31" s="10" t="str">
        <f ca="1">IFERROR(__xludf.DUMMYFUNCTION("VLOOKUP(K31, IMPORTRANGE(""https://docs.google.com/spreadsheets/d/1yDAaXNsi4Mr5FtRQL4tbmSdIzhx6_m4wkOD7IG-k_eo/edit#gid=0"", ""Maths!M:N""), 2, FALSE)"),"Explain the relationships between product value and fractions for different cases.")</f>
        <v>Explain the relationships between product value and fractions for different cases.</v>
      </c>
      <c r="M31" s="10" t="str">
        <f t="shared" si="2"/>
        <v>LU000368.003</v>
      </c>
      <c r="N31" s="10" t="str">
        <f ca="1">IFERROR(__xludf.DUMMYFUNCTION("VLOOKUP(M31, IMPORTRANGE(""https://docs.google.com/spreadsheets/d/1yDAaXNsi4Mr5FtRQL4tbmSdIzhx6_m4wkOD7IG-k_eo/edit#gid=0"", ""Maths!M:N""), 2, FALSE)"),"Apply fraction multiplication to determine product values for comparison.")</f>
        <v>Apply fraction multiplication to determine product values for comparison.</v>
      </c>
      <c r="O31" s="10" t="str">
        <f t="shared" si="3"/>
        <v>LU000368.004</v>
      </c>
      <c r="P31" s="10" t="str">
        <f ca="1">IFERROR(__xludf.DUMMYFUNCTION("VLOOKUP(O31, IMPORTRANGE(""https://docs.google.com/spreadsheets/d/1yDAaXNsi4Mr5FtRQL4tbmSdIzhx6_m4wkOD7IG-k_eo/edit#gid=0"", ""Maths!M:N""), 2, FALSE)"),"Analyse the conditions under which product values are smaller or larger than fractions.")</f>
        <v>Analyse the conditions under which product values are smaller or larger than fractions.</v>
      </c>
      <c r="Q31" s="10" t="str">
        <f t="shared" si="4"/>
        <v>LU000368.005</v>
      </c>
      <c r="R31" s="10" t="str">
        <f ca="1">IFERROR(__xludf.DUMMYFUNCTION("VLOOKUP(Q31, IMPORTRANGE(""https://docs.google.com/spreadsheets/d/1yDAaXNsi4Mr5FtRQL4tbmSdIzhx6_m4wkOD7IG-k_eo/edit#gid=0"", ""Maths!M:N""), 2, FALSE)"),"Evaluate the accuracy of statements about fraction product comparisons.")</f>
        <v>Evaluate the accuracy of statements about fraction product comparisons.</v>
      </c>
      <c r="S31" s="10" t="str">
        <f t="shared" si="5"/>
        <v>LU000368.006</v>
      </c>
      <c r="T31" s="10" t="str">
        <f ca="1">IFERROR(__xludf.DUMMYFUNCTION("VLOOKUP(S31, IMPORTRANGE(""https://docs.google.com/spreadsheets/d/1yDAaXNsi4Mr5FtRQL4tbmSdIzhx6_m4wkOD7IG-k_eo/edit#gid=0"", ""Maths!M:N""), 2, FALSE)"),"#N/A")</f>
        <v>#N/A</v>
      </c>
      <c r="U31" s="11">
        <f ca="1">IFERROR(__xludf.DUMMYFUNCTION("ArrayFormula(VLOOKUP(G31, IMPORTRANGE(""https://docs.google.com/spreadsheets/d/1p7R4vtkWt5VOBim4ltsDG9KTzSjrtKXsMtQGXPHyND0/edit#gid=795171502"", ""'Filter 30_05_2024'!A1:M2000""), {2, 3, 4, 5,6,7,8,9,10,11,12,13}, 0))"),3)</f>
        <v>3</v>
      </c>
      <c r="V31" s="11">
        <f ca="1">IFERROR(__xludf.DUMMYFUNCTION("""COMPUTED_VALUE"""),4)</f>
        <v>4</v>
      </c>
      <c r="W31" s="11">
        <f ca="1">IFERROR(__xludf.DUMMYFUNCTION("""COMPUTED_VALUE"""),2)</f>
        <v>2</v>
      </c>
      <c r="X31" s="11">
        <f ca="1">IFERROR(__xludf.DUMMYFUNCTION("""COMPUTED_VALUE"""),9)</f>
        <v>9</v>
      </c>
      <c r="Y31" s="11">
        <f ca="1">IFERROR(__xludf.DUMMYFUNCTION("""COMPUTED_VALUE"""),4)</f>
        <v>4</v>
      </c>
      <c r="Z31" s="12">
        <f ca="1">IFERROR(__xludf.DUMMYFUNCTION("""COMPUTED_VALUE"""),6)</f>
        <v>6</v>
      </c>
      <c r="AA31" s="12">
        <f ca="1">IFERROR(__xludf.DUMMYFUNCTION("""COMPUTED_VALUE"""),1)</f>
        <v>1</v>
      </c>
      <c r="AB31" s="12">
        <f ca="1">IFERROR(__xludf.DUMMYFUNCTION("""COMPUTED_VALUE"""),11)</f>
        <v>11</v>
      </c>
      <c r="AC31" s="12"/>
      <c r="AD31" s="12"/>
      <c r="AE31" s="12"/>
      <c r="AF31" s="12"/>
      <c r="AG31" s="13" t="str">
        <f ca="1">IFERROR(__xludf.DUMMYFUNCTION("ArrayFormula(VLOOKUP(G31, IMPORTRANGE(""https://docs.google.com/spreadsheets/d/1Co934fvtviyaRiMsrIlT05Jaq7iiYq07aLvRr35KA48/edit?gid=173865642#gid=173865642"", ""'G7_Maths_Pri_LU'!G2:V2000""), {3, 4, 5, 6, 7, 8, 9, 10, 11, 12, 13, 14, 15, 16}, 0))"),"LU000287")</f>
        <v>LU000287</v>
      </c>
      <c r="AH31" s="13" t="str">
        <f ca="1">IFERROR(__xludf.DUMMYFUNCTION("""COMPUTED_VALUE"""),"Comparison of fractions")</f>
        <v>Comparison of fractions</v>
      </c>
      <c r="AI31" s="13" t="str">
        <f ca="1">IFERROR(__xludf.DUMMYFUNCTION("""COMPUTED_VALUE"""),"LU001010")</f>
        <v>LU001010</v>
      </c>
      <c r="AJ31" s="13" t="str">
        <f ca="1">IFERROR(__xludf.DUMMYFUNCTION("""COMPUTED_VALUE"""),"Multiplication of a mixed fraction by another fraction(proper, improper and mixed)")</f>
        <v>Multiplication of a mixed fraction by another fraction(proper, improper and mixed)</v>
      </c>
      <c r="AK31" s="13" t="str">
        <f ca="1">IFERROR(__xludf.DUMMYFUNCTION("""COMPUTED_VALUE"""),"LU001009")</f>
        <v>LU001009</v>
      </c>
      <c r="AL31" s="13" t="str">
        <f ca="1">IFERROR(__xludf.DUMMYFUNCTION("""COMPUTED_VALUE"""),"Multiplication of an improper fraction by another fraction(proper, improper and mixed)")</f>
        <v>Multiplication of an improper fraction by another fraction(proper, improper and mixed)</v>
      </c>
      <c r="AM31" s="13" t="str">
        <f ca="1">IFERROR(__xludf.DUMMYFUNCTION("""COMPUTED_VALUE"""),"LU001008")</f>
        <v>LU001008</v>
      </c>
      <c r="AN31" s="13" t="str">
        <f ca="1">IFERROR(__xludf.DUMMYFUNCTION("""COMPUTED_VALUE"""),"Multiplication of a proper fraction by another fraction(proper, improper and mixed)")</f>
        <v>Multiplication of a proper fraction by another fraction(proper, improper and mixed)</v>
      </c>
      <c r="AO31" s="13"/>
      <c r="AP31" s="13"/>
      <c r="AQ31" s="13"/>
      <c r="AR31" s="13"/>
      <c r="AS31" s="13"/>
      <c r="AT31" s="13"/>
    </row>
    <row r="32" spans="1:46">
      <c r="A32" s="8" t="s">
        <v>247</v>
      </c>
      <c r="B32" s="8" t="s">
        <v>47</v>
      </c>
      <c r="C32" s="8" t="s">
        <v>416</v>
      </c>
      <c r="D32" s="8" t="s">
        <v>49</v>
      </c>
      <c r="E32" s="8" t="s">
        <v>450</v>
      </c>
      <c r="F32" s="8" t="s">
        <v>461</v>
      </c>
      <c r="G32" s="8" t="s">
        <v>462</v>
      </c>
      <c r="H32" s="8" t="str">
        <f ca="1">IFERROR(__xludf.DUMMYFUNCTION("VLOOKUP(G32, IMPORTRANGE(""https://docs.google.com/spreadsheets/d/14deopnvwcrKtEGCKuYXdUHJbeLDZlkiSSWWT0g7x2pM/edit#gid=999382323"", ""LU List Maths (Filter)!A:B""), 2, FALSE)"),"Division of a whole number by a proper fraction")</f>
        <v>Division of a whole number by a proper fraction</v>
      </c>
      <c r="I32" s="10" t="str">
        <f t="shared" si="0"/>
        <v>LU001011.001</v>
      </c>
      <c r="J32" s="10" t="str">
        <f ca="1">IFERROR(__xludf.DUMMYFUNCTION("VLOOKUP(I32, IMPORTRANGE(""https://docs.google.com/spreadsheets/d/1yDAaXNsi4Mr5FtRQL4tbmSdIzhx6_m4wkOD7IG-k_eo/edit#gid=0"", ""Maths!M:N""), 2, FALSE)"),"Recall the method for dividing a whole number by a proper fraction.")</f>
        <v>Recall the method for dividing a whole number by a proper fraction.</v>
      </c>
      <c r="K32" s="10" t="str">
        <f t="shared" si="1"/>
        <v>LU001011.002</v>
      </c>
      <c r="L32" s="10" t="str">
        <f ca="1">IFERROR(__xludf.DUMMYFUNCTION("VLOOKUP(K32, IMPORTRANGE(""https://docs.google.com/spreadsheets/d/1yDAaXNsi4Mr5FtRQL4tbmSdIzhx6_m4wkOD7IG-k_eo/edit#gid=0"", ""Maths!M:N""), 2, FALSE)"),"Interpret the process of dividing a whole number by a proper fraction.")</f>
        <v>Interpret the process of dividing a whole number by a proper fraction.</v>
      </c>
      <c r="M32" s="10" t="str">
        <f t="shared" si="2"/>
        <v>LU001011.003</v>
      </c>
      <c r="N32" s="10" t="str">
        <f ca="1">IFERROR(__xludf.DUMMYFUNCTION("VLOOKUP(M32, IMPORTRANGE(""https://docs.google.com/spreadsheets/d/1yDAaXNsi4Mr5FtRQL4tbmSdIzhx6_m4wkOD7IG-k_eo/edit#gid=0"", ""Maths!M:N""), 2, FALSE)"),"Solve division problems involving a whole number and a proper fraction.")</f>
        <v>Solve division problems involving a whole number and a proper fraction.</v>
      </c>
      <c r="O32" s="10" t="str">
        <f t="shared" si="3"/>
        <v>LU001011.004</v>
      </c>
      <c r="P32" s="10" t="str">
        <f ca="1">IFERROR(__xludf.DUMMYFUNCTION("VLOOKUP(O32, IMPORTRANGE(""https://docs.google.com/spreadsheets/d/1yDAaXNsi4Mr5FtRQL4tbmSdIzhx6_m4wkOD7IG-k_eo/edit#gid=0"", ""Maths!M:N""), 2, FALSE)"),"Differentiate between correctly and incorrectly solved problems of dividing a whole number by a proper fraction.")</f>
        <v>Differentiate between correctly and incorrectly solved problems of dividing a whole number by a proper fraction.</v>
      </c>
      <c r="Q32" s="10" t="str">
        <f t="shared" si="4"/>
        <v>LU001011.005</v>
      </c>
      <c r="R32" s="10" t="str">
        <f ca="1">IFERROR(__xludf.DUMMYFUNCTION("VLOOKUP(Q32, IMPORTRANGE(""https://docs.google.com/spreadsheets/d/1yDAaXNsi4Mr5FtRQL4tbmSdIzhx6_m4wkOD7IG-k_eo/edit#gid=0"", ""Maths!M:N""), 2, FALSE)"),"Critically review and assess the solutions to division problems involving a whole number and a proper fraction.")</f>
        <v>Critically review and assess the solutions to division problems involving a whole number and a proper fraction.</v>
      </c>
      <c r="S32" s="10" t="str">
        <f t="shared" si="5"/>
        <v>LU001011.006</v>
      </c>
      <c r="T32" s="10" t="str">
        <f ca="1">IFERROR(__xludf.DUMMYFUNCTION("VLOOKUP(S32, IMPORTRANGE(""https://docs.google.com/spreadsheets/d/1yDAaXNsi4Mr5FtRQL4tbmSdIzhx6_m4wkOD7IG-k_eo/edit#gid=0"", ""Maths!M:N""), 2, FALSE)"),"#N/A")</f>
        <v>#N/A</v>
      </c>
      <c r="U32" s="11">
        <f ca="1">IFERROR(__xludf.DUMMYFUNCTION("ArrayFormula(VLOOKUP(G32, IMPORTRANGE(""https://docs.google.com/spreadsheets/d/1p7R4vtkWt5VOBim4ltsDG9KTzSjrtKXsMtQGXPHyND0/edit#gid=795171502"", ""'Filter 30_05_2024'!A1:M2000""), {2, 3, 4, 5,6,7,8,9,10,11,12,13}, 0))"),5)</f>
        <v>5</v>
      </c>
      <c r="V32" s="11">
        <f ca="1">IFERROR(__xludf.DUMMYFUNCTION("""COMPUTED_VALUE"""),6)</f>
        <v>6</v>
      </c>
      <c r="W32" s="11">
        <f ca="1">IFERROR(__xludf.DUMMYFUNCTION("""COMPUTED_VALUE"""),5)</f>
        <v>5</v>
      </c>
      <c r="X32" s="11">
        <f ca="1">IFERROR(__xludf.DUMMYFUNCTION("""COMPUTED_VALUE"""),16)</f>
        <v>16</v>
      </c>
      <c r="Y32" s="11">
        <f ca="1">IFERROR(__xludf.DUMMYFUNCTION("""COMPUTED_VALUE"""),4)</f>
        <v>4</v>
      </c>
      <c r="Z32" s="12">
        <f ca="1">IFERROR(__xludf.DUMMYFUNCTION("""COMPUTED_VALUE"""),6)</f>
        <v>6</v>
      </c>
      <c r="AA32" s="12">
        <f ca="1">IFERROR(__xludf.DUMMYFUNCTION("""COMPUTED_VALUE"""),1)</f>
        <v>1</v>
      </c>
      <c r="AB32" s="12">
        <f ca="1">IFERROR(__xludf.DUMMYFUNCTION("""COMPUTED_VALUE"""),11)</f>
        <v>11</v>
      </c>
      <c r="AC32" s="12"/>
      <c r="AD32" s="12"/>
      <c r="AE32" s="12"/>
      <c r="AF32" s="12"/>
      <c r="AG32" s="13" t="str">
        <f ca="1">IFERROR(__xludf.DUMMYFUNCTION("ArrayFormula(VLOOKUP(G32, IMPORTRANGE(""https://docs.google.com/spreadsheets/d/1Co934fvtviyaRiMsrIlT05Jaq7iiYq07aLvRr35KA48/edit?gid=173865642#gid=173865642"", ""'G7_Maths_Pri_LU'!G2:V2000""), {3, 4, 5, 6, 7, 8, 9, 10, 11, 12, 13, 14, 15, 16}, 0))"),"LU000371")</f>
        <v>LU000371</v>
      </c>
      <c r="AH32" s="13" t="str">
        <f ca="1">IFERROR(__xludf.DUMMYFUNCTION("""COMPUTED_VALUE"""),"Reciprocal of a fraction")</f>
        <v>Reciprocal of a fraction</v>
      </c>
      <c r="AI32" s="13" t="str">
        <f ca="1">IFERROR(__xludf.DUMMYFUNCTION("""COMPUTED_VALUE"""),"LU001006")</f>
        <v>LU001006</v>
      </c>
      <c r="AJ32" s="13" t="str">
        <f ca="1">IFERROR(__xludf.DUMMYFUNCTION("""COMPUTED_VALUE"""),"Multiplication of an improper fraction by a whole number")</f>
        <v>Multiplication of an improper fraction by a whole number</v>
      </c>
      <c r="AK32" s="13" t="str">
        <f ca="1">IFERROR(__xludf.DUMMYFUNCTION("""COMPUTED_VALUE"""),"LU000281")</f>
        <v>LU000281</v>
      </c>
      <c r="AL32" s="13" t="str">
        <f ca="1">IFERROR(__xludf.DUMMYFUNCTION("""COMPUTED_VALUE"""),"Definition of proper fractions")</f>
        <v>Definition of proper fractions</v>
      </c>
      <c r="AM32" s="13"/>
      <c r="AN32" s="13"/>
      <c r="AO32" s="13"/>
      <c r="AP32" s="13"/>
      <c r="AQ32" s="13"/>
      <c r="AR32" s="13"/>
      <c r="AS32" s="13"/>
      <c r="AT32" s="13"/>
    </row>
    <row r="33" spans="1:46">
      <c r="A33" s="8" t="s">
        <v>247</v>
      </c>
      <c r="B33" s="8" t="s">
        <v>47</v>
      </c>
      <c r="C33" s="8" t="s">
        <v>416</v>
      </c>
      <c r="D33" s="8" t="s">
        <v>49</v>
      </c>
      <c r="E33" s="8" t="s">
        <v>450</v>
      </c>
      <c r="F33" s="8" t="s">
        <v>461</v>
      </c>
      <c r="G33" s="8" t="s">
        <v>463</v>
      </c>
      <c r="H33" s="8" t="str">
        <f ca="1">IFERROR(__xludf.DUMMYFUNCTION("VLOOKUP(G33, IMPORTRANGE(""https://docs.google.com/spreadsheets/d/14deopnvwcrKtEGCKuYXdUHJbeLDZlkiSSWWT0g7x2pM/edit#gid=999382323"", ""LU List Maths (Filter)!A:B""), 2, FALSE)"),"Division of a whole number by an improper fraction")</f>
        <v>Division of a whole number by an improper fraction</v>
      </c>
      <c r="I33" s="10" t="str">
        <f t="shared" si="0"/>
        <v>LU001012.001</v>
      </c>
      <c r="J33" s="10" t="str">
        <f ca="1">IFERROR(__xludf.DUMMYFUNCTION("VLOOKUP(I33, IMPORTRANGE(""https://docs.google.com/spreadsheets/d/1yDAaXNsi4Mr5FtRQL4tbmSdIzhx6_m4wkOD7IG-k_eo/edit#gid=0"", ""Maths!M:N""), 2, FALSE)"),"State the steps for dividing a whole number by an improper fraction.")</f>
        <v>State the steps for dividing a whole number by an improper fraction.</v>
      </c>
      <c r="K33" s="10" t="str">
        <f t="shared" si="1"/>
        <v>LU001012.002</v>
      </c>
      <c r="L33" s="10" t="str">
        <f ca="1">IFERROR(__xludf.DUMMYFUNCTION("VLOOKUP(K33, IMPORTRANGE(""https://docs.google.com/spreadsheets/d/1yDAaXNsi4Mr5FtRQL4tbmSdIzhx6_m4wkOD7IG-k_eo/edit#gid=0"", ""Maths!M:N""), 2, FALSE)"),"Describe the concept of dividing a whole number by an improper fraction using examples.")</f>
        <v>Describe the concept of dividing a whole number by an improper fraction using examples.</v>
      </c>
      <c r="M33" s="10" t="str">
        <f t="shared" si="2"/>
        <v>LU001012.003</v>
      </c>
      <c r="N33" s="10" t="str">
        <f ca="1">IFERROR(__xludf.DUMMYFUNCTION("VLOOKUP(M33, IMPORTRANGE(""https://docs.google.com/spreadsheets/d/1yDAaXNsi4Mr5FtRQL4tbmSdIzhx6_m4wkOD7IG-k_eo/edit#gid=0"", ""Maths!M:N""), 2, FALSE)"),"Perform division operations involving a whole number and an improper fraction.")</f>
        <v>Perform division operations involving a whole number and an improper fraction.</v>
      </c>
      <c r="O33" s="10" t="str">
        <f t="shared" si="3"/>
        <v>LU001012.004</v>
      </c>
      <c r="P33" s="10" t="str">
        <f ca="1">IFERROR(__xludf.DUMMYFUNCTION("VLOOKUP(O33, IMPORTRANGE(""https://docs.google.com/spreadsheets/d/1yDAaXNsi4Mr5FtRQL4tbmSdIzhx6_m4wkOD7IG-k_eo/edit#gid=0"", ""Maths!M:N""), 2, FALSE)"),"Examine and distinguish correct and incorrect methods in division problems of a whole number by an improper fraction.")</f>
        <v>Examine and distinguish correct and incorrect methods in division problems of a whole number by an improper fraction.</v>
      </c>
      <c r="Q33" s="10" t="str">
        <f t="shared" si="4"/>
        <v>LU001012.005</v>
      </c>
      <c r="R33" s="10" t="str">
        <f ca="1">IFERROR(__xludf.DUMMYFUNCTION("VLOOKUP(Q33, IMPORTRANGE(""https://docs.google.com/spreadsheets/d/1yDAaXNsi4Mr5FtRQL4tbmSdIzhx6_m4wkOD7IG-k_eo/edit#gid=0"", ""Maths!M:N""), 2, FALSE)"),"Evaluate the correctness of solutions in dividing a whole number by an improper fraction.")</f>
        <v>Evaluate the correctness of solutions in dividing a whole number by an improper fraction.</v>
      </c>
      <c r="S33" s="10" t="str">
        <f t="shared" si="5"/>
        <v>LU001012.006</v>
      </c>
      <c r="T33" s="10" t="str">
        <f ca="1">IFERROR(__xludf.DUMMYFUNCTION("VLOOKUP(S33, IMPORTRANGE(""https://docs.google.com/spreadsheets/d/1yDAaXNsi4Mr5FtRQL4tbmSdIzhx6_m4wkOD7IG-k_eo/edit#gid=0"", ""Maths!M:N""), 2, FALSE)"),"#N/A")</f>
        <v>#N/A</v>
      </c>
      <c r="U33" s="11">
        <f ca="1">IFERROR(__xludf.DUMMYFUNCTION("ArrayFormula(VLOOKUP(G33, IMPORTRANGE(""https://docs.google.com/spreadsheets/d/1p7R4vtkWt5VOBim4ltsDG9KTzSjrtKXsMtQGXPHyND0/edit#gid=795171502"", ""'Filter 30_05_2024'!A1:M2000""), {2, 3, 4, 5,6,7,8,9,10,11,12,13}, 0))"),4)</f>
        <v>4</v>
      </c>
      <c r="V33" s="11">
        <f ca="1">IFERROR(__xludf.DUMMYFUNCTION("""COMPUTED_VALUE"""),6)</f>
        <v>6</v>
      </c>
      <c r="W33" s="11">
        <f ca="1">IFERROR(__xludf.DUMMYFUNCTION("""COMPUTED_VALUE"""),2)</f>
        <v>2</v>
      </c>
      <c r="X33" s="11">
        <f ca="1">IFERROR(__xludf.DUMMYFUNCTION("""COMPUTED_VALUE"""),12)</f>
        <v>12</v>
      </c>
      <c r="Y33" s="11">
        <f ca="1">IFERROR(__xludf.DUMMYFUNCTION("""COMPUTED_VALUE"""),4)</f>
        <v>4</v>
      </c>
      <c r="Z33" s="12">
        <f ca="1">IFERROR(__xludf.DUMMYFUNCTION("""COMPUTED_VALUE"""),3)</f>
        <v>3</v>
      </c>
      <c r="AA33" s="12">
        <f ca="1">IFERROR(__xludf.DUMMYFUNCTION("""COMPUTED_VALUE"""),1)</f>
        <v>1</v>
      </c>
      <c r="AB33" s="12">
        <f ca="1">IFERROR(__xludf.DUMMYFUNCTION("""COMPUTED_VALUE"""),8)</f>
        <v>8</v>
      </c>
      <c r="AC33" s="12"/>
      <c r="AD33" s="12"/>
      <c r="AE33" s="12"/>
      <c r="AF33" s="12"/>
      <c r="AG33" s="13" t="str">
        <f ca="1">IFERROR(__xludf.DUMMYFUNCTION("ArrayFormula(VLOOKUP(G33, IMPORTRANGE(""https://docs.google.com/spreadsheets/d/1Co934fvtviyaRiMsrIlT05Jaq7iiYq07aLvRr35KA48/edit?gid=173865642#gid=173865642"", ""'G7_Maths_Pri_LU'!G2:V2000""), {3, 4, 5, 6, 7, 8, 9, 10, 11, 12, 13, 14, 15, 16}, 0))"),"LU001011")</f>
        <v>LU001011</v>
      </c>
      <c r="AH33" s="13" t="str">
        <f ca="1">IFERROR(__xludf.DUMMYFUNCTION("""COMPUTED_VALUE"""),"Division of a whole number by a proper fraction")</f>
        <v>Division of a whole number by a proper fraction</v>
      </c>
      <c r="AI33" s="13" t="str">
        <f ca="1">IFERROR(__xludf.DUMMYFUNCTION("""COMPUTED_VALUE"""),"LU000282")</f>
        <v>LU000282</v>
      </c>
      <c r="AJ33" s="13" t="str">
        <f ca="1">IFERROR(__xludf.DUMMYFUNCTION("""COMPUTED_VALUE"""),"Definition of improper fractions")</f>
        <v>Definition of improper fractions</v>
      </c>
      <c r="AK33" s="13" t="str">
        <f ca="1">IFERROR(__xludf.DUMMYFUNCTION("""COMPUTED_VALUE"""),"LU000975")</f>
        <v>LU000975</v>
      </c>
      <c r="AL33" s="13" t="str">
        <f ca="1">IFERROR(__xludf.DUMMYFUNCTION("""COMPUTED_VALUE"""),"Conversion of improper fraction to mixed fraction")</f>
        <v>Conversion of improper fraction to mixed fraction</v>
      </c>
      <c r="AM33" s="13"/>
      <c r="AN33" s="13"/>
      <c r="AO33" s="13"/>
      <c r="AP33" s="13"/>
      <c r="AQ33" s="13"/>
      <c r="AR33" s="13"/>
      <c r="AS33" s="13"/>
      <c r="AT33" s="13"/>
    </row>
    <row r="34" spans="1:46">
      <c r="A34" s="8" t="s">
        <v>247</v>
      </c>
      <c r="B34" s="8" t="s">
        <v>47</v>
      </c>
      <c r="C34" s="8" t="s">
        <v>416</v>
      </c>
      <c r="D34" s="8" t="s">
        <v>49</v>
      </c>
      <c r="E34" s="8" t="s">
        <v>450</v>
      </c>
      <c r="F34" s="8" t="s">
        <v>461</v>
      </c>
      <c r="G34" s="8" t="s">
        <v>464</v>
      </c>
      <c r="H34" s="42" t="str">
        <f ca="1">IFERROR(__xludf.DUMMYFUNCTION("VLOOKUP(G34, IMPORTRANGE(""https://docs.google.com/spreadsheets/d/14deopnvwcrKtEGCKuYXdUHJbeLDZlkiSSWWT0g7x2pM/edit#gid=999382323"", ""LU List Maths (Filter)!A:B""), 2, FALSE)"),"Division of a whole number by a mixed fraction")</f>
        <v>Division of a whole number by a mixed fraction</v>
      </c>
      <c r="I34" s="10" t="str">
        <f t="shared" si="0"/>
        <v>LU001013.001</v>
      </c>
      <c r="J34" s="10" t="str">
        <f ca="1">IFERROR(__xludf.DUMMYFUNCTION("VLOOKUP(I34, IMPORTRANGE(""https://docs.google.com/spreadsheets/d/1yDAaXNsi4Mr5FtRQL4tbmSdIzhx6_m4wkOD7IG-k_eo/edit#gid=0"", ""Maths!M:N""), 2, FALSE)"),"Identify the procedure for dividing a whole number by a mixed fraction.")</f>
        <v>Identify the procedure for dividing a whole number by a mixed fraction.</v>
      </c>
      <c r="K34" s="10" t="str">
        <f t="shared" si="1"/>
        <v>LU001013.002</v>
      </c>
      <c r="L34" s="10" t="str">
        <f ca="1">IFERROR(__xludf.DUMMYFUNCTION("VLOOKUP(K34, IMPORTRANGE(""https://docs.google.com/spreadsheets/d/1yDAaXNsi4Mr5FtRQL4tbmSdIzhx6_m4wkOD7IG-k_eo/edit#gid=0"", ""Maths!M:N""), 2, FALSE)"),"Explain the process of dividing a whole number by a mixed fraction, using examples.")</f>
        <v>Explain the process of dividing a whole number by a mixed fraction, using examples.</v>
      </c>
      <c r="M34" s="10" t="str">
        <f t="shared" si="2"/>
        <v>LU001013.003</v>
      </c>
      <c r="N34" s="10" t="str">
        <f ca="1">IFERROR(__xludf.DUMMYFUNCTION("VLOOKUP(M34, IMPORTRANGE(""https://docs.google.com/spreadsheets/d/1yDAaXNsi4Mr5FtRQL4tbmSdIzhx6_m4wkOD7IG-k_eo/edit#gid=0"", ""Maths!M:N""), 2, FALSE)"),"Solve division problems where a whole number is divided by a mixed fraction.")</f>
        <v>Solve division problems where a whole number is divided by a mixed fraction.</v>
      </c>
      <c r="O34" s="10" t="str">
        <f t="shared" si="3"/>
        <v>LU001013.004</v>
      </c>
      <c r="P34" s="10" t="str">
        <f ca="1">IFERROR(__xludf.DUMMYFUNCTION("VLOOKUP(O34, IMPORTRANGE(""https://docs.google.com/spreadsheets/d/1yDAaXNsi4Mr5FtRQL4tbmSdIzhx6_m4wkOD7IG-k_eo/edit#gid=0"", ""Maths!M:N""), 2, FALSE)"),"Differentiate correct and incorrect solutions in dividing a whole number by a mixed fraction.")</f>
        <v>Differentiate correct and incorrect solutions in dividing a whole number by a mixed fraction.</v>
      </c>
      <c r="Q34" s="10" t="str">
        <f t="shared" si="4"/>
        <v>LU001013.005</v>
      </c>
      <c r="R34" s="10" t="str">
        <f ca="1">IFERROR(__xludf.DUMMYFUNCTION("VLOOKUP(Q34, IMPORTRANGE(""https://docs.google.com/spreadsheets/d/1yDAaXNsi4Mr5FtRQL4tbmSdIzhx6_m4wkOD7IG-k_eo/edit#gid=0"", ""Maths!M:N""), 2, FALSE)"),"Assess and critique solutions to problems involving division of a whole number by a mixed fraction.")</f>
        <v>Assess and critique solutions to problems involving division of a whole number by a mixed fraction.</v>
      </c>
      <c r="S34" s="10" t="str">
        <f t="shared" si="5"/>
        <v>LU001013.006</v>
      </c>
      <c r="T34" s="10" t="str">
        <f ca="1">IFERROR(__xludf.DUMMYFUNCTION("VLOOKUP(S34, IMPORTRANGE(""https://docs.google.com/spreadsheets/d/1yDAaXNsi4Mr5FtRQL4tbmSdIzhx6_m4wkOD7IG-k_eo/edit#gid=0"", ""Maths!M:N""), 2, FALSE)"),"#N/A")</f>
        <v>#N/A</v>
      </c>
      <c r="U34" s="11">
        <f ca="1">IFERROR(__xludf.DUMMYFUNCTION("ArrayFormula(VLOOKUP(G34, IMPORTRANGE(""https://docs.google.com/spreadsheets/d/1p7R4vtkWt5VOBim4ltsDG9KTzSjrtKXsMtQGXPHyND0/edit#gid=795171502"", ""'Filter 30_05_2024'!A1:M2000""), {2, 3, 4, 5,6,7,8,9,10,11,12,13}, 0))"),4)</f>
        <v>4</v>
      </c>
      <c r="V34" s="11">
        <f ca="1">IFERROR(__xludf.DUMMYFUNCTION("""COMPUTED_VALUE"""),5)</f>
        <v>5</v>
      </c>
      <c r="W34" s="11">
        <f ca="1">IFERROR(__xludf.DUMMYFUNCTION("""COMPUTED_VALUE"""),2)</f>
        <v>2</v>
      </c>
      <c r="X34" s="11">
        <f ca="1">IFERROR(__xludf.DUMMYFUNCTION("""COMPUTED_VALUE"""),11)</f>
        <v>11</v>
      </c>
      <c r="Y34" s="11">
        <f ca="1">IFERROR(__xludf.DUMMYFUNCTION("""COMPUTED_VALUE"""),4)</f>
        <v>4</v>
      </c>
      <c r="Z34" s="12">
        <f ca="1">IFERROR(__xludf.DUMMYFUNCTION("""COMPUTED_VALUE"""),4)</f>
        <v>4</v>
      </c>
      <c r="AA34" s="12">
        <f ca="1">IFERROR(__xludf.DUMMYFUNCTION("""COMPUTED_VALUE"""),1)</f>
        <v>1</v>
      </c>
      <c r="AB34" s="12">
        <f ca="1">IFERROR(__xludf.DUMMYFUNCTION("""COMPUTED_VALUE"""),9)</f>
        <v>9</v>
      </c>
      <c r="AC34" s="12"/>
      <c r="AD34" s="12"/>
      <c r="AE34" s="12"/>
      <c r="AF34" s="12"/>
      <c r="AG34" s="13" t="str">
        <f ca="1">IFERROR(__xludf.DUMMYFUNCTION("ArrayFormula(VLOOKUP(G34, IMPORTRANGE(""https://docs.google.com/spreadsheets/d/1Co934fvtviyaRiMsrIlT05Jaq7iiYq07aLvRr35KA48/edit?gid=173865642#gid=173865642"", ""'G7_Maths_Pri_LU'!G2:V2000""), {3, 4, 5, 6, 7, 8, 9, 10, 11, 12, 13, 14, 15, 16}, 0))"),"LU001012")</f>
        <v>LU001012</v>
      </c>
      <c r="AH34" s="13" t="str">
        <f ca="1">IFERROR(__xludf.DUMMYFUNCTION("""COMPUTED_VALUE"""),"Division of a whole number by an improper fraction")</f>
        <v>Division of a whole number by an improper fraction</v>
      </c>
      <c r="AI34" s="13" t="str">
        <f ca="1">IFERROR(__xludf.DUMMYFUNCTION("""COMPUTED_VALUE"""),"LU000976")</f>
        <v>LU000976</v>
      </c>
      <c r="AJ34" s="13" t="str">
        <f ca="1">IFERROR(__xludf.DUMMYFUNCTION("""COMPUTED_VALUE"""),"Conversion of mixed fraction to improper fraction")</f>
        <v>Conversion of mixed fraction to improper fraction</v>
      </c>
      <c r="AK34" s="13" t="str">
        <f ca="1">IFERROR(__xludf.DUMMYFUNCTION("""COMPUTED_VALUE"""),"LU001005")</f>
        <v>LU001005</v>
      </c>
      <c r="AL34" s="13" t="str">
        <f ca="1">IFERROR(__xludf.DUMMYFUNCTION("""COMPUTED_VALUE"""),"Multiplication of a proper fraction by a whole number")</f>
        <v>Multiplication of a proper fraction by a whole number</v>
      </c>
      <c r="AM34" s="13"/>
      <c r="AN34" s="13"/>
      <c r="AO34" s="13"/>
      <c r="AP34" s="13"/>
      <c r="AQ34" s="13"/>
      <c r="AR34" s="13"/>
      <c r="AS34" s="13"/>
      <c r="AT34" s="13"/>
    </row>
    <row r="35" spans="1:46">
      <c r="A35" s="8" t="s">
        <v>247</v>
      </c>
      <c r="B35" s="8" t="s">
        <v>47</v>
      </c>
      <c r="C35" s="8" t="s">
        <v>416</v>
      </c>
      <c r="D35" s="8" t="s">
        <v>49</v>
      </c>
      <c r="E35" s="8" t="s">
        <v>450</v>
      </c>
      <c r="F35" s="8" t="s">
        <v>465</v>
      </c>
      <c r="G35" s="8" t="s">
        <v>466</v>
      </c>
      <c r="H35" s="8" t="str">
        <f ca="1">IFERROR(__xludf.DUMMYFUNCTION("VLOOKUP(G35, IMPORTRANGE(""https://docs.google.com/spreadsheets/d/14deopnvwcrKtEGCKuYXdUHJbeLDZlkiSSWWT0g7x2pM/edit#gid=999382323"", ""LU List Maths (Filter)!A:B""), 2, FALSE)"),"Division of a proper fraction by a whole number")</f>
        <v>Division of a proper fraction by a whole number</v>
      </c>
      <c r="I35" s="10" t="str">
        <f t="shared" si="0"/>
        <v>LU001014.001</v>
      </c>
      <c r="J35" s="10" t="str">
        <f ca="1">IFERROR(__xludf.DUMMYFUNCTION("VLOOKUP(I35, IMPORTRANGE(""https://docs.google.com/spreadsheets/d/1yDAaXNsi4Mr5FtRQL4tbmSdIzhx6_m4wkOD7IG-k_eo/edit#gid=0"", ""Maths!M:N""), 2, FALSE)"),"Outline the steps for dividing a proper fraction by a whole number.")</f>
        <v>Outline the steps for dividing a proper fraction by a whole number.</v>
      </c>
      <c r="K35" s="10" t="str">
        <f t="shared" si="1"/>
        <v>LU001014.002</v>
      </c>
      <c r="L35" s="10" t="str">
        <f ca="1">IFERROR(__xludf.DUMMYFUNCTION("VLOOKUP(K35, IMPORTRANGE(""https://docs.google.com/spreadsheets/d/1yDAaXNsi4Mr5FtRQL4tbmSdIzhx6_m4wkOD7IG-k_eo/edit#gid=0"", ""Maths!M:N""), 2, FALSE)"),"Interpret the process and result of dividing a proper fraction by a whole number.")</f>
        <v>Interpret the process and result of dividing a proper fraction by a whole number.</v>
      </c>
      <c r="M35" s="10" t="str">
        <f t="shared" si="2"/>
        <v>LU001014.003</v>
      </c>
      <c r="N35" s="10" t="str">
        <f ca="1">IFERROR(__xludf.DUMMYFUNCTION("VLOOKUP(M35, IMPORTRANGE(""https://docs.google.com/spreadsheets/d/1yDAaXNsi4Mr5FtRQL4tbmSdIzhx6_m4wkOD7IG-k_eo/edit#gid=0"", ""Maths!M:N""), 2, FALSE)"),"Compute the division of proper fractions by whole numbers in various problems.")</f>
        <v>Compute the division of proper fractions by whole numbers in various problems.</v>
      </c>
      <c r="O35" s="10" t="str">
        <f t="shared" si="3"/>
        <v>LU001014.004</v>
      </c>
      <c r="P35" s="10" t="str">
        <f ca="1">IFERROR(__xludf.DUMMYFUNCTION("VLOOKUP(O35, IMPORTRANGE(""https://docs.google.com/spreadsheets/d/1yDAaXNsi4Mr5FtRQL4tbmSdIzhx6_m4wkOD7IG-k_eo/edit#gid=0"", ""Maths!M:N""), 2, FALSE)"),"Evaluate and distinguish correct from incorrect methods in division problems involving a proper fraction and a whole number.")</f>
        <v>Evaluate and distinguish correct from incorrect methods in division problems involving a proper fraction and a whole number.</v>
      </c>
      <c r="Q35" s="10" t="str">
        <f t="shared" si="4"/>
        <v>LU001014.005</v>
      </c>
      <c r="R35" s="10" t="str">
        <f ca="1">IFERROR(__xludf.DUMMYFUNCTION("VLOOKUP(Q35, IMPORTRANGE(""https://docs.google.com/spreadsheets/d/1yDAaXNsi4Mr5FtRQL4tbmSdIzhx6_m4wkOD7IG-k_eo/edit#gid=0"", ""Maths!M:N""), 2, FALSE)"),"Assess and justify the accuracy of solutions in dividing proper fractions by whole numbers.")</f>
        <v>Assess and justify the accuracy of solutions in dividing proper fractions by whole numbers.</v>
      </c>
      <c r="S35" s="10" t="str">
        <f t="shared" si="5"/>
        <v>LU001014.006</v>
      </c>
      <c r="T35" s="10" t="str">
        <f ca="1">IFERROR(__xludf.DUMMYFUNCTION("VLOOKUP(S35, IMPORTRANGE(""https://docs.google.com/spreadsheets/d/1yDAaXNsi4Mr5FtRQL4tbmSdIzhx6_m4wkOD7IG-k_eo/edit#gid=0"", ""Maths!M:N""), 2, FALSE)"),"#N/A")</f>
        <v>#N/A</v>
      </c>
      <c r="U35" s="11">
        <f ca="1">IFERROR(__xludf.DUMMYFUNCTION("ArrayFormula(VLOOKUP(G35, IMPORTRANGE(""https://docs.google.com/spreadsheets/d/1p7R4vtkWt5VOBim4ltsDG9KTzSjrtKXsMtQGXPHyND0/edit#gid=795171502"", ""'Filter 30_05_2024'!A1:M2000""), {2, 3, 4, 5,6,7,8,9,10,11,12,13}, 0))"),5)</f>
        <v>5</v>
      </c>
      <c r="V35" s="11">
        <f ca="1">IFERROR(__xludf.DUMMYFUNCTION("""COMPUTED_VALUE"""),5)</f>
        <v>5</v>
      </c>
      <c r="W35" s="11">
        <f ca="1">IFERROR(__xludf.DUMMYFUNCTION("""COMPUTED_VALUE"""),2)</f>
        <v>2</v>
      </c>
      <c r="X35" s="11">
        <f ca="1">IFERROR(__xludf.DUMMYFUNCTION("""COMPUTED_VALUE"""),12)</f>
        <v>12</v>
      </c>
      <c r="Y35" s="11">
        <f ca="1">IFERROR(__xludf.DUMMYFUNCTION("""COMPUTED_VALUE"""),4)</f>
        <v>4</v>
      </c>
      <c r="Z35" s="12">
        <f ca="1">IFERROR(__xludf.DUMMYFUNCTION("""COMPUTED_VALUE"""),7)</f>
        <v>7</v>
      </c>
      <c r="AA35" s="12">
        <f ca="1">IFERROR(__xludf.DUMMYFUNCTION("""COMPUTED_VALUE"""),1)</f>
        <v>1</v>
      </c>
      <c r="AB35" s="12">
        <f ca="1">IFERROR(__xludf.DUMMYFUNCTION("""COMPUTED_VALUE"""),12)</f>
        <v>12</v>
      </c>
      <c r="AC35" s="12"/>
      <c r="AD35" s="12"/>
      <c r="AE35" s="12"/>
      <c r="AF35" s="12"/>
      <c r="AG35" s="13" t="str">
        <f ca="1">IFERROR(__xludf.DUMMYFUNCTION("ArrayFormula(VLOOKUP(G35, IMPORTRANGE(""https://docs.google.com/spreadsheets/d/1Co934fvtviyaRiMsrIlT05Jaq7iiYq07aLvRr35KA48/edit?gid=173865642#gid=173865642"", ""'G7_Maths_Pri_LU'!G2:V2000""), {3, 4, 5, 6, 7, 8, 9, 10, 11, 12, 13, 14, 15, 16}, 0))"),"LU001008")</f>
        <v>LU001008</v>
      </c>
      <c r="AH35" s="13" t="str">
        <f ca="1">IFERROR(__xludf.DUMMYFUNCTION("""COMPUTED_VALUE"""),"Multiplication of a proper fraction by another fraction(proper, improper and mixed)")</f>
        <v>Multiplication of a proper fraction by another fraction(proper, improper and mixed)</v>
      </c>
      <c r="AI35" s="13" t="str">
        <f ca="1">IFERROR(__xludf.DUMMYFUNCTION("""COMPUTED_VALUE"""),"LU000371")</f>
        <v>LU000371</v>
      </c>
      <c r="AJ35" s="13" t="str">
        <f ca="1">IFERROR(__xludf.DUMMYFUNCTION("""COMPUTED_VALUE"""),"Reciprocal of a fraction")</f>
        <v>Reciprocal of a fraction</v>
      </c>
      <c r="AK35" s="13" t="str">
        <f ca="1">IFERROR(__xludf.DUMMYFUNCTION("""COMPUTED_VALUE"""),"LU000281")</f>
        <v>LU000281</v>
      </c>
      <c r="AL35" s="13" t="str">
        <f ca="1">IFERROR(__xludf.DUMMYFUNCTION("""COMPUTED_VALUE"""),"Definition of proper fractions")</f>
        <v>Definition of proper fractions</v>
      </c>
      <c r="AM35" s="13"/>
      <c r="AN35" s="13"/>
      <c r="AO35" s="13"/>
      <c r="AP35" s="13"/>
      <c r="AQ35" s="13"/>
      <c r="AR35" s="13"/>
      <c r="AS35" s="13"/>
      <c r="AT35" s="13"/>
    </row>
    <row r="36" spans="1:46">
      <c r="A36" s="8" t="s">
        <v>247</v>
      </c>
      <c r="B36" s="8" t="s">
        <v>47</v>
      </c>
      <c r="C36" s="8" t="s">
        <v>416</v>
      </c>
      <c r="D36" s="8" t="s">
        <v>49</v>
      </c>
      <c r="E36" s="8" t="s">
        <v>450</v>
      </c>
      <c r="F36" s="8" t="s">
        <v>465</v>
      </c>
      <c r="G36" s="8" t="s">
        <v>467</v>
      </c>
      <c r="H36" s="8" t="str">
        <f ca="1">IFERROR(__xludf.DUMMYFUNCTION("VLOOKUP(G36, IMPORTRANGE(""https://docs.google.com/spreadsheets/d/14deopnvwcrKtEGCKuYXdUHJbeLDZlkiSSWWT0g7x2pM/edit#gid=999382323"", ""LU List Maths (Filter)!A:B""), 2, FALSE)"),"Division of an improper fraction by a whole number")</f>
        <v>Division of an improper fraction by a whole number</v>
      </c>
      <c r="I36" s="10" t="str">
        <f t="shared" si="0"/>
        <v>LU001015.001</v>
      </c>
      <c r="J36" s="10" t="str">
        <f ca="1">IFERROR(__xludf.DUMMYFUNCTION("VLOOKUP(I36, IMPORTRANGE(""https://docs.google.com/spreadsheets/d/1yDAaXNsi4Mr5FtRQL4tbmSdIzhx6_m4wkOD7IG-k_eo/edit#gid=0"", ""Maths!M:N""), 2, FALSE)"),"List the basic steps for dividing an improper fraction by a whole number.")</f>
        <v>List the basic steps for dividing an improper fraction by a whole number.</v>
      </c>
      <c r="K36" s="10" t="str">
        <f t="shared" si="1"/>
        <v>LU001015.002</v>
      </c>
      <c r="L36" s="10" t="str">
        <f ca="1">IFERROR(__xludf.DUMMYFUNCTION("VLOOKUP(K36, IMPORTRANGE(""https://docs.google.com/spreadsheets/d/1yDAaXNsi4Mr5FtRQL4tbmSdIzhx6_m4wkOD7IG-k_eo/edit#gid=0"", ""Maths!M:N""), 2, FALSE)"),"Explain the division of an improper fraction by a whole number with examples.")</f>
        <v>Explain the division of an improper fraction by a whole number with examples.</v>
      </c>
      <c r="M36" s="10" t="str">
        <f t="shared" si="2"/>
        <v>LU001015.003</v>
      </c>
      <c r="N36" s="10" t="str">
        <f ca="1">IFERROR(__xludf.DUMMYFUNCTION("VLOOKUP(M36, IMPORTRANGE(""https://docs.google.com/spreadsheets/d/1yDAaXNsi4Mr5FtRQL4tbmSdIzhx6_m4wkOD7IG-k_eo/edit#gid=0"", ""Maths!M:N""), 2, FALSE)"),"Perform calculations dividing improper fractions by whole numbers.")</f>
        <v>Perform calculations dividing improper fractions by whole numbers.</v>
      </c>
      <c r="O36" s="10" t="str">
        <f t="shared" si="3"/>
        <v>LU001015.004</v>
      </c>
      <c r="P36" s="10" t="str">
        <f ca="1">IFERROR(__xludf.DUMMYFUNCTION("VLOOKUP(O36, IMPORTRANGE(""https://docs.google.com/spreadsheets/d/1yDAaXNsi4Mr5FtRQL4tbmSdIzhx6_m4wkOD7IG-k_eo/edit#gid=0"", ""Maths!M:N""), 2, FALSE)"),"Distinguish between correctly and incorrectly solved problems of dividing an improper fraction by a whole number.")</f>
        <v>Distinguish between correctly and incorrectly solved problems of dividing an improper fraction by a whole number.</v>
      </c>
      <c r="Q36" s="10" t="str">
        <f t="shared" si="4"/>
        <v>LU001015.005</v>
      </c>
      <c r="R36" s="10" t="str">
        <f ca="1">IFERROR(__xludf.DUMMYFUNCTION("VLOOKUP(Q36, IMPORTRANGE(""https://docs.google.com/spreadsheets/d/1yDAaXNsi4Mr5FtRQL4tbmSdIzhx6_m4wkOD7IG-k_eo/edit#gid=0"", ""Maths!M:N""), 2, FALSE)"),"Critique solutions to division problems involving an improper fraction and a whole number.")</f>
        <v>Critique solutions to division problems involving an improper fraction and a whole number.</v>
      </c>
      <c r="S36" s="10" t="str">
        <f t="shared" si="5"/>
        <v>LU001015.006</v>
      </c>
      <c r="T36" s="10" t="str">
        <f ca="1">IFERROR(__xludf.DUMMYFUNCTION("VLOOKUP(S36, IMPORTRANGE(""https://docs.google.com/spreadsheets/d/1yDAaXNsi4Mr5FtRQL4tbmSdIzhx6_m4wkOD7IG-k_eo/edit#gid=0"", ""Maths!M:N""), 2, FALSE)"),"#N/A")</f>
        <v>#N/A</v>
      </c>
      <c r="U36" s="11">
        <f ca="1">IFERROR(__xludf.DUMMYFUNCTION("ArrayFormula(VLOOKUP(G36, IMPORTRANGE(""https://docs.google.com/spreadsheets/d/1p7R4vtkWt5VOBim4ltsDG9KTzSjrtKXsMtQGXPHyND0/edit#gid=795171502"", ""'Filter 30_05_2024'!A1:M2000""), {2, 3, 4, 5,6,7,8,9,10,11,12,13}, 0))"),5)</f>
        <v>5</v>
      </c>
      <c r="V36" s="11">
        <f ca="1">IFERROR(__xludf.DUMMYFUNCTION("""COMPUTED_VALUE"""),9)</f>
        <v>9</v>
      </c>
      <c r="W36" s="11">
        <f ca="1">IFERROR(__xludf.DUMMYFUNCTION("""COMPUTED_VALUE"""),2)</f>
        <v>2</v>
      </c>
      <c r="X36" s="11">
        <f ca="1">IFERROR(__xludf.DUMMYFUNCTION("""COMPUTED_VALUE"""),16)</f>
        <v>16</v>
      </c>
      <c r="Y36" s="11">
        <f ca="1">IFERROR(__xludf.DUMMYFUNCTION("""COMPUTED_VALUE"""),4)</f>
        <v>4</v>
      </c>
      <c r="Z36" s="12">
        <f ca="1">IFERROR(__xludf.DUMMYFUNCTION("""COMPUTED_VALUE"""),2)</f>
        <v>2</v>
      </c>
      <c r="AA36" s="12">
        <f ca="1">IFERROR(__xludf.DUMMYFUNCTION("""COMPUTED_VALUE"""),1)</f>
        <v>1</v>
      </c>
      <c r="AB36" s="12">
        <f ca="1">IFERROR(__xludf.DUMMYFUNCTION("""COMPUTED_VALUE"""),7)</f>
        <v>7</v>
      </c>
      <c r="AC36" s="12"/>
      <c r="AD36" s="12"/>
      <c r="AE36" s="12"/>
      <c r="AF36" s="12"/>
      <c r="AG36" s="13" t="str">
        <f ca="1">IFERROR(__xludf.DUMMYFUNCTION("ArrayFormula(VLOOKUP(G36, IMPORTRANGE(""https://docs.google.com/spreadsheets/d/1Co934fvtviyaRiMsrIlT05Jaq7iiYq07aLvRr35KA48/edit?gid=173865642#gid=173865642"", ""'G7_Maths_Pri_LU'!G2:V2000""), {3, 4, 5, 6, 7, 8, 9, 10, 11, 12, 13, 14, 15, 16}, 0))"),"LU000371")</f>
        <v>LU000371</v>
      </c>
      <c r="AH36" s="13" t="str">
        <f ca="1">IFERROR(__xludf.DUMMYFUNCTION("""COMPUTED_VALUE"""),"Reciprocal of a fraction")</f>
        <v>Reciprocal of a fraction</v>
      </c>
      <c r="AI36" s="13" t="str">
        <f ca="1">IFERROR(__xludf.DUMMYFUNCTION("""COMPUTED_VALUE"""),"LU001009")</f>
        <v>LU001009</v>
      </c>
      <c r="AJ36" s="13" t="str">
        <f ca="1">IFERROR(__xludf.DUMMYFUNCTION("""COMPUTED_VALUE"""),"Multiplication of an improper fraction by another fraction(proper, improper and mixed)")</f>
        <v>Multiplication of an improper fraction by another fraction(proper, improper and mixed)</v>
      </c>
      <c r="AK36" s="13" t="str">
        <f ca="1">IFERROR(__xludf.DUMMYFUNCTION("""COMPUTED_VALUE"""),"LU000282")</f>
        <v>LU000282</v>
      </c>
      <c r="AL36" s="13" t="str">
        <f ca="1">IFERROR(__xludf.DUMMYFUNCTION("""COMPUTED_VALUE"""),"Definition of improper fractions")</f>
        <v>Definition of improper fractions</v>
      </c>
      <c r="AM36" s="13"/>
      <c r="AN36" s="13"/>
      <c r="AO36" s="13"/>
      <c r="AP36" s="13"/>
      <c r="AQ36" s="13"/>
      <c r="AR36" s="13"/>
      <c r="AS36" s="13"/>
      <c r="AT36" s="13"/>
    </row>
    <row r="37" spans="1:46">
      <c r="A37" s="8" t="s">
        <v>247</v>
      </c>
      <c r="B37" s="8" t="s">
        <v>47</v>
      </c>
      <c r="C37" s="8" t="s">
        <v>416</v>
      </c>
      <c r="D37" s="8" t="s">
        <v>49</v>
      </c>
      <c r="E37" s="8" t="s">
        <v>450</v>
      </c>
      <c r="F37" s="8" t="s">
        <v>465</v>
      </c>
      <c r="G37" s="8" t="s">
        <v>468</v>
      </c>
      <c r="H37" s="42" t="str">
        <f ca="1">IFERROR(__xludf.DUMMYFUNCTION("VLOOKUP(G37, IMPORTRANGE(""https://docs.google.com/spreadsheets/d/14deopnvwcrKtEGCKuYXdUHJbeLDZlkiSSWWT0g7x2pM/edit#gid=999382323"", ""LU List Maths (Filter)!A:B""), 2, FALSE)"),"Division of a mixed fraction by a whole number")</f>
        <v>Division of a mixed fraction by a whole number</v>
      </c>
      <c r="I37" s="10" t="str">
        <f t="shared" si="0"/>
        <v>LU001016.001</v>
      </c>
      <c r="J37" s="10" t="str">
        <f ca="1">IFERROR(__xludf.DUMMYFUNCTION("VLOOKUP(I37, IMPORTRANGE(""https://docs.google.com/spreadsheets/d/1yDAaXNsi4Mr5FtRQL4tbmSdIzhx6_m4wkOD7IG-k_eo/edit#gid=0"", ""Maths!M:N""), 2, FALSE)"),"Recall the method for dividing a mixed fraction by a whole number.")</f>
        <v>Recall the method for dividing a mixed fraction by a whole number.</v>
      </c>
      <c r="K37" s="10" t="str">
        <f t="shared" si="1"/>
        <v>LU001016.002</v>
      </c>
      <c r="L37" s="10" t="str">
        <f ca="1">IFERROR(__xludf.DUMMYFUNCTION("VLOOKUP(K37, IMPORTRANGE(""https://docs.google.com/spreadsheets/d/1yDAaXNsi4Mr5FtRQL4tbmSdIzhx6_m4wkOD7IG-k_eo/edit#gid=0"", ""Maths!M:N""), 2, FALSE)"),"Summarize the process of dividing a mixed fraction by a whole number, using examples.")</f>
        <v>Summarize the process of dividing a mixed fraction by a whole number, using examples.</v>
      </c>
      <c r="M37" s="10" t="str">
        <f t="shared" si="2"/>
        <v>LU001016.003</v>
      </c>
      <c r="N37" s="10" t="str">
        <f ca="1">IFERROR(__xludf.DUMMYFUNCTION("VLOOKUP(M37, IMPORTRANGE(""https://docs.google.com/spreadsheets/d/1yDAaXNsi4Mr5FtRQL4tbmSdIzhx6_m4wkOD7IG-k_eo/edit#gid=0"", ""Maths!M:N""), 2, FALSE)"),"Solve division problems involving a mixed fraction and a whole number.")</f>
        <v>Solve division problems involving a mixed fraction and a whole number.</v>
      </c>
      <c r="O37" s="10" t="str">
        <f t="shared" si="3"/>
        <v>LU001016.004</v>
      </c>
      <c r="P37" s="10" t="str">
        <f ca="1">IFERROR(__xludf.DUMMYFUNCTION("VLOOKUP(O37, IMPORTRANGE(""https://docs.google.com/spreadsheets/d/1yDAaXNsi4Mr5FtRQL4tbmSdIzhx6_m4wkOD7IG-k_eo/edit#gid=0"", ""Maths!M:N""), 2, FALSE)"),"Analyze and differentiate correct and incorrect solutions in the division of a mixed fraction by a whole number.")</f>
        <v>Analyze and differentiate correct and incorrect solutions in the division of a mixed fraction by a whole number.</v>
      </c>
      <c r="Q37" s="10" t="str">
        <f t="shared" si="4"/>
        <v>LU001016.005</v>
      </c>
      <c r="R37" s="10" t="str">
        <f ca="1">IFERROR(__xludf.DUMMYFUNCTION("VLOOKUP(Q37, IMPORTRANGE(""https://docs.google.com/spreadsheets/d/1yDAaXNsi4Mr5FtRQL4tbmSdIzhx6_m4wkOD7IG-k_eo/edit#gid=0"", ""Maths!M:N""), 2, FALSE)"),"Evaluate and justify the accuracy of solutions in dividing a mixed fraction by a whole number.")</f>
        <v>Evaluate and justify the accuracy of solutions in dividing a mixed fraction by a whole number.</v>
      </c>
      <c r="S37" s="10" t="str">
        <f t="shared" si="5"/>
        <v>LU001016.006</v>
      </c>
      <c r="T37" s="10" t="str">
        <f ca="1">IFERROR(__xludf.DUMMYFUNCTION("VLOOKUP(S37, IMPORTRANGE(""https://docs.google.com/spreadsheets/d/1yDAaXNsi4Mr5FtRQL4tbmSdIzhx6_m4wkOD7IG-k_eo/edit#gid=0"", ""Maths!M:N""), 2, FALSE)"),"#N/A")</f>
        <v>#N/A</v>
      </c>
      <c r="U37" s="11">
        <f ca="1">IFERROR(__xludf.DUMMYFUNCTION("ArrayFormula(VLOOKUP(G37, IMPORTRANGE(""https://docs.google.com/spreadsheets/d/1p7R4vtkWt5VOBim4ltsDG9KTzSjrtKXsMtQGXPHyND0/edit#gid=795171502"", ""'Filter 30_05_2024'!A1:M2000""), {2, 3, 4, 5,6,7,8,9,10,11,12,13}, 0))"),4)</f>
        <v>4</v>
      </c>
      <c r="V37" s="11">
        <f ca="1">IFERROR(__xludf.DUMMYFUNCTION("""COMPUTED_VALUE"""),6)</f>
        <v>6</v>
      </c>
      <c r="W37" s="11">
        <f ca="1">IFERROR(__xludf.DUMMYFUNCTION("""COMPUTED_VALUE"""),2)</f>
        <v>2</v>
      </c>
      <c r="X37" s="11">
        <f ca="1">IFERROR(__xludf.DUMMYFUNCTION("""COMPUTED_VALUE"""),12)</f>
        <v>12</v>
      </c>
      <c r="Y37" s="11">
        <f ca="1">IFERROR(__xludf.DUMMYFUNCTION("""COMPUTED_VALUE"""),4)</f>
        <v>4</v>
      </c>
      <c r="Z37" s="12">
        <f ca="1">IFERROR(__xludf.DUMMYFUNCTION("""COMPUTED_VALUE"""),3)</f>
        <v>3</v>
      </c>
      <c r="AA37" s="12">
        <f ca="1">IFERROR(__xludf.DUMMYFUNCTION("""COMPUTED_VALUE"""),1)</f>
        <v>1</v>
      </c>
      <c r="AB37" s="12">
        <f ca="1">IFERROR(__xludf.DUMMYFUNCTION("""COMPUTED_VALUE"""),8)</f>
        <v>8</v>
      </c>
      <c r="AC37" s="12"/>
      <c r="AD37" s="12"/>
      <c r="AE37" s="12"/>
      <c r="AF37" s="12"/>
      <c r="AG37" s="13" t="str">
        <f ca="1">IFERROR(__xludf.DUMMYFUNCTION("ArrayFormula(VLOOKUP(G37, IMPORTRANGE(""https://docs.google.com/spreadsheets/d/1Co934fvtviyaRiMsrIlT05Jaq7iiYq07aLvRr35KA48/edit?gid=173865642#gid=173865642"", ""'G7_Maths_Pri_LU'!G2:V2000""), {3, 4, 5, 6, 7, 8, 9, 10, 11, 12, 13, 14, 15, 16}, 0))"),"LU001015")</f>
        <v>LU001015</v>
      </c>
      <c r="AH37" s="13" t="str">
        <f ca="1">IFERROR(__xludf.DUMMYFUNCTION("""COMPUTED_VALUE"""),"Division of an improper fraction by a whole number")</f>
        <v>Division of an improper fraction by a whole number</v>
      </c>
      <c r="AI37" s="13" t="str">
        <f ca="1">IFERROR(__xludf.DUMMYFUNCTION("""COMPUTED_VALUE"""),"LU000976")</f>
        <v>LU000976</v>
      </c>
      <c r="AJ37" s="13" t="str">
        <f ca="1">IFERROR(__xludf.DUMMYFUNCTION("""COMPUTED_VALUE"""),"Conversion of mixed fraction to improper fraction")</f>
        <v>Conversion of mixed fraction to improper fraction</v>
      </c>
      <c r="AK37" s="13" t="str">
        <f ca="1">IFERROR(__xludf.DUMMYFUNCTION("""COMPUTED_VALUE"""),"LU001010")</f>
        <v>LU001010</v>
      </c>
      <c r="AL37" s="13" t="str">
        <f ca="1">IFERROR(__xludf.DUMMYFUNCTION("""COMPUTED_VALUE"""),"Multiplication of a mixed fraction by another fraction(proper, improper and mixed)")</f>
        <v>Multiplication of a mixed fraction by another fraction(proper, improper and mixed)</v>
      </c>
      <c r="AM37" s="13" t="str">
        <f ca="1">IFERROR(__xludf.DUMMYFUNCTION("""COMPUTED_VALUE"""),"LU000371")</f>
        <v>LU000371</v>
      </c>
      <c r="AN37" s="13" t="str">
        <f ca="1">IFERROR(__xludf.DUMMYFUNCTION("""COMPUTED_VALUE"""),"Reciprocal of a fraction")</f>
        <v>Reciprocal of a fraction</v>
      </c>
      <c r="AO37" s="13" t="str">
        <f ca="1">IFERROR(__xludf.DUMMYFUNCTION("""COMPUTED_VALUE"""),"LU000283")</f>
        <v>LU000283</v>
      </c>
      <c r="AP37" s="13" t="str">
        <f ca="1">IFERROR(__xludf.DUMMYFUNCTION("""COMPUTED_VALUE"""),"Definition of mixed fractions")</f>
        <v>Definition of mixed fractions</v>
      </c>
      <c r="AQ37" s="13"/>
      <c r="AR37" s="13"/>
      <c r="AS37" s="13"/>
      <c r="AT37" s="13"/>
    </row>
    <row r="38" spans="1:46">
      <c r="A38" s="8" t="s">
        <v>247</v>
      </c>
      <c r="B38" s="8" t="s">
        <v>47</v>
      </c>
      <c r="C38" s="8" t="s">
        <v>416</v>
      </c>
      <c r="D38" s="8" t="s">
        <v>49</v>
      </c>
      <c r="E38" s="8" t="s">
        <v>450</v>
      </c>
      <c r="F38" s="8" t="s">
        <v>469</v>
      </c>
      <c r="G38" s="8" t="s">
        <v>470</v>
      </c>
      <c r="H38" s="8" t="str">
        <f ca="1">IFERROR(__xludf.DUMMYFUNCTION("VLOOKUP(G38, IMPORTRANGE(""https://docs.google.com/spreadsheets/d/14deopnvwcrKtEGCKuYXdUHJbeLDZlkiSSWWT0g7x2pM/edit#gid=999382323"", ""LU List Maths (Filter)!A:B""), 2, FALSE)"),"Division of a proper fraction by another fraction(proper, improper and mixed)")</f>
        <v>Division of a proper fraction by another fraction(proper, improper and mixed)</v>
      </c>
      <c r="I38" s="10" t="str">
        <f t="shared" si="0"/>
        <v>LU001017.001</v>
      </c>
      <c r="J38" s="10" t="str">
        <f ca="1">IFERROR(__xludf.DUMMYFUNCTION("VLOOKUP(I38, IMPORTRANGE(""https://docs.google.com/spreadsheets/d/1yDAaXNsi4Mr5FtRQL4tbmSdIzhx6_m4wkOD7IG-k_eo/edit#gid=0"", ""Maths!M:N""), 2, FALSE)"),"State the rules for dividing a proper fraction by different types of fractions.")</f>
        <v>State the rules for dividing a proper fraction by different types of fractions.</v>
      </c>
      <c r="K38" s="10" t="str">
        <f t="shared" si="1"/>
        <v>LU001017.002</v>
      </c>
      <c r="L38" s="10" t="str">
        <f ca="1">IFERROR(__xludf.DUMMYFUNCTION("VLOOKUP(K38, IMPORTRANGE(""https://docs.google.com/spreadsheets/d/1yDAaXNsi4Mr5FtRQL4tbmSdIzhx6_m4wkOD7IG-k_eo/edit#gid=0"", ""Maths!M:N""), 2, FALSE)"),"Describe how to divide a proper fraction by another fraction, using various examples.")</f>
        <v>Describe how to divide a proper fraction by another fraction, using various examples.</v>
      </c>
      <c r="M38" s="10" t="str">
        <f t="shared" si="2"/>
        <v>LU001017.003</v>
      </c>
      <c r="N38" s="10" t="str">
        <f ca="1">IFERROR(__xludf.DUMMYFUNCTION("VLOOKUP(M38, IMPORTRANGE(""https://docs.google.com/spreadsheets/d/1yDAaXNsi4Mr5FtRQL4tbmSdIzhx6_m4wkOD7IG-k_eo/edit#gid=0"", ""Maths!M:N""), 2, FALSE)"),"Execute division operations involving a proper fraction and other fractions (proper, improper, mixed).")</f>
        <v>Execute division operations involving a proper fraction and other fractions (proper, improper, mixed).</v>
      </c>
      <c r="O38" s="10" t="str">
        <f t="shared" si="3"/>
        <v>LU001017.004</v>
      </c>
      <c r="P38" s="10" t="str">
        <f ca="1">IFERROR(__xludf.DUMMYFUNCTION("VLOOKUP(O38, IMPORTRANGE(""https://docs.google.com/spreadsheets/d/1yDAaXNsi4Mr5FtRQL4tbmSdIzhx6_m4wkOD7IG-k_eo/edit#gid=0"", ""Maths!M:N""), 2, FALSE)"),"Differentiate correct from incorrect methods in problems dividing a proper fraction by other fractions.")</f>
        <v>Differentiate correct from incorrect methods in problems dividing a proper fraction by other fractions.</v>
      </c>
      <c r="Q38" s="10" t="str">
        <f t="shared" si="4"/>
        <v>LU001017.005</v>
      </c>
      <c r="R38" s="10" t="str">
        <f ca="1">IFERROR(__xludf.DUMMYFUNCTION("VLOOKUP(Q38, IMPORTRANGE(""https://docs.google.com/spreadsheets/d/1yDAaXNsi4Mr5FtRQL4tbmSdIzhx6_m4wkOD7IG-k_eo/edit#gid=0"", ""Maths!M:N""), 2, FALSE)"),"Assess the accuracy of solutions in dividing a proper fraction by various types of fractions.")</f>
        <v>Assess the accuracy of solutions in dividing a proper fraction by various types of fractions.</v>
      </c>
      <c r="S38" s="10" t="str">
        <f t="shared" si="5"/>
        <v>LU001017.006</v>
      </c>
      <c r="T38" s="10" t="str">
        <f ca="1">IFERROR(__xludf.DUMMYFUNCTION("VLOOKUP(S38, IMPORTRANGE(""https://docs.google.com/spreadsheets/d/1yDAaXNsi4Mr5FtRQL4tbmSdIzhx6_m4wkOD7IG-k_eo/edit#gid=0"", ""Maths!M:N""), 2, FALSE)"),"#N/A")</f>
        <v>#N/A</v>
      </c>
      <c r="U38" s="11">
        <f ca="1">IFERROR(__xludf.DUMMYFUNCTION("ArrayFormula(VLOOKUP(G38, IMPORTRANGE(""https://docs.google.com/spreadsheets/d/1p7R4vtkWt5VOBim4ltsDG9KTzSjrtKXsMtQGXPHyND0/edit#gid=795171502"", ""'Filter 30_05_2024'!A1:M2000""), {2, 3, 4, 5,6,7,8,9,10,11,12,13}, 0))"),4)</f>
        <v>4</v>
      </c>
      <c r="V38" s="11">
        <f ca="1">IFERROR(__xludf.DUMMYFUNCTION("""COMPUTED_VALUE"""),12)</f>
        <v>12</v>
      </c>
      <c r="W38" s="11">
        <f ca="1">IFERROR(__xludf.DUMMYFUNCTION("""COMPUTED_VALUE"""),2)</f>
        <v>2</v>
      </c>
      <c r="X38" s="11">
        <f ca="1">IFERROR(__xludf.DUMMYFUNCTION("""COMPUTED_VALUE"""),18)</f>
        <v>18</v>
      </c>
      <c r="Y38" s="11">
        <f ca="1">IFERROR(__xludf.DUMMYFUNCTION("""COMPUTED_VALUE"""),4)</f>
        <v>4</v>
      </c>
      <c r="Z38" s="12">
        <f ca="1">IFERROR(__xludf.DUMMYFUNCTION("""COMPUTED_VALUE"""),9)</f>
        <v>9</v>
      </c>
      <c r="AA38" s="12">
        <f ca="1">IFERROR(__xludf.DUMMYFUNCTION("""COMPUTED_VALUE"""),1)</f>
        <v>1</v>
      </c>
      <c r="AB38" s="12">
        <f ca="1">IFERROR(__xludf.DUMMYFUNCTION("""COMPUTED_VALUE"""),14)</f>
        <v>14</v>
      </c>
      <c r="AC38" s="12"/>
      <c r="AD38" s="12"/>
      <c r="AE38" s="12"/>
      <c r="AF38" s="12"/>
      <c r="AG38" s="13" t="str">
        <f ca="1">IFERROR(__xludf.DUMMYFUNCTION("ArrayFormula(VLOOKUP(G38, IMPORTRANGE(""https://docs.google.com/spreadsheets/d/1Co934fvtviyaRiMsrIlT05Jaq7iiYq07aLvRr35KA48/edit?gid=173865642#gid=173865642"", ""'G7_Maths_Pri_LU'!G2:V2000""), {3, 4, 5, 6, 7, 8, 9, 10, 11, 12, 13, 14, 15, 16}, 0))"),"LU001014")</f>
        <v>LU001014</v>
      </c>
      <c r="AH38" s="13" t="str">
        <f ca="1">IFERROR(__xludf.DUMMYFUNCTION("""COMPUTED_VALUE"""),"Division of a proper fraction by a whole number")</f>
        <v>Division of a proper fraction by a whole number</v>
      </c>
      <c r="AI38" s="13" t="str">
        <f ca="1">IFERROR(__xludf.DUMMYFUNCTION("""COMPUTED_VALUE"""),"LU001008")</f>
        <v>LU001008</v>
      </c>
      <c r="AJ38" s="13" t="str">
        <f ca="1">IFERROR(__xludf.DUMMYFUNCTION("""COMPUTED_VALUE"""),"Multiplication of a proper fraction by another fraction(proper, improper and mixed)")</f>
        <v>Multiplication of a proper fraction by another fraction(proper, improper and mixed)</v>
      </c>
      <c r="AK38" s="13" t="str">
        <f ca="1">IFERROR(__xludf.DUMMYFUNCTION("""COMPUTED_VALUE"""),"LU000371")</f>
        <v>LU000371</v>
      </c>
      <c r="AL38" s="13" t="str">
        <f ca="1">IFERROR(__xludf.DUMMYFUNCTION("""COMPUTED_VALUE"""),"Reciprocal of a fraction")</f>
        <v>Reciprocal of a fraction</v>
      </c>
      <c r="AM38" s="13" t="str">
        <f ca="1">IFERROR(__xludf.DUMMYFUNCTION("""COMPUTED_VALUE"""),"LU000281")</f>
        <v>LU000281</v>
      </c>
      <c r="AN38" s="13" t="str">
        <f ca="1">IFERROR(__xludf.DUMMYFUNCTION("""COMPUTED_VALUE"""),"Definition of proper fractions")</f>
        <v>Definition of proper fractions</v>
      </c>
      <c r="AO38" s="13" t="str">
        <f ca="1">IFERROR(__xludf.DUMMYFUNCTION("""COMPUTED_VALUE"""),"LU000975")</f>
        <v>LU000975</v>
      </c>
      <c r="AP38" s="13" t="str">
        <f ca="1">IFERROR(__xludf.DUMMYFUNCTION("""COMPUTED_VALUE"""),"Conversion of improper fraction to mixed fraction")</f>
        <v>Conversion of improper fraction to mixed fraction</v>
      </c>
      <c r="AQ38" s="13" t="str">
        <f ca="1">IFERROR(__xludf.DUMMYFUNCTION("""COMPUTED_VALUE"""),"LU000976")</f>
        <v>LU000976</v>
      </c>
      <c r="AR38" s="13" t="str">
        <f ca="1">IFERROR(__xludf.DUMMYFUNCTION("""COMPUTED_VALUE"""),"Conversion of mixed fraction to improper fraction")</f>
        <v>Conversion of mixed fraction to improper fraction</v>
      </c>
      <c r="AS38" s="13" t="str">
        <f ca="1">IFERROR(__xludf.DUMMYFUNCTION("""COMPUTED_VALUE"""),"LU001008")</f>
        <v>LU001008</v>
      </c>
      <c r="AT38" s="13" t="str">
        <f ca="1">IFERROR(__xludf.DUMMYFUNCTION("""COMPUTED_VALUE"""),"Multiplication of a proper fraction by another fraction(proper, improper and mixed)")</f>
        <v>Multiplication of a proper fraction by another fraction(proper, improper and mixed)</v>
      </c>
    </row>
    <row r="39" spans="1:46">
      <c r="A39" s="8" t="s">
        <v>247</v>
      </c>
      <c r="B39" s="8" t="s">
        <v>47</v>
      </c>
      <c r="C39" s="8" t="s">
        <v>416</v>
      </c>
      <c r="D39" s="8" t="s">
        <v>49</v>
      </c>
      <c r="E39" s="8" t="s">
        <v>450</v>
      </c>
      <c r="F39" s="8" t="s">
        <v>469</v>
      </c>
      <c r="G39" s="8" t="s">
        <v>471</v>
      </c>
      <c r="H39" s="42" t="str">
        <f ca="1">IFERROR(__xludf.DUMMYFUNCTION("VLOOKUP(G39, IMPORTRANGE(""https://docs.google.com/spreadsheets/d/14deopnvwcrKtEGCKuYXdUHJbeLDZlkiSSWWT0g7x2pM/edit#gid=999382323"", ""LU List Maths (Filter)!A:B""), 2, FALSE)"),"Division of an improper fraction by another fraction(proper, improper and mixed)")</f>
        <v>Division of an improper fraction by another fraction(proper, improper and mixed)</v>
      </c>
      <c r="I39" s="10" t="str">
        <f t="shared" si="0"/>
        <v>LU001018.001</v>
      </c>
      <c r="J39" s="10" t="str">
        <f ca="1">IFERROR(__xludf.DUMMYFUNCTION("VLOOKUP(I39, IMPORTRANGE(""https://docs.google.com/spreadsheets/d/1yDAaXNsi4Mr5FtRQL4tbmSdIzhx6_m4wkOD7IG-k_eo/edit#gid=0"", ""Maths!M:N""), 2, FALSE)"),"State the rules for dividing a improper fraction by different types of fractions.")</f>
        <v>State the rules for dividing a improper fraction by different types of fractions.</v>
      </c>
      <c r="K39" s="10" t="str">
        <f t="shared" si="1"/>
        <v>LU001018.002</v>
      </c>
      <c r="L39" s="10" t="str">
        <f ca="1">IFERROR(__xludf.DUMMYFUNCTION("VLOOKUP(K39, IMPORTRANGE(""https://docs.google.com/spreadsheets/d/1yDAaXNsi4Mr5FtRQL4tbmSdIzhx6_m4wkOD7IG-k_eo/edit#gid=0"", ""Maths!M:N""), 2, FALSE)"),"Describe how to divide a improper fraction by another fraction, using various examples.")</f>
        <v>Describe how to divide a improper fraction by another fraction, using various examples.</v>
      </c>
      <c r="M39" s="10" t="str">
        <f t="shared" si="2"/>
        <v>LU001018.003</v>
      </c>
      <c r="N39" s="10" t="str">
        <f ca="1">IFERROR(__xludf.DUMMYFUNCTION("VLOOKUP(M39, IMPORTRANGE(""https://docs.google.com/spreadsheets/d/1yDAaXNsi4Mr5FtRQL4tbmSdIzhx6_m4wkOD7IG-k_eo/edit#gid=0"", ""Maths!M:N""), 2, FALSE)"),"Execute division operations involving a improper fraction and other fractions (proper, improper, mixed).")</f>
        <v>Execute division operations involving a improper fraction and other fractions (proper, improper, mixed).</v>
      </c>
      <c r="O39" s="10" t="str">
        <f t="shared" si="3"/>
        <v>LU001018.004</v>
      </c>
      <c r="P39" s="10" t="str">
        <f ca="1">IFERROR(__xludf.DUMMYFUNCTION("VLOOKUP(O39, IMPORTRANGE(""https://docs.google.com/spreadsheets/d/1yDAaXNsi4Mr5FtRQL4tbmSdIzhx6_m4wkOD7IG-k_eo/edit#gid=0"", ""Maths!M:N""), 2, FALSE)"),"Differentiate correct from incorrect methods in problems dividing a improper fraction by other fractions.")</f>
        <v>Differentiate correct from incorrect methods in problems dividing a improper fraction by other fractions.</v>
      </c>
      <c r="Q39" s="10" t="str">
        <f t="shared" si="4"/>
        <v>LU001018.005</v>
      </c>
      <c r="R39" s="10" t="str">
        <f ca="1">IFERROR(__xludf.DUMMYFUNCTION("VLOOKUP(Q39, IMPORTRANGE(""https://docs.google.com/spreadsheets/d/1yDAaXNsi4Mr5FtRQL4tbmSdIzhx6_m4wkOD7IG-k_eo/edit#gid=0"", ""Maths!M:N""), 2, FALSE)"),"Assess the accuracy of solutions in dividing a improper fraction by various types of fractions.")</f>
        <v>Assess the accuracy of solutions in dividing a improper fraction by various types of fractions.</v>
      </c>
      <c r="S39" s="10" t="str">
        <f t="shared" si="5"/>
        <v>LU001018.006</v>
      </c>
      <c r="T39" s="10" t="str">
        <f ca="1">IFERROR(__xludf.DUMMYFUNCTION("VLOOKUP(S39, IMPORTRANGE(""https://docs.google.com/spreadsheets/d/1yDAaXNsi4Mr5FtRQL4tbmSdIzhx6_m4wkOD7IG-k_eo/edit#gid=0"", ""Maths!M:N""), 2, FALSE)"),"#N/A")</f>
        <v>#N/A</v>
      </c>
      <c r="U39" s="11">
        <f ca="1">IFERROR(__xludf.DUMMYFUNCTION("ArrayFormula(VLOOKUP(G39, IMPORTRANGE(""https://docs.google.com/spreadsheets/d/1p7R4vtkWt5VOBim4ltsDG9KTzSjrtKXsMtQGXPHyND0/edit#gid=795171502"", ""'Filter 30_05_2024'!A1:M2000""), {2, 3, 4, 5,6,7,8,9,10,11,12,13}, 0))"),4)</f>
        <v>4</v>
      </c>
      <c r="V39" s="11">
        <f ca="1">IFERROR(__xludf.DUMMYFUNCTION("""COMPUTED_VALUE"""),8)</f>
        <v>8</v>
      </c>
      <c r="W39" s="38"/>
      <c r="X39" s="11">
        <f ca="1">IFERROR(__xludf.DUMMYFUNCTION("""COMPUTED_VALUE"""),12)</f>
        <v>12</v>
      </c>
      <c r="Y39" s="11">
        <f ca="1">IFERROR(__xludf.DUMMYFUNCTION("""COMPUTED_VALUE"""),4)</f>
        <v>4</v>
      </c>
      <c r="Z39" s="12">
        <f ca="1">IFERROR(__xludf.DUMMYFUNCTION("""COMPUTED_VALUE"""),3)</f>
        <v>3</v>
      </c>
      <c r="AA39" s="12">
        <f ca="1">IFERROR(__xludf.DUMMYFUNCTION("""COMPUTED_VALUE"""),1)</f>
        <v>1</v>
      </c>
      <c r="AB39" s="12">
        <f ca="1">IFERROR(__xludf.DUMMYFUNCTION("""COMPUTED_VALUE"""),8)</f>
        <v>8</v>
      </c>
      <c r="AC39" s="12"/>
      <c r="AD39" s="12"/>
      <c r="AE39" s="12"/>
      <c r="AF39" s="12"/>
      <c r="AG39" s="13" t="str">
        <f ca="1">IFERROR(__xludf.DUMMYFUNCTION("ArrayFormula(VLOOKUP(G39, IMPORTRANGE(""https://docs.google.com/spreadsheets/d/1Co934fvtviyaRiMsrIlT05Jaq7iiYq07aLvRr35KA48/edit?gid=173865642#gid=173865642"", ""'G7_Maths_Pri_LU'!G2:V2000""), {3, 4, 5, 6, 7, 8, 9, 10, 11, 12, 13, 14, 15, 16}, 0))"),"LU001012")</f>
        <v>LU001012</v>
      </c>
      <c r="AH39" s="13" t="str">
        <f ca="1">IFERROR(__xludf.DUMMYFUNCTION("""COMPUTED_VALUE"""),"Division of a whole number by an improper fraction")</f>
        <v>Division of a whole number by an improper fraction</v>
      </c>
      <c r="AI39" s="13" t="str">
        <f ca="1">IFERROR(__xludf.DUMMYFUNCTION("""COMPUTED_VALUE"""),"LU000371")</f>
        <v>LU000371</v>
      </c>
      <c r="AJ39" s="13" t="str">
        <f ca="1">IFERROR(__xludf.DUMMYFUNCTION("""COMPUTED_VALUE"""),"Reciprocal of a fraction")</f>
        <v>Reciprocal of a fraction</v>
      </c>
      <c r="AK39" s="13" t="str">
        <f ca="1">IFERROR(__xludf.DUMMYFUNCTION("""COMPUTED_VALUE"""),"LU001005")</f>
        <v>LU001005</v>
      </c>
      <c r="AL39" s="13" t="str">
        <f ca="1">IFERROR(__xludf.DUMMYFUNCTION("""COMPUTED_VALUE"""),"Multiplication of a proper fraction by a whole number")</f>
        <v>Multiplication of a proper fraction by a whole number</v>
      </c>
      <c r="AM39" s="13" t="str">
        <f ca="1">IFERROR(__xludf.DUMMYFUNCTION("""COMPUTED_VALUE"""),"LU000282")</f>
        <v>LU000282</v>
      </c>
      <c r="AN39" s="13" t="str">
        <f ca="1">IFERROR(__xludf.DUMMYFUNCTION("""COMPUTED_VALUE"""),"Definition of improper fractions")</f>
        <v>Definition of improper fractions</v>
      </c>
      <c r="AO39" s="13" t="str">
        <f ca="1">IFERROR(__xludf.DUMMYFUNCTION("""COMPUTED_VALUE"""),"LU000975")</f>
        <v>LU000975</v>
      </c>
      <c r="AP39" s="13" t="str">
        <f ca="1">IFERROR(__xludf.DUMMYFUNCTION("""COMPUTED_VALUE"""),"Conversion of improper fraction to mixed fraction")</f>
        <v>Conversion of improper fraction to mixed fraction</v>
      </c>
      <c r="AQ39" s="13" t="str">
        <f ca="1">IFERROR(__xludf.DUMMYFUNCTION("""COMPUTED_VALUE"""),"LU000278")</f>
        <v>LU000278</v>
      </c>
      <c r="AR39" s="13" t="str">
        <f ca="1">IFERROR(__xludf.DUMMYFUNCTION("""COMPUTED_VALUE"""),"Definition of fraction")</f>
        <v>Definition of fraction</v>
      </c>
      <c r="AS39" s="13"/>
      <c r="AT39" s="13"/>
    </row>
    <row r="40" spans="1:46">
      <c r="A40" s="8" t="s">
        <v>247</v>
      </c>
      <c r="B40" s="8" t="s">
        <v>47</v>
      </c>
      <c r="C40" s="8" t="s">
        <v>416</v>
      </c>
      <c r="D40" s="8" t="s">
        <v>49</v>
      </c>
      <c r="E40" s="8" t="s">
        <v>450</v>
      </c>
      <c r="F40" s="42" t="s">
        <v>469</v>
      </c>
      <c r="G40" s="8" t="s">
        <v>472</v>
      </c>
      <c r="H40" s="8" t="str">
        <f ca="1">IFERROR(__xludf.DUMMYFUNCTION("VLOOKUP(G40, IMPORTRANGE(""https://docs.google.com/spreadsheets/d/14deopnvwcrKtEGCKuYXdUHJbeLDZlkiSSWWT0g7x2pM/edit#gid=999382323"", ""LU List Maths (Filter)!A:B""), 2, FALSE)"),"Division of a mixed fraction by another fraction(proper, improper and mixed)")</f>
        <v>Division of a mixed fraction by another fraction(proper, improper and mixed)</v>
      </c>
      <c r="I40" s="10" t="str">
        <f t="shared" si="0"/>
        <v>LU001019.001</v>
      </c>
      <c r="J40" s="10" t="str">
        <f ca="1">IFERROR(__xludf.DUMMYFUNCTION("VLOOKUP(I40, IMPORTRANGE(""https://docs.google.com/spreadsheets/d/1yDAaXNsi4Mr5FtRQL4tbmSdIzhx6_m4wkOD7IG-k_eo/edit#gid=0"", ""Maths!M:N""), 2, FALSE)"),"State the rules for dividing a mixed fraction by different types of fractions.")</f>
        <v>State the rules for dividing a mixed fraction by different types of fractions.</v>
      </c>
      <c r="K40" s="10" t="str">
        <f t="shared" si="1"/>
        <v>LU001019.002</v>
      </c>
      <c r="L40" s="10" t="str">
        <f ca="1">IFERROR(__xludf.DUMMYFUNCTION("VLOOKUP(K40, IMPORTRANGE(""https://docs.google.com/spreadsheets/d/1yDAaXNsi4Mr5FtRQL4tbmSdIzhx6_m4wkOD7IG-k_eo/edit#gid=0"", ""Maths!M:N""), 2, FALSE)"),"Describe how to divide a mixed fraction by another fraction, using various examples.")</f>
        <v>Describe how to divide a mixed fraction by another fraction, using various examples.</v>
      </c>
      <c r="M40" s="10" t="str">
        <f t="shared" si="2"/>
        <v>LU001019.003</v>
      </c>
      <c r="N40" s="10" t="str">
        <f ca="1">IFERROR(__xludf.DUMMYFUNCTION("VLOOKUP(M40, IMPORTRANGE(""https://docs.google.com/spreadsheets/d/1yDAaXNsi4Mr5FtRQL4tbmSdIzhx6_m4wkOD7IG-k_eo/edit#gid=0"", ""Maths!M:N""), 2, FALSE)"),"Execute division operations involving a mixed fraction and other fractions (proper, improper, mixed).")</f>
        <v>Execute division operations involving a mixed fraction and other fractions (proper, improper, mixed).</v>
      </c>
      <c r="O40" s="10" t="str">
        <f t="shared" si="3"/>
        <v>LU001019.004</v>
      </c>
      <c r="P40" s="10" t="str">
        <f ca="1">IFERROR(__xludf.DUMMYFUNCTION("VLOOKUP(O40, IMPORTRANGE(""https://docs.google.com/spreadsheets/d/1yDAaXNsi4Mr5FtRQL4tbmSdIzhx6_m4wkOD7IG-k_eo/edit#gid=0"", ""Maths!M:N""), 2, FALSE)"),"Differentiate correct from incorrect methods in problems dividing a mixed fraction by other fractions.")</f>
        <v>Differentiate correct from incorrect methods in problems dividing a mixed fraction by other fractions.</v>
      </c>
      <c r="Q40" s="10" t="str">
        <f t="shared" si="4"/>
        <v>LU001019.005</v>
      </c>
      <c r="R40" s="10" t="str">
        <f ca="1">IFERROR(__xludf.DUMMYFUNCTION("VLOOKUP(Q40, IMPORTRANGE(""https://docs.google.com/spreadsheets/d/1yDAaXNsi4Mr5FtRQL4tbmSdIzhx6_m4wkOD7IG-k_eo/edit#gid=0"", ""Maths!M:N""), 2, FALSE)"),"Assess the accuracy of solutions in dividing a mixed fraction by various types of fractions.")</f>
        <v>Assess the accuracy of solutions in dividing a mixed fraction by various types of fractions.</v>
      </c>
      <c r="S40" s="10" t="str">
        <f t="shared" si="5"/>
        <v>LU001019.006</v>
      </c>
      <c r="T40" s="10" t="str">
        <f ca="1">IFERROR(__xludf.DUMMYFUNCTION("VLOOKUP(S40, IMPORTRANGE(""https://docs.google.com/spreadsheets/d/1yDAaXNsi4Mr5FtRQL4tbmSdIzhx6_m4wkOD7IG-k_eo/edit#gid=0"", ""Maths!M:N""), 2, FALSE)"),"#N/A")</f>
        <v>#N/A</v>
      </c>
      <c r="U40" s="11">
        <f ca="1">IFERROR(__xludf.DUMMYFUNCTION("ArrayFormula(VLOOKUP(G40, IMPORTRANGE(""https://docs.google.com/spreadsheets/d/1p7R4vtkWt5VOBim4ltsDG9KTzSjrtKXsMtQGXPHyND0/edit#gid=795171502"", ""'Filter 30_05_2024'!A1:M2000""), {2, 3, 4, 5,6,7,8,9,10,11,12,13}, 0))"),4)</f>
        <v>4</v>
      </c>
      <c r="V40" s="11">
        <f ca="1">IFERROR(__xludf.DUMMYFUNCTION("""COMPUTED_VALUE"""),6)</f>
        <v>6</v>
      </c>
      <c r="W40" s="11">
        <f ca="1">IFERROR(__xludf.DUMMYFUNCTION("""COMPUTED_VALUE"""),2)</f>
        <v>2</v>
      </c>
      <c r="X40" s="11">
        <f ca="1">IFERROR(__xludf.DUMMYFUNCTION("""COMPUTED_VALUE"""),12)</f>
        <v>12</v>
      </c>
      <c r="Y40" s="11">
        <f ca="1">IFERROR(__xludf.DUMMYFUNCTION("""COMPUTED_VALUE"""),4)</f>
        <v>4</v>
      </c>
      <c r="Z40" s="12">
        <f ca="1">IFERROR(__xludf.DUMMYFUNCTION("""COMPUTED_VALUE"""),3)</f>
        <v>3</v>
      </c>
      <c r="AA40" s="12">
        <f ca="1">IFERROR(__xludf.DUMMYFUNCTION("""COMPUTED_VALUE"""),1)</f>
        <v>1</v>
      </c>
      <c r="AB40" s="12">
        <f ca="1">IFERROR(__xludf.DUMMYFUNCTION("""COMPUTED_VALUE"""),8)</f>
        <v>8</v>
      </c>
      <c r="AC40" s="12"/>
      <c r="AD40" s="12"/>
      <c r="AE40" s="12"/>
      <c r="AF40" s="12"/>
      <c r="AG40" s="13" t="str">
        <f ca="1">IFERROR(__xludf.DUMMYFUNCTION("ArrayFormula(VLOOKUP(G40, IMPORTRANGE(""https://docs.google.com/spreadsheets/d/1Co934fvtviyaRiMsrIlT05Jaq7iiYq07aLvRr35KA48/edit?gid=173865642#gid=173865642"", ""'G7_Maths_Pri_LU'!G2:V2000""), {3, 4, 5, 6, 7, 8, 9, 10, 11, 12, 13, 14, 15, 16}, 0))"),"LU001013")</f>
        <v>LU001013</v>
      </c>
      <c r="AH40" s="13" t="str">
        <f ca="1">IFERROR(__xludf.DUMMYFUNCTION("""COMPUTED_VALUE"""),"Division of a whole number by a mixed fraction")</f>
        <v>Division of a whole number by a mixed fraction</v>
      </c>
      <c r="AI40" s="13" t="str">
        <f ca="1">IFERROR(__xludf.DUMMYFUNCTION("""COMPUTED_VALUE"""),"LU000371")</f>
        <v>LU000371</v>
      </c>
      <c r="AJ40" s="13" t="str">
        <f ca="1">IFERROR(__xludf.DUMMYFUNCTION("""COMPUTED_VALUE"""),"Reciprocal of a fraction")</f>
        <v>Reciprocal of a fraction</v>
      </c>
      <c r="AK40" s="13" t="str">
        <f ca="1">IFERROR(__xludf.DUMMYFUNCTION("""COMPUTED_VALUE"""),"LU000976")</f>
        <v>LU000976</v>
      </c>
      <c r="AL40" s="13" t="str">
        <f ca="1">IFERROR(__xludf.DUMMYFUNCTION("""COMPUTED_VALUE"""),"Conversion of mixed fraction to improper fraction")</f>
        <v>Conversion of mixed fraction to improper fraction</v>
      </c>
      <c r="AM40" s="13" t="str">
        <f ca="1">IFERROR(__xludf.DUMMYFUNCTION("""COMPUTED_VALUE"""),"LU001005")</f>
        <v>LU001005</v>
      </c>
      <c r="AN40" s="13" t="str">
        <f ca="1">IFERROR(__xludf.DUMMYFUNCTION("""COMPUTED_VALUE"""),"Multiplication of a proper fraction by a whole number")</f>
        <v>Multiplication of a proper fraction by a whole number</v>
      </c>
      <c r="AO40" s="13" t="str">
        <f ca="1">IFERROR(__xludf.DUMMYFUNCTION("""COMPUTED_VALUE"""),"LU000283")</f>
        <v>LU000283</v>
      </c>
      <c r="AP40" s="13" t="str">
        <f ca="1">IFERROR(__xludf.DUMMYFUNCTION("""COMPUTED_VALUE"""),"Definition of mixed fractions")</f>
        <v>Definition of mixed fractions</v>
      </c>
      <c r="AQ40" s="13" t="str">
        <f ca="1">IFERROR(__xludf.DUMMYFUNCTION("""COMPUTED_VALUE"""),"LU001010")</f>
        <v>LU001010</v>
      </c>
      <c r="AR40" s="13" t="str">
        <f ca="1">IFERROR(__xludf.DUMMYFUNCTION("""COMPUTED_VALUE"""),"Multiplication of a mixed fraction by another fraction(proper, improper and mixed)")</f>
        <v>Multiplication of a mixed fraction by another fraction(proper, improper and mixed)</v>
      </c>
      <c r="AS40" s="13"/>
      <c r="AT40" s="13"/>
    </row>
    <row r="41" spans="1:46">
      <c r="A41" s="8" t="s">
        <v>247</v>
      </c>
      <c r="B41" s="8" t="s">
        <v>47</v>
      </c>
      <c r="C41" s="8" t="s">
        <v>416</v>
      </c>
      <c r="D41" s="8" t="s">
        <v>49</v>
      </c>
      <c r="E41" s="8" t="s">
        <v>450</v>
      </c>
      <c r="F41" s="8" t="s">
        <v>473</v>
      </c>
      <c r="G41" s="8" t="s">
        <v>474</v>
      </c>
      <c r="H41" s="8" t="str">
        <f ca="1">IFERROR(__xludf.DUMMYFUNCTION("VLOOKUP(G41, IMPORTRANGE(""https://docs.google.com/spreadsheets/d/14deopnvwcrKtEGCKuYXdUHJbeLDZlkiSSWWT0g7x2pM/edit#gid=999382323"", ""LU List Maths (Filter)!A:B""), 2, FALSE)"),"Multiplication of decimal number by a whole number")</f>
        <v>Multiplication of decimal number by a whole number</v>
      </c>
      <c r="I41" s="10" t="str">
        <f t="shared" si="0"/>
        <v>LU000375.001</v>
      </c>
      <c r="J41" s="10" t="str">
        <f ca="1">IFERROR(__xludf.DUMMYFUNCTION("VLOOKUP(I41, IMPORTRANGE(""https://docs.google.com/spreadsheets/d/1yDAaXNsi4Mr5FtRQL4tbmSdIzhx6_m4wkOD7IG-k_eo/edit#gid=0"", ""Maths!M:N""), 2, FALSE)"),"Recall the steps to multiply a decimal by a whole number.")</f>
        <v>Recall the steps to multiply a decimal by a whole number.</v>
      </c>
      <c r="K41" s="10" t="str">
        <f t="shared" si="1"/>
        <v>LU000375.002</v>
      </c>
      <c r="L41" s="10" t="str">
        <f ca="1">IFERROR(__xludf.DUMMYFUNCTION("VLOOKUP(K41, IMPORTRANGE(""https://docs.google.com/spreadsheets/d/1yDAaXNsi4Mr5FtRQL4tbmSdIzhx6_m4wkOD7IG-k_eo/edit#gid=0"", ""Maths!M:N""), 2, FALSE)"),"Explain why the placement of the decimal point is important in decimal multiplication.")</f>
        <v>Explain why the placement of the decimal point is important in decimal multiplication.</v>
      </c>
      <c r="M41" s="10" t="str">
        <f t="shared" si="2"/>
        <v>LU000375.003</v>
      </c>
      <c r="N41" s="10" t="str">
        <f ca="1">IFERROR(__xludf.DUMMYFUNCTION("VLOOKUP(M41, IMPORTRANGE(""https://docs.google.com/spreadsheets/d/1yDAaXNsi4Mr5FtRQL4tbmSdIzhx6_m4wkOD7IG-k_eo/edit#gid=0"", ""Maths!M:N""), 2, FALSE)"),"Calculate the product of a decimal and with a whole number.")</f>
        <v>Calculate the product of a decimal and with a whole number.</v>
      </c>
      <c r="O41" s="10" t="str">
        <f t="shared" si="3"/>
        <v>LU000375.004</v>
      </c>
      <c r="P41" s="10" t="str">
        <f ca="1">IFERROR(__xludf.DUMMYFUNCTION("VLOOKUP(O41, IMPORTRANGE(""https://docs.google.com/spreadsheets/d/1yDAaXNsi4Mr5FtRQL4tbmSdIzhx6_m4wkOD7IG-k_eo/edit#gid=0"", ""Maths!M:N""), 2, FALSE)"),"Solve word problems on the multiplication of a decimal with a whole number.")</f>
        <v>Solve word problems on the multiplication of a decimal with a whole number.</v>
      </c>
      <c r="Q41" s="10" t="str">
        <f t="shared" si="4"/>
        <v>LU000375.005</v>
      </c>
      <c r="R41" s="10" t="str">
        <f ca="1">IFERROR(__xludf.DUMMYFUNCTION("VLOOKUP(Q41, IMPORTRANGE(""https://docs.google.com/spreadsheets/d/1yDAaXNsi4Mr5FtRQL4tbmSdIzhx6_m4wkOD7IG-k_eo/edit#gid=0"", ""Maths!M:N""), 2, FALSE)"),"Evaluate the accuracy of solutions for decimal multiplication by whole numbers.")</f>
        <v>Evaluate the accuracy of solutions for decimal multiplication by whole numbers.</v>
      </c>
      <c r="S41" s="10" t="str">
        <f t="shared" si="5"/>
        <v>LU000375.006</v>
      </c>
      <c r="T41" s="10" t="str">
        <f ca="1">IFERROR(__xludf.DUMMYFUNCTION("VLOOKUP(S41, IMPORTRANGE(""https://docs.google.com/spreadsheets/d/1yDAaXNsi4Mr5FtRQL4tbmSdIzhx6_m4wkOD7IG-k_eo/edit#gid=0"", ""Maths!M:N""), 2, FALSE)"),"Create word problems involving real-life scenarios for peers to solve using decimal multiplication.")</f>
        <v>Create word problems involving real-life scenarios for peers to solve using decimal multiplication.</v>
      </c>
      <c r="U41" s="11">
        <f ca="1">IFERROR(__xludf.DUMMYFUNCTION("ArrayFormula(VLOOKUP(G41, IMPORTRANGE(""https://docs.google.com/spreadsheets/d/1p7R4vtkWt5VOBim4ltsDG9KTzSjrtKXsMtQGXPHyND0/edit#gid=795171502"", ""'Filter 30_05_2024'!A1:M2000""), {2, 3, 4, 5,6,7,8,9,10,11,12,13}, 0))"),4)</f>
        <v>4</v>
      </c>
      <c r="V41" s="11">
        <f ca="1">IFERROR(__xludf.DUMMYFUNCTION("""COMPUTED_VALUE"""),10)</f>
        <v>10</v>
      </c>
      <c r="W41" s="11">
        <f ca="1">IFERROR(__xludf.DUMMYFUNCTION("""COMPUTED_VALUE"""),5)</f>
        <v>5</v>
      </c>
      <c r="X41" s="11">
        <f ca="1">IFERROR(__xludf.DUMMYFUNCTION("""COMPUTED_VALUE"""),19)</f>
        <v>19</v>
      </c>
      <c r="Y41" s="11">
        <f ca="1">IFERROR(__xludf.DUMMYFUNCTION("""COMPUTED_VALUE"""),4)</f>
        <v>4</v>
      </c>
      <c r="Z41" s="12">
        <f ca="1">IFERROR(__xludf.DUMMYFUNCTION("""COMPUTED_VALUE"""),3)</f>
        <v>3</v>
      </c>
      <c r="AA41" s="12">
        <f ca="1">IFERROR(__xludf.DUMMYFUNCTION("""COMPUTED_VALUE"""),1)</f>
        <v>1</v>
      </c>
      <c r="AB41" s="12">
        <f ca="1">IFERROR(__xludf.DUMMYFUNCTION("""COMPUTED_VALUE"""),8)</f>
        <v>8</v>
      </c>
      <c r="AC41" s="12"/>
      <c r="AD41" s="12"/>
      <c r="AE41" s="12"/>
      <c r="AF41" s="12"/>
      <c r="AG41" s="13" t="str">
        <f ca="1">IFERROR(__xludf.DUMMYFUNCTION("ArrayFormula(VLOOKUP(G41, IMPORTRANGE(""https://docs.google.com/spreadsheets/d/1Co934fvtviyaRiMsrIlT05Jaq7iiYq07aLvRr35KA48/edit?gid=173865642#gid=173865642"", ""'G7_Maths_Pri_LU'!G2:V2000""), {3, 4, 5, 6, 7, 8, 9, 10, 11, 12, 13, 14, 15, 16}, 0))"),"LU000096")</f>
        <v>LU000096</v>
      </c>
      <c r="AH41" s="13" t="str">
        <f ca="1">IFERROR(__xludf.DUMMYFUNCTION("""COMPUTED_VALUE"""),"Convert decimal number to fractional form")</f>
        <v>Convert decimal number to fractional form</v>
      </c>
      <c r="AI41" s="13" t="str">
        <f ca="1">IFERROR(__xludf.DUMMYFUNCTION("""COMPUTED_VALUE"""),"LU001005")</f>
        <v>LU001005</v>
      </c>
      <c r="AJ41" s="13" t="str">
        <f ca="1">IFERROR(__xludf.DUMMYFUNCTION("""COMPUTED_VALUE"""),"Multiplication of a proper fraction by a whole number")</f>
        <v>Multiplication of a proper fraction by a whole number</v>
      </c>
      <c r="AK41" s="13" t="str">
        <f ca="1">IFERROR(__xludf.DUMMYFUNCTION("""COMPUTED_VALUE"""),"LU001006")</f>
        <v>LU001006</v>
      </c>
      <c r="AL41" s="13" t="str">
        <f ca="1">IFERROR(__xludf.DUMMYFUNCTION("""COMPUTED_VALUE"""),"Multiplication of an improper fraction by a whole number")</f>
        <v>Multiplication of an improper fraction by a whole number</v>
      </c>
      <c r="AM41" s="13" t="str">
        <f ca="1">IFERROR(__xludf.DUMMYFUNCTION("""COMPUTED_VALUE"""),"LU000293")</f>
        <v>LU000293</v>
      </c>
      <c r="AN41" s="13" t="str">
        <f ca="1">IFERROR(__xludf.DUMMYFUNCTION("""COMPUTED_VALUE"""),"Place value system in decimal numbers")</f>
        <v>Place value system in decimal numbers</v>
      </c>
      <c r="AO41" s="13" t="str">
        <f ca="1">IFERROR(__xludf.DUMMYFUNCTION("""COMPUTED_VALUE"""),"LU000292")</f>
        <v>LU000292</v>
      </c>
      <c r="AP41" s="13" t="str">
        <f ca="1">IFERROR(__xludf.DUMMYFUNCTION("""COMPUTED_VALUE"""),"Definition of decimal number")</f>
        <v>Definition of decimal number</v>
      </c>
      <c r="AQ41" s="13"/>
      <c r="AR41" s="13"/>
      <c r="AS41" s="13"/>
      <c r="AT41" s="13"/>
    </row>
    <row r="42" spans="1:46">
      <c r="A42" s="8" t="s">
        <v>247</v>
      </c>
      <c r="B42" s="8" t="s">
        <v>47</v>
      </c>
      <c r="C42" s="8" t="s">
        <v>416</v>
      </c>
      <c r="D42" s="8" t="s">
        <v>49</v>
      </c>
      <c r="E42" s="8" t="s">
        <v>450</v>
      </c>
      <c r="F42" s="8" t="s">
        <v>473</v>
      </c>
      <c r="G42" s="8" t="s">
        <v>475</v>
      </c>
      <c r="H42" s="42" t="str">
        <f ca="1">IFERROR(__xludf.DUMMYFUNCTION("VLOOKUP(G42, IMPORTRANGE(""https://docs.google.com/spreadsheets/d/14deopnvwcrKtEGCKuYXdUHJbeLDZlkiSSWWT0g7x2pM/edit#gid=999382323"", ""LU List Maths (Filter)!A:B""), 2, FALSE)"),"Multiplication of decimal number by multiples of 10")</f>
        <v>Multiplication of decimal number by multiples of 10</v>
      </c>
      <c r="I42" s="10" t="str">
        <f t="shared" si="0"/>
        <v>LU000376.001</v>
      </c>
      <c r="J42" s="10" t="str">
        <f ca="1">IFERROR(__xludf.DUMMYFUNCTION("VLOOKUP(I42, IMPORTRANGE(""https://docs.google.com/spreadsheets/d/1yDAaXNsi4Mr5FtRQL4tbmSdIzhx6_m4wkOD7IG-k_eo/edit#gid=0"", ""Maths!M:N""), 2, FALSE)"),"Recall the steps to multiply a decimal by multiples of 10.")</f>
        <v>Recall the steps to multiply a decimal by multiples of 10.</v>
      </c>
      <c r="K42" s="10" t="str">
        <f t="shared" si="1"/>
        <v>LU000376.002</v>
      </c>
      <c r="L42" s="10" t="str">
        <f ca="1">IFERROR(__xludf.DUMMYFUNCTION("VLOOKUP(K42, IMPORTRANGE(""https://docs.google.com/spreadsheets/d/1yDAaXNsi4Mr5FtRQL4tbmSdIzhx6_m4wkOD7IG-k_eo/edit#gid=0"", ""Maths!M:N""), 2, FALSE)"),"Explain why multiplication by 10, 100, etc. shifts decimal digits.")</f>
        <v>Explain why multiplication by 10, 100, etc. shifts decimal digits.</v>
      </c>
      <c r="M42" s="10" t="str">
        <f t="shared" si="2"/>
        <v>LU000376.003</v>
      </c>
      <c r="N42" s="10" t="str">
        <f ca="1">IFERROR(__xludf.DUMMYFUNCTION("VLOOKUP(M42, IMPORTRANGE(""https://docs.google.com/spreadsheets/d/1yDAaXNsi4Mr5FtRQL4tbmSdIzhx6_m4wkOD7IG-k_eo/edit#gid=0"", ""Maths!M:N""), 2, FALSE)"),"Calculate the product of multiplying a decimal number by multiples of 10.")</f>
        <v>Calculate the product of multiplying a decimal number by multiples of 10.</v>
      </c>
      <c r="O42" s="10" t="str">
        <f t="shared" si="3"/>
        <v>LU000376.004</v>
      </c>
      <c r="P42" s="10" t="str">
        <f ca="1">IFERROR(__xludf.DUMMYFUNCTION("VLOOKUP(O42, IMPORTRANGE(""https://docs.google.com/spreadsheets/d/1yDAaXNsi4Mr5FtRQL4tbmSdIzhx6_m4wkOD7IG-k_eo/edit#gid=0"", ""Maths!M:N""), 2, FALSE)"),"Solve word problems on the multiplication of a decimal by multiples of 10.")</f>
        <v>Solve word problems on the multiplication of a decimal by multiples of 10.</v>
      </c>
      <c r="Q42" s="10" t="str">
        <f t="shared" si="4"/>
        <v>LU000376.005</v>
      </c>
      <c r="R42" s="10" t="str">
        <f ca="1">IFERROR(__xludf.DUMMYFUNCTION("VLOOKUP(Q42, IMPORTRANGE(""https://docs.google.com/spreadsheets/d/1yDAaXNsi4Mr5FtRQL4tbmSdIzhx6_m4wkOD7IG-k_eo/edit#gid=0"", ""Maths!M:N""), 2, FALSE)"),"Verify that the product of decimal numbers by multiples of 10 in order to infer the right shift in decimal point.")</f>
        <v>Verify that the product of decimal numbers by multiples of 10 in order to infer the right shift in decimal point.</v>
      </c>
      <c r="S42" s="10" t="str">
        <f t="shared" si="5"/>
        <v>LU000376.006</v>
      </c>
      <c r="T42" s="10" t="str">
        <f ca="1">IFERROR(__xludf.DUMMYFUNCTION("VLOOKUP(S42, IMPORTRANGE(""https://docs.google.com/spreadsheets/d/1yDAaXNsi4Mr5FtRQL4tbmSdIzhx6_m4wkOD7IG-k_eo/edit#gid=0"", ""Maths!M:N""), 2, FALSE)"),"Create real-life examples that require the multiplication of a decimal by multiples of 10.")</f>
        <v>Create real-life examples that require the multiplication of a decimal by multiples of 10.</v>
      </c>
      <c r="U42" s="11">
        <f ca="1">IFERROR(__xludf.DUMMYFUNCTION("ArrayFormula(VLOOKUP(G42, IMPORTRANGE(""https://docs.google.com/spreadsheets/d/1p7R4vtkWt5VOBim4ltsDG9KTzSjrtKXsMtQGXPHyND0/edit#gid=795171502"", ""'Filter 30_05_2024'!A1:M2000""), {2, 3, 4, 5,6,7,8,9,10,11,12,13}, 0))"),4)</f>
        <v>4</v>
      </c>
      <c r="V42" s="11">
        <f ca="1">IFERROR(__xludf.DUMMYFUNCTION("""COMPUTED_VALUE"""),6)</f>
        <v>6</v>
      </c>
      <c r="W42" s="11">
        <f ca="1">IFERROR(__xludf.DUMMYFUNCTION("""COMPUTED_VALUE"""),10)</f>
        <v>10</v>
      </c>
      <c r="X42" s="11">
        <f ca="1">IFERROR(__xludf.DUMMYFUNCTION("""COMPUTED_VALUE"""),20)</f>
        <v>20</v>
      </c>
      <c r="Y42" s="11">
        <f ca="1">IFERROR(__xludf.DUMMYFUNCTION("""COMPUTED_VALUE"""),4)</f>
        <v>4</v>
      </c>
      <c r="Z42" s="12">
        <f ca="1">IFERROR(__xludf.DUMMYFUNCTION("""COMPUTED_VALUE"""),4)</f>
        <v>4</v>
      </c>
      <c r="AA42" s="12">
        <f ca="1">IFERROR(__xludf.DUMMYFUNCTION("""COMPUTED_VALUE"""),2)</f>
        <v>2</v>
      </c>
      <c r="AB42" s="12">
        <f ca="1">IFERROR(__xludf.DUMMYFUNCTION("""COMPUTED_VALUE"""),10)</f>
        <v>10</v>
      </c>
      <c r="AC42" s="12"/>
      <c r="AD42" s="12"/>
      <c r="AE42" s="12"/>
      <c r="AF42" s="12"/>
      <c r="AG42" s="13" t="str">
        <f ca="1">IFERROR(__xludf.DUMMYFUNCTION("ArrayFormula(VLOOKUP(G42, IMPORTRANGE(""https://docs.google.com/spreadsheets/d/1Co934fvtviyaRiMsrIlT05Jaq7iiYq07aLvRr35KA48/edit?gid=173865642#gid=173865642"", ""'G7_Maths_Pri_LU'!G2:V2000""), {3, 4, 5, 6, 7, 8, 9, 10, 11, 12, 13, 14, 15, 16}, 0))"),"LU000375")</f>
        <v>LU000375</v>
      </c>
      <c r="AH42" s="13" t="str">
        <f ca="1">IFERROR(__xludf.DUMMYFUNCTION("""COMPUTED_VALUE"""),"Multiplication of decimal number by a whole number")</f>
        <v>Multiplication of decimal number by a whole number</v>
      </c>
      <c r="AI42" s="13" t="str">
        <f ca="1">IFERROR(__xludf.DUMMYFUNCTION("""COMPUTED_VALUE"""),"LU000096")</f>
        <v>LU000096</v>
      </c>
      <c r="AJ42" s="13" t="str">
        <f ca="1">IFERROR(__xludf.DUMMYFUNCTION("""COMPUTED_VALUE"""),"Convert decimal number to fractional form")</f>
        <v>Convert decimal number to fractional form</v>
      </c>
      <c r="AK42" s="13" t="str">
        <f ca="1">IFERROR(__xludf.DUMMYFUNCTION("""COMPUTED_VALUE"""),"LU001005")</f>
        <v>LU001005</v>
      </c>
      <c r="AL42" s="13" t="str">
        <f ca="1">IFERROR(__xludf.DUMMYFUNCTION("""COMPUTED_VALUE"""),"Multiplication of a proper fraction by a whole number")</f>
        <v>Multiplication of a proper fraction by a whole number</v>
      </c>
      <c r="AM42" s="13" t="str">
        <f ca="1">IFERROR(__xludf.DUMMYFUNCTION("""COMPUTED_VALUE"""),"LU001006")</f>
        <v>LU001006</v>
      </c>
      <c r="AN42" s="13" t="str">
        <f ca="1">IFERROR(__xludf.DUMMYFUNCTION("""COMPUTED_VALUE"""),"Multiplication of an improper fraction by a whole number")</f>
        <v>Multiplication of an improper fraction by a whole number</v>
      </c>
      <c r="AO42" s="13" t="str">
        <f ca="1">IFERROR(__xludf.DUMMYFUNCTION("""COMPUTED_VALUE"""),"LU000293")</f>
        <v>LU000293</v>
      </c>
      <c r="AP42" s="13" t="str">
        <f ca="1">IFERROR(__xludf.DUMMYFUNCTION("""COMPUTED_VALUE"""),"Place value system in decimal numbers")</f>
        <v>Place value system in decimal numbers</v>
      </c>
      <c r="AQ42" s="13" t="str">
        <f ca="1">IFERROR(__xludf.DUMMYFUNCTION("""COMPUTED_VALUE"""),"LU000292")</f>
        <v>LU000292</v>
      </c>
      <c r="AR42" s="13" t="str">
        <f ca="1">IFERROR(__xludf.DUMMYFUNCTION("""COMPUTED_VALUE"""),"Definition of decimal number")</f>
        <v>Definition of decimal number</v>
      </c>
      <c r="AS42" s="13"/>
      <c r="AT42" s="13"/>
    </row>
    <row r="43" spans="1:46">
      <c r="A43" s="8" t="s">
        <v>247</v>
      </c>
      <c r="B43" s="8" t="s">
        <v>47</v>
      </c>
      <c r="C43" s="8" t="s">
        <v>416</v>
      </c>
      <c r="D43" s="8" t="s">
        <v>49</v>
      </c>
      <c r="E43" s="8" t="s">
        <v>450</v>
      </c>
      <c r="F43" s="8" t="s">
        <v>476</v>
      </c>
      <c r="G43" s="8" t="s">
        <v>477</v>
      </c>
      <c r="H43" s="42" t="str">
        <f ca="1">IFERROR(__xludf.DUMMYFUNCTION("VLOOKUP(G43, IMPORTRANGE(""https://docs.google.com/spreadsheets/d/14deopnvwcrKtEGCKuYXdUHJbeLDZlkiSSWWT0g7x2pM/edit#gid=999382323"", ""LU List Maths (Filter)!A:B""), 2, FALSE)"),"Multiplication of decimal numbers")</f>
        <v>Multiplication of decimal numbers</v>
      </c>
      <c r="I43" s="10" t="str">
        <f t="shared" si="0"/>
        <v>LU000377.001</v>
      </c>
      <c r="J43" s="10" t="str">
        <f ca="1">IFERROR(__xludf.DUMMYFUNCTION("VLOOKUP(I43, IMPORTRANGE(""https://docs.google.com/spreadsheets/d/1yDAaXNsi4Mr5FtRQL4tbmSdIzhx6_m4wkOD7IG-k_eo/edit#gid=0"", ""Maths!M:N""), 2, FALSE)"),"State the various methods to multiply decimal numbers by other decimal numbers.")</f>
        <v>State the various methods to multiply decimal numbers by other decimal numbers.</v>
      </c>
      <c r="K43" s="10" t="str">
        <f t="shared" si="1"/>
        <v>LU000377.002</v>
      </c>
      <c r="L43" s="10" t="str">
        <f ca="1">IFERROR(__xludf.DUMMYFUNCTION("VLOOKUP(K43, IMPORTRANGE(""https://docs.google.com/spreadsheets/d/1yDAaXNsi4Mr5FtRQL4tbmSdIzhx6_m4wkOD7IG-k_eo/edit#gid=0"", ""Maths!M:N""), 2, FALSE)"),"Explain the significance of considering decimal places in decimal multiplication.")</f>
        <v>Explain the significance of considering decimal places in decimal multiplication.</v>
      </c>
      <c r="M43" s="10" t="str">
        <f t="shared" si="2"/>
        <v>LU000377.003</v>
      </c>
      <c r="N43" s="10" t="str">
        <f ca="1">IFERROR(__xludf.DUMMYFUNCTION("VLOOKUP(M43, IMPORTRANGE(""https://docs.google.com/spreadsheets/d/1yDAaXNsi4Mr5FtRQL4tbmSdIzhx6_m4wkOD7IG-k_eo/edit#gid=0"", ""Maths!M:N""), 2, FALSE)"),"Calculate the product of decimal numbers.")</f>
        <v>Calculate the product of decimal numbers.</v>
      </c>
      <c r="O43" s="10" t="str">
        <f t="shared" si="3"/>
        <v>LU000377.004</v>
      </c>
      <c r="P43" s="10" t="str">
        <f ca="1">IFERROR(__xludf.DUMMYFUNCTION("VLOOKUP(O43, IMPORTRANGE(""https://docs.google.com/spreadsheets/d/1yDAaXNsi4Mr5FtRQL4tbmSdIzhx6_m4wkOD7IG-k_eo/edit#gid=0"", ""Maths!M:N""), 2, FALSE)"),"Solve word problems on the multiplication of a decimal number by a decimal number.")</f>
        <v>Solve word problems on the multiplication of a decimal number by a decimal number.</v>
      </c>
      <c r="Q43" s="10" t="str">
        <f t="shared" si="4"/>
        <v>LU000377.005</v>
      </c>
      <c r="R43" s="10" t="str">
        <f ca="1">IFERROR(__xludf.DUMMYFUNCTION("VLOOKUP(Q43, IMPORTRANGE(""https://docs.google.com/spreadsheets/d/1yDAaXNsi4Mr5FtRQL4tbmSdIzhx6_m4wkOD7IG-k_eo/edit#gid=0"", ""Maths!M:N""), 2, FALSE)"),"Evaluate the accuracy of solutions using the method of counting decimal places.")</f>
        <v>Evaluate the accuracy of solutions using the method of counting decimal places.</v>
      </c>
      <c r="S43" s="10" t="str">
        <f t="shared" si="5"/>
        <v>LU000377.006</v>
      </c>
      <c r="T43" s="10" t="str">
        <f ca="1">IFERROR(__xludf.DUMMYFUNCTION("VLOOKUP(S43, IMPORTRANGE(""https://docs.google.com/spreadsheets/d/1yDAaXNsi4Mr5FtRQL4tbmSdIzhx6_m4wkOD7IG-k_eo/edit#gid=0"", ""Maths!M:N""), 2, FALSE)"),"Create word problems illustrating scenarios where decimal numbers are multiplied by other decimals.")</f>
        <v>Create word problems illustrating scenarios where decimal numbers are multiplied by other decimals.</v>
      </c>
      <c r="U43" s="11">
        <f ca="1">IFERROR(__xludf.DUMMYFUNCTION("ArrayFormula(VLOOKUP(G43, IMPORTRANGE(""https://docs.google.com/spreadsheets/d/1p7R4vtkWt5VOBim4ltsDG9KTzSjrtKXsMtQGXPHyND0/edit#gid=795171502"", ""'Filter 30_05_2024'!A1:M2000""), {2, 3, 4, 5,6,7,8,9,10,11,12,13}, 0))"),11)</f>
        <v>11</v>
      </c>
      <c r="V43" s="11">
        <f ca="1">IFERROR(__xludf.DUMMYFUNCTION("""COMPUTED_VALUE"""),16)</f>
        <v>16</v>
      </c>
      <c r="W43" s="11">
        <f ca="1">IFERROR(__xludf.DUMMYFUNCTION("""COMPUTED_VALUE"""),5)</f>
        <v>5</v>
      </c>
      <c r="X43" s="11">
        <f ca="1">IFERROR(__xludf.DUMMYFUNCTION("""COMPUTED_VALUE"""),32)</f>
        <v>32</v>
      </c>
      <c r="Y43" s="11">
        <f ca="1">IFERROR(__xludf.DUMMYFUNCTION("""COMPUTED_VALUE"""),4)</f>
        <v>4</v>
      </c>
      <c r="Z43" s="12">
        <f ca="1">IFERROR(__xludf.DUMMYFUNCTION("""COMPUTED_VALUE"""),5)</f>
        <v>5</v>
      </c>
      <c r="AA43" s="12">
        <f ca="1">IFERROR(__xludf.DUMMYFUNCTION("""COMPUTED_VALUE"""),3)</f>
        <v>3</v>
      </c>
      <c r="AB43" s="12">
        <f ca="1">IFERROR(__xludf.DUMMYFUNCTION("""COMPUTED_VALUE"""),12)</f>
        <v>12</v>
      </c>
      <c r="AC43" s="12"/>
      <c r="AD43" s="12"/>
      <c r="AE43" s="12"/>
      <c r="AF43" s="12"/>
      <c r="AG43" s="13" t="str">
        <f ca="1">IFERROR(__xludf.DUMMYFUNCTION("ArrayFormula(VLOOKUP(G43, IMPORTRANGE(""https://docs.google.com/spreadsheets/d/1Co934fvtviyaRiMsrIlT05Jaq7iiYq07aLvRr35KA48/edit?gid=173865642#gid=173865642"", ""'G7_Maths_Pri_LU'!G2:V2000""), {3, 4, 5, 6, 7, 8, 9, 10, 11, 12, 13, 14, 15, 16}, 0))"),"LU000376")</f>
        <v>LU000376</v>
      </c>
      <c r="AH43" s="13" t="str">
        <f ca="1">IFERROR(__xludf.DUMMYFUNCTION("""COMPUTED_VALUE"""),"Multiplication of decimal number by multiples of 10")</f>
        <v>Multiplication of decimal number by multiples of 10</v>
      </c>
      <c r="AI43" s="13" t="str">
        <f ca="1">IFERROR(__xludf.DUMMYFUNCTION("""COMPUTED_VALUE"""),"LU000375")</f>
        <v>LU000375</v>
      </c>
      <c r="AJ43" s="13" t="str">
        <f ca="1">IFERROR(__xludf.DUMMYFUNCTION("""COMPUTED_VALUE"""),"Multiplication of decimal number by a whole number")</f>
        <v>Multiplication of decimal number by a whole number</v>
      </c>
      <c r="AK43" s="13" t="str">
        <f ca="1">IFERROR(__xludf.DUMMYFUNCTION("""COMPUTED_VALUE"""),"LU000096")</f>
        <v>LU000096</v>
      </c>
      <c r="AL43" s="13" t="str">
        <f ca="1">IFERROR(__xludf.DUMMYFUNCTION("""COMPUTED_VALUE"""),"Convert decimal number to fractional form")</f>
        <v>Convert decimal number to fractional form</v>
      </c>
      <c r="AM43" s="13" t="str">
        <f ca="1">IFERROR(__xludf.DUMMYFUNCTION("""COMPUTED_VALUE"""),"LU001008")</f>
        <v>LU001008</v>
      </c>
      <c r="AN43" s="13" t="str">
        <f ca="1">IFERROR(__xludf.DUMMYFUNCTION("""COMPUTED_VALUE"""),"Multiplication of a proper fraction by another fraction(proper, improper and mixed)")</f>
        <v>Multiplication of a proper fraction by another fraction(proper, improper and mixed)</v>
      </c>
      <c r="AO43" s="13" t="str">
        <f ca="1">IFERROR(__xludf.DUMMYFUNCTION("""COMPUTED_VALUE"""),"LU001018")</f>
        <v>LU001018</v>
      </c>
      <c r="AP43" s="13" t="str">
        <f ca="1">IFERROR(__xludf.DUMMYFUNCTION("""COMPUTED_VALUE"""),"Division of an improper fraction by another fraction(proper, improper and mixed)")</f>
        <v>Division of an improper fraction by another fraction(proper, improper and mixed)</v>
      </c>
      <c r="AQ43" s="13" t="str">
        <f ca="1">IFERROR(__xludf.DUMMYFUNCTION("""COMPUTED_VALUE"""),"LU000293")</f>
        <v>LU000293</v>
      </c>
      <c r="AR43" s="13" t="str">
        <f ca="1">IFERROR(__xludf.DUMMYFUNCTION("""COMPUTED_VALUE"""),"Place value system in decimal numbers")</f>
        <v>Place value system in decimal numbers</v>
      </c>
      <c r="AS43" s="13" t="str">
        <f ca="1">IFERROR(__xludf.DUMMYFUNCTION("""COMPUTED_VALUE"""),"LU000292")</f>
        <v>LU000292</v>
      </c>
      <c r="AT43" s="13" t="str">
        <f ca="1">IFERROR(__xludf.DUMMYFUNCTION("""COMPUTED_VALUE"""),"Definition of decimal number")</f>
        <v>Definition of decimal number</v>
      </c>
    </row>
    <row r="44" spans="1:46">
      <c r="A44" s="8" t="s">
        <v>247</v>
      </c>
      <c r="B44" s="8" t="s">
        <v>47</v>
      </c>
      <c r="C44" s="8" t="s">
        <v>416</v>
      </c>
      <c r="D44" s="8" t="s">
        <v>49</v>
      </c>
      <c r="E44" s="8" t="s">
        <v>450</v>
      </c>
      <c r="F44" s="8" t="s">
        <v>478</v>
      </c>
      <c r="G44" s="8" t="s">
        <v>479</v>
      </c>
      <c r="H44" s="8" t="str">
        <f ca="1">IFERROR(__xludf.DUMMYFUNCTION("VLOOKUP(G44, IMPORTRANGE(""https://docs.google.com/spreadsheets/d/14deopnvwcrKtEGCKuYXdUHJbeLDZlkiSSWWT0g7x2pM/edit#gid=999382323"", ""LU List Maths (Filter)!A:B""), 2, FALSE)"),"Division of a decimal number by a whole number")</f>
        <v>Division of a decimal number by a whole number</v>
      </c>
      <c r="I44" s="10" t="str">
        <f t="shared" si="0"/>
        <v>LU000379.001</v>
      </c>
      <c r="J44" s="10" t="str">
        <f ca="1">IFERROR(__xludf.DUMMYFUNCTION("VLOOKUP(I44, IMPORTRANGE(""https://docs.google.com/spreadsheets/d/1yDAaXNsi4Mr5FtRQL4tbmSdIzhx6_m4wkOD7IG-k_eo/edit#gid=0"", ""Maths!M:N""), 2, FALSE)"),"Recall the steps for dividing a decimal number by a whole number.")</f>
        <v>Recall the steps for dividing a decimal number by a whole number.</v>
      </c>
      <c r="K44" s="10" t="str">
        <f t="shared" si="1"/>
        <v>LU000379.002</v>
      </c>
      <c r="L44" s="10" t="str">
        <f ca="1">IFERROR(__xludf.DUMMYFUNCTION("VLOOKUP(K44, IMPORTRANGE(""https://docs.google.com/spreadsheets/d/1yDAaXNsi4Mr5FtRQL4tbmSdIzhx6_m4wkOD7IG-k_eo/edit#gid=0"", ""Maths!M:N""), 2, FALSE)"),"Explain the rationale for placing the decimal point in the quotient during division of a decimal by a whole number.")</f>
        <v>Explain the rationale for placing the decimal point in the quotient during division of a decimal by a whole number.</v>
      </c>
      <c r="M44" s="10" t="str">
        <f t="shared" si="2"/>
        <v>LU000379.003</v>
      </c>
      <c r="N44" s="10" t="str">
        <f ca="1">IFERROR(__xludf.DUMMYFUNCTION("VLOOKUP(M44, IMPORTRANGE(""https://docs.google.com/spreadsheets/d/1yDAaXNsi4Mr5FtRQL4tbmSdIzhx6_m4wkOD7IG-k_eo/edit#gid=0"", ""Maths!M:N""), 2, FALSE)"),"Calculate the quotient by dividing a decimal number by a whole number.")</f>
        <v>Calculate the quotient by dividing a decimal number by a whole number.</v>
      </c>
      <c r="O44" s="10" t="str">
        <f t="shared" si="3"/>
        <v>LU000379.004</v>
      </c>
      <c r="P44" s="10" t="str">
        <f ca="1">IFERROR(__xludf.DUMMYFUNCTION("VLOOKUP(O44, IMPORTRANGE(""https://docs.google.com/spreadsheets/d/1yDAaXNsi4Mr5FtRQL4tbmSdIzhx6_m4wkOD7IG-k_eo/edit#gid=0"", ""Maths!M:N""), 2, FALSE)"),"Analyse how the position of the decimal point in the dividend affects the quotient.")</f>
        <v>Analyse how the position of the decimal point in the dividend affects the quotient.</v>
      </c>
      <c r="Q44" s="10" t="str">
        <f t="shared" si="4"/>
        <v>LU000379.005</v>
      </c>
      <c r="R44" s="10" t="str">
        <f ca="1">IFERROR(__xludf.DUMMYFUNCTION("VLOOKUP(Q44, IMPORTRANGE(""https://docs.google.com/spreadsheets/d/1yDAaXNsi4Mr5FtRQL4tbmSdIzhx6_m4wkOD7IG-k_eo/edit#gid=0"", ""Maths!M:N""), 2, FALSE)"),"Evaluate the accuracy of decimal point placement in quotient while dividing decimals by whole numbers.")</f>
        <v>Evaluate the accuracy of decimal point placement in quotient while dividing decimals by whole numbers.</v>
      </c>
      <c r="S44" s="10" t="str">
        <f t="shared" si="5"/>
        <v>LU000379.006</v>
      </c>
      <c r="T44" s="10" t="str">
        <f ca="1">IFERROR(__xludf.DUMMYFUNCTION("VLOOKUP(S44, IMPORTRANGE(""https://docs.google.com/spreadsheets/d/1yDAaXNsi4Mr5FtRQL4tbmSdIzhx6_m4wkOD7IG-k_eo/edit#gid=0"", ""Maths!M:N""), 2, FALSE)"),"Create word problems demonstrating division of a decimal numbers by a whole number.")</f>
        <v>Create word problems demonstrating division of a decimal numbers by a whole number.</v>
      </c>
      <c r="U44" s="11">
        <f ca="1">IFERROR(__xludf.DUMMYFUNCTION("ArrayFormula(VLOOKUP(G44, IMPORTRANGE(""https://docs.google.com/spreadsheets/d/1p7R4vtkWt5VOBim4ltsDG9KTzSjrtKXsMtQGXPHyND0/edit#gid=795171502"", ""'Filter 30_05_2024'!A1:M2000""), {2, 3, 4, 5,6,7,8,9,10,11,12,13}, 0))"),4)</f>
        <v>4</v>
      </c>
      <c r="V44" s="11">
        <f ca="1">IFERROR(__xludf.DUMMYFUNCTION("""COMPUTED_VALUE"""),15)</f>
        <v>15</v>
      </c>
      <c r="W44" s="11">
        <f ca="1">IFERROR(__xludf.DUMMYFUNCTION("""COMPUTED_VALUE"""),2)</f>
        <v>2</v>
      </c>
      <c r="X44" s="11">
        <f ca="1">IFERROR(__xludf.DUMMYFUNCTION("""COMPUTED_VALUE"""),21)</f>
        <v>21</v>
      </c>
      <c r="Y44" s="11">
        <f ca="1">IFERROR(__xludf.DUMMYFUNCTION("""COMPUTED_VALUE"""),5)</f>
        <v>5</v>
      </c>
      <c r="Z44" s="12">
        <f ca="1">IFERROR(__xludf.DUMMYFUNCTION("""COMPUTED_VALUE"""),6)</f>
        <v>6</v>
      </c>
      <c r="AA44" s="12">
        <f ca="1">IFERROR(__xludf.DUMMYFUNCTION("""COMPUTED_VALUE"""),1)</f>
        <v>1</v>
      </c>
      <c r="AB44" s="12">
        <f ca="1">IFERROR(__xludf.DUMMYFUNCTION("""COMPUTED_VALUE"""),12)</f>
        <v>12</v>
      </c>
      <c r="AC44" s="12"/>
      <c r="AD44" s="12"/>
      <c r="AE44" s="12"/>
      <c r="AF44" s="12"/>
      <c r="AG44" s="13" t="str">
        <f ca="1">IFERROR(__xludf.DUMMYFUNCTION("ArrayFormula(VLOOKUP(G44, IMPORTRANGE(""https://docs.google.com/spreadsheets/d/1Co934fvtviyaRiMsrIlT05Jaq7iiYq07aLvRr35KA48/edit?gid=173865642#gid=173865642"", ""'G7_Maths_Pri_LU'!G2:V2000""), {3, 4, 5, 6, 7, 8, 9, 10, 11, 12, 13, 14, 15, 16}, 0))"),"LU001014")</f>
        <v>LU001014</v>
      </c>
      <c r="AH44" s="13" t="str">
        <f ca="1">IFERROR(__xludf.DUMMYFUNCTION("""COMPUTED_VALUE"""),"Division of a proper fraction by a whole number")</f>
        <v>Division of a proper fraction by a whole number</v>
      </c>
      <c r="AI44" s="13" t="str">
        <f ca="1">IFERROR(__xludf.DUMMYFUNCTION("""COMPUTED_VALUE"""),"LU001015")</f>
        <v>LU001015</v>
      </c>
      <c r="AJ44" s="13" t="str">
        <f ca="1">IFERROR(__xludf.DUMMYFUNCTION("""COMPUTED_VALUE"""),"Division of an improper fraction by a whole number")</f>
        <v>Division of an improper fraction by a whole number</v>
      </c>
      <c r="AK44" s="13" t="str">
        <f ca="1">IFERROR(__xludf.DUMMYFUNCTION("""COMPUTED_VALUE"""),"LU000293")</f>
        <v>LU000293</v>
      </c>
      <c r="AL44" s="13" t="str">
        <f ca="1">IFERROR(__xludf.DUMMYFUNCTION("""COMPUTED_VALUE"""),"Place value system in decimal numbers")</f>
        <v>Place value system in decimal numbers</v>
      </c>
      <c r="AM44" s="13" t="str">
        <f ca="1">IFERROR(__xludf.DUMMYFUNCTION("""COMPUTED_VALUE"""),"LU000292")</f>
        <v>LU000292</v>
      </c>
      <c r="AN44" s="13" t="str">
        <f ca="1">IFERROR(__xludf.DUMMYFUNCTION("""COMPUTED_VALUE"""),"Definition of decimal number")</f>
        <v>Definition of decimal number</v>
      </c>
      <c r="AO44" s="13" t="str">
        <f ca="1">IFERROR(__xludf.DUMMYFUNCTION("""COMPUTED_VALUE"""),"LU000124")</f>
        <v>LU000124</v>
      </c>
      <c r="AP44" s="13" t="str">
        <f ca="1">IFERROR(__xludf.DUMMYFUNCTION("""COMPUTED_VALUE"""),"Division of three-digit numbers by one-digit/two-digit numbers using standard algorithms")</f>
        <v>Division of three-digit numbers by one-digit/two-digit numbers using standard algorithms</v>
      </c>
      <c r="AQ44" s="13"/>
      <c r="AR44" s="13"/>
      <c r="AS44" s="13"/>
      <c r="AT44" s="13"/>
    </row>
    <row r="45" spans="1:46">
      <c r="A45" s="8" t="s">
        <v>247</v>
      </c>
      <c r="B45" s="8" t="s">
        <v>47</v>
      </c>
      <c r="C45" s="8" t="s">
        <v>416</v>
      </c>
      <c r="D45" s="8" t="s">
        <v>49</v>
      </c>
      <c r="E45" s="8" t="s">
        <v>450</v>
      </c>
      <c r="F45" s="8" t="s">
        <v>478</v>
      </c>
      <c r="G45" s="8" t="s">
        <v>480</v>
      </c>
      <c r="H45" s="42" t="str">
        <f ca="1">IFERROR(__xludf.DUMMYFUNCTION("VLOOKUP(G45, IMPORTRANGE(""https://docs.google.com/spreadsheets/d/14deopnvwcrKtEGCKuYXdUHJbeLDZlkiSSWWT0g7x2pM/edit#gid=999382323"", ""LU List Maths (Filter)!A:B""), 2, FALSE)"),"Division of a decimal number by multiples of 10")</f>
        <v>Division of a decimal number by multiples of 10</v>
      </c>
      <c r="I45" s="10" t="str">
        <f t="shared" si="0"/>
        <v>LU000380.001</v>
      </c>
      <c r="J45" s="10" t="str">
        <f ca="1">IFERROR(__xludf.DUMMYFUNCTION("VLOOKUP(I45, IMPORTRANGE(""https://docs.google.com/spreadsheets/d/1yDAaXNsi4Mr5FtRQL4tbmSdIzhx6_m4wkOD7IG-k_eo/edit#gid=0"", ""Maths!M:N""), 2, FALSE)"),"Recall the steps to divide a decimal by multiples of 10.")</f>
        <v>Recall the steps to divide a decimal by multiples of 10.</v>
      </c>
      <c r="K45" s="10" t="str">
        <f t="shared" si="1"/>
        <v>LU000380.002</v>
      </c>
      <c r="L45" s="10" t="str">
        <f ca="1">IFERROR(__xludf.DUMMYFUNCTION("VLOOKUP(K45, IMPORTRANGE(""https://docs.google.com/spreadsheets/d/1yDAaXNsi4Mr5FtRQL4tbmSdIzhx6_m4wkOD7IG-k_eo/edit#gid=0"", ""Maths!M:N""), 2, FALSE)"),"Explain why division by 10, 100, etc. involves shifting digits to the left.")</f>
        <v>Explain why division by 10, 100, etc. involves shifting digits to the left.</v>
      </c>
      <c r="M45" s="10" t="str">
        <f t="shared" si="2"/>
        <v>LU000380.003</v>
      </c>
      <c r="N45" s="10" t="str">
        <f ca="1">IFERROR(__xludf.DUMMYFUNCTION("VLOOKUP(M45, IMPORTRANGE(""https://docs.google.com/spreadsheets/d/1yDAaXNsi4Mr5FtRQL4tbmSdIzhx6_m4wkOD7IG-k_eo/edit#gid=0"", ""Maths!M:N""), 2, FALSE)"),"Calculate the quotient by dividing a decimal number by multiples of 10.")</f>
        <v>Calculate the quotient by dividing a decimal number by multiples of 10.</v>
      </c>
      <c r="O45" s="10" t="str">
        <f t="shared" si="3"/>
        <v>LU000380.004</v>
      </c>
      <c r="P45" s="10" t="str">
        <f ca="1">IFERROR(__xludf.DUMMYFUNCTION("VLOOKUP(O45, IMPORTRANGE(""https://docs.google.com/spreadsheets/d/1yDAaXNsi4Mr5FtRQL4tbmSdIzhx6_m4wkOD7IG-k_eo/edit#gid=0"", ""Maths!M:N""), 2, FALSE)"),"Solve word problems on the division of a decimal by multiples of 10.")</f>
        <v>Solve word problems on the division of a decimal by multiples of 10.</v>
      </c>
      <c r="Q45" s="10" t="str">
        <f t="shared" si="4"/>
        <v>LU000380.005</v>
      </c>
      <c r="R45" s="10" t="str">
        <f ca="1">IFERROR(__xludf.DUMMYFUNCTION("VLOOKUP(Q45, IMPORTRANGE(""https://docs.google.com/spreadsheets/d/1yDAaXNsi4Mr5FtRQL4tbmSdIzhx6_m4wkOD7IG-k_eo/edit#gid=0"", ""Maths!M:N""), 2, FALSE)"),"Evaluate the accuracy of the quotient obtained by shifting decimal digits during division by multiples of 10.")</f>
        <v>Evaluate the accuracy of the quotient obtained by shifting decimal digits during division by multiples of 10.</v>
      </c>
      <c r="S45" s="10" t="str">
        <f t="shared" si="5"/>
        <v>LU000380.006</v>
      </c>
      <c r="T45" s="10" t="str">
        <f ca="1">IFERROR(__xludf.DUMMYFUNCTION("VLOOKUP(S45, IMPORTRANGE(""https://docs.google.com/spreadsheets/d/1yDAaXNsi4Mr5FtRQL4tbmSdIzhx6_m4wkOD7IG-k_eo/edit#gid=0"", ""Maths!M:N""), 2, FALSE)"),"Create real-life examples that require the division of a decimal by multiples of 10.")</f>
        <v>Create real-life examples that require the division of a decimal by multiples of 10.</v>
      </c>
      <c r="U45" s="11">
        <f ca="1">IFERROR(__xludf.DUMMYFUNCTION("ArrayFormula(VLOOKUP(G45, IMPORTRANGE(""https://docs.google.com/spreadsheets/d/1p7R4vtkWt5VOBim4ltsDG9KTzSjrtKXsMtQGXPHyND0/edit#gid=795171502"", ""'Filter 30_05_2024'!A1:M2000""), {2, 3, 4, 5,6,7,8,9,10,11,12,13}, 0))"),4)</f>
        <v>4</v>
      </c>
      <c r="V45" s="11">
        <f ca="1">IFERROR(__xludf.DUMMYFUNCTION("""COMPUTED_VALUE"""),14)</f>
        <v>14</v>
      </c>
      <c r="W45" s="11">
        <f ca="1">IFERROR(__xludf.DUMMYFUNCTION("""COMPUTED_VALUE"""),4)</f>
        <v>4</v>
      </c>
      <c r="X45" s="11">
        <f ca="1">IFERROR(__xludf.DUMMYFUNCTION("""COMPUTED_VALUE"""),22)</f>
        <v>22</v>
      </c>
      <c r="Y45" s="11">
        <f ca="1">IFERROR(__xludf.DUMMYFUNCTION("""COMPUTED_VALUE"""),4)</f>
        <v>4</v>
      </c>
      <c r="Z45" s="12">
        <f ca="1">IFERROR(__xludf.DUMMYFUNCTION("""COMPUTED_VALUE"""),4)</f>
        <v>4</v>
      </c>
      <c r="AA45" s="12">
        <f ca="1">IFERROR(__xludf.DUMMYFUNCTION("""COMPUTED_VALUE"""),1)</f>
        <v>1</v>
      </c>
      <c r="AB45" s="12">
        <f ca="1">IFERROR(__xludf.DUMMYFUNCTION("""COMPUTED_VALUE"""),9)</f>
        <v>9</v>
      </c>
      <c r="AC45" s="12"/>
      <c r="AD45" s="12"/>
      <c r="AE45" s="12"/>
      <c r="AF45" s="12"/>
      <c r="AG45" s="13" t="str">
        <f ca="1">IFERROR(__xludf.DUMMYFUNCTION("ArrayFormula(VLOOKUP(G45, IMPORTRANGE(""https://docs.google.com/spreadsheets/d/1Co934fvtviyaRiMsrIlT05Jaq7iiYq07aLvRr35KA48/edit?gid=173865642#gid=173865642"", ""'G7_Maths_Pri_LU'!G2:V2000""), {3, 4, 5, 6, 7, 8, 9, 10, 11, 12, 13, 14, 15, 16}, 0))"),"LU000379")</f>
        <v>LU000379</v>
      </c>
      <c r="AH45" s="13" t="str">
        <f ca="1">IFERROR(__xludf.DUMMYFUNCTION("""COMPUTED_VALUE"""),"Division of a decimal number by a whole number")</f>
        <v>Division of a decimal number by a whole number</v>
      </c>
      <c r="AI45" s="13" t="str">
        <f ca="1">IFERROR(__xludf.DUMMYFUNCTION("""COMPUTED_VALUE"""),"LU001014")</f>
        <v>LU001014</v>
      </c>
      <c r="AJ45" s="13" t="str">
        <f ca="1">IFERROR(__xludf.DUMMYFUNCTION("""COMPUTED_VALUE"""),"Division of a proper fraction by a whole number")</f>
        <v>Division of a proper fraction by a whole number</v>
      </c>
      <c r="AK45" s="13" t="str">
        <f ca="1">IFERROR(__xludf.DUMMYFUNCTION("""COMPUTED_VALUE"""),"LU001015")</f>
        <v>LU001015</v>
      </c>
      <c r="AL45" s="13" t="str">
        <f ca="1">IFERROR(__xludf.DUMMYFUNCTION("""COMPUTED_VALUE"""),"Division of an improper fraction by a whole number")</f>
        <v>Division of an improper fraction by a whole number</v>
      </c>
      <c r="AM45" s="13" t="str">
        <f ca="1">IFERROR(__xludf.DUMMYFUNCTION("""COMPUTED_VALUE"""),"LU000293")</f>
        <v>LU000293</v>
      </c>
      <c r="AN45" s="13" t="str">
        <f ca="1">IFERROR(__xludf.DUMMYFUNCTION("""COMPUTED_VALUE"""),"Place value system in decimal numbers")</f>
        <v>Place value system in decimal numbers</v>
      </c>
      <c r="AO45" s="13" t="str">
        <f ca="1">IFERROR(__xludf.DUMMYFUNCTION("""COMPUTED_VALUE"""),"LU000292")</f>
        <v>LU000292</v>
      </c>
      <c r="AP45" s="13" t="str">
        <f ca="1">IFERROR(__xludf.DUMMYFUNCTION("""COMPUTED_VALUE"""),"Definition of decimal number")</f>
        <v>Definition of decimal number</v>
      </c>
      <c r="AQ45" s="13" t="str">
        <f ca="1">IFERROR(__xludf.DUMMYFUNCTION("""COMPUTED_VALUE"""),"LU000124")</f>
        <v>LU000124</v>
      </c>
      <c r="AR45" s="13" t="str">
        <f ca="1">IFERROR(__xludf.DUMMYFUNCTION("""COMPUTED_VALUE"""),"Division of three-digit numbers by one-digit/two-digit numbers using standard algorithms")</f>
        <v>Division of three-digit numbers by one-digit/two-digit numbers using standard algorithms</v>
      </c>
      <c r="AS45" s="13"/>
      <c r="AT45" s="13"/>
    </row>
    <row r="46" spans="1:46">
      <c r="A46" s="8" t="s">
        <v>247</v>
      </c>
      <c r="B46" s="8" t="s">
        <v>47</v>
      </c>
      <c r="C46" s="8" t="s">
        <v>416</v>
      </c>
      <c r="D46" s="8" t="s">
        <v>49</v>
      </c>
      <c r="E46" s="8" t="s">
        <v>450</v>
      </c>
      <c r="F46" s="8" t="s">
        <v>481</v>
      </c>
      <c r="G46" s="8" t="s">
        <v>482</v>
      </c>
      <c r="H46" s="42" t="str">
        <f ca="1">IFERROR(__xludf.DUMMYFUNCTION("VLOOKUP(G46, IMPORTRANGE(""https://docs.google.com/spreadsheets/d/14deopnvwcrKtEGCKuYXdUHJbeLDZlkiSSWWT0g7x2pM/edit#gid=999382323"", ""LU List Maths (Filter)!A:B""), 2, FALSE)"),"Division of a decimal number by another decimal number")</f>
        <v>Division of a decimal number by another decimal number</v>
      </c>
      <c r="I46" s="10" t="str">
        <f t="shared" si="0"/>
        <v>LU000381.001</v>
      </c>
      <c r="J46" s="10" t="str">
        <f ca="1">IFERROR(__xludf.DUMMYFUNCTION("VLOOKUP(I46, IMPORTRANGE(""https://docs.google.com/spreadsheets/d/1yDAaXNsi4Mr5FtRQL4tbmSdIzhx6_m4wkOD7IG-k_eo/edit#gid=0"", ""Maths!M:N""), 2, FALSE)"),"Recall the steps to divide two decimal numbers by converting the divisor to a whole number.")</f>
        <v>Recall the steps to divide two decimal numbers by converting the divisor to a whole number.</v>
      </c>
      <c r="K46" s="10" t="str">
        <f t="shared" si="1"/>
        <v>LU000381.002</v>
      </c>
      <c r="L46" s="10" t="str">
        <f ca="1">IFERROR(__xludf.DUMMYFUNCTION("VLOOKUP(K46, IMPORTRANGE(""https://docs.google.com/spreadsheets/d/1yDAaXNsi4Mr5FtRQL4tbmSdIzhx6_m4wkOD7IG-k_eo/edit#gid=0"", ""Maths!M:N""), 2, FALSE)"),"Explain why shifting the decimal point in both decimal numbers is necessary for division.")</f>
        <v>Explain why shifting the decimal point in both decimal numbers is necessary for division.</v>
      </c>
      <c r="M46" s="10" t="str">
        <f t="shared" si="2"/>
        <v>LU000381.003</v>
      </c>
      <c r="N46" s="10" t="str">
        <f ca="1">IFERROR(__xludf.DUMMYFUNCTION("VLOOKUP(M46, IMPORTRANGE(""https://docs.google.com/spreadsheets/d/1yDAaXNsi4Mr5FtRQL4tbmSdIzhx6_m4wkOD7IG-k_eo/edit#gid=0"", ""Maths!M:N""), 2, FALSE)"),"Calculate the quotient by dividing a decimal number by a decimal number.")</f>
        <v>Calculate the quotient by dividing a decimal number by a decimal number.</v>
      </c>
      <c r="O46" s="10" t="str">
        <f t="shared" si="3"/>
        <v>LU000381.004</v>
      </c>
      <c r="P46" s="10" t="str">
        <f ca="1">IFERROR(__xludf.DUMMYFUNCTION("VLOOKUP(O46, IMPORTRANGE(""https://docs.google.com/spreadsheets/d/1yDAaXNsi4Mr5FtRQL4tbmSdIzhx6_m4wkOD7IG-k_eo/edit#gid=0"", ""Maths!M:N""), 2, FALSE)"),"Solve word problems based on division of decimal numbers.")</f>
        <v>Solve word problems based on division of decimal numbers.</v>
      </c>
      <c r="Q46" s="10" t="str">
        <f t="shared" si="4"/>
        <v>LU000381.005</v>
      </c>
      <c r="R46" s="10" t="str">
        <f ca="1">IFERROR(__xludf.DUMMYFUNCTION("VLOOKUP(Q46, IMPORTRANGE(""https://docs.google.com/spreadsheets/d/1yDAaXNsi4Mr5FtRQL4tbmSdIzhx6_m4wkOD7IG-k_eo/edit#gid=0"", ""Maths!M:N""), 2, FALSE)"),"Evaluate different strategies for dividing decimal numbers.")</f>
        <v>Evaluate different strategies for dividing decimal numbers.</v>
      </c>
      <c r="S46" s="10" t="str">
        <f t="shared" si="5"/>
        <v>LU000381.006</v>
      </c>
      <c r="T46" s="10" t="str">
        <f ca="1">IFERROR(__xludf.DUMMYFUNCTION("VLOOKUP(S46, IMPORTRANGE(""https://docs.google.com/spreadsheets/d/1yDAaXNsi4Mr5FtRQL4tbmSdIzhx6_m4wkOD7IG-k_eo/edit#gid=0"", ""Maths!M:N""), 2, FALSE)"),"Create division problems involving decimals where equal decimal point shifts are required for division.")</f>
        <v>Create division problems involving decimals where equal decimal point shifts are required for division.</v>
      </c>
      <c r="U46" s="11">
        <f ca="1">IFERROR(__xludf.DUMMYFUNCTION("ArrayFormula(VLOOKUP(G46, IMPORTRANGE(""https://docs.google.com/spreadsheets/d/1p7R4vtkWt5VOBim4ltsDG9KTzSjrtKXsMtQGXPHyND0/edit#gid=795171502"", ""'Filter 30_05_2024'!A1:M2000""), {2, 3, 4, 5,6,7,8,9,10,11,12,13}, 0))"),3)</f>
        <v>3</v>
      </c>
      <c r="V46" s="11">
        <f ca="1">IFERROR(__xludf.DUMMYFUNCTION("""COMPUTED_VALUE"""),5)</f>
        <v>5</v>
      </c>
      <c r="W46" s="11">
        <f ca="1">IFERROR(__xludf.DUMMYFUNCTION("""COMPUTED_VALUE"""),2)</f>
        <v>2</v>
      </c>
      <c r="X46" s="11">
        <f ca="1">IFERROR(__xludf.DUMMYFUNCTION("""COMPUTED_VALUE"""),10)</f>
        <v>10</v>
      </c>
      <c r="Y46" s="11">
        <f ca="1">IFERROR(__xludf.DUMMYFUNCTION("""COMPUTED_VALUE"""),6)</f>
        <v>6</v>
      </c>
      <c r="Z46" s="12">
        <f ca="1">IFERROR(__xludf.DUMMYFUNCTION("""COMPUTED_VALUE"""),8)</f>
        <v>8</v>
      </c>
      <c r="AA46" s="12">
        <f ca="1">IFERROR(__xludf.DUMMYFUNCTION("""COMPUTED_VALUE"""),4)</f>
        <v>4</v>
      </c>
      <c r="AB46" s="12">
        <f ca="1">IFERROR(__xludf.DUMMYFUNCTION("""COMPUTED_VALUE"""),18)</f>
        <v>18</v>
      </c>
      <c r="AC46" s="12"/>
      <c r="AD46" s="12"/>
      <c r="AE46" s="12"/>
      <c r="AF46" s="12"/>
      <c r="AG46" s="13" t="str">
        <f ca="1">IFERROR(__xludf.DUMMYFUNCTION("ArrayFormula(VLOOKUP(G46, IMPORTRANGE(""https://docs.google.com/spreadsheets/d/1Co934fvtviyaRiMsrIlT05Jaq7iiYq07aLvRr35KA48/edit?gid=173865642#gid=173865642"", ""'G7_Maths_Pri_LU'!G2:V2000""), {3, 4, 5, 6, 7, 8, 9, 10, 11, 12, 13, 14, 15, 16}, 0))"),"LU000379")</f>
        <v>LU000379</v>
      </c>
      <c r="AH46" s="13" t="str">
        <f ca="1">IFERROR(__xludf.DUMMYFUNCTION("""COMPUTED_VALUE"""),"Division of a decimal number by a whole number")</f>
        <v>Division of a decimal number by a whole number</v>
      </c>
      <c r="AI46" s="13" t="str">
        <f ca="1">IFERROR(__xludf.DUMMYFUNCTION("""COMPUTED_VALUE"""),"LU000123")</f>
        <v>LU000123</v>
      </c>
      <c r="AJ46" s="13" t="str">
        <f ca="1">IFERROR(__xludf.DUMMYFUNCTION("""COMPUTED_VALUE"""),"Division of numbers by multiples of 10")</f>
        <v>Division of numbers by multiples of 10</v>
      </c>
      <c r="AK46" s="13" t="str">
        <f ca="1">IFERROR(__xludf.DUMMYFUNCTION("""COMPUTED_VALUE"""),"LU001014")</f>
        <v>LU001014</v>
      </c>
      <c r="AL46" s="13" t="str">
        <f ca="1">IFERROR(__xludf.DUMMYFUNCTION("""COMPUTED_VALUE"""),"Division of a proper fraction by a whole number")</f>
        <v>Division of a proper fraction by a whole number</v>
      </c>
      <c r="AM46" s="13" t="str">
        <f ca="1">IFERROR(__xludf.DUMMYFUNCTION("""COMPUTED_VALUE"""),"LU001015")</f>
        <v>LU001015</v>
      </c>
      <c r="AN46" s="13" t="str">
        <f ca="1">IFERROR(__xludf.DUMMYFUNCTION("""COMPUTED_VALUE"""),"Division of an improper fraction by a whole number")</f>
        <v>Division of an improper fraction by a whole number</v>
      </c>
      <c r="AO46" s="13" t="str">
        <f ca="1">IFERROR(__xludf.DUMMYFUNCTION("""COMPUTED_VALUE"""),"LU000293")</f>
        <v>LU000293</v>
      </c>
      <c r="AP46" s="13" t="str">
        <f ca="1">IFERROR(__xludf.DUMMYFUNCTION("""COMPUTED_VALUE"""),"Place value system in decimal numbers")</f>
        <v>Place value system in decimal numbers</v>
      </c>
      <c r="AQ46" s="13" t="str">
        <f ca="1">IFERROR(__xludf.DUMMYFUNCTION("""COMPUTED_VALUE"""),"LU000292")</f>
        <v>LU000292</v>
      </c>
      <c r="AR46" s="13" t="str">
        <f ca="1">IFERROR(__xludf.DUMMYFUNCTION("""COMPUTED_VALUE"""),"Definition of decimal number")</f>
        <v>Definition of decimal number</v>
      </c>
      <c r="AS46" s="13"/>
      <c r="AT46" s="13"/>
    </row>
    <row r="47" spans="1:46">
      <c r="A47" s="8" t="s">
        <v>247</v>
      </c>
      <c r="B47" s="8" t="s">
        <v>47</v>
      </c>
      <c r="C47" s="8" t="s">
        <v>416</v>
      </c>
      <c r="D47" s="8" t="s">
        <v>49</v>
      </c>
      <c r="E47" s="8" t="s">
        <v>385</v>
      </c>
      <c r="F47" s="8" t="s">
        <v>483</v>
      </c>
      <c r="G47" s="8" t="s">
        <v>484</v>
      </c>
      <c r="H47" s="8" t="str">
        <f ca="1">IFERROR(__xludf.DUMMYFUNCTION("VLOOKUP(G47, IMPORTRANGE(""https://docs.google.com/spreadsheets/d/14deopnvwcrKtEGCKuYXdUHJbeLDZlkiSSWWT0g7x2pM/edit#gid=999382323"", ""LU List Maths (Filter)!A:B""), 2, FALSE)"),"Definition of arithmetic mean/average of the observations")</f>
        <v>Definition of arithmetic mean/average of the observations</v>
      </c>
      <c r="I47" s="10" t="str">
        <f t="shared" si="0"/>
        <v>LU000386.001</v>
      </c>
      <c r="J47" s="10" t="str">
        <f ca="1">IFERROR(__xludf.DUMMYFUNCTION("VLOOKUP(I47, IMPORTRANGE(""https://docs.google.com/spreadsheets/d/1yDAaXNsi4Mr5FtRQL4tbmSdIzhx6_m4wkOD7IG-k_eo/edit#gid=0"", ""Maths!M:N""), 2, FALSE)"),"State the definition of the arithmetic mean of observations and explain why it is used to represent the central value of data.")</f>
        <v>State the definition of the arithmetic mean of observations and explain why it is used to represent the central value of data.</v>
      </c>
      <c r="K47" s="10" t="str">
        <f t="shared" si="1"/>
        <v>LU000386.002</v>
      </c>
      <c r="L47" s="10" t="str">
        <f ca="1">IFERROR(__xludf.DUMMYFUNCTION("VLOOKUP(K47, IMPORTRANGE(""https://docs.google.com/spreadsheets/d/1yDAaXNsi4Mr5FtRQL4tbmSdIzhx6_m4wkOD7IG-k_eo/edit#gid=0"", ""Maths!M:N""), 2, FALSE)"),"Explain the concept of the arithmetic mean of observations and its mathematical calculation.")</f>
        <v>Explain the concept of the arithmetic mean of observations and its mathematical calculation.</v>
      </c>
      <c r="M47" s="10" t="str">
        <f t="shared" si="2"/>
        <v>LU000386.003</v>
      </c>
      <c r="N47" s="10" t="str">
        <f ca="1">IFERROR(__xludf.DUMMYFUNCTION("VLOOKUP(M47, IMPORTRANGE(""https://docs.google.com/spreadsheets/d/1yDAaXNsi4Mr5FtRQL4tbmSdIzhx6_m4wkOD7IG-k_eo/edit#gid=0"", ""Maths!M:N""), 2, FALSE)"),"Apply the concept of the arithmetic mean of observations to calculate the mean of a given data set.")</f>
        <v>Apply the concept of the arithmetic mean of observations to calculate the mean of a given data set.</v>
      </c>
      <c r="O47" s="10" t="str">
        <f t="shared" si="3"/>
        <v>LU000386.004</v>
      </c>
      <c r="P47" s="10" t="str">
        <f ca="1">IFERROR(__xludf.DUMMYFUNCTION("VLOOKUP(O47, IMPORTRANGE(""https://docs.google.com/spreadsheets/d/1yDAaXNsi4Mr5FtRQL4tbmSdIzhx6_m4wkOD7IG-k_eo/edit#gid=0"", ""Maths!M:N""), 2, FALSE)"),"Differentiate between the arithmetic mean and other measures of central tendency (median, mode) in various data sets")</f>
        <v>Differentiate between the arithmetic mean and other measures of central tendency (median, mode) in various data sets</v>
      </c>
      <c r="Q47" s="10" t="str">
        <f t="shared" si="4"/>
        <v>LU000386.005</v>
      </c>
      <c r="R47" s="10" t="str">
        <f ca="1">IFERROR(__xludf.DUMMYFUNCTION("VLOOKUP(Q47, IMPORTRANGE(""https://docs.google.com/spreadsheets/d/1yDAaXNsi4Mr5FtRQL4tbmSdIzhx6_m4wkOD7IG-k_eo/edit#gid=0"", ""Maths!M:N""), 2, FALSE)"),"Evaluate the strengths and limitations of using the arithmetic mean of observations as a measure of central tendency.")</f>
        <v>Evaluate the strengths and limitations of using the arithmetic mean of observations as a measure of central tendency.</v>
      </c>
      <c r="S47" s="10" t="str">
        <f t="shared" si="5"/>
        <v>LU000386.006</v>
      </c>
      <c r="T47" s="10" t="str">
        <f ca="1">IFERROR(__xludf.DUMMYFUNCTION("VLOOKUP(S47, IMPORTRANGE(""https://docs.google.com/spreadsheets/d/1yDAaXNsi4Mr5FtRQL4tbmSdIzhx6_m4wkOD7IG-k_eo/edit#gid=0"", ""Maths!M:N""), 2, FALSE)"),"Design a set of data sets with specific characteristics and calculate the arithmetic mean for each while considering the data's distribution.")</f>
        <v>Design a set of data sets with specific characteristics and calculate the arithmetic mean for each while considering the data's distribution.</v>
      </c>
      <c r="U47" s="11">
        <f ca="1">IFERROR(__xludf.DUMMYFUNCTION("ArrayFormula(VLOOKUP(G47, IMPORTRANGE(""https://docs.google.com/spreadsheets/d/1p7R4vtkWt5VOBim4ltsDG9KTzSjrtKXsMtQGXPHyND0/edit#gid=795171502"", ""'Filter 30_05_2024'!A1:M2000""), {2, 3, 4, 5,6,7,8,9,10,11,12,13}, 0))"),4)</f>
        <v>4</v>
      </c>
      <c r="V47" s="11">
        <f ca="1">IFERROR(__xludf.DUMMYFUNCTION("""COMPUTED_VALUE"""),22)</f>
        <v>22</v>
      </c>
      <c r="W47" s="11">
        <f ca="1">IFERROR(__xludf.DUMMYFUNCTION("""COMPUTED_VALUE"""),2)</f>
        <v>2</v>
      </c>
      <c r="X47" s="11">
        <f ca="1">IFERROR(__xludf.DUMMYFUNCTION("""COMPUTED_VALUE"""),28)</f>
        <v>28</v>
      </c>
      <c r="Y47" s="11">
        <f ca="1">IFERROR(__xludf.DUMMYFUNCTION("""COMPUTED_VALUE"""),4)</f>
        <v>4</v>
      </c>
      <c r="Z47" s="12">
        <f ca="1">IFERROR(__xludf.DUMMYFUNCTION("""COMPUTED_VALUE"""),13)</f>
        <v>13</v>
      </c>
      <c r="AA47" s="12">
        <f ca="1">IFERROR(__xludf.DUMMYFUNCTION("""COMPUTED_VALUE"""),1)</f>
        <v>1</v>
      </c>
      <c r="AB47" s="12">
        <f ca="1">IFERROR(__xludf.DUMMYFUNCTION("""COMPUTED_VALUE"""),18)</f>
        <v>18</v>
      </c>
      <c r="AC47" s="12"/>
      <c r="AD47" s="12"/>
      <c r="AE47" s="12"/>
      <c r="AF47" s="12"/>
      <c r="AG47" s="13" t="str">
        <f ca="1">IFERROR(__xludf.DUMMYFUNCTION("ArrayFormula(VLOOKUP(G47, IMPORTRANGE(""https://docs.google.com/spreadsheets/d/1Co934fvtviyaRiMsrIlT05Jaq7iiYq07aLvRr35KA48/edit?gid=173865642#gid=173865642"", ""'G7_Maths_Pri_LU'!G2:V2000""), {3, 4, 5, 6, 7, 8, 9, 10, 11, 12, 13, 14, 15, 16}, 0))"),"")</f>
        <v/>
      </c>
      <c r="AH47" s="13"/>
      <c r="AI47" s="13"/>
      <c r="AJ47" s="13"/>
      <c r="AK47" s="13"/>
      <c r="AL47" s="13"/>
      <c r="AM47" s="13"/>
      <c r="AN47" s="13"/>
      <c r="AO47" s="13"/>
      <c r="AP47" s="13"/>
      <c r="AQ47" s="13"/>
      <c r="AR47" s="13"/>
      <c r="AS47" s="13"/>
      <c r="AT47" s="13"/>
    </row>
    <row r="48" spans="1:46">
      <c r="A48" s="8" t="s">
        <v>247</v>
      </c>
      <c r="B48" s="8" t="s">
        <v>47</v>
      </c>
      <c r="C48" s="8" t="s">
        <v>416</v>
      </c>
      <c r="D48" s="8" t="s">
        <v>49</v>
      </c>
      <c r="E48" s="8" t="s">
        <v>385</v>
      </c>
      <c r="F48" s="8" t="s">
        <v>483</v>
      </c>
      <c r="G48" s="8" t="s">
        <v>485</v>
      </c>
      <c r="H48" s="8" t="str">
        <f ca="1">IFERROR(__xludf.DUMMYFUNCTION("VLOOKUP(G48, IMPORTRANGE(""https://docs.google.com/spreadsheets/d/14deopnvwcrKtEGCKuYXdUHJbeLDZlkiSSWWT0g7x2pM/edit#gid=999382323"", ""LU List Maths (Filter)!A:B""), 2, FALSE)"),"Definition of range of the observations")</f>
        <v>Definition of range of the observations</v>
      </c>
      <c r="I48" s="10" t="str">
        <f t="shared" si="0"/>
        <v>LU000387.001</v>
      </c>
      <c r="J48" s="10" t="str">
        <f ca="1">IFERROR(__xludf.DUMMYFUNCTION("VLOOKUP(I48, IMPORTRANGE(""https://docs.google.com/spreadsheets/d/1yDAaXNsi4Mr5FtRQL4tbmSdIzhx6_m4wkOD7IG-k_eo/edit#gid=0"", ""Maths!M:N""), 2, FALSE)"),"State the definition of the range of observations and explain why it is used to measure the spread of data.")</f>
        <v>State the definition of the range of observations and explain why it is used to measure the spread of data.</v>
      </c>
      <c r="K48" s="10" t="str">
        <f t="shared" si="1"/>
        <v>LU000387.002</v>
      </c>
      <c r="L48" s="10" t="str">
        <f ca="1">IFERROR(__xludf.DUMMYFUNCTION("VLOOKUP(K48, IMPORTRANGE(""https://docs.google.com/spreadsheets/d/1yDAaXNsi4Mr5FtRQL4tbmSdIzhx6_m4wkOD7IG-k_eo/edit#gid=0"", ""Maths!M:N""), 2, FALSE)"),"Explain the concept of the range of observations and its relationship to the spread of data points.")</f>
        <v>Explain the concept of the range of observations and its relationship to the spread of data points.</v>
      </c>
      <c r="M48" s="10" t="str">
        <f t="shared" si="2"/>
        <v>LU000387.003</v>
      </c>
      <c r="N48" s="10" t="str">
        <f ca="1">IFERROR(__xludf.DUMMYFUNCTION("VLOOKUP(M48, IMPORTRANGE(""https://docs.google.com/spreadsheets/d/1yDAaXNsi4Mr5FtRQL4tbmSdIzhx6_m4wkOD7IG-k_eo/edit#gid=0"", ""Maths!M:N""), 2, FALSE)"),"Apply the concept of the range of observations to calculate the range of a given data set.")</f>
        <v>Apply the concept of the range of observations to calculate the range of a given data set.</v>
      </c>
      <c r="O48" s="10" t="str">
        <f t="shared" si="3"/>
        <v>LU000387.004</v>
      </c>
      <c r="P48" s="10" t="str">
        <f ca="1">IFERROR(__xludf.DUMMYFUNCTION("VLOOKUP(O48, IMPORTRANGE(""https://docs.google.com/spreadsheets/d/1yDAaXNsi4Mr5FtRQL4tbmSdIzhx6_m4wkOD7IG-k_eo/edit#gid=0"", ""Maths!M:N""), 2, FALSE)"),"Analyse different data sets and determine when the range of observations is a useful measure of data spread.")</f>
        <v>Analyse different data sets and determine when the range of observations is a useful measure of data spread.</v>
      </c>
      <c r="Q48" s="10" t="str">
        <f t="shared" si="4"/>
        <v>LU000387.005</v>
      </c>
      <c r="R48" s="10" t="str">
        <f ca="1">IFERROR(__xludf.DUMMYFUNCTION("VLOOKUP(Q48, IMPORTRANGE(""https://docs.google.com/spreadsheets/d/1yDAaXNsi4Mr5FtRQL4tbmSdIzhx6_m4wkOD7IG-k_eo/edit#gid=0"", ""Maths!M:N""), 2, FALSE)"),"Evaluate the effectiveness of the range of observations in representing data spread and identify situations where it might not be informative.")</f>
        <v>Evaluate the effectiveness of the range of observations in representing data spread and identify situations where it might not be informative.</v>
      </c>
      <c r="S48" s="10" t="str">
        <f t="shared" si="5"/>
        <v>LU000387.006</v>
      </c>
      <c r="T48" s="10" t="str">
        <f ca="1">IFERROR(__xludf.DUMMYFUNCTION("VLOOKUP(S48, IMPORTRANGE(""https://docs.google.com/spreadsheets/d/1yDAaXNsi4Mr5FtRQL4tbmSdIzhx6_m4wkOD7IG-k_eo/edit#gid=0"", ""Maths!M:N""), 2, FALSE)"),"Design a set of data sets with varying spreads and calculate the range for each while considering the data distribution.")</f>
        <v>Design a set of data sets with varying spreads and calculate the range for each while considering the data distribution.</v>
      </c>
      <c r="U48" s="11">
        <f ca="1">IFERROR(__xludf.DUMMYFUNCTION("ArrayFormula(VLOOKUP(G48, IMPORTRANGE(""https://docs.google.com/spreadsheets/d/1p7R4vtkWt5VOBim4ltsDG9KTzSjrtKXsMtQGXPHyND0/edit#gid=795171502"", ""'Filter 30_05_2024'!A1:M2000""), {2, 3, 4, 5,6,7,8,9,10,11,12,13}, 0))"),4)</f>
        <v>4</v>
      </c>
      <c r="V48" s="11">
        <f ca="1">IFERROR(__xludf.DUMMYFUNCTION("""COMPUTED_VALUE"""),11)</f>
        <v>11</v>
      </c>
      <c r="W48" s="11">
        <f ca="1">IFERROR(__xludf.DUMMYFUNCTION("""COMPUTED_VALUE"""),2)</f>
        <v>2</v>
      </c>
      <c r="X48" s="11">
        <f ca="1">IFERROR(__xludf.DUMMYFUNCTION("""COMPUTED_VALUE"""),17)</f>
        <v>17</v>
      </c>
      <c r="Y48" s="11">
        <f ca="1">IFERROR(__xludf.DUMMYFUNCTION("""COMPUTED_VALUE"""),4)</f>
        <v>4</v>
      </c>
      <c r="Z48" s="12">
        <f ca="1">IFERROR(__xludf.DUMMYFUNCTION("""COMPUTED_VALUE"""),4)</f>
        <v>4</v>
      </c>
      <c r="AA48" s="12">
        <f ca="1">IFERROR(__xludf.DUMMYFUNCTION("""COMPUTED_VALUE"""),1)</f>
        <v>1</v>
      </c>
      <c r="AB48" s="12">
        <f ca="1">IFERROR(__xludf.DUMMYFUNCTION("""COMPUTED_VALUE"""),9)</f>
        <v>9</v>
      </c>
      <c r="AC48" s="12"/>
      <c r="AD48" s="12"/>
      <c r="AE48" s="12"/>
      <c r="AF48" s="12"/>
      <c r="AG48" s="13" t="str">
        <f ca="1">IFERROR(__xludf.DUMMYFUNCTION("ArrayFormula(VLOOKUP(G48, IMPORTRANGE(""https://docs.google.com/spreadsheets/d/1Co934fvtviyaRiMsrIlT05Jaq7iiYq07aLvRr35KA48/edit?gid=173865642#gid=173865642"", ""'G7_Maths_Pri_LU'!G2:V2000""), {3, 4, 5, 6, 7, 8, 9, 10, 11, 12, 13, 14, 15, 16}, 0))"),"")</f>
        <v/>
      </c>
      <c r="AH48" s="13"/>
      <c r="AI48" s="13"/>
      <c r="AJ48" s="13"/>
      <c r="AK48" s="13"/>
      <c r="AL48" s="13"/>
      <c r="AM48" s="13"/>
      <c r="AN48" s="13"/>
      <c r="AO48" s="13"/>
      <c r="AP48" s="13"/>
      <c r="AQ48" s="13"/>
      <c r="AR48" s="13"/>
      <c r="AS48" s="13"/>
      <c r="AT48" s="13"/>
    </row>
    <row r="49" spans="1:46">
      <c r="A49" s="8" t="s">
        <v>247</v>
      </c>
      <c r="B49" s="8" t="s">
        <v>47</v>
      </c>
      <c r="C49" s="8" t="s">
        <v>416</v>
      </c>
      <c r="D49" s="8" t="s">
        <v>49</v>
      </c>
      <c r="E49" s="8" t="s">
        <v>385</v>
      </c>
      <c r="F49" s="10" t="s">
        <v>486</v>
      </c>
      <c r="G49" s="8" t="s">
        <v>111</v>
      </c>
      <c r="H49" s="8" t="str">
        <f ca="1">IFERROR(__xludf.DUMMYFUNCTION("VLOOKUP(G49, IMPORTRANGE(""https://docs.google.com/spreadsheets/d/14deopnvwcrKtEGCKuYXdUHJbeLDZlkiSSWWT0g7x2pM/edit#gid=999382323"", ""LU List Maths (Filter)!A:B""), 2, FALSE)"),"Definition of frequency in data")</f>
        <v>Definition of frequency in data</v>
      </c>
      <c r="I49" s="10" t="str">
        <f t="shared" si="0"/>
        <v>LU000400.001</v>
      </c>
      <c r="J49" s="10" t="str">
        <f ca="1">IFERROR(__xludf.DUMMYFUNCTION("VLOOKUP(I49, IMPORTRANGE(""https://docs.google.com/spreadsheets/d/1yDAaXNsi4Mr5FtRQL4tbmSdIzhx6_m4wkOD7IG-k_eo/edit#gid=0"", ""Maths!M:N""), 2, FALSE)"),"State the definition of frequency when discussing data analysis.")</f>
        <v>State the definition of frequency when discussing data analysis.</v>
      </c>
      <c r="K49" s="10" t="str">
        <f t="shared" si="1"/>
        <v>LU000400.002</v>
      </c>
      <c r="L49" s="10" t="str">
        <f ca="1">IFERROR(__xludf.DUMMYFUNCTION("VLOOKUP(K49, IMPORTRANGE(""https://docs.google.com/spreadsheets/d/1yDAaXNsi4Mr5FtRQL4tbmSdIzhx6_m4wkOD7IG-k_eo/edit#gid=0"", ""Maths!M:N""), 2, FALSE)"),"Explain the concept of frequency and its relevance in organising and summarising data.")</f>
        <v>Explain the concept of frequency and its relevance in organising and summarising data.</v>
      </c>
      <c r="M49" s="10" t="str">
        <f t="shared" si="2"/>
        <v>LU000400.003</v>
      </c>
      <c r="N49" s="10" t="str">
        <f ca="1">IFERROR(__xludf.DUMMYFUNCTION("VLOOKUP(M49, IMPORTRANGE(""https://docs.google.com/spreadsheets/d/1yDAaXNsi4Mr5FtRQL4tbmSdIzhx6_m4wkOD7IG-k_eo/edit#gid=0"", ""Maths!M:N""), 2, FALSE)"),"Apply the concept of frequency to create a frequency distribution table for a given dataset.")</f>
        <v>Apply the concept of frequency to create a frequency distribution table for a given dataset.</v>
      </c>
      <c r="O49" s="10" t="str">
        <f t="shared" si="3"/>
        <v>LU000400.004</v>
      </c>
      <c r="P49" s="10" t="str">
        <f ca="1">IFERROR(__xludf.DUMMYFUNCTION("VLOOKUP(O49, IMPORTRANGE(""https://docs.google.com/spreadsheets/d/1yDAaXNsi4Mr5FtRQL4tbmSdIzhx6_m4wkOD7IG-k_eo/edit#gid=0"", ""Maths!M:N""), 2, FALSE)"),"Analyse a dataset and identify the mode using frequency information.")</f>
        <v>Analyse a dataset and identify the mode using frequency information.</v>
      </c>
      <c r="Q49" s="10" t="str">
        <f t="shared" si="4"/>
        <v>LU000400.005</v>
      </c>
      <c r="R49" s="10" t="str">
        <f ca="1">IFERROR(__xludf.DUMMYFUNCTION("VLOOKUP(Q49, IMPORTRANGE(""https://docs.google.com/spreadsheets/d/1yDAaXNsi4Mr5FtRQL4tbmSdIzhx6_m4wkOD7IG-k_eo/edit#gid=0"", ""Maths!M:N""), 2, FALSE)"),"Evaluate the effectiveness of using frequency to describe the central tendencies of data.")</f>
        <v>Evaluate the effectiveness of using frequency to describe the central tendencies of data.</v>
      </c>
      <c r="S49" s="10" t="str">
        <f t="shared" si="5"/>
        <v>LU000400.006</v>
      </c>
      <c r="T49" s="10" t="str">
        <f ca="1">IFERROR(__xludf.DUMMYFUNCTION("VLOOKUP(S49, IMPORTRANGE(""https://docs.google.com/spreadsheets/d/1yDAaXNsi4Mr5FtRQL4tbmSdIzhx6_m4wkOD7IG-k_eo/edit#gid=0"", ""Maths!M:N""), 2, FALSE)"),"Design a real-world scenario where understanding frequency is essential for decision-making.")</f>
        <v>Design a real-world scenario where understanding frequency is essential for decision-making.</v>
      </c>
      <c r="U49" s="11">
        <f ca="1">IFERROR(__xludf.DUMMYFUNCTION("ArrayFormula(VLOOKUP(G49, IMPORTRANGE(""https://docs.google.com/spreadsheets/d/1p7R4vtkWt5VOBim4ltsDG9KTzSjrtKXsMtQGXPHyND0/edit#gid=795171502"", ""'Filter 30_05_2024'!A1:M2000""), {2, 3, 4, 5,6,7,8,9,10,11,12,13}, 0))"),4)</f>
        <v>4</v>
      </c>
      <c r="V49" s="11">
        <f ca="1">IFERROR(__xludf.DUMMYFUNCTION("""COMPUTED_VALUE"""),6)</f>
        <v>6</v>
      </c>
      <c r="W49" s="11">
        <f ca="1">IFERROR(__xludf.DUMMYFUNCTION("""COMPUTED_VALUE"""),2)</f>
        <v>2</v>
      </c>
      <c r="X49" s="11">
        <f ca="1">IFERROR(__xludf.DUMMYFUNCTION("""COMPUTED_VALUE"""),12)</f>
        <v>12</v>
      </c>
      <c r="Y49" s="11">
        <f ca="1">IFERROR(__xludf.DUMMYFUNCTION("""COMPUTED_VALUE"""),4)</f>
        <v>4</v>
      </c>
      <c r="Z49" s="12">
        <f ca="1">IFERROR(__xludf.DUMMYFUNCTION("""COMPUTED_VALUE"""),3)</f>
        <v>3</v>
      </c>
      <c r="AA49" s="12">
        <f ca="1">IFERROR(__xludf.DUMMYFUNCTION("""COMPUTED_VALUE"""),1)</f>
        <v>1</v>
      </c>
      <c r="AB49" s="12">
        <f ca="1">IFERROR(__xludf.DUMMYFUNCTION("""COMPUTED_VALUE"""),8)</f>
        <v>8</v>
      </c>
      <c r="AC49" s="12"/>
      <c r="AD49" s="12"/>
      <c r="AE49" s="12"/>
      <c r="AF49" s="12"/>
      <c r="AG49" s="13" t="str">
        <f ca="1">IFERROR(__xludf.DUMMYFUNCTION("ArrayFormula(VLOOKUP(G49, IMPORTRANGE(""https://docs.google.com/spreadsheets/d/1Co934fvtviyaRiMsrIlT05Jaq7iiYq07aLvRr35KA48/edit?gid=173865642#gid=173865642"", ""'G7_Maths_Pri_LU'!G2:V2000""), {3, 4, 5, 6, 7, 8, 9, 10, 11, 12, 13, 14, 15, 16}, 0))"),"")</f>
        <v/>
      </c>
      <c r="AH49" s="13"/>
      <c r="AI49" s="13"/>
      <c r="AJ49" s="13"/>
      <c r="AK49" s="13"/>
      <c r="AL49" s="13"/>
      <c r="AM49" s="13"/>
      <c r="AN49" s="13"/>
      <c r="AO49" s="13"/>
      <c r="AP49" s="13"/>
      <c r="AQ49" s="13"/>
      <c r="AR49" s="13"/>
      <c r="AS49" s="13"/>
      <c r="AT49" s="13"/>
    </row>
    <row r="50" spans="1:46">
      <c r="A50" s="8" t="s">
        <v>247</v>
      </c>
      <c r="B50" s="8" t="s">
        <v>47</v>
      </c>
      <c r="C50" s="8" t="s">
        <v>416</v>
      </c>
      <c r="D50" s="8" t="s">
        <v>49</v>
      </c>
      <c r="E50" s="8" t="s">
        <v>385</v>
      </c>
      <c r="F50" s="10" t="s">
        <v>486</v>
      </c>
      <c r="G50" s="8" t="s">
        <v>487</v>
      </c>
      <c r="H50" s="8" t="str">
        <f ca="1">IFERROR(__xludf.DUMMYFUNCTION("VLOOKUP(G50, IMPORTRANGE(""https://docs.google.com/spreadsheets/d/14deopnvwcrKtEGCKuYXdUHJbeLDZlkiSSWWT0g7x2pM/edit#gid=999382323"", ""LU List Maths (Filter)!A:B""), 2, FALSE)"),"Definition of mode of the data")</f>
        <v>Definition of mode of the data</v>
      </c>
      <c r="I50" s="10" t="str">
        <f t="shared" si="0"/>
        <v>LU000388.001</v>
      </c>
      <c r="J50" s="10" t="str">
        <f ca="1">IFERROR(__xludf.DUMMYFUNCTION("VLOOKUP(I50, IMPORTRANGE(""https://docs.google.com/spreadsheets/d/1yDAaXNsi4Mr5FtRQL4tbmSdIzhx6_m4wkOD7IG-k_eo/edit#gid=0"", ""Maths!M:N""), 2, FALSE)"),"State the definition of the mode of observations and explain why it identifies the most frequent value in a data set.")</f>
        <v>State the definition of the mode of observations and explain why it identifies the most frequent value in a data set.</v>
      </c>
      <c r="K50" s="10" t="str">
        <f t="shared" si="1"/>
        <v>LU000388.002</v>
      </c>
      <c r="L50" s="10" t="str">
        <f ca="1">IFERROR(__xludf.DUMMYFUNCTION("VLOOKUP(K50, IMPORTRANGE(""https://docs.google.com/spreadsheets/d/1yDAaXNsi4Mr5FtRQL4tbmSdIzhx6_m4wkOD7IG-k_eo/edit#gid=0"", ""Maths!M:N""), 2, FALSE)"),"Explain the concept of mode of observations and how it relates to the frequency of values in a data set.")</f>
        <v>Explain the concept of mode of observations and how it relates to the frequency of values in a data set.</v>
      </c>
      <c r="M50" s="10" t="str">
        <f t="shared" si="2"/>
        <v>LU000388.003</v>
      </c>
      <c r="N50" s="10" t="str">
        <f ca="1">IFERROR(__xludf.DUMMYFUNCTION("VLOOKUP(M50, IMPORTRANGE(""https://docs.google.com/spreadsheets/d/1yDAaXNsi4Mr5FtRQL4tbmSdIzhx6_m4wkOD7IG-k_eo/edit#gid=0"", ""Maths!M:N""), 2, FALSE)"),"Apply the concept of mode of observations to identify the mode in a given data set.")</f>
        <v>Apply the concept of mode of observations to identify the mode in a given data set.</v>
      </c>
      <c r="O50" s="10" t="str">
        <f t="shared" si="3"/>
        <v>LU000388.004</v>
      </c>
      <c r="P50" s="10" t="str">
        <f ca="1">IFERROR(__xludf.DUMMYFUNCTION("VLOOKUP(O50, IMPORTRANGE(""https://docs.google.com/spreadsheets/d/1yDAaXNsi4Mr5FtRQL4tbmSdIzhx6_m4wkOD7IG-k_eo/edit#gid=0"", ""Maths!M:N""), 2, FALSE)"),"Analyse different data sets and determine when using the mode of observations is appropriate for describing data.")</f>
        <v>Analyse different data sets and determine when using the mode of observations is appropriate for describing data.</v>
      </c>
      <c r="Q50" s="10" t="str">
        <f t="shared" si="4"/>
        <v>LU000388.005</v>
      </c>
      <c r="R50" s="10" t="str">
        <f ca="1">IFERROR(__xludf.DUMMYFUNCTION("VLOOKUP(Q50, IMPORTRANGE(""https://docs.google.com/spreadsheets/d/1yDAaXNsi4Mr5FtRQL4tbmSdIzhx6_m4wkOD7IG-k_eo/edit#gid=0"", ""Maths!M:N""), 2, FALSE)"),"Evaluate whether the mode is a valuable measure for describing data when there are multiple values with similar frequencies.")</f>
        <v>Evaluate whether the mode is a valuable measure for describing data when there are multiple values with similar frequencies.</v>
      </c>
      <c r="S50" s="10" t="str">
        <f t="shared" si="5"/>
        <v>LU000388.006</v>
      </c>
      <c r="T50" s="10" t="str">
        <f ca="1">IFERROR(__xludf.DUMMYFUNCTION("VLOOKUP(S50, IMPORTRANGE(""https://docs.google.com/spreadsheets/d/1yDAaXNsi4Mr5FtRQL4tbmSdIzhx6_m4wkOD7IG-k_eo/edit#gid=0"", ""Maths!M:N""), 2, FALSE)"),"Create scenarios involving various data sets and calculate and explain the mode in each case.")</f>
        <v>Create scenarios involving various data sets and calculate and explain the mode in each case.</v>
      </c>
      <c r="U50" s="11">
        <f ca="1">IFERROR(__xludf.DUMMYFUNCTION("ArrayFormula(VLOOKUP(G50, IMPORTRANGE(""https://docs.google.com/spreadsheets/d/1p7R4vtkWt5VOBim4ltsDG9KTzSjrtKXsMtQGXPHyND0/edit#gid=795171502"", ""'Filter 30_05_2024'!A1:M2000""), {2, 3, 4, 5,6,7,8,9,10,11,12,13}, 0))"),4)</f>
        <v>4</v>
      </c>
      <c r="V50" s="11">
        <f ca="1">IFERROR(__xludf.DUMMYFUNCTION("""COMPUTED_VALUE"""),5)</f>
        <v>5</v>
      </c>
      <c r="W50" s="11">
        <f ca="1">IFERROR(__xludf.DUMMYFUNCTION("""COMPUTED_VALUE"""),2)</f>
        <v>2</v>
      </c>
      <c r="X50" s="11">
        <f ca="1">IFERROR(__xludf.DUMMYFUNCTION("""COMPUTED_VALUE"""),11)</f>
        <v>11</v>
      </c>
      <c r="Y50" s="11">
        <f ca="1">IFERROR(__xludf.DUMMYFUNCTION("""COMPUTED_VALUE"""),5)</f>
        <v>5</v>
      </c>
      <c r="Z50" s="12">
        <f ca="1">IFERROR(__xludf.DUMMYFUNCTION("""COMPUTED_VALUE"""),4)</f>
        <v>4</v>
      </c>
      <c r="AA50" s="12">
        <f ca="1">IFERROR(__xludf.DUMMYFUNCTION("""COMPUTED_VALUE"""),1)</f>
        <v>1</v>
      </c>
      <c r="AB50" s="12">
        <f ca="1">IFERROR(__xludf.DUMMYFUNCTION("""COMPUTED_VALUE"""),10)</f>
        <v>10</v>
      </c>
      <c r="AC50" s="12"/>
      <c r="AD50" s="12"/>
      <c r="AE50" s="12"/>
      <c r="AF50" s="12"/>
      <c r="AG50" s="13" t="str">
        <f ca="1">IFERROR(__xludf.DUMMYFUNCTION("ArrayFormula(VLOOKUP(G50, IMPORTRANGE(""https://docs.google.com/spreadsheets/d/1Co934fvtviyaRiMsrIlT05Jaq7iiYq07aLvRr35KA48/edit?gid=173865642#gid=173865642"", ""'G7_Maths_Pri_LU'!G2:V2000""), {3, 4, 5, 6, 7, 8, 9, 10, 11, 12, 13, 14, 15, 16}, 0))"),"LU000400")</f>
        <v>LU000400</v>
      </c>
      <c r="AH50" s="13" t="str">
        <f ca="1">IFERROR(__xludf.DUMMYFUNCTION("""COMPUTED_VALUE"""),"Definition of frequency in data")</f>
        <v>Definition of frequency in data</v>
      </c>
      <c r="AI50" s="13"/>
      <c r="AJ50" s="13"/>
      <c r="AK50" s="13"/>
      <c r="AL50" s="13"/>
      <c r="AM50" s="13"/>
      <c r="AN50" s="13"/>
      <c r="AO50" s="13"/>
      <c r="AP50" s="13"/>
      <c r="AQ50" s="13"/>
      <c r="AR50" s="13"/>
      <c r="AS50" s="13"/>
      <c r="AT50" s="13"/>
    </row>
    <row r="51" spans="1:46">
      <c r="A51" s="8" t="s">
        <v>247</v>
      </c>
      <c r="B51" s="8" t="s">
        <v>47</v>
      </c>
      <c r="C51" s="8" t="s">
        <v>416</v>
      </c>
      <c r="D51" s="8" t="s">
        <v>49</v>
      </c>
      <c r="E51" s="8" t="s">
        <v>385</v>
      </c>
      <c r="F51" s="10" t="s">
        <v>488</v>
      </c>
      <c r="G51" s="8" t="s">
        <v>489</v>
      </c>
      <c r="H51" s="8" t="str">
        <f ca="1">IFERROR(__xludf.DUMMYFUNCTION("VLOOKUP(G51, IMPORTRANGE(""https://docs.google.com/spreadsheets/d/14deopnvwcrKtEGCKuYXdUHJbeLDZlkiSSWWT0g7x2pM/edit#gid=999382323"", ""LU List Maths (Filter)!A:B""), 2, FALSE)"),"Definition of median of the data")</f>
        <v>Definition of median of the data</v>
      </c>
      <c r="I51" s="10" t="str">
        <f t="shared" si="0"/>
        <v>LU000389.001</v>
      </c>
      <c r="J51" s="10" t="str">
        <f ca="1">IFERROR(__xludf.DUMMYFUNCTION("VLOOKUP(I51, IMPORTRANGE(""https://docs.google.com/spreadsheets/d/1yDAaXNsi4Mr5FtRQL4tbmSdIzhx6_m4wkOD7IG-k_eo/edit#gid=0"", ""Maths!M:N""), 2, FALSE)"),"State the definition of the median of observations and explain its role in finding the central value in a data set.")</f>
        <v>State the definition of the median of observations and explain its role in finding the central value in a data set.</v>
      </c>
      <c r="K51" s="10" t="str">
        <f t="shared" si="1"/>
        <v>LU000389.002</v>
      </c>
      <c r="L51" s="10" t="str">
        <f ca="1">IFERROR(__xludf.DUMMYFUNCTION("VLOOKUP(K51, IMPORTRANGE(""https://docs.google.com/spreadsheets/d/1yDAaXNsi4Mr5FtRQL4tbmSdIzhx6_m4wkOD7IG-k_eo/edit#gid=0"", ""Maths!M:N""), 2, FALSE)"),"Explain how the median is determined and how it represents the middle value in an ordered data set.")</f>
        <v>Explain how the median is determined and how it represents the middle value in an ordered data set.</v>
      </c>
      <c r="M51" s="10" t="str">
        <f t="shared" si="2"/>
        <v>LU000389.003</v>
      </c>
      <c r="N51" s="10" t="str">
        <f ca="1">IFERROR(__xludf.DUMMYFUNCTION("VLOOKUP(M51, IMPORTRANGE(""https://docs.google.com/spreadsheets/d/1yDAaXNsi4Mr5FtRQL4tbmSdIzhx6_m4wkOD7IG-k_eo/edit#gid=0"", ""Maths!M:N""), 2, FALSE)"),"Apply the concept of median of even/odd number of observations to find the median of a given data set.")</f>
        <v>Apply the concept of median of even/odd number of observations to find the median of a given data set.</v>
      </c>
      <c r="O51" s="10" t="str">
        <f t="shared" si="3"/>
        <v>LU000389.004</v>
      </c>
      <c r="P51" s="10" t="str">
        <f ca="1">IFERROR(__xludf.DUMMYFUNCTION("VLOOKUP(O51, IMPORTRANGE(""https://docs.google.com/spreadsheets/d/1yDAaXNsi4Mr5FtRQL4tbmSdIzhx6_m4wkOD7IG-k_eo/edit#gid=0"", ""Maths!M:N""), 2, FALSE)"),"Analyse different data sets and determine when using the median of observations is appropriate for describing central tendency.")</f>
        <v>Analyse different data sets and determine when using the median of observations is appropriate for describing central tendency.</v>
      </c>
      <c r="Q51" s="10" t="str">
        <f t="shared" si="4"/>
        <v>LU000389.005</v>
      </c>
      <c r="R51" s="10" t="str">
        <f ca="1">IFERROR(__xludf.DUMMYFUNCTION("VLOOKUP(Q51, IMPORTRANGE(""https://docs.google.com/spreadsheets/d/1yDAaXNsi4Mr5FtRQL4tbmSdIzhx6_m4wkOD7IG-k_eo/edit#gid=0"", ""Maths!M:N""), 2, FALSE)"),"Assess whether the median accurately reflects the central value of a data set with outliers, and discuss its robustness compared to the mean.")</f>
        <v>Assess whether the median accurately reflects the central value of a data set with outliers, and discuss its robustness compared to the mean.</v>
      </c>
      <c r="S51" s="10" t="str">
        <f t="shared" si="5"/>
        <v>LU000389.006</v>
      </c>
      <c r="T51" s="10" t="str">
        <f ca="1">IFERROR(__xludf.DUMMYFUNCTION("VLOOKUP(S51, IMPORTRANGE(""https://docs.google.com/spreadsheets/d/1yDAaXNsi4Mr5FtRQL4tbmSdIzhx6_m4wkOD7IG-k_eo/edit#gid=0"", ""Maths!M:N""), 2, FALSE)"),"Design a set of data sets with various arrangements and calculate and explain the median for each.")</f>
        <v>Design a set of data sets with various arrangements and calculate and explain the median for each.</v>
      </c>
      <c r="U51" s="11">
        <f ca="1">IFERROR(__xludf.DUMMYFUNCTION("ArrayFormula(VLOOKUP(G51, IMPORTRANGE(""https://docs.google.com/spreadsheets/d/1p7R4vtkWt5VOBim4ltsDG9KTzSjrtKXsMtQGXPHyND0/edit#gid=795171502"", ""'Filter 30_05_2024'!A1:M2000""), {2, 3, 4, 5,6,7,8,9,10,11,12,13}, 0))"),5)</f>
        <v>5</v>
      </c>
      <c r="V51" s="11">
        <f ca="1">IFERROR(__xludf.DUMMYFUNCTION("""COMPUTED_VALUE"""),6)</f>
        <v>6</v>
      </c>
      <c r="W51" s="11">
        <f ca="1">IFERROR(__xludf.DUMMYFUNCTION("""COMPUTED_VALUE"""),2)</f>
        <v>2</v>
      </c>
      <c r="X51" s="11">
        <f ca="1">IFERROR(__xludf.DUMMYFUNCTION("""COMPUTED_VALUE"""),13)</f>
        <v>13</v>
      </c>
      <c r="Y51" s="11">
        <f ca="1">IFERROR(__xludf.DUMMYFUNCTION("""COMPUTED_VALUE"""),6)</f>
        <v>6</v>
      </c>
      <c r="Z51" s="12">
        <f ca="1">IFERROR(__xludf.DUMMYFUNCTION("""COMPUTED_VALUE"""),3)</f>
        <v>3</v>
      </c>
      <c r="AA51" s="12">
        <f ca="1">IFERROR(__xludf.DUMMYFUNCTION("""COMPUTED_VALUE"""),1)</f>
        <v>1</v>
      </c>
      <c r="AB51" s="12">
        <f ca="1">IFERROR(__xludf.DUMMYFUNCTION("""COMPUTED_VALUE"""),10)</f>
        <v>10</v>
      </c>
      <c r="AC51" s="12"/>
      <c r="AD51" s="12"/>
      <c r="AE51" s="12"/>
      <c r="AF51" s="12"/>
      <c r="AG51" s="13" t="str">
        <f ca="1">IFERROR(__xludf.DUMMYFUNCTION("ArrayFormula(VLOOKUP(G51, IMPORTRANGE(""https://docs.google.com/spreadsheets/d/1Co934fvtviyaRiMsrIlT05Jaq7iiYq07aLvRr35KA48/edit?gid=173865642#gid=173865642"", ""'G7_Maths_Pri_LU'!G2:V2000""), {3, 4, 5, 6, 7, 8, 9, 10, 11, 12, 13, 14, 15, 16}, 0))"),"")</f>
        <v/>
      </c>
      <c r="AH51" s="13"/>
      <c r="AI51" s="13"/>
      <c r="AJ51" s="13"/>
      <c r="AK51" s="13"/>
      <c r="AL51" s="13"/>
      <c r="AM51" s="13"/>
      <c r="AN51" s="13"/>
      <c r="AO51" s="13"/>
      <c r="AP51" s="13"/>
      <c r="AQ51" s="13"/>
      <c r="AR51" s="13"/>
      <c r="AS51" s="13"/>
      <c r="AT51" s="13"/>
    </row>
    <row r="52" spans="1:46">
      <c r="A52" s="8" t="s">
        <v>247</v>
      </c>
      <c r="B52" s="8" t="s">
        <v>47</v>
      </c>
      <c r="C52" s="8" t="s">
        <v>416</v>
      </c>
      <c r="D52" s="8" t="s">
        <v>49</v>
      </c>
      <c r="E52" s="8" t="s">
        <v>385</v>
      </c>
      <c r="F52" s="10" t="s">
        <v>488</v>
      </c>
      <c r="G52" s="8" t="s">
        <v>490</v>
      </c>
      <c r="H52" s="8" t="str">
        <f ca="1">IFERROR(__xludf.DUMMYFUNCTION("VLOOKUP(G52, IMPORTRANGE(""https://docs.google.com/spreadsheets/d/14deopnvwcrKtEGCKuYXdUHJbeLDZlkiSSWWT0g7x2pM/edit#gid=999382323"", ""LU List Maths (Filter)!A:B""), 2, FALSE)"),"Comparison of mean, median, and mode for a set of data")</f>
        <v>Comparison of mean, median, and mode for a set of data</v>
      </c>
      <c r="I52" s="10" t="str">
        <f t="shared" si="0"/>
        <v>LU000920.001</v>
      </c>
      <c r="J52" s="10" t="str">
        <f ca="1">IFERROR(__xludf.DUMMYFUNCTION("VLOOKUP(I52, IMPORTRANGE(""https://docs.google.com/spreadsheets/d/1yDAaXNsi4Mr5FtRQL4tbmSdIzhx6_m4wkOD7IG-k_eo/edit#gid=0"", ""Maths!M:N""), 2, FALSE)"),"Memorize the basic characteristics and differences of mean, median, and mode.")</f>
        <v>Memorize the basic characteristics and differences of mean, median, and mode.</v>
      </c>
      <c r="K52" s="10" t="str">
        <f t="shared" si="1"/>
        <v>LU000920.002</v>
      </c>
      <c r="L52" s="10" t="str">
        <f ca="1">IFERROR(__xludf.DUMMYFUNCTION("VLOOKUP(K52, IMPORTRANGE(""https://docs.google.com/spreadsheets/d/1yDAaXNsi4Mr5FtRQL4tbmSdIzhx6_m4wkOD7IG-k_eo/edit#gid=0"", ""Maths!M:N""), 2, FALSE)"),"Explain the differences between mean, median, and mode, and describe when each measure is most appropriately used.")</f>
        <v>Explain the differences between mean, median, and mode, and describe when each measure is most appropriately used.</v>
      </c>
      <c r="M52" s="10" t="str">
        <f t="shared" si="2"/>
        <v>LU000920.003</v>
      </c>
      <c r="N52" s="10" t="str">
        <f ca="1">IFERROR(__xludf.DUMMYFUNCTION("VLOOKUP(M52, IMPORTRANGE(""https://docs.google.com/spreadsheets/d/1yDAaXNsi4Mr5FtRQL4tbmSdIzhx6_m4wkOD7IG-k_eo/edit#gid=0"", ""Maths!M:N""), 2, FALSE)"),"Calculate the mean, median and mode of a set of data in order to verify whether all these three representative values are the same for the given data or not.")</f>
        <v>Calculate the mean, median and mode of a set of data in order to verify whether all these three representative values are the same for the given data or not.</v>
      </c>
      <c r="O52" s="10" t="str">
        <f t="shared" si="3"/>
        <v>LU000920.004</v>
      </c>
      <c r="P52" s="10" t="str">
        <f ca="1">IFERROR(__xludf.DUMMYFUNCTION("VLOOKUP(O52, IMPORTRANGE(""https://docs.google.com/spreadsheets/d/1yDAaXNsi4Mr5FtRQL4tbmSdIzhx6_m4wkOD7IG-k_eo/edit#gid=0"", ""Maths!M:N""), 2, FALSE)"),"Compare and contrast data sets by examining the differences in their mean, median, and mode.")</f>
        <v>Compare and contrast data sets by examining the differences in their mean, median, and mode.</v>
      </c>
      <c r="Q52" s="10" t="str">
        <f t="shared" si="4"/>
        <v>LU000920.005</v>
      </c>
      <c r="R52" s="10" t="str">
        <f ca="1">IFERROR(__xludf.DUMMYFUNCTION("VLOOKUP(Q52, IMPORTRANGE(""https://docs.google.com/spreadsheets/d/1yDAaXNsi4Mr5FtRQL4tbmSdIzhx6_m4wkOD7IG-k_eo/edit#gid=0"", ""Maths!M:N""), 2, FALSE)"),"Evaluate the implications of using mean, median, or mode in various real-world contexts.")</f>
        <v>Evaluate the implications of using mean, median, or mode in various real-world contexts.</v>
      </c>
      <c r="S52" s="10" t="str">
        <f t="shared" si="5"/>
        <v>LU000920.006</v>
      </c>
      <c r="T52" s="10" t="str">
        <f ca="1">IFERROR(__xludf.DUMMYFUNCTION("VLOOKUP(S52, IMPORTRANGE(""https://docs.google.com/spreadsheets/d/1yDAaXNsi4Mr5FtRQL4tbmSdIzhx6_m4wkOD7IG-k_eo/edit#gid=0"", ""Maths!M:N""), 2, FALSE)"),"#N/A")</f>
        <v>#N/A</v>
      </c>
      <c r="U52" s="11">
        <f ca="1">IFERROR(__xludf.DUMMYFUNCTION("ArrayFormula(VLOOKUP(G52, IMPORTRANGE(""https://docs.google.com/spreadsheets/d/1p7R4vtkWt5VOBim4ltsDG9KTzSjrtKXsMtQGXPHyND0/edit#gid=795171502"", ""'Filter 30_05_2024'!A1:M2000""), {2, 3, 4, 5,6,7,8,9,10,11,12,13}, 0))"),3)</f>
        <v>3</v>
      </c>
      <c r="V52" s="11">
        <f ca="1">IFERROR(__xludf.DUMMYFUNCTION("""COMPUTED_VALUE"""),7)</f>
        <v>7</v>
      </c>
      <c r="W52" s="11">
        <f ca="1">IFERROR(__xludf.DUMMYFUNCTION("""COMPUTED_VALUE"""),2)</f>
        <v>2</v>
      </c>
      <c r="X52" s="11">
        <f ca="1">IFERROR(__xludf.DUMMYFUNCTION("""COMPUTED_VALUE"""),12)</f>
        <v>12</v>
      </c>
      <c r="Y52" s="11">
        <f ca="1">IFERROR(__xludf.DUMMYFUNCTION("""COMPUTED_VALUE"""),5)</f>
        <v>5</v>
      </c>
      <c r="Z52" s="12">
        <f ca="1">IFERROR(__xludf.DUMMYFUNCTION("""COMPUTED_VALUE"""),6)</f>
        <v>6</v>
      </c>
      <c r="AA52" s="12">
        <f ca="1">IFERROR(__xludf.DUMMYFUNCTION("""COMPUTED_VALUE"""),1)</f>
        <v>1</v>
      </c>
      <c r="AB52" s="12">
        <f ca="1">IFERROR(__xludf.DUMMYFUNCTION("""COMPUTED_VALUE"""),12)</f>
        <v>12</v>
      </c>
      <c r="AC52" s="12"/>
      <c r="AD52" s="12"/>
      <c r="AE52" s="12"/>
      <c r="AF52" s="12"/>
      <c r="AG52" s="13" t="str">
        <f ca="1">IFERROR(__xludf.DUMMYFUNCTION("ArrayFormula(VLOOKUP(G52, IMPORTRANGE(""https://docs.google.com/spreadsheets/d/1Co934fvtviyaRiMsrIlT05Jaq7iiYq07aLvRr35KA48/edit?gid=173865642#gid=173865642"", ""'G7_Maths_Pri_LU'!G2:V2000""), {3, 4, 5, 6, 7, 8, 9, 10, 11, 12, 13, 14, 15, 16}, 0))"),"LU000389")</f>
        <v>LU000389</v>
      </c>
      <c r="AH52" s="13" t="str">
        <f ca="1">IFERROR(__xludf.DUMMYFUNCTION("""COMPUTED_VALUE"""),"Definition of median of the data")</f>
        <v>Definition of median of the data</v>
      </c>
      <c r="AI52" s="13" t="str">
        <f ca="1">IFERROR(__xludf.DUMMYFUNCTION("""COMPUTED_VALUE"""),"LU000388")</f>
        <v>LU000388</v>
      </c>
      <c r="AJ52" s="13" t="str">
        <f ca="1">IFERROR(__xludf.DUMMYFUNCTION("""COMPUTED_VALUE"""),"Definition of mode of the data")</f>
        <v>Definition of mode of the data</v>
      </c>
      <c r="AK52" s="13" t="str">
        <f ca="1">IFERROR(__xludf.DUMMYFUNCTION("""COMPUTED_VALUE"""),"LU000386")</f>
        <v>LU000386</v>
      </c>
      <c r="AL52" s="13" t="str">
        <f ca="1">IFERROR(__xludf.DUMMYFUNCTION("""COMPUTED_VALUE"""),"Definition of arithmetic mean/average of the observations")</f>
        <v>Definition of arithmetic mean/average of the observations</v>
      </c>
      <c r="AM52" s="13" t="str">
        <f ca="1">IFERROR(__xludf.DUMMYFUNCTION("""COMPUTED_VALUE"""),"LU000309")</f>
        <v>LU000309</v>
      </c>
      <c r="AN52" s="13" t="str">
        <f ca="1">IFERROR(__xludf.DUMMYFUNCTION("""COMPUTED_VALUE"""),"Organisation of data")</f>
        <v>Organisation of data</v>
      </c>
      <c r="AO52" s="13"/>
      <c r="AP52" s="13"/>
      <c r="AQ52" s="13"/>
      <c r="AR52" s="13"/>
      <c r="AS52" s="13"/>
      <c r="AT52" s="13"/>
    </row>
    <row r="53" spans="1:46">
      <c r="A53" s="8" t="s">
        <v>247</v>
      </c>
      <c r="B53" s="8" t="s">
        <v>47</v>
      </c>
      <c r="C53" s="8" t="s">
        <v>416</v>
      </c>
      <c r="D53" s="8" t="s">
        <v>49</v>
      </c>
      <c r="E53" s="8" t="s">
        <v>385</v>
      </c>
      <c r="F53" s="8" t="s">
        <v>491</v>
      </c>
      <c r="G53" s="8" t="s">
        <v>492</v>
      </c>
      <c r="H53" s="8" t="str">
        <f ca="1">IFERROR(__xludf.DUMMYFUNCTION("VLOOKUP(G53, IMPORTRANGE(""https://docs.google.com/spreadsheets/d/14deopnvwcrKtEGCKuYXdUHJbeLDZlkiSSWWT0g7x2pM/edit#gid=999382323"", ""LU List Maths (Filter)!A:B""), 2, FALSE)"),"Definition of scale factor")</f>
        <v>Definition of scale factor</v>
      </c>
      <c r="I53" s="10" t="str">
        <f t="shared" si="0"/>
        <v>LU000319.001</v>
      </c>
      <c r="J53" s="10" t="str">
        <f ca="1">IFERROR(__xludf.DUMMYFUNCTION("VLOOKUP(I53, IMPORTRANGE(""https://docs.google.com/spreadsheets/d/1yDAaXNsi4Mr5FtRQL4tbmSdIzhx6_m4wkOD7IG-k_eo/edit#gid=0"", ""Maths!M:N""), 2, FALSE)"),"Define a scale factor in and identify its role in transforming data measurements proportionally.")</f>
        <v>Define a scale factor in and identify its role in transforming data measurements proportionally.</v>
      </c>
      <c r="K53" s="10" t="str">
        <f t="shared" si="1"/>
        <v>LU000319.002</v>
      </c>
      <c r="L53" s="10" t="str">
        <f ca="1">IFERROR(__xludf.DUMMYFUNCTION("VLOOKUP(K53, IMPORTRANGE(""https://docs.google.com/spreadsheets/d/1yDAaXNsi4Mr5FtRQL4tbmSdIzhx6_m4wkOD7IG-k_eo/edit#gid=0"", ""Maths!M:N""), 2, FALSE)"),"Explain the concept of a scale factor by describing how it is applied to change the size of data values while maintaining their relative proportions.")</f>
        <v>Explain the concept of a scale factor by describing how it is applied to change the size of data values while maintaining their relative proportions.</v>
      </c>
      <c r="M53" s="10" t="str">
        <f t="shared" si="2"/>
        <v>LU000319.003</v>
      </c>
      <c r="N53" s="10" t="str">
        <f ca="1">IFERROR(__xludf.DUMMYFUNCTION("VLOOKUP(M53, IMPORTRANGE(""https://docs.google.com/spreadsheets/d/1yDAaXNsi4Mr5FtRQL4tbmSdIzhx6_m4wkOD7IG-k_eo/edit#gid=0"", ""Maths!M:N""), 2, FALSE)"),"Apply the understanding of a scale factor to determine the scale for the given data set.")</f>
        <v>Apply the understanding of a scale factor to determine the scale for the given data set.</v>
      </c>
      <c r="O53" s="10" t="str">
        <f t="shared" si="3"/>
        <v>LU000319.004</v>
      </c>
      <c r="P53" s="10" t="str">
        <f ca="1">IFERROR(__xludf.DUMMYFUNCTION("VLOOKUP(O53, IMPORTRANGE(""https://docs.google.com/spreadsheets/d/1yDAaXNsi4Mr5FtRQL4tbmSdIzhx6_m4wkOD7IG-k_eo/edit#gid=0"", ""Maths!M:N""), 2, FALSE)"),"Analyse the impact of different scale factors on a dataset.")</f>
        <v>Analyse the impact of different scale factors on a dataset.</v>
      </c>
      <c r="Q53" s="10" t="str">
        <f t="shared" si="4"/>
        <v>LU000319.005</v>
      </c>
      <c r="R53" s="10" t="str">
        <f ca="1">IFERROR(__xludf.DUMMYFUNCTION("VLOOKUP(Q53, IMPORTRANGE(""https://docs.google.com/spreadsheets/d/1yDAaXNsi4Mr5FtRQL4tbmSdIzhx6_m4wkOD7IG-k_eo/edit#gid=0"", ""Maths!M:N""), 2, FALSE)"),"Evaluate the appropriateness of choice of scale factor for resizing data in a given context.")</f>
        <v>Evaluate the appropriateness of choice of scale factor for resizing data in a given context.</v>
      </c>
      <c r="S53" s="10" t="str">
        <f t="shared" si="5"/>
        <v>LU000319.006</v>
      </c>
      <c r="T53" s="10" t="str">
        <f ca="1">IFERROR(__xludf.DUMMYFUNCTION("VLOOKUP(S53, IMPORTRANGE(""https://docs.google.com/spreadsheets/d/1yDAaXNsi4Mr5FtRQL4tbmSdIzhx6_m4wkOD7IG-k_eo/edit#gid=0"", ""Maths!M:N""), 2, FALSE)"),"Create a dataset and determine an appropriate scale factor to resize data values effectively, explaining the rationale behind the chosen factor.")</f>
        <v>Create a dataset and determine an appropriate scale factor to resize data values effectively, explaining the rationale behind the chosen factor.</v>
      </c>
      <c r="U53" s="11">
        <f ca="1">IFERROR(__xludf.DUMMYFUNCTION("ArrayFormula(VLOOKUP(G53, IMPORTRANGE(""https://docs.google.com/spreadsheets/d/1p7R4vtkWt5VOBim4ltsDG9KTzSjrtKXsMtQGXPHyND0/edit#gid=795171502"", ""'Filter 30_05_2024'!A1:M2000""), {2, 3, 4, 5,6,7,8,9,10,11,12,13}, 0))"),4)</f>
        <v>4</v>
      </c>
      <c r="V53" s="11">
        <f ca="1">IFERROR(__xludf.DUMMYFUNCTION("""COMPUTED_VALUE"""),3)</f>
        <v>3</v>
      </c>
      <c r="W53" s="11">
        <f ca="1">IFERROR(__xludf.DUMMYFUNCTION("""COMPUTED_VALUE"""),1)</f>
        <v>1</v>
      </c>
      <c r="X53" s="11">
        <f ca="1">IFERROR(__xludf.DUMMYFUNCTION("""COMPUTED_VALUE"""),8)</f>
        <v>8</v>
      </c>
      <c r="Y53" s="11">
        <f ca="1">IFERROR(__xludf.DUMMYFUNCTION("""COMPUTED_VALUE"""),4)</f>
        <v>4</v>
      </c>
      <c r="Z53" s="12">
        <f ca="1">IFERROR(__xludf.DUMMYFUNCTION("""COMPUTED_VALUE"""),4)</f>
        <v>4</v>
      </c>
      <c r="AA53" s="12">
        <f ca="1">IFERROR(__xludf.DUMMYFUNCTION("""COMPUTED_VALUE"""),1)</f>
        <v>1</v>
      </c>
      <c r="AB53" s="12">
        <f ca="1">IFERROR(__xludf.DUMMYFUNCTION("""COMPUTED_VALUE"""),9)</f>
        <v>9</v>
      </c>
      <c r="AC53" s="12"/>
      <c r="AD53" s="12"/>
      <c r="AE53" s="12"/>
      <c r="AF53" s="12"/>
      <c r="AG53" s="13" t="str">
        <f ca="1">IFERROR(__xludf.DUMMYFUNCTION("ArrayFormula(VLOOKUP(G53, IMPORTRANGE(""https://docs.google.com/spreadsheets/d/1Co934fvtviyaRiMsrIlT05Jaq7iiYq07aLvRr35KA48/edit?gid=173865642#gid=173865642"", ""'G7_Maths_Pri_LU'!G2:V2000""), {3, 4, 5, 6, 7, 8, 9, 10, 11, 12, 13, 14, 15, 16}, 0))"),"")</f>
        <v/>
      </c>
      <c r="AH53" s="13"/>
      <c r="AI53" s="13"/>
      <c r="AJ53" s="13"/>
      <c r="AK53" s="13"/>
      <c r="AL53" s="13"/>
      <c r="AM53" s="13"/>
      <c r="AN53" s="13"/>
      <c r="AO53" s="13"/>
      <c r="AP53" s="13"/>
      <c r="AQ53" s="13"/>
      <c r="AR53" s="13"/>
      <c r="AS53" s="13"/>
      <c r="AT53" s="13"/>
    </row>
    <row r="54" spans="1:46">
      <c r="A54" s="8" t="s">
        <v>247</v>
      </c>
      <c r="B54" s="8" t="s">
        <v>47</v>
      </c>
      <c r="C54" s="8" t="s">
        <v>416</v>
      </c>
      <c r="D54" s="8" t="s">
        <v>49</v>
      </c>
      <c r="E54" s="8" t="s">
        <v>385</v>
      </c>
      <c r="F54" s="8" t="s">
        <v>491</v>
      </c>
      <c r="G54" s="8" t="s">
        <v>121</v>
      </c>
      <c r="H54" s="8" t="str">
        <f ca="1">IFERROR(__xludf.DUMMYFUNCTION("VLOOKUP(G54, IMPORTRANGE(""https://docs.google.com/spreadsheets/d/14deopnvwcrKtEGCKuYXdUHJbeLDZlkiSSWWT0g7x2pM/edit#gid=999382323"", ""LU List Maths (Filter)!A:B""), 2, FALSE)"),"Definition of bar graph")</f>
        <v>Definition of bar graph</v>
      </c>
      <c r="I54" s="10" t="str">
        <f t="shared" si="0"/>
        <v>LU000316.001</v>
      </c>
      <c r="J54" s="10" t="str">
        <f ca="1">IFERROR(__xludf.DUMMYFUNCTION("VLOOKUP(I54, IMPORTRANGE(""https://docs.google.com/spreadsheets/d/1yDAaXNsi4Mr5FtRQL4tbmSdIzhx6_m4wkOD7IG-k_eo/edit#gid=0"", ""Maths!M:N""), 2, FALSE)"),"Define of a bar graph as a visual representation of data using rectangular bars to display the frequency or count of different categories.")</f>
        <v>Define of a bar graph as a visual representation of data using rectangular bars to display the frequency or count of different categories.</v>
      </c>
      <c r="K54" s="10" t="str">
        <f t="shared" si="1"/>
        <v>LU000316.002</v>
      </c>
      <c r="L54" s="10" t="str">
        <f ca="1">IFERROR(__xludf.DUMMYFUNCTION("VLOOKUP(K54, IMPORTRANGE(""https://docs.google.com/spreadsheets/d/1yDAaXNsi4Mr5FtRQL4tbmSdIzhx6_m4wkOD7IG-k_eo/edit#gid=0"", ""Maths!M:N""), 2, FALSE)"),"Explain the purpose and structure of a bar graph by describing how it displays data using bars of varying lengths.")</f>
        <v>Explain the purpose and structure of a bar graph by describing how it displays data using bars of varying lengths.</v>
      </c>
      <c r="M54" s="10" t="str">
        <f t="shared" si="2"/>
        <v>LU000316.003</v>
      </c>
      <c r="N54" s="10" t="str">
        <f ca="1">IFERROR(__xludf.DUMMYFUNCTION("VLOOKUP(M54, IMPORTRANGE(""https://docs.google.com/spreadsheets/d/1yDAaXNsi4Mr5FtRQL4tbmSdIzhx6_m4wkOD7IG-k_eo/edit#gid=0"", ""Maths!M:N""), 2, FALSE)"),"#N/A")</f>
        <v>#N/A</v>
      </c>
      <c r="O54" s="10" t="str">
        <f t="shared" si="3"/>
        <v>LU000316.004</v>
      </c>
      <c r="P54" s="10" t="str">
        <f ca="1">IFERROR(__xludf.DUMMYFUNCTION("VLOOKUP(O54, IMPORTRANGE(""https://docs.google.com/spreadsheets/d/1yDAaXNsi4Mr5FtRQL4tbmSdIzhx6_m4wkOD7IG-k_eo/edit#gid=0"", ""Maths!M:N""), 2, FALSE)"),"Analyse the effectiveness of bar graphs in comparison to other types of graphs.")</f>
        <v>Analyse the effectiveness of bar graphs in comparison to other types of graphs.</v>
      </c>
      <c r="Q54" s="10" t="str">
        <f t="shared" si="4"/>
        <v>LU000316.005</v>
      </c>
      <c r="R54" s="10" t="str">
        <f ca="1">IFERROR(__xludf.DUMMYFUNCTION("VLOOKUP(Q54, IMPORTRANGE(""https://docs.google.com/spreadsheets/d/1yDAaXNsi4Mr5FtRQL4tbmSdIzhx6_m4wkOD7IG-k_eo/edit#gid=0"", ""Maths!M:N""), 2, FALSE)"),"Evaluate the effectiveness of different bar graphs for representing specific types of data, comparing their ability to convey information clearly and accurately.")</f>
        <v>Evaluate the effectiveness of different bar graphs for representing specific types of data, comparing their ability to convey information clearly and accurately.</v>
      </c>
      <c r="S54" s="10" t="str">
        <f t="shared" si="5"/>
        <v>LU000316.006</v>
      </c>
      <c r="T54" s="10" t="str">
        <f ca="1">IFERROR(__xludf.DUMMYFUNCTION("VLOOKUP(S54, IMPORTRANGE(""https://docs.google.com/spreadsheets/d/1yDAaXNsi4Mr5FtRQL4tbmSdIzhx6_m4wkOD7IG-k_eo/edit#gid=0"", ""Maths!M:N""), 2, FALSE)"),"#N/A")</f>
        <v>#N/A</v>
      </c>
      <c r="U54" s="11">
        <f ca="1">IFERROR(__xludf.DUMMYFUNCTION("ArrayFormula(VLOOKUP(G54, IMPORTRANGE(""https://docs.google.com/spreadsheets/d/1p7R4vtkWt5VOBim4ltsDG9KTzSjrtKXsMtQGXPHyND0/edit#gid=795171502"", ""'Filter 30_05_2024'!A1:M2000""), {2, 3, 4, 5,6,7,8,9,10,11,12,13}, 0))"),4)</f>
        <v>4</v>
      </c>
      <c r="V54" s="11">
        <f ca="1">IFERROR(__xludf.DUMMYFUNCTION("""COMPUTED_VALUE"""),6)</f>
        <v>6</v>
      </c>
      <c r="W54" s="11">
        <f ca="1">IFERROR(__xludf.DUMMYFUNCTION("""COMPUTED_VALUE"""),2)</f>
        <v>2</v>
      </c>
      <c r="X54" s="11">
        <f ca="1">IFERROR(__xludf.DUMMYFUNCTION("""COMPUTED_VALUE"""),12)</f>
        <v>12</v>
      </c>
      <c r="Y54" s="11">
        <f ca="1">IFERROR(__xludf.DUMMYFUNCTION("""COMPUTED_VALUE"""),4)</f>
        <v>4</v>
      </c>
      <c r="Z54" s="12">
        <f ca="1">IFERROR(__xludf.DUMMYFUNCTION("""COMPUTED_VALUE"""),3)</f>
        <v>3</v>
      </c>
      <c r="AA54" s="12">
        <f ca="1">IFERROR(__xludf.DUMMYFUNCTION("""COMPUTED_VALUE"""),1)</f>
        <v>1</v>
      </c>
      <c r="AB54" s="12">
        <f ca="1">IFERROR(__xludf.DUMMYFUNCTION("""COMPUTED_VALUE"""),8)</f>
        <v>8</v>
      </c>
      <c r="AC54" s="12"/>
      <c r="AD54" s="12"/>
      <c r="AE54" s="12"/>
      <c r="AF54" s="12"/>
      <c r="AG54" s="13" t="str">
        <f ca="1">IFERROR(__xludf.DUMMYFUNCTION("ArrayFormula(VLOOKUP(G54, IMPORTRANGE(""https://docs.google.com/spreadsheets/d/1Co934fvtviyaRiMsrIlT05Jaq7iiYq07aLvRr35KA48/edit?gid=173865642#gid=173865642"", ""'G7_Maths_Pri_LU'!G2:V2000""), {3, 4, 5, 6, 7, 8, 9, 10, 11, 12, 13, 14, 15, 16}, 0))"),"LU000313")</f>
        <v>LU000313</v>
      </c>
      <c r="AH54" s="13" t="str">
        <f ca="1">IFERROR(__xludf.DUMMYFUNCTION("""COMPUTED_VALUE"""),"Definition of pictograph")</f>
        <v>Definition of pictograph</v>
      </c>
      <c r="AI54" s="13" t="str">
        <f ca="1">IFERROR(__xludf.DUMMYFUNCTION("""COMPUTED_VALUE"""),"LU000310")</f>
        <v>LU000310</v>
      </c>
      <c r="AJ54" s="13" t="str">
        <f ca="1">IFERROR(__xludf.DUMMYFUNCTION("""COMPUTED_VALUE"""),"Definition of tally chart")</f>
        <v>Definition of tally chart</v>
      </c>
      <c r="AK54" s="13" t="str">
        <f ca="1">IFERROR(__xludf.DUMMYFUNCTION("""COMPUTED_VALUE"""),"LU000400")</f>
        <v>LU000400</v>
      </c>
      <c r="AL54" s="13" t="str">
        <f ca="1">IFERROR(__xludf.DUMMYFUNCTION("""COMPUTED_VALUE"""),"Definition of frequency in data")</f>
        <v>Definition of frequency in data</v>
      </c>
      <c r="AM54" s="13"/>
      <c r="AN54" s="13"/>
      <c r="AO54" s="13"/>
      <c r="AP54" s="13"/>
      <c r="AQ54" s="13"/>
      <c r="AR54" s="13"/>
      <c r="AS54" s="13"/>
      <c r="AT54" s="13"/>
    </row>
    <row r="55" spans="1:46">
      <c r="A55" s="8" t="s">
        <v>247</v>
      </c>
      <c r="B55" s="8" t="s">
        <v>47</v>
      </c>
      <c r="C55" s="8" t="s">
        <v>416</v>
      </c>
      <c r="D55" s="8" t="s">
        <v>49</v>
      </c>
      <c r="E55" s="8" t="s">
        <v>385</v>
      </c>
      <c r="F55" s="8" t="s">
        <v>493</v>
      </c>
      <c r="G55" s="8" t="s">
        <v>122</v>
      </c>
      <c r="H55" s="8" t="str">
        <f ca="1">IFERROR(__xludf.DUMMYFUNCTION("VLOOKUP(G55, IMPORTRANGE(""https://docs.google.com/spreadsheets/d/14deopnvwcrKtEGCKuYXdUHJbeLDZlkiSSWWT0g7x2pM/edit#gid=999382323"", ""LU List Maths (Filter)!A:B""), 2, FALSE)"),"Interpretation of bar graphs (horizontal and vertical)")</f>
        <v>Interpretation of bar graphs (horizontal and vertical)</v>
      </c>
      <c r="I55" s="10" t="str">
        <f t="shared" si="0"/>
        <v>LU000317.001</v>
      </c>
      <c r="J55" s="10" t="str">
        <f ca="1">IFERROR(__xludf.DUMMYFUNCTION("VLOOKUP(I55, IMPORTRANGE(""https://docs.google.com/spreadsheets/d/1yDAaXNsi4Mr5FtRQL4tbmSdIzhx6_m4wkOD7IG-k_eo/edit#gid=0"", ""Maths!M:N""), 2, FALSE)"),"State the components of a bar graph, such as the vertical bars representing data, categories on the horizontal axis, and the numerical scale on the vertical axis.")</f>
        <v>State the components of a bar graph, such as the vertical bars representing data, categories on the horizontal axis, and the numerical scale on the vertical axis.</v>
      </c>
      <c r="K55" s="10" t="str">
        <f t="shared" si="1"/>
        <v>LU000317.002</v>
      </c>
      <c r="L55" s="10" t="str">
        <f ca="1">IFERROR(__xludf.DUMMYFUNCTION("VLOOKUP(K55, IMPORTRANGE(""https://docs.google.com/spreadsheets/d/1yDAaXNsi4Mr5FtRQL4tbmSdIzhx6_m4wkOD7IG-k_eo/edit#gid=0"", ""Maths!M:N""), 2, FALSE)"),"Explain the process of interpreting a bar graph by describing how bar lengths convey data quantities and how categories on the horizontal axis provide context.")</f>
        <v>Explain the process of interpreting a bar graph by describing how bar lengths convey data quantities and how categories on the horizontal axis provide context.</v>
      </c>
      <c r="M55" s="10" t="str">
        <f t="shared" si="2"/>
        <v>LU000317.003</v>
      </c>
      <c r="N55" s="10" t="str">
        <f ca="1">IFERROR(__xludf.DUMMYFUNCTION("VLOOKUP(M55, IMPORTRANGE(""https://docs.google.com/spreadsheets/d/1yDAaXNsi4Mr5FtRQL4tbmSdIzhx6_m4wkOD7IG-k_eo/edit#gid=0"", ""Maths!M:N""), 2, FALSE)"),"Apply the understanding of interpreting bar graphs by analyzing a given bar graph, identifying trends, and drawing conclusions")</f>
        <v>Apply the understanding of interpreting bar graphs by analyzing a given bar graph, identifying trends, and drawing conclusions</v>
      </c>
      <c r="O55" s="10" t="str">
        <f t="shared" si="3"/>
        <v>LU000317.004</v>
      </c>
      <c r="P55" s="10" t="str">
        <f ca="1">IFERROR(__xludf.DUMMYFUNCTION("VLOOKUP(O55, IMPORTRANGE(""https://docs.google.com/spreadsheets/d/1yDAaXNsi4Mr5FtRQL4tbmSdIzhx6_m4wkOD7IG-k_eo/edit#gid=0"", ""Maths!M:N""), 2, FALSE)"),"Analyse the patterns in a bar graph, discussing how variations in bar lengths reflect differences in data quantities and discussing potential reasons for the patterns observed.")</f>
        <v>Analyse the patterns in a bar graph, discussing how variations in bar lengths reflect differences in data quantities and discussing potential reasons for the patterns observed.</v>
      </c>
      <c r="Q55" s="10" t="str">
        <f t="shared" si="4"/>
        <v>LU000317.005</v>
      </c>
      <c r="R55" s="10" t="str">
        <f ca="1">IFERROR(__xludf.DUMMYFUNCTION("VLOOKUP(Q55, IMPORTRANGE(""https://docs.google.com/spreadsheets/d/1yDAaXNsi4Mr5FtRQL4tbmSdIzhx6_m4wkOD7IG-k_eo/edit#gid=0"", ""Maths!M:N""), 2, FALSE)"),"Evaluate the effectiveness of interpretations of bar graphs, assessing the accuracy of the observations and conclusions drawn from the bar graph.")</f>
        <v>Evaluate the effectiveness of interpretations of bar graphs, assessing the accuracy of the observations and conclusions drawn from the bar graph.</v>
      </c>
      <c r="S55" s="10" t="str">
        <f t="shared" si="5"/>
        <v>LU000317.006</v>
      </c>
      <c r="T55" s="10" t="str">
        <f ca="1">IFERROR(__xludf.DUMMYFUNCTION("VLOOKUP(S55, IMPORTRANGE(""https://docs.google.com/spreadsheets/d/1yDAaXNsi4Mr5FtRQL4tbmSdIzhx6_m4wkOD7IG-k_eo/edit#gid=0"", ""Maths!M:N""), 2, FALSE)"),"#N/A")</f>
        <v>#N/A</v>
      </c>
      <c r="U55" s="11">
        <f ca="1">IFERROR(__xludf.DUMMYFUNCTION("ArrayFormula(VLOOKUP(G55, IMPORTRANGE(""https://docs.google.com/spreadsheets/d/1p7R4vtkWt5VOBim4ltsDG9KTzSjrtKXsMtQGXPHyND0/edit#gid=795171502"", ""'Filter 30_05_2024'!A1:M2000""), {2, 3, 4, 5,6,7,8,9,10,11,12,13}, 0))"),7)</f>
        <v>7</v>
      </c>
      <c r="V55" s="11">
        <f ca="1">IFERROR(__xludf.DUMMYFUNCTION("""COMPUTED_VALUE"""),8)</f>
        <v>8</v>
      </c>
      <c r="W55" s="11">
        <f ca="1">IFERROR(__xludf.DUMMYFUNCTION("""COMPUTED_VALUE"""),2)</f>
        <v>2</v>
      </c>
      <c r="X55" s="11">
        <f ca="1">IFERROR(__xludf.DUMMYFUNCTION("""COMPUTED_VALUE"""),17)</f>
        <v>17</v>
      </c>
      <c r="Y55" s="11">
        <f ca="1">IFERROR(__xludf.DUMMYFUNCTION("""COMPUTED_VALUE"""),3)</f>
        <v>3</v>
      </c>
      <c r="Z55" s="12">
        <f ca="1">IFERROR(__xludf.DUMMYFUNCTION("""COMPUTED_VALUE"""),6)</f>
        <v>6</v>
      </c>
      <c r="AA55" s="12">
        <f ca="1">IFERROR(__xludf.DUMMYFUNCTION("""COMPUTED_VALUE"""),1)</f>
        <v>1</v>
      </c>
      <c r="AB55" s="12">
        <f ca="1">IFERROR(__xludf.DUMMYFUNCTION("""COMPUTED_VALUE"""),10)</f>
        <v>10</v>
      </c>
      <c r="AC55" s="12"/>
      <c r="AD55" s="12"/>
      <c r="AE55" s="12"/>
      <c r="AF55" s="12"/>
      <c r="AG55" s="13" t="str">
        <f ca="1">IFERROR(__xludf.DUMMYFUNCTION("ArrayFormula(VLOOKUP(G55, IMPORTRANGE(""https://docs.google.com/spreadsheets/d/1Co934fvtviyaRiMsrIlT05Jaq7iiYq07aLvRr35KA48/edit?gid=173865642#gid=173865642"", ""'G7_Maths_Pri_LU'!G2:V2000""), {3, 4, 5, 6, 7, 8, 9, 10, 11, 12, 13, 14, 15, 16}, 0))"),"LU000316")</f>
        <v>LU000316</v>
      </c>
      <c r="AH55" s="13" t="str">
        <f ca="1">IFERROR(__xludf.DUMMYFUNCTION("""COMPUTED_VALUE"""),"Definition of bar graph")</f>
        <v>Definition of bar graph</v>
      </c>
      <c r="AI55" s="13" t="str">
        <f ca="1">IFERROR(__xludf.DUMMYFUNCTION("""COMPUTED_VALUE"""),"LU000400")</f>
        <v>LU000400</v>
      </c>
      <c r="AJ55" s="13" t="str">
        <f ca="1">IFERROR(__xludf.DUMMYFUNCTION("""COMPUTED_VALUE"""),"Definition of frequency in data")</f>
        <v>Definition of frequency in data</v>
      </c>
      <c r="AK55" s="13"/>
      <c r="AL55" s="13"/>
      <c r="AM55" s="13"/>
      <c r="AN55" s="13"/>
      <c r="AO55" s="13"/>
      <c r="AP55" s="13"/>
      <c r="AQ55" s="13"/>
      <c r="AR55" s="13"/>
      <c r="AS55" s="13"/>
      <c r="AT55" s="13"/>
    </row>
    <row r="56" spans="1:46">
      <c r="A56" s="8" t="s">
        <v>247</v>
      </c>
      <c r="B56" s="8" t="s">
        <v>47</v>
      </c>
      <c r="C56" s="8" t="s">
        <v>416</v>
      </c>
      <c r="D56" s="8" t="s">
        <v>49</v>
      </c>
      <c r="E56" s="8" t="s">
        <v>385</v>
      </c>
      <c r="F56" s="8" t="s">
        <v>493</v>
      </c>
      <c r="G56" s="8" t="s">
        <v>123</v>
      </c>
      <c r="H56" s="8" t="str">
        <f ca="1">IFERROR(__xludf.DUMMYFUNCTION("VLOOKUP(G56, IMPORTRANGE(""https://docs.google.com/spreadsheets/d/14deopnvwcrKtEGCKuYXdUHJbeLDZlkiSSWWT0g7x2pM/edit#gid=999382323"", ""LU List Maths (Filter)!A:B""), 2, FALSE)"),"Construction of bar graphs (horizontal and vertical)")</f>
        <v>Construction of bar graphs (horizontal and vertical)</v>
      </c>
      <c r="I56" s="10" t="str">
        <f t="shared" si="0"/>
        <v>LU000318.001</v>
      </c>
      <c r="J56" s="10" t="str">
        <f ca="1">IFERROR(__xludf.DUMMYFUNCTION("VLOOKUP(I56, IMPORTRANGE(""https://docs.google.com/spreadsheets/d/1yDAaXNsi4Mr5FtRQL4tbmSdIzhx6_m4wkOD7IG-k_eo/edit#gid=0"", ""Maths!M:N""), 2, FALSE)"),"State the essential steps involved in creating a bar graph.")</f>
        <v>State the essential steps involved in creating a bar graph.</v>
      </c>
      <c r="K56" s="10" t="str">
        <f t="shared" si="1"/>
        <v>LU000318.002</v>
      </c>
      <c r="L56" s="10" t="str">
        <f ca="1">IFERROR(__xludf.DUMMYFUNCTION("VLOOKUP(K56, IMPORTRANGE(""https://docs.google.com/spreadsheets/d/1yDAaXNsi4Mr5FtRQL4tbmSdIzhx6_m4wkOD7IG-k_eo/edit#gid=0"", ""Maths!M:N""), 2, FALSE)"),"Describe how a bar graph is constructed by organizing data into categories, establishing a scale on the vertical/horizontal axis and using vertical/horizontal bars to visually represent quantities.")</f>
        <v>Describe how a bar graph is constructed by organizing data into categories, establishing a scale on the vertical/horizontal axis and using vertical/horizontal bars to visually represent quantities.</v>
      </c>
      <c r="M56" s="10" t="str">
        <f t="shared" si="2"/>
        <v>LU000318.003</v>
      </c>
      <c r="N56" s="10" t="str">
        <f ca="1">IFERROR(__xludf.DUMMYFUNCTION("VLOOKUP(M56, IMPORTRANGE(""https://docs.google.com/spreadsheets/d/1yDAaXNsi4Mr5FtRQL4tbmSdIzhx6_m4wkOD7IG-k_eo/edit#gid=0"", ""Maths!M:N""), 2, FALSE)"),"Create a bar graph based on given data, accurately selecting categories, scaling the axes and drawing bars.")</f>
        <v>Create a bar graph based on given data, accurately selecting categories, scaling the axes and drawing bars.</v>
      </c>
      <c r="O56" s="10" t="str">
        <f t="shared" si="3"/>
        <v>LU000318.004</v>
      </c>
      <c r="P56" s="10" t="str">
        <f ca="1">IFERROR(__xludf.DUMMYFUNCTION("VLOOKUP(O56, IMPORTRANGE(""https://docs.google.com/spreadsheets/d/1yDAaXNsi4Mr5FtRQL4tbmSdIzhx6_m4wkOD7IG-k_eo/edit#gid=0"", ""Maths!M:N""), 2, FALSE)"),"Analyse the appropriateness of the chosen scale on the vertical axis for a given dataset.")</f>
        <v>Analyse the appropriateness of the chosen scale on the vertical axis for a given dataset.</v>
      </c>
      <c r="Q56" s="10" t="str">
        <f t="shared" si="4"/>
        <v>LU000318.005</v>
      </c>
      <c r="R56" s="10" t="str">
        <f ca="1">IFERROR(__xludf.DUMMYFUNCTION("VLOOKUP(Q56, IMPORTRANGE(""https://docs.google.com/spreadsheets/d/1yDAaXNsi4Mr5FtRQL4tbmSdIzhx6_m4wkOD7IG-k_eo/edit#gid=0"", ""Maths!M:N""), 2, FALSE)"),"Evaluate the effectiveness of constructed bar graphs, assessing the accuracy of their bar lengths, the appropriateness of their scale and the overall clarity of the representation.")</f>
        <v>Evaluate the effectiveness of constructed bar graphs, assessing the accuracy of their bar lengths, the appropriateness of their scale and the overall clarity of the representation.</v>
      </c>
      <c r="S56" s="10" t="str">
        <f t="shared" si="5"/>
        <v>LU000318.006</v>
      </c>
      <c r="T56" s="10" t="str">
        <f ca="1">IFERROR(__xludf.DUMMYFUNCTION("VLOOKUP(S56, IMPORTRANGE(""https://docs.google.com/spreadsheets/d/1yDAaXNsi4Mr5FtRQL4tbmSdIzhx6_m4wkOD7IG-k_eo/edit#gid=0"", ""Maths!M:N""), 2, FALSE)"),"Develop a dataset related to day to day activities and create a well-structured bar graph that effectively communicates the data's message, using thoughtful choices for categories and scales.")</f>
        <v>Develop a dataset related to day to day activities and create a well-structured bar graph that effectively communicates the data's message, using thoughtful choices for categories and scales.</v>
      </c>
      <c r="U56" s="11">
        <f ca="1">IFERROR(__xludf.DUMMYFUNCTION("ArrayFormula(VLOOKUP(G56, IMPORTRANGE(""https://docs.google.com/spreadsheets/d/1p7R4vtkWt5VOBim4ltsDG9KTzSjrtKXsMtQGXPHyND0/edit#gid=795171502"", ""'Filter 30_05_2024'!A1:M2000""), {2, 3, 4, 5,6,7,8,9,10,11,12,13}, 0))"),4)</f>
        <v>4</v>
      </c>
      <c r="V56" s="11">
        <f ca="1">IFERROR(__xludf.DUMMYFUNCTION("""COMPUTED_VALUE"""),18)</f>
        <v>18</v>
      </c>
      <c r="W56" s="11">
        <f ca="1">IFERROR(__xludf.DUMMYFUNCTION("""COMPUTED_VALUE"""),2)</f>
        <v>2</v>
      </c>
      <c r="X56" s="11">
        <f ca="1">IFERROR(__xludf.DUMMYFUNCTION("""COMPUTED_VALUE"""),24)</f>
        <v>24</v>
      </c>
      <c r="Y56" s="11">
        <f ca="1">IFERROR(__xludf.DUMMYFUNCTION("""COMPUTED_VALUE"""),4)</f>
        <v>4</v>
      </c>
      <c r="Z56" s="12">
        <f ca="1">IFERROR(__xludf.DUMMYFUNCTION("""COMPUTED_VALUE"""),9)</f>
        <v>9</v>
      </c>
      <c r="AA56" s="12">
        <f ca="1">IFERROR(__xludf.DUMMYFUNCTION("""COMPUTED_VALUE"""),1)</f>
        <v>1</v>
      </c>
      <c r="AB56" s="12">
        <f ca="1">IFERROR(__xludf.DUMMYFUNCTION("""COMPUTED_VALUE"""),14)</f>
        <v>14</v>
      </c>
      <c r="AC56" s="12"/>
      <c r="AD56" s="12"/>
      <c r="AE56" s="12"/>
      <c r="AF56" s="12"/>
      <c r="AG56" s="13" t="str">
        <f ca="1">IFERROR(__xludf.DUMMYFUNCTION("ArrayFormula(VLOOKUP(G56, IMPORTRANGE(""https://docs.google.com/spreadsheets/d/1Co934fvtviyaRiMsrIlT05Jaq7iiYq07aLvRr35KA48/edit?gid=173865642#gid=173865642"", ""'G7_Maths_Pri_LU'!G2:V2000""), {3, 4, 5, 6, 7, 8, 9, 10, 11, 12, 13, 14, 15, 16}, 0))"),"LU000311")</f>
        <v>LU000311</v>
      </c>
      <c r="AH56" s="13" t="str">
        <f ca="1">IFERROR(__xludf.DUMMYFUNCTION("""COMPUTED_VALUE"""),"Interpretation of tally chart")</f>
        <v>Interpretation of tally chart</v>
      </c>
      <c r="AI56" s="13" t="str">
        <f ca="1">IFERROR(__xludf.DUMMYFUNCTION("""COMPUTED_VALUE"""),"LU000316")</f>
        <v>LU000316</v>
      </c>
      <c r="AJ56" s="13" t="str">
        <f ca="1">IFERROR(__xludf.DUMMYFUNCTION("""COMPUTED_VALUE"""),"Definition of bar graph")</f>
        <v>Definition of bar graph</v>
      </c>
      <c r="AK56" s="13" t="str">
        <f ca="1">IFERROR(__xludf.DUMMYFUNCTION("""COMPUTED_VALUE"""),"LU000400")</f>
        <v>LU000400</v>
      </c>
      <c r="AL56" s="13" t="str">
        <f ca="1">IFERROR(__xludf.DUMMYFUNCTION("""COMPUTED_VALUE"""),"Definition of frequency in data")</f>
        <v>Definition of frequency in data</v>
      </c>
      <c r="AM56" s="13"/>
      <c r="AN56" s="13"/>
      <c r="AO56" s="13"/>
      <c r="AP56" s="13"/>
      <c r="AQ56" s="13"/>
      <c r="AR56" s="13"/>
      <c r="AS56" s="13"/>
      <c r="AT56" s="13"/>
    </row>
    <row r="57" spans="1:46">
      <c r="A57" s="8" t="s">
        <v>247</v>
      </c>
      <c r="B57" s="8" t="s">
        <v>47</v>
      </c>
      <c r="C57" s="8" t="s">
        <v>416</v>
      </c>
      <c r="D57" s="8" t="s">
        <v>49</v>
      </c>
      <c r="E57" s="8" t="s">
        <v>385</v>
      </c>
      <c r="F57" s="8" t="s">
        <v>494</v>
      </c>
      <c r="G57" s="8" t="s">
        <v>495</v>
      </c>
      <c r="H57" s="8" t="str">
        <f ca="1">IFERROR(__xludf.DUMMYFUNCTION("VLOOKUP(G57, IMPORTRANGE(""https://docs.google.com/spreadsheets/d/14deopnvwcrKtEGCKuYXdUHJbeLDZlkiSSWWT0g7x2pM/edit#gid=999382323"", ""LU List Maths (Filter)!A:B""), 2, FALSE)"),"Definition of double bar graph")</f>
        <v>Definition of double bar graph</v>
      </c>
      <c r="I57" s="10" t="str">
        <f t="shared" si="0"/>
        <v>LU000390.001</v>
      </c>
      <c r="J57" s="10" t="str">
        <f ca="1">IFERROR(__xludf.DUMMYFUNCTION("VLOOKUP(I57, IMPORTRANGE(""https://docs.google.com/spreadsheets/d/1yDAaXNsi4Mr5FtRQL4tbmSdIzhx6_m4wkOD7IG-k_eo/edit#gid=0"", ""Maths!M:N""), 2, FALSE)"),"State the definition of a double bar graph and explain its use in visually comparing two sets of data.")</f>
        <v>State the definition of a double bar graph and explain its use in visually comparing two sets of data.</v>
      </c>
      <c r="K57" s="10" t="str">
        <f t="shared" si="1"/>
        <v>LU000390.002</v>
      </c>
      <c r="L57" s="10" t="str">
        <f ca="1">IFERROR(__xludf.DUMMYFUNCTION("VLOOKUP(K57, IMPORTRANGE(""https://docs.google.com/spreadsheets/d/1yDAaXNsi4Mr5FtRQL4tbmSdIzhx6_m4wkOD7IG-k_eo/edit#gid=0"", ""Maths!M:N""), 2, FALSE)"),"Explain the concept of a double bar graph and the arrangement of bars to represent two sets of data.")</f>
        <v>Explain the concept of a double bar graph and the arrangement of bars to represent two sets of data.</v>
      </c>
      <c r="M57" s="10" t="str">
        <f t="shared" si="2"/>
        <v>LU000390.003</v>
      </c>
      <c r="N57" s="10" t="str">
        <f ca="1">IFERROR(__xludf.DUMMYFUNCTION("VLOOKUP(M57, IMPORTRANGE(""https://docs.google.com/spreadsheets/d/1yDAaXNsi4Mr5FtRQL4tbmSdIzhx6_m4wkOD7IG-k_eo/edit#gid=0"", ""Maths!M:N""), 2, FALSE)"),"Apply the knowledge of a double bar graph to create one based on given data sets.")</f>
        <v>Apply the knowledge of a double bar graph to create one based on given data sets.</v>
      </c>
      <c r="O57" s="10" t="str">
        <f t="shared" si="3"/>
        <v>LU000390.004</v>
      </c>
      <c r="P57" s="10" t="str">
        <f ca="1">IFERROR(__xludf.DUMMYFUNCTION("VLOOKUP(O57, IMPORTRANGE(""https://docs.google.com/spreadsheets/d/1yDAaXNsi4Mr5FtRQL4tbmSdIzhx6_m4wkOD7IG-k_eo/edit#gid=0"", ""Maths!M:N""), 2, FALSE)"),"Analyse different double bar graphs and interpret the comparison of two sets of data they represent.")</f>
        <v>Analyse different double bar graphs and interpret the comparison of two sets of data they represent.</v>
      </c>
      <c r="Q57" s="10" t="str">
        <f t="shared" si="4"/>
        <v>LU000390.005</v>
      </c>
      <c r="R57" s="10" t="str">
        <f ca="1">IFERROR(__xludf.DUMMYFUNCTION("VLOOKUP(Q57, IMPORTRANGE(""https://docs.google.com/spreadsheets/d/1yDAaXNsi4Mr5FtRQL4tbmSdIzhx6_m4wkOD7IG-k_eo/edit#gid=0"", ""Maths!M:N""), 2, FALSE)"),"Assess whether a given double bar graph accurately and clearly represents the differences between two sets of data.")</f>
        <v>Assess whether a given double bar graph accurately and clearly represents the differences between two sets of data.</v>
      </c>
      <c r="S57" s="10" t="str">
        <f t="shared" si="5"/>
        <v>LU000390.006</v>
      </c>
      <c r="T57" s="10" t="str">
        <f ca="1">IFERROR(__xludf.DUMMYFUNCTION("VLOOKUP(S57, IMPORTRANGE(""https://docs.google.com/spreadsheets/d/1yDAaXNsi4Mr5FtRQL4tbmSdIzhx6_m4wkOD7IG-k_eo/edit#gid=0"", ""Maths!M:N""), 2, FALSE)"),"Design a scenario where two sets of data need to be compared and create a double bar graph to effectively visualise the comparison.")</f>
        <v>Design a scenario where two sets of data need to be compared and create a double bar graph to effectively visualise the comparison.</v>
      </c>
      <c r="U57" s="11">
        <f ca="1">IFERROR(__xludf.DUMMYFUNCTION("ArrayFormula(VLOOKUP(G57, IMPORTRANGE(""https://docs.google.com/spreadsheets/d/1p7R4vtkWt5VOBim4ltsDG9KTzSjrtKXsMtQGXPHyND0/edit#gid=795171502"", ""'Filter 30_05_2024'!A1:M2000""), {2, 3, 4, 5,6,7,8,9,10,11,12,13}, 0))"),4)</f>
        <v>4</v>
      </c>
      <c r="V57" s="11">
        <f ca="1">IFERROR(__xludf.DUMMYFUNCTION("""COMPUTED_VALUE"""),6)</f>
        <v>6</v>
      </c>
      <c r="W57" s="11">
        <f ca="1">IFERROR(__xludf.DUMMYFUNCTION("""COMPUTED_VALUE"""),2)</f>
        <v>2</v>
      </c>
      <c r="X57" s="11">
        <f ca="1">IFERROR(__xludf.DUMMYFUNCTION("""COMPUTED_VALUE"""),12)</f>
        <v>12</v>
      </c>
      <c r="Y57" s="11">
        <f ca="1">IFERROR(__xludf.DUMMYFUNCTION("""COMPUTED_VALUE"""),4)</f>
        <v>4</v>
      </c>
      <c r="Z57" s="12">
        <f ca="1">IFERROR(__xludf.DUMMYFUNCTION("""COMPUTED_VALUE"""),3)</f>
        <v>3</v>
      </c>
      <c r="AA57" s="12">
        <f ca="1">IFERROR(__xludf.DUMMYFUNCTION("""COMPUTED_VALUE"""),1)</f>
        <v>1</v>
      </c>
      <c r="AB57" s="12">
        <f ca="1">IFERROR(__xludf.DUMMYFUNCTION("""COMPUTED_VALUE"""),8)</f>
        <v>8</v>
      </c>
      <c r="AC57" s="12"/>
      <c r="AD57" s="12"/>
      <c r="AE57" s="12"/>
      <c r="AF57" s="12"/>
      <c r="AG57" s="13" t="str">
        <f ca="1">IFERROR(__xludf.DUMMYFUNCTION("ArrayFormula(VLOOKUP(G57, IMPORTRANGE(""https://docs.google.com/spreadsheets/d/1Co934fvtviyaRiMsrIlT05Jaq7iiYq07aLvRr35KA48/edit?gid=173865642#gid=173865642"", ""'G7_Maths_Pri_LU'!G2:V2000""), {3, 4, 5, 6, 7, 8, 9, 10, 11, 12, 13, 14, 15, 16}, 0))"),"LU000316")</f>
        <v>LU000316</v>
      </c>
      <c r="AH57" s="13" t="str">
        <f ca="1">IFERROR(__xludf.DUMMYFUNCTION("""COMPUTED_VALUE"""),"Definition of bar graph")</f>
        <v>Definition of bar graph</v>
      </c>
      <c r="AI57" s="13" t="str">
        <f ca="1">IFERROR(__xludf.DUMMYFUNCTION("""COMPUTED_VALUE"""),"LU000313")</f>
        <v>LU000313</v>
      </c>
      <c r="AJ57" s="13" t="str">
        <f ca="1">IFERROR(__xludf.DUMMYFUNCTION("""COMPUTED_VALUE"""),"Definition of pictograph")</f>
        <v>Definition of pictograph</v>
      </c>
      <c r="AK57" s="13" t="str">
        <f ca="1">IFERROR(__xludf.DUMMYFUNCTION("""COMPUTED_VALUE"""),"LU000310")</f>
        <v>LU000310</v>
      </c>
      <c r="AL57" s="13" t="str">
        <f ca="1">IFERROR(__xludf.DUMMYFUNCTION("""COMPUTED_VALUE"""),"Definition of tally chart")</f>
        <v>Definition of tally chart</v>
      </c>
      <c r="AM57" s="13" t="str">
        <f ca="1">IFERROR(__xludf.DUMMYFUNCTION("""COMPUTED_VALUE"""),"LU000400")</f>
        <v>LU000400</v>
      </c>
      <c r="AN57" s="13" t="str">
        <f ca="1">IFERROR(__xludf.DUMMYFUNCTION("""COMPUTED_VALUE"""),"Definition of frequency in data")</f>
        <v>Definition of frequency in data</v>
      </c>
      <c r="AO57" s="13"/>
      <c r="AP57" s="13"/>
      <c r="AQ57" s="13"/>
      <c r="AR57" s="13"/>
      <c r="AS57" s="13"/>
      <c r="AT57" s="13"/>
    </row>
    <row r="58" spans="1:46">
      <c r="A58" s="8" t="s">
        <v>247</v>
      </c>
      <c r="B58" s="8" t="s">
        <v>47</v>
      </c>
      <c r="C58" s="8" t="s">
        <v>416</v>
      </c>
      <c r="D58" s="8" t="s">
        <v>49</v>
      </c>
      <c r="E58" s="8" t="s">
        <v>385</v>
      </c>
      <c r="F58" s="8" t="s">
        <v>494</v>
      </c>
      <c r="G58" s="8" t="s">
        <v>496</v>
      </c>
      <c r="H58" s="8" t="str">
        <f ca="1">IFERROR(__xludf.DUMMYFUNCTION("VLOOKUP(G58, IMPORTRANGE(""https://docs.google.com/spreadsheets/d/14deopnvwcrKtEGCKuYXdUHJbeLDZlkiSSWWT0g7x2pM/edit#gid=999382323"", ""LU List Maths (Filter)!A:B""), 2, FALSE)"),"Interpretation of a double bar graph")</f>
        <v>Interpretation of a double bar graph</v>
      </c>
      <c r="I58" s="10" t="str">
        <f t="shared" si="0"/>
        <v>LU000391.001</v>
      </c>
      <c r="J58" s="10" t="str">
        <f ca="1">IFERROR(__xludf.DUMMYFUNCTION("VLOOKUP(I58, IMPORTRANGE(""https://docs.google.com/spreadsheets/d/1yDAaXNsi4Mr5FtRQL4tbmSdIzhx6_m4wkOD7IG-k_eo/edit#gid=0"", ""Maths!M:N""), 2, FALSE)"),"List the components of a double bar graph, such as the axes, labels and bars, and explain their roles.")</f>
        <v>List the components of a double bar graph, such as the axes, labels and bars, and explain their roles.</v>
      </c>
      <c r="K58" s="10" t="str">
        <f t="shared" si="1"/>
        <v>LU000391.002</v>
      </c>
      <c r="L58" s="10" t="str">
        <f ca="1">IFERROR(__xludf.DUMMYFUNCTION("VLOOKUP(K58, IMPORTRANGE(""https://docs.google.com/spreadsheets/d/1yDAaXNsi4Mr5FtRQL4tbmSdIzhx6_m4wkOD7IG-k_eo/edit#gid=0"", ""Maths!M:N""), 2, FALSE)"),"Explain the process of interpreting a double bar graph and understanding how it visually compares two sets of data.")</f>
        <v>Explain the process of interpreting a double bar graph and understanding how it visually compares two sets of data.</v>
      </c>
      <c r="M58" s="10" t="str">
        <f t="shared" si="2"/>
        <v>LU000391.003</v>
      </c>
      <c r="N58" s="10" t="str">
        <f ca="1">IFERROR(__xludf.DUMMYFUNCTION("VLOOKUP(M58, IMPORTRANGE(""https://docs.google.com/spreadsheets/d/1yDAaXNsi4Mr5FtRQL4tbmSdIzhx6_m4wkOD7IG-k_eo/edit#gid=0"", ""Maths!M:N""), 2, FALSE)"),"Apply the knowledge of interpreting double bar graphs to answer questions related to the comparison of two sets of data.")</f>
        <v>Apply the knowledge of interpreting double bar graphs to answer questions related to the comparison of two sets of data.</v>
      </c>
      <c r="O58" s="10" t="str">
        <f t="shared" si="3"/>
        <v>LU000391.004</v>
      </c>
      <c r="P58" s="10" t="str">
        <f ca="1">IFERROR(__xludf.DUMMYFUNCTION("VLOOKUP(O58, IMPORTRANGE(""https://docs.google.com/spreadsheets/d/1yDAaXNsi4Mr5FtRQL4tbmSdIzhx6_m4wkOD7IG-k_eo/edit#gid=0"", ""Maths!M:N""), 2, FALSE)"),"Analyse different double bar graphs and infer trends, differences, and relationships between two sets of data.")</f>
        <v>Analyse different double bar graphs and infer trends, differences, and relationships between two sets of data.</v>
      </c>
      <c r="Q58" s="10" t="str">
        <f t="shared" si="4"/>
        <v>LU000391.005</v>
      </c>
      <c r="R58" s="10" t="str">
        <f ca="1">IFERROR(__xludf.DUMMYFUNCTION("VLOOKUP(Q58, IMPORTRANGE(""https://docs.google.com/spreadsheets/d/1yDAaXNsi4Mr5FtRQL4tbmSdIzhx6_m4wkOD7IG-k_eo/edit#gid=0"", ""Maths!M:N""), 2, FALSE)"),"Evaluate the accuracy of interpretations made from a double bar graph and identify potential sources of misinterpretation.")</f>
        <v>Evaluate the accuracy of interpretations made from a double bar graph and identify potential sources of misinterpretation.</v>
      </c>
      <c r="S58" s="10" t="str">
        <f t="shared" si="5"/>
        <v>LU000391.006</v>
      </c>
      <c r="T58" s="10" t="str">
        <f ca="1">IFERROR(__xludf.DUMMYFUNCTION("VLOOKUP(S58, IMPORTRANGE(""https://docs.google.com/spreadsheets/d/1yDAaXNsi4Mr5FtRQL4tbmSdIzhx6_m4wkOD7IG-k_eo/edit#gid=0"", ""Maths!M:N""), 2, FALSE)"),"Design a set of questions that requires to interpret a given double bar graph and draw meaningful conclusions about the compared data sets.")</f>
        <v>Design a set of questions that requires to interpret a given double bar graph and draw meaningful conclusions about the compared data sets.</v>
      </c>
      <c r="U58" s="11">
        <f ca="1">IFERROR(__xludf.DUMMYFUNCTION("ArrayFormula(VLOOKUP(G58, IMPORTRANGE(""https://docs.google.com/spreadsheets/d/1p7R4vtkWt5VOBim4ltsDG9KTzSjrtKXsMtQGXPHyND0/edit#gid=795171502"", ""'Filter 30_05_2024'!A1:M2000""), {2, 3, 4, 5,6,7,8,9,10,11,12,13}, 0))"),4)</f>
        <v>4</v>
      </c>
      <c r="V58" s="11">
        <f ca="1">IFERROR(__xludf.DUMMYFUNCTION("""COMPUTED_VALUE"""),6)</f>
        <v>6</v>
      </c>
      <c r="W58" s="11">
        <f ca="1">IFERROR(__xludf.DUMMYFUNCTION("""COMPUTED_VALUE"""),2)</f>
        <v>2</v>
      </c>
      <c r="X58" s="11">
        <f ca="1">IFERROR(__xludf.DUMMYFUNCTION("""COMPUTED_VALUE"""),12)</f>
        <v>12</v>
      </c>
      <c r="Y58" s="11">
        <f ca="1">IFERROR(__xludf.DUMMYFUNCTION("""COMPUTED_VALUE"""),4)</f>
        <v>4</v>
      </c>
      <c r="Z58" s="12">
        <f ca="1">IFERROR(__xludf.DUMMYFUNCTION("""COMPUTED_VALUE"""),6)</f>
        <v>6</v>
      </c>
      <c r="AA58" s="12">
        <f ca="1">IFERROR(__xludf.DUMMYFUNCTION("""COMPUTED_VALUE"""),1)</f>
        <v>1</v>
      </c>
      <c r="AB58" s="12">
        <f ca="1">IFERROR(__xludf.DUMMYFUNCTION("""COMPUTED_VALUE"""),11)</f>
        <v>11</v>
      </c>
      <c r="AC58" s="12"/>
      <c r="AD58" s="12"/>
      <c r="AE58" s="12"/>
      <c r="AF58" s="12"/>
      <c r="AG58" s="13" t="str">
        <f ca="1">IFERROR(__xludf.DUMMYFUNCTION("ArrayFormula(VLOOKUP(G58, IMPORTRANGE(""https://docs.google.com/spreadsheets/d/1Co934fvtviyaRiMsrIlT05Jaq7iiYq07aLvRr35KA48/edit?gid=173865642#gid=173865642"", ""'G7_Maths_Pri_LU'!G2:V2000""), {3, 4, 5, 6, 7, 8, 9, 10, 11, 12, 13, 14, 15, 16}, 0))"),"LU000390")</f>
        <v>LU000390</v>
      </c>
      <c r="AH58" s="13" t="str">
        <f ca="1">IFERROR(__xludf.DUMMYFUNCTION("""COMPUTED_VALUE"""),"Definition of double bar graph")</f>
        <v>Definition of double bar graph</v>
      </c>
      <c r="AI58" s="13" t="str">
        <f ca="1">IFERROR(__xludf.DUMMYFUNCTION("""COMPUTED_VALUE"""),"LU000317")</f>
        <v>LU000317</v>
      </c>
      <c r="AJ58" s="13" t="str">
        <f ca="1">IFERROR(__xludf.DUMMYFUNCTION("""COMPUTED_VALUE"""),"Interpretation of bar graphs (horizontal and vertical)")</f>
        <v>Interpretation of bar graphs (horizontal and vertical)</v>
      </c>
      <c r="AK58" s="13" t="str">
        <f ca="1">IFERROR(__xludf.DUMMYFUNCTION("""COMPUTED_VALUE"""),"LU000316")</f>
        <v>LU000316</v>
      </c>
      <c r="AL58" s="13" t="str">
        <f ca="1">IFERROR(__xludf.DUMMYFUNCTION("""COMPUTED_VALUE"""),"Definition of bar graph")</f>
        <v>Definition of bar graph</v>
      </c>
      <c r="AM58" s="13" t="str">
        <f ca="1">IFERROR(__xludf.DUMMYFUNCTION("""COMPUTED_VALUE"""),"LU000400")</f>
        <v>LU000400</v>
      </c>
      <c r="AN58" s="13" t="str">
        <f ca="1">IFERROR(__xludf.DUMMYFUNCTION("""COMPUTED_VALUE"""),"Definition of frequency in data")</f>
        <v>Definition of frequency in data</v>
      </c>
      <c r="AO58" s="13" t="str">
        <f ca="1">IFERROR(__xludf.DUMMYFUNCTION("""COMPUTED_VALUE"""),"LU000309")</f>
        <v>LU000309</v>
      </c>
      <c r="AP58" s="13" t="str">
        <f ca="1">IFERROR(__xludf.DUMMYFUNCTION("""COMPUTED_VALUE"""),"Organisation of data")</f>
        <v>Organisation of data</v>
      </c>
      <c r="AQ58" s="13"/>
      <c r="AR58" s="13"/>
      <c r="AS58" s="13"/>
      <c r="AT58" s="13"/>
    </row>
    <row r="59" spans="1:46">
      <c r="A59" s="8" t="s">
        <v>247</v>
      </c>
      <c r="B59" s="8" t="s">
        <v>47</v>
      </c>
      <c r="C59" s="8" t="s">
        <v>416</v>
      </c>
      <c r="D59" s="8" t="s">
        <v>49</v>
      </c>
      <c r="E59" s="8" t="s">
        <v>385</v>
      </c>
      <c r="F59" s="8" t="s">
        <v>494</v>
      </c>
      <c r="G59" s="8" t="s">
        <v>497</v>
      </c>
      <c r="H59" s="8" t="str">
        <f ca="1">IFERROR(__xludf.DUMMYFUNCTION("VLOOKUP(G59, IMPORTRANGE(""https://docs.google.com/spreadsheets/d/14deopnvwcrKtEGCKuYXdUHJbeLDZlkiSSWWT0g7x2pM/edit#gid=999382323"", ""LU List Maths (Filter)!A:B""), 2, FALSE)"),"Construction of a double bar graph")</f>
        <v>Construction of a double bar graph</v>
      </c>
      <c r="I59" s="10" t="str">
        <f t="shared" si="0"/>
        <v>LU000392.001</v>
      </c>
      <c r="J59" s="10" t="str">
        <f ca="1">IFERROR(__xludf.DUMMYFUNCTION("VLOOKUP(I59, IMPORTRANGE(""https://docs.google.com/spreadsheets/d/1yDAaXNsi4Mr5FtRQL4tbmSdIzhx6_m4wkOD7IG-k_eo/edit#gid=0"", ""Maths!M:N""), 2, FALSE)"),"List the steps required to create a double bar graph, including labeling axes, plotting data points, and creating bars.")</f>
        <v>List the steps required to create a double bar graph, including labeling axes, plotting data points, and creating bars.</v>
      </c>
      <c r="K59" s="10" t="str">
        <f t="shared" si="1"/>
        <v>LU000392.002</v>
      </c>
      <c r="L59" s="10" t="str">
        <f ca="1">IFERROR(__xludf.DUMMYFUNCTION("VLOOKUP(K59, IMPORTRANGE(""https://docs.google.com/spreadsheets/d/1yDAaXNsi4Mr5FtRQL4tbmSdIzhx6_m4wkOD7IG-k_eo/edit#gid=0"", ""Maths!M:N""), 2, FALSE)"),"Explain the concept of constructing a double bar graph and the purpose of arranging bars side by side.")</f>
        <v>Explain the concept of constructing a double bar graph and the purpose of arranging bars side by side.</v>
      </c>
      <c r="M59" s="10" t="str">
        <f t="shared" si="2"/>
        <v>LU000392.003</v>
      </c>
      <c r="N59" s="10" t="str">
        <f ca="1">IFERROR(__xludf.DUMMYFUNCTION("VLOOKUP(M59, IMPORTRANGE(""https://docs.google.com/spreadsheets/d/1yDAaXNsi4Mr5FtRQL4tbmSdIzhx6_m4wkOD7IG-k_eo/edit#gid=0"", ""Maths!M:N""), 2, FALSE)"),"Apply the knowledge of constructing double bar graphs to create one based on given data sets.")</f>
        <v>Apply the knowledge of constructing double bar graphs to create one based on given data sets.</v>
      </c>
      <c r="O59" s="10" t="str">
        <f t="shared" si="3"/>
        <v>LU000392.004</v>
      </c>
      <c r="P59" s="10" t="str">
        <f ca="1">IFERROR(__xludf.DUMMYFUNCTION("VLOOKUP(O59, IMPORTRANGE(""https://docs.google.com/spreadsheets/d/1yDAaXNsi4Mr5FtRQL4tbmSdIzhx6_m4wkOD7IG-k_eo/edit#gid=0"", ""Maths!M:N""), 2, FALSE)"),"Analyse different double bar graphs and determine how effectively they communicate the comparison between two sets of data.")</f>
        <v>Analyse different double bar graphs and determine how effectively they communicate the comparison between two sets of data.</v>
      </c>
      <c r="Q59" s="10" t="str">
        <f t="shared" si="4"/>
        <v>LU000392.005</v>
      </c>
      <c r="R59" s="10" t="str">
        <f ca="1">IFERROR(__xludf.DUMMYFUNCTION("VLOOKUP(Q59, IMPORTRANGE(""https://docs.google.com/spreadsheets/d/1yDAaXNsi4Mr5FtRQL4tbmSdIzhx6_m4wkOD7IG-k_eo/edit#gid=0"", ""Maths!M:N""), 2, FALSE)"),"Evaluate the construction of a double bar graph in terms of accuracy, labeling, scaling, and clarity.")</f>
        <v>Evaluate the construction of a double bar graph in terms of accuracy, labeling, scaling, and clarity.</v>
      </c>
      <c r="S59" s="10" t="str">
        <f t="shared" si="5"/>
        <v>LU000392.006</v>
      </c>
      <c r="T59" s="10" t="str">
        <f ca="1">IFERROR(__xludf.DUMMYFUNCTION("VLOOKUP(S59, IMPORTRANGE(""https://docs.google.com/spreadsheets/d/1yDAaXNsi4Mr5FtRQL4tbmSdIzhx6_m4wkOD7IG-k_eo/edit#gid=0"", ""Maths!M:N""), 2, FALSE)"),"Design scenarios involving two sets of data that need to be compared, and create a well-constructed double bar graph to visually represent the comparison.")</f>
        <v>Design scenarios involving two sets of data that need to be compared, and create a well-constructed double bar graph to visually represent the comparison.</v>
      </c>
      <c r="U59" s="11">
        <f ca="1">IFERROR(__xludf.DUMMYFUNCTION("ArrayFormula(VLOOKUP(G59, IMPORTRANGE(""https://docs.google.com/spreadsheets/d/1p7R4vtkWt5VOBim4ltsDG9KTzSjrtKXsMtQGXPHyND0/edit#gid=795171502"", ""'Filter 30_05_2024'!A1:M2000""), {2, 3, 4, 5,6,7,8,9,10,11,12,13}, 0))"),4)</f>
        <v>4</v>
      </c>
      <c r="V59" s="11">
        <f ca="1">IFERROR(__xludf.DUMMYFUNCTION("""COMPUTED_VALUE"""),5)</f>
        <v>5</v>
      </c>
      <c r="W59" s="11">
        <f ca="1">IFERROR(__xludf.DUMMYFUNCTION("""COMPUTED_VALUE"""),1)</f>
        <v>1</v>
      </c>
      <c r="X59" s="11">
        <f ca="1">IFERROR(__xludf.DUMMYFUNCTION("""COMPUTED_VALUE"""),10)</f>
        <v>10</v>
      </c>
      <c r="Y59" s="11">
        <f ca="1">IFERROR(__xludf.DUMMYFUNCTION("""COMPUTED_VALUE"""),4)</f>
        <v>4</v>
      </c>
      <c r="Z59" s="12">
        <f ca="1">IFERROR(__xludf.DUMMYFUNCTION("""COMPUTED_VALUE"""),5)</f>
        <v>5</v>
      </c>
      <c r="AA59" s="12">
        <f ca="1">IFERROR(__xludf.DUMMYFUNCTION("""COMPUTED_VALUE"""),1)</f>
        <v>1</v>
      </c>
      <c r="AB59" s="12">
        <f ca="1">IFERROR(__xludf.DUMMYFUNCTION("""COMPUTED_VALUE"""),10)</f>
        <v>10</v>
      </c>
      <c r="AC59" s="12"/>
      <c r="AD59" s="12"/>
      <c r="AE59" s="12"/>
      <c r="AF59" s="12"/>
      <c r="AG59" s="13" t="str">
        <f ca="1">IFERROR(__xludf.DUMMYFUNCTION("ArrayFormula(VLOOKUP(G59, IMPORTRANGE(""https://docs.google.com/spreadsheets/d/1Co934fvtviyaRiMsrIlT05Jaq7iiYq07aLvRr35KA48/edit?gid=173865642#gid=173865642"", ""'G7_Maths_Pri_LU'!G2:V2000""), {3, 4, 5, 6, 7, 8, 9, 10, 11, 12, 13, 14, 15, 16}, 0))"),"LU000390")</f>
        <v>LU000390</v>
      </c>
      <c r="AH59" s="13" t="str">
        <f ca="1">IFERROR(__xludf.DUMMYFUNCTION("""COMPUTED_VALUE"""),"Definition of double bar graph")</f>
        <v>Definition of double bar graph</v>
      </c>
      <c r="AI59" s="13" t="str">
        <f ca="1">IFERROR(__xludf.DUMMYFUNCTION("""COMPUTED_VALUE"""),"LU000318")</f>
        <v>LU000318</v>
      </c>
      <c r="AJ59" s="13" t="str">
        <f ca="1">IFERROR(__xludf.DUMMYFUNCTION("""COMPUTED_VALUE"""),"Construction of bar graphs (horizontal and vertical)")</f>
        <v>Construction of bar graphs (horizontal and vertical)</v>
      </c>
      <c r="AK59" s="13" t="str">
        <f ca="1">IFERROR(__xludf.DUMMYFUNCTION("""COMPUTED_VALUE"""),"LU000316")</f>
        <v>LU000316</v>
      </c>
      <c r="AL59" s="13" t="str">
        <f ca="1">IFERROR(__xludf.DUMMYFUNCTION("""COMPUTED_VALUE"""),"Definition of bar graph")</f>
        <v>Definition of bar graph</v>
      </c>
      <c r="AM59" s="13" t="str">
        <f ca="1">IFERROR(__xludf.DUMMYFUNCTION("""COMPUTED_VALUE"""),"LU000400")</f>
        <v>LU000400</v>
      </c>
      <c r="AN59" s="13" t="str">
        <f ca="1">IFERROR(__xludf.DUMMYFUNCTION("""COMPUTED_VALUE"""),"Definition of frequency in data")</f>
        <v>Definition of frequency in data</v>
      </c>
      <c r="AO59" s="13" t="str">
        <f ca="1">IFERROR(__xludf.DUMMYFUNCTION("""COMPUTED_VALUE"""),"LU000309")</f>
        <v>LU000309</v>
      </c>
      <c r="AP59" s="13" t="str">
        <f ca="1">IFERROR(__xludf.DUMMYFUNCTION("""COMPUTED_VALUE"""),"Organisation of data")</f>
        <v>Organisation of data</v>
      </c>
      <c r="AQ59" s="13"/>
      <c r="AR59" s="13"/>
      <c r="AS59" s="13"/>
      <c r="AT59" s="13"/>
    </row>
    <row r="60" spans="1:46">
      <c r="A60" s="8" t="s">
        <v>247</v>
      </c>
      <c r="B60" s="8" t="s">
        <v>47</v>
      </c>
      <c r="C60" s="8" t="s">
        <v>416</v>
      </c>
      <c r="D60" s="8" t="s">
        <v>49</v>
      </c>
      <c r="E60" s="8" t="s">
        <v>498</v>
      </c>
      <c r="F60" s="8" t="s">
        <v>499</v>
      </c>
      <c r="G60" s="8" t="s">
        <v>500</v>
      </c>
      <c r="H60" s="8" t="str">
        <f ca="1">IFERROR(__xludf.DUMMYFUNCTION("VLOOKUP(G60, IMPORTRANGE(""https://docs.google.com/spreadsheets/d/14deopnvwcrKtEGCKuYXdUHJbeLDZlkiSSWWT0g7x2pM/edit#gid=999382323"", ""LU List Maths (Filter)!A:B""), 2, FALSE)"),"Definition of simple equation")</f>
        <v>Definition of simple equation</v>
      </c>
      <c r="I60" s="10" t="str">
        <f t="shared" si="0"/>
        <v>LU000404.001</v>
      </c>
      <c r="J60" s="10" t="str">
        <f ca="1">IFERROR(__xludf.DUMMYFUNCTION("VLOOKUP(I60, IMPORTRANGE(""https://docs.google.com/spreadsheets/d/1yDAaXNsi4Mr5FtRQL4tbmSdIzhx6_m4wkOD7IG-k_eo/edit#gid=0"", ""Maths!M:N""), 2, FALSE)"),"Define simple equation.")</f>
        <v>Define simple equation.</v>
      </c>
      <c r="K60" s="10" t="str">
        <f t="shared" si="1"/>
        <v>LU000404.002</v>
      </c>
      <c r="L60" s="10" t="str">
        <f ca="1">IFERROR(__xludf.DUMMYFUNCTION("VLOOKUP(K60, IMPORTRANGE(""https://docs.google.com/spreadsheets/d/1yDAaXNsi4Mr5FtRQL4tbmSdIzhx6_m4wkOD7IG-k_eo/edit#gid=0"", ""Maths!M:N""), 2, FALSE)"),"Explain the concept of an simple equation by describing how it represents a mathematical statement with an equal sign, expressing a relationship between quantities.")</f>
        <v>Explain the concept of an simple equation by describing how it represents a mathematical statement with an equal sign, expressing a relationship between quantities.</v>
      </c>
      <c r="M60" s="10" t="str">
        <f t="shared" si="2"/>
        <v>LU000404.003</v>
      </c>
      <c r="N60" s="10" t="str">
        <f ca="1">IFERROR(__xludf.DUMMYFUNCTION("VLOOKUP(M60, IMPORTRANGE(""https://docs.google.com/spreadsheets/d/1yDAaXNsi4Mr5FtRQL4tbmSdIzhx6_m4wkOD7IG-k_eo/edit#gid=0"", ""Maths!M:N""), 2, FALSE)"),"Apply the understanding of simple equations by formulating equations based on real-world scenarios.")</f>
        <v>Apply the understanding of simple equations by formulating equations based on real-world scenarios.</v>
      </c>
      <c r="O60" s="10" t="str">
        <f t="shared" si="3"/>
        <v>LU000404.004</v>
      </c>
      <c r="P60" s="10" t="str">
        <f ca="1">IFERROR(__xludf.DUMMYFUNCTION("VLOOKUP(O60, IMPORTRANGE(""https://docs.google.com/spreadsheets/d/1yDAaXNsi4Mr5FtRQL4tbmSdIzhx6_m4wkOD7IG-k_eo/edit#gid=0"", ""Maths!M:N""), 2, FALSE)"),"Analyse the components of simple equations, breaking down equations into variables, constants, and mathematical operations, to understand their structure.")</f>
        <v>Analyse the components of simple equations, breaking down equations into variables, constants, and mathematical operations, to understand their structure.</v>
      </c>
      <c r="Q60" s="10" t="str">
        <f t="shared" si="4"/>
        <v>LU000404.005</v>
      </c>
      <c r="R60" s="10" t="str">
        <f ca="1">IFERROR(__xludf.DUMMYFUNCTION("VLOOKUP(Q60, IMPORTRANGE(""https://docs.google.com/spreadsheets/d/1yDAaXNsi4Mr5FtRQL4tbmSdIzhx6_m4wkOD7IG-k_eo/edit#gid=0"", ""Maths!M:N""), 2, FALSE)"),"Assess the accuracy of created a simple equations for given problems, providing feedback on the equation formulation.")</f>
        <v>Assess the accuracy of created a simple equations for given problems, providing feedback on the equation formulation.</v>
      </c>
      <c r="S60" s="10" t="str">
        <f t="shared" si="5"/>
        <v>LU000404.006</v>
      </c>
      <c r="T60" s="10" t="str">
        <f ca="1">IFERROR(__xludf.DUMMYFUNCTION("VLOOKUP(S60, IMPORTRANGE(""https://docs.google.com/spreadsheets/d/1yDAaXNsi4Mr5FtRQL4tbmSdIzhx6_m4wkOD7IG-k_eo/edit#gid=0"", ""Maths!M:N""), 2, FALSE)"),"Create a set of word problems and formulate simple equations to represent the problems accurately.")</f>
        <v>Create a set of word problems and formulate simple equations to represent the problems accurately.</v>
      </c>
      <c r="U60" s="11">
        <f ca="1">IFERROR(__xludf.DUMMYFUNCTION("ArrayFormula(VLOOKUP(G60, IMPORTRANGE(""https://docs.google.com/spreadsheets/d/1p7R4vtkWt5VOBim4ltsDG9KTzSjrtKXsMtQGXPHyND0/edit#gid=795171502"", ""'Filter 30_05_2024'!A1:M2000""), {2, 3, 4, 5,6,7,8,9,10,11,12,13}, 0))"),4)</f>
        <v>4</v>
      </c>
      <c r="V60" s="11">
        <f ca="1">IFERROR(__xludf.DUMMYFUNCTION("""COMPUTED_VALUE"""),6)</f>
        <v>6</v>
      </c>
      <c r="W60" s="11">
        <f ca="1">IFERROR(__xludf.DUMMYFUNCTION("""COMPUTED_VALUE"""),2)</f>
        <v>2</v>
      </c>
      <c r="X60" s="11">
        <f ca="1">IFERROR(__xludf.DUMMYFUNCTION("""COMPUTED_VALUE"""),12)</f>
        <v>12</v>
      </c>
      <c r="Y60" s="11">
        <f ca="1">IFERROR(__xludf.DUMMYFUNCTION("""COMPUTED_VALUE"""),4)</f>
        <v>4</v>
      </c>
      <c r="Z60" s="12">
        <f ca="1">IFERROR(__xludf.DUMMYFUNCTION("""COMPUTED_VALUE"""),3)</f>
        <v>3</v>
      </c>
      <c r="AA60" s="12">
        <f ca="1">IFERROR(__xludf.DUMMYFUNCTION("""COMPUTED_VALUE"""),1)</f>
        <v>1</v>
      </c>
      <c r="AB60" s="12">
        <f ca="1">IFERROR(__xludf.DUMMYFUNCTION("""COMPUTED_VALUE"""),8)</f>
        <v>8</v>
      </c>
      <c r="AC60" s="12"/>
      <c r="AD60" s="12"/>
      <c r="AE60" s="12"/>
      <c r="AF60" s="12"/>
      <c r="AG60" s="13" t="str">
        <f ca="1">IFERROR(__xludf.DUMMYFUNCTION("ArrayFormula(VLOOKUP(G60, IMPORTRANGE(""https://docs.google.com/spreadsheets/d/1Co934fvtviyaRiMsrIlT05Jaq7iiYq07aLvRr35KA48/edit?gid=173865642#gid=173865642"", ""'G7_Maths_Pri_LU'!G2:V2000""), {3, 4, 5, 6, 7, 8, 9, 10, 11, 12, 13, 14, 15, 16}, 0))"),"LU000335")</f>
        <v>LU000335</v>
      </c>
      <c r="AH60" s="13" t="str">
        <f ca="1">IFERROR(__xludf.DUMMYFUNCTION("""COMPUTED_VALUE"""),"Definition of an equation")</f>
        <v>Definition of an equation</v>
      </c>
      <c r="AI60" s="13" t="str">
        <f ca="1">IFERROR(__xludf.DUMMYFUNCTION("""COMPUTED_VALUE"""),"LU000935")</f>
        <v>LU000935</v>
      </c>
      <c r="AJ60" s="13" t="str">
        <f ca="1">IFERROR(__xludf.DUMMYFUNCTION("""COMPUTED_VALUE"""),"Definition of algebraic expression")</f>
        <v>Definition of algebraic expression</v>
      </c>
      <c r="AK60" s="13" t="str">
        <f ca="1">IFERROR(__xludf.DUMMYFUNCTION("""COMPUTED_VALUE"""),"LU000330")</f>
        <v>LU000330</v>
      </c>
      <c r="AL60" s="13" t="str">
        <f ca="1">IFERROR(__xludf.DUMMYFUNCTION("""COMPUTED_VALUE"""),"Definition of variable and constant")</f>
        <v>Definition of variable and constant</v>
      </c>
      <c r="AM60" s="13"/>
      <c r="AN60" s="13"/>
      <c r="AO60" s="13"/>
      <c r="AP60" s="13"/>
      <c r="AQ60" s="13"/>
      <c r="AR60" s="13"/>
      <c r="AS60" s="13"/>
      <c r="AT60" s="13"/>
    </row>
    <row r="61" spans="1:46">
      <c r="A61" s="8" t="s">
        <v>247</v>
      </c>
      <c r="B61" s="8" t="s">
        <v>47</v>
      </c>
      <c r="C61" s="8" t="s">
        <v>416</v>
      </c>
      <c r="D61" s="8" t="s">
        <v>49</v>
      </c>
      <c r="E61" s="8" t="s">
        <v>498</v>
      </c>
      <c r="F61" s="8" t="s">
        <v>499</v>
      </c>
      <c r="G61" s="8" t="s">
        <v>501</v>
      </c>
      <c r="H61" s="8" t="str">
        <f ca="1">IFERROR(__xludf.DUMMYFUNCTION("VLOOKUP(G61, IMPORTRANGE(""https://docs.google.com/spreadsheets/d/14deopnvwcrKtEGCKuYXdUHJbeLDZlkiSSWWT0g7x2pM/edit#gid=999382323"", ""LU List Maths (Filter)!A:B""), 2, FALSE)"),"Conversion of statements into simple equations")</f>
        <v>Conversion of statements into simple equations</v>
      </c>
      <c r="I61" s="10" t="str">
        <f t="shared" si="0"/>
        <v>LU000405.001</v>
      </c>
      <c r="J61" s="10" t="str">
        <f ca="1">IFERROR(__xludf.DUMMYFUNCTION("VLOOKUP(I61, IMPORTRANGE(""https://docs.google.com/spreadsheets/d/1yDAaXNsi4Mr5FtRQL4tbmSdIzhx6_m4wkOD7IG-k_eo/edit#gid=0"", ""Maths!M:N""), 2, FALSE)"),"Recall process of converting statements into simple equations.")</f>
        <v>Recall process of converting statements into simple equations.</v>
      </c>
      <c r="K61" s="10" t="str">
        <f t="shared" si="1"/>
        <v>LU000405.002</v>
      </c>
      <c r="L61" s="10" t="str">
        <f ca="1">IFERROR(__xludf.DUMMYFUNCTION("VLOOKUP(K61, IMPORTRANGE(""https://docs.google.com/spreadsheets/d/1yDAaXNsi4Mr5FtRQL4tbmSdIzhx6_m4wkOD7IG-k_eo/edit#gid=0"", ""Maths!M:N""), 2, FALSE)"),"Explain purpose of converting statements into simple equations.")</f>
        <v>Explain purpose of converting statements into simple equations.</v>
      </c>
      <c r="M61" s="10" t="str">
        <f t="shared" si="2"/>
        <v>LU000405.003</v>
      </c>
      <c r="N61" s="10" t="str">
        <f ca="1">IFERROR(__xludf.DUMMYFUNCTION("VLOOKUP(M61, IMPORTRANGE(""https://docs.google.com/spreadsheets/d/1yDAaXNsi4Mr5FtRQL4tbmSdIzhx6_m4wkOD7IG-k_eo/edit#gid=0"", ""Maths!M:N""), 2, FALSE)"),"Express the given statements in simple equations.")</f>
        <v>Express the given statements in simple equations.</v>
      </c>
      <c r="O61" s="10" t="str">
        <f t="shared" si="3"/>
        <v>LU000405.004</v>
      </c>
      <c r="P61" s="10" t="str">
        <f ca="1">IFERROR(__xludf.DUMMYFUNCTION("VLOOKUP(O61, IMPORTRANGE(""https://docs.google.com/spreadsheets/d/1yDAaXNsi4Mr5FtRQL4tbmSdIzhx6_m4wkOD7IG-k_eo/edit#gid=0"", ""Maths!M:N""), 2, FALSE)"),"Analyse the relationship between statements and their corresponding equation form.")</f>
        <v>Analyse the relationship between statements and their corresponding equation form.</v>
      </c>
      <c r="Q61" s="10" t="str">
        <f t="shared" si="4"/>
        <v>LU000405.005</v>
      </c>
      <c r="R61" s="10" t="str">
        <f ca="1">IFERROR(__xludf.DUMMYFUNCTION("VLOOKUP(Q61, IMPORTRANGE(""https://docs.google.com/spreadsheets/d/1yDAaXNsi4Mr5FtRQL4tbmSdIzhx6_m4wkOD7IG-k_eo/edit#gid=0"", ""Maths!M:N""), 2, FALSE)"),"Evaluate the accuracy and clarity of equations converted from statements.")</f>
        <v>Evaluate the accuracy and clarity of equations converted from statements.</v>
      </c>
      <c r="S61" s="10" t="str">
        <f t="shared" si="5"/>
        <v>LU000405.006</v>
      </c>
      <c r="T61" s="10" t="str">
        <f ca="1">IFERROR(__xludf.DUMMYFUNCTION("VLOOKUP(S61, IMPORTRANGE(""https://docs.google.com/spreadsheets/d/1yDAaXNsi4Mr5FtRQL4tbmSdIzhx6_m4wkOD7IG-k_eo/edit#gid=0"", ""Maths!M:N""), 2, FALSE)"),"Create instances showcasing the conversion of statements into simple equations.")</f>
        <v>Create instances showcasing the conversion of statements into simple equations.</v>
      </c>
      <c r="U61" s="11">
        <f ca="1">IFERROR(__xludf.DUMMYFUNCTION("ArrayFormula(VLOOKUP(G61, IMPORTRANGE(""https://docs.google.com/spreadsheets/d/1p7R4vtkWt5VOBim4ltsDG9KTzSjrtKXsMtQGXPHyND0/edit#gid=795171502"", ""'Filter 30_05_2024'!A1:M2000""), {2, 3, 4, 5,6,7,8,9,10,11,12,13}, 0))"),7)</f>
        <v>7</v>
      </c>
      <c r="V61" s="11">
        <f ca="1">IFERROR(__xludf.DUMMYFUNCTION("""COMPUTED_VALUE"""),10)</f>
        <v>10</v>
      </c>
      <c r="W61" s="11">
        <f ca="1">IFERROR(__xludf.DUMMYFUNCTION("""COMPUTED_VALUE"""),2)</f>
        <v>2</v>
      </c>
      <c r="X61" s="11">
        <f ca="1">IFERROR(__xludf.DUMMYFUNCTION("""COMPUTED_VALUE"""),19)</f>
        <v>19</v>
      </c>
      <c r="Y61" s="11">
        <f ca="1">IFERROR(__xludf.DUMMYFUNCTION("""COMPUTED_VALUE"""),7)</f>
        <v>7</v>
      </c>
      <c r="Z61" s="12">
        <f ca="1">IFERROR(__xludf.DUMMYFUNCTION("""COMPUTED_VALUE"""),6)</f>
        <v>6</v>
      </c>
      <c r="AA61" s="12">
        <f ca="1">IFERROR(__xludf.DUMMYFUNCTION("""COMPUTED_VALUE"""),1)</f>
        <v>1</v>
      </c>
      <c r="AB61" s="12">
        <f ca="1">IFERROR(__xludf.DUMMYFUNCTION("""COMPUTED_VALUE"""),14)</f>
        <v>14</v>
      </c>
      <c r="AC61" s="12"/>
      <c r="AD61" s="12"/>
      <c r="AE61" s="12"/>
      <c r="AF61" s="12"/>
      <c r="AG61" s="13" t="str">
        <f ca="1">IFERROR(__xludf.DUMMYFUNCTION("ArrayFormula(VLOOKUP(G61, IMPORTRANGE(""https://docs.google.com/spreadsheets/d/1Co934fvtviyaRiMsrIlT05Jaq7iiYq07aLvRr35KA48/edit?gid=173865642#gid=173865642"", ""'G7_Maths_Pri_LU'!G2:V2000""), {3, 4, 5, 6, 7, 8, 9, 10, 11, 12, 13, 14, 15, 16}, 0))"),"LU000938")</f>
        <v>LU000938</v>
      </c>
      <c r="AH61" s="13" t="str">
        <f ca="1">IFERROR(__xludf.DUMMYFUNCTION("""COMPUTED_VALUE"""),"Generalization of practical situations using variables")</f>
        <v>Generalization of practical situations using variables</v>
      </c>
      <c r="AI61" s="13" t="str">
        <f ca="1">IFERROR(__xludf.DUMMYFUNCTION("""COMPUTED_VALUE"""),"LU000404")</f>
        <v>LU000404</v>
      </c>
      <c r="AJ61" s="13" t="str">
        <f ca="1">IFERROR(__xludf.DUMMYFUNCTION("""COMPUTED_VALUE"""),"Definition of simple equation")</f>
        <v>Definition of simple equation</v>
      </c>
      <c r="AK61" s="13" t="str">
        <f ca="1">IFERROR(__xludf.DUMMYFUNCTION("""COMPUTED_VALUE"""),"LU000330")</f>
        <v>LU000330</v>
      </c>
      <c r="AL61" s="13" t="str">
        <f ca="1">IFERROR(__xludf.DUMMYFUNCTION("""COMPUTED_VALUE"""),"Definition of variable and constant")</f>
        <v>Definition of variable and constant</v>
      </c>
      <c r="AM61" s="13"/>
      <c r="AN61" s="13"/>
      <c r="AO61" s="13"/>
      <c r="AP61" s="13"/>
      <c r="AQ61" s="13"/>
      <c r="AR61" s="13"/>
      <c r="AS61" s="13"/>
      <c r="AT61" s="13"/>
    </row>
    <row r="62" spans="1:46">
      <c r="A62" s="8" t="s">
        <v>247</v>
      </c>
      <c r="B62" s="8" t="s">
        <v>47</v>
      </c>
      <c r="C62" s="8" t="s">
        <v>416</v>
      </c>
      <c r="D62" s="8" t="s">
        <v>49</v>
      </c>
      <c r="E62" s="8" t="s">
        <v>498</v>
      </c>
      <c r="F62" s="8" t="s">
        <v>499</v>
      </c>
      <c r="G62" s="8" t="s">
        <v>502</v>
      </c>
      <c r="H62" s="8" t="str">
        <f ca="1">IFERROR(__xludf.DUMMYFUNCTION("VLOOKUP(G62, IMPORTRANGE(""https://docs.google.com/spreadsheets/d/14deopnvwcrKtEGCKuYXdUHJbeLDZlkiSSWWT0g7x2pM/edit#gid=999382323"", ""LU List Maths (Filter)!A:B""), 2, FALSE)"),"Conversion of simple equations into statements")</f>
        <v>Conversion of simple equations into statements</v>
      </c>
      <c r="I62" s="10" t="str">
        <f t="shared" si="0"/>
        <v>LU000411.001</v>
      </c>
      <c r="J62" s="10" t="str">
        <f ca="1">IFERROR(__xludf.DUMMYFUNCTION("VLOOKUP(I62, IMPORTRANGE(""https://docs.google.com/spreadsheets/d/1yDAaXNsi4Mr5FtRQL4tbmSdIzhx6_m4wkOD7IG-k_eo/edit#gid=0"", ""Maths!M:N""), 2, FALSE)"),"Recall process of converting equations into verbal statements.")</f>
        <v>Recall process of converting equations into verbal statements.</v>
      </c>
      <c r="K62" s="10" t="str">
        <f t="shared" si="1"/>
        <v>LU000411.002</v>
      </c>
      <c r="L62" s="10" t="str">
        <f ca="1">IFERROR(__xludf.DUMMYFUNCTION("VLOOKUP(K62, IMPORTRANGE(""https://docs.google.com/spreadsheets/d/1yDAaXNsi4Mr5FtRQL4tbmSdIzhx6_m4wkOD7IG-k_eo/edit#gid=0"", ""Maths!M:N""), 2, FALSE)"),"Explain purpose of converting equations into statement form.")</f>
        <v>Explain purpose of converting equations into statement form.</v>
      </c>
      <c r="M62" s="10" t="str">
        <f t="shared" si="2"/>
        <v>LU000411.003</v>
      </c>
      <c r="N62" s="10" t="str">
        <f ca="1">IFERROR(__xludf.DUMMYFUNCTION("VLOOKUP(M62, IMPORTRANGE(""https://docs.google.com/spreadsheets/d/1yDAaXNsi4Mr5FtRQL4tbmSdIzhx6_m4wkOD7IG-k_eo/edit#gid=0"", ""Maths!M:N""), 2, FALSE)"),"Express the given equation in various statement form.")</f>
        <v>Express the given equation in various statement form.</v>
      </c>
      <c r="O62" s="10" t="str">
        <f t="shared" si="3"/>
        <v>LU000411.004</v>
      </c>
      <c r="P62" s="10" t="str">
        <f ca="1">IFERROR(__xludf.DUMMYFUNCTION("VLOOKUP(O62, IMPORTRANGE(""https://docs.google.com/spreadsheets/d/1yDAaXNsi4Mr5FtRQL4tbmSdIzhx6_m4wkOD7IG-k_eo/edit#gid=0"", ""Maths!M:N""), 2, FALSE)"),"Analyse the relationship between equations and their corresponding statement forms.")</f>
        <v>Analyse the relationship between equations and their corresponding statement forms.</v>
      </c>
      <c r="Q62" s="10" t="str">
        <f t="shared" si="4"/>
        <v>LU000411.005</v>
      </c>
      <c r="R62" s="10" t="str">
        <f ca="1">IFERROR(__xludf.DUMMYFUNCTION("VLOOKUP(Q62, IMPORTRANGE(""https://docs.google.com/spreadsheets/d/1yDAaXNsi4Mr5FtRQL4tbmSdIzhx6_m4wkOD7IG-k_eo/edit#gid=0"", ""Maths!M:N""), 2, FALSE)"),"Evaluate the accuracy and clarity of verbal statements converted from equations.")</f>
        <v>Evaluate the accuracy and clarity of verbal statements converted from equations.</v>
      </c>
      <c r="S62" s="10" t="str">
        <f t="shared" si="5"/>
        <v>LU000411.006</v>
      </c>
      <c r="T62" s="10" t="str">
        <f ca="1">IFERROR(__xludf.DUMMYFUNCTION("VLOOKUP(S62, IMPORTRANGE(""https://docs.google.com/spreadsheets/d/1yDAaXNsi4Mr5FtRQL4tbmSdIzhx6_m4wkOD7IG-k_eo/edit#gid=0"", ""Maths!M:N""), 2, FALSE)"),"#N/A")</f>
        <v>#N/A</v>
      </c>
      <c r="U62" s="11">
        <f ca="1">IFERROR(__xludf.DUMMYFUNCTION("ArrayFormula(VLOOKUP(G62, IMPORTRANGE(""https://docs.google.com/spreadsheets/d/1p7R4vtkWt5VOBim4ltsDG9KTzSjrtKXsMtQGXPHyND0/edit#gid=795171502"", ""'Filter 30_05_2024'!A1:M2000""), {2, 3, 4, 5,6,7,8,9,10,11,12,13}, 0))"),4)</f>
        <v>4</v>
      </c>
      <c r="V62" s="11">
        <f ca="1">IFERROR(__xludf.DUMMYFUNCTION("""COMPUTED_VALUE"""),9)</f>
        <v>9</v>
      </c>
      <c r="W62" s="11">
        <f ca="1">IFERROR(__xludf.DUMMYFUNCTION("""COMPUTED_VALUE"""),2)</f>
        <v>2</v>
      </c>
      <c r="X62" s="11">
        <f ca="1">IFERROR(__xludf.DUMMYFUNCTION("""COMPUTED_VALUE"""),15)</f>
        <v>15</v>
      </c>
      <c r="Y62" s="11">
        <f ca="1">IFERROR(__xludf.DUMMYFUNCTION("""COMPUTED_VALUE"""),4)</f>
        <v>4</v>
      </c>
      <c r="Z62" s="12">
        <f ca="1">IFERROR(__xludf.DUMMYFUNCTION("""COMPUTED_VALUE"""),5)</f>
        <v>5</v>
      </c>
      <c r="AA62" s="12">
        <f ca="1">IFERROR(__xludf.DUMMYFUNCTION("""COMPUTED_VALUE"""),1)</f>
        <v>1</v>
      </c>
      <c r="AB62" s="12">
        <f ca="1">IFERROR(__xludf.DUMMYFUNCTION("""COMPUTED_VALUE"""),10)</f>
        <v>10</v>
      </c>
      <c r="AC62" s="12"/>
      <c r="AD62" s="12"/>
      <c r="AE62" s="12"/>
      <c r="AF62" s="12"/>
      <c r="AG62" s="13" t="str">
        <f ca="1">IFERROR(__xludf.DUMMYFUNCTION("ArrayFormula(VLOOKUP(G62, IMPORTRANGE(""https://docs.google.com/spreadsheets/d/1Co934fvtviyaRiMsrIlT05Jaq7iiYq07aLvRr35KA48/edit?gid=173865642#gid=173865642"", ""'G7_Maths_Pri_LU'!G2:V2000""), {3, 4, 5, 6, 7, 8, 9, 10, 11, 12, 13, 14, 15, 16}, 0))"),"LU000405")</f>
        <v>LU000405</v>
      </c>
      <c r="AH62" s="13" t="str">
        <f ca="1">IFERROR(__xludf.DUMMYFUNCTION("""COMPUTED_VALUE"""),"Conversion of statements into simple equations")</f>
        <v>Conversion of statements into simple equations</v>
      </c>
      <c r="AI62" s="13" t="str">
        <f ca="1">IFERROR(__xludf.DUMMYFUNCTION("""COMPUTED_VALUE"""),"LU000938")</f>
        <v>LU000938</v>
      </c>
      <c r="AJ62" s="13" t="str">
        <f ca="1">IFERROR(__xludf.DUMMYFUNCTION("""COMPUTED_VALUE"""),"Generalization of practical situations using variables")</f>
        <v>Generalization of practical situations using variables</v>
      </c>
      <c r="AK62" s="13" t="str">
        <f ca="1">IFERROR(__xludf.DUMMYFUNCTION("""COMPUTED_VALUE"""),"LU000404")</f>
        <v>LU000404</v>
      </c>
      <c r="AL62" s="13" t="str">
        <f ca="1">IFERROR(__xludf.DUMMYFUNCTION("""COMPUTED_VALUE"""),"Definition of simple equation")</f>
        <v>Definition of simple equation</v>
      </c>
      <c r="AM62" s="13" t="str">
        <f ca="1">IFERROR(__xludf.DUMMYFUNCTION("""COMPUTED_VALUE"""),"LU000330")</f>
        <v>LU000330</v>
      </c>
      <c r="AN62" s="13" t="str">
        <f ca="1">IFERROR(__xludf.DUMMYFUNCTION("""COMPUTED_VALUE"""),"Definition of variable and constant")</f>
        <v>Definition of variable and constant</v>
      </c>
      <c r="AO62" s="13"/>
      <c r="AP62" s="13"/>
      <c r="AQ62" s="13"/>
      <c r="AR62" s="13"/>
      <c r="AS62" s="13"/>
      <c r="AT62" s="13"/>
    </row>
    <row r="63" spans="1:46">
      <c r="A63" s="8" t="s">
        <v>247</v>
      </c>
      <c r="B63" s="8" t="s">
        <v>47</v>
      </c>
      <c r="C63" s="8" t="s">
        <v>416</v>
      </c>
      <c r="D63" s="8" t="s">
        <v>49</v>
      </c>
      <c r="E63" s="8" t="s">
        <v>498</v>
      </c>
      <c r="F63" s="8" t="s">
        <v>503</v>
      </c>
      <c r="G63" s="8" t="s">
        <v>504</v>
      </c>
      <c r="H63" s="8" t="str">
        <f ca="1">IFERROR(__xludf.DUMMYFUNCTION("VLOOKUP(G63, IMPORTRANGE(""https://docs.google.com/spreadsheets/d/14deopnvwcrKtEGCKuYXdUHJbeLDZlkiSSWWT0g7x2pM/edit#gid=999382323"", ""LU List Maths (Filter)!A:B""), 2, FALSE)"),"Define a solution of an equation")</f>
        <v>Define a solution of an equation</v>
      </c>
      <c r="I63" s="10" t="str">
        <f t="shared" si="0"/>
        <v>LU000336.001</v>
      </c>
      <c r="J63" s="10" t="str">
        <f ca="1">IFERROR(__xludf.DUMMYFUNCTION("VLOOKUP(I63, IMPORTRANGE(""https://docs.google.com/spreadsheets/d/1yDAaXNsi4Mr5FtRQL4tbmSdIzhx6_m4wkOD7IG-k_eo/edit#gid=0"", ""Maths!M:N""), 2, FALSE)"),"Recall the definition of a solution to an equation.")</f>
        <v>Recall the definition of a solution to an equation.</v>
      </c>
      <c r="K63" s="10" t="str">
        <f t="shared" si="1"/>
        <v>LU000336.002</v>
      </c>
      <c r="L63" s="10" t="str">
        <f ca="1">IFERROR(__xludf.DUMMYFUNCTION("VLOOKUP(K63, IMPORTRANGE(""https://docs.google.com/spreadsheets/d/1yDAaXNsi4Mr5FtRQL4tbmSdIzhx6_m4wkOD7IG-k_eo/edit#gid=0"", ""Maths!M:N""), 2, FALSE)"),"Explain how the LHS, RHS, and variable value relate in defining an equation's solution.")</f>
        <v>Explain how the LHS, RHS, and variable value relate in defining an equation's solution.</v>
      </c>
      <c r="M63" s="10" t="str">
        <f t="shared" si="2"/>
        <v>LU000336.003</v>
      </c>
      <c r="N63" s="10" t="str">
        <f ca="1">IFERROR(__xludf.DUMMYFUNCTION("VLOOKUP(M63, IMPORTRANGE(""https://docs.google.com/spreadsheets/d/1yDAaXNsi4Mr5FtRQL4tbmSdIzhx6_m4wkOD7IG-k_eo/edit#gid=0"", ""Maths!M:N""), 2, FALSE)"),"Apply the concept of equation solutions to solve simple problems.")</f>
        <v>Apply the concept of equation solutions to solve simple problems.</v>
      </c>
      <c r="O63" s="10" t="str">
        <f t="shared" si="3"/>
        <v>LU000336.004</v>
      </c>
      <c r="P63" s="10" t="str">
        <f ca="1">IFERROR(__xludf.DUMMYFUNCTION("VLOOKUP(O63, IMPORTRANGE(""https://docs.google.com/spreadsheets/d/1yDAaXNsi4Mr5FtRQL4tbmSdIzhx6_m4wkOD7IG-k_eo/edit#gid=0"", ""Maths!M:N""), 2, FALSE)"),"Analyze different equations to determine the conditions for having a solution.")</f>
        <v>Analyze different equations to determine the conditions for having a solution.</v>
      </c>
      <c r="Q63" s="10" t="str">
        <f t="shared" si="4"/>
        <v>LU000336.005</v>
      </c>
      <c r="R63" s="10" t="str">
        <f ca="1">IFERROR(__xludf.DUMMYFUNCTION("VLOOKUP(Q63, IMPORTRANGE(""https://docs.google.com/spreadsheets/d/1yDAaXNsi4Mr5FtRQL4tbmSdIzhx6_m4wkOD7IG-k_eo/edit#gid=0"", ""Maths!M:N""), 2, FALSE)"),"Judge the correctness of a proposed solution for an equation based on LHS and RHS equality.")</f>
        <v>Judge the correctness of a proposed solution for an equation based on LHS and RHS equality.</v>
      </c>
      <c r="S63" s="10" t="str">
        <f t="shared" si="5"/>
        <v>LU000336.006</v>
      </c>
      <c r="T63" s="10" t="str">
        <f ca="1">IFERROR(__xludf.DUMMYFUNCTION("VLOOKUP(S63, IMPORTRANGE(""https://docs.google.com/spreadsheets/d/1yDAaXNsi4Mr5FtRQL4tbmSdIzhx6_m4wkOD7IG-k_eo/edit#gid=0"", ""Maths!M:N""), 2, FALSE)"),"#N/A")</f>
        <v>#N/A</v>
      </c>
      <c r="U63" s="11">
        <f ca="1">IFERROR(__xludf.DUMMYFUNCTION("ArrayFormula(VLOOKUP(G63, IMPORTRANGE(""https://docs.google.com/spreadsheets/d/1p7R4vtkWt5VOBim4ltsDG9KTzSjrtKXsMtQGXPHyND0/edit#gid=795171502"", ""'Filter 30_05_2024'!A1:M2000""), {2, 3, 4, 5,6,7,8,9,10,11,12,13}, 0))"),3)</f>
        <v>3</v>
      </c>
      <c r="V63" s="11">
        <f ca="1">IFERROR(__xludf.DUMMYFUNCTION("""COMPUTED_VALUE"""),12)</f>
        <v>12</v>
      </c>
      <c r="W63" s="11">
        <f ca="1">IFERROR(__xludf.DUMMYFUNCTION("""COMPUTED_VALUE"""),2)</f>
        <v>2</v>
      </c>
      <c r="X63" s="11">
        <f ca="1">IFERROR(__xludf.DUMMYFUNCTION("""COMPUTED_VALUE"""),17)</f>
        <v>17</v>
      </c>
      <c r="Y63" s="11">
        <f ca="1">IFERROR(__xludf.DUMMYFUNCTION("""COMPUTED_VALUE"""),5)</f>
        <v>5</v>
      </c>
      <c r="Z63" s="12">
        <f ca="1">IFERROR(__xludf.DUMMYFUNCTION("""COMPUTED_VALUE"""),3)</f>
        <v>3</v>
      </c>
      <c r="AA63" s="12">
        <f ca="1">IFERROR(__xludf.DUMMYFUNCTION("""COMPUTED_VALUE"""),1)</f>
        <v>1</v>
      </c>
      <c r="AB63" s="12">
        <f ca="1">IFERROR(__xludf.DUMMYFUNCTION("""COMPUTED_VALUE"""),9)</f>
        <v>9</v>
      </c>
      <c r="AC63" s="12"/>
      <c r="AD63" s="12"/>
      <c r="AE63" s="12"/>
      <c r="AF63" s="12"/>
      <c r="AG63" s="13" t="str">
        <f ca="1">IFERROR(__xludf.DUMMYFUNCTION("ArrayFormula(VLOOKUP(G63, IMPORTRANGE(""https://docs.google.com/spreadsheets/d/1Co934fvtviyaRiMsrIlT05Jaq7iiYq07aLvRr35KA48/edit?gid=173865642#gid=173865642"", ""'G7_Maths_Pri_LU'!G2:V2000""), {3, 4, 5, 6, 7, 8, 9, 10, 11, 12, 13, 14, 15, 16}, 0))"),"LU000335")</f>
        <v>LU000335</v>
      </c>
      <c r="AH63" s="13" t="str">
        <f ca="1">IFERROR(__xludf.DUMMYFUNCTION("""COMPUTED_VALUE"""),"Definition of an equation")</f>
        <v>Definition of an equation</v>
      </c>
      <c r="AI63" s="13" t="str">
        <f ca="1">IFERROR(__xludf.DUMMYFUNCTION("""COMPUTED_VALUE"""),"LU000330")</f>
        <v>LU000330</v>
      </c>
      <c r="AJ63" s="13" t="str">
        <f ca="1">IFERROR(__xludf.DUMMYFUNCTION("""COMPUTED_VALUE"""),"Definition of variable and constant")</f>
        <v>Definition of variable and constant</v>
      </c>
      <c r="AK63" s="13" t="str">
        <f ca="1">IFERROR(__xludf.DUMMYFUNCTION("""COMPUTED_VALUE"""),"LU000338")</f>
        <v>LU000338</v>
      </c>
      <c r="AL63" s="13" t="str">
        <f ca="1">IFERROR(__xludf.DUMMYFUNCTION("""COMPUTED_VALUE"""),"Difference between equation and algebraic expression")</f>
        <v>Difference between equation and algebraic expression</v>
      </c>
      <c r="AM63" s="13"/>
      <c r="AN63" s="13"/>
      <c r="AO63" s="13"/>
      <c r="AP63" s="13"/>
      <c r="AQ63" s="13"/>
      <c r="AR63" s="13"/>
      <c r="AS63" s="13"/>
      <c r="AT63" s="13"/>
    </row>
    <row r="64" spans="1:46">
      <c r="A64" s="8" t="s">
        <v>247</v>
      </c>
      <c r="B64" s="8" t="s">
        <v>47</v>
      </c>
      <c r="C64" s="8" t="s">
        <v>416</v>
      </c>
      <c r="D64" s="8" t="s">
        <v>49</v>
      </c>
      <c r="E64" s="8" t="s">
        <v>498</v>
      </c>
      <c r="F64" s="8" t="s">
        <v>503</v>
      </c>
      <c r="G64" s="8" t="s">
        <v>505</v>
      </c>
      <c r="H64" s="8" t="str">
        <f ca="1">IFERROR(__xludf.DUMMYFUNCTION("VLOOKUP(G64, IMPORTRANGE(""https://docs.google.com/spreadsheets/d/14deopnvwcrKtEGCKuYXdUHJbeLDZlkiSSWWT0g7x2pM/edit#gid=999382323"", ""LU List Maths (Filter)!A:B""), 2, FALSE)"),"Solution of a simple equation by trial and error method")</f>
        <v>Solution of a simple equation by trial and error method</v>
      </c>
      <c r="I64" s="10" t="str">
        <f t="shared" si="0"/>
        <v>LU000408.001</v>
      </c>
      <c r="J64" s="10" t="str">
        <f ca="1">IFERROR(__xludf.DUMMYFUNCTION("VLOOKUP(I64, IMPORTRANGE(""https://docs.google.com/spreadsheets/d/1yDAaXNsi4Mr5FtRQL4tbmSdIzhx6_m4wkOD7IG-k_eo/edit#gid=0"", ""Maths!M:N""), 2, FALSE)"),"Recall the steps of the trial and error method for solving equations.")</f>
        <v>Recall the steps of the trial and error method for solving equations.</v>
      </c>
      <c r="K64" s="10" t="str">
        <f t="shared" si="1"/>
        <v>LU000408.002</v>
      </c>
      <c r="L64" s="10" t="str">
        <f ca="1">IFERROR(__xludf.DUMMYFUNCTION("VLOOKUP(K64, IMPORTRANGE(""https://docs.google.com/spreadsheets/d/1yDAaXNsi4Mr5FtRQL4tbmSdIzhx6_m4wkOD7IG-k_eo/edit#gid=0"", ""Maths!M:N""), 2, FALSE)"),"Verify whether the given value is a solution to the given equation.")</f>
        <v>Verify whether the given value is a solution to the given equation.</v>
      </c>
      <c r="M64" s="10" t="str">
        <f t="shared" si="2"/>
        <v>LU000408.003</v>
      </c>
      <c r="N64" s="10" t="str">
        <f ca="1">IFERROR(__xludf.DUMMYFUNCTION("VLOOKUP(M64, IMPORTRANGE(""https://docs.google.com/spreadsheets/d/1yDAaXNsi4Mr5FtRQL4tbmSdIzhx6_m4wkOD7IG-k_eo/edit#gid=0"", ""Maths!M:N""), 2, FALSE)"),"Apply trial and error method to solve simple equations.")</f>
        <v>Apply trial and error method to solve simple equations.</v>
      </c>
      <c r="O64" s="10" t="str">
        <f t="shared" si="3"/>
        <v>LU000408.004</v>
      </c>
      <c r="P64" s="10" t="str">
        <f ca="1">IFERROR(__xludf.DUMMYFUNCTION("VLOOKUP(O64, IMPORTRANGE(""https://docs.google.com/spreadsheets/d/1yDAaXNsi4Mr5FtRQL4tbmSdIzhx6_m4wkOD7IG-k_eo/edit#gid=0"", ""Maths!M:N""), 2, FALSE)"),"Analyse the effectiveness and limitations of using trial and error for equation solving.")</f>
        <v>Analyse the effectiveness and limitations of using trial and error for equation solving.</v>
      </c>
      <c r="Q64" s="10" t="str">
        <f t="shared" si="4"/>
        <v>LU000408.005</v>
      </c>
      <c r="R64" s="10" t="str">
        <f ca="1">IFERROR(__xludf.DUMMYFUNCTION("VLOOKUP(Q64, IMPORTRANGE(""https://docs.google.com/spreadsheets/d/1yDAaXNsi4Mr5FtRQL4tbmSdIzhx6_m4wkOD7IG-k_eo/edit#gid=0"", ""Maths!M:N""), 2, FALSE)"),"Evaluate effectiveness of trial and error solutions compared to other methods.")</f>
        <v>Evaluate effectiveness of trial and error solutions compared to other methods.</v>
      </c>
      <c r="S64" s="10" t="str">
        <f t="shared" si="5"/>
        <v>LU000408.006</v>
      </c>
      <c r="T64" s="10" t="str">
        <f ca="1">IFERROR(__xludf.DUMMYFUNCTION("VLOOKUP(S64, IMPORTRANGE(""https://docs.google.com/spreadsheets/d/1yDAaXNsi4Mr5FtRQL4tbmSdIzhx6_m4wkOD7IG-k_eo/edit#gid=0"", ""Maths!M:N""), 2, FALSE)"),"Design practice problems illustrating the trial and error method for equation solving and solution verification.")</f>
        <v>Design practice problems illustrating the trial and error method for equation solving and solution verification.</v>
      </c>
      <c r="U64" s="11">
        <f ca="1">IFERROR(__xludf.DUMMYFUNCTION("ArrayFormula(VLOOKUP(G64, IMPORTRANGE(""https://docs.google.com/spreadsheets/d/1p7R4vtkWt5VOBim4ltsDG9KTzSjrtKXsMtQGXPHyND0/edit#gid=795171502"", ""'Filter 30_05_2024'!A1:M2000""), {2, 3, 4, 5,6,7,8,9,10,11,12,13}, 0))"),4)</f>
        <v>4</v>
      </c>
      <c r="V64" s="11">
        <f ca="1">IFERROR(__xludf.DUMMYFUNCTION("""COMPUTED_VALUE"""),20)</f>
        <v>20</v>
      </c>
      <c r="W64" s="11">
        <f ca="1">IFERROR(__xludf.DUMMYFUNCTION("""COMPUTED_VALUE"""),2)</f>
        <v>2</v>
      </c>
      <c r="X64" s="11">
        <f ca="1">IFERROR(__xludf.DUMMYFUNCTION("""COMPUTED_VALUE"""),26)</f>
        <v>26</v>
      </c>
      <c r="Y64" s="11">
        <f ca="1">IFERROR(__xludf.DUMMYFUNCTION("""COMPUTED_VALUE"""),5)</f>
        <v>5</v>
      </c>
      <c r="Z64" s="12">
        <f ca="1">IFERROR(__xludf.DUMMYFUNCTION("""COMPUTED_VALUE"""),7)</f>
        <v>7</v>
      </c>
      <c r="AA64" s="12">
        <f ca="1">IFERROR(__xludf.DUMMYFUNCTION("""COMPUTED_VALUE"""),1)</f>
        <v>1</v>
      </c>
      <c r="AB64" s="12">
        <f ca="1">IFERROR(__xludf.DUMMYFUNCTION("""COMPUTED_VALUE"""),13)</f>
        <v>13</v>
      </c>
      <c r="AC64" s="12"/>
      <c r="AD64" s="12"/>
      <c r="AE64" s="12"/>
      <c r="AF64" s="12"/>
      <c r="AG64" s="13" t="str">
        <f ca="1">IFERROR(__xludf.DUMMYFUNCTION("ArrayFormula(VLOOKUP(G64, IMPORTRANGE(""https://docs.google.com/spreadsheets/d/1Co934fvtviyaRiMsrIlT05Jaq7iiYq07aLvRr35KA48/edit?gid=173865642#gid=173865642"", ""'G7_Maths_Pri_LU'!G2:V2000""), {3, 4, 5, 6, 7, 8, 9, 10, 11, 12, 13, 14, 15, 16}, 0))"),"LU000336")</f>
        <v>LU000336</v>
      </c>
      <c r="AH64" s="13" t="str">
        <f ca="1">IFERROR(__xludf.DUMMYFUNCTION("""COMPUTED_VALUE"""),"Define a solution of an equation")</f>
        <v>Define a solution of an equation</v>
      </c>
      <c r="AI64" s="13" t="str">
        <f ca="1">IFERROR(__xludf.DUMMYFUNCTION("""COMPUTED_VALUE"""),"LU000272")</f>
        <v>LU000272</v>
      </c>
      <c r="AJ64" s="13" t="str">
        <f ca="1">IFERROR(__xludf.DUMMYFUNCTION("""COMPUTED_VALUE"""),"Subtraction of integers using rules of signs")</f>
        <v>Subtraction of integers using rules of signs</v>
      </c>
      <c r="AK64" s="13" t="str">
        <f ca="1">IFERROR(__xludf.DUMMYFUNCTION("""COMPUTED_VALUE"""),"LU000271")</f>
        <v>LU000271</v>
      </c>
      <c r="AL64" s="13" t="str">
        <f ca="1">IFERROR(__xludf.DUMMYFUNCTION("""COMPUTED_VALUE"""),"Addition of integers using rules of signs")</f>
        <v>Addition of integers using rules of signs</v>
      </c>
      <c r="AM64" s="13" t="str">
        <f ca="1">IFERROR(__xludf.DUMMYFUNCTION("""COMPUTED_VALUE"""),"LU000330")</f>
        <v>LU000330</v>
      </c>
      <c r="AN64" s="13" t="str">
        <f ca="1">IFERROR(__xludf.DUMMYFUNCTION("""COMPUTED_VALUE"""),"Definition of variable and constant")</f>
        <v>Definition of variable and constant</v>
      </c>
      <c r="AO64" s="13" t="str">
        <f ca="1">IFERROR(__xludf.DUMMYFUNCTION("""COMPUTED_VALUE"""),"LU000404")</f>
        <v>LU000404</v>
      </c>
      <c r="AP64" s="13" t="str">
        <f ca="1">IFERROR(__xludf.DUMMYFUNCTION("""COMPUTED_VALUE"""),"Definition of simple equation")</f>
        <v>Definition of simple equation</v>
      </c>
      <c r="AQ64" s="13" t="str">
        <f ca="1">IFERROR(__xludf.DUMMYFUNCTION("""COMPUTED_VALUE"""),"LU000355")</f>
        <v>LU000355</v>
      </c>
      <c r="AR64" s="13" t="str">
        <f ca="1">IFERROR(__xludf.DUMMYFUNCTION("""COMPUTED_VALUE"""),"Multiplication of two integers")</f>
        <v>Multiplication of two integers</v>
      </c>
      <c r="AS64" s="13" t="str">
        <f ca="1">IFERROR(__xludf.DUMMYFUNCTION("""COMPUTED_VALUE"""),"LU000361")</f>
        <v>LU000361</v>
      </c>
      <c r="AT64" s="13" t="str">
        <f ca="1">IFERROR(__xludf.DUMMYFUNCTION("""COMPUTED_VALUE"""),"Division of integers by non zero integer")</f>
        <v>Division of integers by non zero integer</v>
      </c>
    </row>
    <row r="65" spans="1:46">
      <c r="A65" s="8" t="s">
        <v>247</v>
      </c>
      <c r="B65" s="8" t="s">
        <v>47</v>
      </c>
      <c r="C65" s="8" t="s">
        <v>416</v>
      </c>
      <c r="D65" s="8" t="s">
        <v>49</v>
      </c>
      <c r="E65" s="8" t="s">
        <v>498</v>
      </c>
      <c r="F65" s="8" t="s">
        <v>506</v>
      </c>
      <c r="G65" s="8" t="s">
        <v>507</v>
      </c>
      <c r="H65" s="8" t="str">
        <f ca="1">IFERROR(__xludf.DUMMYFUNCTION("VLOOKUP(G65, IMPORTRANGE(""https://docs.google.com/spreadsheets/d/14deopnvwcrKtEGCKuYXdUHJbeLDZlkiSSWWT0g7x2pM/edit#gid=999382323"", ""LU List Maths (Filter)!A:B""), 2, FALSE)"),"Solution of a simple equation by balancing method")</f>
        <v>Solution of a simple equation by balancing method</v>
      </c>
      <c r="I65" s="10" t="str">
        <f t="shared" si="0"/>
        <v>LU000409.001</v>
      </c>
      <c r="J65" s="10" t="str">
        <f ca="1">IFERROR(__xludf.DUMMYFUNCTION("VLOOKUP(I65, IMPORTRANGE(""https://docs.google.com/spreadsheets/d/1yDAaXNsi4Mr5FtRQL4tbmSdIzhx6_m4wkOD7IG-k_eo/edit#gid=0"", ""Maths!M:N""), 2, FALSE)"),"Recall the steps of solving equations using the balancing method.")</f>
        <v>Recall the steps of solving equations using the balancing method.</v>
      </c>
      <c r="K65" s="10" t="str">
        <f t="shared" si="1"/>
        <v>LU000409.002</v>
      </c>
      <c r="L65" s="10" t="str">
        <f ca="1">IFERROR(__xludf.DUMMYFUNCTION("VLOOKUP(K65, IMPORTRANGE(""https://docs.google.com/spreadsheets/d/1yDAaXNsi4Mr5FtRQL4tbmSdIzhx6_m4wkOD7IG-k_eo/edit#gid=0"", ""Maths!M:N""), 2, FALSE)"),"Deduce the four properties of equality. (addition, subtraction, multiplication or division)")</f>
        <v>Deduce the four properties of equality. (addition, subtraction, multiplication or division)</v>
      </c>
      <c r="M65" s="10" t="str">
        <f t="shared" si="2"/>
        <v>LU000409.003</v>
      </c>
      <c r="N65" s="10" t="str">
        <f ca="1">IFERROR(__xludf.DUMMYFUNCTION("VLOOKUP(M65, IMPORTRANGE(""https://docs.google.com/spreadsheets/d/1yDAaXNsi4Mr5FtRQL4tbmSdIzhx6_m4wkOD7IG-k_eo/edit#gid=0"", ""Maths!M:N""), 2, FALSE)"),"Apply balancing method to simple equations.")</f>
        <v>Apply balancing method to simple equations.</v>
      </c>
      <c r="O65" s="10" t="str">
        <f t="shared" si="3"/>
        <v>LU000409.004</v>
      </c>
      <c r="P65" s="10" t="str">
        <f ca="1">IFERROR(__xludf.DUMMYFUNCTION("VLOOKUP(O65, IMPORTRANGE(""https://docs.google.com/spreadsheets/d/1yDAaXNsi4Mr5FtRQL4tbmSdIzhx6_m4wkOD7IG-k_eo/edit#gid=0"", ""Maths!M:N""), 2, FALSE)"),"Analyse the procedure of solving equations using balancing method.")</f>
        <v>Analyse the procedure of solving equations using balancing method.</v>
      </c>
      <c r="Q65" s="10" t="str">
        <f t="shared" si="4"/>
        <v>LU000409.005</v>
      </c>
      <c r="R65" s="10" t="str">
        <f ca="1">IFERROR(__xludf.DUMMYFUNCTION("VLOOKUP(Q65, IMPORTRANGE(""https://docs.google.com/spreadsheets/d/1yDAaXNsi4Mr5FtRQL4tbmSdIzhx6_m4wkOD7IG-k_eo/edit#gid=0"", ""Maths!M:N""), 2, FALSE)"),"Evaluate the accuracy of solutions derived using the balancing method.")</f>
        <v>Evaluate the accuracy of solutions derived using the balancing method.</v>
      </c>
      <c r="S65" s="10" t="str">
        <f t="shared" si="5"/>
        <v>LU000409.006</v>
      </c>
      <c r="T65" s="10" t="str">
        <f ca="1">IFERROR(__xludf.DUMMYFUNCTION("VLOOKUP(S65, IMPORTRANGE(""https://docs.google.com/spreadsheets/d/1yDAaXNsi4Mr5FtRQL4tbmSdIzhx6_m4wkOD7IG-k_eo/edit#gid=0"", ""Maths!M:N""), 2, FALSE)"),"Create problems illustrating equation solving using the balancing method.")</f>
        <v>Create problems illustrating equation solving using the balancing method.</v>
      </c>
      <c r="U65" s="11">
        <f ca="1">IFERROR(__xludf.DUMMYFUNCTION("ArrayFormula(VLOOKUP(G65, IMPORTRANGE(""https://docs.google.com/spreadsheets/d/1p7R4vtkWt5VOBim4ltsDG9KTzSjrtKXsMtQGXPHyND0/edit#gid=795171502"", ""'Filter 30_05_2024'!A1:M2000""), {2, 3, 4, 5,6,7,8,9,10,11,12,13}, 0))"),1)</f>
        <v>1</v>
      </c>
      <c r="V65" s="11">
        <f ca="1">IFERROR(__xludf.DUMMYFUNCTION("""COMPUTED_VALUE"""),1)</f>
        <v>1</v>
      </c>
      <c r="W65" s="11">
        <f ca="1">IFERROR(__xludf.DUMMYFUNCTION("""COMPUTED_VALUE"""),1)</f>
        <v>1</v>
      </c>
      <c r="X65" s="11">
        <f ca="1">IFERROR(__xludf.DUMMYFUNCTION("""COMPUTED_VALUE"""),3)</f>
        <v>3</v>
      </c>
      <c r="Y65" s="11">
        <f ca="1">IFERROR(__xludf.DUMMYFUNCTION("""COMPUTED_VALUE"""),7)</f>
        <v>7</v>
      </c>
      <c r="Z65" s="12">
        <f ca="1">IFERROR(__xludf.DUMMYFUNCTION("""COMPUTED_VALUE"""),12)</f>
        <v>12</v>
      </c>
      <c r="AA65" s="12">
        <f ca="1">IFERROR(__xludf.DUMMYFUNCTION("""COMPUTED_VALUE"""),2)</f>
        <v>2</v>
      </c>
      <c r="AB65" s="12">
        <f ca="1">IFERROR(__xludf.DUMMYFUNCTION("""COMPUTED_VALUE"""),21)</f>
        <v>21</v>
      </c>
      <c r="AC65" s="12"/>
      <c r="AD65" s="12"/>
      <c r="AE65" s="12"/>
      <c r="AF65" s="12"/>
      <c r="AG65" s="13" t="str">
        <f ca="1">IFERROR(__xludf.DUMMYFUNCTION("ArrayFormula(VLOOKUP(G65, IMPORTRANGE(""https://docs.google.com/spreadsheets/d/1Co934fvtviyaRiMsrIlT05Jaq7iiYq07aLvRr35KA48/edit?gid=173865642#gid=173865642"", ""'G7_Maths_Pri_LU'!G2:V2000""), {3, 4, 5, 6, 7, 8, 9, 10, 11, 12, 13, 14, 15, 16}, 0))"),"LU000407")</f>
        <v>LU000407</v>
      </c>
      <c r="AH65" s="13" t="str">
        <f ca="1">IFERROR(__xludf.DUMMYFUNCTION("""COMPUTED_VALUE"""),"Introduction to balanced equations")</f>
        <v>Introduction to balanced equations</v>
      </c>
      <c r="AI65" s="13" t="str">
        <f ca="1">IFERROR(__xludf.DUMMYFUNCTION("""COMPUTED_VALUE"""),"LU000336")</f>
        <v>LU000336</v>
      </c>
      <c r="AJ65" s="13" t="str">
        <f ca="1">IFERROR(__xludf.DUMMYFUNCTION("""COMPUTED_VALUE"""),"Define a solution of an equation")</f>
        <v>Define a solution of an equation</v>
      </c>
      <c r="AK65" s="13" t="str">
        <f ca="1">IFERROR(__xludf.DUMMYFUNCTION("""COMPUTED_VALUE"""),"LU000404")</f>
        <v>LU000404</v>
      </c>
      <c r="AL65" s="13" t="str">
        <f ca="1">IFERROR(__xludf.DUMMYFUNCTION("""COMPUTED_VALUE"""),"Definition of simple equation")</f>
        <v>Definition of simple equation</v>
      </c>
      <c r="AM65" s="13" t="str">
        <f ca="1">IFERROR(__xludf.DUMMYFUNCTION("""COMPUTED_VALUE"""),"LU000330")</f>
        <v>LU000330</v>
      </c>
      <c r="AN65" s="13" t="str">
        <f ca="1">IFERROR(__xludf.DUMMYFUNCTION("""COMPUTED_VALUE"""),"Definition of variable and constant")</f>
        <v>Definition of variable and constant</v>
      </c>
      <c r="AO65" s="13"/>
      <c r="AP65" s="13"/>
      <c r="AQ65" s="13"/>
      <c r="AR65" s="13"/>
      <c r="AS65" s="13"/>
      <c r="AT65" s="13"/>
    </row>
    <row r="66" spans="1:46">
      <c r="A66" s="8" t="s">
        <v>247</v>
      </c>
      <c r="B66" s="8" t="s">
        <v>47</v>
      </c>
      <c r="C66" s="8" t="s">
        <v>416</v>
      </c>
      <c r="D66" s="8" t="s">
        <v>49</v>
      </c>
      <c r="E66" s="8" t="s">
        <v>498</v>
      </c>
      <c r="F66" s="8" t="s">
        <v>508</v>
      </c>
      <c r="G66" s="8" t="s">
        <v>509</v>
      </c>
      <c r="H66" s="8" t="str">
        <f ca="1">IFERROR(__xludf.DUMMYFUNCTION("VLOOKUP(G66, IMPORTRANGE(""https://docs.google.com/spreadsheets/d/14deopnvwcrKtEGCKuYXdUHJbeLDZlkiSSWWT0g7x2pM/edit#gid=999382323"", ""LU List Maths (Filter)!A:B""), 2, FALSE)"),"Solution of a simple equation by transpose method")</f>
        <v>Solution of a simple equation by transpose method</v>
      </c>
      <c r="I66" s="10" t="str">
        <f t="shared" si="0"/>
        <v>LU000410.001</v>
      </c>
      <c r="J66" s="10" t="str">
        <f ca="1">IFERROR(__xludf.DUMMYFUNCTION("VLOOKUP(I66, IMPORTRANGE(""https://docs.google.com/spreadsheets/d/1yDAaXNsi4Mr5FtRQL4tbmSdIzhx6_m4wkOD7IG-k_eo/edit#gid=0"", ""Maths!M:N""), 2, FALSE)"),"Recall steps for solving equations using transpose method.")</f>
        <v>Recall steps for solving equations using transpose method.</v>
      </c>
      <c r="K66" s="10" t="str">
        <f t="shared" si="1"/>
        <v>LU000410.002</v>
      </c>
      <c r="L66" s="10" t="str">
        <f ca="1">IFERROR(__xludf.DUMMYFUNCTION("VLOOKUP(K66, IMPORTRANGE(""https://docs.google.com/spreadsheets/d/1yDAaXNsi4Mr5FtRQL4tbmSdIzhx6_m4wkOD7IG-k_eo/edit#gid=0"", ""Maths!M:N""), 2, FALSE)"),"Explain the concept of solving equations using transposition method.")</f>
        <v>Explain the concept of solving equations using transposition method.</v>
      </c>
      <c r="M66" s="10" t="str">
        <f t="shared" si="2"/>
        <v>LU000410.003</v>
      </c>
      <c r="N66" s="10" t="str">
        <f ca="1">IFERROR(__xludf.DUMMYFUNCTION("VLOOKUP(M66, IMPORTRANGE(""https://docs.google.com/spreadsheets/d/1yDAaXNsi4Mr5FtRQL4tbmSdIzhx6_m4wkOD7IG-k_eo/edit#gid=0"", ""Maths!M:N""), 2, FALSE)"),"Solve an equation by transposing method.")</f>
        <v>Solve an equation by transposing method.</v>
      </c>
      <c r="O66" s="10" t="str">
        <f t="shared" si="3"/>
        <v>LU000410.004</v>
      </c>
      <c r="P66" s="10" t="str">
        <f ca="1">IFERROR(__xludf.DUMMYFUNCTION("VLOOKUP(O66, IMPORTRANGE(""https://docs.google.com/spreadsheets/d/1yDAaXNsi4Mr5FtRQL4tbmSdIzhx6_m4wkOD7IG-k_eo/edit#gid=0"", ""Maths!M:N""), 2, FALSE)"),"Compare the different methods of solving equations to determine the most efficient approach for a given problem.")</f>
        <v>Compare the different methods of solving equations to determine the most efficient approach for a given problem.</v>
      </c>
      <c r="Q66" s="10" t="str">
        <f t="shared" si="4"/>
        <v>LU000410.005</v>
      </c>
      <c r="R66" s="10" t="str">
        <f ca="1">IFERROR(__xludf.DUMMYFUNCTION("VLOOKUP(Q66, IMPORTRANGE(""https://docs.google.com/spreadsheets/d/1yDAaXNsi4Mr5FtRQL4tbmSdIzhx6_m4wkOD7IG-k_eo/edit#gid=0"", ""Maths!M:N""), 2, FALSE)"),"Evaluate the accuracy and efficiency of solutions obtained using the transposition method.")</f>
        <v>Evaluate the accuracy and efficiency of solutions obtained using the transposition method.</v>
      </c>
      <c r="S66" s="10" t="str">
        <f t="shared" si="5"/>
        <v>LU000410.006</v>
      </c>
      <c r="T66" s="10" t="str">
        <f ca="1">IFERROR(__xludf.DUMMYFUNCTION("VLOOKUP(S66, IMPORTRANGE(""https://docs.google.com/spreadsheets/d/1yDAaXNsi4Mr5FtRQL4tbmSdIzhx6_m4wkOD7IG-k_eo/edit#gid=0"", ""Maths!M:N""), 2, FALSE)"),"Design practice equations showcasing the transposition method for equation solving.")</f>
        <v>Design practice equations showcasing the transposition method for equation solving.</v>
      </c>
      <c r="U66" s="11">
        <f ca="1">IFERROR(__xludf.DUMMYFUNCTION("ArrayFormula(VLOOKUP(G66, IMPORTRANGE(""https://docs.google.com/spreadsheets/d/1p7R4vtkWt5VOBim4ltsDG9KTzSjrtKXsMtQGXPHyND0/edit#gid=795171502"", ""'Filter 30_05_2024'!A1:M2000""), {2, 3, 4, 5,6,7,8,9,10,11,12,13}, 0))"),22)</f>
        <v>22</v>
      </c>
      <c r="V66" s="11">
        <f ca="1">IFERROR(__xludf.DUMMYFUNCTION("""COMPUTED_VALUE"""),8)</f>
        <v>8</v>
      </c>
      <c r="W66" s="11">
        <f ca="1">IFERROR(__xludf.DUMMYFUNCTION("""COMPUTED_VALUE"""),5)</f>
        <v>5</v>
      </c>
      <c r="X66" s="11">
        <f ca="1">IFERROR(__xludf.DUMMYFUNCTION("""COMPUTED_VALUE"""),35)</f>
        <v>35</v>
      </c>
      <c r="Y66" s="11">
        <f ca="1">IFERROR(__xludf.DUMMYFUNCTION("""COMPUTED_VALUE"""),7)</f>
        <v>7</v>
      </c>
      <c r="Z66" s="12">
        <f ca="1">IFERROR(__xludf.DUMMYFUNCTION("""COMPUTED_VALUE"""),4)</f>
        <v>4</v>
      </c>
      <c r="AA66" s="12">
        <f ca="1">IFERROR(__xludf.DUMMYFUNCTION("""COMPUTED_VALUE"""),1)</f>
        <v>1</v>
      </c>
      <c r="AB66" s="12">
        <f ca="1">IFERROR(__xludf.DUMMYFUNCTION("""COMPUTED_VALUE"""),12)</f>
        <v>12</v>
      </c>
      <c r="AC66" s="12"/>
      <c r="AD66" s="12"/>
      <c r="AE66" s="12"/>
      <c r="AF66" s="12"/>
      <c r="AG66" s="13" t="str">
        <f ca="1">IFERROR(__xludf.DUMMYFUNCTION("ArrayFormula(VLOOKUP(G66, IMPORTRANGE(""https://docs.google.com/spreadsheets/d/1Co934fvtviyaRiMsrIlT05Jaq7iiYq07aLvRr35KA48/edit?gid=173865642#gid=173865642"", ""'G7_Maths_Pri_LU'!G2:V2000""), {3, 4, 5, 6, 7, 8, 9, 10, 11, 12, 13, 14, 15, 16}, 0))"),"LU000409")</f>
        <v>LU000409</v>
      </c>
      <c r="AH66" s="13" t="str">
        <f ca="1">IFERROR(__xludf.DUMMYFUNCTION("""COMPUTED_VALUE"""),"Solution of a simple equation by balancing method")</f>
        <v>Solution of a simple equation by balancing method</v>
      </c>
      <c r="AI66" s="13" t="str">
        <f ca="1">IFERROR(__xludf.DUMMYFUNCTION("""COMPUTED_VALUE"""),"LU000407")</f>
        <v>LU000407</v>
      </c>
      <c r="AJ66" s="13" t="str">
        <f ca="1">IFERROR(__xludf.DUMMYFUNCTION("""COMPUTED_VALUE"""),"Introduction to balanced equations")</f>
        <v>Introduction to balanced equations</v>
      </c>
      <c r="AK66" s="13" t="str">
        <f ca="1">IFERROR(__xludf.DUMMYFUNCTION("""COMPUTED_VALUE"""),"LU000336")</f>
        <v>LU000336</v>
      </c>
      <c r="AL66" s="13" t="str">
        <f ca="1">IFERROR(__xludf.DUMMYFUNCTION("""COMPUTED_VALUE"""),"Define a solution of an equation")</f>
        <v>Define a solution of an equation</v>
      </c>
      <c r="AM66" s="13" t="str">
        <f ca="1">IFERROR(__xludf.DUMMYFUNCTION("""COMPUTED_VALUE"""),"LU000404")</f>
        <v>LU000404</v>
      </c>
      <c r="AN66" s="13" t="str">
        <f ca="1">IFERROR(__xludf.DUMMYFUNCTION("""COMPUTED_VALUE"""),"Definition of simple equation")</f>
        <v>Definition of simple equation</v>
      </c>
      <c r="AO66" s="13" t="str">
        <f ca="1">IFERROR(__xludf.DUMMYFUNCTION("""COMPUTED_VALUE"""),"LU000271")</f>
        <v>LU000271</v>
      </c>
      <c r="AP66" s="13" t="str">
        <f ca="1">IFERROR(__xludf.DUMMYFUNCTION("""COMPUTED_VALUE"""),"Addition of integers using rules of signs")</f>
        <v>Addition of integers using rules of signs</v>
      </c>
      <c r="AQ66" s="13" t="str">
        <f ca="1">IFERROR(__xludf.DUMMYFUNCTION("""COMPUTED_VALUE"""),"LU000272")</f>
        <v>LU000272</v>
      </c>
      <c r="AR66" s="13" t="str">
        <f ca="1">IFERROR(__xludf.DUMMYFUNCTION("""COMPUTED_VALUE"""),"Subtraction of integers using rules of signs")</f>
        <v>Subtraction of integers using rules of signs</v>
      </c>
      <c r="AS66" s="13" t="str">
        <f ca="1">IFERROR(__xludf.DUMMYFUNCTION("""COMPUTED_VALUE"""),"LU000355")</f>
        <v>LU000355</v>
      </c>
      <c r="AT66" s="13" t="str">
        <f ca="1">IFERROR(__xludf.DUMMYFUNCTION("""COMPUTED_VALUE"""),"Multiplication of two integers")</f>
        <v>Multiplication of two integers</v>
      </c>
    </row>
    <row r="67" spans="1:46">
      <c r="A67" s="8" t="s">
        <v>247</v>
      </c>
      <c r="B67" s="8" t="s">
        <v>47</v>
      </c>
      <c r="C67" s="8" t="s">
        <v>416</v>
      </c>
      <c r="D67" s="8" t="s">
        <v>49</v>
      </c>
      <c r="E67" s="8" t="s">
        <v>498</v>
      </c>
      <c r="F67" s="8" t="s">
        <v>510</v>
      </c>
      <c r="G67" s="8" t="s">
        <v>511</v>
      </c>
      <c r="H67" s="8" t="str">
        <f ca="1">IFERROR(__xludf.DUMMYFUNCTION("VLOOKUP(G67, IMPORTRANGE(""https://docs.google.com/spreadsheets/d/14deopnvwcrKtEGCKuYXdUHJbeLDZlkiSSWWT0g7x2pM/edit#gid=999382323"", ""LU List Maths (Filter)!A:B""), 2, FALSE)"),"Real life application of solving simple equations")</f>
        <v>Real life application of solving simple equations</v>
      </c>
      <c r="I67" s="10" t="str">
        <f t="shared" si="0"/>
        <v>LU000413.001</v>
      </c>
      <c r="J67" s="10" t="str">
        <f ca="1">IFERROR(__xludf.DUMMYFUNCTION("VLOOKUP(I67, IMPORTRANGE(""https://docs.google.com/spreadsheets/d/1yDAaXNsi4Mr5FtRQL4tbmSdIzhx6_m4wkOD7IG-k_eo/edit#gid=0"", ""Maths!M:N""), 2, FALSE)"),"Recall real-life scenarios where solving equations is applicable.")</f>
        <v>Recall real-life scenarios where solving equations is applicable.</v>
      </c>
      <c r="K67" s="10" t="str">
        <f t="shared" si="1"/>
        <v>LU000413.002</v>
      </c>
      <c r="L67" s="10" t="str">
        <f ca="1">IFERROR(__xludf.DUMMYFUNCTION("VLOOKUP(K67, IMPORTRANGE(""https://docs.google.com/spreadsheets/d/1yDAaXNsi4Mr5FtRQL4tbmSdIzhx6_m4wkOD7IG-k_eo/edit#gid=0"", ""Maths!M:N""), 2, FALSE)"),"Explain importance of solving simple equations in real-life contexts.")</f>
        <v>Explain importance of solving simple equations in real-life contexts.</v>
      </c>
      <c r="M67" s="10" t="str">
        <f t="shared" si="2"/>
        <v>LU000413.003</v>
      </c>
      <c r="N67" s="10" t="str">
        <f ca="1">IFERROR(__xludf.DUMMYFUNCTION("VLOOKUP(M67, IMPORTRANGE(""https://docs.google.com/spreadsheets/d/1yDAaXNsi4Mr5FtRQL4tbmSdIzhx6_m4wkOD7IG-k_eo/edit#gid=0"", ""Maths!M:N""), 2, FALSE)"),"Construct an equation for a given word problem (with a single variable).")</f>
        <v>Construct an equation for a given word problem (with a single variable).</v>
      </c>
      <c r="O67" s="10" t="str">
        <f t="shared" si="3"/>
        <v>LU000413.004</v>
      </c>
      <c r="P67" s="10" t="str">
        <f ca="1">IFERROR(__xludf.DUMMYFUNCTION("VLOOKUP(O67, IMPORTRANGE(""https://docs.google.com/spreadsheets/d/1yDAaXNsi4Mr5FtRQL4tbmSdIzhx6_m4wkOD7IG-k_eo/edit#gid=0"", ""Maths!M:N""), 2, FALSE)"),"Solve real life problems which requires solving equation with one variable (using trial and error, systematic or transpose method).")</f>
        <v>Solve real life problems which requires solving equation with one variable (using trial and error, systematic or transpose method).</v>
      </c>
      <c r="Q67" s="10" t="str">
        <f t="shared" si="4"/>
        <v>LU000413.005</v>
      </c>
      <c r="R67" s="10" t="str">
        <f ca="1">IFERROR(__xludf.DUMMYFUNCTION("VLOOKUP(Q67, IMPORTRANGE(""https://docs.google.com/spreadsheets/d/1yDAaXNsi4Mr5FtRQL4tbmSdIzhx6_m4wkOD7IG-k_eo/edit#gid=0"", ""Maths!M:N""), 2, FALSE)"),"Relate a given equation to some appropriate practical situation and build a practical word problem/puzzle from the equation.")</f>
        <v>Relate a given equation to some appropriate practical situation and build a practical word problem/puzzle from the equation.</v>
      </c>
      <c r="S67" s="10" t="str">
        <f t="shared" si="5"/>
        <v>LU000413.006</v>
      </c>
      <c r="T67" s="10" t="str">
        <f ca="1">IFERROR(__xludf.DUMMYFUNCTION("VLOOKUP(S67, IMPORTRANGE(""https://docs.google.com/spreadsheets/d/1yDAaXNsi4Mr5FtRQL4tbmSdIzhx6_m4wkOD7IG-k_eo/edit#gid=0"", ""Maths!M:N""), 2, FALSE)"),"Develop word problems simulating real-life scenarios that can be solved using equations.")</f>
        <v>Develop word problems simulating real-life scenarios that can be solved using equations.</v>
      </c>
      <c r="U67" s="11">
        <f ca="1">IFERROR(__xludf.DUMMYFUNCTION("ArrayFormula(VLOOKUP(G67, IMPORTRANGE(""https://docs.google.com/spreadsheets/d/1p7R4vtkWt5VOBim4ltsDG9KTzSjrtKXsMtQGXPHyND0/edit#gid=795171502"", ""'Filter 30_05_2024'!A1:M2000""), {2, 3, 4, 5,6,7,8,9,10,11,12,13}, 0))"),7)</f>
        <v>7</v>
      </c>
      <c r="V67" s="11">
        <f ca="1">IFERROR(__xludf.DUMMYFUNCTION("""COMPUTED_VALUE"""),6)</f>
        <v>6</v>
      </c>
      <c r="W67" s="11">
        <f ca="1">IFERROR(__xludf.DUMMYFUNCTION("""COMPUTED_VALUE"""),2)</f>
        <v>2</v>
      </c>
      <c r="X67" s="11">
        <f ca="1">IFERROR(__xludf.DUMMYFUNCTION("""COMPUTED_VALUE"""),15)</f>
        <v>15</v>
      </c>
      <c r="Y67" s="11">
        <f ca="1">IFERROR(__xludf.DUMMYFUNCTION("""COMPUTED_VALUE"""),12)</f>
        <v>12</v>
      </c>
      <c r="Z67" s="12">
        <f ca="1">IFERROR(__xludf.DUMMYFUNCTION("""COMPUTED_VALUE"""),4)</f>
        <v>4</v>
      </c>
      <c r="AA67" s="12">
        <f ca="1">IFERROR(__xludf.DUMMYFUNCTION("""COMPUTED_VALUE"""),1)</f>
        <v>1</v>
      </c>
      <c r="AB67" s="12">
        <f ca="1">IFERROR(__xludf.DUMMYFUNCTION("""COMPUTED_VALUE"""),17)</f>
        <v>17</v>
      </c>
      <c r="AC67" s="12"/>
      <c r="AD67" s="12"/>
      <c r="AE67" s="12"/>
      <c r="AF67" s="12"/>
      <c r="AG67" s="13" t="str">
        <f ca="1">IFERROR(__xludf.DUMMYFUNCTION("ArrayFormula(VLOOKUP(G67, IMPORTRANGE(""https://docs.google.com/spreadsheets/d/1Co934fvtviyaRiMsrIlT05Jaq7iiYq07aLvRr35KA48/edit?gid=173865642#gid=173865642"", ""'G7_Maths_Pri_LU'!G2:V2000""), {3, 4, 5, 6, 7, 8, 9, 10, 11, 12, 13, 14, 15, 16}, 0))"),"LU000405")</f>
        <v>LU000405</v>
      </c>
      <c r="AH67" s="13" t="str">
        <f ca="1">IFERROR(__xludf.DUMMYFUNCTION("""COMPUTED_VALUE"""),"Conversion of statements into simple equations")</f>
        <v>Conversion of statements into simple equations</v>
      </c>
      <c r="AI67" s="13" t="str">
        <f ca="1">IFERROR(__xludf.DUMMYFUNCTION("""COMPUTED_VALUE"""),"LU000410")</f>
        <v>LU000410</v>
      </c>
      <c r="AJ67" s="13" t="str">
        <f ca="1">IFERROR(__xludf.DUMMYFUNCTION("""COMPUTED_VALUE"""),"Solution of a simple equation by transpose method")</f>
        <v>Solution of a simple equation by transpose method</v>
      </c>
      <c r="AK67" s="13" t="str">
        <f ca="1">IFERROR(__xludf.DUMMYFUNCTION("""COMPUTED_VALUE"""),"LU000408")</f>
        <v>LU000408</v>
      </c>
      <c r="AL67" s="13" t="str">
        <f ca="1">IFERROR(__xludf.DUMMYFUNCTION("""COMPUTED_VALUE"""),"Solution of a simple equation by trial and error method")</f>
        <v>Solution of a simple equation by trial and error method</v>
      </c>
      <c r="AM67" s="13" t="str">
        <f ca="1">IFERROR(__xludf.DUMMYFUNCTION("""COMPUTED_VALUE"""),"LU000409")</f>
        <v>LU000409</v>
      </c>
      <c r="AN67" s="13" t="str">
        <f ca="1">IFERROR(__xludf.DUMMYFUNCTION("""COMPUTED_VALUE"""),"Solution of a simple equation by balancing method")</f>
        <v>Solution of a simple equation by balancing method</v>
      </c>
      <c r="AO67" s="13" t="str">
        <f ca="1">IFERROR(__xludf.DUMMYFUNCTION("""COMPUTED_VALUE"""),"LU000330")</f>
        <v>LU000330</v>
      </c>
      <c r="AP67" s="13" t="str">
        <f ca="1">IFERROR(__xludf.DUMMYFUNCTION("""COMPUTED_VALUE"""),"Definition of variable and constant")</f>
        <v>Definition of variable and constant</v>
      </c>
      <c r="AQ67" s="13" t="str">
        <f ca="1">IFERROR(__xludf.DUMMYFUNCTION("""COMPUTED_VALUE"""),"LU000404")</f>
        <v>LU000404</v>
      </c>
      <c r="AR67" s="13" t="str">
        <f ca="1">IFERROR(__xludf.DUMMYFUNCTION("""COMPUTED_VALUE"""),"Definition of simple equation")</f>
        <v>Definition of simple equation</v>
      </c>
      <c r="AS67" s="13"/>
      <c r="AT67" s="13"/>
    </row>
    <row r="68" spans="1:46">
      <c r="A68" s="8" t="s">
        <v>247</v>
      </c>
      <c r="B68" s="8" t="s">
        <v>47</v>
      </c>
      <c r="C68" s="8" t="s">
        <v>416</v>
      </c>
      <c r="D68" s="8" t="s">
        <v>49</v>
      </c>
      <c r="E68" s="8" t="s">
        <v>58</v>
      </c>
      <c r="F68" s="8" t="s">
        <v>512</v>
      </c>
      <c r="G68" s="8" t="s">
        <v>513</v>
      </c>
      <c r="H68" s="8" t="str">
        <f ca="1">IFERROR(__xludf.DUMMYFUNCTION("VLOOKUP(G68, IMPORTRANGE(""https://docs.google.com/spreadsheets/d/14deopnvwcrKtEGCKuYXdUHJbeLDZlkiSSWWT0g7x2pM/edit#gid=999382323"", ""LU List Maths (Filter)!A:B""), 2, FALSE)"),"Definition of complementary angles")</f>
        <v>Definition of complementary angles</v>
      </c>
      <c r="I68" s="10" t="str">
        <f t="shared" si="0"/>
        <v>LU000414.001</v>
      </c>
      <c r="J68" s="10" t="str">
        <f ca="1">IFERROR(__xludf.DUMMYFUNCTION("VLOOKUP(I68, IMPORTRANGE(""https://docs.google.com/spreadsheets/d/1yDAaXNsi4Mr5FtRQL4tbmSdIzhx6_m4wkOD7IG-k_eo/edit#gid=0"", ""Maths!M:N""), 2, FALSE)"),"Define complementary angles.")</f>
        <v>Define complementary angles.</v>
      </c>
      <c r="K68" s="10" t="str">
        <f t="shared" si="1"/>
        <v>LU000414.002</v>
      </c>
      <c r="L68" s="10" t="str">
        <f ca="1">IFERROR(__xludf.DUMMYFUNCTION("VLOOKUP(K68, IMPORTRANGE(""https://docs.google.com/spreadsheets/d/1yDAaXNsi4Mr5FtRQL4tbmSdIzhx6_m4wkOD7IG-k_eo/edit#gid=0"", ""Maths!M:N""), 2, FALSE)"),"Find the complement of the given angle.")</f>
        <v>Find the complement of the given angle.</v>
      </c>
      <c r="M68" s="10" t="str">
        <f t="shared" si="2"/>
        <v>LU000414.003</v>
      </c>
      <c r="N68" s="10" t="str">
        <f ca="1">IFERROR(__xludf.DUMMYFUNCTION("VLOOKUP(M68, IMPORTRANGE(""https://docs.google.com/spreadsheets/d/1yDAaXNsi4Mr5FtRQL4tbmSdIzhx6_m4wkOD7IG-k_eo/edit#gid=0"", ""Maths!M:N""), 2, FALSE)"),"Classify whether the given pair of angles are complementary.")</f>
        <v>Classify whether the given pair of angles are complementary.</v>
      </c>
      <c r="O68" s="10" t="str">
        <f t="shared" si="3"/>
        <v>LU000414.004</v>
      </c>
      <c r="P68" s="10" t="str">
        <f ca="1">IFERROR(__xludf.DUMMYFUNCTION("VLOOKUP(O68, IMPORTRANGE(""https://docs.google.com/spreadsheets/d/1yDAaXNsi4Mr5FtRQL4tbmSdIzhx6_m4wkOD7IG-k_eo/edit#gid=0"", ""Maths!M:N""), 2, FALSE)"),"Analyse geometric shapes to identify pairs of complementary angles.")</f>
        <v>Analyse geometric shapes to identify pairs of complementary angles.</v>
      </c>
      <c r="Q68" s="10" t="str">
        <f t="shared" si="4"/>
        <v>LU000414.005</v>
      </c>
      <c r="R68" s="10" t="str">
        <f ca="1">IFERROR(__xludf.DUMMYFUNCTION("VLOOKUP(Q68, IMPORTRANGE(""https://docs.google.com/spreadsheets/d/1yDAaXNsi4Mr5FtRQL4tbmSdIzhx6_m4wkOD7IG-k_eo/edit#gid=0"", ""Maths!M:N""), 2, FALSE)"),"Assess the validity of statements involving complementary angles.")</f>
        <v>Assess the validity of statements involving complementary angles.</v>
      </c>
      <c r="S68" s="10" t="str">
        <f t="shared" si="5"/>
        <v>LU000414.006</v>
      </c>
      <c r="T68" s="10" t="str">
        <f ca="1">IFERROR(__xludf.DUMMYFUNCTION("VLOOKUP(S68, IMPORTRANGE(""https://docs.google.com/spreadsheets/d/1yDAaXNsi4Mr5FtRQL4tbmSdIzhx6_m4wkOD7IG-k_eo/edit#gid=0"", ""Maths!M:N""), 2, FALSE)"),"Devise a visual presentation illustrating complementary angles and their real-world significance.")</f>
        <v>Devise a visual presentation illustrating complementary angles and their real-world significance.</v>
      </c>
      <c r="U68" s="11">
        <f ca="1">IFERROR(__xludf.DUMMYFUNCTION("ArrayFormula(VLOOKUP(G68, IMPORTRANGE(""https://docs.google.com/spreadsheets/d/1p7R4vtkWt5VOBim4ltsDG9KTzSjrtKXsMtQGXPHyND0/edit#gid=795171502"", ""'Filter 30_05_2024'!A1:M2000""), {2, 3, 4, 5,6,7,8,9,10,11,12,13}, 0))"),6)</f>
        <v>6</v>
      </c>
      <c r="V68" s="11">
        <f ca="1">IFERROR(__xludf.DUMMYFUNCTION("""COMPUTED_VALUE"""),6)</f>
        <v>6</v>
      </c>
      <c r="W68" s="11">
        <f ca="1">IFERROR(__xludf.DUMMYFUNCTION("""COMPUTED_VALUE"""),5)</f>
        <v>5</v>
      </c>
      <c r="X68" s="11">
        <f ca="1">IFERROR(__xludf.DUMMYFUNCTION("""COMPUTED_VALUE"""),17)</f>
        <v>17</v>
      </c>
      <c r="Y68" s="11">
        <f ca="1">IFERROR(__xludf.DUMMYFUNCTION("""COMPUTED_VALUE"""),4)</f>
        <v>4</v>
      </c>
      <c r="Z68" s="12">
        <f ca="1">IFERROR(__xludf.DUMMYFUNCTION("""COMPUTED_VALUE"""),3)</f>
        <v>3</v>
      </c>
      <c r="AA68" s="12">
        <f ca="1">IFERROR(__xludf.DUMMYFUNCTION("""COMPUTED_VALUE"""),2)</f>
        <v>2</v>
      </c>
      <c r="AB68" s="12">
        <f ca="1">IFERROR(__xludf.DUMMYFUNCTION("""COMPUTED_VALUE"""),9)</f>
        <v>9</v>
      </c>
      <c r="AC68" s="12"/>
      <c r="AD68" s="12"/>
      <c r="AE68" s="12"/>
      <c r="AF68" s="12"/>
      <c r="AG68" s="13" t="str">
        <f ca="1">IFERROR(__xludf.DUMMYFUNCTION("ArrayFormula(VLOOKUP(G68, IMPORTRANGE(""https://docs.google.com/spreadsheets/d/1Co934fvtviyaRiMsrIlT05Jaq7iiYq07aLvRr35KA48/edit?gid=173865642#gid=173865642"", ""'G7_Maths_Pri_LU'!G2:V2000""), {3, 4, 5, 6, 7, 8, 9, 10, 11, 12, 13, 14, 15, 16}, 0))"),"LU000019")</f>
        <v>LU000019</v>
      </c>
      <c r="AH68" s="13" t="str">
        <f ca="1">IFERROR(__xludf.DUMMYFUNCTION("""COMPUTED_VALUE"""),"Classification of angles with respect to right angle")</f>
        <v>Classification of angles with respect to right angle</v>
      </c>
      <c r="AI68" s="13" t="str">
        <f ca="1">IFERROR(__xludf.DUMMYFUNCTION("""COMPUTED_VALUE"""),"LU000017")</f>
        <v>LU000017</v>
      </c>
      <c r="AJ68" s="13" t="str">
        <f ca="1">IFERROR(__xludf.DUMMYFUNCTION("""COMPUTED_VALUE"""),"Definition of a right angle")</f>
        <v>Definition of a right angle</v>
      </c>
      <c r="AK68" s="13" t="str">
        <f ca="1">IFERROR(__xludf.DUMMYFUNCTION("""COMPUTED_VALUE"""),"LU000014")</f>
        <v>LU000014</v>
      </c>
      <c r="AL68" s="13" t="str">
        <f ca="1">IFERROR(__xludf.DUMMYFUNCTION("""COMPUTED_VALUE"""),"Definition of an angle")</f>
        <v>Definition of an angle</v>
      </c>
      <c r="AM68" s="13" t="str">
        <f ca="1">IFERROR(__xludf.DUMMYFUNCTION("""COMPUTED_VALUE"""),"LU000024")</f>
        <v>LU000024</v>
      </c>
      <c r="AN68" s="13" t="str">
        <f ca="1">IFERROR(__xludf.DUMMYFUNCTION("""COMPUTED_VALUE"""),"Definition of degree as unit to measure an angle")</f>
        <v>Definition of degree as unit to measure an angle</v>
      </c>
      <c r="AO68" s="13"/>
      <c r="AP68" s="13"/>
      <c r="AQ68" s="13"/>
      <c r="AR68" s="13"/>
      <c r="AS68" s="13"/>
      <c r="AT68" s="13"/>
    </row>
    <row r="69" spans="1:46">
      <c r="A69" s="8" t="s">
        <v>247</v>
      </c>
      <c r="B69" s="8" t="s">
        <v>47</v>
      </c>
      <c r="C69" s="8" t="s">
        <v>416</v>
      </c>
      <c r="D69" s="8" t="s">
        <v>49</v>
      </c>
      <c r="E69" s="8" t="s">
        <v>58</v>
      </c>
      <c r="F69" s="8" t="s">
        <v>512</v>
      </c>
      <c r="G69" s="8" t="s">
        <v>514</v>
      </c>
      <c r="H69" s="8" t="str">
        <f ca="1">IFERROR(__xludf.DUMMYFUNCTION("VLOOKUP(G69, IMPORTRANGE(""https://docs.google.com/spreadsheets/d/14deopnvwcrKtEGCKuYXdUHJbeLDZlkiSSWWT0g7x2pM/edit#gid=999382323"", ""LU List Maths (Filter)!A:B""), 2, FALSE)"),"Definition of supplementary angles")</f>
        <v>Definition of supplementary angles</v>
      </c>
      <c r="I69" s="10" t="str">
        <f t="shared" si="0"/>
        <v>LU000415.001</v>
      </c>
      <c r="J69" s="10" t="str">
        <f ca="1">IFERROR(__xludf.DUMMYFUNCTION("VLOOKUP(I69, IMPORTRANGE(""https://docs.google.com/spreadsheets/d/1yDAaXNsi4Mr5FtRQL4tbmSdIzhx6_m4wkOD7IG-k_eo/edit#gid=0"", ""Maths!M:N""), 2, FALSE)"),"Define supplementary angles.")</f>
        <v>Define supplementary angles.</v>
      </c>
      <c r="K69" s="10" t="str">
        <f t="shared" si="1"/>
        <v>LU000415.002</v>
      </c>
      <c r="L69" s="10" t="str">
        <f ca="1">IFERROR(__xludf.DUMMYFUNCTION("VLOOKUP(K69, IMPORTRANGE(""https://docs.google.com/spreadsheets/d/1yDAaXNsi4Mr5FtRQL4tbmSdIzhx6_m4wkOD7IG-k_eo/edit#gid=0"", ""Maths!M:N""), 2, FALSE)"),"Find the supplement of the given angle.")</f>
        <v>Find the supplement of the given angle.</v>
      </c>
      <c r="M69" s="10" t="str">
        <f t="shared" si="2"/>
        <v>LU000415.003</v>
      </c>
      <c r="N69" s="10" t="str">
        <f ca="1">IFERROR(__xludf.DUMMYFUNCTION("VLOOKUP(M69, IMPORTRANGE(""https://docs.google.com/spreadsheets/d/1yDAaXNsi4Mr5FtRQL4tbmSdIzhx6_m4wkOD7IG-k_eo/edit#gid=0"", ""Maths!M:N""), 2, FALSE)"),"Classify whether the given pair of angles are supplementary.")</f>
        <v>Classify whether the given pair of angles are supplementary.</v>
      </c>
      <c r="O69" s="10" t="str">
        <f t="shared" si="3"/>
        <v>LU000415.004</v>
      </c>
      <c r="P69" s="10" t="str">
        <f ca="1">IFERROR(__xludf.DUMMYFUNCTION("VLOOKUP(O69, IMPORTRANGE(""https://docs.google.com/spreadsheets/d/1yDAaXNsi4Mr5FtRQL4tbmSdIzhx6_m4wkOD7IG-k_eo/edit#gid=0"", ""Maths!M:N""), 2, FALSE)"),"Analyse geometric shapes to identify pairs of supplementary angles.")</f>
        <v>Analyse geometric shapes to identify pairs of supplementary angles.</v>
      </c>
      <c r="Q69" s="10" t="str">
        <f t="shared" si="4"/>
        <v>LU000415.005</v>
      </c>
      <c r="R69" s="10" t="str">
        <f ca="1">IFERROR(__xludf.DUMMYFUNCTION("VLOOKUP(Q69, IMPORTRANGE(""https://docs.google.com/spreadsheets/d/1yDAaXNsi4Mr5FtRQL4tbmSdIzhx6_m4wkOD7IG-k_eo/edit#gid=0"", ""Maths!M:N""), 2, FALSE)"),"Assess the validity of statements involving supplementary angles.")</f>
        <v>Assess the validity of statements involving supplementary angles.</v>
      </c>
      <c r="S69" s="10" t="str">
        <f t="shared" si="5"/>
        <v>LU000415.006</v>
      </c>
      <c r="T69" s="10" t="str">
        <f ca="1">IFERROR(__xludf.DUMMYFUNCTION("VLOOKUP(S69, IMPORTRANGE(""https://docs.google.com/spreadsheets/d/1yDAaXNsi4Mr5FtRQL4tbmSdIzhx6_m4wkOD7IG-k_eo/edit#gid=0"", ""Maths!M:N""), 2, FALSE)"),"Devise a visual presentation illustrating supplementary angles and their real-world significance.")</f>
        <v>Devise a visual presentation illustrating supplementary angles and their real-world significance.</v>
      </c>
      <c r="U69" s="11">
        <f ca="1">IFERROR(__xludf.DUMMYFUNCTION("ArrayFormula(VLOOKUP(G69, IMPORTRANGE(""https://docs.google.com/spreadsheets/d/1p7R4vtkWt5VOBim4ltsDG9KTzSjrtKXsMtQGXPHyND0/edit#gid=795171502"", ""'Filter 30_05_2024'!A1:M2000""), {2, 3, 4, 5,6,7,8,9,10,11,12,13}, 0))"),6)</f>
        <v>6</v>
      </c>
      <c r="V69" s="11">
        <f ca="1">IFERROR(__xludf.DUMMYFUNCTION("""COMPUTED_VALUE"""),6)</f>
        <v>6</v>
      </c>
      <c r="W69" s="11">
        <f ca="1">IFERROR(__xludf.DUMMYFUNCTION("""COMPUTED_VALUE"""),5)</f>
        <v>5</v>
      </c>
      <c r="X69" s="11">
        <f ca="1">IFERROR(__xludf.DUMMYFUNCTION("""COMPUTED_VALUE"""),17)</f>
        <v>17</v>
      </c>
      <c r="Y69" s="11">
        <f ca="1">IFERROR(__xludf.DUMMYFUNCTION("""COMPUTED_VALUE"""),4)</f>
        <v>4</v>
      </c>
      <c r="Z69" s="12">
        <f ca="1">IFERROR(__xludf.DUMMYFUNCTION("""COMPUTED_VALUE"""),3)</f>
        <v>3</v>
      </c>
      <c r="AA69" s="12">
        <f ca="1">IFERROR(__xludf.DUMMYFUNCTION("""COMPUTED_VALUE"""),1)</f>
        <v>1</v>
      </c>
      <c r="AB69" s="12">
        <f ca="1">IFERROR(__xludf.DUMMYFUNCTION("""COMPUTED_VALUE"""),8)</f>
        <v>8</v>
      </c>
      <c r="AC69" s="12"/>
      <c r="AD69" s="12"/>
      <c r="AE69" s="12"/>
      <c r="AF69" s="12"/>
      <c r="AG69" s="13" t="str">
        <f ca="1">IFERROR(__xludf.DUMMYFUNCTION("ArrayFormula(VLOOKUP(G69, IMPORTRANGE(""https://docs.google.com/spreadsheets/d/1Co934fvtviyaRiMsrIlT05Jaq7iiYq07aLvRr35KA48/edit?gid=173865642#gid=173865642"", ""'G7_Maths_Pri_LU'!G2:V2000""), {3, 4, 5, 6, 7, 8, 9, 10, 11, 12, 13, 14, 15, 16}, 0))"),"LU000259")</f>
        <v>LU000259</v>
      </c>
      <c r="AH69" s="13" t="str">
        <f ca="1">IFERROR(__xludf.DUMMYFUNCTION("""COMPUTED_VALUE"""),"Definition of a straight angle")</f>
        <v>Definition of a straight angle</v>
      </c>
      <c r="AI69" s="13" t="str">
        <f ca="1">IFERROR(__xludf.DUMMYFUNCTION("""COMPUTED_VALUE"""),"LU000017")</f>
        <v>LU000017</v>
      </c>
      <c r="AJ69" s="13" t="str">
        <f ca="1">IFERROR(__xludf.DUMMYFUNCTION("""COMPUTED_VALUE"""),"Definition of a right angle")</f>
        <v>Definition of a right angle</v>
      </c>
      <c r="AK69" s="13" t="str">
        <f ca="1">IFERROR(__xludf.DUMMYFUNCTION("""COMPUTED_VALUE"""),"LU000014")</f>
        <v>LU000014</v>
      </c>
      <c r="AL69" s="13" t="str">
        <f ca="1">IFERROR(__xludf.DUMMYFUNCTION("""COMPUTED_VALUE"""),"Definition of an angle")</f>
        <v>Definition of an angle</v>
      </c>
      <c r="AM69" s="13" t="str">
        <f ca="1">IFERROR(__xludf.DUMMYFUNCTION("""COMPUTED_VALUE"""),"LU000024")</f>
        <v>LU000024</v>
      </c>
      <c r="AN69" s="13" t="str">
        <f ca="1">IFERROR(__xludf.DUMMYFUNCTION("""COMPUTED_VALUE"""),"Definition of degree as unit to measure an angle")</f>
        <v>Definition of degree as unit to measure an angle</v>
      </c>
      <c r="AO69" s="13"/>
      <c r="AP69" s="13"/>
      <c r="AQ69" s="13"/>
      <c r="AR69" s="13"/>
      <c r="AS69" s="13"/>
      <c r="AT69" s="13"/>
    </row>
    <row r="70" spans="1:46">
      <c r="A70" s="8" t="s">
        <v>247</v>
      </c>
      <c r="B70" s="8" t="s">
        <v>47</v>
      </c>
      <c r="C70" s="8" t="s">
        <v>416</v>
      </c>
      <c r="D70" s="8" t="s">
        <v>49</v>
      </c>
      <c r="E70" s="8" t="s">
        <v>58</v>
      </c>
      <c r="F70" s="8" t="s">
        <v>515</v>
      </c>
      <c r="G70" s="8" t="s">
        <v>516</v>
      </c>
      <c r="H70" s="8" t="str">
        <f ca="1">IFERROR(__xludf.DUMMYFUNCTION("VLOOKUP(G70, IMPORTRANGE(""https://docs.google.com/spreadsheets/d/14deopnvwcrKtEGCKuYXdUHJbeLDZlkiSSWWT0g7x2pM/edit#gid=999382323"", ""LU List Maths (Filter)!A:B""), 2, FALSE)"),"Definition of adjacent angles")</f>
        <v>Definition of adjacent angles</v>
      </c>
      <c r="I70" s="10" t="str">
        <f t="shared" si="0"/>
        <v>LU000416.001</v>
      </c>
      <c r="J70" s="10" t="str">
        <f ca="1">IFERROR(__xludf.DUMMYFUNCTION("VLOOKUP(I70, IMPORTRANGE(""https://docs.google.com/spreadsheets/d/1yDAaXNsi4Mr5FtRQL4tbmSdIzhx6_m4wkOD7IG-k_eo/edit#gid=0"", ""Maths!M:N""), 2, FALSE)"),"Define adjacent angles.")</f>
        <v>Define adjacent angles.</v>
      </c>
      <c r="K70" s="10" t="str">
        <f t="shared" si="1"/>
        <v>LU000416.002</v>
      </c>
      <c r="L70" s="10" t="str">
        <f ca="1">IFERROR(__xludf.DUMMYFUNCTION("VLOOKUP(K70, IMPORTRANGE(""https://docs.google.com/spreadsheets/d/1yDAaXNsi4Mr5FtRQL4tbmSdIzhx6_m4wkOD7IG-k_eo/edit#gid=0"", ""Maths!M:N""), 2, FALSE)"),"Identify adjacent angles in the figure.")</f>
        <v>Identify adjacent angles in the figure.</v>
      </c>
      <c r="M70" s="10" t="str">
        <f t="shared" si="2"/>
        <v>LU000416.003</v>
      </c>
      <c r="N70" s="10" t="str">
        <f ca="1">IFERROR(__xludf.DUMMYFUNCTION("VLOOKUP(M70, IMPORTRANGE(""https://docs.google.com/spreadsheets/d/1yDAaXNsi4Mr5FtRQL4tbmSdIzhx6_m4wkOD7IG-k_eo/edit#gid=0"", ""Maths!M:N""), 2, FALSE)"),"Classify whether the given pair of angles are adjacent angles .")</f>
        <v>Classify whether the given pair of angles are adjacent angles .</v>
      </c>
      <c r="O70" s="10" t="str">
        <f t="shared" si="3"/>
        <v>LU000416.004</v>
      </c>
      <c r="P70" s="10" t="str">
        <f ca="1">IFERROR(__xludf.DUMMYFUNCTION("VLOOKUP(O70, IMPORTRANGE(""https://docs.google.com/spreadsheets/d/1yDAaXNsi4Mr5FtRQL4tbmSdIzhx6_m4wkOD7IG-k_eo/edit#gid=0"", ""Maths!M:N""), 2, FALSE)"),"Analyse the possibility of two acute, obtuse, right, or complete angles being adjacent.")</f>
        <v>Analyse the possibility of two acute, obtuse, right, or complete angles being adjacent.</v>
      </c>
      <c r="Q70" s="10" t="str">
        <f t="shared" si="4"/>
        <v>LU000416.005</v>
      </c>
      <c r="R70" s="10" t="str">
        <f ca="1">IFERROR(__xludf.DUMMYFUNCTION("VLOOKUP(Q70, IMPORTRANGE(""https://docs.google.com/spreadsheets/d/1yDAaXNsi4Mr5FtRQL4tbmSdIzhx6_m4wkOD7IG-k_eo/edit#gid=0"", ""Maths!M:N""), 2, FALSE)"),"Assess the validity of claims about adjacent angles and provide reasoning.")</f>
        <v>Assess the validity of claims about adjacent angles and provide reasoning.</v>
      </c>
      <c r="S70" s="10" t="str">
        <f t="shared" si="5"/>
        <v>LU000416.006</v>
      </c>
      <c r="T70" s="10" t="str">
        <f ca="1">IFERROR(__xludf.DUMMYFUNCTION("VLOOKUP(S70, IMPORTRANGE(""https://docs.google.com/spreadsheets/d/1yDAaXNsi4Mr5FtRQL4tbmSdIzhx6_m4wkOD7IG-k_eo/edit#gid=0"", ""Maths!M:N""), 2, FALSE)"),"Design a visual representation illustrating adjacent angles and their properties.")</f>
        <v>Design a visual representation illustrating adjacent angles and their properties.</v>
      </c>
      <c r="U70" s="11">
        <f ca="1">IFERROR(__xludf.DUMMYFUNCTION("ArrayFormula(VLOOKUP(G70, IMPORTRANGE(""https://docs.google.com/spreadsheets/d/1p7R4vtkWt5VOBim4ltsDG9KTzSjrtKXsMtQGXPHyND0/edit#gid=795171502"", ""'Filter 30_05_2024'!A1:M2000""), {2, 3, 4, 5,6,7,8,9,10,11,12,13}, 0))"),8)</f>
        <v>8</v>
      </c>
      <c r="V70" s="11">
        <f ca="1">IFERROR(__xludf.DUMMYFUNCTION("""COMPUTED_VALUE"""),10)</f>
        <v>10</v>
      </c>
      <c r="W70" s="11">
        <f ca="1">IFERROR(__xludf.DUMMYFUNCTION("""COMPUTED_VALUE"""),2)</f>
        <v>2</v>
      </c>
      <c r="X70" s="11">
        <f ca="1">IFERROR(__xludf.DUMMYFUNCTION("""COMPUTED_VALUE"""),20)</f>
        <v>20</v>
      </c>
      <c r="Y70" s="11">
        <f ca="1">IFERROR(__xludf.DUMMYFUNCTION("""COMPUTED_VALUE"""),4)</f>
        <v>4</v>
      </c>
      <c r="Z70" s="12">
        <f ca="1">IFERROR(__xludf.DUMMYFUNCTION("""COMPUTED_VALUE"""),4)</f>
        <v>4</v>
      </c>
      <c r="AA70" s="12">
        <f ca="1">IFERROR(__xludf.DUMMYFUNCTION("""COMPUTED_VALUE"""),1)</f>
        <v>1</v>
      </c>
      <c r="AB70" s="12">
        <f ca="1">IFERROR(__xludf.DUMMYFUNCTION("""COMPUTED_VALUE"""),9)</f>
        <v>9</v>
      </c>
      <c r="AC70" s="12"/>
      <c r="AD70" s="12"/>
      <c r="AE70" s="12"/>
      <c r="AF70" s="12"/>
      <c r="AG70" s="13" t="str">
        <f ca="1">IFERROR(__xludf.DUMMYFUNCTION("ArrayFormula(VLOOKUP(G70, IMPORTRANGE(""https://docs.google.com/spreadsheets/d/1Co934fvtviyaRiMsrIlT05Jaq7iiYq07aLvRr35KA48/edit?gid=173865642#gid=173865642"", ""'G7_Maths_Pri_LU'!G2:V2000""), {3, 4, 5, 6, 7, 8, 9, 10, 11, 12, 13, 14, 15, 16}, 0))"),"LU000228")</f>
        <v>LU000228</v>
      </c>
      <c r="AH70" s="13" t="str">
        <f ca="1">IFERROR(__xludf.DUMMYFUNCTION("""COMPUTED_VALUE"""),"Parts of an angle")</f>
        <v>Parts of an angle</v>
      </c>
      <c r="AI70" s="13" t="str">
        <f ca="1">IFERROR(__xludf.DUMMYFUNCTION("""COMPUTED_VALUE"""),"LU000014")</f>
        <v>LU000014</v>
      </c>
      <c r="AJ70" s="13" t="str">
        <f ca="1">IFERROR(__xludf.DUMMYFUNCTION("""COMPUTED_VALUE"""),"Definition of an angle")</f>
        <v>Definition of an angle</v>
      </c>
      <c r="AK70" s="13"/>
      <c r="AL70" s="13"/>
      <c r="AM70" s="13"/>
      <c r="AN70" s="13"/>
      <c r="AO70" s="13"/>
      <c r="AP70" s="13"/>
      <c r="AQ70" s="13"/>
      <c r="AR70" s="13"/>
      <c r="AS70" s="13"/>
      <c r="AT70" s="13"/>
    </row>
    <row r="71" spans="1:46">
      <c r="A71" s="8" t="s">
        <v>247</v>
      </c>
      <c r="B71" s="8" t="s">
        <v>47</v>
      </c>
      <c r="C71" s="8" t="s">
        <v>416</v>
      </c>
      <c r="D71" s="8" t="s">
        <v>49</v>
      </c>
      <c r="E71" s="8" t="s">
        <v>58</v>
      </c>
      <c r="F71" s="8" t="s">
        <v>515</v>
      </c>
      <c r="G71" s="8" t="s">
        <v>517</v>
      </c>
      <c r="H71" s="8" t="str">
        <f ca="1">IFERROR(__xludf.DUMMYFUNCTION("VLOOKUP(G71, IMPORTRANGE(""https://docs.google.com/spreadsheets/d/14deopnvwcrKtEGCKuYXdUHJbeLDZlkiSSWWT0g7x2pM/edit#gid=999382323"", ""LU List Maths (Filter)!A:B""), 2, FALSE)"),"Definition of linear pair")</f>
        <v>Definition of linear pair</v>
      </c>
      <c r="I71" s="10" t="str">
        <f t="shared" si="0"/>
        <v>LU000417.001</v>
      </c>
      <c r="J71" s="10" t="str">
        <f ca="1">IFERROR(__xludf.DUMMYFUNCTION("VLOOKUP(I71, IMPORTRANGE(""https://docs.google.com/spreadsheets/d/1yDAaXNsi4Mr5FtRQL4tbmSdIzhx6_m4wkOD7IG-k_eo/edit#gid=0"", ""Maths!M:N""), 2, FALSE)"),"Define linear pair of angles.")</f>
        <v>Define linear pair of angles.</v>
      </c>
      <c r="K71" s="10" t="str">
        <f t="shared" si="1"/>
        <v>LU000417.002</v>
      </c>
      <c r="L71" s="10" t="str">
        <f ca="1">IFERROR(__xludf.DUMMYFUNCTION("VLOOKUP(K71, IMPORTRANGE(""https://docs.google.com/spreadsheets/d/1yDAaXNsi4Mr5FtRQL4tbmSdIzhx6_m4wkOD7IG-k_eo/edit#gid=0"", ""Maths!M:N""), 2, FALSE)"),"Identify linear pairs of angles in the figure")</f>
        <v>Identify linear pairs of angles in the figure</v>
      </c>
      <c r="M71" s="10" t="str">
        <f t="shared" si="2"/>
        <v>LU000417.003</v>
      </c>
      <c r="N71" s="10" t="str">
        <f ca="1">IFERROR(__xludf.DUMMYFUNCTION("VLOOKUP(M71, IMPORTRANGE(""https://docs.google.com/spreadsheets/d/1yDAaXNsi4Mr5FtRQL4tbmSdIzhx6_m4wkOD7IG-k_eo/edit#gid=0"", ""Maths!M:N""), 2, FALSE)"),"Use the knowlede of linear pair to find the measure of unknown angle.")</f>
        <v>Use the knowlede of linear pair to find the measure of unknown angle.</v>
      </c>
      <c r="O71" s="10" t="str">
        <f t="shared" si="3"/>
        <v>LU000417.004</v>
      </c>
      <c r="P71" s="10" t="str">
        <f ca="1">IFERROR(__xludf.DUMMYFUNCTION("VLOOKUP(O71, IMPORTRANGE(""https://docs.google.com/spreadsheets/d/1yDAaXNsi4Mr5FtRQL4tbmSdIzhx6_m4wkOD7IG-k_eo/edit#gid=0"", ""Maths!M:N""), 2, FALSE)"),"Analyze different geometric fugures to identify whether they represent linear pairs or not.")</f>
        <v>Analyze different geometric fugures to identify whether they represent linear pairs or not.</v>
      </c>
      <c r="Q71" s="10" t="str">
        <f t="shared" si="4"/>
        <v>LU000417.005</v>
      </c>
      <c r="R71" s="10" t="str">
        <f ca="1">IFERROR(__xludf.DUMMYFUNCTION("VLOOKUP(Q71, IMPORTRANGE(""https://docs.google.com/spreadsheets/d/1yDAaXNsi4Mr5FtRQL4tbmSdIzhx6_m4wkOD7IG-k_eo/edit#gid=0"", ""Maths!M:N""), 2, FALSE)"),"Assess the validity of claims about linear pair of angles and provide reasoning.")</f>
        <v>Assess the validity of claims about linear pair of angles and provide reasoning.</v>
      </c>
      <c r="S71" s="10" t="str">
        <f t="shared" si="5"/>
        <v>LU000417.006</v>
      </c>
      <c r="T71" s="10" t="str">
        <f ca="1">IFERROR(__xludf.DUMMYFUNCTION("VLOOKUP(S71, IMPORTRANGE(""https://docs.google.com/spreadsheets/d/1yDAaXNsi4Mr5FtRQL4tbmSdIzhx6_m4wkOD7IG-k_eo/edit#gid=0"", ""Maths!M:N""), 2, FALSE)"),"Design a visual representation illustrating linear pair of angles and their properties.")</f>
        <v>Design a visual representation illustrating linear pair of angles and their properties.</v>
      </c>
      <c r="U71" s="11">
        <f ca="1">IFERROR(__xludf.DUMMYFUNCTION("ArrayFormula(VLOOKUP(G71, IMPORTRANGE(""https://docs.google.com/spreadsheets/d/1p7R4vtkWt5VOBim4ltsDG9KTzSjrtKXsMtQGXPHyND0/edit#gid=795171502"", ""'Filter 30_05_2024'!A1:M2000""), {2, 3, 4, 5,6,7,8,9,10,11,12,13}, 0))"),14)</f>
        <v>14</v>
      </c>
      <c r="V71" s="11">
        <f ca="1">IFERROR(__xludf.DUMMYFUNCTION("""COMPUTED_VALUE"""),5)</f>
        <v>5</v>
      </c>
      <c r="W71" s="11">
        <f ca="1">IFERROR(__xludf.DUMMYFUNCTION("""COMPUTED_VALUE"""),2)</f>
        <v>2</v>
      </c>
      <c r="X71" s="11">
        <f ca="1">IFERROR(__xludf.DUMMYFUNCTION("""COMPUTED_VALUE"""),21)</f>
        <v>21</v>
      </c>
      <c r="Y71" s="11">
        <f ca="1">IFERROR(__xludf.DUMMYFUNCTION("""COMPUTED_VALUE"""),6)</f>
        <v>6</v>
      </c>
      <c r="Z71" s="12">
        <f ca="1">IFERROR(__xludf.DUMMYFUNCTION("""COMPUTED_VALUE"""),6)</f>
        <v>6</v>
      </c>
      <c r="AA71" s="12">
        <f ca="1">IFERROR(__xludf.DUMMYFUNCTION("""COMPUTED_VALUE"""),1)</f>
        <v>1</v>
      </c>
      <c r="AB71" s="12">
        <f ca="1">IFERROR(__xludf.DUMMYFUNCTION("""COMPUTED_VALUE"""),13)</f>
        <v>13</v>
      </c>
      <c r="AC71" s="12"/>
      <c r="AD71" s="12"/>
      <c r="AE71" s="12"/>
      <c r="AF71" s="12"/>
      <c r="AG71" s="13" t="str">
        <f ca="1">IFERROR(__xludf.DUMMYFUNCTION("ArrayFormula(VLOOKUP(G71, IMPORTRANGE(""https://docs.google.com/spreadsheets/d/1Co934fvtviyaRiMsrIlT05Jaq7iiYq07aLvRr35KA48/edit?gid=173865642#gid=173865642"", ""'G7_Maths_Pri_LU'!G2:V2000""), {3, 4, 5, 6, 7, 8, 9, 10, 11, 12, 13, 14, 15, 16}, 0))"),"LU000416")</f>
        <v>LU000416</v>
      </c>
      <c r="AH71" s="13" t="str">
        <f ca="1">IFERROR(__xludf.DUMMYFUNCTION("""COMPUTED_VALUE"""),"Definition of adjacent angles")</f>
        <v>Definition of adjacent angles</v>
      </c>
      <c r="AI71" s="13" t="str">
        <f ca="1">IFERROR(__xludf.DUMMYFUNCTION("""COMPUTED_VALUE"""),"LU000415")</f>
        <v>LU000415</v>
      </c>
      <c r="AJ71" s="13" t="str">
        <f ca="1">IFERROR(__xludf.DUMMYFUNCTION("""COMPUTED_VALUE"""),"Definition of supplementary angles")</f>
        <v>Definition of supplementary angles</v>
      </c>
      <c r="AK71" s="13" t="str">
        <f ca="1">IFERROR(__xludf.DUMMYFUNCTION("""COMPUTED_VALUE"""),"LU000228")</f>
        <v>LU000228</v>
      </c>
      <c r="AL71" s="13" t="str">
        <f ca="1">IFERROR(__xludf.DUMMYFUNCTION("""COMPUTED_VALUE"""),"Parts of an angle")</f>
        <v>Parts of an angle</v>
      </c>
      <c r="AM71" s="13" t="str">
        <f ca="1">IFERROR(__xludf.DUMMYFUNCTION("""COMPUTED_VALUE"""),"LU000019")</f>
        <v>LU000019</v>
      </c>
      <c r="AN71" s="13" t="str">
        <f ca="1">IFERROR(__xludf.DUMMYFUNCTION("""COMPUTED_VALUE"""),"Classification of angles with respect to right angle")</f>
        <v>Classification of angles with respect to right angle</v>
      </c>
      <c r="AO71" s="13"/>
      <c r="AP71" s="13"/>
      <c r="AQ71" s="13"/>
      <c r="AR71" s="13"/>
      <c r="AS71" s="13"/>
      <c r="AT71" s="13"/>
    </row>
    <row r="72" spans="1:46">
      <c r="A72" s="8" t="s">
        <v>247</v>
      </c>
      <c r="B72" s="8" t="s">
        <v>47</v>
      </c>
      <c r="C72" s="8" t="s">
        <v>416</v>
      </c>
      <c r="D72" s="8" t="s">
        <v>49</v>
      </c>
      <c r="E72" s="8" t="s">
        <v>58</v>
      </c>
      <c r="F72" s="8" t="s">
        <v>518</v>
      </c>
      <c r="G72" s="8" t="s">
        <v>519</v>
      </c>
      <c r="H72" s="8" t="str">
        <f ca="1">IFERROR(__xludf.DUMMYFUNCTION("VLOOKUP(G72, IMPORTRANGE(""https://docs.google.com/spreadsheets/d/14deopnvwcrKtEGCKuYXdUHJbeLDZlkiSSWWT0g7x2pM/edit#gid=999382323"", ""LU List Maths (Filter)!A:B""), 2, FALSE)"),"Definition of vertically opposite angles")</f>
        <v>Definition of vertically opposite angles</v>
      </c>
      <c r="I72" s="10" t="str">
        <f t="shared" si="0"/>
        <v>LU000418.001</v>
      </c>
      <c r="J72" s="10" t="str">
        <f ca="1">IFERROR(__xludf.DUMMYFUNCTION("VLOOKUP(I72, IMPORTRANGE(""https://docs.google.com/spreadsheets/d/1yDAaXNsi4Mr5FtRQL4tbmSdIzhx6_m4wkOD7IG-k_eo/edit#gid=0"", ""Maths!M:N""), 2, FALSE)"),"Define vertically opposite angles.")</f>
        <v>Define vertically opposite angles.</v>
      </c>
      <c r="K72" s="10" t="str">
        <f t="shared" si="1"/>
        <v>LU000418.002</v>
      </c>
      <c r="L72" s="10" t="str">
        <f ca="1">IFERROR(__xludf.DUMMYFUNCTION("VLOOKUP(K72, IMPORTRANGE(""https://docs.google.com/spreadsheets/d/1yDAaXNsi4Mr5FtRQL4tbmSdIzhx6_m4wkOD7IG-k_eo/edit#gid=0"", ""Maths!M:N""), 2, FALSE)"),"Identify vertically opposite angles in the figure.")</f>
        <v>Identify vertically opposite angles in the figure.</v>
      </c>
      <c r="M72" s="10" t="str">
        <f t="shared" si="2"/>
        <v>LU000418.003</v>
      </c>
      <c r="N72" s="10" t="str">
        <f ca="1">IFERROR(__xludf.DUMMYFUNCTION("VLOOKUP(M72, IMPORTRANGE(""https://docs.google.com/spreadsheets/d/1yDAaXNsi4Mr5FtRQL4tbmSdIzhx6_m4wkOD7IG-k_eo/edit#gid=0"", ""Maths!M:N""), 2, FALSE)"),"Identify different types of angles in order to determine the measure of unknown angles in the given figure. (Vertically opposite angles)")</f>
        <v>Identify different types of angles in order to determine the measure of unknown angles in the given figure. (Vertically opposite angles)</v>
      </c>
      <c r="O72" s="10" t="str">
        <f t="shared" si="3"/>
        <v>LU000418.004</v>
      </c>
      <c r="P72" s="10" t="str">
        <f ca="1">IFERROR(__xludf.DUMMYFUNCTION("VLOOKUP(O72, IMPORTRANGE(""https://docs.google.com/spreadsheets/d/1yDAaXNsi4Mr5FtRQL4tbmSdIzhx6_m4wkOD7IG-k_eo/edit#gid=0"", ""Maths!M:N""), 2, FALSE)"),"Justify that the vertically opposite angles are equal.")</f>
        <v>Justify that the vertically opposite angles are equal.</v>
      </c>
      <c r="Q72" s="10" t="str">
        <f t="shared" si="4"/>
        <v>LU000418.005</v>
      </c>
      <c r="R72" s="10" t="str">
        <f ca="1">IFERROR(__xludf.DUMMYFUNCTION("VLOOKUP(Q72, IMPORTRANGE(""https://docs.google.com/spreadsheets/d/1yDAaXNsi4Mr5FtRQL4tbmSdIzhx6_m4wkOD7IG-k_eo/edit#gid=0"", ""Maths!M:N""), 2, FALSE)"),"Assess the validity of claims about vertically opposite angles and provide reasoning.")</f>
        <v>Assess the validity of claims about vertically opposite angles and provide reasoning.</v>
      </c>
      <c r="S72" s="10" t="str">
        <f t="shared" si="5"/>
        <v>LU000418.006</v>
      </c>
      <c r="T72" s="10" t="str">
        <f ca="1">IFERROR(__xludf.DUMMYFUNCTION("VLOOKUP(S72, IMPORTRANGE(""https://docs.google.com/spreadsheets/d/1yDAaXNsi4Mr5FtRQL4tbmSdIzhx6_m4wkOD7IG-k_eo/edit#gid=0"", ""Maths!M:N""), 2, FALSE)"),"Design a visual representation illustrating vertically opposite angles and their properties.")</f>
        <v>Design a visual representation illustrating vertically opposite angles and their properties.</v>
      </c>
      <c r="U72" s="11">
        <f ca="1">IFERROR(__xludf.DUMMYFUNCTION("ArrayFormula(VLOOKUP(G72, IMPORTRANGE(""https://docs.google.com/spreadsheets/d/1p7R4vtkWt5VOBim4ltsDG9KTzSjrtKXsMtQGXPHyND0/edit#gid=795171502"", ""'Filter 30_05_2024'!A1:M2000""), {2, 3, 4, 5,6,7,8,9,10,11,12,13}, 0))"),4)</f>
        <v>4</v>
      </c>
      <c r="V72" s="11">
        <f ca="1">IFERROR(__xludf.DUMMYFUNCTION("""COMPUTED_VALUE"""),12)</f>
        <v>12</v>
      </c>
      <c r="W72" s="11">
        <f ca="1">IFERROR(__xludf.DUMMYFUNCTION("""COMPUTED_VALUE"""),2)</f>
        <v>2</v>
      </c>
      <c r="X72" s="11">
        <f ca="1">IFERROR(__xludf.DUMMYFUNCTION("""COMPUTED_VALUE"""),18)</f>
        <v>18</v>
      </c>
      <c r="Y72" s="11">
        <f ca="1">IFERROR(__xludf.DUMMYFUNCTION("""COMPUTED_VALUE"""),4)</f>
        <v>4</v>
      </c>
      <c r="Z72" s="12">
        <f ca="1">IFERROR(__xludf.DUMMYFUNCTION("""COMPUTED_VALUE"""),7)</f>
        <v>7</v>
      </c>
      <c r="AA72" s="12">
        <f ca="1">IFERROR(__xludf.DUMMYFUNCTION("""COMPUTED_VALUE"""),1)</f>
        <v>1</v>
      </c>
      <c r="AB72" s="12">
        <f ca="1">IFERROR(__xludf.DUMMYFUNCTION("""COMPUTED_VALUE"""),12)</f>
        <v>12</v>
      </c>
      <c r="AC72" s="12"/>
      <c r="AD72" s="12"/>
      <c r="AE72" s="12"/>
      <c r="AF72" s="12"/>
      <c r="AG72" s="13" t="str">
        <f ca="1">IFERROR(__xludf.DUMMYFUNCTION("ArrayFormula(VLOOKUP(G72, IMPORTRANGE(""https://docs.google.com/spreadsheets/d/1Co934fvtviyaRiMsrIlT05Jaq7iiYq07aLvRr35KA48/edit?gid=173865642#gid=173865642"", ""'G7_Maths_Pri_LU'!G2:V2000""), {3, 4, 5, 6, 7, 8, 9, 10, 11, 12, 13, 14, 15, 16}, 0))"),"LU000221")</f>
        <v>LU000221</v>
      </c>
      <c r="AH72" s="13" t="str">
        <f ca="1">IFERROR(__xludf.DUMMYFUNCTION("""COMPUTED_VALUE"""),"Definition and identification of intersecting lines")</f>
        <v>Definition and identification of intersecting lines</v>
      </c>
      <c r="AI72" s="13" t="str">
        <f ca="1">IFERROR(__xludf.DUMMYFUNCTION("""COMPUTED_VALUE"""),"LU000228")</f>
        <v>LU000228</v>
      </c>
      <c r="AJ72" s="13" t="str">
        <f ca="1">IFERROR(__xludf.DUMMYFUNCTION("""COMPUTED_VALUE"""),"Parts of an angle")</f>
        <v>Parts of an angle</v>
      </c>
      <c r="AK72" s="13" t="str">
        <f ca="1">IFERROR(__xludf.DUMMYFUNCTION("""COMPUTED_VALUE"""),"LU000014")</f>
        <v>LU000014</v>
      </c>
      <c r="AL72" s="13" t="str">
        <f ca="1">IFERROR(__xludf.DUMMYFUNCTION("""COMPUTED_VALUE"""),"Definition of an angle")</f>
        <v>Definition of an angle</v>
      </c>
      <c r="AM72" s="13"/>
      <c r="AN72" s="13"/>
      <c r="AO72" s="13"/>
      <c r="AP72" s="13"/>
      <c r="AQ72" s="13"/>
      <c r="AR72" s="13"/>
      <c r="AS72" s="13"/>
      <c r="AT72" s="13"/>
    </row>
    <row r="73" spans="1:46">
      <c r="A73" s="8" t="s">
        <v>247</v>
      </c>
      <c r="B73" s="8" t="s">
        <v>47</v>
      </c>
      <c r="C73" s="8" t="s">
        <v>416</v>
      </c>
      <c r="D73" s="8" t="s">
        <v>49</v>
      </c>
      <c r="E73" s="8" t="s">
        <v>58</v>
      </c>
      <c r="F73" s="8" t="s">
        <v>520</v>
      </c>
      <c r="G73" s="8" t="s">
        <v>521</v>
      </c>
      <c r="H73" s="8" t="str">
        <f ca="1">IFERROR(__xludf.DUMMYFUNCTION("VLOOKUP(G73, IMPORTRANGE(""https://docs.google.com/spreadsheets/d/14deopnvwcrKtEGCKuYXdUHJbeLDZlkiSSWWT0g7x2pM/edit#gid=999382323"", ""LU List Maths (Filter)!A:B""), 2, FALSE)"),"Definition of transversal")</f>
        <v>Definition of transversal</v>
      </c>
      <c r="I73" s="10" t="str">
        <f t="shared" si="0"/>
        <v>LU000419.001</v>
      </c>
      <c r="J73" s="10" t="str">
        <f ca="1">IFERROR(__xludf.DUMMYFUNCTION("VLOOKUP(I73, IMPORTRANGE(""https://docs.google.com/spreadsheets/d/1yDAaXNsi4Mr5FtRQL4tbmSdIzhx6_m4wkOD7IG-k_eo/edit#gid=0"", ""Maths!M:N""), 2, FALSE)"),"Define a transversal.")</f>
        <v>Define a transversal.</v>
      </c>
      <c r="K73" s="10" t="str">
        <f t="shared" si="1"/>
        <v>LU000419.002</v>
      </c>
      <c r="L73" s="10" t="str">
        <f ca="1">IFERROR(__xludf.DUMMYFUNCTION("VLOOKUP(K73, IMPORTRANGE(""https://docs.google.com/spreadsheets/d/1yDAaXNsi4Mr5FtRQL4tbmSdIzhx6_m4wkOD7IG-k_eo/edit#gid=0"", ""Maths!M:N""), 2, FALSE)"),"List real-life examples of transversals of parallel and non-parallel lines.")</f>
        <v>List real-life examples of transversals of parallel and non-parallel lines.</v>
      </c>
      <c r="M73" s="10" t="str">
        <f t="shared" si="2"/>
        <v>LU000419.003</v>
      </c>
      <c r="N73" s="10" t="str">
        <f ca="1">IFERROR(__xludf.DUMMYFUNCTION("VLOOKUP(M73, IMPORTRANGE(""https://docs.google.com/spreadsheets/d/1yDAaXNsi4Mr5FtRQL4tbmSdIzhx6_m4wkOD7IG-k_eo/edit#gid=0"", ""Maths!M:N""), 2, FALSE)"),"Identify the transversals of parallel and non-parallel lines.")</f>
        <v>Identify the transversals of parallel and non-parallel lines.</v>
      </c>
      <c r="O73" s="10" t="str">
        <f t="shared" si="3"/>
        <v>LU000419.004</v>
      </c>
      <c r="P73" s="10" t="str">
        <f ca="1">IFERROR(__xludf.DUMMYFUNCTION("VLOOKUP(O73, IMPORTRANGE(""https://docs.google.com/spreadsheets/d/1yDAaXNsi4Mr5FtRQL4tbmSdIzhx6_m4wkOD7IG-k_eo/edit#gid=0"", ""Maths!M:N""), 2, FALSE)"),"Find the number of angles made by a transversal of two lines.")</f>
        <v>Find the number of angles made by a transversal of two lines.</v>
      </c>
      <c r="Q73" s="10" t="str">
        <f t="shared" si="4"/>
        <v>LU000419.005</v>
      </c>
      <c r="R73" s="10" t="str">
        <f ca="1">IFERROR(__xludf.DUMMYFUNCTION("VLOOKUP(Q73, IMPORTRANGE(""https://docs.google.com/spreadsheets/d/1yDAaXNsi4Mr5FtRQL4tbmSdIzhx6_m4wkOD7IG-k_eo/edit#gid=0"", ""Maths!M:N""), 2, FALSE)"),"Assess the validity of statements regarding transversals and their properties.")</f>
        <v>Assess the validity of statements regarding transversals and their properties.</v>
      </c>
      <c r="S73" s="10" t="str">
        <f t="shared" si="5"/>
        <v>LU000419.006</v>
      </c>
      <c r="T73" s="10" t="str">
        <f ca="1">IFERROR(__xludf.DUMMYFUNCTION("VLOOKUP(S73, IMPORTRANGE(""https://docs.google.com/spreadsheets/d/1yDAaXNsi4Mr5FtRQL4tbmSdIzhx6_m4wkOD7IG-k_eo/edit#gid=0"", ""Maths!M:N""), 2, FALSE)"),"Design a diagram with parallel lines, a transversal, and labelled angles to demonstrate the concept of transversals.")</f>
        <v>Design a diagram with parallel lines, a transversal, and labelled angles to demonstrate the concept of transversals.</v>
      </c>
      <c r="U73" s="11">
        <f ca="1">IFERROR(__xludf.DUMMYFUNCTION("ArrayFormula(VLOOKUP(G73, IMPORTRANGE(""https://docs.google.com/spreadsheets/d/1p7R4vtkWt5VOBim4ltsDG9KTzSjrtKXsMtQGXPHyND0/edit#gid=795171502"", ""'Filter 30_05_2024'!A1:M2000""), {2, 3, 4, 5,6,7,8,9,10,11,12,13}, 0))"),4)</f>
        <v>4</v>
      </c>
      <c r="V73" s="11">
        <f ca="1">IFERROR(__xludf.DUMMYFUNCTION("""COMPUTED_VALUE"""),6)</f>
        <v>6</v>
      </c>
      <c r="W73" s="11">
        <f ca="1">IFERROR(__xludf.DUMMYFUNCTION("""COMPUTED_VALUE"""),2)</f>
        <v>2</v>
      </c>
      <c r="X73" s="11">
        <f ca="1">IFERROR(__xludf.DUMMYFUNCTION("""COMPUTED_VALUE"""),12)</f>
        <v>12</v>
      </c>
      <c r="Y73" s="11">
        <f ca="1">IFERROR(__xludf.DUMMYFUNCTION("""COMPUTED_VALUE"""),4)</f>
        <v>4</v>
      </c>
      <c r="Z73" s="12">
        <f ca="1">IFERROR(__xludf.DUMMYFUNCTION("""COMPUTED_VALUE"""),3)</f>
        <v>3</v>
      </c>
      <c r="AA73" s="12">
        <f ca="1">IFERROR(__xludf.DUMMYFUNCTION("""COMPUTED_VALUE"""),1)</f>
        <v>1</v>
      </c>
      <c r="AB73" s="12">
        <f ca="1">IFERROR(__xludf.DUMMYFUNCTION("""COMPUTED_VALUE"""),8)</f>
        <v>8</v>
      </c>
      <c r="AC73" s="12"/>
      <c r="AD73" s="12"/>
      <c r="AE73" s="12"/>
      <c r="AF73" s="12"/>
      <c r="AG73" s="13" t="str">
        <f ca="1">IFERROR(__xludf.DUMMYFUNCTION("ArrayFormula(VLOOKUP(G73, IMPORTRANGE(""https://docs.google.com/spreadsheets/d/1Co934fvtviyaRiMsrIlT05Jaq7iiYq07aLvRr35KA48/edit?gid=173865642#gid=173865642"", ""'G7_Maths_Pri_LU'!G2:V2000""), {3, 4, 5, 6, 7, 8, 9, 10, 11, 12, 13, 14, 15, 16}, 0))"),"LU000221")</f>
        <v>LU000221</v>
      </c>
      <c r="AH73" s="13" t="str">
        <f ca="1">IFERROR(__xludf.DUMMYFUNCTION("""COMPUTED_VALUE"""),"Definition and identification of intersecting lines")</f>
        <v>Definition and identification of intersecting lines</v>
      </c>
      <c r="AI73" s="13" t="str">
        <f ca="1">IFERROR(__xludf.DUMMYFUNCTION("""COMPUTED_VALUE"""),"LU000222")</f>
        <v>LU000222</v>
      </c>
      <c r="AJ73" s="13" t="str">
        <f ca="1">IFERROR(__xludf.DUMMYFUNCTION("""COMPUTED_VALUE"""),"Definition and identification of parallel lines")</f>
        <v>Definition and identification of parallel lines</v>
      </c>
      <c r="AK73" s="13" t="str">
        <f ca="1">IFERROR(__xludf.DUMMYFUNCTION("""COMPUTED_VALUE"""),"LU000220")</f>
        <v>LU000220</v>
      </c>
      <c r="AL73" s="13" t="str">
        <f ca="1">IFERROR(__xludf.DUMMYFUNCTION("""COMPUTED_VALUE"""),"Definition of line")</f>
        <v>Definition of line</v>
      </c>
      <c r="AM73" s="13"/>
      <c r="AN73" s="13"/>
      <c r="AO73" s="13"/>
      <c r="AP73" s="13"/>
      <c r="AQ73" s="13"/>
      <c r="AR73" s="13"/>
      <c r="AS73" s="13"/>
      <c r="AT73" s="13"/>
    </row>
    <row r="74" spans="1:46">
      <c r="A74" s="8" t="s">
        <v>247</v>
      </c>
      <c r="B74" s="8" t="s">
        <v>47</v>
      </c>
      <c r="C74" s="8" t="s">
        <v>416</v>
      </c>
      <c r="D74" s="8" t="s">
        <v>49</v>
      </c>
      <c r="E74" s="8" t="s">
        <v>58</v>
      </c>
      <c r="F74" s="8" t="s">
        <v>522</v>
      </c>
      <c r="G74" s="8" t="s">
        <v>523</v>
      </c>
      <c r="H74" s="8" t="str">
        <f ca="1">IFERROR(__xludf.DUMMYFUNCTION("VLOOKUP(G74, IMPORTRANGE(""https://docs.google.com/spreadsheets/d/14deopnvwcrKtEGCKuYXdUHJbeLDZlkiSSWWT0g7x2pM/edit#gid=999382323"", ""LU List Maths (Filter)!A:B""), 2, FALSE)"),"Angles made by transversal - Interior angles
")</f>
        <v xml:space="preserve">Angles made by transversal - Interior angles
</v>
      </c>
      <c r="I74" s="10" t="str">
        <f t="shared" si="0"/>
        <v>LU001020.001</v>
      </c>
      <c r="J74" s="10" t="str">
        <f ca="1">IFERROR(__xludf.DUMMYFUNCTION("VLOOKUP(I74, IMPORTRANGE(""https://docs.google.com/spreadsheets/d/1yDAaXNsi4Mr5FtRQL4tbmSdIzhx6_m4wkOD7IG-k_eo/edit#gid=0"", ""Maths!M:N""), 2, FALSE)"),"Recall the definitions and properties of interior angles made by a transversal.")</f>
        <v>Recall the definitions and properties of interior angles made by a transversal.</v>
      </c>
      <c r="K74" s="10" t="str">
        <f t="shared" si="1"/>
        <v>LU001020.002</v>
      </c>
      <c r="L74" s="10" t="str">
        <f ca="1">IFERROR(__xludf.DUMMYFUNCTION("VLOOKUP(K74, IMPORTRANGE(""https://docs.google.com/spreadsheets/d/1yDAaXNsi4Mr5FtRQL4tbmSdIzhx6_m4wkOD7IG-k_eo/edit#gid=0"", ""Maths!M:N""), 2, FALSE)"),"Explain the concept of interior angles formed by a transversal with parallel lines.")</f>
        <v>Explain the concept of interior angles formed by a transversal with parallel lines.</v>
      </c>
      <c r="M74" s="10" t="str">
        <f t="shared" si="2"/>
        <v>LU001020.003</v>
      </c>
      <c r="N74" s="10" t="str">
        <f ca="1">IFERROR(__xludf.DUMMYFUNCTION("VLOOKUP(M74, IMPORTRANGE(""https://docs.google.com/spreadsheets/d/1yDAaXNsi4Mr5FtRQL4tbmSdIzhx6_m4wkOD7IG-k_eo/edit#gid=0"", ""Maths!M:N""), 2, FALSE)"),"Apply the properties of interior angles to solve problems involving transversals and parallel lines.")</f>
        <v>Apply the properties of interior angles to solve problems involving transversals and parallel lines.</v>
      </c>
      <c r="O74" s="10" t="str">
        <f t="shared" si="3"/>
        <v>LU001020.004</v>
      </c>
      <c r="P74" s="10" t="str">
        <f ca="1">IFERROR(__xludf.DUMMYFUNCTION("VLOOKUP(O74, IMPORTRANGE(""https://docs.google.com/spreadsheets/d/1yDAaXNsi4Mr5FtRQL4tbmSdIzhx6_m4wkOD7IG-k_eo/edit#gid=0"", ""Maths!M:N""), 2, FALSE)"),"Analyze geometric diagrams to identify and differentiate between various types of interior angles formed by transversals.")</f>
        <v>Analyze geometric diagrams to identify and differentiate between various types of interior angles formed by transversals.</v>
      </c>
      <c r="Q74" s="10" t="str">
        <f t="shared" si="4"/>
        <v>LU001020.005</v>
      </c>
      <c r="R74" s="10" t="str">
        <f ca="1">IFERROR(__xludf.DUMMYFUNCTION("VLOOKUP(Q74, IMPORTRANGE(""https://docs.google.com/spreadsheets/d/1yDAaXNsi4Mr5FtRQL4tbmSdIzhx6_m4wkOD7IG-k_eo/edit#gid=0"", ""Maths!M:N""), 2, FALSE)"),"Evaluate geometric proofs involving interior angles made by a transversal, determining the validity of the reasoning used.")</f>
        <v>Evaluate geometric proofs involving interior angles made by a transversal, determining the validity of the reasoning used.</v>
      </c>
      <c r="S74" s="10" t="str">
        <f t="shared" si="5"/>
        <v>LU001020.006</v>
      </c>
      <c r="T74" s="10" t="str">
        <f ca="1">IFERROR(__xludf.DUMMYFUNCTION("VLOOKUP(S74, IMPORTRANGE(""https://docs.google.com/spreadsheets/d/1yDAaXNsi4Mr5FtRQL4tbmSdIzhx6_m4wkOD7IG-k_eo/edit#gid=0"", ""Maths!M:N""), 2, FALSE)"),"#N/A")</f>
        <v>#N/A</v>
      </c>
      <c r="U74" s="11">
        <f ca="1">IFERROR(__xludf.DUMMYFUNCTION("ArrayFormula(VLOOKUP(G74, IMPORTRANGE(""https://docs.google.com/spreadsheets/d/1p7R4vtkWt5VOBim4ltsDG9KTzSjrtKXsMtQGXPHyND0/edit#gid=795171502"", ""'Filter 30_05_2024'!A1:M2000""), {2, 3, 4, 5,6,7,8,9,10,11,12,13}, 0))"),4)</f>
        <v>4</v>
      </c>
      <c r="V74" s="11">
        <f ca="1">IFERROR(__xludf.DUMMYFUNCTION("""COMPUTED_VALUE"""),4)</f>
        <v>4</v>
      </c>
      <c r="W74" s="11">
        <f ca="1">IFERROR(__xludf.DUMMYFUNCTION("""COMPUTED_VALUE"""),2)</f>
        <v>2</v>
      </c>
      <c r="X74" s="11">
        <f ca="1">IFERROR(__xludf.DUMMYFUNCTION("""COMPUTED_VALUE"""),10)</f>
        <v>10</v>
      </c>
      <c r="Y74" s="11">
        <f ca="1">IFERROR(__xludf.DUMMYFUNCTION("""COMPUTED_VALUE"""),4)</f>
        <v>4</v>
      </c>
      <c r="Z74" s="12">
        <f ca="1">IFERROR(__xludf.DUMMYFUNCTION("""COMPUTED_VALUE"""),3)</f>
        <v>3</v>
      </c>
      <c r="AA74" s="12">
        <f ca="1">IFERROR(__xludf.DUMMYFUNCTION("""COMPUTED_VALUE"""),1)</f>
        <v>1</v>
      </c>
      <c r="AB74" s="12">
        <f ca="1">IFERROR(__xludf.DUMMYFUNCTION("""COMPUTED_VALUE"""),8)</f>
        <v>8</v>
      </c>
      <c r="AC74" s="12"/>
      <c r="AD74" s="12"/>
      <c r="AE74" s="12"/>
      <c r="AF74" s="12"/>
      <c r="AG74" s="13" t="str">
        <f ca="1">IFERROR(__xludf.DUMMYFUNCTION("ArrayFormula(VLOOKUP(G74, IMPORTRANGE(""https://docs.google.com/spreadsheets/d/1Co934fvtviyaRiMsrIlT05Jaq7iiYq07aLvRr35KA48/edit?gid=173865642#gid=173865642"", ""'G7_Maths_Pri_LU'!G2:V2000""), {3, 4, 5, 6, 7, 8, 9, 10, 11, 12, 13, 14, 15, 16}, 0))"),"LU000222")</f>
        <v>LU000222</v>
      </c>
      <c r="AH74" s="13" t="str">
        <f ca="1">IFERROR(__xludf.DUMMYFUNCTION("""COMPUTED_VALUE"""),"Definition and identification of parallel lines")</f>
        <v>Definition and identification of parallel lines</v>
      </c>
      <c r="AI74" s="13" t="str">
        <f ca="1">IFERROR(__xludf.DUMMYFUNCTION("""COMPUTED_VALUE"""),"LU000419")</f>
        <v>LU000419</v>
      </c>
      <c r="AJ74" s="13" t="str">
        <f ca="1">IFERROR(__xludf.DUMMYFUNCTION("""COMPUTED_VALUE"""),"Definition of transversal")</f>
        <v>Definition of transversal</v>
      </c>
      <c r="AK74" s="13" t="str">
        <f ca="1">IFERROR(__xludf.DUMMYFUNCTION("""COMPUTED_VALUE"""),"LU000014")</f>
        <v>LU000014</v>
      </c>
      <c r="AL74" s="13" t="str">
        <f ca="1">IFERROR(__xludf.DUMMYFUNCTION("""COMPUTED_VALUE"""),"Definition of an angle")</f>
        <v>Definition of an angle</v>
      </c>
      <c r="AM74" s="13"/>
      <c r="AN74" s="13"/>
      <c r="AO74" s="13"/>
      <c r="AP74" s="13"/>
      <c r="AQ74" s="13"/>
      <c r="AR74" s="13"/>
      <c r="AS74" s="13"/>
      <c r="AT74" s="13"/>
    </row>
    <row r="75" spans="1:46">
      <c r="A75" s="8" t="s">
        <v>247</v>
      </c>
      <c r="B75" s="8" t="s">
        <v>47</v>
      </c>
      <c r="C75" s="8" t="s">
        <v>416</v>
      </c>
      <c r="D75" s="8" t="s">
        <v>49</v>
      </c>
      <c r="E75" s="8" t="s">
        <v>58</v>
      </c>
      <c r="F75" s="8" t="s">
        <v>522</v>
      </c>
      <c r="G75" s="8" t="s">
        <v>524</v>
      </c>
      <c r="H75" s="8" t="str">
        <f ca="1">IFERROR(__xludf.DUMMYFUNCTION("VLOOKUP(G75, IMPORTRANGE(""https://docs.google.com/spreadsheets/d/14deopnvwcrKtEGCKuYXdUHJbeLDZlkiSSWWT0g7x2pM/edit#gid=999382323"", ""LU List Maths (Filter)!A:B""), 2, FALSE)"),"Angles made by transversal - Alternate interior angles")</f>
        <v>Angles made by transversal - Alternate interior angles</v>
      </c>
      <c r="I75" s="10" t="str">
        <f t="shared" si="0"/>
        <v>LU001022.001</v>
      </c>
      <c r="J75" s="10" t="str">
        <f ca="1">IFERROR(__xludf.DUMMYFUNCTION("VLOOKUP(I75, IMPORTRANGE(""https://docs.google.com/spreadsheets/d/1yDAaXNsi4Mr5FtRQL4tbmSdIzhx6_m4wkOD7IG-k_eo/edit#gid=0"", ""Maths!M:N""), 2, FALSE)"),"Recall the definition and properties of alternate interior angles made by a transversal.")</f>
        <v>Recall the definition and properties of alternate interior angles made by a transversal.</v>
      </c>
      <c r="K75" s="10" t="str">
        <f t="shared" si="1"/>
        <v>LU001022.002</v>
      </c>
      <c r="L75" s="10" t="str">
        <f ca="1">IFERROR(__xludf.DUMMYFUNCTION("VLOOKUP(K75, IMPORTRANGE(""https://docs.google.com/spreadsheets/d/1yDAaXNsi4Mr5FtRQL4tbmSdIzhx6_m4wkOD7IG-k_eo/edit#gid=0"", ""Maths!M:N""), 2, FALSE)"),"Explain the concept and characteristics of alternate interior angles in transversal lines.")</f>
        <v>Explain the concept and characteristics of alternate interior angles in transversal lines.</v>
      </c>
      <c r="M75" s="10" t="str">
        <f t="shared" si="2"/>
        <v>LU001022.003</v>
      </c>
      <c r="N75" s="10" t="str">
        <f ca="1">IFERROR(__xludf.DUMMYFUNCTION("VLOOKUP(M75, IMPORTRANGE(""https://docs.google.com/spreadsheets/d/1yDAaXNsi4Mr5FtRQL4tbmSdIzhx6_m4wkOD7IG-k_eo/edit#gid=0"", ""Maths!M:N""), 2, FALSE)"),"Apply the properties of alternate interior angles to solve geometric problems involving transversals.")</f>
        <v>Apply the properties of alternate interior angles to solve geometric problems involving transversals.</v>
      </c>
      <c r="O75" s="10" t="str">
        <f t="shared" si="3"/>
        <v>LU001022.004</v>
      </c>
      <c r="P75" s="10" t="str">
        <f ca="1">IFERROR(__xludf.DUMMYFUNCTION("VLOOKUP(O75, IMPORTRANGE(""https://docs.google.com/spreadsheets/d/1yDAaXNsi4Mr5FtRQL4tbmSdIzhx6_m4wkOD7IG-k_eo/edit#gid=0"", ""Maths!M:N""), 2, FALSE)"),"Examine geometric diagrams to identify and differentiate alternate interior angles formed by transversals.")</f>
        <v>Examine geometric diagrams to identify and differentiate alternate interior angles formed by transversals.</v>
      </c>
      <c r="Q75" s="10" t="str">
        <f t="shared" si="4"/>
        <v>LU001022.005</v>
      </c>
      <c r="R75" s="10" t="str">
        <f ca="1">IFERROR(__xludf.DUMMYFUNCTION("VLOOKUP(Q75, IMPORTRANGE(""https://docs.google.com/spreadsheets/d/1yDAaXNsi4Mr5FtRQL4tbmSdIzhx6_m4wkOD7IG-k_eo/edit#gid=0"", ""Maths!M:N""), 2, FALSE)"),"Assess problems and solutions involving alternate interior angles, determining the validity and accuracy of the approaches used.")</f>
        <v>Assess problems and solutions involving alternate interior angles, determining the validity and accuracy of the approaches used.</v>
      </c>
      <c r="S75" s="10" t="str">
        <f t="shared" si="5"/>
        <v>LU001022.006</v>
      </c>
      <c r="T75" s="10" t="str">
        <f ca="1">IFERROR(__xludf.DUMMYFUNCTION("VLOOKUP(S75, IMPORTRANGE(""https://docs.google.com/spreadsheets/d/1yDAaXNsi4Mr5FtRQL4tbmSdIzhx6_m4wkOD7IG-k_eo/edit#gid=0"", ""Maths!M:N""), 2, FALSE)"),"#N/A")</f>
        <v>#N/A</v>
      </c>
      <c r="U75" s="11">
        <f ca="1">IFERROR(__xludf.DUMMYFUNCTION("ArrayFormula(VLOOKUP(G75, IMPORTRANGE(""https://docs.google.com/spreadsheets/d/1p7R4vtkWt5VOBim4ltsDG9KTzSjrtKXsMtQGXPHyND0/edit#gid=795171502"", ""'Filter 30_05_2024'!A1:M2000""), {2, 3, 4, 5,6,7,8,9,10,11,12,13}, 0))"),12)</f>
        <v>12</v>
      </c>
      <c r="V75" s="11">
        <f ca="1">IFERROR(__xludf.DUMMYFUNCTION("""COMPUTED_VALUE"""),12)</f>
        <v>12</v>
      </c>
      <c r="W75" s="11">
        <f ca="1">IFERROR(__xludf.DUMMYFUNCTION("""COMPUTED_VALUE"""),2)</f>
        <v>2</v>
      </c>
      <c r="X75" s="11">
        <f ca="1">IFERROR(__xludf.DUMMYFUNCTION("""COMPUTED_VALUE"""),26)</f>
        <v>26</v>
      </c>
      <c r="Y75" s="11">
        <f ca="1">IFERROR(__xludf.DUMMYFUNCTION("""COMPUTED_VALUE"""),5)</f>
        <v>5</v>
      </c>
      <c r="Z75" s="12">
        <f ca="1">IFERROR(__xludf.DUMMYFUNCTION("""COMPUTED_VALUE"""),3)</f>
        <v>3</v>
      </c>
      <c r="AA75" s="12">
        <f ca="1">IFERROR(__xludf.DUMMYFUNCTION("""COMPUTED_VALUE"""),1)</f>
        <v>1</v>
      </c>
      <c r="AB75" s="12">
        <f ca="1">IFERROR(__xludf.DUMMYFUNCTION("""COMPUTED_VALUE"""),9)</f>
        <v>9</v>
      </c>
      <c r="AC75" s="12"/>
      <c r="AD75" s="12"/>
      <c r="AE75" s="12"/>
      <c r="AF75" s="12"/>
      <c r="AG75" s="13" t="str">
        <f ca="1">IFERROR(__xludf.DUMMYFUNCTION("ArrayFormula(VLOOKUP(G75, IMPORTRANGE(""https://docs.google.com/spreadsheets/d/1Co934fvtviyaRiMsrIlT05Jaq7iiYq07aLvRr35KA48/edit?gid=173865642#gid=173865642"", ""'G7_Maths_Pri_LU'!G2:V2000""), {3, 4, 5, 6, 7, 8, 9, 10, 11, 12, 13, 14, 15, 16}, 0))"),"LU001020")</f>
        <v>LU001020</v>
      </c>
      <c r="AH75" s="13" t="str">
        <f ca="1">IFERROR(__xludf.DUMMYFUNCTION("""COMPUTED_VALUE"""),"Angles made by transversal - Interior angles
")</f>
        <v xml:space="preserve">Angles made by transversal - Interior angles
</v>
      </c>
      <c r="AI75" s="13" t="str">
        <f ca="1">IFERROR(__xludf.DUMMYFUNCTION("""COMPUTED_VALUE"""),"LU000222")</f>
        <v>LU000222</v>
      </c>
      <c r="AJ75" s="13" t="str">
        <f ca="1">IFERROR(__xludf.DUMMYFUNCTION("""COMPUTED_VALUE"""),"Definition and identification of parallel lines")</f>
        <v>Definition and identification of parallel lines</v>
      </c>
      <c r="AK75" s="13" t="str">
        <f ca="1">IFERROR(__xludf.DUMMYFUNCTION("""COMPUTED_VALUE"""),"LU000419")</f>
        <v>LU000419</v>
      </c>
      <c r="AL75" s="13" t="str">
        <f ca="1">IFERROR(__xludf.DUMMYFUNCTION("""COMPUTED_VALUE"""),"Definition of transversal")</f>
        <v>Definition of transversal</v>
      </c>
      <c r="AM75" s="13" t="str">
        <f ca="1">IFERROR(__xludf.DUMMYFUNCTION("""COMPUTED_VALUE"""),"LU000014")</f>
        <v>LU000014</v>
      </c>
      <c r="AN75" s="13" t="str">
        <f ca="1">IFERROR(__xludf.DUMMYFUNCTION("""COMPUTED_VALUE"""),"Definition of an angle")</f>
        <v>Definition of an angle</v>
      </c>
      <c r="AO75" s="13"/>
      <c r="AP75" s="13"/>
      <c r="AQ75" s="13"/>
      <c r="AR75" s="13"/>
      <c r="AS75" s="13"/>
      <c r="AT75" s="13"/>
    </row>
    <row r="76" spans="1:46">
      <c r="A76" s="8" t="s">
        <v>247</v>
      </c>
      <c r="B76" s="8" t="s">
        <v>47</v>
      </c>
      <c r="C76" s="8" t="s">
        <v>416</v>
      </c>
      <c r="D76" s="8" t="s">
        <v>49</v>
      </c>
      <c r="E76" s="8" t="s">
        <v>58</v>
      </c>
      <c r="F76" s="8" t="s">
        <v>522</v>
      </c>
      <c r="G76" s="8" t="s">
        <v>525</v>
      </c>
      <c r="H76" s="8" t="str">
        <f ca="1">IFERROR(__xludf.DUMMYFUNCTION("VLOOKUP(G76, IMPORTRANGE(""https://docs.google.com/spreadsheets/d/14deopnvwcrKtEGCKuYXdUHJbeLDZlkiSSWWT0g7x2pM/edit#gid=999382323"", ""LU List Maths (Filter)!A:B""), 2, FALSE)"),"Angles made by transversal - Interior angles on the same side of the transversal")</f>
        <v>Angles made by transversal - Interior angles on the same side of the transversal</v>
      </c>
      <c r="I76" s="10" t="str">
        <f t="shared" si="0"/>
        <v>LU001025.001</v>
      </c>
      <c r="J76" s="10" t="str">
        <f ca="1">IFERROR(__xludf.DUMMYFUNCTION("VLOOKUP(I76, IMPORTRANGE(""https://docs.google.com/spreadsheets/d/1yDAaXNsi4Mr5FtRQL4tbmSdIzhx6_m4wkOD7IG-k_eo/edit#gid=0"", ""Maths!M:N""), 2, FALSE)"),"Recall the definition of interior angles on the same side of a transversal.")</f>
        <v>Recall the definition of interior angles on the same side of a transversal.</v>
      </c>
      <c r="K76" s="10" t="str">
        <f t="shared" si="1"/>
        <v>LU001025.002</v>
      </c>
      <c r="L76" s="10" t="str">
        <f ca="1">IFERROR(__xludf.DUMMYFUNCTION("VLOOKUP(K76, IMPORTRANGE(""https://docs.google.com/spreadsheets/d/1yDAaXNsi4Mr5FtRQL4tbmSdIzhx6_m4wkOD7IG-k_eo/edit#gid=0"", ""Maths!M:N""), 2, FALSE)"),"Explain the concept and properties of interior angles on the same side of the transversal in the context of transversal lines.")</f>
        <v>Explain the concept and properties of interior angles on the same side of the transversal in the context of transversal lines.</v>
      </c>
      <c r="M76" s="10" t="str">
        <f t="shared" si="2"/>
        <v>LU001025.003</v>
      </c>
      <c r="N76" s="10" t="str">
        <f ca="1">IFERROR(__xludf.DUMMYFUNCTION("VLOOKUP(M76, IMPORTRANGE(""https://docs.google.com/spreadsheets/d/1yDAaXNsi4Mr5FtRQL4tbmSdIzhx6_m4wkOD7IG-k_eo/edit#gid=0"", ""Maths!M:N""), 2, FALSE)"),"Use the properties of interior angles on the same side of the transversal to solve geometric problems with transversals.")</f>
        <v>Use the properties of interior angles on the same side of the transversal to solve geometric problems with transversals.</v>
      </c>
      <c r="O76" s="10" t="str">
        <f t="shared" si="3"/>
        <v>LU001025.004</v>
      </c>
      <c r="P76" s="10" t="str">
        <f ca="1">IFERROR(__xludf.DUMMYFUNCTION("VLOOKUP(O76, IMPORTRANGE(""https://docs.google.com/spreadsheets/d/1yDAaXNsi4Mr5FtRQL4tbmSdIzhx6_m4wkOD7IG-k_eo/edit#gid=0"", ""Maths!M:N""), 2, FALSE)"),"Analyze geometric diagrams to identify and differentiate interior angles on the same side of the transversal.")</f>
        <v>Analyze geometric diagrams to identify and differentiate interior angles on the same side of the transversal.</v>
      </c>
      <c r="Q76" s="10" t="str">
        <f t="shared" si="4"/>
        <v>LU001025.005</v>
      </c>
      <c r="R76" s="10" t="str">
        <f ca="1">IFERROR(__xludf.DUMMYFUNCTION("VLOOKUP(Q76, IMPORTRANGE(""https://docs.google.com/spreadsheets/d/1yDAaXNsi4Mr5FtRQL4tbmSdIzhx6_m4wkOD7IG-k_eo/edit#gid=0"", ""Maths!M:N""), 2, FALSE)"),"Evaluate the correctness and accuracy of solutions in problems related to interior angles on the same side of the transversal.")</f>
        <v>Evaluate the correctness and accuracy of solutions in problems related to interior angles on the same side of the transversal.</v>
      </c>
      <c r="S76" s="10" t="str">
        <f t="shared" si="5"/>
        <v>LU001025.006</v>
      </c>
      <c r="T76" s="10" t="str">
        <f ca="1">IFERROR(__xludf.DUMMYFUNCTION("VLOOKUP(S76, IMPORTRANGE(""https://docs.google.com/spreadsheets/d/1yDAaXNsi4Mr5FtRQL4tbmSdIzhx6_m4wkOD7IG-k_eo/edit#gid=0"", ""Maths!M:N""), 2, FALSE)"),"#N/A")</f>
        <v>#N/A</v>
      </c>
      <c r="U76" s="11">
        <f ca="1">IFERROR(__xludf.DUMMYFUNCTION("ArrayFormula(VLOOKUP(G76, IMPORTRANGE(""https://docs.google.com/spreadsheets/d/1p7R4vtkWt5VOBim4ltsDG9KTzSjrtKXsMtQGXPHyND0/edit#gid=795171502"", ""'Filter 30_05_2024'!A1:M2000""), {2, 3, 4, 5,6,7,8,9,10,11,12,13}, 0))"),4)</f>
        <v>4</v>
      </c>
      <c r="V76" s="11">
        <f ca="1">IFERROR(__xludf.DUMMYFUNCTION("""COMPUTED_VALUE"""),6)</f>
        <v>6</v>
      </c>
      <c r="W76" s="11">
        <f ca="1">IFERROR(__xludf.DUMMYFUNCTION("""COMPUTED_VALUE"""),2)</f>
        <v>2</v>
      </c>
      <c r="X76" s="11">
        <f ca="1">IFERROR(__xludf.DUMMYFUNCTION("""COMPUTED_VALUE"""),12)</f>
        <v>12</v>
      </c>
      <c r="Y76" s="11">
        <f ca="1">IFERROR(__xludf.DUMMYFUNCTION("""COMPUTED_VALUE"""),5)</f>
        <v>5</v>
      </c>
      <c r="Z76" s="12">
        <f ca="1">IFERROR(__xludf.DUMMYFUNCTION("""COMPUTED_VALUE"""),3)</f>
        <v>3</v>
      </c>
      <c r="AA76" s="12">
        <f ca="1">IFERROR(__xludf.DUMMYFUNCTION("""COMPUTED_VALUE"""),1)</f>
        <v>1</v>
      </c>
      <c r="AB76" s="12">
        <f ca="1">IFERROR(__xludf.DUMMYFUNCTION("""COMPUTED_VALUE"""),9)</f>
        <v>9</v>
      </c>
      <c r="AC76" s="12"/>
      <c r="AD76" s="12"/>
      <c r="AE76" s="12"/>
      <c r="AF76" s="12"/>
      <c r="AG76" s="13" t="str">
        <f ca="1">IFERROR(__xludf.DUMMYFUNCTION("ArrayFormula(VLOOKUP(G76, IMPORTRANGE(""https://docs.google.com/spreadsheets/d/1Co934fvtviyaRiMsrIlT05Jaq7iiYq07aLvRr35KA48/edit?gid=173865642#gid=173865642"", ""'G7_Maths_Pri_LU'!G2:V2000""), {3, 4, 5, 6, 7, 8, 9, 10, 11, 12, 13, 14, 15, 16}, 0))"),"LU001022")</f>
        <v>LU001022</v>
      </c>
      <c r="AH76" s="13" t="str">
        <f ca="1">IFERROR(__xludf.DUMMYFUNCTION("""COMPUTED_VALUE"""),"Angles made by transversal - Alternate interior angles")</f>
        <v>Angles made by transversal - Alternate interior angles</v>
      </c>
      <c r="AI76" s="13" t="str">
        <f ca="1">IFERROR(__xludf.DUMMYFUNCTION("""COMPUTED_VALUE"""),"LU001020")</f>
        <v>LU001020</v>
      </c>
      <c r="AJ76" s="13" t="str">
        <f ca="1">IFERROR(__xludf.DUMMYFUNCTION("""COMPUTED_VALUE"""),"Angles made by transversal - Interior angles
")</f>
        <v xml:space="preserve">Angles made by transversal - Interior angles
</v>
      </c>
      <c r="AK76" s="13" t="str">
        <f ca="1">IFERROR(__xludf.DUMMYFUNCTION("""COMPUTED_VALUE"""),"LU000419")</f>
        <v>LU000419</v>
      </c>
      <c r="AL76" s="13" t="str">
        <f ca="1">IFERROR(__xludf.DUMMYFUNCTION("""COMPUTED_VALUE"""),"Definition of transversal")</f>
        <v>Definition of transversal</v>
      </c>
      <c r="AM76" s="13" t="str">
        <f ca="1">IFERROR(__xludf.DUMMYFUNCTION("""COMPUTED_VALUE"""),"LU000222")</f>
        <v>LU000222</v>
      </c>
      <c r="AN76" s="13" t="str">
        <f ca="1">IFERROR(__xludf.DUMMYFUNCTION("""COMPUTED_VALUE"""),"Definition and identification of parallel lines")</f>
        <v>Definition and identification of parallel lines</v>
      </c>
      <c r="AO76" s="13" t="str">
        <f ca="1">IFERROR(__xludf.DUMMYFUNCTION("""COMPUTED_VALUE"""),"LU000014")</f>
        <v>LU000014</v>
      </c>
      <c r="AP76" s="13" t="str">
        <f ca="1">IFERROR(__xludf.DUMMYFUNCTION("""COMPUTED_VALUE"""),"Definition of an angle")</f>
        <v>Definition of an angle</v>
      </c>
      <c r="AQ76" s="13"/>
      <c r="AR76" s="13"/>
      <c r="AS76" s="13"/>
      <c r="AT76" s="13"/>
    </row>
    <row r="77" spans="1:46">
      <c r="A77" s="8" t="s">
        <v>247</v>
      </c>
      <c r="B77" s="8" t="s">
        <v>47</v>
      </c>
      <c r="C77" s="8" t="s">
        <v>416</v>
      </c>
      <c r="D77" s="8" t="s">
        <v>49</v>
      </c>
      <c r="E77" s="8" t="s">
        <v>58</v>
      </c>
      <c r="F77" s="8" t="s">
        <v>526</v>
      </c>
      <c r="G77" s="8" t="s">
        <v>527</v>
      </c>
      <c r="H77" s="8" t="str">
        <f ca="1">IFERROR(__xludf.DUMMYFUNCTION("VLOOKUP(G77, IMPORTRANGE(""https://docs.google.com/spreadsheets/d/14deopnvwcrKtEGCKuYXdUHJbeLDZlkiSSWWT0g7x2pM/edit#gid=999382323"", ""LU List Maths (Filter)!A:B""), 2, FALSE)"),"Angles made by transversal - Exterior angles")</f>
        <v>Angles made by transversal - Exterior angles</v>
      </c>
      <c r="I77" s="10" t="str">
        <f t="shared" si="0"/>
        <v>LU001021.001</v>
      </c>
      <c r="J77" s="10" t="str">
        <f ca="1">IFERROR(__xludf.DUMMYFUNCTION("VLOOKUP(I77, IMPORTRANGE(""https://docs.google.com/spreadsheets/d/1yDAaXNsi4Mr5FtRQL4tbmSdIzhx6_m4wkOD7IG-k_eo/edit#gid=0"", ""Maths!M:N""), 2, FALSE)"),"Identify the properties of exterior angles formed by a transversal.")</f>
        <v>Identify the properties of exterior angles formed by a transversal.</v>
      </c>
      <c r="K77" s="10" t="str">
        <f t="shared" si="1"/>
        <v>LU001021.002</v>
      </c>
      <c r="L77" s="10" t="str">
        <f ca="1">IFERROR(__xludf.DUMMYFUNCTION("VLOOKUP(K77, IMPORTRANGE(""https://docs.google.com/spreadsheets/d/1yDAaXNsi4Mr5FtRQL4tbmSdIzhx6_m4wkOD7IG-k_eo/edit#gid=0"", ""Maths!M:N""), 2, FALSE)"),"Describe how exterior angles are formed by a transversal with parallel lines.")</f>
        <v>Describe how exterior angles are formed by a transversal with parallel lines.</v>
      </c>
      <c r="M77" s="10" t="str">
        <f t="shared" si="2"/>
        <v>LU001021.003</v>
      </c>
      <c r="N77" s="10" t="str">
        <f ca="1">IFERROR(__xludf.DUMMYFUNCTION("VLOOKUP(M77, IMPORTRANGE(""https://docs.google.com/spreadsheets/d/1yDAaXNsi4Mr5FtRQL4tbmSdIzhx6_m4wkOD7IG-k_eo/edit#gid=0"", ""Maths!M:N""), 2, FALSE)"),"Solve problems involving the calculation of exterior angles made by a transversal.")</f>
        <v>Solve problems involving the calculation of exterior angles made by a transversal.</v>
      </c>
      <c r="O77" s="10" t="str">
        <f t="shared" si="3"/>
        <v>LU001021.004</v>
      </c>
      <c r="P77" s="10" t="str">
        <f ca="1">IFERROR(__xludf.DUMMYFUNCTION("VLOOKUP(O77, IMPORTRANGE(""https://docs.google.com/spreadsheets/d/1yDAaXNsi4Mr5FtRQL4tbmSdIzhx6_m4wkOD7IG-k_eo/edit#gid=0"", ""Maths!M:N""), 2, FALSE)"),"Distinguish between different types of exterior angles in geometric diagrams involving transversals.")</f>
        <v>Distinguish between different types of exterior angles in geometric diagrams involving transversals.</v>
      </c>
      <c r="Q77" s="10" t="str">
        <f t="shared" si="4"/>
        <v>LU001021.005</v>
      </c>
      <c r="R77" s="10" t="str">
        <f ca="1">IFERROR(__xludf.DUMMYFUNCTION("VLOOKUP(Q77, IMPORTRANGE(""https://docs.google.com/spreadsheets/d/1yDAaXNsi4Mr5FtRQL4tbmSdIzhx6_m4wkOD7IG-k_eo/edit#gid=0"", ""Maths!M:N""), 2, FALSE)"),"Critique solutions to problems involving exterior angles made by a transversal, assessing the methods used.")</f>
        <v>Critique solutions to problems involving exterior angles made by a transversal, assessing the methods used.</v>
      </c>
      <c r="S77" s="10" t="str">
        <f t="shared" si="5"/>
        <v>LU001021.006</v>
      </c>
      <c r="T77" s="10" t="str">
        <f ca="1">IFERROR(__xludf.DUMMYFUNCTION("VLOOKUP(S77, IMPORTRANGE(""https://docs.google.com/spreadsheets/d/1yDAaXNsi4Mr5FtRQL4tbmSdIzhx6_m4wkOD7IG-k_eo/edit#gid=0"", ""Maths!M:N""), 2, FALSE)"),"Develop unique geometric problems that involve exterior angles formed by transversals, including detailed solutions and justifications.")</f>
        <v>Develop unique geometric problems that involve exterior angles formed by transversals, including detailed solutions and justifications.</v>
      </c>
      <c r="U77" s="11">
        <f ca="1">IFERROR(__xludf.DUMMYFUNCTION("ArrayFormula(VLOOKUP(G77, IMPORTRANGE(""https://docs.google.com/spreadsheets/d/1p7R4vtkWt5VOBim4ltsDG9KTzSjrtKXsMtQGXPHyND0/edit#gid=795171502"", ""'Filter 30_05_2024'!A1:M2000""), {2, 3, 4, 5,6,7,8,9,10,11,12,13}, 0))"),4)</f>
        <v>4</v>
      </c>
      <c r="V77" s="11">
        <f ca="1">IFERROR(__xludf.DUMMYFUNCTION("""COMPUTED_VALUE"""),4)</f>
        <v>4</v>
      </c>
      <c r="W77" s="11">
        <f ca="1">IFERROR(__xludf.DUMMYFUNCTION("""COMPUTED_VALUE"""),2)</f>
        <v>2</v>
      </c>
      <c r="X77" s="11">
        <f ca="1">IFERROR(__xludf.DUMMYFUNCTION("""COMPUTED_VALUE"""),10)</f>
        <v>10</v>
      </c>
      <c r="Y77" s="11">
        <f ca="1">IFERROR(__xludf.DUMMYFUNCTION("""COMPUTED_VALUE"""),4)</f>
        <v>4</v>
      </c>
      <c r="Z77" s="12">
        <f ca="1">IFERROR(__xludf.DUMMYFUNCTION("""COMPUTED_VALUE"""),4)</f>
        <v>4</v>
      </c>
      <c r="AA77" s="12">
        <f ca="1">IFERROR(__xludf.DUMMYFUNCTION("""COMPUTED_VALUE"""),1)</f>
        <v>1</v>
      </c>
      <c r="AB77" s="12">
        <f ca="1">IFERROR(__xludf.DUMMYFUNCTION("""COMPUTED_VALUE"""),9)</f>
        <v>9</v>
      </c>
      <c r="AC77" s="12"/>
      <c r="AD77" s="12"/>
      <c r="AE77" s="12"/>
      <c r="AF77" s="12"/>
      <c r="AG77" s="13" t="str">
        <f ca="1">IFERROR(__xludf.DUMMYFUNCTION("ArrayFormula(VLOOKUP(G77, IMPORTRANGE(""https://docs.google.com/spreadsheets/d/1Co934fvtviyaRiMsrIlT05Jaq7iiYq07aLvRr35KA48/edit?gid=173865642#gid=173865642"", ""'G7_Maths_Pri_LU'!G2:V2000""), {3, 4, 5, 6, 7, 8, 9, 10, 11, 12, 13, 14, 15, 16}, 0))"),"LU000222")</f>
        <v>LU000222</v>
      </c>
      <c r="AH77" s="13" t="str">
        <f ca="1">IFERROR(__xludf.DUMMYFUNCTION("""COMPUTED_VALUE"""),"Definition and identification of parallel lines")</f>
        <v>Definition and identification of parallel lines</v>
      </c>
      <c r="AI77" s="13" t="str">
        <f ca="1">IFERROR(__xludf.DUMMYFUNCTION("""COMPUTED_VALUE"""),"LU000419")</f>
        <v>LU000419</v>
      </c>
      <c r="AJ77" s="13" t="str">
        <f ca="1">IFERROR(__xludf.DUMMYFUNCTION("""COMPUTED_VALUE"""),"Definition of transversal")</f>
        <v>Definition of transversal</v>
      </c>
      <c r="AK77" s="13" t="str">
        <f ca="1">IFERROR(__xludf.DUMMYFUNCTION("""COMPUTED_VALUE"""),"LU000014")</f>
        <v>LU000014</v>
      </c>
      <c r="AL77" s="13" t="str">
        <f ca="1">IFERROR(__xludf.DUMMYFUNCTION("""COMPUTED_VALUE"""),"Definition of an angle")</f>
        <v>Definition of an angle</v>
      </c>
      <c r="AM77" s="13"/>
      <c r="AN77" s="13"/>
      <c r="AO77" s="13"/>
      <c r="AP77" s="13"/>
      <c r="AQ77" s="13"/>
      <c r="AR77" s="13"/>
      <c r="AS77" s="13"/>
      <c r="AT77" s="13"/>
    </row>
    <row r="78" spans="1:46">
      <c r="A78" s="8" t="s">
        <v>247</v>
      </c>
      <c r="B78" s="8" t="s">
        <v>47</v>
      </c>
      <c r="C78" s="8" t="s">
        <v>416</v>
      </c>
      <c r="D78" s="8" t="s">
        <v>49</v>
      </c>
      <c r="E78" s="8" t="s">
        <v>58</v>
      </c>
      <c r="F78" s="8" t="s">
        <v>526</v>
      </c>
      <c r="G78" s="8" t="s">
        <v>528</v>
      </c>
      <c r="H78" s="8" t="str">
        <f ca="1">IFERROR(__xludf.DUMMYFUNCTION("VLOOKUP(G78, IMPORTRANGE(""https://docs.google.com/spreadsheets/d/14deopnvwcrKtEGCKuYXdUHJbeLDZlkiSSWWT0g7x2pM/edit#gid=999382323"", ""LU List Maths (Filter)!A:B""), 2, FALSE)"),"Angles made by transversal - Alternate exterior angles")</f>
        <v>Angles made by transversal - Alternate exterior angles</v>
      </c>
      <c r="I78" s="10" t="str">
        <f t="shared" si="0"/>
        <v>LU001023.001</v>
      </c>
      <c r="J78" s="10" t="str">
        <f ca="1">IFERROR(__xludf.DUMMYFUNCTION("VLOOKUP(I78, IMPORTRANGE(""https://docs.google.com/spreadsheets/d/1yDAaXNsi4Mr5FtRQL4tbmSdIzhx6_m4wkOD7IG-k_eo/edit#gid=0"", ""Maths!M:N""), 2, FALSE)"),"Identify the characteristics of alternate exterior angles formed by a transversal.")</f>
        <v>Identify the characteristics of alternate exterior angles formed by a transversal.</v>
      </c>
      <c r="K78" s="10" t="str">
        <f t="shared" si="1"/>
        <v>LU001023.002</v>
      </c>
      <c r="L78" s="10" t="str">
        <f ca="1">IFERROR(__xludf.DUMMYFUNCTION("VLOOKUP(K78, IMPORTRANGE(""https://docs.google.com/spreadsheets/d/1yDAaXNsi4Mr5FtRQL4tbmSdIzhx6_m4wkOD7IG-k_eo/edit#gid=0"", ""Maths!M:N""), 2, FALSE)"),"Describe the formation and properties of alternate exterior angles in transversal lines.")</f>
        <v>Describe the formation and properties of alternate exterior angles in transversal lines.</v>
      </c>
      <c r="M78" s="10" t="str">
        <f t="shared" si="2"/>
        <v>LU001023.003</v>
      </c>
      <c r="N78" s="10" t="str">
        <f ca="1">IFERROR(__xludf.DUMMYFUNCTION("VLOOKUP(M78, IMPORTRANGE(""https://docs.google.com/spreadsheets/d/1yDAaXNsi4Mr5FtRQL4tbmSdIzhx6_m4wkOD7IG-k_eo/edit#gid=0"", ""Maths!M:N""), 2, FALSE)"),"Use the properties of alternate exterior angles to solve geometric problems with transversals.")</f>
        <v>Use the properties of alternate exterior angles to solve geometric problems with transversals.</v>
      </c>
      <c r="O78" s="10" t="str">
        <f t="shared" si="3"/>
        <v>LU001023.004</v>
      </c>
      <c r="P78" s="10" t="str">
        <f ca="1">IFERROR(__xludf.DUMMYFUNCTION("VLOOKUP(O78, IMPORTRANGE(""https://docs.google.com/spreadsheets/d/1yDAaXNsi4Mr5FtRQL4tbmSdIzhx6_m4wkOD7IG-k_eo/edit#gid=0"", ""Maths!M:N""), 2, FALSE)"),"Analyze geometric diagrams to distinguish alternate exterior angles created by transversals.")</f>
        <v>Analyze geometric diagrams to distinguish alternate exterior angles created by transversals.</v>
      </c>
      <c r="Q78" s="10" t="str">
        <f t="shared" si="4"/>
        <v>LU001023.005</v>
      </c>
      <c r="R78" s="10" t="str">
        <f ca="1">IFERROR(__xludf.DUMMYFUNCTION("VLOOKUP(Q78, IMPORTRANGE(""https://docs.google.com/spreadsheets/d/1yDAaXNsi4Mr5FtRQL4tbmSdIzhx6_m4wkOD7IG-k_eo/edit#gid=0"", ""Maths!M:N""), 2, FALSE)"),"Evaluate the methods and solutions in problems involving alternate exterior angles and transversals.")</f>
        <v>Evaluate the methods and solutions in problems involving alternate exterior angles and transversals.</v>
      </c>
      <c r="S78" s="10" t="str">
        <f t="shared" si="5"/>
        <v>LU001023.006</v>
      </c>
      <c r="T78" s="10" t="str">
        <f ca="1">IFERROR(__xludf.DUMMYFUNCTION("VLOOKUP(S78, IMPORTRANGE(""https://docs.google.com/spreadsheets/d/1yDAaXNsi4Mr5FtRQL4tbmSdIzhx6_m4wkOD7IG-k_eo/edit#gid=0"", ""Maths!M:N""), 2, FALSE)"),"#N/A")</f>
        <v>#N/A</v>
      </c>
      <c r="U78" s="11">
        <f ca="1">IFERROR(__xludf.DUMMYFUNCTION("ArrayFormula(VLOOKUP(G78, IMPORTRANGE(""https://docs.google.com/spreadsheets/d/1p7R4vtkWt5VOBim4ltsDG9KTzSjrtKXsMtQGXPHyND0/edit#gid=795171502"", ""'Filter 30_05_2024'!A1:M2000""), {2, 3, 4, 5,6,7,8,9,10,11,12,13}, 0))"),5)</f>
        <v>5</v>
      </c>
      <c r="V78" s="11">
        <f ca="1">IFERROR(__xludf.DUMMYFUNCTION("""COMPUTED_VALUE"""),7)</f>
        <v>7</v>
      </c>
      <c r="W78" s="11">
        <f ca="1">IFERROR(__xludf.DUMMYFUNCTION("""COMPUTED_VALUE"""),2)</f>
        <v>2</v>
      </c>
      <c r="X78" s="11">
        <f ca="1">IFERROR(__xludf.DUMMYFUNCTION("""COMPUTED_VALUE"""),14)</f>
        <v>14</v>
      </c>
      <c r="Y78" s="43">
        <f ca="1">IFERROR(__xludf.DUMMYFUNCTION("""COMPUTED_VALUE"""),3)</f>
        <v>3</v>
      </c>
      <c r="Z78" s="12">
        <f ca="1">IFERROR(__xludf.DUMMYFUNCTION("""COMPUTED_VALUE"""),4)</f>
        <v>4</v>
      </c>
      <c r="AA78" s="12">
        <f ca="1">IFERROR(__xludf.DUMMYFUNCTION("""COMPUTED_VALUE"""),1)</f>
        <v>1</v>
      </c>
      <c r="AB78" s="12">
        <f ca="1">IFERROR(__xludf.DUMMYFUNCTION("""COMPUTED_VALUE"""),8)</f>
        <v>8</v>
      </c>
      <c r="AC78" s="12"/>
      <c r="AD78" s="12"/>
      <c r="AE78" s="12"/>
      <c r="AF78" s="12"/>
      <c r="AG78" s="13" t="str">
        <f ca="1">IFERROR(__xludf.DUMMYFUNCTION("ArrayFormula(VLOOKUP(G78, IMPORTRANGE(""https://docs.google.com/spreadsheets/d/1Co934fvtviyaRiMsrIlT05Jaq7iiYq07aLvRr35KA48/edit?gid=173865642#gid=173865642"", ""'G7_Maths_Pri_LU'!G2:V2000""), {3, 4, 5, 6, 7, 8, 9, 10, 11, 12, 13, 14, 15, 16}, 0))"),"LU001021")</f>
        <v>LU001021</v>
      </c>
      <c r="AH78" s="13" t="str">
        <f ca="1">IFERROR(__xludf.DUMMYFUNCTION("""COMPUTED_VALUE"""),"Angles made by transversal - Exterior angles")</f>
        <v>Angles made by transversal - Exterior angles</v>
      </c>
      <c r="AI78" s="13" t="str">
        <f ca="1">IFERROR(__xludf.DUMMYFUNCTION("""COMPUTED_VALUE"""),"LU000222")</f>
        <v>LU000222</v>
      </c>
      <c r="AJ78" s="13" t="str">
        <f ca="1">IFERROR(__xludf.DUMMYFUNCTION("""COMPUTED_VALUE"""),"Definition and identification of parallel lines")</f>
        <v>Definition and identification of parallel lines</v>
      </c>
      <c r="AK78" s="13" t="str">
        <f ca="1">IFERROR(__xludf.DUMMYFUNCTION("""COMPUTED_VALUE"""),"LU000419")</f>
        <v>LU000419</v>
      </c>
      <c r="AL78" s="13" t="str">
        <f ca="1">IFERROR(__xludf.DUMMYFUNCTION("""COMPUTED_VALUE"""),"Definition of transversal")</f>
        <v>Definition of transversal</v>
      </c>
      <c r="AM78" s="13" t="str">
        <f ca="1">IFERROR(__xludf.DUMMYFUNCTION("""COMPUTED_VALUE"""),"LU000221")</f>
        <v>LU000221</v>
      </c>
      <c r="AN78" s="13" t="str">
        <f ca="1">IFERROR(__xludf.DUMMYFUNCTION("""COMPUTED_VALUE"""),"Definition and identification of intersecting lines")</f>
        <v>Definition and identification of intersecting lines</v>
      </c>
      <c r="AO78" s="13" t="str">
        <f ca="1">IFERROR(__xludf.DUMMYFUNCTION("""COMPUTED_VALUE"""),"LU000014")</f>
        <v>LU000014</v>
      </c>
      <c r="AP78" s="13" t="str">
        <f ca="1">IFERROR(__xludf.DUMMYFUNCTION("""COMPUTED_VALUE"""),"Definition of an angle")</f>
        <v>Definition of an angle</v>
      </c>
      <c r="AQ78" s="13"/>
      <c r="AR78" s="13"/>
      <c r="AS78" s="13"/>
      <c r="AT78" s="13"/>
    </row>
    <row r="79" spans="1:46">
      <c r="A79" s="8" t="s">
        <v>247</v>
      </c>
      <c r="B79" s="8" t="s">
        <v>47</v>
      </c>
      <c r="C79" s="8" t="s">
        <v>416</v>
      </c>
      <c r="D79" s="8" t="s">
        <v>49</v>
      </c>
      <c r="E79" s="8" t="s">
        <v>58</v>
      </c>
      <c r="F79" s="8" t="s">
        <v>526</v>
      </c>
      <c r="G79" s="8" t="s">
        <v>529</v>
      </c>
      <c r="H79" s="8" t="str">
        <f ca="1">IFERROR(__xludf.DUMMYFUNCTION("VLOOKUP(G79, IMPORTRANGE(""https://docs.google.com/spreadsheets/d/14deopnvwcrKtEGCKuYXdUHJbeLDZlkiSSWWT0g7x2pM/edit#gid=999382323"", ""LU List Maths (Filter)!A:B""), 2, FALSE)"),"Angles made by transversal - Exterior angles on the same side of the transversal")</f>
        <v>Angles made by transversal - Exterior angles on the same side of the transversal</v>
      </c>
      <c r="I79" s="10" t="str">
        <f t="shared" si="0"/>
        <v>LU001026.001</v>
      </c>
      <c r="J79" s="10" t="str">
        <f ca="1">IFERROR(__xludf.DUMMYFUNCTION("VLOOKUP(I79, IMPORTRANGE(""https://docs.google.com/spreadsheets/d/1yDAaXNsi4Mr5FtRQL4tbmSdIzhx6_m4wkOD7IG-k_eo/edit#gid=0"", ""Maths!M:N""), 2, FALSE)"),"Recall the definition and properties of exterior angles on the same side of a transversal.")</f>
        <v>Recall the definition and properties of exterior angles on the same side of a transversal.</v>
      </c>
      <c r="K79" s="10" t="str">
        <f t="shared" si="1"/>
        <v>LU001026.002</v>
      </c>
      <c r="L79" s="10" t="str">
        <f ca="1">IFERROR(__xludf.DUMMYFUNCTION("VLOOKUP(K79, IMPORTRANGE(""https://docs.google.com/spreadsheets/d/1yDAaXNsi4Mr5FtRQL4tbmSdIzhx6_m4wkOD7IG-k_eo/edit#gid=0"", ""Maths!M:N""), 2, FALSE)"),"Explain the concept and characteristics of exterior angles on the same side of the transversal in the context of transversal lines.")</f>
        <v>Explain the concept and characteristics of exterior angles on the same side of the transversal in the context of transversal lines.</v>
      </c>
      <c r="M79" s="10" t="str">
        <f t="shared" si="2"/>
        <v>LU001026.003</v>
      </c>
      <c r="N79" s="10" t="str">
        <f ca="1">IFERROR(__xludf.DUMMYFUNCTION("VLOOKUP(M79, IMPORTRANGE(""https://docs.google.com/spreadsheets/d/1yDAaXNsi4Mr5FtRQL4tbmSdIzhx6_m4wkOD7IG-k_eo/edit#gid=0"", ""Maths!M:N""), 2, FALSE)"),"Apply the properties of exterior angles on the same side of the transversal to solve geometric problems involving transversals.")</f>
        <v>Apply the properties of exterior angles on the same side of the transversal to solve geometric problems involving transversals.</v>
      </c>
      <c r="O79" s="10" t="str">
        <f t="shared" si="3"/>
        <v>LU001026.004</v>
      </c>
      <c r="P79" s="10" t="str">
        <f ca="1">IFERROR(__xludf.DUMMYFUNCTION("VLOOKUP(O79, IMPORTRANGE(""https://docs.google.com/spreadsheets/d/1yDAaXNsi4Mr5FtRQL4tbmSdIzhx6_m4wkOD7IG-k_eo/edit#gid=0"", ""Maths!M:N""), 2, FALSE)"),"Analyze geometric diagrams to identify and distinguish exterior angles on the same side of the transversal.")</f>
        <v>Analyze geometric diagrams to identify and distinguish exterior angles on the same side of the transversal.</v>
      </c>
      <c r="Q79" s="10" t="str">
        <f t="shared" si="4"/>
        <v>LU001026.005</v>
      </c>
      <c r="R79" s="10" t="str">
        <f ca="1">IFERROR(__xludf.DUMMYFUNCTION("VLOOKUP(Q79, IMPORTRANGE(""https://docs.google.com/spreadsheets/d/1yDAaXNsi4Mr5FtRQL4tbmSdIzhx6_m4wkOD7IG-k_eo/edit#gid=0"", ""Maths!M:N""), 2, FALSE)"),"Evaluate the validity and accuracy of solutions in problems related to exterior angles on the same side of the transversal.")</f>
        <v>Evaluate the validity and accuracy of solutions in problems related to exterior angles on the same side of the transversal.</v>
      </c>
      <c r="S79" s="10" t="str">
        <f t="shared" si="5"/>
        <v>LU001026.006</v>
      </c>
      <c r="T79" s="10" t="str">
        <f ca="1">IFERROR(__xludf.DUMMYFUNCTION("VLOOKUP(S79, IMPORTRANGE(""https://docs.google.com/spreadsheets/d/1yDAaXNsi4Mr5FtRQL4tbmSdIzhx6_m4wkOD7IG-k_eo/edit#gid=0"", ""Maths!M:N""), 2, FALSE)"),"#N/A")</f>
        <v>#N/A</v>
      </c>
      <c r="U79" s="11">
        <f ca="1">IFERROR(__xludf.DUMMYFUNCTION("ArrayFormula(VLOOKUP(G79, IMPORTRANGE(""https://docs.google.com/spreadsheets/d/1p7R4vtkWt5VOBim4ltsDG9KTzSjrtKXsMtQGXPHyND0/edit#gid=795171502"", ""'Filter 30_05_2024'!A1:M2000""), {2, 3, 4, 5,6,7,8,9,10,11,12,13}, 0))"),4)</f>
        <v>4</v>
      </c>
      <c r="V79" s="11">
        <f ca="1">IFERROR(__xludf.DUMMYFUNCTION("""COMPUTED_VALUE"""),6)</f>
        <v>6</v>
      </c>
      <c r="W79" s="11">
        <f ca="1">IFERROR(__xludf.DUMMYFUNCTION("""COMPUTED_VALUE"""),2)</f>
        <v>2</v>
      </c>
      <c r="X79" s="11">
        <f ca="1">IFERROR(__xludf.DUMMYFUNCTION("""COMPUTED_VALUE"""),12)</f>
        <v>12</v>
      </c>
      <c r="Y79" s="11">
        <f ca="1">IFERROR(__xludf.DUMMYFUNCTION("""COMPUTED_VALUE"""),4)</f>
        <v>4</v>
      </c>
      <c r="Z79" s="12">
        <f ca="1">IFERROR(__xludf.DUMMYFUNCTION("""COMPUTED_VALUE"""),3)</f>
        <v>3</v>
      </c>
      <c r="AA79" s="12">
        <f ca="1">IFERROR(__xludf.DUMMYFUNCTION("""COMPUTED_VALUE"""),1)</f>
        <v>1</v>
      </c>
      <c r="AB79" s="12">
        <f ca="1">IFERROR(__xludf.DUMMYFUNCTION("""COMPUTED_VALUE"""),8)</f>
        <v>8</v>
      </c>
      <c r="AC79" s="12"/>
      <c r="AD79" s="12"/>
      <c r="AE79" s="12"/>
      <c r="AF79" s="12"/>
      <c r="AG79" s="13" t="str">
        <f ca="1">IFERROR(__xludf.DUMMYFUNCTION("ArrayFormula(VLOOKUP(G79, IMPORTRANGE(""https://docs.google.com/spreadsheets/d/1Co934fvtviyaRiMsrIlT05Jaq7iiYq07aLvRr35KA48/edit?gid=173865642#gid=173865642"", ""'G7_Maths_Pri_LU'!G2:V2000""), {3, 4, 5, 6, 7, 8, 9, 10, 11, 12, 13, 14, 15, 16}, 0))"),"LU001023")</f>
        <v>LU001023</v>
      </c>
      <c r="AH79" s="13" t="str">
        <f ca="1">IFERROR(__xludf.DUMMYFUNCTION("""COMPUTED_VALUE"""),"Angles made by transversal - Alternate exterior angles")</f>
        <v>Angles made by transversal - Alternate exterior angles</v>
      </c>
      <c r="AI79" s="13" t="str">
        <f ca="1">IFERROR(__xludf.DUMMYFUNCTION("""COMPUTED_VALUE"""),"LU001021")</f>
        <v>LU001021</v>
      </c>
      <c r="AJ79" s="13" t="str">
        <f ca="1">IFERROR(__xludf.DUMMYFUNCTION("""COMPUTED_VALUE"""),"Angles made by transversal - Exterior angles")</f>
        <v>Angles made by transversal - Exterior angles</v>
      </c>
      <c r="AK79" s="13" t="str">
        <f ca="1">IFERROR(__xludf.DUMMYFUNCTION("""COMPUTED_VALUE"""),"LU000419")</f>
        <v>LU000419</v>
      </c>
      <c r="AL79" s="13" t="str">
        <f ca="1">IFERROR(__xludf.DUMMYFUNCTION("""COMPUTED_VALUE"""),"Definition of transversal")</f>
        <v>Definition of transversal</v>
      </c>
      <c r="AM79" s="13" t="str">
        <f ca="1">IFERROR(__xludf.DUMMYFUNCTION("""COMPUTED_VALUE"""),"LU000222")</f>
        <v>LU000222</v>
      </c>
      <c r="AN79" s="13" t="str">
        <f ca="1">IFERROR(__xludf.DUMMYFUNCTION("""COMPUTED_VALUE"""),"Definition and identification of parallel lines")</f>
        <v>Definition and identification of parallel lines</v>
      </c>
      <c r="AO79" s="13" t="str">
        <f ca="1">IFERROR(__xludf.DUMMYFUNCTION("""COMPUTED_VALUE"""),"LU000014")</f>
        <v>LU000014</v>
      </c>
      <c r="AP79" s="13" t="str">
        <f ca="1">IFERROR(__xludf.DUMMYFUNCTION("""COMPUTED_VALUE"""),"Definition of an angle")</f>
        <v>Definition of an angle</v>
      </c>
      <c r="AQ79" s="13"/>
      <c r="AR79" s="13"/>
      <c r="AS79" s="13"/>
      <c r="AT79" s="13"/>
    </row>
    <row r="80" spans="1:46">
      <c r="A80" s="8" t="s">
        <v>247</v>
      </c>
      <c r="B80" s="8" t="s">
        <v>47</v>
      </c>
      <c r="C80" s="8" t="s">
        <v>416</v>
      </c>
      <c r="D80" s="8" t="s">
        <v>49</v>
      </c>
      <c r="E80" s="8" t="s">
        <v>58</v>
      </c>
      <c r="F80" s="8" t="s">
        <v>530</v>
      </c>
      <c r="G80" s="8" t="s">
        <v>531</v>
      </c>
      <c r="H80" s="8" t="str">
        <f ca="1">IFERROR(__xludf.DUMMYFUNCTION("VLOOKUP(G80, IMPORTRANGE(""https://docs.google.com/spreadsheets/d/14deopnvwcrKtEGCKuYXdUHJbeLDZlkiSSWWT0g7x2pM/edit#gid=999382323"", ""LU List Maths (Filter)!A:B""), 2, FALSE)"),"Angles made by transversal - Corresponding angles")</f>
        <v>Angles made by transversal - Corresponding angles</v>
      </c>
      <c r="I80" s="10" t="str">
        <f t="shared" si="0"/>
        <v>LU001024.001</v>
      </c>
      <c r="J80" s="10" t="str">
        <f ca="1">IFERROR(__xludf.DUMMYFUNCTION("VLOOKUP(I80, IMPORTRANGE(""https://docs.google.com/spreadsheets/d/1yDAaXNsi4Mr5FtRQL4tbmSdIzhx6_m4wkOD7IG-k_eo/edit#gid=0"", ""Maths!M:N""), 2, FALSE)"),"Recall the definition and characteristics of corresponding angles formed by a transversal.")</f>
        <v>Recall the definition and characteristics of corresponding angles formed by a transversal.</v>
      </c>
      <c r="K80" s="10" t="str">
        <f t="shared" si="1"/>
        <v>LU001024.002</v>
      </c>
      <c r="L80" s="10" t="str">
        <f ca="1">IFERROR(__xludf.DUMMYFUNCTION("VLOOKUP(K80, IMPORTRANGE(""https://docs.google.com/spreadsheets/d/1yDAaXNsi4Mr5FtRQL4tbmSdIzhx6_m4wkOD7IG-k_eo/edit#gid=0"", ""Maths!M:N""), 2, FALSE)"),"Explain the concept and properties of corresponding angles in the context of transversal lines.")</f>
        <v>Explain the concept and properties of corresponding angles in the context of transversal lines.</v>
      </c>
      <c r="M80" s="10" t="str">
        <f t="shared" si="2"/>
        <v>LU001024.003</v>
      </c>
      <c r="N80" s="10" t="str">
        <f ca="1">IFERROR(__xludf.DUMMYFUNCTION("VLOOKUP(M80, IMPORTRANGE(""https://docs.google.com/spreadsheets/d/1yDAaXNsi4Mr5FtRQL4tbmSdIzhx6_m4wkOD7IG-k_eo/edit#gid=0"", ""Maths!M:N""), 2, FALSE)"),"Utilize the properties of corresponding angles to solve geometric problems involving transversals.")</f>
        <v>Utilize the properties of corresponding angles to solve geometric problems involving transversals.</v>
      </c>
      <c r="O80" s="10" t="str">
        <f t="shared" si="3"/>
        <v>LU001024.004</v>
      </c>
      <c r="P80" s="10" t="str">
        <f ca="1">IFERROR(__xludf.DUMMYFUNCTION("VLOOKUP(O80, IMPORTRANGE(""https://docs.google.com/spreadsheets/d/1yDAaXNsi4Mr5FtRQL4tbmSdIzhx6_m4wkOD7IG-k_eo/edit#gid=0"", ""Maths!M:N""), 2, FALSE)"),"Analyze geometric diagrams to identify and differentiate corresponding angles created by transversals.")</f>
        <v>Analyze geometric diagrams to identify and differentiate corresponding angles created by transversals.</v>
      </c>
      <c r="Q80" s="10" t="str">
        <f t="shared" si="4"/>
        <v>LU001024.005</v>
      </c>
      <c r="R80" s="10" t="str">
        <f ca="1">IFERROR(__xludf.DUMMYFUNCTION("VLOOKUP(Q80, IMPORTRANGE(""https://docs.google.com/spreadsheets/d/1yDAaXNsi4Mr5FtRQL4tbmSdIzhx6_m4wkOD7IG-k_eo/edit#gid=0"", ""Maths!M:N""), 2, FALSE)"),"Evaluate the validity and accuracy of solutions in problems related to corresponding angles and transversals.")</f>
        <v>Evaluate the validity and accuracy of solutions in problems related to corresponding angles and transversals.</v>
      </c>
      <c r="S80" s="10" t="str">
        <f t="shared" si="5"/>
        <v>LU001024.006</v>
      </c>
      <c r="T80" s="10" t="str">
        <f ca="1">IFERROR(__xludf.DUMMYFUNCTION("VLOOKUP(S80, IMPORTRANGE(""https://docs.google.com/spreadsheets/d/1yDAaXNsi4Mr5FtRQL4tbmSdIzhx6_m4wkOD7IG-k_eo/edit#gid=0"", ""Maths!M:N""), 2, FALSE)"),"#N/A")</f>
        <v>#N/A</v>
      </c>
      <c r="U80" s="11">
        <f ca="1">IFERROR(__xludf.DUMMYFUNCTION("ArrayFormula(VLOOKUP(G80, IMPORTRANGE(""https://docs.google.com/spreadsheets/d/1p7R4vtkWt5VOBim4ltsDG9KTzSjrtKXsMtQGXPHyND0/edit#gid=795171502"", ""'Filter 30_05_2024'!A1:M2000""), {2, 3, 4, 5,6,7,8,9,10,11,12,13}, 0))"),8)</f>
        <v>8</v>
      </c>
      <c r="V80" s="11">
        <f ca="1">IFERROR(__xludf.DUMMYFUNCTION("""COMPUTED_VALUE"""),8)</f>
        <v>8</v>
      </c>
      <c r="W80" s="11">
        <f ca="1">IFERROR(__xludf.DUMMYFUNCTION("""COMPUTED_VALUE"""),1)</f>
        <v>1</v>
      </c>
      <c r="X80" s="11">
        <f ca="1">IFERROR(__xludf.DUMMYFUNCTION("""COMPUTED_VALUE"""),17)</f>
        <v>17</v>
      </c>
      <c r="Y80" s="11">
        <f ca="1">IFERROR(__xludf.DUMMYFUNCTION("""COMPUTED_VALUE"""),4)</f>
        <v>4</v>
      </c>
      <c r="Z80" s="12">
        <f ca="1">IFERROR(__xludf.DUMMYFUNCTION("""COMPUTED_VALUE"""),4)</f>
        <v>4</v>
      </c>
      <c r="AA80" s="12">
        <f ca="1">IFERROR(__xludf.DUMMYFUNCTION("""COMPUTED_VALUE"""),1)</f>
        <v>1</v>
      </c>
      <c r="AB80" s="12">
        <f ca="1">IFERROR(__xludf.DUMMYFUNCTION("""COMPUTED_VALUE"""),9)</f>
        <v>9</v>
      </c>
      <c r="AC80" s="12"/>
      <c r="AD80" s="12"/>
      <c r="AE80" s="12"/>
      <c r="AF80" s="12"/>
      <c r="AG80" s="13" t="str">
        <f ca="1">IFERROR(__xludf.DUMMYFUNCTION("ArrayFormula(VLOOKUP(G80, IMPORTRANGE(""https://docs.google.com/spreadsheets/d/1Co934fvtviyaRiMsrIlT05Jaq7iiYq07aLvRr35KA48/edit?gid=173865642#gid=173865642"", ""'G7_Maths_Pri_LU'!G2:V2000""), {3, 4, 5, 6, 7, 8, 9, 10, 11, 12, 13, 14, 15, 16}, 0))"),"LU000222")</f>
        <v>LU000222</v>
      </c>
      <c r="AH80" s="13" t="str">
        <f ca="1">IFERROR(__xludf.DUMMYFUNCTION("""COMPUTED_VALUE"""),"Definition and identification of parallel lines")</f>
        <v>Definition and identification of parallel lines</v>
      </c>
      <c r="AI80" s="13" t="str">
        <f ca="1">IFERROR(__xludf.DUMMYFUNCTION("""COMPUTED_VALUE"""),"LU000419")</f>
        <v>LU000419</v>
      </c>
      <c r="AJ80" s="13" t="str">
        <f ca="1">IFERROR(__xludf.DUMMYFUNCTION("""COMPUTED_VALUE"""),"Definition of transversal")</f>
        <v>Definition of transversal</v>
      </c>
      <c r="AK80" s="13" t="str">
        <f ca="1">IFERROR(__xludf.DUMMYFUNCTION("""COMPUTED_VALUE"""),"LU000014")</f>
        <v>LU000014</v>
      </c>
      <c r="AL80" s="13" t="str">
        <f ca="1">IFERROR(__xludf.DUMMYFUNCTION("""COMPUTED_VALUE"""),"Definition of an angle")</f>
        <v>Definition of an angle</v>
      </c>
      <c r="AM80" s="13"/>
      <c r="AN80" s="13"/>
      <c r="AO80" s="13"/>
      <c r="AP80" s="13"/>
      <c r="AQ80" s="13"/>
      <c r="AR80" s="13"/>
      <c r="AS80" s="13"/>
      <c r="AT80" s="13"/>
    </row>
    <row r="81" spans="1:46">
      <c r="A81" s="8" t="s">
        <v>247</v>
      </c>
      <c r="B81" s="8" t="s">
        <v>47</v>
      </c>
      <c r="C81" s="8" t="s">
        <v>416</v>
      </c>
      <c r="D81" s="8" t="s">
        <v>49</v>
      </c>
      <c r="E81" s="8" t="s">
        <v>58</v>
      </c>
      <c r="F81" s="8" t="s">
        <v>532</v>
      </c>
      <c r="G81" s="8" t="s">
        <v>533</v>
      </c>
      <c r="H81" s="8" t="str">
        <f ca="1">IFERROR(__xludf.DUMMYFUNCTION("VLOOKUP(G81, IMPORTRANGE(""https://docs.google.com/spreadsheets/d/14deopnvwcrKtEGCKuYXdUHJbeLDZlkiSSWWT0g7x2pM/edit#gid=999382323"", ""LU List Maths (Filter)!A:B""), 2, FALSE)"),"Check for lines parallel to a given line")</f>
        <v>Check for lines parallel to a given line</v>
      </c>
      <c r="I81" s="10" t="str">
        <f t="shared" si="0"/>
        <v>LU000422.001</v>
      </c>
      <c r="J81" s="10" t="str">
        <f ca="1">IFERROR(__xludf.DUMMYFUNCTION("VLOOKUP(I81, IMPORTRANGE(""https://docs.google.com/spreadsheets/d/1yDAaXNsi4Mr5FtRQL4tbmSdIzhx6_m4wkOD7IG-k_eo/edit#gid=0"", ""Maths!M:N""), 2, FALSE)"),"Recall the conditions for angles formed by a transversal on parallel lines.")</f>
        <v>Recall the conditions for angles formed by a transversal on parallel lines.</v>
      </c>
      <c r="K81" s="10" t="str">
        <f t="shared" si="1"/>
        <v>LU000422.002</v>
      </c>
      <c r="L81" s="10" t="str">
        <f ca="1">IFERROR(__xludf.DUMMYFUNCTION("VLOOKUP(K81, IMPORTRANGE(""https://docs.google.com/spreadsheets/d/1yDAaXNsi4Mr5FtRQL4tbmSdIzhx6_m4wkOD7IG-k_eo/edit#gid=0"", ""Maths!M:N""), 2, FALSE)"),"Explain why equal corresponding and alternate interior angles imply parallel lines.")</f>
        <v>Explain why equal corresponding and alternate interior angles imply parallel lines.</v>
      </c>
      <c r="M81" s="10" t="str">
        <f t="shared" si="2"/>
        <v>LU000422.003</v>
      </c>
      <c r="N81" s="10" t="str">
        <f ca="1">IFERROR(__xludf.DUMMYFUNCTION("VLOOKUP(M81, IMPORTRANGE(""https://docs.google.com/spreadsheets/d/1yDAaXNsi4Mr5FtRQL4tbmSdIzhx6_m4wkOD7IG-k_eo/edit#gid=0"", ""Maths!M:N""), 2, FALSE)"),"Apply knowledge of angle relationships to identify whether lines are parallel.")</f>
        <v>Apply knowledge of angle relationships to identify whether lines are parallel.</v>
      </c>
      <c r="O81" s="10" t="str">
        <f t="shared" si="3"/>
        <v>LU000422.004</v>
      </c>
      <c r="P81" s="10" t="str">
        <f ca="1">IFERROR(__xludf.DUMMYFUNCTION("VLOOKUP(O81, IMPORTRANGE(""https://docs.google.com/spreadsheets/d/1yDAaXNsi4Mr5FtRQL4tbmSdIzhx6_m4wkOD7IG-k_eo/edit#gid=0"", ""Maths!M:N""), 2, FALSE)"),"Analyse given angle measures to determine the parallel nature of lines.")</f>
        <v>Analyse given angle measures to determine the parallel nature of lines.</v>
      </c>
      <c r="Q81" s="10" t="str">
        <f t="shared" si="4"/>
        <v>LU000422.005</v>
      </c>
      <c r="R81" s="10" t="str">
        <f ca="1">IFERROR(__xludf.DUMMYFUNCTION("VLOOKUP(Q81, IMPORTRANGE(""https://docs.google.com/spreadsheets/d/1yDAaXNsi4Mr5FtRQL4tbmSdIzhx6_m4wkOD7IG-k_eo/edit#gid=0"", ""Maths!M:N""), 2, FALSE)"),"Evaluate the validity of statements about angle relationships and parallel lines.")</f>
        <v>Evaluate the validity of statements about angle relationships and parallel lines.</v>
      </c>
      <c r="S81" s="10" t="str">
        <f t="shared" si="5"/>
        <v>LU000422.006</v>
      </c>
      <c r="T81" s="10" t="str">
        <f ca="1">IFERROR(__xludf.DUMMYFUNCTION("VLOOKUP(S81, IMPORTRANGE(""https://docs.google.com/spreadsheets/d/1yDAaXNsi4Mr5FtRQL4tbmSdIzhx6_m4wkOD7IG-k_eo/edit#gid=0"", ""Maths!M:N""), 2, FALSE)"),"Create a set of examples to demonstrate how angle relationships on a transversal can prove lines to be parallel.")</f>
        <v>Create a set of examples to demonstrate how angle relationships on a transversal can prove lines to be parallel.</v>
      </c>
      <c r="U81" s="11">
        <f ca="1">IFERROR(__xludf.DUMMYFUNCTION("ArrayFormula(VLOOKUP(G81, IMPORTRANGE(""https://docs.google.com/spreadsheets/d/1p7R4vtkWt5VOBim4ltsDG9KTzSjrtKXsMtQGXPHyND0/edit#gid=795171502"", ""'Filter 30_05_2024'!A1:M2000""), {2, 3, 4, 5,6,7,8,9,10,11,12,13}, 0))"),5)</f>
        <v>5</v>
      </c>
      <c r="V81" s="11">
        <f ca="1">IFERROR(__xludf.DUMMYFUNCTION("""COMPUTED_VALUE"""),5)</f>
        <v>5</v>
      </c>
      <c r="W81" s="11">
        <f ca="1">IFERROR(__xludf.DUMMYFUNCTION("""COMPUTED_VALUE"""),2)</f>
        <v>2</v>
      </c>
      <c r="X81" s="11">
        <f ca="1">IFERROR(__xludf.DUMMYFUNCTION("""COMPUTED_VALUE"""),12)</f>
        <v>12</v>
      </c>
      <c r="Y81" s="11">
        <f ca="1">IFERROR(__xludf.DUMMYFUNCTION("""COMPUTED_VALUE"""),5)</f>
        <v>5</v>
      </c>
      <c r="Z81" s="12">
        <f ca="1">IFERROR(__xludf.DUMMYFUNCTION("""COMPUTED_VALUE"""),4)</f>
        <v>4</v>
      </c>
      <c r="AA81" s="12">
        <f ca="1">IFERROR(__xludf.DUMMYFUNCTION("""COMPUTED_VALUE"""),1)</f>
        <v>1</v>
      </c>
      <c r="AB81" s="12">
        <f ca="1">IFERROR(__xludf.DUMMYFUNCTION("""COMPUTED_VALUE"""),10)</f>
        <v>10</v>
      </c>
      <c r="AC81" s="12"/>
      <c r="AD81" s="12"/>
      <c r="AE81" s="12"/>
      <c r="AF81" s="12"/>
      <c r="AG81" s="13" t="str">
        <f ca="1">IFERROR(__xludf.DUMMYFUNCTION("ArrayFormula(VLOOKUP(G81, IMPORTRANGE(""https://docs.google.com/spreadsheets/d/1Co934fvtviyaRiMsrIlT05Jaq7iiYq07aLvRr35KA48/edit?gid=173865642#gid=173865642"", ""'G7_Maths_Pri_LU'!G2:V2000""), {3, 4, 5, 6, 7, 8, 9, 10, 11, 12, 13, 14, 15, 16}, 0))"),"LU001024")</f>
        <v>LU001024</v>
      </c>
      <c r="AH81" s="13" t="str">
        <f ca="1">IFERROR(__xludf.DUMMYFUNCTION("""COMPUTED_VALUE"""),"Angles made by transversal - Corresponding angles")</f>
        <v>Angles made by transversal - Corresponding angles</v>
      </c>
      <c r="AI81" s="13" t="str">
        <f ca="1">IFERROR(__xludf.DUMMYFUNCTION("""COMPUTED_VALUE"""),"LU001022")</f>
        <v>LU001022</v>
      </c>
      <c r="AJ81" s="13" t="str">
        <f ca="1">IFERROR(__xludf.DUMMYFUNCTION("""COMPUTED_VALUE"""),"Angles made by transversal - Alternate interior angles")</f>
        <v>Angles made by transversal - Alternate interior angles</v>
      </c>
      <c r="AK81" s="13" t="str">
        <f ca="1">IFERROR(__xludf.DUMMYFUNCTION("""COMPUTED_VALUE"""),"LU001023")</f>
        <v>LU001023</v>
      </c>
      <c r="AL81" s="13" t="str">
        <f ca="1">IFERROR(__xludf.DUMMYFUNCTION("""COMPUTED_VALUE"""),"Angles made by transversal - Alternate exterior angles")</f>
        <v>Angles made by transversal - Alternate exterior angles</v>
      </c>
      <c r="AM81" s="13" t="str">
        <f ca="1">IFERROR(__xludf.DUMMYFUNCTION("""COMPUTED_VALUE"""),"LU001025")</f>
        <v>LU001025</v>
      </c>
      <c r="AN81" s="13" t="str">
        <f ca="1">IFERROR(__xludf.DUMMYFUNCTION("""COMPUTED_VALUE"""),"Angles made by transversal - Interior angles on the same side of the transversal")</f>
        <v>Angles made by transversal - Interior angles on the same side of the transversal</v>
      </c>
      <c r="AO81" s="13" t="str">
        <f ca="1">IFERROR(__xludf.DUMMYFUNCTION("""COMPUTED_VALUE"""),"LU000014")</f>
        <v>LU000014</v>
      </c>
      <c r="AP81" s="13" t="str">
        <f ca="1">IFERROR(__xludf.DUMMYFUNCTION("""COMPUTED_VALUE"""),"Definition of an angle")</f>
        <v>Definition of an angle</v>
      </c>
      <c r="AQ81" s="13"/>
      <c r="AR81" s="13"/>
      <c r="AS81" s="13"/>
      <c r="AT81" s="13"/>
    </row>
    <row r="82" spans="1:46">
      <c r="A82" s="8" t="s">
        <v>247</v>
      </c>
      <c r="B82" s="8" t="s">
        <v>47</v>
      </c>
      <c r="C82" s="8" t="s">
        <v>416</v>
      </c>
      <c r="D82" s="8" t="s">
        <v>49</v>
      </c>
      <c r="E82" s="8" t="s">
        <v>534</v>
      </c>
      <c r="F82" s="8" t="s">
        <v>535</v>
      </c>
      <c r="G82" s="8" t="s">
        <v>536</v>
      </c>
      <c r="H82" s="8" t="str">
        <f ca="1">IFERROR(__xludf.DUMMYFUNCTION("VLOOKUP(G82, IMPORTRANGE(""https://docs.google.com/spreadsheets/d/14deopnvwcrKtEGCKuYXdUHJbeLDZlkiSSWWT0g7x2pM/edit#gid=999382323"", ""LU List Maths (Filter)!A:B""), 2, FALSE)"),"Definition of percentage")</f>
        <v>Definition of percentage</v>
      </c>
      <c r="I82" s="10" t="str">
        <f t="shared" si="0"/>
        <v>LU000444.001</v>
      </c>
      <c r="J82" s="10" t="str">
        <f ca="1">IFERROR(__xludf.DUMMYFUNCTION("VLOOKUP(I82, IMPORTRANGE(""https://docs.google.com/spreadsheets/d/1yDAaXNsi4Mr5FtRQL4tbmSdIzhx6_m4wkOD7IG-k_eo/edit#gid=0"", ""Maths!M:N""), 2, FALSE)"),"State the definition of a percentage as ""a portion of a whole, expressed out of 100""")</f>
        <v>State the definition of a percentage as "a portion of a whole, expressed out of 100"</v>
      </c>
      <c r="K82" s="10" t="str">
        <f t="shared" si="1"/>
        <v>LU000444.002</v>
      </c>
      <c r="L82" s="10" t="str">
        <f ca="1">IFERROR(__xludf.DUMMYFUNCTION("VLOOKUP(K82, IMPORTRANGE(""https://docs.google.com/spreadsheets/d/1yDAaXNsi4Mr5FtRQL4tbmSdIzhx6_m4wkOD7IG-k_eo/edit#gid=0"", ""Maths!M:N""), 2, FALSE)"),"Describe how percentages are used to compare quantities (such as saying 25% is one-fourth of 100%).")</f>
        <v>Describe how percentages are used to compare quantities (such as saying 25% is one-fourth of 100%).</v>
      </c>
      <c r="M82" s="10" t="str">
        <f t="shared" si="2"/>
        <v>LU000444.003</v>
      </c>
      <c r="N82" s="10" t="str">
        <f ca="1">IFERROR(__xludf.DUMMYFUNCTION("VLOOKUP(M82, IMPORTRANGE(""https://docs.google.com/spreadsheets/d/1yDAaXNsi4Mr5FtRQL4tbmSdIzhx6_m4wkOD7IG-k_eo/edit#gid=0"", ""Maths!M:N""), 2, FALSE)"),"Solve real-life problems involving percentages.")</f>
        <v>Solve real-life problems involving percentages.</v>
      </c>
      <c r="O82" s="10" t="str">
        <f t="shared" si="3"/>
        <v>LU000444.004</v>
      </c>
      <c r="P82" s="10" t="str">
        <f ca="1">IFERROR(__xludf.DUMMYFUNCTION("VLOOKUP(O82, IMPORTRANGE(""https://docs.google.com/spreadsheets/d/1yDAaXNsi4Mr5FtRQL4tbmSdIzhx6_m4wkOD7IG-k_eo/edit#gid=0"", ""Maths!M:N""), 2, FALSE)"),"Analyze real-life situations involving percentages to make informed decisions about cost savings and pricing options.")</f>
        <v>Analyze real-life situations involving percentages to make informed decisions about cost savings and pricing options.</v>
      </c>
      <c r="Q82" s="10" t="str">
        <f t="shared" si="4"/>
        <v>LU000444.005</v>
      </c>
      <c r="R82" s="10" t="str">
        <f ca="1">IFERROR(__xludf.DUMMYFUNCTION("VLOOKUP(Q82, IMPORTRANGE(""https://docs.google.com/spreadsheets/d/1yDAaXNsi4Mr5FtRQL4tbmSdIzhx6_m4wkOD7IG-k_eo/edit#gid=0"", ""Maths!M:N""), 2, FALSE)"),"Evaluate different scenarios where percentages are used to compare quantities and assess the impact of varying percentages on the results.")</f>
        <v>Evaluate different scenarios where percentages are used to compare quantities and assess the impact of varying percentages on the results.</v>
      </c>
      <c r="S82" s="10" t="str">
        <f t="shared" si="5"/>
        <v>LU000444.006</v>
      </c>
      <c r="T82" s="10" t="str">
        <f ca="1">IFERROR(__xludf.DUMMYFUNCTION("VLOOKUP(S82, IMPORTRANGE(""https://docs.google.com/spreadsheets/d/1yDAaXNsi4Mr5FtRQL4tbmSdIzhx6_m4wkOD7IG-k_eo/edit#gid=0"", ""Maths!M:N""), 2, FALSE)"),"Create a set of comparison problems where percentages are used to evaluate different options, and propose the best choice based on the percentage analysis.")</f>
        <v>Create a set of comparison problems where percentages are used to evaluate different options, and propose the best choice based on the percentage analysis.</v>
      </c>
      <c r="U82" s="11">
        <f ca="1">IFERROR(__xludf.DUMMYFUNCTION("ArrayFormula(VLOOKUP(G82, IMPORTRANGE(""https://docs.google.com/spreadsheets/d/1p7R4vtkWt5VOBim4ltsDG9KTzSjrtKXsMtQGXPHyND0/edit#gid=795171502"", ""'Filter 30_05_2024'!A1:M2000""), {2, 3, 4, 5,6,7,8,9,10,11,12,13}, 0))"),5)</f>
        <v>5</v>
      </c>
      <c r="V82" s="11">
        <f ca="1">IFERROR(__xludf.DUMMYFUNCTION("""COMPUTED_VALUE"""),6)</f>
        <v>6</v>
      </c>
      <c r="W82" s="11">
        <f ca="1">IFERROR(__xludf.DUMMYFUNCTION("""COMPUTED_VALUE"""),2)</f>
        <v>2</v>
      </c>
      <c r="X82" s="11">
        <f ca="1">IFERROR(__xludf.DUMMYFUNCTION("""COMPUTED_VALUE"""),13)</f>
        <v>13</v>
      </c>
      <c r="Y82" s="11">
        <f ca="1">IFERROR(__xludf.DUMMYFUNCTION("""COMPUTED_VALUE"""),4)</f>
        <v>4</v>
      </c>
      <c r="Z82" s="12">
        <f ca="1">IFERROR(__xludf.DUMMYFUNCTION("""COMPUTED_VALUE"""),3)</f>
        <v>3</v>
      </c>
      <c r="AA82" s="12">
        <f ca="1">IFERROR(__xludf.DUMMYFUNCTION("""COMPUTED_VALUE"""),1)</f>
        <v>1</v>
      </c>
      <c r="AB82" s="12">
        <f ca="1">IFERROR(__xludf.DUMMYFUNCTION("""COMPUTED_VALUE"""),8)</f>
        <v>8</v>
      </c>
      <c r="AC82" s="12"/>
      <c r="AD82" s="12"/>
      <c r="AE82" s="12"/>
      <c r="AF82" s="12"/>
      <c r="AG82" s="13" t="str">
        <f ca="1">IFERROR(__xludf.DUMMYFUNCTION("ArrayFormula(VLOOKUP(G82, IMPORTRANGE(""https://docs.google.com/spreadsheets/d/1Co934fvtviyaRiMsrIlT05Jaq7iiYq07aLvRr35KA48/edit?gid=173865642#gid=173865642"", ""'G7_Maths_Pri_LU'!G2:V2000""), {3, 4, 5, 6, 7, 8, 9, 10, 11, 12, 13, 14, 15, 16}, 0))"),"LU000285")</f>
        <v>LU000285</v>
      </c>
      <c r="AH82" s="13" t="str">
        <f ca="1">IFERROR(__xludf.DUMMYFUNCTION("""COMPUTED_VALUE"""),"Definition of equivalent fractions")</f>
        <v>Definition of equivalent fractions</v>
      </c>
      <c r="AI82" s="13" t="str">
        <f ca="1">IFERROR(__xludf.DUMMYFUNCTION("""COMPUTED_VALUE"""),"LU000278")</f>
        <v>LU000278</v>
      </c>
      <c r="AJ82" s="13" t="str">
        <f ca="1">IFERROR(__xludf.DUMMYFUNCTION("""COMPUTED_VALUE"""),"Definition of fraction")</f>
        <v>Definition of fraction</v>
      </c>
      <c r="AK82" s="13"/>
      <c r="AL82" s="13"/>
      <c r="AM82" s="13"/>
      <c r="AN82" s="13"/>
      <c r="AO82" s="13"/>
      <c r="AP82" s="13"/>
      <c r="AQ82" s="13"/>
      <c r="AR82" s="13"/>
      <c r="AS82" s="13"/>
      <c r="AT82" s="13"/>
    </row>
    <row r="83" spans="1:46">
      <c r="A83" s="8" t="s">
        <v>247</v>
      </c>
      <c r="B83" s="8" t="s">
        <v>47</v>
      </c>
      <c r="C83" s="8" t="s">
        <v>416</v>
      </c>
      <c r="D83" s="8" t="s">
        <v>49</v>
      </c>
      <c r="E83" s="8" t="s">
        <v>534</v>
      </c>
      <c r="F83" s="8" t="s">
        <v>537</v>
      </c>
      <c r="G83" s="8" t="s">
        <v>538</v>
      </c>
      <c r="H83" s="8" t="str">
        <f ca="1">IFERROR(__xludf.DUMMYFUNCTION("VLOOKUP(G83, IMPORTRANGE(""https://docs.google.com/spreadsheets/d/14deopnvwcrKtEGCKuYXdUHJbeLDZlkiSSWWT0g7x2pM/edit#gid=999382323"", ""LU List Maths (Filter)!A:B""), 2, FALSE)"),"Conversion of fractional numbers to percentage")</f>
        <v>Conversion of fractional numbers to percentage</v>
      </c>
      <c r="I83" s="10" t="str">
        <f t="shared" si="0"/>
        <v>LU000445.001</v>
      </c>
      <c r="J83" s="10" t="str">
        <f ca="1">IFERROR(__xludf.DUMMYFUNCTION("VLOOKUP(I83, IMPORTRANGE(""https://docs.google.com/spreadsheets/d/1yDAaXNsi4Mr5FtRQL4tbmSdIzhx6_m4wkOD7IG-k_eo/edit#gid=0"", ""Maths!M:N""), 2, FALSE)"),"List the process of converting a fractional number to a percentage and its significance in representing parts of a whole.")</f>
        <v>List the process of converting a fractional number to a percentage and its significance in representing parts of a whole.</v>
      </c>
      <c r="K83" s="10" t="str">
        <f t="shared" si="1"/>
        <v>LU000445.002</v>
      </c>
      <c r="L83" s="10" t="str">
        <f ca="1">IFERROR(__xludf.DUMMYFUNCTION("VLOOKUP(K83, IMPORTRANGE(""https://docs.google.com/spreadsheets/d/1yDAaXNsi4Mr5FtRQL4tbmSdIzhx6_m4wkOD7IG-k_eo/edit#gid=0"", ""Maths!M:N""), 2, FALSE)"),"Explain the relationship between fractions, percentages, and their role in comparing quantities and proportions.")</f>
        <v>Explain the relationship between fractions, percentages, and their role in comparing quantities and proportions.</v>
      </c>
      <c r="M83" s="10" t="str">
        <f t="shared" si="2"/>
        <v>LU000445.003</v>
      </c>
      <c r="N83" s="10" t="str">
        <f ca="1">IFERROR(__xludf.DUMMYFUNCTION("VLOOKUP(M83, IMPORTRANGE(""https://docs.google.com/spreadsheets/d/1yDAaXNsi4Mr5FtRQL4tbmSdIzhx6_m4wkOD7IG-k_eo/edit#gid=0"", ""Maths!M:N""), 2, FALSE)"),"Apply the conversion process to express fractional quantities as percentages.")</f>
        <v>Apply the conversion process to express fractional quantities as percentages.</v>
      </c>
      <c r="O83" s="10" t="str">
        <f t="shared" si="3"/>
        <v>LU000445.004</v>
      </c>
      <c r="P83" s="10" t="str">
        <f ca="1">IFERROR(__xludf.DUMMYFUNCTION("VLOOKUP(O83, IMPORTRANGE(""https://docs.google.com/spreadsheets/d/1yDAaXNsi4Mr5FtRQL4tbmSdIzhx6_m4wkOD7IG-k_eo/edit#gid=0"", ""Maths!M:N""), 2, FALSE)"),"Analyse different fractional values and their equivalent percentages, identifying patterns in the conversion process.")</f>
        <v>Analyse different fractional values and their equivalent percentages, identifying patterns in the conversion process.</v>
      </c>
      <c r="Q83" s="10" t="str">
        <f t="shared" si="4"/>
        <v>LU000445.005</v>
      </c>
      <c r="R83" s="10" t="str">
        <f ca="1">IFERROR(__xludf.DUMMYFUNCTION("VLOOKUP(Q83, IMPORTRANGE(""https://docs.google.com/spreadsheets/d/1yDAaXNsi4Mr5FtRQL4tbmSdIzhx6_m4wkOD7IG-k_eo/edit#gid=0"", ""Maths!M:N""), 2, FALSE)"),"Evaluate the effectiveness of converting fractions to percentages in comparing quantities.")</f>
        <v>Evaluate the effectiveness of converting fractions to percentages in comparing quantities.</v>
      </c>
      <c r="S83" s="10" t="str">
        <f t="shared" si="5"/>
        <v>LU000445.006</v>
      </c>
      <c r="T83" s="10" t="str">
        <f ca="1">IFERROR(__xludf.DUMMYFUNCTION("VLOOKUP(S83, IMPORTRANGE(""https://docs.google.com/spreadsheets/d/1yDAaXNsi4Mr5FtRQL4tbmSdIzhx6_m4wkOD7IG-k_eo/edit#gid=0"", ""Maths!M:N""), 2, FALSE)"),"Create a set of word problems that require converting fractions to percentages, presenting various scenarios where this conversion is essential for making comparisons between quantities.")</f>
        <v>Create a set of word problems that require converting fractions to percentages, presenting various scenarios where this conversion is essential for making comparisons between quantities.</v>
      </c>
      <c r="U83" s="11">
        <f ca="1">IFERROR(__xludf.DUMMYFUNCTION("ArrayFormula(VLOOKUP(G83, IMPORTRANGE(""https://docs.google.com/spreadsheets/d/1p7R4vtkWt5VOBim4ltsDG9KTzSjrtKXsMtQGXPHyND0/edit#gid=795171502"", ""'Filter 30_05_2024'!A1:M2000""), {2, 3, 4, 5,6,7,8,9,10,11,12,13}, 0))"),10)</f>
        <v>10</v>
      </c>
      <c r="V83" s="11">
        <f ca="1">IFERROR(__xludf.DUMMYFUNCTION("""COMPUTED_VALUE"""),10)</f>
        <v>10</v>
      </c>
      <c r="W83" s="11">
        <f ca="1">IFERROR(__xludf.DUMMYFUNCTION("""COMPUTED_VALUE"""),5)</f>
        <v>5</v>
      </c>
      <c r="X83" s="11">
        <f ca="1">IFERROR(__xludf.DUMMYFUNCTION("""COMPUTED_VALUE"""),25)</f>
        <v>25</v>
      </c>
      <c r="Y83" s="11">
        <f ca="1">IFERROR(__xludf.DUMMYFUNCTION("""COMPUTED_VALUE"""),4)</f>
        <v>4</v>
      </c>
      <c r="Z83" s="12">
        <f ca="1">IFERROR(__xludf.DUMMYFUNCTION("""COMPUTED_VALUE"""),3)</f>
        <v>3</v>
      </c>
      <c r="AA83" s="12">
        <f ca="1">IFERROR(__xludf.DUMMYFUNCTION("""COMPUTED_VALUE"""),1)</f>
        <v>1</v>
      </c>
      <c r="AB83" s="12">
        <f ca="1">IFERROR(__xludf.DUMMYFUNCTION("""COMPUTED_VALUE"""),8)</f>
        <v>8</v>
      </c>
      <c r="AC83" s="12"/>
      <c r="AD83" s="12"/>
      <c r="AE83" s="12"/>
      <c r="AF83" s="12"/>
      <c r="AG83" s="13" t="str">
        <f ca="1">IFERROR(__xludf.DUMMYFUNCTION("ArrayFormula(VLOOKUP(G83, IMPORTRANGE(""https://docs.google.com/spreadsheets/d/1Co934fvtviyaRiMsrIlT05Jaq7iiYq07aLvRr35KA48/edit?gid=173865642#gid=173865642"", ""'G7_Maths_Pri_LU'!G2:V2000""), {3, 4, 5, 6, 7, 8, 9, 10, 11, 12, 13, 14, 15, 16}, 0))"),"LU000444")</f>
        <v>LU000444</v>
      </c>
      <c r="AH83" s="13" t="str">
        <f ca="1">IFERROR(__xludf.DUMMYFUNCTION("""COMPUTED_VALUE"""),"Definition of percentage")</f>
        <v>Definition of percentage</v>
      </c>
      <c r="AI83" s="13" t="str">
        <f ca="1">IFERROR(__xludf.DUMMYFUNCTION("""COMPUTED_VALUE"""),"LU000285")</f>
        <v>LU000285</v>
      </c>
      <c r="AJ83" s="13" t="str">
        <f ca="1">IFERROR(__xludf.DUMMYFUNCTION("""COMPUTED_VALUE"""),"Definition of equivalent fractions")</f>
        <v>Definition of equivalent fractions</v>
      </c>
      <c r="AK83" s="13"/>
      <c r="AL83" s="13"/>
      <c r="AM83" s="13"/>
      <c r="AN83" s="13"/>
      <c r="AO83" s="13"/>
      <c r="AP83" s="13"/>
      <c r="AQ83" s="13"/>
      <c r="AR83" s="13"/>
      <c r="AS83" s="13"/>
      <c r="AT83" s="13"/>
    </row>
    <row r="84" spans="1:46">
      <c r="A84" s="8" t="s">
        <v>247</v>
      </c>
      <c r="B84" s="8" t="s">
        <v>47</v>
      </c>
      <c r="C84" s="8" t="s">
        <v>416</v>
      </c>
      <c r="D84" s="8" t="s">
        <v>49</v>
      </c>
      <c r="E84" s="8" t="s">
        <v>534</v>
      </c>
      <c r="F84" s="8" t="s">
        <v>537</v>
      </c>
      <c r="G84" s="8" t="s">
        <v>539</v>
      </c>
      <c r="H84" s="8" t="str">
        <f ca="1">IFERROR(__xludf.DUMMYFUNCTION("VLOOKUP(G84, IMPORTRANGE(""https://docs.google.com/spreadsheets/d/14deopnvwcrKtEGCKuYXdUHJbeLDZlkiSSWWT0g7x2pM/edit#gid=999382323"", ""LU List Maths (Filter)!A:B""), 2, FALSE)"),"Conversion of decimal number to percentage")</f>
        <v>Conversion of decimal number to percentage</v>
      </c>
      <c r="I84" s="10" t="str">
        <f t="shared" si="0"/>
        <v>LU000446.001</v>
      </c>
      <c r="J84" s="10" t="str">
        <f ca="1">IFERROR(__xludf.DUMMYFUNCTION("VLOOKUP(I84, IMPORTRANGE(""https://docs.google.com/spreadsheets/d/1yDAaXNsi4Mr5FtRQL4tbmSdIzhx6_m4wkOD7IG-k_eo/edit#gid=0"", ""Maths!M:N""), 2, FALSE)"),"List the process of converting a decimal number to a percentage and its significance in representing parts of a whole.")</f>
        <v>List the process of converting a decimal number to a percentage and its significance in representing parts of a whole.</v>
      </c>
      <c r="K84" s="10" t="str">
        <f t="shared" si="1"/>
        <v>LU000446.002</v>
      </c>
      <c r="L84" s="10" t="str">
        <f ca="1">IFERROR(__xludf.DUMMYFUNCTION("VLOOKUP(K84, IMPORTRANGE(""https://docs.google.com/spreadsheets/d/1yDAaXNsi4Mr5FtRQL4tbmSdIzhx6_m4wkOD7IG-k_eo/edit#gid=0"", ""Maths!M:N""), 2, FALSE)"),"Explain the process of converting decimal numbers to percentages and its significance in comparing quantities.")</f>
        <v>Explain the process of converting decimal numbers to percentages and its significance in comparing quantities.</v>
      </c>
      <c r="M84" s="10" t="str">
        <f t="shared" si="2"/>
        <v>LU000446.003</v>
      </c>
      <c r="N84" s="10" t="str">
        <f ca="1">IFERROR(__xludf.DUMMYFUNCTION("VLOOKUP(M84, IMPORTRANGE(""https://docs.google.com/spreadsheets/d/1yDAaXNsi4Mr5FtRQL4tbmSdIzhx6_m4wkOD7IG-k_eo/edit#gid=0"", ""Maths!M:N""), 2, FALSE)"),"Apply the conversion process to express decimal quantities as percentages.")</f>
        <v>Apply the conversion process to express decimal quantities as percentages.</v>
      </c>
      <c r="O84" s="10" t="str">
        <f t="shared" si="3"/>
        <v>LU000446.004</v>
      </c>
      <c r="P84" s="10" t="str">
        <f ca="1">IFERROR(__xludf.DUMMYFUNCTION("VLOOKUP(O84, IMPORTRANGE(""https://docs.google.com/spreadsheets/d/1yDAaXNsi4Mr5FtRQL4tbmSdIzhx6_m4wkOD7IG-k_eo/edit#gid=0"", ""Maths!M:N""), 2, FALSE)"),"Analyse real-life situations involving decimal numbers and percentages, and discuss how the conversion aids in making informed comparisons.")</f>
        <v>Analyse real-life situations involving decimal numbers and percentages, and discuss how the conversion aids in making informed comparisons.</v>
      </c>
      <c r="Q84" s="10" t="str">
        <f t="shared" si="4"/>
        <v>LU000446.005</v>
      </c>
      <c r="R84" s="10" t="str">
        <f ca="1">IFERROR(__xludf.DUMMYFUNCTION("VLOOKUP(Q84, IMPORTRANGE(""https://docs.google.com/spreadsheets/d/1yDAaXNsi4Mr5FtRQL4tbmSdIzhx6_m4wkOD7IG-k_eo/edit#gid=0"", ""Maths!M:N""), 2, FALSE)"),"Evaluate the advantages and limitations of converting decimal numbers to percentages when comparing quantities.")</f>
        <v>Evaluate the advantages and limitations of converting decimal numbers to percentages when comparing quantities.</v>
      </c>
      <c r="S84" s="10" t="str">
        <f t="shared" si="5"/>
        <v>LU000446.006</v>
      </c>
      <c r="T84" s="10" t="str">
        <f ca="1">IFERROR(__xludf.DUMMYFUNCTION("VLOOKUP(S84, IMPORTRANGE(""https://docs.google.com/spreadsheets/d/1yDAaXNsi4Mr5FtRQL4tbmSdIzhx6_m4wkOD7IG-k_eo/edit#gid=0"", ""Maths!M:N""), 2, FALSE)"),"Create a series of real-world scenarios that require converting decimal numbers to percentages.")</f>
        <v>Create a series of real-world scenarios that require converting decimal numbers to percentages.</v>
      </c>
      <c r="U84" s="11">
        <f ca="1">IFERROR(__xludf.DUMMYFUNCTION("ArrayFormula(VLOOKUP(G84, IMPORTRANGE(""https://docs.google.com/spreadsheets/d/1p7R4vtkWt5VOBim4ltsDG9KTzSjrtKXsMtQGXPHyND0/edit#gid=795171502"", ""'Filter 30_05_2024'!A1:M2000""), {2, 3, 4, 5,6,7,8,9,10,11,12,13}, 0))"),4)</f>
        <v>4</v>
      </c>
      <c r="V84" s="11">
        <f ca="1">IFERROR(__xludf.DUMMYFUNCTION("""COMPUTED_VALUE"""),7)</f>
        <v>7</v>
      </c>
      <c r="W84" s="11">
        <f ca="1">IFERROR(__xludf.DUMMYFUNCTION("""COMPUTED_VALUE"""),2)</f>
        <v>2</v>
      </c>
      <c r="X84" s="11">
        <f ca="1">IFERROR(__xludf.DUMMYFUNCTION("""COMPUTED_VALUE"""),13)</f>
        <v>13</v>
      </c>
      <c r="Y84" s="11">
        <f ca="1">IFERROR(__xludf.DUMMYFUNCTION("""COMPUTED_VALUE"""),4)</f>
        <v>4</v>
      </c>
      <c r="Z84" s="12">
        <f ca="1">IFERROR(__xludf.DUMMYFUNCTION("""COMPUTED_VALUE"""),5)</f>
        <v>5</v>
      </c>
      <c r="AA84" s="12">
        <f ca="1">IFERROR(__xludf.DUMMYFUNCTION("""COMPUTED_VALUE"""),1)</f>
        <v>1</v>
      </c>
      <c r="AB84" s="12">
        <f ca="1">IFERROR(__xludf.DUMMYFUNCTION("""COMPUTED_VALUE"""),10)</f>
        <v>10</v>
      </c>
      <c r="AC84" s="12"/>
      <c r="AD84" s="12"/>
      <c r="AE84" s="12"/>
      <c r="AF84" s="12"/>
      <c r="AG84" s="13" t="str">
        <f ca="1">IFERROR(__xludf.DUMMYFUNCTION("ArrayFormula(VLOOKUP(G84, IMPORTRANGE(""https://docs.google.com/spreadsheets/d/1Co934fvtviyaRiMsrIlT05Jaq7iiYq07aLvRr35KA48/edit?gid=173865642#gid=173865642"", ""'G7_Maths_Pri_LU'!G2:V2000""), {3, 4, 5, 6, 7, 8, 9, 10, 11, 12, 13, 14, 15, 16}, 0))"),"LU000445")</f>
        <v>LU000445</v>
      </c>
      <c r="AH84" s="13" t="str">
        <f ca="1">IFERROR(__xludf.DUMMYFUNCTION("""COMPUTED_VALUE"""),"Conversion of fractional numbers to percentage")</f>
        <v>Conversion of fractional numbers to percentage</v>
      </c>
      <c r="AI84" s="13" t="str">
        <f ca="1">IFERROR(__xludf.DUMMYFUNCTION("""COMPUTED_VALUE"""),"LU000444")</f>
        <v>LU000444</v>
      </c>
      <c r="AJ84" s="13" t="str">
        <f ca="1">IFERROR(__xludf.DUMMYFUNCTION("""COMPUTED_VALUE"""),"Definition of percentage")</f>
        <v>Definition of percentage</v>
      </c>
      <c r="AK84" s="13" t="str">
        <f ca="1">IFERROR(__xludf.DUMMYFUNCTION("""COMPUTED_VALUE"""),"LU000285")</f>
        <v>LU000285</v>
      </c>
      <c r="AL84" s="13" t="str">
        <f ca="1">IFERROR(__xludf.DUMMYFUNCTION("""COMPUTED_VALUE"""),"Definition of equivalent fractions")</f>
        <v>Definition of equivalent fractions</v>
      </c>
      <c r="AM84" s="13"/>
      <c r="AN84" s="13"/>
      <c r="AO84" s="13"/>
      <c r="AP84" s="13"/>
      <c r="AQ84" s="13"/>
      <c r="AR84" s="13"/>
      <c r="AS84" s="13"/>
      <c r="AT84" s="13"/>
    </row>
    <row r="85" spans="1:46">
      <c r="A85" s="8" t="s">
        <v>247</v>
      </c>
      <c r="B85" s="8" t="s">
        <v>47</v>
      </c>
      <c r="C85" s="8" t="s">
        <v>416</v>
      </c>
      <c r="D85" s="8" t="s">
        <v>49</v>
      </c>
      <c r="E85" s="8" t="s">
        <v>534</v>
      </c>
      <c r="F85" s="8" t="s">
        <v>540</v>
      </c>
      <c r="G85" s="8" t="s">
        <v>541</v>
      </c>
      <c r="H85" s="8" t="str">
        <f ca="1">IFERROR(__xludf.DUMMYFUNCTION("VLOOKUP(G85, IMPORTRANGE(""https://docs.google.com/spreadsheets/d/14deopnvwcrKtEGCKuYXdUHJbeLDZlkiSSWWT0g7x2pM/edit#gid=999382323"", ""LU List Maths (Filter)!A:B""), 2, FALSE)"),"Conversion of percentage to fraction")</f>
        <v>Conversion of percentage to fraction</v>
      </c>
      <c r="I85" s="10" t="str">
        <f t="shared" si="0"/>
        <v>LU000447.001</v>
      </c>
      <c r="J85" s="10" t="str">
        <f ca="1">IFERROR(__xludf.DUMMYFUNCTION("VLOOKUP(I85, IMPORTRANGE(""https://docs.google.com/spreadsheets/d/1yDAaXNsi4Mr5FtRQL4tbmSdIzhx6_m4wkOD7IG-k_eo/edit#gid=0"", ""Maths!M:N""), 2, FALSE)"),"Recall the process of converting percentages to fractions by placing the percentage value over 100.")</f>
        <v>Recall the process of converting percentages to fractions by placing the percentage value over 100.</v>
      </c>
      <c r="K85" s="10" t="str">
        <f t="shared" si="1"/>
        <v>LU000447.002</v>
      </c>
      <c r="L85" s="10" t="str">
        <f ca="1">IFERROR(__xludf.DUMMYFUNCTION("VLOOKUP(K85, IMPORTRANGE(""https://docs.google.com/spreadsheets/d/1yDAaXNsi4Mr5FtRQL4tbmSdIzhx6_m4wkOD7IG-k_eo/edit#gid=0"", ""Maths!M:N""), 2, FALSE)"),"Explain the concept of converting percentages to fractions and how this conversion is used to express parts of a whole in fraction form.")</f>
        <v>Explain the concept of converting percentages to fractions and how this conversion is used to express parts of a whole in fraction form.</v>
      </c>
      <c r="M85" s="10" t="str">
        <f t="shared" si="2"/>
        <v>LU000447.003</v>
      </c>
      <c r="N85" s="10" t="str">
        <f ca="1">IFERROR(__xludf.DUMMYFUNCTION("VLOOKUP(M85, IMPORTRANGE(""https://docs.google.com/spreadsheets/d/1yDAaXNsi4Mr5FtRQL4tbmSdIzhx6_m4wkOD7IG-k_eo/edit#gid=0"", ""Maths!M:N""), 2, FALSE)"),"Apply the process of converting percentages to fractions to solve problems involving ratio, proportional and comparison relationships.")</f>
        <v>Apply the process of converting percentages to fractions to solve problems involving ratio, proportional and comparison relationships.</v>
      </c>
      <c r="O85" s="10" t="str">
        <f t="shared" si="3"/>
        <v>LU000447.004</v>
      </c>
      <c r="P85" s="10" t="str">
        <f ca="1">IFERROR(__xludf.DUMMYFUNCTION("VLOOKUP(O85, IMPORTRANGE(""https://docs.google.com/spreadsheets/d/1yDAaXNsi4Mr5FtRQL4tbmSdIzhx6_m4wkOD7IG-k_eo/edit#gid=0"", ""Maths!M:N""), 2, FALSE)"),"Analyse various percentages and convert them to fractions, discussing how this conversion facilitates comparisons between different quantities.")</f>
        <v>Analyse various percentages and convert them to fractions, discussing how this conversion facilitates comparisons between different quantities.</v>
      </c>
      <c r="Q85" s="10" t="str">
        <f t="shared" si="4"/>
        <v>LU000447.005</v>
      </c>
      <c r="R85" s="10" t="str">
        <f ca="1">IFERROR(__xludf.DUMMYFUNCTION("VLOOKUP(Q85, IMPORTRANGE(""https://docs.google.com/spreadsheets/d/1yDAaXNsi4Mr5FtRQL4tbmSdIzhx6_m4wkOD7IG-k_eo/edit#gid=0"", ""Maths!M:N""), 2, FALSE)"),"Evaluate the effectiveness of converting percentages to fractions for comparing quantities, considering situations where fractions offer a clearer representation.")</f>
        <v>Evaluate the effectiveness of converting percentages to fractions for comparing quantities, considering situations where fractions offer a clearer representation.</v>
      </c>
      <c r="S85" s="10" t="str">
        <f t="shared" si="5"/>
        <v>LU000447.006</v>
      </c>
      <c r="T85" s="10" t="str">
        <f ca="1">IFERROR(__xludf.DUMMYFUNCTION("VLOOKUP(S85, IMPORTRANGE(""https://docs.google.com/spreadsheets/d/1yDAaXNsi4Mr5FtRQL4tbmSdIzhx6_m4wkOD7IG-k_eo/edit#gid=0"", ""Maths!M:N""), 2, FALSE)"),"Create a set of problems that require converting percentages to fractions.")</f>
        <v>Create a set of problems that require converting percentages to fractions.</v>
      </c>
      <c r="U85" s="11">
        <f ca="1">IFERROR(__xludf.DUMMYFUNCTION("ArrayFormula(VLOOKUP(G85, IMPORTRANGE(""https://docs.google.com/spreadsheets/d/1p7R4vtkWt5VOBim4ltsDG9KTzSjrtKXsMtQGXPHyND0/edit#gid=795171502"", ""'Filter 30_05_2024'!A1:M2000""), {2, 3, 4, 5,6,7,8,9,10,11,12,13}, 0))"),10)</f>
        <v>10</v>
      </c>
      <c r="V85" s="11">
        <f ca="1">IFERROR(__xludf.DUMMYFUNCTION("""COMPUTED_VALUE"""),15)</f>
        <v>15</v>
      </c>
      <c r="W85" s="11">
        <f ca="1">IFERROR(__xludf.DUMMYFUNCTION("""COMPUTED_VALUE"""),5)</f>
        <v>5</v>
      </c>
      <c r="X85" s="11">
        <f ca="1">IFERROR(__xludf.DUMMYFUNCTION("""COMPUTED_VALUE"""),30)</f>
        <v>30</v>
      </c>
      <c r="Y85" s="11">
        <f ca="1">IFERROR(__xludf.DUMMYFUNCTION("""COMPUTED_VALUE"""),4)</f>
        <v>4</v>
      </c>
      <c r="Z85" s="12">
        <f ca="1">IFERROR(__xludf.DUMMYFUNCTION("""COMPUTED_VALUE"""),5)</f>
        <v>5</v>
      </c>
      <c r="AA85" s="12">
        <f ca="1">IFERROR(__xludf.DUMMYFUNCTION("""COMPUTED_VALUE"""),1)</f>
        <v>1</v>
      </c>
      <c r="AB85" s="12">
        <f ca="1">IFERROR(__xludf.DUMMYFUNCTION("""COMPUTED_VALUE"""),10)</f>
        <v>10</v>
      </c>
      <c r="AC85" s="12"/>
      <c r="AD85" s="12"/>
      <c r="AE85" s="12"/>
      <c r="AF85" s="12"/>
      <c r="AG85" s="13" t="str">
        <f ca="1">IFERROR(__xludf.DUMMYFUNCTION("ArrayFormula(VLOOKUP(G85, IMPORTRANGE(""https://docs.google.com/spreadsheets/d/1Co934fvtviyaRiMsrIlT05Jaq7iiYq07aLvRr35KA48/edit?gid=173865642#gid=173865642"", ""'G7_Maths_Pri_LU'!G2:V2000""), {3, 4, 5, 6, 7, 8, 9, 10, 11, 12, 13, 14, 15, 16}, 0))"),"LU000444")</f>
        <v>LU000444</v>
      </c>
      <c r="AH85" s="13" t="str">
        <f ca="1">IFERROR(__xludf.DUMMYFUNCTION("""COMPUTED_VALUE"""),"Definition of percentage")</f>
        <v>Definition of percentage</v>
      </c>
      <c r="AI85" s="13" t="str">
        <f ca="1">IFERROR(__xludf.DUMMYFUNCTION("""COMPUTED_VALUE"""),"LU000291")</f>
        <v>LU000291</v>
      </c>
      <c r="AJ85" s="13" t="str">
        <f ca="1">IFERROR(__xludf.DUMMYFUNCTION("""COMPUTED_VALUE"""),"Simplest (or Lowest) form of a fraction")</f>
        <v>Simplest (or Lowest) form of a fraction</v>
      </c>
      <c r="AK85" s="13" t="str">
        <f ca="1">IFERROR(__xludf.DUMMYFUNCTION("""COMPUTED_VALUE"""),"LU001006")</f>
        <v>LU001006</v>
      </c>
      <c r="AL85" s="13" t="str">
        <f ca="1">IFERROR(__xludf.DUMMYFUNCTION("""COMPUTED_VALUE"""),"Multiplication of an improper fraction by a whole number")</f>
        <v>Multiplication of an improper fraction by a whole number</v>
      </c>
      <c r="AM85" s="13" t="str">
        <f ca="1">IFERROR(__xludf.DUMMYFUNCTION("""COMPUTED_VALUE"""),"LU000291")</f>
        <v>LU000291</v>
      </c>
      <c r="AN85" s="13" t="str">
        <f ca="1">IFERROR(__xludf.DUMMYFUNCTION("""COMPUTED_VALUE"""),"Simplest (or Lowest) form of a fraction")</f>
        <v>Simplest (or Lowest) form of a fraction</v>
      </c>
      <c r="AO85" s="13" t="str">
        <f ca="1">IFERROR(__xludf.DUMMYFUNCTION("""COMPUTED_VALUE"""),"LU000123")</f>
        <v>LU000123</v>
      </c>
      <c r="AP85" s="13" t="str">
        <f ca="1">IFERROR(__xludf.DUMMYFUNCTION("""COMPUTED_VALUE"""),"Division of numbers by multiples of 10")</f>
        <v>Division of numbers by multiples of 10</v>
      </c>
      <c r="AQ85" s="13"/>
      <c r="AR85" s="13"/>
      <c r="AS85" s="13"/>
      <c r="AT85" s="13"/>
    </row>
    <row r="86" spans="1:46">
      <c r="A86" s="8" t="s">
        <v>247</v>
      </c>
      <c r="B86" s="8" t="s">
        <v>47</v>
      </c>
      <c r="C86" s="8" t="s">
        <v>416</v>
      </c>
      <c r="D86" s="8" t="s">
        <v>49</v>
      </c>
      <c r="E86" s="8" t="s">
        <v>534</v>
      </c>
      <c r="F86" s="8" t="s">
        <v>540</v>
      </c>
      <c r="G86" s="8" t="s">
        <v>542</v>
      </c>
      <c r="H86" s="8" t="str">
        <f ca="1">IFERROR(__xludf.DUMMYFUNCTION("VLOOKUP(G86, IMPORTRANGE(""https://docs.google.com/spreadsheets/d/14deopnvwcrKtEGCKuYXdUHJbeLDZlkiSSWWT0g7x2pM/edit#gid=999382323"", ""LU List Maths (Filter)!A:B""), 2, FALSE)"),"Conversion of percentages to decimal")</f>
        <v>Conversion of percentages to decimal</v>
      </c>
      <c r="I86" s="10" t="str">
        <f t="shared" si="0"/>
        <v>LU000448.001</v>
      </c>
      <c r="J86" s="10" t="str">
        <f ca="1">IFERROR(__xludf.DUMMYFUNCTION("VLOOKUP(I86, IMPORTRANGE(""https://docs.google.com/spreadsheets/d/1yDAaXNsi4Mr5FtRQL4tbmSdIzhx6_m4wkOD7IG-k_eo/edit#gid=0"", ""Maths!M:N""), 2, FALSE)"),"Recall that percentages can be converted to decimals by dividing the percentage value by 100.")</f>
        <v>Recall that percentages can be converted to decimals by dividing the percentage value by 100.</v>
      </c>
      <c r="K86" s="10" t="str">
        <f t="shared" si="1"/>
        <v>LU000448.002</v>
      </c>
      <c r="L86" s="10" t="str">
        <f ca="1">IFERROR(__xludf.DUMMYFUNCTION("VLOOKUP(K86, IMPORTRANGE(""https://docs.google.com/spreadsheets/d/1yDAaXNsi4Mr5FtRQL4tbmSdIzhx6_m4wkOD7IG-k_eo/edit#gid=0"", ""Maths!M:N""), 2, FALSE)"),"Explain the concept of converting percentages to decimals and how it simplifies calculations and comparisons.")</f>
        <v>Explain the concept of converting percentages to decimals and how it simplifies calculations and comparisons.</v>
      </c>
      <c r="M86" s="10" t="str">
        <f t="shared" si="2"/>
        <v>LU000448.003</v>
      </c>
      <c r="N86" s="10" t="str">
        <f ca="1">IFERROR(__xludf.DUMMYFUNCTION("VLOOKUP(M86, IMPORTRANGE(""https://docs.google.com/spreadsheets/d/1yDAaXNsi4Mr5FtRQL4tbmSdIzhx6_m4wkOD7IG-k_eo/edit#gid=0"", ""Maths!M:N""), 2, FALSE)"),"Apply the process of converting percentages to decimals to solve problems.")</f>
        <v>Apply the process of converting percentages to decimals to solve problems.</v>
      </c>
      <c r="O86" s="10" t="str">
        <f t="shared" si="3"/>
        <v>LU000448.004</v>
      </c>
      <c r="P86" s="10" t="str">
        <f ca="1">IFERROR(__xludf.DUMMYFUNCTION("VLOOKUP(O86, IMPORTRANGE(""https://docs.google.com/spreadsheets/d/1yDAaXNsi4Mr5FtRQL4tbmSdIzhx6_m4wkOD7IG-k_eo/edit#gid=0"", ""Maths!M:N""), 2, FALSE)"),"Analyse different percentages and convert them to decimals, discussing how this conversion streamlines comparisons between quantities.")</f>
        <v>Analyse different percentages and convert them to decimals, discussing how this conversion streamlines comparisons between quantities.</v>
      </c>
      <c r="Q86" s="10" t="str">
        <f t="shared" si="4"/>
        <v>LU000448.005</v>
      </c>
      <c r="R86" s="10" t="str">
        <f ca="1">IFERROR(__xludf.DUMMYFUNCTION("VLOOKUP(Q86, IMPORTRANGE(""https://docs.google.com/spreadsheets/d/1yDAaXNsi4Mr5FtRQL4tbmSdIzhx6_m4wkOD7IG-k_eo/edit#gid=0"", ""Maths!M:N""), 2, FALSE)"),"Evaluate the efficiency of converting percentages to decimals in comparing quantities, considering situations where decimals are more practical than percentages.")</f>
        <v>Evaluate the efficiency of converting percentages to decimals in comparing quantities, considering situations where decimals are more practical than percentages.</v>
      </c>
      <c r="S86" s="10" t="str">
        <f t="shared" si="5"/>
        <v>LU000448.006</v>
      </c>
      <c r="T86" s="10" t="str">
        <f ca="1">IFERROR(__xludf.DUMMYFUNCTION("VLOOKUP(S86, IMPORTRANGE(""https://docs.google.com/spreadsheets/d/1yDAaXNsi4Mr5FtRQL4tbmSdIzhx6_m4wkOD7IG-k_eo/edit#gid=0"", ""Maths!M:N""), 2, FALSE)"),"Design a word problem involving converting a given percentage to a decimal.")</f>
        <v>Design a word problem involving converting a given percentage to a decimal.</v>
      </c>
      <c r="U86" s="11">
        <f ca="1">IFERROR(__xludf.DUMMYFUNCTION("ArrayFormula(VLOOKUP(G86, IMPORTRANGE(""https://docs.google.com/spreadsheets/d/1p7R4vtkWt5VOBim4ltsDG9KTzSjrtKXsMtQGXPHyND0/edit#gid=795171502"", ""'Filter 30_05_2024'!A1:M2000""), {2, 3, 4, 5,6,7,8,9,10,11,12,13}, 0))"),6)</f>
        <v>6</v>
      </c>
      <c r="V86" s="11">
        <f ca="1">IFERROR(__xludf.DUMMYFUNCTION("""COMPUTED_VALUE"""),6)</f>
        <v>6</v>
      </c>
      <c r="W86" s="11">
        <f ca="1">IFERROR(__xludf.DUMMYFUNCTION("""COMPUTED_VALUE"""),2)</f>
        <v>2</v>
      </c>
      <c r="X86" s="11">
        <f ca="1">IFERROR(__xludf.DUMMYFUNCTION("""COMPUTED_VALUE"""),14)</f>
        <v>14</v>
      </c>
      <c r="Y86" s="11">
        <f ca="1">IFERROR(__xludf.DUMMYFUNCTION("""COMPUTED_VALUE"""),4)</f>
        <v>4</v>
      </c>
      <c r="Z86" s="12">
        <f ca="1">IFERROR(__xludf.DUMMYFUNCTION("""COMPUTED_VALUE"""),3)</f>
        <v>3</v>
      </c>
      <c r="AA86" s="12">
        <f ca="1">IFERROR(__xludf.DUMMYFUNCTION("""COMPUTED_VALUE"""),1)</f>
        <v>1</v>
      </c>
      <c r="AB86" s="12">
        <f ca="1">IFERROR(__xludf.DUMMYFUNCTION("""COMPUTED_VALUE"""),8)</f>
        <v>8</v>
      </c>
      <c r="AC86" s="12"/>
      <c r="AD86" s="12"/>
      <c r="AE86" s="12"/>
      <c r="AF86" s="12"/>
      <c r="AG86" s="13" t="str">
        <f ca="1">IFERROR(__xludf.DUMMYFUNCTION("ArrayFormula(VLOOKUP(G86, IMPORTRANGE(""https://docs.google.com/spreadsheets/d/1Co934fvtviyaRiMsrIlT05Jaq7iiYq07aLvRr35KA48/edit?gid=173865642#gid=173865642"", ""'G7_Maths_Pri_LU'!G2:V2000""), {3, 4, 5, 6, 7, 8, 9, 10, 11, 12, 13, 14, 15, 16}, 0))"),"LU000097")</f>
        <v>LU000097</v>
      </c>
      <c r="AH86" s="13" t="str">
        <f ca="1">IFERROR(__xludf.DUMMYFUNCTION("""COMPUTED_VALUE"""),"Convert fractional form to decimal number")</f>
        <v>Convert fractional form to decimal number</v>
      </c>
      <c r="AI86" s="13" t="str">
        <f ca="1">IFERROR(__xludf.DUMMYFUNCTION("""COMPUTED_VALUE"""),"LU000291")</f>
        <v>LU000291</v>
      </c>
      <c r="AJ86" s="13" t="str">
        <f ca="1">IFERROR(__xludf.DUMMYFUNCTION("""COMPUTED_VALUE"""),"Simplest (or Lowest) form of a fraction")</f>
        <v>Simplest (or Lowest) form of a fraction</v>
      </c>
      <c r="AK86" s="13" t="str">
        <f ca="1">IFERROR(__xludf.DUMMYFUNCTION("""COMPUTED_VALUE"""),"LU000123")</f>
        <v>LU000123</v>
      </c>
      <c r="AL86" s="13" t="str">
        <f ca="1">IFERROR(__xludf.DUMMYFUNCTION("""COMPUTED_VALUE"""),"Division of numbers by multiples of 10")</f>
        <v>Division of numbers by multiples of 10</v>
      </c>
      <c r="AM86" s="13"/>
      <c r="AN86" s="13"/>
      <c r="AO86" s="13"/>
      <c r="AP86" s="13"/>
      <c r="AQ86" s="13"/>
      <c r="AR86" s="13"/>
      <c r="AS86" s="13"/>
      <c r="AT86" s="13"/>
    </row>
    <row r="87" spans="1:46">
      <c r="A87" s="8" t="s">
        <v>247</v>
      </c>
      <c r="B87" s="8" t="s">
        <v>47</v>
      </c>
      <c r="C87" s="8" t="s">
        <v>416</v>
      </c>
      <c r="D87" s="8" t="s">
        <v>49</v>
      </c>
      <c r="E87" s="8" t="s">
        <v>534</v>
      </c>
      <c r="F87" s="8" t="s">
        <v>543</v>
      </c>
      <c r="G87" s="8" t="s">
        <v>544</v>
      </c>
      <c r="H87" s="8" t="str">
        <f ca="1">IFERROR(__xludf.DUMMYFUNCTION("VLOOKUP(G87, IMPORTRANGE(""https://docs.google.com/spreadsheets/d/14deopnvwcrKtEGCKuYXdUHJbeLDZlkiSSWWT0g7x2pM/edit#gid=999382323"", ""LU List Maths (Filter)!A:B""), 2, FALSE)"),"Estimation of shaded part of an area in percentage")</f>
        <v>Estimation of shaded part of an area in percentage</v>
      </c>
      <c r="I87" s="10" t="str">
        <f t="shared" si="0"/>
        <v>LU000449.001</v>
      </c>
      <c r="J87" s="10" t="str">
        <f ca="1">IFERROR(__xludf.DUMMYFUNCTION("VLOOKUP(I87, IMPORTRANGE(""https://docs.google.com/spreadsheets/d/1yDAaXNsi4Mr5FtRQL4tbmSdIzhx6_m4wkOD7IG-k_eo/edit#gid=0"", ""Maths!M:N""), 2, FALSE)"),"Recall the concept of estimating the percentage of a shaded region within a larger area.")</f>
        <v>Recall the concept of estimating the percentage of a shaded region within a larger area.</v>
      </c>
      <c r="K87" s="10" t="str">
        <f t="shared" si="1"/>
        <v>LU000449.002</v>
      </c>
      <c r="L87" s="10" t="str">
        <f ca="1">IFERROR(__xludf.DUMMYFUNCTION("VLOOKUP(K87, IMPORTRANGE(""https://docs.google.com/spreadsheets/d/1yDAaXNsi4Mr5FtRQL4tbmSdIzhx6_m4wkOD7IG-k_eo/edit#gid=0"", ""Maths!M:N""), 2, FALSE)"),"Explain the significance of estimating the shaded part of an area in percentage, as it provides a quick way to compare quantities visually.")</f>
        <v>Explain the significance of estimating the shaded part of an area in percentage, as it provides a quick way to compare quantities visually.</v>
      </c>
      <c r="M87" s="10" t="str">
        <f t="shared" si="2"/>
        <v>LU000449.003</v>
      </c>
      <c r="N87" s="10" t="str">
        <f ca="1">IFERROR(__xludf.DUMMYFUNCTION("VLOOKUP(M87, IMPORTRANGE(""https://docs.google.com/spreadsheets/d/1yDAaXNsi4Mr5FtRQL4tbmSdIzhx6_m4wkOD7IG-k_eo/edit#gid=0"", ""Maths!M:N""), 2, FALSE)"),"Apply the skill of estimating the percentage of shaded regions in various diagrams and visual representations.")</f>
        <v>Apply the skill of estimating the percentage of shaded regions in various diagrams and visual representations.</v>
      </c>
      <c r="O87" s="10" t="str">
        <f t="shared" si="3"/>
        <v>LU000449.004</v>
      </c>
      <c r="P87" s="10" t="str">
        <f ca="1">IFERROR(__xludf.DUMMYFUNCTION("VLOOKUP(O87, IMPORTRANGE(""https://docs.google.com/spreadsheets/d/1yDAaXNsi4Mr5FtRQL4tbmSdIzhx6_m4wkOD7IG-k_eo/edit#gid=0"", ""Maths!M:N""), 2, FALSE)"),"Analyse complex diagrams or images containing shaded regions and estimate their approximate percentages to draw conclusions about relative quantities.")</f>
        <v>Analyse complex diagrams or images containing shaded regions and estimate their approximate percentages to draw conclusions about relative quantities.</v>
      </c>
      <c r="Q87" s="10" t="str">
        <f t="shared" si="4"/>
        <v>LU000449.005</v>
      </c>
      <c r="R87" s="10" t="str">
        <f ca="1">IFERROR(__xludf.DUMMYFUNCTION("VLOOKUP(Q87, IMPORTRANGE(""https://docs.google.com/spreadsheets/d/1yDAaXNsi4Mr5FtRQL4tbmSdIzhx6_m4wkOD7IG-k_eo/edit#gid=0"", ""Maths!M:N""), 2, FALSE)"),"Evaluate the accuracy of estimated percentages for shaded areas and discuss situations where estimation might lead to overestimation or underestimation.")</f>
        <v>Evaluate the accuracy of estimated percentages for shaded areas and discuss situations where estimation might lead to overestimation or underestimation.</v>
      </c>
      <c r="S87" s="10" t="str">
        <f t="shared" si="5"/>
        <v>LU000449.006</v>
      </c>
      <c r="T87" s="10" t="str">
        <f ca="1">IFERROR(__xludf.DUMMYFUNCTION("VLOOKUP(S87, IMPORTRANGE(""https://docs.google.com/spreadsheets/d/1yDAaXNsi4Mr5FtRQL4tbmSdIzhx6_m4wkOD7IG-k_eo/edit#gid=0"", ""Maths!M:N""), 2, FALSE)"),"Create a visual representation of a shape with a shaded region and estimate the shaded part as a percentage, highlighting the importance of visual estimation in comparing quantities.")</f>
        <v>Create a visual representation of a shape with a shaded region and estimate the shaded part as a percentage, highlighting the importance of visual estimation in comparing quantities.</v>
      </c>
      <c r="U87" s="11">
        <f ca="1">IFERROR(__xludf.DUMMYFUNCTION("ArrayFormula(VLOOKUP(G87, IMPORTRANGE(""https://docs.google.com/spreadsheets/d/1p7R4vtkWt5VOBim4ltsDG9KTzSjrtKXsMtQGXPHyND0/edit#gid=795171502"", ""'Filter 30_05_2024'!A1:M2000""), {2, 3, 4, 5,6,7,8,9,10,11,12,13}, 0))"),4)</f>
        <v>4</v>
      </c>
      <c r="V87" s="11">
        <f ca="1">IFERROR(__xludf.DUMMYFUNCTION("""COMPUTED_VALUE"""),15)</f>
        <v>15</v>
      </c>
      <c r="W87" s="11">
        <f ca="1">IFERROR(__xludf.DUMMYFUNCTION("""COMPUTED_VALUE"""),2)</f>
        <v>2</v>
      </c>
      <c r="X87" s="11">
        <f ca="1">IFERROR(__xludf.DUMMYFUNCTION("""COMPUTED_VALUE"""),21)</f>
        <v>21</v>
      </c>
      <c r="Y87" s="11">
        <f ca="1">IFERROR(__xludf.DUMMYFUNCTION("""COMPUTED_VALUE"""),4)</f>
        <v>4</v>
      </c>
      <c r="Z87" s="12">
        <f ca="1">IFERROR(__xludf.DUMMYFUNCTION("""COMPUTED_VALUE"""),4)</f>
        <v>4</v>
      </c>
      <c r="AA87" s="12">
        <f ca="1">IFERROR(__xludf.DUMMYFUNCTION("""COMPUTED_VALUE"""),1)</f>
        <v>1</v>
      </c>
      <c r="AB87" s="12">
        <f ca="1">IFERROR(__xludf.DUMMYFUNCTION("""COMPUTED_VALUE"""),9)</f>
        <v>9</v>
      </c>
      <c r="AC87" s="12"/>
      <c r="AD87" s="12"/>
      <c r="AE87" s="12"/>
      <c r="AF87" s="12"/>
      <c r="AG87" s="13" t="str">
        <f ca="1">IFERROR(__xludf.DUMMYFUNCTION("ArrayFormula(VLOOKUP(G87, IMPORTRANGE(""https://docs.google.com/spreadsheets/d/1Co934fvtviyaRiMsrIlT05Jaq7iiYq07aLvRr35KA48/edit?gid=173865642#gid=173865642"", ""'G7_Maths_Pri_LU'!G2:V2000""), {3, 4, 5, 6, 7, 8, 9, 10, 11, 12, 13, 14, 15, 16}, 0))"),"LU000279")</f>
        <v>LU000279</v>
      </c>
      <c r="AH87" s="13" t="str">
        <f ca="1">IFERROR(__xludf.DUMMYFUNCTION("""COMPUTED_VALUE"""),"Represent fractions using numbers, figures or words")</f>
        <v>Represent fractions using numbers, figures or words</v>
      </c>
      <c r="AI87" s="13" t="str">
        <f ca="1">IFERROR(__xludf.DUMMYFUNCTION("""COMPUTED_VALUE"""),"LU000445")</f>
        <v>LU000445</v>
      </c>
      <c r="AJ87" s="13" t="str">
        <f ca="1">IFERROR(__xludf.DUMMYFUNCTION("""COMPUTED_VALUE"""),"Conversion of fractional numbers to percentage")</f>
        <v>Conversion of fractional numbers to percentage</v>
      </c>
      <c r="AK87" s="13" t="str">
        <f ca="1">IFERROR(__xludf.DUMMYFUNCTION("""COMPUTED_VALUE"""),"LU000444")</f>
        <v>LU000444</v>
      </c>
      <c r="AL87" s="13" t="str">
        <f ca="1">IFERROR(__xludf.DUMMYFUNCTION("""COMPUTED_VALUE"""),"Definition of percentage")</f>
        <v>Definition of percentage</v>
      </c>
      <c r="AM87" s="13"/>
      <c r="AN87" s="13"/>
      <c r="AO87" s="13"/>
      <c r="AP87" s="13"/>
      <c r="AQ87" s="13"/>
      <c r="AR87" s="13"/>
      <c r="AS87" s="13"/>
      <c r="AT87" s="13"/>
    </row>
    <row r="88" spans="1:46">
      <c r="A88" s="8" t="s">
        <v>247</v>
      </c>
      <c r="B88" s="8" t="s">
        <v>47</v>
      </c>
      <c r="C88" s="8" t="s">
        <v>416</v>
      </c>
      <c r="D88" s="8" t="s">
        <v>49</v>
      </c>
      <c r="E88" s="8" t="s">
        <v>534</v>
      </c>
      <c r="F88" s="8" t="s">
        <v>543</v>
      </c>
      <c r="G88" s="8" t="s">
        <v>545</v>
      </c>
      <c r="H88" s="8" t="str">
        <f ca="1">IFERROR(__xludf.DUMMYFUNCTION("VLOOKUP(G88, IMPORTRANGE(""https://docs.google.com/spreadsheets/d/14deopnvwcrKtEGCKuYXdUHJbeLDZlkiSSWWT0g7x2pM/edit#gid=999382323"", ""LU List Maths (Filter)!A:B""), 2, FALSE)"),"Interpretation of percentages")</f>
        <v>Interpretation of percentages</v>
      </c>
      <c r="I88" s="10" t="str">
        <f t="shared" si="0"/>
        <v>LU000450.001</v>
      </c>
      <c r="J88" s="10" t="str">
        <f ca="1">IFERROR(__xludf.DUMMYFUNCTION("VLOOKUP(I88, IMPORTRANGE(""https://docs.google.com/spreadsheets/d/1yDAaXNsi4Mr5FtRQL4tbmSdIzhx6_m4wkOD7IG-k_eo/edit#gid=0"", ""Maths!M:N""), 2, FALSE)"),"State that a percentage represents a fraction out of 100.")</f>
        <v>State that a percentage represents a fraction out of 100.</v>
      </c>
      <c r="K88" s="10" t="str">
        <f t="shared" si="1"/>
        <v>LU000450.002</v>
      </c>
      <c r="L88" s="10" t="str">
        <f ca="1">IFERROR(__xludf.DUMMYFUNCTION("VLOOKUP(K88, IMPORTRANGE(""https://docs.google.com/spreadsheets/d/1yDAaXNsi4Mr5FtRQL4tbmSdIzhx6_m4wkOD7IG-k_eo/edit#gid=0"", ""Maths!M:N""), 2, FALSE)"),"Explain how percentages are used to compare quantities and express relative sizes.")</f>
        <v>Explain how percentages are used to compare quantities and express relative sizes.</v>
      </c>
      <c r="M88" s="10" t="str">
        <f t="shared" si="2"/>
        <v>LU000450.003</v>
      </c>
      <c r="N88" s="10" t="str">
        <f ca="1">IFERROR(__xludf.DUMMYFUNCTION("VLOOKUP(M88, IMPORTRANGE(""https://docs.google.com/spreadsheets/d/1yDAaXNsi4Mr5FtRQL4tbmSdIzhx6_m4wkOD7IG-k_eo/edit#gid=0"", ""Maths!M:N""), 2, FALSE)"),"Use percentages to interpret and make sense of real-world data.")</f>
        <v>Use percentages to interpret and make sense of real-world data.</v>
      </c>
      <c r="O88" s="10" t="str">
        <f t="shared" si="3"/>
        <v>LU000450.004</v>
      </c>
      <c r="P88" s="10" t="str">
        <f ca="1">IFERROR(__xludf.DUMMYFUNCTION("VLOOKUP(O88, IMPORTRANGE(""https://docs.google.com/spreadsheets/d/1yDAaXNsi4Mr5FtRQL4tbmSdIzhx6_m4wkOD7IG-k_eo/edit#gid=0"", ""Maths!M:N""), 2, FALSE)"),"Analyse various situations that involve percentages and interpret their implications for understanding relative quantities.")</f>
        <v>Analyse various situations that involve percentages and interpret their implications for understanding relative quantities.</v>
      </c>
      <c r="Q88" s="10" t="str">
        <f t="shared" si="4"/>
        <v>LU000450.005</v>
      </c>
      <c r="R88" s="10" t="str">
        <f ca="1">IFERROR(__xludf.DUMMYFUNCTION("VLOOKUP(Q88, IMPORTRANGE(""https://docs.google.com/spreadsheets/d/1yDAaXNsi4Mr5FtRQL4tbmSdIzhx6_m4wkOD7IG-k_eo/edit#gid=0"", ""Maths!M:N""), 2, FALSE)"),"Evaluate the use of percentages in graphs, charts, and real-world scenarios to determine the significance of the presented information.")</f>
        <v>Evaluate the use of percentages in graphs, charts, and real-world scenarios to determine the significance of the presented information.</v>
      </c>
      <c r="S88" s="10" t="str">
        <f t="shared" si="5"/>
        <v>LU000450.006</v>
      </c>
      <c r="T88" s="10" t="str">
        <f ca="1">IFERROR(__xludf.DUMMYFUNCTION("VLOOKUP(S88, IMPORTRANGE(""https://docs.google.com/spreadsheets/d/1yDAaXNsi4Mr5FtRQL4tbmSdIzhx6_m4wkOD7IG-k_eo/edit#gid=0"", ""Maths!M:N""), 2, FALSE)"),"Create a comparative scenario where percentages are given for different options, and explain which option is more favorable based on the percentage interpretation.")</f>
        <v>Create a comparative scenario where percentages are given for different options, and explain which option is more favorable based on the percentage interpretation.</v>
      </c>
      <c r="U88" s="11">
        <f ca="1">IFERROR(__xludf.DUMMYFUNCTION("ArrayFormula(VLOOKUP(G88, IMPORTRANGE(""https://docs.google.com/spreadsheets/d/1p7R4vtkWt5VOBim4ltsDG9KTzSjrtKXsMtQGXPHyND0/edit#gid=795171502"", ""'Filter 30_05_2024'!A1:M2000""), {2, 3, 4, 5,6,7,8,9,10,11,12,13}, 0))"),4)</f>
        <v>4</v>
      </c>
      <c r="V88" s="11">
        <f ca="1">IFERROR(__xludf.DUMMYFUNCTION("""COMPUTED_VALUE"""),6)</f>
        <v>6</v>
      </c>
      <c r="W88" s="38"/>
      <c r="X88" s="11">
        <f ca="1">IFERROR(__xludf.DUMMYFUNCTION("""COMPUTED_VALUE"""),10)</f>
        <v>10</v>
      </c>
      <c r="Y88" s="11">
        <f ca="1">IFERROR(__xludf.DUMMYFUNCTION("""COMPUTED_VALUE"""),4)</f>
        <v>4</v>
      </c>
      <c r="Z88" s="12">
        <f ca="1">IFERROR(__xludf.DUMMYFUNCTION("""COMPUTED_VALUE"""),3)</f>
        <v>3</v>
      </c>
      <c r="AA88" s="12">
        <f ca="1">IFERROR(__xludf.DUMMYFUNCTION("""COMPUTED_VALUE"""),1)</f>
        <v>1</v>
      </c>
      <c r="AB88" s="12">
        <f ca="1">IFERROR(__xludf.DUMMYFUNCTION("""COMPUTED_VALUE"""),8)</f>
        <v>8</v>
      </c>
      <c r="AC88" s="12"/>
      <c r="AD88" s="12"/>
      <c r="AE88" s="12"/>
      <c r="AF88" s="12"/>
      <c r="AG88" s="13" t="str">
        <f ca="1">IFERROR(__xludf.DUMMYFUNCTION("ArrayFormula(VLOOKUP(G88, IMPORTRANGE(""https://docs.google.com/spreadsheets/d/1Co934fvtviyaRiMsrIlT05Jaq7iiYq07aLvRr35KA48/edit?gid=173865642#gid=173865642"", ""'G7_Maths_Pri_LU'!G2:V2000""), {3, 4, 5, 6, 7, 8, 9, 10, 11, 12, 13, 14, 15, 16}, 0))"),"LU000444")</f>
        <v>LU000444</v>
      </c>
      <c r="AH88" s="13" t="str">
        <f ca="1">IFERROR(__xludf.DUMMYFUNCTION("""COMPUTED_VALUE"""),"Definition of percentage")</f>
        <v>Definition of percentage</v>
      </c>
      <c r="AI88" s="13" t="str">
        <f ca="1">IFERROR(__xludf.DUMMYFUNCTION("""COMPUTED_VALUE"""),"LU000448")</f>
        <v>LU000448</v>
      </c>
      <c r="AJ88" s="13" t="str">
        <f ca="1">IFERROR(__xludf.DUMMYFUNCTION("""COMPUTED_VALUE"""),"Conversion of percentages to decimal")</f>
        <v>Conversion of percentages to decimal</v>
      </c>
      <c r="AK88" s="13" t="str">
        <f ca="1">IFERROR(__xludf.DUMMYFUNCTION("""COMPUTED_VALUE"""),"LU000447")</f>
        <v>LU000447</v>
      </c>
      <c r="AL88" s="13" t="str">
        <f ca="1">IFERROR(__xludf.DUMMYFUNCTION("""COMPUTED_VALUE"""),"Conversion of percentage to fraction")</f>
        <v>Conversion of percentage to fraction</v>
      </c>
      <c r="AM88" s="13"/>
      <c r="AN88" s="13"/>
      <c r="AO88" s="13"/>
      <c r="AP88" s="13"/>
      <c r="AQ88" s="13"/>
      <c r="AR88" s="13"/>
      <c r="AS88" s="13"/>
      <c r="AT88" s="13"/>
    </row>
    <row r="89" spans="1:46">
      <c r="A89" s="8" t="s">
        <v>247</v>
      </c>
      <c r="B89" s="8" t="s">
        <v>47</v>
      </c>
      <c r="C89" s="8" t="s">
        <v>416</v>
      </c>
      <c r="D89" s="8" t="s">
        <v>49</v>
      </c>
      <c r="E89" s="8" t="s">
        <v>534</v>
      </c>
      <c r="F89" s="8" t="s">
        <v>543</v>
      </c>
      <c r="G89" s="8" t="s">
        <v>546</v>
      </c>
      <c r="H89" s="8" t="str">
        <f ca="1">IFERROR(__xludf.DUMMYFUNCTION("VLOOKUP(G89, IMPORTRANGE(""https://docs.google.com/spreadsheets/d/14deopnvwcrKtEGCKuYXdUHJbeLDZlkiSSWWT0g7x2pM/edit#gid=999382323"", ""LU List Maths (Filter)!A:B""), 2, FALSE)"),"Calculation of percentage of amount")</f>
        <v>Calculation of percentage of amount</v>
      </c>
      <c r="I89" s="10" t="str">
        <f t="shared" si="0"/>
        <v>LU000451.001</v>
      </c>
      <c r="J89" s="10" t="str">
        <f ca="1">IFERROR(__xludf.DUMMYFUNCTION("VLOOKUP(I89, IMPORTRANGE(""https://docs.google.com/spreadsheets/d/1yDAaXNsi4Mr5FtRQL4tbmSdIzhx6_m4wkOD7IG-k_eo/edit#gid=0"", ""Maths!M:N""), 2, FALSE)"),"Recall the formula for calculating the percentage of an amount: Percentage = (Part / Whole) × 100.")</f>
        <v>Recall the formula for calculating the percentage of an amount: Percentage = (Part / Whole) × 100.</v>
      </c>
      <c r="K89" s="10" t="str">
        <f t="shared" si="1"/>
        <v>LU000451.002</v>
      </c>
      <c r="L89" s="10" t="str">
        <f ca="1">IFERROR(__xludf.DUMMYFUNCTION("VLOOKUP(K89, IMPORTRANGE(""https://docs.google.com/spreadsheets/d/1yDAaXNsi4Mr5FtRQL4tbmSdIzhx6_m4wkOD7IG-k_eo/edit#gid=0"", ""Maths!M:N""), 2, FALSE)"),"Explain the concept of calculating the percentage of an amount and its practical application in various scenarios.")</f>
        <v>Explain the concept of calculating the percentage of an amount and its practical application in various scenarios.</v>
      </c>
      <c r="M89" s="10" t="str">
        <f t="shared" si="2"/>
        <v>LU000451.003</v>
      </c>
      <c r="N89" s="10" t="str">
        <f ca="1">IFERROR(__xludf.DUMMYFUNCTION("VLOOKUP(M89, IMPORTRANGE(""https://docs.google.com/spreadsheets/d/1yDAaXNsi4Mr5FtRQL4tbmSdIzhx6_m4wkOD7IG-k_eo/edit#gid=0"", ""Maths!M:N""), 2, FALSE)"),"Apply the formula for calculating the percentage of an amount to solve problems.")</f>
        <v>Apply the formula for calculating the percentage of an amount to solve problems.</v>
      </c>
      <c r="O89" s="10" t="str">
        <f t="shared" si="3"/>
        <v>LU000451.004</v>
      </c>
      <c r="P89" s="10" t="str">
        <f ca="1">IFERROR(__xludf.DUMMYFUNCTION("VLOOKUP(O89, IMPORTRANGE(""https://docs.google.com/spreadsheets/d/1yDAaXNsi4Mr5FtRQL4tbmSdIzhx6_m4wkOD7IG-k_eo/edit#gid=0"", ""Maths!M:N""), 2, FALSE)"),"Analyse different situations that involve calculating percentages of amounts and determine the impact of these percentages on the final result.")</f>
        <v>Analyse different situations that involve calculating percentages of amounts and determine the impact of these percentages on the final result.</v>
      </c>
      <c r="Q89" s="10" t="str">
        <f t="shared" si="4"/>
        <v>LU000451.005</v>
      </c>
      <c r="R89" s="10" t="str">
        <f ca="1">IFERROR(__xludf.DUMMYFUNCTION("VLOOKUP(Q89, IMPORTRANGE(""https://docs.google.com/spreadsheets/d/1yDAaXNsi4Mr5FtRQL4tbmSdIzhx6_m4wkOD7IG-k_eo/edit#gid=0"", ""Maths!M:N""), 2, FALSE)"),"Evaluate the accuracy of calculated percentages of amounts in real-life scenarios and assess whether the calculations are reasonable.")</f>
        <v>Evaluate the accuracy of calculated percentages of amounts in real-life scenarios and assess whether the calculations are reasonable.</v>
      </c>
      <c r="S89" s="10" t="str">
        <f t="shared" si="5"/>
        <v>LU000451.006</v>
      </c>
      <c r="T89" s="10" t="str">
        <f ca="1">IFERROR(__xludf.DUMMYFUNCTION("VLOOKUP(S89, IMPORTRANGE(""https://docs.google.com/spreadsheets/d/1yDAaXNsi4Mr5FtRQL4tbmSdIzhx6_m4wkOD7IG-k_eo/edit#gid=0"", ""Maths!M:N""), 2, FALSE)"),"Create word problems that require calculating percentages of amounts, presenting various scenarios where this calculation is necessary for comparing quantities.")</f>
        <v>Create word problems that require calculating percentages of amounts, presenting various scenarios where this calculation is necessary for comparing quantities.</v>
      </c>
      <c r="U89" s="11">
        <f ca="1">IFERROR(__xludf.DUMMYFUNCTION("ArrayFormula(VLOOKUP(G89, IMPORTRANGE(""https://docs.google.com/spreadsheets/d/1p7R4vtkWt5VOBim4ltsDG9KTzSjrtKXsMtQGXPHyND0/edit#gid=795171502"", ""'Filter 30_05_2024'!A1:M2000""), {2, 3, 4, 5,6,7,8,9,10,11,12,13}, 0))"),4)</f>
        <v>4</v>
      </c>
      <c r="V89" s="11">
        <f ca="1">IFERROR(__xludf.DUMMYFUNCTION("""COMPUTED_VALUE"""),7)</f>
        <v>7</v>
      </c>
      <c r="W89" s="11">
        <f ca="1">IFERROR(__xludf.DUMMYFUNCTION("""COMPUTED_VALUE"""),1)</f>
        <v>1</v>
      </c>
      <c r="X89" s="11">
        <f ca="1">IFERROR(__xludf.DUMMYFUNCTION("""COMPUTED_VALUE"""),12)</f>
        <v>12</v>
      </c>
      <c r="Y89" s="11">
        <f ca="1">IFERROR(__xludf.DUMMYFUNCTION("""COMPUTED_VALUE"""),4)</f>
        <v>4</v>
      </c>
      <c r="Z89" s="12">
        <f ca="1">IFERROR(__xludf.DUMMYFUNCTION("""COMPUTED_VALUE"""),6)</f>
        <v>6</v>
      </c>
      <c r="AA89" s="12">
        <f ca="1">IFERROR(__xludf.DUMMYFUNCTION("""COMPUTED_VALUE"""),2)</f>
        <v>2</v>
      </c>
      <c r="AB89" s="12">
        <f ca="1">IFERROR(__xludf.DUMMYFUNCTION("""COMPUTED_VALUE"""),12)</f>
        <v>12</v>
      </c>
      <c r="AC89" s="12"/>
      <c r="AD89" s="12"/>
      <c r="AE89" s="12"/>
      <c r="AF89" s="12"/>
      <c r="AG89" s="13" t="str">
        <f ca="1">IFERROR(__xludf.DUMMYFUNCTION("ArrayFormula(VLOOKUP(G89, IMPORTRANGE(""https://docs.google.com/spreadsheets/d/1Co934fvtviyaRiMsrIlT05Jaq7iiYq07aLvRr35KA48/edit?gid=173865642#gid=173865642"", ""'G7_Maths_Pri_LU'!G2:V2000""), {3, 4, 5, 6, 7, 8, 9, 10, 11, 12, 13, 14, 15, 16}, 0))"),"LU001005")</f>
        <v>LU001005</v>
      </c>
      <c r="AH89" s="13" t="str">
        <f ca="1">IFERROR(__xludf.DUMMYFUNCTION("""COMPUTED_VALUE"""),"Multiplication of a proper fraction by a whole number")</f>
        <v>Multiplication of a proper fraction by a whole number</v>
      </c>
      <c r="AI89" s="13" t="str">
        <f ca="1">IFERROR(__xludf.DUMMYFUNCTION("""COMPUTED_VALUE"""),"LU000447")</f>
        <v>LU000447</v>
      </c>
      <c r="AJ89" s="13" t="str">
        <f ca="1">IFERROR(__xludf.DUMMYFUNCTION("""COMPUTED_VALUE"""),"Conversion of percentage to fraction")</f>
        <v>Conversion of percentage to fraction</v>
      </c>
      <c r="AK89" s="13" t="str">
        <f ca="1">IFERROR(__xludf.DUMMYFUNCTION("""COMPUTED_VALUE"""),"LU000444")</f>
        <v>LU000444</v>
      </c>
      <c r="AL89" s="13" t="str">
        <f ca="1">IFERROR(__xludf.DUMMYFUNCTION("""COMPUTED_VALUE"""),"Definition of percentage")</f>
        <v>Definition of percentage</v>
      </c>
      <c r="AM89" s="13"/>
      <c r="AN89" s="13"/>
      <c r="AO89" s="13"/>
      <c r="AP89" s="13"/>
      <c r="AQ89" s="13"/>
      <c r="AR89" s="13"/>
      <c r="AS89" s="13"/>
      <c r="AT89" s="13"/>
    </row>
    <row r="90" spans="1:46">
      <c r="A90" s="8" t="s">
        <v>247</v>
      </c>
      <c r="B90" s="8" t="s">
        <v>47</v>
      </c>
      <c r="C90" s="8" t="s">
        <v>416</v>
      </c>
      <c r="D90" s="8" t="s">
        <v>49</v>
      </c>
      <c r="E90" s="8" t="s">
        <v>534</v>
      </c>
      <c r="F90" s="8" t="s">
        <v>547</v>
      </c>
      <c r="G90" s="8" t="s">
        <v>548</v>
      </c>
      <c r="H90" s="8" t="str">
        <f ca="1">IFERROR(__xludf.DUMMYFUNCTION("VLOOKUP(G90, IMPORTRANGE(""https://docs.google.com/spreadsheets/d/14deopnvwcrKtEGCKuYXdUHJbeLDZlkiSSWWT0g7x2pM/edit#gid=999382323"", ""LU List Maths (Filter)!A:B""), 2, FALSE)"),"Conversion of ratios to percentage")</f>
        <v>Conversion of ratios to percentage</v>
      </c>
      <c r="I90" s="10" t="str">
        <f t="shared" si="0"/>
        <v>LU000452.001</v>
      </c>
      <c r="J90" s="10" t="str">
        <f ca="1">IFERROR(__xludf.DUMMYFUNCTION("VLOOKUP(I90, IMPORTRANGE(""https://docs.google.com/spreadsheets/d/1yDAaXNsi4Mr5FtRQL4tbmSdIzhx6_m4wkOD7IG-k_eo/edit#gid=0"", ""Maths!M:N""), 2, FALSE)"),"State the relationship between ratios and percentages, understanding that ratios can be converted to percentages.")</f>
        <v>State the relationship between ratios and percentages, understanding that ratios can be converted to percentages.</v>
      </c>
      <c r="K90" s="10" t="str">
        <f t="shared" si="1"/>
        <v>LU000452.002</v>
      </c>
      <c r="L90" s="10" t="str">
        <f ca="1">IFERROR(__xludf.DUMMYFUNCTION("VLOOKUP(K90, IMPORTRANGE(""https://docs.google.com/spreadsheets/d/1yDAaXNsi4Mr5FtRQL4tbmSdIzhx6_m4wkOD7IG-k_eo/edit#gid=0"", ""Maths!M:N""), 2, FALSE)"),"Explain the process of converting ratios to percentages and how it allows for easier comparison of quantities.")</f>
        <v>Explain the process of converting ratios to percentages and how it allows for easier comparison of quantities.</v>
      </c>
      <c r="M90" s="10" t="str">
        <f t="shared" si="2"/>
        <v>LU000452.003</v>
      </c>
      <c r="N90" s="10" t="str">
        <f ca="1">IFERROR(__xludf.DUMMYFUNCTION("VLOOKUP(M90, IMPORTRANGE(""https://docs.google.com/spreadsheets/d/1yDAaXNsi4Mr5FtRQL4tbmSdIzhx6_m4wkOD7IG-k_eo/edit#gid=0"", ""Maths!M:N""), 2, FALSE)"),"Apply the conversion of ratios to percentages to solve problems that involve comparing proportions and relative sizes.")</f>
        <v>Apply the conversion of ratios to percentages to solve problems that involve comparing proportions and relative sizes.</v>
      </c>
      <c r="O90" s="10" t="str">
        <f t="shared" si="3"/>
        <v>LU000452.004</v>
      </c>
      <c r="P90" s="10" t="str">
        <f ca="1">IFERROR(__xludf.DUMMYFUNCTION("VLOOKUP(O90, IMPORTRANGE(""https://docs.google.com/spreadsheets/d/1yDAaXNsi4Mr5FtRQL4tbmSdIzhx6_m4wkOD7IG-k_eo/edit#gid=0"", ""Maths!M:N""), 2, FALSE)"),"Analyse different ratios and convert them to percentages, discussing how this conversion enhances the understanding of proportional relationships.")</f>
        <v>Analyse different ratios and convert them to percentages, discussing how this conversion enhances the understanding of proportional relationships.</v>
      </c>
      <c r="Q90" s="10" t="str">
        <f t="shared" si="4"/>
        <v>LU000452.005</v>
      </c>
      <c r="R90" s="10" t="str">
        <f ca="1">IFERROR(__xludf.DUMMYFUNCTION("VLOOKUP(Q90, IMPORTRANGE(""https://docs.google.com/spreadsheets/d/1yDAaXNsi4Mr5FtRQL4tbmSdIzhx6_m4wkOD7IG-k_eo/edit#gid=0"", ""Maths!M:N""), 2, FALSE)"),"Evaluate the effectiveness of converting ratios to percentages in comparing quantities and proportions")</f>
        <v>Evaluate the effectiveness of converting ratios to percentages in comparing quantities and proportions</v>
      </c>
      <c r="S90" s="10" t="str">
        <f t="shared" si="5"/>
        <v>LU000452.006</v>
      </c>
      <c r="T90" s="10" t="str">
        <f ca="1">IFERROR(__xludf.DUMMYFUNCTION("VLOOKUP(S90, IMPORTRANGE(""https://docs.google.com/spreadsheets/d/1yDAaXNsi4Mr5FtRQL4tbmSdIzhx6_m4wkOD7IG-k_eo/edit#gid=0"", ""Maths!M:N""), 2, FALSE)"),"Create a set of word problems that require converting ratios to percentages, showcasing scenarios where this conversion enhances the understanding of relative quantities.")</f>
        <v>Create a set of word problems that require converting ratios to percentages, showcasing scenarios where this conversion enhances the understanding of relative quantities.</v>
      </c>
      <c r="U90" s="11">
        <f ca="1">IFERROR(__xludf.DUMMYFUNCTION("ArrayFormula(VLOOKUP(G90, IMPORTRANGE(""https://docs.google.com/spreadsheets/d/1p7R4vtkWt5VOBim4ltsDG9KTzSjrtKXsMtQGXPHyND0/edit#gid=795171502"", ""'Filter 30_05_2024'!A1:M2000""), {2, 3, 4, 5,6,7,8,9,10,11,12,13}, 0))"),14)</f>
        <v>14</v>
      </c>
      <c r="V90" s="11">
        <f ca="1">IFERROR(__xludf.DUMMYFUNCTION("""COMPUTED_VALUE"""),9)</f>
        <v>9</v>
      </c>
      <c r="W90" s="11">
        <f ca="1">IFERROR(__xludf.DUMMYFUNCTION("""COMPUTED_VALUE"""),10)</f>
        <v>10</v>
      </c>
      <c r="X90" s="11">
        <f ca="1">IFERROR(__xludf.DUMMYFUNCTION("""COMPUTED_VALUE"""),33)</f>
        <v>33</v>
      </c>
      <c r="Y90" s="11">
        <f ca="1">IFERROR(__xludf.DUMMYFUNCTION("""COMPUTED_VALUE"""),4)</f>
        <v>4</v>
      </c>
      <c r="Z90" s="12">
        <f ca="1">IFERROR(__xludf.DUMMYFUNCTION("""COMPUTED_VALUE"""),4)</f>
        <v>4</v>
      </c>
      <c r="AA90" s="12">
        <f ca="1">IFERROR(__xludf.DUMMYFUNCTION("""COMPUTED_VALUE"""),2)</f>
        <v>2</v>
      </c>
      <c r="AB90" s="12">
        <f ca="1">IFERROR(__xludf.DUMMYFUNCTION("""COMPUTED_VALUE"""),10)</f>
        <v>10</v>
      </c>
      <c r="AC90" s="12"/>
      <c r="AD90" s="12"/>
      <c r="AE90" s="12"/>
      <c r="AF90" s="12"/>
      <c r="AG90" s="13" t="str">
        <f ca="1">IFERROR(__xludf.DUMMYFUNCTION("ArrayFormula(VLOOKUP(G90, IMPORTRANGE(""https://docs.google.com/spreadsheets/d/1Co934fvtviyaRiMsrIlT05Jaq7iiYq07aLvRr35KA48/edit?gid=173865642#gid=173865642"", ""'G7_Maths_Pri_LU'!G2:V2000""), {3, 4, 5, 6, 7, 8, 9, 10, 11, 12, 13, 14, 15, 16}, 0))"),"LU000445")</f>
        <v>LU000445</v>
      </c>
      <c r="AH90" s="13" t="str">
        <f ca="1">IFERROR(__xludf.DUMMYFUNCTION("""COMPUTED_VALUE"""),"Conversion of fractional numbers to percentage")</f>
        <v>Conversion of fractional numbers to percentage</v>
      </c>
      <c r="AI90" s="13" t="str">
        <f ca="1">IFERROR(__xludf.DUMMYFUNCTION("""COMPUTED_VALUE"""),"LU000342")</f>
        <v>LU000342</v>
      </c>
      <c r="AJ90" s="13" t="str">
        <f ca="1">IFERROR(__xludf.DUMMYFUNCTION("""COMPUTED_VALUE"""),"Definition of ratio")</f>
        <v>Definition of ratio</v>
      </c>
      <c r="AK90" s="13" t="str">
        <f ca="1">IFERROR(__xludf.DUMMYFUNCTION("""COMPUTED_VALUE"""),"LU000444")</f>
        <v>LU000444</v>
      </c>
      <c r="AL90" s="13" t="str">
        <f ca="1">IFERROR(__xludf.DUMMYFUNCTION("""COMPUTED_VALUE"""),"Definition of percentage")</f>
        <v>Definition of percentage</v>
      </c>
      <c r="AM90" s="13"/>
      <c r="AN90" s="13"/>
      <c r="AO90" s="13"/>
      <c r="AP90" s="13"/>
      <c r="AQ90" s="13"/>
      <c r="AR90" s="13"/>
      <c r="AS90" s="13"/>
      <c r="AT90" s="13"/>
    </row>
    <row r="91" spans="1:46">
      <c r="A91" s="8" t="s">
        <v>247</v>
      </c>
      <c r="B91" s="8" t="s">
        <v>47</v>
      </c>
      <c r="C91" s="8" t="s">
        <v>416</v>
      </c>
      <c r="D91" s="8" t="s">
        <v>49</v>
      </c>
      <c r="E91" s="8" t="s">
        <v>534</v>
      </c>
      <c r="F91" s="8" t="s">
        <v>549</v>
      </c>
      <c r="G91" s="8" t="s">
        <v>550</v>
      </c>
      <c r="H91" s="8" t="str">
        <f ca="1">IFERROR(__xludf.DUMMYFUNCTION("VLOOKUP(G91, IMPORTRANGE(""https://docs.google.com/spreadsheets/d/14deopnvwcrKtEGCKuYXdUHJbeLDZlkiSSWWT0g7x2pM/edit#gid=999382323"", ""LU List Maths (Filter)!A:B""), 2, FALSE)"),"Increase in a quantity as percentage
")</f>
        <v xml:space="preserve">Increase in a quantity as percentage
</v>
      </c>
      <c r="I91" s="10" t="str">
        <f t="shared" si="0"/>
        <v>LU001027.001</v>
      </c>
      <c r="J91" s="10" t="str">
        <f ca="1">IFERROR(__xludf.DUMMYFUNCTION("VLOOKUP(I91, IMPORTRANGE(""https://docs.google.com/spreadsheets/d/1yDAaXNsi4Mr5FtRQL4tbmSdIzhx6_m4wkOD7IG-k_eo/edit#gid=0"", ""Maths!M:N""), 2, FALSE)"),"Recall the method to calculate the percentage increase of a quantity.")</f>
        <v>Recall the method to calculate the percentage increase of a quantity.</v>
      </c>
      <c r="K91" s="10" t="str">
        <f t="shared" si="1"/>
        <v>LU001027.002</v>
      </c>
      <c r="L91" s="10" t="str">
        <f ca="1">IFERROR(__xludf.DUMMYFUNCTION("VLOOKUP(K91, IMPORTRANGE(""https://docs.google.com/spreadsheets/d/1yDAaXNsi4Mr5FtRQL4tbmSdIzhx6_m4wkOD7IG-k_eo/edit#gid=0"", ""Maths!M:N""), 2, FALSE)"),"Explain the concept of percentage increase and its significance in comparing quantities.")</f>
        <v>Explain the concept of percentage increase and its significance in comparing quantities.</v>
      </c>
      <c r="M91" s="10" t="str">
        <f t="shared" si="2"/>
        <v>LU001027.003</v>
      </c>
      <c r="N91" s="10" t="str">
        <f ca="1">IFERROR(__xludf.DUMMYFUNCTION("VLOOKUP(M91, IMPORTRANGE(""https://docs.google.com/spreadsheets/d/1yDAaXNsi4Mr5FtRQL4tbmSdIzhx6_m4wkOD7IG-k_eo/edit#gid=0"", ""Maths!M:N""), 2, FALSE)"),"Calculate the percentage increase of a quantity in real-world scenarios.")</f>
        <v>Calculate the percentage increase of a quantity in real-world scenarios.</v>
      </c>
      <c r="O91" s="10" t="str">
        <f t="shared" si="3"/>
        <v>LU001027.004</v>
      </c>
      <c r="P91" s="10" t="str">
        <f ca="1">IFERROR(__xludf.DUMMYFUNCTION("VLOOKUP(O91, IMPORTRANGE(""https://docs.google.com/spreadsheets/d/1yDAaXNsi4Mr5FtRQL4tbmSdIzhx6_m4wkOD7IG-k_eo/edit#gid=0"", ""Maths!M:N""), 2, FALSE)"),"Analyze data to identify and interpret percentage increases in various contexts.")</f>
        <v>Analyze data to identify and interpret percentage increases in various contexts.</v>
      </c>
      <c r="Q91" s="10" t="str">
        <f t="shared" si="4"/>
        <v>LU001027.005</v>
      </c>
      <c r="R91" s="10" t="str">
        <f ca="1">IFERROR(__xludf.DUMMYFUNCTION("VLOOKUP(Q91, IMPORTRANGE(""https://docs.google.com/spreadsheets/d/1yDAaXNsi4Mr5FtRQL4tbmSdIzhx6_m4wkOD7IG-k_eo/edit#gid=0"", ""Maths!M:N""), 2, FALSE)"),"Evaluate the accuracy of percentage increase calculations and their relevance to decision-making.")</f>
        <v>Evaluate the accuracy of percentage increase calculations and their relevance to decision-making.</v>
      </c>
      <c r="S91" s="10" t="str">
        <f t="shared" si="5"/>
        <v>LU001027.006</v>
      </c>
      <c r="T91" s="10" t="str">
        <f ca="1">IFERROR(__xludf.DUMMYFUNCTION("VLOOKUP(S91, IMPORTRANGE(""https://docs.google.com/spreadsheets/d/1yDAaXNsi4Mr5FtRQL4tbmSdIzhx6_m4wkOD7IG-k_eo/edit#gid=0"", ""Maths!M:N""), 2, FALSE)"),"#N/A")</f>
        <v>#N/A</v>
      </c>
      <c r="U91" s="11">
        <f ca="1">IFERROR(__xludf.DUMMYFUNCTION("ArrayFormula(VLOOKUP(G91, IMPORTRANGE(""https://docs.google.com/spreadsheets/d/1p7R4vtkWt5VOBim4ltsDG9KTzSjrtKXsMtQGXPHyND0/edit#gid=795171502"", ""'Filter 30_05_2024'!A1:M2000""), {2, 3, 4, 5,6,7,8,9,10,11,12,13}, 0))"),8)</f>
        <v>8</v>
      </c>
      <c r="V91" s="11">
        <f ca="1">IFERROR(__xludf.DUMMYFUNCTION("""COMPUTED_VALUE"""),9)</f>
        <v>9</v>
      </c>
      <c r="W91" s="11">
        <f ca="1">IFERROR(__xludf.DUMMYFUNCTION("""COMPUTED_VALUE"""),1)</f>
        <v>1</v>
      </c>
      <c r="X91" s="11">
        <f ca="1">IFERROR(__xludf.DUMMYFUNCTION("""COMPUTED_VALUE"""),18)</f>
        <v>18</v>
      </c>
      <c r="Y91" s="11">
        <f ca="1">IFERROR(__xludf.DUMMYFUNCTION("""COMPUTED_VALUE"""),6)</f>
        <v>6</v>
      </c>
      <c r="Z91" s="12">
        <f ca="1">IFERROR(__xludf.DUMMYFUNCTION("""COMPUTED_VALUE"""),3)</f>
        <v>3</v>
      </c>
      <c r="AA91" s="12">
        <f ca="1">IFERROR(__xludf.DUMMYFUNCTION("""COMPUTED_VALUE"""),1)</f>
        <v>1</v>
      </c>
      <c r="AB91" s="12">
        <f ca="1">IFERROR(__xludf.DUMMYFUNCTION("""COMPUTED_VALUE"""),10)</f>
        <v>10</v>
      </c>
      <c r="AC91" s="12"/>
      <c r="AD91" s="12"/>
      <c r="AE91" s="12"/>
      <c r="AF91" s="12"/>
      <c r="AG91" s="13" t="str">
        <f ca="1">IFERROR(__xludf.DUMMYFUNCTION("ArrayFormula(VLOOKUP(G91, IMPORTRANGE(""https://docs.google.com/spreadsheets/d/1Co934fvtviyaRiMsrIlT05Jaq7iiYq07aLvRr35KA48/edit?gid=173865642#gid=173865642"", ""'G7_Maths_Pri_LU'!G2:V2000""), {3, 4, 5, 6, 7, 8, 9, 10, 11, 12, 13, 14, 15, 16}, 0))"),"LU000451")</f>
        <v>LU000451</v>
      </c>
      <c r="AH91" s="13" t="str">
        <f ca="1">IFERROR(__xludf.DUMMYFUNCTION("""COMPUTED_VALUE"""),"Calculation of percentage of amount")</f>
        <v>Calculation of percentage of amount</v>
      </c>
      <c r="AI91" s="13" t="str">
        <f ca="1">IFERROR(__xludf.DUMMYFUNCTION("""COMPUTED_VALUE"""),"LU000444")</f>
        <v>LU000444</v>
      </c>
      <c r="AJ91" s="13" t="str">
        <f ca="1">IFERROR(__xludf.DUMMYFUNCTION("""COMPUTED_VALUE"""),"Definition of percentage")</f>
        <v>Definition of percentage</v>
      </c>
      <c r="AK91" s="13" t="str">
        <f ca="1">IFERROR(__xludf.DUMMYFUNCTION("""COMPUTED_VALUE"""),"LU000447")</f>
        <v>LU000447</v>
      </c>
      <c r="AL91" s="13" t="str">
        <f ca="1">IFERROR(__xludf.DUMMYFUNCTION("""COMPUTED_VALUE"""),"Conversion of percentage to fraction")</f>
        <v>Conversion of percentage to fraction</v>
      </c>
      <c r="AM91" s="13" t="str">
        <f ca="1">IFERROR(__xludf.DUMMYFUNCTION("""COMPUTED_VALUE"""),"LU000448")</f>
        <v>LU000448</v>
      </c>
      <c r="AN91" s="13" t="str">
        <f ca="1">IFERROR(__xludf.DUMMYFUNCTION("""COMPUTED_VALUE"""),"Conversion of percentages to decimal")</f>
        <v>Conversion of percentages to decimal</v>
      </c>
      <c r="AO91" s="13" t="str">
        <f ca="1">IFERROR(__xludf.DUMMYFUNCTION("""COMPUTED_VALUE"""),"LU001005")</f>
        <v>LU001005</v>
      </c>
      <c r="AP91" s="13" t="str">
        <f ca="1">IFERROR(__xludf.DUMMYFUNCTION("""COMPUTED_VALUE"""),"Multiplication of a proper fraction by a whole number")</f>
        <v>Multiplication of a proper fraction by a whole number</v>
      </c>
      <c r="AQ91" s="13" t="str">
        <f ca="1">IFERROR(__xludf.DUMMYFUNCTION("""COMPUTED_VALUE"""),"LU000375")</f>
        <v>LU000375</v>
      </c>
      <c r="AR91" s="13" t="str">
        <f ca="1">IFERROR(__xludf.DUMMYFUNCTION("""COMPUTED_VALUE"""),"Multiplication of decimal number by a whole number")</f>
        <v>Multiplication of decimal number by a whole number</v>
      </c>
      <c r="AS91" s="13"/>
      <c r="AT91" s="13"/>
    </row>
    <row r="92" spans="1:46">
      <c r="A92" s="8" t="s">
        <v>247</v>
      </c>
      <c r="B92" s="8" t="s">
        <v>47</v>
      </c>
      <c r="C92" s="8" t="s">
        <v>416</v>
      </c>
      <c r="D92" s="8" t="s">
        <v>49</v>
      </c>
      <c r="E92" s="8" t="s">
        <v>534</v>
      </c>
      <c r="F92" s="8" t="s">
        <v>549</v>
      </c>
      <c r="G92" s="8" t="s">
        <v>551</v>
      </c>
      <c r="H92" s="8" t="str">
        <f ca="1">IFERROR(__xludf.DUMMYFUNCTION("VLOOKUP(G92, IMPORTRANGE(""https://docs.google.com/spreadsheets/d/14deopnvwcrKtEGCKuYXdUHJbeLDZlkiSSWWT0g7x2pM/edit#gid=999382323"", ""LU List Maths (Filter)!A:B""), 2, FALSE)"),"Decrease in a quantity as percentage")</f>
        <v>Decrease in a quantity as percentage</v>
      </c>
      <c r="I92" s="10" t="str">
        <f t="shared" si="0"/>
        <v>LU001028.001</v>
      </c>
      <c r="J92" s="10" t="str">
        <f ca="1">IFERROR(__xludf.DUMMYFUNCTION("VLOOKUP(I92, IMPORTRANGE(""https://docs.google.com/spreadsheets/d/1yDAaXNsi4Mr5FtRQL4tbmSdIzhx6_m4wkOD7IG-k_eo/edit#gid=0"", ""Maths!M:N""), 2, FALSE)"),"Recall the method to calculate the percentage decrease of a quantity.")</f>
        <v>Recall the method to calculate the percentage decrease of a quantity.</v>
      </c>
      <c r="K92" s="10" t="str">
        <f t="shared" si="1"/>
        <v>LU001028.002</v>
      </c>
      <c r="L92" s="10" t="str">
        <f ca="1">IFERROR(__xludf.DUMMYFUNCTION("VLOOKUP(K92, IMPORTRANGE(""https://docs.google.com/spreadsheets/d/1yDAaXNsi4Mr5FtRQL4tbmSdIzhx6_m4wkOD7IG-k_eo/edit#gid=0"", ""Maths!M:N""), 2, FALSE)"),"Explain the concept of percentage decrease and its relevance when comparing quantities.")</f>
        <v>Explain the concept of percentage decrease and its relevance when comparing quantities.</v>
      </c>
      <c r="M92" s="10" t="str">
        <f t="shared" si="2"/>
        <v>LU001028.003</v>
      </c>
      <c r="N92" s="10" t="str">
        <f ca="1">IFERROR(__xludf.DUMMYFUNCTION("VLOOKUP(M92, IMPORTRANGE(""https://docs.google.com/spreadsheets/d/1yDAaXNsi4Mr5FtRQL4tbmSdIzhx6_m4wkOD7IG-k_eo/edit#gid=0"", ""Maths!M:N""), 2, FALSE)"),"Compute the percentage decrease of a quantity in practical situations.")</f>
        <v>Compute the percentage decrease of a quantity in practical situations.</v>
      </c>
      <c r="O92" s="10" t="str">
        <f t="shared" si="3"/>
        <v>LU001028.004</v>
      </c>
      <c r="P92" s="10" t="str">
        <f ca="1">IFERROR(__xludf.DUMMYFUNCTION("VLOOKUP(O92, IMPORTRANGE(""https://docs.google.com/spreadsheets/d/1yDAaXNsi4Mr5FtRQL4tbmSdIzhx6_m4wkOD7IG-k_eo/edit#gid=0"", ""Maths!M:N""), 2, FALSE)"),"Analyze data to identify and interpret percentage decreases in various contexts.")</f>
        <v>Analyze data to identify and interpret percentage decreases in various contexts.</v>
      </c>
      <c r="Q92" s="10" t="str">
        <f t="shared" si="4"/>
        <v>LU001028.005</v>
      </c>
      <c r="R92" s="10" t="str">
        <f ca="1">IFERROR(__xludf.DUMMYFUNCTION("VLOOKUP(Q92, IMPORTRANGE(""https://docs.google.com/spreadsheets/d/1yDAaXNsi4Mr5FtRQL4tbmSdIzhx6_m4wkOD7IG-k_eo/edit#gid=0"", ""Maths!M:N""), 2, FALSE)"),"Assess the accuracy of percentage decrease calculations and their implications for decision-making.")</f>
        <v>Assess the accuracy of percentage decrease calculations and their implications for decision-making.</v>
      </c>
      <c r="S92" s="10" t="str">
        <f t="shared" si="5"/>
        <v>LU001028.006</v>
      </c>
      <c r="T92" s="10" t="str">
        <f ca="1">IFERROR(__xludf.DUMMYFUNCTION("VLOOKUP(S92, IMPORTRANGE(""https://docs.google.com/spreadsheets/d/1yDAaXNsi4Mr5FtRQL4tbmSdIzhx6_m4wkOD7IG-k_eo/edit#gid=0"", ""Maths!M:N""), 2, FALSE)"),"#N/A")</f>
        <v>#N/A</v>
      </c>
      <c r="U92" s="11">
        <f ca="1">IFERROR(__xludf.DUMMYFUNCTION("ArrayFormula(VLOOKUP(G92, IMPORTRANGE(""https://docs.google.com/spreadsheets/d/1p7R4vtkWt5VOBim4ltsDG9KTzSjrtKXsMtQGXPHyND0/edit#gid=795171502"", ""'Filter 30_05_2024'!A1:M2000""), {2, 3, 4, 5,6,7,8,9,10,11,12,13}, 0))"),8)</f>
        <v>8</v>
      </c>
      <c r="V92" s="11">
        <f ca="1">IFERROR(__xludf.DUMMYFUNCTION("""COMPUTED_VALUE"""),7)</f>
        <v>7</v>
      </c>
      <c r="W92" s="11">
        <f ca="1">IFERROR(__xludf.DUMMYFUNCTION("""COMPUTED_VALUE"""),3)</f>
        <v>3</v>
      </c>
      <c r="X92" s="11">
        <f ca="1">IFERROR(__xludf.DUMMYFUNCTION("""COMPUTED_VALUE"""),18)</f>
        <v>18</v>
      </c>
      <c r="Y92" s="11">
        <f ca="1">IFERROR(__xludf.DUMMYFUNCTION("""COMPUTED_VALUE"""),6)</f>
        <v>6</v>
      </c>
      <c r="Z92" s="12">
        <f ca="1">IFERROR(__xludf.DUMMYFUNCTION("""COMPUTED_VALUE"""),3)</f>
        <v>3</v>
      </c>
      <c r="AA92" s="12">
        <f ca="1">IFERROR(__xludf.DUMMYFUNCTION("""COMPUTED_VALUE"""),1)</f>
        <v>1</v>
      </c>
      <c r="AB92" s="12">
        <f ca="1">IFERROR(__xludf.DUMMYFUNCTION("""COMPUTED_VALUE"""),10)</f>
        <v>10</v>
      </c>
      <c r="AC92" s="12"/>
      <c r="AD92" s="12"/>
      <c r="AE92" s="12"/>
      <c r="AF92" s="12"/>
      <c r="AG92" s="13" t="str">
        <f ca="1">IFERROR(__xludf.DUMMYFUNCTION("ArrayFormula(VLOOKUP(G92, IMPORTRANGE(""https://docs.google.com/spreadsheets/d/1Co934fvtviyaRiMsrIlT05Jaq7iiYq07aLvRr35KA48/edit?gid=173865642#gid=173865642"", ""'G7_Maths_Pri_LU'!G2:V2000""), {3, 4, 5, 6, 7, 8, 9, 10, 11, 12, 13, 14, 15, 16}, 0))"),"LU000451")</f>
        <v>LU000451</v>
      </c>
      <c r="AH92" s="13" t="str">
        <f ca="1">IFERROR(__xludf.DUMMYFUNCTION("""COMPUTED_VALUE"""),"Calculation of percentage of amount")</f>
        <v>Calculation of percentage of amount</v>
      </c>
      <c r="AI92" s="13" t="str">
        <f ca="1">IFERROR(__xludf.DUMMYFUNCTION("""COMPUTED_VALUE"""),"LU000444")</f>
        <v>LU000444</v>
      </c>
      <c r="AJ92" s="13" t="str">
        <f ca="1">IFERROR(__xludf.DUMMYFUNCTION("""COMPUTED_VALUE"""),"Definition of percentage")</f>
        <v>Definition of percentage</v>
      </c>
      <c r="AK92" s="13" t="str">
        <f ca="1">IFERROR(__xludf.DUMMYFUNCTION("""COMPUTED_VALUE"""),"LU000447")</f>
        <v>LU000447</v>
      </c>
      <c r="AL92" s="13" t="str">
        <f ca="1">IFERROR(__xludf.DUMMYFUNCTION("""COMPUTED_VALUE"""),"Conversion of percentage to fraction")</f>
        <v>Conversion of percentage to fraction</v>
      </c>
      <c r="AM92" s="13" t="str">
        <f ca="1">IFERROR(__xludf.DUMMYFUNCTION("""COMPUTED_VALUE"""),"LU000448")</f>
        <v>LU000448</v>
      </c>
      <c r="AN92" s="13" t="str">
        <f ca="1">IFERROR(__xludf.DUMMYFUNCTION("""COMPUTED_VALUE"""),"Conversion of percentages to decimal")</f>
        <v>Conversion of percentages to decimal</v>
      </c>
      <c r="AO92" s="13" t="str">
        <f ca="1">IFERROR(__xludf.DUMMYFUNCTION("""COMPUTED_VALUE"""),"LU001005")</f>
        <v>LU001005</v>
      </c>
      <c r="AP92" s="13" t="str">
        <f ca="1">IFERROR(__xludf.DUMMYFUNCTION("""COMPUTED_VALUE"""),"Multiplication of a proper fraction by a whole number")</f>
        <v>Multiplication of a proper fraction by a whole number</v>
      </c>
      <c r="AQ92" s="13" t="str">
        <f ca="1">IFERROR(__xludf.DUMMYFUNCTION("""COMPUTED_VALUE"""),"LU000375")</f>
        <v>LU000375</v>
      </c>
      <c r="AR92" s="13" t="str">
        <f ca="1">IFERROR(__xludf.DUMMYFUNCTION("""COMPUTED_VALUE"""),"Multiplication of decimal number by a whole number")</f>
        <v>Multiplication of decimal number by a whole number</v>
      </c>
      <c r="AS92" s="13"/>
      <c r="AT92" s="13"/>
    </row>
    <row r="93" spans="1:46">
      <c r="A93" s="8" t="s">
        <v>247</v>
      </c>
      <c r="B93" s="8" t="s">
        <v>47</v>
      </c>
      <c r="C93" s="8" t="s">
        <v>416</v>
      </c>
      <c r="D93" s="8" t="s">
        <v>49</v>
      </c>
      <c r="E93" s="8" t="s">
        <v>534</v>
      </c>
      <c r="F93" s="8" t="s">
        <v>552</v>
      </c>
      <c r="G93" s="8" t="s">
        <v>553</v>
      </c>
      <c r="H93" s="8" t="str">
        <f ca="1">IFERROR(__xludf.DUMMYFUNCTION("VLOOKUP(G93, IMPORTRANGE(""https://docs.google.com/spreadsheets/d/14deopnvwcrKtEGCKuYXdUHJbeLDZlkiSSWWT0g7x2pM/edit#gid=999382323"", ""LU List Maths (Filter)!A:B""), 2, FALSE)"),"Definition of cost price")</f>
        <v>Definition of cost price</v>
      </c>
      <c r="I93" s="10" t="str">
        <f t="shared" si="0"/>
        <v>LU000454.001</v>
      </c>
      <c r="J93" s="10" t="str">
        <f ca="1">IFERROR(__xludf.DUMMYFUNCTION("VLOOKUP(I93, IMPORTRANGE(""https://docs.google.com/spreadsheets/d/1yDAaXNsi4Mr5FtRQL4tbmSdIzhx6_m4wkOD7IG-k_eo/edit#gid=0"", ""Maths!M:N""), 2, FALSE)"),"State the definition of cost price.")</f>
        <v>State the definition of cost price.</v>
      </c>
      <c r="K93" s="10" t="str">
        <f t="shared" si="1"/>
        <v>LU000454.002</v>
      </c>
      <c r="L93" s="10" t="str">
        <f ca="1">IFERROR(__xludf.DUMMYFUNCTION("VLOOKUP(K93, IMPORTRANGE(""https://docs.google.com/spreadsheets/d/1yDAaXNsi4Mr5FtRQL4tbmSdIzhx6_m4wkOD7IG-k_eo/edit#gid=0"", ""Maths!M:N""), 2, FALSE)"),"Explain the concept of cost price and its significance in business transactions.")</f>
        <v>Explain the concept of cost price and its significance in business transactions.</v>
      </c>
      <c r="M93" s="10" t="str">
        <f t="shared" si="2"/>
        <v>LU000454.003</v>
      </c>
      <c r="N93" s="10" t="str">
        <f ca="1">IFERROR(__xludf.DUMMYFUNCTION("VLOOKUP(M93, IMPORTRANGE(""https://docs.google.com/spreadsheets/d/1yDAaXNsi4Mr5FtRQL4tbmSdIzhx6_m4wkOD7IG-k_eo/edit#gid=0"", ""Maths!M:N""), 2, FALSE)"),"Calculate the cost price of an item given its selling price and profit/loss percentage.")</f>
        <v>Calculate the cost price of an item given its selling price and profit/loss percentage.</v>
      </c>
      <c r="O93" s="10" t="str">
        <f t="shared" si="3"/>
        <v>LU000454.004</v>
      </c>
      <c r="P93" s="10" t="str">
        <f ca="1">IFERROR(__xludf.DUMMYFUNCTION("VLOOKUP(O93, IMPORTRANGE(""https://docs.google.com/spreadsheets/d/1yDAaXNsi4Mr5FtRQL4tbmSdIzhx6_m4wkOD7IG-k_eo/edit#gid=0"", ""Maths!M:N""), 2, FALSE)"),"Compare and contrast how changes in cost price and selling price impact the overall profit margin of a product.")</f>
        <v>Compare and contrast how changes in cost price and selling price impact the overall profit margin of a product.</v>
      </c>
      <c r="Q93" s="10" t="str">
        <f t="shared" si="4"/>
        <v>LU000454.005</v>
      </c>
      <c r="R93" s="10" t="str">
        <f ca="1">IFERROR(__xludf.DUMMYFUNCTION("VLOOKUP(Q93, IMPORTRANGE(""https://docs.google.com/spreadsheets/d/1yDAaXNsi4Mr5FtRQL4tbmSdIzhx6_m4wkOD7IG-k_eo/edit#gid=0"", ""Maths!M:N""), 2, FALSE)"),"Evaluate the accuracy of cost price calculations in real-world scenarios and suggest improvements.")</f>
        <v>Evaluate the accuracy of cost price calculations in real-world scenarios and suggest improvements.</v>
      </c>
      <c r="S93" s="10" t="str">
        <f t="shared" si="5"/>
        <v>LU000454.006</v>
      </c>
      <c r="T93" s="10" t="str">
        <f ca="1">IFERROR(__xludf.DUMMYFUNCTION("VLOOKUP(S93, IMPORTRANGE(""https://docs.google.com/spreadsheets/d/1yDAaXNsi4Mr5FtRQL4tbmSdIzhx6_m4wkOD7IG-k_eo/edit#gid=0"", ""Maths!M:N""), 2, FALSE)"),"Create a visual presentation explaining cost price, incorporating real-life examples and its implications for someone starting a business.")</f>
        <v>Create a visual presentation explaining cost price, incorporating real-life examples and its implications for someone starting a business.</v>
      </c>
      <c r="U93" s="11">
        <f ca="1">IFERROR(__xludf.DUMMYFUNCTION("ArrayFormula(VLOOKUP(G93, IMPORTRANGE(""https://docs.google.com/spreadsheets/d/1p7R4vtkWt5VOBim4ltsDG9KTzSjrtKXsMtQGXPHyND0/edit#gid=795171502"", ""'Filter 30_05_2024'!A1:M2000""), {2, 3, 4, 5,6,7,8,9,10,11,12,13}, 0))"),4)</f>
        <v>4</v>
      </c>
      <c r="V93" s="11">
        <f ca="1">IFERROR(__xludf.DUMMYFUNCTION("""COMPUTED_VALUE"""),6)</f>
        <v>6</v>
      </c>
      <c r="W93" s="11">
        <f ca="1">IFERROR(__xludf.DUMMYFUNCTION("""COMPUTED_VALUE"""),2)</f>
        <v>2</v>
      </c>
      <c r="X93" s="11">
        <f ca="1">IFERROR(__xludf.DUMMYFUNCTION("""COMPUTED_VALUE"""),12)</f>
        <v>12</v>
      </c>
      <c r="Y93" s="11">
        <f ca="1">IFERROR(__xludf.DUMMYFUNCTION("""COMPUTED_VALUE"""),4)</f>
        <v>4</v>
      </c>
      <c r="Z93" s="12">
        <f ca="1">IFERROR(__xludf.DUMMYFUNCTION("""COMPUTED_VALUE"""),3)</f>
        <v>3</v>
      </c>
      <c r="AA93" s="12">
        <f ca="1">IFERROR(__xludf.DUMMYFUNCTION("""COMPUTED_VALUE"""),1)</f>
        <v>1</v>
      </c>
      <c r="AB93" s="12">
        <f ca="1">IFERROR(__xludf.DUMMYFUNCTION("""COMPUTED_VALUE"""),8)</f>
        <v>8</v>
      </c>
      <c r="AC93" s="12"/>
      <c r="AD93" s="12"/>
      <c r="AE93" s="12"/>
      <c r="AF93" s="12"/>
      <c r="AG93" s="13" t="str">
        <f ca="1">IFERROR(__xludf.DUMMYFUNCTION("ArrayFormula(VLOOKUP(G93, IMPORTRANGE(""https://docs.google.com/spreadsheets/d/1Co934fvtviyaRiMsrIlT05Jaq7iiYq07aLvRr35KA48/edit?gid=173865642#gid=173865642"", ""'G7_Maths_Pri_LU'!G2:V2000""), {3, 4, 5, 6, 7, 8, 9, 10, 11, 12, 13, 14, 15, 16}, 0))"),"")</f>
        <v/>
      </c>
      <c r="AH93" s="13"/>
      <c r="AI93" s="13"/>
      <c r="AJ93" s="13"/>
      <c r="AK93" s="13"/>
      <c r="AL93" s="13"/>
      <c r="AM93" s="13"/>
      <c r="AN93" s="13"/>
      <c r="AO93" s="13"/>
      <c r="AP93" s="13"/>
      <c r="AQ93" s="13"/>
      <c r="AR93" s="13"/>
      <c r="AS93" s="13"/>
      <c r="AT93" s="13"/>
    </row>
    <row r="94" spans="1:46">
      <c r="A94" s="8" t="s">
        <v>247</v>
      </c>
      <c r="B94" s="8" t="s">
        <v>47</v>
      </c>
      <c r="C94" s="8" t="s">
        <v>416</v>
      </c>
      <c r="D94" s="8" t="s">
        <v>49</v>
      </c>
      <c r="E94" s="8" t="s">
        <v>534</v>
      </c>
      <c r="F94" s="8" t="s">
        <v>552</v>
      </c>
      <c r="G94" s="8" t="s">
        <v>554</v>
      </c>
      <c r="H94" s="8" t="str">
        <f ca="1">IFERROR(__xludf.DUMMYFUNCTION("VLOOKUP(G94, IMPORTRANGE(""https://docs.google.com/spreadsheets/d/14deopnvwcrKtEGCKuYXdUHJbeLDZlkiSSWWT0g7x2pM/edit#gid=999382323"", ""LU List Maths (Filter)!A:B""), 2, FALSE)"),"Definition of selling price")</f>
        <v>Definition of selling price</v>
      </c>
      <c r="I94" s="10" t="str">
        <f t="shared" si="0"/>
        <v>LU000455.001</v>
      </c>
      <c r="J94" s="10" t="str">
        <f ca="1">IFERROR(__xludf.DUMMYFUNCTION("VLOOKUP(I94, IMPORTRANGE(""https://docs.google.com/spreadsheets/d/1yDAaXNsi4Mr5FtRQL4tbmSdIzhx6_m4wkOD7IG-k_eo/edit#gid=0"", ""Maths!M:N""), 2, FALSE)"),"State the definition of selling price")</f>
        <v>State the definition of selling price</v>
      </c>
      <c r="K94" s="10" t="str">
        <f t="shared" si="1"/>
        <v>LU000455.002</v>
      </c>
      <c r="L94" s="10" t="str">
        <f ca="1">IFERROR(__xludf.DUMMYFUNCTION("VLOOKUP(K94, IMPORTRANGE(""https://docs.google.com/spreadsheets/d/1yDAaXNsi4Mr5FtRQL4tbmSdIzhx6_m4wkOD7IG-k_eo/edit#gid=0"", ""Maths!M:N""), 2, FALSE)"),"Describe the significance of selling price in determining revenue and profit for a business.")</f>
        <v>Describe the significance of selling price in determining revenue and profit for a business.</v>
      </c>
      <c r="M94" s="10" t="str">
        <f t="shared" si="2"/>
        <v>LU000455.003</v>
      </c>
      <c r="N94" s="10" t="str">
        <f ca="1">IFERROR(__xludf.DUMMYFUNCTION("VLOOKUP(M94, IMPORTRANGE(""https://docs.google.com/spreadsheets/d/1yDAaXNsi4Mr5FtRQL4tbmSdIzhx6_m4wkOD7IG-k_eo/edit#gid=0"", ""Maths!M:N""), 2, FALSE)"),"Calculate the selling price of an item given its selling price and profit/loss percentage.")</f>
        <v>Calculate the selling price of an item given its selling price and profit/loss percentage.</v>
      </c>
      <c r="O94" s="10" t="str">
        <f t="shared" si="3"/>
        <v>LU000455.004</v>
      </c>
      <c r="P94" s="10" t="str">
        <f ca="1">IFERROR(__xludf.DUMMYFUNCTION("VLOOKUP(O94, IMPORTRANGE(""https://docs.google.com/spreadsheets/d/1yDAaXNsi4Mr5FtRQL4tbmSdIzhx6_m4wkOD7IG-k_eo/edit#gid=0"", ""Maths!M:N""), 2, FALSE)"),"Compare how changes in selling price and cost price affect the overall profitability of a product.")</f>
        <v>Compare how changes in selling price and cost price affect the overall profitability of a product.</v>
      </c>
      <c r="Q94" s="10" t="str">
        <f t="shared" si="4"/>
        <v>LU000455.005</v>
      </c>
      <c r="R94" s="10" t="str">
        <f ca="1">IFERROR(__xludf.DUMMYFUNCTION("VLOOKUP(Q94, IMPORTRANGE(""https://docs.google.com/spreadsheets/d/1yDAaXNsi4Mr5FtRQL4tbmSdIzhx6_m4wkOD7IG-k_eo/edit#gid=0"", ""Maths!M:N""), 2, FALSE)"),"Evaluate the appropriateness of selling prices for a range of products and suggest potential adjustments")</f>
        <v>Evaluate the appropriateness of selling prices for a range of products and suggest potential adjustments</v>
      </c>
      <c r="S94" s="10" t="str">
        <f t="shared" si="5"/>
        <v>LU000455.006</v>
      </c>
      <c r="T94" s="10" t="str">
        <f ca="1">IFERROR(__xludf.DUMMYFUNCTION("VLOOKUP(S94, IMPORTRANGE(""https://docs.google.com/spreadsheets/d/1yDAaXNsi4Mr5FtRQL4tbmSdIzhx6_m4wkOD7IG-k_eo/edit#gid=0"", ""Maths!M:N""), 2, FALSE)"),"Create a business plan for a product launch, including a detailed strategy for determining selling prices that ensure profitability while staying competitive.")</f>
        <v>Create a business plan for a product launch, including a detailed strategy for determining selling prices that ensure profitability while staying competitive.</v>
      </c>
      <c r="U94" s="11">
        <f ca="1">IFERROR(__xludf.DUMMYFUNCTION("ArrayFormula(VLOOKUP(G94, IMPORTRANGE(""https://docs.google.com/spreadsheets/d/1p7R4vtkWt5VOBim4ltsDG9KTzSjrtKXsMtQGXPHyND0/edit#gid=795171502"", ""'Filter 30_05_2024'!A1:M2000""), {2, 3, 4, 5,6,7,8,9,10,11,12,13}, 0))"),4)</f>
        <v>4</v>
      </c>
      <c r="V94" s="11">
        <f ca="1">IFERROR(__xludf.DUMMYFUNCTION("""COMPUTED_VALUE"""),4)</f>
        <v>4</v>
      </c>
      <c r="W94" s="11">
        <f ca="1">IFERROR(__xludf.DUMMYFUNCTION("""COMPUTED_VALUE"""),2)</f>
        <v>2</v>
      </c>
      <c r="X94" s="11">
        <f ca="1">IFERROR(__xludf.DUMMYFUNCTION("""COMPUTED_VALUE"""),10)</f>
        <v>10</v>
      </c>
      <c r="Y94" s="11">
        <f ca="1">IFERROR(__xludf.DUMMYFUNCTION("""COMPUTED_VALUE"""),4)</f>
        <v>4</v>
      </c>
      <c r="Z94" s="12">
        <f ca="1">IFERROR(__xludf.DUMMYFUNCTION("""COMPUTED_VALUE"""),5)</f>
        <v>5</v>
      </c>
      <c r="AA94" s="12">
        <f ca="1">IFERROR(__xludf.DUMMYFUNCTION("""COMPUTED_VALUE"""),1)</f>
        <v>1</v>
      </c>
      <c r="AB94" s="12">
        <f ca="1">IFERROR(__xludf.DUMMYFUNCTION("""COMPUTED_VALUE"""),10)</f>
        <v>10</v>
      </c>
      <c r="AC94" s="12"/>
      <c r="AD94" s="12"/>
      <c r="AE94" s="12"/>
      <c r="AF94" s="12"/>
      <c r="AG94" s="13" t="str">
        <f ca="1">IFERROR(__xludf.DUMMYFUNCTION("ArrayFormula(VLOOKUP(G94, IMPORTRANGE(""https://docs.google.com/spreadsheets/d/1Co934fvtviyaRiMsrIlT05Jaq7iiYq07aLvRr35KA48/edit?gid=173865642#gid=173865642"", ""'G7_Maths_Pri_LU'!G2:V2000""), {3, 4, 5, 6, 7, 8, 9, 10, 11, 12, 13, 14, 15, 16}, 0))"),"")</f>
        <v/>
      </c>
      <c r="AH94" s="13"/>
      <c r="AI94" s="13"/>
      <c r="AJ94" s="13"/>
      <c r="AK94" s="13"/>
      <c r="AL94" s="13"/>
      <c r="AM94" s="13"/>
      <c r="AN94" s="13"/>
      <c r="AO94" s="13"/>
      <c r="AP94" s="13"/>
      <c r="AQ94" s="13"/>
      <c r="AR94" s="13"/>
      <c r="AS94" s="13"/>
      <c r="AT94" s="13"/>
    </row>
    <row r="95" spans="1:46">
      <c r="A95" s="8" t="s">
        <v>247</v>
      </c>
      <c r="B95" s="8" t="s">
        <v>47</v>
      </c>
      <c r="C95" s="8" t="s">
        <v>416</v>
      </c>
      <c r="D95" s="8" t="s">
        <v>49</v>
      </c>
      <c r="E95" s="8" t="s">
        <v>534</v>
      </c>
      <c r="F95" s="8" t="s">
        <v>555</v>
      </c>
      <c r="G95" s="8" t="s">
        <v>556</v>
      </c>
      <c r="H95" s="8" t="str">
        <f ca="1">IFERROR(__xludf.DUMMYFUNCTION("VLOOKUP(G95, IMPORTRANGE(""https://docs.google.com/spreadsheets/d/14deopnvwcrKtEGCKuYXdUHJbeLDZlkiSSWWT0g7x2pM/edit#gid=999382323"", ""LU List Maths (Filter)!A:B""), 2, FALSE)"),"Definition of profit")</f>
        <v>Definition of profit</v>
      </c>
      <c r="I95" s="10" t="str">
        <f t="shared" si="0"/>
        <v>LU000456.001</v>
      </c>
      <c r="J95" s="10" t="str">
        <f ca="1">IFERROR(__xludf.DUMMYFUNCTION("VLOOKUP(I95, IMPORTRANGE(""https://docs.google.com/spreadsheets/d/1yDAaXNsi4Mr5FtRQL4tbmSdIzhx6_m4wkOD7IG-k_eo/edit#gid=0"", ""Maths!M:N""), 2, FALSE)"),"State the definition of profit.")</f>
        <v>State the definition of profit.</v>
      </c>
      <c r="K95" s="10" t="str">
        <f t="shared" si="1"/>
        <v>LU000456.002</v>
      </c>
      <c r="L95" s="10" t="str">
        <f ca="1">IFERROR(__xludf.DUMMYFUNCTION("VLOOKUP(K95, IMPORTRANGE(""https://docs.google.com/spreadsheets/d/1yDAaXNsi4Mr5FtRQL4tbmSdIzhx6_m4wkOD7IG-k_eo/edit#gid=0"", ""Maths!M:N""), 2, FALSE)"),"Describe the concept of profit as the positive difference between the selling price and cost price of an item.")</f>
        <v>Describe the concept of profit as the positive difference between the selling price and cost price of an item.</v>
      </c>
      <c r="M95" s="10" t="str">
        <f t="shared" si="2"/>
        <v>LU000456.003</v>
      </c>
      <c r="N95" s="10" t="str">
        <f ca="1">IFERROR(__xludf.DUMMYFUNCTION("VLOOKUP(M95, IMPORTRANGE(""https://docs.google.com/spreadsheets/d/1yDAaXNsi4Mr5FtRQL4tbmSdIzhx6_m4wkOD7IG-k_eo/edit#gid=0"", ""Maths!M:N""), 2, FALSE)"),"Calculate the profit earned on an item given its cost price and selling price.")</f>
        <v>Calculate the profit earned on an item given its cost price and selling price.</v>
      </c>
      <c r="O95" s="10" t="str">
        <f t="shared" si="3"/>
        <v>LU000456.004</v>
      </c>
      <c r="P95" s="10" t="str">
        <f ca="1">IFERROR(__xludf.DUMMYFUNCTION("VLOOKUP(O95, IMPORTRANGE(""https://docs.google.com/spreadsheets/d/1yDAaXNsi4Mr5FtRQL4tbmSdIzhx6_m4wkOD7IG-k_eo/edit#gid=0"", ""Maths!M:N""), 2, FALSE)"),"Analyze scenarios where different levels of profit are earned and identify factors contributing to variations in profits.")</f>
        <v>Analyze scenarios where different levels of profit are earned and identify factors contributing to variations in profits.</v>
      </c>
      <c r="Q95" s="10" t="str">
        <f t="shared" si="4"/>
        <v>LU000456.005</v>
      </c>
      <c r="R95" s="10" t="str">
        <f ca="1">IFERROR(__xludf.DUMMYFUNCTION("VLOOKUP(Q95, IMPORTRANGE(""https://docs.google.com/spreadsheets/d/1yDAaXNsi4Mr5FtRQL4tbmSdIzhx6_m4wkOD7IG-k_eo/edit#gid=0"", ""Maths!M:N""), 2, FALSE)"),"Evaluate the financial performance of two products with different profit margins and recommend which one is more favorable for the business.")</f>
        <v>Evaluate the financial performance of two products with different profit margins and recommend which one is more favorable for the business.</v>
      </c>
      <c r="S95" s="10" t="str">
        <f t="shared" si="5"/>
        <v>LU000456.006</v>
      </c>
      <c r="T95" s="10" t="str">
        <f ca="1">IFERROR(__xludf.DUMMYFUNCTION("VLOOKUP(S95, IMPORTRANGE(""https://docs.google.com/spreadsheets/d/1yDAaXNsi4Mr5FtRQL4tbmSdIzhx6_m4wkOD7IG-k_eo/edit#gid=0"", ""Maths!M:N""), 2, FALSE)"),"Design a business plan that outlines strategies to maximise profits, considering pricing strategies, cost efficiency measures, and market demand.")</f>
        <v>Design a business plan that outlines strategies to maximise profits, considering pricing strategies, cost efficiency measures, and market demand.</v>
      </c>
      <c r="U95" s="11">
        <f ca="1">IFERROR(__xludf.DUMMYFUNCTION("ArrayFormula(VLOOKUP(G95, IMPORTRANGE(""https://docs.google.com/spreadsheets/d/1p7R4vtkWt5VOBim4ltsDG9KTzSjrtKXsMtQGXPHyND0/edit#gid=795171502"", ""'Filter 30_05_2024'!A1:M2000""), {2, 3, 4, 5,6,7,8,9,10,11,12,13}, 0))"),4)</f>
        <v>4</v>
      </c>
      <c r="V95" s="11">
        <f ca="1">IFERROR(__xludf.DUMMYFUNCTION("""COMPUTED_VALUE"""),6)</f>
        <v>6</v>
      </c>
      <c r="W95" s="11">
        <f ca="1">IFERROR(__xludf.DUMMYFUNCTION("""COMPUTED_VALUE"""),2)</f>
        <v>2</v>
      </c>
      <c r="X95" s="11">
        <f ca="1">IFERROR(__xludf.DUMMYFUNCTION("""COMPUTED_VALUE"""),12)</f>
        <v>12</v>
      </c>
      <c r="Y95" s="11">
        <f ca="1">IFERROR(__xludf.DUMMYFUNCTION("""COMPUTED_VALUE"""),4)</f>
        <v>4</v>
      </c>
      <c r="Z95" s="12">
        <f ca="1">IFERROR(__xludf.DUMMYFUNCTION("""COMPUTED_VALUE"""),3)</f>
        <v>3</v>
      </c>
      <c r="AA95" s="12">
        <f ca="1">IFERROR(__xludf.DUMMYFUNCTION("""COMPUTED_VALUE"""),1)</f>
        <v>1</v>
      </c>
      <c r="AB95" s="12">
        <f ca="1">IFERROR(__xludf.DUMMYFUNCTION("""COMPUTED_VALUE"""),8)</f>
        <v>8</v>
      </c>
      <c r="AC95" s="12"/>
      <c r="AD95" s="12"/>
      <c r="AE95" s="12"/>
      <c r="AF95" s="12"/>
      <c r="AG95" s="13" t="str">
        <f ca="1">IFERROR(__xludf.DUMMYFUNCTION("ArrayFormula(VLOOKUP(G95, IMPORTRANGE(""https://docs.google.com/spreadsheets/d/1Co934fvtviyaRiMsrIlT05Jaq7iiYq07aLvRr35KA48/edit?gid=173865642#gid=173865642"", ""'G7_Maths_Pri_LU'!G2:V2000""), {3, 4, 5, 6, 7, 8, 9, 10, 11, 12, 13, 14, 15, 16}, 0))"),"LU000454")</f>
        <v>LU000454</v>
      </c>
      <c r="AH95" s="13" t="str">
        <f ca="1">IFERROR(__xludf.DUMMYFUNCTION("""COMPUTED_VALUE"""),"Definition of cost price")</f>
        <v>Definition of cost price</v>
      </c>
      <c r="AI95" s="13" t="str">
        <f ca="1">IFERROR(__xludf.DUMMYFUNCTION("""COMPUTED_VALUE"""),"LU000455")</f>
        <v>LU000455</v>
      </c>
      <c r="AJ95" s="13" t="str">
        <f ca="1">IFERROR(__xludf.DUMMYFUNCTION("""COMPUTED_VALUE"""),"Definition of selling price")</f>
        <v>Definition of selling price</v>
      </c>
      <c r="AK95" s="13"/>
      <c r="AL95" s="13"/>
      <c r="AM95" s="13"/>
      <c r="AN95" s="13"/>
      <c r="AO95" s="13"/>
      <c r="AP95" s="13"/>
      <c r="AQ95" s="13"/>
      <c r="AR95" s="13"/>
      <c r="AS95" s="13"/>
      <c r="AT95" s="13"/>
    </row>
    <row r="96" spans="1:46">
      <c r="A96" s="8" t="s">
        <v>247</v>
      </c>
      <c r="B96" s="8" t="s">
        <v>47</v>
      </c>
      <c r="C96" s="8" t="s">
        <v>416</v>
      </c>
      <c r="D96" s="8" t="s">
        <v>49</v>
      </c>
      <c r="E96" s="8" t="s">
        <v>534</v>
      </c>
      <c r="F96" s="8" t="s">
        <v>555</v>
      </c>
      <c r="G96" s="8" t="s">
        <v>557</v>
      </c>
      <c r="H96" s="8" t="str">
        <f ca="1">IFERROR(__xludf.DUMMYFUNCTION("VLOOKUP(G96, IMPORTRANGE(""https://docs.google.com/spreadsheets/d/14deopnvwcrKtEGCKuYXdUHJbeLDZlkiSSWWT0g7x2pM/edit#gid=999382323"", ""LU List Maths (Filter)!A:B""), 2, FALSE)"),"Definition of loss")</f>
        <v>Definition of loss</v>
      </c>
      <c r="I96" s="10" t="str">
        <f t="shared" si="0"/>
        <v>LU000457.001</v>
      </c>
      <c r="J96" s="10" t="str">
        <f ca="1">IFERROR(__xludf.DUMMYFUNCTION("VLOOKUP(I96, IMPORTRANGE(""https://docs.google.com/spreadsheets/d/1yDAaXNsi4Mr5FtRQL4tbmSdIzhx6_m4wkOD7IG-k_eo/edit#gid=0"", ""Maths!M:N""), 2, FALSE)"),"State the definition of loss.")</f>
        <v>State the definition of loss.</v>
      </c>
      <c r="K96" s="10" t="str">
        <f t="shared" si="1"/>
        <v>LU000457.002</v>
      </c>
      <c r="L96" s="10" t="str">
        <f ca="1">IFERROR(__xludf.DUMMYFUNCTION("VLOOKUP(K96, IMPORTRANGE(""https://docs.google.com/spreadsheets/d/1yDAaXNsi4Mr5FtRQL4tbmSdIzhx6_m4wkOD7IG-k_eo/edit#gid=0"", ""Maths!M:N""), 2, FALSE)"),"Explain the concept of loss and how it is calculated in terms of selling price and cost price.")</f>
        <v>Explain the concept of loss and how it is calculated in terms of selling price and cost price.</v>
      </c>
      <c r="M96" s="10" t="str">
        <f t="shared" si="2"/>
        <v>LU000457.003</v>
      </c>
      <c r="N96" s="10" t="str">
        <f ca="1">IFERROR(__xludf.DUMMYFUNCTION("VLOOKUP(M96, IMPORTRANGE(""https://docs.google.com/spreadsheets/d/1yDAaXNsi4Mr5FtRQL4tbmSdIzhx6_m4wkOD7IG-k_eo/edit#gid=0"", ""Maths!M:N""), 2, FALSE)"),"Calculate the loss incurred on an item given its cost price and selling price.")</f>
        <v>Calculate the loss incurred on an item given its cost price and selling price.</v>
      </c>
      <c r="O96" s="10" t="str">
        <f t="shared" si="3"/>
        <v>LU000457.004</v>
      </c>
      <c r="P96" s="10" t="str">
        <f ca="1">IFERROR(__xludf.DUMMYFUNCTION("VLOOKUP(O96, IMPORTRANGE(""https://docs.google.com/spreadsheets/d/1yDAaXNsi4Mr5FtRQL4tbmSdIzhx6_m4wkOD7IG-k_eo/edit#gid=0"", ""Maths!M:N""), 2, FALSE)"),"Analyse different scenarios where losses occur and identify factors contributing to those losses.")</f>
        <v>Analyse different scenarios where losses occur and identify factors contributing to those losses.</v>
      </c>
      <c r="Q96" s="10" t="str">
        <f t="shared" si="4"/>
        <v>LU000457.005</v>
      </c>
      <c r="R96" s="10" t="str">
        <f ca="1">IFERROR(__xludf.DUMMYFUNCTION("VLOOKUP(Q96, IMPORTRANGE(""https://docs.google.com/spreadsheets/d/1yDAaXNsi4Mr5FtRQL4tbmSdIzhx6_m4wkOD7IG-k_eo/edit#gid=0"", ""Maths!M:N""), 2, FALSE)"),"Evaluate strategies to minimise losses in a business context and provide reasoning for their effectiveness.")</f>
        <v>Evaluate strategies to minimise losses in a business context and provide reasoning for their effectiveness.</v>
      </c>
      <c r="S96" s="10" t="str">
        <f t="shared" si="5"/>
        <v>LU000457.006</v>
      </c>
      <c r="T96" s="10" t="str">
        <f ca="1">IFERROR(__xludf.DUMMYFUNCTION("VLOOKUP(S96, IMPORTRANGE(""https://docs.google.com/spreadsheets/d/1yDAaXNsi4Mr5FtRQL4tbmSdIzhx6_m4wkOD7IG-k_eo/edit#gid=0"", ""Maths!M:N""), 2, FALSE)"),"Devise a comprehensive business plan that minimizes losses by considering various pricing strategies, cost management techniques, and market dynamics.")</f>
        <v>Devise a comprehensive business plan that minimizes losses by considering various pricing strategies, cost management techniques, and market dynamics.</v>
      </c>
      <c r="U96" s="11">
        <f ca="1">IFERROR(__xludf.DUMMYFUNCTION("ArrayFormula(VLOOKUP(G96, IMPORTRANGE(""https://docs.google.com/spreadsheets/d/1p7R4vtkWt5VOBim4ltsDG9KTzSjrtKXsMtQGXPHyND0/edit#gid=795171502"", ""'Filter 30_05_2024'!A1:M2000""), {2, 3, 4, 5,6,7,8,9,10,11,12,13}, 0))"),4)</f>
        <v>4</v>
      </c>
      <c r="V96" s="11">
        <f ca="1">IFERROR(__xludf.DUMMYFUNCTION("""COMPUTED_VALUE"""),6)</f>
        <v>6</v>
      </c>
      <c r="W96" s="11">
        <f ca="1">IFERROR(__xludf.DUMMYFUNCTION("""COMPUTED_VALUE"""),2)</f>
        <v>2</v>
      </c>
      <c r="X96" s="11">
        <f ca="1">IFERROR(__xludf.DUMMYFUNCTION("""COMPUTED_VALUE"""),12)</f>
        <v>12</v>
      </c>
      <c r="Y96" s="11">
        <f ca="1">IFERROR(__xludf.DUMMYFUNCTION("""COMPUTED_VALUE"""),4)</f>
        <v>4</v>
      </c>
      <c r="Z96" s="12">
        <f ca="1">IFERROR(__xludf.DUMMYFUNCTION("""COMPUTED_VALUE"""),3)</f>
        <v>3</v>
      </c>
      <c r="AA96" s="12">
        <f ca="1">IFERROR(__xludf.DUMMYFUNCTION("""COMPUTED_VALUE"""),1)</f>
        <v>1</v>
      </c>
      <c r="AB96" s="12">
        <f ca="1">IFERROR(__xludf.DUMMYFUNCTION("""COMPUTED_VALUE"""),8)</f>
        <v>8</v>
      </c>
      <c r="AC96" s="12"/>
      <c r="AD96" s="12"/>
      <c r="AE96" s="12"/>
      <c r="AF96" s="12"/>
      <c r="AG96" s="13" t="str">
        <f ca="1">IFERROR(__xludf.DUMMYFUNCTION("ArrayFormula(VLOOKUP(G96, IMPORTRANGE(""https://docs.google.com/spreadsheets/d/1Co934fvtviyaRiMsrIlT05Jaq7iiYq07aLvRr35KA48/edit?gid=173865642#gid=173865642"", ""'G7_Maths_Pri_LU'!G2:V2000""), {3, 4, 5, 6, 7, 8, 9, 10, 11, 12, 13, 14, 15, 16}, 0))"),"LU000454")</f>
        <v>LU000454</v>
      </c>
      <c r="AH96" s="13" t="str">
        <f ca="1">IFERROR(__xludf.DUMMYFUNCTION("""COMPUTED_VALUE"""),"Definition of cost price")</f>
        <v>Definition of cost price</v>
      </c>
      <c r="AI96" s="13" t="str">
        <f ca="1">IFERROR(__xludf.DUMMYFUNCTION("""COMPUTED_VALUE"""),"LU000455")</f>
        <v>LU000455</v>
      </c>
      <c r="AJ96" s="13" t="str">
        <f ca="1">IFERROR(__xludf.DUMMYFUNCTION("""COMPUTED_VALUE"""),"Definition of selling price")</f>
        <v>Definition of selling price</v>
      </c>
      <c r="AK96" s="13"/>
      <c r="AL96" s="13"/>
      <c r="AM96" s="13"/>
      <c r="AN96" s="13"/>
      <c r="AO96" s="13"/>
      <c r="AP96" s="13"/>
      <c r="AQ96" s="13"/>
      <c r="AR96" s="13"/>
      <c r="AS96" s="13"/>
      <c r="AT96" s="13"/>
    </row>
    <row r="97" spans="1:46">
      <c r="A97" s="8" t="s">
        <v>247</v>
      </c>
      <c r="B97" s="8" t="s">
        <v>47</v>
      </c>
      <c r="C97" s="8" t="s">
        <v>416</v>
      </c>
      <c r="D97" s="8" t="s">
        <v>49</v>
      </c>
      <c r="E97" s="8" t="s">
        <v>534</v>
      </c>
      <c r="F97" s="8" t="s">
        <v>558</v>
      </c>
      <c r="G97" s="8" t="s">
        <v>559</v>
      </c>
      <c r="H97" s="8" t="str">
        <f ca="1">IFERROR(__xludf.DUMMYFUNCTION("VLOOKUP(G97, IMPORTRANGE(""https://docs.google.com/spreadsheets/d/14deopnvwcrKtEGCKuYXdUHJbeLDZlkiSSWWT0g7x2pM/edit#gid=999382323"", ""LU List Maths (Filter)!A:B""), 2, FALSE)"),"Calculation of profit as percentage")</f>
        <v>Calculation of profit as percentage</v>
      </c>
      <c r="I97" s="10" t="str">
        <f t="shared" si="0"/>
        <v>LU000458.001</v>
      </c>
      <c r="J97" s="10" t="str">
        <f ca="1">IFERROR(__xludf.DUMMYFUNCTION("VLOOKUP(I97, IMPORTRANGE(""https://docs.google.com/spreadsheets/d/1yDAaXNsi4Mr5FtRQL4tbmSdIzhx6_m4wkOD7IG-k_eo/edit#gid=0"", ""Maths!M:N""), 2, FALSE)"),"State the formula used to calculate the profit as percentage.")</f>
        <v>State the formula used to calculate the profit as percentage.</v>
      </c>
      <c r="K97" s="10" t="str">
        <f t="shared" si="1"/>
        <v>LU000458.002</v>
      </c>
      <c r="L97" s="10" t="str">
        <f ca="1">IFERROR(__xludf.DUMMYFUNCTION("VLOOKUP(K97, IMPORTRANGE(""https://docs.google.com/spreadsheets/d/1yDAaXNsi4Mr5FtRQL4tbmSdIzhx6_m4wkOD7IG-k_eo/edit#gid=0"", ""Maths!M:N""), 2, FALSE)"),"Explain the concept of calculating profit as a percentage and its relevance in analysing business performance.")</f>
        <v>Explain the concept of calculating profit as a percentage and its relevance in analysing business performance.</v>
      </c>
      <c r="M97" s="10" t="str">
        <f t="shared" si="2"/>
        <v>LU000458.003</v>
      </c>
      <c r="N97" s="10" t="str">
        <f ca="1">IFERROR(__xludf.DUMMYFUNCTION("VLOOKUP(M97, IMPORTRANGE(""https://docs.google.com/spreadsheets/d/1yDAaXNsi4Mr5FtRQL4tbmSdIzhx6_m4wkOD7IG-k_eo/edit#gid=0"", ""Maths!M:N""), 2, FALSE)"),"Calculate the profit percentage earned on an item given its cost price and selling price.")</f>
        <v>Calculate the profit percentage earned on an item given its cost price and selling price.</v>
      </c>
      <c r="O97" s="10" t="str">
        <f t="shared" si="3"/>
        <v>LU000458.004</v>
      </c>
      <c r="P97" s="10" t="str">
        <f ca="1">IFERROR(__xludf.DUMMYFUNCTION("VLOOKUP(O97, IMPORTRANGE(""https://docs.google.com/spreadsheets/d/1yDAaXNsi4Mr5FtRQL4tbmSdIzhx6_m4wkOD7IG-k_eo/edit#gid=0"", ""Maths!M:N""), 2, FALSE)"),"Analyse how variations in cost price and selling price affect the resulting profit percentage.")</f>
        <v>Analyse how variations in cost price and selling price affect the resulting profit percentage.</v>
      </c>
      <c r="Q97" s="10" t="str">
        <f t="shared" si="4"/>
        <v>LU000458.005</v>
      </c>
      <c r="R97" s="10" t="str">
        <f ca="1">IFERROR(__xludf.DUMMYFUNCTION("VLOOKUP(Q97, IMPORTRANGE(""https://docs.google.com/spreadsheets/d/1yDAaXNsi4Mr5FtRQL4tbmSdIzhx6_m4wkOD7IG-k_eo/edit#gid=0"", ""Maths!M:N""), 2, FALSE)"),"Evaluate the profitability of two products based on their profit percentages and recommend which one offers a better return.")</f>
        <v>Evaluate the profitability of two products based on their profit percentages and recommend which one offers a better return.</v>
      </c>
      <c r="S97" s="10" t="str">
        <f t="shared" si="5"/>
        <v>LU000458.006</v>
      </c>
      <c r="T97" s="10" t="str">
        <f ca="1">IFERROR(__xludf.DUMMYFUNCTION("VLOOKUP(S97, IMPORTRANGE(""https://docs.google.com/spreadsheets/d/1yDAaXNsi4Mr5FtRQL4tbmSdIzhx6_m4wkOD7IG-k_eo/edit#gid=0"", ""Maths!M:N""), 2, FALSE)"),"Design a comparative analysis report that presents profit percentages for a range of products, highlighting strategies to improve profitability.")</f>
        <v>Design a comparative analysis report that presents profit percentages for a range of products, highlighting strategies to improve profitability.</v>
      </c>
      <c r="U97" s="11">
        <f ca="1">IFERROR(__xludf.DUMMYFUNCTION("ArrayFormula(VLOOKUP(G97, IMPORTRANGE(""https://docs.google.com/spreadsheets/d/1p7R4vtkWt5VOBim4ltsDG9KTzSjrtKXsMtQGXPHyND0/edit#gid=795171502"", ""'Filter 30_05_2024'!A1:M2000""), {2, 3, 4, 5,6,7,8,9,10,11,12,13}, 0))"),4)</f>
        <v>4</v>
      </c>
      <c r="V97" s="11">
        <f ca="1">IFERROR(__xludf.DUMMYFUNCTION("""COMPUTED_VALUE"""),6)</f>
        <v>6</v>
      </c>
      <c r="W97" s="11">
        <f ca="1">IFERROR(__xludf.DUMMYFUNCTION("""COMPUTED_VALUE"""),2)</f>
        <v>2</v>
      </c>
      <c r="X97" s="11">
        <f ca="1">IFERROR(__xludf.DUMMYFUNCTION("""COMPUTED_VALUE"""),12)</f>
        <v>12</v>
      </c>
      <c r="Y97" s="11">
        <f ca="1">IFERROR(__xludf.DUMMYFUNCTION("""COMPUTED_VALUE"""),4)</f>
        <v>4</v>
      </c>
      <c r="Z97" s="12">
        <f ca="1">IFERROR(__xludf.DUMMYFUNCTION("""COMPUTED_VALUE"""),3)</f>
        <v>3</v>
      </c>
      <c r="AA97" s="12">
        <f ca="1">IFERROR(__xludf.DUMMYFUNCTION("""COMPUTED_VALUE"""),1)</f>
        <v>1</v>
      </c>
      <c r="AB97" s="12">
        <f ca="1">IFERROR(__xludf.DUMMYFUNCTION("""COMPUTED_VALUE"""),8)</f>
        <v>8</v>
      </c>
      <c r="AC97" s="12"/>
      <c r="AD97" s="12"/>
      <c r="AE97" s="12"/>
      <c r="AF97" s="12"/>
      <c r="AG97" s="13" t="str">
        <f ca="1">IFERROR(__xludf.DUMMYFUNCTION("ArrayFormula(VLOOKUP(G97, IMPORTRANGE(""https://docs.google.com/spreadsheets/d/1Co934fvtviyaRiMsrIlT05Jaq7iiYq07aLvRr35KA48/edit?gid=173865642#gid=173865642"", ""'G7_Maths_Pri_LU'!G2:V2000""), {3, 4, 5, 6, 7, 8, 9, 10, 11, 12, 13, 14, 15, 16}, 0))"),"LU001027")</f>
        <v>LU001027</v>
      </c>
      <c r="AH97" s="13" t="str">
        <f ca="1">IFERROR(__xludf.DUMMYFUNCTION("""COMPUTED_VALUE"""),"Increase in a quantity as percentage
")</f>
        <v xml:space="preserve">Increase in a quantity as percentage
</v>
      </c>
      <c r="AI97" s="13" t="str">
        <f ca="1">IFERROR(__xludf.DUMMYFUNCTION("""COMPUTED_VALUE"""),"LU000451")</f>
        <v>LU000451</v>
      </c>
      <c r="AJ97" s="13" t="str">
        <f ca="1">IFERROR(__xludf.DUMMYFUNCTION("""COMPUTED_VALUE"""),"Calculation of percentage of amount")</f>
        <v>Calculation of percentage of amount</v>
      </c>
      <c r="AK97" s="13" t="str">
        <f ca="1">IFERROR(__xludf.DUMMYFUNCTION("""COMPUTED_VALUE"""),"LU000444")</f>
        <v>LU000444</v>
      </c>
      <c r="AL97" s="13" t="str">
        <f ca="1">IFERROR(__xludf.DUMMYFUNCTION("""COMPUTED_VALUE"""),"Definition of percentage")</f>
        <v>Definition of percentage</v>
      </c>
      <c r="AM97" s="13" t="str">
        <f ca="1">IFERROR(__xludf.DUMMYFUNCTION("""COMPUTED_VALUE"""),"LU000447")</f>
        <v>LU000447</v>
      </c>
      <c r="AN97" s="13" t="str">
        <f ca="1">IFERROR(__xludf.DUMMYFUNCTION("""COMPUTED_VALUE"""),"Conversion of percentage to fraction")</f>
        <v>Conversion of percentage to fraction</v>
      </c>
      <c r="AO97" s="13" t="str">
        <f ca="1">IFERROR(__xludf.DUMMYFUNCTION("""COMPUTED_VALUE"""),"LU000448")</f>
        <v>LU000448</v>
      </c>
      <c r="AP97" s="13" t="str">
        <f ca="1">IFERROR(__xludf.DUMMYFUNCTION("""COMPUTED_VALUE"""),"Conversion of percentages to decimal")</f>
        <v>Conversion of percentages to decimal</v>
      </c>
      <c r="AQ97" s="13" t="str">
        <f ca="1">IFERROR(__xludf.DUMMYFUNCTION("""COMPUTED_VALUE"""),"LU001005")</f>
        <v>LU001005</v>
      </c>
      <c r="AR97" s="13" t="str">
        <f ca="1">IFERROR(__xludf.DUMMYFUNCTION("""COMPUTED_VALUE"""),"Multiplication of a proper fraction by a whole number")</f>
        <v>Multiplication of a proper fraction by a whole number</v>
      </c>
      <c r="AS97" s="13" t="str">
        <f ca="1">IFERROR(__xludf.DUMMYFUNCTION("""COMPUTED_VALUE"""),"LU000375")</f>
        <v>LU000375</v>
      </c>
      <c r="AT97" s="13" t="str">
        <f ca="1">IFERROR(__xludf.DUMMYFUNCTION("""COMPUTED_VALUE"""),"Multiplication of decimal number by a whole number")</f>
        <v>Multiplication of decimal number by a whole number</v>
      </c>
    </row>
    <row r="98" spans="1:46">
      <c r="A98" s="8" t="s">
        <v>247</v>
      </c>
      <c r="B98" s="8" t="s">
        <v>47</v>
      </c>
      <c r="C98" s="8" t="s">
        <v>416</v>
      </c>
      <c r="D98" s="8" t="s">
        <v>49</v>
      </c>
      <c r="E98" s="8" t="s">
        <v>534</v>
      </c>
      <c r="F98" s="8" t="s">
        <v>558</v>
      </c>
      <c r="G98" s="8" t="s">
        <v>560</v>
      </c>
      <c r="H98" s="8" t="str">
        <f ca="1">IFERROR(__xludf.DUMMYFUNCTION("VLOOKUP(G98, IMPORTRANGE(""https://docs.google.com/spreadsheets/d/14deopnvwcrKtEGCKuYXdUHJbeLDZlkiSSWWT0g7x2pM/edit#gid=999382323"", ""LU List Maths (Filter)!A:B""), 2, FALSE)"),"Calculation of loss as percentage")</f>
        <v>Calculation of loss as percentage</v>
      </c>
      <c r="I98" s="10" t="str">
        <f t="shared" si="0"/>
        <v>LU000459.001</v>
      </c>
      <c r="J98" s="10" t="str">
        <f ca="1">IFERROR(__xludf.DUMMYFUNCTION("VLOOKUP(I98, IMPORTRANGE(""https://docs.google.com/spreadsheets/d/1yDAaXNsi4Mr5FtRQL4tbmSdIzhx6_m4wkOD7IG-k_eo/edit#gid=0"", ""Maths!M:N""), 2, FALSE)"),"State the formula used to calculate the loss as percentage.")</f>
        <v>State the formula used to calculate the loss as percentage.</v>
      </c>
      <c r="K98" s="10" t="str">
        <f t="shared" si="1"/>
        <v>LU000459.002</v>
      </c>
      <c r="L98" s="10" t="str">
        <f ca="1">IFERROR(__xludf.DUMMYFUNCTION("VLOOKUP(K98, IMPORTRANGE(""https://docs.google.com/spreadsheets/d/1yDAaXNsi4Mr5FtRQL4tbmSdIzhx6_m4wkOD7IG-k_eo/edit#gid=0"", ""Maths!M:N""), 2, FALSE)"),"Explain the concept of calculating loss as a percentage and its relevance in analysing business performance.")</f>
        <v>Explain the concept of calculating loss as a percentage and its relevance in analysing business performance.</v>
      </c>
      <c r="M98" s="10" t="str">
        <f t="shared" si="2"/>
        <v>LU000459.003</v>
      </c>
      <c r="N98" s="10" t="str">
        <f ca="1">IFERROR(__xludf.DUMMYFUNCTION("VLOOKUP(M98, IMPORTRANGE(""https://docs.google.com/spreadsheets/d/1yDAaXNsi4Mr5FtRQL4tbmSdIzhx6_m4wkOD7IG-k_eo/edit#gid=0"", ""Maths!M:N""), 2, FALSE)"),"Calculate the loss percentage earned on an item given its cost price and selling price.")</f>
        <v>Calculate the loss percentage earned on an item given its cost price and selling price.</v>
      </c>
      <c r="O98" s="10" t="str">
        <f t="shared" si="3"/>
        <v>LU000459.004</v>
      </c>
      <c r="P98" s="10" t="str">
        <f ca="1">IFERROR(__xludf.DUMMYFUNCTION("VLOOKUP(O98, IMPORTRANGE(""https://docs.google.com/spreadsheets/d/1yDAaXNsi4Mr5FtRQL4tbmSdIzhx6_m4wkOD7IG-k_eo/edit#gid=0"", ""Maths!M:N""), 2, FALSE)"),"Analyse how variations in cost price and selling price affect the resulting loss percentage.")</f>
        <v>Analyse how variations in cost price and selling price affect the resulting loss percentage.</v>
      </c>
      <c r="Q98" s="10" t="str">
        <f t="shared" si="4"/>
        <v>LU000459.005</v>
      </c>
      <c r="R98" s="10" t="str">
        <f ca="1">IFERROR(__xludf.DUMMYFUNCTION("VLOOKUP(Q98, IMPORTRANGE(""https://docs.google.com/spreadsheets/d/1yDAaXNsi4Mr5FtRQL4tbmSdIzhx6_m4wkOD7IG-k_eo/edit#gid=0"", ""Maths!M:N""), 2, FALSE)"),"Evaluate the financial implications of two transactions with different loss percentages and determine which one is more unfavorable.")</f>
        <v>Evaluate the financial implications of two transactions with different loss percentages and determine which one is more unfavorable.</v>
      </c>
      <c r="S98" s="10" t="str">
        <f t="shared" si="5"/>
        <v>LU000459.006</v>
      </c>
      <c r="T98" s="10" t="str">
        <f ca="1">IFERROR(__xludf.DUMMYFUNCTION("VLOOKUP(S98, IMPORTRANGE(""https://docs.google.com/spreadsheets/d/1yDAaXNsi4Mr5FtRQL4tbmSdIzhx6_m4wkOD7IG-k_eo/edit#gid=0"", ""Maths!M:N""), 2, FALSE)"),"Design a presentation that illustrates the concept of loss percentage using real-world examples and offers strategies to mitigate losses.")</f>
        <v>Design a presentation that illustrates the concept of loss percentage using real-world examples and offers strategies to mitigate losses.</v>
      </c>
      <c r="U98" s="11">
        <f ca="1">IFERROR(__xludf.DUMMYFUNCTION("ArrayFormula(VLOOKUP(G98, IMPORTRANGE(""https://docs.google.com/spreadsheets/d/1p7R4vtkWt5VOBim4ltsDG9KTzSjrtKXsMtQGXPHyND0/edit#gid=795171502"", ""'Filter 30_05_2024'!A1:M2000""), {2, 3, 4, 5,6,7,8,9,10,11,12,13}, 0))"),2)</f>
        <v>2</v>
      </c>
      <c r="V98" s="11">
        <f ca="1">IFERROR(__xludf.DUMMYFUNCTION("""COMPUTED_VALUE"""),10)</f>
        <v>10</v>
      </c>
      <c r="W98" s="11">
        <f ca="1">IFERROR(__xludf.DUMMYFUNCTION("""COMPUTED_VALUE"""),2)</f>
        <v>2</v>
      </c>
      <c r="X98" s="11">
        <f ca="1">IFERROR(__xludf.DUMMYFUNCTION("""COMPUTED_VALUE"""),14)</f>
        <v>14</v>
      </c>
      <c r="Y98" s="11">
        <f ca="1">IFERROR(__xludf.DUMMYFUNCTION("""COMPUTED_VALUE"""),6)</f>
        <v>6</v>
      </c>
      <c r="Z98" s="12">
        <f ca="1">IFERROR(__xludf.DUMMYFUNCTION("""COMPUTED_VALUE"""),3)</f>
        <v>3</v>
      </c>
      <c r="AA98" s="12">
        <f ca="1">IFERROR(__xludf.DUMMYFUNCTION("""COMPUTED_VALUE"""),1)</f>
        <v>1</v>
      </c>
      <c r="AB98" s="12">
        <f ca="1">IFERROR(__xludf.DUMMYFUNCTION("""COMPUTED_VALUE"""),10)</f>
        <v>10</v>
      </c>
      <c r="AC98" s="12"/>
      <c r="AD98" s="12"/>
      <c r="AE98" s="12"/>
      <c r="AF98" s="12"/>
      <c r="AG98" s="13" t="str">
        <f ca="1">IFERROR(__xludf.DUMMYFUNCTION("ArrayFormula(VLOOKUP(G98, IMPORTRANGE(""https://docs.google.com/spreadsheets/d/1Co934fvtviyaRiMsrIlT05Jaq7iiYq07aLvRr35KA48/edit?gid=173865642#gid=173865642"", ""'G7_Maths_Pri_LU'!G2:V2000""), {3, 4, 5, 6, 7, 8, 9, 10, 11, 12, 13, 14, 15, 16}, 0))"),"LU001028")</f>
        <v>LU001028</v>
      </c>
      <c r="AH98" s="13" t="str">
        <f ca="1">IFERROR(__xludf.DUMMYFUNCTION("""COMPUTED_VALUE"""),"Decrease in a quantity as percentage")</f>
        <v>Decrease in a quantity as percentage</v>
      </c>
      <c r="AI98" s="13" t="str">
        <f ca="1">IFERROR(__xludf.DUMMYFUNCTION("""COMPUTED_VALUE"""),"LU000451")</f>
        <v>LU000451</v>
      </c>
      <c r="AJ98" s="13" t="str">
        <f ca="1">IFERROR(__xludf.DUMMYFUNCTION("""COMPUTED_VALUE"""),"Calculation of percentage of amount")</f>
        <v>Calculation of percentage of amount</v>
      </c>
      <c r="AK98" s="13" t="str">
        <f ca="1">IFERROR(__xludf.DUMMYFUNCTION("""COMPUTED_VALUE"""),"LU000444")</f>
        <v>LU000444</v>
      </c>
      <c r="AL98" s="13" t="str">
        <f ca="1">IFERROR(__xludf.DUMMYFUNCTION("""COMPUTED_VALUE"""),"Definition of percentage")</f>
        <v>Definition of percentage</v>
      </c>
      <c r="AM98" s="13" t="str">
        <f ca="1">IFERROR(__xludf.DUMMYFUNCTION("""COMPUTED_VALUE"""),"LU000447")</f>
        <v>LU000447</v>
      </c>
      <c r="AN98" s="13" t="str">
        <f ca="1">IFERROR(__xludf.DUMMYFUNCTION("""COMPUTED_VALUE"""),"Conversion of percentage to fraction")</f>
        <v>Conversion of percentage to fraction</v>
      </c>
      <c r="AO98" s="13" t="str">
        <f ca="1">IFERROR(__xludf.DUMMYFUNCTION("""COMPUTED_VALUE"""),"LU000448")</f>
        <v>LU000448</v>
      </c>
      <c r="AP98" s="13" t="str">
        <f ca="1">IFERROR(__xludf.DUMMYFUNCTION("""COMPUTED_VALUE"""),"Conversion of percentages to decimal")</f>
        <v>Conversion of percentages to decimal</v>
      </c>
      <c r="AQ98" s="13" t="str">
        <f ca="1">IFERROR(__xludf.DUMMYFUNCTION("""COMPUTED_VALUE"""),"LU001005")</f>
        <v>LU001005</v>
      </c>
      <c r="AR98" s="13" t="str">
        <f ca="1">IFERROR(__xludf.DUMMYFUNCTION("""COMPUTED_VALUE"""),"Multiplication of a proper fraction by a whole number")</f>
        <v>Multiplication of a proper fraction by a whole number</v>
      </c>
      <c r="AS98" s="13" t="str">
        <f ca="1">IFERROR(__xludf.DUMMYFUNCTION("""COMPUTED_VALUE"""),"LU000375")</f>
        <v>LU000375</v>
      </c>
      <c r="AT98" s="13" t="str">
        <f ca="1">IFERROR(__xludf.DUMMYFUNCTION("""COMPUTED_VALUE"""),"Multiplication of decimal number by a whole number")</f>
        <v>Multiplication of decimal number by a whole number</v>
      </c>
    </row>
    <row r="99" spans="1:46">
      <c r="A99" s="8" t="s">
        <v>247</v>
      </c>
      <c r="B99" s="8" t="s">
        <v>47</v>
      </c>
      <c r="C99" s="8" t="s">
        <v>416</v>
      </c>
      <c r="D99" s="8" t="s">
        <v>49</v>
      </c>
      <c r="E99" s="8" t="s">
        <v>534</v>
      </c>
      <c r="F99" s="9" t="s">
        <v>561</v>
      </c>
      <c r="G99" s="8" t="s">
        <v>562</v>
      </c>
      <c r="H99" s="8" t="str">
        <f ca="1">IFERROR(__xludf.DUMMYFUNCTION("VLOOKUP(G99, IMPORTRANGE(""https://docs.google.com/spreadsheets/d/14deopnvwcrKtEGCKuYXdUHJbeLDZlkiSSWWT0g7x2pM/edit#gid=999382323"", ""LU List Maths (Filter)!A:B""), 2, FALSE)"),"Definition of simple interest")</f>
        <v>Definition of simple interest</v>
      </c>
      <c r="I99" s="10" t="str">
        <f t="shared" si="0"/>
        <v>LU000460.001</v>
      </c>
      <c r="J99" s="10" t="str">
        <f ca="1">IFERROR(__xludf.DUMMYFUNCTION("VLOOKUP(I99, IMPORTRANGE(""https://docs.google.com/spreadsheets/d/1yDAaXNsi4Mr5FtRQL4tbmSdIzhx6_m4wkOD7IG-k_eo/edit#gid=0"", ""Maths!M:N""), 2, FALSE)"),"State the definition of simple interest.")</f>
        <v>State the definition of simple interest.</v>
      </c>
      <c r="K99" s="10" t="str">
        <f t="shared" si="1"/>
        <v>LU000460.002</v>
      </c>
      <c r="L99" s="10" t="str">
        <f ca="1">IFERROR(__xludf.DUMMYFUNCTION("VLOOKUP(K99, IMPORTRANGE(""https://docs.google.com/spreadsheets/d/1yDAaXNsi4Mr5FtRQL4tbmSdIzhx6_m4wkOD7IG-k_eo/edit#gid=0"", ""Maths!M:N""), 2, FALSE)"),"Explain the concept of simple interest and how it is calculated based on the principal amount, interest rate, and time period.")</f>
        <v>Explain the concept of simple interest and how it is calculated based on the principal amount, interest rate, and time period.</v>
      </c>
      <c r="M99" s="10" t="str">
        <f t="shared" si="2"/>
        <v>LU000460.003</v>
      </c>
      <c r="N99" s="10" t="str">
        <f ca="1">IFERROR(__xludf.DUMMYFUNCTION("VLOOKUP(M99, IMPORTRANGE(""https://docs.google.com/spreadsheets/d/1yDAaXNsi4Mr5FtRQL4tbmSdIzhx6_m4wkOD7IG-k_eo/edit#gid=0"", ""Maths!M:N""), 2, FALSE)"),"Calculate the simple interest earned or paid on a given principal amount, interest rate and time period.")</f>
        <v>Calculate the simple interest earned or paid on a given principal amount, interest rate and time period.</v>
      </c>
      <c r="O99" s="10" t="str">
        <f t="shared" si="3"/>
        <v>LU000460.004</v>
      </c>
      <c r="P99" s="10" t="str">
        <f ca="1">IFERROR(__xludf.DUMMYFUNCTION("VLOOKUP(O99, IMPORTRANGE(""https://docs.google.com/spreadsheets/d/1yDAaXNsi4Mr5FtRQL4tbmSdIzhx6_m4wkOD7IG-k_eo/edit#gid=0"", ""Maths!M:N""), 2, FALSE)"),"Analyse the impact of changes in principal, interest rate and time on the calculated simple interest amount.")</f>
        <v>Analyse the impact of changes in principal, interest rate and time on the calculated simple interest amount.</v>
      </c>
      <c r="Q99" s="10" t="str">
        <f t="shared" si="4"/>
        <v>LU000460.005</v>
      </c>
      <c r="R99" s="10" t="str">
        <f ca="1">IFERROR(__xludf.DUMMYFUNCTION("VLOOKUP(Q99, IMPORTRANGE(""https://docs.google.com/spreadsheets/d/1yDAaXNsi4Mr5FtRQL4tbmSdIzhx6_m4wkOD7IG-k_eo/edit#gid=0"", ""Maths!M:N""), 2, FALSE)"),"Evaluate the financial implications of two investment options with different interest rates and time periods and recommend the more favorable option.")</f>
        <v>Evaluate the financial implications of two investment options with different interest rates and time periods and recommend the more favorable option.</v>
      </c>
      <c r="S99" s="10" t="str">
        <f t="shared" si="5"/>
        <v>LU000460.006</v>
      </c>
      <c r="T99" s="10" t="str">
        <f ca="1">IFERROR(__xludf.DUMMYFUNCTION("VLOOKUP(S99, IMPORTRANGE(""https://docs.google.com/spreadsheets/d/1yDAaXNsi4Mr5FtRQL4tbmSdIzhx6_m4wkOD7IG-k_eo/edit#gid=0"", ""Maths!M:N""), 2, FALSE)"),"Design a real-world scenario where simple interest is relevant, including initial investment, time frame, and rate to calculate the simple interest and interpret the results.")</f>
        <v>Design a real-world scenario where simple interest is relevant, including initial investment, time frame, and rate to calculate the simple interest and interpret the results.</v>
      </c>
      <c r="U99" s="11">
        <f ca="1">IFERROR(__xludf.DUMMYFUNCTION("ArrayFormula(VLOOKUP(G99, IMPORTRANGE(""https://docs.google.com/spreadsheets/d/1p7R4vtkWt5VOBim4ltsDG9KTzSjrtKXsMtQGXPHyND0/edit#gid=795171502"", ""'Filter 30_05_2024'!A1:M2000""), {2, 3, 4, 5,6,7,8,9,10,11,12,13}, 0))"),4)</f>
        <v>4</v>
      </c>
      <c r="V99" s="11">
        <f ca="1">IFERROR(__xludf.DUMMYFUNCTION("""COMPUTED_VALUE"""),5)</f>
        <v>5</v>
      </c>
      <c r="W99" s="11">
        <f ca="1">IFERROR(__xludf.DUMMYFUNCTION("""COMPUTED_VALUE"""),2)</f>
        <v>2</v>
      </c>
      <c r="X99" s="11">
        <f ca="1">IFERROR(__xludf.DUMMYFUNCTION("""COMPUTED_VALUE"""),11)</f>
        <v>11</v>
      </c>
      <c r="Y99" s="11">
        <f ca="1">IFERROR(__xludf.DUMMYFUNCTION("""COMPUTED_VALUE"""),4)</f>
        <v>4</v>
      </c>
      <c r="Z99" s="12">
        <f ca="1">IFERROR(__xludf.DUMMYFUNCTION("""COMPUTED_VALUE"""),5)</f>
        <v>5</v>
      </c>
      <c r="AA99" s="12">
        <f ca="1">IFERROR(__xludf.DUMMYFUNCTION("""COMPUTED_VALUE"""),1)</f>
        <v>1</v>
      </c>
      <c r="AB99" s="12">
        <f ca="1">IFERROR(__xludf.DUMMYFUNCTION("""COMPUTED_VALUE"""),10)</f>
        <v>10</v>
      </c>
      <c r="AC99" s="12"/>
      <c r="AD99" s="12"/>
      <c r="AE99" s="12"/>
      <c r="AF99" s="12"/>
      <c r="AG99" s="13" t="str">
        <f ca="1">IFERROR(__xludf.DUMMYFUNCTION("ArrayFormula(VLOOKUP(G99, IMPORTRANGE(""https://docs.google.com/spreadsheets/d/1Co934fvtviyaRiMsrIlT05Jaq7iiYq07aLvRr35KA48/edit?gid=173865642#gid=173865642"", ""'G7_Maths_Pri_LU'!G2:V2000""), {3, 4, 5, 6, 7, 8, 9, 10, 11, 12, 13, 14, 15, 16}, 0))"),"")</f>
        <v/>
      </c>
      <c r="AH99" s="13"/>
      <c r="AI99" s="13"/>
      <c r="AJ99" s="13"/>
      <c r="AK99" s="13"/>
      <c r="AL99" s="13"/>
      <c r="AM99" s="13"/>
      <c r="AN99" s="13"/>
      <c r="AO99" s="13"/>
      <c r="AP99" s="13"/>
      <c r="AQ99" s="13"/>
      <c r="AR99" s="13"/>
      <c r="AS99" s="13"/>
      <c r="AT99" s="13"/>
    </row>
    <row r="100" spans="1:46">
      <c r="A100" s="8" t="s">
        <v>247</v>
      </c>
      <c r="B100" s="8" t="s">
        <v>47</v>
      </c>
      <c r="C100" s="8" t="s">
        <v>416</v>
      </c>
      <c r="D100" s="8" t="s">
        <v>49</v>
      </c>
      <c r="E100" s="8" t="s">
        <v>534</v>
      </c>
      <c r="F100" s="9" t="s">
        <v>561</v>
      </c>
      <c r="G100" s="8" t="s">
        <v>563</v>
      </c>
      <c r="H100" s="8" t="str">
        <f ca="1">IFERROR(__xludf.DUMMYFUNCTION("VLOOKUP(G100, IMPORTRANGE(""https://docs.google.com/spreadsheets/d/14deopnvwcrKtEGCKuYXdUHJbeLDZlkiSSWWT0g7x2pM/edit#gid=999382323"", ""LU List Maths (Filter)!A:B""), 2, FALSE)"),"Definition of principal")</f>
        <v>Definition of principal</v>
      </c>
      <c r="I100" s="10" t="str">
        <f t="shared" si="0"/>
        <v>LU000461.001</v>
      </c>
      <c r="J100" s="10" t="str">
        <f ca="1">IFERROR(__xludf.DUMMYFUNCTION("VLOOKUP(I100, IMPORTRANGE(""https://docs.google.com/spreadsheets/d/1yDAaXNsi4Mr5FtRQL4tbmSdIzhx6_m4wkOD7IG-k_eo/edit#gid=0"", ""Maths!M:N""), 2, FALSE)"),"State the definition of principal.")</f>
        <v>State the definition of principal.</v>
      </c>
      <c r="K100" s="10" t="str">
        <f t="shared" si="1"/>
        <v>LU000461.002</v>
      </c>
      <c r="L100" s="10" t="str">
        <f ca="1">IFERROR(__xludf.DUMMYFUNCTION("VLOOKUP(K100, IMPORTRANGE(""https://docs.google.com/spreadsheets/d/1yDAaXNsi4Mr5FtRQL4tbmSdIzhx6_m4wkOD7IG-k_eo/edit#gid=0"", ""Maths!M:N""), 2, FALSE)"),"Explain the significance of the term ""principal"" in financial calculations and its role in various mathematical contexts.")</f>
        <v>Explain the significance of the term "principal" in financial calculations and its role in various mathematical contexts.</v>
      </c>
      <c r="M100" s="10" t="str">
        <f t="shared" si="2"/>
        <v>LU000461.003</v>
      </c>
      <c r="N100" s="10" t="str">
        <f ca="1">IFERROR(__xludf.DUMMYFUNCTION("VLOOKUP(M100, IMPORTRANGE(""https://docs.google.com/spreadsheets/d/1yDAaXNsi4Mr5FtRQL4tbmSdIzhx6_m4wkOD7IG-k_eo/edit#gid=0"", ""Maths!M:N""), 2, FALSE)"),"Identify the principal amount in a given financial scenario, along with other relevant details such as interest rate and time period.")</f>
        <v>Identify the principal amount in a given financial scenario, along with other relevant details such as interest rate and time period.</v>
      </c>
      <c r="O100" s="10" t="str">
        <f t="shared" si="3"/>
        <v>LU000461.004</v>
      </c>
      <c r="P100" s="10" t="str">
        <f ca="1">IFERROR(__xludf.DUMMYFUNCTION("VLOOKUP(O100, IMPORTRANGE(""https://docs.google.com/spreadsheets/d/1yDAaXNsi4Mr5FtRQL4tbmSdIzhx6_m4wkOD7IG-k_eo/edit#gid=0"", ""Maths!M:N""), 2, FALSE)"),"Analyse how variations in principal affect the resulting interest earned or paid in different financial situations.")</f>
        <v>Analyse how variations in principal affect the resulting interest earned or paid in different financial situations.</v>
      </c>
      <c r="Q100" s="10" t="str">
        <f t="shared" si="4"/>
        <v>LU000461.005</v>
      </c>
      <c r="R100" s="10" t="str">
        <f ca="1">IFERROR(__xludf.DUMMYFUNCTION("VLOOKUP(Q100, IMPORTRANGE(""https://docs.google.com/spreadsheets/d/1yDAaXNsi4Mr5FtRQL4tbmSdIzhx6_m4wkOD7IG-k_eo/edit#gid=0"", ""Maths!M:N""), 2, FALSE)"),"Compare two investment choices, each with a distinct principal and interest rate, and provide reasoning for which option offers better returns.")</f>
        <v>Compare two investment choices, each with a distinct principal and interest rate, and provide reasoning for which option offers better returns.</v>
      </c>
      <c r="S100" s="10" t="str">
        <f t="shared" si="5"/>
        <v>LU000461.006</v>
      </c>
      <c r="T100" s="10" t="str">
        <f ca="1">IFERROR(__xludf.DUMMYFUNCTION("VLOOKUP(S100, IMPORTRANGE(""https://docs.google.com/spreadsheets/d/1yDAaXNsi4Mr5FtRQL4tbmSdIzhx6_m4wkOD7IG-k_eo/edit#gid=0"", ""Maths!M:N""), 2, FALSE)"),"Create real-world scenarios where money is invested in a savings account with a specific principal, interest rate and time period to calculate the interest earned.")</f>
        <v>Create real-world scenarios where money is invested in a savings account with a specific principal, interest rate and time period to calculate the interest earned.</v>
      </c>
      <c r="U100" s="11">
        <f ca="1">IFERROR(__xludf.DUMMYFUNCTION("ArrayFormula(VLOOKUP(G100, IMPORTRANGE(""https://docs.google.com/spreadsheets/d/1p7R4vtkWt5VOBim4ltsDG9KTzSjrtKXsMtQGXPHyND0/edit#gid=795171502"", ""'Filter 30_05_2024'!A1:M2000""), {2, 3, 4, 5,6,7,8,9,10,11,12,13}, 0))"),4)</f>
        <v>4</v>
      </c>
      <c r="V100" s="11">
        <f ca="1">IFERROR(__xludf.DUMMYFUNCTION("""COMPUTED_VALUE"""),3)</f>
        <v>3</v>
      </c>
      <c r="W100" s="11">
        <f ca="1">IFERROR(__xludf.DUMMYFUNCTION("""COMPUTED_VALUE"""),2)</f>
        <v>2</v>
      </c>
      <c r="X100" s="11">
        <f ca="1">IFERROR(__xludf.DUMMYFUNCTION("""COMPUTED_VALUE"""),9)</f>
        <v>9</v>
      </c>
      <c r="Y100" s="11">
        <f ca="1">IFERROR(__xludf.DUMMYFUNCTION("""COMPUTED_VALUE"""),4)</f>
        <v>4</v>
      </c>
      <c r="Z100" s="12">
        <f ca="1">IFERROR(__xludf.DUMMYFUNCTION("""COMPUTED_VALUE"""),6)</f>
        <v>6</v>
      </c>
      <c r="AA100" s="12">
        <f ca="1">IFERROR(__xludf.DUMMYFUNCTION("""COMPUTED_VALUE"""),1)</f>
        <v>1</v>
      </c>
      <c r="AB100" s="12">
        <f ca="1">IFERROR(__xludf.DUMMYFUNCTION("""COMPUTED_VALUE"""),11)</f>
        <v>11</v>
      </c>
      <c r="AC100" s="12"/>
      <c r="AD100" s="12"/>
      <c r="AE100" s="12"/>
      <c r="AF100" s="12"/>
      <c r="AG100" s="13" t="str">
        <f ca="1">IFERROR(__xludf.DUMMYFUNCTION("ArrayFormula(VLOOKUP(G100, IMPORTRANGE(""https://docs.google.com/spreadsheets/d/1Co934fvtviyaRiMsrIlT05Jaq7iiYq07aLvRr35KA48/edit?gid=173865642#gid=173865642"", ""'G7_Maths_Pri_LU'!G2:V2000""), {3, 4, 5, 6, 7, 8, 9, 10, 11, 12, 13, 14, 15, 16}, 0))"),"LU000460")</f>
        <v>LU000460</v>
      </c>
      <c r="AH100" s="13" t="str">
        <f ca="1">IFERROR(__xludf.DUMMYFUNCTION("""COMPUTED_VALUE"""),"Definition of simple interest")</f>
        <v>Definition of simple interest</v>
      </c>
      <c r="AI100" s="13"/>
      <c r="AJ100" s="13"/>
      <c r="AK100" s="13"/>
      <c r="AL100" s="13"/>
      <c r="AM100" s="13"/>
      <c r="AN100" s="13"/>
      <c r="AO100" s="13"/>
      <c r="AP100" s="13"/>
      <c r="AQ100" s="13"/>
      <c r="AR100" s="13"/>
      <c r="AS100" s="13"/>
      <c r="AT100" s="13"/>
    </row>
    <row r="101" spans="1:46">
      <c r="A101" s="8" t="s">
        <v>247</v>
      </c>
      <c r="B101" s="8" t="s">
        <v>47</v>
      </c>
      <c r="C101" s="8" t="s">
        <v>416</v>
      </c>
      <c r="D101" s="8" t="s">
        <v>49</v>
      </c>
      <c r="E101" s="8" t="s">
        <v>534</v>
      </c>
      <c r="F101" s="9" t="s">
        <v>564</v>
      </c>
      <c r="G101" s="8" t="s">
        <v>565</v>
      </c>
      <c r="H101" s="8" t="str">
        <f ca="1">IFERROR(__xludf.DUMMYFUNCTION("VLOOKUP(G101, IMPORTRANGE(""https://docs.google.com/spreadsheets/d/14deopnvwcrKtEGCKuYXdUHJbeLDZlkiSSWWT0g7x2pM/edit#gid=999382323"", ""LU List Maths (Filter)!A:B""), 2, FALSE)"),"Definition of amount in simple interest")</f>
        <v>Definition of amount in simple interest</v>
      </c>
      <c r="I101" s="10" t="str">
        <f t="shared" si="0"/>
        <v>LU000462.001</v>
      </c>
      <c r="J101" s="10" t="str">
        <f ca="1">IFERROR(__xludf.DUMMYFUNCTION("VLOOKUP(I101, IMPORTRANGE(""https://docs.google.com/spreadsheets/d/1yDAaXNsi4Mr5FtRQL4tbmSdIzhx6_m4wkOD7IG-k_eo/edit#gid=0"", ""Maths!M:N""), 2, FALSE)"),"State the meaning of the term ""amount"" as used in simple interest calculations.")</f>
        <v>State the meaning of the term "amount" as used in simple interest calculations.</v>
      </c>
      <c r="K101" s="10" t="str">
        <f t="shared" si="1"/>
        <v>LU000462.002</v>
      </c>
      <c r="L101" s="10" t="str">
        <f ca="1">IFERROR(__xludf.DUMMYFUNCTION("VLOOKUP(K101, IMPORTRANGE(""https://docs.google.com/spreadsheets/d/1yDAaXNsi4Mr5FtRQL4tbmSdIzhx6_m4wkOD7IG-k_eo/edit#gid=0"", ""Maths!M:N""), 2, FALSE)"),"Explain the concept of ""amount"" in simple interest calculations and how it relates to the initial principal and earned interest.")</f>
        <v>Explain the concept of "amount" in simple interest calculations and how it relates to the initial principal and earned interest.</v>
      </c>
      <c r="M101" s="10" t="str">
        <f t="shared" si="2"/>
        <v>LU000462.003</v>
      </c>
      <c r="N101" s="10" t="str">
        <f ca="1">IFERROR(__xludf.DUMMYFUNCTION("VLOOKUP(M101, IMPORTRANGE(""https://docs.google.com/spreadsheets/d/1yDAaXNsi4Mr5FtRQL4tbmSdIzhx6_m4wkOD7IG-k_eo/edit#gid=0"", ""Maths!M:N""), 2, FALSE)"),"Calculate the total amount accrued in a simple interest calculation based on a given principal, interest rate and time period.")</f>
        <v>Calculate the total amount accrued in a simple interest calculation based on a given principal, interest rate and time period.</v>
      </c>
      <c r="O101" s="10" t="str">
        <f t="shared" si="3"/>
        <v>LU000462.004</v>
      </c>
      <c r="P101" s="10" t="str">
        <f ca="1">IFERROR(__xludf.DUMMYFUNCTION("VLOOKUP(O101, IMPORTRANGE(""https://docs.google.com/spreadsheets/d/1yDAaXNsi4Mr5FtRQL4tbmSdIzhx6_m4wkOD7IG-k_eo/edit#gid=0"", ""Maths!M:N""), 2, FALSE)"),"Analyse how changes in principal, interest rate, and time period influence the final amount in simple interest calculations.")</f>
        <v>Analyse how changes in principal, interest rate, and time period influence the final amount in simple interest calculations.</v>
      </c>
      <c r="Q101" s="10" t="str">
        <f t="shared" si="4"/>
        <v>LU000462.005</v>
      </c>
      <c r="R101" s="10" t="str">
        <f ca="1">IFERROR(__xludf.DUMMYFUNCTION("VLOOKUP(Q101, IMPORTRANGE(""https://docs.google.com/spreadsheets/d/1yDAaXNsi4Mr5FtRQL4tbmSdIzhx6_m4wkOD7IG-k_eo/edit#gid=0"", ""Maths!M:N""), 2, FALSE)"),"Evaluate the comparison between two investments with different principal amounts and interest rates, and determine which investment yields a higher total amount.")</f>
        <v>Evaluate the comparison between two investments with different principal amounts and interest rates, and determine which investment yields a higher total amount.</v>
      </c>
      <c r="S101" s="10" t="str">
        <f t="shared" si="5"/>
        <v>LU000462.006</v>
      </c>
      <c r="T101" s="10" t="str">
        <f ca="1">IFERROR(__xludf.DUMMYFUNCTION("VLOOKUP(S101, IMPORTRANGE(""https://docs.google.com/spreadsheets/d/1yDAaXNsi4Mr5FtRQL4tbmSdIzhx6_m4wkOD7IG-k_eo/edit#gid=0"", ""Maths!M:N""), 2, FALSE)"),"#N/A")</f>
        <v>#N/A</v>
      </c>
      <c r="U101" s="11">
        <f ca="1">IFERROR(__xludf.DUMMYFUNCTION("ArrayFormula(VLOOKUP(G101, IMPORTRANGE(""https://docs.google.com/spreadsheets/d/1p7R4vtkWt5VOBim4ltsDG9KTzSjrtKXsMtQGXPHyND0/edit#gid=795171502"", ""'Filter 30_05_2024'!A1:M2000""), {2, 3, 4, 5,6,7,8,9,10,11,12,13}, 0))"),2)</f>
        <v>2</v>
      </c>
      <c r="V101" s="11">
        <f ca="1">IFERROR(__xludf.DUMMYFUNCTION("""COMPUTED_VALUE"""),6)</f>
        <v>6</v>
      </c>
      <c r="W101" s="11">
        <f ca="1">IFERROR(__xludf.DUMMYFUNCTION("""COMPUTED_VALUE"""),2)</f>
        <v>2</v>
      </c>
      <c r="X101" s="11">
        <f ca="1">IFERROR(__xludf.DUMMYFUNCTION("""COMPUTED_VALUE"""),10)</f>
        <v>10</v>
      </c>
      <c r="Y101" s="11">
        <f ca="1">IFERROR(__xludf.DUMMYFUNCTION("""COMPUTED_VALUE"""),6)</f>
        <v>6</v>
      </c>
      <c r="Z101" s="12">
        <f ca="1">IFERROR(__xludf.DUMMYFUNCTION("""COMPUTED_VALUE"""),3)</f>
        <v>3</v>
      </c>
      <c r="AA101" s="12">
        <f ca="1">IFERROR(__xludf.DUMMYFUNCTION("""COMPUTED_VALUE"""),1)</f>
        <v>1</v>
      </c>
      <c r="AB101" s="12">
        <f ca="1">IFERROR(__xludf.DUMMYFUNCTION("""COMPUTED_VALUE"""),10)</f>
        <v>10</v>
      </c>
      <c r="AC101" s="12"/>
      <c r="AD101" s="12"/>
      <c r="AE101" s="12"/>
      <c r="AF101" s="12"/>
      <c r="AG101" s="13" t="str">
        <f ca="1">IFERROR(__xludf.DUMMYFUNCTION("ArrayFormula(VLOOKUP(G101, IMPORTRANGE(""https://docs.google.com/spreadsheets/d/1Co934fvtviyaRiMsrIlT05Jaq7iiYq07aLvRr35KA48/edit?gid=173865642#gid=173865642"", ""'G7_Maths_Pri_LU'!G2:V2000""), {3, 4, 5, 6, 7, 8, 9, 10, 11, 12, 13, 14, 15, 16}, 0))"),"LU000460")</f>
        <v>LU000460</v>
      </c>
      <c r="AH101" s="13" t="str">
        <f ca="1">IFERROR(__xludf.DUMMYFUNCTION("""COMPUTED_VALUE"""),"Definition of simple interest")</f>
        <v>Definition of simple interest</v>
      </c>
      <c r="AI101" s="13" t="str">
        <f ca="1">IFERROR(__xludf.DUMMYFUNCTION("""COMPUTED_VALUE"""),"LU000461")</f>
        <v>LU000461</v>
      </c>
      <c r="AJ101" s="13" t="str">
        <f ca="1">IFERROR(__xludf.DUMMYFUNCTION("""COMPUTED_VALUE"""),"Definition of principal")</f>
        <v>Definition of principal</v>
      </c>
      <c r="AK101" s="13"/>
      <c r="AL101" s="13"/>
      <c r="AM101" s="13"/>
      <c r="AN101" s="13"/>
      <c r="AO101" s="13"/>
      <c r="AP101" s="13"/>
      <c r="AQ101" s="13"/>
      <c r="AR101" s="13"/>
      <c r="AS101" s="13"/>
      <c r="AT101" s="13"/>
    </row>
    <row r="102" spans="1:46">
      <c r="A102" s="8" t="s">
        <v>247</v>
      </c>
      <c r="B102" s="8" t="s">
        <v>47</v>
      </c>
      <c r="C102" s="8" t="s">
        <v>416</v>
      </c>
      <c r="D102" s="8" t="s">
        <v>49</v>
      </c>
      <c r="E102" s="8" t="s">
        <v>534</v>
      </c>
      <c r="F102" s="9" t="s">
        <v>564</v>
      </c>
      <c r="G102" s="8" t="s">
        <v>566</v>
      </c>
      <c r="H102" s="8" t="str">
        <f ca="1">IFERROR(__xludf.DUMMYFUNCTION("VLOOKUP(G102, IMPORTRANGE(""https://docs.google.com/spreadsheets/d/14deopnvwcrKtEGCKuYXdUHJbeLDZlkiSSWWT0g7x2pM/edit#gid=999382323"", ""LU List Maths (Filter)!A:B""), 2, FALSE)"),"Definition of rate of interest")</f>
        <v>Definition of rate of interest</v>
      </c>
      <c r="I102" s="10" t="str">
        <f t="shared" si="0"/>
        <v>LU000463.001</v>
      </c>
      <c r="J102" s="10" t="str">
        <f ca="1">IFERROR(__xludf.DUMMYFUNCTION("VLOOKUP(I102, IMPORTRANGE(""https://docs.google.com/spreadsheets/d/1yDAaXNsi4Mr5FtRQL4tbmSdIzhx6_m4wkOD7IG-k_eo/edit#gid=0"", ""Maths!M:N""), 2, FALSE)"),"State the definition of the ""rate of interest"".")</f>
        <v>State the definition of the "rate of interest".</v>
      </c>
      <c r="K102" s="10" t="str">
        <f t="shared" si="1"/>
        <v>LU000463.002</v>
      </c>
      <c r="L102" s="10" t="str">
        <f ca="1">IFERROR(__xludf.DUMMYFUNCTION("VLOOKUP(K102, IMPORTRANGE(""https://docs.google.com/spreadsheets/d/1yDAaXNsi4Mr5FtRQL4tbmSdIzhx6_m4wkOD7IG-k_eo/edit#gid=0"", ""Maths!M:N""), 2, FALSE)"),"Explain the concept of the ""rate of interest"" and its role in determining the interest earned or paid.")</f>
        <v>Explain the concept of the "rate of interest" and its role in determining the interest earned or paid.</v>
      </c>
      <c r="M102" s="10" t="str">
        <f t="shared" si="2"/>
        <v>LU000463.003</v>
      </c>
      <c r="N102" s="10" t="str">
        <f ca="1">IFERROR(__xludf.DUMMYFUNCTION("VLOOKUP(M102, IMPORTRANGE(""https://docs.google.com/spreadsheets/d/1yDAaXNsi4Mr5FtRQL4tbmSdIzhx6_m4wkOD7IG-k_eo/edit#gid=0"", ""Maths!M:N""), 2, FALSE)"),"Calculate the rate of interest given principal, amount, and the time period using the simple interest formula.")</f>
        <v>Calculate the rate of interest given principal, amount, and the time period using the simple interest formula.</v>
      </c>
      <c r="O102" s="10" t="str">
        <f t="shared" si="3"/>
        <v>LU000463.004</v>
      </c>
      <c r="P102" s="10" t="str">
        <f ca="1">IFERROR(__xludf.DUMMYFUNCTION("VLOOKUP(O102, IMPORTRANGE(""https://docs.google.com/spreadsheets/d/1yDAaXNsi4Mr5FtRQL4tbmSdIzhx6_m4wkOD7IG-k_eo/edit#gid=0"", ""Maths!M:N""), 2, FALSE)"),"Analyze how variations in the rate of interest impact the resulting interest earned or paid in simple interest calculations.")</f>
        <v>Analyze how variations in the rate of interest impact the resulting interest earned or paid in simple interest calculations.</v>
      </c>
      <c r="Q102" s="10" t="str">
        <f t="shared" si="4"/>
        <v>LU000463.005</v>
      </c>
      <c r="R102" s="10" t="str">
        <f ca="1">IFERROR(__xludf.DUMMYFUNCTION("VLOOKUP(Q102, IMPORTRANGE(""https://docs.google.com/spreadsheets/d/1yDAaXNsi4Mr5FtRQL4tbmSdIzhx6_m4wkOD7IG-k_eo/edit#gid=0"", ""Maths!M:N""), 2, FALSE)"),"Compare two investment options, each with distinct interest rates, and provide reasoning for which option generates higher interest earnings.")</f>
        <v>Compare two investment options, each with distinct interest rates, and provide reasoning for which option generates higher interest earnings.</v>
      </c>
      <c r="S102" s="10" t="str">
        <f t="shared" si="5"/>
        <v>LU000463.006</v>
      </c>
      <c r="T102" s="10" t="str">
        <f ca="1">IFERROR(__xludf.DUMMYFUNCTION("VLOOKUP(S102, IMPORTRANGE(""https://docs.google.com/spreadsheets/d/1yDAaXNsi4Mr5FtRQL4tbmSdIzhx6_m4wkOD7IG-k_eo/edit#gid=0"", ""Maths!M:N""), 2, FALSE)"),"#N/A")</f>
        <v>#N/A</v>
      </c>
      <c r="U102" s="11">
        <f ca="1">IFERROR(__xludf.DUMMYFUNCTION("ArrayFormula(VLOOKUP(G102, IMPORTRANGE(""https://docs.google.com/spreadsheets/d/1p7R4vtkWt5VOBim4ltsDG9KTzSjrtKXsMtQGXPHyND0/edit#gid=795171502"", ""'Filter 30_05_2024'!A1:M2000""), {2, 3, 4, 5,6,7,8,9,10,11,12,13}, 0))"),4)</f>
        <v>4</v>
      </c>
      <c r="V102" s="11">
        <f ca="1">IFERROR(__xludf.DUMMYFUNCTION("""COMPUTED_VALUE"""),5)</f>
        <v>5</v>
      </c>
      <c r="W102" s="11">
        <f ca="1">IFERROR(__xludf.DUMMYFUNCTION("""COMPUTED_VALUE"""),2)</f>
        <v>2</v>
      </c>
      <c r="X102" s="11">
        <f ca="1">IFERROR(__xludf.DUMMYFUNCTION("""COMPUTED_VALUE"""),11)</f>
        <v>11</v>
      </c>
      <c r="Y102" s="11">
        <f ca="1">IFERROR(__xludf.DUMMYFUNCTION("""COMPUTED_VALUE"""),4)</f>
        <v>4</v>
      </c>
      <c r="Z102" s="12">
        <f ca="1">IFERROR(__xludf.DUMMYFUNCTION("""COMPUTED_VALUE"""),4)</f>
        <v>4</v>
      </c>
      <c r="AA102" s="12">
        <f ca="1">IFERROR(__xludf.DUMMYFUNCTION("""COMPUTED_VALUE"""),1)</f>
        <v>1</v>
      </c>
      <c r="AB102" s="12">
        <f ca="1">IFERROR(__xludf.DUMMYFUNCTION("""COMPUTED_VALUE"""),9)</f>
        <v>9</v>
      </c>
      <c r="AC102" s="12"/>
      <c r="AD102" s="12"/>
      <c r="AE102" s="12"/>
      <c r="AF102" s="12"/>
      <c r="AG102" s="13" t="str">
        <f ca="1">IFERROR(__xludf.DUMMYFUNCTION("ArrayFormula(VLOOKUP(G102, IMPORTRANGE(""https://docs.google.com/spreadsheets/d/1Co934fvtviyaRiMsrIlT05Jaq7iiYq07aLvRr35KA48/edit?gid=173865642#gid=173865642"", ""'G7_Maths_Pri_LU'!G2:V2000""), {3, 4, 5, 6, 7, 8, 9, 10, 11, 12, 13, 14, 15, 16}, 0))"),"LU000462")</f>
        <v>LU000462</v>
      </c>
      <c r="AH102" s="13" t="str">
        <f ca="1">IFERROR(__xludf.DUMMYFUNCTION("""COMPUTED_VALUE"""),"Definition of amount in simple interest")</f>
        <v>Definition of amount in simple interest</v>
      </c>
      <c r="AI102" s="13"/>
      <c r="AJ102" s="13"/>
      <c r="AK102" s="13" t="str">
        <f ca="1">IFERROR(__xludf.DUMMYFUNCTION("""COMPUTED_VALUE"""),"LU000462")</f>
        <v>LU000462</v>
      </c>
      <c r="AL102" s="13" t="str">
        <f ca="1">IFERROR(__xludf.DUMMYFUNCTION("""COMPUTED_VALUE"""),"Definition of amount in simple interest")</f>
        <v>Definition of amount in simple interest</v>
      </c>
      <c r="AM102" s="13"/>
      <c r="AN102" s="13"/>
      <c r="AO102" s="13"/>
      <c r="AP102" s="13"/>
      <c r="AQ102" s="13"/>
      <c r="AR102" s="13"/>
      <c r="AS102" s="13"/>
      <c r="AT102" s="13"/>
    </row>
    <row r="103" spans="1:46">
      <c r="A103" s="8" t="s">
        <v>247</v>
      </c>
      <c r="B103" s="8" t="s">
        <v>47</v>
      </c>
      <c r="C103" s="8" t="s">
        <v>416</v>
      </c>
      <c r="D103" s="8" t="s">
        <v>49</v>
      </c>
      <c r="E103" s="8" t="s">
        <v>567</v>
      </c>
      <c r="F103" s="8" t="s">
        <v>568</v>
      </c>
      <c r="G103" s="8" t="s">
        <v>569</v>
      </c>
      <c r="H103" s="8" t="str">
        <f ca="1">IFERROR(__xludf.DUMMYFUNCTION("VLOOKUP(G103, IMPORTRANGE(""https://docs.google.com/spreadsheets/d/14deopnvwcrKtEGCKuYXdUHJbeLDZlkiSSWWT0g7x2pM/edit#gid=999382323"", ""LU List Maths (Filter)!A:B""), 2, FALSE)"),"Definition of rational numbers")</f>
        <v>Definition of rational numbers</v>
      </c>
      <c r="I103" s="10" t="str">
        <f t="shared" si="0"/>
        <v>LU000464.001</v>
      </c>
      <c r="J103" s="10" t="str">
        <f ca="1">IFERROR(__xludf.DUMMYFUNCTION("VLOOKUP(I103, IMPORTRANGE(""https://docs.google.com/spreadsheets/d/1yDAaXNsi4Mr5FtRQL4tbmSdIzhx6_m4wkOD7IG-k_eo/edit#gid=0"", ""Maths!M:N""), 2, FALSE)"),"State that rational numbers are numbers that can be expressed as fractions, where the numerator and denominator are integers and the denominator is not zero.")</f>
        <v>State that rational numbers are numbers that can be expressed as fractions, where the numerator and denominator are integers and the denominator is not zero.</v>
      </c>
      <c r="K103" s="10" t="str">
        <f t="shared" si="1"/>
        <v>LU000464.002</v>
      </c>
      <c r="L103" s="10" t="str">
        <f ca="1">IFERROR(__xludf.DUMMYFUNCTION("VLOOKUP(K103, IMPORTRANGE(""https://docs.google.com/spreadsheets/d/1yDAaXNsi4Mr5FtRQL4tbmSdIzhx6_m4wkOD7IG-k_eo/edit#gid=0"", ""Maths!M:N""), 2, FALSE)"),"Explain why fractions and integers are considered rational numbers.")</f>
        <v>Explain why fractions and integers are considered rational numbers.</v>
      </c>
      <c r="M103" s="10" t="str">
        <f t="shared" si="2"/>
        <v>LU000464.003</v>
      </c>
      <c r="N103" s="10" t="str">
        <f ca="1">IFERROR(__xludf.DUMMYFUNCTION("VLOOKUP(M103, IMPORTRANGE(""https://docs.google.com/spreadsheets/d/1yDAaXNsi4Mr5FtRQL4tbmSdIzhx6_m4wkOD7IG-k_eo/edit#gid=0"", ""Maths!M:N""), 2, FALSE)"),"Solve problems involving the classification of numbers as rational or not.")</f>
        <v>Solve problems involving the classification of numbers as rational or not.</v>
      </c>
      <c r="O103" s="10" t="str">
        <f t="shared" si="3"/>
        <v>LU000464.004</v>
      </c>
      <c r="P103" s="10" t="str">
        <f ca="1">IFERROR(__xludf.DUMMYFUNCTION("VLOOKUP(O103, IMPORTRANGE(""https://docs.google.com/spreadsheets/d/1yDAaXNsi4Mr5FtRQL4tbmSdIzhx6_m4wkOD7IG-k_eo/edit#gid=0"", ""Maths!M:N""), 2, FALSE)"),"Compare and contrast rational numbers with irrational numbers, providing examples of each.")</f>
        <v>Compare and contrast rational numbers with irrational numbers, providing examples of each.</v>
      </c>
      <c r="Q103" s="10" t="str">
        <f t="shared" si="4"/>
        <v>LU000464.005</v>
      </c>
      <c r="R103" s="10" t="str">
        <f ca="1">IFERROR(__xludf.DUMMYFUNCTION("VLOOKUP(Q103, IMPORTRANGE(""https://docs.google.com/spreadsheets/d/1yDAaXNsi4Mr5FtRQL4tbmSdIzhx6_m4wkOD7IG-k_eo/edit#gid=0"", ""Maths!M:N""), 2, FALSE)"),"Evaluate the importance of rational numbers in real-life scenarios.")</f>
        <v>Evaluate the importance of rational numbers in real-life scenarios.</v>
      </c>
      <c r="S103" s="10" t="str">
        <f t="shared" si="5"/>
        <v>LU000464.006</v>
      </c>
      <c r="T103" s="10" t="str">
        <f ca="1">IFERROR(__xludf.DUMMYFUNCTION("VLOOKUP(S103, IMPORTRANGE(""https://docs.google.com/spreadsheets/d/1yDAaXNsi4Mr5FtRQL4tbmSdIzhx6_m4wkOD7IG-k_eo/edit#gid=0"", ""Maths!M:N""), 2, FALSE)"),"Create a visual representation of a rational number.")</f>
        <v>Create a visual representation of a rational number.</v>
      </c>
      <c r="U103" s="11">
        <f ca="1">IFERROR(__xludf.DUMMYFUNCTION("ArrayFormula(VLOOKUP(G103, IMPORTRANGE(""https://docs.google.com/spreadsheets/d/1p7R4vtkWt5VOBim4ltsDG9KTzSjrtKXsMtQGXPHyND0/edit#gid=795171502"", ""'Filter 30_05_2024'!A1:M2000""), {2, 3, 4, 5,6,7,8,9,10,11,12,13}, 0))"),12)</f>
        <v>12</v>
      </c>
      <c r="V103" s="11">
        <f ca="1">IFERROR(__xludf.DUMMYFUNCTION("""COMPUTED_VALUE"""),5)</f>
        <v>5</v>
      </c>
      <c r="W103" s="11">
        <f ca="1">IFERROR(__xludf.DUMMYFUNCTION("""COMPUTED_VALUE"""),15)</f>
        <v>15</v>
      </c>
      <c r="X103" s="11">
        <f ca="1">IFERROR(__xludf.DUMMYFUNCTION("""COMPUTED_VALUE"""),32)</f>
        <v>32</v>
      </c>
      <c r="Y103" s="11">
        <f ca="1">IFERROR(__xludf.DUMMYFUNCTION("""COMPUTED_VALUE"""),5)</f>
        <v>5</v>
      </c>
      <c r="Z103" s="12">
        <f ca="1">IFERROR(__xludf.DUMMYFUNCTION("""COMPUTED_VALUE"""),4)</f>
        <v>4</v>
      </c>
      <c r="AA103" s="12">
        <f ca="1">IFERROR(__xludf.DUMMYFUNCTION("""COMPUTED_VALUE"""),6)</f>
        <v>6</v>
      </c>
      <c r="AB103" s="12">
        <f ca="1">IFERROR(__xludf.DUMMYFUNCTION("""COMPUTED_VALUE"""),15)</f>
        <v>15</v>
      </c>
      <c r="AC103" s="12"/>
      <c r="AD103" s="12"/>
      <c r="AE103" s="12"/>
      <c r="AF103" s="12"/>
      <c r="AG103" s="13" t="str">
        <f ca="1">IFERROR(__xludf.DUMMYFUNCTION("ArrayFormula(VLOOKUP(G103, IMPORTRANGE(""https://docs.google.com/spreadsheets/d/1Co934fvtviyaRiMsrIlT05Jaq7iiYq07aLvRr35KA48/edit?gid=173865642#gid=173865642"", ""'G7_Maths_Pri_LU'!G2:V2000""), {3, 4, 5, 6, 7, 8, 9, 10, 11, 12, 13, 14, 15, 16}, 0))"),"LU000342")</f>
        <v>LU000342</v>
      </c>
      <c r="AH103" s="13" t="str">
        <f ca="1">IFERROR(__xludf.DUMMYFUNCTION("""COMPUTED_VALUE"""),"Definition of ratio")</f>
        <v>Definition of ratio</v>
      </c>
      <c r="AI103" s="13" t="str">
        <f ca="1">IFERROR(__xludf.DUMMYFUNCTION("""COMPUTED_VALUE"""),"LU000278")</f>
        <v>LU000278</v>
      </c>
      <c r="AJ103" s="13" t="str">
        <f ca="1">IFERROR(__xludf.DUMMYFUNCTION("""COMPUTED_VALUE"""),"Definition of fraction")</f>
        <v>Definition of fraction</v>
      </c>
      <c r="AK103" s="13" t="str">
        <f ca="1">IFERROR(__xludf.DUMMYFUNCTION("""COMPUTED_VALUE"""),"LU000265")</f>
        <v>LU000265</v>
      </c>
      <c r="AL103" s="13" t="str">
        <f ca="1">IFERROR(__xludf.DUMMYFUNCTION("""COMPUTED_VALUE"""),"Definition of integers")</f>
        <v>Definition of integers</v>
      </c>
      <c r="AM103" s="13"/>
      <c r="AN103" s="13"/>
      <c r="AO103" s="13"/>
      <c r="AP103" s="13"/>
      <c r="AQ103" s="13"/>
      <c r="AR103" s="13"/>
      <c r="AS103" s="13"/>
      <c r="AT103" s="13"/>
    </row>
    <row r="104" spans="1:46">
      <c r="A104" s="8" t="s">
        <v>247</v>
      </c>
      <c r="B104" s="8" t="s">
        <v>47</v>
      </c>
      <c r="C104" s="8" t="s">
        <v>416</v>
      </c>
      <c r="D104" s="8" t="s">
        <v>49</v>
      </c>
      <c r="E104" s="8" t="s">
        <v>567</v>
      </c>
      <c r="F104" s="8" t="s">
        <v>568</v>
      </c>
      <c r="G104" s="8" t="s">
        <v>570</v>
      </c>
      <c r="H104" s="8" t="str">
        <f ca="1">IFERROR(__xludf.DUMMYFUNCTION("VLOOKUP(G104, IMPORTRANGE(""https://docs.google.com/spreadsheets/d/14deopnvwcrKtEGCKuYXdUHJbeLDZlkiSSWWT0g7x2pM/edit#gid=999382323"", ""LU List Maths (Filter)!A:B""), 2, FALSE)"),"Relation between fractional numbers and rational numbers")</f>
        <v>Relation between fractional numbers and rational numbers</v>
      </c>
      <c r="I104" s="10" t="str">
        <f t="shared" si="0"/>
        <v>LU000465.001</v>
      </c>
      <c r="J104" s="10" t="str">
        <f ca="1">IFERROR(__xludf.DUMMYFUNCTION("VLOOKUP(I104, IMPORTRANGE(""https://docs.google.com/spreadsheets/d/1yDAaXNsi4Mr5FtRQL4tbmSdIzhx6_m4wkOD7IG-k_eo/edit#gid=0"", ""Maths!M:N""), 2, FALSE)"),"List the definitions of fractional numbers and rational numbers.")</f>
        <v>List the definitions of fractional numbers and rational numbers.</v>
      </c>
      <c r="K104" s="10" t="str">
        <f t="shared" si="1"/>
        <v>LU000465.002</v>
      </c>
      <c r="L104" s="10" t="str">
        <f ca="1">IFERROR(__xludf.DUMMYFUNCTION("VLOOKUP(K104, IMPORTRANGE(""https://docs.google.com/spreadsheets/d/1yDAaXNsi4Mr5FtRQL4tbmSdIzhx6_m4wkOD7IG-k_eo/edit#gid=0"", ""Maths!M:N""), 2, FALSE)"),"Explain the connection between fractional numbers and rational numbers.")</f>
        <v>Explain the connection between fractional numbers and rational numbers.</v>
      </c>
      <c r="M104" s="10" t="str">
        <f t="shared" si="2"/>
        <v>LU000465.003</v>
      </c>
      <c r="N104" s="10" t="str">
        <f ca="1">IFERROR(__xludf.DUMMYFUNCTION("VLOOKUP(M104, IMPORTRANGE(""https://docs.google.com/spreadsheets/d/1yDAaXNsi4Mr5FtRQL4tbmSdIzhx6_m4wkOD7IG-k_eo/edit#gid=0"", ""Maths!M:N""), 2, FALSE)"),"Identify examples of fractional numbers that are also rational numbers.")</f>
        <v>Identify examples of fractional numbers that are also rational numbers.</v>
      </c>
      <c r="O104" s="10" t="str">
        <f t="shared" si="3"/>
        <v>LU000465.004</v>
      </c>
      <c r="P104" s="10" t="str">
        <f ca="1">IFERROR(__xludf.DUMMYFUNCTION("VLOOKUP(O104, IMPORTRANGE(""https://docs.google.com/spreadsheets/d/1yDAaXNsi4Mr5FtRQL4tbmSdIzhx6_m4wkOD7IG-k_eo/edit#gid=0"", ""Maths!M:N""), 2, FALSE)"),"Examine how proper fractions are rational numbers that represent values between 0 and 1, and provide reasoning.")</f>
        <v>Examine how proper fractions are rational numbers that represent values between 0 and 1, and provide reasoning.</v>
      </c>
      <c r="Q104" s="10" t="str">
        <f t="shared" si="4"/>
        <v>LU000465.005</v>
      </c>
      <c r="R104" s="10" t="str">
        <f ca="1">IFERROR(__xludf.DUMMYFUNCTION("VLOOKUP(Q104, IMPORTRANGE(""https://docs.google.com/spreadsheets/d/1yDAaXNsi4Mr5FtRQL4tbmSdIzhx6_m4wkOD7IG-k_eo/edit#gid=0"", ""Maths!M:N""), 2, FALSE)"),"Appraise the relevance of understanding the connection between fractional and rational numbers for academic and real-life applications.")</f>
        <v>Appraise the relevance of understanding the connection between fractional and rational numbers for academic and real-life applications.</v>
      </c>
      <c r="S104" s="10" t="str">
        <f t="shared" si="5"/>
        <v>LU000465.006</v>
      </c>
      <c r="T104" s="10" t="str">
        <f ca="1">IFERROR(__xludf.DUMMYFUNCTION("VLOOKUP(S104, IMPORTRANGE(""https://docs.google.com/spreadsheets/d/1yDAaXNsi4Mr5FtRQL4tbmSdIzhx6_m4wkOD7IG-k_eo/edit#gid=0"", ""Maths!M:N""), 2, FALSE)"),"Create a diagram illustrating the overlap between fractional numbers and rational numbers.")</f>
        <v>Create a diagram illustrating the overlap between fractional numbers and rational numbers.</v>
      </c>
      <c r="U104" s="11">
        <f ca="1">IFERROR(__xludf.DUMMYFUNCTION("ArrayFormula(VLOOKUP(G104, IMPORTRANGE(""https://docs.google.com/spreadsheets/d/1p7R4vtkWt5VOBim4ltsDG9KTzSjrtKXsMtQGXPHyND0/edit#gid=795171502"", ""'Filter 30_05_2024'!A1:M2000""), {2, 3, 4, 5,6,7,8,9,10,11,12,13}, 0))"),4)</f>
        <v>4</v>
      </c>
      <c r="V104" s="11">
        <f ca="1">IFERROR(__xludf.DUMMYFUNCTION("""COMPUTED_VALUE"""),6)</f>
        <v>6</v>
      </c>
      <c r="W104" s="11">
        <f ca="1">IFERROR(__xludf.DUMMYFUNCTION("""COMPUTED_VALUE"""),2)</f>
        <v>2</v>
      </c>
      <c r="X104" s="11">
        <f ca="1">IFERROR(__xludf.DUMMYFUNCTION("""COMPUTED_VALUE"""),12)</f>
        <v>12</v>
      </c>
      <c r="Y104" s="11">
        <f ca="1">IFERROR(__xludf.DUMMYFUNCTION("""COMPUTED_VALUE"""),4)</f>
        <v>4</v>
      </c>
      <c r="Z104" s="12">
        <f ca="1">IFERROR(__xludf.DUMMYFUNCTION("""COMPUTED_VALUE"""),3)</f>
        <v>3</v>
      </c>
      <c r="AA104" s="12">
        <f ca="1">IFERROR(__xludf.DUMMYFUNCTION("""COMPUTED_VALUE"""),1)</f>
        <v>1</v>
      </c>
      <c r="AB104" s="12">
        <f ca="1">IFERROR(__xludf.DUMMYFUNCTION("""COMPUTED_VALUE"""),8)</f>
        <v>8</v>
      </c>
      <c r="AC104" s="12"/>
      <c r="AD104" s="12"/>
      <c r="AE104" s="12"/>
      <c r="AF104" s="12"/>
      <c r="AG104" s="13" t="str">
        <f ca="1">IFERROR(__xludf.DUMMYFUNCTION("ArrayFormula(VLOOKUP(G104, IMPORTRANGE(""https://docs.google.com/spreadsheets/d/1Co934fvtviyaRiMsrIlT05Jaq7iiYq07aLvRr35KA48/edit?gid=173865642#gid=173865642"", ""'G7_Maths_Pri_LU'!G2:V2000""), {3, 4, 5, 6, 7, 8, 9, 10, 11, 12, 13, 14, 15, 16}, 0))"),"LU000278")</f>
        <v>LU000278</v>
      </c>
      <c r="AH104" s="13" t="str">
        <f ca="1">IFERROR(__xludf.DUMMYFUNCTION("""COMPUTED_VALUE"""),"Definition of fraction")</f>
        <v>Definition of fraction</v>
      </c>
      <c r="AI104" s="13" t="str">
        <f ca="1">IFERROR(__xludf.DUMMYFUNCTION("""COMPUTED_VALUE"""),"LU000464")</f>
        <v>LU000464</v>
      </c>
      <c r="AJ104" s="13" t="str">
        <f ca="1">IFERROR(__xludf.DUMMYFUNCTION("""COMPUTED_VALUE"""),"Definition of rational numbers")</f>
        <v>Definition of rational numbers</v>
      </c>
      <c r="AK104" s="13" t="str">
        <f ca="1">IFERROR(__xludf.DUMMYFUNCTION("""COMPUTED_VALUE"""),"LU000265")</f>
        <v>LU000265</v>
      </c>
      <c r="AL104" s="13" t="str">
        <f ca="1">IFERROR(__xludf.DUMMYFUNCTION("""COMPUTED_VALUE"""),"Definition of integers")</f>
        <v>Definition of integers</v>
      </c>
      <c r="AM104" s="13"/>
      <c r="AN104" s="13"/>
      <c r="AO104" s="13"/>
      <c r="AP104" s="13"/>
      <c r="AQ104" s="13"/>
      <c r="AR104" s="13"/>
      <c r="AS104" s="13"/>
      <c r="AT104" s="13"/>
    </row>
    <row r="105" spans="1:46">
      <c r="A105" s="8" t="s">
        <v>247</v>
      </c>
      <c r="B105" s="8" t="s">
        <v>47</v>
      </c>
      <c r="C105" s="8" t="s">
        <v>416</v>
      </c>
      <c r="D105" s="8" t="s">
        <v>49</v>
      </c>
      <c r="E105" s="8" t="s">
        <v>567</v>
      </c>
      <c r="F105" s="8" t="s">
        <v>568</v>
      </c>
      <c r="G105" s="8" t="s">
        <v>571</v>
      </c>
      <c r="H105" s="8" t="str">
        <f ca="1">IFERROR(__xludf.DUMMYFUNCTION("VLOOKUP(G105, IMPORTRANGE(""https://docs.google.com/spreadsheets/d/14deopnvwcrKtEGCKuYXdUHJbeLDZlkiSSWWT0g7x2pM/edit#gid=999382323"", ""LU List Maths (Filter)!A:B""), 2, FALSE)"),"Relation between integers and rational numbers")</f>
        <v>Relation between integers and rational numbers</v>
      </c>
      <c r="I105" s="10" t="str">
        <f t="shared" si="0"/>
        <v>LU000466.001</v>
      </c>
      <c r="J105" s="10" t="str">
        <f ca="1">IFERROR(__xludf.DUMMYFUNCTION("VLOOKUP(I105, IMPORTRANGE(""https://docs.google.com/spreadsheets/d/1yDAaXNsi4Mr5FtRQL4tbmSdIzhx6_m4wkOD7IG-k_eo/edit#gid=0"", ""Maths!M:N""), 2, FALSE)"),"State the definitions of integers and rational numbers")</f>
        <v>State the definitions of integers and rational numbers</v>
      </c>
      <c r="K105" s="10" t="str">
        <f t="shared" si="1"/>
        <v>LU000466.002</v>
      </c>
      <c r="L105" s="10" t="str">
        <f ca="1">IFERROR(__xludf.DUMMYFUNCTION("VLOOKUP(K105, IMPORTRANGE(""https://docs.google.com/spreadsheets/d/1yDAaXNsi4Mr5FtRQL4tbmSdIzhx6_m4wkOD7IG-k_eo/edit#gid=0"", ""Maths!M:N""), 2, FALSE)"),"Explain how integers are a subset of rational numbers.")</f>
        <v>Explain how integers are a subset of rational numbers.</v>
      </c>
      <c r="M105" s="10" t="str">
        <f t="shared" si="2"/>
        <v>LU000466.003</v>
      </c>
      <c r="N105" s="10" t="str">
        <f ca="1">IFERROR(__xludf.DUMMYFUNCTION("VLOOKUP(M105, IMPORTRANGE(""https://docs.google.com/spreadsheets/d/1yDAaXNsi4Mr5FtRQL4tbmSdIzhx6_m4wkOD7IG-k_eo/edit#gid=0"", ""Maths!M:N""), 2, FALSE)"),"Demonstrate the representation of integers as rational numbers")</f>
        <v>Demonstrate the representation of integers as rational numbers</v>
      </c>
      <c r="O105" s="10" t="str">
        <f t="shared" si="3"/>
        <v>LU000466.004</v>
      </c>
      <c r="P105" s="10" t="str">
        <f ca="1">IFERROR(__xludf.DUMMYFUNCTION("VLOOKUP(O105, IMPORTRANGE(""https://docs.google.com/spreadsheets/d/1yDAaXNsi4Mr5FtRQL4tbmSdIzhx6_m4wkOD7IG-k_eo/edit#gid=0"", ""Maths!M:N""), 2, FALSE)"),"Compare and contrast integers and other rational numbers in terms of their characteristics and mathematical properties.")</f>
        <v>Compare and contrast integers and other rational numbers in terms of their characteristics and mathematical properties.</v>
      </c>
      <c r="Q105" s="10" t="str">
        <f t="shared" si="4"/>
        <v>LU000466.005</v>
      </c>
      <c r="R105" s="10" t="str">
        <f ca="1">IFERROR(__xludf.DUMMYFUNCTION("VLOOKUP(Q105, IMPORTRANGE(""https://docs.google.com/spreadsheets/d/1yDAaXNsi4Mr5FtRQL4tbmSdIzhx6_m4wkOD7IG-k_eo/edit#gid=0"", ""Maths!M:N""), 2, FALSE)"),"Assess the significance of understanding the relationship between integers and rational numbers for problem-solving and real-world applications.")</f>
        <v>Assess the significance of understanding the relationship between integers and rational numbers for problem-solving and real-world applications.</v>
      </c>
      <c r="S105" s="10" t="str">
        <f t="shared" si="5"/>
        <v>LU000466.006</v>
      </c>
      <c r="T105" s="10" t="str">
        <f ca="1">IFERROR(__xludf.DUMMYFUNCTION("VLOOKUP(S105, IMPORTRANGE(""https://docs.google.com/spreadsheets/d/1yDAaXNsi4Mr5FtRQL4tbmSdIzhx6_m4wkOD7IG-k_eo/edit#gid=0"", ""Maths!M:N""), 2, FALSE)"),"#N/A")</f>
        <v>#N/A</v>
      </c>
      <c r="U105" s="11">
        <f ca="1">IFERROR(__xludf.DUMMYFUNCTION("ArrayFormula(VLOOKUP(G105, IMPORTRANGE(""https://docs.google.com/spreadsheets/d/1p7R4vtkWt5VOBim4ltsDG9KTzSjrtKXsMtQGXPHyND0/edit#gid=795171502"", ""'Filter 30_05_2024'!A1:M2000""), {2, 3, 4, 5,6,7,8,9,10,11,12,13}, 0))"),4)</f>
        <v>4</v>
      </c>
      <c r="V105" s="11">
        <f ca="1">IFERROR(__xludf.DUMMYFUNCTION("""COMPUTED_VALUE"""),6)</f>
        <v>6</v>
      </c>
      <c r="W105" s="11">
        <f ca="1">IFERROR(__xludf.DUMMYFUNCTION("""COMPUTED_VALUE"""),2)</f>
        <v>2</v>
      </c>
      <c r="X105" s="11">
        <f ca="1">IFERROR(__xludf.DUMMYFUNCTION("""COMPUTED_VALUE"""),12)</f>
        <v>12</v>
      </c>
      <c r="Y105" s="11">
        <f ca="1">IFERROR(__xludf.DUMMYFUNCTION("""COMPUTED_VALUE"""),4)</f>
        <v>4</v>
      </c>
      <c r="Z105" s="12">
        <f ca="1">IFERROR(__xludf.DUMMYFUNCTION("""COMPUTED_VALUE"""),3)</f>
        <v>3</v>
      </c>
      <c r="AA105" s="12">
        <f ca="1">IFERROR(__xludf.DUMMYFUNCTION("""COMPUTED_VALUE"""),1)</f>
        <v>1</v>
      </c>
      <c r="AB105" s="12">
        <f ca="1">IFERROR(__xludf.DUMMYFUNCTION("""COMPUTED_VALUE"""),8)</f>
        <v>8</v>
      </c>
      <c r="AC105" s="12"/>
      <c r="AD105" s="12"/>
      <c r="AE105" s="12"/>
      <c r="AF105" s="12"/>
      <c r="AG105" s="13" t="str">
        <f ca="1">IFERROR(__xludf.DUMMYFUNCTION("ArrayFormula(VLOOKUP(G105, IMPORTRANGE(""https://docs.google.com/spreadsheets/d/1Co934fvtviyaRiMsrIlT05Jaq7iiYq07aLvRr35KA48/edit?gid=173865642#gid=173865642"", ""'G7_Maths_Pri_LU'!G2:V2000""), {3, 4, 5, 6, 7, 8, 9, 10, 11, 12, 13, 14, 15, 16}, 0))"),"LU000265")</f>
        <v>LU000265</v>
      </c>
      <c r="AH105" s="13" t="str">
        <f ca="1">IFERROR(__xludf.DUMMYFUNCTION("""COMPUTED_VALUE"""),"Definition of integers")</f>
        <v>Definition of integers</v>
      </c>
      <c r="AI105" s="13" t="str">
        <f ca="1">IFERROR(__xludf.DUMMYFUNCTION("""COMPUTED_VALUE"""),"LU000464")</f>
        <v>LU000464</v>
      </c>
      <c r="AJ105" s="13" t="str">
        <f ca="1">IFERROR(__xludf.DUMMYFUNCTION("""COMPUTED_VALUE"""),"Definition of rational numbers")</f>
        <v>Definition of rational numbers</v>
      </c>
      <c r="AK105" s="13"/>
      <c r="AL105" s="13"/>
      <c r="AM105" s="13"/>
      <c r="AN105" s="13"/>
      <c r="AO105" s="13"/>
      <c r="AP105" s="13"/>
      <c r="AQ105" s="13"/>
      <c r="AR105" s="13"/>
      <c r="AS105" s="13"/>
      <c r="AT105" s="13"/>
    </row>
    <row r="106" spans="1:46">
      <c r="A106" s="8" t="s">
        <v>247</v>
      </c>
      <c r="B106" s="8" t="s">
        <v>47</v>
      </c>
      <c r="C106" s="8" t="s">
        <v>416</v>
      </c>
      <c r="D106" s="8" t="s">
        <v>49</v>
      </c>
      <c r="E106" s="8" t="s">
        <v>567</v>
      </c>
      <c r="F106" s="8" t="s">
        <v>572</v>
      </c>
      <c r="G106" s="8" t="s">
        <v>573</v>
      </c>
      <c r="H106" s="8" t="str">
        <f ca="1">IFERROR(__xludf.DUMMYFUNCTION("VLOOKUP(G106, IMPORTRANGE(""https://docs.google.com/spreadsheets/d/14deopnvwcrKtEGCKuYXdUHJbeLDZlkiSSWWT0g7x2pM/edit#gid=999382323"", ""LU List Maths (Filter)!A:B""), 2, FALSE)"),"Definition of equivalent rational number")</f>
        <v>Definition of equivalent rational number</v>
      </c>
      <c r="I106" s="10" t="str">
        <f t="shared" si="0"/>
        <v>LU000467.001</v>
      </c>
      <c r="J106" s="10" t="str">
        <f ca="1">IFERROR(__xludf.DUMMYFUNCTION("VLOOKUP(I106, IMPORTRANGE(""https://docs.google.com/spreadsheets/d/1yDAaXNsi4Mr5FtRQL4tbmSdIzhx6_m4wkOD7IG-k_eo/edit#gid=0"", ""Maths!M:N""), 2, FALSE)"),"State the definition of equivalent rational numbers")</f>
        <v>State the definition of equivalent rational numbers</v>
      </c>
      <c r="K106" s="10" t="str">
        <f t="shared" si="1"/>
        <v>LU000467.002</v>
      </c>
      <c r="L106" s="10" t="str">
        <f ca="1">IFERROR(__xludf.DUMMYFUNCTION("VLOOKUP(K106, IMPORTRANGE(""https://docs.google.com/spreadsheets/d/1yDAaXNsi4Mr5FtRQL4tbmSdIzhx6_m4wkOD7IG-k_eo/edit#gid=0"", ""Maths!M:N""), 2, FALSE)"),"Describe how equivalent rational numbers represent the same quantity, even though their numerators and denominators are different.")</f>
        <v>Describe how equivalent rational numbers represent the same quantity, even though their numerators and denominators are different.</v>
      </c>
      <c r="M106" s="10" t="str">
        <f t="shared" si="2"/>
        <v>LU000467.003</v>
      </c>
      <c r="N106" s="10" t="str">
        <f ca="1">IFERROR(__xludf.DUMMYFUNCTION("VLOOKUP(M106, IMPORTRANGE(""https://docs.google.com/spreadsheets/d/1yDAaXNsi4Mr5FtRQL4tbmSdIzhx6_m4wkOD7IG-k_eo/edit#gid=0"", ""Maths!M:N""), 2, FALSE)"),"Determine whether given pairs of rational numbers are equivalent.")</f>
        <v>Determine whether given pairs of rational numbers are equivalent.</v>
      </c>
      <c r="O106" s="10" t="str">
        <f t="shared" si="3"/>
        <v>LU000467.004</v>
      </c>
      <c r="P106" s="10" t="str">
        <f ca="1">IFERROR(__xludf.DUMMYFUNCTION("VLOOKUP(O106, IMPORTRANGE(""https://docs.google.com/spreadsheets/d/1yDAaXNsi4Mr5FtRQL4tbmSdIzhx6_m4wkOD7IG-k_eo/edit#gid=0"", ""Maths!M:N""), 2, FALSE)"),"Analyse the effect of multiplying both the numerator and denominator of a rational number by the same non-zero number on its equivalence.")</f>
        <v>Analyse the effect of multiplying both the numerator and denominator of a rational number by the same non-zero number on its equivalence.</v>
      </c>
      <c r="Q106" s="10" t="str">
        <f t="shared" si="4"/>
        <v>LU000467.005</v>
      </c>
      <c r="R106" s="10" t="str">
        <f ca="1">IFERROR(__xludf.DUMMYFUNCTION("VLOOKUP(Q106, IMPORTRANGE(""https://docs.google.com/spreadsheets/d/1yDAaXNsi4Mr5FtRQL4tbmSdIzhx6_m4wkOD7IG-k_eo/edit#gid=0"", ""Maths!M:N""), 2, FALSE)"),"Evaluate the importance of recognising equivalent rational numbers in real-life scenarios.")</f>
        <v>Evaluate the importance of recognising equivalent rational numbers in real-life scenarios.</v>
      </c>
      <c r="S106" s="10" t="str">
        <f t="shared" si="5"/>
        <v>LU000467.006</v>
      </c>
      <c r="T106" s="10" t="str">
        <f ca="1">IFERROR(__xludf.DUMMYFUNCTION("VLOOKUP(S106, IMPORTRANGE(""https://docs.google.com/spreadsheets/d/1yDAaXNsi4Mr5FtRQL4tbmSdIzhx6_m4wkOD7IG-k_eo/edit#gid=0"", ""Maths!M:N""), 2, FALSE)"),"#N/A")</f>
        <v>#N/A</v>
      </c>
      <c r="U106" s="11">
        <f ca="1">IFERROR(__xludf.DUMMYFUNCTION("ArrayFormula(VLOOKUP(G106, IMPORTRANGE(""https://docs.google.com/spreadsheets/d/1p7R4vtkWt5VOBim4ltsDG9KTzSjrtKXsMtQGXPHyND0/edit#gid=795171502"", ""'Filter 30_05_2024'!A1:M2000""), {2, 3, 4, 5,6,7,8,9,10,11,12,13}, 0))"),4)</f>
        <v>4</v>
      </c>
      <c r="V106" s="11">
        <f ca="1">IFERROR(__xludf.DUMMYFUNCTION("""COMPUTED_VALUE"""),6)</f>
        <v>6</v>
      </c>
      <c r="W106" s="11">
        <f ca="1">IFERROR(__xludf.DUMMYFUNCTION("""COMPUTED_VALUE"""),2)</f>
        <v>2</v>
      </c>
      <c r="X106" s="11">
        <f ca="1">IFERROR(__xludf.DUMMYFUNCTION("""COMPUTED_VALUE"""),12)</f>
        <v>12</v>
      </c>
      <c r="Y106" s="11">
        <f ca="1">IFERROR(__xludf.DUMMYFUNCTION("""COMPUTED_VALUE"""),4)</f>
        <v>4</v>
      </c>
      <c r="Z106" s="12">
        <f ca="1">IFERROR(__xludf.DUMMYFUNCTION("""COMPUTED_VALUE"""),4)</f>
        <v>4</v>
      </c>
      <c r="AA106" s="12">
        <f ca="1">IFERROR(__xludf.DUMMYFUNCTION("""COMPUTED_VALUE"""),1)</f>
        <v>1</v>
      </c>
      <c r="AB106" s="12">
        <f ca="1">IFERROR(__xludf.DUMMYFUNCTION("""COMPUTED_VALUE"""),9)</f>
        <v>9</v>
      </c>
      <c r="AC106" s="12"/>
      <c r="AD106" s="12"/>
      <c r="AE106" s="12"/>
      <c r="AF106" s="12"/>
      <c r="AG106" s="13" t="str">
        <f ca="1">IFERROR(__xludf.DUMMYFUNCTION("ArrayFormula(VLOOKUP(G106, IMPORTRANGE(""https://docs.google.com/spreadsheets/d/1Co934fvtviyaRiMsrIlT05Jaq7iiYq07aLvRr35KA48/edit?gid=173865642#gid=173865642"", ""'G7_Maths_Pri_LU'!G2:V2000""), {3, 4, 5, 6, 7, 8, 9, 10, 11, 12, 13, 14, 15, 16}, 0))"),"LU000285")</f>
        <v>LU000285</v>
      </c>
      <c r="AH106" s="13" t="str">
        <f ca="1">IFERROR(__xludf.DUMMYFUNCTION("""COMPUTED_VALUE"""),"Definition of equivalent fractions")</f>
        <v>Definition of equivalent fractions</v>
      </c>
      <c r="AI106" s="13" t="str">
        <f ca="1">IFERROR(__xludf.DUMMYFUNCTION("""COMPUTED_VALUE"""),"LU000464")</f>
        <v>LU000464</v>
      </c>
      <c r="AJ106" s="13" t="str">
        <f ca="1">IFERROR(__xludf.DUMMYFUNCTION("""COMPUTED_VALUE"""),"Definition of rational numbers")</f>
        <v>Definition of rational numbers</v>
      </c>
      <c r="AK106" s="13" t="str">
        <f ca="1">IFERROR(__xludf.DUMMYFUNCTION("""COMPUTED_VALUE"""),"LU000126")</f>
        <v>LU000126</v>
      </c>
      <c r="AL106" s="13" t="str">
        <f ca="1">IFERROR(__xludf.DUMMYFUNCTION("""COMPUTED_VALUE"""),"Multiplication of two-digit numbers by one-digit/two-digit numbers")</f>
        <v>Multiplication of two-digit numbers by one-digit/two-digit numbers</v>
      </c>
      <c r="AM106" s="13" t="str">
        <f ca="1">IFERROR(__xludf.DUMMYFUNCTION("""COMPUTED_VALUE"""),"LU000278")</f>
        <v>LU000278</v>
      </c>
      <c r="AN106" s="13" t="str">
        <f ca="1">IFERROR(__xludf.DUMMYFUNCTION("""COMPUTED_VALUE"""),"Definition of fraction")</f>
        <v>Definition of fraction</v>
      </c>
      <c r="AO106" s="13"/>
      <c r="AP106" s="13"/>
      <c r="AQ106" s="13"/>
      <c r="AR106" s="13"/>
      <c r="AS106" s="13"/>
      <c r="AT106" s="13"/>
    </row>
    <row r="107" spans="1:46">
      <c r="A107" s="8" t="s">
        <v>247</v>
      </c>
      <c r="B107" s="8" t="s">
        <v>47</v>
      </c>
      <c r="C107" s="8" t="s">
        <v>416</v>
      </c>
      <c r="D107" s="8" t="s">
        <v>49</v>
      </c>
      <c r="E107" s="8" t="s">
        <v>567</v>
      </c>
      <c r="F107" s="8" t="s">
        <v>574</v>
      </c>
      <c r="G107" s="8" t="s">
        <v>575</v>
      </c>
      <c r="H107" s="8" t="str">
        <f ca="1">IFERROR(__xludf.DUMMYFUNCTION("VLOOKUP(G107, IMPORTRANGE(""https://docs.google.com/spreadsheets/d/14deopnvwcrKtEGCKuYXdUHJbeLDZlkiSSWWT0g7x2pM/edit#gid=999382323"", ""LU List Maths (Filter)!A:B""), 2, FALSE)"),"Definition of positive rational number")</f>
        <v>Definition of positive rational number</v>
      </c>
      <c r="I107" s="10" t="str">
        <f t="shared" si="0"/>
        <v>LU000468.001</v>
      </c>
      <c r="J107" s="10" t="str">
        <f ca="1">IFERROR(__xludf.DUMMYFUNCTION("VLOOKUP(I107, IMPORTRANGE(""https://docs.google.com/spreadsheets/d/1yDAaXNsi4Mr5FtRQL4tbmSdIzhx6_m4wkOD7IG-k_eo/edit#gid=0"", ""Maths!M:N""), 2, FALSE)"),"State the definition of a positive rational number and highlight its key features.")</f>
        <v>State the definition of a positive rational number and highlight its key features.</v>
      </c>
      <c r="K107" s="10" t="str">
        <f t="shared" si="1"/>
        <v>LU000468.002</v>
      </c>
      <c r="L107" s="10" t="str">
        <f ca="1">IFERROR(__xludf.DUMMYFUNCTION("VLOOKUP(K107, IMPORTRANGE(""https://docs.google.com/spreadsheets/d/1yDAaXNsi4Mr5FtRQL4tbmSdIzhx6_m4wkOD7IG-k_eo/edit#gid=0"", ""Maths!M:N""), 2, FALSE)"),"Describe what positive rational numbers are and how they can be expressed as fractions of integers with a positive numerator and denominator.")</f>
        <v>Describe what positive rational numbers are and how they can be expressed as fractions of integers with a positive numerator and denominator.</v>
      </c>
      <c r="M107" s="10" t="str">
        <f t="shared" si="2"/>
        <v>LU000468.003</v>
      </c>
      <c r="N107" s="10" t="str">
        <f ca="1">IFERROR(__xludf.DUMMYFUNCTION("VLOOKUP(M107, IMPORTRANGE(""https://docs.google.com/spreadsheets/d/1yDAaXNsi4Mr5FtRQL4tbmSdIzhx6_m4wkOD7IG-k_eo/edit#gid=0"", ""Maths!M:N""), 2, FALSE)"),"Identify positive rational numbers from a list of given numbers.")</f>
        <v>Identify positive rational numbers from a list of given numbers.</v>
      </c>
      <c r="O107" s="10" t="str">
        <f t="shared" si="3"/>
        <v>LU000468.004</v>
      </c>
      <c r="P107" s="10" t="str">
        <f ca="1">IFERROR(__xludf.DUMMYFUNCTION("VLOOKUP(O107, IMPORTRANGE(""https://docs.google.com/spreadsheets/d/1yDAaXNsi4Mr5FtRQL4tbmSdIzhx6_m4wkOD7IG-k_eo/edit#gid=0"", ""Maths!M:N""), 2, FALSE)"),"Analyze and compare positive and negative rational numbers")</f>
        <v>Analyze and compare positive and negative rational numbers</v>
      </c>
      <c r="Q107" s="10" t="str">
        <f t="shared" si="4"/>
        <v>LU000468.005</v>
      </c>
      <c r="R107" s="10" t="str">
        <f ca="1">IFERROR(__xludf.DUMMYFUNCTION("VLOOKUP(Q107, IMPORTRANGE(""https://docs.google.com/spreadsheets/d/1yDAaXNsi4Mr5FtRQL4tbmSdIzhx6_m4wkOD7IG-k_eo/edit#gid=0"", ""Maths!M:N""), 2, FALSE)"),"Evaluate the importance of understanding positive rational numbers when dealing with real-life situations.")</f>
        <v>Evaluate the importance of understanding positive rational numbers when dealing with real-life situations.</v>
      </c>
      <c r="S107" s="10" t="str">
        <f t="shared" si="5"/>
        <v>LU000468.006</v>
      </c>
      <c r="T107" s="10" t="str">
        <f ca="1">IFERROR(__xludf.DUMMYFUNCTION("VLOOKUP(S107, IMPORTRANGE(""https://docs.google.com/spreadsheets/d/1yDAaXNsi4Mr5FtRQL4tbmSdIzhx6_m4wkOD7IG-k_eo/edit#gid=0"", ""Maths!M:N""), 2, FALSE)"),"Design a set of practice problems that involve finding positive rational numbers within various contexts.")</f>
        <v>Design a set of practice problems that involve finding positive rational numbers within various contexts.</v>
      </c>
      <c r="U107" s="11">
        <f ca="1">IFERROR(__xludf.DUMMYFUNCTION("ArrayFormula(VLOOKUP(G107, IMPORTRANGE(""https://docs.google.com/spreadsheets/d/1p7R4vtkWt5VOBim4ltsDG9KTzSjrtKXsMtQGXPHyND0/edit#gid=795171502"", ""'Filter 30_05_2024'!A1:M2000""), {2, 3, 4, 5,6,7,8,9,10,11,12,13}, 0))"),4)</f>
        <v>4</v>
      </c>
      <c r="V107" s="11">
        <f ca="1">IFERROR(__xludf.DUMMYFUNCTION("""COMPUTED_VALUE"""),9)</f>
        <v>9</v>
      </c>
      <c r="W107" s="11">
        <f ca="1">IFERROR(__xludf.DUMMYFUNCTION("""COMPUTED_VALUE"""),2)</f>
        <v>2</v>
      </c>
      <c r="X107" s="11">
        <f ca="1">IFERROR(__xludf.DUMMYFUNCTION("""COMPUTED_VALUE"""),15)</f>
        <v>15</v>
      </c>
      <c r="Y107" s="11">
        <f ca="1">IFERROR(__xludf.DUMMYFUNCTION("""COMPUTED_VALUE"""),4)</f>
        <v>4</v>
      </c>
      <c r="Z107" s="12">
        <f ca="1">IFERROR(__xludf.DUMMYFUNCTION("""COMPUTED_VALUE"""),3)</f>
        <v>3</v>
      </c>
      <c r="AA107" s="12">
        <f ca="1">IFERROR(__xludf.DUMMYFUNCTION("""COMPUTED_VALUE"""),1)</f>
        <v>1</v>
      </c>
      <c r="AB107" s="12">
        <f ca="1">IFERROR(__xludf.DUMMYFUNCTION("""COMPUTED_VALUE"""),8)</f>
        <v>8</v>
      </c>
      <c r="AC107" s="12"/>
      <c r="AD107" s="12"/>
      <c r="AE107" s="12"/>
      <c r="AF107" s="12"/>
      <c r="AG107" s="13" t="str">
        <f ca="1">IFERROR(__xludf.DUMMYFUNCTION("ArrayFormula(VLOOKUP(G107, IMPORTRANGE(""https://docs.google.com/spreadsheets/d/1Co934fvtviyaRiMsrIlT05Jaq7iiYq07aLvRr35KA48/edit?gid=173865642#gid=173865642"", ""'G7_Maths_Pri_LU'!G2:V2000""), {3, 4, 5, 6, 7, 8, 9, 10, 11, 12, 13, 14, 15, 16}, 0))"),"LU000266")</f>
        <v>LU000266</v>
      </c>
      <c r="AH107" s="13" t="str">
        <f ca="1">IFERROR(__xludf.DUMMYFUNCTION("""COMPUTED_VALUE"""),"Definition of positive integers")</f>
        <v>Definition of positive integers</v>
      </c>
      <c r="AI107" s="13" t="str">
        <f ca="1">IFERROR(__xludf.DUMMYFUNCTION("""COMPUTED_VALUE"""),"LU000464")</f>
        <v>LU000464</v>
      </c>
      <c r="AJ107" s="13" t="str">
        <f ca="1">IFERROR(__xludf.DUMMYFUNCTION("""COMPUTED_VALUE"""),"Definition of rational numbers")</f>
        <v>Definition of rational numbers</v>
      </c>
      <c r="AK107" s="13" t="str">
        <f ca="1">IFERROR(__xludf.DUMMYFUNCTION("""COMPUTED_VALUE"""),"LU000267")</f>
        <v>LU000267</v>
      </c>
      <c r="AL107" s="13" t="str">
        <f ca="1">IFERROR(__xludf.DUMMYFUNCTION("""COMPUTED_VALUE"""),"Definition of negative integers")</f>
        <v>Definition of negative integers</v>
      </c>
      <c r="AM107" s="13" t="str">
        <f ca="1">IFERROR(__xludf.DUMMYFUNCTION("""COMPUTED_VALUE"""),"LU000466")</f>
        <v>LU000466</v>
      </c>
      <c r="AN107" s="13" t="str">
        <f ca="1">IFERROR(__xludf.DUMMYFUNCTION("""COMPUTED_VALUE"""),"Relation between integers and rational numbers")</f>
        <v>Relation between integers and rational numbers</v>
      </c>
      <c r="AO107" s="13"/>
      <c r="AP107" s="13"/>
      <c r="AQ107" s="13"/>
      <c r="AR107" s="13"/>
      <c r="AS107" s="13"/>
      <c r="AT107" s="13"/>
    </row>
    <row r="108" spans="1:46">
      <c r="A108" s="8" t="s">
        <v>247</v>
      </c>
      <c r="B108" s="8" t="s">
        <v>47</v>
      </c>
      <c r="C108" s="8" t="s">
        <v>416</v>
      </c>
      <c r="D108" s="8" t="s">
        <v>49</v>
      </c>
      <c r="E108" s="8" t="s">
        <v>567</v>
      </c>
      <c r="F108" s="8" t="s">
        <v>574</v>
      </c>
      <c r="G108" s="8" t="s">
        <v>576</v>
      </c>
      <c r="H108" s="8" t="str">
        <f ca="1">IFERROR(__xludf.DUMMYFUNCTION("VLOOKUP(G108, IMPORTRANGE(""https://docs.google.com/spreadsheets/d/14deopnvwcrKtEGCKuYXdUHJbeLDZlkiSSWWT0g7x2pM/edit#gid=999382323"", ""LU List Maths (Filter)!A:B""), 2, FALSE)"),"Definition of negative rational number")</f>
        <v>Definition of negative rational number</v>
      </c>
      <c r="I108" s="10" t="str">
        <f t="shared" si="0"/>
        <v>LU000469.001</v>
      </c>
      <c r="J108" s="10" t="str">
        <f ca="1">IFERROR(__xludf.DUMMYFUNCTION("VLOOKUP(I108, IMPORTRANGE(""https://docs.google.com/spreadsheets/d/1yDAaXNsi4Mr5FtRQL4tbmSdIzhx6_m4wkOD7IG-k_eo/edit#gid=0"", ""Maths!M:N""), 2, FALSE)"),"State the definition of a negative rational number and identify its key characteristics.")</f>
        <v>State the definition of a negative rational number and identify its key characteristics.</v>
      </c>
      <c r="K108" s="10" t="str">
        <f t="shared" si="1"/>
        <v>LU000469.002</v>
      </c>
      <c r="L108" s="10" t="str">
        <f ca="1">IFERROR(__xludf.DUMMYFUNCTION("VLOOKUP(K108, IMPORTRANGE(""https://docs.google.com/spreadsheets/d/1yDAaXNsi4Mr5FtRQL4tbmSdIzhx6_m4wkOD7IG-k_eo/edit#gid=0"", ""Maths!M:N""), 2, FALSE)"),"Describe negative rational numbers as fractions with integers in the numerator and denominator, where the numerator is negative and the denominator is positive.")</f>
        <v>Describe negative rational numbers as fractions with integers in the numerator and denominator, where the numerator is negative and the denominator is positive.</v>
      </c>
      <c r="M108" s="10" t="str">
        <f t="shared" si="2"/>
        <v>LU000469.003</v>
      </c>
      <c r="N108" s="10" t="str">
        <f ca="1">IFERROR(__xludf.DUMMYFUNCTION("VLOOKUP(M108, IMPORTRANGE(""https://docs.google.com/spreadsheets/d/1yDAaXNsi4Mr5FtRQL4tbmSdIzhx6_m4wkOD7IG-k_eo/edit#gid=0"", ""Maths!M:N""), 2, FALSE)"),"Identify negative rational numbers from a list of given numbers.")</f>
        <v>Identify negative rational numbers from a list of given numbers.</v>
      </c>
      <c r="O108" s="10" t="str">
        <f t="shared" si="3"/>
        <v>LU000469.004</v>
      </c>
      <c r="P108" s="10" t="str">
        <f ca="1">IFERROR(__xludf.DUMMYFUNCTION("VLOOKUP(O108, IMPORTRANGE(""https://docs.google.com/spreadsheets/d/1yDAaXNsi4Mr5FtRQL4tbmSdIzhx6_m4wkOD7IG-k_eo/edit#gid=0"", ""Maths!M:N""), 2, FALSE)"),"Examine how positive and negative rational numbers are interconnected in real-world situations.")</f>
        <v>Examine how positive and negative rational numbers are interconnected in real-world situations.</v>
      </c>
      <c r="Q108" s="10" t="str">
        <f t="shared" si="4"/>
        <v>LU000469.005</v>
      </c>
      <c r="R108" s="10" t="str">
        <f ca="1">IFERROR(__xludf.DUMMYFUNCTION("VLOOKUP(Q108, IMPORTRANGE(""https://docs.google.com/spreadsheets/d/1yDAaXNsi4Mr5FtRQL4tbmSdIzhx6_m4wkOD7IG-k_eo/edit#gid=0"", ""Maths!M:N""), 2, FALSE)"),"Evaluate the importance of understanding negative rational numbers when solving practical problems.")</f>
        <v>Evaluate the importance of understanding negative rational numbers when solving practical problems.</v>
      </c>
      <c r="S108" s="10" t="str">
        <f t="shared" si="5"/>
        <v>LU000469.006</v>
      </c>
      <c r="T108" s="10" t="str">
        <f ca="1">IFERROR(__xludf.DUMMYFUNCTION("VLOOKUP(S108, IMPORTRANGE(""https://docs.google.com/spreadsheets/d/1yDAaXNsi4Mr5FtRQL4tbmSdIzhx6_m4wkOD7IG-k_eo/edit#gid=0"", ""Maths!M:N""), 2, FALSE)"),"Design set of scenarios where negative rational numbers play a significant role and present them.")</f>
        <v>Design set of scenarios where negative rational numbers play a significant role and present them.</v>
      </c>
      <c r="U108" s="11">
        <f ca="1">IFERROR(__xludf.DUMMYFUNCTION("ArrayFormula(VLOOKUP(G108, IMPORTRANGE(""https://docs.google.com/spreadsheets/d/1p7R4vtkWt5VOBim4ltsDG9KTzSjrtKXsMtQGXPHyND0/edit#gid=795171502"", ""'Filter 30_05_2024'!A1:M2000""), {2, 3, 4, 5,6,7,8,9,10,11,12,13}, 0))"),4)</f>
        <v>4</v>
      </c>
      <c r="V108" s="11">
        <f ca="1">IFERROR(__xludf.DUMMYFUNCTION("""COMPUTED_VALUE"""),10)</f>
        <v>10</v>
      </c>
      <c r="W108" s="11">
        <f ca="1">IFERROR(__xludf.DUMMYFUNCTION("""COMPUTED_VALUE"""),2)</f>
        <v>2</v>
      </c>
      <c r="X108" s="11">
        <f ca="1">IFERROR(__xludf.DUMMYFUNCTION("""COMPUTED_VALUE"""),16)</f>
        <v>16</v>
      </c>
      <c r="Y108" s="11">
        <f ca="1">IFERROR(__xludf.DUMMYFUNCTION("""COMPUTED_VALUE"""),4)</f>
        <v>4</v>
      </c>
      <c r="Z108" s="12">
        <f ca="1">IFERROR(__xludf.DUMMYFUNCTION("""COMPUTED_VALUE"""),3)</f>
        <v>3</v>
      </c>
      <c r="AA108" s="12">
        <f ca="1">IFERROR(__xludf.DUMMYFUNCTION("""COMPUTED_VALUE"""),2)</f>
        <v>2</v>
      </c>
      <c r="AB108" s="12">
        <f ca="1">IFERROR(__xludf.DUMMYFUNCTION("""COMPUTED_VALUE"""),9)</f>
        <v>9</v>
      </c>
      <c r="AC108" s="12"/>
      <c r="AD108" s="12"/>
      <c r="AE108" s="12"/>
      <c r="AF108" s="12"/>
      <c r="AG108" s="13" t="str">
        <f ca="1">IFERROR(__xludf.DUMMYFUNCTION("ArrayFormula(VLOOKUP(G108, IMPORTRANGE(""https://docs.google.com/spreadsheets/d/1Co934fvtviyaRiMsrIlT05Jaq7iiYq07aLvRr35KA48/edit?gid=173865642#gid=173865642"", ""'G7_Maths_Pri_LU'!G2:V2000""), {3, 4, 5, 6, 7, 8, 9, 10, 11, 12, 13, 14, 15, 16}, 0))"),"LU000270")</f>
        <v>LU000270</v>
      </c>
      <c r="AH108" s="13" t="str">
        <f ca="1">IFERROR(__xludf.DUMMYFUNCTION("""COMPUTED_VALUE"""),"Representation of integers on number line")</f>
        <v>Representation of integers on number line</v>
      </c>
      <c r="AI108" s="13" t="str">
        <f ca="1">IFERROR(__xludf.DUMMYFUNCTION("""COMPUTED_VALUE"""),"LU000464")</f>
        <v>LU000464</v>
      </c>
      <c r="AJ108" s="13" t="str">
        <f ca="1">IFERROR(__xludf.DUMMYFUNCTION("""COMPUTED_VALUE"""),"Definition of rational numbers")</f>
        <v>Definition of rational numbers</v>
      </c>
      <c r="AK108" s="13" t="str">
        <f ca="1">IFERROR(__xludf.DUMMYFUNCTION("""COMPUTED_VALUE"""),"LU000266")</f>
        <v>LU000266</v>
      </c>
      <c r="AL108" s="13" t="str">
        <f ca="1">IFERROR(__xludf.DUMMYFUNCTION("""COMPUTED_VALUE"""),"Definition of positive integers")</f>
        <v>Definition of positive integers</v>
      </c>
      <c r="AM108" s="13"/>
      <c r="AN108" s="13"/>
      <c r="AO108" s="13"/>
      <c r="AP108" s="13"/>
      <c r="AQ108" s="13"/>
      <c r="AR108" s="13"/>
      <c r="AS108" s="13"/>
      <c r="AT108" s="13"/>
    </row>
    <row r="109" spans="1:46">
      <c r="A109" s="8" t="s">
        <v>247</v>
      </c>
      <c r="B109" s="8" t="s">
        <v>47</v>
      </c>
      <c r="C109" s="8" t="s">
        <v>416</v>
      </c>
      <c r="D109" s="8" t="s">
        <v>49</v>
      </c>
      <c r="E109" s="8" t="s">
        <v>567</v>
      </c>
      <c r="F109" s="8" t="s">
        <v>577</v>
      </c>
      <c r="G109" s="8" t="s">
        <v>578</v>
      </c>
      <c r="H109" s="8" t="str">
        <f ca="1">IFERROR(__xludf.DUMMYFUNCTION("VLOOKUP(G109, IMPORTRANGE(""https://docs.google.com/spreadsheets/d/14deopnvwcrKtEGCKuYXdUHJbeLDZlkiSSWWT0g7x2pM/edit#gid=999382323"", ""LU List Maths (Filter)!A:B""), 2, FALSE)"),"Representation of rational numbers on a number line")</f>
        <v>Representation of rational numbers on a number line</v>
      </c>
      <c r="I109" s="10" t="str">
        <f t="shared" si="0"/>
        <v>LU000470.001</v>
      </c>
      <c r="J109" s="10" t="str">
        <f ca="1">IFERROR(__xludf.DUMMYFUNCTION("VLOOKUP(I109, IMPORTRANGE(""https://docs.google.com/spreadsheets/d/1yDAaXNsi4Mr5FtRQL4tbmSdIzhx6_m4wkOD7IG-k_eo/edit#gid=0"", ""Maths!M:N""), 2, FALSE)"),"Recall the concept of representing rational numbers on a number line.")</f>
        <v>Recall the concept of representing rational numbers on a number line.</v>
      </c>
      <c r="K109" s="10" t="str">
        <f t="shared" si="1"/>
        <v>LU000470.002</v>
      </c>
      <c r="L109" s="10" t="str">
        <f ca="1">IFERROR(__xludf.DUMMYFUNCTION("VLOOKUP(K109, IMPORTRANGE(""https://docs.google.com/spreadsheets/d/1yDAaXNsi4Mr5FtRQL4tbmSdIzhx6_m4wkOD7IG-k_eo/edit#gid=0"", ""Maths!M:N""), 2, FALSE)"),"Explain how rational numbers are located and ordered on a number line.")</f>
        <v>Explain how rational numbers are located and ordered on a number line.</v>
      </c>
      <c r="M109" s="10" t="str">
        <f t="shared" si="2"/>
        <v>LU000470.003</v>
      </c>
      <c r="N109" s="10" t="str">
        <f ca="1">IFERROR(__xludf.DUMMYFUNCTION("VLOOKUP(M109, IMPORTRANGE(""https://docs.google.com/spreadsheets/d/1yDAaXNsi4Mr5FtRQL4tbmSdIzhx6_m4wkOD7IG-k_eo/edit#gid=0"", ""Maths!M:N""), 2, FALSE)"),"Place given rational numbers on a number line.")</f>
        <v>Place given rational numbers on a number line.</v>
      </c>
      <c r="O109" s="10" t="str">
        <f t="shared" si="3"/>
        <v>LU000470.004</v>
      </c>
      <c r="P109" s="10" t="str">
        <f ca="1">IFERROR(__xludf.DUMMYFUNCTION("VLOOKUP(O109, IMPORTRANGE(""https://docs.google.com/spreadsheets/d/1yDAaXNsi4Mr5FtRQL4tbmSdIzhx6_m4wkOD7IG-k_eo/edit#gid=0"", ""Maths!M:N""), 2, FALSE)"),"Compare positive and negative rational numbers on a number line.")</f>
        <v>Compare positive and negative rational numbers on a number line.</v>
      </c>
      <c r="Q109" s="10" t="str">
        <f t="shared" si="4"/>
        <v>LU000470.005</v>
      </c>
      <c r="R109" s="10" t="str">
        <f ca="1">IFERROR(__xludf.DUMMYFUNCTION("VLOOKUP(Q109, IMPORTRANGE(""https://docs.google.com/spreadsheets/d/1yDAaXNsi4Mr5FtRQL4tbmSdIzhx6_m4wkOD7IG-k_eo/edit#gid=0"", ""Maths!M:N""), 2, FALSE)"),"Evaluate the effectiveness of using a number line to visualise the relationships between rational numbers.")</f>
        <v>Evaluate the effectiveness of using a number line to visualise the relationships between rational numbers.</v>
      </c>
      <c r="S109" s="10" t="str">
        <f t="shared" si="5"/>
        <v>LU000470.006</v>
      </c>
      <c r="T109" s="10" t="str">
        <f ca="1">IFERROR(__xludf.DUMMYFUNCTION("VLOOKUP(S109, IMPORTRANGE(""https://docs.google.com/spreadsheets/d/1yDAaXNsi4Mr5FtRQL4tbmSdIzhx6_m4wkOD7IG-k_eo/edit#gid=0"", ""Maths!M:N""), 2, FALSE)"),"Create a number line with a range of rational numbers, then use it to solve a problem.")</f>
        <v>Create a number line with a range of rational numbers, then use it to solve a problem.</v>
      </c>
      <c r="U109" s="11">
        <f ca="1">IFERROR(__xludf.DUMMYFUNCTION("ArrayFormula(VLOOKUP(G109, IMPORTRANGE(""https://docs.google.com/spreadsheets/d/1p7R4vtkWt5VOBim4ltsDG9KTzSjrtKXsMtQGXPHyND0/edit#gid=795171502"", ""'Filter 30_05_2024'!A1:M2000""), {2, 3, 4, 5,6,7,8,9,10,11,12,13}, 0))"),4)</f>
        <v>4</v>
      </c>
      <c r="V109" s="11">
        <f ca="1">IFERROR(__xludf.DUMMYFUNCTION("""COMPUTED_VALUE"""),2)</f>
        <v>2</v>
      </c>
      <c r="W109" s="11">
        <f ca="1">IFERROR(__xludf.DUMMYFUNCTION("""COMPUTED_VALUE"""),15)</f>
        <v>15</v>
      </c>
      <c r="X109" s="11">
        <f ca="1">IFERROR(__xludf.DUMMYFUNCTION("""COMPUTED_VALUE"""),21)</f>
        <v>21</v>
      </c>
      <c r="Y109" s="11">
        <f ca="1">IFERROR(__xludf.DUMMYFUNCTION("""COMPUTED_VALUE"""),4)</f>
        <v>4</v>
      </c>
      <c r="Z109" s="12">
        <f ca="1">IFERROR(__xludf.DUMMYFUNCTION("""COMPUTED_VALUE"""),7)</f>
        <v>7</v>
      </c>
      <c r="AA109" s="12">
        <f ca="1">IFERROR(__xludf.DUMMYFUNCTION("""COMPUTED_VALUE"""),3)</f>
        <v>3</v>
      </c>
      <c r="AB109" s="12">
        <f ca="1">IFERROR(__xludf.DUMMYFUNCTION("""COMPUTED_VALUE"""),14)</f>
        <v>14</v>
      </c>
      <c r="AC109" s="12"/>
      <c r="AD109" s="12"/>
      <c r="AE109" s="12"/>
      <c r="AF109" s="12"/>
      <c r="AG109" s="13" t="str">
        <f ca="1">IFERROR(__xludf.DUMMYFUNCTION("ArrayFormula(VLOOKUP(G109, IMPORTRANGE(""https://docs.google.com/spreadsheets/d/1Co934fvtviyaRiMsrIlT05Jaq7iiYq07aLvRr35KA48/edit?gid=173865642#gid=173865642"", ""'G7_Maths_Pri_LU'!G2:V2000""), {3, 4, 5, 6, 7, 8, 9, 10, 11, 12, 13, 14, 15, 16}, 0))"),"LU000280")</f>
        <v>LU000280</v>
      </c>
      <c r="AH109" s="13" t="str">
        <f ca="1">IFERROR(__xludf.DUMMYFUNCTION("""COMPUTED_VALUE"""),"Representation of fractions on a number line")</f>
        <v>Representation of fractions on a number line</v>
      </c>
      <c r="AI109" s="13" t="str">
        <f ca="1">IFERROR(__xludf.DUMMYFUNCTION("""COMPUTED_VALUE"""),"LU000270")</f>
        <v>LU000270</v>
      </c>
      <c r="AJ109" s="13" t="str">
        <f ca="1">IFERROR(__xludf.DUMMYFUNCTION("""COMPUTED_VALUE"""),"Representation of integers on number line")</f>
        <v>Representation of integers on number line</v>
      </c>
      <c r="AK109" s="13" t="str">
        <f ca="1">IFERROR(__xludf.DUMMYFUNCTION("""COMPUTED_VALUE"""),"LU000464")</f>
        <v>LU000464</v>
      </c>
      <c r="AL109" s="13" t="str">
        <f ca="1">IFERROR(__xludf.DUMMYFUNCTION("""COMPUTED_VALUE"""),"Definition of rational numbers")</f>
        <v>Definition of rational numbers</v>
      </c>
      <c r="AM109" s="13"/>
      <c r="AN109" s="13"/>
      <c r="AO109" s="13"/>
      <c r="AP109" s="13"/>
      <c r="AQ109" s="13"/>
      <c r="AR109" s="13"/>
      <c r="AS109" s="13"/>
      <c r="AT109" s="13"/>
    </row>
    <row r="110" spans="1:46">
      <c r="A110" s="8" t="s">
        <v>247</v>
      </c>
      <c r="B110" s="8" t="s">
        <v>47</v>
      </c>
      <c r="C110" s="8" t="s">
        <v>416</v>
      </c>
      <c r="D110" s="8" t="s">
        <v>49</v>
      </c>
      <c r="E110" s="8" t="s">
        <v>567</v>
      </c>
      <c r="F110" s="8" t="s">
        <v>579</v>
      </c>
      <c r="G110" s="8" t="s">
        <v>580</v>
      </c>
      <c r="H110" s="8" t="str">
        <f ca="1">IFERROR(__xludf.DUMMYFUNCTION("VLOOKUP(G110, IMPORTRANGE(""https://docs.google.com/spreadsheets/d/14deopnvwcrKtEGCKuYXdUHJbeLDZlkiSSWWT0g7x2pM/edit#gid=999382323"", ""LU List Maths (Filter)!A:B""), 2, FALSE)"),"Standard form of rational number")</f>
        <v>Standard form of rational number</v>
      </c>
      <c r="I110" s="10" t="str">
        <f t="shared" si="0"/>
        <v>LU000471.001</v>
      </c>
      <c r="J110" s="10" t="str">
        <f ca="1">IFERROR(__xludf.DUMMYFUNCTION("VLOOKUP(I110, IMPORTRANGE(""https://docs.google.com/spreadsheets/d/1yDAaXNsi4Mr5FtRQL4tbmSdIzhx6_m4wkOD7IG-k_eo/edit#gid=0"", ""Maths!M:N""), 2, FALSE)"),"State the idea of representing rational numbers in a specific format called standard form to simplify their presentation.")</f>
        <v>State the idea of representing rational numbers in a specific format called standard form to simplify their presentation.</v>
      </c>
      <c r="K110" s="10" t="str">
        <f t="shared" si="1"/>
        <v>LU000471.002</v>
      </c>
      <c r="L110" s="10" t="str">
        <f ca="1">IFERROR(__xludf.DUMMYFUNCTION("VLOOKUP(K110, IMPORTRANGE(""https://docs.google.com/spreadsheets/d/1yDAaXNsi4Mr5FtRQL4tbmSdIzhx6_m4wkOD7IG-k_eo/edit#gid=0"", ""Maths!M:N""), 2, FALSE)"),"Explain how standard form simplifies the representation of rational numbers.")</f>
        <v>Explain how standard form simplifies the representation of rational numbers.</v>
      </c>
      <c r="M110" s="10" t="str">
        <f t="shared" si="2"/>
        <v>LU000471.003</v>
      </c>
      <c r="N110" s="10" t="str">
        <f ca="1">IFERROR(__xludf.DUMMYFUNCTION("VLOOKUP(M110, IMPORTRANGE(""https://docs.google.com/spreadsheets/d/1yDAaXNsi4Mr5FtRQL4tbmSdIzhx6_m4wkOD7IG-k_eo/edit#gid=0"", ""Maths!M:N""), 2, FALSE)"),"Convert given rational numbers into standard form.")</f>
        <v>Convert given rational numbers into standard form.</v>
      </c>
      <c r="O110" s="10" t="str">
        <f t="shared" si="3"/>
        <v>LU000471.004</v>
      </c>
      <c r="P110" s="10" t="str">
        <f ca="1">IFERROR(__xludf.DUMMYFUNCTION("VLOOKUP(O110, IMPORTRANGE(""https://docs.google.com/spreadsheets/d/1yDAaXNsi4Mr5FtRQL4tbmSdIzhx6_m4wkOD7IG-k_eo/edit#gid=0"", ""Maths!M:N""), 2, FALSE)"),"Analyse the similarities and differences between rational numbers in standard form and their original forms.")</f>
        <v>Analyse the similarities and differences between rational numbers in standard form and their original forms.</v>
      </c>
      <c r="Q110" s="10" t="str">
        <f t="shared" si="4"/>
        <v>LU000471.005</v>
      </c>
      <c r="R110" s="10" t="str">
        <f ca="1">IFERROR(__xludf.DUMMYFUNCTION("VLOOKUP(Q110, IMPORTRANGE(""https://docs.google.com/spreadsheets/d/1yDAaXNsi4Mr5FtRQL4tbmSdIzhx6_m4wkOD7IG-k_eo/edit#gid=0"", ""Maths!M:N""), 2, FALSE)"),"Evaluate the advantages of expressing rational numbers in standard form when performing arithmetic operations.")</f>
        <v>Evaluate the advantages of expressing rational numbers in standard form when performing arithmetic operations.</v>
      </c>
      <c r="S110" s="10" t="str">
        <f t="shared" si="5"/>
        <v>LU000471.006</v>
      </c>
      <c r="T110" s="10" t="str">
        <f ca="1">IFERROR(__xludf.DUMMYFUNCTION("VLOOKUP(S110, IMPORTRANGE(""https://docs.google.com/spreadsheets/d/1yDAaXNsi4Mr5FtRQL4tbmSdIzhx6_m4wkOD7IG-k_eo/edit#gid=0"", ""Maths!M:N""), 2, FALSE)"),"Design a set of exercises where students must convert rational numbers into standard form and solve related problems.")</f>
        <v>Design a set of exercises where students must convert rational numbers into standard form and solve related problems.</v>
      </c>
      <c r="U110" s="11">
        <f ca="1">IFERROR(__xludf.DUMMYFUNCTION("ArrayFormula(VLOOKUP(G110, IMPORTRANGE(""https://docs.google.com/spreadsheets/d/1p7R4vtkWt5VOBim4ltsDG9KTzSjrtKXsMtQGXPHyND0/edit#gid=795171502"", ""'Filter 30_05_2024'!A1:M2000""), {2, 3, 4, 5,6,7,8,9,10,11,12,13}, 0))"),6)</f>
        <v>6</v>
      </c>
      <c r="V110" s="11">
        <f ca="1">IFERROR(__xludf.DUMMYFUNCTION("""COMPUTED_VALUE"""),6)</f>
        <v>6</v>
      </c>
      <c r="W110" s="11">
        <f ca="1">IFERROR(__xludf.DUMMYFUNCTION("""COMPUTED_VALUE"""),2)</f>
        <v>2</v>
      </c>
      <c r="X110" s="11">
        <f ca="1">IFERROR(__xludf.DUMMYFUNCTION("""COMPUTED_VALUE"""),14)</f>
        <v>14</v>
      </c>
      <c r="Y110" s="11">
        <f ca="1">IFERROR(__xludf.DUMMYFUNCTION("""COMPUTED_VALUE"""),5)</f>
        <v>5</v>
      </c>
      <c r="Z110" s="12">
        <f ca="1">IFERROR(__xludf.DUMMYFUNCTION("""COMPUTED_VALUE"""),3)</f>
        <v>3</v>
      </c>
      <c r="AA110" s="12">
        <f ca="1">IFERROR(__xludf.DUMMYFUNCTION("""COMPUTED_VALUE"""),1)</f>
        <v>1</v>
      </c>
      <c r="AB110" s="12">
        <f ca="1">IFERROR(__xludf.DUMMYFUNCTION("""COMPUTED_VALUE"""),9)</f>
        <v>9</v>
      </c>
      <c r="AC110" s="12"/>
      <c r="AD110" s="12"/>
      <c r="AE110" s="12"/>
      <c r="AF110" s="12"/>
      <c r="AG110" s="13" t="str">
        <f ca="1">IFERROR(__xludf.DUMMYFUNCTION("ArrayFormula(VLOOKUP(G110, IMPORTRANGE(""https://docs.google.com/spreadsheets/d/1Co934fvtviyaRiMsrIlT05Jaq7iiYq07aLvRr35KA48/edit?gid=173865642#gid=173865642"", ""'G7_Maths_Pri_LU'!G2:V2000""), {3, 4, 5, 6, 7, 8, 9, 10, 11, 12, 13, 14, 15, 16}, 0))"),"LU000291")</f>
        <v>LU000291</v>
      </c>
      <c r="AH110" s="13" t="str">
        <f ca="1">IFERROR(__xludf.DUMMYFUNCTION("""COMPUTED_VALUE"""),"Simplest (or Lowest) form of a fraction")</f>
        <v>Simplest (or Lowest) form of a fraction</v>
      </c>
      <c r="AI110" s="13" t="str">
        <f ca="1">IFERROR(__xludf.DUMMYFUNCTION("""COMPUTED_VALUE"""),"LU000464")</f>
        <v>LU000464</v>
      </c>
      <c r="AJ110" s="13" t="str">
        <f ca="1">IFERROR(__xludf.DUMMYFUNCTION("""COMPUTED_VALUE"""),"Definition of rational numbers")</f>
        <v>Definition of rational numbers</v>
      </c>
      <c r="AK110" s="13" t="str">
        <f ca="1">IFERROR(__xludf.DUMMYFUNCTION("""COMPUTED_VALUE"""),"LU000211")</f>
        <v>LU000211</v>
      </c>
      <c r="AL110" s="13" t="str">
        <f ca="1">IFERROR(__xludf.DUMMYFUNCTION("""COMPUTED_VALUE"""),"Highest Common Factor (HCF) of the numbers")</f>
        <v>Highest Common Factor (HCF) of the numbers</v>
      </c>
      <c r="AM110" s="13" t="str">
        <f ca="1">IFERROR(__xludf.DUMMYFUNCTION("""COMPUTED_VALUE"""),"LU000466")</f>
        <v>LU000466</v>
      </c>
      <c r="AN110" s="13" t="str">
        <f ca="1">IFERROR(__xludf.DUMMYFUNCTION("""COMPUTED_VALUE"""),"Relation between integers and rational numbers")</f>
        <v>Relation between integers and rational numbers</v>
      </c>
      <c r="AO110" s="13"/>
      <c r="AP110" s="13"/>
      <c r="AQ110" s="13"/>
      <c r="AR110" s="13"/>
      <c r="AS110" s="13"/>
      <c r="AT110" s="13"/>
    </row>
    <row r="111" spans="1:46">
      <c r="A111" s="8" t="s">
        <v>247</v>
      </c>
      <c r="B111" s="8" t="s">
        <v>47</v>
      </c>
      <c r="C111" s="8" t="s">
        <v>416</v>
      </c>
      <c r="D111" s="8" t="s">
        <v>49</v>
      </c>
      <c r="E111" s="8" t="s">
        <v>567</v>
      </c>
      <c r="F111" s="8" t="s">
        <v>581</v>
      </c>
      <c r="G111" s="8" t="s">
        <v>582</v>
      </c>
      <c r="H111" s="8" t="str">
        <f ca="1">IFERROR(__xludf.DUMMYFUNCTION("VLOOKUP(G111, IMPORTRANGE(""https://docs.google.com/spreadsheets/d/14deopnvwcrKtEGCKuYXdUHJbeLDZlkiSSWWT0g7x2pM/edit#gid=999382323"", ""LU List Maths (Filter)!A:B""), 2, FALSE)"),"Comparison of rational numbers")</f>
        <v>Comparison of rational numbers</v>
      </c>
      <c r="I111" s="10" t="str">
        <f t="shared" si="0"/>
        <v>LU000472.001</v>
      </c>
      <c r="J111" s="10" t="str">
        <f ca="1">IFERROR(__xludf.DUMMYFUNCTION("VLOOKUP(I111, IMPORTRANGE(""https://docs.google.com/spreadsheets/d/1yDAaXNsi4Mr5FtRQL4tbmSdIzhx6_m4wkOD7IG-k_eo/edit#gid=0"", ""Maths!M:N""), 2, FALSE)"),"State the idea of determining the relationship between different rational numbers by comparing their values.")</f>
        <v>State the idea of determining the relationship between different rational numbers by comparing their values.</v>
      </c>
      <c r="K111" s="10" t="str">
        <f t="shared" si="1"/>
        <v>LU000472.002</v>
      </c>
      <c r="L111" s="10" t="str">
        <f ca="1">IFERROR(__xludf.DUMMYFUNCTION("VLOOKUP(K111, IMPORTRANGE(""https://docs.google.com/spreadsheets/d/1yDAaXNsi4Mr5FtRQL4tbmSdIzhx6_m4wkOD7IG-k_eo/edit#gid=0"", ""Maths!M:N""), 2, FALSE)"),"Compare given rational numbers using the appropriate comparison symbols.")</f>
        <v>Compare given rational numbers using the appropriate comparison symbols.</v>
      </c>
      <c r="M111" s="10" t="str">
        <f t="shared" si="2"/>
        <v>LU000472.003</v>
      </c>
      <c r="N111" s="10" t="str">
        <f ca="1">IFERROR(__xludf.DUMMYFUNCTION("VLOOKUP(M111, IMPORTRANGE(""https://docs.google.com/spreadsheets/d/1yDAaXNsi4Mr5FtRQL4tbmSdIzhx6_m4wkOD7IG-k_eo/edit#gid=0"", ""Maths!M:N""), 2, FALSE)"),"Arrange a set of given rational numbers in ascending or descending order.")</f>
        <v>Arrange a set of given rational numbers in ascending or descending order.</v>
      </c>
      <c r="O111" s="10" t="str">
        <f t="shared" si="3"/>
        <v>LU000472.004</v>
      </c>
      <c r="P111" s="10" t="str">
        <f ca="1">IFERROR(__xludf.DUMMYFUNCTION("VLOOKUP(O111, IMPORTRANGE(""https://docs.google.com/spreadsheets/d/1yDAaXNsi4Mr5FtRQL4tbmSdIzhx6_m4wkOD7IG-k_eo/edit#gid=0"", ""Maths!M:N""), 2, FALSE)"),"Analyse the effect of common denominators and numerators when comparing rational numbers.")</f>
        <v>Analyse the effect of common denominators and numerators when comparing rational numbers.</v>
      </c>
      <c r="Q111" s="10" t="str">
        <f t="shared" si="4"/>
        <v>LU000472.005</v>
      </c>
      <c r="R111" s="10" t="str">
        <f ca="1">IFERROR(__xludf.DUMMYFUNCTION("VLOOKUP(Q111, IMPORTRANGE(""https://docs.google.com/spreadsheets/d/1yDAaXNsi4Mr5FtRQL4tbmSdIzhx6_m4wkOD7IG-k_eo/edit#gid=0"", ""Maths!M:N""), 2, FALSE)"),"Evaluate the challenge of comparing rational numbers with different signs and denominators.")</f>
        <v>Evaluate the challenge of comparing rational numbers with different signs and denominators.</v>
      </c>
      <c r="S111" s="10" t="str">
        <f t="shared" si="5"/>
        <v>LU000472.006</v>
      </c>
      <c r="T111" s="10" t="str">
        <f ca="1">IFERROR(__xludf.DUMMYFUNCTION("VLOOKUP(S111, IMPORTRANGE(""https://docs.google.com/spreadsheets/d/1yDAaXNsi4Mr5FtRQL4tbmSdIzhx6_m4wkOD7IG-k_eo/edit#gid=0"", ""Maths!M:N""), 2, FALSE)"),"Develop a set of scenario-based problems where students must compare rational numbers to solve practical situations")</f>
        <v>Develop a set of scenario-based problems where students must compare rational numbers to solve practical situations</v>
      </c>
      <c r="U111" s="11">
        <f ca="1">IFERROR(__xludf.DUMMYFUNCTION("ArrayFormula(VLOOKUP(G111, IMPORTRANGE(""https://docs.google.com/spreadsheets/d/1p7R4vtkWt5VOBim4ltsDG9KTzSjrtKXsMtQGXPHyND0/edit#gid=795171502"", ""'Filter 30_05_2024'!A1:M2000""), {2, 3, 4, 5,6,7,8,9,10,11,12,13}, 0))"),5)</f>
        <v>5</v>
      </c>
      <c r="V111" s="11">
        <f ca="1">IFERROR(__xludf.DUMMYFUNCTION("""COMPUTED_VALUE"""),11)</f>
        <v>11</v>
      </c>
      <c r="W111" s="11">
        <f ca="1">IFERROR(__xludf.DUMMYFUNCTION("""COMPUTED_VALUE"""),2)</f>
        <v>2</v>
      </c>
      <c r="X111" s="11">
        <f ca="1">IFERROR(__xludf.DUMMYFUNCTION("""COMPUTED_VALUE"""),18)</f>
        <v>18</v>
      </c>
      <c r="Y111" s="11">
        <f ca="1">IFERROR(__xludf.DUMMYFUNCTION("""COMPUTED_VALUE"""),4)</f>
        <v>4</v>
      </c>
      <c r="Z111" s="12">
        <f ca="1">IFERROR(__xludf.DUMMYFUNCTION("""COMPUTED_VALUE"""),3)</f>
        <v>3</v>
      </c>
      <c r="AA111" s="12">
        <f ca="1">IFERROR(__xludf.DUMMYFUNCTION("""COMPUTED_VALUE"""),1)</f>
        <v>1</v>
      </c>
      <c r="AB111" s="12">
        <f ca="1">IFERROR(__xludf.DUMMYFUNCTION("""COMPUTED_VALUE"""),8)</f>
        <v>8</v>
      </c>
      <c r="AC111" s="12"/>
      <c r="AD111" s="12"/>
      <c r="AE111" s="12"/>
      <c r="AF111" s="12"/>
      <c r="AG111" s="13" t="str">
        <f ca="1">IFERROR(__xludf.DUMMYFUNCTION("ArrayFormula(VLOOKUP(G111, IMPORTRANGE(""https://docs.google.com/spreadsheets/d/1Co934fvtviyaRiMsrIlT05Jaq7iiYq07aLvRr35KA48/edit?gid=173865642#gid=173865642"", ""'G7_Maths_Pri_LU'!G2:V2000""), {3, 4, 5, 6, 7, 8, 9, 10, 11, 12, 13, 14, 15, 16}, 0))"),"LU000287")</f>
        <v>LU000287</v>
      </c>
      <c r="AH111" s="13" t="str">
        <f ca="1">IFERROR(__xludf.DUMMYFUNCTION("""COMPUTED_VALUE"""),"Comparison of fractions")</f>
        <v>Comparison of fractions</v>
      </c>
      <c r="AI111" s="13" t="str">
        <f ca="1">IFERROR(__xludf.DUMMYFUNCTION("""COMPUTED_VALUE"""),"LU000470")</f>
        <v>LU000470</v>
      </c>
      <c r="AJ111" s="13" t="str">
        <f ca="1">IFERROR(__xludf.DUMMYFUNCTION("""COMPUTED_VALUE"""),"Representation of rational numbers on a number line")</f>
        <v>Representation of rational numbers on a number line</v>
      </c>
      <c r="AK111" s="13" t="str">
        <f ca="1">IFERROR(__xludf.DUMMYFUNCTION("""COMPUTED_VALUE"""),"LU000908")</f>
        <v>LU000908</v>
      </c>
      <c r="AL111" s="13" t="str">
        <f ca="1">IFERROR(__xludf.DUMMYFUNCTION("""COMPUTED_VALUE"""),"Comparison of integers")</f>
        <v>Comparison of integers</v>
      </c>
      <c r="AM111" s="13" t="str">
        <f ca="1">IFERROR(__xludf.DUMMYFUNCTION("""COMPUTED_VALUE"""),"LU000464")</f>
        <v>LU000464</v>
      </c>
      <c r="AN111" s="13" t="str">
        <f ca="1">IFERROR(__xludf.DUMMYFUNCTION("""COMPUTED_VALUE"""),"Definition of rational numbers")</f>
        <v>Definition of rational numbers</v>
      </c>
      <c r="AO111" s="13"/>
      <c r="AP111" s="13"/>
      <c r="AQ111" s="13"/>
      <c r="AR111" s="13"/>
      <c r="AS111" s="13"/>
      <c r="AT111" s="13"/>
    </row>
    <row r="112" spans="1:46">
      <c r="A112" s="8" t="s">
        <v>247</v>
      </c>
      <c r="B112" s="8" t="s">
        <v>47</v>
      </c>
      <c r="C112" s="8" t="s">
        <v>416</v>
      </c>
      <c r="D112" s="8" t="s">
        <v>49</v>
      </c>
      <c r="E112" s="8" t="s">
        <v>567</v>
      </c>
      <c r="F112" s="8" t="s">
        <v>583</v>
      </c>
      <c r="G112" s="8" t="s">
        <v>584</v>
      </c>
      <c r="H112" s="8" t="str">
        <f ca="1">IFERROR(__xludf.DUMMYFUNCTION("VLOOKUP(G112, IMPORTRANGE(""https://docs.google.com/spreadsheets/d/14deopnvwcrKtEGCKuYXdUHJbeLDZlkiSSWWT0g7x2pM/edit#gid=999382323"", ""LU List Maths (Filter)!A:B""), 2, FALSE)"),"Rational numbers between two rational numbers")</f>
        <v>Rational numbers between two rational numbers</v>
      </c>
      <c r="I112" s="10" t="str">
        <f t="shared" si="0"/>
        <v>LU000473.001</v>
      </c>
      <c r="J112" s="10" t="str">
        <f ca="1">IFERROR(__xludf.DUMMYFUNCTION("VLOOKUP(I112, IMPORTRANGE(""https://docs.google.com/spreadsheets/d/1yDAaXNsi4Mr5FtRQL4tbmSdIzhx6_m4wkOD7IG-k_eo/edit#gid=0"", ""Maths!M:N""), 2, FALSE)"),"State the idea of finding rational numbers that lie between two specified rational numbers on the number line.")</f>
        <v>State the idea of finding rational numbers that lie between two specified rational numbers on the number line.</v>
      </c>
      <c r="K112" s="10" t="str">
        <f t="shared" si="1"/>
        <v>LU000473.002</v>
      </c>
      <c r="L112" s="10" t="str">
        <f ca="1">IFERROR(__xludf.DUMMYFUNCTION("VLOOKUP(K112, IMPORTRANGE(""https://docs.google.com/spreadsheets/d/1yDAaXNsi4Mr5FtRQL4tbmSdIzhx6_m4wkOD7IG-k_eo/edit#gid=0"", ""Maths!M:N""), 2, FALSE)"),"Explain why there are infinitely many rational numbers between any two given rational numbers.")</f>
        <v>Explain why there are infinitely many rational numbers between any two given rational numbers.</v>
      </c>
      <c r="M112" s="10" t="str">
        <f t="shared" si="2"/>
        <v>LU000473.003</v>
      </c>
      <c r="N112" s="10" t="str">
        <f ca="1">IFERROR(__xludf.DUMMYFUNCTION("VLOOKUP(M112, IMPORTRANGE(""https://docs.google.com/spreadsheets/d/1yDAaXNsi4Mr5FtRQL4tbmSdIzhx6_m4wkOD7IG-k_eo/edit#gid=0"", ""Maths!M:N""), 2, FALSE)"),"Determine rational numbers between given pairs of rational numbers.")</f>
        <v>Determine rational numbers between given pairs of rational numbers.</v>
      </c>
      <c r="O112" s="10" t="str">
        <f t="shared" si="3"/>
        <v>LU000473.004</v>
      </c>
      <c r="P112" s="10" t="str">
        <f ca="1">IFERROR(__xludf.DUMMYFUNCTION("VLOOKUP(O112, IMPORTRANGE(""https://docs.google.com/spreadsheets/d/1yDAaXNsi4Mr5FtRQL4tbmSdIzhx6_m4wkOD7IG-k_eo/edit#gid=0"", ""Maths!M:N""), 2, FALSE)"),"Analyse the patterns and relationships among rational numbers located between two given values.")</f>
        <v>Analyse the patterns and relationships among rational numbers located between two given values.</v>
      </c>
      <c r="Q112" s="10" t="str">
        <f t="shared" si="4"/>
        <v>LU000473.005</v>
      </c>
      <c r="R112" s="10" t="str">
        <f ca="1">IFERROR(__xludf.DUMMYFUNCTION("VLOOKUP(Q112, IMPORTRANGE(""https://docs.google.com/spreadsheets/d/1yDAaXNsi4Mr5FtRQL4tbmSdIzhx6_m4wkOD7IG-k_eo/edit#gid=0"", ""Maths!M:N""), 2, FALSE)"),"Evaluate the concept of finding rational numbers between two given ones in terms of its practical applications.")</f>
        <v>Evaluate the concept of finding rational numbers between two given ones in terms of its practical applications.</v>
      </c>
      <c r="S112" s="10" t="str">
        <f t="shared" si="5"/>
        <v>LU000473.006</v>
      </c>
      <c r="T112" s="10" t="str">
        <f ca="1">IFERROR(__xludf.DUMMYFUNCTION("VLOOKUP(S112, IMPORTRANGE(""https://docs.google.com/spreadsheets/d/1yDAaXNsi4Mr5FtRQL4tbmSdIzhx6_m4wkOD7IG-k_eo/edit#gid=0"", ""Maths!M:N""), 2, FALSE)"),"Create a visual representation of a number line segment that illustrates rational numbers between rational numbers, indicating their positions.")</f>
        <v>Create a visual representation of a number line segment that illustrates rational numbers between rational numbers, indicating their positions.</v>
      </c>
      <c r="U112" s="11">
        <f ca="1">IFERROR(__xludf.DUMMYFUNCTION("ArrayFormula(VLOOKUP(G112, IMPORTRANGE(""https://docs.google.com/spreadsheets/d/1p7R4vtkWt5VOBim4ltsDG9KTzSjrtKXsMtQGXPHyND0/edit#gid=795171502"", ""'Filter 30_05_2024'!A1:M2000""), {2, 3, 4, 5,6,7,8,9,10,11,12,13}, 0))"),5)</f>
        <v>5</v>
      </c>
      <c r="V112" s="11">
        <f ca="1">IFERROR(__xludf.DUMMYFUNCTION("""COMPUTED_VALUE"""),12)</f>
        <v>12</v>
      </c>
      <c r="W112" s="11">
        <f ca="1">IFERROR(__xludf.DUMMYFUNCTION("""COMPUTED_VALUE"""),11)</f>
        <v>11</v>
      </c>
      <c r="X112" s="11">
        <f ca="1">IFERROR(__xludf.DUMMYFUNCTION("""COMPUTED_VALUE"""),28)</f>
        <v>28</v>
      </c>
      <c r="Y112" s="11">
        <f ca="1">IFERROR(__xludf.DUMMYFUNCTION("""COMPUTED_VALUE"""),4)</f>
        <v>4</v>
      </c>
      <c r="Z112" s="12">
        <f ca="1">IFERROR(__xludf.DUMMYFUNCTION("""COMPUTED_VALUE"""),6)</f>
        <v>6</v>
      </c>
      <c r="AA112" s="12">
        <f ca="1">IFERROR(__xludf.DUMMYFUNCTION("""COMPUTED_VALUE"""),3)</f>
        <v>3</v>
      </c>
      <c r="AB112" s="12">
        <f ca="1">IFERROR(__xludf.DUMMYFUNCTION("""COMPUTED_VALUE"""),13)</f>
        <v>13</v>
      </c>
      <c r="AC112" s="12"/>
      <c r="AD112" s="12"/>
      <c r="AE112" s="12"/>
      <c r="AF112" s="12"/>
      <c r="AG112" s="13" t="str">
        <f ca="1">IFERROR(__xludf.DUMMYFUNCTION("ArrayFormula(VLOOKUP(G112, IMPORTRANGE(""https://docs.google.com/spreadsheets/d/1Co934fvtviyaRiMsrIlT05Jaq7iiYq07aLvRr35KA48/edit?gid=173865642#gid=173865642"", ""'G7_Maths_Pri_LU'!G2:V2000""), {3, 4, 5, 6, 7, 8, 9, 10, 11, 12, 13, 14, 15, 16}, 0))"),"LU000472")</f>
        <v>LU000472</v>
      </c>
      <c r="AH112" s="13" t="str">
        <f ca="1">IFERROR(__xludf.DUMMYFUNCTION("""COMPUTED_VALUE"""),"Comparison of rational numbers")</f>
        <v>Comparison of rational numbers</v>
      </c>
      <c r="AI112" s="13" t="str">
        <f ca="1">IFERROR(__xludf.DUMMYFUNCTION("""COMPUTED_VALUE"""),"LU000467")</f>
        <v>LU000467</v>
      </c>
      <c r="AJ112" s="13" t="str">
        <f ca="1">IFERROR(__xludf.DUMMYFUNCTION("""COMPUTED_VALUE"""),"Definition of equivalent rational number")</f>
        <v>Definition of equivalent rational number</v>
      </c>
      <c r="AK112" s="13" t="str">
        <f ca="1">IFERROR(__xludf.DUMMYFUNCTION("""COMPUTED_VALUE"""),"LU000212")</f>
        <v>LU000212</v>
      </c>
      <c r="AL112" s="13" t="str">
        <f ca="1">IFERROR(__xludf.DUMMYFUNCTION("""COMPUTED_VALUE"""),"Least Common Multiple (LCM) of the numbers")</f>
        <v>Least Common Multiple (LCM) of the numbers</v>
      </c>
      <c r="AM112" s="13" t="str">
        <f ca="1">IFERROR(__xludf.DUMMYFUNCTION("""COMPUTED_VALUE"""),"LU000908")</f>
        <v>LU000908</v>
      </c>
      <c r="AN112" s="13" t="str">
        <f ca="1">IFERROR(__xludf.DUMMYFUNCTION("""COMPUTED_VALUE"""),"Comparison of integers")</f>
        <v>Comparison of integers</v>
      </c>
      <c r="AO112" s="13"/>
      <c r="AP112" s="13"/>
      <c r="AQ112" s="13"/>
      <c r="AR112" s="13"/>
      <c r="AS112" s="13"/>
      <c r="AT112" s="13"/>
    </row>
    <row r="113" spans="1:46">
      <c r="A113" s="8" t="s">
        <v>247</v>
      </c>
      <c r="B113" s="8" t="s">
        <v>47</v>
      </c>
      <c r="C113" s="8" t="s">
        <v>416</v>
      </c>
      <c r="D113" s="8" t="s">
        <v>49</v>
      </c>
      <c r="E113" s="8" t="s">
        <v>567</v>
      </c>
      <c r="F113" s="8" t="s">
        <v>583</v>
      </c>
      <c r="G113" s="8" t="s">
        <v>585</v>
      </c>
      <c r="H113" s="8" t="str">
        <f ca="1">IFERROR(__xludf.DUMMYFUNCTION("VLOOKUP(G113, IMPORTRANGE(""https://docs.google.com/spreadsheets/d/14deopnvwcrKtEGCKuYXdUHJbeLDZlkiSSWWT0g7x2pM/edit#gid=999382323"", ""LU List Maths (Filter)!A:B""), 2, FALSE)"),"Pattern involving rational numbers")</f>
        <v>Pattern involving rational numbers</v>
      </c>
      <c r="I113" s="10" t="str">
        <f t="shared" si="0"/>
        <v>LU000939.001</v>
      </c>
      <c r="J113" s="10" t="str">
        <f ca="1">IFERROR(__xludf.DUMMYFUNCTION("VLOOKUP(I113, IMPORTRANGE(""https://docs.google.com/spreadsheets/d/1yDAaXNsi4Mr5FtRQL4tbmSdIzhx6_m4wkOD7IG-k_eo/edit#gid=0"", ""Maths!M:N""), 2, FALSE)"),"Describe the pattern that involves rational numbers.")</f>
        <v>Describe the pattern that involves rational numbers.</v>
      </c>
      <c r="K113" s="10" t="str">
        <f t="shared" si="1"/>
        <v>LU000939.002</v>
      </c>
      <c r="L113" s="10" t="str">
        <f ca="1">IFERROR(__xludf.DUMMYFUNCTION("VLOOKUP(K113, IMPORTRANGE(""https://docs.google.com/spreadsheets/d/1yDAaXNsi4Mr5FtRQL4tbmSdIzhx6_m4wkOD7IG-k_eo/edit#gid=0"", ""Maths!M:N""), 2, FALSE)"),"Explain how to obtain the next numbers in the given sequence of rational numbers.")</f>
        <v>Explain how to obtain the next numbers in the given sequence of rational numbers.</v>
      </c>
      <c r="M113" s="10" t="str">
        <f t="shared" si="2"/>
        <v>LU000939.003</v>
      </c>
      <c r="N113" s="10" t="str">
        <f ca="1">IFERROR(__xludf.DUMMYFUNCTION("VLOOKUP(M113, IMPORTRANGE(""https://docs.google.com/spreadsheets/d/1yDAaXNsi4Mr5FtRQL4tbmSdIzhx6_m4wkOD7IG-k_eo/edit#gid=0"", ""Maths!M:N""), 2, FALSE)"),"Apply the concept of rational numbers to identify and extend given patterns in sequences.")</f>
        <v>Apply the concept of rational numbers to identify and extend given patterns in sequences.</v>
      </c>
      <c r="O113" s="10" t="str">
        <f t="shared" si="3"/>
        <v>LU000939.004</v>
      </c>
      <c r="P113" s="10" t="str">
        <f ca="1">IFERROR(__xludf.DUMMYFUNCTION("VLOOKUP(O113, IMPORTRANGE(""https://docs.google.com/spreadsheets/d/1yDAaXNsi4Mr5FtRQL4tbmSdIzhx6_m4wkOD7IG-k_eo/edit#gid=0"", ""Maths!M:N""), 2, FALSE)"),"Analyse the pattern in the rational numbers and use it to write next numbers.")</f>
        <v>Analyse the pattern in the rational numbers and use it to write next numbers.</v>
      </c>
      <c r="Q113" s="10" t="str">
        <f t="shared" si="4"/>
        <v>LU000939.005</v>
      </c>
      <c r="R113" s="10" t="str">
        <f ca="1">IFERROR(__xludf.DUMMYFUNCTION("VLOOKUP(Q113, IMPORTRANGE(""https://docs.google.com/spreadsheets/d/1yDAaXNsi4Mr5FtRQL4tbmSdIzhx6_m4wkOD7IG-k_eo/edit#gid=0"", ""Maths!M:N""), 2, FALSE)"),"Evaluate various patterns involving rational numbers, and justify the reasoning behind the continuation or prediction of these patterns.")</f>
        <v>Evaluate various patterns involving rational numbers, and justify the reasoning behind the continuation or prediction of these patterns.</v>
      </c>
      <c r="S113" s="10" t="str">
        <f t="shared" si="5"/>
        <v>LU000939.006</v>
      </c>
      <c r="T113" s="10" t="str">
        <f ca="1">IFERROR(__xludf.DUMMYFUNCTION("VLOOKUP(S113, IMPORTRANGE(""https://docs.google.com/spreadsheets/d/1yDAaXNsi4Mr5FtRQL4tbmSdIzhx6_m4wkOD7IG-k_eo/edit#gid=0"", ""Maths!M:N""), 2, FALSE)"),"#N/A")</f>
        <v>#N/A</v>
      </c>
      <c r="U113" s="11">
        <f ca="1">IFERROR(__xludf.DUMMYFUNCTION("ArrayFormula(VLOOKUP(G113, IMPORTRANGE(""https://docs.google.com/spreadsheets/d/1p7R4vtkWt5VOBim4ltsDG9KTzSjrtKXsMtQGXPHyND0/edit#gid=795171502"", ""'Filter 30_05_2024'!A1:M2000""), {2, 3, 4, 5,6,7,8,9,10,11,12,13}, 0))"),4)</f>
        <v>4</v>
      </c>
      <c r="V113" s="11">
        <f ca="1">IFERROR(__xludf.DUMMYFUNCTION("""COMPUTED_VALUE"""),6)</f>
        <v>6</v>
      </c>
      <c r="W113" s="11">
        <f ca="1">IFERROR(__xludf.DUMMYFUNCTION("""COMPUTED_VALUE"""),5)</f>
        <v>5</v>
      </c>
      <c r="X113" s="11">
        <f ca="1">IFERROR(__xludf.DUMMYFUNCTION("""COMPUTED_VALUE"""),15)</f>
        <v>15</v>
      </c>
      <c r="Y113" s="11">
        <f ca="1">IFERROR(__xludf.DUMMYFUNCTION("""COMPUTED_VALUE"""),4)</f>
        <v>4</v>
      </c>
      <c r="Z113" s="12">
        <f ca="1">IFERROR(__xludf.DUMMYFUNCTION("""COMPUTED_VALUE"""),3)</f>
        <v>3</v>
      </c>
      <c r="AA113" s="12">
        <f ca="1">IFERROR(__xludf.DUMMYFUNCTION("""COMPUTED_VALUE"""),1)</f>
        <v>1</v>
      </c>
      <c r="AB113" s="12">
        <f ca="1">IFERROR(__xludf.DUMMYFUNCTION("""COMPUTED_VALUE"""),8)</f>
        <v>8</v>
      </c>
      <c r="AC113" s="12"/>
      <c r="AD113" s="12"/>
      <c r="AE113" s="12"/>
      <c r="AF113" s="12"/>
      <c r="AG113" s="13" t="str">
        <f ca="1">IFERROR(__xludf.DUMMYFUNCTION("ArrayFormula(VLOOKUP(G113, IMPORTRANGE(""https://docs.google.com/spreadsheets/d/1Co934fvtviyaRiMsrIlT05Jaq7iiYq07aLvRr35KA48/edit?gid=173865642#gid=173865642"", ""'G7_Maths_Pri_LU'!G2:V2000""), {3, 4, 5, 6, 7, 8, 9, 10, 11, 12, 13, 14, 15, 16}, 0))"),"LU000467")</f>
        <v>LU000467</v>
      </c>
      <c r="AH113" s="13" t="str">
        <f ca="1">IFERROR(__xludf.DUMMYFUNCTION("""COMPUTED_VALUE"""),"Definition of equivalent rational number")</f>
        <v>Definition of equivalent rational number</v>
      </c>
      <c r="AI113" s="13" t="str">
        <f ca="1">IFERROR(__xludf.DUMMYFUNCTION("""COMPUTED_VALUE"""),"LU000068")</f>
        <v>LU000068</v>
      </c>
      <c r="AJ113" s="13" t="str">
        <f ca="1">IFERROR(__xludf.DUMMYFUNCTION("""COMPUTED_VALUE"""),"Number pattern involving multiple arithmetic operations (multiplication and addition; division and subtraction)")</f>
        <v>Number pattern involving multiple arithmetic operations (multiplication and addition; division and subtraction)</v>
      </c>
      <c r="AK113" s="13"/>
      <c r="AL113" s="13"/>
      <c r="AM113" s="13"/>
      <c r="AN113" s="13"/>
      <c r="AO113" s="13"/>
      <c r="AP113" s="13"/>
      <c r="AQ113" s="13"/>
      <c r="AR113" s="13"/>
      <c r="AS113" s="13"/>
      <c r="AT113" s="13"/>
    </row>
    <row r="114" spans="1:46">
      <c r="A114" s="8" t="s">
        <v>247</v>
      </c>
      <c r="B114" s="8" t="s">
        <v>47</v>
      </c>
      <c r="C114" s="8" t="s">
        <v>416</v>
      </c>
      <c r="D114" s="8" t="s">
        <v>49</v>
      </c>
      <c r="E114" s="8" t="s">
        <v>567</v>
      </c>
      <c r="F114" s="10" t="s">
        <v>586</v>
      </c>
      <c r="G114" s="8" t="s">
        <v>587</v>
      </c>
      <c r="H114" s="8" t="str">
        <f ca="1">IFERROR(__xludf.DUMMYFUNCTION("VLOOKUP(G114, IMPORTRANGE(""https://docs.google.com/spreadsheets/d/14deopnvwcrKtEGCKuYXdUHJbeLDZlkiSSWWT0g7x2pM/edit#gid=999382323"", ""LU List Maths (Filter)!A:B""), 2, FALSE)"),"Addition of rational numbers")</f>
        <v>Addition of rational numbers</v>
      </c>
      <c r="I114" s="10" t="str">
        <f t="shared" si="0"/>
        <v>LU000474.001</v>
      </c>
      <c r="J114" s="10" t="str">
        <f ca="1">IFERROR(__xludf.DUMMYFUNCTION("VLOOKUP(I114, IMPORTRANGE(""https://docs.google.com/spreadsheets/d/1yDAaXNsi4Mr5FtRQL4tbmSdIzhx6_m4wkOD7IG-k_eo/edit#gid=0"", ""Maths!M:N""), 2, FALSE)"),"State the process of combining rational numbers to find their sum.")</f>
        <v>State the process of combining rational numbers to find their sum.</v>
      </c>
      <c r="K114" s="10" t="str">
        <f t="shared" si="1"/>
        <v>LU000474.002</v>
      </c>
      <c r="L114" s="10" t="str">
        <f ca="1">IFERROR(__xludf.DUMMYFUNCTION("VLOOKUP(K114, IMPORTRANGE(""https://docs.google.com/spreadsheets/d/1yDAaXNsi4Mr5FtRQL4tbmSdIzhx6_m4wkOD7IG-k_eo/edit#gid=0"", ""Maths!M:N""), 2, FALSE)"),"Explain how addition of rational numbers involves combining fractions with a common denominator.")</f>
        <v>Explain how addition of rational numbers involves combining fractions with a common denominator.</v>
      </c>
      <c r="M114" s="10" t="str">
        <f t="shared" si="2"/>
        <v>LU000474.003</v>
      </c>
      <c r="N114" s="10" t="str">
        <f ca="1">IFERROR(__xludf.DUMMYFUNCTION("VLOOKUP(M114, IMPORTRANGE(""https://docs.google.com/spreadsheets/d/1yDAaXNsi4Mr5FtRQL4tbmSdIzhx6_m4wkOD7IG-k_eo/edit#gid=0"", ""Maths!M:N""), 2, FALSE)"),"Solve arithmetic and practical addition problems involving rational numbers with both like and unlike denominators.")</f>
        <v>Solve arithmetic and practical addition problems involving rational numbers with both like and unlike denominators.</v>
      </c>
      <c r="O114" s="10" t="str">
        <f t="shared" si="3"/>
        <v>LU000474.004</v>
      </c>
      <c r="P114" s="10" t="str">
        <f ca="1">IFERROR(__xludf.DUMMYFUNCTION("VLOOKUP(O114, IMPORTRANGE(""https://docs.google.com/spreadsheets/d/1yDAaXNsi4Mr5FtRQL4tbmSdIzhx6_m4wkOD7IG-k_eo/edit#gid=0"", ""Maths!M:N""), 2, FALSE)"),"Compare the addition of a positive rational number and a negative rational number, explaining how their signs contribute to the sign of the sum.")</f>
        <v>Compare the addition of a positive rational number and a negative rational number, explaining how their signs contribute to the sign of the sum.</v>
      </c>
      <c r="Q114" s="10" t="str">
        <f t="shared" si="4"/>
        <v>LU000474.005</v>
      </c>
      <c r="R114" s="10" t="str">
        <f ca="1">IFERROR(__xludf.DUMMYFUNCTION("VLOOKUP(Q114, IMPORTRANGE(""https://docs.google.com/spreadsheets/d/1yDAaXNsi4Mr5FtRQL4tbmSdIzhx6_m4wkOD7IG-k_eo/edit#gid=0"", ""Maths!M:N""), 2, FALSE)"),"Evaluate the significance of understanding addition of rational numbers in real-life scenarios.")</f>
        <v>Evaluate the significance of understanding addition of rational numbers in real-life scenarios.</v>
      </c>
      <c r="S114" s="10" t="str">
        <f t="shared" si="5"/>
        <v>LU000474.006</v>
      </c>
      <c r="T114" s="10" t="str">
        <f ca="1">IFERROR(__xludf.DUMMYFUNCTION("VLOOKUP(S114, IMPORTRANGE(""https://docs.google.com/spreadsheets/d/1yDAaXNsi4Mr5FtRQL4tbmSdIzhx6_m4wkOD7IG-k_eo/edit#gid=0"", ""Maths!M:N""), 2, FALSE)"),"Design a visual representation that illustrates the process of adding rational numbers on a number line.")</f>
        <v>Design a visual representation that illustrates the process of adding rational numbers on a number line.</v>
      </c>
      <c r="U114" s="11">
        <f ca="1">IFERROR(__xludf.DUMMYFUNCTION("ArrayFormula(VLOOKUP(G114, IMPORTRANGE(""https://docs.google.com/spreadsheets/d/1p7R4vtkWt5VOBim4ltsDG9KTzSjrtKXsMtQGXPHyND0/edit#gid=795171502"", ""'Filter 30_05_2024'!A1:M2000""), {2, 3, 4, 5,6,7,8,9,10,11,12,13}, 0))"),4)</f>
        <v>4</v>
      </c>
      <c r="V114" s="11">
        <f ca="1">IFERROR(__xludf.DUMMYFUNCTION("""COMPUTED_VALUE"""),17)</f>
        <v>17</v>
      </c>
      <c r="W114" s="11">
        <f ca="1">IFERROR(__xludf.DUMMYFUNCTION("""COMPUTED_VALUE"""),2)</f>
        <v>2</v>
      </c>
      <c r="X114" s="11">
        <f ca="1">IFERROR(__xludf.DUMMYFUNCTION("""COMPUTED_VALUE"""),23)</f>
        <v>23</v>
      </c>
      <c r="Y114" s="11">
        <f ca="1">IFERROR(__xludf.DUMMYFUNCTION("""COMPUTED_VALUE"""),4)</f>
        <v>4</v>
      </c>
      <c r="Z114" s="12">
        <f ca="1">IFERROR(__xludf.DUMMYFUNCTION("""COMPUTED_VALUE"""),7)</f>
        <v>7</v>
      </c>
      <c r="AA114" s="12">
        <f ca="1">IFERROR(__xludf.DUMMYFUNCTION("""COMPUTED_VALUE"""),1)</f>
        <v>1</v>
      </c>
      <c r="AB114" s="12">
        <f ca="1">IFERROR(__xludf.DUMMYFUNCTION("""COMPUTED_VALUE"""),12)</f>
        <v>12</v>
      </c>
      <c r="AC114" s="12"/>
      <c r="AD114" s="12"/>
      <c r="AE114" s="12"/>
      <c r="AF114" s="12"/>
      <c r="AG114" s="13" t="str">
        <f ca="1">IFERROR(__xludf.DUMMYFUNCTION("ArrayFormula(VLOOKUP(G114, IMPORTRANGE(""https://docs.google.com/spreadsheets/d/1Co934fvtviyaRiMsrIlT05Jaq7iiYq07aLvRr35KA48/edit?gid=173865642#gid=173865642"", ""'G7_Maths_Pri_LU'!G2:V2000""), {3, 4, 5, 6, 7, 8, 9, 10, 11, 12, 13, 14, 15, 16}, 0))"),"LU000979")</f>
        <v>LU000979</v>
      </c>
      <c r="AH114" s="13" t="str">
        <f ca="1">IFERROR(__xludf.DUMMYFUNCTION("""COMPUTED_VALUE"""),"Addition of unlike fractions")</f>
        <v>Addition of unlike fractions</v>
      </c>
      <c r="AI114" s="13" t="str">
        <f ca="1">IFERROR(__xludf.DUMMYFUNCTION("""COMPUTED_VALUE"""),"LU000271")</f>
        <v>LU000271</v>
      </c>
      <c r="AJ114" s="13" t="str">
        <f ca="1">IFERROR(__xludf.DUMMYFUNCTION("""COMPUTED_VALUE"""),"Addition of integers using rules of signs")</f>
        <v>Addition of integers using rules of signs</v>
      </c>
      <c r="AK114" s="13" t="str">
        <f ca="1">IFERROR(__xludf.DUMMYFUNCTION("""COMPUTED_VALUE"""),"LU000464")</f>
        <v>LU000464</v>
      </c>
      <c r="AL114" s="13" t="str">
        <f ca="1">IFERROR(__xludf.DUMMYFUNCTION("""COMPUTED_VALUE"""),"Definition of rational numbers")</f>
        <v>Definition of rational numbers</v>
      </c>
      <c r="AM114" s="13"/>
      <c r="AN114" s="13"/>
      <c r="AO114" s="13"/>
      <c r="AP114" s="13"/>
      <c r="AQ114" s="13"/>
      <c r="AR114" s="13"/>
      <c r="AS114" s="13"/>
      <c r="AT114" s="13"/>
    </row>
    <row r="115" spans="1:46">
      <c r="A115" s="8" t="s">
        <v>247</v>
      </c>
      <c r="B115" s="8" t="s">
        <v>47</v>
      </c>
      <c r="C115" s="8" t="s">
        <v>416</v>
      </c>
      <c r="D115" s="8" t="s">
        <v>49</v>
      </c>
      <c r="E115" s="8" t="s">
        <v>567</v>
      </c>
      <c r="F115" s="10" t="s">
        <v>588</v>
      </c>
      <c r="G115" s="8" t="s">
        <v>589</v>
      </c>
      <c r="H115" s="8" t="str">
        <f ca="1">IFERROR(__xludf.DUMMYFUNCTION("VLOOKUP(G115, IMPORTRANGE(""https://docs.google.com/spreadsheets/d/14deopnvwcrKtEGCKuYXdUHJbeLDZlkiSSWWT0g7x2pM/edit#gid=999382323"", ""LU List Maths (Filter)!A:B""), 2, FALSE)"),"Subtraction of rational numbers")</f>
        <v>Subtraction of rational numbers</v>
      </c>
      <c r="I115" s="10" t="str">
        <f t="shared" si="0"/>
        <v>LU000475.001</v>
      </c>
      <c r="J115" s="10" t="str">
        <f ca="1">IFERROR(__xludf.DUMMYFUNCTION("VLOOKUP(I115, IMPORTRANGE(""https://docs.google.com/spreadsheets/d/1yDAaXNsi4Mr5FtRQL4tbmSdIzhx6_m4wkOD7IG-k_eo/edit#gid=0"", ""Maths!M:N""), 2, FALSE)"),"State the process of subtracting rational numbers to find their difference.")</f>
        <v>State the process of subtracting rational numbers to find their difference.</v>
      </c>
      <c r="K115" s="10" t="str">
        <f t="shared" si="1"/>
        <v>LU000475.002</v>
      </c>
      <c r="L115" s="10" t="str">
        <f ca="1">IFERROR(__xludf.DUMMYFUNCTION("VLOOKUP(K115, IMPORTRANGE(""https://docs.google.com/spreadsheets/d/1yDAaXNsi4Mr5FtRQL4tbmSdIzhx6_m4wkOD7IG-k_eo/edit#gid=0"", ""Maths!M:N""), 2, FALSE)"),"Describe how subtracting a rational number is equivalent to adding its additive inverse, allowing for simplification.")</f>
        <v>Describe how subtracting a rational number is equivalent to adding its additive inverse, allowing for simplification.</v>
      </c>
      <c r="M115" s="10" t="str">
        <f t="shared" si="2"/>
        <v>LU000475.003</v>
      </c>
      <c r="N115" s="10" t="str">
        <f ca="1">IFERROR(__xludf.DUMMYFUNCTION("VLOOKUP(M115, IMPORTRANGE(""https://docs.google.com/spreadsheets/d/1yDAaXNsi4Mr5FtRQL4tbmSdIzhx6_m4wkOD7IG-k_eo/edit#gid=0"", ""Maths!M:N""), 2, FALSE)"),"Solve arithmetic and practical subtraction problems involving rational numbers with both like and unlike denominators.")</f>
        <v>Solve arithmetic and practical subtraction problems involving rational numbers with both like and unlike denominators.</v>
      </c>
      <c r="O115" s="10" t="str">
        <f t="shared" si="3"/>
        <v>LU000475.004</v>
      </c>
      <c r="P115" s="10" t="str">
        <f ca="1">IFERROR(__xludf.DUMMYFUNCTION("VLOOKUP(O115, IMPORTRANGE(""https://docs.google.com/spreadsheets/d/1yDAaXNsi4Mr5FtRQL4tbmSdIzhx6_m4wkOD7IG-k_eo/edit#gid=0"", ""Maths!M:N""), 2, FALSE)"),"Analyse how the sign of rational numbers affects their difference when subtracting.")</f>
        <v>Analyse how the sign of rational numbers affects their difference when subtracting.</v>
      </c>
      <c r="Q115" s="10" t="str">
        <f t="shared" si="4"/>
        <v>LU000475.005</v>
      </c>
      <c r="R115" s="10" t="str">
        <f ca="1">IFERROR(__xludf.DUMMYFUNCTION("VLOOKUP(Q115, IMPORTRANGE(""https://docs.google.com/spreadsheets/d/1yDAaXNsi4Mr5FtRQL4tbmSdIzhx6_m4wkOD7IG-k_eo/edit#gid=0"", ""Maths!M:N""), 2, FALSE)"),"Evaluate the significance of understanding subtraction of rational numbers in real-life scenarios.")</f>
        <v>Evaluate the significance of understanding subtraction of rational numbers in real-life scenarios.</v>
      </c>
      <c r="S115" s="10" t="str">
        <f t="shared" si="5"/>
        <v>LU000475.006</v>
      </c>
      <c r="T115" s="10" t="str">
        <f ca="1">IFERROR(__xludf.DUMMYFUNCTION("VLOOKUP(S115, IMPORTRANGE(""https://docs.google.com/spreadsheets/d/1yDAaXNsi4Mr5FtRQL4tbmSdIzhx6_m4wkOD7IG-k_eo/edit#gid=0"", ""Maths!M:N""), 2, FALSE)"),"Design a visual representation that illustrates the process of subtracting rational numbers on a number line.")</f>
        <v>Design a visual representation that illustrates the process of subtracting rational numbers on a number line.</v>
      </c>
      <c r="U115" s="11">
        <f ca="1">IFERROR(__xludf.DUMMYFUNCTION("ArrayFormula(VLOOKUP(G115, IMPORTRANGE(""https://docs.google.com/spreadsheets/d/1p7R4vtkWt5VOBim4ltsDG9KTzSjrtKXsMtQGXPHyND0/edit#gid=795171502"", ""'Filter 30_05_2024'!A1:M2000""), {2, 3, 4, 5,6,7,8,9,10,11,12,13}, 0))"),12)</f>
        <v>12</v>
      </c>
      <c r="V115" s="11">
        <f ca="1">IFERROR(__xludf.DUMMYFUNCTION("""COMPUTED_VALUE"""),6)</f>
        <v>6</v>
      </c>
      <c r="W115" s="11">
        <f ca="1">IFERROR(__xludf.DUMMYFUNCTION("""COMPUTED_VALUE"""),2)</f>
        <v>2</v>
      </c>
      <c r="X115" s="11">
        <f ca="1">IFERROR(__xludf.DUMMYFUNCTION("""COMPUTED_VALUE"""),20)</f>
        <v>20</v>
      </c>
      <c r="Y115" s="11">
        <f ca="1">IFERROR(__xludf.DUMMYFUNCTION("""COMPUTED_VALUE"""),6)</f>
        <v>6</v>
      </c>
      <c r="Z115" s="12">
        <f ca="1">IFERROR(__xludf.DUMMYFUNCTION("""COMPUTED_VALUE"""),4)</f>
        <v>4</v>
      </c>
      <c r="AA115" s="12">
        <f ca="1">IFERROR(__xludf.DUMMYFUNCTION("""COMPUTED_VALUE"""),1)</f>
        <v>1</v>
      </c>
      <c r="AB115" s="12">
        <f ca="1">IFERROR(__xludf.DUMMYFUNCTION("""COMPUTED_VALUE"""),11)</f>
        <v>11</v>
      </c>
      <c r="AC115" s="12"/>
      <c r="AD115" s="12"/>
      <c r="AE115" s="12"/>
      <c r="AF115" s="12"/>
      <c r="AG115" s="13" t="str">
        <f ca="1">IFERROR(__xludf.DUMMYFUNCTION("ArrayFormula(VLOOKUP(G115, IMPORTRANGE(""https://docs.google.com/spreadsheets/d/1Co934fvtviyaRiMsrIlT05Jaq7iiYq07aLvRr35KA48/edit?gid=173865642#gid=173865642"", ""'G7_Maths_Pri_LU'!G2:V2000""), {3, 4, 5, 6, 7, 8, 9, 10, 11, 12, 13, 14, 15, 16}, 0))"),"LU000980")</f>
        <v>LU000980</v>
      </c>
      <c r="AH115" s="13" t="str">
        <f ca="1">IFERROR(__xludf.DUMMYFUNCTION("""COMPUTED_VALUE"""),"Subtraction of fractions with the different denominators")</f>
        <v>Subtraction of fractions with the different denominators</v>
      </c>
      <c r="AI115" s="13" t="str">
        <f ca="1">IFERROR(__xludf.DUMMYFUNCTION("""COMPUTED_VALUE"""),"LU000978")</f>
        <v>LU000978</v>
      </c>
      <c r="AJ115" s="13" t="str">
        <f ca="1">IFERROR(__xludf.DUMMYFUNCTION("""COMPUTED_VALUE"""),"Subtraction of fractions with the same denominators")</f>
        <v>Subtraction of fractions with the same denominators</v>
      </c>
      <c r="AK115" s="13" t="str">
        <f ca="1">IFERROR(__xludf.DUMMYFUNCTION("""COMPUTED_VALUE"""),"LU000479")</f>
        <v>LU000479</v>
      </c>
      <c r="AL115" s="13" t="str">
        <f ca="1">IFERROR(__xludf.DUMMYFUNCTION("""COMPUTED_VALUE"""),"Additive inverse of rational number")</f>
        <v>Additive inverse of rational number</v>
      </c>
      <c r="AM115" s="13" t="str">
        <f ca="1">IFERROR(__xludf.DUMMYFUNCTION("""COMPUTED_VALUE"""),"LU000474")</f>
        <v>LU000474</v>
      </c>
      <c r="AN115" s="13" t="str">
        <f ca="1">IFERROR(__xludf.DUMMYFUNCTION("""COMPUTED_VALUE"""),"Addition of rational numbers")</f>
        <v>Addition of rational numbers</v>
      </c>
      <c r="AO115" s="13" t="str">
        <f ca="1">IFERROR(__xludf.DUMMYFUNCTION("""COMPUTED_VALUE"""),"LU000464")</f>
        <v>LU000464</v>
      </c>
      <c r="AP115" s="13" t="str">
        <f ca="1">IFERROR(__xludf.DUMMYFUNCTION("""COMPUTED_VALUE"""),"Definition of rational numbers")</f>
        <v>Definition of rational numbers</v>
      </c>
      <c r="AQ115" s="13"/>
      <c r="AR115" s="13"/>
      <c r="AS115" s="13"/>
      <c r="AT115" s="13"/>
    </row>
    <row r="116" spans="1:46">
      <c r="A116" s="8" t="s">
        <v>247</v>
      </c>
      <c r="B116" s="8" t="s">
        <v>47</v>
      </c>
      <c r="C116" s="8" t="s">
        <v>416</v>
      </c>
      <c r="D116" s="8" t="s">
        <v>49</v>
      </c>
      <c r="E116" s="8" t="s">
        <v>567</v>
      </c>
      <c r="F116" s="10" t="s">
        <v>588</v>
      </c>
      <c r="G116" s="8" t="s">
        <v>590</v>
      </c>
      <c r="H116" s="8" t="str">
        <f ca="1">IFERROR(__xludf.DUMMYFUNCTION("VLOOKUP(G116, IMPORTRANGE(""https://docs.google.com/spreadsheets/d/14deopnvwcrKtEGCKuYXdUHJbeLDZlkiSSWWT0g7x2pM/edit#gid=999382323"", ""LU List Maths (Filter)!A:B""), 2, FALSE)"),"Additive inverse of rational number")</f>
        <v>Additive inverse of rational number</v>
      </c>
      <c r="I116" s="10" t="str">
        <f t="shared" si="0"/>
        <v>LU000479.001</v>
      </c>
      <c r="J116" s="10" t="str">
        <f ca="1">IFERROR(__xludf.DUMMYFUNCTION("VLOOKUP(I116, IMPORTRANGE(""https://docs.google.com/spreadsheets/d/1yDAaXNsi4Mr5FtRQL4tbmSdIzhx6_m4wkOD7IG-k_eo/edit#gid=0"", ""Maths!M:N""), 2, FALSE)"),"State the definition of additive inverse of a rational number ""a/b"" as ""-a/b""")</f>
        <v>State the definition of additive inverse of a rational number "a/b" as "-a/b"</v>
      </c>
      <c r="K116" s="10" t="str">
        <f t="shared" si="1"/>
        <v>LU000479.002</v>
      </c>
      <c r="L116" s="10" t="str">
        <f ca="1">IFERROR(__xludf.DUMMYFUNCTION("VLOOKUP(K116, IMPORTRANGE(""https://docs.google.com/spreadsheets/d/1yDAaXNsi4Mr5FtRQL4tbmSdIzhx6_m4wkOD7IG-k_eo/edit#gid=0"", ""Maths!M:N""), 2, FALSE)"),"Explain how the additive inverse of a rational number serves as its opposite and contributes to achieving a zero sum.")</f>
        <v>Explain how the additive inverse of a rational number serves as its opposite and contributes to achieving a zero sum.</v>
      </c>
      <c r="M116" s="10" t="str">
        <f t="shared" si="2"/>
        <v>LU000479.003</v>
      </c>
      <c r="N116" s="10" t="str">
        <f ca="1">IFERROR(__xludf.DUMMYFUNCTION("VLOOKUP(M116, IMPORTRANGE(""https://docs.google.com/spreadsheets/d/1yDAaXNsi4Mr5FtRQL4tbmSdIzhx6_m4wkOD7IG-k_eo/edit#gid=0"", ""Maths!M:N""), 2, FALSE)"),"Determine the additive inverses of given rational numbers.")</f>
        <v>Determine the additive inverses of given rational numbers.</v>
      </c>
      <c r="O116" s="10" t="str">
        <f t="shared" si="3"/>
        <v>LU000479.004</v>
      </c>
      <c r="P116" s="10" t="str">
        <f ca="1">IFERROR(__xludf.DUMMYFUNCTION("VLOOKUP(O116, IMPORTRANGE(""https://docs.google.com/spreadsheets/d/1yDAaXNsi4Mr5FtRQL4tbmSdIzhx6_m4wkOD7IG-k_eo/edit#gid=0"", ""Maths!M:N""), 2, FALSE)"),"Analyse how the sum of a rational number and its additive inverse results in zero.")</f>
        <v>Analyse how the sum of a rational number and its additive inverse results in zero.</v>
      </c>
      <c r="Q116" s="10" t="str">
        <f t="shared" si="4"/>
        <v>LU000479.005</v>
      </c>
      <c r="R116" s="10" t="str">
        <f ca="1">IFERROR(__xludf.DUMMYFUNCTION("VLOOKUP(Q116, IMPORTRANGE(""https://docs.google.com/spreadsheets/d/1yDAaXNsi4Mr5FtRQL4tbmSdIzhx6_m4wkOD7IG-k_eo/edit#gid=0"", ""Maths!M:N""), 2, FALSE)"),"Evaluate the significance of additive inverses in balancing quantities and solving equations.")</f>
        <v>Evaluate the significance of additive inverses in balancing quantities and solving equations.</v>
      </c>
      <c r="S116" s="10" t="str">
        <f t="shared" si="5"/>
        <v>LU000479.006</v>
      </c>
      <c r="T116" s="10" t="str">
        <f ca="1">IFERROR(__xludf.DUMMYFUNCTION("VLOOKUP(S116, IMPORTRANGE(""https://docs.google.com/spreadsheets/d/1yDAaXNsi4Mr5FtRQL4tbmSdIzhx6_m4wkOD7IG-k_eo/edit#gid=0"", ""Maths!M:N""), 2, FALSE)"),"Construct a visual representation that illustrates the relationship between rational numbers and their additive inverses on a number line.")</f>
        <v>Construct a visual representation that illustrates the relationship between rational numbers and their additive inverses on a number line.</v>
      </c>
      <c r="U116" s="11">
        <f ca="1">IFERROR(__xludf.DUMMYFUNCTION("ArrayFormula(VLOOKUP(G116, IMPORTRANGE(""https://docs.google.com/spreadsheets/d/1p7R4vtkWt5VOBim4ltsDG9KTzSjrtKXsMtQGXPHyND0/edit#gid=795171502"", ""'Filter 30_05_2024'!A1:M2000""), {2, 3, 4, 5,6,7,8,9,10,11,12,13}, 0))"),2)</f>
        <v>2</v>
      </c>
      <c r="V116" s="11">
        <f ca="1">IFERROR(__xludf.DUMMYFUNCTION("""COMPUTED_VALUE"""),11)</f>
        <v>11</v>
      </c>
      <c r="W116" s="11">
        <f ca="1">IFERROR(__xludf.DUMMYFUNCTION("""COMPUTED_VALUE"""),2)</f>
        <v>2</v>
      </c>
      <c r="X116" s="11">
        <f ca="1">IFERROR(__xludf.DUMMYFUNCTION("""COMPUTED_VALUE"""),15)</f>
        <v>15</v>
      </c>
      <c r="Y116" s="11">
        <f ca="1">IFERROR(__xludf.DUMMYFUNCTION("""COMPUTED_VALUE"""),6)</f>
        <v>6</v>
      </c>
      <c r="Z116" s="12">
        <f ca="1">IFERROR(__xludf.DUMMYFUNCTION("""COMPUTED_VALUE"""),4)</f>
        <v>4</v>
      </c>
      <c r="AA116" s="12">
        <f ca="1">IFERROR(__xludf.DUMMYFUNCTION("""COMPUTED_VALUE"""),1)</f>
        <v>1</v>
      </c>
      <c r="AB116" s="12">
        <f ca="1">IFERROR(__xludf.DUMMYFUNCTION("""COMPUTED_VALUE"""),11)</f>
        <v>11</v>
      </c>
      <c r="AC116" s="12"/>
      <c r="AD116" s="12"/>
      <c r="AE116" s="12"/>
      <c r="AF116" s="12"/>
      <c r="AG116" s="13" t="str">
        <f ca="1">IFERROR(__xludf.DUMMYFUNCTION("ArrayFormula(VLOOKUP(G116, IMPORTRANGE(""https://docs.google.com/spreadsheets/d/1Co934fvtviyaRiMsrIlT05Jaq7iiYq07aLvRr35KA48/edit?gid=173865642#gid=173865642"", ""'G7_Maths_Pri_LU'!G2:V2000""), {3, 4, 5, 6, 7, 8, 9, 10, 11, 12, 13, 14, 15, 16}, 0))"),"LU000274")</f>
        <v>LU000274</v>
      </c>
      <c r="AH116" s="13" t="str">
        <f ca="1">IFERROR(__xludf.DUMMYFUNCTION("""COMPUTED_VALUE"""),"Additive inverse of integers")</f>
        <v>Additive inverse of integers</v>
      </c>
      <c r="AI116" s="13" t="str">
        <f ca="1">IFERROR(__xludf.DUMMYFUNCTION("""COMPUTED_VALUE"""),"LU000464")</f>
        <v>LU000464</v>
      </c>
      <c r="AJ116" s="13" t="str">
        <f ca="1">IFERROR(__xludf.DUMMYFUNCTION("""COMPUTED_VALUE"""),"Definition of rational numbers")</f>
        <v>Definition of rational numbers</v>
      </c>
      <c r="AK116" s="13"/>
      <c r="AL116" s="13"/>
      <c r="AM116" s="13"/>
      <c r="AN116" s="13"/>
      <c r="AO116" s="13"/>
      <c r="AP116" s="13"/>
      <c r="AQ116" s="13"/>
      <c r="AR116" s="13"/>
      <c r="AS116" s="13"/>
      <c r="AT116" s="13"/>
    </row>
    <row r="117" spans="1:46">
      <c r="A117" s="8" t="s">
        <v>247</v>
      </c>
      <c r="B117" s="8" t="s">
        <v>47</v>
      </c>
      <c r="C117" s="8" t="s">
        <v>416</v>
      </c>
      <c r="D117" s="8" t="s">
        <v>49</v>
      </c>
      <c r="E117" s="8" t="s">
        <v>567</v>
      </c>
      <c r="F117" s="10" t="s">
        <v>591</v>
      </c>
      <c r="G117" s="8" t="s">
        <v>592</v>
      </c>
      <c r="H117" s="8" t="str">
        <f ca="1">IFERROR(__xludf.DUMMYFUNCTION("VLOOKUP(G117, IMPORTRANGE(""https://docs.google.com/spreadsheets/d/14deopnvwcrKtEGCKuYXdUHJbeLDZlkiSSWWT0g7x2pM/edit#gid=999382323"", ""LU List Maths (Filter)!A:B""), 2, FALSE)"),"Multiplication of rational numbers")</f>
        <v>Multiplication of rational numbers</v>
      </c>
      <c r="I117" s="10" t="str">
        <f t="shared" si="0"/>
        <v>LU000476.001</v>
      </c>
      <c r="J117" s="10" t="str">
        <f ca="1">IFERROR(__xludf.DUMMYFUNCTION("VLOOKUP(I117, IMPORTRANGE(""https://docs.google.com/spreadsheets/d/1yDAaXNsi4Mr5FtRQL4tbmSdIzhx6_m4wkOD7IG-k_eo/edit#gid=0"", ""Maths!M:N""), 2, FALSE)"),"State the process of multiplying rational numbers to find their product.")</f>
        <v>State the process of multiplying rational numbers to find their product.</v>
      </c>
      <c r="K117" s="10" t="str">
        <f t="shared" si="1"/>
        <v>LU000476.002</v>
      </c>
      <c r="L117" s="10" t="str">
        <f ca="1">IFERROR(__xludf.DUMMYFUNCTION("VLOOKUP(K117, IMPORTRANGE(""https://docs.google.com/spreadsheets/d/1yDAaXNsi4Mr5FtRQL4tbmSdIzhx6_m4wkOD7IG-k_eo/edit#gid=0"", ""Maths!M:N""), 2, FALSE)"),"Explain how multiplication of rational numbers involves multiplying both numerators and denominators.")</f>
        <v>Explain how multiplication of rational numbers involves multiplying both numerators and denominators.</v>
      </c>
      <c r="M117" s="10" t="str">
        <f t="shared" si="2"/>
        <v>LU000476.003</v>
      </c>
      <c r="N117" s="10" t="str">
        <f ca="1">IFERROR(__xludf.DUMMYFUNCTION("VLOOKUP(M117, IMPORTRANGE(""https://docs.google.com/spreadsheets/d/1yDAaXNsi4Mr5FtRQL4tbmSdIzhx6_m4wkOD7IG-k_eo/edit#gid=0"", ""Maths!M:N""), 2, FALSE)"),"Solve arithmetic and practical multiplication problems involving rational numbers with both like and unlike denominators.")</f>
        <v>Solve arithmetic and practical multiplication problems involving rational numbers with both like and unlike denominators.</v>
      </c>
      <c r="O117" s="10" t="str">
        <f t="shared" si="3"/>
        <v>LU000476.004</v>
      </c>
      <c r="P117" s="10" t="str">
        <f ca="1">IFERROR(__xludf.DUMMYFUNCTION("VLOOKUP(O117, IMPORTRANGE(""https://docs.google.com/spreadsheets/d/1yDAaXNsi4Mr5FtRQL4tbmSdIzhx6_m4wkOD7IG-k_eo/edit#gid=0"", ""Maths!M:N""), 2, FALSE)"),"Compare the product of two positive rational numbers with the product of a positive rational number and a negative rational number, explaining how the signs interact.")</f>
        <v>Compare the product of two positive rational numbers with the product of a positive rational number and a negative rational number, explaining how the signs interact.</v>
      </c>
      <c r="Q117" s="10" t="str">
        <f t="shared" si="4"/>
        <v>LU000476.005</v>
      </c>
      <c r="R117" s="10" t="str">
        <f ca="1">IFERROR(__xludf.DUMMYFUNCTION("VLOOKUP(Q117, IMPORTRANGE(""https://docs.google.com/spreadsheets/d/1yDAaXNsi4Mr5FtRQL4tbmSdIzhx6_m4wkOD7IG-k_eo/edit#gid=0"", ""Maths!M:N""), 2, FALSE)"),"Evaluate the importance of understanding multiplication of rational numbers in practical scenarios.")</f>
        <v>Evaluate the importance of understanding multiplication of rational numbers in practical scenarios.</v>
      </c>
      <c r="S117" s="10" t="str">
        <f t="shared" si="5"/>
        <v>LU000476.006</v>
      </c>
      <c r="T117" s="10" t="str">
        <f ca="1">IFERROR(__xludf.DUMMYFUNCTION("VLOOKUP(S117, IMPORTRANGE(""https://docs.google.com/spreadsheets/d/1yDAaXNsi4Mr5FtRQL4tbmSdIzhx6_m4wkOD7IG-k_eo/edit#gid=0"", ""Maths!M:N""), 2, FALSE)"),"Design a visual representation that illustrates the process of multiplying rational numbers on a number line.")</f>
        <v>Design a visual representation that illustrates the process of multiplying rational numbers on a number line.</v>
      </c>
      <c r="U117" s="11">
        <f ca="1">IFERROR(__xludf.DUMMYFUNCTION("ArrayFormula(VLOOKUP(G117, IMPORTRANGE(""https://docs.google.com/spreadsheets/d/1p7R4vtkWt5VOBim4ltsDG9KTzSjrtKXsMtQGXPHyND0/edit#gid=795171502"", ""'Filter 30_05_2024'!A1:M2000""), {2, 3, 4, 5,6,7,8,9,10,11,12,13}, 0))"),4)</f>
        <v>4</v>
      </c>
      <c r="V117" s="11">
        <f ca="1">IFERROR(__xludf.DUMMYFUNCTION("""COMPUTED_VALUE"""),2)</f>
        <v>2</v>
      </c>
      <c r="W117" s="11">
        <f ca="1">IFERROR(__xludf.DUMMYFUNCTION("""COMPUTED_VALUE"""),2)</f>
        <v>2</v>
      </c>
      <c r="X117" s="11">
        <f ca="1">IFERROR(__xludf.DUMMYFUNCTION("""COMPUTED_VALUE"""),8)</f>
        <v>8</v>
      </c>
      <c r="Y117" s="11">
        <f ca="1">IFERROR(__xludf.DUMMYFUNCTION("""COMPUTED_VALUE"""),4)</f>
        <v>4</v>
      </c>
      <c r="Z117" s="12">
        <f ca="1">IFERROR(__xludf.DUMMYFUNCTION("""COMPUTED_VALUE"""),7)</f>
        <v>7</v>
      </c>
      <c r="AA117" s="12">
        <f ca="1">IFERROR(__xludf.DUMMYFUNCTION("""COMPUTED_VALUE"""),1)</f>
        <v>1</v>
      </c>
      <c r="AB117" s="12">
        <f ca="1">IFERROR(__xludf.DUMMYFUNCTION("""COMPUTED_VALUE"""),12)</f>
        <v>12</v>
      </c>
      <c r="AC117" s="12"/>
      <c r="AD117" s="12"/>
      <c r="AE117" s="12"/>
      <c r="AF117" s="12"/>
      <c r="AG117" s="13" t="str">
        <f ca="1">IFERROR(__xludf.DUMMYFUNCTION("ArrayFormula(VLOOKUP(G117, IMPORTRANGE(""https://docs.google.com/spreadsheets/d/1Co934fvtviyaRiMsrIlT05Jaq7iiYq07aLvRr35KA48/edit?gid=173865642#gid=173865642"", ""'G7_Maths_Pri_LU'!G2:V2000""), {3, 4, 5, 6, 7, 8, 9, 10, 11, 12, 13, 14, 15, 16}, 0))"),"LU001009")</f>
        <v>LU001009</v>
      </c>
      <c r="AH117" s="13" t="str">
        <f ca="1">IFERROR(__xludf.DUMMYFUNCTION("""COMPUTED_VALUE"""),"Multiplication of an improper fraction by another fraction(proper, improper and mixed)")</f>
        <v>Multiplication of an improper fraction by another fraction(proper, improper and mixed)</v>
      </c>
      <c r="AI117" s="13" t="str">
        <f ca="1">IFERROR(__xludf.DUMMYFUNCTION("""COMPUTED_VALUE"""),"LU001008")</f>
        <v>LU001008</v>
      </c>
      <c r="AJ117" s="13" t="str">
        <f ca="1">IFERROR(__xludf.DUMMYFUNCTION("""COMPUTED_VALUE"""),"Multiplication of a proper fraction by another fraction(proper, improper and mixed)")</f>
        <v>Multiplication of a proper fraction by another fraction(proper, improper and mixed)</v>
      </c>
      <c r="AK117" s="13" t="str">
        <f ca="1">IFERROR(__xludf.DUMMYFUNCTION("""COMPUTED_VALUE"""),"LU000355")</f>
        <v>LU000355</v>
      </c>
      <c r="AL117" s="13" t="str">
        <f ca="1">IFERROR(__xludf.DUMMYFUNCTION("""COMPUTED_VALUE"""),"Multiplication of two integers")</f>
        <v>Multiplication of two integers</v>
      </c>
      <c r="AM117" s="13"/>
      <c r="AN117" s="13"/>
      <c r="AO117" s="13"/>
      <c r="AP117" s="13"/>
      <c r="AQ117" s="13"/>
      <c r="AR117" s="13"/>
      <c r="AS117" s="13"/>
      <c r="AT117" s="13"/>
    </row>
    <row r="118" spans="1:46">
      <c r="A118" s="8" t="s">
        <v>247</v>
      </c>
      <c r="B118" s="8" t="s">
        <v>47</v>
      </c>
      <c r="C118" s="8" t="s">
        <v>416</v>
      </c>
      <c r="D118" s="8" t="s">
        <v>49</v>
      </c>
      <c r="E118" s="8" t="s">
        <v>567</v>
      </c>
      <c r="F118" s="10" t="s">
        <v>593</v>
      </c>
      <c r="G118" s="8" t="s">
        <v>594</v>
      </c>
      <c r="H118" s="8" t="str">
        <f ca="1">IFERROR(__xludf.DUMMYFUNCTION("VLOOKUP(G118, IMPORTRANGE(""https://docs.google.com/spreadsheets/d/14deopnvwcrKtEGCKuYXdUHJbeLDZlkiSSWWT0g7x2pM/edit#gid=999382323"", ""LU List Maths (Filter)!A:B""), 2, FALSE)"),"Division of rational numbers")</f>
        <v>Division of rational numbers</v>
      </c>
      <c r="I118" s="10" t="str">
        <f t="shared" si="0"/>
        <v>LU000477.001</v>
      </c>
      <c r="J118" s="10" t="str">
        <f ca="1">IFERROR(__xludf.DUMMYFUNCTION("VLOOKUP(I118, IMPORTRANGE(""https://docs.google.com/spreadsheets/d/1yDAaXNsi4Mr5FtRQL4tbmSdIzhx6_m4wkOD7IG-k_eo/edit#gid=0"", ""Maths!M:N""), 2, FALSE)"),"State the process of dividing rational numbers to find their quotient.")</f>
        <v>State the process of dividing rational numbers to find their quotient.</v>
      </c>
      <c r="K118" s="10" t="str">
        <f t="shared" si="1"/>
        <v>LU000477.002</v>
      </c>
      <c r="L118" s="10" t="str">
        <f ca="1">IFERROR(__xludf.DUMMYFUNCTION("VLOOKUP(K118, IMPORTRANGE(""https://docs.google.com/spreadsheets/d/1yDAaXNsi4Mr5FtRQL4tbmSdIzhx6_m4wkOD7IG-k_eo/edit#gid=0"", ""Maths!M:N""), 2, FALSE)"),"Explain how division of rational numbers involves multiplying by the reciprocal.")</f>
        <v>Explain how division of rational numbers involves multiplying by the reciprocal.</v>
      </c>
      <c r="M118" s="10" t="str">
        <f t="shared" si="2"/>
        <v>LU000477.003</v>
      </c>
      <c r="N118" s="10" t="str">
        <f ca="1">IFERROR(__xludf.DUMMYFUNCTION("VLOOKUP(M118, IMPORTRANGE(""https://docs.google.com/spreadsheets/d/1yDAaXNsi4Mr5FtRQL4tbmSdIzhx6_m4wkOD7IG-k_eo/edit#gid=0"", ""Maths!M:N""), 2, FALSE)"),"Solve arithmetic and practical division problems involving rational numbers.")</f>
        <v>Solve arithmetic and practical division problems involving rational numbers.</v>
      </c>
      <c r="O118" s="10" t="str">
        <f t="shared" si="3"/>
        <v>LU000477.004</v>
      </c>
      <c r="P118" s="10" t="str">
        <f ca="1">IFERROR(__xludf.DUMMYFUNCTION("VLOOKUP(O118, IMPORTRANGE(""https://docs.google.com/spreadsheets/d/1yDAaXNsi4Mr5FtRQL4tbmSdIzhx6_m4wkOD7IG-k_eo/edit#gid=0"", ""Maths!M:N""), 2, FALSE)"),"Analyse how the signs of rational numbers affect their quotient when dividing.")</f>
        <v>Analyse how the signs of rational numbers affect their quotient when dividing.</v>
      </c>
      <c r="Q118" s="10" t="str">
        <f t="shared" si="4"/>
        <v>LU000477.005</v>
      </c>
      <c r="R118" s="10" t="str">
        <f ca="1">IFERROR(__xludf.DUMMYFUNCTION("VLOOKUP(Q118, IMPORTRANGE(""https://docs.google.com/spreadsheets/d/1yDAaXNsi4Mr5FtRQL4tbmSdIzhx6_m4wkOD7IG-k_eo/edit#gid=0"", ""Maths!M:N""), 2, FALSE)"),"Evaluate the significance of understanding division of rational numbers in practical scenarios.")</f>
        <v>Evaluate the significance of understanding division of rational numbers in practical scenarios.</v>
      </c>
      <c r="S118" s="10" t="str">
        <f t="shared" si="5"/>
        <v>LU000477.006</v>
      </c>
      <c r="T118" s="10" t="str">
        <f ca="1">IFERROR(__xludf.DUMMYFUNCTION("VLOOKUP(S118, IMPORTRANGE(""https://docs.google.com/spreadsheets/d/1yDAaXNsi4Mr5FtRQL4tbmSdIzhx6_m4wkOD7IG-k_eo/edit#gid=0"", ""Maths!M:N""), 2, FALSE)"),"Design a set of word problems that require dividing rational numbers in various real-world contexts.")</f>
        <v>Design a set of word problems that require dividing rational numbers in various real-world contexts.</v>
      </c>
      <c r="U118" s="11">
        <f ca="1">IFERROR(__xludf.DUMMYFUNCTION("ArrayFormula(VLOOKUP(G118, IMPORTRANGE(""https://docs.google.com/spreadsheets/d/1p7R4vtkWt5VOBim4ltsDG9KTzSjrtKXsMtQGXPHyND0/edit#gid=795171502"", ""'Filter 30_05_2024'!A1:M2000""), {2, 3, 4, 5,6,7,8,9,10,11,12,13}, 0))"),6)</f>
        <v>6</v>
      </c>
      <c r="V118" s="11">
        <f ca="1">IFERROR(__xludf.DUMMYFUNCTION("""COMPUTED_VALUE"""),6)</f>
        <v>6</v>
      </c>
      <c r="W118" s="11">
        <f ca="1">IFERROR(__xludf.DUMMYFUNCTION("""COMPUTED_VALUE"""),2)</f>
        <v>2</v>
      </c>
      <c r="X118" s="11">
        <f ca="1">IFERROR(__xludf.DUMMYFUNCTION("""COMPUTED_VALUE"""),14)</f>
        <v>14</v>
      </c>
      <c r="Y118" s="11">
        <f ca="1">IFERROR(__xludf.DUMMYFUNCTION("""COMPUTED_VALUE"""),6)</f>
        <v>6</v>
      </c>
      <c r="Z118" s="12">
        <f ca="1">IFERROR(__xludf.DUMMYFUNCTION("""COMPUTED_VALUE"""),4)</f>
        <v>4</v>
      </c>
      <c r="AA118" s="12">
        <f ca="1">IFERROR(__xludf.DUMMYFUNCTION("""COMPUTED_VALUE"""),1)</f>
        <v>1</v>
      </c>
      <c r="AB118" s="12">
        <f ca="1">IFERROR(__xludf.DUMMYFUNCTION("""COMPUTED_VALUE"""),11)</f>
        <v>11</v>
      </c>
      <c r="AC118" s="12"/>
      <c r="AD118" s="12"/>
      <c r="AE118" s="12"/>
      <c r="AF118" s="12"/>
      <c r="AG118" s="13" t="str">
        <f ca="1">IFERROR(__xludf.DUMMYFUNCTION("ArrayFormula(VLOOKUP(G118, IMPORTRANGE(""https://docs.google.com/spreadsheets/d/1Co934fvtviyaRiMsrIlT05Jaq7iiYq07aLvRr35KA48/edit?gid=173865642#gid=173865642"", ""'G7_Maths_Pri_LU'!G2:V2000""), {3, 4, 5, 6, 7, 8, 9, 10, 11, 12, 13, 14, 15, 16}, 0))"),"LU001018")</f>
        <v>LU001018</v>
      </c>
      <c r="AH118" s="13" t="str">
        <f ca="1">IFERROR(__xludf.DUMMYFUNCTION("""COMPUTED_VALUE"""),"Division of an improper fraction by another fraction(proper, improper and mixed)")</f>
        <v>Division of an improper fraction by another fraction(proper, improper and mixed)</v>
      </c>
      <c r="AI118" s="13" t="str">
        <f ca="1">IFERROR(__xludf.DUMMYFUNCTION("""COMPUTED_VALUE"""),"LU001017")</f>
        <v>LU001017</v>
      </c>
      <c r="AJ118" s="13" t="str">
        <f ca="1">IFERROR(__xludf.DUMMYFUNCTION("""COMPUTED_VALUE"""),"Division of a proper fraction by another fraction(proper, improper and mixed)")</f>
        <v>Division of a proper fraction by another fraction(proper, improper and mixed)</v>
      </c>
      <c r="AK118" s="13" t="str">
        <f ca="1">IFERROR(__xludf.DUMMYFUNCTION("""COMPUTED_VALUE"""),"LU000476")</f>
        <v>LU000476</v>
      </c>
      <c r="AL118" s="13" t="str">
        <f ca="1">IFERROR(__xludf.DUMMYFUNCTION("""COMPUTED_VALUE"""),"Multiplication of rational numbers")</f>
        <v>Multiplication of rational numbers</v>
      </c>
      <c r="AM118" s="13" t="str">
        <f ca="1">IFERROR(__xludf.DUMMYFUNCTION("""COMPUTED_VALUE"""),"LU000478")</f>
        <v>LU000478</v>
      </c>
      <c r="AN118" s="13" t="str">
        <f ca="1">IFERROR(__xludf.DUMMYFUNCTION("""COMPUTED_VALUE"""),"Multiplicative inverse or reciprocal of rational number")</f>
        <v>Multiplicative inverse or reciprocal of rational number</v>
      </c>
      <c r="AO118" s="13"/>
      <c r="AP118" s="13"/>
      <c r="AQ118" s="13"/>
      <c r="AR118" s="13"/>
      <c r="AS118" s="13"/>
      <c r="AT118" s="13"/>
    </row>
    <row r="119" spans="1:46">
      <c r="A119" s="8" t="s">
        <v>247</v>
      </c>
      <c r="B119" s="8" t="s">
        <v>47</v>
      </c>
      <c r="C119" s="8" t="s">
        <v>416</v>
      </c>
      <c r="D119" s="8" t="s">
        <v>49</v>
      </c>
      <c r="E119" s="8" t="s">
        <v>567</v>
      </c>
      <c r="F119" s="10" t="s">
        <v>593</v>
      </c>
      <c r="G119" s="8" t="s">
        <v>595</v>
      </c>
      <c r="H119" s="8" t="str">
        <f ca="1">IFERROR(__xludf.DUMMYFUNCTION("VLOOKUP(G119, IMPORTRANGE(""https://docs.google.com/spreadsheets/d/14deopnvwcrKtEGCKuYXdUHJbeLDZlkiSSWWT0g7x2pM/edit#gid=999382323"", ""LU List Maths (Filter)!A:B""), 2, FALSE)"),"Multiplicative inverse or reciprocal of rational number")</f>
        <v>Multiplicative inverse or reciprocal of rational number</v>
      </c>
      <c r="I119" s="10" t="str">
        <f t="shared" si="0"/>
        <v>LU000478.001</v>
      </c>
      <c r="J119" s="10" t="str">
        <f ca="1">IFERROR(__xludf.DUMMYFUNCTION("VLOOKUP(I119, IMPORTRANGE(""https://docs.google.com/spreadsheets/d/1yDAaXNsi4Mr5FtRQL4tbmSdIzhx6_m4wkOD7IG-k_eo/edit#gid=0"", ""Maths!M:N""), 2, FALSE)"),"State the definition of reciprocal or multiplicative inverse of a rational number")</f>
        <v>State the definition of reciprocal or multiplicative inverse of a rational number</v>
      </c>
      <c r="K119" s="10" t="str">
        <f t="shared" si="1"/>
        <v>LU000478.002</v>
      </c>
      <c r="L119" s="10" t="str">
        <f ca="1">IFERROR(__xludf.DUMMYFUNCTION("VLOOKUP(K119, IMPORTRANGE(""https://docs.google.com/spreadsheets/d/1yDAaXNsi4Mr5FtRQL4tbmSdIzhx6_m4wkOD7IG-k_eo/edit#gid=0"", ""Maths!M:N""), 2, FALSE)"),"Explain how the reciprocal or multiplicative inverse of a rational number relates to the original number.")</f>
        <v>Explain how the reciprocal or multiplicative inverse of a rational number relates to the original number.</v>
      </c>
      <c r="M119" s="10" t="str">
        <f t="shared" si="2"/>
        <v>LU000478.003</v>
      </c>
      <c r="N119" s="10" t="str">
        <f ca="1">IFERROR(__xludf.DUMMYFUNCTION("VLOOKUP(M119, IMPORTRANGE(""https://docs.google.com/spreadsheets/d/1yDAaXNsi4Mr5FtRQL4tbmSdIzhx6_m4wkOD7IG-k_eo/edit#gid=0"", ""Maths!M:N""), 2, FALSE)"),"Find the reciprocal or multiplicative inverse of given rational numbers.")</f>
        <v>Find the reciprocal or multiplicative inverse of given rational numbers.</v>
      </c>
      <c r="O119" s="10" t="str">
        <f t="shared" si="3"/>
        <v>LU000478.004</v>
      </c>
      <c r="P119" s="10" t="str">
        <f ca="1">IFERROR(__xludf.DUMMYFUNCTION("VLOOKUP(O119, IMPORTRANGE(""https://docs.google.com/spreadsheets/d/1yDAaXNsi4Mr5FtRQL4tbmSdIzhx6_m4wkOD7IG-k_eo/edit#gid=0"", ""Maths!M:N""), 2, FALSE)"),"Analyse how the product of a rational number and its reciprocal or multiplicative inverse is always equal to 1.")</f>
        <v>Analyse how the product of a rational number and its reciprocal or multiplicative inverse is always equal to 1.</v>
      </c>
      <c r="Q119" s="10" t="str">
        <f t="shared" si="4"/>
        <v>LU000478.005</v>
      </c>
      <c r="R119" s="10" t="str">
        <f ca="1">IFERROR(__xludf.DUMMYFUNCTION("VLOOKUP(Q119, IMPORTRANGE(""https://docs.google.com/spreadsheets/d/1yDAaXNsi4Mr5FtRQL4tbmSdIzhx6_m4wkOD7IG-k_eo/edit#gid=0"", ""Maths!M:N""), 2, FALSE)"),"Evaluate the significance of understanding reciprocals or multiplicative inverse when dealing with fractions and proportions.")</f>
        <v>Evaluate the significance of understanding reciprocals or multiplicative inverse when dealing with fractions and proportions.</v>
      </c>
      <c r="S119" s="10" t="str">
        <f t="shared" si="5"/>
        <v>LU000478.006</v>
      </c>
      <c r="T119" s="10" t="str">
        <f ca="1">IFERROR(__xludf.DUMMYFUNCTION("VLOOKUP(S119, IMPORTRANGE(""https://docs.google.com/spreadsheets/d/1yDAaXNsi4Mr5FtRQL4tbmSdIzhx6_m4wkOD7IG-k_eo/edit#gid=0"", ""Maths!M:N""), 2, FALSE)"),"Design a visual representation that illustrates the relationship between a rational number and its reciprocal or multiplicative inverse.")</f>
        <v>Design a visual representation that illustrates the relationship between a rational number and its reciprocal or multiplicative inverse.</v>
      </c>
      <c r="U119" s="11">
        <f ca="1">IFERROR(__xludf.DUMMYFUNCTION("ArrayFormula(VLOOKUP(G119, IMPORTRANGE(""https://docs.google.com/spreadsheets/d/1p7R4vtkWt5VOBim4ltsDG9KTzSjrtKXsMtQGXPHyND0/edit#gid=795171502"", ""'Filter 30_05_2024'!A1:M2000""), {2, 3, 4, 5,6,7,8,9,10,11,12,13}, 0))"),4)</f>
        <v>4</v>
      </c>
      <c r="V119" s="11">
        <f ca="1">IFERROR(__xludf.DUMMYFUNCTION("""COMPUTED_VALUE"""),6)</f>
        <v>6</v>
      </c>
      <c r="W119" s="11">
        <f ca="1">IFERROR(__xludf.DUMMYFUNCTION("""COMPUTED_VALUE"""),1)</f>
        <v>1</v>
      </c>
      <c r="X119" s="11">
        <f ca="1">IFERROR(__xludf.DUMMYFUNCTION("""COMPUTED_VALUE"""),11)</f>
        <v>11</v>
      </c>
      <c r="Y119" s="11">
        <f ca="1">IFERROR(__xludf.DUMMYFUNCTION("""COMPUTED_VALUE"""),4)</f>
        <v>4</v>
      </c>
      <c r="Z119" s="12">
        <f ca="1">IFERROR(__xludf.DUMMYFUNCTION("""COMPUTED_VALUE"""),3)</f>
        <v>3</v>
      </c>
      <c r="AA119" s="12">
        <f ca="1">IFERROR(__xludf.DUMMYFUNCTION("""COMPUTED_VALUE"""),2)</f>
        <v>2</v>
      </c>
      <c r="AB119" s="12">
        <f ca="1">IFERROR(__xludf.DUMMYFUNCTION("""COMPUTED_VALUE"""),9)</f>
        <v>9</v>
      </c>
      <c r="AC119" s="12"/>
      <c r="AD119" s="12"/>
      <c r="AE119" s="12"/>
      <c r="AF119" s="12"/>
      <c r="AG119" s="13" t="str">
        <f ca="1">IFERROR(__xludf.DUMMYFUNCTION("ArrayFormula(VLOOKUP(G119, IMPORTRANGE(""https://docs.google.com/spreadsheets/d/1Co934fvtviyaRiMsrIlT05Jaq7iiYq07aLvRr35KA48/edit?gid=173865642#gid=173865642"", ""'G7_Maths_Pri_LU'!G2:V2000""), {3, 4, 5, 6, 7, 8, 9, 10, 11, 12, 13, 14, 15, 16}, 0))"),"LU000371")</f>
        <v>LU000371</v>
      </c>
      <c r="AH119" s="13" t="str">
        <f ca="1">IFERROR(__xludf.DUMMYFUNCTION("""COMPUTED_VALUE"""),"Reciprocal of a fraction")</f>
        <v>Reciprocal of a fraction</v>
      </c>
      <c r="AI119" s="13" t="str">
        <f ca="1">IFERROR(__xludf.DUMMYFUNCTION("""COMPUTED_VALUE"""),"LU000464")</f>
        <v>LU000464</v>
      </c>
      <c r="AJ119" s="13" t="str">
        <f ca="1">IFERROR(__xludf.DUMMYFUNCTION("""COMPUTED_VALUE"""),"Definition of rational numbers")</f>
        <v>Definition of rational numbers</v>
      </c>
      <c r="AK119" s="13"/>
      <c r="AL119" s="13"/>
      <c r="AM119" s="13"/>
      <c r="AN119" s="13"/>
      <c r="AO119" s="13"/>
      <c r="AP119" s="13"/>
      <c r="AQ119" s="13"/>
      <c r="AR119" s="13"/>
      <c r="AS119" s="13"/>
      <c r="AT119" s="13"/>
    </row>
    <row r="120" spans="1:46">
      <c r="A120" s="8" t="s">
        <v>247</v>
      </c>
      <c r="B120" s="8" t="s">
        <v>47</v>
      </c>
      <c r="C120" s="8" t="s">
        <v>416</v>
      </c>
      <c r="D120" s="8" t="s">
        <v>49</v>
      </c>
      <c r="E120" s="8" t="s">
        <v>596</v>
      </c>
      <c r="F120" s="8" t="s">
        <v>597</v>
      </c>
      <c r="G120" s="8" t="s">
        <v>598</v>
      </c>
      <c r="H120" s="8" t="str">
        <f ca="1">IFERROR(__xludf.DUMMYFUNCTION("VLOOKUP(G120, IMPORTRANGE(""https://docs.google.com/spreadsheets/d/14deopnvwcrKtEGCKuYXdUHJbeLDZlkiSSWWT0g7x2pM/edit#gid=999382323"", ""LU List Maths (Filter)!A:B""), 2, FALSE)"),"Definition of algebraic expression")</f>
        <v>Definition of algebraic expression</v>
      </c>
      <c r="I120" s="10" t="str">
        <f t="shared" si="0"/>
        <v>LU000935.001</v>
      </c>
      <c r="J120" s="10" t="str">
        <f ca="1">IFERROR(__xludf.DUMMYFUNCTION("VLOOKUP(I120, IMPORTRANGE(""https://docs.google.com/spreadsheets/d/1yDAaXNsi4Mr5FtRQL4tbmSdIzhx6_m4wkOD7IG-k_eo/edit#gid=0"", ""Maths!M:N""), 2, FALSE)"),"Identify components of algebraic expressions, like variables and constants.")</f>
        <v>Identify components of algebraic expressions, like variables and constants.</v>
      </c>
      <c r="K120" s="10" t="str">
        <f t="shared" si="1"/>
        <v>LU000935.002</v>
      </c>
      <c r="L120" s="10" t="str">
        <f ca="1">IFERROR(__xludf.DUMMYFUNCTION("VLOOKUP(K120, IMPORTRANGE(""https://docs.google.com/spreadsheets/d/1yDAaXNsi4Mr5FtRQL4tbmSdIzhx6_m4wkOD7IG-k_eo/edit#gid=0"", ""Maths!M:N""), 2, FALSE)"),"Explain what an algebraic expression is and how it differs from a numerical expression.")</f>
        <v>Explain what an algebraic expression is and how it differs from a numerical expression.</v>
      </c>
      <c r="M120" s="10" t="str">
        <f t="shared" si="2"/>
        <v>LU000935.003</v>
      </c>
      <c r="N120" s="10" t="str">
        <f ca="1">IFERROR(__xludf.DUMMYFUNCTION("VLOOKUP(M120, IMPORTRANGE(""https://docs.google.com/spreadsheets/d/1yDAaXNsi4Mr5FtRQL4tbmSdIzhx6_m4wkOD7IG-k_eo/edit#gid=0"", ""Maths!M:N""), 2, FALSE)"),"Apply the concept of algebraic expressions to create expressions that represent real-world situations")</f>
        <v>Apply the concept of algebraic expressions to create expressions that represent real-world situations</v>
      </c>
      <c r="O120" s="10" t="str">
        <f t="shared" si="3"/>
        <v>LU000935.004</v>
      </c>
      <c r="P120" s="10" t="str">
        <f ca="1">IFERROR(__xludf.DUMMYFUNCTION("VLOOKUP(O120, IMPORTRANGE(""https://docs.google.com/spreadsheets/d/1yDAaXNsi4Mr5FtRQL4tbmSdIzhx6_m4wkOD7IG-k_eo/edit#gid=0"", ""Maths!M:N""), 2, FALSE)"),"Analyze and classify parts of given algebraic expressions.")</f>
        <v>Analyze and classify parts of given algebraic expressions.</v>
      </c>
      <c r="Q120" s="10" t="str">
        <f t="shared" si="4"/>
        <v>LU000935.005</v>
      </c>
      <c r="R120" s="10" t="str">
        <f ca="1">IFERROR(__xludf.DUMMYFUNCTION("VLOOKUP(Q120, IMPORTRANGE(""https://docs.google.com/spreadsheets/d/1yDAaXNsi4Mr5FtRQL4tbmSdIzhx6_m4wkOD7IG-k_eo/edit#gid=0"", ""Maths!M:N""), 2, FALSE)"),"Combine different algebraic expressions to form complex ones or modify them for new meanings.")</f>
        <v>Combine different algebraic expressions to form complex ones or modify them for new meanings.</v>
      </c>
      <c r="S120" s="10" t="str">
        <f t="shared" si="5"/>
        <v>LU000935.006</v>
      </c>
      <c r="T120" s="10" t="str">
        <f ca="1">IFERROR(__xludf.DUMMYFUNCTION("VLOOKUP(S120, IMPORTRANGE(""https://docs.google.com/spreadsheets/d/1yDAaXNsi4Mr5FtRQL4tbmSdIzhx6_m4wkOD7IG-k_eo/edit#gid=0"", ""Maths!M:N""), 2, FALSE)"),"Judge the validity of algebraic expressions in various scenarios, explaining the reasoning.")</f>
        <v>Judge the validity of algebraic expressions in various scenarios, explaining the reasoning.</v>
      </c>
      <c r="U120" s="11">
        <f ca="1">IFERROR(__xludf.DUMMYFUNCTION("ArrayFormula(VLOOKUP(G120, IMPORTRANGE(""https://docs.google.com/spreadsheets/d/1p7R4vtkWt5VOBim4ltsDG9KTzSjrtKXsMtQGXPHyND0/edit#gid=795171502"", ""'Filter 30_05_2024'!A1:M2000""), {2, 3, 4, 5,6,7,8,9,10,11,12,13}, 0))"),4)</f>
        <v>4</v>
      </c>
      <c r="V120" s="11">
        <f ca="1">IFERROR(__xludf.DUMMYFUNCTION("""COMPUTED_VALUE"""),4)</f>
        <v>4</v>
      </c>
      <c r="W120" s="11">
        <f ca="1">IFERROR(__xludf.DUMMYFUNCTION("""COMPUTED_VALUE"""),4)</f>
        <v>4</v>
      </c>
      <c r="X120" s="11">
        <f ca="1">IFERROR(__xludf.DUMMYFUNCTION("""COMPUTED_VALUE"""),12)</f>
        <v>12</v>
      </c>
      <c r="Y120" s="11">
        <f ca="1">IFERROR(__xludf.DUMMYFUNCTION("""COMPUTED_VALUE"""),4)</f>
        <v>4</v>
      </c>
      <c r="Z120" s="12">
        <f ca="1">IFERROR(__xludf.DUMMYFUNCTION("""COMPUTED_VALUE"""),2)</f>
        <v>2</v>
      </c>
      <c r="AA120" s="12">
        <f ca="1">IFERROR(__xludf.DUMMYFUNCTION("""COMPUTED_VALUE"""),2)</f>
        <v>2</v>
      </c>
      <c r="AB120" s="12">
        <f ca="1">IFERROR(__xludf.DUMMYFUNCTION("""COMPUTED_VALUE"""),8)</f>
        <v>8</v>
      </c>
      <c r="AC120" s="12"/>
      <c r="AD120" s="12"/>
      <c r="AE120" s="12"/>
      <c r="AF120" s="12"/>
      <c r="AG120" s="13" t="str">
        <f ca="1">IFERROR(__xludf.DUMMYFUNCTION("ArrayFormula(VLOOKUP(G120, IMPORTRANGE(""https://docs.google.com/spreadsheets/d/1Co934fvtviyaRiMsrIlT05Jaq7iiYq07aLvRr35KA48/edit?gid=173865642#gid=173865642"", ""'G7_Maths_Pri_LU'!G2:V2000""), {3, 4, 5, 6, 7, 8, 9, 10, 11, 12, 13, 14, 15, 16}, 0))"),"LU000330")</f>
        <v>LU000330</v>
      </c>
      <c r="AH120" s="13" t="str">
        <f ca="1">IFERROR(__xludf.DUMMYFUNCTION("""COMPUTED_VALUE"""),"Definition of variable and constant")</f>
        <v>Definition of variable and constant</v>
      </c>
      <c r="AI120" s="13"/>
      <c r="AJ120" s="13"/>
      <c r="AK120" s="13"/>
      <c r="AL120" s="13"/>
      <c r="AM120" s="13"/>
      <c r="AN120" s="13"/>
      <c r="AO120" s="13"/>
      <c r="AP120" s="13"/>
      <c r="AQ120" s="13"/>
      <c r="AR120" s="13"/>
      <c r="AS120" s="13"/>
      <c r="AT120" s="13"/>
    </row>
    <row r="121" spans="1:46">
      <c r="A121" s="8" t="s">
        <v>247</v>
      </c>
      <c r="B121" s="8" t="s">
        <v>47</v>
      </c>
      <c r="C121" s="8" t="s">
        <v>416</v>
      </c>
      <c r="D121" s="8" t="s">
        <v>49</v>
      </c>
      <c r="E121" s="8" t="s">
        <v>596</v>
      </c>
      <c r="F121" s="8" t="s">
        <v>597</v>
      </c>
      <c r="G121" s="8" t="s">
        <v>599</v>
      </c>
      <c r="H121" s="8" t="str">
        <f ca="1">IFERROR(__xludf.DUMMYFUNCTION("VLOOKUP(G121, IMPORTRANGE(""https://docs.google.com/spreadsheets/d/14deopnvwcrKtEGCKuYXdUHJbeLDZlkiSSWWT0g7x2pM/edit#gid=999382323"", ""LU List Maths (Filter)!A:B""), 2, FALSE)"),"Formation of algebraic expressions")</f>
        <v>Formation of algebraic expressions</v>
      </c>
      <c r="I121" s="10" t="str">
        <f t="shared" si="0"/>
        <v>LU000504.001</v>
      </c>
      <c r="J121" s="10" t="str">
        <f ca="1">IFERROR(__xludf.DUMMYFUNCTION("VLOOKUP(I121, IMPORTRANGE(""https://docs.google.com/spreadsheets/d/1yDAaXNsi4Mr5FtRQL4tbmSdIzhx6_m4wkOD7IG-k_eo/edit#gid=0"", ""Maths!M:N""), 2, FALSE)"),"State the steps of forming algebraic expressions involving variables and constants.")</f>
        <v>State the steps of forming algebraic expressions involving variables and constants.</v>
      </c>
      <c r="K121" s="10" t="str">
        <f t="shared" si="1"/>
        <v>LU000504.002</v>
      </c>
      <c r="L121" s="10" t="str">
        <f ca="1">IFERROR(__xludf.DUMMYFUNCTION("VLOOKUP(K121, IMPORTRANGE(""https://docs.google.com/spreadsheets/d/1yDAaXNsi4Mr5FtRQL4tbmSdIzhx6_m4wkOD7IG-k_eo/edit#gid=0"", ""Maths!M:N""), 2, FALSE)"),"Explain the concept of combining variables and constants to create algebraic expressions.")</f>
        <v>Explain the concept of combining variables and constants to create algebraic expressions.</v>
      </c>
      <c r="M121" s="10" t="str">
        <f t="shared" si="2"/>
        <v>LU000504.003</v>
      </c>
      <c r="N121" s="10" t="str">
        <f ca="1">IFERROR(__xludf.DUMMYFUNCTION("VLOOKUP(M121, IMPORTRANGE(""https://docs.google.com/spreadsheets/d/1yDAaXNsi4Mr5FtRQL4tbmSdIzhx6_m4wkOD7IG-k_eo/edit#gid=0"", ""Maths!M:N""), 2, FALSE)"),"Form algebraic expression given its description by applying the operations of addition, subtraction, multiplication, and division and vice versa.")</f>
        <v>Form algebraic expression given its description by applying the operations of addition, subtraction, multiplication, and division and vice versa.</v>
      </c>
      <c r="O121" s="10" t="str">
        <f t="shared" si="3"/>
        <v>LU000504.004</v>
      </c>
      <c r="P121" s="10" t="str">
        <f ca="1">IFERROR(__xludf.DUMMYFUNCTION("VLOOKUP(O121, IMPORTRANGE(""https://docs.google.com/spreadsheets/d/1yDAaXNsi4Mr5FtRQL4tbmSdIzhx6_m4wkOD7IG-k_eo/edit#gid=0"", ""Maths!M:N""), 2, FALSE)"),"Analyse given expressions to identify the roles of variables and constants in their formation.")</f>
        <v>Analyse given expressions to identify the roles of variables and constants in their formation.</v>
      </c>
      <c r="Q121" s="10" t="str">
        <f t="shared" si="4"/>
        <v>LU000504.005</v>
      </c>
      <c r="R121" s="10" t="str">
        <f ca="1">IFERROR(__xludf.DUMMYFUNCTION("VLOOKUP(Q121, IMPORTRANGE(""https://docs.google.com/spreadsheets/d/1yDAaXNsi4Mr5FtRQL4tbmSdIzhx6_m4wkOD7IG-k_eo/edit#gid=0"", ""Maths!M:N""), 2, FALSE)"),"Evaluate the accuracy of algebraic expressions created by combining variables and constants.")</f>
        <v>Evaluate the accuracy of algebraic expressions created by combining variables and constants.</v>
      </c>
      <c r="S121" s="10" t="str">
        <f t="shared" si="5"/>
        <v>LU000504.006</v>
      </c>
      <c r="T121" s="10" t="str">
        <f ca="1">IFERROR(__xludf.DUMMYFUNCTION("VLOOKUP(S121, IMPORTRANGE(""https://docs.google.com/spreadsheets/d/1yDAaXNsi4Mr5FtRQL4tbmSdIzhx6_m4wkOD7IG-k_eo/edit#gid=0"", ""Maths!M:N""), 2, FALSE)"),"Create algebraic expressions by combining variables with constants or other variables.")</f>
        <v>Create algebraic expressions by combining variables with constants or other variables.</v>
      </c>
      <c r="U121" s="11">
        <f ca="1">IFERROR(__xludf.DUMMYFUNCTION("ArrayFormula(VLOOKUP(G121, IMPORTRANGE(""https://docs.google.com/spreadsheets/d/1p7R4vtkWt5VOBim4ltsDG9KTzSjrtKXsMtQGXPHyND0/edit#gid=795171502"", ""'Filter 30_05_2024'!A1:M2000""), {2, 3, 4, 5,6,7,8,9,10,11,12,13}, 0))"),5)</f>
        <v>5</v>
      </c>
      <c r="V121" s="11">
        <f ca="1">IFERROR(__xludf.DUMMYFUNCTION("""COMPUTED_VALUE"""),23)</f>
        <v>23</v>
      </c>
      <c r="W121" s="11">
        <f ca="1">IFERROR(__xludf.DUMMYFUNCTION("""COMPUTED_VALUE"""),2)</f>
        <v>2</v>
      </c>
      <c r="X121" s="11">
        <f ca="1">IFERROR(__xludf.DUMMYFUNCTION("""COMPUTED_VALUE"""),30)</f>
        <v>30</v>
      </c>
      <c r="Y121" s="11">
        <f ca="1">IFERROR(__xludf.DUMMYFUNCTION("""COMPUTED_VALUE"""),4)</f>
        <v>4</v>
      </c>
      <c r="Z121" s="12">
        <f ca="1">IFERROR(__xludf.DUMMYFUNCTION("""COMPUTED_VALUE"""),8)</f>
        <v>8</v>
      </c>
      <c r="AA121" s="12">
        <f ca="1">IFERROR(__xludf.DUMMYFUNCTION("""COMPUTED_VALUE"""),1)</f>
        <v>1</v>
      </c>
      <c r="AB121" s="12">
        <f ca="1">IFERROR(__xludf.DUMMYFUNCTION("""COMPUTED_VALUE"""),13)</f>
        <v>13</v>
      </c>
      <c r="AC121" s="12"/>
      <c r="AD121" s="12"/>
      <c r="AE121" s="12"/>
      <c r="AF121" s="12"/>
      <c r="AG121" s="13" t="str">
        <f ca="1">IFERROR(__xludf.DUMMYFUNCTION("ArrayFormula(VLOOKUP(G121, IMPORTRANGE(""https://docs.google.com/spreadsheets/d/1Co934fvtviyaRiMsrIlT05Jaq7iiYq07aLvRr35KA48/edit?gid=173865642#gid=173865642"", ""'G7_Maths_Pri_LU'!G2:V2000""), {3, 4, 5, 6, 7, 8, 9, 10, 11, 12, 13, 14, 15, 16}, 0))"),"LU000330")</f>
        <v>LU000330</v>
      </c>
      <c r="AH121" s="13" t="str">
        <f ca="1">IFERROR(__xludf.DUMMYFUNCTION("""COMPUTED_VALUE"""),"Definition of variable and constant")</f>
        <v>Definition of variable and constant</v>
      </c>
      <c r="AI121" s="13" t="str">
        <f ca="1">IFERROR(__xludf.DUMMYFUNCTION("""COMPUTED_VALUE"""),"LU000271")</f>
        <v>LU000271</v>
      </c>
      <c r="AJ121" s="13" t="str">
        <f ca="1">IFERROR(__xludf.DUMMYFUNCTION("""COMPUTED_VALUE"""),"Addition of integers using rules of signs")</f>
        <v>Addition of integers using rules of signs</v>
      </c>
      <c r="AK121" s="13" t="str">
        <f ca="1">IFERROR(__xludf.DUMMYFUNCTION("""COMPUTED_VALUE"""),"LU000272")</f>
        <v>LU000272</v>
      </c>
      <c r="AL121" s="13" t="str">
        <f ca="1">IFERROR(__xludf.DUMMYFUNCTION("""COMPUTED_VALUE"""),"Subtraction of integers using rules of signs")</f>
        <v>Subtraction of integers using rules of signs</v>
      </c>
      <c r="AM121" s="13" t="str">
        <f ca="1">IFERROR(__xludf.DUMMYFUNCTION("""COMPUTED_VALUE"""),"LU000355")</f>
        <v>LU000355</v>
      </c>
      <c r="AN121" s="13" t="str">
        <f ca="1">IFERROR(__xludf.DUMMYFUNCTION("""COMPUTED_VALUE"""),"Multiplication of two integers")</f>
        <v>Multiplication of two integers</v>
      </c>
      <c r="AO121" s="13" t="str">
        <f ca="1">IFERROR(__xludf.DUMMYFUNCTION("""COMPUTED_VALUE"""),"LU000361")</f>
        <v>LU000361</v>
      </c>
      <c r="AP121" s="13" t="str">
        <f ca="1">IFERROR(__xludf.DUMMYFUNCTION("""COMPUTED_VALUE"""),"Division of integers by non zero integer")</f>
        <v>Division of integers by non zero integer</v>
      </c>
      <c r="AQ121" s="13"/>
      <c r="AR121" s="13"/>
      <c r="AS121" s="13"/>
      <c r="AT121" s="13"/>
    </row>
    <row r="122" spans="1:46">
      <c r="A122" s="8" t="s">
        <v>247</v>
      </c>
      <c r="B122" s="8" t="s">
        <v>47</v>
      </c>
      <c r="C122" s="8" t="s">
        <v>416</v>
      </c>
      <c r="D122" s="8" t="s">
        <v>49</v>
      </c>
      <c r="E122" s="8" t="s">
        <v>596</v>
      </c>
      <c r="F122" s="8" t="s">
        <v>600</v>
      </c>
      <c r="G122" s="8" t="s">
        <v>601</v>
      </c>
      <c r="H122" s="8" t="str">
        <f ca="1">IFERROR(__xludf.DUMMYFUNCTION("VLOOKUP(G122, IMPORTRANGE(""https://docs.google.com/spreadsheets/d/14deopnvwcrKtEGCKuYXdUHJbeLDZlkiSSWWT0g7x2pM/edit#gid=999382323"", ""LU List Maths (Filter)!A:B""), 2, FALSE)"),"Definition of a term of an algebraic expression")</f>
        <v>Definition of a term of an algebraic expression</v>
      </c>
      <c r="I122" s="10" t="str">
        <f t="shared" si="0"/>
        <v>LU000505.001</v>
      </c>
      <c r="J122" s="10" t="str">
        <f ca="1">IFERROR(__xludf.DUMMYFUNCTION("VLOOKUP(I122, IMPORTRANGE(""https://docs.google.com/spreadsheets/d/1yDAaXNsi4Mr5FtRQL4tbmSdIzhx6_m4wkOD7IG-k_eo/edit#gid=0"", ""Maths!M:N""), 2, FALSE)"),"Recall the concept of terms in an algebraic expression.")</f>
        <v>Recall the concept of terms in an algebraic expression.</v>
      </c>
      <c r="K122" s="10" t="str">
        <f t="shared" si="1"/>
        <v>LU000505.002</v>
      </c>
      <c r="L122" s="10" t="str">
        <f ca="1">IFERROR(__xludf.DUMMYFUNCTION("VLOOKUP(K122, IMPORTRANGE(""https://docs.google.com/spreadsheets/d/1yDAaXNsi4Mr5FtRQL4tbmSdIzhx6_m4wkOD7IG-k_eo/edit#gid=0"", ""Maths!M:N""), 2, FALSE)"),"Explain the meaning of terms in an algebraic expression and how they are formed.")</f>
        <v>Explain the meaning of terms in an algebraic expression and how they are formed.</v>
      </c>
      <c r="M122" s="10" t="str">
        <f t="shared" si="2"/>
        <v>LU000505.003</v>
      </c>
      <c r="N122" s="10" t="str">
        <f ca="1">IFERROR(__xludf.DUMMYFUNCTION("VLOOKUP(M122, IMPORTRANGE(""https://docs.google.com/spreadsheets/d/1yDAaXNsi4Mr5FtRQL4tbmSdIzhx6_m4wkOD7IG-k_eo/edit#gid=0"", ""Maths!M:N""), 2, FALSE)"),"Identify terms including constant term in various algebraic expressions.")</f>
        <v>Identify terms including constant term in various algebraic expressions.</v>
      </c>
      <c r="O122" s="10" t="str">
        <f t="shared" si="3"/>
        <v>LU000505.004</v>
      </c>
      <c r="P122" s="10" t="str">
        <f ca="1">IFERROR(__xludf.DUMMYFUNCTION("VLOOKUP(O122, IMPORTRANGE(""https://docs.google.com/spreadsheets/d/1yDAaXNsi4Mr5FtRQL4tbmSdIzhx6_m4wkOD7IG-k_eo/edit#gid=0"", ""Maths!M:N""), 2, FALSE)"),"Analyse the algebraic expression to determine the number and nature of terms present.")</f>
        <v>Analyse the algebraic expression to determine the number and nature of terms present.</v>
      </c>
      <c r="Q122" s="10" t="str">
        <f t="shared" si="4"/>
        <v>LU000505.005</v>
      </c>
      <c r="R122" s="10" t="str">
        <f ca="1">IFERROR(__xludf.DUMMYFUNCTION("VLOOKUP(Q122, IMPORTRANGE(""https://docs.google.com/spreadsheets/d/1yDAaXNsi4Mr5FtRQL4tbmSdIzhx6_m4wkOD7IG-k_eo/edit#gid=0"", ""Maths!M:N""), 2, FALSE)"),"Evaluate the accuracy of term identification in given algebraic expressions.")</f>
        <v>Evaluate the accuracy of term identification in given algebraic expressions.</v>
      </c>
      <c r="S122" s="10" t="str">
        <f t="shared" si="5"/>
        <v>LU000505.006</v>
      </c>
      <c r="T122" s="10" t="str">
        <f ca="1">IFERROR(__xludf.DUMMYFUNCTION("VLOOKUP(S122, IMPORTRANGE(""https://docs.google.com/spreadsheets/d/1yDAaXNsi4Mr5FtRQL4tbmSdIzhx6_m4wkOD7IG-k_eo/edit#gid=0"", ""Maths!M:N""), 2, FALSE)"),"Create examples of algebraic expressions consisting of multiple terms.")</f>
        <v>Create examples of algebraic expressions consisting of multiple terms.</v>
      </c>
      <c r="U122" s="11">
        <f ca="1">IFERROR(__xludf.DUMMYFUNCTION("ArrayFormula(VLOOKUP(G122, IMPORTRANGE(""https://docs.google.com/spreadsheets/d/1p7R4vtkWt5VOBim4ltsDG9KTzSjrtKXsMtQGXPHyND0/edit#gid=795171502"", ""'Filter 30_05_2024'!A1:M2000""), {2, 3, 4, 5,6,7,8,9,10,11,12,13}, 0))"),4)</f>
        <v>4</v>
      </c>
      <c r="V122" s="11">
        <f ca="1">IFERROR(__xludf.DUMMYFUNCTION("""COMPUTED_VALUE"""),12)</f>
        <v>12</v>
      </c>
      <c r="W122" s="11">
        <f ca="1">IFERROR(__xludf.DUMMYFUNCTION("""COMPUTED_VALUE"""),2)</f>
        <v>2</v>
      </c>
      <c r="X122" s="11">
        <f ca="1">IFERROR(__xludf.DUMMYFUNCTION("""COMPUTED_VALUE"""),18)</f>
        <v>18</v>
      </c>
      <c r="Y122" s="11">
        <f ca="1">IFERROR(__xludf.DUMMYFUNCTION("""COMPUTED_VALUE"""),4)</f>
        <v>4</v>
      </c>
      <c r="Z122" s="12">
        <f ca="1">IFERROR(__xludf.DUMMYFUNCTION("""COMPUTED_VALUE"""),4)</f>
        <v>4</v>
      </c>
      <c r="AA122" s="12">
        <f ca="1">IFERROR(__xludf.DUMMYFUNCTION("""COMPUTED_VALUE"""),1)</f>
        <v>1</v>
      </c>
      <c r="AB122" s="12">
        <f ca="1">IFERROR(__xludf.DUMMYFUNCTION("""COMPUTED_VALUE"""),9)</f>
        <v>9</v>
      </c>
      <c r="AC122" s="12"/>
      <c r="AD122" s="12"/>
      <c r="AE122" s="12"/>
      <c r="AF122" s="12"/>
      <c r="AG122" s="13" t="str">
        <f ca="1">IFERROR(__xludf.DUMMYFUNCTION("ArrayFormula(VLOOKUP(G122, IMPORTRANGE(""https://docs.google.com/spreadsheets/d/1Co934fvtviyaRiMsrIlT05Jaq7iiYq07aLvRr35KA48/edit?gid=173865642#gid=173865642"", ""'G7_Maths_Pri_LU'!G2:V2000""), {3, 4, 5, 6, 7, 8, 9, 10, 11, 12, 13, 14, 15, 16}, 0))"),"LU000330")</f>
        <v>LU000330</v>
      </c>
      <c r="AH122" s="13" t="str">
        <f ca="1">IFERROR(__xludf.DUMMYFUNCTION("""COMPUTED_VALUE"""),"Definition of variable and constant")</f>
        <v>Definition of variable and constant</v>
      </c>
      <c r="AI122" s="13" t="str">
        <f ca="1">IFERROR(__xludf.DUMMYFUNCTION("""COMPUTED_VALUE"""),"LU000935")</f>
        <v>LU000935</v>
      </c>
      <c r="AJ122" s="13" t="str">
        <f ca="1">IFERROR(__xludf.DUMMYFUNCTION("""COMPUTED_VALUE"""),"Definition of algebraic expression")</f>
        <v>Definition of algebraic expression</v>
      </c>
      <c r="AK122" s="13"/>
      <c r="AL122" s="13"/>
      <c r="AM122" s="13"/>
      <c r="AN122" s="13"/>
      <c r="AO122" s="13"/>
      <c r="AP122" s="13"/>
      <c r="AQ122" s="13"/>
      <c r="AR122" s="13"/>
      <c r="AS122" s="13"/>
      <c r="AT122" s="13"/>
    </row>
    <row r="123" spans="1:46">
      <c r="A123" s="8" t="s">
        <v>247</v>
      </c>
      <c r="B123" s="8" t="s">
        <v>47</v>
      </c>
      <c r="C123" s="8" t="s">
        <v>416</v>
      </c>
      <c r="D123" s="8" t="s">
        <v>49</v>
      </c>
      <c r="E123" s="8" t="s">
        <v>596</v>
      </c>
      <c r="F123" s="8" t="s">
        <v>600</v>
      </c>
      <c r="G123" s="8" t="s">
        <v>602</v>
      </c>
      <c r="H123" s="8" t="str">
        <f ca="1">IFERROR(__xludf.DUMMYFUNCTION("VLOOKUP(G123, IMPORTRANGE(""https://docs.google.com/spreadsheets/d/14deopnvwcrKtEGCKuYXdUHJbeLDZlkiSSWWT0g7x2pM/edit#gid=999382323"", ""LU List Maths (Filter)!A:B""), 2, FALSE)"),"Definition of the coefficient of a term")</f>
        <v>Definition of the coefficient of a term</v>
      </c>
      <c r="I123" s="10" t="str">
        <f t="shared" si="0"/>
        <v>LU000507.001</v>
      </c>
      <c r="J123" s="10" t="str">
        <f ca="1">IFERROR(__xludf.DUMMYFUNCTION("VLOOKUP(I123, IMPORTRANGE(""https://docs.google.com/spreadsheets/d/1yDAaXNsi4Mr5FtRQL4tbmSdIzhx6_m4wkOD7IG-k_eo/edit#gid=0"", ""Maths!M:N""), 2, FALSE)"),"Recall the definition of the coefficient of a term in an algebraic expression.")</f>
        <v>Recall the definition of the coefficient of a term in an algebraic expression.</v>
      </c>
      <c r="K123" s="10" t="str">
        <f t="shared" si="1"/>
        <v>LU000507.002</v>
      </c>
      <c r="L123" s="10" t="str">
        <f ca="1">IFERROR(__xludf.DUMMYFUNCTION("VLOOKUP(K123, IMPORTRANGE(""https://docs.google.com/spreadsheets/d/1yDAaXNsi4Mr5FtRQL4tbmSdIzhx6_m4wkOD7IG-k_eo/edit#gid=0"", ""Maths!M:N""), 2, FALSE)"),"Explain the concept of a coefficient as a numerical or algebraic factor in a term.")</f>
        <v>Explain the concept of a coefficient as a numerical or algebraic factor in a term.</v>
      </c>
      <c r="M123" s="10" t="str">
        <f t="shared" si="2"/>
        <v>LU000507.003</v>
      </c>
      <c r="N123" s="10" t="str">
        <f ca="1">IFERROR(__xludf.DUMMYFUNCTION("VLOOKUP(M123, IMPORTRANGE(""https://docs.google.com/spreadsheets/d/1yDAaXNsi4Mr5FtRQL4tbmSdIzhx6_m4wkOD7IG-k_eo/edit#gid=0"", ""Maths!M:N""), 2, FALSE)"),"Apply the knowledge of coefficients to identify them in given algebraic terms.")</f>
        <v>Apply the knowledge of coefficients to identify them in given algebraic terms.</v>
      </c>
      <c r="O123" s="10" t="str">
        <f t="shared" si="3"/>
        <v>LU000507.004</v>
      </c>
      <c r="P123" s="10" t="str">
        <f ca="1">IFERROR(__xludf.DUMMYFUNCTION("VLOOKUP(O123, IMPORTRANGE(""https://docs.google.com/spreadsheets/d/1yDAaXNsi4Mr5FtRQL4tbmSdIzhx6_m4wkOD7IG-k_eo/edit#gid=0"", ""Maths!M:N""), 2, FALSE)"),"Analyse how the coefficient affects the overall value of the term and its components.")</f>
        <v>Analyse how the coefficient affects the overall value of the term and its components.</v>
      </c>
      <c r="Q123" s="10" t="str">
        <f t="shared" si="4"/>
        <v>LU000507.005</v>
      </c>
      <c r="R123" s="10" t="str">
        <f ca="1">IFERROR(__xludf.DUMMYFUNCTION("VLOOKUP(Q123, IMPORTRANGE(""https://docs.google.com/spreadsheets/d/1yDAaXNsi4Mr5FtRQL4tbmSdIzhx6_m4wkOD7IG-k_eo/edit#gid=0"", ""Maths!M:N""), 2, FALSE)"),"Evaluate the accuracy of coefficient identification in complex expressions with multiple terms.")</f>
        <v>Evaluate the accuracy of coefficient identification in complex expressions with multiple terms.</v>
      </c>
      <c r="S123" s="10" t="str">
        <f t="shared" si="5"/>
        <v>LU000507.006</v>
      </c>
      <c r="T123" s="10" t="str">
        <f ca="1">IFERROR(__xludf.DUMMYFUNCTION("VLOOKUP(S123, IMPORTRANGE(""https://docs.google.com/spreadsheets/d/1yDAaXNsi4Mr5FtRQL4tbmSdIzhx6_m4wkOD7IG-k_eo/edit#gid=0"", ""Maths!M:N""), 2, FALSE)"),"Create algebraic terms with specific coefficients and variables to showcase an understanding of coefficient concepts.")</f>
        <v>Create algebraic terms with specific coefficients and variables to showcase an understanding of coefficient concepts.</v>
      </c>
      <c r="U123" s="11">
        <f ca="1">IFERROR(__xludf.DUMMYFUNCTION("ArrayFormula(VLOOKUP(G123, IMPORTRANGE(""https://docs.google.com/spreadsheets/d/1p7R4vtkWt5VOBim4ltsDG9KTzSjrtKXsMtQGXPHyND0/edit#gid=795171502"", ""'Filter 30_05_2024'!A1:M2000""), {2, 3, 4, 5,6,7,8,9,10,11,12,13}, 0))"),4)</f>
        <v>4</v>
      </c>
      <c r="V123" s="11">
        <f ca="1">IFERROR(__xludf.DUMMYFUNCTION("""COMPUTED_VALUE"""),8)</f>
        <v>8</v>
      </c>
      <c r="W123" s="11">
        <f ca="1">IFERROR(__xludf.DUMMYFUNCTION("""COMPUTED_VALUE"""),2)</f>
        <v>2</v>
      </c>
      <c r="X123" s="11">
        <f ca="1">IFERROR(__xludf.DUMMYFUNCTION("""COMPUTED_VALUE"""),14)</f>
        <v>14</v>
      </c>
      <c r="Y123" s="11">
        <f ca="1">IFERROR(__xludf.DUMMYFUNCTION("""COMPUTED_VALUE"""),4)</f>
        <v>4</v>
      </c>
      <c r="Z123" s="12">
        <f ca="1">IFERROR(__xludf.DUMMYFUNCTION("""COMPUTED_VALUE"""),3)</f>
        <v>3</v>
      </c>
      <c r="AA123" s="12">
        <f ca="1">IFERROR(__xludf.DUMMYFUNCTION("""COMPUTED_VALUE"""),1)</f>
        <v>1</v>
      </c>
      <c r="AB123" s="12">
        <f ca="1">IFERROR(__xludf.DUMMYFUNCTION("""COMPUTED_VALUE"""),8)</f>
        <v>8</v>
      </c>
      <c r="AC123" s="12"/>
      <c r="AD123" s="12"/>
      <c r="AE123" s="12"/>
      <c r="AF123" s="12"/>
      <c r="AG123" s="13" t="str">
        <f ca="1">IFERROR(__xludf.DUMMYFUNCTION("ArrayFormula(VLOOKUP(G123, IMPORTRANGE(""https://docs.google.com/spreadsheets/d/1Co934fvtviyaRiMsrIlT05Jaq7iiYq07aLvRr35KA48/edit?gid=173865642#gid=173865642"", ""'G7_Maths_Pri_LU'!G2:V2000""), {3, 4, 5, 6, 7, 8, 9, 10, 11, 12, 13, 14, 15, 16}, 0))"),"LU000505")</f>
        <v>LU000505</v>
      </c>
      <c r="AH123" s="13" t="str">
        <f ca="1">IFERROR(__xludf.DUMMYFUNCTION("""COMPUTED_VALUE"""),"Definition of a term of an algebraic expression")</f>
        <v>Definition of a term of an algebraic expression</v>
      </c>
      <c r="AI123" s="13" t="str">
        <f ca="1">IFERROR(__xludf.DUMMYFUNCTION("""COMPUTED_VALUE"""),"LU000330")</f>
        <v>LU000330</v>
      </c>
      <c r="AJ123" s="13" t="str">
        <f ca="1">IFERROR(__xludf.DUMMYFUNCTION("""COMPUTED_VALUE"""),"Definition of variable and constant")</f>
        <v>Definition of variable and constant</v>
      </c>
      <c r="AK123" s="13"/>
      <c r="AL123" s="13"/>
      <c r="AM123" s="13"/>
      <c r="AN123" s="13"/>
      <c r="AO123" s="13"/>
      <c r="AP123" s="13"/>
      <c r="AQ123" s="13"/>
      <c r="AR123" s="13"/>
      <c r="AS123" s="13"/>
      <c r="AT123" s="13"/>
    </row>
    <row r="124" spans="1:46">
      <c r="A124" s="8" t="s">
        <v>247</v>
      </c>
      <c r="B124" s="8" t="s">
        <v>47</v>
      </c>
      <c r="C124" s="8" t="s">
        <v>416</v>
      </c>
      <c r="D124" s="8" t="s">
        <v>49</v>
      </c>
      <c r="E124" s="8" t="s">
        <v>596</v>
      </c>
      <c r="F124" s="8" t="s">
        <v>600</v>
      </c>
      <c r="G124" s="8" t="s">
        <v>603</v>
      </c>
      <c r="H124" s="8" t="str">
        <f ca="1">IFERROR(__xludf.DUMMYFUNCTION("VLOOKUP(G124, IMPORTRANGE(""https://docs.google.com/spreadsheets/d/14deopnvwcrKtEGCKuYXdUHJbeLDZlkiSSWWT0g7x2pM/edit#gid=999382323"", ""LU List Maths (Filter)!A:B""), 2, FALSE)"),"Factors of a term of an algebraic expression")</f>
        <v>Factors of a term of an algebraic expression</v>
      </c>
      <c r="I124" s="10" t="str">
        <f t="shared" si="0"/>
        <v>LU000506.001</v>
      </c>
      <c r="J124" s="10" t="str">
        <f ca="1">IFERROR(__xludf.DUMMYFUNCTION("VLOOKUP(I124, IMPORTRANGE(""https://docs.google.com/spreadsheets/d/1yDAaXNsi4Mr5FtRQL4tbmSdIzhx6_m4wkOD7IG-k_eo/edit#gid=0"", ""Maths!M:N""), 2, FALSE)"),"Recall the concept of factors in algebraic terms.")</f>
        <v>Recall the concept of factors in algebraic terms.</v>
      </c>
      <c r="K124" s="10" t="str">
        <f t="shared" si="1"/>
        <v>LU000506.002</v>
      </c>
      <c r="L124" s="10" t="str">
        <f ca="1">IFERROR(__xludf.DUMMYFUNCTION("VLOOKUP(K124, IMPORTRANGE(""https://docs.google.com/spreadsheets/d/1yDAaXNsi4Mr5FtRQL4tbmSdIzhx6_m4wkOD7IG-k_eo/edit#gid=0"", ""Maths!M:N""), 2, FALSE)"),"Explain the meaning of factors in the context of algebraic terms.")</f>
        <v>Explain the meaning of factors in the context of algebraic terms.</v>
      </c>
      <c r="M124" s="10" t="str">
        <f t="shared" si="2"/>
        <v>LU000506.003</v>
      </c>
      <c r="N124" s="10" t="str">
        <f ca="1">IFERROR(__xludf.DUMMYFUNCTION("VLOOKUP(M124, IMPORTRANGE(""https://docs.google.com/spreadsheets/d/1yDAaXNsi4Mr5FtRQL4tbmSdIzhx6_m4wkOD7IG-k_eo/edit#gid=0"", ""Maths!M:N""), 2, FALSE)"),"Apply factorization to identify the factors of given algebraic terms.")</f>
        <v>Apply factorization to identify the factors of given algebraic terms.</v>
      </c>
      <c r="O124" s="10" t="str">
        <f t="shared" si="3"/>
        <v>LU000506.004</v>
      </c>
      <c r="P124" s="10" t="str">
        <f ca="1">IFERROR(__xludf.DUMMYFUNCTION("VLOOKUP(O124, IMPORTRANGE(""https://docs.google.com/spreadsheets/d/1yDAaXNsi4Mr5FtRQL4tbmSdIzhx6_m4wkOD7IG-k_eo/edit#gid=0"", ""Maths!M:N""), 2, FALSE)"),"Analyse the factorization process by studying tree diagrams for various terms.")</f>
        <v>Analyse the factorization process by studying tree diagrams for various terms.</v>
      </c>
      <c r="Q124" s="10" t="str">
        <f t="shared" si="4"/>
        <v>LU000506.005</v>
      </c>
      <c r="R124" s="10" t="str">
        <f ca="1">IFERROR(__xludf.DUMMYFUNCTION("VLOOKUP(Q124, IMPORTRANGE(""https://docs.google.com/spreadsheets/d/1yDAaXNsi4Mr5FtRQL4tbmSdIzhx6_m4wkOD7IG-k_eo/edit#gid=0"", ""Maths!M:N""), 2, FALSE)"),"Evaluate the accuracy of factor representation in a given tree diagram of an algebraic term.")</f>
        <v>Evaluate the accuracy of factor representation in a given tree diagram of an algebraic term.</v>
      </c>
      <c r="S124" s="10" t="str">
        <f t="shared" si="5"/>
        <v>LU000506.006</v>
      </c>
      <c r="T124" s="10" t="str">
        <f ca="1">IFERROR(__xludf.DUMMYFUNCTION("VLOOKUP(S124, IMPORTRANGE(""https://docs.google.com/spreadsheets/d/1yDAaXNsi4Mr5FtRQL4tbmSdIzhx6_m4wkOD7IG-k_eo/edit#gid=0"", ""Maths!M:N""), 2, FALSE)"),"Create algebraic terms and their corresponding tree diagrams, considering various combinations of factors.")</f>
        <v>Create algebraic terms and their corresponding tree diagrams, considering various combinations of factors.</v>
      </c>
      <c r="U124" s="11">
        <f ca="1">IFERROR(__xludf.DUMMYFUNCTION("ArrayFormula(VLOOKUP(G124, IMPORTRANGE(""https://docs.google.com/spreadsheets/d/1p7R4vtkWt5VOBim4ltsDG9KTzSjrtKXsMtQGXPHyND0/edit#gid=795171502"", ""'Filter 30_05_2024'!A1:M2000""), {2, 3, 4, 5,6,7,8,9,10,11,12,13}, 0))"),4)</f>
        <v>4</v>
      </c>
      <c r="V124" s="11">
        <f ca="1">IFERROR(__xludf.DUMMYFUNCTION("""COMPUTED_VALUE"""),6)</f>
        <v>6</v>
      </c>
      <c r="W124" s="11">
        <f ca="1">IFERROR(__xludf.DUMMYFUNCTION("""COMPUTED_VALUE"""),6)</f>
        <v>6</v>
      </c>
      <c r="X124" s="11">
        <f ca="1">IFERROR(__xludf.DUMMYFUNCTION("""COMPUTED_VALUE"""),16)</f>
        <v>16</v>
      </c>
      <c r="Y124" s="11">
        <f ca="1">IFERROR(__xludf.DUMMYFUNCTION("""COMPUTED_VALUE"""),4)</f>
        <v>4</v>
      </c>
      <c r="Z124" s="12">
        <f ca="1">IFERROR(__xludf.DUMMYFUNCTION("""COMPUTED_VALUE"""),4)</f>
        <v>4</v>
      </c>
      <c r="AA124" s="12">
        <f ca="1">IFERROR(__xludf.DUMMYFUNCTION("""COMPUTED_VALUE"""),3)</f>
        <v>3</v>
      </c>
      <c r="AB124" s="12">
        <f ca="1">IFERROR(__xludf.DUMMYFUNCTION("""COMPUTED_VALUE"""),11)</f>
        <v>11</v>
      </c>
      <c r="AC124" s="12"/>
      <c r="AD124" s="12">
        <f ca="1">IFERROR(__xludf.DUMMYFUNCTION("""COMPUTED_VALUE"""),2)</f>
        <v>2</v>
      </c>
      <c r="AE124" s="12"/>
      <c r="AF124" s="12">
        <f ca="1">IFERROR(__xludf.DUMMYFUNCTION("""COMPUTED_VALUE"""),2)</f>
        <v>2</v>
      </c>
      <c r="AG124" s="13" t="str">
        <f ca="1">IFERROR(__xludf.DUMMYFUNCTION("ArrayFormula(VLOOKUP(G124, IMPORTRANGE(""https://docs.google.com/spreadsheets/d/1Co934fvtviyaRiMsrIlT05Jaq7iiYq07aLvRr35KA48/edit?gid=173865642#gid=173865642"", ""'G7_Maths_Pri_LU'!G2:V2000""), {3, 4, 5, 6, 7, 8, 9, 10, 11, 12, 13, 14, 15, 16}, 0))"),"LU000505")</f>
        <v>LU000505</v>
      </c>
      <c r="AH124" s="13" t="str">
        <f ca="1">IFERROR(__xludf.DUMMYFUNCTION("""COMPUTED_VALUE"""),"Definition of a term of an algebraic expression")</f>
        <v>Definition of a term of an algebraic expression</v>
      </c>
      <c r="AI124" s="13" t="str">
        <f ca="1">IFERROR(__xludf.DUMMYFUNCTION("""COMPUTED_VALUE"""),"LU000192")</f>
        <v>LU000192</v>
      </c>
      <c r="AJ124" s="13" t="str">
        <f ca="1">IFERROR(__xludf.DUMMYFUNCTION("""COMPUTED_VALUE"""),"Factor of number")</f>
        <v>Factor of number</v>
      </c>
      <c r="AK124" s="13" t="str">
        <f ca="1">IFERROR(__xludf.DUMMYFUNCTION("""COMPUTED_VALUE"""),"LU000330")</f>
        <v>LU000330</v>
      </c>
      <c r="AL124" s="13" t="str">
        <f ca="1">IFERROR(__xludf.DUMMYFUNCTION("""COMPUTED_VALUE"""),"Definition of variable and constant")</f>
        <v>Definition of variable and constant</v>
      </c>
      <c r="AM124" s="13"/>
      <c r="AN124" s="13"/>
      <c r="AO124" s="13"/>
      <c r="AP124" s="13"/>
      <c r="AQ124" s="13"/>
      <c r="AR124" s="13"/>
      <c r="AS124" s="13"/>
      <c r="AT124" s="13"/>
    </row>
    <row r="125" spans="1:46">
      <c r="A125" s="8" t="s">
        <v>247</v>
      </c>
      <c r="B125" s="8" t="s">
        <v>47</v>
      </c>
      <c r="C125" s="8" t="s">
        <v>416</v>
      </c>
      <c r="D125" s="8" t="s">
        <v>49</v>
      </c>
      <c r="E125" s="8" t="s">
        <v>596</v>
      </c>
      <c r="F125" s="8" t="s">
        <v>604</v>
      </c>
      <c r="G125" s="8" t="s">
        <v>605</v>
      </c>
      <c r="H125" s="8" t="str">
        <f ca="1">IFERROR(__xludf.DUMMYFUNCTION("VLOOKUP(G125, IMPORTRANGE(""https://docs.google.com/spreadsheets/d/14deopnvwcrKtEGCKuYXdUHJbeLDZlkiSSWWT0g7x2pM/edit#gid=999382323"", ""LU List Maths (Filter)!A:B""), 2, FALSE)"),"Definition of like and unlike terms of algebraic expression")</f>
        <v>Definition of like and unlike terms of algebraic expression</v>
      </c>
      <c r="I125" s="10" t="str">
        <f t="shared" si="0"/>
        <v>LU000508.001</v>
      </c>
      <c r="J125" s="10" t="str">
        <f ca="1">IFERROR(__xludf.DUMMYFUNCTION("VLOOKUP(I125, IMPORTRANGE(""https://docs.google.com/spreadsheets/d/1yDAaXNsi4Mr5FtRQL4tbmSdIzhx6_m4wkOD7IG-k_eo/edit#gid=0"", ""Maths!M:N""), 2, FALSE)"),"Define like and unlike terms.")</f>
        <v>Define like and unlike terms.</v>
      </c>
      <c r="K125" s="10" t="str">
        <f t="shared" si="1"/>
        <v>LU000508.002</v>
      </c>
      <c r="L125" s="10" t="str">
        <f ca="1">IFERROR(__xludf.DUMMYFUNCTION("VLOOKUP(K125, IMPORTRANGE(""https://docs.google.com/spreadsheets/d/1yDAaXNsi4Mr5FtRQL4tbmSdIzhx6_m4wkOD7IG-k_eo/edit#gid=0"", ""Maths!M:N""), 2, FALSE)"),"Explain the criteria for classifying terms as like terms and unlike terms using variables and exponents.")</f>
        <v>Explain the criteria for classifying terms as like terms and unlike terms using variables and exponents.</v>
      </c>
      <c r="M125" s="10" t="str">
        <f t="shared" si="2"/>
        <v>LU000508.003</v>
      </c>
      <c r="N125" s="10" t="str">
        <f ca="1">IFERROR(__xludf.DUMMYFUNCTION("VLOOKUP(M125, IMPORTRANGE(""https://docs.google.com/spreadsheets/d/1yDAaXNsi4Mr5FtRQL4tbmSdIzhx6_m4wkOD7IG-k_eo/edit#gid=0"", ""Maths!M:N""), 2, FALSE)"),"Apply the classification rules to correctly identify like terms and unlike terms in given algebraic expressions.")</f>
        <v>Apply the classification rules to correctly identify like terms and unlike terms in given algebraic expressions.</v>
      </c>
      <c r="O125" s="10" t="str">
        <f t="shared" si="3"/>
        <v>LU000508.004</v>
      </c>
      <c r="P125" s="10" t="str">
        <f ca="1">IFERROR(__xludf.DUMMYFUNCTION("VLOOKUP(O125, IMPORTRANGE(""https://docs.google.com/spreadsheets/d/1yDAaXNsi4Mr5FtRQL4tbmSdIzhx6_m4wkOD7IG-k_eo/edit#gid=0"", ""Maths!M:N""), 2, FALSE)"),"Analyse the impact of changing variables or exponents on the classification of terms within an expression.")</f>
        <v>Analyse the impact of changing variables or exponents on the classification of terms within an expression.</v>
      </c>
      <c r="Q125" s="10" t="str">
        <f t="shared" si="4"/>
        <v>LU000508.005</v>
      </c>
      <c r="R125" s="10" t="str">
        <f ca="1">IFERROR(__xludf.DUMMYFUNCTION("VLOOKUP(Q125, IMPORTRANGE(""https://docs.google.com/spreadsheets/d/1yDAaXNsi4Mr5FtRQL4tbmSdIzhx6_m4wkOD7IG-k_eo/edit#gid=0"", ""Maths!M:N""), 2, FALSE)"),"Evaluate the accuracy of the classification of terms in complex expressions involving multiple variables and exponents.")</f>
        <v>Evaluate the accuracy of the classification of terms in complex expressions involving multiple variables and exponents.</v>
      </c>
      <c r="S125" s="10" t="str">
        <f t="shared" si="5"/>
        <v>LU000508.006</v>
      </c>
      <c r="T125" s="10" t="str">
        <f ca="1">IFERROR(__xludf.DUMMYFUNCTION("VLOOKUP(S125, IMPORTRANGE(""https://docs.google.com/spreadsheets/d/1yDAaXNsi4Mr5FtRQL4tbmSdIzhx6_m4wkOD7IG-k_eo/edit#gid=0"", ""Maths!M:N""), 2, FALSE)"),"Create algebraic expressions containing both like terms and unlike terms to demonstrate an understanding of their classification.")</f>
        <v>Create algebraic expressions containing both like terms and unlike terms to demonstrate an understanding of their classification.</v>
      </c>
      <c r="U125" s="11">
        <f ca="1">IFERROR(__xludf.DUMMYFUNCTION("ArrayFormula(VLOOKUP(G125, IMPORTRANGE(""https://docs.google.com/spreadsheets/d/1p7R4vtkWt5VOBim4ltsDG9KTzSjrtKXsMtQGXPHyND0/edit#gid=795171502"", ""'Filter 30_05_2024'!A1:M2000""), {2, 3, 4, 5,6,7,8,9,10,11,12,13}, 0))"),6)</f>
        <v>6</v>
      </c>
      <c r="V125" s="11">
        <f ca="1">IFERROR(__xludf.DUMMYFUNCTION("""COMPUTED_VALUE"""),5)</f>
        <v>5</v>
      </c>
      <c r="W125" s="11">
        <f ca="1">IFERROR(__xludf.DUMMYFUNCTION("""COMPUTED_VALUE"""),2)</f>
        <v>2</v>
      </c>
      <c r="X125" s="11">
        <f ca="1">IFERROR(__xludf.DUMMYFUNCTION("""COMPUTED_VALUE"""),13)</f>
        <v>13</v>
      </c>
      <c r="Y125" s="11">
        <f ca="1">IFERROR(__xludf.DUMMYFUNCTION("""COMPUTED_VALUE"""),4)</f>
        <v>4</v>
      </c>
      <c r="Z125" s="12">
        <f ca="1">IFERROR(__xludf.DUMMYFUNCTION("""COMPUTED_VALUE"""),3)</f>
        <v>3</v>
      </c>
      <c r="AA125" s="12">
        <f ca="1">IFERROR(__xludf.DUMMYFUNCTION("""COMPUTED_VALUE"""),1)</f>
        <v>1</v>
      </c>
      <c r="AB125" s="12">
        <f ca="1">IFERROR(__xludf.DUMMYFUNCTION("""COMPUTED_VALUE"""),8)</f>
        <v>8</v>
      </c>
      <c r="AC125" s="12"/>
      <c r="AD125" s="12"/>
      <c r="AE125" s="12"/>
      <c r="AF125" s="12"/>
      <c r="AG125" s="13" t="str">
        <f ca="1">IFERROR(__xludf.DUMMYFUNCTION("ArrayFormula(VLOOKUP(G125, IMPORTRANGE(""https://docs.google.com/spreadsheets/d/1Co934fvtviyaRiMsrIlT05Jaq7iiYq07aLvRr35KA48/edit?gid=173865642#gid=173865642"", ""'G7_Maths_Pri_LU'!G2:V2000""), {3, 4, 5, 6, 7, 8, 9, 10, 11, 12, 13, 14, 15, 16}, 0))"),"LU000505")</f>
        <v>LU000505</v>
      </c>
      <c r="AH125" s="13" t="str">
        <f ca="1">IFERROR(__xludf.DUMMYFUNCTION("""COMPUTED_VALUE"""),"Definition of a term of an algebraic expression")</f>
        <v>Definition of a term of an algebraic expression</v>
      </c>
      <c r="AI125" s="13" t="str">
        <f ca="1">IFERROR(__xludf.DUMMYFUNCTION("""COMPUTED_VALUE"""),"LU000506")</f>
        <v>LU000506</v>
      </c>
      <c r="AJ125" s="13" t="str">
        <f ca="1">IFERROR(__xludf.DUMMYFUNCTION("""COMPUTED_VALUE"""),"Factors of a term of an algebraic expression")</f>
        <v>Factors of a term of an algebraic expression</v>
      </c>
      <c r="AK125" s="13" t="str">
        <f ca="1">IFERROR(__xludf.DUMMYFUNCTION("""COMPUTED_VALUE"""),"LU000507")</f>
        <v>LU000507</v>
      </c>
      <c r="AL125" s="13" t="str">
        <f ca="1">IFERROR(__xludf.DUMMYFUNCTION("""COMPUTED_VALUE"""),"Definition of the coefficient of a term")</f>
        <v>Definition of the coefficient of a term</v>
      </c>
      <c r="AM125" s="13" t="str">
        <f ca="1">IFERROR(__xludf.DUMMYFUNCTION("""COMPUTED_VALUE"""),"LU000330")</f>
        <v>LU000330</v>
      </c>
      <c r="AN125" s="13" t="str">
        <f ca="1">IFERROR(__xludf.DUMMYFUNCTION("""COMPUTED_VALUE"""),"Definition of variable and constant")</f>
        <v>Definition of variable and constant</v>
      </c>
      <c r="AO125" s="13"/>
      <c r="AP125" s="13"/>
      <c r="AQ125" s="13"/>
      <c r="AR125" s="13"/>
      <c r="AS125" s="13"/>
      <c r="AT125" s="13"/>
    </row>
    <row r="126" spans="1:46">
      <c r="A126" s="8" t="s">
        <v>247</v>
      </c>
      <c r="B126" s="8" t="s">
        <v>47</v>
      </c>
      <c r="C126" s="8" t="s">
        <v>416</v>
      </c>
      <c r="D126" s="8" t="s">
        <v>49</v>
      </c>
      <c r="E126" s="8" t="s">
        <v>596</v>
      </c>
      <c r="F126" s="8" t="s">
        <v>606</v>
      </c>
      <c r="G126" s="8" t="s">
        <v>607</v>
      </c>
      <c r="H126" s="8" t="str">
        <f ca="1">IFERROR(__xludf.DUMMYFUNCTION("VLOOKUP(G126, IMPORTRANGE(""https://docs.google.com/spreadsheets/d/14deopnvwcrKtEGCKuYXdUHJbeLDZlkiSSWWT0g7x2pM/edit#gid=999382323"", ""LU List Maths (Filter)!A:B""), 2, FALSE)"),"Classification of polynomials based on the number of terms")</f>
        <v>Classification of polynomials based on the number of terms</v>
      </c>
      <c r="I126" s="10" t="str">
        <f t="shared" si="0"/>
        <v>LU000510.001</v>
      </c>
      <c r="J126" s="10" t="str">
        <f ca="1">IFERROR(__xludf.DUMMYFUNCTION("VLOOKUP(I126, IMPORTRANGE(""https://docs.google.com/spreadsheets/d/1yDAaXNsi4Mr5FtRQL4tbmSdIzhx6_m4wkOD7IG-k_eo/edit#gid=0"", ""Maths!M:N""), 2, FALSE)"),"State the definitions of monomial, binomial, and trinomial.")</f>
        <v>State the definitions of monomial, binomial, and trinomial.</v>
      </c>
      <c r="K126" s="10" t="str">
        <f t="shared" si="1"/>
        <v>LU000510.002</v>
      </c>
      <c r="L126" s="10" t="str">
        <f ca="1">IFERROR(__xludf.DUMMYFUNCTION("VLOOKUP(K126, IMPORTRANGE(""https://docs.google.com/spreadsheets/d/1yDAaXNsi4Mr5FtRQL4tbmSdIzhx6_m4wkOD7IG-k_eo/edit#gid=0"", ""Maths!M:N""), 2, FALSE)"),"Describe how the classification is determined by the specific count of terms in a polynomial.")</f>
        <v>Describe how the classification is determined by the specific count of terms in a polynomial.</v>
      </c>
      <c r="M126" s="10" t="str">
        <f t="shared" si="2"/>
        <v>LU000510.003</v>
      </c>
      <c r="N126" s="10" t="str">
        <f ca="1">IFERROR(__xludf.DUMMYFUNCTION("VLOOKUP(M126, IMPORTRANGE(""https://docs.google.com/spreadsheets/d/1yDAaXNsi4Mr5FtRQL4tbmSdIzhx6_m4wkOD7IG-k_eo/edit#gid=0"", ""Maths!M:N""), 2, FALSE)"),"Apply the classification criteria to correctly identify and label the type of polynomial expression.")</f>
        <v>Apply the classification criteria to correctly identify and label the type of polynomial expression.</v>
      </c>
      <c r="O126" s="10" t="str">
        <f t="shared" si="3"/>
        <v>LU000510.004</v>
      </c>
      <c r="P126" s="10" t="str">
        <f ca="1">IFERROR(__xludf.DUMMYFUNCTION("VLOOKUP(O126, IMPORTRANGE(""https://docs.google.com/spreadsheets/d/1yDAaXNsi4Mr5FtRQL4tbmSdIzhx6_m4wkOD7IG-k_eo/edit#gid=0"", ""Maths!M:N""), 2, FALSE)"),"#N/A")</f>
        <v>#N/A</v>
      </c>
      <c r="Q126" s="10" t="str">
        <f t="shared" si="4"/>
        <v>LU000510.005</v>
      </c>
      <c r="R126" s="10" t="str">
        <f ca="1">IFERROR(__xludf.DUMMYFUNCTION("VLOOKUP(Q126, IMPORTRANGE(""https://docs.google.com/spreadsheets/d/1yDAaXNsi4Mr5FtRQL4tbmSdIzhx6_m4wkOD7IG-k_eo/edit#gid=0"", ""Maths!M:N""), 2, FALSE)"),"Evaluate whether a given expression is correctly classified as a monomial, binomial, or trinomial, and explain the reasoning.")</f>
        <v>Evaluate whether a given expression is correctly classified as a monomial, binomial, or trinomial, and explain the reasoning.</v>
      </c>
      <c r="S126" s="10" t="str">
        <f t="shared" si="5"/>
        <v>LU000510.006</v>
      </c>
      <c r="T126" s="10" t="str">
        <f ca="1">IFERROR(__xludf.DUMMYFUNCTION("VLOOKUP(S126, IMPORTRANGE(""https://docs.google.com/spreadsheets/d/1yDAaXNsi4Mr5FtRQL4tbmSdIzhx6_m4wkOD7IG-k_eo/edit#gid=0"", ""Maths!M:N""), 2, FALSE)"),"#N/A")</f>
        <v>#N/A</v>
      </c>
      <c r="U126" s="11">
        <f ca="1">IFERROR(__xludf.DUMMYFUNCTION("ArrayFormula(VLOOKUP(G126, IMPORTRANGE(""https://docs.google.com/spreadsheets/d/1p7R4vtkWt5VOBim4ltsDG9KTzSjrtKXsMtQGXPHyND0/edit#gid=795171502"", ""'Filter 30_05_2024'!A1:M2000""), {2, 3, 4, 5,6,7,8,9,10,11,12,13}, 0))"),6)</f>
        <v>6</v>
      </c>
      <c r="V126" s="11">
        <f ca="1">IFERROR(__xludf.DUMMYFUNCTION("""COMPUTED_VALUE"""),23)</f>
        <v>23</v>
      </c>
      <c r="W126" s="11">
        <f ca="1">IFERROR(__xludf.DUMMYFUNCTION("""COMPUTED_VALUE"""),2)</f>
        <v>2</v>
      </c>
      <c r="X126" s="11">
        <f ca="1">IFERROR(__xludf.DUMMYFUNCTION("""COMPUTED_VALUE"""),31)</f>
        <v>31</v>
      </c>
      <c r="Y126" s="11">
        <f ca="1">IFERROR(__xludf.DUMMYFUNCTION("""COMPUTED_VALUE"""),4)</f>
        <v>4</v>
      </c>
      <c r="Z126" s="12">
        <f ca="1">IFERROR(__xludf.DUMMYFUNCTION("""COMPUTED_VALUE"""),7)</f>
        <v>7</v>
      </c>
      <c r="AA126" s="12">
        <f ca="1">IFERROR(__xludf.DUMMYFUNCTION("""COMPUTED_VALUE"""),1)</f>
        <v>1</v>
      </c>
      <c r="AB126" s="12">
        <f ca="1">IFERROR(__xludf.DUMMYFUNCTION("""COMPUTED_VALUE"""),12)</f>
        <v>12</v>
      </c>
      <c r="AC126" s="12"/>
      <c r="AD126" s="12"/>
      <c r="AE126" s="12"/>
      <c r="AF126" s="12"/>
      <c r="AG126" s="13" t="str">
        <f ca="1">IFERROR(__xludf.DUMMYFUNCTION("ArrayFormula(VLOOKUP(G126, IMPORTRANGE(""https://docs.google.com/spreadsheets/d/1Co934fvtviyaRiMsrIlT05Jaq7iiYq07aLvRr35KA48/edit?gid=173865642#gid=173865642"", ""'G7_Maths_Pri_LU'!G2:V2000""), {3, 4, 5, 6, 7, 8, 9, 10, 11, 12, 13, 14, 15, 16}, 0))"),"LU000508")</f>
        <v>LU000508</v>
      </c>
      <c r="AH126" s="13" t="str">
        <f ca="1">IFERROR(__xludf.DUMMYFUNCTION("""COMPUTED_VALUE"""),"Definition of like and unlike terms of algebraic expression")</f>
        <v>Definition of like and unlike terms of algebraic expression</v>
      </c>
      <c r="AI126" s="13" t="str">
        <f ca="1">IFERROR(__xludf.DUMMYFUNCTION("""COMPUTED_VALUE"""),"LU000505")</f>
        <v>LU000505</v>
      </c>
      <c r="AJ126" s="13" t="str">
        <f ca="1">IFERROR(__xludf.DUMMYFUNCTION("""COMPUTED_VALUE"""),"Definition of a term of an algebraic expression")</f>
        <v>Definition of a term of an algebraic expression</v>
      </c>
      <c r="AK126" s="13" t="str">
        <f ca="1">IFERROR(__xludf.DUMMYFUNCTION("""COMPUTED_VALUE"""),"LU000507")</f>
        <v>LU000507</v>
      </c>
      <c r="AL126" s="13" t="str">
        <f ca="1">IFERROR(__xludf.DUMMYFUNCTION("""COMPUTED_VALUE"""),"Definition of the coefficient of a term")</f>
        <v>Definition of the coefficient of a term</v>
      </c>
      <c r="AM126" s="13" t="str">
        <f ca="1">IFERROR(__xludf.DUMMYFUNCTION("""COMPUTED_VALUE"""),"LU000330")</f>
        <v>LU000330</v>
      </c>
      <c r="AN126" s="13" t="str">
        <f ca="1">IFERROR(__xludf.DUMMYFUNCTION("""COMPUTED_VALUE"""),"Definition of variable and constant")</f>
        <v>Definition of variable and constant</v>
      </c>
      <c r="AO126" s="13"/>
      <c r="AP126" s="13"/>
      <c r="AQ126" s="13"/>
      <c r="AR126" s="13"/>
      <c r="AS126" s="13"/>
      <c r="AT126" s="13"/>
    </row>
    <row r="127" spans="1:46">
      <c r="A127" s="8" t="s">
        <v>247</v>
      </c>
      <c r="B127" s="8" t="s">
        <v>47</v>
      </c>
      <c r="C127" s="8" t="s">
        <v>416</v>
      </c>
      <c r="D127" s="8" t="s">
        <v>49</v>
      </c>
      <c r="E127" s="8" t="s">
        <v>596</v>
      </c>
      <c r="F127" s="8" t="s">
        <v>608</v>
      </c>
      <c r="G127" s="8" t="s">
        <v>609</v>
      </c>
      <c r="H127" s="8" t="str">
        <f ca="1">IFERROR(__xludf.DUMMYFUNCTION("VLOOKUP(G127, IMPORTRANGE(""https://docs.google.com/spreadsheets/d/14deopnvwcrKtEGCKuYXdUHJbeLDZlkiSSWWT0g7x2pM/edit#gid=999382323"", ""LU List Maths (Filter)!A:B""), 2, FALSE)"),"Evaluation of algebraic expressions")</f>
        <v>Evaluation of algebraic expressions</v>
      </c>
      <c r="I127" s="10" t="str">
        <f t="shared" si="0"/>
        <v>LU000514.001</v>
      </c>
      <c r="J127" s="10" t="str">
        <f ca="1">IFERROR(__xludf.DUMMYFUNCTION("VLOOKUP(I127, IMPORTRANGE(""https://docs.google.com/spreadsheets/d/1yDAaXNsi4Mr5FtRQL4tbmSdIzhx6_m4wkOD7IG-k_eo/edit#gid=0"", ""Maths!M:N""), 2, FALSE)"),"List situations where determining the value of an expression is necessary.")</f>
        <v>List situations where determining the value of an expression is necessary.</v>
      </c>
      <c r="K127" s="10" t="str">
        <f t="shared" si="1"/>
        <v>LU000514.002</v>
      </c>
      <c r="L127" s="10" t="str">
        <f ca="1">IFERROR(__xludf.DUMMYFUNCTION("VLOOKUP(K127, IMPORTRANGE(""https://docs.google.com/spreadsheets/d/1yDAaXNsi4Mr5FtRQL4tbmSdIzhx6_m4wkOD7IG-k_eo/edit#gid=0"", ""Maths!M:N""), 2, FALSE)"),"Describe the relationship between the variables and the resulting value in an expression.")</f>
        <v>Describe the relationship between the variables and the resulting value in an expression.</v>
      </c>
      <c r="M127" s="10" t="str">
        <f t="shared" si="2"/>
        <v>LU000514.003</v>
      </c>
      <c r="N127" s="10" t="str">
        <f ca="1">IFERROR(__xludf.DUMMYFUNCTION("VLOOKUP(M127, IMPORTRANGE(""https://docs.google.com/spreadsheets/d/1yDAaXNsi4Mr5FtRQL4tbmSdIzhx6_m4wkOD7IG-k_eo/edit#gid=0"", ""Maths!M:N""), 2, FALSE)"),"Simplify and evaluate the algebraic expressions using the given value of variable(s).")</f>
        <v>Simplify and evaluate the algebraic expressions using the given value of variable(s).</v>
      </c>
      <c r="O127" s="10" t="str">
        <f t="shared" si="3"/>
        <v>LU000514.004</v>
      </c>
      <c r="P127" s="10" t="str">
        <f ca="1">IFERROR(__xludf.DUMMYFUNCTION("VLOOKUP(O127, IMPORTRANGE(""https://docs.google.com/spreadsheets/d/1yDAaXNsi4Mr5FtRQL4tbmSdIzhx6_m4wkOD7IG-k_eo/edit#gid=0"", ""Maths!M:N""), 2, FALSE)"),"Analyze the different values of expressions with varying input values.")</f>
        <v>Analyze the different values of expressions with varying input values.</v>
      </c>
      <c r="Q127" s="10" t="str">
        <f t="shared" si="4"/>
        <v>LU000514.005</v>
      </c>
      <c r="R127" s="10" t="str">
        <f ca="1">IFERROR(__xludf.DUMMYFUNCTION("VLOOKUP(Q127, IMPORTRANGE(""https://docs.google.com/spreadsheets/d/1yDAaXNsi4Mr5FtRQL4tbmSdIzhx6_m4wkOD7IG-k_eo/edit#gid=0"", ""Maths!M:N""), 2, FALSE)"),"Assess the effectiveness of evaluating expressions to verify the validity of equations.")</f>
        <v>Assess the effectiveness of evaluating expressions to verify the validity of equations.</v>
      </c>
      <c r="S127" s="10" t="str">
        <f t="shared" si="5"/>
        <v>LU000514.006</v>
      </c>
      <c r="T127" s="10" t="str">
        <f ca="1">IFERROR(__xludf.DUMMYFUNCTION("VLOOKUP(S127, IMPORTRANGE(""https://docs.google.com/spreadsheets/d/1yDAaXNsi4Mr5FtRQL4tbmSdIzhx6_m4wkOD7IG-k_eo/edit#gid=0"", ""Maths!M:N""), 2, FALSE)"),"Devise a problem requiring the evaluation of an expression to check the validity of a specific solution to a real-world scenario.")</f>
        <v>Devise a problem requiring the evaluation of an expression to check the validity of a specific solution to a real-world scenario.</v>
      </c>
      <c r="U127" s="11">
        <f ca="1">IFERROR(__xludf.DUMMYFUNCTION("ArrayFormula(VLOOKUP(G127, IMPORTRANGE(""https://docs.google.com/spreadsheets/d/1p7R4vtkWt5VOBim4ltsDG9KTzSjrtKXsMtQGXPHyND0/edit#gid=795171502"", ""'Filter 30_05_2024'!A1:M2000""), {2, 3, 4, 5,6,7,8,9,10,11,12,13}, 0))"),5)</f>
        <v>5</v>
      </c>
      <c r="V127" s="11">
        <f ca="1">IFERROR(__xludf.DUMMYFUNCTION("""COMPUTED_VALUE"""),16)</f>
        <v>16</v>
      </c>
      <c r="W127" s="11">
        <f ca="1">IFERROR(__xludf.DUMMYFUNCTION("""COMPUTED_VALUE"""),3)</f>
        <v>3</v>
      </c>
      <c r="X127" s="11">
        <f ca="1">IFERROR(__xludf.DUMMYFUNCTION("""COMPUTED_VALUE"""),24)</f>
        <v>24</v>
      </c>
      <c r="Y127" s="11">
        <f ca="1">IFERROR(__xludf.DUMMYFUNCTION("""COMPUTED_VALUE"""),6)</f>
        <v>6</v>
      </c>
      <c r="Z127" s="12">
        <f ca="1">IFERROR(__xludf.DUMMYFUNCTION("""COMPUTED_VALUE"""),5)</f>
        <v>5</v>
      </c>
      <c r="AA127" s="12">
        <f ca="1">IFERROR(__xludf.DUMMYFUNCTION("""COMPUTED_VALUE"""),1)</f>
        <v>1</v>
      </c>
      <c r="AB127" s="12">
        <f ca="1">IFERROR(__xludf.DUMMYFUNCTION("""COMPUTED_VALUE"""),12)</f>
        <v>12</v>
      </c>
      <c r="AC127" s="12">
        <f ca="1">IFERROR(__xludf.DUMMYFUNCTION("""COMPUTED_VALUE"""),3)</f>
        <v>3</v>
      </c>
      <c r="AD127" s="12"/>
      <c r="AE127" s="12"/>
      <c r="AF127" s="12">
        <f ca="1">IFERROR(__xludf.DUMMYFUNCTION("""COMPUTED_VALUE"""),3)</f>
        <v>3</v>
      </c>
      <c r="AG127" s="13" t="str">
        <f ca="1">IFERROR(__xludf.DUMMYFUNCTION("ArrayFormula(VLOOKUP(G127, IMPORTRANGE(""https://docs.google.com/spreadsheets/d/1Co934fvtviyaRiMsrIlT05Jaq7iiYq07aLvRr35KA48/edit?gid=173865642#gid=173865642"", ""'G7_Maths_Pri_LU'!G2:V2000""), {3, 4, 5, 6, 7, 8, 9, 10, 11, 12, 13, 14, 15, 16}, 0))"),"LU000191")</f>
        <v>LU000191</v>
      </c>
      <c r="AH127" s="13" t="str">
        <f ca="1">IFERROR(__xludf.DUMMYFUNCTION("""COMPUTED_VALUE"""),"Simplification rule (DMAS) to solve numerical expression involving whole numbers")</f>
        <v>Simplification rule (DMAS) to solve numerical expression involving whole numbers</v>
      </c>
      <c r="AI127" s="13" t="str">
        <f ca="1">IFERROR(__xludf.DUMMYFUNCTION("""COMPUTED_VALUE"""),"LU000505")</f>
        <v>LU000505</v>
      </c>
      <c r="AJ127" s="13" t="str">
        <f ca="1">IFERROR(__xludf.DUMMYFUNCTION("""COMPUTED_VALUE"""),"Definition of a term of an algebraic expression")</f>
        <v>Definition of a term of an algebraic expression</v>
      </c>
      <c r="AK127" s="13" t="str">
        <f ca="1">IFERROR(__xludf.DUMMYFUNCTION("""COMPUTED_VALUE"""),"LU000507")</f>
        <v>LU000507</v>
      </c>
      <c r="AL127" s="13" t="str">
        <f ca="1">IFERROR(__xludf.DUMMYFUNCTION("""COMPUTED_VALUE"""),"Definition of the coefficient of a term")</f>
        <v>Definition of the coefficient of a term</v>
      </c>
      <c r="AM127" s="13"/>
      <c r="AN127" s="13"/>
      <c r="AO127" s="13"/>
      <c r="AP127" s="13"/>
      <c r="AQ127" s="13"/>
      <c r="AR127" s="13"/>
      <c r="AS127" s="13"/>
      <c r="AT127" s="13"/>
    </row>
    <row r="128" spans="1:46">
      <c r="A128" s="8" t="s">
        <v>247</v>
      </c>
      <c r="B128" s="8" t="s">
        <v>47</v>
      </c>
      <c r="C128" s="8" t="s">
        <v>416</v>
      </c>
      <c r="D128" s="8" t="s">
        <v>49</v>
      </c>
      <c r="E128" s="8" t="s">
        <v>209</v>
      </c>
      <c r="F128" s="8" t="s">
        <v>210</v>
      </c>
      <c r="G128" s="8" t="s">
        <v>211</v>
      </c>
      <c r="H128" s="8" t="str">
        <f ca="1">IFERROR(__xludf.DUMMYFUNCTION("VLOOKUP(G128, IMPORTRANGE(""https://docs.google.com/spreadsheets/d/14deopnvwcrKtEGCKuYXdUHJbeLDZlkiSSWWT0g7x2pM/edit#gid=999382323"", ""LU List Maths (Filter)!A:B""), 2, FALSE)"),"Definition of symmetry")</f>
        <v>Definition of symmetry</v>
      </c>
      <c r="I128" s="10" t="str">
        <f t="shared" si="0"/>
        <v>LU000789.001</v>
      </c>
      <c r="J128" s="10" t="str">
        <f ca="1">IFERROR(__xludf.DUMMYFUNCTION("VLOOKUP(I128, IMPORTRANGE(""https://docs.google.com/spreadsheets/d/1yDAaXNsi4Mr5FtRQL4tbmSdIzhx6_m4wkOD7IG-k_eo/edit#gid=0"", ""Maths!M:N""), 2, FALSE)"),"State that symmetry is a property in which an object looks the same after a transformation, such as reflection or rotation.")</f>
        <v>State that symmetry is a property in which an object looks the same after a transformation, such as reflection or rotation.</v>
      </c>
      <c r="K128" s="10" t="str">
        <f t="shared" si="1"/>
        <v>LU000789.002</v>
      </c>
      <c r="L128" s="10" t="str">
        <f ca="1">IFERROR(__xludf.DUMMYFUNCTION("VLOOKUP(K128, IMPORTRANGE(""https://docs.google.com/spreadsheets/d/1yDAaXNsi4Mr5FtRQL4tbmSdIzhx6_m4wkOD7IG-k_eo/edit#gid=0"", ""Maths!M:N""), 2, FALSE)"),"Explain why symmetry is an important concept in mathematics and art.")</f>
        <v>Explain why symmetry is an important concept in mathematics and art.</v>
      </c>
      <c r="M128" s="10" t="str">
        <f t="shared" si="2"/>
        <v>LU000789.003</v>
      </c>
      <c r="N128" s="10" t="str">
        <f ca="1">IFERROR(__xludf.DUMMYFUNCTION("VLOOKUP(M128, IMPORTRANGE(""https://docs.google.com/spreadsheets/d/1yDAaXNsi4Mr5FtRQL4tbmSdIzhx6_m4wkOD7IG-k_eo/edit#gid=0"", ""Maths!M:N""), 2, FALSE)"),"Apply the definition of symmetry to identify symmetrical objects in the environment.")</f>
        <v>Apply the definition of symmetry to identify symmetrical objects in the environment.</v>
      </c>
      <c r="O128" s="10" t="str">
        <f t="shared" si="3"/>
        <v>LU000789.004</v>
      </c>
      <c r="P128" s="10" t="str">
        <f ca="1">IFERROR(__xludf.DUMMYFUNCTION("VLOOKUP(O128, IMPORTRANGE(""https://docs.google.com/spreadsheets/d/1yDAaXNsi4Mr5FtRQL4tbmSdIzhx6_m4wkOD7IG-k_eo/edit#gid=0"", ""Maths!M:N""), 2, FALSE)"),"Analyse complex designs to determine the type of symmetry(line and rotational symmetry) they exhibit.")</f>
        <v>Analyse complex designs to determine the type of symmetry(line and rotational symmetry) they exhibit.</v>
      </c>
      <c r="Q128" s="10" t="str">
        <f t="shared" si="4"/>
        <v>LU000789.005</v>
      </c>
      <c r="R128" s="10" t="str">
        <f ca="1">IFERROR(__xludf.DUMMYFUNCTION("VLOOKUP(Q128, IMPORTRANGE(""https://docs.google.com/spreadsheets/d/1yDAaXNsi4Mr5FtRQL4tbmSdIzhx6_m4wkOD7IG-k_eo/edit#gid=0"", ""Maths!M:N""), 2, FALSE)"),"Evaluate the effectiveness of symmetry in creating balance and beauty in art.")</f>
        <v>Evaluate the effectiveness of symmetry in creating balance and beauty in art.</v>
      </c>
      <c r="S128" s="10" t="str">
        <f t="shared" si="5"/>
        <v>LU000789.006</v>
      </c>
      <c r="T128" s="10" t="str">
        <f ca="1">IFERROR(__xludf.DUMMYFUNCTION("VLOOKUP(S128, IMPORTRANGE(""https://docs.google.com/spreadsheets/d/1yDAaXNsi4Mr5FtRQL4tbmSdIzhx6_m4wkOD7IG-k_eo/edit#gid=0"", ""Maths!M:N""), 2, FALSE)"),"Generate original symmetrical designs using various symmetry techniques.")</f>
        <v>Generate original symmetrical designs using various symmetry techniques.</v>
      </c>
      <c r="U128" s="11">
        <f ca="1">IFERROR(__xludf.DUMMYFUNCTION("ArrayFormula(VLOOKUP(G128, IMPORTRANGE(""https://docs.google.com/spreadsheets/d/1p7R4vtkWt5VOBim4ltsDG9KTzSjrtKXsMtQGXPHyND0/edit#gid=795171502"", ""'Filter 30_05_2024'!A1:M2000""), {2, 3, 4, 5,6,7,8,9,10,11,12,13}, 0))"),2)</f>
        <v>2</v>
      </c>
      <c r="V128" s="11">
        <f ca="1">IFERROR(__xludf.DUMMYFUNCTION("""COMPUTED_VALUE"""),6)</f>
        <v>6</v>
      </c>
      <c r="W128" s="11">
        <f ca="1">IFERROR(__xludf.DUMMYFUNCTION("""COMPUTED_VALUE"""),2)</f>
        <v>2</v>
      </c>
      <c r="X128" s="11">
        <f ca="1">IFERROR(__xludf.DUMMYFUNCTION("""COMPUTED_VALUE"""),10)</f>
        <v>10</v>
      </c>
      <c r="Y128" s="44">
        <f ca="1">IFERROR(__xludf.DUMMYFUNCTION("""COMPUTED_VALUE"""),6)</f>
        <v>6</v>
      </c>
      <c r="Z128" s="12">
        <f ca="1">IFERROR(__xludf.DUMMYFUNCTION("""COMPUTED_VALUE"""),3)</f>
        <v>3</v>
      </c>
      <c r="AA128" s="12">
        <f ca="1">IFERROR(__xludf.DUMMYFUNCTION("""COMPUTED_VALUE"""),1)</f>
        <v>1</v>
      </c>
      <c r="AB128" s="12">
        <f ca="1">IFERROR(__xludf.DUMMYFUNCTION("""COMPUTED_VALUE"""),10)</f>
        <v>10</v>
      </c>
      <c r="AC128" s="12"/>
      <c r="AD128" s="12"/>
      <c r="AE128" s="12"/>
      <c r="AF128" s="12"/>
      <c r="AG128" s="13" t="str">
        <f ca="1">IFERROR(__xludf.DUMMYFUNCTION("ArrayFormula(VLOOKUP(G128, IMPORTRANGE(""https://docs.google.com/spreadsheets/d/1Co934fvtviyaRiMsrIlT05Jaq7iiYq07aLvRr35KA48/edit?gid=173865642#gid=173865642"", ""'G7_Maths_Pri_LU'!G2:V2000""), {3, 4, 5, 6, 7, 8, 9, 10, 11, 12, 13, 14, 15, 16}, 0))"),"")</f>
        <v/>
      </c>
      <c r="AH128" s="13"/>
      <c r="AI128" s="13"/>
      <c r="AJ128" s="13"/>
      <c r="AK128" s="13"/>
      <c r="AL128" s="13"/>
      <c r="AM128" s="13"/>
      <c r="AN128" s="13"/>
      <c r="AO128" s="13"/>
      <c r="AP128" s="13"/>
      <c r="AQ128" s="13"/>
      <c r="AR128" s="13"/>
      <c r="AS128" s="13"/>
      <c r="AT128" s="13"/>
    </row>
    <row r="129" spans="1:46">
      <c r="A129" s="8" t="s">
        <v>247</v>
      </c>
      <c r="B129" s="8" t="s">
        <v>47</v>
      </c>
      <c r="C129" s="8" t="s">
        <v>416</v>
      </c>
      <c r="D129" s="8" t="s">
        <v>49</v>
      </c>
      <c r="E129" s="8" t="s">
        <v>209</v>
      </c>
      <c r="F129" s="8" t="s">
        <v>210</v>
      </c>
      <c r="G129" s="8" t="s">
        <v>213</v>
      </c>
      <c r="H129" s="8" t="str">
        <f ca="1">IFERROR(__xludf.DUMMYFUNCTION("VLOOKUP(G129, IMPORTRANGE(""https://docs.google.com/spreadsheets/d/14deopnvwcrKtEGCKuYXdUHJbeLDZlkiSSWWT0g7x2pM/edit#gid=999382323"", ""LU List Maths (Filter)!A:B""), 2, FALSE)"),"Relationship between mirror reflection and line symmetry")</f>
        <v>Relationship between mirror reflection and line symmetry</v>
      </c>
      <c r="I129" s="10" t="str">
        <f t="shared" si="0"/>
        <v>LU000900.001</v>
      </c>
      <c r="J129" s="10" t="str">
        <f ca="1">IFERROR(__xludf.DUMMYFUNCTION("VLOOKUP(I129, IMPORTRANGE(""https://docs.google.com/spreadsheets/d/1yDAaXNsi4Mr5FtRQL4tbmSdIzhx6_m4wkOD7IG-k_eo/edit#gid=0"", ""Maths!M:N""), 2, FALSE)"),"State the definitions of mirror reflection and line symmetry and distinguish between these two types of symmetry.")</f>
        <v>State the definitions of mirror reflection and line symmetry and distinguish between these two types of symmetry.</v>
      </c>
      <c r="K129" s="10" t="str">
        <f t="shared" si="1"/>
        <v>LU000900.002</v>
      </c>
      <c r="L129" s="10" t="str">
        <f ca="1">IFERROR(__xludf.DUMMYFUNCTION("VLOOKUP(K129, IMPORTRANGE(""https://docs.google.com/spreadsheets/d/1yDAaXNsi4Mr5FtRQL4tbmSdIzhx6_m4wkOD7IG-k_eo/edit#gid=0"", ""Maths!M:N""), 2, FALSE)"),"Explain the fundamental differences and similarities between mirror reflection and line symmetry")</f>
        <v>Explain the fundamental differences and similarities between mirror reflection and line symmetry</v>
      </c>
      <c r="M129" s="10" t="str">
        <f t="shared" si="2"/>
        <v>LU000900.003</v>
      </c>
      <c r="N129" s="10" t="str">
        <f ca="1">IFERROR(__xludf.DUMMYFUNCTION("VLOOKUP(M129, IMPORTRANGE(""https://docs.google.com/spreadsheets/d/1yDAaXNsi4Mr5FtRQL4tbmSdIzhx6_m4wkOD7IG-k_eo/edit#gid=0"", ""Maths!M:N""), 2, FALSE)"),"Apply knowledge of mirror reflection and line symmetry to identify examples of each in various geometric shapes and everyday objects.")</f>
        <v>Apply knowledge of mirror reflection and line symmetry to identify examples of each in various geometric shapes and everyday objects.</v>
      </c>
      <c r="O129" s="10" t="str">
        <f t="shared" si="3"/>
        <v>LU000900.004</v>
      </c>
      <c r="P129" s="10" t="str">
        <f ca="1">IFERROR(__xludf.DUMMYFUNCTION("VLOOKUP(O129, IMPORTRANGE(""https://docs.google.com/spreadsheets/d/1yDAaXNsi4Mr5FtRQL4tbmSdIzhx6_m4wkOD7IG-k_eo/edit#gid=0"", ""Maths!M:N""), 2, FALSE)"),"Analyze complex patterns or designs to determine whether they exhibit mirror reflection, line symmetry, both, or neither")</f>
        <v>Analyze complex patterns or designs to determine whether they exhibit mirror reflection, line symmetry, both, or neither</v>
      </c>
      <c r="Q129" s="10" t="str">
        <f t="shared" si="4"/>
        <v>LU000900.005</v>
      </c>
      <c r="R129" s="10" t="str">
        <f ca="1">IFERROR(__xludf.DUMMYFUNCTION("VLOOKUP(Q129, IMPORTRANGE(""https://docs.google.com/spreadsheets/d/1yDAaXNsi4Mr5FtRQL4tbmSdIzhx6_m4wkOD7IG-k_eo/edit#gid=0"", ""Maths!M:N""), 2, FALSE)"),"Evaluate the importance of understanding both mirror reflection and line symmetry in geometry and design")</f>
        <v>Evaluate the importance of understanding both mirror reflection and line symmetry in geometry and design</v>
      </c>
      <c r="S129" s="10" t="str">
        <f t="shared" si="5"/>
        <v>LU000900.006</v>
      </c>
      <c r="T129" s="10" t="str">
        <f ca="1">IFERROR(__xludf.DUMMYFUNCTION("VLOOKUP(S129, IMPORTRANGE(""https://docs.google.com/spreadsheets/d/1yDAaXNsi4Mr5FtRQL4tbmSdIzhx6_m4wkOD7IG-k_eo/edit#gid=0"", ""Maths!M:N""), 2, FALSE)"),"Create a visual presentation or diagram that illustrates the relationship between mirror reflection and line symmetry, showcasing their connections and distinctions effectively.")</f>
        <v>Create a visual presentation or diagram that illustrates the relationship between mirror reflection and line symmetry, showcasing their connections and distinctions effectively.</v>
      </c>
      <c r="U129" s="11">
        <f ca="1">IFERROR(__xludf.DUMMYFUNCTION("ArrayFormula(VLOOKUP(G129, IMPORTRANGE(""https://docs.google.com/spreadsheets/d/1p7R4vtkWt5VOBim4ltsDG9KTzSjrtKXsMtQGXPHyND0/edit#gid=795171502"", ""'Filter 30_05_2024'!A1:M2000""), {2, 3, 4, 5,6,7,8,9,10,11,12,13}, 0))"),4)</f>
        <v>4</v>
      </c>
      <c r="V129" s="11">
        <f ca="1">IFERROR(__xludf.DUMMYFUNCTION("""COMPUTED_VALUE"""),3)</f>
        <v>3</v>
      </c>
      <c r="W129" s="11">
        <f ca="1">IFERROR(__xludf.DUMMYFUNCTION("""COMPUTED_VALUE"""),2)</f>
        <v>2</v>
      </c>
      <c r="X129" s="11">
        <f ca="1">IFERROR(__xludf.DUMMYFUNCTION("""COMPUTED_VALUE"""),9)</f>
        <v>9</v>
      </c>
      <c r="Y129" s="44">
        <f ca="1">IFERROR(__xludf.DUMMYFUNCTION("""COMPUTED_VALUE"""),4)</f>
        <v>4</v>
      </c>
      <c r="Z129" s="12">
        <f ca="1">IFERROR(__xludf.DUMMYFUNCTION("""COMPUTED_VALUE"""),6)</f>
        <v>6</v>
      </c>
      <c r="AA129" s="12">
        <f ca="1">IFERROR(__xludf.DUMMYFUNCTION("""COMPUTED_VALUE"""),1)</f>
        <v>1</v>
      </c>
      <c r="AB129" s="12">
        <f ca="1">IFERROR(__xludf.DUMMYFUNCTION("""COMPUTED_VALUE"""),11)</f>
        <v>11</v>
      </c>
      <c r="AC129" s="12"/>
      <c r="AD129" s="12"/>
      <c r="AE129" s="12"/>
      <c r="AF129" s="12"/>
      <c r="AG129" s="13" t="str">
        <f ca="1">IFERROR(__xludf.DUMMYFUNCTION("ArrayFormula(VLOOKUP(G129, IMPORTRANGE(""https://docs.google.com/spreadsheets/d/1Co934fvtviyaRiMsrIlT05Jaq7iiYq07aLvRr35KA48/edit?gid=173865642#gid=173865642"", ""'G7_Maths_Pri_LU'!G2:V2000""), {3, 4, 5, 6, 7, 8, 9, 10, 11, 12, 13, 14, 15, 16}, 0))"),"LU000052")</f>
        <v>LU000052</v>
      </c>
      <c r="AH129" s="13" t="str">
        <f ca="1">IFERROR(__xludf.DUMMYFUNCTION("""COMPUTED_VALUE"""),"Mirror line for a shape")</f>
        <v>Mirror line for a shape</v>
      </c>
      <c r="AI129" s="13" t="str">
        <f ca="1">IFERROR(__xludf.DUMMYFUNCTION("""COMPUTED_VALUE"""),"LU000789")</f>
        <v>LU000789</v>
      </c>
      <c r="AJ129" s="13" t="str">
        <f ca="1">IFERROR(__xludf.DUMMYFUNCTION("""COMPUTED_VALUE"""),"Definition of symmetry")</f>
        <v>Definition of symmetry</v>
      </c>
      <c r="AK129" s="13" t="str">
        <f ca="1">IFERROR(__xludf.DUMMYFUNCTION("""COMPUTED_VALUE"""),"LU000886")</f>
        <v>LU000886</v>
      </c>
      <c r="AL129" s="13" t="str">
        <f ca="1">IFERROR(__xludf.DUMMYFUNCTION("""COMPUTED_VALUE"""),"Definition of mirror image")</f>
        <v>Definition of mirror image</v>
      </c>
      <c r="AM129" s="13"/>
      <c r="AN129" s="13"/>
      <c r="AO129" s="13"/>
      <c r="AP129" s="13"/>
      <c r="AQ129" s="13"/>
      <c r="AR129" s="13"/>
      <c r="AS129" s="13"/>
      <c r="AT129" s="13"/>
    </row>
    <row r="130" spans="1:46">
      <c r="A130" s="8" t="s">
        <v>247</v>
      </c>
      <c r="B130" s="8" t="s">
        <v>47</v>
      </c>
      <c r="C130" s="8" t="s">
        <v>416</v>
      </c>
      <c r="D130" s="8" t="s">
        <v>49</v>
      </c>
      <c r="E130" s="8" t="s">
        <v>209</v>
      </c>
      <c r="F130" s="8" t="s">
        <v>210</v>
      </c>
      <c r="G130" s="8" t="s">
        <v>212</v>
      </c>
      <c r="H130" s="8" t="str">
        <f ca="1">IFERROR(__xludf.DUMMYFUNCTION("VLOOKUP(G130, IMPORTRANGE(""https://docs.google.com/spreadsheets/d/14deopnvwcrKtEGCKuYXdUHJbeLDZlkiSSWWT0g7x2pM/edit#gid=999382323"", ""LU List Maths (Filter)!A:B""), 2, FALSE)"),"Lexical explanation of line symmetry")</f>
        <v>Lexical explanation of line symmetry</v>
      </c>
      <c r="I130" s="10" t="str">
        <f t="shared" si="0"/>
        <v>LU000790.001</v>
      </c>
      <c r="J130" s="10" t="str">
        <f ca="1">IFERROR(__xludf.DUMMYFUNCTION("VLOOKUP(I130, IMPORTRANGE(""https://docs.google.com/spreadsheets/d/1yDAaXNsi4Mr5FtRQL4tbmSdIzhx6_m4wkOD7IG-k_eo/edit#gid=0"", ""Maths!M:N""), 2, FALSE)"),"State that line symmetry is a property of an object where it can be divided into two equal halves by a single straight line.")</f>
        <v>State that line symmetry is a property of an object where it can be divided into two equal halves by a single straight line.</v>
      </c>
      <c r="K130" s="10" t="str">
        <f t="shared" si="1"/>
        <v>LU000790.002</v>
      </c>
      <c r="L130" s="10" t="str">
        <f ca="1">IFERROR(__xludf.DUMMYFUNCTION("VLOOKUP(K130, IMPORTRANGE(""https://docs.google.com/spreadsheets/d/1yDAaXNsi4Mr5FtRQL4tbmSdIzhx6_m4wkOD7IG-k_eo/edit#gid=0"", ""Maths!M:N""), 2, FALSE)"),"Describe how objects with line symmetry can be folded along the line of symmetry to match the two halves like a reflection in a mirror.")</f>
        <v>Describe how objects with line symmetry can be folded along the line of symmetry to match the two halves like a reflection in a mirror.</v>
      </c>
      <c r="M130" s="10" t="str">
        <f t="shared" si="2"/>
        <v>LU000790.003</v>
      </c>
      <c r="N130" s="10" t="str">
        <f ca="1">IFERROR(__xludf.DUMMYFUNCTION("VLOOKUP(M130, IMPORTRANGE(""https://docs.google.com/spreadsheets/d/1yDAaXNsi4Mr5FtRQL4tbmSdIzhx6_m4wkOD7IG-k_eo/edit#gid=0"", ""Maths!M:N""), 2, FALSE)"),"Identify line of symmetry(horizontal or vertical) in various geometric shapes and explain why they have this property.")</f>
        <v>Identify line of symmetry(horizontal or vertical) in various geometric shapes and explain why they have this property.</v>
      </c>
      <c r="O130" s="10" t="str">
        <f t="shared" si="3"/>
        <v>LU000790.004</v>
      </c>
      <c r="P130" s="10" t="str">
        <f ca="1">IFERROR(__xludf.DUMMYFUNCTION("VLOOKUP(O130, IMPORTRANGE(""https://docs.google.com/spreadsheets/d/1yDAaXNsi4Mr5FtRQL4tbmSdIzhx6_m4wkOD7IG-k_eo/edit#gid=0"", ""Maths!M:N""), 2, FALSE)"),"Examine a decorative pattern and identify its line of symmetry, explaining how the pattern is symmetric with respect to that line.")</f>
        <v>Examine a decorative pattern and identify its line of symmetry, explaining how the pattern is symmetric with respect to that line.</v>
      </c>
      <c r="Q130" s="10" t="str">
        <f t="shared" si="4"/>
        <v>LU000790.005</v>
      </c>
      <c r="R130" s="10" t="str">
        <f ca="1">IFERROR(__xludf.DUMMYFUNCTION("VLOOKUP(Q130, IMPORTRANGE(""https://docs.google.com/spreadsheets/d/1yDAaXNsi4Mr5FtRQL4tbmSdIzhx6_m4wkOD7IG-k_eo/edit#gid=0"", ""Maths!M:N""), 2, FALSE)"),"Evaluate the significance of line symmetry in art and design.")</f>
        <v>Evaluate the significance of line symmetry in art and design.</v>
      </c>
      <c r="S130" s="10" t="str">
        <f t="shared" si="5"/>
        <v>LU000790.006</v>
      </c>
      <c r="T130" s="10" t="str">
        <f ca="1">IFERROR(__xludf.DUMMYFUNCTION("VLOOKUP(S130, IMPORTRANGE(""https://docs.google.com/spreadsheets/d/1yDAaXNsi4Mr5FtRQL4tbmSdIzhx6_m4wkOD7IG-k_eo/edit#gid=0"", ""Maths!M:N""), 2, FALSE)"),"Design a symmetrical pattern that combines multiple lines of symmetry to form an intricate, visually appealing artwork.")</f>
        <v>Design a symmetrical pattern that combines multiple lines of symmetry to form an intricate, visually appealing artwork.</v>
      </c>
      <c r="U130" s="11">
        <f ca="1">IFERROR(__xludf.DUMMYFUNCTION("ArrayFormula(VLOOKUP(G130, IMPORTRANGE(""https://docs.google.com/spreadsheets/d/1p7R4vtkWt5VOBim4ltsDG9KTzSjrtKXsMtQGXPHyND0/edit#gid=795171502"", ""'Filter 30_05_2024'!A1:M2000""), {2, 3, 4, 5,6,7,8,9,10,11,12,13}, 0))"),4)</f>
        <v>4</v>
      </c>
      <c r="V130" s="11">
        <f ca="1">IFERROR(__xludf.DUMMYFUNCTION("""COMPUTED_VALUE"""),6)</f>
        <v>6</v>
      </c>
      <c r="W130" s="11">
        <f ca="1">IFERROR(__xludf.DUMMYFUNCTION("""COMPUTED_VALUE"""),2)</f>
        <v>2</v>
      </c>
      <c r="X130" s="11">
        <f ca="1">IFERROR(__xludf.DUMMYFUNCTION("""COMPUTED_VALUE"""),12)</f>
        <v>12</v>
      </c>
      <c r="Y130" s="44">
        <f ca="1">IFERROR(__xludf.DUMMYFUNCTION("""COMPUTED_VALUE"""),4)</f>
        <v>4</v>
      </c>
      <c r="Z130" s="12">
        <f ca="1">IFERROR(__xludf.DUMMYFUNCTION("""COMPUTED_VALUE"""),3)</f>
        <v>3</v>
      </c>
      <c r="AA130" s="12">
        <f ca="1">IFERROR(__xludf.DUMMYFUNCTION("""COMPUTED_VALUE"""),1)</f>
        <v>1</v>
      </c>
      <c r="AB130" s="12">
        <f ca="1">IFERROR(__xludf.DUMMYFUNCTION("""COMPUTED_VALUE"""),8)</f>
        <v>8</v>
      </c>
      <c r="AC130" s="12"/>
      <c r="AD130" s="12"/>
      <c r="AE130" s="12"/>
      <c r="AF130" s="12"/>
      <c r="AG130" s="13" t="str">
        <f ca="1">IFERROR(__xludf.DUMMYFUNCTION("ArrayFormula(VLOOKUP(G130, IMPORTRANGE(""https://docs.google.com/spreadsheets/d/1Co934fvtviyaRiMsrIlT05Jaq7iiYq07aLvRr35KA48/edit?gid=173865642#gid=173865642"", ""'G7_Maths_Pri_LU'!G2:V2000""), {3, 4, 5, 6, 7, 8, 9, 10, 11, 12, 13, 14, 15, 16}, 0))"),"LU000789")</f>
        <v>LU000789</v>
      </c>
      <c r="AH130" s="13" t="str">
        <f ca="1">IFERROR(__xludf.DUMMYFUNCTION("""COMPUTED_VALUE"""),"Definition of symmetry")</f>
        <v>Definition of symmetry</v>
      </c>
      <c r="AI130" s="13"/>
      <c r="AJ130" s="13"/>
      <c r="AK130" s="13"/>
      <c r="AL130" s="13"/>
      <c r="AM130" s="13"/>
      <c r="AN130" s="13"/>
      <c r="AO130" s="13"/>
      <c r="AP130" s="13"/>
      <c r="AQ130" s="13"/>
      <c r="AR130" s="13"/>
      <c r="AS130" s="13"/>
      <c r="AT130" s="13"/>
    </row>
    <row r="131" spans="1:46">
      <c r="A131" s="8" t="s">
        <v>247</v>
      </c>
      <c r="B131" s="8" t="s">
        <v>47</v>
      </c>
      <c r="C131" s="8" t="s">
        <v>416</v>
      </c>
      <c r="D131" s="8" t="s">
        <v>49</v>
      </c>
      <c r="E131" s="8" t="s">
        <v>209</v>
      </c>
      <c r="F131" s="8" t="s">
        <v>214</v>
      </c>
      <c r="G131" s="8" t="s">
        <v>215</v>
      </c>
      <c r="H131" s="8" t="str">
        <f ca="1">IFERROR(__xludf.DUMMYFUNCTION("VLOOKUP(G131, IMPORTRANGE(""https://docs.google.com/spreadsheets/d/14deopnvwcrKtEGCKuYXdUHJbeLDZlkiSSWWT0g7x2pM/edit#gid=999382323"", ""LU List Maths (Filter)!A:B""), 2, FALSE)"),"Line of symmetry for regular polygons")</f>
        <v>Line of symmetry for regular polygons</v>
      </c>
      <c r="I131" s="10" t="str">
        <f t="shared" si="0"/>
        <v>LU000791.001</v>
      </c>
      <c r="J131" s="10" t="str">
        <f ca="1">IFERROR(__xludf.DUMMYFUNCTION("VLOOKUP(I131, IMPORTRANGE(""https://docs.google.com/spreadsheets/d/1yDAaXNsi4Mr5FtRQL4tbmSdIzhx6_m4wkOD7IG-k_eo/edit#gid=0"", ""Maths!M:N""), 2, FALSE)"),"State that a line of symmetry in a regular polygon divides it into two identical, mirror-image halves.")</f>
        <v>State that a line of symmetry in a regular polygon divides it into two identical, mirror-image halves.</v>
      </c>
      <c r="K131" s="10" t="str">
        <f t="shared" si="1"/>
        <v>LU000791.002</v>
      </c>
      <c r="L131" s="10" t="str">
        <f ca="1">IFERROR(__xludf.DUMMYFUNCTION("VLOOKUP(K131, IMPORTRANGE(""https://docs.google.com/spreadsheets/d/1yDAaXNsi4Mr5FtRQL4tbmSdIzhx6_m4wkOD7IG-k_eo/edit#gid=0"", ""Maths!M:N""), 2, FALSE)"),"Describe how the number of sides in a regular polygon determines the number of lines of symmetry it possesses.")</f>
        <v>Describe how the number of sides in a regular polygon determines the number of lines of symmetry it possesses.</v>
      </c>
      <c r="M131" s="10" t="str">
        <f t="shared" si="2"/>
        <v>LU000791.003</v>
      </c>
      <c r="N131" s="10" t="str">
        <f ca="1">IFERROR(__xludf.DUMMYFUNCTION("VLOOKUP(M131, IMPORTRANGE(""https://docs.google.com/spreadsheets/d/1yDAaXNsi4Mr5FtRQL4tbmSdIzhx6_m4wkOD7IG-k_eo/edit#gid=0"", ""Maths!M:N""), 2, FALSE)"),"Draw lines of symmetry for a regular polygon, demonstrating an understanding of their properties.")</f>
        <v>Draw lines of symmetry for a regular polygon, demonstrating an understanding of their properties.</v>
      </c>
      <c r="O131" s="10" t="str">
        <f t="shared" si="3"/>
        <v>LU000791.004</v>
      </c>
      <c r="P131" s="10" t="str">
        <f ca="1">IFERROR(__xludf.DUMMYFUNCTION("VLOOKUP(O131, IMPORTRANGE(""https://docs.google.com/spreadsheets/d/1yDAaXNsi4Mr5FtRQL4tbmSdIzhx6_m4wkOD7IG-k_eo/edit#gid=0"", ""Maths!M:N""), 2, FALSE)"),"Examine an irregular polygon and explain why it may or may not have a line of symmetry, based on its shape and angles.")</f>
        <v>Examine an irregular polygon and explain why it may or may not have a line of symmetry, based on its shape and angles.</v>
      </c>
      <c r="Q131" s="10" t="str">
        <f t="shared" si="4"/>
        <v>LU000791.005</v>
      </c>
      <c r="R131" s="10" t="str">
        <f ca="1">IFERROR(__xludf.DUMMYFUNCTION("VLOOKUP(Q131, IMPORTRANGE(""https://docs.google.com/spreadsheets/d/1yDAaXNsi4Mr5FtRQL4tbmSdIzhx6_m4wkOD7IG-k_eo/edit#gid=0"", ""Maths!M:N""), 2, FALSE)"),"Evaluate the role of lines of symmetry in the aesthetic design of regular polygons.")</f>
        <v>Evaluate the role of lines of symmetry in the aesthetic design of regular polygons.</v>
      </c>
      <c r="S131" s="10" t="str">
        <f t="shared" si="5"/>
        <v>LU000791.006</v>
      </c>
      <c r="T131" s="10" t="str">
        <f ca="1">IFERROR(__xludf.DUMMYFUNCTION("VLOOKUP(S131, IMPORTRANGE(""https://docs.google.com/spreadsheets/d/1yDAaXNsi4Mr5FtRQL4tbmSdIzhx6_m4wkOD7IG-k_eo/edit#gid=0"", ""Maths!M:N""), 2, FALSE)"),"Generate original regular polygon designs, emphasizing their lines of symmetry.")</f>
        <v>Generate original regular polygon designs, emphasizing their lines of symmetry.</v>
      </c>
      <c r="U131" s="11">
        <f ca="1">IFERROR(__xludf.DUMMYFUNCTION("ArrayFormula(VLOOKUP(G131, IMPORTRANGE(""https://docs.google.com/spreadsheets/d/1p7R4vtkWt5VOBim4ltsDG9KTzSjrtKXsMtQGXPHyND0/edit#gid=795171502"", ""'Filter 30_05_2024'!A1:M2000""), {2, 3, 4, 5,6,7,8,9,10,11,12,13}, 0))"),3)</f>
        <v>3</v>
      </c>
      <c r="V131" s="11">
        <f ca="1">IFERROR(__xludf.DUMMYFUNCTION("""COMPUTED_VALUE"""),6)</f>
        <v>6</v>
      </c>
      <c r="W131" s="11">
        <f ca="1">IFERROR(__xludf.DUMMYFUNCTION("""COMPUTED_VALUE"""),2)</f>
        <v>2</v>
      </c>
      <c r="X131" s="11">
        <f ca="1">IFERROR(__xludf.DUMMYFUNCTION("""COMPUTED_VALUE"""),11)</f>
        <v>11</v>
      </c>
      <c r="Y131" s="44">
        <f ca="1">IFERROR(__xludf.DUMMYFUNCTION("""COMPUTED_VALUE"""),5)</f>
        <v>5</v>
      </c>
      <c r="Z131" s="12">
        <f ca="1">IFERROR(__xludf.DUMMYFUNCTION("""COMPUTED_VALUE"""),3)</f>
        <v>3</v>
      </c>
      <c r="AA131" s="12">
        <f ca="1">IFERROR(__xludf.DUMMYFUNCTION("""COMPUTED_VALUE"""),1)</f>
        <v>1</v>
      </c>
      <c r="AB131" s="12">
        <f ca="1">IFERROR(__xludf.DUMMYFUNCTION("""COMPUTED_VALUE"""),9)</f>
        <v>9</v>
      </c>
      <c r="AC131" s="12"/>
      <c r="AD131" s="12"/>
      <c r="AE131" s="12"/>
      <c r="AF131" s="12"/>
      <c r="AG131" s="13" t="str">
        <f ca="1">IFERROR(__xludf.DUMMYFUNCTION("ArrayFormula(VLOOKUP(G131, IMPORTRANGE(""https://docs.google.com/spreadsheets/d/1Co934fvtviyaRiMsrIlT05Jaq7iiYq07aLvRr35KA48/edit?gid=173865642#gid=173865642"", ""'G7_Maths_Pri_LU'!G2:V2000""), {3, 4, 5, 6, 7, 8, 9, 10, 11, 12, 13, 14, 15, 16}, 0))"),"LU000905")</f>
        <v>LU000905</v>
      </c>
      <c r="AH131" s="13" t="str">
        <f ca="1">IFERROR(__xludf.DUMMYFUNCTION("""COMPUTED_VALUE"""),"Definition of regular and irregular polygon")</f>
        <v>Definition of regular and irregular polygon</v>
      </c>
      <c r="AI131" s="13" t="str">
        <f ca="1">IFERROR(__xludf.DUMMYFUNCTION("""COMPUTED_VALUE"""),"LU000789")</f>
        <v>LU000789</v>
      </c>
      <c r="AJ131" s="13" t="str">
        <f ca="1">IFERROR(__xludf.DUMMYFUNCTION("""COMPUTED_VALUE"""),"Definition of symmetry")</f>
        <v>Definition of symmetry</v>
      </c>
      <c r="AK131" s="13"/>
      <c r="AL131" s="13"/>
      <c r="AM131" s="13"/>
      <c r="AN131" s="13"/>
      <c r="AO131" s="13"/>
      <c r="AP131" s="13"/>
      <c r="AQ131" s="13"/>
      <c r="AR131" s="13"/>
      <c r="AS131" s="13"/>
      <c r="AT131" s="13"/>
    </row>
    <row r="132" spans="1:46">
      <c r="A132" s="8" t="s">
        <v>247</v>
      </c>
      <c r="B132" s="8" t="s">
        <v>47</v>
      </c>
      <c r="C132" s="8" t="s">
        <v>416</v>
      </c>
      <c r="D132" s="8" t="s">
        <v>49</v>
      </c>
      <c r="E132" s="8" t="s">
        <v>209</v>
      </c>
      <c r="F132" s="8" t="s">
        <v>214</v>
      </c>
      <c r="G132" s="8" t="s">
        <v>216</v>
      </c>
      <c r="H132" s="8" t="str">
        <f ca="1">IFERROR(__xludf.DUMMYFUNCTION("VLOOKUP(G132, IMPORTRANGE(""https://docs.google.com/spreadsheets/d/14deopnvwcrKtEGCKuYXdUHJbeLDZlkiSSWWT0g7x2pM/edit#gid=999382323"", ""LU List Maths (Filter)!A:B""), 2, FALSE)"),"Line of symmetry for figures")</f>
        <v>Line of symmetry for figures</v>
      </c>
      <c r="I132" s="10" t="str">
        <f t="shared" si="0"/>
        <v>LU000796.001</v>
      </c>
      <c r="J132" s="10" t="str">
        <f ca="1">IFERROR(__xludf.DUMMYFUNCTION("VLOOKUP(I132, IMPORTRANGE(""https://docs.google.com/spreadsheets/d/1yDAaXNsi4Mr5FtRQL4tbmSdIzhx6_m4wkOD7IG-k_eo/edit#gid=0"", ""Maths!M:N""), 2, FALSE)"),"State that a line of symmetry is a straight line that divides a figure into two equal and mirror-image halves.")</f>
        <v>State that a line of symmetry is a straight line that divides a figure into two equal and mirror-image halves.</v>
      </c>
      <c r="K132" s="10" t="str">
        <f t="shared" si="1"/>
        <v>LU000796.002</v>
      </c>
      <c r="L132" s="10" t="str">
        <f ca="1">IFERROR(__xludf.DUMMYFUNCTION("VLOOKUP(K132, IMPORTRANGE(""https://docs.google.com/spreadsheets/d/1yDAaXNsi4Mr5FtRQL4tbmSdIzhx6_m4wkOD7IG-k_eo/edit#gid=0"", ""Maths!M:N""), 2, FALSE)"),"Describe how recognising lines of symmetry helps in classifying and comparing different shapes and patterns.")</f>
        <v>Describe how recognising lines of symmetry helps in classifying and comparing different shapes and patterns.</v>
      </c>
      <c r="M132" s="10" t="str">
        <f t="shared" si="2"/>
        <v>LU000796.003</v>
      </c>
      <c r="N132" s="10" t="str">
        <f ca="1">IFERROR(__xludf.DUMMYFUNCTION("VLOOKUP(M132, IMPORTRANGE(""https://docs.google.com/spreadsheets/d/1yDAaXNsi4Mr5FtRQL4tbmSdIzhx6_m4wkOD7IG-k_eo/edit#gid=0"", ""Maths!M:N""), 2, FALSE)"),"Apply knowledge of lines of symmetry to identify and draw lines of symmetry for various figures.")</f>
        <v>Apply knowledge of lines of symmetry to identify and draw lines of symmetry for various figures.</v>
      </c>
      <c r="O132" s="10" t="str">
        <f t="shared" si="3"/>
        <v>LU000796.004</v>
      </c>
      <c r="P132" s="10" t="str">
        <f ca="1">IFERROR(__xludf.DUMMYFUNCTION("VLOOKUP(O132, IMPORTRANGE(""https://docs.google.com/spreadsheets/d/1yDAaXNsi4Mr5FtRQL4tbmSdIzhx6_m4wkOD7IG-k_eo/edit#gid=0"", ""Maths!M:N""), 2, FALSE)"),"Analyse complex figures to determine the presence and location of lines of symmetry.")</f>
        <v>Analyse complex figures to determine the presence and location of lines of symmetry.</v>
      </c>
      <c r="Q132" s="10" t="str">
        <f t="shared" si="4"/>
        <v>LU000796.005</v>
      </c>
      <c r="R132" s="10" t="str">
        <f ca="1">IFERROR(__xludf.DUMMYFUNCTION("VLOOKUP(Q132, IMPORTRANGE(""https://docs.google.com/spreadsheets/d/1yDAaXNsi4Mr5FtRQL4tbmSdIzhx6_m4wkOD7IG-k_eo/edit#gid=0"", ""Maths!M:N""), 2, FALSE)"),"Draw the shape with the given line(s) of symmetry.")</f>
        <v>Draw the shape with the given line(s) of symmetry.</v>
      </c>
      <c r="S132" s="10" t="str">
        <f t="shared" si="5"/>
        <v>LU000796.006</v>
      </c>
      <c r="T132" s="10" t="str">
        <f ca="1">IFERROR(__xludf.DUMMYFUNCTION("VLOOKUP(S132, IMPORTRANGE(""https://docs.google.com/spreadsheets/d/1yDAaXNsi4Mr5FtRQL4tbmSdIzhx6_m4wkOD7IG-k_eo/edit#gid=0"", ""Maths!M:N""), 2, FALSE)"),"Generate original artwork or patterns that incorporate lines of symmetry.")</f>
        <v>Generate original artwork or patterns that incorporate lines of symmetry.</v>
      </c>
      <c r="U132" s="11">
        <f ca="1">IFERROR(__xludf.DUMMYFUNCTION("ArrayFormula(VLOOKUP(G132, IMPORTRANGE(""https://docs.google.com/spreadsheets/d/1p7R4vtkWt5VOBim4ltsDG9KTzSjrtKXsMtQGXPHyND0/edit#gid=795171502"", ""'Filter 30_05_2024'!A1:M2000""), {2, 3, 4, 5,6,7,8,9,10,11,12,13}, 0))"),4)</f>
        <v>4</v>
      </c>
      <c r="V132" s="11">
        <f ca="1">IFERROR(__xludf.DUMMYFUNCTION("""COMPUTED_VALUE"""),8)</f>
        <v>8</v>
      </c>
      <c r="W132" s="11">
        <f ca="1">IFERROR(__xludf.DUMMYFUNCTION("""COMPUTED_VALUE"""),10)</f>
        <v>10</v>
      </c>
      <c r="X132" s="11">
        <f ca="1">IFERROR(__xludf.DUMMYFUNCTION("""COMPUTED_VALUE"""),22)</f>
        <v>22</v>
      </c>
      <c r="Y132" s="44">
        <f ca="1">IFERROR(__xludf.DUMMYFUNCTION("""COMPUTED_VALUE"""),4)</f>
        <v>4</v>
      </c>
      <c r="Z132" s="12">
        <f ca="1">IFERROR(__xludf.DUMMYFUNCTION("""COMPUTED_VALUE"""),5)</f>
        <v>5</v>
      </c>
      <c r="AA132" s="12">
        <f ca="1">IFERROR(__xludf.DUMMYFUNCTION("""COMPUTED_VALUE"""),4)</f>
        <v>4</v>
      </c>
      <c r="AB132" s="12">
        <f ca="1">IFERROR(__xludf.DUMMYFUNCTION("""COMPUTED_VALUE"""),13)</f>
        <v>13</v>
      </c>
      <c r="AC132" s="12"/>
      <c r="AD132" s="12"/>
      <c r="AE132" s="12"/>
      <c r="AF132" s="12"/>
      <c r="AG132" s="13" t="str">
        <f ca="1">IFERROR(__xludf.DUMMYFUNCTION("ArrayFormula(VLOOKUP(G132, IMPORTRANGE(""https://docs.google.com/spreadsheets/d/1Co934fvtviyaRiMsrIlT05Jaq7iiYq07aLvRr35KA48/edit?gid=173865642#gid=173865642"", ""'G7_Maths_Pri_LU'!G2:V2000""), {3, 4, 5, 6, 7, 8, 9, 10, 11, 12, 13, 14, 15, 16}, 0))"),"LU000791")</f>
        <v>LU000791</v>
      </c>
      <c r="AH132" s="13" t="str">
        <f ca="1">IFERROR(__xludf.DUMMYFUNCTION("""COMPUTED_VALUE"""),"Line of symmetry for regular polygons")</f>
        <v>Line of symmetry for regular polygons</v>
      </c>
      <c r="AI132" s="13" t="str">
        <f ca="1">IFERROR(__xludf.DUMMYFUNCTION("""COMPUTED_VALUE"""),"LU000789")</f>
        <v>LU000789</v>
      </c>
      <c r="AJ132" s="13" t="str">
        <f ca="1">IFERROR(__xludf.DUMMYFUNCTION("""COMPUTED_VALUE"""),"Definition of symmetry")</f>
        <v>Definition of symmetry</v>
      </c>
      <c r="AK132" s="13" t="str">
        <f ca="1">IFERROR(__xludf.DUMMYFUNCTION("""COMPUTED_VALUE"""),"LU000220")</f>
        <v>LU000220</v>
      </c>
      <c r="AL132" s="13" t="str">
        <f ca="1">IFERROR(__xludf.DUMMYFUNCTION("""COMPUTED_VALUE"""),"Definition of line")</f>
        <v>Definition of line</v>
      </c>
      <c r="AM132" s="13"/>
      <c r="AN132" s="13"/>
      <c r="AO132" s="13"/>
      <c r="AP132" s="13"/>
      <c r="AQ132" s="13"/>
      <c r="AR132" s="13"/>
      <c r="AS132" s="13"/>
      <c r="AT132" s="13"/>
    </row>
    <row r="133" spans="1:46">
      <c r="A133" s="8" t="s">
        <v>247</v>
      </c>
      <c r="B133" s="8" t="s">
        <v>47</v>
      </c>
      <c r="C133" s="8" t="s">
        <v>416</v>
      </c>
      <c r="D133" s="8" t="s">
        <v>49</v>
      </c>
      <c r="E133" s="8" t="s">
        <v>209</v>
      </c>
      <c r="F133" s="8" t="s">
        <v>214</v>
      </c>
      <c r="G133" s="13" t="s">
        <v>218</v>
      </c>
      <c r="H133" s="8" t="str">
        <f ca="1">IFERROR(__xludf.DUMMYFUNCTION("VLOOKUP(G133, IMPORTRANGE(""https://docs.google.com/spreadsheets/d/14deopnvwcrKtEGCKuYXdUHJbeLDZlkiSSWWT0g7x2pM/edit#gid=999382323"", ""LU List Maths (Filter)!A:B""), 2, FALSE)"),"Reflectional symmetry in types of triangles")</f>
        <v>Reflectional symmetry in types of triangles</v>
      </c>
      <c r="I133" s="10" t="str">
        <f t="shared" si="0"/>
        <v>LU001176.001</v>
      </c>
      <c r="J133" s="10" t="str">
        <f ca="1">IFERROR(__xludf.DUMMYFUNCTION("VLOOKUP(I133, IMPORTRANGE(""https://docs.google.com/spreadsheets/d/1yDAaXNsi4Mr5FtRQL4tbmSdIzhx6_m4wkOD7IG-k_eo/edit#gid=0"", ""Maths!M:N""), 2, FALSE)"),"#N/A")</f>
        <v>#N/A</v>
      </c>
      <c r="K133" s="10" t="str">
        <f t="shared" si="1"/>
        <v>LU001176.002</v>
      </c>
      <c r="L133" s="10" t="str">
        <f ca="1">IFERROR(__xludf.DUMMYFUNCTION("VLOOKUP(K133, IMPORTRANGE(""https://docs.google.com/spreadsheets/d/1yDAaXNsi4Mr5FtRQL4tbmSdIzhx6_m4wkOD7IG-k_eo/edit#gid=0"", ""Maths!M:N""), 2, FALSE)"),"#N/A")</f>
        <v>#N/A</v>
      </c>
      <c r="M133" s="10" t="str">
        <f t="shared" si="2"/>
        <v>LU001176.003</v>
      </c>
      <c r="N133" s="10" t="str">
        <f ca="1">IFERROR(__xludf.DUMMYFUNCTION("VLOOKUP(M133, IMPORTRANGE(""https://docs.google.com/spreadsheets/d/1yDAaXNsi4Mr5FtRQL4tbmSdIzhx6_m4wkOD7IG-k_eo/edit#gid=0"", ""Maths!M:N""), 2, FALSE)"),"#N/A")</f>
        <v>#N/A</v>
      </c>
      <c r="O133" s="10" t="str">
        <f t="shared" si="3"/>
        <v>LU001176.004</v>
      </c>
      <c r="P133" s="10" t="str">
        <f ca="1">IFERROR(__xludf.DUMMYFUNCTION("VLOOKUP(O133, IMPORTRANGE(""https://docs.google.com/spreadsheets/d/1yDAaXNsi4Mr5FtRQL4tbmSdIzhx6_m4wkOD7IG-k_eo/edit#gid=0"", ""Maths!M:N""), 2, FALSE)"),"#N/A")</f>
        <v>#N/A</v>
      </c>
      <c r="Q133" s="10" t="str">
        <f t="shared" si="4"/>
        <v>LU001176.005</v>
      </c>
      <c r="R133" s="10" t="str">
        <f ca="1">IFERROR(__xludf.DUMMYFUNCTION("VLOOKUP(Q133, IMPORTRANGE(""https://docs.google.com/spreadsheets/d/1yDAaXNsi4Mr5FtRQL4tbmSdIzhx6_m4wkOD7IG-k_eo/edit#gid=0"", ""Maths!M:N""), 2, FALSE)"),"#N/A")</f>
        <v>#N/A</v>
      </c>
      <c r="S133" s="10" t="str">
        <f t="shared" si="5"/>
        <v>LU001176.006</v>
      </c>
      <c r="T133" s="10" t="str">
        <f ca="1">IFERROR(__xludf.DUMMYFUNCTION("VLOOKUP(S133, IMPORTRANGE(""https://docs.google.com/spreadsheets/d/1yDAaXNsi4Mr5FtRQL4tbmSdIzhx6_m4wkOD7IG-k_eo/edit#gid=0"", ""Maths!M:N""), 2, FALSE)"),"#N/A")</f>
        <v>#N/A</v>
      </c>
      <c r="U133" s="11" t="str">
        <f ca="1">IFERROR(__xludf.DUMMYFUNCTION("ArrayFormula(VLOOKUP(G133, IMPORTRANGE(""https://docs.google.com/spreadsheets/d/1p7R4vtkWt5VOBim4ltsDG9KTzSjrtKXsMtQGXPHyND0/edit#gid=795171502"", ""'Filter 30_05_2024'!A1:M2000""), {2, 3, 4, 5,6,7,8,9,10,11,12,13}, 0))"),"#N/A")</f>
        <v>#N/A</v>
      </c>
      <c r="V133" s="11" t="str">
        <f ca="1">IFERROR(__xludf.DUMMYFUNCTION("""COMPUTED_VALUE"""),"#N/A")</f>
        <v>#N/A</v>
      </c>
      <c r="W133" s="11" t="str">
        <f ca="1">IFERROR(__xludf.DUMMYFUNCTION("""COMPUTED_VALUE"""),"#N/A")</f>
        <v>#N/A</v>
      </c>
      <c r="X133" s="11" t="str">
        <f ca="1">IFERROR(__xludf.DUMMYFUNCTION("""COMPUTED_VALUE"""),"#N/A")</f>
        <v>#N/A</v>
      </c>
      <c r="Y133" s="44" t="str">
        <f ca="1">IFERROR(__xludf.DUMMYFUNCTION("""COMPUTED_VALUE"""),"#N/A")</f>
        <v>#N/A</v>
      </c>
      <c r="Z133" s="12" t="str">
        <f ca="1">IFERROR(__xludf.DUMMYFUNCTION("""COMPUTED_VALUE"""),"#N/A")</f>
        <v>#N/A</v>
      </c>
      <c r="AA133" s="12" t="str">
        <f ca="1">IFERROR(__xludf.DUMMYFUNCTION("""COMPUTED_VALUE"""),"#N/A")</f>
        <v>#N/A</v>
      </c>
      <c r="AB133" s="12" t="str">
        <f ca="1">IFERROR(__xludf.DUMMYFUNCTION("""COMPUTED_VALUE"""),"#N/A")</f>
        <v>#N/A</v>
      </c>
      <c r="AC133" s="12" t="str">
        <f ca="1">IFERROR(__xludf.DUMMYFUNCTION("""COMPUTED_VALUE"""),"#N/A")</f>
        <v>#N/A</v>
      </c>
      <c r="AD133" s="12" t="str">
        <f ca="1">IFERROR(__xludf.DUMMYFUNCTION("""COMPUTED_VALUE"""),"#N/A")</f>
        <v>#N/A</v>
      </c>
      <c r="AE133" s="12" t="str">
        <f ca="1">IFERROR(__xludf.DUMMYFUNCTION("""COMPUTED_VALUE"""),"#N/A")</f>
        <v>#N/A</v>
      </c>
      <c r="AF133" s="12" t="str">
        <f ca="1">IFERROR(__xludf.DUMMYFUNCTION("""COMPUTED_VALUE"""),"#N/A")</f>
        <v>#N/A</v>
      </c>
      <c r="AG133" s="13" t="str">
        <f ca="1">IFERROR(__xludf.DUMMYFUNCTION("ArrayFormula(VLOOKUP(G133, IMPORTRANGE(""https://docs.google.com/spreadsheets/d/1Co934fvtviyaRiMsrIlT05Jaq7iiYq07aLvRr35KA48/edit?gid=173865642#gid=173865642"", ""'G7_Maths_Pri_LU'!G2:V2000""), {3, 4, 5, 6, 7, 8, 9, 10, 11, 12, 13, 14, 15, 16}, 0))"),"LU000886")</f>
        <v>LU000886</v>
      </c>
      <c r="AH133" s="13" t="str">
        <f ca="1">IFERROR(__xludf.DUMMYFUNCTION("""COMPUTED_VALUE"""),"Definition of mirror image")</f>
        <v>Definition of mirror image</v>
      </c>
      <c r="AI133" s="13" t="str">
        <f ca="1">IFERROR(__xludf.DUMMYFUNCTION("""COMPUTED_VALUE"""),"LU000889")</f>
        <v>LU000889</v>
      </c>
      <c r="AJ133" s="13" t="str">
        <f ca="1">IFERROR(__xludf.DUMMYFUNCTION("""COMPUTED_VALUE"""),"Symmetry in scalene triangle")</f>
        <v>Symmetry in scalene triangle</v>
      </c>
      <c r="AK133" s="13" t="str">
        <f ca="1">IFERROR(__xludf.DUMMYFUNCTION("""COMPUTED_VALUE"""),"LU000890")</f>
        <v>LU000890</v>
      </c>
      <c r="AL133" s="13" t="str">
        <f ca="1">IFERROR(__xludf.DUMMYFUNCTION("""COMPUTED_VALUE"""),"Symmetry in isosceles triangle")</f>
        <v>Symmetry in isosceles triangle</v>
      </c>
      <c r="AM133" s="13" t="str">
        <f ca="1">IFERROR(__xludf.DUMMYFUNCTION("""COMPUTED_VALUE"""),"LU000892")</f>
        <v>LU000892</v>
      </c>
      <c r="AN133" s="13" t="str">
        <f ca="1">IFERROR(__xludf.DUMMYFUNCTION("""COMPUTED_VALUE"""),"Symmetry in equilateral triangle")</f>
        <v>Symmetry in equilateral triangle</v>
      </c>
      <c r="AO133" s="13"/>
      <c r="AP133" s="13"/>
      <c r="AQ133" s="13"/>
      <c r="AR133" s="13"/>
      <c r="AS133" s="13"/>
      <c r="AT133" s="13"/>
    </row>
    <row r="134" spans="1:46">
      <c r="A134" s="8" t="s">
        <v>247</v>
      </c>
      <c r="B134" s="8" t="s">
        <v>47</v>
      </c>
      <c r="C134" s="8" t="s">
        <v>416</v>
      </c>
      <c r="D134" s="8" t="s">
        <v>49</v>
      </c>
      <c r="E134" s="8" t="s">
        <v>209</v>
      </c>
      <c r="F134" s="8" t="s">
        <v>217</v>
      </c>
      <c r="G134" s="8" t="s">
        <v>219</v>
      </c>
      <c r="H134" s="8" t="str">
        <f ca="1">IFERROR(__xludf.DUMMYFUNCTION("VLOOKUP(G134, IMPORTRANGE(""https://docs.google.com/spreadsheets/d/14deopnvwcrKtEGCKuYXdUHJbeLDZlkiSSWWT0g7x2pM/edit#gid=999382323"", ""LU List Maths (Filter)!A:B""), 2, FALSE)"),"Lines of symmetry of types of quadrilaterals")</f>
        <v>Lines of symmetry of types of quadrilaterals</v>
      </c>
      <c r="I134" s="10" t="str">
        <f t="shared" si="0"/>
        <v>LU000800.001</v>
      </c>
      <c r="J134" s="10" t="str">
        <f ca="1">IFERROR(__xludf.DUMMYFUNCTION("VLOOKUP(I134, IMPORTRANGE(""https://docs.google.com/spreadsheets/d/1yDAaXNsi4Mr5FtRQL4tbmSdIzhx6_m4wkOD7IG-k_eo/edit#gid=0"", ""Maths!M:N""), 2, FALSE)"),"State that the line of symmetry divides different quadrilaterals into two equal halves.")</f>
        <v>State that the line of symmetry divides different quadrilaterals into two equal halves.</v>
      </c>
      <c r="K134" s="10" t="str">
        <f t="shared" si="1"/>
        <v>LU000800.002</v>
      </c>
      <c r="L134" s="10" t="str">
        <f ca="1">IFERROR(__xludf.DUMMYFUNCTION("VLOOKUP(K134, IMPORTRANGE(""https://docs.google.com/spreadsheets/d/1yDAaXNsi4Mr5FtRQL4tbmSdIzhx6_m4wkOD7IG-k_eo/edit#gid=0"", ""Maths!M:N""), 2, FALSE)"),"Explain why recognising quadrilateral symmetry matters.")</f>
        <v>Explain why recognising quadrilateral symmetry matters.</v>
      </c>
      <c r="M134" s="10" t="str">
        <f t="shared" si="2"/>
        <v>LU000800.003</v>
      </c>
      <c r="N134" s="10" t="str">
        <f ca="1">IFERROR(__xludf.DUMMYFUNCTION("VLOOKUP(M134, IMPORTRANGE(""https://docs.google.com/spreadsheets/d/1yDAaXNsi4Mr5FtRQL4tbmSdIzhx6_m4wkOD7IG-k_eo/edit#gid=0"", ""Maths!M:N""), 2, FALSE)"),"Find and sketch lines of symmetry in quadrilaterals.")</f>
        <v>Find and sketch lines of symmetry in quadrilaterals.</v>
      </c>
      <c r="O134" s="10" t="str">
        <f t="shared" si="3"/>
        <v>LU000800.004</v>
      </c>
      <c r="P134" s="10" t="str">
        <f ca="1">IFERROR(__xludf.DUMMYFUNCTION("VLOOKUP(O134, IMPORTRANGE(""https://docs.google.com/spreadsheets/d/1yDAaXNsi4Mr5FtRQL4tbmSdIzhx6_m4wkOD7IG-k_eo/edit#gid=0"", ""Maths!M:N""), 2, FALSE)"),"Analyse complex quadrilateral designs to find lines of symmetry.")</f>
        <v>Analyse complex quadrilateral designs to find lines of symmetry.</v>
      </c>
      <c r="Q134" s="10" t="str">
        <f t="shared" si="4"/>
        <v>LU000800.005</v>
      </c>
      <c r="R134" s="10" t="str">
        <f ca="1">IFERROR(__xludf.DUMMYFUNCTION("VLOOKUP(Q134, IMPORTRANGE(""https://docs.google.com/spreadsheets/d/1yDAaXNsi4Mr5FtRQL4tbmSdIzhx6_m4wkOD7IG-k_eo/edit#gid=0"", ""Maths!M:N""), 2, FALSE)"),"Evaluate how symmetry impacts the appeal of real-world quadrilaterals.")</f>
        <v>Evaluate how symmetry impacts the appeal of real-world quadrilaterals.</v>
      </c>
      <c r="S134" s="10" t="str">
        <f t="shared" si="5"/>
        <v>LU000800.006</v>
      </c>
      <c r="T134" s="10" t="str">
        <f ca="1">IFERROR(__xludf.DUMMYFUNCTION("VLOOKUP(S134, IMPORTRANGE(""https://docs.google.com/spreadsheets/d/1yDAaXNsi4Mr5FtRQL4tbmSdIzhx6_m4wkOD7IG-k_eo/edit#gid=0"", ""Maths!M:N""), 2, FALSE)"),"Generate original designs with symmetrical quadrilaterals.")</f>
        <v>Generate original designs with symmetrical quadrilaterals.</v>
      </c>
      <c r="U134" s="11">
        <f ca="1">IFERROR(__xludf.DUMMYFUNCTION("ArrayFormula(VLOOKUP(G134, IMPORTRANGE(""https://docs.google.com/spreadsheets/d/1p7R4vtkWt5VOBim4ltsDG9KTzSjrtKXsMtQGXPHyND0/edit#gid=795171502"", ""'Filter 30_05_2024'!A1:M2000""), {2, 3, 4, 5,6,7,8,9,10,11,12,13}, 0))"),4)</f>
        <v>4</v>
      </c>
      <c r="V134" s="11">
        <f ca="1">IFERROR(__xludf.DUMMYFUNCTION("""COMPUTED_VALUE"""),6)</f>
        <v>6</v>
      </c>
      <c r="W134" s="11">
        <f ca="1">IFERROR(__xludf.DUMMYFUNCTION("""COMPUTED_VALUE"""),2)</f>
        <v>2</v>
      </c>
      <c r="X134" s="11">
        <f ca="1">IFERROR(__xludf.DUMMYFUNCTION("""COMPUTED_VALUE"""),12)</f>
        <v>12</v>
      </c>
      <c r="Y134" s="44">
        <f ca="1">IFERROR(__xludf.DUMMYFUNCTION("""COMPUTED_VALUE"""),4)</f>
        <v>4</v>
      </c>
      <c r="Z134" s="12">
        <f ca="1">IFERROR(__xludf.DUMMYFUNCTION("""COMPUTED_VALUE"""),3)</f>
        <v>3</v>
      </c>
      <c r="AA134" s="12">
        <f ca="1">IFERROR(__xludf.DUMMYFUNCTION("""COMPUTED_VALUE"""),1)</f>
        <v>1</v>
      </c>
      <c r="AB134" s="12">
        <f ca="1">IFERROR(__xludf.DUMMYFUNCTION("""COMPUTED_VALUE"""),8)</f>
        <v>8</v>
      </c>
      <c r="AC134" s="12"/>
      <c r="AD134" s="12"/>
      <c r="AE134" s="12"/>
      <c r="AF134" s="12"/>
      <c r="AG134" s="13" t="str">
        <f ca="1">IFERROR(__xludf.DUMMYFUNCTION("ArrayFormula(VLOOKUP(G134, IMPORTRANGE(""https://docs.google.com/spreadsheets/d/1Co934fvtviyaRiMsrIlT05Jaq7iiYq07aLvRr35KA48/edit?gid=173865642#gid=173865642"", ""'G7_Maths_Pri_LU'!G2:V2000""), {3, 4, 5, 6, 7, 8, 9, 10, 11, 12, 13, 14, 15, 16}, 0))"),"LU000790")</f>
        <v>LU000790</v>
      </c>
      <c r="AH134" s="13" t="str">
        <f ca="1">IFERROR(__xludf.DUMMYFUNCTION("""COMPUTED_VALUE"""),"Lexical explanation of line symmetry")</f>
        <v>Lexical explanation of line symmetry</v>
      </c>
      <c r="AI134" s="13" t="str">
        <f ca="1">IFERROR(__xludf.DUMMYFUNCTION("""COMPUTED_VALUE"""),"LU000891")</f>
        <v>LU000891</v>
      </c>
      <c r="AJ134" s="13" t="str">
        <f ca="1">IFERROR(__xludf.DUMMYFUNCTION("""COMPUTED_VALUE"""),"Symmetry in rectangle")</f>
        <v>Symmetry in rectangle</v>
      </c>
      <c r="AK134" s="13" t="str">
        <f ca="1">IFERROR(__xludf.DUMMYFUNCTION("""COMPUTED_VALUE"""),"LU000893")</f>
        <v>LU000893</v>
      </c>
      <c r="AL134" s="13" t="str">
        <f ca="1">IFERROR(__xludf.DUMMYFUNCTION("""COMPUTED_VALUE"""),"Symmetry in kite")</f>
        <v>Symmetry in kite</v>
      </c>
      <c r="AM134" s="13" t="str">
        <f ca="1">IFERROR(__xludf.DUMMYFUNCTION("""COMPUTED_VALUE"""),"LU000894")</f>
        <v>LU000894</v>
      </c>
      <c r="AN134" s="13" t="str">
        <f ca="1">IFERROR(__xludf.DUMMYFUNCTION("""COMPUTED_VALUE"""),"Symmetry in square")</f>
        <v>Symmetry in square</v>
      </c>
      <c r="AO134" s="13"/>
      <c r="AP134" s="13"/>
      <c r="AQ134" s="13"/>
      <c r="AR134" s="13"/>
      <c r="AS134" s="13"/>
      <c r="AT134" s="13"/>
    </row>
    <row r="135" spans="1:46">
      <c r="A135" s="8" t="s">
        <v>247</v>
      </c>
      <c r="B135" s="8" t="s">
        <v>47</v>
      </c>
      <c r="C135" s="8" t="s">
        <v>416</v>
      </c>
      <c r="D135" s="8" t="s">
        <v>49</v>
      </c>
      <c r="E135" s="8" t="s">
        <v>209</v>
      </c>
      <c r="F135" s="8" t="s">
        <v>217</v>
      </c>
      <c r="G135" s="8" t="s">
        <v>610</v>
      </c>
      <c r="H135" s="8" t="str">
        <f ca="1">IFERROR(__xludf.DUMMYFUNCTION("VLOOKUP(G135, IMPORTRANGE(""https://docs.google.com/spreadsheets/d/14deopnvwcrKtEGCKuYXdUHJbeLDZlkiSSWWT0g7x2pM/edit#gid=999382323"", ""LU List Maths (Filter)!A:B""), 2, FALSE)"),"Symmetry in letters")</f>
        <v>Symmetry in letters</v>
      </c>
      <c r="I135" s="10" t="str">
        <f t="shared" si="0"/>
        <v>LU000896.001</v>
      </c>
      <c r="J135" s="10" t="str">
        <f ca="1">IFERROR(__xludf.DUMMYFUNCTION("VLOOKUP(I135, IMPORTRANGE(""https://docs.google.com/spreadsheets/d/1yDAaXNsi4Mr5FtRQL4tbmSdIzhx6_m4wkOD7IG-k_eo/edit#gid=0"", ""Maths!M:N""), 2, FALSE)"),"List all the letters that exhibits symmetry.")</f>
        <v>List all the letters that exhibits symmetry.</v>
      </c>
      <c r="K135" s="10" t="str">
        <f t="shared" si="1"/>
        <v>LU000896.002</v>
      </c>
      <c r="L135" s="10" t="str">
        <f ca="1">IFERROR(__xludf.DUMMYFUNCTION("VLOOKUP(K135, IMPORTRANGE(""https://docs.google.com/spreadsheets/d/1yDAaXNsi4Mr5FtRQL4tbmSdIzhx6_m4wkOD7IG-k_eo/edit#gid=0"", ""Maths!M:N""), 2, FALSE)"),"Explain the concept of line symmetry and recognize the symmetrical properties in letters of the alphabet.")</f>
        <v>Explain the concept of line symmetry and recognize the symmetrical properties in letters of the alphabet.</v>
      </c>
      <c r="M135" s="10" t="str">
        <f t="shared" si="2"/>
        <v>LU000896.003</v>
      </c>
      <c r="N135" s="10" t="str">
        <f ca="1">IFERROR(__xludf.DUMMYFUNCTION("VLOOKUP(M135, IMPORTRANGE(""https://docs.google.com/spreadsheets/d/1yDAaXNsi4Mr5FtRQL4tbmSdIzhx6_m4wkOD7IG-k_eo/edit#gid=0"", ""Maths!M:N""), 2, FALSE)"),"Apply knowledge to identify and classify letters of the alphabet as having either line symmetry, rotational symmetry, or neither.")</f>
        <v>Apply knowledge to identify and classify letters of the alphabet as having either line symmetry, rotational symmetry, or neither.</v>
      </c>
      <c r="O135" s="10" t="str">
        <f t="shared" si="3"/>
        <v>LU000896.004</v>
      </c>
      <c r="P135" s="10" t="str">
        <f ca="1">IFERROR(__xludf.DUMMYFUNCTION("VLOOKUP(O135, IMPORTRANGE(""https://docs.google.com/spreadsheets/d/1yDAaXNsi4Mr5FtRQL4tbmSdIzhx6_m4wkOD7IG-k_eo/edit#gid=0"", ""Maths!M:N""), 2, FALSE)"),"Analyze the differences between letters with line symmetry (e.g., ""A,"" ""H"") and letters without line symmetry")</f>
        <v>Analyze the differences between letters with line symmetry (e.g., "A," "H") and letters without line symmetry</v>
      </c>
      <c r="Q135" s="10" t="str">
        <f t="shared" si="4"/>
        <v>LU000896.005</v>
      </c>
      <c r="R135" s="10" t="str">
        <f ca="1">IFERROR(__xludf.DUMMYFUNCTION("VLOOKUP(Q135, IMPORTRANGE(""https://docs.google.com/spreadsheets/d/1yDAaXNsi4Mr5FtRQL4tbmSdIzhx6_m4wkOD7IG-k_eo/edit#gid=0"", ""Maths!M:N""), 2, FALSE)"),"Evaluate the aesthetic and functional aspects of using symmetrical letters in typography and graphic design")</f>
        <v>Evaluate the aesthetic and functional aspects of using symmetrical letters in typography and graphic design</v>
      </c>
      <c r="S135" s="10" t="str">
        <f t="shared" si="5"/>
        <v>LU000896.006</v>
      </c>
      <c r="T135" s="10" t="str">
        <f ca="1">IFERROR(__xludf.DUMMYFUNCTION("VLOOKUP(S135, IMPORTRANGE(""https://docs.google.com/spreadsheets/d/1yDAaXNsi4Mr5FtRQL4tbmSdIzhx6_m4wkOD7IG-k_eo/edit#gid=0"", ""Maths!M:N""), 2, FALSE)"),"#N/A")</f>
        <v>#N/A</v>
      </c>
      <c r="U135" s="11">
        <f ca="1">IFERROR(__xludf.DUMMYFUNCTION("ArrayFormula(VLOOKUP(G135, IMPORTRANGE(""https://docs.google.com/spreadsheets/d/1p7R4vtkWt5VOBim4ltsDG9KTzSjrtKXsMtQGXPHyND0/edit#gid=795171502"", ""'Filter 30_05_2024'!A1:M2000""), {2, 3, 4, 5,6,7,8,9,10,11,12,13}, 0))"),4)</f>
        <v>4</v>
      </c>
      <c r="V135" s="11">
        <f ca="1">IFERROR(__xludf.DUMMYFUNCTION("""COMPUTED_VALUE"""),6)</f>
        <v>6</v>
      </c>
      <c r="W135" s="11">
        <f ca="1">IFERROR(__xludf.DUMMYFUNCTION("""COMPUTED_VALUE"""),2)</f>
        <v>2</v>
      </c>
      <c r="X135" s="11">
        <f ca="1">IFERROR(__xludf.DUMMYFUNCTION("""COMPUTED_VALUE"""),12)</f>
        <v>12</v>
      </c>
      <c r="Y135" s="44">
        <f ca="1">IFERROR(__xludf.DUMMYFUNCTION("""COMPUTED_VALUE"""),4)</f>
        <v>4</v>
      </c>
      <c r="Z135" s="12">
        <f ca="1">IFERROR(__xludf.DUMMYFUNCTION("""COMPUTED_VALUE"""),3)</f>
        <v>3</v>
      </c>
      <c r="AA135" s="12">
        <f ca="1">IFERROR(__xludf.DUMMYFUNCTION("""COMPUTED_VALUE"""),1)</f>
        <v>1</v>
      </c>
      <c r="AB135" s="12">
        <f ca="1">IFERROR(__xludf.DUMMYFUNCTION("""COMPUTED_VALUE"""),8)</f>
        <v>8</v>
      </c>
      <c r="AC135" s="12"/>
      <c r="AD135" s="12"/>
      <c r="AE135" s="12"/>
      <c r="AF135" s="12"/>
      <c r="AG135" s="13" t="str">
        <f ca="1">IFERROR(__xludf.DUMMYFUNCTION("ArrayFormula(VLOOKUP(G135, IMPORTRANGE(""https://docs.google.com/spreadsheets/d/1Co934fvtviyaRiMsrIlT05Jaq7iiYq07aLvRr35KA48/edit?gid=173865642#gid=173865642"", ""'G7_Maths_Pri_LU'!G2:V2000""), {3, 4, 5, 6, 7, 8, 9, 10, 11, 12, 13, 14, 15, 16}, 0))"),"LU000796")</f>
        <v>LU000796</v>
      </c>
      <c r="AH135" s="13" t="str">
        <f ca="1">IFERROR(__xludf.DUMMYFUNCTION("""COMPUTED_VALUE"""),"Line of symmetry for figures")</f>
        <v>Line of symmetry for figures</v>
      </c>
      <c r="AI135" s="13" t="str">
        <f ca="1">IFERROR(__xludf.DUMMYFUNCTION("""COMPUTED_VALUE"""),"LU000789")</f>
        <v>LU000789</v>
      </c>
      <c r="AJ135" s="13" t="str">
        <f ca="1">IFERROR(__xludf.DUMMYFUNCTION("""COMPUTED_VALUE"""),"Definition of symmetry")</f>
        <v>Definition of symmetry</v>
      </c>
      <c r="AK135" s="13"/>
      <c r="AL135" s="13"/>
      <c r="AM135" s="13"/>
      <c r="AN135" s="13"/>
      <c r="AO135" s="13"/>
      <c r="AP135" s="13"/>
      <c r="AQ135" s="13"/>
      <c r="AR135" s="13"/>
      <c r="AS135" s="13"/>
      <c r="AT135" s="13"/>
    </row>
    <row r="136" spans="1:46">
      <c r="A136" s="8" t="s">
        <v>247</v>
      </c>
      <c r="B136" s="8" t="s">
        <v>47</v>
      </c>
      <c r="C136" s="8" t="s">
        <v>416</v>
      </c>
      <c r="D136" s="8" t="s">
        <v>49</v>
      </c>
      <c r="E136" s="8" t="s">
        <v>209</v>
      </c>
      <c r="F136" s="9" t="s">
        <v>611</v>
      </c>
      <c r="G136" s="9" t="s">
        <v>221</v>
      </c>
      <c r="H136" s="9" t="str">
        <f ca="1">IFERROR(__xludf.DUMMYFUNCTION("VLOOKUP(G136, IMPORTRANGE(""https://docs.google.com/spreadsheets/d/14deopnvwcrKtEGCKuYXdUHJbeLDZlkiSSWWT0g7x2pM/edit#gid=999382323"", ""LU List Maths (Filter)!A:B""), 2, FALSE)"),"Definition of rotational symmetry")</f>
        <v>Definition of rotational symmetry</v>
      </c>
      <c r="I136" s="10" t="str">
        <f t="shared" si="0"/>
        <v>LU000792.001</v>
      </c>
      <c r="J136" s="10" t="str">
        <f ca="1">IFERROR(__xludf.DUMMYFUNCTION("VLOOKUP(I136, IMPORTRANGE(""https://docs.google.com/spreadsheets/d/1yDAaXNsi4Mr5FtRQL4tbmSdIzhx6_m4wkOD7IG-k_eo/edit#gid=0"", ""Maths!M:N""), 2, FALSE)"),"State that rotational symmetry is a property where an object looks the same after it's rotated by a certain angle around a central point.")</f>
        <v>State that rotational symmetry is a property where an object looks the same after it's rotated by a certain angle around a central point.</v>
      </c>
      <c r="K136" s="10" t="str">
        <f t="shared" si="1"/>
        <v>LU000792.002</v>
      </c>
      <c r="L136" s="10" t="str">
        <f ca="1">IFERROR(__xludf.DUMMYFUNCTION("VLOOKUP(K136, IMPORTRANGE(""https://docs.google.com/spreadsheets/d/1yDAaXNsi4Mr5FtRQL4tbmSdIzhx6_m4wkOD7IG-k_eo/edit#gid=0"", ""Maths!M:N""), 2, FALSE)"),"Explain the significance of rotational symmetry in various fields.")</f>
        <v>Explain the significance of rotational symmetry in various fields.</v>
      </c>
      <c r="M136" s="10" t="str">
        <f t="shared" si="2"/>
        <v>LU000792.003</v>
      </c>
      <c r="N136" s="10" t="str">
        <f ca="1">IFERROR(__xludf.DUMMYFUNCTION("VLOOKUP(M136, IMPORTRANGE(""https://docs.google.com/spreadsheets/d/1yDAaXNsi4Mr5FtRQL4tbmSdIzhx6_m4wkOD7IG-k_eo/edit#gid=0"", ""Maths!M:N""), 2, FALSE)"),"Determine whether a given shape exhibits rotational symmetry")</f>
        <v>Determine whether a given shape exhibits rotational symmetry</v>
      </c>
      <c r="O136" s="10" t="str">
        <f t="shared" si="3"/>
        <v>LU000792.004</v>
      </c>
      <c r="P136" s="10" t="str">
        <f ca="1">IFERROR(__xludf.DUMMYFUNCTION("VLOOKUP(O136, IMPORTRANGE(""https://docs.google.com/spreadsheets/d/1yDAaXNsi4Mr5FtRQL4tbmSdIzhx6_m4wkOD7IG-k_eo/edit#gid=0"", ""Maths!M:N""), 2, FALSE)"),"Examine patterns and identify if they possess rotational symmetry.")</f>
        <v>Examine patterns and identify if they possess rotational symmetry.</v>
      </c>
      <c r="Q136" s="10" t="str">
        <f t="shared" si="4"/>
        <v>LU000792.005</v>
      </c>
      <c r="R136" s="10" t="str">
        <f ca="1">IFERROR(__xludf.DUMMYFUNCTION("VLOOKUP(Q136, IMPORTRANGE(""https://docs.google.com/spreadsheets/d/1yDAaXNsi4Mr5FtRQL4tbmSdIzhx6_m4wkOD7IG-k_eo/edit#gid=0"", ""Maths!M:N""), 2, FALSE)"),"Evaluate how the presence of rotational symmetry impacts the visual appeal of real-world objects.")</f>
        <v>Evaluate how the presence of rotational symmetry impacts the visual appeal of real-world objects.</v>
      </c>
      <c r="S136" s="10" t="str">
        <f t="shared" si="5"/>
        <v>LU000792.006</v>
      </c>
      <c r="T136" s="10" t="str">
        <f ca="1">IFERROR(__xludf.DUMMYFUNCTION("VLOOKUP(S136, IMPORTRANGE(""https://docs.google.com/spreadsheets/d/1yDAaXNsi4Mr5FtRQL4tbmSdIzhx6_m4wkOD7IG-k_eo/edit#gid=0"", ""Maths!M:N""), 2, FALSE)"),"Generate original artwork or patterns that incorporate rotational symmetry.")</f>
        <v>Generate original artwork or patterns that incorporate rotational symmetry.</v>
      </c>
      <c r="U136" s="11">
        <f ca="1">IFERROR(__xludf.DUMMYFUNCTION("ArrayFormula(VLOOKUP(G136, IMPORTRANGE(""https://docs.google.com/spreadsheets/d/1p7R4vtkWt5VOBim4ltsDG9KTzSjrtKXsMtQGXPHyND0/edit#gid=795171502"", ""'Filter 30_05_2024'!A1:M2000""), {2, 3, 4, 5,6,7,8,9,10,11,12,13}, 0))"),4)</f>
        <v>4</v>
      </c>
      <c r="V136" s="11">
        <f ca="1">IFERROR(__xludf.DUMMYFUNCTION("""COMPUTED_VALUE"""),6)</f>
        <v>6</v>
      </c>
      <c r="W136" s="11">
        <f ca="1">IFERROR(__xludf.DUMMYFUNCTION("""COMPUTED_VALUE"""),2)</f>
        <v>2</v>
      </c>
      <c r="X136" s="11">
        <f ca="1">IFERROR(__xludf.DUMMYFUNCTION("""COMPUTED_VALUE"""),12)</f>
        <v>12</v>
      </c>
      <c r="Y136" s="11">
        <f ca="1">IFERROR(__xludf.DUMMYFUNCTION("""COMPUTED_VALUE"""),5)</f>
        <v>5</v>
      </c>
      <c r="Z136" s="12">
        <f ca="1">IFERROR(__xludf.DUMMYFUNCTION("""COMPUTED_VALUE"""),3)</f>
        <v>3</v>
      </c>
      <c r="AA136" s="12">
        <f ca="1">IFERROR(__xludf.DUMMYFUNCTION("""COMPUTED_VALUE"""),1)</f>
        <v>1</v>
      </c>
      <c r="AB136" s="12">
        <f ca="1">IFERROR(__xludf.DUMMYFUNCTION("""COMPUTED_VALUE"""),9)</f>
        <v>9</v>
      </c>
      <c r="AC136" s="12"/>
      <c r="AD136" s="12"/>
      <c r="AE136" s="12"/>
      <c r="AF136" s="12"/>
      <c r="AG136" s="13" t="str">
        <f ca="1">IFERROR(__xludf.DUMMYFUNCTION("ArrayFormula(VLOOKUP(G136, IMPORTRANGE(""https://docs.google.com/spreadsheets/d/1Co934fvtviyaRiMsrIlT05Jaq7iiYq07aLvRr35KA48/edit?gid=173865642#gid=173865642"", ""'G7_Maths_Pri_LU'!G2:V2000""), {3, 4, 5, 6, 7, 8, 9, 10, 11, 12, 13, 14, 15, 16}, 0))"),"LU000789")</f>
        <v>LU000789</v>
      </c>
      <c r="AH136" s="13" t="str">
        <f ca="1">IFERROR(__xludf.DUMMYFUNCTION("""COMPUTED_VALUE"""),"Definition of symmetry")</f>
        <v>Definition of symmetry</v>
      </c>
      <c r="AI136" s="13" t="str">
        <f ca="1">IFERROR(__xludf.DUMMYFUNCTION("""COMPUTED_VALUE"""),"LU000014")</f>
        <v>LU000014</v>
      </c>
      <c r="AJ136" s="13" t="str">
        <f ca="1">IFERROR(__xludf.DUMMYFUNCTION("""COMPUTED_VALUE"""),"Definition of an angle")</f>
        <v>Definition of an angle</v>
      </c>
      <c r="AK136" s="13"/>
      <c r="AL136" s="13"/>
      <c r="AM136" s="13"/>
      <c r="AN136" s="13"/>
      <c r="AO136" s="13"/>
      <c r="AP136" s="13"/>
      <c r="AQ136" s="13"/>
      <c r="AR136" s="13"/>
      <c r="AS136" s="13"/>
      <c r="AT136" s="13"/>
    </row>
    <row r="137" spans="1:46">
      <c r="A137" s="8" t="s">
        <v>247</v>
      </c>
      <c r="B137" s="8" t="s">
        <v>47</v>
      </c>
      <c r="C137" s="8" t="s">
        <v>416</v>
      </c>
      <c r="D137" s="8" t="s">
        <v>49</v>
      </c>
      <c r="E137" s="8" t="s">
        <v>209</v>
      </c>
      <c r="F137" s="9" t="s">
        <v>611</v>
      </c>
      <c r="G137" s="9" t="s">
        <v>223</v>
      </c>
      <c r="H137" s="9" t="str">
        <f ca="1">IFERROR(__xludf.DUMMYFUNCTION("VLOOKUP(G137, IMPORTRANGE(""https://docs.google.com/spreadsheets/d/14deopnvwcrKtEGCKuYXdUHJbeLDZlkiSSWWT0g7x2pM/edit#gid=999382323"", ""LU List Maths (Filter)!A:B""), 2, FALSE)"),"Definition of angle of rotation")</f>
        <v>Definition of angle of rotation</v>
      </c>
      <c r="I137" s="10" t="str">
        <f t="shared" si="0"/>
        <v>LU000794.001</v>
      </c>
      <c r="J137" s="10" t="str">
        <f ca="1">IFERROR(__xludf.DUMMYFUNCTION("VLOOKUP(I137, IMPORTRANGE(""https://docs.google.com/spreadsheets/d/1yDAaXNsi4Mr5FtRQL4tbmSdIzhx6_m4wkOD7IG-k_eo/edit#gid=0"", ""Maths!M:N""), 2, FALSE)"),"State that the angle of rotation is the amount by which an object is turned around a central point to achieve symmetry.")</f>
        <v>State that the angle of rotation is the amount by which an object is turned around a central point to achieve symmetry.</v>
      </c>
      <c r="K137" s="10" t="str">
        <f t="shared" si="1"/>
        <v>LU000794.002</v>
      </c>
      <c r="L137" s="10" t="str">
        <f ca="1">IFERROR(__xludf.DUMMYFUNCTION("VLOOKUP(K137, IMPORTRANGE(""https://docs.google.com/spreadsheets/d/1yDAaXNsi4Mr5FtRQL4tbmSdIzhx6_m4wkOD7IG-k_eo/edit#gid=0"", ""Maths!M:N""), 2, FALSE)"),"Explain why the angle of rotation is a fundamental concept in understanding symmetry.")</f>
        <v>Explain why the angle of rotation is a fundamental concept in understanding symmetry.</v>
      </c>
      <c r="M137" s="10" t="str">
        <f t="shared" si="2"/>
        <v>LU000794.003</v>
      </c>
      <c r="N137" s="10" t="str">
        <f ca="1">IFERROR(__xludf.DUMMYFUNCTION("VLOOKUP(M137, IMPORTRANGE(""https://docs.google.com/spreadsheets/d/1yDAaXNsi4Mr5FtRQL4tbmSdIzhx6_m4wkOD7IG-k_eo/edit#gid=0"", ""Maths!M:N""), 2, FALSE)"),"Apply the concept of the angle of rotation to determine it in various symmetrical objects.")</f>
        <v>Apply the concept of the angle of rotation to determine it in various symmetrical objects.</v>
      </c>
      <c r="O137" s="10" t="str">
        <f t="shared" si="3"/>
        <v>LU000794.004</v>
      </c>
      <c r="P137" s="10" t="str">
        <f ca="1">IFERROR(__xludf.DUMMYFUNCTION("VLOOKUP(O137, IMPORTRANGE(""https://docs.google.com/spreadsheets/d/1yDAaXNsi4Mr5FtRQL4tbmSdIzhx6_m4wkOD7IG-k_eo/edit#gid=0"", ""Maths!M:N""), 2, FALSE)"),"Analyse complex designs to determine the specific angle of rotation employed.")</f>
        <v>Analyse complex designs to determine the specific angle of rotation employed.</v>
      </c>
      <c r="Q137" s="10" t="str">
        <f t="shared" si="4"/>
        <v>LU000794.005</v>
      </c>
      <c r="R137" s="10" t="str">
        <f ca="1">IFERROR(__xludf.DUMMYFUNCTION("VLOOKUP(Q137, IMPORTRANGE(""https://docs.google.com/spreadsheets/d/1yDAaXNsi4Mr5FtRQL4tbmSdIzhx6_m4wkOD7IG-k_eo/edit#gid=0"", ""Maths!M:N""), 2, FALSE)"),"Evaluate the impact of the angle of rotation on the overall symmetry and aesthetics of real-world objects.")</f>
        <v>Evaluate the impact of the angle of rotation on the overall symmetry and aesthetics of real-world objects.</v>
      </c>
      <c r="S137" s="10" t="str">
        <f t="shared" si="5"/>
        <v>LU000794.006</v>
      </c>
      <c r="T137" s="10" t="str">
        <f ca="1">IFERROR(__xludf.DUMMYFUNCTION("VLOOKUP(S137, IMPORTRANGE(""https://docs.google.com/spreadsheets/d/1yDAaXNsi4Mr5FtRQL4tbmSdIzhx6_m4wkOD7IG-k_eo/edit#gid=0"", ""Maths!M:N""), 2, FALSE)"),"Generate original artwork or patterns that incorporate the concept of the angle of rotation.")</f>
        <v>Generate original artwork or patterns that incorporate the concept of the angle of rotation.</v>
      </c>
      <c r="U137" s="11">
        <f ca="1">IFERROR(__xludf.DUMMYFUNCTION("ArrayFormula(VLOOKUP(G137, IMPORTRANGE(""https://docs.google.com/spreadsheets/d/1p7R4vtkWt5VOBim4ltsDG9KTzSjrtKXsMtQGXPHyND0/edit#gid=795171502"", ""'Filter 30_05_2024'!A1:M2000""), {2, 3, 4, 5,6,7,8,9,10,11,12,13}, 0))"),5)</f>
        <v>5</v>
      </c>
      <c r="V137" s="11">
        <f ca="1">IFERROR(__xludf.DUMMYFUNCTION("""COMPUTED_VALUE"""),6)</f>
        <v>6</v>
      </c>
      <c r="W137" s="11">
        <f ca="1">IFERROR(__xludf.DUMMYFUNCTION("""COMPUTED_VALUE"""),2)</f>
        <v>2</v>
      </c>
      <c r="X137" s="11">
        <f ca="1">IFERROR(__xludf.DUMMYFUNCTION("""COMPUTED_VALUE"""),13)</f>
        <v>13</v>
      </c>
      <c r="Y137" s="11">
        <f ca="1">IFERROR(__xludf.DUMMYFUNCTION("""COMPUTED_VALUE"""),5)</f>
        <v>5</v>
      </c>
      <c r="Z137" s="12">
        <f ca="1">IFERROR(__xludf.DUMMYFUNCTION("""COMPUTED_VALUE"""),3)</f>
        <v>3</v>
      </c>
      <c r="AA137" s="12">
        <f ca="1">IFERROR(__xludf.DUMMYFUNCTION("""COMPUTED_VALUE"""),1)</f>
        <v>1</v>
      </c>
      <c r="AB137" s="12">
        <f ca="1">IFERROR(__xludf.DUMMYFUNCTION("""COMPUTED_VALUE"""),9)</f>
        <v>9</v>
      </c>
      <c r="AC137" s="12"/>
      <c r="AD137" s="12"/>
      <c r="AE137" s="12"/>
      <c r="AF137" s="12"/>
      <c r="AG137" s="13" t="str">
        <f ca="1">IFERROR(__xludf.DUMMYFUNCTION("ArrayFormula(VLOOKUP(G137, IMPORTRANGE(""https://docs.google.com/spreadsheets/d/1Co934fvtviyaRiMsrIlT05Jaq7iiYq07aLvRr35KA48/edit?gid=173865642#gid=173865642"", ""'G7_Maths_Pri_LU'!G2:V2000""), {3, 4, 5, 6, 7, 8, 9, 10, 11, 12, 13, 14, 15, 16}, 0))"),"")</f>
        <v/>
      </c>
      <c r="AH137" s="13"/>
      <c r="AI137" s="13"/>
      <c r="AJ137" s="13"/>
      <c r="AK137" s="13"/>
      <c r="AL137" s="13"/>
      <c r="AM137" s="13"/>
      <c r="AN137" s="13"/>
      <c r="AO137" s="13"/>
      <c r="AP137" s="13"/>
      <c r="AQ137" s="13"/>
      <c r="AR137" s="13"/>
      <c r="AS137" s="13"/>
      <c r="AT137" s="13"/>
    </row>
    <row r="138" spans="1:46">
      <c r="A138" s="8" t="s">
        <v>247</v>
      </c>
      <c r="B138" s="8" t="s">
        <v>47</v>
      </c>
      <c r="C138" s="8" t="s">
        <v>416</v>
      </c>
      <c r="D138" s="8" t="s">
        <v>49</v>
      </c>
      <c r="E138" s="8" t="s">
        <v>209</v>
      </c>
      <c r="F138" s="9" t="s">
        <v>611</v>
      </c>
      <c r="G138" s="9" t="s">
        <v>612</v>
      </c>
      <c r="H138" s="9" t="str">
        <f ca="1">IFERROR(__xludf.DUMMYFUNCTION("VLOOKUP(G138, IMPORTRANGE(""https://docs.google.com/spreadsheets/d/14deopnvwcrKtEGCKuYXdUHJbeLDZlkiSSWWT0g7x2pM/edit#gid=999382323"", ""LU List Maths (Filter)!A:B""), 2, FALSE)"),"Definition of order of rotational symmetry")</f>
        <v>Definition of order of rotational symmetry</v>
      </c>
      <c r="I138" s="10" t="str">
        <f t="shared" si="0"/>
        <v>LU000795.001</v>
      </c>
      <c r="J138" s="10" t="str">
        <f ca="1">IFERROR(__xludf.DUMMYFUNCTION("VLOOKUP(I138, IMPORTRANGE(""https://docs.google.com/spreadsheets/d/1yDAaXNsi4Mr5FtRQL4tbmSdIzhx6_m4wkOD7IG-k_eo/edit#gid=0"", ""Maths!M:N""), 2, FALSE)"),"State that the order of rotational symmetry is the number of times an object can be rotated around its center point to coincide with its original position.")</f>
        <v>State that the order of rotational symmetry is the number of times an object can be rotated around its center point to coincide with its original position.</v>
      </c>
      <c r="K138" s="10" t="str">
        <f t="shared" si="1"/>
        <v>LU000795.002</v>
      </c>
      <c r="L138" s="10" t="str">
        <f ca="1">IFERROR(__xludf.DUMMYFUNCTION("VLOOKUP(K138, IMPORTRANGE(""https://docs.google.com/spreadsheets/d/1yDAaXNsi4Mr5FtRQL4tbmSdIzhx6_m4wkOD7IG-k_eo/edit#gid=0"", ""Maths!M:N""), 2, FALSE)"),"Describe how the order of rotational symmetry helps determine the number of identical positions in which an object can be arranged through rotation.")</f>
        <v>Describe how the order of rotational symmetry helps determine the number of identical positions in which an object can be arranged through rotation.</v>
      </c>
      <c r="M138" s="10" t="str">
        <f t="shared" si="2"/>
        <v>LU000795.003</v>
      </c>
      <c r="N138" s="10" t="str">
        <f ca="1">IFERROR(__xludf.DUMMYFUNCTION("VLOOKUP(M138, IMPORTRANGE(""https://docs.google.com/spreadsheets/d/1yDAaXNsi4Mr5FtRQL4tbmSdIzhx6_m4wkOD7IG-k_eo/edit#gid=0"", ""Maths!M:N""), 2, FALSE)"),"Determine the order of rotational symmetry for shapes.")</f>
        <v>Determine the order of rotational symmetry for shapes.</v>
      </c>
      <c r="O138" s="10" t="str">
        <f t="shared" si="3"/>
        <v>LU000795.004</v>
      </c>
      <c r="P138" s="10" t="str">
        <f ca="1">IFERROR(__xludf.DUMMYFUNCTION("VLOOKUP(O138, IMPORTRANGE(""https://docs.google.com/spreadsheets/d/1yDAaXNsi4Mr5FtRQL4tbmSdIzhx6_m4wkOD7IG-k_eo/edit#gid=0"", ""Maths!M:N""), 2, FALSE)"),"Analyse complex designs to calculate the order of rotational symmetry.")</f>
        <v>Analyse complex designs to calculate the order of rotational symmetry.</v>
      </c>
      <c r="Q138" s="10" t="str">
        <f t="shared" si="4"/>
        <v>LU000795.005</v>
      </c>
      <c r="R138" s="10" t="str">
        <f ca="1">IFERROR(__xludf.DUMMYFUNCTION("VLOOKUP(Q138, IMPORTRANGE(""https://docs.google.com/spreadsheets/d/1yDAaXNsi4Mr5FtRQL4tbmSdIzhx6_m4wkOD7IG-k_eo/edit#gid=0"", ""Maths!M:N""), 2, FALSE)"),"Evaluate how the order of rotational symmetry impacts the visual aesthetics of real-world objects.")</f>
        <v>Evaluate how the order of rotational symmetry impacts the visual aesthetics of real-world objects.</v>
      </c>
      <c r="S138" s="10" t="str">
        <f t="shared" si="5"/>
        <v>LU000795.006</v>
      </c>
      <c r="T138" s="10" t="str">
        <f ca="1">IFERROR(__xludf.DUMMYFUNCTION("VLOOKUP(S138, IMPORTRANGE(""https://docs.google.com/spreadsheets/d/1yDAaXNsi4Mr5FtRQL4tbmSdIzhx6_m4wkOD7IG-k_eo/edit#gid=0"", ""Maths!M:N""), 2, FALSE)"),"Generate original artwork or patterns that incorporate a specific order of rotational symmetry.")</f>
        <v>Generate original artwork or patterns that incorporate a specific order of rotational symmetry.</v>
      </c>
      <c r="U138" s="11">
        <f ca="1">IFERROR(__xludf.DUMMYFUNCTION("ArrayFormula(VLOOKUP(G138, IMPORTRANGE(""https://docs.google.com/spreadsheets/d/1p7R4vtkWt5VOBim4ltsDG9KTzSjrtKXsMtQGXPHyND0/edit#gid=795171502"", ""'Filter 30_05_2024'!A1:M2000""), {2, 3, 4, 5,6,7,8,9,10,11,12,13}, 0))"),6)</f>
        <v>6</v>
      </c>
      <c r="V138" s="11">
        <f ca="1">IFERROR(__xludf.DUMMYFUNCTION("""COMPUTED_VALUE"""),7)</f>
        <v>7</v>
      </c>
      <c r="W138" s="11">
        <f ca="1">IFERROR(__xludf.DUMMYFUNCTION("""COMPUTED_VALUE"""),2)</f>
        <v>2</v>
      </c>
      <c r="X138" s="11">
        <f ca="1">IFERROR(__xludf.DUMMYFUNCTION("""COMPUTED_VALUE"""),15)</f>
        <v>15</v>
      </c>
      <c r="Y138" s="11">
        <f ca="1">IFERROR(__xludf.DUMMYFUNCTION("""COMPUTED_VALUE"""),7)</f>
        <v>7</v>
      </c>
      <c r="Z138" s="12">
        <f ca="1">IFERROR(__xludf.DUMMYFUNCTION("""COMPUTED_VALUE"""),3)</f>
        <v>3</v>
      </c>
      <c r="AA138" s="12">
        <f ca="1">IFERROR(__xludf.DUMMYFUNCTION("""COMPUTED_VALUE"""),1)</f>
        <v>1</v>
      </c>
      <c r="AB138" s="12">
        <f ca="1">IFERROR(__xludf.DUMMYFUNCTION("""COMPUTED_VALUE"""),11)</f>
        <v>11</v>
      </c>
      <c r="AC138" s="12"/>
      <c r="AD138" s="12"/>
      <c r="AE138" s="12"/>
      <c r="AF138" s="12"/>
      <c r="AG138" s="13" t="str">
        <f ca="1">IFERROR(__xludf.DUMMYFUNCTION("ArrayFormula(VLOOKUP(G138, IMPORTRANGE(""https://docs.google.com/spreadsheets/d/1Co934fvtviyaRiMsrIlT05Jaq7iiYq07aLvRr35KA48/edit?gid=173865642#gid=173865642"", ""'G7_Maths_Pri_LU'!G2:V2000""), {3, 4, 5, 6, 7, 8, 9, 10, 11, 12, 13, 14, 15, 16}, 0))"),"")</f>
        <v/>
      </c>
      <c r="AH138" s="13"/>
      <c r="AI138" s="13"/>
      <c r="AJ138" s="13"/>
      <c r="AK138" s="13"/>
      <c r="AL138" s="13"/>
      <c r="AM138" s="13"/>
      <c r="AN138" s="13"/>
      <c r="AO138" s="13"/>
      <c r="AP138" s="13"/>
      <c r="AQ138" s="13"/>
      <c r="AR138" s="13"/>
      <c r="AS138" s="13"/>
      <c r="AT138" s="13"/>
    </row>
    <row r="139" spans="1:46">
      <c r="A139" s="8" t="s">
        <v>247</v>
      </c>
      <c r="B139" s="8" t="s">
        <v>47</v>
      </c>
      <c r="C139" s="8" t="s">
        <v>416</v>
      </c>
      <c r="D139" s="8" t="s">
        <v>49</v>
      </c>
      <c r="E139" s="8" t="s">
        <v>209</v>
      </c>
      <c r="F139" s="8" t="s">
        <v>224</v>
      </c>
      <c r="G139" s="8" t="s">
        <v>225</v>
      </c>
      <c r="H139" s="8" t="str">
        <f ca="1">IFERROR(__xludf.DUMMYFUNCTION("VLOOKUP(G139, IMPORTRANGE(""https://docs.google.com/spreadsheets/d/14deopnvwcrKtEGCKuYXdUHJbeLDZlkiSSWWT0g7x2pM/edit#gid=999382323"", ""LU List Maths (Filter)!A:B""), 2, FALSE)"),"Figures with line and rotational symmetry")</f>
        <v>Figures with line and rotational symmetry</v>
      </c>
      <c r="I139" s="10" t="str">
        <f t="shared" si="0"/>
        <v>LU000799.001</v>
      </c>
      <c r="J139" s="10" t="str">
        <f ca="1">IFERROR(__xludf.DUMMYFUNCTION("VLOOKUP(I139, IMPORTRANGE(""https://docs.google.com/spreadsheets/d/1yDAaXNsi4Mr5FtRQL4tbmSdIzhx6_m4wkOD7IG-k_eo/edit#gid=0"", ""Maths!M:N""), 2, FALSE)"),"State the definitions of line and rotational symmetry.")</f>
        <v>State the definitions of line and rotational symmetry.</v>
      </c>
      <c r="K139" s="10" t="str">
        <f t="shared" si="1"/>
        <v>LU000799.002</v>
      </c>
      <c r="L139" s="10" t="str">
        <f ca="1">IFERROR(__xludf.DUMMYFUNCTION("VLOOKUP(K139, IMPORTRANGE(""https://docs.google.com/spreadsheets/d/1yDAaXNsi4Mr5FtRQL4tbmSdIzhx6_m4wkOD7IG-k_eo/edit#gid=0"", ""Maths!M:N""), 2, FALSE)"),"Explain the differences and similarities between line and rotational symmetry.")</f>
        <v>Explain the differences and similarities between line and rotational symmetry.</v>
      </c>
      <c r="M139" s="10" t="str">
        <f t="shared" si="2"/>
        <v>LU000799.003</v>
      </c>
      <c r="N139" s="10" t="str">
        <f ca="1">IFERROR(__xludf.DUMMYFUNCTION("VLOOKUP(M139, IMPORTRANGE(""https://docs.google.com/spreadsheets/d/1yDAaXNsi4Mr5FtRQL4tbmSdIzhx6_m4wkOD7IG-k_eo/edit#gid=0"", ""Maths!M:N""), 2, FALSE)"),"Determine if a given figure exhibits both line and rotational symmetry.")</f>
        <v>Determine if a given figure exhibits both line and rotational symmetry.</v>
      </c>
      <c r="O139" s="10" t="str">
        <f t="shared" si="3"/>
        <v>LU000799.004</v>
      </c>
      <c r="P139" s="10" t="str">
        <f ca="1">IFERROR(__xludf.DUMMYFUNCTION("VLOOKUP(O139, IMPORTRANGE(""https://docs.google.com/spreadsheets/d/1yDAaXNsi4Mr5FtRQL4tbmSdIzhx6_m4wkOD7IG-k_eo/edit#gid=0"", ""Maths!M:N""), 2, FALSE)"),"Analyse complex designs to identify lines of symmetry and rotational positions.")</f>
        <v>Analyse complex designs to identify lines of symmetry and rotational positions.</v>
      </c>
      <c r="Q139" s="10" t="str">
        <f t="shared" si="4"/>
        <v>LU000799.005</v>
      </c>
      <c r="R139" s="10" t="str">
        <f ca="1">IFERROR(__xludf.DUMMYFUNCTION("VLOOKUP(Q139, IMPORTRANGE(""https://docs.google.com/spreadsheets/d/1yDAaXNsi4Mr5FtRQL4tbmSdIzhx6_m4wkOD7IG-k_eo/edit#gid=0"", ""Maths!M:N""), 2, FALSE)"),"Evaluate how the presence of both line and rotational symmetry impacts the visual aesthetics of real-world figures.")</f>
        <v>Evaluate how the presence of both line and rotational symmetry impacts the visual aesthetics of real-world figures.</v>
      </c>
      <c r="S139" s="10" t="str">
        <f t="shared" si="5"/>
        <v>LU000799.006</v>
      </c>
      <c r="T139" s="10" t="str">
        <f ca="1">IFERROR(__xludf.DUMMYFUNCTION("VLOOKUP(S139, IMPORTRANGE(""https://docs.google.com/spreadsheets/d/1yDAaXNsi4Mr5FtRQL4tbmSdIzhx6_m4wkOD7IG-k_eo/edit#gid=0"", ""Maths!M:N""), 2, FALSE)"),"Generate original artwork or designs that incorporate both line and rotational symmetry.")</f>
        <v>Generate original artwork or designs that incorporate both line and rotational symmetry.</v>
      </c>
      <c r="U139" s="11">
        <f ca="1">IFERROR(__xludf.DUMMYFUNCTION("ArrayFormula(VLOOKUP(G139, IMPORTRANGE(""https://docs.google.com/spreadsheets/d/1p7R4vtkWt5VOBim4ltsDG9KTzSjrtKXsMtQGXPHyND0/edit#gid=795171502"", ""'Filter 30_05_2024'!A1:M2000""), {2, 3, 4, 5,6,7,8,9,10,11,12,13}, 0))"),4)</f>
        <v>4</v>
      </c>
      <c r="V139" s="11">
        <f ca="1">IFERROR(__xludf.DUMMYFUNCTION("""COMPUTED_VALUE"""),13)</f>
        <v>13</v>
      </c>
      <c r="W139" s="11">
        <f ca="1">IFERROR(__xludf.DUMMYFUNCTION("""COMPUTED_VALUE"""),16)</f>
        <v>16</v>
      </c>
      <c r="X139" s="11">
        <f ca="1">IFERROR(__xludf.DUMMYFUNCTION("""COMPUTED_VALUE"""),33)</f>
        <v>33</v>
      </c>
      <c r="Y139" s="11">
        <f ca="1">IFERROR(__xludf.DUMMYFUNCTION("""COMPUTED_VALUE"""),4)</f>
        <v>4</v>
      </c>
      <c r="Z139" s="12">
        <f ca="1">IFERROR(__xludf.DUMMYFUNCTION("""COMPUTED_VALUE"""),5)</f>
        <v>5</v>
      </c>
      <c r="AA139" s="12">
        <f ca="1">IFERROR(__xludf.DUMMYFUNCTION("""COMPUTED_VALUE"""),2)</f>
        <v>2</v>
      </c>
      <c r="AB139" s="12">
        <f ca="1">IFERROR(__xludf.DUMMYFUNCTION("""COMPUTED_VALUE"""),11)</f>
        <v>11</v>
      </c>
      <c r="AC139" s="12"/>
      <c r="AD139" s="12"/>
      <c r="AE139" s="12"/>
      <c r="AF139" s="12"/>
      <c r="AG139" s="13" t="str">
        <f ca="1">IFERROR(__xludf.DUMMYFUNCTION("ArrayFormula(VLOOKUP(G139, IMPORTRANGE(""https://docs.google.com/spreadsheets/d/1Co934fvtviyaRiMsrIlT05Jaq7iiYq07aLvRr35KA48/edit?gid=173865642#gid=173865642"", ""'G7_Maths_Pri_LU'!G2:V2000""), {3, 4, 5, 6, 7, 8, 9, 10, 11, 12, 13, 14, 15, 16}, 0))"),"LU000796")</f>
        <v>LU000796</v>
      </c>
      <c r="AH139" s="13" t="str">
        <f ca="1">IFERROR(__xludf.DUMMYFUNCTION("""COMPUTED_VALUE"""),"Line of symmetry for figures")</f>
        <v>Line of symmetry for figures</v>
      </c>
      <c r="AI139" s="13" t="str">
        <f ca="1">IFERROR(__xludf.DUMMYFUNCTION("""COMPUTED_VALUE"""),"LU000792")</f>
        <v>LU000792</v>
      </c>
      <c r="AJ139" s="13" t="str">
        <f ca="1">IFERROR(__xludf.DUMMYFUNCTION("""COMPUTED_VALUE"""),"Definition of rotational symmetry")</f>
        <v>Definition of rotational symmetry</v>
      </c>
      <c r="AK139" s="13"/>
      <c r="AL139" s="13"/>
      <c r="AM139" s="13"/>
      <c r="AN139" s="13"/>
      <c r="AO139" s="13"/>
      <c r="AP139" s="13"/>
      <c r="AQ139" s="13"/>
      <c r="AR139" s="13"/>
      <c r="AS139" s="13"/>
      <c r="AT139" s="13"/>
    </row>
    <row r="140" spans="1:46">
      <c r="A140" s="8" t="s">
        <v>247</v>
      </c>
      <c r="B140" s="8" t="s">
        <v>47</v>
      </c>
      <c r="C140" s="8" t="s">
        <v>416</v>
      </c>
      <c r="D140" s="8" t="s">
        <v>49</v>
      </c>
      <c r="E140" s="8" t="s">
        <v>151</v>
      </c>
      <c r="F140" s="8" t="s">
        <v>613</v>
      </c>
      <c r="G140" s="8" t="s">
        <v>614</v>
      </c>
      <c r="H140" s="8" t="str">
        <f ca="1">IFERROR(__xludf.DUMMYFUNCTION("VLOOKUP(G140, IMPORTRANGE(""https://docs.google.com/spreadsheets/d/14deopnvwcrKtEGCKuYXdUHJbeLDZlkiSSWWT0g7x2pM/edit#gid=999382323"", ""LU List Maths (Filter)!A:B""), 2, FALSE)"),"Area of a parallelogram using the formula")</f>
        <v>Area of a parallelogram using the formula</v>
      </c>
      <c r="I140" s="10" t="str">
        <f t="shared" si="0"/>
        <v>LU000490.001</v>
      </c>
      <c r="J140" s="10" t="str">
        <f ca="1">IFERROR(__xludf.DUMMYFUNCTION("VLOOKUP(I140, IMPORTRANGE(""https://docs.google.com/spreadsheets/d/1yDAaXNsi4Mr5FtRQL4tbmSdIzhx6_m4wkOD7IG-k_eo/edit#gid=0"", ""Maths!M:N""), 2, FALSE)"),"Recall the formula for the area of a parallelogram.")</f>
        <v>Recall the formula for the area of a parallelogram.</v>
      </c>
      <c r="K140" s="10" t="str">
        <f t="shared" si="1"/>
        <v>LU000490.002</v>
      </c>
      <c r="L140" s="10" t="str">
        <f ca="1">IFERROR(__xludf.DUMMYFUNCTION("VLOOKUP(K140, IMPORTRANGE(""https://docs.google.com/spreadsheets/d/1yDAaXNsi4Mr5FtRQL4tbmSdIzhx6_m4wkOD7IG-k_eo/edit#gid=0"", ""Maths!M:N""), 2, FALSE)"),"Describe the process of deriving the area formula for a parallelogram using the concept of a rectangle's area.")</f>
        <v>Describe the process of deriving the area formula for a parallelogram using the concept of a rectangle's area.</v>
      </c>
      <c r="M140" s="10" t="str">
        <f t="shared" si="2"/>
        <v>LU000490.003</v>
      </c>
      <c r="N140" s="10" t="str">
        <f ca="1">IFERROR(__xludf.DUMMYFUNCTION("VLOOKUP(M140, IMPORTRANGE(""https://docs.google.com/spreadsheets/d/1yDAaXNsi4Mr5FtRQL4tbmSdIzhx6_m4wkOD7IG-k_eo/edit#gid=0"", ""Maths!M:N""), 2, FALSE)"),"Apply the formula to find the area of a given parallelogram using its base and height.")</f>
        <v>Apply the formula to find the area of a given parallelogram using its base and height.</v>
      </c>
      <c r="O140" s="10" t="str">
        <f t="shared" si="3"/>
        <v>LU000490.004</v>
      </c>
      <c r="P140" s="10" t="str">
        <f ca="1">IFERROR(__xludf.DUMMYFUNCTION("VLOOKUP(O140, IMPORTRANGE(""https://docs.google.com/spreadsheets/d/1yDAaXNsi4Mr5FtRQL4tbmSdIzhx6_m4wkOD7IG-k_eo/edit#gid=0"", ""Maths!M:N""), 2, FALSE)"),"Determine the base or height of a parallelogram if the area is given.")</f>
        <v>Determine the base or height of a parallelogram if the area is given.</v>
      </c>
      <c r="Q140" s="10" t="str">
        <f t="shared" si="4"/>
        <v>LU000490.005</v>
      </c>
      <c r="R140" s="10" t="str">
        <f ca="1">IFERROR(__xludf.DUMMYFUNCTION("VLOOKUP(Q140, IMPORTRANGE(""https://docs.google.com/spreadsheets/d/1yDAaXNsi4Mr5FtRQL4tbmSdIzhx6_m4wkOD7IG-k_eo/edit#gid=0"", ""Maths!M:N""), 2, FALSE)"),"Assess the accuracy of the claim about the relationship between the area and perimeter of parallelograms.")</f>
        <v>Assess the accuracy of the claim about the relationship between the area and perimeter of parallelograms.</v>
      </c>
      <c r="S140" s="10" t="str">
        <f t="shared" si="5"/>
        <v>LU000490.006</v>
      </c>
      <c r="T140" s="10" t="str">
        <f ca="1">IFERROR(__xludf.DUMMYFUNCTION("VLOOKUP(S140, IMPORTRANGE(""https://docs.google.com/spreadsheets/d/1yDAaXNsi4Mr5FtRQL4tbmSdIzhx6_m4wkOD7IG-k_eo/edit#gid=0"", ""Maths!M:N""), 2, FALSE)"),"Devise an experiment to demonstrate how altering the dimensions of a parallelogram affects its area while keeping the perimeter constant.")</f>
        <v>Devise an experiment to demonstrate how altering the dimensions of a parallelogram affects its area while keeping the perimeter constant.</v>
      </c>
      <c r="U140" s="11">
        <f ca="1">IFERROR(__xludf.DUMMYFUNCTION("ArrayFormula(VLOOKUP(G140, IMPORTRANGE(""https://docs.google.com/spreadsheets/d/1p7R4vtkWt5VOBim4ltsDG9KTzSjrtKXsMtQGXPHyND0/edit#gid=795171502"", ""'Filter 30_05_2024'!A1:M2000""), {2, 3, 4, 5,6,7,8,9,10,11,12,13}, 0))"),4)</f>
        <v>4</v>
      </c>
      <c r="V140" s="11">
        <f ca="1">IFERROR(__xludf.DUMMYFUNCTION("""COMPUTED_VALUE"""),11)</f>
        <v>11</v>
      </c>
      <c r="W140" s="11">
        <f ca="1">IFERROR(__xludf.DUMMYFUNCTION("""COMPUTED_VALUE"""),17)</f>
        <v>17</v>
      </c>
      <c r="X140" s="11">
        <f ca="1">IFERROR(__xludf.DUMMYFUNCTION("""COMPUTED_VALUE"""),32)</f>
        <v>32</v>
      </c>
      <c r="Y140" s="11">
        <f ca="1">IFERROR(__xludf.DUMMYFUNCTION("""COMPUTED_VALUE"""),4)</f>
        <v>4</v>
      </c>
      <c r="Z140" s="12">
        <f ca="1">IFERROR(__xludf.DUMMYFUNCTION("""COMPUTED_VALUE"""),5)</f>
        <v>5</v>
      </c>
      <c r="AA140" s="12">
        <f ca="1">IFERROR(__xludf.DUMMYFUNCTION("""COMPUTED_VALUE"""),5)</f>
        <v>5</v>
      </c>
      <c r="AB140" s="12">
        <f ca="1">IFERROR(__xludf.DUMMYFUNCTION("""COMPUTED_VALUE"""),14)</f>
        <v>14</v>
      </c>
      <c r="AC140" s="12"/>
      <c r="AD140" s="12"/>
      <c r="AE140" s="12"/>
      <c r="AF140" s="12"/>
      <c r="AG140" s="13" t="str">
        <f ca="1">IFERROR(__xludf.DUMMYFUNCTION("ArrayFormula(VLOOKUP(G140, IMPORTRANGE(""https://docs.google.com/spreadsheets/d/1Co934fvtviyaRiMsrIlT05Jaq7iiYq07aLvRr35KA48/edit?gid=173865642#gid=173865642"", ""'G7_Maths_Pri_LU'!G2:V2000""), {3, 4, 5, 6, 7, 8, 9, 10, 11, 12, 13, 14, 15, 16}, 0))"),"LU000595")</f>
        <v>LU000595</v>
      </c>
      <c r="AH140" s="13" t="str">
        <f ca="1">IFERROR(__xludf.DUMMYFUNCTION("""COMPUTED_VALUE"""),"Definition of parallelogram")</f>
        <v>Definition of parallelogram</v>
      </c>
      <c r="AI140" s="13" t="str">
        <f ca="1">IFERROR(__xludf.DUMMYFUNCTION("""COMPUTED_VALUE"""),"LU000327")</f>
        <v>LU000327</v>
      </c>
      <c r="AJ140" s="13" t="str">
        <f ca="1">IFERROR(__xludf.DUMMYFUNCTION("""COMPUTED_VALUE"""),"Area of a rectangle using formula")</f>
        <v>Area of a rectangle using formula</v>
      </c>
      <c r="AK140" s="13" t="str">
        <f ca="1">IFERROR(__xludf.DUMMYFUNCTION("""COMPUTED_VALUE"""),"LU000163")</f>
        <v>LU000163</v>
      </c>
      <c r="AL140" s="13" t="str">
        <f ca="1">IFERROR(__xludf.DUMMYFUNCTION("""COMPUTED_VALUE"""),"Conversion between different units of length (in whole number)")</f>
        <v>Conversion between different units of length (in whole number)</v>
      </c>
      <c r="AM140" s="13"/>
      <c r="AN140" s="13"/>
      <c r="AO140" s="13"/>
      <c r="AP140" s="13"/>
      <c r="AQ140" s="13"/>
      <c r="AR140" s="13"/>
      <c r="AS140" s="13"/>
      <c r="AT140" s="13"/>
    </row>
    <row r="141" spans="1:46">
      <c r="A141" s="8" t="s">
        <v>247</v>
      </c>
      <c r="B141" s="8" t="s">
        <v>47</v>
      </c>
      <c r="C141" s="8" t="s">
        <v>416</v>
      </c>
      <c r="D141" s="8" t="s">
        <v>49</v>
      </c>
      <c r="E141" s="8" t="s">
        <v>151</v>
      </c>
      <c r="F141" s="8" t="s">
        <v>615</v>
      </c>
      <c r="G141" s="8" t="s">
        <v>616</v>
      </c>
      <c r="H141" s="8" t="str">
        <f ca="1">IFERROR(__xludf.DUMMYFUNCTION("VLOOKUP(G141, IMPORTRANGE(""https://docs.google.com/spreadsheets/d/14deopnvwcrKtEGCKuYXdUHJbeLDZlkiSSWWT0g7x2pM/edit#gid=999382323"", ""LU List Maths (Filter)!A:B""), 2, FALSE)"),"Area of a triangle using the formula")</f>
        <v>Area of a triangle using the formula</v>
      </c>
      <c r="I141" s="10" t="str">
        <f t="shared" si="0"/>
        <v>LU000492.001</v>
      </c>
      <c r="J141" s="10" t="str">
        <f ca="1">IFERROR(__xludf.DUMMYFUNCTION("VLOOKUP(I141, IMPORTRANGE(""https://docs.google.com/spreadsheets/d/1yDAaXNsi4Mr5FtRQL4tbmSdIzhx6_m4wkOD7IG-k_eo/edit#gid=0"", ""Maths!M:N""), 2, FALSE)"),"Recall the formula for the area of a triangle.")</f>
        <v>Recall the formula for the area of a triangle.</v>
      </c>
      <c r="K141" s="10" t="str">
        <f t="shared" si="1"/>
        <v>LU000492.002</v>
      </c>
      <c r="L141" s="10" t="str">
        <f ca="1">IFERROR(__xludf.DUMMYFUNCTION("VLOOKUP(K141, IMPORTRANGE(""https://docs.google.com/spreadsheets/d/1yDAaXNsi4Mr5FtRQL4tbmSdIzhx6_m4wkOD7IG-k_eo/edit#gid=0"", ""Maths!M:N""), 2, FALSE)"),"Explain how to deduce the area of a triangle formula from the formula for the area of a parallelogram.")</f>
        <v>Explain how to deduce the area of a triangle formula from the formula for the area of a parallelogram.</v>
      </c>
      <c r="M141" s="10" t="str">
        <f t="shared" si="2"/>
        <v>LU000492.003</v>
      </c>
      <c r="N141" s="10" t="str">
        <f ca="1">IFERROR(__xludf.DUMMYFUNCTION("VLOOKUP(M141, IMPORTRANGE(""https://docs.google.com/spreadsheets/d/1yDAaXNsi4Mr5FtRQL4tbmSdIzhx6_m4wkOD7IG-k_eo/edit#gid=0"", ""Maths!M:N""), 2, FALSE)"),"Apply the formula to find the area of a given triangle using its base and height.")</f>
        <v>Apply the formula to find the area of a given triangle using its base and height.</v>
      </c>
      <c r="O141" s="10" t="str">
        <f t="shared" si="3"/>
        <v>LU000492.004</v>
      </c>
      <c r="P141" s="10" t="str">
        <f ca="1">IFERROR(__xludf.DUMMYFUNCTION("VLOOKUP(O141, IMPORTRANGE(""https://docs.google.com/spreadsheets/d/1yDAaXNsi4Mr5FtRQL4tbmSdIzhx6_m4wkOD7IG-k_eo/edit#gid=0"", ""Maths!M:N""), 2, FALSE)"),"Determine the base or height of a triangle if the area is given.")</f>
        <v>Determine the base or height of a triangle if the area is given.</v>
      </c>
      <c r="Q141" s="10" t="str">
        <f t="shared" si="4"/>
        <v>LU000492.005</v>
      </c>
      <c r="R141" s="10" t="str">
        <f ca="1">IFERROR(__xludf.DUMMYFUNCTION("VLOOKUP(Q141, IMPORTRANGE(""https://docs.google.com/spreadsheets/d/1yDAaXNsi4Mr5FtRQL4tbmSdIzhx6_m4wkOD7IG-k_eo/edit#gid=0"", ""Maths!M:N""), 2, FALSE)"),"Assess the accuracy of the claim that triangles with equal areas are not necessarily congruent.")</f>
        <v>Assess the accuracy of the claim that triangles with equal areas are not necessarily congruent.</v>
      </c>
      <c r="S141" s="10" t="str">
        <f t="shared" si="5"/>
        <v>LU000492.006</v>
      </c>
      <c r="T141" s="10" t="str">
        <f ca="1">IFERROR(__xludf.DUMMYFUNCTION("VLOOKUP(S141, IMPORTRANGE(""https://docs.google.com/spreadsheets/d/1yDAaXNsi4Mr5FtRQL4tbmSdIzhx6_m4wkOD7IG-k_eo/edit#gid=0"", ""Maths!M:N""), 2, FALSE)"),"Devise an experiment to explore the relationship between a triangle's base, height, and area.")</f>
        <v>Devise an experiment to explore the relationship between a triangle's base, height, and area.</v>
      </c>
      <c r="U141" s="11">
        <f ca="1">IFERROR(__xludf.DUMMYFUNCTION("ArrayFormula(VLOOKUP(G141, IMPORTRANGE(""https://docs.google.com/spreadsheets/d/1p7R4vtkWt5VOBim4ltsDG9KTzSjrtKXsMtQGXPHyND0/edit#gid=795171502"", ""'Filter 30_05_2024'!A1:M2000""), {2, 3, 4, 5,6,7,8,9,10,11,12,13}, 0))"),4)</f>
        <v>4</v>
      </c>
      <c r="V141" s="11">
        <f ca="1">IFERROR(__xludf.DUMMYFUNCTION("""COMPUTED_VALUE"""),16)</f>
        <v>16</v>
      </c>
      <c r="W141" s="11">
        <f ca="1">IFERROR(__xludf.DUMMYFUNCTION("""COMPUTED_VALUE"""),16)</f>
        <v>16</v>
      </c>
      <c r="X141" s="11">
        <f ca="1">IFERROR(__xludf.DUMMYFUNCTION("""COMPUTED_VALUE"""),36)</f>
        <v>36</v>
      </c>
      <c r="Y141" s="11">
        <f ca="1">IFERROR(__xludf.DUMMYFUNCTION("""COMPUTED_VALUE"""),4)</f>
        <v>4</v>
      </c>
      <c r="Z141" s="12">
        <f ca="1">IFERROR(__xludf.DUMMYFUNCTION("""COMPUTED_VALUE"""),6)</f>
        <v>6</v>
      </c>
      <c r="AA141" s="12">
        <f ca="1">IFERROR(__xludf.DUMMYFUNCTION("""COMPUTED_VALUE"""),5)</f>
        <v>5</v>
      </c>
      <c r="AB141" s="12">
        <f ca="1">IFERROR(__xludf.DUMMYFUNCTION("""COMPUTED_VALUE"""),15)</f>
        <v>15</v>
      </c>
      <c r="AC141" s="12"/>
      <c r="AD141" s="12"/>
      <c r="AE141" s="12"/>
      <c r="AF141" s="12"/>
      <c r="AG141" s="13" t="str">
        <f ca="1">IFERROR(__xludf.DUMMYFUNCTION("ArrayFormula(VLOOKUP(G141, IMPORTRANGE(""https://docs.google.com/spreadsheets/d/1Co934fvtviyaRiMsrIlT05Jaq7iiYq07aLvRr35KA48/edit?gid=173865642#gid=173865642"", ""'G7_Maths_Pri_LU'!G2:V2000""), {3, 4, 5, 6, 7, 8, 9, 10, 11, 12, 13, 14, 15, 16}, 0))"),"LU000490")</f>
        <v>LU000490</v>
      </c>
      <c r="AH141" s="13" t="str">
        <f ca="1">IFERROR(__xludf.DUMMYFUNCTION("""COMPUTED_VALUE"""),"Area of a parallelogram using the formula")</f>
        <v>Area of a parallelogram using the formula</v>
      </c>
      <c r="AI141" s="13" t="str">
        <f ca="1">IFERROR(__xludf.DUMMYFUNCTION("""COMPUTED_VALUE"""),"LU000424")</f>
        <v>LU000424</v>
      </c>
      <c r="AJ141" s="13" t="str">
        <f ca="1">IFERROR(__xludf.DUMMYFUNCTION("""COMPUTED_VALUE"""),"Altitudes of a triangle")</f>
        <v>Altitudes of a triangle</v>
      </c>
      <c r="AK141" s="13" t="str">
        <f ca="1">IFERROR(__xludf.DUMMYFUNCTION("""COMPUTED_VALUE"""),"LU000030")</f>
        <v>LU000030</v>
      </c>
      <c r="AL141" s="13" t="str">
        <f ca="1">IFERROR(__xludf.DUMMYFUNCTION("""COMPUTED_VALUE"""),"Definition of area")</f>
        <v>Definition of area</v>
      </c>
      <c r="AM141" s="13" t="str">
        <f ca="1">IFERROR(__xludf.DUMMYFUNCTION("""COMPUTED_VALUE"""),"LU001005")</f>
        <v>LU001005</v>
      </c>
      <c r="AN141" s="13" t="str">
        <f ca="1">IFERROR(__xludf.DUMMYFUNCTION("""COMPUTED_VALUE"""),"Multiplication of a proper fraction by a whole number")</f>
        <v>Multiplication of a proper fraction by a whole number</v>
      </c>
      <c r="AO141" s="13"/>
      <c r="AP141" s="13"/>
      <c r="AQ141" s="13"/>
      <c r="AR141" s="13"/>
      <c r="AS141" s="13"/>
      <c r="AT141" s="13"/>
    </row>
    <row r="142" spans="1:46">
      <c r="A142" s="8" t="s">
        <v>247</v>
      </c>
      <c r="B142" s="8" t="s">
        <v>47</v>
      </c>
      <c r="C142" s="8" t="s">
        <v>416</v>
      </c>
      <c r="D142" s="8" t="s">
        <v>49</v>
      </c>
      <c r="E142" s="8" t="s">
        <v>151</v>
      </c>
      <c r="F142" s="8" t="s">
        <v>617</v>
      </c>
      <c r="G142" s="8" t="s">
        <v>618</v>
      </c>
      <c r="H142" s="8" t="str">
        <f ca="1">IFERROR(__xludf.DUMMYFUNCTION("VLOOKUP(G142, IMPORTRANGE(""https://docs.google.com/spreadsheets/d/14deopnvwcrKtEGCKuYXdUHJbeLDZlkiSSWWT0g7x2pM/edit#gid=999382323"", ""LU List Maths (Filter)!A:B""), 2, FALSE)"),"Relationship between the diameter and the circumference of the circle")</f>
        <v>Relationship between the diameter and the circumference of the circle</v>
      </c>
      <c r="I142" s="10" t="str">
        <f t="shared" si="0"/>
        <v>LU000493.001</v>
      </c>
      <c r="J142" s="10" t="str">
        <f ca="1">IFERROR(__xludf.DUMMYFUNCTION("VLOOKUP(I142, IMPORTRANGE(""https://docs.google.com/spreadsheets/d/1yDAaXNsi4Mr5FtRQL4tbmSdIzhx6_m4wkOD7IG-k_eo/edit#gid=0"", ""Maths!M:N""), 2, FALSE)"),"Recall the relationship between a circle's circumference and diameter.")</f>
        <v>Recall the relationship between a circle's circumference and diameter.</v>
      </c>
      <c r="K142" s="10" t="str">
        <f t="shared" si="1"/>
        <v>LU000493.002</v>
      </c>
      <c r="L142" s="10" t="str">
        <f ca="1">IFERROR(__xludf.DUMMYFUNCTION("VLOOKUP(K142, IMPORTRANGE(""https://docs.google.com/spreadsheets/d/1yDAaXNsi4Mr5FtRQL4tbmSdIzhx6_m4wkOD7IG-k_eo/edit#gid=0"", ""Maths!M:N""), 2, FALSE)"),"Explain the concept of the constant ratio π and its relation to the circumference and diameter of a circle.")</f>
        <v>Explain the concept of the constant ratio π and its relation to the circumference and diameter of a circle.</v>
      </c>
      <c r="M142" s="10" t="str">
        <f t="shared" si="2"/>
        <v>LU000493.003</v>
      </c>
      <c r="N142" s="10" t="str">
        <f ca="1">IFERROR(__xludf.DUMMYFUNCTION("VLOOKUP(M142, IMPORTRANGE(""https://docs.google.com/spreadsheets/d/1yDAaXNsi4Mr5FtRQL4tbmSdIzhx6_m4wkOD7IG-k_eo/edit#gid=0"", ""Maths!M:N""), 2, FALSE)"),"Determine approximate value of π by using ratio of circumference and diameter of a circle.")</f>
        <v>Determine approximate value of π by using ratio of circumference and diameter of a circle.</v>
      </c>
      <c r="O142" s="10" t="str">
        <f t="shared" si="3"/>
        <v>LU000493.004</v>
      </c>
      <c r="P142" s="10" t="str">
        <f ca="1">IFERROR(__xludf.DUMMYFUNCTION("VLOOKUP(O142, IMPORTRANGE(""https://docs.google.com/spreadsheets/d/1yDAaXNsi4Mr5FtRQL4tbmSdIzhx6_m4wkOD7IG-k_eo/edit#gid=0"", ""Maths!M:N""), 2, FALSE)"),"Analyse the constant ratio C/d=π and its significance in the relationship between a circle's circumference and diameter.")</f>
        <v>Analyse the constant ratio C/d=π and its significance in the relationship between a circle's circumference and diameter.</v>
      </c>
      <c r="Q142" s="10" t="str">
        <f t="shared" si="4"/>
        <v>LU000493.005</v>
      </c>
      <c r="R142" s="10" t="str">
        <f ca="1">IFERROR(__xludf.DUMMYFUNCTION("VLOOKUP(Q142, IMPORTRANGE(""https://docs.google.com/spreadsheets/d/1yDAaXNsi4Mr5FtRQL4tbmSdIzhx6_m4wkOD7IG-k_eo/edit#gid=0"", ""Maths!M:N""), 2, FALSE)"),"Examine the statement that the circumference of a circle is always greater than three times its diameter, and determine its validity.")</f>
        <v>Examine the statement that the circumference of a circle is always greater than three times its diameter, and determine its validity.</v>
      </c>
      <c r="S142" s="10" t="str">
        <f t="shared" si="5"/>
        <v>LU000493.006</v>
      </c>
      <c r="T142" s="10" t="str">
        <f ca="1">IFERROR(__xludf.DUMMYFUNCTION("VLOOKUP(S142, IMPORTRANGE(""https://docs.google.com/spreadsheets/d/1yDAaXNsi4Mr5FtRQL4tbmSdIzhx6_m4wkOD7IG-k_eo/edit#gid=0"", ""Maths!M:N""), 2, FALSE)"),"Devise an experiment to empirically verify the relationship between the circumference and diameter of a circle.")</f>
        <v>Devise an experiment to empirically verify the relationship between the circumference and diameter of a circle.</v>
      </c>
      <c r="U142" s="11">
        <f ca="1">IFERROR(__xludf.DUMMYFUNCTION("ArrayFormula(VLOOKUP(G142, IMPORTRANGE(""https://docs.google.com/spreadsheets/d/1p7R4vtkWt5VOBim4ltsDG9KTzSjrtKXsMtQGXPHyND0/edit#gid=795171502"", ""'Filter 30_05_2024'!A1:M2000""), {2, 3, 4, 5,6,7,8,9,10,11,12,13}, 0))"),4)</f>
        <v>4</v>
      </c>
      <c r="V142" s="11">
        <f ca="1">IFERROR(__xludf.DUMMYFUNCTION("""COMPUTED_VALUE"""),6)</f>
        <v>6</v>
      </c>
      <c r="W142" s="11">
        <f ca="1">IFERROR(__xludf.DUMMYFUNCTION("""COMPUTED_VALUE"""),2)</f>
        <v>2</v>
      </c>
      <c r="X142" s="11">
        <f ca="1">IFERROR(__xludf.DUMMYFUNCTION("""COMPUTED_VALUE"""),12)</f>
        <v>12</v>
      </c>
      <c r="Y142" s="11">
        <f ca="1">IFERROR(__xludf.DUMMYFUNCTION("""COMPUTED_VALUE"""),4)</f>
        <v>4</v>
      </c>
      <c r="Z142" s="12">
        <f ca="1">IFERROR(__xludf.DUMMYFUNCTION("""COMPUTED_VALUE"""),3)</f>
        <v>3</v>
      </c>
      <c r="AA142" s="12">
        <f ca="1">IFERROR(__xludf.DUMMYFUNCTION("""COMPUTED_VALUE"""),1)</f>
        <v>1</v>
      </c>
      <c r="AB142" s="12">
        <f ca="1">IFERROR(__xludf.DUMMYFUNCTION("""COMPUTED_VALUE"""),8)</f>
        <v>8</v>
      </c>
      <c r="AC142" s="12"/>
      <c r="AD142" s="12"/>
      <c r="AE142" s="12"/>
      <c r="AF142" s="12"/>
      <c r="AG142" s="13" t="str">
        <f ca="1">IFERROR(__xludf.DUMMYFUNCTION("ArrayFormula(VLOOKUP(G142, IMPORTRANGE(""https://docs.google.com/spreadsheets/d/1Co934fvtviyaRiMsrIlT05Jaq7iiYq07aLvRr35KA48/edit?gid=173865642#gid=173865642"", ""'G7_Maths_Pri_LU'!G2:V2000""), {3, 4, 5, 6, 7, 8, 9, 10, 11, 12, 13, 14, 15, 16}, 0))"),"LU000232")</f>
        <v>LU000232</v>
      </c>
      <c r="AH142" s="13" t="str">
        <f ca="1">IFERROR(__xludf.DUMMYFUNCTION("""COMPUTED_VALUE"""),"Elements of circle (Centre, radius, diameter)")</f>
        <v>Elements of circle (Centre, radius, diameter)</v>
      </c>
      <c r="AI142" s="13" t="str">
        <f ca="1">IFERROR(__xludf.DUMMYFUNCTION("""COMPUTED_VALUE"""),"LU000231")</f>
        <v>LU000231</v>
      </c>
      <c r="AJ142" s="13" t="str">
        <f ca="1">IFERROR(__xludf.DUMMYFUNCTION("""COMPUTED_VALUE"""),"Definition of circle")</f>
        <v>Definition of circle</v>
      </c>
      <c r="AK142" s="13"/>
      <c r="AL142" s="13"/>
      <c r="AM142" s="13"/>
      <c r="AN142" s="13"/>
      <c r="AO142" s="13"/>
      <c r="AP142" s="13"/>
      <c r="AQ142" s="13"/>
      <c r="AR142" s="13"/>
      <c r="AS142" s="13"/>
      <c r="AT142" s="13"/>
    </row>
    <row r="143" spans="1:46">
      <c r="A143" s="8" t="s">
        <v>247</v>
      </c>
      <c r="B143" s="8" t="s">
        <v>47</v>
      </c>
      <c r="C143" s="8" t="s">
        <v>416</v>
      </c>
      <c r="D143" s="8" t="s">
        <v>49</v>
      </c>
      <c r="E143" s="8" t="s">
        <v>151</v>
      </c>
      <c r="F143" s="8" t="s">
        <v>617</v>
      </c>
      <c r="G143" s="8" t="s">
        <v>619</v>
      </c>
      <c r="H143" s="8" t="str">
        <f ca="1">IFERROR(__xludf.DUMMYFUNCTION("VLOOKUP(G143, IMPORTRANGE(""https://docs.google.com/spreadsheets/d/14deopnvwcrKtEGCKuYXdUHJbeLDZlkiSSWWT0g7x2pM/edit#gid=999382323"", ""LU List Maths (Filter)!A:B""), 2, FALSE)"),"Circumference of a circle")</f>
        <v>Circumference of a circle</v>
      </c>
      <c r="I143" s="10" t="str">
        <f t="shared" si="0"/>
        <v>LU000494.001</v>
      </c>
      <c r="J143" s="10" t="str">
        <f ca="1">IFERROR(__xludf.DUMMYFUNCTION("VLOOKUP(I143, IMPORTRANGE(""https://docs.google.com/spreadsheets/d/1yDAaXNsi4Mr5FtRQL4tbmSdIzhx6_m4wkOD7IG-k_eo/edit#gid=0"", ""Maths!M:N""), 2, FALSE)"),"Define circumference of a circle.")</f>
        <v>Define circumference of a circle.</v>
      </c>
      <c r="K143" s="10" t="str">
        <f t="shared" si="1"/>
        <v>LU000494.002</v>
      </c>
      <c r="L143" s="10" t="str">
        <f ca="1">IFERROR(__xludf.DUMMYFUNCTION("VLOOKUP(K143, IMPORTRANGE(""https://docs.google.com/spreadsheets/d/1yDAaXNsi4Mr5FtRQL4tbmSdIzhx6_m4wkOD7IG-k_eo/edit#gid=0"", ""Maths!M:N""), 2, FALSE)"),"Deduce the formula for circumference of a circle using ∏.")</f>
        <v>Deduce the formula for circumference of a circle using ∏.</v>
      </c>
      <c r="M143" s="10" t="str">
        <f t="shared" si="2"/>
        <v>LU000494.003</v>
      </c>
      <c r="N143" s="10" t="str">
        <f ca="1">IFERROR(__xludf.DUMMYFUNCTION("VLOOKUP(M143, IMPORTRANGE(""https://docs.google.com/spreadsheets/d/1yDAaXNsi4Mr5FtRQL4tbmSdIzhx6_m4wkOD7IG-k_eo/edit#gid=0"", ""Maths!M:N""), 2, FALSE)"),"Determine the circumference of a circle")</f>
        <v>Determine the circumference of a circle</v>
      </c>
      <c r="O143" s="10" t="str">
        <f t="shared" si="3"/>
        <v>LU000494.004</v>
      </c>
      <c r="P143" s="10" t="str">
        <f ca="1">IFERROR(__xludf.DUMMYFUNCTION("VLOOKUP(O143, IMPORTRANGE(""https://docs.google.com/spreadsheets/d/1yDAaXNsi4Mr5FtRQL4tbmSdIzhx6_m4wkOD7IG-k_eo/edit#gid=0"", ""Maths!M:N""), 2, FALSE)"),"Determine the radius or diameter of a circle given its circumference.")</f>
        <v>Determine the radius or diameter of a circle given its circumference.</v>
      </c>
      <c r="Q143" s="10" t="str">
        <f t="shared" si="4"/>
        <v>LU000494.005</v>
      </c>
      <c r="R143" s="10" t="str">
        <f ca="1">IFERROR(__xludf.DUMMYFUNCTION("VLOOKUP(Q143, IMPORTRANGE(""https://docs.google.com/spreadsheets/d/1yDAaXNsi4Mr5FtRQL4tbmSdIzhx6_m4wkOD7IG-k_eo/edit#gid=0"", ""Maths!M:N""), 2, FALSE)"),"Evaluate the effectiveness of using the circumference formula in real-world scenarios.")</f>
        <v>Evaluate the effectiveness of using the circumference formula in real-world scenarios.</v>
      </c>
      <c r="S143" s="10" t="str">
        <f t="shared" si="5"/>
        <v>LU000494.006</v>
      </c>
      <c r="T143" s="10" t="str">
        <f ca="1">IFERROR(__xludf.DUMMYFUNCTION("VLOOKUP(S143, IMPORTRANGE(""https://docs.google.com/spreadsheets/d/1yDAaXNsi4Mr5FtRQL4tbmSdIzhx6_m4wkOD7IG-k_eo/edit#gid=0"", ""Maths!M:N""), 2, FALSE)"),"Design an experiment to empirically validate the relationship between a circle's circumference and its diameter using everyday objects.")</f>
        <v>Design an experiment to empirically validate the relationship between a circle's circumference and its diameter using everyday objects.</v>
      </c>
      <c r="U143" s="11">
        <f ca="1">IFERROR(__xludf.DUMMYFUNCTION("ArrayFormula(VLOOKUP(G143, IMPORTRANGE(""https://docs.google.com/spreadsheets/d/1p7R4vtkWt5VOBim4ltsDG9KTzSjrtKXsMtQGXPHyND0/edit#gid=795171502"", ""'Filter 30_05_2024'!A1:M2000""), {2, 3, 4, 5,6,7,8,9,10,11,12,13}, 0))"),5)</f>
        <v>5</v>
      </c>
      <c r="V143" s="11">
        <f ca="1">IFERROR(__xludf.DUMMYFUNCTION("""COMPUTED_VALUE"""),6)</f>
        <v>6</v>
      </c>
      <c r="W143" s="11">
        <f ca="1">IFERROR(__xludf.DUMMYFUNCTION("""COMPUTED_VALUE"""),2)</f>
        <v>2</v>
      </c>
      <c r="X143" s="11">
        <f ca="1">IFERROR(__xludf.DUMMYFUNCTION("""COMPUTED_VALUE"""),13)</f>
        <v>13</v>
      </c>
      <c r="Y143" s="11">
        <f ca="1">IFERROR(__xludf.DUMMYFUNCTION("""COMPUTED_VALUE"""),6)</f>
        <v>6</v>
      </c>
      <c r="Z143" s="12">
        <f ca="1">IFERROR(__xludf.DUMMYFUNCTION("""COMPUTED_VALUE"""),4)</f>
        <v>4</v>
      </c>
      <c r="AA143" s="12">
        <f ca="1">IFERROR(__xludf.DUMMYFUNCTION("""COMPUTED_VALUE"""),1)</f>
        <v>1</v>
      </c>
      <c r="AB143" s="12">
        <f ca="1">IFERROR(__xludf.DUMMYFUNCTION("""COMPUTED_VALUE"""),11)</f>
        <v>11</v>
      </c>
      <c r="AC143" s="12"/>
      <c r="AD143" s="12"/>
      <c r="AE143" s="12"/>
      <c r="AF143" s="12"/>
      <c r="AG143" s="13" t="str">
        <f ca="1">IFERROR(__xludf.DUMMYFUNCTION("ArrayFormula(VLOOKUP(G143, IMPORTRANGE(""https://docs.google.com/spreadsheets/d/1Co934fvtviyaRiMsrIlT05Jaq7iiYq07aLvRr35KA48/edit?gid=173865642#gid=173865642"", ""'G7_Maths_Pri_LU'!G2:V2000""), {3, 4, 5, 6, 7, 8, 9, 10, 11, 12, 13, 14, 15, 16}, 0))"),"LU000232")</f>
        <v>LU000232</v>
      </c>
      <c r="AH143" s="13" t="str">
        <f ca="1">IFERROR(__xludf.DUMMYFUNCTION("""COMPUTED_VALUE"""),"Elements of circle (Centre, radius, diameter)")</f>
        <v>Elements of circle (Centre, radius, diameter)</v>
      </c>
      <c r="AI143" s="13" t="str">
        <f ca="1">IFERROR(__xludf.DUMMYFUNCTION("""COMPUTED_VALUE"""),"LU000231")</f>
        <v>LU000231</v>
      </c>
      <c r="AJ143" s="13" t="str">
        <f ca="1">IFERROR(__xludf.DUMMYFUNCTION("""COMPUTED_VALUE"""),"Definition of circle")</f>
        <v>Definition of circle</v>
      </c>
      <c r="AK143" s="13"/>
      <c r="AL143" s="13"/>
      <c r="AM143" s="13"/>
      <c r="AN143" s="13"/>
      <c r="AO143" s="13"/>
      <c r="AP143" s="13"/>
      <c r="AQ143" s="13"/>
      <c r="AR143" s="13"/>
      <c r="AS143" s="13"/>
      <c r="AT143" s="13"/>
    </row>
    <row r="144" spans="1:46">
      <c r="A144" s="8" t="s">
        <v>247</v>
      </c>
      <c r="B144" s="8" t="s">
        <v>47</v>
      </c>
      <c r="C144" s="8" t="s">
        <v>416</v>
      </c>
      <c r="D144" s="8" t="s">
        <v>49</v>
      </c>
      <c r="E144" s="8" t="s">
        <v>151</v>
      </c>
      <c r="F144" s="8" t="s">
        <v>617</v>
      </c>
      <c r="G144" s="8" t="s">
        <v>620</v>
      </c>
      <c r="H144" s="8" t="str">
        <f ca="1">IFERROR(__xludf.DUMMYFUNCTION("VLOOKUP(G144, IMPORTRANGE(""https://docs.google.com/spreadsheets/d/14deopnvwcrKtEGCKuYXdUHJbeLDZlkiSSWWT0g7x2pM/edit#gid=999382323"", ""LU List Maths (Filter)!A:B""), 2, FALSE)"),"Perimeter of a semicircle")</f>
        <v>Perimeter of a semicircle</v>
      </c>
      <c r="I144" s="10" t="str">
        <f t="shared" si="0"/>
        <v>LU000496.001</v>
      </c>
      <c r="J144" s="10" t="str">
        <f ca="1">IFERROR(__xludf.DUMMYFUNCTION("VLOOKUP(I144, IMPORTRANGE(""https://docs.google.com/spreadsheets/d/1yDAaXNsi4Mr5FtRQL4tbmSdIzhx6_m4wkOD7IG-k_eo/edit#gid=0"", ""Maths!M:N""), 2, FALSE)"),"Define perimeter of a semicircle.")</f>
        <v>Define perimeter of a semicircle.</v>
      </c>
      <c r="K144" s="10" t="str">
        <f t="shared" si="1"/>
        <v>LU000496.002</v>
      </c>
      <c r="L144" s="10" t="str">
        <f ca="1">IFERROR(__xludf.DUMMYFUNCTION("VLOOKUP(K144, IMPORTRANGE(""https://docs.google.com/spreadsheets/d/1yDAaXNsi4Mr5FtRQL4tbmSdIzhx6_m4wkOD7IG-k_eo/edit#gid=0"", ""Maths!M:N""), 2, FALSE)"),"Determine the perimeter of a semicircle.")</f>
        <v>Determine the perimeter of a semicircle.</v>
      </c>
      <c r="M144" s="10" t="str">
        <f t="shared" si="2"/>
        <v>LU000496.003</v>
      </c>
      <c r="N144" s="10" t="str">
        <f ca="1">IFERROR(__xludf.DUMMYFUNCTION("VLOOKUP(M144, IMPORTRANGE(""https://docs.google.com/spreadsheets/d/1yDAaXNsi4Mr5FtRQL4tbmSdIzhx6_m4wkOD7IG-k_eo/edit#gid=0"", ""Maths!M:N""), 2, FALSE)"),"Apply the perimeter formula to find the radius or diameter of a circle given its perimeter.")</f>
        <v>Apply the perimeter formula to find the radius or diameter of a circle given its perimeter.</v>
      </c>
      <c r="O144" s="10" t="str">
        <f t="shared" si="3"/>
        <v>LU000496.004</v>
      </c>
      <c r="P144" s="10" t="str">
        <f ca="1">IFERROR(__xludf.DUMMYFUNCTION("VLOOKUP(O144, IMPORTRANGE(""https://docs.google.com/spreadsheets/d/1yDAaXNsi4Mr5FtRQL4tbmSdIzhx6_m4wkOD7IG-k_eo/edit#gid=0"", ""Maths!M:N""), 2, FALSE)"),"Analyse the relationship between the semicircle's radius, diameter, and its perimeter.")</f>
        <v>Analyse the relationship between the semicircle's radius, diameter, and its perimeter.</v>
      </c>
      <c r="Q144" s="10" t="str">
        <f t="shared" si="4"/>
        <v>LU000496.005</v>
      </c>
      <c r="R144" s="10" t="str">
        <f ca="1">IFERROR(__xludf.DUMMYFUNCTION("VLOOKUP(Q144, IMPORTRANGE(""https://docs.google.com/spreadsheets/d/1yDAaXNsi4Mr5FtRQL4tbmSdIzhx6_m4wkOD7IG-k_eo/edit#gid=0"", ""Maths!M:N""), 2, FALSE)"),"Evaluate the practicality of using the semicircle perimeter formula in real-world situations.")</f>
        <v>Evaluate the practicality of using the semicircle perimeter formula in real-world situations.</v>
      </c>
      <c r="S144" s="10" t="str">
        <f t="shared" si="5"/>
        <v>LU000496.006</v>
      </c>
      <c r="T144" s="10" t="str">
        <f ca="1">IFERROR(__xludf.DUMMYFUNCTION("VLOOKUP(S144, IMPORTRANGE(""https://docs.google.com/spreadsheets/d/1yDAaXNsi4Mr5FtRQL4tbmSdIzhx6_m4wkOD7IG-k_eo/edit#gid=0"", ""Maths!M:N""), 2, FALSE)"),"Construct an experiment using various semicircular objects to explore how changing the radius affects the perimeter, and then create a hypothesis explaining the observed patterns.")</f>
        <v>Construct an experiment using various semicircular objects to explore how changing the radius affects the perimeter, and then create a hypothesis explaining the observed patterns.</v>
      </c>
      <c r="U144" s="11">
        <f ca="1">IFERROR(__xludf.DUMMYFUNCTION("ArrayFormula(VLOOKUP(G144, IMPORTRANGE(""https://docs.google.com/spreadsheets/d/1p7R4vtkWt5VOBim4ltsDG9KTzSjrtKXsMtQGXPHyND0/edit#gid=795171502"", ""'Filter 30_05_2024'!A1:M2000""), {2, 3, 4, 5,6,7,8,9,10,11,12,13}, 0))"),5)</f>
        <v>5</v>
      </c>
      <c r="V144" s="11">
        <f ca="1">IFERROR(__xludf.DUMMYFUNCTION("""COMPUTED_VALUE"""),6)</f>
        <v>6</v>
      </c>
      <c r="W144" s="11">
        <f ca="1">IFERROR(__xludf.DUMMYFUNCTION("""COMPUTED_VALUE"""),2)</f>
        <v>2</v>
      </c>
      <c r="X144" s="11">
        <f ca="1">IFERROR(__xludf.DUMMYFUNCTION("""COMPUTED_VALUE"""),13)</f>
        <v>13</v>
      </c>
      <c r="Y144" s="11">
        <f ca="1">IFERROR(__xludf.DUMMYFUNCTION("""COMPUTED_VALUE"""),4)</f>
        <v>4</v>
      </c>
      <c r="Z144" s="12">
        <f ca="1">IFERROR(__xludf.DUMMYFUNCTION("""COMPUTED_VALUE"""),3)</f>
        <v>3</v>
      </c>
      <c r="AA144" s="12">
        <f ca="1">IFERROR(__xludf.DUMMYFUNCTION("""COMPUTED_VALUE"""),1)</f>
        <v>1</v>
      </c>
      <c r="AB144" s="12">
        <f ca="1">IFERROR(__xludf.DUMMYFUNCTION("""COMPUTED_VALUE"""),8)</f>
        <v>8</v>
      </c>
      <c r="AC144" s="12"/>
      <c r="AD144" s="12"/>
      <c r="AE144" s="12"/>
      <c r="AF144" s="12"/>
      <c r="AG144" s="13" t="str">
        <f ca="1">IFERROR(__xludf.DUMMYFUNCTION("ArrayFormula(VLOOKUP(G144, IMPORTRANGE(""https://docs.google.com/spreadsheets/d/1Co934fvtviyaRiMsrIlT05Jaq7iiYq07aLvRr35KA48/edit?gid=173865642#gid=173865642"", ""'G7_Maths_Pri_LU'!G2:V2000""), {3, 4, 5, 6, 7, 8, 9, 10, 11, 12, 13, 14, 15, 16}, 0))"),"LU000494")</f>
        <v>LU000494</v>
      </c>
      <c r="AH144" s="13" t="str">
        <f ca="1">IFERROR(__xludf.DUMMYFUNCTION("""COMPUTED_VALUE"""),"Circumference of a circle")</f>
        <v>Circumference of a circle</v>
      </c>
      <c r="AI144" s="13" t="str">
        <f ca="1">IFERROR(__xludf.DUMMYFUNCTION("""COMPUTED_VALUE"""),"LU000232")</f>
        <v>LU000232</v>
      </c>
      <c r="AJ144" s="13" t="str">
        <f ca="1">IFERROR(__xludf.DUMMYFUNCTION("""COMPUTED_VALUE"""),"Elements of circle (Centre, radius, diameter)")</f>
        <v>Elements of circle (Centre, radius, diameter)</v>
      </c>
      <c r="AK144" s="13" t="str">
        <f ca="1">IFERROR(__xludf.DUMMYFUNCTION("""COMPUTED_VALUE"""),"LU000231")</f>
        <v>LU000231</v>
      </c>
      <c r="AL144" s="13" t="str">
        <f ca="1">IFERROR(__xludf.DUMMYFUNCTION("""COMPUTED_VALUE"""),"Definition of circle")</f>
        <v>Definition of circle</v>
      </c>
      <c r="AM144" s="13"/>
      <c r="AN144" s="13"/>
      <c r="AO144" s="13"/>
      <c r="AP144" s="13"/>
      <c r="AQ144" s="13"/>
      <c r="AR144" s="13"/>
      <c r="AS144" s="13"/>
      <c r="AT144" s="13"/>
    </row>
    <row r="145" spans="1:46">
      <c r="A145" s="8" t="s">
        <v>247</v>
      </c>
      <c r="B145" s="8" t="s">
        <v>47</v>
      </c>
      <c r="C145" s="8" t="s">
        <v>416</v>
      </c>
      <c r="D145" s="8" t="s">
        <v>49</v>
      </c>
      <c r="E145" s="8" t="s">
        <v>151</v>
      </c>
      <c r="F145" s="8" t="s">
        <v>621</v>
      </c>
      <c r="G145" s="8" t="s">
        <v>622</v>
      </c>
      <c r="H145" s="8" t="str">
        <f ca="1">IFERROR(__xludf.DUMMYFUNCTION("VLOOKUP(G145, IMPORTRANGE(""https://docs.google.com/spreadsheets/d/14deopnvwcrKtEGCKuYXdUHJbeLDZlkiSSWWT0g7x2pM/edit#gid=999382323"", ""LU List Maths (Filter)!A:B""), 2, FALSE)"),"Perimeter of combination of 2D shapes (rectangle, square, triangle, parallelogram, circle, semicircle)")</f>
        <v>Perimeter of combination of 2D shapes (rectangle, square, triangle, parallelogram, circle, semicircle)</v>
      </c>
      <c r="I145" s="10" t="str">
        <f t="shared" si="0"/>
        <v>LU000931.001</v>
      </c>
      <c r="J145" s="10" t="str">
        <f ca="1">IFERROR(__xludf.DUMMYFUNCTION("VLOOKUP(I145, IMPORTRANGE(""https://docs.google.com/spreadsheets/d/1yDAaXNsi4Mr5FtRQL4tbmSdIzhx6_m4wkOD7IG-k_eo/edit#gid=0"", ""Maths!M:N""), 2, FALSE)"),"Recall the formulas for the perimeter of rectangle, square, triangle, parallelogram, circle, and semicircle.")</f>
        <v>Recall the formulas for the perimeter of rectangle, square, triangle, parallelogram, circle, and semicircle.</v>
      </c>
      <c r="K145" s="10" t="str">
        <f t="shared" si="1"/>
        <v>LU000931.002</v>
      </c>
      <c r="L145" s="10" t="str">
        <f ca="1">IFERROR(__xludf.DUMMYFUNCTION("VLOOKUP(K145, IMPORTRANGE(""https://docs.google.com/spreadsheets/d/1yDAaXNsi4Mr5FtRQL4tbmSdIzhx6_m4wkOD7IG-k_eo/edit#gid=0"", ""Maths!M:N""), 2, FALSE)"),"Explain how to break complex shapes into simpler ones for perimeter calculation.")</f>
        <v>Explain how to break complex shapes into simpler ones for perimeter calculation.</v>
      </c>
      <c r="M145" s="10" t="str">
        <f t="shared" si="2"/>
        <v>LU000931.003</v>
      </c>
      <c r="N145" s="10" t="str">
        <f ca="1">IFERROR(__xludf.DUMMYFUNCTION("VLOOKUP(M145, IMPORTRANGE(""https://docs.google.com/spreadsheets/d/1yDAaXNsi4Mr5FtRQL4tbmSdIzhx6_m4wkOD7IG-k_eo/edit#gid=0"", ""Maths!M:N""), 2, FALSE)"),"Calculate the perimeter of a composite figure composed of given shapes.")</f>
        <v>Calculate the perimeter of a composite figure composed of given shapes.</v>
      </c>
      <c r="O145" s="10" t="str">
        <f t="shared" si="3"/>
        <v>LU000931.004</v>
      </c>
      <c r="P145" s="10" t="str">
        <f ca="1">IFERROR(__xludf.DUMMYFUNCTION("VLOOKUP(O145, IMPORTRANGE(""https://docs.google.com/spreadsheets/d/1yDAaXNsi4Mr5FtRQL4tbmSdIzhx6_m4wkOD7IG-k_eo/edit#gid=0"", ""Maths!M:N""), 2, FALSE)"),"Analyze the strategy of selecting shapes for efficient perimeter computation.")</f>
        <v>Analyze the strategy of selecting shapes for efficient perimeter computation.</v>
      </c>
      <c r="Q145" s="10" t="str">
        <f t="shared" si="4"/>
        <v>LU000931.005</v>
      </c>
      <c r="R145" s="10" t="str">
        <f ca="1">IFERROR(__xludf.DUMMYFUNCTION("VLOOKUP(Q145, IMPORTRANGE(""https://docs.google.com/spreadsheets/d/1yDAaXNsi4Mr5FtRQL4tbmSdIzhx6_m4wkOD7IG-k_eo/edit#gid=0"", ""Maths!M:N""), 2, FALSE)"),"Evaluate the accuracy of perimeter calculations for combined shapes.")</f>
        <v>Evaluate the accuracy of perimeter calculations for combined shapes.</v>
      </c>
      <c r="S145" s="10" t="str">
        <f t="shared" si="5"/>
        <v>LU000931.006</v>
      </c>
      <c r="T145" s="10" t="str">
        <f ca="1">IFERROR(__xludf.DUMMYFUNCTION("VLOOKUP(S145, IMPORTRANGE(""https://docs.google.com/spreadsheets/d/1yDAaXNsi4Mr5FtRQL4tbmSdIzhx6_m4wkOD7IG-k_eo/edit#gid=0"", ""Maths!M:N""), 2, FALSE)"),"Devise a composite 2D shape and develop a method to calculate its perimeter.")</f>
        <v>Devise a composite 2D shape and develop a method to calculate its perimeter.</v>
      </c>
      <c r="U145" s="11">
        <f ca="1">IFERROR(__xludf.DUMMYFUNCTION("ArrayFormula(VLOOKUP(G145, IMPORTRANGE(""https://docs.google.com/spreadsheets/d/1p7R4vtkWt5VOBim4ltsDG9KTzSjrtKXsMtQGXPHyND0/edit#gid=795171502"", ""'Filter 30_05_2024'!A1:M2000""), {2, 3, 4, 5,6,7,8,9,10,11,12,13}, 0))"),4)</f>
        <v>4</v>
      </c>
      <c r="V145" s="11">
        <f ca="1">IFERROR(__xludf.DUMMYFUNCTION("""COMPUTED_VALUE"""),6)</f>
        <v>6</v>
      </c>
      <c r="W145" s="11">
        <f ca="1">IFERROR(__xludf.DUMMYFUNCTION("""COMPUTED_VALUE"""),2)</f>
        <v>2</v>
      </c>
      <c r="X145" s="11">
        <f ca="1">IFERROR(__xludf.DUMMYFUNCTION("""COMPUTED_VALUE"""),12)</f>
        <v>12</v>
      </c>
      <c r="Y145" s="11">
        <f ca="1">IFERROR(__xludf.DUMMYFUNCTION("""COMPUTED_VALUE"""),4)</f>
        <v>4</v>
      </c>
      <c r="Z145" s="12">
        <f ca="1">IFERROR(__xludf.DUMMYFUNCTION("""COMPUTED_VALUE"""),3)</f>
        <v>3</v>
      </c>
      <c r="AA145" s="12">
        <f ca="1">IFERROR(__xludf.DUMMYFUNCTION("""COMPUTED_VALUE"""),1)</f>
        <v>1</v>
      </c>
      <c r="AB145" s="12">
        <f ca="1">IFERROR(__xludf.DUMMYFUNCTION("""COMPUTED_VALUE"""),8)</f>
        <v>8</v>
      </c>
      <c r="AC145" s="12"/>
      <c r="AD145" s="12"/>
      <c r="AE145" s="12"/>
      <c r="AF145" s="12"/>
      <c r="AG145" s="13" t="str">
        <f ca="1">IFERROR(__xludf.DUMMYFUNCTION("ArrayFormula(VLOOKUP(G145, IMPORTRANGE(""https://docs.google.com/spreadsheets/d/1Co934fvtviyaRiMsrIlT05Jaq7iiYq07aLvRr35KA48/edit?gid=173865642#gid=173865642"", ""'G7_Maths_Pri_LU'!G2:V2000""), {3, 4, 5, 6, 7, 8, 9, 10, 11, 12, 13, 14, 15, 16}, 0))"),"LU000496")</f>
        <v>LU000496</v>
      </c>
      <c r="AH145" s="13" t="str">
        <f ca="1">IFERROR(__xludf.DUMMYFUNCTION("""COMPUTED_VALUE"""),"Perimeter of a semicircle")</f>
        <v>Perimeter of a semicircle</v>
      </c>
      <c r="AI145" s="13" t="str">
        <f ca="1">IFERROR(__xludf.DUMMYFUNCTION("""COMPUTED_VALUE"""),"LU000325")</f>
        <v>LU000325</v>
      </c>
      <c r="AJ145" s="13" t="str">
        <f ca="1">IFERROR(__xludf.DUMMYFUNCTION("""COMPUTED_VALUE"""),"Perimeter of regular shapes (regular polygons)")</f>
        <v>Perimeter of regular shapes (regular polygons)</v>
      </c>
      <c r="AK145" s="13" t="str">
        <f ca="1">IFERROR(__xludf.DUMMYFUNCTION("""COMPUTED_VALUE"""),"LU000494")</f>
        <v>LU000494</v>
      </c>
      <c r="AL145" s="13" t="str">
        <f ca="1">IFERROR(__xludf.DUMMYFUNCTION("""COMPUTED_VALUE"""),"Circumference of a circle")</f>
        <v>Circumference of a circle</v>
      </c>
      <c r="AM145" s="13" t="str">
        <f ca="1">IFERROR(__xludf.DUMMYFUNCTION("""COMPUTED_VALUE"""),"LU000324")</f>
        <v>LU000324</v>
      </c>
      <c r="AN145" s="13" t="str">
        <f ca="1">IFERROR(__xludf.DUMMYFUNCTION("""COMPUTED_VALUE"""),"Perimeter of a rectangle using formula")</f>
        <v>Perimeter of a rectangle using formula</v>
      </c>
      <c r="AO145" s="13"/>
      <c r="AP145" s="13"/>
      <c r="AQ145" s="13"/>
      <c r="AR145" s="13"/>
      <c r="AS145" s="13"/>
      <c r="AT145" s="13"/>
    </row>
    <row r="146" spans="1:46">
      <c r="A146" s="8" t="s">
        <v>247</v>
      </c>
      <c r="B146" s="8" t="s">
        <v>47</v>
      </c>
      <c r="C146" s="8" t="s">
        <v>416</v>
      </c>
      <c r="D146" s="8" t="s">
        <v>49</v>
      </c>
      <c r="E146" s="8" t="s">
        <v>151</v>
      </c>
      <c r="F146" s="10" t="s">
        <v>623</v>
      </c>
      <c r="G146" s="8" t="s">
        <v>624</v>
      </c>
      <c r="H146" s="8" t="str">
        <f ca="1">IFERROR(__xludf.DUMMYFUNCTION("VLOOKUP(G146, IMPORTRANGE(""https://docs.google.com/spreadsheets/d/14deopnvwcrKtEGCKuYXdUHJbeLDZlkiSSWWT0g7x2pM/edit#gid=999382323"", ""LU List Maths (Filter)!A:B""), 2, FALSE)"),"Area of a circle")</f>
        <v>Area of a circle</v>
      </c>
      <c r="I146" s="10" t="str">
        <f t="shared" si="0"/>
        <v>LU000495.001</v>
      </c>
      <c r="J146" s="10" t="str">
        <f ca="1">IFERROR(__xludf.DUMMYFUNCTION("VLOOKUP(I146, IMPORTRANGE(""https://docs.google.com/spreadsheets/d/1yDAaXNsi4Mr5FtRQL4tbmSdIzhx6_m4wkOD7IG-k_eo/edit#gid=0"", ""Maths!M:N""), 2, FALSE)"),"State the formula used to calculate the area of a circle using its radius.")</f>
        <v>State the formula used to calculate the area of a circle using its radius.</v>
      </c>
      <c r="K146" s="10" t="str">
        <f t="shared" si="1"/>
        <v>LU000495.002</v>
      </c>
      <c r="L146" s="10" t="str">
        <f ca="1">IFERROR(__xludf.DUMMYFUNCTION("VLOOKUP(K146, IMPORTRANGE(""https://docs.google.com/spreadsheets/d/1yDAaXNsi4Mr5FtRQL4tbmSdIzhx6_m4wkOD7IG-k_eo/edit#gid=0"", ""Maths!M:N""), 2, FALSE)"),"Explain how the formula for the area of a circle is deduced from the concept of π and the radius (or diameter).")</f>
        <v>Explain how the formula for the area of a circle is deduced from the concept of π and the radius (or diameter).</v>
      </c>
      <c r="M146" s="10" t="str">
        <f t="shared" si="2"/>
        <v>LU000495.003</v>
      </c>
      <c r="N146" s="10" t="str">
        <f ca="1">IFERROR(__xludf.DUMMYFUNCTION("VLOOKUP(M146, IMPORTRANGE(""https://docs.google.com/spreadsheets/d/1yDAaXNsi4Mr5FtRQL4tbmSdIzhx6_m4wkOD7IG-k_eo/edit#gid=0"", ""Maths!M:N""), 2, FALSE)"),"Apply the formula to determine the area of a given circle give its radius, diameter or circumference in arithmetic and practical situations.")</f>
        <v>Apply the formula to determine the area of a given circle give its radius, diameter or circumference in arithmetic and practical situations.</v>
      </c>
      <c r="O146" s="10" t="str">
        <f t="shared" si="3"/>
        <v>LU000495.004</v>
      </c>
      <c r="P146" s="10" t="str">
        <f ca="1">IFERROR(__xludf.DUMMYFUNCTION("VLOOKUP(O146, IMPORTRANGE(""https://docs.google.com/spreadsheets/d/1yDAaXNsi4Mr5FtRQL4tbmSdIzhx6_m4wkOD7IG-k_eo/edit#gid=0"", ""Maths!M:N""), 2, FALSE)"),"Analyse the relationship between the area of a circle and the area of a rectangle.")</f>
        <v>Analyse the relationship between the area of a circle and the area of a rectangle.</v>
      </c>
      <c r="Q146" s="10" t="str">
        <f t="shared" si="4"/>
        <v>LU000495.005</v>
      </c>
      <c r="R146" s="10" t="str">
        <f ca="1">IFERROR(__xludf.DUMMYFUNCTION("VLOOKUP(Q146, IMPORTRANGE(""https://docs.google.com/spreadsheets/d/1yDAaXNsi4Mr5FtRQL4tbmSdIzhx6_m4wkOD7IG-k_eo/edit#gid=0"", ""Maths!M:N""), 2, FALSE)"),"Evaluate the effectiveness of using the circle area formula to solve practical word problems.")</f>
        <v>Evaluate the effectiveness of using the circle area formula to solve practical word problems.</v>
      </c>
      <c r="S146" s="10" t="str">
        <f t="shared" si="5"/>
        <v>LU000495.006</v>
      </c>
      <c r="T146" s="10" t="str">
        <f ca="1">IFERROR(__xludf.DUMMYFUNCTION("VLOOKUP(S146, IMPORTRANGE(""https://docs.google.com/spreadsheets/d/1yDAaXNsi4Mr5FtRQL4tbmSdIzhx6_m4wkOD7IG-k_eo/edit#gid=0"", ""Maths!M:N""), 2, FALSE)"),"Design an experiment to empirically verify the formula for the area of a circle using real-world objects.")</f>
        <v>Design an experiment to empirically verify the formula for the area of a circle using real-world objects.</v>
      </c>
      <c r="U146" s="11">
        <f ca="1">IFERROR(__xludf.DUMMYFUNCTION("ArrayFormula(VLOOKUP(G146, IMPORTRANGE(""https://docs.google.com/spreadsheets/d/1p7R4vtkWt5VOBim4ltsDG9KTzSjrtKXsMtQGXPHyND0/edit#gid=795171502"", ""'Filter 30_05_2024'!A1:M2000""), {2, 3, 4, 5,6,7,8,9,10,11,12,13}, 0))"),4)</f>
        <v>4</v>
      </c>
      <c r="V146" s="11">
        <f ca="1">IFERROR(__xludf.DUMMYFUNCTION("""COMPUTED_VALUE"""),21)</f>
        <v>21</v>
      </c>
      <c r="W146" s="11">
        <f ca="1">IFERROR(__xludf.DUMMYFUNCTION("""COMPUTED_VALUE"""),2)</f>
        <v>2</v>
      </c>
      <c r="X146" s="11">
        <f ca="1">IFERROR(__xludf.DUMMYFUNCTION("""COMPUTED_VALUE"""),27)</f>
        <v>27</v>
      </c>
      <c r="Y146" s="11">
        <f ca="1">IFERROR(__xludf.DUMMYFUNCTION("""COMPUTED_VALUE"""),4)</f>
        <v>4</v>
      </c>
      <c r="Z146" s="12">
        <f ca="1">IFERROR(__xludf.DUMMYFUNCTION("""COMPUTED_VALUE"""),8)</f>
        <v>8</v>
      </c>
      <c r="AA146" s="12">
        <f ca="1">IFERROR(__xludf.DUMMYFUNCTION("""COMPUTED_VALUE"""),1)</f>
        <v>1</v>
      </c>
      <c r="AB146" s="12">
        <f ca="1">IFERROR(__xludf.DUMMYFUNCTION("""COMPUTED_VALUE"""),13)</f>
        <v>13</v>
      </c>
      <c r="AC146" s="12"/>
      <c r="AD146" s="12"/>
      <c r="AE146" s="12"/>
      <c r="AF146" s="12"/>
      <c r="AG146" s="13" t="str">
        <f ca="1">IFERROR(__xludf.DUMMYFUNCTION("ArrayFormula(VLOOKUP(G146, IMPORTRANGE(""https://docs.google.com/spreadsheets/d/1Co934fvtviyaRiMsrIlT05Jaq7iiYq07aLvRr35KA48/edit?gid=173865642#gid=173865642"", ""'G7_Maths_Pri_LU'!G2:V2000""), {3, 4, 5, 6, 7, 8, 9, 10, 11, 12, 13, 14, 15, 16}, 0))"),"LU000494")</f>
        <v>LU000494</v>
      </c>
      <c r="AH146" s="13" t="str">
        <f ca="1">IFERROR(__xludf.DUMMYFUNCTION("""COMPUTED_VALUE"""),"Circumference of a circle")</f>
        <v>Circumference of a circle</v>
      </c>
      <c r="AI146" s="13" t="str">
        <f ca="1">IFERROR(__xludf.DUMMYFUNCTION("""COMPUTED_VALUE"""),"LU000492")</f>
        <v>LU000492</v>
      </c>
      <c r="AJ146" s="13" t="str">
        <f ca="1">IFERROR(__xludf.DUMMYFUNCTION("""COMPUTED_VALUE"""),"Area of a triangle using the formula")</f>
        <v>Area of a triangle using the formula</v>
      </c>
      <c r="AK146" s="13" t="str">
        <f ca="1">IFERROR(__xludf.DUMMYFUNCTION("""COMPUTED_VALUE"""),"LU000163")</f>
        <v>LU000163</v>
      </c>
      <c r="AL146" s="13" t="str">
        <f ca="1">IFERROR(__xludf.DUMMYFUNCTION("""COMPUTED_VALUE"""),"Conversion between different units of length (in whole number)")</f>
        <v>Conversion between different units of length (in whole number)</v>
      </c>
      <c r="AM146" s="13" t="str">
        <f ca="1">IFERROR(__xludf.DUMMYFUNCTION("""COMPUTED_VALUE"""),"LU000232")</f>
        <v>LU000232</v>
      </c>
      <c r="AN146" s="13" t="str">
        <f ca="1">IFERROR(__xludf.DUMMYFUNCTION("""COMPUTED_VALUE"""),"Elements of circle (Centre, radius, diameter)")</f>
        <v>Elements of circle (Centre, radius, diameter)</v>
      </c>
      <c r="AO146" s="13"/>
      <c r="AP146" s="13"/>
      <c r="AQ146" s="13"/>
      <c r="AR146" s="13"/>
      <c r="AS146" s="13"/>
      <c r="AT146" s="13"/>
    </row>
    <row r="147" spans="1:46">
      <c r="A147" s="8" t="s">
        <v>247</v>
      </c>
      <c r="B147" s="8" t="s">
        <v>47</v>
      </c>
      <c r="C147" s="8" t="s">
        <v>416</v>
      </c>
      <c r="D147" s="8" t="s">
        <v>49</v>
      </c>
      <c r="E147" s="8" t="s">
        <v>151</v>
      </c>
      <c r="F147" s="10" t="s">
        <v>623</v>
      </c>
      <c r="G147" s="8" t="s">
        <v>625</v>
      </c>
      <c r="H147" s="8" t="str">
        <f ca="1">IFERROR(__xludf.DUMMYFUNCTION("VLOOKUP(G147, IMPORTRANGE(""https://docs.google.com/spreadsheets/d/14deopnvwcrKtEGCKuYXdUHJbeLDZlkiSSWWT0g7x2pM/edit#gid=999382323"", ""LU List Maths (Filter)!A:B""), 2, FALSE)"),"Area of a semicircle")</f>
        <v>Area of a semicircle</v>
      </c>
      <c r="I147" s="10" t="str">
        <f t="shared" si="0"/>
        <v>LU000497.001</v>
      </c>
      <c r="J147" s="10" t="str">
        <f ca="1">IFERROR(__xludf.DUMMYFUNCTION("VLOOKUP(I147, IMPORTRANGE(""https://docs.google.com/spreadsheets/d/1yDAaXNsi4Mr5FtRQL4tbmSdIzhx6_m4wkOD7IG-k_eo/edit#gid=0"", ""Maths!M:N""), 2, FALSE)"),"Recall the formula for the area of a semicircle")</f>
        <v>Recall the formula for the area of a semicircle</v>
      </c>
      <c r="K147" s="10" t="str">
        <f t="shared" si="1"/>
        <v>LU000497.002</v>
      </c>
      <c r="L147" s="10" t="str">
        <f ca="1">IFERROR(__xludf.DUMMYFUNCTION("VLOOKUP(K147, IMPORTRANGE(""https://docs.google.com/spreadsheets/d/1yDAaXNsi4Mr5FtRQL4tbmSdIzhx6_m4wkOD7IG-k_eo/edit#gid=0"", ""Maths!M:N""), 2, FALSE)"),"Explain how the formula for the area of a semicircle is derived from the formula for the area of a circle.")</f>
        <v>Explain how the formula for the area of a semicircle is derived from the formula for the area of a circle.</v>
      </c>
      <c r="M147" s="10" t="str">
        <f t="shared" si="2"/>
        <v>LU000497.003</v>
      </c>
      <c r="N147" s="10" t="str">
        <f ca="1">IFERROR(__xludf.DUMMYFUNCTION("VLOOKUP(M147, IMPORTRANGE(""https://docs.google.com/spreadsheets/d/1yDAaXNsi4Mr5FtRQL4tbmSdIzhx6_m4wkOD7IG-k_eo/edit#gid=0"", ""Maths!M:N""), 2, FALSE)"),"Apply the formula to determine the area of a given semicircle using its radius or diameter.")</f>
        <v>Apply the formula to determine the area of a given semicircle using its radius or diameter.</v>
      </c>
      <c r="O147" s="10" t="str">
        <f t="shared" si="3"/>
        <v>LU000497.004</v>
      </c>
      <c r="P147" s="10" t="str">
        <f ca="1">IFERROR(__xludf.DUMMYFUNCTION("VLOOKUP(O147, IMPORTRANGE(""https://docs.google.com/spreadsheets/d/1yDAaXNsi4Mr5FtRQL4tbmSdIzhx6_m4wkOD7IG-k_eo/edit#gid=0"", ""Maths!M:N""), 2, FALSE)"),"Analyse the effect of changing the radius on the area of a semicircle.")</f>
        <v>Analyse the effect of changing the radius on the area of a semicircle.</v>
      </c>
      <c r="Q147" s="10" t="str">
        <f t="shared" si="4"/>
        <v>LU000497.005</v>
      </c>
      <c r="R147" s="10" t="str">
        <f ca="1">IFERROR(__xludf.DUMMYFUNCTION("VLOOKUP(Q147, IMPORTRANGE(""https://docs.google.com/spreadsheets/d/1yDAaXNsi4Mr5FtRQL4tbmSdIzhx6_m4wkOD7IG-k_eo/edit#gid=0"", ""Maths!M:N""), 2, FALSE)"),"Evaluate the effectiveness of using the semicircle area formula to solve practical word problems.")</f>
        <v>Evaluate the effectiveness of using the semicircle area formula to solve practical word problems.</v>
      </c>
      <c r="S147" s="10" t="str">
        <f t="shared" si="5"/>
        <v>LU000497.006</v>
      </c>
      <c r="T147" s="10" t="str">
        <f ca="1">IFERROR(__xludf.DUMMYFUNCTION("VLOOKUP(S147, IMPORTRANGE(""https://docs.google.com/spreadsheets/d/1yDAaXNsi4Mr5FtRQL4tbmSdIzhx6_m4wkOD7IG-k_eo/edit#gid=0"", ""Maths!M:N""), 2, FALSE)"),"Design an experiment to empirically verify the formula for the area of a semicircle using real-world objects.")</f>
        <v>Design an experiment to empirically verify the formula for the area of a semicircle using real-world objects.</v>
      </c>
      <c r="U147" s="11">
        <f ca="1">IFERROR(__xludf.DUMMYFUNCTION("ArrayFormula(VLOOKUP(G147, IMPORTRANGE(""https://docs.google.com/spreadsheets/d/1p7R4vtkWt5VOBim4ltsDG9KTzSjrtKXsMtQGXPHyND0/edit#gid=795171502"", ""'Filter 30_05_2024'!A1:M2000""), {2, 3, 4, 5,6,7,8,9,10,11,12,13}, 0))"),4)</f>
        <v>4</v>
      </c>
      <c r="V147" s="11">
        <f ca="1">IFERROR(__xludf.DUMMYFUNCTION("""COMPUTED_VALUE"""),5)</f>
        <v>5</v>
      </c>
      <c r="W147" s="11">
        <f ca="1">IFERROR(__xludf.DUMMYFUNCTION("""COMPUTED_VALUE"""),2)</f>
        <v>2</v>
      </c>
      <c r="X147" s="11">
        <f ca="1">IFERROR(__xludf.DUMMYFUNCTION("""COMPUTED_VALUE"""),11)</f>
        <v>11</v>
      </c>
      <c r="Y147" s="11">
        <f ca="1">IFERROR(__xludf.DUMMYFUNCTION("""COMPUTED_VALUE"""),4)</f>
        <v>4</v>
      </c>
      <c r="Z147" s="12">
        <f ca="1">IFERROR(__xludf.DUMMYFUNCTION("""COMPUTED_VALUE"""),4)</f>
        <v>4</v>
      </c>
      <c r="AA147" s="12">
        <f ca="1">IFERROR(__xludf.DUMMYFUNCTION("""COMPUTED_VALUE"""),1)</f>
        <v>1</v>
      </c>
      <c r="AB147" s="12">
        <f ca="1">IFERROR(__xludf.DUMMYFUNCTION("""COMPUTED_VALUE"""),9)</f>
        <v>9</v>
      </c>
      <c r="AC147" s="12"/>
      <c r="AD147" s="12"/>
      <c r="AE147" s="12"/>
      <c r="AF147" s="12"/>
      <c r="AG147" s="13" t="str">
        <f ca="1">IFERROR(__xludf.DUMMYFUNCTION("ArrayFormula(VLOOKUP(G147, IMPORTRANGE(""https://docs.google.com/spreadsheets/d/1Co934fvtviyaRiMsrIlT05Jaq7iiYq07aLvRr35KA48/edit?gid=173865642#gid=173865642"", ""'G7_Maths_Pri_LU'!G2:V2000""), {3, 4, 5, 6, 7, 8, 9, 10, 11, 12, 13, 14, 15, 16}, 0))"),"LU000495")</f>
        <v>LU000495</v>
      </c>
      <c r="AH147" s="13" t="str">
        <f ca="1">IFERROR(__xludf.DUMMYFUNCTION("""COMPUTED_VALUE"""),"Area of a circle")</f>
        <v>Area of a circle</v>
      </c>
      <c r="AI147" s="13" t="str">
        <f ca="1">IFERROR(__xludf.DUMMYFUNCTION("""COMPUTED_VALUE"""),"LU000493")</f>
        <v>LU000493</v>
      </c>
      <c r="AJ147" s="13" t="str">
        <f ca="1">IFERROR(__xludf.DUMMYFUNCTION("""COMPUTED_VALUE"""),"Relationship between the diameter and the circumference of the circle")</f>
        <v>Relationship between the diameter and the circumference of the circle</v>
      </c>
      <c r="AK147" s="13" t="str">
        <f ca="1">IFERROR(__xludf.DUMMYFUNCTION("""COMPUTED_VALUE"""),"LU000494")</f>
        <v>LU000494</v>
      </c>
      <c r="AL147" s="13" t="str">
        <f ca="1">IFERROR(__xludf.DUMMYFUNCTION("""COMPUTED_VALUE"""),"Circumference of a circle")</f>
        <v>Circumference of a circle</v>
      </c>
      <c r="AM147" s="13" t="str">
        <f ca="1">IFERROR(__xludf.DUMMYFUNCTION("""COMPUTED_VALUE"""),"LU000163")</f>
        <v>LU000163</v>
      </c>
      <c r="AN147" s="13" t="str">
        <f ca="1">IFERROR(__xludf.DUMMYFUNCTION("""COMPUTED_VALUE"""),"Conversion between different units of length (in whole number)")</f>
        <v>Conversion between different units of length (in whole number)</v>
      </c>
      <c r="AO147" s="13"/>
      <c r="AP147" s="13"/>
      <c r="AQ147" s="13"/>
      <c r="AR147" s="13"/>
      <c r="AS147" s="13"/>
      <c r="AT147" s="13"/>
    </row>
    <row r="148" spans="1:46">
      <c r="A148" s="8" t="s">
        <v>247</v>
      </c>
      <c r="B148" s="8" t="s">
        <v>47</v>
      </c>
      <c r="C148" s="8" t="s">
        <v>416</v>
      </c>
      <c r="D148" s="8" t="s">
        <v>49</v>
      </c>
      <c r="E148" s="8" t="s">
        <v>151</v>
      </c>
      <c r="F148" s="10" t="s">
        <v>626</v>
      </c>
      <c r="G148" s="8" t="s">
        <v>627</v>
      </c>
      <c r="H148" s="8" t="str">
        <f ca="1">IFERROR(__xludf.DUMMYFUNCTION("VLOOKUP(G148, IMPORTRANGE(""https://docs.google.com/spreadsheets/d/14deopnvwcrKtEGCKuYXdUHJbeLDZlkiSSWWT0g7x2pM/edit#gid=999382323"", ""LU List Maths (Filter)!A:B""), 2, FALSE)"),"Area of combination of 2D shapes (rectangle, square, triangle, parallelogram, circle, semicircle)")</f>
        <v>Area of combination of 2D shapes (rectangle, square, triangle, parallelogram, circle, semicircle)</v>
      </c>
      <c r="I148" s="10" t="str">
        <f t="shared" si="0"/>
        <v>LU000501.001</v>
      </c>
      <c r="J148" s="10" t="str">
        <f ca="1">IFERROR(__xludf.DUMMYFUNCTION("VLOOKUP(I148, IMPORTRANGE(""https://docs.google.com/spreadsheets/d/1yDAaXNsi4Mr5FtRQL4tbmSdIzhx6_m4wkOD7IG-k_eo/edit#gid=0"", ""Maths!M:N""), 2, FALSE)"),"Recall the formulas for the area of rectangle, square, triangle, parallelogram, circle, and semicircle.")</f>
        <v>Recall the formulas for the area of rectangle, square, triangle, parallelogram, circle, and semicircle.</v>
      </c>
      <c r="K148" s="10" t="str">
        <f t="shared" si="1"/>
        <v>LU000501.002</v>
      </c>
      <c r="L148" s="10" t="str">
        <f ca="1">IFERROR(__xludf.DUMMYFUNCTION("VLOOKUP(K148, IMPORTRANGE(""https://docs.google.com/spreadsheets/d/1yDAaXNsi4Mr5FtRQL4tbmSdIzhx6_m4wkOD7IG-k_eo/edit#gid=0"", ""Maths!M:N""), 2, FALSE)"),"Explain how to break complex shapes into simpler ones for area calculation.")</f>
        <v>Explain how to break complex shapes into simpler ones for area calculation.</v>
      </c>
      <c r="M148" s="10" t="str">
        <f t="shared" si="2"/>
        <v>LU000501.003</v>
      </c>
      <c r="N148" s="10" t="str">
        <f ca="1">IFERROR(__xludf.DUMMYFUNCTION("VLOOKUP(M148, IMPORTRANGE(""https://docs.google.com/spreadsheets/d/1yDAaXNsi4Mr5FtRQL4tbmSdIzhx6_m4wkOD7IG-k_eo/edit#gid=0"", ""Maths!M:N""), 2, FALSE)"),"Calculate the total area of a composite figure composed of given shapes.")</f>
        <v>Calculate the total area of a composite figure composed of given shapes.</v>
      </c>
      <c r="O148" s="10" t="str">
        <f t="shared" si="3"/>
        <v>LU000501.004</v>
      </c>
      <c r="P148" s="10" t="str">
        <f ca="1">IFERROR(__xludf.DUMMYFUNCTION("VLOOKUP(O148, IMPORTRANGE(""https://docs.google.com/spreadsheets/d/1yDAaXNsi4Mr5FtRQL4tbmSdIzhx6_m4wkOD7IG-k_eo/edit#gid=0"", ""Maths!M:N""), 2, FALSE)"),"Analyze the strategy of selecting shapes for efficient area computation.")</f>
        <v>Analyze the strategy of selecting shapes for efficient area computation.</v>
      </c>
      <c r="Q148" s="10" t="str">
        <f t="shared" si="4"/>
        <v>LU000501.005</v>
      </c>
      <c r="R148" s="10" t="str">
        <f ca="1">IFERROR(__xludf.DUMMYFUNCTION("VLOOKUP(Q148, IMPORTRANGE(""https://docs.google.com/spreadsheets/d/1yDAaXNsi4Mr5FtRQL4tbmSdIzhx6_m4wkOD7IG-k_eo/edit#gid=0"", ""Maths!M:N""), 2, FALSE)"),"Evaluate the accuracy of area calculations for combined shapes.")</f>
        <v>Evaluate the accuracy of area calculations for combined shapes.</v>
      </c>
      <c r="S148" s="10" t="str">
        <f t="shared" si="5"/>
        <v>LU000501.006</v>
      </c>
      <c r="T148" s="10" t="str">
        <f ca="1">IFERROR(__xludf.DUMMYFUNCTION("VLOOKUP(S148, IMPORTRANGE(""https://docs.google.com/spreadsheets/d/1yDAaXNsi4Mr5FtRQL4tbmSdIzhx6_m4wkOD7IG-k_eo/edit#gid=0"", ""Maths!M:N""), 2, FALSE)"),"Devise a composite 2D shape and develop a method to calculate its total area.")</f>
        <v>Devise a composite 2D shape and develop a method to calculate its total area.</v>
      </c>
      <c r="U148" s="11">
        <f ca="1">IFERROR(__xludf.DUMMYFUNCTION("ArrayFormula(VLOOKUP(G148, IMPORTRANGE(""https://docs.google.com/spreadsheets/d/1p7R4vtkWt5VOBim4ltsDG9KTzSjrtKXsMtQGXPHyND0/edit#gid=795171502"", ""'Filter 30_05_2024'!A1:M2000""), {2, 3, 4, 5,6,7,8,9,10,11,12,13}, 0))"),4)</f>
        <v>4</v>
      </c>
      <c r="V148" s="11">
        <f ca="1">IFERROR(__xludf.DUMMYFUNCTION("""COMPUTED_VALUE"""),11)</f>
        <v>11</v>
      </c>
      <c r="W148" s="11">
        <f ca="1">IFERROR(__xludf.DUMMYFUNCTION("""COMPUTED_VALUE"""),2)</f>
        <v>2</v>
      </c>
      <c r="X148" s="11">
        <f ca="1">IFERROR(__xludf.DUMMYFUNCTION("""COMPUTED_VALUE"""),17)</f>
        <v>17</v>
      </c>
      <c r="Y148" s="11">
        <f ca="1">IFERROR(__xludf.DUMMYFUNCTION("""COMPUTED_VALUE"""),4)</f>
        <v>4</v>
      </c>
      <c r="Z148" s="12">
        <f ca="1">IFERROR(__xludf.DUMMYFUNCTION("""COMPUTED_VALUE"""),4)</f>
        <v>4</v>
      </c>
      <c r="AA148" s="12">
        <f ca="1">IFERROR(__xludf.DUMMYFUNCTION("""COMPUTED_VALUE"""),1)</f>
        <v>1</v>
      </c>
      <c r="AB148" s="12">
        <f ca="1">IFERROR(__xludf.DUMMYFUNCTION("""COMPUTED_VALUE"""),9)</f>
        <v>9</v>
      </c>
      <c r="AC148" s="12"/>
      <c r="AD148" s="12"/>
      <c r="AE148" s="12"/>
      <c r="AF148" s="12"/>
      <c r="AG148" s="13" t="str">
        <f ca="1">IFERROR(__xludf.DUMMYFUNCTION("ArrayFormula(VLOOKUP(G148, IMPORTRANGE(""https://docs.google.com/spreadsheets/d/1Co934fvtviyaRiMsrIlT05Jaq7iiYq07aLvRr35KA48/edit?gid=173865642#gid=173865642"", ""'G7_Maths_Pri_LU'!G2:V2000""), {3, 4, 5, 6, 7, 8, 9, 10, 11, 12, 13, 14, 15, 16}, 0))"),"LU000495")</f>
        <v>LU000495</v>
      </c>
      <c r="AH148" s="13" t="str">
        <f ca="1">IFERROR(__xludf.DUMMYFUNCTION("""COMPUTED_VALUE"""),"Area of a circle")</f>
        <v>Area of a circle</v>
      </c>
      <c r="AI148" s="13" t="str">
        <f ca="1">IFERROR(__xludf.DUMMYFUNCTION("""COMPUTED_VALUE"""),"LU000490")</f>
        <v>LU000490</v>
      </c>
      <c r="AJ148" s="13" t="str">
        <f ca="1">IFERROR(__xludf.DUMMYFUNCTION("""COMPUTED_VALUE"""),"Area of a parallelogram using the formula")</f>
        <v>Area of a parallelogram using the formula</v>
      </c>
      <c r="AK148" s="13" t="str">
        <f ca="1">IFERROR(__xludf.DUMMYFUNCTION("""COMPUTED_VALUE"""),"LU000327")</f>
        <v>LU000327</v>
      </c>
      <c r="AL148" s="13" t="str">
        <f ca="1">IFERROR(__xludf.DUMMYFUNCTION("""COMPUTED_VALUE"""),"Area of a rectangle using formula")</f>
        <v>Area of a rectangle using formula</v>
      </c>
      <c r="AM148" s="13" t="str">
        <f ca="1">IFERROR(__xludf.DUMMYFUNCTION("""COMPUTED_VALUE"""),"LU000328")</f>
        <v>LU000328</v>
      </c>
      <c r="AN148" s="13" t="str">
        <f ca="1">IFERROR(__xludf.DUMMYFUNCTION("""COMPUTED_VALUE"""),"Area of a square using formula")</f>
        <v>Area of a square using formula</v>
      </c>
      <c r="AO148" s="13" t="str">
        <f ca="1">IFERROR(__xludf.DUMMYFUNCTION("""COMPUTED_VALUE"""),"LU000492")</f>
        <v>LU000492</v>
      </c>
      <c r="AP148" s="13" t="str">
        <f ca="1">IFERROR(__xludf.DUMMYFUNCTION("""COMPUTED_VALUE"""),"Area of a triangle using the formula")</f>
        <v>Area of a triangle using the formula</v>
      </c>
      <c r="AQ148" s="13"/>
      <c r="AR148" s="13"/>
      <c r="AS148" s="13"/>
      <c r="AT148" s="13"/>
    </row>
    <row r="149" spans="1:46">
      <c r="A149" s="8" t="s">
        <v>247</v>
      </c>
      <c r="B149" s="8" t="s">
        <v>47</v>
      </c>
      <c r="C149" s="8" t="s">
        <v>416</v>
      </c>
      <c r="D149" s="8" t="s">
        <v>49</v>
      </c>
      <c r="E149" s="8" t="s">
        <v>151</v>
      </c>
      <c r="F149" s="8" t="s">
        <v>628</v>
      </c>
      <c r="G149" s="8" t="s">
        <v>629</v>
      </c>
      <c r="H149" s="8" t="str">
        <f ca="1">IFERROR(__xludf.DUMMYFUNCTION("VLOOKUP(G149, IMPORTRANGE(""https://docs.google.com/spreadsheets/d/14deopnvwcrKtEGCKuYXdUHJbeLDZlkiSSWWT0g7x2pM/edit#gid=999382323"", ""LU List Maths (Filter)!A:B""), 2, FALSE)"),"Definition of concentric circles")</f>
        <v>Definition of concentric circles</v>
      </c>
      <c r="I149" s="10" t="str">
        <f t="shared" si="0"/>
        <v>LU000498.001</v>
      </c>
      <c r="J149" s="10" t="str">
        <f ca="1">IFERROR(__xludf.DUMMYFUNCTION("VLOOKUP(I149, IMPORTRANGE(""https://docs.google.com/spreadsheets/d/1yDAaXNsi4Mr5FtRQL4tbmSdIzhx6_m4wkOD7IG-k_eo/edit#gid=0"", ""Maths!M:N""), 2, FALSE)"),"Define concentric circles.")</f>
        <v>Define concentric circles.</v>
      </c>
      <c r="K149" s="10" t="str">
        <f t="shared" si="1"/>
        <v>LU000498.002</v>
      </c>
      <c r="L149" s="10" t="str">
        <f ca="1">IFERROR(__xludf.DUMMYFUNCTION("VLOOKUP(K149, IMPORTRANGE(""https://docs.google.com/spreadsheets/d/1yDAaXNsi4Mr5FtRQL4tbmSdIzhx6_m4wkOD7IG-k_eo/edit#gid=0"", ""Maths!M:N""), 2, FALSE)"),"Describe how concentric circles are formed by placing circles with varying radii around a common point.")</f>
        <v>Describe how concentric circles are formed by placing circles with varying radii around a common point.</v>
      </c>
      <c r="M149" s="10" t="str">
        <f t="shared" si="2"/>
        <v>LU000498.003</v>
      </c>
      <c r="N149" s="10" t="str">
        <f ca="1">IFERROR(__xludf.DUMMYFUNCTION("VLOOKUP(M149, IMPORTRANGE(""https://docs.google.com/spreadsheets/d/1yDAaXNsi4Mr5FtRQL4tbmSdIzhx6_m4wkOD7IG-k_eo/edit#gid=0"", ""Maths!M:N""), 2, FALSE)"),"Calculate the circumference of inner and/outer circle, given two concentric circles.")</f>
        <v>Calculate the circumference of inner and/outer circle, given two concentric circles.</v>
      </c>
      <c r="O149" s="10" t="str">
        <f t="shared" si="3"/>
        <v>LU000498.004</v>
      </c>
      <c r="P149" s="10" t="str">
        <f ca="1">IFERROR(__xludf.DUMMYFUNCTION("VLOOKUP(O149, IMPORTRANGE(""https://docs.google.com/spreadsheets/d/1yDAaXNsi4Mr5FtRQL4tbmSdIzhx6_m4wkOD7IG-k_eo/edit#gid=0"", ""Maths!M:N""), 2, FALSE)"),"Analyse the relationship between radii of concentric circles and their common center.")</f>
        <v>Analyse the relationship between radii of concentric circles and their common center.</v>
      </c>
      <c r="Q149" s="10" t="str">
        <f t="shared" si="4"/>
        <v>LU000498.005</v>
      </c>
      <c r="R149" s="10" t="str">
        <f ca="1">IFERROR(__xludf.DUMMYFUNCTION("VLOOKUP(Q149, IMPORTRANGE(""https://docs.google.com/spreadsheets/d/1yDAaXNsi4Mr5FtRQL4tbmSdIzhx6_m4wkOD7IG-k_eo/edit#gid=0"", ""Maths!M:N""), 2, FALSE)"),"Assess the role of concentric circles in creating visually appealing decorations.")</f>
        <v>Assess the role of concentric circles in creating visually appealing decorations.</v>
      </c>
      <c r="S149" s="10" t="str">
        <f t="shared" si="5"/>
        <v>LU000498.006</v>
      </c>
      <c r="T149" s="10" t="str">
        <f ca="1">IFERROR(__xludf.DUMMYFUNCTION("VLOOKUP(S149, IMPORTRANGE(""https://docs.google.com/spreadsheets/d/1yDAaXNsi4Mr5FtRQL4tbmSdIzhx6_m4wkOD7IG-k_eo/edit#gid=0"", ""Maths!M:N""), 2, FALSE)"),"Construct an artwork showcasing concentric circles with different radii, aiming to illustrate their concept visually.")</f>
        <v>Construct an artwork showcasing concentric circles with different radii, aiming to illustrate their concept visually.</v>
      </c>
      <c r="U149" s="11">
        <f ca="1">IFERROR(__xludf.DUMMYFUNCTION("ArrayFormula(VLOOKUP(G149, IMPORTRANGE(""https://docs.google.com/spreadsheets/d/1p7R4vtkWt5VOBim4ltsDG9KTzSjrtKXsMtQGXPHyND0/edit#gid=795171502"", ""'Filter 30_05_2024'!A1:M2000""), {2, 3, 4, 5,6,7,8,9,10,11,12,13}, 0))"),4)</f>
        <v>4</v>
      </c>
      <c r="V149" s="11">
        <f ca="1">IFERROR(__xludf.DUMMYFUNCTION("""COMPUTED_VALUE"""),4)</f>
        <v>4</v>
      </c>
      <c r="W149" s="11">
        <f ca="1">IFERROR(__xludf.DUMMYFUNCTION("""COMPUTED_VALUE"""),2)</f>
        <v>2</v>
      </c>
      <c r="X149" s="11">
        <f ca="1">IFERROR(__xludf.DUMMYFUNCTION("""COMPUTED_VALUE"""),10)</f>
        <v>10</v>
      </c>
      <c r="Y149" s="11">
        <f ca="1">IFERROR(__xludf.DUMMYFUNCTION("""COMPUTED_VALUE"""),4)</f>
        <v>4</v>
      </c>
      <c r="Z149" s="12">
        <f ca="1">IFERROR(__xludf.DUMMYFUNCTION("""COMPUTED_VALUE"""),3)</f>
        <v>3</v>
      </c>
      <c r="AA149" s="12">
        <f ca="1">IFERROR(__xludf.DUMMYFUNCTION("""COMPUTED_VALUE"""),1)</f>
        <v>1</v>
      </c>
      <c r="AB149" s="12">
        <f ca="1">IFERROR(__xludf.DUMMYFUNCTION("""COMPUTED_VALUE"""),8)</f>
        <v>8</v>
      </c>
      <c r="AC149" s="12"/>
      <c r="AD149" s="12"/>
      <c r="AE149" s="12"/>
      <c r="AF149" s="12"/>
      <c r="AG149" s="13" t="str">
        <f ca="1">IFERROR(__xludf.DUMMYFUNCTION("ArrayFormula(VLOOKUP(G149, IMPORTRANGE(""https://docs.google.com/spreadsheets/d/1Co934fvtviyaRiMsrIlT05Jaq7iiYq07aLvRr35KA48/edit?gid=173865642#gid=173865642"", ""'G7_Maths_Pri_LU'!G2:V2000""), {3, 4, 5, 6, 7, 8, 9, 10, 11, 12, 13, 14, 15, 16}, 0))"),"LU000231")</f>
        <v>LU000231</v>
      </c>
      <c r="AH149" s="13" t="str">
        <f ca="1">IFERROR(__xludf.DUMMYFUNCTION("""COMPUTED_VALUE"""),"Definition of circle")</f>
        <v>Definition of circle</v>
      </c>
      <c r="AI149" s="13" t="str">
        <f ca="1">IFERROR(__xludf.DUMMYFUNCTION("""COMPUTED_VALUE"""),"LU000232")</f>
        <v>LU000232</v>
      </c>
      <c r="AJ149" s="13" t="str">
        <f ca="1">IFERROR(__xludf.DUMMYFUNCTION("""COMPUTED_VALUE"""),"Elements of circle (Centre, radius, diameter)")</f>
        <v>Elements of circle (Centre, radius, diameter)</v>
      </c>
      <c r="AK149" s="13" t="str">
        <f ca="1">IFERROR(__xludf.DUMMYFUNCTION("""COMPUTED_VALUE"""),"LU000493")</f>
        <v>LU000493</v>
      </c>
      <c r="AL149" s="13" t="str">
        <f ca="1">IFERROR(__xludf.DUMMYFUNCTION("""COMPUTED_VALUE"""),"Relationship between the diameter and the circumference of the circle")</f>
        <v>Relationship between the diameter and the circumference of the circle</v>
      </c>
      <c r="AM149" s="13"/>
      <c r="AN149" s="13"/>
      <c r="AO149" s="13"/>
      <c r="AP149" s="13"/>
      <c r="AQ149" s="13"/>
      <c r="AR149" s="13"/>
      <c r="AS149" s="13"/>
      <c r="AT149" s="13"/>
    </row>
    <row r="150" spans="1:46">
      <c r="A150" s="8" t="s">
        <v>247</v>
      </c>
      <c r="B150" s="8" t="s">
        <v>47</v>
      </c>
      <c r="C150" s="8" t="s">
        <v>416</v>
      </c>
      <c r="D150" s="8" t="s">
        <v>49</v>
      </c>
      <c r="E150" s="8" t="s">
        <v>151</v>
      </c>
      <c r="F150" s="8" t="s">
        <v>628</v>
      </c>
      <c r="G150" s="8" t="s">
        <v>630</v>
      </c>
      <c r="H150" s="8" t="str">
        <f ca="1">IFERROR(__xludf.DUMMYFUNCTION("VLOOKUP(G150, IMPORTRANGE(""https://docs.google.com/spreadsheets/d/14deopnvwcrKtEGCKuYXdUHJbeLDZlkiSSWWT0g7x2pM/edit#gid=999382323"", ""LU List Maths (Filter)!A:B""), 2, FALSE)"),"Area between two concentric circles")</f>
        <v>Area between two concentric circles</v>
      </c>
      <c r="I150" s="10" t="str">
        <f t="shared" si="0"/>
        <v>LU000499.001</v>
      </c>
      <c r="J150" s="10" t="str">
        <f ca="1">IFERROR(__xludf.DUMMYFUNCTION("VLOOKUP(I150, IMPORTRANGE(""https://docs.google.com/spreadsheets/d/1yDAaXNsi4Mr5FtRQL4tbmSdIzhx6_m4wkOD7IG-k_eo/edit#gid=0"", ""Maths!M:N""), 2, FALSE)"),"Recall the formula for the area between two concentric circles.")</f>
        <v>Recall the formula for the area between two concentric circles.</v>
      </c>
      <c r="K150" s="10" t="str">
        <f t="shared" si="1"/>
        <v>LU000499.002</v>
      </c>
      <c r="L150" s="10" t="str">
        <f ca="1">IFERROR(__xludf.DUMMYFUNCTION("VLOOKUP(K150, IMPORTRANGE(""https://docs.google.com/spreadsheets/d/1yDAaXNsi4Mr5FtRQL4tbmSdIzhx6_m4wkOD7IG-k_eo/edit#gid=0"", ""Maths!M:N""), 2, FALSE)"),"Describe the process of deducing the formula for the area between concentric circles based on their radii.")</f>
        <v>Describe the process of deducing the formula for the area between concentric circles based on their radii.</v>
      </c>
      <c r="M150" s="10" t="str">
        <f t="shared" si="2"/>
        <v>LU000499.003</v>
      </c>
      <c r="N150" s="10" t="str">
        <f ca="1">IFERROR(__xludf.DUMMYFUNCTION("VLOOKUP(M150, IMPORTRANGE(""https://docs.google.com/spreadsheets/d/1yDAaXNsi4Mr5FtRQL4tbmSdIzhx6_m4wkOD7IG-k_eo/edit#gid=0"", ""Maths!M:N""), 2, FALSE)"),"Apply the area of circle formula to determine the area between given concentric circles.")</f>
        <v>Apply the area of circle formula to determine the area between given concentric circles.</v>
      </c>
      <c r="O150" s="10" t="str">
        <f t="shared" si="3"/>
        <v>LU000499.004</v>
      </c>
      <c r="P150" s="10" t="str">
        <f ca="1">IFERROR(__xludf.DUMMYFUNCTION("VLOOKUP(O150, IMPORTRANGE(""https://docs.google.com/spreadsheets/d/1yDAaXNsi4Mr5FtRQL4tbmSdIzhx6_m4wkOD7IG-k_eo/edit#gid=0"", ""Maths!M:N""), 2, FALSE)"),"Investigate how altering the radii of concentric circles affects the area between them.")</f>
        <v>Investigate how altering the radii of concentric circles affects the area between them.</v>
      </c>
      <c r="Q150" s="10" t="str">
        <f t="shared" si="4"/>
        <v>LU000499.005</v>
      </c>
      <c r="R150" s="10" t="str">
        <f ca="1">IFERROR(__xludf.DUMMYFUNCTION("VLOOKUP(Q150, IMPORTRANGE(""https://docs.google.com/spreadsheets/d/1yDAaXNsi4Mr5FtRQL4tbmSdIzhx6_m4wkOD7IG-k_eo/edit#gid=0"", ""Maths!M:N""), 2, FALSE)"),"Evaluate whether the area between two concentric circles increases or decreases when the difference between their radii changes.")</f>
        <v>Evaluate whether the area between two concentric circles increases or decreases when the difference between their radii changes.</v>
      </c>
      <c r="S150" s="10" t="str">
        <f t="shared" si="5"/>
        <v>LU000499.006</v>
      </c>
      <c r="T150" s="10" t="str">
        <f ca="1">IFERROR(__xludf.DUMMYFUNCTION("VLOOKUP(S150, IMPORTRANGE(""https://docs.google.com/spreadsheets/d/1yDAaXNsi4Mr5FtRQL4tbmSdIzhx6_m4wkOD7IG-k_eo/edit#gid=0"", ""Maths!M:N""), 2, FALSE)"),"Design an experiment to demonstrate the relationship between the radii and the area between concentric circles.")</f>
        <v>Design an experiment to demonstrate the relationship between the radii and the area between concentric circles.</v>
      </c>
      <c r="U150" s="11">
        <f ca="1">IFERROR(__xludf.DUMMYFUNCTION("ArrayFormula(VLOOKUP(G150, IMPORTRANGE(""https://docs.google.com/spreadsheets/d/1p7R4vtkWt5VOBim4ltsDG9KTzSjrtKXsMtQGXPHyND0/edit#gid=795171502"", ""'Filter 30_05_2024'!A1:M2000""), {2, 3, 4, 5,6,7,8,9,10,11,12,13}, 0))"),4)</f>
        <v>4</v>
      </c>
      <c r="V150" s="11">
        <f ca="1">IFERROR(__xludf.DUMMYFUNCTION("""COMPUTED_VALUE"""),6)</f>
        <v>6</v>
      </c>
      <c r="W150" s="11">
        <f ca="1">IFERROR(__xludf.DUMMYFUNCTION("""COMPUTED_VALUE"""),2)</f>
        <v>2</v>
      </c>
      <c r="X150" s="11">
        <f ca="1">IFERROR(__xludf.DUMMYFUNCTION("""COMPUTED_VALUE"""),12)</f>
        <v>12</v>
      </c>
      <c r="Y150" s="11">
        <f ca="1">IFERROR(__xludf.DUMMYFUNCTION("""COMPUTED_VALUE"""),4)</f>
        <v>4</v>
      </c>
      <c r="Z150" s="12">
        <f ca="1">IFERROR(__xludf.DUMMYFUNCTION("""COMPUTED_VALUE"""),3)</f>
        <v>3</v>
      </c>
      <c r="AA150" s="12">
        <f ca="1">IFERROR(__xludf.DUMMYFUNCTION("""COMPUTED_VALUE"""),1)</f>
        <v>1</v>
      </c>
      <c r="AB150" s="12">
        <f ca="1">IFERROR(__xludf.DUMMYFUNCTION("""COMPUTED_VALUE"""),8)</f>
        <v>8</v>
      </c>
      <c r="AC150" s="12"/>
      <c r="AD150" s="12"/>
      <c r="AE150" s="12"/>
      <c r="AF150" s="12"/>
      <c r="AG150" s="13" t="str">
        <f ca="1">IFERROR(__xludf.DUMMYFUNCTION("ArrayFormula(VLOOKUP(G150, IMPORTRANGE(""https://docs.google.com/spreadsheets/d/1Co934fvtviyaRiMsrIlT05Jaq7iiYq07aLvRr35KA48/edit?gid=173865642#gid=173865642"", ""'G7_Maths_Pri_LU'!G2:V2000""), {3, 4, 5, 6, 7, 8, 9, 10, 11, 12, 13, 14, 15, 16}, 0))"),"LU000498")</f>
        <v>LU000498</v>
      </c>
      <c r="AH150" s="13" t="str">
        <f ca="1">IFERROR(__xludf.DUMMYFUNCTION("""COMPUTED_VALUE"""),"Definition of concentric circles")</f>
        <v>Definition of concentric circles</v>
      </c>
      <c r="AI150" s="13" t="str">
        <f ca="1">IFERROR(__xludf.DUMMYFUNCTION("""COMPUTED_VALUE"""),"LU000495")</f>
        <v>LU000495</v>
      </c>
      <c r="AJ150" s="13" t="str">
        <f ca="1">IFERROR(__xludf.DUMMYFUNCTION("""COMPUTED_VALUE"""),"Area of a circle")</f>
        <v>Area of a circle</v>
      </c>
      <c r="AK150" s="13" t="str">
        <f ca="1">IFERROR(__xludf.DUMMYFUNCTION("""COMPUTED_VALUE"""),"LU000493")</f>
        <v>LU000493</v>
      </c>
      <c r="AL150" s="13" t="str">
        <f ca="1">IFERROR(__xludf.DUMMYFUNCTION("""COMPUTED_VALUE"""),"Relationship between the diameter and the circumference of the circle")</f>
        <v>Relationship between the diameter and the circumference of the circle</v>
      </c>
      <c r="AM150" s="13" t="str">
        <f ca="1">IFERROR(__xludf.DUMMYFUNCTION("""COMPUTED_VALUE"""),"LU000232")</f>
        <v>LU000232</v>
      </c>
      <c r="AN150" s="13" t="str">
        <f ca="1">IFERROR(__xludf.DUMMYFUNCTION("""COMPUTED_VALUE"""),"Elements of circle (Centre, radius, diameter)")</f>
        <v>Elements of circle (Centre, radius, diameter)</v>
      </c>
      <c r="AO150" s="13"/>
      <c r="AP150" s="13"/>
      <c r="AQ150" s="13"/>
      <c r="AR150" s="13"/>
      <c r="AS150" s="13"/>
      <c r="AT150" s="13"/>
    </row>
    <row r="151" spans="1:46">
      <c r="A151" s="8" t="s">
        <v>247</v>
      </c>
      <c r="B151" s="8" t="s">
        <v>47</v>
      </c>
      <c r="C151" s="8" t="s">
        <v>416</v>
      </c>
      <c r="D151" s="8" t="s">
        <v>49</v>
      </c>
      <c r="E151" s="8" t="s">
        <v>631</v>
      </c>
      <c r="F151" s="8" t="s">
        <v>632</v>
      </c>
      <c r="G151" s="8" t="s">
        <v>633</v>
      </c>
      <c r="H151" s="8" t="str">
        <f ca="1">IFERROR(__xludf.DUMMYFUNCTION("VLOOKUP(G151, IMPORTRANGE(""https://docs.google.com/spreadsheets/d/14deopnvwcrKtEGCKuYXdUHJbeLDZlkiSSWWT0g7x2pM/edit#gid=999382323"", ""LU List Maths (Filter)!A:B""), 2, FALSE)"),"Definition of exponent of a number")</f>
        <v>Definition of exponent of a number</v>
      </c>
      <c r="I151" s="10" t="str">
        <f t="shared" si="0"/>
        <v>LU000517.001</v>
      </c>
      <c r="J151" s="10" t="str">
        <f ca="1">IFERROR(__xludf.DUMMYFUNCTION("VLOOKUP(I151, IMPORTRANGE(""https://docs.google.com/spreadsheets/d/1yDAaXNsi4Mr5FtRQL4tbmSdIzhx6_m4wkOD7IG-k_eo/edit#gid=0"", ""Maths!M:N""), 2, FALSE)"),"State that in the expression ""3^4,"" the exponent is 4, which indicates that 3 is multiplied by itself four times.")</f>
        <v>State that in the expression "3^4," the exponent is 4, which indicates that 3 is multiplied by itself four times.</v>
      </c>
      <c r="K151" s="10" t="str">
        <f t="shared" si="1"/>
        <v>LU000517.002</v>
      </c>
      <c r="L151" s="10" t="str">
        <f ca="1">IFERROR(__xludf.DUMMYFUNCTION("VLOOKUP(K151, IMPORTRANGE(""https://docs.google.com/spreadsheets/d/1yDAaXNsi4Mr5FtRQL4tbmSdIzhx6_m4wkOD7IG-k_eo/edit#gid=0"", ""Maths!M:N""), 2, FALSE)"),"Explain the significance of an exponent in indicating repeated multiplication.")</f>
        <v>Explain the significance of an exponent in indicating repeated multiplication.</v>
      </c>
      <c r="M151" s="10" t="str">
        <f t="shared" si="2"/>
        <v>LU000517.003</v>
      </c>
      <c r="N151" s="10" t="str">
        <f ca="1">IFERROR(__xludf.DUMMYFUNCTION("VLOOKUP(M151, IMPORTRANGE(""https://docs.google.com/spreadsheets/d/1yDAaXNsi4Mr5FtRQL4tbmSdIzhx6_m4wkOD7IG-k_eo/edit#gid=0"", ""Maths!M:N""), 2, FALSE)"),"Calculate the value of expressions with exponents, applying the definition of an exponent.")</f>
        <v>Calculate the value of expressions with exponents, applying the definition of an exponent.</v>
      </c>
      <c r="O151" s="10" t="str">
        <f t="shared" si="3"/>
        <v>LU000517.004</v>
      </c>
      <c r="P151" s="10" t="str">
        <f ca="1">IFERROR(__xludf.DUMMYFUNCTION("VLOOKUP(O151, IMPORTRANGE(""https://docs.google.com/spreadsheets/d/1yDAaXNsi4Mr5FtRQL4tbmSdIzhx6_m4wkOD7IG-k_eo/edit#gid=0"", ""Maths!M:N""), 2, FALSE)"),"Analyse different expressions with powers, identifying the base and the exponent in each expression.")</f>
        <v>Analyse different expressions with powers, identifying the base and the exponent in each expression.</v>
      </c>
      <c r="Q151" s="10" t="str">
        <f t="shared" si="4"/>
        <v>LU000517.005</v>
      </c>
      <c r="R151" s="10" t="str">
        <f ca="1">IFERROR(__xludf.DUMMYFUNCTION("VLOOKUP(Q151, IMPORTRANGE(""https://docs.google.com/spreadsheets/d/1yDAaXNsi4Mr5FtRQL4tbmSdIzhx6_m4wkOD7IG-k_eo/edit#gid=0"", ""Maths!M:N""), 2, FALSE)"),"Evaluate the significance of exponents in representing large numbers and compactly expressing repeated operations.")</f>
        <v>Evaluate the significance of exponents in representing large numbers and compactly expressing repeated operations.</v>
      </c>
      <c r="S151" s="10" t="str">
        <f t="shared" si="5"/>
        <v>LU000517.006</v>
      </c>
      <c r="T151" s="10" t="str">
        <f ca="1">IFERROR(__xludf.DUMMYFUNCTION("VLOOKUP(S151, IMPORTRANGE(""https://docs.google.com/spreadsheets/d/1yDAaXNsi4Mr5FtRQL4tbmSdIzhx6_m4wkOD7IG-k_eo/edit#gid=0"", ""Maths!M:N""), 2, FALSE)"),"Design a set of expressions that require using exponents to represent repeated multiplications.")</f>
        <v>Design a set of expressions that require using exponents to represent repeated multiplications.</v>
      </c>
      <c r="U151" s="11">
        <f ca="1">IFERROR(__xludf.DUMMYFUNCTION("ArrayFormula(VLOOKUP(G151, IMPORTRANGE(""https://docs.google.com/spreadsheets/d/1p7R4vtkWt5VOBim4ltsDG9KTzSjrtKXsMtQGXPHyND0/edit#gid=795171502"", ""'Filter 30_05_2024'!A1:M2000""), {2, 3, 4, 5,6,7,8,9,10,11,12,13}, 0))"),4)</f>
        <v>4</v>
      </c>
      <c r="V151" s="11">
        <f ca="1">IFERROR(__xludf.DUMMYFUNCTION("""COMPUTED_VALUE"""),12)</f>
        <v>12</v>
      </c>
      <c r="W151" s="11">
        <f ca="1">IFERROR(__xludf.DUMMYFUNCTION("""COMPUTED_VALUE"""),16)</f>
        <v>16</v>
      </c>
      <c r="X151" s="11">
        <f ca="1">IFERROR(__xludf.DUMMYFUNCTION("""COMPUTED_VALUE"""),32)</f>
        <v>32</v>
      </c>
      <c r="Y151" s="11">
        <f ca="1">IFERROR(__xludf.DUMMYFUNCTION("""COMPUTED_VALUE"""),4)</f>
        <v>4</v>
      </c>
      <c r="Z151" s="12">
        <f ca="1">IFERROR(__xludf.DUMMYFUNCTION("""COMPUTED_VALUE"""),3)</f>
        <v>3</v>
      </c>
      <c r="AA151" s="12">
        <f ca="1">IFERROR(__xludf.DUMMYFUNCTION("""COMPUTED_VALUE"""),5)</f>
        <v>5</v>
      </c>
      <c r="AB151" s="12">
        <f ca="1">IFERROR(__xludf.DUMMYFUNCTION("""COMPUTED_VALUE"""),12)</f>
        <v>12</v>
      </c>
      <c r="AC151" s="12"/>
      <c r="AD151" s="12"/>
      <c r="AE151" s="12"/>
      <c r="AF151" s="12"/>
      <c r="AG151" s="13" t="str">
        <f ca="1">IFERROR(__xludf.DUMMYFUNCTION("ArrayFormula(VLOOKUP(G151, IMPORTRANGE(""https://docs.google.com/spreadsheets/d/1Co934fvtviyaRiMsrIlT05Jaq7iiYq07aLvRr35KA48/edit?gid=173865642#gid=173865642"", ""'G7_Maths_Pri_LU'!G2:V2000""), {3, 4, 5, 6, 7, 8, 9, 10, 11, 12, 13, 14, 15, 16}, 0))"),"LU000355")</f>
        <v>LU000355</v>
      </c>
      <c r="AH151" s="13" t="str">
        <f ca="1">IFERROR(__xludf.DUMMYFUNCTION("""COMPUTED_VALUE"""),"Multiplication of two integers")</f>
        <v>Multiplication of two integers</v>
      </c>
      <c r="AI151" s="13"/>
      <c r="AJ151" s="13"/>
      <c r="AK151" s="13"/>
      <c r="AL151" s="13"/>
      <c r="AM151" s="13"/>
      <c r="AN151" s="13"/>
      <c r="AO151" s="13"/>
      <c r="AP151" s="13"/>
      <c r="AQ151" s="13"/>
      <c r="AR151" s="13"/>
      <c r="AS151" s="13"/>
      <c r="AT151" s="13"/>
    </row>
    <row r="152" spans="1:46">
      <c r="A152" s="8" t="s">
        <v>247</v>
      </c>
      <c r="B152" s="8" t="s">
        <v>47</v>
      </c>
      <c r="C152" s="8" t="s">
        <v>416</v>
      </c>
      <c r="D152" s="8" t="s">
        <v>49</v>
      </c>
      <c r="E152" s="8" t="s">
        <v>631</v>
      </c>
      <c r="F152" s="8" t="s">
        <v>632</v>
      </c>
      <c r="G152" s="8" t="s">
        <v>634</v>
      </c>
      <c r="H152" s="8" t="str">
        <f ca="1">IFERROR(__xludf.DUMMYFUNCTION("VLOOKUP(G152, IMPORTRANGE(""https://docs.google.com/spreadsheets/d/14deopnvwcrKtEGCKuYXdUHJbeLDZlkiSSWWT0g7x2pM/edit#gid=999382323"", ""LU List Maths (Filter)!A:B""), 2, FALSE)"),"Definition of base of a number")</f>
        <v>Definition of base of a number</v>
      </c>
      <c r="I152" s="10" t="str">
        <f t="shared" si="0"/>
        <v>LU000518.001</v>
      </c>
      <c r="J152" s="10" t="str">
        <f ca="1">IFERROR(__xludf.DUMMYFUNCTION("VLOOKUP(I152, IMPORTRANGE(""https://docs.google.com/spreadsheets/d/1yDAaXNsi4Mr5FtRQL4tbmSdIzhx6_m4wkOD7IG-k_eo/edit#gid=0"", ""Maths!M:N""), 2, FALSE)"),"State that in the expression like ""2^3,"" the base is 2, which is the fundamental value being raised to the third power.")</f>
        <v>State that in the expression like "2^3," the base is 2, which is the fundamental value being raised to the third power.</v>
      </c>
      <c r="K152" s="10" t="str">
        <f t="shared" si="1"/>
        <v>LU000518.002</v>
      </c>
      <c r="L152" s="10" t="str">
        <f ca="1">IFERROR(__xludf.DUMMYFUNCTION("VLOOKUP(K152, IMPORTRANGE(""https://docs.google.com/spreadsheets/d/1yDAaXNsi4Mr5FtRQL4tbmSdIzhx6_m4wkOD7IG-k_eo/edit#gid=0"", ""Maths!M:N""), 2, FALSE)"),"Explain why the base is a crucial component in powers and how it influences the result.")</f>
        <v>Explain why the base is a crucial component in powers and how it influences the result.</v>
      </c>
      <c r="M152" s="10" t="str">
        <f t="shared" si="2"/>
        <v>LU000518.003</v>
      </c>
      <c r="N152" s="10" t="str">
        <f ca="1">IFERROR(__xludf.DUMMYFUNCTION("VLOOKUP(M152, IMPORTRANGE(""https://docs.google.com/spreadsheets/d/1yDAaXNsi4Mr5FtRQL4tbmSdIzhx6_m4wkOD7IG-k_eo/edit#gid=0"", ""Maths!M:N""), 2, FALSE)"),"Identify the base in different expressions involving powers and use it to calculate the power's value.")</f>
        <v>Identify the base in different expressions involving powers and use it to calculate the power's value.</v>
      </c>
      <c r="O152" s="10" t="str">
        <f t="shared" si="3"/>
        <v>LU000518.004</v>
      </c>
      <c r="P152" s="10" t="str">
        <f ca="1">IFERROR(__xludf.DUMMYFUNCTION("VLOOKUP(O152, IMPORTRANGE(""https://docs.google.com/spreadsheets/d/1yDAaXNsi4Mr5FtRQL4tbmSdIzhx6_m4wkOD7IG-k_eo/edit#gid=0"", ""Maths!M:N""), 2, FALSE)"),"Analyse various expressions with powers, focusing on recognising the base and understanding its significance.")</f>
        <v>Analyse various expressions with powers, focusing on recognising the base and understanding its significance.</v>
      </c>
      <c r="Q152" s="10" t="str">
        <f t="shared" si="4"/>
        <v>LU000518.005</v>
      </c>
      <c r="R152" s="10" t="str">
        <f ca="1">IFERROR(__xludf.DUMMYFUNCTION("VLOOKUP(Q152, IMPORTRANGE(""https://docs.google.com/spreadsheets/d/1yDAaXNsi4Mr5FtRQL4tbmSdIzhx6_m4wkOD7IG-k_eo/edit#gid=0"", ""Maths!M:N""), 2, FALSE)"),"Compare the numbers expressed in exponential form and evaluate the impact of different bases on the values of numbers.")</f>
        <v>Compare the numbers expressed in exponential form and evaluate the impact of different bases on the values of numbers.</v>
      </c>
      <c r="S152" s="10" t="str">
        <f t="shared" si="5"/>
        <v>LU000518.006</v>
      </c>
      <c r="T152" s="10" t="str">
        <f ca="1">IFERROR(__xludf.DUMMYFUNCTION("VLOOKUP(S152, IMPORTRANGE(""https://docs.google.com/spreadsheets/d/1yDAaXNsi4Mr5FtRQL4tbmSdIzhx6_m4wkOD7IG-k_eo/edit#gid=0"", ""Maths!M:N""), 2, FALSE)"),"Create a set of expressions (like 10^2, 8^3, and 12^4), identify the bases and calculate the powers' values.")</f>
        <v>Create a set of expressions (like 10^2, 8^3, and 12^4), identify the bases and calculate the powers' values.</v>
      </c>
      <c r="U152" s="11">
        <f ca="1">IFERROR(__xludf.DUMMYFUNCTION("ArrayFormula(VLOOKUP(G152, IMPORTRANGE(""https://docs.google.com/spreadsheets/d/1p7R4vtkWt5VOBim4ltsDG9KTzSjrtKXsMtQGXPHyND0/edit#gid=795171502"", ""'Filter 30_05_2024'!A1:M2000""), {2, 3, 4, 5,6,7,8,9,10,11,12,13}, 0))"),4)</f>
        <v>4</v>
      </c>
      <c r="V152" s="11">
        <f ca="1">IFERROR(__xludf.DUMMYFUNCTION("""COMPUTED_VALUE"""),6)</f>
        <v>6</v>
      </c>
      <c r="W152" s="11">
        <f ca="1">IFERROR(__xludf.DUMMYFUNCTION("""COMPUTED_VALUE"""),21)</f>
        <v>21</v>
      </c>
      <c r="X152" s="11">
        <f ca="1">IFERROR(__xludf.DUMMYFUNCTION("""COMPUTED_VALUE"""),31)</f>
        <v>31</v>
      </c>
      <c r="Y152" s="11">
        <f ca="1">IFERROR(__xludf.DUMMYFUNCTION("""COMPUTED_VALUE"""),4)</f>
        <v>4</v>
      </c>
      <c r="Z152" s="12">
        <f ca="1">IFERROR(__xludf.DUMMYFUNCTION("""COMPUTED_VALUE"""),3)</f>
        <v>3</v>
      </c>
      <c r="AA152" s="12">
        <f ca="1">IFERROR(__xludf.DUMMYFUNCTION("""COMPUTED_VALUE"""),7)</f>
        <v>7</v>
      </c>
      <c r="AB152" s="12">
        <f ca="1">IFERROR(__xludf.DUMMYFUNCTION("""COMPUTED_VALUE"""),14)</f>
        <v>14</v>
      </c>
      <c r="AC152" s="12"/>
      <c r="AD152" s="12"/>
      <c r="AE152" s="12"/>
      <c r="AF152" s="12"/>
      <c r="AG152" s="13" t="str">
        <f ca="1">IFERROR(__xludf.DUMMYFUNCTION("ArrayFormula(VLOOKUP(G152, IMPORTRANGE(""https://docs.google.com/spreadsheets/d/1Co934fvtviyaRiMsrIlT05Jaq7iiYq07aLvRr35KA48/edit?gid=173865642#gid=173865642"", ""'G7_Maths_Pri_LU'!G2:V2000""), {3, 4, 5, 6, 7, 8, 9, 10, 11, 12, 13, 14, 15, 16}, 0))"),"LU000176")</f>
        <v>LU000176</v>
      </c>
      <c r="AH152" s="13" t="str">
        <f ca="1">IFERROR(__xludf.DUMMYFUNCTION("""COMPUTED_VALUE"""),"Definition of whole number")</f>
        <v>Definition of whole number</v>
      </c>
      <c r="AI152" s="13"/>
      <c r="AJ152" s="13"/>
      <c r="AK152" s="13"/>
      <c r="AL152" s="13"/>
      <c r="AM152" s="13"/>
      <c r="AN152" s="13"/>
      <c r="AO152" s="13"/>
      <c r="AP152" s="13"/>
      <c r="AQ152" s="13"/>
      <c r="AR152" s="13"/>
      <c r="AS152" s="13"/>
      <c r="AT152" s="13"/>
    </row>
    <row r="153" spans="1:46">
      <c r="A153" s="8" t="s">
        <v>247</v>
      </c>
      <c r="B153" s="8" t="s">
        <v>47</v>
      </c>
      <c r="C153" s="8" t="s">
        <v>416</v>
      </c>
      <c r="D153" s="8" t="s">
        <v>49</v>
      </c>
      <c r="E153" s="8" t="s">
        <v>631</v>
      </c>
      <c r="F153" s="8" t="s">
        <v>635</v>
      </c>
      <c r="G153" s="8" t="s">
        <v>636</v>
      </c>
      <c r="H153" s="8" t="str">
        <f ca="1">IFERROR(__xludf.DUMMYFUNCTION("VLOOKUP(G153, IMPORTRANGE(""https://docs.google.com/spreadsheets/d/14deopnvwcrKtEGCKuYXdUHJbeLDZlkiSSWWT0g7x2pM/edit#gid=999382323"", ""LU List Maths (Filter)!A:B""), 2, FALSE)"),"Write whole numbers in exponential form")</f>
        <v>Write whole numbers in exponential form</v>
      </c>
      <c r="I153" s="10" t="str">
        <f t="shared" si="0"/>
        <v>LU000519.001</v>
      </c>
      <c r="J153" s="10" t="str">
        <f ca="1">IFERROR(__xludf.DUMMYFUNCTION("VLOOKUP(I153, IMPORTRANGE(""https://docs.google.com/spreadsheets/d/1yDAaXNsi4Mr5FtRQL4tbmSdIzhx6_m4wkOD7IG-k_eo/edit#gid=0"", ""Maths!M:N""), 2, FALSE)"),"State that the exponential form represents a whole number like ""5"" as ""5^1,"" where ""1"" is the exponent.")</f>
        <v>State that the exponential form represents a whole number like "5" as "5^1," where "1" is the exponent.</v>
      </c>
      <c r="K153" s="10" t="str">
        <f t="shared" si="1"/>
        <v>LU000519.002</v>
      </c>
      <c r="L153" s="10" t="str">
        <f ca="1">IFERROR(__xludf.DUMMYFUNCTION("VLOOKUP(K153, IMPORTRANGE(""https://docs.google.com/spreadsheets/d/1yDAaXNsi4Mr5FtRQL4tbmSdIzhx6_m4wkOD7IG-k_eo/edit#gid=0"", ""Maths!M:N""), 2, FALSE)"),"Describe how writing whole numbers in exponential form makes it easier to handle and compare large values.")</f>
        <v>Describe how writing whole numbers in exponential form makes it easier to handle and compare large values.</v>
      </c>
      <c r="M153" s="10" t="str">
        <f t="shared" si="2"/>
        <v>LU000519.003</v>
      </c>
      <c r="N153" s="10" t="str">
        <f ca="1">IFERROR(__xludf.DUMMYFUNCTION("VLOOKUP(M153, IMPORTRANGE(""https://docs.google.com/spreadsheets/d/1yDAaXNsi4Mr5FtRQL4tbmSdIzhx6_m4wkOD7IG-k_eo/edit#gid=0"", ""Maths!M:N""), 2, FALSE)"),"Convert whole numbers into exponential form.")</f>
        <v>Convert whole numbers into exponential form.</v>
      </c>
      <c r="O153" s="10" t="str">
        <f t="shared" si="3"/>
        <v>LU000519.004</v>
      </c>
      <c r="P153" s="10" t="str">
        <f ca="1">IFERROR(__xludf.DUMMYFUNCTION("VLOOKUP(O153, IMPORTRANGE(""https://docs.google.com/spreadsheets/d/1yDAaXNsi4Mr5FtRQL4tbmSdIzhx6_m4wkOD7IG-k_eo/edit#gid=0"", ""Maths!M:N""), 2, FALSE)"),"Break down whole numbers into their exponential forms, recognising the base and exponent in each case.")</f>
        <v>Break down whole numbers into their exponential forms, recognising the base and exponent in each case.</v>
      </c>
      <c r="Q153" s="10" t="str">
        <f t="shared" si="4"/>
        <v>LU000519.005</v>
      </c>
      <c r="R153" s="10" t="str">
        <f ca="1">IFERROR(__xludf.DUMMYFUNCTION("VLOOKUP(Q153, IMPORTRANGE(""https://docs.google.com/spreadsheets/d/1yDAaXNsi4Mr5FtRQL4tbmSdIzhx6_m4wkOD7IG-k_eo/edit#gid=0"", ""Maths!M:N""), 2, FALSE)"),"Evaluate the advantages of using exponential form for whole numbers in terms of clarity and conciseness.")</f>
        <v>Evaluate the advantages of using exponential form for whole numbers in terms of clarity and conciseness.</v>
      </c>
      <c r="S153" s="10" t="str">
        <f t="shared" si="5"/>
        <v>LU000519.006</v>
      </c>
      <c r="T153" s="10" t="str">
        <f ca="1">IFERROR(__xludf.DUMMYFUNCTION("VLOOKUP(S153, IMPORTRANGE(""https://docs.google.com/spreadsheets/d/1yDAaXNsi4Mr5FtRQL4tbmSdIzhx6_m4wkOD7IG-k_eo/edit#gid=0"", ""Maths!M:N""), 2, FALSE)"),"Create a list of whole numbers and write them in exponential form, reinforcing the skills in this concept.
")</f>
        <v xml:space="preserve">Create a list of whole numbers and write them in exponential form, reinforcing the skills in this concept.
</v>
      </c>
      <c r="U153" s="11">
        <f ca="1">IFERROR(__xludf.DUMMYFUNCTION("ArrayFormula(VLOOKUP(G153, IMPORTRANGE(""https://docs.google.com/spreadsheets/d/1p7R4vtkWt5VOBim4ltsDG9KTzSjrtKXsMtQGXPHyND0/edit#gid=795171502"", ""'Filter 30_05_2024'!A1:M2000""), {2, 3, 4, 5,6,7,8,9,10,11,12,13}, 0))"),4)</f>
        <v>4</v>
      </c>
      <c r="V153" s="11">
        <f ca="1">IFERROR(__xludf.DUMMYFUNCTION("""COMPUTED_VALUE"""),13)</f>
        <v>13</v>
      </c>
      <c r="W153" s="11">
        <f ca="1">IFERROR(__xludf.DUMMYFUNCTION("""COMPUTED_VALUE"""),2)</f>
        <v>2</v>
      </c>
      <c r="X153" s="11">
        <f ca="1">IFERROR(__xludf.DUMMYFUNCTION("""COMPUTED_VALUE"""),19)</f>
        <v>19</v>
      </c>
      <c r="Y153" s="11">
        <f ca="1">IFERROR(__xludf.DUMMYFUNCTION("""COMPUTED_VALUE"""),4)</f>
        <v>4</v>
      </c>
      <c r="Z153" s="12">
        <f ca="1">IFERROR(__xludf.DUMMYFUNCTION("""COMPUTED_VALUE"""),5)</f>
        <v>5</v>
      </c>
      <c r="AA153" s="12">
        <f ca="1">IFERROR(__xludf.DUMMYFUNCTION("""COMPUTED_VALUE"""),1)</f>
        <v>1</v>
      </c>
      <c r="AB153" s="12">
        <f ca="1">IFERROR(__xludf.DUMMYFUNCTION("""COMPUTED_VALUE"""),10)</f>
        <v>10</v>
      </c>
      <c r="AC153" s="12"/>
      <c r="AD153" s="12"/>
      <c r="AE153" s="12"/>
      <c r="AF153" s="12"/>
      <c r="AG153" s="13" t="str">
        <f ca="1">IFERROR(__xludf.DUMMYFUNCTION("ArrayFormula(VLOOKUP(G153, IMPORTRANGE(""https://docs.google.com/spreadsheets/d/1Co934fvtviyaRiMsrIlT05Jaq7iiYq07aLvRr35KA48/edit?gid=173865642#gid=173865642"", ""'G7_Maths_Pri_LU'!G2:V2000""), {3, 4, 5, 6, 7, 8, 9, 10, 11, 12, 13, 14, 15, 16}, 0))"),"LU000210")</f>
        <v>LU000210</v>
      </c>
      <c r="AH153" s="13" t="str">
        <f ca="1">IFERROR(__xludf.DUMMYFUNCTION("""COMPUTED_VALUE"""),"Methods of prime factorisation")</f>
        <v>Methods of prime factorisation</v>
      </c>
      <c r="AI153" s="13" t="str">
        <f ca="1">IFERROR(__xludf.DUMMYFUNCTION("""COMPUTED_VALUE"""),"LU000517")</f>
        <v>LU000517</v>
      </c>
      <c r="AJ153" s="13" t="str">
        <f ca="1">IFERROR(__xludf.DUMMYFUNCTION("""COMPUTED_VALUE"""),"Definition of exponent of a number")</f>
        <v>Definition of exponent of a number</v>
      </c>
      <c r="AK153" s="13" t="str">
        <f ca="1">IFERROR(__xludf.DUMMYFUNCTION("""COMPUTED_VALUE"""),"LU000518")</f>
        <v>LU000518</v>
      </c>
      <c r="AL153" s="13" t="str">
        <f ca="1">IFERROR(__xludf.DUMMYFUNCTION("""COMPUTED_VALUE"""),"Definition of base of a number")</f>
        <v>Definition of base of a number</v>
      </c>
      <c r="AM153" s="13" t="str">
        <f ca="1">IFERROR(__xludf.DUMMYFUNCTION("""COMPUTED_VALUE"""),"LU000265")</f>
        <v>LU000265</v>
      </c>
      <c r="AN153" s="13" t="str">
        <f ca="1">IFERROR(__xludf.DUMMYFUNCTION("""COMPUTED_VALUE"""),"Definition of integers")</f>
        <v>Definition of integers</v>
      </c>
      <c r="AO153" s="13" t="str">
        <f ca="1">IFERROR(__xludf.DUMMYFUNCTION("""COMPUTED_VALUE"""),"LU000176")</f>
        <v>LU000176</v>
      </c>
      <c r="AP153" s="13" t="str">
        <f ca="1">IFERROR(__xludf.DUMMYFUNCTION("""COMPUTED_VALUE"""),"Definition of whole number")</f>
        <v>Definition of whole number</v>
      </c>
      <c r="AQ153" s="13"/>
      <c r="AR153" s="13"/>
      <c r="AS153" s="13"/>
      <c r="AT153" s="13"/>
    </row>
    <row r="154" spans="1:46">
      <c r="A154" s="8" t="s">
        <v>247</v>
      </c>
      <c r="B154" s="8" t="s">
        <v>47</v>
      </c>
      <c r="C154" s="8" t="s">
        <v>416</v>
      </c>
      <c r="D154" s="8" t="s">
        <v>49</v>
      </c>
      <c r="E154" s="8" t="s">
        <v>631</v>
      </c>
      <c r="F154" s="8" t="s">
        <v>635</v>
      </c>
      <c r="G154" s="8" t="s">
        <v>637</v>
      </c>
      <c r="H154" s="8" t="str">
        <f ca="1">IFERROR(__xludf.DUMMYFUNCTION("VLOOKUP(G154, IMPORTRANGE(""https://docs.google.com/spreadsheets/d/14deopnvwcrKtEGCKuYXdUHJbeLDZlkiSSWWT0g7x2pM/edit#gid=999382323"", ""LU List Maths (Filter)!A:B""), 2, FALSE)"),"Convert negative integer numbers to exponential form")</f>
        <v>Convert negative integer numbers to exponential form</v>
      </c>
      <c r="I154" s="10" t="str">
        <f t="shared" si="0"/>
        <v>LU000934.001</v>
      </c>
      <c r="J154" s="10" t="str">
        <f ca="1">IFERROR(__xludf.DUMMYFUNCTION("VLOOKUP(I154, IMPORTRANGE(""https://docs.google.com/spreadsheets/d/1yDAaXNsi4Mr5FtRQL4tbmSdIzhx6_m4wkOD7IG-k_eo/edit#gid=0"", ""Maths!M:N""), 2, FALSE)"),"Recall the definition of negative integer numbers and their representation as fractions in exponential form.")</f>
        <v>Recall the definition of negative integer numbers and their representation as fractions in exponential form.</v>
      </c>
      <c r="K154" s="10" t="str">
        <f t="shared" si="1"/>
        <v>LU000934.002</v>
      </c>
      <c r="L154" s="10" t="str">
        <f ca="1">IFERROR(__xludf.DUMMYFUNCTION("VLOOKUP(K154, IMPORTRANGE(""https://docs.google.com/spreadsheets/d/1yDAaXNsi4Mr5FtRQL4tbmSdIzhx6_m4wkOD7IG-k_eo/edit#gid=0"", ""Maths!M:N""), 2, FALSE)"),"Explain the concept of representing negative integer numbers in exponential form.")</f>
        <v>Explain the concept of representing negative integer numbers in exponential form.</v>
      </c>
      <c r="M154" s="10" t="str">
        <f t="shared" si="2"/>
        <v>LU000934.003</v>
      </c>
      <c r="N154" s="10" t="str">
        <f ca="1">IFERROR(__xludf.DUMMYFUNCTION("VLOOKUP(M154, IMPORTRANGE(""https://docs.google.com/spreadsheets/d/1yDAaXNsi4Mr5FtRQL4tbmSdIzhx6_m4wkOD7IG-k_eo/edit#gid=0"", ""Maths!M:N""), 2, FALSE)"),"Apply the knowledge of integer numbers and exponentiation to convert given negative integer numbers into exponential form.")</f>
        <v>Apply the knowledge of integer numbers and exponentiation to convert given negative integer numbers into exponential form.</v>
      </c>
      <c r="O154" s="10" t="str">
        <f t="shared" si="3"/>
        <v>LU000934.004</v>
      </c>
      <c r="P154" s="10" t="str">
        <f ca="1">IFERROR(__xludf.DUMMYFUNCTION("VLOOKUP(O154, IMPORTRANGE(""https://docs.google.com/spreadsheets/d/1yDAaXNsi4Mr5FtRQL4tbmSdIzhx6_m4wkOD7IG-k_eo/edit#gid=0"", ""Maths!M:N""), 2, FALSE)"),"Analyse different negative integer numbers to identify the relationship between their parts when expressed in exponential form.")</f>
        <v>Analyse different negative integer numbers to identify the relationship between their parts when expressed in exponential form.</v>
      </c>
      <c r="Q154" s="10" t="str">
        <f t="shared" si="4"/>
        <v>LU000934.005</v>
      </c>
      <c r="R154" s="10" t="str">
        <f ca="1">IFERROR(__xludf.DUMMYFUNCTION("VLOOKUP(Q154, IMPORTRANGE(""https://docs.google.com/spreadsheets/d/1yDAaXNsi4Mr5FtRQL4tbmSdIzhx6_m4wkOD7IG-k_eo/edit#gid=0"", ""Maths!M:N""), 2, FALSE)"),"Evaluate the effectiveness of using exponential form to represent negative integer numbers for calculations and comparisons.")</f>
        <v>Evaluate the effectiveness of using exponential form to represent negative integer numbers for calculations and comparisons.</v>
      </c>
      <c r="S154" s="10" t="str">
        <f t="shared" si="5"/>
        <v>LU000934.006</v>
      </c>
      <c r="T154" s="10" t="str">
        <f ca="1">IFERROR(__xludf.DUMMYFUNCTION("VLOOKUP(S154, IMPORTRANGE(""https://docs.google.com/spreadsheets/d/1yDAaXNsi4Mr5FtRQL4tbmSdIzhx6_m4wkOD7IG-k_eo/edit#gid=0"", ""Maths!M:N""), 2, FALSE)"),"Create a set of problems involving real-world situations and convert negative integer numbers into exponential form to solve practical challenges.")</f>
        <v>Create a set of problems involving real-world situations and convert negative integer numbers into exponential form to solve practical challenges.</v>
      </c>
      <c r="U154" s="11">
        <f ca="1">IFERROR(__xludf.DUMMYFUNCTION("ArrayFormula(VLOOKUP(G154, IMPORTRANGE(""https://docs.google.com/spreadsheets/d/1p7R4vtkWt5VOBim4ltsDG9KTzSjrtKXsMtQGXPHyND0/edit#gid=795171502"", ""'Filter 30_05_2024'!A1:M2000""), {2, 3, 4, 5,6,7,8,9,10,11,12,13}, 0))"),4)</f>
        <v>4</v>
      </c>
      <c r="V154" s="11">
        <f ca="1">IFERROR(__xludf.DUMMYFUNCTION("""COMPUTED_VALUE"""),6)</f>
        <v>6</v>
      </c>
      <c r="W154" s="11">
        <f ca="1">IFERROR(__xludf.DUMMYFUNCTION("""COMPUTED_VALUE"""),2)</f>
        <v>2</v>
      </c>
      <c r="X154" s="11">
        <f ca="1">IFERROR(__xludf.DUMMYFUNCTION("""COMPUTED_VALUE"""),12)</f>
        <v>12</v>
      </c>
      <c r="Y154" s="11">
        <f ca="1">IFERROR(__xludf.DUMMYFUNCTION("""COMPUTED_VALUE"""),4)</f>
        <v>4</v>
      </c>
      <c r="Z154" s="12">
        <f ca="1">IFERROR(__xludf.DUMMYFUNCTION("""COMPUTED_VALUE"""),3)</f>
        <v>3</v>
      </c>
      <c r="AA154" s="12">
        <f ca="1">IFERROR(__xludf.DUMMYFUNCTION("""COMPUTED_VALUE"""),1)</f>
        <v>1</v>
      </c>
      <c r="AB154" s="12">
        <f ca="1">IFERROR(__xludf.DUMMYFUNCTION("""COMPUTED_VALUE"""),8)</f>
        <v>8</v>
      </c>
      <c r="AC154" s="12"/>
      <c r="AD154" s="12"/>
      <c r="AE154" s="12"/>
      <c r="AF154" s="12"/>
      <c r="AG154" s="13" t="str">
        <f ca="1">IFERROR(__xludf.DUMMYFUNCTION("ArrayFormula(VLOOKUP(G154, IMPORTRANGE(""https://docs.google.com/spreadsheets/d/1Co934fvtviyaRiMsrIlT05Jaq7iiYq07aLvRr35KA48/edit?gid=173865642#gid=173865642"", ""'G7_Maths_Pri_LU'!G2:V2000""), {3, 4, 5, 6, 7, 8, 9, 10, 11, 12, 13, 14, 15, 16}, 0))"),"LU000519")</f>
        <v>LU000519</v>
      </c>
      <c r="AH154" s="13" t="str">
        <f ca="1">IFERROR(__xludf.DUMMYFUNCTION("""COMPUTED_VALUE"""),"Write whole numbers in exponential form")</f>
        <v>Write whole numbers in exponential form</v>
      </c>
      <c r="AI154" s="13" t="str">
        <f ca="1">IFERROR(__xludf.DUMMYFUNCTION("""COMPUTED_VALUE"""),"LU000210")</f>
        <v>LU000210</v>
      </c>
      <c r="AJ154" s="13" t="str">
        <f ca="1">IFERROR(__xludf.DUMMYFUNCTION("""COMPUTED_VALUE"""),"Methods of prime factorisation")</f>
        <v>Methods of prime factorisation</v>
      </c>
      <c r="AK154" s="13" t="str">
        <f ca="1">IFERROR(__xludf.DUMMYFUNCTION("""COMPUTED_VALUE"""),"LU000210")</f>
        <v>LU000210</v>
      </c>
      <c r="AL154" s="13" t="str">
        <f ca="1">IFERROR(__xludf.DUMMYFUNCTION("""COMPUTED_VALUE"""),"Methods of prime factorisation")</f>
        <v>Methods of prime factorisation</v>
      </c>
      <c r="AM154" s="13" t="str">
        <f ca="1">IFERROR(__xludf.DUMMYFUNCTION("""COMPUTED_VALUE"""),"LU000517")</f>
        <v>LU000517</v>
      </c>
      <c r="AN154" s="13" t="str">
        <f ca="1">IFERROR(__xludf.DUMMYFUNCTION("""COMPUTED_VALUE"""),"Definition of exponent of a number")</f>
        <v>Definition of exponent of a number</v>
      </c>
      <c r="AO154" s="13" t="str">
        <f ca="1">IFERROR(__xludf.DUMMYFUNCTION("""COMPUTED_VALUE"""),"LU000518")</f>
        <v>LU000518</v>
      </c>
      <c r="AP154" s="13" t="str">
        <f ca="1">IFERROR(__xludf.DUMMYFUNCTION("""COMPUTED_VALUE"""),"Definition of base of a number")</f>
        <v>Definition of base of a number</v>
      </c>
      <c r="AQ154" s="13" t="str">
        <f ca="1">IFERROR(__xludf.DUMMYFUNCTION("""COMPUTED_VALUE"""),"LU000907")</f>
        <v>LU000907</v>
      </c>
      <c r="AR154" s="13" t="str">
        <f ca="1">IFERROR(__xludf.DUMMYFUNCTION("""COMPUTED_VALUE"""),"Definition of negative numbers")</f>
        <v>Definition of negative numbers</v>
      </c>
      <c r="AS154" s="13" t="str">
        <f ca="1">IFERROR(__xludf.DUMMYFUNCTION("""COMPUTED_VALUE"""),"LU000356")</f>
        <v>LU000356</v>
      </c>
      <c r="AT154" s="13" t="str">
        <f ca="1">IFERROR(__xludf.DUMMYFUNCTION("""COMPUTED_VALUE"""),"Multiplication of three or more negative integers")</f>
        <v>Multiplication of three or more negative integers</v>
      </c>
    </row>
    <row r="155" spans="1:46">
      <c r="A155" s="8" t="s">
        <v>247</v>
      </c>
      <c r="B155" s="8" t="s">
        <v>47</v>
      </c>
      <c r="C155" s="8" t="s">
        <v>416</v>
      </c>
      <c r="D155" s="8" t="s">
        <v>49</v>
      </c>
      <c r="E155" s="8" t="s">
        <v>631</v>
      </c>
      <c r="F155" s="8" t="s">
        <v>638</v>
      </c>
      <c r="G155" s="8" t="s">
        <v>639</v>
      </c>
      <c r="H155" s="8" t="str">
        <f ca="1">IFERROR(__xludf.DUMMYFUNCTION("VLOOKUP(G155, IMPORTRANGE(""https://docs.google.com/spreadsheets/d/14deopnvwcrKtEGCKuYXdUHJbeLDZlkiSSWWT0g7x2pM/edit#gid=999382323"", ""LU List Maths (Filter)!A:B""), 2, FALSE)"),"Convert positive rational numbers to exponential form")</f>
        <v>Convert positive rational numbers to exponential form</v>
      </c>
      <c r="I155" s="10" t="str">
        <f t="shared" si="0"/>
        <v>LU000547.001</v>
      </c>
      <c r="J155" s="10" t="str">
        <f ca="1">IFERROR(__xludf.DUMMYFUNCTION("VLOOKUP(I155, IMPORTRANGE(""https://docs.google.com/spreadsheets/d/1yDAaXNsi4Mr5FtRQL4tbmSdIzhx6_m4wkOD7IG-k_eo/edit#gid=0"", ""Maths!M:N""), 2, FALSE)"),"Recall the definition of positive rational numbers and their representation as fractions in exponential form.")</f>
        <v>Recall the definition of positive rational numbers and their representation as fractions in exponential form.</v>
      </c>
      <c r="K155" s="10" t="str">
        <f t="shared" si="1"/>
        <v>LU000547.002</v>
      </c>
      <c r="L155" s="10" t="str">
        <f ca="1">IFERROR(__xludf.DUMMYFUNCTION("VLOOKUP(K155, IMPORTRANGE(""https://docs.google.com/spreadsheets/d/1yDAaXNsi4Mr5FtRQL4tbmSdIzhx6_m4wkOD7IG-k_eo/edit#gid=0"", ""Maths!M:N""), 2, FALSE)"),"Explain the concept of representing positive rational numbers in exponential form.")</f>
        <v>Explain the concept of representing positive rational numbers in exponential form.</v>
      </c>
      <c r="M155" s="10" t="str">
        <f t="shared" si="2"/>
        <v>LU000547.003</v>
      </c>
      <c r="N155" s="10" t="str">
        <f ca="1">IFERROR(__xludf.DUMMYFUNCTION("VLOOKUP(M155, IMPORTRANGE(""https://docs.google.com/spreadsheets/d/1yDAaXNsi4Mr5FtRQL4tbmSdIzhx6_m4wkOD7IG-k_eo/edit#gid=0"", ""Maths!M:N""), 2, FALSE)"),"Apply the knowledge of rational numbers and exponentiation to convert given positive rational numbers into exponential form.")</f>
        <v>Apply the knowledge of rational numbers and exponentiation to convert given positive rational numbers into exponential form.</v>
      </c>
      <c r="O155" s="10" t="str">
        <f t="shared" si="3"/>
        <v>LU000547.004</v>
      </c>
      <c r="P155" s="10" t="str">
        <f ca="1">IFERROR(__xludf.DUMMYFUNCTION("VLOOKUP(O155, IMPORTRANGE(""https://docs.google.com/spreadsheets/d/1yDAaXNsi4Mr5FtRQL4tbmSdIzhx6_m4wkOD7IG-k_eo/edit#gid=0"", ""Maths!M:N""), 2, FALSE)"),"Analyse different positive rational numbers to identify the relationship between their parts when expressed in exponential form.")</f>
        <v>Analyse different positive rational numbers to identify the relationship between their parts when expressed in exponential form.</v>
      </c>
      <c r="Q155" s="10" t="str">
        <f t="shared" si="4"/>
        <v>LU000547.005</v>
      </c>
      <c r="R155" s="10" t="str">
        <f ca="1">IFERROR(__xludf.DUMMYFUNCTION("VLOOKUP(Q155, IMPORTRANGE(""https://docs.google.com/spreadsheets/d/1yDAaXNsi4Mr5FtRQL4tbmSdIzhx6_m4wkOD7IG-k_eo/edit#gid=0"", ""Maths!M:N""), 2, FALSE)"),"Evaluate the effectiveness of using exponential form to represent positive rational numbers for calculations and comparisons.")</f>
        <v>Evaluate the effectiveness of using exponential form to represent positive rational numbers for calculations and comparisons.</v>
      </c>
      <c r="S155" s="10" t="str">
        <f t="shared" si="5"/>
        <v>LU000547.006</v>
      </c>
      <c r="T155" s="10" t="str">
        <f ca="1">IFERROR(__xludf.DUMMYFUNCTION("VLOOKUP(S155, IMPORTRANGE(""https://docs.google.com/spreadsheets/d/1yDAaXNsi4Mr5FtRQL4tbmSdIzhx6_m4wkOD7IG-k_eo/edit#gid=0"", ""Maths!M:N""), 2, FALSE)"),"Create a set of problems involving real-world situations and convert positive rational numbers into exponential form to solve practical challenges.")</f>
        <v>Create a set of problems involving real-world situations and convert positive rational numbers into exponential form to solve practical challenges.</v>
      </c>
      <c r="U155" s="11">
        <f ca="1">IFERROR(__xludf.DUMMYFUNCTION("ArrayFormula(VLOOKUP(G155, IMPORTRANGE(""https://docs.google.com/spreadsheets/d/1p7R4vtkWt5VOBim4ltsDG9KTzSjrtKXsMtQGXPHyND0/edit#gid=795171502"", ""'Filter 30_05_2024'!A1:M2000""), {2, 3, 4, 5,6,7,8,9,10,11,12,13}, 0))"),4)</f>
        <v>4</v>
      </c>
      <c r="V155" s="11">
        <f ca="1">IFERROR(__xludf.DUMMYFUNCTION("""COMPUTED_VALUE"""),5)</f>
        <v>5</v>
      </c>
      <c r="W155" s="11">
        <f ca="1">IFERROR(__xludf.DUMMYFUNCTION("""COMPUTED_VALUE"""),2)</f>
        <v>2</v>
      </c>
      <c r="X155" s="11">
        <f ca="1">IFERROR(__xludf.DUMMYFUNCTION("""COMPUTED_VALUE"""),11)</f>
        <v>11</v>
      </c>
      <c r="Y155" s="11">
        <f ca="1">IFERROR(__xludf.DUMMYFUNCTION("""COMPUTED_VALUE"""),4)</f>
        <v>4</v>
      </c>
      <c r="Z155" s="12">
        <f ca="1">IFERROR(__xludf.DUMMYFUNCTION("""COMPUTED_VALUE"""),7)</f>
        <v>7</v>
      </c>
      <c r="AA155" s="12">
        <f ca="1">IFERROR(__xludf.DUMMYFUNCTION("""COMPUTED_VALUE"""),1)</f>
        <v>1</v>
      </c>
      <c r="AB155" s="12">
        <f ca="1">IFERROR(__xludf.DUMMYFUNCTION("""COMPUTED_VALUE"""),12)</f>
        <v>12</v>
      </c>
      <c r="AC155" s="12"/>
      <c r="AD155" s="12"/>
      <c r="AE155" s="12"/>
      <c r="AF155" s="12"/>
      <c r="AG155" s="13" t="str">
        <f ca="1">IFERROR(__xludf.DUMMYFUNCTION("ArrayFormula(VLOOKUP(G155, IMPORTRANGE(""https://docs.google.com/spreadsheets/d/1Co934fvtviyaRiMsrIlT05Jaq7iiYq07aLvRr35KA48/edit?gid=173865642#gid=173865642"", ""'G7_Maths_Pri_LU'!G2:V2000""), {3, 4, 5, 6, 7, 8, 9, 10, 11, 12, 13, 14, 15, 16}, 0))"),"LU000519")</f>
        <v>LU000519</v>
      </c>
      <c r="AH155" s="13" t="str">
        <f ca="1">IFERROR(__xludf.DUMMYFUNCTION("""COMPUTED_VALUE"""),"Write whole numbers in exponential form")</f>
        <v>Write whole numbers in exponential form</v>
      </c>
      <c r="AI155" s="13" t="str">
        <f ca="1">IFERROR(__xludf.DUMMYFUNCTION("""COMPUTED_VALUE"""),"LU000210")</f>
        <v>LU000210</v>
      </c>
      <c r="AJ155" s="13" t="str">
        <f ca="1">IFERROR(__xludf.DUMMYFUNCTION("""COMPUTED_VALUE"""),"Methods of prime factorisation")</f>
        <v>Methods of prime factorisation</v>
      </c>
      <c r="AK155" s="13" t="str">
        <f ca="1">IFERROR(__xludf.DUMMYFUNCTION("""COMPUTED_VALUE"""),"LU000518")</f>
        <v>LU000518</v>
      </c>
      <c r="AL155" s="13" t="str">
        <f ca="1">IFERROR(__xludf.DUMMYFUNCTION("""COMPUTED_VALUE"""),"Definition of base of a number")</f>
        <v>Definition of base of a number</v>
      </c>
      <c r="AM155" s="13" t="str">
        <f ca="1">IFERROR(__xludf.DUMMYFUNCTION("""COMPUTED_VALUE"""),"LU000464")</f>
        <v>LU000464</v>
      </c>
      <c r="AN155" s="13" t="str">
        <f ca="1">IFERROR(__xludf.DUMMYFUNCTION("""COMPUTED_VALUE"""),"Definition of rational numbers")</f>
        <v>Definition of rational numbers</v>
      </c>
      <c r="AO155" s="13" t="str">
        <f ca="1">IFERROR(__xludf.DUMMYFUNCTION("""COMPUTED_VALUE"""),"LU000517")</f>
        <v>LU000517</v>
      </c>
      <c r="AP155" s="13" t="str">
        <f ca="1">IFERROR(__xludf.DUMMYFUNCTION("""COMPUTED_VALUE"""),"Definition of exponent of a number")</f>
        <v>Definition of exponent of a number</v>
      </c>
      <c r="AQ155" s="13"/>
      <c r="AR155" s="13"/>
      <c r="AS155" s="13"/>
      <c r="AT155" s="13"/>
    </row>
    <row r="156" spans="1:46">
      <c r="A156" s="8" t="s">
        <v>247</v>
      </c>
      <c r="B156" s="8" t="s">
        <v>47</v>
      </c>
      <c r="C156" s="8" t="s">
        <v>416</v>
      </c>
      <c r="D156" s="8" t="s">
        <v>49</v>
      </c>
      <c r="E156" s="8" t="s">
        <v>631</v>
      </c>
      <c r="F156" s="8" t="s">
        <v>638</v>
      </c>
      <c r="G156" s="8" t="s">
        <v>640</v>
      </c>
      <c r="H156" s="8" t="str">
        <f ca="1">IFERROR(__xludf.DUMMYFUNCTION("VLOOKUP(G156, IMPORTRANGE(""https://docs.google.com/spreadsheets/d/14deopnvwcrKtEGCKuYXdUHJbeLDZlkiSSWWT0g7x2pM/edit#gid=999382323"", ""LU List Maths (Filter)!A:B""), 2, FALSE)"),"Convert negative rational numbers to exponential form")</f>
        <v>Convert negative rational numbers to exponential form</v>
      </c>
      <c r="I156" s="10" t="str">
        <f t="shared" si="0"/>
        <v>LU000553.001</v>
      </c>
      <c r="J156" s="10" t="str">
        <f ca="1">IFERROR(__xludf.DUMMYFUNCTION("VLOOKUP(I156, IMPORTRANGE(""https://docs.google.com/spreadsheets/d/1yDAaXNsi4Mr5FtRQL4tbmSdIzhx6_m4wkOD7IG-k_eo/edit#gid=0"", ""Maths!M:N""), 2, FALSE)"),"Recall the definition of negative rational numbers and their representation as fractions in exponential form.")</f>
        <v>Recall the definition of negative rational numbers and their representation as fractions in exponential form.</v>
      </c>
      <c r="K156" s="10" t="str">
        <f t="shared" si="1"/>
        <v>LU000553.002</v>
      </c>
      <c r="L156" s="10" t="str">
        <f ca="1">IFERROR(__xludf.DUMMYFUNCTION("VLOOKUP(K156, IMPORTRANGE(""https://docs.google.com/spreadsheets/d/1yDAaXNsi4Mr5FtRQL4tbmSdIzhx6_m4wkOD7IG-k_eo/edit#gid=0"", ""Maths!M:N""), 2, FALSE)"),"Explain the concept of representing negative rational numbers in exponential form.")</f>
        <v>Explain the concept of representing negative rational numbers in exponential form.</v>
      </c>
      <c r="M156" s="10" t="str">
        <f t="shared" si="2"/>
        <v>LU000553.003</v>
      </c>
      <c r="N156" s="10" t="str">
        <f ca="1">IFERROR(__xludf.DUMMYFUNCTION("VLOOKUP(M156, IMPORTRANGE(""https://docs.google.com/spreadsheets/d/1yDAaXNsi4Mr5FtRQL4tbmSdIzhx6_m4wkOD7IG-k_eo/edit#gid=0"", ""Maths!M:N""), 2, FALSE)"),"Apply the knowledge of rational numbers and exponentiation to convert given negative rational numbers into exponential form.")</f>
        <v>Apply the knowledge of rational numbers and exponentiation to convert given negative rational numbers into exponential form.</v>
      </c>
      <c r="O156" s="10" t="str">
        <f t="shared" si="3"/>
        <v>LU000553.004</v>
      </c>
      <c r="P156" s="10" t="str">
        <f ca="1">IFERROR(__xludf.DUMMYFUNCTION("VLOOKUP(O156, IMPORTRANGE(""https://docs.google.com/spreadsheets/d/1yDAaXNsi4Mr5FtRQL4tbmSdIzhx6_m4wkOD7IG-k_eo/edit#gid=0"", ""Maths!M:N""), 2, FALSE)"),"Analyse different negative rational numbers to identify the relationship between their parts when expressed in exponential form.")</f>
        <v>Analyse different negative rational numbers to identify the relationship between their parts when expressed in exponential form.</v>
      </c>
      <c r="Q156" s="10" t="str">
        <f t="shared" si="4"/>
        <v>LU000553.005</v>
      </c>
      <c r="R156" s="10" t="str">
        <f ca="1">IFERROR(__xludf.DUMMYFUNCTION("VLOOKUP(Q156, IMPORTRANGE(""https://docs.google.com/spreadsheets/d/1yDAaXNsi4Mr5FtRQL4tbmSdIzhx6_m4wkOD7IG-k_eo/edit#gid=0"", ""Maths!M:N""), 2, FALSE)"),"Evaluate the effectiveness of using exponential form to represent negative rational numbers for calculations and comparisons.")</f>
        <v>Evaluate the effectiveness of using exponential form to represent negative rational numbers for calculations and comparisons.</v>
      </c>
      <c r="S156" s="10" t="str">
        <f t="shared" si="5"/>
        <v>LU000553.006</v>
      </c>
      <c r="T156" s="10" t="str">
        <f ca="1">IFERROR(__xludf.DUMMYFUNCTION("VLOOKUP(S156, IMPORTRANGE(""https://docs.google.com/spreadsheets/d/1yDAaXNsi4Mr5FtRQL4tbmSdIzhx6_m4wkOD7IG-k_eo/edit#gid=0"", ""Maths!M:N""), 2, FALSE)"),"Create a set of problems involving real-world situations and convert negative rational numbers into exponential form to solve practical challenges.")</f>
        <v>Create a set of problems involving real-world situations and convert negative rational numbers into exponential form to solve practical challenges.</v>
      </c>
      <c r="U156" s="11">
        <f ca="1">IFERROR(__xludf.DUMMYFUNCTION("ArrayFormula(VLOOKUP(G156, IMPORTRANGE(""https://docs.google.com/spreadsheets/d/1p7R4vtkWt5VOBim4ltsDG9KTzSjrtKXsMtQGXPHyND0/edit#gid=795171502"", ""'Filter 30_05_2024'!A1:M2000""), {2, 3, 4, 5,6,7,8,9,10,11,12,13}, 0))"),4)</f>
        <v>4</v>
      </c>
      <c r="V156" s="11">
        <f ca="1">IFERROR(__xludf.DUMMYFUNCTION("""COMPUTED_VALUE"""),4)</f>
        <v>4</v>
      </c>
      <c r="W156" s="11">
        <f ca="1">IFERROR(__xludf.DUMMYFUNCTION("""COMPUTED_VALUE"""),2)</f>
        <v>2</v>
      </c>
      <c r="X156" s="11">
        <f ca="1">IFERROR(__xludf.DUMMYFUNCTION("""COMPUTED_VALUE"""),10)</f>
        <v>10</v>
      </c>
      <c r="Y156" s="11">
        <f ca="1">IFERROR(__xludf.DUMMYFUNCTION("""COMPUTED_VALUE"""),4)</f>
        <v>4</v>
      </c>
      <c r="Z156" s="12">
        <f ca="1">IFERROR(__xludf.DUMMYFUNCTION("""COMPUTED_VALUE"""),1)</f>
        <v>1</v>
      </c>
      <c r="AA156" s="12">
        <f ca="1">IFERROR(__xludf.DUMMYFUNCTION("""COMPUTED_VALUE"""),1)</f>
        <v>1</v>
      </c>
      <c r="AB156" s="12">
        <f ca="1">IFERROR(__xludf.DUMMYFUNCTION("""COMPUTED_VALUE"""),6)</f>
        <v>6</v>
      </c>
      <c r="AC156" s="12"/>
      <c r="AD156" s="12"/>
      <c r="AE156" s="12"/>
      <c r="AF156" s="12"/>
      <c r="AG156" s="13" t="str">
        <f ca="1">IFERROR(__xludf.DUMMYFUNCTION("ArrayFormula(VLOOKUP(G156, IMPORTRANGE(""https://docs.google.com/spreadsheets/d/1Co934fvtviyaRiMsrIlT05Jaq7iiYq07aLvRr35KA48/edit?gid=173865642#gid=173865642"", ""'G7_Maths_Pri_LU'!G2:V2000""), {3, 4, 5, 6, 7, 8, 9, 10, 11, 12, 13, 14, 15, 16}, 0))"),"LU000934")</f>
        <v>LU000934</v>
      </c>
      <c r="AH156" s="13" t="str">
        <f ca="1">IFERROR(__xludf.DUMMYFUNCTION("""COMPUTED_VALUE"""),"Convert negative integer numbers to exponential form")</f>
        <v>Convert negative integer numbers to exponential form</v>
      </c>
      <c r="AI156" s="13" t="str">
        <f ca="1">IFERROR(__xludf.DUMMYFUNCTION("""COMPUTED_VALUE"""),"LU000547")</f>
        <v>LU000547</v>
      </c>
      <c r="AJ156" s="13" t="str">
        <f ca="1">IFERROR(__xludf.DUMMYFUNCTION("""COMPUTED_VALUE"""),"Convert positive rational numbers to exponential form")</f>
        <v>Convert positive rational numbers to exponential form</v>
      </c>
      <c r="AK156" s="13" t="str">
        <f ca="1">IFERROR(__xludf.DUMMYFUNCTION("""COMPUTED_VALUE"""),"LU000519")</f>
        <v>LU000519</v>
      </c>
      <c r="AL156" s="13" t="str">
        <f ca="1">IFERROR(__xludf.DUMMYFUNCTION("""COMPUTED_VALUE"""),"Write whole numbers in exponential form")</f>
        <v>Write whole numbers in exponential form</v>
      </c>
      <c r="AM156" s="13"/>
      <c r="AN156" s="13"/>
      <c r="AO156" s="13"/>
      <c r="AP156" s="13"/>
      <c r="AQ156" s="13"/>
      <c r="AR156" s="13"/>
      <c r="AS156" s="13"/>
      <c r="AT156" s="13"/>
    </row>
    <row r="157" spans="1:46">
      <c r="A157" s="8" t="s">
        <v>247</v>
      </c>
      <c r="B157" s="8" t="s">
        <v>47</v>
      </c>
      <c r="C157" s="8" t="s">
        <v>416</v>
      </c>
      <c r="D157" s="8" t="s">
        <v>49</v>
      </c>
      <c r="E157" s="8" t="s">
        <v>631</v>
      </c>
      <c r="F157" s="8" t="s">
        <v>641</v>
      </c>
      <c r="G157" s="8" t="s">
        <v>642</v>
      </c>
      <c r="H157" s="8" t="str">
        <f ca="1">IFERROR(__xludf.DUMMYFUNCTION("VLOOKUP(G157, IMPORTRANGE(""https://docs.google.com/spreadsheets/d/14deopnvwcrKtEGCKuYXdUHJbeLDZlkiSSWWT0g7x2pM/edit#gid=999382323"", ""LU List Maths (Filter)!A:B""), 2, FALSE)"),"Comparison of numbers in exponential form (a^b)")</f>
        <v>Comparison of numbers in exponential form (a^b)</v>
      </c>
      <c r="I157" s="10" t="str">
        <f t="shared" si="0"/>
        <v>LU001053.001</v>
      </c>
      <c r="J157" s="10" t="str">
        <f ca="1">IFERROR(__xludf.DUMMYFUNCTION("VLOOKUP(I157, IMPORTRANGE(""https://docs.google.com/spreadsheets/d/1yDAaXNsi4Mr5FtRQL4tbmSdIzhx6_m4wkOD7IG-k_eo/edit#gid=0"", ""Maths!M:N""), 2, FALSE)"),"State the definition of numbers expressed in exponential form.")</f>
        <v>State the definition of numbers expressed in exponential form.</v>
      </c>
      <c r="K157" s="10" t="str">
        <f t="shared" si="1"/>
        <v>LU001053.002</v>
      </c>
      <c r="L157" s="10" t="str">
        <f ca="1">IFERROR(__xludf.DUMMYFUNCTION("VLOOKUP(K157, IMPORTRANGE(""https://docs.google.com/spreadsheets/d/1yDAaXNsi4Mr5FtRQL4tbmSdIzhx6_m4wkOD7IG-k_eo/edit#gid=0"", ""Maths!M:N""), 2, FALSE)"),"Describe the relationship between exponential expressions and numerical values.")</f>
        <v>Describe the relationship between exponential expressions and numerical values.</v>
      </c>
      <c r="M157" s="10" t="str">
        <f t="shared" si="2"/>
        <v>LU001053.003</v>
      </c>
      <c r="N157" s="10" t="str">
        <f ca="1">IFERROR(__xludf.DUMMYFUNCTION("VLOOKUP(M157, IMPORTRANGE(""https://docs.google.com/spreadsheets/d/1yDAaXNsi4Mr5FtRQL4tbmSdIzhx6_m4wkOD7IG-k_eo/edit#gid=0"", ""Maths!M:N""), 2, FALSE)"),"Solve problems involving the comparison of numbers expressed in exponential form.")</f>
        <v>Solve problems involving the comparison of numbers expressed in exponential form.</v>
      </c>
      <c r="O157" s="10" t="str">
        <f t="shared" si="3"/>
        <v>LU001053.004</v>
      </c>
      <c r="P157" s="10" t="str">
        <f ca="1">IFERROR(__xludf.DUMMYFUNCTION("VLOOKUP(O157, IMPORTRANGE(""https://docs.google.com/spreadsheets/d/1yDAaXNsi4Mr5FtRQL4tbmSdIzhx6_m4wkOD7IG-k_eo/edit#gid=0"", ""Maths!M:N""), 2, FALSE)"),"Analyse the relative impact of changes in the base versus changes in the exponent on the overall value of the expression.")</f>
        <v>Analyse the relative impact of changes in the base versus changes in the exponent on the overall value of the expression.</v>
      </c>
      <c r="Q157" s="10" t="str">
        <f t="shared" si="4"/>
        <v>LU001053.005</v>
      </c>
      <c r="R157" s="10" t="str">
        <f ca="1">IFERROR(__xludf.DUMMYFUNCTION("VLOOKUP(Q157, IMPORTRANGE(""https://docs.google.com/spreadsheets/d/1yDAaXNsi4Mr5FtRQL4tbmSdIzhx6_m4wkOD7IG-k_eo/edit#gid=0"", ""Maths!M:N""), 2, FALSE)"),"Assess the accuracy of comparisons between numbers in exponential form.")</f>
        <v>Assess the accuracy of comparisons between numbers in exponential form.</v>
      </c>
      <c r="S157" s="10" t="str">
        <f t="shared" si="5"/>
        <v>LU001053.006</v>
      </c>
      <c r="T157" s="10" t="str">
        <f ca="1">IFERROR(__xludf.DUMMYFUNCTION("VLOOKUP(S157, IMPORTRANGE(""https://docs.google.com/spreadsheets/d/1yDAaXNsi4Mr5FtRQL4tbmSdIzhx6_m4wkOD7IG-k_eo/edit#gid=0"", ""Maths!M:N""), 2, FALSE)"),"Devise problems requiring the comparison of numbers in exponential form with different bases and exponents.")</f>
        <v>Devise problems requiring the comparison of numbers in exponential form with different bases and exponents.</v>
      </c>
      <c r="U157" s="11">
        <f ca="1">IFERROR(__xludf.DUMMYFUNCTION("ArrayFormula(VLOOKUP(G157, IMPORTRANGE(""https://docs.google.com/spreadsheets/d/1p7R4vtkWt5VOBim4ltsDG9KTzSjrtKXsMtQGXPHyND0/edit#gid=795171502"", ""'Filter 30_05_2024'!A1:M2000""), {2, 3, 4, 5,6,7,8,9,10,11,12,13}, 0))"),4)</f>
        <v>4</v>
      </c>
      <c r="V157" s="11">
        <f ca="1">IFERROR(__xludf.DUMMYFUNCTION("""COMPUTED_VALUE"""),6)</f>
        <v>6</v>
      </c>
      <c r="W157" s="11">
        <f ca="1">IFERROR(__xludf.DUMMYFUNCTION("""COMPUTED_VALUE"""),2)</f>
        <v>2</v>
      </c>
      <c r="X157" s="11">
        <f ca="1">IFERROR(__xludf.DUMMYFUNCTION("""COMPUTED_VALUE"""),12)</f>
        <v>12</v>
      </c>
      <c r="Y157" s="11">
        <f ca="1">IFERROR(__xludf.DUMMYFUNCTION("""COMPUTED_VALUE"""),4)</f>
        <v>4</v>
      </c>
      <c r="Z157" s="12">
        <f ca="1">IFERROR(__xludf.DUMMYFUNCTION("""COMPUTED_VALUE"""),3)</f>
        <v>3</v>
      </c>
      <c r="AA157" s="12">
        <f ca="1">IFERROR(__xludf.DUMMYFUNCTION("""COMPUTED_VALUE"""),1)</f>
        <v>1</v>
      </c>
      <c r="AB157" s="12">
        <f ca="1">IFERROR(__xludf.DUMMYFUNCTION("""COMPUTED_VALUE"""),8)</f>
        <v>8</v>
      </c>
      <c r="AC157" s="12"/>
      <c r="AD157" s="12"/>
      <c r="AE157" s="12"/>
      <c r="AF157" s="12"/>
      <c r="AG157" s="13" t="str">
        <f ca="1">IFERROR(__xludf.DUMMYFUNCTION("ArrayFormula(VLOOKUP(G157, IMPORTRANGE(""https://docs.google.com/spreadsheets/d/1Co934fvtviyaRiMsrIlT05Jaq7iiYq07aLvRr35KA48/edit?gid=173865642#gid=173865642"", ""'G7_Maths_Pri_LU'!G2:V2000""), {3, 4, 5, 6, 7, 8, 9, 10, 11, 12, 13, 14, 15, 16}, 0))"),"LU000519")</f>
        <v>LU000519</v>
      </c>
      <c r="AH157" s="13" t="str">
        <f ca="1">IFERROR(__xludf.DUMMYFUNCTION("""COMPUTED_VALUE"""),"Write whole numbers in exponential form")</f>
        <v>Write whole numbers in exponential form</v>
      </c>
      <c r="AI157" s="13" t="str">
        <f ca="1">IFERROR(__xludf.DUMMYFUNCTION("""COMPUTED_VALUE"""),"LU000908")</f>
        <v>LU000908</v>
      </c>
      <c r="AJ157" s="13" t="str">
        <f ca="1">IFERROR(__xludf.DUMMYFUNCTION("""COMPUTED_VALUE"""),"Comparison of integers")</f>
        <v>Comparison of integers</v>
      </c>
      <c r="AK157" s="13" t="str">
        <f ca="1">IFERROR(__xludf.DUMMYFUNCTION("""COMPUTED_VALUE"""),"LU000517")</f>
        <v>LU000517</v>
      </c>
      <c r="AL157" s="13" t="str">
        <f ca="1">IFERROR(__xludf.DUMMYFUNCTION("""COMPUTED_VALUE"""),"Definition of exponent of a number")</f>
        <v>Definition of exponent of a number</v>
      </c>
      <c r="AM157" s="13"/>
      <c r="AN157" s="13"/>
      <c r="AO157" s="13"/>
      <c r="AP157" s="13"/>
      <c r="AQ157" s="13"/>
      <c r="AR157" s="13"/>
      <c r="AS157" s="13"/>
      <c r="AT157" s="13"/>
    </row>
    <row r="158" spans="1:46">
      <c r="A158" s="8" t="s">
        <v>247</v>
      </c>
      <c r="B158" s="8" t="s">
        <v>47</v>
      </c>
      <c r="C158" s="8" t="s">
        <v>416</v>
      </c>
      <c r="D158" s="8" t="s">
        <v>49</v>
      </c>
      <c r="E158" s="8" t="s">
        <v>631</v>
      </c>
      <c r="F158" s="10" t="s">
        <v>643</v>
      </c>
      <c r="G158" s="8" t="s">
        <v>644</v>
      </c>
      <c r="H158" s="8" t="str">
        <f ca="1">IFERROR(__xludf.DUMMYFUNCTION("VLOOKUP(G158, IMPORTRANGE(""https://docs.google.com/spreadsheets/d/14deopnvwcrKtEGCKuYXdUHJbeLDZlkiSSWWT0g7x2pM/edit#gid=999382323"", ""LU List Maths (Filter)!A:B""), 2, FALSE)"),"Law of product of power with the same base for whole numbers")</f>
        <v>Law of product of power with the same base for whole numbers</v>
      </c>
      <c r="I158" s="10" t="str">
        <f t="shared" si="0"/>
        <v>LU000520.001</v>
      </c>
      <c r="J158" s="10" t="str">
        <f ca="1">IFERROR(__xludf.DUMMYFUNCTION("VLOOKUP(I158, IMPORTRANGE(""https://docs.google.com/spreadsheets/d/1yDAaXNsi4Mr5FtRQL4tbmSdIzhx6_m4wkOD7IG-k_eo/edit#gid=0"", ""Maths!M:N""), 2, FALSE)"),"State that the product of power with same base for whole numbers law states ""a^m * a^n = a^(m + n),"" where ""a"" is the base and ""m"" and ""n"" are exponents.")</f>
        <v>State that the product of power with same base for whole numbers law states "a^m * a^n = a^(m + n)," where "a" is the base and "m" and "n" are exponents.</v>
      </c>
      <c r="K158" s="10" t="str">
        <f t="shared" si="1"/>
        <v>LU000520.002</v>
      </c>
      <c r="L158" s="10" t="str">
        <f ca="1">IFERROR(__xludf.DUMMYFUNCTION("VLOOKUP(K158, IMPORTRANGE(""https://docs.google.com/spreadsheets/d/1yDAaXNsi4Mr5FtRQL4tbmSdIzhx6_m4wkOD7IG-k_eo/edit#gid=0"", ""Maths!M:N""), 2, FALSE)"),"Explain the concept of the law of product of power with same base, emphasising how it simplifies the multiplication of powers (whole number) with the same base (whole number).")</f>
        <v>Explain the concept of the law of product of power with same base, emphasising how it simplifies the multiplication of powers (whole number) with the same base (whole number).</v>
      </c>
      <c r="M158" s="10" t="str">
        <f t="shared" si="2"/>
        <v>LU000520.003</v>
      </c>
      <c r="N158" s="10" t="str">
        <f ca="1">IFERROR(__xludf.DUMMYFUNCTION("VLOOKUP(M158, IMPORTRANGE(""https://docs.google.com/spreadsheets/d/1yDAaXNsi4Mr5FtRQL4tbmSdIzhx6_m4wkOD7IG-k_eo/edit#gid=0"", ""Maths!M:N""), 2, FALSE)"),"Apply the law of product of power with same base to simplify expressions involving whole numbers.")</f>
        <v>Apply the law of product of power with same base to simplify expressions involving whole numbers.</v>
      </c>
      <c r="O158" s="10" t="str">
        <f t="shared" si="3"/>
        <v>LU000520.004</v>
      </c>
      <c r="P158" s="10" t="str">
        <f ca="1">IFERROR(__xludf.DUMMYFUNCTION("VLOOKUP(O158, IMPORTRANGE(""https://docs.google.com/spreadsheets/d/1yDAaXNsi4Mr5FtRQL4tbmSdIzhx6_m4wkOD7IG-k_eo/edit#gid=0"", ""Maths!M:N""), 2, FALSE)"),"Deduce the law of product of power with same base for whole number, breaking down the components.")</f>
        <v>Deduce the law of product of power with same base for whole number, breaking down the components.</v>
      </c>
      <c r="Q158" s="10" t="str">
        <f t="shared" si="4"/>
        <v>LU000520.005</v>
      </c>
      <c r="R158" s="10" t="str">
        <f ca="1">IFERROR(__xludf.DUMMYFUNCTION("VLOOKUP(Q158, IMPORTRANGE(""https://docs.google.com/spreadsheets/d/1yDAaXNsi4Mr5FtRQL4tbmSdIzhx6_m4wkOD7IG-k_eo/edit#gid=0"", ""Maths!M:N""), 2, FALSE)"),"#N/A")</f>
        <v>#N/A</v>
      </c>
      <c r="S158" s="10" t="str">
        <f t="shared" si="5"/>
        <v>LU000520.006</v>
      </c>
      <c r="T158" s="10" t="str">
        <f ca="1">IFERROR(__xludf.DUMMYFUNCTION("VLOOKUP(S158, IMPORTRANGE(""https://docs.google.com/spreadsheets/d/1yDAaXNsi4Mr5FtRQL4tbmSdIzhx6_m4wkOD7IG-k_eo/edit#gid=0"", ""Maths!M:N""), 2, FALSE)"),"Construct a visual representation that illustrates how the law of product of power simplifies the multiplication of powers with the same base for whole numbers.")</f>
        <v>Construct a visual representation that illustrates how the law of product of power simplifies the multiplication of powers with the same base for whole numbers.</v>
      </c>
      <c r="U158" s="11">
        <f ca="1">IFERROR(__xludf.DUMMYFUNCTION("ArrayFormula(VLOOKUP(G158, IMPORTRANGE(""https://docs.google.com/spreadsheets/d/1p7R4vtkWt5VOBim4ltsDG9KTzSjrtKXsMtQGXPHyND0/edit#gid=795171502"", ""'Filter 30_05_2024'!A1:M2000""), {2, 3, 4, 5,6,7,8,9,10,11,12,13}, 0))"),4)</f>
        <v>4</v>
      </c>
      <c r="V158" s="11">
        <f ca="1">IFERROR(__xludf.DUMMYFUNCTION("""COMPUTED_VALUE"""),3)</f>
        <v>3</v>
      </c>
      <c r="W158" s="11">
        <f ca="1">IFERROR(__xludf.DUMMYFUNCTION("""COMPUTED_VALUE"""),2)</f>
        <v>2</v>
      </c>
      <c r="X158" s="11">
        <f ca="1">IFERROR(__xludf.DUMMYFUNCTION("""COMPUTED_VALUE"""),9)</f>
        <v>9</v>
      </c>
      <c r="Y158" s="11">
        <f ca="1">IFERROR(__xludf.DUMMYFUNCTION("""COMPUTED_VALUE"""),4)</f>
        <v>4</v>
      </c>
      <c r="Z158" s="12">
        <f ca="1">IFERROR(__xludf.DUMMYFUNCTION("""COMPUTED_VALUE"""),6)</f>
        <v>6</v>
      </c>
      <c r="AA158" s="12">
        <f ca="1">IFERROR(__xludf.DUMMYFUNCTION("""COMPUTED_VALUE"""),1)</f>
        <v>1</v>
      </c>
      <c r="AB158" s="12">
        <f ca="1">IFERROR(__xludf.DUMMYFUNCTION("""COMPUTED_VALUE"""),11)</f>
        <v>11</v>
      </c>
      <c r="AC158" s="12"/>
      <c r="AD158" s="12"/>
      <c r="AE158" s="12"/>
      <c r="AF158" s="12"/>
      <c r="AG158" s="13" t="str">
        <f ca="1">IFERROR(__xludf.DUMMYFUNCTION("ArrayFormula(VLOOKUP(G158, IMPORTRANGE(""https://docs.google.com/spreadsheets/d/1Co934fvtviyaRiMsrIlT05Jaq7iiYq07aLvRr35KA48/edit?gid=173865642#gid=173865642"", ""'G7_Maths_Pri_LU'!G2:V2000""), {3, 4, 5, 6, 7, 8, 9, 10, 11, 12, 13, 14, 15, 16}, 0))"),"LU000517")</f>
        <v>LU000517</v>
      </c>
      <c r="AH158" s="13" t="str">
        <f ca="1">IFERROR(__xludf.DUMMYFUNCTION("""COMPUTED_VALUE"""),"Definition of exponent of a number")</f>
        <v>Definition of exponent of a number</v>
      </c>
      <c r="AI158" s="13" t="str">
        <f ca="1">IFERROR(__xludf.DUMMYFUNCTION("""COMPUTED_VALUE"""),"LU000518")</f>
        <v>LU000518</v>
      </c>
      <c r="AJ158" s="13" t="str">
        <f ca="1">IFERROR(__xludf.DUMMYFUNCTION("""COMPUTED_VALUE"""),"Definition of base of a number")</f>
        <v>Definition of base of a number</v>
      </c>
      <c r="AK158" s="13" t="str">
        <f ca="1">IFERROR(__xludf.DUMMYFUNCTION("""COMPUTED_VALUE"""),"LU000176")</f>
        <v>LU000176</v>
      </c>
      <c r="AL158" s="13" t="str">
        <f ca="1">IFERROR(__xludf.DUMMYFUNCTION("""COMPUTED_VALUE"""),"Definition of whole number")</f>
        <v>Definition of whole number</v>
      </c>
      <c r="AM158" s="13"/>
      <c r="AN158" s="13"/>
      <c r="AO158" s="13"/>
      <c r="AP158" s="13"/>
      <c r="AQ158" s="13"/>
      <c r="AR158" s="13"/>
      <c r="AS158" s="13"/>
      <c r="AT158" s="13"/>
    </row>
    <row r="159" spans="1:46">
      <c r="A159" s="8" t="s">
        <v>247</v>
      </c>
      <c r="B159" s="8" t="s">
        <v>47</v>
      </c>
      <c r="C159" s="8" t="s">
        <v>416</v>
      </c>
      <c r="D159" s="8" t="s">
        <v>49</v>
      </c>
      <c r="E159" s="8" t="s">
        <v>631</v>
      </c>
      <c r="F159" s="10" t="s">
        <v>643</v>
      </c>
      <c r="G159" s="8" t="s">
        <v>645</v>
      </c>
      <c r="H159" s="8" t="str">
        <f ca="1">IFERROR(__xludf.DUMMYFUNCTION("VLOOKUP(G159, IMPORTRANGE(""https://docs.google.com/spreadsheets/d/14deopnvwcrKtEGCKuYXdUHJbeLDZlkiSSWWT0g7x2pM/edit#gid=999382323"", ""LU List Maths (Filter)!A:B""), 2, FALSE)"),"Law of product of power with the same base for integers")</f>
        <v>Law of product of power with the same base for integers</v>
      </c>
      <c r="I159" s="10" t="str">
        <f t="shared" si="0"/>
        <v>LU000521.001</v>
      </c>
      <c r="J159" s="10" t="str">
        <f ca="1">IFERROR(__xludf.DUMMYFUNCTION("VLOOKUP(I159, IMPORTRANGE(""https://docs.google.com/spreadsheets/d/1yDAaXNsi4Mr5FtRQL4tbmSdIzhx6_m4wkOD7IG-k_eo/edit#gid=0"", ""Maths!M:N""), 2, FALSE)"),"State that the product of power with same base for integers law states ""a^m * a^n = a^(m + n),"" where ""a"" is the base and ""m"" and ""n"" are exponents.")</f>
        <v>State that the product of power with same base for integers law states "a^m * a^n = a^(m + n)," where "a" is the base and "m" and "n" are exponents.</v>
      </c>
      <c r="K159" s="10" t="str">
        <f t="shared" si="1"/>
        <v>LU000521.002</v>
      </c>
      <c r="L159" s="10" t="str">
        <f ca="1">IFERROR(__xludf.DUMMYFUNCTION("VLOOKUP(K159, IMPORTRANGE(""https://docs.google.com/spreadsheets/d/1yDAaXNsi4Mr5FtRQL4tbmSdIzhx6_m4wkOD7IG-k_eo/edit#gid=0"", ""Maths!M:N""), 2, FALSE)"),"Explain the concept of the law of product of power with same base, emphasising how it simplifies the multiplication of powers (integers) with the same base (integers).")</f>
        <v>Explain the concept of the law of product of power with same base, emphasising how it simplifies the multiplication of powers (integers) with the same base (integers).</v>
      </c>
      <c r="M159" s="10" t="str">
        <f t="shared" si="2"/>
        <v>LU000521.003</v>
      </c>
      <c r="N159" s="10" t="str">
        <f ca="1">IFERROR(__xludf.DUMMYFUNCTION("VLOOKUP(M159, IMPORTRANGE(""https://docs.google.com/spreadsheets/d/1yDAaXNsi4Mr5FtRQL4tbmSdIzhx6_m4wkOD7IG-k_eo/edit#gid=0"", ""Maths!M:N""), 2, FALSE)"),"Apply the law of product of power with same base to simplify expressions involving integers.")</f>
        <v>Apply the law of product of power with same base to simplify expressions involving integers.</v>
      </c>
      <c r="O159" s="10" t="str">
        <f t="shared" si="3"/>
        <v>LU000521.004</v>
      </c>
      <c r="P159" s="10" t="str">
        <f ca="1">IFERROR(__xludf.DUMMYFUNCTION("VLOOKUP(O159, IMPORTRANGE(""https://docs.google.com/spreadsheets/d/1yDAaXNsi4Mr5FtRQL4tbmSdIzhx6_m4wkOD7IG-k_eo/edit#gid=0"", ""Maths!M:N""), 2, FALSE)"),"Deduce the law of product of power with same base for integers, breaking down the components.")</f>
        <v>Deduce the law of product of power with same base for integers, breaking down the components.</v>
      </c>
      <c r="Q159" s="10" t="str">
        <f t="shared" si="4"/>
        <v>LU000521.005</v>
      </c>
      <c r="R159" s="10" t="str">
        <f ca="1">IFERROR(__xludf.DUMMYFUNCTION("VLOOKUP(Q159, IMPORTRANGE(""https://docs.google.com/spreadsheets/d/1yDAaXNsi4Mr5FtRQL4tbmSdIzhx6_m4wkOD7IG-k_eo/edit#gid=0"", ""Maths!M:N""), 2, FALSE)"),"#N/A")</f>
        <v>#N/A</v>
      </c>
      <c r="S159" s="10" t="str">
        <f t="shared" si="5"/>
        <v>LU000521.006</v>
      </c>
      <c r="T159" s="10" t="str">
        <f ca="1">IFERROR(__xludf.DUMMYFUNCTION("VLOOKUP(S159, IMPORTRANGE(""https://docs.google.com/spreadsheets/d/1yDAaXNsi4Mr5FtRQL4tbmSdIzhx6_m4wkOD7IG-k_eo/edit#gid=0"", ""Maths!M:N""), 2, FALSE)"),"Construct a visual representation that illustrates how the law of product of power simplifies the multiplication of powers with the same base for integers.")</f>
        <v>Construct a visual representation that illustrates how the law of product of power simplifies the multiplication of powers with the same base for integers.</v>
      </c>
      <c r="U159" s="11">
        <f ca="1">IFERROR(__xludf.DUMMYFUNCTION("ArrayFormula(VLOOKUP(G159, IMPORTRANGE(""https://docs.google.com/spreadsheets/d/1p7R4vtkWt5VOBim4ltsDG9KTzSjrtKXsMtQGXPHyND0/edit#gid=795171502"", ""'Filter 30_05_2024'!A1:M2000""), {2, 3, 4, 5,6,7,8,9,10,11,12,13}, 0))"),4)</f>
        <v>4</v>
      </c>
      <c r="V159" s="11">
        <f ca="1">IFERROR(__xludf.DUMMYFUNCTION("""COMPUTED_VALUE"""),4)</f>
        <v>4</v>
      </c>
      <c r="W159" s="11">
        <f ca="1">IFERROR(__xludf.DUMMYFUNCTION("""COMPUTED_VALUE"""),2)</f>
        <v>2</v>
      </c>
      <c r="X159" s="11">
        <f ca="1">IFERROR(__xludf.DUMMYFUNCTION("""COMPUTED_VALUE"""),10)</f>
        <v>10</v>
      </c>
      <c r="Y159" s="11">
        <f ca="1">IFERROR(__xludf.DUMMYFUNCTION("""COMPUTED_VALUE"""),4)</f>
        <v>4</v>
      </c>
      <c r="Z159" s="12">
        <f ca="1">IFERROR(__xludf.DUMMYFUNCTION("""COMPUTED_VALUE"""),5)</f>
        <v>5</v>
      </c>
      <c r="AA159" s="12">
        <f ca="1">IFERROR(__xludf.DUMMYFUNCTION("""COMPUTED_VALUE"""),1)</f>
        <v>1</v>
      </c>
      <c r="AB159" s="12">
        <f ca="1">IFERROR(__xludf.DUMMYFUNCTION("""COMPUTED_VALUE"""),10)</f>
        <v>10</v>
      </c>
      <c r="AC159" s="12"/>
      <c r="AD159" s="12"/>
      <c r="AE159" s="12"/>
      <c r="AF159" s="12"/>
      <c r="AG159" s="13" t="str">
        <f ca="1">IFERROR(__xludf.DUMMYFUNCTION("ArrayFormula(VLOOKUP(G159, IMPORTRANGE(""https://docs.google.com/spreadsheets/d/1Co934fvtviyaRiMsrIlT05Jaq7iiYq07aLvRr35KA48/edit?gid=173865642#gid=173865642"", ""'G7_Maths_Pri_LU'!G2:V2000""), {3, 4, 5, 6, 7, 8, 9, 10, 11, 12, 13, 14, 15, 16}, 0))"),"LU000520")</f>
        <v>LU000520</v>
      </c>
      <c r="AH159" s="13" t="str">
        <f ca="1">IFERROR(__xludf.DUMMYFUNCTION("""COMPUTED_VALUE"""),"Law of product of power with the same base for whole numbers")</f>
        <v>Law of product of power with the same base for whole numbers</v>
      </c>
      <c r="AI159" s="13" t="str">
        <f ca="1">IFERROR(__xludf.DUMMYFUNCTION("""COMPUTED_VALUE"""),"LU000271")</f>
        <v>LU000271</v>
      </c>
      <c r="AJ159" s="13" t="str">
        <f ca="1">IFERROR(__xludf.DUMMYFUNCTION("""COMPUTED_VALUE"""),"Addition of integers using rules of signs")</f>
        <v>Addition of integers using rules of signs</v>
      </c>
      <c r="AK159" s="13" t="str">
        <f ca="1">IFERROR(__xludf.DUMMYFUNCTION("""COMPUTED_VALUE"""),"LU000517")</f>
        <v>LU000517</v>
      </c>
      <c r="AL159" s="13" t="str">
        <f ca="1">IFERROR(__xludf.DUMMYFUNCTION("""COMPUTED_VALUE"""),"Definition of exponent of a number")</f>
        <v>Definition of exponent of a number</v>
      </c>
      <c r="AM159" s="13" t="str">
        <f ca="1">IFERROR(__xludf.DUMMYFUNCTION("""COMPUTED_VALUE"""),"LU000518")</f>
        <v>LU000518</v>
      </c>
      <c r="AN159" s="13" t="str">
        <f ca="1">IFERROR(__xludf.DUMMYFUNCTION("""COMPUTED_VALUE"""),"Definition of base of a number")</f>
        <v>Definition of base of a number</v>
      </c>
      <c r="AO159" s="13" t="str">
        <f ca="1">IFERROR(__xludf.DUMMYFUNCTION("""COMPUTED_VALUE"""),"LU000265")</f>
        <v>LU000265</v>
      </c>
      <c r="AP159" s="13" t="str">
        <f ca="1">IFERROR(__xludf.DUMMYFUNCTION("""COMPUTED_VALUE"""),"Definition of integers")</f>
        <v>Definition of integers</v>
      </c>
      <c r="AQ159" s="13"/>
      <c r="AR159" s="13"/>
      <c r="AS159" s="13"/>
      <c r="AT159" s="13"/>
    </row>
    <row r="160" spans="1:46">
      <c r="A160" s="8" t="s">
        <v>247</v>
      </c>
      <c r="B160" s="8" t="s">
        <v>47</v>
      </c>
      <c r="C160" s="8" t="s">
        <v>416</v>
      </c>
      <c r="D160" s="8" t="s">
        <v>49</v>
      </c>
      <c r="E160" s="8" t="s">
        <v>631</v>
      </c>
      <c r="F160" s="10" t="s">
        <v>646</v>
      </c>
      <c r="G160" s="8" t="s">
        <v>647</v>
      </c>
      <c r="H160" s="8" t="str">
        <f ca="1">IFERROR(__xludf.DUMMYFUNCTION("VLOOKUP(G160, IMPORTRANGE(""https://docs.google.com/spreadsheets/d/14deopnvwcrKtEGCKuYXdUHJbeLDZlkiSSWWT0g7x2pM/edit#gid=999382323"", ""LU List Maths (Filter)!A:B""), 2, FALSE)"),"Law of quotient of powers with the same base for whole numbers")</f>
        <v>Law of quotient of powers with the same base for whole numbers</v>
      </c>
      <c r="I160" s="10" t="str">
        <f t="shared" si="0"/>
        <v>LU000523.001</v>
      </c>
      <c r="J160" s="10" t="str">
        <f ca="1">IFERROR(__xludf.DUMMYFUNCTION("VLOOKUP(I160, IMPORTRANGE(""https://docs.google.com/spreadsheets/d/1yDAaXNsi4Mr5FtRQL4tbmSdIzhx6_m4wkOD7IG-k_eo/edit#gid=0"", ""Maths!M:N""), 2, FALSE)"),"State that the quotient of powers with the same base for whole numbers states ""a^m / a^n = a^(m - n),"" where ""a"" is the base, and ""m"" and ""n"" are exponents.")</f>
        <v>State that the quotient of powers with the same base for whole numbers states "a^m / a^n = a^(m - n)," where "a" is the base, and "m" and "n" are exponents.</v>
      </c>
      <c r="K160" s="10" t="str">
        <f t="shared" si="1"/>
        <v>LU000523.002</v>
      </c>
      <c r="L160" s="10" t="str">
        <f ca="1">IFERROR(__xludf.DUMMYFUNCTION("VLOOKUP(K160, IMPORTRANGE(""https://docs.google.com/spreadsheets/d/1yDAaXNsi4Mr5FtRQL4tbmSdIzhx6_m4wkOD7IG-k_eo/edit#gid=0"", ""Maths!M:N""), 2, FALSE)"),"Describe how the law of quotient of powers with the same base for whole numbers enables to subtract the exponents of the same base when dividing powers.")</f>
        <v>Describe how the law of quotient of powers with the same base for whole numbers enables to subtract the exponents of the same base when dividing powers.</v>
      </c>
      <c r="M160" s="10" t="str">
        <f t="shared" si="2"/>
        <v>LU000523.003</v>
      </c>
      <c r="N160" s="10" t="str">
        <f ca="1">IFERROR(__xludf.DUMMYFUNCTION("VLOOKUP(M160, IMPORTRANGE(""https://docs.google.com/spreadsheets/d/1yDAaXNsi4Mr5FtRQL4tbmSdIzhx6_m4wkOD7IG-k_eo/edit#gid=0"", ""Maths!M:N""), 2, FALSE)"),"Apply the law of quotient of powers with the same base to simplify expressions involving whole numbers.")</f>
        <v>Apply the law of quotient of powers with the same base to simplify expressions involving whole numbers.</v>
      </c>
      <c r="O160" s="10" t="str">
        <f t="shared" si="3"/>
        <v>LU000523.004</v>
      </c>
      <c r="P160" s="10" t="str">
        <f ca="1">IFERROR(__xludf.DUMMYFUNCTION("VLOOKUP(O160, IMPORTRANGE(""https://docs.google.com/spreadsheets/d/1yDAaXNsi4Mr5FtRQL4tbmSdIzhx6_m4wkOD7IG-k_eo/edit#gid=0"", ""Maths!M:N""), 2, FALSE)"),"Deduce the law of quotient of power with same base for whole numbers.")</f>
        <v>Deduce the law of quotient of power with same base for whole numbers.</v>
      </c>
      <c r="Q160" s="10" t="str">
        <f t="shared" si="4"/>
        <v>LU000523.005</v>
      </c>
      <c r="R160" s="10" t="str">
        <f ca="1">IFERROR(__xludf.DUMMYFUNCTION("VLOOKUP(Q160, IMPORTRANGE(""https://docs.google.com/spreadsheets/d/1yDAaXNsi4Mr5FtRQL4tbmSdIzhx6_m4wkOD7IG-k_eo/edit#gid=0"", ""Maths!M:N""), 2, FALSE)"),"#N/A")</f>
        <v>#N/A</v>
      </c>
      <c r="S160" s="10" t="str">
        <f t="shared" si="5"/>
        <v>LU000523.006</v>
      </c>
      <c r="T160" s="10" t="str">
        <f ca="1">IFERROR(__xludf.DUMMYFUNCTION("VLOOKUP(S160, IMPORTRANGE(""https://docs.google.com/spreadsheets/d/1yDAaXNsi4Mr5FtRQL4tbmSdIzhx6_m4wkOD7IG-k_eo/edit#gid=0"", ""Maths!M:N""), 2, FALSE)"),"Construct a visual representation that illustrates how the law of quotient of power simplifies the division of powers with the same base for whole numbers.")</f>
        <v>Construct a visual representation that illustrates how the law of quotient of power simplifies the division of powers with the same base for whole numbers.</v>
      </c>
      <c r="U160" s="11">
        <f ca="1">IFERROR(__xludf.DUMMYFUNCTION("ArrayFormula(VLOOKUP(G160, IMPORTRANGE(""https://docs.google.com/spreadsheets/d/1p7R4vtkWt5VOBim4ltsDG9KTzSjrtKXsMtQGXPHyND0/edit#gid=795171502"", ""'Filter 30_05_2024'!A1:M2000""), {2, 3, 4, 5,6,7,8,9,10,11,12,13}, 0))"),4)</f>
        <v>4</v>
      </c>
      <c r="V160" s="11">
        <f ca="1">IFERROR(__xludf.DUMMYFUNCTION("""COMPUTED_VALUE"""),5)</f>
        <v>5</v>
      </c>
      <c r="W160" s="11">
        <f ca="1">IFERROR(__xludf.DUMMYFUNCTION("""COMPUTED_VALUE"""),2)</f>
        <v>2</v>
      </c>
      <c r="X160" s="11">
        <f ca="1">IFERROR(__xludf.DUMMYFUNCTION("""COMPUTED_VALUE"""),11)</f>
        <v>11</v>
      </c>
      <c r="Y160" s="11">
        <f ca="1">IFERROR(__xludf.DUMMYFUNCTION("""COMPUTED_VALUE"""),4)</f>
        <v>4</v>
      </c>
      <c r="Z160" s="12">
        <f ca="1">IFERROR(__xludf.DUMMYFUNCTION("""COMPUTED_VALUE"""),4)</f>
        <v>4</v>
      </c>
      <c r="AA160" s="12">
        <f ca="1">IFERROR(__xludf.DUMMYFUNCTION("""COMPUTED_VALUE"""),1)</f>
        <v>1</v>
      </c>
      <c r="AB160" s="12">
        <f ca="1">IFERROR(__xludf.DUMMYFUNCTION("""COMPUTED_VALUE"""),9)</f>
        <v>9</v>
      </c>
      <c r="AC160" s="12"/>
      <c r="AD160" s="12"/>
      <c r="AE160" s="12"/>
      <c r="AF160" s="12"/>
      <c r="AG160" s="13" t="str">
        <f ca="1">IFERROR(__xludf.DUMMYFUNCTION("ArrayFormula(VLOOKUP(G160, IMPORTRANGE(""https://docs.google.com/spreadsheets/d/1Co934fvtviyaRiMsrIlT05Jaq7iiYq07aLvRr35KA48/edit?gid=173865642#gid=173865642"", ""'G7_Maths_Pri_LU'!G2:V2000""), {3, 4, 5, 6, 7, 8, 9, 10, 11, 12, 13, 14, 15, 16}, 0))"),"LU000517")</f>
        <v>LU000517</v>
      </c>
      <c r="AH160" s="13" t="str">
        <f ca="1">IFERROR(__xludf.DUMMYFUNCTION("""COMPUTED_VALUE"""),"Definition of exponent of a number")</f>
        <v>Definition of exponent of a number</v>
      </c>
      <c r="AI160" s="13" t="str">
        <f ca="1">IFERROR(__xludf.DUMMYFUNCTION("""COMPUTED_VALUE"""),"LU000518")</f>
        <v>LU000518</v>
      </c>
      <c r="AJ160" s="13" t="str">
        <f ca="1">IFERROR(__xludf.DUMMYFUNCTION("""COMPUTED_VALUE"""),"Definition of base of a number")</f>
        <v>Definition of base of a number</v>
      </c>
      <c r="AK160" s="13" t="str">
        <f ca="1">IFERROR(__xludf.DUMMYFUNCTION("""COMPUTED_VALUE"""),"LU000176")</f>
        <v>LU000176</v>
      </c>
      <c r="AL160" s="13" t="str">
        <f ca="1">IFERROR(__xludf.DUMMYFUNCTION("""COMPUTED_VALUE"""),"Definition of whole number")</f>
        <v>Definition of whole number</v>
      </c>
      <c r="AM160" s="13"/>
      <c r="AN160" s="13"/>
      <c r="AO160" s="13"/>
      <c r="AP160" s="13"/>
      <c r="AQ160" s="13"/>
      <c r="AR160" s="13"/>
      <c r="AS160" s="13"/>
      <c r="AT160" s="13"/>
    </row>
    <row r="161" spans="1:46">
      <c r="A161" s="8" t="s">
        <v>247</v>
      </c>
      <c r="B161" s="8" t="s">
        <v>47</v>
      </c>
      <c r="C161" s="8" t="s">
        <v>416</v>
      </c>
      <c r="D161" s="8" t="s">
        <v>49</v>
      </c>
      <c r="E161" s="8" t="s">
        <v>631</v>
      </c>
      <c r="F161" s="10" t="s">
        <v>646</v>
      </c>
      <c r="G161" s="8" t="s">
        <v>648</v>
      </c>
      <c r="H161" s="8" t="str">
        <f ca="1">IFERROR(__xludf.DUMMYFUNCTION("VLOOKUP(G161, IMPORTRANGE(""https://docs.google.com/spreadsheets/d/14deopnvwcrKtEGCKuYXdUHJbeLDZlkiSSWWT0g7x2pM/edit#gid=999382323"", ""LU List Maths (Filter)!A:B""), 2, FALSE)"),"Law of quotient of power with the same base for integers")</f>
        <v>Law of quotient of power with the same base for integers</v>
      </c>
      <c r="I161" s="10" t="str">
        <f t="shared" si="0"/>
        <v>LU000524.001</v>
      </c>
      <c r="J161" s="10" t="str">
        <f ca="1">IFERROR(__xludf.DUMMYFUNCTION("VLOOKUP(I161, IMPORTRANGE(""https://docs.google.com/spreadsheets/d/1yDAaXNsi4Mr5FtRQL4tbmSdIzhx6_m4wkOD7IG-k_eo/edit#gid=0"", ""Maths!M:N""), 2, FALSE)"),"State that the quotient of powers with the same base for integers states ""a^m / a^n = a^(m - n),"" where ""a"" is the base, and ""m"" and ""n"" are exponents.")</f>
        <v>State that the quotient of powers with the same base for integers states "a^m / a^n = a^(m - n)," where "a" is the base, and "m" and "n" are exponents.</v>
      </c>
      <c r="K161" s="10" t="str">
        <f t="shared" si="1"/>
        <v>LU000524.002</v>
      </c>
      <c r="L161" s="10" t="str">
        <f ca="1">IFERROR(__xludf.DUMMYFUNCTION("VLOOKUP(K161, IMPORTRANGE(""https://docs.google.com/spreadsheets/d/1yDAaXNsi4Mr5FtRQL4tbmSdIzhx6_m4wkOD7IG-k_eo/edit#gid=0"", ""Maths!M:N""), 2, FALSE)"),"Describe how the law of quotient of powers with the same base for integers enables to subtract the exponents of the same base when dividing powers.")</f>
        <v>Describe how the law of quotient of powers with the same base for integers enables to subtract the exponents of the same base when dividing powers.</v>
      </c>
      <c r="M161" s="10" t="str">
        <f t="shared" si="2"/>
        <v>LU000524.003</v>
      </c>
      <c r="N161" s="10" t="str">
        <f ca="1">IFERROR(__xludf.DUMMYFUNCTION("VLOOKUP(M161, IMPORTRANGE(""https://docs.google.com/spreadsheets/d/1yDAaXNsi4Mr5FtRQL4tbmSdIzhx6_m4wkOD7IG-k_eo/edit#gid=0"", ""Maths!M:N""), 2, FALSE)"),"Apply the law of quotient of powers with the same base to simplify expressions involving integers.")</f>
        <v>Apply the law of quotient of powers with the same base to simplify expressions involving integers.</v>
      </c>
      <c r="O161" s="10" t="str">
        <f t="shared" si="3"/>
        <v>LU000524.004</v>
      </c>
      <c r="P161" s="10" t="str">
        <f ca="1">IFERROR(__xludf.DUMMYFUNCTION("VLOOKUP(O161, IMPORTRANGE(""https://docs.google.com/spreadsheets/d/1yDAaXNsi4Mr5FtRQL4tbmSdIzhx6_m4wkOD7IG-k_eo/edit#gid=0"", ""Maths!M:N""), 2, FALSE)"),"Deduce the law of quotient of power with same base for integers, breaking down the components.")</f>
        <v>Deduce the law of quotient of power with same base for integers, breaking down the components.</v>
      </c>
      <c r="Q161" s="10" t="str">
        <f t="shared" si="4"/>
        <v>LU000524.005</v>
      </c>
      <c r="R161" s="10" t="str">
        <f ca="1">IFERROR(__xludf.DUMMYFUNCTION("VLOOKUP(Q161, IMPORTRANGE(""https://docs.google.com/spreadsheets/d/1yDAaXNsi4Mr5FtRQL4tbmSdIzhx6_m4wkOD7IG-k_eo/edit#gid=0"", ""Maths!M:N""), 2, FALSE)"),"#N/A")</f>
        <v>#N/A</v>
      </c>
      <c r="S161" s="10" t="str">
        <f t="shared" si="5"/>
        <v>LU000524.006</v>
      </c>
      <c r="T161" s="10" t="str">
        <f ca="1">IFERROR(__xludf.DUMMYFUNCTION("VLOOKUP(S161, IMPORTRANGE(""https://docs.google.com/spreadsheets/d/1yDAaXNsi4Mr5FtRQL4tbmSdIzhx6_m4wkOD7IG-k_eo/edit#gid=0"", ""Maths!M:N""), 2, FALSE)"),"Construct a visual representation that illustrates how the law of quotient of power simplifies the division of powers with the same base for integers.")</f>
        <v>Construct a visual representation that illustrates how the law of quotient of power simplifies the division of powers with the same base for integers.</v>
      </c>
      <c r="U161" s="11">
        <f ca="1">IFERROR(__xludf.DUMMYFUNCTION("ArrayFormula(VLOOKUP(G161, IMPORTRANGE(""https://docs.google.com/spreadsheets/d/1p7R4vtkWt5VOBim4ltsDG9KTzSjrtKXsMtQGXPHyND0/edit#gid=795171502"", ""'Filter 30_05_2024'!A1:M2000""), {2, 3, 4, 5,6,7,8,9,10,11,12,13}, 0))"),4)</f>
        <v>4</v>
      </c>
      <c r="V161" s="11">
        <f ca="1">IFERROR(__xludf.DUMMYFUNCTION("""COMPUTED_VALUE"""),4)</f>
        <v>4</v>
      </c>
      <c r="W161" s="11">
        <f ca="1">IFERROR(__xludf.DUMMYFUNCTION("""COMPUTED_VALUE"""),2)</f>
        <v>2</v>
      </c>
      <c r="X161" s="11">
        <f ca="1">IFERROR(__xludf.DUMMYFUNCTION("""COMPUTED_VALUE"""),10)</f>
        <v>10</v>
      </c>
      <c r="Y161" s="11">
        <f ca="1">IFERROR(__xludf.DUMMYFUNCTION("""COMPUTED_VALUE"""),4)</f>
        <v>4</v>
      </c>
      <c r="Z161" s="12">
        <f ca="1">IFERROR(__xludf.DUMMYFUNCTION("""COMPUTED_VALUE"""),5)</f>
        <v>5</v>
      </c>
      <c r="AA161" s="12">
        <f ca="1">IFERROR(__xludf.DUMMYFUNCTION("""COMPUTED_VALUE"""),1)</f>
        <v>1</v>
      </c>
      <c r="AB161" s="12">
        <f ca="1">IFERROR(__xludf.DUMMYFUNCTION("""COMPUTED_VALUE"""),10)</f>
        <v>10</v>
      </c>
      <c r="AC161" s="12"/>
      <c r="AD161" s="12"/>
      <c r="AE161" s="12"/>
      <c r="AF161" s="12"/>
      <c r="AG161" s="13" t="str">
        <f ca="1">IFERROR(__xludf.DUMMYFUNCTION("ArrayFormula(VLOOKUP(G161, IMPORTRANGE(""https://docs.google.com/spreadsheets/d/1Co934fvtviyaRiMsrIlT05Jaq7iiYq07aLvRr35KA48/edit?gid=173865642#gid=173865642"", ""'G7_Maths_Pri_LU'!G2:V2000""), {3, 4, 5, 6, 7, 8, 9, 10, 11, 12, 13, 14, 15, 16}, 0))"),"LU000523")</f>
        <v>LU000523</v>
      </c>
      <c r="AH161" s="13" t="str">
        <f ca="1">IFERROR(__xludf.DUMMYFUNCTION("""COMPUTED_VALUE"""),"Law of quotient of powers with the same base for whole numbers")</f>
        <v>Law of quotient of powers with the same base for whole numbers</v>
      </c>
      <c r="AI161" s="13" t="str">
        <f ca="1">IFERROR(__xludf.DUMMYFUNCTION("""COMPUTED_VALUE"""),"LU000517")</f>
        <v>LU000517</v>
      </c>
      <c r="AJ161" s="13" t="str">
        <f ca="1">IFERROR(__xludf.DUMMYFUNCTION("""COMPUTED_VALUE"""),"Definition of exponent of a number")</f>
        <v>Definition of exponent of a number</v>
      </c>
      <c r="AK161" s="13" t="str">
        <f ca="1">IFERROR(__xludf.DUMMYFUNCTION("""COMPUTED_VALUE"""),"LU000518")</f>
        <v>LU000518</v>
      </c>
      <c r="AL161" s="13" t="str">
        <f ca="1">IFERROR(__xludf.DUMMYFUNCTION("""COMPUTED_VALUE"""),"Definition of base of a number")</f>
        <v>Definition of base of a number</v>
      </c>
      <c r="AM161" s="13" t="str">
        <f ca="1">IFERROR(__xludf.DUMMYFUNCTION("""COMPUTED_VALUE"""),"LU000361")</f>
        <v>LU000361</v>
      </c>
      <c r="AN161" s="13" t="str">
        <f ca="1">IFERROR(__xludf.DUMMYFUNCTION("""COMPUTED_VALUE"""),"Division of integers by non zero integer")</f>
        <v>Division of integers by non zero integer</v>
      </c>
      <c r="AO161" s="13" t="str">
        <f ca="1">IFERROR(__xludf.DUMMYFUNCTION("""COMPUTED_VALUE"""),"LU000265")</f>
        <v>LU000265</v>
      </c>
      <c r="AP161" s="13" t="str">
        <f ca="1">IFERROR(__xludf.DUMMYFUNCTION("""COMPUTED_VALUE"""),"Definition of integers")</f>
        <v>Definition of integers</v>
      </c>
      <c r="AQ161" s="13"/>
      <c r="AR161" s="13"/>
      <c r="AS161" s="13"/>
      <c r="AT161" s="13"/>
    </row>
    <row r="162" spans="1:46">
      <c r="A162" s="8" t="s">
        <v>247</v>
      </c>
      <c r="B162" s="8" t="s">
        <v>47</v>
      </c>
      <c r="C162" s="8" t="s">
        <v>416</v>
      </c>
      <c r="D162" s="8" t="s">
        <v>49</v>
      </c>
      <c r="E162" s="8" t="s">
        <v>631</v>
      </c>
      <c r="F162" s="10" t="s">
        <v>649</v>
      </c>
      <c r="G162" s="8" t="s">
        <v>650</v>
      </c>
      <c r="H162" s="8" t="str">
        <f ca="1">IFERROR(__xludf.DUMMYFUNCTION("VLOOKUP(G162, IMPORTRANGE(""https://docs.google.com/spreadsheets/d/14deopnvwcrKtEGCKuYXdUHJbeLDZlkiSSWWT0g7x2pM/edit#gid=999382323"", ""LU List Maths (Filter)!A:B""), 2, FALSE)"),"Law of product of power with the same exponent for whole numbers")</f>
        <v>Law of product of power with the same exponent for whole numbers</v>
      </c>
      <c r="I162" s="10" t="str">
        <f t="shared" si="0"/>
        <v>LU000529.001</v>
      </c>
      <c r="J162" s="10" t="str">
        <f ca="1">IFERROR(__xludf.DUMMYFUNCTION("VLOOKUP(I162, IMPORTRANGE(""https://docs.google.com/spreadsheets/d/1yDAaXNsi4Mr5FtRQL4tbmSdIzhx6_m4wkOD7IG-k_eo/edit#gid=0"", ""Maths!M:N""), 2, FALSE)"),"State the law of product of power with the same exponent for whole numbers.")</f>
        <v>State the law of product of power with the same exponent for whole numbers.</v>
      </c>
      <c r="K162" s="10" t="str">
        <f t="shared" si="1"/>
        <v>LU000529.002</v>
      </c>
      <c r="L162" s="10" t="str">
        <f ca="1">IFERROR(__xludf.DUMMYFUNCTION("VLOOKUP(K162, IMPORTRANGE(""https://docs.google.com/spreadsheets/d/1yDAaXNsi4Mr5FtRQL4tbmSdIzhx6_m4wkOD7IG-k_eo/edit#gid=0"", ""Maths!M:N""), 2, FALSE)"),"Describe how the law of product of power with the same exponent for whole numbers allows you to simplify expressions.")</f>
        <v>Describe how the law of product of power with the same exponent for whole numbers allows you to simplify expressions.</v>
      </c>
      <c r="M162" s="10" t="str">
        <f t="shared" si="2"/>
        <v>LU000529.003</v>
      </c>
      <c r="N162" s="10" t="str">
        <f ca="1">IFERROR(__xludf.DUMMYFUNCTION("VLOOKUP(M162, IMPORTRANGE(""https://docs.google.com/spreadsheets/d/1yDAaXNsi4Mr5FtRQL4tbmSdIzhx6_m4wkOD7IG-k_eo/edit#gid=0"", ""Maths!M:N""), 2, FALSE)"),"Apply the law of product of power with the same exponent to simplify expressions involving whole numbers.")</f>
        <v>Apply the law of product of power with the same exponent to simplify expressions involving whole numbers.</v>
      </c>
      <c r="O162" s="10" t="str">
        <f t="shared" si="3"/>
        <v>LU000529.004</v>
      </c>
      <c r="P162" s="10" t="str">
        <f ca="1">IFERROR(__xludf.DUMMYFUNCTION("VLOOKUP(O162, IMPORTRANGE(""https://docs.google.com/spreadsheets/d/1yDAaXNsi4Mr5FtRQL4tbmSdIzhx6_m4wkOD7IG-k_eo/edit#gid=0"", ""Maths!M:N""), 2, FALSE)"),"Deduce the law of product of power with the same exponent for whole numbers.")</f>
        <v>Deduce the law of product of power with the same exponent for whole numbers.</v>
      </c>
      <c r="Q162" s="10" t="str">
        <f t="shared" si="4"/>
        <v>LU000529.005</v>
      </c>
      <c r="R162" s="10" t="str">
        <f ca="1">IFERROR(__xludf.DUMMYFUNCTION("VLOOKUP(Q162, IMPORTRANGE(""https://docs.google.com/spreadsheets/d/1yDAaXNsi4Mr5FtRQL4tbmSdIzhx6_m4wkOD7IG-k_eo/edit#gid=0"", ""Maths!M:N""), 2, FALSE)"),"#N/A")</f>
        <v>#N/A</v>
      </c>
      <c r="S162" s="10" t="str">
        <f t="shared" si="5"/>
        <v>LU000529.006</v>
      </c>
      <c r="T162" s="10" t="str">
        <f ca="1">IFERROR(__xludf.DUMMYFUNCTION("VLOOKUP(S162, IMPORTRANGE(""https://docs.google.com/spreadsheets/d/1yDAaXNsi4Mr5FtRQL4tbmSdIzhx6_m4wkOD7IG-k_eo/edit#gid=0"", ""Maths!M:N""), 2, FALSE)"),"Design a set of practice problems that require applying the law of product of power with the same exponent for whole numbers to simplify and solve.")</f>
        <v>Design a set of practice problems that require applying the law of product of power with the same exponent for whole numbers to simplify and solve.</v>
      </c>
      <c r="U162" s="11">
        <f ca="1">IFERROR(__xludf.DUMMYFUNCTION("ArrayFormula(VLOOKUP(G162, IMPORTRANGE(""https://docs.google.com/spreadsheets/d/1p7R4vtkWt5VOBim4ltsDG9KTzSjrtKXsMtQGXPHyND0/edit#gid=795171502"", ""'Filter 30_05_2024'!A1:M2000""), {2, 3, 4, 5,6,7,8,9,10,11,12,13}, 0))"),4)</f>
        <v>4</v>
      </c>
      <c r="V162" s="11">
        <f ca="1">IFERROR(__xludf.DUMMYFUNCTION("""COMPUTED_VALUE"""),10)</f>
        <v>10</v>
      </c>
      <c r="W162" s="11">
        <f ca="1">IFERROR(__xludf.DUMMYFUNCTION("""COMPUTED_VALUE"""),2)</f>
        <v>2</v>
      </c>
      <c r="X162" s="11">
        <f ca="1">IFERROR(__xludf.DUMMYFUNCTION("""COMPUTED_VALUE"""),16)</f>
        <v>16</v>
      </c>
      <c r="Y162" s="11">
        <f ca="1">IFERROR(__xludf.DUMMYFUNCTION("""COMPUTED_VALUE"""),4)</f>
        <v>4</v>
      </c>
      <c r="Z162" s="12">
        <f ca="1">IFERROR(__xludf.DUMMYFUNCTION("""COMPUTED_VALUE"""),4)</f>
        <v>4</v>
      </c>
      <c r="AA162" s="12">
        <f ca="1">IFERROR(__xludf.DUMMYFUNCTION("""COMPUTED_VALUE"""),1)</f>
        <v>1</v>
      </c>
      <c r="AB162" s="12">
        <f ca="1">IFERROR(__xludf.DUMMYFUNCTION("""COMPUTED_VALUE"""),9)</f>
        <v>9</v>
      </c>
      <c r="AC162" s="12"/>
      <c r="AD162" s="12"/>
      <c r="AE162" s="12"/>
      <c r="AF162" s="12"/>
      <c r="AG162" s="13" t="str">
        <f ca="1">IFERROR(__xludf.DUMMYFUNCTION("ArrayFormula(VLOOKUP(G162, IMPORTRANGE(""https://docs.google.com/spreadsheets/d/1Co934fvtviyaRiMsrIlT05Jaq7iiYq07aLvRr35KA48/edit?gid=173865642#gid=173865642"", ""'G7_Maths_Pri_LU'!G2:V2000""), {3, 4, 5, 6, 7, 8, 9, 10, 11, 12, 13, 14, 15, 16}, 0))"),"LU000517")</f>
        <v>LU000517</v>
      </c>
      <c r="AH162" s="13" t="str">
        <f ca="1">IFERROR(__xludf.DUMMYFUNCTION("""COMPUTED_VALUE"""),"Definition of exponent of a number")</f>
        <v>Definition of exponent of a number</v>
      </c>
      <c r="AI162" s="13" t="str">
        <f ca="1">IFERROR(__xludf.DUMMYFUNCTION("""COMPUTED_VALUE"""),"LU000518")</f>
        <v>LU000518</v>
      </c>
      <c r="AJ162" s="13" t="str">
        <f ca="1">IFERROR(__xludf.DUMMYFUNCTION("""COMPUTED_VALUE"""),"Definition of base of a number")</f>
        <v>Definition of base of a number</v>
      </c>
      <c r="AK162" s="13" t="str">
        <f ca="1">IFERROR(__xludf.DUMMYFUNCTION("""COMPUTED_VALUE"""),"LU000176")</f>
        <v>LU000176</v>
      </c>
      <c r="AL162" s="13" t="str">
        <f ca="1">IFERROR(__xludf.DUMMYFUNCTION("""COMPUTED_VALUE"""),"Definition of whole number")</f>
        <v>Definition of whole number</v>
      </c>
      <c r="AM162" s="13"/>
      <c r="AN162" s="13"/>
      <c r="AO162" s="13"/>
      <c r="AP162" s="13"/>
      <c r="AQ162" s="13"/>
      <c r="AR162" s="13"/>
      <c r="AS162" s="13"/>
      <c r="AT162" s="13"/>
    </row>
    <row r="163" spans="1:46">
      <c r="A163" s="8" t="s">
        <v>247</v>
      </c>
      <c r="B163" s="8" t="s">
        <v>47</v>
      </c>
      <c r="C163" s="8" t="s">
        <v>416</v>
      </c>
      <c r="D163" s="8" t="s">
        <v>49</v>
      </c>
      <c r="E163" s="8" t="s">
        <v>631</v>
      </c>
      <c r="F163" s="10" t="s">
        <v>649</v>
      </c>
      <c r="G163" s="8" t="s">
        <v>651</v>
      </c>
      <c r="H163" s="8" t="str">
        <f ca="1">IFERROR(__xludf.DUMMYFUNCTION("VLOOKUP(G163, IMPORTRANGE(""https://docs.google.com/spreadsheets/d/14deopnvwcrKtEGCKuYXdUHJbeLDZlkiSSWWT0g7x2pM/edit#gid=999382323"", ""LU List Maths (Filter)!A:B""), 2, FALSE)"),"Law of product of power with the same exponent for integers")</f>
        <v>Law of product of power with the same exponent for integers</v>
      </c>
      <c r="I163" s="10" t="str">
        <f t="shared" si="0"/>
        <v>LU000530.001</v>
      </c>
      <c r="J163" s="10" t="str">
        <f ca="1">IFERROR(__xludf.DUMMYFUNCTION("VLOOKUP(I163, IMPORTRANGE(""https://docs.google.com/spreadsheets/d/1yDAaXNsi4Mr5FtRQL4tbmSdIzhx6_m4wkOD7IG-k_eo/edit#gid=0"", ""Maths!M:N""), 2, FALSE)"),"State the law of product of power with the same exponent for integers.")</f>
        <v>State the law of product of power with the same exponent for integers.</v>
      </c>
      <c r="K163" s="10" t="str">
        <f t="shared" si="1"/>
        <v>LU000530.002</v>
      </c>
      <c r="L163" s="10" t="str">
        <f ca="1">IFERROR(__xludf.DUMMYFUNCTION("VLOOKUP(K163, IMPORTRANGE(""https://docs.google.com/spreadsheets/d/1yDAaXNsi4Mr5FtRQL4tbmSdIzhx6_m4wkOD7IG-k_eo/edit#gid=0"", ""Maths!M:N""), 2, FALSE)"),"Describe how the law of product of power with the same exponent for integers allows you to simplify expressions.")</f>
        <v>Describe how the law of product of power with the same exponent for integers allows you to simplify expressions.</v>
      </c>
      <c r="M163" s="10" t="str">
        <f t="shared" si="2"/>
        <v>LU000530.003</v>
      </c>
      <c r="N163" s="10" t="str">
        <f ca="1">IFERROR(__xludf.DUMMYFUNCTION("VLOOKUP(M163, IMPORTRANGE(""https://docs.google.com/spreadsheets/d/1yDAaXNsi4Mr5FtRQL4tbmSdIzhx6_m4wkOD7IG-k_eo/edit#gid=0"", ""Maths!M:N""), 2, FALSE)"),"Apply the law of product of power with the same exponent to simplify expressions involving integers.")</f>
        <v>Apply the law of product of power with the same exponent to simplify expressions involving integers.</v>
      </c>
      <c r="O163" s="10" t="str">
        <f t="shared" si="3"/>
        <v>LU000530.004</v>
      </c>
      <c r="P163" s="10" t="str">
        <f ca="1">IFERROR(__xludf.DUMMYFUNCTION("VLOOKUP(O163, IMPORTRANGE(""https://docs.google.com/spreadsheets/d/1yDAaXNsi4Mr5FtRQL4tbmSdIzhx6_m4wkOD7IG-k_eo/edit#gid=0"", ""Maths!M:N""), 2, FALSE)"),"Deduce the law of product of power with the same exponent for integers.")</f>
        <v>Deduce the law of product of power with the same exponent for integers.</v>
      </c>
      <c r="Q163" s="10" t="str">
        <f t="shared" si="4"/>
        <v>LU000530.005</v>
      </c>
      <c r="R163" s="10" t="str">
        <f ca="1">IFERROR(__xludf.DUMMYFUNCTION("VLOOKUP(Q163, IMPORTRANGE(""https://docs.google.com/spreadsheets/d/1yDAaXNsi4Mr5FtRQL4tbmSdIzhx6_m4wkOD7IG-k_eo/edit#gid=0"", ""Maths!M:N""), 2, FALSE)"),"#N/A")</f>
        <v>#N/A</v>
      </c>
      <c r="S163" s="10" t="str">
        <f t="shared" si="5"/>
        <v>LU000530.006</v>
      </c>
      <c r="T163" s="10" t="str">
        <f ca="1">IFERROR(__xludf.DUMMYFUNCTION("VLOOKUP(S163, IMPORTRANGE(""https://docs.google.com/spreadsheets/d/1yDAaXNsi4Mr5FtRQL4tbmSdIzhx6_m4wkOD7IG-k_eo/edit#gid=0"", ""Maths!M:N""), 2, FALSE)"),"Design a set of practice problems that require applying the law of product of power with the same exponent for integers to simplify and solve.")</f>
        <v>Design a set of practice problems that require applying the law of product of power with the same exponent for integers to simplify and solve.</v>
      </c>
      <c r="U163" s="11">
        <f ca="1">IFERROR(__xludf.DUMMYFUNCTION("ArrayFormula(VLOOKUP(G163, IMPORTRANGE(""https://docs.google.com/spreadsheets/d/1p7R4vtkWt5VOBim4ltsDG9KTzSjrtKXsMtQGXPHyND0/edit#gid=795171502"", ""'Filter 30_05_2024'!A1:M2000""), {2, 3, 4, 5,6,7,8,9,10,11,12,13}, 0))"),4)</f>
        <v>4</v>
      </c>
      <c r="V163" s="11">
        <f ca="1">IFERROR(__xludf.DUMMYFUNCTION("""COMPUTED_VALUE"""),4)</f>
        <v>4</v>
      </c>
      <c r="W163" s="11">
        <f ca="1">IFERROR(__xludf.DUMMYFUNCTION("""COMPUTED_VALUE"""),2)</f>
        <v>2</v>
      </c>
      <c r="X163" s="11">
        <f ca="1">IFERROR(__xludf.DUMMYFUNCTION("""COMPUTED_VALUE"""),10)</f>
        <v>10</v>
      </c>
      <c r="Y163" s="11">
        <f ca="1">IFERROR(__xludf.DUMMYFUNCTION("""COMPUTED_VALUE"""),4)</f>
        <v>4</v>
      </c>
      <c r="Z163" s="12">
        <f ca="1">IFERROR(__xludf.DUMMYFUNCTION("""COMPUTED_VALUE"""),3)</f>
        <v>3</v>
      </c>
      <c r="AA163" s="12">
        <f ca="1">IFERROR(__xludf.DUMMYFUNCTION("""COMPUTED_VALUE"""),1)</f>
        <v>1</v>
      </c>
      <c r="AB163" s="12">
        <f ca="1">IFERROR(__xludf.DUMMYFUNCTION("""COMPUTED_VALUE"""),8)</f>
        <v>8</v>
      </c>
      <c r="AC163" s="12"/>
      <c r="AD163" s="12"/>
      <c r="AE163" s="12"/>
      <c r="AF163" s="12"/>
      <c r="AG163" s="13" t="str">
        <f ca="1">IFERROR(__xludf.DUMMYFUNCTION("ArrayFormula(VLOOKUP(G163, IMPORTRANGE(""https://docs.google.com/spreadsheets/d/1Co934fvtviyaRiMsrIlT05Jaq7iiYq07aLvRr35KA48/edit?gid=173865642#gid=173865642"", ""'G7_Maths_Pri_LU'!G2:V2000""), {3, 4, 5, 6, 7, 8, 9, 10, 11, 12, 13, 14, 15, 16}, 0))"),"LU000529")</f>
        <v>LU000529</v>
      </c>
      <c r="AH163" s="13" t="str">
        <f ca="1">IFERROR(__xludf.DUMMYFUNCTION("""COMPUTED_VALUE"""),"Law of product of power with the same exponent for whole numbers")</f>
        <v>Law of product of power with the same exponent for whole numbers</v>
      </c>
      <c r="AI163" s="13" t="str">
        <f ca="1">IFERROR(__xludf.DUMMYFUNCTION("""COMPUTED_VALUE"""),"LU000517")</f>
        <v>LU000517</v>
      </c>
      <c r="AJ163" s="13" t="str">
        <f ca="1">IFERROR(__xludf.DUMMYFUNCTION("""COMPUTED_VALUE"""),"Definition of exponent of a number")</f>
        <v>Definition of exponent of a number</v>
      </c>
      <c r="AK163" s="13" t="str">
        <f ca="1">IFERROR(__xludf.DUMMYFUNCTION("""COMPUTED_VALUE"""),"LU000518")</f>
        <v>LU000518</v>
      </c>
      <c r="AL163" s="13" t="str">
        <f ca="1">IFERROR(__xludf.DUMMYFUNCTION("""COMPUTED_VALUE"""),"Definition of base of a number")</f>
        <v>Definition of base of a number</v>
      </c>
      <c r="AM163" s="13" t="str">
        <f ca="1">IFERROR(__xludf.DUMMYFUNCTION("""COMPUTED_VALUE"""),"LU000265")</f>
        <v>LU000265</v>
      </c>
      <c r="AN163" s="13" t="str">
        <f ca="1">IFERROR(__xludf.DUMMYFUNCTION("""COMPUTED_VALUE"""),"Definition of integers")</f>
        <v>Definition of integers</v>
      </c>
      <c r="AO163" s="13"/>
      <c r="AP163" s="13"/>
      <c r="AQ163" s="13"/>
      <c r="AR163" s="13"/>
      <c r="AS163" s="13"/>
      <c r="AT163" s="13"/>
    </row>
    <row r="164" spans="1:46">
      <c r="A164" s="8" t="s">
        <v>247</v>
      </c>
      <c r="B164" s="8" t="s">
        <v>47</v>
      </c>
      <c r="C164" s="8" t="s">
        <v>416</v>
      </c>
      <c r="D164" s="8" t="s">
        <v>49</v>
      </c>
      <c r="E164" s="8" t="s">
        <v>631</v>
      </c>
      <c r="F164" s="10" t="s">
        <v>652</v>
      </c>
      <c r="G164" s="8" t="s">
        <v>653</v>
      </c>
      <c r="H164" s="8" t="str">
        <f ca="1">IFERROR(__xludf.DUMMYFUNCTION("VLOOKUP(G164, IMPORTRANGE(""https://docs.google.com/spreadsheets/d/14deopnvwcrKtEGCKuYXdUHJbeLDZlkiSSWWT0g7x2pM/edit#gid=999382323"", ""LU List Maths (Filter)!A:B""), 2, FALSE)"),"Law of quotient of powers with the same exponent for whole numbers")</f>
        <v>Law of quotient of powers with the same exponent for whole numbers</v>
      </c>
      <c r="I164" s="10" t="str">
        <f t="shared" si="0"/>
        <v>LU000532.001</v>
      </c>
      <c r="J164" s="10" t="str">
        <f ca="1">IFERROR(__xludf.DUMMYFUNCTION("VLOOKUP(I164, IMPORTRANGE(""https://docs.google.com/spreadsheets/d/1yDAaXNsi4Mr5FtRQL4tbmSdIzhx6_m4wkOD7IG-k_eo/edit#gid=0"", ""Maths!M:N""), 2, FALSE)"),"State the law of quotient of powers with the same exponent for whole numbers.")</f>
        <v>State the law of quotient of powers with the same exponent for whole numbers.</v>
      </c>
      <c r="K164" s="10" t="str">
        <f t="shared" si="1"/>
        <v>LU000532.002</v>
      </c>
      <c r="L164" s="10" t="str">
        <f ca="1">IFERROR(__xludf.DUMMYFUNCTION("VLOOKUP(K164, IMPORTRANGE(""https://docs.google.com/spreadsheets/d/1yDAaXNsi4Mr5FtRQL4tbmSdIzhx6_m4wkOD7IG-k_eo/edit#gid=0"", ""Maths!M:N""), 2, FALSE)"),"Describe how the law of quotient of powers with the same exponent for whole numbers allows you to simplify expressions.")</f>
        <v>Describe how the law of quotient of powers with the same exponent for whole numbers allows you to simplify expressions.</v>
      </c>
      <c r="M164" s="10" t="str">
        <f t="shared" si="2"/>
        <v>LU000532.003</v>
      </c>
      <c r="N164" s="10" t="str">
        <f ca="1">IFERROR(__xludf.DUMMYFUNCTION("VLOOKUP(M164, IMPORTRANGE(""https://docs.google.com/spreadsheets/d/1yDAaXNsi4Mr5FtRQL4tbmSdIzhx6_m4wkOD7IG-k_eo/edit#gid=0"", ""Maths!M:N""), 2, FALSE)"),"Apply the law of quotient of powers with the same exponent to simplify expressions involving whole numbers.")</f>
        <v>Apply the law of quotient of powers with the same exponent to simplify expressions involving whole numbers.</v>
      </c>
      <c r="O164" s="10" t="str">
        <f t="shared" si="3"/>
        <v>LU000532.004</v>
      </c>
      <c r="P164" s="10" t="str">
        <f ca="1">IFERROR(__xludf.DUMMYFUNCTION("VLOOKUP(O164, IMPORTRANGE(""https://docs.google.com/spreadsheets/d/1yDAaXNsi4Mr5FtRQL4tbmSdIzhx6_m4wkOD7IG-k_eo/edit#gid=0"", ""Maths!M:N""), 2, FALSE)"),"Deduce the law of quotient of powers with the same exponent for whole numbers.")</f>
        <v>Deduce the law of quotient of powers with the same exponent for whole numbers.</v>
      </c>
      <c r="Q164" s="10" t="str">
        <f t="shared" si="4"/>
        <v>LU000532.005</v>
      </c>
      <c r="R164" s="10" t="str">
        <f ca="1">IFERROR(__xludf.DUMMYFUNCTION("VLOOKUP(Q164, IMPORTRANGE(""https://docs.google.com/spreadsheets/d/1yDAaXNsi4Mr5FtRQL4tbmSdIzhx6_m4wkOD7IG-k_eo/edit#gid=0"", ""Maths!M:N""), 2, FALSE)"),"#N/A")</f>
        <v>#N/A</v>
      </c>
      <c r="S164" s="10" t="str">
        <f t="shared" si="5"/>
        <v>LU000532.006</v>
      </c>
      <c r="T164" s="10" t="str">
        <f ca="1">IFERROR(__xludf.DUMMYFUNCTION("VLOOKUP(S164, IMPORTRANGE(""https://docs.google.com/spreadsheets/d/1yDAaXNsi4Mr5FtRQL4tbmSdIzhx6_m4wkOD7IG-k_eo/edit#gid=0"", ""Maths!M:N""), 2, FALSE)"),"Design a set of practice problems that require applying the law of quotient of powers with the same exponent for whole numbers to simplify and solve.")</f>
        <v>Design a set of practice problems that require applying the law of quotient of powers with the same exponent for whole numbers to simplify and solve.</v>
      </c>
      <c r="U164" s="11">
        <f ca="1">IFERROR(__xludf.DUMMYFUNCTION("ArrayFormula(VLOOKUP(G164, IMPORTRANGE(""https://docs.google.com/spreadsheets/d/1p7R4vtkWt5VOBim4ltsDG9KTzSjrtKXsMtQGXPHyND0/edit#gid=795171502"", ""'Filter 30_05_2024'!A1:M2000""), {2, 3, 4, 5,6,7,8,9,10,11,12,13}, 0))"),4)</f>
        <v>4</v>
      </c>
      <c r="V164" s="11">
        <f ca="1">IFERROR(__xludf.DUMMYFUNCTION("""COMPUTED_VALUE"""),8)</f>
        <v>8</v>
      </c>
      <c r="W164" s="11">
        <f ca="1">IFERROR(__xludf.DUMMYFUNCTION("""COMPUTED_VALUE"""),2)</f>
        <v>2</v>
      </c>
      <c r="X164" s="11">
        <f ca="1">IFERROR(__xludf.DUMMYFUNCTION("""COMPUTED_VALUE"""),14)</f>
        <v>14</v>
      </c>
      <c r="Y164" s="11">
        <f ca="1">IFERROR(__xludf.DUMMYFUNCTION("""COMPUTED_VALUE"""),4)</f>
        <v>4</v>
      </c>
      <c r="Z164" s="12">
        <f ca="1">IFERROR(__xludf.DUMMYFUNCTION("""COMPUTED_VALUE"""),3)</f>
        <v>3</v>
      </c>
      <c r="AA164" s="12">
        <f ca="1">IFERROR(__xludf.DUMMYFUNCTION("""COMPUTED_VALUE"""),1)</f>
        <v>1</v>
      </c>
      <c r="AB164" s="12">
        <f ca="1">IFERROR(__xludf.DUMMYFUNCTION("""COMPUTED_VALUE"""),8)</f>
        <v>8</v>
      </c>
      <c r="AC164" s="12"/>
      <c r="AD164" s="12"/>
      <c r="AE164" s="12"/>
      <c r="AF164" s="12"/>
      <c r="AG164" s="13" t="str">
        <f ca="1">IFERROR(__xludf.DUMMYFUNCTION("ArrayFormula(VLOOKUP(G164, IMPORTRANGE(""https://docs.google.com/spreadsheets/d/1Co934fvtviyaRiMsrIlT05Jaq7iiYq07aLvRr35KA48/edit?gid=173865642#gid=173865642"", ""'G7_Maths_Pri_LU'!G2:V2000""), {3, 4, 5, 6, 7, 8, 9, 10, 11, 12, 13, 14, 15, 16}, 0))"),"LU000517")</f>
        <v>LU000517</v>
      </c>
      <c r="AH164" s="13" t="str">
        <f ca="1">IFERROR(__xludf.DUMMYFUNCTION("""COMPUTED_VALUE"""),"Definition of exponent of a number")</f>
        <v>Definition of exponent of a number</v>
      </c>
      <c r="AI164" s="13" t="str">
        <f ca="1">IFERROR(__xludf.DUMMYFUNCTION("""COMPUTED_VALUE"""),"LU000518")</f>
        <v>LU000518</v>
      </c>
      <c r="AJ164" s="13" t="str">
        <f ca="1">IFERROR(__xludf.DUMMYFUNCTION("""COMPUTED_VALUE"""),"Definition of base of a number")</f>
        <v>Definition of base of a number</v>
      </c>
      <c r="AK164" s="13" t="str">
        <f ca="1">IFERROR(__xludf.DUMMYFUNCTION("""COMPUTED_VALUE"""),"LU000176")</f>
        <v>LU000176</v>
      </c>
      <c r="AL164" s="13" t="str">
        <f ca="1">IFERROR(__xludf.DUMMYFUNCTION("""COMPUTED_VALUE"""),"Definition of whole number")</f>
        <v>Definition of whole number</v>
      </c>
      <c r="AM164" s="13"/>
      <c r="AN164" s="13"/>
      <c r="AO164" s="13"/>
      <c r="AP164" s="13"/>
      <c r="AQ164" s="13"/>
      <c r="AR164" s="13"/>
      <c r="AS164" s="13"/>
      <c r="AT164" s="13"/>
    </row>
    <row r="165" spans="1:46">
      <c r="A165" s="8" t="s">
        <v>247</v>
      </c>
      <c r="B165" s="8" t="s">
        <v>47</v>
      </c>
      <c r="C165" s="8" t="s">
        <v>416</v>
      </c>
      <c r="D165" s="8" t="s">
        <v>49</v>
      </c>
      <c r="E165" s="8" t="s">
        <v>631</v>
      </c>
      <c r="F165" s="10" t="s">
        <v>652</v>
      </c>
      <c r="G165" s="8" t="s">
        <v>654</v>
      </c>
      <c r="H165" s="8" t="str">
        <f ca="1">IFERROR(__xludf.DUMMYFUNCTION("VLOOKUP(G165, IMPORTRANGE(""https://docs.google.com/spreadsheets/d/14deopnvwcrKtEGCKuYXdUHJbeLDZlkiSSWWT0g7x2pM/edit#gid=999382323"", ""LU List Maths (Filter)!A:B""), 2, FALSE)"),"Law of quotient of power with the same exponent for integers")</f>
        <v>Law of quotient of power with the same exponent for integers</v>
      </c>
      <c r="I165" s="10" t="str">
        <f t="shared" si="0"/>
        <v>LU000533.001</v>
      </c>
      <c r="J165" s="10" t="str">
        <f ca="1">IFERROR(__xludf.DUMMYFUNCTION("VLOOKUP(I165, IMPORTRANGE(""https://docs.google.com/spreadsheets/d/1yDAaXNsi4Mr5FtRQL4tbmSdIzhx6_m4wkOD7IG-k_eo/edit#gid=0"", ""Maths!M:N""), 2, FALSE)"),"State the law of quotient of powers with the same exponent for integers.")</f>
        <v>State the law of quotient of powers with the same exponent for integers.</v>
      </c>
      <c r="K165" s="10" t="str">
        <f t="shared" si="1"/>
        <v>LU000533.002</v>
      </c>
      <c r="L165" s="10" t="str">
        <f ca="1">IFERROR(__xludf.DUMMYFUNCTION("VLOOKUP(K165, IMPORTRANGE(""https://docs.google.com/spreadsheets/d/1yDAaXNsi4Mr5FtRQL4tbmSdIzhx6_m4wkOD7IG-k_eo/edit#gid=0"", ""Maths!M:N""), 2, FALSE)"),"Describe how the law of quotient of powers with the same exponent for integers allows you to simplify expressions.")</f>
        <v>Describe how the law of quotient of powers with the same exponent for integers allows you to simplify expressions.</v>
      </c>
      <c r="M165" s="10" t="str">
        <f t="shared" si="2"/>
        <v>LU000533.003</v>
      </c>
      <c r="N165" s="10" t="str">
        <f ca="1">IFERROR(__xludf.DUMMYFUNCTION("VLOOKUP(M165, IMPORTRANGE(""https://docs.google.com/spreadsheets/d/1yDAaXNsi4Mr5FtRQL4tbmSdIzhx6_m4wkOD7IG-k_eo/edit#gid=0"", ""Maths!M:N""), 2, FALSE)"),"Apply the law of quotient of powers with the same exponent to simplify expressions involving integers.")</f>
        <v>Apply the law of quotient of powers with the same exponent to simplify expressions involving integers.</v>
      </c>
      <c r="O165" s="10" t="str">
        <f t="shared" si="3"/>
        <v>LU000533.004</v>
      </c>
      <c r="P165" s="10" t="str">
        <f ca="1">IFERROR(__xludf.DUMMYFUNCTION("VLOOKUP(O165, IMPORTRANGE(""https://docs.google.com/spreadsheets/d/1yDAaXNsi4Mr5FtRQL4tbmSdIzhx6_m4wkOD7IG-k_eo/edit#gid=0"", ""Maths!M:N""), 2, FALSE)"),"Deduce the law of quotient of powers with the same exponent for integers.")</f>
        <v>Deduce the law of quotient of powers with the same exponent for integers.</v>
      </c>
      <c r="Q165" s="10" t="str">
        <f t="shared" si="4"/>
        <v>LU000533.005</v>
      </c>
      <c r="R165" s="10" t="str">
        <f ca="1">IFERROR(__xludf.DUMMYFUNCTION("VLOOKUP(Q165, IMPORTRANGE(""https://docs.google.com/spreadsheets/d/1yDAaXNsi4Mr5FtRQL4tbmSdIzhx6_m4wkOD7IG-k_eo/edit#gid=0"", ""Maths!M:N""), 2, FALSE)"),"#N/A")</f>
        <v>#N/A</v>
      </c>
      <c r="S165" s="10" t="str">
        <f t="shared" si="5"/>
        <v>LU000533.006</v>
      </c>
      <c r="T165" s="10" t="str">
        <f ca="1">IFERROR(__xludf.DUMMYFUNCTION("VLOOKUP(S165, IMPORTRANGE(""https://docs.google.com/spreadsheets/d/1yDAaXNsi4Mr5FtRQL4tbmSdIzhx6_m4wkOD7IG-k_eo/edit#gid=0"", ""Maths!M:N""), 2, FALSE)"),"Design a set of practice problems that require applying the law of quotient of powers with the same exponent for integers to simplify and solve.")</f>
        <v>Design a set of practice problems that require applying the law of quotient of powers with the same exponent for integers to simplify and solve.</v>
      </c>
      <c r="U165" s="11">
        <f ca="1">IFERROR(__xludf.DUMMYFUNCTION("ArrayFormula(VLOOKUP(G165, IMPORTRANGE(""https://docs.google.com/spreadsheets/d/1p7R4vtkWt5VOBim4ltsDG9KTzSjrtKXsMtQGXPHyND0/edit#gid=795171502"", ""'Filter 30_05_2024'!A1:M2000""), {2, 3, 4, 5,6,7,8,9,10,11,12,13}, 0))"),4)</f>
        <v>4</v>
      </c>
      <c r="V165" s="11">
        <f ca="1">IFERROR(__xludf.DUMMYFUNCTION("""COMPUTED_VALUE"""),6)</f>
        <v>6</v>
      </c>
      <c r="W165" s="11">
        <f ca="1">IFERROR(__xludf.DUMMYFUNCTION("""COMPUTED_VALUE"""),2)</f>
        <v>2</v>
      </c>
      <c r="X165" s="11">
        <f ca="1">IFERROR(__xludf.DUMMYFUNCTION("""COMPUTED_VALUE"""),12)</f>
        <v>12</v>
      </c>
      <c r="Y165" s="11">
        <f ca="1">IFERROR(__xludf.DUMMYFUNCTION("""COMPUTED_VALUE"""),4)</f>
        <v>4</v>
      </c>
      <c r="Z165" s="12">
        <f ca="1">IFERROR(__xludf.DUMMYFUNCTION("""COMPUTED_VALUE"""),3)</f>
        <v>3</v>
      </c>
      <c r="AA165" s="12">
        <f ca="1">IFERROR(__xludf.DUMMYFUNCTION("""COMPUTED_VALUE"""),1)</f>
        <v>1</v>
      </c>
      <c r="AB165" s="12">
        <f ca="1">IFERROR(__xludf.DUMMYFUNCTION("""COMPUTED_VALUE"""),8)</f>
        <v>8</v>
      </c>
      <c r="AC165" s="12"/>
      <c r="AD165" s="12"/>
      <c r="AE165" s="12"/>
      <c r="AF165" s="12"/>
      <c r="AG165" s="13" t="str">
        <f ca="1">IFERROR(__xludf.DUMMYFUNCTION("ArrayFormula(VLOOKUP(G165, IMPORTRANGE(""https://docs.google.com/spreadsheets/d/1Co934fvtviyaRiMsrIlT05Jaq7iiYq07aLvRr35KA48/edit?gid=173865642#gid=173865642"", ""'G7_Maths_Pri_LU'!G2:V2000""), {3, 4, 5, 6, 7, 8, 9, 10, 11, 12, 13, 14, 15, 16}, 0))"),"LU000532")</f>
        <v>LU000532</v>
      </c>
      <c r="AH165" s="13" t="str">
        <f ca="1">IFERROR(__xludf.DUMMYFUNCTION("""COMPUTED_VALUE"""),"Law of quotient of powers with the same exponent for whole numbers")</f>
        <v>Law of quotient of powers with the same exponent for whole numbers</v>
      </c>
      <c r="AI165" s="13" t="str">
        <f ca="1">IFERROR(__xludf.DUMMYFUNCTION("""COMPUTED_VALUE"""),"LU000517")</f>
        <v>LU000517</v>
      </c>
      <c r="AJ165" s="13" t="str">
        <f ca="1">IFERROR(__xludf.DUMMYFUNCTION("""COMPUTED_VALUE"""),"Definition of exponent of a number")</f>
        <v>Definition of exponent of a number</v>
      </c>
      <c r="AK165" s="13" t="str">
        <f ca="1">IFERROR(__xludf.DUMMYFUNCTION("""COMPUTED_VALUE"""),"LU000518")</f>
        <v>LU000518</v>
      </c>
      <c r="AL165" s="13" t="str">
        <f ca="1">IFERROR(__xludf.DUMMYFUNCTION("""COMPUTED_VALUE"""),"Definition of base of a number")</f>
        <v>Definition of base of a number</v>
      </c>
      <c r="AM165" s="13" t="str">
        <f ca="1">IFERROR(__xludf.DUMMYFUNCTION("""COMPUTED_VALUE"""),"LU000361")</f>
        <v>LU000361</v>
      </c>
      <c r="AN165" s="13" t="str">
        <f ca="1">IFERROR(__xludf.DUMMYFUNCTION("""COMPUTED_VALUE"""),"Division of integers by non zero integer")</f>
        <v>Division of integers by non zero integer</v>
      </c>
      <c r="AO165" s="13" t="str">
        <f ca="1">IFERROR(__xludf.DUMMYFUNCTION("""COMPUTED_VALUE"""),"LU000265")</f>
        <v>LU000265</v>
      </c>
      <c r="AP165" s="13" t="str">
        <f ca="1">IFERROR(__xludf.DUMMYFUNCTION("""COMPUTED_VALUE"""),"Definition of integers")</f>
        <v>Definition of integers</v>
      </c>
      <c r="AQ165" s="13"/>
      <c r="AR165" s="13"/>
      <c r="AS165" s="13"/>
      <c r="AT165" s="13"/>
    </row>
    <row r="166" spans="1:46">
      <c r="A166" s="8" t="s">
        <v>247</v>
      </c>
      <c r="B166" s="8" t="s">
        <v>47</v>
      </c>
      <c r="C166" s="8" t="s">
        <v>416</v>
      </c>
      <c r="D166" s="8" t="s">
        <v>49</v>
      </c>
      <c r="E166" s="8" t="s">
        <v>631</v>
      </c>
      <c r="F166" s="8" t="s">
        <v>655</v>
      </c>
      <c r="G166" s="8" t="s">
        <v>656</v>
      </c>
      <c r="H166" s="8" t="str">
        <f ca="1">IFERROR(__xludf.DUMMYFUNCTION("VLOOKUP(G166, IMPORTRANGE(""https://docs.google.com/spreadsheets/d/14deopnvwcrKtEGCKuYXdUHJbeLDZlkiSSWWT0g7x2pM/edit#gid=999382323"", ""LU List Maths (Filter)!A:B""), 2, FALSE)"),"Law of power of a power for whole numbers")</f>
        <v>Law of power of a power for whole numbers</v>
      </c>
      <c r="I166" s="10" t="str">
        <f t="shared" si="0"/>
        <v>LU000526.001</v>
      </c>
      <c r="J166" s="10" t="str">
        <f ca="1">IFERROR(__xludf.DUMMYFUNCTION("VLOOKUP(I166, IMPORTRANGE(""https://docs.google.com/spreadsheets/d/1yDAaXNsi4Mr5FtRQL4tbmSdIzhx6_m4wkOD7IG-k_eo/edit#gid=0"", ""Maths!M:N""), 2, FALSE)"),"State the law of power of a power for whole numbers.")</f>
        <v>State the law of power of a power for whole numbers.</v>
      </c>
      <c r="K166" s="10" t="str">
        <f t="shared" si="1"/>
        <v>LU000526.002</v>
      </c>
      <c r="L166" s="10" t="str">
        <f ca="1">IFERROR(__xludf.DUMMYFUNCTION("VLOOKUP(K166, IMPORTRANGE(""https://docs.google.com/spreadsheets/d/1yDAaXNsi4Mr5FtRQL4tbmSdIzhx6_m4wkOD7IG-k_eo/edit#gid=0"", ""Maths!M:N""), 2, FALSE)"),"Explain the concept of the law of power of a power for whole numbers, emphasising how it simplifies raising a power to another power.")</f>
        <v>Explain the concept of the law of power of a power for whole numbers, emphasising how it simplifies raising a power to another power.</v>
      </c>
      <c r="M166" s="10" t="str">
        <f t="shared" si="2"/>
        <v>LU000526.003</v>
      </c>
      <c r="N166" s="10" t="str">
        <f ca="1">IFERROR(__xludf.DUMMYFUNCTION("VLOOKUP(M166, IMPORTRANGE(""https://docs.google.com/spreadsheets/d/1yDAaXNsi4Mr5FtRQL4tbmSdIzhx6_m4wkOD7IG-k_eo/edit#gid=0"", ""Maths!M:N""), 2, FALSE)"),"Apply the law of power of a power to simplify expressions involving whole numbers.")</f>
        <v>Apply the law of power of a power to simplify expressions involving whole numbers.</v>
      </c>
      <c r="O166" s="10" t="str">
        <f t="shared" si="3"/>
        <v>LU000526.004</v>
      </c>
      <c r="P166" s="10" t="str">
        <f ca="1">IFERROR(__xludf.DUMMYFUNCTION("VLOOKUP(O166, IMPORTRANGE(""https://docs.google.com/spreadsheets/d/1yDAaXNsi4Mr5FtRQL4tbmSdIzhx6_m4wkOD7IG-k_eo/edit#gid=0"", ""Maths!M:N""), 2, FALSE)"),"Deduce the law of power of a power for whole numbers identifying the components and recognising how the exponents multiply.")</f>
        <v>Deduce the law of power of a power for whole numbers identifying the components and recognising how the exponents multiply.</v>
      </c>
      <c r="Q166" s="10" t="str">
        <f t="shared" si="4"/>
        <v>LU000526.005</v>
      </c>
      <c r="R166" s="10" t="str">
        <f ca="1">IFERROR(__xludf.DUMMYFUNCTION("VLOOKUP(Q166, IMPORTRANGE(""https://docs.google.com/spreadsheets/d/1yDAaXNsi4Mr5FtRQL4tbmSdIzhx6_m4wkOD7IG-k_eo/edit#gid=0"", ""Maths!M:N""), 2, FALSE)"),"#N/A")</f>
        <v>#N/A</v>
      </c>
      <c r="S166" s="10" t="str">
        <f t="shared" si="5"/>
        <v>LU000526.006</v>
      </c>
      <c r="T166" s="10" t="str">
        <f ca="1">IFERROR(__xludf.DUMMYFUNCTION("VLOOKUP(S166, IMPORTRANGE(""https://docs.google.com/spreadsheets/d/1yDAaXNsi4Mr5FtRQL4tbmSdIzhx6_m4wkOD7IG-k_eo/edit#gid=0"", ""Maths!M:N""), 2, FALSE)"),"Design a set of original mathematical expressions that involve the law of power of a power for whole numbers and simplify them.")</f>
        <v>Design a set of original mathematical expressions that involve the law of power of a power for whole numbers and simplify them.</v>
      </c>
      <c r="U166" s="11">
        <f ca="1">IFERROR(__xludf.DUMMYFUNCTION("ArrayFormula(VLOOKUP(G166, IMPORTRANGE(""https://docs.google.com/spreadsheets/d/1p7R4vtkWt5VOBim4ltsDG9KTzSjrtKXsMtQGXPHyND0/edit#gid=795171502"", ""'Filter 30_05_2024'!A1:M2000""), {2, 3, 4, 5,6,7,8,9,10,11,12,13}, 0))"),4)</f>
        <v>4</v>
      </c>
      <c r="V166" s="11">
        <f ca="1">IFERROR(__xludf.DUMMYFUNCTION("""COMPUTED_VALUE"""),2)</f>
        <v>2</v>
      </c>
      <c r="W166" s="11">
        <f ca="1">IFERROR(__xludf.DUMMYFUNCTION("""COMPUTED_VALUE"""),2)</f>
        <v>2</v>
      </c>
      <c r="X166" s="11">
        <f ca="1">IFERROR(__xludf.DUMMYFUNCTION("""COMPUTED_VALUE"""),8)</f>
        <v>8</v>
      </c>
      <c r="Y166" s="11">
        <f ca="1">IFERROR(__xludf.DUMMYFUNCTION("""COMPUTED_VALUE"""),4)</f>
        <v>4</v>
      </c>
      <c r="Z166" s="12">
        <f ca="1">IFERROR(__xludf.DUMMYFUNCTION("""COMPUTED_VALUE"""),4)</f>
        <v>4</v>
      </c>
      <c r="AA166" s="12">
        <f ca="1">IFERROR(__xludf.DUMMYFUNCTION("""COMPUTED_VALUE"""),1)</f>
        <v>1</v>
      </c>
      <c r="AB166" s="12">
        <f ca="1">IFERROR(__xludf.DUMMYFUNCTION("""COMPUTED_VALUE"""),9)</f>
        <v>9</v>
      </c>
      <c r="AC166" s="12"/>
      <c r="AD166" s="12"/>
      <c r="AE166" s="12"/>
      <c r="AF166" s="12"/>
      <c r="AG166" s="13" t="str">
        <f ca="1">IFERROR(__xludf.DUMMYFUNCTION("ArrayFormula(VLOOKUP(G166, IMPORTRANGE(""https://docs.google.com/spreadsheets/d/1Co934fvtviyaRiMsrIlT05Jaq7iiYq07aLvRr35KA48/edit?gid=173865642#gid=173865642"", ""'G7_Maths_Pri_LU'!G2:V2000""), {3, 4, 5, 6, 7, 8, 9, 10, 11, 12, 13, 14, 15, 16}, 0))"),"LU000517")</f>
        <v>LU000517</v>
      </c>
      <c r="AH166" s="13" t="str">
        <f ca="1">IFERROR(__xludf.DUMMYFUNCTION("""COMPUTED_VALUE"""),"Definition of exponent of a number")</f>
        <v>Definition of exponent of a number</v>
      </c>
      <c r="AI166" s="13" t="str">
        <f ca="1">IFERROR(__xludf.DUMMYFUNCTION("""COMPUTED_VALUE"""),"LU000518")</f>
        <v>LU000518</v>
      </c>
      <c r="AJ166" s="13" t="str">
        <f ca="1">IFERROR(__xludf.DUMMYFUNCTION("""COMPUTED_VALUE"""),"Definition of base of a number")</f>
        <v>Definition of base of a number</v>
      </c>
      <c r="AK166" s="13" t="str">
        <f ca="1">IFERROR(__xludf.DUMMYFUNCTION("""COMPUTED_VALUE"""),"LU000176")</f>
        <v>LU000176</v>
      </c>
      <c r="AL166" s="13" t="str">
        <f ca="1">IFERROR(__xludf.DUMMYFUNCTION("""COMPUTED_VALUE"""),"Definition of whole number")</f>
        <v>Definition of whole number</v>
      </c>
      <c r="AM166" s="13"/>
      <c r="AN166" s="13"/>
      <c r="AO166" s="13"/>
      <c r="AP166" s="13"/>
      <c r="AQ166" s="13"/>
      <c r="AR166" s="13"/>
      <c r="AS166" s="13"/>
      <c r="AT166" s="13"/>
    </row>
    <row r="167" spans="1:46">
      <c r="A167" s="8" t="s">
        <v>247</v>
      </c>
      <c r="B167" s="8" t="s">
        <v>47</v>
      </c>
      <c r="C167" s="8" t="s">
        <v>416</v>
      </c>
      <c r="D167" s="8" t="s">
        <v>49</v>
      </c>
      <c r="E167" s="8" t="s">
        <v>631</v>
      </c>
      <c r="F167" s="8" t="s">
        <v>655</v>
      </c>
      <c r="G167" s="8" t="s">
        <v>657</v>
      </c>
      <c r="H167" s="8" t="str">
        <f ca="1">IFERROR(__xludf.DUMMYFUNCTION("VLOOKUP(G167, IMPORTRANGE(""https://docs.google.com/spreadsheets/d/14deopnvwcrKtEGCKuYXdUHJbeLDZlkiSSWWT0g7x2pM/edit#gid=999382323"", ""LU List Maths (Filter)!A:B""), 2, FALSE)"),"Law of power of a power for integers")</f>
        <v>Law of power of a power for integers</v>
      </c>
      <c r="I167" s="10" t="str">
        <f t="shared" si="0"/>
        <v>LU000527.001</v>
      </c>
      <c r="J167" s="10" t="str">
        <f ca="1">IFERROR(__xludf.DUMMYFUNCTION("VLOOKUP(I167, IMPORTRANGE(""https://docs.google.com/spreadsheets/d/1yDAaXNsi4Mr5FtRQL4tbmSdIzhx6_m4wkOD7IG-k_eo/edit#gid=0"", ""Maths!M:N""), 2, FALSE)"),"State the law of power of a power for integers.")</f>
        <v>State the law of power of a power for integers.</v>
      </c>
      <c r="K167" s="10" t="str">
        <f t="shared" si="1"/>
        <v>LU000527.002</v>
      </c>
      <c r="L167" s="10" t="str">
        <f ca="1">IFERROR(__xludf.DUMMYFUNCTION("VLOOKUP(K167, IMPORTRANGE(""https://docs.google.com/spreadsheets/d/1yDAaXNsi4Mr5FtRQL4tbmSdIzhx6_m4wkOD7IG-k_eo/edit#gid=0"", ""Maths!M:N""), 2, FALSE)"),"Explain the concept of the law of power of a power for integers, emphasising how it simplifies raising a power to another power.")</f>
        <v>Explain the concept of the law of power of a power for integers, emphasising how it simplifies raising a power to another power.</v>
      </c>
      <c r="M167" s="10" t="str">
        <f t="shared" si="2"/>
        <v>LU000527.003</v>
      </c>
      <c r="N167" s="10" t="str">
        <f ca="1">IFERROR(__xludf.DUMMYFUNCTION("VLOOKUP(M167, IMPORTRANGE(""https://docs.google.com/spreadsheets/d/1yDAaXNsi4Mr5FtRQL4tbmSdIzhx6_m4wkOD7IG-k_eo/edit#gid=0"", ""Maths!M:N""), 2, FALSE)"),"Apply the law of power of a power to simplify expressions involving integers.")</f>
        <v>Apply the law of power of a power to simplify expressions involving integers.</v>
      </c>
      <c r="O167" s="10" t="str">
        <f t="shared" si="3"/>
        <v>LU000527.004</v>
      </c>
      <c r="P167" s="10" t="str">
        <f ca="1">IFERROR(__xludf.DUMMYFUNCTION("VLOOKUP(O167, IMPORTRANGE(""https://docs.google.com/spreadsheets/d/1yDAaXNsi4Mr5FtRQL4tbmSdIzhx6_m4wkOD7IG-k_eo/edit#gid=0"", ""Maths!M:N""), 2, FALSE)"),"Deduce the law of power of a power for integers identifying the components and recognising how the exponents multiply.")</f>
        <v>Deduce the law of power of a power for integers identifying the components and recognising how the exponents multiply.</v>
      </c>
      <c r="Q167" s="10" t="str">
        <f t="shared" si="4"/>
        <v>LU000527.005</v>
      </c>
      <c r="R167" s="10" t="str">
        <f ca="1">IFERROR(__xludf.DUMMYFUNCTION("VLOOKUP(Q167, IMPORTRANGE(""https://docs.google.com/spreadsheets/d/1yDAaXNsi4Mr5FtRQL4tbmSdIzhx6_m4wkOD7IG-k_eo/edit#gid=0"", ""Maths!M:N""), 2, FALSE)"),"#N/A")</f>
        <v>#N/A</v>
      </c>
      <c r="S167" s="10" t="str">
        <f t="shared" si="5"/>
        <v>LU000527.006</v>
      </c>
      <c r="T167" s="10" t="str">
        <f ca="1">IFERROR(__xludf.DUMMYFUNCTION("VLOOKUP(S167, IMPORTRANGE(""https://docs.google.com/spreadsheets/d/1yDAaXNsi4Mr5FtRQL4tbmSdIzhx6_m4wkOD7IG-k_eo/edit#gid=0"", ""Maths!M:N""), 2, FALSE)"),"Design a set of original mathematical expressions that involve the law of power of a power for integers and simplify them.")</f>
        <v>Design a set of original mathematical expressions that involve the law of power of a power for integers and simplify them.</v>
      </c>
      <c r="U167" s="11">
        <f ca="1">IFERROR(__xludf.DUMMYFUNCTION("ArrayFormula(VLOOKUP(G167, IMPORTRANGE(""https://docs.google.com/spreadsheets/d/1p7R4vtkWt5VOBim4ltsDG9KTzSjrtKXsMtQGXPHyND0/edit#gid=795171502"", ""'Filter 30_05_2024'!A1:M2000""), {2, 3, 4, 5,6,7,8,9,10,11,12,13}, 0))"),4)</f>
        <v>4</v>
      </c>
      <c r="V167" s="11">
        <f ca="1">IFERROR(__xludf.DUMMYFUNCTION("""COMPUTED_VALUE"""),4)</f>
        <v>4</v>
      </c>
      <c r="W167" s="11">
        <f ca="1">IFERROR(__xludf.DUMMYFUNCTION("""COMPUTED_VALUE"""),2)</f>
        <v>2</v>
      </c>
      <c r="X167" s="11">
        <f ca="1">IFERROR(__xludf.DUMMYFUNCTION("""COMPUTED_VALUE"""),10)</f>
        <v>10</v>
      </c>
      <c r="Y167" s="11">
        <f ca="1">IFERROR(__xludf.DUMMYFUNCTION("""COMPUTED_VALUE"""),4)</f>
        <v>4</v>
      </c>
      <c r="Z167" s="12">
        <f ca="1">IFERROR(__xludf.DUMMYFUNCTION("""COMPUTED_VALUE"""),5)</f>
        <v>5</v>
      </c>
      <c r="AA167" s="12">
        <f ca="1">IFERROR(__xludf.DUMMYFUNCTION("""COMPUTED_VALUE"""),1)</f>
        <v>1</v>
      </c>
      <c r="AB167" s="12">
        <f ca="1">IFERROR(__xludf.DUMMYFUNCTION("""COMPUTED_VALUE"""),10)</f>
        <v>10</v>
      </c>
      <c r="AC167" s="12"/>
      <c r="AD167" s="12"/>
      <c r="AE167" s="12"/>
      <c r="AF167" s="12"/>
      <c r="AG167" s="13" t="str">
        <f ca="1">IFERROR(__xludf.DUMMYFUNCTION("ArrayFormula(VLOOKUP(G167, IMPORTRANGE(""https://docs.google.com/spreadsheets/d/1Co934fvtviyaRiMsrIlT05Jaq7iiYq07aLvRr35KA48/edit?gid=173865642#gid=173865642"", ""'G7_Maths_Pri_LU'!G2:V2000""), {3, 4, 5, 6, 7, 8, 9, 10, 11, 12, 13, 14, 15, 16}, 0))"),"LU000526")</f>
        <v>LU000526</v>
      </c>
      <c r="AH167" s="13" t="str">
        <f ca="1">IFERROR(__xludf.DUMMYFUNCTION("""COMPUTED_VALUE"""),"Law of power of a power for whole numbers")</f>
        <v>Law of power of a power for whole numbers</v>
      </c>
      <c r="AI167" s="13" t="str">
        <f ca="1">IFERROR(__xludf.DUMMYFUNCTION("""COMPUTED_VALUE"""),"LU000517")</f>
        <v>LU000517</v>
      </c>
      <c r="AJ167" s="13" t="str">
        <f ca="1">IFERROR(__xludf.DUMMYFUNCTION("""COMPUTED_VALUE"""),"Definition of exponent of a number")</f>
        <v>Definition of exponent of a number</v>
      </c>
      <c r="AK167" s="13" t="str">
        <f ca="1">IFERROR(__xludf.DUMMYFUNCTION("""COMPUTED_VALUE"""),"LU000518")</f>
        <v>LU000518</v>
      </c>
      <c r="AL167" s="13" t="str">
        <f ca="1">IFERROR(__xludf.DUMMYFUNCTION("""COMPUTED_VALUE"""),"Definition of base of a number")</f>
        <v>Definition of base of a number</v>
      </c>
      <c r="AM167" s="13" t="str">
        <f ca="1">IFERROR(__xludf.DUMMYFUNCTION("""COMPUTED_VALUE"""),"LU000265")</f>
        <v>LU000265</v>
      </c>
      <c r="AN167" s="13" t="str">
        <f ca="1">IFERROR(__xludf.DUMMYFUNCTION("""COMPUTED_VALUE"""),"Definition of integers")</f>
        <v>Definition of integers</v>
      </c>
      <c r="AO167" s="13"/>
      <c r="AP167" s="13"/>
      <c r="AQ167" s="13"/>
      <c r="AR167" s="13"/>
      <c r="AS167" s="13"/>
      <c r="AT167" s="13"/>
    </row>
    <row r="168" spans="1:46">
      <c r="A168" s="8" t="s">
        <v>247</v>
      </c>
      <c r="B168" s="8" t="s">
        <v>47</v>
      </c>
      <c r="C168" s="8" t="s">
        <v>416</v>
      </c>
      <c r="D168" s="8" t="s">
        <v>49</v>
      </c>
      <c r="E168" s="8" t="s">
        <v>631</v>
      </c>
      <c r="F168" s="8" t="s">
        <v>658</v>
      </c>
      <c r="G168" s="8" t="s">
        <v>659</v>
      </c>
      <c r="H168" s="8" t="str">
        <f ca="1">IFERROR(__xludf.DUMMYFUNCTION("VLOOKUP(G168, IMPORTRANGE(""https://docs.google.com/spreadsheets/d/14deopnvwcrKtEGCKuYXdUHJbeLDZlkiSSWWT0g7x2pM/edit#gid=999382323"", ""LU List Maths (Filter)!A:B""), 2, FALSE)"),"Law of zero power for whole numbers")</f>
        <v>Law of zero power for whole numbers</v>
      </c>
      <c r="I168" s="10" t="str">
        <f t="shared" si="0"/>
        <v>LU000538.001</v>
      </c>
      <c r="J168" s="10" t="str">
        <f ca="1">IFERROR(__xludf.DUMMYFUNCTION("VLOOKUP(I168, IMPORTRANGE(""https://docs.google.com/spreadsheets/d/1yDAaXNsi4Mr5FtRQL4tbmSdIzhx6_m4wkOD7IG-k_eo/edit#gid=0"", ""Maths!M:N""), 2, FALSE)"),"State the law of zero power for whole numbers and its significance.")</f>
        <v>State the law of zero power for whole numbers and its significance.</v>
      </c>
      <c r="K168" s="10" t="str">
        <f t="shared" si="1"/>
        <v>LU000538.002</v>
      </c>
      <c r="L168" s="10" t="str">
        <f ca="1">IFERROR(__xludf.DUMMYFUNCTION("VLOOKUP(K168, IMPORTRANGE(""https://docs.google.com/spreadsheets/d/1yDAaXNsi4Mr5FtRQL4tbmSdIzhx6_m4wkOD7IG-k_eo/edit#gid=0"", ""Maths!M:N""), 2, FALSE)"),"Describe the law of zero power for whole numbers, emphasizing how it relates to exponentiation.")</f>
        <v>Describe the law of zero power for whole numbers, emphasizing how it relates to exponentiation.</v>
      </c>
      <c r="M168" s="10" t="str">
        <f t="shared" si="2"/>
        <v>LU000538.003</v>
      </c>
      <c r="N168" s="10" t="str">
        <f ca="1">IFERROR(__xludf.DUMMYFUNCTION("VLOOKUP(M168, IMPORTRANGE(""https://docs.google.com/spreadsheets/d/1yDAaXNsi4Mr5FtRQL4tbmSdIzhx6_m4wkOD7IG-k_eo/edit#gid=0"", ""Maths!M:N""), 2, FALSE)"),"Apply the law of zero power to simplify expressions involving whole numbers.")</f>
        <v>Apply the law of zero power to simplify expressions involving whole numbers.</v>
      </c>
      <c r="O168" s="10" t="str">
        <f t="shared" si="3"/>
        <v>LU000538.004</v>
      </c>
      <c r="P168" s="10" t="str">
        <f ca="1">IFERROR(__xludf.DUMMYFUNCTION("VLOOKUP(O168, IMPORTRANGE(""https://docs.google.com/spreadsheets/d/1yDAaXNsi4Mr5FtRQL4tbmSdIzhx6_m4wkOD7IG-k_eo/edit#gid=0"", ""Maths!M:N""), 2, FALSE)"),"Analyse expressions involving the law of zero power for whole numbers, recognising the consistent result of 1.")</f>
        <v>Analyse expressions involving the law of zero power for whole numbers, recognising the consistent result of 1.</v>
      </c>
      <c r="Q168" s="10" t="str">
        <f t="shared" si="4"/>
        <v>LU000538.005</v>
      </c>
      <c r="R168" s="10" t="str">
        <f ca="1">IFERROR(__xludf.DUMMYFUNCTION("VLOOKUP(Q168, IMPORTRANGE(""https://docs.google.com/spreadsheets/d/1yDAaXNsi4Mr5FtRQL4tbmSdIzhx6_m4wkOD7IG-k_eo/edit#gid=0"", ""Maths!M:N""), 2, FALSE)"),"Evaluate the importance of the law of zero power for whole numbers in mathematical operations and simplifications.")</f>
        <v>Evaluate the importance of the law of zero power for whole numbers in mathematical operations and simplifications.</v>
      </c>
      <c r="S168" s="10" t="str">
        <f t="shared" si="5"/>
        <v>LU000538.006</v>
      </c>
      <c r="T168" s="10" t="str">
        <f ca="1">IFERROR(__xludf.DUMMYFUNCTION("VLOOKUP(S168, IMPORTRANGE(""https://docs.google.com/spreadsheets/d/1yDAaXNsi4Mr5FtRQL4tbmSdIzhx6_m4wkOD7IG-k_eo/edit#gid=0"", ""Maths!M:N""), 2, FALSE)"),"Design a set of practice problems that require applying the law of zero power for whole numbers to simplify and solve.")</f>
        <v>Design a set of practice problems that require applying the law of zero power for whole numbers to simplify and solve.</v>
      </c>
      <c r="U168" s="11">
        <f ca="1">IFERROR(__xludf.DUMMYFUNCTION("ArrayFormula(VLOOKUP(G168, IMPORTRANGE(""https://docs.google.com/spreadsheets/d/1p7R4vtkWt5VOBim4ltsDG9KTzSjrtKXsMtQGXPHyND0/edit#gid=795171502"", ""'Filter 30_05_2024'!A1:M2000""), {2, 3, 4, 5,6,7,8,9,10,11,12,13}, 0))"),4)</f>
        <v>4</v>
      </c>
      <c r="V168" s="11">
        <f ca="1">IFERROR(__xludf.DUMMYFUNCTION("""COMPUTED_VALUE"""),8)</f>
        <v>8</v>
      </c>
      <c r="W168" s="11">
        <f ca="1">IFERROR(__xludf.DUMMYFUNCTION("""COMPUTED_VALUE"""),2)</f>
        <v>2</v>
      </c>
      <c r="X168" s="11">
        <f ca="1">IFERROR(__xludf.DUMMYFUNCTION("""COMPUTED_VALUE"""),14)</f>
        <v>14</v>
      </c>
      <c r="Y168" s="11">
        <f ca="1">IFERROR(__xludf.DUMMYFUNCTION("""COMPUTED_VALUE"""),4)</f>
        <v>4</v>
      </c>
      <c r="Z168" s="12">
        <f ca="1">IFERROR(__xludf.DUMMYFUNCTION("""COMPUTED_VALUE"""),3)</f>
        <v>3</v>
      </c>
      <c r="AA168" s="12">
        <f ca="1">IFERROR(__xludf.DUMMYFUNCTION("""COMPUTED_VALUE"""),1)</f>
        <v>1</v>
      </c>
      <c r="AB168" s="12">
        <f ca="1">IFERROR(__xludf.DUMMYFUNCTION("""COMPUTED_VALUE"""),8)</f>
        <v>8</v>
      </c>
      <c r="AC168" s="12"/>
      <c r="AD168" s="12"/>
      <c r="AE168" s="12"/>
      <c r="AF168" s="12"/>
      <c r="AG168" s="13" t="str">
        <f ca="1">IFERROR(__xludf.DUMMYFUNCTION("ArrayFormula(VLOOKUP(G168, IMPORTRANGE(""https://docs.google.com/spreadsheets/d/1Co934fvtviyaRiMsrIlT05Jaq7iiYq07aLvRr35KA48/edit?gid=173865642#gid=173865642"", ""'G7_Maths_Pri_LU'!G2:V2000""), {3, 4, 5, 6, 7, 8, 9, 10, 11, 12, 13, 14, 15, 16}, 0))"),"LU000517")</f>
        <v>LU000517</v>
      </c>
      <c r="AH168" s="13" t="str">
        <f ca="1">IFERROR(__xludf.DUMMYFUNCTION("""COMPUTED_VALUE"""),"Definition of exponent of a number")</f>
        <v>Definition of exponent of a number</v>
      </c>
      <c r="AI168" s="13" t="str">
        <f ca="1">IFERROR(__xludf.DUMMYFUNCTION("""COMPUTED_VALUE"""),"LU000518")</f>
        <v>LU000518</v>
      </c>
      <c r="AJ168" s="13" t="str">
        <f ca="1">IFERROR(__xludf.DUMMYFUNCTION("""COMPUTED_VALUE"""),"Definition of base of a number")</f>
        <v>Definition of base of a number</v>
      </c>
      <c r="AK168" s="13" t="str">
        <f ca="1">IFERROR(__xludf.DUMMYFUNCTION("""COMPUTED_VALUE"""),"LU000176")</f>
        <v>LU000176</v>
      </c>
      <c r="AL168" s="13" t="str">
        <f ca="1">IFERROR(__xludf.DUMMYFUNCTION("""COMPUTED_VALUE"""),"Definition of whole number")</f>
        <v>Definition of whole number</v>
      </c>
      <c r="AM168" s="13"/>
      <c r="AN168" s="13"/>
      <c r="AO168" s="13"/>
      <c r="AP168" s="13"/>
      <c r="AQ168" s="13"/>
      <c r="AR168" s="13"/>
      <c r="AS168" s="13"/>
      <c r="AT168" s="13"/>
    </row>
    <row r="169" spans="1:46">
      <c r="A169" s="8" t="s">
        <v>247</v>
      </c>
      <c r="B169" s="8" t="s">
        <v>47</v>
      </c>
      <c r="C169" s="8" t="s">
        <v>416</v>
      </c>
      <c r="D169" s="8" t="s">
        <v>49</v>
      </c>
      <c r="E169" s="8" t="s">
        <v>631</v>
      </c>
      <c r="F169" s="8" t="s">
        <v>658</v>
      </c>
      <c r="G169" s="8" t="s">
        <v>660</v>
      </c>
      <c r="H169" s="8" t="str">
        <f ca="1">IFERROR(__xludf.DUMMYFUNCTION("VLOOKUP(G169, IMPORTRANGE(""https://docs.google.com/spreadsheets/d/14deopnvwcrKtEGCKuYXdUHJbeLDZlkiSSWWT0g7x2pM/edit#gid=999382323"", ""LU List Maths (Filter)!A:B""), 2, FALSE)"),"Law of zero power for integers")</f>
        <v>Law of zero power for integers</v>
      </c>
      <c r="I169" s="10" t="str">
        <f t="shared" si="0"/>
        <v>LU000539.001</v>
      </c>
      <c r="J169" s="10" t="str">
        <f ca="1">IFERROR(__xludf.DUMMYFUNCTION("VLOOKUP(I169, IMPORTRANGE(""https://docs.google.com/spreadsheets/d/1yDAaXNsi4Mr5FtRQL4tbmSdIzhx6_m4wkOD7IG-k_eo/edit#gid=0"", ""Maths!M:N""), 2, FALSE)"),"State the law of zero power for integers and its significance.")</f>
        <v>State the law of zero power for integers and its significance.</v>
      </c>
      <c r="K169" s="10" t="str">
        <f t="shared" si="1"/>
        <v>LU000539.002</v>
      </c>
      <c r="L169" s="10" t="str">
        <f ca="1">IFERROR(__xludf.DUMMYFUNCTION("VLOOKUP(K169, IMPORTRANGE(""https://docs.google.com/spreadsheets/d/1yDAaXNsi4Mr5FtRQL4tbmSdIzhx6_m4wkOD7IG-k_eo/edit#gid=0"", ""Maths!M:N""), 2, FALSE)"),"Describe the law of zero power for integers, emphasizing how it relates to exponentiation.")</f>
        <v>Describe the law of zero power for integers, emphasizing how it relates to exponentiation.</v>
      </c>
      <c r="M169" s="10" t="str">
        <f t="shared" si="2"/>
        <v>LU000539.003</v>
      </c>
      <c r="N169" s="10" t="str">
        <f ca="1">IFERROR(__xludf.DUMMYFUNCTION("VLOOKUP(M169, IMPORTRANGE(""https://docs.google.com/spreadsheets/d/1yDAaXNsi4Mr5FtRQL4tbmSdIzhx6_m4wkOD7IG-k_eo/edit#gid=0"", ""Maths!M:N""), 2, FALSE)"),"Apply the law of zero power to simplify expressions involving integers.")</f>
        <v>Apply the law of zero power to simplify expressions involving integers.</v>
      </c>
      <c r="O169" s="10" t="str">
        <f t="shared" si="3"/>
        <v>LU000539.004</v>
      </c>
      <c r="P169" s="10" t="str">
        <f ca="1">IFERROR(__xludf.DUMMYFUNCTION("VLOOKUP(O169, IMPORTRANGE(""https://docs.google.com/spreadsheets/d/1yDAaXNsi4Mr5FtRQL4tbmSdIzhx6_m4wkOD7IG-k_eo/edit#gid=0"", ""Maths!M:N""), 2, FALSE)"),"Analyse expressions involving the law of zero power for integers, recognising the consistent result of 1.")</f>
        <v>Analyse expressions involving the law of zero power for integers, recognising the consistent result of 1.</v>
      </c>
      <c r="Q169" s="10" t="str">
        <f t="shared" si="4"/>
        <v>LU000539.005</v>
      </c>
      <c r="R169" s="10" t="str">
        <f ca="1">IFERROR(__xludf.DUMMYFUNCTION("VLOOKUP(Q169, IMPORTRANGE(""https://docs.google.com/spreadsheets/d/1yDAaXNsi4Mr5FtRQL4tbmSdIzhx6_m4wkOD7IG-k_eo/edit#gid=0"", ""Maths!M:N""), 2, FALSE)"),"Evaluate the importance of the law of zero power for integers in mathematical operations and simplifications.")</f>
        <v>Evaluate the importance of the law of zero power for integers in mathematical operations and simplifications.</v>
      </c>
      <c r="S169" s="10" t="str">
        <f t="shared" si="5"/>
        <v>LU000539.006</v>
      </c>
      <c r="T169" s="10" t="str">
        <f ca="1">IFERROR(__xludf.DUMMYFUNCTION("VLOOKUP(S169, IMPORTRANGE(""https://docs.google.com/spreadsheets/d/1yDAaXNsi4Mr5FtRQL4tbmSdIzhx6_m4wkOD7IG-k_eo/edit#gid=0"", ""Maths!M:N""), 2, FALSE)"),"Design a set of practice problems that require applying the law of zero power for integers to simplify and solve.")</f>
        <v>Design a set of practice problems that require applying the law of zero power for integers to simplify and solve.</v>
      </c>
      <c r="U169" s="11">
        <f ca="1">IFERROR(__xludf.DUMMYFUNCTION("ArrayFormula(VLOOKUP(G169, IMPORTRANGE(""https://docs.google.com/spreadsheets/d/1p7R4vtkWt5VOBim4ltsDG9KTzSjrtKXsMtQGXPHyND0/edit#gid=795171502"", ""'Filter 30_05_2024'!A1:M2000""), {2, 3, 4, 5,6,7,8,9,10,11,12,13}, 0))"),4)</f>
        <v>4</v>
      </c>
      <c r="V169" s="11">
        <f ca="1">IFERROR(__xludf.DUMMYFUNCTION("""COMPUTED_VALUE"""),5)</f>
        <v>5</v>
      </c>
      <c r="W169" s="11">
        <f ca="1">IFERROR(__xludf.DUMMYFUNCTION("""COMPUTED_VALUE"""),2)</f>
        <v>2</v>
      </c>
      <c r="X169" s="11">
        <f ca="1">IFERROR(__xludf.DUMMYFUNCTION("""COMPUTED_VALUE"""),11)</f>
        <v>11</v>
      </c>
      <c r="Y169" s="11">
        <f ca="1">IFERROR(__xludf.DUMMYFUNCTION("""COMPUTED_VALUE"""),4)</f>
        <v>4</v>
      </c>
      <c r="Z169" s="12">
        <f ca="1">IFERROR(__xludf.DUMMYFUNCTION("""COMPUTED_VALUE"""),4)</f>
        <v>4</v>
      </c>
      <c r="AA169" s="12">
        <f ca="1">IFERROR(__xludf.DUMMYFUNCTION("""COMPUTED_VALUE"""),1)</f>
        <v>1</v>
      </c>
      <c r="AB169" s="12">
        <f ca="1">IFERROR(__xludf.DUMMYFUNCTION("""COMPUTED_VALUE"""),9)</f>
        <v>9</v>
      </c>
      <c r="AC169" s="12"/>
      <c r="AD169" s="12"/>
      <c r="AE169" s="12"/>
      <c r="AF169" s="12"/>
      <c r="AG169" s="13" t="str">
        <f ca="1">IFERROR(__xludf.DUMMYFUNCTION("ArrayFormula(VLOOKUP(G169, IMPORTRANGE(""https://docs.google.com/spreadsheets/d/1Co934fvtviyaRiMsrIlT05Jaq7iiYq07aLvRr35KA48/edit?gid=173865642#gid=173865642"", ""'G7_Maths_Pri_LU'!G2:V2000""), {3, 4, 5, 6, 7, 8, 9, 10, 11, 12, 13, 14, 15, 16}, 0))"),"LU000538")</f>
        <v>LU000538</v>
      </c>
      <c r="AH169" s="13" t="str">
        <f ca="1">IFERROR(__xludf.DUMMYFUNCTION("""COMPUTED_VALUE"""),"Law of zero power for whole numbers")</f>
        <v>Law of zero power for whole numbers</v>
      </c>
      <c r="AI169" s="13" t="str">
        <f ca="1">IFERROR(__xludf.DUMMYFUNCTION("""COMPUTED_VALUE"""),"LU000517")</f>
        <v>LU000517</v>
      </c>
      <c r="AJ169" s="13" t="str">
        <f ca="1">IFERROR(__xludf.DUMMYFUNCTION("""COMPUTED_VALUE"""),"Definition of exponent of a number")</f>
        <v>Definition of exponent of a number</v>
      </c>
      <c r="AK169" s="13" t="str">
        <f ca="1">IFERROR(__xludf.DUMMYFUNCTION("""COMPUTED_VALUE"""),"LU000518")</f>
        <v>LU000518</v>
      </c>
      <c r="AL169" s="13" t="str">
        <f ca="1">IFERROR(__xludf.DUMMYFUNCTION("""COMPUTED_VALUE"""),"Definition of base of a number")</f>
        <v>Definition of base of a number</v>
      </c>
      <c r="AM169" s="13" t="str">
        <f ca="1">IFERROR(__xludf.DUMMYFUNCTION("""COMPUTED_VALUE"""),"LU000265")</f>
        <v>LU000265</v>
      </c>
      <c r="AN169" s="13" t="str">
        <f ca="1">IFERROR(__xludf.DUMMYFUNCTION("""COMPUTED_VALUE"""),"Definition of integers")</f>
        <v>Definition of integers</v>
      </c>
      <c r="AO169" s="13"/>
      <c r="AP169" s="13"/>
      <c r="AQ169" s="13"/>
      <c r="AR169" s="13"/>
      <c r="AS169" s="13"/>
      <c r="AT169" s="13"/>
    </row>
    <row r="170" spans="1:46">
      <c r="A170" s="8" t="s">
        <v>247</v>
      </c>
      <c r="B170" s="8" t="s">
        <v>47</v>
      </c>
      <c r="C170" s="8" t="s">
        <v>416</v>
      </c>
      <c r="D170" s="8" t="s">
        <v>49</v>
      </c>
      <c r="E170" s="8" t="s">
        <v>631</v>
      </c>
      <c r="F170" s="8" t="s">
        <v>661</v>
      </c>
      <c r="G170" s="8" t="s">
        <v>662</v>
      </c>
      <c r="H170" s="8" t="str">
        <f ca="1">IFERROR(__xludf.DUMMYFUNCTION("VLOOKUP(G170, IMPORTRANGE(""https://docs.google.com/spreadsheets/d/14deopnvwcrKtEGCKuYXdUHJbeLDZlkiSSWWT0g7x2pM/edit#gid=999382323"", ""LU List Maths (Filter)!A:B""), 2, FALSE)"),"Application of multiple laws of exponent (exponent is whole number)")</f>
        <v>Application of multiple laws of exponent (exponent is whole number)</v>
      </c>
      <c r="I170" s="10" t="str">
        <f t="shared" si="0"/>
        <v>LU000541.001</v>
      </c>
      <c r="J170" s="10" t="str">
        <f ca="1">IFERROR(__xludf.DUMMYFUNCTION("VLOOKUP(I170, IMPORTRANGE(""https://docs.google.com/spreadsheets/d/1yDAaXNsi4Mr5FtRQL4tbmSdIzhx6_m4wkOD7IG-k_eo/edit#gid=0"", ""Maths!M:N""), 2, FALSE)"),"List the fundamental laws of exponents, including the laws of multiplication, division, negative and zero power given whole number exponent.")</f>
        <v>List the fundamental laws of exponents, including the laws of multiplication, division, negative and zero power given whole number exponent.</v>
      </c>
      <c r="K170" s="10" t="str">
        <f t="shared" si="1"/>
        <v>LU000541.002</v>
      </c>
      <c r="L170" s="10" t="str">
        <f ca="1">IFERROR(__xludf.DUMMYFUNCTION("VLOOKUP(K170, IMPORTRANGE(""https://docs.google.com/spreadsheets/d/1yDAaXNsi4Mr5FtRQL4tbmSdIzhx6_m4wkOD7IG-k_eo/edit#gid=0"", ""Maths!M:N""), 2, FALSE)"),"Compare various laws of exponent that can be applied to evaluate an expression.")</f>
        <v>Compare various laws of exponent that can be applied to evaluate an expression.</v>
      </c>
      <c r="M170" s="10" t="str">
        <f t="shared" si="2"/>
        <v>LU000541.003</v>
      </c>
      <c r="N170" s="10" t="str">
        <f ca="1">IFERROR(__xludf.DUMMYFUNCTION("VLOOKUP(M170, IMPORTRANGE(""https://docs.google.com/spreadsheets/d/1yDAaXNsi4Mr5FtRQL4tbmSdIzhx6_m4wkOD7IG-k_eo/edit#gid=0"", ""Maths!M:N""), 2, FALSE)"),"Apply the different laws of exponents to solve numerical problems involving expressions with whole number exponent")</f>
        <v>Apply the different laws of exponents to solve numerical problems involving expressions with whole number exponent</v>
      </c>
      <c r="O170" s="10" t="str">
        <f t="shared" si="3"/>
        <v>LU000541.004</v>
      </c>
      <c r="P170" s="10" t="str">
        <f ca="1">IFERROR(__xludf.DUMMYFUNCTION("VLOOKUP(O170, IMPORTRANGE(""https://docs.google.com/spreadsheets/d/1yDAaXNsi4Mr5FtRQL4tbmSdIzhx6_m4wkOD7IG-k_eo/edit#gid=0"", ""Maths!M:N""), 2, FALSE)"),"Analyze expressions involving whole number exponents to identify the application of specific exponent laws.")</f>
        <v>Analyze expressions involving whole number exponents to identify the application of specific exponent laws.</v>
      </c>
      <c r="Q170" s="10" t="str">
        <f t="shared" si="4"/>
        <v>LU000541.005</v>
      </c>
      <c r="R170" s="10" t="str">
        <f ca="1">IFERROR(__xludf.DUMMYFUNCTION("VLOOKUP(Q170, IMPORTRANGE(""https://docs.google.com/spreadsheets/d/1yDAaXNsi4Mr5FtRQL4tbmSdIzhx6_m4wkOD7IG-k_eo/edit#gid=0"", ""Maths!M:N""), 2, FALSE)"),"Evaluate the effectiveness of using the laws of exponents in solving real-world mathematical problems.")</f>
        <v>Evaluate the effectiveness of using the laws of exponents in solving real-world mathematical problems.</v>
      </c>
      <c r="S170" s="10" t="str">
        <f t="shared" si="5"/>
        <v>LU000541.006</v>
      </c>
      <c r="T170" s="10" t="str">
        <f ca="1">IFERROR(__xludf.DUMMYFUNCTION("VLOOKUP(S170, IMPORTRANGE(""https://docs.google.com/spreadsheets/d/1yDAaXNsi4Mr5FtRQL4tbmSdIzhx6_m4wkOD7IG-k_eo/edit#gid=0"", ""Maths!M:N""), 2, FALSE)"),"Design problems that require the application of specific laws of exponents to solve with whole number exponents.")</f>
        <v>Design problems that require the application of specific laws of exponents to solve with whole number exponents.</v>
      </c>
      <c r="U170" s="11">
        <f ca="1">IFERROR(__xludf.DUMMYFUNCTION("ArrayFormula(VLOOKUP(G170, IMPORTRANGE(""https://docs.google.com/spreadsheets/d/1p7R4vtkWt5VOBim4ltsDG9KTzSjrtKXsMtQGXPHyND0/edit#gid=795171502"", ""'Filter 30_05_2024'!A1:M2000""), {2, 3, 4, 5,6,7,8,9,10,11,12,13}, 0))"),4)</f>
        <v>4</v>
      </c>
      <c r="V170" s="11">
        <f ca="1">IFERROR(__xludf.DUMMYFUNCTION("""COMPUTED_VALUE"""),11)</f>
        <v>11</v>
      </c>
      <c r="W170" s="11">
        <f ca="1">IFERROR(__xludf.DUMMYFUNCTION("""COMPUTED_VALUE"""),2)</f>
        <v>2</v>
      </c>
      <c r="X170" s="11">
        <f ca="1">IFERROR(__xludf.DUMMYFUNCTION("""COMPUTED_VALUE"""),17)</f>
        <v>17</v>
      </c>
      <c r="Y170" s="11">
        <f ca="1">IFERROR(__xludf.DUMMYFUNCTION("""COMPUTED_VALUE"""),4)</f>
        <v>4</v>
      </c>
      <c r="Z170" s="12">
        <f ca="1">IFERROR(__xludf.DUMMYFUNCTION("""COMPUTED_VALUE"""),5)</f>
        <v>5</v>
      </c>
      <c r="AA170" s="12">
        <f ca="1">IFERROR(__xludf.DUMMYFUNCTION("""COMPUTED_VALUE"""),1)</f>
        <v>1</v>
      </c>
      <c r="AB170" s="12">
        <f ca="1">IFERROR(__xludf.DUMMYFUNCTION("""COMPUTED_VALUE"""),10)</f>
        <v>10</v>
      </c>
      <c r="AC170" s="12"/>
      <c r="AD170" s="12"/>
      <c r="AE170" s="12"/>
      <c r="AF170" s="12"/>
      <c r="AG170" s="13" t="str">
        <f ca="1">IFERROR(__xludf.DUMMYFUNCTION("ArrayFormula(VLOOKUP(G170, IMPORTRANGE(""https://docs.google.com/spreadsheets/d/1Co934fvtviyaRiMsrIlT05Jaq7iiYq07aLvRr35KA48/edit?gid=173865642#gid=173865642"", ""'G7_Maths_Pri_LU'!G2:V2000""), {3, 4, 5, 6, 7, 8, 9, 10, 11, 12, 13, 14, 15, 16}, 0))"),"LU000520")</f>
        <v>LU000520</v>
      </c>
      <c r="AH170" s="13" t="str">
        <f ca="1">IFERROR(__xludf.DUMMYFUNCTION("""COMPUTED_VALUE"""),"Law of product of power with the same base for whole numbers")</f>
        <v>Law of product of power with the same base for whole numbers</v>
      </c>
      <c r="AI170" s="13" t="str">
        <f ca="1">IFERROR(__xludf.DUMMYFUNCTION("""COMPUTED_VALUE"""),"LU000523")</f>
        <v>LU000523</v>
      </c>
      <c r="AJ170" s="13" t="str">
        <f ca="1">IFERROR(__xludf.DUMMYFUNCTION("""COMPUTED_VALUE"""),"Law of quotient of powers with the same base for whole numbers")</f>
        <v>Law of quotient of powers with the same base for whole numbers</v>
      </c>
      <c r="AK170" s="13" t="str">
        <f ca="1">IFERROR(__xludf.DUMMYFUNCTION("""COMPUTED_VALUE"""),"LU000529")</f>
        <v>LU000529</v>
      </c>
      <c r="AL170" s="13" t="str">
        <f ca="1">IFERROR(__xludf.DUMMYFUNCTION("""COMPUTED_VALUE"""),"Law of product of power with the same exponent for whole numbers")</f>
        <v>Law of product of power with the same exponent for whole numbers</v>
      </c>
      <c r="AM170" s="13" t="str">
        <f ca="1">IFERROR(__xludf.DUMMYFUNCTION("""COMPUTED_VALUE"""),"LU000532")</f>
        <v>LU000532</v>
      </c>
      <c r="AN170" s="13" t="str">
        <f ca="1">IFERROR(__xludf.DUMMYFUNCTION("""COMPUTED_VALUE"""),"Law of quotient of powers with the same exponent for whole numbers")</f>
        <v>Law of quotient of powers with the same exponent for whole numbers</v>
      </c>
      <c r="AO170" s="13" t="str">
        <f ca="1">IFERROR(__xludf.DUMMYFUNCTION("""COMPUTED_VALUE"""),"LU000526")</f>
        <v>LU000526</v>
      </c>
      <c r="AP170" s="13" t="str">
        <f ca="1">IFERROR(__xludf.DUMMYFUNCTION("""COMPUTED_VALUE"""),"Law of power of a power for whole numbers")</f>
        <v>Law of power of a power for whole numbers</v>
      </c>
      <c r="AQ170" s="13" t="str">
        <f ca="1">IFERROR(__xludf.DUMMYFUNCTION("""COMPUTED_VALUE"""),"LU000538")</f>
        <v>LU000538</v>
      </c>
      <c r="AR170" s="13" t="str">
        <f ca="1">IFERROR(__xludf.DUMMYFUNCTION("""COMPUTED_VALUE"""),"Law of zero power for whole numbers")</f>
        <v>Law of zero power for whole numbers</v>
      </c>
      <c r="AS170" s="13"/>
      <c r="AT170" s="13"/>
    </row>
    <row r="171" spans="1:46">
      <c r="A171" s="8" t="s">
        <v>247</v>
      </c>
      <c r="B171" s="8" t="s">
        <v>47</v>
      </c>
      <c r="C171" s="8" t="s">
        <v>416</v>
      </c>
      <c r="D171" s="8" t="s">
        <v>49</v>
      </c>
      <c r="E171" s="8" t="s">
        <v>631</v>
      </c>
      <c r="F171" s="8" t="s">
        <v>663</v>
      </c>
      <c r="G171" s="8" t="s">
        <v>664</v>
      </c>
      <c r="H171" s="8" t="str">
        <f ca="1">IFERROR(__xludf.DUMMYFUNCTION("VLOOKUP(G171, IMPORTRANGE(""https://docs.google.com/spreadsheets/d/14deopnvwcrKtEGCKuYXdUHJbeLDZlkiSSWWT0g7x2pM/edit#gid=999382323"", ""LU List Maths (Filter)!A:B""), 2, FALSE)"),"Definition of standard form of a number")</f>
        <v>Definition of standard form of a number</v>
      </c>
      <c r="I171" s="10" t="str">
        <f t="shared" si="0"/>
        <v>LU000542.001</v>
      </c>
      <c r="J171" s="10" t="str">
        <f ca="1">IFERROR(__xludf.DUMMYFUNCTION("VLOOKUP(I171, IMPORTRANGE(""https://docs.google.com/spreadsheets/d/1yDAaXNsi4Mr5FtRQL4tbmSdIzhx6_m4wkOD7IG-k_eo/edit#gid=0"", ""Maths!M:N""), 2, FALSE)"),"State the definition of the standard form of a number and its purpose in representing large and small values.")</f>
        <v>State the definition of the standard form of a number and its purpose in representing large and small values.</v>
      </c>
      <c r="K171" s="10" t="str">
        <f t="shared" si="1"/>
        <v>LU000542.002</v>
      </c>
      <c r="L171" s="10" t="str">
        <f ca="1">IFERROR(__xludf.DUMMYFUNCTION("VLOOKUP(K171, IMPORTRANGE(""https://docs.google.com/spreadsheets/d/1yDAaXNsi4Mr5FtRQL4tbmSdIzhx6_m4wkOD7IG-k_eo/edit#gid=0"", ""Maths!M:N""), 2, FALSE)"),"Describe how the standard form condenses numbers by breaking them into a single-digit part and a power of 10 part")</f>
        <v>Describe how the standard form condenses numbers by breaking them into a single-digit part and a power of 10 part</v>
      </c>
      <c r="M171" s="10" t="str">
        <f t="shared" si="2"/>
        <v>LU000542.003</v>
      </c>
      <c r="N171" s="10" t="str">
        <f ca="1">IFERROR(__xludf.DUMMYFUNCTION("VLOOKUP(M171, IMPORTRANGE(""https://docs.google.com/spreadsheets/d/1yDAaXNsi4Mr5FtRQL4tbmSdIzhx6_m4wkOD7IG-k_eo/edit#gid=0"", ""Maths!M:N""), 2, FALSE)"),"Apply the knowledge of standard form to convert given numbers into their standard form representations.")</f>
        <v>Apply the knowledge of standard form to convert given numbers into their standard form representations.</v>
      </c>
      <c r="O171" s="10" t="str">
        <f t="shared" si="3"/>
        <v>LU000542.004</v>
      </c>
      <c r="P171" s="10" t="str">
        <f ca="1">IFERROR(__xludf.DUMMYFUNCTION("VLOOKUP(O171, IMPORTRANGE(""https://docs.google.com/spreadsheets/d/1yDAaXNsi4Mr5FtRQL4tbmSdIzhx6_m4wkOD7IG-k_eo/edit#gid=0"", ""Maths!M:N""), 2, FALSE)"),"Analyze complex numbers, identifying opportunities to express them more concisely using the standard form.")</f>
        <v>Analyze complex numbers, identifying opportunities to express them more concisely using the standard form.</v>
      </c>
      <c r="Q171" s="10" t="str">
        <f t="shared" si="4"/>
        <v>LU000542.005</v>
      </c>
      <c r="R171" s="10" t="str">
        <f ca="1">IFERROR(__xludf.DUMMYFUNCTION("VLOOKUP(Q171, IMPORTRANGE(""https://docs.google.com/spreadsheets/d/1yDAaXNsi4Mr5FtRQL4tbmSdIzhx6_m4wkOD7IG-k_eo/edit#gid=0"", ""Maths!M:N""), 2, FALSE)"),"Evaluate the effectiveness of using standard form in scientific notation and practical applications.")</f>
        <v>Evaluate the effectiveness of using standard form in scientific notation and practical applications.</v>
      </c>
      <c r="S171" s="10" t="str">
        <f t="shared" si="5"/>
        <v>LU000542.006</v>
      </c>
      <c r="T171" s="10" t="str">
        <f ca="1">IFERROR(__xludf.DUMMYFUNCTION("VLOOKUP(S171, IMPORTRANGE(""https://docs.google.com/spreadsheets/d/1yDAaXNsi4Mr5FtRQL4tbmSdIzhx6_m4wkOD7IG-k_eo/edit#gid=0"", ""Maths!M:N""), 2, FALSE)"),"Create a set of problems involving converting measurements into standard form and vice versa.")</f>
        <v>Create a set of problems involving converting measurements into standard form and vice versa.</v>
      </c>
      <c r="U171" s="11">
        <f ca="1">IFERROR(__xludf.DUMMYFUNCTION("ArrayFormula(VLOOKUP(G171, IMPORTRANGE(""https://docs.google.com/spreadsheets/d/1p7R4vtkWt5VOBim4ltsDG9KTzSjrtKXsMtQGXPHyND0/edit#gid=795171502"", ""'Filter 30_05_2024'!A1:M2000""), {2, 3, 4, 5,6,7,8,9,10,11,12,13}, 0))"),4)</f>
        <v>4</v>
      </c>
      <c r="V171" s="11">
        <f ca="1">IFERROR(__xludf.DUMMYFUNCTION("""COMPUTED_VALUE"""),11)</f>
        <v>11</v>
      </c>
      <c r="W171" s="11">
        <f ca="1">IFERROR(__xludf.DUMMYFUNCTION("""COMPUTED_VALUE"""),2)</f>
        <v>2</v>
      </c>
      <c r="X171" s="11">
        <f ca="1">IFERROR(__xludf.DUMMYFUNCTION("""COMPUTED_VALUE"""),17)</f>
        <v>17</v>
      </c>
      <c r="Y171" s="11">
        <f ca="1">IFERROR(__xludf.DUMMYFUNCTION("""COMPUTED_VALUE"""),4)</f>
        <v>4</v>
      </c>
      <c r="Z171" s="12">
        <f ca="1">IFERROR(__xludf.DUMMYFUNCTION("""COMPUTED_VALUE"""),6)</f>
        <v>6</v>
      </c>
      <c r="AA171" s="12">
        <f ca="1">IFERROR(__xludf.DUMMYFUNCTION("""COMPUTED_VALUE"""),1)</f>
        <v>1</v>
      </c>
      <c r="AB171" s="12">
        <f ca="1">IFERROR(__xludf.DUMMYFUNCTION("""COMPUTED_VALUE"""),11)</f>
        <v>11</v>
      </c>
      <c r="AC171" s="12"/>
      <c r="AD171" s="12"/>
      <c r="AE171" s="12"/>
      <c r="AF171" s="12"/>
      <c r="AG171" s="13" t="str">
        <f ca="1">IFERROR(__xludf.DUMMYFUNCTION("ArrayFormula(VLOOKUP(G171, IMPORTRANGE(""https://docs.google.com/spreadsheets/d/1Co934fvtviyaRiMsrIlT05Jaq7iiYq07aLvRr35KA48/edit?gid=173865642#gid=173865642"", ""'G7_Maths_Pri_LU'!G2:V2000""), {3, 4, 5, 6, 7, 8, 9, 10, 11, 12, 13, 14, 15, 16}, 0))"),"")</f>
        <v/>
      </c>
      <c r="AH171" s="13"/>
      <c r="AI171" s="13"/>
      <c r="AJ171" s="13"/>
      <c r="AK171" s="13"/>
      <c r="AL171" s="13"/>
      <c r="AM171" s="13"/>
      <c r="AN171" s="13"/>
      <c r="AO171" s="13"/>
      <c r="AP171" s="13"/>
      <c r="AQ171" s="13"/>
      <c r="AR171" s="13"/>
      <c r="AS171" s="13"/>
      <c r="AT171" s="13"/>
    </row>
    <row r="172" spans="1:46">
      <c r="A172" s="8" t="s">
        <v>247</v>
      </c>
      <c r="B172" s="8" t="s">
        <v>47</v>
      </c>
      <c r="C172" s="8" t="s">
        <v>416</v>
      </c>
      <c r="D172" s="8" t="s">
        <v>49</v>
      </c>
      <c r="E172" s="8" t="s">
        <v>631</v>
      </c>
      <c r="F172" s="8" t="s">
        <v>663</v>
      </c>
      <c r="G172" s="8" t="s">
        <v>665</v>
      </c>
      <c r="H172" s="8" t="str">
        <f ca="1">IFERROR(__xludf.DUMMYFUNCTION("VLOOKUP(G172, IMPORTRANGE(""https://docs.google.com/spreadsheets/d/14deopnvwcrKtEGCKuYXdUHJbeLDZlkiSSWWT0g7x2pM/edit#gid=999382323"", ""LU List Maths (Filter)!A:B""), 2, FALSE)"),"Conversion of large numbers into standard form")</f>
        <v>Conversion of large numbers into standard form</v>
      </c>
      <c r="I172" s="10" t="str">
        <f t="shared" si="0"/>
        <v>LU000544.001</v>
      </c>
      <c r="J172" s="10" t="str">
        <f ca="1">IFERROR(__xludf.DUMMYFUNCTION("VLOOKUP(I172, IMPORTRANGE(""https://docs.google.com/spreadsheets/d/1yDAaXNsi4Mr5FtRQL4tbmSdIzhx6_m4wkOD7IG-k_eo/edit#gid=0"", ""Maths!M:N""), 2, FALSE)"),"State the definition of standard form and its purpose in representing large numbers in a concise manner.")</f>
        <v>State the definition of standard form and its purpose in representing large numbers in a concise manner.</v>
      </c>
      <c r="K172" s="10" t="str">
        <f t="shared" si="1"/>
        <v>LU000544.002</v>
      </c>
      <c r="L172" s="10" t="str">
        <f ca="1">IFERROR(__xludf.DUMMYFUNCTION("VLOOKUP(K172, IMPORTRANGE(""https://docs.google.com/spreadsheets/d/1yDAaXNsi4Mr5FtRQL4tbmSdIzhx6_m4wkOD7IG-k_eo/edit#gid=0"", ""Maths!M:N""), 2, FALSE)"),"Explain the concept of converting large numbers into standard form, emphasising its role in expressing values across different scales.")</f>
        <v>Explain the concept of converting large numbers into standard form, emphasising its role in expressing values across different scales.</v>
      </c>
      <c r="M172" s="10" t="str">
        <f t="shared" si="2"/>
        <v>LU000544.003</v>
      </c>
      <c r="N172" s="10" t="str">
        <f ca="1">IFERROR(__xludf.DUMMYFUNCTION("VLOOKUP(M172, IMPORTRANGE(""https://docs.google.com/spreadsheets/d/1yDAaXNsi4Mr5FtRQL4tbmSdIzhx6_m4wkOD7IG-k_eo/edit#gid=0"", ""Maths!M:N""), 2, FALSE)"),"Apply the process of converting large numbers into standard form for various numerical values.")</f>
        <v>Apply the process of converting large numbers into standard form for various numerical values.</v>
      </c>
      <c r="O172" s="10" t="str">
        <f t="shared" si="3"/>
        <v>LU000544.004</v>
      </c>
      <c r="P172" s="10" t="str">
        <f ca="1">IFERROR(__xludf.DUMMYFUNCTION("VLOOKUP(O172, IMPORTRANGE(""https://docs.google.com/spreadsheets/d/1yDAaXNsi4Mr5FtRQL4tbmSdIzhx6_m4wkOD7IG-k_eo/edit#gid=0"", ""Maths!M:N""), 2, FALSE)"),"Analyse large numbers of different values to identify the appropriate coefficient and power of 10 when converting them into standard form.")</f>
        <v>Analyse large numbers of different values to identify the appropriate coefficient and power of 10 when converting them into standard form.</v>
      </c>
      <c r="Q172" s="10" t="str">
        <f t="shared" si="4"/>
        <v>LU000544.005</v>
      </c>
      <c r="R172" s="10" t="str">
        <f ca="1">IFERROR(__xludf.DUMMYFUNCTION("VLOOKUP(Q172, IMPORTRANGE(""https://docs.google.com/spreadsheets/d/1yDAaXNsi4Mr5FtRQL4tbmSdIzhx6_m4wkOD7IG-k_eo/edit#gid=0"", ""Maths!M:N""), 2, FALSE)"),"Evaluate the significance of converting large numbers into standard form for scientific notation, simplification and consistency in communication.")</f>
        <v>Evaluate the significance of converting large numbers into standard form for scientific notation, simplification and consistency in communication.</v>
      </c>
      <c r="S172" s="10" t="str">
        <f t="shared" si="5"/>
        <v>LU000544.006</v>
      </c>
      <c r="T172" s="10" t="str">
        <f ca="1">IFERROR(__xludf.DUMMYFUNCTION("VLOOKUP(S172, IMPORTRANGE(""https://docs.google.com/spreadsheets/d/1yDAaXNsi4Mr5FtRQL4tbmSdIzhx6_m4wkOD7IG-k_eo/edit#gid=0"", ""Maths!M:N""), 2, FALSE)"),"Design scenarios that require to convert real-world measurements or data given as large numbers into standard form, emphasising its practical application across different domains.")</f>
        <v>Design scenarios that require to convert real-world measurements or data given as large numbers into standard form, emphasising its practical application across different domains.</v>
      </c>
      <c r="U172" s="11">
        <f ca="1">IFERROR(__xludf.DUMMYFUNCTION("ArrayFormula(VLOOKUP(G172, IMPORTRANGE(""https://docs.google.com/spreadsheets/d/1p7R4vtkWt5VOBim4ltsDG9KTzSjrtKXsMtQGXPHyND0/edit#gid=795171502"", ""'Filter 30_05_2024'!A1:M2000""), {2, 3, 4, 5,6,7,8,9,10,11,12,13}, 0))"),4)</f>
        <v>4</v>
      </c>
      <c r="V172" s="11">
        <f ca="1">IFERROR(__xludf.DUMMYFUNCTION("""COMPUTED_VALUE"""),1)</f>
        <v>1</v>
      </c>
      <c r="W172" s="11">
        <f ca="1">IFERROR(__xludf.DUMMYFUNCTION("""COMPUTED_VALUE"""),2)</f>
        <v>2</v>
      </c>
      <c r="X172" s="11">
        <f ca="1">IFERROR(__xludf.DUMMYFUNCTION("""COMPUTED_VALUE"""),7)</f>
        <v>7</v>
      </c>
      <c r="Y172" s="11">
        <f ca="1">IFERROR(__xludf.DUMMYFUNCTION("""COMPUTED_VALUE"""),4)</f>
        <v>4</v>
      </c>
      <c r="Z172" s="12">
        <f ca="1">IFERROR(__xludf.DUMMYFUNCTION("""COMPUTED_VALUE"""),6)</f>
        <v>6</v>
      </c>
      <c r="AA172" s="12">
        <f ca="1">IFERROR(__xludf.DUMMYFUNCTION("""COMPUTED_VALUE"""),1)</f>
        <v>1</v>
      </c>
      <c r="AB172" s="12">
        <f ca="1">IFERROR(__xludf.DUMMYFUNCTION("""COMPUTED_VALUE"""),11)</f>
        <v>11</v>
      </c>
      <c r="AC172" s="12"/>
      <c r="AD172" s="12"/>
      <c r="AE172" s="12"/>
      <c r="AF172" s="12"/>
      <c r="AG172" s="13" t="str">
        <f ca="1">IFERROR(__xludf.DUMMYFUNCTION("ArrayFormula(VLOOKUP(G172, IMPORTRANGE(""https://docs.google.com/spreadsheets/d/1Co934fvtviyaRiMsrIlT05Jaq7iiYq07aLvRr35KA48/edit?gid=173865642#gid=173865642"", ""'G7_Maths_Pri_LU'!G2:V2000""), {3, 4, 5, 6, 7, 8, 9, 10, 11, 12, 13, 14, 15, 16}, 0))"),"LU000542")</f>
        <v>LU000542</v>
      </c>
      <c r="AH172" s="13" t="str">
        <f ca="1">IFERROR(__xludf.DUMMYFUNCTION("""COMPUTED_VALUE"""),"Definition of standard form of a number")</f>
        <v>Definition of standard form of a number</v>
      </c>
      <c r="AI172" s="13" t="str">
        <f ca="1">IFERROR(__xludf.DUMMYFUNCTION("""COMPUTED_VALUE"""),"LU000376")</f>
        <v>LU000376</v>
      </c>
      <c r="AJ172" s="13" t="str">
        <f ca="1">IFERROR(__xludf.DUMMYFUNCTION("""COMPUTED_VALUE"""),"Multiplication of decimal number by multiples of 10")</f>
        <v>Multiplication of decimal number by multiples of 10</v>
      </c>
      <c r="AK172" s="13" t="str">
        <f ca="1">IFERROR(__xludf.DUMMYFUNCTION("""COMPUTED_VALUE"""),"LU000380")</f>
        <v>LU000380</v>
      </c>
      <c r="AL172" s="13" t="str">
        <f ca="1">IFERROR(__xludf.DUMMYFUNCTION("""COMPUTED_VALUE"""),"Division of a decimal number by multiples of 10")</f>
        <v>Division of a decimal number by multiples of 10</v>
      </c>
      <c r="AM172" s="13"/>
      <c r="AN172" s="13"/>
      <c r="AO172" s="13"/>
      <c r="AP172" s="13"/>
      <c r="AQ172" s="13"/>
      <c r="AR172" s="13"/>
      <c r="AS172" s="13"/>
      <c r="AT172" s="13"/>
    </row>
    <row r="173" spans="1:46">
      <c r="A173" s="8" t="s">
        <v>247</v>
      </c>
      <c r="B173" s="8" t="s">
        <v>47</v>
      </c>
      <c r="C173" s="8" t="s">
        <v>416</v>
      </c>
      <c r="D173" s="8" t="s">
        <v>49</v>
      </c>
      <c r="E173" s="8" t="s">
        <v>631</v>
      </c>
      <c r="F173" s="8" t="s">
        <v>663</v>
      </c>
      <c r="G173" s="9" t="s">
        <v>666</v>
      </c>
      <c r="H173" s="9" t="str">
        <f ca="1">IFERROR(__xludf.DUMMYFUNCTION("VLOOKUP(G173, IMPORTRANGE(""https://docs.google.com/spreadsheets/d/14deopnvwcrKtEGCKuYXdUHJbeLDZlkiSSWWT0g7x2pM/edit#gid=999382323"", ""LU List Maths (Filter)!A:B""), 2, FALSE)"),"Conversion of numbers in standard form to normal form")</f>
        <v>Conversion of numbers in standard form to normal form</v>
      </c>
      <c r="I173" s="10" t="str">
        <f t="shared" si="0"/>
        <v>LU000548.001</v>
      </c>
      <c r="J173" s="10" t="str">
        <f ca="1">IFERROR(__xludf.DUMMYFUNCTION("VLOOKUP(I173, IMPORTRANGE(""https://docs.google.com/spreadsheets/d/1yDAaXNsi4Mr5FtRQL4tbmSdIzhx6_m4wkOD7IG-k_eo/edit#gid=0"", ""Maths!M:N""), 2, FALSE)"),"State the definition of standard form and normal form for representing numbers.")</f>
        <v>State the definition of standard form and normal form for representing numbers.</v>
      </c>
      <c r="K173" s="10" t="str">
        <f t="shared" si="1"/>
        <v>LU000548.002</v>
      </c>
      <c r="L173" s="10" t="str">
        <f ca="1">IFERROR(__xludf.DUMMYFUNCTION("VLOOKUP(K173, IMPORTRANGE(""https://docs.google.com/spreadsheets/d/1yDAaXNsi4Mr5FtRQL4tbmSdIzhx6_m4wkOD7IG-k_eo/edit#gid=0"", ""Maths!M:N""), 2, FALSE)"),"Explain the concept of converting numbers in standard form to normal form, understanding the purpose of this conversion.")</f>
        <v>Explain the concept of converting numbers in standard form to normal form, understanding the purpose of this conversion.</v>
      </c>
      <c r="M173" s="10" t="str">
        <f t="shared" si="2"/>
        <v>LU000548.003</v>
      </c>
      <c r="N173" s="10" t="str">
        <f ca="1">IFERROR(__xludf.DUMMYFUNCTION("VLOOKUP(M173, IMPORTRANGE(""https://docs.google.com/spreadsheets/d/1yDAaXNsi4Mr5FtRQL4tbmSdIzhx6_m4wkOD7IG-k_eo/edit#gid=0"", ""Maths!M:N""), 2, FALSE)"),"Apply the process of converting numbers in standard form to normal form for given values.")</f>
        <v>Apply the process of converting numbers in standard form to normal form for given values.</v>
      </c>
      <c r="O173" s="10" t="str">
        <f t="shared" si="3"/>
        <v>LU000548.004</v>
      </c>
      <c r="P173" s="10" t="str">
        <f ca="1">IFERROR(__xludf.DUMMYFUNCTION("VLOOKUP(O173, IMPORTRANGE(""https://docs.google.com/spreadsheets/d/1yDAaXNsi4Mr5FtRQL4tbmSdIzhx6_m4wkOD7IG-k_eo/edit#gid=0"", ""Maths!M:N""), 2, FALSE)"),"Analyse numbers in standard form to determine their equivalent normal form representation.")</f>
        <v>Analyse numbers in standard form to determine their equivalent normal form representation.</v>
      </c>
      <c r="Q173" s="10" t="str">
        <f t="shared" si="4"/>
        <v>LU000548.005</v>
      </c>
      <c r="R173" s="10" t="str">
        <f ca="1">IFERROR(__xludf.DUMMYFUNCTION("VLOOKUP(Q173, IMPORTRANGE(""https://docs.google.com/spreadsheets/d/1yDAaXNsi4Mr5FtRQL4tbmSdIzhx6_m4wkOD7IG-k_eo/edit#gid=0"", ""Maths!M:N""), 2, FALSE)"),"Evaluate the importance of converting numbers from standard form to normal form for ease of understanding and everyday calculations.")</f>
        <v>Evaluate the importance of converting numbers from standard form to normal form for ease of understanding and everyday calculations.</v>
      </c>
      <c r="S173" s="10" t="str">
        <f t="shared" si="5"/>
        <v>LU000548.006</v>
      </c>
      <c r="T173" s="10" t="str">
        <f ca="1">IFERROR(__xludf.DUMMYFUNCTION("VLOOKUP(S173, IMPORTRANGE(""https://docs.google.com/spreadsheets/d/1yDAaXNsi4Mr5FtRQL4tbmSdIzhx6_m4wkOD7IG-k_eo/edit#gid=0"", ""Maths!M:N""), 2, FALSE)"),"Create a set of problems related to data in fields like science or economics and convert numbers in standard form to normal form for clear representation and calculation.")</f>
        <v>Create a set of problems related to data in fields like science or economics and convert numbers in standard form to normal form for clear representation and calculation.</v>
      </c>
      <c r="U173" s="11">
        <f ca="1">IFERROR(__xludf.DUMMYFUNCTION("ArrayFormula(VLOOKUP(G173, IMPORTRANGE(""https://docs.google.com/spreadsheets/d/1p7R4vtkWt5VOBim4ltsDG9KTzSjrtKXsMtQGXPHyND0/edit#gid=795171502"", ""'Filter 30_05_2024'!A1:M2000""), {2, 3, 4, 5,6,7,8,9,10,11,12,13}, 0))"),8)</f>
        <v>8</v>
      </c>
      <c r="V173" s="11">
        <f ca="1">IFERROR(__xludf.DUMMYFUNCTION("""COMPUTED_VALUE"""),17)</f>
        <v>17</v>
      </c>
      <c r="W173" s="11">
        <f ca="1">IFERROR(__xludf.DUMMYFUNCTION("""COMPUTED_VALUE"""),4)</f>
        <v>4</v>
      </c>
      <c r="X173" s="11">
        <f ca="1">IFERROR(__xludf.DUMMYFUNCTION("""COMPUTED_VALUE"""),29)</f>
        <v>29</v>
      </c>
      <c r="Y173" s="11">
        <f ca="1">IFERROR(__xludf.DUMMYFUNCTION("""COMPUTED_VALUE"""),9)</f>
        <v>9</v>
      </c>
      <c r="Z173" s="12">
        <f ca="1">IFERROR(__xludf.DUMMYFUNCTION("""COMPUTED_VALUE"""),6)</f>
        <v>6</v>
      </c>
      <c r="AA173" s="12">
        <f ca="1">IFERROR(__xludf.DUMMYFUNCTION("""COMPUTED_VALUE"""),2)</f>
        <v>2</v>
      </c>
      <c r="AB173" s="12">
        <f ca="1">IFERROR(__xludf.DUMMYFUNCTION("""COMPUTED_VALUE"""),17)</f>
        <v>17</v>
      </c>
      <c r="AC173" s="12"/>
      <c r="AD173" s="12"/>
      <c r="AE173" s="12"/>
      <c r="AF173" s="12"/>
      <c r="AG173" s="13" t="str">
        <f ca="1">IFERROR(__xludf.DUMMYFUNCTION("ArrayFormula(VLOOKUP(G173, IMPORTRANGE(""https://docs.google.com/spreadsheets/d/1Co934fvtviyaRiMsrIlT05Jaq7iiYq07aLvRr35KA48/edit?gid=173865642#gid=173865642"", ""'G7_Maths_Pri_LU'!G2:V2000""), {3, 4, 5, 6, 7, 8, 9, 10, 11, 12, 13, 14, 15, 16}, 0))"),"LU000376")</f>
        <v>LU000376</v>
      </c>
      <c r="AH173" s="13" t="str">
        <f ca="1">IFERROR(__xludf.DUMMYFUNCTION("""COMPUTED_VALUE"""),"Multiplication of decimal number by multiples of 10")</f>
        <v>Multiplication of decimal number by multiples of 10</v>
      </c>
      <c r="AI173" s="13" t="str">
        <f ca="1">IFERROR(__xludf.DUMMYFUNCTION("""COMPUTED_VALUE"""),"LU000380")</f>
        <v>LU000380</v>
      </c>
      <c r="AJ173" s="13" t="str">
        <f ca="1">IFERROR(__xludf.DUMMYFUNCTION("""COMPUTED_VALUE"""),"Division of a decimal number by multiples of 10")</f>
        <v>Division of a decimal number by multiples of 10</v>
      </c>
      <c r="AK173" s="13" t="str">
        <f ca="1">IFERROR(__xludf.DUMMYFUNCTION("""COMPUTED_VALUE"""),"LU000542")</f>
        <v>LU000542</v>
      </c>
      <c r="AL173" s="13" t="str">
        <f ca="1">IFERROR(__xludf.DUMMYFUNCTION("""COMPUTED_VALUE"""),"Definition of standard form of a number")</f>
        <v>Definition of standard form of a number</v>
      </c>
      <c r="AM173" s="13"/>
      <c r="AN173" s="13"/>
      <c r="AO173" s="13"/>
      <c r="AP173" s="13"/>
      <c r="AQ173" s="13"/>
      <c r="AR173" s="13"/>
      <c r="AS173" s="13"/>
      <c r="AT173" s="13"/>
    </row>
    <row r="174" spans="1:46">
      <c r="A174" s="8" t="s">
        <v>247</v>
      </c>
      <c r="B174" s="8" t="s">
        <v>47</v>
      </c>
      <c r="C174" s="8" t="s">
        <v>416</v>
      </c>
      <c r="D174" s="8" t="s">
        <v>49</v>
      </c>
      <c r="E174" s="8" t="s">
        <v>667</v>
      </c>
      <c r="F174" s="8" t="s">
        <v>668</v>
      </c>
      <c r="G174" s="8" t="s">
        <v>669</v>
      </c>
      <c r="H174" s="8" t="str">
        <f ca="1">IFERROR(__xludf.DUMMYFUNCTION("VLOOKUP(G174, IMPORTRANGE(""https://docs.google.com/spreadsheets/d/14deopnvwcrKtEGCKuYXdUHJbeLDZlkiSSWWT0g7x2pM/edit#gid=999382323"", ""LU List Maths (Filter)!A:B""), 2, FALSE)"),"Medians of a triangle")</f>
        <v>Medians of a triangle</v>
      </c>
      <c r="I174" s="10" t="str">
        <f t="shared" si="0"/>
        <v>LU000423.001</v>
      </c>
      <c r="J174" s="10" t="str">
        <f ca="1">IFERROR(__xludf.DUMMYFUNCTION("VLOOKUP(I174, IMPORTRANGE(""https://docs.google.com/spreadsheets/d/1yDAaXNsi4Mr5FtRQL4tbmSdIzhx6_m4wkOD7IG-k_eo/edit#gid=0"", ""Maths!M:N""), 2, FALSE)"),"Define median of a triangle.")</f>
        <v>Define median of a triangle.</v>
      </c>
      <c r="K174" s="10" t="str">
        <f t="shared" si="1"/>
        <v>LU000423.002</v>
      </c>
      <c r="L174" s="10" t="str">
        <f ca="1">IFERROR(__xludf.DUMMYFUNCTION("VLOOKUP(K174, IMPORTRANGE(""https://docs.google.com/spreadsheets/d/1yDAaXNsi4Mr5FtRQL4tbmSdIzhx6_m4wkOD7IG-k_eo/edit#gid=0"", ""Maths!M:N""), 2, FALSE)"),"Explain the concept of medians in a triangle and their connection to midpoints.")</f>
        <v>Explain the concept of medians in a triangle and their connection to midpoints.</v>
      </c>
      <c r="M174" s="10" t="str">
        <f t="shared" si="2"/>
        <v>LU000423.003</v>
      </c>
      <c r="N174" s="10" t="str">
        <f ca="1">IFERROR(__xludf.DUMMYFUNCTION("VLOOKUP(M174, IMPORTRANGE(""https://docs.google.com/spreadsheets/d/1yDAaXNsi4Mr5FtRQL4tbmSdIzhx6_m4wkOD7IG-k_eo/edit#gid=0"", ""Maths!M:N""), 2, FALSE)"),"Identify and name all the medians for the given triangle.")</f>
        <v>Identify and name all the medians for the given triangle.</v>
      </c>
      <c r="O174" s="10" t="str">
        <f t="shared" si="3"/>
        <v>LU000423.004</v>
      </c>
      <c r="P174" s="10" t="str">
        <f ca="1">IFERROR(__xludf.DUMMYFUNCTION("VLOOKUP(O174, IMPORTRANGE(""https://docs.google.com/spreadsheets/d/1yDAaXNsi4Mr5FtRQL4tbmSdIzhx6_m4wkOD7IG-k_eo/edit#gid=0"", ""Maths!M:N""), 2, FALSE)"),"Analyze the relationship between medians and triangle sides, and determine the number of medians.")</f>
        <v>Analyze the relationship between medians and triangle sides, and determine the number of medians.</v>
      </c>
      <c r="Q174" s="10" t="str">
        <f t="shared" si="4"/>
        <v>LU000423.005</v>
      </c>
      <c r="R174" s="10" t="str">
        <f ca="1">IFERROR(__xludf.DUMMYFUNCTION("VLOOKUP(Q174, IMPORTRANGE(""https://docs.google.com/spreadsheets/d/1yDAaXNsi4Mr5FtRQL4tbmSdIzhx6_m4wkOD7IG-k_eo/edit#gid=0"", ""Maths!M:N""), 2, FALSE)"),"Assess the validity of statements about medians and their position in a triangle.")</f>
        <v>Assess the validity of statements about medians and their position in a triangle.</v>
      </c>
      <c r="S174" s="10" t="str">
        <f t="shared" si="5"/>
        <v>LU000423.006</v>
      </c>
      <c r="T174" s="10" t="str">
        <f ca="1">IFERROR(__xludf.DUMMYFUNCTION("VLOOKUP(S174, IMPORTRANGE(""https://docs.google.com/spreadsheets/d/1yDAaXNsi4Mr5FtRQL4tbmSdIzhx6_m4wkOD7IG-k_eo/edit#gid=0"", ""Maths!M:N""), 2, FALSE)"),"Design a triangle and its medians, showcasing their properties and relationships visually.")</f>
        <v>Design a triangle and its medians, showcasing their properties and relationships visually.</v>
      </c>
      <c r="U174" s="11">
        <f ca="1">IFERROR(__xludf.DUMMYFUNCTION("ArrayFormula(VLOOKUP(G174, IMPORTRANGE(""https://docs.google.com/spreadsheets/d/1p7R4vtkWt5VOBim4ltsDG9KTzSjrtKXsMtQGXPHyND0/edit#gid=795171502"", ""'Filter 30_05_2024'!A1:M2000""), {2, 3, 4, 5,6,7,8,9,10,11,12,13}, 0))"),4)</f>
        <v>4</v>
      </c>
      <c r="V174" s="11">
        <f ca="1">IFERROR(__xludf.DUMMYFUNCTION("""COMPUTED_VALUE"""),10)</f>
        <v>10</v>
      </c>
      <c r="W174" s="11">
        <f ca="1">IFERROR(__xludf.DUMMYFUNCTION("""COMPUTED_VALUE"""),2)</f>
        <v>2</v>
      </c>
      <c r="X174" s="11">
        <f ca="1">IFERROR(__xludf.DUMMYFUNCTION("""COMPUTED_VALUE"""),16)</f>
        <v>16</v>
      </c>
      <c r="Y174" s="11">
        <f ca="1">IFERROR(__xludf.DUMMYFUNCTION("""COMPUTED_VALUE"""),4)</f>
        <v>4</v>
      </c>
      <c r="Z174" s="12">
        <f ca="1">IFERROR(__xludf.DUMMYFUNCTION("""COMPUTED_VALUE"""),3)</f>
        <v>3</v>
      </c>
      <c r="AA174" s="12">
        <f ca="1">IFERROR(__xludf.DUMMYFUNCTION("""COMPUTED_VALUE"""),1)</f>
        <v>1</v>
      </c>
      <c r="AB174" s="12">
        <f ca="1">IFERROR(__xludf.DUMMYFUNCTION("""COMPUTED_VALUE"""),8)</f>
        <v>8</v>
      </c>
      <c r="AC174" s="12"/>
      <c r="AD174" s="12"/>
      <c r="AE174" s="12"/>
      <c r="AF174" s="12"/>
      <c r="AG174" s="13" t="str">
        <f ca="1">IFERROR(__xludf.DUMMYFUNCTION("ArrayFormula(VLOOKUP(G174, IMPORTRANGE(""https://docs.google.com/spreadsheets/d/1Co934fvtviyaRiMsrIlT05Jaq7iiYq07aLvRr35KA48/edit?gid=173865642#gid=173865642"", ""'G7_Maths_Pri_LU'!G2:V2000""), {3, 4, 5, 6, 7, 8, 9, 10, 11, 12, 13, 14, 15, 16}, 0))"),"LU000229")</f>
        <v>LU000229</v>
      </c>
      <c r="AH174" s="13" t="str">
        <f ca="1">IFERROR(__xludf.DUMMYFUNCTION("""COMPUTED_VALUE"""),"Lexical explanation of triangle")</f>
        <v>Lexical explanation of triangle</v>
      </c>
      <c r="AI174" s="13" t="str">
        <f ca="1">IFERROR(__xludf.DUMMYFUNCTION("""COMPUTED_VALUE"""),"LU000219")</f>
        <v>LU000219</v>
      </c>
      <c r="AJ174" s="13" t="str">
        <f ca="1">IFERROR(__xludf.DUMMYFUNCTION("""COMPUTED_VALUE"""),"Definition of line segment")</f>
        <v>Definition of line segment</v>
      </c>
      <c r="AK174" s="13"/>
      <c r="AL174" s="13"/>
      <c r="AM174" s="13"/>
      <c r="AN174" s="13"/>
      <c r="AO174" s="13"/>
      <c r="AP174" s="13"/>
      <c r="AQ174" s="13"/>
      <c r="AR174" s="13"/>
      <c r="AS174" s="13"/>
      <c r="AT174" s="13"/>
    </row>
    <row r="175" spans="1:46">
      <c r="A175" s="8" t="s">
        <v>247</v>
      </c>
      <c r="B175" s="8" t="s">
        <v>47</v>
      </c>
      <c r="C175" s="8" t="s">
        <v>416</v>
      </c>
      <c r="D175" s="8" t="s">
        <v>49</v>
      </c>
      <c r="E175" s="8" t="s">
        <v>667</v>
      </c>
      <c r="F175" s="8" t="s">
        <v>668</v>
      </c>
      <c r="G175" s="8" t="s">
        <v>670</v>
      </c>
      <c r="H175" s="8" t="str">
        <f ca="1">IFERROR(__xludf.DUMMYFUNCTION("VLOOKUP(G175, IMPORTRANGE(""https://docs.google.com/spreadsheets/d/14deopnvwcrKtEGCKuYXdUHJbeLDZlkiSSWWT0g7x2pM/edit#gid=999382323"", ""LU List Maths (Filter)!A:B""), 2, FALSE)"),"Altitudes of a triangle")</f>
        <v>Altitudes of a triangle</v>
      </c>
      <c r="I175" s="10" t="str">
        <f t="shared" si="0"/>
        <v>LU000424.001</v>
      </c>
      <c r="J175" s="10" t="str">
        <f ca="1">IFERROR(__xludf.DUMMYFUNCTION("VLOOKUP(I175, IMPORTRANGE(""https://docs.google.com/spreadsheets/d/1yDAaXNsi4Mr5FtRQL4tbmSdIzhx6_m4wkOD7IG-k_eo/edit#gid=0"", ""Maths!M:N""), 2, FALSE)"),"Define altitude of a triangle.")</f>
        <v>Define altitude of a triangle.</v>
      </c>
      <c r="K175" s="10" t="str">
        <f t="shared" si="1"/>
        <v>LU000424.002</v>
      </c>
      <c r="L175" s="10" t="str">
        <f ca="1">IFERROR(__xludf.DUMMYFUNCTION("VLOOKUP(K175, IMPORTRANGE(""https://docs.google.com/spreadsheets/d/1yDAaXNsi4Mr5FtRQL4tbmSdIzhx6_m4wkOD7IG-k_eo/edit#gid=0"", ""Maths!M:N""), 2, FALSE)"),"Identify and name all the altitudes for the given triangle.")</f>
        <v>Identify and name all the altitudes for the given triangle.</v>
      </c>
      <c r="M175" s="10" t="str">
        <f t="shared" si="2"/>
        <v>LU000424.003</v>
      </c>
      <c r="N175" s="10" t="str">
        <f ca="1">IFERROR(__xludf.DUMMYFUNCTION("VLOOKUP(M175, IMPORTRANGE(""https://docs.google.com/spreadsheets/d/1yDAaXNsi4Mr5FtRQL4tbmSdIzhx6_m4wkOD7IG-k_eo/edit#gid=0"", ""Maths!M:N""), 2, FALSE)"),"Apply the concept of altitudes to draw altitudes from different vertices of a triangle.")</f>
        <v>Apply the concept of altitudes to draw altitudes from different vertices of a triangle.</v>
      </c>
      <c r="O175" s="10" t="str">
        <f t="shared" si="3"/>
        <v>LU000424.004</v>
      </c>
      <c r="P175" s="10" t="str">
        <f ca="1">IFERROR(__xludf.DUMMYFUNCTION("VLOOKUP(O175, IMPORTRANGE(""https://docs.google.com/spreadsheets/d/1yDAaXNsi4Mr5FtRQL4tbmSdIzhx6_m4wkOD7IG-k_eo/edit#gid=0"", ""Maths!M:N""), 2, FALSE)"),"Assess the validity of a statement about the position of an altitude within a triangle.")</f>
        <v>Assess the validity of a statement about the position of an altitude within a triangle.</v>
      </c>
      <c r="Q175" s="10" t="str">
        <f t="shared" si="4"/>
        <v>LU000424.005</v>
      </c>
      <c r="R175" s="10" t="str">
        <f ca="1">IFERROR(__xludf.DUMMYFUNCTION("VLOOKUP(Q175, IMPORTRANGE(""https://docs.google.com/spreadsheets/d/1yDAaXNsi4Mr5FtRQL4tbmSdIzhx6_m4wkOD7IG-k_eo/edit#gid=0"", ""Maths!M:N""), 2, FALSE)"),"Evaluate the possibility of an altitude lies within the interior or exterior of a triangle.")</f>
        <v>Evaluate the possibility of an altitude lies within the interior or exterior of a triangle.</v>
      </c>
      <c r="S175" s="10" t="str">
        <f t="shared" si="5"/>
        <v>LU000424.006</v>
      </c>
      <c r="T175" s="10" t="str">
        <f ca="1">IFERROR(__xludf.DUMMYFUNCTION("VLOOKUP(S175, IMPORTRANGE(""https://docs.google.com/spreadsheets/d/1yDAaXNsi4Mr5FtRQL4tbmSdIzhx6_m4wkOD7IG-k_eo/edit#gid=0"", ""Maths!M:N""), 2, FALSE)"),"Create a visual representation of a triangle with two altitudes as two of its sides.")</f>
        <v>Create a visual representation of a triangle with two altitudes as two of its sides.</v>
      </c>
      <c r="U175" s="11">
        <f ca="1">IFERROR(__xludf.DUMMYFUNCTION("ArrayFormula(VLOOKUP(G175, IMPORTRANGE(""https://docs.google.com/spreadsheets/d/1p7R4vtkWt5VOBim4ltsDG9KTzSjrtKXsMtQGXPHyND0/edit#gid=795171502"", ""'Filter 30_05_2024'!A1:M2000""), {2, 3, 4, 5,6,7,8,9,10,11,12,13}, 0))"),15)</f>
        <v>15</v>
      </c>
      <c r="V175" s="11">
        <f ca="1">IFERROR(__xludf.DUMMYFUNCTION("""COMPUTED_VALUE"""),6)</f>
        <v>6</v>
      </c>
      <c r="W175" s="11">
        <f ca="1">IFERROR(__xludf.DUMMYFUNCTION("""COMPUTED_VALUE"""),2)</f>
        <v>2</v>
      </c>
      <c r="X175" s="11">
        <f ca="1">IFERROR(__xludf.DUMMYFUNCTION("""COMPUTED_VALUE"""),23)</f>
        <v>23</v>
      </c>
      <c r="Y175" s="11">
        <f ca="1">IFERROR(__xludf.DUMMYFUNCTION("""COMPUTED_VALUE"""),6)</f>
        <v>6</v>
      </c>
      <c r="Z175" s="12">
        <f ca="1">IFERROR(__xludf.DUMMYFUNCTION("""COMPUTED_VALUE"""),3)</f>
        <v>3</v>
      </c>
      <c r="AA175" s="12">
        <f ca="1">IFERROR(__xludf.DUMMYFUNCTION("""COMPUTED_VALUE"""),1)</f>
        <v>1</v>
      </c>
      <c r="AB175" s="12">
        <f ca="1">IFERROR(__xludf.DUMMYFUNCTION("""COMPUTED_VALUE"""),10)</f>
        <v>10</v>
      </c>
      <c r="AC175" s="12"/>
      <c r="AD175" s="12"/>
      <c r="AE175" s="12"/>
      <c r="AF175" s="12"/>
      <c r="AG175" s="13" t="str">
        <f ca="1">IFERROR(__xludf.DUMMYFUNCTION("ArrayFormula(VLOOKUP(G175, IMPORTRANGE(""https://docs.google.com/spreadsheets/d/1Co934fvtviyaRiMsrIlT05Jaq7iiYq07aLvRr35KA48/edit?gid=173865642#gid=173865642"", ""'G7_Maths_Pri_LU'!G2:V2000""), {3, 4, 5, 6, 7, 8, 9, 10, 11, 12, 13, 14, 15, 16}, 0))"),"LU000229")</f>
        <v>LU000229</v>
      </c>
      <c r="AH175" s="13" t="str">
        <f ca="1">IFERROR(__xludf.DUMMYFUNCTION("""COMPUTED_VALUE"""),"Lexical explanation of triangle")</f>
        <v>Lexical explanation of triangle</v>
      </c>
      <c r="AI175" s="13" t="str">
        <f ca="1">IFERROR(__xludf.DUMMYFUNCTION("""COMPUTED_VALUE"""),"LU000017")</f>
        <v>LU000017</v>
      </c>
      <c r="AJ175" s="13" t="str">
        <f ca="1">IFERROR(__xludf.DUMMYFUNCTION("""COMPUTED_VALUE"""),"Definition of a right angle")</f>
        <v>Definition of a right angle</v>
      </c>
      <c r="AK175" s="13" t="str">
        <f ca="1">IFERROR(__xludf.DUMMYFUNCTION("""COMPUTED_VALUE"""),"LU000219")</f>
        <v>LU000219</v>
      </c>
      <c r="AL175" s="13" t="str">
        <f ca="1">IFERROR(__xludf.DUMMYFUNCTION("""COMPUTED_VALUE"""),"Definition of line segment")</f>
        <v>Definition of line segment</v>
      </c>
      <c r="AM175" s="13"/>
      <c r="AN175" s="13"/>
      <c r="AO175" s="13"/>
      <c r="AP175" s="13"/>
      <c r="AQ175" s="13"/>
      <c r="AR175" s="13"/>
      <c r="AS175" s="13"/>
      <c r="AT175" s="13"/>
    </row>
    <row r="176" spans="1:46">
      <c r="A176" s="8" t="s">
        <v>247</v>
      </c>
      <c r="B176" s="8" t="s">
        <v>47</v>
      </c>
      <c r="C176" s="8" t="s">
        <v>416</v>
      </c>
      <c r="D176" s="8" t="s">
        <v>49</v>
      </c>
      <c r="E176" s="8" t="s">
        <v>667</v>
      </c>
      <c r="F176" s="8" t="s">
        <v>671</v>
      </c>
      <c r="G176" s="8" t="s">
        <v>672</v>
      </c>
      <c r="H176" s="8" t="str">
        <f ca="1">IFERROR(__xludf.DUMMYFUNCTION("VLOOKUP(G176, IMPORTRANGE(""https://docs.google.com/spreadsheets/d/14deopnvwcrKtEGCKuYXdUHJbeLDZlkiSSWWT0g7x2pM/edit#gid=999382323"", ""LU List Maths (Filter)!A:B""), 2, FALSE)"),"Exterior and interior angles of a polygon")</f>
        <v>Exterior and interior angles of a polygon</v>
      </c>
      <c r="I176" s="10" t="str">
        <f t="shared" si="0"/>
        <v>LU000425.001</v>
      </c>
      <c r="J176" s="10" t="str">
        <f ca="1">IFERROR(__xludf.DUMMYFUNCTION("VLOOKUP(I176, IMPORTRANGE(""https://docs.google.com/spreadsheets/d/1yDAaXNsi4Mr5FtRQL4tbmSdIzhx6_m4wkOD7IG-k_eo/edit#gid=0"", ""Maths!M:N""), 2, FALSE)"),"Recall the definitions of interior and exterior angles in a polygon.")</f>
        <v>Recall the definitions of interior and exterior angles in a polygon.</v>
      </c>
      <c r="K176" s="10" t="str">
        <f t="shared" si="1"/>
        <v>LU000425.002</v>
      </c>
      <c r="L176" s="10" t="str">
        <f ca="1">IFERROR(__xludf.DUMMYFUNCTION("VLOOKUP(K176, IMPORTRANGE(""https://docs.google.com/spreadsheets/d/1yDAaXNsi4Mr5FtRQL4tbmSdIzhx6_m4wkOD7IG-k_eo/edit#gid=0"", ""Maths!M:N""), 2, FALSE)"),"Identify interior and exterior angles in a given polygon.")</f>
        <v>Identify interior and exterior angles in a given polygon.</v>
      </c>
      <c r="M176" s="10" t="str">
        <f t="shared" si="2"/>
        <v>LU000425.003</v>
      </c>
      <c r="N176" s="10" t="str">
        <f ca="1">IFERROR(__xludf.DUMMYFUNCTION("VLOOKUP(M176, IMPORTRANGE(""https://docs.google.com/spreadsheets/d/1yDAaXNsi4Mr5FtRQL4tbmSdIzhx6_m4wkOD7IG-k_eo/edit#gid=0"", ""Maths!M:N""), 2, FALSE)"),"Find the number of interior and exterior angles in a given triangle or quadrilateral.")</f>
        <v>Find the number of interior and exterior angles in a given triangle or quadrilateral.</v>
      </c>
      <c r="O176" s="10" t="str">
        <f t="shared" si="3"/>
        <v>LU000425.004</v>
      </c>
      <c r="P176" s="10" t="str">
        <f ca="1">IFERROR(__xludf.DUMMYFUNCTION("VLOOKUP(O176, IMPORTRANGE(""https://docs.google.com/spreadsheets/d/1yDAaXNsi4Mr5FtRQL4tbmSdIzhx6_m4wkOD7IG-k_eo/edit#gid=0"", ""Maths!M:N""), 2, FALSE)"),"Find the number of interior and exterior angles in specific polygons.")</f>
        <v>Find the number of interior and exterior angles in specific polygons.</v>
      </c>
      <c r="Q176" s="10" t="str">
        <f t="shared" si="4"/>
        <v>LU000425.005</v>
      </c>
      <c r="R176" s="10" t="str">
        <f ca="1">IFERROR(__xludf.DUMMYFUNCTION("VLOOKUP(Q176, IMPORTRANGE(""https://docs.google.com/spreadsheets/d/1yDAaXNsi4Mr5FtRQL4tbmSdIzhx6_m4wkOD7IG-k_eo/edit#gid=0"", ""Maths!M:N""), 2, FALSE)"),"Evaluate the validity of a statement about the relationship between interior and exterior angles in polygons.")</f>
        <v>Evaluate the validity of a statement about the relationship between interior and exterior angles in polygons.</v>
      </c>
      <c r="S176" s="10" t="str">
        <f t="shared" si="5"/>
        <v>LU000425.006</v>
      </c>
      <c r="T176" s="10" t="str">
        <f ca="1">IFERROR(__xludf.DUMMYFUNCTION("VLOOKUP(S176, IMPORTRANGE(""https://docs.google.com/spreadsheets/d/1yDAaXNsi4Mr5FtRQL4tbmSdIzhx6_m4wkOD7IG-k_eo/edit#gid=0"", ""Maths!M:N""), 2, FALSE)"),"Create a diagram of a polygon, labeling its interior and exterior angles.")</f>
        <v>Create a diagram of a polygon, labeling its interior and exterior angles.</v>
      </c>
      <c r="U176" s="11">
        <f ca="1">IFERROR(__xludf.DUMMYFUNCTION("ArrayFormula(VLOOKUP(G176, IMPORTRANGE(""https://docs.google.com/spreadsheets/d/1p7R4vtkWt5VOBim4ltsDG9KTzSjrtKXsMtQGXPHyND0/edit#gid=795171502"", ""'Filter 30_05_2024'!A1:M2000""), {2, 3, 4, 5,6,7,8,9,10,11,12,13}, 0))"),8)</f>
        <v>8</v>
      </c>
      <c r="V176" s="11">
        <f ca="1">IFERROR(__xludf.DUMMYFUNCTION("""COMPUTED_VALUE"""),5)</f>
        <v>5</v>
      </c>
      <c r="W176" s="11">
        <f ca="1">IFERROR(__xludf.DUMMYFUNCTION("""COMPUTED_VALUE"""),2)</f>
        <v>2</v>
      </c>
      <c r="X176" s="11">
        <f ca="1">IFERROR(__xludf.DUMMYFUNCTION("""COMPUTED_VALUE"""),15)</f>
        <v>15</v>
      </c>
      <c r="Y176" s="11">
        <f ca="1">IFERROR(__xludf.DUMMYFUNCTION("""COMPUTED_VALUE"""),4)</f>
        <v>4</v>
      </c>
      <c r="Z176" s="12">
        <f ca="1">IFERROR(__xludf.DUMMYFUNCTION("""COMPUTED_VALUE"""),4)</f>
        <v>4</v>
      </c>
      <c r="AA176" s="12">
        <f ca="1">IFERROR(__xludf.DUMMYFUNCTION("""COMPUTED_VALUE"""),1)</f>
        <v>1</v>
      </c>
      <c r="AB176" s="12">
        <f ca="1">IFERROR(__xludf.DUMMYFUNCTION("""COMPUTED_VALUE"""),9)</f>
        <v>9</v>
      </c>
      <c r="AC176" s="12"/>
      <c r="AD176" s="12"/>
      <c r="AE176" s="12"/>
      <c r="AF176" s="12"/>
      <c r="AG176" s="13" t="str">
        <f ca="1">IFERROR(__xludf.DUMMYFUNCTION("ArrayFormula(VLOOKUP(G176, IMPORTRANGE(""https://docs.google.com/spreadsheets/d/1Co934fvtviyaRiMsrIlT05Jaq7iiYq07aLvRr35KA48/edit?gid=173865642#gid=173865642"", ""'G7_Maths_Pri_LU'!G2:V2000""), {3, 4, 5, 6, 7, 8, 9, 10, 11, 12, 13, 14, 15, 16}, 0))"),"LU000227")</f>
        <v>LU000227</v>
      </c>
      <c r="AH176" s="13" t="str">
        <f ca="1">IFERROR(__xludf.DUMMYFUNCTION("""COMPUTED_VALUE"""),"Definition and elements of a polygon")</f>
        <v>Definition and elements of a polygon</v>
      </c>
      <c r="AI176" s="13" t="str">
        <f ca="1">IFERROR(__xludf.DUMMYFUNCTION("""COMPUTED_VALUE"""),"LU000014")</f>
        <v>LU000014</v>
      </c>
      <c r="AJ176" s="13" t="str">
        <f ca="1">IFERROR(__xludf.DUMMYFUNCTION("""COMPUTED_VALUE"""),"Definition of an angle")</f>
        <v>Definition of an angle</v>
      </c>
      <c r="AK176" s="13"/>
      <c r="AL176" s="13"/>
      <c r="AM176" s="13"/>
      <c r="AN176" s="13"/>
      <c r="AO176" s="13"/>
      <c r="AP176" s="13"/>
      <c r="AQ176" s="13"/>
      <c r="AR176" s="13"/>
      <c r="AS176" s="13"/>
      <c r="AT176" s="13"/>
    </row>
    <row r="177" spans="1:46">
      <c r="A177" s="8" t="s">
        <v>247</v>
      </c>
      <c r="B177" s="8" t="s">
        <v>47</v>
      </c>
      <c r="C177" s="8" t="s">
        <v>416</v>
      </c>
      <c r="D177" s="8" t="s">
        <v>49</v>
      </c>
      <c r="E177" s="8" t="s">
        <v>667</v>
      </c>
      <c r="F177" s="8" t="s">
        <v>671</v>
      </c>
      <c r="G177" s="8" t="s">
        <v>673</v>
      </c>
      <c r="H177" s="8" t="str">
        <f ca="1">IFERROR(__xludf.DUMMYFUNCTION("VLOOKUP(G177, IMPORTRANGE(""https://docs.google.com/spreadsheets/d/14deopnvwcrKtEGCKuYXdUHJbeLDZlkiSSWWT0g7x2pM/edit#gid=999382323"", ""LU List Maths (Filter)!A:B""), 2, FALSE)"),"Interior opposite angles corresponding to any exterior angle of a triangle")</f>
        <v>Interior opposite angles corresponding to any exterior angle of a triangle</v>
      </c>
      <c r="I177" s="10" t="str">
        <f t="shared" si="0"/>
        <v>LU000426.001</v>
      </c>
      <c r="J177" s="10" t="str">
        <f ca="1">IFERROR(__xludf.DUMMYFUNCTION("VLOOKUP(I177, IMPORTRANGE(""https://docs.google.com/spreadsheets/d/1yDAaXNsi4Mr5FtRQL4tbmSdIzhx6_m4wkOD7IG-k_eo/edit#gid=0"", ""Maths!M:N""), 2, FALSE)"),"#N/A")</f>
        <v>#N/A</v>
      </c>
      <c r="K177" s="10" t="str">
        <f t="shared" si="1"/>
        <v>LU000426.002</v>
      </c>
      <c r="L177" s="10" t="str">
        <f ca="1">IFERROR(__xludf.DUMMYFUNCTION("VLOOKUP(K177, IMPORTRANGE(""https://docs.google.com/spreadsheets/d/1yDAaXNsi4Mr5FtRQL4tbmSdIzhx6_m4wkOD7IG-k_eo/edit#gid=0"", ""Maths!M:N""), 2, FALSE)"),"Explain the concept of interior opposite angles of a triangle with respect to a given exterior angle.")</f>
        <v>Explain the concept of interior opposite angles of a triangle with respect to a given exterior angle.</v>
      </c>
      <c r="M177" s="10" t="str">
        <f t="shared" si="2"/>
        <v>LU000426.003</v>
      </c>
      <c r="N177" s="10" t="str">
        <f ca="1">IFERROR(__xludf.DUMMYFUNCTION("VLOOKUP(M177, IMPORTRANGE(""https://docs.google.com/spreadsheets/d/1yDAaXNsi4Mr5FtRQL4tbmSdIzhx6_m4wkOD7IG-k_eo/edit#gid=0"", ""Maths!M:N""), 2, FALSE)"),"Identify the interior opposite angles of a triangle with respect to a given exterior angle")</f>
        <v>Identify the interior opposite angles of a triangle with respect to a given exterior angle</v>
      </c>
      <c r="O177" s="10" t="str">
        <f t="shared" si="3"/>
        <v>LU000426.004</v>
      </c>
      <c r="P177" s="10" t="str">
        <f ca="1">IFERROR(__xludf.DUMMYFUNCTION("VLOOKUP(O177, IMPORTRANGE(""https://docs.google.com/spreadsheets/d/1yDAaXNsi4Mr5FtRQL4tbmSdIzhx6_m4wkOD7IG-k_eo/edit#gid=0"", ""Maths!M:N""), 2, FALSE)"),"Analyse the positioning of interior opposite angles with respect to a given exterior angle in a triangle.")</f>
        <v>Analyse the positioning of interior opposite angles with respect to a given exterior angle in a triangle.</v>
      </c>
      <c r="Q177" s="10" t="str">
        <f t="shared" si="4"/>
        <v>LU000426.005</v>
      </c>
      <c r="R177" s="10" t="str">
        <f ca="1">IFERROR(__xludf.DUMMYFUNCTION("VLOOKUP(Q177, IMPORTRANGE(""https://docs.google.com/spreadsheets/d/1yDAaXNsi4Mr5FtRQL4tbmSdIzhx6_m4wkOD7IG-k_eo/edit#gid=0"", ""Maths!M:N""), 2, FALSE)"),"Evaluate the accuracy of identifying interior opposite angles in various triangles with given exterior angles.")</f>
        <v>Evaluate the accuracy of identifying interior opposite angles in various triangles with given exterior angles.</v>
      </c>
      <c r="S177" s="10" t="str">
        <f t="shared" si="5"/>
        <v>LU000426.006</v>
      </c>
      <c r="T177" s="10" t="str">
        <f ca="1">IFERROR(__xludf.DUMMYFUNCTION("VLOOKUP(S177, IMPORTRANGE(""https://docs.google.com/spreadsheets/d/1yDAaXNsi4Mr5FtRQL4tbmSdIzhx6_m4wkOD7IG-k_eo/edit#gid=0"", ""Maths!M:N""), 2, FALSE)"),"Create a visual representation illustrating interior opposite angles corresponding to a chosen exterior angle.")</f>
        <v>Create a visual representation illustrating interior opposite angles corresponding to a chosen exterior angle.</v>
      </c>
      <c r="U177" s="11">
        <f ca="1">IFERROR(__xludf.DUMMYFUNCTION("ArrayFormula(VLOOKUP(G177, IMPORTRANGE(""https://docs.google.com/spreadsheets/d/1p7R4vtkWt5VOBim4ltsDG9KTzSjrtKXsMtQGXPHyND0/edit#gid=795171502"", ""'Filter 30_05_2024'!A1:M2000""), {2, 3, 4, 5,6,7,8,9,10,11,12,13}, 0))"),4)</f>
        <v>4</v>
      </c>
      <c r="V177" s="11">
        <f ca="1">IFERROR(__xludf.DUMMYFUNCTION("""COMPUTED_VALUE"""),7)</f>
        <v>7</v>
      </c>
      <c r="W177" s="11">
        <f ca="1">IFERROR(__xludf.DUMMYFUNCTION("""COMPUTED_VALUE"""),2)</f>
        <v>2</v>
      </c>
      <c r="X177" s="11">
        <f ca="1">IFERROR(__xludf.DUMMYFUNCTION("""COMPUTED_VALUE"""),13)</f>
        <v>13</v>
      </c>
      <c r="Y177" s="11">
        <f ca="1">IFERROR(__xludf.DUMMYFUNCTION("""COMPUTED_VALUE"""),4)</f>
        <v>4</v>
      </c>
      <c r="Z177" s="12">
        <f ca="1">IFERROR(__xludf.DUMMYFUNCTION("""COMPUTED_VALUE"""),3)</f>
        <v>3</v>
      </c>
      <c r="AA177" s="12">
        <f ca="1">IFERROR(__xludf.DUMMYFUNCTION("""COMPUTED_VALUE"""),1)</f>
        <v>1</v>
      </c>
      <c r="AB177" s="12">
        <f ca="1">IFERROR(__xludf.DUMMYFUNCTION("""COMPUTED_VALUE"""),8)</f>
        <v>8</v>
      </c>
      <c r="AC177" s="12"/>
      <c r="AD177" s="12"/>
      <c r="AE177" s="12"/>
      <c r="AF177" s="12"/>
      <c r="AG177" s="13" t="str">
        <f ca="1">IFERROR(__xludf.DUMMYFUNCTION("ArrayFormula(VLOOKUP(G177, IMPORTRANGE(""https://docs.google.com/spreadsheets/d/1Co934fvtviyaRiMsrIlT05Jaq7iiYq07aLvRr35KA48/edit?gid=173865642#gid=173865642"", ""'G7_Maths_Pri_LU'!G2:V2000""), {3, 4, 5, 6, 7, 8, 9, 10, 11, 12, 13, 14, 15, 16}, 0))"),"LU000425")</f>
        <v>LU000425</v>
      </c>
      <c r="AH177" s="13" t="str">
        <f ca="1">IFERROR(__xludf.DUMMYFUNCTION("""COMPUTED_VALUE"""),"Exterior and interior angles of a polygon")</f>
        <v>Exterior and interior angles of a polygon</v>
      </c>
      <c r="AI177" s="13" t="str">
        <f ca="1">IFERROR(__xludf.DUMMYFUNCTION("""COMPUTED_VALUE"""),"LU000227")</f>
        <v>LU000227</v>
      </c>
      <c r="AJ177" s="13" t="str">
        <f ca="1">IFERROR(__xludf.DUMMYFUNCTION("""COMPUTED_VALUE"""),"Definition and elements of a polygon")</f>
        <v>Definition and elements of a polygon</v>
      </c>
      <c r="AK177" s="13" t="str">
        <f ca="1">IFERROR(__xludf.DUMMYFUNCTION("""COMPUTED_VALUE"""),"LU000228")</f>
        <v>LU000228</v>
      </c>
      <c r="AL177" s="13" t="str">
        <f ca="1">IFERROR(__xludf.DUMMYFUNCTION("""COMPUTED_VALUE"""),"Parts of an angle")</f>
        <v>Parts of an angle</v>
      </c>
      <c r="AM177" s="13"/>
      <c r="AN177" s="13"/>
      <c r="AO177" s="13"/>
      <c r="AP177" s="13"/>
      <c r="AQ177" s="13"/>
      <c r="AR177" s="13"/>
      <c r="AS177" s="13"/>
      <c r="AT177" s="13"/>
    </row>
    <row r="178" spans="1:46">
      <c r="A178" s="8" t="s">
        <v>247</v>
      </c>
      <c r="B178" s="8" t="s">
        <v>47</v>
      </c>
      <c r="C178" s="8" t="s">
        <v>416</v>
      </c>
      <c r="D178" s="8" t="s">
        <v>49</v>
      </c>
      <c r="E178" s="8" t="s">
        <v>667</v>
      </c>
      <c r="F178" s="8" t="s">
        <v>671</v>
      </c>
      <c r="G178" s="8" t="s">
        <v>674</v>
      </c>
      <c r="H178" s="8" t="str">
        <f ca="1">IFERROR(__xludf.DUMMYFUNCTION("VLOOKUP(G178, IMPORTRANGE(""https://docs.google.com/spreadsheets/d/14deopnvwcrKtEGCKuYXdUHJbeLDZlkiSSWWT0g7x2pM/edit#gid=999382323"", ""LU List Maths (Filter)!A:B""), 2, FALSE)"),"Exterior angle property of a triangle")</f>
        <v>Exterior angle property of a triangle</v>
      </c>
      <c r="I178" s="10" t="str">
        <f t="shared" si="0"/>
        <v>LU000429.001</v>
      </c>
      <c r="J178" s="10" t="str">
        <f ca="1">IFERROR(__xludf.DUMMYFUNCTION("VLOOKUP(I178, IMPORTRANGE(""https://docs.google.com/spreadsheets/d/1yDAaXNsi4Mr5FtRQL4tbmSdIzhx6_m4wkOD7IG-k_eo/edit#gid=0"", ""Maths!M:N""), 2, FALSE)"),"Describe the exterior angle property of a triangle.")</f>
        <v>Describe the exterior angle property of a triangle.</v>
      </c>
      <c r="K178" s="10" t="str">
        <f t="shared" si="1"/>
        <v>LU000429.002</v>
      </c>
      <c r="L178" s="10" t="str">
        <f ca="1">IFERROR(__xludf.DUMMYFUNCTION("VLOOKUP(K178, IMPORTRANGE(""https://docs.google.com/spreadsheets/d/1yDAaXNsi4Mr5FtRQL4tbmSdIzhx6_m4wkOD7IG-k_eo/edit#gid=0"", ""Maths!M:N""), 2, FALSE)"),"Establish the relation between exterior angle and sum of opposite interior angles of a triangle")</f>
        <v>Establish the relation between exterior angle and sum of opposite interior angles of a triangle</v>
      </c>
      <c r="M178" s="10" t="str">
        <f t="shared" si="2"/>
        <v>LU000429.003</v>
      </c>
      <c r="N178" s="10" t="str">
        <f ca="1">IFERROR(__xludf.DUMMYFUNCTION("VLOOKUP(M178, IMPORTRANGE(""https://docs.google.com/spreadsheets/d/1yDAaXNsi4Mr5FtRQL4tbmSdIzhx6_m4wkOD7IG-k_eo/edit#gid=0"", ""Maths!M:N""), 2, FALSE)"),"Find unknown angles of a triangle using exterior angle property for various types of triangles.")</f>
        <v>Find unknown angles of a triangle using exterior angle property for various types of triangles.</v>
      </c>
      <c r="O178" s="10" t="str">
        <f t="shared" si="3"/>
        <v>LU000429.004</v>
      </c>
      <c r="P178" s="10" t="str">
        <f ca="1">IFERROR(__xludf.DUMMYFUNCTION("VLOOKUP(O178, IMPORTRANGE(""https://docs.google.com/spreadsheets/d/1yDAaXNsi4Mr5FtRQL4tbmSdIzhx6_m4wkOD7IG-k_eo/edit#gid=0"", ""Maths!M:N""), 2, FALSE)"),"Justify that an exterior angle of a triangle is equal to the sum of its interior opposite angles.")</f>
        <v>Justify that an exterior angle of a triangle is equal to the sum of its interior opposite angles.</v>
      </c>
      <c r="Q178" s="10" t="str">
        <f t="shared" si="4"/>
        <v>LU000429.005</v>
      </c>
      <c r="R178" s="10" t="str">
        <f ca="1">IFERROR(__xludf.DUMMYFUNCTION("VLOOKUP(Q178, IMPORTRANGE(""https://docs.google.com/spreadsheets/d/1yDAaXNsi4Mr5FtRQL4tbmSdIzhx6_m4wkOD7IG-k_eo/edit#gid=0"", ""Maths!M:N""), 2, FALSE)"),"Evaluate the validity of the given statements based on the exterior angle property of a triangle.")</f>
        <v>Evaluate the validity of the given statements based on the exterior angle property of a triangle.</v>
      </c>
      <c r="S178" s="10" t="str">
        <f t="shared" si="5"/>
        <v>LU000429.006</v>
      </c>
      <c r="T178" s="10" t="str">
        <f ca="1">IFERROR(__xludf.DUMMYFUNCTION("VLOOKUP(S178, IMPORTRANGE(""https://docs.google.com/spreadsheets/d/1yDAaXNsi4Mr5FtRQL4tbmSdIzhx6_m4wkOD7IG-k_eo/edit#gid=0"", ""Maths!M:N""), 2, FALSE)"),"Create an illustration demonstrating the exterior angle property of a triangle using labeled angles.")</f>
        <v>Create an illustration demonstrating the exterior angle property of a triangle using labeled angles.</v>
      </c>
      <c r="U178" s="11">
        <f ca="1">IFERROR(__xludf.DUMMYFUNCTION("ArrayFormula(VLOOKUP(G178, IMPORTRANGE(""https://docs.google.com/spreadsheets/d/1p7R4vtkWt5VOBim4ltsDG9KTzSjrtKXsMtQGXPHyND0/edit#gid=795171502"", ""'Filter 30_05_2024'!A1:M2000""), {2, 3, 4, 5,6,7,8,9,10,11,12,13}, 0))"),5)</f>
        <v>5</v>
      </c>
      <c r="V178" s="11">
        <f ca="1">IFERROR(__xludf.DUMMYFUNCTION("""COMPUTED_VALUE"""),12)</f>
        <v>12</v>
      </c>
      <c r="W178" s="11">
        <f ca="1">IFERROR(__xludf.DUMMYFUNCTION("""COMPUTED_VALUE"""),2)</f>
        <v>2</v>
      </c>
      <c r="X178" s="11">
        <f ca="1">IFERROR(__xludf.DUMMYFUNCTION("""COMPUTED_VALUE"""),19)</f>
        <v>19</v>
      </c>
      <c r="Y178" s="11">
        <f ca="1">IFERROR(__xludf.DUMMYFUNCTION("""COMPUTED_VALUE"""),4)</f>
        <v>4</v>
      </c>
      <c r="Z178" s="12">
        <f ca="1">IFERROR(__xludf.DUMMYFUNCTION("""COMPUTED_VALUE"""),4)</f>
        <v>4</v>
      </c>
      <c r="AA178" s="12">
        <f ca="1">IFERROR(__xludf.DUMMYFUNCTION("""COMPUTED_VALUE"""),1)</f>
        <v>1</v>
      </c>
      <c r="AB178" s="12">
        <f ca="1">IFERROR(__xludf.DUMMYFUNCTION("""COMPUTED_VALUE"""),9)</f>
        <v>9</v>
      </c>
      <c r="AC178" s="12"/>
      <c r="AD178" s="12"/>
      <c r="AE178" s="12"/>
      <c r="AF178" s="12"/>
      <c r="AG178" s="13" t="str">
        <f ca="1">IFERROR(__xludf.DUMMYFUNCTION("ArrayFormula(VLOOKUP(G178, IMPORTRANGE(""https://docs.google.com/spreadsheets/d/1Co934fvtviyaRiMsrIlT05Jaq7iiYq07aLvRr35KA48/edit?gid=173865642#gid=173865642"", ""'G7_Maths_Pri_LU'!G2:V2000""), {3, 4, 5, 6, 7, 8, 9, 10, 11, 12, 13, 14, 15, 16}, 0))"),"LU001024")</f>
        <v>LU001024</v>
      </c>
      <c r="AH178" s="13" t="str">
        <f ca="1">IFERROR(__xludf.DUMMYFUNCTION("""COMPUTED_VALUE"""),"Angles made by transversal - Corresponding angles")</f>
        <v>Angles made by transversal - Corresponding angles</v>
      </c>
      <c r="AI178" s="13" t="str">
        <f ca="1">IFERROR(__xludf.DUMMYFUNCTION("""COMPUTED_VALUE"""),"LU000426")</f>
        <v>LU000426</v>
      </c>
      <c r="AJ178" s="13" t="str">
        <f ca="1">IFERROR(__xludf.DUMMYFUNCTION("""COMPUTED_VALUE"""),"Interior opposite angles corresponding to any exterior angle of a triangle")</f>
        <v>Interior opposite angles corresponding to any exterior angle of a triangle</v>
      </c>
      <c r="AK178" s="13" t="str">
        <f ca="1">IFERROR(__xludf.DUMMYFUNCTION("""COMPUTED_VALUE"""),"LU000425")</f>
        <v>LU000425</v>
      </c>
      <c r="AL178" s="13" t="str">
        <f ca="1">IFERROR(__xludf.DUMMYFUNCTION("""COMPUTED_VALUE"""),"Exterior and interior angles of a polygon")</f>
        <v>Exterior and interior angles of a polygon</v>
      </c>
      <c r="AM178" s="13"/>
      <c r="AN178" s="13"/>
      <c r="AO178" s="13"/>
      <c r="AP178" s="13"/>
      <c r="AQ178" s="13"/>
      <c r="AR178" s="13"/>
      <c r="AS178" s="13"/>
      <c r="AT178" s="13"/>
    </row>
    <row r="179" spans="1:46">
      <c r="A179" s="8" t="s">
        <v>247</v>
      </c>
      <c r="B179" s="8" t="s">
        <v>47</v>
      </c>
      <c r="C179" s="8" t="s">
        <v>416</v>
      </c>
      <c r="D179" s="8" t="s">
        <v>49</v>
      </c>
      <c r="E179" s="8" t="s">
        <v>667</v>
      </c>
      <c r="F179" s="8" t="s">
        <v>675</v>
      </c>
      <c r="G179" s="8" t="s">
        <v>676</v>
      </c>
      <c r="H179" s="8" t="str">
        <f ca="1">IFERROR(__xludf.DUMMYFUNCTION("VLOOKUP(G179, IMPORTRANGE(""https://docs.google.com/spreadsheets/d/14deopnvwcrKtEGCKuYXdUHJbeLDZlkiSSWWT0g7x2pM/edit#gid=999382323"", ""LU List Maths (Filter)!A:B""), 2, FALSE)"),"Angle sum property of a triangle")</f>
        <v>Angle sum property of a triangle</v>
      </c>
      <c r="I179" s="10" t="str">
        <f t="shared" si="0"/>
        <v>LU000430.001</v>
      </c>
      <c r="J179" s="10" t="str">
        <f ca="1">IFERROR(__xludf.DUMMYFUNCTION("VLOOKUP(I179, IMPORTRANGE(""https://docs.google.com/spreadsheets/d/1yDAaXNsi4Mr5FtRQL4tbmSdIzhx6_m4wkOD7IG-k_eo/edit#gid=0"", ""Maths!M:N""), 2, FALSE)"),"Describe the angle sum property of a triangle.")</f>
        <v>Describe the angle sum property of a triangle.</v>
      </c>
      <c r="K179" s="10" t="str">
        <f t="shared" si="1"/>
        <v>LU000430.002</v>
      </c>
      <c r="L179" s="10" t="str">
        <f ca="1">IFERROR(__xludf.DUMMYFUNCTION("VLOOKUP(K179, IMPORTRANGE(""https://docs.google.com/spreadsheets/d/1yDAaXNsi4Mr5FtRQL4tbmSdIzhx6_m4wkOD7IG-k_eo/edit#gid=0"", ""Maths!M:N""), 2, FALSE)"),"Explain how the angles in a triangle add up to 180 degrees.")</f>
        <v>Explain how the angles in a triangle add up to 180 degrees.</v>
      </c>
      <c r="M179" s="10" t="str">
        <f t="shared" si="2"/>
        <v>LU000430.003</v>
      </c>
      <c r="N179" s="10" t="str">
        <f ca="1">IFERROR(__xludf.DUMMYFUNCTION("VLOOKUP(M179, IMPORTRANGE(""https://docs.google.com/spreadsheets/d/1yDAaXNsi4Mr5FtRQL4tbmSdIzhx6_m4wkOD7IG-k_eo/edit#gid=0"", ""Maths!M:N""), 2, FALSE)"),"Find unknown angles of a triangle using angle sum property of a triangle for various types of triangles.")</f>
        <v>Find unknown angles of a triangle using angle sum property of a triangle for various types of triangles.</v>
      </c>
      <c r="O179" s="10" t="str">
        <f t="shared" si="3"/>
        <v>LU000430.004</v>
      </c>
      <c r="P179" s="10" t="str">
        <f ca="1">IFERROR(__xludf.DUMMYFUNCTION("VLOOKUP(O179, IMPORTRANGE(""https://docs.google.com/spreadsheets/d/1yDAaXNsi4Mr5FtRQL4tbmSdIzhx6_m4wkOD7IG-k_eo/edit#gid=0"", ""Maths!M:N""), 2, FALSE)"),"Justify that the total measure of the three angles of a triangle is 180 degree.")</f>
        <v>Justify that the total measure of the three angles of a triangle is 180 degree.</v>
      </c>
      <c r="Q179" s="10" t="str">
        <f t="shared" si="4"/>
        <v>LU000430.005</v>
      </c>
      <c r="R179" s="10" t="str">
        <f ca="1">IFERROR(__xludf.DUMMYFUNCTION("VLOOKUP(Q179, IMPORTRANGE(""https://docs.google.com/spreadsheets/d/1yDAaXNsi4Mr5FtRQL4tbmSdIzhx6_m4wkOD7IG-k_eo/edit#gid=0"", ""Maths!M:N""), 2, FALSE)"),"Evaluate the validity of the given statements based on the angle sum property of a triangle.")</f>
        <v>Evaluate the validity of the given statements based on the angle sum property of a triangle.</v>
      </c>
      <c r="S179" s="10" t="str">
        <f t="shared" si="5"/>
        <v>LU000430.006</v>
      </c>
      <c r="T179" s="10" t="str">
        <f ca="1">IFERROR(__xludf.DUMMYFUNCTION("VLOOKUP(S179, IMPORTRANGE(""https://docs.google.com/spreadsheets/d/1yDAaXNsi4Mr5FtRQL4tbmSdIzhx6_m4wkOD7IG-k_eo/edit#gid=0"", ""Maths!M:N""), 2, FALSE)"),"Create an illustration demonstrating the angle sum property of a triangle")</f>
        <v>Create an illustration demonstrating the angle sum property of a triangle</v>
      </c>
      <c r="U179" s="11">
        <f ca="1">IFERROR(__xludf.DUMMYFUNCTION("ArrayFormula(VLOOKUP(G179, IMPORTRANGE(""https://docs.google.com/spreadsheets/d/1p7R4vtkWt5VOBim4ltsDG9KTzSjrtKXsMtQGXPHyND0/edit#gid=795171502"", ""'Filter 30_05_2024'!A1:M2000""), {2, 3, 4, 5,6,7,8,9,10,11,12,13}, 0))"),5)</f>
        <v>5</v>
      </c>
      <c r="V179" s="11">
        <f ca="1">IFERROR(__xludf.DUMMYFUNCTION("""COMPUTED_VALUE"""),26)</f>
        <v>26</v>
      </c>
      <c r="W179" s="11">
        <f ca="1">IFERROR(__xludf.DUMMYFUNCTION("""COMPUTED_VALUE"""),5)</f>
        <v>5</v>
      </c>
      <c r="X179" s="11">
        <f ca="1">IFERROR(__xludf.DUMMYFUNCTION("""COMPUTED_VALUE"""),36)</f>
        <v>36</v>
      </c>
      <c r="Y179" s="11">
        <f ca="1">IFERROR(__xludf.DUMMYFUNCTION("""COMPUTED_VALUE"""),4)</f>
        <v>4</v>
      </c>
      <c r="Z179" s="12">
        <f ca="1">IFERROR(__xludf.DUMMYFUNCTION("""COMPUTED_VALUE"""),3)</f>
        <v>3</v>
      </c>
      <c r="AA179" s="12">
        <f ca="1">IFERROR(__xludf.DUMMYFUNCTION("""COMPUTED_VALUE"""),2)</f>
        <v>2</v>
      </c>
      <c r="AB179" s="12">
        <f ca="1">IFERROR(__xludf.DUMMYFUNCTION("""COMPUTED_VALUE"""),9)</f>
        <v>9</v>
      </c>
      <c r="AC179" s="12"/>
      <c r="AD179" s="12"/>
      <c r="AE179" s="12"/>
      <c r="AF179" s="12"/>
      <c r="AG179" s="13" t="str">
        <f ca="1">IFERROR(__xludf.DUMMYFUNCTION("ArrayFormula(VLOOKUP(G179, IMPORTRANGE(""https://docs.google.com/spreadsheets/d/1Co934fvtviyaRiMsrIlT05Jaq7iiYq07aLvRr35KA48/edit?gid=173865642#gid=173865642"", ""'G7_Maths_Pri_LU'!G2:V2000""), {3, 4, 5, 6, 7, 8, 9, 10, 11, 12, 13, 14, 15, 16}, 0))"),"LU000429")</f>
        <v>LU000429</v>
      </c>
      <c r="AH179" s="13" t="str">
        <f ca="1">IFERROR(__xludf.DUMMYFUNCTION("""COMPUTED_VALUE"""),"Exterior angle property of a triangle")</f>
        <v>Exterior angle property of a triangle</v>
      </c>
      <c r="AI179" s="13" t="str">
        <f ca="1">IFERROR(__xludf.DUMMYFUNCTION("""COMPUTED_VALUE"""),"LU000425")</f>
        <v>LU000425</v>
      </c>
      <c r="AJ179" s="13" t="str">
        <f ca="1">IFERROR(__xludf.DUMMYFUNCTION("""COMPUTED_VALUE"""),"Exterior and interior angles of a polygon")</f>
        <v>Exterior and interior angles of a polygon</v>
      </c>
      <c r="AK179" s="13" t="str">
        <f ca="1">IFERROR(__xludf.DUMMYFUNCTION("""COMPUTED_VALUE"""),"LU000259")</f>
        <v>LU000259</v>
      </c>
      <c r="AL179" s="13" t="str">
        <f ca="1">IFERROR(__xludf.DUMMYFUNCTION("""COMPUTED_VALUE"""),"Definition of a straight angle")</f>
        <v>Definition of a straight angle</v>
      </c>
      <c r="AM179" s="13" t="str">
        <f ca="1">IFERROR(__xludf.DUMMYFUNCTION("""COMPUTED_VALUE"""),"LU000229")</f>
        <v>LU000229</v>
      </c>
      <c r="AN179" s="13" t="str">
        <f ca="1">IFERROR(__xludf.DUMMYFUNCTION("""COMPUTED_VALUE"""),"Lexical explanation of triangle")</f>
        <v>Lexical explanation of triangle</v>
      </c>
      <c r="AO179" s="13" t="str">
        <f ca="1">IFERROR(__xludf.DUMMYFUNCTION("""COMPUTED_VALUE"""),"LU000243")</f>
        <v>LU000243</v>
      </c>
      <c r="AP179" s="13" t="str">
        <f ca="1">IFERROR(__xludf.DUMMYFUNCTION("""COMPUTED_VALUE"""),"Measurement of angles using protractor")</f>
        <v>Measurement of angles using protractor</v>
      </c>
      <c r="AQ179" s="13"/>
      <c r="AR179" s="13"/>
      <c r="AS179" s="13"/>
      <c r="AT179" s="13"/>
    </row>
    <row r="180" spans="1:46">
      <c r="A180" s="8" t="s">
        <v>247</v>
      </c>
      <c r="B180" s="8" t="s">
        <v>47</v>
      </c>
      <c r="C180" s="8" t="s">
        <v>416</v>
      </c>
      <c r="D180" s="8" t="s">
        <v>49</v>
      </c>
      <c r="E180" s="8" t="s">
        <v>667</v>
      </c>
      <c r="F180" s="8" t="s">
        <v>677</v>
      </c>
      <c r="G180" s="8" t="s">
        <v>678</v>
      </c>
      <c r="H180" s="8" t="str">
        <f ca="1">IFERROR(__xludf.DUMMYFUNCTION("VLOOKUP(G180, IMPORTRANGE(""https://docs.google.com/spreadsheets/d/14deopnvwcrKtEGCKuYXdUHJbeLDZlkiSSWWT0g7x2pM/edit#gid=999382323"", ""LU List Maths (Filter)!A:B""), 2, FALSE)"),"Properties of an isosceles triangle")</f>
        <v>Properties of an isosceles triangle</v>
      </c>
      <c r="I180" s="10" t="str">
        <f t="shared" si="0"/>
        <v>LU000427.001</v>
      </c>
      <c r="J180" s="10" t="str">
        <f ca="1">IFERROR(__xludf.DUMMYFUNCTION("VLOOKUP(I180, IMPORTRANGE(""https://docs.google.com/spreadsheets/d/1yDAaXNsi4Mr5FtRQL4tbmSdIzhx6_m4wkOD7IG-k_eo/edit#gid=0"", ""Maths!M:N""), 2, FALSE)"),"State the properties of an isosceles triangle.")</f>
        <v>State the properties of an isosceles triangle.</v>
      </c>
      <c r="K180" s="10" t="str">
        <f t="shared" si="1"/>
        <v>LU000427.002</v>
      </c>
      <c r="L180" s="10" t="str">
        <f ca="1">IFERROR(__xludf.DUMMYFUNCTION("VLOOKUP(K180, IMPORTRANGE(""https://docs.google.com/spreadsheets/d/1yDAaXNsi4Mr5FtRQL4tbmSdIzhx6_m4wkOD7IG-k_eo/edit#gid=0"", ""Maths!M:N""), 2, FALSE)"),"Explain the concept of an isosceles triangle.")</f>
        <v>Explain the concept of an isosceles triangle.</v>
      </c>
      <c r="M180" s="10" t="str">
        <f t="shared" si="2"/>
        <v>LU000427.003</v>
      </c>
      <c r="N180" s="10" t="str">
        <f ca="1">IFERROR(__xludf.DUMMYFUNCTION("VLOOKUP(M180, IMPORTRANGE(""https://docs.google.com/spreadsheets/d/1yDAaXNsi4Mr5FtRQL4tbmSdIzhx6_m4wkOD7IG-k_eo/edit#gid=0"", ""Maths!M:N""), 2, FALSE)"),"Use the properties of an isosceles triangle to find the unknown angle(s)")</f>
        <v>Use the properties of an isosceles triangle to find the unknown angle(s)</v>
      </c>
      <c r="O180" s="10" t="str">
        <f t="shared" si="3"/>
        <v>LU000427.004</v>
      </c>
      <c r="P180" s="10" t="str">
        <f ca="1">IFERROR(__xludf.DUMMYFUNCTION("VLOOKUP(O180, IMPORTRANGE(""https://docs.google.com/spreadsheets/d/1yDAaXNsi4Mr5FtRQL4tbmSdIzhx6_m4wkOD7IG-k_eo/edit#gid=0"", ""Maths!M:N""), 2, FALSE)"),"Analyse the relationship between the equal sides and the base angles of an isosceles triangle.")</f>
        <v>Analyse the relationship between the equal sides and the base angles of an isosceles triangle.</v>
      </c>
      <c r="Q180" s="10" t="str">
        <f t="shared" si="4"/>
        <v>LU000427.005</v>
      </c>
      <c r="R180" s="10" t="str">
        <f ca="1">IFERROR(__xludf.DUMMYFUNCTION("VLOOKUP(Q180, IMPORTRANGE(""https://docs.google.com/spreadsheets/d/1yDAaXNsi4Mr5FtRQL4tbmSdIzhx6_m4wkOD7IG-k_eo/edit#gid=0"", ""Maths!M:N""), 2, FALSE)"),"Evaluate whether a given triangle satisfies the properties of an isosceles triangle.")</f>
        <v>Evaluate whether a given triangle satisfies the properties of an isosceles triangle.</v>
      </c>
      <c r="S180" s="10" t="str">
        <f t="shared" si="5"/>
        <v>LU000427.006</v>
      </c>
      <c r="T180" s="10" t="str">
        <f ca="1">IFERROR(__xludf.DUMMYFUNCTION("VLOOKUP(S180, IMPORTRANGE(""https://docs.google.com/spreadsheets/d/1yDAaXNsi4Mr5FtRQL4tbmSdIzhx6_m4wkOD7IG-k_eo/edit#gid=0"", ""Maths!M:N""), 2, FALSE)"),"Create an example of an isosceles triangle, labeling its base, base angles, and vertical angles, equal sides and equal angles.")</f>
        <v>Create an example of an isosceles triangle, labeling its base, base angles, and vertical angles, equal sides and equal angles.</v>
      </c>
      <c r="U180" s="11">
        <f ca="1">IFERROR(__xludf.DUMMYFUNCTION("ArrayFormula(VLOOKUP(G180, IMPORTRANGE(""https://docs.google.com/spreadsheets/d/1p7R4vtkWt5VOBim4ltsDG9KTzSjrtKXsMtQGXPHyND0/edit#gid=795171502"", ""'Filter 30_05_2024'!A1:M2000""), {2, 3, 4, 5,6,7,8,9,10,11,12,13}, 0))"),5)</f>
        <v>5</v>
      </c>
      <c r="V180" s="11">
        <f ca="1">IFERROR(__xludf.DUMMYFUNCTION("""COMPUTED_VALUE"""),6)</f>
        <v>6</v>
      </c>
      <c r="W180" s="11">
        <f ca="1">IFERROR(__xludf.DUMMYFUNCTION("""COMPUTED_VALUE"""),2)</f>
        <v>2</v>
      </c>
      <c r="X180" s="11">
        <f ca="1">IFERROR(__xludf.DUMMYFUNCTION("""COMPUTED_VALUE"""),13)</f>
        <v>13</v>
      </c>
      <c r="Y180" s="11">
        <f ca="1">IFERROR(__xludf.DUMMYFUNCTION("""COMPUTED_VALUE"""),6)</f>
        <v>6</v>
      </c>
      <c r="Z180" s="12">
        <f ca="1">IFERROR(__xludf.DUMMYFUNCTION("""COMPUTED_VALUE"""),4)</f>
        <v>4</v>
      </c>
      <c r="AA180" s="12">
        <f ca="1">IFERROR(__xludf.DUMMYFUNCTION("""COMPUTED_VALUE"""),1)</f>
        <v>1</v>
      </c>
      <c r="AB180" s="12">
        <f ca="1">IFERROR(__xludf.DUMMYFUNCTION("""COMPUTED_VALUE"""),11)</f>
        <v>11</v>
      </c>
      <c r="AC180" s="12"/>
      <c r="AD180" s="12"/>
      <c r="AE180" s="12"/>
      <c r="AF180" s="12"/>
      <c r="AG180" s="13" t="str">
        <f ca="1">IFERROR(__xludf.DUMMYFUNCTION("ArrayFormula(VLOOKUP(G180, IMPORTRANGE(""https://docs.google.com/spreadsheets/d/1Co934fvtviyaRiMsrIlT05Jaq7iiYq07aLvRr35KA48/edit?gid=173865642#gid=173865642"", ""'G7_Maths_Pri_LU'!G2:V2000""), {3, 4, 5, 6, 7, 8, 9, 10, 11, 12, 13, 14, 15, 16}, 0))"),"LU000263")</f>
        <v>LU000263</v>
      </c>
      <c r="AH180" s="13" t="str">
        <f ca="1">IFERROR(__xludf.DUMMYFUNCTION("""COMPUTED_VALUE"""),"Definition of an isosceles triangle")</f>
        <v>Definition of an isosceles triangle</v>
      </c>
      <c r="AI180" s="13" t="str">
        <f ca="1">IFERROR(__xludf.DUMMYFUNCTION("""COMPUTED_VALUE"""),"LU000430")</f>
        <v>LU000430</v>
      </c>
      <c r="AJ180" s="13" t="str">
        <f ca="1">IFERROR(__xludf.DUMMYFUNCTION("""COMPUTED_VALUE"""),"Angle sum property of a triangle")</f>
        <v>Angle sum property of a triangle</v>
      </c>
      <c r="AK180" s="13"/>
      <c r="AL180" s="13"/>
      <c r="AM180" s="13"/>
      <c r="AN180" s="13"/>
      <c r="AO180" s="13"/>
      <c r="AP180" s="13"/>
      <c r="AQ180" s="13"/>
      <c r="AR180" s="13"/>
      <c r="AS180" s="13"/>
      <c r="AT180" s="13"/>
    </row>
    <row r="181" spans="1:46">
      <c r="A181" s="8" t="s">
        <v>247</v>
      </c>
      <c r="B181" s="8" t="s">
        <v>47</v>
      </c>
      <c r="C181" s="8" t="s">
        <v>416</v>
      </c>
      <c r="D181" s="8" t="s">
        <v>49</v>
      </c>
      <c r="E181" s="8" t="s">
        <v>667</v>
      </c>
      <c r="F181" s="8" t="s">
        <v>677</v>
      </c>
      <c r="G181" s="8" t="s">
        <v>679</v>
      </c>
      <c r="H181" s="8" t="str">
        <f ca="1">IFERROR(__xludf.DUMMYFUNCTION("VLOOKUP(G181, IMPORTRANGE(""https://docs.google.com/spreadsheets/d/14deopnvwcrKtEGCKuYXdUHJbeLDZlkiSSWWT0g7x2pM/edit#gid=999382323"", ""LU List Maths (Filter)!A:B""), 2, FALSE)"),"Properties of an equilateral triangle")</f>
        <v>Properties of an equilateral triangle</v>
      </c>
      <c r="I181" s="10" t="str">
        <f t="shared" si="0"/>
        <v>LU000428.001</v>
      </c>
      <c r="J181" s="10" t="str">
        <f ca="1">IFERROR(__xludf.DUMMYFUNCTION("VLOOKUP(I181, IMPORTRANGE(""https://docs.google.com/spreadsheets/d/1yDAaXNsi4Mr5FtRQL4tbmSdIzhx6_m4wkOD7IG-k_eo/edit#gid=0"", ""Maths!M:N""), 2, FALSE)"),"Recall the definition of an equilateral triangle.")</f>
        <v>Recall the definition of an equilateral triangle.</v>
      </c>
      <c r="K181" s="10" t="str">
        <f t="shared" si="1"/>
        <v>LU000428.002</v>
      </c>
      <c r="L181" s="10" t="str">
        <f ca="1">IFERROR(__xludf.DUMMYFUNCTION("VLOOKUP(K181, IMPORTRANGE(""https://docs.google.com/spreadsheets/d/1yDAaXNsi4Mr5FtRQL4tbmSdIzhx6_m4wkOD7IG-k_eo/edit#gid=0"", ""Maths!M:N""), 2, FALSE)"),"Explain the concept of an equilateral triangle, including its three equal side lengths.")</f>
        <v>Explain the concept of an equilateral triangle, including its three equal side lengths.</v>
      </c>
      <c r="M181" s="10" t="str">
        <f t="shared" si="2"/>
        <v>LU000428.003</v>
      </c>
      <c r="N181" s="10" t="str">
        <f ca="1">IFERROR(__xludf.DUMMYFUNCTION("VLOOKUP(M181, IMPORTRANGE(""https://docs.google.com/spreadsheets/d/1yDAaXNsi4Mr5FtRQL4tbmSdIzhx6_m4wkOD7IG-k_eo/edit#gid=0"", ""Maths!M:N""), 2, FALSE)"),"Use the properties of an equilateral triangle to find the unknown angle(s)")</f>
        <v>Use the properties of an equilateral triangle to find the unknown angle(s)</v>
      </c>
      <c r="O181" s="10" t="str">
        <f t="shared" si="3"/>
        <v>LU000428.004</v>
      </c>
      <c r="P181" s="10" t="str">
        <f ca="1">IFERROR(__xludf.DUMMYFUNCTION("VLOOKUP(O181, IMPORTRANGE(""https://docs.google.com/spreadsheets/d/1yDAaXNsi4Mr5FtRQL4tbmSdIzhx6_m4wkOD7IG-k_eo/edit#gid=0"", ""Maths!M:N""), 2, FALSE)"),"Analyse the relationship between the equal side lengths and angles in an equilateral triangle.")</f>
        <v>Analyse the relationship between the equal side lengths and angles in an equilateral triangle.</v>
      </c>
      <c r="Q181" s="10" t="str">
        <f t="shared" si="4"/>
        <v>LU000428.005</v>
      </c>
      <c r="R181" s="10" t="str">
        <f ca="1">IFERROR(__xludf.DUMMYFUNCTION("VLOOKUP(Q181, IMPORTRANGE(""https://docs.google.com/spreadsheets/d/1yDAaXNsi4Mr5FtRQL4tbmSdIzhx6_m4wkOD7IG-k_eo/edit#gid=0"", ""Maths!M:N""), 2, FALSE)"),"Evaluate whether a given triangle satisfies the properties of an equilateral triangle.")</f>
        <v>Evaluate whether a given triangle satisfies the properties of an equilateral triangle.</v>
      </c>
      <c r="S181" s="10" t="str">
        <f t="shared" si="5"/>
        <v>LU000428.006</v>
      </c>
      <c r="T181" s="10" t="str">
        <f ca="1">IFERROR(__xludf.DUMMYFUNCTION("VLOOKUP(S181, IMPORTRANGE(""https://docs.google.com/spreadsheets/d/1yDAaXNsi4Mr5FtRQL4tbmSdIzhx6_m4wkOD7IG-k_eo/edit#gid=0"", ""Maths!M:N""), 2, FALSE)"),"Create an example of an equilateral triangle, labeling its equal sides and angles accurately.")</f>
        <v>Create an example of an equilateral triangle, labeling its equal sides and angles accurately.</v>
      </c>
      <c r="U181" s="11">
        <f ca="1">IFERROR(__xludf.DUMMYFUNCTION("ArrayFormula(VLOOKUP(G181, IMPORTRANGE(""https://docs.google.com/spreadsheets/d/1p7R4vtkWt5VOBim4ltsDG9KTzSjrtKXsMtQGXPHyND0/edit#gid=795171502"", ""'Filter 30_05_2024'!A1:M2000""), {2, 3, 4, 5,6,7,8,9,10,11,12,13}, 0))"),2)</f>
        <v>2</v>
      </c>
      <c r="V181" s="11">
        <f ca="1">IFERROR(__xludf.DUMMYFUNCTION("""COMPUTED_VALUE"""),6)</f>
        <v>6</v>
      </c>
      <c r="W181" s="11">
        <f ca="1">IFERROR(__xludf.DUMMYFUNCTION("""COMPUTED_VALUE"""),2)</f>
        <v>2</v>
      </c>
      <c r="X181" s="11">
        <f ca="1">IFERROR(__xludf.DUMMYFUNCTION("""COMPUTED_VALUE"""),10)</f>
        <v>10</v>
      </c>
      <c r="Y181" s="11">
        <f ca="1">IFERROR(__xludf.DUMMYFUNCTION("""COMPUTED_VALUE"""),6)</f>
        <v>6</v>
      </c>
      <c r="Z181" s="12">
        <f ca="1">IFERROR(__xludf.DUMMYFUNCTION("""COMPUTED_VALUE"""),3)</f>
        <v>3</v>
      </c>
      <c r="AA181" s="12">
        <f ca="1">IFERROR(__xludf.DUMMYFUNCTION("""COMPUTED_VALUE"""),1)</f>
        <v>1</v>
      </c>
      <c r="AB181" s="12">
        <f ca="1">IFERROR(__xludf.DUMMYFUNCTION("""COMPUTED_VALUE"""),10)</f>
        <v>10</v>
      </c>
      <c r="AC181" s="12"/>
      <c r="AD181" s="12"/>
      <c r="AE181" s="12"/>
      <c r="AF181" s="12"/>
      <c r="AG181" s="13" t="str">
        <f ca="1">IFERROR(__xludf.DUMMYFUNCTION("ArrayFormula(VLOOKUP(G181, IMPORTRANGE(""https://docs.google.com/spreadsheets/d/1Co934fvtviyaRiMsrIlT05Jaq7iiYq07aLvRr35KA48/edit?gid=173865642#gid=173865642"", ""'G7_Maths_Pri_LU'!G2:V2000""), {3, 4, 5, 6, 7, 8, 9, 10, 11, 12, 13, 14, 15, 16}, 0))"),"LU000246")</f>
        <v>LU000246</v>
      </c>
      <c r="AH181" s="13" t="str">
        <f ca="1">IFERROR(__xludf.DUMMYFUNCTION("""COMPUTED_VALUE"""),"Definition of an equilateral triangle")</f>
        <v>Definition of an equilateral triangle</v>
      </c>
      <c r="AI181" s="13" t="str">
        <f ca="1">IFERROR(__xludf.DUMMYFUNCTION("""COMPUTED_VALUE"""),"LU000430")</f>
        <v>LU000430</v>
      </c>
      <c r="AJ181" s="13" t="str">
        <f ca="1">IFERROR(__xludf.DUMMYFUNCTION("""COMPUTED_VALUE"""),"Angle sum property of a triangle")</f>
        <v>Angle sum property of a triangle</v>
      </c>
      <c r="AK181" s="13"/>
      <c r="AL181" s="13"/>
      <c r="AM181" s="13"/>
      <c r="AN181" s="13"/>
      <c r="AO181" s="13"/>
      <c r="AP181" s="13"/>
      <c r="AQ181" s="13"/>
      <c r="AR181" s="13"/>
      <c r="AS181" s="13"/>
      <c r="AT181" s="13"/>
    </row>
    <row r="182" spans="1:46">
      <c r="A182" s="8" t="s">
        <v>247</v>
      </c>
      <c r="B182" s="8" t="s">
        <v>47</v>
      </c>
      <c r="C182" s="8" t="s">
        <v>416</v>
      </c>
      <c r="D182" s="8" t="s">
        <v>49</v>
      </c>
      <c r="E182" s="8" t="s">
        <v>667</v>
      </c>
      <c r="F182" s="8" t="s">
        <v>680</v>
      </c>
      <c r="G182" s="8" t="s">
        <v>681</v>
      </c>
      <c r="H182" s="8" t="str">
        <f ca="1">IFERROR(__xludf.DUMMYFUNCTION("VLOOKUP(G182, IMPORTRANGE(""https://docs.google.com/spreadsheets/d/14deopnvwcrKtEGCKuYXdUHJbeLDZlkiSSWWT0g7x2pM/edit#gid=999382323"", ""LU List Maths (Filter)!A:B""), 2, FALSE)"),"Triangle inequality (Relationship between sides of a triangle)")</f>
        <v>Triangle inequality (Relationship between sides of a triangle)</v>
      </c>
      <c r="I182" s="10" t="str">
        <f t="shared" si="0"/>
        <v>LU000431.001</v>
      </c>
      <c r="J182" s="10" t="str">
        <f ca="1">IFERROR(__xludf.DUMMYFUNCTION("VLOOKUP(I182, IMPORTRANGE(""https://docs.google.com/spreadsheets/d/1yDAaXNsi4Mr5FtRQL4tbmSdIzhx6_m4wkOD7IG-k_eo/edit#gid=0"", ""Maths!M:N""), 2, FALSE)"),"Recall the definition of the triangle inequality theorem.")</f>
        <v>Recall the definition of the triangle inequality theorem.</v>
      </c>
      <c r="K182" s="10" t="str">
        <f t="shared" si="1"/>
        <v>LU000431.002</v>
      </c>
      <c r="L182" s="10" t="str">
        <f ca="1">IFERROR(__xludf.DUMMYFUNCTION("VLOOKUP(K182, IMPORTRANGE(""https://docs.google.com/spreadsheets/d/1yDAaXNsi4Mr5FtRQL4tbmSdIzhx6_m4wkOD7IG-k_eo/edit#gid=0"", ""Maths!M:N""), 2, FALSE)"),"Explain how the sum of the lengths of any two sides of a triangle must be greater than the length of the third side.")</f>
        <v>Explain how the sum of the lengths of any two sides of a triangle must be greater than the length of the third side.</v>
      </c>
      <c r="M182" s="10" t="str">
        <f t="shared" si="2"/>
        <v>LU000431.003</v>
      </c>
      <c r="N182" s="10" t="str">
        <f ca="1">IFERROR(__xludf.DUMMYFUNCTION("VLOOKUP(M182, IMPORTRANGE(""https://docs.google.com/spreadsheets/d/1yDAaXNsi4Mr5FtRQL4tbmSdIzhx6_m4wkOD7IG-k_eo/edit#gid=0"", ""Maths!M:N""), 2, FALSE)"),"Apply the relation between the lengths of sides of a triangle to determine the possible length of the third side of the triangle, given its two side lengths.(triangle inequality theorem)")</f>
        <v>Apply the relation between the lengths of sides of a triangle to determine the possible length of the third side of the triangle, given its two side lengths.(triangle inequality theorem)</v>
      </c>
      <c r="O182" s="10" t="str">
        <f t="shared" si="3"/>
        <v>LU000431.004</v>
      </c>
      <c r="P182" s="10" t="str">
        <f ca="1">IFERROR(__xludf.DUMMYFUNCTION("VLOOKUP(O182, IMPORTRANGE(""https://docs.google.com/spreadsheets/d/1yDAaXNsi4Mr5FtRQL4tbmSdIzhx6_m4wkOD7IG-k_eo/edit#gid=0"", ""Maths!M:N""), 2, FALSE)"),"Apply the relation between the lengths of sides of a triangle to check the possibility of a triangle, given its three side lengths.(triangle inequality theorem)")</f>
        <v>Apply the relation between the lengths of sides of a triangle to check the possibility of a triangle, given its three side lengths.(triangle inequality theorem)</v>
      </c>
      <c r="Q182" s="10" t="str">
        <f t="shared" si="4"/>
        <v>LU000431.005</v>
      </c>
      <c r="R182" s="10" t="str">
        <f ca="1">IFERROR(__xludf.DUMMYFUNCTION("VLOOKUP(Q182, IMPORTRANGE(""https://docs.google.com/spreadsheets/d/1yDAaXNsi4Mr5FtRQL4tbmSdIzhx6_m4wkOD7IG-k_eo/edit#gid=0"", ""Maths!M:N""), 2, FALSE)"),"Deduce that the sum of the lengths of any two sides of a triangle is greater than the third side and the difference between the lengths of any two sides is smaller than the length of the third side.")</f>
        <v>Deduce that the sum of the lengths of any two sides of a triangle is greater than the third side and the difference between the lengths of any two sides is smaller than the length of the third side.</v>
      </c>
      <c r="S182" s="10" t="str">
        <f t="shared" si="5"/>
        <v>LU000431.006</v>
      </c>
      <c r="T182" s="10" t="str">
        <f ca="1">IFERROR(__xludf.DUMMYFUNCTION("VLOOKUP(S182, IMPORTRANGE(""https://docs.google.com/spreadsheets/d/1yDAaXNsi4Mr5FtRQL4tbmSdIzhx6_m4wkOD7IG-k_eo/edit#gid=0"", ""Maths!M:N""), 2, FALSE)"),"Create a set of three line segments, showcasing their lengths in accordance with the triangle inequality theorem to form a triangle.")</f>
        <v>Create a set of three line segments, showcasing their lengths in accordance with the triangle inequality theorem to form a triangle.</v>
      </c>
      <c r="U182" s="11">
        <f ca="1">IFERROR(__xludf.DUMMYFUNCTION("ArrayFormula(VLOOKUP(G182, IMPORTRANGE(""https://docs.google.com/spreadsheets/d/1p7R4vtkWt5VOBim4ltsDG9KTzSjrtKXsMtQGXPHyND0/edit#gid=795171502"", ""'Filter 30_05_2024'!A1:M2000""), {2, 3, 4, 5,6,7,8,9,10,11,12,13}, 0))"),10)</f>
        <v>10</v>
      </c>
      <c r="V182" s="11">
        <f ca="1">IFERROR(__xludf.DUMMYFUNCTION("""COMPUTED_VALUE"""),6)</f>
        <v>6</v>
      </c>
      <c r="W182" s="11">
        <f ca="1">IFERROR(__xludf.DUMMYFUNCTION("""COMPUTED_VALUE"""),16)</f>
        <v>16</v>
      </c>
      <c r="X182" s="11">
        <f ca="1">IFERROR(__xludf.DUMMYFUNCTION("""COMPUTED_VALUE"""),32)</f>
        <v>32</v>
      </c>
      <c r="Y182" s="11">
        <f ca="1">IFERROR(__xludf.DUMMYFUNCTION("""COMPUTED_VALUE"""),4)</f>
        <v>4</v>
      </c>
      <c r="Z182" s="12">
        <f ca="1">IFERROR(__xludf.DUMMYFUNCTION("""COMPUTED_VALUE"""),6)</f>
        <v>6</v>
      </c>
      <c r="AA182" s="12">
        <f ca="1">IFERROR(__xludf.DUMMYFUNCTION("""COMPUTED_VALUE"""),5)</f>
        <v>5</v>
      </c>
      <c r="AB182" s="12">
        <f ca="1">IFERROR(__xludf.DUMMYFUNCTION("""COMPUTED_VALUE"""),15)</f>
        <v>15</v>
      </c>
      <c r="AC182" s="12"/>
      <c r="AD182" s="12"/>
      <c r="AE182" s="12"/>
      <c r="AF182" s="12"/>
      <c r="AG182" s="13" t="str">
        <f ca="1">IFERROR(__xludf.DUMMYFUNCTION("ArrayFormula(VLOOKUP(G182, IMPORTRANGE(""https://docs.google.com/spreadsheets/d/1Co934fvtviyaRiMsrIlT05Jaq7iiYq07aLvRr35KA48/edit?gid=173865642#gid=173865642"", ""'G7_Maths_Pri_LU'!G2:V2000""), {3, 4, 5, 6, 7, 8, 9, 10, 11, 12, 13, 14, 15, 16}, 0))"),"LU000229")</f>
        <v>LU000229</v>
      </c>
      <c r="AH182" s="13" t="str">
        <f ca="1">IFERROR(__xludf.DUMMYFUNCTION("""COMPUTED_VALUE"""),"Lexical explanation of triangle")</f>
        <v>Lexical explanation of triangle</v>
      </c>
      <c r="AI182" s="13"/>
      <c r="AJ182" s="13"/>
      <c r="AK182" s="13"/>
      <c r="AL182" s="13"/>
      <c r="AM182" s="13"/>
      <c r="AN182" s="13"/>
      <c r="AO182" s="13"/>
      <c r="AP182" s="13"/>
      <c r="AQ182" s="13"/>
      <c r="AR182" s="13"/>
      <c r="AS182" s="13"/>
      <c r="AT182" s="13"/>
    </row>
    <row r="183" spans="1:46">
      <c r="A183" s="8" t="s">
        <v>247</v>
      </c>
      <c r="B183" s="8" t="s">
        <v>47</v>
      </c>
      <c r="C183" s="8" t="s">
        <v>416</v>
      </c>
      <c r="D183" s="8" t="s">
        <v>49</v>
      </c>
      <c r="E183" s="8" t="s">
        <v>667</v>
      </c>
      <c r="F183" s="8" t="s">
        <v>682</v>
      </c>
      <c r="G183" s="8" t="s">
        <v>683</v>
      </c>
      <c r="H183" s="8" t="str">
        <f ca="1">IFERROR(__xludf.DUMMYFUNCTION("VLOOKUP(G183, IMPORTRANGE(""https://docs.google.com/spreadsheets/d/14deopnvwcrKtEGCKuYXdUHJbeLDZlkiSSWWT0g7x2pM/edit#gid=999382323"", ""LU List Maths (Filter)!A:B""), 2, FALSE)"),"Pythagorean triplets")</f>
        <v>Pythagorean triplets</v>
      </c>
      <c r="I183" s="10" t="str">
        <f t="shared" si="0"/>
        <v>LU000432.001</v>
      </c>
      <c r="J183" s="10" t="str">
        <f ca="1">IFERROR(__xludf.DUMMYFUNCTION("VLOOKUP(I183, IMPORTRANGE(""https://docs.google.com/spreadsheets/d/1yDAaXNsi4Mr5FtRQL4tbmSdIzhx6_m4wkOD7IG-k_eo/edit#gid=0"", ""Maths!M:N""), 2, FALSE)"),"Recall the definition of Pythagorean triplets.")</f>
        <v>Recall the definition of Pythagorean triplets.</v>
      </c>
      <c r="K183" s="10" t="str">
        <f t="shared" si="1"/>
        <v>LU000432.002</v>
      </c>
      <c r="L183" s="10" t="str">
        <f ca="1">IFERROR(__xludf.DUMMYFUNCTION("VLOOKUP(K183, IMPORTRANGE(""https://docs.google.com/spreadsheets/d/1yDAaXNsi4Mr5FtRQL4tbmSdIzhx6_m4wkOD7IG-k_eo/edit#gid=0"", ""Maths!M:N""), 2, FALSE)"),"Explain the relationship between the sides of a right triangle in a Pythagorean triplet.")</f>
        <v>Explain the relationship between the sides of a right triangle in a Pythagorean triplet.</v>
      </c>
      <c r="M183" s="10" t="str">
        <f t="shared" si="2"/>
        <v>LU000432.003</v>
      </c>
      <c r="N183" s="10" t="str">
        <f ca="1">IFERROR(__xludf.DUMMYFUNCTION("VLOOKUP(M183, IMPORTRANGE(""https://docs.google.com/spreadsheets/d/1yDAaXNsi4Mr5FtRQL4tbmSdIzhx6_m4wkOD7IG-k_eo/edit#gid=0"", ""Maths!M:N""), 2, FALSE)"),"Apply knowledge to identify Pythagorean triplets and verify their validity.")</f>
        <v>Apply knowledge to identify Pythagorean triplets and verify their validity.</v>
      </c>
      <c r="O183" s="10" t="str">
        <f t="shared" si="3"/>
        <v>LU000432.004</v>
      </c>
      <c r="P183" s="10" t="str">
        <f ca="1">IFERROR(__xludf.DUMMYFUNCTION("VLOOKUP(O183, IMPORTRANGE(""https://docs.google.com/spreadsheets/d/1yDAaXNsi4Mr5FtRQL4tbmSdIzhx6_m4wkOD7IG-k_eo/edit#gid=0"", ""Maths!M:N""), 2, FALSE)"),"Analyse the characteristics of different Pythagorean triplets and their implications for triangle sides.")</f>
        <v>Analyse the characteristics of different Pythagorean triplets and their implications for triangle sides.</v>
      </c>
      <c r="Q183" s="10" t="str">
        <f t="shared" si="4"/>
        <v>LU000432.005</v>
      </c>
      <c r="R183" s="10" t="str">
        <f ca="1">IFERROR(__xludf.DUMMYFUNCTION("VLOOKUP(Q183, IMPORTRANGE(""https://docs.google.com/spreadsheets/d/1yDAaXNsi4Mr5FtRQL4tbmSdIzhx6_m4wkOD7IG-k_eo/edit#gid=0"", ""Maths!M:N""), 2, FALSE)"),"Evaluate whether a given set of numbers forms a Pythagorean triplet.")</f>
        <v>Evaluate whether a given set of numbers forms a Pythagorean triplet.</v>
      </c>
      <c r="S183" s="10" t="str">
        <f t="shared" si="5"/>
        <v>LU000432.006</v>
      </c>
      <c r="T183" s="10" t="str">
        <f ca="1">IFERROR(__xludf.DUMMYFUNCTION("VLOOKUP(S183, IMPORTRANGE(""https://docs.google.com/spreadsheets/d/1yDAaXNsi4Mr5FtRQL4tbmSdIzhx6_m4wkOD7IG-k_eo/edit#gid=0"", ""Maths!M:N""), 2, FALSE)"),"Create a list of Pythagorean triplets, showcasing their unique properties and relationships.")</f>
        <v>Create a list of Pythagorean triplets, showcasing their unique properties and relationships.</v>
      </c>
      <c r="U183" s="11">
        <f ca="1">IFERROR(__xludf.DUMMYFUNCTION("ArrayFormula(VLOOKUP(G183, IMPORTRANGE(""https://docs.google.com/spreadsheets/d/1p7R4vtkWt5VOBim4ltsDG9KTzSjrtKXsMtQGXPHyND0/edit#gid=795171502"", ""'Filter 30_05_2024'!A1:M2000""), {2, 3, 4, 5,6,7,8,9,10,11,12,13}, 0))"),4)</f>
        <v>4</v>
      </c>
      <c r="V183" s="11">
        <f ca="1">IFERROR(__xludf.DUMMYFUNCTION("""COMPUTED_VALUE"""),6)</f>
        <v>6</v>
      </c>
      <c r="W183" s="11">
        <f ca="1">IFERROR(__xludf.DUMMYFUNCTION("""COMPUTED_VALUE"""),2)</f>
        <v>2</v>
      </c>
      <c r="X183" s="11">
        <f ca="1">IFERROR(__xludf.DUMMYFUNCTION("""COMPUTED_VALUE"""),12)</f>
        <v>12</v>
      </c>
      <c r="Y183" s="11">
        <f ca="1">IFERROR(__xludf.DUMMYFUNCTION("""COMPUTED_VALUE"""),4)</f>
        <v>4</v>
      </c>
      <c r="Z183" s="12">
        <f ca="1">IFERROR(__xludf.DUMMYFUNCTION("""COMPUTED_VALUE"""),3)</f>
        <v>3</v>
      </c>
      <c r="AA183" s="12">
        <f ca="1">IFERROR(__xludf.DUMMYFUNCTION("""COMPUTED_VALUE"""),1)</f>
        <v>1</v>
      </c>
      <c r="AB183" s="12">
        <f ca="1">IFERROR(__xludf.DUMMYFUNCTION("""COMPUTED_VALUE"""),8)</f>
        <v>8</v>
      </c>
      <c r="AC183" s="12"/>
      <c r="AD183" s="12"/>
      <c r="AE183" s="12"/>
      <c r="AF183" s="12"/>
      <c r="AG183" s="13" t="str">
        <f ca="1">IFERROR(__xludf.DUMMYFUNCTION("ArrayFormula(VLOOKUP(G183, IMPORTRANGE(""https://docs.google.com/spreadsheets/d/1Co934fvtviyaRiMsrIlT05Jaq7iiYq07aLvRr35KA48/edit?gid=173865642#gid=173865642"", ""'G7_Maths_Pri_LU'!G2:V2000""), {3, 4, 5, 6, 7, 8, 9, 10, 11, 12, 13, 14, 15, 16}, 0))"),"LU000262")</f>
        <v>LU000262</v>
      </c>
      <c r="AH183" s="13" t="str">
        <f ca="1">IFERROR(__xludf.DUMMYFUNCTION("""COMPUTED_VALUE"""),"Definition of a right triangle")</f>
        <v>Definition of a right triangle</v>
      </c>
      <c r="AI183" s="13"/>
      <c r="AJ183" s="13"/>
      <c r="AK183" s="13"/>
      <c r="AL183" s="13"/>
      <c r="AM183" s="13"/>
      <c r="AN183" s="13"/>
      <c r="AO183" s="13"/>
      <c r="AP183" s="13"/>
      <c r="AQ183" s="13"/>
      <c r="AR183" s="13"/>
      <c r="AS183" s="13"/>
      <c r="AT183" s="13"/>
    </row>
    <row r="184" spans="1:46">
      <c r="A184" s="8" t="s">
        <v>247</v>
      </c>
      <c r="B184" s="8" t="s">
        <v>47</v>
      </c>
      <c r="C184" s="8" t="s">
        <v>416</v>
      </c>
      <c r="D184" s="8" t="s">
        <v>49</v>
      </c>
      <c r="E184" s="8" t="s">
        <v>667</v>
      </c>
      <c r="F184" s="8" t="s">
        <v>682</v>
      </c>
      <c r="G184" s="8" t="s">
        <v>684</v>
      </c>
      <c r="H184" s="8" t="str">
        <f ca="1">IFERROR(__xludf.DUMMYFUNCTION("VLOOKUP(G184, IMPORTRANGE(""https://docs.google.com/spreadsheets/d/14deopnvwcrKtEGCKuYXdUHJbeLDZlkiSSWWT0g7x2pM/edit#gid=999382323"", ""LU List Maths (Filter)!A:B""), 2, FALSE)"),"Parts of a right-angled triangle")</f>
        <v>Parts of a right-angled triangle</v>
      </c>
      <c r="I184" s="10" t="str">
        <f t="shared" si="0"/>
        <v>LU000433.001</v>
      </c>
      <c r="J184" s="10" t="str">
        <f ca="1">IFERROR(__xludf.DUMMYFUNCTION("VLOOKUP(I184, IMPORTRANGE(""https://docs.google.com/spreadsheets/d/1yDAaXNsi4Mr5FtRQL4tbmSdIzhx6_m4wkOD7IG-k_eo/edit#gid=0"", ""Maths!M:N""), 2, FALSE)"),"Definition of the hypotenuse in a right angled triangle.")</f>
        <v>Definition of the hypotenuse in a right angled triangle.</v>
      </c>
      <c r="K184" s="10" t="str">
        <f t="shared" si="1"/>
        <v>LU000433.002</v>
      </c>
      <c r="L184" s="10" t="str">
        <f ca="1">IFERROR(__xludf.DUMMYFUNCTION("VLOOKUP(K184, IMPORTRANGE(""https://docs.google.com/spreadsheets/d/1yDAaXNsi4Mr5FtRQL4tbmSdIzhx6_m4wkOD7IG-k_eo/edit#gid=0"", ""Maths!M:N""), 2, FALSE)"),"Explain the roles of the hypotenuse as both the longest side and opposite to the right angle.")</f>
        <v>Explain the roles of the hypotenuse as both the longest side and opposite to the right angle.</v>
      </c>
      <c r="M184" s="10" t="str">
        <f t="shared" si="2"/>
        <v>LU000433.003</v>
      </c>
      <c r="N184" s="10" t="str">
        <f ca="1">IFERROR(__xludf.DUMMYFUNCTION("VLOOKUP(M184, IMPORTRANGE(""https://docs.google.com/spreadsheets/d/1yDAaXNsi4Mr5FtRQL4tbmSdIzhx6_m4wkOD7IG-k_eo/edit#gid=0"", ""Maths!M:N""), 2, FALSE)"),"Apply knowledge to correctly identify and label the hypotenuse in different right-angled triangles.")</f>
        <v>Apply knowledge to correctly identify and label the hypotenuse in different right-angled triangles.</v>
      </c>
      <c r="O184" s="10" t="str">
        <f t="shared" si="3"/>
        <v>LU000433.004</v>
      </c>
      <c r="P184" s="10" t="str">
        <f ca="1">IFERROR(__xludf.DUMMYFUNCTION("VLOOKUP(O184, IMPORTRANGE(""https://docs.google.com/spreadsheets/d/1yDAaXNsi4Mr5FtRQL4tbmSdIzhx6_m4wkOD7IG-k_eo/edit#gid=0"", ""Maths!M:N""), 2, FALSE)"),"Analyse the relationship between the base, height, and hypotenuse in a right-angled triangle, considering their positions with respect to the given angle.")</f>
        <v>Analyse the relationship between the base, height, and hypotenuse in a right-angled triangle, considering their positions with respect to the given angle.</v>
      </c>
      <c r="Q184" s="10" t="str">
        <f t="shared" si="4"/>
        <v>LU000433.005</v>
      </c>
      <c r="R184" s="10" t="str">
        <f ca="1">IFERROR(__xludf.DUMMYFUNCTION("VLOOKUP(Q184, IMPORTRANGE(""https://docs.google.com/spreadsheets/d/1yDAaXNsi4Mr5FtRQL4tbmSdIzhx6_m4wkOD7IG-k_eo/edit#gid=0"", ""Maths!M:N""), 2, FALSE)"),"Evaluate the accuracy of identifying the base and height of a right-angled triangle with respect to a specified angle.")</f>
        <v>Evaluate the accuracy of identifying the base and height of a right-angled triangle with respect to a specified angle.</v>
      </c>
      <c r="S184" s="10" t="str">
        <f t="shared" si="5"/>
        <v>LU000433.006</v>
      </c>
      <c r="T184" s="10" t="str">
        <f ca="1">IFERROR(__xludf.DUMMYFUNCTION("VLOOKUP(S184, IMPORTRANGE(""https://docs.google.com/spreadsheets/d/1yDAaXNsi4Mr5FtRQL4tbmSdIzhx6_m4wkOD7IG-k_eo/edit#gid=0"", ""Maths!M:N""), 2, FALSE)"),"Create a visual representation of a right-angled triangle, accurately labeling the base, height, and hypotenuse with respect to the given angle.")</f>
        <v>Create a visual representation of a right-angled triangle, accurately labeling the base, height, and hypotenuse with respect to the given angle.</v>
      </c>
      <c r="U184" s="11">
        <f ca="1">IFERROR(__xludf.DUMMYFUNCTION("ArrayFormula(VLOOKUP(G184, IMPORTRANGE(""https://docs.google.com/spreadsheets/d/1p7R4vtkWt5VOBim4ltsDG9KTzSjrtKXsMtQGXPHyND0/edit#gid=795171502"", ""'Filter 30_05_2024'!A1:M2000""), {2, 3, 4, 5,6,7,8,9,10,11,12,13}, 0))"),4)</f>
        <v>4</v>
      </c>
      <c r="V184" s="11">
        <f ca="1">IFERROR(__xludf.DUMMYFUNCTION("""COMPUTED_VALUE"""),4)</f>
        <v>4</v>
      </c>
      <c r="W184" s="11">
        <f ca="1">IFERROR(__xludf.DUMMYFUNCTION("""COMPUTED_VALUE"""),2)</f>
        <v>2</v>
      </c>
      <c r="X184" s="11">
        <f ca="1">IFERROR(__xludf.DUMMYFUNCTION("""COMPUTED_VALUE"""),10)</f>
        <v>10</v>
      </c>
      <c r="Y184" s="11">
        <f ca="1">IFERROR(__xludf.DUMMYFUNCTION("""COMPUTED_VALUE"""),4)</f>
        <v>4</v>
      </c>
      <c r="Z184" s="12">
        <f ca="1">IFERROR(__xludf.DUMMYFUNCTION("""COMPUTED_VALUE"""),5)</f>
        <v>5</v>
      </c>
      <c r="AA184" s="12">
        <f ca="1">IFERROR(__xludf.DUMMYFUNCTION("""COMPUTED_VALUE"""),1)</f>
        <v>1</v>
      </c>
      <c r="AB184" s="12">
        <f ca="1">IFERROR(__xludf.DUMMYFUNCTION("""COMPUTED_VALUE"""),10)</f>
        <v>10</v>
      </c>
      <c r="AC184" s="12"/>
      <c r="AD184" s="12"/>
      <c r="AE184" s="12"/>
      <c r="AF184" s="12"/>
      <c r="AG184" s="13" t="str">
        <f ca="1">IFERROR(__xludf.DUMMYFUNCTION("ArrayFormula(VLOOKUP(G184, IMPORTRANGE(""https://docs.google.com/spreadsheets/d/1Co934fvtviyaRiMsrIlT05Jaq7iiYq07aLvRr35KA48/edit?gid=173865642#gid=173865642"", ""'G7_Maths_Pri_LU'!G2:V2000""), {3, 4, 5, 6, 7, 8, 9, 10, 11, 12, 13, 14, 15, 16}, 0))"),"LU000262")</f>
        <v>LU000262</v>
      </c>
      <c r="AH184" s="13" t="str">
        <f ca="1">IFERROR(__xludf.DUMMYFUNCTION("""COMPUTED_VALUE"""),"Definition of a right triangle")</f>
        <v>Definition of a right triangle</v>
      </c>
      <c r="AI184" s="13"/>
      <c r="AJ184" s="13"/>
      <c r="AK184" s="13"/>
      <c r="AL184" s="13"/>
      <c r="AM184" s="13"/>
      <c r="AN184" s="13"/>
      <c r="AO184" s="13"/>
      <c r="AP184" s="13"/>
      <c r="AQ184" s="13"/>
      <c r="AR184" s="13"/>
      <c r="AS184" s="13"/>
      <c r="AT184" s="13"/>
    </row>
    <row r="185" spans="1:46">
      <c r="A185" s="8" t="s">
        <v>247</v>
      </c>
      <c r="B185" s="8" t="s">
        <v>47</v>
      </c>
      <c r="C185" s="8" t="s">
        <v>416</v>
      </c>
      <c r="D185" s="8" t="s">
        <v>49</v>
      </c>
      <c r="E185" s="8" t="s">
        <v>667</v>
      </c>
      <c r="F185" s="8" t="s">
        <v>685</v>
      </c>
      <c r="G185" s="8" t="s">
        <v>686</v>
      </c>
      <c r="H185" s="8" t="str">
        <f ca="1">IFERROR(__xludf.DUMMYFUNCTION("VLOOKUP(G185, IMPORTRANGE(""https://docs.google.com/spreadsheets/d/14deopnvwcrKtEGCKuYXdUHJbeLDZlkiSSWWT0g7x2pM/edit#gid=999382323"", ""LU List Maths (Filter)!A:B""), 2, FALSE)"),"Pythagoras property")</f>
        <v>Pythagoras property</v>
      </c>
      <c r="I185" s="10" t="str">
        <f t="shared" si="0"/>
        <v>LU000434.001</v>
      </c>
      <c r="J185" s="10" t="str">
        <f ca="1">IFERROR(__xludf.DUMMYFUNCTION("VLOOKUP(I185, IMPORTRANGE(""https://docs.google.com/spreadsheets/d/1yDAaXNsi4Mr5FtRQL4tbmSdIzhx6_m4wkOD7IG-k_eo/edit#gid=0"", ""Maths!M:N""), 2, FALSE)"),"Describe the relationship between the sides of a right-angled triangle (Pythagoras theorem)")</f>
        <v>Describe the relationship between the sides of a right-angled triangle (Pythagoras theorem)</v>
      </c>
      <c r="K185" s="10" t="str">
        <f t="shared" si="1"/>
        <v>LU000434.002</v>
      </c>
      <c r="L185" s="10" t="str">
        <f ca="1">IFERROR(__xludf.DUMMYFUNCTION("VLOOKUP(K185, IMPORTRANGE(""https://docs.google.com/spreadsheets/d/1yDAaXNsi4Mr5FtRQL4tbmSdIzhx6_m4wkOD7IG-k_eo/edit#gid=0"", ""Maths!M:N""), 2, FALSE)"),"Explain how the Pythagoras theorem relates the sides of a right-angled triangle.")</f>
        <v>Explain how the Pythagoras theorem relates the sides of a right-angled triangle.</v>
      </c>
      <c r="M185" s="10" t="str">
        <f t="shared" si="2"/>
        <v>LU000434.003</v>
      </c>
      <c r="N185" s="10" t="str">
        <f ca="1">IFERROR(__xludf.DUMMYFUNCTION("VLOOKUP(M185, IMPORTRANGE(""https://docs.google.com/spreadsheets/d/1yDAaXNsi4Mr5FtRQL4tbmSdIzhx6_m4wkOD7IG-k_eo/edit#gid=0"", ""Maths!M:N""), 2, FALSE)"),"Apply Pythagoras property to verify whether the triangle for the given side lengths will be right angled triangle or not.")</f>
        <v>Apply Pythagoras property to verify whether the triangle for the given side lengths will be right angled triangle or not.</v>
      </c>
      <c r="O185" s="10" t="str">
        <f t="shared" si="3"/>
        <v>LU000434.004</v>
      </c>
      <c r="P185" s="10" t="str">
        <f ca="1">IFERROR(__xludf.DUMMYFUNCTION("VLOOKUP(O185, IMPORTRANGE(""https://docs.google.com/spreadsheets/d/1yDAaXNsi4Mr5FtRQL4tbmSdIzhx6_m4wkOD7IG-k_eo/edit#gid=0"", ""Maths!M:N""), 2, FALSE)"),"Use Pythagoras property to find the length of an unknown side of a right triangle.")</f>
        <v>Use Pythagoras property to find the length of an unknown side of a right triangle.</v>
      </c>
      <c r="Q185" s="10" t="str">
        <f t="shared" si="4"/>
        <v>LU000434.005</v>
      </c>
      <c r="R185" s="10" t="str">
        <f ca="1">IFERROR(__xludf.DUMMYFUNCTION("VLOOKUP(Q185, IMPORTRANGE(""https://docs.google.com/spreadsheets/d/1yDAaXNsi4Mr5FtRQL4tbmSdIzhx6_m4wkOD7IG-k_eo/edit#gid=0"", ""Maths!M:N""), 2, FALSE)"),"Evaluate the theorem's validity by comparing the areas of squares constructed on triangle sides.")</f>
        <v>Evaluate the theorem's validity by comparing the areas of squares constructed on triangle sides.</v>
      </c>
      <c r="S185" s="10" t="str">
        <f t="shared" si="5"/>
        <v>LU000434.006</v>
      </c>
      <c r="T185" s="10" t="str">
        <f ca="1">IFERROR(__xludf.DUMMYFUNCTION("VLOOKUP(S185, IMPORTRANGE(""https://docs.google.com/spreadsheets/d/1yDAaXNsi4Mr5FtRQL4tbmSdIzhx6_m4wkOD7IG-k_eo/edit#gid=0"", ""Maths!M:N""), 2, FALSE)"),"Construct geometric diagrams that illustrate the application of Pythagoras' Theorem in different contexts.")</f>
        <v>Construct geometric diagrams that illustrate the application of Pythagoras' Theorem in different contexts.</v>
      </c>
      <c r="U185" s="11">
        <f ca="1">IFERROR(__xludf.DUMMYFUNCTION("ArrayFormula(VLOOKUP(G185, IMPORTRANGE(""https://docs.google.com/spreadsheets/d/1p7R4vtkWt5VOBim4ltsDG9KTzSjrtKXsMtQGXPHyND0/edit#gid=795171502"", ""'Filter 30_05_2024'!A1:M2000""), {2, 3, 4, 5,6,7,8,9,10,11,12,13}, 0))"),6)</f>
        <v>6</v>
      </c>
      <c r="V185" s="11">
        <f ca="1">IFERROR(__xludf.DUMMYFUNCTION("""COMPUTED_VALUE"""),13)</f>
        <v>13</v>
      </c>
      <c r="W185" s="11">
        <f ca="1">IFERROR(__xludf.DUMMYFUNCTION("""COMPUTED_VALUE"""),5)</f>
        <v>5</v>
      </c>
      <c r="X185" s="11">
        <f ca="1">IFERROR(__xludf.DUMMYFUNCTION("""COMPUTED_VALUE"""),24)</f>
        <v>24</v>
      </c>
      <c r="Y185" s="11">
        <f ca="1">IFERROR(__xludf.DUMMYFUNCTION("""COMPUTED_VALUE"""),4)</f>
        <v>4</v>
      </c>
      <c r="Z185" s="12">
        <f ca="1">IFERROR(__xludf.DUMMYFUNCTION("""COMPUTED_VALUE"""),1)</f>
        <v>1</v>
      </c>
      <c r="AA185" s="12">
        <f ca="1">IFERROR(__xludf.DUMMYFUNCTION("""COMPUTED_VALUE"""),10)</f>
        <v>10</v>
      </c>
      <c r="AB185" s="12">
        <f ca="1">IFERROR(__xludf.DUMMYFUNCTION("""COMPUTED_VALUE"""),15)</f>
        <v>15</v>
      </c>
      <c r="AC185" s="12"/>
      <c r="AD185" s="12"/>
      <c r="AE185" s="12"/>
      <c r="AF185" s="12"/>
      <c r="AG185" s="13" t="str">
        <f ca="1">IFERROR(__xludf.DUMMYFUNCTION("ArrayFormula(VLOOKUP(G185, IMPORTRANGE(""https://docs.google.com/spreadsheets/d/1Co934fvtviyaRiMsrIlT05Jaq7iiYq07aLvRr35KA48/edit?gid=173865642#gid=173865642"", ""'G7_Maths_Pri_LU'!G2:V2000""), {3, 4, 5, 6, 7, 8, 9, 10, 11, 12, 13, 14, 15, 16}, 0))"),"LU000433")</f>
        <v>LU000433</v>
      </c>
      <c r="AH185" s="13" t="str">
        <f ca="1">IFERROR(__xludf.DUMMYFUNCTION("""COMPUTED_VALUE"""),"Parts of a right-angled triangle")</f>
        <v>Parts of a right-angled triangle</v>
      </c>
      <c r="AI185" s="13" t="str">
        <f ca="1">IFERROR(__xludf.DUMMYFUNCTION("""COMPUTED_VALUE"""),"LU000262")</f>
        <v>LU000262</v>
      </c>
      <c r="AJ185" s="13" t="str">
        <f ca="1">IFERROR(__xludf.DUMMYFUNCTION("""COMPUTED_VALUE"""),"Definition of a right triangle")</f>
        <v>Definition of a right triangle</v>
      </c>
      <c r="AK185" s="13"/>
      <c r="AL185" s="13"/>
      <c r="AM185" s="13"/>
      <c r="AN185" s="13"/>
      <c r="AO185" s="13"/>
      <c r="AP185" s="13"/>
      <c r="AQ185" s="13"/>
      <c r="AR185" s="13"/>
      <c r="AS185" s="13"/>
      <c r="AT185" s="13"/>
    </row>
    <row r="186" spans="1:46">
      <c r="A186" s="8" t="s">
        <v>247</v>
      </c>
      <c r="B186" s="8" t="s">
        <v>47</v>
      </c>
      <c r="C186" s="8" t="s">
        <v>416</v>
      </c>
      <c r="D186" s="8" t="s">
        <v>49</v>
      </c>
      <c r="E186" s="8" t="s">
        <v>667</v>
      </c>
      <c r="F186" s="8" t="s">
        <v>685</v>
      </c>
      <c r="G186" s="8" t="s">
        <v>687</v>
      </c>
      <c r="H186" s="8" t="str">
        <f ca="1">IFERROR(__xludf.DUMMYFUNCTION("VLOOKUP(G186, IMPORTRANGE(""https://docs.google.com/spreadsheets/d/14deopnvwcrKtEGCKuYXdUHJbeLDZlkiSSWWT0g7x2pM/edit#gid=999382323"", ""LU List Maths (Filter)!A:B""), 2, FALSE)"),"Converse of Pythagoras property")</f>
        <v>Converse of Pythagoras property</v>
      </c>
      <c r="I186" s="10" t="str">
        <f t="shared" si="0"/>
        <v>LU000435.001</v>
      </c>
      <c r="J186" s="10" t="str">
        <f ca="1">IFERROR(__xludf.DUMMYFUNCTION("VLOOKUP(I186, IMPORTRANGE(""https://docs.google.com/spreadsheets/d/1yDAaXNsi4Mr5FtRQL4tbmSdIzhx6_m4wkOD7IG-k_eo/edit#gid=0"", ""Maths!M:N""), 2, FALSE)"),"Recall the statement of the converse of the Pythagoras property.")</f>
        <v>Recall the statement of the converse of the Pythagoras property.</v>
      </c>
      <c r="K186" s="10" t="str">
        <f t="shared" si="1"/>
        <v>LU000435.002</v>
      </c>
      <c r="L186" s="10" t="str">
        <f ca="1">IFERROR(__xludf.DUMMYFUNCTION("VLOOKUP(K186, IMPORTRANGE(""https://docs.google.com/spreadsheets/d/1yDAaXNsi4Mr5FtRQL4tbmSdIzhx6_m4wkOD7IG-k_eo/edit#gid=0"", ""Maths!M:N""), 2, FALSE)"),"Explain the significance of the converse of the Pythagoras property in identifying right-angled triangles.")</f>
        <v>Explain the significance of the converse of the Pythagoras property in identifying right-angled triangles.</v>
      </c>
      <c r="M186" s="10" t="str">
        <f t="shared" si="2"/>
        <v>LU000435.003</v>
      </c>
      <c r="N186" s="10" t="str">
        <f ca="1">IFERROR(__xludf.DUMMYFUNCTION("VLOOKUP(M186, IMPORTRANGE(""https://docs.google.com/spreadsheets/d/1yDAaXNsi4Mr5FtRQL4tbmSdIzhx6_m4wkOD7IG-k_eo/edit#gid=0"", ""Maths!M:N""), 2, FALSE)"),"Apply the converse of the Pythagoras property to determine whether a given triangle is right-angled.")</f>
        <v>Apply the converse of the Pythagoras property to determine whether a given triangle is right-angled.</v>
      </c>
      <c r="O186" s="10" t="str">
        <f t="shared" si="3"/>
        <v>LU000435.004</v>
      </c>
      <c r="P186" s="10" t="str">
        <f ca="1">IFERROR(__xludf.DUMMYFUNCTION("VLOOKUP(O186, IMPORTRANGE(""https://docs.google.com/spreadsheets/d/1yDAaXNsi4Mr5FtRQL4tbmSdIzhx6_m4wkOD7IG-k_eo/edit#gid=0"", ""Maths!M:N""), 2, FALSE)"),"Analyse the logical reasoning behind why the Pythagoras property's converse indicates a right-angled triangle.")</f>
        <v>Analyse the logical reasoning behind why the Pythagoras property's converse indicates a right-angled triangle.</v>
      </c>
      <c r="Q186" s="10" t="str">
        <f t="shared" si="4"/>
        <v>LU000435.005</v>
      </c>
      <c r="R186" s="10" t="str">
        <f ca="1">IFERROR(__xludf.DUMMYFUNCTION("VLOOKUP(Q186, IMPORTRANGE(""https://docs.google.com/spreadsheets/d/1yDAaXNsi4Mr5FtRQL4tbmSdIzhx6_m4wkOD7IG-k_eo/edit#gid=0"", ""Maths!M:N""), 2, FALSE)"),"Evaluate whether a given set of side lengths satisfying the converse property guarantees a right-angled triangle.")</f>
        <v>Evaluate whether a given set of side lengths satisfying the converse property guarantees a right-angled triangle.</v>
      </c>
      <c r="S186" s="10" t="str">
        <f t="shared" si="5"/>
        <v>LU000435.006</v>
      </c>
      <c r="T186" s="10" t="str">
        <f ca="1">IFERROR(__xludf.DUMMYFUNCTION("VLOOKUP(S186, IMPORTRANGE(""https://docs.google.com/spreadsheets/d/1yDAaXNsi4Mr5FtRQL4tbmSdIzhx6_m4wkOD7IG-k_eo/edit#gid=0"", ""Maths!M:N""), 2, FALSE)"),"Create a scenario or problem where the application of the converse of the Pythagoras property leads to proving a triangle as right-angled.")</f>
        <v>Create a scenario or problem where the application of the converse of the Pythagoras property leads to proving a triangle as right-angled.</v>
      </c>
      <c r="U186" s="11">
        <f ca="1">IFERROR(__xludf.DUMMYFUNCTION("ArrayFormula(VLOOKUP(G186, IMPORTRANGE(""https://docs.google.com/spreadsheets/d/1p7R4vtkWt5VOBim4ltsDG9KTzSjrtKXsMtQGXPHyND0/edit#gid=795171502"", ""'Filter 30_05_2024'!A1:M2000""), {2, 3, 4, 5,6,7,8,9,10,11,12,13}, 0))"),3)</f>
        <v>3</v>
      </c>
      <c r="V186" s="11">
        <f ca="1">IFERROR(__xludf.DUMMYFUNCTION("""COMPUTED_VALUE"""),8)</f>
        <v>8</v>
      </c>
      <c r="W186" s="11">
        <f ca="1">IFERROR(__xludf.DUMMYFUNCTION("""COMPUTED_VALUE"""),2)</f>
        <v>2</v>
      </c>
      <c r="X186" s="11">
        <f ca="1">IFERROR(__xludf.DUMMYFUNCTION("""COMPUTED_VALUE"""),13)</f>
        <v>13</v>
      </c>
      <c r="Y186" s="11">
        <f ca="1">IFERROR(__xludf.DUMMYFUNCTION("""COMPUTED_VALUE"""),5)</f>
        <v>5</v>
      </c>
      <c r="Z186" s="12">
        <f ca="1">IFERROR(__xludf.DUMMYFUNCTION("""COMPUTED_VALUE"""),3)</f>
        <v>3</v>
      </c>
      <c r="AA186" s="12">
        <f ca="1">IFERROR(__xludf.DUMMYFUNCTION("""COMPUTED_VALUE"""),1)</f>
        <v>1</v>
      </c>
      <c r="AB186" s="12">
        <f ca="1">IFERROR(__xludf.DUMMYFUNCTION("""COMPUTED_VALUE"""),9)</f>
        <v>9</v>
      </c>
      <c r="AC186" s="12"/>
      <c r="AD186" s="12"/>
      <c r="AE186" s="12"/>
      <c r="AF186" s="12"/>
      <c r="AG186" s="13" t="str">
        <f ca="1">IFERROR(__xludf.DUMMYFUNCTION("ArrayFormula(VLOOKUP(G186, IMPORTRANGE(""https://docs.google.com/spreadsheets/d/1Co934fvtviyaRiMsrIlT05Jaq7iiYq07aLvRr35KA48/edit?gid=173865642#gid=173865642"", ""'G7_Maths_Pri_LU'!G2:V2000""), {3, 4, 5, 6, 7, 8, 9, 10, 11, 12, 13, 14, 15, 16}, 0))"),"LU000434")</f>
        <v>LU000434</v>
      </c>
      <c r="AH186" s="13" t="str">
        <f ca="1">IFERROR(__xludf.DUMMYFUNCTION("""COMPUTED_VALUE"""),"Pythagoras property")</f>
        <v>Pythagoras property</v>
      </c>
      <c r="AI186" s="13" t="str">
        <f ca="1">IFERROR(__xludf.DUMMYFUNCTION("""COMPUTED_VALUE"""),"LU000433")</f>
        <v>LU000433</v>
      </c>
      <c r="AJ186" s="13" t="str">
        <f ca="1">IFERROR(__xludf.DUMMYFUNCTION("""COMPUTED_VALUE"""),"Parts of a right-angled triangle")</f>
        <v>Parts of a right-angled triangle</v>
      </c>
      <c r="AK186" s="13" t="str">
        <f ca="1">IFERROR(__xludf.DUMMYFUNCTION("""COMPUTED_VALUE"""),"LU000262")</f>
        <v>LU000262</v>
      </c>
      <c r="AL186" s="13" t="str">
        <f ca="1">IFERROR(__xludf.DUMMYFUNCTION("""COMPUTED_VALUE"""),"Definition of a right triangle")</f>
        <v>Definition of a right triangle</v>
      </c>
      <c r="AM186" s="13"/>
      <c r="AN186" s="13"/>
      <c r="AO186" s="13"/>
      <c r="AP186" s="13"/>
      <c r="AQ186" s="13"/>
      <c r="AR186" s="13"/>
      <c r="AS186" s="13"/>
      <c r="AT186" s="13"/>
    </row>
    <row r="187" spans="1:46">
      <c r="A187" s="8" t="s">
        <v>247</v>
      </c>
      <c r="B187" s="8" t="s">
        <v>47</v>
      </c>
      <c r="C187" s="8" t="s">
        <v>416</v>
      </c>
      <c r="D187" s="8" t="s">
        <v>49</v>
      </c>
      <c r="E187" s="8" t="s">
        <v>688</v>
      </c>
      <c r="F187" s="8" t="s">
        <v>689</v>
      </c>
      <c r="G187" s="8" t="s">
        <v>690</v>
      </c>
      <c r="H187" s="8" t="str">
        <f ca="1">IFERROR(__xludf.DUMMYFUNCTION("VLOOKUP(G187, IMPORTRANGE(""https://docs.google.com/spreadsheets/d/14deopnvwcrKtEGCKuYXdUHJbeLDZlkiSSWWT0g7x2pM/edit#gid=999382323"", ""LU List Maths (Filter)!A:B""), 2, FALSE)"),"Definition of plane figures")</f>
        <v>Definition of plane figures</v>
      </c>
      <c r="I187" s="10" t="str">
        <f t="shared" si="0"/>
        <v>LU000554.001</v>
      </c>
      <c r="J187" s="10" t="str">
        <f ca="1">IFERROR(__xludf.DUMMYFUNCTION("VLOOKUP(I187, IMPORTRANGE(""https://docs.google.com/spreadsheets/d/1yDAaXNsi4Mr5FtRQL4tbmSdIzhx6_m4wkOD7IG-k_eo/edit#gid=0"", ""Maths!M:N""), 2, FALSE)"),"State that plane figures are two-dimensional shapes that lie flat on a surface and have length and width.")</f>
        <v>State that plane figures are two-dimensional shapes that lie flat on a surface and have length and width.</v>
      </c>
      <c r="K187" s="10" t="str">
        <f t="shared" si="1"/>
        <v>LU000554.002</v>
      </c>
      <c r="L187" s="10" t="str">
        <f ca="1">IFERROR(__xludf.DUMMYFUNCTION("VLOOKUP(K187, IMPORTRANGE(""https://docs.google.com/spreadsheets/d/1yDAaXNsi4Mr5FtRQL4tbmSdIzhx6_m4wkOD7IG-k_eo/edit#gid=0"", ""Maths!M:N""), 2, FALSE)"),"Describe how understanding plane figures is fundamental for analysing and comparing 2D shapes in geometry.")</f>
        <v>Describe how understanding plane figures is fundamental for analysing and comparing 2D shapes in geometry.</v>
      </c>
      <c r="M187" s="10" t="str">
        <f t="shared" si="2"/>
        <v>LU000554.003</v>
      </c>
      <c r="N187" s="10" t="str">
        <f ca="1">IFERROR(__xludf.DUMMYFUNCTION("VLOOKUP(M187, IMPORTRANGE(""https://docs.google.com/spreadsheets/d/1yDAaXNsi4Mr5FtRQL4tbmSdIzhx6_m4wkOD7IG-k_eo/edit#gid=0"", ""Maths!M:N""), 2, FALSE)"),"Determine whether a given shape (such as a triangle, rectangle, or circle), qualifies as a plane figure based on its 2D characteristics.")</f>
        <v>Determine whether a given shape (such as a triangle, rectangle, or circle), qualifies as a plane figure based on its 2D characteristics.</v>
      </c>
      <c r="O187" s="10" t="str">
        <f t="shared" si="3"/>
        <v>LU000554.004</v>
      </c>
      <c r="P187" s="10" t="str">
        <f ca="1">IFERROR(__xludf.DUMMYFUNCTION("VLOOKUP(O187, IMPORTRANGE(""https://docs.google.com/spreadsheets/d/1yDAaXNsi4Mr5FtRQL4tbmSdIzhx6_m4wkOD7IG-k_eo/edit#gid=0"", ""Maths!M:N""), 2, FALSE)"),"Analyse complex shapes to determine if they are plane figures and identify their properties.")</f>
        <v>Analyse complex shapes to determine if they are plane figures and identify their properties.</v>
      </c>
      <c r="Q187" s="10" t="str">
        <f t="shared" si="4"/>
        <v>LU000554.005</v>
      </c>
      <c r="R187" s="10" t="str">
        <f ca="1">IFERROR(__xludf.DUMMYFUNCTION("VLOOKUP(Q187, IMPORTRANGE(""https://docs.google.com/spreadsheets/d/1yDAaXNsi4Mr5FtRQL4tbmSdIzhx6_m4wkOD7IG-k_eo/edit#gid=0"", ""Maths!M:N""), 2, FALSE)"),"Assess the practical importance of recognising plane figures in everyday situations.")</f>
        <v>Assess the practical importance of recognising plane figures in everyday situations.</v>
      </c>
      <c r="S187" s="10" t="str">
        <f t="shared" si="5"/>
        <v>LU000554.006</v>
      </c>
      <c r="T187" s="10" t="str">
        <f ca="1">IFERROR(__xludf.DUMMYFUNCTION("VLOOKUP(S187, IMPORTRANGE(""https://docs.google.com/spreadsheets/d/1yDAaXNsi4Mr5FtRQL4tbmSdIzhx6_m4wkOD7IG-k_eo/edit#gid=0"", ""Maths!M:N""), 2, FALSE)"),"Create a diagram showcasing various plane figures like triangles, rectangles, and pentagons placed within a defined 2D space to illustrate their characteristics.")</f>
        <v>Create a diagram showcasing various plane figures like triangles, rectangles, and pentagons placed within a defined 2D space to illustrate their characteristics.</v>
      </c>
      <c r="U187" s="11">
        <f ca="1">IFERROR(__xludf.DUMMYFUNCTION("ArrayFormula(VLOOKUP(G187, IMPORTRANGE(""https://docs.google.com/spreadsheets/d/1p7R4vtkWt5VOBim4ltsDG9KTzSjrtKXsMtQGXPHyND0/edit#gid=795171502"", ""'Filter 30_05_2024'!A1:M2000""), {2, 3, 4, 5,6,7,8,9,10,11,12,13}, 0))"),5)</f>
        <v>5</v>
      </c>
      <c r="V187" s="11">
        <f ca="1">IFERROR(__xludf.DUMMYFUNCTION("""COMPUTED_VALUE"""),6)</f>
        <v>6</v>
      </c>
      <c r="W187" s="11">
        <f ca="1">IFERROR(__xludf.DUMMYFUNCTION("""COMPUTED_VALUE"""),2)</f>
        <v>2</v>
      </c>
      <c r="X187" s="11">
        <f ca="1">IFERROR(__xludf.DUMMYFUNCTION("""COMPUTED_VALUE"""),13)</f>
        <v>13</v>
      </c>
      <c r="Y187" s="11">
        <f ca="1">IFERROR(__xludf.DUMMYFUNCTION("""COMPUTED_VALUE"""),4)</f>
        <v>4</v>
      </c>
      <c r="Z187" s="12">
        <f ca="1">IFERROR(__xludf.DUMMYFUNCTION("""COMPUTED_VALUE"""),3)</f>
        <v>3</v>
      </c>
      <c r="AA187" s="12">
        <f ca="1">IFERROR(__xludf.DUMMYFUNCTION("""COMPUTED_VALUE"""),1)</f>
        <v>1</v>
      </c>
      <c r="AB187" s="12">
        <f ca="1">IFERROR(__xludf.DUMMYFUNCTION("""COMPUTED_VALUE"""),8)</f>
        <v>8</v>
      </c>
      <c r="AC187" s="12"/>
      <c r="AD187" s="12"/>
      <c r="AE187" s="12"/>
      <c r="AF187" s="12"/>
      <c r="AG187" s="13" t="str">
        <f ca="1">IFERROR(__xludf.DUMMYFUNCTION("ArrayFormula(VLOOKUP(G187, IMPORTRANGE(""https://docs.google.com/spreadsheets/d/1Co934fvtviyaRiMsrIlT05Jaq7iiYq07aLvRr35KA48/edit?gid=173865642#gid=173865642"", ""'G7_Maths_Pri_LU'!G2:V2000""), {3, 4, 5, 6, 7, 8, 9, 10, 11, 12, 13, 14, 15, 16}, 0))"),"")</f>
        <v/>
      </c>
      <c r="AH187" s="13"/>
      <c r="AI187" s="13"/>
      <c r="AJ187" s="13"/>
      <c r="AK187" s="13"/>
      <c r="AL187" s="13"/>
      <c r="AM187" s="13"/>
      <c r="AN187" s="13"/>
      <c r="AO187" s="13"/>
      <c r="AP187" s="13"/>
      <c r="AQ187" s="13"/>
      <c r="AR187" s="13"/>
      <c r="AS187" s="13"/>
      <c r="AT187" s="13"/>
    </row>
    <row r="188" spans="1:46">
      <c r="A188" s="8" t="s">
        <v>247</v>
      </c>
      <c r="B188" s="8" t="s">
        <v>47</v>
      </c>
      <c r="C188" s="8" t="s">
        <v>416</v>
      </c>
      <c r="D188" s="8" t="s">
        <v>49</v>
      </c>
      <c r="E188" s="8" t="s">
        <v>688</v>
      </c>
      <c r="F188" s="8" t="s">
        <v>689</v>
      </c>
      <c r="G188" s="8" t="s">
        <v>691</v>
      </c>
      <c r="H188" s="8" t="str">
        <f ca="1">IFERROR(__xludf.DUMMYFUNCTION("VLOOKUP(G188, IMPORTRANGE(""https://docs.google.com/spreadsheets/d/14deopnvwcrKtEGCKuYXdUHJbeLDZlkiSSWWT0g7x2pM/edit#gid=999382323"", ""LU List Maths (Filter)!A:B""), 2, FALSE)"),"Identify three dimensional shapes(Cube/cuboids/spheres/cylinders/cones/prisms/pyramids)")</f>
        <v>Identify three dimensional shapes(Cube/cuboids/spheres/cylinders/cones/prisms/pyramids)</v>
      </c>
      <c r="I188" s="10" t="str">
        <f t="shared" si="0"/>
        <v>LU000248.001</v>
      </c>
      <c r="J188" s="10" t="str">
        <f ca="1">IFERROR(__xludf.DUMMYFUNCTION("VLOOKUP(I188, IMPORTRANGE(""https://docs.google.com/spreadsheets/d/1yDAaXNsi4Mr5FtRQL4tbmSdIzhx6_m4wkOD7IG-k_eo/edit#gid=0"", ""Maths!M:N""), 2, FALSE)"),"List the examples of three-dimensional shapes (cube, cuboid, sphere, cylinder, cone, prism, pyramid).")</f>
        <v>List the examples of three-dimensional shapes (cube, cuboid, sphere, cylinder, cone, prism, pyramid).</v>
      </c>
      <c r="K188" s="10" t="str">
        <f t="shared" si="1"/>
        <v>LU000248.002</v>
      </c>
      <c r="L188" s="10" t="str">
        <f ca="1">IFERROR(__xludf.DUMMYFUNCTION("VLOOKUP(K188, IMPORTRANGE(""https://docs.google.com/spreadsheets/d/1yDAaXNsi4Mr5FtRQL4tbmSdIzhx6_m4wkOD7IG-k_eo/edit#gid=0"", ""Maths!M:N""), 2, FALSE)"),"Explain the key characteristics that differentiate three-dimensional shapes from flat shapes.")</f>
        <v>Explain the key characteristics that differentiate three-dimensional shapes from flat shapes.</v>
      </c>
      <c r="M188" s="10" t="str">
        <f t="shared" si="2"/>
        <v>LU000248.003</v>
      </c>
      <c r="N188" s="10" t="str">
        <f ca="1">IFERROR(__xludf.DUMMYFUNCTION("VLOOKUP(M188, IMPORTRANGE(""https://docs.google.com/spreadsheets/d/1yDAaXNsi4Mr5FtRQL4tbmSdIzhx6_m4wkOD7IG-k_eo/edit#gid=0"", ""Maths!M:N""), 2, FALSE)"),"Apply the understanding of three-dimensional shapes to classify given shapes as cube, cuboid, sphere, cylinder, cone, prism, or pyramid.")</f>
        <v>Apply the understanding of three-dimensional shapes to classify given shapes as cube, cuboid, sphere, cylinder, cone, prism, or pyramid.</v>
      </c>
      <c r="O188" s="10" t="str">
        <f t="shared" si="3"/>
        <v>LU000248.004</v>
      </c>
      <c r="P188" s="10" t="str">
        <f ca="1">IFERROR(__xludf.DUMMYFUNCTION("VLOOKUP(O188, IMPORTRANGE(""https://docs.google.com/spreadsheets/d/1yDAaXNsi4Mr5FtRQL4tbmSdIzhx6_m4wkOD7IG-k_eo/edit#gid=0"", ""Maths!M:N""), 2, FALSE)"),"Analyse various real-life examples and identify them as cube, cuboid, sphere, cylinder, cone, prism, and pyramid.")</f>
        <v>Analyse various real-life examples and identify them as cube, cuboid, sphere, cylinder, cone, prism, and pyramid.</v>
      </c>
      <c r="Q188" s="10" t="str">
        <f t="shared" si="4"/>
        <v>LU000248.005</v>
      </c>
      <c r="R188" s="10" t="str">
        <f ca="1">IFERROR(__xludf.DUMMYFUNCTION("VLOOKUP(Q188, IMPORTRANGE(""https://docs.google.com/spreadsheets/d/1yDAaXNsi4Mr5FtRQL4tbmSdIzhx6_m4wkOD7IG-k_eo/edit#gid=0"", ""Maths!M:N""), 2, FALSE)"),"#N/A")</f>
        <v>#N/A</v>
      </c>
      <c r="S188" s="10" t="str">
        <f t="shared" si="5"/>
        <v>LU000248.006</v>
      </c>
      <c r="T188" s="10" t="str">
        <f ca="1">IFERROR(__xludf.DUMMYFUNCTION("VLOOKUP(S188, IMPORTRANGE(""https://docs.google.com/spreadsheets/d/1yDAaXNsi4Mr5FtRQL4tbmSdIzhx6_m4wkOD7IG-k_eo/edit#gid=0"", ""Maths!M:N""), 2, FALSE)"),"Create a visual representation or model that demonstrates the differences between cube, cuboid, sphere, cylinder, cone, prism, and pyramid shapes.")</f>
        <v>Create a visual representation or model that demonstrates the differences between cube, cuboid, sphere, cylinder, cone, prism, and pyramid shapes.</v>
      </c>
      <c r="U188" s="11">
        <f ca="1">IFERROR(__xludf.DUMMYFUNCTION("ArrayFormula(VLOOKUP(G188, IMPORTRANGE(""https://docs.google.com/spreadsheets/d/1p7R4vtkWt5VOBim4ltsDG9KTzSjrtKXsMtQGXPHyND0/edit#gid=795171502"", ""'Filter 30_05_2024'!A1:M2000""), {2, 3, 4, 5,6,7,8,9,10,11,12,13}, 0))"),4)</f>
        <v>4</v>
      </c>
      <c r="V188" s="11">
        <f ca="1">IFERROR(__xludf.DUMMYFUNCTION("""COMPUTED_VALUE"""),11)</f>
        <v>11</v>
      </c>
      <c r="W188" s="11">
        <f ca="1">IFERROR(__xludf.DUMMYFUNCTION("""COMPUTED_VALUE"""),2)</f>
        <v>2</v>
      </c>
      <c r="X188" s="11">
        <f ca="1">IFERROR(__xludf.DUMMYFUNCTION("""COMPUTED_VALUE"""),17)</f>
        <v>17</v>
      </c>
      <c r="Y188" s="11">
        <f ca="1">IFERROR(__xludf.DUMMYFUNCTION("""COMPUTED_VALUE"""),4)</f>
        <v>4</v>
      </c>
      <c r="Z188" s="12">
        <f ca="1">IFERROR(__xludf.DUMMYFUNCTION("""COMPUTED_VALUE"""),5)</f>
        <v>5</v>
      </c>
      <c r="AA188" s="12">
        <f ca="1">IFERROR(__xludf.DUMMYFUNCTION("""COMPUTED_VALUE"""),1)</f>
        <v>1</v>
      </c>
      <c r="AB188" s="12">
        <f ca="1">IFERROR(__xludf.DUMMYFUNCTION("""COMPUTED_VALUE"""),10)</f>
        <v>10</v>
      </c>
      <c r="AC188" s="12"/>
      <c r="AD188" s="12"/>
      <c r="AE188" s="12"/>
      <c r="AF188" s="12"/>
      <c r="AG188" s="13" t="str">
        <f ca="1">IFERROR(__xludf.DUMMYFUNCTION("ArrayFormula(VLOOKUP(G188, IMPORTRANGE(""https://docs.google.com/spreadsheets/d/1Co934fvtviyaRiMsrIlT05Jaq7iiYq07aLvRr35KA48/edit?gid=173865642#gid=173865642"", ""'G7_Maths_Pri_LU'!G2:V2000""), {3, 4, 5, 6, 7, 8, 9, 10, 11, 12, 13, 14, 15, 16}, 0))"),"")</f>
        <v/>
      </c>
      <c r="AH188" s="13"/>
      <c r="AI188" s="13"/>
      <c r="AJ188" s="13"/>
      <c r="AK188" s="13"/>
      <c r="AL188" s="13"/>
      <c r="AM188" s="13"/>
      <c r="AN188" s="13"/>
      <c r="AO188" s="13"/>
      <c r="AP188" s="13"/>
      <c r="AQ188" s="13"/>
      <c r="AR188" s="13"/>
      <c r="AS188" s="13"/>
      <c r="AT188" s="13"/>
    </row>
    <row r="189" spans="1:46">
      <c r="A189" s="8" t="s">
        <v>247</v>
      </c>
      <c r="B189" s="8" t="s">
        <v>47</v>
      </c>
      <c r="C189" s="8" t="s">
        <v>416</v>
      </c>
      <c r="D189" s="8" t="s">
        <v>49</v>
      </c>
      <c r="E189" s="8" t="s">
        <v>688</v>
      </c>
      <c r="F189" s="8" t="s">
        <v>689</v>
      </c>
      <c r="G189" s="8" t="s">
        <v>692</v>
      </c>
      <c r="H189" s="8" t="str">
        <f ca="1">IFERROR(__xludf.DUMMYFUNCTION("VLOOKUP(G189, IMPORTRANGE(""https://docs.google.com/spreadsheets/d/14deopnvwcrKtEGCKuYXdUHJbeLDZlkiSSWWT0g7x2pM/edit#gid=999382323"", ""LU List Maths (Filter)!A:B""), 2, FALSE)"),"Definition of three dimensional shape - tetrahedron")</f>
        <v>Definition of three dimensional shape - tetrahedron</v>
      </c>
      <c r="I189" s="10" t="str">
        <f t="shared" si="0"/>
        <v>LU000570.001</v>
      </c>
      <c r="J189" s="10" t="str">
        <f ca="1">IFERROR(__xludf.DUMMYFUNCTION("VLOOKUP(I189, IMPORTRANGE(""https://docs.google.com/spreadsheets/d/1yDAaXNsi4Mr5FtRQL4tbmSdIzhx6_m4wkOD7IG-k_eo/edit#gid=0"", ""Maths!M:N""), 2, FALSE)"),"State the definition of a tetrahedron")</f>
        <v>State the definition of a tetrahedron</v>
      </c>
      <c r="K189" s="10" t="str">
        <f t="shared" si="1"/>
        <v>LU000570.002</v>
      </c>
      <c r="L189" s="10" t="str">
        <f ca="1">IFERROR(__xludf.DUMMYFUNCTION("VLOOKUP(K189, IMPORTRANGE(""https://docs.google.com/spreadsheets/d/1yDAaXNsi4Mr5FtRQL4tbmSdIzhx6_m4wkOD7IG-k_eo/edit#gid=0"", ""Maths!M:N""), 2, FALSE)"),"Explain the properties of a tetrahedron")</f>
        <v>Explain the properties of a tetrahedron</v>
      </c>
      <c r="M189" s="10" t="str">
        <f t="shared" si="2"/>
        <v>LU000570.003</v>
      </c>
      <c r="N189" s="10" t="str">
        <f ca="1">IFERROR(__xludf.DUMMYFUNCTION("VLOOKUP(M189, IMPORTRANGE(""https://docs.google.com/spreadsheets/d/1yDAaXNsi4Mr5FtRQL4tbmSdIzhx6_m4wkOD7IG-k_eo/edit#gid=0"", ""Maths!M:N""), 2, FALSE)"),"Apply the knowledge of a tetrahedron's properties to identify and classify objects as tetrahedron.")</f>
        <v>Apply the knowledge of a tetrahedron's properties to identify and classify objects as tetrahedron.</v>
      </c>
      <c r="O189" s="10" t="str">
        <f t="shared" si="3"/>
        <v>LU000570.004</v>
      </c>
      <c r="P189" s="10" t="str">
        <f ca="1">IFERROR(__xludf.DUMMYFUNCTION("VLOOKUP(O189, IMPORTRANGE(""https://docs.google.com/spreadsheets/d/1yDAaXNsi4Mr5FtRQL4tbmSdIzhx6_m4wkOD7IG-k_eo/edit#gid=0"", ""Maths!M:N""), 2, FALSE)"),"Analyse the geometric characteristics of a tetrahedron, including its faces, edges, and vertices.")</f>
        <v>Analyse the geometric characteristics of a tetrahedron, including its faces, edges, and vertices.</v>
      </c>
      <c r="Q189" s="10" t="str">
        <f t="shared" si="4"/>
        <v>LU000570.005</v>
      </c>
      <c r="R189" s="10" t="str">
        <f ca="1">IFERROR(__xludf.DUMMYFUNCTION("VLOOKUP(Q189, IMPORTRANGE(""https://docs.google.com/spreadsheets/d/1yDAaXNsi4Mr5FtRQL4tbmSdIzhx6_m4wkOD7IG-k_eo/edit#gid=0"", ""Maths!M:N""), 2, FALSE)"),"Evaluate the practical uses and applications of tetrahedron in various fields")</f>
        <v>Evaluate the practical uses and applications of tetrahedron in various fields</v>
      </c>
      <c r="S189" s="10" t="str">
        <f t="shared" si="5"/>
        <v>LU000570.006</v>
      </c>
      <c r="T189" s="10" t="str">
        <f ca="1">IFERROR(__xludf.DUMMYFUNCTION("VLOOKUP(S189, IMPORTRANGE(""https://docs.google.com/spreadsheets/d/1yDAaXNsi4Mr5FtRQL4tbmSdIzhx6_m4wkOD7IG-k_eo/edit#gid=0"", ""Maths!M:N""), 2, FALSE)"),"Create a three-dimensional model of a tetrahedron using physical materials or software, demonstrating an understanding of its shape and properties.")</f>
        <v>Create a three-dimensional model of a tetrahedron using physical materials or software, demonstrating an understanding of its shape and properties.</v>
      </c>
      <c r="U189" s="11">
        <f ca="1">IFERROR(__xludf.DUMMYFUNCTION("ArrayFormula(VLOOKUP(G189, IMPORTRANGE(""https://docs.google.com/spreadsheets/d/1p7R4vtkWt5VOBim4ltsDG9KTzSjrtKXsMtQGXPHyND0/edit#gid=795171502"", ""'Filter 30_05_2024'!A1:M2000""), {2, 3, 4, 5,6,7,8,9,10,11,12,13}, 0))"),4)</f>
        <v>4</v>
      </c>
      <c r="V189" s="11">
        <f ca="1">IFERROR(__xludf.DUMMYFUNCTION("""COMPUTED_VALUE"""),6)</f>
        <v>6</v>
      </c>
      <c r="W189" s="11">
        <f ca="1">IFERROR(__xludf.DUMMYFUNCTION("""COMPUTED_VALUE"""),2)</f>
        <v>2</v>
      </c>
      <c r="X189" s="11">
        <f ca="1">IFERROR(__xludf.DUMMYFUNCTION("""COMPUTED_VALUE"""),12)</f>
        <v>12</v>
      </c>
      <c r="Y189" s="11">
        <f ca="1">IFERROR(__xludf.DUMMYFUNCTION("""COMPUTED_VALUE"""),4)</f>
        <v>4</v>
      </c>
      <c r="Z189" s="12">
        <f ca="1">IFERROR(__xludf.DUMMYFUNCTION("""COMPUTED_VALUE"""),3)</f>
        <v>3</v>
      </c>
      <c r="AA189" s="12">
        <f ca="1">IFERROR(__xludf.DUMMYFUNCTION("""COMPUTED_VALUE"""),1)</f>
        <v>1</v>
      </c>
      <c r="AB189" s="12">
        <f ca="1">IFERROR(__xludf.DUMMYFUNCTION("""COMPUTED_VALUE"""),8)</f>
        <v>8</v>
      </c>
      <c r="AC189" s="12"/>
      <c r="AD189" s="12"/>
      <c r="AE189" s="12"/>
      <c r="AF189" s="12"/>
      <c r="AG189" s="13" t="str">
        <f ca="1">IFERROR(__xludf.DUMMYFUNCTION("ArrayFormula(VLOOKUP(G189, IMPORTRANGE(""https://docs.google.com/spreadsheets/d/1Co934fvtviyaRiMsrIlT05Jaq7iiYq07aLvRr35KA48/edit?gid=173865642#gid=173865642"", ""'G7_Maths_Pri_LU'!G2:V2000""), {3, 4, 5, 6, 7, 8, 9, 10, 11, 12, 13, 14, 15, 16}, 0))"),"")</f>
        <v/>
      </c>
      <c r="AH189" s="13"/>
      <c r="AI189" s="13"/>
      <c r="AJ189" s="13"/>
      <c r="AK189" s="13"/>
      <c r="AL189" s="13"/>
      <c r="AM189" s="13"/>
      <c r="AN189" s="13"/>
      <c r="AO189" s="13"/>
      <c r="AP189" s="13"/>
      <c r="AQ189" s="13"/>
      <c r="AR189" s="13"/>
      <c r="AS189" s="13"/>
      <c r="AT189" s="13"/>
    </row>
    <row r="190" spans="1:46">
      <c r="A190" s="8" t="s">
        <v>247</v>
      </c>
      <c r="B190" s="8" t="s">
        <v>47</v>
      </c>
      <c r="C190" s="8" t="s">
        <v>416</v>
      </c>
      <c r="D190" s="8" t="s">
        <v>49</v>
      </c>
      <c r="E190" s="8" t="s">
        <v>688</v>
      </c>
      <c r="F190" s="8" t="s">
        <v>693</v>
      </c>
      <c r="G190" s="8" t="s">
        <v>694</v>
      </c>
      <c r="H190" s="8" t="str">
        <f ca="1">IFERROR(__xludf.DUMMYFUNCTION("VLOOKUP(G190, IMPORTRANGE(""https://docs.google.com/spreadsheets/d/14deopnvwcrKtEGCKuYXdUHJbeLDZlkiSSWWT0g7x2pM/edit#gid=999382323"", ""LU List Maths (Filter)!A:B""), 2, FALSE)"),"Lexical explanation of three dimensional shapes-Cube")</f>
        <v>Lexical explanation of three dimensional shapes-Cube</v>
      </c>
      <c r="I190" s="10" t="str">
        <f t="shared" si="0"/>
        <v>LU000249.001</v>
      </c>
      <c r="J190" s="10" t="str">
        <f ca="1">IFERROR(__xludf.DUMMYFUNCTION("VLOOKUP(I190, IMPORTRANGE(""https://docs.google.com/spreadsheets/d/1yDAaXNsi4Mr5FtRQL4tbmSdIzhx6_m4wkOD7IG-k_eo/edit#gid=0"", ""Maths!M:N""), 2, FALSE)"),"Define the terms face, edge, and vertex in the context of three-dimensional shape-cube.")</f>
        <v>Define the terms face, edge, and vertex in the context of three-dimensional shape-cube.</v>
      </c>
      <c r="K190" s="10" t="str">
        <f t="shared" si="1"/>
        <v>LU000249.002</v>
      </c>
      <c r="L190" s="10" t="str">
        <f ca="1">IFERROR(__xludf.DUMMYFUNCTION("VLOOKUP(K190, IMPORTRANGE(""https://docs.google.com/spreadsheets/d/1yDAaXNsi4Mr5FtRQL4tbmSdIzhx6_m4wkOD7IG-k_eo/edit#gid=0"", ""Maths!M:N""), 2, FALSE)"),"Identify and count the number of faces, edges, and vertices of three-dimensional shape-cube")</f>
        <v>Identify and count the number of faces, edges, and vertices of three-dimensional shape-cube</v>
      </c>
      <c r="M190" s="10" t="str">
        <f t="shared" si="2"/>
        <v>LU000249.003</v>
      </c>
      <c r="N190" s="10" t="str">
        <f ca="1">IFERROR(__xludf.DUMMYFUNCTION("VLOOKUP(M190, IMPORTRANGE(""https://docs.google.com/spreadsheets/d/1yDAaXNsi4Mr5FtRQL4tbmSdIzhx6_m4wkOD7IG-k_eo/edit#gid=0"", ""Maths!M:N""), 2, FALSE)"),"Demonstrate the ability to distinguish a cube from other three-dimensional shapes based on its faces, edges and vertices.")</f>
        <v>Demonstrate the ability to distinguish a cube from other three-dimensional shapes based on its faces, edges and vertices.</v>
      </c>
      <c r="O190" s="10" t="str">
        <f t="shared" si="3"/>
        <v>LU000249.004</v>
      </c>
      <c r="P190" s="10" t="str">
        <f ca="1">IFERROR(__xludf.DUMMYFUNCTION("VLOOKUP(O190, IMPORTRANGE(""https://docs.google.com/spreadsheets/d/1yDAaXNsi4Mr5FtRQL4tbmSdIzhx6_m4wkOD7IG-k_eo/edit#gid=0"", ""Maths!M:N""), 2, FALSE)"),"Analyze the unique characteristics of the cube, including their edgelessness and base properties.")</f>
        <v>Analyze the unique characteristics of the cube, including their edgelessness and base properties.</v>
      </c>
      <c r="Q190" s="10" t="str">
        <f t="shared" si="4"/>
        <v>LU000249.005</v>
      </c>
      <c r="R190" s="10" t="str">
        <f ca="1">IFERROR(__xludf.DUMMYFUNCTION("VLOOKUP(Q190, IMPORTRANGE(""https://docs.google.com/spreadsheets/d/1yDAaXNsi4Mr5FtRQL4tbmSdIzhx6_m4wkOD7IG-k_eo/edit#gid=0"", ""Maths!M:N""), 2, FALSE)"),"Evaluate the appropriateness of using specific three-dimensional shape-cube for different applications or scenarios.")</f>
        <v>Evaluate the appropriateness of using specific three-dimensional shape-cube for different applications or scenarios.</v>
      </c>
      <c r="S190" s="10" t="str">
        <f t="shared" si="5"/>
        <v>LU000249.006</v>
      </c>
      <c r="T190" s="10" t="str">
        <f ca="1">IFERROR(__xludf.DUMMYFUNCTION("VLOOKUP(S190, IMPORTRANGE(""https://docs.google.com/spreadsheets/d/1yDAaXNsi4Mr5FtRQL4tbmSdIzhx6_m4wkOD7IG-k_eo/edit#gid=0"", ""Maths!M:N""), 2, FALSE)"),"Create visual representations or models of three-dimensional shape-cube.")</f>
        <v>Create visual representations or models of three-dimensional shape-cube.</v>
      </c>
      <c r="U190" s="11">
        <f ca="1">IFERROR(__xludf.DUMMYFUNCTION("ArrayFormula(VLOOKUP(G190, IMPORTRANGE(""https://docs.google.com/spreadsheets/d/1p7R4vtkWt5VOBim4ltsDG9KTzSjrtKXsMtQGXPHyND0/edit#gid=795171502"", ""'Filter 30_05_2024'!A1:M2000""), {2, 3, 4, 5,6,7,8,9,10,11,12,13}, 0))"),4)</f>
        <v>4</v>
      </c>
      <c r="V190" s="11">
        <f ca="1">IFERROR(__xludf.DUMMYFUNCTION("""COMPUTED_VALUE"""),6)</f>
        <v>6</v>
      </c>
      <c r="W190" s="11">
        <f ca="1">IFERROR(__xludf.DUMMYFUNCTION("""COMPUTED_VALUE"""),2)</f>
        <v>2</v>
      </c>
      <c r="X190" s="11">
        <f ca="1">IFERROR(__xludf.DUMMYFUNCTION("""COMPUTED_VALUE"""),12)</f>
        <v>12</v>
      </c>
      <c r="Y190" s="11">
        <f ca="1">IFERROR(__xludf.DUMMYFUNCTION("""COMPUTED_VALUE"""),4)</f>
        <v>4</v>
      </c>
      <c r="Z190" s="12">
        <f ca="1">IFERROR(__xludf.DUMMYFUNCTION("""COMPUTED_VALUE"""),3)</f>
        <v>3</v>
      </c>
      <c r="AA190" s="12">
        <f ca="1">IFERROR(__xludf.DUMMYFUNCTION("""COMPUTED_VALUE"""),1)</f>
        <v>1</v>
      </c>
      <c r="AB190" s="12">
        <f ca="1">IFERROR(__xludf.DUMMYFUNCTION("""COMPUTED_VALUE"""),8)</f>
        <v>8</v>
      </c>
      <c r="AC190" s="12"/>
      <c r="AD190" s="12"/>
      <c r="AE190" s="12"/>
      <c r="AF190" s="12"/>
      <c r="AG190" s="13" t="str">
        <f ca="1">IFERROR(__xludf.DUMMYFUNCTION("ArrayFormula(VLOOKUP(G190, IMPORTRANGE(""https://docs.google.com/spreadsheets/d/1Co934fvtviyaRiMsrIlT05Jaq7iiYq07aLvRr35KA48/edit?gid=173865642#gid=173865642"", ""'G7_Maths_Pri_LU'!G2:V2000""), {3, 4, 5, 6, 7, 8, 9, 10, 11, 12, 13, 14, 15, 16}, 0))"),"")</f>
        <v/>
      </c>
      <c r="AH190" s="13"/>
      <c r="AI190" s="13"/>
      <c r="AJ190" s="13"/>
      <c r="AK190" s="13"/>
      <c r="AL190" s="13"/>
      <c r="AM190" s="13"/>
      <c r="AN190" s="13"/>
      <c r="AO190" s="13"/>
      <c r="AP190" s="13"/>
      <c r="AQ190" s="13"/>
      <c r="AR190" s="13"/>
      <c r="AS190" s="13"/>
      <c r="AT190" s="13"/>
    </row>
    <row r="191" spans="1:46">
      <c r="A191" s="8" t="s">
        <v>247</v>
      </c>
      <c r="B191" s="8" t="s">
        <v>47</v>
      </c>
      <c r="C191" s="8" t="s">
        <v>416</v>
      </c>
      <c r="D191" s="8" t="s">
        <v>49</v>
      </c>
      <c r="E191" s="8" t="s">
        <v>688</v>
      </c>
      <c r="F191" s="8" t="s">
        <v>693</v>
      </c>
      <c r="G191" s="8" t="s">
        <v>695</v>
      </c>
      <c r="H191" s="8" t="str">
        <f ca="1">IFERROR(__xludf.DUMMYFUNCTION("VLOOKUP(G191, IMPORTRANGE(""https://docs.google.com/spreadsheets/d/14deopnvwcrKtEGCKuYXdUHJbeLDZlkiSSWWT0g7x2pM/edit#gid=999382323"", ""LU List Maths (Filter)!A:B""), 2, FALSE)"),"Lexical explanation of three dimensional shapes-cuboids")</f>
        <v>Lexical explanation of three dimensional shapes-cuboids</v>
      </c>
      <c r="I191" s="10" t="str">
        <f t="shared" si="0"/>
        <v>LU000251.001</v>
      </c>
      <c r="J191" s="10" t="str">
        <f ca="1">IFERROR(__xludf.DUMMYFUNCTION("VLOOKUP(I191, IMPORTRANGE(""https://docs.google.com/spreadsheets/d/1yDAaXNsi4Mr5FtRQL4tbmSdIzhx6_m4wkOD7IG-k_eo/edit#gid=0"", ""Maths!M:N""), 2, FALSE)"),"Define the terms face, edge, and vertex in the context of three-dimensional shape-cuboid.")</f>
        <v>Define the terms face, edge, and vertex in the context of three-dimensional shape-cuboid.</v>
      </c>
      <c r="K191" s="10" t="str">
        <f t="shared" si="1"/>
        <v>LU000251.002</v>
      </c>
      <c r="L191" s="10" t="str">
        <f ca="1">IFERROR(__xludf.DUMMYFUNCTION("VLOOKUP(K191, IMPORTRANGE(""https://docs.google.com/spreadsheets/d/1yDAaXNsi4Mr5FtRQL4tbmSdIzhx6_m4wkOD7IG-k_eo/edit#gid=0"", ""Maths!M:N""), 2, FALSE)"),"Identify and count the number of faces, edges, and vertices of three-dimensional shape-cuboid")</f>
        <v>Identify and count the number of faces, edges, and vertices of three-dimensional shape-cuboid</v>
      </c>
      <c r="M191" s="10" t="str">
        <f t="shared" si="2"/>
        <v>LU000251.003</v>
      </c>
      <c r="N191" s="10" t="str">
        <f ca="1">IFERROR(__xludf.DUMMYFUNCTION("VLOOKUP(M191, IMPORTRANGE(""https://docs.google.com/spreadsheets/d/1yDAaXNsi4Mr5FtRQL4tbmSdIzhx6_m4wkOD7IG-k_eo/edit#gid=0"", ""Maths!M:N""), 2, FALSE)"),"Demonstrate the ability to distinguish a cuboid from other three-dimensional shapes based on its faces, edges and vertices.")</f>
        <v>Demonstrate the ability to distinguish a cuboid from other three-dimensional shapes based on its faces, edges and vertices.</v>
      </c>
      <c r="O191" s="10" t="str">
        <f t="shared" si="3"/>
        <v>LU000251.004</v>
      </c>
      <c r="P191" s="10" t="str">
        <f ca="1">IFERROR(__xludf.DUMMYFUNCTION("VLOOKUP(O191, IMPORTRANGE(""https://docs.google.com/spreadsheets/d/1yDAaXNsi4Mr5FtRQL4tbmSdIzhx6_m4wkOD7IG-k_eo/edit#gid=0"", ""Maths!M:N""), 2, FALSE)"),"Analyze the unique characteristics of the cuboid, including their edgelessness and base properties.")</f>
        <v>Analyze the unique characteristics of the cuboid, including their edgelessness and base properties.</v>
      </c>
      <c r="Q191" s="10" t="str">
        <f t="shared" si="4"/>
        <v>LU000251.005</v>
      </c>
      <c r="R191" s="10" t="str">
        <f ca="1">IFERROR(__xludf.DUMMYFUNCTION("VLOOKUP(Q191, IMPORTRANGE(""https://docs.google.com/spreadsheets/d/1yDAaXNsi4Mr5FtRQL4tbmSdIzhx6_m4wkOD7IG-k_eo/edit#gid=0"", ""Maths!M:N""), 2, FALSE)"),"Evaluate the appropriateness of using specific three-dimensional shape-cuboid for different applications or scenarios.")</f>
        <v>Evaluate the appropriateness of using specific three-dimensional shape-cuboid for different applications or scenarios.</v>
      </c>
      <c r="S191" s="10" t="str">
        <f t="shared" si="5"/>
        <v>LU000251.006</v>
      </c>
      <c r="T191" s="10" t="str">
        <f ca="1">IFERROR(__xludf.DUMMYFUNCTION("VLOOKUP(S191, IMPORTRANGE(""https://docs.google.com/spreadsheets/d/1yDAaXNsi4Mr5FtRQL4tbmSdIzhx6_m4wkOD7IG-k_eo/edit#gid=0"", ""Maths!M:N""), 2, FALSE)"),"Create visual representations or models of three-dimensional shape-cuboid")</f>
        <v>Create visual representations or models of three-dimensional shape-cuboid</v>
      </c>
      <c r="U191" s="11">
        <f ca="1">IFERROR(__xludf.DUMMYFUNCTION("ArrayFormula(VLOOKUP(G191, IMPORTRANGE(""https://docs.google.com/spreadsheets/d/1p7R4vtkWt5VOBim4ltsDG9KTzSjrtKXsMtQGXPHyND0/edit#gid=795171502"", ""'Filter 30_05_2024'!A1:M2000""), {2, 3, 4, 5,6,7,8,9,10,11,12,13}, 0))"),4)</f>
        <v>4</v>
      </c>
      <c r="V191" s="11">
        <f ca="1">IFERROR(__xludf.DUMMYFUNCTION("""COMPUTED_VALUE"""),6)</f>
        <v>6</v>
      </c>
      <c r="W191" s="11">
        <f ca="1">IFERROR(__xludf.DUMMYFUNCTION("""COMPUTED_VALUE"""),2)</f>
        <v>2</v>
      </c>
      <c r="X191" s="11">
        <f ca="1">IFERROR(__xludf.DUMMYFUNCTION("""COMPUTED_VALUE"""),12)</f>
        <v>12</v>
      </c>
      <c r="Y191" s="11">
        <f ca="1">IFERROR(__xludf.DUMMYFUNCTION("""COMPUTED_VALUE"""),4)</f>
        <v>4</v>
      </c>
      <c r="Z191" s="12">
        <f ca="1">IFERROR(__xludf.DUMMYFUNCTION("""COMPUTED_VALUE"""),3)</f>
        <v>3</v>
      </c>
      <c r="AA191" s="12">
        <f ca="1">IFERROR(__xludf.DUMMYFUNCTION("""COMPUTED_VALUE"""),1)</f>
        <v>1</v>
      </c>
      <c r="AB191" s="12">
        <f ca="1">IFERROR(__xludf.DUMMYFUNCTION("""COMPUTED_VALUE"""),8)</f>
        <v>8</v>
      </c>
      <c r="AC191" s="12"/>
      <c r="AD191" s="12"/>
      <c r="AE191" s="12"/>
      <c r="AF191" s="12"/>
      <c r="AG191" s="13" t="str">
        <f ca="1">IFERROR(__xludf.DUMMYFUNCTION("ArrayFormula(VLOOKUP(G191, IMPORTRANGE(""https://docs.google.com/spreadsheets/d/1Co934fvtviyaRiMsrIlT05Jaq7iiYq07aLvRr35KA48/edit?gid=173865642#gid=173865642"", ""'G7_Maths_Pri_LU'!G2:V2000""), {3, 4, 5, 6, 7, 8, 9, 10, 11, 12, 13, 14, 15, 16}, 0))"),"")</f>
        <v/>
      </c>
      <c r="AH191" s="13"/>
      <c r="AI191" s="13"/>
      <c r="AJ191" s="13"/>
      <c r="AK191" s="13"/>
      <c r="AL191" s="13"/>
      <c r="AM191" s="13"/>
      <c r="AN191" s="13"/>
      <c r="AO191" s="13"/>
      <c r="AP191" s="13"/>
      <c r="AQ191" s="13"/>
      <c r="AR191" s="13"/>
      <c r="AS191" s="13"/>
      <c r="AT191" s="13"/>
    </row>
    <row r="192" spans="1:46">
      <c r="A192" s="8" t="s">
        <v>247</v>
      </c>
      <c r="B192" s="8" t="s">
        <v>47</v>
      </c>
      <c r="C192" s="8" t="s">
        <v>416</v>
      </c>
      <c r="D192" s="8" t="s">
        <v>49</v>
      </c>
      <c r="E192" s="8" t="s">
        <v>688</v>
      </c>
      <c r="F192" s="8" t="s">
        <v>693</v>
      </c>
      <c r="G192" s="8" t="s">
        <v>696</v>
      </c>
      <c r="H192" s="8" t="str">
        <f ca="1">IFERROR(__xludf.DUMMYFUNCTION("VLOOKUP(G192, IMPORTRANGE(""https://docs.google.com/spreadsheets/d/14deopnvwcrKtEGCKuYXdUHJbeLDZlkiSSWWT0g7x2pM/edit#gid=999382323"", ""LU List Maths (Filter)!A:B""), 2, FALSE)"),"Lexical explanation of three dimensional shapes-prisms")</f>
        <v>Lexical explanation of three dimensional shapes-prisms</v>
      </c>
      <c r="I192" s="10" t="str">
        <f t="shared" si="0"/>
        <v>LU000255.001</v>
      </c>
      <c r="J192" s="10" t="str">
        <f ca="1">IFERROR(__xludf.DUMMYFUNCTION("VLOOKUP(I192, IMPORTRANGE(""https://docs.google.com/spreadsheets/d/1yDAaXNsi4Mr5FtRQL4tbmSdIzhx6_m4wkOD7IG-k_eo/edit#gid=0"", ""Maths!M:N""), 2, FALSE)"),"Define the terms face, edge, and vertex in the context of three-dimensional shape-prism")</f>
        <v>Define the terms face, edge, and vertex in the context of three-dimensional shape-prism</v>
      </c>
      <c r="K192" s="10" t="str">
        <f t="shared" si="1"/>
        <v>LU000255.002</v>
      </c>
      <c r="L192" s="10" t="str">
        <f ca="1">IFERROR(__xludf.DUMMYFUNCTION("VLOOKUP(K192, IMPORTRANGE(""https://docs.google.com/spreadsheets/d/1yDAaXNsi4Mr5FtRQL4tbmSdIzhx6_m4wkOD7IG-k_eo/edit#gid=0"", ""Maths!M:N""), 2, FALSE)"),"Identify and count the number of faces, edges, and vertices of three-dimensional shape-prism")</f>
        <v>Identify and count the number of faces, edges, and vertices of three-dimensional shape-prism</v>
      </c>
      <c r="M192" s="10" t="str">
        <f t="shared" si="2"/>
        <v>LU000255.003</v>
      </c>
      <c r="N192" s="10" t="str">
        <f ca="1">IFERROR(__xludf.DUMMYFUNCTION("VLOOKUP(M192, IMPORTRANGE(""https://docs.google.com/spreadsheets/d/1yDAaXNsi4Mr5FtRQL4tbmSdIzhx6_m4wkOD7IG-k_eo/edit#gid=0"", ""Maths!M:N""), 2, FALSE)"),"Demonstrate the ability to distinguish a prism from other three-dimensional shapes based on its faces, edges and vertices.")</f>
        <v>Demonstrate the ability to distinguish a prism from other three-dimensional shapes based on its faces, edges and vertices.</v>
      </c>
      <c r="O192" s="10" t="str">
        <f t="shared" si="3"/>
        <v>LU000255.004</v>
      </c>
      <c r="P192" s="10" t="str">
        <f ca="1">IFERROR(__xludf.DUMMYFUNCTION("VLOOKUP(O192, IMPORTRANGE(""https://docs.google.com/spreadsheets/d/1yDAaXNsi4Mr5FtRQL4tbmSdIzhx6_m4wkOD7IG-k_eo/edit#gid=0"", ""Maths!M:N""), 2, FALSE)"),"Analyze the unique characteristics of the prism, including their edgelessness and base properties.")</f>
        <v>Analyze the unique characteristics of the prism, including their edgelessness and base properties.</v>
      </c>
      <c r="Q192" s="10" t="str">
        <f t="shared" si="4"/>
        <v>LU000255.005</v>
      </c>
      <c r="R192" s="10" t="str">
        <f ca="1">IFERROR(__xludf.DUMMYFUNCTION("VLOOKUP(Q192, IMPORTRANGE(""https://docs.google.com/spreadsheets/d/1yDAaXNsi4Mr5FtRQL4tbmSdIzhx6_m4wkOD7IG-k_eo/edit#gid=0"", ""Maths!M:N""), 2, FALSE)"),"Evaluate the appropriateness of using specific three-dimensional shape-prism for different applications or scenarios.")</f>
        <v>Evaluate the appropriateness of using specific three-dimensional shape-prism for different applications or scenarios.</v>
      </c>
      <c r="S192" s="10" t="str">
        <f t="shared" si="5"/>
        <v>LU000255.006</v>
      </c>
      <c r="T192" s="10" t="str">
        <f ca="1">IFERROR(__xludf.DUMMYFUNCTION("VLOOKUP(S192, IMPORTRANGE(""https://docs.google.com/spreadsheets/d/1yDAaXNsi4Mr5FtRQL4tbmSdIzhx6_m4wkOD7IG-k_eo/edit#gid=0"", ""Maths!M:N""), 2, FALSE)"),"Create visual representations or models of three-dimensional shape-prism")</f>
        <v>Create visual representations or models of three-dimensional shape-prism</v>
      </c>
      <c r="U192" s="11">
        <f ca="1">IFERROR(__xludf.DUMMYFUNCTION("ArrayFormula(VLOOKUP(G192, IMPORTRANGE(""https://docs.google.com/spreadsheets/d/1p7R4vtkWt5VOBim4ltsDG9KTzSjrtKXsMtQGXPHyND0/edit#gid=795171502"", ""'Filter 30_05_2024'!A1:M2000""), {2, 3, 4, 5,6,7,8,9,10,11,12,13}, 0))"),4)</f>
        <v>4</v>
      </c>
      <c r="V192" s="11">
        <f ca="1">IFERROR(__xludf.DUMMYFUNCTION("""COMPUTED_VALUE"""),6)</f>
        <v>6</v>
      </c>
      <c r="W192" s="11">
        <f ca="1">IFERROR(__xludf.DUMMYFUNCTION("""COMPUTED_VALUE"""),2)</f>
        <v>2</v>
      </c>
      <c r="X192" s="11">
        <f ca="1">IFERROR(__xludf.DUMMYFUNCTION("""COMPUTED_VALUE"""),12)</f>
        <v>12</v>
      </c>
      <c r="Y192" s="11">
        <f ca="1">IFERROR(__xludf.DUMMYFUNCTION("""COMPUTED_VALUE"""),4)</f>
        <v>4</v>
      </c>
      <c r="Z192" s="12">
        <f ca="1">IFERROR(__xludf.DUMMYFUNCTION("""COMPUTED_VALUE"""),3)</f>
        <v>3</v>
      </c>
      <c r="AA192" s="12">
        <f ca="1">IFERROR(__xludf.DUMMYFUNCTION("""COMPUTED_VALUE"""),1)</f>
        <v>1</v>
      </c>
      <c r="AB192" s="12">
        <f ca="1">IFERROR(__xludf.DUMMYFUNCTION("""COMPUTED_VALUE"""),8)</f>
        <v>8</v>
      </c>
      <c r="AC192" s="12"/>
      <c r="AD192" s="12"/>
      <c r="AE192" s="12"/>
      <c r="AF192" s="12"/>
      <c r="AG192" s="13" t="str">
        <f ca="1">IFERROR(__xludf.DUMMYFUNCTION("ArrayFormula(VLOOKUP(G192, IMPORTRANGE(""https://docs.google.com/spreadsheets/d/1Co934fvtviyaRiMsrIlT05Jaq7iiYq07aLvRr35KA48/edit?gid=173865642#gid=173865642"", ""'G7_Maths_Pri_LU'!G2:V2000""), {3, 4, 5, 6, 7, 8, 9, 10, 11, 12, 13, 14, 15, 16}, 0))"),"")</f>
        <v/>
      </c>
      <c r="AH192" s="13"/>
      <c r="AI192" s="13"/>
      <c r="AJ192" s="13"/>
      <c r="AK192" s="13"/>
      <c r="AL192" s="13"/>
      <c r="AM192" s="13"/>
      <c r="AN192" s="13"/>
      <c r="AO192" s="13"/>
      <c r="AP192" s="13"/>
      <c r="AQ192" s="13"/>
      <c r="AR192" s="13"/>
      <c r="AS192" s="13"/>
      <c r="AT192" s="13"/>
    </row>
    <row r="193" spans="1:46">
      <c r="A193" s="8" t="s">
        <v>247</v>
      </c>
      <c r="B193" s="8" t="s">
        <v>47</v>
      </c>
      <c r="C193" s="8" t="s">
        <v>416</v>
      </c>
      <c r="D193" s="8" t="s">
        <v>49</v>
      </c>
      <c r="E193" s="8" t="s">
        <v>688</v>
      </c>
      <c r="F193" s="8" t="s">
        <v>697</v>
      </c>
      <c r="G193" s="8" t="s">
        <v>698</v>
      </c>
      <c r="H193" s="8" t="str">
        <f ca="1">IFERROR(__xludf.DUMMYFUNCTION("VLOOKUP(G193, IMPORTRANGE(""https://docs.google.com/spreadsheets/d/14deopnvwcrKtEGCKuYXdUHJbeLDZlkiSSWWT0g7x2pM/edit#gid=999382323"", ""LU List Maths (Filter)!A:B""), 2, FALSE)"),"Lexical explanation of three dimensional shapes-cones")</f>
        <v>Lexical explanation of three dimensional shapes-cones</v>
      </c>
      <c r="I193" s="10" t="str">
        <f t="shared" si="0"/>
        <v>LU000254.001</v>
      </c>
      <c r="J193" s="10" t="str">
        <f ca="1">IFERROR(__xludf.DUMMYFUNCTION("VLOOKUP(I193, IMPORTRANGE(""https://docs.google.com/spreadsheets/d/1yDAaXNsi4Mr5FtRQL4tbmSdIzhx6_m4wkOD7IG-k_eo/edit#gid=0"", ""Maths!M:N""), 2, FALSE)"),"Define the terms face, edge, and vertex in the context of three-dimensional shape-cone")</f>
        <v>Define the terms face, edge, and vertex in the context of three-dimensional shape-cone</v>
      </c>
      <c r="K193" s="10" t="str">
        <f t="shared" si="1"/>
        <v>LU000254.002</v>
      </c>
      <c r="L193" s="10" t="str">
        <f ca="1">IFERROR(__xludf.DUMMYFUNCTION("VLOOKUP(K193, IMPORTRANGE(""https://docs.google.com/spreadsheets/d/1yDAaXNsi4Mr5FtRQL4tbmSdIzhx6_m4wkOD7IG-k_eo/edit#gid=0"", ""Maths!M:N""), 2, FALSE)"),"Identify and count the number of faces, edges, and vertices of three-dimensional shape-cone")</f>
        <v>Identify and count the number of faces, edges, and vertices of three-dimensional shape-cone</v>
      </c>
      <c r="M193" s="10" t="str">
        <f t="shared" si="2"/>
        <v>LU000254.003</v>
      </c>
      <c r="N193" s="10" t="str">
        <f ca="1">IFERROR(__xludf.DUMMYFUNCTION("VLOOKUP(M193, IMPORTRANGE(""https://docs.google.com/spreadsheets/d/1yDAaXNsi4Mr5FtRQL4tbmSdIzhx6_m4wkOD7IG-k_eo/edit#gid=0"", ""Maths!M:N""), 2, FALSE)"),"Demonstrate the ability to distinguish a cone from other three-dimensional shapes based on its faces, edges and vertices.")</f>
        <v>Demonstrate the ability to distinguish a cone from other three-dimensional shapes based on its faces, edges and vertices.</v>
      </c>
      <c r="O193" s="10" t="str">
        <f t="shared" si="3"/>
        <v>LU000254.004</v>
      </c>
      <c r="P193" s="10" t="str">
        <f ca="1">IFERROR(__xludf.DUMMYFUNCTION("VLOOKUP(O193, IMPORTRANGE(""https://docs.google.com/spreadsheets/d/1yDAaXNsi4Mr5FtRQL4tbmSdIzhx6_m4wkOD7IG-k_eo/edit#gid=0"", ""Maths!M:N""), 2, FALSE)"),"Analyze the unique characteristics of the cone, including their edgelessness and base properties.")</f>
        <v>Analyze the unique characteristics of the cone, including their edgelessness and base properties.</v>
      </c>
      <c r="Q193" s="10" t="str">
        <f t="shared" si="4"/>
        <v>LU000254.005</v>
      </c>
      <c r="R193" s="10" t="str">
        <f ca="1">IFERROR(__xludf.DUMMYFUNCTION("VLOOKUP(Q193, IMPORTRANGE(""https://docs.google.com/spreadsheets/d/1yDAaXNsi4Mr5FtRQL4tbmSdIzhx6_m4wkOD7IG-k_eo/edit#gid=0"", ""Maths!M:N""), 2, FALSE)"),"Evaluate the appropriateness of using specific three-dimensional shape-cone for different applications or scenarios.")</f>
        <v>Evaluate the appropriateness of using specific three-dimensional shape-cone for different applications or scenarios.</v>
      </c>
      <c r="S193" s="10" t="str">
        <f t="shared" si="5"/>
        <v>LU000254.006</v>
      </c>
      <c r="T193" s="10" t="str">
        <f ca="1">IFERROR(__xludf.DUMMYFUNCTION("VLOOKUP(S193, IMPORTRANGE(""https://docs.google.com/spreadsheets/d/1yDAaXNsi4Mr5FtRQL4tbmSdIzhx6_m4wkOD7IG-k_eo/edit#gid=0"", ""Maths!M:N""), 2, FALSE)"),"Create visual representations or models of three-dimensional shape-cone")</f>
        <v>Create visual representations or models of three-dimensional shape-cone</v>
      </c>
      <c r="U193" s="11">
        <f ca="1">IFERROR(__xludf.DUMMYFUNCTION("ArrayFormula(VLOOKUP(G193, IMPORTRANGE(""https://docs.google.com/spreadsheets/d/1p7R4vtkWt5VOBim4ltsDG9KTzSjrtKXsMtQGXPHyND0/edit#gid=795171502"", ""'Filter 30_05_2024'!A1:M2000""), {2, 3, 4, 5,6,7,8,9,10,11,12,13}, 0))"),4)</f>
        <v>4</v>
      </c>
      <c r="V193" s="11">
        <f ca="1">IFERROR(__xludf.DUMMYFUNCTION("""COMPUTED_VALUE"""),6)</f>
        <v>6</v>
      </c>
      <c r="W193" s="11">
        <f ca="1">IFERROR(__xludf.DUMMYFUNCTION("""COMPUTED_VALUE"""),2)</f>
        <v>2</v>
      </c>
      <c r="X193" s="11">
        <f ca="1">IFERROR(__xludf.DUMMYFUNCTION("""COMPUTED_VALUE"""),12)</f>
        <v>12</v>
      </c>
      <c r="Y193" s="11">
        <f ca="1">IFERROR(__xludf.DUMMYFUNCTION("""COMPUTED_VALUE"""),4)</f>
        <v>4</v>
      </c>
      <c r="Z193" s="12">
        <f ca="1">IFERROR(__xludf.DUMMYFUNCTION("""COMPUTED_VALUE"""),3)</f>
        <v>3</v>
      </c>
      <c r="AA193" s="12">
        <f ca="1">IFERROR(__xludf.DUMMYFUNCTION("""COMPUTED_VALUE"""),1)</f>
        <v>1</v>
      </c>
      <c r="AB193" s="12">
        <f ca="1">IFERROR(__xludf.DUMMYFUNCTION("""COMPUTED_VALUE"""),8)</f>
        <v>8</v>
      </c>
      <c r="AC193" s="12"/>
      <c r="AD193" s="12"/>
      <c r="AE193" s="12"/>
      <c r="AF193" s="12"/>
      <c r="AG193" s="13" t="str">
        <f ca="1">IFERROR(__xludf.DUMMYFUNCTION("ArrayFormula(VLOOKUP(G193, IMPORTRANGE(""https://docs.google.com/spreadsheets/d/1Co934fvtviyaRiMsrIlT05Jaq7iiYq07aLvRr35KA48/edit?gid=173865642#gid=173865642"", ""'G7_Maths_Pri_LU'!G2:V2000""), {3, 4, 5, 6, 7, 8, 9, 10, 11, 12, 13, 14, 15, 16}, 0))"),"")</f>
        <v/>
      </c>
      <c r="AH193" s="13"/>
      <c r="AI193" s="13"/>
      <c r="AJ193" s="13"/>
      <c r="AK193" s="13"/>
      <c r="AL193" s="13"/>
      <c r="AM193" s="13"/>
      <c r="AN193" s="13"/>
      <c r="AO193" s="13"/>
      <c r="AP193" s="13"/>
      <c r="AQ193" s="13"/>
      <c r="AR193" s="13"/>
      <c r="AS193" s="13"/>
      <c r="AT193" s="13"/>
    </row>
    <row r="194" spans="1:46">
      <c r="A194" s="8" t="s">
        <v>247</v>
      </c>
      <c r="B194" s="8" t="s">
        <v>47</v>
      </c>
      <c r="C194" s="8" t="s">
        <v>416</v>
      </c>
      <c r="D194" s="8" t="s">
        <v>49</v>
      </c>
      <c r="E194" s="8" t="s">
        <v>688</v>
      </c>
      <c r="F194" s="8" t="s">
        <v>697</v>
      </c>
      <c r="G194" s="9" t="s">
        <v>699</v>
      </c>
      <c r="H194" s="9" t="str">
        <f ca="1">IFERROR(__xludf.DUMMYFUNCTION("VLOOKUP(G194, IMPORTRANGE(""https://docs.google.com/spreadsheets/d/14deopnvwcrKtEGCKuYXdUHJbeLDZlkiSSWWT0g7x2pM/edit#gid=999382323"", ""LU List Maths (Filter)!A:B""), 2, FALSE)"),"Lexical explanation of three dimensional shapes-cylinders")</f>
        <v>Lexical explanation of three dimensional shapes-cylinders</v>
      </c>
      <c r="I194" s="10" t="str">
        <f t="shared" si="0"/>
        <v>LU000253.001</v>
      </c>
      <c r="J194" s="10" t="str">
        <f ca="1">IFERROR(__xludf.DUMMYFUNCTION("VLOOKUP(I194, IMPORTRANGE(""https://docs.google.com/spreadsheets/d/1yDAaXNsi4Mr5FtRQL4tbmSdIzhx6_m4wkOD7IG-k_eo/edit#gid=0"", ""Maths!M:N""), 2, FALSE)"),"Define the terms face, and edge in the context of three-dimensional shape-cylinder")</f>
        <v>Define the terms face, and edge in the context of three-dimensional shape-cylinder</v>
      </c>
      <c r="K194" s="10" t="str">
        <f t="shared" si="1"/>
        <v>LU000253.002</v>
      </c>
      <c r="L194" s="10" t="str">
        <f ca="1">IFERROR(__xludf.DUMMYFUNCTION("VLOOKUP(K194, IMPORTRANGE(""https://docs.google.com/spreadsheets/d/1yDAaXNsi4Mr5FtRQL4tbmSdIzhx6_m4wkOD7IG-k_eo/edit#gid=0"", ""Maths!M:N""), 2, FALSE)"),"Identify and count the number of face, and edge of three-dimensional shape-cylinder")</f>
        <v>Identify and count the number of face, and edge of three-dimensional shape-cylinder</v>
      </c>
      <c r="M194" s="10" t="str">
        <f t="shared" si="2"/>
        <v>LU000253.003</v>
      </c>
      <c r="N194" s="10" t="str">
        <f ca="1">IFERROR(__xludf.DUMMYFUNCTION("VLOOKUP(M194, IMPORTRANGE(""https://docs.google.com/spreadsheets/d/1yDAaXNsi4Mr5FtRQL4tbmSdIzhx6_m4wkOD7IG-k_eo/edit#gid=0"", ""Maths!M:N""), 2, FALSE)"),"Demonstrate the ability to distinguish a cone from other three-dimensional shapes based on its faces, edges and vertices.")</f>
        <v>Demonstrate the ability to distinguish a cone from other three-dimensional shapes based on its faces, edges and vertices.</v>
      </c>
      <c r="O194" s="10" t="str">
        <f t="shared" si="3"/>
        <v>LU000253.004</v>
      </c>
      <c r="P194" s="10" t="str">
        <f ca="1">IFERROR(__xludf.DUMMYFUNCTION("VLOOKUP(O194, IMPORTRANGE(""https://docs.google.com/spreadsheets/d/1yDAaXNsi4Mr5FtRQL4tbmSdIzhx6_m4wkOD7IG-k_eo/edit#gid=0"", ""Maths!M:N""), 2, FALSE)"),"Analyze the unique characteristics of the cylinder, including their edgelessness and base properties.")</f>
        <v>Analyze the unique characteristics of the cylinder, including their edgelessness and base properties.</v>
      </c>
      <c r="Q194" s="10" t="str">
        <f t="shared" si="4"/>
        <v>LU000253.005</v>
      </c>
      <c r="R194" s="10" t="str">
        <f ca="1">IFERROR(__xludf.DUMMYFUNCTION("VLOOKUP(Q194, IMPORTRANGE(""https://docs.google.com/spreadsheets/d/1yDAaXNsi4Mr5FtRQL4tbmSdIzhx6_m4wkOD7IG-k_eo/edit#gid=0"", ""Maths!M:N""), 2, FALSE)"),"Evaluate the appropriateness of using specific three-dimensional shape-cylinder for different applications or scenarios.")</f>
        <v>Evaluate the appropriateness of using specific three-dimensional shape-cylinder for different applications or scenarios.</v>
      </c>
      <c r="S194" s="10" t="str">
        <f t="shared" si="5"/>
        <v>LU000253.006</v>
      </c>
      <c r="T194" s="10" t="str">
        <f ca="1">IFERROR(__xludf.DUMMYFUNCTION("VLOOKUP(S194, IMPORTRANGE(""https://docs.google.com/spreadsheets/d/1yDAaXNsi4Mr5FtRQL4tbmSdIzhx6_m4wkOD7IG-k_eo/edit#gid=0"", ""Maths!M:N""), 2, FALSE)"),"Create visual representations or models of three-dimensional shape-cylinder")</f>
        <v>Create visual representations or models of three-dimensional shape-cylinder</v>
      </c>
      <c r="U194" s="11">
        <f ca="1">IFERROR(__xludf.DUMMYFUNCTION("ArrayFormula(VLOOKUP(G194, IMPORTRANGE(""https://docs.google.com/spreadsheets/d/1p7R4vtkWt5VOBim4ltsDG9KTzSjrtKXsMtQGXPHyND0/edit#gid=795171502"", ""'Filter 30_05_2024'!A1:M2000""), {2, 3, 4, 5,6,7,8,9,10,11,12,13}, 0))"),4)</f>
        <v>4</v>
      </c>
      <c r="V194" s="11">
        <f ca="1">IFERROR(__xludf.DUMMYFUNCTION("""COMPUTED_VALUE"""),6)</f>
        <v>6</v>
      </c>
      <c r="W194" s="11">
        <f ca="1">IFERROR(__xludf.DUMMYFUNCTION("""COMPUTED_VALUE"""),2)</f>
        <v>2</v>
      </c>
      <c r="X194" s="11">
        <f ca="1">IFERROR(__xludf.DUMMYFUNCTION("""COMPUTED_VALUE"""),12)</f>
        <v>12</v>
      </c>
      <c r="Y194" s="11">
        <f ca="1">IFERROR(__xludf.DUMMYFUNCTION("""COMPUTED_VALUE"""),4)</f>
        <v>4</v>
      </c>
      <c r="Z194" s="12">
        <f ca="1">IFERROR(__xludf.DUMMYFUNCTION("""COMPUTED_VALUE"""),3)</f>
        <v>3</v>
      </c>
      <c r="AA194" s="12">
        <f ca="1">IFERROR(__xludf.DUMMYFUNCTION("""COMPUTED_VALUE"""),1)</f>
        <v>1</v>
      </c>
      <c r="AB194" s="12">
        <f ca="1">IFERROR(__xludf.DUMMYFUNCTION("""COMPUTED_VALUE"""),8)</f>
        <v>8</v>
      </c>
      <c r="AC194" s="12"/>
      <c r="AD194" s="12"/>
      <c r="AE194" s="12"/>
      <c r="AF194" s="12"/>
      <c r="AG194" s="13" t="str">
        <f ca="1">IFERROR(__xludf.DUMMYFUNCTION("ArrayFormula(VLOOKUP(G194, IMPORTRANGE(""https://docs.google.com/spreadsheets/d/1Co934fvtviyaRiMsrIlT05Jaq7iiYq07aLvRr35KA48/edit?gid=173865642#gid=173865642"", ""'G7_Maths_Pri_LU'!G2:V2000""), {3, 4, 5, 6, 7, 8, 9, 10, 11, 12, 13, 14, 15, 16}, 0))"),"")</f>
        <v/>
      </c>
      <c r="AH194" s="13"/>
      <c r="AI194" s="13"/>
      <c r="AJ194" s="13"/>
      <c r="AK194" s="13"/>
      <c r="AL194" s="13"/>
      <c r="AM194" s="13"/>
      <c r="AN194" s="13"/>
      <c r="AO194" s="13"/>
      <c r="AP194" s="13"/>
      <c r="AQ194" s="13"/>
      <c r="AR194" s="13"/>
      <c r="AS194" s="13"/>
      <c r="AT194" s="13"/>
    </row>
    <row r="195" spans="1:46">
      <c r="A195" s="8" t="s">
        <v>247</v>
      </c>
      <c r="B195" s="8" t="s">
        <v>47</v>
      </c>
      <c r="C195" s="8" t="s">
        <v>416</v>
      </c>
      <c r="D195" s="8" t="s">
        <v>49</v>
      </c>
      <c r="E195" s="8" t="s">
        <v>688</v>
      </c>
      <c r="F195" s="8" t="s">
        <v>700</v>
      </c>
      <c r="G195" s="8" t="s">
        <v>701</v>
      </c>
      <c r="H195" s="8" t="str">
        <f ca="1">IFERROR(__xludf.DUMMYFUNCTION("VLOOKUP(G195, IMPORTRANGE(""https://docs.google.com/spreadsheets/d/14deopnvwcrKtEGCKuYXdUHJbeLDZlkiSSWWT0g7x2pM/edit#gid=999382323"", ""LU List Maths (Filter)!A:B""), 2, FALSE)"),"Lexical explanation of three dimensional shapes-pyramids")</f>
        <v>Lexical explanation of three dimensional shapes-pyramids</v>
      </c>
      <c r="I195" s="10" t="str">
        <f t="shared" si="0"/>
        <v>LU000256.001</v>
      </c>
      <c r="J195" s="10" t="str">
        <f ca="1">IFERROR(__xludf.DUMMYFUNCTION("VLOOKUP(I195, IMPORTRANGE(""https://docs.google.com/spreadsheets/d/1yDAaXNsi4Mr5FtRQL4tbmSdIzhx6_m4wkOD7IG-k_eo/edit#gid=0"", ""Maths!M:N""), 2, FALSE)"),"Define the terms face, edge, and vertex in the context of three-dimensional shape-pyramid")</f>
        <v>Define the terms face, edge, and vertex in the context of three-dimensional shape-pyramid</v>
      </c>
      <c r="K195" s="10" t="str">
        <f t="shared" si="1"/>
        <v>LU000256.002</v>
      </c>
      <c r="L195" s="10" t="str">
        <f ca="1">IFERROR(__xludf.DUMMYFUNCTION("VLOOKUP(K195, IMPORTRANGE(""https://docs.google.com/spreadsheets/d/1yDAaXNsi4Mr5FtRQL4tbmSdIzhx6_m4wkOD7IG-k_eo/edit#gid=0"", ""Maths!M:N""), 2, FALSE)"),"Identify and count the number of faces, edges, and vertices of three-dimensional shape-pyramid")</f>
        <v>Identify and count the number of faces, edges, and vertices of three-dimensional shape-pyramid</v>
      </c>
      <c r="M195" s="10" t="str">
        <f t="shared" si="2"/>
        <v>LU000256.003</v>
      </c>
      <c r="N195" s="10" t="str">
        <f ca="1">IFERROR(__xludf.DUMMYFUNCTION("VLOOKUP(M195, IMPORTRANGE(""https://docs.google.com/spreadsheets/d/1yDAaXNsi4Mr5FtRQL4tbmSdIzhx6_m4wkOD7IG-k_eo/edit#gid=0"", ""Maths!M:N""), 2, FALSE)"),"Demonstrate the ability to distinguish a pyramid from other three-dimensional shapes based on its faces, edges and vertices.")</f>
        <v>Demonstrate the ability to distinguish a pyramid from other three-dimensional shapes based on its faces, edges and vertices.</v>
      </c>
      <c r="O195" s="10" t="str">
        <f t="shared" si="3"/>
        <v>LU000256.004</v>
      </c>
      <c r="P195" s="10" t="str">
        <f ca="1">IFERROR(__xludf.DUMMYFUNCTION("VLOOKUP(O195, IMPORTRANGE(""https://docs.google.com/spreadsheets/d/1yDAaXNsi4Mr5FtRQL4tbmSdIzhx6_m4wkOD7IG-k_eo/edit#gid=0"", ""Maths!M:N""), 2, FALSE)"),"Analyze the unique characteristics of the pyramid, including their edgelessness and base properties.")</f>
        <v>Analyze the unique characteristics of the pyramid, including their edgelessness and base properties.</v>
      </c>
      <c r="Q195" s="10" t="str">
        <f t="shared" si="4"/>
        <v>LU000256.005</v>
      </c>
      <c r="R195" s="10" t="str">
        <f ca="1">IFERROR(__xludf.DUMMYFUNCTION("VLOOKUP(Q195, IMPORTRANGE(""https://docs.google.com/spreadsheets/d/1yDAaXNsi4Mr5FtRQL4tbmSdIzhx6_m4wkOD7IG-k_eo/edit#gid=0"", ""Maths!M:N""), 2, FALSE)"),"Evaluate the appropriateness of using specific three-dimensional shape-pyramid for different applications or scenarios.")</f>
        <v>Evaluate the appropriateness of using specific three-dimensional shape-pyramid for different applications or scenarios.</v>
      </c>
      <c r="S195" s="10" t="str">
        <f t="shared" si="5"/>
        <v>LU000256.006</v>
      </c>
      <c r="T195" s="10" t="str">
        <f ca="1">IFERROR(__xludf.DUMMYFUNCTION("VLOOKUP(S195, IMPORTRANGE(""https://docs.google.com/spreadsheets/d/1yDAaXNsi4Mr5FtRQL4tbmSdIzhx6_m4wkOD7IG-k_eo/edit#gid=0"", ""Maths!M:N""), 2, FALSE)"),"Create visual representations or models of three-dimensional shape-pyramid")</f>
        <v>Create visual representations or models of three-dimensional shape-pyramid</v>
      </c>
      <c r="U195" s="11">
        <f ca="1">IFERROR(__xludf.DUMMYFUNCTION("ArrayFormula(VLOOKUP(G195, IMPORTRANGE(""https://docs.google.com/spreadsheets/d/1p7R4vtkWt5VOBim4ltsDG9KTzSjrtKXsMtQGXPHyND0/edit#gid=795171502"", ""'Filter 30_05_2024'!A1:M2000""), {2, 3, 4, 5,6,7,8,9,10,11,12,13}, 0))"),4)</f>
        <v>4</v>
      </c>
      <c r="V195" s="11">
        <f ca="1">IFERROR(__xludf.DUMMYFUNCTION("""COMPUTED_VALUE"""),6)</f>
        <v>6</v>
      </c>
      <c r="W195" s="11">
        <f ca="1">IFERROR(__xludf.DUMMYFUNCTION("""COMPUTED_VALUE"""),2)</f>
        <v>2</v>
      </c>
      <c r="X195" s="11">
        <f ca="1">IFERROR(__xludf.DUMMYFUNCTION("""COMPUTED_VALUE"""),12)</f>
        <v>12</v>
      </c>
      <c r="Y195" s="11">
        <f ca="1">IFERROR(__xludf.DUMMYFUNCTION("""COMPUTED_VALUE"""),4)</f>
        <v>4</v>
      </c>
      <c r="Z195" s="12">
        <f ca="1">IFERROR(__xludf.DUMMYFUNCTION("""COMPUTED_VALUE"""),3)</f>
        <v>3</v>
      </c>
      <c r="AA195" s="12">
        <f ca="1">IFERROR(__xludf.DUMMYFUNCTION("""COMPUTED_VALUE"""),1)</f>
        <v>1</v>
      </c>
      <c r="AB195" s="12">
        <f ca="1">IFERROR(__xludf.DUMMYFUNCTION("""COMPUTED_VALUE"""),8)</f>
        <v>8</v>
      </c>
      <c r="AC195" s="12"/>
      <c r="AD195" s="12"/>
      <c r="AE195" s="12"/>
      <c r="AF195" s="12"/>
      <c r="AG195" s="13" t="str">
        <f ca="1">IFERROR(__xludf.DUMMYFUNCTION("ArrayFormula(VLOOKUP(G195, IMPORTRANGE(""https://docs.google.com/spreadsheets/d/1Co934fvtviyaRiMsrIlT05Jaq7iiYq07aLvRr35KA48/edit?gid=173865642#gid=173865642"", ""'G7_Maths_Pri_LU'!G2:V2000""), {3, 4, 5, 6, 7, 8, 9, 10, 11, 12, 13, 14, 15, 16}, 0))"),"")</f>
        <v/>
      </c>
      <c r="AH195" s="13"/>
      <c r="AI195" s="13"/>
      <c r="AJ195" s="13"/>
      <c r="AK195" s="13"/>
      <c r="AL195" s="13"/>
      <c r="AM195" s="13"/>
      <c r="AN195" s="13"/>
      <c r="AO195" s="13"/>
      <c r="AP195" s="13"/>
      <c r="AQ195" s="13"/>
      <c r="AR195" s="13"/>
      <c r="AS195" s="13"/>
      <c r="AT195" s="13"/>
    </row>
    <row r="196" spans="1:46">
      <c r="A196" s="8" t="s">
        <v>247</v>
      </c>
      <c r="B196" s="8" t="s">
        <v>47</v>
      </c>
      <c r="C196" s="8" t="s">
        <v>416</v>
      </c>
      <c r="D196" s="8" t="s">
        <v>49</v>
      </c>
      <c r="E196" s="8" t="s">
        <v>688</v>
      </c>
      <c r="F196" s="8" t="s">
        <v>700</v>
      </c>
      <c r="G196" s="8" t="s">
        <v>702</v>
      </c>
      <c r="H196" s="8" t="str">
        <f ca="1">IFERROR(__xludf.DUMMYFUNCTION("VLOOKUP(G196, IMPORTRANGE(""https://docs.google.com/spreadsheets/d/14deopnvwcrKtEGCKuYXdUHJbeLDZlkiSSWWT0g7x2pM/edit#gid=999382323"", ""LU List Maths (Filter)!A:B""), 2, FALSE)"),"Lexical explanation of composite three dimensional shapes (made of cube/cuboids/spheres/cylinders/cones/prisms/triangular pyramids/square pyramids)")</f>
        <v>Lexical explanation of composite three dimensional shapes (made of cube/cuboids/spheres/cylinders/cones/prisms/triangular pyramids/square pyramids)</v>
      </c>
      <c r="I196" s="10" t="str">
        <f t="shared" si="0"/>
        <v>LU000555.001</v>
      </c>
      <c r="J196" s="10" t="str">
        <f ca="1">IFERROR(__xludf.DUMMYFUNCTION("VLOOKUP(I196, IMPORTRANGE(""https://docs.google.com/spreadsheets/d/1yDAaXNsi4Mr5FtRQL4tbmSdIzhx6_m4wkOD7IG-k_eo/edit#gid=0"", ""Maths!M:N""), 2, FALSE)"),"State that composite 3D shapes are formed by combining multiple fundamental shapes (like cubes, spheres, cylinders, cones, prisms, triangular pyramids, and square pyramids).")</f>
        <v>State that composite 3D shapes are formed by combining multiple fundamental shapes (like cubes, spheres, cylinders, cones, prisms, triangular pyramids, and square pyramids).</v>
      </c>
      <c r="K196" s="10" t="str">
        <f t="shared" si="1"/>
        <v>LU000555.002</v>
      </c>
      <c r="L196" s="10" t="str">
        <f ca="1">IFERROR(__xludf.DUMMYFUNCTION("VLOOKUP(K196, IMPORTRANGE(""https://docs.google.com/spreadsheets/d/1yDAaXNsi4Mr5FtRQL4tbmSdIzhx6_m4wkOD7IG-k_eo/edit#gid=0"", ""Maths!M:N""), 2, FALSE)"),"Describe how composite 3D shapes are created by integrating multiple individual 3D shapes together, providing structural details.")</f>
        <v>Describe how composite 3D shapes are created by integrating multiple individual 3D shapes together, providing structural details.</v>
      </c>
      <c r="M196" s="10" t="str">
        <f t="shared" si="2"/>
        <v>LU000555.003</v>
      </c>
      <c r="N196" s="10" t="str">
        <f ca="1">IFERROR(__xludf.DUMMYFUNCTION("VLOOKUP(M196, IMPORTRANGE(""https://docs.google.com/spreadsheets/d/1yDAaXNsi4Mr5FtRQL4tbmSdIzhx6_m4wkOD7IG-k_eo/edit#gid=0"", ""Maths!M:N""), 2, FALSE)"),"Apply knowledge of composite solid shapes to identify faces, edges and vertices of composite 3D shape formed by combining various simpler shapes.")</f>
        <v>Apply knowledge of composite solid shapes to identify faces, edges and vertices of composite 3D shape formed by combining various simpler shapes.</v>
      </c>
      <c r="O196" s="10" t="str">
        <f t="shared" si="3"/>
        <v>LU000555.004</v>
      </c>
      <c r="P196" s="10" t="str">
        <f ca="1">IFERROR(__xludf.DUMMYFUNCTION("VLOOKUP(O196, IMPORTRANGE(""https://docs.google.com/spreadsheets/d/1yDAaXNsi4Mr5FtRQL4tbmSdIzhx6_m4wkOD7IG-k_eo/edit#gid=0"", ""Maths!M:N""), 2, FALSE)"),"Analyse complex composite 3D shapes to deconstruct them into their constituent components and explain their arrangement.")</f>
        <v>Analyse complex composite 3D shapes to deconstruct them into their constituent components and explain their arrangement.</v>
      </c>
      <c r="Q196" s="10" t="str">
        <f t="shared" si="4"/>
        <v>LU000555.005</v>
      </c>
      <c r="R196" s="10" t="str">
        <f ca="1">IFERROR(__xludf.DUMMYFUNCTION("VLOOKUP(Q196, IMPORTRANGE(""https://docs.google.com/spreadsheets/d/1yDAaXNsi4Mr5FtRQL4tbmSdIzhx6_m4wkOD7IG-k_eo/edit#gid=0"", ""Maths!M:N""), 2, FALSE)"),"Evaluate the practical significance of understanding composite 3D shapes in real-world contexts.")</f>
        <v>Evaluate the practical significance of understanding composite 3D shapes in real-world contexts.</v>
      </c>
      <c r="S196" s="10" t="str">
        <f t="shared" si="5"/>
        <v>LU000555.006</v>
      </c>
      <c r="T196" s="10" t="str">
        <f ca="1">IFERROR(__xludf.DUMMYFUNCTION("VLOOKUP(S196, IMPORTRANGE(""https://docs.google.com/spreadsheets/d/1yDAaXNsi4Mr5FtRQL4tbmSdIzhx6_m4wkOD7IG-k_eo/edit#gid=0"", ""Maths!M:N""), 2, FALSE)"),"Generate a comprehensive written explanation of a composite 3D shape, showcasing clear lexical skills.")</f>
        <v>Generate a comprehensive written explanation of a composite 3D shape, showcasing clear lexical skills.</v>
      </c>
      <c r="U196" s="11">
        <f ca="1">IFERROR(__xludf.DUMMYFUNCTION("ArrayFormula(VLOOKUP(G196, IMPORTRANGE(""https://docs.google.com/spreadsheets/d/1p7R4vtkWt5VOBim4ltsDG9KTzSjrtKXsMtQGXPHyND0/edit#gid=795171502"", ""'Filter 30_05_2024'!A1:M2000""), {2, 3, 4, 5,6,7,8,9,10,11,12,13}, 0))"),7)</f>
        <v>7</v>
      </c>
      <c r="V196" s="11">
        <f ca="1">IFERROR(__xludf.DUMMYFUNCTION("""COMPUTED_VALUE"""),4)</f>
        <v>4</v>
      </c>
      <c r="W196" s="11">
        <f ca="1">IFERROR(__xludf.DUMMYFUNCTION("""COMPUTED_VALUE"""),2)</f>
        <v>2</v>
      </c>
      <c r="X196" s="11">
        <f ca="1">IFERROR(__xludf.DUMMYFUNCTION("""COMPUTED_VALUE"""),13)</f>
        <v>13</v>
      </c>
      <c r="Y196" s="11">
        <f ca="1">IFERROR(__xludf.DUMMYFUNCTION("""COMPUTED_VALUE"""),4)</f>
        <v>4</v>
      </c>
      <c r="Z196" s="12">
        <f ca="1">IFERROR(__xludf.DUMMYFUNCTION("""COMPUTED_VALUE"""),3)</f>
        <v>3</v>
      </c>
      <c r="AA196" s="12">
        <f ca="1">IFERROR(__xludf.DUMMYFUNCTION("""COMPUTED_VALUE"""),1)</f>
        <v>1</v>
      </c>
      <c r="AB196" s="12">
        <f ca="1">IFERROR(__xludf.DUMMYFUNCTION("""COMPUTED_VALUE"""),8)</f>
        <v>8</v>
      </c>
      <c r="AC196" s="12"/>
      <c r="AD196" s="12"/>
      <c r="AE196" s="12"/>
      <c r="AF196" s="12"/>
      <c r="AG196" s="13" t="str">
        <f ca="1">IFERROR(__xludf.DUMMYFUNCTION("ArrayFormula(VLOOKUP(G196, IMPORTRANGE(""https://docs.google.com/spreadsheets/d/1Co934fvtviyaRiMsrIlT05Jaq7iiYq07aLvRr35KA48/edit?gid=173865642#gid=173865642"", ""'G7_Maths_Pri_LU'!G2:V2000""), {3, 4, 5, 6, 7, 8, 9, 10, 11, 12, 13, 14, 15, 16}, 0))"),"LU000249")</f>
        <v>LU000249</v>
      </c>
      <c r="AH196" s="13" t="str">
        <f ca="1">IFERROR(__xludf.DUMMYFUNCTION("""COMPUTED_VALUE"""),"Lexical explanation of three dimensional shapes-Cube")</f>
        <v>Lexical explanation of three dimensional shapes-Cube</v>
      </c>
      <c r="AI196" s="13" t="str">
        <f ca="1">IFERROR(__xludf.DUMMYFUNCTION("""COMPUTED_VALUE"""),"LU000251")</f>
        <v>LU000251</v>
      </c>
      <c r="AJ196" s="13" t="str">
        <f ca="1">IFERROR(__xludf.DUMMYFUNCTION("""COMPUTED_VALUE"""),"Lexical explanation of three dimensional shapes-cuboids")</f>
        <v>Lexical explanation of three dimensional shapes-cuboids</v>
      </c>
      <c r="AK196" s="13" t="str">
        <f ca="1">IFERROR(__xludf.DUMMYFUNCTION("""COMPUTED_VALUE"""),"LU000255")</f>
        <v>LU000255</v>
      </c>
      <c r="AL196" s="13" t="str">
        <f ca="1">IFERROR(__xludf.DUMMYFUNCTION("""COMPUTED_VALUE"""),"Lexical explanation of three dimensional shapes-prisms")</f>
        <v>Lexical explanation of three dimensional shapes-prisms</v>
      </c>
      <c r="AM196" s="13" t="str">
        <f ca="1">IFERROR(__xludf.DUMMYFUNCTION("""COMPUTED_VALUE"""),"LU000252")</f>
        <v>LU000252</v>
      </c>
      <c r="AN196" s="13" t="str">
        <f ca="1">IFERROR(__xludf.DUMMYFUNCTION("""COMPUTED_VALUE"""),"Lexical explanation of three dimensional shapes-spheres")</f>
        <v>Lexical explanation of three dimensional shapes-spheres</v>
      </c>
      <c r="AO196" s="13" t="str">
        <f ca="1">IFERROR(__xludf.DUMMYFUNCTION("""COMPUTED_VALUE"""),"LU000253")</f>
        <v>LU000253</v>
      </c>
      <c r="AP196" s="13" t="str">
        <f ca="1">IFERROR(__xludf.DUMMYFUNCTION("""COMPUTED_VALUE"""),"Lexical explanation of three dimensional shapes-cylinders")</f>
        <v>Lexical explanation of three dimensional shapes-cylinders</v>
      </c>
      <c r="AQ196" s="13" t="str">
        <f ca="1">IFERROR(__xludf.DUMMYFUNCTION("""COMPUTED_VALUE"""),"LU000254")</f>
        <v>LU000254</v>
      </c>
      <c r="AR196" s="13" t="str">
        <f ca="1">IFERROR(__xludf.DUMMYFUNCTION("""COMPUTED_VALUE"""),"Lexical explanation of three dimensional shapes-cones")</f>
        <v>Lexical explanation of three dimensional shapes-cones</v>
      </c>
      <c r="AS196" s="13" t="str">
        <f ca="1">IFERROR(__xludf.DUMMYFUNCTION("""COMPUTED_VALUE"""),"LU000078")</f>
        <v>LU000078</v>
      </c>
      <c r="AT196" s="13" t="str">
        <f ca="1">IFERROR(__xludf.DUMMYFUNCTION("""COMPUTED_VALUE"""),"Definition of 3D shapes")</f>
        <v>Definition of 3D shapes</v>
      </c>
    </row>
    <row r="197" spans="1:46">
      <c r="A197" s="8" t="s">
        <v>247</v>
      </c>
      <c r="B197" s="8" t="s">
        <v>47</v>
      </c>
      <c r="C197" s="8" t="s">
        <v>416</v>
      </c>
      <c r="D197" s="8" t="s">
        <v>49</v>
      </c>
      <c r="E197" s="8" t="s">
        <v>688</v>
      </c>
      <c r="F197" s="8" t="s">
        <v>703</v>
      </c>
      <c r="G197" s="8" t="s">
        <v>704</v>
      </c>
      <c r="H197" s="8" t="str">
        <f ca="1">IFERROR(__xludf.DUMMYFUNCTION("VLOOKUP(G197, IMPORTRANGE(""https://docs.google.com/spreadsheets/d/14deopnvwcrKtEGCKuYXdUHJbeLDZlkiSSWWT0g7x2pM/edit#gid=999382323"", ""LU List Maths (Filter)!A:B""), 2, FALSE)"),"2D representation (drawing of the nets) of a cube")</f>
        <v>2D representation (drawing of the nets) of a cube</v>
      </c>
      <c r="I197" s="10" t="str">
        <f t="shared" si="0"/>
        <v>LU000080.001</v>
      </c>
      <c r="J197" s="10" t="str">
        <f ca="1">IFERROR(__xludf.DUMMYFUNCTION("VLOOKUP(I197, IMPORTRANGE(""https://docs.google.com/spreadsheets/d/1yDAaXNsi4Mr5FtRQL4tbmSdIzhx6_m4wkOD7IG-k_eo/edit#gid=0"", ""Maths!M:N""), 2, FALSE)"),"Remember the steps involved in drawing a net for a cube.")</f>
        <v>Remember the steps involved in drawing a net for a cube.</v>
      </c>
      <c r="K197" s="10" t="str">
        <f t="shared" si="1"/>
        <v>LU000080.002</v>
      </c>
      <c r="L197" s="10" t="str">
        <f ca="1">IFERROR(__xludf.DUMMYFUNCTION("VLOOKUP(K197, IMPORTRANGE(""https://docs.google.com/spreadsheets/d/1yDAaXNsi4Mr5FtRQL4tbmSdIzhx6_m4wkOD7IG-k_eo/edit#gid=0"", ""Maths!M:N""), 2, FALSE)"),"Understand the concept of representing a cube through its net.")</f>
        <v>Understand the concept of representing a cube through its net.</v>
      </c>
      <c r="M197" s="10" t="str">
        <f t="shared" si="2"/>
        <v>LU000080.003</v>
      </c>
      <c r="N197" s="10" t="str">
        <f ca="1">IFERROR(__xludf.DUMMYFUNCTION("VLOOKUP(M197, IMPORTRANGE(""https://docs.google.com/spreadsheets/d/1yDAaXNsi4Mr5FtRQL4tbmSdIzhx6_m4wkOD7IG-k_eo/edit#gid=0"", ""Maths!M:N""), 2, FALSE)"),"Apply your knowledge to identify the correct net of a cube among options.")</f>
        <v>Apply your knowledge to identify the correct net of a cube among options.</v>
      </c>
      <c r="O197" s="10" t="str">
        <f t="shared" si="3"/>
        <v>LU000080.004</v>
      </c>
      <c r="P197" s="10" t="str">
        <f ca="1">IFERROR(__xludf.DUMMYFUNCTION("VLOOKUP(O197, IMPORTRANGE(""https://docs.google.com/spreadsheets/d/1yDAaXNsi4Mr5FtRQL4tbmSdIzhx6_m4wkOD7IG-k_eo/edit#gid=0"", ""Maths!M:N""), 2, FALSE)"),"Analyse and differentiate between various nets to select the one that forms a cube when folded.")</f>
        <v>Analyse and differentiate between various nets to select the one that forms a cube when folded.</v>
      </c>
      <c r="Q197" s="10" t="str">
        <f t="shared" si="4"/>
        <v>LU000080.005</v>
      </c>
      <c r="R197" s="10" t="str">
        <f ca="1">IFERROR(__xludf.DUMMYFUNCTION("VLOOKUP(Q197, IMPORTRANGE(""https://docs.google.com/spreadsheets/d/1yDAaXNsi4Mr5FtRQL4tbmSdIzhx6_m4wkOD7IG-k_eo/edit#gid=0"", ""Maths!M:N""), 2, FALSE)"),"Evaluate the effectiveness of your chosen net in representing a cube accurately.")</f>
        <v>Evaluate the effectiveness of your chosen net in representing a cube accurately.</v>
      </c>
      <c r="S197" s="10" t="str">
        <f t="shared" si="5"/>
        <v>LU000080.006</v>
      </c>
      <c r="T197" s="10" t="str">
        <f ca="1">IFERROR(__xludf.DUMMYFUNCTION("VLOOKUP(S197, IMPORTRANGE(""https://docs.google.com/spreadsheets/d/1yDAaXNsi4Mr5FtRQL4tbmSdIzhx6_m4wkOD7IG-k_eo/edit#gid=0"", ""Maths!M:N""), 2, FALSE)"),"Design your own nets for cubes, showcasing your ability to represent three-dimensional objects accurately in two dimensions.")</f>
        <v>Design your own nets for cubes, showcasing your ability to represent three-dimensional objects accurately in two dimensions.</v>
      </c>
      <c r="U197" s="11">
        <f ca="1">IFERROR(__xludf.DUMMYFUNCTION("ArrayFormula(VLOOKUP(G197, IMPORTRANGE(""https://docs.google.com/spreadsheets/d/1p7R4vtkWt5VOBim4ltsDG9KTzSjrtKXsMtQGXPHyND0/edit#gid=795171502"", ""'Filter 30_05_2024'!A1:M2000""), {2, 3, 4, 5,6,7,8,9,10,11,12,13}, 0))"),4)</f>
        <v>4</v>
      </c>
      <c r="V197" s="11">
        <f ca="1">IFERROR(__xludf.DUMMYFUNCTION("""COMPUTED_VALUE"""),2)</f>
        <v>2</v>
      </c>
      <c r="W197" s="11">
        <f ca="1">IFERROR(__xludf.DUMMYFUNCTION("""COMPUTED_VALUE"""),2)</f>
        <v>2</v>
      </c>
      <c r="X197" s="11">
        <f ca="1">IFERROR(__xludf.DUMMYFUNCTION("""COMPUTED_VALUE"""),8)</f>
        <v>8</v>
      </c>
      <c r="Y197" s="11">
        <f ca="1">IFERROR(__xludf.DUMMYFUNCTION("""COMPUTED_VALUE"""),4)</f>
        <v>4</v>
      </c>
      <c r="Z197" s="12">
        <f ca="1">IFERROR(__xludf.DUMMYFUNCTION("""COMPUTED_VALUE"""),7)</f>
        <v>7</v>
      </c>
      <c r="AA197" s="12">
        <f ca="1">IFERROR(__xludf.DUMMYFUNCTION("""COMPUTED_VALUE"""),2)</f>
        <v>2</v>
      </c>
      <c r="AB197" s="12">
        <f ca="1">IFERROR(__xludf.DUMMYFUNCTION("""COMPUTED_VALUE"""),13)</f>
        <v>13</v>
      </c>
      <c r="AC197" s="12"/>
      <c r="AD197" s="12"/>
      <c r="AE197" s="12"/>
      <c r="AF197" s="12"/>
      <c r="AG197" s="13" t="str">
        <f ca="1">IFERROR(__xludf.DUMMYFUNCTION("ArrayFormula(VLOOKUP(G197, IMPORTRANGE(""https://docs.google.com/spreadsheets/d/1Co934fvtviyaRiMsrIlT05Jaq7iiYq07aLvRr35KA48/edit?gid=173865642#gid=173865642"", ""'G7_Maths_Pri_LU'!G2:V2000""), {3, 4, 5, 6, 7, 8, 9, 10, 11, 12, 13, 14, 15, 16}, 0))"),"LU000249")</f>
        <v>LU000249</v>
      </c>
      <c r="AH197" s="13" t="str">
        <f ca="1">IFERROR(__xludf.DUMMYFUNCTION("""COMPUTED_VALUE"""),"Lexical explanation of three dimensional shapes-Cube")</f>
        <v>Lexical explanation of three dimensional shapes-Cube</v>
      </c>
      <c r="AI197" s="13" t="str">
        <f ca="1">IFERROR(__xludf.DUMMYFUNCTION("""COMPUTED_VALUE"""),"LU000598")</f>
        <v>LU000598</v>
      </c>
      <c r="AJ197" s="13" t="str">
        <f ca="1">IFERROR(__xludf.DUMMYFUNCTION("""COMPUTED_VALUE"""),"Definition of square")</f>
        <v>Definition of square</v>
      </c>
      <c r="AK197" s="13" t="str">
        <f ca="1">IFERROR(__xludf.DUMMYFUNCTION("""COMPUTED_VALUE"""),"LU000077")</f>
        <v>LU000077</v>
      </c>
      <c r="AL197" s="13" t="str">
        <f ca="1">IFERROR(__xludf.DUMMYFUNCTION("""COMPUTED_VALUE"""),"Lexical description of nets of solid shapes(cube, cuboid, prism, pyramid, cone, cylinder)")</f>
        <v>Lexical description of nets of solid shapes(cube, cuboid, prism, pyramid, cone, cylinder)</v>
      </c>
      <c r="AM197" s="13" t="str">
        <f ca="1">IFERROR(__xludf.DUMMYFUNCTION("""COMPUTED_VALUE"""),"LU000078")</f>
        <v>LU000078</v>
      </c>
      <c r="AN197" s="13" t="str">
        <f ca="1">IFERROR(__xludf.DUMMYFUNCTION("""COMPUTED_VALUE"""),"Definition of 3D shapes")</f>
        <v>Definition of 3D shapes</v>
      </c>
      <c r="AO197" s="13" t="str">
        <f ca="1">IFERROR(__xludf.DUMMYFUNCTION("""COMPUTED_VALUE"""),"LU000079")</f>
        <v>LU000079</v>
      </c>
      <c r="AP197" s="13" t="str">
        <f ca="1">IFERROR(__xludf.DUMMYFUNCTION("""COMPUTED_VALUE"""),"Definition of 2D shapes")</f>
        <v>Definition of 2D shapes</v>
      </c>
      <c r="AQ197" s="13"/>
      <c r="AR197" s="13"/>
      <c r="AS197" s="13"/>
      <c r="AT197" s="13"/>
    </row>
    <row r="198" spans="1:46">
      <c r="A198" s="8" t="s">
        <v>247</v>
      </c>
      <c r="B198" s="8" t="s">
        <v>47</v>
      </c>
      <c r="C198" s="8" t="s">
        <v>416</v>
      </c>
      <c r="D198" s="8" t="s">
        <v>49</v>
      </c>
      <c r="E198" s="8" t="s">
        <v>688</v>
      </c>
      <c r="F198" s="8" t="s">
        <v>703</v>
      </c>
      <c r="G198" s="8" t="s">
        <v>705</v>
      </c>
      <c r="H198" s="8" t="str">
        <f ca="1">IFERROR(__xludf.DUMMYFUNCTION("VLOOKUP(G198, IMPORTRANGE(""https://docs.google.com/spreadsheets/d/14deopnvwcrKtEGCKuYXdUHJbeLDZlkiSSWWT0g7x2pM/edit#gid=999382323"", ""LU List Maths (Filter)!A:B""), 2, FALSE)"),"2D representation (drawing of the nets) of a cuboid")</f>
        <v>2D representation (drawing of the nets) of a cuboid</v>
      </c>
      <c r="I198" s="10" t="str">
        <f t="shared" si="0"/>
        <v>LU000081.001</v>
      </c>
      <c r="J198" s="10" t="str">
        <f ca="1">IFERROR(__xludf.DUMMYFUNCTION("VLOOKUP(I198, IMPORTRANGE(""https://docs.google.com/spreadsheets/d/1yDAaXNsi4Mr5FtRQL4tbmSdIzhx6_m4wkOD7IG-k_eo/edit#gid=0"", ""Maths!M:N""), 2, FALSE)"),"Remember the steps involved in drawing a net for a cuboid.")</f>
        <v>Remember the steps involved in drawing a net for a cuboid.</v>
      </c>
      <c r="K198" s="10" t="str">
        <f t="shared" si="1"/>
        <v>LU000081.002</v>
      </c>
      <c r="L198" s="10" t="str">
        <f ca="1">IFERROR(__xludf.DUMMYFUNCTION("VLOOKUP(K198, IMPORTRANGE(""https://docs.google.com/spreadsheets/d/1yDAaXNsi4Mr5FtRQL4tbmSdIzhx6_m4wkOD7IG-k_eo/edit#gid=0"", ""Maths!M:N""), 2, FALSE)"),"Understand the concept of representing a cuboid through its net.")</f>
        <v>Understand the concept of representing a cuboid through its net.</v>
      </c>
      <c r="M198" s="10" t="str">
        <f t="shared" si="2"/>
        <v>LU000081.003</v>
      </c>
      <c r="N198" s="10" t="str">
        <f ca="1">IFERROR(__xludf.DUMMYFUNCTION("VLOOKUP(M198, IMPORTRANGE(""https://docs.google.com/spreadsheets/d/1yDAaXNsi4Mr5FtRQL4tbmSdIzhx6_m4wkOD7IG-k_eo/edit#gid=0"", ""Maths!M:N""), 2, FALSE)"),"Apply your knowledge to identify the correct net of a cuboid among options.")</f>
        <v>Apply your knowledge to identify the correct net of a cuboid among options.</v>
      </c>
      <c r="O198" s="10" t="str">
        <f t="shared" si="3"/>
        <v>LU000081.004</v>
      </c>
      <c r="P198" s="10" t="str">
        <f ca="1">IFERROR(__xludf.DUMMYFUNCTION("VLOOKUP(O198, IMPORTRANGE(""https://docs.google.com/spreadsheets/d/1yDAaXNsi4Mr5FtRQL4tbmSdIzhx6_m4wkOD7IG-k_eo/edit#gid=0"", ""Maths!M:N""), 2, FALSE)"),"Analyse and differentiate between various nets to select the one that forms a cuboid when folded.")</f>
        <v>Analyse and differentiate between various nets to select the one that forms a cuboid when folded.</v>
      </c>
      <c r="Q198" s="10" t="str">
        <f t="shared" si="4"/>
        <v>LU000081.005</v>
      </c>
      <c r="R198" s="10" t="str">
        <f ca="1">IFERROR(__xludf.DUMMYFUNCTION("VLOOKUP(Q198, IMPORTRANGE(""https://docs.google.com/spreadsheets/d/1yDAaXNsi4Mr5FtRQL4tbmSdIzhx6_m4wkOD7IG-k_eo/edit#gid=0"", ""Maths!M:N""), 2, FALSE)"),"Evaluate the effectiveness of your chosen net in representing a cuboid accurately.")</f>
        <v>Evaluate the effectiveness of your chosen net in representing a cuboid accurately.</v>
      </c>
      <c r="S198" s="10" t="str">
        <f t="shared" si="5"/>
        <v>LU000081.006</v>
      </c>
      <c r="T198" s="10" t="str">
        <f ca="1">IFERROR(__xludf.DUMMYFUNCTION("VLOOKUP(S198, IMPORTRANGE(""https://docs.google.com/spreadsheets/d/1yDAaXNsi4Mr5FtRQL4tbmSdIzhx6_m4wkOD7IG-k_eo/edit#gid=0"", ""Maths!M:N""), 2, FALSE)"),"Design your own nets for cuboids, showcasing your ability to represent three-dimensional objects accurately in two dimensions.")</f>
        <v>Design your own nets for cuboids, showcasing your ability to represent three-dimensional objects accurately in two dimensions.</v>
      </c>
      <c r="U198" s="11">
        <f ca="1">IFERROR(__xludf.DUMMYFUNCTION("ArrayFormula(VLOOKUP(G198, IMPORTRANGE(""https://docs.google.com/spreadsheets/d/1p7R4vtkWt5VOBim4ltsDG9KTzSjrtKXsMtQGXPHyND0/edit#gid=795171502"", ""'Filter 30_05_2024'!A1:M2000""), {2, 3, 4, 5,6,7,8,9,10,11,12,13}, 0))"),4)</f>
        <v>4</v>
      </c>
      <c r="V198" s="11">
        <f ca="1">IFERROR(__xludf.DUMMYFUNCTION("""COMPUTED_VALUE"""),4)</f>
        <v>4</v>
      </c>
      <c r="W198" s="11">
        <f ca="1">IFERROR(__xludf.DUMMYFUNCTION("""COMPUTED_VALUE"""),2)</f>
        <v>2</v>
      </c>
      <c r="X198" s="11">
        <f ca="1">IFERROR(__xludf.DUMMYFUNCTION("""COMPUTED_VALUE"""),10)</f>
        <v>10</v>
      </c>
      <c r="Y198" s="11">
        <f ca="1">IFERROR(__xludf.DUMMYFUNCTION("""COMPUTED_VALUE"""),4)</f>
        <v>4</v>
      </c>
      <c r="Z198" s="12">
        <f ca="1">IFERROR(__xludf.DUMMYFUNCTION("""COMPUTED_VALUE"""),5)</f>
        <v>5</v>
      </c>
      <c r="AA198" s="12">
        <f ca="1">IFERROR(__xludf.DUMMYFUNCTION("""COMPUTED_VALUE"""),1)</f>
        <v>1</v>
      </c>
      <c r="AB198" s="12">
        <f ca="1">IFERROR(__xludf.DUMMYFUNCTION("""COMPUTED_VALUE"""),10)</f>
        <v>10</v>
      </c>
      <c r="AC198" s="12"/>
      <c r="AD198" s="12"/>
      <c r="AE198" s="12"/>
      <c r="AF198" s="12"/>
      <c r="AG198" s="13" t="str">
        <f ca="1">IFERROR(__xludf.DUMMYFUNCTION("ArrayFormula(VLOOKUP(G198, IMPORTRANGE(""https://docs.google.com/spreadsheets/d/1Co934fvtviyaRiMsrIlT05Jaq7iiYq07aLvRr35KA48/edit?gid=173865642#gid=173865642"", ""'G7_Maths_Pri_LU'!G2:V2000""), {3, 4, 5, 6, 7, 8, 9, 10, 11, 12, 13, 14, 15, 16}, 0))"),"LU000251")</f>
        <v>LU000251</v>
      </c>
      <c r="AH198" s="13" t="str">
        <f ca="1">IFERROR(__xludf.DUMMYFUNCTION("""COMPUTED_VALUE"""),"Lexical explanation of three dimensional shapes-cuboids")</f>
        <v>Lexical explanation of three dimensional shapes-cuboids</v>
      </c>
      <c r="AI198" s="13" t="str">
        <f ca="1">IFERROR(__xludf.DUMMYFUNCTION("""COMPUTED_VALUE"""),"LU000597")</f>
        <v>LU000597</v>
      </c>
      <c r="AJ198" s="13" t="str">
        <f ca="1">IFERROR(__xludf.DUMMYFUNCTION("""COMPUTED_VALUE"""),"Definition of rectangle")</f>
        <v>Definition of rectangle</v>
      </c>
      <c r="AK198" s="13" t="str">
        <f ca="1">IFERROR(__xludf.DUMMYFUNCTION("""COMPUTED_VALUE"""),"LU000077")</f>
        <v>LU000077</v>
      </c>
      <c r="AL198" s="13" t="str">
        <f ca="1">IFERROR(__xludf.DUMMYFUNCTION("""COMPUTED_VALUE"""),"Lexical description of nets of solid shapes(cube, cuboid, prism, pyramid, cone, cylinder)")</f>
        <v>Lexical description of nets of solid shapes(cube, cuboid, prism, pyramid, cone, cylinder)</v>
      </c>
      <c r="AM198" s="13" t="str">
        <f ca="1">IFERROR(__xludf.DUMMYFUNCTION("""COMPUTED_VALUE"""),"LU000078")</f>
        <v>LU000078</v>
      </c>
      <c r="AN198" s="13" t="str">
        <f ca="1">IFERROR(__xludf.DUMMYFUNCTION("""COMPUTED_VALUE"""),"Definition of 3D shapes")</f>
        <v>Definition of 3D shapes</v>
      </c>
      <c r="AO198" s="13" t="str">
        <f ca="1">IFERROR(__xludf.DUMMYFUNCTION("""COMPUTED_VALUE"""),"LU000079")</f>
        <v>LU000079</v>
      </c>
      <c r="AP198" s="13" t="str">
        <f ca="1">IFERROR(__xludf.DUMMYFUNCTION("""COMPUTED_VALUE"""),"Definition of 2D shapes")</f>
        <v>Definition of 2D shapes</v>
      </c>
      <c r="AQ198" s="13"/>
      <c r="AR198" s="13"/>
      <c r="AS198" s="13"/>
      <c r="AT198" s="13"/>
    </row>
    <row r="199" spans="1:46">
      <c r="A199" s="8" t="s">
        <v>247</v>
      </c>
      <c r="B199" s="8" t="s">
        <v>47</v>
      </c>
      <c r="C199" s="8" t="s">
        <v>416</v>
      </c>
      <c r="D199" s="8" t="s">
        <v>49</v>
      </c>
      <c r="E199" s="8" t="s">
        <v>688</v>
      </c>
      <c r="F199" s="8" t="s">
        <v>703</v>
      </c>
      <c r="G199" s="8" t="s">
        <v>706</v>
      </c>
      <c r="H199" s="8" t="str">
        <f ca="1">IFERROR(__xludf.DUMMYFUNCTION("VLOOKUP(G199, IMPORTRANGE(""https://docs.google.com/spreadsheets/d/14deopnvwcrKtEGCKuYXdUHJbeLDZlkiSSWWT0g7x2pM/edit#gid=999382323"", ""LU List Maths (Filter)!A:B""), 2, FALSE)"),"2D representation (drawing of the nets) of a triangular prism")</f>
        <v>2D representation (drawing of the nets) of a triangular prism</v>
      </c>
      <c r="I199" s="10" t="str">
        <f t="shared" si="0"/>
        <v>LU000082.001</v>
      </c>
      <c r="J199" s="10" t="str">
        <f ca="1">IFERROR(__xludf.DUMMYFUNCTION("VLOOKUP(I199, IMPORTRANGE(""https://docs.google.com/spreadsheets/d/1yDAaXNsi4Mr5FtRQL4tbmSdIzhx6_m4wkOD7IG-k_eo/edit#gid=0"", ""Maths!M:N""), 2, FALSE)"),"Remember the steps involved in drawing a net for a triangular prism.")</f>
        <v>Remember the steps involved in drawing a net for a triangular prism.</v>
      </c>
      <c r="K199" s="10" t="str">
        <f t="shared" si="1"/>
        <v>LU000082.002</v>
      </c>
      <c r="L199" s="10" t="str">
        <f ca="1">IFERROR(__xludf.DUMMYFUNCTION("VLOOKUP(K199, IMPORTRANGE(""https://docs.google.com/spreadsheets/d/1yDAaXNsi4Mr5FtRQL4tbmSdIzhx6_m4wkOD7IG-k_eo/edit#gid=0"", ""Maths!M:N""), 2, FALSE)"),"Understand the concept of representing a triangular prism through its net.")</f>
        <v>Understand the concept of representing a triangular prism through its net.</v>
      </c>
      <c r="M199" s="10" t="str">
        <f t="shared" si="2"/>
        <v>LU000082.003</v>
      </c>
      <c r="N199" s="10" t="str">
        <f ca="1">IFERROR(__xludf.DUMMYFUNCTION("VLOOKUP(M199, IMPORTRANGE(""https://docs.google.com/spreadsheets/d/1yDAaXNsi4Mr5FtRQL4tbmSdIzhx6_m4wkOD7IG-k_eo/edit#gid=0"", ""Maths!M:N""), 2, FALSE)"),"Apply your knowledge to identify the correct net of a triangular prism among options.")</f>
        <v>Apply your knowledge to identify the correct net of a triangular prism among options.</v>
      </c>
      <c r="O199" s="10" t="str">
        <f t="shared" si="3"/>
        <v>LU000082.004</v>
      </c>
      <c r="P199" s="10" t="str">
        <f ca="1">IFERROR(__xludf.DUMMYFUNCTION("VLOOKUP(O199, IMPORTRANGE(""https://docs.google.com/spreadsheets/d/1yDAaXNsi4Mr5FtRQL4tbmSdIzhx6_m4wkOD7IG-k_eo/edit#gid=0"", ""Maths!M:N""), 2, FALSE)"),"Analyse and differentiate between various nets to select the one that forms a triangular prism when folded.")</f>
        <v>Analyse and differentiate between various nets to select the one that forms a triangular prism when folded.</v>
      </c>
      <c r="Q199" s="10" t="str">
        <f t="shared" si="4"/>
        <v>LU000082.005</v>
      </c>
      <c r="R199" s="10" t="str">
        <f ca="1">IFERROR(__xludf.DUMMYFUNCTION("VLOOKUP(Q199, IMPORTRANGE(""https://docs.google.com/spreadsheets/d/1yDAaXNsi4Mr5FtRQL4tbmSdIzhx6_m4wkOD7IG-k_eo/edit#gid=0"", ""Maths!M:N""), 2, FALSE)"),"Evaluate the effectiveness of your chosen net in representing a triangular prism accurately.")</f>
        <v>Evaluate the effectiveness of your chosen net in representing a triangular prism accurately.</v>
      </c>
      <c r="S199" s="10" t="str">
        <f t="shared" si="5"/>
        <v>LU000082.006</v>
      </c>
      <c r="T199" s="10" t="str">
        <f ca="1">IFERROR(__xludf.DUMMYFUNCTION("VLOOKUP(S199, IMPORTRANGE(""https://docs.google.com/spreadsheets/d/1yDAaXNsi4Mr5FtRQL4tbmSdIzhx6_m4wkOD7IG-k_eo/edit#gid=0"", ""Maths!M:N""), 2, FALSE)"),"Design your own nets for triangular prisms, showcasing your ability to represent three-dimensional objects accurately in two dimensions.")</f>
        <v>Design your own nets for triangular prisms, showcasing your ability to represent three-dimensional objects accurately in two dimensions.</v>
      </c>
      <c r="U199" s="11">
        <f ca="1">IFERROR(__xludf.DUMMYFUNCTION("ArrayFormula(VLOOKUP(G199, IMPORTRANGE(""https://docs.google.com/spreadsheets/d/1p7R4vtkWt5VOBim4ltsDG9KTzSjrtKXsMtQGXPHyND0/edit#gid=795171502"", ""'Filter 30_05_2024'!A1:M2000""), {2, 3, 4, 5,6,7,8,9,10,11,12,13}, 0))"),4)</f>
        <v>4</v>
      </c>
      <c r="V199" s="11">
        <f ca="1">IFERROR(__xludf.DUMMYFUNCTION("""COMPUTED_VALUE"""),7)</f>
        <v>7</v>
      </c>
      <c r="W199" s="11">
        <f ca="1">IFERROR(__xludf.DUMMYFUNCTION("""COMPUTED_VALUE"""),2)</f>
        <v>2</v>
      </c>
      <c r="X199" s="11">
        <f ca="1">IFERROR(__xludf.DUMMYFUNCTION("""COMPUTED_VALUE"""),13)</f>
        <v>13</v>
      </c>
      <c r="Y199" s="11">
        <f ca="1">IFERROR(__xludf.DUMMYFUNCTION("""COMPUTED_VALUE"""),4)</f>
        <v>4</v>
      </c>
      <c r="Z199" s="12">
        <f ca="1">IFERROR(__xludf.DUMMYFUNCTION("""COMPUTED_VALUE"""),3)</f>
        <v>3</v>
      </c>
      <c r="AA199" s="12">
        <f ca="1">IFERROR(__xludf.DUMMYFUNCTION("""COMPUTED_VALUE"""),1)</f>
        <v>1</v>
      </c>
      <c r="AB199" s="12">
        <f ca="1">IFERROR(__xludf.DUMMYFUNCTION("""COMPUTED_VALUE"""),8)</f>
        <v>8</v>
      </c>
      <c r="AC199" s="12"/>
      <c r="AD199" s="12"/>
      <c r="AE199" s="12"/>
      <c r="AF199" s="12"/>
      <c r="AG199" s="13" t="str">
        <f ca="1">IFERROR(__xludf.DUMMYFUNCTION("ArrayFormula(VLOOKUP(G199, IMPORTRANGE(""https://docs.google.com/spreadsheets/d/1Co934fvtviyaRiMsrIlT05Jaq7iiYq07aLvRr35KA48/edit?gid=173865642#gid=173865642"", ""'G7_Maths_Pri_LU'!G2:V2000""), {3, 4, 5, 6, 7, 8, 9, 10, 11, 12, 13, 14, 15, 16}, 0))"),"LU000255")</f>
        <v>LU000255</v>
      </c>
      <c r="AH199" s="13" t="str">
        <f ca="1">IFERROR(__xludf.DUMMYFUNCTION("""COMPUTED_VALUE"""),"Lexical explanation of three dimensional shapes-prisms")</f>
        <v>Lexical explanation of three dimensional shapes-prisms</v>
      </c>
      <c r="AI199" s="13" t="str">
        <f ca="1">IFERROR(__xludf.DUMMYFUNCTION("""COMPUTED_VALUE"""),"LU000229")</f>
        <v>LU000229</v>
      </c>
      <c r="AJ199" s="13" t="str">
        <f ca="1">IFERROR(__xludf.DUMMYFUNCTION("""COMPUTED_VALUE"""),"Lexical explanation of triangle")</f>
        <v>Lexical explanation of triangle</v>
      </c>
      <c r="AK199" s="13" t="str">
        <f ca="1">IFERROR(__xludf.DUMMYFUNCTION("""COMPUTED_VALUE"""),"LU000077")</f>
        <v>LU000077</v>
      </c>
      <c r="AL199" s="13" t="str">
        <f ca="1">IFERROR(__xludf.DUMMYFUNCTION("""COMPUTED_VALUE"""),"Lexical description of nets of solid shapes(cube, cuboid, prism, pyramid, cone, cylinder)")</f>
        <v>Lexical description of nets of solid shapes(cube, cuboid, prism, pyramid, cone, cylinder)</v>
      </c>
      <c r="AM199" s="13" t="str">
        <f ca="1">IFERROR(__xludf.DUMMYFUNCTION("""COMPUTED_VALUE"""),"LU000078")</f>
        <v>LU000078</v>
      </c>
      <c r="AN199" s="13" t="str">
        <f ca="1">IFERROR(__xludf.DUMMYFUNCTION("""COMPUTED_VALUE"""),"Definition of 3D shapes")</f>
        <v>Definition of 3D shapes</v>
      </c>
      <c r="AO199" s="13" t="str">
        <f ca="1">IFERROR(__xludf.DUMMYFUNCTION("""COMPUTED_VALUE"""),"LU000079")</f>
        <v>LU000079</v>
      </c>
      <c r="AP199" s="13" t="str">
        <f ca="1">IFERROR(__xludf.DUMMYFUNCTION("""COMPUTED_VALUE"""),"Definition of 2D shapes")</f>
        <v>Definition of 2D shapes</v>
      </c>
      <c r="AQ199" s="13"/>
      <c r="AR199" s="13"/>
      <c r="AS199" s="13"/>
      <c r="AT199" s="13"/>
    </row>
    <row r="200" spans="1:46">
      <c r="A200" s="8" t="s">
        <v>247</v>
      </c>
      <c r="B200" s="8" t="s">
        <v>47</v>
      </c>
      <c r="C200" s="8" t="s">
        <v>416</v>
      </c>
      <c r="D200" s="8" t="s">
        <v>49</v>
      </c>
      <c r="E200" s="8" t="s">
        <v>688</v>
      </c>
      <c r="F200" s="8" t="s">
        <v>707</v>
      </c>
      <c r="G200" s="8" t="s">
        <v>708</v>
      </c>
      <c r="H200" s="8" t="str">
        <f ca="1">IFERROR(__xludf.DUMMYFUNCTION("VLOOKUP(G200, IMPORTRANGE(""https://docs.google.com/spreadsheets/d/14deopnvwcrKtEGCKuYXdUHJbeLDZlkiSSWWT0g7x2pM/edit#gid=999382323"", ""LU List Maths (Filter)!A:B""), 2, FALSE)"),"2D representation (drawing of the nets) of a cylinder")</f>
        <v>2D representation (drawing of the nets) of a cylinder</v>
      </c>
      <c r="I200" s="10" t="str">
        <f t="shared" si="0"/>
        <v>LU000083.001</v>
      </c>
      <c r="J200" s="10" t="str">
        <f ca="1">IFERROR(__xludf.DUMMYFUNCTION("VLOOKUP(I200, IMPORTRANGE(""https://docs.google.com/spreadsheets/d/1yDAaXNsi4Mr5FtRQL4tbmSdIzhx6_m4wkOD7IG-k_eo/edit#gid=0"", ""Maths!M:N""), 2, FALSE)"),"Remember the steps involved in drawing a net for a cylinder.")</f>
        <v>Remember the steps involved in drawing a net for a cylinder.</v>
      </c>
      <c r="K200" s="10" t="str">
        <f t="shared" si="1"/>
        <v>LU000083.002</v>
      </c>
      <c r="L200" s="10" t="str">
        <f ca="1">IFERROR(__xludf.DUMMYFUNCTION("VLOOKUP(K200, IMPORTRANGE(""https://docs.google.com/spreadsheets/d/1yDAaXNsi4Mr5FtRQL4tbmSdIzhx6_m4wkOD7IG-k_eo/edit#gid=0"", ""Maths!M:N""), 2, FALSE)"),"Understand the concept of representing a cylinder through its net.")</f>
        <v>Understand the concept of representing a cylinder through its net.</v>
      </c>
      <c r="M200" s="10" t="str">
        <f t="shared" si="2"/>
        <v>LU000083.003</v>
      </c>
      <c r="N200" s="10" t="str">
        <f ca="1">IFERROR(__xludf.DUMMYFUNCTION("VLOOKUP(M200, IMPORTRANGE(""https://docs.google.com/spreadsheets/d/1yDAaXNsi4Mr5FtRQL4tbmSdIzhx6_m4wkOD7IG-k_eo/edit#gid=0"", ""Maths!M:N""), 2, FALSE)"),"Apply your knowledge to identify the correct net of a cylinder among options.")</f>
        <v>Apply your knowledge to identify the correct net of a cylinder among options.</v>
      </c>
      <c r="O200" s="10" t="str">
        <f t="shared" si="3"/>
        <v>LU000083.004</v>
      </c>
      <c r="P200" s="10" t="str">
        <f ca="1">IFERROR(__xludf.DUMMYFUNCTION("VLOOKUP(O200, IMPORTRANGE(""https://docs.google.com/spreadsheets/d/1yDAaXNsi4Mr5FtRQL4tbmSdIzhx6_m4wkOD7IG-k_eo/edit#gid=0"", ""Maths!M:N""), 2, FALSE)"),"Analyse and differentiate between various nets to select the one that forms a cylinder when folded.")</f>
        <v>Analyse and differentiate between various nets to select the one that forms a cylinder when folded.</v>
      </c>
      <c r="Q200" s="10" t="str">
        <f t="shared" si="4"/>
        <v>LU000083.005</v>
      </c>
      <c r="R200" s="10" t="str">
        <f ca="1">IFERROR(__xludf.DUMMYFUNCTION("VLOOKUP(Q200, IMPORTRANGE(""https://docs.google.com/spreadsheets/d/1yDAaXNsi4Mr5FtRQL4tbmSdIzhx6_m4wkOD7IG-k_eo/edit#gid=0"", ""Maths!M:N""), 2, FALSE)"),"Evaluate the effectiveness of your chosen net in representing a cylinder accurately.")</f>
        <v>Evaluate the effectiveness of your chosen net in representing a cylinder accurately.</v>
      </c>
      <c r="S200" s="10" t="str">
        <f t="shared" si="5"/>
        <v>LU000083.006</v>
      </c>
      <c r="T200" s="10" t="str">
        <f ca="1">IFERROR(__xludf.DUMMYFUNCTION("VLOOKUP(S200, IMPORTRANGE(""https://docs.google.com/spreadsheets/d/1yDAaXNsi4Mr5FtRQL4tbmSdIzhx6_m4wkOD7IG-k_eo/edit#gid=0"", ""Maths!M:N""), 2, FALSE)"),"Design your own nets for cylinder, showcasing your ability to represent three-dimensional objects accurately in two dimensions.")</f>
        <v>Design your own nets for cylinder, showcasing your ability to represent three-dimensional objects accurately in two dimensions.</v>
      </c>
      <c r="U200" s="11">
        <f ca="1">IFERROR(__xludf.DUMMYFUNCTION("ArrayFormula(VLOOKUP(G200, IMPORTRANGE(""https://docs.google.com/spreadsheets/d/1p7R4vtkWt5VOBim4ltsDG9KTzSjrtKXsMtQGXPHyND0/edit#gid=795171502"", ""'Filter 30_05_2024'!A1:M2000""), {2, 3, 4, 5,6,7,8,9,10,11,12,13}, 0))"),4)</f>
        <v>4</v>
      </c>
      <c r="V200" s="11">
        <f ca="1">IFERROR(__xludf.DUMMYFUNCTION("""COMPUTED_VALUE"""),6)</f>
        <v>6</v>
      </c>
      <c r="W200" s="11">
        <f ca="1">IFERROR(__xludf.DUMMYFUNCTION("""COMPUTED_VALUE"""),2)</f>
        <v>2</v>
      </c>
      <c r="X200" s="11">
        <f ca="1">IFERROR(__xludf.DUMMYFUNCTION("""COMPUTED_VALUE"""),12)</f>
        <v>12</v>
      </c>
      <c r="Y200" s="11">
        <f ca="1">IFERROR(__xludf.DUMMYFUNCTION("""COMPUTED_VALUE"""),4)</f>
        <v>4</v>
      </c>
      <c r="Z200" s="12">
        <f ca="1">IFERROR(__xludf.DUMMYFUNCTION("""COMPUTED_VALUE"""),3)</f>
        <v>3</v>
      </c>
      <c r="AA200" s="12">
        <f ca="1">IFERROR(__xludf.DUMMYFUNCTION("""COMPUTED_VALUE"""),1)</f>
        <v>1</v>
      </c>
      <c r="AB200" s="12">
        <f ca="1">IFERROR(__xludf.DUMMYFUNCTION("""COMPUTED_VALUE"""),8)</f>
        <v>8</v>
      </c>
      <c r="AC200" s="12"/>
      <c r="AD200" s="12"/>
      <c r="AE200" s="12"/>
      <c r="AF200" s="12"/>
      <c r="AG200" s="13" t="str">
        <f ca="1">IFERROR(__xludf.DUMMYFUNCTION("ArrayFormula(VLOOKUP(G200, IMPORTRANGE(""https://docs.google.com/spreadsheets/d/1Co934fvtviyaRiMsrIlT05Jaq7iiYq07aLvRr35KA48/edit?gid=173865642#gid=173865642"", ""'G7_Maths_Pri_LU'!G2:V2000""), {3, 4, 5, 6, 7, 8, 9, 10, 11, 12, 13, 14, 15, 16}, 0))"),"LU000253")</f>
        <v>LU000253</v>
      </c>
      <c r="AH200" s="13" t="str">
        <f ca="1">IFERROR(__xludf.DUMMYFUNCTION("""COMPUTED_VALUE"""),"Lexical explanation of three dimensional shapes-cylinders")</f>
        <v>Lexical explanation of three dimensional shapes-cylinders</v>
      </c>
      <c r="AI200" s="13" t="str">
        <f ca="1">IFERROR(__xludf.DUMMYFUNCTION("""COMPUTED_VALUE"""),"LU000231")</f>
        <v>LU000231</v>
      </c>
      <c r="AJ200" s="13" t="str">
        <f ca="1">IFERROR(__xludf.DUMMYFUNCTION("""COMPUTED_VALUE"""),"Definition of circle")</f>
        <v>Definition of circle</v>
      </c>
      <c r="AK200" s="13" t="str">
        <f ca="1">IFERROR(__xludf.DUMMYFUNCTION("""COMPUTED_VALUE"""),"LU000597")</f>
        <v>LU000597</v>
      </c>
      <c r="AL200" s="13" t="str">
        <f ca="1">IFERROR(__xludf.DUMMYFUNCTION("""COMPUTED_VALUE"""),"Definition of rectangle")</f>
        <v>Definition of rectangle</v>
      </c>
      <c r="AM200" s="13" t="str">
        <f ca="1">IFERROR(__xludf.DUMMYFUNCTION("""COMPUTED_VALUE"""),"LU000077")</f>
        <v>LU000077</v>
      </c>
      <c r="AN200" s="13" t="str">
        <f ca="1">IFERROR(__xludf.DUMMYFUNCTION("""COMPUTED_VALUE"""),"Lexical description of nets of solid shapes(cube, cuboid, prism, pyramid, cone, cylinder)")</f>
        <v>Lexical description of nets of solid shapes(cube, cuboid, prism, pyramid, cone, cylinder)</v>
      </c>
      <c r="AO200" s="13" t="str">
        <f ca="1">IFERROR(__xludf.DUMMYFUNCTION("""COMPUTED_VALUE"""),"LU000078")</f>
        <v>LU000078</v>
      </c>
      <c r="AP200" s="13" t="str">
        <f ca="1">IFERROR(__xludf.DUMMYFUNCTION("""COMPUTED_VALUE"""),"Definition of 3D shapes")</f>
        <v>Definition of 3D shapes</v>
      </c>
      <c r="AQ200" s="13" t="str">
        <f ca="1">IFERROR(__xludf.DUMMYFUNCTION("""COMPUTED_VALUE"""),"LU000079")</f>
        <v>LU000079</v>
      </c>
      <c r="AR200" s="13" t="str">
        <f ca="1">IFERROR(__xludf.DUMMYFUNCTION("""COMPUTED_VALUE"""),"Definition of 2D shapes")</f>
        <v>Definition of 2D shapes</v>
      </c>
      <c r="AS200" s="13"/>
      <c r="AT200" s="13"/>
    </row>
    <row r="201" spans="1:46">
      <c r="A201" s="8" t="s">
        <v>247</v>
      </c>
      <c r="B201" s="8" t="s">
        <v>47</v>
      </c>
      <c r="C201" s="8" t="s">
        <v>416</v>
      </c>
      <c r="D201" s="8" t="s">
        <v>49</v>
      </c>
      <c r="E201" s="8" t="s">
        <v>688</v>
      </c>
      <c r="F201" s="8" t="s">
        <v>707</v>
      </c>
      <c r="G201" s="8" t="s">
        <v>709</v>
      </c>
      <c r="H201" s="8" t="str">
        <f ca="1">IFERROR(__xludf.DUMMYFUNCTION("VLOOKUP(G201, IMPORTRANGE(""https://docs.google.com/spreadsheets/d/14deopnvwcrKtEGCKuYXdUHJbeLDZlkiSSWWT0g7x2pM/edit#gid=999382323"", ""LU List Maths (Filter)!A:B""), 2, FALSE)"),"2D representation (drawing of the nets) of a cone")</f>
        <v>2D representation (drawing of the nets) of a cone</v>
      </c>
      <c r="I201" s="10" t="str">
        <f t="shared" si="0"/>
        <v>LU000087.001</v>
      </c>
      <c r="J201" s="10" t="str">
        <f ca="1">IFERROR(__xludf.DUMMYFUNCTION("VLOOKUP(I201, IMPORTRANGE(""https://docs.google.com/spreadsheets/d/1yDAaXNsi4Mr5FtRQL4tbmSdIzhx6_m4wkOD7IG-k_eo/edit#gid=0"", ""Maths!M:N""), 2, FALSE)"),"Remember the steps involved in drawing a net for a cone.")</f>
        <v>Remember the steps involved in drawing a net for a cone.</v>
      </c>
      <c r="K201" s="10" t="str">
        <f t="shared" si="1"/>
        <v>LU000087.002</v>
      </c>
      <c r="L201" s="10" t="str">
        <f ca="1">IFERROR(__xludf.DUMMYFUNCTION("VLOOKUP(K201, IMPORTRANGE(""https://docs.google.com/spreadsheets/d/1yDAaXNsi4Mr5FtRQL4tbmSdIzhx6_m4wkOD7IG-k_eo/edit#gid=0"", ""Maths!M:N""), 2, FALSE)"),"Understand the concept of representing a cone through its net.")</f>
        <v>Understand the concept of representing a cone through its net.</v>
      </c>
      <c r="M201" s="10" t="str">
        <f t="shared" si="2"/>
        <v>LU000087.003</v>
      </c>
      <c r="N201" s="10" t="str">
        <f ca="1">IFERROR(__xludf.DUMMYFUNCTION("VLOOKUP(M201, IMPORTRANGE(""https://docs.google.com/spreadsheets/d/1yDAaXNsi4Mr5FtRQL4tbmSdIzhx6_m4wkOD7IG-k_eo/edit#gid=0"", ""Maths!M:N""), 2, FALSE)"),"Apply your knowledge to identify the correct net of a cone among options.")</f>
        <v>Apply your knowledge to identify the correct net of a cone among options.</v>
      </c>
      <c r="O201" s="10" t="str">
        <f t="shared" si="3"/>
        <v>LU000087.004</v>
      </c>
      <c r="P201" s="10" t="str">
        <f ca="1">IFERROR(__xludf.DUMMYFUNCTION("VLOOKUP(O201, IMPORTRANGE(""https://docs.google.com/spreadsheets/d/1yDAaXNsi4Mr5FtRQL4tbmSdIzhx6_m4wkOD7IG-k_eo/edit#gid=0"", ""Maths!M:N""), 2, FALSE)"),"Analyse and differentiate between various nets to select the one that forms a cone when folded.")</f>
        <v>Analyse and differentiate between various nets to select the one that forms a cone when folded.</v>
      </c>
      <c r="Q201" s="10" t="str">
        <f t="shared" si="4"/>
        <v>LU000087.005</v>
      </c>
      <c r="R201" s="10" t="str">
        <f ca="1">IFERROR(__xludf.DUMMYFUNCTION("VLOOKUP(Q201, IMPORTRANGE(""https://docs.google.com/spreadsheets/d/1yDAaXNsi4Mr5FtRQL4tbmSdIzhx6_m4wkOD7IG-k_eo/edit#gid=0"", ""Maths!M:N""), 2, FALSE)"),"Evaluate the effectiveness of your chosen net in representing a cone accurately.")</f>
        <v>Evaluate the effectiveness of your chosen net in representing a cone accurately.</v>
      </c>
      <c r="S201" s="10" t="str">
        <f t="shared" si="5"/>
        <v>LU000087.006</v>
      </c>
      <c r="T201" s="10" t="str">
        <f ca="1">IFERROR(__xludf.DUMMYFUNCTION("VLOOKUP(S201, IMPORTRANGE(""https://docs.google.com/spreadsheets/d/1yDAaXNsi4Mr5FtRQL4tbmSdIzhx6_m4wkOD7IG-k_eo/edit#gid=0"", ""Maths!M:N""), 2, FALSE)"),"Design your own nets for cone, showcasing your ability to represent three-dimensional objects accurately in two dimensions.")</f>
        <v>Design your own nets for cone, showcasing your ability to represent three-dimensional objects accurately in two dimensions.</v>
      </c>
      <c r="U201" s="11">
        <f ca="1">IFERROR(__xludf.DUMMYFUNCTION("ArrayFormula(VLOOKUP(G201, IMPORTRANGE(""https://docs.google.com/spreadsheets/d/1p7R4vtkWt5VOBim4ltsDG9KTzSjrtKXsMtQGXPHyND0/edit#gid=795171502"", ""'Filter 30_05_2024'!A1:M2000""), {2, 3, 4, 5,6,7,8,9,10,11,12,13}, 0))"),4)</f>
        <v>4</v>
      </c>
      <c r="V201" s="11">
        <f ca="1">IFERROR(__xludf.DUMMYFUNCTION("""COMPUTED_VALUE"""),6)</f>
        <v>6</v>
      </c>
      <c r="W201" s="11">
        <f ca="1">IFERROR(__xludf.DUMMYFUNCTION("""COMPUTED_VALUE"""),2)</f>
        <v>2</v>
      </c>
      <c r="X201" s="11">
        <f ca="1">IFERROR(__xludf.DUMMYFUNCTION("""COMPUTED_VALUE"""),12)</f>
        <v>12</v>
      </c>
      <c r="Y201" s="11">
        <f ca="1">IFERROR(__xludf.DUMMYFUNCTION("""COMPUTED_VALUE"""),4)</f>
        <v>4</v>
      </c>
      <c r="Z201" s="12">
        <f ca="1">IFERROR(__xludf.DUMMYFUNCTION("""COMPUTED_VALUE"""),3)</f>
        <v>3</v>
      </c>
      <c r="AA201" s="12">
        <f ca="1">IFERROR(__xludf.DUMMYFUNCTION("""COMPUTED_VALUE"""),1)</f>
        <v>1</v>
      </c>
      <c r="AB201" s="12">
        <f ca="1">IFERROR(__xludf.DUMMYFUNCTION("""COMPUTED_VALUE"""),8)</f>
        <v>8</v>
      </c>
      <c r="AC201" s="12"/>
      <c r="AD201" s="12"/>
      <c r="AE201" s="12"/>
      <c r="AF201" s="12"/>
      <c r="AG201" s="13" t="str">
        <f ca="1">IFERROR(__xludf.DUMMYFUNCTION("ArrayFormula(VLOOKUP(G201, IMPORTRANGE(""https://docs.google.com/spreadsheets/d/1Co934fvtviyaRiMsrIlT05Jaq7iiYq07aLvRr35KA48/edit?gid=173865642#gid=173865642"", ""'G7_Maths_Pri_LU'!G2:V2000""), {3, 4, 5, 6, 7, 8, 9, 10, 11, 12, 13, 14, 15, 16}, 0))"),"LU000254")</f>
        <v>LU000254</v>
      </c>
      <c r="AH201" s="13" t="str">
        <f ca="1">IFERROR(__xludf.DUMMYFUNCTION("""COMPUTED_VALUE"""),"Lexical explanation of three dimensional shapes-cones")</f>
        <v>Lexical explanation of three dimensional shapes-cones</v>
      </c>
      <c r="AI201" s="13" t="str">
        <f ca="1">IFERROR(__xludf.DUMMYFUNCTION("""COMPUTED_VALUE"""),"LU000231")</f>
        <v>LU000231</v>
      </c>
      <c r="AJ201" s="13" t="str">
        <f ca="1">IFERROR(__xludf.DUMMYFUNCTION("""COMPUTED_VALUE"""),"Definition of circle")</f>
        <v>Definition of circle</v>
      </c>
      <c r="AK201" s="13" t="str">
        <f ca="1">IFERROR(__xludf.DUMMYFUNCTION("""COMPUTED_VALUE"""),"LU000229")</f>
        <v>LU000229</v>
      </c>
      <c r="AL201" s="13" t="str">
        <f ca="1">IFERROR(__xludf.DUMMYFUNCTION("""COMPUTED_VALUE"""),"Lexical explanation of triangle")</f>
        <v>Lexical explanation of triangle</v>
      </c>
      <c r="AM201" s="13" t="str">
        <f ca="1">IFERROR(__xludf.DUMMYFUNCTION("""COMPUTED_VALUE"""),"LU000077")</f>
        <v>LU000077</v>
      </c>
      <c r="AN201" s="13" t="str">
        <f ca="1">IFERROR(__xludf.DUMMYFUNCTION("""COMPUTED_VALUE"""),"Lexical description of nets of solid shapes(cube, cuboid, prism, pyramid, cone, cylinder)")</f>
        <v>Lexical description of nets of solid shapes(cube, cuboid, prism, pyramid, cone, cylinder)</v>
      </c>
      <c r="AO201" s="13" t="str">
        <f ca="1">IFERROR(__xludf.DUMMYFUNCTION("""COMPUTED_VALUE"""),"LU000078")</f>
        <v>LU000078</v>
      </c>
      <c r="AP201" s="13" t="str">
        <f ca="1">IFERROR(__xludf.DUMMYFUNCTION("""COMPUTED_VALUE"""),"Definition of 3D shapes")</f>
        <v>Definition of 3D shapes</v>
      </c>
      <c r="AQ201" s="13" t="str">
        <f ca="1">IFERROR(__xludf.DUMMYFUNCTION("""COMPUTED_VALUE"""),"LU000079")</f>
        <v>LU000079</v>
      </c>
      <c r="AR201" s="13" t="str">
        <f ca="1">IFERROR(__xludf.DUMMYFUNCTION("""COMPUTED_VALUE"""),"Definition of 2D shapes")</f>
        <v>Definition of 2D shapes</v>
      </c>
      <c r="AS201" s="13"/>
      <c r="AT201" s="13"/>
    </row>
    <row r="202" spans="1:46">
      <c r="A202" s="8" t="s">
        <v>247</v>
      </c>
      <c r="B202" s="8" t="s">
        <v>47</v>
      </c>
      <c r="C202" s="8" t="s">
        <v>416</v>
      </c>
      <c r="D202" s="8" t="s">
        <v>49</v>
      </c>
      <c r="E202" s="8" t="s">
        <v>688</v>
      </c>
      <c r="F202" s="8" t="s">
        <v>707</v>
      </c>
      <c r="G202" s="8" t="s">
        <v>710</v>
      </c>
      <c r="H202" s="8" t="str">
        <f ca="1">IFERROR(__xludf.DUMMYFUNCTION("VLOOKUP(G202, IMPORTRANGE(""https://docs.google.com/spreadsheets/d/14deopnvwcrKtEGCKuYXdUHJbeLDZlkiSSWWT0g7x2pM/edit#gid=999382323"", ""LU List Maths (Filter)!A:B""), 2, FALSE)"),"2D representation (drawing of the nets) of a pyramid")</f>
        <v>2D representation (drawing of the nets) of a pyramid</v>
      </c>
      <c r="I202" s="10" t="str">
        <f t="shared" si="0"/>
        <v>LU000091.001</v>
      </c>
      <c r="J202" s="10" t="str">
        <f ca="1">IFERROR(__xludf.DUMMYFUNCTION("VLOOKUP(I202, IMPORTRANGE(""https://docs.google.com/spreadsheets/d/1yDAaXNsi4Mr5FtRQL4tbmSdIzhx6_m4wkOD7IG-k_eo/edit#gid=0"", ""Maths!M:N""), 2, FALSE)"),"Remember the steps involved in drawing a net for a pyramid")</f>
        <v>Remember the steps involved in drawing a net for a pyramid</v>
      </c>
      <c r="K202" s="10" t="str">
        <f t="shared" si="1"/>
        <v>LU000091.002</v>
      </c>
      <c r="L202" s="10" t="str">
        <f ca="1">IFERROR(__xludf.DUMMYFUNCTION("VLOOKUP(K202, IMPORTRANGE(""https://docs.google.com/spreadsheets/d/1yDAaXNsi4Mr5FtRQL4tbmSdIzhx6_m4wkOD7IG-k_eo/edit#gid=0"", ""Maths!M:N""), 2, FALSE)"),"Understand the concept of representing a pyramid through its net.")</f>
        <v>Understand the concept of representing a pyramid through its net.</v>
      </c>
      <c r="M202" s="10" t="str">
        <f t="shared" si="2"/>
        <v>LU000091.003</v>
      </c>
      <c r="N202" s="10" t="str">
        <f ca="1">IFERROR(__xludf.DUMMYFUNCTION("VLOOKUP(M202, IMPORTRANGE(""https://docs.google.com/spreadsheets/d/1yDAaXNsi4Mr5FtRQL4tbmSdIzhx6_m4wkOD7IG-k_eo/edit#gid=0"", ""Maths!M:N""), 2, FALSE)"),"Apply your knowledge to identify the correct net of a pyramid among options.")</f>
        <v>Apply your knowledge to identify the correct net of a pyramid among options.</v>
      </c>
      <c r="O202" s="10" t="str">
        <f t="shared" si="3"/>
        <v>LU000091.004</v>
      </c>
      <c r="P202" s="10" t="str">
        <f ca="1">IFERROR(__xludf.DUMMYFUNCTION("VLOOKUP(O202, IMPORTRANGE(""https://docs.google.com/spreadsheets/d/1yDAaXNsi4Mr5FtRQL4tbmSdIzhx6_m4wkOD7IG-k_eo/edit#gid=0"", ""Maths!M:N""), 2, FALSE)"),"Analyse and differentiate between various nets to select the one that forms a pyramid when folded.")</f>
        <v>Analyse and differentiate between various nets to select the one that forms a pyramid when folded.</v>
      </c>
      <c r="Q202" s="10" t="str">
        <f t="shared" si="4"/>
        <v>LU000091.005</v>
      </c>
      <c r="R202" s="10" t="str">
        <f ca="1">IFERROR(__xludf.DUMMYFUNCTION("VLOOKUP(Q202, IMPORTRANGE(""https://docs.google.com/spreadsheets/d/1yDAaXNsi4Mr5FtRQL4tbmSdIzhx6_m4wkOD7IG-k_eo/edit#gid=0"", ""Maths!M:N""), 2, FALSE)"),"Evaluate the effectiveness of your chosen net in representing a pyramid accurately.")</f>
        <v>Evaluate the effectiveness of your chosen net in representing a pyramid accurately.</v>
      </c>
      <c r="S202" s="10" t="str">
        <f t="shared" si="5"/>
        <v>LU000091.006</v>
      </c>
      <c r="T202" s="10" t="str">
        <f ca="1">IFERROR(__xludf.DUMMYFUNCTION("VLOOKUP(S202, IMPORTRANGE(""https://docs.google.com/spreadsheets/d/1yDAaXNsi4Mr5FtRQL4tbmSdIzhx6_m4wkOD7IG-k_eo/edit#gid=0"", ""Maths!M:N""), 2, FALSE)"),"Design your own nets for pyramids, showcasing your ability to represent three-dimensional objects accurately in two dimensions.")</f>
        <v>Design your own nets for pyramids, showcasing your ability to represent three-dimensional objects accurately in two dimensions.</v>
      </c>
      <c r="U202" s="11">
        <f ca="1">IFERROR(__xludf.DUMMYFUNCTION("ArrayFormula(VLOOKUP(G202, IMPORTRANGE(""https://docs.google.com/spreadsheets/d/1p7R4vtkWt5VOBim4ltsDG9KTzSjrtKXsMtQGXPHyND0/edit#gid=795171502"", ""'Filter 30_05_2024'!A1:M2000""), {2, 3, 4, 5,6,7,8,9,10,11,12,13}, 0))"),4)</f>
        <v>4</v>
      </c>
      <c r="V202" s="11">
        <f ca="1">IFERROR(__xludf.DUMMYFUNCTION("""COMPUTED_VALUE"""),3)</f>
        <v>3</v>
      </c>
      <c r="W202" s="11">
        <f ca="1">IFERROR(__xludf.DUMMYFUNCTION("""COMPUTED_VALUE"""),2)</f>
        <v>2</v>
      </c>
      <c r="X202" s="11">
        <f ca="1">IFERROR(__xludf.DUMMYFUNCTION("""COMPUTED_VALUE"""),9)</f>
        <v>9</v>
      </c>
      <c r="Y202" s="11">
        <f ca="1">IFERROR(__xludf.DUMMYFUNCTION("""COMPUTED_VALUE"""),4)</f>
        <v>4</v>
      </c>
      <c r="Z202" s="12">
        <f ca="1">IFERROR(__xludf.DUMMYFUNCTION("""COMPUTED_VALUE"""),7)</f>
        <v>7</v>
      </c>
      <c r="AA202" s="12">
        <f ca="1">IFERROR(__xludf.DUMMYFUNCTION("""COMPUTED_VALUE"""),1)</f>
        <v>1</v>
      </c>
      <c r="AB202" s="12">
        <f ca="1">IFERROR(__xludf.DUMMYFUNCTION("""COMPUTED_VALUE"""),12)</f>
        <v>12</v>
      </c>
      <c r="AC202" s="12"/>
      <c r="AD202" s="12"/>
      <c r="AE202" s="12">
        <f ca="1">IFERROR(__xludf.DUMMYFUNCTION("""COMPUTED_VALUE"""),1)</f>
        <v>1</v>
      </c>
      <c r="AF202" s="12">
        <f ca="1">IFERROR(__xludf.DUMMYFUNCTION("""COMPUTED_VALUE"""),1)</f>
        <v>1</v>
      </c>
      <c r="AG202" s="13" t="str">
        <f ca="1">IFERROR(__xludf.DUMMYFUNCTION("ArrayFormula(VLOOKUP(G202, IMPORTRANGE(""https://docs.google.com/spreadsheets/d/1Co934fvtviyaRiMsrIlT05Jaq7iiYq07aLvRr35KA48/edit?gid=173865642#gid=173865642"", ""'G7_Maths_Pri_LU'!G2:V2000""), {3, 4, 5, 6, 7, 8, 9, 10, 11, 12, 13, 14, 15, 16}, 0))"),"LU000256")</f>
        <v>LU000256</v>
      </c>
      <c r="AH202" s="13" t="str">
        <f ca="1">IFERROR(__xludf.DUMMYFUNCTION("""COMPUTED_VALUE"""),"Lexical explanation of three dimensional shapes-pyramids")</f>
        <v>Lexical explanation of three dimensional shapes-pyramids</v>
      </c>
      <c r="AI202" s="13" t="str">
        <f ca="1">IFERROR(__xludf.DUMMYFUNCTION("""COMPUTED_VALUE"""),"LU000229")</f>
        <v>LU000229</v>
      </c>
      <c r="AJ202" s="13" t="str">
        <f ca="1">IFERROR(__xludf.DUMMYFUNCTION("""COMPUTED_VALUE"""),"Lexical explanation of triangle")</f>
        <v>Lexical explanation of triangle</v>
      </c>
      <c r="AK202" s="13" t="str">
        <f ca="1">IFERROR(__xludf.DUMMYFUNCTION("""COMPUTED_VALUE"""),"LU000598")</f>
        <v>LU000598</v>
      </c>
      <c r="AL202" s="13" t="str">
        <f ca="1">IFERROR(__xludf.DUMMYFUNCTION("""COMPUTED_VALUE"""),"Definition of square")</f>
        <v>Definition of square</v>
      </c>
      <c r="AM202" s="13" t="str">
        <f ca="1">IFERROR(__xludf.DUMMYFUNCTION("""COMPUTED_VALUE"""),"LU000077")</f>
        <v>LU000077</v>
      </c>
      <c r="AN202" s="13" t="str">
        <f ca="1">IFERROR(__xludf.DUMMYFUNCTION("""COMPUTED_VALUE"""),"Lexical description of nets of solid shapes(cube, cuboid, prism, pyramid, cone, cylinder)")</f>
        <v>Lexical description of nets of solid shapes(cube, cuboid, prism, pyramid, cone, cylinder)</v>
      </c>
      <c r="AO202" s="13" t="str">
        <f ca="1">IFERROR(__xludf.DUMMYFUNCTION("""COMPUTED_VALUE"""),"LU000078")</f>
        <v>LU000078</v>
      </c>
      <c r="AP202" s="13" t="str">
        <f ca="1">IFERROR(__xludf.DUMMYFUNCTION("""COMPUTED_VALUE"""),"Definition of 3D shapes")</f>
        <v>Definition of 3D shapes</v>
      </c>
      <c r="AQ202" s="13" t="str">
        <f ca="1">IFERROR(__xludf.DUMMYFUNCTION("""COMPUTED_VALUE"""),"LU000079")</f>
        <v>LU000079</v>
      </c>
      <c r="AR202" s="13" t="str">
        <f ca="1">IFERROR(__xludf.DUMMYFUNCTION("""COMPUTED_VALUE"""),"Definition of 2D shapes")</f>
        <v>Definition of 2D shapes</v>
      </c>
      <c r="AS202" s="13"/>
      <c r="AT202" s="13"/>
    </row>
    <row r="203" spans="1:46">
      <c r="A203" s="8" t="s">
        <v>247</v>
      </c>
      <c r="B203" s="8" t="s">
        <v>47</v>
      </c>
      <c r="C203" s="8" t="s">
        <v>416</v>
      </c>
      <c r="D203" s="8" t="s">
        <v>49</v>
      </c>
      <c r="E203" s="8" t="s">
        <v>688</v>
      </c>
      <c r="F203" s="8" t="s">
        <v>711</v>
      </c>
      <c r="G203" s="8" t="s">
        <v>712</v>
      </c>
      <c r="H203" s="8" t="str">
        <f ca="1">IFERROR(__xludf.DUMMYFUNCTION("VLOOKUP(G203, IMPORTRANGE(""https://docs.google.com/spreadsheets/d/14deopnvwcrKtEGCKuYXdUHJbeLDZlkiSSWWT0g7x2pM/edit#gid=999382323"", ""LU List Maths (Filter)!A:B""), 2, FALSE)"),"Oblique sketches of a cube")</f>
        <v>Oblique sketches of a cube</v>
      </c>
      <c r="I203" s="10" t="str">
        <f t="shared" si="0"/>
        <v>LU001029.001</v>
      </c>
      <c r="J203" s="10" t="str">
        <f ca="1">IFERROR(__xludf.DUMMYFUNCTION("VLOOKUP(I203, IMPORTRANGE(""https://docs.google.com/spreadsheets/d/1yDAaXNsi4Mr5FtRQL4tbmSdIzhx6_m4wkOD7IG-k_eo/edit#gid=0"", ""Maths!M:N""), 2, FALSE)"),"Recall the basic characteristics and features of an oblique sketch of a cube.")</f>
        <v>Recall the basic characteristics and features of an oblique sketch of a cube.</v>
      </c>
      <c r="K203" s="10" t="str">
        <f t="shared" si="1"/>
        <v>LU001029.002</v>
      </c>
      <c r="L203" s="10" t="str">
        <f ca="1">IFERROR(__xludf.DUMMYFUNCTION("VLOOKUP(K203, IMPORTRANGE(""https://docs.google.com/spreadsheets/d/1yDAaXNsi4Mr5FtRQL4tbmSdIzhx6_m4wkOD7IG-k_eo/edit#gid=0"", ""Maths!M:N""), 2, FALSE)"),"Explain the concept of creating oblique sketches of a cube and how they represent three-dimensional objects on a two-dimensional surface.")</f>
        <v>Explain the concept of creating oblique sketches of a cube and how they represent three-dimensional objects on a two-dimensional surface.</v>
      </c>
      <c r="M203" s="10" t="str">
        <f t="shared" si="2"/>
        <v>LU001029.003</v>
      </c>
      <c r="N203" s="10" t="str">
        <f ca="1">IFERROR(__xludf.DUMMYFUNCTION("VLOOKUP(M203, IMPORTRANGE(""https://docs.google.com/spreadsheets/d/1yDAaXNsi4Mr5FtRQL4tbmSdIzhx6_m4wkOD7IG-k_eo/edit#gid=0"", ""Maths!M:N""), 2, FALSE)"),"Demonstrate the ability to draw accurate oblique sketches of cubes from given descriptions or measurements.")</f>
        <v>Demonstrate the ability to draw accurate oblique sketches of cubes from given descriptions or measurements.</v>
      </c>
      <c r="O203" s="10" t="str">
        <f t="shared" si="3"/>
        <v>LU001029.004</v>
      </c>
      <c r="P203" s="10" t="str">
        <f ca="1">IFERROR(__xludf.DUMMYFUNCTION("VLOOKUP(O203, IMPORTRANGE(""https://docs.google.com/spreadsheets/d/1yDAaXNsi4Mr5FtRQL4tbmSdIzhx6_m4wkOD7IG-k_eo/edit#gid=0"", ""Maths!M:N""), 2, FALSE)"),"Analyze different oblique sketches to identify and understand the visual representation of a cube's features.")</f>
        <v>Analyze different oblique sketches to identify and understand the visual representation of a cube's features.</v>
      </c>
      <c r="Q203" s="10" t="str">
        <f t="shared" si="4"/>
        <v>LU001029.005</v>
      </c>
      <c r="R203" s="10" t="str">
        <f ca="1">IFERROR(__xludf.DUMMYFUNCTION("VLOOKUP(Q203, IMPORTRANGE(""https://docs.google.com/spreadsheets/d/1yDAaXNsi4Mr5FtRQL4tbmSdIzhx6_m4wkOD7IG-k_eo/edit#gid=0"", ""Maths!M:N""), 2, FALSE)"),"Evaluate the correctness and precision of oblique sketches of cubes, identifying any inaccuracies or errors.")</f>
        <v>Evaluate the correctness and precision of oblique sketches of cubes, identifying any inaccuracies or errors.</v>
      </c>
      <c r="S203" s="10" t="str">
        <f t="shared" si="5"/>
        <v>LU001029.006</v>
      </c>
      <c r="T203" s="10" t="str">
        <f ca="1">IFERROR(__xludf.DUMMYFUNCTION("VLOOKUP(S203, IMPORTRANGE(""https://docs.google.com/spreadsheets/d/1yDAaXNsi4Mr5FtRQL4tbmSdIzhx6_m4wkOD7IG-k_eo/edit#gid=0"", ""Maths!M:N""), 2, FALSE)"),"Create original oblique sketches of cubes, applying the principles learned, and providing clear explanations of the drawing process.")</f>
        <v>Create original oblique sketches of cubes, applying the principles learned, and providing clear explanations of the drawing process.</v>
      </c>
      <c r="U203" s="11">
        <f ca="1">IFERROR(__xludf.DUMMYFUNCTION("ArrayFormula(VLOOKUP(G203, IMPORTRANGE(""https://docs.google.com/spreadsheets/d/1p7R4vtkWt5VOBim4ltsDG9KTzSjrtKXsMtQGXPHyND0/edit#gid=795171502"", ""'Filter 30_05_2024'!A1:M2000""), {2, 3, 4, 5,6,7,8,9,10,11,12,13}, 0))"),4)</f>
        <v>4</v>
      </c>
      <c r="V203" s="11">
        <f ca="1">IFERROR(__xludf.DUMMYFUNCTION("""COMPUTED_VALUE"""),1)</f>
        <v>1</v>
      </c>
      <c r="W203" s="11">
        <f ca="1">IFERROR(__xludf.DUMMYFUNCTION("""COMPUTED_VALUE"""),3)</f>
        <v>3</v>
      </c>
      <c r="X203" s="11">
        <f ca="1">IFERROR(__xludf.DUMMYFUNCTION("""COMPUTED_VALUE"""),8)</f>
        <v>8</v>
      </c>
      <c r="Y203" s="11">
        <f ca="1">IFERROR(__xludf.DUMMYFUNCTION("""COMPUTED_VALUE"""),4)</f>
        <v>4</v>
      </c>
      <c r="Z203" s="12">
        <f ca="1">IFERROR(__xludf.DUMMYFUNCTION("""COMPUTED_VALUE"""),6)</f>
        <v>6</v>
      </c>
      <c r="AA203" s="12">
        <f ca="1">IFERROR(__xludf.DUMMYFUNCTION("""COMPUTED_VALUE"""),2)</f>
        <v>2</v>
      </c>
      <c r="AB203" s="12">
        <f ca="1">IFERROR(__xludf.DUMMYFUNCTION("""COMPUTED_VALUE"""),12)</f>
        <v>12</v>
      </c>
      <c r="AC203" s="12"/>
      <c r="AD203" s="12"/>
      <c r="AE203" s="12"/>
      <c r="AF203" s="12"/>
      <c r="AG203" s="13" t="str">
        <f ca="1">IFERROR(__xludf.DUMMYFUNCTION("ArrayFormula(VLOOKUP(G203, IMPORTRANGE(""https://docs.google.com/spreadsheets/d/1Co934fvtviyaRiMsrIlT05Jaq7iiYq07aLvRr35KA48/edit?gid=173865642#gid=173865642"", ""'G7_Maths_Pri_LU'!G2:V2000""), {3, 4, 5, 6, 7, 8, 9, 10, 11, 12, 13, 14, 15, 16}, 0))"),"LU000249")</f>
        <v>LU000249</v>
      </c>
      <c r="AH203" s="13" t="str">
        <f ca="1">IFERROR(__xludf.DUMMYFUNCTION("""COMPUTED_VALUE"""),"Lexical explanation of three dimensional shapes-Cube")</f>
        <v>Lexical explanation of three dimensional shapes-Cube</v>
      </c>
      <c r="AI203" s="13"/>
      <c r="AJ203" s="13"/>
      <c r="AK203" s="13"/>
      <c r="AL203" s="13"/>
      <c r="AM203" s="13"/>
      <c r="AN203" s="13"/>
      <c r="AO203" s="13"/>
      <c r="AP203" s="13"/>
      <c r="AQ203" s="13"/>
      <c r="AR203" s="13"/>
      <c r="AS203" s="13"/>
      <c r="AT203" s="13"/>
    </row>
    <row r="204" spans="1:46">
      <c r="A204" s="8" t="s">
        <v>247</v>
      </c>
      <c r="B204" s="8" t="s">
        <v>47</v>
      </c>
      <c r="C204" s="8" t="s">
        <v>416</v>
      </c>
      <c r="D204" s="8" t="s">
        <v>49</v>
      </c>
      <c r="E204" s="8" t="s">
        <v>688</v>
      </c>
      <c r="F204" s="8" t="s">
        <v>711</v>
      </c>
      <c r="G204" s="8" t="s">
        <v>713</v>
      </c>
      <c r="H204" s="8" t="str">
        <f ca="1">IFERROR(__xludf.DUMMYFUNCTION("VLOOKUP(G204, IMPORTRANGE(""https://docs.google.com/spreadsheets/d/14deopnvwcrKtEGCKuYXdUHJbeLDZlkiSSWWT0g7x2pM/edit#gid=999382323"", ""LU List Maths (Filter)!A:B""), 2, FALSE)"),"Oblique sketches of a cuboid")</f>
        <v>Oblique sketches of a cuboid</v>
      </c>
      <c r="I204" s="10" t="str">
        <f t="shared" si="0"/>
        <v>LU001030.001</v>
      </c>
      <c r="J204" s="10" t="str">
        <f ca="1">IFERROR(__xludf.DUMMYFUNCTION("VLOOKUP(I204, IMPORTRANGE(""https://docs.google.com/spreadsheets/d/1yDAaXNsi4Mr5FtRQL4tbmSdIzhx6_m4wkOD7IG-k_eo/edit#gid=0"", ""Maths!M:N""), 2, FALSE)"),"Recall the fundamental characteristics and features of oblique sketches of a cuboid.")</f>
        <v>Recall the fundamental characteristics and features of oblique sketches of a cuboid.</v>
      </c>
      <c r="K204" s="10" t="str">
        <f t="shared" si="1"/>
        <v>LU001030.002</v>
      </c>
      <c r="L204" s="10" t="str">
        <f ca="1">IFERROR(__xludf.DUMMYFUNCTION("VLOOKUP(K204, IMPORTRANGE(""https://docs.google.com/spreadsheets/d/1yDAaXNsi4Mr5FtRQL4tbmSdIzhx6_m4wkOD7IG-k_eo/edit#gid=0"", ""Maths!M:N""), 2, FALSE)"),"Explain the concept of creating oblique sketches of a cuboid and their representation of three-dimensional objects on a two-dimensional surface.")</f>
        <v>Explain the concept of creating oblique sketches of a cuboid and their representation of three-dimensional objects on a two-dimensional surface.</v>
      </c>
      <c r="M204" s="10" t="str">
        <f t="shared" si="2"/>
        <v>LU001030.003</v>
      </c>
      <c r="N204" s="10" t="str">
        <f ca="1">IFERROR(__xludf.DUMMYFUNCTION("VLOOKUP(M204, IMPORTRANGE(""https://docs.google.com/spreadsheets/d/1yDAaXNsi4Mr5FtRQL4tbmSdIzhx6_m4wkOD7IG-k_eo/edit#gid=0"", ""Maths!M:N""), 2, FALSE)"),"Demonstrate the ability to accurately draw oblique sketches of cuboids based on provided descriptions or measurements.")</f>
        <v>Demonstrate the ability to accurately draw oblique sketches of cuboids based on provided descriptions or measurements.</v>
      </c>
      <c r="O204" s="10" t="str">
        <f t="shared" si="3"/>
        <v>LU001030.004</v>
      </c>
      <c r="P204" s="10" t="str">
        <f ca="1">IFERROR(__xludf.DUMMYFUNCTION("VLOOKUP(O204, IMPORTRANGE(""https://docs.google.com/spreadsheets/d/1yDAaXNsi4Mr5FtRQL4tbmSdIzhx6_m4wkOD7IG-k_eo/edit#gid=0"", ""Maths!M:N""), 2, FALSE)"),"Analyze different oblique sketches to identify and comprehend the visual representation of a cuboid's attributes.")</f>
        <v>Analyze different oblique sketches to identify and comprehend the visual representation of a cuboid's attributes.</v>
      </c>
      <c r="Q204" s="10" t="str">
        <f t="shared" si="4"/>
        <v>LU001030.005</v>
      </c>
      <c r="R204" s="10" t="str">
        <f ca="1">IFERROR(__xludf.DUMMYFUNCTION("VLOOKUP(Q204, IMPORTRANGE(""https://docs.google.com/spreadsheets/d/1yDAaXNsi4Mr5FtRQL4tbmSdIzhx6_m4wkOD7IG-k_eo/edit#gid=0"", ""Maths!M:N""), 2, FALSE)"),"Evaluate the precision and correctness of oblique sketches of cuboids, identifying any inaccuracies or errors.")</f>
        <v>Evaluate the precision and correctness of oblique sketches of cuboids, identifying any inaccuracies or errors.</v>
      </c>
      <c r="S204" s="10" t="str">
        <f t="shared" si="5"/>
        <v>LU001030.006</v>
      </c>
      <c r="T204" s="10" t="str">
        <f ca="1">IFERROR(__xludf.DUMMYFUNCTION("VLOOKUP(S204, IMPORTRANGE(""https://docs.google.com/spreadsheets/d/1yDAaXNsi4Mr5FtRQL4tbmSdIzhx6_m4wkOD7IG-k_eo/edit#gid=0"", ""Maths!M:N""), 2, FALSE)"),"Create original oblique sketches of cuboids, applying learned principles, and providing clear explanations of the sketching process.")</f>
        <v>Create original oblique sketches of cuboids, applying learned principles, and providing clear explanations of the sketching process.</v>
      </c>
      <c r="U204" s="11">
        <f ca="1">IFERROR(__xludf.DUMMYFUNCTION("ArrayFormula(VLOOKUP(G204, IMPORTRANGE(""https://docs.google.com/spreadsheets/d/1p7R4vtkWt5VOBim4ltsDG9KTzSjrtKXsMtQGXPHyND0/edit#gid=795171502"", ""'Filter 30_05_2024'!A1:M2000""), {2, 3, 4, 5,6,7,8,9,10,11,12,13}, 0))"),4)</f>
        <v>4</v>
      </c>
      <c r="V204" s="11">
        <f ca="1">IFERROR(__xludf.DUMMYFUNCTION("""COMPUTED_VALUE"""),5)</f>
        <v>5</v>
      </c>
      <c r="W204" s="11">
        <f ca="1">IFERROR(__xludf.DUMMYFUNCTION("""COMPUTED_VALUE"""),2)</f>
        <v>2</v>
      </c>
      <c r="X204" s="11">
        <f ca="1">IFERROR(__xludf.DUMMYFUNCTION("""COMPUTED_VALUE"""),11)</f>
        <v>11</v>
      </c>
      <c r="Y204" s="11">
        <f ca="1">IFERROR(__xludf.DUMMYFUNCTION("""COMPUTED_VALUE"""),4)</f>
        <v>4</v>
      </c>
      <c r="Z204" s="12">
        <f ca="1">IFERROR(__xludf.DUMMYFUNCTION("""COMPUTED_VALUE"""),4)</f>
        <v>4</v>
      </c>
      <c r="AA204" s="12">
        <f ca="1">IFERROR(__xludf.DUMMYFUNCTION("""COMPUTED_VALUE"""),1)</f>
        <v>1</v>
      </c>
      <c r="AB204" s="12">
        <f ca="1">IFERROR(__xludf.DUMMYFUNCTION("""COMPUTED_VALUE"""),9)</f>
        <v>9</v>
      </c>
      <c r="AC204" s="12"/>
      <c r="AD204" s="12"/>
      <c r="AE204" s="12"/>
      <c r="AF204" s="12"/>
      <c r="AG204" s="13" t="str">
        <f ca="1">IFERROR(__xludf.DUMMYFUNCTION("ArrayFormula(VLOOKUP(G204, IMPORTRANGE(""https://docs.google.com/spreadsheets/d/1Co934fvtviyaRiMsrIlT05Jaq7iiYq07aLvRr35KA48/edit?gid=173865642#gid=173865642"", ""'G7_Maths_Pri_LU'!G2:V2000""), {3, 4, 5, 6, 7, 8, 9, 10, 11, 12, 13, 14, 15, 16}, 0))"),"LU000251")</f>
        <v>LU000251</v>
      </c>
      <c r="AH204" s="13" t="str">
        <f ca="1">IFERROR(__xludf.DUMMYFUNCTION("""COMPUTED_VALUE"""),"Lexical explanation of three dimensional shapes-cuboids")</f>
        <v>Lexical explanation of three dimensional shapes-cuboids</v>
      </c>
      <c r="AI204" s="13"/>
      <c r="AJ204" s="13"/>
      <c r="AK204" s="13"/>
      <c r="AL204" s="13"/>
      <c r="AM204" s="13"/>
      <c r="AN204" s="13"/>
      <c r="AO204" s="13"/>
      <c r="AP204" s="13"/>
      <c r="AQ204" s="13"/>
      <c r="AR204" s="13"/>
      <c r="AS204" s="13"/>
      <c r="AT204" s="13"/>
    </row>
    <row r="205" spans="1:46">
      <c r="A205" s="8" t="s">
        <v>247</v>
      </c>
      <c r="B205" s="8" t="s">
        <v>47</v>
      </c>
      <c r="C205" s="8" t="s">
        <v>416</v>
      </c>
      <c r="D205" s="8" t="s">
        <v>49</v>
      </c>
      <c r="E205" s="8" t="s">
        <v>688</v>
      </c>
      <c r="F205" s="8" t="s">
        <v>714</v>
      </c>
      <c r="G205" s="8" t="s">
        <v>715</v>
      </c>
      <c r="H205" s="8" t="str">
        <f ca="1">IFERROR(__xludf.DUMMYFUNCTION("VLOOKUP(G205, IMPORTRANGE(""https://docs.google.com/spreadsheets/d/14deopnvwcrKtEGCKuYXdUHJbeLDZlkiSSWWT0g7x2pM/edit#gid=999382323"", ""LU List Maths (Filter)!A:B""), 2, FALSE)"),"Isometric sketches of solid shapes")</f>
        <v>Isometric sketches of solid shapes</v>
      </c>
      <c r="I205" s="10" t="str">
        <f t="shared" si="0"/>
        <v>LU000558.001</v>
      </c>
      <c r="J205" s="10" t="str">
        <f ca="1">IFERROR(__xludf.DUMMYFUNCTION("VLOOKUP(I205, IMPORTRANGE(""https://docs.google.com/spreadsheets/d/1yDAaXNsi4Mr5FtRQL4tbmSdIzhx6_m4wkOD7IG-k_eo/edit#gid=0"", ""Maths!M:N""), 2, FALSE)"),"State that an isometric sketch is a 2D representation of a 3D object where all three dimensions are drawn to scale at 120-degree angles from each other.")</f>
        <v>State that an isometric sketch is a 2D representation of a 3D object where all three dimensions are drawn to scale at 120-degree angles from each other.</v>
      </c>
      <c r="K205" s="10" t="str">
        <f t="shared" si="1"/>
        <v>LU000558.002</v>
      </c>
      <c r="L205" s="10" t="str">
        <f ca="1">IFERROR(__xludf.DUMMYFUNCTION("VLOOKUP(K205, IMPORTRANGE(""https://docs.google.com/spreadsheets/d/1yDAaXNsi4Mr5FtRQL4tbmSdIzhx6_m4wkOD7IG-k_eo/edit#gid=0"", ""Maths!M:N""), 2, FALSE)"),"Describe how isometric sketches provide a more accurate and proportional view of 3D objects.")</f>
        <v>Describe how isometric sketches provide a more accurate and proportional view of 3D objects.</v>
      </c>
      <c r="M205" s="10" t="str">
        <f t="shared" si="2"/>
        <v>LU000558.003</v>
      </c>
      <c r="N205" s="10" t="str">
        <f ca="1">IFERROR(__xludf.DUMMYFUNCTION("VLOOKUP(M205, IMPORTRANGE(""https://docs.google.com/spreadsheets/d/1yDAaXNsi4Mr5FtRQL4tbmSdIzhx6_m4wkOD7IG-k_eo/edit#gid=0"", ""Maths!M:N""), 2, FALSE)"),"Apply knowledge of isometric sketches to create them for common solid shapes.")</f>
        <v>Apply knowledge of isometric sketches to create them for common solid shapes.</v>
      </c>
      <c r="O205" s="10" t="str">
        <f t="shared" si="3"/>
        <v>LU000558.004</v>
      </c>
      <c r="P205" s="10" t="str">
        <f ca="1">IFERROR(__xludf.DUMMYFUNCTION("VLOOKUP(O205, IMPORTRANGE(""https://docs.google.com/spreadsheets/d/1yDAaXNsi4Mr5FtRQL4tbmSdIzhx6_m4wkOD7IG-k_eo/edit#gid=0"", ""Maths!M:N""), 2, FALSE)"),"Analyse complex 3D shapes and determine the appropriate angles and lines for their isometric sketches.")</f>
        <v>Analyse complex 3D shapes and determine the appropriate angles and lines for their isometric sketches.</v>
      </c>
      <c r="Q205" s="10" t="str">
        <f t="shared" si="4"/>
        <v>LU000558.005</v>
      </c>
      <c r="R205" s="10" t="str">
        <f ca="1">IFERROR(__xludf.DUMMYFUNCTION("VLOOKUP(Q205, IMPORTRANGE(""https://docs.google.com/spreadsheets/d/1yDAaXNsi4Mr5FtRQL4tbmSdIzhx6_m4wkOD7IG-k_eo/edit#gid=0"", ""Maths!M:N""), 2, FALSE)"),"Evaluate the effectiveness of using isometric sketches in visualising and communicating 3D shapes.")</f>
        <v>Evaluate the effectiveness of using isometric sketches in visualising and communicating 3D shapes.</v>
      </c>
      <c r="S205" s="10" t="str">
        <f t="shared" si="5"/>
        <v>LU000558.006</v>
      </c>
      <c r="T205" s="10" t="str">
        <f ca="1">IFERROR(__xludf.DUMMYFUNCTION("VLOOKUP(S205, IMPORTRANGE(""https://docs.google.com/spreadsheets/d/1yDAaXNsi4Mr5FtRQL4tbmSdIzhx6_m4wkOD7IG-k_eo/edit#gid=0"", ""Maths!M:N""), 2, FALSE)"),"Design a custom isometric sketch for an abstract sculpture, ensuring that it accurately represents the intended 3D form from an isometric perspective.")</f>
        <v>Design a custom isometric sketch for an abstract sculpture, ensuring that it accurately represents the intended 3D form from an isometric perspective.</v>
      </c>
      <c r="U205" s="11">
        <f ca="1">IFERROR(__xludf.DUMMYFUNCTION("ArrayFormula(VLOOKUP(G205, IMPORTRANGE(""https://docs.google.com/spreadsheets/d/1p7R4vtkWt5VOBim4ltsDG9KTzSjrtKXsMtQGXPHyND0/edit#gid=795171502"", ""'Filter 30_05_2024'!A1:M2000""), {2, 3, 4, 5,6,7,8,9,10,11,12,13}, 0))"),2)</f>
        <v>2</v>
      </c>
      <c r="V205" s="11">
        <f ca="1">IFERROR(__xludf.DUMMYFUNCTION("""COMPUTED_VALUE"""),2)</f>
        <v>2</v>
      </c>
      <c r="W205" s="11">
        <f ca="1">IFERROR(__xludf.DUMMYFUNCTION("""COMPUTED_VALUE"""),2)</f>
        <v>2</v>
      </c>
      <c r="X205" s="11">
        <f ca="1">IFERROR(__xludf.DUMMYFUNCTION("""COMPUTED_VALUE"""),6)</f>
        <v>6</v>
      </c>
      <c r="Y205" s="11">
        <f ca="1">IFERROR(__xludf.DUMMYFUNCTION("""COMPUTED_VALUE"""),6)</f>
        <v>6</v>
      </c>
      <c r="Z205" s="12">
        <f ca="1">IFERROR(__xludf.DUMMYFUNCTION("""COMPUTED_VALUE"""),7)</f>
        <v>7</v>
      </c>
      <c r="AA205" s="12">
        <f ca="1">IFERROR(__xludf.DUMMYFUNCTION("""COMPUTED_VALUE"""),4)</f>
        <v>4</v>
      </c>
      <c r="AB205" s="12">
        <f ca="1">IFERROR(__xludf.DUMMYFUNCTION("""COMPUTED_VALUE"""),17)</f>
        <v>17</v>
      </c>
      <c r="AC205" s="12"/>
      <c r="AD205" s="12"/>
      <c r="AE205" s="12"/>
      <c r="AF205" s="12"/>
      <c r="AG205" s="13" t="str">
        <f ca="1">IFERROR(__xludf.DUMMYFUNCTION("ArrayFormula(VLOOKUP(G205, IMPORTRANGE(""https://docs.google.com/spreadsheets/d/1Co934fvtviyaRiMsrIlT05Jaq7iiYq07aLvRr35KA48/edit?gid=173865642#gid=173865642"", ""'G7_Maths_Pri_LU'!G2:V2000""), {3, 4, 5, 6, 7, 8, 9, 10, 11, 12, 13, 14, 15, 16}, 0))"),"LU000249")</f>
        <v>LU000249</v>
      </c>
      <c r="AH205" s="13" t="str">
        <f ca="1">IFERROR(__xludf.DUMMYFUNCTION("""COMPUTED_VALUE"""),"Lexical explanation of three dimensional shapes-Cube")</f>
        <v>Lexical explanation of three dimensional shapes-Cube</v>
      </c>
      <c r="AI205" s="13" t="str">
        <f ca="1">IFERROR(__xludf.DUMMYFUNCTION("""COMPUTED_VALUE"""),"LU000251")</f>
        <v>LU000251</v>
      </c>
      <c r="AJ205" s="13" t="str">
        <f ca="1">IFERROR(__xludf.DUMMYFUNCTION("""COMPUTED_VALUE"""),"Lexical explanation of three dimensional shapes-cuboids")</f>
        <v>Lexical explanation of three dimensional shapes-cuboids</v>
      </c>
      <c r="AK205" s="13" t="str">
        <f ca="1">IFERROR(__xludf.DUMMYFUNCTION("""COMPUTED_VALUE"""),"LU000078")</f>
        <v>LU000078</v>
      </c>
      <c r="AL205" s="13" t="str">
        <f ca="1">IFERROR(__xludf.DUMMYFUNCTION("""COMPUTED_VALUE"""),"Definition of 3D shapes")</f>
        <v>Definition of 3D shapes</v>
      </c>
      <c r="AM205" s="13"/>
      <c r="AN205" s="13"/>
      <c r="AO205" s="13"/>
      <c r="AP205" s="13"/>
      <c r="AQ205" s="13"/>
      <c r="AR205" s="13"/>
      <c r="AS205" s="13"/>
      <c r="AT205" s="13"/>
    </row>
    <row r="206" spans="1:46">
      <c r="A206" s="8" t="s">
        <v>247</v>
      </c>
      <c r="B206" s="8" t="s">
        <v>47</v>
      </c>
      <c r="C206" s="8" t="s">
        <v>416</v>
      </c>
      <c r="D206" s="8" t="s">
        <v>49</v>
      </c>
      <c r="E206" s="8" t="s">
        <v>688</v>
      </c>
      <c r="F206" s="8" t="s">
        <v>716</v>
      </c>
      <c r="G206" s="8" t="s">
        <v>717</v>
      </c>
      <c r="H206" s="8" t="str">
        <f ca="1">IFERROR(__xludf.DUMMYFUNCTION("VLOOKUP(G206, IMPORTRANGE(""https://docs.google.com/spreadsheets/d/14deopnvwcrKtEGCKuYXdUHJbeLDZlkiSSWWT0g7x2pM/edit#gid=999382323"", ""LU List Maths (Filter)!A:B""), 2, FALSE)"),"View of a cube by cutting or slicing")</f>
        <v>View of a cube by cutting or slicing</v>
      </c>
      <c r="I206" s="10" t="str">
        <f t="shared" si="0"/>
        <v>LU001031.001</v>
      </c>
      <c r="J206" s="10" t="str">
        <f ca="1">IFERROR(__xludf.DUMMYFUNCTION("VLOOKUP(I206, IMPORTRANGE(""https://docs.google.com/spreadsheets/d/1yDAaXNsi4Mr5FtRQL4tbmSdIzhx6_m4wkOD7IG-k_eo/edit#gid=0"", ""Maths!M:N""), 2, FALSE)"),"Recall the concept of viewing a cube by cutting or slicing and its related terminology.")</f>
        <v>Recall the concept of viewing a cube by cutting or slicing and its related terminology.</v>
      </c>
      <c r="K206" s="10" t="str">
        <f t="shared" si="1"/>
        <v>LU001031.002</v>
      </c>
      <c r="L206" s="10" t="str">
        <f ca="1">IFERROR(__xludf.DUMMYFUNCTION("VLOOKUP(K206, IMPORTRANGE(""https://docs.google.com/spreadsheets/d/1yDAaXNsi4Mr5FtRQL4tbmSdIzhx6_m4wkOD7IG-k_eo/edit#gid=0"", ""Maths!M:N""), 2, FALSE)"),"Explain how different cuts or slices can reveal various views of a cube.")</f>
        <v>Explain how different cuts or slices can reveal various views of a cube.</v>
      </c>
      <c r="M206" s="10" t="str">
        <f t="shared" si="2"/>
        <v>LU001031.003</v>
      </c>
      <c r="N206" s="10" t="str">
        <f ca="1">IFERROR(__xludf.DUMMYFUNCTION("VLOOKUP(M206, IMPORTRANGE(""https://docs.google.com/spreadsheets/d/1yDAaXNsi4Mr5FtRQL4tbmSdIzhx6_m4wkOD7IG-k_eo/edit#gid=0"", ""Maths!M:N""), 2, FALSE)"),"Illustrate different views of a cube obtained through cutting or slicing in practical examples.")</f>
        <v>Illustrate different views of a cube obtained through cutting or slicing in practical examples.</v>
      </c>
      <c r="O206" s="10" t="str">
        <f t="shared" si="3"/>
        <v>LU001031.004</v>
      </c>
      <c r="P206" s="10" t="str">
        <f ca="1">IFERROR(__xludf.DUMMYFUNCTION("VLOOKUP(O206, IMPORTRANGE(""https://docs.google.com/spreadsheets/d/1yDAaXNsi4Mr5FtRQL4tbmSdIzhx6_m4wkOD7IG-k_eo/edit#gid=0"", ""Maths!M:N""), 2, FALSE)"),"Analyze and identify the characteristics of different cube views resulting from specific cuts or slices.")</f>
        <v>Analyze and identify the characteristics of different cube views resulting from specific cuts or slices.</v>
      </c>
      <c r="Q206" s="10" t="str">
        <f t="shared" si="4"/>
        <v>LU001031.005</v>
      </c>
      <c r="R206" s="10" t="str">
        <f ca="1">IFERROR(__xludf.DUMMYFUNCTION("VLOOKUP(Q206, IMPORTRANGE(""https://docs.google.com/spreadsheets/d/1yDAaXNsi4Mr5FtRQL4tbmSdIzhx6_m4wkOD7IG-k_eo/edit#gid=0"", ""Maths!M:N""), 2, FALSE)"),"Evaluate the accuracy and appropriateness of cube views obtained through cutting or slicing in different scenarios.")</f>
        <v>Evaluate the accuracy and appropriateness of cube views obtained through cutting or slicing in different scenarios.</v>
      </c>
      <c r="S206" s="10" t="str">
        <f t="shared" si="5"/>
        <v>LU001031.006</v>
      </c>
      <c r="T206" s="10" t="str">
        <f ca="1">IFERROR(__xludf.DUMMYFUNCTION("VLOOKUP(S206, IMPORTRANGE(""https://docs.google.com/spreadsheets/d/1yDAaXNsi4Mr5FtRQL4tbmSdIzhx6_m4wkOD7IG-k_eo/edit#gid=0"", ""Maths!M:N""), 2, FALSE)"),"#N/A")</f>
        <v>#N/A</v>
      </c>
      <c r="U206" s="11">
        <f ca="1">IFERROR(__xludf.DUMMYFUNCTION("ArrayFormula(VLOOKUP(G206, IMPORTRANGE(""https://docs.google.com/spreadsheets/d/1p7R4vtkWt5VOBim4ltsDG9KTzSjrtKXsMtQGXPHyND0/edit#gid=795171502"", ""'Filter 30_05_2024'!A1:M2000""), {2, 3, 4, 5,6,7,8,9,10,11,12,13}, 0))"),4)</f>
        <v>4</v>
      </c>
      <c r="V206" s="11">
        <f ca="1">IFERROR(__xludf.DUMMYFUNCTION("""COMPUTED_VALUE"""),6)</f>
        <v>6</v>
      </c>
      <c r="W206" s="11">
        <f ca="1">IFERROR(__xludf.DUMMYFUNCTION("""COMPUTED_VALUE"""),2)</f>
        <v>2</v>
      </c>
      <c r="X206" s="11">
        <f ca="1">IFERROR(__xludf.DUMMYFUNCTION("""COMPUTED_VALUE"""),12)</f>
        <v>12</v>
      </c>
      <c r="Y206" s="11">
        <f ca="1">IFERROR(__xludf.DUMMYFUNCTION("""COMPUTED_VALUE"""),4)</f>
        <v>4</v>
      </c>
      <c r="Z206" s="12">
        <f ca="1">IFERROR(__xludf.DUMMYFUNCTION("""COMPUTED_VALUE"""),3)</f>
        <v>3</v>
      </c>
      <c r="AA206" s="12">
        <f ca="1">IFERROR(__xludf.DUMMYFUNCTION("""COMPUTED_VALUE"""),1)</f>
        <v>1</v>
      </c>
      <c r="AB206" s="12">
        <f ca="1">IFERROR(__xludf.DUMMYFUNCTION("""COMPUTED_VALUE"""),8)</f>
        <v>8</v>
      </c>
      <c r="AC206" s="12"/>
      <c r="AD206" s="12"/>
      <c r="AE206" s="12"/>
      <c r="AF206" s="12"/>
      <c r="AG206" s="13" t="str">
        <f ca="1">IFERROR(__xludf.DUMMYFUNCTION("ArrayFormula(VLOOKUP(G206, IMPORTRANGE(""https://docs.google.com/spreadsheets/d/1Co934fvtviyaRiMsrIlT05Jaq7iiYq07aLvRr35KA48/edit?gid=173865642#gid=173865642"", ""'G7_Maths_Pri_LU'!G2:V2000""), {3, 4, 5, 6, 7, 8, 9, 10, 11, 12, 13, 14, 15, 16}, 0))"),"LU000249")</f>
        <v>LU000249</v>
      </c>
      <c r="AH206" s="13" t="str">
        <f ca="1">IFERROR(__xludf.DUMMYFUNCTION("""COMPUTED_VALUE"""),"Lexical explanation of three dimensional shapes-Cube")</f>
        <v>Lexical explanation of three dimensional shapes-Cube</v>
      </c>
      <c r="AI206" s="13"/>
      <c r="AJ206" s="13"/>
      <c r="AK206" s="13"/>
      <c r="AL206" s="13"/>
      <c r="AM206" s="13"/>
      <c r="AN206" s="13"/>
      <c r="AO206" s="13"/>
      <c r="AP206" s="13"/>
      <c r="AQ206" s="13"/>
      <c r="AR206" s="13"/>
      <c r="AS206" s="13"/>
      <c r="AT206" s="13"/>
    </row>
    <row r="207" spans="1:46">
      <c r="A207" s="8" t="s">
        <v>247</v>
      </c>
      <c r="B207" s="8" t="s">
        <v>47</v>
      </c>
      <c r="C207" s="8" t="s">
        <v>416</v>
      </c>
      <c r="D207" s="8" t="s">
        <v>49</v>
      </c>
      <c r="E207" s="8" t="s">
        <v>688</v>
      </c>
      <c r="F207" s="8" t="s">
        <v>716</v>
      </c>
      <c r="G207" s="8" t="s">
        <v>718</v>
      </c>
      <c r="H207" s="8" t="str">
        <f ca="1">IFERROR(__xludf.DUMMYFUNCTION("VLOOKUP(G207, IMPORTRANGE(""https://docs.google.com/spreadsheets/d/14deopnvwcrKtEGCKuYXdUHJbeLDZlkiSSWWT0g7x2pM/edit#gid=999382323"", ""LU List Maths (Filter)!A:B""), 2, FALSE)"),"View of a cuboid by cutting or slicing")</f>
        <v>View of a cuboid by cutting or slicing</v>
      </c>
      <c r="I207" s="10" t="str">
        <f t="shared" si="0"/>
        <v>LU001032.001</v>
      </c>
      <c r="J207" s="10" t="str">
        <f ca="1">IFERROR(__xludf.DUMMYFUNCTION("VLOOKUP(I207, IMPORTRANGE(""https://docs.google.com/spreadsheets/d/1yDAaXNsi4Mr5FtRQL4tbmSdIzhx6_m4wkOD7IG-k_eo/edit#gid=0"", ""Maths!M:N""), 2, FALSE)"),"Recall the concept of obtaining different views of a cuboid by cutting or slicing.")</f>
        <v>Recall the concept of obtaining different views of a cuboid by cutting or slicing.</v>
      </c>
      <c r="K207" s="10" t="str">
        <f t="shared" si="1"/>
        <v>LU001032.002</v>
      </c>
      <c r="L207" s="10" t="str">
        <f ca="1">IFERROR(__xludf.DUMMYFUNCTION("VLOOKUP(K207, IMPORTRANGE(""https://docs.google.com/spreadsheets/d/1yDAaXNsi4Mr5FtRQL4tbmSdIzhx6_m4wkOD7IG-k_eo/edit#gid=0"", ""Maths!M:N""), 2, FALSE)"),"Explain how specific cuts or slices can reveal various views of a cuboid.")</f>
        <v>Explain how specific cuts or slices can reveal various views of a cuboid.</v>
      </c>
      <c r="M207" s="10" t="str">
        <f t="shared" si="2"/>
        <v>LU001032.003</v>
      </c>
      <c r="N207" s="10" t="str">
        <f ca="1">IFERROR(__xludf.DUMMYFUNCTION("VLOOKUP(M207, IMPORTRANGE(""https://docs.google.com/spreadsheets/d/1yDAaXNsi4Mr5FtRQL4tbmSdIzhx6_m4wkOD7IG-k_eo/edit#gid=0"", ""Maths!M:N""), 2, FALSE)"),"Illustrate diverse views of a cuboid obtained through cutting or slicing in practical examples.")</f>
        <v>Illustrate diverse views of a cuboid obtained through cutting or slicing in practical examples.</v>
      </c>
      <c r="O207" s="10" t="str">
        <f t="shared" si="3"/>
        <v>LU001032.004</v>
      </c>
      <c r="P207" s="10" t="str">
        <f ca="1">IFERROR(__xludf.DUMMYFUNCTION("VLOOKUP(O207, IMPORTRANGE(""https://docs.google.com/spreadsheets/d/1yDAaXNsi4Mr5FtRQL4tbmSdIzhx6_m4wkOD7IG-k_eo/edit#gid=0"", ""Maths!M:N""), 2, FALSE)"),"Analyze and identify the characteristics of different cuboid views resulting from particular cuts or slices.")</f>
        <v>Analyze and identify the characteristics of different cuboid views resulting from particular cuts or slices.</v>
      </c>
      <c r="Q207" s="10" t="str">
        <f t="shared" si="4"/>
        <v>LU001032.005</v>
      </c>
      <c r="R207" s="10" t="str">
        <f ca="1">IFERROR(__xludf.DUMMYFUNCTION("VLOOKUP(Q207, IMPORTRANGE(""https://docs.google.com/spreadsheets/d/1yDAaXNsi4Mr5FtRQL4tbmSdIzhx6_m4wkOD7IG-k_eo/edit#gid=0"", ""Maths!M:N""), 2, FALSE)"),"Evaluate the precision and suitability of cuboid views obtained through cutting or slicing in various scenarios.")</f>
        <v>Evaluate the precision and suitability of cuboid views obtained through cutting or slicing in various scenarios.</v>
      </c>
      <c r="S207" s="10" t="str">
        <f t="shared" si="5"/>
        <v>LU001032.006</v>
      </c>
      <c r="T207" s="10" t="str">
        <f ca="1">IFERROR(__xludf.DUMMYFUNCTION("VLOOKUP(S207, IMPORTRANGE(""https://docs.google.com/spreadsheets/d/1yDAaXNsi4Mr5FtRQL4tbmSdIzhx6_m4wkOD7IG-k_eo/edit#gid=0"", ""Maths!M:N""), 2, FALSE)"),"#N/A")</f>
        <v>#N/A</v>
      </c>
      <c r="U207" s="11">
        <f ca="1">IFERROR(__xludf.DUMMYFUNCTION("ArrayFormula(VLOOKUP(G207, IMPORTRANGE(""https://docs.google.com/spreadsheets/d/1p7R4vtkWt5VOBim4ltsDG9KTzSjrtKXsMtQGXPHyND0/edit#gid=795171502"", ""'Filter 30_05_2024'!A1:M2000""), {2, 3, 4, 5,6,7,8,9,10,11,12,13}, 0))"),4)</f>
        <v>4</v>
      </c>
      <c r="V207" s="11">
        <f ca="1">IFERROR(__xludf.DUMMYFUNCTION("""COMPUTED_VALUE"""),6)</f>
        <v>6</v>
      </c>
      <c r="W207" s="11">
        <f ca="1">IFERROR(__xludf.DUMMYFUNCTION("""COMPUTED_VALUE"""),2)</f>
        <v>2</v>
      </c>
      <c r="X207" s="11">
        <f ca="1">IFERROR(__xludf.DUMMYFUNCTION("""COMPUTED_VALUE"""),12)</f>
        <v>12</v>
      </c>
      <c r="Y207" s="11">
        <f ca="1">IFERROR(__xludf.DUMMYFUNCTION("""COMPUTED_VALUE"""),4)</f>
        <v>4</v>
      </c>
      <c r="Z207" s="12">
        <f ca="1">IFERROR(__xludf.DUMMYFUNCTION("""COMPUTED_VALUE"""),3)</f>
        <v>3</v>
      </c>
      <c r="AA207" s="12">
        <f ca="1">IFERROR(__xludf.DUMMYFUNCTION("""COMPUTED_VALUE"""),1)</f>
        <v>1</v>
      </c>
      <c r="AB207" s="12">
        <f ca="1">IFERROR(__xludf.DUMMYFUNCTION("""COMPUTED_VALUE"""),8)</f>
        <v>8</v>
      </c>
      <c r="AC207" s="12"/>
      <c r="AD207" s="12"/>
      <c r="AE207" s="12"/>
      <c r="AF207" s="12"/>
      <c r="AG207" s="13" t="str">
        <f ca="1">IFERROR(__xludf.DUMMYFUNCTION("ArrayFormula(VLOOKUP(G207, IMPORTRANGE(""https://docs.google.com/spreadsheets/d/1Co934fvtviyaRiMsrIlT05Jaq7iiYq07aLvRr35KA48/edit?gid=173865642#gid=173865642"", ""'G7_Maths_Pri_LU'!G2:V2000""), {3, 4, 5, 6, 7, 8, 9, 10, 11, 12, 13, 14, 15, 16}, 0))"),"LU000251")</f>
        <v>LU000251</v>
      </c>
      <c r="AH207" s="13" t="str">
        <f ca="1">IFERROR(__xludf.DUMMYFUNCTION("""COMPUTED_VALUE"""),"Lexical explanation of three dimensional shapes-cuboids")</f>
        <v>Lexical explanation of three dimensional shapes-cuboids</v>
      </c>
      <c r="AI207" s="13"/>
      <c r="AJ207" s="13"/>
      <c r="AK207" s="13"/>
      <c r="AL207" s="13"/>
      <c r="AM207" s="13"/>
      <c r="AN207" s="13"/>
      <c r="AO207" s="13"/>
      <c r="AP207" s="13"/>
      <c r="AQ207" s="13"/>
      <c r="AR207" s="13"/>
      <c r="AS207" s="13"/>
      <c r="AT207" s="13"/>
    </row>
    <row r="208" spans="1:46">
      <c r="A208" s="8" t="s">
        <v>247</v>
      </c>
      <c r="B208" s="8" t="s">
        <v>47</v>
      </c>
      <c r="C208" s="8" t="s">
        <v>416</v>
      </c>
      <c r="D208" s="8" t="s">
        <v>49</v>
      </c>
      <c r="E208" s="8" t="s">
        <v>688</v>
      </c>
      <c r="F208" s="8" t="s">
        <v>716</v>
      </c>
      <c r="G208" s="8" t="s">
        <v>719</v>
      </c>
      <c r="H208" s="8" t="str">
        <f ca="1">IFERROR(__xludf.DUMMYFUNCTION("VLOOKUP(G208, IMPORTRANGE(""https://docs.google.com/spreadsheets/d/14deopnvwcrKtEGCKuYXdUHJbeLDZlkiSSWWT0g7x2pM/edit#gid=999382323"", ""LU List Maths (Filter)!A:B""), 2, FALSE)"),"View of a pyramid by cutting or slicing")</f>
        <v>View of a pyramid by cutting or slicing</v>
      </c>
      <c r="I208" s="10" t="str">
        <f t="shared" si="0"/>
        <v>LU001036.001</v>
      </c>
      <c r="J208" s="10" t="str">
        <f ca="1">IFERROR(__xludf.DUMMYFUNCTION("VLOOKUP(I208, IMPORTRANGE(""https://docs.google.com/spreadsheets/d/1yDAaXNsi4Mr5FtRQL4tbmSdIzhx6_m4wkOD7IG-k_eo/edit#gid=0"", ""Maths!M:N""), 2, FALSE)"),"Recall the concept of obtaining different views of a pyramid by cutting or slicing.")</f>
        <v>Recall the concept of obtaining different views of a pyramid by cutting or slicing.</v>
      </c>
      <c r="K208" s="10" t="str">
        <f t="shared" si="1"/>
        <v>LU001036.002</v>
      </c>
      <c r="L208" s="10" t="str">
        <f ca="1">IFERROR(__xludf.DUMMYFUNCTION("VLOOKUP(K208, IMPORTRANGE(""https://docs.google.com/spreadsheets/d/1yDAaXNsi4Mr5FtRQL4tbmSdIzhx6_m4wkOD7IG-k_eo/edit#gid=0"", ""Maths!M:N""), 2, FALSE)"),"Explain how specific cuts or slices can reveal different views of a pyramid and the impact of the cut's location.")</f>
        <v>Explain how specific cuts or slices can reveal different views of a pyramid and the impact of the cut's location.</v>
      </c>
      <c r="M208" s="10" t="str">
        <f t="shared" si="2"/>
        <v>LU001036.003</v>
      </c>
      <c r="N208" s="10" t="str">
        <f ca="1">IFERROR(__xludf.DUMMYFUNCTION("VLOOKUP(M208, IMPORTRANGE(""https://docs.google.com/spreadsheets/d/1yDAaXNsi4Mr5FtRQL4tbmSdIzhx6_m4wkOD7IG-k_eo/edit#gid=0"", ""Maths!M:N""), 2, FALSE)"),"Create visual representations of various views of a pyramid obtained through cutting or slicing, considering different positions and angles of the cut.")</f>
        <v>Create visual representations of various views of a pyramid obtained through cutting or slicing, considering different positions and angles of the cut.</v>
      </c>
      <c r="O208" s="10" t="str">
        <f t="shared" si="3"/>
        <v>LU001036.004</v>
      </c>
      <c r="P208" s="10" t="str">
        <f ca="1">IFERROR(__xludf.DUMMYFUNCTION("VLOOKUP(O208, IMPORTRANGE(""https://docs.google.com/spreadsheets/d/1yDAaXNsi4Mr5FtRQL4tbmSdIzhx6_m4wkOD7IG-k_eo/edit#gid=0"", ""Maths!M:N""), 2, FALSE)"),"Analyze and differentiate between the characteristics of different pyramid views resulting from particular cuts or slices.")</f>
        <v>Analyze and differentiate between the characteristics of different pyramid views resulting from particular cuts or slices.</v>
      </c>
      <c r="Q208" s="10" t="str">
        <f t="shared" si="4"/>
        <v>LU001036.005</v>
      </c>
      <c r="R208" s="10" t="str">
        <f ca="1">IFERROR(__xludf.DUMMYFUNCTION("VLOOKUP(Q208, IMPORTRANGE(""https://docs.google.com/spreadsheets/d/1yDAaXNsi4Mr5FtRQL4tbmSdIzhx6_m4wkOD7IG-k_eo/edit#gid=0"", ""Maths!M:N""), 2, FALSE)"),"Assess the accuracy and suitability of pyramid views obtained through cutting or slicing in various scenarios.")</f>
        <v>Assess the accuracy and suitability of pyramid views obtained through cutting or slicing in various scenarios.</v>
      </c>
      <c r="S208" s="10" t="str">
        <f t="shared" si="5"/>
        <v>LU001036.006</v>
      </c>
      <c r="T208" s="10" t="str">
        <f ca="1">IFERROR(__xludf.DUMMYFUNCTION("VLOOKUP(S208, IMPORTRANGE(""https://docs.google.com/spreadsheets/d/1yDAaXNsi4Mr5FtRQL4tbmSdIzhx6_m4wkOD7IG-k_eo/edit#gid=0"", ""Maths!M:N""), 2, FALSE)"),"#N/A")</f>
        <v>#N/A</v>
      </c>
      <c r="U208" s="11">
        <f ca="1">IFERROR(__xludf.DUMMYFUNCTION("ArrayFormula(VLOOKUP(G208, IMPORTRANGE(""https://docs.google.com/spreadsheets/d/1p7R4vtkWt5VOBim4ltsDG9KTzSjrtKXsMtQGXPHyND0/edit#gid=795171502"", ""'Filter 30_05_2024'!A1:M2000""), {2, 3, 4, 5,6,7,8,9,10,11,12,13}, 0))"),4)</f>
        <v>4</v>
      </c>
      <c r="V208" s="11">
        <f ca="1">IFERROR(__xludf.DUMMYFUNCTION("""COMPUTED_VALUE"""),6)</f>
        <v>6</v>
      </c>
      <c r="W208" s="11">
        <f ca="1">IFERROR(__xludf.DUMMYFUNCTION("""COMPUTED_VALUE"""),2)</f>
        <v>2</v>
      </c>
      <c r="X208" s="11">
        <f ca="1">IFERROR(__xludf.DUMMYFUNCTION("""COMPUTED_VALUE"""),12)</f>
        <v>12</v>
      </c>
      <c r="Y208" s="11">
        <f ca="1">IFERROR(__xludf.DUMMYFUNCTION("""COMPUTED_VALUE"""),4)</f>
        <v>4</v>
      </c>
      <c r="Z208" s="12">
        <f ca="1">IFERROR(__xludf.DUMMYFUNCTION("""COMPUTED_VALUE"""),3)</f>
        <v>3</v>
      </c>
      <c r="AA208" s="12">
        <f ca="1">IFERROR(__xludf.DUMMYFUNCTION("""COMPUTED_VALUE"""),1)</f>
        <v>1</v>
      </c>
      <c r="AB208" s="12">
        <f ca="1">IFERROR(__xludf.DUMMYFUNCTION("""COMPUTED_VALUE"""),8)</f>
        <v>8</v>
      </c>
      <c r="AC208" s="12"/>
      <c r="AD208" s="12"/>
      <c r="AE208" s="12"/>
      <c r="AF208" s="12"/>
      <c r="AG208" s="13" t="str">
        <f ca="1">IFERROR(__xludf.DUMMYFUNCTION("ArrayFormula(VLOOKUP(G208, IMPORTRANGE(""https://docs.google.com/spreadsheets/d/1Co934fvtviyaRiMsrIlT05Jaq7iiYq07aLvRr35KA48/edit?gid=173865642#gid=173865642"", ""'G7_Maths_Pri_LU'!G2:V2000""), {3, 4, 5, 6, 7, 8, 9, 10, 11, 12, 13, 14, 15, 16}, 0))"),"LU000256")</f>
        <v>LU000256</v>
      </c>
      <c r="AH208" s="13" t="str">
        <f ca="1">IFERROR(__xludf.DUMMYFUNCTION("""COMPUTED_VALUE"""),"Lexical explanation of three dimensional shapes-pyramids")</f>
        <v>Lexical explanation of three dimensional shapes-pyramids</v>
      </c>
      <c r="AI208" s="13"/>
      <c r="AJ208" s="13"/>
      <c r="AK208" s="13"/>
      <c r="AL208" s="13"/>
      <c r="AM208" s="13"/>
      <c r="AN208" s="13"/>
      <c r="AO208" s="13"/>
      <c r="AP208" s="13"/>
      <c r="AQ208" s="13"/>
      <c r="AR208" s="13"/>
      <c r="AS208" s="13"/>
      <c r="AT208" s="13"/>
    </row>
    <row r="209" spans="1:46">
      <c r="A209" s="8" t="s">
        <v>247</v>
      </c>
      <c r="B209" s="8" t="s">
        <v>47</v>
      </c>
      <c r="C209" s="8" t="s">
        <v>416</v>
      </c>
      <c r="D209" s="8" t="s">
        <v>49</v>
      </c>
      <c r="E209" s="8" t="s">
        <v>688</v>
      </c>
      <c r="F209" s="8" t="s">
        <v>720</v>
      </c>
      <c r="G209" s="8" t="s">
        <v>721</v>
      </c>
      <c r="H209" s="8" t="str">
        <f ca="1">IFERROR(__xludf.DUMMYFUNCTION("VLOOKUP(G209, IMPORTRANGE(""https://docs.google.com/spreadsheets/d/14deopnvwcrKtEGCKuYXdUHJbeLDZlkiSSWWT0g7x2pM/edit#gid=999382323"", ""LU List Maths (Filter)!A:B""), 2, FALSE)"),"View of a cone by cutting or slicing")</f>
        <v>View of a cone by cutting or slicing</v>
      </c>
      <c r="I209" s="10" t="str">
        <f t="shared" si="0"/>
        <v>LU001033.001</v>
      </c>
      <c r="J209" s="10" t="str">
        <f ca="1">IFERROR(__xludf.DUMMYFUNCTION("VLOOKUP(I209, IMPORTRANGE(""https://docs.google.com/spreadsheets/d/1yDAaXNsi4Mr5FtRQL4tbmSdIzhx6_m4wkOD7IG-k_eo/edit#gid=0"", ""Maths!M:N""), 2, FALSE)"),"Recall the concept of obtaining different views of a cone through cutting or slicing.")</f>
        <v>Recall the concept of obtaining different views of a cone through cutting or slicing.</v>
      </c>
      <c r="K209" s="10" t="str">
        <f t="shared" si="1"/>
        <v>LU001033.002</v>
      </c>
      <c r="L209" s="10" t="str">
        <f ca="1">IFERROR(__xludf.DUMMYFUNCTION("VLOOKUP(K209, IMPORTRANGE(""https://docs.google.com/spreadsheets/d/1yDAaXNsi4Mr5FtRQL4tbmSdIzhx6_m4wkOD7IG-k_eo/edit#gid=0"", ""Maths!M:N""), 2, FALSE)"),"Explain how specific cuts or slices can reveal different views of a cone and the impact of the cut's angle.")</f>
        <v>Explain how specific cuts or slices can reveal different views of a cone and the impact of the cut's angle.</v>
      </c>
      <c r="M209" s="10" t="str">
        <f t="shared" si="2"/>
        <v>LU001033.003</v>
      </c>
      <c r="N209" s="10" t="str">
        <f ca="1">IFERROR(__xludf.DUMMYFUNCTION("VLOOKUP(M209, IMPORTRANGE(""https://docs.google.com/spreadsheets/d/1yDAaXNsi4Mr5FtRQL4tbmSdIzhx6_m4wkOD7IG-k_eo/edit#gid=0"", ""Maths!M:N""), 2, FALSE)"),"Create illustrations of various views of a cone obtained through cutting or slicing, considering different angles and positions of the cut.")</f>
        <v>Create illustrations of various views of a cone obtained through cutting or slicing, considering different angles and positions of the cut.</v>
      </c>
      <c r="O209" s="10" t="str">
        <f t="shared" si="3"/>
        <v>LU001033.004</v>
      </c>
      <c r="P209" s="10" t="str">
        <f ca="1">IFERROR(__xludf.DUMMYFUNCTION("VLOOKUP(O209, IMPORTRANGE(""https://docs.google.com/spreadsheets/d/1yDAaXNsi4Mr5FtRQL4tbmSdIzhx6_m4wkOD7IG-k_eo/edit#gid=0"", ""Maths!M:N""), 2, FALSE)"),"Analyze and distinguish between the characteristics of different cone views resulting from particular cuts or slices.")</f>
        <v>Analyze and distinguish between the characteristics of different cone views resulting from particular cuts or slices.</v>
      </c>
      <c r="Q209" s="10" t="str">
        <f t="shared" si="4"/>
        <v>LU001033.005</v>
      </c>
      <c r="R209" s="10" t="str">
        <f ca="1">IFERROR(__xludf.DUMMYFUNCTION("VLOOKUP(Q209, IMPORTRANGE(""https://docs.google.com/spreadsheets/d/1yDAaXNsi4Mr5FtRQL4tbmSdIzhx6_m4wkOD7IG-k_eo/edit#gid=0"", ""Maths!M:N""), 2, FALSE)"),"Evaluate the accuracy and appropriateness of cone views obtained through cutting or slicing in various scenarios.")</f>
        <v>Evaluate the accuracy and appropriateness of cone views obtained through cutting or slicing in various scenarios.</v>
      </c>
      <c r="S209" s="10" t="str">
        <f t="shared" si="5"/>
        <v>LU001033.006</v>
      </c>
      <c r="T209" s="10" t="str">
        <f ca="1">IFERROR(__xludf.DUMMYFUNCTION("VLOOKUP(S209, IMPORTRANGE(""https://docs.google.com/spreadsheets/d/1yDAaXNsi4Mr5FtRQL4tbmSdIzhx6_m4wkOD7IG-k_eo/edit#gid=0"", ""Maths!M:N""), 2, FALSE)"),"#N/A")</f>
        <v>#N/A</v>
      </c>
      <c r="U209" s="11">
        <f ca="1">IFERROR(__xludf.DUMMYFUNCTION("ArrayFormula(VLOOKUP(G209, IMPORTRANGE(""https://docs.google.com/spreadsheets/d/1p7R4vtkWt5VOBim4ltsDG9KTzSjrtKXsMtQGXPHyND0/edit#gid=795171502"", ""'Filter 30_05_2024'!A1:M2000""), {2, 3, 4, 5,6,7,8,9,10,11,12,13}, 0))"),3)</f>
        <v>3</v>
      </c>
      <c r="V209" s="11">
        <f ca="1">IFERROR(__xludf.DUMMYFUNCTION("""COMPUTED_VALUE"""),4)</f>
        <v>4</v>
      </c>
      <c r="W209" s="11">
        <f ca="1">IFERROR(__xludf.DUMMYFUNCTION("""COMPUTED_VALUE"""),2)</f>
        <v>2</v>
      </c>
      <c r="X209" s="11">
        <f ca="1">IFERROR(__xludf.DUMMYFUNCTION("""COMPUTED_VALUE"""),9)</f>
        <v>9</v>
      </c>
      <c r="Y209" s="11">
        <f ca="1">IFERROR(__xludf.DUMMYFUNCTION("""COMPUTED_VALUE"""),5)</f>
        <v>5</v>
      </c>
      <c r="Z209" s="12">
        <f ca="1">IFERROR(__xludf.DUMMYFUNCTION("""COMPUTED_VALUE"""),5)</f>
        <v>5</v>
      </c>
      <c r="AA209" s="12">
        <f ca="1">IFERROR(__xludf.DUMMYFUNCTION("""COMPUTED_VALUE"""),1)</f>
        <v>1</v>
      </c>
      <c r="AB209" s="12">
        <f ca="1">IFERROR(__xludf.DUMMYFUNCTION("""COMPUTED_VALUE"""),11)</f>
        <v>11</v>
      </c>
      <c r="AC209" s="12"/>
      <c r="AD209" s="12"/>
      <c r="AE209" s="12"/>
      <c r="AF209" s="12"/>
      <c r="AG209" s="13" t="str">
        <f ca="1">IFERROR(__xludf.DUMMYFUNCTION("ArrayFormula(VLOOKUP(G209, IMPORTRANGE(""https://docs.google.com/spreadsheets/d/1Co934fvtviyaRiMsrIlT05Jaq7iiYq07aLvRr35KA48/edit?gid=173865642#gid=173865642"", ""'G7_Maths_Pri_LU'!G2:V2000""), {3, 4, 5, 6, 7, 8, 9, 10, 11, 12, 13, 14, 15, 16}, 0))"),"LU000254")</f>
        <v>LU000254</v>
      </c>
      <c r="AH209" s="13" t="str">
        <f ca="1">IFERROR(__xludf.DUMMYFUNCTION("""COMPUTED_VALUE"""),"Lexical explanation of three dimensional shapes-cones")</f>
        <v>Lexical explanation of three dimensional shapes-cones</v>
      </c>
      <c r="AI209" s="13"/>
      <c r="AJ209" s="13"/>
      <c r="AK209" s="13"/>
      <c r="AL209" s="13"/>
      <c r="AM209" s="13"/>
      <c r="AN209" s="13"/>
      <c r="AO209" s="13"/>
      <c r="AP209" s="13"/>
      <c r="AQ209" s="13"/>
      <c r="AR209" s="13"/>
      <c r="AS209" s="13"/>
      <c r="AT209" s="13"/>
    </row>
    <row r="210" spans="1:46">
      <c r="A210" s="8" t="s">
        <v>247</v>
      </c>
      <c r="B210" s="8" t="s">
        <v>47</v>
      </c>
      <c r="C210" s="8" t="s">
        <v>416</v>
      </c>
      <c r="D210" s="8" t="s">
        <v>49</v>
      </c>
      <c r="E210" s="8" t="s">
        <v>688</v>
      </c>
      <c r="F210" s="8" t="s">
        <v>720</v>
      </c>
      <c r="G210" s="8" t="s">
        <v>722</v>
      </c>
      <c r="H210" s="8" t="str">
        <f ca="1">IFERROR(__xludf.DUMMYFUNCTION("VLOOKUP(G210, IMPORTRANGE(""https://docs.google.com/spreadsheets/d/14deopnvwcrKtEGCKuYXdUHJbeLDZlkiSSWWT0g7x2pM/edit#gid=999382323"", ""LU List Maths (Filter)!A:B""), 2, FALSE)"),"View of a sphere by cutting or slicing")</f>
        <v>View of a sphere by cutting or slicing</v>
      </c>
      <c r="I210" s="10" t="str">
        <f t="shared" si="0"/>
        <v>LU001034.001</v>
      </c>
      <c r="J210" s="10" t="str">
        <f ca="1">IFERROR(__xludf.DUMMYFUNCTION("VLOOKUP(I210, IMPORTRANGE(""https://docs.google.com/spreadsheets/d/1yDAaXNsi4Mr5FtRQL4tbmSdIzhx6_m4wkOD7IG-k_eo/edit#gid=0"", ""Maths!M:N""), 2, FALSE)"),"Recall the concept of obtaining different views of a sphere by cutting or slicing.")</f>
        <v>Recall the concept of obtaining different views of a sphere by cutting or slicing.</v>
      </c>
      <c r="K210" s="10" t="str">
        <f t="shared" si="1"/>
        <v>LU001034.002</v>
      </c>
      <c r="L210" s="10" t="str">
        <f ca="1">IFERROR(__xludf.DUMMYFUNCTION("VLOOKUP(K210, IMPORTRANGE(""https://docs.google.com/spreadsheets/d/1yDAaXNsi4Mr5FtRQL4tbmSdIzhx6_m4wkOD7IG-k_eo/edit#gid=0"", ""Maths!M:N""), 2, FALSE)"),"Explain how specific cuts or slices can reveal different views of a sphere and the impact of the cut's orientation.")</f>
        <v>Explain how specific cuts or slices can reveal different views of a sphere and the impact of the cut's orientation.</v>
      </c>
      <c r="M210" s="10" t="str">
        <f t="shared" si="2"/>
        <v>LU001034.003</v>
      </c>
      <c r="N210" s="10" t="str">
        <f ca="1">IFERROR(__xludf.DUMMYFUNCTION("VLOOKUP(M210, IMPORTRANGE(""https://docs.google.com/spreadsheets/d/1yDAaXNsi4Mr5FtRQL4tbmSdIzhx6_m4wkOD7IG-k_eo/edit#gid=0"", ""Maths!M:N""), 2, FALSE)"),"Create visual representations of various views of a sphere obtained through cutting or slicing, considering different orientations and positions of the cut.")</f>
        <v>Create visual representations of various views of a sphere obtained through cutting or slicing, considering different orientations and positions of the cut.</v>
      </c>
      <c r="O210" s="10" t="str">
        <f t="shared" si="3"/>
        <v>LU001034.004</v>
      </c>
      <c r="P210" s="10" t="str">
        <f ca="1">IFERROR(__xludf.DUMMYFUNCTION("VLOOKUP(O210, IMPORTRANGE(""https://docs.google.com/spreadsheets/d/1yDAaXNsi4Mr5FtRQL4tbmSdIzhx6_m4wkOD7IG-k_eo/edit#gid=0"", ""Maths!M:N""), 2, FALSE)"),"Analyze and differentiate between the characteristics of different sphere views resulting from particular cuts or slices.")</f>
        <v>Analyze and differentiate between the characteristics of different sphere views resulting from particular cuts or slices.</v>
      </c>
      <c r="Q210" s="10" t="str">
        <f t="shared" si="4"/>
        <v>LU001034.005</v>
      </c>
      <c r="R210" s="10" t="str">
        <f ca="1">IFERROR(__xludf.DUMMYFUNCTION("VLOOKUP(Q210, IMPORTRANGE(""https://docs.google.com/spreadsheets/d/1yDAaXNsi4Mr5FtRQL4tbmSdIzhx6_m4wkOD7IG-k_eo/edit#gid=0"", ""Maths!M:N""), 2, FALSE)"),"Assess the accuracy and appropriateness of sphere views obtained through cutting or slicing in various scenarios.")</f>
        <v>Assess the accuracy and appropriateness of sphere views obtained through cutting or slicing in various scenarios.</v>
      </c>
      <c r="S210" s="10" t="str">
        <f t="shared" si="5"/>
        <v>LU001034.006</v>
      </c>
      <c r="T210" s="10" t="str">
        <f ca="1">IFERROR(__xludf.DUMMYFUNCTION("VLOOKUP(S210, IMPORTRANGE(""https://docs.google.com/spreadsheets/d/1yDAaXNsi4Mr5FtRQL4tbmSdIzhx6_m4wkOD7IG-k_eo/edit#gid=0"", ""Maths!M:N""), 2, FALSE)"),"#N/A")</f>
        <v>#N/A</v>
      </c>
      <c r="U210" s="11">
        <f ca="1">IFERROR(__xludf.DUMMYFUNCTION("ArrayFormula(VLOOKUP(G210, IMPORTRANGE(""https://docs.google.com/spreadsheets/d/1p7R4vtkWt5VOBim4ltsDG9KTzSjrtKXsMtQGXPHyND0/edit#gid=795171502"", ""'Filter 30_05_2024'!A1:M2000""), {2, 3, 4, 5,6,7,8,9,10,11,12,13}, 0))"),4)</f>
        <v>4</v>
      </c>
      <c r="V210" s="11">
        <f ca="1">IFERROR(__xludf.DUMMYFUNCTION("""COMPUTED_VALUE"""),6)</f>
        <v>6</v>
      </c>
      <c r="W210" s="11">
        <f ca="1">IFERROR(__xludf.DUMMYFUNCTION("""COMPUTED_VALUE"""),2)</f>
        <v>2</v>
      </c>
      <c r="X210" s="11">
        <f ca="1">IFERROR(__xludf.DUMMYFUNCTION("""COMPUTED_VALUE"""),12)</f>
        <v>12</v>
      </c>
      <c r="Y210" s="11">
        <f ca="1">IFERROR(__xludf.DUMMYFUNCTION("""COMPUTED_VALUE"""),4)</f>
        <v>4</v>
      </c>
      <c r="Z210" s="12">
        <f ca="1">IFERROR(__xludf.DUMMYFUNCTION("""COMPUTED_VALUE"""),3)</f>
        <v>3</v>
      </c>
      <c r="AA210" s="12">
        <f ca="1">IFERROR(__xludf.DUMMYFUNCTION("""COMPUTED_VALUE"""),1)</f>
        <v>1</v>
      </c>
      <c r="AB210" s="12">
        <f ca="1">IFERROR(__xludf.DUMMYFUNCTION("""COMPUTED_VALUE"""),8)</f>
        <v>8</v>
      </c>
      <c r="AC210" s="12"/>
      <c r="AD210" s="12"/>
      <c r="AE210" s="12"/>
      <c r="AF210" s="12"/>
      <c r="AG210" s="13" t="str">
        <f ca="1">IFERROR(__xludf.DUMMYFUNCTION("ArrayFormula(VLOOKUP(G210, IMPORTRANGE(""https://docs.google.com/spreadsheets/d/1Co934fvtviyaRiMsrIlT05Jaq7iiYq07aLvRr35KA48/edit?gid=173865642#gid=173865642"", ""'G7_Maths_Pri_LU'!G2:V2000""), {3, 4, 5, 6, 7, 8, 9, 10, 11, 12, 13, 14, 15, 16}, 0))"),"LU000252")</f>
        <v>LU000252</v>
      </c>
      <c r="AH210" s="13" t="str">
        <f ca="1">IFERROR(__xludf.DUMMYFUNCTION("""COMPUTED_VALUE"""),"Lexical explanation of three dimensional shapes-spheres")</f>
        <v>Lexical explanation of three dimensional shapes-spheres</v>
      </c>
      <c r="AI210" s="13"/>
      <c r="AJ210" s="13"/>
      <c r="AK210" s="13"/>
      <c r="AL210" s="13"/>
      <c r="AM210" s="13"/>
      <c r="AN210" s="13"/>
      <c r="AO210" s="13"/>
      <c r="AP210" s="13"/>
      <c r="AQ210" s="13"/>
      <c r="AR210" s="13"/>
      <c r="AS210" s="13"/>
      <c r="AT210" s="13"/>
    </row>
    <row r="211" spans="1:46">
      <c r="A211" s="8" t="s">
        <v>247</v>
      </c>
      <c r="B211" s="8" t="s">
        <v>47</v>
      </c>
      <c r="C211" s="8" t="s">
        <v>416</v>
      </c>
      <c r="D211" s="8" t="s">
        <v>49</v>
      </c>
      <c r="E211" s="8" t="s">
        <v>688</v>
      </c>
      <c r="F211" s="8" t="s">
        <v>720</v>
      </c>
      <c r="G211" s="8" t="s">
        <v>723</v>
      </c>
      <c r="H211" s="8" t="str">
        <f ca="1">IFERROR(__xludf.DUMMYFUNCTION("VLOOKUP(G211, IMPORTRANGE(""https://docs.google.com/spreadsheets/d/14deopnvwcrKtEGCKuYXdUHJbeLDZlkiSSWWT0g7x2pM/edit#gid=999382323"", ""LU List Maths (Filter)!A:B""), 2, FALSE)"),"View of a cylinder by cutting or slicing")</f>
        <v>View of a cylinder by cutting or slicing</v>
      </c>
      <c r="I211" s="10" t="str">
        <f t="shared" si="0"/>
        <v>LU001035.001</v>
      </c>
      <c r="J211" s="10" t="str">
        <f ca="1">IFERROR(__xludf.DUMMYFUNCTION("VLOOKUP(I211, IMPORTRANGE(""https://docs.google.com/spreadsheets/d/1yDAaXNsi4Mr5FtRQL4tbmSdIzhx6_m4wkOD7IG-k_eo/edit#gid=0"", ""Maths!M:N""), 2, FALSE)"),"Recall the concept of obtaining different views of a cylinder by cutting or slicing.")</f>
        <v>Recall the concept of obtaining different views of a cylinder by cutting or slicing.</v>
      </c>
      <c r="K211" s="10" t="str">
        <f t="shared" si="1"/>
        <v>LU001035.002</v>
      </c>
      <c r="L211" s="10" t="str">
        <f ca="1">IFERROR(__xludf.DUMMYFUNCTION("VLOOKUP(K211, IMPORTRANGE(""https://docs.google.com/spreadsheets/d/1yDAaXNsi4Mr5FtRQL4tbmSdIzhx6_m4wkOD7IG-k_eo/edit#gid=0"", ""Maths!M:N""), 2, FALSE)"),"Explain how specific cuts or slices can reveal different views of a cylinder and the impact of the cut's location.")</f>
        <v>Explain how specific cuts or slices can reveal different views of a cylinder and the impact of the cut's location.</v>
      </c>
      <c r="M211" s="10" t="str">
        <f t="shared" si="2"/>
        <v>LU001035.003</v>
      </c>
      <c r="N211" s="10" t="str">
        <f ca="1">IFERROR(__xludf.DUMMYFUNCTION("VLOOKUP(M211, IMPORTRANGE(""https://docs.google.com/spreadsheets/d/1yDAaXNsi4Mr5FtRQL4tbmSdIzhx6_m4wkOD7IG-k_eo/edit#gid=0"", ""Maths!M:N""), 2, FALSE)"),"Create visual representations of various views of a cylinder obtained through cutting or slicing, considering different positions and angles of the cut.")</f>
        <v>Create visual representations of various views of a cylinder obtained through cutting or slicing, considering different positions and angles of the cut.</v>
      </c>
      <c r="O211" s="10" t="str">
        <f t="shared" si="3"/>
        <v>LU001035.004</v>
      </c>
      <c r="P211" s="10" t="str">
        <f ca="1">IFERROR(__xludf.DUMMYFUNCTION("VLOOKUP(O211, IMPORTRANGE(""https://docs.google.com/spreadsheets/d/1yDAaXNsi4Mr5FtRQL4tbmSdIzhx6_m4wkOD7IG-k_eo/edit#gid=0"", ""Maths!M:N""), 2, FALSE)"),"Analyze and differentiate between the characteristics of different cylinder views resulting from particular cuts or slices.")</f>
        <v>Analyze and differentiate between the characteristics of different cylinder views resulting from particular cuts or slices.</v>
      </c>
      <c r="Q211" s="10" t="str">
        <f t="shared" si="4"/>
        <v>LU001035.005</v>
      </c>
      <c r="R211" s="10" t="str">
        <f ca="1">IFERROR(__xludf.DUMMYFUNCTION("VLOOKUP(Q211, IMPORTRANGE(""https://docs.google.com/spreadsheets/d/1yDAaXNsi4Mr5FtRQL4tbmSdIzhx6_m4wkOD7IG-k_eo/edit#gid=0"", ""Maths!M:N""), 2, FALSE)"),"Assess the accuracy and suitability of cylinder views obtained through cutting or slicing in various scenarios.")</f>
        <v>Assess the accuracy and suitability of cylinder views obtained through cutting or slicing in various scenarios.</v>
      </c>
      <c r="S211" s="10" t="str">
        <f t="shared" si="5"/>
        <v>LU001035.006</v>
      </c>
      <c r="T211" s="10" t="str">
        <f ca="1">IFERROR(__xludf.DUMMYFUNCTION("VLOOKUP(S211, IMPORTRANGE(""https://docs.google.com/spreadsheets/d/1yDAaXNsi4Mr5FtRQL4tbmSdIzhx6_m4wkOD7IG-k_eo/edit#gid=0"", ""Maths!M:N""), 2, FALSE)"),"#N/A")</f>
        <v>#N/A</v>
      </c>
      <c r="U211" s="11">
        <f ca="1">IFERROR(__xludf.DUMMYFUNCTION("ArrayFormula(VLOOKUP(G211, IMPORTRANGE(""https://docs.google.com/spreadsheets/d/1p7R4vtkWt5VOBim4ltsDG9KTzSjrtKXsMtQGXPHyND0/edit#gid=795171502"", ""'Filter 30_05_2024'!A1:M2000""), {2, 3, 4, 5,6,7,8,9,10,11,12,13}, 0))"),4)</f>
        <v>4</v>
      </c>
      <c r="V211" s="11">
        <f ca="1">IFERROR(__xludf.DUMMYFUNCTION("""COMPUTED_VALUE"""),3)</f>
        <v>3</v>
      </c>
      <c r="W211" s="11">
        <f ca="1">IFERROR(__xludf.DUMMYFUNCTION("""COMPUTED_VALUE"""),4)</f>
        <v>4</v>
      </c>
      <c r="X211" s="11">
        <f ca="1">IFERROR(__xludf.DUMMYFUNCTION("""COMPUTED_VALUE"""),11)</f>
        <v>11</v>
      </c>
      <c r="Y211" s="11">
        <f ca="1">IFERROR(__xludf.DUMMYFUNCTION("""COMPUTED_VALUE"""),4)</f>
        <v>4</v>
      </c>
      <c r="Z211" s="12">
        <f ca="1">IFERROR(__xludf.DUMMYFUNCTION("""COMPUTED_VALUE"""),4)</f>
        <v>4</v>
      </c>
      <c r="AA211" s="12">
        <f ca="1">IFERROR(__xludf.DUMMYFUNCTION("""COMPUTED_VALUE"""),1)</f>
        <v>1</v>
      </c>
      <c r="AB211" s="12">
        <f ca="1">IFERROR(__xludf.DUMMYFUNCTION("""COMPUTED_VALUE"""),9)</f>
        <v>9</v>
      </c>
      <c r="AC211" s="12"/>
      <c r="AD211" s="12"/>
      <c r="AE211" s="12"/>
      <c r="AF211" s="12"/>
      <c r="AG211" s="13" t="str">
        <f ca="1">IFERROR(__xludf.DUMMYFUNCTION("ArrayFormula(VLOOKUP(G211, IMPORTRANGE(""https://docs.google.com/spreadsheets/d/1Co934fvtviyaRiMsrIlT05Jaq7iiYq07aLvRr35KA48/edit?gid=173865642#gid=173865642"", ""'G7_Maths_Pri_LU'!G2:V2000""), {3, 4, 5, 6, 7, 8, 9, 10, 11, 12, 13, 14, 15, 16}, 0))"),"LU000253")</f>
        <v>LU000253</v>
      </c>
      <c r="AH211" s="13" t="str">
        <f ca="1">IFERROR(__xludf.DUMMYFUNCTION("""COMPUTED_VALUE"""),"Lexical explanation of three dimensional shapes-cylinders")</f>
        <v>Lexical explanation of three dimensional shapes-cylinders</v>
      </c>
      <c r="AI211" s="13"/>
      <c r="AJ211" s="13"/>
      <c r="AK211" s="13"/>
      <c r="AL211" s="13"/>
      <c r="AM211" s="13"/>
      <c r="AN211" s="13"/>
      <c r="AO211" s="13"/>
      <c r="AP211" s="13"/>
      <c r="AQ211" s="13"/>
      <c r="AR211" s="13"/>
      <c r="AS211" s="13"/>
      <c r="AT211" s="13"/>
    </row>
    <row r="212" spans="1:46">
      <c r="A212" s="8" t="s">
        <v>247</v>
      </c>
      <c r="B212" s="8" t="s">
        <v>47</v>
      </c>
      <c r="C212" s="8" t="s">
        <v>416</v>
      </c>
      <c r="D212" s="8" t="s">
        <v>49</v>
      </c>
      <c r="E212" s="8" t="s">
        <v>688</v>
      </c>
      <c r="F212" s="8" t="s">
        <v>724</v>
      </c>
      <c r="G212" s="8" t="s">
        <v>725</v>
      </c>
      <c r="H212" s="40" t="str">
        <f ca="1">IFERROR(__xludf.DUMMYFUNCTION("VLOOKUP(G212, IMPORTRANGE(""https://docs.google.com/spreadsheets/d/14deopnvwcrKtEGCKuYXdUHJbeLDZlkiSSWWT0g7x2pM/edit#gid=999382323"", ""LU List Maths (Filter)!A:B""), 2, FALSE)"),"View of an object (cube, cuboid, cylinder, sphere, cone) by shadow play")</f>
        <v>View of an object (cube, cuboid, cylinder, sphere, cone) by shadow play</v>
      </c>
      <c r="I212" s="10" t="str">
        <f t="shared" si="0"/>
        <v>LU000561.001</v>
      </c>
      <c r="J212" s="10" t="str">
        <f ca="1">IFERROR(__xludf.DUMMYFUNCTION("VLOOKUP(I212, IMPORTRANGE(""https://docs.google.com/spreadsheets/d/1yDAaXNsi4Mr5FtRQL4tbmSdIzhx6_m4wkOD7IG-k_eo/edit#gid=0"", ""Maths!M:N""), 2, FALSE)"),"State that viewing an object by shadow play involves casting light onto an object to create a shadow revealing its shape and features.")</f>
        <v>State that viewing an object by shadow play involves casting light onto an object to create a shadow revealing its shape and features.</v>
      </c>
      <c r="K212" s="10" t="str">
        <f t="shared" si="1"/>
        <v>LU000561.002</v>
      </c>
      <c r="L212" s="10" t="str">
        <f ca="1">IFERROR(__xludf.DUMMYFUNCTION("VLOOKUP(K212, IMPORTRANGE(""https://docs.google.com/spreadsheets/d/1yDAaXNsi4Mr5FtRQL4tbmSdIzhx6_m4wkOD7IG-k_eo/edit#gid=0"", ""Maths!M:N""), 2, FALSE)"),"Describe how position of source of light can help in understanding the form, symmetry, and dimensions of objects.")</f>
        <v>Describe how position of source of light can help in understanding the form, symmetry, and dimensions of objects.</v>
      </c>
      <c r="M212" s="10" t="str">
        <f t="shared" si="2"/>
        <v>LU000561.003</v>
      </c>
      <c r="N212" s="10" t="str">
        <f ca="1">IFERROR(__xludf.DUMMYFUNCTION("VLOOKUP(M212, IMPORTRANGE(""https://docs.google.com/spreadsheets/d/1yDAaXNsi4Mr5FtRQL4tbmSdIzhx6_m4wkOD7IG-k_eo/edit#gid=0"", ""Maths!M:N""), 2, FALSE)"),"Apply knowledge of shadow play to draw and manipulate shadows for common objects.")</f>
        <v>Apply knowledge of shadow play to draw and manipulate shadows for common objects.</v>
      </c>
      <c r="O212" s="10" t="str">
        <f t="shared" si="3"/>
        <v>LU000561.004</v>
      </c>
      <c r="P212" s="10" t="str">
        <f ca="1">IFERROR(__xludf.DUMMYFUNCTION("VLOOKUP(O212, IMPORTRANGE(""https://docs.google.com/spreadsheets/d/1yDAaXNsi4Mr5FtRQL4tbmSdIzhx6_m4wkOD7IG-k_eo/edit#gid=0"", ""Maths!M:N""), 2, FALSE)"),"Analyse complex objects and determine how shadow can reveal hidden details or symmetries.")</f>
        <v>Analyse complex objects and determine how shadow can reveal hidden details or symmetries.</v>
      </c>
      <c r="Q212" s="10" t="str">
        <f t="shared" si="4"/>
        <v>LU000561.005</v>
      </c>
      <c r="R212" s="10" t="str">
        <f ca="1">IFERROR(__xludf.DUMMYFUNCTION("VLOOKUP(Q212, IMPORTRANGE(""https://docs.google.com/spreadsheets/d/1yDAaXNsi4Mr5FtRQL4tbmSdIzhx6_m4wkOD7IG-k_eo/edit#gid=0"", ""Maths!M:N""), 2, FALSE)"),"Examine the cultural and historical significance of shadow play in various societies.")</f>
        <v>Examine the cultural and historical significance of shadow play in various societies.</v>
      </c>
      <c r="S212" s="10" t="str">
        <f t="shared" si="5"/>
        <v>LU000561.006</v>
      </c>
      <c r="T212" s="10" t="str">
        <f ca="1">IFERROR(__xludf.DUMMYFUNCTION("VLOOKUP(S212, IMPORTRANGE(""https://docs.google.com/spreadsheets/d/1yDAaXNsi4Mr5FtRQL4tbmSdIzhx6_m4wkOD7IG-k_eo/edit#gid=0"", ""Maths!M:N""), 2, FALSE)"),"Design a shadow play performance that creatively depicts a fictional landscape with various objects and characters")</f>
        <v>Design a shadow play performance that creatively depicts a fictional landscape with various objects and characters</v>
      </c>
      <c r="U212" s="11">
        <f ca="1">IFERROR(__xludf.DUMMYFUNCTION("ArrayFormula(VLOOKUP(G212, IMPORTRANGE(""https://docs.google.com/spreadsheets/d/1p7R4vtkWt5VOBim4ltsDG9KTzSjrtKXsMtQGXPHyND0/edit#gid=795171502"", ""'Filter 30_05_2024'!A1:M2000""), {2, 3, 4, 5,6,7,8,9,10,11,12,13}, 0))"),4)</f>
        <v>4</v>
      </c>
      <c r="V212" s="11">
        <f ca="1">IFERROR(__xludf.DUMMYFUNCTION("""COMPUTED_VALUE"""),6)</f>
        <v>6</v>
      </c>
      <c r="W212" s="11">
        <f ca="1">IFERROR(__xludf.DUMMYFUNCTION("""COMPUTED_VALUE"""),2)</f>
        <v>2</v>
      </c>
      <c r="X212" s="11">
        <f ca="1">IFERROR(__xludf.DUMMYFUNCTION("""COMPUTED_VALUE"""),12)</f>
        <v>12</v>
      </c>
      <c r="Y212" s="11">
        <f ca="1">IFERROR(__xludf.DUMMYFUNCTION("""COMPUTED_VALUE"""),4)</f>
        <v>4</v>
      </c>
      <c r="Z212" s="12">
        <f ca="1">IFERROR(__xludf.DUMMYFUNCTION("""COMPUTED_VALUE"""),4)</f>
        <v>4</v>
      </c>
      <c r="AA212" s="12">
        <f ca="1">IFERROR(__xludf.DUMMYFUNCTION("""COMPUTED_VALUE"""),1)</f>
        <v>1</v>
      </c>
      <c r="AB212" s="12">
        <f ca="1">IFERROR(__xludf.DUMMYFUNCTION("""COMPUTED_VALUE"""),9)</f>
        <v>9</v>
      </c>
      <c r="AC212" s="12"/>
      <c r="AD212" s="12"/>
      <c r="AE212" s="12"/>
      <c r="AF212" s="12"/>
      <c r="AG212" s="13" t="str">
        <f ca="1">IFERROR(__xludf.DUMMYFUNCTION("ArrayFormula(VLOOKUP(G212, IMPORTRANGE(""https://docs.google.com/spreadsheets/d/1Co934fvtviyaRiMsrIlT05Jaq7iiYq07aLvRr35KA48/edit?gid=173865642#gid=173865642"", ""'G7_Maths_Pri_LU'!G2:V2000""), {3, 4, 5, 6, 7, 8, 9, 10, 11, 12, 13, 14, 15, 16}, 0))"),"LU000251")</f>
        <v>LU000251</v>
      </c>
      <c r="AH212" s="13" t="str">
        <f ca="1">IFERROR(__xludf.DUMMYFUNCTION("""COMPUTED_VALUE"""),"Lexical explanation of three dimensional shapes-cuboids")</f>
        <v>Lexical explanation of three dimensional shapes-cuboids</v>
      </c>
      <c r="AI212" s="13" t="str">
        <f ca="1">IFERROR(__xludf.DUMMYFUNCTION("""COMPUTED_VALUE"""),"LU000252")</f>
        <v>LU000252</v>
      </c>
      <c r="AJ212" s="13" t="str">
        <f ca="1">IFERROR(__xludf.DUMMYFUNCTION("""COMPUTED_VALUE"""),"Lexical explanation of three dimensional shapes-spheres")</f>
        <v>Lexical explanation of three dimensional shapes-spheres</v>
      </c>
      <c r="AK212" s="13" t="str">
        <f ca="1">IFERROR(__xludf.DUMMYFUNCTION("""COMPUTED_VALUE"""),"LU000253")</f>
        <v>LU000253</v>
      </c>
      <c r="AL212" s="13" t="str">
        <f ca="1">IFERROR(__xludf.DUMMYFUNCTION("""COMPUTED_VALUE"""),"Lexical explanation of three dimensional shapes-cylinders")</f>
        <v>Lexical explanation of three dimensional shapes-cylinders</v>
      </c>
      <c r="AM212" s="13" t="str">
        <f ca="1">IFERROR(__xludf.DUMMYFUNCTION("""COMPUTED_VALUE"""),"LU000254")</f>
        <v>LU000254</v>
      </c>
      <c r="AN212" s="13" t="str">
        <f ca="1">IFERROR(__xludf.DUMMYFUNCTION("""COMPUTED_VALUE"""),"Lexical explanation of three dimensional shapes-cones")</f>
        <v>Lexical explanation of three dimensional shapes-cones</v>
      </c>
      <c r="AO212" s="13" t="str">
        <f ca="1">IFERROR(__xludf.DUMMYFUNCTION("""COMPUTED_VALUE"""),"LU000254")</f>
        <v>LU000254</v>
      </c>
      <c r="AP212" s="13" t="str">
        <f ca="1">IFERROR(__xludf.DUMMYFUNCTION("""COMPUTED_VALUE"""),"Lexical explanation of three dimensional shapes-cones")</f>
        <v>Lexical explanation of three dimensional shapes-cones</v>
      </c>
      <c r="AQ212" s="13"/>
      <c r="AR212" s="13"/>
      <c r="AS212" s="13"/>
      <c r="AT212" s="13"/>
    </row>
    <row r="213" spans="1:46">
      <c r="A213" s="8" t="s">
        <v>247</v>
      </c>
      <c r="B213" s="8" t="s">
        <v>47</v>
      </c>
      <c r="C213" s="8" t="s">
        <v>416</v>
      </c>
      <c r="D213" s="8" t="s">
        <v>49</v>
      </c>
      <c r="E213" s="8" t="s">
        <v>688</v>
      </c>
      <c r="F213" s="8" t="s">
        <v>726</v>
      </c>
      <c r="G213" s="8" t="s">
        <v>727</v>
      </c>
      <c r="H213" s="8" t="str">
        <f ca="1">IFERROR(__xludf.DUMMYFUNCTION("VLOOKUP(G213, IMPORTRANGE(""https://docs.google.com/spreadsheets/d/14deopnvwcrKtEGCKuYXdUHJbeLDZlkiSSWWT0g7x2pM/edit#gid=999382323"", ""LU List Maths (Filter)!A:B""), 2, FALSE)"),"View(side, front and top) of an object from certain angles")</f>
        <v>View(side, front and top) of an object from certain angles</v>
      </c>
      <c r="I213" s="10" t="str">
        <f t="shared" si="0"/>
        <v>LU000562.001</v>
      </c>
      <c r="J213" s="10" t="str">
        <f ca="1">IFERROR(__xludf.DUMMYFUNCTION("VLOOKUP(I213, IMPORTRANGE(""https://docs.google.com/spreadsheets/d/1yDAaXNsi4Mr5FtRQL4tbmSdIzhx6_m4wkOD7IG-k_eo/edit#gid=0"", ""Maths!M:N""), 2, FALSE)"),"State that viewing an object from different angles involves examining its appearance from the side, front and top")</f>
        <v>State that viewing an object from different angles involves examining its appearance from the side, front and top</v>
      </c>
      <c r="K213" s="10" t="str">
        <f t="shared" si="1"/>
        <v>LU000562.002</v>
      </c>
      <c r="L213" s="10" t="str">
        <f ca="1">IFERROR(__xludf.DUMMYFUNCTION("VLOOKUP(K213, IMPORTRANGE(""https://docs.google.com/spreadsheets/d/1yDAaXNsi4Mr5FtRQL4tbmSdIzhx6_m4wkOD7IG-k_eo/edit#gid=0"", ""Maths!M:N""), 2, FALSE)"),"Describe how viewing an object from side, front, and top angles helps in recognizing its symmetry, proportions, and spatial relationships.")</f>
        <v>Describe how viewing an object from side, front, and top angles helps in recognizing its symmetry, proportions, and spatial relationships.</v>
      </c>
      <c r="M213" s="10" t="str">
        <f t="shared" si="2"/>
        <v>LU000562.003</v>
      </c>
      <c r="N213" s="10" t="str">
        <f ca="1">IFERROR(__xludf.DUMMYFUNCTION("VLOOKUP(M213, IMPORTRANGE(""https://docs.google.com/spreadsheets/d/1yDAaXNsi4Mr5FtRQL4tbmSdIzhx6_m4wkOD7IG-k_eo/edit#gid=0"", ""Maths!M:N""), 2, FALSE)"),"Apply knowledge of viewing objects from various angles to create visual representations of common objects.")</f>
        <v>Apply knowledge of viewing objects from various angles to create visual representations of common objects.</v>
      </c>
      <c r="O213" s="10" t="str">
        <f t="shared" si="3"/>
        <v>LU000562.004</v>
      </c>
      <c r="P213" s="10" t="str">
        <f ca="1">IFERROR(__xludf.DUMMYFUNCTION("VLOOKUP(O213, IMPORTRANGE(""https://docs.google.com/spreadsheets/d/1yDAaXNsi4Mr5FtRQL4tbmSdIzhx6_m4wkOD7IG-k_eo/edit#gid=0"", ""Maths!M:N""), 2, FALSE)"),"Analyse complex objects and determine the specific angles needed to capture their key features.")</f>
        <v>Analyse complex objects and determine the specific angles needed to capture their key features.</v>
      </c>
      <c r="Q213" s="10" t="str">
        <f t="shared" si="4"/>
        <v>LU000562.005</v>
      </c>
      <c r="R213" s="10" t="str">
        <f ca="1">IFERROR(__xludf.DUMMYFUNCTION("VLOOKUP(Q213, IMPORTRANGE(""https://docs.google.com/spreadsheets/d/1yDAaXNsi4Mr5FtRQL4tbmSdIzhx6_m4wkOD7IG-k_eo/edit#gid=0"", ""Maths!M:N""), 2, FALSE)"),"Assess how the practice of examining objects from multiple angles enhances the accuracy of architectural blueprints and the development of 3D models in engineering")</f>
        <v>Assess how the practice of examining objects from multiple angles enhances the accuracy of architectural blueprints and the development of 3D models in engineering</v>
      </c>
      <c r="S213" s="10" t="str">
        <f t="shared" si="5"/>
        <v>LU000562.006</v>
      </c>
      <c r="T213" s="10" t="str">
        <f ca="1">IFERROR(__xludf.DUMMYFUNCTION("VLOOKUP(S213, IMPORTRANGE(""https://docs.google.com/spreadsheets/d/1yDAaXNsi4Mr5FtRQL4tbmSdIzhx6_m4wkOD7IG-k_eo/edit#gid=0"", ""Maths!M:N""), 2, FALSE)"),"Generate original visual representations of objects viewed from side, front, and top angles.")</f>
        <v>Generate original visual representations of objects viewed from side, front, and top angles.</v>
      </c>
      <c r="U213" s="11">
        <f ca="1">IFERROR(__xludf.DUMMYFUNCTION("ArrayFormula(VLOOKUP(G213, IMPORTRANGE(""https://docs.google.com/spreadsheets/d/1p7R4vtkWt5VOBim4ltsDG9KTzSjrtKXsMtQGXPHyND0/edit#gid=795171502"", ""'Filter 30_05_2024'!A1:M2000""), {2, 3, 4, 5,6,7,8,9,10,11,12,13}, 0))"),2)</f>
        <v>2</v>
      </c>
      <c r="V213" s="11">
        <f ca="1">IFERROR(__xludf.DUMMYFUNCTION("""COMPUTED_VALUE"""),4)</f>
        <v>4</v>
      </c>
      <c r="W213" s="11">
        <f ca="1">IFERROR(__xludf.DUMMYFUNCTION("""COMPUTED_VALUE"""),2)</f>
        <v>2</v>
      </c>
      <c r="X213" s="11">
        <f ca="1">IFERROR(__xludf.DUMMYFUNCTION("""COMPUTED_VALUE"""),8)</f>
        <v>8</v>
      </c>
      <c r="Y213" s="11">
        <f ca="1">IFERROR(__xludf.DUMMYFUNCTION("""COMPUTED_VALUE"""),6)</f>
        <v>6</v>
      </c>
      <c r="Z213" s="12">
        <f ca="1">IFERROR(__xludf.DUMMYFUNCTION("""COMPUTED_VALUE"""),5)</f>
        <v>5</v>
      </c>
      <c r="AA213" s="12">
        <f ca="1">IFERROR(__xludf.DUMMYFUNCTION("""COMPUTED_VALUE"""),1)</f>
        <v>1</v>
      </c>
      <c r="AB213" s="12">
        <f ca="1">IFERROR(__xludf.DUMMYFUNCTION("""COMPUTED_VALUE"""),12)</f>
        <v>12</v>
      </c>
      <c r="AC213" s="12"/>
      <c r="AD213" s="12"/>
      <c r="AE213" s="12"/>
      <c r="AF213" s="12"/>
      <c r="AG213" s="13" t="str">
        <f ca="1">IFERROR(__xludf.DUMMYFUNCTION("ArrayFormula(VLOOKUP(G213, IMPORTRANGE(""https://docs.google.com/spreadsheets/d/1Co934fvtviyaRiMsrIlT05Jaq7iiYq07aLvRr35KA48/edit?gid=173865642#gid=173865642"", ""'G7_Maths_Pri_LU'!G2:V2000""), {3, 4, 5, 6, 7, 8, 9, 10, 11, 12, 13, 14, 15, 16}, 0))"),"LU000251")</f>
        <v>LU000251</v>
      </c>
      <c r="AH213" s="13" t="str">
        <f ca="1">IFERROR(__xludf.DUMMYFUNCTION("""COMPUTED_VALUE"""),"Lexical explanation of three dimensional shapes-cuboids")</f>
        <v>Lexical explanation of three dimensional shapes-cuboids</v>
      </c>
      <c r="AI213" s="13" t="str">
        <f ca="1">IFERROR(__xludf.DUMMYFUNCTION("""COMPUTED_VALUE"""),"LU000252")</f>
        <v>LU000252</v>
      </c>
      <c r="AJ213" s="13" t="str">
        <f ca="1">IFERROR(__xludf.DUMMYFUNCTION("""COMPUTED_VALUE"""),"Lexical explanation of three dimensional shapes-spheres")</f>
        <v>Lexical explanation of three dimensional shapes-spheres</v>
      </c>
      <c r="AK213" s="13" t="str">
        <f ca="1">IFERROR(__xludf.DUMMYFUNCTION("""COMPUTED_VALUE"""),"LU000253")</f>
        <v>LU000253</v>
      </c>
      <c r="AL213" s="13" t="str">
        <f ca="1">IFERROR(__xludf.DUMMYFUNCTION("""COMPUTED_VALUE"""),"Lexical explanation of three dimensional shapes-cylinders")</f>
        <v>Lexical explanation of three dimensional shapes-cylinders</v>
      </c>
      <c r="AM213" s="13" t="str">
        <f ca="1">IFERROR(__xludf.DUMMYFUNCTION("""COMPUTED_VALUE"""),"LU000254")</f>
        <v>LU000254</v>
      </c>
      <c r="AN213" s="13" t="str">
        <f ca="1">IFERROR(__xludf.DUMMYFUNCTION("""COMPUTED_VALUE"""),"Lexical explanation of three dimensional shapes-cones")</f>
        <v>Lexical explanation of three dimensional shapes-cones</v>
      </c>
      <c r="AO213" s="13" t="str">
        <f ca="1">IFERROR(__xludf.DUMMYFUNCTION("""COMPUTED_VALUE"""),"LU000254")</f>
        <v>LU000254</v>
      </c>
      <c r="AP213" s="13" t="str">
        <f ca="1">IFERROR(__xludf.DUMMYFUNCTION("""COMPUTED_VALUE"""),"Lexical explanation of three dimensional shapes-cones")</f>
        <v>Lexical explanation of three dimensional shapes-cones</v>
      </c>
      <c r="AQ213" s="13"/>
      <c r="AR213" s="13"/>
      <c r="AS213" s="13"/>
      <c r="AT213" s="13"/>
    </row>
    <row r="214" spans="1:46">
      <c r="A214" s="8" t="s">
        <v>247</v>
      </c>
      <c r="B214" s="8" t="s">
        <v>47</v>
      </c>
      <c r="C214" s="8" t="s">
        <v>416</v>
      </c>
      <c r="D214" s="8" t="s">
        <v>49</v>
      </c>
      <c r="E214" s="8" t="s">
        <v>688</v>
      </c>
      <c r="F214" s="8" t="s">
        <v>728</v>
      </c>
      <c r="G214" s="8" t="s">
        <v>729</v>
      </c>
      <c r="H214" s="8" t="str">
        <f ca="1">IFERROR(__xludf.DUMMYFUNCTION("VLOOKUP(G214, IMPORTRANGE(""https://docs.google.com/spreadsheets/d/14deopnvwcrKtEGCKuYXdUHJbeLDZlkiSSWWT0g7x2pM/edit#gid=999382323"", ""LU List Maths (Filter)!A:B""), 2, FALSE)"),"View of different sections of a solid")</f>
        <v>View of different sections of a solid</v>
      </c>
      <c r="I214" s="10" t="str">
        <f t="shared" si="0"/>
        <v>LU000559.001</v>
      </c>
      <c r="J214" s="10" t="str">
        <f ca="1">IFERROR(__xludf.DUMMYFUNCTION("VLOOKUP(I214, IMPORTRANGE(""https://docs.google.com/spreadsheets/d/1yDAaXNsi4Mr5FtRQL4tbmSdIzhx6_m4wkOD7IG-k_eo/edit#gid=0"", ""Maths!M:N""), 2, FALSE)"),"State that sections of a solid refer to 2D views or slices that reveal its internal structure and details.")</f>
        <v>State that sections of a solid refer to 2D views or slices that reveal its internal structure and details.</v>
      </c>
      <c r="K214" s="10" t="str">
        <f t="shared" si="1"/>
        <v>LU000559.002</v>
      </c>
      <c r="L214" s="10" t="str">
        <f ca="1">IFERROR(__xludf.DUMMYFUNCTION("VLOOKUP(K214, IMPORTRANGE(""https://docs.google.com/spreadsheets/d/1yDAaXNsi4Mr5FtRQL4tbmSdIzhx6_m4wkOD7IG-k_eo/edit#gid=0"", ""Maths!M:N""), 2, FALSE)"),"Explain why viewing different sections of a solid is valuable for understanding its inner composition.")</f>
        <v>Explain why viewing different sections of a solid is valuable for understanding its inner composition.</v>
      </c>
      <c r="M214" s="10" t="str">
        <f t="shared" si="2"/>
        <v>LU000559.003</v>
      </c>
      <c r="N214" s="10" t="str">
        <f ca="1">IFERROR(__xludf.DUMMYFUNCTION("VLOOKUP(M214, IMPORTRANGE(""https://docs.google.com/spreadsheets/d/1yDAaXNsi4Mr5FtRQL4tbmSdIzhx6_m4wkOD7IG-k_eo/edit#gid=0"", ""Maths!M:N""), 2, FALSE)"),"Apply knowledge of different sections to identify and draw them for common solids.")</f>
        <v>Apply knowledge of different sections to identify and draw them for common solids.</v>
      </c>
      <c r="O214" s="10" t="str">
        <f t="shared" si="3"/>
        <v>LU000559.004</v>
      </c>
      <c r="P214" s="10" t="str">
        <f ca="1">IFERROR(__xludf.DUMMYFUNCTION("VLOOKUP(O214, IMPORTRANGE(""https://docs.google.com/spreadsheets/d/1yDAaXNsi4Mr5FtRQL4tbmSdIzhx6_m4wkOD7IG-k_eo/edit#gid=0"", ""Maths!M:N""), 2, FALSE)"),"Compare the perspectives obtained from different sections of a solid to identify commonalities and differences")</f>
        <v>Compare the perspectives obtained from different sections of a solid to identify commonalities and differences</v>
      </c>
      <c r="Q214" s="10" t="str">
        <f t="shared" si="4"/>
        <v>LU000559.005</v>
      </c>
      <c r="R214" s="10" t="str">
        <f ca="1">IFERROR(__xludf.DUMMYFUNCTION("VLOOKUP(Q214, IMPORTRANGE(""https://docs.google.com/spreadsheets/d/1yDAaXNsi4Mr5FtRQL4tbmSdIzhx6_m4wkOD7IG-k_eo/edit#gid=0"", ""Maths!M:N""), 2, FALSE)"),"Evaluate the effectiveness of viewing different sections in solving real-world problems related to solid geometry.")</f>
        <v>Evaluate the effectiveness of viewing different sections in solving real-world problems related to solid geometry.</v>
      </c>
      <c r="S214" s="10" t="str">
        <f t="shared" si="5"/>
        <v>LU000559.006</v>
      </c>
      <c r="T214" s="10" t="str">
        <f ca="1">IFERROR(__xludf.DUMMYFUNCTION("VLOOKUP(S214, IMPORTRANGE(""https://docs.google.com/spreadsheets/d/1yDAaXNsi4Mr5FtRQL4tbmSdIzhx6_m4wkOD7IG-k_eo/edit#gid=0"", ""Maths!M:N""), 2, FALSE)"),"Generate original diagrams and visual representations of different sections of unique 3D shapes.")</f>
        <v>Generate original diagrams and visual representations of different sections of unique 3D shapes.</v>
      </c>
      <c r="U214" s="11">
        <f ca="1">IFERROR(__xludf.DUMMYFUNCTION("ArrayFormula(VLOOKUP(G214, IMPORTRANGE(""https://docs.google.com/spreadsheets/d/1p7R4vtkWt5VOBim4ltsDG9KTzSjrtKXsMtQGXPHyND0/edit#gid=795171502"", ""'Filter 30_05_2024'!A1:M2000""), {2, 3, 4, 5,6,7,8,9,10,11,12,13}, 0))"),4)</f>
        <v>4</v>
      </c>
      <c r="V214" s="11">
        <f ca="1">IFERROR(__xludf.DUMMYFUNCTION("""COMPUTED_VALUE"""),6)</f>
        <v>6</v>
      </c>
      <c r="W214" s="11">
        <f ca="1">IFERROR(__xludf.DUMMYFUNCTION("""COMPUTED_VALUE"""),2)</f>
        <v>2</v>
      </c>
      <c r="X214" s="11">
        <f ca="1">IFERROR(__xludf.DUMMYFUNCTION("""COMPUTED_VALUE"""),12)</f>
        <v>12</v>
      </c>
      <c r="Y214" s="11">
        <f ca="1">IFERROR(__xludf.DUMMYFUNCTION("""COMPUTED_VALUE"""),4)</f>
        <v>4</v>
      </c>
      <c r="Z214" s="12">
        <f ca="1">IFERROR(__xludf.DUMMYFUNCTION("""COMPUTED_VALUE"""),3)</f>
        <v>3</v>
      </c>
      <c r="AA214" s="12">
        <f ca="1">IFERROR(__xludf.DUMMYFUNCTION("""COMPUTED_VALUE"""),1)</f>
        <v>1</v>
      </c>
      <c r="AB214" s="12">
        <f ca="1">IFERROR(__xludf.DUMMYFUNCTION("""COMPUTED_VALUE"""),8)</f>
        <v>8</v>
      </c>
      <c r="AC214" s="12"/>
      <c r="AD214" s="12"/>
      <c r="AE214" s="12"/>
      <c r="AF214" s="12"/>
      <c r="AG214" s="13" t="str">
        <f ca="1">IFERROR(__xludf.DUMMYFUNCTION("ArrayFormula(VLOOKUP(G214, IMPORTRANGE(""https://docs.google.com/spreadsheets/d/1Co934fvtviyaRiMsrIlT05Jaq7iiYq07aLvRr35KA48/edit?gid=173865642#gid=173865642"", ""'G7_Maths_Pri_LU'!G2:V2000""), {3, 4, 5, 6, 7, 8, 9, 10, 11, 12, 13, 14, 15, 16}, 0))"),"LU000561")</f>
        <v>LU000561</v>
      </c>
      <c r="AH214" s="13" t="str">
        <f ca="1">IFERROR(__xludf.DUMMYFUNCTION("""COMPUTED_VALUE"""),"View of an object (cube, cuboid, cylinder, sphere, cone) by shadow play")</f>
        <v>View of an object (cube, cuboid, cylinder, sphere, cone) by shadow play</v>
      </c>
      <c r="AI214" s="13" t="str">
        <f ca="1">IFERROR(__xludf.DUMMYFUNCTION("""COMPUTED_VALUE"""),"LU000562")</f>
        <v>LU000562</v>
      </c>
      <c r="AJ214" s="13" t="str">
        <f ca="1">IFERROR(__xludf.DUMMYFUNCTION("""COMPUTED_VALUE"""),"View(side, front and top) of an object from certain angles")</f>
        <v>View(side, front and top) of an object from certain angles</v>
      </c>
      <c r="AK214" s="13"/>
      <c r="AL214" s="13"/>
      <c r="AM214" s="13"/>
      <c r="AN214" s="13"/>
      <c r="AO214" s="13"/>
      <c r="AP214" s="13"/>
      <c r="AQ214" s="13"/>
      <c r="AR214" s="13"/>
      <c r="AS214" s="13"/>
      <c r="AT214" s="13"/>
    </row>
    <row r="215" spans="1:46">
      <c r="A215" s="8" t="s">
        <v>247</v>
      </c>
      <c r="B215" s="8" t="s">
        <v>47</v>
      </c>
      <c r="C215" s="8" t="s">
        <v>416</v>
      </c>
      <c r="D215" s="8" t="s">
        <v>49</v>
      </c>
      <c r="E215" s="8" t="s">
        <v>688</v>
      </c>
      <c r="F215" s="8" t="s">
        <v>728</v>
      </c>
      <c r="G215" s="8" t="s">
        <v>730</v>
      </c>
      <c r="H215" s="8" t="str">
        <f ca="1">IFERROR(__xludf.DUMMYFUNCTION("VLOOKUP(G215, IMPORTRANGE(""https://docs.google.com/spreadsheets/d/14deopnvwcrKtEGCKuYXdUHJbeLDZlkiSSWWT0g7x2pM/edit#gid=999382323"", ""LU List Maths (Filter)!A:B""), 2, FALSE)"),"Visualisation of three dimensional shapes by viewing the smallest unit")</f>
        <v>Visualisation of three dimensional shapes by viewing the smallest unit</v>
      </c>
      <c r="I215" s="10" t="str">
        <f t="shared" si="0"/>
        <v>LU000563.001</v>
      </c>
      <c r="J215" s="10" t="str">
        <f ca="1">IFERROR(__xludf.DUMMYFUNCTION("VLOOKUP(I215, IMPORTRANGE(""https://docs.google.com/spreadsheets/d/1yDAaXNsi4Mr5FtRQL4tbmSdIzhx6_m4wkOD7IG-k_eo/edit#gid=0"", ""Maths!M:N""), 2, FALSE)"),"State that visualizing 3D shapes by viewing the smallest unit involves mentally breaking down complex objects into basic building blocks for better understanding.")</f>
        <v>State that visualizing 3D shapes by viewing the smallest unit involves mentally breaking down complex objects into basic building blocks for better understanding.</v>
      </c>
      <c r="K215" s="10" t="str">
        <f t="shared" si="1"/>
        <v>LU000563.002</v>
      </c>
      <c r="L215" s="10" t="str">
        <f ca="1">IFERROR(__xludf.DUMMYFUNCTION("VLOOKUP(K215, IMPORTRANGE(""https://docs.google.com/spreadsheets/d/1yDAaXNsi4Mr5FtRQL4tbmSdIzhx6_m4wkOD7IG-k_eo/edit#gid=0"", ""Maths!M:N""), 2, FALSE)"),"Explain why visualizing the smallest unit is important for understanding complex 3D shapes.")</f>
        <v>Explain why visualizing the smallest unit is important for understanding complex 3D shapes.</v>
      </c>
      <c r="M215" s="10" t="str">
        <f t="shared" si="2"/>
        <v>LU000563.003</v>
      </c>
      <c r="N215" s="10" t="str">
        <f ca="1">IFERROR(__xludf.DUMMYFUNCTION("VLOOKUP(M215, IMPORTRANGE(""https://docs.google.com/spreadsheets/d/1yDAaXNsi4Mr5FtRQL4tbmSdIzhx6_m4wkOD7IG-k_eo/edit#gid=0"", ""Maths!M:N""), 2, FALSE)"),"Apply the technique of viewing the smallest unit to analyse and describe common 3D objects.")</f>
        <v>Apply the technique of viewing the smallest unit to analyse and describe common 3D objects.</v>
      </c>
      <c r="O215" s="10" t="str">
        <f t="shared" si="3"/>
        <v>LU000563.004</v>
      </c>
      <c r="P215" s="10" t="str">
        <f ca="1">IFERROR(__xludf.DUMMYFUNCTION("VLOOKUP(O215, IMPORTRANGE(""https://docs.google.com/spreadsheets/d/1yDAaXNsi4Mr5FtRQL4tbmSdIzhx6_m4wkOD7IG-k_eo/edit#gid=0"", ""Maths!M:N""), 2, FALSE)"),"Analyse intricate 3D objects and determine the most efficient approach to visualising them by examining their smallest units.")</f>
        <v>Analyse intricate 3D objects and determine the most efficient approach to visualising them by examining their smallest units.</v>
      </c>
      <c r="Q215" s="10" t="str">
        <f t="shared" si="4"/>
        <v>LU000563.005</v>
      </c>
      <c r="R215" s="10" t="str">
        <f ca="1">IFERROR(__xludf.DUMMYFUNCTION("VLOOKUP(Q215, IMPORTRANGE(""https://docs.google.com/spreadsheets/d/1yDAaXNsi4Mr5FtRQL4tbmSdIzhx6_m4wkOD7IG-k_eo/edit#gid=0"", ""Maths!M:N""), 2, FALSE)"),"Evaluate the effectiveness of visualising 3D shapes through their smallest units in problem-solving and design.")</f>
        <v>Evaluate the effectiveness of visualising 3D shapes through their smallest units in problem-solving and design.</v>
      </c>
      <c r="S215" s="10" t="str">
        <f t="shared" si="5"/>
        <v>LU000563.006</v>
      </c>
      <c r="T215" s="10" t="str">
        <f ca="1">IFERROR(__xludf.DUMMYFUNCTION("VLOOKUP(S215, IMPORTRANGE(""https://docs.google.com/spreadsheets/d/1yDAaXNsi4Mr5FtRQL4tbmSdIzhx6_m4wkOD7IG-k_eo/edit#gid=0"", ""Maths!M:N""), 2, FALSE)"),"Create a custom 3D sculpture that incorporates various geometric elements, demonstrating the ability to visualise and create complex shapes from basic building blocks.")</f>
        <v>Create a custom 3D sculpture that incorporates various geometric elements, demonstrating the ability to visualise and create complex shapes from basic building blocks.</v>
      </c>
      <c r="U215" s="11">
        <f ca="1">IFERROR(__xludf.DUMMYFUNCTION("ArrayFormula(VLOOKUP(G215, IMPORTRANGE(""https://docs.google.com/spreadsheets/d/1p7R4vtkWt5VOBim4ltsDG9KTzSjrtKXsMtQGXPHyND0/edit#gid=795171502"", ""'Filter 30_05_2024'!A1:M2000""), {2, 3, 4, 5,6,7,8,9,10,11,12,13}, 0))"),4)</f>
        <v>4</v>
      </c>
      <c r="V215" s="11">
        <f ca="1">IFERROR(__xludf.DUMMYFUNCTION("""COMPUTED_VALUE"""),4)</f>
        <v>4</v>
      </c>
      <c r="W215" s="11">
        <f ca="1">IFERROR(__xludf.DUMMYFUNCTION("""COMPUTED_VALUE"""),2)</f>
        <v>2</v>
      </c>
      <c r="X215" s="11">
        <f ca="1">IFERROR(__xludf.DUMMYFUNCTION("""COMPUTED_VALUE"""),10)</f>
        <v>10</v>
      </c>
      <c r="Y215" s="11">
        <f ca="1">IFERROR(__xludf.DUMMYFUNCTION("""COMPUTED_VALUE"""),4)</f>
        <v>4</v>
      </c>
      <c r="Z215" s="12">
        <f ca="1">IFERROR(__xludf.DUMMYFUNCTION("""COMPUTED_VALUE"""),5)</f>
        <v>5</v>
      </c>
      <c r="AA215" s="12">
        <f ca="1">IFERROR(__xludf.DUMMYFUNCTION("""COMPUTED_VALUE"""),3)</f>
        <v>3</v>
      </c>
      <c r="AB215" s="12">
        <f ca="1">IFERROR(__xludf.DUMMYFUNCTION("""COMPUTED_VALUE"""),12)</f>
        <v>12</v>
      </c>
      <c r="AC215" s="12"/>
      <c r="AD215" s="12"/>
      <c r="AE215" s="12"/>
      <c r="AF215" s="12"/>
      <c r="AG215" s="13" t="str">
        <f ca="1">IFERROR(__xludf.DUMMYFUNCTION("ArrayFormula(VLOOKUP(G215, IMPORTRANGE(""https://docs.google.com/spreadsheets/d/1Co934fvtviyaRiMsrIlT05Jaq7iiYq07aLvRr35KA48/edit?gid=173865642#gid=173865642"", ""'G7_Maths_Pri_LU'!G2:V2000""), {3, 4, 5, 6, 7, 8, 9, 10, 11, 12, 13, 14, 15, 16}, 0))"),"LU000562")</f>
        <v>LU000562</v>
      </c>
      <c r="AH215" s="13" t="str">
        <f ca="1">IFERROR(__xludf.DUMMYFUNCTION("""COMPUTED_VALUE"""),"View(side, front and top) of an object from certain angles")</f>
        <v>View(side, front and top) of an object from certain angles</v>
      </c>
      <c r="AI215" s="13" t="str">
        <f ca="1">IFERROR(__xludf.DUMMYFUNCTION("""COMPUTED_VALUE"""),"LU000561")</f>
        <v>LU000561</v>
      </c>
      <c r="AJ215" s="13" t="str">
        <f ca="1">IFERROR(__xludf.DUMMYFUNCTION("""COMPUTED_VALUE"""),"View of an object (cube, cuboid, cylinder, sphere, cone) by shadow play")</f>
        <v>View of an object (cube, cuboid, cylinder, sphere, cone) by shadow play</v>
      </c>
      <c r="AK215" s="13"/>
      <c r="AL215" s="13"/>
      <c r="AM215" s="13"/>
      <c r="AN215" s="13"/>
      <c r="AO215" s="13"/>
      <c r="AP215" s="13"/>
      <c r="AQ215" s="13"/>
      <c r="AR215" s="13"/>
      <c r="AS215" s="13"/>
      <c r="AT215" s="13"/>
    </row>
    <row r="216" spans="1:46">
      <c r="A216" s="8"/>
      <c r="B216" s="8"/>
      <c r="C216" s="8"/>
      <c r="D216" s="8"/>
      <c r="E216" s="8"/>
      <c r="F216" s="8"/>
      <c r="G216" s="8"/>
      <c r="H216" s="8"/>
      <c r="I216" s="8"/>
      <c r="J216" s="8"/>
      <c r="K216" s="8"/>
      <c r="L216" s="8"/>
      <c r="M216" s="8"/>
      <c r="N216" s="8"/>
      <c r="O216" s="8"/>
      <c r="P216" s="8"/>
      <c r="Q216" s="8"/>
      <c r="R216" s="8"/>
      <c r="S216" s="8"/>
      <c r="T216" s="8"/>
      <c r="U216" s="12"/>
      <c r="V216" s="12"/>
      <c r="W216" s="12"/>
      <c r="X216" s="12"/>
      <c r="Y216" s="12"/>
      <c r="Z216" s="12"/>
      <c r="AA216" s="12"/>
      <c r="AB216" s="12"/>
      <c r="AC216" s="12"/>
      <c r="AD216" s="12"/>
      <c r="AE216" s="12"/>
      <c r="AF216" s="12"/>
    </row>
    <row r="217" spans="1:46">
      <c r="A217" s="8"/>
      <c r="B217" s="8"/>
      <c r="C217" s="8"/>
      <c r="D217" s="8"/>
      <c r="E217" s="8"/>
      <c r="F217" s="8"/>
      <c r="G217" s="8"/>
      <c r="H217" s="8"/>
      <c r="I217" s="8"/>
      <c r="J217" s="8"/>
      <c r="K217" s="8"/>
      <c r="L217" s="8"/>
      <c r="M217" s="8"/>
      <c r="N217" s="8"/>
      <c r="O217" s="8"/>
      <c r="P217" s="8"/>
      <c r="Q217" s="8"/>
      <c r="R217" s="8"/>
      <c r="S217" s="8"/>
      <c r="T217" s="8"/>
      <c r="U217" s="12"/>
      <c r="V217" s="12"/>
      <c r="W217" s="12"/>
      <c r="X217" s="12"/>
      <c r="Y217" s="12"/>
      <c r="Z217" s="12"/>
      <c r="AA217" s="12"/>
      <c r="AB217" s="12"/>
      <c r="AC217" s="12"/>
      <c r="AD217" s="12"/>
      <c r="AE217" s="12"/>
      <c r="AF217" s="12"/>
    </row>
    <row r="218" spans="1:46">
      <c r="A218" s="8"/>
      <c r="B218" s="8"/>
      <c r="C218" s="8"/>
      <c r="D218" s="8"/>
      <c r="E218" s="8"/>
      <c r="F218" s="8"/>
      <c r="G218" s="8"/>
      <c r="H218" s="8"/>
      <c r="I218" s="8"/>
      <c r="J218" s="8"/>
      <c r="K218" s="8"/>
      <c r="L218" s="8"/>
      <c r="M218" s="8"/>
      <c r="N218" s="8"/>
      <c r="O218" s="8"/>
      <c r="P218" s="8"/>
      <c r="Q218" s="8"/>
      <c r="R218" s="8"/>
      <c r="S218" s="8"/>
      <c r="T218" s="8"/>
      <c r="U218" s="12"/>
      <c r="V218" s="12"/>
      <c r="W218" s="12"/>
      <c r="X218" s="12"/>
      <c r="Y218" s="12"/>
      <c r="Z218" s="12"/>
      <c r="AA218" s="12"/>
      <c r="AB218" s="12"/>
      <c r="AC218" s="12"/>
      <c r="AD218" s="12"/>
      <c r="AE218" s="12"/>
      <c r="AF218" s="12"/>
    </row>
    <row r="219" spans="1:46">
      <c r="A219" s="8"/>
      <c r="B219" s="8"/>
      <c r="C219" s="8"/>
      <c r="D219" s="8"/>
      <c r="E219" s="8"/>
      <c r="F219" s="8"/>
      <c r="G219" s="30"/>
      <c r="H219" s="8"/>
      <c r="I219" s="8"/>
      <c r="J219" s="8"/>
      <c r="K219" s="8"/>
      <c r="L219" s="8"/>
      <c r="M219" s="8"/>
      <c r="N219" s="8"/>
      <c r="O219" s="8"/>
      <c r="P219" s="8"/>
      <c r="Q219" s="8"/>
      <c r="R219" s="8"/>
      <c r="S219" s="8"/>
      <c r="T219" s="8"/>
      <c r="U219" s="12"/>
      <c r="V219" s="12"/>
      <c r="W219" s="12"/>
      <c r="X219" s="12"/>
      <c r="Y219" s="12"/>
      <c r="Z219" s="12"/>
      <c r="AA219" s="12"/>
      <c r="AB219" s="12"/>
      <c r="AC219" s="12"/>
      <c r="AD219" s="12"/>
      <c r="AE219" s="12"/>
      <c r="AF219" s="12"/>
    </row>
    <row r="220" spans="1:46">
      <c r="A220" s="8"/>
      <c r="B220" s="8"/>
      <c r="C220" s="8"/>
      <c r="D220" s="8"/>
      <c r="E220" s="8"/>
      <c r="F220" s="8"/>
      <c r="G220" s="8"/>
      <c r="H220" s="8"/>
      <c r="I220" s="8"/>
      <c r="J220" s="8"/>
      <c r="K220" s="8"/>
      <c r="L220" s="8"/>
      <c r="M220" s="8"/>
      <c r="N220" s="8"/>
      <c r="O220" s="8"/>
      <c r="P220" s="8"/>
      <c r="Q220" s="8"/>
      <c r="R220" s="8"/>
      <c r="S220" s="8"/>
      <c r="T220" s="8"/>
      <c r="U220" s="12"/>
      <c r="V220" s="12"/>
      <c r="W220" s="12"/>
      <c r="X220" s="12"/>
      <c r="Y220" s="12"/>
      <c r="Z220" s="12"/>
      <c r="AA220" s="12"/>
      <c r="AB220" s="12"/>
      <c r="AC220" s="12"/>
      <c r="AD220" s="12"/>
      <c r="AE220" s="12"/>
      <c r="AF220" s="12"/>
    </row>
    <row r="221" spans="1:46">
      <c r="A221" s="8"/>
      <c r="B221" s="8"/>
      <c r="C221" s="8"/>
      <c r="D221" s="8"/>
      <c r="E221" s="8"/>
      <c r="F221" s="8"/>
      <c r="G221" s="8"/>
      <c r="H221" s="8"/>
      <c r="I221" s="8"/>
      <c r="J221" s="8"/>
      <c r="K221" s="8"/>
      <c r="L221" s="8"/>
      <c r="M221" s="8"/>
      <c r="N221" s="8"/>
      <c r="O221" s="8"/>
      <c r="P221" s="8"/>
      <c r="Q221" s="8"/>
      <c r="R221" s="8"/>
      <c r="S221" s="8"/>
      <c r="T221" s="8"/>
      <c r="U221" s="12"/>
      <c r="V221" s="12"/>
      <c r="W221" s="12"/>
      <c r="X221" s="12"/>
      <c r="Y221" s="12"/>
      <c r="Z221" s="12"/>
      <c r="AA221" s="12"/>
      <c r="AB221" s="12"/>
      <c r="AC221" s="12"/>
      <c r="AD221" s="12"/>
      <c r="AE221" s="12"/>
      <c r="AF221" s="12"/>
    </row>
    <row r="222" spans="1:46">
      <c r="A222" s="8"/>
      <c r="B222" s="8"/>
      <c r="C222" s="8"/>
      <c r="D222" s="8"/>
      <c r="E222" s="8"/>
      <c r="F222" s="8"/>
      <c r="G222" s="8"/>
      <c r="H222" s="8"/>
      <c r="I222" s="8"/>
      <c r="J222" s="8"/>
      <c r="K222" s="8"/>
      <c r="L222" s="8"/>
      <c r="M222" s="8"/>
      <c r="N222" s="8"/>
      <c r="O222" s="8"/>
      <c r="P222" s="8"/>
      <c r="Q222" s="8"/>
      <c r="R222" s="8"/>
      <c r="S222" s="8"/>
      <c r="T222" s="8"/>
      <c r="U222" s="12"/>
      <c r="V222" s="12"/>
      <c r="W222" s="12"/>
      <c r="X222" s="12"/>
      <c r="Y222" s="12"/>
      <c r="Z222" s="12"/>
      <c r="AA222" s="12"/>
      <c r="AB222" s="12"/>
      <c r="AC222" s="12"/>
      <c r="AD222" s="12"/>
      <c r="AE222" s="12"/>
      <c r="AF222" s="12"/>
    </row>
    <row r="223" spans="1:46">
      <c r="A223" s="8"/>
      <c r="B223" s="8"/>
      <c r="C223" s="8"/>
      <c r="D223" s="8"/>
      <c r="E223" s="8"/>
      <c r="F223" s="8"/>
      <c r="G223" s="8"/>
      <c r="H223" s="8"/>
      <c r="I223" s="8"/>
      <c r="J223" s="8"/>
      <c r="K223" s="8"/>
      <c r="L223" s="8"/>
      <c r="M223" s="8"/>
      <c r="N223" s="8"/>
      <c r="O223" s="8"/>
      <c r="P223" s="8"/>
      <c r="Q223" s="8"/>
      <c r="R223" s="8"/>
      <c r="S223" s="8"/>
      <c r="T223" s="8"/>
      <c r="U223" s="12"/>
      <c r="V223" s="12"/>
      <c r="W223" s="12"/>
      <c r="X223" s="12"/>
      <c r="Y223" s="12"/>
      <c r="Z223" s="12"/>
      <c r="AA223" s="12"/>
      <c r="AB223" s="12"/>
      <c r="AC223" s="12"/>
      <c r="AD223" s="12"/>
      <c r="AE223" s="12"/>
      <c r="AF223" s="12"/>
    </row>
    <row r="224" spans="1:46">
      <c r="A224" s="8"/>
      <c r="B224" s="8"/>
      <c r="C224" s="8"/>
      <c r="D224" s="8"/>
      <c r="E224" s="8"/>
      <c r="F224" s="8"/>
      <c r="G224" s="8"/>
      <c r="H224" s="8"/>
      <c r="I224" s="8"/>
      <c r="J224" s="8"/>
      <c r="K224" s="8"/>
      <c r="L224" s="8"/>
      <c r="M224" s="8"/>
      <c r="N224" s="8"/>
      <c r="O224" s="8"/>
      <c r="P224" s="8"/>
      <c r="Q224" s="8"/>
      <c r="R224" s="8"/>
      <c r="S224" s="8"/>
      <c r="T224" s="8"/>
      <c r="U224" s="12"/>
      <c r="V224" s="12"/>
      <c r="W224" s="12"/>
      <c r="X224" s="12"/>
      <c r="Y224" s="12"/>
      <c r="Z224" s="12"/>
      <c r="AA224" s="12"/>
      <c r="AB224" s="12"/>
      <c r="AC224" s="12"/>
      <c r="AD224" s="12"/>
      <c r="AE224" s="12"/>
      <c r="AF224" s="12"/>
    </row>
    <row r="225" spans="1:32">
      <c r="A225" s="8"/>
      <c r="B225" s="8"/>
      <c r="C225" s="8"/>
      <c r="D225" s="8"/>
      <c r="E225" s="8"/>
      <c r="F225" s="8"/>
      <c r="G225" s="8"/>
      <c r="H225" s="8"/>
      <c r="I225" s="8"/>
      <c r="J225" s="8"/>
      <c r="K225" s="8"/>
      <c r="L225" s="8"/>
      <c r="M225" s="8"/>
      <c r="N225" s="8"/>
      <c r="O225" s="8"/>
      <c r="P225" s="8"/>
      <c r="Q225" s="8"/>
      <c r="R225" s="8"/>
      <c r="S225" s="8"/>
      <c r="T225" s="8"/>
      <c r="U225" s="12"/>
      <c r="V225" s="12"/>
      <c r="W225" s="12"/>
      <c r="X225" s="12"/>
      <c r="Y225" s="12"/>
      <c r="Z225" s="12"/>
      <c r="AA225" s="12"/>
      <c r="AB225" s="12"/>
      <c r="AC225" s="12"/>
      <c r="AD225" s="12"/>
      <c r="AE225" s="12"/>
      <c r="AF225" s="12"/>
    </row>
    <row r="226" spans="1:32">
      <c r="A226" s="8"/>
      <c r="B226" s="8"/>
      <c r="C226" s="8"/>
      <c r="D226" s="8"/>
      <c r="E226" s="8"/>
      <c r="F226" s="8"/>
      <c r="G226" s="8"/>
      <c r="H226" s="8"/>
      <c r="I226" s="8"/>
      <c r="J226" s="8"/>
      <c r="K226" s="8"/>
      <c r="L226" s="8"/>
      <c r="M226" s="8"/>
      <c r="N226" s="8"/>
      <c r="O226" s="8"/>
      <c r="P226" s="8"/>
      <c r="Q226" s="8"/>
      <c r="R226" s="8"/>
      <c r="S226" s="8"/>
      <c r="T226" s="8"/>
      <c r="U226" s="12"/>
      <c r="V226" s="12"/>
      <c r="W226" s="12"/>
      <c r="X226" s="12"/>
      <c r="Y226" s="12"/>
      <c r="Z226" s="12"/>
      <c r="AA226" s="12"/>
      <c r="AB226" s="12"/>
      <c r="AC226" s="12"/>
      <c r="AD226" s="12"/>
      <c r="AE226" s="12"/>
      <c r="AF226" s="12"/>
    </row>
    <row r="227" spans="1:32">
      <c r="A227" s="8"/>
      <c r="B227" s="8"/>
      <c r="C227" s="8"/>
      <c r="D227" s="8"/>
      <c r="E227" s="8"/>
      <c r="F227" s="8"/>
      <c r="G227" s="8"/>
      <c r="H227" s="8"/>
      <c r="I227" s="8"/>
      <c r="J227" s="8"/>
      <c r="K227" s="8"/>
      <c r="L227" s="8"/>
      <c r="M227" s="8"/>
      <c r="N227" s="8"/>
      <c r="O227" s="8"/>
      <c r="P227" s="8"/>
      <c r="Q227" s="8"/>
      <c r="R227" s="8"/>
      <c r="S227" s="8"/>
      <c r="T227" s="8"/>
      <c r="U227" s="12"/>
      <c r="V227" s="12"/>
      <c r="W227" s="12"/>
      <c r="X227" s="12"/>
      <c r="Y227" s="12"/>
      <c r="Z227" s="12"/>
      <c r="AA227" s="12"/>
      <c r="AB227" s="12"/>
      <c r="AC227" s="12"/>
      <c r="AD227" s="12"/>
      <c r="AE227" s="12"/>
      <c r="AF227" s="12"/>
    </row>
    <row r="228" spans="1:32">
      <c r="A228" s="8"/>
      <c r="B228" s="8"/>
      <c r="C228" s="8"/>
      <c r="D228" s="8"/>
      <c r="E228" s="8"/>
      <c r="F228" s="8"/>
      <c r="G228" s="8"/>
      <c r="H228" s="8"/>
      <c r="I228" s="8"/>
      <c r="J228" s="8"/>
      <c r="K228" s="8"/>
      <c r="L228" s="8"/>
      <c r="M228" s="8"/>
      <c r="N228" s="8"/>
      <c r="O228" s="8"/>
      <c r="P228" s="8"/>
      <c r="Q228" s="8"/>
      <c r="R228" s="8"/>
      <c r="S228" s="8"/>
      <c r="T228" s="8"/>
      <c r="U228" s="12"/>
      <c r="V228" s="12"/>
      <c r="W228" s="12"/>
      <c r="X228" s="12"/>
      <c r="Y228" s="12"/>
      <c r="Z228" s="12"/>
      <c r="AA228" s="12"/>
      <c r="AB228" s="12"/>
      <c r="AC228" s="12"/>
      <c r="AD228" s="12"/>
      <c r="AE228" s="12"/>
      <c r="AF228" s="12"/>
    </row>
    <row r="229" spans="1:32">
      <c r="A229" s="8"/>
      <c r="B229" s="8"/>
      <c r="C229" s="8"/>
      <c r="D229" s="8"/>
      <c r="E229" s="8"/>
      <c r="F229" s="8"/>
      <c r="G229" s="8"/>
      <c r="H229" s="8"/>
      <c r="I229" s="8"/>
      <c r="J229" s="8"/>
      <c r="K229" s="8"/>
      <c r="L229" s="8"/>
      <c r="M229" s="8"/>
      <c r="N229" s="8"/>
      <c r="O229" s="8"/>
      <c r="P229" s="8"/>
      <c r="Q229" s="8"/>
      <c r="R229" s="8"/>
      <c r="S229" s="8"/>
      <c r="T229" s="8"/>
      <c r="U229" s="12"/>
      <c r="V229" s="12"/>
      <c r="W229" s="12"/>
      <c r="X229" s="12"/>
      <c r="Y229" s="12"/>
      <c r="Z229" s="12"/>
      <c r="AA229" s="12"/>
      <c r="AB229" s="12"/>
      <c r="AC229" s="12"/>
      <c r="AD229" s="12"/>
      <c r="AE229" s="12"/>
      <c r="AF229" s="12"/>
    </row>
    <row r="230" spans="1:32">
      <c r="A230" s="8"/>
      <c r="B230" s="8"/>
      <c r="C230" s="8"/>
      <c r="D230" s="8"/>
      <c r="E230" s="8"/>
      <c r="F230" s="8"/>
      <c r="G230" s="8"/>
      <c r="H230" s="8"/>
      <c r="I230" s="8"/>
      <c r="J230" s="8"/>
      <c r="K230" s="8"/>
      <c r="L230" s="8"/>
      <c r="M230" s="8"/>
      <c r="N230" s="8"/>
      <c r="O230" s="8"/>
      <c r="P230" s="8"/>
      <c r="Q230" s="8"/>
      <c r="R230" s="8"/>
      <c r="S230" s="8"/>
      <c r="T230" s="8"/>
      <c r="U230" s="12"/>
      <c r="V230" s="12"/>
      <c r="W230" s="12"/>
      <c r="X230" s="12"/>
      <c r="Y230" s="12"/>
      <c r="Z230" s="12"/>
      <c r="AA230" s="12"/>
      <c r="AB230" s="12"/>
      <c r="AC230" s="12"/>
      <c r="AD230" s="12"/>
      <c r="AE230" s="12"/>
      <c r="AF230" s="12"/>
    </row>
    <row r="231" spans="1:32">
      <c r="A231" s="8"/>
      <c r="B231" s="8"/>
      <c r="C231" s="8"/>
      <c r="D231" s="8"/>
      <c r="E231" s="8"/>
      <c r="F231" s="8"/>
      <c r="G231" s="8"/>
      <c r="H231" s="8"/>
      <c r="I231" s="8"/>
      <c r="J231" s="8"/>
      <c r="K231" s="8"/>
      <c r="L231" s="8"/>
      <c r="M231" s="8"/>
      <c r="N231" s="8"/>
      <c r="O231" s="8"/>
      <c r="P231" s="8"/>
      <c r="Q231" s="8"/>
      <c r="R231" s="8"/>
      <c r="S231" s="8"/>
      <c r="T231" s="8"/>
      <c r="U231" s="12"/>
      <c r="V231" s="12"/>
      <c r="W231" s="12"/>
      <c r="X231" s="12"/>
      <c r="Y231" s="12"/>
      <c r="Z231" s="12"/>
      <c r="AA231" s="12"/>
      <c r="AB231" s="12"/>
      <c r="AC231" s="12"/>
      <c r="AD231" s="12"/>
      <c r="AE231" s="12"/>
      <c r="AF231" s="12"/>
    </row>
    <row r="232" spans="1:32">
      <c r="A232" s="8"/>
      <c r="B232" s="8"/>
      <c r="C232" s="8"/>
      <c r="D232" s="8"/>
      <c r="E232" s="8"/>
      <c r="F232" s="8"/>
      <c r="G232" s="8"/>
      <c r="H232" s="8"/>
      <c r="I232" s="8"/>
      <c r="J232" s="8"/>
      <c r="K232" s="8"/>
      <c r="L232" s="8"/>
      <c r="M232" s="8"/>
      <c r="N232" s="8"/>
      <c r="O232" s="8"/>
      <c r="P232" s="8"/>
      <c r="Q232" s="8"/>
      <c r="R232" s="8"/>
      <c r="S232" s="8"/>
      <c r="T232" s="8"/>
      <c r="U232" s="12"/>
      <c r="V232" s="12"/>
      <c r="W232" s="12"/>
      <c r="X232" s="12"/>
      <c r="Y232" s="12"/>
      <c r="Z232" s="12"/>
      <c r="AA232" s="12"/>
      <c r="AB232" s="12"/>
      <c r="AC232" s="12"/>
      <c r="AD232" s="12"/>
      <c r="AE232" s="12"/>
      <c r="AF232" s="12"/>
    </row>
    <row r="233" spans="1:32">
      <c r="A233" s="8"/>
      <c r="B233" s="8"/>
      <c r="C233" s="8"/>
      <c r="D233" s="8"/>
      <c r="E233" s="8"/>
      <c r="F233" s="8"/>
      <c r="G233" s="8"/>
      <c r="H233" s="8"/>
      <c r="I233" s="8"/>
      <c r="J233" s="8"/>
      <c r="K233" s="8"/>
      <c r="L233" s="8"/>
      <c r="M233" s="8"/>
      <c r="N233" s="8"/>
      <c r="O233" s="8"/>
      <c r="P233" s="8"/>
      <c r="Q233" s="8"/>
      <c r="R233" s="8"/>
      <c r="S233" s="8"/>
      <c r="T233" s="8"/>
      <c r="U233" s="12"/>
      <c r="V233" s="12"/>
      <c r="W233" s="12"/>
      <c r="X233" s="12"/>
      <c r="Y233" s="12"/>
      <c r="Z233" s="12"/>
      <c r="AA233" s="12"/>
      <c r="AB233" s="12"/>
      <c r="AC233" s="12"/>
      <c r="AD233" s="12"/>
      <c r="AE233" s="12"/>
      <c r="AF233" s="12"/>
    </row>
    <row r="234" spans="1:32">
      <c r="A234" s="8"/>
      <c r="B234" s="8"/>
      <c r="C234" s="8"/>
      <c r="D234" s="8"/>
      <c r="E234" s="8"/>
      <c r="F234" s="8"/>
      <c r="G234" s="8"/>
      <c r="H234" s="8"/>
      <c r="I234" s="8"/>
      <c r="J234" s="8"/>
      <c r="K234" s="8"/>
      <c r="L234" s="8"/>
      <c r="M234" s="8"/>
      <c r="N234" s="8"/>
      <c r="O234" s="8"/>
      <c r="P234" s="8"/>
      <c r="Q234" s="8"/>
      <c r="R234" s="8"/>
      <c r="S234" s="8"/>
      <c r="T234" s="8"/>
      <c r="U234" s="12"/>
      <c r="V234" s="12"/>
      <c r="W234" s="12"/>
      <c r="X234" s="12"/>
      <c r="Y234" s="12"/>
      <c r="Z234" s="12"/>
      <c r="AA234" s="12"/>
      <c r="AB234" s="12"/>
      <c r="AC234" s="12"/>
      <c r="AD234" s="12"/>
      <c r="AE234" s="12"/>
      <c r="AF234" s="12"/>
    </row>
    <row r="235" spans="1:32">
      <c r="A235" s="8"/>
      <c r="B235" s="8"/>
      <c r="C235" s="8"/>
      <c r="D235" s="8"/>
      <c r="E235" s="8"/>
      <c r="F235" s="8"/>
      <c r="G235" s="8"/>
      <c r="H235" s="8"/>
      <c r="I235" s="8"/>
      <c r="J235" s="8"/>
      <c r="K235" s="8"/>
      <c r="L235" s="8"/>
      <c r="M235" s="8"/>
      <c r="N235" s="8"/>
      <c r="O235" s="8"/>
      <c r="P235" s="8"/>
      <c r="Q235" s="8"/>
      <c r="R235" s="8"/>
      <c r="S235" s="8"/>
      <c r="T235" s="8"/>
      <c r="U235" s="12"/>
      <c r="V235" s="12"/>
      <c r="W235" s="12"/>
      <c r="X235" s="12"/>
      <c r="Y235" s="12"/>
      <c r="Z235" s="12"/>
      <c r="AA235" s="12"/>
      <c r="AB235" s="12"/>
      <c r="AC235" s="12"/>
      <c r="AD235" s="12"/>
      <c r="AE235" s="12"/>
      <c r="AF235" s="12"/>
    </row>
    <row r="236" spans="1:32">
      <c r="A236" s="8"/>
      <c r="B236" s="8"/>
      <c r="C236" s="8"/>
      <c r="D236" s="8"/>
      <c r="E236" s="8"/>
      <c r="F236" s="8"/>
      <c r="G236" s="8"/>
      <c r="H236" s="8"/>
      <c r="I236" s="8"/>
      <c r="J236" s="8"/>
      <c r="K236" s="8"/>
      <c r="L236" s="8"/>
      <c r="M236" s="8"/>
      <c r="N236" s="8"/>
      <c r="O236" s="8"/>
      <c r="P236" s="8"/>
      <c r="Q236" s="8"/>
      <c r="R236" s="8"/>
      <c r="S236" s="8"/>
      <c r="T236" s="8"/>
      <c r="U236" s="12"/>
      <c r="V236" s="12"/>
      <c r="W236" s="12"/>
      <c r="X236" s="12"/>
      <c r="Y236" s="12"/>
      <c r="Z236" s="12"/>
      <c r="AA236" s="12"/>
      <c r="AB236" s="12"/>
      <c r="AC236" s="12"/>
      <c r="AD236" s="12"/>
      <c r="AE236" s="12"/>
      <c r="AF236" s="12"/>
    </row>
    <row r="237" spans="1:32">
      <c r="A237" s="8"/>
      <c r="B237" s="8"/>
      <c r="C237" s="8"/>
      <c r="D237" s="8"/>
      <c r="E237" s="8"/>
      <c r="F237" s="8"/>
      <c r="G237" s="8"/>
      <c r="H237" s="8"/>
      <c r="I237" s="8"/>
      <c r="J237" s="8"/>
      <c r="K237" s="8"/>
      <c r="L237" s="8"/>
      <c r="M237" s="8"/>
      <c r="N237" s="8"/>
      <c r="O237" s="8"/>
      <c r="P237" s="8"/>
      <c r="Q237" s="8"/>
      <c r="R237" s="8"/>
      <c r="S237" s="8"/>
      <c r="T237" s="8"/>
      <c r="U237" s="12"/>
      <c r="V237" s="12"/>
      <c r="W237" s="12"/>
      <c r="X237" s="12"/>
      <c r="Y237" s="12"/>
      <c r="Z237" s="12"/>
      <c r="AA237" s="12"/>
      <c r="AB237" s="12"/>
      <c r="AC237" s="12"/>
      <c r="AD237" s="12"/>
      <c r="AE237" s="12"/>
      <c r="AF237" s="12"/>
    </row>
    <row r="238" spans="1:32">
      <c r="A238" s="8"/>
      <c r="B238" s="8"/>
      <c r="C238" s="8"/>
      <c r="D238" s="8"/>
      <c r="E238" s="8"/>
      <c r="F238" s="8"/>
      <c r="G238" s="8"/>
      <c r="H238" s="8"/>
      <c r="I238" s="8"/>
      <c r="J238" s="8"/>
      <c r="K238" s="8"/>
      <c r="L238" s="8"/>
      <c r="M238" s="8"/>
      <c r="N238" s="8"/>
      <c r="O238" s="8"/>
      <c r="P238" s="8"/>
      <c r="Q238" s="8"/>
      <c r="R238" s="8"/>
      <c r="S238" s="8"/>
      <c r="T238" s="8"/>
      <c r="U238" s="12"/>
      <c r="V238" s="12"/>
      <c r="W238" s="12"/>
      <c r="X238" s="12"/>
      <c r="Y238" s="12"/>
      <c r="Z238" s="12"/>
      <c r="AA238" s="12"/>
      <c r="AB238" s="12"/>
      <c r="AC238" s="12"/>
      <c r="AD238" s="12"/>
      <c r="AE238" s="12"/>
      <c r="AF238" s="12"/>
    </row>
    <row r="239" spans="1:32">
      <c r="A239" s="8"/>
      <c r="B239" s="8"/>
      <c r="C239" s="8"/>
      <c r="D239" s="8"/>
      <c r="E239" s="8"/>
      <c r="F239" s="8"/>
      <c r="G239" s="8"/>
      <c r="H239" s="8"/>
      <c r="I239" s="8"/>
      <c r="J239" s="8"/>
      <c r="K239" s="8"/>
      <c r="L239" s="8"/>
      <c r="M239" s="8"/>
      <c r="N239" s="8"/>
      <c r="O239" s="8"/>
      <c r="P239" s="8"/>
      <c r="Q239" s="8"/>
      <c r="R239" s="8"/>
      <c r="S239" s="8"/>
      <c r="T239" s="8"/>
      <c r="U239" s="12"/>
      <c r="V239" s="12"/>
      <c r="W239" s="12"/>
      <c r="X239" s="12"/>
      <c r="Y239" s="12"/>
      <c r="Z239" s="12"/>
      <c r="AA239" s="12"/>
      <c r="AB239" s="12"/>
      <c r="AC239" s="12"/>
      <c r="AD239" s="12"/>
      <c r="AE239" s="12"/>
      <c r="AF239" s="12"/>
    </row>
    <row r="240" spans="1:32">
      <c r="A240" s="8"/>
      <c r="B240" s="8"/>
      <c r="C240" s="8"/>
      <c r="D240" s="8"/>
      <c r="E240" s="8"/>
      <c r="F240" s="8"/>
      <c r="G240" s="8"/>
      <c r="H240" s="8"/>
      <c r="I240" s="8"/>
      <c r="J240" s="8"/>
      <c r="K240" s="8"/>
      <c r="L240" s="8"/>
      <c r="M240" s="8"/>
      <c r="N240" s="8"/>
      <c r="O240" s="8"/>
      <c r="P240" s="8"/>
      <c r="Q240" s="8"/>
      <c r="R240" s="8"/>
      <c r="S240" s="8"/>
      <c r="T240" s="8"/>
      <c r="U240" s="12"/>
      <c r="V240" s="12"/>
      <c r="W240" s="12"/>
      <c r="X240" s="12"/>
      <c r="Y240" s="12"/>
      <c r="Z240" s="12"/>
      <c r="AA240" s="12"/>
      <c r="AB240" s="12"/>
      <c r="AC240" s="12"/>
      <c r="AD240" s="12"/>
      <c r="AE240" s="12"/>
      <c r="AF240" s="12"/>
    </row>
    <row r="241" spans="1:32">
      <c r="A241" s="8"/>
      <c r="B241" s="8"/>
      <c r="C241" s="8"/>
      <c r="D241" s="8"/>
      <c r="E241" s="8"/>
      <c r="F241" s="8"/>
      <c r="G241" s="8"/>
      <c r="H241" s="8"/>
      <c r="I241" s="8"/>
      <c r="J241" s="8"/>
      <c r="K241" s="8"/>
      <c r="L241" s="8"/>
      <c r="M241" s="8"/>
      <c r="N241" s="8"/>
      <c r="O241" s="8"/>
      <c r="P241" s="8"/>
      <c r="Q241" s="8"/>
      <c r="R241" s="8"/>
      <c r="S241" s="8"/>
      <c r="T241" s="8"/>
      <c r="U241" s="12"/>
      <c r="V241" s="12"/>
      <c r="W241" s="12"/>
      <c r="X241" s="12"/>
      <c r="Y241" s="12"/>
      <c r="Z241" s="12"/>
      <c r="AA241" s="12"/>
      <c r="AB241" s="12"/>
      <c r="AC241" s="12"/>
      <c r="AD241" s="12"/>
      <c r="AE241" s="12"/>
      <c r="AF241" s="12"/>
    </row>
    <row r="242" spans="1:32">
      <c r="A242" s="8"/>
      <c r="B242" s="8"/>
      <c r="C242" s="8"/>
      <c r="D242" s="8"/>
      <c r="E242" s="8"/>
      <c r="F242" s="8"/>
      <c r="G242" s="8"/>
      <c r="H242" s="8"/>
      <c r="I242" s="8"/>
      <c r="J242" s="8"/>
      <c r="K242" s="8"/>
      <c r="L242" s="8"/>
      <c r="M242" s="8"/>
      <c r="N242" s="8"/>
      <c r="O242" s="8"/>
      <c r="P242" s="8"/>
      <c r="Q242" s="8"/>
      <c r="R242" s="8"/>
      <c r="S242" s="8"/>
      <c r="T242" s="8"/>
      <c r="U242" s="12"/>
      <c r="V242" s="12"/>
      <c r="W242" s="12"/>
      <c r="X242" s="12"/>
      <c r="Y242" s="12"/>
      <c r="Z242" s="12"/>
      <c r="AA242" s="12"/>
      <c r="AB242" s="12"/>
      <c r="AC242" s="12"/>
      <c r="AD242" s="12"/>
      <c r="AE242" s="12"/>
      <c r="AF242" s="12"/>
    </row>
    <row r="243" spans="1:32">
      <c r="A243" s="8"/>
      <c r="B243" s="8"/>
      <c r="C243" s="8"/>
      <c r="D243" s="8"/>
      <c r="E243" s="8"/>
      <c r="F243" s="8"/>
      <c r="G243" s="8"/>
      <c r="H243" s="8"/>
      <c r="I243" s="8"/>
      <c r="J243" s="8"/>
      <c r="K243" s="8"/>
      <c r="L243" s="8"/>
      <c r="M243" s="8"/>
      <c r="N243" s="8"/>
      <c r="O243" s="8"/>
      <c r="P243" s="8"/>
      <c r="Q243" s="8"/>
      <c r="R243" s="8"/>
      <c r="S243" s="8"/>
      <c r="T243" s="8"/>
      <c r="U243" s="12"/>
      <c r="V243" s="12"/>
      <c r="W243" s="12"/>
      <c r="X243" s="12"/>
      <c r="Y243" s="12"/>
      <c r="Z243" s="12"/>
      <c r="AA243" s="12"/>
      <c r="AB243" s="12"/>
      <c r="AC243" s="12"/>
      <c r="AD243" s="12"/>
      <c r="AE243" s="12"/>
      <c r="AF243" s="12"/>
    </row>
    <row r="244" spans="1:32">
      <c r="A244" s="8"/>
      <c r="B244" s="8"/>
      <c r="C244" s="8"/>
      <c r="D244" s="8"/>
      <c r="E244" s="8"/>
      <c r="F244" s="8"/>
      <c r="G244" s="8"/>
      <c r="H244" s="8"/>
      <c r="I244" s="8"/>
      <c r="J244" s="8"/>
      <c r="K244" s="8"/>
      <c r="L244" s="8"/>
      <c r="M244" s="8"/>
      <c r="N244" s="8"/>
      <c r="O244" s="8"/>
      <c r="P244" s="8"/>
      <c r="Q244" s="8"/>
      <c r="R244" s="8"/>
      <c r="S244" s="8"/>
      <c r="T244" s="8"/>
      <c r="U244" s="12"/>
      <c r="V244" s="12"/>
      <c r="W244" s="12"/>
      <c r="X244" s="12"/>
      <c r="Y244" s="12"/>
      <c r="Z244" s="12"/>
      <c r="AA244" s="12"/>
      <c r="AB244" s="12"/>
      <c r="AC244" s="12"/>
      <c r="AD244" s="12"/>
      <c r="AE244" s="12"/>
      <c r="AF244" s="12"/>
    </row>
    <row r="245" spans="1:32">
      <c r="A245" s="8"/>
      <c r="B245" s="8"/>
      <c r="C245" s="8"/>
      <c r="D245" s="8"/>
      <c r="E245" s="8"/>
      <c r="F245" s="8"/>
      <c r="G245" s="8"/>
      <c r="H245" s="8"/>
      <c r="I245" s="8"/>
      <c r="J245" s="8"/>
      <c r="K245" s="8"/>
      <c r="L245" s="8"/>
      <c r="M245" s="8"/>
      <c r="N245" s="8"/>
      <c r="O245" s="8"/>
      <c r="P245" s="8"/>
      <c r="Q245" s="8"/>
      <c r="R245" s="8"/>
      <c r="S245" s="8"/>
      <c r="T245" s="8"/>
      <c r="U245" s="12"/>
      <c r="V245" s="12"/>
      <c r="W245" s="12"/>
      <c r="X245" s="12"/>
      <c r="Y245" s="12"/>
      <c r="Z245" s="12"/>
      <c r="AA245" s="12"/>
      <c r="AB245" s="12"/>
      <c r="AC245" s="12"/>
      <c r="AD245" s="12"/>
      <c r="AE245" s="12"/>
      <c r="AF245" s="12"/>
    </row>
    <row r="246" spans="1:32">
      <c r="A246" s="8"/>
      <c r="B246" s="8"/>
      <c r="C246" s="8"/>
      <c r="D246" s="8"/>
      <c r="E246" s="8"/>
      <c r="F246" s="8"/>
      <c r="G246" s="8"/>
      <c r="H246" s="8"/>
      <c r="I246" s="8"/>
      <c r="J246" s="8"/>
      <c r="K246" s="8"/>
      <c r="L246" s="8"/>
      <c r="M246" s="8"/>
      <c r="N246" s="8"/>
      <c r="O246" s="8"/>
      <c r="P246" s="8"/>
      <c r="Q246" s="8"/>
      <c r="R246" s="8"/>
      <c r="S246" s="8"/>
      <c r="T246" s="8"/>
      <c r="U246" s="12"/>
      <c r="V246" s="12"/>
      <c r="W246" s="12"/>
      <c r="X246" s="12"/>
      <c r="Y246" s="12"/>
      <c r="Z246" s="12"/>
      <c r="AA246" s="12"/>
      <c r="AB246" s="12"/>
      <c r="AC246" s="12"/>
      <c r="AD246" s="12"/>
      <c r="AE246" s="12"/>
      <c r="AF246" s="12"/>
    </row>
    <row r="247" spans="1:32">
      <c r="A247" s="8"/>
      <c r="B247" s="8"/>
      <c r="C247" s="8"/>
      <c r="D247" s="8"/>
      <c r="E247" s="8"/>
      <c r="F247" s="8"/>
      <c r="G247" s="8"/>
      <c r="H247" s="8"/>
      <c r="I247" s="8"/>
      <c r="J247" s="8"/>
      <c r="K247" s="8"/>
      <c r="L247" s="8"/>
      <c r="M247" s="8"/>
      <c r="N247" s="8"/>
      <c r="O247" s="8"/>
      <c r="P247" s="8"/>
      <c r="Q247" s="8"/>
      <c r="R247" s="8"/>
      <c r="S247" s="8"/>
      <c r="T247" s="8"/>
      <c r="U247" s="12"/>
      <c r="V247" s="12"/>
      <c r="W247" s="12"/>
      <c r="X247" s="12"/>
      <c r="Y247" s="12"/>
      <c r="Z247" s="12"/>
      <c r="AA247" s="12"/>
      <c r="AB247" s="12"/>
      <c r="AC247" s="12"/>
      <c r="AD247" s="12"/>
      <c r="AE247" s="12"/>
      <c r="AF247" s="12"/>
    </row>
    <row r="248" spans="1:32">
      <c r="A248" s="8"/>
      <c r="B248" s="8"/>
      <c r="C248" s="8"/>
      <c r="D248" s="8"/>
      <c r="E248" s="8"/>
      <c r="F248" s="8"/>
      <c r="G248" s="8"/>
      <c r="H248" s="8"/>
      <c r="I248" s="8"/>
      <c r="J248" s="8"/>
      <c r="K248" s="8"/>
      <c r="L248" s="8"/>
      <c r="M248" s="8"/>
      <c r="N248" s="8"/>
      <c r="O248" s="8"/>
      <c r="P248" s="8"/>
      <c r="Q248" s="8"/>
      <c r="R248" s="8"/>
      <c r="S248" s="8"/>
      <c r="T248" s="8"/>
      <c r="U248" s="12"/>
      <c r="V248" s="12"/>
      <c r="W248" s="12"/>
      <c r="X248" s="12"/>
      <c r="Y248" s="12"/>
      <c r="Z248" s="12"/>
      <c r="AA248" s="12"/>
      <c r="AB248" s="12"/>
      <c r="AC248" s="12"/>
      <c r="AD248" s="12"/>
      <c r="AE248" s="12"/>
      <c r="AF248" s="12"/>
    </row>
    <row r="249" spans="1:32">
      <c r="A249" s="8"/>
      <c r="B249" s="8"/>
      <c r="C249" s="8"/>
      <c r="D249" s="8"/>
      <c r="E249" s="8"/>
      <c r="F249" s="8"/>
      <c r="G249" s="8"/>
      <c r="H249" s="8"/>
      <c r="I249" s="8"/>
      <c r="J249" s="8"/>
      <c r="K249" s="8"/>
      <c r="L249" s="8"/>
      <c r="M249" s="8"/>
      <c r="N249" s="8"/>
      <c r="O249" s="8"/>
      <c r="P249" s="8"/>
      <c r="Q249" s="8"/>
      <c r="R249" s="8"/>
      <c r="S249" s="8"/>
      <c r="T249" s="8"/>
      <c r="U249" s="12"/>
      <c r="V249" s="12"/>
      <c r="W249" s="12"/>
      <c r="X249" s="12"/>
      <c r="Y249" s="12"/>
      <c r="Z249" s="12"/>
      <c r="AA249" s="12"/>
      <c r="AB249" s="12"/>
      <c r="AC249" s="12"/>
      <c r="AD249" s="12"/>
      <c r="AE249" s="12"/>
      <c r="AF249" s="12"/>
    </row>
    <row r="250" spans="1:32">
      <c r="A250" s="8"/>
      <c r="B250" s="8"/>
      <c r="C250" s="8"/>
      <c r="D250" s="8"/>
      <c r="E250" s="8"/>
      <c r="F250" s="8"/>
      <c r="G250" s="8"/>
      <c r="H250" s="8"/>
      <c r="I250" s="8"/>
      <c r="J250" s="8"/>
      <c r="K250" s="8"/>
      <c r="L250" s="8"/>
      <c r="M250" s="8"/>
      <c r="N250" s="8"/>
      <c r="O250" s="8"/>
      <c r="P250" s="8"/>
      <c r="Q250" s="8"/>
      <c r="R250" s="8"/>
      <c r="S250" s="8"/>
      <c r="T250" s="8"/>
      <c r="U250" s="12"/>
      <c r="V250" s="12"/>
      <c r="W250" s="12"/>
      <c r="X250" s="12"/>
      <c r="Y250" s="12"/>
      <c r="Z250" s="12"/>
      <c r="AA250" s="12"/>
      <c r="AB250" s="12"/>
      <c r="AC250" s="12"/>
      <c r="AD250" s="12"/>
      <c r="AE250" s="12"/>
      <c r="AF250" s="12"/>
    </row>
    <row r="251" spans="1:32">
      <c r="A251" s="8"/>
      <c r="B251" s="8"/>
      <c r="C251" s="8"/>
      <c r="D251" s="8"/>
      <c r="E251" s="8"/>
      <c r="F251" s="8"/>
      <c r="G251" s="8"/>
      <c r="H251" s="8"/>
      <c r="I251" s="8"/>
      <c r="J251" s="8"/>
      <c r="K251" s="8"/>
      <c r="L251" s="8"/>
      <c r="M251" s="8"/>
      <c r="N251" s="8"/>
      <c r="O251" s="8"/>
      <c r="P251" s="8"/>
      <c r="Q251" s="8"/>
      <c r="R251" s="8"/>
      <c r="S251" s="8"/>
      <c r="T251" s="8"/>
      <c r="U251" s="12"/>
      <c r="V251" s="12"/>
      <c r="W251" s="12"/>
      <c r="X251" s="12"/>
      <c r="Y251" s="12"/>
      <c r="Z251" s="12"/>
      <c r="AA251" s="12"/>
      <c r="AB251" s="12"/>
      <c r="AC251" s="12"/>
      <c r="AD251" s="12"/>
      <c r="AE251" s="12"/>
      <c r="AF251" s="12"/>
    </row>
    <row r="252" spans="1:32">
      <c r="A252" s="8"/>
      <c r="B252" s="8"/>
      <c r="C252" s="8"/>
      <c r="D252" s="8"/>
      <c r="E252" s="8"/>
      <c r="F252" s="8"/>
      <c r="G252" s="8"/>
      <c r="H252" s="8"/>
      <c r="I252" s="8"/>
      <c r="J252" s="8"/>
      <c r="K252" s="8"/>
      <c r="L252" s="8"/>
      <c r="M252" s="8"/>
      <c r="N252" s="8"/>
      <c r="O252" s="8"/>
      <c r="P252" s="8"/>
      <c r="Q252" s="8"/>
      <c r="R252" s="8"/>
      <c r="S252" s="8"/>
      <c r="T252" s="8"/>
      <c r="U252" s="12"/>
      <c r="V252" s="12"/>
      <c r="W252" s="12"/>
      <c r="X252" s="12"/>
      <c r="Y252" s="12"/>
      <c r="Z252" s="12"/>
      <c r="AA252" s="12"/>
      <c r="AB252" s="12"/>
      <c r="AC252" s="12"/>
      <c r="AD252" s="12"/>
      <c r="AE252" s="12"/>
      <c r="AF252" s="12"/>
    </row>
    <row r="253" spans="1:32">
      <c r="A253" s="8"/>
      <c r="B253" s="8"/>
      <c r="C253" s="8"/>
      <c r="D253" s="8"/>
      <c r="E253" s="8"/>
      <c r="F253" s="8"/>
      <c r="G253" s="8"/>
      <c r="H253" s="8"/>
      <c r="I253" s="8"/>
      <c r="J253" s="8"/>
      <c r="K253" s="8"/>
      <c r="L253" s="8"/>
      <c r="M253" s="8"/>
      <c r="N253" s="8"/>
      <c r="O253" s="8"/>
      <c r="P253" s="8"/>
      <c r="Q253" s="8"/>
      <c r="R253" s="8"/>
      <c r="S253" s="8"/>
      <c r="T253" s="8"/>
      <c r="U253" s="12"/>
      <c r="V253" s="12"/>
      <c r="W253" s="12"/>
      <c r="X253" s="12"/>
      <c r="Y253" s="12"/>
      <c r="Z253" s="12"/>
      <c r="AA253" s="12"/>
      <c r="AB253" s="12"/>
      <c r="AC253" s="12"/>
      <c r="AD253" s="12"/>
      <c r="AE253" s="12"/>
      <c r="AF253" s="12"/>
    </row>
    <row r="254" spans="1:32">
      <c r="A254" s="8"/>
      <c r="B254" s="8"/>
      <c r="C254" s="8"/>
      <c r="D254" s="8"/>
      <c r="E254" s="8"/>
      <c r="F254" s="8"/>
      <c r="G254" s="8"/>
      <c r="H254" s="8"/>
      <c r="I254" s="8"/>
      <c r="J254" s="8"/>
      <c r="K254" s="8"/>
      <c r="L254" s="8"/>
      <c r="M254" s="8"/>
      <c r="N254" s="8"/>
      <c r="O254" s="8"/>
      <c r="P254" s="8"/>
      <c r="Q254" s="8"/>
      <c r="R254" s="8"/>
      <c r="S254" s="8"/>
      <c r="T254" s="8"/>
      <c r="U254" s="12"/>
      <c r="V254" s="12"/>
      <c r="W254" s="12"/>
      <c r="X254" s="12"/>
      <c r="Y254" s="12"/>
      <c r="Z254" s="12"/>
      <c r="AA254" s="12"/>
      <c r="AB254" s="12"/>
      <c r="AC254" s="12"/>
      <c r="AD254" s="12"/>
      <c r="AE254" s="12"/>
      <c r="AF254" s="12"/>
    </row>
    <row r="255" spans="1:32">
      <c r="A255" s="8"/>
      <c r="B255" s="8"/>
      <c r="C255" s="8"/>
      <c r="D255" s="8"/>
      <c r="E255" s="8"/>
      <c r="F255" s="8"/>
      <c r="G255" s="8"/>
      <c r="H255" s="8"/>
      <c r="I255" s="8"/>
      <c r="J255" s="8"/>
      <c r="K255" s="8"/>
      <c r="L255" s="8"/>
      <c r="M255" s="8"/>
      <c r="N255" s="8"/>
      <c r="O255" s="8"/>
      <c r="P255" s="8"/>
      <c r="Q255" s="8"/>
      <c r="R255" s="8"/>
      <c r="S255" s="8"/>
      <c r="T255" s="8"/>
      <c r="U255" s="12"/>
      <c r="V255" s="12"/>
      <c r="W255" s="12"/>
      <c r="X255" s="12"/>
      <c r="Y255" s="12"/>
      <c r="Z255" s="12"/>
      <c r="AA255" s="12"/>
      <c r="AB255" s="12"/>
      <c r="AC255" s="12"/>
      <c r="AD255" s="12"/>
      <c r="AE255" s="12"/>
      <c r="AF255" s="12"/>
    </row>
    <row r="256" spans="1:32">
      <c r="A256" s="8"/>
      <c r="B256" s="8"/>
      <c r="C256" s="8"/>
      <c r="D256" s="8"/>
      <c r="E256" s="8"/>
      <c r="F256" s="8"/>
      <c r="G256" s="8"/>
      <c r="H256" s="8"/>
      <c r="I256" s="8"/>
      <c r="J256" s="8"/>
      <c r="K256" s="8"/>
      <c r="L256" s="8"/>
      <c r="M256" s="8"/>
      <c r="N256" s="8"/>
      <c r="O256" s="8"/>
      <c r="P256" s="8"/>
      <c r="Q256" s="8"/>
      <c r="R256" s="8"/>
      <c r="S256" s="8"/>
      <c r="T256" s="8"/>
      <c r="U256" s="12"/>
      <c r="V256" s="12"/>
      <c r="W256" s="12"/>
      <c r="X256" s="12"/>
      <c r="Y256" s="12"/>
      <c r="Z256" s="12"/>
      <c r="AA256" s="12"/>
      <c r="AB256" s="12"/>
      <c r="AC256" s="12"/>
      <c r="AD256" s="12"/>
      <c r="AE256" s="12"/>
      <c r="AF256" s="12"/>
    </row>
    <row r="257" spans="1:32">
      <c r="A257" s="8"/>
      <c r="B257" s="8"/>
      <c r="C257" s="8"/>
      <c r="D257" s="8"/>
      <c r="E257" s="8"/>
      <c r="F257" s="8"/>
      <c r="G257" s="8"/>
      <c r="H257" s="8"/>
      <c r="I257" s="8"/>
      <c r="J257" s="8"/>
      <c r="K257" s="8"/>
      <c r="L257" s="8"/>
      <c r="M257" s="8"/>
      <c r="N257" s="8"/>
      <c r="O257" s="8"/>
      <c r="P257" s="8"/>
      <c r="Q257" s="8"/>
      <c r="R257" s="8"/>
      <c r="S257" s="8"/>
      <c r="T257" s="8"/>
      <c r="U257" s="12"/>
      <c r="V257" s="12"/>
      <c r="W257" s="12"/>
      <c r="X257" s="12"/>
      <c r="Y257" s="12"/>
      <c r="Z257" s="12"/>
      <c r="AA257" s="12"/>
      <c r="AB257" s="12"/>
      <c r="AC257" s="12"/>
      <c r="AD257" s="12"/>
      <c r="AE257" s="12"/>
      <c r="AF257" s="12"/>
    </row>
    <row r="258" spans="1:32">
      <c r="A258" s="8"/>
      <c r="B258" s="8"/>
      <c r="C258" s="8"/>
      <c r="D258" s="8"/>
      <c r="E258" s="8"/>
      <c r="F258" s="8"/>
      <c r="G258" s="8"/>
      <c r="H258" s="8"/>
      <c r="I258" s="8"/>
      <c r="J258" s="8"/>
      <c r="K258" s="8"/>
      <c r="L258" s="8"/>
      <c r="M258" s="8"/>
      <c r="N258" s="8"/>
      <c r="O258" s="8"/>
      <c r="P258" s="8"/>
      <c r="Q258" s="8"/>
      <c r="R258" s="8"/>
      <c r="S258" s="8"/>
      <c r="T258" s="8"/>
      <c r="U258" s="12"/>
      <c r="V258" s="12"/>
      <c r="W258" s="12"/>
      <c r="X258" s="12"/>
      <c r="Y258" s="12"/>
      <c r="Z258" s="12"/>
      <c r="AA258" s="12"/>
      <c r="AB258" s="12"/>
      <c r="AC258" s="12"/>
      <c r="AD258" s="12"/>
      <c r="AE258" s="12"/>
      <c r="AF258" s="12"/>
    </row>
    <row r="259" spans="1:32">
      <c r="A259" s="8"/>
      <c r="B259" s="8"/>
      <c r="C259" s="8"/>
      <c r="D259" s="8"/>
      <c r="E259" s="8"/>
      <c r="F259" s="8"/>
      <c r="G259" s="8"/>
      <c r="H259" s="8"/>
      <c r="I259" s="8"/>
      <c r="J259" s="8"/>
      <c r="K259" s="8"/>
      <c r="L259" s="8"/>
      <c r="M259" s="8"/>
      <c r="N259" s="8"/>
      <c r="O259" s="8"/>
      <c r="P259" s="8"/>
      <c r="Q259" s="8"/>
      <c r="R259" s="8"/>
      <c r="S259" s="8"/>
      <c r="T259" s="8"/>
      <c r="U259" s="12"/>
      <c r="V259" s="12"/>
      <c r="W259" s="12"/>
      <c r="X259" s="12"/>
      <c r="Y259" s="12"/>
      <c r="Z259" s="12"/>
      <c r="AA259" s="12"/>
      <c r="AB259" s="12"/>
      <c r="AC259" s="12"/>
      <c r="AD259" s="12"/>
      <c r="AE259" s="12"/>
      <c r="AF259" s="12"/>
    </row>
    <row r="260" spans="1:32">
      <c r="A260" s="8"/>
      <c r="B260" s="8"/>
      <c r="C260" s="8"/>
      <c r="D260" s="8"/>
      <c r="E260" s="8"/>
      <c r="F260" s="8"/>
      <c r="G260" s="8"/>
      <c r="H260" s="8"/>
      <c r="I260" s="8"/>
      <c r="J260" s="8"/>
      <c r="K260" s="8"/>
      <c r="L260" s="8"/>
      <c r="M260" s="8"/>
      <c r="N260" s="8"/>
      <c r="O260" s="8"/>
      <c r="P260" s="8"/>
      <c r="Q260" s="8"/>
      <c r="R260" s="8"/>
      <c r="S260" s="8"/>
      <c r="T260" s="8"/>
      <c r="U260" s="12"/>
      <c r="V260" s="12"/>
      <c r="W260" s="12"/>
      <c r="X260" s="12"/>
      <c r="Y260" s="12"/>
      <c r="Z260" s="12"/>
      <c r="AA260" s="12"/>
      <c r="AB260" s="12"/>
      <c r="AC260" s="12"/>
      <c r="AD260" s="12"/>
      <c r="AE260" s="12"/>
      <c r="AF260" s="12"/>
    </row>
    <row r="261" spans="1:32">
      <c r="A261" s="8"/>
      <c r="B261" s="8"/>
      <c r="C261" s="8"/>
      <c r="D261" s="8"/>
      <c r="E261" s="8"/>
      <c r="F261" s="8"/>
      <c r="G261" s="8"/>
      <c r="H261" s="8"/>
      <c r="I261" s="8"/>
      <c r="J261" s="8"/>
      <c r="K261" s="8"/>
      <c r="L261" s="8"/>
      <c r="M261" s="8"/>
      <c r="N261" s="8"/>
      <c r="O261" s="8"/>
      <c r="P261" s="8"/>
      <c r="Q261" s="8"/>
      <c r="R261" s="8"/>
      <c r="S261" s="8"/>
      <c r="T261" s="8"/>
      <c r="U261" s="12"/>
      <c r="V261" s="12"/>
      <c r="W261" s="12"/>
      <c r="X261" s="12"/>
      <c r="Y261" s="12"/>
      <c r="Z261" s="12"/>
      <c r="AA261" s="12"/>
      <c r="AB261" s="12"/>
      <c r="AC261" s="12"/>
      <c r="AD261" s="12"/>
      <c r="AE261" s="12"/>
      <c r="AF261" s="12"/>
    </row>
    <row r="262" spans="1:32">
      <c r="A262" s="8"/>
      <c r="B262" s="8"/>
      <c r="C262" s="8"/>
      <c r="D262" s="8"/>
      <c r="E262" s="8"/>
      <c r="F262" s="8"/>
      <c r="G262" s="8"/>
      <c r="H262" s="8"/>
      <c r="I262" s="8"/>
      <c r="J262" s="8"/>
      <c r="K262" s="8"/>
      <c r="L262" s="8"/>
      <c r="M262" s="8"/>
      <c r="N262" s="8"/>
      <c r="O262" s="8"/>
      <c r="P262" s="8"/>
      <c r="Q262" s="8"/>
      <c r="R262" s="8"/>
      <c r="S262" s="8"/>
      <c r="T262" s="8"/>
      <c r="U262" s="12"/>
      <c r="V262" s="12"/>
      <c r="W262" s="12"/>
      <c r="X262" s="12"/>
      <c r="Y262" s="12"/>
      <c r="Z262" s="12"/>
      <c r="AA262" s="12"/>
      <c r="AB262" s="12"/>
      <c r="AC262" s="12"/>
      <c r="AD262" s="12"/>
      <c r="AE262" s="12"/>
      <c r="AF262" s="12"/>
    </row>
    <row r="263" spans="1:32">
      <c r="A263" s="8"/>
      <c r="B263" s="8"/>
      <c r="C263" s="8"/>
      <c r="D263" s="8"/>
      <c r="E263" s="8"/>
      <c r="F263" s="8"/>
      <c r="G263" s="8"/>
      <c r="H263" s="8"/>
      <c r="I263" s="8"/>
      <c r="J263" s="8"/>
      <c r="K263" s="8"/>
      <c r="L263" s="8"/>
      <c r="M263" s="8"/>
      <c r="N263" s="8"/>
      <c r="O263" s="8"/>
      <c r="P263" s="8"/>
      <c r="Q263" s="8"/>
      <c r="R263" s="8"/>
      <c r="S263" s="8"/>
      <c r="T263" s="8"/>
      <c r="U263" s="12"/>
      <c r="V263" s="12"/>
      <c r="W263" s="12"/>
      <c r="X263" s="12"/>
      <c r="Y263" s="12"/>
      <c r="Z263" s="12"/>
      <c r="AA263" s="12"/>
      <c r="AB263" s="12"/>
      <c r="AC263" s="12"/>
      <c r="AD263" s="12"/>
      <c r="AE263" s="12"/>
      <c r="AF263" s="12"/>
    </row>
    <row r="264" spans="1:32">
      <c r="A264" s="8"/>
      <c r="B264" s="8"/>
      <c r="C264" s="8"/>
      <c r="D264" s="8"/>
      <c r="E264" s="8"/>
      <c r="F264" s="8"/>
      <c r="G264" s="8"/>
      <c r="H264" s="8"/>
      <c r="I264" s="8"/>
      <c r="J264" s="8"/>
      <c r="K264" s="8"/>
      <c r="L264" s="8"/>
      <c r="M264" s="8"/>
      <c r="N264" s="8"/>
      <c r="O264" s="8"/>
      <c r="P264" s="8"/>
      <c r="Q264" s="8"/>
      <c r="R264" s="8"/>
      <c r="S264" s="8"/>
      <c r="T264" s="8"/>
      <c r="U264" s="12"/>
      <c r="V264" s="12"/>
      <c r="W264" s="12"/>
      <c r="X264" s="12"/>
      <c r="Y264" s="12"/>
      <c r="Z264" s="12"/>
      <c r="AA264" s="12"/>
      <c r="AB264" s="12"/>
      <c r="AC264" s="12"/>
      <c r="AD264" s="12"/>
      <c r="AE264" s="12"/>
      <c r="AF264" s="12"/>
    </row>
    <row r="265" spans="1:32">
      <c r="A265" s="8"/>
      <c r="B265" s="8"/>
      <c r="C265" s="8"/>
      <c r="D265" s="8"/>
      <c r="E265" s="8"/>
      <c r="F265" s="8"/>
      <c r="G265" s="8"/>
      <c r="H265" s="8"/>
      <c r="I265" s="8"/>
      <c r="J265" s="8"/>
      <c r="K265" s="8"/>
      <c r="L265" s="8"/>
      <c r="M265" s="8"/>
      <c r="N265" s="8"/>
      <c r="O265" s="8"/>
      <c r="P265" s="8"/>
      <c r="Q265" s="8"/>
      <c r="R265" s="8"/>
      <c r="S265" s="8"/>
      <c r="T265" s="8"/>
      <c r="U265" s="12"/>
      <c r="V265" s="12"/>
      <c r="W265" s="12"/>
      <c r="X265" s="12"/>
      <c r="Y265" s="12"/>
      <c r="Z265" s="12"/>
      <c r="AA265" s="12"/>
      <c r="AB265" s="12"/>
      <c r="AC265" s="12"/>
      <c r="AD265" s="12"/>
      <c r="AE265" s="12"/>
      <c r="AF265" s="12"/>
    </row>
    <row r="266" spans="1:32">
      <c r="A266" s="8"/>
      <c r="B266" s="8"/>
      <c r="C266" s="8"/>
      <c r="D266" s="8"/>
      <c r="E266" s="8"/>
      <c r="F266" s="8"/>
      <c r="G266" s="8"/>
      <c r="H266" s="8"/>
      <c r="I266" s="8"/>
      <c r="J266" s="8"/>
      <c r="K266" s="8"/>
      <c r="L266" s="8"/>
      <c r="M266" s="8"/>
      <c r="N266" s="8"/>
      <c r="O266" s="8"/>
      <c r="P266" s="8"/>
      <c r="Q266" s="8"/>
      <c r="R266" s="8"/>
      <c r="S266" s="8"/>
      <c r="T266" s="8"/>
      <c r="U266" s="12"/>
      <c r="V266" s="12"/>
      <c r="W266" s="12"/>
      <c r="X266" s="12"/>
      <c r="Y266" s="12"/>
      <c r="Z266" s="12"/>
      <c r="AA266" s="12"/>
      <c r="AB266" s="12"/>
      <c r="AC266" s="12"/>
      <c r="AD266" s="12"/>
      <c r="AE266" s="12"/>
      <c r="AF266" s="12"/>
    </row>
    <row r="267" spans="1:32">
      <c r="A267" s="8"/>
      <c r="B267" s="8"/>
      <c r="C267" s="8"/>
      <c r="D267" s="8"/>
      <c r="E267" s="8"/>
      <c r="F267" s="8"/>
      <c r="G267" s="8"/>
      <c r="H267" s="8"/>
      <c r="I267" s="8"/>
      <c r="J267" s="8"/>
      <c r="K267" s="8"/>
      <c r="L267" s="8"/>
      <c r="M267" s="8"/>
      <c r="N267" s="8"/>
      <c r="O267" s="8"/>
      <c r="P267" s="8"/>
      <c r="Q267" s="8"/>
      <c r="R267" s="8"/>
      <c r="S267" s="8"/>
      <c r="T267" s="8"/>
      <c r="U267" s="12"/>
      <c r="V267" s="12"/>
      <c r="W267" s="12"/>
      <c r="X267" s="12"/>
      <c r="Y267" s="12"/>
      <c r="Z267" s="12"/>
      <c r="AA267" s="12"/>
      <c r="AB267" s="12"/>
      <c r="AC267" s="12"/>
      <c r="AD267" s="12"/>
      <c r="AE267" s="12"/>
      <c r="AF267" s="12"/>
    </row>
    <row r="268" spans="1:32">
      <c r="A268" s="8"/>
      <c r="B268" s="8"/>
      <c r="C268" s="8"/>
      <c r="D268" s="8"/>
      <c r="E268" s="8"/>
      <c r="F268" s="8"/>
      <c r="G268" s="8"/>
      <c r="H268" s="8"/>
      <c r="I268" s="8"/>
      <c r="J268" s="8"/>
      <c r="K268" s="8"/>
      <c r="L268" s="8"/>
      <c r="M268" s="8"/>
      <c r="N268" s="8"/>
      <c r="O268" s="8"/>
      <c r="P268" s="8"/>
      <c r="Q268" s="8"/>
      <c r="R268" s="8"/>
      <c r="S268" s="8"/>
      <c r="T268" s="8"/>
      <c r="U268" s="12"/>
      <c r="V268" s="12"/>
      <c r="W268" s="12"/>
      <c r="X268" s="12"/>
      <c r="Y268" s="12"/>
      <c r="Z268" s="12"/>
      <c r="AA268" s="12"/>
      <c r="AB268" s="12"/>
      <c r="AC268" s="12"/>
      <c r="AD268" s="12"/>
      <c r="AE268" s="12"/>
      <c r="AF268" s="12"/>
    </row>
    <row r="269" spans="1:32">
      <c r="A269" s="8"/>
      <c r="B269" s="8"/>
      <c r="C269" s="8"/>
      <c r="D269" s="8"/>
      <c r="E269" s="8"/>
      <c r="F269" s="8"/>
      <c r="G269" s="8"/>
      <c r="H269" s="8"/>
      <c r="I269" s="8"/>
      <c r="J269" s="8"/>
      <c r="K269" s="8"/>
      <c r="L269" s="8"/>
      <c r="M269" s="8"/>
      <c r="N269" s="8"/>
      <c r="O269" s="8"/>
      <c r="P269" s="8"/>
      <c r="Q269" s="8"/>
      <c r="R269" s="8"/>
      <c r="S269" s="8"/>
      <c r="T269" s="8"/>
      <c r="U269" s="12"/>
      <c r="V269" s="12"/>
      <c r="W269" s="12"/>
      <c r="X269" s="12"/>
      <c r="Y269" s="12"/>
      <c r="Z269" s="12"/>
      <c r="AA269" s="12"/>
      <c r="AB269" s="12"/>
      <c r="AC269" s="12"/>
      <c r="AD269" s="12"/>
      <c r="AE269" s="12"/>
      <c r="AF269" s="12"/>
    </row>
    <row r="270" spans="1:32">
      <c r="A270" s="8"/>
      <c r="B270" s="8"/>
      <c r="C270" s="8"/>
      <c r="D270" s="8"/>
      <c r="E270" s="8"/>
      <c r="F270" s="8"/>
      <c r="G270" s="8"/>
      <c r="H270" s="8"/>
      <c r="I270" s="8"/>
      <c r="J270" s="8"/>
      <c r="K270" s="8"/>
      <c r="L270" s="8"/>
      <c r="M270" s="8"/>
      <c r="N270" s="8"/>
      <c r="O270" s="8"/>
      <c r="P270" s="8"/>
      <c r="Q270" s="8"/>
      <c r="R270" s="8"/>
      <c r="S270" s="8"/>
      <c r="T270" s="8"/>
      <c r="U270" s="12"/>
      <c r="V270" s="12"/>
      <c r="W270" s="12"/>
      <c r="X270" s="12"/>
      <c r="Y270" s="12"/>
      <c r="Z270" s="12"/>
      <c r="AA270" s="12"/>
      <c r="AB270" s="12"/>
      <c r="AC270" s="12"/>
      <c r="AD270" s="12"/>
      <c r="AE270" s="12"/>
      <c r="AF270" s="12"/>
    </row>
    <row r="271" spans="1:32">
      <c r="A271" s="8"/>
      <c r="B271" s="8"/>
      <c r="C271" s="8"/>
      <c r="D271" s="8"/>
      <c r="E271" s="8"/>
      <c r="F271" s="8"/>
      <c r="G271" s="8"/>
      <c r="H271" s="8"/>
      <c r="I271" s="8"/>
      <c r="J271" s="8"/>
      <c r="K271" s="8"/>
      <c r="L271" s="8"/>
      <c r="M271" s="8"/>
      <c r="N271" s="8"/>
      <c r="O271" s="8"/>
      <c r="P271" s="8"/>
      <c r="Q271" s="8"/>
      <c r="R271" s="8"/>
      <c r="S271" s="8"/>
      <c r="T271" s="8"/>
      <c r="U271" s="12"/>
      <c r="V271" s="12"/>
      <c r="W271" s="12"/>
      <c r="X271" s="12"/>
      <c r="Y271" s="12"/>
      <c r="Z271" s="12"/>
      <c r="AA271" s="12"/>
      <c r="AB271" s="12"/>
      <c r="AC271" s="12"/>
      <c r="AD271" s="12"/>
      <c r="AE271" s="12"/>
      <c r="AF271" s="12"/>
    </row>
    <row r="272" spans="1:32">
      <c r="A272" s="8"/>
      <c r="B272" s="8"/>
      <c r="C272" s="8"/>
      <c r="D272" s="8"/>
      <c r="E272" s="8"/>
      <c r="F272" s="8"/>
      <c r="G272" s="8"/>
      <c r="H272" s="8"/>
      <c r="I272" s="8"/>
      <c r="J272" s="8"/>
      <c r="K272" s="8"/>
      <c r="L272" s="8"/>
      <c r="M272" s="8"/>
      <c r="N272" s="8"/>
      <c r="O272" s="8"/>
      <c r="P272" s="8"/>
      <c r="Q272" s="8"/>
      <c r="R272" s="8"/>
      <c r="S272" s="8"/>
      <c r="T272" s="8"/>
      <c r="U272" s="12"/>
      <c r="V272" s="12"/>
      <c r="W272" s="12"/>
      <c r="X272" s="12"/>
      <c r="Y272" s="12"/>
      <c r="Z272" s="12"/>
      <c r="AA272" s="12"/>
      <c r="AB272" s="12"/>
      <c r="AC272" s="12"/>
      <c r="AD272" s="12"/>
      <c r="AE272" s="12"/>
      <c r="AF272" s="12"/>
    </row>
    <row r="273" spans="1:32">
      <c r="A273" s="8"/>
      <c r="B273" s="8"/>
      <c r="C273" s="8"/>
      <c r="D273" s="8"/>
      <c r="E273" s="8"/>
      <c r="F273" s="8"/>
      <c r="G273" s="8"/>
      <c r="H273" s="8"/>
      <c r="I273" s="8"/>
      <c r="J273" s="8"/>
      <c r="K273" s="8"/>
      <c r="L273" s="8"/>
      <c r="M273" s="8"/>
      <c r="N273" s="8"/>
      <c r="O273" s="8"/>
      <c r="P273" s="8"/>
      <c r="Q273" s="8"/>
      <c r="R273" s="8"/>
      <c r="S273" s="8"/>
      <c r="T273" s="8"/>
      <c r="U273" s="12"/>
      <c r="V273" s="12"/>
      <c r="W273" s="12"/>
      <c r="X273" s="12"/>
      <c r="Y273" s="12"/>
      <c r="Z273" s="12"/>
      <c r="AA273" s="12"/>
      <c r="AB273" s="12"/>
      <c r="AC273" s="12"/>
      <c r="AD273" s="12"/>
      <c r="AE273" s="12"/>
      <c r="AF273" s="12"/>
    </row>
    <row r="274" spans="1:32">
      <c r="A274" s="8"/>
      <c r="B274" s="8"/>
      <c r="C274" s="8"/>
      <c r="D274" s="8"/>
      <c r="E274" s="8"/>
      <c r="F274" s="8"/>
      <c r="G274" s="8"/>
      <c r="H274" s="8"/>
      <c r="I274" s="8"/>
      <c r="J274" s="8"/>
      <c r="K274" s="8"/>
      <c r="L274" s="8"/>
      <c r="M274" s="8"/>
      <c r="N274" s="8"/>
      <c r="O274" s="8"/>
      <c r="P274" s="8"/>
      <c r="Q274" s="8"/>
      <c r="R274" s="8"/>
      <c r="S274" s="8"/>
      <c r="T274" s="8"/>
      <c r="U274" s="12"/>
      <c r="V274" s="12"/>
      <c r="W274" s="12"/>
      <c r="X274" s="12"/>
      <c r="Y274" s="12"/>
      <c r="Z274" s="12"/>
      <c r="AA274" s="12"/>
      <c r="AB274" s="12"/>
      <c r="AC274" s="12"/>
      <c r="AD274" s="12"/>
      <c r="AE274" s="12"/>
      <c r="AF274" s="12"/>
    </row>
    <row r="275" spans="1:32">
      <c r="A275" s="8"/>
      <c r="B275" s="8"/>
      <c r="C275" s="8"/>
      <c r="D275" s="8"/>
      <c r="E275" s="8"/>
      <c r="F275" s="8"/>
      <c r="G275" s="8"/>
      <c r="H275" s="8"/>
      <c r="I275" s="8"/>
      <c r="J275" s="8"/>
      <c r="K275" s="8"/>
      <c r="L275" s="8"/>
      <c r="M275" s="8"/>
      <c r="N275" s="8"/>
      <c r="O275" s="8"/>
      <c r="P275" s="8"/>
      <c r="Q275" s="8"/>
      <c r="R275" s="8"/>
      <c r="S275" s="8"/>
      <c r="T275" s="8"/>
      <c r="U275" s="12"/>
      <c r="V275" s="12"/>
      <c r="W275" s="12"/>
      <c r="X275" s="12"/>
      <c r="Y275" s="12"/>
      <c r="Z275" s="12"/>
      <c r="AA275" s="12"/>
      <c r="AB275" s="12"/>
      <c r="AC275" s="12"/>
      <c r="AD275" s="12"/>
      <c r="AE275" s="12"/>
      <c r="AF275" s="12"/>
    </row>
    <row r="276" spans="1:32">
      <c r="A276" s="8"/>
      <c r="B276" s="8"/>
      <c r="C276" s="8"/>
      <c r="D276" s="8"/>
      <c r="E276" s="8"/>
      <c r="F276" s="8"/>
      <c r="G276" s="8"/>
      <c r="H276" s="8"/>
      <c r="I276" s="8"/>
      <c r="J276" s="8"/>
      <c r="K276" s="8"/>
      <c r="L276" s="8"/>
      <c r="M276" s="8"/>
      <c r="N276" s="8"/>
      <c r="O276" s="8"/>
      <c r="P276" s="8"/>
      <c r="Q276" s="8"/>
      <c r="R276" s="8"/>
      <c r="S276" s="8"/>
      <c r="T276" s="8"/>
      <c r="U276" s="12"/>
      <c r="V276" s="12"/>
      <c r="W276" s="12"/>
      <c r="X276" s="12"/>
      <c r="Y276" s="12"/>
      <c r="Z276" s="12"/>
      <c r="AA276" s="12"/>
      <c r="AB276" s="12"/>
      <c r="AC276" s="12"/>
      <c r="AD276" s="12"/>
      <c r="AE276" s="12"/>
      <c r="AF276" s="12"/>
    </row>
    <row r="277" spans="1:32">
      <c r="A277" s="8"/>
      <c r="B277" s="8"/>
      <c r="C277" s="8"/>
      <c r="D277" s="8"/>
      <c r="E277" s="8"/>
      <c r="F277" s="8"/>
      <c r="G277" s="8"/>
      <c r="H277" s="8"/>
      <c r="I277" s="8"/>
      <c r="J277" s="8"/>
      <c r="K277" s="8"/>
      <c r="L277" s="8"/>
      <c r="M277" s="8"/>
      <c r="N277" s="8"/>
      <c r="O277" s="8"/>
      <c r="P277" s="8"/>
      <c r="Q277" s="8"/>
      <c r="R277" s="8"/>
      <c r="S277" s="8"/>
      <c r="T277" s="8"/>
      <c r="U277" s="12"/>
      <c r="V277" s="12"/>
      <c r="W277" s="12"/>
      <c r="X277" s="12"/>
      <c r="Y277" s="12"/>
      <c r="Z277" s="12"/>
      <c r="AA277" s="12"/>
      <c r="AB277" s="12"/>
      <c r="AC277" s="12"/>
      <c r="AD277" s="12"/>
      <c r="AE277" s="12"/>
      <c r="AF277" s="12"/>
    </row>
    <row r="278" spans="1:32">
      <c r="A278" s="8"/>
      <c r="B278" s="8"/>
      <c r="C278" s="8"/>
      <c r="D278" s="8"/>
      <c r="E278" s="8"/>
      <c r="F278" s="8"/>
      <c r="G278" s="8"/>
      <c r="H278" s="8"/>
      <c r="I278" s="8"/>
      <c r="J278" s="8"/>
      <c r="K278" s="8"/>
      <c r="L278" s="8"/>
      <c r="M278" s="8"/>
      <c r="N278" s="8"/>
      <c r="O278" s="8"/>
      <c r="P278" s="8"/>
      <c r="Q278" s="8"/>
      <c r="R278" s="8"/>
      <c r="S278" s="8"/>
      <c r="T278" s="8"/>
      <c r="U278" s="12"/>
      <c r="V278" s="12"/>
      <c r="W278" s="12"/>
      <c r="X278" s="12"/>
      <c r="Y278" s="12"/>
      <c r="Z278" s="12"/>
      <c r="AA278" s="12"/>
      <c r="AB278" s="12"/>
      <c r="AC278" s="12"/>
      <c r="AD278" s="12"/>
      <c r="AE278" s="12"/>
      <c r="AF278" s="12"/>
    </row>
    <row r="279" spans="1:32">
      <c r="A279" s="8"/>
      <c r="B279" s="8"/>
      <c r="C279" s="8"/>
      <c r="D279" s="8"/>
      <c r="E279" s="8"/>
      <c r="F279" s="8"/>
      <c r="G279" s="8"/>
      <c r="H279" s="8"/>
      <c r="I279" s="8"/>
      <c r="J279" s="8"/>
      <c r="K279" s="8"/>
      <c r="L279" s="8"/>
      <c r="M279" s="8"/>
      <c r="N279" s="8"/>
      <c r="O279" s="8"/>
      <c r="P279" s="8"/>
      <c r="Q279" s="8"/>
      <c r="R279" s="8"/>
      <c r="S279" s="8"/>
      <c r="T279" s="8"/>
      <c r="U279" s="12"/>
      <c r="V279" s="12"/>
      <c r="W279" s="12"/>
      <c r="X279" s="12"/>
      <c r="Y279" s="12"/>
      <c r="Z279" s="12"/>
      <c r="AA279" s="12"/>
      <c r="AB279" s="12"/>
      <c r="AC279" s="12"/>
      <c r="AD279" s="12"/>
      <c r="AE279" s="12"/>
      <c r="AF279" s="12"/>
    </row>
    <row r="280" spans="1:32">
      <c r="A280" s="8"/>
      <c r="B280" s="8"/>
      <c r="C280" s="8"/>
      <c r="D280" s="8"/>
      <c r="E280" s="8"/>
      <c r="F280" s="8"/>
      <c r="G280" s="8"/>
      <c r="H280" s="8"/>
      <c r="I280" s="8"/>
      <c r="J280" s="8"/>
      <c r="K280" s="8"/>
      <c r="L280" s="8"/>
      <c r="M280" s="8"/>
      <c r="N280" s="8"/>
      <c r="O280" s="8"/>
      <c r="P280" s="8"/>
      <c r="Q280" s="8"/>
      <c r="R280" s="8"/>
      <c r="S280" s="8"/>
      <c r="T280" s="8"/>
      <c r="U280" s="12"/>
      <c r="V280" s="12"/>
      <c r="W280" s="12"/>
      <c r="X280" s="12"/>
      <c r="Y280" s="12"/>
      <c r="Z280" s="12"/>
      <c r="AA280" s="12"/>
      <c r="AB280" s="12"/>
      <c r="AC280" s="12"/>
      <c r="AD280" s="12"/>
      <c r="AE280" s="12"/>
      <c r="AF280" s="12"/>
    </row>
    <row r="281" spans="1:32">
      <c r="A281" s="8"/>
      <c r="B281" s="8"/>
      <c r="C281" s="8"/>
      <c r="D281" s="8"/>
      <c r="E281" s="8"/>
      <c r="F281" s="8"/>
      <c r="G281" s="8"/>
      <c r="H281" s="8"/>
      <c r="I281" s="8"/>
      <c r="J281" s="8"/>
      <c r="K281" s="8"/>
      <c r="L281" s="8"/>
      <c r="M281" s="8"/>
      <c r="N281" s="8"/>
      <c r="O281" s="8"/>
      <c r="P281" s="8"/>
      <c r="Q281" s="8"/>
      <c r="R281" s="8"/>
      <c r="S281" s="8"/>
      <c r="T281" s="8"/>
      <c r="U281" s="12"/>
      <c r="V281" s="12"/>
      <c r="W281" s="12"/>
      <c r="X281" s="12"/>
      <c r="Y281" s="12"/>
      <c r="Z281" s="12"/>
      <c r="AA281" s="12"/>
      <c r="AB281" s="12"/>
      <c r="AC281" s="12"/>
      <c r="AD281" s="12"/>
      <c r="AE281" s="12"/>
      <c r="AF281" s="12"/>
    </row>
    <row r="282" spans="1:32">
      <c r="A282" s="8"/>
      <c r="B282" s="8"/>
      <c r="C282" s="8"/>
      <c r="D282" s="8"/>
      <c r="E282" s="8"/>
      <c r="F282" s="8"/>
      <c r="G282" s="8"/>
      <c r="H282" s="8"/>
      <c r="I282" s="8"/>
      <c r="J282" s="8"/>
      <c r="K282" s="8"/>
      <c r="L282" s="8"/>
      <c r="M282" s="8"/>
      <c r="N282" s="8"/>
      <c r="O282" s="8"/>
      <c r="P282" s="8"/>
      <c r="Q282" s="8"/>
      <c r="R282" s="8"/>
      <c r="S282" s="8"/>
      <c r="T282" s="8"/>
      <c r="U282" s="12"/>
      <c r="V282" s="12"/>
      <c r="W282" s="12"/>
      <c r="X282" s="12"/>
      <c r="Y282" s="12"/>
      <c r="Z282" s="12"/>
      <c r="AA282" s="12"/>
      <c r="AB282" s="12"/>
      <c r="AC282" s="12"/>
      <c r="AD282" s="12"/>
      <c r="AE282" s="12"/>
      <c r="AF282" s="12"/>
    </row>
    <row r="283" spans="1:32">
      <c r="A283" s="8"/>
      <c r="B283" s="8"/>
      <c r="C283" s="8"/>
      <c r="D283" s="8"/>
      <c r="E283" s="8"/>
      <c r="F283" s="8"/>
      <c r="G283" s="8"/>
      <c r="H283" s="8"/>
      <c r="I283" s="8"/>
      <c r="J283" s="8"/>
      <c r="K283" s="8"/>
      <c r="L283" s="8"/>
      <c r="M283" s="8"/>
      <c r="N283" s="8"/>
      <c r="O283" s="8"/>
      <c r="P283" s="8"/>
      <c r="Q283" s="8"/>
      <c r="R283" s="8"/>
      <c r="S283" s="8"/>
      <c r="T283" s="8"/>
      <c r="U283" s="12"/>
      <c r="V283" s="12"/>
      <c r="W283" s="12"/>
      <c r="X283" s="12"/>
      <c r="Y283" s="12"/>
      <c r="Z283" s="12"/>
      <c r="AA283" s="12"/>
      <c r="AB283" s="12"/>
      <c r="AC283" s="12"/>
      <c r="AD283" s="12"/>
      <c r="AE283" s="12"/>
      <c r="AF283" s="12"/>
    </row>
    <row r="284" spans="1:32">
      <c r="A284" s="8"/>
      <c r="B284" s="8"/>
      <c r="C284" s="8"/>
      <c r="D284" s="8"/>
      <c r="E284" s="8"/>
      <c r="F284" s="8"/>
      <c r="G284" s="8"/>
      <c r="H284" s="8"/>
      <c r="I284" s="8"/>
      <c r="J284" s="8"/>
      <c r="K284" s="8"/>
      <c r="L284" s="8"/>
      <c r="M284" s="8"/>
      <c r="N284" s="8"/>
      <c r="O284" s="8"/>
      <c r="P284" s="8"/>
      <c r="Q284" s="8"/>
      <c r="R284" s="8"/>
      <c r="S284" s="8"/>
      <c r="T284" s="8"/>
      <c r="U284" s="12"/>
      <c r="V284" s="12"/>
      <c r="W284" s="12"/>
      <c r="X284" s="12"/>
      <c r="Y284" s="12"/>
      <c r="Z284" s="12"/>
      <c r="AA284" s="12"/>
      <c r="AB284" s="12"/>
      <c r="AC284" s="12"/>
      <c r="AD284" s="12"/>
      <c r="AE284" s="12"/>
      <c r="AF284" s="12"/>
    </row>
    <row r="285" spans="1:32">
      <c r="A285" s="8"/>
      <c r="B285" s="8"/>
      <c r="C285" s="8"/>
      <c r="D285" s="8"/>
      <c r="E285" s="8"/>
      <c r="F285" s="8"/>
      <c r="G285" s="8"/>
      <c r="H285" s="8"/>
      <c r="I285" s="8"/>
      <c r="J285" s="8"/>
      <c r="K285" s="8"/>
      <c r="L285" s="8"/>
      <c r="M285" s="8"/>
      <c r="N285" s="8"/>
      <c r="O285" s="8"/>
      <c r="P285" s="8"/>
      <c r="Q285" s="8"/>
      <c r="R285" s="8"/>
      <c r="S285" s="8"/>
      <c r="T285" s="8"/>
      <c r="U285" s="12"/>
      <c r="V285" s="12"/>
      <c r="W285" s="12"/>
      <c r="X285" s="12"/>
      <c r="Y285" s="12"/>
      <c r="Z285" s="12"/>
      <c r="AA285" s="12"/>
      <c r="AB285" s="12"/>
      <c r="AC285" s="12"/>
      <c r="AD285" s="12"/>
      <c r="AE285" s="12"/>
      <c r="AF285" s="12"/>
    </row>
    <row r="286" spans="1:32">
      <c r="A286" s="8"/>
      <c r="B286" s="8"/>
      <c r="C286" s="8"/>
      <c r="D286" s="8"/>
      <c r="E286" s="8"/>
      <c r="F286" s="8"/>
      <c r="G286" s="8"/>
      <c r="H286" s="8"/>
      <c r="I286" s="8"/>
      <c r="J286" s="8"/>
      <c r="K286" s="8"/>
      <c r="L286" s="8"/>
      <c r="M286" s="8"/>
      <c r="N286" s="8"/>
      <c r="O286" s="8"/>
      <c r="P286" s="8"/>
      <c r="Q286" s="8"/>
      <c r="R286" s="8"/>
      <c r="S286" s="8"/>
      <c r="T286" s="8"/>
      <c r="U286" s="12"/>
      <c r="V286" s="12"/>
      <c r="W286" s="12"/>
      <c r="X286" s="12"/>
      <c r="Y286" s="12"/>
      <c r="Z286" s="12"/>
      <c r="AA286" s="12"/>
      <c r="AB286" s="12"/>
      <c r="AC286" s="12"/>
      <c r="AD286" s="12"/>
      <c r="AE286" s="12"/>
      <c r="AF286" s="12"/>
    </row>
    <row r="287" spans="1:32">
      <c r="A287" s="8"/>
      <c r="B287" s="8"/>
      <c r="C287" s="8"/>
      <c r="D287" s="8"/>
      <c r="E287" s="8"/>
      <c r="F287" s="8"/>
      <c r="G287" s="8"/>
      <c r="H287" s="8"/>
      <c r="I287" s="8"/>
      <c r="J287" s="8"/>
      <c r="K287" s="8"/>
      <c r="L287" s="8"/>
      <c r="M287" s="8"/>
      <c r="N287" s="8"/>
      <c r="O287" s="8"/>
      <c r="P287" s="8"/>
      <c r="Q287" s="8"/>
      <c r="R287" s="8"/>
      <c r="S287" s="8"/>
      <c r="T287" s="8"/>
      <c r="U287" s="12"/>
      <c r="V287" s="12"/>
      <c r="W287" s="12"/>
      <c r="X287" s="12"/>
      <c r="Y287" s="12"/>
      <c r="Z287" s="12"/>
      <c r="AA287" s="12"/>
      <c r="AB287" s="12"/>
      <c r="AC287" s="12"/>
      <c r="AD287" s="12"/>
      <c r="AE287" s="12"/>
      <c r="AF287" s="12"/>
    </row>
    <row r="288" spans="1:32">
      <c r="A288" s="8"/>
      <c r="B288" s="8"/>
      <c r="C288" s="8"/>
      <c r="D288" s="8"/>
      <c r="E288" s="8"/>
      <c r="F288" s="8"/>
      <c r="G288" s="8"/>
      <c r="H288" s="8"/>
      <c r="I288" s="8"/>
      <c r="J288" s="8"/>
      <c r="K288" s="8"/>
      <c r="L288" s="8"/>
      <c r="M288" s="8"/>
      <c r="N288" s="8"/>
      <c r="O288" s="8"/>
      <c r="P288" s="8"/>
      <c r="Q288" s="8"/>
      <c r="R288" s="8"/>
      <c r="S288" s="8"/>
      <c r="T288" s="8"/>
      <c r="U288" s="12"/>
      <c r="V288" s="12"/>
      <c r="W288" s="12"/>
      <c r="X288" s="12"/>
      <c r="Y288" s="12"/>
      <c r="Z288" s="12"/>
      <c r="AA288" s="12"/>
      <c r="AB288" s="12"/>
      <c r="AC288" s="12"/>
      <c r="AD288" s="12"/>
      <c r="AE288" s="12"/>
      <c r="AF288" s="12"/>
    </row>
    <row r="289" spans="1:32">
      <c r="A289" s="8"/>
      <c r="B289" s="8"/>
      <c r="C289" s="8"/>
      <c r="D289" s="8"/>
      <c r="E289" s="8"/>
      <c r="F289" s="8"/>
      <c r="G289" s="8"/>
      <c r="H289" s="8"/>
      <c r="I289" s="8"/>
      <c r="J289" s="8"/>
      <c r="K289" s="8"/>
      <c r="L289" s="8"/>
      <c r="M289" s="8"/>
      <c r="N289" s="8"/>
      <c r="O289" s="8"/>
      <c r="P289" s="8"/>
      <c r="Q289" s="8"/>
      <c r="R289" s="8"/>
      <c r="S289" s="8"/>
      <c r="T289" s="8"/>
      <c r="U289" s="12"/>
      <c r="V289" s="12"/>
      <c r="W289" s="12"/>
      <c r="X289" s="12"/>
      <c r="Y289" s="12"/>
      <c r="Z289" s="12"/>
      <c r="AA289" s="12"/>
      <c r="AB289" s="12"/>
      <c r="AC289" s="12"/>
      <c r="AD289" s="12"/>
      <c r="AE289" s="12"/>
      <c r="AF289" s="12"/>
    </row>
    <row r="290" spans="1:32">
      <c r="A290" s="8"/>
      <c r="B290" s="8"/>
      <c r="C290" s="8"/>
      <c r="D290" s="8"/>
      <c r="E290" s="8"/>
      <c r="F290" s="8"/>
      <c r="G290" s="8"/>
      <c r="H290" s="8"/>
      <c r="I290" s="8"/>
      <c r="J290" s="8"/>
      <c r="K290" s="8"/>
      <c r="L290" s="8"/>
      <c r="M290" s="8"/>
      <c r="N290" s="8"/>
      <c r="O290" s="8"/>
      <c r="P290" s="8"/>
      <c r="Q290" s="8"/>
      <c r="R290" s="8"/>
      <c r="S290" s="8"/>
      <c r="T290" s="8"/>
      <c r="U290" s="12"/>
      <c r="V290" s="12"/>
      <c r="W290" s="12"/>
      <c r="X290" s="12"/>
      <c r="Y290" s="12"/>
      <c r="Z290" s="12"/>
      <c r="AA290" s="12"/>
      <c r="AB290" s="12"/>
      <c r="AC290" s="12"/>
      <c r="AD290" s="12"/>
      <c r="AE290" s="12"/>
      <c r="AF290" s="12"/>
    </row>
    <row r="291" spans="1:32">
      <c r="A291" s="8"/>
      <c r="B291" s="8"/>
      <c r="C291" s="8"/>
      <c r="D291" s="8"/>
      <c r="E291" s="8"/>
      <c r="F291" s="8"/>
      <c r="G291" s="8"/>
      <c r="H291" s="8"/>
      <c r="I291" s="8"/>
      <c r="J291" s="8"/>
      <c r="K291" s="8"/>
      <c r="L291" s="8"/>
      <c r="M291" s="8"/>
      <c r="N291" s="8"/>
      <c r="O291" s="8"/>
      <c r="P291" s="8"/>
      <c r="Q291" s="8"/>
      <c r="R291" s="8"/>
      <c r="S291" s="8"/>
      <c r="T291" s="8"/>
      <c r="U291" s="12"/>
      <c r="V291" s="12"/>
      <c r="W291" s="12"/>
      <c r="X291" s="12"/>
      <c r="Y291" s="12"/>
      <c r="Z291" s="12"/>
      <c r="AA291" s="12"/>
      <c r="AB291" s="12"/>
      <c r="AC291" s="12"/>
      <c r="AD291" s="12"/>
      <c r="AE291" s="12"/>
      <c r="AF291" s="12"/>
    </row>
    <row r="292" spans="1:32">
      <c r="A292" s="8"/>
      <c r="B292" s="8"/>
      <c r="C292" s="8"/>
      <c r="D292" s="8"/>
      <c r="E292" s="8"/>
      <c r="F292" s="8"/>
      <c r="G292" s="8"/>
      <c r="H292" s="8"/>
      <c r="I292" s="8"/>
      <c r="J292" s="8"/>
      <c r="K292" s="8"/>
      <c r="L292" s="8"/>
      <c r="M292" s="8"/>
      <c r="N292" s="8"/>
      <c r="O292" s="8"/>
      <c r="P292" s="8"/>
      <c r="Q292" s="8"/>
      <c r="R292" s="8"/>
      <c r="S292" s="8"/>
      <c r="T292" s="8"/>
      <c r="U292" s="12"/>
      <c r="V292" s="12"/>
      <c r="W292" s="12"/>
      <c r="X292" s="12"/>
      <c r="Y292" s="12"/>
      <c r="Z292" s="12"/>
      <c r="AA292" s="12"/>
      <c r="AB292" s="12"/>
      <c r="AC292" s="12"/>
      <c r="AD292" s="12"/>
      <c r="AE292" s="12"/>
      <c r="AF292" s="12"/>
    </row>
    <row r="293" spans="1:32">
      <c r="A293" s="8"/>
      <c r="B293" s="8"/>
      <c r="C293" s="8"/>
      <c r="D293" s="8"/>
      <c r="E293" s="8"/>
      <c r="F293" s="8"/>
      <c r="G293" s="8"/>
      <c r="H293" s="8"/>
      <c r="I293" s="8"/>
      <c r="J293" s="8"/>
      <c r="K293" s="8"/>
      <c r="L293" s="8"/>
      <c r="M293" s="8"/>
      <c r="N293" s="8"/>
      <c r="O293" s="8"/>
      <c r="P293" s="8"/>
      <c r="Q293" s="8"/>
      <c r="R293" s="8"/>
      <c r="S293" s="8"/>
      <c r="T293" s="8"/>
      <c r="U293" s="12"/>
      <c r="V293" s="12"/>
      <c r="W293" s="12"/>
      <c r="X293" s="12"/>
      <c r="Y293" s="12"/>
      <c r="Z293" s="12"/>
      <c r="AA293" s="12"/>
      <c r="AB293" s="12"/>
      <c r="AC293" s="12"/>
      <c r="AD293" s="12"/>
      <c r="AE293" s="12"/>
      <c r="AF293" s="12"/>
    </row>
    <row r="294" spans="1:32">
      <c r="A294" s="8"/>
      <c r="B294" s="8"/>
      <c r="C294" s="8"/>
      <c r="D294" s="8"/>
      <c r="E294" s="8"/>
      <c r="F294" s="8"/>
      <c r="G294" s="8"/>
      <c r="H294" s="8"/>
      <c r="I294" s="8"/>
      <c r="J294" s="8"/>
      <c r="K294" s="8"/>
      <c r="L294" s="8"/>
      <c r="M294" s="8"/>
      <c r="N294" s="8"/>
      <c r="O294" s="8"/>
      <c r="P294" s="8"/>
      <c r="Q294" s="8"/>
      <c r="R294" s="8"/>
      <c r="S294" s="8"/>
      <c r="T294" s="8"/>
      <c r="U294" s="12"/>
      <c r="V294" s="12"/>
      <c r="W294" s="12"/>
      <c r="X294" s="12"/>
      <c r="Y294" s="12"/>
      <c r="Z294" s="12"/>
      <c r="AA294" s="12"/>
      <c r="AB294" s="12"/>
      <c r="AC294" s="12"/>
      <c r="AD294" s="12"/>
      <c r="AE294" s="12"/>
      <c r="AF294" s="12"/>
    </row>
    <row r="295" spans="1:32">
      <c r="A295" s="8"/>
      <c r="B295" s="8"/>
      <c r="C295" s="8"/>
      <c r="D295" s="8"/>
      <c r="E295" s="8"/>
      <c r="F295" s="8"/>
      <c r="G295" s="8"/>
      <c r="H295" s="8"/>
      <c r="I295" s="8"/>
      <c r="J295" s="8"/>
      <c r="K295" s="8"/>
      <c r="L295" s="8"/>
      <c r="M295" s="8"/>
      <c r="N295" s="8"/>
      <c r="O295" s="8"/>
      <c r="P295" s="8"/>
      <c r="Q295" s="8"/>
      <c r="R295" s="8"/>
      <c r="S295" s="8"/>
      <c r="T295" s="8"/>
      <c r="U295" s="12"/>
      <c r="V295" s="12"/>
      <c r="W295" s="12"/>
      <c r="X295" s="12"/>
      <c r="Y295" s="12"/>
      <c r="Z295" s="12"/>
      <c r="AA295" s="12"/>
      <c r="AB295" s="12"/>
      <c r="AC295" s="12"/>
      <c r="AD295" s="12"/>
      <c r="AE295" s="12"/>
      <c r="AF295" s="12"/>
    </row>
    <row r="296" spans="1:32">
      <c r="A296" s="8"/>
      <c r="B296" s="8"/>
      <c r="C296" s="8"/>
      <c r="D296" s="8"/>
      <c r="E296" s="8"/>
      <c r="F296" s="8"/>
      <c r="G296" s="8"/>
      <c r="H296" s="8"/>
      <c r="I296" s="8"/>
      <c r="J296" s="8"/>
      <c r="K296" s="8"/>
      <c r="L296" s="8"/>
      <c r="M296" s="8"/>
      <c r="N296" s="8"/>
      <c r="O296" s="8"/>
      <c r="P296" s="8"/>
      <c r="Q296" s="8"/>
      <c r="R296" s="8"/>
      <c r="S296" s="8"/>
      <c r="T296" s="8"/>
      <c r="U296" s="12"/>
      <c r="V296" s="12"/>
      <c r="W296" s="12"/>
      <c r="X296" s="12"/>
      <c r="Y296" s="12"/>
      <c r="Z296" s="12"/>
      <c r="AA296" s="12"/>
      <c r="AB296" s="12"/>
      <c r="AC296" s="12"/>
      <c r="AD296" s="12"/>
      <c r="AE296" s="12"/>
      <c r="AF296" s="12"/>
    </row>
    <row r="297" spans="1:32">
      <c r="A297" s="8"/>
      <c r="B297" s="8"/>
      <c r="C297" s="8"/>
      <c r="D297" s="8"/>
      <c r="E297" s="8"/>
      <c r="F297" s="8"/>
      <c r="G297" s="8"/>
      <c r="H297" s="8"/>
      <c r="I297" s="8"/>
      <c r="J297" s="8"/>
      <c r="K297" s="8"/>
      <c r="L297" s="8"/>
      <c r="M297" s="8"/>
      <c r="N297" s="8"/>
      <c r="O297" s="8"/>
      <c r="P297" s="8"/>
      <c r="Q297" s="8"/>
      <c r="R297" s="8"/>
      <c r="S297" s="8"/>
      <c r="T297" s="8"/>
      <c r="U297" s="12"/>
      <c r="V297" s="12"/>
      <c r="W297" s="12"/>
      <c r="X297" s="12"/>
      <c r="Y297" s="12"/>
      <c r="Z297" s="12"/>
      <c r="AA297" s="12"/>
      <c r="AB297" s="12"/>
      <c r="AC297" s="12"/>
      <c r="AD297" s="12"/>
      <c r="AE297" s="12"/>
      <c r="AF297" s="12"/>
    </row>
    <row r="298" spans="1:32">
      <c r="A298" s="8"/>
      <c r="B298" s="8"/>
      <c r="C298" s="8"/>
      <c r="D298" s="8"/>
      <c r="E298" s="8"/>
      <c r="F298" s="8"/>
      <c r="G298" s="8"/>
      <c r="H298" s="8"/>
      <c r="I298" s="8"/>
      <c r="J298" s="8"/>
      <c r="K298" s="8"/>
      <c r="L298" s="8"/>
      <c r="M298" s="8"/>
      <c r="N298" s="8"/>
      <c r="O298" s="8"/>
      <c r="P298" s="8"/>
      <c r="Q298" s="8"/>
      <c r="R298" s="8"/>
      <c r="S298" s="8"/>
      <c r="T298" s="8"/>
      <c r="U298" s="12"/>
      <c r="V298" s="12"/>
      <c r="W298" s="12"/>
      <c r="X298" s="12"/>
      <c r="Y298" s="12"/>
      <c r="Z298" s="12"/>
      <c r="AA298" s="12"/>
      <c r="AB298" s="12"/>
      <c r="AC298" s="12"/>
      <c r="AD298" s="12"/>
      <c r="AE298" s="12"/>
      <c r="AF298" s="12"/>
    </row>
    <row r="299" spans="1:32">
      <c r="A299" s="8"/>
      <c r="B299" s="8"/>
      <c r="C299" s="8"/>
      <c r="D299" s="8"/>
      <c r="E299" s="8"/>
      <c r="F299" s="8"/>
      <c r="G299" s="8"/>
      <c r="H299" s="8"/>
      <c r="I299" s="8"/>
      <c r="J299" s="8"/>
      <c r="K299" s="8"/>
      <c r="L299" s="8"/>
      <c r="M299" s="8"/>
      <c r="N299" s="8"/>
      <c r="O299" s="8"/>
      <c r="P299" s="8"/>
      <c r="Q299" s="8"/>
      <c r="R299" s="8"/>
      <c r="S299" s="8"/>
      <c r="T299" s="8"/>
      <c r="U299" s="12"/>
      <c r="V299" s="12"/>
      <c r="W299" s="12"/>
      <c r="X299" s="12"/>
      <c r="Y299" s="12"/>
      <c r="Z299" s="12"/>
      <c r="AA299" s="12"/>
      <c r="AB299" s="12"/>
      <c r="AC299" s="12"/>
      <c r="AD299" s="12"/>
      <c r="AE299" s="12"/>
      <c r="AF299" s="12"/>
    </row>
    <row r="300" spans="1:32">
      <c r="A300" s="8"/>
      <c r="B300" s="8"/>
      <c r="C300" s="8"/>
      <c r="D300" s="8"/>
      <c r="E300" s="8"/>
      <c r="F300" s="8"/>
      <c r="G300" s="8"/>
      <c r="H300" s="8"/>
      <c r="I300" s="8"/>
      <c r="J300" s="8"/>
      <c r="K300" s="8"/>
      <c r="L300" s="8"/>
      <c r="M300" s="8"/>
      <c r="N300" s="8"/>
      <c r="O300" s="8"/>
      <c r="P300" s="8"/>
      <c r="Q300" s="8"/>
      <c r="R300" s="8"/>
      <c r="S300" s="8"/>
      <c r="T300" s="8"/>
      <c r="U300" s="12"/>
      <c r="V300" s="12"/>
      <c r="W300" s="12"/>
      <c r="X300" s="12"/>
      <c r="Y300" s="12"/>
      <c r="Z300" s="12"/>
      <c r="AA300" s="12"/>
      <c r="AB300" s="12"/>
      <c r="AC300" s="12"/>
      <c r="AD300" s="12"/>
      <c r="AE300" s="12"/>
      <c r="AF300" s="12"/>
    </row>
    <row r="301" spans="1:32">
      <c r="A301" s="8"/>
      <c r="B301" s="8"/>
      <c r="C301" s="8"/>
      <c r="D301" s="8"/>
      <c r="E301" s="8"/>
      <c r="F301" s="8"/>
      <c r="G301" s="8"/>
      <c r="H301" s="8"/>
      <c r="I301" s="8"/>
      <c r="J301" s="8"/>
      <c r="K301" s="8"/>
      <c r="L301" s="8"/>
      <c r="M301" s="8"/>
      <c r="N301" s="8"/>
      <c r="O301" s="8"/>
      <c r="P301" s="8"/>
      <c r="Q301" s="8"/>
      <c r="R301" s="8"/>
      <c r="S301" s="8"/>
      <c r="T301" s="8"/>
      <c r="U301" s="12"/>
      <c r="V301" s="12"/>
      <c r="W301" s="12"/>
      <c r="X301" s="12"/>
      <c r="Y301" s="12"/>
      <c r="Z301" s="12"/>
      <c r="AA301" s="12"/>
      <c r="AB301" s="12"/>
      <c r="AC301" s="12"/>
      <c r="AD301" s="12"/>
      <c r="AE301" s="12"/>
      <c r="AF301" s="12"/>
    </row>
    <row r="302" spans="1:32">
      <c r="A302" s="8"/>
      <c r="B302" s="8"/>
      <c r="C302" s="8"/>
      <c r="D302" s="8"/>
      <c r="E302" s="8"/>
      <c r="F302" s="8"/>
      <c r="G302" s="8"/>
      <c r="H302" s="8"/>
      <c r="I302" s="8"/>
      <c r="J302" s="8"/>
      <c r="K302" s="8"/>
      <c r="L302" s="8"/>
      <c r="M302" s="8"/>
      <c r="N302" s="8"/>
      <c r="O302" s="8"/>
      <c r="P302" s="8"/>
      <c r="Q302" s="8"/>
      <c r="R302" s="8"/>
      <c r="S302" s="8"/>
      <c r="T302" s="8"/>
      <c r="U302" s="12"/>
      <c r="V302" s="12"/>
      <c r="W302" s="12"/>
      <c r="X302" s="12"/>
      <c r="Y302" s="12"/>
      <c r="Z302" s="12"/>
      <c r="AA302" s="12"/>
      <c r="AB302" s="12"/>
      <c r="AC302" s="12"/>
      <c r="AD302" s="12"/>
      <c r="AE302" s="12"/>
      <c r="AF302" s="12"/>
    </row>
    <row r="303" spans="1:32">
      <c r="A303" s="8"/>
      <c r="B303" s="8"/>
      <c r="C303" s="8"/>
      <c r="D303" s="8"/>
      <c r="E303" s="8"/>
      <c r="F303" s="8"/>
      <c r="G303" s="8"/>
      <c r="H303" s="8"/>
      <c r="I303" s="8"/>
      <c r="J303" s="8"/>
      <c r="K303" s="8"/>
      <c r="L303" s="8"/>
      <c r="M303" s="8"/>
      <c r="N303" s="8"/>
      <c r="O303" s="8"/>
      <c r="P303" s="8"/>
      <c r="Q303" s="8"/>
      <c r="R303" s="8"/>
      <c r="S303" s="8"/>
      <c r="T303" s="8"/>
      <c r="U303" s="12"/>
      <c r="V303" s="12"/>
      <c r="W303" s="12"/>
      <c r="X303" s="12"/>
      <c r="Y303" s="12"/>
      <c r="Z303" s="12"/>
      <c r="AA303" s="12"/>
      <c r="AB303" s="12"/>
      <c r="AC303" s="12"/>
      <c r="AD303" s="12"/>
      <c r="AE303" s="12"/>
      <c r="AF303" s="12"/>
    </row>
    <row r="304" spans="1:32">
      <c r="A304" s="8"/>
      <c r="B304" s="8"/>
      <c r="C304" s="8"/>
      <c r="D304" s="8"/>
      <c r="E304" s="8"/>
      <c r="F304" s="8"/>
      <c r="G304" s="8"/>
      <c r="H304" s="8"/>
      <c r="I304" s="8"/>
      <c r="J304" s="8"/>
      <c r="K304" s="8"/>
      <c r="L304" s="8"/>
      <c r="M304" s="8"/>
      <c r="N304" s="8"/>
      <c r="O304" s="8"/>
      <c r="P304" s="8"/>
      <c r="Q304" s="8"/>
      <c r="R304" s="8"/>
      <c r="S304" s="8"/>
      <c r="T304" s="8"/>
      <c r="U304" s="12"/>
      <c r="V304" s="12"/>
      <c r="W304" s="12"/>
      <c r="X304" s="12"/>
      <c r="Y304" s="12"/>
      <c r="Z304" s="12"/>
      <c r="AA304" s="12"/>
      <c r="AB304" s="12"/>
      <c r="AC304" s="12"/>
      <c r="AD304" s="12"/>
      <c r="AE304" s="12"/>
      <c r="AF304" s="12"/>
    </row>
    <row r="305" spans="1:32">
      <c r="A305" s="8"/>
      <c r="B305" s="8"/>
      <c r="C305" s="8"/>
      <c r="D305" s="8"/>
      <c r="E305" s="8"/>
      <c r="F305" s="8"/>
      <c r="G305" s="8"/>
      <c r="H305" s="8"/>
      <c r="I305" s="8"/>
      <c r="J305" s="8"/>
      <c r="K305" s="8"/>
      <c r="L305" s="8"/>
      <c r="M305" s="8"/>
      <c r="N305" s="8"/>
      <c r="O305" s="8"/>
      <c r="P305" s="8"/>
      <c r="Q305" s="8"/>
      <c r="R305" s="8"/>
      <c r="S305" s="8"/>
      <c r="T305" s="8"/>
      <c r="U305" s="12"/>
      <c r="V305" s="12"/>
      <c r="W305" s="12"/>
      <c r="X305" s="12"/>
      <c r="Y305" s="12"/>
      <c r="Z305" s="12"/>
      <c r="AA305" s="12"/>
      <c r="AB305" s="12"/>
      <c r="AC305" s="12"/>
      <c r="AD305" s="12"/>
      <c r="AE305" s="12"/>
      <c r="AF305" s="12"/>
    </row>
    <row r="306" spans="1:32">
      <c r="A306" s="8"/>
      <c r="B306" s="8"/>
      <c r="C306" s="8"/>
      <c r="D306" s="8"/>
      <c r="E306" s="8"/>
      <c r="F306" s="8"/>
      <c r="G306" s="8"/>
      <c r="H306" s="8"/>
      <c r="I306" s="8"/>
      <c r="J306" s="8"/>
      <c r="K306" s="8"/>
      <c r="L306" s="8"/>
      <c r="M306" s="8"/>
      <c r="N306" s="8"/>
      <c r="O306" s="8"/>
      <c r="P306" s="8"/>
      <c r="Q306" s="8"/>
      <c r="R306" s="8"/>
      <c r="S306" s="8"/>
      <c r="T306" s="8"/>
      <c r="U306" s="12"/>
      <c r="V306" s="12"/>
      <c r="W306" s="12"/>
      <c r="X306" s="12"/>
      <c r="Y306" s="12"/>
      <c r="Z306" s="12"/>
      <c r="AA306" s="12"/>
      <c r="AB306" s="12"/>
      <c r="AC306" s="12"/>
      <c r="AD306" s="12"/>
      <c r="AE306" s="12"/>
      <c r="AF306" s="12"/>
    </row>
    <row r="307" spans="1:32">
      <c r="A307" s="8"/>
      <c r="B307" s="8"/>
      <c r="C307" s="8"/>
      <c r="D307" s="8"/>
      <c r="E307" s="8"/>
      <c r="F307" s="8"/>
      <c r="G307" s="8"/>
      <c r="H307" s="8"/>
      <c r="I307" s="8"/>
      <c r="J307" s="8"/>
      <c r="K307" s="8"/>
      <c r="L307" s="8"/>
      <c r="M307" s="8"/>
      <c r="N307" s="8"/>
      <c r="O307" s="8"/>
      <c r="P307" s="8"/>
      <c r="Q307" s="8"/>
      <c r="R307" s="8"/>
      <c r="S307" s="8"/>
      <c r="T307" s="8"/>
      <c r="U307" s="12"/>
      <c r="V307" s="12"/>
      <c r="W307" s="12"/>
      <c r="X307" s="12"/>
      <c r="Y307" s="12"/>
      <c r="Z307" s="12"/>
      <c r="AA307" s="12"/>
      <c r="AB307" s="12"/>
      <c r="AC307" s="12"/>
      <c r="AD307" s="12"/>
      <c r="AE307" s="12"/>
      <c r="AF307" s="12"/>
    </row>
    <row r="308" spans="1:32">
      <c r="A308" s="8"/>
      <c r="B308" s="8"/>
      <c r="C308" s="8"/>
      <c r="D308" s="8"/>
      <c r="E308" s="8"/>
      <c r="F308" s="8"/>
      <c r="G308" s="8"/>
      <c r="H308" s="8"/>
      <c r="I308" s="8"/>
      <c r="J308" s="8"/>
      <c r="K308" s="8"/>
      <c r="L308" s="8"/>
      <c r="M308" s="8"/>
      <c r="N308" s="8"/>
      <c r="O308" s="8"/>
      <c r="P308" s="8"/>
      <c r="Q308" s="8"/>
      <c r="R308" s="8"/>
      <c r="S308" s="8"/>
      <c r="T308" s="8"/>
      <c r="U308" s="12"/>
      <c r="V308" s="12"/>
      <c r="W308" s="12"/>
      <c r="X308" s="12"/>
      <c r="Y308" s="12"/>
      <c r="Z308" s="12"/>
      <c r="AA308" s="12"/>
      <c r="AB308" s="12"/>
      <c r="AC308" s="12"/>
      <c r="AD308" s="12"/>
      <c r="AE308" s="12"/>
      <c r="AF308" s="12"/>
    </row>
    <row r="309" spans="1:32">
      <c r="A309" s="8"/>
      <c r="B309" s="8"/>
      <c r="C309" s="8"/>
      <c r="D309" s="8"/>
      <c r="E309" s="8"/>
      <c r="F309" s="8"/>
      <c r="G309" s="8"/>
      <c r="H309" s="8"/>
      <c r="I309" s="8"/>
      <c r="J309" s="8"/>
      <c r="K309" s="8"/>
      <c r="L309" s="8"/>
      <c r="M309" s="8"/>
      <c r="N309" s="8"/>
      <c r="O309" s="8"/>
      <c r="P309" s="8"/>
      <c r="Q309" s="8"/>
      <c r="R309" s="8"/>
      <c r="S309" s="8"/>
      <c r="T309" s="8"/>
      <c r="U309" s="12"/>
      <c r="V309" s="12"/>
      <c r="W309" s="12"/>
      <c r="X309" s="12"/>
      <c r="Y309" s="12"/>
      <c r="Z309" s="12"/>
      <c r="AA309" s="12"/>
      <c r="AB309" s="12"/>
      <c r="AC309" s="12"/>
      <c r="AD309" s="12"/>
      <c r="AE309" s="12"/>
      <c r="AF309" s="12"/>
    </row>
    <row r="310" spans="1:32">
      <c r="A310" s="8"/>
      <c r="B310" s="8"/>
      <c r="C310" s="8"/>
      <c r="D310" s="8"/>
      <c r="E310" s="8"/>
      <c r="F310" s="8"/>
      <c r="G310" s="8"/>
      <c r="H310" s="8"/>
      <c r="I310" s="8"/>
      <c r="J310" s="8"/>
      <c r="K310" s="8"/>
      <c r="L310" s="8"/>
      <c r="M310" s="8"/>
      <c r="N310" s="8"/>
      <c r="O310" s="8"/>
      <c r="P310" s="8"/>
      <c r="Q310" s="8"/>
      <c r="R310" s="8"/>
      <c r="S310" s="8"/>
      <c r="T310" s="8"/>
      <c r="U310" s="12"/>
      <c r="V310" s="12"/>
      <c r="W310" s="12"/>
      <c r="X310" s="12"/>
      <c r="Y310" s="12"/>
      <c r="Z310" s="12"/>
      <c r="AA310" s="12"/>
      <c r="AB310" s="12"/>
      <c r="AC310" s="12"/>
      <c r="AD310" s="12"/>
      <c r="AE310" s="12"/>
      <c r="AF310" s="12"/>
    </row>
    <row r="311" spans="1:32">
      <c r="A311" s="8"/>
      <c r="B311" s="8"/>
      <c r="C311" s="8"/>
      <c r="D311" s="8"/>
      <c r="E311" s="8"/>
      <c r="F311" s="8"/>
      <c r="G311" s="8"/>
      <c r="H311" s="8"/>
      <c r="I311" s="8"/>
      <c r="J311" s="8"/>
      <c r="K311" s="8"/>
      <c r="L311" s="8"/>
      <c r="M311" s="8"/>
      <c r="N311" s="8"/>
      <c r="O311" s="8"/>
      <c r="P311" s="8"/>
      <c r="Q311" s="8"/>
      <c r="R311" s="8"/>
      <c r="S311" s="8"/>
      <c r="T311" s="8"/>
      <c r="U311" s="12"/>
      <c r="V311" s="12"/>
      <c r="W311" s="12"/>
      <c r="X311" s="12"/>
      <c r="Y311" s="12"/>
      <c r="Z311" s="12"/>
      <c r="AA311" s="12"/>
      <c r="AB311" s="12"/>
      <c r="AC311" s="12"/>
      <c r="AD311" s="12"/>
      <c r="AE311" s="12"/>
      <c r="AF311" s="12"/>
    </row>
    <row r="312" spans="1:32">
      <c r="A312" s="8"/>
      <c r="B312" s="8"/>
      <c r="C312" s="8"/>
      <c r="D312" s="8"/>
      <c r="E312" s="8"/>
      <c r="F312" s="8"/>
      <c r="G312" s="8"/>
      <c r="H312" s="8"/>
      <c r="I312" s="8"/>
      <c r="J312" s="8"/>
      <c r="K312" s="8"/>
      <c r="L312" s="8"/>
      <c r="M312" s="8"/>
      <c r="N312" s="8"/>
      <c r="O312" s="8"/>
      <c r="P312" s="8"/>
      <c r="Q312" s="8"/>
      <c r="R312" s="8"/>
      <c r="S312" s="8"/>
      <c r="T312" s="8"/>
      <c r="U312" s="12"/>
      <c r="V312" s="12"/>
      <c r="W312" s="12"/>
      <c r="X312" s="12"/>
      <c r="Y312" s="12"/>
      <c r="Z312" s="12"/>
      <c r="AA312" s="12"/>
      <c r="AB312" s="12"/>
      <c r="AC312" s="12"/>
      <c r="AD312" s="12"/>
      <c r="AE312" s="12"/>
      <c r="AF312" s="12"/>
    </row>
    <row r="313" spans="1:32">
      <c r="A313" s="8"/>
      <c r="B313" s="8"/>
      <c r="C313" s="8"/>
      <c r="D313" s="8"/>
      <c r="E313" s="8"/>
      <c r="F313" s="8"/>
      <c r="G313" s="8"/>
      <c r="H313" s="8"/>
      <c r="I313" s="8"/>
      <c r="J313" s="8"/>
      <c r="K313" s="8"/>
      <c r="L313" s="8"/>
      <c r="M313" s="8"/>
      <c r="N313" s="8"/>
      <c r="O313" s="8"/>
      <c r="P313" s="8"/>
      <c r="Q313" s="8"/>
      <c r="R313" s="8"/>
      <c r="S313" s="8"/>
      <c r="T313" s="8"/>
      <c r="U313" s="12"/>
      <c r="V313" s="12"/>
      <c r="W313" s="12"/>
      <c r="X313" s="12"/>
      <c r="Y313" s="12"/>
      <c r="Z313" s="12"/>
      <c r="AA313" s="12"/>
      <c r="AB313" s="12"/>
      <c r="AC313" s="12"/>
      <c r="AD313" s="12"/>
      <c r="AE313" s="12"/>
      <c r="AF313" s="12"/>
    </row>
    <row r="314" spans="1:32">
      <c r="A314" s="8"/>
      <c r="B314" s="8"/>
      <c r="C314" s="8"/>
      <c r="D314" s="8"/>
      <c r="E314" s="8"/>
      <c r="F314" s="8"/>
      <c r="G314" s="8"/>
      <c r="H314" s="8"/>
      <c r="I314" s="8"/>
      <c r="J314" s="8"/>
      <c r="K314" s="8"/>
      <c r="L314" s="8"/>
      <c r="M314" s="8"/>
      <c r="N314" s="8"/>
      <c r="O314" s="8"/>
      <c r="P314" s="8"/>
      <c r="Q314" s="8"/>
      <c r="R314" s="8"/>
      <c r="S314" s="8"/>
      <c r="T314" s="8"/>
      <c r="U314" s="12"/>
      <c r="V314" s="12"/>
      <c r="W314" s="12"/>
      <c r="X314" s="12"/>
      <c r="Y314" s="12"/>
      <c r="Z314" s="12"/>
      <c r="AA314" s="12"/>
      <c r="AB314" s="12"/>
      <c r="AC314" s="12"/>
      <c r="AD314" s="12"/>
      <c r="AE314" s="12"/>
      <c r="AF314" s="12"/>
    </row>
    <row r="315" spans="1:32">
      <c r="A315" s="8"/>
      <c r="B315" s="8"/>
      <c r="C315" s="8"/>
      <c r="D315" s="8"/>
      <c r="E315" s="8"/>
      <c r="F315" s="8"/>
      <c r="G315" s="8"/>
      <c r="H315" s="8"/>
      <c r="I315" s="8"/>
      <c r="J315" s="8"/>
      <c r="K315" s="8"/>
      <c r="L315" s="8"/>
      <c r="M315" s="8"/>
      <c r="N315" s="8"/>
      <c r="O315" s="8"/>
      <c r="P315" s="8"/>
      <c r="Q315" s="8"/>
      <c r="R315" s="8"/>
      <c r="S315" s="8"/>
      <c r="T315" s="8"/>
      <c r="U315" s="12"/>
      <c r="V315" s="12"/>
      <c r="W315" s="12"/>
      <c r="X315" s="12"/>
      <c r="Y315" s="12"/>
      <c r="Z315" s="12"/>
      <c r="AA315" s="12"/>
      <c r="AB315" s="12"/>
      <c r="AC315" s="12"/>
      <c r="AD315" s="12"/>
      <c r="AE315" s="12"/>
      <c r="AF315" s="12"/>
    </row>
    <row r="316" spans="1:32">
      <c r="A316" s="8"/>
      <c r="B316" s="8"/>
      <c r="C316" s="8"/>
      <c r="D316" s="8"/>
      <c r="E316" s="8"/>
      <c r="F316" s="8"/>
      <c r="G316" s="8"/>
      <c r="H316" s="8"/>
      <c r="I316" s="8"/>
      <c r="J316" s="8"/>
      <c r="K316" s="8"/>
      <c r="L316" s="8"/>
      <c r="M316" s="8"/>
      <c r="N316" s="8"/>
      <c r="O316" s="8"/>
      <c r="P316" s="8"/>
      <c r="Q316" s="8"/>
      <c r="R316" s="8"/>
      <c r="S316" s="8"/>
      <c r="T316" s="8"/>
      <c r="U316" s="12"/>
      <c r="V316" s="12"/>
      <c r="W316" s="12"/>
      <c r="X316" s="12"/>
      <c r="Y316" s="12"/>
      <c r="Z316" s="12"/>
      <c r="AA316" s="12"/>
      <c r="AB316" s="12"/>
      <c r="AC316" s="12"/>
      <c r="AD316" s="12"/>
      <c r="AE316" s="12"/>
      <c r="AF316" s="12"/>
    </row>
    <row r="317" spans="1:32">
      <c r="A317" s="8"/>
      <c r="B317" s="8"/>
      <c r="C317" s="8"/>
      <c r="D317" s="8"/>
      <c r="E317" s="8"/>
      <c r="F317" s="8"/>
      <c r="G317" s="8"/>
      <c r="H317" s="8"/>
      <c r="I317" s="8"/>
      <c r="J317" s="8"/>
      <c r="K317" s="8"/>
      <c r="L317" s="8"/>
      <c r="M317" s="8"/>
      <c r="N317" s="8"/>
      <c r="O317" s="8"/>
      <c r="P317" s="8"/>
      <c r="Q317" s="8"/>
      <c r="R317" s="8"/>
      <c r="S317" s="8"/>
      <c r="T317" s="8"/>
      <c r="U317" s="12"/>
      <c r="V317" s="12"/>
      <c r="W317" s="12"/>
      <c r="X317" s="12"/>
      <c r="Y317" s="12"/>
      <c r="Z317" s="12"/>
      <c r="AA317" s="12"/>
      <c r="AB317" s="12"/>
      <c r="AC317" s="12"/>
      <c r="AD317" s="12"/>
      <c r="AE317" s="12"/>
      <c r="AF317" s="12"/>
    </row>
    <row r="318" spans="1:32">
      <c r="A318" s="8"/>
      <c r="B318" s="8"/>
      <c r="C318" s="8"/>
      <c r="D318" s="8"/>
      <c r="E318" s="8"/>
      <c r="F318" s="8"/>
      <c r="G318" s="8"/>
      <c r="H318" s="8"/>
      <c r="I318" s="8"/>
      <c r="J318" s="8"/>
      <c r="K318" s="8"/>
      <c r="L318" s="8"/>
      <c r="M318" s="8"/>
      <c r="N318" s="8"/>
      <c r="O318" s="8"/>
      <c r="P318" s="8"/>
      <c r="Q318" s="8"/>
      <c r="R318" s="8"/>
      <c r="S318" s="8"/>
      <c r="T318" s="8"/>
      <c r="U318" s="12"/>
      <c r="V318" s="12"/>
      <c r="W318" s="12"/>
      <c r="X318" s="12"/>
      <c r="Y318" s="12"/>
      <c r="Z318" s="12"/>
      <c r="AA318" s="12"/>
      <c r="AB318" s="12"/>
      <c r="AC318" s="12"/>
      <c r="AD318" s="12"/>
      <c r="AE318" s="12"/>
      <c r="AF318" s="12"/>
    </row>
    <row r="319" spans="1:32">
      <c r="A319" s="8"/>
      <c r="B319" s="8"/>
      <c r="C319" s="8"/>
      <c r="D319" s="8"/>
      <c r="E319" s="8"/>
      <c r="F319" s="8"/>
      <c r="G319" s="8"/>
      <c r="H319" s="8"/>
      <c r="I319" s="8"/>
      <c r="J319" s="8"/>
      <c r="K319" s="8"/>
      <c r="L319" s="8"/>
      <c r="M319" s="8"/>
      <c r="N319" s="8"/>
      <c r="O319" s="8"/>
      <c r="P319" s="8"/>
      <c r="Q319" s="8"/>
      <c r="R319" s="8"/>
      <c r="S319" s="8"/>
      <c r="T319" s="8"/>
      <c r="U319" s="12"/>
      <c r="V319" s="12"/>
      <c r="W319" s="12"/>
      <c r="X319" s="12"/>
      <c r="Y319" s="12"/>
      <c r="Z319" s="12"/>
      <c r="AA319" s="12"/>
      <c r="AB319" s="12"/>
      <c r="AC319" s="12"/>
      <c r="AD319" s="12"/>
      <c r="AE319" s="12"/>
      <c r="AF319" s="12"/>
    </row>
    <row r="320" spans="1:32">
      <c r="A320" s="8"/>
      <c r="B320" s="8"/>
      <c r="C320" s="8"/>
      <c r="D320" s="8"/>
      <c r="E320" s="8"/>
      <c r="F320" s="8"/>
      <c r="G320" s="8"/>
      <c r="H320" s="8"/>
      <c r="I320" s="8"/>
      <c r="J320" s="8"/>
      <c r="K320" s="8"/>
      <c r="L320" s="8"/>
      <c r="M320" s="8"/>
      <c r="N320" s="8"/>
      <c r="O320" s="8"/>
      <c r="P320" s="8"/>
      <c r="Q320" s="8"/>
      <c r="R320" s="8"/>
      <c r="S320" s="8"/>
      <c r="T320" s="8"/>
      <c r="U320" s="12"/>
      <c r="V320" s="12"/>
      <c r="W320" s="12"/>
      <c r="X320" s="12"/>
      <c r="Y320" s="12"/>
      <c r="Z320" s="12"/>
      <c r="AA320" s="12"/>
      <c r="AB320" s="12"/>
      <c r="AC320" s="12"/>
      <c r="AD320" s="12"/>
      <c r="AE320" s="12"/>
      <c r="AF320" s="12"/>
    </row>
    <row r="321" spans="1:32">
      <c r="A321" s="8"/>
      <c r="B321" s="8"/>
      <c r="C321" s="8"/>
      <c r="D321" s="8"/>
      <c r="E321" s="8"/>
      <c r="F321" s="8"/>
      <c r="G321" s="8"/>
      <c r="H321" s="8"/>
      <c r="I321" s="8"/>
      <c r="J321" s="8"/>
      <c r="K321" s="8"/>
      <c r="L321" s="8"/>
      <c r="M321" s="8"/>
      <c r="N321" s="8"/>
      <c r="O321" s="8"/>
      <c r="P321" s="8"/>
      <c r="Q321" s="8"/>
      <c r="R321" s="8"/>
      <c r="S321" s="8"/>
      <c r="T321" s="8"/>
      <c r="U321" s="12"/>
      <c r="V321" s="12"/>
      <c r="W321" s="12"/>
      <c r="X321" s="12"/>
      <c r="Y321" s="12"/>
      <c r="Z321" s="12"/>
      <c r="AA321" s="12"/>
      <c r="AB321" s="12"/>
      <c r="AC321" s="12"/>
      <c r="AD321" s="12"/>
      <c r="AE321" s="12"/>
      <c r="AF321" s="12"/>
    </row>
    <row r="322" spans="1:32">
      <c r="A322" s="8"/>
      <c r="B322" s="8"/>
      <c r="C322" s="8"/>
      <c r="D322" s="8"/>
      <c r="E322" s="8"/>
      <c r="F322" s="8"/>
      <c r="G322" s="8"/>
      <c r="H322" s="8"/>
      <c r="I322" s="8"/>
      <c r="J322" s="8"/>
      <c r="K322" s="8"/>
      <c r="L322" s="8"/>
      <c r="M322" s="8"/>
      <c r="N322" s="8"/>
      <c r="O322" s="8"/>
      <c r="P322" s="8"/>
      <c r="Q322" s="8"/>
      <c r="R322" s="8"/>
      <c r="S322" s="8"/>
      <c r="T322" s="8"/>
      <c r="U322" s="12"/>
      <c r="V322" s="12"/>
      <c r="W322" s="12"/>
      <c r="X322" s="12"/>
      <c r="Y322" s="12"/>
      <c r="Z322" s="12"/>
      <c r="AA322" s="12"/>
      <c r="AB322" s="12"/>
      <c r="AC322" s="12"/>
      <c r="AD322" s="12"/>
      <c r="AE322" s="12"/>
      <c r="AF322" s="12"/>
    </row>
    <row r="323" spans="1:32">
      <c r="A323" s="8"/>
      <c r="B323" s="8"/>
      <c r="C323" s="8"/>
      <c r="D323" s="8"/>
      <c r="E323" s="8"/>
      <c r="F323" s="8"/>
      <c r="G323" s="8"/>
      <c r="H323" s="8"/>
      <c r="I323" s="8"/>
      <c r="J323" s="8"/>
      <c r="K323" s="8"/>
      <c r="L323" s="8"/>
      <c r="M323" s="8"/>
      <c r="N323" s="8"/>
      <c r="O323" s="8"/>
      <c r="P323" s="8"/>
      <c r="Q323" s="8"/>
      <c r="R323" s="8"/>
      <c r="S323" s="8"/>
      <c r="T323" s="8"/>
      <c r="U323" s="12"/>
      <c r="V323" s="12"/>
      <c r="W323" s="12"/>
      <c r="X323" s="12"/>
      <c r="Y323" s="12"/>
      <c r="Z323" s="12"/>
      <c r="AA323" s="12"/>
      <c r="AB323" s="12"/>
      <c r="AC323" s="12"/>
      <c r="AD323" s="12"/>
      <c r="AE323" s="12"/>
      <c r="AF323" s="12"/>
    </row>
    <row r="324" spans="1:32">
      <c r="A324" s="8"/>
      <c r="B324" s="8"/>
      <c r="C324" s="8"/>
      <c r="D324" s="8"/>
      <c r="E324" s="8"/>
      <c r="F324" s="8"/>
      <c r="G324" s="8"/>
      <c r="H324" s="8"/>
      <c r="I324" s="8"/>
      <c r="J324" s="8"/>
      <c r="K324" s="8"/>
      <c r="L324" s="8"/>
      <c r="M324" s="8"/>
      <c r="N324" s="8"/>
      <c r="O324" s="8"/>
      <c r="P324" s="8"/>
      <c r="Q324" s="8"/>
      <c r="R324" s="8"/>
      <c r="S324" s="8"/>
      <c r="T324" s="8"/>
      <c r="U324" s="12"/>
      <c r="V324" s="12"/>
      <c r="W324" s="12"/>
      <c r="X324" s="12"/>
      <c r="Y324" s="12"/>
      <c r="Z324" s="12"/>
      <c r="AA324" s="12"/>
      <c r="AB324" s="12"/>
      <c r="AC324" s="12"/>
      <c r="AD324" s="12"/>
      <c r="AE324" s="12"/>
      <c r="AF324" s="12"/>
    </row>
    <row r="325" spans="1:32">
      <c r="A325" s="8"/>
      <c r="B325" s="8"/>
      <c r="C325" s="8"/>
      <c r="D325" s="8"/>
      <c r="E325" s="8"/>
      <c r="F325" s="8"/>
      <c r="G325" s="8"/>
      <c r="H325" s="8"/>
      <c r="I325" s="8"/>
      <c r="J325" s="8"/>
      <c r="K325" s="8"/>
      <c r="L325" s="8"/>
      <c r="M325" s="8"/>
      <c r="N325" s="8"/>
      <c r="O325" s="8"/>
      <c r="P325" s="8"/>
      <c r="Q325" s="8"/>
      <c r="R325" s="8"/>
      <c r="S325" s="8"/>
      <c r="T325" s="8"/>
      <c r="U325" s="12"/>
      <c r="V325" s="12"/>
      <c r="W325" s="12"/>
      <c r="X325" s="12"/>
      <c r="Y325" s="12"/>
      <c r="Z325" s="12"/>
      <c r="AA325" s="12"/>
      <c r="AB325" s="12"/>
      <c r="AC325" s="12"/>
      <c r="AD325" s="12"/>
      <c r="AE325" s="12"/>
      <c r="AF325" s="12"/>
    </row>
    <row r="326" spans="1:32">
      <c r="A326" s="8"/>
      <c r="B326" s="8"/>
      <c r="C326" s="8"/>
      <c r="D326" s="8"/>
      <c r="E326" s="8"/>
      <c r="F326" s="8"/>
      <c r="G326" s="8"/>
      <c r="H326" s="8"/>
      <c r="I326" s="8"/>
      <c r="J326" s="8"/>
      <c r="K326" s="8"/>
      <c r="L326" s="8"/>
      <c r="M326" s="8"/>
      <c r="N326" s="8"/>
      <c r="O326" s="8"/>
      <c r="P326" s="8"/>
      <c r="Q326" s="8"/>
      <c r="R326" s="8"/>
      <c r="S326" s="8"/>
      <c r="T326" s="8"/>
      <c r="U326" s="12"/>
      <c r="V326" s="12"/>
      <c r="W326" s="12"/>
      <c r="X326" s="12"/>
      <c r="Y326" s="12"/>
      <c r="Z326" s="12"/>
      <c r="AA326" s="12"/>
      <c r="AB326" s="12"/>
      <c r="AC326" s="12"/>
      <c r="AD326" s="12"/>
      <c r="AE326" s="12"/>
      <c r="AF326" s="12"/>
    </row>
    <row r="327" spans="1:32">
      <c r="A327" s="8"/>
      <c r="B327" s="8"/>
      <c r="C327" s="8"/>
      <c r="D327" s="8"/>
      <c r="E327" s="8"/>
      <c r="F327" s="8"/>
      <c r="G327" s="8"/>
      <c r="H327" s="8"/>
      <c r="I327" s="8"/>
      <c r="J327" s="8"/>
      <c r="K327" s="8"/>
      <c r="L327" s="8"/>
      <c r="M327" s="8"/>
      <c r="N327" s="8"/>
      <c r="O327" s="8"/>
      <c r="P327" s="8"/>
      <c r="Q327" s="8"/>
      <c r="R327" s="8"/>
      <c r="S327" s="8"/>
      <c r="T327" s="8"/>
      <c r="U327" s="12"/>
      <c r="V327" s="12"/>
      <c r="W327" s="12"/>
      <c r="X327" s="12"/>
      <c r="Y327" s="12"/>
      <c r="Z327" s="12"/>
      <c r="AA327" s="12"/>
      <c r="AB327" s="12"/>
      <c r="AC327" s="12"/>
      <c r="AD327" s="12"/>
      <c r="AE327" s="12"/>
      <c r="AF327" s="12"/>
    </row>
    <row r="328" spans="1:32">
      <c r="A328" s="8"/>
      <c r="B328" s="8"/>
      <c r="C328" s="8"/>
      <c r="D328" s="8"/>
      <c r="E328" s="8"/>
      <c r="F328" s="8"/>
      <c r="G328" s="8"/>
      <c r="H328" s="8"/>
      <c r="I328" s="8"/>
      <c r="J328" s="8"/>
      <c r="K328" s="8"/>
      <c r="L328" s="8"/>
      <c r="M328" s="8"/>
      <c r="N328" s="8"/>
      <c r="O328" s="8"/>
      <c r="P328" s="8"/>
      <c r="Q328" s="8"/>
      <c r="R328" s="8"/>
      <c r="S328" s="8"/>
      <c r="T328" s="8"/>
      <c r="U328" s="12"/>
      <c r="V328" s="12"/>
      <c r="W328" s="12"/>
      <c r="X328" s="12"/>
      <c r="Y328" s="12"/>
      <c r="Z328" s="12"/>
      <c r="AA328" s="12"/>
      <c r="AB328" s="12"/>
      <c r="AC328" s="12"/>
      <c r="AD328" s="12"/>
      <c r="AE328" s="12"/>
      <c r="AF328" s="12"/>
    </row>
    <row r="329" spans="1:32">
      <c r="A329" s="8"/>
      <c r="B329" s="8"/>
      <c r="C329" s="8"/>
      <c r="D329" s="8"/>
      <c r="E329" s="8"/>
      <c r="F329" s="8"/>
      <c r="G329" s="8"/>
      <c r="H329" s="8"/>
      <c r="I329" s="8"/>
      <c r="J329" s="8"/>
      <c r="K329" s="8"/>
      <c r="L329" s="8"/>
      <c r="M329" s="8"/>
      <c r="N329" s="8"/>
      <c r="O329" s="8"/>
      <c r="P329" s="8"/>
      <c r="Q329" s="8"/>
      <c r="R329" s="8"/>
      <c r="S329" s="8"/>
      <c r="T329" s="8"/>
      <c r="U329" s="12"/>
      <c r="V329" s="12"/>
      <c r="W329" s="12"/>
      <c r="X329" s="12"/>
      <c r="Y329" s="12"/>
      <c r="Z329" s="12"/>
      <c r="AA329" s="12"/>
      <c r="AB329" s="12"/>
      <c r="AC329" s="12"/>
      <c r="AD329" s="12"/>
      <c r="AE329" s="12"/>
      <c r="AF329" s="12"/>
    </row>
    <row r="330" spans="1:32">
      <c r="A330" s="8"/>
      <c r="B330" s="8"/>
      <c r="C330" s="8"/>
      <c r="D330" s="8"/>
      <c r="E330" s="8"/>
      <c r="F330" s="8"/>
      <c r="G330" s="8"/>
      <c r="H330" s="8"/>
      <c r="I330" s="8"/>
      <c r="J330" s="8"/>
      <c r="K330" s="8"/>
      <c r="L330" s="8"/>
      <c r="M330" s="8"/>
      <c r="N330" s="8"/>
      <c r="O330" s="8"/>
      <c r="P330" s="8"/>
      <c r="Q330" s="8"/>
      <c r="R330" s="8"/>
      <c r="S330" s="8"/>
      <c r="T330" s="8"/>
      <c r="U330" s="12"/>
      <c r="V330" s="12"/>
      <c r="W330" s="12"/>
      <c r="X330" s="12"/>
      <c r="Y330" s="12"/>
      <c r="Z330" s="12"/>
      <c r="AA330" s="12"/>
      <c r="AB330" s="12"/>
      <c r="AC330" s="12"/>
      <c r="AD330" s="12"/>
      <c r="AE330" s="12"/>
      <c r="AF330" s="12"/>
    </row>
    <row r="331" spans="1:32">
      <c r="A331" s="8"/>
      <c r="B331" s="8"/>
      <c r="C331" s="8"/>
      <c r="D331" s="8"/>
      <c r="E331" s="8"/>
      <c r="F331" s="8"/>
      <c r="G331" s="8"/>
      <c r="H331" s="8"/>
      <c r="I331" s="8"/>
      <c r="J331" s="8"/>
      <c r="K331" s="8"/>
      <c r="L331" s="8"/>
      <c r="M331" s="8"/>
      <c r="N331" s="8"/>
      <c r="O331" s="8"/>
      <c r="P331" s="8"/>
      <c r="Q331" s="8"/>
      <c r="R331" s="8"/>
      <c r="S331" s="8"/>
      <c r="T331" s="8"/>
      <c r="U331" s="12"/>
      <c r="V331" s="12"/>
      <c r="W331" s="12"/>
      <c r="X331" s="12"/>
      <c r="Y331" s="12"/>
      <c r="Z331" s="12"/>
      <c r="AA331" s="12"/>
      <c r="AB331" s="12"/>
      <c r="AC331" s="12"/>
      <c r="AD331" s="12"/>
      <c r="AE331" s="12"/>
      <c r="AF331" s="12"/>
    </row>
    <row r="332" spans="1:32">
      <c r="A332" s="8"/>
      <c r="B332" s="8"/>
      <c r="C332" s="8"/>
      <c r="D332" s="8"/>
      <c r="E332" s="8"/>
      <c r="F332" s="8"/>
      <c r="G332" s="8"/>
      <c r="H332" s="8"/>
      <c r="I332" s="8"/>
      <c r="J332" s="8"/>
      <c r="K332" s="8"/>
      <c r="L332" s="8"/>
      <c r="M332" s="8"/>
      <c r="N332" s="8"/>
      <c r="O332" s="8"/>
      <c r="P332" s="8"/>
      <c r="Q332" s="8"/>
      <c r="R332" s="8"/>
      <c r="S332" s="8"/>
      <c r="T332" s="8"/>
      <c r="U332" s="12"/>
      <c r="V332" s="12"/>
      <c r="W332" s="12"/>
      <c r="X332" s="12"/>
      <c r="Y332" s="12"/>
      <c r="Z332" s="12"/>
      <c r="AA332" s="12"/>
      <c r="AB332" s="12"/>
      <c r="AC332" s="12"/>
      <c r="AD332" s="12"/>
      <c r="AE332" s="12"/>
      <c r="AF332" s="12"/>
    </row>
    <row r="333" spans="1:32">
      <c r="A333" s="8"/>
      <c r="B333" s="8"/>
      <c r="C333" s="8"/>
      <c r="D333" s="8"/>
      <c r="E333" s="8"/>
      <c r="F333" s="8"/>
      <c r="G333" s="8"/>
      <c r="H333" s="8"/>
      <c r="I333" s="8"/>
      <c r="J333" s="8"/>
      <c r="K333" s="8"/>
      <c r="L333" s="8"/>
      <c r="M333" s="8"/>
      <c r="N333" s="8"/>
      <c r="O333" s="8"/>
      <c r="P333" s="8"/>
      <c r="Q333" s="8"/>
      <c r="R333" s="8"/>
      <c r="S333" s="8"/>
      <c r="T333" s="8"/>
      <c r="U333" s="12"/>
      <c r="V333" s="12"/>
      <c r="W333" s="12"/>
      <c r="X333" s="12"/>
      <c r="Y333" s="12"/>
      <c r="Z333" s="12"/>
      <c r="AA333" s="12"/>
      <c r="AB333" s="12"/>
      <c r="AC333" s="12"/>
      <c r="AD333" s="12"/>
      <c r="AE333" s="12"/>
      <c r="AF333" s="12"/>
    </row>
    <row r="334" spans="1:32">
      <c r="A334" s="8"/>
      <c r="B334" s="8"/>
      <c r="C334" s="8"/>
      <c r="D334" s="8"/>
      <c r="E334" s="8"/>
      <c r="F334" s="8"/>
      <c r="G334" s="8"/>
      <c r="H334" s="8"/>
      <c r="I334" s="8"/>
      <c r="J334" s="8"/>
      <c r="K334" s="8"/>
      <c r="L334" s="8"/>
      <c r="M334" s="8"/>
      <c r="N334" s="8"/>
      <c r="O334" s="8"/>
      <c r="P334" s="8"/>
      <c r="Q334" s="8"/>
      <c r="R334" s="8"/>
      <c r="S334" s="8"/>
      <c r="T334" s="8"/>
      <c r="U334" s="12"/>
      <c r="V334" s="12"/>
      <c r="W334" s="12"/>
      <c r="X334" s="12"/>
      <c r="Y334" s="12"/>
      <c r="Z334" s="12"/>
      <c r="AA334" s="12"/>
      <c r="AB334" s="12"/>
      <c r="AC334" s="12"/>
      <c r="AD334" s="12"/>
      <c r="AE334" s="12"/>
      <c r="AF334" s="12"/>
    </row>
    <row r="335" spans="1:32">
      <c r="A335" s="8"/>
      <c r="B335" s="8"/>
      <c r="C335" s="8"/>
      <c r="D335" s="8"/>
      <c r="E335" s="8"/>
      <c r="F335" s="8"/>
      <c r="G335" s="8"/>
      <c r="H335" s="8"/>
      <c r="I335" s="8"/>
      <c r="J335" s="8"/>
      <c r="K335" s="8"/>
      <c r="L335" s="8"/>
      <c r="M335" s="8"/>
      <c r="N335" s="8"/>
      <c r="O335" s="8"/>
      <c r="P335" s="8"/>
      <c r="Q335" s="8"/>
      <c r="R335" s="8"/>
      <c r="S335" s="8"/>
      <c r="T335" s="8"/>
      <c r="U335" s="12"/>
      <c r="V335" s="12"/>
      <c r="W335" s="12"/>
      <c r="X335" s="12"/>
      <c r="Y335" s="12"/>
      <c r="Z335" s="12"/>
      <c r="AA335" s="12"/>
      <c r="AB335" s="12"/>
      <c r="AC335" s="12"/>
      <c r="AD335" s="12"/>
      <c r="AE335" s="12"/>
      <c r="AF335" s="12"/>
    </row>
    <row r="336" spans="1:32">
      <c r="A336" s="8"/>
      <c r="B336" s="8"/>
      <c r="C336" s="8"/>
      <c r="D336" s="8"/>
      <c r="E336" s="8"/>
      <c r="F336" s="8"/>
      <c r="G336" s="8"/>
      <c r="H336" s="8"/>
      <c r="I336" s="8"/>
      <c r="J336" s="8"/>
      <c r="K336" s="8"/>
      <c r="L336" s="8"/>
      <c r="M336" s="8"/>
      <c r="N336" s="8"/>
      <c r="O336" s="8"/>
      <c r="P336" s="8"/>
      <c r="Q336" s="8"/>
      <c r="R336" s="8"/>
      <c r="S336" s="8"/>
      <c r="T336" s="8"/>
      <c r="U336" s="12"/>
      <c r="V336" s="12"/>
      <c r="W336" s="12"/>
      <c r="X336" s="12"/>
      <c r="Y336" s="12"/>
      <c r="Z336" s="12"/>
      <c r="AA336" s="12"/>
      <c r="AB336" s="12"/>
      <c r="AC336" s="12"/>
      <c r="AD336" s="12"/>
      <c r="AE336" s="12"/>
      <c r="AF336" s="12"/>
    </row>
    <row r="337" spans="1:32">
      <c r="A337" s="8"/>
      <c r="B337" s="8"/>
      <c r="C337" s="8"/>
      <c r="D337" s="8"/>
      <c r="E337" s="8"/>
      <c r="F337" s="8"/>
      <c r="G337" s="8"/>
      <c r="H337" s="8"/>
      <c r="I337" s="8"/>
      <c r="J337" s="8"/>
      <c r="K337" s="8"/>
      <c r="L337" s="8"/>
      <c r="M337" s="8"/>
      <c r="N337" s="8"/>
      <c r="O337" s="8"/>
      <c r="P337" s="8"/>
      <c r="Q337" s="8"/>
      <c r="R337" s="8"/>
      <c r="S337" s="8"/>
      <c r="T337" s="8"/>
      <c r="U337" s="12"/>
      <c r="V337" s="12"/>
      <c r="W337" s="12"/>
      <c r="X337" s="12"/>
      <c r="Y337" s="12"/>
      <c r="Z337" s="12"/>
      <c r="AA337" s="12"/>
      <c r="AB337" s="12"/>
      <c r="AC337" s="12"/>
      <c r="AD337" s="12"/>
      <c r="AE337" s="12"/>
      <c r="AF337" s="12"/>
    </row>
    <row r="338" spans="1:32">
      <c r="A338" s="8"/>
      <c r="B338" s="8"/>
      <c r="C338" s="8"/>
      <c r="D338" s="8"/>
      <c r="E338" s="8"/>
      <c r="F338" s="8"/>
      <c r="G338" s="8"/>
      <c r="H338" s="8"/>
      <c r="I338" s="8"/>
      <c r="J338" s="8"/>
      <c r="K338" s="8"/>
      <c r="L338" s="8"/>
      <c r="M338" s="8"/>
      <c r="N338" s="8"/>
      <c r="O338" s="8"/>
      <c r="P338" s="8"/>
      <c r="Q338" s="8"/>
      <c r="R338" s="8"/>
      <c r="S338" s="8"/>
      <c r="T338" s="8"/>
      <c r="U338" s="12"/>
      <c r="V338" s="12"/>
      <c r="W338" s="12"/>
      <c r="X338" s="12"/>
      <c r="Y338" s="12"/>
      <c r="Z338" s="12"/>
      <c r="AA338" s="12"/>
      <c r="AB338" s="12"/>
      <c r="AC338" s="12"/>
      <c r="AD338" s="12"/>
      <c r="AE338" s="12"/>
      <c r="AF338" s="12"/>
    </row>
    <row r="339" spans="1:32">
      <c r="A339" s="8"/>
      <c r="B339" s="8"/>
      <c r="C339" s="8"/>
      <c r="D339" s="8"/>
      <c r="E339" s="8"/>
      <c r="F339" s="8"/>
      <c r="G339" s="8"/>
      <c r="H339" s="8"/>
      <c r="I339" s="8"/>
      <c r="J339" s="8"/>
      <c r="K339" s="8"/>
      <c r="L339" s="8"/>
      <c r="M339" s="8"/>
      <c r="N339" s="8"/>
      <c r="O339" s="8"/>
      <c r="P339" s="8"/>
      <c r="Q339" s="8"/>
      <c r="R339" s="8"/>
      <c r="S339" s="8"/>
      <c r="T339" s="8"/>
      <c r="U339" s="12"/>
      <c r="V339" s="12"/>
      <c r="W339" s="12"/>
      <c r="X339" s="12"/>
      <c r="Y339" s="12"/>
      <c r="Z339" s="12"/>
      <c r="AA339" s="12"/>
      <c r="AB339" s="12"/>
      <c r="AC339" s="12"/>
      <c r="AD339" s="12"/>
      <c r="AE339" s="12"/>
      <c r="AF339" s="12"/>
    </row>
    <row r="340" spans="1:32">
      <c r="A340" s="8"/>
      <c r="B340" s="8"/>
      <c r="C340" s="8"/>
      <c r="D340" s="8"/>
      <c r="E340" s="8"/>
      <c r="F340" s="8"/>
      <c r="G340" s="8"/>
      <c r="H340" s="8"/>
      <c r="I340" s="8"/>
      <c r="J340" s="8"/>
      <c r="K340" s="8"/>
      <c r="L340" s="8"/>
      <c r="M340" s="8"/>
      <c r="N340" s="8"/>
      <c r="O340" s="8"/>
      <c r="P340" s="8"/>
      <c r="Q340" s="8"/>
      <c r="R340" s="8"/>
      <c r="S340" s="8"/>
      <c r="T340" s="8"/>
      <c r="U340" s="12"/>
      <c r="V340" s="12"/>
      <c r="W340" s="12"/>
      <c r="X340" s="12"/>
      <c r="Y340" s="12"/>
      <c r="Z340" s="12"/>
      <c r="AA340" s="12"/>
      <c r="AB340" s="12"/>
      <c r="AC340" s="12"/>
      <c r="AD340" s="12"/>
      <c r="AE340" s="12"/>
      <c r="AF340" s="12"/>
    </row>
    <row r="341" spans="1:32">
      <c r="A341" s="8"/>
      <c r="B341" s="8"/>
      <c r="C341" s="8"/>
      <c r="D341" s="8"/>
      <c r="E341" s="8"/>
      <c r="F341" s="8"/>
      <c r="G341" s="8"/>
      <c r="H341" s="8"/>
      <c r="I341" s="8"/>
      <c r="J341" s="8"/>
      <c r="K341" s="8"/>
      <c r="L341" s="8"/>
      <c r="M341" s="8"/>
      <c r="N341" s="8"/>
      <c r="O341" s="8"/>
      <c r="P341" s="8"/>
      <c r="Q341" s="8"/>
      <c r="R341" s="8"/>
      <c r="S341" s="8"/>
      <c r="T341" s="8"/>
      <c r="U341" s="12"/>
      <c r="V341" s="12"/>
      <c r="W341" s="12"/>
      <c r="X341" s="12"/>
      <c r="Y341" s="12"/>
      <c r="Z341" s="12"/>
      <c r="AA341" s="12"/>
      <c r="AB341" s="12"/>
      <c r="AC341" s="12"/>
      <c r="AD341" s="12"/>
      <c r="AE341" s="12"/>
      <c r="AF341" s="12"/>
    </row>
    <row r="342" spans="1:32">
      <c r="A342" s="8"/>
      <c r="B342" s="8"/>
      <c r="C342" s="8"/>
      <c r="D342" s="8"/>
      <c r="E342" s="8"/>
      <c r="F342" s="8"/>
      <c r="G342" s="8"/>
      <c r="H342" s="8"/>
      <c r="I342" s="8"/>
      <c r="J342" s="8"/>
      <c r="K342" s="8"/>
      <c r="L342" s="8"/>
      <c r="M342" s="8"/>
      <c r="N342" s="8"/>
      <c r="O342" s="8"/>
      <c r="P342" s="8"/>
      <c r="Q342" s="8"/>
      <c r="R342" s="8"/>
      <c r="S342" s="8"/>
      <c r="T342" s="8"/>
      <c r="U342" s="12"/>
      <c r="V342" s="12"/>
      <c r="W342" s="12"/>
      <c r="X342" s="12"/>
      <c r="Y342" s="12"/>
      <c r="Z342" s="12"/>
      <c r="AA342" s="12"/>
      <c r="AB342" s="12"/>
      <c r="AC342" s="12"/>
      <c r="AD342" s="12"/>
      <c r="AE342" s="12"/>
      <c r="AF342" s="12"/>
    </row>
    <row r="343" spans="1:32">
      <c r="A343" s="8"/>
      <c r="B343" s="8"/>
      <c r="C343" s="8"/>
      <c r="D343" s="8"/>
      <c r="E343" s="8"/>
      <c r="F343" s="8"/>
      <c r="G343" s="8"/>
      <c r="H343" s="8"/>
      <c r="I343" s="8"/>
      <c r="J343" s="8"/>
      <c r="K343" s="8"/>
      <c r="L343" s="8"/>
      <c r="M343" s="8"/>
      <c r="N343" s="8"/>
      <c r="O343" s="8"/>
      <c r="P343" s="8"/>
      <c r="Q343" s="8"/>
      <c r="R343" s="8"/>
      <c r="S343" s="8"/>
      <c r="T343" s="8"/>
      <c r="U343" s="12"/>
      <c r="V343" s="12"/>
      <c r="W343" s="12"/>
      <c r="X343" s="12"/>
      <c r="Y343" s="12"/>
      <c r="Z343" s="12"/>
      <c r="AA343" s="12"/>
      <c r="AB343" s="12"/>
      <c r="AC343" s="12"/>
      <c r="AD343" s="12"/>
      <c r="AE343" s="12"/>
      <c r="AF343" s="12"/>
    </row>
    <row r="344" spans="1:32">
      <c r="A344" s="8"/>
      <c r="B344" s="8"/>
      <c r="C344" s="8"/>
      <c r="D344" s="8"/>
      <c r="E344" s="8"/>
      <c r="F344" s="8"/>
      <c r="G344" s="8"/>
      <c r="H344" s="8"/>
      <c r="I344" s="8"/>
      <c r="J344" s="8"/>
      <c r="K344" s="8"/>
      <c r="L344" s="8"/>
      <c r="M344" s="8"/>
      <c r="N344" s="8"/>
      <c r="O344" s="8"/>
      <c r="P344" s="8"/>
      <c r="Q344" s="8"/>
      <c r="R344" s="8"/>
      <c r="S344" s="8"/>
      <c r="T344" s="8"/>
      <c r="U344" s="12"/>
      <c r="V344" s="12"/>
      <c r="W344" s="12"/>
      <c r="X344" s="12"/>
      <c r="Y344" s="12"/>
      <c r="Z344" s="12"/>
      <c r="AA344" s="12"/>
      <c r="AB344" s="12"/>
      <c r="AC344" s="12"/>
      <c r="AD344" s="12"/>
      <c r="AE344" s="12"/>
      <c r="AF344" s="12"/>
    </row>
    <row r="345" spans="1:32">
      <c r="A345" s="8"/>
      <c r="B345" s="8"/>
      <c r="C345" s="8"/>
      <c r="D345" s="8"/>
      <c r="E345" s="8"/>
      <c r="F345" s="8"/>
      <c r="G345" s="8"/>
      <c r="H345" s="8"/>
      <c r="I345" s="8"/>
      <c r="J345" s="8"/>
      <c r="K345" s="8"/>
      <c r="L345" s="8"/>
      <c r="M345" s="8"/>
      <c r="N345" s="8"/>
      <c r="O345" s="8"/>
      <c r="P345" s="8"/>
      <c r="Q345" s="8"/>
      <c r="R345" s="8"/>
      <c r="S345" s="8"/>
      <c r="T345" s="8"/>
      <c r="U345" s="12"/>
      <c r="V345" s="12"/>
      <c r="W345" s="12"/>
      <c r="X345" s="12"/>
      <c r="Y345" s="12"/>
      <c r="Z345" s="12"/>
      <c r="AA345" s="12"/>
      <c r="AB345" s="12"/>
      <c r="AC345" s="12"/>
      <c r="AD345" s="12"/>
      <c r="AE345" s="12"/>
      <c r="AF345" s="12"/>
    </row>
    <row r="346" spans="1:32">
      <c r="A346" s="8"/>
      <c r="B346" s="8"/>
      <c r="C346" s="8"/>
      <c r="D346" s="8"/>
      <c r="E346" s="8"/>
      <c r="F346" s="8"/>
      <c r="G346" s="8"/>
      <c r="H346" s="8"/>
      <c r="I346" s="8"/>
      <c r="J346" s="8"/>
      <c r="K346" s="8"/>
      <c r="L346" s="8"/>
      <c r="M346" s="8"/>
      <c r="N346" s="8"/>
      <c r="O346" s="8"/>
      <c r="P346" s="8"/>
      <c r="Q346" s="8"/>
      <c r="R346" s="8"/>
      <c r="S346" s="8"/>
      <c r="T346" s="8"/>
      <c r="U346" s="12"/>
      <c r="V346" s="12"/>
      <c r="W346" s="12"/>
      <c r="X346" s="12"/>
      <c r="Y346" s="12"/>
      <c r="Z346" s="12"/>
      <c r="AA346" s="12"/>
      <c r="AB346" s="12"/>
      <c r="AC346" s="12"/>
      <c r="AD346" s="12"/>
      <c r="AE346" s="12"/>
      <c r="AF346" s="12"/>
    </row>
    <row r="347" spans="1:32">
      <c r="A347" s="8"/>
      <c r="B347" s="8"/>
      <c r="C347" s="8"/>
      <c r="D347" s="8"/>
      <c r="E347" s="8"/>
      <c r="F347" s="8"/>
      <c r="G347" s="8"/>
      <c r="H347" s="8"/>
      <c r="I347" s="8"/>
      <c r="J347" s="8"/>
      <c r="K347" s="8"/>
      <c r="L347" s="8"/>
      <c r="M347" s="8"/>
      <c r="N347" s="8"/>
      <c r="O347" s="8"/>
      <c r="P347" s="8"/>
      <c r="Q347" s="8"/>
      <c r="R347" s="8"/>
      <c r="S347" s="8"/>
      <c r="T347" s="8"/>
      <c r="U347" s="12"/>
      <c r="V347" s="12"/>
      <c r="W347" s="12"/>
      <c r="X347" s="12"/>
      <c r="Y347" s="12"/>
      <c r="Z347" s="12"/>
      <c r="AA347" s="12"/>
      <c r="AB347" s="12"/>
      <c r="AC347" s="12"/>
      <c r="AD347" s="12"/>
      <c r="AE347" s="12"/>
      <c r="AF347" s="12"/>
    </row>
    <row r="348" spans="1:32">
      <c r="A348" s="8"/>
      <c r="B348" s="8"/>
      <c r="C348" s="8"/>
      <c r="D348" s="8"/>
      <c r="E348" s="8"/>
      <c r="F348" s="8"/>
      <c r="G348" s="8"/>
      <c r="H348" s="8"/>
      <c r="I348" s="8"/>
      <c r="J348" s="8"/>
      <c r="K348" s="8"/>
      <c r="L348" s="8"/>
      <c r="M348" s="8"/>
      <c r="N348" s="8"/>
      <c r="O348" s="8"/>
      <c r="P348" s="8"/>
      <c r="Q348" s="8"/>
      <c r="R348" s="8"/>
      <c r="S348" s="8"/>
      <c r="T348" s="8"/>
      <c r="U348" s="12"/>
      <c r="V348" s="12"/>
      <c r="W348" s="12"/>
      <c r="X348" s="12"/>
      <c r="Y348" s="12"/>
      <c r="Z348" s="12"/>
      <c r="AA348" s="12"/>
      <c r="AB348" s="12"/>
      <c r="AC348" s="12"/>
      <c r="AD348" s="12"/>
      <c r="AE348" s="12"/>
      <c r="AF348" s="12"/>
    </row>
    <row r="349" spans="1:32">
      <c r="A349" s="8"/>
      <c r="B349" s="8"/>
      <c r="C349" s="8"/>
      <c r="D349" s="8"/>
      <c r="E349" s="8"/>
      <c r="F349" s="8"/>
      <c r="G349" s="8"/>
      <c r="H349" s="8"/>
      <c r="I349" s="8"/>
      <c r="J349" s="8"/>
      <c r="K349" s="8"/>
      <c r="L349" s="8"/>
      <c r="M349" s="8"/>
      <c r="N349" s="8"/>
      <c r="O349" s="8"/>
      <c r="P349" s="8"/>
      <c r="Q349" s="8"/>
      <c r="R349" s="8"/>
      <c r="S349" s="8"/>
      <c r="T349" s="8"/>
      <c r="U349" s="12"/>
      <c r="V349" s="12"/>
      <c r="W349" s="12"/>
      <c r="X349" s="12"/>
      <c r="Y349" s="12"/>
      <c r="Z349" s="12"/>
      <c r="AA349" s="12"/>
      <c r="AB349" s="12"/>
      <c r="AC349" s="12"/>
      <c r="AD349" s="12"/>
      <c r="AE349" s="12"/>
      <c r="AF349" s="12"/>
    </row>
    <row r="350" spans="1:32">
      <c r="A350" s="8"/>
      <c r="B350" s="8"/>
      <c r="C350" s="8"/>
      <c r="D350" s="8"/>
      <c r="E350" s="8"/>
      <c r="F350" s="8"/>
      <c r="G350" s="8"/>
      <c r="H350" s="8"/>
      <c r="I350" s="8"/>
      <c r="J350" s="8"/>
      <c r="K350" s="8"/>
      <c r="L350" s="8"/>
      <c r="M350" s="8"/>
      <c r="N350" s="8"/>
      <c r="O350" s="8"/>
      <c r="P350" s="8"/>
      <c r="Q350" s="8"/>
      <c r="R350" s="8"/>
      <c r="S350" s="8"/>
      <c r="T350" s="8"/>
      <c r="U350" s="12"/>
      <c r="V350" s="12"/>
      <c r="W350" s="12"/>
      <c r="X350" s="12"/>
      <c r="Y350" s="12"/>
      <c r="Z350" s="12"/>
      <c r="AA350" s="12"/>
      <c r="AB350" s="12"/>
      <c r="AC350" s="12"/>
      <c r="AD350" s="12"/>
      <c r="AE350" s="12"/>
      <c r="AF350" s="12"/>
    </row>
    <row r="351" spans="1:32">
      <c r="A351" s="8"/>
      <c r="B351" s="8"/>
      <c r="C351" s="8"/>
      <c r="D351" s="8"/>
      <c r="E351" s="8"/>
      <c r="F351" s="8"/>
      <c r="G351" s="8"/>
      <c r="H351" s="8"/>
      <c r="I351" s="8"/>
      <c r="J351" s="8"/>
      <c r="K351" s="8"/>
      <c r="L351" s="8"/>
      <c r="M351" s="8"/>
      <c r="N351" s="8"/>
      <c r="O351" s="8"/>
      <c r="P351" s="8"/>
      <c r="Q351" s="8"/>
      <c r="R351" s="8"/>
      <c r="S351" s="8"/>
      <c r="T351" s="8"/>
      <c r="U351" s="12"/>
      <c r="V351" s="12"/>
      <c r="W351" s="12"/>
      <c r="X351" s="12"/>
      <c r="Y351" s="12"/>
      <c r="Z351" s="12"/>
      <c r="AA351" s="12"/>
      <c r="AB351" s="12"/>
      <c r="AC351" s="12"/>
      <c r="AD351" s="12"/>
      <c r="AE351" s="12"/>
      <c r="AF351" s="12"/>
    </row>
    <row r="352" spans="1:32">
      <c r="A352" s="8"/>
      <c r="B352" s="8"/>
      <c r="C352" s="8"/>
      <c r="D352" s="8"/>
      <c r="E352" s="8"/>
      <c r="F352" s="8"/>
      <c r="G352" s="8"/>
      <c r="H352" s="8"/>
      <c r="I352" s="8"/>
      <c r="J352" s="8"/>
      <c r="K352" s="8"/>
      <c r="L352" s="8"/>
      <c r="M352" s="8"/>
      <c r="N352" s="8"/>
      <c r="O352" s="8"/>
      <c r="P352" s="8"/>
      <c r="Q352" s="8"/>
      <c r="R352" s="8"/>
      <c r="S352" s="8"/>
      <c r="T352" s="8"/>
      <c r="U352" s="12"/>
      <c r="V352" s="12"/>
      <c r="W352" s="12"/>
      <c r="X352" s="12"/>
      <c r="Y352" s="12"/>
      <c r="Z352" s="12"/>
      <c r="AA352" s="12"/>
      <c r="AB352" s="12"/>
      <c r="AC352" s="12"/>
      <c r="AD352" s="12"/>
      <c r="AE352" s="12"/>
      <c r="AF352" s="12"/>
    </row>
    <row r="353" spans="1:32">
      <c r="A353" s="8"/>
      <c r="B353" s="8"/>
      <c r="C353" s="8"/>
      <c r="D353" s="8"/>
      <c r="E353" s="8"/>
      <c r="F353" s="8"/>
      <c r="G353" s="8"/>
      <c r="H353" s="8"/>
      <c r="I353" s="8"/>
      <c r="J353" s="8"/>
      <c r="K353" s="8"/>
      <c r="L353" s="8"/>
      <c r="M353" s="8"/>
      <c r="N353" s="8"/>
      <c r="O353" s="8"/>
      <c r="P353" s="8"/>
      <c r="Q353" s="8"/>
      <c r="R353" s="8"/>
      <c r="S353" s="8"/>
      <c r="T353" s="8"/>
      <c r="U353" s="12"/>
      <c r="V353" s="12"/>
      <c r="W353" s="12"/>
      <c r="X353" s="12"/>
      <c r="Y353" s="12"/>
      <c r="Z353" s="12"/>
      <c r="AA353" s="12"/>
      <c r="AB353" s="12"/>
      <c r="AC353" s="12"/>
      <c r="AD353" s="12"/>
      <c r="AE353" s="12"/>
      <c r="AF353" s="12"/>
    </row>
    <row r="354" spans="1:32">
      <c r="A354" s="8"/>
      <c r="B354" s="8"/>
      <c r="C354" s="8"/>
      <c r="D354" s="8"/>
      <c r="E354" s="8"/>
      <c r="F354" s="8"/>
      <c r="G354" s="8"/>
      <c r="H354" s="8"/>
      <c r="I354" s="8"/>
      <c r="J354" s="8"/>
      <c r="K354" s="8"/>
      <c r="L354" s="8"/>
      <c r="M354" s="8"/>
      <c r="N354" s="8"/>
      <c r="O354" s="8"/>
      <c r="P354" s="8"/>
      <c r="Q354" s="8"/>
      <c r="R354" s="8"/>
      <c r="S354" s="8"/>
      <c r="T354" s="8"/>
      <c r="U354" s="12"/>
      <c r="V354" s="12"/>
      <c r="W354" s="12"/>
      <c r="X354" s="12"/>
      <c r="Y354" s="12"/>
      <c r="Z354" s="12"/>
      <c r="AA354" s="12"/>
      <c r="AB354" s="12"/>
      <c r="AC354" s="12"/>
      <c r="AD354" s="12"/>
      <c r="AE354" s="12"/>
      <c r="AF354" s="12"/>
    </row>
    <row r="355" spans="1:32">
      <c r="A355" s="8"/>
      <c r="B355" s="8"/>
      <c r="C355" s="8"/>
      <c r="D355" s="8"/>
      <c r="E355" s="8"/>
      <c r="F355" s="8"/>
      <c r="G355" s="8"/>
      <c r="H355" s="8"/>
      <c r="I355" s="8"/>
      <c r="J355" s="8"/>
      <c r="K355" s="8"/>
      <c r="L355" s="8"/>
      <c r="M355" s="8"/>
      <c r="N355" s="8"/>
      <c r="O355" s="8"/>
      <c r="P355" s="8"/>
      <c r="Q355" s="8"/>
      <c r="R355" s="8"/>
      <c r="S355" s="8"/>
      <c r="T355" s="8"/>
      <c r="U355" s="12"/>
      <c r="V355" s="12"/>
      <c r="W355" s="12"/>
      <c r="X355" s="12"/>
      <c r="Y355" s="12"/>
      <c r="Z355" s="12"/>
      <c r="AA355" s="12"/>
      <c r="AB355" s="12"/>
      <c r="AC355" s="12"/>
      <c r="AD355" s="12"/>
      <c r="AE355" s="12"/>
      <c r="AF355" s="12"/>
    </row>
    <row r="356" spans="1:32">
      <c r="A356" s="8"/>
      <c r="B356" s="8"/>
      <c r="C356" s="8"/>
      <c r="D356" s="8"/>
      <c r="E356" s="8"/>
      <c r="F356" s="8"/>
      <c r="G356" s="8"/>
      <c r="H356" s="8"/>
      <c r="I356" s="8"/>
      <c r="J356" s="8"/>
      <c r="K356" s="8"/>
      <c r="L356" s="8"/>
      <c r="M356" s="8"/>
      <c r="N356" s="8"/>
      <c r="O356" s="8"/>
      <c r="P356" s="8"/>
      <c r="Q356" s="8"/>
      <c r="R356" s="8"/>
      <c r="S356" s="8"/>
      <c r="T356" s="8"/>
      <c r="U356" s="12"/>
      <c r="V356" s="12"/>
      <c r="W356" s="12"/>
      <c r="X356" s="12"/>
      <c r="Y356" s="12"/>
      <c r="Z356" s="12"/>
      <c r="AA356" s="12"/>
      <c r="AB356" s="12"/>
      <c r="AC356" s="12"/>
      <c r="AD356" s="12"/>
      <c r="AE356" s="12"/>
      <c r="AF356" s="12"/>
    </row>
    <row r="357" spans="1:32">
      <c r="A357" s="8"/>
      <c r="B357" s="8"/>
      <c r="C357" s="8"/>
      <c r="D357" s="8"/>
      <c r="E357" s="8"/>
      <c r="F357" s="8"/>
      <c r="G357" s="8"/>
      <c r="H357" s="8"/>
      <c r="I357" s="8"/>
      <c r="J357" s="8"/>
      <c r="K357" s="8"/>
      <c r="L357" s="8"/>
      <c r="M357" s="8"/>
      <c r="N357" s="8"/>
      <c r="O357" s="8"/>
      <c r="P357" s="8"/>
      <c r="Q357" s="8"/>
      <c r="R357" s="8"/>
      <c r="S357" s="8"/>
      <c r="T357" s="8"/>
      <c r="U357" s="12"/>
      <c r="V357" s="12"/>
      <c r="W357" s="12"/>
      <c r="X357" s="12"/>
      <c r="Y357" s="12"/>
      <c r="Z357" s="12"/>
      <c r="AA357" s="12"/>
      <c r="AB357" s="12"/>
      <c r="AC357" s="12"/>
      <c r="AD357" s="12"/>
      <c r="AE357" s="12"/>
      <c r="AF357" s="12"/>
    </row>
    <row r="358" spans="1:32">
      <c r="A358" s="8"/>
      <c r="B358" s="8"/>
      <c r="C358" s="8"/>
      <c r="D358" s="8"/>
      <c r="E358" s="8"/>
      <c r="F358" s="8"/>
      <c r="G358" s="8"/>
      <c r="H358" s="8"/>
      <c r="I358" s="8"/>
      <c r="J358" s="8"/>
      <c r="K358" s="8"/>
      <c r="L358" s="8"/>
      <c r="M358" s="8"/>
      <c r="N358" s="8"/>
      <c r="O358" s="8"/>
      <c r="P358" s="8"/>
      <c r="Q358" s="8"/>
      <c r="R358" s="8"/>
      <c r="S358" s="8"/>
      <c r="T358" s="8"/>
      <c r="U358" s="12"/>
      <c r="V358" s="12"/>
      <c r="W358" s="12"/>
      <c r="X358" s="12"/>
      <c r="Y358" s="12"/>
      <c r="Z358" s="12"/>
      <c r="AA358" s="12"/>
      <c r="AB358" s="12"/>
      <c r="AC358" s="12"/>
      <c r="AD358" s="12"/>
      <c r="AE358" s="12"/>
      <c r="AF358" s="12"/>
    </row>
    <row r="359" spans="1:32">
      <c r="A359" s="8"/>
      <c r="B359" s="8"/>
      <c r="C359" s="8"/>
      <c r="D359" s="8"/>
      <c r="E359" s="8"/>
      <c r="F359" s="8"/>
      <c r="G359" s="8"/>
      <c r="H359" s="8"/>
      <c r="I359" s="8"/>
      <c r="J359" s="8"/>
      <c r="K359" s="8"/>
      <c r="L359" s="8"/>
      <c r="M359" s="8"/>
      <c r="N359" s="8"/>
      <c r="O359" s="8"/>
      <c r="P359" s="8"/>
      <c r="Q359" s="8"/>
      <c r="R359" s="8"/>
      <c r="S359" s="8"/>
      <c r="T359" s="8"/>
      <c r="U359" s="12"/>
      <c r="V359" s="12"/>
      <c r="W359" s="12"/>
      <c r="X359" s="12"/>
      <c r="Y359" s="12"/>
      <c r="Z359" s="12"/>
      <c r="AA359" s="12"/>
      <c r="AB359" s="12"/>
      <c r="AC359" s="12"/>
      <c r="AD359" s="12"/>
      <c r="AE359" s="12"/>
      <c r="AF359" s="12"/>
    </row>
    <row r="360" spans="1:32">
      <c r="A360" s="8"/>
      <c r="B360" s="8"/>
      <c r="C360" s="8"/>
      <c r="D360" s="8"/>
      <c r="E360" s="8"/>
      <c r="F360" s="8"/>
      <c r="G360" s="8"/>
      <c r="H360" s="8"/>
      <c r="I360" s="8"/>
      <c r="J360" s="8"/>
      <c r="K360" s="8"/>
      <c r="L360" s="8"/>
      <c r="M360" s="8"/>
      <c r="N360" s="8"/>
      <c r="O360" s="8"/>
      <c r="P360" s="8"/>
      <c r="Q360" s="8"/>
      <c r="R360" s="8"/>
      <c r="S360" s="8"/>
      <c r="T360" s="8"/>
      <c r="U360" s="12"/>
      <c r="V360" s="12"/>
      <c r="W360" s="12"/>
      <c r="X360" s="12"/>
      <c r="Y360" s="12"/>
      <c r="Z360" s="12"/>
      <c r="AA360" s="12"/>
      <c r="AB360" s="12"/>
      <c r="AC360" s="12"/>
      <c r="AD360" s="12"/>
      <c r="AE360" s="12"/>
      <c r="AF360" s="12"/>
    </row>
    <row r="361" spans="1:32">
      <c r="A361" s="8"/>
      <c r="B361" s="8"/>
      <c r="C361" s="8"/>
      <c r="D361" s="8"/>
      <c r="E361" s="8"/>
      <c r="F361" s="8"/>
      <c r="G361" s="8"/>
      <c r="H361" s="8"/>
      <c r="I361" s="8"/>
      <c r="J361" s="8"/>
      <c r="K361" s="8"/>
      <c r="L361" s="8"/>
      <c r="M361" s="8"/>
      <c r="N361" s="8"/>
      <c r="O361" s="8"/>
      <c r="P361" s="8"/>
      <c r="Q361" s="8"/>
      <c r="R361" s="8"/>
      <c r="S361" s="8"/>
      <c r="T361" s="8"/>
      <c r="U361" s="12"/>
      <c r="V361" s="12"/>
      <c r="W361" s="12"/>
      <c r="X361" s="12"/>
      <c r="Y361" s="12"/>
      <c r="Z361" s="12"/>
      <c r="AA361" s="12"/>
      <c r="AB361" s="12"/>
      <c r="AC361" s="12"/>
      <c r="AD361" s="12"/>
      <c r="AE361" s="12"/>
      <c r="AF361" s="12"/>
    </row>
    <row r="362" spans="1:32">
      <c r="A362" s="8"/>
      <c r="B362" s="8"/>
      <c r="C362" s="8"/>
      <c r="D362" s="8"/>
      <c r="E362" s="8"/>
      <c r="F362" s="8"/>
      <c r="G362" s="8"/>
      <c r="H362" s="8"/>
      <c r="I362" s="8"/>
      <c r="J362" s="8"/>
      <c r="K362" s="8"/>
      <c r="L362" s="8"/>
      <c r="M362" s="8"/>
      <c r="N362" s="8"/>
      <c r="O362" s="8"/>
      <c r="P362" s="8"/>
      <c r="Q362" s="8"/>
      <c r="R362" s="8"/>
      <c r="S362" s="8"/>
      <c r="T362" s="8"/>
      <c r="U362" s="12"/>
      <c r="V362" s="12"/>
      <c r="W362" s="12"/>
      <c r="X362" s="12"/>
      <c r="Y362" s="12"/>
      <c r="Z362" s="12"/>
      <c r="AA362" s="12"/>
      <c r="AB362" s="12"/>
      <c r="AC362" s="12"/>
      <c r="AD362" s="12"/>
      <c r="AE362" s="12"/>
      <c r="AF362" s="12"/>
    </row>
    <row r="363" spans="1:32">
      <c r="A363" s="8"/>
      <c r="B363" s="8"/>
      <c r="C363" s="8"/>
      <c r="D363" s="8"/>
      <c r="E363" s="8"/>
      <c r="F363" s="8"/>
      <c r="G363" s="8"/>
      <c r="H363" s="8"/>
      <c r="I363" s="8"/>
      <c r="J363" s="8"/>
      <c r="K363" s="8"/>
      <c r="L363" s="8"/>
      <c r="M363" s="8"/>
      <c r="N363" s="8"/>
      <c r="O363" s="8"/>
      <c r="P363" s="8"/>
      <c r="Q363" s="8"/>
      <c r="R363" s="8"/>
      <c r="S363" s="8"/>
      <c r="T363" s="8"/>
      <c r="U363" s="12"/>
      <c r="V363" s="12"/>
      <c r="W363" s="12"/>
      <c r="X363" s="12"/>
      <c r="Y363" s="12"/>
      <c r="Z363" s="12"/>
      <c r="AA363" s="12"/>
      <c r="AB363" s="12"/>
      <c r="AC363" s="12"/>
      <c r="AD363" s="12"/>
      <c r="AE363" s="12"/>
      <c r="AF363" s="12"/>
    </row>
    <row r="364" spans="1:32">
      <c r="A364" s="8"/>
      <c r="B364" s="8"/>
      <c r="C364" s="8"/>
      <c r="D364" s="8"/>
      <c r="E364" s="8"/>
      <c r="F364" s="8"/>
      <c r="G364" s="8"/>
      <c r="H364" s="8"/>
      <c r="I364" s="8"/>
      <c r="J364" s="8"/>
      <c r="K364" s="8"/>
      <c r="L364" s="8"/>
      <c r="M364" s="8"/>
      <c r="N364" s="8"/>
      <c r="O364" s="8"/>
      <c r="P364" s="8"/>
      <c r="Q364" s="8"/>
      <c r="R364" s="8"/>
      <c r="S364" s="8"/>
      <c r="T364" s="8"/>
      <c r="U364" s="12"/>
      <c r="V364" s="12"/>
      <c r="W364" s="12"/>
      <c r="X364" s="12"/>
      <c r="Y364" s="12"/>
      <c r="Z364" s="12"/>
      <c r="AA364" s="12"/>
      <c r="AB364" s="12"/>
      <c r="AC364" s="12"/>
      <c r="AD364" s="12"/>
      <c r="AE364" s="12"/>
      <c r="AF364" s="12"/>
    </row>
    <row r="365" spans="1:32">
      <c r="A365" s="8"/>
      <c r="B365" s="8"/>
      <c r="C365" s="8"/>
      <c r="D365" s="8"/>
      <c r="E365" s="8"/>
      <c r="F365" s="8"/>
      <c r="G365" s="8"/>
      <c r="H365" s="8"/>
      <c r="I365" s="8"/>
      <c r="J365" s="8"/>
      <c r="K365" s="8"/>
      <c r="L365" s="8"/>
      <c r="M365" s="8"/>
      <c r="N365" s="8"/>
      <c r="O365" s="8"/>
      <c r="P365" s="8"/>
      <c r="Q365" s="8"/>
      <c r="R365" s="8"/>
      <c r="S365" s="8"/>
      <c r="T365" s="8"/>
      <c r="U365" s="12"/>
      <c r="V365" s="12"/>
      <c r="W365" s="12"/>
      <c r="X365" s="12"/>
      <c r="Y365" s="12"/>
      <c r="Z365" s="12"/>
      <c r="AA365" s="12"/>
      <c r="AB365" s="12"/>
      <c r="AC365" s="12"/>
      <c r="AD365" s="12"/>
      <c r="AE365" s="12"/>
      <c r="AF365" s="12"/>
    </row>
    <row r="366" spans="1:32">
      <c r="A366" s="8"/>
      <c r="B366" s="8"/>
      <c r="C366" s="8"/>
      <c r="D366" s="8"/>
      <c r="E366" s="8"/>
      <c r="F366" s="8"/>
      <c r="G366" s="8"/>
      <c r="H366" s="8"/>
      <c r="I366" s="8"/>
      <c r="J366" s="8"/>
      <c r="K366" s="8"/>
      <c r="L366" s="8"/>
      <c r="M366" s="8"/>
      <c r="N366" s="8"/>
      <c r="O366" s="8"/>
      <c r="P366" s="8"/>
      <c r="Q366" s="8"/>
      <c r="R366" s="8"/>
      <c r="S366" s="8"/>
      <c r="T366" s="8"/>
      <c r="U366" s="12"/>
      <c r="V366" s="12"/>
      <c r="W366" s="12"/>
      <c r="X366" s="12"/>
      <c r="Y366" s="12"/>
      <c r="Z366" s="12"/>
      <c r="AA366" s="12"/>
      <c r="AB366" s="12"/>
      <c r="AC366" s="12"/>
      <c r="AD366" s="12"/>
      <c r="AE366" s="12"/>
      <c r="AF366" s="12"/>
    </row>
    <row r="367" spans="1:32">
      <c r="A367" s="8"/>
      <c r="B367" s="8"/>
      <c r="C367" s="8"/>
      <c r="D367" s="8"/>
      <c r="E367" s="8"/>
      <c r="F367" s="8"/>
      <c r="G367" s="8"/>
      <c r="H367" s="8"/>
      <c r="I367" s="8"/>
      <c r="J367" s="8"/>
      <c r="K367" s="8"/>
      <c r="L367" s="8"/>
      <c r="M367" s="8"/>
      <c r="N367" s="8"/>
      <c r="O367" s="8"/>
      <c r="P367" s="8"/>
      <c r="Q367" s="8"/>
      <c r="R367" s="8"/>
      <c r="S367" s="8"/>
      <c r="T367" s="8"/>
      <c r="U367" s="12"/>
      <c r="V367" s="12"/>
      <c r="W367" s="12"/>
      <c r="X367" s="12"/>
      <c r="Y367" s="12"/>
      <c r="Z367" s="12"/>
      <c r="AA367" s="12"/>
      <c r="AB367" s="12"/>
      <c r="AC367" s="12"/>
      <c r="AD367" s="12"/>
      <c r="AE367" s="12"/>
      <c r="AF367" s="12"/>
    </row>
    <row r="368" spans="1:32">
      <c r="A368" s="8"/>
      <c r="B368" s="8"/>
      <c r="C368" s="8"/>
      <c r="D368" s="8"/>
      <c r="E368" s="8"/>
      <c r="F368" s="8"/>
      <c r="G368" s="8"/>
      <c r="H368" s="8"/>
      <c r="I368" s="8"/>
      <c r="J368" s="8"/>
      <c r="K368" s="8"/>
      <c r="L368" s="8"/>
      <c r="M368" s="8"/>
      <c r="N368" s="8"/>
      <c r="O368" s="8"/>
      <c r="P368" s="8"/>
      <c r="Q368" s="8"/>
      <c r="R368" s="8"/>
      <c r="S368" s="8"/>
      <c r="T368" s="8"/>
      <c r="U368" s="12"/>
      <c r="V368" s="12"/>
      <c r="W368" s="12"/>
      <c r="X368" s="12"/>
      <c r="Y368" s="12"/>
      <c r="Z368" s="12"/>
      <c r="AA368" s="12"/>
      <c r="AB368" s="12"/>
      <c r="AC368" s="12"/>
      <c r="AD368" s="12"/>
      <c r="AE368" s="12"/>
      <c r="AF368" s="12"/>
    </row>
    <row r="369" spans="1:32">
      <c r="A369" s="8"/>
      <c r="B369" s="8"/>
      <c r="C369" s="8"/>
      <c r="D369" s="8"/>
      <c r="E369" s="8"/>
      <c r="F369" s="8"/>
      <c r="G369" s="8"/>
      <c r="H369" s="8"/>
      <c r="I369" s="8"/>
      <c r="J369" s="8"/>
      <c r="K369" s="8"/>
      <c r="L369" s="8"/>
      <c r="M369" s="8"/>
      <c r="N369" s="8"/>
      <c r="O369" s="8"/>
      <c r="P369" s="8"/>
      <c r="Q369" s="8"/>
      <c r="R369" s="8"/>
      <c r="S369" s="8"/>
      <c r="T369" s="8"/>
      <c r="U369" s="12"/>
      <c r="V369" s="12"/>
      <c r="W369" s="12"/>
      <c r="X369" s="12"/>
      <c r="Y369" s="12"/>
      <c r="Z369" s="12"/>
      <c r="AA369" s="12"/>
      <c r="AB369" s="12"/>
      <c r="AC369" s="12"/>
      <c r="AD369" s="12"/>
      <c r="AE369" s="12"/>
      <c r="AF369" s="12"/>
    </row>
    <row r="370" spans="1:32">
      <c r="A370" s="8"/>
      <c r="B370" s="8"/>
      <c r="C370" s="8"/>
      <c r="D370" s="8"/>
      <c r="E370" s="8"/>
      <c r="F370" s="8"/>
      <c r="G370" s="8"/>
      <c r="H370" s="8"/>
      <c r="I370" s="8"/>
      <c r="J370" s="8"/>
      <c r="K370" s="8"/>
      <c r="L370" s="8"/>
      <c r="M370" s="8"/>
      <c r="N370" s="8"/>
      <c r="O370" s="8"/>
      <c r="P370" s="8"/>
      <c r="Q370" s="8"/>
      <c r="R370" s="8"/>
      <c r="S370" s="8"/>
      <c r="T370" s="8"/>
      <c r="U370" s="12"/>
      <c r="V370" s="12"/>
      <c r="W370" s="12"/>
      <c r="X370" s="12"/>
      <c r="Y370" s="12"/>
      <c r="Z370" s="12"/>
      <c r="AA370" s="12"/>
      <c r="AB370" s="12"/>
      <c r="AC370" s="12"/>
      <c r="AD370" s="12"/>
      <c r="AE370" s="12"/>
      <c r="AF370" s="12"/>
    </row>
    <row r="371" spans="1:32">
      <c r="A371" s="8"/>
      <c r="B371" s="8"/>
      <c r="C371" s="8"/>
      <c r="D371" s="8"/>
      <c r="E371" s="8"/>
      <c r="F371" s="8"/>
      <c r="G371" s="8"/>
      <c r="H371" s="8"/>
      <c r="I371" s="8"/>
      <c r="J371" s="8"/>
      <c r="K371" s="8"/>
      <c r="L371" s="8"/>
      <c r="M371" s="8"/>
      <c r="N371" s="8"/>
      <c r="O371" s="8"/>
      <c r="P371" s="8"/>
      <c r="Q371" s="8"/>
      <c r="R371" s="8"/>
      <c r="S371" s="8"/>
      <c r="T371" s="8"/>
      <c r="U371" s="12"/>
      <c r="V371" s="12"/>
      <c r="W371" s="12"/>
      <c r="X371" s="12"/>
      <c r="Y371" s="12"/>
      <c r="Z371" s="12"/>
      <c r="AA371" s="12"/>
      <c r="AB371" s="12"/>
      <c r="AC371" s="12"/>
      <c r="AD371" s="12"/>
      <c r="AE371" s="12"/>
      <c r="AF371" s="12"/>
    </row>
    <row r="372" spans="1:32">
      <c r="A372" s="8"/>
      <c r="B372" s="8"/>
      <c r="C372" s="8"/>
      <c r="D372" s="8"/>
      <c r="E372" s="8"/>
      <c r="F372" s="8"/>
      <c r="G372" s="8"/>
      <c r="H372" s="8"/>
      <c r="I372" s="8"/>
      <c r="J372" s="8"/>
      <c r="K372" s="8"/>
      <c r="L372" s="8"/>
      <c r="M372" s="8"/>
      <c r="N372" s="8"/>
      <c r="O372" s="8"/>
      <c r="P372" s="8"/>
      <c r="Q372" s="8"/>
      <c r="R372" s="8"/>
      <c r="S372" s="8"/>
      <c r="T372" s="8"/>
      <c r="U372" s="12"/>
      <c r="V372" s="12"/>
      <c r="W372" s="12"/>
      <c r="X372" s="12"/>
      <c r="Y372" s="12"/>
      <c r="Z372" s="12"/>
      <c r="AA372" s="12"/>
      <c r="AB372" s="12"/>
      <c r="AC372" s="12"/>
      <c r="AD372" s="12"/>
      <c r="AE372" s="12"/>
      <c r="AF372" s="12"/>
    </row>
    <row r="373" spans="1:32">
      <c r="A373" s="8"/>
      <c r="B373" s="8"/>
      <c r="C373" s="8"/>
      <c r="D373" s="8"/>
      <c r="E373" s="8"/>
      <c r="F373" s="8"/>
      <c r="G373" s="8"/>
      <c r="H373" s="8"/>
      <c r="I373" s="8"/>
      <c r="J373" s="8"/>
      <c r="K373" s="8"/>
      <c r="L373" s="8"/>
      <c r="M373" s="8"/>
      <c r="N373" s="8"/>
      <c r="O373" s="8"/>
      <c r="P373" s="8"/>
      <c r="Q373" s="8"/>
      <c r="R373" s="8"/>
      <c r="S373" s="8"/>
      <c r="T373" s="8"/>
      <c r="U373" s="12"/>
      <c r="V373" s="12"/>
      <c r="W373" s="12"/>
      <c r="X373" s="12"/>
      <c r="Y373" s="12"/>
      <c r="Z373" s="12"/>
      <c r="AA373" s="12"/>
      <c r="AB373" s="12"/>
      <c r="AC373" s="12"/>
      <c r="AD373" s="12"/>
      <c r="AE373" s="12"/>
      <c r="AF373" s="12"/>
    </row>
    <row r="374" spans="1:32">
      <c r="A374" s="8"/>
      <c r="B374" s="8"/>
      <c r="C374" s="8"/>
      <c r="D374" s="8"/>
      <c r="E374" s="8"/>
      <c r="F374" s="8"/>
      <c r="G374" s="8"/>
      <c r="H374" s="8"/>
      <c r="I374" s="8"/>
      <c r="J374" s="8"/>
      <c r="K374" s="8"/>
      <c r="L374" s="8"/>
      <c r="M374" s="8"/>
      <c r="N374" s="8"/>
      <c r="O374" s="8"/>
      <c r="P374" s="8"/>
      <c r="Q374" s="8"/>
      <c r="R374" s="8"/>
      <c r="S374" s="8"/>
      <c r="T374" s="8"/>
      <c r="U374" s="12"/>
      <c r="V374" s="12"/>
      <c r="W374" s="12"/>
      <c r="X374" s="12"/>
      <c r="Y374" s="12"/>
      <c r="Z374" s="12"/>
      <c r="AA374" s="12"/>
      <c r="AB374" s="12"/>
      <c r="AC374" s="12"/>
      <c r="AD374" s="12"/>
      <c r="AE374" s="12"/>
      <c r="AF374" s="12"/>
    </row>
    <row r="375" spans="1:32">
      <c r="A375" s="8"/>
      <c r="B375" s="8"/>
      <c r="C375" s="8"/>
      <c r="D375" s="8"/>
      <c r="E375" s="8"/>
      <c r="F375" s="8"/>
      <c r="G375" s="8"/>
      <c r="H375" s="8"/>
      <c r="I375" s="8"/>
      <c r="J375" s="8"/>
      <c r="K375" s="8"/>
      <c r="L375" s="8"/>
      <c r="M375" s="8"/>
      <c r="N375" s="8"/>
      <c r="O375" s="8"/>
      <c r="P375" s="8"/>
      <c r="Q375" s="8"/>
      <c r="R375" s="8"/>
      <c r="S375" s="8"/>
      <c r="T375" s="8"/>
      <c r="U375" s="12"/>
      <c r="V375" s="12"/>
      <c r="W375" s="12"/>
      <c r="X375" s="12"/>
      <c r="Y375" s="12"/>
      <c r="Z375" s="12"/>
      <c r="AA375" s="12"/>
      <c r="AB375" s="12"/>
      <c r="AC375" s="12"/>
      <c r="AD375" s="12"/>
      <c r="AE375" s="12"/>
      <c r="AF375" s="12"/>
    </row>
    <row r="376" spans="1:32">
      <c r="A376" s="8"/>
      <c r="B376" s="8"/>
      <c r="C376" s="8"/>
      <c r="D376" s="8"/>
      <c r="E376" s="8"/>
      <c r="F376" s="8"/>
      <c r="G376" s="8"/>
      <c r="H376" s="8"/>
      <c r="I376" s="8"/>
      <c r="J376" s="8"/>
      <c r="K376" s="8"/>
      <c r="L376" s="8"/>
      <c r="M376" s="8"/>
      <c r="N376" s="8"/>
      <c r="O376" s="8"/>
      <c r="P376" s="8"/>
      <c r="Q376" s="8"/>
      <c r="R376" s="8"/>
      <c r="S376" s="8"/>
      <c r="T376" s="8"/>
      <c r="U376" s="12"/>
      <c r="V376" s="12"/>
      <c r="W376" s="12"/>
      <c r="X376" s="12"/>
      <c r="Y376" s="12"/>
      <c r="Z376" s="12"/>
      <c r="AA376" s="12"/>
      <c r="AB376" s="12"/>
      <c r="AC376" s="12"/>
      <c r="AD376" s="12"/>
      <c r="AE376" s="12"/>
      <c r="AF376" s="12"/>
    </row>
    <row r="377" spans="1:32">
      <c r="A377" s="8"/>
      <c r="B377" s="8"/>
      <c r="C377" s="8"/>
      <c r="D377" s="8"/>
      <c r="E377" s="8"/>
      <c r="F377" s="8"/>
      <c r="G377" s="8"/>
      <c r="H377" s="8"/>
      <c r="I377" s="8"/>
      <c r="J377" s="8"/>
      <c r="K377" s="8"/>
      <c r="L377" s="8"/>
      <c r="M377" s="8"/>
      <c r="N377" s="8"/>
      <c r="O377" s="8"/>
      <c r="P377" s="8"/>
      <c r="Q377" s="8"/>
      <c r="R377" s="8"/>
      <c r="S377" s="8"/>
      <c r="T377" s="8"/>
      <c r="U377" s="12"/>
      <c r="V377" s="12"/>
      <c r="W377" s="12"/>
      <c r="X377" s="12"/>
      <c r="Y377" s="12"/>
      <c r="Z377" s="12"/>
      <c r="AA377" s="12"/>
      <c r="AB377" s="12"/>
      <c r="AC377" s="12"/>
      <c r="AD377" s="12"/>
      <c r="AE377" s="12"/>
      <c r="AF377" s="12"/>
    </row>
    <row r="378" spans="1:32">
      <c r="A378" s="8"/>
      <c r="B378" s="8"/>
      <c r="C378" s="8"/>
      <c r="D378" s="8"/>
      <c r="E378" s="8"/>
      <c r="F378" s="8"/>
      <c r="G378" s="8"/>
      <c r="H378" s="8"/>
      <c r="I378" s="8"/>
      <c r="J378" s="8"/>
      <c r="K378" s="8"/>
      <c r="L378" s="8"/>
      <c r="M378" s="8"/>
      <c r="N378" s="8"/>
      <c r="O378" s="8"/>
      <c r="P378" s="8"/>
      <c r="Q378" s="8"/>
      <c r="R378" s="8"/>
      <c r="S378" s="8"/>
      <c r="T378" s="8"/>
      <c r="U378" s="12"/>
      <c r="V378" s="12"/>
      <c r="W378" s="12"/>
      <c r="X378" s="12"/>
      <c r="Y378" s="12"/>
      <c r="Z378" s="12"/>
      <c r="AA378" s="12"/>
      <c r="AB378" s="12"/>
      <c r="AC378" s="12"/>
      <c r="AD378" s="12"/>
      <c r="AE378" s="12"/>
      <c r="AF378" s="12"/>
    </row>
    <row r="379" spans="1:32">
      <c r="A379" s="8"/>
      <c r="B379" s="8"/>
      <c r="C379" s="8"/>
      <c r="D379" s="8"/>
      <c r="E379" s="8"/>
      <c r="F379" s="8"/>
      <c r="G379" s="8"/>
      <c r="H379" s="8"/>
      <c r="I379" s="8"/>
      <c r="J379" s="8"/>
      <c r="K379" s="8"/>
      <c r="L379" s="8"/>
      <c r="M379" s="8"/>
      <c r="N379" s="8"/>
      <c r="O379" s="8"/>
      <c r="P379" s="8"/>
      <c r="Q379" s="8"/>
      <c r="R379" s="8"/>
      <c r="S379" s="8"/>
      <c r="T379" s="8"/>
      <c r="U379" s="12"/>
      <c r="V379" s="12"/>
      <c r="W379" s="12"/>
      <c r="X379" s="12"/>
      <c r="Y379" s="12"/>
      <c r="Z379" s="12"/>
      <c r="AA379" s="12"/>
      <c r="AB379" s="12"/>
      <c r="AC379" s="12"/>
      <c r="AD379" s="12"/>
      <c r="AE379" s="12"/>
      <c r="AF379" s="12"/>
    </row>
    <row r="380" spans="1:32">
      <c r="A380" s="8"/>
      <c r="B380" s="8"/>
      <c r="C380" s="8"/>
      <c r="D380" s="8"/>
      <c r="E380" s="8"/>
      <c r="F380" s="8"/>
      <c r="G380" s="8"/>
      <c r="H380" s="8"/>
      <c r="I380" s="8"/>
      <c r="J380" s="8"/>
      <c r="K380" s="8"/>
      <c r="L380" s="8"/>
      <c r="M380" s="8"/>
      <c r="N380" s="8"/>
      <c r="O380" s="8"/>
      <c r="P380" s="8"/>
      <c r="Q380" s="8"/>
      <c r="R380" s="8"/>
      <c r="S380" s="8"/>
      <c r="T380" s="8"/>
      <c r="U380" s="12"/>
      <c r="V380" s="12"/>
      <c r="W380" s="12"/>
      <c r="X380" s="12"/>
      <c r="Y380" s="12"/>
      <c r="Z380" s="12"/>
      <c r="AA380" s="12"/>
      <c r="AB380" s="12"/>
      <c r="AC380" s="12"/>
      <c r="AD380" s="12"/>
      <c r="AE380" s="12"/>
      <c r="AF380" s="12"/>
    </row>
    <row r="381" spans="1:32">
      <c r="A381" s="8"/>
      <c r="B381" s="8"/>
      <c r="C381" s="8"/>
      <c r="D381" s="8"/>
      <c r="E381" s="8"/>
      <c r="F381" s="8"/>
      <c r="G381" s="8"/>
      <c r="H381" s="8"/>
      <c r="I381" s="8"/>
      <c r="J381" s="8"/>
      <c r="K381" s="8"/>
      <c r="L381" s="8"/>
      <c r="M381" s="8"/>
      <c r="N381" s="8"/>
      <c r="O381" s="8"/>
      <c r="P381" s="8"/>
      <c r="Q381" s="8"/>
      <c r="R381" s="8"/>
      <c r="S381" s="8"/>
      <c r="T381" s="8"/>
      <c r="U381" s="12"/>
      <c r="V381" s="12"/>
      <c r="W381" s="12"/>
      <c r="X381" s="12"/>
      <c r="Y381" s="12"/>
      <c r="Z381" s="12"/>
      <c r="AA381" s="12"/>
      <c r="AB381" s="12"/>
      <c r="AC381" s="12"/>
      <c r="AD381" s="12"/>
      <c r="AE381" s="12"/>
      <c r="AF381" s="12"/>
    </row>
    <row r="382" spans="1:32">
      <c r="A382" s="8"/>
      <c r="B382" s="8"/>
      <c r="C382" s="8"/>
      <c r="D382" s="8"/>
      <c r="E382" s="8"/>
      <c r="F382" s="8"/>
      <c r="G382" s="8"/>
      <c r="H382" s="8"/>
      <c r="I382" s="8"/>
      <c r="J382" s="8"/>
      <c r="K382" s="8"/>
      <c r="L382" s="8"/>
      <c r="M382" s="8"/>
      <c r="N382" s="8"/>
      <c r="O382" s="8"/>
      <c r="P382" s="8"/>
      <c r="Q382" s="8"/>
      <c r="R382" s="8"/>
      <c r="S382" s="8"/>
      <c r="T382" s="8"/>
      <c r="U382" s="12"/>
      <c r="V382" s="12"/>
      <c r="W382" s="12"/>
      <c r="X382" s="12"/>
      <c r="Y382" s="12"/>
      <c r="Z382" s="12"/>
      <c r="AA382" s="12"/>
      <c r="AB382" s="12"/>
      <c r="AC382" s="12"/>
      <c r="AD382" s="12"/>
      <c r="AE382" s="12"/>
      <c r="AF382" s="12"/>
    </row>
    <row r="383" spans="1:32">
      <c r="A383" s="8"/>
      <c r="B383" s="8"/>
      <c r="C383" s="8"/>
      <c r="D383" s="8"/>
      <c r="E383" s="8"/>
      <c r="F383" s="8"/>
      <c r="G383" s="8"/>
      <c r="H383" s="8"/>
      <c r="I383" s="8"/>
      <c r="J383" s="8"/>
      <c r="K383" s="8"/>
      <c r="L383" s="8"/>
      <c r="M383" s="8"/>
      <c r="N383" s="8"/>
      <c r="O383" s="8"/>
      <c r="P383" s="8"/>
      <c r="Q383" s="8"/>
      <c r="R383" s="8"/>
      <c r="S383" s="8"/>
      <c r="T383" s="8"/>
      <c r="U383" s="12"/>
      <c r="V383" s="12"/>
      <c r="W383" s="12"/>
      <c r="X383" s="12"/>
      <c r="Y383" s="12"/>
      <c r="Z383" s="12"/>
      <c r="AA383" s="12"/>
      <c r="AB383" s="12"/>
      <c r="AC383" s="12"/>
      <c r="AD383" s="12"/>
      <c r="AE383" s="12"/>
      <c r="AF383" s="12"/>
    </row>
    <row r="384" spans="1:32">
      <c r="A384" s="8"/>
      <c r="B384" s="8"/>
      <c r="C384" s="8"/>
      <c r="D384" s="8"/>
      <c r="E384" s="8"/>
      <c r="F384" s="8"/>
      <c r="G384" s="8"/>
      <c r="H384" s="8"/>
      <c r="I384" s="8"/>
      <c r="J384" s="8"/>
      <c r="K384" s="8"/>
      <c r="L384" s="8"/>
      <c r="M384" s="8"/>
      <c r="N384" s="8"/>
      <c r="O384" s="8"/>
      <c r="P384" s="8"/>
      <c r="Q384" s="8"/>
      <c r="R384" s="8"/>
      <c r="S384" s="8"/>
      <c r="T384" s="8"/>
      <c r="U384" s="12"/>
      <c r="V384" s="12"/>
      <c r="W384" s="12"/>
      <c r="X384" s="12"/>
      <c r="Y384" s="12"/>
      <c r="Z384" s="12"/>
      <c r="AA384" s="12"/>
      <c r="AB384" s="12"/>
      <c r="AC384" s="12"/>
      <c r="AD384" s="12"/>
      <c r="AE384" s="12"/>
      <c r="AF384" s="12"/>
    </row>
    <row r="385" spans="1:32">
      <c r="A385" s="8"/>
      <c r="B385" s="8"/>
      <c r="C385" s="8"/>
      <c r="D385" s="8"/>
      <c r="E385" s="8"/>
      <c r="F385" s="8"/>
      <c r="G385" s="8"/>
      <c r="H385" s="8"/>
      <c r="I385" s="8"/>
      <c r="J385" s="8"/>
      <c r="K385" s="8"/>
      <c r="L385" s="8"/>
      <c r="M385" s="8"/>
      <c r="N385" s="8"/>
      <c r="O385" s="8"/>
      <c r="P385" s="8"/>
      <c r="Q385" s="8"/>
      <c r="R385" s="8"/>
      <c r="S385" s="8"/>
      <c r="T385" s="8"/>
      <c r="U385" s="12"/>
      <c r="V385" s="12"/>
      <c r="W385" s="12"/>
      <c r="X385" s="12"/>
      <c r="Y385" s="12"/>
      <c r="Z385" s="12"/>
      <c r="AA385" s="12"/>
      <c r="AB385" s="12"/>
      <c r="AC385" s="12"/>
      <c r="AD385" s="12"/>
      <c r="AE385" s="12"/>
      <c r="AF385" s="12"/>
    </row>
    <row r="386" spans="1:32">
      <c r="A386" s="8"/>
      <c r="B386" s="8"/>
      <c r="C386" s="8"/>
      <c r="D386" s="8"/>
      <c r="E386" s="8"/>
      <c r="F386" s="8"/>
      <c r="G386" s="8"/>
      <c r="H386" s="8"/>
      <c r="I386" s="8"/>
      <c r="J386" s="8"/>
      <c r="K386" s="8"/>
      <c r="L386" s="8"/>
      <c r="M386" s="8"/>
      <c r="N386" s="8"/>
      <c r="O386" s="8"/>
      <c r="P386" s="8"/>
      <c r="Q386" s="8"/>
      <c r="R386" s="8"/>
      <c r="S386" s="8"/>
      <c r="T386" s="8"/>
      <c r="U386" s="12"/>
      <c r="V386" s="12"/>
      <c r="W386" s="12"/>
      <c r="X386" s="12"/>
      <c r="Y386" s="12"/>
      <c r="Z386" s="12"/>
      <c r="AA386" s="12"/>
      <c r="AB386" s="12"/>
      <c r="AC386" s="12"/>
      <c r="AD386" s="12"/>
      <c r="AE386" s="12"/>
      <c r="AF386" s="12"/>
    </row>
    <row r="387" spans="1:32">
      <c r="A387" s="8"/>
      <c r="B387" s="8"/>
      <c r="C387" s="8"/>
      <c r="D387" s="8"/>
      <c r="E387" s="8"/>
      <c r="F387" s="8"/>
      <c r="G387" s="8"/>
      <c r="H387" s="8"/>
      <c r="I387" s="8"/>
      <c r="J387" s="8"/>
      <c r="K387" s="8"/>
      <c r="L387" s="8"/>
      <c r="M387" s="8"/>
      <c r="N387" s="8"/>
      <c r="O387" s="8"/>
      <c r="P387" s="8"/>
      <c r="Q387" s="8"/>
      <c r="R387" s="8"/>
      <c r="S387" s="8"/>
      <c r="T387" s="8"/>
      <c r="U387" s="12"/>
      <c r="V387" s="12"/>
      <c r="W387" s="12"/>
      <c r="X387" s="12"/>
      <c r="Y387" s="12"/>
      <c r="Z387" s="12"/>
      <c r="AA387" s="12"/>
      <c r="AB387" s="12"/>
      <c r="AC387" s="12"/>
      <c r="AD387" s="12"/>
      <c r="AE387" s="12"/>
      <c r="AF387" s="12"/>
    </row>
    <row r="388" spans="1:32">
      <c r="A388" s="8"/>
      <c r="B388" s="8"/>
      <c r="C388" s="8"/>
      <c r="D388" s="8"/>
      <c r="E388" s="8"/>
      <c r="F388" s="8"/>
      <c r="G388" s="8"/>
      <c r="H388" s="8"/>
      <c r="I388" s="8"/>
      <c r="J388" s="8"/>
      <c r="K388" s="8"/>
      <c r="L388" s="8"/>
      <c r="M388" s="8"/>
      <c r="N388" s="8"/>
      <c r="O388" s="8"/>
      <c r="P388" s="8"/>
      <c r="Q388" s="8"/>
      <c r="R388" s="8"/>
      <c r="S388" s="8"/>
      <c r="T388" s="8"/>
      <c r="U388" s="12"/>
      <c r="V388" s="12"/>
      <c r="W388" s="12"/>
      <c r="X388" s="12"/>
      <c r="Y388" s="12"/>
      <c r="Z388" s="12"/>
      <c r="AA388" s="12"/>
      <c r="AB388" s="12"/>
      <c r="AC388" s="12"/>
      <c r="AD388" s="12"/>
      <c r="AE388" s="12"/>
      <c r="AF388" s="12"/>
    </row>
    <row r="389" spans="1:32">
      <c r="A389" s="8"/>
      <c r="B389" s="8"/>
      <c r="C389" s="8"/>
      <c r="D389" s="8"/>
      <c r="E389" s="8"/>
      <c r="F389" s="8"/>
      <c r="G389" s="8"/>
      <c r="H389" s="8"/>
      <c r="I389" s="8"/>
      <c r="J389" s="8"/>
      <c r="K389" s="8"/>
      <c r="L389" s="8"/>
      <c r="M389" s="8"/>
      <c r="N389" s="8"/>
      <c r="O389" s="8"/>
      <c r="P389" s="8"/>
      <c r="Q389" s="8"/>
      <c r="R389" s="8"/>
      <c r="S389" s="8"/>
      <c r="T389" s="8"/>
      <c r="U389" s="12"/>
      <c r="V389" s="12"/>
      <c r="W389" s="12"/>
      <c r="X389" s="12"/>
      <c r="Y389" s="12"/>
      <c r="Z389" s="12"/>
      <c r="AA389" s="12"/>
      <c r="AB389" s="12"/>
      <c r="AC389" s="12"/>
      <c r="AD389" s="12"/>
      <c r="AE389" s="12"/>
      <c r="AF389" s="12"/>
    </row>
    <row r="390" spans="1:32">
      <c r="A390" s="8"/>
      <c r="B390" s="8"/>
      <c r="C390" s="8"/>
      <c r="D390" s="8"/>
      <c r="E390" s="8"/>
      <c r="F390" s="8"/>
      <c r="G390" s="8"/>
      <c r="H390" s="8"/>
      <c r="I390" s="8"/>
      <c r="J390" s="8"/>
      <c r="K390" s="8"/>
      <c r="L390" s="8"/>
      <c r="M390" s="8"/>
      <c r="N390" s="8"/>
      <c r="O390" s="8"/>
      <c r="P390" s="8"/>
      <c r="Q390" s="8"/>
      <c r="R390" s="8"/>
      <c r="S390" s="8"/>
      <c r="T390" s="8"/>
      <c r="U390" s="12"/>
      <c r="V390" s="12"/>
      <c r="W390" s="12"/>
      <c r="X390" s="12"/>
      <c r="Y390" s="12"/>
      <c r="Z390" s="12"/>
      <c r="AA390" s="12"/>
      <c r="AB390" s="12"/>
      <c r="AC390" s="12"/>
      <c r="AD390" s="12"/>
      <c r="AE390" s="12"/>
      <c r="AF390" s="12"/>
    </row>
    <row r="391" spans="1:32">
      <c r="A391" s="8"/>
      <c r="B391" s="8"/>
      <c r="C391" s="8"/>
      <c r="D391" s="8"/>
      <c r="E391" s="8"/>
      <c r="F391" s="8"/>
      <c r="G391" s="8"/>
      <c r="H391" s="8"/>
      <c r="I391" s="8"/>
      <c r="J391" s="8"/>
      <c r="K391" s="8"/>
      <c r="L391" s="8"/>
      <c r="M391" s="8"/>
      <c r="N391" s="8"/>
      <c r="O391" s="8"/>
      <c r="P391" s="8"/>
      <c r="Q391" s="8"/>
      <c r="R391" s="8"/>
      <c r="S391" s="8"/>
      <c r="T391" s="8"/>
      <c r="U391" s="12"/>
      <c r="V391" s="12"/>
      <c r="W391" s="12"/>
      <c r="X391" s="12"/>
      <c r="Y391" s="12"/>
      <c r="Z391" s="12"/>
      <c r="AA391" s="12"/>
      <c r="AB391" s="12"/>
      <c r="AC391" s="12"/>
      <c r="AD391" s="12"/>
      <c r="AE391" s="12"/>
      <c r="AF391" s="12"/>
    </row>
    <row r="392" spans="1:32">
      <c r="A392" s="8"/>
      <c r="B392" s="8"/>
      <c r="C392" s="8"/>
      <c r="D392" s="8"/>
      <c r="E392" s="8"/>
      <c r="F392" s="8"/>
      <c r="G392" s="8"/>
      <c r="H392" s="8"/>
      <c r="I392" s="8"/>
      <c r="J392" s="8"/>
      <c r="K392" s="8"/>
      <c r="L392" s="8"/>
      <c r="M392" s="8"/>
      <c r="N392" s="8"/>
      <c r="O392" s="8"/>
      <c r="P392" s="8"/>
      <c r="Q392" s="8"/>
      <c r="R392" s="8"/>
      <c r="S392" s="8"/>
      <c r="T392" s="8"/>
      <c r="U392" s="12"/>
      <c r="V392" s="12"/>
      <c r="W392" s="12"/>
      <c r="X392" s="12"/>
      <c r="Y392" s="12"/>
      <c r="Z392" s="12"/>
      <c r="AA392" s="12"/>
      <c r="AB392" s="12"/>
      <c r="AC392" s="12"/>
      <c r="AD392" s="12"/>
      <c r="AE392" s="12"/>
      <c r="AF392" s="12"/>
    </row>
    <row r="393" spans="1:32">
      <c r="A393" s="8"/>
      <c r="B393" s="8"/>
      <c r="C393" s="8"/>
      <c r="D393" s="8"/>
      <c r="E393" s="8"/>
      <c r="F393" s="8"/>
      <c r="G393" s="8"/>
      <c r="H393" s="8"/>
      <c r="I393" s="8"/>
      <c r="J393" s="8"/>
      <c r="K393" s="8"/>
      <c r="L393" s="8"/>
      <c r="M393" s="8"/>
      <c r="N393" s="8"/>
      <c r="O393" s="8"/>
      <c r="P393" s="8"/>
      <c r="Q393" s="8"/>
      <c r="R393" s="8"/>
      <c r="S393" s="8"/>
      <c r="T393" s="8"/>
      <c r="U393" s="12"/>
      <c r="V393" s="12"/>
      <c r="W393" s="12"/>
      <c r="X393" s="12"/>
      <c r="Y393" s="12"/>
      <c r="Z393" s="12"/>
      <c r="AA393" s="12"/>
      <c r="AB393" s="12"/>
      <c r="AC393" s="12"/>
      <c r="AD393" s="12"/>
      <c r="AE393" s="12"/>
      <c r="AF393" s="12"/>
    </row>
    <row r="394" spans="1:32">
      <c r="A394" s="8"/>
      <c r="B394" s="8"/>
      <c r="C394" s="8"/>
      <c r="D394" s="8"/>
      <c r="E394" s="8"/>
      <c r="F394" s="8"/>
      <c r="G394" s="8"/>
      <c r="H394" s="8"/>
      <c r="I394" s="8"/>
      <c r="J394" s="8"/>
      <c r="K394" s="8"/>
      <c r="L394" s="8"/>
      <c r="M394" s="8"/>
      <c r="N394" s="8"/>
      <c r="O394" s="8"/>
      <c r="P394" s="8"/>
      <c r="Q394" s="8"/>
      <c r="R394" s="8"/>
      <c r="S394" s="8"/>
      <c r="T394" s="8"/>
      <c r="U394" s="12"/>
      <c r="V394" s="12"/>
      <c r="W394" s="12"/>
      <c r="X394" s="12"/>
      <c r="Y394" s="12"/>
      <c r="Z394" s="12"/>
      <c r="AA394" s="12"/>
      <c r="AB394" s="12"/>
      <c r="AC394" s="12"/>
      <c r="AD394" s="12"/>
      <c r="AE394" s="12"/>
      <c r="AF394" s="12"/>
    </row>
    <row r="395" spans="1:32">
      <c r="A395" s="8"/>
      <c r="B395" s="8"/>
      <c r="C395" s="8"/>
      <c r="D395" s="8"/>
      <c r="E395" s="8"/>
      <c r="F395" s="8"/>
      <c r="G395" s="8"/>
      <c r="H395" s="8"/>
      <c r="I395" s="8"/>
      <c r="J395" s="8"/>
      <c r="K395" s="8"/>
      <c r="L395" s="8"/>
      <c r="M395" s="8"/>
      <c r="N395" s="8"/>
      <c r="O395" s="8"/>
      <c r="P395" s="8"/>
      <c r="Q395" s="8"/>
      <c r="R395" s="8"/>
      <c r="S395" s="8"/>
      <c r="T395" s="8"/>
      <c r="U395" s="12"/>
      <c r="V395" s="12"/>
      <c r="W395" s="12"/>
      <c r="X395" s="12"/>
      <c r="Y395" s="12"/>
      <c r="Z395" s="12"/>
      <c r="AA395" s="12"/>
      <c r="AB395" s="12"/>
      <c r="AC395" s="12"/>
      <c r="AD395" s="12"/>
      <c r="AE395" s="12"/>
      <c r="AF395" s="12"/>
    </row>
    <row r="396" spans="1:32">
      <c r="A396" s="8"/>
      <c r="B396" s="8"/>
      <c r="C396" s="8"/>
      <c r="D396" s="8"/>
      <c r="E396" s="8"/>
      <c r="F396" s="8"/>
      <c r="G396" s="8"/>
      <c r="H396" s="8"/>
      <c r="I396" s="8"/>
      <c r="J396" s="8"/>
      <c r="K396" s="8"/>
      <c r="L396" s="8"/>
      <c r="M396" s="8"/>
      <c r="N396" s="8"/>
      <c r="O396" s="8"/>
      <c r="P396" s="8"/>
      <c r="Q396" s="8"/>
      <c r="R396" s="8"/>
      <c r="S396" s="8"/>
      <c r="T396" s="8"/>
      <c r="U396" s="12"/>
      <c r="V396" s="12"/>
      <c r="W396" s="12"/>
      <c r="X396" s="12"/>
      <c r="Y396" s="12"/>
      <c r="Z396" s="12"/>
      <c r="AA396" s="12"/>
      <c r="AB396" s="12"/>
      <c r="AC396" s="12"/>
      <c r="AD396" s="12"/>
      <c r="AE396" s="12"/>
      <c r="AF396" s="12"/>
    </row>
    <row r="397" spans="1:32">
      <c r="A397" s="8"/>
      <c r="B397" s="8"/>
      <c r="C397" s="8"/>
      <c r="D397" s="8"/>
      <c r="E397" s="8"/>
      <c r="F397" s="8"/>
      <c r="G397" s="8"/>
      <c r="H397" s="8"/>
      <c r="I397" s="8"/>
      <c r="J397" s="8"/>
      <c r="K397" s="8"/>
      <c r="L397" s="8"/>
      <c r="M397" s="8"/>
      <c r="N397" s="8"/>
      <c r="O397" s="8"/>
      <c r="P397" s="8"/>
      <c r="Q397" s="8"/>
      <c r="R397" s="8"/>
      <c r="S397" s="8"/>
      <c r="T397" s="8"/>
      <c r="U397" s="12"/>
      <c r="V397" s="12"/>
      <c r="W397" s="12"/>
      <c r="X397" s="12"/>
      <c r="Y397" s="12"/>
      <c r="Z397" s="12"/>
      <c r="AA397" s="12"/>
      <c r="AB397" s="12"/>
      <c r="AC397" s="12"/>
      <c r="AD397" s="12"/>
      <c r="AE397" s="12"/>
      <c r="AF397" s="12"/>
    </row>
    <row r="398" spans="1:32">
      <c r="A398" s="8"/>
      <c r="B398" s="8"/>
      <c r="C398" s="8"/>
      <c r="D398" s="8"/>
      <c r="E398" s="8"/>
      <c r="F398" s="8"/>
      <c r="G398" s="8"/>
      <c r="H398" s="8"/>
      <c r="I398" s="8"/>
      <c r="J398" s="8"/>
      <c r="K398" s="8"/>
      <c r="L398" s="8"/>
      <c r="M398" s="8"/>
      <c r="N398" s="8"/>
      <c r="O398" s="8"/>
      <c r="P398" s="8"/>
      <c r="Q398" s="8"/>
      <c r="R398" s="8"/>
      <c r="S398" s="8"/>
      <c r="T398" s="8"/>
      <c r="U398" s="12"/>
      <c r="V398" s="12"/>
      <c r="W398" s="12"/>
      <c r="X398" s="12"/>
      <c r="Y398" s="12"/>
      <c r="Z398" s="12"/>
      <c r="AA398" s="12"/>
      <c r="AB398" s="12"/>
      <c r="AC398" s="12"/>
      <c r="AD398" s="12"/>
      <c r="AE398" s="12"/>
      <c r="AF398" s="12"/>
    </row>
    <row r="399" spans="1:32">
      <c r="A399" s="8"/>
      <c r="B399" s="8"/>
      <c r="C399" s="8"/>
      <c r="D399" s="8"/>
      <c r="E399" s="8"/>
      <c r="F399" s="8"/>
      <c r="G399" s="8"/>
      <c r="H399" s="8"/>
      <c r="I399" s="8"/>
      <c r="J399" s="8"/>
      <c r="K399" s="8"/>
      <c r="L399" s="8"/>
      <c r="M399" s="8"/>
      <c r="N399" s="8"/>
      <c r="O399" s="8"/>
      <c r="P399" s="8"/>
      <c r="Q399" s="8"/>
      <c r="R399" s="8"/>
      <c r="S399" s="8"/>
      <c r="T399" s="8"/>
      <c r="U399" s="12"/>
      <c r="V399" s="12"/>
      <c r="W399" s="12"/>
      <c r="X399" s="12"/>
      <c r="Y399" s="12"/>
      <c r="Z399" s="12"/>
      <c r="AA399" s="12"/>
      <c r="AB399" s="12"/>
      <c r="AC399" s="12"/>
      <c r="AD399" s="12"/>
      <c r="AE399" s="12"/>
      <c r="AF399" s="12"/>
    </row>
    <row r="400" spans="1:32">
      <c r="A400" s="8"/>
      <c r="B400" s="8"/>
      <c r="C400" s="8"/>
      <c r="D400" s="8"/>
      <c r="E400" s="8"/>
      <c r="F400" s="8"/>
      <c r="G400" s="8"/>
      <c r="H400" s="8"/>
      <c r="I400" s="8"/>
      <c r="J400" s="8"/>
      <c r="K400" s="8"/>
      <c r="L400" s="8"/>
      <c r="M400" s="8"/>
      <c r="N400" s="8"/>
      <c r="O400" s="8"/>
      <c r="P400" s="8"/>
      <c r="Q400" s="8"/>
      <c r="R400" s="8"/>
      <c r="S400" s="8"/>
      <c r="T400" s="8"/>
      <c r="U400" s="12"/>
      <c r="V400" s="12"/>
      <c r="W400" s="12"/>
      <c r="X400" s="12"/>
      <c r="Y400" s="12"/>
      <c r="Z400" s="12"/>
      <c r="AA400" s="12"/>
      <c r="AB400" s="12"/>
      <c r="AC400" s="12"/>
      <c r="AD400" s="12"/>
      <c r="AE400" s="12"/>
      <c r="AF400" s="12"/>
    </row>
    <row r="401" spans="1:32">
      <c r="A401" s="8"/>
      <c r="B401" s="8"/>
      <c r="C401" s="8"/>
      <c r="D401" s="8"/>
      <c r="E401" s="8"/>
      <c r="F401" s="8"/>
      <c r="G401" s="8"/>
      <c r="H401" s="8"/>
      <c r="I401" s="8"/>
      <c r="J401" s="8"/>
      <c r="K401" s="8"/>
      <c r="L401" s="8"/>
      <c r="M401" s="8"/>
      <c r="N401" s="8"/>
      <c r="O401" s="8"/>
      <c r="P401" s="8"/>
      <c r="Q401" s="8"/>
      <c r="R401" s="8"/>
      <c r="S401" s="8"/>
      <c r="T401" s="8"/>
      <c r="U401" s="12"/>
      <c r="V401" s="12"/>
      <c r="W401" s="12"/>
      <c r="X401" s="12"/>
      <c r="Y401" s="12"/>
      <c r="Z401" s="12"/>
      <c r="AA401" s="12"/>
      <c r="AB401" s="12"/>
      <c r="AC401" s="12"/>
      <c r="AD401" s="12"/>
      <c r="AE401" s="12"/>
      <c r="AF401" s="12"/>
    </row>
    <row r="402" spans="1:32">
      <c r="A402" s="8"/>
      <c r="B402" s="8"/>
      <c r="C402" s="8"/>
      <c r="D402" s="8"/>
      <c r="E402" s="8"/>
      <c r="F402" s="8"/>
      <c r="G402" s="8"/>
      <c r="H402" s="8"/>
      <c r="I402" s="8"/>
      <c r="J402" s="8"/>
      <c r="K402" s="8"/>
      <c r="L402" s="8"/>
      <c r="M402" s="8"/>
      <c r="N402" s="8"/>
      <c r="O402" s="8"/>
      <c r="P402" s="8"/>
      <c r="Q402" s="8"/>
      <c r="R402" s="8"/>
      <c r="S402" s="8"/>
      <c r="T402" s="8"/>
      <c r="U402" s="12"/>
      <c r="V402" s="12"/>
      <c r="W402" s="12"/>
      <c r="X402" s="12"/>
      <c r="Y402" s="12"/>
      <c r="Z402" s="12"/>
      <c r="AA402" s="12"/>
      <c r="AB402" s="12"/>
      <c r="AC402" s="12"/>
      <c r="AD402" s="12"/>
      <c r="AE402" s="12"/>
      <c r="AF402" s="12"/>
    </row>
    <row r="403" spans="1:32">
      <c r="A403" s="8"/>
      <c r="B403" s="8"/>
      <c r="C403" s="8"/>
      <c r="D403" s="8"/>
      <c r="E403" s="8"/>
      <c r="F403" s="8"/>
      <c r="G403" s="8"/>
      <c r="H403" s="8"/>
      <c r="I403" s="8"/>
      <c r="J403" s="8"/>
      <c r="K403" s="8"/>
      <c r="L403" s="8"/>
      <c r="M403" s="8"/>
      <c r="N403" s="8"/>
      <c r="O403" s="8"/>
      <c r="P403" s="8"/>
      <c r="Q403" s="8"/>
      <c r="R403" s="8"/>
      <c r="S403" s="8"/>
      <c r="T403" s="8"/>
      <c r="U403" s="12"/>
      <c r="V403" s="12"/>
      <c r="W403" s="12"/>
      <c r="X403" s="12"/>
      <c r="Y403" s="12"/>
      <c r="Z403" s="12"/>
      <c r="AA403" s="12"/>
      <c r="AB403" s="12"/>
      <c r="AC403" s="12"/>
      <c r="AD403" s="12"/>
      <c r="AE403" s="12"/>
      <c r="AF403" s="12"/>
    </row>
    <row r="404" spans="1:32">
      <c r="A404" s="8"/>
      <c r="B404" s="8"/>
      <c r="C404" s="8"/>
      <c r="D404" s="8"/>
      <c r="E404" s="8"/>
      <c r="F404" s="8"/>
      <c r="G404" s="8"/>
      <c r="H404" s="8"/>
      <c r="I404" s="8"/>
      <c r="J404" s="8"/>
      <c r="K404" s="8"/>
      <c r="L404" s="8"/>
      <c r="M404" s="8"/>
      <c r="N404" s="8"/>
      <c r="O404" s="8"/>
      <c r="P404" s="8"/>
      <c r="Q404" s="8"/>
      <c r="R404" s="8"/>
      <c r="S404" s="8"/>
      <c r="T404" s="8"/>
      <c r="U404" s="12"/>
      <c r="V404" s="12"/>
      <c r="W404" s="12"/>
      <c r="X404" s="12"/>
      <c r="Y404" s="12"/>
      <c r="Z404" s="12"/>
      <c r="AA404" s="12"/>
      <c r="AB404" s="12"/>
      <c r="AC404" s="12"/>
      <c r="AD404" s="12"/>
      <c r="AE404" s="12"/>
      <c r="AF404" s="12"/>
    </row>
    <row r="405" spans="1:32">
      <c r="A405" s="8"/>
      <c r="B405" s="8"/>
      <c r="C405" s="8"/>
      <c r="D405" s="8"/>
      <c r="E405" s="8"/>
      <c r="F405" s="8"/>
      <c r="G405" s="8"/>
      <c r="H405" s="8"/>
      <c r="I405" s="8"/>
      <c r="J405" s="8"/>
      <c r="K405" s="8"/>
      <c r="L405" s="8"/>
      <c r="M405" s="8"/>
      <c r="N405" s="8"/>
      <c r="O405" s="8"/>
      <c r="P405" s="8"/>
      <c r="Q405" s="8"/>
      <c r="R405" s="8"/>
      <c r="S405" s="8"/>
      <c r="T405" s="8"/>
      <c r="U405" s="12"/>
      <c r="V405" s="12"/>
      <c r="W405" s="12"/>
      <c r="X405" s="12"/>
      <c r="Y405" s="12"/>
      <c r="Z405" s="12"/>
      <c r="AA405" s="12"/>
      <c r="AB405" s="12"/>
      <c r="AC405" s="12"/>
      <c r="AD405" s="12"/>
      <c r="AE405" s="12"/>
      <c r="AF405" s="12"/>
    </row>
    <row r="406" spans="1:32">
      <c r="A406" s="8"/>
      <c r="B406" s="8"/>
      <c r="C406" s="8"/>
      <c r="D406" s="8"/>
      <c r="E406" s="8"/>
      <c r="F406" s="8"/>
      <c r="G406" s="8"/>
      <c r="H406" s="8"/>
      <c r="I406" s="8"/>
      <c r="J406" s="8"/>
      <c r="K406" s="8"/>
      <c r="L406" s="8"/>
      <c r="M406" s="8"/>
      <c r="N406" s="8"/>
      <c r="O406" s="8"/>
      <c r="P406" s="8"/>
      <c r="Q406" s="8"/>
      <c r="R406" s="8"/>
      <c r="S406" s="8"/>
      <c r="T406" s="8"/>
      <c r="U406" s="12"/>
      <c r="V406" s="12"/>
      <c r="W406" s="12"/>
      <c r="X406" s="12"/>
      <c r="Y406" s="12"/>
      <c r="Z406" s="12"/>
      <c r="AA406" s="12"/>
      <c r="AB406" s="12"/>
      <c r="AC406" s="12"/>
      <c r="AD406" s="12"/>
      <c r="AE406" s="12"/>
      <c r="AF406" s="12"/>
    </row>
    <row r="407" spans="1:32">
      <c r="A407" s="8"/>
      <c r="B407" s="8"/>
      <c r="C407" s="8"/>
      <c r="D407" s="8"/>
      <c r="E407" s="8"/>
      <c r="F407" s="8"/>
      <c r="G407" s="8"/>
      <c r="H407" s="8"/>
      <c r="I407" s="8"/>
      <c r="J407" s="8"/>
      <c r="K407" s="8"/>
      <c r="L407" s="8"/>
      <c r="M407" s="8"/>
      <c r="N407" s="8"/>
      <c r="O407" s="8"/>
      <c r="P407" s="8"/>
      <c r="Q407" s="8"/>
      <c r="R407" s="8"/>
      <c r="S407" s="8"/>
      <c r="T407" s="8"/>
      <c r="U407" s="12"/>
      <c r="V407" s="12"/>
      <c r="W407" s="12"/>
      <c r="X407" s="12"/>
      <c r="Y407" s="12"/>
      <c r="Z407" s="12"/>
      <c r="AA407" s="12"/>
      <c r="AB407" s="12"/>
      <c r="AC407" s="12"/>
      <c r="AD407" s="12"/>
      <c r="AE407" s="12"/>
      <c r="AF407" s="12"/>
    </row>
    <row r="408" spans="1:32">
      <c r="A408" s="8"/>
      <c r="B408" s="8"/>
      <c r="C408" s="8"/>
      <c r="D408" s="8"/>
      <c r="E408" s="8"/>
      <c r="F408" s="8"/>
      <c r="G408" s="8"/>
      <c r="H408" s="8"/>
      <c r="I408" s="8"/>
      <c r="J408" s="8"/>
      <c r="K408" s="8"/>
      <c r="L408" s="8"/>
      <c r="M408" s="8"/>
      <c r="N408" s="8"/>
      <c r="O408" s="8"/>
      <c r="P408" s="8"/>
      <c r="Q408" s="8"/>
      <c r="R408" s="8"/>
      <c r="S408" s="8"/>
      <c r="T408" s="8"/>
      <c r="U408" s="12"/>
      <c r="V408" s="12"/>
      <c r="W408" s="12"/>
      <c r="X408" s="12"/>
      <c r="Y408" s="12"/>
      <c r="Z408" s="12"/>
      <c r="AA408" s="12"/>
      <c r="AB408" s="12"/>
      <c r="AC408" s="12"/>
      <c r="AD408" s="12"/>
      <c r="AE408" s="12"/>
      <c r="AF408" s="12"/>
    </row>
    <row r="409" spans="1:32">
      <c r="A409" s="8"/>
      <c r="B409" s="8"/>
      <c r="C409" s="8"/>
      <c r="D409" s="8"/>
      <c r="E409" s="8"/>
      <c r="F409" s="8"/>
      <c r="G409" s="8"/>
      <c r="H409" s="8"/>
      <c r="I409" s="8"/>
      <c r="J409" s="8"/>
      <c r="K409" s="8"/>
      <c r="L409" s="8"/>
      <c r="M409" s="8"/>
      <c r="N409" s="8"/>
      <c r="O409" s="8"/>
      <c r="P409" s="8"/>
      <c r="Q409" s="8"/>
      <c r="R409" s="8"/>
      <c r="S409" s="8"/>
      <c r="T409" s="8"/>
      <c r="U409" s="12"/>
      <c r="V409" s="12"/>
      <c r="W409" s="12"/>
      <c r="X409" s="12"/>
      <c r="Y409" s="12"/>
      <c r="Z409" s="12"/>
      <c r="AA409" s="12"/>
      <c r="AB409" s="12"/>
      <c r="AC409" s="12"/>
      <c r="AD409" s="12"/>
      <c r="AE409" s="12"/>
      <c r="AF409" s="12"/>
    </row>
    <row r="410" spans="1:32">
      <c r="A410" s="8"/>
      <c r="B410" s="8"/>
      <c r="C410" s="8"/>
      <c r="D410" s="8"/>
      <c r="E410" s="8"/>
      <c r="F410" s="8"/>
      <c r="G410" s="8"/>
      <c r="H410" s="8"/>
      <c r="I410" s="8"/>
      <c r="J410" s="8"/>
      <c r="K410" s="8"/>
      <c r="L410" s="8"/>
      <c r="M410" s="8"/>
      <c r="N410" s="8"/>
      <c r="O410" s="8"/>
      <c r="P410" s="8"/>
      <c r="Q410" s="8"/>
      <c r="R410" s="8"/>
      <c r="S410" s="8"/>
      <c r="T410" s="8"/>
      <c r="U410" s="12"/>
      <c r="V410" s="12"/>
      <c r="W410" s="12"/>
      <c r="X410" s="12"/>
      <c r="Y410" s="12"/>
      <c r="Z410" s="12"/>
      <c r="AA410" s="12"/>
      <c r="AB410" s="12"/>
      <c r="AC410" s="12"/>
      <c r="AD410" s="12"/>
      <c r="AE410" s="12"/>
      <c r="AF410" s="12"/>
    </row>
    <row r="411" spans="1:32">
      <c r="A411" s="8"/>
      <c r="B411" s="8"/>
      <c r="C411" s="8"/>
      <c r="D411" s="8"/>
      <c r="E411" s="8"/>
      <c r="F411" s="8"/>
      <c r="G411" s="8"/>
      <c r="H411" s="8"/>
      <c r="I411" s="8"/>
      <c r="J411" s="8"/>
      <c r="K411" s="8"/>
      <c r="L411" s="8"/>
      <c r="M411" s="8"/>
      <c r="N411" s="8"/>
      <c r="O411" s="8"/>
      <c r="P411" s="8"/>
      <c r="Q411" s="8"/>
      <c r="R411" s="8"/>
      <c r="S411" s="8"/>
      <c r="T411" s="8"/>
      <c r="U411" s="12"/>
      <c r="V411" s="12"/>
      <c r="W411" s="12"/>
      <c r="X411" s="12"/>
      <c r="Y411" s="12"/>
      <c r="Z411" s="12"/>
      <c r="AA411" s="12"/>
      <c r="AB411" s="12"/>
      <c r="AC411" s="12"/>
      <c r="AD411" s="12"/>
      <c r="AE411" s="12"/>
      <c r="AF411" s="12"/>
    </row>
    <row r="412" spans="1:32">
      <c r="A412" s="8"/>
      <c r="B412" s="8"/>
      <c r="C412" s="8"/>
      <c r="D412" s="8"/>
      <c r="E412" s="8"/>
      <c r="F412" s="8"/>
      <c r="G412" s="8"/>
      <c r="H412" s="8"/>
      <c r="I412" s="8"/>
      <c r="J412" s="8"/>
      <c r="K412" s="8"/>
      <c r="L412" s="8"/>
      <c r="M412" s="8"/>
      <c r="N412" s="8"/>
      <c r="O412" s="8"/>
      <c r="P412" s="8"/>
      <c r="Q412" s="8"/>
      <c r="R412" s="8"/>
      <c r="S412" s="8"/>
      <c r="T412" s="8"/>
      <c r="U412" s="12"/>
      <c r="V412" s="12"/>
      <c r="W412" s="12"/>
      <c r="X412" s="12"/>
      <c r="Y412" s="12"/>
      <c r="Z412" s="12"/>
      <c r="AA412" s="12"/>
      <c r="AB412" s="12"/>
      <c r="AC412" s="12"/>
      <c r="AD412" s="12"/>
      <c r="AE412" s="12"/>
      <c r="AF412" s="12"/>
    </row>
    <row r="413" spans="1:32">
      <c r="A413" s="8"/>
      <c r="B413" s="8"/>
      <c r="C413" s="8"/>
      <c r="D413" s="8"/>
      <c r="E413" s="8"/>
      <c r="F413" s="8"/>
      <c r="G413" s="8"/>
      <c r="H413" s="8"/>
      <c r="I413" s="8"/>
      <c r="J413" s="8"/>
      <c r="K413" s="8"/>
      <c r="L413" s="8"/>
      <c r="M413" s="8"/>
      <c r="N413" s="8"/>
      <c r="O413" s="8"/>
      <c r="P413" s="8"/>
      <c r="Q413" s="8"/>
      <c r="R413" s="8"/>
      <c r="S413" s="8"/>
      <c r="T413" s="8"/>
      <c r="U413" s="12"/>
      <c r="V413" s="12"/>
      <c r="W413" s="12"/>
      <c r="X413" s="12"/>
      <c r="Y413" s="12"/>
      <c r="Z413" s="12"/>
      <c r="AA413" s="12"/>
      <c r="AB413" s="12"/>
      <c r="AC413" s="12"/>
      <c r="AD413" s="12"/>
      <c r="AE413" s="12"/>
      <c r="AF413" s="12"/>
    </row>
    <row r="414" spans="1:32">
      <c r="A414" s="8"/>
      <c r="B414" s="8"/>
      <c r="C414" s="8"/>
      <c r="D414" s="8"/>
      <c r="E414" s="8"/>
      <c r="F414" s="8"/>
      <c r="G414" s="8"/>
      <c r="H414" s="8"/>
      <c r="I414" s="8"/>
      <c r="J414" s="8"/>
      <c r="K414" s="8"/>
      <c r="L414" s="8"/>
      <c r="M414" s="8"/>
      <c r="N414" s="8"/>
      <c r="O414" s="8"/>
      <c r="P414" s="8"/>
      <c r="Q414" s="8"/>
      <c r="R414" s="8"/>
      <c r="S414" s="8"/>
      <c r="T414" s="8"/>
      <c r="U414" s="12"/>
      <c r="V414" s="12"/>
      <c r="W414" s="12"/>
      <c r="X414" s="12"/>
      <c r="Y414" s="12"/>
      <c r="Z414" s="12"/>
      <c r="AA414" s="12"/>
      <c r="AB414" s="12"/>
      <c r="AC414" s="12"/>
      <c r="AD414" s="12"/>
      <c r="AE414" s="12"/>
      <c r="AF414" s="12"/>
    </row>
    <row r="415" spans="1:32">
      <c r="A415" s="8"/>
      <c r="B415" s="8"/>
      <c r="C415" s="8"/>
      <c r="D415" s="8"/>
      <c r="E415" s="8"/>
      <c r="F415" s="8"/>
      <c r="G415" s="8"/>
      <c r="H415" s="8"/>
      <c r="I415" s="8"/>
      <c r="J415" s="8"/>
      <c r="K415" s="8"/>
      <c r="L415" s="8"/>
      <c r="M415" s="8"/>
      <c r="N415" s="8"/>
      <c r="O415" s="8"/>
      <c r="P415" s="8"/>
      <c r="Q415" s="8"/>
      <c r="R415" s="8"/>
      <c r="S415" s="8"/>
      <c r="T415" s="8"/>
      <c r="U415" s="12"/>
      <c r="V415" s="12"/>
      <c r="W415" s="12"/>
      <c r="X415" s="12"/>
      <c r="Y415" s="12"/>
      <c r="Z415" s="12"/>
      <c r="AA415" s="12"/>
      <c r="AB415" s="12"/>
      <c r="AC415" s="12"/>
      <c r="AD415" s="12"/>
      <c r="AE415" s="12"/>
      <c r="AF415" s="12"/>
    </row>
    <row r="416" spans="1:32">
      <c r="A416" s="8"/>
      <c r="B416" s="8"/>
      <c r="C416" s="8"/>
      <c r="D416" s="8"/>
      <c r="E416" s="8"/>
      <c r="F416" s="8"/>
      <c r="G416" s="8"/>
      <c r="H416" s="8"/>
      <c r="I416" s="8"/>
      <c r="J416" s="8"/>
      <c r="K416" s="8"/>
      <c r="L416" s="8"/>
      <c r="M416" s="8"/>
      <c r="N416" s="8"/>
      <c r="O416" s="8"/>
      <c r="P416" s="8"/>
      <c r="Q416" s="8"/>
      <c r="R416" s="8"/>
      <c r="S416" s="8"/>
      <c r="T416" s="8"/>
      <c r="U416" s="12"/>
      <c r="V416" s="12"/>
      <c r="W416" s="12"/>
      <c r="X416" s="12"/>
      <c r="Y416" s="12"/>
      <c r="Z416" s="12"/>
      <c r="AA416" s="12"/>
      <c r="AB416" s="12"/>
      <c r="AC416" s="12"/>
      <c r="AD416" s="12"/>
      <c r="AE416" s="12"/>
      <c r="AF416" s="12"/>
    </row>
    <row r="417" spans="1:32">
      <c r="A417" s="8"/>
      <c r="B417" s="8"/>
      <c r="C417" s="8"/>
      <c r="D417" s="8"/>
      <c r="E417" s="8"/>
      <c r="F417" s="8"/>
      <c r="G417" s="8"/>
      <c r="H417" s="8"/>
      <c r="I417" s="8"/>
      <c r="J417" s="8"/>
      <c r="K417" s="8"/>
      <c r="L417" s="8"/>
      <c r="M417" s="8"/>
      <c r="N417" s="8"/>
      <c r="O417" s="8"/>
      <c r="P417" s="8"/>
      <c r="Q417" s="8"/>
      <c r="R417" s="8"/>
      <c r="S417" s="8"/>
      <c r="T417" s="8"/>
      <c r="U417" s="12"/>
      <c r="V417" s="12"/>
      <c r="W417" s="12"/>
      <c r="X417" s="12"/>
      <c r="Y417" s="12"/>
      <c r="Z417" s="12"/>
      <c r="AA417" s="12"/>
      <c r="AB417" s="12"/>
      <c r="AC417" s="12"/>
      <c r="AD417" s="12"/>
      <c r="AE417" s="12"/>
      <c r="AF417" s="12"/>
    </row>
    <row r="418" spans="1:32">
      <c r="A418" s="8"/>
      <c r="B418" s="8"/>
      <c r="C418" s="8"/>
      <c r="D418" s="8"/>
      <c r="E418" s="8"/>
      <c r="F418" s="8"/>
      <c r="G418" s="8"/>
      <c r="H418" s="8"/>
      <c r="I418" s="8"/>
      <c r="J418" s="8"/>
      <c r="K418" s="8"/>
      <c r="L418" s="8"/>
      <c r="M418" s="8"/>
      <c r="N418" s="8"/>
      <c r="O418" s="8"/>
      <c r="P418" s="8"/>
      <c r="Q418" s="8"/>
      <c r="R418" s="8"/>
      <c r="S418" s="8"/>
      <c r="T418" s="8"/>
      <c r="U418" s="12"/>
      <c r="V418" s="12"/>
      <c r="W418" s="12"/>
      <c r="X418" s="12"/>
      <c r="Y418" s="12"/>
      <c r="Z418" s="12"/>
      <c r="AA418" s="12"/>
      <c r="AB418" s="12"/>
      <c r="AC418" s="12"/>
      <c r="AD418" s="12"/>
      <c r="AE418" s="12"/>
      <c r="AF418" s="12"/>
    </row>
    <row r="419" spans="1:32">
      <c r="A419" s="8"/>
      <c r="B419" s="8"/>
      <c r="C419" s="8"/>
      <c r="D419" s="8"/>
      <c r="E419" s="8"/>
      <c r="F419" s="8"/>
      <c r="G419" s="8"/>
      <c r="H419" s="8"/>
      <c r="I419" s="8"/>
      <c r="J419" s="8"/>
      <c r="K419" s="8"/>
      <c r="L419" s="8"/>
      <c r="M419" s="8"/>
      <c r="N419" s="8"/>
      <c r="O419" s="8"/>
      <c r="P419" s="8"/>
      <c r="Q419" s="8"/>
      <c r="R419" s="8"/>
      <c r="S419" s="8"/>
      <c r="T419" s="8"/>
      <c r="U419" s="12"/>
      <c r="V419" s="12"/>
      <c r="W419" s="12"/>
      <c r="X419" s="12"/>
      <c r="Y419" s="12"/>
      <c r="Z419" s="12"/>
      <c r="AA419" s="12"/>
      <c r="AB419" s="12"/>
      <c r="AC419" s="12"/>
      <c r="AD419" s="12"/>
      <c r="AE419" s="12"/>
      <c r="AF419" s="12"/>
    </row>
    <row r="420" spans="1:32">
      <c r="A420" s="8"/>
      <c r="B420" s="8"/>
      <c r="C420" s="8"/>
      <c r="D420" s="8"/>
      <c r="E420" s="8"/>
      <c r="F420" s="8"/>
      <c r="G420" s="8"/>
      <c r="H420" s="8"/>
      <c r="I420" s="8"/>
      <c r="J420" s="8"/>
      <c r="K420" s="8"/>
      <c r="L420" s="8"/>
      <c r="M420" s="8"/>
      <c r="N420" s="8"/>
      <c r="O420" s="8"/>
      <c r="P420" s="8"/>
      <c r="Q420" s="8"/>
      <c r="R420" s="8"/>
      <c r="S420" s="8"/>
      <c r="T420" s="8"/>
      <c r="U420" s="12"/>
      <c r="V420" s="12"/>
      <c r="W420" s="12"/>
      <c r="X420" s="12"/>
      <c r="Y420" s="12"/>
      <c r="Z420" s="12"/>
      <c r="AA420" s="12"/>
      <c r="AB420" s="12"/>
      <c r="AC420" s="12"/>
      <c r="AD420" s="12"/>
      <c r="AE420" s="12"/>
      <c r="AF420" s="12"/>
    </row>
    <row r="421" spans="1:32">
      <c r="A421" s="8"/>
      <c r="B421" s="8"/>
      <c r="C421" s="8"/>
      <c r="D421" s="8"/>
      <c r="E421" s="8"/>
      <c r="F421" s="8"/>
      <c r="G421" s="8"/>
      <c r="H421" s="8"/>
      <c r="I421" s="8"/>
      <c r="J421" s="8"/>
      <c r="K421" s="8"/>
      <c r="L421" s="8"/>
      <c r="M421" s="8"/>
      <c r="N421" s="8"/>
      <c r="O421" s="8"/>
      <c r="P421" s="8"/>
      <c r="Q421" s="8"/>
      <c r="R421" s="8"/>
      <c r="S421" s="8"/>
      <c r="T421" s="8"/>
      <c r="U421" s="12"/>
      <c r="V421" s="12"/>
      <c r="W421" s="12"/>
      <c r="X421" s="12"/>
      <c r="Y421" s="12"/>
      <c r="Z421" s="12"/>
      <c r="AA421" s="12"/>
      <c r="AB421" s="12"/>
      <c r="AC421" s="12"/>
      <c r="AD421" s="12"/>
      <c r="AE421" s="12"/>
      <c r="AF421" s="12"/>
    </row>
    <row r="422" spans="1:32">
      <c r="A422" s="8"/>
      <c r="B422" s="8"/>
      <c r="C422" s="8"/>
      <c r="D422" s="8"/>
      <c r="E422" s="8"/>
      <c r="F422" s="8"/>
      <c r="G422" s="8"/>
      <c r="H422" s="8"/>
      <c r="I422" s="8"/>
      <c r="J422" s="8"/>
      <c r="K422" s="8"/>
      <c r="L422" s="8"/>
      <c r="M422" s="8"/>
      <c r="N422" s="8"/>
      <c r="O422" s="8"/>
      <c r="P422" s="8"/>
      <c r="Q422" s="8"/>
      <c r="R422" s="8"/>
      <c r="S422" s="8"/>
      <c r="T422" s="8"/>
      <c r="U422" s="12"/>
      <c r="V422" s="12"/>
      <c r="W422" s="12"/>
      <c r="X422" s="12"/>
      <c r="Y422" s="12"/>
      <c r="Z422" s="12"/>
      <c r="AA422" s="12"/>
      <c r="AB422" s="12"/>
      <c r="AC422" s="12"/>
      <c r="AD422" s="12"/>
      <c r="AE422" s="12"/>
      <c r="AF422" s="12"/>
    </row>
    <row r="423" spans="1:32">
      <c r="A423" s="8"/>
      <c r="B423" s="8"/>
      <c r="C423" s="8"/>
      <c r="D423" s="8"/>
      <c r="E423" s="8"/>
      <c r="F423" s="8"/>
      <c r="G423" s="8"/>
      <c r="H423" s="8"/>
      <c r="I423" s="8"/>
      <c r="J423" s="8"/>
      <c r="K423" s="8"/>
      <c r="L423" s="8"/>
      <c r="M423" s="8"/>
      <c r="N423" s="8"/>
      <c r="O423" s="8"/>
      <c r="P423" s="8"/>
      <c r="Q423" s="8"/>
      <c r="R423" s="8"/>
      <c r="S423" s="8"/>
      <c r="T423" s="8"/>
      <c r="U423" s="12"/>
      <c r="V423" s="12"/>
      <c r="W423" s="12"/>
      <c r="X423" s="12"/>
      <c r="Y423" s="12"/>
      <c r="Z423" s="12"/>
      <c r="AA423" s="12"/>
      <c r="AB423" s="12"/>
      <c r="AC423" s="12"/>
      <c r="AD423" s="12"/>
      <c r="AE423" s="12"/>
      <c r="AF423" s="12"/>
    </row>
    <row r="424" spans="1:32">
      <c r="A424" s="8"/>
      <c r="B424" s="8"/>
      <c r="C424" s="8"/>
      <c r="D424" s="8"/>
      <c r="E424" s="8"/>
      <c r="F424" s="8"/>
      <c r="G424" s="8"/>
      <c r="H424" s="8"/>
      <c r="I424" s="8"/>
      <c r="J424" s="8"/>
      <c r="K424" s="8"/>
      <c r="L424" s="8"/>
      <c r="M424" s="8"/>
      <c r="N424" s="8"/>
      <c r="O424" s="8"/>
      <c r="P424" s="8"/>
      <c r="Q424" s="8"/>
      <c r="R424" s="8"/>
      <c r="S424" s="8"/>
      <c r="T424" s="8"/>
      <c r="U424" s="12"/>
      <c r="V424" s="12"/>
      <c r="W424" s="12"/>
      <c r="X424" s="12"/>
      <c r="Y424" s="12"/>
      <c r="Z424" s="12"/>
      <c r="AA424" s="12"/>
      <c r="AB424" s="12"/>
      <c r="AC424" s="12"/>
      <c r="AD424" s="12"/>
      <c r="AE424" s="12"/>
      <c r="AF424" s="12"/>
    </row>
    <row r="425" spans="1:32">
      <c r="A425" s="8"/>
      <c r="B425" s="8"/>
      <c r="C425" s="8"/>
      <c r="D425" s="8"/>
      <c r="E425" s="8"/>
      <c r="F425" s="8"/>
      <c r="G425" s="8"/>
      <c r="H425" s="8"/>
      <c r="I425" s="8"/>
      <c r="J425" s="8"/>
      <c r="K425" s="8"/>
      <c r="L425" s="8"/>
      <c r="M425" s="8"/>
      <c r="N425" s="8"/>
      <c r="O425" s="8"/>
      <c r="P425" s="8"/>
      <c r="Q425" s="8"/>
      <c r="R425" s="8"/>
      <c r="S425" s="8"/>
      <c r="T425" s="8"/>
      <c r="U425" s="12"/>
      <c r="V425" s="12"/>
      <c r="W425" s="12"/>
      <c r="X425" s="12"/>
      <c r="Y425" s="12"/>
      <c r="Z425" s="12"/>
      <c r="AA425" s="12"/>
      <c r="AB425" s="12"/>
      <c r="AC425" s="12"/>
      <c r="AD425" s="12"/>
      <c r="AE425" s="12"/>
      <c r="AF425" s="12"/>
    </row>
    <row r="426" spans="1:32">
      <c r="A426" s="8"/>
      <c r="B426" s="8"/>
      <c r="C426" s="8"/>
      <c r="D426" s="8"/>
      <c r="E426" s="8"/>
      <c r="F426" s="8"/>
      <c r="G426" s="8"/>
      <c r="H426" s="8"/>
      <c r="I426" s="8"/>
      <c r="J426" s="8"/>
      <c r="K426" s="8"/>
      <c r="L426" s="8"/>
      <c r="M426" s="8"/>
      <c r="N426" s="8"/>
      <c r="O426" s="8"/>
      <c r="P426" s="8"/>
      <c r="Q426" s="8"/>
      <c r="R426" s="8"/>
      <c r="S426" s="8"/>
      <c r="T426" s="8"/>
      <c r="U426" s="12"/>
      <c r="V426" s="12"/>
      <c r="W426" s="12"/>
      <c r="X426" s="12"/>
      <c r="Y426" s="12"/>
      <c r="Z426" s="12"/>
      <c r="AA426" s="12"/>
      <c r="AB426" s="12"/>
      <c r="AC426" s="12"/>
      <c r="AD426" s="12"/>
      <c r="AE426" s="12"/>
      <c r="AF426" s="12"/>
    </row>
    <row r="427" spans="1:32">
      <c r="A427" s="8"/>
      <c r="B427" s="8"/>
      <c r="C427" s="8"/>
      <c r="D427" s="8"/>
      <c r="E427" s="8"/>
      <c r="F427" s="8"/>
      <c r="G427" s="8"/>
      <c r="H427" s="8"/>
      <c r="I427" s="8"/>
      <c r="J427" s="8"/>
      <c r="K427" s="8"/>
      <c r="L427" s="8"/>
      <c r="M427" s="8"/>
      <c r="N427" s="8"/>
      <c r="O427" s="8"/>
      <c r="P427" s="8"/>
      <c r="Q427" s="8"/>
      <c r="R427" s="8"/>
      <c r="S427" s="8"/>
      <c r="T427" s="8"/>
      <c r="U427" s="12"/>
      <c r="V427" s="12"/>
      <c r="W427" s="12"/>
      <c r="X427" s="12"/>
      <c r="Y427" s="12"/>
      <c r="Z427" s="12"/>
      <c r="AA427" s="12"/>
      <c r="AB427" s="12"/>
      <c r="AC427" s="12"/>
      <c r="AD427" s="12"/>
      <c r="AE427" s="12"/>
      <c r="AF427" s="12"/>
    </row>
    <row r="428" spans="1:32">
      <c r="A428" s="8"/>
      <c r="B428" s="8"/>
      <c r="C428" s="8"/>
      <c r="D428" s="8"/>
      <c r="E428" s="8"/>
      <c r="F428" s="8"/>
      <c r="G428" s="8"/>
      <c r="H428" s="8"/>
      <c r="I428" s="8"/>
      <c r="J428" s="8"/>
      <c r="K428" s="8"/>
      <c r="L428" s="8"/>
      <c r="M428" s="8"/>
      <c r="N428" s="8"/>
      <c r="O428" s="8"/>
      <c r="P428" s="8"/>
      <c r="Q428" s="8"/>
      <c r="R428" s="8"/>
      <c r="S428" s="8"/>
      <c r="T428" s="8"/>
      <c r="U428" s="12"/>
      <c r="V428" s="12"/>
      <c r="W428" s="12"/>
      <c r="X428" s="12"/>
      <c r="Y428" s="12"/>
      <c r="Z428" s="12"/>
      <c r="AA428" s="12"/>
      <c r="AB428" s="12"/>
      <c r="AC428" s="12"/>
      <c r="AD428" s="12"/>
      <c r="AE428" s="12"/>
      <c r="AF428" s="12"/>
    </row>
    <row r="429" spans="1:32">
      <c r="A429" s="8"/>
      <c r="B429" s="8"/>
      <c r="C429" s="8"/>
      <c r="D429" s="8"/>
      <c r="E429" s="8"/>
      <c r="F429" s="8"/>
      <c r="G429" s="8"/>
      <c r="H429" s="8"/>
      <c r="I429" s="8"/>
      <c r="J429" s="8"/>
      <c r="K429" s="8"/>
      <c r="L429" s="8"/>
      <c r="M429" s="8"/>
      <c r="N429" s="8"/>
      <c r="O429" s="8"/>
      <c r="P429" s="8"/>
      <c r="Q429" s="8"/>
      <c r="R429" s="8"/>
      <c r="S429" s="8"/>
      <c r="T429" s="8"/>
      <c r="U429" s="12"/>
      <c r="V429" s="12"/>
      <c r="W429" s="12"/>
      <c r="X429" s="12"/>
      <c r="Y429" s="12"/>
      <c r="Z429" s="12"/>
      <c r="AA429" s="12"/>
      <c r="AB429" s="12"/>
      <c r="AC429" s="12"/>
      <c r="AD429" s="12"/>
      <c r="AE429" s="12"/>
      <c r="AF429" s="12"/>
    </row>
    <row r="430" spans="1:32">
      <c r="A430" s="8"/>
      <c r="B430" s="8"/>
      <c r="C430" s="8"/>
      <c r="D430" s="8"/>
      <c r="E430" s="8"/>
      <c r="F430" s="8"/>
      <c r="G430" s="8"/>
      <c r="H430" s="8"/>
      <c r="I430" s="8"/>
      <c r="J430" s="8"/>
      <c r="K430" s="8"/>
      <c r="L430" s="8"/>
      <c r="M430" s="8"/>
      <c r="N430" s="8"/>
      <c r="O430" s="8"/>
      <c r="P430" s="8"/>
      <c r="Q430" s="8"/>
      <c r="R430" s="8"/>
      <c r="S430" s="8"/>
      <c r="T430" s="8"/>
      <c r="U430" s="12"/>
      <c r="V430" s="12"/>
      <c r="W430" s="12"/>
      <c r="X430" s="12"/>
      <c r="Y430" s="12"/>
      <c r="Z430" s="12"/>
      <c r="AA430" s="12"/>
      <c r="AB430" s="12"/>
      <c r="AC430" s="12"/>
      <c r="AD430" s="12"/>
      <c r="AE430" s="12"/>
      <c r="AF430" s="12"/>
    </row>
    <row r="431" spans="1:32">
      <c r="A431" s="8"/>
      <c r="B431" s="8"/>
      <c r="C431" s="8"/>
      <c r="D431" s="8"/>
      <c r="E431" s="8"/>
      <c r="F431" s="8"/>
      <c r="G431" s="8"/>
      <c r="H431" s="8"/>
      <c r="I431" s="8"/>
      <c r="J431" s="8"/>
      <c r="K431" s="8"/>
      <c r="L431" s="8"/>
      <c r="M431" s="8"/>
      <c r="N431" s="8"/>
      <c r="O431" s="8"/>
      <c r="P431" s="8"/>
      <c r="Q431" s="8"/>
      <c r="R431" s="8"/>
      <c r="S431" s="8"/>
      <c r="T431" s="8"/>
      <c r="U431" s="12"/>
      <c r="V431" s="12"/>
      <c r="W431" s="12"/>
      <c r="X431" s="12"/>
      <c r="Y431" s="12"/>
      <c r="Z431" s="12"/>
      <c r="AA431" s="12"/>
      <c r="AB431" s="12"/>
      <c r="AC431" s="12"/>
      <c r="AD431" s="12"/>
      <c r="AE431" s="12"/>
      <c r="AF431" s="12"/>
    </row>
    <row r="432" spans="1:32">
      <c r="A432" s="8"/>
      <c r="B432" s="8"/>
      <c r="C432" s="8"/>
      <c r="D432" s="8"/>
      <c r="E432" s="8"/>
      <c r="F432" s="8"/>
      <c r="G432" s="8"/>
      <c r="H432" s="8"/>
      <c r="I432" s="8"/>
      <c r="J432" s="8"/>
      <c r="K432" s="8"/>
      <c r="L432" s="8"/>
      <c r="M432" s="8"/>
      <c r="N432" s="8"/>
      <c r="O432" s="8"/>
      <c r="P432" s="8"/>
      <c r="Q432" s="8"/>
      <c r="R432" s="8"/>
      <c r="S432" s="8"/>
      <c r="T432" s="8"/>
      <c r="U432" s="12"/>
      <c r="V432" s="12"/>
      <c r="W432" s="12"/>
      <c r="X432" s="12"/>
      <c r="Y432" s="12"/>
      <c r="Z432" s="12"/>
      <c r="AA432" s="12"/>
      <c r="AB432" s="12"/>
      <c r="AC432" s="12"/>
      <c r="AD432" s="12"/>
      <c r="AE432" s="12"/>
      <c r="AF432" s="12"/>
    </row>
    <row r="433" spans="1:32">
      <c r="A433" s="8"/>
      <c r="B433" s="8"/>
      <c r="C433" s="8"/>
      <c r="D433" s="8"/>
      <c r="E433" s="8"/>
      <c r="F433" s="8"/>
      <c r="G433" s="8"/>
      <c r="H433" s="8"/>
      <c r="I433" s="8"/>
      <c r="J433" s="8"/>
      <c r="K433" s="8"/>
      <c r="L433" s="8"/>
      <c r="M433" s="8"/>
      <c r="N433" s="8"/>
      <c r="O433" s="8"/>
      <c r="P433" s="8"/>
      <c r="Q433" s="8"/>
      <c r="R433" s="8"/>
      <c r="S433" s="8"/>
      <c r="T433" s="8"/>
      <c r="U433" s="12"/>
      <c r="V433" s="12"/>
      <c r="W433" s="12"/>
      <c r="X433" s="12"/>
      <c r="Y433" s="12"/>
      <c r="Z433" s="12"/>
      <c r="AA433" s="12"/>
      <c r="AB433" s="12"/>
      <c r="AC433" s="12"/>
      <c r="AD433" s="12"/>
      <c r="AE433" s="12"/>
      <c r="AF433" s="12"/>
    </row>
    <row r="434" spans="1:32">
      <c r="A434" s="8"/>
      <c r="B434" s="8"/>
      <c r="C434" s="8"/>
      <c r="D434" s="8"/>
      <c r="E434" s="8"/>
      <c r="F434" s="8"/>
      <c r="G434" s="8"/>
      <c r="H434" s="8"/>
      <c r="I434" s="8"/>
      <c r="J434" s="8"/>
      <c r="K434" s="8"/>
      <c r="L434" s="8"/>
      <c r="M434" s="8"/>
      <c r="N434" s="8"/>
      <c r="O434" s="8"/>
      <c r="P434" s="8"/>
      <c r="Q434" s="8"/>
      <c r="R434" s="8"/>
      <c r="S434" s="8"/>
      <c r="T434" s="8"/>
      <c r="U434" s="12"/>
      <c r="V434" s="12"/>
      <c r="W434" s="12"/>
      <c r="X434" s="12"/>
      <c r="Y434" s="12"/>
      <c r="Z434" s="12"/>
      <c r="AA434" s="12"/>
      <c r="AB434" s="12"/>
      <c r="AC434" s="12"/>
      <c r="AD434" s="12"/>
      <c r="AE434" s="12"/>
      <c r="AF434" s="12"/>
    </row>
    <row r="435" spans="1:32">
      <c r="A435" s="8"/>
      <c r="B435" s="8"/>
      <c r="C435" s="8"/>
      <c r="D435" s="8"/>
      <c r="E435" s="8"/>
      <c r="F435" s="8"/>
      <c r="G435" s="8"/>
      <c r="H435" s="8"/>
      <c r="I435" s="8"/>
      <c r="J435" s="8"/>
      <c r="K435" s="8"/>
      <c r="L435" s="8"/>
      <c r="M435" s="8"/>
      <c r="N435" s="8"/>
      <c r="O435" s="8"/>
      <c r="P435" s="8"/>
      <c r="Q435" s="8"/>
      <c r="R435" s="8"/>
      <c r="S435" s="8"/>
      <c r="T435" s="8"/>
      <c r="U435" s="12"/>
      <c r="V435" s="12"/>
      <c r="W435" s="12"/>
      <c r="X435" s="12"/>
      <c r="Y435" s="12"/>
      <c r="Z435" s="12"/>
      <c r="AA435" s="12"/>
      <c r="AB435" s="12"/>
      <c r="AC435" s="12"/>
      <c r="AD435" s="12"/>
      <c r="AE435" s="12"/>
      <c r="AF435" s="12"/>
    </row>
    <row r="436" spans="1:32">
      <c r="A436" s="8"/>
      <c r="B436" s="8"/>
      <c r="C436" s="8"/>
      <c r="D436" s="8"/>
      <c r="E436" s="8"/>
      <c r="F436" s="8"/>
      <c r="G436" s="8"/>
      <c r="H436" s="8"/>
      <c r="I436" s="8"/>
      <c r="J436" s="8"/>
      <c r="K436" s="8"/>
      <c r="L436" s="8"/>
      <c r="M436" s="8"/>
      <c r="N436" s="8"/>
      <c r="O436" s="8"/>
      <c r="P436" s="8"/>
      <c r="Q436" s="8"/>
      <c r="R436" s="8"/>
      <c r="S436" s="8"/>
      <c r="T436" s="8"/>
      <c r="U436" s="12"/>
      <c r="V436" s="12"/>
      <c r="W436" s="12"/>
      <c r="X436" s="12"/>
      <c r="Y436" s="12"/>
      <c r="Z436" s="12"/>
      <c r="AA436" s="12"/>
      <c r="AB436" s="12"/>
      <c r="AC436" s="12"/>
      <c r="AD436" s="12"/>
      <c r="AE436" s="12"/>
      <c r="AF436" s="12"/>
    </row>
    <row r="437" spans="1:32">
      <c r="A437" s="8"/>
      <c r="B437" s="8"/>
      <c r="C437" s="8"/>
      <c r="D437" s="8"/>
      <c r="E437" s="8"/>
      <c r="F437" s="8"/>
      <c r="G437" s="8"/>
      <c r="H437" s="8"/>
      <c r="I437" s="8"/>
      <c r="J437" s="8"/>
      <c r="K437" s="8"/>
      <c r="L437" s="8"/>
      <c r="M437" s="8"/>
      <c r="N437" s="8"/>
      <c r="O437" s="8"/>
      <c r="P437" s="8"/>
      <c r="Q437" s="8"/>
      <c r="R437" s="8"/>
      <c r="S437" s="8"/>
      <c r="T437" s="8"/>
      <c r="U437" s="12"/>
      <c r="V437" s="12"/>
      <c r="W437" s="12"/>
      <c r="X437" s="12"/>
      <c r="Y437" s="12"/>
      <c r="Z437" s="12"/>
      <c r="AA437" s="12"/>
      <c r="AB437" s="12"/>
      <c r="AC437" s="12"/>
      <c r="AD437" s="12"/>
      <c r="AE437" s="12"/>
      <c r="AF437" s="12"/>
    </row>
    <row r="438" spans="1:32">
      <c r="A438" s="8"/>
      <c r="B438" s="8"/>
      <c r="C438" s="8"/>
      <c r="D438" s="8"/>
      <c r="E438" s="8"/>
      <c r="F438" s="8"/>
      <c r="G438" s="8"/>
      <c r="H438" s="8"/>
      <c r="I438" s="8"/>
      <c r="J438" s="8"/>
      <c r="K438" s="8"/>
      <c r="L438" s="8"/>
      <c r="M438" s="8"/>
      <c r="N438" s="8"/>
      <c r="O438" s="8"/>
      <c r="P438" s="8"/>
      <c r="Q438" s="8"/>
      <c r="R438" s="8"/>
      <c r="S438" s="8"/>
      <c r="T438" s="8"/>
      <c r="U438" s="12"/>
      <c r="V438" s="12"/>
      <c r="W438" s="12"/>
      <c r="X438" s="12"/>
      <c r="Y438" s="12"/>
      <c r="Z438" s="12"/>
      <c r="AA438" s="12"/>
      <c r="AB438" s="12"/>
      <c r="AC438" s="12"/>
      <c r="AD438" s="12"/>
      <c r="AE438" s="12"/>
      <c r="AF438" s="12"/>
    </row>
    <row r="439" spans="1:32">
      <c r="A439" s="8"/>
      <c r="B439" s="8"/>
      <c r="C439" s="8"/>
      <c r="D439" s="8"/>
      <c r="E439" s="8"/>
      <c r="F439" s="8"/>
      <c r="G439" s="8"/>
      <c r="H439" s="8"/>
      <c r="I439" s="8"/>
      <c r="J439" s="8"/>
      <c r="K439" s="8"/>
      <c r="L439" s="8"/>
      <c r="M439" s="8"/>
      <c r="N439" s="8"/>
      <c r="O439" s="8"/>
      <c r="P439" s="8"/>
      <c r="Q439" s="8"/>
      <c r="R439" s="8"/>
      <c r="S439" s="8"/>
      <c r="T439" s="8"/>
      <c r="U439" s="12"/>
      <c r="V439" s="12"/>
      <c r="W439" s="12"/>
      <c r="X439" s="12"/>
      <c r="Y439" s="12"/>
      <c r="Z439" s="12"/>
      <c r="AA439" s="12"/>
      <c r="AB439" s="12"/>
      <c r="AC439" s="12"/>
      <c r="AD439" s="12"/>
      <c r="AE439" s="12"/>
      <c r="AF439" s="12"/>
    </row>
    <row r="440" spans="1:32">
      <c r="A440" s="8"/>
      <c r="B440" s="8"/>
      <c r="C440" s="8"/>
      <c r="D440" s="8"/>
      <c r="E440" s="8"/>
      <c r="F440" s="8"/>
      <c r="G440" s="8"/>
      <c r="H440" s="8"/>
      <c r="I440" s="8"/>
      <c r="J440" s="8"/>
      <c r="K440" s="8"/>
      <c r="L440" s="8"/>
      <c r="M440" s="8"/>
      <c r="N440" s="8"/>
      <c r="O440" s="8"/>
      <c r="P440" s="8"/>
      <c r="Q440" s="8"/>
      <c r="R440" s="8"/>
      <c r="S440" s="8"/>
      <c r="T440" s="8"/>
      <c r="U440" s="12"/>
      <c r="V440" s="12"/>
      <c r="W440" s="12"/>
      <c r="X440" s="12"/>
      <c r="Y440" s="12"/>
      <c r="Z440" s="12"/>
      <c r="AA440" s="12"/>
      <c r="AB440" s="12"/>
      <c r="AC440" s="12"/>
      <c r="AD440" s="12"/>
      <c r="AE440" s="12"/>
      <c r="AF440" s="12"/>
    </row>
    <row r="441" spans="1:32">
      <c r="A441" s="8"/>
      <c r="B441" s="8"/>
      <c r="C441" s="8"/>
      <c r="D441" s="8"/>
      <c r="E441" s="8"/>
      <c r="F441" s="8"/>
      <c r="G441" s="8"/>
      <c r="H441" s="8"/>
      <c r="I441" s="8"/>
      <c r="J441" s="8"/>
      <c r="K441" s="8"/>
      <c r="L441" s="8"/>
      <c r="M441" s="8"/>
      <c r="N441" s="8"/>
      <c r="O441" s="8"/>
      <c r="P441" s="8"/>
      <c r="Q441" s="8"/>
      <c r="R441" s="8"/>
      <c r="S441" s="8"/>
      <c r="T441" s="8"/>
      <c r="U441" s="12"/>
      <c r="V441" s="12"/>
      <c r="W441" s="12"/>
      <c r="X441" s="12"/>
      <c r="Y441" s="12"/>
      <c r="Z441" s="12"/>
      <c r="AA441" s="12"/>
      <c r="AB441" s="12"/>
      <c r="AC441" s="12"/>
      <c r="AD441" s="12"/>
      <c r="AE441" s="12"/>
      <c r="AF441" s="12"/>
    </row>
    <row r="442" spans="1:32">
      <c r="A442" s="8"/>
      <c r="B442" s="8"/>
      <c r="C442" s="8"/>
      <c r="D442" s="8"/>
      <c r="E442" s="8"/>
      <c r="F442" s="8"/>
      <c r="G442" s="8"/>
      <c r="H442" s="8"/>
      <c r="I442" s="8"/>
      <c r="J442" s="8"/>
      <c r="K442" s="8"/>
      <c r="L442" s="8"/>
      <c r="M442" s="8"/>
      <c r="N442" s="8"/>
      <c r="O442" s="8"/>
      <c r="P442" s="8"/>
      <c r="Q442" s="8"/>
      <c r="R442" s="8"/>
      <c r="S442" s="8"/>
      <c r="T442" s="8"/>
      <c r="U442" s="12"/>
      <c r="V442" s="12"/>
      <c r="W442" s="12"/>
      <c r="X442" s="12"/>
      <c r="Y442" s="12"/>
      <c r="Z442" s="12"/>
      <c r="AA442" s="12"/>
      <c r="AB442" s="12"/>
      <c r="AC442" s="12"/>
      <c r="AD442" s="12"/>
      <c r="AE442" s="12"/>
      <c r="AF442" s="12"/>
    </row>
    <row r="443" spans="1:32">
      <c r="A443" s="8"/>
      <c r="B443" s="8"/>
      <c r="C443" s="8"/>
      <c r="D443" s="8"/>
      <c r="E443" s="8"/>
      <c r="F443" s="8"/>
      <c r="G443" s="8"/>
      <c r="H443" s="8"/>
      <c r="I443" s="8"/>
      <c r="J443" s="8"/>
      <c r="K443" s="8"/>
      <c r="L443" s="8"/>
      <c r="M443" s="8"/>
      <c r="N443" s="8"/>
      <c r="O443" s="8"/>
      <c r="P443" s="8"/>
      <c r="Q443" s="8"/>
      <c r="R443" s="8"/>
      <c r="S443" s="8"/>
      <c r="T443" s="8"/>
      <c r="U443" s="12"/>
      <c r="V443" s="12"/>
      <c r="W443" s="12"/>
      <c r="X443" s="12"/>
      <c r="Y443" s="12"/>
      <c r="Z443" s="12"/>
      <c r="AA443" s="12"/>
      <c r="AB443" s="12"/>
      <c r="AC443" s="12"/>
      <c r="AD443" s="12"/>
      <c r="AE443" s="12"/>
      <c r="AF443" s="12"/>
    </row>
    <row r="444" spans="1:32">
      <c r="A444" s="8"/>
      <c r="B444" s="8"/>
      <c r="C444" s="8"/>
      <c r="D444" s="8"/>
      <c r="E444" s="8"/>
      <c r="F444" s="8"/>
      <c r="G444" s="8"/>
      <c r="H444" s="8"/>
      <c r="I444" s="8"/>
      <c r="J444" s="8"/>
      <c r="K444" s="8"/>
      <c r="L444" s="8"/>
      <c r="M444" s="8"/>
      <c r="N444" s="8"/>
      <c r="O444" s="8"/>
      <c r="P444" s="8"/>
      <c r="Q444" s="8"/>
      <c r="R444" s="8"/>
      <c r="S444" s="8"/>
      <c r="T444" s="8"/>
      <c r="U444" s="12"/>
      <c r="V444" s="12"/>
      <c r="W444" s="12"/>
      <c r="X444" s="12"/>
      <c r="Y444" s="12"/>
      <c r="Z444" s="12"/>
      <c r="AA444" s="12"/>
      <c r="AB444" s="12"/>
      <c r="AC444" s="12"/>
      <c r="AD444" s="12"/>
      <c r="AE444" s="12"/>
      <c r="AF444" s="12"/>
    </row>
    <row r="445" spans="1:32">
      <c r="A445" s="8"/>
      <c r="B445" s="8"/>
      <c r="C445" s="8"/>
      <c r="D445" s="8"/>
      <c r="E445" s="8"/>
      <c r="F445" s="8"/>
      <c r="G445" s="8"/>
      <c r="H445" s="8"/>
      <c r="I445" s="8"/>
      <c r="J445" s="8"/>
      <c r="K445" s="8"/>
      <c r="L445" s="8"/>
      <c r="M445" s="8"/>
      <c r="N445" s="8"/>
      <c r="O445" s="8"/>
      <c r="P445" s="8"/>
      <c r="Q445" s="8"/>
      <c r="R445" s="8"/>
      <c r="S445" s="8"/>
      <c r="T445" s="8"/>
      <c r="U445" s="12"/>
      <c r="V445" s="12"/>
      <c r="W445" s="12"/>
      <c r="X445" s="12"/>
      <c r="Y445" s="12"/>
      <c r="Z445" s="12"/>
      <c r="AA445" s="12"/>
      <c r="AB445" s="12"/>
      <c r="AC445" s="12"/>
      <c r="AD445" s="12"/>
      <c r="AE445" s="12"/>
      <c r="AF445" s="12"/>
    </row>
    <row r="446" spans="1:32">
      <c r="A446" s="8"/>
      <c r="B446" s="8"/>
      <c r="C446" s="8"/>
      <c r="D446" s="8"/>
      <c r="E446" s="8"/>
      <c r="F446" s="8"/>
      <c r="G446" s="8"/>
      <c r="H446" s="8"/>
      <c r="I446" s="8"/>
      <c r="J446" s="8"/>
      <c r="K446" s="8"/>
      <c r="L446" s="8"/>
      <c r="M446" s="8"/>
      <c r="N446" s="8"/>
      <c r="O446" s="8"/>
      <c r="P446" s="8"/>
      <c r="Q446" s="8"/>
      <c r="R446" s="8"/>
      <c r="S446" s="8"/>
      <c r="T446" s="8"/>
      <c r="U446" s="12"/>
      <c r="V446" s="12"/>
      <c r="W446" s="12"/>
      <c r="X446" s="12"/>
      <c r="Y446" s="12"/>
      <c r="Z446" s="12"/>
      <c r="AA446" s="12"/>
      <c r="AB446" s="12"/>
      <c r="AC446" s="12"/>
      <c r="AD446" s="12"/>
      <c r="AE446" s="12"/>
      <c r="AF446" s="12"/>
    </row>
    <row r="447" spans="1:32">
      <c r="A447" s="8"/>
      <c r="B447" s="8"/>
      <c r="C447" s="8"/>
      <c r="D447" s="8"/>
      <c r="E447" s="8"/>
      <c r="F447" s="8"/>
      <c r="G447" s="8"/>
      <c r="H447" s="8"/>
      <c r="I447" s="8"/>
      <c r="J447" s="8"/>
      <c r="K447" s="8"/>
      <c r="L447" s="8"/>
      <c r="M447" s="8"/>
      <c r="N447" s="8"/>
      <c r="O447" s="8"/>
      <c r="P447" s="8"/>
      <c r="Q447" s="8"/>
      <c r="R447" s="8"/>
      <c r="S447" s="8"/>
      <c r="T447" s="8"/>
      <c r="U447" s="12"/>
      <c r="V447" s="12"/>
      <c r="W447" s="12"/>
      <c r="X447" s="12"/>
      <c r="Y447" s="12"/>
      <c r="Z447" s="12"/>
      <c r="AA447" s="12"/>
      <c r="AB447" s="12"/>
      <c r="AC447" s="12"/>
      <c r="AD447" s="12"/>
      <c r="AE447" s="12"/>
      <c r="AF447" s="12"/>
    </row>
    <row r="448" spans="1:32">
      <c r="A448" s="8"/>
      <c r="B448" s="8"/>
      <c r="C448" s="8"/>
      <c r="D448" s="8"/>
      <c r="E448" s="8"/>
      <c r="F448" s="8"/>
      <c r="G448" s="8"/>
      <c r="H448" s="8"/>
      <c r="I448" s="8"/>
      <c r="J448" s="8"/>
      <c r="K448" s="8"/>
      <c r="L448" s="8"/>
      <c r="M448" s="8"/>
      <c r="N448" s="8"/>
      <c r="O448" s="8"/>
      <c r="P448" s="8"/>
      <c r="Q448" s="8"/>
      <c r="R448" s="8"/>
      <c r="S448" s="8"/>
      <c r="T448" s="8"/>
      <c r="U448" s="12"/>
      <c r="V448" s="12"/>
      <c r="W448" s="12"/>
      <c r="X448" s="12"/>
      <c r="Y448" s="12"/>
      <c r="Z448" s="12"/>
      <c r="AA448" s="12"/>
      <c r="AB448" s="12"/>
      <c r="AC448" s="12"/>
      <c r="AD448" s="12"/>
      <c r="AE448" s="12"/>
      <c r="AF448" s="12"/>
    </row>
    <row r="449" spans="1:32">
      <c r="A449" s="8"/>
      <c r="B449" s="8"/>
      <c r="C449" s="8"/>
      <c r="D449" s="8"/>
      <c r="E449" s="8"/>
      <c r="F449" s="8"/>
      <c r="G449" s="8"/>
      <c r="H449" s="8"/>
      <c r="I449" s="8"/>
      <c r="J449" s="8"/>
      <c r="K449" s="8"/>
      <c r="L449" s="8"/>
      <c r="M449" s="8"/>
      <c r="N449" s="8"/>
      <c r="O449" s="8"/>
      <c r="P449" s="8"/>
      <c r="Q449" s="8"/>
      <c r="R449" s="8"/>
      <c r="S449" s="8"/>
      <c r="T449" s="8"/>
      <c r="U449" s="12"/>
      <c r="V449" s="12"/>
      <c r="W449" s="12"/>
      <c r="X449" s="12"/>
      <c r="Y449" s="12"/>
      <c r="Z449" s="12"/>
      <c r="AA449" s="12"/>
      <c r="AB449" s="12"/>
      <c r="AC449" s="12"/>
      <c r="AD449" s="12"/>
      <c r="AE449" s="12"/>
      <c r="AF449" s="12"/>
    </row>
    <row r="450" spans="1:32">
      <c r="A450" s="8"/>
      <c r="B450" s="8"/>
      <c r="C450" s="8"/>
      <c r="D450" s="8"/>
      <c r="E450" s="8"/>
      <c r="F450" s="8"/>
      <c r="G450" s="8"/>
      <c r="H450" s="8"/>
      <c r="I450" s="8"/>
      <c r="J450" s="8"/>
      <c r="K450" s="8"/>
      <c r="L450" s="8"/>
      <c r="M450" s="8"/>
      <c r="N450" s="8"/>
      <c r="O450" s="8"/>
      <c r="P450" s="8"/>
      <c r="Q450" s="8"/>
      <c r="R450" s="8"/>
      <c r="S450" s="8"/>
      <c r="T450" s="8"/>
      <c r="U450" s="12"/>
      <c r="V450" s="12"/>
      <c r="W450" s="12"/>
      <c r="X450" s="12"/>
      <c r="Y450" s="12"/>
      <c r="Z450" s="12"/>
      <c r="AA450" s="12"/>
      <c r="AB450" s="12"/>
      <c r="AC450" s="12"/>
      <c r="AD450" s="12"/>
      <c r="AE450" s="12"/>
      <c r="AF450" s="12"/>
    </row>
    <row r="451" spans="1:32">
      <c r="A451" s="8"/>
      <c r="B451" s="8"/>
      <c r="C451" s="8"/>
      <c r="D451" s="8"/>
      <c r="E451" s="8"/>
      <c r="F451" s="8"/>
      <c r="G451" s="8"/>
      <c r="H451" s="8"/>
      <c r="I451" s="8"/>
      <c r="J451" s="8"/>
      <c r="K451" s="8"/>
      <c r="L451" s="8"/>
      <c r="M451" s="8"/>
      <c r="N451" s="8"/>
      <c r="O451" s="8"/>
      <c r="P451" s="8"/>
      <c r="Q451" s="8"/>
      <c r="R451" s="8"/>
      <c r="S451" s="8"/>
      <c r="T451" s="8"/>
      <c r="U451" s="12"/>
      <c r="V451" s="12"/>
      <c r="W451" s="12"/>
      <c r="X451" s="12"/>
      <c r="Y451" s="12"/>
      <c r="Z451" s="12"/>
      <c r="AA451" s="12"/>
      <c r="AB451" s="12"/>
      <c r="AC451" s="12"/>
      <c r="AD451" s="12"/>
      <c r="AE451" s="12"/>
      <c r="AF451" s="12"/>
    </row>
    <row r="452" spans="1:32">
      <c r="A452" s="8"/>
      <c r="B452" s="8"/>
      <c r="C452" s="8"/>
      <c r="D452" s="8"/>
      <c r="E452" s="8"/>
      <c r="F452" s="8"/>
      <c r="G452" s="8"/>
      <c r="H452" s="8"/>
      <c r="I452" s="8"/>
      <c r="J452" s="8"/>
      <c r="K452" s="8"/>
      <c r="L452" s="8"/>
      <c r="M452" s="8"/>
      <c r="N452" s="8"/>
      <c r="O452" s="8"/>
      <c r="P452" s="8"/>
      <c r="Q452" s="8"/>
      <c r="R452" s="8"/>
      <c r="S452" s="8"/>
      <c r="T452" s="8"/>
      <c r="U452" s="12"/>
      <c r="V452" s="12"/>
      <c r="W452" s="12"/>
      <c r="X452" s="12"/>
      <c r="Y452" s="12"/>
      <c r="Z452" s="12"/>
      <c r="AA452" s="12"/>
      <c r="AB452" s="12"/>
      <c r="AC452" s="12"/>
      <c r="AD452" s="12"/>
      <c r="AE452" s="12"/>
      <c r="AF452" s="12"/>
    </row>
    <row r="453" spans="1:32">
      <c r="A453" s="8"/>
      <c r="B453" s="8"/>
      <c r="C453" s="8"/>
      <c r="D453" s="8"/>
      <c r="E453" s="8"/>
      <c r="F453" s="8"/>
      <c r="G453" s="8"/>
      <c r="H453" s="8"/>
      <c r="I453" s="8"/>
      <c r="J453" s="8"/>
      <c r="K453" s="8"/>
      <c r="L453" s="8"/>
      <c r="M453" s="8"/>
      <c r="N453" s="8"/>
      <c r="O453" s="8"/>
      <c r="P453" s="8"/>
      <c r="Q453" s="8"/>
      <c r="R453" s="8"/>
      <c r="S453" s="8"/>
      <c r="T453" s="8"/>
      <c r="U453" s="12"/>
      <c r="V453" s="12"/>
      <c r="W453" s="12"/>
      <c r="X453" s="12"/>
      <c r="Y453" s="12"/>
      <c r="Z453" s="12"/>
      <c r="AA453" s="12"/>
      <c r="AB453" s="12"/>
      <c r="AC453" s="12"/>
      <c r="AD453" s="12"/>
      <c r="AE453" s="12"/>
      <c r="AF453" s="12"/>
    </row>
    <row r="454" spans="1:32">
      <c r="A454" s="8"/>
      <c r="B454" s="8"/>
      <c r="C454" s="8"/>
      <c r="D454" s="8"/>
      <c r="E454" s="8"/>
      <c r="F454" s="8"/>
      <c r="G454" s="8"/>
      <c r="H454" s="8"/>
      <c r="I454" s="8"/>
      <c r="J454" s="8"/>
      <c r="K454" s="8"/>
      <c r="L454" s="8"/>
      <c r="M454" s="8"/>
      <c r="N454" s="8"/>
      <c r="O454" s="8"/>
      <c r="P454" s="8"/>
      <c r="Q454" s="8"/>
      <c r="R454" s="8"/>
      <c r="S454" s="8"/>
      <c r="T454" s="8"/>
      <c r="U454" s="12"/>
      <c r="V454" s="12"/>
      <c r="W454" s="12"/>
      <c r="X454" s="12"/>
      <c r="Y454" s="12"/>
      <c r="Z454" s="12"/>
      <c r="AA454" s="12"/>
      <c r="AB454" s="12"/>
      <c r="AC454" s="12"/>
      <c r="AD454" s="12"/>
      <c r="AE454" s="12"/>
      <c r="AF454" s="12"/>
    </row>
    <row r="455" spans="1:32">
      <c r="A455" s="8"/>
      <c r="B455" s="8"/>
      <c r="C455" s="8"/>
      <c r="D455" s="8"/>
      <c r="E455" s="8"/>
      <c r="F455" s="8"/>
      <c r="G455" s="8"/>
      <c r="H455" s="8"/>
      <c r="I455" s="8"/>
      <c r="J455" s="8"/>
      <c r="K455" s="8"/>
      <c r="L455" s="8"/>
      <c r="M455" s="8"/>
      <c r="N455" s="8"/>
      <c r="O455" s="8"/>
      <c r="P455" s="8"/>
      <c r="Q455" s="8"/>
      <c r="R455" s="8"/>
      <c r="S455" s="8"/>
      <c r="T455" s="8"/>
      <c r="U455" s="12"/>
      <c r="V455" s="12"/>
      <c r="W455" s="12"/>
      <c r="X455" s="12"/>
      <c r="Y455" s="12"/>
      <c r="Z455" s="12"/>
      <c r="AA455" s="12"/>
      <c r="AB455" s="12"/>
      <c r="AC455" s="12"/>
      <c r="AD455" s="12"/>
      <c r="AE455" s="12"/>
      <c r="AF455" s="12"/>
    </row>
    <row r="456" spans="1:32">
      <c r="A456" s="8"/>
      <c r="B456" s="8"/>
      <c r="C456" s="8"/>
      <c r="D456" s="8"/>
      <c r="E456" s="8"/>
      <c r="F456" s="8"/>
      <c r="G456" s="8"/>
      <c r="H456" s="8"/>
      <c r="I456" s="8"/>
      <c r="J456" s="8"/>
      <c r="K456" s="8"/>
      <c r="L456" s="8"/>
      <c r="M456" s="8"/>
      <c r="N456" s="8"/>
      <c r="O456" s="8"/>
      <c r="P456" s="8"/>
      <c r="Q456" s="8"/>
      <c r="R456" s="8"/>
      <c r="S456" s="8"/>
      <c r="T456" s="8"/>
      <c r="U456" s="12"/>
      <c r="V456" s="12"/>
      <c r="W456" s="12"/>
      <c r="X456" s="12"/>
      <c r="Y456" s="12"/>
      <c r="Z456" s="12"/>
      <c r="AA456" s="12"/>
      <c r="AB456" s="12"/>
      <c r="AC456" s="12"/>
      <c r="AD456" s="12"/>
      <c r="AE456" s="12"/>
      <c r="AF456" s="12"/>
    </row>
    <row r="457" spans="1:32">
      <c r="A457" s="8"/>
      <c r="B457" s="8"/>
      <c r="C457" s="8"/>
      <c r="D457" s="8"/>
      <c r="E457" s="8"/>
      <c r="F457" s="8"/>
      <c r="G457" s="8"/>
      <c r="H457" s="8"/>
      <c r="I457" s="8"/>
      <c r="J457" s="8"/>
      <c r="K457" s="8"/>
      <c r="L457" s="8"/>
      <c r="M457" s="8"/>
      <c r="N457" s="8"/>
      <c r="O457" s="8"/>
      <c r="P457" s="8"/>
      <c r="Q457" s="8"/>
      <c r="R457" s="8"/>
      <c r="S457" s="8"/>
      <c r="T457" s="8"/>
      <c r="U457" s="12"/>
      <c r="V457" s="12"/>
      <c r="W457" s="12"/>
      <c r="X457" s="12"/>
      <c r="Y457" s="12"/>
      <c r="Z457" s="12"/>
      <c r="AA457" s="12"/>
      <c r="AB457" s="12"/>
      <c r="AC457" s="12"/>
      <c r="AD457" s="12"/>
      <c r="AE457" s="12"/>
      <c r="AF457" s="12"/>
    </row>
    <row r="458" spans="1:32">
      <c r="A458" s="8"/>
      <c r="B458" s="8"/>
      <c r="C458" s="8"/>
      <c r="D458" s="8"/>
      <c r="E458" s="8"/>
      <c r="F458" s="8"/>
      <c r="G458" s="8"/>
      <c r="H458" s="8"/>
      <c r="I458" s="8"/>
      <c r="J458" s="8"/>
      <c r="K458" s="8"/>
      <c r="L458" s="8"/>
      <c r="M458" s="8"/>
      <c r="N458" s="8"/>
      <c r="O458" s="8"/>
      <c r="P458" s="8"/>
      <c r="Q458" s="8"/>
      <c r="R458" s="8"/>
      <c r="S458" s="8"/>
      <c r="T458" s="8"/>
      <c r="U458" s="12"/>
      <c r="V458" s="12"/>
      <c r="W458" s="12"/>
      <c r="X458" s="12"/>
      <c r="Y458" s="12"/>
      <c r="Z458" s="12"/>
      <c r="AA458" s="12"/>
      <c r="AB458" s="12"/>
      <c r="AC458" s="12"/>
      <c r="AD458" s="12"/>
      <c r="AE458" s="12"/>
      <c r="AF458" s="12"/>
    </row>
    <row r="459" spans="1:32">
      <c r="A459" s="8"/>
      <c r="B459" s="8"/>
      <c r="C459" s="8"/>
      <c r="D459" s="8"/>
      <c r="E459" s="8"/>
      <c r="F459" s="8"/>
      <c r="G459" s="8"/>
      <c r="H459" s="8"/>
      <c r="I459" s="8"/>
      <c r="J459" s="8"/>
      <c r="K459" s="8"/>
      <c r="L459" s="8"/>
      <c r="M459" s="8"/>
      <c r="N459" s="8"/>
      <c r="O459" s="8"/>
      <c r="P459" s="8"/>
      <c r="Q459" s="8"/>
      <c r="R459" s="8"/>
      <c r="S459" s="8"/>
      <c r="T459" s="8"/>
      <c r="U459" s="12"/>
      <c r="V459" s="12"/>
      <c r="W459" s="12"/>
      <c r="X459" s="12"/>
      <c r="Y459" s="12"/>
      <c r="Z459" s="12"/>
      <c r="AA459" s="12"/>
      <c r="AB459" s="12"/>
      <c r="AC459" s="12"/>
      <c r="AD459" s="12"/>
      <c r="AE459" s="12"/>
      <c r="AF459" s="12"/>
    </row>
    <row r="460" spans="1:32">
      <c r="A460" s="8"/>
      <c r="B460" s="8"/>
      <c r="C460" s="8"/>
      <c r="D460" s="8"/>
      <c r="E460" s="8"/>
      <c r="F460" s="8"/>
      <c r="G460" s="8"/>
      <c r="H460" s="8"/>
      <c r="I460" s="8"/>
      <c r="J460" s="8"/>
      <c r="K460" s="8"/>
      <c r="L460" s="8"/>
      <c r="M460" s="8"/>
      <c r="N460" s="8"/>
      <c r="O460" s="8"/>
      <c r="P460" s="8"/>
      <c r="Q460" s="8"/>
      <c r="R460" s="8"/>
      <c r="S460" s="8"/>
      <c r="T460" s="8"/>
      <c r="U460" s="12"/>
      <c r="V460" s="12"/>
      <c r="W460" s="12"/>
      <c r="X460" s="12"/>
      <c r="Y460" s="12"/>
      <c r="Z460" s="12"/>
      <c r="AA460" s="12"/>
      <c r="AB460" s="12"/>
      <c r="AC460" s="12"/>
      <c r="AD460" s="12"/>
      <c r="AE460" s="12"/>
      <c r="AF460" s="12"/>
    </row>
    <row r="461" spans="1:32">
      <c r="A461" s="8"/>
      <c r="B461" s="8"/>
      <c r="C461" s="8"/>
      <c r="D461" s="8"/>
      <c r="E461" s="8"/>
      <c r="F461" s="8"/>
      <c r="G461" s="8"/>
      <c r="H461" s="8"/>
      <c r="I461" s="8"/>
      <c r="J461" s="8"/>
      <c r="K461" s="8"/>
      <c r="L461" s="8"/>
      <c r="M461" s="8"/>
      <c r="N461" s="8"/>
      <c r="O461" s="8"/>
      <c r="P461" s="8"/>
      <c r="Q461" s="8"/>
      <c r="R461" s="8"/>
      <c r="S461" s="8"/>
      <c r="T461" s="8"/>
      <c r="U461" s="12"/>
      <c r="V461" s="12"/>
      <c r="W461" s="12"/>
      <c r="X461" s="12"/>
      <c r="Y461" s="12"/>
      <c r="Z461" s="12"/>
      <c r="AA461" s="12"/>
      <c r="AB461" s="12"/>
      <c r="AC461" s="12"/>
      <c r="AD461" s="12"/>
      <c r="AE461" s="12"/>
      <c r="AF461" s="12"/>
    </row>
    <row r="462" spans="1:32">
      <c r="A462" s="8"/>
      <c r="B462" s="8"/>
      <c r="C462" s="8"/>
      <c r="D462" s="8"/>
      <c r="E462" s="8"/>
      <c r="F462" s="8"/>
      <c r="G462" s="8"/>
      <c r="H462" s="8"/>
      <c r="I462" s="8"/>
      <c r="J462" s="8"/>
      <c r="K462" s="8"/>
      <c r="L462" s="8"/>
      <c r="M462" s="8"/>
      <c r="N462" s="8"/>
      <c r="O462" s="8"/>
      <c r="P462" s="8"/>
      <c r="Q462" s="8"/>
      <c r="R462" s="8"/>
      <c r="S462" s="8"/>
      <c r="T462" s="8"/>
      <c r="U462" s="12"/>
      <c r="V462" s="12"/>
      <c r="W462" s="12"/>
      <c r="X462" s="12"/>
      <c r="Y462" s="12"/>
      <c r="Z462" s="12"/>
      <c r="AA462" s="12"/>
      <c r="AB462" s="12"/>
      <c r="AC462" s="12"/>
      <c r="AD462" s="12"/>
      <c r="AE462" s="12"/>
      <c r="AF462" s="12"/>
    </row>
    <row r="463" spans="1:32">
      <c r="A463" s="8"/>
      <c r="B463" s="8"/>
      <c r="C463" s="8"/>
      <c r="D463" s="8"/>
      <c r="E463" s="8"/>
      <c r="F463" s="8"/>
      <c r="G463" s="8"/>
      <c r="H463" s="8"/>
      <c r="I463" s="8"/>
      <c r="J463" s="8"/>
      <c r="K463" s="8"/>
      <c r="L463" s="8"/>
      <c r="M463" s="8"/>
      <c r="N463" s="8"/>
      <c r="O463" s="8"/>
      <c r="P463" s="8"/>
      <c r="Q463" s="8"/>
      <c r="R463" s="8"/>
      <c r="S463" s="8"/>
      <c r="T463" s="8"/>
      <c r="U463" s="12"/>
      <c r="V463" s="12"/>
      <c r="W463" s="12"/>
      <c r="X463" s="12"/>
      <c r="Y463" s="12"/>
      <c r="Z463" s="12"/>
      <c r="AA463" s="12"/>
      <c r="AB463" s="12"/>
      <c r="AC463" s="12"/>
      <c r="AD463" s="12"/>
      <c r="AE463" s="12"/>
      <c r="AF463" s="12"/>
    </row>
    <row r="464" spans="1:32">
      <c r="A464" s="8"/>
      <c r="B464" s="8"/>
      <c r="C464" s="8"/>
      <c r="D464" s="8"/>
      <c r="E464" s="8"/>
      <c r="F464" s="8"/>
      <c r="G464" s="8"/>
      <c r="H464" s="8"/>
      <c r="I464" s="8"/>
      <c r="J464" s="8"/>
      <c r="K464" s="8"/>
      <c r="L464" s="8"/>
      <c r="M464" s="8"/>
      <c r="N464" s="8"/>
      <c r="O464" s="8"/>
      <c r="P464" s="8"/>
      <c r="Q464" s="8"/>
      <c r="R464" s="8"/>
      <c r="S464" s="8"/>
      <c r="T464" s="8"/>
      <c r="U464" s="12"/>
      <c r="V464" s="12"/>
      <c r="W464" s="12"/>
      <c r="X464" s="12"/>
      <c r="Y464" s="12"/>
      <c r="Z464" s="12"/>
      <c r="AA464" s="12"/>
      <c r="AB464" s="12"/>
      <c r="AC464" s="12"/>
      <c r="AD464" s="12"/>
      <c r="AE464" s="12"/>
      <c r="AF464" s="12"/>
    </row>
    <row r="465" spans="1:32">
      <c r="A465" s="8"/>
      <c r="B465" s="8"/>
      <c r="C465" s="8"/>
      <c r="D465" s="8"/>
      <c r="E465" s="8"/>
      <c r="F465" s="8"/>
      <c r="G465" s="8"/>
      <c r="H465" s="8"/>
      <c r="I465" s="8"/>
      <c r="J465" s="8"/>
      <c r="K465" s="8"/>
      <c r="L465" s="8"/>
      <c r="M465" s="8"/>
      <c r="N465" s="8"/>
      <c r="O465" s="8"/>
      <c r="P465" s="8"/>
      <c r="Q465" s="8"/>
      <c r="R465" s="8"/>
      <c r="S465" s="8"/>
      <c r="T465" s="8"/>
      <c r="U465" s="12"/>
      <c r="V465" s="12"/>
      <c r="W465" s="12"/>
      <c r="X465" s="12"/>
      <c r="Y465" s="12"/>
      <c r="Z465" s="12"/>
      <c r="AA465" s="12"/>
      <c r="AB465" s="12"/>
      <c r="AC465" s="12"/>
      <c r="AD465" s="12"/>
      <c r="AE465" s="12"/>
      <c r="AF465" s="12"/>
    </row>
    <row r="466" spans="1:32">
      <c r="A466" s="8"/>
      <c r="B466" s="8"/>
      <c r="C466" s="8"/>
      <c r="D466" s="8"/>
      <c r="E466" s="8"/>
      <c r="F466" s="8"/>
      <c r="G466" s="8"/>
      <c r="H466" s="8"/>
      <c r="I466" s="8"/>
      <c r="J466" s="8"/>
      <c r="K466" s="8"/>
      <c r="L466" s="8"/>
      <c r="M466" s="8"/>
      <c r="N466" s="8"/>
      <c r="O466" s="8"/>
      <c r="P466" s="8"/>
      <c r="Q466" s="8"/>
      <c r="R466" s="8"/>
      <c r="S466" s="8"/>
      <c r="T466" s="8"/>
      <c r="U466" s="12"/>
      <c r="V466" s="12"/>
      <c r="W466" s="12"/>
      <c r="X466" s="12"/>
      <c r="Y466" s="12"/>
      <c r="Z466" s="12"/>
      <c r="AA466" s="12"/>
      <c r="AB466" s="12"/>
      <c r="AC466" s="12"/>
      <c r="AD466" s="12"/>
      <c r="AE466" s="12"/>
      <c r="AF466" s="12"/>
    </row>
    <row r="467" spans="1:32">
      <c r="A467" s="8"/>
      <c r="B467" s="8"/>
      <c r="C467" s="8"/>
      <c r="D467" s="8"/>
      <c r="E467" s="8"/>
      <c r="F467" s="8"/>
      <c r="G467" s="8"/>
      <c r="H467" s="8"/>
      <c r="I467" s="8"/>
      <c r="J467" s="8"/>
      <c r="K467" s="8"/>
      <c r="L467" s="8"/>
      <c r="M467" s="8"/>
      <c r="N467" s="8"/>
      <c r="O467" s="8"/>
      <c r="P467" s="8"/>
      <c r="Q467" s="8"/>
      <c r="R467" s="8"/>
      <c r="S467" s="8"/>
      <c r="T467" s="8"/>
      <c r="U467" s="12"/>
      <c r="V467" s="12"/>
      <c r="W467" s="12"/>
      <c r="X467" s="12"/>
      <c r="Y467" s="12"/>
      <c r="Z467" s="12"/>
      <c r="AA467" s="12"/>
      <c r="AB467" s="12"/>
      <c r="AC467" s="12"/>
      <c r="AD467" s="12"/>
      <c r="AE467" s="12"/>
      <c r="AF467" s="12"/>
    </row>
    <row r="468" spans="1:32">
      <c r="A468" s="8"/>
      <c r="B468" s="8"/>
      <c r="C468" s="8"/>
      <c r="D468" s="8"/>
      <c r="E468" s="8"/>
      <c r="F468" s="8"/>
      <c r="G468" s="8"/>
      <c r="H468" s="8"/>
      <c r="I468" s="8"/>
      <c r="J468" s="8"/>
      <c r="K468" s="8"/>
      <c r="L468" s="8"/>
      <c r="M468" s="8"/>
      <c r="N468" s="8"/>
      <c r="O468" s="8"/>
      <c r="P468" s="8"/>
      <c r="Q468" s="8"/>
      <c r="R468" s="8"/>
      <c r="S468" s="8"/>
      <c r="T468" s="8"/>
      <c r="U468" s="12"/>
      <c r="V468" s="12"/>
      <c r="W468" s="12"/>
      <c r="X468" s="12"/>
      <c r="Y468" s="12"/>
      <c r="Z468" s="12"/>
      <c r="AA468" s="12"/>
      <c r="AB468" s="12"/>
      <c r="AC468" s="12"/>
      <c r="AD468" s="12"/>
      <c r="AE468" s="12"/>
      <c r="AF468" s="12"/>
    </row>
    <row r="469" spans="1:32">
      <c r="A469" s="8"/>
      <c r="B469" s="8"/>
      <c r="C469" s="8"/>
      <c r="D469" s="8"/>
      <c r="E469" s="8"/>
      <c r="F469" s="8"/>
      <c r="G469" s="8"/>
      <c r="H469" s="8"/>
      <c r="I469" s="8"/>
      <c r="J469" s="8"/>
      <c r="K469" s="8"/>
      <c r="L469" s="8"/>
      <c r="M469" s="8"/>
      <c r="N469" s="8"/>
      <c r="O469" s="8"/>
      <c r="P469" s="8"/>
      <c r="Q469" s="8"/>
      <c r="R469" s="8"/>
      <c r="S469" s="8"/>
      <c r="T469" s="8"/>
      <c r="U469" s="12"/>
      <c r="V469" s="12"/>
      <c r="W469" s="12"/>
      <c r="X469" s="12"/>
      <c r="Y469" s="12"/>
      <c r="Z469" s="12"/>
      <c r="AA469" s="12"/>
      <c r="AB469" s="12"/>
      <c r="AC469" s="12"/>
      <c r="AD469" s="12"/>
      <c r="AE469" s="12"/>
      <c r="AF469" s="12"/>
    </row>
    <row r="470" spans="1:32">
      <c r="A470" s="8"/>
      <c r="B470" s="8"/>
      <c r="C470" s="8"/>
      <c r="D470" s="8"/>
      <c r="E470" s="8"/>
      <c r="F470" s="8"/>
      <c r="G470" s="8"/>
      <c r="H470" s="8"/>
      <c r="I470" s="8"/>
      <c r="J470" s="8"/>
      <c r="K470" s="8"/>
      <c r="L470" s="8"/>
      <c r="M470" s="8"/>
      <c r="N470" s="8"/>
      <c r="O470" s="8"/>
      <c r="P470" s="8"/>
      <c r="Q470" s="8"/>
      <c r="R470" s="8"/>
      <c r="S470" s="8"/>
      <c r="T470" s="8"/>
      <c r="U470" s="12"/>
      <c r="V470" s="12"/>
      <c r="W470" s="12"/>
      <c r="X470" s="12"/>
      <c r="Y470" s="12"/>
      <c r="Z470" s="12"/>
      <c r="AA470" s="12"/>
      <c r="AB470" s="12"/>
      <c r="AC470" s="12"/>
      <c r="AD470" s="12"/>
      <c r="AE470" s="12"/>
      <c r="AF470" s="12"/>
    </row>
    <row r="471" spans="1:32">
      <c r="A471" s="8"/>
      <c r="B471" s="8"/>
      <c r="C471" s="8"/>
      <c r="D471" s="8"/>
      <c r="E471" s="8"/>
      <c r="F471" s="8"/>
      <c r="G471" s="8"/>
      <c r="H471" s="8"/>
      <c r="I471" s="8"/>
      <c r="J471" s="8"/>
      <c r="K471" s="8"/>
      <c r="L471" s="8"/>
      <c r="M471" s="8"/>
      <c r="N471" s="8"/>
      <c r="O471" s="8"/>
      <c r="P471" s="8"/>
      <c r="Q471" s="8"/>
      <c r="R471" s="8"/>
      <c r="S471" s="8"/>
      <c r="T471" s="8"/>
      <c r="U471" s="12"/>
      <c r="V471" s="12"/>
      <c r="W471" s="12"/>
      <c r="X471" s="12"/>
      <c r="Y471" s="12"/>
      <c r="Z471" s="12"/>
      <c r="AA471" s="12"/>
      <c r="AB471" s="12"/>
      <c r="AC471" s="12"/>
      <c r="AD471" s="12"/>
      <c r="AE471" s="12"/>
      <c r="AF471" s="12"/>
    </row>
    <row r="472" spans="1:32">
      <c r="A472" s="8"/>
      <c r="B472" s="8"/>
      <c r="C472" s="8"/>
      <c r="D472" s="8"/>
      <c r="E472" s="8"/>
      <c r="F472" s="8"/>
      <c r="G472" s="8"/>
      <c r="H472" s="8"/>
      <c r="I472" s="8"/>
      <c r="J472" s="8"/>
      <c r="K472" s="8"/>
      <c r="L472" s="8"/>
      <c r="M472" s="8"/>
      <c r="N472" s="8"/>
      <c r="O472" s="8"/>
      <c r="P472" s="8"/>
      <c r="Q472" s="8"/>
      <c r="R472" s="8"/>
      <c r="S472" s="8"/>
      <c r="T472" s="8"/>
      <c r="U472" s="12"/>
      <c r="V472" s="12"/>
      <c r="W472" s="12"/>
      <c r="X472" s="12"/>
      <c r="Y472" s="12"/>
      <c r="Z472" s="12"/>
      <c r="AA472" s="12"/>
      <c r="AB472" s="12"/>
      <c r="AC472" s="12"/>
      <c r="AD472" s="12"/>
      <c r="AE472" s="12"/>
      <c r="AF472" s="12"/>
    </row>
    <row r="473" spans="1:32">
      <c r="A473" s="8"/>
      <c r="B473" s="8"/>
      <c r="C473" s="8"/>
      <c r="D473" s="8"/>
      <c r="E473" s="8"/>
      <c r="F473" s="8"/>
      <c r="G473" s="8"/>
      <c r="H473" s="8"/>
      <c r="I473" s="8"/>
      <c r="J473" s="8"/>
      <c r="K473" s="8"/>
      <c r="L473" s="8"/>
      <c r="M473" s="8"/>
      <c r="N473" s="8"/>
      <c r="O473" s="8"/>
      <c r="P473" s="8"/>
      <c r="Q473" s="8"/>
      <c r="R473" s="8"/>
      <c r="S473" s="8"/>
      <c r="T473" s="8"/>
      <c r="U473" s="12"/>
      <c r="V473" s="12"/>
      <c r="W473" s="12"/>
      <c r="X473" s="12"/>
      <c r="Y473" s="12"/>
      <c r="Z473" s="12"/>
      <c r="AA473" s="12"/>
      <c r="AB473" s="12"/>
      <c r="AC473" s="12"/>
      <c r="AD473" s="12"/>
      <c r="AE473" s="12"/>
      <c r="AF473" s="12"/>
    </row>
    <row r="474" spans="1:32">
      <c r="A474" s="8"/>
      <c r="B474" s="8"/>
      <c r="C474" s="8"/>
      <c r="D474" s="8"/>
      <c r="E474" s="8"/>
      <c r="F474" s="8"/>
      <c r="G474" s="8"/>
      <c r="H474" s="8"/>
      <c r="I474" s="8"/>
      <c r="J474" s="8"/>
      <c r="K474" s="8"/>
      <c r="L474" s="8"/>
      <c r="M474" s="8"/>
      <c r="N474" s="8"/>
      <c r="O474" s="8"/>
      <c r="P474" s="8"/>
      <c r="Q474" s="8"/>
      <c r="R474" s="8"/>
      <c r="S474" s="8"/>
      <c r="T474" s="8"/>
      <c r="U474" s="12"/>
      <c r="V474" s="12"/>
      <c r="W474" s="12"/>
      <c r="X474" s="12"/>
      <c r="Y474" s="12"/>
      <c r="Z474" s="12"/>
      <c r="AA474" s="12"/>
      <c r="AB474" s="12"/>
      <c r="AC474" s="12"/>
      <c r="AD474" s="12"/>
      <c r="AE474" s="12"/>
      <c r="AF474" s="12"/>
    </row>
    <row r="475" spans="1:32">
      <c r="A475" s="8"/>
      <c r="B475" s="8"/>
      <c r="C475" s="8"/>
      <c r="D475" s="8"/>
      <c r="E475" s="8"/>
      <c r="F475" s="8"/>
      <c r="G475" s="8"/>
      <c r="H475" s="8"/>
      <c r="I475" s="8"/>
      <c r="J475" s="8"/>
      <c r="K475" s="8"/>
      <c r="L475" s="8"/>
      <c r="M475" s="8"/>
      <c r="N475" s="8"/>
      <c r="O475" s="8"/>
      <c r="P475" s="8"/>
      <c r="Q475" s="8"/>
      <c r="R475" s="8"/>
      <c r="S475" s="8"/>
      <c r="T475" s="8"/>
      <c r="U475" s="12"/>
      <c r="V475" s="12"/>
      <c r="W475" s="12"/>
      <c r="X475" s="12"/>
      <c r="Y475" s="12"/>
      <c r="Z475" s="12"/>
      <c r="AA475" s="12"/>
      <c r="AB475" s="12"/>
      <c r="AC475" s="12"/>
      <c r="AD475" s="12"/>
      <c r="AE475" s="12"/>
      <c r="AF475" s="12"/>
    </row>
    <row r="476" spans="1:32">
      <c r="A476" s="8"/>
      <c r="B476" s="8"/>
      <c r="C476" s="8"/>
      <c r="D476" s="8"/>
      <c r="E476" s="8"/>
      <c r="F476" s="8"/>
      <c r="G476" s="8"/>
      <c r="H476" s="8"/>
      <c r="I476" s="8"/>
      <c r="J476" s="8"/>
      <c r="K476" s="8"/>
      <c r="L476" s="8"/>
      <c r="M476" s="8"/>
      <c r="N476" s="8"/>
      <c r="O476" s="8"/>
      <c r="P476" s="8"/>
      <c r="Q476" s="8"/>
      <c r="R476" s="8"/>
      <c r="S476" s="8"/>
      <c r="T476" s="8"/>
      <c r="U476" s="12"/>
      <c r="V476" s="12"/>
      <c r="W476" s="12"/>
      <c r="X476" s="12"/>
      <c r="Y476" s="12"/>
      <c r="Z476" s="12"/>
      <c r="AA476" s="12"/>
      <c r="AB476" s="12"/>
      <c r="AC476" s="12"/>
      <c r="AD476" s="12"/>
      <c r="AE476" s="12"/>
      <c r="AF476" s="12"/>
    </row>
    <row r="477" spans="1:32">
      <c r="A477" s="8"/>
      <c r="B477" s="8"/>
      <c r="C477" s="8"/>
      <c r="D477" s="8"/>
      <c r="E477" s="8"/>
      <c r="F477" s="8"/>
      <c r="G477" s="8"/>
      <c r="H477" s="8"/>
      <c r="I477" s="8"/>
      <c r="J477" s="8"/>
      <c r="K477" s="8"/>
      <c r="L477" s="8"/>
      <c r="M477" s="8"/>
      <c r="N477" s="8"/>
      <c r="O477" s="8"/>
      <c r="P477" s="8"/>
      <c r="Q477" s="8"/>
      <c r="R477" s="8"/>
      <c r="S477" s="8"/>
      <c r="T477" s="8"/>
      <c r="U477" s="12"/>
      <c r="V477" s="12"/>
      <c r="W477" s="12"/>
      <c r="X477" s="12"/>
      <c r="Y477" s="12"/>
      <c r="Z477" s="12"/>
      <c r="AA477" s="12"/>
      <c r="AB477" s="12"/>
      <c r="AC477" s="12"/>
      <c r="AD477" s="12"/>
      <c r="AE477" s="12"/>
      <c r="AF477" s="12"/>
    </row>
    <row r="478" spans="1:32">
      <c r="A478" s="8"/>
      <c r="B478" s="8"/>
      <c r="C478" s="8"/>
      <c r="D478" s="8"/>
      <c r="E478" s="8"/>
      <c r="F478" s="8"/>
      <c r="G478" s="8"/>
      <c r="H478" s="8"/>
      <c r="I478" s="8"/>
      <c r="J478" s="8"/>
      <c r="K478" s="8"/>
      <c r="L478" s="8"/>
      <c r="M478" s="8"/>
      <c r="N478" s="8"/>
      <c r="O478" s="8"/>
      <c r="P478" s="8"/>
      <c r="Q478" s="8"/>
      <c r="R478" s="8"/>
      <c r="S478" s="8"/>
      <c r="T478" s="8"/>
      <c r="U478" s="12"/>
      <c r="V478" s="12"/>
      <c r="W478" s="12"/>
      <c r="X478" s="12"/>
      <c r="Y478" s="12"/>
      <c r="Z478" s="12"/>
      <c r="AA478" s="12"/>
      <c r="AB478" s="12"/>
      <c r="AC478" s="12"/>
      <c r="AD478" s="12"/>
      <c r="AE478" s="12"/>
      <c r="AF478" s="12"/>
    </row>
    <row r="479" spans="1:32">
      <c r="A479" s="8"/>
      <c r="B479" s="8"/>
      <c r="C479" s="8"/>
      <c r="D479" s="8"/>
      <c r="E479" s="8"/>
      <c r="F479" s="8"/>
      <c r="G479" s="8"/>
      <c r="H479" s="8"/>
      <c r="I479" s="8"/>
      <c r="J479" s="8"/>
      <c r="K479" s="8"/>
      <c r="L479" s="8"/>
      <c r="M479" s="8"/>
      <c r="N479" s="8"/>
      <c r="O479" s="8"/>
      <c r="P479" s="8"/>
      <c r="Q479" s="8"/>
      <c r="R479" s="8"/>
      <c r="S479" s="8"/>
      <c r="T479" s="8"/>
      <c r="U479" s="12"/>
      <c r="V479" s="12"/>
      <c r="W479" s="12"/>
      <c r="X479" s="12"/>
      <c r="Y479" s="12"/>
      <c r="Z479" s="12"/>
      <c r="AA479" s="12"/>
      <c r="AB479" s="12"/>
      <c r="AC479" s="12"/>
      <c r="AD479" s="12"/>
      <c r="AE479" s="12"/>
      <c r="AF479" s="12"/>
    </row>
    <row r="480" spans="1:32">
      <c r="A480" s="8"/>
      <c r="B480" s="8"/>
      <c r="C480" s="8"/>
      <c r="D480" s="8"/>
      <c r="E480" s="8"/>
      <c r="F480" s="8"/>
      <c r="G480" s="8"/>
      <c r="H480" s="8"/>
      <c r="I480" s="8"/>
      <c r="J480" s="8"/>
      <c r="K480" s="8"/>
      <c r="L480" s="8"/>
      <c r="M480" s="8"/>
      <c r="N480" s="8"/>
      <c r="O480" s="8"/>
      <c r="P480" s="8"/>
      <c r="Q480" s="8"/>
      <c r="R480" s="8"/>
      <c r="S480" s="8"/>
      <c r="T480" s="8"/>
      <c r="U480" s="12"/>
      <c r="V480" s="12"/>
      <c r="W480" s="12"/>
      <c r="X480" s="12"/>
      <c r="Y480" s="12"/>
      <c r="Z480" s="12"/>
      <c r="AA480" s="12"/>
      <c r="AB480" s="12"/>
      <c r="AC480" s="12"/>
      <c r="AD480" s="12"/>
      <c r="AE480" s="12"/>
      <c r="AF480" s="12"/>
    </row>
    <row r="481" spans="1:32">
      <c r="A481" s="8"/>
      <c r="B481" s="8"/>
      <c r="C481" s="8"/>
      <c r="D481" s="8"/>
      <c r="E481" s="8"/>
      <c r="F481" s="8"/>
      <c r="G481" s="8"/>
      <c r="H481" s="8"/>
      <c r="I481" s="8"/>
      <c r="J481" s="8"/>
      <c r="K481" s="8"/>
      <c r="L481" s="8"/>
      <c r="M481" s="8"/>
      <c r="N481" s="8"/>
      <c r="O481" s="8"/>
      <c r="P481" s="8"/>
      <c r="Q481" s="8"/>
      <c r="R481" s="8"/>
      <c r="S481" s="8"/>
      <c r="T481" s="8"/>
      <c r="U481" s="12"/>
      <c r="V481" s="12"/>
      <c r="W481" s="12"/>
      <c r="X481" s="12"/>
      <c r="Y481" s="12"/>
      <c r="Z481" s="12"/>
      <c r="AA481" s="12"/>
      <c r="AB481" s="12"/>
      <c r="AC481" s="12"/>
      <c r="AD481" s="12"/>
      <c r="AE481" s="12"/>
      <c r="AF481" s="12"/>
    </row>
    <row r="482" spans="1:32">
      <c r="A482" s="8"/>
      <c r="B482" s="8"/>
      <c r="C482" s="8"/>
      <c r="D482" s="8"/>
      <c r="E482" s="8"/>
      <c r="F482" s="8"/>
      <c r="G482" s="8"/>
      <c r="H482" s="8"/>
      <c r="I482" s="8"/>
      <c r="J482" s="8"/>
      <c r="K482" s="8"/>
      <c r="L482" s="8"/>
      <c r="M482" s="8"/>
      <c r="N482" s="8"/>
      <c r="O482" s="8"/>
      <c r="P482" s="8"/>
      <c r="Q482" s="8"/>
      <c r="R482" s="8"/>
      <c r="S482" s="8"/>
      <c r="T482" s="8"/>
      <c r="U482" s="12"/>
      <c r="V482" s="12"/>
      <c r="W482" s="12"/>
      <c r="X482" s="12"/>
      <c r="Y482" s="12"/>
      <c r="Z482" s="12"/>
      <c r="AA482" s="12"/>
      <c r="AB482" s="12"/>
      <c r="AC482" s="12"/>
      <c r="AD482" s="12"/>
      <c r="AE482" s="12"/>
      <c r="AF482" s="12"/>
    </row>
    <row r="483" spans="1:32">
      <c r="A483" s="8"/>
      <c r="B483" s="8"/>
      <c r="C483" s="8"/>
      <c r="D483" s="8"/>
      <c r="E483" s="8"/>
      <c r="F483" s="8"/>
      <c r="G483" s="8"/>
      <c r="H483" s="8"/>
      <c r="I483" s="8"/>
      <c r="J483" s="8"/>
      <c r="K483" s="8"/>
      <c r="L483" s="8"/>
      <c r="M483" s="8"/>
      <c r="N483" s="8"/>
      <c r="O483" s="8"/>
      <c r="P483" s="8"/>
      <c r="Q483" s="8"/>
      <c r="R483" s="8"/>
      <c r="S483" s="8"/>
      <c r="T483" s="8"/>
      <c r="U483" s="12"/>
      <c r="V483" s="12"/>
      <c r="W483" s="12"/>
      <c r="X483" s="12"/>
      <c r="Y483" s="12"/>
      <c r="Z483" s="12"/>
      <c r="AA483" s="12"/>
      <c r="AB483" s="12"/>
      <c r="AC483" s="12"/>
      <c r="AD483" s="12"/>
      <c r="AE483" s="12"/>
      <c r="AF483" s="12"/>
    </row>
    <row r="484" spans="1:32">
      <c r="A484" s="8"/>
      <c r="B484" s="8"/>
      <c r="C484" s="8"/>
      <c r="D484" s="8"/>
      <c r="E484" s="8"/>
      <c r="F484" s="8"/>
      <c r="G484" s="8"/>
      <c r="H484" s="8"/>
      <c r="I484" s="8"/>
      <c r="J484" s="8"/>
      <c r="K484" s="8"/>
      <c r="L484" s="8"/>
      <c r="M484" s="8"/>
      <c r="N484" s="8"/>
      <c r="O484" s="8"/>
      <c r="P484" s="8"/>
      <c r="Q484" s="8"/>
      <c r="R484" s="8"/>
      <c r="S484" s="8"/>
      <c r="T484" s="8"/>
      <c r="U484" s="12"/>
      <c r="V484" s="12"/>
      <c r="W484" s="12"/>
      <c r="X484" s="12"/>
      <c r="Y484" s="12"/>
      <c r="Z484" s="12"/>
      <c r="AA484" s="12"/>
      <c r="AB484" s="12"/>
      <c r="AC484" s="12"/>
      <c r="AD484" s="12"/>
      <c r="AE484" s="12"/>
      <c r="AF484" s="12"/>
    </row>
    <row r="485" spans="1:32">
      <c r="A485" s="8"/>
      <c r="B485" s="8"/>
      <c r="C485" s="8"/>
      <c r="D485" s="8"/>
      <c r="E485" s="8"/>
      <c r="F485" s="8"/>
      <c r="G485" s="8"/>
      <c r="H485" s="8"/>
      <c r="I485" s="8"/>
      <c r="J485" s="8"/>
      <c r="K485" s="8"/>
      <c r="L485" s="8"/>
      <c r="M485" s="8"/>
      <c r="N485" s="8"/>
      <c r="O485" s="8"/>
      <c r="P485" s="8"/>
      <c r="Q485" s="8"/>
      <c r="R485" s="8"/>
      <c r="S485" s="8"/>
      <c r="T485" s="8"/>
      <c r="U485" s="12"/>
      <c r="V485" s="12"/>
      <c r="W485" s="12"/>
      <c r="X485" s="12"/>
      <c r="Y485" s="12"/>
      <c r="Z485" s="12"/>
      <c r="AA485" s="12"/>
      <c r="AB485" s="12"/>
      <c r="AC485" s="12"/>
      <c r="AD485" s="12"/>
      <c r="AE485" s="12"/>
      <c r="AF485" s="12"/>
    </row>
    <row r="486" spans="1:32">
      <c r="A486" s="8"/>
      <c r="B486" s="8"/>
      <c r="C486" s="8"/>
      <c r="D486" s="8"/>
      <c r="E486" s="8"/>
      <c r="F486" s="8"/>
      <c r="G486" s="8"/>
      <c r="H486" s="8"/>
      <c r="I486" s="8"/>
      <c r="J486" s="8"/>
      <c r="K486" s="8"/>
      <c r="L486" s="8"/>
      <c r="M486" s="8"/>
      <c r="N486" s="8"/>
      <c r="O486" s="8"/>
      <c r="P486" s="8"/>
      <c r="Q486" s="8"/>
      <c r="R486" s="8"/>
      <c r="S486" s="8"/>
      <c r="T486" s="8"/>
      <c r="U486" s="12"/>
      <c r="V486" s="12"/>
      <c r="W486" s="12"/>
      <c r="X486" s="12"/>
      <c r="Y486" s="12"/>
      <c r="Z486" s="12"/>
      <c r="AA486" s="12"/>
      <c r="AB486" s="12"/>
      <c r="AC486" s="12"/>
      <c r="AD486" s="12"/>
      <c r="AE486" s="12"/>
      <c r="AF486" s="12"/>
    </row>
    <row r="487" spans="1:32">
      <c r="A487" s="8"/>
      <c r="B487" s="8"/>
      <c r="C487" s="8"/>
      <c r="D487" s="8"/>
      <c r="E487" s="8"/>
      <c r="F487" s="8"/>
      <c r="G487" s="8"/>
      <c r="H487" s="8"/>
      <c r="I487" s="8"/>
      <c r="J487" s="8"/>
      <c r="K487" s="8"/>
      <c r="L487" s="8"/>
      <c r="M487" s="8"/>
      <c r="N487" s="8"/>
      <c r="O487" s="8"/>
      <c r="P487" s="8"/>
      <c r="Q487" s="8"/>
      <c r="R487" s="8"/>
      <c r="S487" s="8"/>
      <c r="T487" s="8"/>
      <c r="U487" s="12"/>
      <c r="V487" s="12"/>
      <c r="W487" s="12"/>
      <c r="X487" s="12"/>
      <c r="Y487" s="12"/>
      <c r="Z487" s="12"/>
      <c r="AA487" s="12"/>
      <c r="AB487" s="12"/>
      <c r="AC487" s="12"/>
      <c r="AD487" s="12"/>
      <c r="AE487" s="12"/>
      <c r="AF487" s="12"/>
    </row>
    <row r="488" spans="1:32">
      <c r="A488" s="8"/>
      <c r="B488" s="8"/>
      <c r="C488" s="8"/>
      <c r="D488" s="8"/>
      <c r="E488" s="8"/>
      <c r="F488" s="8"/>
      <c r="G488" s="8"/>
      <c r="H488" s="8"/>
      <c r="I488" s="8"/>
      <c r="J488" s="8"/>
      <c r="K488" s="8"/>
      <c r="L488" s="8"/>
      <c r="M488" s="8"/>
      <c r="N488" s="8"/>
      <c r="O488" s="8"/>
      <c r="P488" s="8"/>
      <c r="Q488" s="8"/>
      <c r="R488" s="8"/>
      <c r="S488" s="8"/>
      <c r="T488" s="8"/>
      <c r="U488" s="12"/>
      <c r="V488" s="12"/>
      <c r="W488" s="12"/>
      <c r="X488" s="12"/>
      <c r="Y488" s="12"/>
      <c r="Z488" s="12"/>
      <c r="AA488" s="12"/>
      <c r="AB488" s="12"/>
      <c r="AC488" s="12"/>
      <c r="AD488" s="12"/>
      <c r="AE488" s="12"/>
      <c r="AF488" s="12"/>
    </row>
    <row r="489" spans="1:32">
      <c r="A489" s="8"/>
      <c r="B489" s="8"/>
      <c r="C489" s="8"/>
      <c r="D489" s="8"/>
      <c r="E489" s="8"/>
      <c r="F489" s="8"/>
      <c r="G489" s="8"/>
      <c r="H489" s="8"/>
      <c r="I489" s="8"/>
      <c r="J489" s="8"/>
      <c r="K489" s="8"/>
      <c r="L489" s="8"/>
      <c r="M489" s="8"/>
      <c r="N489" s="8"/>
      <c r="O489" s="8"/>
      <c r="P489" s="8"/>
      <c r="Q489" s="8"/>
      <c r="R489" s="8"/>
      <c r="S489" s="8"/>
      <c r="T489" s="8"/>
      <c r="U489" s="12"/>
      <c r="V489" s="12"/>
      <c r="W489" s="12"/>
      <c r="X489" s="12"/>
      <c r="Y489" s="12"/>
      <c r="Z489" s="12"/>
      <c r="AA489" s="12"/>
      <c r="AB489" s="12"/>
      <c r="AC489" s="12"/>
      <c r="AD489" s="12"/>
      <c r="AE489" s="12"/>
      <c r="AF489" s="12"/>
    </row>
    <row r="490" spans="1:32">
      <c r="A490" s="8"/>
      <c r="B490" s="8"/>
      <c r="C490" s="8"/>
      <c r="D490" s="8"/>
      <c r="E490" s="8"/>
      <c r="F490" s="8"/>
      <c r="G490" s="8"/>
      <c r="H490" s="8"/>
      <c r="I490" s="8"/>
      <c r="J490" s="8"/>
      <c r="K490" s="8"/>
      <c r="L490" s="8"/>
      <c r="M490" s="8"/>
      <c r="N490" s="8"/>
      <c r="O490" s="8"/>
      <c r="P490" s="8"/>
      <c r="Q490" s="8"/>
      <c r="R490" s="8"/>
      <c r="S490" s="8"/>
      <c r="T490" s="8"/>
      <c r="U490" s="12"/>
      <c r="V490" s="12"/>
      <c r="W490" s="12"/>
      <c r="X490" s="12"/>
      <c r="Y490" s="12"/>
      <c r="Z490" s="12"/>
      <c r="AA490" s="12"/>
      <c r="AB490" s="12"/>
      <c r="AC490" s="12"/>
      <c r="AD490" s="12"/>
      <c r="AE490" s="12"/>
      <c r="AF490" s="12"/>
    </row>
    <row r="491" spans="1:32">
      <c r="A491" s="8"/>
      <c r="B491" s="8"/>
      <c r="C491" s="8"/>
      <c r="D491" s="8"/>
      <c r="E491" s="8"/>
      <c r="F491" s="8"/>
      <c r="G491" s="8"/>
      <c r="H491" s="8"/>
      <c r="I491" s="8"/>
      <c r="J491" s="8"/>
      <c r="K491" s="8"/>
      <c r="L491" s="8"/>
      <c r="M491" s="8"/>
      <c r="N491" s="8"/>
      <c r="O491" s="8"/>
      <c r="P491" s="8"/>
      <c r="Q491" s="8"/>
      <c r="R491" s="8"/>
      <c r="S491" s="8"/>
      <c r="T491" s="8"/>
      <c r="U491" s="12"/>
      <c r="V491" s="12"/>
      <c r="W491" s="12"/>
      <c r="X491" s="12"/>
      <c r="Y491" s="12"/>
      <c r="Z491" s="12"/>
      <c r="AA491" s="12"/>
      <c r="AB491" s="12"/>
      <c r="AC491" s="12"/>
      <c r="AD491" s="12"/>
      <c r="AE491" s="12"/>
      <c r="AF491" s="12"/>
    </row>
    <row r="492" spans="1:32">
      <c r="A492" s="8"/>
      <c r="B492" s="8"/>
      <c r="C492" s="8"/>
      <c r="D492" s="8"/>
      <c r="E492" s="8"/>
      <c r="F492" s="8"/>
      <c r="G492" s="8"/>
      <c r="H492" s="8"/>
      <c r="I492" s="8"/>
      <c r="J492" s="8"/>
      <c r="K492" s="8"/>
      <c r="L492" s="8"/>
      <c r="M492" s="8"/>
      <c r="N492" s="8"/>
      <c r="O492" s="8"/>
      <c r="P492" s="8"/>
      <c r="Q492" s="8"/>
      <c r="R492" s="8"/>
      <c r="S492" s="8"/>
      <c r="T492" s="8"/>
      <c r="U492" s="12"/>
      <c r="V492" s="12"/>
      <c r="W492" s="12"/>
      <c r="X492" s="12"/>
      <c r="Y492" s="12"/>
      <c r="Z492" s="12"/>
      <c r="AA492" s="12"/>
      <c r="AB492" s="12"/>
      <c r="AC492" s="12"/>
      <c r="AD492" s="12"/>
      <c r="AE492" s="12"/>
      <c r="AF492" s="12"/>
    </row>
    <row r="493" spans="1:32">
      <c r="A493" s="8"/>
      <c r="B493" s="8"/>
      <c r="C493" s="8"/>
      <c r="D493" s="8"/>
      <c r="E493" s="8"/>
      <c r="F493" s="8"/>
      <c r="G493" s="8"/>
      <c r="H493" s="8"/>
      <c r="I493" s="8"/>
      <c r="J493" s="8"/>
      <c r="K493" s="8"/>
      <c r="L493" s="8"/>
      <c r="M493" s="8"/>
      <c r="N493" s="8"/>
      <c r="O493" s="8"/>
      <c r="P493" s="8"/>
      <c r="Q493" s="8"/>
      <c r="R493" s="8"/>
      <c r="S493" s="8"/>
      <c r="T493" s="8"/>
      <c r="U493" s="12"/>
      <c r="V493" s="12"/>
      <c r="W493" s="12"/>
      <c r="X493" s="12"/>
      <c r="Y493" s="12"/>
      <c r="Z493" s="12"/>
      <c r="AA493" s="12"/>
      <c r="AB493" s="12"/>
      <c r="AC493" s="12"/>
      <c r="AD493" s="12"/>
      <c r="AE493" s="12"/>
      <c r="AF493" s="12"/>
    </row>
    <row r="494" spans="1:32">
      <c r="A494" s="8"/>
      <c r="B494" s="8"/>
      <c r="C494" s="8"/>
      <c r="D494" s="8"/>
      <c r="E494" s="8"/>
      <c r="F494" s="8"/>
      <c r="G494" s="8"/>
      <c r="H494" s="8"/>
      <c r="I494" s="8"/>
      <c r="J494" s="8"/>
      <c r="K494" s="8"/>
      <c r="L494" s="8"/>
      <c r="M494" s="8"/>
      <c r="N494" s="8"/>
      <c r="O494" s="8"/>
      <c r="P494" s="8"/>
      <c r="Q494" s="8"/>
      <c r="R494" s="8"/>
      <c r="S494" s="8"/>
      <c r="T494" s="8"/>
      <c r="U494" s="12"/>
      <c r="V494" s="12"/>
      <c r="W494" s="12"/>
      <c r="X494" s="12"/>
      <c r="Y494" s="12"/>
      <c r="Z494" s="12"/>
      <c r="AA494" s="12"/>
      <c r="AB494" s="12"/>
      <c r="AC494" s="12"/>
      <c r="AD494" s="12"/>
      <c r="AE494" s="12"/>
      <c r="AF494" s="12"/>
    </row>
    <row r="495" spans="1:32">
      <c r="A495" s="8"/>
      <c r="B495" s="8"/>
      <c r="C495" s="8"/>
      <c r="D495" s="8"/>
      <c r="E495" s="8"/>
      <c r="F495" s="8"/>
      <c r="G495" s="8"/>
      <c r="H495" s="8"/>
      <c r="I495" s="8"/>
      <c r="J495" s="8"/>
      <c r="K495" s="8"/>
      <c r="L495" s="8"/>
      <c r="M495" s="8"/>
      <c r="N495" s="8"/>
      <c r="O495" s="8"/>
      <c r="P495" s="8"/>
      <c r="Q495" s="8"/>
      <c r="R495" s="8"/>
      <c r="S495" s="8"/>
      <c r="T495" s="8"/>
      <c r="U495" s="12"/>
      <c r="V495" s="12"/>
      <c r="W495" s="12"/>
      <c r="X495" s="12"/>
      <c r="Y495" s="12"/>
      <c r="Z495" s="12"/>
      <c r="AA495" s="12"/>
      <c r="AB495" s="12"/>
      <c r="AC495" s="12"/>
      <c r="AD495" s="12"/>
      <c r="AE495" s="12"/>
      <c r="AF495" s="12"/>
    </row>
    <row r="496" spans="1:32">
      <c r="A496" s="8"/>
      <c r="B496" s="8"/>
      <c r="C496" s="8"/>
      <c r="D496" s="8"/>
      <c r="E496" s="8"/>
      <c r="F496" s="8"/>
      <c r="G496" s="8"/>
      <c r="H496" s="8"/>
      <c r="I496" s="8"/>
      <c r="J496" s="8"/>
      <c r="K496" s="8"/>
      <c r="L496" s="8"/>
      <c r="M496" s="8"/>
      <c r="N496" s="8"/>
      <c r="O496" s="8"/>
      <c r="P496" s="8"/>
      <c r="Q496" s="8"/>
      <c r="R496" s="8"/>
      <c r="S496" s="8"/>
      <c r="T496" s="8"/>
      <c r="U496" s="12"/>
      <c r="V496" s="12"/>
      <c r="W496" s="12"/>
      <c r="X496" s="12"/>
      <c r="Y496" s="12"/>
      <c r="Z496" s="12"/>
      <c r="AA496" s="12"/>
      <c r="AB496" s="12"/>
      <c r="AC496" s="12"/>
      <c r="AD496" s="12"/>
      <c r="AE496" s="12"/>
      <c r="AF496" s="12"/>
    </row>
    <row r="497" spans="1:32">
      <c r="A497" s="8"/>
      <c r="B497" s="8"/>
      <c r="C497" s="8"/>
      <c r="D497" s="8"/>
      <c r="E497" s="8"/>
      <c r="F497" s="8"/>
      <c r="G497" s="8"/>
      <c r="H497" s="8"/>
      <c r="I497" s="8"/>
      <c r="J497" s="8"/>
      <c r="K497" s="8"/>
      <c r="L497" s="8"/>
      <c r="M497" s="8"/>
      <c r="N497" s="8"/>
      <c r="O497" s="8"/>
      <c r="P497" s="8"/>
      <c r="Q497" s="8"/>
      <c r="R497" s="8"/>
      <c r="S497" s="8"/>
      <c r="T497" s="8"/>
      <c r="U497" s="12"/>
      <c r="V497" s="12"/>
      <c r="W497" s="12"/>
      <c r="X497" s="12"/>
      <c r="Y497" s="12"/>
      <c r="Z497" s="12"/>
      <c r="AA497" s="12"/>
      <c r="AB497" s="12"/>
      <c r="AC497" s="12"/>
      <c r="AD497" s="12"/>
      <c r="AE497" s="12"/>
      <c r="AF497" s="12"/>
    </row>
    <row r="498" spans="1:32">
      <c r="A498" s="8"/>
      <c r="B498" s="8"/>
      <c r="C498" s="8"/>
      <c r="D498" s="8"/>
      <c r="E498" s="8"/>
      <c r="F498" s="8"/>
      <c r="G498" s="8"/>
      <c r="H498" s="8"/>
      <c r="I498" s="8"/>
      <c r="J498" s="8"/>
      <c r="K498" s="8"/>
      <c r="L498" s="8"/>
      <c r="M498" s="8"/>
      <c r="N498" s="8"/>
      <c r="O498" s="8"/>
      <c r="P498" s="8"/>
      <c r="Q498" s="8"/>
      <c r="R498" s="8"/>
      <c r="S498" s="8"/>
      <c r="T498" s="8"/>
      <c r="U498" s="12"/>
      <c r="V498" s="12"/>
      <c r="W498" s="12"/>
      <c r="X498" s="12"/>
      <c r="Y498" s="12"/>
      <c r="Z498" s="12"/>
      <c r="AA498" s="12"/>
      <c r="AB498" s="12"/>
      <c r="AC498" s="12"/>
      <c r="AD498" s="12"/>
      <c r="AE498" s="12"/>
      <c r="AF498" s="12"/>
    </row>
    <row r="499" spans="1:32">
      <c r="A499" s="8"/>
      <c r="B499" s="8"/>
      <c r="C499" s="8"/>
      <c r="D499" s="8"/>
      <c r="E499" s="8"/>
      <c r="F499" s="8"/>
      <c r="G499" s="8"/>
      <c r="H499" s="8"/>
      <c r="I499" s="8"/>
      <c r="J499" s="8"/>
      <c r="K499" s="8"/>
      <c r="L499" s="8"/>
      <c r="M499" s="8"/>
      <c r="N499" s="8"/>
      <c r="O499" s="8"/>
      <c r="P499" s="8"/>
      <c r="Q499" s="8"/>
      <c r="R499" s="8"/>
      <c r="S499" s="8"/>
      <c r="T499" s="8"/>
      <c r="U499" s="12"/>
      <c r="V499" s="12"/>
      <c r="W499" s="12"/>
      <c r="X499" s="12"/>
      <c r="Y499" s="12"/>
      <c r="Z499" s="12"/>
      <c r="AA499" s="12"/>
      <c r="AB499" s="12"/>
      <c r="AC499" s="12"/>
      <c r="AD499" s="12"/>
      <c r="AE499" s="12"/>
      <c r="AF499" s="12"/>
    </row>
    <row r="500" spans="1:32">
      <c r="A500" s="8"/>
      <c r="B500" s="8"/>
      <c r="C500" s="8"/>
      <c r="D500" s="8"/>
      <c r="E500" s="8"/>
      <c r="F500" s="8"/>
      <c r="G500" s="8"/>
      <c r="H500" s="8"/>
      <c r="I500" s="8"/>
      <c r="J500" s="8"/>
      <c r="K500" s="8"/>
      <c r="L500" s="8"/>
      <c r="M500" s="8"/>
      <c r="N500" s="8"/>
      <c r="O500" s="8"/>
      <c r="P500" s="8"/>
      <c r="Q500" s="8"/>
      <c r="R500" s="8"/>
      <c r="S500" s="8"/>
      <c r="T500" s="8"/>
      <c r="U500" s="12"/>
      <c r="V500" s="12"/>
      <c r="W500" s="12"/>
      <c r="X500" s="12"/>
      <c r="Y500" s="12"/>
      <c r="Z500" s="12"/>
      <c r="AA500" s="12"/>
      <c r="AB500" s="12"/>
      <c r="AC500" s="12"/>
      <c r="AD500" s="12"/>
      <c r="AE500" s="12"/>
      <c r="AF500" s="12"/>
    </row>
    <row r="501" spans="1:32">
      <c r="A501" s="8"/>
      <c r="B501" s="8"/>
      <c r="C501" s="8"/>
      <c r="D501" s="8"/>
      <c r="E501" s="8"/>
      <c r="F501" s="8"/>
      <c r="G501" s="8"/>
      <c r="H501" s="8"/>
      <c r="I501" s="8"/>
      <c r="J501" s="8"/>
      <c r="K501" s="8"/>
      <c r="L501" s="8"/>
      <c r="M501" s="8"/>
      <c r="N501" s="8"/>
      <c r="O501" s="8"/>
      <c r="P501" s="8"/>
      <c r="Q501" s="8"/>
      <c r="R501" s="8"/>
      <c r="S501" s="8"/>
      <c r="T501" s="8"/>
      <c r="U501" s="12"/>
      <c r="V501" s="12"/>
      <c r="W501" s="12"/>
      <c r="X501" s="12"/>
      <c r="Y501" s="12"/>
      <c r="Z501" s="12"/>
      <c r="AA501" s="12"/>
      <c r="AB501" s="12"/>
      <c r="AC501" s="12"/>
      <c r="AD501" s="12"/>
      <c r="AE501" s="12"/>
      <c r="AF501" s="12"/>
    </row>
    <row r="502" spans="1:32">
      <c r="A502" s="8"/>
      <c r="B502" s="8"/>
      <c r="C502" s="8"/>
      <c r="D502" s="8"/>
      <c r="E502" s="8"/>
      <c r="F502" s="8"/>
      <c r="G502" s="8"/>
      <c r="H502" s="8"/>
      <c r="I502" s="8"/>
      <c r="J502" s="8"/>
      <c r="K502" s="8"/>
      <c r="L502" s="8"/>
      <c r="M502" s="8"/>
      <c r="N502" s="8"/>
      <c r="O502" s="8"/>
      <c r="P502" s="8"/>
      <c r="Q502" s="8"/>
      <c r="R502" s="8"/>
      <c r="S502" s="8"/>
      <c r="T502" s="8"/>
      <c r="U502" s="12"/>
      <c r="V502" s="12"/>
      <c r="W502" s="12"/>
      <c r="X502" s="12"/>
      <c r="Y502" s="12"/>
      <c r="Z502" s="12"/>
      <c r="AA502" s="12"/>
      <c r="AB502" s="12"/>
      <c r="AC502" s="12"/>
      <c r="AD502" s="12"/>
      <c r="AE502" s="12"/>
      <c r="AF502" s="12"/>
    </row>
    <row r="503" spans="1:32">
      <c r="A503" s="8"/>
      <c r="B503" s="8"/>
      <c r="C503" s="8"/>
      <c r="D503" s="8"/>
      <c r="E503" s="8"/>
      <c r="F503" s="8"/>
      <c r="G503" s="8"/>
      <c r="H503" s="8"/>
      <c r="I503" s="8"/>
      <c r="J503" s="8"/>
      <c r="K503" s="8"/>
      <c r="L503" s="8"/>
      <c r="M503" s="8"/>
      <c r="N503" s="8"/>
      <c r="O503" s="8"/>
      <c r="P503" s="8"/>
      <c r="Q503" s="8"/>
      <c r="R503" s="8"/>
      <c r="S503" s="8"/>
      <c r="T503" s="8"/>
      <c r="U503" s="12"/>
      <c r="V503" s="12"/>
      <c r="W503" s="12"/>
      <c r="X503" s="12"/>
      <c r="Y503" s="12"/>
      <c r="Z503" s="12"/>
      <c r="AA503" s="12"/>
      <c r="AB503" s="12"/>
      <c r="AC503" s="12"/>
      <c r="AD503" s="12"/>
      <c r="AE503" s="12"/>
      <c r="AF503" s="12"/>
    </row>
    <row r="504" spans="1:32">
      <c r="A504" s="8"/>
      <c r="B504" s="8"/>
      <c r="C504" s="8"/>
      <c r="D504" s="8"/>
      <c r="E504" s="8"/>
      <c r="F504" s="8"/>
      <c r="G504" s="8"/>
      <c r="H504" s="8"/>
      <c r="I504" s="8"/>
      <c r="J504" s="8"/>
      <c r="K504" s="8"/>
      <c r="L504" s="8"/>
      <c r="M504" s="8"/>
      <c r="N504" s="8"/>
      <c r="O504" s="8"/>
      <c r="P504" s="8"/>
      <c r="Q504" s="8"/>
      <c r="R504" s="8"/>
      <c r="S504" s="8"/>
      <c r="T504" s="8"/>
      <c r="U504" s="12"/>
      <c r="V504" s="12"/>
      <c r="W504" s="12"/>
      <c r="X504" s="12"/>
      <c r="Y504" s="12"/>
      <c r="Z504" s="12"/>
      <c r="AA504" s="12"/>
      <c r="AB504" s="12"/>
      <c r="AC504" s="12"/>
      <c r="AD504" s="12"/>
      <c r="AE504" s="12"/>
      <c r="AF504" s="12"/>
    </row>
    <row r="505" spans="1:32">
      <c r="A505" s="8"/>
      <c r="B505" s="8"/>
      <c r="C505" s="8"/>
      <c r="D505" s="8"/>
      <c r="E505" s="8"/>
      <c r="F505" s="8"/>
      <c r="G505" s="8"/>
      <c r="H505" s="8"/>
      <c r="I505" s="8"/>
      <c r="J505" s="8"/>
      <c r="K505" s="8"/>
      <c r="L505" s="8"/>
      <c r="M505" s="8"/>
      <c r="N505" s="8"/>
      <c r="O505" s="8"/>
      <c r="P505" s="8"/>
      <c r="Q505" s="8"/>
      <c r="R505" s="8"/>
      <c r="S505" s="8"/>
      <c r="T505" s="8"/>
      <c r="U505" s="12"/>
      <c r="V505" s="12"/>
      <c r="W505" s="12"/>
      <c r="X505" s="12"/>
      <c r="Y505" s="12"/>
      <c r="Z505" s="12"/>
      <c r="AA505" s="12"/>
      <c r="AB505" s="12"/>
      <c r="AC505" s="12"/>
      <c r="AD505" s="12"/>
      <c r="AE505" s="12"/>
      <c r="AF505" s="12"/>
    </row>
    <row r="506" spans="1:32">
      <c r="A506" s="8"/>
      <c r="B506" s="8"/>
      <c r="C506" s="8"/>
      <c r="D506" s="8"/>
      <c r="E506" s="8"/>
      <c r="F506" s="8"/>
      <c r="G506" s="8"/>
      <c r="H506" s="8"/>
      <c r="I506" s="8"/>
      <c r="J506" s="8"/>
      <c r="K506" s="8"/>
      <c r="L506" s="8"/>
      <c r="M506" s="8"/>
      <c r="N506" s="8"/>
      <c r="O506" s="8"/>
      <c r="P506" s="8"/>
      <c r="Q506" s="8"/>
      <c r="R506" s="8"/>
      <c r="S506" s="8"/>
      <c r="T506" s="8"/>
      <c r="U506" s="12"/>
      <c r="V506" s="12"/>
      <c r="W506" s="12"/>
      <c r="X506" s="12"/>
      <c r="Y506" s="12"/>
      <c r="Z506" s="12"/>
      <c r="AA506" s="12"/>
      <c r="AB506" s="12"/>
      <c r="AC506" s="12"/>
      <c r="AD506" s="12"/>
      <c r="AE506" s="12"/>
      <c r="AF506" s="12"/>
    </row>
    <row r="507" spans="1:32">
      <c r="A507" s="8"/>
      <c r="B507" s="8"/>
      <c r="C507" s="8"/>
      <c r="D507" s="8"/>
      <c r="E507" s="8"/>
      <c r="F507" s="8"/>
      <c r="G507" s="8"/>
      <c r="H507" s="8"/>
      <c r="I507" s="8"/>
      <c r="J507" s="8"/>
      <c r="K507" s="8"/>
      <c r="L507" s="8"/>
      <c r="M507" s="8"/>
      <c r="N507" s="8"/>
      <c r="O507" s="8"/>
      <c r="P507" s="8"/>
      <c r="Q507" s="8"/>
      <c r="R507" s="8"/>
      <c r="S507" s="8"/>
      <c r="T507" s="8"/>
      <c r="U507" s="12"/>
      <c r="V507" s="12"/>
      <c r="W507" s="12"/>
      <c r="X507" s="12"/>
      <c r="Y507" s="12"/>
      <c r="Z507" s="12"/>
      <c r="AA507" s="12"/>
      <c r="AB507" s="12"/>
      <c r="AC507" s="12"/>
      <c r="AD507" s="12"/>
      <c r="AE507" s="12"/>
      <c r="AF507" s="12"/>
    </row>
    <row r="508" spans="1:32">
      <c r="A508" s="8"/>
      <c r="B508" s="8"/>
      <c r="C508" s="8"/>
      <c r="D508" s="8"/>
      <c r="E508" s="8"/>
      <c r="F508" s="8"/>
      <c r="G508" s="8"/>
      <c r="H508" s="8"/>
      <c r="I508" s="8"/>
      <c r="J508" s="8"/>
      <c r="K508" s="8"/>
      <c r="L508" s="8"/>
      <c r="M508" s="8"/>
      <c r="N508" s="8"/>
      <c r="O508" s="8"/>
      <c r="P508" s="8"/>
      <c r="Q508" s="8"/>
      <c r="R508" s="8"/>
      <c r="S508" s="8"/>
      <c r="T508" s="8"/>
      <c r="U508" s="12"/>
      <c r="V508" s="12"/>
      <c r="W508" s="12"/>
      <c r="X508" s="12"/>
      <c r="Y508" s="12"/>
      <c r="Z508" s="12"/>
      <c r="AA508" s="12"/>
      <c r="AB508" s="12"/>
      <c r="AC508" s="12"/>
      <c r="AD508" s="12"/>
      <c r="AE508" s="12"/>
      <c r="AF508" s="12"/>
    </row>
    <row r="509" spans="1:32">
      <c r="A509" s="8"/>
      <c r="B509" s="8"/>
      <c r="C509" s="8"/>
      <c r="D509" s="8"/>
      <c r="E509" s="8"/>
      <c r="F509" s="8"/>
      <c r="G509" s="8"/>
      <c r="H509" s="8"/>
      <c r="I509" s="8"/>
      <c r="J509" s="8"/>
      <c r="K509" s="8"/>
      <c r="L509" s="8"/>
      <c r="M509" s="8"/>
      <c r="N509" s="8"/>
      <c r="O509" s="8"/>
      <c r="P509" s="8"/>
      <c r="Q509" s="8"/>
      <c r="R509" s="8"/>
      <c r="S509" s="8"/>
      <c r="T509" s="8"/>
      <c r="U509" s="12"/>
      <c r="V509" s="12"/>
      <c r="W509" s="12"/>
      <c r="X509" s="12"/>
      <c r="Y509" s="12"/>
      <c r="Z509" s="12"/>
      <c r="AA509" s="12"/>
      <c r="AB509" s="12"/>
      <c r="AC509" s="12"/>
      <c r="AD509" s="12"/>
      <c r="AE509" s="12"/>
      <c r="AF509" s="12"/>
    </row>
    <row r="510" spans="1:32">
      <c r="A510" s="8"/>
      <c r="B510" s="8"/>
      <c r="C510" s="8"/>
      <c r="D510" s="8"/>
      <c r="E510" s="8"/>
      <c r="F510" s="8"/>
      <c r="G510" s="8"/>
      <c r="H510" s="8"/>
      <c r="I510" s="8"/>
      <c r="J510" s="8"/>
      <c r="K510" s="8"/>
      <c r="L510" s="8"/>
      <c r="M510" s="8"/>
      <c r="N510" s="8"/>
      <c r="O510" s="8"/>
      <c r="P510" s="8"/>
      <c r="Q510" s="8"/>
      <c r="R510" s="8"/>
      <c r="S510" s="8"/>
      <c r="T510" s="8"/>
      <c r="U510" s="12"/>
      <c r="V510" s="12"/>
      <c r="W510" s="12"/>
      <c r="X510" s="12"/>
      <c r="Y510" s="12"/>
      <c r="Z510" s="12"/>
      <c r="AA510" s="12"/>
      <c r="AB510" s="12"/>
      <c r="AC510" s="12"/>
      <c r="AD510" s="12"/>
      <c r="AE510" s="12"/>
      <c r="AF510" s="12"/>
    </row>
    <row r="511" spans="1:32">
      <c r="A511" s="8"/>
      <c r="B511" s="8"/>
      <c r="C511" s="8"/>
      <c r="D511" s="8"/>
      <c r="E511" s="8"/>
      <c r="F511" s="8"/>
      <c r="G511" s="8"/>
      <c r="H511" s="8"/>
      <c r="I511" s="8"/>
      <c r="J511" s="8"/>
      <c r="K511" s="8"/>
      <c r="L511" s="8"/>
      <c r="M511" s="8"/>
      <c r="N511" s="8"/>
      <c r="O511" s="8"/>
      <c r="P511" s="8"/>
      <c r="Q511" s="8"/>
      <c r="R511" s="8"/>
      <c r="S511" s="8"/>
      <c r="T511" s="8"/>
      <c r="U511" s="12"/>
      <c r="V511" s="12"/>
      <c r="W511" s="12"/>
      <c r="X511" s="12"/>
      <c r="Y511" s="12"/>
      <c r="Z511" s="12"/>
      <c r="AA511" s="12"/>
      <c r="AB511" s="12"/>
      <c r="AC511" s="12"/>
      <c r="AD511" s="12"/>
      <c r="AE511" s="12"/>
      <c r="AF511" s="12"/>
    </row>
    <row r="512" spans="1:32">
      <c r="A512" s="8"/>
      <c r="B512" s="8"/>
      <c r="C512" s="8"/>
      <c r="D512" s="8"/>
      <c r="E512" s="8"/>
      <c r="F512" s="8"/>
      <c r="G512" s="8"/>
      <c r="H512" s="8"/>
      <c r="I512" s="8"/>
      <c r="J512" s="8"/>
      <c r="K512" s="8"/>
      <c r="L512" s="8"/>
      <c r="M512" s="8"/>
      <c r="N512" s="8"/>
      <c r="O512" s="8"/>
      <c r="P512" s="8"/>
      <c r="Q512" s="8"/>
      <c r="R512" s="8"/>
      <c r="S512" s="8"/>
      <c r="T512" s="8"/>
      <c r="U512" s="12"/>
      <c r="V512" s="12"/>
      <c r="W512" s="12"/>
      <c r="X512" s="12"/>
      <c r="Y512" s="12"/>
      <c r="Z512" s="12"/>
      <c r="AA512" s="12"/>
      <c r="AB512" s="12"/>
      <c r="AC512" s="12"/>
      <c r="AD512" s="12"/>
      <c r="AE512" s="12"/>
      <c r="AF512" s="12"/>
    </row>
    <row r="513" spans="1:32">
      <c r="A513" s="8"/>
      <c r="B513" s="8"/>
      <c r="C513" s="8"/>
      <c r="D513" s="8"/>
      <c r="E513" s="8"/>
      <c r="F513" s="8"/>
      <c r="G513" s="8"/>
      <c r="H513" s="8"/>
      <c r="I513" s="8"/>
      <c r="J513" s="8"/>
      <c r="K513" s="8"/>
      <c r="L513" s="8"/>
      <c r="M513" s="8"/>
      <c r="N513" s="8"/>
      <c r="O513" s="8"/>
      <c r="P513" s="8"/>
      <c r="Q513" s="8"/>
      <c r="R513" s="8"/>
      <c r="S513" s="8"/>
      <c r="T513" s="8"/>
      <c r="U513" s="12"/>
      <c r="V513" s="12"/>
      <c r="W513" s="12"/>
      <c r="X513" s="12"/>
      <c r="Y513" s="12"/>
      <c r="Z513" s="12"/>
      <c r="AA513" s="12"/>
      <c r="AB513" s="12"/>
      <c r="AC513" s="12"/>
      <c r="AD513" s="12"/>
      <c r="AE513" s="12"/>
      <c r="AF513" s="12"/>
    </row>
    <row r="514" spans="1:32">
      <c r="A514" s="8"/>
      <c r="B514" s="8"/>
      <c r="C514" s="8"/>
      <c r="D514" s="8"/>
      <c r="E514" s="8"/>
      <c r="F514" s="8"/>
      <c r="G514" s="8"/>
      <c r="H514" s="8"/>
      <c r="I514" s="8"/>
      <c r="J514" s="8"/>
      <c r="K514" s="8"/>
      <c r="L514" s="8"/>
      <c r="M514" s="8"/>
      <c r="N514" s="8"/>
      <c r="O514" s="8"/>
      <c r="P514" s="8"/>
      <c r="Q514" s="8"/>
      <c r="R514" s="8"/>
      <c r="S514" s="8"/>
      <c r="T514" s="8"/>
      <c r="U514" s="12"/>
      <c r="V514" s="12"/>
      <c r="W514" s="12"/>
      <c r="X514" s="12"/>
      <c r="Y514" s="12"/>
      <c r="Z514" s="12"/>
      <c r="AA514" s="12"/>
      <c r="AB514" s="12"/>
      <c r="AC514" s="12"/>
      <c r="AD514" s="12"/>
      <c r="AE514" s="12"/>
      <c r="AF514" s="12"/>
    </row>
    <row r="515" spans="1:32">
      <c r="A515" s="8"/>
      <c r="B515" s="8"/>
      <c r="C515" s="8"/>
      <c r="D515" s="8"/>
      <c r="E515" s="8"/>
      <c r="F515" s="8"/>
      <c r="G515" s="8"/>
      <c r="H515" s="8"/>
      <c r="I515" s="8"/>
      <c r="J515" s="8"/>
      <c r="K515" s="8"/>
      <c r="L515" s="8"/>
      <c r="M515" s="8"/>
      <c r="N515" s="8"/>
      <c r="O515" s="8"/>
      <c r="P515" s="8"/>
      <c r="Q515" s="8"/>
      <c r="R515" s="8"/>
      <c r="S515" s="8"/>
      <c r="T515" s="8"/>
      <c r="U515" s="12"/>
      <c r="V515" s="12"/>
      <c r="W515" s="12"/>
      <c r="X515" s="12"/>
      <c r="Y515" s="12"/>
      <c r="Z515" s="12"/>
      <c r="AA515" s="12"/>
      <c r="AB515" s="12"/>
      <c r="AC515" s="12"/>
      <c r="AD515" s="12"/>
      <c r="AE515" s="12"/>
      <c r="AF515" s="12"/>
    </row>
    <row r="516" spans="1:32">
      <c r="A516" s="8"/>
      <c r="B516" s="8"/>
      <c r="C516" s="8"/>
      <c r="D516" s="8"/>
      <c r="E516" s="8"/>
      <c r="F516" s="8"/>
      <c r="G516" s="8"/>
      <c r="H516" s="8"/>
      <c r="I516" s="8"/>
      <c r="J516" s="8"/>
      <c r="K516" s="8"/>
      <c r="L516" s="8"/>
      <c r="M516" s="8"/>
      <c r="N516" s="8"/>
      <c r="O516" s="8"/>
      <c r="P516" s="8"/>
      <c r="Q516" s="8"/>
      <c r="R516" s="8"/>
      <c r="S516" s="8"/>
      <c r="T516" s="8"/>
      <c r="U516" s="12"/>
      <c r="V516" s="12"/>
      <c r="W516" s="12"/>
      <c r="X516" s="12"/>
      <c r="Y516" s="12"/>
      <c r="Z516" s="12"/>
      <c r="AA516" s="12"/>
      <c r="AB516" s="12"/>
      <c r="AC516" s="12"/>
      <c r="AD516" s="12"/>
      <c r="AE516" s="12"/>
      <c r="AF516" s="12"/>
    </row>
    <row r="517" spans="1:32">
      <c r="A517" s="8"/>
      <c r="B517" s="8"/>
      <c r="C517" s="8"/>
      <c r="D517" s="8"/>
      <c r="E517" s="8"/>
      <c r="F517" s="8"/>
      <c r="G517" s="8"/>
      <c r="H517" s="8"/>
      <c r="I517" s="8"/>
      <c r="J517" s="8"/>
      <c r="K517" s="8"/>
      <c r="L517" s="8"/>
      <c r="M517" s="8"/>
      <c r="N517" s="8"/>
      <c r="O517" s="8"/>
      <c r="P517" s="8"/>
      <c r="Q517" s="8"/>
      <c r="R517" s="8"/>
      <c r="S517" s="8"/>
      <c r="T517" s="8"/>
      <c r="U517" s="12"/>
      <c r="V517" s="12"/>
      <c r="W517" s="12"/>
      <c r="X517" s="12"/>
      <c r="Y517" s="12"/>
      <c r="Z517" s="12"/>
      <c r="AA517" s="12"/>
      <c r="AB517" s="12"/>
      <c r="AC517" s="12"/>
      <c r="AD517" s="12"/>
      <c r="AE517" s="12"/>
      <c r="AF517" s="12"/>
    </row>
    <row r="518" spans="1:32">
      <c r="A518" s="8"/>
      <c r="B518" s="8"/>
      <c r="C518" s="8"/>
      <c r="D518" s="8"/>
      <c r="E518" s="8"/>
      <c r="F518" s="8"/>
      <c r="G518" s="8"/>
      <c r="H518" s="8"/>
      <c r="I518" s="8"/>
      <c r="J518" s="8"/>
      <c r="K518" s="8"/>
      <c r="L518" s="8"/>
      <c r="M518" s="8"/>
      <c r="N518" s="8"/>
      <c r="O518" s="8"/>
      <c r="P518" s="8"/>
      <c r="Q518" s="8"/>
      <c r="R518" s="8"/>
      <c r="S518" s="8"/>
      <c r="T518" s="8"/>
      <c r="U518" s="12"/>
      <c r="V518" s="12"/>
      <c r="W518" s="12"/>
      <c r="X518" s="12"/>
      <c r="Y518" s="12"/>
      <c r="Z518" s="12"/>
      <c r="AA518" s="12"/>
      <c r="AB518" s="12"/>
      <c r="AC518" s="12"/>
      <c r="AD518" s="12"/>
      <c r="AE518" s="12"/>
      <c r="AF518" s="12"/>
    </row>
    <row r="519" spans="1:32">
      <c r="A519" s="8"/>
      <c r="B519" s="8"/>
      <c r="C519" s="8"/>
      <c r="D519" s="8"/>
      <c r="E519" s="8"/>
      <c r="F519" s="8"/>
      <c r="G519" s="8"/>
      <c r="H519" s="8"/>
      <c r="I519" s="8"/>
      <c r="J519" s="8"/>
      <c r="K519" s="8"/>
      <c r="L519" s="8"/>
      <c r="M519" s="8"/>
      <c r="N519" s="8"/>
      <c r="O519" s="8"/>
      <c r="P519" s="8"/>
      <c r="Q519" s="8"/>
      <c r="R519" s="8"/>
      <c r="S519" s="8"/>
      <c r="T519" s="8"/>
      <c r="U519" s="12"/>
      <c r="V519" s="12"/>
      <c r="W519" s="12"/>
      <c r="X519" s="12"/>
      <c r="Y519" s="12"/>
      <c r="Z519" s="12"/>
      <c r="AA519" s="12"/>
      <c r="AB519" s="12"/>
      <c r="AC519" s="12"/>
      <c r="AD519" s="12"/>
      <c r="AE519" s="12"/>
      <c r="AF519" s="12"/>
    </row>
    <row r="520" spans="1:32">
      <c r="A520" s="8"/>
      <c r="B520" s="8"/>
      <c r="C520" s="8"/>
      <c r="D520" s="8"/>
      <c r="E520" s="8"/>
      <c r="F520" s="8"/>
      <c r="G520" s="8"/>
      <c r="H520" s="8"/>
      <c r="I520" s="8"/>
      <c r="J520" s="8"/>
      <c r="K520" s="8"/>
      <c r="L520" s="8"/>
      <c r="M520" s="8"/>
      <c r="N520" s="8"/>
      <c r="O520" s="8"/>
      <c r="P520" s="8"/>
      <c r="Q520" s="8"/>
      <c r="R520" s="8"/>
      <c r="S520" s="8"/>
      <c r="T520" s="8"/>
      <c r="U520" s="12"/>
      <c r="V520" s="12"/>
      <c r="W520" s="12"/>
      <c r="X520" s="12"/>
      <c r="Y520" s="12"/>
      <c r="Z520" s="12"/>
      <c r="AA520" s="12"/>
      <c r="AB520" s="12"/>
      <c r="AC520" s="12"/>
      <c r="AD520" s="12"/>
      <c r="AE520" s="12"/>
      <c r="AF520" s="12"/>
    </row>
    <row r="521" spans="1:32">
      <c r="A521" s="8"/>
      <c r="B521" s="8"/>
      <c r="C521" s="8"/>
      <c r="D521" s="8"/>
      <c r="E521" s="8"/>
      <c r="F521" s="8"/>
      <c r="G521" s="8"/>
      <c r="H521" s="8"/>
      <c r="I521" s="8"/>
      <c r="J521" s="8"/>
      <c r="K521" s="8"/>
      <c r="L521" s="8"/>
      <c r="M521" s="8"/>
      <c r="N521" s="8"/>
      <c r="O521" s="8"/>
      <c r="P521" s="8"/>
      <c r="Q521" s="8"/>
      <c r="R521" s="8"/>
      <c r="S521" s="8"/>
      <c r="T521" s="8"/>
      <c r="U521" s="12"/>
      <c r="V521" s="12"/>
      <c r="W521" s="12"/>
      <c r="X521" s="12"/>
      <c r="Y521" s="12"/>
      <c r="Z521" s="12"/>
      <c r="AA521" s="12"/>
      <c r="AB521" s="12"/>
      <c r="AC521" s="12"/>
      <c r="AD521" s="12"/>
      <c r="AE521" s="12"/>
      <c r="AF521" s="12"/>
    </row>
    <row r="522" spans="1:32">
      <c r="A522" s="8"/>
      <c r="B522" s="8"/>
      <c r="C522" s="8"/>
      <c r="D522" s="8"/>
      <c r="E522" s="8"/>
      <c r="F522" s="8"/>
      <c r="G522" s="8"/>
      <c r="H522" s="8"/>
      <c r="I522" s="8"/>
      <c r="J522" s="8"/>
      <c r="K522" s="8"/>
      <c r="L522" s="8"/>
      <c r="M522" s="8"/>
      <c r="N522" s="8"/>
      <c r="O522" s="8"/>
      <c r="P522" s="8"/>
      <c r="Q522" s="8"/>
      <c r="R522" s="8"/>
      <c r="S522" s="8"/>
      <c r="T522" s="8"/>
      <c r="U522" s="12"/>
      <c r="V522" s="12"/>
      <c r="W522" s="12"/>
      <c r="X522" s="12"/>
      <c r="Y522" s="12"/>
      <c r="Z522" s="12"/>
      <c r="AA522" s="12"/>
      <c r="AB522" s="12"/>
      <c r="AC522" s="12"/>
      <c r="AD522" s="12"/>
      <c r="AE522" s="12"/>
      <c r="AF522" s="12"/>
    </row>
    <row r="523" spans="1:32">
      <c r="A523" s="8"/>
      <c r="B523" s="8"/>
      <c r="C523" s="8"/>
      <c r="D523" s="8"/>
      <c r="E523" s="8"/>
      <c r="F523" s="8"/>
      <c r="G523" s="8"/>
      <c r="H523" s="8"/>
      <c r="I523" s="8"/>
      <c r="J523" s="8"/>
      <c r="K523" s="8"/>
      <c r="L523" s="8"/>
      <c r="M523" s="8"/>
      <c r="N523" s="8"/>
      <c r="O523" s="8"/>
      <c r="P523" s="8"/>
      <c r="Q523" s="8"/>
      <c r="R523" s="8"/>
      <c r="S523" s="8"/>
      <c r="T523" s="8"/>
      <c r="U523" s="12"/>
      <c r="V523" s="12"/>
      <c r="W523" s="12"/>
      <c r="X523" s="12"/>
      <c r="Y523" s="12"/>
      <c r="Z523" s="12"/>
      <c r="AA523" s="12"/>
      <c r="AB523" s="12"/>
      <c r="AC523" s="12"/>
      <c r="AD523" s="12"/>
      <c r="AE523" s="12"/>
      <c r="AF523" s="12"/>
    </row>
    <row r="524" spans="1:32">
      <c r="A524" s="8"/>
      <c r="B524" s="8"/>
      <c r="C524" s="8"/>
      <c r="D524" s="8"/>
      <c r="E524" s="8"/>
      <c r="F524" s="8"/>
      <c r="G524" s="8"/>
      <c r="H524" s="8"/>
      <c r="I524" s="8"/>
      <c r="J524" s="8"/>
      <c r="K524" s="8"/>
      <c r="L524" s="8"/>
      <c r="M524" s="8"/>
      <c r="N524" s="8"/>
      <c r="O524" s="8"/>
      <c r="P524" s="8"/>
      <c r="Q524" s="8"/>
      <c r="R524" s="8"/>
      <c r="S524" s="8"/>
      <c r="T524" s="8"/>
      <c r="U524" s="12"/>
      <c r="V524" s="12"/>
      <c r="W524" s="12"/>
      <c r="X524" s="12"/>
      <c r="Y524" s="12"/>
      <c r="Z524" s="12"/>
      <c r="AA524" s="12"/>
      <c r="AB524" s="12"/>
      <c r="AC524" s="12"/>
      <c r="AD524" s="12"/>
      <c r="AE524" s="12"/>
      <c r="AF524" s="12"/>
    </row>
    <row r="525" spans="1:32">
      <c r="A525" s="8"/>
      <c r="B525" s="8"/>
      <c r="C525" s="8"/>
      <c r="D525" s="8"/>
      <c r="E525" s="8"/>
      <c r="F525" s="8"/>
      <c r="G525" s="8"/>
      <c r="H525" s="8"/>
      <c r="I525" s="8"/>
      <c r="J525" s="8"/>
      <c r="K525" s="8"/>
      <c r="L525" s="8"/>
      <c r="M525" s="8"/>
      <c r="N525" s="8"/>
      <c r="O525" s="8"/>
      <c r="P525" s="8"/>
      <c r="Q525" s="8"/>
      <c r="R525" s="8"/>
      <c r="S525" s="8"/>
      <c r="T525" s="8"/>
      <c r="U525" s="12"/>
      <c r="V525" s="12"/>
      <c r="W525" s="12"/>
      <c r="X525" s="12"/>
      <c r="Y525" s="12"/>
      <c r="Z525" s="12"/>
      <c r="AA525" s="12"/>
      <c r="AB525" s="12"/>
      <c r="AC525" s="12"/>
      <c r="AD525" s="12"/>
      <c r="AE525" s="12"/>
      <c r="AF525" s="12"/>
    </row>
    <row r="526" spans="1:32">
      <c r="A526" s="8"/>
      <c r="B526" s="8"/>
      <c r="C526" s="8"/>
      <c r="D526" s="8"/>
      <c r="E526" s="8"/>
      <c r="F526" s="8"/>
      <c r="G526" s="8"/>
      <c r="H526" s="8"/>
      <c r="I526" s="8"/>
      <c r="J526" s="8"/>
      <c r="K526" s="8"/>
      <c r="L526" s="8"/>
      <c r="M526" s="8"/>
      <c r="N526" s="8"/>
      <c r="O526" s="8"/>
      <c r="P526" s="8"/>
      <c r="Q526" s="8"/>
      <c r="R526" s="8"/>
      <c r="S526" s="8"/>
      <c r="T526" s="8"/>
      <c r="U526" s="12"/>
      <c r="V526" s="12"/>
      <c r="W526" s="12"/>
      <c r="X526" s="12"/>
      <c r="Y526" s="12"/>
      <c r="Z526" s="12"/>
      <c r="AA526" s="12"/>
      <c r="AB526" s="12"/>
      <c r="AC526" s="12"/>
      <c r="AD526" s="12"/>
      <c r="AE526" s="12"/>
      <c r="AF526" s="12"/>
    </row>
    <row r="527" spans="1:32">
      <c r="A527" s="8"/>
      <c r="B527" s="8"/>
      <c r="C527" s="8"/>
      <c r="D527" s="8"/>
      <c r="E527" s="8"/>
      <c r="F527" s="8"/>
      <c r="G527" s="8"/>
      <c r="H527" s="8"/>
      <c r="I527" s="8"/>
      <c r="J527" s="8"/>
      <c r="K527" s="8"/>
      <c r="L527" s="8"/>
      <c r="M527" s="8"/>
      <c r="N527" s="8"/>
      <c r="O527" s="8"/>
      <c r="P527" s="8"/>
      <c r="Q527" s="8"/>
      <c r="R527" s="8"/>
      <c r="S527" s="8"/>
      <c r="T527" s="8"/>
      <c r="U527" s="12"/>
      <c r="V527" s="12"/>
      <c r="W527" s="12"/>
      <c r="X527" s="12"/>
      <c r="Y527" s="12"/>
      <c r="Z527" s="12"/>
      <c r="AA527" s="12"/>
      <c r="AB527" s="12"/>
      <c r="AC527" s="12"/>
      <c r="AD527" s="12"/>
      <c r="AE527" s="12"/>
      <c r="AF527" s="12"/>
    </row>
    <row r="528" spans="1:32">
      <c r="A528" s="8"/>
      <c r="B528" s="8"/>
      <c r="C528" s="8"/>
      <c r="D528" s="8"/>
      <c r="E528" s="8"/>
      <c r="F528" s="8"/>
      <c r="G528" s="8"/>
      <c r="H528" s="8"/>
      <c r="I528" s="8"/>
      <c r="J528" s="8"/>
      <c r="K528" s="8"/>
      <c r="L528" s="8"/>
      <c r="M528" s="8"/>
      <c r="N528" s="8"/>
      <c r="O528" s="8"/>
      <c r="P528" s="8"/>
      <c r="Q528" s="8"/>
      <c r="R528" s="8"/>
      <c r="S528" s="8"/>
      <c r="T528" s="8"/>
      <c r="U528" s="12"/>
      <c r="V528" s="12"/>
      <c r="W528" s="12"/>
      <c r="X528" s="12"/>
      <c r="Y528" s="12"/>
      <c r="Z528" s="12"/>
      <c r="AA528" s="12"/>
      <c r="AB528" s="12"/>
      <c r="AC528" s="12"/>
      <c r="AD528" s="12"/>
      <c r="AE528" s="12"/>
      <c r="AF528" s="12"/>
    </row>
    <row r="529" spans="1:32">
      <c r="A529" s="8"/>
      <c r="B529" s="8"/>
      <c r="C529" s="8"/>
      <c r="D529" s="8"/>
      <c r="E529" s="8"/>
      <c r="F529" s="8"/>
      <c r="G529" s="8"/>
      <c r="H529" s="8"/>
      <c r="I529" s="8"/>
      <c r="J529" s="8"/>
      <c r="K529" s="8"/>
      <c r="L529" s="8"/>
      <c r="M529" s="8"/>
      <c r="N529" s="8"/>
      <c r="O529" s="8"/>
      <c r="P529" s="8"/>
      <c r="Q529" s="8"/>
      <c r="R529" s="8"/>
      <c r="S529" s="8"/>
      <c r="T529" s="8"/>
      <c r="U529" s="12"/>
      <c r="V529" s="12"/>
      <c r="W529" s="12"/>
      <c r="X529" s="12"/>
      <c r="Y529" s="12"/>
      <c r="Z529" s="12"/>
      <c r="AA529" s="12"/>
      <c r="AB529" s="12"/>
      <c r="AC529" s="12"/>
      <c r="AD529" s="12"/>
      <c r="AE529" s="12"/>
      <c r="AF529" s="12"/>
    </row>
    <row r="530" spans="1:32">
      <c r="A530" s="8"/>
      <c r="B530" s="8"/>
      <c r="C530" s="8"/>
      <c r="D530" s="8"/>
      <c r="E530" s="8"/>
      <c r="F530" s="8"/>
      <c r="G530" s="8"/>
      <c r="H530" s="8"/>
      <c r="I530" s="8"/>
      <c r="J530" s="8"/>
      <c r="K530" s="8"/>
      <c r="L530" s="8"/>
      <c r="M530" s="8"/>
      <c r="N530" s="8"/>
      <c r="O530" s="8"/>
      <c r="P530" s="8"/>
      <c r="Q530" s="8"/>
      <c r="R530" s="8"/>
      <c r="S530" s="8"/>
      <c r="T530" s="8"/>
      <c r="U530" s="12"/>
      <c r="V530" s="12"/>
      <c r="W530" s="12"/>
      <c r="X530" s="12"/>
      <c r="Y530" s="12"/>
      <c r="Z530" s="12"/>
      <c r="AA530" s="12"/>
      <c r="AB530" s="12"/>
      <c r="AC530" s="12"/>
      <c r="AD530" s="12"/>
      <c r="AE530" s="12"/>
      <c r="AF530" s="12"/>
    </row>
    <row r="531" spans="1:32">
      <c r="A531" s="8"/>
      <c r="B531" s="8"/>
      <c r="C531" s="8"/>
      <c r="D531" s="8"/>
      <c r="E531" s="8"/>
      <c r="F531" s="8"/>
      <c r="G531" s="8"/>
      <c r="H531" s="8"/>
      <c r="I531" s="8"/>
      <c r="J531" s="8"/>
      <c r="K531" s="8"/>
      <c r="L531" s="8"/>
      <c r="M531" s="8"/>
      <c r="N531" s="8"/>
      <c r="O531" s="8"/>
      <c r="P531" s="8"/>
      <c r="Q531" s="8"/>
      <c r="R531" s="8"/>
      <c r="S531" s="8"/>
      <c r="T531" s="8"/>
      <c r="U531" s="12"/>
      <c r="V531" s="12"/>
      <c r="W531" s="12"/>
      <c r="X531" s="12"/>
      <c r="Y531" s="12"/>
      <c r="Z531" s="12"/>
      <c r="AA531" s="12"/>
      <c r="AB531" s="12"/>
      <c r="AC531" s="12"/>
      <c r="AD531" s="12"/>
      <c r="AE531" s="12"/>
      <c r="AF531" s="12"/>
    </row>
    <row r="532" spans="1:32">
      <c r="A532" s="8"/>
      <c r="B532" s="8"/>
      <c r="C532" s="8"/>
      <c r="D532" s="8"/>
      <c r="E532" s="8"/>
      <c r="F532" s="8"/>
      <c r="G532" s="8"/>
      <c r="H532" s="8"/>
      <c r="I532" s="8"/>
      <c r="J532" s="8"/>
      <c r="K532" s="8"/>
      <c r="L532" s="8"/>
      <c r="M532" s="8"/>
      <c r="N532" s="8"/>
      <c r="O532" s="8"/>
      <c r="P532" s="8"/>
      <c r="Q532" s="8"/>
      <c r="R532" s="8"/>
      <c r="S532" s="8"/>
      <c r="T532" s="8"/>
      <c r="U532" s="12"/>
      <c r="V532" s="12"/>
      <c r="W532" s="12"/>
      <c r="X532" s="12"/>
      <c r="Y532" s="12"/>
      <c r="Z532" s="12"/>
      <c r="AA532" s="12"/>
      <c r="AB532" s="12"/>
      <c r="AC532" s="12"/>
      <c r="AD532" s="12"/>
      <c r="AE532" s="12"/>
      <c r="AF532" s="12"/>
    </row>
    <row r="533" spans="1:32">
      <c r="A533" s="8"/>
      <c r="B533" s="8"/>
      <c r="C533" s="8"/>
      <c r="D533" s="8"/>
      <c r="E533" s="8"/>
      <c r="F533" s="8"/>
      <c r="G533" s="8"/>
      <c r="H533" s="8"/>
      <c r="I533" s="8"/>
      <c r="J533" s="8"/>
      <c r="K533" s="8"/>
      <c r="L533" s="8"/>
      <c r="M533" s="8"/>
      <c r="N533" s="8"/>
      <c r="O533" s="8"/>
      <c r="P533" s="8"/>
      <c r="Q533" s="8"/>
      <c r="R533" s="8"/>
      <c r="S533" s="8"/>
      <c r="T533" s="8"/>
      <c r="U533" s="12"/>
      <c r="V533" s="12"/>
      <c r="W533" s="12"/>
      <c r="X533" s="12"/>
      <c r="Y533" s="12"/>
      <c r="Z533" s="12"/>
      <c r="AA533" s="12"/>
      <c r="AB533" s="12"/>
      <c r="AC533" s="12"/>
      <c r="AD533" s="12"/>
      <c r="AE533" s="12"/>
      <c r="AF533" s="12"/>
    </row>
    <row r="534" spans="1:32">
      <c r="A534" s="8"/>
      <c r="B534" s="8"/>
      <c r="C534" s="8"/>
      <c r="D534" s="8"/>
      <c r="E534" s="8"/>
      <c r="F534" s="8"/>
      <c r="G534" s="8"/>
      <c r="H534" s="8"/>
      <c r="I534" s="8"/>
      <c r="J534" s="8"/>
      <c r="K534" s="8"/>
      <c r="L534" s="8"/>
      <c r="M534" s="8"/>
      <c r="N534" s="8"/>
      <c r="O534" s="8"/>
      <c r="P534" s="8"/>
      <c r="Q534" s="8"/>
      <c r="R534" s="8"/>
      <c r="S534" s="8"/>
      <c r="T534" s="8"/>
      <c r="U534" s="12"/>
      <c r="V534" s="12"/>
      <c r="W534" s="12"/>
      <c r="X534" s="12"/>
      <c r="Y534" s="12"/>
      <c r="Z534" s="12"/>
      <c r="AA534" s="12"/>
      <c r="AB534" s="12"/>
      <c r="AC534" s="12"/>
      <c r="AD534" s="12"/>
      <c r="AE534" s="12"/>
      <c r="AF534" s="12"/>
    </row>
    <row r="535" spans="1:32">
      <c r="A535" s="8"/>
      <c r="B535" s="8"/>
      <c r="C535" s="8"/>
      <c r="D535" s="8"/>
      <c r="E535" s="8"/>
      <c r="F535" s="8"/>
      <c r="G535" s="8"/>
      <c r="H535" s="8"/>
      <c r="I535" s="8"/>
      <c r="J535" s="8"/>
      <c r="K535" s="8"/>
      <c r="L535" s="8"/>
      <c r="M535" s="8"/>
      <c r="N535" s="8"/>
      <c r="O535" s="8"/>
      <c r="P535" s="8"/>
      <c r="Q535" s="8"/>
      <c r="R535" s="8"/>
      <c r="S535" s="8"/>
      <c r="T535" s="8"/>
      <c r="U535" s="12"/>
      <c r="V535" s="12"/>
      <c r="W535" s="12"/>
      <c r="X535" s="12"/>
      <c r="Y535" s="12"/>
      <c r="Z535" s="12"/>
      <c r="AA535" s="12"/>
      <c r="AB535" s="12"/>
      <c r="AC535" s="12"/>
      <c r="AD535" s="12"/>
      <c r="AE535" s="12"/>
      <c r="AF535" s="12"/>
    </row>
    <row r="536" spans="1:32">
      <c r="A536" s="8"/>
      <c r="B536" s="8"/>
      <c r="C536" s="8"/>
      <c r="D536" s="8"/>
      <c r="E536" s="8"/>
      <c r="F536" s="8"/>
      <c r="G536" s="8"/>
      <c r="H536" s="8"/>
      <c r="I536" s="8"/>
      <c r="J536" s="8"/>
      <c r="K536" s="8"/>
      <c r="L536" s="8"/>
      <c r="M536" s="8"/>
      <c r="N536" s="8"/>
      <c r="O536" s="8"/>
      <c r="P536" s="8"/>
      <c r="Q536" s="8"/>
      <c r="R536" s="8"/>
      <c r="S536" s="8"/>
      <c r="T536" s="8"/>
      <c r="U536" s="12"/>
      <c r="V536" s="12"/>
      <c r="W536" s="12"/>
      <c r="X536" s="12"/>
      <c r="Y536" s="12"/>
      <c r="Z536" s="12"/>
      <c r="AA536" s="12"/>
      <c r="AB536" s="12"/>
      <c r="AC536" s="12"/>
      <c r="AD536" s="12"/>
      <c r="AE536" s="12"/>
      <c r="AF536" s="12"/>
    </row>
    <row r="537" spans="1:32">
      <c r="A537" s="8"/>
      <c r="B537" s="8"/>
      <c r="C537" s="8"/>
      <c r="D537" s="8"/>
      <c r="E537" s="8"/>
      <c r="F537" s="8"/>
      <c r="G537" s="8"/>
      <c r="H537" s="8"/>
      <c r="I537" s="8"/>
      <c r="J537" s="8"/>
      <c r="K537" s="8"/>
      <c r="L537" s="8"/>
      <c r="M537" s="8"/>
      <c r="N537" s="8"/>
      <c r="O537" s="8"/>
      <c r="P537" s="8"/>
      <c r="Q537" s="8"/>
      <c r="R537" s="8"/>
      <c r="S537" s="8"/>
      <c r="T537" s="8"/>
      <c r="U537" s="12"/>
      <c r="V537" s="12"/>
      <c r="W537" s="12"/>
      <c r="X537" s="12"/>
      <c r="Y537" s="12"/>
      <c r="Z537" s="12"/>
      <c r="AA537" s="12"/>
      <c r="AB537" s="12"/>
      <c r="AC537" s="12"/>
      <c r="AD537" s="12"/>
      <c r="AE537" s="12"/>
      <c r="AF537" s="12"/>
    </row>
    <row r="538" spans="1:32">
      <c r="A538" s="8"/>
      <c r="B538" s="8"/>
      <c r="C538" s="8"/>
      <c r="D538" s="8"/>
      <c r="E538" s="8"/>
      <c r="F538" s="8"/>
      <c r="G538" s="8"/>
      <c r="H538" s="8"/>
      <c r="I538" s="8"/>
      <c r="J538" s="8"/>
      <c r="K538" s="8"/>
      <c r="L538" s="8"/>
      <c r="M538" s="8"/>
      <c r="N538" s="8"/>
      <c r="O538" s="8"/>
      <c r="P538" s="8"/>
      <c r="Q538" s="8"/>
      <c r="R538" s="8"/>
      <c r="S538" s="8"/>
      <c r="T538" s="8"/>
      <c r="U538" s="12"/>
      <c r="V538" s="12"/>
      <c r="W538" s="12"/>
      <c r="X538" s="12"/>
      <c r="Y538" s="12"/>
      <c r="Z538" s="12"/>
      <c r="AA538" s="12"/>
      <c r="AB538" s="12"/>
      <c r="AC538" s="12"/>
      <c r="AD538" s="12"/>
      <c r="AE538" s="12"/>
      <c r="AF538" s="12"/>
    </row>
    <row r="539" spans="1:32">
      <c r="A539" s="8"/>
      <c r="B539" s="8"/>
      <c r="C539" s="8"/>
      <c r="D539" s="8"/>
      <c r="E539" s="8"/>
      <c r="F539" s="8"/>
      <c r="G539" s="8"/>
      <c r="H539" s="8"/>
      <c r="I539" s="8"/>
      <c r="J539" s="8"/>
      <c r="K539" s="8"/>
      <c r="L539" s="8"/>
      <c r="M539" s="8"/>
      <c r="N539" s="8"/>
      <c r="O539" s="8"/>
      <c r="P539" s="8"/>
      <c r="Q539" s="8"/>
      <c r="R539" s="8"/>
      <c r="S539" s="8"/>
      <c r="T539" s="8"/>
      <c r="U539" s="12"/>
      <c r="V539" s="12"/>
      <c r="W539" s="12"/>
      <c r="X539" s="12"/>
      <c r="Y539" s="12"/>
      <c r="Z539" s="12"/>
      <c r="AA539" s="12"/>
      <c r="AB539" s="12"/>
      <c r="AC539" s="12"/>
      <c r="AD539" s="12"/>
      <c r="AE539" s="12"/>
      <c r="AF539" s="12"/>
    </row>
    <row r="540" spans="1:32">
      <c r="A540" s="8"/>
      <c r="B540" s="8"/>
      <c r="C540" s="8"/>
      <c r="D540" s="8"/>
      <c r="E540" s="8"/>
      <c r="F540" s="8"/>
      <c r="G540" s="8"/>
      <c r="H540" s="8"/>
      <c r="I540" s="8"/>
      <c r="J540" s="8"/>
      <c r="K540" s="8"/>
      <c r="L540" s="8"/>
      <c r="M540" s="8"/>
      <c r="N540" s="8"/>
      <c r="O540" s="8"/>
      <c r="P540" s="8"/>
      <c r="Q540" s="8"/>
      <c r="R540" s="8"/>
      <c r="S540" s="8"/>
      <c r="T540" s="8"/>
      <c r="U540" s="12"/>
      <c r="V540" s="12"/>
      <c r="W540" s="12"/>
      <c r="X540" s="12"/>
      <c r="Y540" s="12"/>
      <c r="Z540" s="12"/>
      <c r="AA540" s="12"/>
      <c r="AB540" s="12"/>
      <c r="AC540" s="12"/>
      <c r="AD540" s="12"/>
      <c r="AE540" s="12"/>
      <c r="AF540" s="12"/>
    </row>
    <row r="541" spans="1:32">
      <c r="A541" s="8"/>
      <c r="B541" s="8"/>
      <c r="C541" s="8"/>
      <c r="D541" s="8"/>
      <c r="E541" s="8"/>
      <c r="F541" s="8"/>
      <c r="G541" s="8"/>
      <c r="H541" s="8"/>
      <c r="I541" s="8"/>
      <c r="J541" s="8"/>
      <c r="K541" s="8"/>
      <c r="L541" s="8"/>
      <c r="M541" s="8"/>
      <c r="N541" s="8"/>
      <c r="O541" s="8"/>
      <c r="P541" s="8"/>
      <c r="Q541" s="8"/>
      <c r="R541" s="8"/>
      <c r="S541" s="8"/>
      <c r="T541" s="8"/>
      <c r="U541" s="12"/>
      <c r="V541" s="12"/>
      <c r="W541" s="12"/>
      <c r="X541" s="12"/>
      <c r="Y541" s="12"/>
      <c r="Z541" s="12"/>
      <c r="AA541" s="12"/>
      <c r="AB541" s="12"/>
      <c r="AC541" s="12"/>
      <c r="AD541" s="12"/>
      <c r="AE541" s="12"/>
      <c r="AF541" s="12"/>
    </row>
    <row r="542" spans="1:32">
      <c r="A542" s="8"/>
      <c r="B542" s="8"/>
      <c r="C542" s="8"/>
      <c r="D542" s="8"/>
      <c r="E542" s="8"/>
      <c r="F542" s="8"/>
      <c r="G542" s="8"/>
      <c r="H542" s="8"/>
      <c r="I542" s="8"/>
      <c r="J542" s="8"/>
      <c r="K542" s="8"/>
      <c r="L542" s="8"/>
      <c r="M542" s="8"/>
      <c r="N542" s="8"/>
      <c r="O542" s="8"/>
      <c r="P542" s="8"/>
      <c r="Q542" s="8"/>
      <c r="R542" s="8"/>
      <c r="S542" s="8"/>
      <c r="T542" s="8"/>
      <c r="U542" s="12"/>
      <c r="V542" s="12"/>
      <c r="W542" s="12"/>
      <c r="X542" s="12"/>
      <c r="Y542" s="12"/>
      <c r="Z542" s="12"/>
      <c r="AA542" s="12"/>
      <c r="AB542" s="12"/>
      <c r="AC542" s="12"/>
      <c r="AD542" s="12"/>
      <c r="AE542" s="12"/>
      <c r="AF542" s="12"/>
    </row>
    <row r="543" spans="1:32">
      <c r="A543" s="8"/>
      <c r="B543" s="8"/>
      <c r="C543" s="8"/>
      <c r="D543" s="8"/>
      <c r="E543" s="8"/>
      <c r="F543" s="8"/>
      <c r="G543" s="8"/>
      <c r="H543" s="8"/>
      <c r="I543" s="8"/>
      <c r="J543" s="8"/>
      <c r="K543" s="8"/>
      <c r="L543" s="8"/>
      <c r="M543" s="8"/>
      <c r="N543" s="8"/>
      <c r="O543" s="8"/>
      <c r="P543" s="8"/>
      <c r="Q543" s="8"/>
      <c r="R543" s="8"/>
      <c r="S543" s="8"/>
      <c r="T543" s="8"/>
      <c r="U543" s="12"/>
      <c r="V543" s="12"/>
      <c r="W543" s="12"/>
      <c r="X543" s="12"/>
      <c r="Y543" s="12"/>
      <c r="Z543" s="12"/>
      <c r="AA543" s="12"/>
      <c r="AB543" s="12"/>
      <c r="AC543" s="12"/>
      <c r="AD543" s="12"/>
      <c r="AE543" s="12"/>
      <c r="AF543" s="12"/>
    </row>
    <row r="544" spans="1:32">
      <c r="A544" s="8"/>
      <c r="B544" s="8"/>
      <c r="C544" s="8"/>
      <c r="D544" s="8"/>
      <c r="E544" s="8"/>
      <c r="F544" s="8"/>
      <c r="G544" s="8"/>
      <c r="H544" s="8"/>
      <c r="I544" s="8"/>
      <c r="J544" s="8"/>
      <c r="K544" s="8"/>
      <c r="L544" s="8"/>
      <c r="M544" s="8"/>
      <c r="N544" s="8"/>
      <c r="O544" s="8"/>
      <c r="P544" s="8"/>
      <c r="Q544" s="8"/>
      <c r="R544" s="8"/>
      <c r="S544" s="8"/>
      <c r="T544" s="8"/>
      <c r="U544" s="12"/>
      <c r="V544" s="12"/>
      <c r="W544" s="12"/>
      <c r="X544" s="12"/>
      <c r="Y544" s="12"/>
      <c r="Z544" s="12"/>
      <c r="AA544" s="12"/>
      <c r="AB544" s="12"/>
      <c r="AC544" s="12"/>
      <c r="AD544" s="12"/>
      <c r="AE544" s="12"/>
      <c r="AF544" s="12"/>
    </row>
    <row r="545" spans="1:32">
      <c r="A545" s="8"/>
      <c r="B545" s="8"/>
      <c r="C545" s="8"/>
      <c r="D545" s="8"/>
      <c r="E545" s="8"/>
      <c r="F545" s="8"/>
      <c r="G545" s="8"/>
      <c r="H545" s="8"/>
      <c r="I545" s="8"/>
      <c r="J545" s="8"/>
      <c r="K545" s="8"/>
      <c r="L545" s="8"/>
      <c r="M545" s="8"/>
      <c r="N545" s="8"/>
      <c r="O545" s="8"/>
      <c r="P545" s="8"/>
      <c r="Q545" s="8"/>
      <c r="R545" s="8"/>
      <c r="S545" s="8"/>
      <c r="T545" s="8"/>
      <c r="U545" s="12"/>
      <c r="V545" s="12"/>
      <c r="W545" s="12"/>
      <c r="X545" s="12"/>
      <c r="Y545" s="12"/>
      <c r="Z545" s="12"/>
      <c r="AA545" s="12"/>
      <c r="AB545" s="12"/>
      <c r="AC545" s="12"/>
      <c r="AD545" s="12"/>
      <c r="AE545" s="12"/>
      <c r="AF545" s="12"/>
    </row>
    <row r="546" spans="1:32">
      <c r="A546" s="8"/>
      <c r="B546" s="8"/>
      <c r="C546" s="8"/>
      <c r="D546" s="8"/>
      <c r="E546" s="8"/>
      <c r="F546" s="8"/>
      <c r="G546" s="8"/>
      <c r="H546" s="8"/>
      <c r="I546" s="8"/>
      <c r="J546" s="8"/>
      <c r="K546" s="8"/>
      <c r="L546" s="8"/>
      <c r="M546" s="8"/>
      <c r="N546" s="8"/>
      <c r="O546" s="8"/>
      <c r="P546" s="8"/>
      <c r="Q546" s="8"/>
      <c r="R546" s="8"/>
      <c r="S546" s="8"/>
      <c r="T546" s="8"/>
      <c r="U546" s="12"/>
      <c r="V546" s="12"/>
      <c r="W546" s="12"/>
      <c r="X546" s="12"/>
      <c r="Y546" s="12"/>
      <c r="Z546" s="12"/>
      <c r="AA546" s="12"/>
      <c r="AB546" s="12"/>
      <c r="AC546" s="12"/>
      <c r="AD546" s="12"/>
      <c r="AE546" s="12"/>
      <c r="AF546" s="12"/>
    </row>
    <row r="547" spans="1:32">
      <c r="A547" s="8"/>
      <c r="B547" s="8"/>
      <c r="C547" s="8"/>
      <c r="D547" s="8"/>
      <c r="E547" s="8"/>
      <c r="F547" s="8"/>
      <c r="G547" s="8"/>
      <c r="H547" s="8"/>
      <c r="I547" s="8"/>
      <c r="J547" s="8"/>
      <c r="K547" s="8"/>
      <c r="L547" s="8"/>
      <c r="M547" s="8"/>
      <c r="N547" s="8"/>
      <c r="O547" s="8"/>
      <c r="P547" s="8"/>
      <c r="Q547" s="8"/>
      <c r="R547" s="8"/>
      <c r="S547" s="8"/>
      <c r="T547" s="8"/>
      <c r="U547" s="12"/>
      <c r="V547" s="12"/>
      <c r="W547" s="12"/>
      <c r="X547" s="12"/>
      <c r="Y547" s="12"/>
      <c r="Z547" s="12"/>
      <c r="AA547" s="12"/>
      <c r="AB547" s="12"/>
      <c r="AC547" s="12"/>
      <c r="AD547" s="12"/>
      <c r="AE547" s="12"/>
      <c r="AF547" s="12"/>
    </row>
    <row r="548" spans="1:32">
      <c r="A548" s="8"/>
      <c r="B548" s="8"/>
      <c r="C548" s="8"/>
      <c r="D548" s="8"/>
      <c r="E548" s="8"/>
      <c r="F548" s="8"/>
      <c r="G548" s="8"/>
      <c r="H548" s="8"/>
      <c r="I548" s="8"/>
      <c r="J548" s="8"/>
      <c r="K548" s="8"/>
      <c r="L548" s="8"/>
      <c r="M548" s="8"/>
      <c r="N548" s="8"/>
      <c r="O548" s="8"/>
      <c r="P548" s="8"/>
      <c r="Q548" s="8"/>
      <c r="R548" s="8"/>
      <c r="S548" s="8"/>
      <c r="T548" s="8"/>
      <c r="U548" s="12"/>
      <c r="V548" s="12"/>
      <c r="W548" s="12"/>
      <c r="X548" s="12"/>
      <c r="Y548" s="12"/>
      <c r="Z548" s="12"/>
      <c r="AA548" s="12"/>
      <c r="AB548" s="12"/>
      <c r="AC548" s="12"/>
      <c r="AD548" s="12"/>
      <c r="AE548" s="12"/>
      <c r="AF548" s="12"/>
    </row>
    <row r="549" spans="1:32">
      <c r="A549" s="8"/>
      <c r="B549" s="8"/>
      <c r="C549" s="8"/>
      <c r="D549" s="8"/>
      <c r="E549" s="8"/>
      <c r="F549" s="8"/>
      <c r="G549" s="8"/>
      <c r="H549" s="8"/>
      <c r="I549" s="8"/>
      <c r="J549" s="8"/>
      <c r="K549" s="8"/>
      <c r="L549" s="8"/>
      <c r="M549" s="8"/>
      <c r="N549" s="8"/>
      <c r="O549" s="8"/>
      <c r="P549" s="8"/>
      <c r="Q549" s="8"/>
      <c r="R549" s="8"/>
      <c r="S549" s="8"/>
      <c r="T549" s="8"/>
      <c r="U549" s="12"/>
      <c r="V549" s="12"/>
      <c r="W549" s="12"/>
      <c r="X549" s="12"/>
      <c r="Y549" s="12"/>
      <c r="Z549" s="12"/>
      <c r="AA549" s="12"/>
      <c r="AB549" s="12"/>
      <c r="AC549" s="12"/>
      <c r="AD549" s="12"/>
      <c r="AE549" s="12"/>
      <c r="AF549" s="12"/>
    </row>
    <row r="550" spans="1:32">
      <c r="A550" s="8"/>
      <c r="B550" s="8"/>
      <c r="C550" s="8"/>
      <c r="D550" s="8"/>
      <c r="E550" s="8"/>
      <c r="F550" s="8"/>
      <c r="G550" s="8"/>
      <c r="H550" s="8"/>
      <c r="I550" s="8"/>
      <c r="J550" s="8"/>
      <c r="K550" s="8"/>
      <c r="L550" s="8"/>
      <c r="M550" s="8"/>
      <c r="N550" s="8"/>
      <c r="O550" s="8"/>
      <c r="P550" s="8"/>
      <c r="Q550" s="8"/>
      <c r="R550" s="8"/>
      <c r="S550" s="8"/>
      <c r="T550" s="8"/>
      <c r="U550" s="12"/>
      <c r="V550" s="12"/>
      <c r="W550" s="12"/>
      <c r="X550" s="12"/>
      <c r="Y550" s="12"/>
      <c r="Z550" s="12"/>
      <c r="AA550" s="12"/>
      <c r="AB550" s="12"/>
      <c r="AC550" s="12"/>
      <c r="AD550" s="12"/>
      <c r="AE550" s="12"/>
      <c r="AF550" s="12"/>
    </row>
    <row r="551" spans="1:32">
      <c r="A551" s="8"/>
      <c r="B551" s="8"/>
      <c r="C551" s="8"/>
      <c r="D551" s="8"/>
      <c r="E551" s="8"/>
      <c r="F551" s="8"/>
      <c r="G551" s="8"/>
      <c r="H551" s="8"/>
      <c r="I551" s="8"/>
      <c r="J551" s="8"/>
      <c r="K551" s="8"/>
      <c r="L551" s="8"/>
      <c r="M551" s="8"/>
      <c r="N551" s="8"/>
      <c r="O551" s="8"/>
      <c r="P551" s="8"/>
      <c r="Q551" s="8"/>
      <c r="R551" s="8"/>
      <c r="S551" s="8"/>
      <c r="T551" s="8"/>
      <c r="U551" s="12"/>
      <c r="V551" s="12"/>
      <c r="W551" s="12"/>
      <c r="X551" s="12"/>
      <c r="Y551" s="12"/>
      <c r="Z551" s="12"/>
      <c r="AA551" s="12"/>
      <c r="AB551" s="12"/>
      <c r="AC551" s="12"/>
      <c r="AD551" s="12"/>
      <c r="AE551" s="12"/>
      <c r="AF551" s="12"/>
    </row>
    <row r="552" spans="1:32">
      <c r="A552" s="8"/>
      <c r="B552" s="8"/>
      <c r="C552" s="8"/>
      <c r="D552" s="8"/>
      <c r="E552" s="8"/>
      <c r="F552" s="8"/>
      <c r="G552" s="8"/>
      <c r="H552" s="8"/>
      <c r="I552" s="8"/>
      <c r="J552" s="8"/>
      <c r="K552" s="8"/>
      <c r="L552" s="8"/>
      <c r="M552" s="8"/>
      <c r="N552" s="8"/>
      <c r="O552" s="8"/>
      <c r="P552" s="8"/>
      <c r="Q552" s="8"/>
      <c r="R552" s="8"/>
      <c r="S552" s="8"/>
      <c r="T552" s="8"/>
      <c r="U552" s="12"/>
      <c r="V552" s="12"/>
      <c r="W552" s="12"/>
      <c r="X552" s="12"/>
      <c r="Y552" s="12"/>
      <c r="Z552" s="12"/>
      <c r="AA552" s="12"/>
      <c r="AB552" s="12"/>
      <c r="AC552" s="12"/>
      <c r="AD552" s="12"/>
      <c r="AE552" s="12"/>
      <c r="AF552" s="12"/>
    </row>
    <row r="553" spans="1:32">
      <c r="A553" s="8"/>
      <c r="B553" s="8"/>
      <c r="C553" s="8"/>
      <c r="D553" s="8"/>
      <c r="E553" s="8"/>
      <c r="F553" s="8"/>
      <c r="G553" s="8"/>
      <c r="H553" s="8"/>
      <c r="I553" s="8"/>
      <c r="J553" s="8"/>
      <c r="K553" s="8"/>
      <c r="L553" s="8"/>
      <c r="M553" s="8"/>
      <c r="N553" s="8"/>
      <c r="O553" s="8"/>
      <c r="P553" s="8"/>
      <c r="Q553" s="8"/>
      <c r="R553" s="8"/>
      <c r="S553" s="8"/>
      <c r="T553" s="8"/>
      <c r="U553" s="12"/>
      <c r="V553" s="12"/>
      <c r="W553" s="12"/>
      <c r="X553" s="12"/>
      <c r="Y553" s="12"/>
      <c r="Z553" s="12"/>
      <c r="AA553" s="12"/>
      <c r="AB553" s="12"/>
      <c r="AC553" s="12"/>
      <c r="AD553" s="12"/>
      <c r="AE553" s="12"/>
      <c r="AF553" s="12"/>
    </row>
    <row r="554" spans="1:32">
      <c r="A554" s="8"/>
      <c r="B554" s="8"/>
      <c r="C554" s="8"/>
      <c r="D554" s="8"/>
      <c r="E554" s="8"/>
      <c r="F554" s="8"/>
      <c r="G554" s="8"/>
      <c r="H554" s="8"/>
      <c r="I554" s="8"/>
      <c r="J554" s="8"/>
      <c r="K554" s="8"/>
      <c r="L554" s="8"/>
      <c r="M554" s="8"/>
      <c r="N554" s="8"/>
      <c r="O554" s="8"/>
      <c r="P554" s="8"/>
      <c r="Q554" s="8"/>
      <c r="R554" s="8"/>
      <c r="S554" s="8"/>
      <c r="T554" s="8"/>
      <c r="U554" s="12"/>
      <c r="V554" s="12"/>
      <c r="W554" s="12"/>
      <c r="X554" s="12"/>
      <c r="Y554" s="12"/>
      <c r="Z554" s="12"/>
      <c r="AA554" s="12"/>
      <c r="AB554" s="12"/>
      <c r="AC554" s="12"/>
      <c r="AD554" s="12"/>
      <c r="AE554" s="12"/>
      <c r="AF554" s="12"/>
    </row>
    <row r="555" spans="1:32">
      <c r="A555" s="8"/>
      <c r="B555" s="8"/>
      <c r="C555" s="8"/>
      <c r="D555" s="8"/>
      <c r="E555" s="8"/>
      <c r="F555" s="8"/>
      <c r="G555" s="8"/>
      <c r="H555" s="8"/>
      <c r="I555" s="8"/>
      <c r="J555" s="8"/>
      <c r="K555" s="8"/>
      <c r="L555" s="8"/>
      <c r="M555" s="8"/>
      <c r="N555" s="8"/>
      <c r="O555" s="8"/>
      <c r="P555" s="8"/>
      <c r="Q555" s="8"/>
      <c r="R555" s="8"/>
      <c r="S555" s="8"/>
      <c r="T555" s="8"/>
      <c r="U555" s="12"/>
      <c r="V555" s="12"/>
      <c r="W555" s="12"/>
      <c r="X555" s="12"/>
      <c r="Y555" s="12"/>
      <c r="Z555" s="12"/>
      <c r="AA555" s="12"/>
      <c r="AB555" s="12"/>
      <c r="AC555" s="12"/>
      <c r="AD555" s="12"/>
      <c r="AE555" s="12"/>
      <c r="AF555" s="12"/>
    </row>
    <row r="556" spans="1:32">
      <c r="A556" s="8"/>
      <c r="B556" s="8"/>
      <c r="C556" s="8"/>
      <c r="D556" s="8"/>
      <c r="E556" s="8"/>
      <c r="F556" s="8"/>
      <c r="G556" s="8"/>
      <c r="H556" s="8"/>
      <c r="I556" s="8"/>
      <c r="J556" s="8"/>
      <c r="K556" s="8"/>
      <c r="L556" s="8"/>
      <c r="M556" s="8"/>
      <c r="N556" s="8"/>
      <c r="O556" s="8"/>
      <c r="P556" s="8"/>
      <c r="Q556" s="8"/>
      <c r="R556" s="8"/>
      <c r="S556" s="8"/>
      <c r="T556" s="8"/>
      <c r="U556" s="12"/>
      <c r="V556" s="12"/>
      <c r="W556" s="12"/>
      <c r="X556" s="12"/>
      <c r="Y556" s="12"/>
      <c r="Z556" s="12"/>
      <c r="AA556" s="12"/>
      <c r="AB556" s="12"/>
      <c r="AC556" s="12"/>
      <c r="AD556" s="12"/>
      <c r="AE556" s="12"/>
      <c r="AF556" s="12"/>
    </row>
    <row r="557" spans="1:32">
      <c r="A557" s="8"/>
      <c r="B557" s="8"/>
      <c r="C557" s="8"/>
      <c r="D557" s="8"/>
      <c r="E557" s="8"/>
      <c r="F557" s="8"/>
      <c r="G557" s="8"/>
      <c r="H557" s="8"/>
      <c r="I557" s="8"/>
      <c r="J557" s="8"/>
      <c r="K557" s="8"/>
      <c r="L557" s="8"/>
      <c r="M557" s="8"/>
      <c r="N557" s="8"/>
      <c r="O557" s="8"/>
      <c r="P557" s="8"/>
      <c r="Q557" s="8"/>
      <c r="R557" s="8"/>
      <c r="S557" s="8"/>
      <c r="T557" s="8"/>
      <c r="U557" s="12"/>
      <c r="V557" s="12"/>
      <c r="W557" s="12"/>
      <c r="X557" s="12"/>
      <c r="Y557" s="12"/>
      <c r="Z557" s="12"/>
      <c r="AA557" s="12"/>
      <c r="AB557" s="12"/>
      <c r="AC557" s="12"/>
      <c r="AD557" s="12"/>
      <c r="AE557" s="12"/>
      <c r="AF557" s="12"/>
    </row>
    <row r="558" spans="1:32">
      <c r="A558" s="8"/>
      <c r="B558" s="8"/>
      <c r="C558" s="8"/>
      <c r="D558" s="8"/>
      <c r="E558" s="8"/>
      <c r="F558" s="8"/>
      <c r="G558" s="8"/>
      <c r="H558" s="8"/>
      <c r="I558" s="8"/>
      <c r="J558" s="8"/>
      <c r="K558" s="8"/>
      <c r="L558" s="8"/>
      <c r="M558" s="8"/>
      <c r="N558" s="8"/>
      <c r="O558" s="8"/>
      <c r="P558" s="8"/>
      <c r="Q558" s="8"/>
      <c r="R558" s="8"/>
      <c r="S558" s="8"/>
      <c r="T558" s="8"/>
      <c r="U558" s="12"/>
      <c r="V558" s="12"/>
      <c r="W558" s="12"/>
      <c r="X558" s="12"/>
      <c r="Y558" s="12"/>
      <c r="Z558" s="12"/>
      <c r="AA558" s="12"/>
      <c r="AB558" s="12"/>
      <c r="AC558" s="12"/>
      <c r="AD558" s="12"/>
      <c r="AE558" s="12"/>
      <c r="AF558" s="12"/>
    </row>
    <row r="559" spans="1:32">
      <c r="A559" s="8"/>
      <c r="B559" s="8"/>
      <c r="C559" s="8"/>
      <c r="D559" s="8"/>
      <c r="E559" s="8"/>
      <c r="F559" s="8"/>
      <c r="G559" s="8"/>
      <c r="H559" s="8"/>
      <c r="I559" s="8"/>
      <c r="J559" s="8"/>
      <c r="K559" s="8"/>
      <c r="L559" s="8"/>
      <c r="M559" s="8"/>
      <c r="N559" s="8"/>
      <c r="O559" s="8"/>
      <c r="P559" s="8"/>
      <c r="Q559" s="8"/>
      <c r="R559" s="8"/>
      <c r="S559" s="8"/>
      <c r="T559" s="8"/>
      <c r="U559" s="12"/>
      <c r="V559" s="12"/>
      <c r="W559" s="12"/>
      <c r="X559" s="12"/>
      <c r="Y559" s="12"/>
      <c r="Z559" s="12"/>
      <c r="AA559" s="12"/>
      <c r="AB559" s="12"/>
      <c r="AC559" s="12"/>
      <c r="AD559" s="12"/>
      <c r="AE559" s="12"/>
      <c r="AF559" s="12"/>
    </row>
    <row r="560" spans="1:32">
      <c r="A560" s="8"/>
      <c r="B560" s="8"/>
      <c r="C560" s="8"/>
      <c r="D560" s="8"/>
      <c r="E560" s="8"/>
      <c r="F560" s="8"/>
      <c r="G560" s="8"/>
      <c r="H560" s="8"/>
      <c r="I560" s="8"/>
      <c r="J560" s="8"/>
      <c r="K560" s="8"/>
      <c r="L560" s="8"/>
      <c r="M560" s="8"/>
      <c r="N560" s="8"/>
      <c r="O560" s="8"/>
      <c r="P560" s="8"/>
      <c r="Q560" s="8"/>
      <c r="R560" s="8"/>
      <c r="S560" s="8"/>
      <c r="T560" s="8"/>
      <c r="U560" s="12"/>
      <c r="V560" s="12"/>
      <c r="W560" s="12"/>
      <c r="X560" s="12"/>
      <c r="Y560" s="12"/>
      <c r="Z560" s="12"/>
      <c r="AA560" s="12"/>
      <c r="AB560" s="12"/>
      <c r="AC560" s="12"/>
      <c r="AD560" s="12"/>
      <c r="AE560" s="12"/>
      <c r="AF560" s="12"/>
    </row>
    <row r="561" spans="1:32">
      <c r="A561" s="8"/>
      <c r="B561" s="8"/>
      <c r="C561" s="8"/>
      <c r="D561" s="8"/>
      <c r="E561" s="8"/>
      <c r="F561" s="8"/>
      <c r="G561" s="8"/>
      <c r="H561" s="8"/>
      <c r="I561" s="8"/>
      <c r="J561" s="8"/>
      <c r="K561" s="8"/>
      <c r="L561" s="8"/>
      <c r="M561" s="8"/>
      <c r="N561" s="8"/>
      <c r="O561" s="8"/>
      <c r="P561" s="8"/>
      <c r="Q561" s="8"/>
      <c r="R561" s="8"/>
      <c r="S561" s="8"/>
      <c r="T561" s="8"/>
      <c r="U561" s="12"/>
      <c r="V561" s="12"/>
      <c r="W561" s="12"/>
      <c r="X561" s="12"/>
      <c r="Y561" s="12"/>
      <c r="Z561" s="12"/>
      <c r="AA561" s="12"/>
      <c r="AB561" s="12"/>
      <c r="AC561" s="12"/>
      <c r="AD561" s="12"/>
      <c r="AE561" s="12"/>
      <c r="AF561" s="12"/>
    </row>
    <row r="562" spans="1:32">
      <c r="A562" s="8"/>
      <c r="B562" s="8"/>
      <c r="C562" s="8"/>
      <c r="D562" s="8"/>
      <c r="E562" s="8"/>
      <c r="F562" s="8"/>
      <c r="G562" s="8"/>
      <c r="H562" s="8"/>
      <c r="I562" s="8"/>
      <c r="J562" s="8"/>
      <c r="K562" s="8"/>
      <c r="L562" s="8"/>
      <c r="M562" s="8"/>
      <c r="N562" s="8"/>
      <c r="O562" s="8"/>
      <c r="P562" s="8"/>
      <c r="Q562" s="8"/>
      <c r="R562" s="8"/>
      <c r="S562" s="8"/>
      <c r="T562" s="8"/>
      <c r="U562" s="12"/>
      <c r="V562" s="12"/>
      <c r="W562" s="12"/>
      <c r="X562" s="12"/>
      <c r="Y562" s="12"/>
      <c r="Z562" s="12"/>
      <c r="AA562" s="12"/>
      <c r="AB562" s="12"/>
      <c r="AC562" s="12"/>
      <c r="AD562" s="12"/>
      <c r="AE562" s="12"/>
      <c r="AF562" s="12"/>
    </row>
    <row r="563" spans="1:32">
      <c r="A563" s="8"/>
      <c r="B563" s="8"/>
      <c r="C563" s="8"/>
      <c r="D563" s="8"/>
      <c r="E563" s="8"/>
      <c r="F563" s="8"/>
      <c r="G563" s="8"/>
      <c r="H563" s="8"/>
      <c r="I563" s="8"/>
      <c r="J563" s="8"/>
      <c r="K563" s="8"/>
      <c r="L563" s="8"/>
      <c r="M563" s="8"/>
      <c r="N563" s="8"/>
      <c r="O563" s="8"/>
      <c r="P563" s="8"/>
      <c r="Q563" s="8"/>
      <c r="R563" s="8"/>
      <c r="S563" s="8"/>
      <c r="T563" s="8"/>
      <c r="U563" s="12"/>
      <c r="V563" s="12"/>
      <c r="W563" s="12"/>
      <c r="X563" s="12"/>
      <c r="Y563" s="12"/>
      <c r="Z563" s="12"/>
      <c r="AA563" s="12"/>
      <c r="AB563" s="12"/>
      <c r="AC563" s="12"/>
      <c r="AD563" s="12"/>
      <c r="AE563" s="12"/>
      <c r="AF563" s="12"/>
    </row>
    <row r="564" spans="1:32">
      <c r="A564" s="8"/>
      <c r="B564" s="8"/>
      <c r="C564" s="8"/>
      <c r="D564" s="8"/>
      <c r="E564" s="8"/>
      <c r="F564" s="8"/>
      <c r="G564" s="8"/>
      <c r="H564" s="8"/>
      <c r="I564" s="8"/>
      <c r="J564" s="8"/>
      <c r="K564" s="8"/>
      <c r="L564" s="8"/>
      <c r="M564" s="8"/>
      <c r="N564" s="8"/>
      <c r="O564" s="8"/>
      <c r="P564" s="8"/>
      <c r="Q564" s="8"/>
      <c r="R564" s="8"/>
      <c r="S564" s="8"/>
      <c r="T564" s="8"/>
      <c r="U564" s="12"/>
      <c r="V564" s="12"/>
      <c r="W564" s="12"/>
      <c r="X564" s="12"/>
      <c r="Y564" s="12"/>
      <c r="Z564" s="12"/>
      <c r="AA564" s="12"/>
      <c r="AB564" s="12"/>
      <c r="AC564" s="12"/>
      <c r="AD564" s="12"/>
      <c r="AE564" s="12"/>
      <c r="AF564" s="12"/>
    </row>
    <row r="565" spans="1:32">
      <c r="A565" s="8"/>
      <c r="B565" s="8"/>
      <c r="C565" s="8"/>
      <c r="D565" s="8"/>
      <c r="E565" s="8"/>
      <c r="F565" s="8"/>
      <c r="G565" s="8"/>
      <c r="H565" s="8"/>
      <c r="I565" s="8"/>
      <c r="J565" s="8"/>
      <c r="K565" s="8"/>
      <c r="L565" s="8"/>
      <c r="M565" s="8"/>
      <c r="N565" s="8"/>
      <c r="O565" s="8"/>
      <c r="P565" s="8"/>
      <c r="Q565" s="8"/>
      <c r="R565" s="8"/>
      <c r="S565" s="8"/>
      <c r="T565" s="8"/>
      <c r="U565" s="12"/>
      <c r="V565" s="12"/>
      <c r="W565" s="12"/>
      <c r="X565" s="12"/>
      <c r="Y565" s="12"/>
      <c r="Z565" s="12"/>
      <c r="AA565" s="12"/>
      <c r="AB565" s="12"/>
      <c r="AC565" s="12"/>
      <c r="AD565" s="12"/>
      <c r="AE565" s="12"/>
      <c r="AF565" s="12"/>
    </row>
    <row r="566" spans="1:32">
      <c r="A566" s="8"/>
      <c r="B566" s="8"/>
      <c r="C566" s="8"/>
      <c r="D566" s="8"/>
      <c r="E566" s="8"/>
      <c r="F566" s="8"/>
      <c r="G566" s="8"/>
      <c r="H566" s="8"/>
      <c r="I566" s="8"/>
      <c r="J566" s="8"/>
      <c r="K566" s="8"/>
      <c r="L566" s="8"/>
      <c r="M566" s="8"/>
      <c r="N566" s="8"/>
      <c r="O566" s="8"/>
      <c r="P566" s="8"/>
      <c r="Q566" s="8"/>
      <c r="R566" s="8"/>
      <c r="S566" s="8"/>
      <c r="T566" s="8"/>
      <c r="U566" s="12"/>
      <c r="V566" s="12"/>
      <c r="W566" s="12"/>
      <c r="X566" s="12"/>
      <c r="Y566" s="12"/>
      <c r="Z566" s="12"/>
      <c r="AA566" s="12"/>
      <c r="AB566" s="12"/>
      <c r="AC566" s="12"/>
      <c r="AD566" s="12"/>
      <c r="AE566" s="12"/>
      <c r="AF566" s="12"/>
    </row>
    <row r="567" spans="1:32">
      <c r="A567" s="8"/>
      <c r="B567" s="8"/>
      <c r="C567" s="8"/>
      <c r="D567" s="8"/>
      <c r="E567" s="8"/>
      <c r="F567" s="8"/>
      <c r="G567" s="8"/>
      <c r="H567" s="8"/>
      <c r="I567" s="8"/>
      <c r="J567" s="8"/>
      <c r="K567" s="8"/>
      <c r="L567" s="8"/>
      <c r="M567" s="8"/>
      <c r="N567" s="8"/>
      <c r="O567" s="8"/>
      <c r="P567" s="8"/>
      <c r="Q567" s="8"/>
      <c r="R567" s="8"/>
      <c r="S567" s="8"/>
      <c r="T567" s="8"/>
      <c r="U567" s="12"/>
      <c r="V567" s="12"/>
      <c r="W567" s="12"/>
      <c r="X567" s="12"/>
      <c r="Y567" s="12"/>
      <c r="Z567" s="12"/>
      <c r="AA567" s="12"/>
      <c r="AB567" s="12"/>
      <c r="AC567" s="12"/>
      <c r="AD567" s="12"/>
      <c r="AE567" s="12"/>
      <c r="AF567" s="12"/>
    </row>
    <row r="568" spans="1:32">
      <c r="A568" s="8"/>
      <c r="B568" s="8"/>
      <c r="C568" s="8"/>
      <c r="D568" s="8"/>
      <c r="E568" s="8"/>
      <c r="F568" s="8"/>
      <c r="G568" s="8"/>
      <c r="H568" s="8"/>
      <c r="I568" s="8"/>
      <c r="J568" s="8"/>
      <c r="K568" s="8"/>
      <c r="L568" s="8"/>
      <c r="M568" s="8"/>
      <c r="N568" s="8"/>
      <c r="O568" s="8"/>
      <c r="P568" s="8"/>
      <c r="Q568" s="8"/>
      <c r="R568" s="8"/>
      <c r="S568" s="8"/>
      <c r="T568" s="8"/>
      <c r="U568" s="12"/>
      <c r="V568" s="12"/>
      <c r="W568" s="12"/>
      <c r="X568" s="12"/>
      <c r="Y568" s="12"/>
      <c r="Z568" s="12"/>
      <c r="AA568" s="12"/>
      <c r="AB568" s="12"/>
      <c r="AC568" s="12"/>
      <c r="AD568" s="12"/>
      <c r="AE568" s="12"/>
      <c r="AF568" s="12"/>
    </row>
    <row r="569" spans="1:32">
      <c r="A569" s="8"/>
      <c r="B569" s="8"/>
      <c r="C569" s="8"/>
      <c r="D569" s="8"/>
      <c r="E569" s="8"/>
      <c r="F569" s="8"/>
      <c r="G569" s="8"/>
      <c r="H569" s="8"/>
      <c r="I569" s="8"/>
      <c r="J569" s="8"/>
      <c r="K569" s="8"/>
      <c r="L569" s="8"/>
      <c r="M569" s="8"/>
      <c r="N569" s="8"/>
      <c r="O569" s="8"/>
      <c r="P569" s="8"/>
      <c r="Q569" s="8"/>
      <c r="R569" s="8"/>
      <c r="S569" s="8"/>
      <c r="T569" s="8"/>
      <c r="U569" s="12"/>
      <c r="V569" s="12"/>
      <c r="W569" s="12"/>
      <c r="X569" s="12"/>
      <c r="Y569" s="12"/>
      <c r="Z569" s="12"/>
      <c r="AA569" s="12"/>
      <c r="AB569" s="12"/>
      <c r="AC569" s="12"/>
      <c r="AD569" s="12"/>
      <c r="AE569" s="12"/>
      <c r="AF569" s="12"/>
    </row>
    <row r="570" spans="1:32">
      <c r="A570" s="8"/>
      <c r="B570" s="8"/>
      <c r="C570" s="8"/>
      <c r="D570" s="8"/>
      <c r="E570" s="8"/>
      <c r="F570" s="8"/>
      <c r="G570" s="8"/>
      <c r="H570" s="8"/>
      <c r="I570" s="8"/>
      <c r="J570" s="8"/>
      <c r="K570" s="8"/>
      <c r="L570" s="8"/>
      <c r="M570" s="8"/>
      <c r="N570" s="8"/>
      <c r="O570" s="8"/>
      <c r="P570" s="8"/>
      <c r="Q570" s="8"/>
      <c r="R570" s="8"/>
      <c r="S570" s="8"/>
      <c r="T570" s="8"/>
      <c r="U570" s="12"/>
      <c r="V570" s="12"/>
      <c r="W570" s="12"/>
      <c r="X570" s="12"/>
      <c r="Y570" s="12"/>
      <c r="Z570" s="12"/>
      <c r="AA570" s="12"/>
      <c r="AB570" s="12"/>
      <c r="AC570" s="12"/>
      <c r="AD570" s="12"/>
      <c r="AE570" s="12"/>
      <c r="AF570" s="12"/>
    </row>
    <row r="571" spans="1:32">
      <c r="A571" s="8"/>
      <c r="B571" s="8"/>
      <c r="C571" s="8"/>
      <c r="D571" s="8"/>
      <c r="E571" s="8"/>
      <c r="F571" s="8"/>
      <c r="G571" s="8"/>
      <c r="H571" s="8"/>
      <c r="I571" s="8"/>
      <c r="J571" s="8"/>
      <c r="K571" s="8"/>
      <c r="L571" s="8"/>
      <c r="M571" s="8"/>
      <c r="N571" s="8"/>
      <c r="O571" s="8"/>
      <c r="P571" s="8"/>
      <c r="Q571" s="8"/>
      <c r="R571" s="8"/>
      <c r="S571" s="8"/>
      <c r="T571" s="8"/>
      <c r="U571" s="12"/>
      <c r="V571" s="12"/>
      <c r="W571" s="12"/>
      <c r="X571" s="12"/>
      <c r="Y571" s="12"/>
      <c r="Z571" s="12"/>
      <c r="AA571" s="12"/>
      <c r="AB571" s="12"/>
      <c r="AC571" s="12"/>
      <c r="AD571" s="12"/>
      <c r="AE571" s="12"/>
      <c r="AF571" s="12"/>
    </row>
    <row r="572" spans="1:32">
      <c r="A572" s="8"/>
      <c r="B572" s="8"/>
      <c r="C572" s="8"/>
      <c r="D572" s="8"/>
      <c r="E572" s="8"/>
      <c r="F572" s="8"/>
      <c r="G572" s="8"/>
      <c r="H572" s="8"/>
      <c r="I572" s="8"/>
      <c r="J572" s="8"/>
      <c r="K572" s="8"/>
      <c r="L572" s="8"/>
      <c r="M572" s="8"/>
      <c r="N572" s="8"/>
      <c r="O572" s="8"/>
      <c r="P572" s="8"/>
      <c r="Q572" s="8"/>
      <c r="R572" s="8"/>
      <c r="S572" s="8"/>
      <c r="T572" s="8"/>
      <c r="U572" s="12"/>
      <c r="V572" s="12"/>
      <c r="W572" s="12"/>
      <c r="X572" s="12"/>
      <c r="Y572" s="12"/>
      <c r="Z572" s="12"/>
      <c r="AA572" s="12"/>
      <c r="AB572" s="12"/>
      <c r="AC572" s="12"/>
      <c r="AD572" s="12"/>
      <c r="AE572" s="12"/>
      <c r="AF572" s="12"/>
    </row>
    <row r="573" spans="1:32">
      <c r="A573" s="8"/>
      <c r="B573" s="8"/>
      <c r="C573" s="8"/>
      <c r="D573" s="8"/>
      <c r="E573" s="8"/>
      <c r="F573" s="8"/>
      <c r="G573" s="8"/>
      <c r="H573" s="8"/>
      <c r="I573" s="8"/>
      <c r="J573" s="8"/>
      <c r="K573" s="8"/>
      <c r="L573" s="8"/>
      <c r="M573" s="8"/>
      <c r="N573" s="8"/>
      <c r="O573" s="8"/>
      <c r="P573" s="8"/>
      <c r="Q573" s="8"/>
      <c r="R573" s="8"/>
      <c r="S573" s="8"/>
      <c r="T573" s="8"/>
      <c r="U573" s="12"/>
      <c r="V573" s="12"/>
      <c r="W573" s="12"/>
      <c r="X573" s="12"/>
      <c r="Y573" s="12"/>
      <c r="Z573" s="12"/>
      <c r="AA573" s="12"/>
      <c r="AB573" s="12"/>
      <c r="AC573" s="12"/>
      <c r="AD573" s="12"/>
      <c r="AE573" s="12"/>
      <c r="AF573" s="12"/>
    </row>
    <row r="574" spans="1:32">
      <c r="A574" s="8"/>
      <c r="B574" s="8"/>
      <c r="C574" s="8"/>
      <c r="D574" s="8"/>
      <c r="E574" s="8"/>
      <c r="F574" s="8"/>
      <c r="G574" s="8"/>
      <c r="H574" s="8"/>
      <c r="I574" s="8"/>
      <c r="J574" s="8"/>
      <c r="K574" s="8"/>
      <c r="L574" s="8"/>
      <c r="M574" s="8"/>
      <c r="N574" s="8"/>
      <c r="O574" s="8"/>
      <c r="P574" s="8"/>
      <c r="Q574" s="8"/>
      <c r="R574" s="8"/>
      <c r="S574" s="8"/>
      <c r="T574" s="8"/>
      <c r="U574" s="12"/>
      <c r="V574" s="12"/>
      <c r="W574" s="12"/>
      <c r="X574" s="12"/>
      <c r="Y574" s="12"/>
      <c r="Z574" s="12"/>
      <c r="AA574" s="12"/>
      <c r="AB574" s="12"/>
      <c r="AC574" s="12"/>
      <c r="AD574" s="12"/>
      <c r="AE574" s="12"/>
      <c r="AF574" s="12"/>
    </row>
    <row r="575" spans="1:32">
      <c r="A575" s="8"/>
      <c r="B575" s="8"/>
      <c r="C575" s="8"/>
      <c r="D575" s="8"/>
      <c r="E575" s="8"/>
      <c r="F575" s="8"/>
      <c r="G575" s="8"/>
      <c r="H575" s="8"/>
      <c r="I575" s="8"/>
      <c r="J575" s="8"/>
      <c r="K575" s="8"/>
      <c r="L575" s="8"/>
      <c r="M575" s="8"/>
      <c r="N575" s="8"/>
      <c r="O575" s="8"/>
      <c r="P575" s="8"/>
      <c r="Q575" s="8"/>
      <c r="R575" s="8"/>
      <c r="S575" s="8"/>
      <c r="T575" s="8"/>
      <c r="U575" s="12"/>
      <c r="V575" s="12"/>
      <c r="W575" s="12"/>
      <c r="X575" s="12"/>
      <c r="Y575" s="12"/>
      <c r="Z575" s="12"/>
      <c r="AA575" s="12"/>
      <c r="AB575" s="12"/>
      <c r="AC575" s="12"/>
      <c r="AD575" s="12"/>
      <c r="AE575" s="12"/>
      <c r="AF575" s="12"/>
    </row>
    <row r="576" spans="1:32">
      <c r="A576" s="8"/>
      <c r="B576" s="8"/>
      <c r="C576" s="8"/>
      <c r="D576" s="8"/>
      <c r="E576" s="8"/>
      <c r="F576" s="8"/>
      <c r="G576" s="8"/>
      <c r="H576" s="8"/>
      <c r="I576" s="8"/>
      <c r="J576" s="8"/>
      <c r="K576" s="8"/>
      <c r="L576" s="8"/>
      <c r="M576" s="8"/>
      <c r="N576" s="8"/>
      <c r="O576" s="8"/>
      <c r="P576" s="8"/>
      <c r="Q576" s="8"/>
      <c r="R576" s="8"/>
      <c r="S576" s="8"/>
      <c r="T576" s="8"/>
      <c r="U576" s="12"/>
      <c r="V576" s="12"/>
      <c r="W576" s="12"/>
      <c r="X576" s="12"/>
      <c r="Y576" s="12"/>
      <c r="Z576" s="12"/>
      <c r="AA576" s="12"/>
      <c r="AB576" s="12"/>
      <c r="AC576" s="12"/>
      <c r="AD576" s="12"/>
      <c r="AE576" s="12"/>
      <c r="AF576" s="12"/>
    </row>
    <row r="577" spans="1:32">
      <c r="A577" s="8"/>
      <c r="B577" s="8"/>
      <c r="C577" s="8"/>
      <c r="D577" s="8"/>
      <c r="E577" s="8"/>
      <c r="F577" s="8"/>
      <c r="G577" s="8"/>
      <c r="H577" s="8"/>
      <c r="I577" s="8"/>
      <c r="J577" s="8"/>
      <c r="K577" s="8"/>
      <c r="L577" s="8"/>
      <c r="M577" s="8"/>
      <c r="N577" s="8"/>
      <c r="O577" s="8"/>
      <c r="P577" s="8"/>
      <c r="Q577" s="8"/>
      <c r="R577" s="8"/>
      <c r="S577" s="8"/>
      <c r="T577" s="8"/>
      <c r="U577" s="12"/>
      <c r="V577" s="12"/>
      <c r="W577" s="12"/>
      <c r="X577" s="12"/>
      <c r="Y577" s="12"/>
      <c r="Z577" s="12"/>
      <c r="AA577" s="12"/>
      <c r="AB577" s="12"/>
      <c r="AC577" s="12"/>
      <c r="AD577" s="12"/>
      <c r="AE577" s="12"/>
      <c r="AF577" s="12"/>
    </row>
    <row r="578" spans="1:32">
      <c r="A578" s="8"/>
      <c r="B578" s="8"/>
      <c r="C578" s="8"/>
      <c r="D578" s="8"/>
      <c r="E578" s="8"/>
      <c r="F578" s="8"/>
      <c r="G578" s="8"/>
      <c r="H578" s="8"/>
      <c r="I578" s="8"/>
      <c r="J578" s="8"/>
      <c r="K578" s="8"/>
      <c r="L578" s="8"/>
      <c r="M578" s="8"/>
      <c r="N578" s="8"/>
      <c r="O578" s="8"/>
      <c r="P578" s="8"/>
      <c r="Q578" s="8"/>
      <c r="R578" s="8"/>
      <c r="S578" s="8"/>
      <c r="T578" s="8"/>
      <c r="U578" s="12"/>
      <c r="V578" s="12"/>
      <c r="W578" s="12"/>
      <c r="X578" s="12"/>
      <c r="Y578" s="12"/>
      <c r="Z578" s="12"/>
      <c r="AA578" s="12"/>
      <c r="AB578" s="12"/>
      <c r="AC578" s="12"/>
      <c r="AD578" s="12"/>
      <c r="AE578" s="12"/>
      <c r="AF578" s="12"/>
    </row>
    <row r="579" spans="1:32">
      <c r="A579" s="8"/>
      <c r="B579" s="8"/>
      <c r="C579" s="8"/>
      <c r="D579" s="8"/>
      <c r="E579" s="8"/>
      <c r="F579" s="8"/>
      <c r="G579" s="8"/>
      <c r="H579" s="8"/>
      <c r="I579" s="8"/>
      <c r="J579" s="8"/>
      <c r="K579" s="8"/>
      <c r="L579" s="8"/>
      <c r="M579" s="8"/>
      <c r="N579" s="8"/>
      <c r="O579" s="8"/>
      <c r="P579" s="8"/>
      <c r="Q579" s="8"/>
      <c r="R579" s="8"/>
      <c r="S579" s="8"/>
      <c r="T579" s="8"/>
      <c r="U579" s="12"/>
      <c r="V579" s="12"/>
      <c r="W579" s="12"/>
      <c r="X579" s="12"/>
      <c r="Y579" s="12"/>
      <c r="Z579" s="12"/>
      <c r="AA579" s="12"/>
      <c r="AB579" s="12"/>
      <c r="AC579" s="12"/>
      <c r="AD579" s="12"/>
      <c r="AE579" s="12"/>
      <c r="AF579" s="12"/>
    </row>
    <row r="580" spans="1:32">
      <c r="A580" s="8"/>
      <c r="B580" s="8"/>
      <c r="C580" s="8"/>
      <c r="D580" s="8"/>
      <c r="E580" s="8"/>
      <c r="F580" s="8"/>
      <c r="G580" s="8"/>
      <c r="H580" s="8"/>
      <c r="I580" s="8"/>
      <c r="J580" s="8"/>
      <c r="K580" s="8"/>
      <c r="L580" s="8"/>
      <c r="M580" s="8"/>
      <c r="N580" s="8"/>
      <c r="O580" s="8"/>
      <c r="P580" s="8"/>
      <c r="Q580" s="8"/>
      <c r="R580" s="8"/>
      <c r="S580" s="8"/>
      <c r="T580" s="8"/>
      <c r="U580" s="12"/>
      <c r="V580" s="12"/>
      <c r="W580" s="12"/>
      <c r="X580" s="12"/>
      <c r="Y580" s="12"/>
      <c r="Z580" s="12"/>
      <c r="AA580" s="12"/>
      <c r="AB580" s="12"/>
      <c r="AC580" s="12"/>
      <c r="AD580" s="12"/>
      <c r="AE580" s="12"/>
      <c r="AF580" s="12"/>
    </row>
    <row r="581" spans="1:32">
      <c r="A581" s="8"/>
      <c r="B581" s="8"/>
      <c r="C581" s="8"/>
      <c r="D581" s="8"/>
      <c r="E581" s="8"/>
      <c r="F581" s="8"/>
      <c r="G581" s="8"/>
      <c r="H581" s="8"/>
      <c r="I581" s="8"/>
      <c r="J581" s="8"/>
      <c r="K581" s="8"/>
      <c r="L581" s="8"/>
      <c r="M581" s="8"/>
      <c r="N581" s="8"/>
      <c r="O581" s="8"/>
      <c r="P581" s="8"/>
      <c r="Q581" s="8"/>
      <c r="R581" s="8"/>
      <c r="S581" s="8"/>
      <c r="T581" s="8"/>
      <c r="U581" s="12"/>
      <c r="V581" s="12"/>
      <c r="W581" s="12"/>
      <c r="X581" s="12"/>
      <c r="Y581" s="12"/>
      <c r="Z581" s="12"/>
      <c r="AA581" s="12"/>
      <c r="AB581" s="12"/>
      <c r="AC581" s="12"/>
      <c r="AD581" s="12"/>
      <c r="AE581" s="12"/>
      <c r="AF581" s="12"/>
    </row>
    <row r="582" spans="1:32">
      <c r="A582" s="8"/>
      <c r="B582" s="8"/>
      <c r="C582" s="8"/>
      <c r="D582" s="8"/>
      <c r="E582" s="8"/>
      <c r="F582" s="8"/>
      <c r="G582" s="8"/>
      <c r="H582" s="8"/>
      <c r="I582" s="8"/>
      <c r="J582" s="8"/>
      <c r="K582" s="8"/>
      <c r="L582" s="8"/>
      <c r="M582" s="8"/>
      <c r="N582" s="8"/>
      <c r="O582" s="8"/>
      <c r="P582" s="8"/>
      <c r="Q582" s="8"/>
      <c r="R582" s="8"/>
      <c r="S582" s="8"/>
      <c r="T582" s="8"/>
      <c r="U582" s="12"/>
      <c r="V582" s="12"/>
      <c r="W582" s="12"/>
      <c r="X582" s="12"/>
      <c r="Y582" s="12"/>
      <c r="Z582" s="12"/>
      <c r="AA582" s="12"/>
      <c r="AB582" s="12"/>
      <c r="AC582" s="12"/>
      <c r="AD582" s="12"/>
      <c r="AE582" s="12"/>
      <c r="AF582" s="12"/>
    </row>
    <row r="583" spans="1:32">
      <c r="A583" s="8"/>
      <c r="B583" s="8"/>
      <c r="C583" s="8"/>
      <c r="D583" s="8"/>
      <c r="E583" s="8"/>
      <c r="F583" s="8"/>
      <c r="G583" s="8"/>
      <c r="H583" s="8"/>
      <c r="I583" s="8"/>
      <c r="J583" s="8"/>
      <c r="K583" s="8"/>
      <c r="L583" s="8"/>
      <c r="M583" s="8"/>
      <c r="N583" s="8"/>
      <c r="O583" s="8"/>
      <c r="P583" s="8"/>
      <c r="Q583" s="8"/>
      <c r="R583" s="8"/>
      <c r="S583" s="8"/>
      <c r="T583" s="8"/>
      <c r="U583" s="12"/>
      <c r="V583" s="12"/>
      <c r="W583" s="12"/>
      <c r="X583" s="12"/>
      <c r="Y583" s="12"/>
      <c r="Z583" s="12"/>
      <c r="AA583" s="12"/>
      <c r="AB583" s="12"/>
      <c r="AC583" s="12"/>
      <c r="AD583" s="12"/>
      <c r="AE583" s="12"/>
      <c r="AF583" s="12"/>
    </row>
    <row r="584" spans="1:32">
      <c r="A584" s="8"/>
      <c r="B584" s="8"/>
      <c r="C584" s="8"/>
      <c r="D584" s="8"/>
      <c r="E584" s="8"/>
      <c r="F584" s="8"/>
      <c r="G584" s="8"/>
      <c r="H584" s="8"/>
      <c r="I584" s="8"/>
      <c r="J584" s="8"/>
      <c r="K584" s="8"/>
      <c r="L584" s="8"/>
      <c r="M584" s="8"/>
      <c r="N584" s="8"/>
      <c r="O584" s="8"/>
      <c r="P584" s="8"/>
      <c r="Q584" s="8"/>
      <c r="R584" s="8"/>
      <c r="S584" s="8"/>
      <c r="T584" s="8"/>
      <c r="U584" s="12"/>
      <c r="V584" s="12"/>
      <c r="W584" s="12"/>
      <c r="X584" s="12"/>
      <c r="Y584" s="12"/>
      <c r="Z584" s="12"/>
      <c r="AA584" s="12"/>
      <c r="AB584" s="12"/>
      <c r="AC584" s="12"/>
      <c r="AD584" s="12"/>
      <c r="AE584" s="12"/>
      <c r="AF584" s="12"/>
    </row>
    <row r="585" spans="1:32">
      <c r="A585" s="8"/>
      <c r="B585" s="8"/>
      <c r="C585" s="8"/>
      <c r="D585" s="8"/>
      <c r="E585" s="8"/>
      <c r="F585" s="8"/>
      <c r="G585" s="8"/>
      <c r="H585" s="8"/>
      <c r="I585" s="8"/>
      <c r="J585" s="8"/>
      <c r="K585" s="8"/>
      <c r="L585" s="8"/>
      <c r="M585" s="8"/>
      <c r="N585" s="8"/>
      <c r="O585" s="8"/>
      <c r="P585" s="8"/>
      <c r="Q585" s="8"/>
      <c r="R585" s="8"/>
      <c r="S585" s="8"/>
      <c r="T585" s="8"/>
      <c r="U585" s="12"/>
      <c r="V585" s="12"/>
      <c r="W585" s="12"/>
      <c r="X585" s="12"/>
      <c r="Y585" s="12"/>
      <c r="Z585" s="12"/>
      <c r="AA585" s="12"/>
      <c r="AB585" s="12"/>
      <c r="AC585" s="12"/>
      <c r="AD585" s="12"/>
      <c r="AE585" s="12"/>
      <c r="AF585" s="12"/>
    </row>
    <row r="586" spans="1:32">
      <c r="A586" s="8"/>
      <c r="B586" s="8"/>
      <c r="C586" s="8"/>
      <c r="D586" s="8"/>
      <c r="E586" s="8"/>
      <c r="F586" s="8"/>
      <c r="G586" s="8"/>
      <c r="H586" s="8"/>
      <c r="I586" s="8"/>
      <c r="J586" s="8"/>
      <c r="K586" s="8"/>
      <c r="L586" s="8"/>
      <c r="M586" s="8"/>
      <c r="N586" s="8"/>
      <c r="O586" s="8"/>
      <c r="P586" s="8"/>
      <c r="Q586" s="8"/>
      <c r="R586" s="8"/>
      <c r="S586" s="8"/>
      <c r="T586" s="8"/>
      <c r="U586" s="12"/>
      <c r="V586" s="12"/>
      <c r="W586" s="12"/>
      <c r="X586" s="12"/>
      <c r="Y586" s="12"/>
      <c r="Z586" s="12"/>
      <c r="AA586" s="12"/>
      <c r="AB586" s="12"/>
      <c r="AC586" s="12"/>
      <c r="AD586" s="12"/>
      <c r="AE586" s="12"/>
      <c r="AF586" s="12"/>
    </row>
    <row r="587" spans="1:32">
      <c r="A587" s="8"/>
      <c r="B587" s="8"/>
      <c r="C587" s="8"/>
      <c r="D587" s="8"/>
      <c r="E587" s="8"/>
      <c r="F587" s="8"/>
      <c r="G587" s="8"/>
      <c r="H587" s="8"/>
      <c r="I587" s="8"/>
      <c r="J587" s="8"/>
      <c r="K587" s="8"/>
      <c r="L587" s="8"/>
      <c r="M587" s="8"/>
      <c r="N587" s="8"/>
      <c r="O587" s="8"/>
      <c r="P587" s="8"/>
      <c r="Q587" s="8"/>
      <c r="R587" s="8"/>
      <c r="S587" s="8"/>
      <c r="T587" s="8"/>
      <c r="U587" s="12"/>
      <c r="V587" s="12"/>
      <c r="W587" s="12"/>
      <c r="X587" s="12"/>
      <c r="Y587" s="12"/>
      <c r="Z587" s="12"/>
      <c r="AA587" s="12"/>
      <c r="AB587" s="12"/>
      <c r="AC587" s="12"/>
      <c r="AD587" s="12"/>
      <c r="AE587" s="12"/>
      <c r="AF587" s="12"/>
    </row>
    <row r="588" spans="1:32">
      <c r="A588" s="8"/>
      <c r="B588" s="8"/>
      <c r="C588" s="8"/>
      <c r="D588" s="8"/>
      <c r="E588" s="8"/>
      <c r="F588" s="8"/>
      <c r="G588" s="8"/>
      <c r="H588" s="8"/>
      <c r="I588" s="8"/>
      <c r="J588" s="8"/>
      <c r="K588" s="8"/>
      <c r="L588" s="8"/>
      <c r="M588" s="8"/>
      <c r="N588" s="8"/>
      <c r="O588" s="8"/>
      <c r="P588" s="8"/>
      <c r="Q588" s="8"/>
      <c r="R588" s="8"/>
      <c r="S588" s="8"/>
      <c r="T588" s="8"/>
      <c r="U588" s="12"/>
      <c r="V588" s="12"/>
      <c r="W588" s="12"/>
      <c r="X588" s="12"/>
      <c r="Y588" s="12"/>
      <c r="Z588" s="12"/>
      <c r="AA588" s="12"/>
      <c r="AB588" s="12"/>
      <c r="AC588" s="12"/>
      <c r="AD588" s="12"/>
      <c r="AE588" s="12"/>
      <c r="AF588" s="12"/>
    </row>
    <row r="589" spans="1:32">
      <c r="A589" s="8"/>
      <c r="B589" s="8"/>
      <c r="C589" s="8"/>
      <c r="D589" s="8"/>
      <c r="E589" s="8"/>
      <c r="F589" s="8"/>
      <c r="G589" s="8"/>
      <c r="H589" s="8"/>
      <c r="I589" s="8"/>
      <c r="J589" s="8"/>
      <c r="K589" s="8"/>
      <c r="L589" s="8"/>
      <c r="M589" s="8"/>
      <c r="N589" s="8"/>
      <c r="O589" s="8"/>
      <c r="P589" s="8"/>
      <c r="Q589" s="8"/>
      <c r="R589" s="8"/>
      <c r="S589" s="8"/>
      <c r="T589" s="8"/>
      <c r="U589" s="12"/>
      <c r="V589" s="12"/>
      <c r="W589" s="12"/>
      <c r="X589" s="12"/>
      <c r="Y589" s="12"/>
      <c r="Z589" s="12"/>
      <c r="AA589" s="12"/>
      <c r="AB589" s="12"/>
      <c r="AC589" s="12"/>
      <c r="AD589" s="12"/>
      <c r="AE589" s="12"/>
      <c r="AF589" s="12"/>
    </row>
    <row r="590" spans="1:32">
      <c r="A590" s="8"/>
      <c r="B590" s="8"/>
      <c r="C590" s="8"/>
      <c r="D590" s="8"/>
      <c r="E590" s="8"/>
      <c r="F590" s="8"/>
      <c r="G590" s="8"/>
      <c r="H590" s="8"/>
      <c r="I590" s="8"/>
      <c r="J590" s="8"/>
      <c r="K590" s="8"/>
      <c r="L590" s="8"/>
      <c r="M590" s="8"/>
      <c r="N590" s="8"/>
      <c r="O590" s="8"/>
      <c r="P590" s="8"/>
      <c r="Q590" s="8"/>
      <c r="R590" s="8"/>
      <c r="S590" s="8"/>
      <c r="T590" s="8"/>
      <c r="U590" s="12"/>
      <c r="V590" s="12"/>
      <c r="W590" s="12"/>
      <c r="X590" s="12"/>
      <c r="Y590" s="12"/>
      <c r="Z590" s="12"/>
      <c r="AA590" s="12"/>
      <c r="AB590" s="12"/>
      <c r="AC590" s="12"/>
      <c r="AD590" s="12"/>
      <c r="AE590" s="12"/>
      <c r="AF590" s="12"/>
    </row>
    <row r="591" spans="1:32">
      <c r="A591" s="8"/>
      <c r="B591" s="8"/>
      <c r="C591" s="8"/>
      <c r="D591" s="8"/>
      <c r="E591" s="8"/>
      <c r="F591" s="8"/>
      <c r="G591" s="8"/>
      <c r="H591" s="8"/>
      <c r="I591" s="8"/>
      <c r="J591" s="8"/>
      <c r="K591" s="8"/>
      <c r="L591" s="8"/>
      <c r="M591" s="8"/>
      <c r="N591" s="8"/>
      <c r="O591" s="8"/>
      <c r="P591" s="8"/>
      <c r="Q591" s="8"/>
      <c r="R591" s="8"/>
      <c r="S591" s="8"/>
      <c r="T591" s="8"/>
      <c r="U591" s="12"/>
      <c r="V591" s="12"/>
      <c r="W591" s="12"/>
      <c r="X591" s="12"/>
      <c r="Y591" s="12"/>
      <c r="Z591" s="12"/>
      <c r="AA591" s="12"/>
      <c r="AB591" s="12"/>
      <c r="AC591" s="12"/>
      <c r="AD591" s="12"/>
      <c r="AE591" s="12"/>
      <c r="AF591" s="12"/>
    </row>
    <row r="592" spans="1:32">
      <c r="A592" s="8"/>
      <c r="B592" s="8"/>
      <c r="C592" s="8"/>
      <c r="D592" s="8"/>
      <c r="E592" s="8"/>
      <c r="F592" s="8"/>
      <c r="G592" s="8"/>
      <c r="H592" s="8"/>
      <c r="I592" s="8"/>
      <c r="J592" s="8"/>
      <c r="K592" s="8"/>
      <c r="L592" s="8"/>
      <c r="M592" s="8"/>
      <c r="N592" s="8"/>
      <c r="O592" s="8"/>
      <c r="P592" s="8"/>
      <c r="Q592" s="8"/>
      <c r="R592" s="8"/>
      <c r="S592" s="8"/>
      <c r="T592" s="8"/>
      <c r="U592" s="12"/>
      <c r="V592" s="12"/>
      <c r="W592" s="12"/>
      <c r="X592" s="12"/>
      <c r="Y592" s="12"/>
      <c r="Z592" s="12"/>
      <c r="AA592" s="12"/>
      <c r="AB592" s="12"/>
      <c r="AC592" s="12"/>
      <c r="AD592" s="12"/>
      <c r="AE592" s="12"/>
      <c r="AF592" s="12"/>
    </row>
    <row r="593" spans="1:32">
      <c r="A593" s="8"/>
      <c r="B593" s="8"/>
      <c r="C593" s="8"/>
      <c r="D593" s="8"/>
      <c r="E593" s="8"/>
      <c r="F593" s="8"/>
      <c r="G593" s="8"/>
      <c r="H593" s="8"/>
      <c r="I593" s="8"/>
      <c r="J593" s="8"/>
      <c r="K593" s="8"/>
      <c r="L593" s="8"/>
      <c r="M593" s="8"/>
      <c r="N593" s="8"/>
      <c r="O593" s="8"/>
      <c r="P593" s="8"/>
      <c r="Q593" s="8"/>
      <c r="R593" s="8"/>
      <c r="S593" s="8"/>
      <c r="T593" s="8"/>
      <c r="U593" s="12"/>
      <c r="V593" s="12"/>
      <c r="W593" s="12"/>
      <c r="X593" s="12"/>
      <c r="Y593" s="12"/>
      <c r="Z593" s="12"/>
      <c r="AA593" s="12"/>
      <c r="AB593" s="12"/>
      <c r="AC593" s="12"/>
      <c r="AD593" s="12"/>
      <c r="AE593" s="12"/>
      <c r="AF593" s="12"/>
    </row>
    <row r="594" spans="1:32">
      <c r="A594" s="8"/>
      <c r="B594" s="8"/>
      <c r="C594" s="8"/>
      <c r="D594" s="8"/>
      <c r="E594" s="8"/>
      <c r="F594" s="8"/>
      <c r="G594" s="8"/>
      <c r="H594" s="8"/>
      <c r="I594" s="8"/>
      <c r="J594" s="8"/>
      <c r="K594" s="8"/>
      <c r="L594" s="8"/>
      <c r="M594" s="8"/>
      <c r="N594" s="8"/>
      <c r="O594" s="8"/>
      <c r="P594" s="8"/>
      <c r="Q594" s="8"/>
      <c r="R594" s="8"/>
      <c r="S594" s="8"/>
      <c r="T594" s="8"/>
      <c r="U594" s="12"/>
      <c r="V594" s="12"/>
      <c r="W594" s="12"/>
      <c r="X594" s="12"/>
      <c r="Y594" s="12"/>
      <c r="Z594" s="12"/>
      <c r="AA594" s="12"/>
      <c r="AB594" s="12"/>
      <c r="AC594" s="12"/>
      <c r="AD594" s="12"/>
      <c r="AE594" s="12"/>
      <c r="AF594" s="12"/>
    </row>
    <row r="595" spans="1:32">
      <c r="A595" s="8"/>
      <c r="B595" s="8"/>
      <c r="C595" s="8"/>
      <c r="D595" s="8"/>
      <c r="E595" s="8"/>
      <c r="F595" s="8"/>
      <c r="G595" s="8"/>
      <c r="H595" s="8"/>
      <c r="I595" s="8"/>
      <c r="J595" s="8"/>
      <c r="K595" s="8"/>
      <c r="L595" s="8"/>
      <c r="M595" s="8"/>
      <c r="N595" s="8"/>
      <c r="O595" s="8"/>
      <c r="P595" s="8"/>
      <c r="Q595" s="8"/>
      <c r="R595" s="8"/>
      <c r="S595" s="8"/>
      <c r="T595" s="8"/>
      <c r="U595" s="12"/>
      <c r="V595" s="12"/>
      <c r="W595" s="12"/>
      <c r="X595" s="12"/>
      <c r="Y595" s="12"/>
      <c r="Z595" s="12"/>
      <c r="AA595" s="12"/>
      <c r="AB595" s="12"/>
      <c r="AC595" s="12"/>
      <c r="AD595" s="12"/>
      <c r="AE595" s="12"/>
      <c r="AF595" s="12"/>
    </row>
    <row r="596" spans="1:32">
      <c r="A596" s="8"/>
      <c r="B596" s="8"/>
      <c r="C596" s="8"/>
      <c r="D596" s="8"/>
      <c r="E596" s="8"/>
      <c r="F596" s="8"/>
      <c r="G596" s="8"/>
      <c r="H596" s="8"/>
      <c r="I596" s="8"/>
      <c r="J596" s="8"/>
      <c r="K596" s="8"/>
      <c r="L596" s="8"/>
      <c r="M596" s="8"/>
      <c r="N596" s="8"/>
      <c r="O596" s="8"/>
      <c r="P596" s="8"/>
      <c r="Q596" s="8"/>
      <c r="R596" s="8"/>
      <c r="S596" s="8"/>
      <c r="T596" s="8"/>
      <c r="U596" s="12"/>
      <c r="V596" s="12"/>
      <c r="W596" s="12"/>
      <c r="X596" s="12"/>
      <c r="Y596" s="12"/>
      <c r="Z596" s="12"/>
      <c r="AA596" s="12"/>
      <c r="AB596" s="12"/>
      <c r="AC596" s="12"/>
      <c r="AD596" s="12"/>
      <c r="AE596" s="12"/>
      <c r="AF596" s="12"/>
    </row>
    <row r="597" spans="1:32">
      <c r="A597" s="8"/>
      <c r="B597" s="8"/>
      <c r="C597" s="8"/>
      <c r="D597" s="8"/>
      <c r="E597" s="8"/>
      <c r="F597" s="8"/>
      <c r="G597" s="8"/>
      <c r="H597" s="8"/>
      <c r="I597" s="8"/>
      <c r="J597" s="8"/>
      <c r="K597" s="8"/>
      <c r="L597" s="8"/>
      <c r="M597" s="8"/>
      <c r="N597" s="8"/>
      <c r="O597" s="8"/>
      <c r="P597" s="8"/>
      <c r="Q597" s="8"/>
      <c r="R597" s="8"/>
      <c r="S597" s="8"/>
      <c r="T597" s="8"/>
      <c r="U597" s="12"/>
      <c r="V597" s="12"/>
      <c r="W597" s="12"/>
      <c r="X597" s="12"/>
      <c r="Y597" s="12"/>
      <c r="Z597" s="12"/>
      <c r="AA597" s="12"/>
      <c r="AB597" s="12"/>
      <c r="AC597" s="12"/>
      <c r="AD597" s="12"/>
      <c r="AE597" s="12"/>
      <c r="AF597" s="12"/>
    </row>
    <row r="598" spans="1:32">
      <c r="A598" s="8"/>
      <c r="B598" s="8"/>
      <c r="C598" s="8"/>
      <c r="D598" s="8"/>
      <c r="E598" s="8"/>
      <c r="F598" s="8"/>
      <c r="G598" s="8"/>
      <c r="H598" s="8"/>
      <c r="I598" s="8"/>
      <c r="J598" s="8"/>
      <c r="K598" s="8"/>
      <c r="L598" s="8"/>
      <c r="M598" s="8"/>
      <c r="N598" s="8"/>
      <c r="O598" s="8"/>
      <c r="P598" s="8"/>
      <c r="Q598" s="8"/>
      <c r="R598" s="8"/>
      <c r="S598" s="8"/>
      <c r="T598" s="8"/>
      <c r="U598" s="12"/>
      <c r="V598" s="12"/>
      <c r="W598" s="12"/>
      <c r="X598" s="12"/>
      <c r="Y598" s="12"/>
      <c r="Z598" s="12"/>
      <c r="AA598" s="12"/>
      <c r="AB598" s="12"/>
      <c r="AC598" s="12"/>
      <c r="AD598" s="12"/>
      <c r="AE598" s="12"/>
      <c r="AF598" s="12"/>
    </row>
    <row r="599" spans="1:32">
      <c r="A599" s="8"/>
      <c r="B599" s="8"/>
      <c r="C599" s="8"/>
      <c r="D599" s="8"/>
      <c r="E599" s="8"/>
      <c r="F599" s="8"/>
      <c r="G599" s="8"/>
      <c r="H599" s="8"/>
      <c r="I599" s="8"/>
      <c r="J599" s="8"/>
      <c r="K599" s="8"/>
      <c r="L599" s="8"/>
      <c r="M599" s="8"/>
      <c r="N599" s="8"/>
      <c r="O599" s="8"/>
      <c r="P599" s="8"/>
      <c r="Q599" s="8"/>
      <c r="R599" s="8"/>
      <c r="S599" s="8"/>
      <c r="T599" s="8"/>
      <c r="U599" s="12"/>
      <c r="V599" s="12"/>
      <c r="W599" s="12"/>
      <c r="X599" s="12"/>
      <c r="Y599" s="12"/>
      <c r="Z599" s="12"/>
      <c r="AA599" s="12"/>
      <c r="AB599" s="12"/>
      <c r="AC599" s="12"/>
      <c r="AD599" s="12"/>
      <c r="AE599" s="12"/>
      <c r="AF599" s="12"/>
    </row>
    <row r="600" spans="1:32">
      <c r="A600" s="8"/>
      <c r="B600" s="8"/>
      <c r="C600" s="8"/>
      <c r="D600" s="8"/>
      <c r="E600" s="8"/>
      <c r="F600" s="8"/>
      <c r="G600" s="8"/>
      <c r="H600" s="8"/>
      <c r="I600" s="8"/>
      <c r="J600" s="8"/>
      <c r="K600" s="8"/>
      <c r="L600" s="8"/>
      <c r="M600" s="8"/>
      <c r="N600" s="8"/>
      <c r="O600" s="8"/>
      <c r="P600" s="8"/>
      <c r="Q600" s="8"/>
      <c r="R600" s="8"/>
      <c r="S600" s="8"/>
      <c r="T600" s="8"/>
      <c r="U600" s="12"/>
      <c r="V600" s="12"/>
      <c r="W600" s="12"/>
      <c r="X600" s="12"/>
      <c r="Y600" s="12"/>
      <c r="Z600" s="12"/>
      <c r="AA600" s="12"/>
      <c r="AB600" s="12"/>
      <c r="AC600" s="12"/>
      <c r="AD600" s="12"/>
      <c r="AE600" s="12"/>
      <c r="AF600" s="12"/>
    </row>
    <row r="601" spans="1:32">
      <c r="A601" s="8"/>
      <c r="B601" s="8"/>
      <c r="C601" s="8"/>
      <c r="D601" s="8"/>
      <c r="E601" s="8"/>
      <c r="F601" s="8"/>
      <c r="G601" s="8"/>
      <c r="H601" s="8"/>
      <c r="I601" s="8"/>
      <c r="J601" s="8"/>
      <c r="K601" s="8"/>
      <c r="L601" s="8"/>
      <c r="M601" s="8"/>
      <c r="N601" s="8"/>
      <c r="O601" s="8"/>
      <c r="P601" s="8"/>
      <c r="Q601" s="8"/>
      <c r="R601" s="8"/>
      <c r="S601" s="8"/>
      <c r="T601" s="8"/>
      <c r="U601" s="12"/>
      <c r="V601" s="12"/>
      <c r="W601" s="12"/>
      <c r="X601" s="12"/>
      <c r="Y601" s="12"/>
      <c r="Z601" s="12"/>
      <c r="AA601" s="12"/>
      <c r="AB601" s="12"/>
      <c r="AC601" s="12"/>
      <c r="AD601" s="12"/>
      <c r="AE601" s="12"/>
      <c r="AF601" s="12"/>
    </row>
    <row r="602" spans="1:32">
      <c r="A602" s="8"/>
      <c r="B602" s="8"/>
      <c r="C602" s="8"/>
      <c r="D602" s="8"/>
      <c r="E602" s="8"/>
      <c r="F602" s="8"/>
      <c r="G602" s="8"/>
      <c r="H602" s="8"/>
      <c r="I602" s="8"/>
      <c r="J602" s="8"/>
      <c r="K602" s="8"/>
      <c r="L602" s="8"/>
      <c r="M602" s="8"/>
      <c r="N602" s="8"/>
      <c r="O602" s="8"/>
      <c r="P602" s="8"/>
      <c r="Q602" s="8"/>
      <c r="R602" s="8"/>
      <c r="S602" s="8"/>
      <c r="T602" s="8"/>
      <c r="U602" s="12"/>
      <c r="V602" s="12"/>
      <c r="W602" s="12"/>
      <c r="X602" s="12"/>
      <c r="Y602" s="12"/>
      <c r="Z602" s="12"/>
      <c r="AA602" s="12"/>
      <c r="AB602" s="12"/>
      <c r="AC602" s="12"/>
      <c r="AD602" s="12"/>
      <c r="AE602" s="12"/>
      <c r="AF602" s="12"/>
    </row>
    <row r="603" spans="1:32">
      <c r="A603" s="8"/>
      <c r="B603" s="8"/>
      <c r="C603" s="8"/>
      <c r="D603" s="8"/>
      <c r="E603" s="8"/>
      <c r="F603" s="8"/>
      <c r="G603" s="8"/>
      <c r="H603" s="8"/>
      <c r="I603" s="8"/>
      <c r="J603" s="8"/>
      <c r="K603" s="8"/>
      <c r="L603" s="8"/>
      <c r="M603" s="8"/>
      <c r="N603" s="8"/>
      <c r="O603" s="8"/>
      <c r="P603" s="8"/>
      <c r="Q603" s="8"/>
      <c r="R603" s="8"/>
      <c r="S603" s="8"/>
      <c r="T603" s="8"/>
      <c r="U603" s="12"/>
      <c r="V603" s="12"/>
      <c r="W603" s="12"/>
      <c r="X603" s="12"/>
      <c r="Y603" s="12"/>
      <c r="Z603" s="12"/>
      <c r="AA603" s="12"/>
      <c r="AB603" s="12"/>
      <c r="AC603" s="12"/>
      <c r="AD603" s="12"/>
      <c r="AE603" s="12"/>
      <c r="AF603" s="12"/>
    </row>
    <row r="604" spans="1:32">
      <c r="A604" s="8"/>
      <c r="B604" s="8"/>
      <c r="C604" s="8"/>
      <c r="D604" s="8"/>
      <c r="E604" s="8"/>
      <c r="F604" s="8"/>
      <c r="G604" s="8"/>
      <c r="H604" s="8"/>
      <c r="I604" s="8"/>
      <c r="J604" s="8"/>
      <c r="K604" s="8"/>
      <c r="L604" s="8"/>
      <c r="M604" s="8"/>
      <c r="N604" s="8"/>
      <c r="O604" s="8"/>
      <c r="P604" s="8"/>
      <c r="Q604" s="8"/>
      <c r="R604" s="8"/>
      <c r="S604" s="8"/>
      <c r="T604" s="8"/>
      <c r="U604" s="12"/>
      <c r="V604" s="12"/>
      <c r="W604" s="12"/>
      <c r="X604" s="12"/>
      <c r="Y604" s="12"/>
      <c r="Z604" s="12"/>
      <c r="AA604" s="12"/>
      <c r="AB604" s="12"/>
      <c r="AC604" s="12"/>
      <c r="AD604" s="12"/>
      <c r="AE604" s="12"/>
      <c r="AF604" s="12"/>
    </row>
    <row r="605" spans="1:32">
      <c r="A605" s="8"/>
      <c r="B605" s="8"/>
      <c r="C605" s="8"/>
      <c r="D605" s="8"/>
      <c r="E605" s="8"/>
      <c r="F605" s="8"/>
      <c r="G605" s="8"/>
      <c r="H605" s="8"/>
      <c r="I605" s="8"/>
      <c r="J605" s="8"/>
      <c r="K605" s="8"/>
      <c r="L605" s="8"/>
      <c r="M605" s="8"/>
      <c r="N605" s="8"/>
      <c r="O605" s="8"/>
      <c r="P605" s="8"/>
      <c r="Q605" s="8"/>
      <c r="R605" s="8"/>
      <c r="S605" s="8"/>
      <c r="T605" s="8"/>
      <c r="U605" s="12"/>
      <c r="V605" s="12"/>
      <c r="W605" s="12"/>
      <c r="X605" s="12"/>
      <c r="Y605" s="12"/>
      <c r="Z605" s="12"/>
      <c r="AA605" s="12"/>
      <c r="AB605" s="12"/>
      <c r="AC605" s="12"/>
      <c r="AD605" s="12"/>
      <c r="AE605" s="12"/>
      <c r="AF605" s="12"/>
    </row>
    <row r="606" spans="1:32">
      <c r="A606" s="8"/>
      <c r="B606" s="8"/>
      <c r="C606" s="8"/>
      <c r="D606" s="8"/>
      <c r="E606" s="8"/>
      <c r="F606" s="8"/>
      <c r="G606" s="8"/>
      <c r="H606" s="8"/>
      <c r="I606" s="8"/>
      <c r="J606" s="8"/>
      <c r="K606" s="8"/>
      <c r="L606" s="8"/>
      <c r="M606" s="8"/>
      <c r="N606" s="8"/>
      <c r="O606" s="8"/>
      <c r="P606" s="8"/>
      <c r="Q606" s="8"/>
      <c r="R606" s="8"/>
      <c r="S606" s="8"/>
      <c r="T606" s="8"/>
      <c r="U606" s="12"/>
      <c r="V606" s="12"/>
      <c r="W606" s="12"/>
      <c r="X606" s="12"/>
      <c r="Y606" s="12"/>
      <c r="Z606" s="12"/>
      <c r="AA606" s="12"/>
      <c r="AB606" s="12"/>
      <c r="AC606" s="12"/>
      <c r="AD606" s="12"/>
      <c r="AE606" s="12"/>
      <c r="AF606" s="12"/>
    </row>
    <row r="607" spans="1:32">
      <c r="A607" s="8"/>
      <c r="B607" s="8"/>
      <c r="C607" s="8"/>
      <c r="D607" s="8"/>
      <c r="E607" s="8"/>
      <c r="F607" s="8"/>
      <c r="G607" s="8"/>
      <c r="H607" s="8"/>
      <c r="I607" s="8"/>
      <c r="J607" s="8"/>
      <c r="K607" s="8"/>
      <c r="L607" s="8"/>
      <c r="M607" s="8"/>
      <c r="N607" s="8"/>
      <c r="O607" s="8"/>
      <c r="P607" s="8"/>
      <c r="Q607" s="8"/>
      <c r="R607" s="8"/>
      <c r="S607" s="8"/>
      <c r="T607" s="8"/>
      <c r="U607" s="12"/>
      <c r="V607" s="12"/>
      <c r="W607" s="12"/>
      <c r="X607" s="12"/>
      <c r="Y607" s="12"/>
      <c r="Z607" s="12"/>
      <c r="AA607" s="12"/>
      <c r="AB607" s="12"/>
      <c r="AC607" s="12"/>
      <c r="AD607" s="12"/>
      <c r="AE607" s="12"/>
      <c r="AF607" s="12"/>
    </row>
    <row r="608" spans="1:32">
      <c r="A608" s="8"/>
      <c r="B608" s="8"/>
      <c r="C608" s="8"/>
      <c r="D608" s="8"/>
      <c r="E608" s="8"/>
      <c r="F608" s="8"/>
      <c r="G608" s="8"/>
      <c r="H608" s="8"/>
      <c r="I608" s="8"/>
      <c r="J608" s="8"/>
      <c r="K608" s="8"/>
      <c r="L608" s="8"/>
      <c r="M608" s="8"/>
      <c r="N608" s="8"/>
      <c r="O608" s="8"/>
      <c r="P608" s="8"/>
      <c r="Q608" s="8"/>
      <c r="R608" s="8"/>
      <c r="S608" s="8"/>
      <c r="T608" s="8"/>
      <c r="U608" s="12"/>
      <c r="V608" s="12"/>
      <c r="W608" s="12"/>
      <c r="X608" s="12"/>
      <c r="Y608" s="12"/>
      <c r="Z608" s="12"/>
      <c r="AA608" s="12"/>
      <c r="AB608" s="12"/>
      <c r="AC608" s="12"/>
      <c r="AD608" s="12"/>
      <c r="AE608" s="12"/>
      <c r="AF608" s="12"/>
    </row>
    <row r="609" spans="1:32">
      <c r="A609" s="8"/>
      <c r="B609" s="8"/>
      <c r="C609" s="8"/>
      <c r="D609" s="8"/>
      <c r="E609" s="8"/>
      <c r="F609" s="8"/>
      <c r="G609" s="8"/>
      <c r="H609" s="8"/>
      <c r="I609" s="8"/>
      <c r="J609" s="8"/>
      <c r="K609" s="8"/>
      <c r="L609" s="8"/>
      <c r="M609" s="8"/>
      <c r="N609" s="8"/>
      <c r="O609" s="8"/>
      <c r="P609" s="8"/>
      <c r="Q609" s="8"/>
      <c r="R609" s="8"/>
      <c r="S609" s="8"/>
      <c r="T609" s="8"/>
      <c r="U609" s="12"/>
      <c r="V609" s="12"/>
      <c r="W609" s="12"/>
      <c r="X609" s="12"/>
      <c r="Y609" s="12"/>
      <c r="Z609" s="12"/>
      <c r="AA609" s="12"/>
      <c r="AB609" s="12"/>
      <c r="AC609" s="12"/>
      <c r="AD609" s="12"/>
      <c r="AE609" s="12"/>
      <c r="AF609" s="12"/>
    </row>
    <row r="610" spans="1:32">
      <c r="A610" s="8"/>
      <c r="B610" s="8"/>
      <c r="C610" s="8"/>
      <c r="D610" s="8"/>
      <c r="E610" s="8"/>
      <c r="F610" s="8"/>
      <c r="G610" s="8"/>
      <c r="H610" s="8"/>
      <c r="I610" s="8"/>
      <c r="J610" s="8"/>
      <c r="K610" s="8"/>
      <c r="L610" s="8"/>
      <c r="M610" s="8"/>
      <c r="N610" s="8"/>
      <c r="O610" s="8"/>
      <c r="P610" s="8"/>
      <c r="Q610" s="8"/>
      <c r="R610" s="8"/>
      <c r="S610" s="8"/>
      <c r="T610" s="8"/>
      <c r="U610" s="12"/>
      <c r="V610" s="12"/>
      <c r="W610" s="12"/>
      <c r="X610" s="12"/>
      <c r="Y610" s="12"/>
      <c r="Z610" s="12"/>
      <c r="AA610" s="12"/>
      <c r="AB610" s="12"/>
      <c r="AC610" s="12"/>
      <c r="AD610" s="12"/>
      <c r="AE610" s="12"/>
      <c r="AF610" s="12"/>
    </row>
    <row r="611" spans="1:32">
      <c r="A611" s="8"/>
      <c r="B611" s="8"/>
      <c r="C611" s="8"/>
      <c r="D611" s="8"/>
      <c r="E611" s="8"/>
      <c r="F611" s="8"/>
      <c r="G611" s="8"/>
      <c r="H611" s="8"/>
      <c r="I611" s="8"/>
      <c r="J611" s="8"/>
      <c r="K611" s="8"/>
      <c r="L611" s="8"/>
      <c r="M611" s="8"/>
      <c r="N611" s="8"/>
      <c r="O611" s="8"/>
      <c r="P611" s="8"/>
      <c r="Q611" s="8"/>
      <c r="R611" s="8"/>
      <c r="S611" s="8"/>
      <c r="T611" s="8"/>
      <c r="U611" s="12"/>
      <c r="V611" s="12"/>
      <c r="W611" s="12"/>
      <c r="X611" s="12"/>
      <c r="Y611" s="12"/>
      <c r="Z611" s="12"/>
      <c r="AA611" s="12"/>
      <c r="AB611" s="12"/>
      <c r="AC611" s="12"/>
      <c r="AD611" s="12"/>
      <c r="AE611" s="12"/>
      <c r="AF611" s="12"/>
    </row>
    <row r="612" spans="1:32">
      <c r="A612" s="8"/>
      <c r="B612" s="8"/>
      <c r="C612" s="8"/>
      <c r="D612" s="8"/>
      <c r="E612" s="8"/>
      <c r="F612" s="8"/>
      <c r="G612" s="8"/>
      <c r="H612" s="8"/>
      <c r="I612" s="8"/>
      <c r="J612" s="8"/>
      <c r="K612" s="8"/>
      <c r="L612" s="8"/>
      <c r="M612" s="8"/>
      <c r="N612" s="8"/>
      <c r="O612" s="8"/>
      <c r="P612" s="8"/>
      <c r="Q612" s="8"/>
      <c r="R612" s="8"/>
      <c r="S612" s="8"/>
      <c r="T612" s="8"/>
      <c r="U612" s="12"/>
      <c r="V612" s="12"/>
      <c r="W612" s="12"/>
      <c r="X612" s="12"/>
      <c r="Y612" s="12"/>
      <c r="Z612" s="12"/>
      <c r="AA612" s="12"/>
      <c r="AB612" s="12"/>
      <c r="AC612" s="12"/>
      <c r="AD612" s="12"/>
      <c r="AE612" s="12"/>
      <c r="AF612" s="12"/>
    </row>
    <row r="613" spans="1:32">
      <c r="A613" s="8"/>
      <c r="B613" s="8"/>
      <c r="C613" s="8"/>
      <c r="D613" s="8"/>
      <c r="E613" s="8"/>
      <c r="F613" s="8"/>
      <c r="G613" s="8"/>
      <c r="H613" s="8"/>
      <c r="I613" s="8"/>
      <c r="J613" s="8"/>
      <c r="K613" s="8"/>
      <c r="L613" s="8"/>
      <c r="M613" s="8"/>
      <c r="N613" s="8"/>
      <c r="O613" s="8"/>
      <c r="P613" s="8"/>
      <c r="Q613" s="8"/>
      <c r="R613" s="8"/>
      <c r="S613" s="8"/>
      <c r="T613" s="8"/>
      <c r="U613" s="12"/>
      <c r="V613" s="12"/>
      <c r="W613" s="12"/>
      <c r="X613" s="12"/>
      <c r="Y613" s="12"/>
      <c r="Z613" s="12"/>
      <c r="AA613" s="12"/>
      <c r="AB613" s="12"/>
      <c r="AC613" s="12"/>
      <c r="AD613" s="12"/>
      <c r="AE613" s="12"/>
      <c r="AF613" s="12"/>
    </row>
    <row r="614" spans="1:32">
      <c r="A614" s="8"/>
      <c r="B614" s="8"/>
      <c r="C614" s="8"/>
      <c r="D614" s="8"/>
      <c r="E614" s="8"/>
      <c r="F614" s="8"/>
      <c r="G614" s="8"/>
      <c r="H614" s="8"/>
      <c r="I614" s="8"/>
      <c r="J614" s="8"/>
      <c r="K614" s="8"/>
      <c r="L614" s="8"/>
      <c r="M614" s="8"/>
      <c r="N614" s="8"/>
      <c r="O614" s="8"/>
      <c r="P614" s="8"/>
      <c r="Q614" s="8"/>
      <c r="R614" s="8"/>
      <c r="S614" s="8"/>
      <c r="T614" s="8"/>
      <c r="U614" s="12"/>
      <c r="V614" s="12"/>
      <c r="W614" s="12"/>
      <c r="X614" s="12"/>
      <c r="Y614" s="12"/>
      <c r="Z614" s="12"/>
      <c r="AA614" s="12"/>
      <c r="AB614" s="12"/>
      <c r="AC614" s="12"/>
      <c r="AD614" s="12"/>
      <c r="AE614" s="12"/>
      <c r="AF614" s="12"/>
    </row>
    <row r="615" spans="1:32">
      <c r="A615" s="8"/>
      <c r="B615" s="8"/>
      <c r="C615" s="8"/>
      <c r="D615" s="8"/>
      <c r="E615" s="8"/>
      <c r="F615" s="8"/>
      <c r="G615" s="8"/>
      <c r="H615" s="8"/>
      <c r="I615" s="8"/>
      <c r="J615" s="8"/>
      <c r="K615" s="8"/>
      <c r="L615" s="8"/>
      <c r="M615" s="8"/>
      <c r="N615" s="8"/>
      <c r="O615" s="8"/>
      <c r="P615" s="8"/>
      <c r="Q615" s="8"/>
      <c r="R615" s="8"/>
      <c r="S615" s="8"/>
      <c r="T615" s="8"/>
      <c r="U615" s="12"/>
      <c r="V615" s="12"/>
      <c r="W615" s="12"/>
      <c r="X615" s="12"/>
      <c r="Y615" s="12"/>
      <c r="Z615" s="12"/>
      <c r="AA615" s="12"/>
      <c r="AB615" s="12"/>
      <c r="AC615" s="12"/>
      <c r="AD615" s="12"/>
      <c r="AE615" s="12"/>
      <c r="AF615" s="12"/>
    </row>
    <row r="616" spans="1:32">
      <c r="A616" s="8"/>
      <c r="B616" s="8"/>
      <c r="C616" s="8"/>
      <c r="D616" s="8"/>
      <c r="E616" s="8"/>
      <c r="F616" s="8"/>
      <c r="G616" s="8"/>
      <c r="H616" s="8"/>
      <c r="I616" s="8"/>
      <c r="J616" s="8"/>
      <c r="K616" s="8"/>
      <c r="L616" s="8"/>
      <c r="M616" s="8"/>
      <c r="N616" s="8"/>
      <c r="O616" s="8"/>
      <c r="P616" s="8"/>
      <c r="Q616" s="8"/>
      <c r="R616" s="8"/>
      <c r="S616" s="8"/>
      <c r="T616" s="8"/>
      <c r="U616" s="12"/>
      <c r="V616" s="12"/>
      <c r="W616" s="12"/>
      <c r="X616" s="12"/>
      <c r="Y616" s="12"/>
      <c r="Z616" s="12"/>
      <c r="AA616" s="12"/>
      <c r="AB616" s="12"/>
      <c r="AC616" s="12"/>
      <c r="AD616" s="12"/>
      <c r="AE616" s="12"/>
      <c r="AF616" s="12"/>
    </row>
    <row r="617" spans="1:32">
      <c r="A617" s="8"/>
      <c r="B617" s="8"/>
      <c r="C617" s="8"/>
      <c r="D617" s="8"/>
      <c r="E617" s="8"/>
      <c r="F617" s="8"/>
      <c r="G617" s="8"/>
      <c r="H617" s="8"/>
      <c r="I617" s="8"/>
      <c r="J617" s="8"/>
      <c r="K617" s="8"/>
      <c r="L617" s="8"/>
      <c r="M617" s="8"/>
      <c r="N617" s="8"/>
      <c r="O617" s="8"/>
      <c r="P617" s="8"/>
      <c r="Q617" s="8"/>
      <c r="R617" s="8"/>
      <c r="S617" s="8"/>
      <c r="T617" s="8"/>
      <c r="U617" s="12"/>
      <c r="V617" s="12"/>
      <c r="W617" s="12"/>
      <c r="X617" s="12"/>
      <c r="Y617" s="12"/>
      <c r="Z617" s="12"/>
      <c r="AA617" s="12"/>
      <c r="AB617" s="12"/>
      <c r="AC617" s="12"/>
      <c r="AD617" s="12"/>
      <c r="AE617" s="12"/>
      <c r="AF617" s="12"/>
    </row>
    <row r="618" spans="1:32">
      <c r="A618" s="8"/>
      <c r="B618" s="8"/>
      <c r="C618" s="8"/>
      <c r="D618" s="8"/>
      <c r="E618" s="8"/>
      <c r="F618" s="8"/>
      <c r="G618" s="8"/>
      <c r="H618" s="8"/>
      <c r="I618" s="8"/>
      <c r="J618" s="8"/>
      <c r="K618" s="8"/>
      <c r="L618" s="8"/>
      <c r="M618" s="8"/>
      <c r="N618" s="8"/>
      <c r="O618" s="8"/>
      <c r="P618" s="8"/>
      <c r="Q618" s="8"/>
      <c r="R618" s="8"/>
      <c r="S618" s="8"/>
      <c r="T618" s="8"/>
      <c r="U618" s="12"/>
      <c r="V618" s="12"/>
      <c r="W618" s="12"/>
      <c r="X618" s="12"/>
      <c r="Y618" s="12"/>
      <c r="Z618" s="12"/>
      <c r="AA618" s="12"/>
      <c r="AB618" s="12"/>
      <c r="AC618" s="12"/>
      <c r="AD618" s="12"/>
      <c r="AE618" s="12"/>
      <c r="AF618" s="12"/>
    </row>
    <row r="619" spans="1:32">
      <c r="A619" s="8"/>
      <c r="B619" s="8"/>
      <c r="C619" s="8"/>
      <c r="D619" s="8"/>
      <c r="E619" s="8"/>
      <c r="F619" s="8"/>
      <c r="G619" s="8"/>
      <c r="H619" s="8"/>
      <c r="I619" s="8"/>
      <c r="J619" s="8"/>
      <c r="K619" s="8"/>
      <c r="L619" s="8"/>
      <c r="M619" s="8"/>
      <c r="N619" s="8"/>
      <c r="O619" s="8"/>
      <c r="P619" s="8"/>
      <c r="Q619" s="8"/>
      <c r="R619" s="8"/>
      <c r="S619" s="8"/>
      <c r="T619" s="8"/>
      <c r="U619" s="12"/>
      <c r="V619" s="12"/>
      <c r="W619" s="12"/>
      <c r="X619" s="12"/>
      <c r="Y619" s="12"/>
      <c r="Z619" s="12"/>
      <c r="AA619" s="12"/>
      <c r="AB619" s="12"/>
      <c r="AC619" s="12"/>
      <c r="AD619" s="12"/>
      <c r="AE619" s="12"/>
      <c r="AF619" s="12"/>
    </row>
    <row r="620" spans="1:32">
      <c r="A620" s="8"/>
      <c r="B620" s="8"/>
      <c r="C620" s="8"/>
      <c r="D620" s="8"/>
      <c r="E620" s="8"/>
      <c r="F620" s="8"/>
      <c r="G620" s="8"/>
      <c r="H620" s="8"/>
      <c r="I620" s="8"/>
      <c r="J620" s="8"/>
      <c r="K620" s="8"/>
      <c r="L620" s="8"/>
      <c r="M620" s="8"/>
      <c r="N620" s="8"/>
      <c r="O620" s="8"/>
      <c r="P620" s="8"/>
      <c r="Q620" s="8"/>
      <c r="R620" s="8"/>
      <c r="S620" s="8"/>
      <c r="T620" s="8"/>
      <c r="U620" s="12"/>
      <c r="V620" s="12"/>
      <c r="W620" s="12"/>
      <c r="X620" s="12"/>
      <c r="Y620" s="12"/>
      <c r="Z620" s="12"/>
      <c r="AA620" s="12"/>
      <c r="AB620" s="12"/>
      <c r="AC620" s="12"/>
      <c r="AD620" s="12"/>
      <c r="AE620" s="12"/>
      <c r="AF620" s="12"/>
    </row>
    <row r="621" spans="1:32">
      <c r="A621" s="8"/>
      <c r="B621" s="8"/>
      <c r="C621" s="8"/>
      <c r="D621" s="8"/>
      <c r="E621" s="8"/>
      <c r="F621" s="8"/>
      <c r="G621" s="8"/>
      <c r="H621" s="8"/>
      <c r="I621" s="8"/>
      <c r="J621" s="8"/>
      <c r="K621" s="8"/>
      <c r="L621" s="8"/>
      <c r="M621" s="8"/>
      <c r="N621" s="8"/>
      <c r="O621" s="8"/>
      <c r="P621" s="8"/>
      <c r="Q621" s="8"/>
      <c r="R621" s="8"/>
      <c r="S621" s="8"/>
      <c r="T621" s="8"/>
      <c r="U621" s="12"/>
      <c r="V621" s="12"/>
      <c r="W621" s="12"/>
      <c r="X621" s="12"/>
      <c r="Y621" s="12"/>
      <c r="Z621" s="12"/>
      <c r="AA621" s="12"/>
      <c r="AB621" s="12"/>
      <c r="AC621" s="12"/>
      <c r="AD621" s="12"/>
      <c r="AE621" s="12"/>
      <c r="AF621" s="12"/>
    </row>
    <row r="622" spans="1:32">
      <c r="A622" s="8"/>
      <c r="B622" s="8"/>
      <c r="C622" s="8"/>
      <c r="D622" s="8"/>
      <c r="E622" s="8"/>
      <c r="F622" s="8"/>
      <c r="G622" s="8"/>
      <c r="H622" s="8"/>
      <c r="I622" s="8"/>
      <c r="J622" s="8"/>
      <c r="K622" s="8"/>
      <c r="L622" s="8"/>
      <c r="M622" s="8"/>
      <c r="N622" s="8"/>
      <c r="O622" s="8"/>
      <c r="P622" s="8"/>
      <c r="Q622" s="8"/>
      <c r="R622" s="8"/>
      <c r="S622" s="8"/>
      <c r="T622" s="8"/>
      <c r="U622" s="12"/>
      <c r="V622" s="12"/>
      <c r="W622" s="12"/>
      <c r="X622" s="12"/>
      <c r="Y622" s="12"/>
      <c r="Z622" s="12"/>
      <c r="AA622" s="12"/>
      <c r="AB622" s="12"/>
      <c r="AC622" s="12"/>
      <c r="AD622" s="12"/>
      <c r="AE622" s="12"/>
      <c r="AF622" s="12"/>
    </row>
    <row r="623" spans="1:32">
      <c r="A623" s="8"/>
      <c r="B623" s="8"/>
      <c r="C623" s="8"/>
      <c r="D623" s="8"/>
      <c r="E623" s="8"/>
      <c r="F623" s="8"/>
      <c r="G623" s="8"/>
      <c r="H623" s="8"/>
      <c r="I623" s="8"/>
      <c r="J623" s="8"/>
      <c r="K623" s="8"/>
      <c r="L623" s="8"/>
      <c r="M623" s="8"/>
      <c r="N623" s="8"/>
      <c r="O623" s="8"/>
      <c r="P623" s="8"/>
      <c r="Q623" s="8"/>
      <c r="R623" s="8"/>
      <c r="S623" s="8"/>
      <c r="T623" s="8"/>
      <c r="U623" s="12"/>
      <c r="V623" s="12"/>
      <c r="W623" s="12"/>
      <c r="X623" s="12"/>
      <c r="Y623" s="12"/>
      <c r="Z623" s="12"/>
      <c r="AA623" s="12"/>
      <c r="AB623" s="12"/>
      <c r="AC623" s="12"/>
      <c r="AD623" s="12"/>
      <c r="AE623" s="12"/>
      <c r="AF623" s="12"/>
    </row>
    <row r="624" spans="1:32">
      <c r="A624" s="8"/>
      <c r="B624" s="8"/>
      <c r="C624" s="8"/>
      <c r="D624" s="8"/>
      <c r="E624" s="8"/>
      <c r="F624" s="8"/>
      <c r="G624" s="8"/>
      <c r="H624" s="8"/>
      <c r="I624" s="8"/>
      <c r="J624" s="8"/>
      <c r="K624" s="8"/>
      <c r="L624" s="8"/>
      <c r="M624" s="8"/>
      <c r="N624" s="8"/>
      <c r="O624" s="8"/>
      <c r="P624" s="8"/>
      <c r="Q624" s="8"/>
      <c r="R624" s="8"/>
      <c r="S624" s="8"/>
      <c r="T624" s="8"/>
      <c r="U624" s="12"/>
      <c r="V624" s="12"/>
      <c r="W624" s="12"/>
      <c r="X624" s="12"/>
      <c r="Y624" s="12"/>
      <c r="Z624" s="12"/>
      <c r="AA624" s="12"/>
      <c r="AB624" s="12"/>
      <c r="AC624" s="12"/>
      <c r="AD624" s="12"/>
      <c r="AE624" s="12"/>
      <c r="AF624" s="12"/>
    </row>
    <row r="625" spans="1:32">
      <c r="A625" s="8"/>
      <c r="B625" s="8"/>
      <c r="C625" s="8"/>
      <c r="D625" s="8"/>
      <c r="E625" s="8"/>
      <c r="F625" s="8"/>
      <c r="G625" s="8"/>
      <c r="H625" s="8"/>
      <c r="I625" s="8"/>
      <c r="J625" s="8"/>
      <c r="K625" s="8"/>
      <c r="L625" s="8"/>
      <c r="M625" s="8"/>
      <c r="N625" s="8"/>
      <c r="O625" s="8"/>
      <c r="P625" s="8"/>
      <c r="Q625" s="8"/>
      <c r="R625" s="8"/>
      <c r="S625" s="8"/>
      <c r="T625" s="8"/>
      <c r="U625" s="12"/>
      <c r="V625" s="12"/>
      <c r="W625" s="12"/>
      <c r="X625" s="12"/>
      <c r="Y625" s="12"/>
      <c r="Z625" s="12"/>
      <c r="AA625" s="12"/>
      <c r="AB625" s="12"/>
      <c r="AC625" s="12"/>
      <c r="AD625" s="12"/>
      <c r="AE625" s="12"/>
      <c r="AF625" s="12"/>
    </row>
    <row r="626" spans="1:32">
      <c r="A626" s="8"/>
      <c r="B626" s="8"/>
      <c r="C626" s="8"/>
      <c r="D626" s="8"/>
      <c r="E626" s="8"/>
      <c r="F626" s="8"/>
      <c r="G626" s="8"/>
      <c r="H626" s="8"/>
      <c r="I626" s="8"/>
      <c r="J626" s="8"/>
      <c r="K626" s="8"/>
      <c r="L626" s="8"/>
      <c r="M626" s="8"/>
      <c r="N626" s="8"/>
      <c r="O626" s="8"/>
      <c r="P626" s="8"/>
      <c r="Q626" s="8"/>
      <c r="R626" s="8"/>
      <c r="S626" s="8"/>
      <c r="T626" s="8"/>
      <c r="U626" s="12"/>
      <c r="V626" s="12"/>
      <c r="W626" s="12"/>
      <c r="X626" s="12"/>
      <c r="Y626" s="12"/>
      <c r="Z626" s="12"/>
      <c r="AA626" s="12"/>
      <c r="AB626" s="12"/>
      <c r="AC626" s="12"/>
      <c r="AD626" s="12"/>
      <c r="AE626" s="12"/>
      <c r="AF626" s="12"/>
    </row>
    <row r="627" spans="1:32">
      <c r="A627" s="8"/>
      <c r="B627" s="8"/>
      <c r="C627" s="8"/>
      <c r="D627" s="8"/>
      <c r="E627" s="8"/>
      <c r="F627" s="8"/>
      <c r="G627" s="8"/>
      <c r="H627" s="8"/>
      <c r="I627" s="8"/>
      <c r="J627" s="8"/>
      <c r="K627" s="8"/>
      <c r="L627" s="8"/>
      <c r="M627" s="8"/>
      <c r="N627" s="8"/>
      <c r="O627" s="8"/>
      <c r="P627" s="8"/>
      <c r="Q627" s="8"/>
      <c r="R627" s="8"/>
      <c r="S627" s="8"/>
      <c r="T627" s="8"/>
      <c r="U627" s="12"/>
      <c r="V627" s="12"/>
      <c r="W627" s="12"/>
      <c r="X627" s="12"/>
      <c r="Y627" s="12"/>
      <c r="Z627" s="12"/>
      <c r="AA627" s="12"/>
      <c r="AB627" s="12"/>
      <c r="AC627" s="12"/>
      <c r="AD627" s="12"/>
      <c r="AE627" s="12"/>
      <c r="AF627" s="12"/>
    </row>
    <row r="628" spans="1:32">
      <c r="A628" s="8"/>
      <c r="B628" s="8"/>
      <c r="C628" s="8"/>
      <c r="D628" s="8"/>
      <c r="E628" s="8"/>
      <c r="F628" s="8"/>
      <c r="G628" s="8"/>
      <c r="H628" s="8"/>
      <c r="I628" s="8"/>
      <c r="J628" s="8"/>
      <c r="K628" s="8"/>
      <c r="L628" s="8"/>
      <c r="M628" s="8"/>
      <c r="N628" s="8"/>
      <c r="O628" s="8"/>
      <c r="P628" s="8"/>
      <c r="Q628" s="8"/>
      <c r="R628" s="8"/>
      <c r="S628" s="8"/>
      <c r="T628" s="8"/>
      <c r="U628" s="12"/>
      <c r="V628" s="12"/>
      <c r="W628" s="12"/>
      <c r="X628" s="12"/>
      <c r="Y628" s="12"/>
      <c r="Z628" s="12"/>
      <c r="AA628" s="12"/>
      <c r="AB628" s="12"/>
      <c r="AC628" s="12"/>
      <c r="AD628" s="12"/>
      <c r="AE628" s="12"/>
      <c r="AF628" s="12"/>
    </row>
    <row r="629" spans="1:32">
      <c r="A629" s="8"/>
      <c r="B629" s="8"/>
      <c r="C629" s="8"/>
      <c r="D629" s="8"/>
      <c r="E629" s="8"/>
      <c r="F629" s="8"/>
      <c r="G629" s="8"/>
      <c r="H629" s="8"/>
      <c r="I629" s="8"/>
      <c r="J629" s="8"/>
      <c r="K629" s="8"/>
      <c r="L629" s="8"/>
      <c r="M629" s="8"/>
      <c r="N629" s="8"/>
      <c r="O629" s="8"/>
      <c r="P629" s="8"/>
      <c r="Q629" s="8"/>
      <c r="R629" s="8"/>
      <c r="S629" s="8"/>
      <c r="T629" s="8"/>
      <c r="U629" s="12"/>
      <c r="V629" s="12"/>
      <c r="W629" s="12"/>
      <c r="X629" s="12"/>
      <c r="Y629" s="12"/>
      <c r="Z629" s="12"/>
      <c r="AA629" s="12"/>
      <c r="AB629" s="12"/>
      <c r="AC629" s="12"/>
      <c r="AD629" s="12"/>
      <c r="AE629" s="12"/>
      <c r="AF629" s="12"/>
    </row>
    <row r="630" spans="1:32">
      <c r="A630" s="8"/>
      <c r="B630" s="8"/>
      <c r="C630" s="8"/>
      <c r="D630" s="8"/>
      <c r="E630" s="8"/>
      <c r="F630" s="8"/>
      <c r="G630" s="8"/>
      <c r="H630" s="8"/>
      <c r="I630" s="8"/>
      <c r="J630" s="8"/>
      <c r="K630" s="8"/>
      <c r="L630" s="8"/>
      <c r="M630" s="8"/>
      <c r="N630" s="8"/>
      <c r="O630" s="8"/>
      <c r="P630" s="8"/>
      <c r="Q630" s="8"/>
      <c r="R630" s="8"/>
      <c r="S630" s="8"/>
      <c r="T630" s="8"/>
      <c r="U630" s="12"/>
      <c r="V630" s="12"/>
      <c r="W630" s="12"/>
      <c r="X630" s="12"/>
      <c r="Y630" s="12"/>
      <c r="Z630" s="12"/>
      <c r="AA630" s="12"/>
      <c r="AB630" s="12"/>
      <c r="AC630" s="12"/>
      <c r="AD630" s="12"/>
      <c r="AE630" s="12"/>
      <c r="AF630" s="12"/>
    </row>
    <row r="631" spans="1:32">
      <c r="A631" s="8"/>
      <c r="B631" s="8"/>
      <c r="C631" s="8"/>
      <c r="D631" s="8"/>
      <c r="E631" s="8"/>
      <c r="F631" s="8"/>
      <c r="G631" s="8"/>
      <c r="H631" s="8"/>
      <c r="I631" s="8"/>
      <c r="J631" s="8"/>
      <c r="K631" s="8"/>
      <c r="L631" s="8"/>
      <c r="M631" s="8"/>
      <c r="N631" s="8"/>
      <c r="O631" s="8"/>
      <c r="P631" s="8"/>
      <c r="Q631" s="8"/>
      <c r="R631" s="8"/>
      <c r="S631" s="8"/>
      <c r="T631" s="8"/>
      <c r="U631" s="12"/>
      <c r="V631" s="12"/>
      <c r="W631" s="12"/>
      <c r="X631" s="12"/>
      <c r="Y631" s="12"/>
      <c r="Z631" s="12"/>
      <c r="AA631" s="12"/>
      <c r="AB631" s="12"/>
      <c r="AC631" s="12"/>
      <c r="AD631" s="12"/>
      <c r="AE631" s="12"/>
      <c r="AF631" s="12"/>
    </row>
    <row r="632" spans="1:32">
      <c r="A632" s="8"/>
      <c r="B632" s="8"/>
      <c r="C632" s="8"/>
      <c r="D632" s="8"/>
      <c r="E632" s="8"/>
      <c r="F632" s="8"/>
      <c r="G632" s="8"/>
      <c r="H632" s="8"/>
      <c r="I632" s="8"/>
      <c r="J632" s="8"/>
      <c r="K632" s="8"/>
      <c r="L632" s="8"/>
      <c r="M632" s="8"/>
      <c r="N632" s="8"/>
      <c r="O632" s="8"/>
      <c r="P632" s="8"/>
      <c r="Q632" s="8"/>
      <c r="R632" s="8"/>
      <c r="S632" s="8"/>
      <c r="T632" s="8"/>
      <c r="U632" s="12"/>
      <c r="V632" s="12"/>
      <c r="W632" s="12"/>
      <c r="X632" s="12"/>
      <c r="Y632" s="12"/>
      <c r="Z632" s="12"/>
      <c r="AA632" s="12"/>
      <c r="AB632" s="12"/>
      <c r="AC632" s="12"/>
      <c r="AD632" s="12"/>
      <c r="AE632" s="12"/>
      <c r="AF632" s="12"/>
    </row>
    <row r="633" spans="1:32">
      <c r="A633" s="8"/>
      <c r="B633" s="8"/>
      <c r="C633" s="8"/>
      <c r="D633" s="8"/>
      <c r="E633" s="8"/>
      <c r="F633" s="8"/>
      <c r="G633" s="8"/>
      <c r="H633" s="8"/>
      <c r="I633" s="8"/>
      <c r="J633" s="8"/>
      <c r="K633" s="8"/>
      <c r="L633" s="8"/>
      <c r="M633" s="8"/>
      <c r="N633" s="8"/>
      <c r="O633" s="8"/>
      <c r="P633" s="8"/>
      <c r="Q633" s="8"/>
      <c r="R633" s="8"/>
      <c r="S633" s="8"/>
      <c r="T633" s="8"/>
      <c r="U633" s="12"/>
      <c r="V633" s="12"/>
      <c r="W633" s="12"/>
      <c r="X633" s="12"/>
      <c r="Y633" s="12"/>
      <c r="Z633" s="12"/>
      <c r="AA633" s="12"/>
      <c r="AB633" s="12"/>
      <c r="AC633" s="12"/>
      <c r="AD633" s="12"/>
      <c r="AE633" s="12"/>
      <c r="AF633" s="12"/>
    </row>
    <row r="634" spans="1:32">
      <c r="A634" s="8"/>
      <c r="B634" s="8"/>
      <c r="C634" s="8"/>
      <c r="D634" s="8"/>
      <c r="E634" s="8"/>
      <c r="F634" s="8"/>
      <c r="G634" s="8"/>
      <c r="H634" s="8"/>
      <c r="I634" s="8"/>
      <c r="J634" s="8"/>
      <c r="K634" s="8"/>
      <c r="L634" s="8"/>
      <c r="M634" s="8"/>
      <c r="N634" s="8"/>
      <c r="O634" s="8"/>
      <c r="P634" s="8"/>
      <c r="Q634" s="8"/>
      <c r="R634" s="8"/>
      <c r="S634" s="8"/>
      <c r="T634" s="8"/>
      <c r="U634" s="12"/>
      <c r="V634" s="12"/>
      <c r="W634" s="12"/>
      <c r="X634" s="12"/>
      <c r="Y634" s="12"/>
      <c r="Z634" s="12"/>
      <c r="AA634" s="12"/>
      <c r="AB634" s="12"/>
      <c r="AC634" s="12"/>
      <c r="AD634" s="12"/>
      <c r="AE634" s="12"/>
      <c r="AF634" s="12"/>
    </row>
    <row r="635" spans="1:32">
      <c r="A635" s="8"/>
      <c r="B635" s="8"/>
      <c r="C635" s="8"/>
      <c r="D635" s="8"/>
      <c r="E635" s="8"/>
      <c r="F635" s="8"/>
      <c r="G635" s="8"/>
      <c r="H635" s="8"/>
      <c r="I635" s="8"/>
      <c r="J635" s="8"/>
      <c r="K635" s="8"/>
      <c r="L635" s="8"/>
      <c r="M635" s="8"/>
      <c r="N635" s="8"/>
      <c r="O635" s="8"/>
      <c r="P635" s="8"/>
      <c r="Q635" s="8"/>
      <c r="R635" s="8"/>
      <c r="S635" s="8"/>
      <c r="T635" s="8"/>
      <c r="U635" s="12"/>
      <c r="V635" s="12"/>
      <c r="W635" s="12"/>
      <c r="X635" s="12"/>
      <c r="Y635" s="12"/>
      <c r="Z635" s="12"/>
      <c r="AA635" s="12"/>
      <c r="AB635" s="12"/>
      <c r="AC635" s="12"/>
      <c r="AD635" s="12"/>
      <c r="AE635" s="12"/>
      <c r="AF635" s="12"/>
    </row>
    <row r="636" spans="1:32">
      <c r="A636" s="8"/>
      <c r="B636" s="8"/>
      <c r="C636" s="8"/>
      <c r="D636" s="8"/>
      <c r="E636" s="8"/>
      <c r="F636" s="8"/>
      <c r="G636" s="8"/>
      <c r="H636" s="8"/>
      <c r="I636" s="8"/>
      <c r="J636" s="8"/>
      <c r="K636" s="8"/>
      <c r="L636" s="8"/>
      <c r="M636" s="8"/>
      <c r="N636" s="8"/>
      <c r="O636" s="8"/>
      <c r="P636" s="8"/>
      <c r="Q636" s="8"/>
      <c r="R636" s="8"/>
      <c r="S636" s="8"/>
      <c r="T636" s="8"/>
      <c r="U636" s="12"/>
      <c r="V636" s="12"/>
      <c r="W636" s="12"/>
      <c r="X636" s="12"/>
      <c r="Y636" s="12"/>
      <c r="Z636" s="12"/>
      <c r="AA636" s="12"/>
      <c r="AB636" s="12"/>
      <c r="AC636" s="12"/>
      <c r="AD636" s="12"/>
      <c r="AE636" s="12"/>
      <c r="AF636" s="12"/>
    </row>
    <row r="637" spans="1:32">
      <c r="A637" s="8"/>
      <c r="B637" s="8"/>
      <c r="C637" s="8"/>
      <c r="D637" s="8"/>
      <c r="E637" s="8"/>
      <c r="F637" s="8"/>
      <c r="G637" s="8"/>
      <c r="H637" s="8"/>
      <c r="I637" s="8"/>
      <c r="J637" s="8"/>
      <c r="K637" s="8"/>
      <c r="L637" s="8"/>
      <c r="M637" s="8"/>
      <c r="N637" s="8"/>
      <c r="O637" s="8"/>
      <c r="P637" s="8"/>
      <c r="Q637" s="8"/>
      <c r="R637" s="8"/>
      <c r="S637" s="8"/>
      <c r="T637" s="8"/>
      <c r="U637" s="12"/>
      <c r="V637" s="12"/>
      <c r="W637" s="12"/>
      <c r="X637" s="12"/>
      <c r="Y637" s="12"/>
      <c r="Z637" s="12"/>
      <c r="AA637" s="12"/>
      <c r="AB637" s="12"/>
      <c r="AC637" s="12"/>
      <c r="AD637" s="12"/>
      <c r="AE637" s="12"/>
      <c r="AF637" s="12"/>
    </row>
    <row r="638" spans="1:32">
      <c r="A638" s="8"/>
      <c r="B638" s="8"/>
      <c r="C638" s="8"/>
      <c r="D638" s="8"/>
      <c r="E638" s="8"/>
      <c r="F638" s="8"/>
      <c r="G638" s="8"/>
      <c r="H638" s="8"/>
      <c r="I638" s="8"/>
      <c r="J638" s="8"/>
      <c r="K638" s="8"/>
      <c r="L638" s="8"/>
      <c r="M638" s="8"/>
      <c r="N638" s="8"/>
      <c r="O638" s="8"/>
      <c r="P638" s="8"/>
      <c r="Q638" s="8"/>
      <c r="R638" s="8"/>
      <c r="S638" s="8"/>
      <c r="T638" s="8"/>
      <c r="U638" s="12"/>
      <c r="V638" s="12"/>
      <c r="W638" s="12"/>
      <c r="X638" s="12"/>
      <c r="Y638" s="12"/>
      <c r="Z638" s="12"/>
      <c r="AA638" s="12"/>
      <c r="AB638" s="12"/>
      <c r="AC638" s="12"/>
      <c r="AD638" s="12"/>
      <c r="AE638" s="12"/>
      <c r="AF638" s="12"/>
    </row>
    <row r="639" spans="1:32">
      <c r="A639" s="8"/>
      <c r="B639" s="8"/>
      <c r="C639" s="8"/>
      <c r="D639" s="8"/>
      <c r="E639" s="8"/>
      <c r="F639" s="8"/>
      <c r="G639" s="8"/>
      <c r="H639" s="8"/>
      <c r="I639" s="8"/>
      <c r="J639" s="8"/>
      <c r="K639" s="8"/>
      <c r="L639" s="8"/>
      <c r="M639" s="8"/>
      <c r="N639" s="8"/>
      <c r="O639" s="8"/>
      <c r="P639" s="8"/>
      <c r="Q639" s="8"/>
      <c r="R639" s="8"/>
      <c r="S639" s="8"/>
      <c r="T639" s="8"/>
      <c r="U639" s="12"/>
      <c r="V639" s="12"/>
      <c r="W639" s="12"/>
      <c r="X639" s="12"/>
      <c r="Y639" s="12"/>
      <c r="Z639" s="12"/>
      <c r="AA639" s="12"/>
      <c r="AB639" s="12"/>
      <c r="AC639" s="12"/>
      <c r="AD639" s="12"/>
      <c r="AE639" s="12"/>
      <c r="AF639" s="12"/>
    </row>
    <row r="640" spans="1:32">
      <c r="A640" s="8"/>
      <c r="B640" s="8"/>
      <c r="C640" s="8"/>
      <c r="D640" s="8"/>
      <c r="E640" s="8"/>
      <c r="F640" s="8"/>
      <c r="G640" s="8"/>
      <c r="H640" s="8"/>
      <c r="I640" s="8"/>
      <c r="J640" s="8"/>
      <c r="K640" s="8"/>
      <c r="L640" s="8"/>
      <c r="M640" s="8"/>
      <c r="N640" s="8"/>
      <c r="O640" s="8"/>
      <c r="P640" s="8"/>
      <c r="Q640" s="8"/>
      <c r="R640" s="8"/>
      <c r="S640" s="8"/>
      <c r="T640" s="8"/>
      <c r="U640" s="12"/>
      <c r="V640" s="12"/>
      <c r="W640" s="12"/>
      <c r="X640" s="12"/>
      <c r="Y640" s="12"/>
      <c r="Z640" s="12"/>
      <c r="AA640" s="12"/>
      <c r="AB640" s="12"/>
      <c r="AC640" s="12"/>
      <c r="AD640" s="12"/>
      <c r="AE640" s="12"/>
      <c r="AF640" s="12"/>
    </row>
    <row r="641" spans="1:32">
      <c r="A641" s="8"/>
      <c r="B641" s="8"/>
      <c r="C641" s="8"/>
      <c r="D641" s="8"/>
      <c r="E641" s="8"/>
      <c r="F641" s="8"/>
      <c r="G641" s="8"/>
      <c r="H641" s="8"/>
      <c r="I641" s="8"/>
      <c r="J641" s="8"/>
      <c r="K641" s="8"/>
      <c r="L641" s="8"/>
      <c r="M641" s="8"/>
      <c r="N641" s="8"/>
      <c r="O641" s="8"/>
      <c r="P641" s="8"/>
      <c r="Q641" s="8"/>
      <c r="R641" s="8"/>
      <c r="S641" s="8"/>
      <c r="T641" s="8"/>
      <c r="U641" s="12"/>
      <c r="V641" s="12"/>
      <c r="W641" s="12"/>
      <c r="X641" s="12"/>
      <c r="Y641" s="12"/>
      <c r="Z641" s="12"/>
      <c r="AA641" s="12"/>
      <c r="AB641" s="12"/>
      <c r="AC641" s="12"/>
      <c r="AD641" s="12"/>
      <c r="AE641" s="12"/>
      <c r="AF641" s="12"/>
    </row>
    <row r="642" spans="1:32">
      <c r="A642" s="8"/>
      <c r="B642" s="8"/>
      <c r="C642" s="8"/>
      <c r="D642" s="8"/>
      <c r="E642" s="8"/>
      <c r="F642" s="8"/>
      <c r="G642" s="8"/>
      <c r="H642" s="8"/>
      <c r="I642" s="8"/>
      <c r="J642" s="8"/>
      <c r="K642" s="8"/>
      <c r="L642" s="8"/>
      <c r="M642" s="8"/>
      <c r="N642" s="8"/>
      <c r="O642" s="8"/>
      <c r="P642" s="8"/>
      <c r="Q642" s="8"/>
      <c r="R642" s="8"/>
      <c r="S642" s="8"/>
      <c r="T642" s="8"/>
      <c r="U642" s="12"/>
      <c r="V642" s="12"/>
      <c r="W642" s="12"/>
      <c r="X642" s="12"/>
      <c r="Y642" s="12"/>
      <c r="Z642" s="12"/>
      <c r="AA642" s="12"/>
      <c r="AB642" s="12"/>
      <c r="AC642" s="12"/>
      <c r="AD642" s="12"/>
      <c r="AE642" s="12"/>
      <c r="AF642" s="12"/>
    </row>
    <row r="643" spans="1:32">
      <c r="A643" s="8"/>
      <c r="B643" s="8"/>
      <c r="C643" s="8"/>
      <c r="D643" s="8"/>
      <c r="E643" s="8"/>
      <c r="F643" s="8"/>
      <c r="G643" s="8"/>
      <c r="H643" s="8"/>
      <c r="I643" s="8"/>
      <c r="J643" s="8"/>
      <c r="K643" s="8"/>
      <c r="L643" s="8"/>
      <c r="M643" s="8"/>
      <c r="N643" s="8"/>
      <c r="O643" s="8"/>
      <c r="P643" s="8"/>
      <c r="Q643" s="8"/>
      <c r="R643" s="8"/>
      <c r="S643" s="8"/>
      <c r="T643" s="8"/>
      <c r="U643" s="12"/>
      <c r="V643" s="12"/>
      <c r="W643" s="12"/>
      <c r="X643" s="12"/>
      <c r="Y643" s="12"/>
      <c r="Z643" s="12"/>
      <c r="AA643" s="12"/>
      <c r="AB643" s="12"/>
      <c r="AC643" s="12"/>
      <c r="AD643" s="12"/>
      <c r="AE643" s="12"/>
      <c r="AF643" s="12"/>
    </row>
    <row r="644" spans="1:32">
      <c r="A644" s="8"/>
      <c r="B644" s="8"/>
      <c r="C644" s="8"/>
      <c r="D644" s="8"/>
      <c r="E644" s="8"/>
      <c r="F644" s="8"/>
      <c r="G644" s="8"/>
      <c r="H644" s="8"/>
      <c r="I644" s="8"/>
      <c r="J644" s="8"/>
      <c r="K644" s="8"/>
      <c r="L644" s="8"/>
      <c r="M644" s="8"/>
      <c r="N644" s="8"/>
      <c r="O644" s="8"/>
      <c r="P644" s="8"/>
      <c r="Q644" s="8"/>
      <c r="R644" s="8"/>
      <c r="S644" s="8"/>
      <c r="T644" s="8"/>
      <c r="U644" s="12"/>
      <c r="V644" s="12"/>
      <c r="W644" s="12"/>
      <c r="X644" s="12"/>
      <c r="Y644" s="12"/>
      <c r="Z644" s="12"/>
      <c r="AA644" s="12"/>
      <c r="AB644" s="12"/>
      <c r="AC644" s="12"/>
      <c r="AD644" s="12"/>
      <c r="AE644" s="12"/>
      <c r="AF644" s="12"/>
    </row>
    <row r="645" spans="1:32">
      <c r="A645" s="8"/>
      <c r="B645" s="8"/>
      <c r="C645" s="8"/>
      <c r="D645" s="8"/>
      <c r="E645" s="8"/>
      <c r="F645" s="8"/>
      <c r="G645" s="8"/>
      <c r="H645" s="8"/>
      <c r="I645" s="8"/>
      <c r="J645" s="8"/>
      <c r="K645" s="8"/>
      <c r="L645" s="8"/>
      <c r="M645" s="8"/>
      <c r="N645" s="8"/>
      <c r="O645" s="8"/>
      <c r="P645" s="8"/>
      <c r="Q645" s="8"/>
      <c r="R645" s="8"/>
      <c r="S645" s="8"/>
      <c r="T645" s="8"/>
      <c r="U645" s="12"/>
      <c r="V645" s="12"/>
      <c r="W645" s="12"/>
      <c r="X645" s="12"/>
      <c r="Y645" s="12"/>
      <c r="Z645" s="12"/>
      <c r="AA645" s="12"/>
      <c r="AB645" s="12"/>
      <c r="AC645" s="12"/>
      <c r="AD645" s="12"/>
      <c r="AE645" s="12"/>
      <c r="AF645" s="12"/>
    </row>
    <row r="646" spans="1:32">
      <c r="A646" s="8"/>
      <c r="B646" s="8"/>
      <c r="C646" s="8"/>
      <c r="D646" s="8"/>
      <c r="E646" s="8"/>
      <c r="F646" s="8"/>
      <c r="G646" s="8"/>
      <c r="H646" s="8"/>
      <c r="I646" s="8"/>
      <c r="J646" s="8"/>
      <c r="K646" s="8"/>
      <c r="L646" s="8"/>
      <c r="M646" s="8"/>
      <c r="N646" s="8"/>
      <c r="O646" s="8"/>
      <c r="P646" s="8"/>
      <c r="Q646" s="8"/>
      <c r="R646" s="8"/>
      <c r="S646" s="8"/>
      <c r="T646" s="8"/>
      <c r="U646" s="12"/>
      <c r="V646" s="12"/>
      <c r="W646" s="12"/>
      <c r="X646" s="12"/>
      <c r="Y646" s="12"/>
      <c r="Z646" s="12"/>
      <c r="AA646" s="12"/>
      <c r="AB646" s="12"/>
      <c r="AC646" s="12"/>
      <c r="AD646" s="12"/>
      <c r="AE646" s="12"/>
      <c r="AF646" s="12"/>
    </row>
    <row r="647" spans="1:32">
      <c r="A647" s="8"/>
      <c r="B647" s="8"/>
      <c r="C647" s="8"/>
      <c r="D647" s="8"/>
      <c r="E647" s="8"/>
      <c r="F647" s="8"/>
      <c r="G647" s="8"/>
      <c r="H647" s="8"/>
      <c r="I647" s="8"/>
      <c r="J647" s="8"/>
      <c r="K647" s="8"/>
      <c r="L647" s="8"/>
      <c r="M647" s="8"/>
      <c r="N647" s="8"/>
      <c r="O647" s="8"/>
      <c r="P647" s="8"/>
      <c r="Q647" s="8"/>
      <c r="R647" s="8"/>
      <c r="S647" s="8"/>
      <c r="T647" s="8"/>
      <c r="U647" s="12"/>
      <c r="V647" s="12"/>
      <c r="W647" s="12"/>
      <c r="X647" s="12"/>
      <c r="Y647" s="12"/>
      <c r="Z647" s="12"/>
      <c r="AA647" s="12"/>
      <c r="AB647" s="12"/>
      <c r="AC647" s="12"/>
      <c r="AD647" s="12"/>
      <c r="AE647" s="12"/>
      <c r="AF647" s="12"/>
    </row>
    <row r="648" spans="1:32">
      <c r="A648" s="8"/>
      <c r="B648" s="8"/>
      <c r="C648" s="8"/>
      <c r="D648" s="8"/>
      <c r="E648" s="8"/>
      <c r="F648" s="8"/>
      <c r="G648" s="8"/>
      <c r="H648" s="8"/>
      <c r="I648" s="8"/>
      <c r="J648" s="8"/>
      <c r="K648" s="8"/>
      <c r="L648" s="8"/>
      <c r="M648" s="8"/>
      <c r="N648" s="8"/>
      <c r="O648" s="8"/>
      <c r="P648" s="8"/>
      <c r="Q648" s="8"/>
      <c r="R648" s="8"/>
      <c r="S648" s="8"/>
      <c r="T648" s="8"/>
      <c r="U648" s="12"/>
      <c r="V648" s="12"/>
      <c r="W648" s="12"/>
      <c r="X648" s="12"/>
      <c r="Y648" s="12"/>
      <c r="Z648" s="12"/>
      <c r="AA648" s="12"/>
      <c r="AB648" s="12"/>
      <c r="AC648" s="12"/>
      <c r="AD648" s="12"/>
      <c r="AE648" s="12"/>
      <c r="AF648" s="12"/>
    </row>
    <row r="649" spans="1:32">
      <c r="A649" s="8"/>
      <c r="B649" s="8"/>
      <c r="C649" s="8"/>
      <c r="D649" s="8"/>
      <c r="E649" s="8"/>
      <c r="F649" s="8"/>
      <c r="G649" s="8"/>
      <c r="H649" s="8"/>
      <c r="I649" s="8"/>
      <c r="J649" s="8"/>
      <c r="K649" s="8"/>
      <c r="L649" s="8"/>
      <c r="M649" s="8"/>
      <c r="N649" s="8"/>
      <c r="O649" s="8"/>
      <c r="P649" s="8"/>
      <c r="Q649" s="8"/>
      <c r="R649" s="8"/>
      <c r="S649" s="8"/>
      <c r="T649" s="8"/>
      <c r="U649" s="12"/>
      <c r="V649" s="12"/>
      <c r="W649" s="12"/>
      <c r="X649" s="12"/>
      <c r="Y649" s="12"/>
      <c r="Z649" s="12"/>
      <c r="AA649" s="12"/>
      <c r="AB649" s="12"/>
      <c r="AC649" s="12"/>
      <c r="AD649" s="12"/>
      <c r="AE649" s="12"/>
      <c r="AF649" s="12"/>
    </row>
    <row r="650" spans="1:32">
      <c r="A650" s="8"/>
      <c r="B650" s="8"/>
      <c r="C650" s="8"/>
      <c r="D650" s="8"/>
      <c r="E650" s="8"/>
      <c r="F650" s="8"/>
      <c r="G650" s="8"/>
      <c r="H650" s="8"/>
      <c r="I650" s="8"/>
      <c r="J650" s="8"/>
      <c r="K650" s="8"/>
      <c r="L650" s="8"/>
      <c r="M650" s="8"/>
      <c r="N650" s="8"/>
      <c r="O650" s="8"/>
      <c r="P650" s="8"/>
      <c r="Q650" s="8"/>
      <c r="R650" s="8"/>
      <c r="S650" s="8"/>
      <c r="T650" s="8"/>
      <c r="U650" s="12"/>
      <c r="V650" s="12"/>
      <c r="W650" s="12"/>
      <c r="X650" s="12"/>
      <c r="Y650" s="12"/>
      <c r="Z650" s="12"/>
      <c r="AA650" s="12"/>
      <c r="AB650" s="12"/>
      <c r="AC650" s="12"/>
      <c r="AD650" s="12"/>
      <c r="AE650" s="12"/>
      <c r="AF650" s="12"/>
    </row>
    <row r="651" spans="1:32">
      <c r="A651" s="8"/>
      <c r="B651" s="8"/>
      <c r="C651" s="8"/>
      <c r="D651" s="8"/>
      <c r="E651" s="8"/>
      <c r="F651" s="8"/>
      <c r="G651" s="8"/>
      <c r="H651" s="8"/>
      <c r="I651" s="8"/>
      <c r="J651" s="8"/>
      <c r="K651" s="8"/>
      <c r="L651" s="8"/>
      <c r="M651" s="8"/>
      <c r="N651" s="8"/>
      <c r="O651" s="8"/>
      <c r="P651" s="8"/>
      <c r="Q651" s="8"/>
      <c r="R651" s="8"/>
      <c r="S651" s="8"/>
      <c r="T651" s="8"/>
      <c r="U651" s="12"/>
      <c r="V651" s="12"/>
      <c r="W651" s="12"/>
      <c r="X651" s="12"/>
      <c r="Y651" s="12"/>
      <c r="Z651" s="12"/>
      <c r="AA651" s="12"/>
      <c r="AB651" s="12"/>
      <c r="AC651" s="12"/>
      <c r="AD651" s="12"/>
      <c r="AE651" s="12"/>
      <c r="AF651" s="12"/>
    </row>
    <row r="652" spans="1:32">
      <c r="A652" s="8"/>
      <c r="B652" s="8"/>
      <c r="C652" s="8"/>
      <c r="D652" s="8"/>
      <c r="E652" s="8"/>
      <c r="F652" s="8"/>
      <c r="G652" s="8"/>
      <c r="H652" s="8"/>
      <c r="I652" s="8"/>
      <c r="J652" s="8"/>
      <c r="K652" s="8"/>
      <c r="L652" s="8"/>
      <c r="M652" s="8"/>
      <c r="N652" s="8"/>
      <c r="O652" s="8"/>
      <c r="P652" s="8"/>
      <c r="Q652" s="8"/>
      <c r="R652" s="8"/>
      <c r="S652" s="8"/>
      <c r="T652" s="8"/>
      <c r="U652" s="12"/>
      <c r="V652" s="12"/>
      <c r="W652" s="12"/>
      <c r="X652" s="12"/>
      <c r="Y652" s="12"/>
      <c r="Z652" s="12"/>
      <c r="AA652" s="12"/>
      <c r="AB652" s="12"/>
      <c r="AC652" s="12"/>
      <c r="AD652" s="12"/>
      <c r="AE652" s="12"/>
      <c r="AF652" s="12"/>
    </row>
    <row r="653" spans="1:32">
      <c r="A653" s="8"/>
      <c r="B653" s="8"/>
      <c r="C653" s="8"/>
      <c r="D653" s="8"/>
      <c r="E653" s="8"/>
      <c r="F653" s="8"/>
      <c r="G653" s="8"/>
      <c r="H653" s="8"/>
      <c r="I653" s="8"/>
      <c r="J653" s="8"/>
      <c r="K653" s="8"/>
      <c r="L653" s="8"/>
      <c r="M653" s="8"/>
      <c r="N653" s="8"/>
      <c r="O653" s="8"/>
      <c r="P653" s="8"/>
      <c r="Q653" s="8"/>
      <c r="R653" s="8"/>
      <c r="S653" s="8"/>
      <c r="T653" s="8"/>
      <c r="U653" s="12"/>
      <c r="V653" s="12"/>
      <c r="W653" s="12"/>
      <c r="X653" s="12"/>
      <c r="Y653" s="12"/>
      <c r="Z653" s="12"/>
      <c r="AA653" s="12"/>
      <c r="AB653" s="12"/>
      <c r="AC653" s="12"/>
      <c r="AD653" s="12"/>
      <c r="AE653" s="12"/>
      <c r="AF653" s="12"/>
    </row>
    <row r="654" spans="1:32">
      <c r="A654" s="8"/>
      <c r="B654" s="8"/>
      <c r="C654" s="8"/>
      <c r="D654" s="8"/>
      <c r="E654" s="8"/>
      <c r="F654" s="8"/>
      <c r="G654" s="8"/>
      <c r="H654" s="8"/>
      <c r="I654" s="8"/>
      <c r="J654" s="8"/>
      <c r="K654" s="8"/>
      <c r="L654" s="8"/>
      <c r="M654" s="8"/>
      <c r="N654" s="8"/>
      <c r="O654" s="8"/>
      <c r="P654" s="8"/>
      <c r="Q654" s="8"/>
      <c r="R654" s="8"/>
      <c r="S654" s="8"/>
      <c r="T654" s="8"/>
      <c r="U654" s="12"/>
      <c r="V654" s="12"/>
      <c r="W654" s="12"/>
      <c r="X654" s="12"/>
      <c r="Y654" s="12"/>
      <c r="Z654" s="12"/>
      <c r="AA654" s="12"/>
      <c r="AB654" s="12"/>
      <c r="AC654" s="12"/>
      <c r="AD654" s="12"/>
      <c r="AE654" s="12"/>
      <c r="AF654" s="12"/>
    </row>
    <row r="655" spans="1:32">
      <c r="A655" s="8"/>
      <c r="B655" s="8"/>
      <c r="C655" s="8"/>
      <c r="D655" s="8"/>
      <c r="E655" s="8"/>
      <c r="F655" s="8"/>
      <c r="G655" s="8"/>
      <c r="H655" s="8"/>
      <c r="I655" s="8"/>
      <c r="J655" s="8"/>
      <c r="K655" s="8"/>
      <c r="L655" s="8"/>
      <c r="M655" s="8"/>
      <c r="N655" s="8"/>
      <c r="O655" s="8"/>
      <c r="P655" s="8"/>
      <c r="Q655" s="8"/>
      <c r="R655" s="8"/>
      <c r="S655" s="8"/>
      <c r="T655" s="8"/>
      <c r="U655" s="12"/>
      <c r="V655" s="12"/>
      <c r="W655" s="12"/>
      <c r="X655" s="12"/>
      <c r="Y655" s="12"/>
      <c r="Z655" s="12"/>
      <c r="AA655" s="12"/>
      <c r="AB655" s="12"/>
      <c r="AC655" s="12"/>
      <c r="AD655" s="12"/>
      <c r="AE655" s="12"/>
      <c r="AF655" s="12"/>
    </row>
    <row r="656" spans="1:32">
      <c r="A656" s="8"/>
      <c r="B656" s="8"/>
      <c r="C656" s="8"/>
      <c r="D656" s="8"/>
      <c r="E656" s="8"/>
      <c r="F656" s="8"/>
      <c r="G656" s="8"/>
      <c r="H656" s="8"/>
      <c r="I656" s="8"/>
      <c r="J656" s="8"/>
      <c r="K656" s="8"/>
      <c r="L656" s="8"/>
      <c r="M656" s="8"/>
      <c r="N656" s="8"/>
      <c r="O656" s="8"/>
      <c r="P656" s="8"/>
      <c r="Q656" s="8"/>
      <c r="R656" s="8"/>
      <c r="S656" s="8"/>
      <c r="T656" s="8"/>
      <c r="U656" s="12"/>
      <c r="V656" s="12"/>
      <c r="W656" s="12"/>
      <c r="X656" s="12"/>
      <c r="Y656" s="12"/>
      <c r="Z656" s="12"/>
      <c r="AA656" s="12"/>
      <c r="AB656" s="12"/>
      <c r="AC656" s="12"/>
      <c r="AD656" s="12"/>
      <c r="AE656" s="12"/>
      <c r="AF656" s="12"/>
    </row>
    <row r="657" spans="1:32">
      <c r="A657" s="8"/>
      <c r="B657" s="8"/>
      <c r="C657" s="8"/>
      <c r="D657" s="8"/>
      <c r="E657" s="8"/>
      <c r="F657" s="8"/>
      <c r="G657" s="8"/>
      <c r="H657" s="8"/>
      <c r="I657" s="8"/>
      <c r="J657" s="8"/>
      <c r="K657" s="8"/>
      <c r="L657" s="8"/>
      <c r="M657" s="8"/>
      <c r="N657" s="8"/>
      <c r="O657" s="8"/>
      <c r="P657" s="8"/>
      <c r="Q657" s="8"/>
      <c r="R657" s="8"/>
      <c r="S657" s="8"/>
      <c r="T657" s="8"/>
      <c r="U657" s="12"/>
      <c r="V657" s="12"/>
      <c r="W657" s="12"/>
      <c r="X657" s="12"/>
      <c r="Y657" s="12"/>
      <c r="Z657" s="12"/>
      <c r="AA657" s="12"/>
      <c r="AB657" s="12"/>
      <c r="AC657" s="12"/>
      <c r="AD657" s="12"/>
      <c r="AE657" s="12"/>
      <c r="AF657" s="12"/>
    </row>
    <row r="658" spans="1:32">
      <c r="A658" s="8"/>
      <c r="B658" s="8"/>
      <c r="C658" s="8"/>
      <c r="D658" s="8"/>
      <c r="E658" s="8"/>
      <c r="F658" s="8"/>
      <c r="G658" s="8"/>
      <c r="H658" s="8"/>
      <c r="I658" s="8"/>
      <c r="J658" s="8"/>
      <c r="K658" s="8"/>
      <c r="L658" s="8"/>
      <c r="M658" s="8"/>
      <c r="N658" s="8"/>
      <c r="O658" s="8"/>
      <c r="P658" s="8"/>
      <c r="Q658" s="8"/>
      <c r="R658" s="8"/>
      <c r="S658" s="8"/>
      <c r="T658" s="8"/>
      <c r="U658" s="12"/>
      <c r="V658" s="12"/>
      <c r="W658" s="12"/>
      <c r="X658" s="12"/>
      <c r="Y658" s="12"/>
      <c r="Z658" s="12"/>
      <c r="AA658" s="12"/>
      <c r="AB658" s="12"/>
      <c r="AC658" s="12"/>
      <c r="AD658" s="12"/>
      <c r="AE658" s="12"/>
      <c r="AF658" s="12"/>
    </row>
    <row r="659" spans="1:32">
      <c r="A659" s="8"/>
      <c r="B659" s="8"/>
      <c r="C659" s="8"/>
      <c r="D659" s="8"/>
      <c r="E659" s="8"/>
      <c r="F659" s="8"/>
      <c r="G659" s="8"/>
      <c r="H659" s="8"/>
      <c r="I659" s="8"/>
      <c r="J659" s="8"/>
      <c r="K659" s="8"/>
      <c r="L659" s="8"/>
      <c r="M659" s="8"/>
      <c r="N659" s="8"/>
      <c r="O659" s="8"/>
      <c r="P659" s="8"/>
      <c r="Q659" s="8"/>
      <c r="R659" s="8"/>
      <c r="S659" s="8"/>
      <c r="T659" s="8"/>
      <c r="U659" s="12"/>
      <c r="V659" s="12"/>
      <c r="W659" s="12"/>
      <c r="X659" s="12"/>
      <c r="Y659" s="12"/>
      <c r="Z659" s="12"/>
      <c r="AA659" s="12"/>
      <c r="AB659" s="12"/>
      <c r="AC659" s="12"/>
      <c r="AD659" s="12"/>
      <c r="AE659" s="12"/>
      <c r="AF659" s="12"/>
    </row>
    <row r="660" spans="1:32">
      <c r="A660" s="8"/>
      <c r="B660" s="8"/>
      <c r="C660" s="8"/>
      <c r="D660" s="8"/>
      <c r="E660" s="8"/>
      <c r="F660" s="8"/>
      <c r="G660" s="8"/>
      <c r="H660" s="8"/>
      <c r="I660" s="8"/>
      <c r="J660" s="8"/>
      <c r="K660" s="8"/>
      <c r="L660" s="8"/>
      <c r="M660" s="8"/>
      <c r="N660" s="8"/>
      <c r="O660" s="8"/>
      <c r="P660" s="8"/>
      <c r="Q660" s="8"/>
      <c r="R660" s="8"/>
      <c r="S660" s="8"/>
      <c r="T660" s="8"/>
      <c r="U660" s="12"/>
      <c r="V660" s="12"/>
      <c r="W660" s="12"/>
      <c r="X660" s="12"/>
      <c r="Y660" s="12"/>
      <c r="Z660" s="12"/>
      <c r="AA660" s="12"/>
      <c r="AB660" s="12"/>
      <c r="AC660" s="12"/>
      <c r="AD660" s="12"/>
      <c r="AE660" s="12"/>
      <c r="AF660" s="12"/>
    </row>
    <row r="661" spans="1:32">
      <c r="A661" s="8"/>
      <c r="B661" s="8"/>
      <c r="C661" s="8"/>
      <c r="D661" s="8"/>
      <c r="E661" s="8"/>
      <c r="F661" s="8"/>
      <c r="G661" s="8"/>
      <c r="H661" s="8"/>
      <c r="I661" s="8"/>
      <c r="J661" s="8"/>
      <c r="K661" s="8"/>
      <c r="L661" s="8"/>
      <c r="M661" s="8"/>
      <c r="N661" s="8"/>
      <c r="O661" s="8"/>
      <c r="P661" s="8"/>
      <c r="Q661" s="8"/>
      <c r="R661" s="8"/>
      <c r="S661" s="8"/>
      <c r="T661" s="8"/>
      <c r="U661" s="12"/>
      <c r="V661" s="12"/>
      <c r="W661" s="12"/>
      <c r="X661" s="12"/>
      <c r="Y661" s="12"/>
      <c r="Z661" s="12"/>
      <c r="AA661" s="12"/>
      <c r="AB661" s="12"/>
      <c r="AC661" s="12"/>
      <c r="AD661" s="12"/>
      <c r="AE661" s="12"/>
      <c r="AF661" s="12"/>
    </row>
    <row r="662" spans="1:32">
      <c r="A662" s="8"/>
      <c r="B662" s="8"/>
      <c r="C662" s="8"/>
      <c r="D662" s="8"/>
      <c r="E662" s="8"/>
      <c r="F662" s="8"/>
      <c r="G662" s="8"/>
      <c r="H662" s="8"/>
      <c r="I662" s="8"/>
      <c r="J662" s="8"/>
      <c r="K662" s="8"/>
      <c r="L662" s="8"/>
      <c r="M662" s="8"/>
      <c r="N662" s="8"/>
      <c r="O662" s="8"/>
      <c r="P662" s="8"/>
      <c r="Q662" s="8"/>
      <c r="R662" s="8"/>
      <c r="S662" s="8"/>
      <c r="T662" s="8"/>
      <c r="U662" s="12"/>
      <c r="V662" s="12"/>
      <c r="W662" s="12"/>
      <c r="X662" s="12"/>
      <c r="Y662" s="12"/>
      <c r="Z662" s="12"/>
      <c r="AA662" s="12"/>
      <c r="AB662" s="12"/>
      <c r="AC662" s="12"/>
      <c r="AD662" s="12"/>
      <c r="AE662" s="12"/>
      <c r="AF662" s="12"/>
    </row>
    <row r="663" spans="1:32">
      <c r="A663" s="8"/>
      <c r="B663" s="8"/>
      <c r="C663" s="8"/>
      <c r="D663" s="8"/>
      <c r="E663" s="8"/>
      <c r="F663" s="8"/>
      <c r="G663" s="8"/>
      <c r="H663" s="8"/>
      <c r="I663" s="8"/>
      <c r="J663" s="8"/>
      <c r="K663" s="8"/>
      <c r="L663" s="8"/>
      <c r="M663" s="8"/>
      <c r="N663" s="8"/>
      <c r="O663" s="8"/>
      <c r="P663" s="8"/>
      <c r="Q663" s="8"/>
      <c r="R663" s="8"/>
      <c r="S663" s="8"/>
      <c r="T663" s="8"/>
      <c r="U663" s="12"/>
      <c r="V663" s="12"/>
      <c r="W663" s="12"/>
      <c r="X663" s="12"/>
      <c r="Y663" s="12"/>
      <c r="Z663" s="12"/>
      <c r="AA663" s="12"/>
      <c r="AB663" s="12"/>
      <c r="AC663" s="12"/>
      <c r="AD663" s="12"/>
      <c r="AE663" s="12"/>
      <c r="AF663" s="12"/>
    </row>
    <row r="664" spans="1:32">
      <c r="A664" s="8"/>
      <c r="B664" s="8"/>
      <c r="C664" s="8"/>
      <c r="D664" s="8"/>
      <c r="E664" s="8"/>
      <c r="F664" s="8"/>
      <c r="G664" s="8"/>
      <c r="H664" s="8"/>
      <c r="I664" s="8"/>
      <c r="J664" s="8"/>
      <c r="K664" s="8"/>
      <c r="L664" s="8"/>
      <c r="M664" s="8"/>
      <c r="N664" s="8"/>
      <c r="O664" s="8"/>
      <c r="P664" s="8"/>
      <c r="Q664" s="8"/>
      <c r="R664" s="8"/>
      <c r="S664" s="8"/>
      <c r="T664" s="8"/>
      <c r="U664" s="12"/>
      <c r="V664" s="12"/>
      <c r="W664" s="12"/>
      <c r="X664" s="12"/>
      <c r="Y664" s="12"/>
      <c r="Z664" s="12"/>
      <c r="AA664" s="12"/>
      <c r="AB664" s="12"/>
      <c r="AC664" s="12"/>
      <c r="AD664" s="12"/>
      <c r="AE664" s="12"/>
      <c r="AF664" s="12"/>
    </row>
    <row r="665" spans="1:32">
      <c r="A665" s="8"/>
      <c r="B665" s="8"/>
      <c r="C665" s="8"/>
      <c r="D665" s="8"/>
      <c r="E665" s="8"/>
      <c r="F665" s="8"/>
      <c r="G665" s="8"/>
      <c r="H665" s="8"/>
      <c r="I665" s="8"/>
      <c r="J665" s="8"/>
      <c r="K665" s="8"/>
      <c r="L665" s="8"/>
      <c r="M665" s="8"/>
      <c r="N665" s="8"/>
      <c r="O665" s="8"/>
      <c r="P665" s="8"/>
      <c r="Q665" s="8"/>
      <c r="R665" s="8"/>
      <c r="S665" s="8"/>
      <c r="T665" s="8"/>
      <c r="U665" s="12"/>
      <c r="V665" s="12"/>
      <c r="W665" s="12"/>
      <c r="X665" s="12"/>
      <c r="Y665" s="12"/>
      <c r="Z665" s="12"/>
      <c r="AA665" s="12"/>
      <c r="AB665" s="12"/>
      <c r="AC665" s="12"/>
      <c r="AD665" s="12"/>
      <c r="AE665" s="12"/>
      <c r="AF665" s="12"/>
    </row>
    <row r="666" spans="1:32">
      <c r="A666" s="8"/>
      <c r="B666" s="8"/>
      <c r="C666" s="8"/>
      <c r="D666" s="8"/>
      <c r="E666" s="8"/>
      <c r="F666" s="8"/>
      <c r="G666" s="8"/>
      <c r="H666" s="8"/>
      <c r="I666" s="8"/>
      <c r="J666" s="8"/>
      <c r="K666" s="8"/>
      <c r="L666" s="8"/>
      <c r="M666" s="8"/>
      <c r="N666" s="8"/>
      <c r="O666" s="8"/>
      <c r="P666" s="8"/>
      <c r="Q666" s="8"/>
      <c r="R666" s="8"/>
      <c r="S666" s="8"/>
      <c r="T666" s="8"/>
      <c r="U666" s="12"/>
      <c r="V666" s="12"/>
      <c r="W666" s="12"/>
      <c r="X666" s="12"/>
      <c r="Y666" s="12"/>
      <c r="Z666" s="12"/>
      <c r="AA666" s="12"/>
      <c r="AB666" s="12"/>
      <c r="AC666" s="12"/>
      <c r="AD666" s="12"/>
      <c r="AE666" s="12"/>
      <c r="AF666" s="12"/>
    </row>
    <row r="667" spans="1:32">
      <c r="A667" s="8"/>
      <c r="B667" s="8"/>
      <c r="C667" s="8"/>
      <c r="D667" s="8"/>
      <c r="E667" s="8"/>
      <c r="F667" s="8"/>
      <c r="G667" s="8"/>
      <c r="H667" s="8"/>
      <c r="I667" s="8"/>
      <c r="J667" s="8"/>
      <c r="K667" s="8"/>
      <c r="L667" s="8"/>
      <c r="M667" s="8"/>
      <c r="N667" s="8"/>
      <c r="O667" s="8"/>
      <c r="P667" s="8"/>
      <c r="Q667" s="8"/>
      <c r="R667" s="8"/>
      <c r="S667" s="8"/>
      <c r="T667" s="8"/>
      <c r="U667" s="12"/>
      <c r="V667" s="12"/>
      <c r="W667" s="12"/>
      <c r="X667" s="12"/>
      <c r="Y667" s="12"/>
      <c r="Z667" s="12"/>
      <c r="AA667" s="12"/>
      <c r="AB667" s="12"/>
      <c r="AC667" s="12"/>
      <c r="AD667" s="12"/>
      <c r="AE667" s="12"/>
      <c r="AF667" s="12"/>
    </row>
    <row r="668" spans="1:32">
      <c r="A668" s="8"/>
      <c r="B668" s="8"/>
      <c r="C668" s="8"/>
      <c r="D668" s="8"/>
      <c r="E668" s="8"/>
      <c r="F668" s="8"/>
      <c r="G668" s="8"/>
      <c r="H668" s="8"/>
      <c r="I668" s="8"/>
      <c r="J668" s="8"/>
      <c r="K668" s="8"/>
      <c r="L668" s="8"/>
      <c r="M668" s="8"/>
      <c r="N668" s="8"/>
      <c r="O668" s="8"/>
      <c r="P668" s="8"/>
      <c r="Q668" s="8"/>
      <c r="R668" s="8"/>
      <c r="S668" s="8"/>
      <c r="T668" s="8"/>
      <c r="U668" s="12"/>
      <c r="V668" s="12"/>
      <c r="W668" s="12"/>
      <c r="X668" s="12"/>
      <c r="Y668" s="12"/>
      <c r="Z668" s="12"/>
      <c r="AA668" s="12"/>
      <c r="AB668" s="12"/>
      <c r="AC668" s="12"/>
      <c r="AD668" s="12"/>
      <c r="AE668" s="12"/>
      <c r="AF668" s="12"/>
    </row>
    <row r="669" spans="1:32">
      <c r="A669" s="8"/>
      <c r="B669" s="8"/>
      <c r="C669" s="8"/>
      <c r="D669" s="8"/>
      <c r="E669" s="8"/>
      <c r="F669" s="8"/>
      <c r="G669" s="8"/>
      <c r="H669" s="8"/>
      <c r="I669" s="8"/>
      <c r="J669" s="8"/>
      <c r="K669" s="8"/>
      <c r="L669" s="8"/>
      <c r="M669" s="8"/>
      <c r="N669" s="8"/>
      <c r="O669" s="8"/>
      <c r="P669" s="8"/>
      <c r="Q669" s="8"/>
      <c r="R669" s="8"/>
      <c r="S669" s="8"/>
      <c r="T669" s="8"/>
      <c r="U669" s="12"/>
      <c r="V669" s="12"/>
      <c r="W669" s="12"/>
      <c r="X669" s="12"/>
      <c r="Y669" s="12"/>
      <c r="Z669" s="12"/>
      <c r="AA669" s="12"/>
      <c r="AB669" s="12"/>
      <c r="AC669" s="12"/>
      <c r="AD669" s="12"/>
      <c r="AE669" s="12"/>
      <c r="AF669" s="12"/>
    </row>
    <row r="670" spans="1:32">
      <c r="A670" s="8"/>
      <c r="B670" s="8"/>
      <c r="C670" s="8"/>
      <c r="D670" s="8"/>
      <c r="E670" s="8"/>
      <c r="F670" s="8"/>
      <c r="G670" s="8"/>
      <c r="H670" s="8"/>
      <c r="I670" s="8"/>
      <c r="J670" s="8"/>
      <c r="K670" s="8"/>
      <c r="L670" s="8"/>
      <c r="M670" s="8"/>
      <c r="N670" s="8"/>
      <c r="O670" s="8"/>
      <c r="P670" s="8"/>
      <c r="Q670" s="8"/>
      <c r="R670" s="8"/>
      <c r="S670" s="8"/>
      <c r="T670" s="8"/>
      <c r="U670" s="12"/>
      <c r="V670" s="12"/>
      <c r="W670" s="12"/>
      <c r="X670" s="12"/>
      <c r="Y670" s="12"/>
      <c r="Z670" s="12"/>
      <c r="AA670" s="12"/>
      <c r="AB670" s="12"/>
      <c r="AC670" s="12"/>
      <c r="AD670" s="12"/>
      <c r="AE670" s="12"/>
      <c r="AF670" s="12"/>
    </row>
    <row r="671" spans="1:32">
      <c r="A671" s="8"/>
      <c r="B671" s="8"/>
      <c r="C671" s="8"/>
      <c r="D671" s="8"/>
      <c r="E671" s="8"/>
      <c r="F671" s="8"/>
      <c r="G671" s="8"/>
      <c r="H671" s="8"/>
      <c r="I671" s="8"/>
      <c r="J671" s="8"/>
      <c r="K671" s="8"/>
      <c r="L671" s="8"/>
      <c r="M671" s="8"/>
      <c r="N671" s="8"/>
      <c r="O671" s="8"/>
      <c r="P671" s="8"/>
      <c r="Q671" s="8"/>
      <c r="R671" s="8"/>
      <c r="S671" s="8"/>
      <c r="T671" s="8"/>
      <c r="U671" s="12"/>
      <c r="V671" s="12"/>
      <c r="W671" s="12"/>
      <c r="X671" s="12"/>
      <c r="Y671" s="12"/>
      <c r="Z671" s="12"/>
      <c r="AA671" s="12"/>
      <c r="AB671" s="12"/>
      <c r="AC671" s="12"/>
      <c r="AD671" s="12"/>
      <c r="AE671" s="12"/>
      <c r="AF671" s="12"/>
    </row>
    <row r="672" spans="1:32">
      <c r="A672" s="8"/>
      <c r="B672" s="8"/>
      <c r="C672" s="8"/>
      <c r="D672" s="8"/>
      <c r="E672" s="8"/>
      <c r="F672" s="8"/>
      <c r="G672" s="8"/>
      <c r="H672" s="8"/>
      <c r="I672" s="8"/>
      <c r="J672" s="8"/>
      <c r="K672" s="8"/>
      <c r="L672" s="8"/>
      <c r="M672" s="8"/>
      <c r="N672" s="8"/>
      <c r="O672" s="8"/>
      <c r="P672" s="8"/>
      <c r="Q672" s="8"/>
      <c r="R672" s="8"/>
      <c r="S672" s="8"/>
      <c r="T672" s="8"/>
      <c r="U672" s="12"/>
      <c r="V672" s="12"/>
      <c r="W672" s="12"/>
      <c r="X672" s="12"/>
      <c r="Y672" s="12"/>
      <c r="Z672" s="12"/>
      <c r="AA672" s="12"/>
      <c r="AB672" s="12"/>
      <c r="AC672" s="12"/>
      <c r="AD672" s="12"/>
      <c r="AE672" s="12"/>
      <c r="AF672" s="12"/>
    </row>
    <row r="673" spans="1:32">
      <c r="A673" s="8"/>
      <c r="B673" s="8"/>
      <c r="C673" s="8"/>
      <c r="D673" s="8"/>
      <c r="E673" s="8"/>
      <c r="F673" s="8"/>
      <c r="G673" s="8"/>
      <c r="H673" s="8"/>
      <c r="I673" s="8"/>
      <c r="J673" s="8"/>
      <c r="K673" s="8"/>
      <c r="L673" s="8"/>
      <c r="M673" s="8"/>
      <c r="N673" s="8"/>
      <c r="O673" s="8"/>
      <c r="P673" s="8"/>
      <c r="Q673" s="8"/>
      <c r="R673" s="8"/>
      <c r="S673" s="8"/>
      <c r="T673" s="8"/>
      <c r="U673" s="12"/>
      <c r="V673" s="12"/>
      <c r="W673" s="12"/>
      <c r="X673" s="12"/>
      <c r="Y673" s="12"/>
      <c r="Z673" s="12"/>
      <c r="AA673" s="12"/>
      <c r="AB673" s="12"/>
      <c r="AC673" s="12"/>
      <c r="AD673" s="12"/>
      <c r="AE673" s="12"/>
      <c r="AF673" s="12"/>
    </row>
    <row r="674" spans="1:32">
      <c r="A674" s="8"/>
      <c r="B674" s="8"/>
      <c r="C674" s="8"/>
      <c r="D674" s="8"/>
      <c r="E674" s="8"/>
      <c r="F674" s="8"/>
      <c r="G674" s="8"/>
      <c r="H674" s="8"/>
      <c r="I674" s="8"/>
      <c r="J674" s="8"/>
      <c r="K674" s="8"/>
      <c r="L674" s="8"/>
      <c r="M674" s="8"/>
      <c r="N674" s="8"/>
      <c r="O674" s="8"/>
      <c r="P674" s="8"/>
      <c r="Q674" s="8"/>
      <c r="R674" s="8"/>
      <c r="S674" s="8"/>
      <c r="T674" s="8"/>
      <c r="U674" s="12"/>
      <c r="V674" s="12"/>
      <c r="W674" s="12"/>
      <c r="X674" s="12"/>
      <c r="Y674" s="12"/>
      <c r="Z674" s="12"/>
      <c r="AA674" s="12"/>
      <c r="AB674" s="12"/>
      <c r="AC674" s="12"/>
      <c r="AD674" s="12"/>
      <c r="AE674" s="12"/>
      <c r="AF674" s="12"/>
    </row>
    <row r="675" spans="1:32">
      <c r="A675" s="8"/>
      <c r="B675" s="8"/>
      <c r="C675" s="8"/>
      <c r="D675" s="8"/>
      <c r="E675" s="8"/>
      <c r="F675" s="8"/>
      <c r="G675" s="8"/>
      <c r="H675" s="8"/>
      <c r="I675" s="8"/>
      <c r="J675" s="8"/>
      <c r="K675" s="8"/>
      <c r="L675" s="8"/>
      <c r="M675" s="8"/>
      <c r="N675" s="8"/>
      <c r="O675" s="8"/>
      <c r="P675" s="8"/>
      <c r="Q675" s="8"/>
      <c r="R675" s="8"/>
      <c r="S675" s="8"/>
      <c r="T675" s="8"/>
      <c r="U675" s="12"/>
      <c r="V675" s="12"/>
      <c r="W675" s="12"/>
      <c r="X675" s="12"/>
      <c r="Y675" s="12"/>
      <c r="Z675" s="12"/>
      <c r="AA675" s="12"/>
      <c r="AB675" s="12"/>
      <c r="AC675" s="12"/>
      <c r="AD675" s="12"/>
      <c r="AE675" s="12"/>
      <c r="AF675" s="12"/>
    </row>
    <row r="676" spans="1:32">
      <c r="A676" s="8"/>
      <c r="B676" s="8"/>
      <c r="C676" s="8"/>
      <c r="D676" s="8"/>
      <c r="E676" s="8"/>
      <c r="F676" s="8"/>
      <c r="G676" s="8"/>
      <c r="H676" s="8"/>
      <c r="I676" s="8"/>
      <c r="J676" s="8"/>
      <c r="K676" s="8"/>
      <c r="L676" s="8"/>
      <c r="M676" s="8"/>
      <c r="N676" s="8"/>
      <c r="O676" s="8"/>
      <c r="P676" s="8"/>
      <c r="Q676" s="8"/>
      <c r="R676" s="8"/>
      <c r="S676" s="8"/>
      <c r="T676" s="8"/>
      <c r="U676" s="12"/>
      <c r="V676" s="12"/>
      <c r="W676" s="12"/>
      <c r="X676" s="12"/>
      <c r="Y676" s="12"/>
      <c r="Z676" s="12"/>
      <c r="AA676" s="12"/>
      <c r="AB676" s="12"/>
      <c r="AC676" s="12"/>
      <c r="AD676" s="12"/>
      <c r="AE676" s="12"/>
      <c r="AF676" s="12"/>
    </row>
    <row r="677" spans="1:32">
      <c r="A677" s="8"/>
      <c r="B677" s="8"/>
      <c r="C677" s="8"/>
      <c r="D677" s="8"/>
      <c r="E677" s="8"/>
      <c r="F677" s="8"/>
      <c r="G677" s="8"/>
      <c r="H677" s="8"/>
      <c r="I677" s="8"/>
      <c r="J677" s="8"/>
      <c r="K677" s="8"/>
      <c r="L677" s="8"/>
      <c r="M677" s="8"/>
      <c r="N677" s="8"/>
      <c r="O677" s="8"/>
      <c r="P677" s="8"/>
      <c r="Q677" s="8"/>
      <c r="R677" s="8"/>
      <c r="S677" s="8"/>
      <c r="T677" s="8"/>
      <c r="U677" s="12"/>
      <c r="V677" s="12"/>
      <c r="W677" s="12"/>
      <c r="X677" s="12"/>
      <c r="Y677" s="12"/>
      <c r="Z677" s="12"/>
      <c r="AA677" s="12"/>
      <c r="AB677" s="12"/>
      <c r="AC677" s="12"/>
      <c r="AD677" s="12"/>
      <c r="AE677" s="12"/>
      <c r="AF677" s="12"/>
    </row>
    <row r="678" spans="1:32">
      <c r="A678" s="8"/>
      <c r="B678" s="8"/>
      <c r="C678" s="8"/>
      <c r="D678" s="8"/>
      <c r="E678" s="8"/>
      <c r="F678" s="8"/>
      <c r="G678" s="8"/>
      <c r="H678" s="8"/>
      <c r="I678" s="8"/>
      <c r="J678" s="8"/>
      <c r="K678" s="8"/>
      <c r="L678" s="8"/>
      <c r="M678" s="8"/>
      <c r="N678" s="8"/>
      <c r="O678" s="8"/>
      <c r="P678" s="8"/>
      <c r="Q678" s="8"/>
      <c r="R678" s="8"/>
      <c r="S678" s="8"/>
      <c r="T678" s="8"/>
      <c r="U678" s="12"/>
      <c r="V678" s="12"/>
      <c r="W678" s="12"/>
      <c r="X678" s="12"/>
      <c r="Y678" s="12"/>
      <c r="Z678" s="12"/>
      <c r="AA678" s="12"/>
      <c r="AB678" s="12"/>
      <c r="AC678" s="12"/>
      <c r="AD678" s="12"/>
      <c r="AE678" s="12"/>
      <c r="AF678" s="12"/>
    </row>
    <row r="679" spans="1:32">
      <c r="A679" s="8"/>
      <c r="B679" s="8"/>
      <c r="C679" s="8"/>
      <c r="D679" s="8"/>
      <c r="E679" s="8"/>
      <c r="F679" s="8"/>
      <c r="G679" s="8"/>
      <c r="H679" s="8"/>
      <c r="I679" s="8"/>
      <c r="J679" s="8"/>
      <c r="K679" s="8"/>
      <c r="L679" s="8"/>
      <c r="M679" s="8"/>
      <c r="N679" s="8"/>
      <c r="O679" s="8"/>
      <c r="P679" s="8"/>
      <c r="Q679" s="8"/>
      <c r="R679" s="8"/>
      <c r="S679" s="8"/>
      <c r="T679" s="8"/>
      <c r="U679" s="12"/>
      <c r="V679" s="12"/>
      <c r="W679" s="12"/>
      <c r="X679" s="12"/>
      <c r="Y679" s="12"/>
      <c r="Z679" s="12"/>
      <c r="AA679" s="12"/>
      <c r="AB679" s="12"/>
      <c r="AC679" s="12"/>
      <c r="AD679" s="12"/>
      <c r="AE679" s="12"/>
      <c r="AF679" s="12"/>
    </row>
    <row r="680" spans="1:32">
      <c r="A680" s="8"/>
      <c r="B680" s="8"/>
      <c r="C680" s="8"/>
      <c r="D680" s="8"/>
      <c r="E680" s="8"/>
      <c r="F680" s="8"/>
      <c r="G680" s="8"/>
      <c r="H680" s="8"/>
      <c r="I680" s="8"/>
      <c r="J680" s="8"/>
      <c r="K680" s="8"/>
      <c r="L680" s="8"/>
      <c r="M680" s="8"/>
      <c r="N680" s="8"/>
      <c r="O680" s="8"/>
      <c r="P680" s="8"/>
      <c r="Q680" s="8"/>
      <c r="R680" s="8"/>
      <c r="S680" s="8"/>
      <c r="T680" s="8"/>
      <c r="U680" s="12"/>
      <c r="V680" s="12"/>
      <c r="W680" s="12"/>
      <c r="X680" s="12"/>
      <c r="Y680" s="12"/>
      <c r="Z680" s="12"/>
      <c r="AA680" s="12"/>
      <c r="AB680" s="12"/>
      <c r="AC680" s="12"/>
      <c r="AD680" s="12"/>
      <c r="AE680" s="12"/>
      <c r="AF680" s="12"/>
    </row>
    <row r="681" spans="1:32">
      <c r="A681" s="8"/>
      <c r="B681" s="8"/>
      <c r="C681" s="8"/>
      <c r="D681" s="8"/>
      <c r="E681" s="8"/>
      <c r="F681" s="8"/>
      <c r="G681" s="8"/>
      <c r="H681" s="8"/>
      <c r="I681" s="8"/>
      <c r="J681" s="8"/>
      <c r="K681" s="8"/>
      <c r="L681" s="8"/>
      <c r="M681" s="8"/>
      <c r="N681" s="8"/>
      <c r="O681" s="8"/>
      <c r="P681" s="8"/>
      <c r="Q681" s="8"/>
      <c r="R681" s="8"/>
      <c r="S681" s="8"/>
      <c r="T681" s="8"/>
      <c r="U681" s="12"/>
      <c r="V681" s="12"/>
      <c r="W681" s="12"/>
      <c r="X681" s="12"/>
      <c r="Y681" s="12"/>
      <c r="Z681" s="12"/>
      <c r="AA681" s="12"/>
      <c r="AB681" s="12"/>
      <c r="AC681" s="12"/>
      <c r="AD681" s="12"/>
      <c r="AE681" s="12"/>
      <c r="AF681" s="12"/>
    </row>
    <row r="682" spans="1:32">
      <c r="A682" s="8"/>
      <c r="B682" s="8"/>
      <c r="C682" s="8"/>
      <c r="D682" s="8"/>
      <c r="E682" s="8"/>
      <c r="F682" s="8"/>
      <c r="G682" s="8"/>
      <c r="H682" s="8"/>
      <c r="I682" s="8"/>
      <c r="J682" s="8"/>
      <c r="K682" s="8"/>
      <c r="L682" s="8"/>
      <c r="M682" s="8"/>
      <c r="N682" s="8"/>
      <c r="O682" s="8"/>
      <c r="P682" s="8"/>
      <c r="Q682" s="8"/>
      <c r="R682" s="8"/>
      <c r="S682" s="8"/>
      <c r="T682" s="8"/>
      <c r="U682" s="12"/>
      <c r="V682" s="12"/>
      <c r="W682" s="12"/>
      <c r="X682" s="12"/>
      <c r="Y682" s="12"/>
      <c r="Z682" s="12"/>
      <c r="AA682" s="12"/>
      <c r="AB682" s="12"/>
      <c r="AC682" s="12"/>
      <c r="AD682" s="12"/>
      <c r="AE682" s="12"/>
      <c r="AF682" s="12"/>
    </row>
    <row r="683" spans="1:32">
      <c r="A683" s="8"/>
      <c r="B683" s="8"/>
      <c r="C683" s="8"/>
      <c r="D683" s="8"/>
      <c r="E683" s="8"/>
      <c r="F683" s="8"/>
      <c r="G683" s="8"/>
      <c r="H683" s="8"/>
      <c r="I683" s="8"/>
      <c r="J683" s="8"/>
      <c r="K683" s="8"/>
      <c r="L683" s="8"/>
      <c r="M683" s="8"/>
      <c r="N683" s="8"/>
      <c r="O683" s="8"/>
      <c r="P683" s="8"/>
      <c r="Q683" s="8"/>
      <c r="R683" s="8"/>
      <c r="S683" s="8"/>
      <c r="T683" s="8"/>
      <c r="U683" s="12"/>
      <c r="V683" s="12"/>
      <c r="W683" s="12"/>
      <c r="X683" s="12"/>
      <c r="Y683" s="12"/>
      <c r="Z683" s="12"/>
      <c r="AA683" s="12"/>
      <c r="AB683" s="12"/>
      <c r="AC683" s="12"/>
      <c r="AD683" s="12"/>
      <c r="AE683" s="12"/>
      <c r="AF683" s="12"/>
    </row>
    <row r="684" spans="1:32">
      <c r="A684" s="8"/>
      <c r="B684" s="8"/>
      <c r="C684" s="8"/>
      <c r="D684" s="8"/>
      <c r="E684" s="8"/>
      <c r="F684" s="8"/>
      <c r="G684" s="8"/>
      <c r="H684" s="8"/>
      <c r="I684" s="8"/>
      <c r="J684" s="8"/>
      <c r="K684" s="8"/>
      <c r="L684" s="8"/>
      <c r="M684" s="8"/>
      <c r="N684" s="8"/>
      <c r="O684" s="8"/>
      <c r="P684" s="8"/>
      <c r="Q684" s="8"/>
      <c r="R684" s="8"/>
      <c r="S684" s="8"/>
      <c r="T684" s="8"/>
      <c r="U684" s="12"/>
      <c r="V684" s="12"/>
      <c r="W684" s="12"/>
      <c r="X684" s="12"/>
      <c r="Y684" s="12"/>
      <c r="Z684" s="12"/>
      <c r="AA684" s="12"/>
      <c r="AB684" s="12"/>
      <c r="AC684" s="12"/>
      <c r="AD684" s="12"/>
      <c r="AE684" s="12"/>
      <c r="AF684" s="12"/>
    </row>
    <row r="685" spans="1:32">
      <c r="A685" s="8"/>
      <c r="B685" s="8"/>
      <c r="C685" s="8"/>
      <c r="D685" s="8"/>
      <c r="E685" s="8"/>
      <c r="F685" s="8"/>
      <c r="G685" s="8"/>
      <c r="H685" s="8"/>
      <c r="I685" s="8"/>
      <c r="J685" s="8"/>
      <c r="K685" s="8"/>
      <c r="L685" s="8"/>
      <c r="M685" s="8"/>
      <c r="N685" s="8"/>
      <c r="O685" s="8"/>
      <c r="P685" s="8"/>
      <c r="Q685" s="8"/>
      <c r="R685" s="8"/>
      <c r="S685" s="8"/>
      <c r="T685" s="8"/>
      <c r="U685" s="12"/>
      <c r="V685" s="12"/>
      <c r="W685" s="12"/>
      <c r="X685" s="12"/>
      <c r="Y685" s="12"/>
      <c r="Z685" s="12"/>
      <c r="AA685" s="12"/>
      <c r="AB685" s="12"/>
      <c r="AC685" s="12"/>
      <c r="AD685" s="12"/>
      <c r="AE685" s="12"/>
      <c r="AF685" s="12"/>
    </row>
    <row r="686" spans="1:32">
      <c r="A686" s="8"/>
      <c r="B686" s="8"/>
      <c r="C686" s="8"/>
      <c r="D686" s="8"/>
      <c r="E686" s="8"/>
      <c r="F686" s="8"/>
      <c r="G686" s="8"/>
      <c r="H686" s="8"/>
      <c r="I686" s="8"/>
      <c r="J686" s="8"/>
      <c r="K686" s="8"/>
      <c r="L686" s="8"/>
      <c r="M686" s="8"/>
      <c r="N686" s="8"/>
      <c r="O686" s="8"/>
      <c r="P686" s="8"/>
      <c r="Q686" s="8"/>
      <c r="R686" s="8"/>
      <c r="S686" s="8"/>
      <c r="T686" s="8"/>
      <c r="U686" s="12"/>
      <c r="V686" s="12"/>
      <c r="W686" s="12"/>
      <c r="X686" s="12"/>
      <c r="Y686" s="12"/>
      <c r="Z686" s="12"/>
      <c r="AA686" s="12"/>
      <c r="AB686" s="12"/>
      <c r="AC686" s="12"/>
      <c r="AD686" s="12"/>
      <c r="AE686" s="12"/>
      <c r="AF686" s="12"/>
    </row>
    <row r="687" spans="1:32">
      <c r="A687" s="8"/>
      <c r="B687" s="8"/>
      <c r="C687" s="8"/>
      <c r="D687" s="8"/>
      <c r="E687" s="8"/>
      <c r="F687" s="8"/>
      <c r="G687" s="8"/>
      <c r="H687" s="8"/>
      <c r="I687" s="8"/>
      <c r="J687" s="8"/>
      <c r="K687" s="8"/>
      <c r="L687" s="8"/>
      <c r="M687" s="8"/>
      <c r="N687" s="8"/>
      <c r="O687" s="8"/>
      <c r="P687" s="8"/>
      <c r="Q687" s="8"/>
      <c r="R687" s="8"/>
      <c r="S687" s="8"/>
      <c r="T687" s="8"/>
      <c r="U687" s="12"/>
      <c r="V687" s="12"/>
      <c r="W687" s="12"/>
      <c r="X687" s="12"/>
      <c r="Y687" s="12"/>
      <c r="Z687" s="12"/>
      <c r="AA687" s="12"/>
      <c r="AB687" s="12"/>
      <c r="AC687" s="12"/>
      <c r="AD687" s="12"/>
      <c r="AE687" s="12"/>
      <c r="AF687" s="12"/>
    </row>
    <row r="688" spans="1:32">
      <c r="A688" s="8"/>
      <c r="B688" s="8"/>
      <c r="C688" s="8"/>
      <c r="D688" s="8"/>
      <c r="E688" s="8"/>
      <c r="F688" s="8"/>
      <c r="G688" s="8"/>
      <c r="H688" s="8"/>
      <c r="I688" s="8"/>
      <c r="J688" s="8"/>
      <c r="K688" s="8"/>
      <c r="L688" s="8"/>
      <c r="M688" s="8"/>
      <c r="N688" s="8"/>
      <c r="O688" s="8"/>
      <c r="P688" s="8"/>
      <c r="Q688" s="8"/>
      <c r="R688" s="8"/>
      <c r="S688" s="8"/>
      <c r="T688" s="8"/>
      <c r="U688" s="12"/>
      <c r="V688" s="12"/>
      <c r="W688" s="12"/>
      <c r="X688" s="12"/>
      <c r="Y688" s="12"/>
      <c r="Z688" s="12"/>
      <c r="AA688" s="12"/>
      <c r="AB688" s="12"/>
      <c r="AC688" s="12"/>
      <c r="AD688" s="12"/>
      <c r="AE688" s="12"/>
      <c r="AF688" s="12"/>
    </row>
    <row r="689" spans="1:32">
      <c r="A689" s="8"/>
      <c r="B689" s="8"/>
      <c r="C689" s="8"/>
      <c r="D689" s="8"/>
      <c r="E689" s="8"/>
      <c r="F689" s="8"/>
      <c r="G689" s="8"/>
      <c r="H689" s="8"/>
      <c r="I689" s="8"/>
      <c r="J689" s="8"/>
      <c r="K689" s="8"/>
      <c r="L689" s="8"/>
      <c r="M689" s="8"/>
      <c r="N689" s="8"/>
      <c r="O689" s="8"/>
      <c r="P689" s="8"/>
      <c r="Q689" s="8"/>
      <c r="R689" s="8"/>
      <c r="S689" s="8"/>
      <c r="T689" s="8"/>
      <c r="U689" s="12"/>
      <c r="V689" s="12"/>
      <c r="W689" s="12"/>
      <c r="X689" s="12"/>
      <c r="Y689" s="12"/>
      <c r="Z689" s="12"/>
      <c r="AA689" s="12"/>
      <c r="AB689" s="12"/>
      <c r="AC689" s="12"/>
      <c r="AD689" s="12"/>
      <c r="AE689" s="12"/>
      <c r="AF689" s="12"/>
    </row>
    <row r="690" spans="1:32">
      <c r="A690" s="8"/>
      <c r="B690" s="8"/>
      <c r="C690" s="8"/>
      <c r="D690" s="8"/>
      <c r="E690" s="8"/>
      <c r="F690" s="8"/>
      <c r="G690" s="8"/>
      <c r="H690" s="8"/>
      <c r="I690" s="8"/>
      <c r="J690" s="8"/>
      <c r="K690" s="8"/>
      <c r="L690" s="8"/>
      <c r="M690" s="8"/>
      <c r="N690" s="8"/>
      <c r="O690" s="8"/>
      <c r="P690" s="8"/>
      <c r="Q690" s="8"/>
      <c r="R690" s="8"/>
      <c r="S690" s="8"/>
      <c r="T690" s="8"/>
      <c r="U690" s="12"/>
      <c r="V690" s="12"/>
      <c r="W690" s="12"/>
      <c r="X690" s="12"/>
      <c r="Y690" s="12"/>
      <c r="Z690" s="12"/>
      <c r="AA690" s="12"/>
      <c r="AB690" s="12"/>
      <c r="AC690" s="12"/>
      <c r="AD690" s="12"/>
      <c r="AE690" s="12"/>
      <c r="AF690" s="12"/>
    </row>
    <row r="691" spans="1:32">
      <c r="A691" s="8"/>
      <c r="B691" s="8"/>
      <c r="C691" s="8"/>
      <c r="D691" s="8"/>
      <c r="E691" s="8"/>
      <c r="F691" s="8"/>
      <c r="G691" s="8"/>
      <c r="H691" s="8"/>
      <c r="I691" s="8"/>
      <c r="J691" s="8"/>
      <c r="K691" s="8"/>
      <c r="L691" s="8"/>
      <c r="M691" s="8"/>
      <c r="N691" s="8"/>
      <c r="O691" s="8"/>
      <c r="P691" s="8"/>
      <c r="Q691" s="8"/>
      <c r="R691" s="8"/>
      <c r="S691" s="8"/>
      <c r="T691" s="8"/>
      <c r="U691" s="12"/>
      <c r="V691" s="12"/>
      <c r="W691" s="12"/>
      <c r="X691" s="12"/>
      <c r="Y691" s="12"/>
      <c r="Z691" s="12"/>
      <c r="AA691" s="12"/>
      <c r="AB691" s="12"/>
      <c r="AC691" s="12"/>
      <c r="AD691" s="12"/>
      <c r="AE691" s="12"/>
      <c r="AF691" s="12"/>
    </row>
    <row r="692" spans="1:32">
      <c r="A692" s="8"/>
      <c r="B692" s="8"/>
      <c r="C692" s="8"/>
      <c r="D692" s="8"/>
      <c r="E692" s="8"/>
      <c r="F692" s="8"/>
      <c r="G692" s="8"/>
      <c r="H692" s="8"/>
      <c r="I692" s="8"/>
      <c r="J692" s="8"/>
      <c r="K692" s="8"/>
      <c r="L692" s="8"/>
      <c r="M692" s="8"/>
      <c r="N692" s="8"/>
      <c r="O692" s="8"/>
      <c r="P692" s="8"/>
      <c r="Q692" s="8"/>
      <c r="R692" s="8"/>
      <c r="S692" s="8"/>
      <c r="T692" s="8"/>
      <c r="U692" s="12"/>
      <c r="V692" s="12"/>
      <c r="W692" s="12"/>
      <c r="X692" s="12"/>
      <c r="Y692" s="12"/>
      <c r="Z692" s="12"/>
      <c r="AA692" s="12"/>
      <c r="AB692" s="12"/>
      <c r="AC692" s="12"/>
      <c r="AD692" s="12"/>
      <c r="AE692" s="12"/>
      <c r="AF692" s="12"/>
    </row>
    <row r="693" spans="1:32">
      <c r="A693" s="8"/>
      <c r="B693" s="8"/>
      <c r="C693" s="8"/>
      <c r="D693" s="8"/>
      <c r="E693" s="8"/>
      <c r="F693" s="8"/>
      <c r="G693" s="8"/>
      <c r="H693" s="8"/>
      <c r="I693" s="8"/>
      <c r="J693" s="8"/>
      <c r="K693" s="8"/>
      <c r="L693" s="8"/>
      <c r="M693" s="8"/>
      <c r="N693" s="8"/>
      <c r="O693" s="8"/>
      <c r="P693" s="8"/>
      <c r="Q693" s="8"/>
      <c r="R693" s="8"/>
      <c r="S693" s="8"/>
      <c r="T693" s="8"/>
      <c r="U693" s="12"/>
      <c r="V693" s="12"/>
      <c r="W693" s="12"/>
      <c r="X693" s="12"/>
      <c r="Y693" s="12"/>
      <c r="Z693" s="12"/>
      <c r="AA693" s="12"/>
      <c r="AB693" s="12"/>
      <c r="AC693" s="12"/>
      <c r="AD693" s="12"/>
      <c r="AE693" s="12"/>
      <c r="AF693" s="12"/>
    </row>
    <row r="694" spans="1:32">
      <c r="A694" s="8"/>
      <c r="B694" s="8"/>
      <c r="C694" s="8"/>
      <c r="D694" s="8"/>
      <c r="E694" s="8"/>
      <c r="F694" s="8"/>
      <c r="G694" s="8"/>
      <c r="H694" s="8"/>
      <c r="I694" s="8"/>
      <c r="J694" s="8"/>
      <c r="K694" s="8"/>
      <c r="L694" s="8"/>
      <c r="M694" s="8"/>
      <c r="N694" s="8"/>
      <c r="O694" s="8"/>
      <c r="P694" s="8"/>
      <c r="Q694" s="8"/>
      <c r="R694" s="8"/>
      <c r="S694" s="8"/>
      <c r="T694" s="8"/>
      <c r="U694" s="12"/>
      <c r="V694" s="12"/>
      <c r="W694" s="12"/>
      <c r="X694" s="12"/>
      <c r="Y694" s="12"/>
      <c r="Z694" s="12"/>
      <c r="AA694" s="12"/>
      <c r="AB694" s="12"/>
      <c r="AC694" s="12"/>
      <c r="AD694" s="12"/>
      <c r="AE694" s="12"/>
      <c r="AF694" s="12"/>
    </row>
    <row r="695" spans="1:32">
      <c r="A695" s="8"/>
      <c r="B695" s="8"/>
      <c r="C695" s="8"/>
      <c r="D695" s="8"/>
      <c r="E695" s="8"/>
      <c r="F695" s="8"/>
      <c r="G695" s="8"/>
      <c r="H695" s="8"/>
      <c r="I695" s="8"/>
      <c r="J695" s="8"/>
      <c r="K695" s="8"/>
      <c r="L695" s="8"/>
      <c r="M695" s="8"/>
      <c r="N695" s="8"/>
      <c r="O695" s="8"/>
      <c r="P695" s="8"/>
      <c r="Q695" s="8"/>
      <c r="R695" s="8"/>
      <c r="S695" s="8"/>
      <c r="T695" s="8"/>
      <c r="U695" s="12"/>
      <c r="V695" s="12"/>
      <c r="W695" s="12"/>
      <c r="X695" s="12"/>
      <c r="Y695" s="12"/>
      <c r="Z695" s="12"/>
      <c r="AA695" s="12"/>
      <c r="AB695" s="12"/>
      <c r="AC695" s="12"/>
      <c r="AD695" s="12"/>
      <c r="AE695" s="12"/>
      <c r="AF695" s="12"/>
    </row>
    <row r="696" spans="1:32">
      <c r="A696" s="8"/>
      <c r="B696" s="8"/>
      <c r="C696" s="8"/>
      <c r="D696" s="8"/>
      <c r="E696" s="8"/>
      <c r="F696" s="8"/>
      <c r="G696" s="8"/>
      <c r="H696" s="8"/>
      <c r="I696" s="8"/>
      <c r="J696" s="8"/>
      <c r="K696" s="8"/>
      <c r="L696" s="8"/>
      <c r="M696" s="8"/>
      <c r="N696" s="8"/>
      <c r="O696" s="8"/>
      <c r="P696" s="8"/>
      <c r="Q696" s="8"/>
      <c r="R696" s="8"/>
      <c r="S696" s="8"/>
      <c r="T696" s="8"/>
      <c r="U696" s="12"/>
      <c r="V696" s="12"/>
      <c r="W696" s="12"/>
      <c r="X696" s="12"/>
      <c r="Y696" s="12"/>
      <c r="Z696" s="12"/>
      <c r="AA696" s="12"/>
      <c r="AB696" s="12"/>
      <c r="AC696" s="12"/>
      <c r="AD696" s="12"/>
      <c r="AE696" s="12"/>
      <c r="AF696" s="12"/>
    </row>
    <row r="697" spans="1:32">
      <c r="A697" s="8"/>
      <c r="B697" s="8"/>
      <c r="C697" s="8"/>
      <c r="D697" s="8"/>
      <c r="E697" s="8"/>
      <c r="F697" s="8"/>
      <c r="G697" s="8"/>
      <c r="H697" s="8"/>
      <c r="I697" s="8"/>
      <c r="J697" s="8"/>
      <c r="K697" s="8"/>
      <c r="L697" s="8"/>
      <c r="M697" s="8"/>
      <c r="N697" s="8"/>
      <c r="O697" s="8"/>
      <c r="P697" s="8"/>
      <c r="Q697" s="8"/>
      <c r="R697" s="8"/>
      <c r="S697" s="8"/>
      <c r="T697" s="8"/>
      <c r="U697" s="12"/>
      <c r="V697" s="12"/>
      <c r="W697" s="12"/>
      <c r="X697" s="12"/>
      <c r="Y697" s="12"/>
      <c r="Z697" s="12"/>
      <c r="AA697" s="12"/>
      <c r="AB697" s="12"/>
      <c r="AC697" s="12"/>
      <c r="AD697" s="12"/>
      <c r="AE697" s="12"/>
      <c r="AF697" s="12"/>
    </row>
    <row r="698" spans="1:32">
      <c r="A698" s="8"/>
      <c r="B698" s="8"/>
      <c r="C698" s="8"/>
      <c r="D698" s="8"/>
      <c r="E698" s="8"/>
      <c r="F698" s="8"/>
      <c r="G698" s="8"/>
      <c r="H698" s="8"/>
      <c r="I698" s="8"/>
      <c r="J698" s="8"/>
      <c r="K698" s="8"/>
      <c r="L698" s="8"/>
      <c r="M698" s="8"/>
      <c r="N698" s="8"/>
      <c r="O698" s="8"/>
      <c r="P698" s="8"/>
      <c r="Q698" s="8"/>
      <c r="R698" s="8"/>
      <c r="S698" s="8"/>
      <c r="T698" s="8"/>
      <c r="U698" s="12"/>
      <c r="V698" s="12"/>
      <c r="W698" s="12"/>
      <c r="X698" s="12"/>
      <c r="Y698" s="12"/>
      <c r="Z698" s="12"/>
      <c r="AA698" s="12"/>
      <c r="AB698" s="12"/>
      <c r="AC698" s="12"/>
      <c r="AD698" s="12"/>
      <c r="AE698" s="12"/>
      <c r="AF698" s="12"/>
    </row>
    <row r="699" spans="1:32">
      <c r="A699" s="8"/>
      <c r="B699" s="8"/>
      <c r="C699" s="8"/>
      <c r="D699" s="8"/>
      <c r="E699" s="8"/>
      <c r="F699" s="8"/>
      <c r="G699" s="8"/>
      <c r="H699" s="8"/>
      <c r="I699" s="8"/>
      <c r="J699" s="8"/>
      <c r="K699" s="8"/>
      <c r="L699" s="8"/>
      <c r="M699" s="8"/>
      <c r="N699" s="8"/>
      <c r="O699" s="8"/>
      <c r="P699" s="8"/>
      <c r="Q699" s="8"/>
      <c r="R699" s="8"/>
      <c r="S699" s="8"/>
      <c r="T699" s="8"/>
      <c r="U699" s="12"/>
      <c r="V699" s="12"/>
      <c r="W699" s="12"/>
      <c r="X699" s="12"/>
      <c r="Y699" s="12"/>
      <c r="Z699" s="12"/>
      <c r="AA699" s="12"/>
      <c r="AB699" s="12"/>
      <c r="AC699" s="12"/>
      <c r="AD699" s="12"/>
      <c r="AE699" s="12"/>
      <c r="AF699" s="12"/>
    </row>
    <row r="700" spans="1:32">
      <c r="A700" s="8"/>
      <c r="B700" s="8"/>
      <c r="C700" s="8"/>
      <c r="D700" s="8"/>
      <c r="E700" s="8"/>
      <c r="F700" s="8"/>
      <c r="G700" s="8"/>
      <c r="H700" s="8"/>
      <c r="I700" s="8"/>
      <c r="J700" s="8"/>
      <c r="K700" s="8"/>
      <c r="L700" s="8"/>
      <c r="M700" s="8"/>
      <c r="N700" s="8"/>
      <c r="O700" s="8"/>
      <c r="P700" s="8"/>
      <c r="Q700" s="8"/>
      <c r="R700" s="8"/>
      <c r="S700" s="8"/>
      <c r="T700" s="8"/>
      <c r="U700" s="12"/>
      <c r="V700" s="12"/>
      <c r="W700" s="12"/>
      <c r="X700" s="12"/>
      <c r="Y700" s="12"/>
      <c r="Z700" s="12"/>
      <c r="AA700" s="12"/>
      <c r="AB700" s="12"/>
      <c r="AC700" s="12"/>
      <c r="AD700" s="12"/>
      <c r="AE700" s="12"/>
      <c r="AF700" s="12"/>
    </row>
    <row r="701" spans="1:32">
      <c r="A701" s="8"/>
      <c r="B701" s="8"/>
      <c r="C701" s="8"/>
      <c r="D701" s="8"/>
      <c r="E701" s="8"/>
      <c r="F701" s="8"/>
      <c r="G701" s="8"/>
      <c r="H701" s="8"/>
      <c r="I701" s="8"/>
      <c r="J701" s="8"/>
      <c r="K701" s="8"/>
      <c r="L701" s="8"/>
      <c r="M701" s="8"/>
      <c r="N701" s="8"/>
      <c r="O701" s="8"/>
      <c r="P701" s="8"/>
      <c r="Q701" s="8"/>
      <c r="R701" s="8"/>
      <c r="S701" s="8"/>
      <c r="T701" s="8"/>
      <c r="U701" s="12"/>
      <c r="V701" s="12"/>
      <c r="W701" s="12"/>
      <c r="X701" s="12"/>
      <c r="Y701" s="12"/>
      <c r="Z701" s="12"/>
      <c r="AA701" s="12"/>
      <c r="AB701" s="12"/>
      <c r="AC701" s="12"/>
      <c r="AD701" s="12"/>
      <c r="AE701" s="12"/>
      <c r="AF701" s="12"/>
    </row>
    <row r="702" spans="1:32">
      <c r="A702" s="8"/>
      <c r="B702" s="8"/>
      <c r="C702" s="8"/>
      <c r="D702" s="8"/>
      <c r="E702" s="8"/>
      <c r="F702" s="8"/>
      <c r="G702" s="8"/>
      <c r="H702" s="8"/>
      <c r="I702" s="8"/>
      <c r="J702" s="8"/>
      <c r="K702" s="8"/>
      <c r="L702" s="8"/>
      <c r="M702" s="8"/>
      <c r="N702" s="8"/>
      <c r="O702" s="8"/>
      <c r="P702" s="8"/>
      <c r="Q702" s="8"/>
      <c r="R702" s="8"/>
      <c r="S702" s="8"/>
      <c r="T702" s="8"/>
      <c r="U702" s="12"/>
      <c r="V702" s="12"/>
      <c r="W702" s="12"/>
      <c r="X702" s="12"/>
      <c r="Y702" s="12"/>
      <c r="Z702" s="12"/>
      <c r="AA702" s="12"/>
      <c r="AB702" s="12"/>
      <c r="AC702" s="12"/>
      <c r="AD702" s="12"/>
      <c r="AE702" s="12"/>
      <c r="AF702" s="12"/>
    </row>
    <row r="703" spans="1:32">
      <c r="A703" s="8"/>
      <c r="B703" s="8"/>
      <c r="C703" s="8"/>
      <c r="D703" s="8"/>
      <c r="E703" s="8"/>
      <c r="F703" s="8"/>
      <c r="G703" s="8"/>
      <c r="H703" s="8"/>
      <c r="I703" s="8"/>
      <c r="J703" s="8"/>
      <c r="K703" s="8"/>
      <c r="L703" s="8"/>
      <c r="M703" s="8"/>
      <c r="N703" s="8"/>
      <c r="O703" s="8"/>
      <c r="P703" s="8"/>
      <c r="Q703" s="8"/>
      <c r="R703" s="8"/>
      <c r="S703" s="8"/>
      <c r="T703" s="8"/>
      <c r="U703" s="12"/>
      <c r="V703" s="12"/>
      <c r="W703" s="12"/>
      <c r="X703" s="12"/>
      <c r="Y703" s="12"/>
      <c r="Z703" s="12"/>
      <c r="AA703" s="12"/>
      <c r="AB703" s="12"/>
      <c r="AC703" s="12"/>
      <c r="AD703" s="12"/>
      <c r="AE703" s="12"/>
      <c r="AF703" s="12"/>
    </row>
    <row r="704" spans="1:32">
      <c r="A704" s="8"/>
      <c r="B704" s="8"/>
      <c r="C704" s="8"/>
      <c r="D704" s="8"/>
      <c r="E704" s="8"/>
      <c r="F704" s="8"/>
      <c r="G704" s="8"/>
      <c r="H704" s="8"/>
      <c r="I704" s="8"/>
      <c r="J704" s="8"/>
      <c r="K704" s="8"/>
      <c r="L704" s="8"/>
      <c r="M704" s="8"/>
      <c r="N704" s="8"/>
      <c r="O704" s="8"/>
      <c r="P704" s="8"/>
      <c r="Q704" s="8"/>
      <c r="R704" s="8"/>
      <c r="S704" s="8"/>
      <c r="T704" s="8"/>
      <c r="U704" s="12"/>
      <c r="V704" s="12"/>
      <c r="W704" s="12"/>
      <c r="X704" s="12"/>
      <c r="Y704" s="12"/>
      <c r="Z704" s="12"/>
      <c r="AA704" s="12"/>
      <c r="AB704" s="12"/>
      <c r="AC704" s="12"/>
      <c r="AD704" s="12"/>
      <c r="AE704" s="12"/>
      <c r="AF704" s="12"/>
    </row>
    <row r="705" spans="1:32">
      <c r="A705" s="8"/>
      <c r="B705" s="8"/>
      <c r="C705" s="8"/>
      <c r="D705" s="8"/>
      <c r="E705" s="8"/>
      <c r="F705" s="8"/>
      <c r="G705" s="8"/>
      <c r="H705" s="8"/>
      <c r="I705" s="8"/>
      <c r="J705" s="8"/>
      <c r="K705" s="8"/>
      <c r="L705" s="8"/>
      <c r="M705" s="8"/>
      <c r="N705" s="8"/>
      <c r="O705" s="8"/>
      <c r="P705" s="8"/>
      <c r="Q705" s="8"/>
      <c r="R705" s="8"/>
      <c r="S705" s="8"/>
      <c r="T705" s="8"/>
      <c r="U705" s="12"/>
      <c r="V705" s="12"/>
      <c r="W705" s="12"/>
      <c r="X705" s="12"/>
      <c r="Y705" s="12"/>
      <c r="Z705" s="12"/>
      <c r="AA705" s="12"/>
      <c r="AB705" s="12"/>
      <c r="AC705" s="12"/>
      <c r="AD705" s="12"/>
      <c r="AE705" s="12"/>
      <c r="AF705" s="12"/>
    </row>
    <row r="706" spans="1:32">
      <c r="A706" s="8"/>
      <c r="B706" s="8"/>
      <c r="C706" s="8"/>
      <c r="D706" s="8"/>
      <c r="E706" s="8"/>
      <c r="F706" s="8"/>
      <c r="G706" s="8"/>
      <c r="H706" s="8"/>
      <c r="I706" s="8"/>
      <c r="J706" s="8"/>
      <c r="K706" s="8"/>
      <c r="L706" s="8"/>
      <c r="M706" s="8"/>
      <c r="N706" s="8"/>
      <c r="O706" s="8"/>
      <c r="P706" s="8"/>
      <c r="Q706" s="8"/>
      <c r="R706" s="8"/>
      <c r="S706" s="8"/>
      <c r="T706" s="8"/>
      <c r="U706" s="12"/>
      <c r="V706" s="12"/>
      <c r="W706" s="12"/>
      <c r="X706" s="12"/>
      <c r="Y706" s="12"/>
      <c r="Z706" s="12"/>
      <c r="AA706" s="12"/>
      <c r="AB706" s="12"/>
      <c r="AC706" s="12"/>
      <c r="AD706" s="12"/>
      <c r="AE706" s="12"/>
      <c r="AF706" s="12"/>
    </row>
    <row r="707" spans="1:32">
      <c r="A707" s="8"/>
      <c r="B707" s="8"/>
      <c r="C707" s="8"/>
      <c r="D707" s="8"/>
      <c r="E707" s="8"/>
      <c r="F707" s="8"/>
      <c r="G707" s="8"/>
      <c r="H707" s="8"/>
      <c r="I707" s="8"/>
      <c r="J707" s="8"/>
      <c r="K707" s="8"/>
      <c r="L707" s="8"/>
      <c r="M707" s="8"/>
      <c r="N707" s="8"/>
      <c r="O707" s="8"/>
      <c r="P707" s="8"/>
      <c r="Q707" s="8"/>
      <c r="R707" s="8"/>
      <c r="S707" s="8"/>
      <c r="T707" s="8"/>
      <c r="U707" s="12"/>
      <c r="V707" s="12"/>
      <c r="W707" s="12"/>
      <c r="X707" s="12"/>
      <c r="Y707" s="12"/>
      <c r="Z707" s="12"/>
      <c r="AA707" s="12"/>
      <c r="AB707" s="12"/>
      <c r="AC707" s="12"/>
      <c r="AD707" s="12"/>
      <c r="AE707" s="12"/>
      <c r="AF707" s="12"/>
    </row>
    <row r="708" spans="1:32">
      <c r="A708" s="8"/>
      <c r="B708" s="8"/>
      <c r="C708" s="8"/>
      <c r="D708" s="8"/>
      <c r="E708" s="8"/>
      <c r="F708" s="8"/>
      <c r="G708" s="8"/>
      <c r="H708" s="8"/>
      <c r="I708" s="8"/>
      <c r="J708" s="8"/>
      <c r="K708" s="8"/>
      <c r="L708" s="8"/>
      <c r="M708" s="8"/>
      <c r="N708" s="8"/>
      <c r="O708" s="8"/>
      <c r="P708" s="8"/>
      <c r="Q708" s="8"/>
      <c r="R708" s="8"/>
      <c r="S708" s="8"/>
      <c r="T708" s="8"/>
      <c r="U708" s="12"/>
      <c r="V708" s="12"/>
      <c r="W708" s="12"/>
      <c r="X708" s="12"/>
      <c r="Y708" s="12"/>
      <c r="Z708" s="12"/>
      <c r="AA708" s="12"/>
      <c r="AB708" s="12"/>
      <c r="AC708" s="12"/>
      <c r="AD708" s="12"/>
      <c r="AE708" s="12"/>
      <c r="AF708" s="12"/>
    </row>
    <row r="709" spans="1:32">
      <c r="A709" s="8"/>
      <c r="B709" s="8"/>
      <c r="C709" s="8"/>
      <c r="D709" s="8"/>
      <c r="E709" s="8"/>
      <c r="F709" s="8"/>
      <c r="G709" s="8"/>
      <c r="H709" s="8"/>
      <c r="I709" s="8"/>
      <c r="J709" s="8"/>
      <c r="K709" s="8"/>
      <c r="L709" s="8"/>
      <c r="M709" s="8"/>
      <c r="N709" s="8"/>
      <c r="O709" s="8"/>
      <c r="P709" s="8"/>
      <c r="Q709" s="8"/>
      <c r="R709" s="8"/>
      <c r="S709" s="8"/>
      <c r="T709" s="8"/>
      <c r="U709" s="12"/>
      <c r="V709" s="12"/>
      <c r="W709" s="12"/>
      <c r="X709" s="12"/>
      <c r="Y709" s="12"/>
      <c r="Z709" s="12"/>
      <c r="AA709" s="12"/>
      <c r="AB709" s="12"/>
      <c r="AC709" s="12"/>
      <c r="AD709" s="12"/>
      <c r="AE709" s="12"/>
      <c r="AF709" s="12"/>
    </row>
    <row r="710" spans="1:32">
      <c r="A710" s="8"/>
      <c r="B710" s="8"/>
      <c r="C710" s="8"/>
      <c r="D710" s="8"/>
      <c r="E710" s="8"/>
      <c r="F710" s="8"/>
      <c r="G710" s="8"/>
      <c r="H710" s="8"/>
      <c r="I710" s="8"/>
      <c r="J710" s="8"/>
      <c r="K710" s="8"/>
      <c r="L710" s="8"/>
      <c r="M710" s="8"/>
      <c r="N710" s="8"/>
      <c r="O710" s="8"/>
      <c r="P710" s="8"/>
      <c r="Q710" s="8"/>
      <c r="R710" s="8"/>
      <c r="S710" s="8"/>
      <c r="T710" s="8"/>
      <c r="U710" s="12"/>
      <c r="V710" s="12"/>
      <c r="W710" s="12"/>
      <c r="X710" s="12"/>
      <c r="Y710" s="12"/>
      <c r="Z710" s="12"/>
      <c r="AA710" s="12"/>
      <c r="AB710" s="12"/>
      <c r="AC710" s="12"/>
      <c r="AD710" s="12"/>
      <c r="AE710" s="12"/>
      <c r="AF710" s="12"/>
    </row>
    <row r="711" spans="1:32">
      <c r="A711" s="8"/>
      <c r="B711" s="8"/>
      <c r="C711" s="8"/>
      <c r="D711" s="8"/>
      <c r="E711" s="8"/>
      <c r="F711" s="8"/>
      <c r="G711" s="8"/>
      <c r="H711" s="8"/>
      <c r="I711" s="8"/>
      <c r="J711" s="8"/>
      <c r="K711" s="8"/>
      <c r="L711" s="8"/>
      <c r="M711" s="8"/>
      <c r="N711" s="8"/>
      <c r="O711" s="8"/>
      <c r="P711" s="8"/>
      <c r="Q711" s="8"/>
      <c r="R711" s="8"/>
      <c r="S711" s="8"/>
      <c r="T711" s="8"/>
      <c r="U711" s="12"/>
      <c r="V711" s="12"/>
      <c r="W711" s="12"/>
      <c r="X711" s="12"/>
      <c r="Y711" s="12"/>
      <c r="Z711" s="12"/>
      <c r="AA711" s="12"/>
      <c r="AB711" s="12"/>
      <c r="AC711" s="12"/>
      <c r="AD711" s="12"/>
      <c r="AE711" s="12"/>
      <c r="AF711" s="12"/>
    </row>
    <row r="712" spans="1:32">
      <c r="A712" s="8"/>
      <c r="B712" s="8"/>
      <c r="C712" s="8"/>
      <c r="D712" s="8"/>
      <c r="E712" s="8"/>
      <c r="F712" s="8"/>
      <c r="G712" s="8"/>
      <c r="H712" s="8"/>
      <c r="I712" s="8"/>
      <c r="J712" s="8"/>
      <c r="K712" s="8"/>
      <c r="L712" s="8"/>
      <c r="M712" s="8"/>
      <c r="N712" s="8"/>
      <c r="O712" s="8"/>
      <c r="P712" s="8"/>
      <c r="Q712" s="8"/>
      <c r="R712" s="8"/>
      <c r="S712" s="8"/>
      <c r="T712" s="8"/>
      <c r="U712" s="12"/>
      <c r="V712" s="12"/>
      <c r="W712" s="12"/>
      <c r="X712" s="12"/>
      <c r="Y712" s="12"/>
      <c r="Z712" s="12"/>
      <c r="AA712" s="12"/>
      <c r="AB712" s="12"/>
      <c r="AC712" s="12"/>
      <c r="AD712" s="12"/>
      <c r="AE712" s="12"/>
      <c r="AF712" s="12"/>
    </row>
    <row r="713" spans="1:32">
      <c r="A713" s="8"/>
      <c r="B713" s="8"/>
      <c r="C713" s="8"/>
      <c r="D713" s="8"/>
      <c r="E713" s="8"/>
      <c r="F713" s="8"/>
      <c r="G713" s="8"/>
      <c r="H713" s="8"/>
      <c r="I713" s="8"/>
      <c r="J713" s="8"/>
      <c r="K713" s="8"/>
      <c r="L713" s="8"/>
      <c r="M713" s="8"/>
      <c r="N713" s="8"/>
      <c r="O713" s="8"/>
      <c r="P713" s="8"/>
      <c r="Q713" s="8"/>
      <c r="R713" s="8"/>
      <c r="S713" s="8"/>
      <c r="T713" s="8"/>
      <c r="U713" s="12"/>
      <c r="V713" s="12"/>
      <c r="W713" s="12"/>
      <c r="X713" s="12"/>
      <c r="Y713" s="12"/>
      <c r="Z713" s="12"/>
      <c r="AA713" s="12"/>
      <c r="AB713" s="12"/>
      <c r="AC713" s="12"/>
      <c r="AD713" s="12"/>
      <c r="AE713" s="12"/>
      <c r="AF713" s="12"/>
    </row>
    <row r="714" spans="1:32">
      <c r="A714" s="8"/>
      <c r="B714" s="8"/>
      <c r="C714" s="8"/>
      <c r="D714" s="8"/>
      <c r="E714" s="8"/>
      <c r="F714" s="8"/>
      <c r="G714" s="8"/>
      <c r="H714" s="8"/>
      <c r="I714" s="8"/>
      <c r="J714" s="8"/>
      <c r="K714" s="8"/>
      <c r="L714" s="8"/>
      <c r="M714" s="8"/>
      <c r="N714" s="8"/>
      <c r="O714" s="8"/>
      <c r="P714" s="8"/>
      <c r="Q714" s="8"/>
      <c r="R714" s="8"/>
      <c r="S714" s="8"/>
      <c r="T714" s="8"/>
      <c r="U714" s="12"/>
      <c r="V714" s="12"/>
      <c r="W714" s="12"/>
      <c r="X714" s="12"/>
      <c r="Y714" s="12"/>
      <c r="Z714" s="12"/>
      <c r="AA714" s="12"/>
      <c r="AB714" s="12"/>
      <c r="AC714" s="12"/>
      <c r="AD714" s="12"/>
      <c r="AE714" s="12"/>
      <c r="AF714" s="12"/>
    </row>
    <row r="715" spans="1:32">
      <c r="A715" s="8"/>
      <c r="B715" s="8"/>
      <c r="C715" s="8"/>
      <c r="D715" s="8"/>
      <c r="E715" s="8"/>
      <c r="F715" s="8"/>
      <c r="G715" s="8"/>
      <c r="H715" s="8"/>
      <c r="I715" s="8"/>
      <c r="J715" s="8"/>
      <c r="K715" s="8"/>
      <c r="L715" s="8"/>
      <c r="M715" s="8"/>
      <c r="N715" s="8"/>
      <c r="O715" s="8"/>
      <c r="P715" s="8"/>
      <c r="Q715" s="8"/>
      <c r="R715" s="8"/>
      <c r="S715" s="8"/>
      <c r="T715" s="8"/>
      <c r="U715" s="12"/>
      <c r="V715" s="12"/>
      <c r="W715" s="12"/>
      <c r="X715" s="12"/>
      <c r="Y715" s="12"/>
      <c r="Z715" s="12"/>
      <c r="AA715" s="12"/>
      <c r="AB715" s="12"/>
      <c r="AC715" s="12"/>
      <c r="AD715" s="12"/>
      <c r="AE715" s="12"/>
      <c r="AF715" s="12"/>
    </row>
    <row r="716" spans="1:32">
      <c r="A716" s="8"/>
      <c r="B716" s="8"/>
      <c r="C716" s="8"/>
      <c r="D716" s="8"/>
      <c r="E716" s="8"/>
      <c r="F716" s="8"/>
      <c r="G716" s="8"/>
      <c r="H716" s="8"/>
      <c r="I716" s="8"/>
      <c r="J716" s="8"/>
      <c r="K716" s="8"/>
      <c r="L716" s="8"/>
      <c r="M716" s="8"/>
      <c r="N716" s="8"/>
      <c r="O716" s="8"/>
      <c r="P716" s="8"/>
      <c r="Q716" s="8"/>
      <c r="R716" s="8"/>
      <c r="S716" s="8"/>
      <c r="T716" s="8"/>
      <c r="U716" s="12"/>
      <c r="V716" s="12"/>
      <c r="W716" s="12"/>
      <c r="X716" s="12"/>
      <c r="Y716" s="12"/>
      <c r="Z716" s="12"/>
      <c r="AA716" s="12"/>
      <c r="AB716" s="12"/>
      <c r="AC716" s="12"/>
      <c r="AD716" s="12"/>
      <c r="AE716" s="12"/>
      <c r="AF716" s="12"/>
    </row>
    <row r="717" spans="1:32">
      <c r="A717" s="8"/>
      <c r="B717" s="8"/>
      <c r="C717" s="8"/>
      <c r="D717" s="8"/>
      <c r="E717" s="8"/>
      <c r="F717" s="8"/>
      <c r="G717" s="8"/>
      <c r="H717" s="8"/>
      <c r="I717" s="8"/>
      <c r="J717" s="8"/>
      <c r="K717" s="8"/>
      <c r="L717" s="8"/>
      <c r="M717" s="8"/>
      <c r="N717" s="8"/>
      <c r="O717" s="8"/>
      <c r="P717" s="8"/>
      <c r="Q717" s="8"/>
      <c r="R717" s="8"/>
      <c r="S717" s="8"/>
      <c r="T717" s="8"/>
      <c r="U717" s="12"/>
      <c r="V717" s="12"/>
      <c r="W717" s="12"/>
      <c r="X717" s="12"/>
      <c r="Y717" s="12"/>
      <c r="Z717" s="12"/>
      <c r="AA717" s="12"/>
      <c r="AB717" s="12"/>
      <c r="AC717" s="12"/>
      <c r="AD717" s="12"/>
      <c r="AE717" s="12"/>
      <c r="AF717" s="12"/>
    </row>
    <row r="718" spans="1:32">
      <c r="A718" s="8"/>
      <c r="B718" s="8"/>
      <c r="C718" s="8"/>
      <c r="D718" s="8"/>
      <c r="E718" s="8"/>
      <c r="F718" s="8"/>
      <c r="G718" s="8"/>
      <c r="H718" s="8"/>
      <c r="I718" s="8"/>
      <c r="J718" s="8"/>
      <c r="K718" s="8"/>
      <c r="L718" s="8"/>
      <c r="M718" s="8"/>
      <c r="N718" s="8"/>
      <c r="O718" s="8"/>
      <c r="P718" s="8"/>
      <c r="Q718" s="8"/>
      <c r="R718" s="8"/>
      <c r="S718" s="8"/>
      <c r="T718" s="8"/>
      <c r="U718" s="12"/>
      <c r="V718" s="12"/>
      <c r="W718" s="12"/>
      <c r="X718" s="12"/>
      <c r="Y718" s="12"/>
      <c r="Z718" s="12"/>
      <c r="AA718" s="12"/>
      <c r="AB718" s="12"/>
      <c r="AC718" s="12"/>
      <c r="AD718" s="12"/>
      <c r="AE718" s="12"/>
      <c r="AF718" s="12"/>
    </row>
    <row r="719" spans="1:32">
      <c r="A719" s="8"/>
      <c r="B719" s="8"/>
      <c r="C719" s="8"/>
      <c r="D719" s="8"/>
      <c r="E719" s="8"/>
      <c r="F719" s="8"/>
      <c r="G719" s="8"/>
      <c r="H719" s="8"/>
      <c r="I719" s="8"/>
      <c r="J719" s="8"/>
      <c r="K719" s="8"/>
      <c r="L719" s="8"/>
      <c r="M719" s="8"/>
      <c r="N719" s="8"/>
      <c r="O719" s="8"/>
      <c r="P719" s="8"/>
      <c r="Q719" s="8"/>
      <c r="R719" s="8"/>
      <c r="S719" s="8"/>
      <c r="T719" s="8"/>
      <c r="U719" s="12"/>
      <c r="V719" s="12"/>
      <c r="W719" s="12"/>
      <c r="X719" s="12"/>
      <c r="Y719" s="12"/>
      <c r="Z719" s="12"/>
      <c r="AA719" s="12"/>
      <c r="AB719" s="12"/>
      <c r="AC719" s="12"/>
      <c r="AD719" s="12"/>
      <c r="AE719" s="12"/>
      <c r="AF719" s="12"/>
    </row>
    <row r="720" spans="1:32">
      <c r="A720" s="8"/>
      <c r="B720" s="8"/>
      <c r="C720" s="8"/>
      <c r="D720" s="8"/>
      <c r="E720" s="8"/>
      <c r="F720" s="8"/>
      <c r="G720" s="8"/>
      <c r="H720" s="8"/>
      <c r="I720" s="8"/>
      <c r="J720" s="8"/>
      <c r="K720" s="8"/>
      <c r="L720" s="8"/>
      <c r="M720" s="8"/>
      <c r="N720" s="8"/>
      <c r="O720" s="8"/>
      <c r="P720" s="8"/>
      <c r="Q720" s="8"/>
      <c r="R720" s="8"/>
      <c r="S720" s="8"/>
      <c r="T720" s="8"/>
      <c r="U720" s="12"/>
      <c r="V720" s="12"/>
      <c r="W720" s="12"/>
      <c r="X720" s="12"/>
      <c r="Y720" s="12"/>
      <c r="Z720" s="12"/>
      <c r="AA720" s="12"/>
      <c r="AB720" s="12"/>
      <c r="AC720" s="12"/>
      <c r="AD720" s="12"/>
      <c r="AE720" s="12"/>
      <c r="AF720" s="12"/>
    </row>
    <row r="721" spans="1:32">
      <c r="A721" s="8"/>
      <c r="B721" s="8"/>
      <c r="C721" s="8"/>
      <c r="D721" s="8"/>
      <c r="E721" s="8"/>
      <c r="F721" s="8"/>
      <c r="G721" s="8"/>
      <c r="H721" s="8"/>
      <c r="I721" s="8"/>
      <c r="J721" s="8"/>
      <c r="K721" s="8"/>
      <c r="L721" s="8"/>
      <c r="M721" s="8"/>
      <c r="N721" s="8"/>
      <c r="O721" s="8"/>
      <c r="P721" s="8"/>
      <c r="Q721" s="8"/>
      <c r="R721" s="8"/>
      <c r="S721" s="8"/>
      <c r="T721" s="8"/>
      <c r="U721" s="12"/>
      <c r="V721" s="12"/>
      <c r="W721" s="12"/>
      <c r="X721" s="12"/>
      <c r="Y721" s="12"/>
      <c r="Z721" s="12"/>
      <c r="AA721" s="12"/>
      <c r="AB721" s="12"/>
      <c r="AC721" s="12"/>
      <c r="AD721" s="12"/>
      <c r="AE721" s="12"/>
      <c r="AF721" s="12"/>
    </row>
    <row r="722" spans="1:32">
      <c r="A722" s="8"/>
      <c r="B722" s="8"/>
      <c r="C722" s="8"/>
      <c r="D722" s="8"/>
      <c r="E722" s="8"/>
      <c r="F722" s="8"/>
      <c r="G722" s="8"/>
      <c r="H722" s="8"/>
      <c r="I722" s="8"/>
      <c r="J722" s="8"/>
      <c r="K722" s="8"/>
      <c r="L722" s="8"/>
      <c r="M722" s="8"/>
      <c r="N722" s="8"/>
      <c r="O722" s="8"/>
      <c r="P722" s="8"/>
      <c r="Q722" s="8"/>
      <c r="R722" s="8"/>
      <c r="S722" s="8"/>
      <c r="T722" s="8"/>
      <c r="U722" s="12"/>
      <c r="V722" s="12"/>
      <c r="W722" s="12"/>
      <c r="X722" s="12"/>
      <c r="Y722" s="12"/>
      <c r="Z722" s="12"/>
      <c r="AA722" s="12"/>
      <c r="AB722" s="12"/>
      <c r="AC722" s="12"/>
      <c r="AD722" s="12"/>
      <c r="AE722" s="12"/>
      <c r="AF722" s="12"/>
    </row>
    <row r="723" spans="1:32">
      <c r="A723" s="8"/>
      <c r="B723" s="8"/>
      <c r="C723" s="8"/>
      <c r="D723" s="8"/>
      <c r="E723" s="8"/>
      <c r="F723" s="8"/>
      <c r="G723" s="8"/>
      <c r="H723" s="8"/>
      <c r="I723" s="8"/>
      <c r="J723" s="8"/>
      <c r="K723" s="8"/>
      <c r="L723" s="8"/>
      <c r="M723" s="8"/>
      <c r="N723" s="8"/>
      <c r="O723" s="8"/>
      <c r="P723" s="8"/>
      <c r="Q723" s="8"/>
      <c r="R723" s="8"/>
      <c r="S723" s="8"/>
      <c r="T723" s="8"/>
      <c r="U723" s="12"/>
      <c r="V723" s="12"/>
      <c r="W723" s="12"/>
      <c r="X723" s="12"/>
      <c r="Y723" s="12"/>
      <c r="Z723" s="12"/>
      <c r="AA723" s="12"/>
      <c r="AB723" s="12"/>
      <c r="AC723" s="12"/>
      <c r="AD723" s="12"/>
      <c r="AE723" s="12"/>
      <c r="AF723" s="12"/>
    </row>
    <row r="724" spans="1:32">
      <c r="A724" s="8"/>
      <c r="B724" s="8"/>
      <c r="C724" s="8"/>
      <c r="D724" s="8"/>
      <c r="E724" s="8"/>
      <c r="F724" s="8"/>
      <c r="G724" s="8"/>
      <c r="H724" s="8"/>
      <c r="I724" s="8"/>
      <c r="J724" s="8"/>
      <c r="K724" s="8"/>
      <c r="L724" s="8"/>
      <c r="M724" s="8"/>
      <c r="N724" s="8"/>
      <c r="O724" s="8"/>
      <c r="P724" s="8"/>
      <c r="Q724" s="8"/>
      <c r="R724" s="8"/>
      <c r="S724" s="8"/>
      <c r="T724" s="8"/>
      <c r="U724" s="12"/>
      <c r="V724" s="12"/>
      <c r="W724" s="12"/>
      <c r="X724" s="12"/>
      <c r="Y724" s="12"/>
      <c r="Z724" s="12"/>
      <c r="AA724" s="12"/>
      <c r="AB724" s="12"/>
      <c r="AC724" s="12"/>
      <c r="AD724" s="12"/>
      <c r="AE724" s="12"/>
      <c r="AF724" s="12"/>
    </row>
    <row r="725" spans="1:32">
      <c r="A725" s="8"/>
      <c r="B725" s="8"/>
      <c r="C725" s="8"/>
      <c r="D725" s="8"/>
      <c r="E725" s="8"/>
      <c r="F725" s="8"/>
      <c r="G725" s="8"/>
      <c r="H725" s="8"/>
      <c r="I725" s="8"/>
      <c r="J725" s="8"/>
      <c r="K725" s="8"/>
      <c r="L725" s="8"/>
      <c r="M725" s="8"/>
      <c r="N725" s="8"/>
      <c r="O725" s="8"/>
      <c r="P725" s="8"/>
      <c r="Q725" s="8"/>
      <c r="R725" s="8"/>
      <c r="S725" s="8"/>
      <c r="T725" s="8"/>
      <c r="U725" s="12"/>
      <c r="V725" s="12"/>
      <c r="W725" s="12"/>
      <c r="X725" s="12"/>
      <c r="Y725" s="12"/>
      <c r="Z725" s="12"/>
      <c r="AA725" s="12"/>
      <c r="AB725" s="12"/>
      <c r="AC725" s="12"/>
      <c r="AD725" s="12"/>
      <c r="AE725" s="12"/>
      <c r="AF725" s="12"/>
    </row>
    <row r="726" spans="1:32">
      <c r="A726" s="8"/>
      <c r="B726" s="8"/>
      <c r="C726" s="8"/>
      <c r="D726" s="8"/>
      <c r="E726" s="8"/>
      <c r="F726" s="8"/>
      <c r="G726" s="8"/>
      <c r="H726" s="8"/>
      <c r="I726" s="8"/>
      <c r="J726" s="8"/>
      <c r="K726" s="8"/>
      <c r="L726" s="8"/>
      <c r="M726" s="8"/>
      <c r="N726" s="8"/>
      <c r="O726" s="8"/>
      <c r="P726" s="8"/>
      <c r="Q726" s="8"/>
      <c r="R726" s="8"/>
      <c r="S726" s="8"/>
      <c r="T726" s="8"/>
      <c r="U726" s="12"/>
      <c r="V726" s="12"/>
      <c r="W726" s="12"/>
      <c r="X726" s="12"/>
      <c r="Y726" s="12"/>
      <c r="Z726" s="12"/>
      <c r="AA726" s="12"/>
      <c r="AB726" s="12"/>
      <c r="AC726" s="12"/>
      <c r="AD726" s="12"/>
      <c r="AE726" s="12"/>
      <c r="AF726" s="12"/>
    </row>
    <row r="727" spans="1:32">
      <c r="A727" s="8"/>
      <c r="B727" s="8"/>
      <c r="C727" s="8"/>
      <c r="D727" s="8"/>
      <c r="E727" s="8"/>
      <c r="F727" s="8"/>
      <c r="G727" s="8"/>
      <c r="H727" s="8"/>
      <c r="I727" s="8"/>
      <c r="J727" s="8"/>
      <c r="K727" s="8"/>
      <c r="L727" s="8"/>
      <c r="M727" s="8"/>
      <c r="N727" s="8"/>
      <c r="O727" s="8"/>
      <c r="P727" s="8"/>
      <c r="Q727" s="8"/>
      <c r="R727" s="8"/>
      <c r="S727" s="8"/>
      <c r="T727" s="8"/>
      <c r="U727" s="12"/>
      <c r="V727" s="12"/>
      <c r="W727" s="12"/>
      <c r="X727" s="12"/>
      <c r="Y727" s="12"/>
      <c r="Z727" s="12"/>
      <c r="AA727" s="12"/>
      <c r="AB727" s="12"/>
      <c r="AC727" s="12"/>
      <c r="AD727" s="12"/>
      <c r="AE727" s="12"/>
      <c r="AF727" s="12"/>
    </row>
    <row r="728" spans="1:32">
      <c r="A728" s="8"/>
      <c r="B728" s="8"/>
      <c r="C728" s="8"/>
      <c r="D728" s="8"/>
      <c r="E728" s="8"/>
      <c r="F728" s="8"/>
      <c r="G728" s="8"/>
      <c r="H728" s="8"/>
      <c r="I728" s="8"/>
      <c r="J728" s="8"/>
      <c r="K728" s="8"/>
      <c r="L728" s="8"/>
      <c r="M728" s="8"/>
      <c r="N728" s="8"/>
      <c r="O728" s="8"/>
      <c r="P728" s="8"/>
      <c r="Q728" s="8"/>
      <c r="R728" s="8"/>
      <c r="S728" s="8"/>
      <c r="T728" s="8"/>
      <c r="U728" s="12"/>
      <c r="V728" s="12"/>
      <c r="W728" s="12"/>
      <c r="X728" s="12"/>
      <c r="Y728" s="12"/>
      <c r="Z728" s="12"/>
      <c r="AA728" s="12"/>
      <c r="AB728" s="12"/>
      <c r="AC728" s="12"/>
      <c r="AD728" s="12"/>
      <c r="AE728" s="12"/>
      <c r="AF728" s="12"/>
    </row>
    <row r="729" spans="1:32">
      <c r="A729" s="8"/>
      <c r="B729" s="8"/>
      <c r="C729" s="8"/>
      <c r="D729" s="8"/>
      <c r="E729" s="8"/>
      <c r="F729" s="8"/>
      <c r="G729" s="8"/>
      <c r="H729" s="8"/>
      <c r="I729" s="8"/>
      <c r="J729" s="8"/>
      <c r="K729" s="8"/>
      <c r="L729" s="8"/>
      <c r="M729" s="8"/>
      <c r="N729" s="8"/>
      <c r="O729" s="8"/>
      <c r="P729" s="8"/>
      <c r="Q729" s="8"/>
      <c r="R729" s="8"/>
      <c r="S729" s="8"/>
      <c r="T729" s="8"/>
      <c r="U729" s="12"/>
      <c r="V729" s="12"/>
      <c r="W729" s="12"/>
      <c r="X729" s="12"/>
      <c r="Y729" s="12"/>
      <c r="Z729" s="12"/>
      <c r="AA729" s="12"/>
      <c r="AB729" s="12"/>
      <c r="AC729" s="12"/>
      <c r="AD729" s="12"/>
      <c r="AE729" s="12"/>
      <c r="AF729" s="12"/>
    </row>
    <row r="730" spans="1:32">
      <c r="A730" s="8"/>
      <c r="B730" s="8"/>
      <c r="C730" s="8"/>
      <c r="D730" s="8"/>
      <c r="E730" s="8"/>
      <c r="F730" s="8"/>
      <c r="G730" s="8"/>
      <c r="H730" s="8"/>
      <c r="I730" s="8"/>
      <c r="J730" s="8"/>
      <c r="K730" s="8"/>
      <c r="L730" s="8"/>
      <c r="M730" s="8"/>
      <c r="N730" s="8"/>
      <c r="O730" s="8"/>
      <c r="P730" s="8"/>
      <c r="Q730" s="8"/>
      <c r="R730" s="8"/>
      <c r="S730" s="8"/>
      <c r="T730" s="8"/>
      <c r="U730" s="12"/>
      <c r="V730" s="12"/>
      <c r="W730" s="12"/>
      <c r="X730" s="12"/>
      <c r="Y730" s="12"/>
      <c r="Z730" s="12"/>
      <c r="AA730" s="12"/>
      <c r="AB730" s="12"/>
      <c r="AC730" s="12"/>
      <c r="AD730" s="12"/>
      <c r="AE730" s="12"/>
      <c r="AF730" s="12"/>
    </row>
    <row r="731" spans="1:32">
      <c r="A731" s="8"/>
      <c r="B731" s="8"/>
      <c r="C731" s="8"/>
      <c r="D731" s="8"/>
      <c r="E731" s="8"/>
      <c r="F731" s="8"/>
      <c r="G731" s="8"/>
      <c r="H731" s="8"/>
      <c r="I731" s="8"/>
      <c r="J731" s="8"/>
      <c r="K731" s="8"/>
      <c r="L731" s="8"/>
      <c r="M731" s="8"/>
      <c r="N731" s="8"/>
      <c r="O731" s="8"/>
      <c r="P731" s="8"/>
      <c r="Q731" s="8"/>
      <c r="R731" s="8"/>
      <c r="S731" s="8"/>
      <c r="T731" s="8"/>
      <c r="U731" s="12"/>
      <c r="V731" s="12"/>
      <c r="W731" s="12"/>
      <c r="X731" s="12"/>
      <c r="Y731" s="12"/>
      <c r="Z731" s="12"/>
      <c r="AA731" s="12"/>
      <c r="AB731" s="12"/>
      <c r="AC731" s="12"/>
      <c r="AD731" s="12"/>
      <c r="AE731" s="12"/>
      <c r="AF731" s="12"/>
    </row>
    <row r="732" spans="1:32">
      <c r="A732" s="8"/>
      <c r="B732" s="8"/>
      <c r="C732" s="8"/>
      <c r="D732" s="8"/>
      <c r="E732" s="8"/>
      <c r="F732" s="8"/>
      <c r="G732" s="8"/>
      <c r="H732" s="8"/>
      <c r="I732" s="8"/>
      <c r="J732" s="8"/>
      <c r="K732" s="8"/>
      <c r="L732" s="8"/>
      <c r="M732" s="8"/>
      <c r="N732" s="8"/>
      <c r="O732" s="8"/>
      <c r="P732" s="8"/>
      <c r="Q732" s="8"/>
      <c r="R732" s="8"/>
      <c r="S732" s="8"/>
      <c r="T732" s="8"/>
      <c r="U732" s="12"/>
      <c r="V732" s="12"/>
      <c r="W732" s="12"/>
      <c r="X732" s="12"/>
      <c r="Y732" s="12"/>
      <c r="Z732" s="12"/>
      <c r="AA732" s="12"/>
      <c r="AB732" s="12"/>
      <c r="AC732" s="12"/>
      <c r="AD732" s="12"/>
      <c r="AE732" s="12"/>
      <c r="AF732" s="12"/>
    </row>
    <row r="733" spans="1:32">
      <c r="A733" s="8"/>
      <c r="B733" s="8"/>
      <c r="C733" s="8"/>
      <c r="D733" s="8"/>
      <c r="E733" s="8"/>
      <c r="F733" s="8"/>
      <c r="G733" s="8"/>
      <c r="H733" s="8"/>
      <c r="I733" s="8"/>
      <c r="J733" s="8"/>
      <c r="K733" s="8"/>
      <c r="L733" s="8"/>
      <c r="M733" s="8"/>
      <c r="N733" s="8"/>
      <c r="O733" s="8"/>
      <c r="P733" s="8"/>
      <c r="Q733" s="8"/>
      <c r="R733" s="8"/>
      <c r="S733" s="8"/>
      <c r="T733" s="8"/>
      <c r="U733" s="12"/>
      <c r="V733" s="12"/>
      <c r="W733" s="12"/>
      <c r="X733" s="12"/>
      <c r="Y733" s="12"/>
      <c r="Z733" s="12"/>
      <c r="AA733" s="12"/>
      <c r="AB733" s="12"/>
      <c r="AC733" s="12"/>
      <c r="AD733" s="12"/>
      <c r="AE733" s="12"/>
      <c r="AF733" s="12"/>
    </row>
    <row r="734" spans="1:32">
      <c r="A734" s="8"/>
      <c r="B734" s="8"/>
      <c r="C734" s="8"/>
      <c r="D734" s="8"/>
      <c r="E734" s="8"/>
      <c r="F734" s="8"/>
      <c r="G734" s="8"/>
      <c r="H734" s="8"/>
      <c r="I734" s="8"/>
      <c r="J734" s="8"/>
      <c r="K734" s="8"/>
      <c r="L734" s="8"/>
      <c r="M734" s="8"/>
      <c r="N734" s="8"/>
      <c r="O734" s="8"/>
      <c r="P734" s="8"/>
      <c r="Q734" s="8"/>
      <c r="R734" s="8"/>
      <c r="S734" s="8"/>
      <c r="T734" s="8"/>
      <c r="U734" s="12"/>
      <c r="V734" s="12"/>
      <c r="W734" s="12"/>
      <c r="X734" s="12"/>
      <c r="Y734" s="12"/>
      <c r="Z734" s="12"/>
      <c r="AA734" s="12"/>
      <c r="AB734" s="12"/>
      <c r="AC734" s="12"/>
      <c r="AD734" s="12"/>
      <c r="AE734" s="12"/>
      <c r="AF734" s="12"/>
    </row>
    <row r="735" spans="1:32">
      <c r="A735" s="8"/>
      <c r="B735" s="8"/>
      <c r="C735" s="8"/>
      <c r="D735" s="8"/>
      <c r="E735" s="8"/>
      <c r="F735" s="8"/>
      <c r="G735" s="8"/>
      <c r="H735" s="8"/>
      <c r="I735" s="8"/>
      <c r="J735" s="8"/>
      <c r="K735" s="8"/>
      <c r="L735" s="8"/>
      <c r="M735" s="8"/>
      <c r="N735" s="8"/>
      <c r="O735" s="8"/>
      <c r="P735" s="8"/>
      <c r="Q735" s="8"/>
      <c r="R735" s="8"/>
      <c r="S735" s="8"/>
      <c r="T735" s="8"/>
      <c r="U735" s="12"/>
      <c r="V735" s="12"/>
      <c r="W735" s="12"/>
      <c r="X735" s="12"/>
      <c r="Y735" s="12"/>
      <c r="Z735" s="12"/>
      <c r="AA735" s="12"/>
      <c r="AB735" s="12"/>
      <c r="AC735" s="12"/>
      <c r="AD735" s="12"/>
      <c r="AE735" s="12"/>
      <c r="AF735" s="12"/>
    </row>
    <row r="736" spans="1:32">
      <c r="A736" s="8"/>
      <c r="B736" s="8"/>
      <c r="C736" s="8"/>
      <c r="D736" s="8"/>
      <c r="E736" s="8"/>
      <c r="F736" s="8"/>
      <c r="G736" s="8"/>
      <c r="H736" s="8"/>
      <c r="I736" s="8"/>
      <c r="J736" s="8"/>
      <c r="K736" s="8"/>
      <c r="L736" s="8"/>
      <c r="M736" s="8"/>
      <c r="N736" s="8"/>
      <c r="O736" s="8"/>
      <c r="P736" s="8"/>
      <c r="Q736" s="8"/>
      <c r="R736" s="8"/>
      <c r="S736" s="8"/>
      <c r="T736" s="8"/>
      <c r="U736" s="12"/>
      <c r="V736" s="12"/>
      <c r="W736" s="12"/>
      <c r="X736" s="12"/>
      <c r="Y736" s="12"/>
      <c r="Z736" s="12"/>
      <c r="AA736" s="12"/>
      <c r="AB736" s="12"/>
      <c r="AC736" s="12"/>
      <c r="AD736" s="12"/>
      <c r="AE736" s="12"/>
      <c r="AF736" s="12"/>
    </row>
    <row r="737" spans="1:32">
      <c r="A737" s="8"/>
      <c r="B737" s="8"/>
      <c r="C737" s="8"/>
      <c r="D737" s="8"/>
      <c r="E737" s="8"/>
      <c r="F737" s="8"/>
      <c r="G737" s="8"/>
      <c r="H737" s="8"/>
      <c r="I737" s="8"/>
      <c r="J737" s="8"/>
      <c r="K737" s="8"/>
      <c r="L737" s="8"/>
      <c r="M737" s="8"/>
      <c r="N737" s="8"/>
      <c r="O737" s="8"/>
      <c r="P737" s="8"/>
      <c r="Q737" s="8"/>
      <c r="R737" s="8"/>
      <c r="S737" s="8"/>
      <c r="T737" s="8"/>
      <c r="U737" s="12"/>
      <c r="V737" s="12"/>
      <c r="W737" s="12"/>
      <c r="X737" s="12"/>
      <c r="Y737" s="12"/>
      <c r="Z737" s="12"/>
      <c r="AA737" s="12"/>
      <c r="AB737" s="12"/>
      <c r="AC737" s="12"/>
      <c r="AD737" s="12"/>
      <c r="AE737" s="12"/>
      <c r="AF737" s="12"/>
    </row>
    <row r="738" spans="1:32">
      <c r="A738" s="8"/>
      <c r="B738" s="8"/>
      <c r="C738" s="8"/>
      <c r="D738" s="8"/>
      <c r="E738" s="8"/>
      <c r="F738" s="8"/>
      <c r="G738" s="8"/>
      <c r="H738" s="8"/>
      <c r="I738" s="8"/>
      <c r="J738" s="8"/>
      <c r="K738" s="8"/>
      <c r="L738" s="8"/>
      <c r="M738" s="8"/>
      <c r="N738" s="8"/>
      <c r="O738" s="8"/>
      <c r="P738" s="8"/>
      <c r="Q738" s="8"/>
      <c r="R738" s="8"/>
      <c r="S738" s="8"/>
      <c r="T738" s="8"/>
      <c r="U738" s="12"/>
      <c r="V738" s="12"/>
      <c r="W738" s="12"/>
      <c r="X738" s="12"/>
      <c r="Y738" s="12"/>
      <c r="Z738" s="12"/>
      <c r="AA738" s="12"/>
      <c r="AB738" s="12"/>
      <c r="AC738" s="12"/>
      <c r="AD738" s="12"/>
      <c r="AE738" s="12"/>
      <c r="AF738" s="12"/>
    </row>
    <row r="739" spans="1:32">
      <c r="A739" s="8"/>
      <c r="B739" s="8"/>
      <c r="C739" s="8"/>
      <c r="D739" s="8"/>
      <c r="E739" s="8"/>
      <c r="F739" s="8"/>
      <c r="G739" s="8"/>
      <c r="H739" s="8"/>
      <c r="I739" s="8"/>
      <c r="J739" s="8"/>
      <c r="K739" s="8"/>
      <c r="L739" s="8"/>
      <c r="M739" s="8"/>
      <c r="N739" s="8"/>
      <c r="O739" s="8"/>
      <c r="P739" s="8"/>
      <c r="Q739" s="8"/>
      <c r="R739" s="8"/>
      <c r="S739" s="8"/>
      <c r="T739" s="8"/>
      <c r="U739" s="12"/>
      <c r="V739" s="12"/>
      <c r="W739" s="12"/>
      <c r="X739" s="12"/>
      <c r="Y739" s="12"/>
      <c r="Z739" s="12"/>
      <c r="AA739" s="12"/>
      <c r="AB739" s="12"/>
      <c r="AC739" s="12"/>
      <c r="AD739" s="12"/>
      <c r="AE739" s="12"/>
      <c r="AF739" s="12"/>
    </row>
    <row r="740" spans="1:32">
      <c r="A740" s="8"/>
      <c r="B740" s="8"/>
      <c r="C740" s="8"/>
      <c r="D740" s="8"/>
      <c r="E740" s="8"/>
      <c r="F740" s="8"/>
      <c r="G740" s="8"/>
      <c r="H740" s="8"/>
      <c r="I740" s="8"/>
      <c r="J740" s="8"/>
      <c r="K740" s="8"/>
      <c r="L740" s="8"/>
      <c r="M740" s="8"/>
      <c r="N740" s="8"/>
      <c r="O740" s="8"/>
      <c r="P740" s="8"/>
      <c r="Q740" s="8"/>
      <c r="R740" s="8"/>
      <c r="S740" s="8"/>
      <c r="T740" s="8"/>
      <c r="U740" s="12"/>
      <c r="V740" s="12"/>
      <c r="W740" s="12"/>
      <c r="X740" s="12"/>
      <c r="Y740" s="12"/>
      <c r="Z740" s="12"/>
      <c r="AA740" s="12"/>
      <c r="AB740" s="12"/>
      <c r="AC740" s="12"/>
      <c r="AD740" s="12"/>
      <c r="AE740" s="12"/>
      <c r="AF740" s="12"/>
    </row>
    <row r="741" spans="1:32">
      <c r="A741" s="8"/>
      <c r="B741" s="8"/>
      <c r="C741" s="8"/>
      <c r="D741" s="8"/>
      <c r="E741" s="8"/>
      <c r="F741" s="8"/>
      <c r="G741" s="8"/>
      <c r="H741" s="8"/>
      <c r="I741" s="8"/>
      <c r="J741" s="8"/>
      <c r="K741" s="8"/>
      <c r="L741" s="8"/>
      <c r="M741" s="8"/>
      <c r="N741" s="8"/>
      <c r="O741" s="8"/>
      <c r="P741" s="8"/>
      <c r="Q741" s="8"/>
      <c r="R741" s="8"/>
      <c r="S741" s="8"/>
      <c r="T741" s="8"/>
      <c r="U741" s="12"/>
      <c r="V741" s="12"/>
      <c r="W741" s="12"/>
      <c r="X741" s="12"/>
      <c r="Y741" s="12"/>
      <c r="Z741" s="12"/>
      <c r="AA741" s="12"/>
      <c r="AB741" s="12"/>
      <c r="AC741" s="12"/>
      <c r="AD741" s="12"/>
      <c r="AE741" s="12"/>
      <c r="AF741" s="12"/>
    </row>
    <row r="742" spans="1:32">
      <c r="A742" s="8"/>
      <c r="B742" s="8"/>
      <c r="C742" s="8"/>
      <c r="D742" s="8"/>
      <c r="E742" s="8"/>
      <c r="F742" s="8"/>
      <c r="G742" s="8"/>
      <c r="H742" s="8"/>
      <c r="I742" s="8"/>
      <c r="J742" s="8"/>
      <c r="K742" s="8"/>
      <c r="L742" s="8"/>
      <c r="M742" s="8"/>
      <c r="N742" s="8"/>
      <c r="O742" s="8"/>
      <c r="P742" s="8"/>
      <c r="Q742" s="8"/>
      <c r="R742" s="8"/>
      <c r="S742" s="8"/>
      <c r="T742" s="8"/>
      <c r="U742" s="12"/>
      <c r="V742" s="12"/>
      <c r="W742" s="12"/>
      <c r="X742" s="12"/>
      <c r="Y742" s="12"/>
      <c r="Z742" s="12"/>
      <c r="AA742" s="12"/>
      <c r="AB742" s="12"/>
      <c r="AC742" s="12"/>
      <c r="AD742" s="12"/>
      <c r="AE742" s="12"/>
      <c r="AF742" s="12"/>
    </row>
    <row r="743" spans="1:32">
      <c r="A743" s="8"/>
      <c r="B743" s="8"/>
      <c r="C743" s="8"/>
      <c r="D743" s="8"/>
      <c r="E743" s="8"/>
      <c r="F743" s="8"/>
      <c r="G743" s="8"/>
      <c r="H743" s="8"/>
      <c r="I743" s="8"/>
      <c r="J743" s="8"/>
      <c r="K743" s="8"/>
      <c r="L743" s="8"/>
      <c r="M743" s="8"/>
      <c r="N743" s="8"/>
      <c r="O743" s="8"/>
      <c r="P743" s="8"/>
      <c r="Q743" s="8"/>
      <c r="R743" s="8"/>
      <c r="S743" s="8"/>
      <c r="T743" s="8"/>
      <c r="U743" s="12"/>
      <c r="V743" s="12"/>
      <c r="W743" s="12"/>
      <c r="X743" s="12"/>
      <c r="Y743" s="12"/>
      <c r="Z743" s="12"/>
      <c r="AA743" s="12"/>
      <c r="AB743" s="12"/>
      <c r="AC743" s="12"/>
      <c r="AD743" s="12"/>
      <c r="AE743" s="12"/>
      <c r="AF743" s="12"/>
    </row>
    <row r="744" spans="1:32">
      <c r="A744" s="8"/>
      <c r="B744" s="8"/>
      <c r="C744" s="8"/>
      <c r="D744" s="8"/>
      <c r="E744" s="8"/>
      <c r="F744" s="8"/>
      <c r="G744" s="8"/>
      <c r="H744" s="8"/>
      <c r="I744" s="8"/>
      <c r="J744" s="8"/>
      <c r="K744" s="8"/>
      <c r="L744" s="8"/>
      <c r="M744" s="8"/>
      <c r="N744" s="8"/>
      <c r="O744" s="8"/>
      <c r="P744" s="8"/>
      <c r="Q744" s="8"/>
      <c r="R744" s="8"/>
      <c r="S744" s="8"/>
      <c r="T744" s="8"/>
      <c r="U744" s="12"/>
      <c r="V744" s="12"/>
      <c r="W744" s="12"/>
      <c r="X744" s="12"/>
      <c r="Y744" s="12"/>
      <c r="Z744" s="12"/>
      <c r="AA744" s="12"/>
      <c r="AB744" s="12"/>
      <c r="AC744" s="12"/>
      <c r="AD744" s="12"/>
      <c r="AE744" s="12"/>
      <c r="AF744" s="12"/>
    </row>
    <row r="745" spans="1:32">
      <c r="A745" s="8"/>
      <c r="B745" s="8"/>
      <c r="C745" s="8"/>
      <c r="D745" s="8"/>
      <c r="E745" s="8"/>
      <c r="F745" s="8"/>
      <c r="G745" s="8"/>
      <c r="H745" s="8"/>
      <c r="I745" s="8"/>
      <c r="J745" s="8"/>
      <c r="K745" s="8"/>
      <c r="L745" s="8"/>
      <c r="M745" s="8"/>
      <c r="N745" s="8"/>
      <c r="O745" s="8"/>
      <c r="P745" s="8"/>
      <c r="Q745" s="8"/>
      <c r="R745" s="8"/>
      <c r="S745" s="8"/>
      <c r="T745" s="8"/>
      <c r="U745" s="12"/>
      <c r="V745" s="12"/>
      <c r="W745" s="12"/>
      <c r="X745" s="12"/>
      <c r="Y745" s="12"/>
      <c r="Z745" s="12"/>
      <c r="AA745" s="12"/>
      <c r="AB745" s="12"/>
      <c r="AC745" s="12"/>
      <c r="AD745" s="12"/>
      <c r="AE745" s="12"/>
      <c r="AF745" s="12"/>
    </row>
    <row r="746" spans="1:32">
      <c r="A746" s="8"/>
      <c r="B746" s="8"/>
      <c r="C746" s="8"/>
      <c r="D746" s="8"/>
      <c r="E746" s="8"/>
      <c r="F746" s="8"/>
      <c r="G746" s="8"/>
      <c r="H746" s="8"/>
      <c r="I746" s="8"/>
      <c r="J746" s="8"/>
      <c r="K746" s="8"/>
      <c r="L746" s="8"/>
      <c r="M746" s="8"/>
      <c r="N746" s="8"/>
      <c r="O746" s="8"/>
      <c r="P746" s="8"/>
      <c r="Q746" s="8"/>
      <c r="R746" s="8"/>
      <c r="S746" s="8"/>
      <c r="T746" s="8"/>
      <c r="U746" s="12"/>
      <c r="V746" s="12"/>
      <c r="W746" s="12"/>
      <c r="X746" s="12"/>
      <c r="Y746" s="12"/>
      <c r="Z746" s="12"/>
      <c r="AA746" s="12"/>
      <c r="AB746" s="12"/>
      <c r="AC746" s="12"/>
      <c r="AD746" s="12"/>
      <c r="AE746" s="12"/>
      <c r="AF746" s="12"/>
    </row>
    <row r="747" spans="1:32">
      <c r="A747" s="8"/>
      <c r="B747" s="8"/>
      <c r="C747" s="8"/>
      <c r="D747" s="8"/>
      <c r="E747" s="8"/>
      <c r="F747" s="8"/>
      <c r="G747" s="8"/>
      <c r="H747" s="8"/>
      <c r="I747" s="8"/>
      <c r="J747" s="8"/>
      <c r="K747" s="8"/>
      <c r="L747" s="8"/>
      <c r="M747" s="8"/>
      <c r="N747" s="8"/>
      <c r="O747" s="8"/>
      <c r="P747" s="8"/>
      <c r="Q747" s="8"/>
      <c r="R747" s="8"/>
      <c r="S747" s="8"/>
      <c r="T747" s="8"/>
      <c r="U747" s="12"/>
      <c r="V747" s="12"/>
      <c r="W747" s="12"/>
      <c r="X747" s="12"/>
      <c r="Y747" s="12"/>
      <c r="Z747" s="12"/>
      <c r="AA747" s="12"/>
      <c r="AB747" s="12"/>
      <c r="AC747" s="12"/>
      <c r="AD747" s="12"/>
      <c r="AE747" s="12"/>
      <c r="AF747" s="12"/>
    </row>
    <row r="748" spans="1:32">
      <c r="A748" s="8"/>
      <c r="B748" s="8"/>
      <c r="C748" s="8"/>
      <c r="D748" s="8"/>
      <c r="E748" s="8"/>
      <c r="F748" s="8"/>
      <c r="G748" s="8"/>
      <c r="H748" s="8"/>
      <c r="I748" s="8"/>
      <c r="J748" s="8"/>
      <c r="K748" s="8"/>
      <c r="L748" s="8"/>
      <c r="M748" s="8"/>
      <c r="N748" s="8"/>
      <c r="O748" s="8"/>
      <c r="P748" s="8"/>
      <c r="Q748" s="8"/>
      <c r="R748" s="8"/>
      <c r="S748" s="8"/>
      <c r="T748" s="8"/>
      <c r="U748" s="12"/>
      <c r="V748" s="12"/>
      <c r="W748" s="12"/>
      <c r="X748" s="12"/>
      <c r="Y748" s="12"/>
      <c r="Z748" s="12"/>
      <c r="AA748" s="12"/>
      <c r="AB748" s="12"/>
      <c r="AC748" s="12"/>
      <c r="AD748" s="12"/>
      <c r="AE748" s="12"/>
      <c r="AF748" s="12"/>
    </row>
    <row r="749" spans="1:32">
      <c r="A749" s="8"/>
      <c r="B749" s="8"/>
      <c r="C749" s="8"/>
      <c r="D749" s="8"/>
      <c r="E749" s="8"/>
      <c r="F749" s="8"/>
      <c r="G749" s="8"/>
      <c r="H749" s="8"/>
      <c r="I749" s="8"/>
      <c r="J749" s="8"/>
      <c r="K749" s="8"/>
      <c r="L749" s="8"/>
      <c r="M749" s="8"/>
      <c r="N749" s="8"/>
      <c r="O749" s="8"/>
      <c r="P749" s="8"/>
      <c r="Q749" s="8"/>
      <c r="R749" s="8"/>
      <c r="S749" s="8"/>
      <c r="T749" s="8"/>
      <c r="U749" s="12"/>
      <c r="V749" s="12"/>
      <c r="W749" s="12"/>
      <c r="X749" s="12"/>
      <c r="Y749" s="12"/>
      <c r="Z749" s="12"/>
      <c r="AA749" s="12"/>
      <c r="AB749" s="12"/>
      <c r="AC749" s="12"/>
      <c r="AD749" s="12"/>
      <c r="AE749" s="12"/>
      <c r="AF749" s="12"/>
    </row>
    <row r="750" spans="1:32">
      <c r="A750" s="8"/>
      <c r="B750" s="8"/>
      <c r="C750" s="8"/>
      <c r="D750" s="8"/>
      <c r="E750" s="8"/>
      <c r="F750" s="8"/>
      <c r="G750" s="8"/>
      <c r="H750" s="8"/>
      <c r="I750" s="8"/>
      <c r="J750" s="8"/>
      <c r="K750" s="8"/>
      <c r="L750" s="8"/>
      <c r="M750" s="8"/>
      <c r="N750" s="8"/>
      <c r="O750" s="8"/>
      <c r="P750" s="8"/>
      <c r="Q750" s="8"/>
      <c r="R750" s="8"/>
      <c r="S750" s="8"/>
      <c r="T750" s="8"/>
      <c r="U750" s="12"/>
      <c r="V750" s="12"/>
      <c r="W750" s="12"/>
      <c r="X750" s="12"/>
      <c r="Y750" s="12"/>
      <c r="Z750" s="12"/>
      <c r="AA750" s="12"/>
      <c r="AB750" s="12"/>
      <c r="AC750" s="12"/>
      <c r="AD750" s="12"/>
      <c r="AE750" s="12"/>
      <c r="AF750" s="12"/>
    </row>
    <row r="751" spans="1:32">
      <c r="A751" s="8"/>
      <c r="B751" s="8"/>
      <c r="C751" s="8"/>
      <c r="D751" s="8"/>
      <c r="E751" s="8"/>
      <c r="F751" s="8"/>
      <c r="G751" s="8"/>
      <c r="H751" s="8"/>
      <c r="I751" s="8"/>
      <c r="J751" s="8"/>
      <c r="K751" s="8"/>
      <c r="L751" s="8"/>
      <c r="M751" s="8"/>
      <c r="N751" s="8"/>
      <c r="O751" s="8"/>
      <c r="P751" s="8"/>
      <c r="Q751" s="8"/>
      <c r="R751" s="8"/>
      <c r="S751" s="8"/>
      <c r="T751" s="8"/>
      <c r="U751" s="12"/>
      <c r="V751" s="12"/>
      <c r="W751" s="12"/>
      <c r="X751" s="12"/>
      <c r="Y751" s="12"/>
      <c r="Z751" s="12"/>
      <c r="AA751" s="12"/>
      <c r="AB751" s="12"/>
      <c r="AC751" s="12"/>
      <c r="AD751" s="12"/>
      <c r="AE751" s="12"/>
      <c r="AF751" s="12"/>
    </row>
    <row r="752" spans="1:32">
      <c r="A752" s="8"/>
      <c r="B752" s="8"/>
      <c r="C752" s="8"/>
      <c r="D752" s="8"/>
      <c r="E752" s="8"/>
      <c r="F752" s="8"/>
      <c r="G752" s="8"/>
      <c r="H752" s="8"/>
      <c r="I752" s="8"/>
      <c r="J752" s="8"/>
      <c r="K752" s="8"/>
      <c r="L752" s="8"/>
      <c r="M752" s="8"/>
      <c r="N752" s="8"/>
      <c r="O752" s="8"/>
      <c r="P752" s="8"/>
      <c r="Q752" s="8"/>
      <c r="R752" s="8"/>
      <c r="S752" s="8"/>
      <c r="T752" s="8"/>
      <c r="U752" s="12"/>
      <c r="V752" s="12"/>
      <c r="W752" s="12"/>
      <c r="X752" s="12"/>
      <c r="Y752" s="12"/>
      <c r="Z752" s="12"/>
      <c r="AA752" s="12"/>
      <c r="AB752" s="12"/>
      <c r="AC752" s="12"/>
      <c r="AD752" s="12"/>
      <c r="AE752" s="12"/>
      <c r="AF752" s="12"/>
    </row>
    <row r="753" spans="1:32">
      <c r="A753" s="8"/>
      <c r="B753" s="8"/>
      <c r="C753" s="8"/>
      <c r="D753" s="8"/>
      <c r="E753" s="8"/>
      <c r="F753" s="8"/>
      <c r="G753" s="8"/>
      <c r="H753" s="8"/>
      <c r="I753" s="8"/>
      <c r="J753" s="8"/>
      <c r="K753" s="8"/>
      <c r="L753" s="8"/>
      <c r="M753" s="8"/>
      <c r="N753" s="8"/>
      <c r="O753" s="8"/>
      <c r="P753" s="8"/>
      <c r="Q753" s="8"/>
      <c r="R753" s="8"/>
      <c r="S753" s="8"/>
      <c r="T753" s="8"/>
      <c r="U753" s="12"/>
      <c r="V753" s="12"/>
      <c r="W753" s="12"/>
      <c r="X753" s="12"/>
      <c r="Y753" s="12"/>
      <c r="Z753" s="12"/>
      <c r="AA753" s="12"/>
      <c r="AB753" s="12"/>
      <c r="AC753" s="12"/>
      <c r="AD753" s="12"/>
      <c r="AE753" s="12"/>
      <c r="AF753" s="12"/>
    </row>
    <row r="754" spans="1:32">
      <c r="A754" s="8"/>
      <c r="B754" s="8"/>
      <c r="C754" s="8"/>
      <c r="D754" s="8"/>
      <c r="E754" s="8"/>
      <c r="F754" s="8"/>
      <c r="G754" s="8"/>
      <c r="H754" s="8"/>
      <c r="I754" s="8"/>
      <c r="J754" s="8"/>
      <c r="K754" s="8"/>
      <c r="L754" s="8"/>
      <c r="M754" s="8"/>
      <c r="N754" s="8"/>
      <c r="O754" s="8"/>
      <c r="P754" s="8"/>
      <c r="Q754" s="8"/>
      <c r="R754" s="8"/>
      <c r="S754" s="8"/>
      <c r="T754" s="8"/>
      <c r="U754" s="12"/>
      <c r="V754" s="12"/>
      <c r="W754" s="12"/>
      <c r="X754" s="12"/>
      <c r="Y754" s="12"/>
      <c r="Z754" s="12"/>
      <c r="AA754" s="12"/>
      <c r="AB754" s="12"/>
      <c r="AC754" s="12"/>
      <c r="AD754" s="12"/>
      <c r="AE754" s="12"/>
      <c r="AF754" s="12"/>
    </row>
    <row r="755" spans="1:32">
      <c r="A755" s="8"/>
      <c r="B755" s="8"/>
      <c r="C755" s="8"/>
      <c r="D755" s="8"/>
      <c r="E755" s="8"/>
      <c r="F755" s="8"/>
      <c r="G755" s="8"/>
      <c r="H755" s="8"/>
      <c r="I755" s="8"/>
      <c r="J755" s="8"/>
      <c r="K755" s="8"/>
      <c r="L755" s="8"/>
      <c r="M755" s="8"/>
      <c r="N755" s="8"/>
      <c r="O755" s="8"/>
      <c r="P755" s="8"/>
      <c r="Q755" s="8"/>
      <c r="R755" s="8"/>
      <c r="S755" s="8"/>
      <c r="T755" s="8"/>
      <c r="U755" s="12"/>
      <c r="V755" s="12"/>
      <c r="W755" s="12"/>
      <c r="X755" s="12"/>
      <c r="Y755" s="12"/>
      <c r="Z755" s="12"/>
      <c r="AA755" s="12"/>
      <c r="AB755" s="12"/>
      <c r="AC755" s="12"/>
      <c r="AD755" s="12"/>
      <c r="AE755" s="12"/>
      <c r="AF755" s="12"/>
    </row>
    <row r="756" spans="1:32">
      <c r="A756" s="8"/>
      <c r="B756" s="8"/>
      <c r="C756" s="8"/>
      <c r="D756" s="8"/>
      <c r="E756" s="8"/>
      <c r="F756" s="8"/>
      <c r="G756" s="8"/>
      <c r="H756" s="8"/>
      <c r="I756" s="8"/>
      <c r="J756" s="8"/>
      <c r="K756" s="8"/>
      <c r="L756" s="8"/>
      <c r="M756" s="8"/>
      <c r="N756" s="8"/>
      <c r="O756" s="8"/>
      <c r="P756" s="8"/>
      <c r="Q756" s="8"/>
      <c r="R756" s="8"/>
      <c r="S756" s="8"/>
      <c r="T756" s="8"/>
      <c r="U756" s="12"/>
      <c r="V756" s="12"/>
      <c r="W756" s="12"/>
      <c r="X756" s="12"/>
      <c r="Y756" s="12"/>
      <c r="Z756" s="12"/>
      <c r="AA756" s="12"/>
      <c r="AB756" s="12"/>
      <c r="AC756" s="12"/>
      <c r="AD756" s="12"/>
      <c r="AE756" s="12"/>
      <c r="AF756" s="12"/>
    </row>
    <row r="757" spans="1:32">
      <c r="A757" s="8"/>
      <c r="B757" s="8"/>
      <c r="C757" s="8"/>
      <c r="D757" s="8"/>
      <c r="E757" s="8"/>
      <c r="F757" s="8"/>
      <c r="G757" s="8"/>
      <c r="H757" s="8"/>
      <c r="I757" s="8"/>
      <c r="J757" s="8"/>
      <c r="K757" s="8"/>
      <c r="L757" s="8"/>
      <c r="M757" s="8"/>
      <c r="N757" s="8"/>
      <c r="O757" s="8"/>
      <c r="P757" s="8"/>
      <c r="Q757" s="8"/>
      <c r="R757" s="8"/>
      <c r="S757" s="8"/>
      <c r="T757" s="8"/>
      <c r="U757" s="12"/>
      <c r="V757" s="12"/>
      <c r="W757" s="12"/>
      <c r="X757" s="12"/>
      <c r="Y757" s="12"/>
      <c r="Z757" s="12"/>
      <c r="AA757" s="12"/>
      <c r="AB757" s="12"/>
      <c r="AC757" s="12"/>
      <c r="AD757" s="12"/>
      <c r="AE757" s="12"/>
      <c r="AF757" s="12"/>
    </row>
    <row r="758" spans="1:32">
      <c r="A758" s="8"/>
      <c r="B758" s="8"/>
      <c r="C758" s="8"/>
      <c r="D758" s="8"/>
      <c r="E758" s="8"/>
      <c r="F758" s="8"/>
      <c r="G758" s="8"/>
      <c r="H758" s="8"/>
      <c r="I758" s="8"/>
      <c r="J758" s="8"/>
      <c r="K758" s="8"/>
      <c r="L758" s="8"/>
      <c r="M758" s="8"/>
      <c r="N758" s="8"/>
      <c r="O758" s="8"/>
      <c r="P758" s="8"/>
      <c r="Q758" s="8"/>
      <c r="R758" s="8"/>
      <c r="S758" s="8"/>
      <c r="T758" s="8"/>
      <c r="U758" s="12"/>
      <c r="V758" s="12"/>
      <c r="W758" s="12"/>
      <c r="X758" s="12"/>
      <c r="Y758" s="12"/>
      <c r="Z758" s="12"/>
      <c r="AA758" s="12"/>
      <c r="AB758" s="12"/>
      <c r="AC758" s="12"/>
      <c r="AD758" s="12"/>
      <c r="AE758" s="12"/>
      <c r="AF758" s="12"/>
    </row>
    <row r="759" spans="1:32">
      <c r="A759" s="8"/>
      <c r="B759" s="8"/>
      <c r="C759" s="8"/>
      <c r="D759" s="8"/>
      <c r="E759" s="8"/>
      <c r="F759" s="8"/>
      <c r="G759" s="8"/>
      <c r="H759" s="8"/>
      <c r="I759" s="8"/>
      <c r="J759" s="8"/>
      <c r="K759" s="8"/>
      <c r="L759" s="8"/>
      <c r="M759" s="8"/>
      <c r="N759" s="8"/>
      <c r="O759" s="8"/>
      <c r="P759" s="8"/>
      <c r="Q759" s="8"/>
      <c r="R759" s="8"/>
      <c r="S759" s="8"/>
      <c r="T759" s="8"/>
      <c r="U759" s="12"/>
      <c r="V759" s="12"/>
      <c r="W759" s="12"/>
      <c r="X759" s="12"/>
      <c r="Y759" s="12"/>
      <c r="Z759" s="12"/>
      <c r="AA759" s="12"/>
      <c r="AB759" s="12"/>
      <c r="AC759" s="12"/>
      <c r="AD759" s="12"/>
      <c r="AE759" s="12"/>
      <c r="AF759" s="12"/>
    </row>
    <row r="760" spans="1:32">
      <c r="A760" s="8"/>
      <c r="B760" s="8"/>
      <c r="C760" s="8"/>
      <c r="D760" s="8"/>
      <c r="E760" s="8"/>
      <c r="F760" s="8"/>
      <c r="G760" s="8"/>
      <c r="H760" s="8"/>
      <c r="I760" s="8"/>
      <c r="J760" s="8"/>
      <c r="K760" s="8"/>
      <c r="L760" s="8"/>
      <c r="M760" s="8"/>
      <c r="N760" s="8"/>
      <c r="O760" s="8"/>
      <c r="P760" s="8"/>
      <c r="Q760" s="8"/>
      <c r="R760" s="8"/>
      <c r="S760" s="8"/>
      <c r="T760" s="8"/>
      <c r="U760" s="12"/>
      <c r="V760" s="12"/>
      <c r="W760" s="12"/>
      <c r="X760" s="12"/>
      <c r="Y760" s="12"/>
      <c r="Z760" s="12"/>
      <c r="AA760" s="12"/>
      <c r="AB760" s="12"/>
      <c r="AC760" s="12"/>
      <c r="AD760" s="12"/>
      <c r="AE760" s="12"/>
      <c r="AF760" s="12"/>
    </row>
    <row r="761" spans="1:32">
      <c r="A761" s="8"/>
      <c r="B761" s="8"/>
      <c r="C761" s="8"/>
      <c r="D761" s="8"/>
      <c r="E761" s="8"/>
      <c r="F761" s="8"/>
      <c r="G761" s="8"/>
      <c r="H761" s="8"/>
      <c r="I761" s="8"/>
      <c r="J761" s="8"/>
      <c r="K761" s="8"/>
      <c r="L761" s="8"/>
      <c r="M761" s="8"/>
      <c r="N761" s="8"/>
      <c r="O761" s="8"/>
      <c r="P761" s="8"/>
      <c r="Q761" s="8"/>
      <c r="R761" s="8"/>
      <c r="S761" s="8"/>
      <c r="T761" s="8"/>
      <c r="U761" s="12"/>
      <c r="V761" s="12"/>
      <c r="W761" s="12"/>
      <c r="X761" s="12"/>
      <c r="Y761" s="12"/>
      <c r="Z761" s="12"/>
      <c r="AA761" s="12"/>
      <c r="AB761" s="12"/>
      <c r="AC761" s="12"/>
      <c r="AD761" s="12"/>
      <c r="AE761" s="12"/>
      <c r="AF761" s="12"/>
    </row>
    <row r="762" spans="1:32">
      <c r="A762" s="8"/>
      <c r="B762" s="8"/>
      <c r="C762" s="8"/>
      <c r="D762" s="8"/>
      <c r="E762" s="8"/>
      <c r="F762" s="8"/>
      <c r="G762" s="8"/>
      <c r="H762" s="8"/>
      <c r="I762" s="8"/>
      <c r="J762" s="8"/>
      <c r="K762" s="8"/>
      <c r="L762" s="8"/>
      <c r="M762" s="8"/>
      <c r="N762" s="8"/>
      <c r="O762" s="8"/>
      <c r="P762" s="8"/>
      <c r="Q762" s="8"/>
      <c r="R762" s="8"/>
      <c r="S762" s="8"/>
      <c r="T762" s="8"/>
      <c r="U762" s="12"/>
      <c r="V762" s="12"/>
      <c r="W762" s="12"/>
      <c r="X762" s="12"/>
      <c r="Y762" s="12"/>
      <c r="Z762" s="12"/>
      <c r="AA762" s="12"/>
      <c r="AB762" s="12"/>
      <c r="AC762" s="12"/>
      <c r="AD762" s="12"/>
      <c r="AE762" s="12"/>
      <c r="AF762" s="12"/>
    </row>
    <row r="763" spans="1:32">
      <c r="A763" s="8"/>
      <c r="B763" s="8"/>
      <c r="C763" s="8"/>
      <c r="D763" s="8"/>
      <c r="E763" s="8"/>
      <c r="F763" s="8"/>
      <c r="G763" s="8"/>
      <c r="H763" s="8"/>
      <c r="I763" s="8"/>
      <c r="J763" s="8"/>
      <c r="K763" s="8"/>
      <c r="L763" s="8"/>
      <c r="M763" s="8"/>
      <c r="N763" s="8"/>
      <c r="O763" s="8"/>
      <c r="P763" s="8"/>
      <c r="Q763" s="8"/>
      <c r="R763" s="8"/>
      <c r="S763" s="8"/>
      <c r="T763" s="8"/>
      <c r="U763" s="12"/>
      <c r="V763" s="12"/>
      <c r="W763" s="12"/>
      <c r="X763" s="12"/>
      <c r="Y763" s="12"/>
      <c r="Z763" s="12"/>
      <c r="AA763" s="12"/>
      <c r="AB763" s="12"/>
      <c r="AC763" s="12"/>
      <c r="AD763" s="12"/>
      <c r="AE763" s="12"/>
      <c r="AF763" s="12"/>
    </row>
    <row r="764" spans="1:32">
      <c r="A764" s="8"/>
      <c r="B764" s="8"/>
      <c r="C764" s="8"/>
      <c r="D764" s="8"/>
      <c r="E764" s="8"/>
      <c r="F764" s="8"/>
      <c r="G764" s="8"/>
      <c r="H764" s="8"/>
      <c r="I764" s="8"/>
      <c r="J764" s="8"/>
      <c r="K764" s="8"/>
      <c r="L764" s="8"/>
      <c r="M764" s="8"/>
      <c r="N764" s="8"/>
      <c r="O764" s="8"/>
      <c r="P764" s="8"/>
      <c r="Q764" s="8"/>
      <c r="R764" s="8"/>
      <c r="S764" s="8"/>
      <c r="T764" s="8"/>
      <c r="U764" s="12"/>
      <c r="V764" s="12"/>
      <c r="W764" s="12"/>
      <c r="X764" s="12"/>
      <c r="Y764" s="12"/>
      <c r="Z764" s="12"/>
      <c r="AA764" s="12"/>
      <c r="AB764" s="12"/>
      <c r="AC764" s="12"/>
      <c r="AD764" s="12"/>
      <c r="AE764" s="12"/>
      <c r="AF764" s="12"/>
    </row>
    <row r="765" spans="1:32">
      <c r="A765" s="8"/>
      <c r="B765" s="8"/>
      <c r="C765" s="8"/>
      <c r="D765" s="8"/>
      <c r="E765" s="8"/>
      <c r="F765" s="8"/>
      <c r="G765" s="8"/>
      <c r="H765" s="8"/>
      <c r="I765" s="8"/>
      <c r="J765" s="8"/>
      <c r="K765" s="8"/>
      <c r="L765" s="8"/>
      <c r="M765" s="8"/>
      <c r="N765" s="8"/>
      <c r="O765" s="8"/>
      <c r="P765" s="8"/>
      <c r="Q765" s="8"/>
      <c r="R765" s="8"/>
      <c r="S765" s="8"/>
      <c r="T765" s="8"/>
      <c r="U765" s="12"/>
      <c r="V765" s="12"/>
      <c r="W765" s="12"/>
      <c r="X765" s="12"/>
      <c r="Y765" s="12"/>
      <c r="Z765" s="12"/>
      <c r="AA765" s="12"/>
      <c r="AB765" s="12"/>
      <c r="AC765" s="12"/>
      <c r="AD765" s="12"/>
      <c r="AE765" s="12"/>
      <c r="AF765" s="12"/>
    </row>
    <row r="766" spans="1:32">
      <c r="A766" s="8"/>
      <c r="B766" s="8"/>
      <c r="C766" s="8"/>
      <c r="D766" s="8"/>
      <c r="E766" s="8"/>
      <c r="F766" s="8"/>
      <c r="G766" s="8"/>
      <c r="H766" s="8"/>
      <c r="I766" s="8"/>
      <c r="J766" s="8"/>
      <c r="K766" s="8"/>
      <c r="L766" s="8"/>
      <c r="M766" s="8"/>
      <c r="N766" s="8"/>
      <c r="O766" s="8"/>
      <c r="P766" s="8"/>
      <c r="Q766" s="8"/>
      <c r="R766" s="8"/>
      <c r="S766" s="8"/>
      <c r="T766" s="8"/>
      <c r="U766" s="12"/>
      <c r="V766" s="12"/>
      <c r="W766" s="12"/>
      <c r="X766" s="12"/>
      <c r="Y766" s="12"/>
      <c r="Z766" s="12"/>
      <c r="AA766" s="12"/>
      <c r="AB766" s="12"/>
      <c r="AC766" s="12"/>
      <c r="AD766" s="12"/>
      <c r="AE766" s="12"/>
      <c r="AF766" s="12"/>
    </row>
    <row r="767" spans="1:32">
      <c r="A767" s="8"/>
      <c r="B767" s="8"/>
      <c r="C767" s="8"/>
      <c r="D767" s="8"/>
      <c r="E767" s="8"/>
      <c r="F767" s="8"/>
      <c r="G767" s="8"/>
      <c r="H767" s="8"/>
      <c r="I767" s="8"/>
      <c r="J767" s="8"/>
      <c r="K767" s="8"/>
      <c r="L767" s="8"/>
      <c r="M767" s="8"/>
      <c r="N767" s="8"/>
      <c r="O767" s="8"/>
      <c r="P767" s="8"/>
      <c r="Q767" s="8"/>
      <c r="R767" s="8"/>
      <c r="S767" s="8"/>
      <c r="T767" s="8"/>
      <c r="U767" s="12"/>
      <c r="V767" s="12"/>
      <c r="W767" s="12"/>
      <c r="X767" s="12"/>
      <c r="Y767" s="12"/>
      <c r="Z767" s="12"/>
      <c r="AA767" s="12"/>
      <c r="AB767" s="12"/>
      <c r="AC767" s="12"/>
      <c r="AD767" s="12"/>
      <c r="AE767" s="12"/>
      <c r="AF767" s="12"/>
    </row>
    <row r="768" spans="1:32">
      <c r="A768" s="8"/>
      <c r="B768" s="8"/>
      <c r="C768" s="8"/>
      <c r="D768" s="8"/>
      <c r="E768" s="8"/>
      <c r="F768" s="8"/>
      <c r="G768" s="8"/>
      <c r="H768" s="8"/>
      <c r="I768" s="8"/>
      <c r="J768" s="8"/>
      <c r="K768" s="8"/>
      <c r="L768" s="8"/>
      <c r="M768" s="8"/>
      <c r="N768" s="8"/>
      <c r="O768" s="8"/>
      <c r="P768" s="8"/>
      <c r="Q768" s="8"/>
      <c r="R768" s="8"/>
      <c r="S768" s="8"/>
      <c r="T768" s="8"/>
      <c r="U768" s="12"/>
      <c r="V768" s="12"/>
      <c r="W768" s="12"/>
      <c r="X768" s="12"/>
      <c r="Y768" s="12"/>
      <c r="Z768" s="12"/>
      <c r="AA768" s="12"/>
      <c r="AB768" s="12"/>
      <c r="AC768" s="12"/>
      <c r="AD768" s="12"/>
      <c r="AE768" s="12"/>
      <c r="AF768" s="12"/>
    </row>
    <row r="769" spans="1:32">
      <c r="A769" s="8"/>
      <c r="B769" s="8"/>
      <c r="C769" s="8"/>
      <c r="D769" s="8"/>
      <c r="E769" s="8"/>
      <c r="F769" s="8"/>
      <c r="G769" s="8"/>
      <c r="H769" s="8"/>
      <c r="I769" s="8"/>
      <c r="J769" s="8"/>
      <c r="K769" s="8"/>
      <c r="L769" s="8"/>
      <c r="M769" s="8"/>
      <c r="N769" s="8"/>
      <c r="O769" s="8"/>
      <c r="P769" s="8"/>
      <c r="Q769" s="8"/>
      <c r="R769" s="8"/>
      <c r="S769" s="8"/>
      <c r="T769" s="8"/>
      <c r="U769" s="12"/>
      <c r="V769" s="12"/>
      <c r="W769" s="12"/>
      <c r="X769" s="12"/>
      <c r="Y769" s="12"/>
      <c r="Z769" s="12"/>
      <c r="AA769" s="12"/>
      <c r="AB769" s="12"/>
      <c r="AC769" s="12"/>
      <c r="AD769" s="12"/>
      <c r="AE769" s="12"/>
      <c r="AF769" s="12"/>
    </row>
    <row r="770" spans="1:32">
      <c r="A770" s="8"/>
      <c r="B770" s="8"/>
      <c r="C770" s="8"/>
      <c r="D770" s="8"/>
      <c r="E770" s="8"/>
      <c r="F770" s="8"/>
      <c r="G770" s="8"/>
      <c r="H770" s="8"/>
      <c r="I770" s="8"/>
      <c r="J770" s="8"/>
      <c r="K770" s="8"/>
      <c r="L770" s="8"/>
      <c r="M770" s="8"/>
      <c r="N770" s="8"/>
      <c r="O770" s="8"/>
      <c r="P770" s="8"/>
      <c r="Q770" s="8"/>
      <c r="R770" s="8"/>
      <c r="S770" s="8"/>
      <c r="T770" s="8"/>
      <c r="U770" s="12"/>
      <c r="V770" s="12"/>
      <c r="W770" s="12"/>
      <c r="X770" s="12"/>
      <c r="Y770" s="12"/>
      <c r="Z770" s="12"/>
      <c r="AA770" s="12"/>
      <c r="AB770" s="12"/>
      <c r="AC770" s="12"/>
      <c r="AD770" s="12"/>
      <c r="AE770" s="12"/>
      <c r="AF770" s="12"/>
    </row>
    <row r="771" spans="1:32">
      <c r="A771" s="8"/>
      <c r="B771" s="8"/>
      <c r="C771" s="8"/>
      <c r="D771" s="8"/>
      <c r="E771" s="8"/>
      <c r="F771" s="8"/>
      <c r="G771" s="8"/>
      <c r="H771" s="8"/>
      <c r="I771" s="8"/>
      <c r="J771" s="8"/>
      <c r="K771" s="8"/>
      <c r="L771" s="8"/>
      <c r="M771" s="8"/>
      <c r="N771" s="8"/>
      <c r="O771" s="8"/>
      <c r="P771" s="8"/>
      <c r="Q771" s="8"/>
      <c r="R771" s="8"/>
      <c r="S771" s="8"/>
      <c r="T771" s="8"/>
      <c r="U771" s="12"/>
      <c r="V771" s="12"/>
      <c r="W771" s="12"/>
      <c r="X771" s="12"/>
      <c r="Y771" s="12"/>
      <c r="Z771" s="12"/>
      <c r="AA771" s="12"/>
      <c r="AB771" s="12"/>
      <c r="AC771" s="12"/>
      <c r="AD771" s="12"/>
      <c r="AE771" s="12"/>
      <c r="AF771" s="12"/>
    </row>
    <row r="772" spans="1:32">
      <c r="A772" s="8"/>
      <c r="B772" s="8"/>
      <c r="C772" s="8"/>
      <c r="D772" s="8"/>
      <c r="E772" s="8"/>
      <c r="F772" s="8"/>
      <c r="G772" s="8"/>
      <c r="H772" s="8"/>
      <c r="I772" s="8"/>
      <c r="J772" s="8"/>
      <c r="K772" s="8"/>
      <c r="L772" s="8"/>
      <c r="M772" s="8"/>
      <c r="N772" s="8"/>
      <c r="O772" s="8"/>
      <c r="P772" s="8"/>
      <c r="Q772" s="8"/>
      <c r="R772" s="8"/>
      <c r="S772" s="8"/>
      <c r="T772" s="8"/>
      <c r="U772" s="12"/>
      <c r="V772" s="12"/>
      <c r="W772" s="12"/>
      <c r="X772" s="12"/>
      <c r="Y772" s="12"/>
      <c r="Z772" s="12"/>
      <c r="AA772" s="12"/>
      <c r="AB772" s="12"/>
      <c r="AC772" s="12"/>
      <c r="AD772" s="12"/>
      <c r="AE772" s="12"/>
      <c r="AF772" s="12"/>
    </row>
    <row r="773" spans="1:32">
      <c r="A773" s="8"/>
      <c r="B773" s="8"/>
      <c r="C773" s="8"/>
      <c r="D773" s="8"/>
      <c r="E773" s="8"/>
      <c r="F773" s="8"/>
      <c r="G773" s="8"/>
      <c r="H773" s="8"/>
      <c r="I773" s="8"/>
      <c r="J773" s="8"/>
      <c r="K773" s="8"/>
      <c r="L773" s="8"/>
      <c r="M773" s="8"/>
      <c r="N773" s="8"/>
      <c r="O773" s="8"/>
      <c r="P773" s="8"/>
      <c r="Q773" s="8"/>
      <c r="R773" s="8"/>
      <c r="S773" s="8"/>
      <c r="T773" s="8"/>
      <c r="U773" s="12"/>
      <c r="V773" s="12"/>
      <c r="W773" s="12"/>
      <c r="X773" s="12"/>
      <c r="Y773" s="12"/>
      <c r="Z773" s="12"/>
      <c r="AA773" s="12"/>
      <c r="AB773" s="12"/>
      <c r="AC773" s="12"/>
      <c r="AD773" s="12"/>
      <c r="AE773" s="12"/>
      <c r="AF773" s="12"/>
    </row>
    <row r="774" spans="1:32">
      <c r="A774" s="8"/>
      <c r="B774" s="8"/>
      <c r="C774" s="8"/>
      <c r="D774" s="8"/>
      <c r="E774" s="8"/>
      <c r="F774" s="8"/>
      <c r="G774" s="8"/>
      <c r="H774" s="8"/>
      <c r="I774" s="8"/>
      <c r="J774" s="8"/>
      <c r="K774" s="8"/>
      <c r="L774" s="8"/>
      <c r="M774" s="8"/>
      <c r="N774" s="8"/>
      <c r="O774" s="8"/>
      <c r="P774" s="8"/>
      <c r="Q774" s="8"/>
      <c r="R774" s="8"/>
      <c r="S774" s="8"/>
      <c r="T774" s="8"/>
      <c r="U774" s="12"/>
      <c r="V774" s="12"/>
      <c r="W774" s="12"/>
      <c r="X774" s="12"/>
      <c r="Y774" s="12"/>
      <c r="Z774" s="12"/>
      <c r="AA774" s="12"/>
      <c r="AB774" s="12"/>
      <c r="AC774" s="12"/>
      <c r="AD774" s="12"/>
      <c r="AE774" s="12"/>
      <c r="AF774" s="12"/>
    </row>
    <row r="775" spans="1:32">
      <c r="A775" s="8"/>
      <c r="B775" s="8"/>
      <c r="C775" s="8"/>
      <c r="D775" s="8"/>
      <c r="E775" s="8"/>
      <c r="F775" s="8"/>
      <c r="G775" s="8"/>
      <c r="H775" s="8"/>
      <c r="I775" s="8"/>
      <c r="J775" s="8"/>
      <c r="K775" s="8"/>
      <c r="L775" s="8"/>
      <c r="M775" s="8"/>
      <c r="N775" s="8"/>
      <c r="O775" s="8"/>
      <c r="P775" s="8"/>
      <c r="Q775" s="8"/>
      <c r="R775" s="8"/>
      <c r="S775" s="8"/>
      <c r="T775" s="8"/>
      <c r="U775" s="12"/>
      <c r="V775" s="12"/>
      <c r="W775" s="12"/>
      <c r="X775" s="12"/>
      <c r="Y775" s="12"/>
      <c r="Z775" s="12"/>
      <c r="AA775" s="12"/>
      <c r="AB775" s="12"/>
      <c r="AC775" s="12"/>
      <c r="AD775" s="12"/>
      <c r="AE775" s="12"/>
      <c r="AF775" s="12"/>
    </row>
    <row r="776" spans="1:32">
      <c r="A776" s="8"/>
      <c r="B776" s="8"/>
      <c r="C776" s="8"/>
      <c r="D776" s="8"/>
      <c r="E776" s="8"/>
      <c r="F776" s="8"/>
      <c r="G776" s="8"/>
      <c r="H776" s="8"/>
      <c r="I776" s="8"/>
      <c r="J776" s="8"/>
      <c r="K776" s="8"/>
      <c r="L776" s="8"/>
      <c r="M776" s="8"/>
      <c r="N776" s="8"/>
      <c r="O776" s="8"/>
      <c r="P776" s="8"/>
      <c r="Q776" s="8"/>
      <c r="R776" s="8"/>
      <c r="S776" s="8"/>
      <c r="T776" s="8"/>
      <c r="U776" s="12"/>
      <c r="V776" s="12"/>
      <c r="W776" s="12"/>
      <c r="X776" s="12"/>
      <c r="Y776" s="12"/>
      <c r="Z776" s="12"/>
      <c r="AA776" s="12"/>
      <c r="AB776" s="12"/>
      <c r="AC776" s="12"/>
      <c r="AD776" s="12"/>
      <c r="AE776" s="12"/>
      <c r="AF776" s="12"/>
    </row>
    <row r="777" spans="1:32">
      <c r="A777" s="8"/>
      <c r="B777" s="8"/>
      <c r="C777" s="8"/>
      <c r="D777" s="8"/>
      <c r="E777" s="8"/>
      <c r="F777" s="8"/>
      <c r="G777" s="8"/>
      <c r="H777" s="8"/>
      <c r="I777" s="8"/>
      <c r="J777" s="8"/>
      <c r="K777" s="8"/>
      <c r="L777" s="8"/>
      <c r="M777" s="8"/>
      <c r="N777" s="8"/>
      <c r="O777" s="8"/>
      <c r="P777" s="8"/>
      <c r="Q777" s="8"/>
      <c r="R777" s="8"/>
      <c r="S777" s="8"/>
      <c r="T777" s="8"/>
      <c r="U777" s="12"/>
      <c r="V777" s="12"/>
      <c r="W777" s="12"/>
      <c r="X777" s="12"/>
      <c r="Y777" s="12"/>
      <c r="Z777" s="12"/>
      <c r="AA777" s="12"/>
      <c r="AB777" s="12"/>
      <c r="AC777" s="12"/>
      <c r="AD777" s="12"/>
      <c r="AE777" s="12"/>
      <c r="AF777" s="12"/>
    </row>
    <row r="778" spans="1:32">
      <c r="A778" s="8"/>
      <c r="B778" s="8"/>
      <c r="C778" s="8"/>
      <c r="D778" s="8"/>
      <c r="E778" s="8"/>
      <c r="F778" s="8"/>
      <c r="G778" s="8"/>
      <c r="H778" s="8"/>
      <c r="I778" s="8"/>
      <c r="J778" s="8"/>
      <c r="K778" s="8"/>
      <c r="L778" s="8"/>
      <c r="M778" s="8"/>
      <c r="N778" s="8"/>
      <c r="O778" s="8"/>
      <c r="P778" s="8"/>
      <c r="Q778" s="8"/>
      <c r="R778" s="8"/>
      <c r="S778" s="8"/>
      <c r="T778" s="8"/>
      <c r="U778" s="12"/>
      <c r="V778" s="12"/>
      <c r="W778" s="12"/>
      <c r="X778" s="12"/>
      <c r="Y778" s="12"/>
      <c r="Z778" s="12"/>
      <c r="AA778" s="12"/>
      <c r="AB778" s="12"/>
      <c r="AC778" s="12"/>
      <c r="AD778" s="12"/>
      <c r="AE778" s="12"/>
      <c r="AF778" s="12"/>
    </row>
    <row r="779" spans="1:32">
      <c r="A779" s="8"/>
      <c r="B779" s="8"/>
      <c r="C779" s="8"/>
      <c r="D779" s="8"/>
      <c r="E779" s="8"/>
      <c r="F779" s="8"/>
      <c r="G779" s="8"/>
      <c r="H779" s="8"/>
      <c r="I779" s="8"/>
      <c r="J779" s="8"/>
      <c r="K779" s="8"/>
      <c r="L779" s="8"/>
      <c r="M779" s="8"/>
      <c r="N779" s="8"/>
      <c r="O779" s="8"/>
      <c r="P779" s="8"/>
      <c r="Q779" s="8"/>
      <c r="R779" s="8"/>
      <c r="S779" s="8"/>
      <c r="T779" s="8"/>
      <c r="U779" s="12"/>
      <c r="V779" s="12"/>
      <c r="W779" s="12"/>
      <c r="X779" s="12"/>
      <c r="Y779" s="12"/>
      <c r="Z779" s="12"/>
      <c r="AA779" s="12"/>
      <c r="AB779" s="12"/>
      <c r="AC779" s="12"/>
      <c r="AD779" s="12"/>
      <c r="AE779" s="12"/>
      <c r="AF779" s="12"/>
    </row>
    <row r="780" spans="1:32">
      <c r="A780" s="8"/>
      <c r="B780" s="8"/>
      <c r="C780" s="8"/>
      <c r="D780" s="8"/>
      <c r="E780" s="8"/>
      <c r="F780" s="8"/>
      <c r="G780" s="8"/>
      <c r="H780" s="8"/>
      <c r="I780" s="8"/>
      <c r="J780" s="8"/>
      <c r="K780" s="8"/>
      <c r="L780" s="8"/>
      <c r="M780" s="8"/>
      <c r="N780" s="8"/>
      <c r="O780" s="8"/>
      <c r="P780" s="8"/>
      <c r="Q780" s="8"/>
      <c r="R780" s="8"/>
      <c r="S780" s="8"/>
      <c r="T780" s="8"/>
      <c r="U780" s="12"/>
      <c r="V780" s="12"/>
      <c r="W780" s="12"/>
      <c r="X780" s="12"/>
      <c r="Y780" s="12"/>
      <c r="Z780" s="12"/>
      <c r="AA780" s="12"/>
      <c r="AB780" s="12"/>
      <c r="AC780" s="12"/>
      <c r="AD780" s="12"/>
      <c r="AE780" s="12"/>
      <c r="AF780" s="12"/>
    </row>
    <row r="781" spans="1:32">
      <c r="A781" s="8"/>
      <c r="B781" s="8"/>
      <c r="C781" s="8"/>
      <c r="D781" s="8"/>
      <c r="E781" s="8"/>
      <c r="F781" s="8"/>
      <c r="G781" s="8"/>
      <c r="H781" s="8"/>
      <c r="I781" s="8"/>
      <c r="J781" s="8"/>
      <c r="K781" s="8"/>
      <c r="L781" s="8"/>
      <c r="M781" s="8"/>
      <c r="N781" s="8"/>
      <c r="O781" s="8"/>
      <c r="P781" s="8"/>
      <c r="Q781" s="8"/>
      <c r="R781" s="8"/>
      <c r="S781" s="8"/>
      <c r="T781" s="8"/>
      <c r="U781" s="12"/>
      <c r="V781" s="12"/>
      <c r="W781" s="12"/>
      <c r="X781" s="12"/>
      <c r="Y781" s="12"/>
      <c r="Z781" s="12"/>
      <c r="AA781" s="12"/>
      <c r="AB781" s="12"/>
      <c r="AC781" s="12"/>
      <c r="AD781" s="12"/>
      <c r="AE781" s="12"/>
      <c r="AF781" s="12"/>
    </row>
    <row r="782" spans="1:32">
      <c r="A782" s="8"/>
      <c r="B782" s="8"/>
      <c r="C782" s="8"/>
      <c r="D782" s="8"/>
      <c r="E782" s="8"/>
      <c r="F782" s="8"/>
      <c r="G782" s="8"/>
      <c r="H782" s="8"/>
      <c r="I782" s="8"/>
      <c r="J782" s="8"/>
      <c r="K782" s="8"/>
      <c r="L782" s="8"/>
      <c r="M782" s="8"/>
      <c r="N782" s="8"/>
      <c r="O782" s="8"/>
      <c r="P782" s="8"/>
      <c r="Q782" s="8"/>
      <c r="R782" s="8"/>
      <c r="S782" s="8"/>
      <c r="T782" s="8"/>
      <c r="U782" s="12"/>
      <c r="V782" s="12"/>
      <c r="W782" s="12"/>
      <c r="X782" s="12"/>
      <c r="Y782" s="12"/>
      <c r="Z782" s="12"/>
      <c r="AA782" s="12"/>
      <c r="AB782" s="12"/>
      <c r="AC782" s="12"/>
      <c r="AD782" s="12"/>
      <c r="AE782" s="12"/>
      <c r="AF782" s="12"/>
    </row>
    <row r="783" spans="1:32">
      <c r="A783" s="8"/>
      <c r="B783" s="8"/>
      <c r="C783" s="8"/>
      <c r="D783" s="8"/>
      <c r="E783" s="8"/>
      <c r="F783" s="8"/>
      <c r="G783" s="8"/>
      <c r="H783" s="8"/>
      <c r="I783" s="8"/>
      <c r="J783" s="8"/>
      <c r="K783" s="8"/>
      <c r="L783" s="8"/>
      <c r="M783" s="8"/>
      <c r="N783" s="8"/>
      <c r="O783" s="8"/>
      <c r="P783" s="8"/>
      <c r="Q783" s="8"/>
      <c r="R783" s="8"/>
      <c r="S783" s="8"/>
      <c r="T783" s="8"/>
      <c r="U783" s="12"/>
      <c r="V783" s="12"/>
      <c r="W783" s="12"/>
      <c r="X783" s="12"/>
      <c r="Y783" s="12"/>
      <c r="Z783" s="12"/>
      <c r="AA783" s="12"/>
      <c r="AB783" s="12"/>
      <c r="AC783" s="12"/>
      <c r="AD783" s="12"/>
      <c r="AE783" s="12"/>
      <c r="AF783" s="12"/>
    </row>
    <row r="784" spans="1:32">
      <c r="A784" s="8"/>
      <c r="B784" s="8"/>
      <c r="C784" s="8"/>
      <c r="D784" s="8"/>
      <c r="E784" s="8"/>
      <c r="F784" s="8"/>
      <c r="G784" s="8"/>
      <c r="H784" s="8"/>
      <c r="I784" s="8"/>
      <c r="J784" s="8"/>
      <c r="K784" s="8"/>
      <c r="L784" s="8"/>
      <c r="M784" s="8"/>
      <c r="N784" s="8"/>
      <c r="O784" s="8"/>
      <c r="P784" s="8"/>
      <c r="Q784" s="8"/>
      <c r="R784" s="8"/>
      <c r="S784" s="8"/>
      <c r="T784" s="8"/>
      <c r="U784" s="12"/>
      <c r="V784" s="12"/>
      <c r="W784" s="12"/>
      <c r="X784" s="12"/>
      <c r="Y784" s="12"/>
      <c r="Z784" s="12"/>
      <c r="AA784" s="12"/>
      <c r="AB784" s="12"/>
      <c r="AC784" s="12"/>
      <c r="AD784" s="12"/>
      <c r="AE784" s="12"/>
      <c r="AF784" s="12"/>
    </row>
    <row r="785" spans="1:32">
      <c r="A785" s="8"/>
      <c r="B785" s="8"/>
      <c r="C785" s="8"/>
      <c r="D785" s="8"/>
      <c r="E785" s="8"/>
      <c r="F785" s="8"/>
      <c r="G785" s="8"/>
      <c r="H785" s="8"/>
      <c r="I785" s="8"/>
      <c r="J785" s="8"/>
      <c r="K785" s="8"/>
      <c r="L785" s="8"/>
      <c r="M785" s="8"/>
      <c r="N785" s="8"/>
      <c r="O785" s="8"/>
      <c r="P785" s="8"/>
      <c r="Q785" s="8"/>
      <c r="R785" s="8"/>
      <c r="S785" s="8"/>
      <c r="T785" s="8"/>
      <c r="U785" s="12"/>
      <c r="V785" s="12"/>
      <c r="W785" s="12"/>
      <c r="X785" s="12"/>
      <c r="Y785" s="12"/>
      <c r="Z785" s="12"/>
      <c r="AA785" s="12"/>
      <c r="AB785" s="12"/>
      <c r="AC785" s="12"/>
      <c r="AD785" s="12"/>
      <c r="AE785" s="12"/>
      <c r="AF785" s="12"/>
    </row>
    <row r="786" spans="1:32">
      <c r="A786" s="8"/>
      <c r="B786" s="8"/>
      <c r="C786" s="8"/>
      <c r="D786" s="8"/>
      <c r="E786" s="8"/>
      <c r="F786" s="8"/>
      <c r="G786" s="8"/>
      <c r="H786" s="8"/>
      <c r="I786" s="8"/>
      <c r="J786" s="8"/>
      <c r="K786" s="8"/>
      <c r="L786" s="8"/>
      <c r="M786" s="8"/>
      <c r="N786" s="8"/>
      <c r="O786" s="8"/>
      <c r="P786" s="8"/>
      <c r="Q786" s="8"/>
      <c r="R786" s="8"/>
      <c r="S786" s="8"/>
      <c r="T786" s="8"/>
      <c r="U786" s="12"/>
      <c r="V786" s="12"/>
      <c r="W786" s="12"/>
      <c r="X786" s="12"/>
      <c r="Y786" s="12"/>
      <c r="Z786" s="12"/>
      <c r="AA786" s="12"/>
      <c r="AB786" s="12"/>
      <c r="AC786" s="12"/>
      <c r="AD786" s="12"/>
      <c r="AE786" s="12"/>
      <c r="AF786" s="12"/>
    </row>
    <row r="787" spans="1:32">
      <c r="A787" s="8"/>
      <c r="B787" s="8"/>
      <c r="C787" s="8"/>
      <c r="D787" s="8"/>
      <c r="E787" s="8"/>
      <c r="F787" s="8"/>
      <c r="G787" s="8"/>
      <c r="H787" s="8"/>
      <c r="I787" s="8"/>
      <c r="J787" s="8"/>
      <c r="K787" s="8"/>
      <c r="L787" s="8"/>
      <c r="M787" s="8"/>
      <c r="N787" s="8"/>
      <c r="O787" s="8"/>
      <c r="P787" s="8"/>
      <c r="Q787" s="8"/>
      <c r="R787" s="8"/>
      <c r="S787" s="8"/>
      <c r="T787" s="8"/>
      <c r="U787" s="12"/>
      <c r="V787" s="12"/>
      <c r="W787" s="12"/>
      <c r="X787" s="12"/>
      <c r="Y787" s="12"/>
      <c r="Z787" s="12"/>
      <c r="AA787" s="12"/>
      <c r="AB787" s="12"/>
      <c r="AC787" s="12"/>
      <c r="AD787" s="12"/>
      <c r="AE787" s="12"/>
      <c r="AF787" s="12"/>
    </row>
    <row r="788" spans="1:32">
      <c r="A788" s="8"/>
      <c r="B788" s="8"/>
      <c r="C788" s="8"/>
      <c r="D788" s="8"/>
      <c r="E788" s="8"/>
      <c r="F788" s="8"/>
      <c r="G788" s="8"/>
      <c r="H788" s="8"/>
      <c r="I788" s="8"/>
      <c r="J788" s="8"/>
      <c r="K788" s="8"/>
      <c r="L788" s="8"/>
      <c r="M788" s="8"/>
      <c r="N788" s="8"/>
      <c r="O788" s="8"/>
      <c r="P788" s="8"/>
      <c r="Q788" s="8"/>
      <c r="R788" s="8"/>
      <c r="S788" s="8"/>
      <c r="T788" s="8"/>
      <c r="U788" s="12"/>
      <c r="V788" s="12"/>
      <c r="W788" s="12"/>
      <c r="X788" s="12"/>
      <c r="Y788" s="12"/>
      <c r="Z788" s="12"/>
      <c r="AA788" s="12"/>
      <c r="AB788" s="12"/>
      <c r="AC788" s="12"/>
      <c r="AD788" s="12"/>
      <c r="AE788" s="12"/>
      <c r="AF788" s="12"/>
    </row>
    <row r="789" spans="1:32">
      <c r="A789" s="8"/>
      <c r="B789" s="8"/>
      <c r="C789" s="8"/>
      <c r="D789" s="8"/>
      <c r="E789" s="8"/>
      <c r="F789" s="8"/>
      <c r="G789" s="8"/>
      <c r="H789" s="8"/>
      <c r="I789" s="8"/>
      <c r="J789" s="8"/>
      <c r="K789" s="8"/>
      <c r="L789" s="8"/>
      <c r="M789" s="8"/>
      <c r="N789" s="8"/>
      <c r="O789" s="8"/>
      <c r="P789" s="8"/>
      <c r="Q789" s="8"/>
      <c r="R789" s="8"/>
      <c r="S789" s="8"/>
      <c r="T789" s="8"/>
      <c r="U789" s="12"/>
      <c r="V789" s="12"/>
      <c r="W789" s="12"/>
      <c r="X789" s="12"/>
      <c r="Y789" s="12"/>
      <c r="Z789" s="12"/>
      <c r="AA789" s="12"/>
      <c r="AB789" s="12"/>
      <c r="AC789" s="12"/>
      <c r="AD789" s="12"/>
      <c r="AE789" s="12"/>
      <c r="AF789" s="12"/>
    </row>
    <row r="790" spans="1:32">
      <c r="A790" s="8"/>
      <c r="B790" s="8"/>
      <c r="C790" s="8"/>
      <c r="D790" s="8"/>
      <c r="E790" s="8"/>
      <c r="F790" s="8"/>
      <c r="G790" s="8"/>
      <c r="H790" s="8"/>
      <c r="I790" s="8"/>
      <c r="J790" s="8"/>
      <c r="K790" s="8"/>
      <c r="L790" s="8"/>
      <c r="M790" s="8"/>
      <c r="N790" s="8"/>
      <c r="O790" s="8"/>
      <c r="P790" s="8"/>
      <c r="Q790" s="8"/>
      <c r="R790" s="8"/>
      <c r="S790" s="8"/>
      <c r="T790" s="8"/>
      <c r="U790" s="12"/>
      <c r="V790" s="12"/>
      <c r="W790" s="12"/>
      <c r="X790" s="12"/>
      <c r="Y790" s="12"/>
      <c r="Z790" s="12"/>
      <c r="AA790" s="12"/>
      <c r="AB790" s="12"/>
      <c r="AC790" s="12"/>
      <c r="AD790" s="12"/>
      <c r="AE790" s="12"/>
      <c r="AF790" s="12"/>
    </row>
    <row r="791" spans="1:32">
      <c r="A791" s="8"/>
      <c r="B791" s="8"/>
      <c r="C791" s="8"/>
      <c r="D791" s="8"/>
      <c r="E791" s="8"/>
      <c r="F791" s="8"/>
      <c r="G791" s="8"/>
      <c r="H791" s="8"/>
      <c r="I791" s="8"/>
      <c r="J791" s="8"/>
      <c r="K791" s="8"/>
      <c r="L791" s="8"/>
      <c r="M791" s="8"/>
      <c r="N791" s="8"/>
      <c r="O791" s="8"/>
      <c r="P791" s="8"/>
      <c r="Q791" s="8"/>
      <c r="R791" s="8"/>
      <c r="S791" s="8"/>
      <c r="T791" s="8"/>
      <c r="U791" s="12"/>
      <c r="V791" s="12"/>
      <c r="W791" s="12"/>
      <c r="X791" s="12"/>
      <c r="Y791" s="12"/>
      <c r="Z791" s="12"/>
      <c r="AA791" s="12"/>
      <c r="AB791" s="12"/>
      <c r="AC791" s="12"/>
      <c r="AD791" s="12"/>
      <c r="AE791" s="12"/>
      <c r="AF791" s="12"/>
    </row>
    <row r="792" spans="1:32">
      <c r="A792" s="8"/>
      <c r="B792" s="8"/>
      <c r="C792" s="8"/>
      <c r="D792" s="8"/>
      <c r="E792" s="8"/>
      <c r="F792" s="8"/>
      <c r="G792" s="8"/>
      <c r="H792" s="8"/>
      <c r="I792" s="8"/>
      <c r="J792" s="8"/>
      <c r="K792" s="8"/>
      <c r="L792" s="8"/>
      <c r="M792" s="8"/>
      <c r="N792" s="8"/>
      <c r="O792" s="8"/>
      <c r="P792" s="8"/>
      <c r="Q792" s="8"/>
      <c r="R792" s="8"/>
      <c r="S792" s="8"/>
      <c r="T792" s="8"/>
      <c r="U792" s="12"/>
      <c r="V792" s="12"/>
      <c r="W792" s="12"/>
      <c r="X792" s="12"/>
      <c r="Y792" s="12"/>
      <c r="Z792" s="12"/>
      <c r="AA792" s="12"/>
      <c r="AB792" s="12"/>
      <c r="AC792" s="12"/>
      <c r="AD792" s="12"/>
      <c r="AE792" s="12"/>
      <c r="AF792" s="12"/>
    </row>
    <row r="793" spans="1:32">
      <c r="A793" s="8"/>
      <c r="B793" s="8"/>
      <c r="C793" s="8"/>
      <c r="D793" s="8"/>
      <c r="E793" s="8"/>
      <c r="F793" s="8"/>
      <c r="G793" s="8"/>
      <c r="H793" s="8"/>
      <c r="I793" s="8"/>
      <c r="J793" s="8"/>
      <c r="K793" s="8"/>
      <c r="L793" s="8"/>
      <c r="M793" s="8"/>
      <c r="N793" s="8"/>
      <c r="O793" s="8"/>
      <c r="P793" s="8"/>
      <c r="Q793" s="8"/>
      <c r="R793" s="8"/>
      <c r="S793" s="8"/>
      <c r="T793" s="8"/>
      <c r="U793" s="12"/>
      <c r="V793" s="12"/>
      <c r="W793" s="12"/>
      <c r="X793" s="12"/>
      <c r="Y793" s="12"/>
      <c r="Z793" s="12"/>
      <c r="AA793" s="12"/>
      <c r="AB793" s="12"/>
      <c r="AC793" s="12"/>
      <c r="AD793" s="12"/>
      <c r="AE793" s="12"/>
      <c r="AF793" s="12"/>
    </row>
    <row r="794" spans="1:32">
      <c r="A794" s="8"/>
      <c r="B794" s="8"/>
      <c r="C794" s="8"/>
      <c r="D794" s="8"/>
      <c r="E794" s="8"/>
      <c r="F794" s="8"/>
      <c r="G794" s="8"/>
      <c r="H794" s="8"/>
      <c r="I794" s="8"/>
      <c r="J794" s="8"/>
      <c r="K794" s="8"/>
      <c r="L794" s="8"/>
      <c r="M794" s="8"/>
      <c r="N794" s="8"/>
      <c r="O794" s="8"/>
      <c r="P794" s="8"/>
      <c r="Q794" s="8"/>
      <c r="R794" s="8"/>
      <c r="S794" s="8"/>
      <c r="T794" s="8"/>
      <c r="U794" s="12"/>
      <c r="V794" s="12"/>
      <c r="W794" s="12"/>
      <c r="X794" s="12"/>
      <c r="Y794" s="12"/>
      <c r="Z794" s="12"/>
      <c r="AA794" s="12"/>
      <c r="AB794" s="12"/>
      <c r="AC794" s="12"/>
      <c r="AD794" s="12"/>
      <c r="AE794" s="12"/>
      <c r="AF794" s="12"/>
    </row>
    <row r="795" spans="1:32">
      <c r="A795" s="8"/>
      <c r="B795" s="8"/>
      <c r="C795" s="8"/>
      <c r="D795" s="8"/>
      <c r="E795" s="8"/>
      <c r="F795" s="8"/>
      <c r="G795" s="8"/>
      <c r="H795" s="8"/>
      <c r="I795" s="8"/>
      <c r="J795" s="8"/>
      <c r="K795" s="8"/>
      <c r="L795" s="8"/>
      <c r="M795" s="8"/>
      <c r="N795" s="8"/>
      <c r="O795" s="8"/>
      <c r="P795" s="8"/>
      <c r="Q795" s="8"/>
      <c r="R795" s="8"/>
      <c r="S795" s="8"/>
      <c r="T795" s="8"/>
      <c r="U795" s="12"/>
      <c r="V795" s="12"/>
      <c r="W795" s="12"/>
      <c r="X795" s="12"/>
      <c r="Y795" s="12"/>
      <c r="Z795" s="12"/>
      <c r="AA795" s="12"/>
      <c r="AB795" s="12"/>
      <c r="AC795" s="12"/>
      <c r="AD795" s="12"/>
      <c r="AE795" s="12"/>
      <c r="AF795" s="12"/>
    </row>
    <row r="796" spans="1:32">
      <c r="A796" s="8"/>
      <c r="B796" s="8"/>
      <c r="C796" s="8"/>
      <c r="D796" s="8"/>
      <c r="E796" s="8"/>
      <c r="F796" s="8"/>
      <c r="G796" s="8"/>
      <c r="H796" s="8"/>
      <c r="I796" s="8"/>
      <c r="J796" s="8"/>
      <c r="K796" s="8"/>
      <c r="L796" s="8"/>
      <c r="M796" s="8"/>
      <c r="N796" s="8"/>
      <c r="O796" s="8"/>
      <c r="P796" s="8"/>
      <c r="Q796" s="8"/>
      <c r="R796" s="8"/>
      <c r="S796" s="8"/>
      <c r="T796" s="8"/>
      <c r="U796" s="12"/>
      <c r="V796" s="12"/>
      <c r="W796" s="12"/>
      <c r="X796" s="12"/>
      <c r="Y796" s="12"/>
      <c r="Z796" s="12"/>
      <c r="AA796" s="12"/>
      <c r="AB796" s="12"/>
      <c r="AC796" s="12"/>
      <c r="AD796" s="12"/>
      <c r="AE796" s="12"/>
      <c r="AF796" s="12"/>
    </row>
    <row r="797" spans="1:32">
      <c r="A797" s="8"/>
      <c r="B797" s="8"/>
      <c r="C797" s="8"/>
      <c r="D797" s="8"/>
      <c r="E797" s="8"/>
      <c r="F797" s="8"/>
      <c r="G797" s="8"/>
      <c r="H797" s="8"/>
      <c r="I797" s="8"/>
      <c r="J797" s="8"/>
      <c r="K797" s="8"/>
      <c r="L797" s="8"/>
      <c r="M797" s="8"/>
      <c r="N797" s="8"/>
      <c r="O797" s="8"/>
      <c r="P797" s="8"/>
      <c r="Q797" s="8"/>
      <c r="R797" s="8"/>
      <c r="S797" s="8"/>
      <c r="T797" s="8"/>
      <c r="U797" s="12"/>
      <c r="V797" s="12"/>
      <c r="W797" s="12"/>
      <c r="X797" s="12"/>
      <c r="Y797" s="12"/>
      <c r="Z797" s="12"/>
      <c r="AA797" s="12"/>
      <c r="AB797" s="12"/>
      <c r="AC797" s="12"/>
      <c r="AD797" s="12"/>
      <c r="AE797" s="12"/>
      <c r="AF797" s="12"/>
    </row>
    <row r="798" spans="1:32">
      <c r="A798" s="8"/>
      <c r="B798" s="8"/>
      <c r="C798" s="8"/>
      <c r="D798" s="8"/>
      <c r="E798" s="8"/>
      <c r="F798" s="8"/>
      <c r="G798" s="8"/>
      <c r="H798" s="8"/>
      <c r="I798" s="8"/>
      <c r="J798" s="8"/>
      <c r="K798" s="8"/>
      <c r="L798" s="8"/>
      <c r="M798" s="8"/>
      <c r="N798" s="8"/>
      <c r="O798" s="8"/>
      <c r="P798" s="8"/>
      <c r="Q798" s="8"/>
      <c r="R798" s="8"/>
      <c r="S798" s="8"/>
      <c r="T798" s="8"/>
      <c r="U798" s="12"/>
      <c r="V798" s="12"/>
      <c r="W798" s="12"/>
      <c r="X798" s="12"/>
      <c r="Y798" s="12"/>
      <c r="Z798" s="12"/>
      <c r="AA798" s="12"/>
      <c r="AB798" s="12"/>
      <c r="AC798" s="12"/>
      <c r="AD798" s="12"/>
      <c r="AE798" s="12"/>
      <c r="AF798" s="12"/>
    </row>
    <row r="799" spans="1:32">
      <c r="A799" s="8"/>
      <c r="B799" s="8"/>
      <c r="C799" s="8"/>
      <c r="D799" s="8"/>
      <c r="E799" s="8"/>
      <c r="F799" s="8"/>
      <c r="G799" s="8"/>
      <c r="H799" s="8"/>
      <c r="I799" s="8"/>
      <c r="J799" s="8"/>
      <c r="K799" s="8"/>
      <c r="L799" s="8"/>
      <c r="M799" s="8"/>
      <c r="N799" s="8"/>
      <c r="O799" s="8"/>
      <c r="P799" s="8"/>
      <c r="Q799" s="8"/>
      <c r="R799" s="8"/>
      <c r="S799" s="8"/>
      <c r="T799" s="8"/>
      <c r="U799" s="12"/>
      <c r="V799" s="12"/>
      <c r="W799" s="12"/>
      <c r="X799" s="12"/>
      <c r="Y799" s="12"/>
      <c r="Z799" s="12"/>
      <c r="AA799" s="12"/>
      <c r="AB799" s="12"/>
      <c r="AC799" s="12"/>
      <c r="AD799" s="12"/>
      <c r="AE799" s="12"/>
      <c r="AF799" s="12"/>
    </row>
    <row r="800" spans="1:32">
      <c r="A800" s="8"/>
      <c r="B800" s="8"/>
      <c r="C800" s="8"/>
      <c r="D800" s="8"/>
      <c r="E800" s="8"/>
      <c r="F800" s="8"/>
      <c r="G800" s="8"/>
      <c r="H800" s="8"/>
      <c r="I800" s="8"/>
      <c r="J800" s="8"/>
      <c r="K800" s="8"/>
      <c r="L800" s="8"/>
      <c r="M800" s="8"/>
      <c r="N800" s="8"/>
      <c r="O800" s="8"/>
      <c r="P800" s="8"/>
      <c r="Q800" s="8"/>
      <c r="R800" s="8"/>
      <c r="S800" s="8"/>
      <c r="T800" s="8"/>
      <c r="U800" s="12"/>
      <c r="V800" s="12"/>
      <c r="W800" s="12"/>
      <c r="X800" s="12"/>
      <c r="Y800" s="12"/>
      <c r="Z800" s="12"/>
      <c r="AA800" s="12"/>
      <c r="AB800" s="12"/>
      <c r="AC800" s="12"/>
      <c r="AD800" s="12"/>
      <c r="AE800" s="12"/>
      <c r="AF800" s="12"/>
    </row>
    <row r="801" spans="1:32">
      <c r="A801" s="8"/>
      <c r="B801" s="8"/>
      <c r="C801" s="8"/>
      <c r="D801" s="8"/>
      <c r="E801" s="8"/>
      <c r="F801" s="8"/>
      <c r="G801" s="8"/>
      <c r="H801" s="8"/>
      <c r="I801" s="8"/>
      <c r="J801" s="8"/>
      <c r="K801" s="8"/>
      <c r="L801" s="8"/>
      <c r="M801" s="8"/>
      <c r="N801" s="8"/>
      <c r="O801" s="8"/>
      <c r="P801" s="8"/>
      <c r="Q801" s="8"/>
      <c r="R801" s="8"/>
      <c r="S801" s="8"/>
      <c r="T801" s="8"/>
      <c r="U801" s="12"/>
      <c r="V801" s="12"/>
      <c r="W801" s="12"/>
      <c r="X801" s="12"/>
      <c r="Y801" s="12"/>
      <c r="Z801" s="12"/>
      <c r="AA801" s="12"/>
      <c r="AB801" s="12"/>
      <c r="AC801" s="12"/>
      <c r="AD801" s="12"/>
      <c r="AE801" s="12"/>
      <c r="AF801" s="12"/>
    </row>
    <row r="802" spans="1:32">
      <c r="A802" s="8"/>
      <c r="B802" s="8"/>
      <c r="C802" s="8"/>
      <c r="D802" s="8"/>
      <c r="E802" s="8"/>
      <c r="F802" s="8"/>
      <c r="G802" s="8"/>
      <c r="H802" s="8"/>
      <c r="I802" s="8"/>
      <c r="J802" s="8"/>
      <c r="K802" s="8"/>
      <c r="L802" s="8"/>
      <c r="M802" s="8"/>
      <c r="N802" s="8"/>
      <c r="O802" s="8"/>
      <c r="P802" s="8"/>
      <c r="Q802" s="8"/>
      <c r="R802" s="8"/>
      <c r="S802" s="8"/>
      <c r="T802" s="8"/>
      <c r="U802" s="12"/>
      <c r="V802" s="12"/>
      <c r="W802" s="12"/>
      <c r="X802" s="12"/>
      <c r="Y802" s="12"/>
      <c r="Z802" s="12"/>
      <c r="AA802" s="12"/>
      <c r="AB802" s="12"/>
      <c r="AC802" s="12"/>
      <c r="AD802" s="12"/>
      <c r="AE802" s="12"/>
      <c r="AF802" s="12"/>
    </row>
    <row r="803" spans="1:32">
      <c r="A803" s="8"/>
      <c r="B803" s="8"/>
      <c r="C803" s="8"/>
      <c r="D803" s="8"/>
      <c r="E803" s="8"/>
      <c r="F803" s="8"/>
      <c r="G803" s="8"/>
      <c r="H803" s="8"/>
      <c r="I803" s="8"/>
      <c r="J803" s="8"/>
      <c r="K803" s="8"/>
      <c r="L803" s="8"/>
      <c r="M803" s="8"/>
      <c r="N803" s="8"/>
      <c r="O803" s="8"/>
      <c r="P803" s="8"/>
      <c r="Q803" s="8"/>
      <c r="R803" s="8"/>
      <c r="S803" s="8"/>
      <c r="T803" s="8"/>
      <c r="U803" s="12"/>
      <c r="V803" s="12"/>
      <c r="W803" s="12"/>
      <c r="X803" s="12"/>
      <c r="Y803" s="12"/>
      <c r="Z803" s="12"/>
      <c r="AA803" s="12"/>
      <c r="AB803" s="12"/>
      <c r="AC803" s="12"/>
      <c r="AD803" s="12"/>
      <c r="AE803" s="12"/>
      <c r="AF803" s="12"/>
    </row>
    <row r="804" spans="1:32">
      <c r="A804" s="8"/>
      <c r="B804" s="8"/>
      <c r="C804" s="8"/>
      <c r="D804" s="8"/>
      <c r="E804" s="8"/>
      <c r="F804" s="8"/>
      <c r="G804" s="8"/>
      <c r="H804" s="8"/>
      <c r="I804" s="8"/>
      <c r="J804" s="8"/>
      <c r="K804" s="8"/>
      <c r="L804" s="8"/>
      <c r="M804" s="8"/>
      <c r="N804" s="8"/>
      <c r="O804" s="8"/>
      <c r="P804" s="8"/>
      <c r="Q804" s="8"/>
      <c r="R804" s="8"/>
      <c r="S804" s="8"/>
      <c r="T804" s="8"/>
      <c r="U804" s="12"/>
      <c r="V804" s="12"/>
      <c r="W804" s="12"/>
      <c r="X804" s="12"/>
      <c r="Y804" s="12"/>
      <c r="Z804" s="12"/>
      <c r="AA804" s="12"/>
      <c r="AB804" s="12"/>
      <c r="AC804" s="12"/>
      <c r="AD804" s="12"/>
      <c r="AE804" s="12"/>
      <c r="AF804" s="12"/>
    </row>
    <row r="805" spans="1:32">
      <c r="A805" s="8"/>
      <c r="B805" s="8"/>
      <c r="C805" s="8"/>
      <c r="D805" s="8"/>
      <c r="E805" s="8"/>
      <c r="F805" s="8"/>
      <c r="G805" s="8"/>
      <c r="H805" s="8"/>
      <c r="I805" s="8"/>
      <c r="J805" s="8"/>
      <c r="K805" s="8"/>
      <c r="L805" s="8"/>
      <c r="M805" s="8"/>
      <c r="N805" s="8"/>
      <c r="O805" s="8"/>
      <c r="P805" s="8"/>
      <c r="Q805" s="8"/>
      <c r="R805" s="8"/>
      <c r="S805" s="8"/>
      <c r="T805" s="8"/>
      <c r="U805" s="12"/>
      <c r="V805" s="12"/>
      <c r="W805" s="12"/>
      <c r="X805" s="12"/>
      <c r="Y805" s="12"/>
      <c r="Z805" s="12"/>
      <c r="AA805" s="12"/>
      <c r="AB805" s="12"/>
      <c r="AC805" s="12"/>
      <c r="AD805" s="12"/>
      <c r="AE805" s="12"/>
      <c r="AF805" s="12"/>
    </row>
    <row r="806" spans="1:32">
      <c r="A806" s="8"/>
      <c r="B806" s="8"/>
      <c r="C806" s="8"/>
      <c r="D806" s="8"/>
      <c r="E806" s="8"/>
      <c r="F806" s="8"/>
      <c r="G806" s="8"/>
      <c r="H806" s="8"/>
      <c r="I806" s="8"/>
      <c r="J806" s="8"/>
      <c r="K806" s="8"/>
      <c r="L806" s="8"/>
      <c r="M806" s="8"/>
      <c r="N806" s="8"/>
      <c r="O806" s="8"/>
      <c r="P806" s="8"/>
      <c r="Q806" s="8"/>
      <c r="R806" s="8"/>
      <c r="S806" s="8"/>
      <c r="T806" s="8"/>
      <c r="U806" s="12"/>
      <c r="V806" s="12"/>
      <c r="W806" s="12"/>
      <c r="X806" s="12"/>
      <c r="Y806" s="12"/>
      <c r="Z806" s="12"/>
      <c r="AA806" s="12"/>
      <c r="AB806" s="12"/>
      <c r="AC806" s="12"/>
      <c r="AD806" s="12"/>
      <c r="AE806" s="12"/>
      <c r="AF806" s="12"/>
    </row>
    <row r="807" spans="1:32">
      <c r="A807" s="8"/>
      <c r="B807" s="8"/>
      <c r="C807" s="8"/>
      <c r="D807" s="8"/>
      <c r="E807" s="8"/>
      <c r="F807" s="8"/>
      <c r="G807" s="8"/>
      <c r="H807" s="8"/>
      <c r="I807" s="8"/>
      <c r="J807" s="8"/>
      <c r="K807" s="8"/>
      <c r="L807" s="8"/>
      <c r="M807" s="8"/>
      <c r="N807" s="8"/>
      <c r="O807" s="8"/>
      <c r="P807" s="8"/>
      <c r="Q807" s="8"/>
      <c r="R807" s="8"/>
      <c r="S807" s="8"/>
      <c r="T807" s="8"/>
      <c r="U807" s="12"/>
      <c r="V807" s="12"/>
      <c r="W807" s="12"/>
      <c r="X807" s="12"/>
      <c r="Y807" s="12"/>
      <c r="Z807" s="12"/>
      <c r="AA807" s="12"/>
      <c r="AB807" s="12"/>
      <c r="AC807" s="12"/>
      <c r="AD807" s="12"/>
      <c r="AE807" s="12"/>
      <c r="AF807" s="12"/>
    </row>
    <row r="808" spans="1:32">
      <c r="A808" s="8"/>
      <c r="B808" s="8"/>
      <c r="C808" s="8"/>
      <c r="D808" s="8"/>
      <c r="E808" s="8"/>
      <c r="F808" s="8"/>
      <c r="G808" s="8"/>
      <c r="H808" s="8"/>
      <c r="I808" s="8"/>
      <c r="J808" s="8"/>
      <c r="K808" s="8"/>
      <c r="L808" s="8"/>
      <c r="M808" s="8"/>
      <c r="N808" s="8"/>
      <c r="O808" s="8"/>
      <c r="P808" s="8"/>
      <c r="Q808" s="8"/>
      <c r="R808" s="8"/>
      <c r="S808" s="8"/>
      <c r="T808" s="8"/>
      <c r="U808" s="12"/>
      <c r="V808" s="12"/>
      <c r="W808" s="12"/>
      <c r="X808" s="12"/>
      <c r="Y808" s="12"/>
      <c r="Z808" s="12"/>
      <c r="AA808" s="12"/>
      <c r="AB808" s="12"/>
      <c r="AC808" s="12"/>
      <c r="AD808" s="12"/>
      <c r="AE808" s="12"/>
      <c r="AF808" s="12"/>
    </row>
    <row r="809" spans="1:32">
      <c r="A809" s="8"/>
      <c r="B809" s="8"/>
      <c r="C809" s="8"/>
      <c r="D809" s="8"/>
      <c r="E809" s="8"/>
      <c r="F809" s="8"/>
      <c r="G809" s="8"/>
      <c r="H809" s="8"/>
      <c r="I809" s="8"/>
      <c r="J809" s="8"/>
      <c r="K809" s="8"/>
      <c r="L809" s="8"/>
      <c r="M809" s="8"/>
      <c r="N809" s="8"/>
      <c r="O809" s="8"/>
      <c r="P809" s="8"/>
      <c r="Q809" s="8"/>
      <c r="R809" s="8"/>
      <c r="S809" s="8"/>
      <c r="T809" s="8"/>
      <c r="U809" s="12"/>
      <c r="V809" s="12"/>
      <c r="W809" s="12"/>
      <c r="X809" s="12"/>
      <c r="Y809" s="12"/>
      <c r="Z809" s="12"/>
      <c r="AA809" s="12"/>
      <c r="AB809" s="12"/>
      <c r="AC809" s="12"/>
      <c r="AD809" s="12"/>
      <c r="AE809" s="12"/>
      <c r="AF809" s="12"/>
    </row>
    <row r="810" spans="1:32">
      <c r="A810" s="8"/>
      <c r="B810" s="8"/>
      <c r="C810" s="8"/>
      <c r="D810" s="8"/>
      <c r="E810" s="8"/>
      <c r="F810" s="8"/>
      <c r="G810" s="8"/>
      <c r="H810" s="8"/>
      <c r="I810" s="8"/>
      <c r="J810" s="8"/>
      <c r="K810" s="8"/>
      <c r="L810" s="8"/>
      <c r="M810" s="8"/>
      <c r="N810" s="8"/>
      <c r="O810" s="8"/>
      <c r="P810" s="8"/>
      <c r="Q810" s="8"/>
      <c r="R810" s="8"/>
      <c r="S810" s="8"/>
      <c r="T810" s="8"/>
      <c r="U810" s="12"/>
      <c r="V810" s="12"/>
      <c r="W810" s="12"/>
      <c r="X810" s="12"/>
      <c r="Y810" s="12"/>
      <c r="Z810" s="12"/>
      <c r="AA810" s="12"/>
      <c r="AB810" s="12"/>
      <c r="AC810" s="12"/>
      <c r="AD810" s="12"/>
      <c r="AE810" s="12"/>
      <c r="AF810" s="12"/>
    </row>
    <row r="811" spans="1:32">
      <c r="A811" s="8"/>
      <c r="B811" s="8"/>
      <c r="C811" s="8"/>
      <c r="D811" s="8"/>
      <c r="E811" s="8"/>
      <c r="F811" s="8"/>
      <c r="G811" s="8"/>
      <c r="H811" s="8"/>
      <c r="I811" s="8"/>
      <c r="J811" s="8"/>
      <c r="K811" s="8"/>
      <c r="L811" s="8"/>
      <c r="M811" s="8"/>
      <c r="N811" s="8"/>
      <c r="O811" s="8"/>
      <c r="P811" s="8"/>
      <c r="Q811" s="8"/>
      <c r="R811" s="8"/>
      <c r="S811" s="8"/>
      <c r="T811" s="8"/>
      <c r="U811" s="12"/>
      <c r="V811" s="12"/>
      <c r="W811" s="12"/>
      <c r="X811" s="12"/>
      <c r="Y811" s="12"/>
      <c r="Z811" s="12"/>
      <c r="AA811" s="12"/>
      <c r="AB811" s="12"/>
      <c r="AC811" s="12"/>
      <c r="AD811" s="12"/>
      <c r="AE811" s="12"/>
      <c r="AF811" s="12"/>
    </row>
    <row r="812" spans="1:32">
      <c r="A812" s="8"/>
      <c r="B812" s="8"/>
      <c r="C812" s="8"/>
      <c r="D812" s="8"/>
      <c r="E812" s="8"/>
      <c r="F812" s="8"/>
      <c r="G812" s="8"/>
      <c r="H812" s="8"/>
      <c r="I812" s="8"/>
      <c r="J812" s="8"/>
      <c r="K812" s="8"/>
      <c r="L812" s="8"/>
      <c r="M812" s="8"/>
      <c r="N812" s="8"/>
      <c r="O812" s="8"/>
      <c r="P812" s="8"/>
      <c r="Q812" s="8"/>
      <c r="R812" s="8"/>
      <c r="S812" s="8"/>
      <c r="T812" s="8"/>
      <c r="U812" s="12"/>
      <c r="V812" s="12"/>
      <c r="W812" s="12"/>
      <c r="X812" s="12"/>
      <c r="Y812" s="12"/>
      <c r="Z812" s="12"/>
      <c r="AA812" s="12"/>
      <c r="AB812" s="12"/>
      <c r="AC812" s="12"/>
      <c r="AD812" s="12"/>
      <c r="AE812" s="12"/>
      <c r="AF812" s="12"/>
    </row>
    <row r="813" spans="1:32">
      <c r="A813" s="8"/>
      <c r="B813" s="8"/>
      <c r="C813" s="8"/>
      <c r="D813" s="8"/>
      <c r="E813" s="8"/>
      <c r="F813" s="8"/>
      <c r="G813" s="8"/>
      <c r="H813" s="8"/>
      <c r="I813" s="8"/>
      <c r="J813" s="8"/>
      <c r="K813" s="8"/>
      <c r="L813" s="8"/>
      <c r="M813" s="8"/>
      <c r="N813" s="8"/>
      <c r="O813" s="8"/>
      <c r="P813" s="8"/>
      <c r="Q813" s="8"/>
      <c r="R813" s="8"/>
      <c r="S813" s="8"/>
      <c r="T813" s="8"/>
      <c r="U813" s="12"/>
      <c r="V813" s="12"/>
      <c r="W813" s="12"/>
      <c r="X813" s="12"/>
      <c r="Y813" s="12"/>
      <c r="Z813" s="12"/>
      <c r="AA813" s="12"/>
      <c r="AB813" s="12"/>
      <c r="AC813" s="12"/>
      <c r="AD813" s="12"/>
      <c r="AE813" s="12"/>
      <c r="AF813" s="12"/>
    </row>
    <row r="814" spans="1:32">
      <c r="A814" s="8"/>
      <c r="B814" s="8"/>
      <c r="C814" s="8"/>
      <c r="D814" s="8"/>
      <c r="E814" s="8"/>
      <c r="F814" s="8"/>
      <c r="G814" s="8"/>
      <c r="H814" s="8"/>
      <c r="I814" s="8"/>
      <c r="J814" s="8"/>
      <c r="K814" s="8"/>
      <c r="L814" s="8"/>
      <c r="M814" s="8"/>
      <c r="N814" s="8"/>
      <c r="O814" s="8"/>
      <c r="P814" s="8"/>
      <c r="Q814" s="8"/>
      <c r="R814" s="8"/>
      <c r="S814" s="8"/>
      <c r="T814" s="8"/>
      <c r="U814" s="12"/>
      <c r="V814" s="12"/>
      <c r="W814" s="12"/>
      <c r="X814" s="12"/>
      <c r="Y814" s="12"/>
      <c r="Z814" s="12"/>
      <c r="AA814" s="12"/>
      <c r="AB814" s="12"/>
      <c r="AC814" s="12"/>
      <c r="AD814" s="12"/>
      <c r="AE814" s="12"/>
      <c r="AF814" s="12"/>
    </row>
    <row r="815" spans="1:32">
      <c r="A815" s="8"/>
      <c r="B815" s="8"/>
      <c r="C815" s="8"/>
      <c r="D815" s="8"/>
      <c r="E815" s="8"/>
      <c r="F815" s="8"/>
      <c r="G815" s="8"/>
      <c r="H815" s="8"/>
      <c r="I815" s="8"/>
      <c r="J815" s="8"/>
      <c r="K815" s="8"/>
      <c r="L815" s="8"/>
      <c r="M815" s="8"/>
      <c r="N815" s="8"/>
      <c r="O815" s="8"/>
      <c r="P815" s="8"/>
      <c r="Q815" s="8"/>
      <c r="R815" s="8"/>
      <c r="S815" s="8"/>
      <c r="T815" s="8"/>
      <c r="U815" s="12"/>
      <c r="V815" s="12"/>
      <c r="W815" s="12"/>
      <c r="X815" s="12"/>
      <c r="Y815" s="12"/>
      <c r="Z815" s="12"/>
      <c r="AA815" s="12"/>
      <c r="AB815" s="12"/>
      <c r="AC815" s="12"/>
      <c r="AD815" s="12"/>
      <c r="AE815" s="12"/>
      <c r="AF815" s="12"/>
    </row>
    <row r="816" spans="1:32">
      <c r="A816" s="8"/>
      <c r="B816" s="8"/>
      <c r="C816" s="8"/>
      <c r="D816" s="8"/>
      <c r="E816" s="8"/>
      <c r="F816" s="8"/>
      <c r="G816" s="8"/>
      <c r="H816" s="8"/>
      <c r="I816" s="8"/>
      <c r="J816" s="8"/>
      <c r="K816" s="8"/>
      <c r="L816" s="8"/>
      <c r="M816" s="8"/>
      <c r="N816" s="8"/>
      <c r="O816" s="8"/>
      <c r="P816" s="8"/>
      <c r="Q816" s="8"/>
      <c r="R816" s="8"/>
      <c r="S816" s="8"/>
      <c r="T816" s="8"/>
      <c r="U816" s="12"/>
      <c r="V816" s="12"/>
      <c r="W816" s="12"/>
      <c r="X816" s="12"/>
      <c r="Y816" s="12"/>
      <c r="Z816" s="12"/>
      <c r="AA816" s="12"/>
      <c r="AB816" s="12"/>
      <c r="AC816" s="12"/>
      <c r="AD816" s="12"/>
      <c r="AE816" s="12"/>
      <c r="AF816" s="12"/>
    </row>
    <row r="817" spans="1:32">
      <c r="A817" s="8"/>
      <c r="B817" s="8"/>
      <c r="C817" s="8"/>
      <c r="D817" s="8"/>
      <c r="E817" s="8"/>
      <c r="F817" s="8"/>
      <c r="G817" s="8"/>
      <c r="H817" s="8"/>
      <c r="I817" s="8"/>
      <c r="J817" s="8"/>
      <c r="K817" s="8"/>
      <c r="L817" s="8"/>
      <c r="M817" s="8"/>
      <c r="N817" s="8"/>
      <c r="O817" s="8"/>
      <c r="P817" s="8"/>
      <c r="Q817" s="8"/>
      <c r="R817" s="8"/>
      <c r="S817" s="8"/>
      <c r="T817" s="8"/>
      <c r="U817" s="12"/>
      <c r="V817" s="12"/>
      <c r="W817" s="12"/>
      <c r="X817" s="12"/>
      <c r="Y817" s="12"/>
      <c r="Z817" s="12"/>
      <c r="AA817" s="12"/>
      <c r="AB817" s="12"/>
      <c r="AC817" s="12"/>
      <c r="AD817" s="12"/>
      <c r="AE817" s="12"/>
      <c r="AF817" s="12"/>
    </row>
    <row r="818" spans="1:32">
      <c r="A818" s="8"/>
      <c r="B818" s="8"/>
      <c r="C818" s="8"/>
      <c r="D818" s="8"/>
      <c r="E818" s="8"/>
      <c r="F818" s="8"/>
      <c r="G818" s="8"/>
      <c r="H818" s="8"/>
      <c r="I818" s="8"/>
      <c r="J818" s="8"/>
      <c r="K818" s="8"/>
      <c r="L818" s="8"/>
      <c r="M818" s="8"/>
      <c r="N818" s="8"/>
      <c r="O818" s="8"/>
      <c r="P818" s="8"/>
      <c r="Q818" s="8"/>
      <c r="R818" s="8"/>
      <c r="S818" s="8"/>
      <c r="T818" s="8"/>
      <c r="U818" s="12"/>
      <c r="V818" s="12"/>
      <c r="W818" s="12"/>
      <c r="X818" s="12"/>
      <c r="Y818" s="12"/>
      <c r="Z818" s="12"/>
      <c r="AA818" s="12"/>
      <c r="AB818" s="12"/>
      <c r="AC818" s="12"/>
      <c r="AD818" s="12"/>
      <c r="AE818" s="12"/>
      <c r="AF818" s="12"/>
    </row>
    <row r="819" spans="1:32">
      <c r="A819" s="8"/>
      <c r="B819" s="8"/>
      <c r="C819" s="8"/>
      <c r="D819" s="8"/>
      <c r="E819" s="8"/>
      <c r="F819" s="8"/>
      <c r="G819" s="8"/>
      <c r="H819" s="8"/>
      <c r="I819" s="8"/>
      <c r="J819" s="8"/>
      <c r="K819" s="8"/>
      <c r="L819" s="8"/>
      <c r="M819" s="8"/>
      <c r="N819" s="8"/>
      <c r="O819" s="8"/>
      <c r="P819" s="8"/>
      <c r="Q819" s="8"/>
      <c r="R819" s="8"/>
      <c r="S819" s="8"/>
      <c r="T819" s="8"/>
      <c r="U819" s="12"/>
      <c r="V819" s="12"/>
      <c r="W819" s="12"/>
      <c r="X819" s="12"/>
      <c r="Y819" s="12"/>
      <c r="Z819" s="12"/>
      <c r="AA819" s="12"/>
      <c r="AB819" s="12"/>
      <c r="AC819" s="12"/>
      <c r="AD819" s="12"/>
      <c r="AE819" s="12"/>
      <c r="AF819" s="12"/>
    </row>
    <row r="820" spans="1:32">
      <c r="A820" s="8"/>
      <c r="B820" s="8"/>
      <c r="C820" s="8"/>
      <c r="D820" s="8"/>
      <c r="E820" s="8"/>
      <c r="F820" s="8"/>
      <c r="G820" s="8"/>
      <c r="H820" s="8"/>
      <c r="I820" s="8"/>
      <c r="J820" s="8"/>
      <c r="K820" s="8"/>
      <c r="L820" s="8"/>
      <c r="M820" s="8"/>
      <c r="N820" s="8"/>
      <c r="O820" s="8"/>
      <c r="P820" s="8"/>
      <c r="Q820" s="8"/>
      <c r="R820" s="8"/>
      <c r="S820" s="8"/>
      <c r="T820" s="8"/>
      <c r="U820" s="12"/>
      <c r="V820" s="12"/>
      <c r="W820" s="12"/>
      <c r="X820" s="12"/>
      <c r="Y820" s="12"/>
      <c r="Z820" s="12"/>
      <c r="AA820" s="12"/>
      <c r="AB820" s="12"/>
      <c r="AC820" s="12"/>
      <c r="AD820" s="12"/>
      <c r="AE820" s="12"/>
      <c r="AF820" s="12"/>
    </row>
    <row r="821" spans="1:32">
      <c r="A821" s="8"/>
      <c r="B821" s="8"/>
      <c r="C821" s="8"/>
      <c r="D821" s="8"/>
      <c r="E821" s="8"/>
      <c r="F821" s="8"/>
      <c r="G821" s="8"/>
      <c r="H821" s="8"/>
      <c r="I821" s="8"/>
      <c r="J821" s="8"/>
      <c r="K821" s="8"/>
      <c r="L821" s="8"/>
      <c r="M821" s="8"/>
      <c r="N821" s="8"/>
      <c r="O821" s="8"/>
      <c r="P821" s="8"/>
      <c r="Q821" s="8"/>
      <c r="R821" s="8"/>
      <c r="S821" s="8"/>
      <c r="T821" s="8"/>
      <c r="U821" s="12"/>
      <c r="V821" s="12"/>
      <c r="W821" s="12"/>
      <c r="X821" s="12"/>
      <c r="Y821" s="12"/>
      <c r="Z821" s="12"/>
      <c r="AA821" s="12"/>
      <c r="AB821" s="12"/>
      <c r="AC821" s="12"/>
      <c r="AD821" s="12"/>
      <c r="AE821" s="12"/>
      <c r="AF821" s="12"/>
    </row>
    <row r="822" spans="1:32">
      <c r="A822" s="8"/>
      <c r="B822" s="8"/>
      <c r="C822" s="8"/>
      <c r="D822" s="8"/>
      <c r="E822" s="8"/>
      <c r="F822" s="8"/>
      <c r="G822" s="8"/>
      <c r="H822" s="8"/>
      <c r="I822" s="8"/>
      <c r="J822" s="8"/>
      <c r="K822" s="8"/>
      <c r="L822" s="8"/>
      <c r="M822" s="8"/>
      <c r="N822" s="8"/>
      <c r="O822" s="8"/>
      <c r="P822" s="8"/>
      <c r="Q822" s="8"/>
      <c r="R822" s="8"/>
      <c r="S822" s="8"/>
      <c r="T822" s="8"/>
      <c r="U822" s="12"/>
      <c r="V822" s="12"/>
      <c r="W822" s="12"/>
      <c r="X822" s="12"/>
      <c r="Y822" s="12"/>
      <c r="Z822" s="12"/>
      <c r="AA822" s="12"/>
      <c r="AB822" s="12"/>
      <c r="AC822" s="12"/>
      <c r="AD822" s="12"/>
      <c r="AE822" s="12"/>
      <c r="AF822" s="12"/>
    </row>
    <row r="823" spans="1:32">
      <c r="A823" s="8"/>
      <c r="B823" s="8"/>
      <c r="C823" s="8"/>
      <c r="D823" s="8"/>
      <c r="E823" s="8"/>
      <c r="F823" s="8"/>
      <c r="G823" s="8"/>
      <c r="H823" s="8"/>
      <c r="I823" s="8"/>
      <c r="J823" s="8"/>
      <c r="K823" s="8"/>
      <c r="L823" s="8"/>
      <c r="M823" s="8"/>
      <c r="N823" s="8"/>
      <c r="O823" s="8"/>
      <c r="P823" s="8"/>
      <c r="Q823" s="8"/>
      <c r="R823" s="8"/>
      <c r="S823" s="8"/>
      <c r="T823" s="8"/>
      <c r="U823" s="12"/>
      <c r="V823" s="12"/>
      <c r="W823" s="12"/>
      <c r="X823" s="12"/>
      <c r="Y823" s="12"/>
      <c r="Z823" s="12"/>
      <c r="AA823" s="12"/>
      <c r="AB823" s="12"/>
      <c r="AC823" s="12"/>
      <c r="AD823" s="12"/>
      <c r="AE823" s="12"/>
      <c r="AF823" s="12"/>
    </row>
    <row r="824" spans="1:32">
      <c r="A824" s="8"/>
      <c r="B824" s="8"/>
      <c r="C824" s="8"/>
      <c r="D824" s="8"/>
      <c r="E824" s="8"/>
      <c r="F824" s="8"/>
      <c r="G824" s="8"/>
      <c r="H824" s="8"/>
      <c r="I824" s="8"/>
      <c r="J824" s="8"/>
      <c r="K824" s="8"/>
      <c r="L824" s="8"/>
      <c r="M824" s="8"/>
      <c r="N824" s="8"/>
      <c r="O824" s="8"/>
      <c r="P824" s="8"/>
      <c r="Q824" s="8"/>
      <c r="R824" s="8"/>
      <c r="S824" s="8"/>
      <c r="T824" s="8"/>
      <c r="U824" s="12"/>
      <c r="V824" s="12"/>
      <c r="W824" s="12"/>
      <c r="X824" s="12"/>
      <c r="Y824" s="12"/>
      <c r="Z824" s="12"/>
      <c r="AA824" s="12"/>
      <c r="AB824" s="12"/>
      <c r="AC824" s="12"/>
      <c r="AD824" s="12"/>
      <c r="AE824" s="12"/>
      <c r="AF824" s="12"/>
    </row>
    <row r="825" spans="1:32">
      <c r="A825" s="8"/>
      <c r="B825" s="8"/>
      <c r="C825" s="8"/>
      <c r="D825" s="8"/>
      <c r="E825" s="8"/>
      <c r="F825" s="8"/>
      <c r="G825" s="8"/>
      <c r="H825" s="8"/>
      <c r="I825" s="8"/>
      <c r="J825" s="8"/>
      <c r="K825" s="8"/>
      <c r="L825" s="8"/>
      <c r="M825" s="8"/>
      <c r="N825" s="8"/>
      <c r="O825" s="8"/>
      <c r="P825" s="8"/>
      <c r="Q825" s="8"/>
      <c r="R825" s="8"/>
      <c r="S825" s="8"/>
      <c r="T825" s="8"/>
      <c r="U825" s="12"/>
      <c r="V825" s="12"/>
      <c r="W825" s="12"/>
      <c r="X825" s="12"/>
      <c r="Y825" s="12"/>
      <c r="Z825" s="12"/>
      <c r="AA825" s="12"/>
      <c r="AB825" s="12"/>
      <c r="AC825" s="12"/>
      <c r="AD825" s="12"/>
      <c r="AE825" s="12"/>
      <c r="AF825" s="12"/>
    </row>
    <row r="826" spans="1:32">
      <c r="A826" s="8"/>
      <c r="B826" s="8"/>
      <c r="C826" s="8"/>
      <c r="D826" s="8"/>
      <c r="E826" s="8"/>
      <c r="F826" s="8"/>
      <c r="G826" s="8"/>
      <c r="H826" s="8"/>
      <c r="I826" s="8"/>
      <c r="J826" s="8"/>
      <c r="K826" s="8"/>
      <c r="L826" s="8"/>
      <c r="M826" s="8"/>
      <c r="N826" s="8"/>
      <c r="O826" s="8"/>
      <c r="P826" s="8"/>
      <c r="Q826" s="8"/>
      <c r="R826" s="8"/>
      <c r="S826" s="8"/>
      <c r="T826" s="8"/>
      <c r="U826" s="12"/>
      <c r="V826" s="12"/>
      <c r="W826" s="12"/>
      <c r="X826" s="12"/>
      <c r="Y826" s="12"/>
      <c r="Z826" s="12"/>
      <c r="AA826" s="12"/>
      <c r="AB826" s="12"/>
      <c r="AC826" s="12"/>
      <c r="AD826" s="12"/>
      <c r="AE826" s="12"/>
      <c r="AF826" s="12"/>
    </row>
    <row r="827" spans="1:32">
      <c r="A827" s="8"/>
      <c r="B827" s="8"/>
      <c r="C827" s="8"/>
      <c r="D827" s="8"/>
      <c r="E827" s="8"/>
      <c r="F827" s="8"/>
      <c r="G827" s="8"/>
      <c r="H827" s="8"/>
      <c r="I827" s="8"/>
      <c r="J827" s="8"/>
      <c r="K827" s="8"/>
      <c r="L827" s="8"/>
      <c r="M827" s="8"/>
      <c r="N827" s="8"/>
      <c r="O827" s="8"/>
      <c r="P827" s="8"/>
      <c r="Q827" s="8"/>
      <c r="R827" s="8"/>
      <c r="S827" s="8"/>
      <c r="T827" s="8"/>
      <c r="U827" s="12"/>
      <c r="V827" s="12"/>
      <c r="W827" s="12"/>
      <c r="X827" s="12"/>
      <c r="Y827" s="12"/>
      <c r="Z827" s="12"/>
      <c r="AA827" s="12"/>
      <c r="AB827" s="12"/>
      <c r="AC827" s="12"/>
      <c r="AD827" s="12"/>
      <c r="AE827" s="12"/>
      <c r="AF827" s="12"/>
    </row>
    <row r="828" spans="1:32">
      <c r="A828" s="8"/>
      <c r="B828" s="8"/>
      <c r="C828" s="8"/>
      <c r="D828" s="8"/>
      <c r="E828" s="8"/>
      <c r="F828" s="8"/>
      <c r="G828" s="8"/>
      <c r="H828" s="8"/>
      <c r="I828" s="8"/>
      <c r="J828" s="8"/>
      <c r="K828" s="8"/>
      <c r="L828" s="8"/>
      <c r="M828" s="8"/>
      <c r="N828" s="8"/>
      <c r="O828" s="8"/>
      <c r="P828" s="8"/>
      <c r="Q828" s="8"/>
      <c r="R828" s="8"/>
      <c r="S828" s="8"/>
      <c r="T828" s="8"/>
      <c r="U828" s="12"/>
      <c r="V828" s="12"/>
      <c r="W828" s="12"/>
      <c r="X828" s="12"/>
      <c r="Y828" s="12"/>
      <c r="Z828" s="12"/>
      <c r="AA828" s="12"/>
      <c r="AB828" s="12"/>
      <c r="AC828" s="12"/>
      <c r="AD828" s="12"/>
      <c r="AE828" s="12"/>
      <c r="AF828" s="12"/>
    </row>
    <row r="829" spans="1:32">
      <c r="A829" s="8"/>
      <c r="B829" s="8"/>
      <c r="C829" s="8"/>
      <c r="D829" s="8"/>
      <c r="E829" s="8"/>
      <c r="F829" s="8"/>
      <c r="G829" s="8"/>
      <c r="H829" s="8"/>
      <c r="I829" s="8"/>
      <c r="J829" s="8"/>
      <c r="K829" s="8"/>
      <c r="L829" s="8"/>
      <c r="M829" s="8"/>
      <c r="N829" s="8"/>
      <c r="O829" s="8"/>
      <c r="P829" s="8"/>
      <c r="Q829" s="8"/>
      <c r="R829" s="8"/>
      <c r="S829" s="8"/>
      <c r="T829" s="8"/>
      <c r="U829" s="12"/>
      <c r="V829" s="12"/>
      <c r="W829" s="12"/>
      <c r="X829" s="12"/>
      <c r="Y829" s="12"/>
      <c r="Z829" s="12"/>
      <c r="AA829" s="12"/>
      <c r="AB829" s="12"/>
      <c r="AC829" s="12"/>
      <c r="AD829" s="12"/>
      <c r="AE829" s="12"/>
      <c r="AF829" s="12"/>
    </row>
    <row r="830" spans="1:32">
      <c r="A830" s="8"/>
      <c r="B830" s="8"/>
      <c r="C830" s="8"/>
      <c r="D830" s="8"/>
      <c r="E830" s="8"/>
      <c r="F830" s="8"/>
      <c r="G830" s="8"/>
      <c r="H830" s="8"/>
      <c r="I830" s="8"/>
      <c r="J830" s="8"/>
      <c r="K830" s="8"/>
      <c r="L830" s="8"/>
      <c r="M830" s="8"/>
      <c r="N830" s="8"/>
      <c r="O830" s="8"/>
      <c r="P830" s="8"/>
      <c r="Q830" s="8"/>
      <c r="R830" s="8"/>
      <c r="S830" s="8"/>
      <c r="T830" s="8"/>
      <c r="U830" s="12"/>
      <c r="V830" s="12"/>
      <c r="W830" s="12"/>
      <c r="X830" s="12"/>
      <c r="Y830" s="12"/>
      <c r="Z830" s="12"/>
      <c r="AA830" s="12"/>
      <c r="AB830" s="12"/>
      <c r="AC830" s="12"/>
      <c r="AD830" s="12"/>
      <c r="AE830" s="12"/>
      <c r="AF830" s="12"/>
    </row>
    <row r="831" spans="1:32">
      <c r="A831" s="8"/>
      <c r="B831" s="8"/>
      <c r="C831" s="8"/>
      <c r="D831" s="8"/>
      <c r="E831" s="8"/>
      <c r="F831" s="8"/>
      <c r="G831" s="8"/>
      <c r="H831" s="8"/>
      <c r="I831" s="8"/>
      <c r="J831" s="8"/>
      <c r="K831" s="8"/>
      <c r="L831" s="8"/>
      <c r="M831" s="8"/>
      <c r="N831" s="8"/>
      <c r="O831" s="8"/>
      <c r="P831" s="8"/>
      <c r="Q831" s="8"/>
      <c r="R831" s="8"/>
      <c r="S831" s="8"/>
      <c r="T831" s="8"/>
      <c r="U831" s="12"/>
      <c r="V831" s="12"/>
      <c r="W831" s="12"/>
      <c r="X831" s="12"/>
      <c r="Y831" s="12"/>
      <c r="Z831" s="12"/>
      <c r="AA831" s="12"/>
      <c r="AB831" s="12"/>
      <c r="AC831" s="12"/>
      <c r="AD831" s="12"/>
      <c r="AE831" s="12"/>
      <c r="AF831" s="12"/>
    </row>
    <row r="832" spans="1:32">
      <c r="A832" s="8"/>
      <c r="B832" s="8"/>
      <c r="C832" s="8"/>
      <c r="D832" s="8"/>
      <c r="E832" s="8"/>
      <c r="F832" s="8"/>
      <c r="G832" s="8"/>
      <c r="H832" s="8"/>
      <c r="I832" s="8"/>
      <c r="J832" s="8"/>
      <c r="K832" s="8"/>
      <c r="L832" s="8"/>
      <c r="M832" s="8"/>
      <c r="N832" s="8"/>
      <c r="O832" s="8"/>
      <c r="P832" s="8"/>
      <c r="Q832" s="8"/>
      <c r="R832" s="8"/>
      <c r="S832" s="8"/>
      <c r="T832" s="8"/>
      <c r="U832" s="12"/>
      <c r="V832" s="12"/>
      <c r="W832" s="12"/>
      <c r="X832" s="12"/>
      <c r="Y832" s="12"/>
      <c r="Z832" s="12"/>
      <c r="AA832" s="12"/>
      <c r="AB832" s="12"/>
      <c r="AC832" s="12"/>
      <c r="AD832" s="12"/>
      <c r="AE832" s="12"/>
      <c r="AF832" s="12"/>
    </row>
    <row r="833" spans="1:32">
      <c r="A833" s="8"/>
      <c r="B833" s="8"/>
      <c r="C833" s="8"/>
      <c r="D833" s="8"/>
      <c r="E833" s="8"/>
      <c r="F833" s="8"/>
      <c r="G833" s="8"/>
      <c r="H833" s="8"/>
      <c r="I833" s="8"/>
      <c r="J833" s="8"/>
      <c r="K833" s="8"/>
      <c r="L833" s="8"/>
      <c r="M833" s="8"/>
      <c r="N833" s="8"/>
      <c r="O833" s="8"/>
      <c r="P833" s="8"/>
      <c r="Q833" s="8"/>
      <c r="R833" s="8"/>
      <c r="S833" s="8"/>
      <c r="T833" s="8"/>
      <c r="U833" s="12"/>
      <c r="V833" s="12"/>
      <c r="W833" s="12"/>
      <c r="X833" s="12"/>
      <c r="Y833" s="12"/>
      <c r="Z833" s="12"/>
      <c r="AA833" s="12"/>
      <c r="AB833" s="12"/>
      <c r="AC833" s="12"/>
      <c r="AD833" s="12"/>
      <c r="AE833" s="12"/>
      <c r="AF833" s="12"/>
    </row>
    <row r="834" spans="1:32">
      <c r="A834" s="8"/>
      <c r="B834" s="8"/>
      <c r="C834" s="8"/>
      <c r="D834" s="8"/>
      <c r="E834" s="8"/>
      <c r="F834" s="8"/>
      <c r="G834" s="8"/>
      <c r="H834" s="8"/>
      <c r="I834" s="8"/>
      <c r="J834" s="8"/>
      <c r="K834" s="8"/>
      <c r="L834" s="8"/>
      <c r="M834" s="8"/>
      <c r="N834" s="8"/>
      <c r="O834" s="8"/>
      <c r="P834" s="8"/>
      <c r="Q834" s="8"/>
      <c r="R834" s="8"/>
      <c r="S834" s="8"/>
      <c r="T834" s="8"/>
      <c r="U834" s="12"/>
      <c r="V834" s="12"/>
      <c r="W834" s="12"/>
      <c r="X834" s="12"/>
      <c r="Y834" s="12"/>
      <c r="Z834" s="12"/>
      <c r="AA834" s="12"/>
      <c r="AB834" s="12"/>
      <c r="AC834" s="12"/>
      <c r="AD834" s="12"/>
      <c r="AE834" s="12"/>
      <c r="AF834" s="12"/>
    </row>
    <row r="835" spans="1:32">
      <c r="A835" s="8"/>
      <c r="B835" s="8"/>
      <c r="C835" s="8"/>
      <c r="D835" s="8"/>
      <c r="E835" s="8"/>
      <c r="F835" s="8"/>
      <c r="G835" s="8"/>
      <c r="H835" s="8"/>
      <c r="I835" s="8"/>
      <c r="J835" s="8"/>
      <c r="K835" s="8"/>
      <c r="L835" s="8"/>
      <c r="M835" s="8"/>
      <c r="N835" s="8"/>
      <c r="O835" s="8"/>
      <c r="P835" s="8"/>
      <c r="Q835" s="8"/>
      <c r="R835" s="8"/>
      <c r="S835" s="8"/>
      <c r="T835" s="8"/>
      <c r="U835" s="12"/>
      <c r="V835" s="12"/>
      <c r="W835" s="12"/>
      <c r="X835" s="12"/>
      <c r="Y835" s="12"/>
      <c r="Z835" s="12"/>
      <c r="AA835" s="12"/>
      <c r="AB835" s="12"/>
      <c r="AC835" s="12"/>
      <c r="AD835" s="12"/>
      <c r="AE835" s="12"/>
      <c r="AF835" s="12"/>
    </row>
    <row r="836" spans="1:32">
      <c r="A836" s="8"/>
      <c r="B836" s="8"/>
      <c r="C836" s="8"/>
      <c r="D836" s="8"/>
      <c r="E836" s="8"/>
      <c r="F836" s="8"/>
      <c r="G836" s="8"/>
      <c r="H836" s="8"/>
      <c r="I836" s="8"/>
      <c r="J836" s="8"/>
      <c r="K836" s="8"/>
      <c r="L836" s="8"/>
      <c r="M836" s="8"/>
      <c r="N836" s="8"/>
      <c r="O836" s="8"/>
      <c r="P836" s="8"/>
      <c r="Q836" s="8"/>
      <c r="R836" s="8"/>
      <c r="S836" s="8"/>
      <c r="T836" s="8"/>
      <c r="U836" s="12"/>
      <c r="V836" s="12"/>
      <c r="W836" s="12"/>
      <c r="X836" s="12"/>
      <c r="Y836" s="12"/>
      <c r="Z836" s="12"/>
      <c r="AA836" s="12"/>
      <c r="AB836" s="12"/>
      <c r="AC836" s="12"/>
      <c r="AD836" s="12"/>
      <c r="AE836" s="12"/>
      <c r="AF836" s="12"/>
    </row>
    <row r="837" spans="1:32">
      <c r="A837" s="8"/>
      <c r="B837" s="8"/>
      <c r="C837" s="8"/>
      <c r="D837" s="8"/>
      <c r="E837" s="8"/>
      <c r="F837" s="8"/>
      <c r="G837" s="8"/>
      <c r="H837" s="8"/>
      <c r="I837" s="8"/>
      <c r="J837" s="8"/>
      <c r="K837" s="8"/>
      <c r="L837" s="8"/>
      <c r="M837" s="8"/>
      <c r="N837" s="8"/>
      <c r="O837" s="8"/>
      <c r="P837" s="8"/>
      <c r="Q837" s="8"/>
      <c r="R837" s="8"/>
      <c r="S837" s="8"/>
      <c r="T837" s="8"/>
      <c r="U837" s="12"/>
      <c r="V837" s="12"/>
      <c r="W837" s="12"/>
      <c r="X837" s="12"/>
      <c r="Y837" s="12"/>
      <c r="Z837" s="12"/>
      <c r="AA837" s="12"/>
      <c r="AB837" s="12"/>
      <c r="AC837" s="12"/>
      <c r="AD837" s="12"/>
      <c r="AE837" s="12"/>
      <c r="AF837" s="12"/>
    </row>
    <row r="838" spans="1:32">
      <c r="A838" s="8"/>
      <c r="B838" s="8"/>
      <c r="C838" s="8"/>
      <c r="D838" s="8"/>
      <c r="E838" s="8"/>
      <c r="F838" s="8"/>
      <c r="G838" s="8"/>
      <c r="H838" s="8"/>
      <c r="I838" s="8"/>
      <c r="J838" s="8"/>
      <c r="K838" s="8"/>
      <c r="L838" s="8"/>
      <c r="M838" s="8"/>
      <c r="N838" s="8"/>
      <c r="O838" s="8"/>
      <c r="P838" s="8"/>
      <c r="Q838" s="8"/>
      <c r="R838" s="8"/>
      <c r="S838" s="8"/>
      <c r="T838" s="8"/>
      <c r="U838" s="12"/>
      <c r="V838" s="12"/>
      <c r="W838" s="12"/>
      <c r="X838" s="12"/>
      <c r="Y838" s="12"/>
      <c r="Z838" s="12"/>
      <c r="AA838" s="12"/>
      <c r="AB838" s="12"/>
      <c r="AC838" s="12"/>
      <c r="AD838" s="12"/>
      <c r="AE838" s="12"/>
      <c r="AF838" s="12"/>
    </row>
    <row r="839" spans="1:32">
      <c r="A839" s="8"/>
      <c r="B839" s="8"/>
      <c r="C839" s="8"/>
      <c r="D839" s="8"/>
      <c r="E839" s="8"/>
      <c r="F839" s="8"/>
      <c r="G839" s="8"/>
      <c r="H839" s="8"/>
      <c r="I839" s="8"/>
      <c r="J839" s="8"/>
      <c r="K839" s="8"/>
      <c r="L839" s="8"/>
      <c r="M839" s="8"/>
      <c r="N839" s="8"/>
      <c r="O839" s="8"/>
      <c r="P839" s="8"/>
      <c r="Q839" s="8"/>
      <c r="R839" s="8"/>
      <c r="S839" s="8"/>
      <c r="T839" s="8"/>
      <c r="U839" s="12"/>
      <c r="V839" s="12"/>
      <c r="W839" s="12"/>
      <c r="X839" s="12"/>
      <c r="Y839" s="12"/>
      <c r="Z839" s="12"/>
      <c r="AA839" s="12"/>
      <c r="AB839" s="12"/>
      <c r="AC839" s="12"/>
      <c r="AD839" s="12"/>
      <c r="AE839" s="12"/>
      <c r="AF839" s="12"/>
    </row>
    <row r="840" spans="1:32">
      <c r="A840" s="8"/>
      <c r="B840" s="8"/>
      <c r="C840" s="8"/>
      <c r="D840" s="8"/>
      <c r="E840" s="8"/>
      <c r="F840" s="8"/>
      <c r="G840" s="8"/>
      <c r="H840" s="8"/>
      <c r="I840" s="8"/>
      <c r="J840" s="8"/>
      <c r="K840" s="8"/>
      <c r="L840" s="8"/>
      <c r="M840" s="8"/>
      <c r="N840" s="8"/>
      <c r="O840" s="8"/>
      <c r="P840" s="8"/>
      <c r="Q840" s="8"/>
      <c r="R840" s="8"/>
      <c r="S840" s="8"/>
      <c r="T840" s="8"/>
      <c r="U840" s="12"/>
      <c r="V840" s="12"/>
      <c r="W840" s="12"/>
      <c r="X840" s="12"/>
      <c r="Y840" s="12"/>
      <c r="Z840" s="12"/>
      <c r="AA840" s="12"/>
      <c r="AB840" s="12"/>
      <c r="AC840" s="12"/>
      <c r="AD840" s="12"/>
      <c r="AE840" s="12"/>
      <c r="AF840" s="12"/>
    </row>
    <row r="841" spans="1:32">
      <c r="A841" s="8"/>
      <c r="B841" s="8"/>
      <c r="C841" s="8"/>
      <c r="D841" s="8"/>
      <c r="E841" s="8"/>
      <c r="F841" s="8"/>
      <c r="G841" s="8"/>
      <c r="H841" s="8"/>
      <c r="I841" s="8"/>
      <c r="J841" s="8"/>
      <c r="K841" s="8"/>
      <c r="L841" s="8"/>
      <c r="M841" s="8"/>
      <c r="N841" s="8"/>
      <c r="O841" s="8"/>
      <c r="P841" s="8"/>
      <c r="Q841" s="8"/>
      <c r="R841" s="8"/>
      <c r="S841" s="8"/>
      <c r="T841" s="8"/>
      <c r="U841" s="12"/>
      <c r="V841" s="12"/>
      <c r="W841" s="12"/>
      <c r="X841" s="12"/>
      <c r="Y841" s="12"/>
      <c r="Z841" s="12"/>
      <c r="AA841" s="12"/>
      <c r="AB841" s="12"/>
      <c r="AC841" s="12"/>
      <c r="AD841" s="12"/>
      <c r="AE841" s="12"/>
      <c r="AF841" s="12"/>
    </row>
    <row r="842" spans="1:32">
      <c r="A842" s="8"/>
      <c r="B842" s="8"/>
      <c r="C842" s="8"/>
      <c r="D842" s="8"/>
      <c r="E842" s="8"/>
      <c r="F842" s="8"/>
      <c r="G842" s="8"/>
      <c r="H842" s="8"/>
      <c r="I842" s="8"/>
      <c r="J842" s="8"/>
      <c r="K842" s="8"/>
      <c r="L842" s="8"/>
      <c r="M842" s="8"/>
      <c r="N842" s="8"/>
      <c r="O842" s="8"/>
      <c r="P842" s="8"/>
      <c r="Q842" s="8"/>
      <c r="R842" s="8"/>
      <c r="S842" s="8"/>
      <c r="T842" s="8"/>
      <c r="U842" s="12"/>
      <c r="V842" s="12"/>
      <c r="W842" s="12"/>
      <c r="X842" s="12"/>
      <c r="Y842" s="12"/>
      <c r="Z842" s="12"/>
      <c r="AA842" s="12"/>
      <c r="AB842" s="12"/>
      <c r="AC842" s="12"/>
      <c r="AD842" s="12"/>
      <c r="AE842" s="12"/>
      <c r="AF842" s="12"/>
    </row>
    <row r="843" spans="1:32">
      <c r="A843" s="8"/>
      <c r="B843" s="8"/>
      <c r="C843" s="8"/>
      <c r="D843" s="8"/>
      <c r="E843" s="8"/>
      <c r="F843" s="8"/>
      <c r="G843" s="8"/>
      <c r="H843" s="8"/>
      <c r="I843" s="8"/>
      <c r="J843" s="8"/>
      <c r="K843" s="8"/>
      <c r="L843" s="8"/>
      <c r="M843" s="8"/>
      <c r="N843" s="8"/>
      <c r="O843" s="8"/>
      <c r="P843" s="8"/>
      <c r="Q843" s="8"/>
      <c r="R843" s="8"/>
      <c r="S843" s="8"/>
      <c r="T843" s="8"/>
      <c r="U843" s="12"/>
      <c r="V843" s="12"/>
      <c r="W843" s="12"/>
      <c r="X843" s="12"/>
      <c r="Y843" s="12"/>
      <c r="Z843" s="12"/>
      <c r="AA843" s="12"/>
      <c r="AB843" s="12"/>
      <c r="AC843" s="12"/>
      <c r="AD843" s="12"/>
      <c r="AE843" s="12"/>
      <c r="AF843" s="12"/>
    </row>
    <row r="844" spans="1:32">
      <c r="A844" s="8"/>
      <c r="B844" s="8"/>
      <c r="C844" s="8"/>
      <c r="D844" s="8"/>
      <c r="E844" s="8"/>
      <c r="F844" s="8"/>
      <c r="G844" s="8"/>
      <c r="H844" s="8"/>
      <c r="I844" s="8"/>
      <c r="J844" s="8"/>
      <c r="K844" s="8"/>
      <c r="L844" s="8"/>
      <c r="M844" s="8"/>
      <c r="N844" s="8"/>
      <c r="O844" s="8"/>
      <c r="P844" s="8"/>
      <c r="Q844" s="8"/>
      <c r="R844" s="8"/>
      <c r="S844" s="8"/>
      <c r="T844" s="8"/>
      <c r="U844" s="12"/>
      <c r="V844" s="12"/>
      <c r="W844" s="12"/>
      <c r="X844" s="12"/>
      <c r="Y844" s="12"/>
      <c r="Z844" s="12"/>
      <c r="AA844" s="12"/>
      <c r="AB844" s="12"/>
      <c r="AC844" s="12"/>
      <c r="AD844" s="12"/>
      <c r="AE844" s="12"/>
      <c r="AF844" s="12"/>
    </row>
    <row r="845" spans="1:32">
      <c r="A845" s="8"/>
      <c r="B845" s="8"/>
      <c r="C845" s="8"/>
      <c r="D845" s="8"/>
      <c r="E845" s="8"/>
      <c r="F845" s="8"/>
      <c r="G845" s="8"/>
      <c r="H845" s="8"/>
      <c r="I845" s="8"/>
      <c r="J845" s="8"/>
      <c r="K845" s="8"/>
      <c r="L845" s="8"/>
      <c r="M845" s="8"/>
      <c r="N845" s="8"/>
      <c r="O845" s="8"/>
      <c r="P845" s="8"/>
      <c r="Q845" s="8"/>
      <c r="R845" s="8"/>
      <c r="S845" s="8"/>
      <c r="T845" s="8"/>
      <c r="U845" s="12"/>
      <c r="V845" s="12"/>
      <c r="W845" s="12"/>
      <c r="X845" s="12"/>
      <c r="Y845" s="12"/>
      <c r="Z845" s="12"/>
      <c r="AA845" s="12"/>
      <c r="AB845" s="12"/>
      <c r="AC845" s="12"/>
      <c r="AD845" s="12"/>
      <c r="AE845" s="12"/>
      <c r="AF845" s="12"/>
    </row>
    <row r="846" spans="1:32">
      <c r="A846" s="8"/>
      <c r="B846" s="8"/>
      <c r="C846" s="8"/>
      <c r="D846" s="8"/>
      <c r="E846" s="8"/>
      <c r="F846" s="8"/>
      <c r="G846" s="8"/>
      <c r="H846" s="8"/>
      <c r="I846" s="8"/>
      <c r="J846" s="8"/>
      <c r="K846" s="8"/>
      <c r="L846" s="8"/>
      <c r="M846" s="8"/>
      <c r="N846" s="8"/>
      <c r="O846" s="8"/>
      <c r="P846" s="8"/>
      <c r="Q846" s="8"/>
      <c r="R846" s="8"/>
      <c r="S846" s="8"/>
      <c r="T846" s="8"/>
      <c r="U846" s="12"/>
      <c r="V846" s="12"/>
      <c r="W846" s="12"/>
      <c r="X846" s="12"/>
      <c r="Y846" s="12"/>
      <c r="Z846" s="12"/>
      <c r="AA846" s="12"/>
      <c r="AB846" s="12"/>
      <c r="AC846" s="12"/>
      <c r="AD846" s="12"/>
      <c r="AE846" s="12"/>
      <c r="AF846" s="12"/>
    </row>
    <row r="847" spans="1:32">
      <c r="A847" s="8"/>
      <c r="B847" s="8"/>
      <c r="C847" s="8"/>
      <c r="D847" s="8"/>
      <c r="E847" s="8"/>
      <c r="F847" s="8"/>
      <c r="G847" s="8"/>
      <c r="H847" s="8"/>
      <c r="I847" s="8"/>
      <c r="J847" s="8"/>
      <c r="K847" s="8"/>
      <c r="L847" s="8"/>
      <c r="M847" s="8"/>
      <c r="N847" s="8"/>
      <c r="O847" s="8"/>
      <c r="P847" s="8"/>
      <c r="Q847" s="8"/>
      <c r="R847" s="8"/>
      <c r="S847" s="8"/>
      <c r="T847" s="8"/>
      <c r="U847" s="12"/>
      <c r="V847" s="12"/>
      <c r="W847" s="12"/>
      <c r="X847" s="12"/>
      <c r="Y847" s="12"/>
      <c r="Z847" s="12"/>
      <c r="AA847" s="12"/>
      <c r="AB847" s="12"/>
      <c r="AC847" s="12"/>
      <c r="AD847" s="12"/>
      <c r="AE847" s="12"/>
      <c r="AF847" s="12"/>
    </row>
    <row r="848" spans="1:32">
      <c r="A848" s="8"/>
      <c r="B848" s="8"/>
      <c r="C848" s="8"/>
      <c r="D848" s="8"/>
      <c r="E848" s="8"/>
      <c r="F848" s="8"/>
      <c r="G848" s="8"/>
      <c r="H848" s="8"/>
      <c r="I848" s="8"/>
      <c r="J848" s="8"/>
      <c r="K848" s="8"/>
      <c r="L848" s="8"/>
      <c r="M848" s="8"/>
      <c r="N848" s="8"/>
      <c r="O848" s="8"/>
      <c r="P848" s="8"/>
      <c r="Q848" s="8"/>
      <c r="R848" s="8"/>
      <c r="S848" s="8"/>
      <c r="T848" s="8"/>
      <c r="U848" s="12"/>
      <c r="V848" s="12"/>
      <c r="W848" s="12"/>
      <c r="X848" s="12"/>
      <c r="Y848" s="12"/>
      <c r="Z848" s="12"/>
      <c r="AA848" s="12"/>
      <c r="AB848" s="12"/>
      <c r="AC848" s="12"/>
      <c r="AD848" s="12"/>
      <c r="AE848" s="12"/>
      <c r="AF848" s="12"/>
    </row>
    <row r="849" spans="1:32">
      <c r="A849" s="8"/>
      <c r="B849" s="8"/>
      <c r="C849" s="8"/>
      <c r="D849" s="8"/>
      <c r="E849" s="8"/>
      <c r="F849" s="8"/>
      <c r="G849" s="8"/>
      <c r="H849" s="8"/>
      <c r="I849" s="8"/>
      <c r="J849" s="8"/>
      <c r="K849" s="8"/>
      <c r="L849" s="8"/>
      <c r="M849" s="8"/>
      <c r="N849" s="8"/>
      <c r="O849" s="8"/>
      <c r="P849" s="8"/>
      <c r="Q849" s="8"/>
      <c r="R849" s="8"/>
      <c r="S849" s="8"/>
      <c r="T849" s="8"/>
      <c r="U849" s="12"/>
      <c r="V849" s="12"/>
      <c r="W849" s="12"/>
      <c r="X849" s="12"/>
      <c r="Y849" s="12"/>
      <c r="Z849" s="12"/>
      <c r="AA849" s="12"/>
      <c r="AB849" s="12"/>
      <c r="AC849" s="12"/>
      <c r="AD849" s="12"/>
      <c r="AE849" s="12"/>
      <c r="AF849" s="12"/>
    </row>
    <row r="850" spans="1:32">
      <c r="A850" s="8"/>
      <c r="B850" s="8"/>
      <c r="C850" s="8"/>
      <c r="D850" s="8"/>
      <c r="E850" s="8"/>
      <c r="F850" s="8"/>
      <c r="G850" s="8"/>
      <c r="H850" s="8"/>
      <c r="I850" s="8"/>
      <c r="J850" s="8"/>
      <c r="K850" s="8"/>
      <c r="L850" s="8"/>
      <c r="M850" s="8"/>
      <c r="N850" s="8"/>
      <c r="O850" s="8"/>
      <c r="P850" s="8"/>
      <c r="Q850" s="8"/>
      <c r="R850" s="8"/>
      <c r="S850" s="8"/>
      <c r="T850" s="8"/>
      <c r="U850" s="12"/>
      <c r="V850" s="12"/>
      <c r="W850" s="12"/>
      <c r="X850" s="12"/>
      <c r="Y850" s="12"/>
      <c r="Z850" s="12"/>
      <c r="AA850" s="12"/>
      <c r="AB850" s="12"/>
      <c r="AC850" s="12"/>
      <c r="AD850" s="12"/>
      <c r="AE850" s="12"/>
      <c r="AF850" s="12"/>
    </row>
    <row r="851" spans="1:32">
      <c r="A851" s="8"/>
      <c r="B851" s="8"/>
      <c r="C851" s="8"/>
      <c r="D851" s="8"/>
      <c r="E851" s="8"/>
      <c r="F851" s="8"/>
      <c r="G851" s="8"/>
      <c r="H851" s="8"/>
      <c r="I851" s="8"/>
      <c r="J851" s="8"/>
      <c r="K851" s="8"/>
      <c r="L851" s="8"/>
      <c r="M851" s="8"/>
      <c r="N851" s="8"/>
      <c r="O851" s="8"/>
      <c r="P851" s="8"/>
      <c r="Q851" s="8"/>
      <c r="R851" s="8"/>
      <c r="S851" s="8"/>
      <c r="T851" s="8"/>
      <c r="U851" s="12"/>
      <c r="V851" s="12"/>
      <c r="W851" s="12"/>
      <c r="X851" s="12"/>
      <c r="Y851" s="12"/>
      <c r="Z851" s="12"/>
      <c r="AA851" s="12"/>
      <c r="AB851" s="12"/>
      <c r="AC851" s="12"/>
      <c r="AD851" s="12"/>
      <c r="AE851" s="12"/>
      <c r="AF851" s="12"/>
    </row>
    <row r="852" spans="1:32">
      <c r="A852" s="8"/>
      <c r="B852" s="8"/>
      <c r="C852" s="8"/>
      <c r="D852" s="8"/>
      <c r="E852" s="8"/>
      <c r="F852" s="8"/>
      <c r="G852" s="8"/>
      <c r="H852" s="8"/>
      <c r="I852" s="8"/>
      <c r="J852" s="8"/>
      <c r="K852" s="8"/>
      <c r="L852" s="8"/>
      <c r="M852" s="8"/>
      <c r="N852" s="8"/>
      <c r="O852" s="8"/>
      <c r="P852" s="8"/>
      <c r="Q852" s="8"/>
      <c r="R852" s="8"/>
      <c r="S852" s="8"/>
      <c r="T852" s="8"/>
      <c r="U852" s="12"/>
      <c r="V852" s="12"/>
      <c r="W852" s="12"/>
      <c r="X852" s="12"/>
      <c r="Y852" s="12"/>
      <c r="Z852" s="12"/>
      <c r="AA852" s="12"/>
      <c r="AB852" s="12"/>
      <c r="AC852" s="12"/>
      <c r="AD852" s="12"/>
      <c r="AE852" s="12"/>
      <c r="AF852" s="12"/>
    </row>
    <row r="853" spans="1:32">
      <c r="A853" s="8"/>
      <c r="B853" s="8"/>
      <c r="C853" s="8"/>
      <c r="D853" s="8"/>
      <c r="E853" s="8"/>
      <c r="F853" s="8"/>
      <c r="G853" s="8"/>
      <c r="H853" s="8"/>
      <c r="I853" s="8"/>
      <c r="J853" s="8"/>
      <c r="K853" s="8"/>
      <c r="L853" s="8"/>
      <c r="M853" s="8"/>
      <c r="N853" s="8"/>
      <c r="O853" s="8"/>
      <c r="P853" s="8"/>
      <c r="Q853" s="8"/>
      <c r="R853" s="8"/>
      <c r="S853" s="8"/>
      <c r="T853" s="8"/>
      <c r="U853" s="12"/>
      <c r="V853" s="12"/>
      <c r="W853" s="12"/>
      <c r="X853" s="12"/>
      <c r="Y853" s="12"/>
      <c r="Z853" s="12"/>
      <c r="AA853" s="12"/>
      <c r="AB853" s="12"/>
      <c r="AC853" s="12"/>
      <c r="AD853" s="12"/>
      <c r="AE853" s="12"/>
      <c r="AF853" s="12"/>
    </row>
    <row r="854" spans="1:32">
      <c r="A854" s="8"/>
      <c r="B854" s="8"/>
      <c r="C854" s="8"/>
      <c r="D854" s="8"/>
      <c r="E854" s="8"/>
      <c r="F854" s="8"/>
      <c r="G854" s="8"/>
      <c r="H854" s="8"/>
      <c r="I854" s="8"/>
      <c r="J854" s="8"/>
      <c r="K854" s="8"/>
      <c r="L854" s="8"/>
      <c r="M854" s="8"/>
      <c r="N854" s="8"/>
      <c r="O854" s="8"/>
      <c r="P854" s="8"/>
      <c r="Q854" s="8"/>
      <c r="R854" s="8"/>
      <c r="S854" s="8"/>
      <c r="T854" s="8"/>
      <c r="U854" s="12"/>
      <c r="V854" s="12"/>
      <c r="W854" s="12"/>
      <c r="X854" s="12"/>
      <c r="Y854" s="12"/>
      <c r="Z854" s="12"/>
      <c r="AA854" s="12"/>
      <c r="AB854" s="12"/>
      <c r="AC854" s="12"/>
      <c r="AD854" s="12"/>
      <c r="AE854" s="12"/>
      <c r="AF854" s="12"/>
    </row>
    <row r="855" spans="1:32">
      <c r="A855" s="8"/>
      <c r="B855" s="8"/>
      <c r="C855" s="8"/>
      <c r="D855" s="8"/>
      <c r="E855" s="8"/>
      <c r="F855" s="8"/>
      <c r="G855" s="8"/>
      <c r="H855" s="8"/>
      <c r="I855" s="8"/>
      <c r="J855" s="8"/>
      <c r="K855" s="8"/>
      <c r="L855" s="8"/>
      <c r="M855" s="8"/>
      <c r="N855" s="8"/>
      <c r="O855" s="8"/>
      <c r="P855" s="8"/>
      <c r="Q855" s="8"/>
      <c r="R855" s="8"/>
      <c r="S855" s="8"/>
      <c r="T855" s="8"/>
      <c r="U855" s="12"/>
      <c r="V855" s="12"/>
      <c r="W855" s="12"/>
      <c r="X855" s="12"/>
      <c r="Y855" s="12"/>
      <c r="Z855" s="12"/>
      <c r="AA855" s="12"/>
      <c r="AB855" s="12"/>
      <c r="AC855" s="12"/>
      <c r="AD855" s="12"/>
      <c r="AE855" s="12"/>
      <c r="AF855" s="12"/>
    </row>
    <row r="856" spans="1:32">
      <c r="A856" s="8"/>
      <c r="B856" s="8"/>
      <c r="C856" s="8"/>
      <c r="D856" s="8"/>
      <c r="E856" s="8"/>
      <c r="F856" s="8"/>
      <c r="G856" s="8"/>
      <c r="H856" s="8"/>
      <c r="I856" s="8"/>
      <c r="J856" s="8"/>
      <c r="K856" s="8"/>
      <c r="L856" s="8"/>
      <c r="M856" s="8"/>
      <c r="N856" s="8"/>
      <c r="O856" s="8"/>
      <c r="P856" s="8"/>
      <c r="Q856" s="8"/>
      <c r="R856" s="8"/>
      <c r="S856" s="8"/>
      <c r="T856" s="8"/>
      <c r="U856" s="12"/>
      <c r="V856" s="12"/>
      <c r="W856" s="12"/>
      <c r="X856" s="12"/>
      <c r="Y856" s="12"/>
      <c r="Z856" s="12"/>
      <c r="AA856" s="12"/>
      <c r="AB856" s="12"/>
      <c r="AC856" s="12"/>
      <c r="AD856" s="12"/>
      <c r="AE856" s="12"/>
      <c r="AF856" s="12"/>
    </row>
    <row r="857" spans="1:32">
      <c r="A857" s="8"/>
      <c r="B857" s="8"/>
      <c r="C857" s="8"/>
      <c r="D857" s="8"/>
      <c r="E857" s="8"/>
      <c r="F857" s="8"/>
      <c r="G857" s="8"/>
      <c r="H857" s="8"/>
      <c r="I857" s="8"/>
      <c r="J857" s="8"/>
      <c r="K857" s="8"/>
      <c r="L857" s="8"/>
      <c r="M857" s="8"/>
      <c r="N857" s="8"/>
      <c r="O857" s="8"/>
      <c r="P857" s="8"/>
      <c r="Q857" s="8"/>
      <c r="R857" s="8"/>
      <c r="S857" s="8"/>
      <c r="T857" s="8"/>
      <c r="U857" s="12"/>
      <c r="V857" s="12"/>
      <c r="W857" s="12"/>
      <c r="X857" s="12"/>
      <c r="Y857" s="12"/>
      <c r="Z857" s="12"/>
      <c r="AA857" s="12"/>
      <c r="AB857" s="12"/>
      <c r="AC857" s="12"/>
      <c r="AD857" s="12"/>
      <c r="AE857" s="12"/>
      <c r="AF857" s="12"/>
    </row>
    <row r="858" spans="1:32">
      <c r="A858" s="8"/>
      <c r="B858" s="8"/>
      <c r="C858" s="8"/>
      <c r="D858" s="8"/>
      <c r="E858" s="8"/>
      <c r="F858" s="8"/>
      <c r="G858" s="8"/>
      <c r="H858" s="8"/>
      <c r="I858" s="8"/>
      <c r="J858" s="8"/>
      <c r="K858" s="8"/>
      <c r="L858" s="8"/>
      <c r="M858" s="8"/>
      <c r="N858" s="8"/>
      <c r="O858" s="8"/>
      <c r="P858" s="8"/>
      <c r="Q858" s="8"/>
      <c r="R858" s="8"/>
      <c r="S858" s="8"/>
      <c r="T858" s="8"/>
      <c r="U858" s="12"/>
      <c r="V858" s="12"/>
      <c r="W858" s="12"/>
      <c r="X858" s="12"/>
      <c r="Y858" s="12"/>
      <c r="Z858" s="12"/>
      <c r="AA858" s="12"/>
      <c r="AB858" s="12"/>
      <c r="AC858" s="12"/>
      <c r="AD858" s="12"/>
      <c r="AE858" s="12"/>
      <c r="AF858" s="12"/>
    </row>
    <row r="859" spans="1:32">
      <c r="A859" s="8"/>
      <c r="B859" s="8"/>
      <c r="C859" s="8"/>
      <c r="D859" s="8"/>
      <c r="E859" s="8"/>
      <c r="F859" s="8"/>
      <c r="G859" s="8"/>
      <c r="H859" s="8"/>
      <c r="I859" s="8"/>
      <c r="J859" s="8"/>
      <c r="K859" s="8"/>
      <c r="L859" s="8"/>
      <c r="M859" s="8"/>
      <c r="N859" s="8"/>
      <c r="O859" s="8"/>
      <c r="P859" s="8"/>
      <c r="Q859" s="8"/>
      <c r="R859" s="8"/>
      <c r="S859" s="8"/>
      <c r="T859" s="8"/>
      <c r="U859" s="12"/>
      <c r="V859" s="12"/>
      <c r="W859" s="12"/>
      <c r="X859" s="12"/>
      <c r="Y859" s="12"/>
      <c r="Z859" s="12"/>
      <c r="AA859" s="12"/>
      <c r="AB859" s="12"/>
      <c r="AC859" s="12"/>
      <c r="AD859" s="12"/>
      <c r="AE859" s="12"/>
      <c r="AF859" s="12"/>
    </row>
    <row r="860" spans="1:32">
      <c r="A860" s="8"/>
      <c r="B860" s="8"/>
      <c r="C860" s="8"/>
      <c r="D860" s="8"/>
      <c r="E860" s="8"/>
      <c r="F860" s="8"/>
      <c r="G860" s="8"/>
      <c r="H860" s="8"/>
      <c r="I860" s="8"/>
      <c r="J860" s="8"/>
      <c r="K860" s="8"/>
      <c r="L860" s="8"/>
      <c r="M860" s="8"/>
      <c r="N860" s="8"/>
      <c r="O860" s="8"/>
      <c r="P860" s="8"/>
      <c r="Q860" s="8"/>
      <c r="R860" s="8"/>
      <c r="S860" s="8"/>
      <c r="T860" s="8"/>
      <c r="U860" s="12"/>
      <c r="V860" s="12"/>
      <c r="W860" s="12"/>
      <c r="X860" s="12"/>
      <c r="Y860" s="12"/>
      <c r="Z860" s="12"/>
      <c r="AA860" s="12"/>
      <c r="AB860" s="12"/>
      <c r="AC860" s="12"/>
      <c r="AD860" s="12"/>
      <c r="AE860" s="12"/>
      <c r="AF860" s="12"/>
    </row>
    <row r="861" spans="1:32">
      <c r="A861" s="8"/>
      <c r="B861" s="8"/>
      <c r="C861" s="8"/>
      <c r="D861" s="8"/>
      <c r="E861" s="8"/>
      <c r="F861" s="8"/>
      <c r="G861" s="8"/>
      <c r="H861" s="8"/>
      <c r="I861" s="8"/>
      <c r="J861" s="8"/>
      <c r="K861" s="8"/>
      <c r="L861" s="8"/>
      <c r="M861" s="8"/>
      <c r="N861" s="8"/>
      <c r="O861" s="8"/>
      <c r="P861" s="8"/>
      <c r="Q861" s="8"/>
      <c r="R861" s="8"/>
      <c r="S861" s="8"/>
      <c r="T861" s="8"/>
      <c r="U861" s="12"/>
      <c r="V861" s="12"/>
      <c r="W861" s="12"/>
      <c r="X861" s="12"/>
      <c r="Y861" s="12"/>
      <c r="Z861" s="12"/>
      <c r="AA861" s="12"/>
      <c r="AB861" s="12"/>
      <c r="AC861" s="12"/>
      <c r="AD861" s="12"/>
      <c r="AE861" s="12"/>
      <c r="AF861" s="12"/>
    </row>
    <row r="862" spans="1:32">
      <c r="A862" s="8"/>
      <c r="B862" s="8"/>
      <c r="C862" s="8"/>
      <c r="D862" s="8"/>
      <c r="E862" s="8"/>
      <c r="F862" s="8"/>
      <c r="G862" s="8"/>
      <c r="H862" s="8"/>
      <c r="I862" s="8"/>
      <c r="J862" s="8"/>
      <c r="K862" s="8"/>
      <c r="L862" s="8"/>
      <c r="M862" s="8"/>
      <c r="N862" s="8"/>
      <c r="O862" s="8"/>
      <c r="P862" s="8"/>
      <c r="Q862" s="8"/>
      <c r="R862" s="8"/>
      <c r="S862" s="8"/>
      <c r="T862" s="8"/>
      <c r="U862" s="12"/>
      <c r="V862" s="12"/>
      <c r="W862" s="12"/>
      <c r="X862" s="12"/>
      <c r="Y862" s="12"/>
      <c r="Z862" s="12"/>
      <c r="AA862" s="12"/>
      <c r="AB862" s="12"/>
      <c r="AC862" s="12"/>
      <c r="AD862" s="12"/>
      <c r="AE862" s="12"/>
      <c r="AF862" s="12"/>
    </row>
    <row r="863" spans="1:32">
      <c r="A863" s="8"/>
      <c r="B863" s="8"/>
      <c r="C863" s="8"/>
      <c r="D863" s="8"/>
      <c r="E863" s="8"/>
      <c r="F863" s="8"/>
      <c r="G863" s="8"/>
      <c r="H863" s="8"/>
      <c r="I863" s="8"/>
      <c r="J863" s="8"/>
      <c r="K863" s="8"/>
      <c r="L863" s="8"/>
      <c r="M863" s="8"/>
      <c r="N863" s="8"/>
      <c r="O863" s="8"/>
      <c r="P863" s="8"/>
      <c r="Q863" s="8"/>
      <c r="R863" s="8"/>
      <c r="S863" s="8"/>
      <c r="T863" s="8"/>
      <c r="U863" s="12"/>
      <c r="V863" s="12"/>
      <c r="W863" s="12"/>
      <c r="X863" s="12"/>
      <c r="Y863" s="12"/>
      <c r="Z863" s="12"/>
      <c r="AA863" s="12"/>
      <c r="AB863" s="12"/>
      <c r="AC863" s="12"/>
      <c r="AD863" s="12"/>
      <c r="AE863" s="12"/>
      <c r="AF863" s="12"/>
    </row>
    <row r="864" spans="1:32">
      <c r="A864" s="8"/>
      <c r="B864" s="8"/>
      <c r="C864" s="8"/>
      <c r="D864" s="8"/>
      <c r="E864" s="8"/>
      <c r="F864" s="8"/>
      <c r="G864" s="8"/>
      <c r="H864" s="8"/>
      <c r="I864" s="8"/>
      <c r="J864" s="8"/>
      <c r="K864" s="8"/>
      <c r="L864" s="8"/>
      <c r="M864" s="8"/>
      <c r="N864" s="8"/>
      <c r="O864" s="8"/>
      <c r="P864" s="8"/>
      <c r="Q864" s="8"/>
      <c r="R864" s="8"/>
      <c r="S864" s="8"/>
      <c r="T864" s="8"/>
      <c r="U864" s="12"/>
      <c r="V864" s="12"/>
      <c r="W864" s="12"/>
      <c r="X864" s="12"/>
      <c r="Y864" s="12"/>
      <c r="Z864" s="12"/>
      <c r="AA864" s="12"/>
      <c r="AB864" s="12"/>
      <c r="AC864" s="12"/>
      <c r="AD864" s="12"/>
      <c r="AE864" s="12"/>
      <c r="AF864" s="12"/>
    </row>
    <row r="865" spans="1:32">
      <c r="A865" s="8"/>
      <c r="B865" s="8"/>
      <c r="C865" s="8"/>
      <c r="D865" s="8"/>
      <c r="E865" s="8"/>
      <c r="F865" s="8"/>
      <c r="G865" s="8"/>
      <c r="H865" s="8"/>
      <c r="I865" s="8"/>
      <c r="J865" s="8"/>
      <c r="K865" s="8"/>
      <c r="L865" s="8"/>
      <c r="M865" s="8"/>
      <c r="N865" s="8"/>
      <c r="O865" s="8"/>
      <c r="P865" s="8"/>
      <c r="Q865" s="8"/>
      <c r="R865" s="8"/>
      <c r="S865" s="8"/>
      <c r="T865" s="8"/>
      <c r="U865" s="12"/>
      <c r="V865" s="12"/>
      <c r="W865" s="12"/>
      <c r="X865" s="12"/>
      <c r="Y865" s="12"/>
      <c r="Z865" s="12"/>
      <c r="AA865" s="12"/>
      <c r="AB865" s="12"/>
      <c r="AC865" s="12"/>
      <c r="AD865" s="12"/>
      <c r="AE865" s="12"/>
      <c r="AF865" s="12"/>
    </row>
    <row r="866" spans="1:32">
      <c r="A866" s="8"/>
      <c r="B866" s="8"/>
      <c r="C866" s="8"/>
      <c r="D866" s="8"/>
      <c r="E866" s="8"/>
      <c r="F866" s="8"/>
      <c r="G866" s="8"/>
      <c r="H866" s="8"/>
      <c r="I866" s="8"/>
      <c r="J866" s="8"/>
      <c r="K866" s="8"/>
      <c r="L866" s="8"/>
      <c r="M866" s="8"/>
      <c r="N866" s="8"/>
      <c r="O866" s="8"/>
      <c r="P866" s="8"/>
      <c r="Q866" s="8"/>
      <c r="R866" s="8"/>
      <c r="S866" s="8"/>
      <c r="T866" s="8"/>
      <c r="U866" s="12"/>
      <c r="V866" s="12"/>
      <c r="W866" s="12"/>
      <c r="X866" s="12"/>
      <c r="Y866" s="12"/>
      <c r="Z866" s="12"/>
      <c r="AA866" s="12"/>
      <c r="AB866" s="12"/>
      <c r="AC866" s="12"/>
      <c r="AD866" s="12"/>
      <c r="AE866" s="12"/>
      <c r="AF866" s="12"/>
    </row>
    <row r="867" spans="1:32">
      <c r="A867" s="8"/>
      <c r="B867" s="8"/>
      <c r="C867" s="8"/>
      <c r="D867" s="8"/>
      <c r="E867" s="8"/>
      <c r="F867" s="8"/>
      <c r="G867" s="8"/>
      <c r="H867" s="8"/>
      <c r="I867" s="8"/>
      <c r="J867" s="8"/>
      <c r="K867" s="8"/>
      <c r="L867" s="8"/>
      <c r="M867" s="8"/>
      <c r="N867" s="8"/>
      <c r="O867" s="8"/>
      <c r="P867" s="8"/>
      <c r="Q867" s="8"/>
      <c r="R867" s="8"/>
      <c r="S867" s="8"/>
      <c r="T867" s="8"/>
      <c r="U867" s="12"/>
      <c r="V867" s="12"/>
      <c r="W867" s="12"/>
      <c r="X867" s="12"/>
      <c r="Y867" s="12"/>
      <c r="Z867" s="12"/>
      <c r="AA867" s="12"/>
      <c r="AB867" s="12"/>
      <c r="AC867" s="12"/>
      <c r="AD867" s="12"/>
      <c r="AE867" s="12"/>
      <c r="AF867" s="12"/>
    </row>
    <row r="868" spans="1:32">
      <c r="A868" s="8"/>
      <c r="B868" s="8"/>
      <c r="C868" s="8"/>
      <c r="D868" s="8"/>
      <c r="E868" s="8"/>
      <c r="F868" s="8"/>
      <c r="G868" s="8"/>
      <c r="H868" s="8"/>
      <c r="I868" s="8"/>
      <c r="J868" s="8"/>
      <c r="K868" s="8"/>
      <c r="L868" s="8"/>
      <c r="M868" s="8"/>
      <c r="N868" s="8"/>
      <c r="O868" s="8"/>
      <c r="P868" s="8"/>
      <c r="Q868" s="8"/>
      <c r="R868" s="8"/>
      <c r="S868" s="8"/>
      <c r="T868" s="8"/>
      <c r="U868" s="12"/>
      <c r="V868" s="12"/>
      <c r="W868" s="12"/>
      <c r="X868" s="12"/>
      <c r="Y868" s="12"/>
      <c r="Z868" s="12"/>
      <c r="AA868" s="12"/>
      <c r="AB868" s="12"/>
      <c r="AC868" s="12"/>
      <c r="AD868" s="12"/>
      <c r="AE868" s="12"/>
      <c r="AF868" s="12"/>
    </row>
    <row r="869" spans="1:32">
      <c r="A869" s="8"/>
      <c r="B869" s="8"/>
      <c r="C869" s="8"/>
      <c r="D869" s="8"/>
      <c r="E869" s="8"/>
      <c r="F869" s="8"/>
      <c r="G869" s="8"/>
      <c r="H869" s="8"/>
      <c r="I869" s="8"/>
      <c r="J869" s="8"/>
      <c r="K869" s="8"/>
      <c r="L869" s="8"/>
      <c r="M869" s="8"/>
      <c r="N869" s="8"/>
      <c r="O869" s="8"/>
      <c r="P869" s="8"/>
      <c r="Q869" s="8"/>
      <c r="R869" s="8"/>
      <c r="S869" s="8"/>
      <c r="T869" s="8"/>
      <c r="U869" s="12"/>
      <c r="V869" s="12"/>
      <c r="W869" s="12"/>
      <c r="X869" s="12"/>
      <c r="Y869" s="12"/>
      <c r="Z869" s="12"/>
      <c r="AA869" s="12"/>
      <c r="AB869" s="12"/>
      <c r="AC869" s="12"/>
      <c r="AD869" s="12"/>
      <c r="AE869" s="12"/>
      <c r="AF869" s="12"/>
    </row>
    <row r="870" spans="1:32">
      <c r="A870" s="8"/>
      <c r="B870" s="8"/>
      <c r="C870" s="8"/>
      <c r="D870" s="8"/>
      <c r="E870" s="8"/>
      <c r="F870" s="8"/>
      <c r="G870" s="8"/>
      <c r="H870" s="8"/>
      <c r="I870" s="8"/>
      <c r="J870" s="8"/>
      <c r="K870" s="8"/>
      <c r="L870" s="8"/>
      <c r="M870" s="8"/>
      <c r="N870" s="8"/>
      <c r="O870" s="8"/>
      <c r="P870" s="8"/>
      <c r="Q870" s="8"/>
      <c r="R870" s="8"/>
      <c r="S870" s="8"/>
      <c r="T870" s="8"/>
      <c r="U870" s="12"/>
      <c r="V870" s="12"/>
      <c r="W870" s="12"/>
      <c r="X870" s="12"/>
      <c r="Y870" s="12"/>
      <c r="Z870" s="12"/>
      <c r="AA870" s="12"/>
      <c r="AB870" s="12"/>
      <c r="AC870" s="12"/>
      <c r="AD870" s="12"/>
      <c r="AE870" s="12"/>
      <c r="AF870" s="12"/>
    </row>
    <row r="871" spans="1:32">
      <c r="A871" s="8"/>
      <c r="B871" s="8"/>
      <c r="C871" s="8"/>
      <c r="D871" s="8"/>
      <c r="E871" s="8"/>
      <c r="F871" s="8"/>
      <c r="G871" s="8"/>
      <c r="H871" s="8"/>
      <c r="I871" s="8"/>
      <c r="J871" s="8"/>
      <c r="K871" s="8"/>
      <c r="L871" s="8"/>
      <c r="M871" s="8"/>
      <c r="N871" s="8"/>
      <c r="O871" s="8"/>
      <c r="P871" s="8"/>
      <c r="Q871" s="8"/>
      <c r="R871" s="8"/>
      <c r="S871" s="8"/>
      <c r="T871" s="8"/>
      <c r="U871" s="12"/>
      <c r="V871" s="12"/>
      <c r="W871" s="12"/>
      <c r="X871" s="12"/>
      <c r="Y871" s="12"/>
      <c r="Z871" s="12"/>
      <c r="AA871" s="12"/>
      <c r="AB871" s="12"/>
      <c r="AC871" s="12"/>
      <c r="AD871" s="12"/>
      <c r="AE871" s="12"/>
      <c r="AF871" s="12"/>
    </row>
    <row r="872" spans="1:32">
      <c r="A872" s="8"/>
      <c r="B872" s="8"/>
      <c r="C872" s="8"/>
      <c r="D872" s="8"/>
      <c r="E872" s="8"/>
      <c r="F872" s="8"/>
      <c r="G872" s="8"/>
      <c r="H872" s="8"/>
      <c r="I872" s="8"/>
      <c r="J872" s="8"/>
      <c r="K872" s="8"/>
      <c r="L872" s="8"/>
      <c r="M872" s="8"/>
      <c r="N872" s="8"/>
      <c r="O872" s="8"/>
      <c r="P872" s="8"/>
      <c r="Q872" s="8"/>
      <c r="R872" s="8"/>
      <c r="S872" s="8"/>
      <c r="T872" s="8"/>
      <c r="U872" s="12"/>
      <c r="V872" s="12"/>
      <c r="W872" s="12"/>
      <c r="X872" s="12"/>
      <c r="Y872" s="12"/>
      <c r="Z872" s="12"/>
      <c r="AA872" s="12"/>
      <c r="AB872" s="12"/>
      <c r="AC872" s="12"/>
      <c r="AD872" s="12"/>
      <c r="AE872" s="12"/>
      <c r="AF872" s="12"/>
    </row>
    <row r="873" spans="1:32">
      <c r="A873" s="8"/>
      <c r="B873" s="8"/>
      <c r="C873" s="8"/>
      <c r="D873" s="8"/>
      <c r="E873" s="8"/>
      <c r="F873" s="8"/>
      <c r="G873" s="8"/>
      <c r="H873" s="8"/>
      <c r="I873" s="8"/>
      <c r="J873" s="8"/>
      <c r="K873" s="8"/>
      <c r="L873" s="8"/>
      <c r="M873" s="8"/>
      <c r="N873" s="8"/>
      <c r="O873" s="8"/>
      <c r="P873" s="8"/>
      <c r="Q873" s="8"/>
      <c r="R873" s="8"/>
      <c r="S873" s="8"/>
      <c r="T873" s="8"/>
      <c r="U873" s="12"/>
      <c r="V873" s="12"/>
      <c r="W873" s="12"/>
      <c r="X873" s="12"/>
      <c r="Y873" s="12"/>
      <c r="Z873" s="12"/>
      <c r="AA873" s="12"/>
      <c r="AB873" s="12"/>
      <c r="AC873" s="12"/>
      <c r="AD873" s="12"/>
      <c r="AE873" s="12"/>
      <c r="AF873" s="12"/>
    </row>
    <row r="874" spans="1:32">
      <c r="A874" s="8"/>
      <c r="B874" s="8"/>
      <c r="C874" s="8"/>
      <c r="D874" s="8"/>
      <c r="E874" s="8"/>
      <c r="F874" s="8"/>
      <c r="G874" s="8"/>
      <c r="H874" s="8"/>
      <c r="I874" s="8"/>
      <c r="J874" s="8"/>
      <c r="K874" s="8"/>
      <c r="L874" s="8"/>
      <c r="M874" s="8"/>
      <c r="N874" s="8"/>
      <c r="O874" s="8"/>
      <c r="P874" s="8"/>
      <c r="Q874" s="8"/>
      <c r="R874" s="8"/>
      <c r="S874" s="8"/>
      <c r="T874" s="8"/>
      <c r="U874" s="12"/>
      <c r="V874" s="12"/>
      <c r="W874" s="12"/>
      <c r="X874" s="12"/>
      <c r="Y874" s="12"/>
      <c r="Z874" s="12"/>
      <c r="AA874" s="12"/>
      <c r="AB874" s="12"/>
      <c r="AC874" s="12"/>
      <c r="AD874" s="12"/>
      <c r="AE874" s="12"/>
      <c r="AF874" s="12"/>
    </row>
    <row r="875" spans="1:32">
      <c r="A875" s="8"/>
      <c r="B875" s="8"/>
      <c r="C875" s="8"/>
      <c r="D875" s="8"/>
      <c r="E875" s="8"/>
      <c r="F875" s="8"/>
      <c r="G875" s="8"/>
      <c r="H875" s="8"/>
      <c r="I875" s="8"/>
      <c r="J875" s="8"/>
      <c r="K875" s="8"/>
      <c r="L875" s="8"/>
      <c r="M875" s="8"/>
      <c r="N875" s="8"/>
      <c r="O875" s="8"/>
      <c r="P875" s="8"/>
      <c r="Q875" s="8"/>
      <c r="R875" s="8"/>
      <c r="S875" s="8"/>
      <c r="T875" s="8"/>
      <c r="U875" s="12"/>
      <c r="V875" s="12"/>
      <c r="W875" s="12"/>
      <c r="X875" s="12"/>
      <c r="Y875" s="12"/>
      <c r="Z875" s="12"/>
      <c r="AA875" s="12"/>
      <c r="AB875" s="12"/>
      <c r="AC875" s="12"/>
      <c r="AD875" s="12"/>
      <c r="AE875" s="12"/>
      <c r="AF875" s="12"/>
    </row>
    <row r="876" spans="1:32">
      <c r="A876" s="8"/>
      <c r="B876" s="8"/>
      <c r="C876" s="8"/>
      <c r="D876" s="8"/>
      <c r="E876" s="8"/>
      <c r="F876" s="8"/>
      <c r="G876" s="8"/>
      <c r="H876" s="8"/>
      <c r="I876" s="8"/>
      <c r="J876" s="8"/>
      <c r="K876" s="8"/>
      <c r="L876" s="8"/>
      <c r="M876" s="8"/>
      <c r="N876" s="8"/>
      <c r="O876" s="8"/>
      <c r="P876" s="8"/>
      <c r="Q876" s="8"/>
      <c r="R876" s="8"/>
      <c r="S876" s="8"/>
      <c r="T876" s="8"/>
      <c r="U876" s="12"/>
      <c r="V876" s="12"/>
      <c r="W876" s="12"/>
      <c r="X876" s="12"/>
      <c r="Y876" s="12"/>
      <c r="Z876" s="12"/>
      <c r="AA876" s="12"/>
      <c r="AB876" s="12"/>
      <c r="AC876" s="12"/>
      <c r="AD876" s="12"/>
      <c r="AE876" s="12"/>
      <c r="AF876" s="12"/>
    </row>
    <row r="877" spans="1:32">
      <c r="A877" s="8"/>
      <c r="B877" s="8"/>
      <c r="C877" s="8"/>
      <c r="D877" s="8"/>
      <c r="E877" s="8"/>
      <c r="F877" s="8"/>
      <c r="G877" s="8"/>
      <c r="H877" s="8"/>
      <c r="I877" s="8"/>
      <c r="J877" s="8"/>
      <c r="K877" s="8"/>
      <c r="L877" s="8"/>
      <c r="M877" s="8"/>
      <c r="N877" s="8"/>
      <c r="O877" s="8"/>
      <c r="P877" s="8"/>
      <c r="Q877" s="8"/>
      <c r="R877" s="8"/>
      <c r="S877" s="8"/>
      <c r="T877" s="8"/>
      <c r="U877" s="12"/>
      <c r="V877" s="12"/>
      <c r="W877" s="12"/>
      <c r="X877" s="12"/>
      <c r="Y877" s="12"/>
      <c r="Z877" s="12"/>
      <c r="AA877" s="12"/>
      <c r="AB877" s="12"/>
      <c r="AC877" s="12"/>
      <c r="AD877" s="12"/>
      <c r="AE877" s="12"/>
      <c r="AF877" s="12"/>
    </row>
    <row r="878" spans="1:32">
      <c r="A878" s="8"/>
      <c r="B878" s="8"/>
      <c r="C878" s="8"/>
      <c r="D878" s="8"/>
      <c r="E878" s="8"/>
      <c r="F878" s="8"/>
      <c r="G878" s="8"/>
      <c r="H878" s="8"/>
      <c r="I878" s="8"/>
      <c r="J878" s="8"/>
      <c r="K878" s="8"/>
      <c r="L878" s="8"/>
      <c r="M878" s="8"/>
      <c r="N878" s="8"/>
      <c r="O878" s="8"/>
      <c r="P878" s="8"/>
      <c r="Q878" s="8"/>
      <c r="R878" s="8"/>
      <c r="S878" s="8"/>
      <c r="T878" s="8"/>
      <c r="U878" s="12"/>
      <c r="V878" s="12"/>
      <c r="W878" s="12"/>
      <c r="X878" s="12"/>
      <c r="Y878" s="12"/>
      <c r="Z878" s="12"/>
      <c r="AA878" s="12"/>
      <c r="AB878" s="12"/>
      <c r="AC878" s="12"/>
      <c r="AD878" s="12"/>
      <c r="AE878" s="12"/>
      <c r="AF878" s="12"/>
    </row>
    <row r="879" spans="1:32">
      <c r="A879" s="8"/>
      <c r="B879" s="8"/>
      <c r="C879" s="8"/>
      <c r="D879" s="8"/>
      <c r="E879" s="8"/>
      <c r="F879" s="8"/>
      <c r="G879" s="8"/>
      <c r="H879" s="8"/>
      <c r="I879" s="8"/>
      <c r="J879" s="8"/>
      <c r="K879" s="8"/>
      <c r="L879" s="8"/>
      <c r="M879" s="8"/>
      <c r="N879" s="8"/>
      <c r="O879" s="8"/>
      <c r="P879" s="8"/>
      <c r="Q879" s="8"/>
      <c r="R879" s="8"/>
      <c r="S879" s="8"/>
      <c r="T879" s="8"/>
      <c r="U879" s="12"/>
      <c r="V879" s="12"/>
      <c r="W879" s="12"/>
      <c r="X879" s="12"/>
      <c r="Y879" s="12"/>
      <c r="Z879" s="12"/>
      <c r="AA879" s="12"/>
      <c r="AB879" s="12"/>
      <c r="AC879" s="12"/>
      <c r="AD879" s="12"/>
      <c r="AE879" s="12"/>
      <c r="AF879" s="12"/>
    </row>
    <row r="880" spans="1:32">
      <c r="A880" s="8"/>
      <c r="B880" s="8"/>
      <c r="C880" s="8"/>
      <c r="D880" s="8"/>
      <c r="E880" s="8"/>
      <c r="F880" s="8"/>
      <c r="G880" s="8"/>
      <c r="H880" s="8"/>
      <c r="I880" s="8"/>
      <c r="J880" s="8"/>
      <c r="K880" s="8"/>
      <c r="L880" s="8"/>
      <c r="M880" s="8"/>
      <c r="N880" s="8"/>
      <c r="O880" s="8"/>
      <c r="P880" s="8"/>
      <c r="Q880" s="8"/>
      <c r="R880" s="8"/>
      <c r="S880" s="8"/>
      <c r="T880" s="8"/>
      <c r="U880" s="12"/>
      <c r="V880" s="12"/>
      <c r="W880" s="12"/>
      <c r="X880" s="12"/>
      <c r="Y880" s="12"/>
      <c r="Z880" s="12"/>
      <c r="AA880" s="12"/>
      <c r="AB880" s="12"/>
      <c r="AC880" s="12"/>
      <c r="AD880" s="12"/>
      <c r="AE880" s="12"/>
      <c r="AF880" s="12"/>
    </row>
    <row r="881" spans="1:32">
      <c r="A881" s="8"/>
      <c r="B881" s="8"/>
      <c r="C881" s="8"/>
      <c r="D881" s="8"/>
      <c r="E881" s="8"/>
      <c r="F881" s="8"/>
      <c r="G881" s="8"/>
      <c r="H881" s="8"/>
      <c r="I881" s="8"/>
      <c r="J881" s="8"/>
      <c r="K881" s="8"/>
      <c r="L881" s="8"/>
      <c r="M881" s="8"/>
      <c r="N881" s="8"/>
      <c r="O881" s="8"/>
      <c r="P881" s="8"/>
      <c r="Q881" s="8"/>
      <c r="R881" s="8"/>
      <c r="S881" s="8"/>
      <c r="T881" s="8"/>
      <c r="U881" s="12"/>
      <c r="V881" s="12"/>
      <c r="W881" s="12"/>
      <c r="X881" s="12"/>
      <c r="Y881" s="12"/>
      <c r="Z881" s="12"/>
      <c r="AA881" s="12"/>
      <c r="AB881" s="12"/>
      <c r="AC881" s="12"/>
      <c r="AD881" s="12"/>
      <c r="AE881" s="12"/>
      <c r="AF881" s="12"/>
    </row>
    <row r="882" spans="1:32">
      <c r="A882" s="8"/>
      <c r="B882" s="8"/>
      <c r="C882" s="8"/>
      <c r="D882" s="8"/>
      <c r="E882" s="8"/>
      <c r="F882" s="8"/>
      <c r="G882" s="8"/>
      <c r="H882" s="8"/>
      <c r="I882" s="8"/>
      <c r="J882" s="8"/>
      <c r="K882" s="8"/>
      <c r="L882" s="8"/>
      <c r="M882" s="8"/>
      <c r="N882" s="8"/>
      <c r="O882" s="8"/>
      <c r="P882" s="8"/>
      <c r="Q882" s="8"/>
      <c r="R882" s="8"/>
      <c r="S882" s="8"/>
      <c r="T882" s="8"/>
      <c r="U882" s="12"/>
      <c r="V882" s="12"/>
      <c r="W882" s="12"/>
      <c r="X882" s="12"/>
      <c r="Y882" s="12"/>
      <c r="Z882" s="12"/>
      <c r="AA882" s="12"/>
      <c r="AB882" s="12"/>
      <c r="AC882" s="12"/>
      <c r="AD882" s="12"/>
      <c r="AE882" s="12"/>
      <c r="AF882" s="12"/>
    </row>
    <row r="883" spans="1:32">
      <c r="A883" s="8"/>
      <c r="B883" s="8"/>
      <c r="C883" s="8"/>
      <c r="D883" s="8"/>
      <c r="E883" s="8"/>
      <c r="F883" s="8"/>
      <c r="G883" s="8"/>
      <c r="H883" s="8"/>
      <c r="I883" s="8"/>
      <c r="J883" s="8"/>
      <c r="K883" s="8"/>
      <c r="L883" s="8"/>
      <c r="M883" s="8"/>
      <c r="N883" s="8"/>
      <c r="O883" s="8"/>
      <c r="P883" s="8"/>
      <c r="Q883" s="8"/>
      <c r="R883" s="8"/>
      <c r="S883" s="8"/>
      <c r="T883" s="8"/>
      <c r="U883" s="12"/>
      <c r="V883" s="12"/>
      <c r="W883" s="12"/>
      <c r="X883" s="12"/>
      <c r="Y883" s="12"/>
      <c r="Z883" s="12"/>
      <c r="AA883" s="12"/>
      <c r="AB883" s="12"/>
      <c r="AC883" s="12"/>
      <c r="AD883" s="12"/>
      <c r="AE883" s="12"/>
      <c r="AF883" s="12"/>
    </row>
    <row r="884" spans="1:32">
      <c r="A884" s="8"/>
      <c r="B884" s="8"/>
      <c r="C884" s="8"/>
      <c r="D884" s="8"/>
      <c r="E884" s="8"/>
      <c r="F884" s="8"/>
      <c r="G884" s="8"/>
      <c r="H884" s="8"/>
      <c r="I884" s="8"/>
      <c r="J884" s="8"/>
      <c r="K884" s="8"/>
      <c r="L884" s="8"/>
      <c r="M884" s="8"/>
      <c r="N884" s="8"/>
      <c r="O884" s="8"/>
      <c r="P884" s="8"/>
      <c r="Q884" s="8"/>
      <c r="R884" s="8"/>
      <c r="S884" s="8"/>
      <c r="T884" s="8"/>
      <c r="U884" s="12"/>
      <c r="V884" s="12"/>
      <c r="W884" s="12"/>
      <c r="X884" s="12"/>
      <c r="Y884" s="12"/>
      <c r="Z884" s="12"/>
      <c r="AA884" s="12"/>
      <c r="AB884" s="12"/>
      <c r="AC884" s="12"/>
      <c r="AD884" s="12"/>
      <c r="AE884" s="12"/>
      <c r="AF884" s="12"/>
    </row>
    <row r="885" spans="1:32">
      <c r="A885" s="8"/>
      <c r="B885" s="8"/>
      <c r="C885" s="8"/>
      <c r="D885" s="8"/>
      <c r="E885" s="8"/>
      <c r="F885" s="8"/>
      <c r="G885" s="8"/>
      <c r="H885" s="8"/>
      <c r="I885" s="8"/>
      <c r="J885" s="8"/>
      <c r="K885" s="8"/>
      <c r="L885" s="8"/>
      <c r="M885" s="8"/>
      <c r="N885" s="8"/>
      <c r="O885" s="8"/>
      <c r="P885" s="8"/>
      <c r="Q885" s="8"/>
      <c r="R885" s="8"/>
      <c r="S885" s="8"/>
      <c r="T885" s="8"/>
      <c r="U885" s="12"/>
      <c r="V885" s="12"/>
      <c r="W885" s="12"/>
      <c r="X885" s="12"/>
      <c r="Y885" s="12"/>
      <c r="Z885" s="12"/>
      <c r="AA885" s="12"/>
      <c r="AB885" s="12"/>
      <c r="AC885" s="12"/>
      <c r="AD885" s="12"/>
      <c r="AE885" s="12"/>
      <c r="AF885" s="12"/>
    </row>
    <row r="886" spans="1:32">
      <c r="A886" s="8"/>
      <c r="B886" s="8"/>
      <c r="C886" s="8"/>
      <c r="D886" s="8"/>
      <c r="E886" s="8"/>
      <c r="F886" s="8"/>
      <c r="G886" s="8"/>
      <c r="H886" s="8"/>
      <c r="I886" s="8"/>
      <c r="J886" s="8"/>
      <c r="K886" s="8"/>
      <c r="L886" s="8"/>
      <c r="M886" s="8"/>
      <c r="N886" s="8"/>
      <c r="O886" s="8"/>
      <c r="P886" s="8"/>
      <c r="Q886" s="8"/>
      <c r="R886" s="8"/>
      <c r="S886" s="8"/>
      <c r="T886" s="8"/>
      <c r="U886" s="12"/>
      <c r="V886" s="12"/>
      <c r="W886" s="12"/>
      <c r="X886" s="12"/>
      <c r="Y886" s="12"/>
      <c r="Z886" s="12"/>
      <c r="AA886" s="12"/>
      <c r="AB886" s="12"/>
      <c r="AC886" s="12"/>
      <c r="AD886" s="12"/>
      <c r="AE886" s="12"/>
      <c r="AF886" s="12"/>
    </row>
    <row r="887" spans="1:32">
      <c r="A887" s="8"/>
      <c r="B887" s="8"/>
      <c r="C887" s="8"/>
      <c r="D887" s="8"/>
      <c r="E887" s="8"/>
      <c r="F887" s="8"/>
      <c r="G887" s="8"/>
      <c r="H887" s="8"/>
      <c r="I887" s="8"/>
      <c r="J887" s="8"/>
      <c r="K887" s="8"/>
      <c r="L887" s="8"/>
      <c r="M887" s="8"/>
      <c r="N887" s="8"/>
      <c r="O887" s="8"/>
      <c r="P887" s="8"/>
      <c r="Q887" s="8"/>
      <c r="R887" s="8"/>
      <c r="S887" s="8"/>
      <c r="T887" s="8"/>
      <c r="U887" s="12"/>
      <c r="V887" s="12"/>
      <c r="W887" s="12"/>
      <c r="X887" s="12"/>
      <c r="Y887" s="12"/>
      <c r="Z887" s="12"/>
      <c r="AA887" s="12"/>
      <c r="AB887" s="12"/>
      <c r="AC887" s="12"/>
      <c r="AD887" s="12"/>
      <c r="AE887" s="12"/>
      <c r="AF887" s="12"/>
    </row>
    <row r="888" spans="1:32">
      <c r="A888" s="8"/>
      <c r="B888" s="8"/>
      <c r="C888" s="8"/>
      <c r="D888" s="8"/>
      <c r="E888" s="8"/>
      <c r="F888" s="8"/>
      <c r="G888" s="8"/>
      <c r="H888" s="8"/>
      <c r="I888" s="8"/>
      <c r="J888" s="8"/>
      <c r="K888" s="8"/>
      <c r="L888" s="8"/>
      <c r="M888" s="8"/>
      <c r="N888" s="8"/>
      <c r="O888" s="8"/>
      <c r="P888" s="8"/>
      <c r="Q888" s="8"/>
      <c r="R888" s="8"/>
      <c r="S888" s="8"/>
      <c r="T888" s="8"/>
      <c r="U888" s="12"/>
      <c r="V888" s="12"/>
      <c r="W888" s="12"/>
      <c r="X888" s="12"/>
      <c r="Y888" s="12"/>
      <c r="Z888" s="12"/>
      <c r="AA888" s="12"/>
      <c r="AB888" s="12"/>
      <c r="AC888" s="12"/>
      <c r="AD888" s="12"/>
      <c r="AE888" s="12"/>
      <c r="AF888" s="12"/>
    </row>
    <row r="889" spans="1:32">
      <c r="A889" s="8"/>
      <c r="B889" s="8"/>
      <c r="C889" s="8"/>
      <c r="D889" s="8"/>
      <c r="E889" s="8"/>
      <c r="F889" s="8"/>
      <c r="G889" s="8"/>
      <c r="H889" s="8"/>
      <c r="I889" s="8"/>
      <c r="J889" s="8"/>
      <c r="K889" s="8"/>
      <c r="L889" s="8"/>
      <c r="M889" s="8"/>
      <c r="N889" s="8"/>
      <c r="O889" s="8"/>
      <c r="P889" s="8"/>
      <c r="Q889" s="8"/>
      <c r="R889" s="8"/>
      <c r="S889" s="8"/>
      <c r="T889" s="8"/>
      <c r="U889" s="12"/>
      <c r="V889" s="12"/>
      <c r="W889" s="12"/>
      <c r="X889" s="12"/>
      <c r="Y889" s="12"/>
      <c r="Z889" s="12"/>
      <c r="AA889" s="12"/>
      <c r="AB889" s="12"/>
      <c r="AC889" s="12"/>
      <c r="AD889" s="12"/>
      <c r="AE889" s="12"/>
      <c r="AF889" s="12"/>
    </row>
    <row r="890" spans="1:32">
      <c r="A890" s="8"/>
      <c r="B890" s="8"/>
      <c r="C890" s="8"/>
      <c r="D890" s="8"/>
      <c r="E890" s="8"/>
      <c r="F890" s="8"/>
      <c r="G890" s="8"/>
      <c r="H890" s="8"/>
      <c r="I890" s="8"/>
      <c r="J890" s="8"/>
      <c r="K890" s="8"/>
      <c r="L890" s="8"/>
      <c r="M890" s="8"/>
      <c r="N890" s="8"/>
      <c r="O890" s="8"/>
      <c r="P890" s="8"/>
      <c r="Q890" s="8"/>
      <c r="R890" s="8"/>
      <c r="S890" s="8"/>
      <c r="T890" s="8"/>
      <c r="U890" s="12"/>
      <c r="V890" s="12"/>
      <c r="W890" s="12"/>
      <c r="X890" s="12"/>
      <c r="Y890" s="12"/>
      <c r="Z890" s="12"/>
      <c r="AA890" s="12"/>
      <c r="AB890" s="12"/>
      <c r="AC890" s="12"/>
      <c r="AD890" s="12"/>
      <c r="AE890" s="12"/>
      <c r="AF890" s="12"/>
    </row>
    <row r="891" spans="1:32">
      <c r="A891" s="8"/>
      <c r="B891" s="8"/>
      <c r="C891" s="8"/>
      <c r="D891" s="8"/>
      <c r="E891" s="8"/>
      <c r="F891" s="8"/>
      <c r="G891" s="8"/>
      <c r="H891" s="8"/>
      <c r="I891" s="8"/>
      <c r="J891" s="8"/>
      <c r="K891" s="8"/>
      <c r="L891" s="8"/>
      <c r="M891" s="8"/>
      <c r="N891" s="8"/>
      <c r="O891" s="8"/>
      <c r="P891" s="8"/>
      <c r="Q891" s="8"/>
      <c r="R891" s="8"/>
      <c r="S891" s="8"/>
      <c r="T891" s="8"/>
      <c r="U891" s="12"/>
      <c r="V891" s="12"/>
      <c r="W891" s="12"/>
      <c r="X891" s="12"/>
      <c r="Y891" s="12"/>
      <c r="Z891" s="12"/>
      <c r="AA891" s="12"/>
      <c r="AB891" s="12"/>
      <c r="AC891" s="12"/>
      <c r="AD891" s="12"/>
      <c r="AE891" s="12"/>
      <c r="AF891" s="12"/>
    </row>
    <row r="892" spans="1:32">
      <c r="A892" s="8"/>
      <c r="B892" s="8"/>
      <c r="C892" s="8"/>
      <c r="D892" s="8"/>
      <c r="E892" s="8"/>
      <c r="F892" s="8"/>
      <c r="G892" s="8"/>
      <c r="H892" s="8"/>
      <c r="I892" s="8"/>
      <c r="J892" s="8"/>
      <c r="K892" s="8"/>
      <c r="L892" s="8"/>
      <c r="M892" s="8"/>
      <c r="N892" s="8"/>
      <c r="O892" s="8"/>
      <c r="P892" s="8"/>
      <c r="Q892" s="8"/>
      <c r="R892" s="8"/>
      <c r="S892" s="8"/>
      <c r="T892" s="8"/>
      <c r="U892" s="12"/>
      <c r="V892" s="12"/>
      <c r="W892" s="12"/>
      <c r="X892" s="12"/>
      <c r="Y892" s="12"/>
      <c r="Z892" s="12"/>
      <c r="AA892" s="12"/>
      <c r="AB892" s="12"/>
      <c r="AC892" s="12"/>
      <c r="AD892" s="12"/>
      <c r="AE892" s="12"/>
      <c r="AF892" s="12"/>
    </row>
    <row r="893" spans="1:32">
      <c r="A893" s="8"/>
      <c r="B893" s="8"/>
      <c r="C893" s="8"/>
      <c r="D893" s="8"/>
      <c r="E893" s="8"/>
      <c r="F893" s="8"/>
      <c r="G893" s="8"/>
      <c r="H893" s="8"/>
      <c r="I893" s="8"/>
      <c r="J893" s="8"/>
      <c r="K893" s="8"/>
      <c r="L893" s="8"/>
      <c r="M893" s="8"/>
      <c r="N893" s="8"/>
      <c r="O893" s="8"/>
      <c r="P893" s="8"/>
      <c r="Q893" s="8"/>
      <c r="R893" s="8"/>
      <c r="S893" s="8"/>
      <c r="T893" s="8"/>
      <c r="U893" s="12"/>
      <c r="V893" s="12"/>
      <c r="W893" s="12"/>
      <c r="X893" s="12"/>
      <c r="Y893" s="12"/>
      <c r="Z893" s="12"/>
      <c r="AA893" s="12"/>
      <c r="AB893" s="12"/>
      <c r="AC893" s="12"/>
      <c r="AD893" s="12"/>
      <c r="AE893" s="12"/>
      <c r="AF893" s="12"/>
    </row>
    <row r="894" spans="1:32">
      <c r="A894" s="8"/>
      <c r="B894" s="8"/>
      <c r="C894" s="8"/>
      <c r="D894" s="8"/>
      <c r="E894" s="8"/>
      <c r="F894" s="8"/>
      <c r="G894" s="8"/>
      <c r="H894" s="8"/>
      <c r="I894" s="8"/>
      <c r="J894" s="8"/>
      <c r="K894" s="8"/>
      <c r="L894" s="8"/>
      <c r="M894" s="8"/>
      <c r="N894" s="8"/>
      <c r="O894" s="8"/>
      <c r="P894" s="8"/>
      <c r="Q894" s="8"/>
      <c r="R894" s="8"/>
      <c r="S894" s="8"/>
      <c r="T894" s="8"/>
      <c r="U894" s="12"/>
      <c r="V894" s="12"/>
      <c r="W894" s="12"/>
      <c r="X894" s="12"/>
      <c r="Y894" s="12"/>
      <c r="Z894" s="12"/>
      <c r="AA894" s="12"/>
      <c r="AB894" s="12"/>
      <c r="AC894" s="12"/>
      <c r="AD894" s="12"/>
      <c r="AE894" s="12"/>
      <c r="AF894" s="12"/>
    </row>
    <row r="895" spans="1:32">
      <c r="A895" s="8"/>
      <c r="B895" s="8"/>
      <c r="C895" s="8"/>
      <c r="D895" s="8"/>
      <c r="E895" s="8"/>
      <c r="F895" s="8"/>
      <c r="G895" s="8"/>
      <c r="H895" s="8"/>
      <c r="I895" s="8"/>
      <c r="J895" s="8"/>
      <c r="K895" s="8"/>
      <c r="L895" s="8"/>
      <c r="M895" s="8"/>
      <c r="N895" s="8"/>
      <c r="O895" s="8"/>
      <c r="P895" s="8"/>
      <c r="Q895" s="8"/>
      <c r="R895" s="8"/>
      <c r="S895" s="8"/>
      <c r="T895" s="8"/>
      <c r="U895" s="12"/>
      <c r="V895" s="12"/>
      <c r="W895" s="12"/>
      <c r="X895" s="12"/>
      <c r="Y895" s="12"/>
      <c r="Z895" s="12"/>
      <c r="AA895" s="12"/>
      <c r="AB895" s="12"/>
      <c r="AC895" s="12"/>
      <c r="AD895" s="12"/>
      <c r="AE895" s="12"/>
      <c r="AF895" s="12"/>
    </row>
    <row r="896" spans="1:32">
      <c r="A896" s="8"/>
      <c r="B896" s="8"/>
      <c r="C896" s="8"/>
      <c r="D896" s="8"/>
      <c r="E896" s="8"/>
      <c r="F896" s="8"/>
      <c r="G896" s="8"/>
      <c r="H896" s="8"/>
      <c r="I896" s="8"/>
      <c r="J896" s="8"/>
      <c r="K896" s="8"/>
      <c r="L896" s="8"/>
      <c r="M896" s="8"/>
      <c r="N896" s="8"/>
      <c r="O896" s="8"/>
      <c r="P896" s="8"/>
      <c r="Q896" s="8"/>
      <c r="R896" s="8"/>
      <c r="S896" s="8"/>
      <c r="T896" s="8"/>
      <c r="U896" s="12"/>
      <c r="V896" s="12"/>
      <c r="W896" s="12"/>
      <c r="X896" s="12"/>
      <c r="Y896" s="12"/>
      <c r="Z896" s="12"/>
      <c r="AA896" s="12"/>
      <c r="AB896" s="12"/>
      <c r="AC896" s="12"/>
      <c r="AD896" s="12"/>
      <c r="AE896" s="12"/>
      <c r="AF896" s="12"/>
    </row>
    <row r="897" spans="1:32">
      <c r="A897" s="8"/>
      <c r="B897" s="8"/>
      <c r="C897" s="8"/>
      <c r="D897" s="8"/>
      <c r="E897" s="8"/>
      <c r="F897" s="8"/>
      <c r="G897" s="8"/>
      <c r="H897" s="8"/>
      <c r="I897" s="8"/>
      <c r="J897" s="8"/>
      <c r="K897" s="8"/>
      <c r="L897" s="8"/>
      <c r="M897" s="8"/>
      <c r="N897" s="8"/>
      <c r="O897" s="8"/>
      <c r="P897" s="8"/>
      <c r="Q897" s="8"/>
      <c r="R897" s="8"/>
      <c r="S897" s="8"/>
      <c r="T897" s="8"/>
      <c r="U897" s="12"/>
      <c r="V897" s="12"/>
      <c r="W897" s="12"/>
      <c r="X897" s="12"/>
      <c r="Y897" s="12"/>
      <c r="Z897" s="12"/>
      <c r="AA897" s="12"/>
      <c r="AB897" s="12"/>
      <c r="AC897" s="12"/>
      <c r="AD897" s="12"/>
      <c r="AE897" s="12"/>
      <c r="AF897" s="12"/>
    </row>
    <row r="898" spans="1:32">
      <c r="A898" s="8"/>
      <c r="B898" s="8"/>
      <c r="C898" s="8"/>
      <c r="D898" s="8"/>
      <c r="E898" s="8"/>
      <c r="F898" s="8"/>
      <c r="G898" s="8"/>
      <c r="H898" s="8"/>
      <c r="I898" s="8"/>
      <c r="J898" s="8"/>
      <c r="K898" s="8"/>
      <c r="L898" s="8"/>
      <c r="M898" s="8"/>
      <c r="N898" s="8"/>
      <c r="O898" s="8"/>
      <c r="P898" s="8"/>
      <c r="Q898" s="8"/>
      <c r="R898" s="8"/>
      <c r="S898" s="8"/>
      <c r="T898" s="8"/>
      <c r="U898" s="12"/>
      <c r="V898" s="12"/>
      <c r="W898" s="12"/>
      <c r="X898" s="12"/>
      <c r="Y898" s="12"/>
      <c r="Z898" s="12"/>
      <c r="AA898" s="12"/>
      <c r="AB898" s="12"/>
      <c r="AC898" s="12"/>
      <c r="AD898" s="12"/>
      <c r="AE898" s="12"/>
      <c r="AF898" s="12"/>
    </row>
    <row r="899" spans="1:32">
      <c r="A899" s="8"/>
      <c r="B899" s="8"/>
      <c r="C899" s="8"/>
      <c r="D899" s="8"/>
      <c r="E899" s="8"/>
      <c r="F899" s="8"/>
      <c r="G899" s="8"/>
      <c r="H899" s="8"/>
      <c r="I899" s="8"/>
      <c r="J899" s="8"/>
      <c r="K899" s="8"/>
      <c r="L899" s="8"/>
      <c r="M899" s="8"/>
      <c r="N899" s="8"/>
      <c r="O899" s="8"/>
      <c r="P899" s="8"/>
      <c r="Q899" s="8"/>
      <c r="R899" s="8"/>
      <c r="S899" s="8"/>
      <c r="T899" s="8"/>
      <c r="U899" s="12"/>
      <c r="V899" s="12"/>
      <c r="W899" s="12"/>
      <c r="X899" s="12"/>
      <c r="Y899" s="12"/>
      <c r="Z899" s="12"/>
      <c r="AA899" s="12"/>
      <c r="AB899" s="12"/>
      <c r="AC899" s="12"/>
      <c r="AD899" s="12"/>
      <c r="AE899" s="12"/>
      <c r="AF899" s="12"/>
    </row>
    <row r="900" spans="1:32">
      <c r="A900" s="8"/>
      <c r="B900" s="8"/>
      <c r="C900" s="8"/>
      <c r="D900" s="8"/>
      <c r="E900" s="8"/>
      <c r="F900" s="8"/>
      <c r="G900" s="8"/>
      <c r="H900" s="8"/>
      <c r="I900" s="8"/>
      <c r="J900" s="8"/>
      <c r="K900" s="8"/>
      <c r="L900" s="8"/>
      <c r="M900" s="8"/>
      <c r="N900" s="8"/>
      <c r="O900" s="8"/>
      <c r="P900" s="8"/>
      <c r="Q900" s="8"/>
      <c r="R900" s="8"/>
      <c r="S900" s="8"/>
      <c r="T900" s="8"/>
      <c r="U900" s="12"/>
      <c r="V900" s="12"/>
      <c r="W900" s="12"/>
      <c r="X900" s="12"/>
      <c r="Y900" s="12"/>
      <c r="Z900" s="12"/>
      <c r="AA900" s="12"/>
      <c r="AB900" s="12"/>
      <c r="AC900" s="12"/>
      <c r="AD900" s="12"/>
      <c r="AE900" s="12"/>
      <c r="AF900" s="12"/>
    </row>
    <row r="901" spans="1:32">
      <c r="A901" s="8"/>
      <c r="B901" s="8"/>
      <c r="C901" s="8"/>
      <c r="D901" s="8"/>
      <c r="E901" s="8"/>
      <c r="F901" s="8"/>
      <c r="G901" s="8"/>
      <c r="H901" s="8"/>
      <c r="I901" s="8"/>
      <c r="J901" s="8"/>
      <c r="K901" s="8"/>
      <c r="L901" s="8"/>
      <c r="M901" s="8"/>
      <c r="N901" s="8"/>
      <c r="O901" s="8"/>
      <c r="P901" s="8"/>
      <c r="Q901" s="8"/>
      <c r="R901" s="8"/>
      <c r="S901" s="8"/>
      <c r="T901" s="8"/>
      <c r="U901" s="12"/>
      <c r="V901" s="12"/>
      <c r="W901" s="12"/>
      <c r="X901" s="12"/>
      <c r="Y901" s="12"/>
      <c r="Z901" s="12"/>
      <c r="AA901" s="12"/>
      <c r="AB901" s="12"/>
      <c r="AC901" s="12"/>
      <c r="AD901" s="12"/>
      <c r="AE901" s="12"/>
      <c r="AF901" s="12"/>
    </row>
    <row r="902" spans="1:32">
      <c r="A902" s="8"/>
      <c r="B902" s="8"/>
      <c r="C902" s="8"/>
      <c r="D902" s="8"/>
      <c r="E902" s="8"/>
      <c r="F902" s="8"/>
      <c r="G902" s="8"/>
      <c r="H902" s="8"/>
      <c r="I902" s="8"/>
      <c r="J902" s="8"/>
      <c r="K902" s="8"/>
      <c r="L902" s="8"/>
      <c r="M902" s="8"/>
      <c r="N902" s="8"/>
      <c r="O902" s="8"/>
      <c r="P902" s="8"/>
      <c r="Q902" s="8"/>
      <c r="R902" s="8"/>
      <c r="S902" s="8"/>
      <c r="T902" s="8"/>
      <c r="U902" s="12"/>
      <c r="V902" s="12"/>
      <c r="W902" s="12"/>
      <c r="X902" s="12"/>
      <c r="Y902" s="12"/>
      <c r="Z902" s="12"/>
      <c r="AA902" s="12"/>
      <c r="AB902" s="12"/>
      <c r="AC902" s="12"/>
      <c r="AD902" s="12"/>
      <c r="AE902" s="12"/>
      <c r="AF902" s="12"/>
    </row>
    <row r="903" spans="1:32">
      <c r="A903" s="8"/>
      <c r="B903" s="8"/>
      <c r="C903" s="8"/>
      <c r="D903" s="8"/>
      <c r="E903" s="8"/>
      <c r="F903" s="8"/>
      <c r="G903" s="8"/>
      <c r="H903" s="8"/>
      <c r="I903" s="8"/>
      <c r="J903" s="8"/>
      <c r="K903" s="8"/>
      <c r="L903" s="8"/>
      <c r="M903" s="8"/>
      <c r="N903" s="8"/>
      <c r="O903" s="8"/>
      <c r="P903" s="8"/>
      <c r="Q903" s="8"/>
      <c r="R903" s="8"/>
      <c r="S903" s="8"/>
      <c r="T903" s="8"/>
      <c r="U903" s="12"/>
      <c r="V903" s="12"/>
      <c r="W903" s="12"/>
      <c r="X903" s="12"/>
      <c r="Y903" s="12"/>
      <c r="Z903" s="12"/>
      <c r="AA903" s="12"/>
      <c r="AB903" s="12"/>
      <c r="AC903" s="12"/>
      <c r="AD903" s="12"/>
      <c r="AE903" s="12"/>
      <c r="AF903" s="12"/>
    </row>
    <row r="904" spans="1:32">
      <c r="A904" s="8"/>
      <c r="B904" s="8"/>
      <c r="C904" s="8"/>
      <c r="D904" s="8"/>
      <c r="E904" s="8"/>
      <c r="F904" s="8"/>
      <c r="G904" s="8"/>
      <c r="H904" s="8"/>
      <c r="I904" s="8"/>
      <c r="J904" s="8"/>
      <c r="K904" s="8"/>
      <c r="L904" s="8"/>
      <c r="M904" s="8"/>
      <c r="N904" s="8"/>
      <c r="O904" s="8"/>
      <c r="P904" s="8"/>
      <c r="Q904" s="8"/>
      <c r="R904" s="8"/>
      <c r="S904" s="8"/>
      <c r="T904" s="8"/>
      <c r="U904" s="12"/>
      <c r="V904" s="12"/>
      <c r="W904" s="12"/>
      <c r="X904" s="12"/>
      <c r="Y904" s="12"/>
      <c r="Z904" s="12"/>
      <c r="AA904" s="12"/>
      <c r="AB904" s="12"/>
      <c r="AC904" s="12"/>
      <c r="AD904" s="12"/>
      <c r="AE904" s="12"/>
      <c r="AF904" s="12"/>
    </row>
    <row r="905" spans="1:32">
      <c r="A905" s="8"/>
      <c r="B905" s="8"/>
      <c r="C905" s="8"/>
      <c r="D905" s="8"/>
      <c r="E905" s="8"/>
      <c r="F905" s="8"/>
      <c r="G905" s="8"/>
      <c r="H905" s="8"/>
      <c r="I905" s="8"/>
      <c r="J905" s="8"/>
      <c r="K905" s="8"/>
      <c r="L905" s="8"/>
      <c r="M905" s="8"/>
      <c r="N905" s="8"/>
      <c r="O905" s="8"/>
      <c r="P905" s="8"/>
      <c r="Q905" s="8"/>
      <c r="R905" s="8"/>
      <c r="S905" s="8"/>
      <c r="T905" s="8"/>
      <c r="U905" s="12"/>
      <c r="V905" s="12"/>
      <c r="W905" s="12"/>
      <c r="X905" s="12"/>
      <c r="Y905" s="12"/>
      <c r="Z905" s="12"/>
      <c r="AA905" s="12"/>
      <c r="AB905" s="12"/>
      <c r="AC905" s="12"/>
      <c r="AD905" s="12"/>
      <c r="AE905" s="12"/>
      <c r="AF905" s="12"/>
    </row>
    <row r="906" spans="1:32">
      <c r="A906" s="8"/>
      <c r="B906" s="8"/>
      <c r="C906" s="8"/>
      <c r="D906" s="8"/>
      <c r="E906" s="8"/>
      <c r="F906" s="8"/>
      <c r="G906" s="8"/>
      <c r="H906" s="8"/>
      <c r="I906" s="8"/>
      <c r="J906" s="8"/>
      <c r="K906" s="8"/>
      <c r="L906" s="8"/>
      <c r="M906" s="8"/>
      <c r="N906" s="8"/>
      <c r="O906" s="8"/>
      <c r="P906" s="8"/>
      <c r="Q906" s="8"/>
      <c r="R906" s="8"/>
      <c r="S906" s="8"/>
      <c r="T906" s="8"/>
      <c r="U906" s="12"/>
      <c r="V906" s="12"/>
      <c r="W906" s="12"/>
      <c r="X906" s="12"/>
      <c r="Y906" s="12"/>
      <c r="Z906" s="12"/>
      <c r="AA906" s="12"/>
      <c r="AB906" s="12"/>
      <c r="AC906" s="12"/>
      <c r="AD906" s="12"/>
      <c r="AE906" s="12"/>
      <c r="AF906" s="12"/>
    </row>
    <row r="907" spans="1:32">
      <c r="A907" s="8"/>
      <c r="B907" s="8"/>
      <c r="C907" s="8"/>
      <c r="D907" s="8"/>
      <c r="E907" s="8"/>
      <c r="F907" s="8"/>
      <c r="G907" s="8"/>
      <c r="H907" s="8"/>
      <c r="I907" s="8"/>
      <c r="J907" s="8"/>
      <c r="K907" s="8"/>
      <c r="L907" s="8"/>
      <c r="M907" s="8"/>
      <c r="N907" s="8"/>
      <c r="O907" s="8"/>
      <c r="P907" s="8"/>
      <c r="Q907" s="8"/>
      <c r="R907" s="8"/>
      <c r="S907" s="8"/>
      <c r="T907" s="8"/>
      <c r="U907" s="12"/>
      <c r="V907" s="12"/>
      <c r="W907" s="12"/>
      <c r="X907" s="12"/>
      <c r="Y907" s="12"/>
      <c r="Z907" s="12"/>
      <c r="AA907" s="12"/>
      <c r="AB907" s="12"/>
      <c r="AC907" s="12"/>
      <c r="AD907" s="12"/>
      <c r="AE907" s="12"/>
      <c r="AF907" s="12"/>
    </row>
    <row r="908" spans="1:32">
      <c r="A908" s="8"/>
      <c r="B908" s="8"/>
      <c r="C908" s="8"/>
      <c r="D908" s="8"/>
      <c r="E908" s="8"/>
      <c r="F908" s="8"/>
      <c r="G908" s="8"/>
      <c r="H908" s="8"/>
      <c r="I908" s="8"/>
      <c r="J908" s="8"/>
      <c r="K908" s="8"/>
      <c r="L908" s="8"/>
      <c r="M908" s="8"/>
      <c r="N908" s="8"/>
      <c r="O908" s="8"/>
      <c r="P908" s="8"/>
      <c r="Q908" s="8"/>
      <c r="R908" s="8"/>
      <c r="S908" s="8"/>
      <c r="T908" s="8"/>
      <c r="U908" s="12"/>
      <c r="V908" s="12"/>
      <c r="W908" s="12"/>
      <c r="X908" s="12"/>
      <c r="Y908" s="12"/>
      <c r="Z908" s="12"/>
      <c r="AA908" s="12"/>
      <c r="AB908" s="12"/>
      <c r="AC908" s="12"/>
      <c r="AD908" s="12"/>
      <c r="AE908" s="12"/>
      <c r="AF908" s="12"/>
    </row>
    <row r="909" spans="1:32">
      <c r="A909" s="8"/>
      <c r="B909" s="8"/>
      <c r="C909" s="8"/>
      <c r="D909" s="8"/>
      <c r="E909" s="8"/>
      <c r="F909" s="8"/>
      <c r="G909" s="8"/>
      <c r="H909" s="8"/>
      <c r="I909" s="8"/>
      <c r="J909" s="8"/>
      <c r="K909" s="8"/>
      <c r="L909" s="8"/>
      <c r="M909" s="8"/>
      <c r="N909" s="8"/>
      <c r="O909" s="8"/>
      <c r="P909" s="8"/>
      <c r="Q909" s="8"/>
      <c r="R909" s="8"/>
      <c r="S909" s="8"/>
      <c r="T909" s="8"/>
      <c r="U909" s="12"/>
      <c r="V909" s="12"/>
      <c r="W909" s="12"/>
      <c r="X909" s="12"/>
      <c r="Y909" s="12"/>
      <c r="Z909" s="12"/>
      <c r="AA909" s="12"/>
      <c r="AB909" s="12"/>
      <c r="AC909" s="12"/>
      <c r="AD909" s="12"/>
      <c r="AE909" s="12"/>
      <c r="AF909" s="12"/>
    </row>
    <row r="910" spans="1:32">
      <c r="A910" s="8"/>
      <c r="B910" s="8"/>
      <c r="C910" s="8"/>
      <c r="D910" s="8"/>
      <c r="E910" s="8"/>
      <c r="F910" s="8"/>
      <c r="G910" s="8"/>
      <c r="H910" s="8"/>
      <c r="I910" s="8"/>
      <c r="J910" s="8"/>
      <c r="K910" s="8"/>
      <c r="L910" s="8"/>
      <c r="M910" s="8"/>
      <c r="N910" s="8"/>
      <c r="O910" s="8"/>
      <c r="P910" s="8"/>
      <c r="Q910" s="8"/>
      <c r="R910" s="8"/>
      <c r="S910" s="8"/>
      <c r="T910" s="8"/>
      <c r="U910" s="12"/>
      <c r="V910" s="12"/>
      <c r="W910" s="12"/>
      <c r="X910" s="12"/>
      <c r="Y910" s="12"/>
      <c r="Z910" s="12"/>
      <c r="AA910" s="12"/>
      <c r="AB910" s="12"/>
      <c r="AC910" s="12"/>
      <c r="AD910" s="12"/>
      <c r="AE910" s="12"/>
      <c r="AF910" s="12"/>
    </row>
    <row r="911" spans="1:32">
      <c r="A911" s="8"/>
      <c r="B911" s="8"/>
      <c r="C911" s="8"/>
      <c r="D911" s="8"/>
      <c r="E911" s="8"/>
      <c r="F911" s="8"/>
      <c r="G911" s="8"/>
      <c r="H911" s="8"/>
      <c r="I911" s="8"/>
      <c r="J911" s="8"/>
      <c r="K911" s="8"/>
      <c r="L911" s="8"/>
      <c r="M911" s="8"/>
      <c r="N911" s="8"/>
      <c r="O911" s="8"/>
      <c r="P911" s="8"/>
      <c r="Q911" s="8"/>
      <c r="R911" s="8"/>
      <c r="S911" s="8"/>
      <c r="T911" s="8"/>
      <c r="U911" s="12"/>
      <c r="V911" s="12"/>
      <c r="W911" s="12"/>
      <c r="X911" s="12"/>
      <c r="Y911" s="12"/>
      <c r="Z911" s="12"/>
      <c r="AA911" s="12"/>
      <c r="AB911" s="12"/>
      <c r="AC911" s="12"/>
      <c r="AD911" s="12"/>
      <c r="AE911" s="12"/>
      <c r="AF911" s="12"/>
    </row>
    <row r="912" spans="1:32">
      <c r="A912" s="8"/>
      <c r="B912" s="8"/>
      <c r="C912" s="8"/>
      <c r="D912" s="8"/>
      <c r="E912" s="8"/>
      <c r="F912" s="8"/>
      <c r="G912" s="8"/>
      <c r="H912" s="8"/>
      <c r="I912" s="8"/>
      <c r="J912" s="8"/>
      <c r="K912" s="8"/>
      <c r="L912" s="8"/>
      <c r="M912" s="8"/>
      <c r="N912" s="8"/>
      <c r="O912" s="8"/>
      <c r="P912" s="8"/>
      <c r="Q912" s="8"/>
      <c r="R912" s="8"/>
      <c r="S912" s="8"/>
      <c r="T912" s="8"/>
      <c r="U912" s="12"/>
      <c r="V912" s="12"/>
      <c r="W912" s="12"/>
      <c r="X912" s="12"/>
      <c r="Y912" s="12"/>
      <c r="Z912" s="12"/>
      <c r="AA912" s="12"/>
      <c r="AB912" s="12"/>
      <c r="AC912" s="12"/>
      <c r="AD912" s="12"/>
      <c r="AE912" s="12"/>
      <c r="AF912" s="12"/>
    </row>
    <row r="913" spans="1:32">
      <c r="A913" s="8"/>
      <c r="B913" s="8"/>
      <c r="C913" s="8"/>
      <c r="D913" s="8"/>
      <c r="E913" s="8"/>
      <c r="F913" s="8"/>
      <c r="G913" s="8"/>
      <c r="H913" s="8"/>
      <c r="I913" s="8"/>
      <c r="J913" s="8"/>
      <c r="K913" s="8"/>
      <c r="L913" s="8"/>
      <c r="M913" s="8"/>
      <c r="N913" s="8"/>
      <c r="O913" s="8"/>
      <c r="P913" s="8"/>
      <c r="Q913" s="8"/>
      <c r="R913" s="8"/>
      <c r="S913" s="8"/>
      <c r="T913" s="8"/>
      <c r="U913" s="12"/>
      <c r="V913" s="12"/>
      <c r="W913" s="12"/>
      <c r="X913" s="12"/>
      <c r="Y913" s="12"/>
      <c r="Z913" s="12"/>
      <c r="AA913" s="12"/>
      <c r="AB913" s="12"/>
      <c r="AC913" s="12"/>
      <c r="AD913" s="12"/>
      <c r="AE913" s="12"/>
      <c r="AF913" s="12"/>
    </row>
    <row r="914" spans="1:32">
      <c r="A914" s="8"/>
      <c r="B914" s="8"/>
      <c r="C914" s="8"/>
      <c r="D914" s="8"/>
      <c r="E914" s="8"/>
      <c r="F914" s="8"/>
      <c r="G914" s="8"/>
      <c r="H914" s="8"/>
      <c r="I914" s="8"/>
      <c r="J914" s="8"/>
      <c r="K914" s="8"/>
      <c r="L914" s="8"/>
      <c r="M914" s="8"/>
      <c r="N914" s="8"/>
      <c r="O914" s="8"/>
      <c r="P914" s="8"/>
      <c r="Q914" s="8"/>
      <c r="R914" s="8"/>
      <c r="S914" s="8"/>
      <c r="T914" s="8"/>
      <c r="U914" s="12"/>
      <c r="V914" s="12"/>
      <c r="W914" s="12"/>
      <c r="X914" s="12"/>
      <c r="Y914" s="12"/>
      <c r="Z914" s="12"/>
      <c r="AA914" s="12"/>
      <c r="AB914" s="12"/>
      <c r="AC914" s="12"/>
      <c r="AD914" s="12"/>
      <c r="AE914" s="12"/>
      <c r="AF914" s="12"/>
    </row>
    <row r="915" spans="1:32">
      <c r="A915" s="8"/>
      <c r="B915" s="8"/>
      <c r="C915" s="8"/>
      <c r="D915" s="8"/>
      <c r="E915" s="8"/>
      <c r="F915" s="8"/>
      <c r="G915" s="8"/>
      <c r="H915" s="8"/>
      <c r="I915" s="8"/>
      <c r="J915" s="8"/>
      <c r="K915" s="8"/>
      <c r="L915" s="8"/>
      <c r="M915" s="8"/>
      <c r="N915" s="8"/>
      <c r="O915" s="8"/>
      <c r="P915" s="8"/>
      <c r="Q915" s="8"/>
      <c r="R915" s="8"/>
      <c r="S915" s="8"/>
      <c r="T915" s="8"/>
      <c r="U915" s="12"/>
      <c r="V915" s="12"/>
      <c r="W915" s="12"/>
      <c r="X915" s="12"/>
      <c r="Y915" s="12"/>
      <c r="Z915" s="12"/>
      <c r="AA915" s="12"/>
      <c r="AB915" s="12"/>
      <c r="AC915" s="12"/>
      <c r="AD915" s="12"/>
      <c r="AE915" s="12"/>
      <c r="AF915" s="12"/>
    </row>
    <row r="916" spans="1:32">
      <c r="A916" s="8"/>
      <c r="B916" s="8"/>
      <c r="C916" s="8"/>
      <c r="D916" s="8"/>
      <c r="E916" s="8"/>
      <c r="F916" s="8"/>
      <c r="G916" s="8"/>
      <c r="H916" s="8"/>
      <c r="I916" s="8"/>
      <c r="J916" s="8"/>
      <c r="K916" s="8"/>
      <c r="L916" s="8"/>
      <c r="M916" s="8"/>
      <c r="N916" s="8"/>
      <c r="O916" s="8"/>
      <c r="P916" s="8"/>
      <c r="Q916" s="8"/>
      <c r="R916" s="8"/>
      <c r="S916" s="8"/>
      <c r="T916" s="8"/>
      <c r="U916" s="12"/>
      <c r="V916" s="12"/>
      <c r="W916" s="12"/>
      <c r="X916" s="12"/>
      <c r="Y916" s="12"/>
      <c r="Z916" s="12"/>
      <c r="AA916" s="12"/>
      <c r="AB916" s="12"/>
      <c r="AC916" s="12"/>
      <c r="AD916" s="12"/>
      <c r="AE916" s="12"/>
      <c r="AF916" s="12"/>
    </row>
    <row r="917" spans="1:32">
      <c r="A917" s="8"/>
      <c r="B917" s="8"/>
      <c r="C917" s="8"/>
      <c r="D917" s="8"/>
      <c r="E917" s="8"/>
      <c r="F917" s="8"/>
      <c r="G917" s="8"/>
      <c r="H917" s="8"/>
      <c r="I917" s="8"/>
      <c r="J917" s="8"/>
      <c r="K917" s="8"/>
      <c r="L917" s="8"/>
      <c r="M917" s="8"/>
      <c r="N917" s="8"/>
      <c r="O917" s="8"/>
      <c r="P917" s="8"/>
      <c r="Q917" s="8"/>
      <c r="R917" s="8"/>
      <c r="S917" s="8"/>
      <c r="T917" s="8"/>
      <c r="U917" s="12"/>
      <c r="V917" s="12"/>
      <c r="W917" s="12"/>
      <c r="X917" s="12"/>
      <c r="Y917" s="12"/>
      <c r="Z917" s="12"/>
      <c r="AA917" s="12"/>
      <c r="AB917" s="12"/>
      <c r="AC917" s="12"/>
      <c r="AD917" s="12"/>
      <c r="AE917" s="12"/>
      <c r="AF917" s="12"/>
    </row>
    <row r="918" spans="1:32">
      <c r="A918" s="8"/>
      <c r="B918" s="8"/>
      <c r="C918" s="8"/>
      <c r="D918" s="8"/>
      <c r="E918" s="8"/>
      <c r="F918" s="8"/>
      <c r="G918" s="8"/>
      <c r="H918" s="8"/>
      <c r="I918" s="8"/>
      <c r="J918" s="8"/>
      <c r="K918" s="8"/>
      <c r="L918" s="8"/>
      <c r="M918" s="8"/>
      <c r="N918" s="8"/>
      <c r="O918" s="8"/>
      <c r="P918" s="8"/>
      <c r="Q918" s="8"/>
      <c r="R918" s="8"/>
      <c r="S918" s="8"/>
      <c r="T918" s="8"/>
      <c r="U918" s="12"/>
      <c r="V918" s="12"/>
      <c r="W918" s="12"/>
      <c r="X918" s="12"/>
      <c r="Y918" s="12"/>
      <c r="Z918" s="12"/>
      <c r="AA918" s="12"/>
      <c r="AB918" s="12"/>
      <c r="AC918" s="12"/>
      <c r="AD918" s="12"/>
      <c r="AE918" s="12"/>
      <c r="AF918" s="12"/>
    </row>
    <row r="919" spans="1:32">
      <c r="A919" s="8"/>
      <c r="B919" s="8"/>
      <c r="C919" s="8"/>
      <c r="D919" s="8"/>
      <c r="E919" s="8"/>
      <c r="F919" s="8"/>
      <c r="G919" s="8"/>
      <c r="H919" s="8"/>
      <c r="I919" s="8"/>
      <c r="J919" s="8"/>
      <c r="K919" s="8"/>
      <c r="L919" s="8"/>
      <c r="M919" s="8"/>
      <c r="N919" s="8"/>
      <c r="O919" s="8"/>
      <c r="P919" s="8"/>
      <c r="Q919" s="8"/>
      <c r="R919" s="8"/>
      <c r="S919" s="8"/>
      <c r="T919" s="8"/>
      <c r="U919" s="12"/>
      <c r="V919" s="12"/>
      <c r="W919" s="12"/>
      <c r="X919" s="12"/>
      <c r="Y919" s="12"/>
      <c r="Z919" s="12"/>
      <c r="AA919" s="12"/>
      <c r="AB919" s="12"/>
      <c r="AC919" s="12"/>
      <c r="AD919" s="12"/>
      <c r="AE919" s="12"/>
      <c r="AF919" s="12"/>
    </row>
    <row r="920" spans="1:32">
      <c r="A920" s="8"/>
      <c r="B920" s="8"/>
      <c r="C920" s="8"/>
      <c r="D920" s="8"/>
      <c r="E920" s="8"/>
      <c r="F920" s="8"/>
      <c r="G920" s="8"/>
      <c r="H920" s="8"/>
      <c r="I920" s="8"/>
      <c r="J920" s="8"/>
      <c r="K920" s="8"/>
      <c r="L920" s="8"/>
      <c r="M920" s="8"/>
      <c r="N920" s="8"/>
      <c r="O920" s="8"/>
      <c r="P920" s="8"/>
      <c r="Q920" s="8"/>
      <c r="R920" s="8"/>
      <c r="S920" s="8"/>
      <c r="T920" s="8"/>
      <c r="U920" s="12"/>
      <c r="V920" s="12"/>
      <c r="W920" s="12"/>
      <c r="X920" s="12"/>
      <c r="Y920" s="12"/>
      <c r="Z920" s="12"/>
      <c r="AA920" s="12"/>
      <c r="AB920" s="12"/>
      <c r="AC920" s="12"/>
      <c r="AD920" s="12"/>
      <c r="AE920" s="12"/>
      <c r="AF920" s="12"/>
    </row>
    <row r="921" spans="1:32">
      <c r="A921" s="8"/>
      <c r="B921" s="8"/>
      <c r="C921" s="8"/>
      <c r="D921" s="8"/>
      <c r="E921" s="8"/>
      <c r="F921" s="8"/>
      <c r="G921" s="8"/>
      <c r="H921" s="8"/>
      <c r="I921" s="8"/>
      <c r="J921" s="8"/>
      <c r="K921" s="8"/>
      <c r="L921" s="8"/>
      <c r="M921" s="8"/>
      <c r="N921" s="8"/>
      <c r="O921" s="8"/>
      <c r="P921" s="8"/>
      <c r="Q921" s="8"/>
      <c r="R921" s="8"/>
      <c r="S921" s="8"/>
      <c r="T921" s="8"/>
      <c r="U921" s="12"/>
      <c r="V921" s="12"/>
      <c r="W921" s="12"/>
      <c r="X921" s="12"/>
      <c r="Y921" s="12"/>
      <c r="Z921" s="12"/>
      <c r="AA921" s="12"/>
      <c r="AB921" s="12"/>
      <c r="AC921" s="12"/>
      <c r="AD921" s="12"/>
      <c r="AE921" s="12"/>
      <c r="AF921" s="12"/>
    </row>
    <row r="922" spans="1:32">
      <c r="A922" s="8"/>
      <c r="B922" s="8"/>
      <c r="C922" s="8"/>
      <c r="D922" s="8"/>
      <c r="E922" s="8"/>
      <c r="F922" s="8"/>
      <c r="G922" s="8"/>
      <c r="H922" s="8"/>
      <c r="I922" s="8"/>
      <c r="J922" s="8"/>
      <c r="K922" s="8"/>
      <c r="L922" s="8"/>
      <c r="M922" s="8"/>
      <c r="N922" s="8"/>
      <c r="O922" s="8"/>
      <c r="P922" s="8"/>
      <c r="Q922" s="8"/>
      <c r="R922" s="8"/>
      <c r="S922" s="8"/>
      <c r="T922" s="8"/>
      <c r="U922" s="12"/>
      <c r="V922" s="12"/>
      <c r="W922" s="12"/>
      <c r="X922" s="12"/>
      <c r="Y922" s="12"/>
      <c r="Z922" s="12"/>
      <c r="AA922" s="12"/>
      <c r="AB922" s="12"/>
      <c r="AC922" s="12"/>
      <c r="AD922" s="12"/>
      <c r="AE922" s="12"/>
      <c r="AF922" s="12"/>
    </row>
    <row r="923" spans="1:32">
      <c r="A923" s="8"/>
      <c r="B923" s="8"/>
      <c r="C923" s="8"/>
      <c r="D923" s="8"/>
      <c r="E923" s="8"/>
      <c r="F923" s="8"/>
      <c r="G923" s="8"/>
      <c r="H923" s="8"/>
      <c r="I923" s="8"/>
      <c r="J923" s="8"/>
      <c r="K923" s="8"/>
      <c r="L923" s="8"/>
      <c r="M923" s="8"/>
      <c r="N923" s="8"/>
      <c r="O923" s="8"/>
      <c r="P923" s="8"/>
      <c r="Q923" s="8"/>
      <c r="R923" s="8"/>
      <c r="S923" s="8"/>
      <c r="T923" s="8"/>
      <c r="U923" s="12"/>
      <c r="V923" s="12"/>
      <c r="W923" s="12"/>
      <c r="X923" s="12"/>
      <c r="Y923" s="12"/>
      <c r="Z923" s="12"/>
      <c r="AA923" s="12"/>
      <c r="AB923" s="12"/>
      <c r="AC923" s="12"/>
      <c r="AD923" s="12"/>
      <c r="AE923" s="12"/>
      <c r="AF923" s="12"/>
    </row>
    <row r="924" spans="1:32">
      <c r="A924" s="8"/>
      <c r="B924" s="8"/>
      <c r="C924" s="8"/>
      <c r="D924" s="8"/>
      <c r="E924" s="8"/>
      <c r="F924" s="8"/>
      <c r="G924" s="8"/>
      <c r="H924" s="8"/>
      <c r="I924" s="8"/>
      <c r="J924" s="8"/>
      <c r="K924" s="8"/>
      <c r="L924" s="8"/>
      <c r="M924" s="8"/>
      <c r="N924" s="8"/>
      <c r="O924" s="8"/>
      <c r="P924" s="8"/>
      <c r="Q924" s="8"/>
      <c r="R924" s="8"/>
      <c r="S924" s="8"/>
      <c r="T924" s="8"/>
      <c r="U924" s="12"/>
      <c r="V924" s="12"/>
      <c r="W924" s="12"/>
      <c r="X924" s="12"/>
      <c r="Y924" s="12"/>
      <c r="Z924" s="12"/>
      <c r="AA924" s="12"/>
      <c r="AB924" s="12"/>
      <c r="AC924" s="12"/>
      <c r="AD924" s="12"/>
      <c r="AE924" s="12"/>
      <c r="AF924" s="12"/>
    </row>
    <row r="925" spans="1:32">
      <c r="A925" s="8"/>
      <c r="B925" s="8"/>
      <c r="C925" s="8"/>
      <c r="D925" s="8"/>
      <c r="E925" s="8"/>
      <c r="F925" s="8"/>
      <c r="G925" s="8"/>
      <c r="H925" s="8"/>
      <c r="I925" s="8"/>
      <c r="J925" s="8"/>
      <c r="K925" s="8"/>
      <c r="L925" s="8"/>
      <c r="M925" s="8"/>
      <c r="N925" s="8"/>
      <c r="O925" s="8"/>
      <c r="P925" s="8"/>
      <c r="Q925" s="8"/>
      <c r="R925" s="8"/>
      <c r="S925" s="8"/>
      <c r="T925" s="8"/>
      <c r="U925" s="12"/>
      <c r="V925" s="12"/>
      <c r="W925" s="12"/>
      <c r="X925" s="12"/>
      <c r="Y925" s="12"/>
      <c r="Z925" s="12"/>
      <c r="AA925" s="12"/>
      <c r="AB925" s="12"/>
      <c r="AC925" s="12"/>
      <c r="AD925" s="12"/>
      <c r="AE925" s="12"/>
      <c r="AF925" s="12"/>
    </row>
    <row r="926" spans="1:32">
      <c r="A926" s="8"/>
      <c r="B926" s="8"/>
      <c r="C926" s="8"/>
      <c r="D926" s="8"/>
      <c r="E926" s="8"/>
      <c r="F926" s="8"/>
      <c r="G926" s="8"/>
      <c r="H926" s="8"/>
      <c r="I926" s="8"/>
      <c r="J926" s="8"/>
      <c r="K926" s="8"/>
      <c r="L926" s="8"/>
      <c r="M926" s="8"/>
      <c r="N926" s="8"/>
      <c r="O926" s="8"/>
      <c r="P926" s="8"/>
      <c r="Q926" s="8"/>
      <c r="R926" s="8"/>
      <c r="S926" s="8"/>
      <c r="T926" s="8"/>
      <c r="U926" s="12"/>
      <c r="V926" s="12"/>
      <c r="W926" s="12"/>
      <c r="X926" s="12"/>
      <c r="Y926" s="12"/>
      <c r="Z926" s="12"/>
      <c r="AA926" s="12"/>
      <c r="AB926" s="12"/>
      <c r="AC926" s="12"/>
      <c r="AD926" s="12"/>
      <c r="AE926" s="12"/>
      <c r="AF926" s="12"/>
    </row>
    <row r="927" spans="1:32">
      <c r="A927" s="8"/>
      <c r="B927" s="8"/>
      <c r="C927" s="8"/>
      <c r="D927" s="8"/>
      <c r="E927" s="8"/>
      <c r="F927" s="8"/>
      <c r="G927" s="8"/>
      <c r="H927" s="8"/>
      <c r="I927" s="8"/>
      <c r="J927" s="8"/>
      <c r="K927" s="8"/>
      <c r="L927" s="8"/>
      <c r="M927" s="8"/>
      <c r="N927" s="8"/>
      <c r="O927" s="8"/>
      <c r="P927" s="8"/>
      <c r="Q927" s="8"/>
      <c r="R927" s="8"/>
      <c r="S927" s="8"/>
      <c r="T927" s="8"/>
      <c r="U927" s="12"/>
      <c r="V927" s="12"/>
      <c r="W927" s="12"/>
      <c r="X927" s="12"/>
      <c r="Y927" s="12"/>
      <c r="Z927" s="12"/>
      <c r="AA927" s="12"/>
      <c r="AB927" s="12"/>
      <c r="AC927" s="12"/>
      <c r="AD927" s="12"/>
      <c r="AE927" s="12"/>
      <c r="AF927" s="12"/>
    </row>
    <row r="928" spans="1:32">
      <c r="A928" s="8"/>
      <c r="B928" s="8"/>
      <c r="C928" s="8"/>
      <c r="D928" s="8"/>
      <c r="E928" s="8"/>
      <c r="F928" s="8"/>
      <c r="G928" s="8"/>
      <c r="H928" s="8"/>
      <c r="I928" s="8"/>
      <c r="J928" s="8"/>
      <c r="K928" s="8"/>
      <c r="L928" s="8"/>
      <c r="M928" s="8"/>
      <c r="N928" s="8"/>
      <c r="O928" s="8"/>
      <c r="P928" s="8"/>
      <c r="Q928" s="8"/>
      <c r="R928" s="8"/>
      <c r="S928" s="8"/>
      <c r="T928" s="8"/>
      <c r="U928" s="12"/>
      <c r="V928" s="12"/>
      <c r="W928" s="12"/>
      <c r="X928" s="12"/>
      <c r="Y928" s="12"/>
      <c r="Z928" s="12"/>
      <c r="AA928" s="12"/>
      <c r="AB928" s="12"/>
      <c r="AC928" s="12"/>
      <c r="AD928" s="12"/>
      <c r="AE928" s="12"/>
      <c r="AF928" s="12"/>
    </row>
    <row r="929" spans="1:32">
      <c r="A929" s="8"/>
      <c r="B929" s="8"/>
      <c r="C929" s="8"/>
      <c r="D929" s="8"/>
      <c r="E929" s="8"/>
      <c r="F929" s="8"/>
      <c r="G929" s="8"/>
      <c r="H929" s="8"/>
      <c r="I929" s="8"/>
      <c r="J929" s="8"/>
      <c r="K929" s="8"/>
      <c r="L929" s="8"/>
      <c r="M929" s="8"/>
      <c r="N929" s="8"/>
      <c r="O929" s="8"/>
      <c r="P929" s="8"/>
      <c r="Q929" s="8"/>
      <c r="R929" s="8"/>
      <c r="S929" s="8"/>
      <c r="T929" s="8"/>
      <c r="U929" s="12"/>
      <c r="V929" s="12"/>
      <c r="W929" s="12"/>
      <c r="X929" s="12"/>
      <c r="Y929" s="12"/>
      <c r="Z929" s="12"/>
      <c r="AA929" s="12"/>
      <c r="AB929" s="12"/>
      <c r="AC929" s="12"/>
      <c r="AD929" s="12"/>
      <c r="AE929" s="12"/>
      <c r="AF929" s="12"/>
    </row>
    <row r="930" spans="1:32">
      <c r="A930" s="8"/>
      <c r="B930" s="8"/>
      <c r="C930" s="8"/>
      <c r="D930" s="8"/>
      <c r="E930" s="8"/>
      <c r="F930" s="8"/>
      <c r="G930" s="8"/>
      <c r="H930" s="8"/>
      <c r="I930" s="8"/>
      <c r="J930" s="8"/>
      <c r="K930" s="8"/>
      <c r="L930" s="8"/>
      <c r="M930" s="8"/>
      <c r="N930" s="8"/>
      <c r="O930" s="8"/>
      <c r="P930" s="8"/>
      <c r="Q930" s="8"/>
      <c r="R930" s="8"/>
      <c r="S930" s="8"/>
      <c r="T930" s="8"/>
      <c r="U930" s="12"/>
      <c r="V930" s="12"/>
      <c r="W930" s="12"/>
      <c r="X930" s="12"/>
      <c r="Y930" s="12"/>
      <c r="Z930" s="12"/>
      <c r="AA930" s="12"/>
      <c r="AB930" s="12"/>
      <c r="AC930" s="12"/>
      <c r="AD930" s="12"/>
      <c r="AE930" s="12"/>
      <c r="AF930" s="12"/>
    </row>
    <row r="931" spans="1:32">
      <c r="A931" s="8"/>
      <c r="B931" s="8"/>
      <c r="C931" s="8"/>
      <c r="D931" s="8"/>
      <c r="E931" s="8"/>
      <c r="F931" s="8"/>
      <c r="G931" s="8"/>
      <c r="H931" s="8"/>
      <c r="I931" s="8"/>
      <c r="J931" s="8"/>
      <c r="K931" s="8"/>
      <c r="L931" s="8"/>
      <c r="M931" s="8"/>
      <c r="N931" s="8"/>
      <c r="O931" s="8"/>
      <c r="P931" s="8"/>
      <c r="Q931" s="8"/>
      <c r="R931" s="8"/>
      <c r="S931" s="8"/>
      <c r="T931" s="8"/>
      <c r="U931" s="12"/>
      <c r="V931" s="12"/>
      <c r="W931" s="12"/>
      <c r="X931" s="12"/>
      <c r="Y931" s="12"/>
      <c r="Z931" s="12"/>
      <c r="AA931" s="12"/>
      <c r="AB931" s="12"/>
      <c r="AC931" s="12"/>
      <c r="AD931" s="12"/>
      <c r="AE931" s="12"/>
      <c r="AF931" s="12"/>
    </row>
    <row r="932" spans="1:32">
      <c r="A932" s="8"/>
      <c r="B932" s="8"/>
      <c r="C932" s="8"/>
      <c r="D932" s="8"/>
      <c r="E932" s="8"/>
      <c r="F932" s="8"/>
      <c r="G932" s="8"/>
      <c r="H932" s="8"/>
      <c r="I932" s="8"/>
      <c r="J932" s="8"/>
      <c r="K932" s="8"/>
      <c r="L932" s="8"/>
      <c r="M932" s="8"/>
      <c r="N932" s="8"/>
      <c r="O932" s="8"/>
      <c r="P932" s="8"/>
      <c r="Q932" s="8"/>
      <c r="R932" s="8"/>
      <c r="S932" s="8"/>
      <c r="T932" s="8"/>
      <c r="U932" s="12"/>
      <c r="V932" s="12"/>
      <c r="W932" s="12"/>
      <c r="X932" s="12"/>
      <c r="Y932" s="12"/>
      <c r="Z932" s="12"/>
      <c r="AA932" s="12"/>
      <c r="AB932" s="12"/>
      <c r="AC932" s="12"/>
      <c r="AD932" s="12"/>
      <c r="AE932" s="12"/>
      <c r="AF932" s="12"/>
    </row>
    <row r="933" spans="1:32">
      <c r="A933" s="8"/>
      <c r="B933" s="8"/>
      <c r="C933" s="8"/>
      <c r="D933" s="8"/>
      <c r="E933" s="8"/>
      <c r="F933" s="8"/>
      <c r="G933" s="8"/>
      <c r="H933" s="8"/>
      <c r="I933" s="8"/>
      <c r="J933" s="8"/>
      <c r="K933" s="8"/>
      <c r="L933" s="8"/>
      <c r="M933" s="8"/>
      <c r="N933" s="8"/>
      <c r="O933" s="8"/>
      <c r="P933" s="8"/>
      <c r="Q933" s="8"/>
      <c r="R933" s="8"/>
      <c r="S933" s="8"/>
      <c r="T933" s="8"/>
      <c r="U933" s="12"/>
      <c r="V933" s="12"/>
      <c r="W933" s="12"/>
      <c r="X933" s="12"/>
      <c r="Y933" s="12"/>
      <c r="Z933" s="12"/>
      <c r="AA933" s="12"/>
      <c r="AB933" s="12"/>
      <c r="AC933" s="12"/>
      <c r="AD933" s="12"/>
      <c r="AE933" s="12"/>
      <c r="AF933" s="12"/>
    </row>
    <row r="934" spans="1:32">
      <c r="A934" s="8"/>
      <c r="B934" s="8"/>
      <c r="C934" s="8"/>
      <c r="D934" s="8"/>
      <c r="E934" s="8"/>
      <c r="F934" s="8"/>
      <c r="G934" s="8"/>
      <c r="H934" s="8"/>
      <c r="I934" s="8"/>
      <c r="J934" s="8"/>
      <c r="K934" s="8"/>
      <c r="L934" s="8"/>
      <c r="M934" s="8"/>
      <c r="N934" s="8"/>
      <c r="O934" s="8"/>
      <c r="P934" s="8"/>
      <c r="Q934" s="8"/>
      <c r="R934" s="8"/>
      <c r="S934" s="8"/>
      <c r="T934" s="8"/>
      <c r="U934" s="12"/>
      <c r="V934" s="12"/>
      <c r="W934" s="12"/>
      <c r="X934" s="12"/>
      <c r="Y934" s="12"/>
      <c r="Z934" s="12"/>
      <c r="AA934" s="12"/>
      <c r="AB934" s="12"/>
      <c r="AC934" s="12"/>
      <c r="AD934" s="12"/>
      <c r="AE934" s="12"/>
      <c r="AF934" s="12"/>
    </row>
    <row r="935" spans="1:32">
      <c r="A935" s="8"/>
      <c r="B935" s="8"/>
      <c r="C935" s="8"/>
      <c r="D935" s="8"/>
      <c r="E935" s="8"/>
      <c r="F935" s="8"/>
      <c r="G935" s="8"/>
      <c r="H935" s="8"/>
      <c r="I935" s="8"/>
      <c r="J935" s="8"/>
      <c r="K935" s="8"/>
      <c r="L935" s="8"/>
      <c r="M935" s="8"/>
      <c r="N935" s="8"/>
      <c r="O935" s="8"/>
      <c r="P935" s="8"/>
      <c r="Q935" s="8"/>
      <c r="R935" s="8"/>
      <c r="S935" s="8"/>
      <c r="T935" s="8"/>
      <c r="U935" s="12"/>
      <c r="V935" s="12"/>
      <c r="W935" s="12"/>
      <c r="X935" s="12"/>
      <c r="Y935" s="12"/>
      <c r="Z935" s="12"/>
      <c r="AA935" s="12"/>
      <c r="AB935" s="12"/>
      <c r="AC935" s="12"/>
      <c r="AD935" s="12"/>
      <c r="AE935" s="12"/>
      <c r="AF935" s="12"/>
    </row>
    <row r="936" spans="1:32">
      <c r="A936" s="8"/>
      <c r="B936" s="8"/>
      <c r="C936" s="8"/>
      <c r="D936" s="8"/>
      <c r="E936" s="8"/>
      <c r="F936" s="8"/>
      <c r="G936" s="8"/>
      <c r="H936" s="8"/>
      <c r="I936" s="8"/>
      <c r="J936" s="8"/>
      <c r="K936" s="8"/>
      <c r="L936" s="8"/>
      <c r="M936" s="8"/>
      <c r="N936" s="8"/>
      <c r="O936" s="8"/>
      <c r="P936" s="8"/>
      <c r="Q936" s="8"/>
      <c r="R936" s="8"/>
      <c r="S936" s="8"/>
      <c r="T936" s="8"/>
      <c r="U936" s="12"/>
      <c r="V936" s="12"/>
      <c r="W936" s="12"/>
      <c r="X936" s="12"/>
      <c r="Y936" s="12"/>
      <c r="Z936" s="12"/>
      <c r="AA936" s="12"/>
      <c r="AB936" s="12"/>
      <c r="AC936" s="12"/>
      <c r="AD936" s="12"/>
      <c r="AE936" s="12"/>
      <c r="AF936" s="12"/>
    </row>
    <row r="937" spans="1:32">
      <c r="A937" s="8"/>
      <c r="B937" s="8"/>
      <c r="C937" s="8"/>
      <c r="D937" s="8"/>
      <c r="E937" s="8"/>
      <c r="F937" s="8"/>
      <c r="G937" s="8"/>
      <c r="H937" s="8"/>
      <c r="I937" s="8"/>
      <c r="J937" s="8"/>
      <c r="K937" s="8"/>
      <c r="L937" s="8"/>
      <c r="M937" s="8"/>
      <c r="N937" s="8"/>
      <c r="O937" s="8"/>
      <c r="P937" s="8"/>
      <c r="Q937" s="8"/>
      <c r="R937" s="8"/>
      <c r="S937" s="8"/>
      <c r="T937" s="8"/>
      <c r="U937" s="12"/>
      <c r="V937" s="12"/>
      <c r="W937" s="12"/>
      <c r="X937" s="12"/>
      <c r="Y937" s="12"/>
      <c r="Z937" s="12"/>
      <c r="AA937" s="12"/>
      <c r="AB937" s="12"/>
      <c r="AC937" s="12"/>
      <c r="AD937" s="12"/>
      <c r="AE937" s="12"/>
      <c r="AF937" s="12"/>
    </row>
    <row r="938" spans="1:32">
      <c r="A938" s="8"/>
      <c r="B938" s="8"/>
      <c r="C938" s="8"/>
      <c r="D938" s="8"/>
      <c r="E938" s="8"/>
      <c r="F938" s="8"/>
      <c r="G938" s="8"/>
      <c r="H938" s="8"/>
      <c r="I938" s="8"/>
      <c r="J938" s="8"/>
      <c r="K938" s="8"/>
      <c r="L938" s="8"/>
      <c r="M938" s="8"/>
      <c r="N938" s="8"/>
      <c r="O938" s="8"/>
      <c r="P938" s="8"/>
      <c r="Q938" s="8"/>
      <c r="R938" s="8"/>
      <c r="S938" s="8"/>
      <c r="T938" s="8"/>
      <c r="U938" s="12"/>
      <c r="V938" s="12"/>
      <c r="W938" s="12"/>
      <c r="X938" s="12"/>
      <c r="Y938" s="12"/>
      <c r="Z938" s="12"/>
      <c r="AA938" s="12"/>
      <c r="AB938" s="12"/>
      <c r="AC938" s="12"/>
      <c r="AD938" s="12"/>
      <c r="AE938" s="12"/>
      <c r="AF938" s="12"/>
    </row>
    <row r="939" spans="1:32">
      <c r="A939" s="8"/>
      <c r="B939" s="8"/>
      <c r="C939" s="8"/>
      <c r="D939" s="8"/>
      <c r="E939" s="8"/>
      <c r="F939" s="8"/>
      <c r="G939" s="8"/>
      <c r="H939" s="8"/>
      <c r="I939" s="8"/>
      <c r="J939" s="8"/>
      <c r="K939" s="8"/>
      <c r="L939" s="8"/>
      <c r="M939" s="8"/>
      <c r="N939" s="8"/>
      <c r="O939" s="8"/>
      <c r="P939" s="8"/>
      <c r="Q939" s="8"/>
      <c r="R939" s="8"/>
      <c r="S939" s="8"/>
      <c r="T939" s="8"/>
      <c r="U939" s="12"/>
      <c r="V939" s="12"/>
      <c r="W939" s="12"/>
      <c r="X939" s="12"/>
      <c r="Y939" s="12"/>
      <c r="Z939" s="12"/>
      <c r="AA939" s="12"/>
      <c r="AB939" s="12"/>
      <c r="AC939" s="12"/>
      <c r="AD939" s="12"/>
      <c r="AE939" s="12"/>
      <c r="AF939" s="12"/>
    </row>
    <row r="940" spans="1:32">
      <c r="A940" s="8"/>
      <c r="B940" s="8"/>
      <c r="C940" s="8"/>
      <c r="D940" s="8"/>
      <c r="E940" s="8"/>
      <c r="F940" s="8"/>
      <c r="G940" s="8"/>
      <c r="H940" s="8"/>
      <c r="I940" s="8"/>
      <c r="J940" s="8"/>
      <c r="K940" s="8"/>
      <c r="L940" s="8"/>
      <c r="M940" s="8"/>
      <c r="N940" s="8"/>
      <c r="O940" s="8"/>
      <c r="P940" s="8"/>
      <c r="Q940" s="8"/>
      <c r="R940" s="8"/>
      <c r="S940" s="8"/>
      <c r="T940" s="8"/>
      <c r="U940" s="12"/>
      <c r="V940" s="12"/>
      <c r="W940" s="12"/>
      <c r="X940" s="12"/>
      <c r="Y940" s="12"/>
      <c r="Z940" s="12"/>
      <c r="AA940" s="12"/>
      <c r="AB940" s="12"/>
      <c r="AC940" s="12"/>
      <c r="AD940" s="12"/>
      <c r="AE940" s="12"/>
      <c r="AF940" s="12"/>
    </row>
    <row r="941" spans="1:32">
      <c r="A941" s="8"/>
      <c r="B941" s="8"/>
      <c r="C941" s="8"/>
      <c r="D941" s="8"/>
      <c r="E941" s="8"/>
      <c r="F941" s="8"/>
      <c r="G941" s="8"/>
      <c r="H941" s="8"/>
      <c r="I941" s="8"/>
      <c r="J941" s="8"/>
      <c r="K941" s="8"/>
      <c r="L941" s="8"/>
      <c r="M941" s="8"/>
      <c r="N941" s="8"/>
      <c r="O941" s="8"/>
      <c r="P941" s="8"/>
      <c r="Q941" s="8"/>
      <c r="R941" s="8"/>
      <c r="S941" s="8"/>
      <c r="T941" s="8"/>
      <c r="U941" s="12"/>
      <c r="V941" s="12"/>
      <c r="W941" s="12"/>
      <c r="X941" s="12"/>
      <c r="Y941" s="12"/>
      <c r="Z941" s="12"/>
      <c r="AA941" s="12"/>
      <c r="AB941" s="12"/>
      <c r="AC941" s="12"/>
      <c r="AD941" s="12"/>
      <c r="AE941" s="12"/>
      <c r="AF941" s="12"/>
    </row>
    <row r="942" spans="1:32">
      <c r="A942" s="8"/>
      <c r="B942" s="8"/>
      <c r="C942" s="8"/>
      <c r="D942" s="8"/>
      <c r="E942" s="8"/>
      <c r="F942" s="8"/>
      <c r="G942" s="8"/>
      <c r="H942" s="8"/>
      <c r="I942" s="8"/>
      <c r="J942" s="8"/>
      <c r="K942" s="8"/>
      <c r="L942" s="8"/>
      <c r="M942" s="8"/>
      <c r="N942" s="8"/>
      <c r="O942" s="8"/>
      <c r="P942" s="8"/>
      <c r="Q942" s="8"/>
      <c r="R942" s="8"/>
      <c r="S942" s="8"/>
      <c r="T942" s="8"/>
      <c r="U942" s="12"/>
      <c r="V942" s="12"/>
      <c r="W942" s="12"/>
      <c r="X942" s="12"/>
      <c r="Y942" s="12"/>
      <c r="Z942" s="12"/>
      <c r="AA942" s="12"/>
      <c r="AB942" s="12"/>
      <c r="AC942" s="12"/>
      <c r="AD942" s="12"/>
      <c r="AE942" s="12"/>
      <c r="AF942" s="12"/>
    </row>
    <row r="943" spans="1:32">
      <c r="A943" s="8"/>
      <c r="B943" s="8"/>
      <c r="C943" s="8"/>
      <c r="D943" s="8"/>
      <c r="E943" s="8"/>
      <c r="F943" s="8"/>
      <c r="G943" s="8"/>
      <c r="H943" s="8"/>
      <c r="I943" s="8"/>
      <c r="J943" s="8"/>
      <c r="K943" s="8"/>
      <c r="L943" s="8"/>
      <c r="M943" s="8"/>
      <c r="N943" s="8"/>
      <c r="O943" s="8"/>
      <c r="P943" s="8"/>
      <c r="Q943" s="8"/>
      <c r="R943" s="8"/>
      <c r="S943" s="8"/>
      <c r="T943" s="8"/>
      <c r="U943" s="12"/>
      <c r="V943" s="12"/>
      <c r="W943" s="12"/>
      <c r="X943" s="12"/>
      <c r="Y943" s="12"/>
      <c r="Z943" s="12"/>
      <c r="AA943" s="12"/>
      <c r="AB943" s="12"/>
      <c r="AC943" s="12"/>
      <c r="AD943" s="12"/>
      <c r="AE943" s="12"/>
      <c r="AF943" s="12"/>
    </row>
    <row r="944" spans="1:32">
      <c r="A944" s="8"/>
      <c r="B944" s="8"/>
      <c r="C944" s="8"/>
      <c r="D944" s="8"/>
      <c r="E944" s="8"/>
      <c r="F944" s="8"/>
      <c r="G944" s="8"/>
      <c r="H944" s="8"/>
      <c r="I944" s="8"/>
      <c r="J944" s="8"/>
      <c r="K944" s="8"/>
      <c r="L944" s="8"/>
      <c r="M944" s="8"/>
      <c r="N944" s="8"/>
      <c r="O944" s="8"/>
      <c r="P944" s="8"/>
      <c r="Q944" s="8"/>
      <c r="R944" s="8"/>
      <c r="S944" s="8"/>
      <c r="T944" s="8"/>
      <c r="U944" s="12"/>
      <c r="V944" s="12"/>
      <c r="W944" s="12"/>
      <c r="X944" s="12"/>
      <c r="Y944" s="12"/>
      <c r="Z944" s="12"/>
      <c r="AA944" s="12"/>
      <c r="AB944" s="12"/>
      <c r="AC944" s="12"/>
      <c r="AD944" s="12"/>
      <c r="AE944" s="12"/>
      <c r="AF944" s="12"/>
    </row>
    <row r="945" spans="1:32">
      <c r="A945" s="8"/>
      <c r="B945" s="8"/>
      <c r="C945" s="8"/>
      <c r="D945" s="8"/>
      <c r="E945" s="8"/>
      <c r="F945" s="8"/>
      <c r="G945" s="8"/>
      <c r="H945" s="8"/>
      <c r="I945" s="8"/>
      <c r="J945" s="8"/>
      <c r="K945" s="8"/>
      <c r="L945" s="8"/>
      <c r="M945" s="8"/>
      <c r="N945" s="8"/>
      <c r="O945" s="8"/>
      <c r="P945" s="8"/>
      <c r="Q945" s="8"/>
      <c r="R945" s="8"/>
      <c r="S945" s="8"/>
      <c r="T945" s="8"/>
      <c r="U945" s="12"/>
      <c r="V945" s="12"/>
      <c r="W945" s="12"/>
      <c r="X945" s="12"/>
      <c r="Y945" s="12"/>
      <c r="Z945" s="12"/>
      <c r="AA945" s="12"/>
      <c r="AB945" s="12"/>
      <c r="AC945" s="12"/>
      <c r="AD945" s="12"/>
      <c r="AE945" s="12"/>
      <c r="AF945" s="12"/>
    </row>
    <row r="946" spans="1:32">
      <c r="A946" s="8"/>
      <c r="B946" s="8"/>
      <c r="C946" s="8"/>
      <c r="D946" s="8"/>
      <c r="E946" s="8"/>
      <c r="F946" s="8"/>
      <c r="G946" s="8"/>
      <c r="H946" s="8"/>
      <c r="I946" s="8"/>
      <c r="J946" s="8"/>
      <c r="K946" s="8"/>
      <c r="L946" s="8"/>
      <c r="M946" s="8"/>
      <c r="N946" s="8"/>
      <c r="O946" s="8"/>
      <c r="P946" s="8"/>
      <c r="Q946" s="8"/>
      <c r="R946" s="8"/>
      <c r="S946" s="8"/>
      <c r="T946" s="8"/>
      <c r="U946" s="12"/>
      <c r="V946" s="12"/>
      <c r="W946" s="12"/>
      <c r="X946" s="12"/>
      <c r="Y946" s="12"/>
      <c r="Z946" s="12"/>
      <c r="AA946" s="12"/>
      <c r="AB946" s="12"/>
      <c r="AC946" s="12"/>
      <c r="AD946" s="12"/>
      <c r="AE946" s="12"/>
      <c r="AF946" s="12"/>
    </row>
    <row r="947" spans="1:32">
      <c r="A947" s="8"/>
      <c r="B947" s="8"/>
      <c r="C947" s="8"/>
      <c r="D947" s="8"/>
      <c r="E947" s="8"/>
      <c r="F947" s="8"/>
      <c r="G947" s="8"/>
      <c r="H947" s="8"/>
      <c r="I947" s="8"/>
      <c r="J947" s="8"/>
      <c r="K947" s="8"/>
      <c r="L947" s="8"/>
      <c r="M947" s="8"/>
      <c r="N947" s="8"/>
      <c r="O947" s="8"/>
      <c r="P947" s="8"/>
      <c r="Q947" s="8"/>
      <c r="R947" s="8"/>
      <c r="S947" s="8"/>
      <c r="T947" s="8"/>
      <c r="U947" s="12"/>
      <c r="V947" s="12"/>
      <c r="W947" s="12"/>
      <c r="X947" s="12"/>
      <c r="Y947" s="12"/>
      <c r="Z947" s="12"/>
      <c r="AA947" s="12"/>
      <c r="AB947" s="12"/>
      <c r="AC947" s="12"/>
      <c r="AD947" s="12"/>
      <c r="AE947" s="12"/>
      <c r="AF947" s="12"/>
    </row>
    <row r="948" spans="1:32">
      <c r="A948" s="8"/>
      <c r="B948" s="8"/>
      <c r="C948" s="8"/>
      <c r="D948" s="8"/>
      <c r="E948" s="8"/>
      <c r="F948" s="8"/>
      <c r="G948" s="8"/>
      <c r="H948" s="8"/>
      <c r="I948" s="8"/>
      <c r="J948" s="8"/>
      <c r="K948" s="8"/>
      <c r="L948" s="8"/>
      <c r="M948" s="8"/>
      <c r="N948" s="8"/>
      <c r="O948" s="8"/>
      <c r="P948" s="8"/>
      <c r="Q948" s="8"/>
      <c r="R948" s="8"/>
      <c r="S948" s="8"/>
      <c r="T948" s="8"/>
      <c r="U948" s="12"/>
      <c r="V948" s="12"/>
      <c r="W948" s="12"/>
      <c r="X948" s="12"/>
      <c r="Y948" s="12"/>
      <c r="Z948" s="12"/>
      <c r="AA948" s="12"/>
      <c r="AB948" s="12"/>
      <c r="AC948" s="12"/>
      <c r="AD948" s="12"/>
      <c r="AE948" s="12"/>
      <c r="AF948" s="12"/>
    </row>
    <row r="949" spans="1:32">
      <c r="A949" s="8"/>
      <c r="B949" s="8"/>
      <c r="C949" s="8"/>
      <c r="D949" s="8"/>
      <c r="E949" s="8"/>
      <c r="F949" s="8"/>
      <c r="G949" s="8"/>
      <c r="H949" s="8"/>
      <c r="I949" s="8"/>
      <c r="J949" s="8"/>
      <c r="K949" s="8"/>
      <c r="L949" s="8"/>
      <c r="M949" s="8"/>
      <c r="N949" s="8"/>
      <c r="O949" s="8"/>
      <c r="P949" s="8"/>
      <c r="Q949" s="8"/>
      <c r="R949" s="8"/>
      <c r="S949" s="8"/>
      <c r="T949" s="8"/>
      <c r="U949" s="12"/>
      <c r="V949" s="12"/>
      <c r="W949" s="12"/>
      <c r="X949" s="12"/>
      <c r="Y949" s="12"/>
      <c r="Z949" s="12"/>
      <c r="AA949" s="12"/>
      <c r="AB949" s="12"/>
      <c r="AC949" s="12"/>
      <c r="AD949" s="12"/>
      <c r="AE949" s="12"/>
      <c r="AF949" s="12"/>
    </row>
    <row r="950" spans="1:32">
      <c r="A950" s="8"/>
      <c r="B950" s="8"/>
      <c r="C950" s="8"/>
      <c r="D950" s="8"/>
      <c r="E950" s="8"/>
      <c r="F950" s="8"/>
      <c r="G950" s="8"/>
      <c r="H950" s="8"/>
      <c r="I950" s="8"/>
      <c r="J950" s="8"/>
      <c r="K950" s="8"/>
      <c r="L950" s="8"/>
      <c r="M950" s="8"/>
      <c r="N950" s="8"/>
      <c r="O950" s="8"/>
      <c r="P950" s="8"/>
      <c r="Q950" s="8"/>
      <c r="R950" s="8"/>
      <c r="S950" s="8"/>
      <c r="T950" s="8"/>
      <c r="U950" s="12"/>
      <c r="V950" s="12"/>
      <c r="W950" s="12"/>
      <c r="X950" s="12"/>
      <c r="Y950" s="12"/>
      <c r="Z950" s="12"/>
      <c r="AA950" s="12"/>
      <c r="AB950" s="12"/>
      <c r="AC950" s="12"/>
      <c r="AD950" s="12"/>
      <c r="AE950" s="12"/>
      <c r="AF950" s="12"/>
    </row>
    <row r="951" spans="1:32">
      <c r="A951" s="8"/>
      <c r="B951" s="8"/>
      <c r="C951" s="8"/>
      <c r="D951" s="8"/>
      <c r="E951" s="8"/>
      <c r="F951" s="8"/>
      <c r="G951" s="8"/>
      <c r="H951" s="8"/>
      <c r="I951" s="8"/>
      <c r="J951" s="8"/>
      <c r="K951" s="8"/>
      <c r="L951" s="8"/>
      <c r="M951" s="8"/>
      <c r="N951" s="8"/>
      <c r="O951" s="8"/>
      <c r="P951" s="8"/>
      <c r="Q951" s="8"/>
      <c r="R951" s="8"/>
      <c r="S951" s="8"/>
      <c r="T951" s="8"/>
      <c r="U951" s="12"/>
      <c r="V951" s="12"/>
      <c r="W951" s="12"/>
      <c r="X951" s="12"/>
      <c r="Y951" s="12"/>
      <c r="Z951" s="12"/>
      <c r="AA951" s="12"/>
      <c r="AB951" s="12"/>
      <c r="AC951" s="12"/>
      <c r="AD951" s="12"/>
      <c r="AE951" s="12"/>
      <c r="AF951" s="12"/>
    </row>
    <row r="952" spans="1:32">
      <c r="A952" s="8"/>
      <c r="B952" s="8"/>
      <c r="C952" s="8"/>
      <c r="D952" s="8"/>
      <c r="E952" s="8"/>
      <c r="F952" s="8"/>
      <c r="G952" s="8"/>
      <c r="H952" s="8"/>
      <c r="I952" s="8"/>
      <c r="J952" s="8"/>
      <c r="K952" s="8"/>
      <c r="L952" s="8"/>
      <c r="M952" s="8"/>
      <c r="N952" s="8"/>
      <c r="O952" s="8"/>
      <c r="P952" s="8"/>
      <c r="Q952" s="8"/>
      <c r="R952" s="8"/>
      <c r="S952" s="8"/>
      <c r="T952" s="8"/>
      <c r="U952" s="12"/>
      <c r="V952" s="12"/>
      <c r="W952" s="12"/>
      <c r="X952" s="12"/>
      <c r="Y952" s="12"/>
      <c r="Z952" s="12"/>
      <c r="AA952" s="12"/>
      <c r="AB952" s="12"/>
      <c r="AC952" s="12"/>
      <c r="AD952" s="12"/>
      <c r="AE952" s="12"/>
      <c r="AF952" s="12"/>
    </row>
    <row r="953" spans="1:32">
      <c r="A953" s="8"/>
      <c r="B953" s="8"/>
      <c r="C953" s="8"/>
      <c r="D953" s="8"/>
      <c r="E953" s="8"/>
      <c r="F953" s="8"/>
      <c r="G953" s="8"/>
      <c r="H953" s="8"/>
      <c r="I953" s="8"/>
      <c r="J953" s="8"/>
      <c r="K953" s="8"/>
      <c r="L953" s="8"/>
      <c r="M953" s="8"/>
      <c r="N953" s="8"/>
      <c r="O953" s="8"/>
      <c r="P953" s="8"/>
      <c r="Q953" s="8"/>
      <c r="R953" s="8"/>
      <c r="S953" s="8"/>
      <c r="T953" s="8"/>
      <c r="U953" s="12"/>
      <c r="V953" s="12"/>
      <c r="W953" s="12"/>
      <c r="X953" s="12"/>
      <c r="Y953" s="12"/>
      <c r="Z953" s="12"/>
      <c r="AA953" s="12"/>
      <c r="AB953" s="12"/>
      <c r="AC953" s="12"/>
      <c r="AD953" s="12"/>
      <c r="AE953" s="12"/>
      <c r="AF953" s="12"/>
    </row>
    <row r="954" spans="1:32">
      <c r="A954" s="8"/>
      <c r="B954" s="8"/>
      <c r="C954" s="8"/>
      <c r="D954" s="8"/>
      <c r="E954" s="8"/>
      <c r="F954" s="8"/>
      <c r="G954" s="8"/>
      <c r="H954" s="8"/>
      <c r="I954" s="8"/>
      <c r="J954" s="8"/>
      <c r="K954" s="8"/>
      <c r="L954" s="8"/>
      <c r="M954" s="8"/>
      <c r="N954" s="8"/>
      <c r="O954" s="8"/>
      <c r="P954" s="8"/>
      <c r="Q954" s="8"/>
      <c r="R954" s="8"/>
      <c r="S954" s="8"/>
      <c r="T954" s="8"/>
      <c r="U954" s="12"/>
      <c r="V954" s="12"/>
      <c r="W954" s="12"/>
      <c r="X954" s="12"/>
      <c r="Y954" s="12"/>
      <c r="Z954" s="12"/>
      <c r="AA954" s="12"/>
      <c r="AB954" s="12"/>
      <c r="AC954" s="12"/>
      <c r="AD954" s="12"/>
      <c r="AE954" s="12"/>
      <c r="AF954" s="12"/>
    </row>
    <row r="955" spans="1:32">
      <c r="A955" s="8"/>
      <c r="B955" s="8"/>
      <c r="C955" s="8"/>
      <c r="D955" s="8"/>
      <c r="E955" s="8"/>
      <c r="F955" s="8"/>
      <c r="G955" s="8"/>
      <c r="H955" s="8"/>
      <c r="I955" s="8"/>
      <c r="J955" s="8"/>
      <c r="K955" s="8"/>
      <c r="L955" s="8"/>
      <c r="M955" s="8"/>
      <c r="N955" s="8"/>
      <c r="O955" s="8"/>
      <c r="P955" s="8"/>
      <c r="Q955" s="8"/>
      <c r="R955" s="8"/>
      <c r="S955" s="8"/>
      <c r="T955" s="8"/>
      <c r="U955" s="12"/>
      <c r="V955" s="12"/>
      <c r="W955" s="12"/>
      <c r="X955" s="12"/>
      <c r="Y955" s="12"/>
      <c r="Z955" s="12"/>
      <c r="AA955" s="12"/>
      <c r="AB955" s="12"/>
      <c r="AC955" s="12"/>
      <c r="AD955" s="12"/>
      <c r="AE955" s="12"/>
      <c r="AF955" s="12"/>
    </row>
    <row r="956" spans="1:32">
      <c r="A956" s="8"/>
      <c r="B956" s="8"/>
      <c r="C956" s="8"/>
      <c r="D956" s="8"/>
      <c r="E956" s="8"/>
      <c r="F956" s="8"/>
      <c r="G956" s="8"/>
      <c r="H956" s="8"/>
      <c r="I956" s="8"/>
      <c r="J956" s="8"/>
      <c r="K956" s="8"/>
      <c r="L956" s="8"/>
      <c r="M956" s="8"/>
      <c r="N956" s="8"/>
      <c r="O956" s="8"/>
      <c r="P956" s="8"/>
      <c r="Q956" s="8"/>
      <c r="R956" s="8"/>
      <c r="S956" s="8"/>
      <c r="T956" s="8"/>
      <c r="U956" s="12"/>
      <c r="V956" s="12"/>
      <c r="W956" s="12"/>
      <c r="X956" s="12"/>
      <c r="Y956" s="12"/>
      <c r="Z956" s="12"/>
      <c r="AA956" s="12"/>
      <c r="AB956" s="12"/>
      <c r="AC956" s="12"/>
      <c r="AD956" s="12"/>
      <c r="AE956" s="12"/>
      <c r="AF956" s="12"/>
    </row>
    <row r="957" spans="1:32">
      <c r="A957" s="8"/>
      <c r="B957" s="8"/>
      <c r="C957" s="8"/>
      <c r="D957" s="8"/>
      <c r="E957" s="8"/>
      <c r="F957" s="8"/>
      <c r="G957" s="8"/>
      <c r="H957" s="8"/>
      <c r="I957" s="8"/>
      <c r="J957" s="8"/>
      <c r="K957" s="8"/>
      <c r="L957" s="8"/>
      <c r="M957" s="8"/>
      <c r="N957" s="8"/>
      <c r="O957" s="8"/>
      <c r="P957" s="8"/>
      <c r="Q957" s="8"/>
      <c r="R957" s="8"/>
      <c r="S957" s="8"/>
      <c r="T957" s="8"/>
      <c r="U957" s="12"/>
      <c r="V957" s="12"/>
      <c r="W957" s="12"/>
      <c r="X957" s="12"/>
      <c r="Y957" s="12"/>
      <c r="Z957" s="12"/>
      <c r="AA957" s="12"/>
      <c r="AB957" s="12"/>
      <c r="AC957" s="12"/>
      <c r="AD957" s="12"/>
      <c r="AE957" s="12"/>
      <c r="AF957" s="12"/>
    </row>
    <row r="958" spans="1:32">
      <c r="A958" s="8"/>
      <c r="B958" s="8"/>
      <c r="C958" s="8"/>
      <c r="D958" s="8"/>
      <c r="E958" s="8"/>
      <c r="F958" s="8"/>
      <c r="G958" s="8"/>
      <c r="H958" s="8"/>
      <c r="I958" s="8"/>
      <c r="J958" s="8"/>
      <c r="K958" s="8"/>
      <c r="L958" s="8"/>
      <c r="M958" s="8"/>
      <c r="N958" s="8"/>
      <c r="O958" s="8"/>
      <c r="P958" s="8"/>
      <c r="Q958" s="8"/>
      <c r="R958" s="8"/>
      <c r="S958" s="8"/>
      <c r="T958" s="8"/>
      <c r="U958" s="12"/>
      <c r="V958" s="12"/>
      <c r="W958" s="12"/>
      <c r="X958" s="12"/>
      <c r="Y958" s="12"/>
      <c r="Z958" s="12"/>
      <c r="AA958" s="12"/>
      <c r="AB958" s="12"/>
      <c r="AC958" s="12"/>
      <c r="AD958" s="12"/>
      <c r="AE958" s="12"/>
      <c r="AF958" s="12"/>
    </row>
    <row r="959" spans="1:32">
      <c r="A959" s="8"/>
      <c r="B959" s="8"/>
      <c r="C959" s="8"/>
      <c r="D959" s="8"/>
      <c r="E959" s="8"/>
      <c r="F959" s="8"/>
      <c r="G959" s="8"/>
      <c r="H959" s="8"/>
      <c r="I959" s="8"/>
      <c r="J959" s="8"/>
      <c r="K959" s="8"/>
      <c r="L959" s="8"/>
      <c r="M959" s="8"/>
      <c r="N959" s="8"/>
      <c r="O959" s="8"/>
      <c r="P959" s="8"/>
      <c r="Q959" s="8"/>
      <c r="R959" s="8"/>
      <c r="S959" s="8"/>
      <c r="T959" s="8"/>
      <c r="U959" s="12"/>
      <c r="V959" s="12"/>
      <c r="W959" s="12"/>
      <c r="X959" s="12"/>
      <c r="Y959" s="12"/>
      <c r="Z959" s="12"/>
      <c r="AA959" s="12"/>
      <c r="AB959" s="12"/>
      <c r="AC959" s="12"/>
      <c r="AD959" s="12"/>
      <c r="AE959" s="12"/>
      <c r="AF959" s="12"/>
    </row>
    <row r="960" spans="1:32">
      <c r="A960" s="8"/>
      <c r="B960" s="8"/>
      <c r="C960" s="8"/>
      <c r="D960" s="8"/>
      <c r="E960" s="8"/>
      <c r="F960" s="8"/>
      <c r="G960" s="8"/>
      <c r="H960" s="8"/>
      <c r="I960" s="8"/>
      <c r="J960" s="8"/>
      <c r="K960" s="8"/>
      <c r="L960" s="8"/>
      <c r="M960" s="8"/>
      <c r="N960" s="8"/>
      <c r="O960" s="8"/>
      <c r="P960" s="8"/>
      <c r="Q960" s="8"/>
      <c r="R960" s="8"/>
      <c r="S960" s="8"/>
      <c r="T960" s="8"/>
      <c r="U960" s="12"/>
      <c r="V960" s="12"/>
      <c r="W960" s="12"/>
      <c r="X960" s="12"/>
      <c r="Y960" s="12"/>
      <c r="Z960" s="12"/>
      <c r="AA960" s="12"/>
      <c r="AB960" s="12"/>
      <c r="AC960" s="12"/>
      <c r="AD960" s="12"/>
      <c r="AE960" s="12"/>
      <c r="AF960" s="12"/>
    </row>
    <row r="961" spans="1:32">
      <c r="A961" s="8"/>
      <c r="B961" s="8"/>
      <c r="C961" s="8"/>
      <c r="D961" s="8"/>
      <c r="E961" s="8"/>
      <c r="F961" s="8"/>
      <c r="G961" s="8"/>
      <c r="H961" s="8"/>
      <c r="I961" s="8"/>
      <c r="J961" s="8"/>
      <c r="K961" s="8"/>
      <c r="L961" s="8"/>
      <c r="M961" s="8"/>
      <c r="N961" s="8"/>
      <c r="O961" s="8"/>
      <c r="P961" s="8"/>
      <c r="Q961" s="8"/>
      <c r="R961" s="8"/>
      <c r="S961" s="8"/>
      <c r="T961" s="8"/>
      <c r="U961" s="12"/>
      <c r="V961" s="12"/>
      <c r="W961" s="12"/>
      <c r="X961" s="12"/>
      <c r="Y961" s="12"/>
      <c r="Z961" s="12"/>
      <c r="AA961" s="12"/>
      <c r="AB961" s="12"/>
      <c r="AC961" s="12"/>
      <c r="AD961" s="12"/>
      <c r="AE961" s="12"/>
      <c r="AF961" s="12"/>
    </row>
    <row r="962" spans="1:32">
      <c r="A962" s="8"/>
      <c r="B962" s="8"/>
      <c r="C962" s="8"/>
      <c r="D962" s="8"/>
      <c r="E962" s="8"/>
      <c r="F962" s="8"/>
      <c r="G962" s="8"/>
      <c r="H962" s="8"/>
      <c r="I962" s="8"/>
      <c r="J962" s="8"/>
      <c r="K962" s="8"/>
      <c r="L962" s="8"/>
      <c r="M962" s="8"/>
      <c r="N962" s="8"/>
      <c r="O962" s="8"/>
      <c r="P962" s="8"/>
      <c r="Q962" s="8"/>
      <c r="R962" s="8"/>
      <c r="S962" s="8"/>
      <c r="T962" s="8"/>
      <c r="U962" s="12"/>
      <c r="V962" s="12"/>
      <c r="W962" s="12"/>
      <c r="X962" s="12"/>
      <c r="Y962" s="12"/>
      <c r="Z962" s="12"/>
      <c r="AA962" s="12"/>
      <c r="AB962" s="12"/>
      <c r="AC962" s="12"/>
      <c r="AD962" s="12"/>
      <c r="AE962" s="12"/>
      <c r="AF962" s="12"/>
    </row>
    <row r="963" spans="1:32">
      <c r="A963" s="8"/>
      <c r="B963" s="8"/>
      <c r="C963" s="8"/>
      <c r="D963" s="8"/>
      <c r="E963" s="8"/>
      <c r="F963" s="8"/>
      <c r="G963" s="8"/>
      <c r="H963" s="8"/>
      <c r="I963" s="8"/>
      <c r="J963" s="8"/>
      <c r="K963" s="8"/>
      <c r="L963" s="8"/>
      <c r="M963" s="8"/>
      <c r="N963" s="8"/>
      <c r="O963" s="8"/>
      <c r="P963" s="8"/>
      <c r="Q963" s="8"/>
      <c r="R963" s="8"/>
      <c r="S963" s="8"/>
      <c r="T963" s="8"/>
      <c r="U963" s="12"/>
      <c r="V963" s="12"/>
      <c r="W963" s="12"/>
      <c r="X963" s="12"/>
      <c r="Y963" s="12"/>
      <c r="Z963" s="12"/>
      <c r="AA963" s="12"/>
      <c r="AB963" s="12"/>
      <c r="AC963" s="12"/>
      <c r="AD963" s="12"/>
      <c r="AE963" s="12"/>
      <c r="AF963" s="12"/>
    </row>
    <row r="964" spans="1:32">
      <c r="A964" s="8"/>
      <c r="B964" s="8"/>
      <c r="C964" s="8"/>
      <c r="D964" s="8"/>
      <c r="E964" s="8"/>
      <c r="F964" s="8"/>
      <c r="G964" s="8"/>
      <c r="H964" s="8"/>
      <c r="I964" s="8"/>
      <c r="J964" s="8"/>
      <c r="K964" s="8"/>
      <c r="L964" s="8"/>
      <c r="M964" s="8"/>
      <c r="N964" s="8"/>
      <c r="O964" s="8"/>
      <c r="P964" s="8"/>
      <c r="Q964" s="8"/>
      <c r="R964" s="8"/>
      <c r="S964" s="8"/>
      <c r="T964" s="8"/>
      <c r="U964" s="12"/>
      <c r="V964" s="12"/>
      <c r="W964" s="12"/>
      <c r="X964" s="12"/>
      <c r="Y964" s="12"/>
      <c r="Z964" s="12"/>
      <c r="AA964" s="12"/>
      <c r="AB964" s="12"/>
      <c r="AC964" s="12"/>
      <c r="AD964" s="12"/>
      <c r="AE964" s="12"/>
      <c r="AF964" s="12"/>
    </row>
    <row r="965" spans="1:32">
      <c r="A965" s="8"/>
      <c r="B965" s="8"/>
      <c r="C965" s="8"/>
      <c r="D965" s="8"/>
      <c r="E965" s="8"/>
      <c r="F965" s="8"/>
      <c r="G965" s="8"/>
      <c r="H965" s="8"/>
      <c r="I965" s="8"/>
      <c r="J965" s="8"/>
      <c r="K965" s="8"/>
      <c r="L965" s="8"/>
      <c r="M965" s="8"/>
      <c r="N965" s="8"/>
      <c r="O965" s="8"/>
      <c r="P965" s="8"/>
      <c r="Q965" s="8"/>
      <c r="R965" s="8"/>
      <c r="S965" s="8"/>
      <c r="T965" s="8"/>
      <c r="U965" s="12"/>
      <c r="V965" s="12"/>
      <c r="W965" s="12"/>
      <c r="X965" s="12"/>
      <c r="Y965" s="12"/>
      <c r="Z965" s="12"/>
      <c r="AA965" s="12"/>
      <c r="AB965" s="12"/>
      <c r="AC965" s="12"/>
      <c r="AD965" s="12"/>
      <c r="AE965" s="12"/>
      <c r="AF965" s="12"/>
    </row>
    <row r="966" spans="1:32">
      <c r="A966" s="8"/>
      <c r="B966" s="8"/>
      <c r="C966" s="8"/>
      <c r="D966" s="8"/>
      <c r="E966" s="8"/>
      <c r="F966" s="8"/>
      <c r="G966" s="8"/>
      <c r="H966" s="8"/>
      <c r="I966" s="8"/>
      <c r="J966" s="8"/>
      <c r="K966" s="8"/>
      <c r="L966" s="8"/>
      <c r="M966" s="8"/>
      <c r="N966" s="8"/>
      <c r="O966" s="8"/>
      <c r="P966" s="8"/>
      <c r="Q966" s="8"/>
      <c r="R966" s="8"/>
      <c r="S966" s="8"/>
      <c r="T966" s="8"/>
      <c r="U966" s="12"/>
      <c r="V966" s="12"/>
      <c r="W966" s="12"/>
      <c r="X966" s="12"/>
      <c r="Y966" s="12"/>
      <c r="Z966" s="12"/>
      <c r="AA966" s="12"/>
      <c r="AB966" s="12"/>
      <c r="AC966" s="12"/>
      <c r="AD966" s="12"/>
      <c r="AE966" s="12"/>
      <c r="AF966" s="12"/>
    </row>
    <row r="967" spans="1:32">
      <c r="A967" s="8"/>
      <c r="B967" s="8"/>
      <c r="C967" s="8"/>
      <c r="D967" s="8"/>
      <c r="E967" s="8"/>
      <c r="F967" s="8"/>
      <c r="G967" s="8"/>
      <c r="H967" s="8"/>
      <c r="I967" s="8"/>
      <c r="J967" s="8"/>
      <c r="K967" s="8"/>
      <c r="L967" s="8"/>
      <c r="M967" s="8"/>
      <c r="N967" s="8"/>
      <c r="O967" s="8"/>
      <c r="P967" s="8"/>
      <c r="Q967" s="8"/>
      <c r="R967" s="8"/>
      <c r="S967" s="8"/>
      <c r="T967" s="8"/>
      <c r="U967" s="12"/>
      <c r="V967" s="12"/>
      <c r="W967" s="12"/>
      <c r="X967" s="12"/>
      <c r="Y967" s="12"/>
      <c r="Z967" s="12"/>
      <c r="AA967" s="12"/>
      <c r="AB967" s="12"/>
      <c r="AC967" s="12"/>
      <c r="AD967" s="12"/>
      <c r="AE967" s="12"/>
      <c r="AF967" s="12"/>
    </row>
    <row r="968" spans="1:32">
      <c r="A968" s="8"/>
      <c r="B968" s="8"/>
      <c r="C968" s="8"/>
      <c r="D968" s="8"/>
      <c r="E968" s="8"/>
      <c r="F968" s="8"/>
      <c r="G968" s="8"/>
      <c r="H968" s="8"/>
      <c r="I968" s="8"/>
      <c r="J968" s="8"/>
      <c r="K968" s="8"/>
      <c r="L968" s="8"/>
      <c r="M968" s="8"/>
      <c r="N968" s="8"/>
      <c r="O968" s="8"/>
      <c r="P968" s="8"/>
      <c r="Q968" s="8"/>
      <c r="R968" s="8"/>
      <c r="S968" s="8"/>
      <c r="T968" s="8"/>
      <c r="U968" s="12"/>
      <c r="V968" s="12"/>
      <c r="W968" s="12"/>
      <c r="X968" s="12"/>
      <c r="Y968" s="12"/>
      <c r="Z968" s="12"/>
      <c r="AA968" s="12"/>
      <c r="AB968" s="12"/>
      <c r="AC968" s="12"/>
      <c r="AD968" s="12"/>
      <c r="AE968" s="12"/>
      <c r="AF968" s="12"/>
    </row>
    <row r="969" spans="1:32">
      <c r="A969" s="8"/>
      <c r="B969" s="8"/>
      <c r="C969" s="8"/>
      <c r="D969" s="8"/>
      <c r="E969" s="8"/>
      <c r="F969" s="8"/>
      <c r="G969" s="8"/>
      <c r="H969" s="8"/>
      <c r="I969" s="8"/>
      <c r="J969" s="8"/>
      <c r="K969" s="8"/>
      <c r="L969" s="8"/>
      <c r="M969" s="8"/>
      <c r="N969" s="8"/>
      <c r="O969" s="8"/>
      <c r="P969" s="8"/>
      <c r="Q969" s="8"/>
      <c r="R969" s="8"/>
      <c r="S969" s="8"/>
      <c r="T969" s="8"/>
      <c r="U969" s="12"/>
      <c r="V969" s="12"/>
      <c r="W969" s="12"/>
      <c r="X969" s="12"/>
      <c r="Y969" s="12"/>
      <c r="Z969" s="12"/>
      <c r="AA969" s="12"/>
      <c r="AB969" s="12"/>
      <c r="AC969" s="12"/>
      <c r="AD969" s="12"/>
      <c r="AE969" s="12"/>
      <c r="AF969" s="12"/>
    </row>
    <row r="970" spans="1:32">
      <c r="A970" s="8"/>
      <c r="B970" s="8"/>
      <c r="C970" s="8"/>
      <c r="D970" s="8"/>
      <c r="E970" s="8"/>
      <c r="F970" s="8"/>
      <c r="G970" s="8"/>
      <c r="H970" s="8"/>
      <c r="I970" s="8"/>
      <c r="J970" s="8"/>
      <c r="K970" s="8"/>
      <c r="L970" s="8"/>
      <c r="M970" s="8"/>
      <c r="N970" s="8"/>
      <c r="O970" s="8"/>
      <c r="P970" s="8"/>
      <c r="Q970" s="8"/>
      <c r="R970" s="8"/>
      <c r="S970" s="8"/>
      <c r="T970" s="8"/>
      <c r="U970" s="12"/>
      <c r="V970" s="12"/>
      <c r="W970" s="12"/>
      <c r="X970" s="12"/>
      <c r="Y970" s="12"/>
      <c r="Z970" s="12"/>
      <c r="AA970" s="12"/>
      <c r="AB970" s="12"/>
      <c r="AC970" s="12"/>
      <c r="AD970" s="12"/>
      <c r="AE970" s="12"/>
      <c r="AF970" s="12"/>
    </row>
    <row r="971" spans="1:32">
      <c r="A971" s="8"/>
      <c r="B971" s="8"/>
      <c r="C971" s="8"/>
      <c r="D971" s="8"/>
      <c r="E971" s="8"/>
      <c r="F971" s="8"/>
      <c r="G971" s="8"/>
      <c r="H971" s="8"/>
      <c r="I971" s="8"/>
      <c r="J971" s="8"/>
      <c r="K971" s="8"/>
      <c r="L971" s="8"/>
      <c r="M971" s="8"/>
      <c r="N971" s="8"/>
      <c r="O971" s="8"/>
      <c r="P971" s="8"/>
      <c r="Q971" s="8"/>
      <c r="R971" s="8"/>
      <c r="S971" s="8"/>
      <c r="T971" s="8"/>
      <c r="U971" s="12"/>
      <c r="V971" s="12"/>
      <c r="W971" s="12"/>
      <c r="X971" s="12"/>
      <c r="Y971" s="12"/>
      <c r="Z971" s="12"/>
      <c r="AA971" s="12"/>
      <c r="AB971" s="12"/>
      <c r="AC971" s="12"/>
      <c r="AD971" s="12"/>
      <c r="AE971" s="12"/>
      <c r="AF971" s="12"/>
    </row>
    <row r="972" spans="1:32">
      <c r="A972" s="8"/>
      <c r="B972" s="8"/>
      <c r="C972" s="8"/>
      <c r="D972" s="8"/>
      <c r="E972" s="8"/>
      <c r="F972" s="8"/>
      <c r="G972" s="8"/>
      <c r="H972" s="8"/>
      <c r="I972" s="8"/>
      <c r="J972" s="8"/>
      <c r="K972" s="8"/>
      <c r="L972" s="8"/>
      <c r="M972" s="8"/>
      <c r="N972" s="8"/>
      <c r="O972" s="8"/>
      <c r="P972" s="8"/>
      <c r="Q972" s="8"/>
      <c r="R972" s="8"/>
      <c r="S972" s="8"/>
      <c r="T972" s="8"/>
      <c r="U972" s="12"/>
      <c r="V972" s="12"/>
      <c r="W972" s="12"/>
      <c r="X972" s="12"/>
      <c r="Y972" s="12"/>
      <c r="Z972" s="12"/>
      <c r="AA972" s="12"/>
      <c r="AB972" s="12"/>
      <c r="AC972" s="12"/>
      <c r="AD972" s="12"/>
      <c r="AE972" s="12"/>
      <c r="AF972" s="12"/>
    </row>
    <row r="973" spans="1:32">
      <c r="A973" s="8"/>
      <c r="B973" s="8"/>
      <c r="C973" s="8"/>
      <c r="D973" s="8"/>
      <c r="E973" s="8"/>
      <c r="F973" s="8"/>
      <c r="G973" s="8"/>
      <c r="H973" s="8"/>
      <c r="I973" s="8"/>
      <c r="J973" s="8"/>
      <c r="K973" s="8"/>
      <c r="L973" s="8"/>
      <c r="M973" s="8"/>
      <c r="N973" s="8"/>
      <c r="O973" s="8"/>
      <c r="P973" s="8"/>
      <c r="Q973" s="8"/>
      <c r="R973" s="8"/>
      <c r="S973" s="8"/>
      <c r="T973" s="8"/>
      <c r="U973" s="12"/>
      <c r="V973" s="12"/>
      <c r="W973" s="12"/>
      <c r="X973" s="12"/>
      <c r="Y973" s="12"/>
      <c r="Z973" s="12"/>
      <c r="AA973" s="12"/>
      <c r="AB973" s="12"/>
      <c r="AC973" s="12"/>
      <c r="AD973" s="12"/>
      <c r="AE973" s="12"/>
      <c r="AF973" s="12"/>
    </row>
    <row r="974" spans="1:32">
      <c r="A974" s="8"/>
      <c r="B974" s="8"/>
      <c r="C974" s="8"/>
      <c r="D974" s="8"/>
      <c r="E974" s="8"/>
      <c r="F974" s="8"/>
      <c r="G974" s="8"/>
      <c r="H974" s="8"/>
      <c r="I974" s="8"/>
      <c r="J974" s="8"/>
      <c r="K974" s="8"/>
      <c r="L974" s="8"/>
      <c r="M974" s="8"/>
      <c r="N974" s="8"/>
      <c r="O974" s="8"/>
      <c r="P974" s="8"/>
      <c r="Q974" s="8"/>
      <c r="R974" s="8"/>
      <c r="S974" s="8"/>
      <c r="T974" s="8"/>
      <c r="U974" s="12"/>
      <c r="V974" s="12"/>
      <c r="W974" s="12"/>
      <c r="X974" s="12"/>
      <c r="Y974" s="12"/>
      <c r="Z974" s="12"/>
      <c r="AA974" s="12"/>
      <c r="AB974" s="12"/>
      <c r="AC974" s="12"/>
      <c r="AD974" s="12"/>
      <c r="AE974" s="12"/>
      <c r="AF974" s="12"/>
    </row>
    <row r="975" spans="1:32">
      <c r="A975" s="8"/>
      <c r="B975" s="8"/>
      <c r="C975" s="8"/>
      <c r="D975" s="8"/>
      <c r="E975" s="8"/>
      <c r="F975" s="8"/>
      <c r="G975" s="8"/>
      <c r="H975" s="8"/>
      <c r="I975" s="8"/>
      <c r="J975" s="8"/>
      <c r="K975" s="8"/>
      <c r="L975" s="8"/>
      <c r="M975" s="8"/>
      <c r="N975" s="8"/>
      <c r="O975" s="8"/>
      <c r="P975" s="8"/>
      <c r="Q975" s="8"/>
      <c r="R975" s="8"/>
      <c r="S975" s="8"/>
      <c r="T975" s="8"/>
      <c r="U975" s="12"/>
      <c r="V975" s="12"/>
      <c r="W975" s="12"/>
      <c r="X975" s="12"/>
      <c r="Y975" s="12"/>
      <c r="Z975" s="12"/>
      <c r="AA975" s="12"/>
      <c r="AB975" s="12"/>
      <c r="AC975" s="12"/>
      <c r="AD975" s="12"/>
      <c r="AE975" s="12"/>
      <c r="AF975" s="12"/>
    </row>
    <row r="976" spans="1:32">
      <c r="A976" s="8"/>
      <c r="B976" s="8"/>
      <c r="C976" s="8"/>
      <c r="D976" s="8"/>
      <c r="E976" s="8"/>
      <c r="F976" s="8"/>
      <c r="G976" s="8"/>
      <c r="H976" s="8"/>
      <c r="I976" s="8"/>
      <c r="J976" s="8"/>
      <c r="K976" s="8"/>
      <c r="L976" s="8"/>
      <c r="M976" s="8"/>
      <c r="N976" s="8"/>
      <c r="O976" s="8"/>
      <c r="P976" s="8"/>
      <c r="Q976" s="8"/>
      <c r="R976" s="8"/>
      <c r="S976" s="8"/>
      <c r="T976" s="8"/>
      <c r="U976" s="12"/>
      <c r="V976" s="12"/>
      <c r="W976" s="12"/>
      <c r="X976" s="12"/>
      <c r="Y976" s="12"/>
      <c r="Z976" s="12"/>
      <c r="AA976" s="12"/>
      <c r="AB976" s="12"/>
      <c r="AC976" s="12"/>
      <c r="AD976" s="12"/>
      <c r="AE976" s="12"/>
      <c r="AF976" s="12"/>
    </row>
    <row r="977" spans="1:32">
      <c r="A977" s="8"/>
      <c r="B977" s="8"/>
      <c r="C977" s="8"/>
      <c r="D977" s="8"/>
      <c r="E977" s="8"/>
      <c r="F977" s="8"/>
      <c r="G977" s="8"/>
      <c r="H977" s="8"/>
      <c r="I977" s="8"/>
      <c r="J977" s="8"/>
      <c r="K977" s="8"/>
      <c r="L977" s="8"/>
      <c r="M977" s="8"/>
      <c r="N977" s="8"/>
      <c r="O977" s="8"/>
      <c r="P977" s="8"/>
      <c r="Q977" s="8"/>
      <c r="R977" s="8"/>
      <c r="S977" s="8"/>
      <c r="T977" s="8"/>
      <c r="U977" s="12"/>
      <c r="V977" s="12"/>
      <c r="W977" s="12"/>
      <c r="X977" s="12"/>
      <c r="Y977" s="12"/>
      <c r="Z977" s="12"/>
      <c r="AA977" s="12"/>
      <c r="AB977" s="12"/>
      <c r="AC977" s="12"/>
      <c r="AD977" s="12"/>
      <c r="AE977" s="12"/>
      <c r="AF977" s="12"/>
    </row>
    <row r="978" spans="1:32">
      <c r="A978" s="8"/>
      <c r="B978" s="8"/>
      <c r="C978" s="8"/>
      <c r="D978" s="8"/>
      <c r="E978" s="8"/>
      <c r="F978" s="8"/>
      <c r="G978" s="8"/>
      <c r="H978" s="8"/>
      <c r="I978" s="8"/>
      <c r="J978" s="8"/>
      <c r="K978" s="8"/>
      <c r="L978" s="8"/>
      <c r="M978" s="8"/>
      <c r="N978" s="8"/>
      <c r="O978" s="8"/>
      <c r="P978" s="8"/>
      <c r="Q978" s="8"/>
      <c r="R978" s="8"/>
      <c r="S978" s="8"/>
      <c r="T978" s="8"/>
      <c r="U978" s="12"/>
      <c r="V978" s="12"/>
      <c r="W978" s="12"/>
      <c r="X978" s="12"/>
      <c r="Y978" s="12"/>
      <c r="Z978" s="12"/>
      <c r="AA978" s="12"/>
      <c r="AB978" s="12"/>
      <c r="AC978" s="12"/>
      <c r="AD978" s="12"/>
      <c r="AE978" s="12"/>
      <c r="AF978" s="12"/>
    </row>
    <row r="979" spans="1:32">
      <c r="A979" s="8"/>
      <c r="B979" s="8"/>
      <c r="C979" s="8"/>
      <c r="D979" s="8"/>
      <c r="E979" s="8"/>
      <c r="F979" s="8"/>
      <c r="G979" s="8"/>
      <c r="H979" s="8"/>
      <c r="I979" s="8"/>
      <c r="J979" s="8"/>
      <c r="K979" s="8"/>
      <c r="L979" s="8"/>
      <c r="M979" s="8"/>
      <c r="N979" s="8"/>
      <c r="O979" s="8"/>
      <c r="P979" s="8"/>
      <c r="Q979" s="8"/>
      <c r="R979" s="8"/>
      <c r="S979" s="8"/>
      <c r="T979" s="8"/>
      <c r="U979" s="12"/>
      <c r="V979" s="12"/>
      <c r="W979" s="12"/>
      <c r="X979" s="12"/>
      <c r="Y979" s="12"/>
      <c r="Z979" s="12"/>
      <c r="AA979" s="12"/>
      <c r="AB979" s="12"/>
      <c r="AC979" s="12"/>
      <c r="AD979" s="12"/>
      <c r="AE979" s="12"/>
      <c r="AF979" s="12"/>
    </row>
    <row r="980" spans="1:32">
      <c r="A980" s="8"/>
      <c r="B980" s="8"/>
      <c r="C980" s="8"/>
      <c r="D980" s="8"/>
      <c r="E980" s="8"/>
      <c r="F980" s="8"/>
      <c r="G980" s="8"/>
      <c r="H980" s="8"/>
      <c r="I980" s="8"/>
      <c r="J980" s="8"/>
      <c r="K980" s="8"/>
      <c r="L980" s="8"/>
      <c r="M980" s="8"/>
      <c r="N980" s="8"/>
      <c r="O980" s="8"/>
      <c r="P980" s="8"/>
      <c r="Q980" s="8"/>
      <c r="R980" s="8"/>
      <c r="S980" s="8"/>
      <c r="T980" s="8"/>
      <c r="U980" s="12"/>
      <c r="V980" s="12"/>
      <c r="W980" s="12"/>
      <c r="X980" s="12"/>
      <c r="Y980" s="12"/>
      <c r="Z980" s="12"/>
      <c r="AA980" s="12"/>
      <c r="AB980" s="12"/>
      <c r="AC980" s="12"/>
      <c r="AD980" s="12"/>
      <c r="AE980" s="12"/>
      <c r="AF980" s="12"/>
    </row>
    <row r="981" spans="1:32">
      <c r="A981" s="8"/>
      <c r="B981" s="8"/>
      <c r="C981" s="8"/>
      <c r="D981" s="8"/>
      <c r="E981" s="8"/>
      <c r="F981" s="8"/>
      <c r="G981" s="8"/>
      <c r="H981" s="8"/>
      <c r="I981" s="8"/>
      <c r="J981" s="8"/>
      <c r="K981" s="8"/>
      <c r="L981" s="8"/>
      <c r="M981" s="8"/>
      <c r="N981" s="8"/>
      <c r="O981" s="8"/>
      <c r="P981" s="8"/>
      <c r="Q981" s="8"/>
      <c r="R981" s="8"/>
      <c r="S981" s="8"/>
      <c r="T981" s="8"/>
      <c r="U981" s="12"/>
      <c r="V981" s="12"/>
      <c r="W981" s="12"/>
      <c r="X981" s="12"/>
      <c r="Y981" s="12"/>
      <c r="Z981" s="12"/>
      <c r="AA981" s="12"/>
      <c r="AB981" s="12"/>
      <c r="AC981" s="12"/>
      <c r="AD981" s="12"/>
      <c r="AE981" s="12"/>
      <c r="AF981" s="12"/>
    </row>
    <row r="982" spans="1:32">
      <c r="A982" s="8"/>
      <c r="B982" s="8"/>
      <c r="C982" s="8"/>
      <c r="D982" s="8"/>
      <c r="E982" s="8"/>
      <c r="F982" s="8"/>
      <c r="G982" s="8"/>
      <c r="H982" s="8"/>
      <c r="I982" s="8"/>
      <c r="J982" s="8"/>
      <c r="K982" s="8"/>
      <c r="L982" s="8"/>
      <c r="M982" s="8"/>
      <c r="N982" s="8"/>
      <c r="O982" s="8"/>
      <c r="P982" s="8"/>
      <c r="Q982" s="8"/>
      <c r="R982" s="8"/>
      <c r="S982" s="8"/>
      <c r="T982" s="8"/>
      <c r="U982" s="12"/>
      <c r="V982" s="12"/>
      <c r="W982" s="12"/>
      <c r="X982" s="12"/>
      <c r="Y982" s="12"/>
      <c r="Z982" s="12"/>
      <c r="AA982" s="12"/>
      <c r="AB982" s="12"/>
      <c r="AC982" s="12"/>
      <c r="AD982" s="12"/>
      <c r="AE982" s="12"/>
      <c r="AF982" s="12"/>
    </row>
    <row r="983" spans="1:32">
      <c r="A983" s="8"/>
      <c r="B983" s="8"/>
      <c r="C983" s="8"/>
      <c r="D983" s="8"/>
      <c r="E983" s="8"/>
      <c r="F983" s="8"/>
      <c r="G983" s="8"/>
      <c r="H983" s="8"/>
      <c r="I983" s="8"/>
      <c r="J983" s="8"/>
      <c r="K983" s="8"/>
      <c r="L983" s="8"/>
      <c r="M983" s="8"/>
      <c r="N983" s="8"/>
      <c r="O983" s="8"/>
      <c r="P983" s="8"/>
      <c r="Q983" s="8"/>
      <c r="R983" s="8"/>
      <c r="S983" s="8"/>
      <c r="T983" s="8"/>
      <c r="U983" s="12"/>
      <c r="V983" s="12"/>
      <c r="W983" s="12"/>
      <c r="X983" s="12"/>
      <c r="Y983" s="12"/>
      <c r="Z983" s="12"/>
      <c r="AA983" s="12"/>
      <c r="AB983" s="12"/>
      <c r="AC983" s="12"/>
      <c r="AD983" s="12"/>
      <c r="AE983" s="12"/>
      <c r="AF983" s="12"/>
    </row>
    <row r="984" spans="1:32">
      <c r="A984" s="8"/>
      <c r="B984" s="8"/>
      <c r="C984" s="8"/>
      <c r="D984" s="8"/>
      <c r="E984" s="8"/>
      <c r="F984" s="8"/>
      <c r="G984" s="8"/>
      <c r="H984" s="8"/>
      <c r="I984" s="8"/>
      <c r="J984" s="8"/>
      <c r="K984" s="8"/>
      <c r="L984" s="8"/>
      <c r="M984" s="8"/>
      <c r="N984" s="8"/>
      <c r="O984" s="8"/>
      <c r="P984" s="8"/>
      <c r="Q984" s="8"/>
      <c r="R984" s="8"/>
      <c r="S984" s="8"/>
      <c r="T984" s="8"/>
      <c r="U984" s="12"/>
      <c r="V984" s="12"/>
      <c r="W984" s="12"/>
      <c r="X984" s="12"/>
      <c r="Y984" s="12"/>
      <c r="Z984" s="12"/>
      <c r="AA984" s="12"/>
      <c r="AB984" s="12"/>
      <c r="AC984" s="12"/>
      <c r="AD984" s="12"/>
      <c r="AE984" s="12"/>
      <c r="AF984" s="12"/>
    </row>
    <row r="985" spans="1:32">
      <c r="A985" s="8"/>
      <c r="B985" s="8"/>
      <c r="C985" s="8"/>
      <c r="D985" s="8"/>
      <c r="E985" s="8"/>
      <c r="F985" s="8"/>
      <c r="G985" s="8"/>
      <c r="H985" s="8"/>
      <c r="I985" s="8"/>
      <c r="J985" s="8"/>
      <c r="K985" s="8"/>
      <c r="L985" s="8"/>
      <c r="M985" s="8"/>
      <c r="N985" s="8"/>
      <c r="O985" s="8"/>
      <c r="P985" s="8"/>
      <c r="Q985" s="8"/>
      <c r="R985" s="8"/>
      <c r="S985" s="8"/>
      <c r="T985" s="8"/>
      <c r="U985" s="12"/>
      <c r="V985" s="12"/>
      <c r="W985" s="12"/>
      <c r="X985" s="12"/>
      <c r="Y985" s="12"/>
      <c r="Z985" s="12"/>
      <c r="AA985" s="12"/>
      <c r="AB985" s="12"/>
      <c r="AC985" s="12"/>
      <c r="AD985" s="12"/>
      <c r="AE985" s="12"/>
      <c r="AF985" s="12"/>
    </row>
    <row r="986" spans="1:32">
      <c r="A986" s="8"/>
      <c r="B986" s="8"/>
      <c r="C986" s="8"/>
      <c r="D986" s="8"/>
      <c r="E986" s="8"/>
      <c r="F986" s="8"/>
      <c r="G986" s="8"/>
      <c r="H986" s="8"/>
      <c r="I986" s="8"/>
      <c r="J986" s="8"/>
      <c r="K986" s="8"/>
      <c r="L986" s="8"/>
      <c r="M986" s="8"/>
      <c r="N986" s="8"/>
      <c r="O986" s="8"/>
      <c r="P986" s="8"/>
      <c r="Q986" s="8"/>
      <c r="R986" s="8"/>
      <c r="S986" s="8"/>
      <c r="T986" s="8"/>
      <c r="U986" s="12"/>
      <c r="V986" s="12"/>
      <c r="W986" s="12"/>
      <c r="X986" s="12"/>
      <c r="Y986" s="12"/>
      <c r="Z986" s="12"/>
      <c r="AA986" s="12"/>
      <c r="AB986" s="12"/>
      <c r="AC986" s="12"/>
      <c r="AD986" s="12"/>
      <c r="AE986" s="12"/>
      <c r="AF986" s="12"/>
    </row>
    <row r="987" spans="1:32">
      <c r="A987" s="8"/>
      <c r="B987" s="8"/>
      <c r="C987" s="8"/>
      <c r="D987" s="8"/>
      <c r="E987" s="8"/>
      <c r="F987" s="8"/>
      <c r="G987" s="8"/>
      <c r="H987" s="8"/>
      <c r="I987" s="8"/>
      <c r="J987" s="8"/>
      <c r="K987" s="8"/>
      <c r="L987" s="8"/>
      <c r="M987" s="8"/>
      <c r="N987" s="8"/>
      <c r="O987" s="8"/>
      <c r="P987" s="8"/>
      <c r="Q987" s="8"/>
      <c r="R987" s="8"/>
      <c r="S987" s="8"/>
      <c r="T987" s="8"/>
      <c r="U987" s="12"/>
      <c r="V987" s="12"/>
      <c r="W987" s="12"/>
      <c r="X987" s="12"/>
      <c r="Y987" s="12"/>
      <c r="Z987" s="12"/>
      <c r="AA987" s="12"/>
      <c r="AB987" s="12"/>
      <c r="AC987" s="12"/>
      <c r="AD987" s="12"/>
      <c r="AE987" s="12"/>
      <c r="AF987" s="12"/>
    </row>
    <row r="988" spans="1:32">
      <c r="A988" s="8"/>
      <c r="B988" s="8"/>
      <c r="C988" s="8"/>
      <c r="D988" s="8"/>
      <c r="E988" s="8"/>
      <c r="F988" s="8"/>
      <c r="G988" s="8"/>
      <c r="H988" s="8"/>
      <c r="I988" s="8"/>
      <c r="J988" s="8"/>
      <c r="K988" s="8"/>
      <c r="L988" s="8"/>
      <c r="M988" s="8"/>
      <c r="N988" s="8"/>
      <c r="O988" s="8"/>
      <c r="P988" s="8"/>
      <c r="Q988" s="8"/>
      <c r="R988" s="8"/>
      <c r="S988" s="8"/>
      <c r="T988" s="8"/>
      <c r="U988" s="12"/>
      <c r="V988" s="12"/>
      <c r="W988" s="12"/>
      <c r="X988" s="12"/>
      <c r="Y988" s="12"/>
      <c r="Z988" s="12"/>
      <c r="AA988" s="12"/>
      <c r="AB988" s="12"/>
      <c r="AC988" s="12"/>
      <c r="AD988" s="12"/>
      <c r="AE988" s="12"/>
      <c r="AF988" s="12"/>
    </row>
    <row r="989" spans="1:32">
      <c r="A989" s="8"/>
      <c r="B989" s="8"/>
      <c r="C989" s="8"/>
      <c r="D989" s="8"/>
      <c r="E989" s="8"/>
      <c r="F989" s="8"/>
      <c r="G989" s="8"/>
      <c r="H989" s="8"/>
      <c r="I989" s="8"/>
      <c r="J989" s="8"/>
      <c r="K989" s="8"/>
      <c r="L989" s="8"/>
      <c r="M989" s="8"/>
      <c r="N989" s="8"/>
      <c r="O989" s="8"/>
      <c r="P989" s="8"/>
      <c r="Q989" s="8"/>
      <c r="R989" s="8"/>
      <c r="S989" s="8"/>
      <c r="T989" s="8"/>
      <c r="U989" s="12"/>
      <c r="V989" s="12"/>
      <c r="W989" s="12"/>
      <c r="X989" s="12"/>
      <c r="Y989" s="12"/>
      <c r="Z989" s="12"/>
      <c r="AA989" s="12"/>
      <c r="AB989" s="12"/>
      <c r="AC989" s="12"/>
      <c r="AD989" s="12"/>
      <c r="AE989" s="12"/>
      <c r="AF989" s="12"/>
    </row>
    <row r="990" spans="1:32">
      <c r="A990" s="8"/>
      <c r="B990" s="8"/>
      <c r="C990" s="8"/>
      <c r="D990" s="8"/>
      <c r="E990" s="8"/>
      <c r="F990" s="8"/>
      <c r="G990" s="8"/>
      <c r="H990" s="8"/>
      <c r="I990" s="8"/>
      <c r="J990" s="8"/>
      <c r="K990" s="8"/>
      <c r="L990" s="8"/>
      <c r="M990" s="8"/>
      <c r="N990" s="8"/>
      <c r="O990" s="8"/>
      <c r="P990" s="8"/>
      <c r="Q990" s="8"/>
      <c r="R990" s="8"/>
      <c r="S990" s="8"/>
      <c r="T990" s="8"/>
      <c r="U990" s="12"/>
      <c r="V990" s="12"/>
      <c r="W990" s="12"/>
      <c r="X990" s="12"/>
      <c r="Y990" s="12"/>
      <c r="Z990" s="12"/>
      <c r="AA990" s="12"/>
      <c r="AB990" s="12"/>
      <c r="AC990" s="12"/>
      <c r="AD990" s="12"/>
      <c r="AE990" s="12"/>
      <c r="AF990" s="12"/>
    </row>
    <row r="991" spans="1:32">
      <c r="A991" s="8"/>
      <c r="B991" s="8"/>
      <c r="C991" s="8"/>
      <c r="D991" s="8"/>
      <c r="E991" s="8"/>
      <c r="F991" s="8"/>
      <c r="G991" s="8"/>
      <c r="H991" s="8"/>
      <c r="I991" s="8"/>
      <c r="J991" s="8"/>
      <c r="K991" s="8"/>
      <c r="L991" s="8"/>
      <c r="M991" s="8"/>
      <c r="N991" s="8"/>
      <c r="O991" s="8"/>
      <c r="P991" s="8"/>
      <c r="Q991" s="8"/>
      <c r="R991" s="8"/>
      <c r="S991" s="8"/>
      <c r="T991" s="8"/>
      <c r="U991" s="12"/>
      <c r="V991" s="12"/>
      <c r="W991" s="12"/>
      <c r="X991" s="12"/>
      <c r="Y991" s="12"/>
      <c r="Z991" s="12"/>
      <c r="AA991" s="12"/>
      <c r="AB991" s="12"/>
      <c r="AC991" s="12"/>
      <c r="AD991" s="12"/>
      <c r="AE991" s="12"/>
      <c r="AF991" s="12"/>
    </row>
  </sheetData>
  <conditionalFormatting sqref="Y1:Y991">
    <cfRule type="cellIs" dxfId="5" priority="1" operator="lessThan">
      <formula>4</formula>
    </cfRule>
  </conditionalFormatting>
  <conditionalFormatting sqref="Z1:Z991">
    <cfRule type="cellIs" dxfId="4" priority="2" operator="lessThan">
      <formula>3</formula>
    </cfRule>
  </conditionalFormatting>
  <conditionalFormatting sqref="AA1:AA991">
    <cfRule type="cellIs" dxfId="3" priority="3" operator="lessThan">
      <formula>1</formula>
    </cfRule>
  </conditionalFormatting>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BE984"/>
  <sheetViews>
    <sheetView workbookViewId="0">
      <pane ySplit="1" topLeftCell="A2" activePane="bottomLeft" state="frozen"/>
      <selection pane="bottomLeft" activeCell="B3" sqref="B3"/>
    </sheetView>
  </sheetViews>
  <sheetFormatPr defaultColWidth="12.6640625" defaultRowHeight="15.75" customHeight="1"/>
  <cols>
    <col min="1" max="1" width="10.33203125" customWidth="1"/>
    <col min="2" max="2" width="9.6640625" customWidth="1"/>
    <col min="3" max="3" width="9.88671875" customWidth="1"/>
    <col min="4" max="4" width="11.109375" customWidth="1"/>
    <col min="5" max="5" width="19.109375" customWidth="1"/>
    <col min="6" max="6" width="26.109375" customWidth="1"/>
    <col min="8" max="8" width="41.109375" customWidth="1"/>
    <col min="9" max="9" width="12.6640625" hidden="1"/>
    <col min="10" max="10" width="23.33203125" hidden="1" customWidth="1"/>
    <col min="11" max="11" width="12.6640625" hidden="1"/>
    <col min="12" max="12" width="19.33203125" hidden="1" customWidth="1"/>
    <col min="13" max="13" width="12.6640625" hidden="1"/>
    <col min="14" max="14" width="21.33203125" hidden="1" customWidth="1"/>
    <col min="15" max="15" width="12.6640625" hidden="1"/>
    <col min="16" max="16" width="23" hidden="1" customWidth="1"/>
    <col min="17" max="17" width="12.6640625" hidden="1"/>
    <col min="18" max="18" width="18.77734375" hidden="1" customWidth="1"/>
    <col min="19" max="19" width="12.6640625" hidden="1"/>
    <col min="20" max="20" width="21" hidden="1" customWidth="1"/>
    <col min="21" max="32" width="12.6640625" hidden="1"/>
    <col min="34" max="34" width="27" customWidth="1"/>
    <col min="36" max="36" width="29.44140625" customWidth="1"/>
    <col min="38" max="38" width="34.6640625" customWidth="1"/>
    <col min="40" max="40" width="31" customWidth="1"/>
    <col min="42" max="42" width="33.109375" customWidth="1"/>
    <col min="44" max="44" width="26" customWidth="1"/>
    <col min="46" max="46" width="29.44140625" customWidth="1"/>
  </cols>
  <sheetData>
    <row r="1" spans="1:57">
      <c r="A1" s="31" t="s">
        <v>0</v>
      </c>
      <c r="B1" s="31" t="s">
        <v>1</v>
      </c>
      <c r="C1" s="31" t="s">
        <v>2</v>
      </c>
      <c r="D1" s="32" t="s">
        <v>3</v>
      </c>
      <c r="E1" s="32" t="s">
        <v>4</v>
      </c>
      <c r="F1" s="45" t="s">
        <v>5</v>
      </c>
      <c r="G1" s="32" t="s">
        <v>6</v>
      </c>
      <c r="H1" s="32" t="s">
        <v>7</v>
      </c>
      <c r="I1" s="39" t="s">
        <v>8</v>
      </c>
      <c r="J1" s="39" t="s">
        <v>9</v>
      </c>
      <c r="K1" s="39" t="s">
        <v>10</v>
      </c>
      <c r="L1" s="39" t="s">
        <v>11</v>
      </c>
      <c r="M1" s="39" t="s">
        <v>12</v>
      </c>
      <c r="N1" s="39" t="s">
        <v>13</v>
      </c>
      <c r="O1" s="39" t="s">
        <v>14</v>
      </c>
      <c r="P1" s="39" t="s">
        <v>15</v>
      </c>
      <c r="Q1" s="39" t="s">
        <v>16</v>
      </c>
      <c r="R1" s="39" t="s">
        <v>17</v>
      </c>
      <c r="S1" s="39" t="s">
        <v>18</v>
      </c>
      <c r="T1" s="39" t="s">
        <v>19</v>
      </c>
      <c r="U1" s="46" t="s">
        <v>20</v>
      </c>
      <c r="V1" s="46" t="s">
        <v>21</v>
      </c>
      <c r="W1" s="46" t="s">
        <v>22</v>
      </c>
      <c r="X1" s="46" t="s">
        <v>23</v>
      </c>
      <c r="Y1" s="46" t="s">
        <v>24</v>
      </c>
      <c r="Z1" s="46" t="s">
        <v>25</v>
      </c>
      <c r="AA1" s="46" t="s">
        <v>26</v>
      </c>
      <c r="AB1" s="47" t="s">
        <v>27</v>
      </c>
      <c r="AC1" s="48" t="s">
        <v>28</v>
      </c>
      <c r="AD1" s="48" t="s">
        <v>29</v>
      </c>
      <c r="AE1" s="48" t="s">
        <v>30</v>
      </c>
      <c r="AF1" s="49" t="s">
        <v>415</v>
      </c>
      <c r="AG1" s="6" t="s">
        <v>32</v>
      </c>
      <c r="AH1" s="7" t="s">
        <v>33</v>
      </c>
      <c r="AI1" s="6" t="s">
        <v>34</v>
      </c>
      <c r="AJ1" s="7" t="s">
        <v>35</v>
      </c>
      <c r="AK1" s="6" t="s">
        <v>36</v>
      </c>
      <c r="AL1" s="7" t="s">
        <v>37</v>
      </c>
      <c r="AM1" s="6" t="s">
        <v>38</v>
      </c>
      <c r="AN1" s="7" t="s">
        <v>39</v>
      </c>
      <c r="AO1" s="6" t="s">
        <v>40</v>
      </c>
      <c r="AP1" s="7" t="s">
        <v>41</v>
      </c>
      <c r="AQ1" s="6" t="s">
        <v>42</v>
      </c>
      <c r="AR1" s="7" t="s">
        <v>43</v>
      </c>
      <c r="AS1" s="6" t="s">
        <v>44</v>
      </c>
      <c r="AT1" s="7" t="s">
        <v>45</v>
      </c>
      <c r="AU1" s="50"/>
      <c r="AV1" s="50"/>
      <c r="AW1" s="50"/>
      <c r="AX1" s="50"/>
      <c r="AY1" s="50"/>
      <c r="AZ1" s="50"/>
      <c r="BA1" s="50"/>
      <c r="BB1" s="50"/>
      <c r="BC1" s="50"/>
      <c r="BD1" s="50"/>
      <c r="BE1" s="50"/>
    </row>
    <row r="2" spans="1:57">
      <c r="A2" s="8" t="s">
        <v>247</v>
      </c>
      <c r="B2" s="8" t="s">
        <v>47</v>
      </c>
      <c r="C2" s="8" t="s">
        <v>731</v>
      </c>
      <c r="D2" s="8" t="s">
        <v>732</v>
      </c>
      <c r="E2" s="8" t="s">
        <v>567</v>
      </c>
      <c r="F2" s="51" t="s">
        <v>733</v>
      </c>
      <c r="G2" s="8" t="s">
        <v>734</v>
      </c>
      <c r="H2" s="8" t="str">
        <f ca="1">IFERROR(__xludf.DUMMYFUNCTION("VLOOKUP(G2, IMPORTRANGE(""https://docs.google.com/spreadsheets/d/14deopnvwcrKtEGCKuYXdUHJbeLDZlkiSSWWT0g7x2pM/edit#gid=999382323"", ""LU List Maths (Filter)!A:B""), 2, FALSE)"),"Closure property for addition of rational numbers")</f>
        <v>Closure property for addition of rational numbers</v>
      </c>
      <c r="I2" s="10" t="str">
        <f t="shared" ref="I2:I163" si="0">G2 &amp; ".001"</f>
        <v>LU001037.001</v>
      </c>
      <c r="J2" s="10" t="str">
        <f ca="1">IFERROR(__xludf.DUMMYFUNCTION("VLOOKUP(I2, IMPORTRANGE(""https://docs.google.com/spreadsheets/d/1yDAaXNsi4Mr5FtRQL4tbmSdIzhx6_m4wkOD7IG-k_eo/edit#gid=0"", ""Maths!M:N""), 2, FALSE)"),"Recall the definition of the closure property for addition of rational numbers.")</f>
        <v>Recall the definition of the closure property for addition of rational numbers.</v>
      </c>
      <c r="K2" s="10" t="str">
        <f t="shared" ref="K2:K163" si="1">G2 &amp; ".002"</f>
        <v>LU001037.002</v>
      </c>
      <c r="L2" s="10" t="str">
        <f ca="1">IFERROR(__xludf.DUMMYFUNCTION("VLOOKUP(K2, IMPORTRANGE(""https://docs.google.com/spreadsheets/d/1yDAaXNsi4Mr5FtRQL4tbmSdIzhx6_m4wkOD7IG-k_eo/edit#gid=0"", ""Maths!M:N""), 2, FALSE)"),"Explain why the closure property holds true for addition of rational numbers and its significance in mathematics.")</f>
        <v>Explain why the closure property holds true for addition of rational numbers and its significance in mathematics.</v>
      </c>
      <c r="M2" s="10" t="str">
        <f t="shared" ref="M2:M163" si="2">G2 &amp; ".003"</f>
        <v>LU001037.003</v>
      </c>
      <c r="N2" s="10" t="str">
        <f ca="1">IFERROR(__xludf.DUMMYFUNCTION("VLOOKUP(M2, IMPORTRANGE(""https://docs.google.com/spreadsheets/d/1yDAaXNsi4Mr5FtRQL4tbmSdIzhx6_m4wkOD7IG-k_eo/edit#gid=0"", ""Maths!M:N""), 2, FALSE)"),"Apply the closure property to demonstrate that the sum of two rational numbers is also a rational number in practical examples.")</f>
        <v>Apply the closure property to demonstrate that the sum of two rational numbers is also a rational number in practical examples.</v>
      </c>
      <c r="O2" s="10" t="str">
        <f t="shared" ref="O2:O163" si="3">G2 &amp; ".004"</f>
        <v>LU001037.004</v>
      </c>
      <c r="P2" s="10" t="str">
        <f ca="1">IFERROR(__xludf.DUMMYFUNCTION("VLOOKUP(O2, IMPORTRANGE(""https://docs.google.com/spreadsheets/d/1yDAaXNsi4Mr5FtRQL4tbmSdIzhx6_m4wkOD7IG-k_eo/edit#gid=0"", ""Maths!M:N""), 2, FALSE)"),"Analyze mathematical expressions to verify the closure property for addition of rational numbers in various scenarios.")</f>
        <v>Analyze mathematical expressions to verify the closure property for addition of rational numbers in various scenarios.</v>
      </c>
      <c r="Q2" s="10" t="str">
        <f t="shared" ref="Q2:Q163" si="4">G2 &amp; ".005"</f>
        <v>LU001037.005</v>
      </c>
      <c r="R2" s="10" t="str">
        <f ca="1">IFERROR(__xludf.DUMMYFUNCTION("VLOOKUP(Q2, IMPORTRANGE(""https://docs.google.com/spreadsheets/d/1yDAaXNsi4Mr5FtRQL4tbmSdIzhx6_m4wkOD7IG-k_eo/edit#gid=0"", ""Maths!M:N""), 2, FALSE)"),"Evaluate the validity of statements regarding the closure property and its application in rational number addition.")</f>
        <v>Evaluate the validity of statements regarding the closure property and its application in rational number addition.</v>
      </c>
      <c r="S2" s="10" t="str">
        <f t="shared" ref="S2:S163" si="5">G2 &amp; ".006"</f>
        <v>LU001037.006</v>
      </c>
      <c r="T2" s="10" t="str">
        <f ca="1">IFERROR(__xludf.DUMMYFUNCTION("VLOOKUP(S2, IMPORTRANGE(""https://docs.google.com/spreadsheets/d/1yDAaXNsi4Mr5FtRQL4tbmSdIzhx6_m4wkOD7IG-k_eo/edit#gid=0"", ""Maths!M:N""), 2, FALSE)"),"#N/A")</f>
        <v>#N/A</v>
      </c>
      <c r="U2" s="52">
        <f ca="1">IFERROR(__xludf.DUMMYFUNCTION("ArrayFormula(VLOOKUP(G2, IMPORTRANGE(""https://docs.google.com/spreadsheets/d/1p7R4vtkWt5VOBim4ltsDG9KTzSjrtKXsMtQGXPHyND0/edit#gid=795171502"", ""'Filter 30_05_2024'!A1:M2000""), {2, 3, 4, 5,6,7,8,9,10,11,12,13}, 0))"),4)</f>
        <v>4</v>
      </c>
      <c r="V2" s="52">
        <f ca="1">IFERROR(__xludf.DUMMYFUNCTION("""COMPUTED_VALUE"""),6)</f>
        <v>6</v>
      </c>
      <c r="W2" s="52">
        <f ca="1">IFERROR(__xludf.DUMMYFUNCTION("""COMPUTED_VALUE"""),2)</f>
        <v>2</v>
      </c>
      <c r="X2" s="52">
        <f ca="1">IFERROR(__xludf.DUMMYFUNCTION("""COMPUTED_VALUE"""),12)</f>
        <v>12</v>
      </c>
      <c r="Y2" s="52">
        <f ca="1">IFERROR(__xludf.DUMMYFUNCTION("""COMPUTED_VALUE"""),4)</f>
        <v>4</v>
      </c>
      <c r="Z2" s="53">
        <f ca="1">IFERROR(__xludf.DUMMYFUNCTION("""COMPUTED_VALUE"""),3)</f>
        <v>3</v>
      </c>
      <c r="AA2" s="53">
        <f ca="1">IFERROR(__xludf.DUMMYFUNCTION("""COMPUTED_VALUE"""),1)</f>
        <v>1</v>
      </c>
      <c r="AB2" s="53">
        <f ca="1">IFERROR(__xludf.DUMMYFUNCTION("""COMPUTED_VALUE"""),8)</f>
        <v>8</v>
      </c>
      <c r="AC2" s="53"/>
      <c r="AD2" s="53"/>
      <c r="AE2" s="53"/>
      <c r="AF2" s="53"/>
      <c r="AG2" s="8" t="str">
        <f ca="1">IFERROR(__xludf.DUMMYFUNCTION("ArrayFormula(VLOOKUP(G2, IMPORTRANGE(""https://docs.google.com/spreadsheets/d/1Co934fvtviyaRiMsrIlT05Jaq7iiYq07aLvRr35KA48/edit?gid=173865642#gid=173865642"", ""'G8_Maths_Pri_LU'!G2:V2000""), {3, 4, 5, 6, 7, 8, 9, 10, 11, 12, 13, 14, 15, 16}, 0))"),"LU000991")</f>
        <v>LU000991</v>
      </c>
      <c r="AH2" s="8" t="str">
        <f ca="1">IFERROR(__xludf.DUMMYFUNCTION("""COMPUTED_VALUE"""),"Closure property for addition of integers")</f>
        <v>Closure property for addition of integers</v>
      </c>
      <c r="AI2" s="8" t="str">
        <f ca="1">IFERROR(__xludf.DUMMYFUNCTION("""COMPUTED_VALUE"""),"LU000474")</f>
        <v>LU000474</v>
      </c>
      <c r="AJ2" s="8" t="str">
        <f ca="1">IFERROR(__xludf.DUMMYFUNCTION("""COMPUTED_VALUE"""),"Addition of rational numbers")</f>
        <v>Addition of rational numbers</v>
      </c>
      <c r="AK2" s="8" t="str">
        <f ca="1">IFERROR(__xludf.DUMMYFUNCTION("""COMPUTED_VALUE"""),"LU000464")</f>
        <v>LU000464</v>
      </c>
      <c r="AL2" s="8" t="str">
        <f ca="1">IFERROR(__xludf.DUMMYFUNCTION("""COMPUTED_VALUE"""),"Definition of rational numbers")</f>
        <v>Definition of rational numbers</v>
      </c>
      <c r="AM2" s="8"/>
      <c r="AN2" s="8"/>
      <c r="AO2" s="8"/>
      <c r="AP2" s="8"/>
      <c r="AQ2" s="8"/>
      <c r="AR2" s="8"/>
      <c r="AS2" s="8"/>
      <c r="AT2" s="8"/>
      <c r="AU2" s="8"/>
      <c r="AV2" s="8"/>
      <c r="AW2" s="8"/>
      <c r="AX2" s="8"/>
      <c r="AY2" s="8"/>
      <c r="AZ2" s="8"/>
      <c r="BA2" s="8"/>
      <c r="BB2" s="8"/>
      <c r="BC2" s="8"/>
      <c r="BD2" s="8"/>
      <c r="BE2" s="8"/>
    </row>
    <row r="3" spans="1:57">
      <c r="A3" s="8" t="s">
        <v>247</v>
      </c>
      <c r="B3" s="8" t="s">
        <v>47</v>
      </c>
      <c r="C3" s="8" t="s">
        <v>731</v>
      </c>
      <c r="D3" s="8" t="s">
        <v>732</v>
      </c>
      <c r="E3" s="8" t="s">
        <v>567</v>
      </c>
      <c r="F3" s="51" t="s">
        <v>733</v>
      </c>
      <c r="G3" s="8" t="s">
        <v>735</v>
      </c>
      <c r="H3" s="8" t="str">
        <f ca="1">IFERROR(__xludf.DUMMYFUNCTION("VLOOKUP(G3, IMPORTRANGE(""https://docs.google.com/spreadsheets/d/14deopnvwcrKtEGCKuYXdUHJbeLDZlkiSSWWT0g7x2pM/edit#gid=999382323"", ""LU List Maths (Filter)!A:B""), 2, FALSE)"),"Closure property for subtraction of rational numbers")</f>
        <v>Closure property for subtraction of rational numbers</v>
      </c>
      <c r="I3" s="10" t="str">
        <f t="shared" si="0"/>
        <v>LU001038.001</v>
      </c>
      <c r="J3" s="10" t="str">
        <f ca="1">IFERROR(__xludf.DUMMYFUNCTION("VLOOKUP(I3, IMPORTRANGE(""https://docs.google.com/spreadsheets/d/1yDAaXNsi4Mr5FtRQL4tbmSdIzhx6_m4wkOD7IG-k_eo/edit#gid=0"", ""Maths!M:N""), 2, FALSE)"),"Recall the definition of the closure property for subtraction of rational numbers.")</f>
        <v>Recall the definition of the closure property for subtraction of rational numbers.</v>
      </c>
      <c r="K3" s="10" t="str">
        <f t="shared" si="1"/>
        <v>LU001038.002</v>
      </c>
      <c r="L3" s="10" t="str">
        <f ca="1">IFERROR(__xludf.DUMMYFUNCTION("VLOOKUP(K3, IMPORTRANGE(""https://docs.google.com/spreadsheets/d/1yDAaXNsi4Mr5FtRQL4tbmSdIzhx6_m4wkOD7IG-k_eo/edit#gid=0"", ""Maths!M:N""), 2, FALSE)"),"Explain why the closure property holds true for subtraction of rational numbers and its mathematical significance.")</f>
        <v>Explain why the closure property holds true for subtraction of rational numbers and its mathematical significance.</v>
      </c>
      <c r="M3" s="10" t="str">
        <f t="shared" si="2"/>
        <v>LU001038.003</v>
      </c>
      <c r="N3" s="10" t="str">
        <f ca="1">IFERROR(__xludf.DUMMYFUNCTION("VLOOKUP(M3, IMPORTRANGE(""https://docs.google.com/spreadsheets/d/1yDAaXNsi4Mr5FtRQL4tbmSdIzhx6_m4wkOD7IG-k_eo/edit#gid=0"", ""Maths!M:N""), 2, FALSE)"),"Apply the closure property to demonstrate that the difference between two rational numbers is also a rational number in practical examples.")</f>
        <v>Apply the closure property to demonstrate that the difference between two rational numbers is also a rational number in practical examples.</v>
      </c>
      <c r="O3" s="10" t="str">
        <f t="shared" si="3"/>
        <v>LU001038.004</v>
      </c>
      <c r="P3" s="10" t="str">
        <f ca="1">IFERROR(__xludf.DUMMYFUNCTION("VLOOKUP(O3, IMPORTRANGE(""https://docs.google.com/spreadsheets/d/1yDAaXNsi4Mr5FtRQL4tbmSdIzhx6_m4wkOD7IG-k_eo/edit#gid=0"", ""Maths!M:N""), 2, FALSE)"),"Analyze mathematical expressions to verify the closure property for subtraction of rational numbers in various scenarios.")</f>
        <v>Analyze mathematical expressions to verify the closure property for subtraction of rational numbers in various scenarios.</v>
      </c>
      <c r="Q3" s="10" t="str">
        <f t="shared" si="4"/>
        <v>LU001038.005</v>
      </c>
      <c r="R3" s="10" t="str">
        <f ca="1">IFERROR(__xludf.DUMMYFUNCTION("VLOOKUP(Q3, IMPORTRANGE(""https://docs.google.com/spreadsheets/d/1yDAaXNsi4Mr5FtRQL4tbmSdIzhx6_m4wkOD7IG-k_eo/edit#gid=0"", ""Maths!M:N""), 2, FALSE)"),"Evaluate the correctness of statements related to the closure property and its application in rational number subtraction.")</f>
        <v>Evaluate the correctness of statements related to the closure property and its application in rational number subtraction.</v>
      </c>
      <c r="S3" s="10" t="str">
        <f t="shared" si="5"/>
        <v>LU001038.006</v>
      </c>
      <c r="T3" s="10" t="str">
        <f ca="1">IFERROR(__xludf.DUMMYFUNCTION("VLOOKUP(S3, IMPORTRANGE(""https://docs.google.com/spreadsheets/d/1yDAaXNsi4Mr5FtRQL4tbmSdIzhx6_m4wkOD7IG-k_eo/edit#gid=0"", ""Maths!M:N""), 2, FALSE)"),"#N/A")</f>
        <v>#N/A</v>
      </c>
      <c r="U3" s="52">
        <f ca="1">IFERROR(__xludf.DUMMYFUNCTION("ArrayFormula(VLOOKUP(G3, IMPORTRANGE(""https://docs.google.com/spreadsheets/d/1p7R4vtkWt5VOBim4ltsDG9KTzSjrtKXsMtQGXPHyND0/edit#gid=795171502"", ""'Filter 30_05_2024'!A1:M2000""), {2, 3, 4, 5,6,7,8,9,10,11,12,13}, 0))"),4)</f>
        <v>4</v>
      </c>
      <c r="V3" s="52">
        <f ca="1">IFERROR(__xludf.DUMMYFUNCTION("""COMPUTED_VALUE"""),6)</f>
        <v>6</v>
      </c>
      <c r="W3" s="52">
        <f ca="1">IFERROR(__xludf.DUMMYFUNCTION("""COMPUTED_VALUE"""),2)</f>
        <v>2</v>
      </c>
      <c r="X3" s="52">
        <f ca="1">IFERROR(__xludf.DUMMYFUNCTION("""COMPUTED_VALUE"""),12)</f>
        <v>12</v>
      </c>
      <c r="Y3" s="52">
        <f ca="1">IFERROR(__xludf.DUMMYFUNCTION("""COMPUTED_VALUE"""),4)</f>
        <v>4</v>
      </c>
      <c r="Z3" s="53">
        <f ca="1">IFERROR(__xludf.DUMMYFUNCTION("""COMPUTED_VALUE"""),3)</f>
        <v>3</v>
      </c>
      <c r="AA3" s="53">
        <f ca="1">IFERROR(__xludf.DUMMYFUNCTION("""COMPUTED_VALUE"""),1)</f>
        <v>1</v>
      </c>
      <c r="AB3" s="53">
        <f ca="1">IFERROR(__xludf.DUMMYFUNCTION("""COMPUTED_VALUE"""),8)</f>
        <v>8</v>
      </c>
      <c r="AC3" s="53"/>
      <c r="AD3" s="53"/>
      <c r="AE3" s="53"/>
      <c r="AF3" s="53"/>
      <c r="AG3" s="8" t="str">
        <f ca="1">IFERROR(__xludf.DUMMYFUNCTION("ArrayFormula(VLOOKUP(G3, IMPORTRANGE(""https://docs.google.com/spreadsheets/d/1Co934fvtviyaRiMsrIlT05Jaq7iiYq07aLvRr35KA48/edit?gid=173865642#gid=173865642"", ""'G8_Maths_Pri_LU'!G2:V2000""), {3, 4, 5, 6, 7, 8, 9, 10, 11, 12, 13, 14, 15, 16}, 0))"),"LU000992")</f>
        <v>LU000992</v>
      </c>
      <c r="AH3" s="8" t="str">
        <f ca="1">IFERROR(__xludf.DUMMYFUNCTION("""COMPUTED_VALUE"""),"Closure property for subtraction of integers")</f>
        <v>Closure property for subtraction of integers</v>
      </c>
      <c r="AI3" s="8" t="str">
        <f ca="1">IFERROR(__xludf.DUMMYFUNCTION("""COMPUTED_VALUE"""),"LU000475")</f>
        <v>LU000475</v>
      </c>
      <c r="AJ3" s="8" t="str">
        <f ca="1">IFERROR(__xludf.DUMMYFUNCTION("""COMPUTED_VALUE"""),"Subtraction of rational numbers")</f>
        <v>Subtraction of rational numbers</v>
      </c>
      <c r="AK3" s="8" t="str">
        <f ca="1">IFERROR(__xludf.DUMMYFUNCTION("""COMPUTED_VALUE"""),"LU000464")</f>
        <v>LU000464</v>
      </c>
      <c r="AL3" s="8" t="str">
        <f ca="1">IFERROR(__xludf.DUMMYFUNCTION("""COMPUTED_VALUE"""),"Definition of rational numbers")</f>
        <v>Definition of rational numbers</v>
      </c>
      <c r="AM3" s="8"/>
      <c r="AN3" s="8"/>
      <c r="AO3" s="8"/>
      <c r="AP3" s="8"/>
      <c r="AQ3" s="8"/>
      <c r="AR3" s="8"/>
      <c r="AS3" s="8"/>
      <c r="AT3" s="8"/>
      <c r="AU3" s="8"/>
      <c r="AV3" s="8"/>
      <c r="AW3" s="8"/>
      <c r="AX3" s="8"/>
      <c r="AY3" s="8"/>
      <c r="AZ3" s="8"/>
      <c r="BA3" s="8"/>
      <c r="BB3" s="8"/>
      <c r="BC3" s="8"/>
      <c r="BD3" s="8"/>
      <c r="BE3" s="8"/>
    </row>
    <row r="4" spans="1:57">
      <c r="A4" s="8" t="s">
        <v>247</v>
      </c>
      <c r="B4" s="8" t="s">
        <v>47</v>
      </c>
      <c r="C4" s="8" t="s">
        <v>731</v>
      </c>
      <c r="D4" s="8" t="s">
        <v>732</v>
      </c>
      <c r="E4" s="8" t="s">
        <v>567</v>
      </c>
      <c r="F4" s="51" t="s">
        <v>736</v>
      </c>
      <c r="G4" s="8" t="s">
        <v>737</v>
      </c>
      <c r="H4" s="8" t="str">
        <f ca="1">IFERROR(__xludf.DUMMYFUNCTION("VLOOKUP(G4, IMPORTRANGE(""https://docs.google.com/spreadsheets/d/14deopnvwcrKtEGCKuYXdUHJbeLDZlkiSSWWT0g7x2pM/edit#gid=999382323"", ""LU List Maths (Filter)!A:B""), 2, FALSE)"),"Closure property for multiplication of rational numbers")</f>
        <v>Closure property for multiplication of rational numbers</v>
      </c>
      <c r="I4" s="10" t="str">
        <f t="shared" si="0"/>
        <v>LU001039.001</v>
      </c>
      <c r="J4" s="10" t="str">
        <f ca="1">IFERROR(__xludf.DUMMYFUNCTION("VLOOKUP(I4, IMPORTRANGE(""https://docs.google.com/spreadsheets/d/1yDAaXNsi4Mr5FtRQL4tbmSdIzhx6_m4wkOD7IG-k_eo/edit#gid=0"", ""Maths!M:N""), 2, FALSE)"),"Recall the definition of the closure property for multiplication of rational numbers.")</f>
        <v>Recall the definition of the closure property for multiplication of rational numbers.</v>
      </c>
      <c r="K4" s="10" t="str">
        <f t="shared" si="1"/>
        <v>LU001039.002</v>
      </c>
      <c r="L4" s="10" t="str">
        <f ca="1">IFERROR(__xludf.DUMMYFUNCTION("VLOOKUP(K4, IMPORTRANGE(""https://docs.google.com/spreadsheets/d/1yDAaXNsi4Mr5FtRQL4tbmSdIzhx6_m4wkOD7IG-k_eo/edit#gid=0"", ""Maths!M:N""), 2, FALSE)"),"Explain why the closure property holds true for multiplication of rational numbers and its significance in mathematics.")</f>
        <v>Explain why the closure property holds true for multiplication of rational numbers and its significance in mathematics.</v>
      </c>
      <c r="M4" s="10" t="str">
        <f t="shared" si="2"/>
        <v>LU001039.003</v>
      </c>
      <c r="N4" s="10" t="str">
        <f ca="1">IFERROR(__xludf.DUMMYFUNCTION("VLOOKUP(M4, IMPORTRANGE(""https://docs.google.com/spreadsheets/d/1yDAaXNsi4Mr5FtRQL4tbmSdIzhx6_m4wkOD7IG-k_eo/edit#gid=0"", ""Maths!M:N""), 2, FALSE)"),"Apply the closure property to demonstrate that the product of two rational numbers is also a rational number in practical examples.")</f>
        <v>Apply the closure property to demonstrate that the product of two rational numbers is also a rational number in practical examples.</v>
      </c>
      <c r="O4" s="10" t="str">
        <f t="shared" si="3"/>
        <v>LU001039.004</v>
      </c>
      <c r="P4" s="10" t="str">
        <f ca="1">IFERROR(__xludf.DUMMYFUNCTION("VLOOKUP(O4, IMPORTRANGE(""https://docs.google.com/spreadsheets/d/1yDAaXNsi4Mr5FtRQL4tbmSdIzhx6_m4wkOD7IG-k_eo/edit#gid=0"", ""Maths!M:N""), 2, FALSE)"),"Analyze mathematical expressions to verify the closure property for multiplication of rational numbers in various scenarios.")</f>
        <v>Analyze mathematical expressions to verify the closure property for multiplication of rational numbers in various scenarios.</v>
      </c>
      <c r="Q4" s="10" t="str">
        <f t="shared" si="4"/>
        <v>LU001039.005</v>
      </c>
      <c r="R4" s="10" t="str">
        <f ca="1">IFERROR(__xludf.DUMMYFUNCTION("VLOOKUP(Q4, IMPORTRANGE(""https://docs.google.com/spreadsheets/d/1yDAaXNsi4Mr5FtRQL4tbmSdIzhx6_m4wkOD7IG-k_eo/edit#gid=0"", ""Maths!M:N""), 2, FALSE)"),"Evaluate the validity of statements regarding the closure property and its application in rational number multiplication.")</f>
        <v>Evaluate the validity of statements regarding the closure property and its application in rational number multiplication.</v>
      </c>
      <c r="S4" s="10" t="str">
        <f t="shared" si="5"/>
        <v>LU001039.006</v>
      </c>
      <c r="T4" s="10" t="str">
        <f ca="1">IFERROR(__xludf.DUMMYFUNCTION("VLOOKUP(S4, IMPORTRANGE(""https://docs.google.com/spreadsheets/d/1yDAaXNsi4Mr5FtRQL4tbmSdIzhx6_m4wkOD7IG-k_eo/edit#gid=0"", ""Maths!M:N""), 2, FALSE)"),"#N/A")</f>
        <v>#N/A</v>
      </c>
      <c r="U4" s="52">
        <f ca="1">IFERROR(__xludf.DUMMYFUNCTION("ArrayFormula(VLOOKUP(G4, IMPORTRANGE(""https://docs.google.com/spreadsheets/d/1p7R4vtkWt5VOBim4ltsDG9KTzSjrtKXsMtQGXPHyND0/edit#gid=795171502"", ""'Filter 30_05_2024'!A1:M2000""), {2, 3, 4, 5,6,7,8,9,10,11,12,13}, 0))"),4)</f>
        <v>4</v>
      </c>
      <c r="V4" s="52">
        <f ca="1">IFERROR(__xludf.DUMMYFUNCTION("""COMPUTED_VALUE"""),6)</f>
        <v>6</v>
      </c>
      <c r="W4" s="52">
        <f ca="1">IFERROR(__xludf.DUMMYFUNCTION("""COMPUTED_VALUE"""),2)</f>
        <v>2</v>
      </c>
      <c r="X4" s="52">
        <f ca="1">IFERROR(__xludf.DUMMYFUNCTION("""COMPUTED_VALUE"""),12)</f>
        <v>12</v>
      </c>
      <c r="Y4" s="52">
        <f ca="1">IFERROR(__xludf.DUMMYFUNCTION("""COMPUTED_VALUE"""),4)</f>
        <v>4</v>
      </c>
      <c r="Z4" s="53">
        <f ca="1">IFERROR(__xludf.DUMMYFUNCTION("""COMPUTED_VALUE"""),3)</f>
        <v>3</v>
      </c>
      <c r="AA4" s="53">
        <f ca="1">IFERROR(__xludf.DUMMYFUNCTION("""COMPUTED_VALUE"""),1)</f>
        <v>1</v>
      </c>
      <c r="AB4" s="53">
        <f ca="1">IFERROR(__xludf.DUMMYFUNCTION("""COMPUTED_VALUE"""),8)</f>
        <v>8</v>
      </c>
      <c r="AC4" s="53"/>
      <c r="AD4" s="53"/>
      <c r="AE4" s="53"/>
      <c r="AF4" s="53"/>
      <c r="AG4" s="8" t="str">
        <f ca="1">IFERROR(__xludf.DUMMYFUNCTION("ArrayFormula(VLOOKUP(G4, IMPORTRANGE(""https://docs.google.com/spreadsheets/d/1Co934fvtviyaRiMsrIlT05Jaq7iiYq07aLvRr35KA48/edit?gid=173865642#gid=173865642"", ""'G8_Maths_Pri_LU'!G2:V2000""), {3, 4, 5, 6, 7, 8, 9, 10, 11, 12, 13, 14, 15, 16}, 0))"),"LU000993")</f>
        <v>LU000993</v>
      </c>
      <c r="AH4" s="8" t="str">
        <f ca="1">IFERROR(__xludf.DUMMYFUNCTION("""COMPUTED_VALUE"""),"Closure property for multiplication of integers")</f>
        <v>Closure property for multiplication of integers</v>
      </c>
      <c r="AI4" s="8" t="str">
        <f ca="1">IFERROR(__xludf.DUMMYFUNCTION("""COMPUTED_VALUE"""),"LU000476")</f>
        <v>LU000476</v>
      </c>
      <c r="AJ4" s="8" t="str">
        <f ca="1">IFERROR(__xludf.DUMMYFUNCTION("""COMPUTED_VALUE"""),"Multiplication of rational numbers")</f>
        <v>Multiplication of rational numbers</v>
      </c>
      <c r="AK4" s="8" t="str">
        <f ca="1">IFERROR(__xludf.DUMMYFUNCTION("""COMPUTED_VALUE"""),"LU000464")</f>
        <v>LU000464</v>
      </c>
      <c r="AL4" s="8" t="str">
        <f ca="1">IFERROR(__xludf.DUMMYFUNCTION("""COMPUTED_VALUE"""),"Definition of rational numbers")</f>
        <v>Definition of rational numbers</v>
      </c>
      <c r="AM4" s="8"/>
      <c r="AN4" s="8"/>
      <c r="AO4" s="8"/>
      <c r="AP4" s="8"/>
      <c r="AQ4" s="8"/>
      <c r="AR4" s="8"/>
      <c r="AS4" s="8"/>
      <c r="AT4" s="8"/>
      <c r="AU4" s="8"/>
      <c r="AV4" s="8"/>
      <c r="AW4" s="8"/>
      <c r="AX4" s="8"/>
      <c r="AY4" s="8"/>
      <c r="AZ4" s="8"/>
      <c r="BA4" s="8"/>
      <c r="BB4" s="8"/>
      <c r="BC4" s="8"/>
      <c r="BD4" s="8"/>
      <c r="BE4" s="8"/>
    </row>
    <row r="5" spans="1:57">
      <c r="A5" s="8" t="s">
        <v>247</v>
      </c>
      <c r="B5" s="8" t="s">
        <v>47</v>
      </c>
      <c r="C5" s="8" t="s">
        <v>731</v>
      </c>
      <c r="D5" s="8" t="s">
        <v>732</v>
      </c>
      <c r="E5" s="8" t="s">
        <v>567</v>
      </c>
      <c r="F5" s="51" t="s">
        <v>736</v>
      </c>
      <c r="G5" s="40" t="s">
        <v>738</v>
      </c>
      <c r="H5" s="40" t="str">
        <f ca="1">IFERROR(__xludf.DUMMYFUNCTION("VLOOKUP(G5, IMPORTRANGE(""https://docs.google.com/spreadsheets/d/14deopnvwcrKtEGCKuYXdUHJbeLDZlkiSSWWT0g7x2pM/edit#gid=999382323"", ""LU List Maths (Filter)!A:B""), 2, FALSE)"),"Examination of closure property for division of rational numbers")</f>
        <v>Examination of closure property for division of rational numbers</v>
      </c>
      <c r="I5" s="10" t="str">
        <f t="shared" si="0"/>
        <v>LU001040.001</v>
      </c>
      <c r="J5" s="10" t="str">
        <f ca="1">IFERROR(__xludf.DUMMYFUNCTION("VLOOKUP(I5, IMPORTRANGE(""https://docs.google.com/spreadsheets/d/1yDAaXNsi4Mr5FtRQL4tbmSdIzhx6_m4wkOD7IG-k_eo/edit#gid=0"", ""Maths!M:N""), 2, FALSE)"),"State that the closure property generally holds for the division of rational numbers, except when dividing by zero.")</f>
        <v>State that the closure property generally holds for the division of rational numbers, except when dividing by zero.</v>
      </c>
      <c r="K5" s="10" t="str">
        <f t="shared" si="1"/>
        <v>LU001040.002</v>
      </c>
      <c r="L5" s="10" t="str">
        <f ca="1">IFERROR(__xludf.DUMMYFUNCTION("VLOOKUP(K5, IMPORTRANGE(""https://docs.google.com/spreadsheets/d/1yDAaXNsi4Mr5FtRQL4tbmSdIzhx6_m4wkOD7IG-k_eo/edit#gid=0"", ""Maths!M:N""), 2, FALSE)"),"Explain why the closure property holds for the division of rational numbers, except in cases involving division by zero.")</f>
        <v>Explain why the closure property holds for the division of rational numbers, except in cases involving division by zero.</v>
      </c>
      <c r="M5" s="10" t="str">
        <f t="shared" si="2"/>
        <v>LU001040.003</v>
      </c>
      <c r="N5" s="10" t="str">
        <f ca="1">IFERROR(__xludf.DUMMYFUNCTION("VLOOKUP(M5, IMPORTRANGE(""https://docs.google.com/spreadsheets/d/1yDAaXNsi4Mr5FtRQL4tbmSdIzhx6_m4wkOD7IG-k_eo/edit#gid=0"", ""Maths!M:N""), 2, FALSE)"),"Identify examples where division of rational numbers upholds the closure property, and examples where it fails due to division by zero.")</f>
        <v>Identify examples where division of rational numbers upholds the closure property, and examples where it fails due to division by zero.</v>
      </c>
      <c r="O5" s="10" t="str">
        <f t="shared" si="3"/>
        <v>LU001040.004</v>
      </c>
      <c r="P5" s="10" t="str">
        <f ca="1">IFERROR(__xludf.DUMMYFUNCTION("VLOOKUP(O5, IMPORTRANGE(""https://docs.google.com/spreadsheets/d/1yDAaXNsi4Mr5FtRQL4tbmSdIzhx6_m4wkOD7IG-k_eo/edit#gid=0"", ""Maths!M:N""), 2, FALSE)"),"Analyse a range of division problems involving rational numbers to demonstrate the closure property, and identify cases of division by zero.")</f>
        <v>Analyse a range of division problems involving rational numbers to demonstrate the closure property, and identify cases of division by zero.</v>
      </c>
      <c r="Q5" s="10" t="str">
        <f t="shared" si="4"/>
        <v>LU001040.005</v>
      </c>
      <c r="R5" s="10" t="str">
        <f ca="1">IFERROR(__xludf.DUMMYFUNCTION("VLOOKUP(Q5, IMPORTRANGE(""https://docs.google.com/spreadsheets/d/1yDAaXNsi4Mr5FtRQL4tbmSdIzhx6_m4wkOD7IG-k_eo/edit#gid=0"", ""Maths!M:N""), 2, FALSE)"),"Evaluate the correctness of statements regarding the closure property in the context of dividing rational numbers, with special attention to division by zero.")</f>
        <v>Evaluate the correctness of statements regarding the closure property in the context of dividing rational numbers, with special attention to division by zero.</v>
      </c>
      <c r="S5" s="10" t="str">
        <f t="shared" si="5"/>
        <v>LU001040.006</v>
      </c>
      <c r="T5" s="10" t="str">
        <f ca="1">IFERROR(__xludf.DUMMYFUNCTION("VLOOKUP(S5, IMPORTRANGE(""https://docs.google.com/spreadsheets/d/1yDAaXNsi4Mr5FtRQL4tbmSdIzhx6_m4wkOD7IG-k_eo/edit#gid=0"", ""Maths!M:N""), 2, FALSE)"),"#N/A")</f>
        <v>#N/A</v>
      </c>
      <c r="U5" s="52">
        <f ca="1">IFERROR(__xludf.DUMMYFUNCTION("ArrayFormula(VLOOKUP(G5, IMPORTRANGE(""https://docs.google.com/spreadsheets/d/1p7R4vtkWt5VOBim4ltsDG9KTzSjrtKXsMtQGXPHyND0/edit#gid=795171502"", ""'Filter 30_05_2024'!A1:M2000""), {2, 3, 4, 5,6,7,8,9,10,11,12,13}, 0))"),4)</f>
        <v>4</v>
      </c>
      <c r="V5" s="52">
        <f ca="1">IFERROR(__xludf.DUMMYFUNCTION("""COMPUTED_VALUE"""),6)</f>
        <v>6</v>
      </c>
      <c r="W5" s="52">
        <f ca="1">IFERROR(__xludf.DUMMYFUNCTION("""COMPUTED_VALUE"""),2)</f>
        <v>2</v>
      </c>
      <c r="X5" s="52">
        <f ca="1">IFERROR(__xludf.DUMMYFUNCTION("""COMPUTED_VALUE"""),12)</f>
        <v>12</v>
      </c>
      <c r="Y5" s="52">
        <f ca="1">IFERROR(__xludf.DUMMYFUNCTION("""COMPUTED_VALUE"""),4)</f>
        <v>4</v>
      </c>
      <c r="Z5" s="53">
        <f ca="1">IFERROR(__xludf.DUMMYFUNCTION("""COMPUTED_VALUE"""),3)</f>
        <v>3</v>
      </c>
      <c r="AA5" s="53">
        <f ca="1">IFERROR(__xludf.DUMMYFUNCTION("""COMPUTED_VALUE"""),1)</f>
        <v>1</v>
      </c>
      <c r="AB5" s="53">
        <f ca="1">IFERROR(__xludf.DUMMYFUNCTION("""COMPUTED_VALUE"""),8)</f>
        <v>8</v>
      </c>
      <c r="AC5" s="53"/>
      <c r="AD5" s="53"/>
      <c r="AE5" s="53"/>
      <c r="AF5" s="53"/>
      <c r="AG5" s="8" t="str">
        <f ca="1">IFERROR(__xludf.DUMMYFUNCTION("ArrayFormula(VLOOKUP(G5, IMPORTRANGE(""https://docs.google.com/spreadsheets/d/1Co934fvtviyaRiMsrIlT05Jaq7iiYq07aLvRr35KA48/edit?gid=173865642#gid=173865642"", ""'G8_Maths_Pri_LU'!G2:V2000""), {3, 4, 5, 6, 7, 8, 9, 10, 11, 12, 13, 14, 15, 16}, 0))"),"LU000994")</f>
        <v>LU000994</v>
      </c>
      <c r="AH5" s="8" t="str">
        <f ca="1">IFERROR(__xludf.DUMMYFUNCTION("""COMPUTED_VALUE"""),"Examination of closure property for division of integers")</f>
        <v>Examination of closure property for division of integers</v>
      </c>
      <c r="AI5" s="8" t="str">
        <f ca="1">IFERROR(__xludf.DUMMYFUNCTION("""COMPUTED_VALUE"""),"LU000477")</f>
        <v>LU000477</v>
      </c>
      <c r="AJ5" s="8" t="str">
        <f ca="1">IFERROR(__xludf.DUMMYFUNCTION("""COMPUTED_VALUE"""),"Division of rational numbers")</f>
        <v>Division of rational numbers</v>
      </c>
      <c r="AK5" s="8" t="str">
        <f ca="1">IFERROR(__xludf.DUMMYFUNCTION("""COMPUTED_VALUE"""),"LU000464")</f>
        <v>LU000464</v>
      </c>
      <c r="AL5" s="8" t="str">
        <f ca="1">IFERROR(__xludf.DUMMYFUNCTION("""COMPUTED_VALUE"""),"Definition of rational numbers")</f>
        <v>Definition of rational numbers</v>
      </c>
      <c r="AM5" s="8"/>
      <c r="AN5" s="8"/>
      <c r="AO5" s="8"/>
      <c r="AP5" s="8"/>
      <c r="AQ5" s="8"/>
      <c r="AR5" s="8"/>
      <c r="AS5" s="8"/>
      <c r="AT5" s="8"/>
      <c r="AU5" s="8"/>
      <c r="AV5" s="8"/>
      <c r="AW5" s="8"/>
      <c r="AX5" s="8"/>
      <c r="AY5" s="8"/>
      <c r="AZ5" s="8"/>
      <c r="BA5" s="8"/>
      <c r="BB5" s="8"/>
      <c r="BC5" s="8"/>
      <c r="BD5" s="8"/>
      <c r="BE5" s="8"/>
    </row>
    <row r="6" spans="1:57">
      <c r="A6" s="8" t="s">
        <v>247</v>
      </c>
      <c r="B6" s="8" t="s">
        <v>47</v>
      </c>
      <c r="C6" s="8" t="s">
        <v>731</v>
      </c>
      <c r="D6" s="8" t="s">
        <v>732</v>
      </c>
      <c r="E6" s="8" t="s">
        <v>567</v>
      </c>
      <c r="F6" s="54" t="s">
        <v>739</v>
      </c>
      <c r="G6" s="8" t="s">
        <v>740</v>
      </c>
      <c r="H6" s="8" t="str">
        <f ca="1">IFERROR(__xludf.DUMMYFUNCTION("VLOOKUP(G6, IMPORTRANGE(""https://docs.google.com/spreadsheets/d/14deopnvwcrKtEGCKuYXdUHJbeLDZlkiSSWWT0g7x2pM/edit#gid=999382323"", ""LU List Maths (Filter)!A:B""), 2, FALSE)"),"Commutative property for addition of rational numbers")</f>
        <v>Commutative property for addition of rational numbers</v>
      </c>
      <c r="I6" s="10" t="str">
        <f t="shared" si="0"/>
        <v>LU001041.001</v>
      </c>
      <c r="J6" s="10" t="str">
        <f ca="1">IFERROR(__xludf.DUMMYFUNCTION("VLOOKUP(I6, IMPORTRANGE(""https://docs.google.com/spreadsheets/d/1yDAaXNsi4Mr5FtRQL4tbmSdIzhx6_m4wkOD7IG-k_eo/edit#gid=0"", ""Maths!M:N""), 2, FALSE)"),"Recall the commutative property for adding rational numbers.")</f>
        <v>Recall the commutative property for adding rational numbers.</v>
      </c>
      <c r="K6" s="10" t="str">
        <f t="shared" si="1"/>
        <v>LU001041.002</v>
      </c>
      <c r="L6" s="10" t="str">
        <f ca="1">IFERROR(__xludf.DUMMYFUNCTION("VLOOKUP(K6, IMPORTRANGE(""https://docs.google.com/spreadsheets/d/1yDAaXNsi4Mr5FtRQL4tbmSdIzhx6_m4wkOD7IG-k_eo/edit#gid=0"", ""Maths!M:N""), 2, FALSE)"),"Explain why addition of rational numbers follows the commutative property.")</f>
        <v>Explain why addition of rational numbers follows the commutative property.</v>
      </c>
      <c r="M6" s="10" t="str">
        <f t="shared" si="2"/>
        <v>LU001041.003</v>
      </c>
      <c r="N6" s="10" t="str">
        <f ca="1">IFERROR(__xludf.DUMMYFUNCTION("VLOOKUP(M6, IMPORTRANGE(""https://docs.google.com/spreadsheets/d/1yDAaXNsi4Mr5FtRQL4tbmSdIzhx6_m4wkOD7IG-k_eo/edit#gid=0"", ""Maths!M:N""), 2, FALSE)"),"Use the commutative property to change the order of adding rational numbers in calculations.")</f>
        <v>Use the commutative property to change the order of adding rational numbers in calculations.</v>
      </c>
      <c r="O6" s="10" t="str">
        <f t="shared" si="3"/>
        <v>LU001041.004</v>
      </c>
      <c r="P6" s="10" t="str">
        <f ca="1">IFERROR(__xludf.DUMMYFUNCTION("VLOOKUP(O6, IMPORTRANGE(""https://docs.google.com/spreadsheets/d/1yDAaXNsi4Mr5FtRQL4tbmSdIzhx6_m4wkOD7IG-k_eo/edit#gid=0"", ""Maths!M:N""), 2, FALSE)"),"Examine expressions to confirm the commutative property in rational number addition.")</f>
        <v>Examine expressions to confirm the commutative property in rational number addition.</v>
      </c>
      <c r="Q6" s="10" t="str">
        <f t="shared" si="4"/>
        <v>LU001041.005</v>
      </c>
      <c r="R6" s="10" t="str">
        <f ca="1">IFERROR(__xludf.DUMMYFUNCTION("VLOOKUP(Q6, IMPORTRANGE(""https://docs.google.com/spreadsheets/d/1yDAaXNsi4Mr5FtRQL4tbmSdIzhx6_m4wkOD7IG-k_eo/edit#gid=0"", ""Maths!M:N""), 2, FALSE)"),"Assess the correctness of statements about the commutative property in rational number addition.")</f>
        <v>Assess the correctness of statements about the commutative property in rational number addition.</v>
      </c>
      <c r="S6" s="10" t="str">
        <f t="shared" si="5"/>
        <v>LU001041.006</v>
      </c>
      <c r="T6" s="10" t="str">
        <f ca="1">IFERROR(__xludf.DUMMYFUNCTION("VLOOKUP(S6, IMPORTRANGE(""https://docs.google.com/spreadsheets/d/1yDAaXNsi4Mr5FtRQL4tbmSdIzhx6_m4wkOD7IG-k_eo/edit#gid=0"", ""Maths!M:N""), 2, FALSE)"),"#N/A")</f>
        <v>#N/A</v>
      </c>
      <c r="U6" s="52">
        <f ca="1">IFERROR(__xludf.DUMMYFUNCTION("ArrayFormula(VLOOKUP(G6, IMPORTRANGE(""https://docs.google.com/spreadsheets/d/1p7R4vtkWt5VOBim4ltsDG9KTzSjrtKXsMtQGXPHyND0/edit#gid=795171502"", ""'Filter 30_05_2024'!A1:M2000""), {2, 3, 4, 5,6,7,8,9,10,11,12,13}, 0))"),4)</f>
        <v>4</v>
      </c>
      <c r="V6" s="52">
        <f ca="1">IFERROR(__xludf.DUMMYFUNCTION("""COMPUTED_VALUE"""),6)</f>
        <v>6</v>
      </c>
      <c r="W6" s="52">
        <f ca="1">IFERROR(__xludf.DUMMYFUNCTION("""COMPUTED_VALUE"""),2)</f>
        <v>2</v>
      </c>
      <c r="X6" s="52">
        <f ca="1">IFERROR(__xludf.DUMMYFUNCTION("""COMPUTED_VALUE"""),12)</f>
        <v>12</v>
      </c>
      <c r="Y6" s="52">
        <f ca="1">IFERROR(__xludf.DUMMYFUNCTION("""COMPUTED_VALUE"""),4)</f>
        <v>4</v>
      </c>
      <c r="Z6" s="53">
        <f ca="1">IFERROR(__xludf.DUMMYFUNCTION("""COMPUTED_VALUE"""),4)</f>
        <v>4</v>
      </c>
      <c r="AA6" s="53">
        <f ca="1">IFERROR(__xludf.DUMMYFUNCTION("""COMPUTED_VALUE"""),1)</f>
        <v>1</v>
      </c>
      <c r="AB6" s="53">
        <f ca="1">IFERROR(__xludf.DUMMYFUNCTION("""COMPUTED_VALUE"""),9)</f>
        <v>9</v>
      </c>
      <c r="AC6" s="53"/>
      <c r="AD6" s="53"/>
      <c r="AE6" s="53"/>
      <c r="AF6" s="53"/>
      <c r="AG6" s="8" t="str">
        <f ca="1">IFERROR(__xludf.DUMMYFUNCTION("ArrayFormula(VLOOKUP(G6, IMPORTRANGE(""https://docs.google.com/spreadsheets/d/1Co934fvtviyaRiMsrIlT05Jaq7iiYq07aLvRr35KA48/edit?gid=173865642#gid=173865642"", ""'G8_Maths_Pri_LU'!G2:V2000""), {3, 4, 5, 6, 7, 8, 9, 10, 11, 12, 13, 14, 15, 16}, 0))"),"LU000995")</f>
        <v>LU000995</v>
      </c>
      <c r="AH6" s="8" t="str">
        <f ca="1">IFERROR(__xludf.DUMMYFUNCTION("""COMPUTED_VALUE"""),"Commutative property for addition of integers")</f>
        <v>Commutative property for addition of integers</v>
      </c>
      <c r="AI6" s="8" t="str">
        <f ca="1">IFERROR(__xludf.DUMMYFUNCTION("""COMPUTED_VALUE"""),"LU000474")</f>
        <v>LU000474</v>
      </c>
      <c r="AJ6" s="8" t="str">
        <f ca="1">IFERROR(__xludf.DUMMYFUNCTION("""COMPUTED_VALUE"""),"Addition of rational numbers")</f>
        <v>Addition of rational numbers</v>
      </c>
      <c r="AK6" s="8" t="str">
        <f ca="1">IFERROR(__xludf.DUMMYFUNCTION("""COMPUTED_VALUE"""),"LU000464")</f>
        <v>LU000464</v>
      </c>
      <c r="AL6" s="8" t="str">
        <f ca="1">IFERROR(__xludf.DUMMYFUNCTION("""COMPUTED_VALUE"""),"Definition of rational numbers")</f>
        <v>Definition of rational numbers</v>
      </c>
      <c r="AM6" s="8"/>
      <c r="AN6" s="8"/>
      <c r="AO6" s="8"/>
      <c r="AP6" s="8"/>
      <c r="AQ6" s="8"/>
      <c r="AR6" s="8"/>
      <c r="AS6" s="8"/>
      <c r="AT6" s="8"/>
      <c r="AU6" s="8"/>
      <c r="AV6" s="8"/>
      <c r="AW6" s="8"/>
      <c r="AX6" s="8"/>
      <c r="AY6" s="8"/>
      <c r="AZ6" s="8"/>
      <c r="BA6" s="8"/>
      <c r="BB6" s="8"/>
      <c r="BC6" s="8"/>
      <c r="BD6" s="8"/>
      <c r="BE6" s="8"/>
    </row>
    <row r="7" spans="1:57">
      <c r="A7" s="8" t="s">
        <v>247</v>
      </c>
      <c r="B7" s="8" t="s">
        <v>47</v>
      </c>
      <c r="C7" s="8" t="s">
        <v>731</v>
      </c>
      <c r="D7" s="8" t="s">
        <v>732</v>
      </c>
      <c r="E7" s="8" t="s">
        <v>567</v>
      </c>
      <c r="F7" s="54" t="s">
        <v>739</v>
      </c>
      <c r="G7" s="8" t="s">
        <v>741</v>
      </c>
      <c r="H7" s="9" t="str">
        <f ca="1">IFERROR(__xludf.DUMMYFUNCTION("VLOOKUP(G7, IMPORTRANGE(""https://docs.google.com/spreadsheets/d/14deopnvwcrKtEGCKuYXdUHJbeLDZlkiSSWWT0g7x2pM/edit#gid=999382323"", ""LU List Maths (Filter)!A:B""), 2, FALSE)"),"Examination of commutative property for subtraction of rational numbers")</f>
        <v>Examination of commutative property for subtraction of rational numbers</v>
      </c>
      <c r="I7" s="10" t="str">
        <f t="shared" si="0"/>
        <v>LU001042.001</v>
      </c>
      <c r="J7" s="10" t="str">
        <f ca="1">IFERROR(__xludf.DUMMYFUNCTION("VLOOKUP(I7, IMPORTRANGE(""https://docs.google.com/spreadsheets/d/1yDAaXNsi4Mr5FtRQL4tbmSdIzhx6_m4wkOD7IG-k_eo/edit#gid=0"", ""Maths!M:N""), 2, FALSE)"),"Recall that the commutative property does not apply to subtraction of rational numbers.")</f>
        <v>Recall that the commutative property does not apply to subtraction of rational numbers.</v>
      </c>
      <c r="K7" s="10" t="str">
        <f t="shared" si="1"/>
        <v>LU001042.002</v>
      </c>
      <c r="L7" s="10" t="str">
        <f ca="1">IFERROR(__xludf.DUMMYFUNCTION("VLOOKUP(K7, IMPORTRANGE(""https://docs.google.com/spreadsheets/d/1yDAaXNsi4Mr5FtRQL4tbmSdIzhx6_m4wkOD7IG-k_eo/edit#gid=0"", ""Maths!M:N""), 2, FALSE)"),"Explain why the commutative property is not applicable to subtraction of rational numbers and its limitations.")</f>
        <v>Explain why the commutative property is not applicable to subtraction of rational numbers and its limitations.</v>
      </c>
      <c r="M7" s="10" t="str">
        <f t="shared" si="2"/>
        <v>LU001042.003</v>
      </c>
      <c r="N7" s="10" t="str">
        <f ca="1">IFERROR(__xludf.DUMMYFUNCTION("VLOOKUP(M7, IMPORTRANGE(""https://docs.google.com/spreadsheets/d/1yDAaXNsi4Mr5FtRQL4tbmSdIzhx6_m4wkOD7IG-k_eo/edit#gid=0"", ""Maths!M:N""), 2, FALSE)"),"Identify examples where the subtraction of rational numbers demonstrates commutativity or non-commutativity.")</f>
        <v>Identify examples where the subtraction of rational numbers demonstrates commutativity or non-commutativity.</v>
      </c>
      <c r="O7" s="10" t="str">
        <f t="shared" si="3"/>
        <v>LU001042.004</v>
      </c>
      <c r="P7" s="10" t="str">
        <f ca="1">IFERROR(__xludf.DUMMYFUNCTION("VLOOKUP(O7, IMPORTRANGE(""https://docs.google.com/spreadsheets/d/1yDAaXNsi4Mr5FtRQL4tbmSdIzhx6_m4wkOD7IG-k_eo/edit#gid=0"", ""Maths!M:N""), 2, FALSE)"),"Analyse a range of subtraction problems involving rational numbers to highlight the failure of the commutative property.")</f>
        <v>Analyse a range of subtraction problems involving rational numbers to highlight the failure of the commutative property.</v>
      </c>
      <c r="Q7" s="10" t="str">
        <f t="shared" si="4"/>
        <v>LU001042.005</v>
      </c>
      <c r="R7" s="10" t="str">
        <f ca="1">IFERROR(__xludf.DUMMYFUNCTION("VLOOKUP(Q7, IMPORTRANGE(""https://docs.google.com/spreadsheets/d/1yDAaXNsi4Mr5FtRQL4tbmSdIzhx6_m4wkOD7IG-k_eo/edit#gid=0"", ""Maths!M:N""), 2, FALSE)"),"Evaluate the correctness of statements regarding the commutative property and its non-applicability in rational number subtraction.")</f>
        <v>Evaluate the correctness of statements regarding the commutative property and its non-applicability in rational number subtraction.</v>
      </c>
      <c r="S7" s="10" t="str">
        <f t="shared" si="5"/>
        <v>LU001042.006</v>
      </c>
      <c r="T7" s="10" t="str">
        <f ca="1">IFERROR(__xludf.DUMMYFUNCTION("VLOOKUP(S7, IMPORTRANGE(""https://docs.google.com/spreadsheets/d/1yDAaXNsi4Mr5FtRQL4tbmSdIzhx6_m4wkOD7IG-k_eo/edit#gid=0"", ""Maths!M:N""), 2, FALSE)"),"#N/A")</f>
        <v>#N/A</v>
      </c>
      <c r="U7" s="52">
        <f ca="1">IFERROR(__xludf.DUMMYFUNCTION("ArrayFormula(VLOOKUP(G7, IMPORTRANGE(""https://docs.google.com/spreadsheets/d/1p7R4vtkWt5VOBim4ltsDG9KTzSjrtKXsMtQGXPHyND0/edit#gid=795171502"", ""'Filter 30_05_2024'!A1:M2000""), {2, 3, 4, 5,6,7,8,9,10,11,12,13}, 0))"),4)</f>
        <v>4</v>
      </c>
      <c r="V7" s="52">
        <f ca="1">IFERROR(__xludf.DUMMYFUNCTION("""COMPUTED_VALUE"""),6)</f>
        <v>6</v>
      </c>
      <c r="W7" s="52">
        <f ca="1">IFERROR(__xludf.DUMMYFUNCTION("""COMPUTED_VALUE"""),2)</f>
        <v>2</v>
      </c>
      <c r="X7" s="52">
        <f ca="1">IFERROR(__xludf.DUMMYFUNCTION("""COMPUTED_VALUE"""),12)</f>
        <v>12</v>
      </c>
      <c r="Y7" s="52">
        <f ca="1">IFERROR(__xludf.DUMMYFUNCTION("""COMPUTED_VALUE"""),4)</f>
        <v>4</v>
      </c>
      <c r="Z7" s="53">
        <f ca="1">IFERROR(__xludf.DUMMYFUNCTION("""COMPUTED_VALUE"""),3)</f>
        <v>3</v>
      </c>
      <c r="AA7" s="53">
        <f ca="1">IFERROR(__xludf.DUMMYFUNCTION("""COMPUTED_VALUE"""),1)</f>
        <v>1</v>
      </c>
      <c r="AB7" s="53">
        <f ca="1">IFERROR(__xludf.DUMMYFUNCTION("""COMPUTED_VALUE"""),8)</f>
        <v>8</v>
      </c>
      <c r="AC7" s="53"/>
      <c r="AD7" s="53"/>
      <c r="AE7" s="53"/>
      <c r="AF7" s="53"/>
      <c r="AG7" s="8" t="str">
        <f ca="1">IFERROR(__xludf.DUMMYFUNCTION("ArrayFormula(VLOOKUP(G7, IMPORTRANGE(""https://docs.google.com/spreadsheets/d/1Co934fvtviyaRiMsrIlT05Jaq7iiYq07aLvRr35KA48/edit?gid=173865642#gid=173865642"", ""'G8_Maths_Pri_LU'!G2:V2000""), {3, 4, 5, 6, 7, 8, 9, 10, 11, 12, 13, 14, 15, 16}, 0))"),"LU000996")</f>
        <v>LU000996</v>
      </c>
      <c r="AH7" s="8" t="str">
        <f ca="1">IFERROR(__xludf.DUMMYFUNCTION("""COMPUTED_VALUE"""),"Examination of commutative property for subtraction of integers")</f>
        <v>Examination of commutative property for subtraction of integers</v>
      </c>
      <c r="AI7" s="8" t="str">
        <f ca="1">IFERROR(__xludf.DUMMYFUNCTION("""COMPUTED_VALUE"""),"LU000475")</f>
        <v>LU000475</v>
      </c>
      <c r="AJ7" s="8" t="str">
        <f ca="1">IFERROR(__xludf.DUMMYFUNCTION("""COMPUTED_VALUE"""),"Subtraction of rational numbers")</f>
        <v>Subtraction of rational numbers</v>
      </c>
      <c r="AK7" s="8" t="str">
        <f ca="1">IFERROR(__xludf.DUMMYFUNCTION("""COMPUTED_VALUE"""),"LU000464")</f>
        <v>LU000464</v>
      </c>
      <c r="AL7" s="8" t="str">
        <f ca="1">IFERROR(__xludf.DUMMYFUNCTION("""COMPUTED_VALUE"""),"Definition of rational numbers")</f>
        <v>Definition of rational numbers</v>
      </c>
      <c r="AM7" s="8"/>
      <c r="AN7" s="8"/>
      <c r="AO7" s="8"/>
      <c r="AP7" s="8"/>
      <c r="AQ7" s="8"/>
      <c r="AR7" s="8"/>
      <c r="AS7" s="8"/>
      <c r="AT7" s="8"/>
      <c r="AU7" s="8"/>
      <c r="AV7" s="8"/>
      <c r="AW7" s="8"/>
      <c r="AX7" s="8"/>
      <c r="AY7" s="8"/>
      <c r="AZ7" s="8"/>
      <c r="BA7" s="8"/>
      <c r="BB7" s="8"/>
      <c r="BC7" s="8"/>
      <c r="BD7" s="8"/>
      <c r="BE7" s="8"/>
    </row>
    <row r="8" spans="1:57">
      <c r="A8" s="8" t="s">
        <v>247</v>
      </c>
      <c r="B8" s="8" t="s">
        <v>47</v>
      </c>
      <c r="C8" s="8" t="s">
        <v>731</v>
      </c>
      <c r="D8" s="8" t="s">
        <v>732</v>
      </c>
      <c r="E8" s="8" t="s">
        <v>567</v>
      </c>
      <c r="F8" s="54" t="s">
        <v>739</v>
      </c>
      <c r="G8" s="8" t="s">
        <v>742</v>
      </c>
      <c r="H8" s="8" t="str">
        <f ca="1">IFERROR(__xludf.DUMMYFUNCTION("VLOOKUP(G8, IMPORTRANGE(""https://docs.google.com/spreadsheets/d/14deopnvwcrKtEGCKuYXdUHJbeLDZlkiSSWWT0g7x2pM/edit#gid=999382323"", ""LU List Maths (Filter)!A:B""), 2, FALSE)"),"Additive identity of rational numbers")</f>
        <v>Additive identity of rational numbers</v>
      </c>
      <c r="I8" s="10" t="str">
        <f t="shared" si="0"/>
        <v>LU000578.001</v>
      </c>
      <c r="J8" s="10" t="str">
        <f ca="1">IFERROR(__xludf.DUMMYFUNCTION("VLOOKUP(I8, IMPORTRANGE(""https://docs.google.com/spreadsheets/d/1yDAaXNsi4Mr5FtRQL4tbmSdIzhx6_m4wkOD7IG-k_eo/edit#gid=0"", ""Maths!M:N""), 2, FALSE)"),"Define the additive identity of rational numbers and its mathematical representation.")</f>
        <v>Define the additive identity of rational numbers and its mathematical representation.</v>
      </c>
      <c r="K8" s="10" t="str">
        <f t="shared" si="1"/>
        <v>LU000578.002</v>
      </c>
      <c r="L8" s="10" t="str">
        <f ca="1">IFERROR(__xludf.DUMMYFUNCTION("VLOOKUP(K8, IMPORTRANGE(""https://docs.google.com/spreadsheets/d/1yDAaXNsi4Mr5FtRQL4tbmSdIzhx6_m4wkOD7IG-k_eo/edit#gid=0"", ""Maths!M:N""), 2, FALSE)"),"Explain the concept of additive identity in the context of rational numbers and its role in addition operations.")</f>
        <v>Explain the concept of additive identity in the context of rational numbers and its role in addition operations.</v>
      </c>
      <c r="M8" s="10" t="str">
        <f t="shared" si="2"/>
        <v>LU000578.003</v>
      </c>
      <c r="N8" s="10" t="str">
        <f ca="1">IFERROR(__xludf.DUMMYFUNCTION("VLOOKUP(M8, IMPORTRANGE(""https://docs.google.com/spreadsheets/d/1yDAaXNsi4Mr5FtRQL4tbmSdIzhx6_m4wkOD7IG-k_eo/edit#gid=0"", ""Maths!M:N""), 2, FALSE)"),"Apply the additive identity property to simplify expressions involving rational numbers.")</f>
        <v>Apply the additive identity property to simplify expressions involving rational numbers.</v>
      </c>
      <c r="O8" s="10" t="str">
        <f t="shared" si="3"/>
        <v>LU000578.004</v>
      </c>
      <c r="P8" s="10" t="str">
        <f ca="1">IFERROR(__xludf.DUMMYFUNCTION("VLOOKUP(O8, IMPORTRANGE(""https://docs.google.com/spreadsheets/d/1yDAaXNsi4Mr5FtRQL4tbmSdIzhx6_m4wkOD7IG-k_eo/edit#gid=0"", ""Maths!M:N""), 2, FALSE)"),"Analyse a series of rational numbers operations and identify instances where the additive identity property is used.")</f>
        <v>Analyse a series of rational numbers operations and identify instances where the additive identity property is used.</v>
      </c>
      <c r="Q8" s="10" t="str">
        <f t="shared" si="4"/>
        <v>LU000578.005</v>
      </c>
      <c r="R8" s="10" t="str">
        <f ca="1">IFERROR(__xludf.DUMMYFUNCTION("VLOOKUP(Q8, IMPORTRANGE(""https://docs.google.com/spreadsheets/d/1yDAaXNsi4Mr5FtRQL4tbmSdIzhx6_m4wkOD7IG-k_eo/edit#gid=0"", ""Maths!M:N""), 2, FALSE)"),"Evaluate the application of the additive identity property in a solution to an rational number addition problem.")</f>
        <v>Evaluate the application of the additive identity property in a solution to an rational number addition problem.</v>
      </c>
      <c r="S8" s="10" t="str">
        <f t="shared" si="5"/>
        <v>LU000578.006</v>
      </c>
      <c r="T8" s="10" t="str">
        <f ca="1">IFERROR(__xludf.DUMMYFUNCTION("VLOOKUP(S8, IMPORTRANGE(""https://docs.google.com/spreadsheets/d/1yDAaXNsi4Mr5FtRQL4tbmSdIzhx6_m4wkOD7IG-k_eo/edit#gid=0"", ""Maths!M:N""), 2, FALSE)"),"Design scenarios where students must incorporate the additive identity property to solve problems involving rational numbers.")</f>
        <v>Design scenarios where students must incorporate the additive identity property to solve problems involving rational numbers.</v>
      </c>
      <c r="U8" s="52">
        <f ca="1">IFERROR(__xludf.DUMMYFUNCTION("ArrayFormula(VLOOKUP(G8, IMPORTRANGE(""https://docs.google.com/spreadsheets/d/1p7R4vtkWt5VOBim4ltsDG9KTzSjrtKXsMtQGXPHyND0/edit#gid=795171502"", ""'Filter 30_05_2024'!A1:M2000""), {2, 3, 4, 5,6,7,8,9,10,11,12,13}, 0))"),4)</f>
        <v>4</v>
      </c>
      <c r="V8" s="52">
        <f ca="1">IFERROR(__xludf.DUMMYFUNCTION("""COMPUTED_VALUE"""),6)</f>
        <v>6</v>
      </c>
      <c r="W8" s="52">
        <f ca="1">IFERROR(__xludf.DUMMYFUNCTION("""COMPUTED_VALUE"""),2)</f>
        <v>2</v>
      </c>
      <c r="X8" s="52">
        <f ca="1">IFERROR(__xludf.DUMMYFUNCTION("""COMPUTED_VALUE"""),12)</f>
        <v>12</v>
      </c>
      <c r="Y8" s="52">
        <f ca="1">IFERROR(__xludf.DUMMYFUNCTION("""COMPUTED_VALUE"""),4)</f>
        <v>4</v>
      </c>
      <c r="Z8" s="53">
        <f ca="1">IFERROR(__xludf.DUMMYFUNCTION("""COMPUTED_VALUE"""),3)</f>
        <v>3</v>
      </c>
      <c r="AA8" s="53">
        <f ca="1">IFERROR(__xludf.DUMMYFUNCTION("""COMPUTED_VALUE"""),1)</f>
        <v>1</v>
      </c>
      <c r="AB8" s="53">
        <f ca="1">IFERROR(__xludf.DUMMYFUNCTION("""COMPUTED_VALUE"""),8)</f>
        <v>8</v>
      </c>
      <c r="AC8" s="53"/>
      <c r="AD8" s="53"/>
      <c r="AE8" s="53"/>
      <c r="AF8" s="53"/>
      <c r="AG8" s="8" t="str">
        <f ca="1">IFERROR(__xludf.DUMMYFUNCTION("ArrayFormula(VLOOKUP(G8, IMPORTRANGE(""https://docs.google.com/spreadsheets/d/1Co934fvtviyaRiMsrIlT05Jaq7iiYq07aLvRr35KA48/edit?gid=173865642#gid=173865642"", ""'G8_Maths_Pri_LU'!G2:V2000""), {3, 4, 5, 6, 7, 8, 9, 10, 11, 12, 13, 14, 15, 16}, 0))"),"LU000354")</f>
        <v>LU000354</v>
      </c>
      <c r="AH8" s="8" t="str">
        <f ca="1">IFERROR(__xludf.DUMMYFUNCTION("""COMPUTED_VALUE"""),"Additive identity of integers")</f>
        <v>Additive identity of integers</v>
      </c>
      <c r="AI8" s="8" t="str">
        <f ca="1">IFERROR(__xludf.DUMMYFUNCTION("""COMPUTED_VALUE"""),"LU000474")</f>
        <v>LU000474</v>
      </c>
      <c r="AJ8" s="8" t="str">
        <f ca="1">IFERROR(__xludf.DUMMYFUNCTION("""COMPUTED_VALUE"""),"Addition of rational numbers")</f>
        <v>Addition of rational numbers</v>
      </c>
      <c r="AK8" s="8" t="str">
        <f ca="1">IFERROR(__xludf.DUMMYFUNCTION("""COMPUTED_VALUE"""),"LU001041")</f>
        <v>LU001041</v>
      </c>
      <c r="AL8" s="8" t="str">
        <f ca="1">IFERROR(__xludf.DUMMYFUNCTION("""COMPUTED_VALUE"""),"Commutative property for addition of rational numbers")</f>
        <v>Commutative property for addition of rational numbers</v>
      </c>
      <c r="AM8" s="8"/>
      <c r="AN8" s="8"/>
      <c r="AO8" s="8"/>
      <c r="AP8" s="8"/>
      <c r="AQ8" s="8"/>
      <c r="AR8" s="8"/>
      <c r="AS8" s="8"/>
      <c r="AT8" s="8"/>
      <c r="AU8" s="8"/>
      <c r="AV8" s="8"/>
      <c r="AW8" s="8"/>
      <c r="AX8" s="8"/>
      <c r="AY8" s="8"/>
      <c r="AZ8" s="8"/>
      <c r="BA8" s="8"/>
      <c r="BB8" s="8"/>
      <c r="BC8" s="8"/>
      <c r="BD8" s="8"/>
      <c r="BE8" s="8"/>
    </row>
    <row r="9" spans="1:57">
      <c r="A9" s="8" t="s">
        <v>247</v>
      </c>
      <c r="B9" s="8" t="s">
        <v>47</v>
      </c>
      <c r="C9" s="8" t="s">
        <v>731</v>
      </c>
      <c r="D9" s="8" t="s">
        <v>732</v>
      </c>
      <c r="E9" s="8" t="s">
        <v>567</v>
      </c>
      <c r="F9" s="54" t="s">
        <v>743</v>
      </c>
      <c r="G9" s="8" t="s">
        <v>744</v>
      </c>
      <c r="H9" s="8" t="str">
        <f ca="1">IFERROR(__xludf.DUMMYFUNCTION("VLOOKUP(G9, IMPORTRANGE(""https://docs.google.com/spreadsheets/d/14deopnvwcrKtEGCKuYXdUHJbeLDZlkiSSWWT0g7x2pM/edit#gid=999382323"", ""LU List Maths (Filter)!A:B""), 2, FALSE)"),"Commutative property for multiplication of rational numbers")</f>
        <v>Commutative property for multiplication of rational numbers</v>
      </c>
      <c r="I9" s="10" t="str">
        <f t="shared" si="0"/>
        <v>LU001043.001</v>
      </c>
      <c r="J9" s="10" t="str">
        <f ca="1">IFERROR(__xludf.DUMMYFUNCTION("VLOOKUP(I9, IMPORTRANGE(""https://docs.google.com/spreadsheets/d/1yDAaXNsi4Mr5FtRQL4tbmSdIzhx6_m4wkOD7IG-k_eo/edit#gid=0"", ""Maths!M:N""), 2, FALSE)"),"Recall the commutative property for multiplying rational numbers.")</f>
        <v>Recall the commutative property for multiplying rational numbers.</v>
      </c>
      <c r="K9" s="10" t="str">
        <f t="shared" si="1"/>
        <v>LU001043.002</v>
      </c>
      <c r="L9" s="10" t="str">
        <f ca="1">IFERROR(__xludf.DUMMYFUNCTION("VLOOKUP(K9, IMPORTRANGE(""https://docs.google.com/spreadsheets/d/1yDAaXNsi4Mr5FtRQL4tbmSdIzhx6_m4wkOD7IG-k_eo/edit#gid=0"", ""Maths!M:N""), 2, FALSE)"),"Explain how the commutative property applies to multiplying rational numbers.")</f>
        <v>Explain how the commutative property applies to multiplying rational numbers.</v>
      </c>
      <c r="M9" s="10" t="str">
        <f t="shared" si="2"/>
        <v>LU001043.003</v>
      </c>
      <c r="N9" s="10" t="str">
        <f ca="1">IFERROR(__xludf.DUMMYFUNCTION("VLOOKUP(M9, IMPORTRANGE(""https://docs.google.com/spreadsheets/d/1yDAaXNsi4Mr5FtRQL4tbmSdIzhx6_m4wkOD7IG-k_eo/edit#gid=0"", ""Maths!M:N""), 2, FALSE)"),"Apply the commutative property to show that the order of multiplication of rational numbers doesn't affect the result in practical calculations.")</f>
        <v>Apply the commutative property to show that the order of multiplication of rational numbers doesn't affect the result in practical calculations.</v>
      </c>
      <c r="O9" s="10" t="str">
        <f t="shared" si="3"/>
        <v>LU001043.004</v>
      </c>
      <c r="P9" s="10" t="str">
        <f ca="1">IFERROR(__xludf.DUMMYFUNCTION("VLOOKUP(O9, IMPORTRANGE(""https://docs.google.com/spreadsheets/d/1yDAaXNsi4Mr5FtRQL4tbmSdIzhx6_m4wkOD7IG-k_eo/edit#gid=0"", ""Maths!M:N""), 2, FALSE)"),"Analyze expressions to confirm the commutative property in rational number multiplication.")</f>
        <v>Analyze expressions to confirm the commutative property in rational number multiplication.</v>
      </c>
      <c r="Q9" s="10" t="str">
        <f t="shared" si="4"/>
        <v>LU001043.005</v>
      </c>
      <c r="R9" s="10" t="str">
        <f ca="1">IFERROR(__xludf.DUMMYFUNCTION("VLOOKUP(Q9, IMPORTRANGE(""https://docs.google.com/spreadsheets/d/1yDAaXNsi4Mr5FtRQL4tbmSdIzhx6_m4wkOD7IG-k_eo/edit#gid=0"", ""Maths!M:N""), 2, FALSE)"),"Assess the correctness of statements about the commutative property in rational number multiplication.")</f>
        <v>Assess the correctness of statements about the commutative property in rational number multiplication.</v>
      </c>
      <c r="S9" s="10" t="str">
        <f t="shared" si="5"/>
        <v>LU001043.006</v>
      </c>
      <c r="T9" s="10" t="str">
        <f ca="1">IFERROR(__xludf.DUMMYFUNCTION("VLOOKUP(S9, IMPORTRANGE(""https://docs.google.com/spreadsheets/d/1yDAaXNsi4Mr5FtRQL4tbmSdIzhx6_m4wkOD7IG-k_eo/edit#gid=0"", ""Maths!M:N""), 2, FALSE)"),"#N/A")</f>
        <v>#N/A</v>
      </c>
      <c r="U9" s="52">
        <f ca="1">IFERROR(__xludf.DUMMYFUNCTION("ArrayFormula(VLOOKUP(G9, IMPORTRANGE(""https://docs.google.com/spreadsheets/d/1p7R4vtkWt5VOBim4ltsDG9KTzSjrtKXsMtQGXPHyND0/edit#gid=795171502"", ""'Filter 30_05_2024'!A1:M2000""), {2, 3, 4, 5,6,7,8,9,10,11,12,13}, 0))"),4)</f>
        <v>4</v>
      </c>
      <c r="V9" s="52">
        <f ca="1">IFERROR(__xludf.DUMMYFUNCTION("""COMPUTED_VALUE"""),6)</f>
        <v>6</v>
      </c>
      <c r="W9" s="52">
        <f ca="1">IFERROR(__xludf.DUMMYFUNCTION("""COMPUTED_VALUE"""),2)</f>
        <v>2</v>
      </c>
      <c r="X9" s="52">
        <f ca="1">IFERROR(__xludf.DUMMYFUNCTION("""COMPUTED_VALUE"""),12)</f>
        <v>12</v>
      </c>
      <c r="Y9" s="52">
        <f ca="1">IFERROR(__xludf.DUMMYFUNCTION("""COMPUTED_VALUE"""),4)</f>
        <v>4</v>
      </c>
      <c r="Z9" s="53">
        <f ca="1">IFERROR(__xludf.DUMMYFUNCTION("""COMPUTED_VALUE"""),3)</f>
        <v>3</v>
      </c>
      <c r="AA9" s="53">
        <f ca="1">IFERROR(__xludf.DUMMYFUNCTION("""COMPUTED_VALUE"""),1)</f>
        <v>1</v>
      </c>
      <c r="AB9" s="53">
        <f ca="1">IFERROR(__xludf.DUMMYFUNCTION("""COMPUTED_VALUE"""),8)</f>
        <v>8</v>
      </c>
      <c r="AC9" s="53"/>
      <c r="AD9" s="53"/>
      <c r="AE9" s="53"/>
      <c r="AF9" s="53"/>
      <c r="AG9" s="8" t="str">
        <f ca="1">IFERROR(__xludf.DUMMYFUNCTION("ArrayFormula(VLOOKUP(G9, IMPORTRANGE(""https://docs.google.com/spreadsheets/d/1Co934fvtviyaRiMsrIlT05Jaq7iiYq07aLvRr35KA48/edit?gid=173865642#gid=173865642"", ""'G8_Maths_Pri_LU'!G2:V2000""), {3, 4, 5, 6, 7, 8, 9, 10, 11, 12, 13, 14, 15, 16}, 0))"),"LU000997")</f>
        <v>LU000997</v>
      </c>
      <c r="AH9" s="8" t="str">
        <f ca="1">IFERROR(__xludf.DUMMYFUNCTION("""COMPUTED_VALUE"""),"Commutative property for multiplication of integers")</f>
        <v>Commutative property for multiplication of integers</v>
      </c>
      <c r="AI9" s="8" t="str">
        <f ca="1">IFERROR(__xludf.DUMMYFUNCTION("""COMPUTED_VALUE"""),"LU000476")</f>
        <v>LU000476</v>
      </c>
      <c r="AJ9" s="8" t="str">
        <f ca="1">IFERROR(__xludf.DUMMYFUNCTION("""COMPUTED_VALUE"""),"Multiplication of rational numbers")</f>
        <v>Multiplication of rational numbers</v>
      </c>
      <c r="AK9" s="8" t="str">
        <f ca="1">IFERROR(__xludf.DUMMYFUNCTION("""COMPUTED_VALUE"""),"LU000464")</f>
        <v>LU000464</v>
      </c>
      <c r="AL9" s="8" t="str">
        <f ca="1">IFERROR(__xludf.DUMMYFUNCTION("""COMPUTED_VALUE"""),"Definition of rational numbers")</f>
        <v>Definition of rational numbers</v>
      </c>
      <c r="AM9" s="8"/>
      <c r="AN9" s="8"/>
      <c r="AO9" s="8"/>
      <c r="AP9" s="8"/>
      <c r="AQ9" s="8"/>
      <c r="AR9" s="8"/>
      <c r="AS9" s="8"/>
      <c r="AT9" s="8"/>
      <c r="AU9" s="8"/>
      <c r="AV9" s="8"/>
      <c r="AW9" s="8"/>
      <c r="AX9" s="8"/>
      <c r="AY9" s="8"/>
      <c r="AZ9" s="8"/>
      <c r="BA9" s="8"/>
      <c r="BB9" s="8"/>
      <c r="BC9" s="8"/>
      <c r="BD9" s="8"/>
      <c r="BE9" s="8"/>
    </row>
    <row r="10" spans="1:57">
      <c r="A10" s="8" t="s">
        <v>247</v>
      </c>
      <c r="B10" s="8" t="s">
        <v>47</v>
      </c>
      <c r="C10" s="8" t="s">
        <v>731</v>
      </c>
      <c r="D10" s="8" t="s">
        <v>732</v>
      </c>
      <c r="E10" s="8" t="s">
        <v>567</v>
      </c>
      <c r="F10" s="54" t="s">
        <v>743</v>
      </c>
      <c r="G10" s="40" t="s">
        <v>745</v>
      </c>
      <c r="H10" s="40" t="str">
        <f ca="1">IFERROR(__xludf.DUMMYFUNCTION("VLOOKUP(G10, IMPORTRANGE(""https://docs.google.com/spreadsheets/d/14deopnvwcrKtEGCKuYXdUHJbeLDZlkiSSWWT0g7x2pM/edit#gid=999382323"", ""LU List Maths (Filter)!A:B""), 2, FALSE)"),"Examination of commutative property for division of rational numbers")</f>
        <v>Examination of commutative property for division of rational numbers</v>
      </c>
      <c r="I10" s="10" t="str">
        <f t="shared" si="0"/>
        <v>LU001044.001</v>
      </c>
      <c r="J10" s="10" t="str">
        <f ca="1">IFERROR(__xludf.DUMMYFUNCTION("VLOOKUP(I10, IMPORTRANGE(""https://docs.google.com/spreadsheets/d/1yDAaXNsi4Mr5FtRQL4tbmSdIzhx6_m4wkOD7IG-k_eo/edit#gid=0"", ""Maths!M:N""), 2, FALSE)"),"Recall that the commutative property does not apply to division of rational numbers.")</f>
        <v>Recall that the commutative property does not apply to division of rational numbers.</v>
      </c>
      <c r="K10" s="10" t="str">
        <f t="shared" si="1"/>
        <v>LU001044.002</v>
      </c>
      <c r="L10" s="10" t="str">
        <f ca="1">IFERROR(__xludf.DUMMYFUNCTION("VLOOKUP(K10, IMPORTRANGE(""https://docs.google.com/spreadsheets/d/1yDAaXNsi4Mr5FtRQL4tbmSdIzhx6_m4wkOD7IG-k_eo/edit#gid=0"", ""Maths!M:N""), 2, FALSE)"),"Explain why the commutative property is not applicable to division of rational numbers and the mathematical reasons behind it.")</f>
        <v>Explain why the commutative property is not applicable to division of rational numbers and the mathematical reasons behind it.</v>
      </c>
      <c r="M10" s="10" t="str">
        <f t="shared" si="2"/>
        <v>LU001044.003</v>
      </c>
      <c r="N10" s="10" t="str">
        <f ca="1">IFERROR(__xludf.DUMMYFUNCTION("VLOOKUP(M10, IMPORTRANGE(""https://docs.google.com/spreadsheets/d/1yDAaXNsi4Mr5FtRQL4tbmSdIzhx6_m4wkOD7IG-k_eo/edit#gid=0"", ""Maths!M:N""), 2, FALSE)"),"Identify examples where the division of rational numbers demonstrates commutativity or non-commutativity.")</f>
        <v>Identify examples where the division of rational numbers demonstrates commutativity or non-commutativity.</v>
      </c>
      <c r="O10" s="10" t="str">
        <f t="shared" si="3"/>
        <v>LU001044.004</v>
      </c>
      <c r="P10" s="10" t="str">
        <f ca="1">IFERROR(__xludf.DUMMYFUNCTION("VLOOKUP(O10, IMPORTRANGE(""https://docs.google.com/spreadsheets/d/1yDAaXNsi4Mr5FtRQL4tbmSdIzhx6_m4wkOD7IG-k_eo/edit#gid=0"", ""Maths!M:N""), 2, FALSE)"),"Analyse a range of division problems involving rational numbers to highlight the failure of the commutative property.")</f>
        <v>Analyse a range of division problems involving rational numbers to highlight the failure of the commutative property.</v>
      </c>
      <c r="Q10" s="10" t="str">
        <f t="shared" si="4"/>
        <v>LU001044.005</v>
      </c>
      <c r="R10" s="10" t="str">
        <f ca="1">IFERROR(__xludf.DUMMYFUNCTION("VLOOKUP(Q10, IMPORTRANGE(""https://docs.google.com/spreadsheets/d/1yDAaXNsi4Mr5FtRQL4tbmSdIzhx6_m4wkOD7IG-k_eo/edit#gid=0"", ""Maths!M:N""), 2, FALSE)"),"Evaluate the correctness of statements regarding the commutative property and its non-applicability in rational number division.")</f>
        <v>Evaluate the correctness of statements regarding the commutative property and its non-applicability in rational number division.</v>
      </c>
      <c r="S10" s="10" t="str">
        <f t="shared" si="5"/>
        <v>LU001044.006</v>
      </c>
      <c r="T10" s="10" t="str">
        <f ca="1">IFERROR(__xludf.DUMMYFUNCTION("VLOOKUP(S10, IMPORTRANGE(""https://docs.google.com/spreadsheets/d/1yDAaXNsi4Mr5FtRQL4tbmSdIzhx6_m4wkOD7IG-k_eo/edit#gid=0"", ""Maths!M:N""), 2, FALSE)"),"#N/A")</f>
        <v>#N/A</v>
      </c>
      <c r="U10" s="52">
        <f ca="1">IFERROR(__xludf.DUMMYFUNCTION("ArrayFormula(VLOOKUP(G10, IMPORTRANGE(""https://docs.google.com/spreadsheets/d/1p7R4vtkWt5VOBim4ltsDG9KTzSjrtKXsMtQGXPHyND0/edit#gid=795171502"", ""'Filter 30_05_2024'!A1:M2000""), {2, 3, 4, 5,6,7,8,9,10,11,12,13}, 0))"),4)</f>
        <v>4</v>
      </c>
      <c r="V10" s="52">
        <f ca="1">IFERROR(__xludf.DUMMYFUNCTION("""COMPUTED_VALUE"""),6)</f>
        <v>6</v>
      </c>
      <c r="W10" s="52">
        <f ca="1">IFERROR(__xludf.DUMMYFUNCTION("""COMPUTED_VALUE"""),2)</f>
        <v>2</v>
      </c>
      <c r="X10" s="52">
        <f ca="1">IFERROR(__xludf.DUMMYFUNCTION("""COMPUTED_VALUE"""),12)</f>
        <v>12</v>
      </c>
      <c r="Y10" s="52">
        <f ca="1">IFERROR(__xludf.DUMMYFUNCTION("""COMPUTED_VALUE"""),4)</f>
        <v>4</v>
      </c>
      <c r="Z10" s="53">
        <f ca="1">IFERROR(__xludf.DUMMYFUNCTION("""COMPUTED_VALUE"""),3)</f>
        <v>3</v>
      </c>
      <c r="AA10" s="53">
        <f ca="1">IFERROR(__xludf.DUMMYFUNCTION("""COMPUTED_VALUE"""),1)</f>
        <v>1</v>
      </c>
      <c r="AB10" s="53">
        <f ca="1">IFERROR(__xludf.DUMMYFUNCTION("""COMPUTED_VALUE"""),8)</f>
        <v>8</v>
      </c>
      <c r="AC10" s="53"/>
      <c r="AD10" s="53"/>
      <c r="AE10" s="53"/>
      <c r="AF10" s="53"/>
      <c r="AG10" s="8" t="str">
        <f ca="1">IFERROR(__xludf.DUMMYFUNCTION("ArrayFormula(VLOOKUP(G10, IMPORTRANGE(""https://docs.google.com/spreadsheets/d/1Co934fvtviyaRiMsrIlT05Jaq7iiYq07aLvRr35KA48/edit?gid=173865642#gid=173865642"", ""'G8_Maths_Pri_LU'!G2:V2000""), {3, 4, 5, 6, 7, 8, 9, 10, 11, 12, 13, 14, 15, 16}, 0))"),"LU000998")</f>
        <v>LU000998</v>
      </c>
      <c r="AH10" s="8" t="str">
        <f ca="1">IFERROR(__xludf.DUMMYFUNCTION("""COMPUTED_VALUE"""),"Examination of commutative property for division of integers")</f>
        <v>Examination of commutative property for division of integers</v>
      </c>
      <c r="AI10" s="8" t="str">
        <f ca="1">IFERROR(__xludf.DUMMYFUNCTION("""COMPUTED_VALUE"""),"LU000477")</f>
        <v>LU000477</v>
      </c>
      <c r="AJ10" s="8" t="str">
        <f ca="1">IFERROR(__xludf.DUMMYFUNCTION("""COMPUTED_VALUE"""),"Division of rational numbers")</f>
        <v>Division of rational numbers</v>
      </c>
      <c r="AK10" s="8" t="str">
        <f ca="1">IFERROR(__xludf.DUMMYFUNCTION("""COMPUTED_VALUE"""),"LU000464")</f>
        <v>LU000464</v>
      </c>
      <c r="AL10" s="8" t="str">
        <f ca="1">IFERROR(__xludf.DUMMYFUNCTION("""COMPUTED_VALUE"""),"Definition of rational numbers")</f>
        <v>Definition of rational numbers</v>
      </c>
      <c r="AM10" s="8"/>
      <c r="AN10" s="8"/>
      <c r="AO10" s="8"/>
      <c r="AP10" s="8"/>
      <c r="AQ10" s="8"/>
      <c r="AR10" s="8"/>
      <c r="AS10" s="8"/>
      <c r="AT10" s="8"/>
      <c r="AU10" s="8"/>
      <c r="AV10" s="8"/>
      <c r="AW10" s="8"/>
      <c r="AX10" s="8"/>
      <c r="AY10" s="8"/>
      <c r="AZ10" s="8"/>
      <c r="BA10" s="8"/>
      <c r="BB10" s="8"/>
      <c r="BC10" s="8"/>
      <c r="BD10" s="8"/>
      <c r="BE10" s="8"/>
    </row>
    <row r="11" spans="1:57">
      <c r="A11" s="8" t="s">
        <v>247</v>
      </c>
      <c r="B11" s="8" t="s">
        <v>47</v>
      </c>
      <c r="C11" s="8" t="s">
        <v>731</v>
      </c>
      <c r="D11" s="8" t="s">
        <v>732</v>
      </c>
      <c r="E11" s="8" t="s">
        <v>567</v>
      </c>
      <c r="F11" s="54" t="s">
        <v>743</v>
      </c>
      <c r="G11" s="8" t="s">
        <v>746</v>
      </c>
      <c r="H11" s="8" t="str">
        <f ca="1">IFERROR(__xludf.DUMMYFUNCTION("VLOOKUP(G11, IMPORTRANGE(""https://docs.google.com/spreadsheets/d/14deopnvwcrKtEGCKuYXdUHJbeLDZlkiSSWWT0g7x2pM/edit#gid=999382323"", ""LU List Maths (Filter)!A:B""), 2, FALSE)"),"Multiplicative identity of rational numbers")</f>
        <v>Multiplicative identity of rational numbers</v>
      </c>
      <c r="I11" s="10" t="str">
        <f t="shared" si="0"/>
        <v>LU000579.001</v>
      </c>
      <c r="J11" s="10" t="str">
        <f ca="1">IFERROR(__xludf.DUMMYFUNCTION("VLOOKUP(I11, IMPORTRANGE(""https://docs.google.com/spreadsheets/d/1yDAaXNsi4Mr5FtRQL4tbmSdIzhx6_m4wkOD7IG-k_eo/edit#gid=0"", ""Maths!M:N""), 2, FALSE)"),"Define the multiplicative identity of rational numbers and its mathematical representation.")</f>
        <v>Define the multiplicative identity of rational numbers and its mathematical representation.</v>
      </c>
      <c r="K11" s="10" t="str">
        <f t="shared" si="1"/>
        <v>LU000579.002</v>
      </c>
      <c r="L11" s="10" t="str">
        <f ca="1">IFERROR(__xludf.DUMMYFUNCTION("VLOOKUP(K11, IMPORTRANGE(""https://docs.google.com/spreadsheets/d/1yDAaXNsi4Mr5FtRQL4tbmSdIzhx6_m4wkOD7IG-k_eo/edit#gid=0"", ""Maths!M:N""), 2, FALSE)"),"Explain the concept of the multiplicative identity and its role in rational numbers multiplication.")</f>
        <v>Explain the concept of the multiplicative identity and its role in rational numbers multiplication.</v>
      </c>
      <c r="M11" s="10" t="str">
        <f t="shared" si="2"/>
        <v>LU000579.003</v>
      </c>
      <c r="N11" s="10" t="str">
        <f ca="1">IFERROR(__xludf.DUMMYFUNCTION("VLOOKUP(M11, IMPORTRANGE(""https://docs.google.com/spreadsheets/d/1yDAaXNsi4Mr5FtRQL4tbmSdIzhx6_m4wkOD7IG-k_eo/edit#gid=0"", ""Maths!M:N""), 2, FALSE)"),"Simplify the expression involving rational numbers using the multiplicative identity property.")</f>
        <v>Simplify the expression involving rational numbers using the multiplicative identity property.</v>
      </c>
      <c r="O11" s="10" t="str">
        <f t="shared" si="3"/>
        <v>LU000579.004</v>
      </c>
      <c r="P11" s="10" t="str">
        <f ca="1">IFERROR(__xludf.DUMMYFUNCTION("VLOOKUP(O11, IMPORTRANGE(""https://docs.google.com/spreadsheets/d/1yDAaXNsi4Mr5FtRQL4tbmSdIzhx6_m4wkOD7IG-k_eo/edit#gid=0"", ""Maths!M:N""), 2, FALSE)"),"Analyse a series of rational numbers operations and identify instances where the multiplicative identity property is used.")</f>
        <v>Analyse a series of rational numbers operations and identify instances where the multiplicative identity property is used.</v>
      </c>
      <c r="Q11" s="10" t="str">
        <f t="shared" si="4"/>
        <v>LU000579.005</v>
      </c>
      <c r="R11" s="10" t="str">
        <f ca="1">IFERROR(__xludf.DUMMYFUNCTION("VLOOKUP(Q11, IMPORTRANGE(""https://docs.google.com/spreadsheets/d/1yDAaXNsi4Mr5FtRQL4tbmSdIzhx6_m4wkOD7IG-k_eo/edit#gid=0"", ""Maths!M:N""), 2, FALSE)"),"Evaluate the correctness of a solution to a multiplication problem involving the multiplicative identity.")</f>
        <v>Evaluate the correctness of a solution to a multiplication problem involving the multiplicative identity.</v>
      </c>
      <c r="S11" s="10" t="str">
        <f t="shared" si="5"/>
        <v>LU000579.006</v>
      </c>
      <c r="T11" s="10" t="str">
        <f ca="1">IFERROR(__xludf.DUMMYFUNCTION("VLOOKUP(S11, IMPORTRANGE(""https://docs.google.com/spreadsheets/d/1yDAaXNsi4Mr5FtRQL4tbmSdIzhx6_m4wkOD7IG-k_eo/edit#gid=0"", ""Maths!M:N""), 2, FALSE)"),"Design scenarios where students must incorporate the multiplicative identity property to solve problems involving rational numbers.")</f>
        <v>Design scenarios where students must incorporate the multiplicative identity property to solve problems involving rational numbers.</v>
      </c>
      <c r="U11" s="52">
        <f ca="1">IFERROR(__xludf.DUMMYFUNCTION("ArrayFormula(VLOOKUP(G11, IMPORTRANGE(""https://docs.google.com/spreadsheets/d/1p7R4vtkWt5VOBim4ltsDG9KTzSjrtKXsMtQGXPHyND0/edit#gid=795171502"", ""'Filter 30_05_2024'!A1:M2000""), {2, 3, 4, 5,6,7,8,9,10,11,12,13}, 0))"),4)</f>
        <v>4</v>
      </c>
      <c r="V11" s="52">
        <f ca="1">IFERROR(__xludf.DUMMYFUNCTION("""COMPUTED_VALUE"""),6)</f>
        <v>6</v>
      </c>
      <c r="W11" s="52">
        <f ca="1">IFERROR(__xludf.DUMMYFUNCTION("""COMPUTED_VALUE"""),2)</f>
        <v>2</v>
      </c>
      <c r="X11" s="52">
        <f ca="1">IFERROR(__xludf.DUMMYFUNCTION("""COMPUTED_VALUE"""),12)</f>
        <v>12</v>
      </c>
      <c r="Y11" s="52">
        <f ca="1">IFERROR(__xludf.DUMMYFUNCTION("""COMPUTED_VALUE"""),4)</f>
        <v>4</v>
      </c>
      <c r="Z11" s="53">
        <f ca="1">IFERROR(__xludf.DUMMYFUNCTION("""COMPUTED_VALUE"""),3)</f>
        <v>3</v>
      </c>
      <c r="AA11" s="53">
        <f ca="1">IFERROR(__xludf.DUMMYFUNCTION("""COMPUTED_VALUE"""),2)</f>
        <v>2</v>
      </c>
      <c r="AB11" s="53">
        <f ca="1">IFERROR(__xludf.DUMMYFUNCTION("""COMPUTED_VALUE"""),9)</f>
        <v>9</v>
      </c>
      <c r="AC11" s="53"/>
      <c r="AD11" s="53"/>
      <c r="AE11" s="53"/>
      <c r="AF11" s="53"/>
      <c r="AG11" s="8" t="str">
        <f ca="1">IFERROR(__xludf.DUMMYFUNCTION("ArrayFormula(VLOOKUP(G11, IMPORTRANGE(""https://docs.google.com/spreadsheets/d/1Co934fvtviyaRiMsrIlT05Jaq7iiYq07aLvRr35KA48/edit?gid=173865642#gid=173865642"", ""'G8_Maths_Pri_LU'!G2:V2000""), {3, 4, 5, 6, 7, 8, 9, 10, 11, 12, 13, 14, 15, 16}, 0))"),"LU000359")</f>
        <v>LU000359</v>
      </c>
      <c r="AH11" s="8" t="str">
        <f ca="1">IFERROR(__xludf.DUMMYFUNCTION("""COMPUTED_VALUE"""),"Multiplicative identity of integers")</f>
        <v>Multiplicative identity of integers</v>
      </c>
      <c r="AI11" s="8" t="str">
        <f ca="1">IFERROR(__xludf.DUMMYFUNCTION("""COMPUTED_VALUE"""),"LU000476")</f>
        <v>LU000476</v>
      </c>
      <c r="AJ11" s="8" t="str">
        <f ca="1">IFERROR(__xludf.DUMMYFUNCTION("""COMPUTED_VALUE"""),"Multiplication of rational numbers")</f>
        <v>Multiplication of rational numbers</v>
      </c>
      <c r="AK11" s="8" t="str">
        <f ca="1">IFERROR(__xludf.DUMMYFUNCTION("""COMPUTED_VALUE"""),"LU001043")</f>
        <v>LU001043</v>
      </c>
      <c r="AL11" s="8" t="str">
        <f ca="1">IFERROR(__xludf.DUMMYFUNCTION("""COMPUTED_VALUE"""),"Commutative property for multiplication of rational numbers")</f>
        <v>Commutative property for multiplication of rational numbers</v>
      </c>
      <c r="AM11" s="8" t="str">
        <f ca="1">IFERROR(__xludf.DUMMYFUNCTION("""COMPUTED_VALUE"""),"LU000464")</f>
        <v>LU000464</v>
      </c>
      <c r="AN11" s="8" t="str">
        <f ca="1">IFERROR(__xludf.DUMMYFUNCTION("""COMPUTED_VALUE"""),"Definition of rational numbers")</f>
        <v>Definition of rational numbers</v>
      </c>
      <c r="AO11" s="8"/>
      <c r="AP11" s="8"/>
      <c r="AQ11" s="8"/>
      <c r="AR11" s="8"/>
      <c r="AS11" s="8"/>
      <c r="AT11" s="8"/>
      <c r="AU11" s="8"/>
      <c r="AV11" s="8"/>
      <c r="AW11" s="8"/>
      <c r="AX11" s="8"/>
      <c r="AY11" s="8"/>
      <c r="AZ11" s="8"/>
      <c r="BA11" s="8"/>
      <c r="BB11" s="8"/>
      <c r="BC11" s="8"/>
      <c r="BD11" s="8"/>
      <c r="BE11" s="8"/>
    </row>
    <row r="12" spans="1:57">
      <c r="A12" s="8" t="s">
        <v>247</v>
      </c>
      <c r="B12" s="8" t="s">
        <v>47</v>
      </c>
      <c r="C12" s="8" t="s">
        <v>731</v>
      </c>
      <c r="D12" s="8" t="s">
        <v>732</v>
      </c>
      <c r="E12" s="8" t="s">
        <v>567</v>
      </c>
      <c r="F12" s="54" t="s">
        <v>747</v>
      </c>
      <c r="G12" s="8" t="s">
        <v>748</v>
      </c>
      <c r="H12" s="8" t="str">
        <f ca="1">IFERROR(__xludf.DUMMYFUNCTION("VLOOKUP(G12, IMPORTRANGE(""https://docs.google.com/spreadsheets/d/14deopnvwcrKtEGCKuYXdUHJbeLDZlkiSSWWT0g7x2pM/edit#gid=999382323"", ""LU List Maths (Filter)!A:B""), 2, FALSE)"),"Associative property for addition of rational numbers")</f>
        <v>Associative property for addition of rational numbers</v>
      </c>
      <c r="I12" s="10" t="str">
        <f t="shared" si="0"/>
        <v>LU001045.001</v>
      </c>
      <c r="J12" s="10" t="str">
        <f ca="1">IFERROR(__xludf.DUMMYFUNCTION("VLOOKUP(I12, IMPORTRANGE(""https://docs.google.com/spreadsheets/d/1yDAaXNsi4Mr5FtRQL4tbmSdIzhx6_m4wkOD7IG-k_eo/edit#gid=0"", ""Maths!M:N""), 2, FALSE)"),"Recall the associative property for adding rational numbers.")</f>
        <v>Recall the associative property for adding rational numbers.</v>
      </c>
      <c r="K12" s="10" t="str">
        <f t="shared" si="1"/>
        <v>LU001045.002</v>
      </c>
      <c r="L12" s="10" t="str">
        <f ca="1">IFERROR(__xludf.DUMMYFUNCTION("VLOOKUP(K12, IMPORTRANGE(""https://docs.google.com/spreadsheets/d/1yDAaXNsi4Mr5FtRQL4tbmSdIzhx6_m4wkOD7IG-k_eo/edit#gid=0"", ""Maths!M:N""), 2, FALSE)"),"Explain how the associative property applies to adding rational numbers.")</f>
        <v>Explain how the associative property applies to adding rational numbers.</v>
      </c>
      <c r="M12" s="10" t="str">
        <f t="shared" si="2"/>
        <v>LU001045.003</v>
      </c>
      <c r="N12" s="10" t="str">
        <f ca="1">IFERROR(__xludf.DUMMYFUNCTION("VLOOKUP(M12, IMPORTRANGE(""https://docs.google.com/spreadsheets/d/1yDAaXNsi4Mr5FtRQL4tbmSdIzhx6_m4wkOD7IG-k_eo/edit#gid=0"", ""Maths!M:N""), 2, FALSE)"),"Apply the associative property to group rational numbers in calculations, showing that the result remains consistent.")</f>
        <v>Apply the associative property to group rational numbers in calculations, showing that the result remains consistent.</v>
      </c>
      <c r="O12" s="10" t="str">
        <f t="shared" si="3"/>
        <v>LU001045.004</v>
      </c>
      <c r="P12" s="10" t="str">
        <f ca="1">IFERROR(__xludf.DUMMYFUNCTION("VLOOKUP(O12, IMPORTRANGE(""https://docs.google.com/spreadsheets/d/1yDAaXNsi4Mr5FtRQL4tbmSdIzhx6_m4wkOD7IG-k_eo/edit#gid=0"", ""Maths!M:N""), 2, FALSE)"),"Analyze expressions to confirm the associative property in rational number addition.")</f>
        <v>Analyze expressions to confirm the associative property in rational number addition.</v>
      </c>
      <c r="Q12" s="10" t="str">
        <f t="shared" si="4"/>
        <v>LU001045.005</v>
      </c>
      <c r="R12" s="10" t="str">
        <f ca="1">IFERROR(__xludf.DUMMYFUNCTION("VLOOKUP(Q12, IMPORTRANGE(""https://docs.google.com/spreadsheets/d/1yDAaXNsi4Mr5FtRQL4tbmSdIzhx6_m4wkOD7IG-k_eo/edit#gid=0"", ""Maths!M:N""), 2, FALSE)"),"Assess the correctness of statements regarding the associative property and its application in rational number addition.")</f>
        <v>Assess the correctness of statements regarding the associative property and its application in rational number addition.</v>
      </c>
      <c r="S12" s="10" t="str">
        <f t="shared" si="5"/>
        <v>LU001045.006</v>
      </c>
      <c r="T12" s="10" t="str">
        <f ca="1">IFERROR(__xludf.DUMMYFUNCTION("VLOOKUP(S12, IMPORTRANGE(""https://docs.google.com/spreadsheets/d/1yDAaXNsi4Mr5FtRQL4tbmSdIzhx6_m4wkOD7IG-k_eo/edit#gid=0"", ""Maths!M:N""), 2, FALSE)"),"#N/A")</f>
        <v>#N/A</v>
      </c>
      <c r="U12" s="52">
        <f ca="1">IFERROR(__xludf.DUMMYFUNCTION("ArrayFormula(VLOOKUP(G12, IMPORTRANGE(""https://docs.google.com/spreadsheets/d/1p7R4vtkWt5VOBim4ltsDG9KTzSjrtKXsMtQGXPHyND0/edit#gid=795171502"", ""'Filter 30_05_2024'!A1:M2000""), {2, 3, 4, 5,6,7,8,9,10,11,12,13}, 0))"),4)</f>
        <v>4</v>
      </c>
      <c r="V12" s="52">
        <f ca="1">IFERROR(__xludf.DUMMYFUNCTION("""COMPUTED_VALUE"""),6)</f>
        <v>6</v>
      </c>
      <c r="W12" s="52">
        <f ca="1">IFERROR(__xludf.DUMMYFUNCTION("""COMPUTED_VALUE"""),2)</f>
        <v>2</v>
      </c>
      <c r="X12" s="52">
        <f ca="1">IFERROR(__xludf.DUMMYFUNCTION("""COMPUTED_VALUE"""),12)</f>
        <v>12</v>
      </c>
      <c r="Y12" s="52">
        <f ca="1">IFERROR(__xludf.DUMMYFUNCTION("""COMPUTED_VALUE"""),4)</f>
        <v>4</v>
      </c>
      <c r="Z12" s="53">
        <f ca="1">IFERROR(__xludf.DUMMYFUNCTION("""COMPUTED_VALUE"""),3)</f>
        <v>3</v>
      </c>
      <c r="AA12" s="53">
        <f ca="1">IFERROR(__xludf.DUMMYFUNCTION("""COMPUTED_VALUE"""),2)</f>
        <v>2</v>
      </c>
      <c r="AB12" s="53">
        <f ca="1">IFERROR(__xludf.DUMMYFUNCTION("""COMPUTED_VALUE"""),9)</f>
        <v>9</v>
      </c>
      <c r="AC12" s="53"/>
      <c r="AD12" s="53"/>
      <c r="AE12" s="53"/>
      <c r="AF12" s="53"/>
      <c r="AG12" s="8" t="str">
        <f ca="1">IFERROR(__xludf.DUMMYFUNCTION("ArrayFormula(VLOOKUP(G12, IMPORTRANGE(""https://docs.google.com/spreadsheets/d/1Co934fvtviyaRiMsrIlT05Jaq7iiYq07aLvRr35KA48/edit?gid=173865642#gid=173865642"", ""'G8_Maths_Pri_LU'!G2:V2000""), {3, 4, 5, 6, 7, 8, 9, 10, 11, 12, 13, 14, 15, 16}, 0))"),"LU001001")</f>
        <v>LU001001</v>
      </c>
      <c r="AH12" s="8" t="str">
        <f ca="1">IFERROR(__xludf.DUMMYFUNCTION("""COMPUTED_VALUE"""),"Associative property for addition of integers")</f>
        <v>Associative property for addition of integers</v>
      </c>
      <c r="AI12" s="8" t="str">
        <f ca="1">IFERROR(__xludf.DUMMYFUNCTION("""COMPUTED_VALUE"""),"LU000474")</f>
        <v>LU000474</v>
      </c>
      <c r="AJ12" s="8" t="str">
        <f ca="1">IFERROR(__xludf.DUMMYFUNCTION("""COMPUTED_VALUE"""),"Addition of rational numbers")</f>
        <v>Addition of rational numbers</v>
      </c>
      <c r="AK12" s="8" t="str">
        <f ca="1">IFERROR(__xludf.DUMMYFUNCTION("""COMPUTED_VALUE"""),"LU000464")</f>
        <v>LU000464</v>
      </c>
      <c r="AL12" s="8" t="str">
        <f ca="1">IFERROR(__xludf.DUMMYFUNCTION("""COMPUTED_VALUE"""),"Definition of rational numbers")</f>
        <v>Definition of rational numbers</v>
      </c>
      <c r="AM12" s="8"/>
      <c r="AN12" s="8"/>
      <c r="AO12" s="8"/>
      <c r="AP12" s="8"/>
      <c r="AQ12" s="8"/>
      <c r="AR12" s="8"/>
      <c r="AS12" s="8"/>
      <c r="AT12" s="8"/>
      <c r="AU12" s="8"/>
      <c r="AV12" s="8"/>
      <c r="AW12" s="8"/>
      <c r="AX12" s="8"/>
      <c r="AY12" s="8"/>
      <c r="AZ12" s="8"/>
      <c r="BA12" s="8"/>
      <c r="BB12" s="8"/>
      <c r="BC12" s="8"/>
      <c r="BD12" s="8"/>
      <c r="BE12" s="8"/>
    </row>
    <row r="13" spans="1:57">
      <c r="A13" s="8" t="s">
        <v>247</v>
      </c>
      <c r="B13" s="8" t="s">
        <v>47</v>
      </c>
      <c r="C13" s="8" t="s">
        <v>731</v>
      </c>
      <c r="D13" s="8" t="s">
        <v>732</v>
      </c>
      <c r="E13" s="8" t="s">
        <v>567</v>
      </c>
      <c r="F13" s="54" t="s">
        <v>747</v>
      </c>
      <c r="G13" s="8" t="s">
        <v>749</v>
      </c>
      <c r="H13" s="9" t="str">
        <f ca="1">IFERROR(__xludf.DUMMYFUNCTION("VLOOKUP(G13, IMPORTRANGE(""https://docs.google.com/spreadsheets/d/14deopnvwcrKtEGCKuYXdUHJbeLDZlkiSSWWT0g7x2pM/edit#gid=999382323"", ""LU List Maths (Filter)!A:B""), 2, FALSE)"),"Examination of associative property for subtraction of rational numbers")</f>
        <v>Examination of associative property for subtraction of rational numbers</v>
      </c>
      <c r="I13" s="10" t="str">
        <f t="shared" si="0"/>
        <v>LU001046.001</v>
      </c>
      <c r="J13" s="10" t="str">
        <f ca="1">IFERROR(__xludf.DUMMYFUNCTION("VLOOKUP(I13, IMPORTRANGE(""https://docs.google.com/spreadsheets/d/1yDAaXNsi4Mr5FtRQL4tbmSdIzhx6_m4wkOD7IG-k_eo/edit#gid=0"", ""Maths!M:N""), 2, FALSE)"),"Recall that the associative property does not apply to subtraction of rational numbers.")</f>
        <v>Recall that the associative property does not apply to subtraction of rational numbers.</v>
      </c>
      <c r="K13" s="10" t="str">
        <f t="shared" si="1"/>
        <v>LU001046.002</v>
      </c>
      <c r="L13" s="10" t="str">
        <f ca="1">IFERROR(__xludf.DUMMYFUNCTION("VLOOKUP(K13, IMPORTRANGE(""https://docs.google.com/spreadsheets/d/1yDAaXNsi4Mr5FtRQL4tbmSdIzhx6_m4wkOD7IG-k_eo/edit#gid=0"", ""Maths!M:N""), 2, FALSE)"),"Explain why the associative property is inapplicable to rational number subtraction.")</f>
        <v>Explain why the associative property is inapplicable to rational number subtraction.</v>
      </c>
      <c r="M13" s="10" t="str">
        <f t="shared" si="2"/>
        <v>LU001046.003</v>
      </c>
      <c r="N13" s="10" t="str">
        <f ca="1">IFERROR(__xludf.DUMMYFUNCTION("VLOOKUP(M13, IMPORTRANGE(""https://docs.google.com/spreadsheets/d/1yDAaXNsi4Mr5FtRQL4tbmSdIzhx6_m4wkOD7IG-k_eo/edit#gid=0"", ""Maths!M:N""), 2, FALSE)"),"Identify examples where subtraction of rational numbers demonstrates the non-associativity.")</f>
        <v>Identify examples where subtraction of rational numbers demonstrates the non-associativity.</v>
      </c>
      <c r="O13" s="10" t="str">
        <f t="shared" si="3"/>
        <v>LU001046.004</v>
      </c>
      <c r="P13" s="10" t="str">
        <f ca="1">IFERROR(__xludf.DUMMYFUNCTION("VLOOKUP(O13, IMPORTRANGE(""https://docs.google.com/spreadsheets/d/1yDAaXNsi4Mr5FtRQL4tbmSdIzhx6_m4wkOD7IG-k_eo/edit#gid=0"", ""Maths!M:N""), 2, FALSE)"),"Analyse a range of subtraction problems involving rational numbers to highlight the failure of the associative property.")</f>
        <v>Analyse a range of subtraction problems involving rational numbers to highlight the failure of the associative property.</v>
      </c>
      <c r="Q13" s="10" t="str">
        <f t="shared" si="4"/>
        <v>LU001046.005</v>
      </c>
      <c r="R13" s="10" t="str">
        <f ca="1">IFERROR(__xludf.DUMMYFUNCTION("VLOOKUP(Q13, IMPORTRANGE(""https://docs.google.com/spreadsheets/d/1yDAaXNsi4Mr5FtRQL4tbmSdIzhx6_m4wkOD7IG-k_eo/edit#gid=0"", ""Maths!M:N""), 2, FALSE)"),"Evaluate the correctness of statements regarding the associative property and its non-applicability in rational number subtraction.")</f>
        <v>Evaluate the correctness of statements regarding the associative property and its non-applicability in rational number subtraction.</v>
      </c>
      <c r="S13" s="10" t="str">
        <f t="shared" si="5"/>
        <v>LU001046.006</v>
      </c>
      <c r="T13" s="10" t="str">
        <f ca="1">IFERROR(__xludf.DUMMYFUNCTION("VLOOKUP(S13, IMPORTRANGE(""https://docs.google.com/spreadsheets/d/1yDAaXNsi4Mr5FtRQL4tbmSdIzhx6_m4wkOD7IG-k_eo/edit#gid=0"", ""Maths!M:N""), 2, FALSE)"),"#N/A")</f>
        <v>#N/A</v>
      </c>
      <c r="U13" s="52">
        <f ca="1">IFERROR(__xludf.DUMMYFUNCTION("ArrayFormula(VLOOKUP(G13, IMPORTRANGE(""https://docs.google.com/spreadsheets/d/1p7R4vtkWt5VOBim4ltsDG9KTzSjrtKXsMtQGXPHyND0/edit#gid=795171502"", ""'Filter 30_05_2024'!A1:M2000""), {2, 3, 4, 5,6,7,8,9,10,11,12,13}, 0))"),4)</f>
        <v>4</v>
      </c>
      <c r="V13" s="52">
        <f ca="1">IFERROR(__xludf.DUMMYFUNCTION("""COMPUTED_VALUE"""),6)</f>
        <v>6</v>
      </c>
      <c r="W13" s="52">
        <f ca="1">IFERROR(__xludf.DUMMYFUNCTION("""COMPUTED_VALUE"""),2)</f>
        <v>2</v>
      </c>
      <c r="X13" s="52">
        <f ca="1">IFERROR(__xludf.DUMMYFUNCTION("""COMPUTED_VALUE"""),12)</f>
        <v>12</v>
      </c>
      <c r="Y13" s="52">
        <f ca="1">IFERROR(__xludf.DUMMYFUNCTION("""COMPUTED_VALUE"""),4)</f>
        <v>4</v>
      </c>
      <c r="Z13" s="53">
        <f ca="1">IFERROR(__xludf.DUMMYFUNCTION("""COMPUTED_VALUE"""),3)</f>
        <v>3</v>
      </c>
      <c r="AA13" s="53">
        <f ca="1">IFERROR(__xludf.DUMMYFUNCTION("""COMPUTED_VALUE"""),2)</f>
        <v>2</v>
      </c>
      <c r="AB13" s="53">
        <f ca="1">IFERROR(__xludf.DUMMYFUNCTION("""COMPUTED_VALUE"""),9)</f>
        <v>9</v>
      </c>
      <c r="AC13" s="53"/>
      <c r="AD13" s="53"/>
      <c r="AE13" s="53"/>
      <c r="AF13" s="53"/>
      <c r="AG13" s="8" t="str">
        <f ca="1">IFERROR(__xludf.DUMMYFUNCTION("ArrayFormula(VLOOKUP(G13, IMPORTRANGE(""https://docs.google.com/spreadsheets/d/1Co934fvtviyaRiMsrIlT05Jaq7iiYq07aLvRr35KA48/edit?gid=173865642#gid=173865642"", ""'G8_Maths_Pri_LU'!G2:V2000""), {3, 4, 5, 6, 7, 8, 9, 10, 11, 12, 13, 14, 15, 16}, 0))"),"LU001002")</f>
        <v>LU001002</v>
      </c>
      <c r="AH13" s="8" t="str">
        <f ca="1">IFERROR(__xludf.DUMMYFUNCTION("""COMPUTED_VALUE"""),"Examination of associative property for subtraction of integers")</f>
        <v>Examination of associative property for subtraction of integers</v>
      </c>
      <c r="AI13" s="8" t="str">
        <f ca="1">IFERROR(__xludf.DUMMYFUNCTION("""COMPUTED_VALUE"""),"LU000475")</f>
        <v>LU000475</v>
      </c>
      <c r="AJ13" s="8" t="str">
        <f ca="1">IFERROR(__xludf.DUMMYFUNCTION("""COMPUTED_VALUE"""),"Subtraction of rational numbers")</f>
        <v>Subtraction of rational numbers</v>
      </c>
      <c r="AK13" s="8" t="str">
        <f ca="1">IFERROR(__xludf.DUMMYFUNCTION("""COMPUTED_VALUE"""),"LU000464")</f>
        <v>LU000464</v>
      </c>
      <c r="AL13" s="8" t="str">
        <f ca="1">IFERROR(__xludf.DUMMYFUNCTION("""COMPUTED_VALUE"""),"Definition of rational numbers")</f>
        <v>Definition of rational numbers</v>
      </c>
      <c r="AM13" s="8"/>
      <c r="AN13" s="8"/>
      <c r="AO13" s="8"/>
      <c r="AP13" s="8"/>
      <c r="AQ13" s="8"/>
      <c r="AR13" s="8"/>
      <c r="AS13" s="8"/>
      <c r="AT13" s="8"/>
      <c r="AU13" s="8"/>
      <c r="AV13" s="8"/>
      <c r="AW13" s="8"/>
      <c r="AX13" s="8"/>
      <c r="AY13" s="8"/>
      <c r="AZ13" s="8"/>
      <c r="BA13" s="8"/>
      <c r="BB13" s="8"/>
      <c r="BC13" s="8"/>
      <c r="BD13" s="8"/>
      <c r="BE13" s="8"/>
    </row>
    <row r="14" spans="1:57">
      <c r="A14" s="8" t="s">
        <v>247</v>
      </c>
      <c r="B14" s="8" t="s">
        <v>47</v>
      </c>
      <c r="C14" s="8" t="s">
        <v>731</v>
      </c>
      <c r="D14" s="8" t="s">
        <v>732</v>
      </c>
      <c r="E14" s="8" t="s">
        <v>567</v>
      </c>
      <c r="F14" s="54" t="s">
        <v>750</v>
      </c>
      <c r="G14" s="8" t="s">
        <v>751</v>
      </c>
      <c r="H14" s="8" t="str">
        <f ca="1">IFERROR(__xludf.DUMMYFUNCTION("VLOOKUP(G14, IMPORTRANGE(""https://docs.google.com/spreadsheets/d/14deopnvwcrKtEGCKuYXdUHJbeLDZlkiSSWWT0g7x2pM/edit#gid=999382323"", ""LU List Maths (Filter)!A:B""), 2, FALSE)"),"Associative property for multiplication of rational numbers")</f>
        <v>Associative property for multiplication of rational numbers</v>
      </c>
      <c r="I14" s="10" t="str">
        <f t="shared" si="0"/>
        <v>LU001047.001</v>
      </c>
      <c r="J14" s="10" t="str">
        <f ca="1">IFERROR(__xludf.DUMMYFUNCTION("VLOOKUP(I14, IMPORTRANGE(""https://docs.google.com/spreadsheets/d/1yDAaXNsi4Mr5FtRQL4tbmSdIzhx6_m4wkOD7IG-k_eo/edit#gid=0"", ""Maths!M:N""), 2, FALSE)"),"Recall the statement of the associative property for multiplication of rational numbers.")</f>
        <v>Recall the statement of the associative property for multiplication of rational numbers.</v>
      </c>
      <c r="K14" s="10" t="str">
        <f t="shared" si="1"/>
        <v>LU001047.002</v>
      </c>
      <c r="L14" s="10" t="str">
        <f ca="1">IFERROR(__xludf.DUMMYFUNCTION("VLOOKUP(K14, IMPORTRANGE(""https://docs.google.com/spreadsheets/d/1yDAaXNsi4Mr5FtRQL4tbmSdIzhx6_m4wkOD7IG-k_eo/edit#gid=0"", ""Maths!M:N""), 2, FALSE)"),"Explain the concept of the associative property and its application to multiplication of rational numbers.")</f>
        <v>Explain the concept of the associative property and its application to multiplication of rational numbers.</v>
      </c>
      <c r="M14" s="10" t="str">
        <f t="shared" si="2"/>
        <v>LU001047.003</v>
      </c>
      <c r="N14" s="10" t="str">
        <f ca="1">IFERROR(__xludf.DUMMYFUNCTION("VLOOKUP(M14, IMPORTRANGE(""https://docs.google.com/spreadsheets/d/1yDAaXNsi4Mr5FtRQL4tbmSdIzhx6_m4wkOD7IG-k_eo/edit#gid=0"", ""Maths!M:N""), 2, FALSE)"),"Apply the associative property to re-group and simplify rational number multiplication expressions.")</f>
        <v>Apply the associative property to re-group and simplify rational number multiplication expressions.</v>
      </c>
      <c r="O14" s="10" t="str">
        <f t="shared" si="3"/>
        <v>LU001047.004</v>
      </c>
      <c r="P14" s="10" t="str">
        <f ca="1">IFERROR(__xludf.DUMMYFUNCTION("VLOOKUP(O14, IMPORTRANGE(""https://docs.google.com/spreadsheets/d/1yDAaXNsi4Mr5FtRQL4tbmSdIzhx6_m4wkOD7IG-k_eo/edit#gid=0"", ""Maths!M:N""), 2, FALSE)"),"Analyze mathematical equations to demonstrate the use of the associative property and how it affects the grouping of rational numbers in multiplication.")</f>
        <v>Analyze mathematical equations to demonstrate the use of the associative property and how it affects the grouping of rational numbers in multiplication.</v>
      </c>
      <c r="Q14" s="10" t="str">
        <f t="shared" si="4"/>
        <v>LU001047.005</v>
      </c>
      <c r="R14" s="10" t="str">
        <f ca="1">IFERROR(__xludf.DUMMYFUNCTION("VLOOKUP(Q14, IMPORTRANGE(""https://docs.google.com/spreadsheets/d/1yDAaXNsi4Mr5FtRQL4tbmSdIzhx6_m4wkOD7IG-k_eo/edit#gid=0"", ""Maths!M:N""), 2, FALSE)"),"Evaluate the correctness of solutions obtained using the associative property in rational number multiplication problems and identify any errors.")</f>
        <v>Evaluate the correctness of solutions obtained using the associative property in rational number multiplication problems and identify any errors.</v>
      </c>
      <c r="S14" s="10" t="str">
        <f t="shared" si="5"/>
        <v>LU001047.006</v>
      </c>
      <c r="T14" s="10" t="str">
        <f ca="1">IFERROR(__xludf.DUMMYFUNCTION("VLOOKUP(S14, IMPORTRANGE(""https://docs.google.com/spreadsheets/d/1yDAaXNsi4Mr5FtRQL4tbmSdIzhx6_m4wkOD7IG-k_eo/edit#gid=0"", ""Maths!M:N""), 2, FALSE)"),"#N/A")</f>
        <v>#N/A</v>
      </c>
      <c r="U14" s="52">
        <f ca="1">IFERROR(__xludf.DUMMYFUNCTION("ArrayFormula(VLOOKUP(G14, IMPORTRANGE(""https://docs.google.com/spreadsheets/d/1p7R4vtkWt5VOBim4ltsDG9KTzSjrtKXsMtQGXPHyND0/edit#gid=795171502"", ""'Filter 30_05_2024'!A1:M2000""), {2, 3, 4, 5,6,7,8,9,10,11,12,13}, 0))"),4)</f>
        <v>4</v>
      </c>
      <c r="V14" s="52">
        <f ca="1">IFERROR(__xludf.DUMMYFUNCTION("""COMPUTED_VALUE"""),6)</f>
        <v>6</v>
      </c>
      <c r="W14" s="52">
        <f ca="1">IFERROR(__xludf.DUMMYFUNCTION("""COMPUTED_VALUE"""),2)</f>
        <v>2</v>
      </c>
      <c r="X14" s="52">
        <f ca="1">IFERROR(__xludf.DUMMYFUNCTION("""COMPUTED_VALUE"""),12)</f>
        <v>12</v>
      </c>
      <c r="Y14" s="52">
        <f ca="1">IFERROR(__xludf.DUMMYFUNCTION("""COMPUTED_VALUE"""),4)</f>
        <v>4</v>
      </c>
      <c r="Z14" s="53">
        <f ca="1">IFERROR(__xludf.DUMMYFUNCTION("""COMPUTED_VALUE"""),3)</f>
        <v>3</v>
      </c>
      <c r="AA14" s="53">
        <f ca="1">IFERROR(__xludf.DUMMYFUNCTION("""COMPUTED_VALUE"""),1)</f>
        <v>1</v>
      </c>
      <c r="AB14" s="53">
        <f ca="1">IFERROR(__xludf.DUMMYFUNCTION("""COMPUTED_VALUE"""),8)</f>
        <v>8</v>
      </c>
      <c r="AC14" s="53"/>
      <c r="AD14" s="53"/>
      <c r="AE14" s="53"/>
      <c r="AF14" s="53"/>
      <c r="AG14" s="8" t="str">
        <f ca="1">IFERROR(__xludf.DUMMYFUNCTION("ArrayFormula(VLOOKUP(G14, IMPORTRANGE(""https://docs.google.com/spreadsheets/d/1Co934fvtviyaRiMsrIlT05Jaq7iiYq07aLvRr35KA48/edit?gid=173865642#gid=173865642"", ""'G8_Maths_Pri_LU'!G2:V2000""), {3, 4, 5, 6, 7, 8, 9, 10, 11, 12, 13, 14, 15, 16}, 0))"),"LU001003")</f>
        <v>LU001003</v>
      </c>
      <c r="AH14" s="8" t="str">
        <f ca="1">IFERROR(__xludf.DUMMYFUNCTION("""COMPUTED_VALUE"""),"Associative property for multiplication of integers")</f>
        <v>Associative property for multiplication of integers</v>
      </c>
      <c r="AI14" s="8" t="str">
        <f ca="1">IFERROR(__xludf.DUMMYFUNCTION("""COMPUTED_VALUE"""),"LU000476")</f>
        <v>LU000476</v>
      </c>
      <c r="AJ14" s="8" t="str">
        <f ca="1">IFERROR(__xludf.DUMMYFUNCTION("""COMPUTED_VALUE"""),"Multiplication of rational numbers")</f>
        <v>Multiplication of rational numbers</v>
      </c>
      <c r="AK14" s="8" t="str">
        <f ca="1">IFERROR(__xludf.DUMMYFUNCTION("""COMPUTED_VALUE"""),"LU000464")</f>
        <v>LU000464</v>
      </c>
      <c r="AL14" s="8" t="str">
        <f ca="1">IFERROR(__xludf.DUMMYFUNCTION("""COMPUTED_VALUE"""),"Definition of rational numbers")</f>
        <v>Definition of rational numbers</v>
      </c>
      <c r="AM14" s="8"/>
      <c r="AN14" s="8"/>
      <c r="AO14" s="8"/>
      <c r="AP14" s="8"/>
      <c r="AQ14" s="8"/>
      <c r="AR14" s="8"/>
      <c r="AS14" s="8"/>
      <c r="AT14" s="8"/>
      <c r="AU14" s="8"/>
      <c r="AV14" s="8"/>
      <c r="AW14" s="8"/>
      <c r="AX14" s="8"/>
      <c r="AY14" s="8"/>
      <c r="AZ14" s="8"/>
      <c r="BA14" s="8"/>
      <c r="BB14" s="8"/>
      <c r="BC14" s="8"/>
      <c r="BD14" s="8"/>
      <c r="BE14" s="8"/>
    </row>
    <row r="15" spans="1:57">
      <c r="A15" s="8" t="s">
        <v>247</v>
      </c>
      <c r="B15" s="8" t="s">
        <v>47</v>
      </c>
      <c r="C15" s="8" t="s">
        <v>731</v>
      </c>
      <c r="D15" s="8" t="s">
        <v>732</v>
      </c>
      <c r="E15" s="8" t="s">
        <v>567</v>
      </c>
      <c r="F15" s="54" t="s">
        <v>750</v>
      </c>
      <c r="G15" s="40" t="s">
        <v>752</v>
      </c>
      <c r="H15" s="40" t="str">
        <f ca="1">IFERROR(__xludf.DUMMYFUNCTION("VLOOKUP(G15, IMPORTRANGE(""https://docs.google.com/spreadsheets/d/14deopnvwcrKtEGCKuYXdUHJbeLDZlkiSSWWT0g7x2pM/edit#gid=999382323"", ""LU List Maths (Filter)!A:B""), 2, FALSE)"),"Examination of associative property for division of rational numbers")</f>
        <v>Examination of associative property for division of rational numbers</v>
      </c>
      <c r="I15" s="10" t="str">
        <f t="shared" si="0"/>
        <v>LU001048.001</v>
      </c>
      <c r="J15" s="10" t="str">
        <f ca="1">IFERROR(__xludf.DUMMYFUNCTION("VLOOKUP(I15, IMPORTRANGE(""https://docs.google.com/spreadsheets/d/1yDAaXNsi4Mr5FtRQL4tbmSdIzhx6_m4wkOD7IG-k_eo/edit#gid=0"", ""Maths!M:N""), 2, FALSE)"),"Recall that the associative property does not apply to division of rational numbers.")</f>
        <v>Recall that the associative property does not apply to division of rational numbers.</v>
      </c>
      <c r="K15" s="10" t="str">
        <f t="shared" si="1"/>
        <v>LU001048.002</v>
      </c>
      <c r="L15" s="10" t="str">
        <f ca="1">IFERROR(__xludf.DUMMYFUNCTION("VLOOKUP(K15, IMPORTRANGE(""https://docs.google.com/spreadsheets/d/1yDAaXNsi4Mr5FtRQL4tbmSdIzhx6_m4wkOD7IG-k_eo/edit#gid=0"", ""Maths!M:N""), 2, FALSE)"),"Explain why the associative property is inapplicable to rational number division.")</f>
        <v>Explain why the associative property is inapplicable to rational number division.</v>
      </c>
      <c r="M15" s="10" t="str">
        <f t="shared" si="2"/>
        <v>LU001048.003</v>
      </c>
      <c r="N15" s="10" t="str">
        <f ca="1">IFERROR(__xludf.DUMMYFUNCTION("VLOOKUP(M15, IMPORTRANGE(""https://docs.google.com/spreadsheets/d/1yDAaXNsi4Mr5FtRQL4tbmSdIzhx6_m4wkOD7IG-k_eo/edit#gid=0"", ""Maths!M:N""), 2, FALSE)"),"Identify examples where the division of rational numbers demonstrates the non-associativity.")</f>
        <v>Identify examples where the division of rational numbers demonstrates the non-associativity.</v>
      </c>
      <c r="O15" s="10" t="str">
        <f t="shared" si="3"/>
        <v>LU001048.004</v>
      </c>
      <c r="P15" s="10" t="str">
        <f ca="1">IFERROR(__xludf.DUMMYFUNCTION("VLOOKUP(O15, IMPORTRANGE(""https://docs.google.com/spreadsheets/d/1yDAaXNsi4Mr5FtRQL4tbmSdIzhx6_m4wkOD7IG-k_eo/edit#gid=0"", ""Maths!M:N""), 2, FALSE)"),"Analyse a range of division problems involving rational numbers to highlight the failure of the associative property.")</f>
        <v>Analyse a range of division problems involving rational numbers to highlight the failure of the associative property.</v>
      </c>
      <c r="Q15" s="10" t="str">
        <f t="shared" si="4"/>
        <v>LU001048.005</v>
      </c>
      <c r="R15" s="10" t="str">
        <f ca="1">IFERROR(__xludf.DUMMYFUNCTION("VLOOKUP(Q15, IMPORTRANGE(""https://docs.google.com/spreadsheets/d/1yDAaXNsi4Mr5FtRQL4tbmSdIzhx6_m4wkOD7IG-k_eo/edit#gid=0"", ""Maths!M:N""), 2, FALSE)"),"Evaluate the correctness of statements regarding the associative property and its non-applicability in rational number division.")</f>
        <v>Evaluate the correctness of statements regarding the associative property and its non-applicability in rational number division.</v>
      </c>
      <c r="S15" s="10" t="str">
        <f t="shared" si="5"/>
        <v>LU001048.006</v>
      </c>
      <c r="T15" s="10" t="str">
        <f ca="1">IFERROR(__xludf.DUMMYFUNCTION("VLOOKUP(S15, IMPORTRANGE(""https://docs.google.com/spreadsheets/d/1yDAaXNsi4Mr5FtRQL4tbmSdIzhx6_m4wkOD7IG-k_eo/edit#gid=0"", ""Maths!M:N""), 2, FALSE)"),"#N/A")</f>
        <v>#N/A</v>
      </c>
      <c r="U15" s="52">
        <f ca="1">IFERROR(__xludf.DUMMYFUNCTION("ArrayFormula(VLOOKUP(G15, IMPORTRANGE(""https://docs.google.com/spreadsheets/d/1p7R4vtkWt5VOBim4ltsDG9KTzSjrtKXsMtQGXPHyND0/edit#gid=795171502"", ""'Filter 30_05_2024'!A1:M2000""), {2, 3, 4, 5,6,7,8,9,10,11,12,13}, 0))"),4)</f>
        <v>4</v>
      </c>
      <c r="V15" s="52">
        <f ca="1">IFERROR(__xludf.DUMMYFUNCTION("""COMPUTED_VALUE"""),6)</f>
        <v>6</v>
      </c>
      <c r="W15" s="52">
        <f ca="1">IFERROR(__xludf.DUMMYFUNCTION("""COMPUTED_VALUE"""),2)</f>
        <v>2</v>
      </c>
      <c r="X15" s="52">
        <f ca="1">IFERROR(__xludf.DUMMYFUNCTION("""COMPUTED_VALUE"""),12)</f>
        <v>12</v>
      </c>
      <c r="Y15" s="52">
        <f ca="1">IFERROR(__xludf.DUMMYFUNCTION("""COMPUTED_VALUE"""),4)</f>
        <v>4</v>
      </c>
      <c r="Z15" s="53">
        <f ca="1">IFERROR(__xludf.DUMMYFUNCTION("""COMPUTED_VALUE"""),3)</f>
        <v>3</v>
      </c>
      <c r="AA15" s="53">
        <f ca="1">IFERROR(__xludf.DUMMYFUNCTION("""COMPUTED_VALUE"""),1)</f>
        <v>1</v>
      </c>
      <c r="AB15" s="53">
        <f ca="1">IFERROR(__xludf.DUMMYFUNCTION("""COMPUTED_VALUE"""),8)</f>
        <v>8</v>
      </c>
      <c r="AC15" s="53"/>
      <c r="AD15" s="53"/>
      <c r="AE15" s="53"/>
      <c r="AF15" s="53"/>
      <c r="AG15" s="8" t="str">
        <f ca="1">IFERROR(__xludf.DUMMYFUNCTION("ArrayFormula(VLOOKUP(G15, IMPORTRANGE(""https://docs.google.com/spreadsheets/d/1Co934fvtviyaRiMsrIlT05Jaq7iiYq07aLvRr35KA48/edit?gid=173865642#gid=173865642"", ""'G8_Maths_Pri_LU'!G2:V2000""), {3, 4, 5, 6, 7, 8, 9, 10, 11, 12, 13, 14, 15, 16}, 0))"),"LU001004")</f>
        <v>LU001004</v>
      </c>
      <c r="AH15" s="8" t="str">
        <f ca="1">IFERROR(__xludf.DUMMYFUNCTION("""COMPUTED_VALUE"""),"Examination of associative property for division of integers")</f>
        <v>Examination of associative property for division of integers</v>
      </c>
      <c r="AI15" s="8" t="str">
        <f ca="1">IFERROR(__xludf.DUMMYFUNCTION("""COMPUTED_VALUE"""),"LU000477")</f>
        <v>LU000477</v>
      </c>
      <c r="AJ15" s="8" t="str">
        <f ca="1">IFERROR(__xludf.DUMMYFUNCTION("""COMPUTED_VALUE"""),"Division of rational numbers")</f>
        <v>Division of rational numbers</v>
      </c>
      <c r="AK15" s="8" t="str">
        <f ca="1">IFERROR(__xludf.DUMMYFUNCTION("""COMPUTED_VALUE"""),"LU000464")</f>
        <v>LU000464</v>
      </c>
      <c r="AL15" s="8" t="str">
        <f ca="1">IFERROR(__xludf.DUMMYFUNCTION("""COMPUTED_VALUE"""),"Definition of rational numbers")</f>
        <v>Definition of rational numbers</v>
      </c>
      <c r="AM15" s="8"/>
      <c r="AN15" s="8"/>
      <c r="AO15" s="8"/>
      <c r="AP15" s="8"/>
      <c r="AQ15" s="8"/>
      <c r="AR15" s="8"/>
      <c r="AS15" s="8"/>
      <c r="AT15" s="8"/>
      <c r="AU15" s="8"/>
      <c r="AV15" s="8"/>
      <c r="AW15" s="8"/>
      <c r="AX15" s="8"/>
      <c r="AY15" s="8"/>
      <c r="AZ15" s="8"/>
      <c r="BA15" s="8"/>
      <c r="BB15" s="8"/>
      <c r="BC15" s="8"/>
      <c r="BD15" s="8"/>
      <c r="BE15" s="8"/>
    </row>
    <row r="16" spans="1:57">
      <c r="A16" s="8" t="s">
        <v>247</v>
      </c>
      <c r="B16" s="8" t="s">
        <v>47</v>
      </c>
      <c r="C16" s="8" t="s">
        <v>731</v>
      </c>
      <c r="D16" s="8" t="s">
        <v>732</v>
      </c>
      <c r="E16" s="8" t="s">
        <v>567</v>
      </c>
      <c r="F16" s="54" t="s">
        <v>437</v>
      </c>
      <c r="G16" s="8" t="s">
        <v>753</v>
      </c>
      <c r="H16" s="8" t="str">
        <f ca="1">IFERROR(__xludf.DUMMYFUNCTION("VLOOKUP(G16, IMPORTRANGE(""https://docs.google.com/spreadsheets/d/14deopnvwcrKtEGCKuYXdUHJbeLDZlkiSSWWT0g7x2pM/edit#gid=999382323"", ""LU List Maths (Filter)!A:B""), 2, FALSE)"),"Distributive property of multiplication over addition of rational numbers")</f>
        <v>Distributive property of multiplication over addition of rational numbers</v>
      </c>
      <c r="I16" s="10" t="str">
        <f t="shared" si="0"/>
        <v>LU000580.001</v>
      </c>
      <c r="J16" s="10" t="str">
        <f ca="1">IFERROR(__xludf.DUMMYFUNCTION("VLOOKUP(I16, IMPORTRANGE(""https://docs.google.com/spreadsheets/d/1yDAaXNsi4Mr5FtRQL4tbmSdIzhx6_m4wkOD7IG-k_eo/edit#gid=0"", ""Maths!M:N""), 2, FALSE)"),"State the distributive property of multiplication over addition for rational numbers.")</f>
        <v>State the distributive property of multiplication over addition for rational numbers.</v>
      </c>
      <c r="K16" s="10" t="str">
        <f t="shared" si="1"/>
        <v>LU000580.002</v>
      </c>
      <c r="L16" s="10" t="str">
        <f ca="1">IFERROR(__xludf.DUMMYFUNCTION("VLOOKUP(K16, IMPORTRANGE(""https://docs.google.com/spreadsheets/d/1yDAaXNsi4Mr5FtRQL4tbmSdIzhx6_m4wkOD7IG-k_eo/edit#gid=0"", ""Maths!M:N""), 2, FALSE)"),"Describe the significance of the distributive property in simplifying complex multiplication expressions involving addition for rational numbers.")</f>
        <v>Describe the significance of the distributive property in simplifying complex multiplication expressions involving addition for rational numbers.</v>
      </c>
      <c r="M16" s="10" t="str">
        <f t="shared" si="2"/>
        <v>LU000580.003</v>
      </c>
      <c r="N16" s="10" t="str">
        <f ca="1">IFERROR(__xludf.DUMMYFUNCTION("VLOOKUP(M16, IMPORTRANGE(""https://docs.google.com/spreadsheets/d/1yDAaXNsi4Mr5FtRQL4tbmSdIzhx6_m4wkOD7IG-k_eo/edit#gid=0"", ""Maths!M:N""), 2, FALSE)"),"Apply the distributive property to rewrite multiplication expressions involving addition of rational numbers.")</f>
        <v>Apply the distributive property to rewrite multiplication expressions involving addition of rational numbers.</v>
      </c>
      <c r="O16" s="10" t="str">
        <f t="shared" si="3"/>
        <v>LU000580.004</v>
      </c>
      <c r="P16" s="10" t="str">
        <f ca="1">IFERROR(__xludf.DUMMYFUNCTION("VLOOKUP(O16, IMPORTRANGE(""https://docs.google.com/spreadsheets/d/1yDAaXNsi4Mr5FtRQL4tbmSdIzhx6_m4wkOD7IG-k_eo/edit#gid=0"", ""Maths!M:N""), 2, FALSE)"),"Write numerical examples to demonstrate the application of the distributive property in multiplication of rational numbers over addition")</f>
        <v>Write numerical examples to demonstrate the application of the distributive property in multiplication of rational numbers over addition</v>
      </c>
      <c r="Q16" s="10" t="str">
        <f t="shared" si="4"/>
        <v>LU000580.005</v>
      </c>
      <c r="R16" s="10" t="str">
        <f ca="1">IFERROR(__xludf.DUMMYFUNCTION("VLOOKUP(Q16, IMPORTRANGE(""https://docs.google.com/spreadsheets/d/1yDAaXNsi4Mr5FtRQL4tbmSdIzhx6_m4wkOD7IG-k_eo/edit#gid=0"", ""Maths!M:N""), 2, FALSE)"),"Judge the usefulness of the distributive property in providing an alternative method for solving multiplication problems for rational numbers involving addition")</f>
        <v>Judge the usefulness of the distributive property in providing an alternative method for solving multiplication problems for rational numbers involving addition</v>
      </c>
      <c r="S16" s="10" t="str">
        <f t="shared" si="5"/>
        <v>LU000580.006</v>
      </c>
      <c r="T16" s="10" t="str">
        <f ca="1">IFERROR(__xludf.DUMMYFUNCTION("VLOOKUP(S16, IMPORTRANGE(""https://docs.google.com/spreadsheets/d/1yDAaXNsi4Mr5FtRQL4tbmSdIzhx6_m4wkOD7IG-k_eo/edit#gid=0"", ""Maths!M:N""), 2, FALSE)"),"Devise word problems to utilise the distributive property over addition to simplify real-world situations involving rational numbers.")</f>
        <v>Devise word problems to utilise the distributive property over addition to simplify real-world situations involving rational numbers.</v>
      </c>
      <c r="U16" s="52">
        <f ca="1">IFERROR(__xludf.DUMMYFUNCTION("ArrayFormula(VLOOKUP(G16, IMPORTRANGE(""https://docs.google.com/spreadsheets/d/1p7R4vtkWt5VOBim4ltsDG9KTzSjrtKXsMtQGXPHyND0/edit#gid=795171502"", ""'Filter 30_05_2024'!A1:M2000""), {2, 3, 4, 5,6,7,8,9,10,11,12,13}, 0))"),4)</f>
        <v>4</v>
      </c>
      <c r="V16" s="52">
        <f ca="1">IFERROR(__xludf.DUMMYFUNCTION("""COMPUTED_VALUE"""),6)</f>
        <v>6</v>
      </c>
      <c r="W16" s="52">
        <f ca="1">IFERROR(__xludf.DUMMYFUNCTION("""COMPUTED_VALUE"""),2)</f>
        <v>2</v>
      </c>
      <c r="X16" s="52">
        <f ca="1">IFERROR(__xludf.DUMMYFUNCTION("""COMPUTED_VALUE"""),12)</f>
        <v>12</v>
      </c>
      <c r="Y16" s="52">
        <f ca="1">IFERROR(__xludf.DUMMYFUNCTION("""COMPUTED_VALUE"""),4)</f>
        <v>4</v>
      </c>
      <c r="Z16" s="53">
        <f ca="1">IFERROR(__xludf.DUMMYFUNCTION("""COMPUTED_VALUE"""),3)</f>
        <v>3</v>
      </c>
      <c r="AA16" s="53">
        <f ca="1">IFERROR(__xludf.DUMMYFUNCTION("""COMPUTED_VALUE"""),1)</f>
        <v>1</v>
      </c>
      <c r="AB16" s="53">
        <f ca="1">IFERROR(__xludf.DUMMYFUNCTION("""COMPUTED_VALUE"""),8)</f>
        <v>8</v>
      </c>
      <c r="AC16" s="53"/>
      <c r="AD16" s="53"/>
      <c r="AE16" s="53"/>
      <c r="AF16" s="53"/>
      <c r="AG16" s="8" t="str">
        <f ca="1">IFERROR(__xludf.DUMMYFUNCTION("ArrayFormula(VLOOKUP(G16, IMPORTRANGE(""https://docs.google.com/spreadsheets/d/1Co934fvtviyaRiMsrIlT05Jaq7iiYq07aLvRr35KA48/edit?gid=173865642#gid=173865642"", ""'G8_Maths_Pri_LU'!G2:V2000""), {3, 4, 5, 6, 7, 8, 9, 10, 11, 12, 13, 14, 15, 16}, 0))"),"LU000999")</f>
        <v>LU000999</v>
      </c>
      <c r="AH16" s="8" t="str">
        <f ca="1">IFERROR(__xludf.DUMMYFUNCTION("""COMPUTED_VALUE"""),"Distributive property of multiplication over addition of integers")</f>
        <v>Distributive property of multiplication over addition of integers</v>
      </c>
      <c r="AI16" s="8" t="str">
        <f ca="1">IFERROR(__xludf.DUMMYFUNCTION("""COMPUTED_VALUE"""),"LU000474")</f>
        <v>LU000474</v>
      </c>
      <c r="AJ16" s="8" t="str">
        <f ca="1">IFERROR(__xludf.DUMMYFUNCTION("""COMPUTED_VALUE"""),"Addition of rational numbers")</f>
        <v>Addition of rational numbers</v>
      </c>
      <c r="AK16" s="8" t="str">
        <f ca="1">IFERROR(__xludf.DUMMYFUNCTION("""COMPUTED_VALUE"""),"LU000476")</f>
        <v>LU000476</v>
      </c>
      <c r="AL16" s="8" t="str">
        <f ca="1">IFERROR(__xludf.DUMMYFUNCTION("""COMPUTED_VALUE"""),"Multiplication of rational numbers")</f>
        <v>Multiplication of rational numbers</v>
      </c>
      <c r="AM16" s="8" t="str">
        <f ca="1">IFERROR(__xludf.DUMMYFUNCTION("""COMPUTED_VALUE"""),"LU000464")</f>
        <v>LU000464</v>
      </c>
      <c r="AN16" s="8" t="str">
        <f ca="1">IFERROR(__xludf.DUMMYFUNCTION("""COMPUTED_VALUE"""),"Definition of rational numbers")</f>
        <v>Definition of rational numbers</v>
      </c>
      <c r="AO16" s="8"/>
      <c r="AP16" s="8"/>
      <c r="AQ16" s="8"/>
      <c r="AR16" s="8"/>
      <c r="AS16" s="8"/>
      <c r="AT16" s="8"/>
      <c r="AU16" s="8"/>
      <c r="AV16" s="8"/>
      <c r="AW16" s="8"/>
      <c r="AX16" s="8"/>
      <c r="AY16" s="8"/>
      <c r="AZ16" s="8"/>
      <c r="BA16" s="8"/>
      <c r="BB16" s="8"/>
      <c r="BC16" s="8"/>
      <c r="BD16" s="8"/>
      <c r="BE16" s="8"/>
    </row>
    <row r="17" spans="1:57">
      <c r="A17" s="8" t="s">
        <v>247</v>
      </c>
      <c r="B17" s="8" t="s">
        <v>47</v>
      </c>
      <c r="C17" s="8" t="s">
        <v>731</v>
      </c>
      <c r="D17" s="8" t="s">
        <v>732</v>
      </c>
      <c r="E17" s="8" t="s">
        <v>567</v>
      </c>
      <c r="F17" s="54" t="s">
        <v>437</v>
      </c>
      <c r="G17" s="40" t="s">
        <v>754</v>
      </c>
      <c r="H17" s="40" t="str">
        <f ca="1">IFERROR(__xludf.DUMMYFUNCTION("VLOOKUP(G17, IMPORTRANGE(""https://docs.google.com/spreadsheets/d/14deopnvwcrKtEGCKuYXdUHJbeLDZlkiSSWWT0g7x2pM/edit#gid=999382323"", ""LU List Maths (Filter)!A:B""), 2, FALSE)"),"Distributive property of multiplication over subtraction of rational numbers")</f>
        <v>Distributive property of multiplication over subtraction of rational numbers</v>
      </c>
      <c r="I17" s="10" t="str">
        <f t="shared" si="0"/>
        <v>LU000901.001</v>
      </c>
      <c r="J17" s="10" t="str">
        <f ca="1">IFERROR(__xludf.DUMMYFUNCTION("VLOOKUP(I17, IMPORTRANGE(""https://docs.google.com/spreadsheets/d/1yDAaXNsi4Mr5FtRQL4tbmSdIzhx6_m4wkOD7IG-k_eo/edit#gid=0"", ""Maths!M:N""), 2, FALSE)"),"State the distributive property of multiplication over subtraction for rational numbers.")</f>
        <v>State the distributive property of multiplication over subtraction for rational numbers.</v>
      </c>
      <c r="K17" s="10" t="str">
        <f t="shared" si="1"/>
        <v>LU000901.002</v>
      </c>
      <c r="L17" s="10" t="str">
        <f ca="1">IFERROR(__xludf.DUMMYFUNCTION("VLOOKUP(K17, IMPORTRANGE(""https://docs.google.com/spreadsheets/d/1yDAaXNsi4Mr5FtRQL4tbmSdIzhx6_m4wkOD7IG-k_eo/edit#gid=0"", ""Maths!M:N""), 2, FALSE)"),"Describe the significance of the distributive property in simplifying complex multiplication expressions involving subtraction for rational numbers.")</f>
        <v>Describe the significance of the distributive property in simplifying complex multiplication expressions involving subtraction for rational numbers.</v>
      </c>
      <c r="M17" s="10" t="str">
        <f t="shared" si="2"/>
        <v>LU000901.003</v>
      </c>
      <c r="N17" s="10" t="str">
        <f ca="1">IFERROR(__xludf.DUMMYFUNCTION("VLOOKUP(M17, IMPORTRANGE(""https://docs.google.com/spreadsheets/d/1yDAaXNsi4Mr5FtRQL4tbmSdIzhx6_m4wkOD7IG-k_eo/edit#gid=0"", ""Maths!M:N""), 2, FALSE)"),"Apply the distributive property to rewrite multiplication expressions involving subtraction of rational numbers.")</f>
        <v>Apply the distributive property to rewrite multiplication expressions involving subtraction of rational numbers.</v>
      </c>
      <c r="O17" s="10" t="str">
        <f t="shared" si="3"/>
        <v>LU000901.004</v>
      </c>
      <c r="P17" s="10" t="str">
        <f ca="1">IFERROR(__xludf.DUMMYFUNCTION("VLOOKUP(O17, IMPORTRANGE(""https://docs.google.com/spreadsheets/d/1yDAaXNsi4Mr5FtRQL4tbmSdIzhx6_m4wkOD7IG-k_eo/edit#gid=0"", ""Maths!M:N""), 2, FALSE)"),"Write numerical examples to demonstrate the application of the distributive property in multiplication of rational numbers over subtraction")</f>
        <v>Write numerical examples to demonstrate the application of the distributive property in multiplication of rational numbers over subtraction</v>
      </c>
      <c r="Q17" s="10" t="str">
        <f t="shared" si="4"/>
        <v>LU000901.005</v>
      </c>
      <c r="R17" s="10" t="str">
        <f ca="1">IFERROR(__xludf.DUMMYFUNCTION("VLOOKUP(Q17, IMPORTRANGE(""https://docs.google.com/spreadsheets/d/1yDAaXNsi4Mr5FtRQL4tbmSdIzhx6_m4wkOD7IG-k_eo/edit#gid=0"", ""Maths!M:N""), 2, FALSE)"),"Judge the usefulness of the distributive property in providing an alternative method for solving multiplication problems for rational numbers involving subtraction")</f>
        <v>Judge the usefulness of the distributive property in providing an alternative method for solving multiplication problems for rational numbers involving subtraction</v>
      </c>
      <c r="S17" s="10" t="str">
        <f t="shared" si="5"/>
        <v>LU000901.006</v>
      </c>
      <c r="T17" s="10" t="str">
        <f ca="1">IFERROR(__xludf.DUMMYFUNCTION("VLOOKUP(S17, IMPORTRANGE(""https://docs.google.com/spreadsheets/d/1yDAaXNsi4Mr5FtRQL4tbmSdIzhx6_m4wkOD7IG-k_eo/edit#gid=0"", ""Maths!M:N""), 2, FALSE)"),"Devise word problems to utilise the distributive property over subtraction to simplify real-world situations involving rational numbers.")</f>
        <v>Devise word problems to utilise the distributive property over subtraction to simplify real-world situations involving rational numbers.</v>
      </c>
      <c r="U17" s="52">
        <f ca="1">IFERROR(__xludf.DUMMYFUNCTION("ArrayFormula(VLOOKUP(G17, IMPORTRANGE(""https://docs.google.com/spreadsheets/d/1p7R4vtkWt5VOBim4ltsDG9KTzSjrtKXsMtQGXPHyND0/edit#gid=795171502"", ""'Filter 30_05_2024'!A1:M2000""), {2, 3, 4, 5,6,7,8,9,10,11,12,13}, 0))"),4)</f>
        <v>4</v>
      </c>
      <c r="V17" s="52">
        <f ca="1">IFERROR(__xludf.DUMMYFUNCTION("""COMPUTED_VALUE"""),6)</f>
        <v>6</v>
      </c>
      <c r="W17" s="52">
        <f ca="1">IFERROR(__xludf.DUMMYFUNCTION("""COMPUTED_VALUE"""),2)</f>
        <v>2</v>
      </c>
      <c r="X17" s="52">
        <f ca="1">IFERROR(__xludf.DUMMYFUNCTION("""COMPUTED_VALUE"""),12)</f>
        <v>12</v>
      </c>
      <c r="Y17" s="52">
        <f ca="1">IFERROR(__xludf.DUMMYFUNCTION("""COMPUTED_VALUE"""),4)</f>
        <v>4</v>
      </c>
      <c r="Z17" s="53">
        <f ca="1">IFERROR(__xludf.DUMMYFUNCTION("""COMPUTED_VALUE"""),3)</f>
        <v>3</v>
      </c>
      <c r="AA17" s="53">
        <f ca="1">IFERROR(__xludf.DUMMYFUNCTION("""COMPUTED_VALUE"""),1)</f>
        <v>1</v>
      </c>
      <c r="AB17" s="53">
        <f ca="1">IFERROR(__xludf.DUMMYFUNCTION("""COMPUTED_VALUE"""),8)</f>
        <v>8</v>
      </c>
      <c r="AC17" s="53"/>
      <c r="AD17" s="53"/>
      <c r="AE17" s="53"/>
      <c r="AF17" s="53"/>
      <c r="AG17" s="8" t="str">
        <f ca="1">IFERROR(__xludf.DUMMYFUNCTION("ArrayFormula(VLOOKUP(G17, IMPORTRANGE(""https://docs.google.com/spreadsheets/d/1Co934fvtviyaRiMsrIlT05Jaq7iiYq07aLvRr35KA48/edit?gid=173865642#gid=173865642"", ""'G8_Maths_Pri_LU'!G2:V2000""), {3, 4, 5, 6, 7, 8, 9, 10, 11, 12, 13, 14, 15, 16}, 0))"),"LU001000")</f>
        <v>LU001000</v>
      </c>
      <c r="AH17" s="8" t="str">
        <f ca="1">IFERROR(__xludf.DUMMYFUNCTION("""COMPUTED_VALUE"""),"Distributive property of multiplication over subtraction of integers")</f>
        <v>Distributive property of multiplication over subtraction of integers</v>
      </c>
      <c r="AI17" s="8" t="str">
        <f ca="1">IFERROR(__xludf.DUMMYFUNCTION("""COMPUTED_VALUE"""),"LU000476")</f>
        <v>LU000476</v>
      </c>
      <c r="AJ17" s="8" t="str">
        <f ca="1">IFERROR(__xludf.DUMMYFUNCTION("""COMPUTED_VALUE"""),"Multiplication of rational numbers")</f>
        <v>Multiplication of rational numbers</v>
      </c>
      <c r="AK17" s="8" t="str">
        <f ca="1">IFERROR(__xludf.DUMMYFUNCTION("""COMPUTED_VALUE"""),"LU000475")</f>
        <v>LU000475</v>
      </c>
      <c r="AL17" s="8" t="str">
        <f ca="1">IFERROR(__xludf.DUMMYFUNCTION("""COMPUTED_VALUE"""),"Subtraction of rational numbers")</f>
        <v>Subtraction of rational numbers</v>
      </c>
      <c r="AM17" s="8" t="str">
        <f ca="1">IFERROR(__xludf.DUMMYFUNCTION("""COMPUTED_VALUE"""),"LU000464")</f>
        <v>LU000464</v>
      </c>
      <c r="AN17" s="8" t="str">
        <f ca="1">IFERROR(__xludf.DUMMYFUNCTION("""COMPUTED_VALUE"""),"Definition of rational numbers")</f>
        <v>Definition of rational numbers</v>
      </c>
      <c r="AO17" s="8"/>
      <c r="AP17" s="8"/>
      <c r="AQ17" s="8"/>
      <c r="AR17" s="8"/>
      <c r="AS17" s="8"/>
      <c r="AT17" s="8"/>
      <c r="AU17" s="8"/>
      <c r="AV17" s="8"/>
      <c r="AW17" s="8"/>
      <c r="AX17" s="8"/>
      <c r="AY17" s="8"/>
      <c r="AZ17" s="8"/>
      <c r="BA17" s="8"/>
      <c r="BB17" s="8"/>
      <c r="BC17" s="8"/>
      <c r="BD17" s="8"/>
      <c r="BE17" s="8"/>
    </row>
    <row r="18" spans="1:57">
      <c r="A18" s="8" t="s">
        <v>247</v>
      </c>
      <c r="B18" s="8" t="s">
        <v>47</v>
      </c>
      <c r="C18" s="8" t="s">
        <v>731</v>
      </c>
      <c r="D18" s="8" t="s">
        <v>732</v>
      </c>
      <c r="E18" s="8" t="s">
        <v>567</v>
      </c>
      <c r="F18" s="54" t="s">
        <v>755</v>
      </c>
      <c r="G18" s="40" t="s">
        <v>756</v>
      </c>
      <c r="H18" s="40" t="str">
        <f ca="1">IFERROR(__xludf.DUMMYFUNCTION("VLOOKUP(G18, IMPORTRANGE(""https://docs.google.com/spreadsheets/d/14deopnvwcrKtEGCKuYXdUHJbeLDZlkiSSWWT0g7x2pM/edit#gid=999382323"", ""LU List Maths (Filter)!A:B""), 2, FALSE)"),"Application of combination of properties of rational numbers")</f>
        <v>Application of combination of properties of rational numbers</v>
      </c>
      <c r="I18" s="10" t="str">
        <f t="shared" si="0"/>
        <v>LU000910.001</v>
      </c>
      <c r="J18" s="10" t="str">
        <f ca="1">IFERROR(__xludf.DUMMYFUNCTION("VLOOKUP(I18, IMPORTRANGE(""https://docs.google.com/spreadsheets/d/1yDAaXNsi4Mr5FtRQL4tbmSdIzhx6_m4wkOD7IG-k_eo/edit#gid=0"", ""Maths!M:N""), 2, FALSE)"),"State the properties of rational numbers (like commutative, associative, distributive properties) and basic operations involving them.")</f>
        <v>State the properties of rational numbers (like commutative, associative, distributive properties) and basic operations involving them.</v>
      </c>
      <c r="K18" s="10" t="str">
        <f t="shared" si="1"/>
        <v>LU000910.002</v>
      </c>
      <c r="L18" s="10" t="str">
        <f ca="1">IFERROR(__xludf.DUMMYFUNCTION("VLOOKUP(K18, IMPORTRANGE(""https://docs.google.com/spreadsheets/d/1yDAaXNsi4Mr5FtRQL4tbmSdIzhx6_m4wkOD7IG-k_eo/edit#gid=0"", ""Maths!M:N""), 2, FALSE)"),"Explain and interpret how these properties work individually and in combination when applied to rational numbers.")</f>
        <v>Explain and interpret how these properties work individually and in combination when applied to rational numbers.</v>
      </c>
      <c r="M18" s="10" t="str">
        <f t="shared" si="2"/>
        <v>LU000910.003</v>
      </c>
      <c r="N18" s="10" t="str">
        <f ca="1">IFERROR(__xludf.DUMMYFUNCTION("VLOOKUP(M18, IMPORTRANGE(""https://docs.google.com/spreadsheets/d/1yDAaXNsi4Mr5FtRQL4tbmSdIzhx6_m4wkOD7IG-k_eo/edit#gid=0"", ""Maths!M:N""), 2, FALSE)"),"Use different properties to perform calculations and solve problems involving rational numbers.")</f>
        <v>Use different properties to perform calculations and solve problems involving rational numbers.</v>
      </c>
      <c r="O18" s="10" t="str">
        <f t="shared" si="3"/>
        <v>LU000910.004</v>
      </c>
      <c r="P18" s="10" t="str">
        <f ca="1">IFERROR(__xludf.DUMMYFUNCTION("VLOOKUP(O18, IMPORTRANGE(""https://docs.google.com/spreadsheets/d/1yDAaXNsi4Mr5FtRQL4tbmSdIzhx6_m4wkOD7IG-k_eo/edit#gid=0"", ""Maths!M:N""), 2, FALSE)"),"Break down complex problems to identify how different combinations of properties of rational numbers are being used")</f>
        <v>Break down complex problems to identify how different combinations of properties of rational numbers are being used</v>
      </c>
      <c r="Q18" s="10" t="str">
        <f t="shared" si="4"/>
        <v>LU000910.005</v>
      </c>
      <c r="R18" s="10" t="str">
        <f ca="1">IFERROR(__xludf.DUMMYFUNCTION("VLOOKUP(Q18, IMPORTRANGE(""https://docs.google.com/spreadsheets/d/1yDAaXNsi4Mr5FtRQL4tbmSdIzhx6_m4wkOD7IG-k_eo/edit#gid=0"", ""Maths!M:N""), 2, FALSE)"),"Assess and justify the use of particular properties in solving specific problems")</f>
        <v>Assess and justify the use of particular properties in solving specific problems</v>
      </c>
      <c r="S18" s="10" t="str">
        <f t="shared" si="5"/>
        <v>LU000910.006</v>
      </c>
      <c r="T18" s="10" t="str">
        <f ca="1">IFERROR(__xludf.DUMMYFUNCTION("VLOOKUP(S18, IMPORTRANGE(""https://docs.google.com/spreadsheets/d/1yDAaXNsi4Mr5FtRQL4tbmSdIzhx6_m4wkOD7IG-k_eo/edit#gid=0"", ""Maths!M:N""), 2, FALSE)"),"Formulate new problems or scenarios that involve the combined application of properties of rational numbers")</f>
        <v>Formulate new problems or scenarios that involve the combined application of properties of rational numbers</v>
      </c>
      <c r="U18" s="52">
        <f ca="1">IFERROR(__xludf.DUMMYFUNCTION("ArrayFormula(VLOOKUP(G18, IMPORTRANGE(""https://docs.google.com/spreadsheets/d/1p7R4vtkWt5VOBim4ltsDG9KTzSjrtKXsMtQGXPHyND0/edit#gid=795171502"", ""'Filter 30_05_2024'!A1:M2000""), {2, 3, 4, 5,6,7,8,9,10,11,12,13}, 0))"),4)</f>
        <v>4</v>
      </c>
      <c r="V18" s="52">
        <f ca="1">IFERROR(__xludf.DUMMYFUNCTION("""COMPUTED_VALUE"""),6)</f>
        <v>6</v>
      </c>
      <c r="W18" s="52">
        <f ca="1">IFERROR(__xludf.DUMMYFUNCTION("""COMPUTED_VALUE"""),2)</f>
        <v>2</v>
      </c>
      <c r="X18" s="52">
        <f ca="1">IFERROR(__xludf.DUMMYFUNCTION("""COMPUTED_VALUE"""),12)</f>
        <v>12</v>
      </c>
      <c r="Y18" s="52">
        <f ca="1">IFERROR(__xludf.DUMMYFUNCTION("""COMPUTED_VALUE"""),4)</f>
        <v>4</v>
      </c>
      <c r="Z18" s="53">
        <f ca="1">IFERROR(__xludf.DUMMYFUNCTION("""COMPUTED_VALUE"""),3)</f>
        <v>3</v>
      </c>
      <c r="AA18" s="53">
        <f ca="1">IFERROR(__xludf.DUMMYFUNCTION("""COMPUTED_VALUE"""),1)</f>
        <v>1</v>
      </c>
      <c r="AB18" s="53">
        <f ca="1">IFERROR(__xludf.DUMMYFUNCTION("""COMPUTED_VALUE"""),8)</f>
        <v>8</v>
      </c>
      <c r="AC18" s="53"/>
      <c r="AD18" s="53"/>
      <c r="AE18" s="53"/>
      <c r="AF18" s="53"/>
      <c r="AG18" s="8" t="str">
        <f ca="1">IFERROR(__xludf.DUMMYFUNCTION("ArrayFormula(VLOOKUP(G18, IMPORTRANGE(""https://docs.google.com/spreadsheets/d/1Co934fvtviyaRiMsrIlT05Jaq7iiYq07aLvRr35KA48/edit?gid=173865642#gid=173865642"", ""'G8_Maths_Pri_LU'!G2:V2000""), {3, 4, 5, 6, 7, 8, 9, 10, 11, 12, 13, 14, 15, 16}, 0))"),"LU000901")</f>
        <v>LU000901</v>
      </c>
      <c r="AH18" s="8" t="str">
        <f ca="1">IFERROR(__xludf.DUMMYFUNCTION("""COMPUTED_VALUE"""),"Distributive property of multiplication over subtraction of rational numbers")</f>
        <v>Distributive property of multiplication over subtraction of rational numbers</v>
      </c>
      <c r="AI18" s="8" t="str">
        <f ca="1">IFERROR(__xludf.DUMMYFUNCTION("""COMPUTED_VALUE"""),"LU000580")</f>
        <v>LU000580</v>
      </c>
      <c r="AJ18" s="8" t="str">
        <f ca="1">IFERROR(__xludf.DUMMYFUNCTION("""COMPUTED_VALUE"""),"Distributive property of multiplication over addition of rational numbers")</f>
        <v>Distributive property of multiplication over addition of rational numbers</v>
      </c>
      <c r="AK18" s="8" t="str">
        <f ca="1">IFERROR(__xludf.DUMMYFUNCTION("""COMPUTED_VALUE"""),"LU000999")</f>
        <v>LU000999</v>
      </c>
      <c r="AL18" s="8" t="str">
        <f ca="1">IFERROR(__xludf.DUMMYFUNCTION("""COMPUTED_VALUE"""),"Distributive property of multiplication over addition of integers")</f>
        <v>Distributive property of multiplication over addition of integers</v>
      </c>
      <c r="AM18" s="8" t="str">
        <f ca="1">IFERROR(__xludf.DUMMYFUNCTION("""COMPUTED_VALUE"""),"LU001000")</f>
        <v>LU001000</v>
      </c>
      <c r="AN18" s="8" t="str">
        <f ca="1">IFERROR(__xludf.DUMMYFUNCTION("""COMPUTED_VALUE"""),"Distributive property of multiplication over subtraction of integers")</f>
        <v>Distributive property of multiplication over subtraction of integers</v>
      </c>
      <c r="AO18" s="8"/>
      <c r="AP18" s="8"/>
      <c r="AQ18" s="8"/>
      <c r="AR18" s="8"/>
      <c r="AS18" s="8"/>
      <c r="AT18" s="8"/>
      <c r="AU18" s="8"/>
      <c r="AV18" s="8"/>
      <c r="AW18" s="8"/>
      <c r="AX18" s="8"/>
      <c r="AY18" s="8"/>
      <c r="AZ18" s="8"/>
      <c r="BA18" s="8"/>
      <c r="BB18" s="8"/>
      <c r="BC18" s="8"/>
      <c r="BD18" s="8"/>
      <c r="BE18" s="8"/>
    </row>
    <row r="19" spans="1:57">
      <c r="A19" s="8" t="s">
        <v>247</v>
      </c>
      <c r="B19" s="8" t="s">
        <v>47</v>
      </c>
      <c r="C19" s="8" t="s">
        <v>731</v>
      </c>
      <c r="D19" s="8" t="s">
        <v>732</v>
      </c>
      <c r="E19" s="8" t="s">
        <v>757</v>
      </c>
      <c r="F19" s="54" t="s">
        <v>758</v>
      </c>
      <c r="G19" s="8" t="s">
        <v>759</v>
      </c>
      <c r="H19" s="8" t="str">
        <f ca="1">IFERROR(__xludf.DUMMYFUNCTION("VLOOKUP(G19, IMPORTRANGE(""https://docs.google.com/spreadsheets/d/14deopnvwcrKtEGCKuYXdUHJbeLDZlkiSSWWT0g7x2pM/edit#gid=999382323"", ""LU List Maths (Filter)!A:B""), 2, FALSE)"),"Reduction of equation to simpler form")</f>
        <v>Reduction of equation to simpler form</v>
      </c>
      <c r="I19" s="10" t="str">
        <f t="shared" si="0"/>
        <v>LU000584.001</v>
      </c>
      <c r="J19" s="10" t="str">
        <f ca="1">IFERROR(__xludf.DUMMYFUNCTION("VLOOKUP(I19, IMPORTRANGE(""https://docs.google.com/spreadsheets/d/1yDAaXNsi4Mr5FtRQL4tbmSdIzhx6_m4wkOD7IG-k_eo/edit#gid=0"", ""Maths!M:N""), 2, FALSE)"),"State the concept of reducing equations to simpler forms and explain how it involves simplifying expressions to isolate the variable.")</f>
        <v>State the concept of reducing equations to simpler forms and explain how it involves simplifying expressions to isolate the variable.</v>
      </c>
      <c r="K19" s="10" t="str">
        <f t="shared" si="1"/>
        <v>LU000584.002</v>
      </c>
      <c r="L19" s="10" t="str">
        <f ca="1">IFERROR(__xludf.DUMMYFUNCTION("VLOOKUP(K19, IMPORTRANGE(""https://docs.google.com/spreadsheets/d/1yDAaXNsi4Mr5FtRQL4tbmSdIzhx6_m4wkOD7IG-k_eo/edit#gid=0"", ""Maths!M:N""), 2, FALSE)"),"Describe the concept of reducing equations to simpler forms, emphasising the use of inverse operations to simplify the equation and isolate the variable.")</f>
        <v>Describe the concept of reducing equations to simpler forms, emphasising the use of inverse operations to simplify the equation and isolate the variable.</v>
      </c>
      <c r="M19" s="10" t="str">
        <f t="shared" si="2"/>
        <v>LU000584.003</v>
      </c>
      <c r="N19" s="10" t="str">
        <f ca="1">IFERROR(__xludf.DUMMYFUNCTION("VLOOKUP(M19, IMPORTRANGE(""https://docs.google.com/spreadsheets/d/1yDAaXNsi4Mr5FtRQL4tbmSdIzhx6_m4wkOD7IG-k_eo/edit#gid=0"", ""Maths!M:N""), 2, FALSE)"),"Solve a linear equation (like 2(x + 3) - 4x = 5 - 3(2x - 1)), which involves simplifying expressions and isolating the variable.")</f>
        <v>Solve a linear equation (like 2(x + 3) - 4x = 5 - 3(2x - 1)), which involves simplifying expressions and isolating the variable.</v>
      </c>
      <c r="O19" s="10" t="str">
        <f t="shared" si="3"/>
        <v>LU000584.004</v>
      </c>
      <c r="P19" s="10" t="str">
        <f ca="1">IFERROR(__xludf.DUMMYFUNCTION("VLOOKUP(O19, IMPORTRANGE(""https://docs.google.com/spreadsheets/d/1yDAaXNsi4Mr5FtRQL4tbmSdIzhx6_m4wkOD7IG-k_eo/edit#gid=0"", ""Maths!M:N""), 2, FALSE)"),"Examine a complex equation and discuss how reducing it to simpler form simplifies the problem-solving process")</f>
        <v>Examine a complex equation and discuss how reducing it to simpler form simplifies the problem-solving process</v>
      </c>
      <c r="Q19" s="10" t="str">
        <f t="shared" si="4"/>
        <v>LU000584.005</v>
      </c>
      <c r="R19" s="10" t="str">
        <f ca="1">IFERROR(__xludf.DUMMYFUNCTION("VLOOKUP(Q19, IMPORTRANGE(""https://docs.google.com/spreadsheets/d/1yDAaXNsi4Mr5FtRQL4tbmSdIzhx6_m4wkOD7IG-k_eo/edit#gid=0"", ""Maths!M:N""), 2, FALSE)"),"Evaluate the accuracy of solutions in reducing equations to simpler forms, assessing the ability to correctly identify and combine like terms.")</f>
        <v>Evaluate the accuracy of solutions in reducing equations to simpler forms, assessing the ability to correctly identify and combine like terms.</v>
      </c>
      <c r="S19" s="10" t="str">
        <f t="shared" si="5"/>
        <v>LU000584.006</v>
      </c>
      <c r="T19" s="10" t="str">
        <f ca="1">IFERROR(__xludf.DUMMYFUNCTION("VLOOKUP(S19, IMPORTRANGE(""https://docs.google.com/spreadsheets/d/1yDAaXNsi4Mr5FtRQL4tbmSdIzhx6_m4wkOD7IG-k_eo/edit#gid=0"", ""Maths!M:N""), 2, FALSE)"),"Create a set of linear equations with multiple terms and design problems that challenge to reduce the equations to the simpler forms.")</f>
        <v>Create a set of linear equations with multiple terms and design problems that challenge to reduce the equations to the simpler forms.</v>
      </c>
      <c r="U19" s="52">
        <f ca="1">IFERROR(__xludf.DUMMYFUNCTION("ArrayFormula(VLOOKUP(G19, IMPORTRANGE(""https://docs.google.com/spreadsheets/d/1p7R4vtkWt5VOBim4ltsDG9KTzSjrtKXsMtQGXPHyND0/edit#gid=795171502"", ""'Filter 30_05_2024'!A1:M2000""), {2, 3, 4, 5,6,7,8,9,10,11,12,13}, 0))"),4)</f>
        <v>4</v>
      </c>
      <c r="V19" s="52">
        <f ca="1">IFERROR(__xludf.DUMMYFUNCTION("""COMPUTED_VALUE"""),6)</f>
        <v>6</v>
      </c>
      <c r="W19" s="52">
        <f ca="1">IFERROR(__xludf.DUMMYFUNCTION("""COMPUTED_VALUE"""),2)</f>
        <v>2</v>
      </c>
      <c r="X19" s="52">
        <f ca="1">IFERROR(__xludf.DUMMYFUNCTION("""COMPUTED_VALUE"""),12)</f>
        <v>12</v>
      </c>
      <c r="Y19" s="52">
        <f ca="1">IFERROR(__xludf.DUMMYFUNCTION("""COMPUTED_VALUE"""),4)</f>
        <v>4</v>
      </c>
      <c r="Z19" s="53">
        <f ca="1">IFERROR(__xludf.DUMMYFUNCTION("""COMPUTED_VALUE"""),3)</f>
        <v>3</v>
      </c>
      <c r="AA19" s="53">
        <f ca="1">IFERROR(__xludf.DUMMYFUNCTION("""COMPUTED_VALUE"""),1)</f>
        <v>1</v>
      </c>
      <c r="AB19" s="53">
        <f ca="1">IFERROR(__xludf.DUMMYFUNCTION("""COMPUTED_VALUE"""),8)</f>
        <v>8</v>
      </c>
      <c r="AC19" s="53"/>
      <c r="AD19" s="53"/>
      <c r="AE19" s="53"/>
      <c r="AF19" s="53"/>
      <c r="AG19" s="8" t="str">
        <f ca="1">IFERROR(__xludf.DUMMYFUNCTION("ArrayFormula(VLOOKUP(G19, IMPORTRANGE(""https://docs.google.com/spreadsheets/d/1Co934fvtviyaRiMsrIlT05Jaq7iiYq07aLvRr35KA48/edit?gid=173865642#gid=173865642"", ""'G8_Maths_Pri_LU'!G2:V2000""), {3, 4, 5, 6, 7, 8, 9, 10, 11, 12, 13, 14, 15, 16}, 0))"),"LU000410")</f>
        <v>LU000410</v>
      </c>
      <c r="AH19" s="8" t="str">
        <f ca="1">IFERROR(__xludf.DUMMYFUNCTION("""COMPUTED_VALUE"""),"Solution of a simple equation by transpose method")</f>
        <v>Solution of a simple equation by transpose method</v>
      </c>
      <c r="AI19" s="8" t="str">
        <f ca="1">IFERROR(__xludf.DUMMYFUNCTION("""COMPUTED_VALUE"""),"LU000901")</f>
        <v>LU000901</v>
      </c>
      <c r="AJ19" s="8" t="str">
        <f ca="1">IFERROR(__xludf.DUMMYFUNCTION("""COMPUTED_VALUE"""),"Distributive property of multiplication over subtraction of rational numbers")</f>
        <v>Distributive property of multiplication over subtraction of rational numbers</v>
      </c>
      <c r="AK19" s="8" t="str">
        <f ca="1">IFERROR(__xludf.DUMMYFUNCTION("""COMPUTED_VALUE"""),"LU000901")</f>
        <v>LU000901</v>
      </c>
      <c r="AL19" s="8" t="str">
        <f ca="1">IFERROR(__xludf.DUMMYFUNCTION("""COMPUTED_VALUE"""),"Distributive property of multiplication over subtraction of rational numbers")</f>
        <v>Distributive property of multiplication over subtraction of rational numbers</v>
      </c>
      <c r="AM19" s="8"/>
      <c r="AN19" s="8"/>
      <c r="AO19" s="8"/>
      <c r="AP19" s="8"/>
      <c r="AQ19" s="8"/>
      <c r="AR19" s="8"/>
      <c r="AS19" s="8"/>
      <c r="AT19" s="8"/>
      <c r="AU19" s="8"/>
      <c r="AV19" s="8"/>
      <c r="AW19" s="8"/>
      <c r="AX19" s="8"/>
      <c r="AY19" s="8"/>
      <c r="AZ19" s="8"/>
      <c r="BA19" s="8"/>
      <c r="BB19" s="8"/>
      <c r="BC19" s="8"/>
      <c r="BD19" s="8"/>
      <c r="BE19" s="8"/>
    </row>
    <row r="20" spans="1:57">
      <c r="A20" s="8" t="s">
        <v>247</v>
      </c>
      <c r="B20" s="8" t="s">
        <v>47</v>
      </c>
      <c r="C20" s="8" t="s">
        <v>731</v>
      </c>
      <c r="D20" s="8" t="s">
        <v>732</v>
      </c>
      <c r="E20" s="8" t="s">
        <v>757</v>
      </c>
      <c r="F20" s="54" t="s">
        <v>758</v>
      </c>
      <c r="G20" s="40" t="s">
        <v>760</v>
      </c>
      <c r="H20" s="40" t="str">
        <f ca="1">IFERROR(__xludf.DUMMYFUNCTION("VLOOKUP(G20, IMPORTRANGE(""https://docs.google.com/spreadsheets/d/14deopnvwcrKtEGCKuYXdUHJbeLDZlkiSSWWT0g7x2pM/edit#gid=999382323"", ""LU List Maths (Filter)!A:B""), 2, FALSE)"),"Application of cross multiplication method to reduce equation of form ax+b/cx+d = k, where cx+d ≠ 0 to linear equation in one variable")</f>
        <v>Application of cross multiplication method to reduce equation of form ax+b/cx+d = k, where cx+d ≠ 0 to linear equation in one variable</v>
      </c>
      <c r="I20" s="10" t="str">
        <f t="shared" si="0"/>
        <v>LU000588.001</v>
      </c>
      <c r="J20" s="10" t="str">
        <f ca="1">IFERROR(__xludf.DUMMYFUNCTION("VLOOKUP(I20, IMPORTRANGE(""https://docs.google.com/spreadsheets/d/1yDAaXNsi4Mr5FtRQL4tbmSdIzhx6_m4wkOD7IG-k_eo/edit#gid=0"", ""Maths!M:N""), 2, FALSE)"),"Remember the cross multiplication method and its use in simplifying equations of the form ax + b / cx + d = k to linear equations.")</f>
        <v>Remember the cross multiplication method and its use in simplifying equations of the form ax + b / cx + d = k to linear equations.</v>
      </c>
      <c r="K20" s="10" t="str">
        <f t="shared" si="1"/>
        <v>LU000588.002</v>
      </c>
      <c r="L20" s="10" t="str">
        <f ca="1">IFERROR(__xludf.DUMMYFUNCTION("VLOOKUP(K20, IMPORTRANGE(""https://docs.google.com/spreadsheets/d/1yDAaXNsi4Mr5FtRQL4tbmSdIzhx6_m4wkOD7IG-k_eo/edit#gid=0"", ""Maths!M:N""), 2, FALSE)"),"Explain the concept of cross multiplication and its role in transforming equations into linear equations.")</f>
        <v>Explain the concept of cross multiplication and its role in transforming equations into linear equations.</v>
      </c>
      <c r="M20" s="10" t="str">
        <f t="shared" si="2"/>
        <v>LU000588.003</v>
      </c>
      <c r="N20" s="10" t="str">
        <f ca="1">IFERROR(__xludf.DUMMYFUNCTION("VLOOKUP(M20, IMPORTRANGE(""https://docs.google.com/spreadsheets/d/1yDAaXNsi4Mr5FtRQL4tbmSdIzhx6_m4wkOD7IG-k_eo/edit#gid=0"", ""Maths!M:N""), 2, FALSE)"),"Use the cross multiplication method to reduce the equation (like (2x + 3) / (4x + 5) = 7) to a linear equation in one variable.")</f>
        <v>Use the cross multiplication method to reduce the equation (like (2x + 3) / (4x + 5) = 7) to a linear equation in one variable.</v>
      </c>
      <c r="O20" s="10" t="str">
        <f t="shared" si="3"/>
        <v>LU000588.004</v>
      </c>
      <c r="P20" s="10" t="str">
        <f ca="1">IFERROR(__xludf.DUMMYFUNCTION("VLOOKUP(O20, IMPORTRANGE(""https://docs.google.com/spreadsheets/d/1yDAaXNsi4Mr5FtRQL4tbmSdIzhx6_m4wkOD7IG-k_eo/edit#gid=0"", ""Maths!M:N""), 2, FALSE)"),"Analyse algebraic equations, determining when the cross multiplication method can be used to convert them into linear equations, and describe the steps of this process.")</f>
        <v>Analyse algebraic equations, determining when the cross multiplication method can be used to convert them into linear equations, and describe the steps of this process.</v>
      </c>
      <c r="Q20" s="10" t="str">
        <f t="shared" si="4"/>
        <v>LU000588.005</v>
      </c>
      <c r="R20" s="10" t="str">
        <f ca="1">IFERROR(__xludf.DUMMYFUNCTION("VLOOKUP(Q20, IMPORTRANGE(""https://docs.google.com/spreadsheets/d/1yDAaXNsi4Mr5FtRQL4tbmSdIzhx6_m4wkOD7IG-k_eo/edit#gid=0"", ""Maths!M:N""), 2, FALSE)"),"Evaluate solutions obtained using the cross multiplication method, assessing their correctness and determining if the denominator condition (cx + d ≠ 0) is satisfied.")</f>
        <v>Evaluate solutions obtained using the cross multiplication method, assessing their correctness and determining if the denominator condition (cx + d ≠ 0) is satisfied.</v>
      </c>
      <c r="S20" s="10" t="str">
        <f t="shared" si="5"/>
        <v>LU000588.006</v>
      </c>
      <c r="T20" s="10" t="str">
        <f ca="1">IFERROR(__xludf.DUMMYFUNCTION("VLOOKUP(S20, IMPORTRANGE(""https://docs.google.com/spreadsheets/d/1yDAaXNsi4Mr5FtRQL4tbmSdIzhx6_m4wkOD7IG-k_eo/edit#gid=0"", ""Maths!M:N""), 2, FALSE)"),"Create a set of equations of the form ax + b / cx + d = k, where cx + d ≠ 0, and apply the cross multiplication method to reduce them to linear equations in one variable.")</f>
        <v>Create a set of equations of the form ax + b / cx + d = k, where cx + d ≠ 0, and apply the cross multiplication method to reduce them to linear equations in one variable.</v>
      </c>
      <c r="U20" s="52">
        <f ca="1">IFERROR(__xludf.DUMMYFUNCTION("ArrayFormula(VLOOKUP(G20, IMPORTRANGE(""https://docs.google.com/spreadsheets/d/1p7R4vtkWt5VOBim4ltsDG9KTzSjrtKXsMtQGXPHyND0/edit#gid=795171502"", ""'Filter 30_05_2024'!A1:M2000""), {2, 3, 4, 5,6,7,8,9,10,11,12,13}, 0))"),4)</f>
        <v>4</v>
      </c>
      <c r="V20" s="52">
        <f ca="1">IFERROR(__xludf.DUMMYFUNCTION("""COMPUTED_VALUE"""),6)</f>
        <v>6</v>
      </c>
      <c r="W20" s="52">
        <f ca="1">IFERROR(__xludf.DUMMYFUNCTION("""COMPUTED_VALUE"""),2)</f>
        <v>2</v>
      </c>
      <c r="X20" s="52">
        <f ca="1">IFERROR(__xludf.DUMMYFUNCTION("""COMPUTED_VALUE"""),12)</f>
        <v>12</v>
      </c>
      <c r="Y20" s="52">
        <f ca="1">IFERROR(__xludf.DUMMYFUNCTION("""COMPUTED_VALUE"""),4)</f>
        <v>4</v>
      </c>
      <c r="Z20" s="53">
        <f ca="1">IFERROR(__xludf.DUMMYFUNCTION("""COMPUTED_VALUE"""),3)</f>
        <v>3</v>
      </c>
      <c r="AA20" s="53">
        <f ca="1">IFERROR(__xludf.DUMMYFUNCTION("""COMPUTED_VALUE"""),1)</f>
        <v>1</v>
      </c>
      <c r="AB20" s="53">
        <f ca="1">IFERROR(__xludf.DUMMYFUNCTION("""COMPUTED_VALUE"""),8)</f>
        <v>8</v>
      </c>
      <c r="AC20" s="53"/>
      <c r="AD20" s="53"/>
      <c r="AE20" s="53"/>
      <c r="AF20" s="53"/>
      <c r="AG20" s="8" t="str">
        <f ca="1">IFERROR(__xludf.DUMMYFUNCTION("ArrayFormula(VLOOKUP(G20, IMPORTRANGE(""https://docs.google.com/spreadsheets/d/1Co934fvtviyaRiMsrIlT05Jaq7iiYq07aLvRr35KA48/edit?gid=173865642#gid=173865642"", ""'G8_Maths_Pri_LU'!G2:V2000""), {3, 4, 5, 6, 7, 8, 9, 10, 11, 12, 13, 14, 15, 16}, 0))"),"LU000584")</f>
        <v>LU000584</v>
      </c>
      <c r="AH20" s="8" t="str">
        <f ca="1">IFERROR(__xludf.DUMMYFUNCTION("""COMPUTED_VALUE"""),"Reduction of equation to simpler form")</f>
        <v>Reduction of equation to simpler form</v>
      </c>
      <c r="AI20" s="8" t="str">
        <f ca="1">IFERROR(__xludf.DUMMYFUNCTION("""COMPUTED_VALUE"""),"LU000901")</f>
        <v>LU000901</v>
      </c>
      <c r="AJ20" s="8" t="str">
        <f ca="1">IFERROR(__xludf.DUMMYFUNCTION("""COMPUTED_VALUE"""),"Distributive property of multiplication over subtraction of rational numbers")</f>
        <v>Distributive property of multiplication over subtraction of rational numbers</v>
      </c>
      <c r="AK20" s="8" t="str">
        <f ca="1">IFERROR(__xludf.DUMMYFUNCTION("""COMPUTED_VALUE"""),"LU000901")</f>
        <v>LU000901</v>
      </c>
      <c r="AL20" s="8" t="str">
        <f ca="1">IFERROR(__xludf.DUMMYFUNCTION("""COMPUTED_VALUE"""),"Distributive property of multiplication over subtraction of rational numbers")</f>
        <v>Distributive property of multiplication over subtraction of rational numbers</v>
      </c>
      <c r="AM20" s="8" t="str">
        <f ca="1">IFERROR(__xludf.DUMMYFUNCTION("""COMPUTED_VALUE"""),"LU000980")</f>
        <v>LU000980</v>
      </c>
      <c r="AN20" s="8" t="str">
        <f ca="1">IFERROR(__xludf.DUMMYFUNCTION("""COMPUTED_VALUE"""),"Subtraction of fractions with the different denominators")</f>
        <v>Subtraction of fractions with the different denominators</v>
      </c>
      <c r="AO20" s="8" t="str">
        <f ca="1">IFERROR(__xludf.DUMMYFUNCTION("""COMPUTED_VALUE"""),"LU000979")</f>
        <v>LU000979</v>
      </c>
      <c r="AP20" s="8" t="str">
        <f ca="1">IFERROR(__xludf.DUMMYFUNCTION("""COMPUTED_VALUE"""),"Addition of fractions with the different denominators")</f>
        <v>Addition of fractions with the different denominators</v>
      </c>
      <c r="AQ20" s="8"/>
      <c r="AR20" s="8"/>
      <c r="AS20" s="8"/>
      <c r="AT20" s="8"/>
      <c r="AU20" s="8"/>
      <c r="AV20" s="8"/>
      <c r="AW20" s="8"/>
      <c r="AX20" s="8"/>
      <c r="AY20" s="8"/>
      <c r="AZ20" s="8"/>
      <c r="BA20" s="8"/>
      <c r="BB20" s="8"/>
      <c r="BC20" s="8"/>
      <c r="BD20" s="8"/>
      <c r="BE20" s="8"/>
    </row>
    <row r="21" spans="1:57">
      <c r="A21" s="8" t="s">
        <v>247</v>
      </c>
      <c r="B21" s="8" t="s">
        <v>47</v>
      </c>
      <c r="C21" s="8" t="s">
        <v>731</v>
      </c>
      <c r="D21" s="8" t="s">
        <v>732</v>
      </c>
      <c r="E21" s="8" t="s">
        <v>757</v>
      </c>
      <c r="F21" s="54" t="s">
        <v>761</v>
      </c>
      <c r="G21" s="8" t="s">
        <v>762</v>
      </c>
      <c r="H21" s="8" t="str">
        <f ca="1">IFERROR(__xludf.DUMMYFUNCTION("VLOOKUP(G21, IMPORTRANGE(""https://docs.google.com/spreadsheets/d/14deopnvwcrKtEGCKuYXdUHJbeLDZlkiSSWWT0g7x2pM/edit#gid=999382323"", ""LU List Maths (Filter)!A:B""), 2, FALSE)"),"Definition of linear equation in one variable")</f>
        <v>Definition of linear equation in one variable</v>
      </c>
      <c r="I21" s="10" t="str">
        <f t="shared" si="0"/>
        <v>LU000582.001</v>
      </c>
      <c r="J21" s="10" t="str">
        <f ca="1">IFERROR(__xludf.DUMMYFUNCTION("VLOOKUP(I21, IMPORTRANGE(""https://docs.google.com/spreadsheets/d/1yDAaXNsi4Mr5FtRQL4tbmSdIzhx6_m4wkOD7IG-k_eo/edit#gid=0"", ""Maths!M:N""), 2, FALSE)"),"State the definition of a linear equation in one variable and list its essential features.")</f>
        <v>State the definition of a linear equation in one variable and list its essential features.</v>
      </c>
      <c r="K21" s="10" t="str">
        <f t="shared" si="1"/>
        <v>LU000582.002</v>
      </c>
      <c r="L21" s="10" t="str">
        <f ca="1">IFERROR(__xludf.DUMMYFUNCTION("VLOOKUP(K21, IMPORTRANGE(""https://docs.google.com/spreadsheets/d/1yDAaXNsi4Mr5FtRQL4tbmSdIzhx6_m4wkOD7IG-k_eo/edit#gid=0"", ""Maths!M:N""), 2, FALSE)"),"Describe the concept of a linear equation in one variable, highlighting that it represents a straight forward relationship between a variable and constants.")</f>
        <v>Describe the concept of a linear equation in one variable, highlighting that it represents a straight forward relationship between a variable and constants.</v>
      </c>
      <c r="M21" s="10" t="str">
        <f t="shared" si="2"/>
        <v>LU000582.003</v>
      </c>
      <c r="N21" s="10" t="str">
        <f ca="1">IFERROR(__xludf.DUMMYFUNCTION("VLOOKUP(M21, IMPORTRANGE(""https://docs.google.com/spreadsheets/d/1yDAaXNsi4Mr5FtRQL4tbmSdIzhx6_m4wkOD7IG-k_eo/edit#gid=0"", ""Maths!M:N""), 2, FALSE)"),"Solve a linear equation in one variable to find the value of unknown through step-by-step calculations.")</f>
        <v>Solve a linear equation in one variable to find the value of unknown through step-by-step calculations.</v>
      </c>
      <c r="O21" s="10" t="str">
        <f t="shared" si="3"/>
        <v>LU000582.004</v>
      </c>
      <c r="P21" s="10" t="str">
        <f ca="1">IFERROR(__xludf.DUMMYFUNCTION("VLOOKUP(O21, IMPORTRANGE(""https://docs.google.com/spreadsheets/d/1yDAaXNsi4Mr5FtRQL4tbmSdIzhx6_m4wkOD7IG-k_eo/edit#gid=0"", ""Maths!M:N""), 2, FALSE)"),"Examine real-world problems (such as calculating the cost of multiple items) and discuss how representing it as a linear equation simplifies the solution process.")</f>
        <v>Examine real-world problems (such as calculating the cost of multiple items) and discuss how representing it as a linear equation simplifies the solution process.</v>
      </c>
      <c r="Q21" s="10" t="str">
        <f t="shared" si="4"/>
        <v>LU000582.005</v>
      </c>
      <c r="R21" s="10" t="str">
        <f ca="1">IFERROR(__xludf.DUMMYFUNCTION("VLOOKUP(Q21, IMPORTRANGE(""https://docs.google.com/spreadsheets/d/1yDAaXNsi4Mr5FtRQL4tbmSdIzhx6_m4wkOD7IG-k_eo/edit#gid=0"", ""Maths!M:N""), 2, FALSE)"),"Evaluate the accuracy of solutions to linear equations in one variable.")</f>
        <v>Evaluate the accuracy of solutions to linear equations in one variable.</v>
      </c>
      <c r="S21" s="10" t="str">
        <f t="shared" si="5"/>
        <v>LU000582.006</v>
      </c>
      <c r="T21" s="10" t="str">
        <f ca="1">IFERROR(__xludf.DUMMYFUNCTION("VLOOKUP(S21, IMPORTRANGE(""https://docs.google.com/spreadsheets/d/1yDAaXNsi4Mr5FtRQL4tbmSdIzhx6_m4wkOD7IG-k_eo/edit#gid=0"", ""Maths!M:N""), 2, FALSE)"),"Create a word problem that can be represented by a linear equation in one variable and design a problem to formulate and solve the equation.")</f>
        <v>Create a word problem that can be represented by a linear equation in one variable and design a problem to formulate and solve the equation.</v>
      </c>
      <c r="U21" s="52">
        <f ca="1">IFERROR(__xludf.DUMMYFUNCTION("ArrayFormula(VLOOKUP(G21, IMPORTRANGE(""https://docs.google.com/spreadsheets/d/1p7R4vtkWt5VOBim4ltsDG9KTzSjrtKXsMtQGXPHyND0/edit#gid=795171502"", ""'Filter 30_05_2024'!A1:M2000""), {2, 3, 4, 5,6,7,8,9,10,11,12,13}, 0))"),4)</f>
        <v>4</v>
      </c>
      <c r="V21" s="52">
        <f ca="1">IFERROR(__xludf.DUMMYFUNCTION("""COMPUTED_VALUE"""),6)</f>
        <v>6</v>
      </c>
      <c r="W21" s="52">
        <f ca="1">IFERROR(__xludf.DUMMYFUNCTION("""COMPUTED_VALUE"""),2)</f>
        <v>2</v>
      </c>
      <c r="X21" s="52">
        <f ca="1">IFERROR(__xludf.DUMMYFUNCTION("""COMPUTED_VALUE"""),12)</f>
        <v>12</v>
      </c>
      <c r="Y21" s="52">
        <f ca="1">IFERROR(__xludf.DUMMYFUNCTION("""COMPUTED_VALUE"""),4)</f>
        <v>4</v>
      </c>
      <c r="Z21" s="53">
        <f ca="1">IFERROR(__xludf.DUMMYFUNCTION("""COMPUTED_VALUE"""),3)</f>
        <v>3</v>
      </c>
      <c r="AA21" s="53">
        <f ca="1">IFERROR(__xludf.DUMMYFUNCTION("""COMPUTED_VALUE"""),1)</f>
        <v>1</v>
      </c>
      <c r="AB21" s="53">
        <f ca="1">IFERROR(__xludf.DUMMYFUNCTION("""COMPUTED_VALUE"""),8)</f>
        <v>8</v>
      </c>
      <c r="AC21" s="53"/>
      <c r="AD21" s="53"/>
      <c r="AE21" s="53"/>
      <c r="AF21" s="53"/>
      <c r="AG21" s="8" t="str">
        <f ca="1">IFERROR(__xludf.DUMMYFUNCTION("ArrayFormula(VLOOKUP(G21, IMPORTRANGE(""https://docs.google.com/spreadsheets/d/1Co934fvtviyaRiMsrIlT05Jaq7iiYq07aLvRr35KA48/edit?gid=173865642#gid=173865642"", ""'G8_Maths_Pri_LU'!G2:V2000""), {3, 4, 5, 6, 7, 8, 9, 10, 11, 12, 13, 14, 15, 16}, 0))"),"LU000404")</f>
        <v>LU000404</v>
      </c>
      <c r="AH21" s="8" t="str">
        <f ca="1">IFERROR(__xludf.DUMMYFUNCTION("""COMPUTED_VALUE"""),"Definition of simple equation")</f>
        <v>Definition of simple equation</v>
      </c>
      <c r="AI21" s="8" t="str">
        <f ca="1">IFERROR(__xludf.DUMMYFUNCTION("""COMPUTED_VALUE"""),"LU000338")</f>
        <v>LU000338</v>
      </c>
      <c r="AJ21" s="8" t="str">
        <f ca="1">IFERROR(__xludf.DUMMYFUNCTION("""COMPUTED_VALUE"""),"Difference between equation and algebraic expression")</f>
        <v>Difference between equation and algebraic expression</v>
      </c>
      <c r="AK21" s="8" t="str">
        <f ca="1">IFERROR(__xludf.DUMMYFUNCTION("""COMPUTED_VALUE"""),"LU000330")</f>
        <v>LU000330</v>
      </c>
      <c r="AL21" s="8" t="str">
        <f ca="1">IFERROR(__xludf.DUMMYFUNCTION("""COMPUTED_VALUE"""),"Definition of variable and constant")</f>
        <v>Definition of variable and constant</v>
      </c>
      <c r="AM21" s="8"/>
      <c r="AN21" s="8"/>
      <c r="AO21" s="8"/>
      <c r="AP21" s="8"/>
      <c r="AQ21" s="8"/>
      <c r="AR21" s="8"/>
      <c r="AS21" s="8"/>
      <c r="AT21" s="8"/>
      <c r="AU21" s="8"/>
      <c r="AV21" s="8"/>
      <c r="AW21" s="8"/>
      <c r="AX21" s="8"/>
      <c r="AY21" s="8"/>
      <c r="AZ21" s="8"/>
      <c r="BA21" s="8"/>
      <c r="BB21" s="8"/>
      <c r="BC21" s="8"/>
      <c r="BD21" s="8"/>
      <c r="BE21" s="8"/>
    </row>
    <row r="22" spans="1:57">
      <c r="A22" s="8" t="s">
        <v>247</v>
      </c>
      <c r="B22" s="8" t="s">
        <v>47</v>
      </c>
      <c r="C22" s="8" t="s">
        <v>731</v>
      </c>
      <c r="D22" s="8" t="s">
        <v>732</v>
      </c>
      <c r="E22" s="8" t="s">
        <v>757</v>
      </c>
      <c r="F22" s="54" t="s">
        <v>761</v>
      </c>
      <c r="G22" s="40" t="s">
        <v>763</v>
      </c>
      <c r="H22" s="40" t="str">
        <f ca="1">IFERROR(__xludf.DUMMYFUNCTION("VLOOKUP(G22, IMPORTRANGE(""https://docs.google.com/spreadsheets/d/14deopnvwcrKtEGCKuYXdUHJbeLDZlkiSSWWT0g7x2pM/edit#gid=999382323"", ""LU List Maths (Filter)!A:B""), 2, FALSE)"),"Solution of equation having variable on both sides")</f>
        <v>Solution of equation having variable on both sides</v>
      </c>
      <c r="I22" s="10" t="str">
        <f t="shared" si="0"/>
        <v>LU000583.001</v>
      </c>
      <c r="J22" s="10" t="str">
        <f ca="1">IFERROR(__xludf.DUMMYFUNCTION("VLOOKUP(I22, IMPORTRANGE(""https://docs.google.com/spreadsheets/d/1yDAaXNsi4Mr5FtRQL4tbmSdIzhx6_m4wkOD7IG-k_eo/edit#gid=0"", ""Maths!M:N""), 2, FALSE)"),"State the definition of equations with variables on both sides and explain why it's necessary to balance equations by isolating the variable.")</f>
        <v>State the definition of equations with variables on both sides and explain why it's necessary to balance equations by isolating the variable.</v>
      </c>
      <c r="K22" s="10" t="str">
        <f t="shared" si="1"/>
        <v>LU000583.002</v>
      </c>
      <c r="L22" s="10" t="str">
        <f ca="1">IFERROR(__xludf.DUMMYFUNCTION("VLOOKUP(K22, IMPORTRANGE(""https://docs.google.com/spreadsheets/d/1yDAaXNsi4Mr5FtRQL4tbmSdIzhx6_m4wkOD7IG-k_eo/edit#gid=0"", ""Maths!M:N""), 2, FALSE)"),"Describe the concept of solving equations with variables on both sides, emphasising the steps involved in isolating the variable and simplifying the equation.")</f>
        <v>Describe the concept of solving equations with variables on both sides, emphasising the steps involved in isolating the variable and simplifying the equation.</v>
      </c>
      <c r="M22" s="10" t="str">
        <f t="shared" si="2"/>
        <v>LU000583.003</v>
      </c>
      <c r="N22" s="10" t="str">
        <f ca="1">IFERROR(__xludf.DUMMYFUNCTION("VLOOKUP(M22, IMPORTRANGE(""https://docs.google.com/spreadsheets/d/1yDAaXNsi4Mr5FtRQL4tbmSdIzhx6_m4wkOD7IG-k_eo/edit#gid=0"", ""Maths!M:N""), 2, FALSE)"),"Solve a linear equation (like 3x + 5 = 2x - 1), where the variable is on both sides, by rearranging terms to isolate x.")</f>
        <v>Solve a linear equation (like 3x + 5 = 2x - 1), where the variable is on both sides, by rearranging terms to isolate x.</v>
      </c>
      <c r="O22" s="10" t="str">
        <f t="shared" si="3"/>
        <v>LU000583.004</v>
      </c>
      <c r="P22" s="10" t="str">
        <f ca="1">IFERROR(__xludf.DUMMYFUNCTION("VLOOKUP(O22, IMPORTRANGE(""https://docs.google.com/spreadsheets/d/1yDAaXNsi4Mr5FtRQL4tbmSdIzhx6_m4wkOD7IG-k_eo/edit#gid=0"", ""Maths!M:N""), 2, FALSE)"),"Examine a complex equation with variables on both sides, breaking down the steps taken to solve it, including combining like terms and checking the solution's validity.")</f>
        <v>Examine a complex equation with variables on both sides, breaking down the steps taken to solve it, including combining like terms and checking the solution's validity.</v>
      </c>
      <c r="Q22" s="10" t="str">
        <f t="shared" si="4"/>
        <v>LU000583.005</v>
      </c>
      <c r="R22" s="10" t="str">
        <f ca="1">IFERROR(__xludf.DUMMYFUNCTION("VLOOKUP(Q22, IMPORTRANGE(""https://docs.google.com/spreadsheets/d/1yDAaXNsi4Mr5FtRQL4tbmSdIzhx6_m4wkOD7IG-k_eo/edit#gid=0"", ""Maths!M:N""), 2, FALSE)"),"Assess the accuracy of answers to an equation with variables on both sides, providing feedback on the problem-solving approach and final solutions.")</f>
        <v>Assess the accuracy of answers to an equation with variables on both sides, providing feedback on the problem-solving approach and final solutions.</v>
      </c>
      <c r="S22" s="10" t="str">
        <f t="shared" si="5"/>
        <v>LU000583.006</v>
      </c>
      <c r="T22" s="10" t="str">
        <f ca="1">IFERROR(__xludf.DUMMYFUNCTION("VLOOKUP(S22, IMPORTRANGE(""https://docs.google.com/spreadsheets/d/1yDAaXNsi4Mr5FtRQL4tbmSdIzhx6_m4wkOD7IG-k_eo/edit#gid=0"", ""Maths!M:N""), 2, FALSE)"),"Create a set of linear equations with variables on both sides and design problems that challenge to solve them, requiring to apply the balancing technique.")</f>
        <v>Create a set of linear equations with variables on both sides and design problems that challenge to solve them, requiring to apply the balancing technique.</v>
      </c>
      <c r="U22" s="52">
        <f ca="1">IFERROR(__xludf.DUMMYFUNCTION("ArrayFormula(VLOOKUP(G22, IMPORTRANGE(""https://docs.google.com/spreadsheets/d/1p7R4vtkWt5VOBim4ltsDG9KTzSjrtKXsMtQGXPHyND0/edit#gid=795171502"", ""'Filter 30_05_2024'!A1:M2000""), {2, 3, 4, 5,6,7,8,9,10,11,12,13}, 0))"),4)</f>
        <v>4</v>
      </c>
      <c r="V22" s="52">
        <f ca="1">IFERROR(__xludf.DUMMYFUNCTION("""COMPUTED_VALUE"""),6)</f>
        <v>6</v>
      </c>
      <c r="W22" s="52">
        <f ca="1">IFERROR(__xludf.DUMMYFUNCTION("""COMPUTED_VALUE"""),2)</f>
        <v>2</v>
      </c>
      <c r="X22" s="52">
        <f ca="1">IFERROR(__xludf.DUMMYFUNCTION("""COMPUTED_VALUE"""),12)</f>
        <v>12</v>
      </c>
      <c r="Y22" s="52">
        <f ca="1">IFERROR(__xludf.DUMMYFUNCTION("""COMPUTED_VALUE"""),4)</f>
        <v>4</v>
      </c>
      <c r="Z22" s="53">
        <f ca="1">IFERROR(__xludf.DUMMYFUNCTION("""COMPUTED_VALUE"""),3)</f>
        <v>3</v>
      </c>
      <c r="AA22" s="53">
        <f ca="1">IFERROR(__xludf.DUMMYFUNCTION("""COMPUTED_VALUE"""),1)</f>
        <v>1</v>
      </c>
      <c r="AB22" s="53">
        <f ca="1">IFERROR(__xludf.DUMMYFUNCTION("""COMPUTED_VALUE"""),8)</f>
        <v>8</v>
      </c>
      <c r="AC22" s="53"/>
      <c r="AD22" s="53"/>
      <c r="AE22" s="53"/>
      <c r="AF22" s="53"/>
      <c r="AG22" s="8" t="str">
        <f ca="1">IFERROR(__xludf.DUMMYFUNCTION("ArrayFormula(VLOOKUP(G22, IMPORTRANGE(""https://docs.google.com/spreadsheets/d/1Co934fvtviyaRiMsrIlT05Jaq7iiYq07aLvRr35KA48/edit?gid=173865642#gid=173865642"", ""'G8_Maths_Pri_LU'!G2:V2000""), {3, 4, 5, 6, 7, 8, 9, 10, 11, 12, 13, 14, 15, 16}, 0))"),"LU000410")</f>
        <v>LU000410</v>
      </c>
      <c r="AH22" s="8" t="str">
        <f ca="1">IFERROR(__xludf.DUMMYFUNCTION("""COMPUTED_VALUE"""),"Solution of a simple equation by transpose method")</f>
        <v>Solution of a simple equation by transpose method</v>
      </c>
      <c r="AI22" s="8" t="str">
        <f ca="1">IFERROR(__xludf.DUMMYFUNCTION("""COMPUTED_VALUE"""),"LU000588")</f>
        <v>LU000588</v>
      </c>
      <c r="AJ22" s="8" t="str">
        <f ca="1">IFERROR(__xludf.DUMMYFUNCTION("""COMPUTED_VALUE"""),"Application of cross multiplication method to reduce equation of form ax+b/cx+d = k, where cx+d ≠ 0 to linear equation in one variable")</f>
        <v>Application of cross multiplication method to reduce equation of form ax+b/cx+d = k, where cx+d ≠ 0 to linear equation in one variable</v>
      </c>
      <c r="AK22" s="8" t="str">
        <f ca="1">IFERROR(__xludf.DUMMYFUNCTION("""COMPUTED_VALUE"""),"LU000585")</f>
        <v>LU000585</v>
      </c>
      <c r="AL22" s="8" t="str">
        <f ca="1">IFERROR(__xludf.DUMMYFUNCTION("""COMPUTED_VALUE"""),"Reduction of equation to linear form")</f>
        <v>Reduction of equation to linear form</v>
      </c>
      <c r="AM22" s="8"/>
      <c r="AN22" s="8"/>
      <c r="AO22" s="8"/>
      <c r="AP22" s="8"/>
      <c r="AQ22" s="8"/>
      <c r="AR22" s="8"/>
      <c r="AS22" s="8"/>
      <c r="AT22" s="8"/>
      <c r="AU22" s="8"/>
      <c r="AV22" s="8"/>
      <c r="AW22" s="8"/>
      <c r="AX22" s="8"/>
      <c r="AY22" s="8"/>
      <c r="AZ22" s="8"/>
      <c r="BA22" s="8"/>
      <c r="BB22" s="8"/>
      <c r="BC22" s="8"/>
      <c r="BD22" s="8"/>
      <c r="BE22" s="8"/>
    </row>
    <row r="23" spans="1:57">
      <c r="A23" s="8" t="s">
        <v>247</v>
      </c>
      <c r="B23" s="8" t="s">
        <v>47</v>
      </c>
      <c r="C23" s="8" t="s">
        <v>731</v>
      </c>
      <c r="D23" s="8" t="s">
        <v>732</v>
      </c>
      <c r="E23" s="8" t="s">
        <v>757</v>
      </c>
      <c r="F23" s="54" t="s">
        <v>764</v>
      </c>
      <c r="G23" s="40" t="s">
        <v>765</v>
      </c>
      <c r="H23" s="40" t="str">
        <f ca="1">IFERROR(__xludf.DUMMYFUNCTION("VLOOKUP(G23, IMPORTRANGE(""https://docs.google.com/spreadsheets/d/14deopnvwcrKtEGCKuYXdUHJbeLDZlkiSSWWT0g7x2pM/edit#gid=999382323"", ""LU List Maths (Filter)!A:B""), 2, FALSE)"),"Solve problems (age, number formation, perimeter, currency notes) based on application of linear equation in one variable")</f>
        <v>Solve problems (age, number formation, perimeter, currency notes) based on application of linear equation in one variable</v>
      </c>
      <c r="I23" s="10" t="str">
        <f t="shared" si="0"/>
        <v>LU000587.001</v>
      </c>
      <c r="J23" s="10" t="str">
        <f ca="1">IFERROR(__xludf.DUMMYFUNCTION("VLOOKUP(I23, IMPORTRANGE(""https://docs.google.com/spreadsheets/d/1yDAaXNsi4Mr5FtRQL4tbmSdIzhx6_m4wkOD7IG-k_eo/edit#gid=0"", ""Maths!M:N""), 2, FALSE)"),"State the concept of linear equations in one variable and mention the different contexts in which they can be applied")</f>
        <v>State the concept of linear equations in one variable and mention the different contexts in which they can be applied</v>
      </c>
      <c r="K23" s="10" t="str">
        <f t="shared" si="1"/>
        <v>LU000587.002</v>
      </c>
      <c r="L23" s="10" t="str">
        <f ca="1">IFERROR(__xludf.DUMMYFUNCTION("VLOOKUP(K23, IMPORTRANGE(""https://docs.google.com/spreadsheets/d/1yDAaXNsi4Mr5FtRQL4tbmSdIzhx6_m4wkOD7IG-k_eo/edit#gid=0"", ""Maths!M:N""), 2, FALSE)"),"Explain how linear equations in one variable are used to model and solve problems in different scenarios, such as calculating ages, finding unknown numbers, determining perimeters and handling currency notes.")</f>
        <v>Explain how linear equations in one variable are used to model and solve problems in different scenarios, such as calculating ages, finding unknown numbers, determining perimeters and handling currency notes.</v>
      </c>
      <c r="M23" s="10" t="str">
        <f t="shared" si="2"/>
        <v>LU000587.003</v>
      </c>
      <c r="N23" s="10" t="str">
        <f ca="1">IFERROR(__xludf.DUMMYFUNCTION("VLOOKUP(M23, IMPORTRANGE(""https://docs.google.com/spreadsheets/d/1yDAaXNsi4Mr5FtRQL4tbmSdIzhx6_m4wkOD7IG-k_eo/edit#gid=0"", ""Maths!M:N""), 2, FALSE)"),"Solve a real-world problem using a linear equation in one variable.")</f>
        <v>Solve a real-world problem using a linear equation in one variable.</v>
      </c>
      <c r="O23" s="10" t="str">
        <f t="shared" si="3"/>
        <v>LU000587.004</v>
      </c>
      <c r="P23" s="10" t="str">
        <f ca="1">IFERROR(__xludf.DUMMYFUNCTION("VLOOKUP(O23, IMPORTRANGE(""https://docs.google.com/spreadsheets/d/1yDAaXNsi4Mr5FtRQL4tbmSdIzhx6_m4wkOD7IG-k_eo/edit#gid=0"", ""Maths!M:N""), 2, FALSE)"),"Examine a set of problems related to age, number formation, perimeter, and currency notes, and identify the specific linear equations required for each problem.")</f>
        <v>Examine a set of problems related to age, number formation, perimeter, and currency notes, and identify the specific linear equations required for each problem.</v>
      </c>
      <c r="Q23" s="10" t="str">
        <f t="shared" si="4"/>
        <v>LU000587.005</v>
      </c>
      <c r="R23" s="10" t="str">
        <f ca="1">IFERROR(__xludf.DUMMYFUNCTION("VLOOKUP(Q23, IMPORTRANGE(""https://docs.google.com/spreadsheets/d/1yDAaXNsi4Mr5FtRQL4tbmSdIzhx6_m4wkOD7IG-k_eo/edit#gid=0"", ""Maths!M:N""), 2, FALSE)"),"#N/A")</f>
        <v>#N/A</v>
      </c>
      <c r="S23" s="10" t="str">
        <f t="shared" si="5"/>
        <v>LU000587.006</v>
      </c>
      <c r="T23" s="10" t="str">
        <f ca="1">IFERROR(__xludf.DUMMYFUNCTION("VLOOKUP(S23, IMPORTRANGE(""https://docs.google.com/spreadsheets/d/1yDAaXNsi4Mr5FtRQL4tbmSdIzhx6_m4wkOD7IG-k_eo/edit#gid=0"", ""Maths!M:N""), 2, FALSE)"),"Create a set of word problems related to age, number formation, perimeter, and currency notes, challenging to formulate and solve linear equations to find the solutions")</f>
        <v>Create a set of word problems related to age, number formation, perimeter, and currency notes, challenging to formulate and solve linear equations to find the solutions</v>
      </c>
      <c r="U23" s="52">
        <f ca="1">IFERROR(__xludf.DUMMYFUNCTION("ArrayFormula(VLOOKUP(G23, IMPORTRANGE(""https://docs.google.com/spreadsheets/d/1p7R4vtkWt5VOBim4ltsDG9KTzSjrtKXsMtQGXPHyND0/edit#gid=795171502"", ""'Filter 30_05_2024'!A1:M2000""), {2, 3, 4, 5,6,7,8,9,10,11,12,13}, 0))"),4)</f>
        <v>4</v>
      </c>
      <c r="V23" s="52">
        <f ca="1">IFERROR(__xludf.DUMMYFUNCTION("""COMPUTED_VALUE"""),6)</f>
        <v>6</v>
      </c>
      <c r="W23" s="52">
        <f ca="1">IFERROR(__xludf.DUMMYFUNCTION("""COMPUTED_VALUE"""),2)</f>
        <v>2</v>
      </c>
      <c r="X23" s="52">
        <f ca="1">IFERROR(__xludf.DUMMYFUNCTION("""COMPUTED_VALUE"""),12)</f>
        <v>12</v>
      </c>
      <c r="Y23" s="52">
        <f ca="1">IFERROR(__xludf.DUMMYFUNCTION("""COMPUTED_VALUE"""),4)</f>
        <v>4</v>
      </c>
      <c r="Z23" s="53">
        <f ca="1">IFERROR(__xludf.DUMMYFUNCTION("""COMPUTED_VALUE"""),3)</f>
        <v>3</v>
      </c>
      <c r="AA23" s="53">
        <f ca="1">IFERROR(__xludf.DUMMYFUNCTION("""COMPUTED_VALUE"""),1)</f>
        <v>1</v>
      </c>
      <c r="AB23" s="53">
        <f ca="1">IFERROR(__xludf.DUMMYFUNCTION("""COMPUTED_VALUE"""),8)</f>
        <v>8</v>
      </c>
      <c r="AC23" s="53"/>
      <c r="AD23" s="53"/>
      <c r="AE23" s="53"/>
      <c r="AF23" s="53"/>
      <c r="AG23" s="8" t="str">
        <f ca="1">IFERROR(__xludf.DUMMYFUNCTION("ArrayFormula(VLOOKUP(G23, IMPORTRANGE(""https://docs.google.com/spreadsheets/d/1Co934fvtviyaRiMsrIlT05Jaq7iiYq07aLvRr35KA48/edit?gid=173865642#gid=173865642"", ""'G8_Maths_Pri_LU'!G2:V2000""), {3, 4, 5, 6, 7, 8, 9, 10, 11, 12, 13, 14, 15, 16}, 0))"),"LU000405")</f>
        <v>LU000405</v>
      </c>
      <c r="AH23" s="8" t="str">
        <f ca="1">IFERROR(__xludf.DUMMYFUNCTION("""COMPUTED_VALUE"""),"Conversion of statements into simple equations")</f>
        <v>Conversion of statements into simple equations</v>
      </c>
      <c r="AI23" s="8" t="str">
        <f ca="1">IFERROR(__xludf.DUMMYFUNCTION("""COMPUTED_VALUE"""),"LU000410")</f>
        <v>LU000410</v>
      </c>
      <c r="AJ23" s="8" t="str">
        <f ca="1">IFERROR(__xludf.DUMMYFUNCTION("""COMPUTED_VALUE"""),"Solution of a simple equation by transpose method")</f>
        <v>Solution of a simple equation by transpose method</v>
      </c>
      <c r="AK23" s="8" t="str">
        <f ca="1">IFERROR(__xludf.DUMMYFUNCTION("""COMPUTED_VALUE"""),"LU000584")</f>
        <v>LU000584</v>
      </c>
      <c r="AL23" s="8" t="str">
        <f ca="1">IFERROR(__xludf.DUMMYFUNCTION("""COMPUTED_VALUE"""),"Reduction of equation to simpler form")</f>
        <v>Reduction of equation to simpler form</v>
      </c>
      <c r="AM23" s="8"/>
      <c r="AN23" s="8"/>
      <c r="AO23" s="8"/>
      <c r="AP23" s="8"/>
      <c r="AQ23" s="8"/>
      <c r="AR23" s="8"/>
      <c r="AS23" s="8"/>
      <c r="AT23" s="8"/>
      <c r="AU23" s="8"/>
      <c r="AV23" s="8"/>
      <c r="AW23" s="8"/>
      <c r="AX23" s="8"/>
      <c r="AY23" s="8"/>
      <c r="AZ23" s="8"/>
      <c r="BA23" s="8"/>
      <c r="BB23" s="8"/>
      <c r="BC23" s="8"/>
      <c r="BD23" s="8"/>
      <c r="BE23" s="8"/>
    </row>
    <row r="24" spans="1:57">
      <c r="A24" s="8" t="s">
        <v>247</v>
      </c>
      <c r="B24" s="8" t="s">
        <v>47</v>
      </c>
      <c r="C24" s="8" t="s">
        <v>731</v>
      </c>
      <c r="D24" s="8" t="s">
        <v>732</v>
      </c>
      <c r="E24" s="8" t="s">
        <v>766</v>
      </c>
      <c r="F24" s="54" t="s">
        <v>767</v>
      </c>
      <c r="G24" s="8" t="s">
        <v>768</v>
      </c>
      <c r="H24" s="8" t="str">
        <f ca="1">IFERROR(__xludf.DUMMYFUNCTION("VLOOKUP(G24, IMPORTRANGE(""https://docs.google.com/spreadsheets/d/14deopnvwcrKtEGCKuYXdUHJbeLDZlkiSSWWT0g7x2pM/edit#gid=999382323"", ""LU List Maths (Filter)!A:B""), 2, FALSE)"),"Definition of convex polygon")</f>
        <v>Definition of convex polygon</v>
      </c>
      <c r="I24" s="10" t="str">
        <f t="shared" si="0"/>
        <v>LU000903.001</v>
      </c>
      <c r="J24" s="10" t="str">
        <f ca="1">IFERROR(__xludf.DUMMYFUNCTION("VLOOKUP(I24, IMPORTRANGE(""https://docs.google.com/spreadsheets/d/1yDAaXNsi4Mr5FtRQL4tbmSdIzhx6_m4wkOD7IG-k_eo/edit#gid=0"", ""Maths!M:N""), 2, FALSE)"),"Memorize the definition of a convex polygon.")</f>
        <v>Memorize the definition of a convex polygon.</v>
      </c>
      <c r="K24" s="10" t="str">
        <f t="shared" si="1"/>
        <v>LU000903.002</v>
      </c>
      <c r="L24" s="10" t="str">
        <f ca="1">IFERROR(__xludf.DUMMYFUNCTION("VLOOKUP(K24, IMPORTRANGE(""https://docs.google.com/spreadsheets/d/1yDAaXNsi4Mr5FtRQL4tbmSdIzhx6_m4wkOD7IG-k_eo/edit#gid=0"", ""Maths!M:N""), 2, FALSE)"),"Interpret the characteristics of convex polygons.")</f>
        <v>Interpret the characteristics of convex polygons.</v>
      </c>
      <c r="M24" s="10" t="str">
        <f t="shared" si="2"/>
        <v>LU000903.003</v>
      </c>
      <c r="N24" s="10" t="str">
        <f ca="1">IFERROR(__xludf.DUMMYFUNCTION("VLOOKUP(M24, IMPORTRANGE(""https://docs.google.com/spreadsheets/d/1yDAaXNsi4Mr5FtRQL4tbmSdIzhx6_m4wkOD7IG-k_eo/edit#gid=0"", ""Maths!M:N""), 2, FALSE)"),"Recognize convex polygons in various contexts.")</f>
        <v>Recognize convex polygons in various contexts.</v>
      </c>
      <c r="O24" s="10" t="str">
        <f t="shared" si="3"/>
        <v>LU000903.004</v>
      </c>
      <c r="P24" s="10" t="str">
        <f ca="1">IFERROR(__xludf.DUMMYFUNCTION("VLOOKUP(O24, IMPORTRANGE(""https://docs.google.com/spreadsheets/d/1yDAaXNsi4Mr5FtRQL4tbmSdIzhx6_m4wkOD7IG-k_eo/edit#gid=0"", ""Maths!M:N""), 2, FALSE)"),"Differentiate convex polygons from other polygon types.")</f>
        <v>Differentiate convex polygons from other polygon types.</v>
      </c>
      <c r="Q24" s="10" t="str">
        <f t="shared" si="4"/>
        <v>LU000903.005</v>
      </c>
      <c r="R24" s="10" t="str">
        <f ca="1">IFERROR(__xludf.DUMMYFUNCTION("VLOOKUP(Q24, IMPORTRANGE(""https://docs.google.com/spreadsheets/d/1yDAaXNsi4Mr5FtRQL4tbmSdIzhx6_m4wkOD7IG-k_eo/edit#gid=0"", ""Maths!M:N""), 2, FALSE)"),"Assess whether a polygon is convex based on its properties.")</f>
        <v>Assess whether a polygon is convex based on its properties.</v>
      </c>
      <c r="S24" s="10" t="str">
        <f t="shared" si="5"/>
        <v>LU000903.006</v>
      </c>
      <c r="T24" s="10" t="str">
        <f ca="1">IFERROR(__xludf.DUMMYFUNCTION("VLOOKUP(S24, IMPORTRANGE(""https://docs.google.com/spreadsheets/d/1yDAaXNsi4Mr5FtRQL4tbmSdIzhx6_m4wkOD7IG-k_eo/edit#gid=0"", ""Maths!M:N""), 2, FALSE)"),"Compose a geometric figure using multiple convex polygons.")</f>
        <v>Compose a geometric figure using multiple convex polygons.</v>
      </c>
      <c r="U24" s="52">
        <f ca="1">IFERROR(__xludf.DUMMYFUNCTION("ArrayFormula(VLOOKUP(G24, IMPORTRANGE(""https://docs.google.com/spreadsheets/d/1p7R4vtkWt5VOBim4ltsDG9KTzSjrtKXsMtQGXPHyND0/edit#gid=795171502"", ""'Filter 30_05_2024'!A1:M2000""), {2, 3, 4, 5,6,7,8,9,10,11,12,13}, 0))"),4)</f>
        <v>4</v>
      </c>
      <c r="V24" s="52">
        <f ca="1">IFERROR(__xludf.DUMMYFUNCTION("""COMPUTED_VALUE"""),6)</f>
        <v>6</v>
      </c>
      <c r="W24" s="52">
        <f ca="1">IFERROR(__xludf.DUMMYFUNCTION("""COMPUTED_VALUE"""),2)</f>
        <v>2</v>
      </c>
      <c r="X24" s="52">
        <f ca="1">IFERROR(__xludf.DUMMYFUNCTION("""COMPUTED_VALUE"""),12)</f>
        <v>12</v>
      </c>
      <c r="Y24" s="52">
        <f ca="1">IFERROR(__xludf.DUMMYFUNCTION("""COMPUTED_VALUE"""),4)</f>
        <v>4</v>
      </c>
      <c r="Z24" s="53">
        <f ca="1">IFERROR(__xludf.DUMMYFUNCTION("""COMPUTED_VALUE"""),3)</f>
        <v>3</v>
      </c>
      <c r="AA24" s="53">
        <f ca="1">IFERROR(__xludf.DUMMYFUNCTION("""COMPUTED_VALUE"""),1)</f>
        <v>1</v>
      </c>
      <c r="AB24" s="53">
        <f ca="1">IFERROR(__xludf.DUMMYFUNCTION("""COMPUTED_VALUE"""),8)</f>
        <v>8</v>
      </c>
      <c r="AC24" s="53"/>
      <c r="AD24" s="53"/>
      <c r="AE24" s="53"/>
      <c r="AF24" s="53"/>
      <c r="AG24" s="8" t="str">
        <f ca="1">IFERROR(__xludf.DUMMYFUNCTION("ArrayFormula(VLOOKUP(G24, IMPORTRANGE(""https://docs.google.com/spreadsheets/d/1Co934fvtviyaRiMsrIlT05Jaq7iiYq07aLvRr35KA48/edit?gid=173865642#gid=173865642"", ""'G8_Maths_Pri_LU'!G2:V2000""), {3, 4, 5, 6, 7, 8, 9, 10, 11, 12, 13, 14, 15, 16}, 0))"),"LU000227")</f>
        <v>LU000227</v>
      </c>
      <c r="AH24" s="8" t="str">
        <f ca="1">IFERROR(__xludf.DUMMYFUNCTION("""COMPUTED_VALUE"""),"Definition and elements of a polygon")</f>
        <v>Definition and elements of a polygon</v>
      </c>
      <c r="AI24" s="8"/>
      <c r="AJ24" s="8"/>
      <c r="AK24" s="8"/>
      <c r="AL24" s="8"/>
      <c r="AM24" s="8"/>
      <c r="AN24" s="8"/>
      <c r="AO24" s="8"/>
      <c r="AP24" s="8"/>
      <c r="AQ24" s="8"/>
      <c r="AR24" s="8"/>
      <c r="AS24" s="8"/>
      <c r="AT24" s="8"/>
      <c r="AU24" s="8"/>
      <c r="AV24" s="8"/>
      <c r="AW24" s="8"/>
      <c r="AX24" s="8"/>
      <c r="AY24" s="8"/>
      <c r="AZ24" s="8"/>
      <c r="BA24" s="8"/>
      <c r="BB24" s="8"/>
      <c r="BC24" s="8"/>
      <c r="BD24" s="8"/>
      <c r="BE24" s="8"/>
    </row>
    <row r="25" spans="1:57">
      <c r="A25" s="8" t="s">
        <v>247</v>
      </c>
      <c r="B25" s="8" t="s">
        <v>47</v>
      </c>
      <c r="C25" s="8" t="s">
        <v>731</v>
      </c>
      <c r="D25" s="8" t="s">
        <v>732</v>
      </c>
      <c r="E25" s="8" t="s">
        <v>766</v>
      </c>
      <c r="F25" s="54" t="s">
        <v>767</v>
      </c>
      <c r="G25" s="8" t="s">
        <v>769</v>
      </c>
      <c r="H25" s="8" t="str">
        <f ca="1">IFERROR(__xludf.DUMMYFUNCTION("VLOOKUP(G25, IMPORTRANGE(""https://docs.google.com/spreadsheets/d/14deopnvwcrKtEGCKuYXdUHJbeLDZlkiSSWWT0g7x2pM/edit#gid=999382323"", ""LU List Maths (Filter)!A:B""), 2, FALSE)"),"Definition of concave polygon")</f>
        <v>Definition of concave polygon</v>
      </c>
      <c r="I25" s="10" t="str">
        <f t="shared" si="0"/>
        <v>LU000904.001</v>
      </c>
      <c r="J25" s="10" t="str">
        <f ca="1">IFERROR(__xludf.DUMMYFUNCTION("VLOOKUP(I25, IMPORTRANGE(""https://docs.google.com/spreadsheets/d/1yDAaXNsi4Mr5FtRQL4tbmSdIzhx6_m4wkOD7IG-k_eo/edit#gid=0"", ""Maths!M:N""), 2, FALSE)"),"Recall the definition of a concave polygon.")</f>
        <v>Recall the definition of a concave polygon.</v>
      </c>
      <c r="K25" s="10" t="str">
        <f t="shared" si="1"/>
        <v>LU000904.002</v>
      </c>
      <c r="L25" s="10" t="str">
        <f ca="1">IFERROR(__xludf.DUMMYFUNCTION("VLOOKUP(K25, IMPORTRANGE(""https://docs.google.com/spreadsheets/d/1yDAaXNsi4Mr5FtRQL4tbmSdIzhx6_m4wkOD7IG-k_eo/edit#gid=0"", ""Maths!M:N""), 2, FALSE)"),"Describe features that identify a concave polygon.")</f>
        <v>Describe features that identify a concave polygon.</v>
      </c>
      <c r="M25" s="10" t="str">
        <f t="shared" si="2"/>
        <v>LU000904.003</v>
      </c>
      <c r="N25" s="10" t="str">
        <f ca="1">IFERROR(__xludf.DUMMYFUNCTION("VLOOKUP(M25, IMPORTRANGE(""https://docs.google.com/spreadsheets/d/1yDAaXNsi4Mr5FtRQL4tbmSdIzhx6_m4wkOD7IG-k_eo/edit#gid=0"", ""Maths!M:N""), 2, FALSE)"),"Identify concave polygons from a set of different shapes.")</f>
        <v>Identify concave polygons from a set of different shapes.</v>
      </c>
      <c r="O25" s="10" t="str">
        <f t="shared" si="3"/>
        <v>LU000904.004</v>
      </c>
      <c r="P25" s="10" t="str">
        <f ca="1">IFERROR(__xludf.DUMMYFUNCTION("VLOOKUP(O25, IMPORTRANGE(""https://docs.google.com/spreadsheets/d/1yDAaXNsi4Mr5FtRQL4tbmSdIzhx6_m4wkOD7IG-k_eo/edit#gid=0"", ""Maths!M:N""), 2, FALSE)"),"Examine shapes to distinguish concave polygons from convex ones.")</f>
        <v>Examine shapes to distinguish concave polygons from convex ones.</v>
      </c>
      <c r="Q25" s="10" t="str">
        <f t="shared" si="4"/>
        <v>LU000904.005</v>
      </c>
      <c r="R25" s="10" t="str">
        <f ca="1">IFERROR(__xludf.DUMMYFUNCTION("VLOOKUP(Q25, IMPORTRANGE(""https://docs.google.com/spreadsheets/d/1yDAaXNsi4Mr5FtRQL4tbmSdIzhx6_m4wkOD7IG-k_eo/edit#gid=0"", ""Maths!M:N""), 2, FALSE)"),"Determine the concavity of polygons in complex diagrams.")</f>
        <v>Determine the concavity of polygons in complex diagrams.</v>
      </c>
      <c r="S25" s="10" t="str">
        <f t="shared" si="5"/>
        <v>LU000904.006</v>
      </c>
      <c r="T25" s="10" t="str">
        <f ca="1">IFERROR(__xludf.DUMMYFUNCTION("VLOOKUP(S25, IMPORTRANGE(""https://docs.google.com/spreadsheets/d/1yDAaXNsi4Mr5FtRQL4tbmSdIzhx6_m4wkOD7IG-k_eo/edit#gid=0"", ""Maths!M:N""), 2, FALSE)"),"Invent a creative assembly using concave polygons.")</f>
        <v>Invent a creative assembly using concave polygons.</v>
      </c>
      <c r="U25" s="52">
        <f ca="1">IFERROR(__xludf.DUMMYFUNCTION("ArrayFormula(VLOOKUP(G25, IMPORTRANGE(""https://docs.google.com/spreadsheets/d/1p7R4vtkWt5VOBim4ltsDG9KTzSjrtKXsMtQGXPHyND0/edit#gid=795171502"", ""'Filter 30_05_2024'!A1:M2000""), {2, 3, 4, 5,6,7,8,9,10,11,12,13}, 0))"),4)</f>
        <v>4</v>
      </c>
      <c r="V25" s="52">
        <f ca="1">IFERROR(__xludf.DUMMYFUNCTION("""COMPUTED_VALUE"""),6)</f>
        <v>6</v>
      </c>
      <c r="W25" s="52">
        <f ca="1">IFERROR(__xludf.DUMMYFUNCTION("""COMPUTED_VALUE"""),2)</f>
        <v>2</v>
      </c>
      <c r="X25" s="52">
        <f ca="1">IFERROR(__xludf.DUMMYFUNCTION("""COMPUTED_VALUE"""),12)</f>
        <v>12</v>
      </c>
      <c r="Y25" s="52">
        <f ca="1">IFERROR(__xludf.DUMMYFUNCTION("""COMPUTED_VALUE"""),4)</f>
        <v>4</v>
      </c>
      <c r="Z25" s="53">
        <f ca="1">IFERROR(__xludf.DUMMYFUNCTION("""COMPUTED_VALUE"""),3)</f>
        <v>3</v>
      </c>
      <c r="AA25" s="53">
        <f ca="1">IFERROR(__xludf.DUMMYFUNCTION("""COMPUTED_VALUE"""),1)</f>
        <v>1</v>
      </c>
      <c r="AB25" s="53">
        <f ca="1">IFERROR(__xludf.DUMMYFUNCTION("""COMPUTED_VALUE"""),8)</f>
        <v>8</v>
      </c>
      <c r="AC25" s="53"/>
      <c r="AD25" s="53"/>
      <c r="AE25" s="53"/>
      <c r="AF25" s="53"/>
      <c r="AG25" s="8" t="str">
        <f ca="1">IFERROR(__xludf.DUMMYFUNCTION("ArrayFormula(VLOOKUP(G25, IMPORTRANGE(""https://docs.google.com/spreadsheets/d/1Co934fvtviyaRiMsrIlT05Jaq7iiYq07aLvRr35KA48/edit?gid=173865642#gid=173865642"", ""'G8_Maths_Pri_LU'!G2:V2000""), {3, 4, 5, 6, 7, 8, 9, 10, 11, 12, 13, 14, 15, 16}, 0))"),"LU000227")</f>
        <v>LU000227</v>
      </c>
      <c r="AH25" s="8" t="str">
        <f ca="1">IFERROR(__xludf.DUMMYFUNCTION("""COMPUTED_VALUE"""),"Definition and elements of a polygon")</f>
        <v>Definition and elements of a polygon</v>
      </c>
      <c r="AI25" s="8"/>
      <c r="AJ25" s="8"/>
      <c r="AK25" s="8"/>
      <c r="AL25" s="8"/>
      <c r="AM25" s="8"/>
      <c r="AN25" s="8"/>
      <c r="AO25" s="8"/>
      <c r="AP25" s="8"/>
      <c r="AQ25" s="8"/>
      <c r="AR25" s="8"/>
      <c r="AS25" s="8"/>
      <c r="AT25" s="8"/>
      <c r="AU25" s="8"/>
      <c r="AV25" s="8"/>
      <c r="AW25" s="8"/>
      <c r="AX25" s="8"/>
      <c r="AY25" s="8"/>
      <c r="AZ25" s="8"/>
      <c r="BA25" s="8"/>
      <c r="BB25" s="8"/>
      <c r="BC25" s="8"/>
      <c r="BD25" s="8"/>
      <c r="BE25" s="8"/>
    </row>
    <row r="26" spans="1:57">
      <c r="A26" s="8" t="s">
        <v>247</v>
      </c>
      <c r="B26" s="8" t="s">
        <v>47</v>
      </c>
      <c r="C26" s="8" t="s">
        <v>731</v>
      </c>
      <c r="D26" s="8" t="s">
        <v>732</v>
      </c>
      <c r="E26" s="8" t="s">
        <v>766</v>
      </c>
      <c r="F26" s="54" t="s">
        <v>770</v>
      </c>
      <c r="G26" s="8" t="s">
        <v>771</v>
      </c>
      <c r="H26" s="8" t="str">
        <f ca="1">IFERROR(__xludf.DUMMYFUNCTION("VLOOKUP(G26, IMPORTRANGE(""https://docs.google.com/spreadsheets/d/14deopnvwcrKtEGCKuYXdUHJbeLDZlkiSSWWT0g7x2pM/edit#gid=999382323"", ""LU List Maths (Filter)!A:B""), 2, FALSE)"),"Angle sum property of a quadrilateral")</f>
        <v>Angle sum property of a quadrilateral</v>
      </c>
      <c r="I26" s="10" t="str">
        <f t="shared" si="0"/>
        <v>LU000592.001</v>
      </c>
      <c r="J26" s="10" t="str">
        <f ca="1">IFERROR(__xludf.DUMMYFUNCTION("VLOOKUP(I26, IMPORTRANGE(""https://docs.google.com/spreadsheets/d/1yDAaXNsi4Mr5FtRQL4tbmSdIzhx6_m4wkOD7IG-k_eo/edit#gid=0"", ""Maths!M:N""), 2, FALSE)"),"Describe the angle sum property of a quadrilateral.")</f>
        <v>Describe the angle sum property of a quadrilateral.</v>
      </c>
      <c r="K26" s="10" t="str">
        <f t="shared" si="1"/>
        <v>LU000592.002</v>
      </c>
      <c r="L26" s="10" t="str">
        <f ca="1">IFERROR(__xludf.DUMMYFUNCTION("VLOOKUP(K26, IMPORTRANGE(""https://docs.google.com/spreadsheets/d/1yDAaXNsi4Mr5FtRQL4tbmSdIzhx6_m4wkOD7IG-k_eo/edit#gid=0"", ""Maths!M:N""), 2, FALSE)"),"Explain how the angles in a quadrilateral add up to 360 degrees.")</f>
        <v>Explain how the angles in a quadrilateral add up to 360 degrees.</v>
      </c>
      <c r="M26" s="10" t="str">
        <f t="shared" si="2"/>
        <v>LU000592.003</v>
      </c>
      <c r="N26" s="10" t="str">
        <f ca="1">IFERROR(__xludf.DUMMYFUNCTION("VLOOKUP(M26, IMPORTRANGE(""https://docs.google.com/spreadsheets/d/1yDAaXNsi4Mr5FtRQL4tbmSdIzhx6_m4wkOD7IG-k_eo/edit#gid=0"", ""Maths!M:N""), 2, FALSE)"),"Find unknown angles of a quadrilateral using angle sum property of a quadrilateral for various types of quadrilateral.")</f>
        <v>Find unknown angles of a quadrilateral using angle sum property of a quadrilateral for various types of quadrilateral.</v>
      </c>
      <c r="O26" s="10" t="str">
        <f t="shared" si="3"/>
        <v>LU000592.004</v>
      </c>
      <c r="P26" s="10" t="str">
        <f ca="1">IFERROR(__xludf.DUMMYFUNCTION("VLOOKUP(O26, IMPORTRANGE(""https://docs.google.com/spreadsheets/d/1yDAaXNsi4Mr5FtRQL4tbmSdIzhx6_m4wkOD7IG-k_eo/edit#gid=0"", ""Maths!M:N""), 2, FALSE)"),"Justify that the total measure of the four angles of a quadrilateral is 360 degree.")</f>
        <v>Justify that the total measure of the four angles of a quadrilateral is 360 degree.</v>
      </c>
      <c r="Q26" s="10" t="str">
        <f t="shared" si="4"/>
        <v>LU000592.005</v>
      </c>
      <c r="R26" s="10" t="str">
        <f ca="1">IFERROR(__xludf.DUMMYFUNCTION("VLOOKUP(Q26, IMPORTRANGE(""https://docs.google.com/spreadsheets/d/1yDAaXNsi4Mr5FtRQL4tbmSdIzhx6_m4wkOD7IG-k_eo/edit#gid=0"", ""Maths!M:N""), 2, FALSE)"),"Evaluate the validity of the given statements based on the angle sum property of a quadrilateral.")</f>
        <v>Evaluate the validity of the given statements based on the angle sum property of a quadrilateral.</v>
      </c>
      <c r="S26" s="10" t="str">
        <f t="shared" si="5"/>
        <v>LU000592.006</v>
      </c>
      <c r="T26" s="10" t="str">
        <f ca="1">IFERROR(__xludf.DUMMYFUNCTION("VLOOKUP(S26, IMPORTRANGE(""https://docs.google.com/spreadsheets/d/1yDAaXNsi4Mr5FtRQL4tbmSdIzhx6_m4wkOD7IG-k_eo/edit#gid=0"", ""Maths!M:N""), 2, FALSE)"),"Design a visual demonstration showcasing how dividing a quadrilateral into triangles verifies the angle sum property of a quadrilateral.")</f>
        <v>Design a visual demonstration showcasing how dividing a quadrilateral into triangles verifies the angle sum property of a quadrilateral.</v>
      </c>
      <c r="U26" s="52">
        <f ca="1">IFERROR(__xludf.DUMMYFUNCTION("ArrayFormula(VLOOKUP(G26, IMPORTRANGE(""https://docs.google.com/spreadsheets/d/1p7R4vtkWt5VOBim4ltsDG9KTzSjrtKXsMtQGXPHyND0/edit#gid=795171502"", ""'Filter 30_05_2024'!A1:M2000""), {2, 3, 4, 5,6,7,8,9,10,11,12,13}, 0))"),4)</f>
        <v>4</v>
      </c>
      <c r="V26" s="52">
        <f ca="1">IFERROR(__xludf.DUMMYFUNCTION("""COMPUTED_VALUE"""),6)</f>
        <v>6</v>
      </c>
      <c r="W26" s="52">
        <f ca="1">IFERROR(__xludf.DUMMYFUNCTION("""COMPUTED_VALUE"""),2)</f>
        <v>2</v>
      </c>
      <c r="X26" s="52">
        <f ca="1">IFERROR(__xludf.DUMMYFUNCTION("""COMPUTED_VALUE"""),12)</f>
        <v>12</v>
      </c>
      <c r="Y26" s="52">
        <f ca="1">IFERROR(__xludf.DUMMYFUNCTION("""COMPUTED_VALUE"""),4)</f>
        <v>4</v>
      </c>
      <c r="Z26" s="53">
        <f ca="1">IFERROR(__xludf.DUMMYFUNCTION("""COMPUTED_VALUE"""),3)</f>
        <v>3</v>
      </c>
      <c r="AA26" s="53">
        <f ca="1">IFERROR(__xludf.DUMMYFUNCTION("""COMPUTED_VALUE"""),1)</f>
        <v>1</v>
      </c>
      <c r="AB26" s="53">
        <f ca="1">IFERROR(__xludf.DUMMYFUNCTION("""COMPUTED_VALUE"""),8)</f>
        <v>8</v>
      </c>
      <c r="AC26" s="53"/>
      <c r="AD26" s="53"/>
      <c r="AE26" s="53"/>
      <c r="AF26" s="53"/>
      <c r="AG26" s="8" t="str">
        <f ca="1">IFERROR(__xludf.DUMMYFUNCTION("ArrayFormula(VLOOKUP(G26, IMPORTRANGE(""https://docs.google.com/spreadsheets/d/1Co934fvtviyaRiMsrIlT05Jaq7iiYq07aLvRr35KA48/edit?gid=173865642#gid=173865642"", ""'G8_Maths_Pri_LU'!G2:V2000""), {3, 4, 5, 6, 7, 8, 9, 10, 11, 12, 13, 14, 15, 16}, 0))"),"LU000430")</f>
        <v>LU000430</v>
      </c>
      <c r="AH26" s="8" t="str">
        <f ca="1">IFERROR(__xludf.DUMMYFUNCTION("""COMPUTED_VALUE"""),"Angle sum property of a triangle")</f>
        <v>Angle sum property of a triangle</v>
      </c>
      <c r="AI26" s="8" t="str">
        <f ca="1">IFERROR(__xludf.DUMMYFUNCTION("""COMPUTED_VALUE"""),"LU000230")</f>
        <v>LU000230</v>
      </c>
      <c r="AJ26" s="8" t="str">
        <f ca="1">IFERROR(__xludf.DUMMYFUNCTION("""COMPUTED_VALUE"""),"Lexical explanation of quadrilateral")</f>
        <v>Lexical explanation of quadrilateral</v>
      </c>
      <c r="AK26" s="8" t="str">
        <f ca="1">IFERROR(__xludf.DUMMYFUNCTION("""COMPUTED_VALUE"""),"LU000416")</f>
        <v>LU000416</v>
      </c>
      <c r="AL26" s="8" t="str">
        <f ca="1">IFERROR(__xludf.DUMMYFUNCTION("""COMPUTED_VALUE"""),"Definition of adjacent angles")</f>
        <v>Definition of adjacent angles</v>
      </c>
      <c r="AM26" s="8"/>
      <c r="AN26" s="8"/>
      <c r="AO26" s="8"/>
      <c r="AP26" s="8"/>
      <c r="AQ26" s="8"/>
      <c r="AR26" s="8"/>
      <c r="AS26" s="8"/>
      <c r="AT26" s="8"/>
      <c r="AU26" s="8"/>
      <c r="AV26" s="8"/>
      <c r="AW26" s="8"/>
      <c r="AX26" s="8"/>
      <c r="AY26" s="8"/>
      <c r="AZ26" s="8"/>
      <c r="BA26" s="8"/>
      <c r="BB26" s="8"/>
      <c r="BC26" s="8"/>
      <c r="BD26" s="8"/>
      <c r="BE26" s="8"/>
    </row>
    <row r="27" spans="1:57">
      <c r="A27" s="8" t="s">
        <v>247</v>
      </c>
      <c r="B27" s="8" t="s">
        <v>47</v>
      </c>
      <c r="C27" s="8" t="s">
        <v>731</v>
      </c>
      <c r="D27" s="8" t="s">
        <v>732</v>
      </c>
      <c r="E27" s="8" t="s">
        <v>766</v>
      </c>
      <c r="F27" s="54" t="s">
        <v>770</v>
      </c>
      <c r="G27" s="8" t="s">
        <v>772</v>
      </c>
      <c r="H27" s="8" t="str">
        <f ca="1">IFERROR(__xludf.DUMMYFUNCTION("VLOOKUP(G27, IMPORTRANGE(""https://docs.google.com/spreadsheets/d/14deopnvwcrKtEGCKuYXdUHJbeLDZlkiSSWWT0g7x2pM/edit#gid=999382323"", ""LU List Maths (Filter)!A:B""), 2, FALSE)"),"Angle sum property of a pentagon")</f>
        <v>Angle sum property of a pentagon</v>
      </c>
      <c r="I27" s="10" t="str">
        <f t="shared" si="0"/>
        <v>LU000599.001</v>
      </c>
      <c r="J27" s="10" t="str">
        <f ca="1">IFERROR(__xludf.DUMMYFUNCTION("VLOOKUP(I27, IMPORTRANGE(""https://docs.google.com/spreadsheets/d/1yDAaXNsi4Mr5FtRQL4tbmSdIzhx6_m4wkOD7IG-k_eo/edit#gid=0"", ""Maths!M:N""), 2, FALSE)"),"Describe the angle sum property of a pentagon.")</f>
        <v>Describe the angle sum property of a pentagon.</v>
      </c>
      <c r="K27" s="10" t="str">
        <f t="shared" si="1"/>
        <v>LU000599.002</v>
      </c>
      <c r="L27" s="10" t="str">
        <f ca="1">IFERROR(__xludf.DUMMYFUNCTION("VLOOKUP(K27, IMPORTRANGE(""https://docs.google.com/spreadsheets/d/1yDAaXNsi4Mr5FtRQL4tbmSdIzhx6_m4wkOD7IG-k_eo/edit#gid=0"", ""Maths!M:N""), 2, FALSE)"),"Explain how the angles in a pentagon add up to 540 degrees.")</f>
        <v>Explain how the angles in a pentagon add up to 540 degrees.</v>
      </c>
      <c r="M27" s="10" t="str">
        <f t="shared" si="2"/>
        <v>LU000599.003</v>
      </c>
      <c r="N27" s="10" t="str">
        <f ca="1">IFERROR(__xludf.DUMMYFUNCTION("VLOOKUP(M27, IMPORTRANGE(""https://docs.google.com/spreadsheets/d/1yDAaXNsi4Mr5FtRQL4tbmSdIzhx6_m4wkOD7IG-k_eo/edit#gid=0"", ""Maths!M:N""), 2, FALSE)"),"Find unknown angles of a pentagon using angle sum property of a pentagon for various types of pentagon.")</f>
        <v>Find unknown angles of a pentagon using angle sum property of a pentagon for various types of pentagon.</v>
      </c>
      <c r="O27" s="10" t="str">
        <f t="shared" si="3"/>
        <v>LU000599.004</v>
      </c>
      <c r="P27" s="10" t="str">
        <f ca="1">IFERROR(__xludf.DUMMYFUNCTION("VLOOKUP(O27, IMPORTRANGE(""https://docs.google.com/spreadsheets/d/1yDAaXNsi4Mr5FtRQL4tbmSdIzhx6_m4wkOD7IG-k_eo/edit#gid=0"", ""Maths!M:N""), 2, FALSE)"),"Justify that the total measure of the five angles of a pentagon is 540 degrees.")</f>
        <v>Justify that the total measure of the five angles of a pentagon is 540 degrees.</v>
      </c>
      <c r="Q27" s="10" t="str">
        <f t="shared" si="4"/>
        <v>LU000599.005</v>
      </c>
      <c r="R27" s="10" t="str">
        <f ca="1">IFERROR(__xludf.DUMMYFUNCTION("VLOOKUP(Q27, IMPORTRANGE(""https://docs.google.com/spreadsheets/d/1yDAaXNsi4Mr5FtRQL4tbmSdIzhx6_m4wkOD7IG-k_eo/edit#gid=0"", ""Maths!M:N""), 2, FALSE)"),"Evaluate the validity of the given statements based on the angle sum property of a pentagon.")</f>
        <v>Evaluate the validity of the given statements based on the angle sum property of a pentagon.</v>
      </c>
      <c r="S27" s="10" t="str">
        <f t="shared" si="5"/>
        <v>LU000599.006</v>
      </c>
      <c r="T27" s="10" t="str">
        <f ca="1">IFERROR(__xludf.DUMMYFUNCTION("VLOOKUP(S27, IMPORTRANGE(""https://docs.google.com/spreadsheets/d/1yDAaXNsi4Mr5FtRQL4tbmSdIzhx6_m4wkOD7IG-k_eo/edit#gid=0"", ""Maths!M:N""), 2, FALSE)"),"Develop an illustrative diagram showing how the angles of a pentagon contribute to the total angle sum of 540 degrees.")</f>
        <v>Develop an illustrative diagram showing how the angles of a pentagon contribute to the total angle sum of 540 degrees.</v>
      </c>
      <c r="U27" s="52">
        <f ca="1">IFERROR(__xludf.DUMMYFUNCTION("ArrayFormula(VLOOKUP(G27, IMPORTRANGE(""https://docs.google.com/spreadsheets/d/1p7R4vtkWt5VOBim4ltsDG9KTzSjrtKXsMtQGXPHyND0/edit#gid=795171502"", ""'Filter 30_05_2024'!A1:M2000""), {2, 3, 4, 5,6,7,8,9,10,11,12,13}, 0))"),4)</f>
        <v>4</v>
      </c>
      <c r="V27" s="52">
        <f ca="1">IFERROR(__xludf.DUMMYFUNCTION("""COMPUTED_VALUE"""),5)</f>
        <v>5</v>
      </c>
      <c r="W27" s="52">
        <f ca="1">IFERROR(__xludf.DUMMYFUNCTION("""COMPUTED_VALUE"""),2)</f>
        <v>2</v>
      </c>
      <c r="X27" s="52">
        <f ca="1">IFERROR(__xludf.DUMMYFUNCTION("""COMPUTED_VALUE"""),11)</f>
        <v>11</v>
      </c>
      <c r="Y27" s="52">
        <f ca="1">IFERROR(__xludf.DUMMYFUNCTION("""COMPUTED_VALUE"""),4)</f>
        <v>4</v>
      </c>
      <c r="Z27" s="53">
        <f ca="1">IFERROR(__xludf.DUMMYFUNCTION("""COMPUTED_VALUE"""),4)</f>
        <v>4</v>
      </c>
      <c r="AA27" s="53">
        <f ca="1">IFERROR(__xludf.DUMMYFUNCTION("""COMPUTED_VALUE"""),1)</f>
        <v>1</v>
      </c>
      <c r="AB27" s="53">
        <f ca="1">IFERROR(__xludf.DUMMYFUNCTION("""COMPUTED_VALUE"""),9)</f>
        <v>9</v>
      </c>
      <c r="AC27" s="53"/>
      <c r="AD27" s="53"/>
      <c r="AE27" s="53"/>
      <c r="AF27" s="53"/>
      <c r="AG27" s="8" t="str">
        <f ca="1">IFERROR(__xludf.DUMMYFUNCTION("ArrayFormula(VLOOKUP(G27, IMPORTRANGE(""https://docs.google.com/spreadsheets/d/1Co934fvtviyaRiMsrIlT05Jaq7iiYq07aLvRr35KA48/edit?gid=173865642#gid=173865642"", ""'G8_Maths_Pri_LU'!G2:V2000""), {3, 4, 5, 6, 7, 8, 9, 10, 11, 12, 13, 14, 15, 16}, 0))"),"LU000592")</f>
        <v>LU000592</v>
      </c>
      <c r="AH27" s="8" t="str">
        <f ca="1">IFERROR(__xludf.DUMMYFUNCTION("""COMPUTED_VALUE"""),"Angle sum property of a quadrilateral")</f>
        <v>Angle sum property of a quadrilateral</v>
      </c>
      <c r="AI27" s="8" t="str">
        <f ca="1">IFERROR(__xludf.DUMMYFUNCTION("""COMPUTED_VALUE"""),"LU000430")</f>
        <v>LU000430</v>
      </c>
      <c r="AJ27" s="8" t="str">
        <f ca="1">IFERROR(__xludf.DUMMYFUNCTION("""COMPUTED_VALUE"""),"Angle sum property of a triangle")</f>
        <v>Angle sum property of a triangle</v>
      </c>
      <c r="AK27" s="8" t="str">
        <f ca="1">IFERROR(__xludf.DUMMYFUNCTION("""COMPUTED_VALUE"""),"LU000245")</f>
        <v>LU000245</v>
      </c>
      <c r="AL27" s="8" t="str">
        <f ca="1">IFERROR(__xludf.DUMMYFUNCTION("""COMPUTED_VALUE"""),"Classification of polygons based on the number of the sides")</f>
        <v>Classification of polygons based on the number of the sides</v>
      </c>
      <c r="AM27" s="8"/>
      <c r="AN27" s="8"/>
      <c r="AO27" s="8"/>
      <c r="AP27" s="8"/>
      <c r="AQ27" s="8"/>
      <c r="AR27" s="8"/>
      <c r="AS27" s="8"/>
      <c r="AT27" s="8"/>
      <c r="AU27" s="8"/>
      <c r="AV27" s="8"/>
      <c r="AW27" s="8"/>
      <c r="AX27" s="8"/>
      <c r="AY27" s="8"/>
      <c r="AZ27" s="8"/>
      <c r="BA27" s="8"/>
      <c r="BB27" s="8"/>
      <c r="BC27" s="8"/>
      <c r="BD27" s="8"/>
      <c r="BE27" s="8"/>
    </row>
    <row r="28" spans="1:57">
      <c r="A28" s="8" t="s">
        <v>247</v>
      </c>
      <c r="B28" s="8" t="s">
        <v>47</v>
      </c>
      <c r="C28" s="8" t="s">
        <v>731</v>
      </c>
      <c r="D28" s="8" t="s">
        <v>732</v>
      </c>
      <c r="E28" s="8" t="s">
        <v>766</v>
      </c>
      <c r="F28" s="54" t="s">
        <v>770</v>
      </c>
      <c r="G28" s="8" t="s">
        <v>773</v>
      </c>
      <c r="H28" s="8" t="str">
        <f ca="1">IFERROR(__xludf.DUMMYFUNCTION("VLOOKUP(G28, IMPORTRANGE(""https://docs.google.com/spreadsheets/d/14deopnvwcrKtEGCKuYXdUHJbeLDZlkiSSWWT0g7x2pM/edit#gid=999382323"", ""LU List Maths (Filter)!A:B""), 2, FALSE)"),"Angle sum property of a polygon")</f>
        <v>Angle sum property of a polygon</v>
      </c>
      <c r="I28" s="10" t="str">
        <f t="shared" si="0"/>
        <v>LU000608.001</v>
      </c>
      <c r="J28" s="10" t="str">
        <f ca="1">IFERROR(__xludf.DUMMYFUNCTION("VLOOKUP(I28, IMPORTRANGE(""https://docs.google.com/spreadsheets/d/1yDAaXNsi4Mr5FtRQL4tbmSdIzhx6_m4wkOD7IG-k_eo/edit#gid=0"", ""Maths!M:N""), 2, FALSE)"),"State the formula for calculating the sum of interior angles in a polygon.")</f>
        <v>State the formula for calculating the sum of interior angles in a polygon.</v>
      </c>
      <c r="K28" s="10" t="str">
        <f t="shared" si="1"/>
        <v>LU000608.002</v>
      </c>
      <c r="L28" s="10" t="str">
        <f ca="1">IFERROR(__xludf.DUMMYFUNCTION("VLOOKUP(K28, IMPORTRANGE(""https://docs.google.com/spreadsheets/d/1yDAaXNsi4Mr5FtRQL4tbmSdIzhx6_m4wkOD7IG-k_eo/edit#gid=0"", ""Maths!M:N""), 2, FALSE)"),"Describe the relationship between the number of sides in a polygon and the sum of its interior angles.")</f>
        <v>Describe the relationship between the number of sides in a polygon and the sum of its interior angles.</v>
      </c>
      <c r="M28" s="10" t="str">
        <f t="shared" si="2"/>
        <v>LU000608.003</v>
      </c>
      <c r="N28" s="10" t="str">
        <f ca="1">IFERROR(__xludf.DUMMYFUNCTION("VLOOKUP(M28, IMPORTRANGE(""https://docs.google.com/spreadsheets/d/1yDAaXNsi4Mr5FtRQL4tbmSdIzhx6_m4wkOD7IG-k_eo/edit#gid=0"", ""Maths!M:N""), 2, FALSE)"),"Apply the angle sum formula to find the total interior angle of a given polygon.")</f>
        <v>Apply the angle sum formula to find the total interior angle of a given polygon.</v>
      </c>
      <c r="O28" s="10" t="str">
        <f t="shared" si="3"/>
        <v>LU000608.004</v>
      </c>
      <c r="P28" s="10" t="str">
        <f ca="1">IFERROR(__xludf.DUMMYFUNCTION("VLOOKUP(O28, IMPORTRANGE(""https://docs.google.com/spreadsheets/d/1yDAaXNsi4Mr5FtRQL4tbmSdIzhx6_m4wkOD7IG-k_eo/edit#gid=0"", ""Maths!M:N""), 2, FALSE)"),"Analyse how the number of sides in a polygon affects its interior angle sum.")</f>
        <v>Analyse how the number of sides in a polygon affects its interior angle sum.</v>
      </c>
      <c r="Q28" s="10" t="str">
        <f t="shared" si="4"/>
        <v>LU000608.005</v>
      </c>
      <c r="R28" s="10" t="str">
        <f ca="1">IFERROR(__xludf.DUMMYFUNCTION("VLOOKUP(Q28, IMPORTRANGE(""https://docs.google.com/spreadsheets/d/1yDAaXNsi4Mr5FtRQL4tbmSdIzhx6_m4wkOD7IG-k_eo/edit#gid=0"", ""Maths!M:N""), 2, FALSE)"),"Evaluate whether a given set of angles forms a valid polygon based on the angle sum property.")</f>
        <v>Evaluate whether a given set of angles forms a valid polygon based on the angle sum property.</v>
      </c>
      <c r="S28" s="10" t="str">
        <f t="shared" si="5"/>
        <v>LU000608.006</v>
      </c>
      <c r="T28" s="10" t="str">
        <f ca="1">IFERROR(__xludf.DUMMYFUNCTION("VLOOKUP(S28, IMPORTRANGE(""https://docs.google.com/spreadsheets/d/1yDAaXNsi4Mr5FtRQL4tbmSdIzhx6_m4wkOD7IG-k_eo/edit#gid=0"", ""Maths!M:N""), 2, FALSE)"),"Design a polygon with a specific number of sides and calculate its interior angle sum.")</f>
        <v>Design a polygon with a specific number of sides and calculate its interior angle sum.</v>
      </c>
      <c r="U28" s="52">
        <f ca="1">IFERROR(__xludf.DUMMYFUNCTION("ArrayFormula(VLOOKUP(G28, IMPORTRANGE(""https://docs.google.com/spreadsheets/d/1p7R4vtkWt5VOBim4ltsDG9KTzSjrtKXsMtQGXPHyND0/edit#gid=795171502"", ""'Filter 30_05_2024'!A1:M2000""), {2, 3, 4, 5,6,7,8,9,10,11,12,13}, 0))"),4)</f>
        <v>4</v>
      </c>
      <c r="V28" s="52">
        <f ca="1">IFERROR(__xludf.DUMMYFUNCTION("""COMPUTED_VALUE"""),6)</f>
        <v>6</v>
      </c>
      <c r="W28" s="52">
        <f ca="1">IFERROR(__xludf.DUMMYFUNCTION("""COMPUTED_VALUE"""),2)</f>
        <v>2</v>
      </c>
      <c r="X28" s="52">
        <f ca="1">IFERROR(__xludf.DUMMYFUNCTION("""COMPUTED_VALUE"""),12)</f>
        <v>12</v>
      </c>
      <c r="Y28" s="52">
        <f ca="1">IFERROR(__xludf.DUMMYFUNCTION("""COMPUTED_VALUE"""),4)</f>
        <v>4</v>
      </c>
      <c r="Z28" s="53">
        <f ca="1">IFERROR(__xludf.DUMMYFUNCTION("""COMPUTED_VALUE"""),3)</f>
        <v>3</v>
      </c>
      <c r="AA28" s="53">
        <f ca="1">IFERROR(__xludf.DUMMYFUNCTION("""COMPUTED_VALUE"""),1)</f>
        <v>1</v>
      </c>
      <c r="AB28" s="53">
        <f ca="1">IFERROR(__xludf.DUMMYFUNCTION("""COMPUTED_VALUE"""),8)</f>
        <v>8</v>
      </c>
      <c r="AC28" s="53"/>
      <c r="AD28" s="53"/>
      <c r="AE28" s="53"/>
      <c r="AF28" s="53"/>
      <c r="AG28" s="8" t="str">
        <f ca="1">IFERROR(__xludf.DUMMYFUNCTION("ArrayFormula(VLOOKUP(G28, IMPORTRANGE(""https://docs.google.com/spreadsheets/d/1Co934fvtviyaRiMsrIlT05Jaq7iiYq07aLvRr35KA48/edit?gid=173865642#gid=173865642"", ""'G8_Maths_Pri_LU'!G2:V2000""), {3, 4, 5, 6, 7, 8, 9, 10, 11, 12, 13, 14, 15, 16}, 0))"),"LU000599")</f>
        <v>LU000599</v>
      </c>
      <c r="AH28" s="8" t="str">
        <f ca="1">IFERROR(__xludf.DUMMYFUNCTION("""COMPUTED_VALUE"""),"Angle sum property of a pentagon")</f>
        <v>Angle sum property of a pentagon</v>
      </c>
      <c r="AI28" s="8" t="str">
        <f ca="1">IFERROR(__xludf.DUMMYFUNCTION("""COMPUTED_VALUE"""),"LU000592")</f>
        <v>LU000592</v>
      </c>
      <c r="AJ28" s="8" t="str">
        <f ca="1">IFERROR(__xludf.DUMMYFUNCTION("""COMPUTED_VALUE"""),"Angle sum property of a quadrilateral")</f>
        <v>Angle sum property of a quadrilateral</v>
      </c>
      <c r="AK28" s="8" t="str">
        <f ca="1">IFERROR(__xludf.DUMMYFUNCTION("""COMPUTED_VALUE"""),"LU000227")</f>
        <v>LU000227</v>
      </c>
      <c r="AL28" s="8" t="str">
        <f ca="1">IFERROR(__xludf.DUMMYFUNCTION("""COMPUTED_VALUE"""),"Definition and elements of a polygon")</f>
        <v>Definition and elements of a polygon</v>
      </c>
      <c r="AM28" s="8"/>
      <c r="AN28" s="8"/>
      <c r="AO28" s="8"/>
      <c r="AP28" s="8"/>
      <c r="AQ28" s="8"/>
      <c r="AR28" s="8"/>
      <c r="AS28" s="8"/>
      <c r="AT28" s="8"/>
      <c r="AU28" s="8"/>
      <c r="AV28" s="8"/>
      <c r="AW28" s="8"/>
      <c r="AX28" s="8"/>
      <c r="AY28" s="8"/>
      <c r="AZ28" s="8"/>
      <c r="BA28" s="8"/>
      <c r="BB28" s="8"/>
      <c r="BC28" s="8"/>
      <c r="BD28" s="8"/>
      <c r="BE28" s="8"/>
    </row>
    <row r="29" spans="1:57">
      <c r="A29" s="8" t="s">
        <v>247</v>
      </c>
      <c r="B29" s="8" t="s">
        <v>47</v>
      </c>
      <c r="C29" s="8" t="s">
        <v>731</v>
      </c>
      <c r="D29" s="8" t="s">
        <v>732</v>
      </c>
      <c r="E29" s="8" t="s">
        <v>766</v>
      </c>
      <c r="F29" s="54" t="s">
        <v>774</v>
      </c>
      <c r="G29" s="8" t="s">
        <v>775</v>
      </c>
      <c r="H29" s="8" t="str">
        <f ca="1">IFERROR(__xludf.DUMMYFUNCTION("VLOOKUP(G29, IMPORTRANGE(""https://docs.google.com/spreadsheets/d/14deopnvwcrKtEGCKuYXdUHJbeLDZlkiSSWWT0g7x2pM/edit#gid=999382323"", ""LU List Maths (Filter)!A:B""), 2, FALSE)"),"Sum of the measures of the exterior angles of a polygon")</f>
        <v>Sum of the measures of the exterior angles of a polygon</v>
      </c>
      <c r="I29" s="10" t="str">
        <f t="shared" si="0"/>
        <v>LU000591.001</v>
      </c>
      <c r="J29" s="10" t="str">
        <f ca="1">IFERROR(__xludf.DUMMYFUNCTION("VLOOKUP(I29, IMPORTRANGE(""https://docs.google.com/spreadsheets/d/1yDAaXNsi4Mr5FtRQL4tbmSdIzhx6_m4wkOD7IG-k_eo/edit#gid=0"", ""Maths!M:N""), 2, FALSE)"),"State the exterior angle property for polygons.")</f>
        <v>State the exterior angle property for polygons.</v>
      </c>
      <c r="K29" s="10" t="str">
        <f t="shared" si="1"/>
        <v>LU000591.002</v>
      </c>
      <c r="L29" s="10" t="str">
        <f ca="1">IFERROR(__xludf.DUMMYFUNCTION("VLOOKUP(K29, IMPORTRANGE(""https://docs.google.com/spreadsheets/d/1yDAaXNsi4Mr5FtRQL4tbmSdIzhx6_m4wkOD7IG-k_eo/edit#gid=0"", ""Maths!M:N""), 2, FALSE)"),"Describe the geometric principle that results in the total exterior angles of a polygon being 360 degrees.")</f>
        <v>Describe the geometric principle that results in the total exterior angles of a polygon being 360 degrees.</v>
      </c>
      <c r="M29" s="10" t="str">
        <f t="shared" si="2"/>
        <v>LU000591.003</v>
      </c>
      <c r="N29" s="10" t="str">
        <f ca="1">IFERROR(__xludf.DUMMYFUNCTION("VLOOKUP(M29, IMPORTRANGE(""https://docs.google.com/spreadsheets/d/1yDAaXNsi4Mr5FtRQL4tbmSdIzhx6_m4wkOD7IG-k_eo/edit#gid=0"", ""Maths!M:N""), 2, FALSE)"),"Apply the exterior angle sum property to find the measure of an exterior angle in a given polygon.")</f>
        <v>Apply the exterior angle sum property to find the measure of an exterior angle in a given polygon.</v>
      </c>
      <c r="O29" s="10" t="str">
        <f t="shared" si="3"/>
        <v>LU000591.004</v>
      </c>
      <c r="P29" s="10" t="str">
        <f ca="1">IFERROR(__xludf.DUMMYFUNCTION("VLOOKUP(O29, IMPORTRANGE(""https://docs.google.com/spreadsheets/d/1yDAaXNsi4Mr5FtRQL4tbmSdIzhx6_m4wkOD7IG-k_eo/edit#gid=0"", ""Maths!M:N""), 2, FALSE)"),"Analyse how the exterior angle sum property is consistent across polygons.")</f>
        <v>Analyse how the exterior angle sum property is consistent across polygons.</v>
      </c>
      <c r="Q29" s="10" t="str">
        <f t="shared" si="4"/>
        <v>LU000591.005</v>
      </c>
      <c r="R29" s="10" t="str">
        <f ca="1">IFERROR(__xludf.DUMMYFUNCTION("VLOOKUP(Q29, IMPORTRANGE(""https://docs.google.com/spreadsheets/d/1yDAaXNsi4Mr5FtRQL4tbmSdIzhx6_m4wkOD7IG-k_eo/edit#gid=0"", ""Maths!M:N""), 2, FALSE)"),"Evaluate whether a given set of exterior angles can form a valid polygon.")</f>
        <v>Evaluate whether a given set of exterior angles can form a valid polygon.</v>
      </c>
      <c r="S29" s="10" t="str">
        <f t="shared" si="5"/>
        <v>LU000591.006</v>
      </c>
      <c r="T29" s="10" t="str">
        <f ca="1">IFERROR(__xludf.DUMMYFUNCTION("VLOOKUP(S29, IMPORTRANGE(""https://docs.google.com/spreadsheets/d/1yDAaXNsi4Mr5FtRQL4tbmSdIzhx6_m4wkOD7IG-k_eo/edit#gid=0"", ""Maths!M:N""), 2, FALSE)"),"Create a visual representation demonstrating the exterior angles of a polygon forming a complete rotation.")</f>
        <v>Create a visual representation demonstrating the exterior angles of a polygon forming a complete rotation.</v>
      </c>
      <c r="U29" s="52">
        <f ca="1">IFERROR(__xludf.DUMMYFUNCTION("ArrayFormula(VLOOKUP(G29, IMPORTRANGE(""https://docs.google.com/spreadsheets/d/1p7R4vtkWt5VOBim4ltsDG9KTzSjrtKXsMtQGXPHyND0/edit#gid=795171502"", ""'Filter 30_05_2024'!A1:M2000""), {2, 3, 4, 5,6,7,8,9,10,11,12,13}, 0))"),4)</f>
        <v>4</v>
      </c>
      <c r="V29" s="52">
        <f ca="1">IFERROR(__xludf.DUMMYFUNCTION("""COMPUTED_VALUE"""),6)</f>
        <v>6</v>
      </c>
      <c r="W29" s="52">
        <f ca="1">IFERROR(__xludf.DUMMYFUNCTION("""COMPUTED_VALUE"""),2)</f>
        <v>2</v>
      </c>
      <c r="X29" s="52">
        <f ca="1">IFERROR(__xludf.DUMMYFUNCTION("""COMPUTED_VALUE"""),12)</f>
        <v>12</v>
      </c>
      <c r="Y29" s="52">
        <f ca="1">IFERROR(__xludf.DUMMYFUNCTION("""COMPUTED_VALUE"""),4)</f>
        <v>4</v>
      </c>
      <c r="Z29" s="53">
        <f ca="1">IFERROR(__xludf.DUMMYFUNCTION("""COMPUTED_VALUE"""),3)</f>
        <v>3</v>
      </c>
      <c r="AA29" s="53">
        <f ca="1">IFERROR(__xludf.DUMMYFUNCTION("""COMPUTED_VALUE"""),1)</f>
        <v>1</v>
      </c>
      <c r="AB29" s="53">
        <f ca="1">IFERROR(__xludf.DUMMYFUNCTION("""COMPUTED_VALUE"""),8)</f>
        <v>8</v>
      </c>
      <c r="AC29" s="53"/>
      <c r="AD29" s="53"/>
      <c r="AE29" s="53"/>
      <c r="AF29" s="53"/>
      <c r="AG29" s="8" t="str">
        <f ca="1">IFERROR(__xludf.DUMMYFUNCTION("ArrayFormula(VLOOKUP(G29, IMPORTRANGE(""https://docs.google.com/spreadsheets/d/1Co934fvtviyaRiMsrIlT05Jaq7iiYq07aLvRr35KA48/edit?gid=173865642#gid=173865642"", ""'G8_Maths_Pri_LU'!G2:V2000""), {3, 4, 5, 6, 7, 8, 9, 10, 11, 12, 13, 14, 15, 16}, 0))"),"LU000425")</f>
        <v>LU000425</v>
      </c>
      <c r="AH29" s="8" t="str">
        <f ca="1">IFERROR(__xludf.DUMMYFUNCTION("""COMPUTED_VALUE"""),"Exterior and interior angles of a polygon")</f>
        <v>Exterior and interior angles of a polygon</v>
      </c>
      <c r="AI29" s="8" t="str">
        <f ca="1">IFERROR(__xludf.DUMMYFUNCTION("""COMPUTED_VALUE"""),"LU000245")</f>
        <v>LU000245</v>
      </c>
      <c r="AJ29" s="8" t="str">
        <f ca="1">IFERROR(__xludf.DUMMYFUNCTION("""COMPUTED_VALUE"""),"Classification of polygons based on the number of the sides")</f>
        <v>Classification of polygons based on the number of the sides</v>
      </c>
      <c r="AK29" s="8" t="str">
        <f ca="1">IFERROR(__xludf.DUMMYFUNCTION("""COMPUTED_VALUE"""),"LU000905")</f>
        <v>LU000905</v>
      </c>
      <c r="AL29" s="8" t="str">
        <f ca="1">IFERROR(__xludf.DUMMYFUNCTION("""COMPUTED_VALUE"""),"Definition of regular and irregular polygon")</f>
        <v>Definition of regular and irregular polygon</v>
      </c>
      <c r="AM29" s="8"/>
      <c r="AN29" s="8"/>
      <c r="AO29" s="8"/>
      <c r="AP29" s="8"/>
      <c r="AQ29" s="8"/>
      <c r="AR29" s="8"/>
      <c r="AS29" s="8"/>
      <c r="AT29" s="8"/>
      <c r="AU29" s="8"/>
      <c r="AV29" s="8"/>
      <c r="AW29" s="8"/>
      <c r="AX29" s="8"/>
      <c r="AY29" s="8"/>
      <c r="AZ29" s="8"/>
      <c r="BA29" s="8"/>
      <c r="BB29" s="8"/>
      <c r="BC29" s="8"/>
      <c r="BD29" s="8"/>
      <c r="BE29" s="8"/>
    </row>
    <row r="30" spans="1:57">
      <c r="A30" s="8" t="s">
        <v>247</v>
      </c>
      <c r="B30" s="8" t="s">
        <v>47</v>
      </c>
      <c r="C30" s="8" t="s">
        <v>731</v>
      </c>
      <c r="D30" s="8" t="s">
        <v>732</v>
      </c>
      <c r="E30" s="8" t="s">
        <v>766</v>
      </c>
      <c r="F30" s="54" t="s">
        <v>774</v>
      </c>
      <c r="G30" s="8" t="s">
        <v>776</v>
      </c>
      <c r="H30" s="8" t="str">
        <f ca="1">IFERROR(__xludf.DUMMYFUNCTION("VLOOKUP(G30, IMPORTRANGE(""https://docs.google.com/spreadsheets/d/14deopnvwcrKtEGCKuYXdUHJbeLDZlkiSSWWT0g7x2pM/edit#gid=999382323"", ""LU List Maths (Filter)!A:B""), 2, FALSE)"),"Measure of each angle of a regular polygon of 'n' sides")</f>
        <v>Measure of each angle of a regular polygon of 'n' sides</v>
      </c>
      <c r="I30" s="10" t="str">
        <f t="shared" si="0"/>
        <v>LU000590.001</v>
      </c>
      <c r="J30" s="10" t="str">
        <f ca="1">IFERROR(__xludf.DUMMYFUNCTION("VLOOKUP(I30, IMPORTRANGE(""https://docs.google.com/spreadsheets/d/1yDAaXNsi4Mr5FtRQL4tbmSdIzhx6_m4wkOD7IG-k_eo/edit#gid=0"", ""Maths!M:N""), 2, FALSE)"),"State the formula to calculate each angle of a regular polygon with n sides.")</f>
        <v>State the formula to calculate each angle of a regular polygon with n sides.</v>
      </c>
      <c r="K30" s="10" t="str">
        <f t="shared" si="1"/>
        <v>LU000590.002</v>
      </c>
      <c r="L30" s="10" t="str">
        <f ca="1">IFERROR(__xludf.DUMMYFUNCTION("VLOOKUP(K30, IMPORTRANGE(""https://docs.google.com/spreadsheets/d/1yDAaXNsi4Mr5FtRQL4tbmSdIzhx6_m4wkOD7IG-k_eo/edit#gid=0"", ""Maths!M:N""), 2, FALSE)"),"Describe how the formula combines the number of sides and the interior angle sum of polygons.")</f>
        <v>Describe how the formula combines the number of sides and the interior angle sum of polygons.</v>
      </c>
      <c r="M30" s="10" t="str">
        <f t="shared" si="2"/>
        <v>LU000590.003</v>
      </c>
      <c r="N30" s="10" t="str">
        <f ca="1">IFERROR(__xludf.DUMMYFUNCTION("VLOOKUP(M30, IMPORTRANGE(""https://docs.google.com/spreadsheets/d/1yDAaXNsi4Mr5FtRQL4tbmSdIzhx6_m4wkOD7IG-k_eo/edit#gid=0"", ""Maths!M:N""), 2, FALSE)"),"Apply the formula to calculate the measure of each angle in a given regular polygon.")</f>
        <v>Apply the formula to calculate the measure of each angle in a given regular polygon.</v>
      </c>
      <c r="O30" s="10" t="str">
        <f t="shared" si="3"/>
        <v>LU000590.004</v>
      </c>
      <c r="P30" s="10" t="str">
        <f ca="1">IFERROR(__xludf.DUMMYFUNCTION("VLOOKUP(O30, IMPORTRANGE(""https://docs.google.com/spreadsheets/d/1yDAaXNsi4Mr5FtRQL4tbmSdIzhx6_m4wkOD7IG-k_eo/edit#gid=0"", ""Maths!M:N""), 2, FALSE)"),"Analyse the relationship between the number of sides and the measure of each angle in regular polygons.")</f>
        <v>Analyse the relationship between the number of sides and the measure of each angle in regular polygons.</v>
      </c>
      <c r="Q30" s="10" t="str">
        <f t="shared" si="4"/>
        <v>LU000590.005</v>
      </c>
      <c r="R30" s="10" t="str">
        <f ca="1">IFERROR(__xludf.DUMMYFUNCTION("VLOOKUP(Q30, IMPORTRANGE(""https://docs.google.com/spreadsheets/d/1yDAaXNsi4Mr5FtRQL4tbmSdIzhx6_m4wkOD7IG-k_eo/edit#gid=0"", ""Maths!M:N""), 2, FALSE)"),"Evaluate the accuracy of the formula for finding the measure of each angle in a regular polygon.")</f>
        <v>Evaluate the accuracy of the formula for finding the measure of each angle in a regular polygon.</v>
      </c>
      <c r="S30" s="10" t="str">
        <f t="shared" si="5"/>
        <v>LU000590.006</v>
      </c>
      <c r="T30" s="10" t="str">
        <f ca="1">IFERROR(__xludf.DUMMYFUNCTION("VLOOKUP(S30, IMPORTRANGE(""https://docs.google.com/spreadsheets/d/1yDAaXNsi4Mr5FtRQL4tbmSdIzhx6_m4wkOD7IG-k_eo/edit#gid=0"", ""Maths!M:N""), 2, FALSE)"),"#N/A")</f>
        <v>#N/A</v>
      </c>
      <c r="U30" s="52">
        <f ca="1">IFERROR(__xludf.DUMMYFUNCTION("ArrayFormula(VLOOKUP(G30, IMPORTRANGE(""https://docs.google.com/spreadsheets/d/1p7R4vtkWt5VOBim4ltsDG9KTzSjrtKXsMtQGXPHyND0/edit#gid=795171502"", ""'Filter 30_05_2024'!A1:M2000""), {2, 3, 4, 5,6,7,8,9,10,11,12,13}, 0))"),4)</f>
        <v>4</v>
      </c>
      <c r="V30" s="52">
        <f ca="1">IFERROR(__xludf.DUMMYFUNCTION("""COMPUTED_VALUE"""),6)</f>
        <v>6</v>
      </c>
      <c r="W30" s="52">
        <f ca="1">IFERROR(__xludf.DUMMYFUNCTION("""COMPUTED_VALUE"""),2)</f>
        <v>2</v>
      </c>
      <c r="X30" s="52">
        <f ca="1">IFERROR(__xludf.DUMMYFUNCTION("""COMPUTED_VALUE"""),12)</f>
        <v>12</v>
      </c>
      <c r="Y30" s="52">
        <f ca="1">IFERROR(__xludf.DUMMYFUNCTION("""COMPUTED_VALUE"""),4)</f>
        <v>4</v>
      </c>
      <c r="Z30" s="53">
        <f ca="1">IFERROR(__xludf.DUMMYFUNCTION("""COMPUTED_VALUE"""),3)</f>
        <v>3</v>
      </c>
      <c r="AA30" s="53">
        <f ca="1">IFERROR(__xludf.DUMMYFUNCTION("""COMPUTED_VALUE"""),1)</f>
        <v>1</v>
      </c>
      <c r="AB30" s="53">
        <f ca="1">IFERROR(__xludf.DUMMYFUNCTION("""COMPUTED_VALUE"""),8)</f>
        <v>8</v>
      </c>
      <c r="AC30" s="53"/>
      <c r="AD30" s="53"/>
      <c r="AE30" s="53"/>
      <c r="AF30" s="53"/>
      <c r="AG30" s="8" t="str">
        <f ca="1">IFERROR(__xludf.DUMMYFUNCTION("ArrayFormula(VLOOKUP(G30, IMPORTRANGE(""https://docs.google.com/spreadsheets/d/1Co934fvtviyaRiMsrIlT05Jaq7iiYq07aLvRr35KA48/edit?gid=173865642#gid=173865642"", ""'G8_Maths_Pri_LU'!G2:V2000""), {3, 4, 5, 6, 7, 8, 9, 10, 11, 12, 13, 14, 15, 16}, 0))"),"LU000591")</f>
        <v>LU000591</v>
      </c>
      <c r="AH30" s="8" t="str">
        <f ca="1">IFERROR(__xludf.DUMMYFUNCTION("""COMPUTED_VALUE"""),"Sum of the measures of the exterior angles of a polygon")</f>
        <v>Sum of the measures of the exterior angles of a polygon</v>
      </c>
      <c r="AI30" s="8" t="str">
        <f ca="1">IFERROR(__xludf.DUMMYFUNCTION("""COMPUTED_VALUE"""),"LU000425")</f>
        <v>LU000425</v>
      </c>
      <c r="AJ30" s="8" t="str">
        <f ca="1">IFERROR(__xludf.DUMMYFUNCTION("""COMPUTED_VALUE"""),"Exterior and interior angles of a polygon")</f>
        <v>Exterior and interior angles of a polygon</v>
      </c>
      <c r="AK30" s="8" t="str">
        <f ca="1">IFERROR(__xludf.DUMMYFUNCTION("""COMPUTED_VALUE"""),"LU000245")</f>
        <v>LU000245</v>
      </c>
      <c r="AL30" s="8" t="str">
        <f ca="1">IFERROR(__xludf.DUMMYFUNCTION("""COMPUTED_VALUE"""),"Classification of polygons based on the number of the sides")</f>
        <v>Classification of polygons based on the number of the sides</v>
      </c>
      <c r="AM30" s="8" t="str">
        <f ca="1">IFERROR(__xludf.DUMMYFUNCTION("""COMPUTED_VALUE"""),"LU000905")</f>
        <v>LU000905</v>
      </c>
      <c r="AN30" s="8" t="str">
        <f ca="1">IFERROR(__xludf.DUMMYFUNCTION("""COMPUTED_VALUE"""),"Definition of regular and irregular polygon")</f>
        <v>Definition of regular and irregular polygon</v>
      </c>
      <c r="AO30" s="8"/>
      <c r="AP30" s="8"/>
      <c r="AQ30" s="8"/>
      <c r="AR30" s="8"/>
      <c r="AS30" s="8"/>
      <c r="AT30" s="8"/>
      <c r="AU30" s="8"/>
      <c r="AV30" s="8"/>
      <c r="AW30" s="8"/>
      <c r="AX30" s="8"/>
      <c r="AY30" s="8"/>
      <c r="AZ30" s="8"/>
      <c r="BA30" s="8"/>
      <c r="BB30" s="8"/>
      <c r="BC30" s="8"/>
      <c r="BD30" s="8"/>
      <c r="BE30" s="8"/>
    </row>
    <row r="31" spans="1:57">
      <c r="A31" s="8" t="s">
        <v>247</v>
      </c>
      <c r="B31" s="8" t="s">
        <v>47</v>
      </c>
      <c r="C31" s="8" t="s">
        <v>731</v>
      </c>
      <c r="D31" s="8" t="s">
        <v>732</v>
      </c>
      <c r="E31" s="8" t="s">
        <v>766</v>
      </c>
      <c r="F31" s="55" t="s">
        <v>777</v>
      </c>
      <c r="G31" s="8" t="s">
        <v>778</v>
      </c>
      <c r="H31" s="8" t="str">
        <f ca="1">IFERROR(__xludf.DUMMYFUNCTION("VLOOKUP(G31, IMPORTRANGE(""https://docs.google.com/spreadsheets/d/14deopnvwcrKtEGCKuYXdUHJbeLDZlkiSSWWT0g7x2pM/edit#gid=999382323"", ""LU List Maths (Filter)!A:B""), 2, FALSE)"),"Properties of trapezium")</f>
        <v>Properties of trapezium</v>
      </c>
      <c r="I31" s="10" t="str">
        <f t="shared" si="0"/>
        <v>LU000911.001</v>
      </c>
      <c r="J31" s="10" t="str">
        <f ca="1">IFERROR(__xludf.DUMMYFUNCTION("VLOOKUP(I31, IMPORTRANGE(""https://docs.google.com/spreadsheets/d/1yDAaXNsi4Mr5FtRQL4tbmSdIzhx6_m4wkOD7IG-k_eo/edit#gid=0"", ""Maths!M:N""), 2, FALSE)"),"State the basic properties of a trapezium")</f>
        <v>State the basic properties of a trapezium</v>
      </c>
      <c r="K31" s="10" t="str">
        <f t="shared" si="1"/>
        <v>LU000911.002</v>
      </c>
      <c r="L31" s="10" t="str">
        <f ca="1">IFERROR(__xludf.DUMMYFUNCTION("VLOOKUP(K31, IMPORTRANGE(""https://docs.google.com/spreadsheets/d/1yDAaXNsi4Mr5FtRQL4tbmSdIzhx6_m4wkOD7IG-k_eo/edit#gid=0"", ""Maths!M:N""), 2, FALSE)"),"Explain the characteristics of a trapezium")</f>
        <v>Explain the characteristics of a trapezium</v>
      </c>
      <c r="M31" s="10" t="str">
        <f t="shared" si="2"/>
        <v>LU000911.003</v>
      </c>
      <c r="N31" s="10" t="str">
        <f ca="1">IFERROR(__xludf.DUMMYFUNCTION("VLOOKUP(M31, IMPORTRANGE(""https://docs.google.com/spreadsheets/d/1yDAaXNsi4Mr5FtRQL4tbmSdIzhx6_m4wkOD7IG-k_eo/edit#gid=0"", ""Maths!M:N""), 2, FALSE)"),"Apply the properties of a trapezium to solve problems (such as finding the length of sides)")</f>
        <v>Apply the properties of a trapezium to solve problems (such as finding the length of sides)</v>
      </c>
      <c r="O31" s="10" t="str">
        <f t="shared" si="3"/>
        <v>LU000911.004</v>
      </c>
      <c r="P31" s="10" t="str">
        <f ca="1">IFERROR(__xludf.DUMMYFUNCTION("VLOOKUP(O31, IMPORTRANGE(""https://docs.google.com/spreadsheets/d/1yDAaXNsi4Mr5FtRQL4tbmSdIzhx6_m4wkOD7IG-k_eo/edit#gid=0"", ""Maths!M:N""), 2, FALSE)"),"Investigate the properties of trapeziums, focusing on relationships between angles, sides, and their implications in various contexts.")</f>
        <v>Investigate the properties of trapeziums, focusing on relationships between angles, sides, and their implications in various contexts.</v>
      </c>
      <c r="Q31" s="10" t="str">
        <f t="shared" si="4"/>
        <v>LU000911.005</v>
      </c>
      <c r="R31" s="10" t="str">
        <f ca="1">IFERROR(__xludf.DUMMYFUNCTION("VLOOKUP(Q31, IMPORTRANGE(""https://docs.google.com/spreadsheets/d/1yDAaXNsi4Mr5FtRQL4tbmSdIzhx6_m4wkOD7IG-k_eo/edit#gid=0"", ""Maths!M:N""), 2, FALSE)"),"Evaluate the relevance and effectiveness of using trapezium properties in problem-solving")</f>
        <v>Evaluate the relevance and effectiveness of using trapezium properties in problem-solving</v>
      </c>
      <c r="S31" s="10" t="str">
        <f t="shared" si="5"/>
        <v>LU000911.006</v>
      </c>
      <c r="T31" s="10" t="str">
        <f ca="1">IFERROR(__xludf.DUMMYFUNCTION("VLOOKUP(S31, IMPORTRANGE(""https://docs.google.com/spreadsheets/d/1yDAaXNsi4Mr5FtRQL4tbmSdIzhx6_m4wkOD7IG-k_eo/edit#gid=0"", ""Maths!M:N""), 2, FALSE)"),"Create new problems or scenarios involving trapeziums, design complex shapes using trapeziums as a fundamental element")</f>
        <v>Create new problems or scenarios involving trapeziums, design complex shapes using trapeziums as a fundamental element</v>
      </c>
      <c r="U31" s="52">
        <f ca="1">IFERROR(__xludf.DUMMYFUNCTION("ArrayFormula(VLOOKUP(G31, IMPORTRANGE(""https://docs.google.com/spreadsheets/d/1p7R4vtkWt5VOBim4ltsDG9KTzSjrtKXsMtQGXPHyND0/edit#gid=795171502"", ""'Filter 30_05_2024'!A1:M2000""), {2, 3, 4, 5,6,7,8,9,10,11,12,13}, 0))"),4)</f>
        <v>4</v>
      </c>
      <c r="V31" s="52">
        <f ca="1">IFERROR(__xludf.DUMMYFUNCTION("""COMPUTED_VALUE"""),6)</f>
        <v>6</v>
      </c>
      <c r="W31" s="52">
        <f ca="1">IFERROR(__xludf.DUMMYFUNCTION("""COMPUTED_VALUE"""),2)</f>
        <v>2</v>
      </c>
      <c r="X31" s="52">
        <f ca="1">IFERROR(__xludf.DUMMYFUNCTION("""COMPUTED_VALUE"""),12)</f>
        <v>12</v>
      </c>
      <c r="Y31" s="52">
        <f ca="1">IFERROR(__xludf.DUMMYFUNCTION("""COMPUTED_VALUE"""),4)</f>
        <v>4</v>
      </c>
      <c r="Z31" s="53">
        <f ca="1">IFERROR(__xludf.DUMMYFUNCTION("""COMPUTED_VALUE"""),3)</f>
        <v>3</v>
      </c>
      <c r="AA31" s="53">
        <f ca="1">IFERROR(__xludf.DUMMYFUNCTION("""COMPUTED_VALUE"""),1)</f>
        <v>1</v>
      </c>
      <c r="AB31" s="53">
        <f ca="1">IFERROR(__xludf.DUMMYFUNCTION("""COMPUTED_VALUE"""),8)</f>
        <v>8</v>
      </c>
      <c r="AC31" s="53"/>
      <c r="AD31" s="53"/>
      <c r="AE31" s="53"/>
      <c r="AF31" s="53"/>
      <c r="AG31" s="8" t="str">
        <f ca="1">IFERROR(__xludf.DUMMYFUNCTION("ArrayFormula(VLOOKUP(G31, IMPORTRANGE(""https://docs.google.com/spreadsheets/d/1Co934fvtviyaRiMsrIlT05Jaq7iiYq07aLvRr35KA48/edit?gid=173865642#gid=173865642"", ""'G8_Maths_Pri_LU'!G2:V2000""), {3, 4, 5, 6, 7, 8, 9, 10, 11, 12, 13, 14, 15, 16}, 0))"),"LU000593")</f>
        <v>LU000593</v>
      </c>
      <c r="AH31" s="8" t="str">
        <f ca="1">IFERROR(__xludf.DUMMYFUNCTION("""COMPUTED_VALUE"""),"Definition of trapezium")</f>
        <v>Definition of trapezium</v>
      </c>
      <c r="AI31" s="8"/>
      <c r="AJ31" s="8"/>
      <c r="AK31" s="8"/>
      <c r="AL31" s="8"/>
      <c r="AM31" s="8"/>
      <c r="AN31" s="8"/>
      <c r="AO31" s="8"/>
      <c r="AP31" s="8"/>
      <c r="AQ31" s="8"/>
      <c r="AR31" s="8"/>
      <c r="AS31" s="8"/>
      <c r="AT31" s="8"/>
      <c r="AU31" s="8"/>
      <c r="AV31" s="8"/>
      <c r="AW31" s="8"/>
      <c r="AX31" s="8"/>
      <c r="AY31" s="8"/>
      <c r="AZ31" s="8"/>
      <c r="BA31" s="8"/>
      <c r="BB31" s="8"/>
      <c r="BC31" s="8"/>
      <c r="BD31" s="8"/>
      <c r="BE31" s="8"/>
    </row>
    <row r="32" spans="1:57">
      <c r="A32" s="8" t="s">
        <v>247</v>
      </c>
      <c r="B32" s="8" t="s">
        <v>47</v>
      </c>
      <c r="C32" s="8" t="s">
        <v>731</v>
      </c>
      <c r="D32" s="8" t="s">
        <v>732</v>
      </c>
      <c r="E32" s="8" t="s">
        <v>766</v>
      </c>
      <c r="F32" s="55" t="s">
        <v>779</v>
      </c>
      <c r="G32" s="8" t="s">
        <v>780</v>
      </c>
      <c r="H32" s="8" t="str">
        <f ca="1">IFERROR(__xludf.DUMMYFUNCTION("VLOOKUP(G32, IMPORTRANGE(""https://docs.google.com/spreadsheets/d/14deopnvwcrKtEGCKuYXdUHJbeLDZlkiSSWWT0g7x2pM/edit#gid=999382323"", ""LU List Maths (Filter)!A:B""), 2, FALSE)"),"Definition of kite")</f>
        <v>Definition of kite</v>
      </c>
      <c r="I32" s="10" t="str">
        <f t="shared" si="0"/>
        <v>LU000594.001</v>
      </c>
      <c r="J32" s="10" t="str">
        <f ca="1">IFERROR(__xludf.DUMMYFUNCTION("VLOOKUP(I32, IMPORTRANGE(""https://docs.google.com/spreadsheets/d/1yDAaXNsi4Mr5FtRQL4tbmSdIzhx6_m4wkOD7IG-k_eo/edit#gid=0"", ""Maths!M:N""), 2, FALSE)"),"List the characteristics that define a geometric shape as a kite.")</f>
        <v>List the characteristics that define a geometric shape as a kite.</v>
      </c>
      <c r="K32" s="10" t="str">
        <f t="shared" si="1"/>
        <v>LU000594.002</v>
      </c>
      <c r="L32" s="10" t="str">
        <f ca="1">IFERROR(__xludf.DUMMYFUNCTION("VLOOKUP(K32, IMPORTRANGE(""https://docs.google.com/spreadsheets/d/1yDAaXNsi4Mr5FtRQL4tbmSdIzhx6_m4wkOD7IG-k_eo/edit#gid=0"", ""Maths!M:N""), 2, FALSE)"),"Explain the properties that distinguish a kite from other quadrilaterals.")</f>
        <v>Explain the properties that distinguish a kite from other quadrilaterals.</v>
      </c>
      <c r="M32" s="10" t="str">
        <f t="shared" si="2"/>
        <v>LU000594.003</v>
      </c>
      <c r="N32" s="10" t="str">
        <f ca="1">IFERROR(__xludf.DUMMYFUNCTION("VLOOKUP(M32, IMPORTRANGE(""https://docs.google.com/spreadsheets/d/1yDAaXNsi4Mr5FtRQL4tbmSdIzhx6_m4wkOD7IG-k_eo/edit#gid=0"", ""Maths!M:N""), 2, FALSE)"),"Apply the definition of kite to identify kites in the provided diagrams.")</f>
        <v>Apply the definition of kite to identify kites in the provided diagrams.</v>
      </c>
      <c r="O32" s="10" t="str">
        <f t="shared" si="3"/>
        <v>LU000594.004</v>
      </c>
      <c r="P32" s="10" t="str">
        <f ca="1">IFERROR(__xludf.DUMMYFUNCTION("VLOOKUP(O32, IMPORTRANGE(""https://docs.google.com/spreadsheets/d/1yDAaXNsi4Mr5FtRQL4tbmSdIzhx6_m4wkOD7IG-k_eo/edit#gid=0"", ""Maths!M:N""), 2, FALSE)"),"Compare the characteristics of a kite with those of other quadrilaterals to understand their distinctions.")</f>
        <v>Compare the characteristics of a kite with those of other quadrilaterals to understand their distinctions.</v>
      </c>
      <c r="Q32" s="10" t="str">
        <f t="shared" si="4"/>
        <v>LU000594.005</v>
      </c>
      <c r="R32" s="10" t="str">
        <f ca="1">IFERROR(__xludf.DUMMYFUNCTION("VLOOKUP(Q32, IMPORTRANGE(""https://docs.google.com/spreadsheets/d/1yDAaXNsi4Mr5FtRQL4tbmSdIzhx6_m4wkOD7IG-k_eo/edit#gid=0"", ""Maths!M:N""), 2, FALSE)"),"Evaluate whether a given quadrilateral is a kite by analysing its side measurements.")</f>
        <v>Evaluate whether a given quadrilateral is a kite by analysing its side measurements.</v>
      </c>
      <c r="S32" s="10" t="str">
        <f t="shared" si="5"/>
        <v>LU000594.006</v>
      </c>
      <c r="T32" s="10" t="str">
        <f ca="1">IFERROR(__xludf.DUMMYFUNCTION("VLOOKUP(S32, IMPORTRANGE(""https://docs.google.com/spreadsheets/d/1yDAaXNsi4Mr5FtRQL4tbmSdIzhx6_m4wkOD7IG-k_eo/edit#gid=0"", ""Maths!M:N""), 2, FALSE)"),"Design a visual representation illustrating the unique characteristics of a kite.")</f>
        <v>Design a visual representation illustrating the unique characteristics of a kite.</v>
      </c>
      <c r="U32" s="52">
        <f ca="1">IFERROR(__xludf.DUMMYFUNCTION("ArrayFormula(VLOOKUP(G32, IMPORTRANGE(""https://docs.google.com/spreadsheets/d/1p7R4vtkWt5VOBim4ltsDG9KTzSjrtKXsMtQGXPHyND0/edit#gid=795171502"", ""'Filter 30_05_2024'!A1:M2000""), {2, 3, 4, 5,6,7,8,9,10,11,12,13}, 0))"),4)</f>
        <v>4</v>
      </c>
      <c r="V32" s="52">
        <f ca="1">IFERROR(__xludf.DUMMYFUNCTION("""COMPUTED_VALUE"""),6)</f>
        <v>6</v>
      </c>
      <c r="W32" s="52">
        <f ca="1">IFERROR(__xludf.DUMMYFUNCTION("""COMPUTED_VALUE"""),2)</f>
        <v>2</v>
      </c>
      <c r="X32" s="52">
        <f ca="1">IFERROR(__xludf.DUMMYFUNCTION("""COMPUTED_VALUE"""),12)</f>
        <v>12</v>
      </c>
      <c r="Y32" s="52">
        <f ca="1">IFERROR(__xludf.DUMMYFUNCTION("""COMPUTED_VALUE"""),4)</f>
        <v>4</v>
      </c>
      <c r="Z32" s="53">
        <f ca="1">IFERROR(__xludf.DUMMYFUNCTION("""COMPUTED_VALUE"""),3)</f>
        <v>3</v>
      </c>
      <c r="AA32" s="53">
        <f ca="1">IFERROR(__xludf.DUMMYFUNCTION("""COMPUTED_VALUE"""),1)</f>
        <v>1</v>
      </c>
      <c r="AB32" s="53">
        <f ca="1">IFERROR(__xludf.DUMMYFUNCTION("""COMPUTED_VALUE"""),8)</f>
        <v>8</v>
      </c>
      <c r="AC32" s="53"/>
      <c r="AD32" s="53"/>
      <c r="AE32" s="53"/>
      <c r="AF32" s="53"/>
      <c r="AG32" s="8" t="str">
        <f ca="1">IFERROR(__xludf.DUMMYFUNCTION("ArrayFormula(VLOOKUP(G32, IMPORTRANGE(""https://docs.google.com/spreadsheets/d/1Co934fvtviyaRiMsrIlT05Jaq7iiYq07aLvRr35KA48/edit?gid=173865642#gid=173865642"", ""'G8_Maths_Pri_LU'!G2:V2000""), {3, 4, 5, 6, 7, 8, 9, 10, 11, 12, 13, 14, 15, 16}, 0))"),"LU000230")</f>
        <v>LU000230</v>
      </c>
      <c r="AH32" s="8" t="str">
        <f ca="1">IFERROR(__xludf.DUMMYFUNCTION("""COMPUTED_VALUE"""),"Lexical explanation of quadrilateral")</f>
        <v>Lexical explanation of quadrilateral</v>
      </c>
      <c r="AI32" s="8"/>
      <c r="AJ32" s="8"/>
      <c r="AK32" s="8"/>
      <c r="AL32" s="8"/>
      <c r="AM32" s="8"/>
      <c r="AN32" s="8"/>
      <c r="AO32" s="8"/>
      <c r="AP32" s="8"/>
      <c r="AQ32" s="8"/>
      <c r="AR32" s="8"/>
      <c r="AS32" s="8"/>
      <c r="AT32" s="8"/>
      <c r="AU32" s="8"/>
      <c r="AV32" s="8"/>
      <c r="AW32" s="8"/>
      <c r="AX32" s="8"/>
      <c r="AY32" s="8"/>
      <c r="AZ32" s="8"/>
      <c r="BA32" s="8"/>
      <c r="BB32" s="8"/>
      <c r="BC32" s="8"/>
      <c r="BD32" s="8"/>
      <c r="BE32" s="8"/>
    </row>
    <row r="33" spans="1:57">
      <c r="A33" s="8" t="s">
        <v>247</v>
      </c>
      <c r="B33" s="8" t="s">
        <v>47</v>
      </c>
      <c r="C33" s="8" t="s">
        <v>731</v>
      </c>
      <c r="D33" s="8" t="s">
        <v>732</v>
      </c>
      <c r="E33" s="8" t="s">
        <v>766</v>
      </c>
      <c r="F33" s="54" t="s">
        <v>779</v>
      </c>
      <c r="G33" s="8" t="s">
        <v>781</v>
      </c>
      <c r="H33" s="8" t="str">
        <f ca="1">IFERROR(__xludf.DUMMYFUNCTION("VLOOKUP(G33, IMPORTRANGE(""https://docs.google.com/spreadsheets/d/14deopnvwcrKtEGCKuYXdUHJbeLDZlkiSSWWT0g7x2pM/edit#gid=999382323"", ""LU List Maths (Filter)!A:B""), 2, FALSE)"),"Properties of a kite (related to its angles, sides and diagonals)")</f>
        <v>Properties of a kite (related to its angles, sides and diagonals)</v>
      </c>
      <c r="I33" s="10" t="str">
        <f t="shared" si="0"/>
        <v>LU000601.001</v>
      </c>
      <c r="J33" s="10" t="str">
        <f ca="1">IFERROR(__xludf.DUMMYFUNCTION("VLOOKUP(I33, IMPORTRANGE(""https://docs.google.com/spreadsheets/d/1yDAaXNsi4Mr5FtRQL4tbmSdIzhx6_m4wkOD7IG-k_eo/edit#gid=0"", ""Maths!M:N""), 2, FALSE)"),"List the properties of a kite related to its angles.")</f>
        <v>List the properties of a kite related to its angles.</v>
      </c>
      <c r="K33" s="10" t="str">
        <f t="shared" si="1"/>
        <v>LU000601.002</v>
      </c>
      <c r="L33" s="10" t="str">
        <f ca="1">IFERROR(__xludf.DUMMYFUNCTION("VLOOKUP(K33, IMPORTRANGE(""https://docs.google.com/spreadsheets/d/1yDAaXNsi4Mr5FtRQL4tbmSdIzhx6_m4wkOD7IG-k_eo/edit#gid=0"", ""Maths!M:N""), 2, FALSE)"),"Explain why a kite has one pair of opposite angles that are congruent to each other.")</f>
        <v>Explain why a kite has one pair of opposite angles that are congruent to each other.</v>
      </c>
      <c r="M33" s="10" t="str">
        <f t="shared" si="2"/>
        <v>LU000601.003</v>
      </c>
      <c r="N33" s="10" t="str">
        <f ca="1">IFERROR(__xludf.DUMMYFUNCTION("VLOOKUP(M33, IMPORTRANGE(""https://docs.google.com/spreadsheets/d/1yDAaXNsi4Mr5FtRQL4tbmSdIzhx6_m4wkOD7IG-k_eo/edit#gid=0"", ""Maths!M:N""), 2, FALSE)"),"Apply the properties of a kite's angles to determine unknown angle measures.")</f>
        <v>Apply the properties of a kite's angles to determine unknown angle measures.</v>
      </c>
      <c r="O33" s="10" t="str">
        <f t="shared" si="3"/>
        <v>LU000601.004</v>
      </c>
      <c r="P33" s="10" t="str">
        <f ca="1">IFERROR(__xludf.DUMMYFUNCTION("VLOOKUP(O33, IMPORTRANGE(""https://docs.google.com/spreadsheets/d/1yDAaXNsi4Mr5FtRQL4tbmSdIzhx6_m4wkOD7IG-k_eo/edit#gid=0"", ""Maths!M:N""), 2, FALSE)"),"Justify the claim that the angles between the sides of unequal length are equal.")</f>
        <v>Justify the claim that the angles between the sides of unequal length are equal.</v>
      </c>
      <c r="Q33" s="10" t="str">
        <f t="shared" si="4"/>
        <v>LU000601.005</v>
      </c>
      <c r="R33" s="10" t="str">
        <f ca="1">IFERROR(__xludf.DUMMYFUNCTION("VLOOKUP(Q33, IMPORTRANGE(""https://docs.google.com/spreadsheets/d/1yDAaXNsi4Mr5FtRQL4tbmSdIzhx6_m4wkOD7IG-k_eo/edit#gid=0"", ""Maths!M:N""), 2, FALSE)"),"Evaluate the validity of statements involving the properties of the kite related to its angles.")</f>
        <v>Evaluate the validity of statements involving the properties of the kite related to its angles.</v>
      </c>
      <c r="S33" s="10" t="str">
        <f t="shared" si="5"/>
        <v>LU000601.006</v>
      </c>
      <c r="T33" s="10" t="str">
        <f ca="1">IFERROR(__xludf.DUMMYFUNCTION("VLOOKUP(S33, IMPORTRANGE(""https://docs.google.com/spreadsheets/d/1yDAaXNsi4Mr5FtRQL4tbmSdIzhx6_m4wkOD7IG-k_eo/edit#gid=0"", ""Maths!M:N""), 2, FALSE)"),"Design a visual representation illustrating that the angles between the sides of unequal length are equal.")</f>
        <v>Design a visual representation illustrating that the angles between the sides of unequal length are equal.</v>
      </c>
      <c r="U33" s="52">
        <f ca="1">IFERROR(__xludf.DUMMYFUNCTION("ArrayFormula(VLOOKUP(G33, IMPORTRANGE(""https://docs.google.com/spreadsheets/d/1p7R4vtkWt5VOBim4ltsDG9KTzSjrtKXsMtQGXPHyND0/edit#gid=795171502"", ""'Filter 30_05_2024'!A1:M2000""), {2, 3, 4, 5,6,7,8,9,10,11,12,13}, 0))"),4)</f>
        <v>4</v>
      </c>
      <c r="V33" s="52">
        <f ca="1">IFERROR(__xludf.DUMMYFUNCTION("""COMPUTED_VALUE"""),6)</f>
        <v>6</v>
      </c>
      <c r="W33" s="52">
        <f ca="1">IFERROR(__xludf.DUMMYFUNCTION("""COMPUTED_VALUE"""),2)</f>
        <v>2</v>
      </c>
      <c r="X33" s="52">
        <f ca="1">IFERROR(__xludf.DUMMYFUNCTION("""COMPUTED_VALUE"""),12)</f>
        <v>12</v>
      </c>
      <c r="Y33" s="52">
        <f ca="1">IFERROR(__xludf.DUMMYFUNCTION("""COMPUTED_VALUE"""),4)</f>
        <v>4</v>
      </c>
      <c r="Z33" s="53">
        <f ca="1">IFERROR(__xludf.DUMMYFUNCTION("""COMPUTED_VALUE"""),3)</f>
        <v>3</v>
      </c>
      <c r="AA33" s="53">
        <f ca="1">IFERROR(__xludf.DUMMYFUNCTION("""COMPUTED_VALUE"""),1)</f>
        <v>1</v>
      </c>
      <c r="AB33" s="53">
        <f ca="1">IFERROR(__xludf.DUMMYFUNCTION("""COMPUTED_VALUE"""),8)</f>
        <v>8</v>
      </c>
      <c r="AC33" s="53"/>
      <c r="AD33" s="53"/>
      <c r="AE33" s="53"/>
      <c r="AF33" s="53"/>
      <c r="AG33" s="8" t="str">
        <f ca="1">IFERROR(__xludf.DUMMYFUNCTION("ArrayFormula(VLOOKUP(G33, IMPORTRANGE(""https://docs.google.com/spreadsheets/d/1Co934fvtviyaRiMsrIlT05Jaq7iiYq07aLvRr35KA48/edit?gid=173865642#gid=173865642"", ""'G8_Maths_Pri_LU'!G2:V2000""), {3, 4, 5, 6, 7, 8, 9, 10, 11, 12, 13, 14, 15, 16}, 0))"),"LU000594")</f>
        <v>LU000594</v>
      </c>
      <c r="AH33" s="8" t="str">
        <f ca="1">IFERROR(__xludf.DUMMYFUNCTION("""COMPUTED_VALUE"""),"Definition of kite")</f>
        <v>Definition of kite</v>
      </c>
      <c r="AI33" s="8"/>
      <c r="AJ33" s="8"/>
      <c r="AK33" s="8"/>
      <c r="AL33" s="8"/>
      <c r="AM33" s="8"/>
      <c r="AN33" s="8"/>
      <c r="AO33" s="8"/>
      <c r="AP33" s="8"/>
      <c r="AQ33" s="8"/>
      <c r="AR33" s="8"/>
      <c r="AS33" s="8"/>
      <c r="AT33" s="8"/>
      <c r="AU33" s="8"/>
      <c r="AV33" s="8"/>
      <c r="AW33" s="8"/>
      <c r="AX33" s="8"/>
      <c r="AY33" s="8"/>
      <c r="AZ33" s="8"/>
      <c r="BA33" s="8"/>
      <c r="BB33" s="8"/>
      <c r="BC33" s="8"/>
      <c r="BD33" s="8"/>
      <c r="BE33" s="8"/>
    </row>
    <row r="34" spans="1:57">
      <c r="A34" s="8" t="s">
        <v>247</v>
      </c>
      <c r="B34" s="8" t="s">
        <v>47</v>
      </c>
      <c r="C34" s="8" t="s">
        <v>731</v>
      </c>
      <c r="D34" s="8" t="s">
        <v>732</v>
      </c>
      <c r="E34" s="8" t="s">
        <v>766</v>
      </c>
      <c r="F34" s="54" t="s">
        <v>782</v>
      </c>
      <c r="G34" s="8" t="s">
        <v>783</v>
      </c>
      <c r="H34" s="8" t="str">
        <f ca="1">IFERROR(__xludf.DUMMYFUNCTION("VLOOKUP(G34, IMPORTRANGE(""https://docs.google.com/spreadsheets/d/14deopnvwcrKtEGCKuYXdUHJbeLDZlkiSSWWT0g7x2pM/edit#gid=999382323"", ""LU List Maths (Filter)!A:B""), 2, FALSE)"),"Properties of a parallelogram (related to its angles, sides and diagonals)")</f>
        <v>Properties of a parallelogram (related to its angles, sides and diagonals)</v>
      </c>
      <c r="I34" s="10" t="str">
        <f t="shared" si="0"/>
        <v>LU000600.001</v>
      </c>
      <c r="J34" s="10" t="str">
        <f ca="1">IFERROR(__xludf.DUMMYFUNCTION("VLOOKUP(I34, IMPORTRANGE(""https://docs.google.com/spreadsheets/d/1yDAaXNsi4Mr5FtRQL4tbmSdIzhx6_m4wkOD7IG-k_eo/edit#gid=0"", ""Maths!M:N""), 2, FALSE)"),"List the properties of a parallelogram related to its angles, sides and diagonals.")</f>
        <v>List the properties of a parallelogram related to its angles, sides and diagonals.</v>
      </c>
      <c r="K34" s="10" t="str">
        <f t="shared" si="1"/>
        <v>LU000600.002</v>
      </c>
      <c r="L34" s="10" t="str">
        <f ca="1">IFERROR(__xludf.DUMMYFUNCTION("VLOOKUP(K34, IMPORTRANGE(""https://docs.google.com/spreadsheets/d/1yDAaXNsi4Mr5FtRQL4tbmSdIzhx6_m4wkOD7IG-k_eo/edit#gid=0"", ""Maths!M:N""), 2, FALSE)"),"Explain that adjacent angles in a parallelogram are supplementary, opposite angles and sides are equal and diagonals of a parallelogram bisect each other.")</f>
        <v>Explain that adjacent angles in a parallelogram are supplementary, opposite angles and sides are equal and diagonals of a parallelogram bisect each other.</v>
      </c>
      <c r="M34" s="10" t="str">
        <f t="shared" si="2"/>
        <v>LU000600.003</v>
      </c>
      <c r="N34" s="10" t="str">
        <f ca="1">IFERROR(__xludf.DUMMYFUNCTION("VLOOKUP(M34, IMPORTRANGE(""https://docs.google.com/spreadsheets/d/1yDAaXNsi4Mr5FtRQL4tbmSdIzhx6_m4wkOD7IG-k_eo/edit#gid=0"", ""Maths!M:N""), 2, FALSE)"),"Apply the properties of a parallelogram to determine unknown angle measures.")</f>
        <v>Apply the properties of a parallelogram to determine unknown angle measures.</v>
      </c>
      <c r="O34" s="10" t="str">
        <f t="shared" si="3"/>
        <v>LU000600.004</v>
      </c>
      <c r="P34" s="10" t="str">
        <f ca="1">IFERROR(__xludf.DUMMYFUNCTION("VLOOKUP(O34, IMPORTRANGE(""https://docs.google.com/spreadsheets/d/1yDAaXNsi4Mr5FtRQL4tbmSdIzhx6_m4wkOD7IG-k_eo/edit#gid=0"", ""Maths!M:N""), 2, FALSE)"),"Explain why adjacent angles in a parallelogram are supplementary, opposite angles and sides are equal and  diagonals of a parallelogram bisect each other.")</f>
        <v>Explain why adjacent angles in a parallelogram are supplementary, opposite angles and sides are equal and  diagonals of a parallelogram bisect each other.</v>
      </c>
      <c r="Q34" s="10" t="str">
        <f t="shared" si="4"/>
        <v>LU000600.005</v>
      </c>
      <c r="R34" s="10" t="str">
        <f ca="1">IFERROR(__xludf.DUMMYFUNCTION("VLOOKUP(Q34, IMPORTRANGE(""https://docs.google.com/spreadsheets/d/1yDAaXNsi4Mr5FtRQL4tbmSdIzhx6_m4wkOD7IG-k_eo/edit#gid=0"", ""Maths!M:N""), 2, FALSE)"),"Evaluate the validity of statements involving the properties of the parallelogram related to its angles, sides and diagonals.")</f>
        <v>Evaluate the validity of statements involving the properties of the parallelogram related to its angles, sides and diagonals.</v>
      </c>
      <c r="S34" s="10" t="str">
        <f t="shared" si="5"/>
        <v>LU000600.006</v>
      </c>
      <c r="T34" s="10" t="str">
        <f ca="1">IFERROR(__xludf.DUMMYFUNCTION("VLOOKUP(S34, IMPORTRANGE(""https://docs.google.com/spreadsheets/d/1yDAaXNsi4Mr5FtRQL4tbmSdIzhx6_m4wkOD7IG-k_eo/edit#gid=0"", ""Maths!M:N""), 2, FALSE)"),"Design a visual representation illustrating the properties of a parallelogram.")</f>
        <v>Design a visual representation illustrating the properties of a parallelogram.</v>
      </c>
      <c r="U34" s="52">
        <f ca="1">IFERROR(__xludf.DUMMYFUNCTION("ArrayFormula(VLOOKUP(G34, IMPORTRANGE(""https://docs.google.com/spreadsheets/d/1p7R4vtkWt5VOBim4ltsDG9KTzSjrtKXsMtQGXPHyND0/edit#gid=795171502"", ""'Filter 30_05_2024'!A1:M2000""), {2, 3, 4, 5,6,7,8,9,10,11,12,13}, 0))"),4)</f>
        <v>4</v>
      </c>
      <c r="V34" s="52">
        <f ca="1">IFERROR(__xludf.DUMMYFUNCTION("""COMPUTED_VALUE"""),6)</f>
        <v>6</v>
      </c>
      <c r="W34" s="52">
        <f ca="1">IFERROR(__xludf.DUMMYFUNCTION("""COMPUTED_VALUE"""),2)</f>
        <v>2</v>
      </c>
      <c r="X34" s="52">
        <f ca="1">IFERROR(__xludf.DUMMYFUNCTION("""COMPUTED_VALUE"""),12)</f>
        <v>12</v>
      </c>
      <c r="Y34" s="52">
        <f ca="1">IFERROR(__xludf.DUMMYFUNCTION("""COMPUTED_VALUE"""),4)</f>
        <v>4</v>
      </c>
      <c r="Z34" s="53">
        <f ca="1">IFERROR(__xludf.DUMMYFUNCTION("""COMPUTED_VALUE"""),4)</f>
        <v>4</v>
      </c>
      <c r="AA34" s="53">
        <f ca="1">IFERROR(__xludf.DUMMYFUNCTION("""COMPUTED_VALUE"""),1)</f>
        <v>1</v>
      </c>
      <c r="AB34" s="53">
        <f ca="1">IFERROR(__xludf.DUMMYFUNCTION("""COMPUTED_VALUE"""),9)</f>
        <v>9</v>
      </c>
      <c r="AC34" s="53"/>
      <c r="AD34" s="53"/>
      <c r="AE34" s="53"/>
      <c r="AF34" s="53"/>
      <c r="AG34" s="8" t="str">
        <f ca="1">IFERROR(__xludf.DUMMYFUNCTION("ArrayFormula(VLOOKUP(G34, IMPORTRANGE(""https://docs.google.com/spreadsheets/d/1Co934fvtviyaRiMsrIlT05Jaq7iiYq07aLvRr35KA48/edit?gid=173865642#gid=173865642"", ""'G8_Maths_Pri_LU'!G2:V2000""), {3, 4, 5, 6, 7, 8, 9, 10, 11, 12, 13, 14, 15, 16}, 0))"),"LU000595")</f>
        <v>LU000595</v>
      </c>
      <c r="AH34" s="8" t="str">
        <f ca="1">IFERROR(__xludf.DUMMYFUNCTION("""COMPUTED_VALUE"""),"Definition of parallelogram")</f>
        <v>Definition of parallelogram</v>
      </c>
      <c r="AI34" s="8"/>
      <c r="AJ34" s="8"/>
      <c r="AK34" s="8"/>
      <c r="AL34" s="8"/>
      <c r="AM34" s="8"/>
      <c r="AN34" s="8"/>
      <c r="AO34" s="8"/>
      <c r="AP34" s="8"/>
      <c r="AQ34" s="8"/>
      <c r="AR34" s="8"/>
      <c r="AS34" s="8"/>
      <c r="AT34" s="8"/>
      <c r="AU34" s="8"/>
      <c r="AV34" s="8"/>
      <c r="AW34" s="8"/>
      <c r="AX34" s="8"/>
      <c r="AY34" s="8"/>
      <c r="AZ34" s="8"/>
      <c r="BA34" s="8"/>
      <c r="BB34" s="8"/>
      <c r="BC34" s="8"/>
      <c r="BD34" s="8"/>
      <c r="BE34" s="8"/>
    </row>
    <row r="35" spans="1:57">
      <c r="A35" s="8" t="s">
        <v>247</v>
      </c>
      <c r="B35" s="8" t="s">
        <v>47</v>
      </c>
      <c r="C35" s="8" t="s">
        <v>731</v>
      </c>
      <c r="D35" s="8" t="s">
        <v>732</v>
      </c>
      <c r="E35" s="8" t="s">
        <v>766</v>
      </c>
      <c r="F35" s="54" t="s">
        <v>784</v>
      </c>
      <c r="G35" s="8" t="s">
        <v>785</v>
      </c>
      <c r="H35" s="8" t="str">
        <f ca="1">IFERROR(__xludf.DUMMYFUNCTION("VLOOKUP(G35, IMPORTRANGE(""https://docs.google.com/spreadsheets/d/14deopnvwcrKtEGCKuYXdUHJbeLDZlkiSSWWT0g7x2pM/edit#gid=999382323"", ""LU List Maths (Filter)!A:B""), 2, FALSE)"),"Properties of a rhombus (related to its diagonals, sides and angles)")</f>
        <v>Properties of a rhombus (related to its diagonals, sides and angles)</v>
      </c>
      <c r="I35" s="10" t="str">
        <f t="shared" si="0"/>
        <v>LU000604.001</v>
      </c>
      <c r="J35" s="10" t="str">
        <f ca="1">IFERROR(__xludf.DUMMYFUNCTION("VLOOKUP(I35, IMPORTRANGE(""https://docs.google.com/spreadsheets/d/1yDAaXNsi4Mr5FtRQL4tbmSdIzhx6_m4wkOD7IG-k_eo/edit#gid=0"", ""Maths!M:N""), 2, FALSE)"),"List the properties of a rhombus.")</f>
        <v>List the properties of a rhombus.</v>
      </c>
      <c r="K35" s="10" t="str">
        <f t="shared" si="1"/>
        <v>LU000604.002</v>
      </c>
      <c r="L35" s="10" t="str">
        <f ca="1">IFERROR(__xludf.DUMMYFUNCTION("VLOOKUP(K35, IMPORTRANGE(""https://docs.google.com/spreadsheets/d/1yDAaXNsi4Mr5FtRQL4tbmSdIzhx6_m4wkOD7IG-k_eo/edit#gid=0"", ""Maths!M:N""), 2, FALSE)"),"Describe the geometric reasoning behind the properties of a rhombus ")</f>
        <v xml:space="preserve">Describe the geometric reasoning behind the properties of a rhombus </v>
      </c>
      <c r="M35" s="10" t="str">
        <f t="shared" si="2"/>
        <v>LU000604.003</v>
      </c>
      <c r="N35" s="10" t="str">
        <f ca="1">IFERROR(__xludf.DUMMYFUNCTION("VLOOKUP(M35, IMPORTRANGE(""https://docs.google.com/spreadsheets/d/1yDAaXNsi4Mr5FtRQL4tbmSdIzhx6_m4wkOD7IG-k_eo/edit#gid=0"", ""Maths!M:N""), 2, FALSE)"),"Apply the properties of a rhombus to determine the lengths of unknown sides.")</f>
        <v>Apply the properties of a rhombus to determine the lengths of unknown sides.</v>
      </c>
      <c r="O35" s="10" t="str">
        <f t="shared" si="3"/>
        <v>LU000604.004</v>
      </c>
      <c r="P35" s="10" t="str">
        <f ca="1">IFERROR(__xludf.DUMMYFUNCTION("VLOOKUP(O35, IMPORTRANGE(""https://docs.google.com/spreadsheets/d/1yDAaXNsi4Mr5FtRQL4tbmSdIzhx6_m4wkOD7IG-k_eo/edit#gid=0"", ""Maths!M:N""), 2, FALSE)")," Analyze complex problems by breaking down the use of rhombus properties")</f>
        <v xml:space="preserve"> Analyze complex problems by breaking down the use of rhombus properties</v>
      </c>
      <c r="Q35" s="10" t="str">
        <f t="shared" si="4"/>
        <v>LU000604.005</v>
      </c>
      <c r="R35" s="10" t="str">
        <f ca="1">IFERROR(__xludf.DUMMYFUNCTION("VLOOKUP(Q35, IMPORTRANGE(""https://docs.google.com/spreadsheets/d/1yDAaXNsi4Mr5FtRQL4tbmSdIzhx6_m4wkOD7IG-k_eo/edit#gid=0"", ""Maths!M:N""), 2, FALSE)"),"#N/A")</f>
        <v>#N/A</v>
      </c>
      <c r="S35" s="10" t="str">
        <f t="shared" si="5"/>
        <v>LU000604.006</v>
      </c>
      <c r="T35" s="10" t="str">
        <f ca="1">IFERROR(__xludf.DUMMYFUNCTION("VLOOKUP(S35, IMPORTRANGE(""https://docs.google.com/spreadsheets/d/1yDAaXNsi4Mr5FtRQL4tbmSdIzhx6_m4wkOD7IG-k_eo/edit#gid=0"", ""Maths!M:N""), 2, FALSE)")," Create new problems involving the properties of a rhombus, devise unique ways to apply these properties in real-world scenarios")</f>
        <v xml:space="preserve"> Create new problems involving the properties of a rhombus, devise unique ways to apply these properties in real-world scenarios</v>
      </c>
      <c r="U35" s="52">
        <f ca="1">IFERROR(__xludf.DUMMYFUNCTION("ArrayFormula(VLOOKUP(G35, IMPORTRANGE(""https://docs.google.com/spreadsheets/d/1p7R4vtkWt5VOBim4ltsDG9KTzSjrtKXsMtQGXPHyND0/edit#gid=795171502"", ""'Filter 30_05_2024'!A1:M2000""), {2, 3, 4, 5,6,7,8,9,10,11,12,13}, 0))"),4)</f>
        <v>4</v>
      </c>
      <c r="V35" s="52">
        <f ca="1">IFERROR(__xludf.DUMMYFUNCTION("""COMPUTED_VALUE"""),6)</f>
        <v>6</v>
      </c>
      <c r="W35" s="52">
        <f ca="1">IFERROR(__xludf.DUMMYFUNCTION("""COMPUTED_VALUE"""),2)</f>
        <v>2</v>
      </c>
      <c r="X35" s="52">
        <f ca="1">IFERROR(__xludf.DUMMYFUNCTION("""COMPUTED_VALUE"""),12)</f>
        <v>12</v>
      </c>
      <c r="Y35" s="52">
        <f ca="1">IFERROR(__xludf.DUMMYFUNCTION("""COMPUTED_VALUE"""),4)</f>
        <v>4</v>
      </c>
      <c r="Z35" s="53">
        <f ca="1">IFERROR(__xludf.DUMMYFUNCTION("""COMPUTED_VALUE"""),3)</f>
        <v>3</v>
      </c>
      <c r="AA35" s="53">
        <f ca="1">IFERROR(__xludf.DUMMYFUNCTION("""COMPUTED_VALUE"""),1)</f>
        <v>1</v>
      </c>
      <c r="AB35" s="53">
        <f ca="1">IFERROR(__xludf.DUMMYFUNCTION("""COMPUTED_VALUE"""),8)</f>
        <v>8</v>
      </c>
      <c r="AC35" s="53"/>
      <c r="AD35" s="53"/>
      <c r="AE35" s="53"/>
      <c r="AF35" s="53"/>
      <c r="AG35" s="8" t="str">
        <f ca="1">IFERROR(__xludf.DUMMYFUNCTION("ArrayFormula(VLOOKUP(G35, IMPORTRANGE(""https://docs.google.com/spreadsheets/d/1Co934fvtviyaRiMsrIlT05Jaq7iiYq07aLvRr35KA48/edit?gid=173865642#gid=173865642"", ""'G8_Maths_Pri_LU'!G2:V2000""), {3, 4, 5, 6, 7, 8, 9, 10, 11, 12, 13, 14, 15, 16}, 0))"),"LU000600")</f>
        <v>LU000600</v>
      </c>
      <c r="AH35" s="8" t="str">
        <f ca="1">IFERROR(__xludf.DUMMYFUNCTION("""COMPUTED_VALUE"""),"Properties of a parallelogram (related to its angles, sides and diagonals)")</f>
        <v>Properties of a parallelogram (related to its angles, sides and diagonals)</v>
      </c>
      <c r="AI35" s="8" t="str">
        <f ca="1">IFERROR(__xludf.DUMMYFUNCTION("""COMPUTED_VALUE"""),"LU000596")</f>
        <v>LU000596</v>
      </c>
      <c r="AJ35" s="8" t="str">
        <f ca="1">IFERROR(__xludf.DUMMYFUNCTION("""COMPUTED_VALUE"""),"Definition of rhombus")</f>
        <v>Definition of rhombus</v>
      </c>
      <c r="AK35" s="8"/>
      <c r="AL35" s="8"/>
      <c r="AM35" s="8"/>
      <c r="AN35" s="8"/>
      <c r="AO35" s="8"/>
      <c r="AP35" s="8"/>
      <c r="AQ35" s="8"/>
      <c r="AR35" s="8"/>
      <c r="AS35" s="8"/>
      <c r="AT35" s="8"/>
      <c r="AU35" s="8"/>
      <c r="AV35" s="8"/>
      <c r="AW35" s="8"/>
      <c r="AX35" s="8"/>
      <c r="AY35" s="8"/>
      <c r="AZ35" s="8"/>
      <c r="BA35" s="8"/>
      <c r="BB35" s="8"/>
      <c r="BC35" s="8"/>
      <c r="BD35" s="8"/>
      <c r="BE35" s="8"/>
    </row>
    <row r="36" spans="1:57">
      <c r="A36" s="8" t="s">
        <v>247</v>
      </c>
      <c r="B36" s="8" t="s">
        <v>47</v>
      </c>
      <c r="C36" s="8" t="s">
        <v>731</v>
      </c>
      <c r="D36" s="8" t="s">
        <v>732</v>
      </c>
      <c r="E36" s="8" t="s">
        <v>766</v>
      </c>
      <c r="F36" s="54" t="s">
        <v>786</v>
      </c>
      <c r="G36" s="8" t="s">
        <v>787</v>
      </c>
      <c r="H36" s="8" t="str">
        <f ca="1">IFERROR(__xludf.DUMMYFUNCTION("VLOOKUP(G36, IMPORTRANGE(""https://docs.google.com/spreadsheets/d/14deopnvwcrKtEGCKuYXdUHJbeLDZlkiSSWWT0g7x2pM/edit#gid=999382323"", ""LU List Maths (Filter)!A:B""), 2, FALSE)"),"Properties of a rectangle (related to its sides, angles and diagonals)")</f>
        <v>Properties of a rectangle (related to its sides, angles and diagonals)</v>
      </c>
      <c r="I36" s="10" t="str">
        <f t="shared" si="0"/>
        <v>LU000610.001</v>
      </c>
      <c r="J36" s="10" t="str">
        <f ca="1">IFERROR(__xludf.DUMMYFUNCTION("VLOOKUP(I36, IMPORTRANGE(""https://docs.google.com/spreadsheets/d/1yDAaXNsi4Mr5FtRQL4tbmSdIzhx6_m4wkOD7IG-k_eo/edit#gid=0"", ""Maths!M:N""), 2, FALSE)"),"List the properties of a rectangle related to its sides, angles and diagonals")</f>
        <v>List the properties of a rectangle related to its sides, angles and diagonals</v>
      </c>
      <c r="K36" s="10" t="str">
        <f t="shared" si="1"/>
        <v>LU000610.002</v>
      </c>
      <c r="L36" s="10" t="str">
        <f ca="1">IFERROR(__xludf.DUMMYFUNCTION("VLOOKUP(K36, IMPORTRANGE(""https://docs.google.com/spreadsheets/d/1yDAaXNsi4Mr5FtRQL4tbmSdIzhx6_m4wkOD7IG-k_eo/edit#gid=0"", ""Maths!M:N""), 2, FALSE)"),"Explain and interpret the properties of a rectangle")</f>
        <v>Explain and interpret the properties of a rectangle</v>
      </c>
      <c r="M36" s="10" t="str">
        <f t="shared" si="2"/>
        <v>LU000610.003</v>
      </c>
      <c r="N36" s="10" t="str">
        <f ca="1">IFERROR(__xludf.DUMMYFUNCTION("VLOOKUP(M36, IMPORTRANGE(""https://docs.google.com/spreadsheets/d/1yDAaXNsi4Mr5FtRQL4tbmSdIzhx6_m4wkOD7IG-k_eo/edit#gid=0"", ""Maths!M:N""), 2, FALSE)"),"Apply the properties of a rectangle to solve problems involving side lengths.")</f>
        <v>Apply the properties of a rectangle to solve problems involving side lengths.</v>
      </c>
      <c r="O36" s="10" t="str">
        <f t="shared" si="3"/>
        <v>LU000610.004</v>
      </c>
      <c r="P36" s="10" t="str">
        <f ca="1">IFERROR(__xludf.DUMMYFUNCTION("VLOOKUP(O36, IMPORTRANGE(""https://docs.google.com/spreadsheets/d/1yDAaXNsi4Mr5FtRQL4tbmSdIzhx6_m4wkOD7IG-k_eo/edit#gid=0"", ""Maths!M:N""), 2, FALSE)"),"Break down complex problems involving rectangles to identify how the properties of sides, angles, and diagonals are used")</f>
        <v>Break down complex problems involving rectangles to identify how the properties of sides, angles, and diagonals are used</v>
      </c>
      <c r="Q36" s="10" t="str">
        <f t="shared" si="4"/>
        <v>LU000610.005</v>
      </c>
      <c r="R36" s="10" t="str">
        <f ca="1">IFERROR(__xludf.DUMMYFUNCTION("VLOOKUP(Q36, IMPORTRANGE(""https://docs.google.com/spreadsheets/d/1yDAaXNsi4Mr5FtRQL4tbmSdIzhx6_m4wkOD7IG-k_eo/edit#gid=0"", ""Maths!M:N""), 2, FALSE)"),"#N/A")</f>
        <v>#N/A</v>
      </c>
      <c r="S36" s="10" t="str">
        <f t="shared" si="5"/>
        <v>LU000610.006</v>
      </c>
      <c r="T36" s="10" t="str">
        <f ca="1">IFERROR(__xludf.DUMMYFUNCTION("VLOOKUP(S36, IMPORTRANGE(""https://docs.google.com/spreadsheets/d/1yDAaXNsi4Mr5FtRQL4tbmSdIzhx6_m4wkOD7IG-k_eo/edit#gid=0"", ""Maths!M:N""), 2, FALSE)"),"Design visual representations illustrating the properties of a rectangles")</f>
        <v>Design visual representations illustrating the properties of a rectangles</v>
      </c>
      <c r="U36" s="52">
        <f ca="1">IFERROR(__xludf.DUMMYFUNCTION("ArrayFormula(VLOOKUP(G36, IMPORTRANGE(""https://docs.google.com/spreadsheets/d/1p7R4vtkWt5VOBim4ltsDG9KTzSjrtKXsMtQGXPHyND0/edit#gid=795171502"", ""'Filter 30_05_2024'!A1:M2000""), {2, 3, 4, 5,6,7,8,9,10,11,12,13}, 0))"),4)</f>
        <v>4</v>
      </c>
      <c r="V36" s="52">
        <f ca="1">IFERROR(__xludf.DUMMYFUNCTION("""COMPUTED_VALUE"""),7)</f>
        <v>7</v>
      </c>
      <c r="W36" s="52">
        <f ca="1">IFERROR(__xludf.DUMMYFUNCTION("""COMPUTED_VALUE"""),2)</f>
        <v>2</v>
      </c>
      <c r="X36" s="52">
        <f ca="1">IFERROR(__xludf.DUMMYFUNCTION("""COMPUTED_VALUE"""),13)</f>
        <v>13</v>
      </c>
      <c r="Y36" s="52">
        <f ca="1">IFERROR(__xludf.DUMMYFUNCTION("""COMPUTED_VALUE"""),4)</f>
        <v>4</v>
      </c>
      <c r="Z36" s="53">
        <f ca="1">IFERROR(__xludf.DUMMYFUNCTION("""COMPUTED_VALUE"""),3)</f>
        <v>3</v>
      </c>
      <c r="AA36" s="53">
        <f ca="1">IFERROR(__xludf.DUMMYFUNCTION("""COMPUTED_VALUE"""),1)</f>
        <v>1</v>
      </c>
      <c r="AB36" s="53">
        <f ca="1">IFERROR(__xludf.DUMMYFUNCTION("""COMPUTED_VALUE"""),8)</f>
        <v>8</v>
      </c>
      <c r="AC36" s="53"/>
      <c r="AD36" s="53"/>
      <c r="AE36" s="53"/>
      <c r="AF36" s="53"/>
      <c r="AG36" s="8" t="str">
        <f ca="1">IFERROR(__xludf.DUMMYFUNCTION("ArrayFormula(VLOOKUP(G36, IMPORTRANGE(""https://docs.google.com/spreadsheets/d/1Co934fvtviyaRiMsrIlT05Jaq7iiYq07aLvRr35KA48/edit?gid=173865642#gid=173865642"", ""'G8_Maths_Pri_LU'!G2:V2000""), {3, 4, 5, 6, 7, 8, 9, 10, 11, 12, 13, 14, 15, 16}, 0))"),"LU000600")</f>
        <v>LU000600</v>
      </c>
      <c r="AH36" s="8" t="str">
        <f ca="1">IFERROR(__xludf.DUMMYFUNCTION("""COMPUTED_VALUE"""),"Properties of a parallelogram (related to its angles, sides and diagonals)")</f>
        <v>Properties of a parallelogram (related to its angles, sides and diagonals)</v>
      </c>
      <c r="AI36" s="8" t="str">
        <f ca="1">IFERROR(__xludf.DUMMYFUNCTION("""COMPUTED_VALUE"""),"LU000597")</f>
        <v>LU000597</v>
      </c>
      <c r="AJ36" s="8" t="str">
        <f ca="1">IFERROR(__xludf.DUMMYFUNCTION("""COMPUTED_VALUE"""),"Definition of rectangle")</f>
        <v>Definition of rectangle</v>
      </c>
      <c r="AK36" s="8"/>
      <c r="AL36" s="8"/>
      <c r="AM36" s="8"/>
      <c r="AN36" s="8"/>
      <c r="AO36" s="8"/>
      <c r="AP36" s="8"/>
      <c r="AQ36" s="8"/>
      <c r="AR36" s="8"/>
      <c r="AS36" s="8"/>
      <c r="AT36" s="8"/>
      <c r="AU36" s="8"/>
      <c r="AV36" s="8"/>
      <c r="AW36" s="8"/>
      <c r="AX36" s="8"/>
      <c r="AY36" s="8"/>
      <c r="AZ36" s="8"/>
      <c r="BA36" s="8"/>
      <c r="BB36" s="8"/>
      <c r="BC36" s="8"/>
      <c r="BD36" s="8"/>
      <c r="BE36" s="8"/>
    </row>
    <row r="37" spans="1:57">
      <c r="A37" s="8" t="s">
        <v>247</v>
      </c>
      <c r="B37" s="8" t="s">
        <v>47</v>
      </c>
      <c r="C37" s="8" t="s">
        <v>731</v>
      </c>
      <c r="D37" s="8" t="s">
        <v>732</v>
      </c>
      <c r="E37" s="8" t="s">
        <v>766</v>
      </c>
      <c r="F37" s="54" t="s">
        <v>788</v>
      </c>
      <c r="G37" s="8" t="s">
        <v>789</v>
      </c>
      <c r="H37" s="8" t="str">
        <f ca="1">IFERROR(__xludf.DUMMYFUNCTION("VLOOKUP(G37, IMPORTRANGE(""https://docs.google.com/spreadsheets/d/14deopnvwcrKtEGCKuYXdUHJbeLDZlkiSSWWT0g7x2pM/edit#gid=999382323"", ""LU List Maths (Filter)!A:B""), 2, FALSE)"),"Properties of a square (related to its angles, sides and diagonals)")</f>
        <v>Properties of a square (related to its angles, sides and diagonals)</v>
      </c>
      <c r="I37" s="10" t="str">
        <f t="shared" si="0"/>
        <v>LU000607.001</v>
      </c>
      <c r="J37" s="10" t="str">
        <f ca="1">IFERROR(__xludf.DUMMYFUNCTION("VLOOKUP(I37, IMPORTRANGE(""https://docs.google.com/spreadsheets/d/1yDAaXNsi4Mr5FtRQL4tbmSdIzhx6_m4wkOD7IG-k_eo/edit#gid=0"", ""Maths!M:N""), 2, FALSE)"),"List the properties of a square ")</f>
        <v xml:space="preserve">List the properties of a square </v>
      </c>
      <c r="K37" s="10" t="str">
        <f t="shared" si="1"/>
        <v>LU000607.002</v>
      </c>
      <c r="L37" s="10" t="str">
        <f ca="1">IFERROR(__xludf.DUMMYFUNCTION("VLOOKUP(K37, IMPORTRANGE(""https://docs.google.com/spreadsheets/d/1yDAaXNsi4Mr5FtRQL4tbmSdIzhx6_m4wkOD7IG-k_eo/edit#gid=0"", ""Maths!M:N""), 2, FALSE)"),"Explain all the properties of a square")</f>
        <v>Explain all the properties of a square</v>
      </c>
      <c r="M37" s="10" t="str">
        <f t="shared" si="2"/>
        <v>LU000607.003</v>
      </c>
      <c r="N37" s="10" t="str">
        <f ca="1">IFERROR(__xludf.DUMMYFUNCTION("VLOOKUP(M37, IMPORTRANGE(""https://docs.google.com/spreadsheets/d/1yDAaXNsi4Mr5FtRQL4tbmSdIzhx6_m4wkOD7IG-k_eo/edit#gid=0"", ""Maths!M:N""), 2, FALSE)"),"Apply the properties of a square to determine unknown angle measures.")</f>
        <v>Apply the properties of a square to determine unknown angle measures.</v>
      </c>
      <c r="O37" s="10" t="str">
        <f t="shared" si="3"/>
        <v>LU000607.004</v>
      </c>
      <c r="P37" s="10" t="str">
        <f ca="1">IFERROR(__xludf.DUMMYFUNCTION("VLOOKUP(O37, IMPORTRANGE(""https://docs.google.com/spreadsheets/d/1yDAaXNsi4Mr5FtRQL4tbmSdIzhx6_m4wkOD7IG-k_eo/edit#gid=0"", ""Maths!M:N""), 2, FALSE)"),"Break down more complex problems involving squares, distinguish between squares and other quadrilaterals based on their properties")</f>
        <v>Break down more complex problems involving squares, distinguish between squares and other quadrilaterals based on their properties</v>
      </c>
      <c r="Q37" s="10" t="str">
        <f t="shared" si="4"/>
        <v>LU000607.005</v>
      </c>
      <c r="R37" s="10" t="str">
        <f ca="1">IFERROR(__xludf.DUMMYFUNCTION("VLOOKUP(Q37, IMPORTRANGE(""https://docs.google.com/spreadsheets/d/1yDAaXNsi4Mr5FtRQL4tbmSdIzhx6_m4wkOD7IG-k_eo/edit#gid=0"", ""Maths!M:N""), 2, FALSE)"),"Assess different methods of solving problems involving squares, evaluate the accuracy of solutions")</f>
        <v>Assess different methods of solving problems involving squares, evaluate the accuracy of solutions</v>
      </c>
      <c r="S37" s="10" t="str">
        <f t="shared" si="5"/>
        <v>LU000607.006</v>
      </c>
      <c r="T37" s="10" t="str">
        <f ca="1">IFERROR(__xludf.DUMMYFUNCTION("VLOOKUP(S37, IMPORTRANGE(""https://docs.google.com/spreadsheets/d/1yDAaXNsi4Mr5FtRQL4tbmSdIzhx6_m4wkOD7IG-k_eo/edit#gid=0"", ""Maths!M:N""), 2, FALSE)"),"Develop new problems or scenarios that involve the properties of squares, create designs or models using squares")</f>
        <v>Develop new problems or scenarios that involve the properties of squares, create designs or models using squares</v>
      </c>
      <c r="U37" s="52">
        <f ca="1">IFERROR(__xludf.DUMMYFUNCTION("ArrayFormula(VLOOKUP(G37, IMPORTRANGE(""https://docs.google.com/spreadsheets/d/1p7R4vtkWt5VOBim4ltsDG9KTzSjrtKXsMtQGXPHyND0/edit#gid=795171502"", ""'Filter 30_05_2024'!A1:M2000""), {2, 3, 4, 5,6,7,8,9,10,11,12,13}, 0))"),5)</f>
        <v>5</v>
      </c>
      <c r="V37" s="52">
        <f ca="1">IFERROR(__xludf.DUMMYFUNCTION("""COMPUTED_VALUE"""),6)</f>
        <v>6</v>
      </c>
      <c r="W37" s="52">
        <f ca="1">IFERROR(__xludf.DUMMYFUNCTION("""COMPUTED_VALUE"""),2)</f>
        <v>2</v>
      </c>
      <c r="X37" s="52">
        <f ca="1">IFERROR(__xludf.DUMMYFUNCTION("""COMPUTED_VALUE"""),13)</f>
        <v>13</v>
      </c>
      <c r="Y37" s="52">
        <f ca="1">IFERROR(__xludf.DUMMYFUNCTION("""COMPUTED_VALUE"""),4)</f>
        <v>4</v>
      </c>
      <c r="Z37" s="53">
        <f ca="1">IFERROR(__xludf.DUMMYFUNCTION("""COMPUTED_VALUE"""),3)</f>
        <v>3</v>
      </c>
      <c r="AA37" s="53">
        <f ca="1">IFERROR(__xludf.DUMMYFUNCTION("""COMPUTED_VALUE"""),1)</f>
        <v>1</v>
      </c>
      <c r="AB37" s="53">
        <f ca="1">IFERROR(__xludf.DUMMYFUNCTION("""COMPUTED_VALUE"""),8)</f>
        <v>8</v>
      </c>
      <c r="AC37" s="53"/>
      <c r="AD37" s="53"/>
      <c r="AE37" s="53"/>
      <c r="AF37" s="53"/>
      <c r="AG37" s="8" t="str">
        <f ca="1">IFERROR(__xludf.DUMMYFUNCTION("ArrayFormula(VLOOKUP(G37, IMPORTRANGE(""https://docs.google.com/spreadsheets/d/1Co934fvtviyaRiMsrIlT05Jaq7iiYq07aLvRr35KA48/edit?gid=173865642#gid=173865642"", ""'G8_Maths_Pri_LU'!G2:V2000""), {3, 4, 5, 6, 7, 8, 9, 10, 11, 12, 13, 14, 15, 16}, 0))"),"LU000610")</f>
        <v>LU000610</v>
      </c>
      <c r="AH37" s="8" t="str">
        <f ca="1">IFERROR(__xludf.DUMMYFUNCTION("""COMPUTED_VALUE"""),"Properties of a rectangle (related to its sides, angles and diagonals)")</f>
        <v>Properties of a rectangle (related to its sides, angles and diagonals)</v>
      </c>
      <c r="AI37" s="8" t="str">
        <f ca="1">IFERROR(__xludf.DUMMYFUNCTION("""COMPUTED_VALUE"""),"LU000598")</f>
        <v>LU000598</v>
      </c>
      <c r="AJ37" s="8" t="str">
        <f ca="1">IFERROR(__xludf.DUMMYFUNCTION("""COMPUTED_VALUE"""),"Definition of square")</f>
        <v>Definition of square</v>
      </c>
      <c r="AK37" s="8"/>
      <c r="AL37" s="8"/>
      <c r="AM37" s="8"/>
      <c r="AN37" s="8"/>
      <c r="AO37" s="8"/>
      <c r="AP37" s="8"/>
      <c r="AQ37" s="8"/>
      <c r="AR37" s="8"/>
      <c r="AS37" s="8"/>
      <c r="AT37" s="8"/>
      <c r="AU37" s="8"/>
      <c r="AV37" s="8"/>
      <c r="AW37" s="8"/>
      <c r="AX37" s="8"/>
      <c r="AY37" s="8"/>
      <c r="AZ37" s="8"/>
      <c r="BA37" s="8"/>
      <c r="BB37" s="8"/>
      <c r="BC37" s="8"/>
      <c r="BD37" s="8"/>
      <c r="BE37" s="8"/>
    </row>
    <row r="38" spans="1:57">
      <c r="A38" s="8" t="s">
        <v>247</v>
      </c>
      <c r="B38" s="8" t="s">
        <v>47</v>
      </c>
      <c r="C38" s="8" t="s">
        <v>731</v>
      </c>
      <c r="D38" s="8" t="s">
        <v>732</v>
      </c>
      <c r="E38" s="8" t="s">
        <v>385</v>
      </c>
      <c r="F38" s="54" t="s">
        <v>790</v>
      </c>
      <c r="G38" s="8" t="s">
        <v>791</v>
      </c>
      <c r="H38" s="8" t="str">
        <f ca="1">IFERROR(__xludf.DUMMYFUNCTION("VLOOKUP(G38, IMPORTRANGE(""https://docs.google.com/spreadsheets/d/14deopnvwcrKtEGCKuYXdUHJbeLDZlkiSSWWT0g7x2pM/edit#gid=999382323"", ""LU List Maths (Filter)!A:B""), 2, FALSE)"),"Definition of circle graph/pie chart")</f>
        <v>Definition of circle graph/pie chart</v>
      </c>
      <c r="I38" s="10" t="str">
        <f t="shared" si="0"/>
        <v>LU000622.001</v>
      </c>
      <c r="J38" s="10" t="str">
        <f ca="1">IFERROR(__xludf.DUMMYFUNCTION("VLOOKUP(I38, IMPORTRANGE(""https://docs.google.com/spreadsheets/d/1yDAaXNsi4Mr5FtRQL4tbmSdIzhx6_m4wkOD7IG-k_eo/edit#gid=0"", ""Maths!M:N""), 2, FALSE)"),"State the basic components of a pie chart")</f>
        <v>State the basic components of a pie chart</v>
      </c>
      <c r="K38" s="10" t="str">
        <f t="shared" si="1"/>
        <v>LU000622.002</v>
      </c>
      <c r="L38" s="10" t="str">
        <f ca="1">IFERROR(__xludf.DUMMYFUNCTION("VLOOKUP(K38, IMPORTRANGE(""https://docs.google.com/spreadsheets/d/1yDAaXNsi4Mr5FtRQL4tbmSdIzhx6_m4wkOD7IG-k_eo/edit#gid=0"", ""Maths!M:N""), 2, FALSE)"),"Describe how to read and interpret a pie chart, including understanding the significance of larger and smaller sectors.")</f>
        <v>Describe how to read and interpret a pie chart, including understanding the significance of larger and smaller sectors.</v>
      </c>
      <c r="M38" s="10" t="str">
        <f t="shared" si="2"/>
        <v>LU000622.003</v>
      </c>
      <c r="N38" s="10" t="str">
        <f ca="1">IFERROR(__xludf.DUMMYFUNCTION("VLOOKUP(M38, IMPORTRANGE(""https://docs.google.com/spreadsheets/d/1yDAaXNsi4Mr5FtRQL4tbmSdIzhx6_m4wkOD7IG-k_eo/edit#gid=0"", ""Maths!M:N""), 2, FALSE)"),"Use pie chart interpretation to make simple comparisons between two or more categories to understand their relative importance.")</f>
        <v>Use pie chart interpretation to make simple comparisons between two or more categories to understand their relative importance.</v>
      </c>
      <c r="O38" s="10" t="str">
        <f t="shared" si="3"/>
        <v>LU000622.004</v>
      </c>
      <c r="P38" s="10" t="str">
        <f ca="1">IFERROR(__xludf.DUMMYFUNCTION("VLOOKUP(O38, IMPORTRANGE(""https://docs.google.com/spreadsheets/d/1yDAaXNsi4Mr5FtRQL4tbmSdIzhx6_m4wkOD7IG-k_eo/edit#gid=0"", ""Maths!M:N""), 2, FALSE)"),"Analyze a pie chart to identify trends or patterns among data categories, including any notable outliers or dominant categories.")</f>
        <v>Analyze a pie chart to identify trends or patterns among data categories, including any notable outliers or dominant categories.</v>
      </c>
      <c r="Q38" s="10" t="str">
        <f t="shared" si="4"/>
        <v>LU000622.005</v>
      </c>
      <c r="R38" s="10" t="str">
        <f ca="1">IFERROR(__xludf.DUMMYFUNCTION("VLOOKUP(Q38, IMPORTRANGE(""https://docs.google.com/spreadsheets/d/1yDAaXNsi4Mr5FtRQL4tbmSdIzhx6_m4wkOD7IG-k_eo/edit#gid=0"", ""Maths!M:N""), 2, FALSE)"),"Evaluate the effectiveness of a pie chart in conveying the distribution of data categories, assessing whether it provides a clear and intuitive representation.")</f>
        <v>Evaluate the effectiveness of a pie chart in conveying the distribution of data categories, assessing whether it provides a clear and intuitive representation.</v>
      </c>
      <c r="S38" s="10" t="str">
        <f t="shared" si="5"/>
        <v>LU000622.006</v>
      </c>
      <c r="T38" s="10" t="str">
        <f ca="1">IFERROR(__xludf.DUMMYFUNCTION("VLOOKUP(S38, IMPORTRANGE(""https://docs.google.com/spreadsheets/d/1yDAaXNsi4Mr5FtRQL4tbmSdIzhx6_m4wkOD7IG-k_eo/edit#gid=0"", ""Maths!M:N""), 2, FALSE)"),"Create detailed interpretations of pie charts, explaining the significance of each sector's size and its implications for the data set.")</f>
        <v>Create detailed interpretations of pie charts, explaining the significance of each sector's size and its implications for the data set.</v>
      </c>
      <c r="U38" s="52">
        <f ca="1">IFERROR(__xludf.DUMMYFUNCTION("ArrayFormula(VLOOKUP(G38, IMPORTRANGE(""https://docs.google.com/spreadsheets/d/1p7R4vtkWt5VOBim4ltsDG9KTzSjrtKXsMtQGXPHyND0/edit#gid=795171502"", ""'Filter 30_05_2024'!A1:M2000""), {2, 3, 4, 5,6,7,8,9,10,11,12,13}, 0))"),4)</f>
        <v>4</v>
      </c>
      <c r="V38" s="52">
        <f ca="1">IFERROR(__xludf.DUMMYFUNCTION("""COMPUTED_VALUE"""),6)</f>
        <v>6</v>
      </c>
      <c r="W38" s="52">
        <f ca="1">IFERROR(__xludf.DUMMYFUNCTION("""COMPUTED_VALUE"""),2)</f>
        <v>2</v>
      </c>
      <c r="X38" s="52">
        <f ca="1">IFERROR(__xludf.DUMMYFUNCTION("""COMPUTED_VALUE"""),12)</f>
        <v>12</v>
      </c>
      <c r="Y38" s="52">
        <f ca="1">IFERROR(__xludf.DUMMYFUNCTION("""COMPUTED_VALUE"""),4)</f>
        <v>4</v>
      </c>
      <c r="Z38" s="53">
        <f ca="1">IFERROR(__xludf.DUMMYFUNCTION("""COMPUTED_VALUE"""),3)</f>
        <v>3</v>
      </c>
      <c r="AA38" s="53">
        <f ca="1">IFERROR(__xludf.DUMMYFUNCTION("""COMPUTED_VALUE"""),1)</f>
        <v>1</v>
      </c>
      <c r="AB38" s="53">
        <f ca="1">IFERROR(__xludf.DUMMYFUNCTION("""COMPUTED_VALUE"""),8)</f>
        <v>8</v>
      </c>
      <c r="AC38" s="53"/>
      <c r="AD38" s="53"/>
      <c r="AE38" s="53"/>
      <c r="AF38" s="53"/>
      <c r="AG38" s="8" t="str">
        <f ca="1">IFERROR(__xludf.DUMMYFUNCTION("ArrayFormula(VLOOKUP(G38, IMPORTRANGE(""https://docs.google.com/spreadsheets/d/1Co934fvtviyaRiMsrIlT05Jaq7iiYq07aLvRr35KA48/edit?gid=173865642#gid=173865642"", ""'G8_Maths_Pri_LU'!G2:V2000""), {3, 4, 5, 6, 7, 8, 9, 10, 11, 12, 13, 14, 15, 16}, 0))"),"LU000308")</f>
        <v>LU000308</v>
      </c>
      <c r="AH38" s="8" t="str">
        <f ca="1">IFERROR(__xludf.DUMMYFUNCTION("""COMPUTED_VALUE"""),"Definition of data and information")</f>
        <v>Definition of data and information</v>
      </c>
      <c r="AI38" s="8" t="str">
        <f ca="1">IFERROR(__xludf.DUMMYFUNCTION("""COMPUTED_VALUE"""),"LU000400")</f>
        <v>LU000400</v>
      </c>
      <c r="AJ38" s="8" t="str">
        <f ca="1">IFERROR(__xludf.DUMMYFUNCTION("""COMPUTED_VALUE"""),"Definition of frequency in data")</f>
        <v>Definition of frequency in data</v>
      </c>
      <c r="AK38" s="8" t="str">
        <f ca="1">IFERROR(__xludf.DUMMYFUNCTION("""COMPUTED_VALUE"""),"LU000231")</f>
        <v>LU000231</v>
      </c>
      <c r="AL38" s="8" t="str">
        <f ca="1">IFERROR(__xludf.DUMMYFUNCTION("""COMPUTED_VALUE"""),"Definition of circle")</f>
        <v>Definition of circle</v>
      </c>
      <c r="AM38" s="8"/>
      <c r="AN38" s="8"/>
      <c r="AO38" s="8"/>
      <c r="AP38" s="8"/>
      <c r="AQ38" s="8"/>
      <c r="AR38" s="8"/>
      <c r="AS38" s="8"/>
      <c r="AT38" s="8"/>
      <c r="AU38" s="8"/>
      <c r="AV38" s="8"/>
      <c r="AW38" s="8"/>
      <c r="AX38" s="8"/>
      <c r="AY38" s="8"/>
      <c r="AZ38" s="8"/>
      <c r="BA38" s="8"/>
      <c r="BB38" s="8"/>
      <c r="BC38" s="8"/>
      <c r="BD38" s="8"/>
      <c r="BE38" s="8"/>
    </row>
    <row r="39" spans="1:57">
      <c r="A39" s="8" t="s">
        <v>247</v>
      </c>
      <c r="B39" s="8" t="s">
        <v>47</v>
      </c>
      <c r="C39" s="8" t="s">
        <v>731</v>
      </c>
      <c r="D39" s="8" t="s">
        <v>732</v>
      </c>
      <c r="E39" s="8" t="s">
        <v>385</v>
      </c>
      <c r="F39" s="54" t="s">
        <v>790</v>
      </c>
      <c r="G39" s="8" t="s">
        <v>792</v>
      </c>
      <c r="H39" s="8" t="str">
        <f ca="1">IFERROR(__xludf.DUMMYFUNCTION("VLOOKUP(G39, IMPORTRANGE(""https://docs.google.com/spreadsheets/d/14deopnvwcrKtEGCKuYXdUHJbeLDZlkiSSWWT0g7x2pM/edit#gid=999382323"", ""LU List Maths (Filter)!A:B""), 2, FALSE)"),"Interpretation of circle graph/pie chart")</f>
        <v>Interpretation of circle graph/pie chart</v>
      </c>
      <c r="I39" s="10" t="str">
        <f t="shared" si="0"/>
        <v>LU000909.001</v>
      </c>
      <c r="J39" s="10" t="str">
        <f ca="1">IFERROR(__xludf.DUMMYFUNCTION("VLOOKUP(I39, IMPORTRANGE(""https://docs.google.com/spreadsheets/d/1yDAaXNsi4Mr5FtRQL4tbmSdIzhx6_m4wkOD7IG-k_eo/edit#gid=0"", ""Maths!M:N""), 2, FALSE)"),"State the basic facts about circle graphs/pie charts, like their purpose and common terms.")</f>
        <v>State the basic facts about circle graphs/pie charts, like their purpose and common terms.</v>
      </c>
      <c r="K39" s="10" t="str">
        <f t="shared" si="1"/>
        <v>LU000909.002</v>
      </c>
      <c r="L39" s="10" t="str">
        <f ca="1">IFERROR(__xludf.DUMMYFUNCTION("VLOOKUP(K39, IMPORTRANGE(""https://docs.google.com/spreadsheets/d/1yDAaXNsi4Mr5FtRQL4tbmSdIzhx6_m4wkOD7IG-k_eo/edit#gid=0"", ""Maths!M:N""), 2, FALSE)"),"Explain what each segment of a circle graph represents in terms of data.")</f>
        <v>Explain what each segment of a circle graph represents in terms of data.</v>
      </c>
      <c r="M39" s="10" t="str">
        <f t="shared" si="2"/>
        <v>LU000909.003</v>
      </c>
      <c r="N39" s="10" t="str">
        <f ca="1">IFERROR(__xludf.DUMMYFUNCTION("VLOOKUP(M39, IMPORTRANGE(""https://docs.google.com/spreadsheets/d/1yDAaXNsi4Mr5FtRQL4tbmSdIzhx6_m4wkOD7IG-k_eo/edit#gid=0"", ""Maths!M:N""), 2, FALSE)"),"Interpret data from a given circle graph to answer specific questions.")</f>
        <v>Interpret data from a given circle graph to answer specific questions.</v>
      </c>
      <c r="O39" s="10" t="str">
        <f t="shared" si="3"/>
        <v>LU000909.004</v>
      </c>
      <c r="P39" s="10" t="str">
        <f ca="1">IFERROR(__xludf.DUMMYFUNCTION("VLOOKUP(O39, IMPORTRANGE(""https://docs.google.com/spreadsheets/d/1yDAaXNsi4Mr5FtRQL4tbmSdIzhx6_m4wkOD7IG-k_eo/edit#gid=0"", ""Maths!M:N""), 2, FALSE)"),"Compare and contrast data shown in different circle graphs.")</f>
        <v>Compare and contrast data shown in different circle graphs.</v>
      </c>
      <c r="Q39" s="10" t="str">
        <f t="shared" si="4"/>
        <v>LU000909.005</v>
      </c>
      <c r="R39" s="10" t="str">
        <f ca="1">IFERROR(__xludf.DUMMYFUNCTION("VLOOKUP(Q39, IMPORTRANGE(""https://docs.google.com/spreadsheets/d/1yDAaXNsi4Mr5FtRQL4tbmSdIzhx6_m4wkOD7IG-k_eo/edit#gid=0"", ""Maths!M:N""), 2, FALSE)"),"Critically assess the effectiveness of a circle graph in accurately representing data.")</f>
        <v>Critically assess the effectiveness of a circle graph in accurately representing data.</v>
      </c>
      <c r="S39" s="10" t="str">
        <f t="shared" si="5"/>
        <v>LU000909.006</v>
      </c>
      <c r="T39" s="10" t="str">
        <f ca="1">IFERROR(__xludf.DUMMYFUNCTION("VLOOKUP(S39, IMPORTRANGE(""https://docs.google.com/spreadsheets/d/1yDAaXNsi4Mr5FtRQL4tbmSdIzhx6_m4wkOD7IG-k_eo/edit#gid=0"", ""Maths!M:N""), 2, FALSE)"),"Propose improvements or alternative methods for displaying the same data more effectively.")</f>
        <v>Propose improvements or alternative methods for displaying the same data more effectively.</v>
      </c>
      <c r="U39" s="52">
        <f ca="1">IFERROR(__xludf.DUMMYFUNCTION("ArrayFormula(VLOOKUP(G39, IMPORTRANGE(""https://docs.google.com/spreadsheets/d/1p7R4vtkWt5VOBim4ltsDG9KTzSjrtKXsMtQGXPHyND0/edit#gid=795171502"", ""'Filter 30_05_2024'!A1:M2000""), {2, 3, 4, 5,6,7,8,9,10,11,12,13}, 0))"),4)</f>
        <v>4</v>
      </c>
      <c r="V39" s="52">
        <f ca="1">IFERROR(__xludf.DUMMYFUNCTION("""COMPUTED_VALUE"""),6)</f>
        <v>6</v>
      </c>
      <c r="W39" s="52">
        <f ca="1">IFERROR(__xludf.DUMMYFUNCTION("""COMPUTED_VALUE"""),2)</f>
        <v>2</v>
      </c>
      <c r="X39" s="52">
        <f ca="1">IFERROR(__xludf.DUMMYFUNCTION("""COMPUTED_VALUE"""),12)</f>
        <v>12</v>
      </c>
      <c r="Y39" s="52">
        <f ca="1">IFERROR(__xludf.DUMMYFUNCTION("""COMPUTED_VALUE"""),4)</f>
        <v>4</v>
      </c>
      <c r="Z39" s="53">
        <f ca="1">IFERROR(__xludf.DUMMYFUNCTION("""COMPUTED_VALUE"""),3)</f>
        <v>3</v>
      </c>
      <c r="AA39" s="53">
        <f ca="1">IFERROR(__xludf.DUMMYFUNCTION("""COMPUTED_VALUE"""),1)</f>
        <v>1</v>
      </c>
      <c r="AB39" s="53">
        <f ca="1">IFERROR(__xludf.DUMMYFUNCTION("""COMPUTED_VALUE"""),8)</f>
        <v>8</v>
      </c>
      <c r="AC39" s="53"/>
      <c r="AD39" s="53"/>
      <c r="AE39" s="53"/>
      <c r="AF39" s="53"/>
      <c r="AG39" s="8" t="str">
        <f ca="1">IFERROR(__xludf.DUMMYFUNCTION("ArrayFormula(VLOOKUP(G39, IMPORTRANGE(""https://docs.google.com/spreadsheets/d/1Co934fvtviyaRiMsrIlT05Jaq7iiYq07aLvRr35KA48/edit?gid=173865642#gid=173865642"", ""'G8_Maths_Pri_LU'!G2:V2000""), {3, 4, 5, 6, 7, 8, 9, 10, 11, 12, 13, 14, 15, 16}, 0))"),"LU000622")</f>
        <v>LU000622</v>
      </c>
      <c r="AH39" s="8" t="str">
        <f ca="1">IFERROR(__xludf.DUMMYFUNCTION("""COMPUTED_VALUE"""),"Definition of circle graph/pie chart")</f>
        <v>Definition of circle graph/pie chart</v>
      </c>
      <c r="AI39" s="8" t="str">
        <f ca="1">IFERROR(__xludf.DUMMYFUNCTION("""COMPUTED_VALUE"""),"LU001005")</f>
        <v>LU001005</v>
      </c>
      <c r="AJ39" s="8" t="str">
        <f ca="1">IFERROR(__xludf.DUMMYFUNCTION("""COMPUTED_VALUE"""),"Multiplication of a proper fraction by a whole number")</f>
        <v>Multiplication of a proper fraction by a whole number</v>
      </c>
      <c r="AK39" s="8"/>
      <c r="AL39" s="8"/>
      <c r="AM39" s="8"/>
      <c r="AN39" s="8"/>
      <c r="AO39" s="8"/>
      <c r="AP39" s="8"/>
      <c r="AQ39" s="8"/>
      <c r="AR39" s="8"/>
      <c r="AS39" s="8"/>
      <c r="AT39" s="8"/>
      <c r="AU39" s="8"/>
      <c r="AV39" s="8"/>
      <c r="AW39" s="8"/>
      <c r="AX39" s="8"/>
      <c r="AY39" s="8"/>
      <c r="AZ39" s="8"/>
      <c r="BA39" s="8"/>
      <c r="BB39" s="8"/>
      <c r="BC39" s="8"/>
      <c r="BD39" s="8"/>
      <c r="BE39" s="8"/>
    </row>
    <row r="40" spans="1:57">
      <c r="A40" s="8" t="s">
        <v>247</v>
      </c>
      <c r="B40" s="8" t="s">
        <v>47</v>
      </c>
      <c r="C40" s="8" t="s">
        <v>731</v>
      </c>
      <c r="D40" s="8" t="s">
        <v>732</v>
      </c>
      <c r="E40" s="8" t="s">
        <v>385</v>
      </c>
      <c r="F40" s="54" t="s">
        <v>790</v>
      </c>
      <c r="G40" s="8" t="s">
        <v>793</v>
      </c>
      <c r="H40" s="8" t="str">
        <f ca="1">IFERROR(__xludf.DUMMYFUNCTION("VLOOKUP(G40, IMPORTRANGE(""https://docs.google.com/spreadsheets/d/14deopnvwcrKtEGCKuYXdUHJbeLDZlkiSSWWT0g7x2pM/edit#gid=999382323"", ""LU List Maths (Filter)!A:B""), 2, FALSE)"),"Construction of circle graph/pie chart")</f>
        <v>Construction of circle graph/pie chart</v>
      </c>
      <c r="I40" s="10" t="str">
        <f t="shared" si="0"/>
        <v>LU000633.001</v>
      </c>
      <c r="J40" s="10" t="str">
        <f ca="1">IFERROR(__xludf.DUMMYFUNCTION("VLOOKUP(I40, IMPORTRANGE(""https://docs.google.com/spreadsheets/d/1yDAaXNsi4Mr5FtRQL4tbmSdIzhx6_m4wkOD7IG-k_eo/edit#gid=0"", ""Maths!M:N""), 2, FALSE)"),"Recognize the essential components required for constructing a pie chart")</f>
        <v>Recognize the essential components required for constructing a pie chart</v>
      </c>
      <c r="K40" s="10" t="str">
        <f t="shared" si="1"/>
        <v>LU000633.002</v>
      </c>
      <c r="L40" s="10" t="str">
        <f ca="1">IFERROR(__xludf.DUMMYFUNCTION("VLOOKUP(K40, IMPORTRANGE(""https://docs.google.com/spreadsheets/d/1yDAaXNsi4Mr5FtRQL4tbmSdIzhx6_m4wkOD7IG-k_eo/edit#gid=0"", ""Maths!M:N""), 2, FALSE)"),"Explain the purpose of constructing a pie chart as a visual representation for displaying the distribution of data")</f>
        <v>Explain the purpose of constructing a pie chart as a visual representation for displaying the distribution of data</v>
      </c>
      <c r="M40" s="10" t="str">
        <f t="shared" si="2"/>
        <v>LU000633.003</v>
      </c>
      <c r="N40" s="10" t="str">
        <f ca="1">IFERROR(__xludf.DUMMYFUNCTION("VLOOKUP(M40, IMPORTRANGE(""https://docs.google.com/spreadsheets/d/1yDAaXNsi4Mr5FtRQL4tbmSdIzhx6_m4wkOD7IG-k_eo/edit#gid=0"", ""Maths!M:N""), 2, FALSE)"),"Apply knowledge of pie chart construction to accurately create a pie chart from a given dataset")</f>
        <v>Apply knowledge of pie chart construction to accurately create a pie chart from a given dataset</v>
      </c>
      <c r="O40" s="10" t="str">
        <f t="shared" si="3"/>
        <v>LU000633.004</v>
      </c>
      <c r="P40" s="10" t="str">
        <f ca="1">IFERROR(__xludf.DUMMYFUNCTION("VLOOKUP(O40, IMPORTRANGE(""https://docs.google.com/spreadsheets/d/1yDAaXNsi4Mr5FtRQL4tbmSdIzhx6_m4wkOD7IG-k_eo/edit#gid=0"", ""Maths!M:N""), 2, FALSE)"),"Analyze the dataset to determine the appropriate sizes of sectors in the pie chart,")</f>
        <v>Analyze the dataset to determine the appropriate sizes of sectors in the pie chart,</v>
      </c>
      <c r="Q40" s="10" t="str">
        <f t="shared" si="4"/>
        <v>LU000633.005</v>
      </c>
      <c r="R40" s="10" t="str">
        <f ca="1">IFERROR(__xludf.DUMMYFUNCTION("VLOOKUP(Q40, IMPORTRANGE(""https://docs.google.com/spreadsheets/d/1yDAaXNsi4Mr5FtRQL4tbmSdIzhx6_m4wkOD7IG-k_eo/edit#gid=0"", ""Maths!M:N""), 2, FALSE)"),"Evaluate the effectiveness of the constructed pie chart in accurately conveying the data distribution")</f>
        <v>Evaluate the effectiveness of the constructed pie chart in accurately conveying the data distribution</v>
      </c>
      <c r="S40" s="10" t="str">
        <f t="shared" si="5"/>
        <v>LU000633.006</v>
      </c>
      <c r="T40" s="10" t="str">
        <f ca="1">IFERROR(__xludf.DUMMYFUNCTION("VLOOKUP(S40, IMPORTRANGE(""https://docs.google.com/spreadsheets/d/1yDAaXNsi4Mr5FtRQL4tbmSdIzhx6_m4wkOD7IG-k_eo/edit#gid=0"", ""Maths!M:N""), 2, FALSE)"),"#N/A")</f>
        <v>#N/A</v>
      </c>
      <c r="U40" s="52">
        <f ca="1">IFERROR(__xludf.DUMMYFUNCTION("ArrayFormula(VLOOKUP(G40, IMPORTRANGE(""https://docs.google.com/spreadsheets/d/1p7R4vtkWt5VOBim4ltsDG9KTzSjrtKXsMtQGXPHyND0/edit#gid=795171502"", ""'Filter 30_05_2024'!A1:M2000""), {2, 3, 4, 5,6,7,8,9,10,11,12,13}, 0))"),4)</f>
        <v>4</v>
      </c>
      <c r="V40" s="52">
        <f ca="1">IFERROR(__xludf.DUMMYFUNCTION("""COMPUTED_VALUE"""),7)</f>
        <v>7</v>
      </c>
      <c r="W40" s="52">
        <f ca="1">IFERROR(__xludf.DUMMYFUNCTION("""COMPUTED_VALUE"""),1)</f>
        <v>1</v>
      </c>
      <c r="X40" s="52">
        <f ca="1">IFERROR(__xludf.DUMMYFUNCTION("""COMPUTED_VALUE"""),12)</f>
        <v>12</v>
      </c>
      <c r="Y40" s="52">
        <f ca="1">IFERROR(__xludf.DUMMYFUNCTION("""COMPUTED_VALUE"""),4)</f>
        <v>4</v>
      </c>
      <c r="Z40" s="53">
        <f ca="1">IFERROR(__xludf.DUMMYFUNCTION("""COMPUTED_VALUE"""),3)</f>
        <v>3</v>
      </c>
      <c r="AA40" s="53">
        <f ca="1">IFERROR(__xludf.DUMMYFUNCTION("""COMPUTED_VALUE"""),1)</f>
        <v>1</v>
      </c>
      <c r="AB40" s="53">
        <f ca="1">IFERROR(__xludf.DUMMYFUNCTION("""COMPUTED_VALUE"""),8)</f>
        <v>8</v>
      </c>
      <c r="AC40" s="53"/>
      <c r="AD40" s="53"/>
      <c r="AE40" s="53"/>
      <c r="AF40" s="53"/>
      <c r="AG40" s="8" t="str">
        <f ca="1">IFERROR(__xludf.DUMMYFUNCTION("ArrayFormula(VLOOKUP(G40, IMPORTRANGE(""https://docs.google.com/spreadsheets/d/1Co934fvtviyaRiMsrIlT05Jaq7iiYq07aLvRr35KA48/edit?gid=173865642#gid=173865642"", ""'G8_Maths_Pri_LU'!G2:V2000""), {3, 4, 5, 6, 7, 8, 9, 10, 11, 12, 13, 14, 15, 16}, 0))"),"LU000445")</f>
        <v>LU000445</v>
      </c>
      <c r="AH40" s="8" t="str">
        <f ca="1">IFERROR(__xludf.DUMMYFUNCTION("""COMPUTED_VALUE"""),"Conversion of fractional numbers to percentage")</f>
        <v>Conversion of fractional numbers to percentage</v>
      </c>
      <c r="AI40" s="8" t="str">
        <f ca="1">IFERROR(__xludf.DUMMYFUNCTION("""COMPUTED_VALUE"""),"LU000909")</f>
        <v>LU000909</v>
      </c>
      <c r="AJ40" s="8" t="str">
        <f ca="1">IFERROR(__xludf.DUMMYFUNCTION("""COMPUTED_VALUE"""),"Interpretation of circle graph/pie chart")</f>
        <v>Interpretation of circle graph/pie chart</v>
      </c>
      <c r="AK40" s="8" t="str">
        <f ca="1">IFERROR(__xludf.DUMMYFUNCTION("""COMPUTED_VALUE"""),"LU000818")</f>
        <v>LU000818</v>
      </c>
      <c r="AL40" s="8" t="str">
        <f ca="1">IFERROR(__xludf.DUMMYFUNCTION("""COMPUTED_VALUE"""),"Construction of an angle of a given measure using a protractor")</f>
        <v>Construction of an angle of a given measure using a protractor</v>
      </c>
      <c r="AM40" s="8"/>
      <c r="AN40" s="8"/>
      <c r="AO40" s="8"/>
      <c r="AP40" s="8"/>
      <c r="AQ40" s="8"/>
      <c r="AR40" s="8"/>
      <c r="AS40" s="8"/>
      <c r="AT40" s="8"/>
      <c r="AU40" s="8"/>
      <c r="AV40" s="8"/>
      <c r="AW40" s="8"/>
      <c r="AX40" s="8"/>
      <c r="AY40" s="8"/>
      <c r="AZ40" s="8"/>
      <c r="BA40" s="8"/>
      <c r="BB40" s="8"/>
      <c r="BC40" s="8"/>
      <c r="BD40" s="8"/>
      <c r="BE40" s="8"/>
    </row>
    <row r="41" spans="1:57">
      <c r="A41" s="8" t="s">
        <v>247</v>
      </c>
      <c r="B41" s="8" t="s">
        <v>47</v>
      </c>
      <c r="C41" s="8" t="s">
        <v>731</v>
      </c>
      <c r="D41" s="8" t="s">
        <v>732</v>
      </c>
      <c r="E41" s="8" t="s">
        <v>385</v>
      </c>
      <c r="F41" s="54" t="s">
        <v>794</v>
      </c>
      <c r="G41" s="8" t="s">
        <v>795</v>
      </c>
      <c r="H41" s="8" t="str">
        <f ca="1">IFERROR(__xludf.DUMMYFUNCTION("VLOOKUP(G41, IMPORTRANGE(""https://docs.google.com/spreadsheets/d/14deopnvwcrKtEGCKuYXdUHJbeLDZlkiSSWWT0g7x2pM/edit#gid=999382323"", ""LU List Maths (Filter)!A:B""), 2, FALSE)"),"Definition of random experiment")</f>
        <v>Definition of random experiment</v>
      </c>
      <c r="I41" s="10" t="str">
        <f t="shared" si="0"/>
        <v>LU000624.001</v>
      </c>
      <c r="J41" s="10" t="str">
        <f ca="1">IFERROR(__xludf.DUMMYFUNCTION("VLOOKUP(I41, IMPORTRANGE(""https://docs.google.com/spreadsheets/d/1yDAaXNsi4Mr5FtRQL4tbmSdIzhx6_m4wkOD7IG-k_eo/edit#gid=0"", ""Maths!M:N""), 2, FALSE)"),"Define a random experiment.")</f>
        <v>Define a random experiment.</v>
      </c>
      <c r="K41" s="10" t="str">
        <f t="shared" si="1"/>
        <v>LU000624.002</v>
      </c>
      <c r="L41" s="10" t="str">
        <f ca="1">IFERROR(__xludf.DUMMYFUNCTION("VLOOKUP(K41, IMPORTRANGE(""https://docs.google.com/spreadsheets/d/1yDAaXNsi4Mr5FtRQL4tbmSdIzhx6_m4wkOD7IG-k_eo/edit#gid=0"", ""Maths!M:N""), 2, FALSE)"),"Explain the concept of a random experiment and how it relates to situations where outcomes are uncertain.")</f>
        <v>Explain the concept of a random experiment and how it relates to situations where outcomes are uncertain.</v>
      </c>
      <c r="M41" s="10" t="str">
        <f t="shared" si="2"/>
        <v>LU000624.003</v>
      </c>
      <c r="N41" s="10" t="str">
        <f ca="1">IFERROR(__xludf.DUMMYFUNCTION("VLOOKUP(M41, IMPORTRANGE(""https://docs.google.com/spreadsheets/d/1yDAaXNsi4Mr5FtRQL4tbmSdIzhx6_m4wkOD7IG-k_eo/edit#gid=0"", ""Maths!M:N""), 2, FALSE)"),"Apply knowledge of random experiments to identify real-world situations or examples that fit the definition of a random experiment.")</f>
        <v>Apply knowledge of random experiments to identify real-world situations or examples that fit the definition of a random experiment.</v>
      </c>
      <c r="O41" s="10" t="str">
        <f t="shared" si="3"/>
        <v>LU000624.004</v>
      </c>
      <c r="P41" s="10" t="str">
        <f ca="1">IFERROR(__xludf.DUMMYFUNCTION("VLOOKUP(O41, IMPORTRANGE(""https://docs.google.com/spreadsheets/d/1yDAaXNsi4Mr5FtRQL4tbmSdIzhx6_m4wkOD7IG-k_eo/edit#gid=0"", ""Maths!M:N""), 2, FALSE)"),"Analyze different scenarios to determine whether they qualify as random experiments.")</f>
        <v>Analyze different scenarios to determine whether they qualify as random experiments.</v>
      </c>
      <c r="Q41" s="10" t="str">
        <f t="shared" si="4"/>
        <v>LU000624.005</v>
      </c>
      <c r="R41" s="10" t="str">
        <f ca="1">IFERROR(__xludf.DUMMYFUNCTION("VLOOKUP(Q41, IMPORTRANGE(""https://docs.google.com/spreadsheets/d/1yDAaXNsi4Mr5FtRQL4tbmSdIzhx6_m4wkOD7IG-k_eo/edit#gid=0"", ""Maths!M:N""), 2, FALSE)"),"Evaluate the significance of understanding and recognizing random experiments in various fields.")</f>
        <v>Evaluate the significance of understanding and recognizing random experiments in various fields.</v>
      </c>
      <c r="S41" s="10" t="str">
        <f t="shared" si="5"/>
        <v>LU000624.006</v>
      </c>
      <c r="T41" s="10" t="str">
        <f ca="1">IFERROR(__xludf.DUMMYFUNCTION("VLOOKUP(S41, IMPORTRANGE(""https://docs.google.com/spreadsheets/d/1yDAaXNsi4Mr5FtRQL4tbmSdIzhx6_m4wkOD7IG-k_eo/edit#gid=0"", ""Maths!M:N""), 2, FALSE)"),"Create examples of random experiments to illustrate the concept.")</f>
        <v>Create examples of random experiments to illustrate the concept.</v>
      </c>
      <c r="U41" s="52">
        <f ca="1">IFERROR(__xludf.DUMMYFUNCTION("ArrayFormula(VLOOKUP(G41, IMPORTRANGE(""https://docs.google.com/spreadsheets/d/1p7R4vtkWt5VOBim4ltsDG9KTzSjrtKXsMtQGXPHyND0/edit#gid=795171502"", ""'Filter 30_05_2024'!A1:M2000""), {2, 3, 4, 5,6,7,8,9,10,11,12,13}, 0))"),4)</f>
        <v>4</v>
      </c>
      <c r="V41" s="52">
        <f ca="1">IFERROR(__xludf.DUMMYFUNCTION("""COMPUTED_VALUE"""),6)</f>
        <v>6</v>
      </c>
      <c r="W41" s="52">
        <f ca="1">IFERROR(__xludf.DUMMYFUNCTION("""COMPUTED_VALUE"""),2)</f>
        <v>2</v>
      </c>
      <c r="X41" s="52">
        <f ca="1">IFERROR(__xludf.DUMMYFUNCTION("""COMPUTED_VALUE"""),12)</f>
        <v>12</v>
      </c>
      <c r="Y41" s="52">
        <f ca="1">IFERROR(__xludf.DUMMYFUNCTION("""COMPUTED_VALUE"""),4)</f>
        <v>4</v>
      </c>
      <c r="Z41" s="53">
        <f ca="1">IFERROR(__xludf.DUMMYFUNCTION("""COMPUTED_VALUE"""),3)</f>
        <v>3</v>
      </c>
      <c r="AA41" s="53">
        <f ca="1">IFERROR(__xludf.DUMMYFUNCTION("""COMPUTED_VALUE"""),1)</f>
        <v>1</v>
      </c>
      <c r="AB41" s="53">
        <f ca="1">IFERROR(__xludf.DUMMYFUNCTION("""COMPUTED_VALUE"""),8)</f>
        <v>8</v>
      </c>
      <c r="AC41" s="53"/>
      <c r="AD41" s="53"/>
      <c r="AE41" s="53"/>
      <c r="AF41" s="53"/>
      <c r="AG41" s="8" t="str">
        <f ca="1">IFERROR(__xludf.DUMMYFUNCTION("ArrayFormula(VLOOKUP(G41, IMPORTRANGE(""https://docs.google.com/spreadsheets/d/1Co934fvtviyaRiMsrIlT05Jaq7iiYq07aLvRr35KA48/edit?gid=173865642#gid=173865642"", ""'G8_Maths_Pri_LU'!G2:V2000""), {3, 4, 5, 6, 7, 8, 9, 10, 11, 12, 13, 14, 15, 16}, 0))"),"")</f>
        <v/>
      </c>
      <c r="AH41" s="8"/>
      <c r="AI41" s="8"/>
      <c r="AJ41" s="8"/>
      <c r="AK41" s="8"/>
      <c r="AL41" s="8"/>
      <c r="AM41" s="8"/>
      <c r="AN41" s="8"/>
      <c r="AO41" s="8"/>
      <c r="AP41" s="8"/>
      <c r="AQ41" s="8"/>
      <c r="AR41" s="8"/>
      <c r="AS41" s="8"/>
      <c r="AT41" s="8"/>
      <c r="AU41" s="8"/>
      <c r="AV41" s="8"/>
      <c r="AW41" s="8"/>
      <c r="AX41" s="8"/>
      <c r="AY41" s="8"/>
      <c r="AZ41" s="8"/>
      <c r="BA41" s="8"/>
      <c r="BB41" s="8"/>
      <c r="BC41" s="8"/>
      <c r="BD41" s="8"/>
      <c r="BE41" s="8"/>
    </row>
    <row r="42" spans="1:57">
      <c r="A42" s="8" t="s">
        <v>247</v>
      </c>
      <c r="B42" s="8" t="s">
        <v>47</v>
      </c>
      <c r="C42" s="8" t="s">
        <v>731</v>
      </c>
      <c r="D42" s="8" t="s">
        <v>732</v>
      </c>
      <c r="E42" s="8" t="s">
        <v>385</v>
      </c>
      <c r="F42" s="54" t="s">
        <v>794</v>
      </c>
      <c r="G42" s="8" t="s">
        <v>796</v>
      </c>
      <c r="H42" s="8" t="str">
        <f ca="1">IFERROR(__xludf.DUMMYFUNCTION("VLOOKUP(G42, IMPORTRANGE(""https://docs.google.com/spreadsheets/d/14deopnvwcrKtEGCKuYXdUHJbeLDZlkiSSWWT0g7x2pM/edit#gid=999382323"", ""LU List Maths (Filter)!A:B""), 2, FALSE)"),"List of possible outcomes of an event")</f>
        <v>List of possible outcomes of an event</v>
      </c>
      <c r="I42" s="10" t="str">
        <f t="shared" si="0"/>
        <v>LU000394.001</v>
      </c>
      <c r="J42" s="10" t="str">
        <f ca="1">IFERROR(__xludf.DUMMYFUNCTION("VLOOKUP(I42, IMPORTRANGE(""https://docs.google.com/spreadsheets/d/1yDAaXNsi4Mr5FtRQL4tbmSdIzhx6_m4wkOD7IG-k_eo/edit#gid=0"", ""Maths!M:N""), 2, FALSE)"),"State the definition of possible outcomes and explain how it helps in visualising the different results of an event.")</f>
        <v>State the definition of possible outcomes and explain how it helps in visualising the different results of an event.</v>
      </c>
      <c r="K42" s="10" t="str">
        <f t="shared" si="1"/>
        <v>LU000394.002</v>
      </c>
      <c r="L42" s="10" t="str">
        <f ca="1">IFERROR(__xludf.DUMMYFUNCTION("VLOOKUP(K42, IMPORTRANGE(""https://docs.google.com/spreadsheets/d/1yDAaXNsi4Mr5FtRQL4tbmSdIzhx6_m4wkOD7IG-k_eo/edit#gid=0"", ""Maths!M:N""), 2, FALSE)"),"Explain the how to find the list of possible outcomes.")</f>
        <v>Explain the how to find the list of possible outcomes.</v>
      </c>
      <c r="M42" s="10" t="str">
        <f t="shared" si="2"/>
        <v>LU000394.003</v>
      </c>
      <c r="N42" s="10" t="str">
        <f ca="1">IFERROR(__xludf.DUMMYFUNCTION("VLOOKUP(M42, IMPORTRANGE(""https://docs.google.com/spreadsheets/d/1yDAaXNsi4Mr5FtRQL4tbmSdIzhx6_m4wkOD7IG-k_eo/edit#gid=0"", ""Maths!M:N""), 2, FALSE)"),"Find out the list of possible outcomes coin tosses, dice rolls, or card draws.")</f>
        <v>Find out the list of possible outcomes coin tosses, dice rolls, or card draws.</v>
      </c>
      <c r="O42" s="10" t="str">
        <f t="shared" si="3"/>
        <v>LU000394.004</v>
      </c>
      <c r="P42" s="10" t="str">
        <f ca="1">IFERROR(__xludf.DUMMYFUNCTION("VLOOKUP(O42, IMPORTRANGE(""https://docs.google.com/spreadsheets/d/1yDAaXNsi4Mr5FtRQL4tbmSdIzhx6_m4wkOD7IG-k_eo/edit#gid=0"", ""Maths!M:N""), 2, FALSE)"),"Analyse different situations and generate accurate lists of possible outcomes for events involving random processes.")</f>
        <v>Analyse different situations and generate accurate lists of possible outcomes for events involving random processes.</v>
      </c>
      <c r="Q42" s="10" t="str">
        <f t="shared" si="4"/>
        <v>LU000394.005</v>
      </c>
      <c r="R42" s="10" t="str">
        <f ca="1">IFERROR(__xludf.DUMMYFUNCTION("VLOOKUP(Q42, IMPORTRANGE(""https://docs.google.com/spreadsheets/d/1yDAaXNsi4Mr5FtRQL4tbmSdIzhx6_m4wkOD7IG-k_eo/edit#gid=0"", ""Maths!M:N""), 2, FALSE)"),"Evaluate the correctness and completeness of a provided list of possible outcomes and identify any errors.")</f>
        <v>Evaluate the correctness and completeness of a provided list of possible outcomes and identify any errors.</v>
      </c>
      <c r="S42" s="10" t="str">
        <f t="shared" si="5"/>
        <v>LU000394.006</v>
      </c>
      <c r="T42" s="10" t="str">
        <f ca="1">IFERROR(__xludf.DUMMYFUNCTION("VLOOKUP(S42, IMPORTRANGE(""https://docs.google.com/spreadsheets/d/1yDAaXNsi4Mr5FtRQL4tbmSdIzhx6_m4wkOD7IG-k_eo/edit#gid=0"", ""Maths!M:N""), 2, FALSE)"),"Design a set of scenarios involving different types of random experiments and construct comprehensive lists of possible outcomes for each experiment.")</f>
        <v>Design a set of scenarios involving different types of random experiments and construct comprehensive lists of possible outcomes for each experiment.</v>
      </c>
      <c r="U42" s="52">
        <f ca="1">IFERROR(__xludf.DUMMYFUNCTION("ArrayFormula(VLOOKUP(G42, IMPORTRANGE(""https://docs.google.com/spreadsheets/d/1p7R4vtkWt5VOBim4ltsDG9KTzSjrtKXsMtQGXPHyND0/edit#gid=795171502"", ""'Filter 30_05_2024'!A1:M2000""), {2, 3, 4, 5,6,7,8,9,10,11,12,13}, 0))"),1)</f>
        <v>1</v>
      </c>
      <c r="V42" s="52">
        <f ca="1">IFERROR(__xludf.DUMMYFUNCTION("""COMPUTED_VALUE"""),4)</f>
        <v>4</v>
      </c>
      <c r="W42" s="52">
        <f ca="1">IFERROR(__xludf.DUMMYFUNCTION("""COMPUTED_VALUE"""),3)</f>
        <v>3</v>
      </c>
      <c r="X42" s="52">
        <f ca="1">IFERROR(__xludf.DUMMYFUNCTION("""COMPUTED_VALUE"""),8)</f>
        <v>8</v>
      </c>
      <c r="Y42" s="52">
        <f ca="1">IFERROR(__xludf.DUMMYFUNCTION("""COMPUTED_VALUE"""),7)</f>
        <v>7</v>
      </c>
      <c r="Z42" s="53">
        <f ca="1">IFERROR(__xludf.DUMMYFUNCTION("""COMPUTED_VALUE"""),5)</f>
        <v>5</v>
      </c>
      <c r="AA42" s="53">
        <f ca="1">IFERROR(__xludf.DUMMYFUNCTION("""COMPUTED_VALUE"""),1)</f>
        <v>1</v>
      </c>
      <c r="AB42" s="53">
        <f ca="1">IFERROR(__xludf.DUMMYFUNCTION("""COMPUTED_VALUE"""),13)</f>
        <v>13</v>
      </c>
      <c r="AC42" s="53"/>
      <c r="AD42" s="53"/>
      <c r="AE42" s="53"/>
      <c r="AF42" s="53"/>
      <c r="AG42" s="8" t="str">
        <f ca="1">IFERROR(__xludf.DUMMYFUNCTION("ArrayFormula(VLOOKUP(G42, IMPORTRANGE(""https://docs.google.com/spreadsheets/d/1Co934fvtviyaRiMsrIlT05Jaq7iiYq07aLvRr35KA48/edit?gid=173865642#gid=173865642"", ""'G8_Maths_Pri_LU'!G2:V2000""), {3, 4, 5, 6, 7, 8, 9, 10, 11, 12, 13, 14, 15, 16}, 0))"),"LU000624")</f>
        <v>LU000624</v>
      </c>
      <c r="AH42" s="8" t="str">
        <f ca="1">IFERROR(__xludf.DUMMYFUNCTION("""COMPUTED_VALUE"""),"Definition of random experiment")</f>
        <v>Definition of random experiment</v>
      </c>
      <c r="AI42" s="8"/>
      <c r="AJ42" s="8"/>
      <c r="AK42" s="8"/>
      <c r="AL42" s="8"/>
      <c r="AM42" s="8"/>
      <c r="AN42" s="8"/>
      <c r="AO42" s="8"/>
      <c r="AP42" s="8"/>
      <c r="AQ42" s="8"/>
      <c r="AR42" s="8"/>
      <c r="AS42" s="8"/>
      <c r="AT42" s="8"/>
      <c r="AU42" s="8"/>
      <c r="AV42" s="8"/>
      <c r="AW42" s="8"/>
      <c r="AX42" s="8"/>
      <c r="AY42" s="8"/>
      <c r="AZ42" s="8"/>
      <c r="BA42" s="8"/>
      <c r="BB42" s="8"/>
      <c r="BC42" s="8"/>
      <c r="BD42" s="8"/>
      <c r="BE42" s="8"/>
    </row>
    <row r="43" spans="1:57">
      <c r="A43" s="8" t="s">
        <v>247</v>
      </c>
      <c r="B43" s="8" t="s">
        <v>47</v>
      </c>
      <c r="C43" s="8" t="s">
        <v>731</v>
      </c>
      <c r="D43" s="8" t="s">
        <v>732</v>
      </c>
      <c r="E43" s="8" t="s">
        <v>385</v>
      </c>
      <c r="F43" s="54" t="s">
        <v>797</v>
      </c>
      <c r="G43" s="8" t="s">
        <v>798</v>
      </c>
      <c r="H43" s="8" t="str">
        <f ca="1">IFERROR(__xludf.DUMMYFUNCTION("VLOOKUP(G43, IMPORTRANGE(""https://docs.google.com/spreadsheets/d/14deopnvwcrKtEGCKuYXdUHJbeLDZlkiSSWWT0g7x2pM/edit#gid=999382323"", ""LU List Maths (Filter)!A:B""), 2, FALSE)"),"Definition of probability")</f>
        <v>Definition of probability</v>
      </c>
      <c r="I43" s="10" t="str">
        <f t="shared" si="0"/>
        <v>LU000393.001</v>
      </c>
      <c r="J43" s="10" t="str">
        <f ca="1">IFERROR(__xludf.DUMMYFUNCTION("VLOOKUP(I43, IMPORTRANGE(""https://docs.google.com/spreadsheets/d/1yDAaXNsi4Mr5FtRQL4tbmSdIzhx6_m4wkOD7IG-k_eo/edit#gid=0"", ""Maths!M:N""), 2, FALSE)"),"State the definition of probability and explain its significance in determining the likelihood of events.")</f>
        <v>State the definition of probability and explain its significance in determining the likelihood of events.</v>
      </c>
      <c r="K43" s="10" t="str">
        <f t="shared" si="1"/>
        <v>LU000393.002</v>
      </c>
      <c r="L43" s="10" t="str">
        <f ca="1">IFERROR(__xludf.DUMMYFUNCTION("VLOOKUP(K43, IMPORTRANGE(""https://docs.google.com/spreadsheets/d/1yDAaXNsi4Mr5FtRQL4tbmSdIzhx6_m4wkOD7IG-k_eo/edit#gid=0"", ""Maths!M:N""), 2, FALSE)"),"Explain the concept of probability and how it relates to the likelihood of events occurring.")</f>
        <v>Explain the concept of probability and how it relates to the likelihood of events occurring.</v>
      </c>
      <c r="M43" s="10" t="str">
        <f t="shared" si="2"/>
        <v>LU000393.003</v>
      </c>
      <c r="N43" s="10" t="str">
        <f ca="1">IFERROR(__xludf.DUMMYFUNCTION("VLOOKUP(M43, IMPORTRANGE(""https://docs.google.com/spreadsheets/d/1yDAaXNsi4Mr5FtRQL4tbmSdIzhx6_m4wkOD7IG-k_eo/edit#gid=0"", ""Maths!M:N""), 2, FALSE)"),"Apply the concept of probability to calculate the probability of simple events (like tossing of coin, throwing of die)")</f>
        <v>Apply the concept of probability to calculate the probability of simple events (like tossing of coin, throwing of die)</v>
      </c>
      <c r="O43" s="10" t="str">
        <f t="shared" si="3"/>
        <v>LU000393.004</v>
      </c>
      <c r="P43" s="10" t="str">
        <f ca="1">IFERROR(__xludf.DUMMYFUNCTION("VLOOKUP(O43, IMPORTRANGE(""https://docs.google.com/spreadsheets/d/1yDAaXNsi4Mr5FtRQL4tbmSdIzhx6_m4wkOD7IG-k_eo/edit#gid=0"", ""Maths!M:N""), 2, FALSE)"),"Analyse different scenarios and determine the possible outcomes and associated probabilities.")</f>
        <v>Analyse different scenarios and determine the possible outcomes and associated probabilities.</v>
      </c>
      <c r="Q43" s="10" t="str">
        <f t="shared" si="4"/>
        <v>LU000393.005</v>
      </c>
      <c r="R43" s="10" t="str">
        <f ca="1">IFERROR(__xludf.DUMMYFUNCTION("VLOOKUP(Q43, IMPORTRANGE(""https://docs.google.com/spreadsheets/d/1yDAaXNsi4Mr5FtRQL4tbmSdIzhx6_m4wkOD7IG-k_eo/edit#gid=0"", ""Maths!M:N""), 2, FALSE)"),"Evaluate the likelihood of events based on their probabilities and determine the most probable outcome.")</f>
        <v>Evaluate the likelihood of events based on their probabilities and determine the most probable outcome.</v>
      </c>
      <c r="S43" s="10" t="str">
        <f t="shared" si="5"/>
        <v>LU000393.006</v>
      </c>
      <c r="T43" s="10" t="str">
        <f ca="1">IFERROR(__xludf.DUMMYFUNCTION("VLOOKUP(S43, IMPORTRANGE(""https://docs.google.com/spreadsheets/d/1yDAaXNsi4Mr5FtRQL4tbmSdIzhx6_m4wkOD7IG-k_eo/edit#gid=0"", ""Maths!M:N""), 2, FALSE)"),"Design a series of scenarios and create problems that require classmates to calculate probabilities and determine the likelihood of specific outcomes.")</f>
        <v>Design a series of scenarios and create problems that require classmates to calculate probabilities and determine the likelihood of specific outcomes.</v>
      </c>
      <c r="U43" s="52">
        <f ca="1">IFERROR(__xludf.DUMMYFUNCTION("ArrayFormula(VLOOKUP(G43, IMPORTRANGE(""https://docs.google.com/spreadsheets/d/1p7R4vtkWt5VOBim4ltsDG9KTzSjrtKXsMtQGXPHyND0/edit#gid=795171502"", ""'Filter 30_05_2024'!A1:M2000""), {2, 3, 4, 5,6,7,8,9,10,11,12,13}, 0))"),2)</f>
        <v>2</v>
      </c>
      <c r="V43" s="52">
        <f ca="1">IFERROR(__xludf.DUMMYFUNCTION("""COMPUTED_VALUE"""),6)</f>
        <v>6</v>
      </c>
      <c r="W43" s="52">
        <f ca="1">IFERROR(__xludf.DUMMYFUNCTION("""COMPUTED_VALUE"""),2)</f>
        <v>2</v>
      </c>
      <c r="X43" s="52">
        <f ca="1">IFERROR(__xludf.DUMMYFUNCTION("""COMPUTED_VALUE"""),10)</f>
        <v>10</v>
      </c>
      <c r="Y43" s="52">
        <f ca="1">IFERROR(__xludf.DUMMYFUNCTION("""COMPUTED_VALUE"""),6)</f>
        <v>6</v>
      </c>
      <c r="Z43" s="53">
        <f ca="1">IFERROR(__xludf.DUMMYFUNCTION("""COMPUTED_VALUE"""),3)</f>
        <v>3</v>
      </c>
      <c r="AA43" s="53">
        <f ca="1">IFERROR(__xludf.DUMMYFUNCTION("""COMPUTED_VALUE"""),1)</f>
        <v>1</v>
      </c>
      <c r="AB43" s="53">
        <f ca="1">IFERROR(__xludf.DUMMYFUNCTION("""COMPUTED_VALUE"""),10)</f>
        <v>10</v>
      </c>
      <c r="AC43" s="53"/>
      <c r="AD43" s="53"/>
      <c r="AE43" s="53"/>
      <c r="AF43" s="53"/>
      <c r="AG43" s="8" t="str">
        <f ca="1">IFERROR(__xludf.DUMMYFUNCTION("ArrayFormula(VLOOKUP(G43, IMPORTRANGE(""https://docs.google.com/spreadsheets/d/1Co934fvtviyaRiMsrIlT05Jaq7iiYq07aLvRr35KA48/edit?gid=173865642#gid=173865642"", ""'G8_Maths_Pri_LU'!G2:V2000""), {3, 4, 5, 6, 7, 8, 9, 10, 11, 12, 13, 14, 15, 16}, 0))"),"LU000394")</f>
        <v>LU000394</v>
      </c>
      <c r="AH43" s="8" t="str">
        <f ca="1">IFERROR(__xludf.DUMMYFUNCTION("""COMPUTED_VALUE"""),"List of possible outcomes of an event")</f>
        <v>List of possible outcomes of an event</v>
      </c>
      <c r="AI43" s="8" t="str">
        <f ca="1">IFERROR(__xludf.DUMMYFUNCTION("""COMPUTED_VALUE"""),"LU000624")</f>
        <v>LU000624</v>
      </c>
      <c r="AJ43" s="8" t="str">
        <f ca="1">IFERROR(__xludf.DUMMYFUNCTION("""COMPUTED_VALUE"""),"Definition of random experiment")</f>
        <v>Definition of random experiment</v>
      </c>
      <c r="AK43" s="8"/>
      <c r="AL43" s="8"/>
      <c r="AM43" s="8"/>
      <c r="AN43" s="8"/>
      <c r="AO43" s="8"/>
      <c r="AP43" s="8"/>
      <c r="AQ43" s="8"/>
      <c r="AR43" s="8"/>
      <c r="AS43" s="8"/>
      <c r="AT43" s="8"/>
      <c r="AU43" s="8"/>
      <c r="AV43" s="8"/>
      <c r="AW43" s="8"/>
      <c r="AX43" s="8"/>
      <c r="AY43" s="8"/>
      <c r="AZ43" s="8"/>
      <c r="BA43" s="8"/>
      <c r="BB43" s="8"/>
      <c r="BC43" s="8"/>
      <c r="BD43" s="8"/>
      <c r="BE43" s="8"/>
    </row>
    <row r="44" spans="1:57">
      <c r="A44" s="8" t="s">
        <v>247</v>
      </c>
      <c r="B44" s="8" t="s">
        <v>47</v>
      </c>
      <c r="C44" s="8" t="s">
        <v>731</v>
      </c>
      <c r="D44" s="8" t="s">
        <v>732</v>
      </c>
      <c r="E44" s="8" t="s">
        <v>385</v>
      </c>
      <c r="F44" s="54" t="s">
        <v>797</v>
      </c>
      <c r="G44" s="8" t="s">
        <v>799</v>
      </c>
      <c r="H44" s="8" t="str">
        <f ca="1">IFERROR(__xludf.DUMMYFUNCTION("VLOOKUP(G44, IMPORTRANGE(""https://docs.google.com/spreadsheets/d/14deopnvwcrKtEGCKuYXdUHJbeLDZlkiSSWWT0g7x2pM/edit#gid=999382323"", ""LU List Maths (Filter)!A:B""), 2, FALSE)"),"Probability of a simple event")</f>
        <v>Probability of a simple event</v>
      </c>
      <c r="I44" s="10" t="str">
        <f t="shared" si="0"/>
        <v>LU000626.001</v>
      </c>
      <c r="J44" s="10" t="str">
        <f ca="1">IFERROR(__xludf.DUMMYFUNCTION("VLOOKUP(I44, IMPORTRANGE(""https://docs.google.com/spreadsheets/d/1yDAaXNsi4Mr5FtRQL4tbmSdIzhx6_m4wkOD7IG-k_eo/edit#gid=0"", ""Maths!M:N""), 2, FALSE)"),"State the definition of probability as a measure of the likelihood of an event occurring in a given experiment.")</f>
        <v>State the definition of probability as a measure of the likelihood of an event occurring in a given experiment.</v>
      </c>
      <c r="K44" s="10" t="str">
        <f t="shared" si="1"/>
        <v>LU000626.002</v>
      </c>
      <c r="L44" s="10" t="str">
        <f ca="1">IFERROR(__xludf.DUMMYFUNCTION("VLOOKUP(K44, IMPORTRANGE(""https://docs.google.com/spreadsheets/d/1yDAaXNsi4Mr5FtRQL4tbmSdIzhx6_m4wkOD7IG-k_eo/edit#gid=0"", ""Maths!M:N""), 2, FALSE)"),"Explain the concept of probability of a simple event as the ratio of the number of successful outcomes to the total number of possible outcomes.")</f>
        <v>Explain the concept of probability of a simple event as the ratio of the number of successful outcomes to the total number of possible outcomes.</v>
      </c>
      <c r="M44" s="10" t="str">
        <f t="shared" si="2"/>
        <v>LU000626.003</v>
      </c>
      <c r="N44" s="10" t="str">
        <f ca="1">IFERROR(__xludf.DUMMYFUNCTION("VLOOKUP(M44, IMPORTRANGE(""https://docs.google.com/spreadsheets/d/1yDAaXNsi4Mr5FtRQL4tbmSdIzhx6_m4wkOD7IG-k_eo/edit#gid=0"", ""Maths!M:N""), 2, FALSE)"),"Apply the concept of probability to calculate the probability of a specific simple event in a given experiment.")</f>
        <v>Apply the concept of probability to calculate the probability of a specific simple event in a given experiment.</v>
      </c>
      <c r="O44" s="10" t="str">
        <f t="shared" si="3"/>
        <v>LU000626.004</v>
      </c>
      <c r="P44" s="10" t="str">
        <f ca="1">IFERROR(__xludf.DUMMYFUNCTION("VLOOKUP(O44, IMPORTRANGE(""https://docs.google.com/spreadsheets/d/1yDAaXNsi4Mr5FtRQL4tbmSdIzhx6_m4wkOD7IG-k_eo/edit#gid=0"", ""Maths!M:N""), 2, FALSE)"),"Analyze various experimental scenarios to determine the probability of simple events, considering both theoretical and empirical probabilities.")</f>
        <v>Analyze various experimental scenarios to determine the probability of simple events, considering both theoretical and empirical probabilities.</v>
      </c>
      <c r="Q44" s="10" t="str">
        <f t="shared" si="4"/>
        <v>LU000626.005</v>
      </c>
      <c r="R44" s="10" t="str">
        <f ca="1">IFERROR(__xludf.DUMMYFUNCTION("VLOOKUP(Q44, IMPORTRANGE(""https://docs.google.com/spreadsheets/d/1yDAaXNsi4Mr5FtRQL4tbmSdIzhx6_m4wkOD7IG-k_eo/edit#gid=0"", ""Maths!M:N""), 2, FALSE)"),"Evaluate the significance of probability calculations in real-life situations.")</f>
        <v>Evaluate the significance of probability calculations in real-life situations.</v>
      </c>
      <c r="S44" s="10" t="str">
        <f t="shared" si="5"/>
        <v>LU000626.006</v>
      </c>
      <c r="T44" s="10" t="str">
        <f ca="1">IFERROR(__xludf.DUMMYFUNCTION("VLOOKUP(S44, IMPORTRANGE(""https://docs.google.com/spreadsheets/d/1yDAaXNsi4Mr5FtRQL4tbmSdIzhx6_m4wkOD7IG-k_eo/edit#gid=0"", ""Maths!M:N""), 2, FALSE)"),"Design a series of real-world scenarios or experiments that involve simple events and requires to calculate their probabilities.")</f>
        <v>Design a series of real-world scenarios or experiments that involve simple events and requires to calculate their probabilities.</v>
      </c>
      <c r="U44" s="52">
        <f ca="1">IFERROR(__xludf.DUMMYFUNCTION("ArrayFormula(VLOOKUP(G44, IMPORTRANGE(""https://docs.google.com/spreadsheets/d/1p7R4vtkWt5VOBim4ltsDG9KTzSjrtKXsMtQGXPHyND0/edit#gid=795171502"", ""'Filter 30_05_2024'!A1:M2000""), {2, 3, 4, 5,6,7,8,9,10,11,12,13}, 0))"),4)</f>
        <v>4</v>
      </c>
      <c r="V44" s="52">
        <f ca="1">IFERROR(__xludf.DUMMYFUNCTION("""COMPUTED_VALUE"""),6)</f>
        <v>6</v>
      </c>
      <c r="W44" s="52">
        <f ca="1">IFERROR(__xludf.DUMMYFUNCTION("""COMPUTED_VALUE"""),2)</f>
        <v>2</v>
      </c>
      <c r="X44" s="52">
        <f ca="1">IFERROR(__xludf.DUMMYFUNCTION("""COMPUTED_VALUE"""),12)</f>
        <v>12</v>
      </c>
      <c r="Y44" s="52">
        <f ca="1">IFERROR(__xludf.DUMMYFUNCTION("""COMPUTED_VALUE"""),4)</f>
        <v>4</v>
      </c>
      <c r="Z44" s="53">
        <f ca="1">IFERROR(__xludf.DUMMYFUNCTION("""COMPUTED_VALUE"""),3)</f>
        <v>3</v>
      </c>
      <c r="AA44" s="53">
        <f ca="1">IFERROR(__xludf.DUMMYFUNCTION("""COMPUTED_VALUE"""),1)</f>
        <v>1</v>
      </c>
      <c r="AB44" s="53">
        <f ca="1">IFERROR(__xludf.DUMMYFUNCTION("""COMPUTED_VALUE"""),8)</f>
        <v>8</v>
      </c>
      <c r="AC44" s="53"/>
      <c r="AD44" s="53"/>
      <c r="AE44" s="53"/>
      <c r="AF44" s="53"/>
      <c r="AG44" s="8" t="str">
        <f ca="1">IFERROR(__xludf.DUMMYFUNCTION("ArrayFormula(VLOOKUP(G44, IMPORTRANGE(""https://docs.google.com/spreadsheets/d/1Co934fvtviyaRiMsrIlT05Jaq7iiYq07aLvRr35KA48/edit?gid=173865642#gid=173865642"", ""'G8_Maths_Pri_LU'!G2:V2000""), {3, 4, 5, 6, 7, 8, 9, 10, 11, 12, 13, 14, 15, 16}, 0))"),"LU000393")</f>
        <v>LU000393</v>
      </c>
      <c r="AH44" s="8" t="str">
        <f ca="1">IFERROR(__xludf.DUMMYFUNCTION("""COMPUTED_VALUE"""),"Definition of probability")</f>
        <v>Definition of probability</v>
      </c>
      <c r="AI44" s="8" t="str">
        <f ca="1">IFERROR(__xludf.DUMMYFUNCTION("""COMPUTED_VALUE"""),"LU000394")</f>
        <v>LU000394</v>
      </c>
      <c r="AJ44" s="8" t="str">
        <f ca="1">IFERROR(__xludf.DUMMYFUNCTION("""COMPUTED_VALUE"""),"List of possible outcomes of an event")</f>
        <v>List of possible outcomes of an event</v>
      </c>
      <c r="AK44" s="8" t="str">
        <f ca="1">IFERROR(__xludf.DUMMYFUNCTION("""COMPUTED_VALUE"""),"LU000624")</f>
        <v>LU000624</v>
      </c>
      <c r="AL44" s="8" t="str">
        <f ca="1">IFERROR(__xludf.DUMMYFUNCTION("""COMPUTED_VALUE"""),"Definition of random experiment")</f>
        <v>Definition of random experiment</v>
      </c>
      <c r="AM44" s="8"/>
      <c r="AN44" s="8"/>
      <c r="AO44" s="8"/>
      <c r="AP44" s="8"/>
      <c r="AQ44" s="8"/>
      <c r="AR44" s="8"/>
      <c r="AS44" s="8"/>
      <c r="AT44" s="8"/>
      <c r="AU44" s="8"/>
      <c r="AV44" s="8"/>
      <c r="AW44" s="8"/>
      <c r="AX44" s="8"/>
      <c r="AY44" s="8"/>
      <c r="AZ44" s="8"/>
      <c r="BA44" s="8"/>
      <c r="BB44" s="8"/>
      <c r="BC44" s="8"/>
      <c r="BD44" s="8"/>
      <c r="BE44" s="8"/>
    </row>
    <row r="45" spans="1:57">
      <c r="A45" s="8" t="s">
        <v>247</v>
      </c>
      <c r="B45" s="8" t="s">
        <v>47</v>
      </c>
      <c r="C45" s="8" t="s">
        <v>731</v>
      </c>
      <c r="D45" s="8" t="s">
        <v>732</v>
      </c>
      <c r="E45" s="8" t="s">
        <v>800</v>
      </c>
      <c r="F45" s="54" t="s">
        <v>801</v>
      </c>
      <c r="G45" s="8" t="s">
        <v>802</v>
      </c>
      <c r="H45" s="8" t="str">
        <f ca="1">IFERROR(__xludf.DUMMYFUNCTION("VLOOKUP(G45, IMPORTRANGE(""https://docs.google.com/spreadsheets/d/14deopnvwcrKtEGCKuYXdUHJbeLDZlkiSSWWT0g7x2pM/edit#gid=999382323"", ""LU List Maths (Filter)!A:B""), 2, FALSE)"),"Definition and representation of square numbers/perfect square numbers")</f>
        <v>Definition and representation of square numbers/perfect square numbers</v>
      </c>
      <c r="I45" s="10" t="str">
        <f t="shared" si="0"/>
        <v>LU000636.001</v>
      </c>
      <c r="J45" s="10" t="str">
        <f ca="1">IFERROR(__xludf.DUMMYFUNCTION("VLOOKUP(I45, IMPORTRANGE(""https://docs.google.com/spreadsheets/d/1yDAaXNsi4Mr5FtRQL4tbmSdIzhx6_m4wkOD7IG-k_eo/edit#gid=0"", ""Maths!M:N""), 2, FALSE)"),"State the definition of a square number.")</f>
        <v>State the definition of a square number.</v>
      </c>
      <c r="K45" s="10" t="str">
        <f t="shared" si="1"/>
        <v>LU000636.002</v>
      </c>
      <c r="L45" s="10" t="str">
        <f ca="1">IFERROR(__xludf.DUMMYFUNCTION("VLOOKUP(K45, IMPORTRANGE(""https://docs.google.com/spreadsheets/d/1yDAaXNsi4Mr5FtRQL4tbmSdIzhx6_m4wkOD7IG-k_eo/edit#gid=0"", ""Maths!M:N""), 2, FALSE)"),"Describe what a perfect square number is and how it is obtained.")</f>
        <v>Describe what a perfect square number is and how it is obtained.</v>
      </c>
      <c r="M45" s="10" t="str">
        <f t="shared" si="2"/>
        <v>LU000636.003</v>
      </c>
      <c r="N45" s="10" t="str">
        <f ca="1">IFERROR(__xludf.DUMMYFUNCTION("VLOOKUP(M45, IMPORTRANGE(""https://docs.google.com/spreadsheets/d/1yDAaXNsi4Mr5FtRQL4tbmSdIzhx6_m4wkOD7IG-k_eo/edit#gid=0"", ""Maths!M:N""), 2, FALSE)"),"Calculate the square of numbers.")</f>
        <v>Calculate the square of numbers.</v>
      </c>
      <c r="O45" s="10" t="str">
        <f t="shared" si="3"/>
        <v>LU000636.004</v>
      </c>
      <c r="P45" s="10" t="str">
        <f ca="1">IFERROR(__xludf.DUMMYFUNCTION("VLOOKUP(O45, IMPORTRANGE(""https://docs.google.com/spreadsheets/d/1yDAaXNsi4Mr5FtRQL4tbmSdIzhx6_m4wkOD7IG-k_eo/edit#gid=0"", ""Maths!M:N""), 2, FALSE)"),"Compare and contrast square numbers with other types of numbers.")</f>
        <v>Compare and contrast square numbers with other types of numbers.</v>
      </c>
      <c r="Q45" s="10" t="str">
        <f t="shared" si="4"/>
        <v>LU000636.005</v>
      </c>
      <c r="R45" s="10" t="str">
        <f ca="1">IFERROR(__xludf.DUMMYFUNCTION("VLOOKUP(Q45, IMPORTRANGE(""https://docs.google.com/spreadsheets/d/1yDAaXNsi4Mr5FtRQL4tbmSdIzhx6_m4wkOD7IG-k_eo/edit#gid=0"", ""Maths!M:N""), 2, FALSE)"),"Assess the significance of square numbers in real-world applications.")</f>
        <v>Assess the significance of square numbers in real-world applications.</v>
      </c>
      <c r="S45" s="10" t="str">
        <f t="shared" si="5"/>
        <v>LU000636.006</v>
      </c>
      <c r="T45" s="10" t="str">
        <f ca="1">IFERROR(__xludf.DUMMYFUNCTION("VLOOKUP(S45, IMPORTRANGE(""https://docs.google.com/spreadsheets/d/1yDAaXNsi4Mr5FtRQL4tbmSdIzhx6_m4wkOD7IG-k_eo/edit#gid=0"", ""Maths!M:N""), 2, FALSE)"),"Design a creative representation or visual aid to explain square numbers.")</f>
        <v>Design a creative representation or visual aid to explain square numbers.</v>
      </c>
      <c r="U45" s="52">
        <f ca="1">IFERROR(__xludf.DUMMYFUNCTION("ArrayFormula(VLOOKUP(G45, IMPORTRANGE(""https://docs.google.com/spreadsheets/d/1p7R4vtkWt5VOBim4ltsDG9KTzSjrtKXsMtQGXPHyND0/edit#gid=795171502"", ""'Filter 30_05_2024'!A1:M2000""), {2, 3, 4, 5,6,7,8,9,10,11,12,13}, 0))"),4)</f>
        <v>4</v>
      </c>
      <c r="V45" s="52">
        <f ca="1">IFERROR(__xludf.DUMMYFUNCTION("""COMPUTED_VALUE"""),5)</f>
        <v>5</v>
      </c>
      <c r="W45" s="52">
        <f ca="1">IFERROR(__xludf.DUMMYFUNCTION("""COMPUTED_VALUE"""),2)</f>
        <v>2</v>
      </c>
      <c r="X45" s="52">
        <f ca="1">IFERROR(__xludf.DUMMYFUNCTION("""COMPUTED_VALUE"""),11)</f>
        <v>11</v>
      </c>
      <c r="Y45" s="52">
        <f ca="1">IFERROR(__xludf.DUMMYFUNCTION("""COMPUTED_VALUE"""),4)</f>
        <v>4</v>
      </c>
      <c r="Z45" s="53">
        <f ca="1">IFERROR(__xludf.DUMMYFUNCTION("""COMPUTED_VALUE"""),4)</f>
        <v>4</v>
      </c>
      <c r="AA45" s="53">
        <f ca="1">IFERROR(__xludf.DUMMYFUNCTION("""COMPUTED_VALUE"""),1)</f>
        <v>1</v>
      </c>
      <c r="AB45" s="53">
        <f ca="1">IFERROR(__xludf.DUMMYFUNCTION("""COMPUTED_VALUE"""),9)</f>
        <v>9</v>
      </c>
      <c r="AC45" s="53"/>
      <c r="AD45" s="53"/>
      <c r="AE45" s="53"/>
      <c r="AF45" s="53"/>
      <c r="AG45" s="8" t="str">
        <f ca="1">IFERROR(__xludf.DUMMYFUNCTION("ArrayFormula(VLOOKUP(G45, IMPORTRANGE(""https://docs.google.com/spreadsheets/d/1Co934fvtviyaRiMsrIlT05Jaq7iiYq07aLvRr35KA48/edit?gid=173865642#gid=173865642"", ""'G8_Maths_Pri_LU'!G2:V2000""), {3, 4, 5, 6, 7, 8, 9, 10, 11, 12, 13, 14, 15, 16}, 0))"),"LU000328")</f>
        <v>LU000328</v>
      </c>
      <c r="AH45" s="8" t="str">
        <f ca="1">IFERROR(__xludf.DUMMYFUNCTION("""COMPUTED_VALUE"""),"Area of a square using formula")</f>
        <v>Area of a square using formula</v>
      </c>
      <c r="AI45" s="8" t="str">
        <f ca="1">IFERROR(__xludf.DUMMYFUNCTION("""COMPUTED_VALUE"""),"LU000126")</f>
        <v>LU000126</v>
      </c>
      <c r="AJ45" s="8" t="str">
        <f ca="1">IFERROR(__xludf.DUMMYFUNCTION("""COMPUTED_VALUE"""),"Multiplication of two-digit numbers by one-digit/two-digit numbers")</f>
        <v>Multiplication of two-digit numbers by one-digit/two-digit numbers</v>
      </c>
      <c r="AK45" s="8"/>
      <c r="AL45" s="8"/>
      <c r="AM45" s="8"/>
      <c r="AN45" s="8"/>
      <c r="AO45" s="8"/>
      <c r="AP45" s="8"/>
      <c r="AQ45" s="8"/>
      <c r="AR45" s="8"/>
      <c r="AS45" s="8"/>
      <c r="AT45" s="8"/>
      <c r="AU45" s="8"/>
      <c r="AV45" s="8"/>
      <c r="AW45" s="8"/>
      <c r="AX45" s="8"/>
      <c r="AY45" s="8"/>
      <c r="AZ45" s="8"/>
      <c r="BA45" s="8"/>
      <c r="BB45" s="8"/>
      <c r="BC45" s="8"/>
      <c r="BD45" s="8"/>
      <c r="BE45" s="8"/>
    </row>
    <row r="46" spans="1:57">
      <c r="A46" s="8" t="s">
        <v>247</v>
      </c>
      <c r="B46" s="8" t="s">
        <v>47</v>
      </c>
      <c r="C46" s="8" t="s">
        <v>731</v>
      </c>
      <c r="D46" s="8" t="s">
        <v>732</v>
      </c>
      <c r="E46" s="8" t="s">
        <v>800</v>
      </c>
      <c r="F46" s="54" t="s">
        <v>801</v>
      </c>
      <c r="G46" s="8" t="s">
        <v>803</v>
      </c>
      <c r="H46" s="8" t="str">
        <f ca="1">IFERROR(__xludf.DUMMYFUNCTION("VLOOKUP(G46, IMPORTRANGE(""https://docs.google.com/spreadsheets/d/14deopnvwcrKtEGCKuYXdUHJbeLDZlkiSSWWT0g7x2pM/edit#gid=999382323"", ""LU List Maths (Filter)!A:B""), 2, FALSE)"),"Properties of square numbers ")</f>
        <v xml:space="preserve">Properties of square numbers </v>
      </c>
      <c r="I46" s="10" t="str">
        <f t="shared" si="0"/>
        <v>LU000933.001</v>
      </c>
      <c r="J46" s="10" t="str">
        <f ca="1">IFERROR(__xludf.DUMMYFUNCTION("VLOOKUP(I46, IMPORTRANGE(""https://docs.google.com/spreadsheets/d/1yDAaXNsi4Mr5FtRQL4tbmSdIzhx6_m4wkOD7IG-k_eo/edit#gid=0"", ""Maths!M:N""), 2, FALSE)"),"State the properties of square numbers.")</f>
        <v>State the properties of square numbers.</v>
      </c>
      <c r="K46" s="10" t="str">
        <f t="shared" si="1"/>
        <v>LU000933.002</v>
      </c>
      <c r="L46" s="10" t="str">
        <f ca="1">IFERROR(__xludf.DUMMYFUNCTION("VLOOKUP(K46, IMPORTRANGE(""https://docs.google.com/spreadsheets/d/1yDAaXNsi4Mr5FtRQL4tbmSdIzhx6_m4wkOD7IG-k_eo/edit#gid=0"", ""Maths!M:N""), 2, FALSE)"),"Describe the properties of a square number")</f>
        <v>Describe the properties of a square number</v>
      </c>
      <c r="M46" s="10" t="str">
        <f t="shared" si="2"/>
        <v>LU000933.003</v>
      </c>
      <c r="N46" s="10" t="str">
        <f ca="1">IFERROR(__xludf.DUMMYFUNCTION("VLOOKUP(M46, IMPORTRANGE(""https://docs.google.com/spreadsheets/d/1yDAaXNsi4Mr5FtRQL4tbmSdIzhx6_m4wkOD7IG-k_eo/edit#gid=0"", ""Maths!M:N""), 2, FALSE)"),"Use properties of square numbers to solve mathematical problems")</f>
        <v>Use properties of square numbers to solve mathematical problems</v>
      </c>
      <c r="O46" s="10" t="str">
        <f t="shared" si="3"/>
        <v>LU000933.004</v>
      </c>
      <c r="P46" s="10" t="str">
        <f ca="1">IFERROR(__xludf.DUMMYFUNCTION("VLOOKUP(O46, IMPORTRANGE(""https://docs.google.com/spreadsheets/d/1yDAaXNsi4Mr5FtRQL4tbmSdIzhx6_m4wkOD7IG-k_eo/edit#gid=0"", ""Maths!M:N""), 2, FALSE)"),"Analyze the properties of square numbers")</f>
        <v>Analyze the properties of square numbers</v>
      </c>
      <c r="Q46" s="10" t="str">
        <f t="shared" si="4"/>
        <v>LU000933.005</v>
      </c>
      <c r="R46" s="10" t="str">
        <f ca="1">IFERROR(__xludf.DUMMYFUNCTION("VLOOKUP(Q46, IMPORTRANGE(""https://docs.google.com/spreadsheets/d/1yDAaXNsi4Mr5FtRQL4tbmSdIzhx6_m4wkOD7IG-k_eo/edit#gid=0"", ""Maths!M:N""), 2, FALSE)"),"Assess the validity of solutions to problems involving the properties of square numbers.")</f>
        <v>Assess the validity of solutions to problems involving the properties of square numbers.</v>
      </c>
      <c r="S46" s="10" t="str">
        <f t="shared" si="5"/>
        <v>LU000933.006</v>
      </c>
      <c r="T46" s="10" t="str">
        <f ca="1">IFERROR(__xludf.DUMMYFUNCTION("VLOOKUP(S46, IMPORTRANGE(""https://docs.google.com/spreadsheets/d/1yDAaXNsi4Mr5FtRQL4tbmSdIzhx6_m4wkOD7IG-k_eo/edit#gid=0"", ""Maths!M:N""), 2, FALSE)"),"#N/A")</f>
        <v>#N/A</v>
      </c>
      <c r="U46" s="52">
        <f ca="1">IFERROR(__xludf.DUMMYFUNCTION("ArrayFormula(VLOOKUP(G46, IMPORTRANGE(""https://docs.google.com/spreadsheets/d/1p7R4vtkWt5VOBim4ltsDG9KTzSjrtKXsMtQGXPHyND0/edit#gid=795171502"", ""'Filter 30_05_2024'!A1:M2000""), {2, 3, 4, 5,6,7,8,9,10,11,12,13}, 0))"),4)</f>
        <v>4</v>
      </c>
      <c r="V46" s="52">
        <f ca="1">IFERROR(__xludf.DUMMYFUNCTION("""COMPUTED_VALUE"""),6)</f>
        <v>6</v>
      </c>
      <c r="W46" s="52">
        <f ca="1">IFERROR(__xludf.DUMMYFUNCTION("""COMPUTED_VALUE"""),2)</f>
        <v>2</v>
      </c>
      <c r="X46" s="52">
        <f ca="1">IFERROR(__xludf.DUMMYFUNCTION("""COMPUTED_VALUE"""),12)</f>
        <v>12</v>
      </c>
      <c r="Y46" s="52">
        <f ca="1">IFERROR(__xludf.DUMMYFUNCTION("""COMPUTED_VALUE"""),4)</f>
        <v>4</v>
      </c>
      <c r="Z46" s="53">
        <f ca="1">IFERROR(__xludf.DUMMYFUNCTION("""COMPUTED_VALUE"""),3)</f>
        <v>3</v>
      </c>
      <c r="AA46" s="53">
        <f ca="1">IFERROR(__xludf.DUMMYFUNCTION("""COMPUTED_VALUE"""),1)</f>
        <v>1</v>
      </c>
      <c r="AB46" s="53">
        <f ca="1">IFERROR(__xludf.DUMMYFUNCTION("""COMPUTED_VALUE"""),8)</f>
        <v>8</v>
      </c>
      <c r="AC46" s="53"/>
      <c r="AD46" s="53"/>
      <c r="AE46" s="53"/>
      <c r="AF46" s="53"/>
      <c r="AG46" s="8" t="str">
        <f ca="1">IFERROR(__xludf.DUMMYFUNCTION("ArrayFormula(VLOOKUP(G46, IMPORTRANGE(""https://docs.google.com/spreadsheets/d/1Co934fvtviyaRiMsrIlT05Jaq7iiYq07aLvRr35KA48/edit?gid=173865642#gid=173865642"", ""'G8_Maths_Pri_LU'!G2:V2000""), {3, 4, 5, 6, 7, 8, 9, 10, 11, 12, 13, 14, 15, 16}, 0))"),"LU000636")</f>
        <v>LU000636</v>
      </c>
      <c r="AH46" s="8" t="str">
        <f ca="1">IFERROR(__xludf.DUMMYFUNCTION("""COMPUTED_VALUE"""),"Definition and representation of square numbers/perfect square numbers")</f>
        <v>Definition and representation of square numbers/perfect square numbers</v>
      </c>
      <c r="AI46" s="8"/>
      <c r="AJ46" s="8"/>
      <c r="AK46" s="8"/>
      <c r="AL46" s="8"/>
      <c r="AM46" s="8"/>
      <c r="AN46" s="8"/>
      <c r="AO46" s="8"/>
      <c r="AP46" s="8"/>
      <c r="AQ46" s="8"/>
      <c r="AR46" s="8"/>
      <c r="AS46" s="8"/>
      <c r="AT46" s="8"/>
      <c r="AU46" s="8"/>
      <c r="AV46" s="8"/>
      <c r="AW46" s="8"/>
      <c r="AX46" s="8"/>
      <c r="AY46" s="8"/>
      <c r="AZ46" s="8"/>
      <c r="BA46" s="8"/>
      <c r="BB46" s="8"/>
      <c r="BC46" s="8"/>
      <c r="BD46" s="8"/>
      <c r="BE46" s="8"/>
    </row>
    <row r="47" spans="1:57">
      <c r="A47" s="8" t="s">
        <v>247</v>
      </c>
      <c r="B47" s="8" t="s">
        <v>47</v>
      </c>
      <c r="C47" s="8" t="s">
        <v>731</v>
      </c>
      <c r="D47" s="8" t="s">
        <v>732</v>
      </c>
      <c r="E47" s="8" t="s">
        <v>800</v>
      </c>
      <c r="F47" s="56" t="s">
        <v>804</v>
      </c>
      <c r="G47" s="8" t="s">
        <v>805</v>
      </c>
      <c r="H47" s="8" t="str">
        <f ca="1">IFERROR(__xludf.DUMMYFUNCTION("VLOOKUP(G47, IMPORTRANGE(""https://docs.google.com/spreadsheets/d/14deopnvwcrKtEGCKuYXdUHJbeLDZlkiSSWWT0g7x2pM/edit#gid=999382323"", ""LU List Maths (Filter)!A:B""), 2, FALSE)"),"Definition of triangular numbers")</f>
        <v>Definition of triangular numbers</v>
      </c>
      <c r="I47" s="10" t="str">
        <f t="shared" si="0"/>
        <v>LU000637.001</v>
      </c>
      <c r="J47" s="10" t="str">
        <f ca="1">IFERROR(__xludf.DUMMYFUNCTION("VLOOKUP(I47, IMPORTRANGE(""https://docs.google.com/spreadsheets/d/1yDAaXNsi4Mr5FtRQL4tbmSdIzhx6_m4wkOD7IG-k_eo/edit#gid=0"", ""Maths!M:N""), 2, FALSE)"),"Recall the definition of triangular numbers.")</f>
        <v>Recall the definition of triangular numbers.</v>
      </c>
      <c r="K47" s="10" t="str">
        <f t="shared" si="1"/>
        <v>LU000637.002</v>
      </c>
      <c r="L47" s="10" t="str">
        <f ca="1">IFERROR(__xludf.DUMMYFUNCTION("VLOOKUP(K47, IMPORTRANGE(""https://docs.google.com/spreadsheets/d/1yDAaXNsi4Mr5FtRQL4tbmSdIzhx6_m4wkOD7IG-k_eo/edit#gid=0"", ""Maths!M:N""), 2, FALSE)"),"Describe how triangular numbers are related to geometric patterns.")</f>
        <v>Describe how triangular numbers are related to geometric patterns.</v>
      </c>
      <c r="M47" s="10" t="str">
        <f t="shared" si="2"/>
        <v>LU000637.003</v>
      </c>
      <c r="N47" s="10" t="str">
        <f ca="1">IFERROR(__xludf.DUMMYFUNCTION("VLOOKUP(M47, IMPORTRANGE(""https://docs.google.com/spreadsheets/d/1yDAaXNsi4Mr5FtRQL4tbmSdIzhx6_m4wkOD7IG-k_eo/edit#gid=0"", ""Maths!M:N""), 2, FALSE)"),"Use the formula for triangular numbers to calculate specific values.")</f>
        <v>Use the formula for triangular numbers to calculate specific values.</v>
      </c>
      <c r="O47" s="10" t="str">
        <f t="shared" si="3"/>
        <v>LU000637.004</v>
      </c>
      <c r="P47" s="10" t="str">
        <f ca="1">IFERROR(__xludf.DUMMYFUNCTION("VLOOKUP(O47, IMPORTRANGE(""https://docs.google.com/spreadsheets/d/1yDAaXNsi4Mr5FtRQL4tbmSdIzhx6_m4wkOD7IG-k_eo/edit#gid=0"", ""Maths!M:N""), 2, FALSE)"),"Analyse the patterns and relationships between triangular numbers.")</f>
        <v>Analyse the patterns and relationships between triangular numbers.</v>
      </c>
      <c r="Q47" s="10" t="str">
        <f t="shared" si="4"/>
        <v>LU000637.005</v>
      </c>
      <c r="R47" s="10" t="str">
        <f ca="1">IFERROR(__xludf.DUMMYFUNCTION("VLOOKUP(Q47, IMPORTRANGE(""https://docs.google.com/spreadsheets/d/1yDAaXNsi4Mr5FtRQL4tbmSdIzhx6_m4wkOD7IG-k_eo/edit#gid=0"", ""Maths!M:N""), 2, FALSE)"),"Evaluate real-world applications of triangular numbers.")</f>
        <v>Evaluate real-world applications of triangular numbers.</v>
      </c>
      <c r="S47" s="10" t="str">
        <f t="shared" si="5"/>
        <v>LU000637.006</v>
      </c>
      <c r="T47" s="10" t="str">
        <f ca="1">IFERROR(__xludf.DUMMYFUNCTION("VLOOKUP(S47, IMPORTRANGE(""https://docs.google.com/spreadsheets/d/1yDAaXNsi4Mr5FtRQL4tbmSdIzhx6_m4wkOD7IG-k_eo/edit#gid=0"", ""Maths!M:N""), 2, FALSE)"),"#N/A")</f>
        <v>#N/A</v>
      </c>
      <c r="U47" s="52">
        <f ca="1">IFERROR(__xludf.DUMMYFUNCTION("ArrayFormula(VLOOKUP(G47, IMPORTRANGE(""https://docs.google.com/spreadsheets/d/1p7R4vtkWt5VOBim4ltsDG9KTzSjrtKXsMtQGXPHyND0/edit#gid=795171502"", ""'Filter 30_05_2024'!A1:M2000""), {2, 3, 4, 5,6,7,8,9,10,11,12,13}, 0))"),4)</f>
        <v>4</v>
      </c>
      <c r="V47" s="52">
        <f ca="1">IFERROR(__xludf.DUMMYFUNCTION("""COMPUTED_VALUE"""),6)</f>
        <v>6</v>
      </c>
      <c r="W47" s="52">
        <f ca="1">IFERROR(__xludf.DUMMYFUNCTION("""COMPUTED_VALUE"""),2)</f>
        <v>2</v>
      </c>
      <c r="X47" s="52">
        <f ca="1">IFERROR(__xludf.DUMMYFUNCTION("""COMPUTED_VALUE"""),12)</f>
        <v>12</v>
      </c>
      <c r="Y47" s="52">
        <f ca="1">IFERROR(__xludf.DUMMYFUNCTION("""COMPUTED_VALUE"""),4)</f>
        <v>4</v>
      </c>
      <c r="Z47" s="53">
        <f ca="1">IFERROR(__xludf.DUMMYFUNCTION("""COMPUTED_VALUE"""),3)</f>
        <v>3</v>
      </c>
      <c r="AA47" s="53">
        <f ca="1">IFERROR(__xludf.DUMMYFUNCTION("""COMPUTED_VALUE"""),1)</f>
        <v>1</v>
      </c>
      <c r="AB47" s="53">
        <f ca="1">IFERROR(__xludf.DUMMYFUNCTION("""COMPUTED_VALUE"""),8)</f>
        <v>8</v>
      </c>
      <c r="AC47" s="53"/>
      <c r="AD47" s="53"/>
      <c r="AE47" s="53"/>
      <c r="AF47" s="53"/>
      <c r="AG47" s="8" t="str">
        <f ca="1">IFERROR(__xludf.DUMMYFUNCTION("ArrayFormula(VLOOKUP(G47, IMPORTRANGE(""https://docs.google.com/spreadsheets/d/1Co934fvtviyaRiMsrIlT05Jaq7iiYq07aLvRr35KA48/edit?gid=173865642#gid=173865642"", ""'G8_Maths_Pri_LU'!G2:V2000""), {3, 4, 5, 6, 7, 8, 9, 10, 11, 12, 13, 14, 15, 16}, 0))"),"")</f>
        <v/>
      </c>
      <c r="AH47" s="8"/>
      <c r="AI47" s="8"/>
      <c r="AJ47" s="8"/>
      <c r="AK47" s="8"/>
      <c r="AL47" s="8"/>
      <c r="AM47" s="8"/>
      <c r="AN47" s="8"/>
      <c r="AO47" s="8"/>
      <c r="AP47" s="8"/>
      <c r="AQ47" s="8"/>
      <c r="AR47" s="8"/>
      <c r="AS47" s="8"/>
      <c r="AT47" s="8"/>
      <c r="AU47" s="8"/>
      <c r="AV47" s="8"/>
      <c r="AW47" s="8"/>
      <c r="AX47" s="8"/>
      <c r="AY47" s="8"/>
      <c r="AZ47" s="8"/>
      <c r="BA47" s="8"/>
      <c r="BB47" s="8"/>
      <c r="BC47" s="8"/>
      <c r="BD47" s="8"/>
      <c r="BE47" s="8"/>
    </row>
    <row r="48" spans="1:57">
      <c r="A48" s="8" t="s">
        <v>247</v>
      </c>
      <c r="B48" s="8" t="s">
        <v>47</v>
      </c>
      <c r="C48" s="8" t="s">
        <v>731</v>
      </c>
      <c r="D48" s="8" t="s">
        <v>732</v>
      </c>
      <c r="E48" s="8" t="s">
        <v>800</v>
      </c>
      <c r="F48" s="56" t="s">
        <v>804</v>
      </c>
      <c r="G48" s="8" t="s">
        <v>806</v>
      </c>
      <c r="H48" s="8" t="str">
        <f ca="1">IFERROR(__xludf.DUMMYFUNCTION("VLOOKUP(G48, IMPORTRANGE(""https://docs.google.com/spreadsheets/d/14deopnvwcrKtEGCKuYXdUHJbeLDZlkiSSWWT0g7x2pM/edit#gid=999382323"", ""LU List Maths (Filter)!A:B""), 2, FALSE)"),"Addition of consecutive triangular numbers resulting to square number")</f>
        <v>Addition of consecutive triangular numbers resulting to square number</v>
      </c>
      <c r="I48" s="10" t="str">
        <f t="shared" si="0"/>
        <v>LU000638.001</v>
      </c>
      <c r="J48" s="10" t="str">
        <f ca="1">IFERROR(__xludf.DUMMYFUNCTION("VLOOKUP(I48, IMPORTRANGE(""https://docs.google.com/spreadsheets/d/1yDAaXNsi4Mr5FtRQL4tbmSdIzhx6_m4wkOD7IG-k_eo/edit#gid=0"", ""Maths!M:N""), 2, FALSE)"),"State the definition of triangular numbers and square numbers.")</f>
        <v>State the definition of triangular numbers and square numbers.</v>
      </c>
      <c r="K48" s="10" t="str">
        <f t="shared" si="1"/>
        <v>LU000638.002</v>
      </c>
      <c r="L48" s="10" t="str">
        <f ca="1">IFERROR(__xludf.DUMMYFUNCTION("VLOOKUP(K48, IMPORTRANGE(""https://docs.google.com/spreadsheets/d/1yDAaXNsi4Mr5FtRQL4tbmSdIzhx6_m4wkOD7IG-k_eo/edit#gid=0"", ""Maths!M:N""), 2, FALSE)"),"Explain how the sum of two consecutive triangular numbers forms a square number.")</f>
        <v>Explain how the sum of two consecutive triangular numbers forms a square number.</v>
      </c>
      <c r="M48" s="10" t="str">
        <f t="shared" si="2"/>
        <v>LU000638.003</v>
      </c>
      <c r="N48" s="10" t="str">
        <f ca="1">IFERROR(__xludf.DUMMYFUNCTION("VLOOKUP(M48, IMPORTRANGE(""https://docs.google.com/spreadsheets/d/1yDAaXNsi4Mr5FtRQL4tbmSdIzhx6_m4wkOD7IG-k_eo/edit#gid=0"", ""Maths!M:N""), 2, FALSE)"),"Calculate the triangular numbers that, when added together, result in a square number.")</f>
        <v>Calculate the triangular numbers that, when added together, result in a square number.</v>
      </c>
      <c r="O48" s="10" t="str">
        <f t="shared" si="3"/>
        <v>LU000638.004</v>
      </c>
      <c r="P48" s="10" t="str">
        <f ca="1">IFERROR(__xludf.DUMMYFUNCTION("VLOOKUP(O48, IMPORTRANGE(""https://docs.google.com/spreadsheets/d/1yDAaXNsi4Mr5FtRQL4tbmSdIzhx6_m4wkOD7IG-k_eo/edit#gid=0"", ""Maths!M:N""), 2, FALSE)"),"Investigate how the relationship between these numbers can be proven mathematically.")</f>
        <v>Investigate how the relationship between these numbers can be proven mathematically.</v>
      </c>
      <c r="Q48" s="10" t="str">
        <f t="shared" si="4"/>
        <v>LU000638.005</v>
      </c>
      <c r="R48" s="10" t="str">
        <f ca="1">IFERROR(__xludf.DUMMYFUNCTION("VLOOKUP(Q48, IMPORTRANGE(""https://docs.google.com/spreadsheets/d/1yDAaXNsi4Mr5FtRQL4tbmSdIzhx6_m4wkOD7IG-k_eo/edit#gid=0"", ""Maths!M:N""), 2, FALSE)"),"#N/A")</f>
        <v>#N/A</v>
      </c>
      <c r="S48" s="10" t="str">
        <f t="shared" si="5"/>
        <v>LU000638.006</v>
      </c>
      <c r="T48" s="10" t="str">
        <f ca="1">IFERROR(__xludf.DUMMYFUNCTION("VLOOKUP(S48, IMPORTRANGE(""https://docs.google.com/spreadsheets/d/1yDAaXNsi4Mr5FtRQL4tbmSdIzhx6_m4wkOD7IG-k_eo/edit#gid=0"", ""Maths!M:N""), 2, FALSE)"),"Invent a unique pattern or sequence involving triangular numbers and square numbers and explain its characteristics.")</f>
        <v>Invent a unique pattern or sequence involving triangular numbers and square numbers and explain its characteristics.</v>
      </c>
      <c r="U48" s="52">
        <f ca="1">IFERROR(__xludf.DUMMYFUNCTION("ArrayFormula(VLOOKUP(G48, IMPORTRANGE(""https://docs.google.com/spreadsheets/d/1p7R4vtkWt5VOBim4ltsDG9KTzSjrtKXsMtQGXPHyND0/edit#gid=795171502"", ""'Filter 30_05_2024'!A1:M2000""), {2, 3, 4, 5,6,7,8,9,10,11,12,13}, 0))"),4)</f>
        <v>4</v>
      </c>
      <c r="V48" s="52">
        <f ca="1">IFERROR(__xludf.DUMMYFUNCTION("""COMPUTED_VALUE"""),6)</f>
        <v>6</v>
      </c>
      <c r="W48" s="52">
        <f ca="1">IFERROR(__xludf.DUMMYFUNCTION("""COMPUTED_VALUE"""),2)</f>
        <v>2</v>
      </c>
      <c r="X48" s="52">
        <f ca="1">IFERROR(__xludf.DUMMYFUNCTION("""COMPUTED_VALUE"""),12)</f>
        <v>12</v>
      </c>
      <c r="Y48" s="52">
        <f ca="1">IFERROR(__xludf.DUMMYFUNCTION("""COMPUTED_VALUE"""),4)</f>
        <v>4</v>
      </c>
      <c r="Z48" s="53">
        <f ca="1">IFERROR(__xludf.DUMMYFUNCTION("""COMPUTED_VALUE"""),3)</f>
        <v>3</v>
      </c>
      <c r="AA48" s="53">
        <f ca="1">IFERROR(__xludf.DUMMYFUNCTION("""COMPUTED_VALUE"""),1)</f>
        <v>1</v>
      </c>
      <c r="AB48" s="53">
        <f ca="1">IFERROR(__xludf.DUMMYFUNCTION("""COMPUTED_VALUE"""),8)</f>
        <v>8</v>
      </c>
      <c r="AC48" s="53"/>
      <c r="AD48" s="53"/>
      <c r="AE48" s="53"/>
      <c r="AF48" s="53"/>
      <c r="AG48" s="8" t="str">
        <f ca="1">IFERROR(__xludf.DUMMYFUNCTION("ArrayFormula(VLOOKUP(G48, IMPORTRANGE(""https://docs.google.com/spreadsheets/d/1Co934fvtviyaRiMsrIlT05Jaq7iiYq07aLvRr35KA48/edit?gid=173865642#gid=173865642"", ""'G8_Maths_Pri_LU'!G2:V2000""), {3, 4, 5, 6, 7, 8, 9, 10, 11, 12, 13, 14, 15, 16}, 0))"),"LU000637")</f>
        <v>LU000637</v>
      </c>
      <c r="AH48" s="8" t="str">
        <f ca="1">IFERROR(__xludf.DUMMYFUNCTION("""COMPUTED_VALUE"""),"Definition of triangular numbers")</f>
        <v>Definition of triangular numbers</v>
      </c>
      <c r="AI48" s="8" t="str">
        <f ca="1">IFERROR(__xludf.DUMMYFUNCTION("""COMPUTED_VALUE"""),"LU000636")</f>
        <v>LU000636</v>
      </c>
      <c r="AJ48" s="8" t="str">
        <f ca="1">IFERROR(__xludf.DUMMYFUNCTION("""COMPUTED_VALUE"""),"Definition and representation of square numbers/perfect square numbers")</f>
        <v>Definition and representation of square numbers/perfect square numbers</v>
      </c>
      <c r="AK48" s="8"/>
      <c r="AL48" s="8"/>
      <c r="AM48" s="8"/>
      <c r="AN48" s="8"/>
      <c r="AO48" s="8"/>
      <c r="AP48" s="8"/>
      <c r="AQ48" s="8"/>
      <c r="AR48" s="8"/>
      <c r="AS48" s="8"/>
      <c r="AT48" s="8"/>
      <c r="AU48" s="8"/>
      <c r="AV48" s="8"/>
      <c r="AW48" s="8"/>
      <c r="AX48" s="8"/>
      <c r="AY48" s="8"/>
      <c r="AZ48" s="8"/>
      <c r="BA48" s="8"/>
      <c r="BB48" s="8"/>
      <c r="BC48" s="8"/>
      <c r="BD48" s="8"/>
      <c r="BE48" s="8"/>
    </row>
    <row r="49" spans="1:57">
      <c r="A49" s="8" t="s">
        <v>247</v>
      </c>
      <c r="B49" s="8" t="s">
        <v>47</v>
      </c>
      <c r="C49" s="8" t="s">
        <v>731</v>
      </c>
      <c r="D49" s="8" t="s">
        <v>732</v>
      </c>
      <c r="E49" s="8" t="s">
        <v>800</v>
      </c>
      <c r="F49" s="57" t="s">
        <v>807</v>
      </c>
      <c r="G49" s="8" t="s">
        <v>808</v>
      </c>
      <c r="H49" s="8" t="str">
        <f ca="1">IFERROR(__xludf.DUMMYFUNCTION("VLOOKUP(G49, IMPORTRANGE(""https://docs.google.com/spreadsheets/d/14deopnvwcrKtEGCKuYXdUHJbeLDZlkiSSWWT0g7x2pM/edit#gid=999382323"", ""LU List Maths (Filter)!A:B""), 2, FALSE)"),"Non square numbers between any two consecutive square numbers")</f>
        <v>Non square numbers between any two consecutive square numbers</v>
      </c>
      <c r="I49" s="10" t="str">
        <f t="shared" si="0"/>
        <v>LU000639.001</v>
      </c>
      <c r="J49" s="10" t="str">
        <f ca="1">IFERROR(__xludf.DUMMYFUNCTION("VLOOKUP(I49, IMPORTRANGE(""https://docs.google.com/spreadsheets/d/1yDAaXNsi4Mr5FtRQL4tbmSdIzhx6_m4wkOD7IG-k_eo/edit#gid=0"", ""Maths!M:N""), 2, FALSE)"),"Recall the definition of square numbers and identify the first few square numbers.")</f>
        <v>Recall the definition of square numbers and identify the first few square numbers.</v>
      </c>
      <c r="K49" s="10" t="str">
        <f t="shared" si="1"/>
        <v>LU000639.002</v>
      </c>
      <c r="L49" s="10" t="str">
        <f ca="1">IFERROR(__xludf.DUMMYFUNCTION("VLOOKUP(K49, IMPORTRANGE(""https://docs.google.com/spreadsheets/d/1yDAaXNsi4Mr5FtRQL4tbmSdIzhx6_m4wkOD7IG-k_eo/edit#gid=0"", ""Maths!M:N""), 2, FALSE)"),"Describe the relationship between consecutive square numbers and the non-square numbers that lie between them.")</f>
        <v>Describe the relationship between consecutive square numbers and the non-square numbers that lie between them.</v>
      </c>
      <c r="M49" s="10" t="str">
        <f t="shared" si="2"/>
        <v>LU000639.003</v>
      </c>
      <c r="N49" s="10" t="str">
        <f ca="1">IFERROR(__xludf.DUMMYFUNCTION("VLOOKUP(M49, IMPORTRANGE(""https://docs.google.com/spreadsheets/d/1yDAaXNsi4Mr5FtRQL4tbmSdIzhx6_m4wkOD7IG-k_eo/edit#gid=0"", ""Maths!M:N""), 2, FALSE)"),"Utilise the knowledge of square numbers to identify and list non-square numbers between consecutive squares.")</f>
        <v>Utilise the knowledge of square numbers to identify and list non-square numbers between consecutive squares.</v>
      </c>
      <c r="O49" s="10" t="str">
        <f t="shared" si="3"/>
        <v>LU000639.004</v>
      </c>
      <c r="P49" s="10" t="str">
        <f ca="1">IFERROR(__xludf.DUMMYFUNCTION("VLOOKUP(O49, IMPORTRANGE(""https://docs.google.com/spreadsheets/d/1yDAaXNsi4Mr5FtRQL4tbmSdIzhx6_m4wkOD7IG-k_eo/edit#gid=0"", ""Maths!M:N""), 2, FALSE)"),"Identify a pair of consecutive square numbers with the highest density of non-square numbers between them with given conditions.")</f>
        <v>Identify a pair of consecutive square numbers with the highest density of non-square numbers between them with given conditions.</v>
      </c>
      <c r="Q49" s="10" t="str">
        <f t="shared" si="4"/>
        <v>LU000639.005</v>
      </c>
      <c r="R49" s="10" t="str">
        <f ca="1">IFERROR(__xludf.DUMMYFUNCTION("VLOOKUP(Q49, IMPORTRANGE(""https://docs.google.com/spreadsheets/d/1yDAaXNsi4Mr5FtRQL4tbmSdIzhx6_m4wkOD7IG-k_eo/edit#gid=0"", ""Maths!M:N""), 2, FALSE)"),"#N/A")</f>
        <v>#N/A</v>
      </c>
      <c r="S49" s="10" t="str">
        <f t="shared" si="5"/>
        <v>LU000639.006</v>
      </c>
      <c r="T49" s="10" t="str">
        <f ca="1">IFERROR(__xludf.DUMMYFUNCTION("VLOOKUP(S49, IMPORTRANGE(""https://docs.google.com/spreadsheets/d/1yDAaXNsi4Mr5FtRQL4tbmSdIzhx6_m4wkOD7IG-k_eo/edit#gid=0"", ""Maths!M:N""), 2, FALSE)"),"Create a scenario to find a pair of consecutive square numbers with the highest density of non-square numbers between them.")</f>
        <v>Create a scenario to find a pair of consecutive square numbers with the highest density of non-square numbers between them.</v>
      </c>
      <c r="U49" s="52">
        <f ca="1">IFERROR(__xludf.DUMMYFUNCTION("ArrayFormula(VLOOKUP(G49, IMPORTRANGE(""https://docs.google.com/spreadsheets/d/1p7R4vtkWt5VOBim4ltsDG9KTzSjrtKXsMtQGXPHyND0/edit#gid=795171502"", ""'Filter 30_05_2024'!A1:M2000""), {2, 3, 4, 5,6,7,8,9,10,11,12,13}, 0))"),4)</f>
        <v>4</v>
      </c>
      <c r="V49" s="52">
        <f ca="1">IFERROR(__xludf.DUMMYFUNCTION("""COMPUTED_VALUE"""),6)</f>
        <v>6</v>
      </c>
      <c r="W49" s="52">
        <f ca="1">IFERROR(__xludf.DUMMYFUNCTION("""COMPUTED_VALUE"""),2)</f>
        <v>2</v>
      </c>
      <c r="X49" s="52">
        <f ca="1">IFERROR(__xludf.DUMMYFUNCTION("""COMPUTED_VALUE"""),12)</f>
        <v>12</v>
      </c>
      <c r="Y49" s="52">
        <f ca="1">IFERROR(__xludf.DUMMYFUNCTION("""COMPUTED_VALUE"""),4)</f>
        <v>4</v>
      </c>
      <c r="Z49" s="53">
        <f ca="1">IFERROR(__xludf.DUMMYFUNCTION("""COMPUTED_VALUE"""),3)</f>
        <v>3</v>
      </c>
      <c r="AA49" s="53">
        <f ca="1">IFERROR(__xludf.DUMMYFUNCTION("""COMPUTED_VALUE"""),1)</f>
        <v>1</v>
      </c>
      <c r="AB49" s="53">
        <f ca="1">IFERROR(__xludf.DUMMYFUNCTION("""COMPUTED_VALUE"""),8)</f>
        <v>8</v>
      </c>
      <c r="AC49" s="53"/>
      <c r="AD49" s="53"/>
      <c r="AE49" s="53"/>
      <c r="AF49" s="53"/>
      <c r="AG49" s="8" t="str">
        <f ca="1">IFERROR(__xludf.DUMMYFUNCTION("ArrayFormula(VLOOKUP(G49, IMPORTRANGE(""https://docs.google.com/spreadsheets/d/1Co934fvtviyaRiMsrIlT05Jaq7iiYq07aLvRr35KA48/edit?gid=173865642#gid=173865642"", ""'G8_Maths_Pri_LU'!G2:V2000""), {3, 4, 5, 6, 7, 8, 9, 10, 11, 12, 13, 14, 15, 16}, 0))"),"LU000636")</f>
        <v>LU000636</v>
      </c>
      <c r="AH49" s="8" t="str">
        <f ca="1">IFERROR(__xludf.DUMMYFUNCTION("""COMPUTED_VALUE"""),"Definition and representation of square numbers/perfect square numbers")</f>
        <v>Definition and representation of square numbers/perfect square numbers</v>
      </c>
      <c r="AI49" s="8"/>
      <c r="AJ49" s="8"/>
      <c r="AK49" s="8"/>
      <c r="AL49" s="8"/>
      <c r="AM49" s="8"/>
      <c r="AN49" s="8"/>
      <c r="AO49" s="8"/>
      <c r="AP49" s="8"/>
      <c r="AQ49" s="8"/>
      <c r="AR49" s="8"/>
      <c r="AS49" s="8"/>
      <c r="AT49" s="8"/>
      <c r="AU49" s="8"/>
      <c r="AV49" s="8"/>
      <c r="AW49" s="8"/>
      <c r="AX49" s="8"/>
      <c r="AY49" s="8"/>
      <c r="AZ49" s="8"/>
      <c r="BA49" s="8"/>
      <c r="BB49" s="8"/>
      <c r="BC49" s="8"/>
      <c r="BD49" s="8"/>
      <c r="BE49" s="8"/>
    </row>
    <row r="50" spans="1:57">
      <c r="A50" s="8" t="s">
        <v>247</v>
      </c>
      <c r="B50" s="8" t="s">
        <v>47</v>
      </c>
      <c r="C50" s="8" t="s">
        <v>731</v>
      </c>
      <c r="D50" s="8" t="s">
        <v>732</v>
      </c>
      <c r="E50" s="8" t="s">
        <v>800</v>
      </c>
      <c r="F50" s="57" t="s">
        <v>807</v>
      </c>
      <c r="G50" s="8" t="s">
        <v>809</v>
      </c>
      <c r="H50" s="8" t="str">
        <f ca="1">IFERROR(__xludf.DUMMYFUNCTION("VLOOKUP(G50, IMPORTRANGE(""https://docs.google.com/spreadsheets/d/14deopnvwcrKtEGCKuYXdUHJbeLDZlkiSSWWT0g7x2pM/edit#gid=999382323"", ""LU List Maths (Filter)!A:B""), 2, FALSE)"),"Difference between two consecutive square numbers")</f>
        <v>Difference between two consecutive square numbers</v>
      </c>
      <c r="I50" s="10" t="str">
        <f t="shared" si="0"/>
        <v>LU000915.001</v>
      </c>
      <c r="J50" s="10" t="str">
        <f ca="1">IFERROR(__xludf.DUMMYFUNCTION("VLOOKUP(I50, IMPORTRANGE(""https://docs.google.com/spreadsheets/d/1yDAaXNsi4Mr5FtRQL4tbmSdIzhx6_m4wkOD7IG-k_eo/edit#gid=0"", ""Maths!M:N""), 2, FALSE)"),"State the pattern in the difference between squares of consecutive numbers")</f>
        <v>State the pattern in the difference between squares of consecutive numbers</v>
      </c>
      <c r="K50" s="10" t="str">
        <f t="shared" si="1"/>
        <v>LU000915.002</v>
      </c>
      <c r="L50" s="10" t="str">
        <f ca="1">IFERROR(__xludf.DUMMYFUNCTION("VLOOKUP(K50, IMPORTRANGE(""https://docs.google.com/spreadsheets/d/1yDAaXNsi4Mr5FtRQL4tbmSdIzhx6_m4wkOD7IG-k_eo/edit#gid=0"", ""Maths!M:N""), 2, FALSE)"),"Explain why the difference between two consecutive square numbers follows a particular pattern")</f>
        <v>Explain why the difference between two consecutive square numbers follows a particular pattern</v>
      </c>
      <c r="M50" s="10" t="str">
        <f t="shared" si="2"/>
        <v>LU000915.003</v>
      </c>
      <c r="N50" s="10" t="str">
        <f ca="1">IFERROR(__xludf.DUMMYFUNCTION("VLOOKUP(M50, IMPORTRANGE(""https://docs.google.com/spreadsheets/d/1yDAaXNsi4Mr5FtRQL4tbmSdIzhx6_m4wkOD7IG-k_eo/edit#gid=0"", ""Maths!M:N""), 2, FALSE)"),"Apply the knowledge of finding the difference between two consecutive square numbers to calculate the difference between squares of consecutive numbers in various problems")</f>
        <v>Apply the knowledge of finding the difference between two consecutive square numbers to calculate the difference between squares of consecutive numbers in various problems</v>
      </c>
      <c r="O50" s="10" t="str">
        <f t="shared" si="3"/>
        <v>LU000915.004</v>
      </c>
      <c r="P50" s="10" t="str">
        <f ca="1">IFERROR(__xludf.DUMMYFUNCTION("VLOOKUP(O50, IMPORTRANGE(""https://docs.google.com/spreadsheets/d/1yDAaXNsi4Mr5FtRQL4tbmSdIzhx6_m4wkOD7IG-k_eo/edit#gid=0"", ""Maths!M:N""), 2, FALSE)"),"Analyze the pattern of finding difference between two consecutive square numbers in different contexts")</f>
        <v>Analyze the pattern of finding difference between two consecutive square numbers in different contexts</v>
      </c>
      <c r="Q50" s="10" t="str">
        <f t="shared" si="4"/>
        <v>LU000915.005</v>
      </c>
      <c r="R50" s="10" t="str">
        <f ca="1">IFERROR(__xludf.DUMMYFUNCTION("VLOOKUP(Q50, IMPORTRANGE(""https://docs.google.com/spreadsheets/d/1yDAaXNsi4Mr5FtRQL4tbmSdIzhx6_m4wkOD7IG-k_eo/edit#gid=0"", ""Maths!M:N""), 2, FALSE)"),"Evaluate the application of the concept of finding the difference between two consecutive square numbers in solving problems")</f>
        <v>Evaluate the application of the concept of finding the difference between two consecutive square numbers in solving problems</v>
      </c>
      <c r="S50" s="10" t="str">
        <f t="shared" si="5"/>
        <v>LU000915.006</v>
      </c>
      <c r="T50" s="10" t="str">
        <f ca="1">IFERROR(__xludf.DUMMYFUNCTION("VLOOKUP(S50, IMPORTRANGE(""https://docs.google.com/spreadsheets/d/1yDAaXNsi4Mr5FtRQL4tbmSdIzhx6_m4wkOD7IG-k_eo/edit#gid=0"", ""Maths!M:N""), 2, FALSE)"),"Create new problems that involve the difference between consecutive square numbers")</f>
        <v>Create new problems that involve the difference between consecutive square numbers</v>
      </c>
      <c r="U50" s="52">
        <f ca="1">IFERROR(__xludf.DUMMYFUNCTION("ArrayFormula(VLOOKUP(G50, IMPORTRANGE(""https://docs.google.com/spreadsheets/d/1p7R4vtkWt5VOBim4ltsDG9KTzSjrtKXsMtQGXPHyND0/edit#gid=795171502"", ""'Filter 30_05_2024'!A1:M2000""), {2, 3, 4, 5,6,7,8,9,10,11,12,13}, 0))"),4)</f>
        <v>4</v>
      </c>
      <c r="V50" s="52">
        <f ca="1">IFERROR(__xludf.DUMMYFUNCTION("""COMPUTED_VALUE"""),6)</f>
        <v>6</v>
      </c>
      <c r="W50" s="52">
        <f ca="1">IFERROR(__xludf.DUMMYFUNCTION("""COMPUTED_VALUE"""),2)</f>
        <v>2</v>
      </c>
      <c r="X50" s="52">
        <f ca="1">IFERROR(__xludf.DUMMYFUNCTION("""COMPUTED_VALUE"""),12)</f>
        <v>12</v>
      </c>
      <c r="Y50" s="52">
        <f ca="1">IFERROR(__xludf.DUMMYFUNCTION("""COMPUTED_VALUE"""),4)</f>
        <v>4</v>
      </c>
      <c r="Z50" s="53">
        <f ca="1">IFERROR(__xludf.DUMMYFUNCTION("""COMPUTED_VALUE"""),3)</f>
        <v>3</v>
      </c>
      <c r="AA50" s="53">
        <f ca="1">IFERROR(__xludf.DUMMYFUNCTION("""COMPUTED_VALUE"""),1)</f>
        <v>1</v>
      </c>
      <c r="AB50" s="53">
        <f ca="1">IFERROR(__xludf.DUMMYFUNCTION("""COMPUTED_VALUE"""),8)</f>
        <v>8</v>
      </c>
      <c r="AC50" s="53"/>
      <c r="AD50" s="53"/>
      <c r="AE50" s="53"/>
      <c r="AF50" s="53"/>
      <c r="AG50" s="8" t="str">
        <f ca="1">IFERROR(__xludf.DUMMYFUNCTION("ArrayFormula(VLOOKUP(G50, IMPORTRANGE(""https://docs.google.com/spreadsheets/d/1Co934fvtviyaRiMsrIlT05Jaq7iiYq07aLvRr35KA48/edit?gid=173865642#gid=173865642"", ""'G8_Maths_Pri_LU'!G2:V2000""), {3, 4, 5, 6, 7, 8, 9, 10, 11, 12, 13, 14, 15, 16}, 0))"),"LU000636")</f>
        <v>LU000636</v>
      </c>
      <c r="AH50" s="8" t="str">
        <f ca="1">IFERROR(__xludf.DUMMYFUNCTION("""COMPUTED_VALUE"""),"Definition and representation of square numbers/perfect square numbers")</f>
        <v>Definition and representation of square numbers/perfect square numbers</v>
      </c>
      <c r="AI50" s="8"/>
      <c r="AJ50" s="8"/>
      <c r="AK50" s="8"/>
      <c r="AL50" s="8"/>
      <c r="AM50" s="8"/>
      <c r="AN50" s="8"/>
      <c r="AO50" s="8"/>
      <c r="AP50" s="8"/>
      <c r="AQ50" s="8"/>
      <c r="AR50" s="8"/>
      <c r="AS50" s="8"/>
      <c r="AT50" s="8"/>
      <c r="AU50" s="8"/>
      <c r="AV50" s="8"/>
      <c r="AW50" s="8"/>
      <c r="AX50" s="8"/>
      <c r="AY50" s="8"/>
      <c r="AZ50" s="8"/>
      <c r="BA50" s="8"/>
      <c r="BB50" s="8"/>
      <c r="BC50" s="8"/>
      <c r="BD50" s="8"/>
      <c r="BE50" s="8"/>
    </row>
    <row r="51" spans="1:57">
      <c r="A51" s="8" t="s">
        <v>247</v>
      </c>
      <c r="B51" s="8" t="s">
        <v>47</v>
      </c>
      <c r="C51" s="8" t="s">
        <v>731</v>
      </c>
      <c r="D51" s="8" t="s">
        <v>732</v>
      </c>
      <c r="E51" s="8" t="s">
        <v>800</v>
      </c>
      <c r="F51" s="54" t="s">
        <v>810</v>
      </c>
      <c r="G51" s="8" t="s">
        <v>811</v>
      </c>
      <c r="H51" s="8" t="str">
        <f ca="1">IFERROR(__xludf.DUMMYFUNCTION("VLOOKUP(G51, IMPORTRANGE(""https://docs.google.com/spreadsheets/d/14deopnvwcrKtEGCKuYXdUHJbeLDZlkiSSWWT0g7x2pM/edit#gid=999382323"", ""LU List Maths (Filter)!A:B""), 2, FALSE)"),"Addition of first n odd numbers result to square number n^2")</f>
        <v>Addition of first n odd numbers result to square number n^2</v>
      </c>
      <c r="I51" s="10" t="str">
        <f t="shared" si="0"/>
        <v>LU000640.001</v>
      </c>
      <c r="J51" s="10" t="str">
        <f ca="1">IFERROR(__xludf.DUMMYFUNCTION("VLOOKUP(I51, IMPORTRANGE(""https://docs.google.com/spreadsheets/d/1yDAaXNsi4Mr5FtRQL4tbmSdIzhx6_m4wkOD7IG-k_eo/edit#gid=0"", ""Maths!M:N""), 2, FALSE)"),"State the formula for the sum of the first n odd numbers.")</f>
        <v>State the formula for the sum of the first n odd numbers.</v>
      </c>
      <c r="K51" s="10" t="str">
        <f t="shared" si="1"/>
        <v>LU000640.002</v>
      </c>
      <c r="L51" s="10" t="str">
        <f ca="1">IFERROR(__xludf.DUMMYFUNCTION("VLOOKUP(K51, IMPORTRANGE(""https://docs.google.com/spreadsheets/d/1yDAaXNsi4Mr5FtRQL4tbmSdIzhx6_m4wkOD7IG-k_eo/edit#gid=0"", ""Maths!M:N""), 2, FALSE)"),"Describe why the sum of the first n odd numbers always results in a square number.")</f>
        <v>Describe why the sum of the first n odd numbers always results in a square number.</v>
      </c>
      <c r="M51" s="10" t="str">
        <f t="shared" si="2"/>
        <v>LU000640.003</v>
      </c>
      <c r="N51" s="10" t="str">
        <f ca="1">IFERROR(__xludf.DUMMYFUNCTION("VLOOKUP(M51, IMPORTRANGE(""https://docs.google.com/spreadsheets/d/1yDAaXNsi4Mr5FtRQL4tbmSdIzhx6_m4wkOD7IG-k_eo/edit#gid=0"", ""Maths!M:N""), 2, FALSE)"),"Utilise the formula for the sum of the first n odd numbers to find specific examples of square numbers.")</f>
        <v>Utilise the formula for the sum of the first n odd numbers to find specific examples of square numbers.</v>
      </c>
      <c r="O51" s="10" t="str">
        <f t="shared" si="3"/>
        <v>LU000640.004</v>
      </c>
      <c r="P51" s="10" t="str">
        <f ca="1">IFERROR(__xludf.DUMMYFUNCTION("VLOOKUP(O51, IMPORTRANGE(""https://docs.google.com/spreadsheets/d/1yDAaXNsi4Mr5FtRQL4tbmSdIzhx6_m4wkOD7IG-k_eo/edit#gid=0"", ""Maths!M:N""), 2, FALSE)"),"Analyse patterns in the sums of the first n odd numbers to understand their relationship with square numbers.")</f>
        <v>Analyse patterns in the sums of the first n odd numbers to understand their relationship with square numbers.</v>
      </c>
      <c r="Q51" s="10" t="str">
        <f t="shared" si="4"/>
        <v>LU000640.005</v>
      </c>
      <c r="R51" s="10" t="str">
        <f ca="1">IFERROR(__xludf.DUMMYFUNCTION("VLOOKUP(Q51, IMPORTRANGE(""https://docs.google.com/spreadsheets/d/1yDAaXNsi4Mr5FtRQL4tbmSdIzhx6_m4wkOD7IG-k_eo/edit#gid=0"", ""Maths!M:N""), 2, FALSE)"),"Assess the validity of the statement that the sum of the first n odd numbers is always a square number.")</f>
        <v>Assess the validity of the statement that the sum of the first n odd numbers is always a square number.</v>
      </c>
      <c r="S51" s="10" t="str">
        <f t="shared" si="5"/>
        <v>LU000640.006</v>
      </c>
      <c r="T51" s="10" t="str">
        <f ca="1">IFERROR(__xludf.DUMMYFUNCTION("VLOOKUP(S51, IMPORTRANGE(""https://docs.google.com/spreadsheets/d/1yDAaXNsi4Mr5FtRQL4tbmSdIzhx6_m4wkOD7IG-k_eo/edit#gid=0"", ""Maths!M:N""), 2, FALSE)"),"#N/A")</f>
        <v>#N/A</v>
      </c>
      <c r="U51" s="52">
        <f ca="1">IFERROR(__xludf.DUMMYFUNCTION("ArrayFormula(VLOOKUP(G51, IMPORTRANGE(""https://docs.google.com/spreadsheets/d/1p7R4vtkWt5VOBim4ltsDG9KTzSjrtKXsMtQGXPHyND0/edit#gid=795171502"", ""'Filter 30_05_2024'!A1:M2000""), {2, 3, 4, 5,6,7,8,9,10,11,12,13}, 0))"),4)</f>
        <v>4</v>
      </c>
      <c r="V51" s="52">
        <f ca="1">IFERROR(__xludf.DUMMYFUNCTION("""COMPUTED_VALUE"""),6)</f>
        <v>6</v>
      </c>
      <c r="W51" s="52">
        <f ca="1">IFERROR(__xludf.DUMMYFUNCTION("""COMPUTED_VALUE"""),2)</f>
        <v>2</v>
      </c>
      <c r="X51" s="52">
        <f ca="1">IFERROR(__xludf.DUMMYFUNCTION("""COMPUTED_VALUE"""),12)</f>
        <v>12</v>
      </c>
      <c r="Y51" s="52">
        <f ca="1">IFERROR(__xludf.DUMMYFUNCTION("""COMPUTED_VALUE"""),4)</f>
        <v>4</v>
      </c>
      <c r="Z51" s="53">
        <f ca="1">IFERROR(__xludf.DUMMYFUNCTION("""COMPUTED_VALUE"""),3)</f>
        <v>3</v>
      </c>
      <c r="AA51" s="53">
        <f ca="1">IFERROR(__xludf.DUMMYFUNCTION("""COMPUTED_VALUE"""),1)</f>
        <v>1</v>
      </c>
      <c r="AB51" s="53">
        <f ca="1">IFERROR(__xludf.DUMMYFUNCTION("""COMPUTED_VALUE"""),8)</f>
        <v>8</v>
      </c>
      <c r="AC51" s="53"/>
      <c r="AD51" s="53"/>
      <c r="AE51" s="53"/>
      <c r="AF51" s="53"/>
      <c r="AG51" s="8" t="str">
        <f ca="1">IFERROR(__xludf.DUMMYFUNCTION("ArrayFormula(VLOOKUP(G51, IMPORTRANGE(""https://docs.google.com/spreadsheets/d/1Co934fvtviyaRiMsrIlT05Jaq7iiYq07aLvRr35KA48/edit?gid=173865642#gid=173865642"", ""'G8_Maths_Pri_LU'!G2:V2000""), {3, 4, 5, 6, 7, 8, 9, 10, 11, 12, 13, 14, 15, 16}, 0))"),"LU000636")</f>
        <v>LU000636</v>
      </c>
      <c r="AH51" s="8" t="str">
        <f ca="1">IFERROR(__xludf.DUMMYFUNCTION("""COMPUTED_VALUE"""),"Definition and representation of square numbers/perfect square numbers")</f>
        <v>Definition and representation of square numbers/perfect square numbers</v>
      </c>
      <c r="AI51" s="8" t="str">
        <f ca="1">IFERROR(__xludf.DUMMYFUNCTION("""COMPUTED_VALUE"""),"LU000198")</f>
        <v>LU000198</v>
      </c>
      <c r="AJ51" s="8" t="str">
        <f ca="1">IFERROR(__xludf.DUMMYFUNCTION("""COMPUTED_VALUE"""),"Odd number")</f>
        <v>Odd number</v>
      </c>
      <c r="AK51" s="8"/>
      <c r="AL51" s="8"/>
      <c r="AM51" s="8"/>
      <c r="AN51" s="8"/>
      <c r="AO51" s="8"/>
      <c r="AP51" s="8"/>
      <c r="AQ51" s="8"/>
      <c r="AR51" s="8"/>
      <c r="AS51" s="8"/>
      <c r="AT51" s="8"/>
      <c r="AU51" s="8"/>
      <c r="AV51" s="8"/>
      <c r="AW51" s="8"/>
      <c r="AX51" s="8"/>
      <c r="AY51" s="8"/>
      <c r="AZ51" s="8"/>
      <c r="BA51" s="8"/>
      <c r="BB51" s="8"/>
      <c r="BC51" s="8"/>
      <c r="BD51" s="8"/>
      <c r="BE51" s="8"/>
    </row>
    <row r="52" spans="1:57">
      <c r="A52" s="8" t="s">
        <v>247</v>
      </c>
      <c r="B52" s="8" t="s">
        <v>47</v>
      </c>
      <c r="C52" s="8" t="s">
        <v>731</v>
      </c>
      <c r="D52" s="8" t="s">
        <v>732</v>
      </c>
      <c r="E52" s="8" t="s">
        <v>800</v>
      </c>
      <c r="F52" s="54" t="s">
        <v>810</v>
      </c>
      <c r="G52" s="8" t="s">
        <v>812</v>
      </c>
      <c r="H52" s="8" t="str">
        <f ca="1">IFERROR(__xludf.DUMMYFUNCTION("VLOOKUP(G52, IMPORTRANGE(""https://docs.google.com/spreadsheets/d/14deopnvwcrKtEGCKuYXdUHJbeLDZlkiSSWWT0g7x2pM/edit#gid=999382323"", ""LU List Maths (Filter)!A:B""), 2, FALSE)"),"Square of any odd number can be expressed as the sum of two consecutive positive integers")</f>
        <v>Square of any odd number can be expressed as the sum of two consecutive positive integers</v>
      </c>
      <c r="I52" s="10" t="str">
        <f t="shared" si="0"/>
        <v>LU000641.001</v>
      </c>
      <c r="J52" s="10" t="str">
        <f ca="1">IFERROR(__xludf.DUMMYFUNCTION("VLOOKUP(I52, IMPORTRANGE(""https://docs.google.com/spreadsheets/d/1yDAaXNsi4Mr5FtRQL4tbmSdIzhx6_m4wkOD7IG-k_eo/edit#gid=0"", ""Maths!M:N""), 2, FALSE)"),"Recall the concept of expressing the square of an odd number as the sum of two consecutive positive integers.")</f>
        <v>Recall the concept of expressing the square of an odd number as the sum of two consecutive positive integers.</v>
      </c>
      <c r="K52" s="10" t="str">
        <f t="shared" si="1"/>
        <v>LU000641.002</v>
      </c>
      <c r="L52" s="10" t="str">
        <f ca="1">IFERROR(__xludf.DUMMYFUNCTION("VLOOKUP(K52, IMPORTRANGE(""https://docs.google.com/spreadsheets/d/1yDAaXNsi4Mr5FtRQL4tbmSdIzhx6_m4wkOD7IG-k_eo/edit#gid=0"", ""Maths!M:N""), 2, FALSE)"),"Explain why it's interesting and useful to express the square of an odd number as the sum of two consecutive positive integers.")</f>
        <v>Explain why it's interesting and useful to express the square of an odd number as the sum of two consecutive positive integers.</v>
      </c>
      <c r="M52" s="10" t="str">
        <f t="shared" si="2"/>
        <v>LU000641.003</v>
      </c>
      <c r="N52" s="10" t="str">
        <f ca="1">IFERROR(__xludf.DUMMYFUNCTION("VLOOKUP(M52, IMPORTRANGE(""https://docs.google.com/spreadsheets/d/1yDAaXNsi4Mr5FtRQL4tbmSdIzhx6_m4wkOD7IG-k_eo/edit#gid=0"", ""Maths!M:N""), 2, FALSE)"),"Apply the concept to find the sum of two consecutive positive integers for a given odd number.")</f>
        <v>Apply the concept to find the sum of two consecutive positive integers for a given odd number.</v>
      </c>
      <c r="O52" s="10" t="str">
        <f t="shared" si="3"/>
        <v>LU000641.004</v>
      </c>
      <c r="P52" s="10" t="str">
        <f ca="1">IFERROR(__xludf.DUMMYFUNCTION("VLOOKUP(O52, IMPORTRANGE(""https://docs.google.com/spreadsheets/d/1yDAaXNsi4Mr5FtRQL4tbmSdIzhx6_m4wkOD7IG-k_eo/edit#gid=0"", ""Maths!M:N""), 2, FALSE)"),"Analyse various odd number squares and identify the consecutive positive integers that represent them.")</f>
        <v>Analyse various odd number squares and identify the consecutive positive integers that represent them.</v>
      </c>
      <c r="Q52" s="10" t="str">
        <f t="shared" si="4"/>
        <v>LU000641.005</v>
      </c>
      <c r="R52" s="10" t="str">
        <f ca="1">IFERROR(__xludf.DUMMYFUNCTION("VLOOKUP(Q52, IMPORTRANGE(""https://docs.google.com/spreadsheets/d/1yDAaXNsi4Mr5FtRQL4tbmSdIzhx6_m4wkOD7IG-k_eo/edit#gid=0"", ""Maths!M:N""), 2, FALSE)"),"#N/A")</f>
        <v>#N/A</v>
      </c>
      <c r="S52" s="10" t="str">
        <f t="shared" si="5"/>
        <v>LU000641.006</v>
      </c>
      <c r="T52" s="10" t="str">
        <f ca="1">IFERROR(__xludf.DUMMYFUNCTION("VLOOKUP(S52, IMPORTRANGE(""https://docs.google.com/spreadsheets/d/1yDAaXNsi4Mr5FtRQL4tbmSdIzhx6_m4wkOD7IG-k_eo/edit#gid=0"", ""Maths!M:N""), 2, FALSE)"),"#N/A")</f>
        <v>#N/A</v>
      </c>
      <c r="U52" s="52">
        <f ca="1">IFERROR(__xludf.DUMMYFUNCTION("ArrayFormula(VLOOKUP(G52, IMPORTRANGE(""https://docs.google.com/spreadsheets/d/1p7R4vtkWt5VOBim4ltsDG9KTzSjrtKXsMtQGXPHyND0/edit#gid=795171502"", ""'Filter 30_05_2024'!A1:M2000""), {2, 3, 4, 5,6,7,8,9,10,11,12,13}, 0))"),4)</f>
        <v>4</v>
      </c>
      <c r="V52" s="52">
        <f ca="1">IFERROR(__xludf.DUMMYFUNCTION("""COMPUTED_VALUE"""),6)</f>
        <v>6</v>
      </c>
      <c r="W52" s="52">
        <f ca="1">IFERROR(__xludf.DUMMYFUNCTION("""COMPUTED_VALUE"""),2)</f>
        <v>2</v>
      </c>
      <c r="X52" s="52">
        <f ca="1">IFERROR(__xludf.DUMMYFUNCTION("""COMPUTED_VALUE"""),12)</f>
        <v>12</v>
      </c>
      <c r="Y52" s="52">
        <f ca="1">IFERROR(__xludf.DUMMYFUNCTION("""COMPUTED_VALUE"""),4)</f>
        <v>4</v>
      </c>
      <c r="Z52" s="53">
        <f ca="1">IFERROR(__xludf.DUMMYFUNCTION("""COMPUTED_VALUE"""),3)</f>
        <v>3</v>
      </c>
      <c r="AA52" s="53">
        <f ca="1">IFERROR(__xludf.DUMMYFUNCTION("""COMPUTED_VALUE"""),1)</f>
        <v>1</v>
      </c>
      <c r="AB52" s="53">
        <f ca="1">IFERROR(__xludf.DUMMYFUNCTION("""COMPUTED_VALUE"""),8)</f>
        <v>8</v>
      </c>
      <c r="AC52" s="53"/>
      <c r="AD52" s="53"/>
      <c r="AE52" s="53"/>
      <c r="AF52" s="53"/>
      <c r="AG52" s="8" t="str">
        <f ca="1">IFERROR(__xludf.DUMMYFUNCTION("ArrayFormula(VLOOKUP(G52, IMPORTRANGE(""https://docs.google.com/spreadsheets/d/1Co934fvtviyaRiMsrIlT05Jaq7iiYq07aLvRr35KA48/edit?gid=173865642#gid=173865642"", ""'G8_Maths_Pri_LU'!G2:V2000""), {3, 4, 5, 6, 7, 8, 9, 10, 11, 12, 13, 14, 15, 16}, 0))"),"LU000636")</f>
        <v>LU000636</v>
      </c>
      <c r="AH52" s="8" t="str">
        <f ca="1">IFERROR(__xludf.DUMMYFUNCTION("""COMPUTED_VALUE"""),"Definition and representation of square numbers/perfect square numbers")</f>
        <v>Definition and representation of square numbers/perfect square numbers</v>
      </c>
      <c r="AI52" s="8" t="str">
        <f ca="1">IFERROR(__xludf.DUMMYFUNCTION("""COMPUTED_VALUE"""),"LU000198")</f>
        <v>LU000198</v>
      </c>
      <c r="AJ52" s="8" t="str">
        <f ca="1">IFERROR(__xludf.DUMMYFUNCTION("""COMPUTED_VALUE"""),"Odd number")</f>
        <v>Odd number</v>
      </c>
      <c r="AK52" s="8" t="str">
        <f ca="1">IFERROR(__xludf.DUMMYFUNCTION("""COMPUTED_VALUE"""),"LU000265")</f>
        <v>LU000265</v>
      </c>
      <c r="AL52" s="8" t="str">
        <f ca="1">IFERROR(__xludf.DUMMYFUNCTION("""COMPUTED_VALUE"""),"Definition of integers")</f>
        <v>Definition of integers</v>
      </c>
      <c r="AM52" s="8"/>
      <c r="AN52" s="8"/>
      <c r="AO52" s="8"/>
      <c r="AP52" s="8"/>
      <c r="AQ52" s="8"/>
      <c r="AR52" s="8"/>
      <c r="AS52" s="8"/>
      <c r="AT52" s="8"/>
      <c r="AU52" s="8"/>
      <c r="AV52" s="8"/>
      <c r="AW52" s="8"/>
      <c r="AX52" s="8"/>
      <c r="AY52" s="8"/>
      <c r="AZ52" s="8"/>
      <c r="BA52" s="8"/>
      <c r="BB52" s="8"/>
      <c r="BC52" s="8"/>
      <c r="BD52" s="8"/>
      <c r="BE52" s="8"/>
    </row>
    <row r="53" spans="1:57">
      <c r="A53" s="8" t="s">
        <v>247</v>
      </c>
      <c r="B53" s="8" t="s">
        <v>47</v>
      </c>
      <c r="C53" s="8" t="s">
        <v>731</v>
      </c>
      <c r="D53" s="8" t="s">
        <v>732</v>
      </c>
      <c r="E53" s="8" t="s">
        <v>800</v>
      </c>
      <c r="F53" s="54" t="s">
        <v>810</v>
      </c>
      <c r="G53" s="8" t="s">
        <v>813</v>
      </c>
      <c r="H53" s="8" t="str">
        <f ca="1">IFERROR(__xludf.DUMMYFUNCTION("VLOOKUP(G53, IMPORTRANGE(""https://docs.google.com/spreadsheets/d/14deopnvwcrKtEGCKuYXdUHJbeLDZlkiSSWWT0g7x2pM/edit#gid=999382323"", ""LU List Maths (Filter)!A:B""), 2, FALSE)"),"Product of two consecutive even or odd natural numbers (n+1) and (n-1) result to n^2-1")</f>
        <v>Product of two consecutive even or odd natural numbers (n+1) and (n-1) result to n^2-1</v>
      </c>
      <c r="I53" s="10" t="str">
        <f t="shared" si="0"/>
        <v>LU000642.001</v>
      </c>
      <c r="J53" s="10" t="str">
        <f ca="1">IFERROR(__xludf.DUMMYFUNCTION("VLOOKUP(I53, IMPORTRANGE(""https://docs.google.com/spreadsheets/d/1yDAaXNsi4Mr5FtRQL4tbmSdIzhx6_m4wkOD7IG-k_eo/edit#gid=0"", ""Maths!M:N""), 2, FALSE)"),"State that the product of two consecutive even or odd natural numbers (n+1) and (n-1) results to n^2-1")</f>
        <v>State that the product of two consecutive even or odd natural numbers (n+1) and (n-1) results to n^2-1</v>
      </c>
      <c r="K53" s="10" t="str">
        <f t="shared" si="1"/>
        <v>LU000642.002</v>
      </c>
      <c r="L53" s="10" t="str">
        <f ca="1">IFERROR(__xludf.DUMMYFUNCTION("VLOOKUP(K53, IMPORTRANGE(""https://docs.google.com/spreadsheets/d/1yDAaXNsi4Mr5FtRQL4tbmSdIzhx6_m4wkOD7IG-k_eo/edit#gid=0"", ""Maths!M:N""), 2, FALSE)"),"Explain why the product of two consecutive even or odd natural numbers follows the formula n^2-1.")</f>
        <v>Explain why the product of two consecutive even or odd natural numbers follows the formula n^2-1.</v>
      </c>
      <c r="M53" s="10" t="str">
        <f t="shared" si="2"/>
        <v>LU000642.003</v>
      </c>
      <c r="N53" s="10" t="str">
        <f ca="1">IFERROR(__xludf.DUMMYFUNCTION("VLOOKUP(M53, IMPORTRANGE(""https://docs.google.com/spreadsheets/d/1yDAaXNsi4Mr5FtRQL4tbmSdIzhx6_m4wkOD7IG-k_eo/edit#gid=0"", ""Maths!M:N""), 2, FALSE)"),"Apply the formula to calculate the product of two consecutive even or odd natural numbers for specific values of 'n'.")</f>
        <v>Apply the formula to calculate the product of two consecutive even or odd natural numbers for specific values of 'n'.</v>
      </c>
      <c r="O53" s="10" t="str">
        <f t="shared" si="3"/>
        <v>LU000642.004</v>
      </c>
      <c r="P53" s="10" t="str">
        <f ca="1">IFERROR(__xludf.DUMMYFUNCTION("VLOOKUP(O53, IMPORTRANGE(""https://docs.google.com/spreadsheets/d/1yDAaXNsi4Mr5FtRQL4tbmSdIzhx6_m4wkOD7IG-k_eo/edit#gid=0"", ""Maths!M:N""), 2, FALSE)"),"Analyze various pairs of consecutive even or odd natural numbers and identify how their product relates to n^2-1.")</f>
        <v>Analyze various pairs of consecutive even or odd natural numbers and identify how their product relates to n^2-1.</v>
      </c>
      <c r="Q53" s="10" t="str">
        <f t="shared" si="4"/>
        <v>LU000642.005</v>
      </c>
      <c r="R53" s="10" t="str">
        <f ca="1">IFERROR(__xludf.DUMMYFUNCTION("VLOOKUP(Q53, IMPORTRANGE(""https://docs.google.com/spreadsheets/d/1yDAaXNsi4Mr5FtRQL4tbmSdIzhx6_m4wkOD7IG-k_eo/edit#gid=0"", ""Maths!M:N""), 2, FALSE)"),"Evaluate the validity of the statement 'Product of two consecutive even or odd natural numbers (n+1) and (n-1) result to n^2-1' for different values of n and assess if it holds true.")</f>
        <v>Evaluate the validity of the statement 'Product of two consecutive even or odd natural numbers (n+1) and (n-1) result to n^2-1' for different values of n and assess if it holds true.</v>
      </c>
      <c r="S53" s="10" t="str">
        <f t="shared" si="5"/>
        <v>LU000642.006</v>
      </c>
      <c r="T53" s="10" t="str">
        <f ca="1">IFERROR(__xludf.DUMMYFUNCTION("VLOOKUP(S53, IMPORTRANGE(""https://docs.google.com/spreadsheets/d/1yDAaXNsi4Mr5FtRQL4tbmSdIzhx6_m4wkOD7IG-k_eo/edit#gid=0"", ""Maths!M:N""), 2, FALSE)"),"Create a word problem where students need to find the product of two consecutive even or odd natural numbers and explain how it relates to n^2-1 in a practical situation.")</f>
        <v>Create a word problem where students need to find the product of two consecutive even or odd natural numbers and explain how it relates to n^2-1 in a practical situation.</v>
      </c>
      <c r="U53" s="52">
        <f ca="1">IFERROR(__xludf.DUMMYFUNCTION("ArrayFormula(VLOOKUP(G53, IMPORTRANGE(""https://docs.google.com/spreadsheets/d/1p7R4vtkWt5VOBim4ltsDG9KTzSjrtKXsMtQGXPHyND0/edit#gid=795171502"", ""'Filter 30_05_2024'!A1:M2000""), {2, 3, 4, 5,6,7,8,9,10,11,12,13}, 0))"),4)</f>
        <v>4</v>
      </c>
      <c r="V53" s="52">
        <f ca="1">IFERROR(__xludf.DUMMYFUNCTION("""COMPUTED_VALUE"""),6)</f>
        <v>6</v>
      </c>
      <c r="W53" s="52">
        <f ca="1">IFERROR(__xludf.DUMMYFUNCTION("""COMPUTED_VALUE"""),2)</f>
        <v>2</v>
      </c>
      <c r="X53" s="52">
        <f ca="1">IFERROR(__xludf.DUMMYFUNCTION("""COMPUTED_VALUE"""),12)</f>
        <v>12</v>
      </c>
      <c r="Y53" s="52">
        <f ca="1">IFERROR(__xludf.DUMMYFUNCTION("""COMPUTED_VALUE"""),4)</f>
        <v>4</v>
      </c>
      <c r="Z53" s="53">
        <f ca="1">IFERROR(__xludf.DUMMYFUNCTION("""COMPUTED_VALUE"""),3)</f>
        <v>3</v>
      </c>
      <c r="AA53" s="53">
        <f ca="1">IFERROR(__xludf.DUMMYFUNCTION("""COMPUTED_VALUE"""),1)</f>
        <v>1</v>
      </c>
      <c r="AB53" s="53">
        <f ca="1">IFERROR(__xludf.DUMMYFUNCTION("""COMPUTED_VALUE"""),8)</f>
        <v>8</v>
      </c>
      <c r="AC53" s="53"/>
      <c r="AD53" s="53"/>
      <c r="AE53" s="53"/>
      <c r="AF53" s="53"/>
      <c r="AG53" s="8" t="str">
        <f ca="1">IFERROR(__xludf.DUMMYFUNCTION("ArrayFormula(VLOOKUP(G53, IMPORTRANGE(""https://docs.google.com/spreadsheets/d/1Co934fvtviyaRiMsrIlT05Jaq7iiYq07aLvRr35KA48/edit?gid=173865642#gid=173865642"", ""'G8_Maths_Pri_LU'!G2:V2000""), {3, 4, 5, 6, 7, 8, 9, 10, 11, 12, 13, 14, 15, 16}, 0))"),"LU000636")</f>
        <v>LU000636</v>
      </c>
      <c r="AH53" s="8" t="str">
        <f ca="1">IFERROR(__xludf.DUMMYFUNCTION("""COMPUTED_VALUE"""),"Definition and representation of square numbers/perfect square numbers")</f>
        <v>Definition and representation of square numbers/perfect square numbers</v>
      </c>
      <c r="AI53" s="8" t="str">
        <f ca="1">IFERROR(__xludf.DUMMYFUNCTION("""COMPUTED_VALUE"""),"LU000198")</f>
        <v>LU000198</v>
      </c>
      <c r="AJ53" s="8" t="str">
        <f ca="1">IFERROR(__xludf.DUMMYFUNCTION("""COMPUTED_VALUE"""),"Odd number")</f>
        <v>Odd number</v>
      </c>
      <c r="AK53" s="8" t="str">
        <f ca="1">IFERROR(__xludf.DUMMYFUNCTION("""COMPUTED_VALUE"""),"LU000197")</f>
        <v>LU000197</v>
      </c>
      <c r="AL53" s="8" t="str">
        <f ca="1">IFERROR(__xludf.DUMMYFUNCTION("""COMPUTED_VALUE"""),"Even number")</f>
        <v>Even number</v>
      </c>
      <c r="AM53" s="8"/>
      <c r="AN53" s="8"/>
      <c r="AO53" s="8"/>
      <c r="AP53" s="8"/>
      <c r="AQ53" s="8"/>
      <c r="AR53" s="8"/>
      <c r="AS53" s="8"/>
      <c r="AT53" s="8"/>
      <c r="AU53" s="8"/>
      <c r="AV53" s="8"/>
      <c r="AW53" s="8"/>
      <c r="AX53" s="8"/>
      <c r="AY53" s="8"/>
      <c r="AZ53" s="8"/>
      <c r="BA53" s="8"/>
      <c r="BB53" s="8"/>
      <c r="BC53" s="8"/>
      <c r="BD53" s="8"/>
      <c r="BE53" s="8"/>
    </row>
    <row r="54" spans="1:57">
      <c r="A54" s="8" t="s">
        <v>247</v>
      </c>
      <c r="B54" s="8" t="s">
        <v>47</v>
      </c>
      <c r="C54" s="8" t="s">
        <v>731</v>
      </c>
      <c r="D54" s="8" t="s">
        <v>732</v>
      </c>
      <c r="E54" s="8" t="s">
        <v>800</v>
      </c>
      <c r="F54" s="54" t="s">
        <v>814</v>
      </c>
      <c r="G54" s="8" t="s">
        <v>815</v>
      </c>
      <c r="H54" s="8" t="str">
        <f ca="1">IFERROR(__xludf.DUMMYFUNCTION("VLOOKUP(G54, IMPORTRANGE(""https://docs.google.com/spreadsheets/d/14deopnvwcrKtEGCKuYXdUHJbeLDZlkiSSWWT0g7x2pM/edit#gid=999382323"", ""LU List Maths (Filter)!A:B""), 2, FALSE)"),"Patterns in square numbers with certain digit at place value(s)")</f>
        <v>Patterns in square numbers with certain digit at place value(s)</v>
      </c>
      <c r="I54" s="10" t="str">
        <f t="shared" si="0"/>
        <v>LU000643.001</v>
      </c>
      <c r="J54" s="10" t="str">
        <f ca="1">IFERROR(__xludf.DUMMYFUNCTION("VLOOKUP(I54, IMPORTRANGE(""https://docs.google.com/spreadsheets/d/1yDAaXNsi4Mr5FtRQL4tbmSdIzhx6_m4wkOD7IG-k_eo/edit#gid=0"", ""Maths!M:N""), 2, FALSE)"),"Recall specific square numbers with designated digits at particular place values.")</f>
        <v>Recall specific square numbers with designated digits at particular place values.</v>
      </c>
      <c r="K54" s="10" t="str">
        <f t="shared" si="1"/>
        <v>LU000643.002</v>
      </c>
      <c r="L54" s="10" t="str">
        <f ca="1">IFERROR(__xludf.DUMMYFUNCTION("VLOOKUP(K54, IMPORTRANGE(""https://docs.google.com/spreadsheets/d/1yDAaXNsi4Mr5FtRQL4tbmSdIzhx6_m4wkOD7IG-k_eo/edit#gid=0"", ""Maths!M:N""), 2, FALSE)"),"Explain how certain digits at specific place values influence the pattern in square numbers.")</f>
        <v>Explain how certain digits at specific place values influence the pattern in square numbers.</v>
      </c>
      <c r="M54" s="10" t="str">
        <f t="shared" si="2"/>
        <v>LU000643.003</v>
      </c>
      <c r="N54" s="10" t="str">
        <f ca="1">IFERROR(__xludf.DUMMYFUNCTION("VLOOKUP(M54, IMPORTRANGE(""https://docs.google.com/spreadsheets/d/1yDAaXNsi4Mr5FtRQL4tbmSdIzhx6_m4wkOD7IG-k_eo/edit#gid=0"", ""Maths!M:N""), 2, FALSE)"),"Apply knowledge of the pattern to identify square numbers with given digits at designated place values.")</f>
        <v>Apply knowledge of the pattern to identify square numbers with given digits at designated place values.</v>
      </c>
      <c r="O54" s="10" t="str">
        <f t="shared" si="3"/>
        <v>LU000643.004</v>
      </c>
      <c r="P54" s="10" t="str">
        <f ca="1">IFERROR(__xludf.DUMMYFUNCTION("VLOOKUP(O54, IMPORTRANGE(""https://docs.google.com/spreadsheets/d/1yDAaXNsi4Mr5FtRQL4tbmSdIzhx6_m4wkOD7IG-k_eo/edit#gid=0"", ""Maths!M:N""), 2, FALSE)"),"Analyse the patterns in square numbers with designated digits at place values to recognize any commonalities or rules.")</f>
        <v>Analyse the patterns in square numbers with designated digits at place values to recognize any commonalities or rules.</v>
      </c>
      <c r="Q54" s="10" t="str">
        <f t="shared" si="4"/>
        <v>LU000643.005</v>
      </c>
      <c r="R54" s="10" t="str">
        <f ca="1">IFERROR(__xludf.DUMMYFUNCTION("VLOOKUP(Q54, IMPORTRANGE(""https://docs.google.com/spreadsheets/d/1yDAaXNsi4Mr5FtRQL4tbmSdIzhx6_m4wkOD7IG-k_eo/edit#gid=0"", ""Maths!M:N""), 2, FALSE)"),"Evaluate the validity of patterns in square numbers with specific digits at place values, considering different scenarios.")</f>
        <v>Evaluate the validity of patterns in square numbers with specific digits at place values, considering different scenarios.</v>
      </c>
      <c r="S54" s="10" t="str">
        <f t="shared" si="5"/>
        <v>LU000643.006</v>
      </c>
      <c r="T54" s="10" t="str">
        <f ca="1">IFERROR(__xludf.DUMMYFUNCTION("VLOOKUP(S54, IMPORTRANGE(""https://docs.google.com/spreadsheets/d/1yDAaXNsi4Mr5FtRQL4tbmSdIzhx6_m4wkOD7IG-k_eo/edit#gid=0"", ""Maths!M:N""), 2, FALSE)"),"#N/A")</f>
        <v>#N/A</v>
      </c>
      <c r="U54" s="52">
        <f ca="1">IFERROR(__xludf.DUMMYFUNCTION("ArrayFormula(VLOOKUP(G54, IMPORTRANGE(""https://docs.google.com/spreadsheets/d/1p7R4vtkWt5VOBim4ltsDG9KTzSjrtKXsMtQGXPHyND0/edit#gid=795171502"", ""'Filter 30_05_2024'!A1:M2000""), {2, 3, 4, 5,6,7,8,9,10,11,12,13}, 0))"),4)</f>
        <v>4</v>
      </c>
      <c r="V54" s="52">
        <f ca="1">IFERROR(__xludf.DUMMYFUNCTION("""COMPUTED_VALUE"""),6)</f>
        <v>6</v>
      </c>
      <c r="W54" s="52">
        <f ca="1">IFERROR(__xludf.DUMMYFUNCTION("""COMPUTED_VALUE"""),2)</f>
        <v>2</v>
      </c>
      <c r="X54" s="52">
        <f ca="1">IFERROR(__xludf.DUMMYFUNCTION("""COMPUTED_VALUE"""),12)</f>
        <v>12</v>
      </c>
      <c r="Y54" s="52">
        <f ca="1">IFERROR(__xludf.DUMMYFUNCTION("""COMPUTED_VALUE"""),4)</f>
        <v>4</v>
      </c>
      <c r="Z54" s="53">
        <f ca="1">IFERROR(__xludf.DUMMYFUNCTION("""COMPUTED_VALUE"""),3)</f>
        <v>3</v>
      </c>
      <c r="AA54" s="53">
        <f ca="1">IFERROR(__xludf.DUMMYFUNCTION("""COMPUTED_VALUE"""),1)</f>
        <v>1</v>
      </c>
      <c r="AB54" s="53">
        <f ca="1">IFERROR(__xludf.DUMMYFUNCTION("""COMPUTED_VALUE"""),8)</f>
        <v>8</v>
      </c>
      <c r="AC54" s="53"/>
      <c r="AD54" s="53"/>
      <c r="AE54" s="53"/>
      <c r="AF54" s="53"/>
      <c r="AG54" s="8" t="str">
        <f ca="1">IFERROR(__xludf.DUMMYFUNCTION("ArrayFormula(VLOOKUP(G54, IMPORTRANGE(""https://docs.google.com/spreadsheets/d/1Co934fvtviyaRiMsrIlT05Jaq7iiYq07aLvRr35KA48/edit?gid=173865642#gid=173865642"", ""'G8_Maths_Pri_LU'!G2:V2000""), {3, 4, 5, 6, 7, 8, 9, 10, 11, 12, 13, 14, 15, 16}, 0))"),"LU000636")</f>
        <v>LU000636</v>
      </c>
      <c r="AH54" s="8" t="str">
        <f ca="1">IFERROR(__xludf.DUMMYFUNCTION("""COMPUTED_VALUE"""),"Definition and representation of square numbers/perfect square numbers")</f>
        <v>Definition and representation of square numbers/perfect square numbers</v>
      </c>
      <c r="AI54" s="8"/>
      <c r="AJ54" s="8"/>
      <c r="AK54" s="8"/>
      <c r="AL54" s="8"/>
      <c r="AM54" s="8"/>
      <c r="AN54" s="8"/>
      <c r="AO54" s="8"/>
      <c r="AP54" s="8"/>
      <c r="AQ54" s="8"/>
      <c r="AR54" s="8"/>
      <c r="AS54" s="8"/>
      <c r="AT54" s="8"/>
      <c r="AU54" s="8"/>
      <c r="AV54" s="8"/>
      <c r="AW54" s="8"/>
      <c r="AX54" s="8"/>
      <c r="AY54" s="8"/>
      <c r="AZ54" s="8"/>
      <c r="BA54" s="8"/>
      <c r="BB54" s="8"/>
      <c r="BC54" s="8"/>
      <c r="BD54" s="8"/>
      <c r="BE54" s="8"/>
    </row>
    <row r="55" spans="1:57">
      <c r="A55" s="8" t="s">
        <v>247</v>
      </c>
      <c r="B55" s="8" t="s">
        <v>47</v>
      </c>
      <c r="C55" s="8" t="s">
        <v>731</v>
      </c>
      <c r="D55" s="8" t="s">
        <v>732</v>
      </c>
      <c r="E55" s="8" t="s">
        <v>800</v>
      </c>
      <c r="F55" s="54" t="s">
        <v>814</v>
      </c>
      <c r="G55" s="8" t="s">
        <v>816</v>
      </c>
      <c r="H55" s="8" t="str">
        <f ca="1">IFERROR(__xludf.DUMMYFUNCTION("VLOOKUP(G55, IMPORTRANGE(""https://docs.google.com/spreadsheets/d/14deopnvwcrKtEGCKuYXdUHJbeLDZlkiSSWWT0g7x2pM/edit#gid=999382323"", ""LU List Maths (Filter)!A:B""), 2, FALSE)"),"Pattern associated with addition of square of numbers")</f>
        <v>Pattern associated with addition of square of numbers</v>
      </c>
      <c r="I55" s="10" t="str">
        <f t="shared" si="0"/>
        <v>LU000644.001</v>
      </c>
      <c r="J55" s="10" t="str">
        <f ca="1">IFERROR(__xludf.DUMMYFUNCTION("VLOOKUP(I55, IMPORTRANGE(""https://docs.google.com/spreadsheets/d/1yDAaXNsi4Mr5FtRQL4tbmSdIzhx6_m4wkOD7IG-k_eo/edit#gid=0"", ""Maths!M:N""), 2, FALSE)"),"Recall the formula for the sum of the first n square numbers.")</f>
        <v>Recall the formula for the sum of the first n square numbers.</v>
      </c>
      <c r="K55" s="10" t="str">
        <f t="shared" si="1"/>
        <v>LU000644.002</v>
      </c>
      <c r="L55" s="10" t="str">
        <f ca="1">IFERROR(__xludf.DUMMYFUNCTION("VLOOKUP(K55, IMPORTRANGE(""https://docs.google.com/spreadsheets/d/1yDAaXNsi4Mr5FtRQL4tbmSdIzhx6_m4wkOD7IG-k_eo/edit#gid=0"", ""Maths!M:N""), 2, FALSE)"),"Explain the concept of how square numbers are added together to form a pattern.")</f>
        <v>Explain the concept of how square numbers are added together to form a pattern.</v>
      </c>
      <c r="M55" s="10" t="str">
        <f t="shared" si="2"/>
        <v>LU000644.003</v>
      </c>
      <c r="N55" s="10" t="str">
        <f ca="1">IFERROR(__xludf.DUMMYFUNCTION("VLOOKUP(M55, IMPORTRANGE(""https://docs.google.com/spreadsheets/d/1yDAaXNsi4Mr5FtRQL4tbmSdIzhx6_m4wkOD7IG-k_eo/edit#gid=0"", ""Maths!M:N""), 2, FALSE)"),"Apply the formula for the sum of square numbers to calculate specific values.")</f>
        <v>Apply the formula for the sum of square numbers to calculate specific values.</v>
      </c>
      <c r="O55" s="10" t="str">
        <f t="shared" si="3"/>
        <v>LU000644.004</v>
      </c>
      <c r="P55" s="10" t="str">
        <f ca="1">IFERROR(__xludf.DUMMYFUNCTION("VLOOKUP(O55, IMPORTRANGE(""https://docs.google.com/spreadsheets/d/1yDAaXNsi4Mr5FtRQL4tbmSdIzhx6_m4wkOD7IG-k_eo/edit#gid=0"", ""Maths!M:N""), 2, FALSE)"),"Identify how the sum of square numbers changes as you increase the value of n.")</f>
        <v>Identify how the sum of square numbers changes as you increase the value of n.</v>
      </c>
      <c r="Q55" s="10" t="str">
        <f t="shared" si="4"/>
        <v>LU000644.005</v>
      </c>
      <c r="R55" s="10" t="str">
        <f ca="1">IFERROR(__xludf.DUMMYFUNCTION("VLOOKUP(Q55, IMPORTRANGE(""https://docs.google.com/spreadsheets/d/1yDAaXNsi4Mr5FtRQL4tbmSdIzhx6_m4wkOD7IG-k_eo/edit#gid=0"", ""Maths!M:N""), 2, FALSE)"),"Evaluate the efficiency of using the formula for the sum of square numbers compared to calculating each square individually.")</f>
        <v>Evaluate the efficiency of using the formula for the sum of square numbers compared to calculating each square individually.</v>
      </c>
      <c r="S55" s="10" t="str">
        <f t="shared" si="5"/>
        <v>LU000644.006</v>
      </c>
      <c r="T55" s="10" t="str">
        <f ca="1">IFERROR(__xludf.DUMMYFUNCTION("VLOOKUP(S55, IMPORTRANGE(""https://docs.google.com/spreadsheets/d/1yDAaXNsi4Mr5FtRQL4tbmSdIzhx6_m4wkOD7IG-k_eo/edit#gid=0"", ""Maths!M:N""), 2, FALSE)"),"#N/A")</f>
        <v>#N/A</v>
      </c>
      <c r="U55" s="52">
        <f ca="1">IFERROR(__xludf.DUMMYFUNCTION("ArrayFormula(VLOOKUP(G55, IMPORTRANGE(""https://docs.google.com/spreadsheets/d/1p7R4vtkWt5VOBim4ltsDG9KTzSjrtKXsMtQGXPHyND0/edit#gid=795171502"", ""'Filter 30_05_2024'!A1:M2000""), {2, 3, 4, 5,6,7,8,9,10,11,12,13}, 0))"),4)</f>
        <v>4</v>
      </c>
      <c r="V55" s="52">
        <f ca="1">IFERROR(__xludf.DUMMYFUNCTION("""COMPUTED_VALUE"""),6)</f>
        <v>6</v>
      </c>
      <c r="W55" s="52">
        <f ca="1">IFERROR(__xludf.DUMMYFUNCTION("""COMPUTED_VALUE"""),2)</f>
        <v>2</v>
      </c>
      <c r="X55" s="52">
        <f ca="1">IFERROR(__xludf.DUMMYFUNCTION("""COMPUTED_VALUE"""),12)</f>
        <v>12</v>
      </c>
      <c r="Y55" s="52">
        <f ca="1">IFERROR(__xludf.DUMMYFUNCTION("""COMPUTED_VALUE"""),5)</f>
        <v>5</v>
      </c>
      <c r="Z55" s="53">
        <f ca="1">IFERROR(__xludf.DUMMYFUNCTION("""COMPUTED_VALUE"""),3)</f>
        <v>3</v>
      </c>
      <c r="AA55" s="53">
        <f ca="1">IFERROR(__xludf.DUMMYFUNCTION("""COMPUTED_VALUE"""),1)</f>
        <v>1</v>
      </c>
      <c r="AB55" s="53">
        <f ca="1">IFERROR(__xludf.DUMMYFUNCTION("""COMPUTED_VALUE"""),9)</f>
        <v>9</v>
      </c>
      <c r="AC55" s="53"/>
      <c r="AD55" s="53"/>
      <c r="AE55" s="53"/>
      <c r="AF55" s="53"/>
      <c r="AG55" s="8" t="str">
        <f ca="1">IFERROR(__xludf.DUMMYFUNCTION("ArrayFormula(VLOOKUP(G55, IMPORTRANGE(""https://docs.google.com/spreadsheets/d/1Co934fvtviyaRiMsrIlT05Jaq7iiYq07aLvRr35KA48/edit?gid=173865642#gid=173865642"", ""'G8_Maths_Pri_LU'!G2:V2000""), {3, 4, 5, 6, 7, 8, 9, 10, 11, 12, 13, 14, 15, 16}, 0))"),"LU000636")</f>
        <v>LU000636</v>
      </c>
      <c r="AH55" s="8" t="str">
        <f ca="1">IFERROR(__xludf.DUMMYFUNCTION("""COMPUTED_VALUE"""),"Definition and representation of square numbers/perfect square numbers")</f>
        <v>Definition and representation of square numbers/perfect square numbers</v>
      </c>
      <c r="AI55" s="8"/>
      <c r="AJ55" s="8"/>
      <c r="AK55" s="8"/>
      <c r="AL55" s="8"/>
      <c r="AM55" s="8"/>
      <c r="AN55" s="8"/>
      <c r="AO55" s="8"/>
      <c r="AP55" s="8"/>
      <c r="AQ55" s="8"/>
      <c r="AR55" s="8"/>
      <c r="AS55" s="8"/>
      <c r="AT55" s="8"/>
      <c r="AU55" s="8"/>
      <c r="AV55" s="8"/>
      <c r="AW55" s="8"/>
      <c r="AX55" s="8"/>
      <c r="AY55" s="8"/>
      <c r="AZ55" s="8"/>
      <c r="BA55" s="8"/>
      <c r="BB55" s="8"/>
      <c r="BC55" s="8"/>
      <c r="BD55" s="8"/>
      <c r="BE55" s="8"/>
    </row>
    <row r="56" spans="1:57">
      <c r="A56" s="8" t="s">
        <v>247</v>
      </c>
      <c r="B56" s="8" t="s">
        <v>47</v>
      </c>
      <c r="C56" s="8" t="s">
        <v>731</v>
      </c>
      <c r="D56" s="8" t="s">
        <v>732</v>
      </c>
      <c r="E56" s="8" t="s">
        <v>800</v>
      </c>
      <c r="F56" s="54" t="s">
        <v>817</v>
      </c>
      <c r="G56" s="8" t="s">
        <v>818</v>
      </c>
      <c r="H56" s="8" t="str">
        <f ca="1">IFERROR(__xludf.DUMMYFUNCTION("VLOOKUP(G56, IMPORTRANGE(""https://docs.google.com/spreadsheets/d/14deopnvwcrKtEGCKuYXdUHJbeLDZlkiSSWWT0g7x2pM/edit#gid=999382323"", ""LU List Maths (Filter)!A:B""), 2, FALSE)"),"Methods to find square of number without actual multiplication")</f>
        <v>Methods to find square of number without actual multiplication</v>
      </c>
      <c r="I56" s="10" t="str">
        <f t="shared" si="0"/>
        <v>LU000645.001</v>
      </c>
      <c r="J56" s="10" t="str">
        <f ca="1">IFERROR(__xludf.DUMMYFUNCTION("VLOOKUP(I56, IMPORTRANGE(""https://docs.google.com/spreadsheets/d/1yDAaXNsi4Mr5FtRQL4tbmSdIzhx6_m4wkOD7IG-k_eo/edit#gid=0"", ""Maths!M:N""), 2, FALSE)"),"Recall different methods for finding the square of a number without using the digit-by-digit approach.")</f>
        <v>Recall different methods for finding the square of a number without using the digit-by-digit approach.</v>
      </c>
      <c r="K56" s="10" t="str">
        <f t="shared" si="1"/>
        <v>LU000645.002</v>
      </c>
      <c r="L56" s="10" t="str">
        <f ca="1">IFERROR(__xludf.DUMMYFUNCTION("VLOOKUP(K56, IMPORTRANGE(""https://docs.google.com/spreadsheets/d/1yDAaXNsi4Mr5FtRQL4tbmSdIzhx6_m4wkOD7IG-k_eo/edit#gid=0"", ""Maths!M:N""), 2, FALSE)"),"Explain the concept of non-conventional methods to calculate squares.")</f>
        <v>Explain the concept of non-conventional methods to calculate squares.</v>
      </c>
      <c r="M56" s="10" t="str">
        <f t="shared" si="2"/>
        <v>LU000645.003</v>
      </c>
      <c r="N56" s="10" t="str">
        <f ca="1">IFERROR(__xludf.DUMMYFUNCTION("VLOOKUP(M56, IMPORTRANGE(""https://docs.google.com/spreadsheets/d/1yDAaXNsi4Mr5FtRQL4tbmSdIzhx6_m4wkOD7IG-k_eo/edit#gid=0"", ""Maths!M:N""), 2, FALSE)"),"Use the square of a difference/sum method to find the square of a two-digit number.")</f>
        <v>Use the square of a difference/sum method to find the square of a two-digit number.</v>
      </c>
      <c r="O56" s="10" t="str">
        <f t="shared" si="3"/>
        <v>LU000645.004</v>
      </c>
      <c r="P56" s="10" t="str">
        <f ca="1">IFERROR(__xludf.DUMMYFUNCTION("VLOOKUP(O56, IMPORTRANGE(""https://docs.google.com/spreadsheets/d/1yDAaXNsi4Mr5FtRQL4tbmSdIzhx6_m4wkOD7IG-k_eo/edit#gid=0"", ""Maths!M:N""), 2, FALSE)"),"Analyse the efficiency and accuracy of alternative methods for calculating squares of a number.")</f>
        <v>Analyse the efficiency and accuracy of alternative methods for calculating squares of a number.</v>
      </c>
      <c r="Q56" s="10" t="str">
        <f t="shared" si="4"/>
        <v>LU000645.005</v>
      </c>
      <c r="R56" s="10" t="str">
        <f ca="1">IFERROR(__xludf.DUMMYFUNCTION("VLOOKUP(Q56, IMPORTRANGE(""https://docs.google.com/spreadsheets/d/1yDAaXNsi4Mr5FtRQL4tbmSdIzhx6_m4wkOD7IG-k_eo/edit#gid=0"", ""Maths!M:N""), 2, FALSE)"),"Evaluate when it's advantageous to use alternative methods for finding squares and when traditional multiplication is more suitable.")</f>
        <v>Evaluate when it's advantageous to use alternative methods for finding squares and when traditional multiplication is more suitable.</v>
      </c>
      <c r="S56" s="10" t="str">
        <f t="shared" si="5"/>
        <v>LU000645.006</v>
      </c>
      <c r="T56" s="10" t="str">
        <f ca="1">IFERROR(__xludf.DUMMYFUNCTION("VLOOKUP(S56, IMPORTRANGE(""https://docs.google.com/spreadsheets/d/1yDAaXNsi4Mr5FtRQL4tbmSdIzhx6_m4wkOD7IG-k_eo/edit#gid=0"", ""Maths!M:N""), 2, FALSE)"),"Develop a guide that teaches how to calculate squares using the square of a difference method.")</f>
        <v>Develop a guide that teaches how to calculate squares using the square of a difference method.</v>
      </c>
      <c r="U56" s="52">
        <f ca="1">IFERROR(__xludf.DUMMYFUNCTION("ArrayFormula(VLOOKUP(G56, IMPORTRANGE(""https://docs.google.com/spreadsheets/d/1p7R4vtkWt5VOBim4ltsDG9KTzSjrtKXsMtQGXPHyND0/edit#gid=795171502"", ""'Filter 30_05_2024'!A1:M2000""), {2, 3, 4, 5,6,7,8,9,10,11,12,13}, 0))"),4)</f>
        <v>4</v>
      </c>
      <c r="V56" s="52">
        <f ca="1">IFERROR(__xludf.DUMMYFUNCTION("""COMPUTED_VALUE"""),6)</f>
        <v>6</v>
      </c>
      <c r="W56" s="52">
        <f ca="1">IFERROR(__xludf.DUMMYFUNCTION("""COMPUTED_VALUE"""),2)</f>
        <v>2</v>
      </c>
      <c r="X56" s="52">
        <f ca="1">IFERROR(__xludf.DUMMYFUNCTION("""COMPUTED_VALUE"""),12)</f>
        <v>12</v>
      </c>
      <c r="Y56" s="52">
        <f ca="1">IFERROR(__xludf.DUMMYFUNCTION("""COMPUTED_VALUE"""),4)</f>
        <v>4</v>
      </c>
      <c r="Z56" s="53">
        <f ca="1">IFERROR(__xludf.DUMMYFUNCTION("""COMPUTED_VALUE"""),3)</f>
        <v>3</v>
      </c>
      <c r="AA56" s="53">
        <f ca="1">IFERROR(__xludf.DUMMYFUNCTION("""COMPUTED_VALUE"""),1)</f>
        <v>1</v>
      </c>
      <c r="AB56" s="53">
        <f ca="1">IFERROR(__xludf.DUMMYFUNCTION("""COMPUTED_VALUE"""),8)</f>
        <v>8</v>
      </c>
      <c r="AC56" s="53"/>
      <c r="AD56" s="53"/>
      <c r="AE56" s="53"/>
      <c r="AF56" s="53"/>
      <c r="AG56" s="8" t="str">
        <f ca="1">IFERROR(__xludf.DUMMYFUNCTION("ArrayFormula(VLOOKUP(G56, IMPORTRANGE(""https://docs.google.com/spreadsheets/d/1Co934fvtviyaRiMsrIlT05Jaq7iiYq07aLvRr35KA48/edit?gid=173865642#gid=173865642"", ""'G8_Maths_Pri_LU'!G2:V2000""), {3, 4, 5, 6, 7, 8, 9, 10, 11, 12, 13, 14, 15, 16}, 0))"),"LU000964")</f>
        <v>LU000964</v>
      </c>
      <c r="AH56" s="8" t="str">
        <f ca="1">IFERROR(__xludf.DUMMYFUNCTION("""COMPUTED_VALUE"""),"Distributive property of multiplication over addition of whole number")</f>
        <v>Distributive property of multiplication over addition of whole number</v>
      </c>
      <c r="AI56" s="8" t="str">
        <f ca="1">IFERROR(__xludf.DUMMYFUNCTION("""COMPUTED_VALUE"""),"LU000965")</f>
        <v>LU000965</v>
      </c>
      <c r="AJ56" s="8" t="str">
        <f ca="1">IFERROR(__xludf.DUMMYFUNCTION("""COMPUTED_VALUE"""),"Distributive property of multiplication over subtraction of whole number")</f>
        <v>Distributive property of multiplication over subtraction of whole number</v>
      </c>
      <c r="AK56" s="8" t="str">
        <f ca="1">IFERROR(__xludf.DUMMYFUNCTION("""COMPUTED_VALUE"""),"LU000636")</f>
        <v>LU000636</v>
      </c>
      <c r="AL56" s="8" t="str">
        <f ca="1">IFERROR(__xludf.DUMMYFUNCTION("""COMPUTED_VALUE"""),"Definition and representation of square numbers/perfect square numbers")</f>
        <v>Definition and representation of square numbers/perfect square numbers</v>
      </c>
      <c r="AM56" s="8"/>
      <c r="AN56" s="8"/>
      <c r="AO56" s="8"/>
      <c r="AP56" s="8"/>
      <c r="AQ56" s="8"/>
      <c r="AR56" s="8"/>
      <c r="AS56" s="8"/>
      <c r="AT56" s="8"/>
      <c r="AU56" s="8"/>
      <c r="AV56" s="8"/>
      <c r="AW56" s="8"/>
      <c r="AX56" s="8"/>
      <c r="AY56" s="8"/>
      <c r="AZ56" s="8"/>
      <c r="BA56" s="8"/>
      <c r="BB56" s="8"/>
      <c r="BC56" s="8"/>
      <c r="BD56" s="8"/>
      <c r="BE56" s="8"/>
    </row>
    <row r="57" spans="1:57">
      <c r="A57" s="8" t="s">
        <v>247</v>
      </c>
      <c r="B57" s="8" t="s">
        <v>47</v>
      </c>
      <c r="C57" s="8" t="s">
        <v>731</v>
      </c>
      <c r="D57" s="8" t="s">
        <v>732</v>
      </c>
      <c r="E57" s="8" t="s">
        <v>800</v>
      </c>
      <c r="F57" s="54" t="s">
        <v>817</v>
      </c>
      <c r="G57" s="8" t="s">
        <v>819</v>
      </c>
      <c r="H57" s="8" t="str">
        <f ca="1">IFERROR(__xludf.DUMMYFUNCTION("VLOOKUP(G57, IMPORTRANGE(""https://docs.google.com/spreadsheets/d/14deopnvwcrKtEGCKuYXdUHJbeLDZlkiSSWWT0g7x2pM/edit#gid=999382323"", ""LU List Maths (Filter)!A:B""), 2, FALSE)"),"Pythagorean triplet if one member of triplet is given (even number is given)")</f>
        <v>Pythagorean triplet if one member of triplet is given (even number is given)</v>
      </c>
      <c r="I57" s="10" t="str">
        <f t="shared" si="0"/>
        <v>LU000916.001</v>
      </c>
      <c r="J57" s="10" t="str">
        <f ca="1">IFERROR(__xludf.DUMMYFUNCTION("VLOOKUP(I57, IMPORTRANGE(""https://docs.google.com/spreadsheets/d/1yDAaXNsi4Mr5FtRQL4tbmSdIzhx6_m4wkOD7IG-k_eo/edit#gid=0"", ""Maths!M:N""), 2, FALSE)"),"State the basic method to find the other two numbers when one even number of the triplet is given.")</f>
        <v>State the basic method to find the other two numbers when one even number of the triplet is given.</v>
      </c>
      <c r="K57" s="10" t="str">
        <f t="shared" si="1"/>
        <v>LU000916.002</v>
      </c>
      <c r="L57" s="10" t="str">
        <f ca="1">IFERROR(__xludf.DUMMYFUNCTION("VLOOKUP(K57, IMPORTRANGE(""https://docs.google.com/spreadsheets/d/1yDAaXNsi4Mr5FtRQL4tbmSdIzhx6_m4wkOD7IG-k_eo/edit#gid=0"", ""Maths!M:N""), 2, FALSE)"),"Explain the concept behind finding the remaining numbers of a Pythagorean triplet, given one even number")</f>
        <v>Explain the concept behind finding the remaining numbers of a Pythagorean triplet, given one even number</v>
      </c>
      <c r="M57" s="10" t="str">
        <f t="shared" si="2"/>
        <v>LU000916.003</v>
      </c>
      <c r="N57" s="10" t="str">
        <f ca="1">IFERROR(__xludf.DUMMYFUNCTION("VLOOKUP(M57, IMPORTRANGE(""https://docs.google.com/spreadsheets/d/1yDAaXNsi4Mr5FtRQL4tbmSdIzhx6_m4wkOD7IG-k_eo/edit#gid=0"", ""Maths!M:N""), 2, FALSE)"),"Apply the method to find Pythagorean triplets in various problems where one even number is provided")</f>
        <v>Apply the method to find Pythagorean triplets in various problems where one even number is provided</v>
      </c>
      <c r="O57" s="10" t="str">
        <f t="shared" si="3"/>
        <v>LU000916.004</v>
      </c>
      <c r="P57" s="10" t="str">
        <f ca="1">IFERROR(__xludf.DUMMYFUNCTION("VLOOKUP(O57, IMPORTRANGE(""https://docs.google.com/spreadsheets/d/1yDAaXNsi4Mr5FtRQL4tbmSdIzhx6_m4wkOD7IG-k_eo/edit#gid=0"", ""Maths!M:N""), 2, FALSE)"),"Analyze the relationship between the given even number and the other two numbers in the triplet")</f>
        <v>Analyze the relationship between the given even number and the other two numbers in the triplet</v>
      </c>
      <c r="Q57" s="10" t="str">
        <f t="shared" si="4"/>
        <v>LU000916.005</v>
      </c>
      <c r="R57" s="10" t="str">
        <f ca="1">IFERROR(__xludf.DUMMYFUNCTION("VLOOKUP(Q57, IMPORTRANGE(""https://docs.google.com/spreadsheets/d/1yDAaXNsi4Mr5FtRQL4tbmSdIzhx6_m4wkOD7IG-k_eo/edit#gid=0"", ""Maths!M:N""), 2, FALSE)"),"#N/A")</f>
        <v>#N/A</v>
      </c>
      <c r="S57" s="10" t="str">
        <f t="shared" si="5"/>
        <v>LU000916.006</v>
      </c>
      <c r="T57" s="10" t="str">
        <f ca="1">IFERROR(__xludf.DUMMYFUNCTION("VLOOKUP(S57, IMPORTRANGE(""https://docs.google.com/spreadsheets/d/1yDAaXNsi4Mr5FtRQL4tbmSdIzhx6_m4wkOD7IG-k_eo/edit#gid=0"", ""Maths!M:N""), 2, FALSE)"),"Create new mathematical problems involving Pythagorean triplets with an even number given")</f>
        <v>Create new mathematical problems involving Pythagorean triplets with an even number given</v>
      </c>
      <c r="U57" s="52">
        <f ca="1">IFERROR(__xludf.DUMMYFUNCTION("ArrayFormula(VLOOKUP(G57, IMPORTRANGE(""https://docs.google.com/spreadsheets/d/1p7R4vtkWt5VOBim4ltsDG9KTzSjrtKXsMtQGXPHyND0/edit#gid=795171502"", ""'Filter 30_05_2024'!A1:M2000""), {2, 3, 4, 5,6,7,8,9,10,11,12,13}, 0))"),4)</f>
        <v>4</v>
      </c>
      <c r="V57" s="52">
        <f ca="1">IFERROR(__xludf.DUMMYFUNCTION("""COMPUTED_VALUE"""),6)</f>
        <v>6</v>
      </c>
      <c r="W57" s="52">
        <f ca="1">IFERROR(__xludf.DUMMYFUNCTION("""COMPUTED_VALUE"""),2)</f>
        <v>2</v>
      </c>
      <c r="X57" s="52">
        <f ca="1">IFERROR(__xludf.DUMMYFUNCTION("""COMPUTED_VALUE"""),12)</f>
        <v>12</v>
      </c>
      <c r="Y57" s="52">
        <f ca="1">IFERROR(__xludf.DUMMYFUNCTION("""COMPUTED_VALUE"""),4)</f>
        <v>4</v>
      </c>
      <c r="Z57" s="53">
        <f ca="1">IFERROR(__xludf.DUMMYFUNCTION("""COMPUTED_VALUE"""),3)</f>
        <v>3</v>
      </c>
      <c r="AA57" s="53">
        <f ca="1">IFERROR(__xludf.DUMMYFUNCTION("""COMPUTED_VALUE"""),1)</f>
        <v>1</v>
      </c>
      <c r="AB57" s="53">
        <f ca="1">IFERROR(__xludf.DUMMYFUNCTION("""COMPUTED_VALUE"""),8)</f>
        <v>8</v>
      </c>
      <c r="AC57" s="53"/>
      <c r="AD57" s="53"/>
      <c r="AE57" s="53"/>
      <c r="AF57" s="53"/>
      <c r="AG57" s="8" t="str">
        <f ca="1">IFERROR(__xludf.DUMMYFUNCTION("ArrayFormula(VLOOKUP(G57, IMPORTRANGE(""https://docs.google.com/spreadsheets/d/1Co934fvtviyaRiMsrIlT05Jaq7iiYq07aLvRr35KA48/edit?gid=173865642#gid=173865642"", ""'G8_Maths_Pri_LU'!G2:V2000""), {3, 4, 5, 6, 7, 8, 9, 10, 11, 12, 13, 14, 15, 16}, 0))"),"LU000432")</f>
        <v>LU000432</v>
      </c>
      <c r="AH57" s="8" t="str">
        <f ca="1">IFERROR(__xludf.DUMMYFUNCTION("""COMPUTED_VALUE"""),"Pythagorean triplets")</f>
        <v>Pythagorean triplets</v>
      </c>
      <c r="AI57" s="8" t="str">
        <f ca="1">IFERROR(__xludf.DUMMYFUNCTION("""COMPUTED_VALUE"""),"LU000434")</f>
        <v>LU000434</v>
      </c>
      <c r="AJ57" s="8" t="str">
        <f ca="1">IFERROR(__xludf.DUMMYFUNCTION("""COMPUTED_VALUE"""),"Pythagoras property")</f>
        <v>Pythagoras property</v>
      </c>
      <c r="AK57" s="8" t="str">
        <f ca="1">IFERROR(__xludf.DUMMYFUNCTION("""COMPUTED_VALUE"""),"LU000636")</f>
        <v>LU000636</v>
      </c>
      <c r="AL57" s="8" t="str">
        <f ca="1">IFERROR(__xludf.DUMMYFUNCTION("""COMPUTED_VALUE"""),"Definition and representation of square numbers/perfect square numbers")</f>
        <v>Definition and representation of square numbers/perfect square numbers</v>
      </c>
      <c r="AM57" s="8"/>
      <c r="AN57" s="8"/>
      <c r="AO57" s="8"/>
      <c r="AP57" s="8"/>
      <c r="AQ57" s="8"/>
      <c r="AR57" s="8"/>
      <c r="AS57" s="8"/>
      <c r="AT57" s="8"/>
      <c r="AU57" s="8"/>
      <c r="AV57" s="8"/>
      <c r="AW57" s="8"/>
      <c r="AX57" s="8"/>
      <c r="AY57" s="8"/>
      <c r="AZ57" s="8"/>
      <c r="BA57" s="8"/>
      <c r="BB57" s="8"/>
      <c r="BC57" s="8"/>
      <c r="BD57" s="8"/>
      <c r="BE57" s="8"/>
    </row>
    <row r="58" spans="1:57">
      <c r="A58" s="8" t="s">
        <v>247</v>
      </c>
      <c r="B58" s="8" t="s">
        <v>47</v>
      </c>
      <c r="C58" s="8" t="s">
        <v>731</v>
      </c>
      <c r="D58" s="8" t="s">
        <v>732</v>
      </c>
      <c r="E58" s="8" t="s">
        <v>800</v>
      </c>
      <c r="F58" s="58" t="s">
        <v>820</v>
      </c>
      <c r="G58" s="8" t="s">
        <v>821</v>
      </c>
      <c r="H58" s="8" t="str">
        <f ca="1">IFERROR(__xludf.DUMMYFUNCTION("VLOOKUP(G58, IMPORTRANGE(""https://docs.google.com/spreadsheets/d/14deopnvwcrKtEGCKuYXdUHJbeLDZlkiSSWWT0g7x2pM/edit#gid=999382323"", ""LU List Maths (Filter)!A:B""), 2, FALSE)"),"Definition of square root")</f>
        <v>Definition of square root</v>
      </c>
      <c r="I58" s="10" t="str">
        <f t="shared" si="0"/>
        <v>LU000647.001</v>
      </c>
      <c r="J58" s="10" t="str">
        <f ca="1">IFERROR(__xludf.DUMMYFUNCTION("VLOOKUP(I58, IMPORTRANGE(""https://docs.google.com/spreadsheets/d/1yDAaXNsi4Mr5FtRQL4tbmSdIzhx6_m4wkOD7IG-k_eo/edit#gid=0"", ""Maths!M:N""), 2, FALSE)"),"State the definition of a square root.")</f>
        <v>State the definition of a square root.</v>
      </c>
      <c r="K58" s="10" t="str">
        <f t="shared" si="1"/>
        <v>LU000647.002</v>
      </c>
      <c r="L58" s="10" t="str">
        <f ca="1">IFERROR(__xludf.DUMMYFUNCTION("VLOOKUP(K58, IMPORTRANGE(""https://docs.google.com/spreadsheets/d/1yDAaXNsi4Mr5FtRQL4tbmSdIzhx6_m4wkOD7IG-k_eo/edit#gid=0"", ""Maths!M:N""), 2, FALSE)"),"Explain the concept of a square root and its relationship with squaring a number.")</f>
        <v>Explain the concept of a square root and its relationship with squaring a number.</v>
      </c>
      <c r="M58" s="10" t="str">
        <f t="shared" si="2"/>
        <v>LU000647.003</v>
      </c>
      <c r="N58" s="10" t="str">
        <f ca="1">IFERROR(__xludf.DUMMYFUNCTION("VLOOKUP(M58, IMPORTRANGE(""https://docs.google.com/spreadsheets/d/1yDAaXNsi4Mr5FtRQL4tbmSdIzhx6_m4wkOD7IG-k_eo/edit#gid=0"", ""Maths!M:N""), 2, FALSE)"),"Apply the convention that the square root symbol (√) generally refers to the positive square root.")</f>
        <v>Apply the convention that the square root symbol (√) generally refers to the positive square root.</v>
      </c>
      <c r="O58" s="10" t="str">
        <f t="shared" si="3"/>
        <v>LU000647.004</v>
      </c>
      <c r="P58" s="10" t="str">
        <f ca="1">IFERROR(__xludf.DUMMYFUNCTION("VLOOKUP(O58, IMPORTRANGE(""https://docs.google.com/spreadsheets/d/1yDAaXNsi4Mr5FtRQL4tbmSdIzhx6_m4wkOD7IG-k_eo/edit#gid=0"", ""Maths!M:N""), 2, FALSE)"),"Analyse the properties and characteristics of square roots and explain why they are important in mathematics.")</f>
        <v>Analyse the properties and characteristics of square roots and explain why they are important in mathematics.</v>
      </c>
      <c r="Q58" s="10" t="str">
        <f t="shared" si="4"/>
        <v>LU000647.005</v>
      </c>
      <c r="R58" s="10" t="str">
        <f ca="1">IFERROR(__xludf.DUMMYFUNCTION("VLOOKUP(Q58, IMPORTRANGE(""https://docs.google.com/spreadsheets/d/1yDAaXNsi4Mr5FtRQL4tbmSdIzhx6_m4wkOD7IG-k_eo/edit#gid=0"", ""Maths!M:N""), 2, FALSE)"),"Evaluate the significance of square roots in practical scenarios, such as in measuring distances or calculating areas.")</f>
        <v>Evaluate the significance of square roots in practical scenarios, such as in measuring distances or calculating areas.</v>
      </c>
      <c r="S58" s="10" t="str">
        <f t="shared" si="5"/>
        <v>LU000647.006</v>
      </c>
      <c r="T58" s="10" t="str">
        <f ca="1">IFERROR(__xludf.DUMMYFUNCTION("VLOOKUP(S58, IMPORTRANGE(""https://docs.google.com/spreadsheets/d/1yDAaXNsi4Mr5FtRQL4tbmSdIzhx6_m4wkOD7IG-k_eo/edit#gid=0"", ""Maths!M:N""), 2, FALSE)"),"Create examples that demonstrate the concept of square roots in various contexts.")</f>
        <v>Create examples that demonstrate the concept of square roots in various contexts.</v>
      </c>
      <c r="U58" s="52">
        <f ca="1">IFERROR(__xludf.DUMMYFUNCTION("ArrayFormula(VLOOKUP(G58, IMPORTRANGE(""https://docs.google.com/spreadsheets/d/1p7R4vtkWt5VOBim4ltsDG9KTzSjrtKXsMtQGXPHyND0/edit#gid=795171502"", ""'Filter 30_05_2024'!A1:M2000""), {2, 3, 4, 5,6,7,8,9,10,11,12,13}, 0))"),4)</f>
        <v>4</v>
      </c>
      <c r="V58" s="52">
        <f ca="1">IFERROR(__xludf.DUMMYFUNCTION("""COMPUTED_VALUE"""),6)</f>
        <v>6</v>
      </c>
      <c r="W58" s="52">
        <f ca="1">IFERROR(__xludf.DUMMYFUNCTION("""COMPUTED_VALUE"""),2)</f>
        <v>2</v>
      </c>
      <c r="X58" s="52">
        <f ca="1">IFERROR(__xludf.DUMMYFUNCTION("""COMPUTED_VALUE"""),12)</f>
        <v>12</v>
      </c>
      <c r="Y58" s="52">
        <f ca="1">IFERROR(__xludf.DUMMYFUNCTION("""COMPUTED_VALUE"""),4)</f>
        <v>4</v>
      </c>
      <c r="Z58" s="53">
        <f ca="1">IFERROR(__xludf.DUMMYFUNCTION("""COMPUTED_VALUE"""),3)</f>
        <v>3</v>
      </c>
      <c r="AA58" s="53">
        <f ca="1">IFERROR(__xludf.DUMMYFUNCTION("""COMPUTED_VALUE"""),1)</f>
        <v>1</v>
      </c>
      <c r="AB58" s="53">
        <f ca="1">IFERROR(__xludf.DUMMYFUNCTION("""COMPUTED_VALUE"""),8)</f>
        <v>8</v>
      </c>
      <c r="AC58" s="53"/>
      <c r="AD58" s="53"/>
      <c r="AE58" s="53"/>
      <c r="AF58" s="53"/>
      <c r="AG58" s="8" t="str">
        <f ca="1">IFERROR(__xludf.DUMMYFUNCTION("ArrayFormula(VLOOKUP(G58, IMPORTRANGE(""https://docs.google.com/spreadsheets/d/1Co934fvtviyaRiMsrIlT05Jaq7iiYq07aLvRr35KA48/edit?gid=173865642#gid=173865642"", ""'G8_Maths_Pri_LU'!G2:V2000""), {3, 4, 5, 6, 7, 8, 9, 10, 11, 12, 13, 14, 15, 16}, 0))"),"LU000636")</f>
        <v>LU000636</v>
      </c>
      <c r="AH58" s="8" t="str">
        <f ca="1">IFERROR(__xludf.DUMMYFUNCTION("""COMPUTED_VALUE"""),"Definition and representation of square numbers/perfect square numbers")</f>
        <v>Definition and representation of square numbers/perfect square numbers</v>
      </c>
      <c r="AI58" s="8"/>
      <c r="AJ58" s="8"/>
      <c r="AK58" s="8"/>
      <c r="AL58" s="8"/>
      <c r="AM58" s="8"/>
      <c r="AN58" s="8"/>
      <c r="AO58" s="8"/>
      <c r="AP58" s="8"/>
      <c r="AQ58" s="8"/>
      <c r="AR58" s="8"/>
      <c r="AS58" s="8"/>
      <c r="AT58" s="8"/>
      <c r="AU58" s="8"/>
      <c r="AV58" s="8"/>
      <c r="AW58" s="8"/>
      <c r="AX58" s="8"/>
      <c r="AY58" s="8"/>
      <c r="AZ58" s="8"/>
      <c r="BA58" s="8"/>
      <c r="BB58" s="8"/>
      <c r="BC58" s="8"/>
      <c r="BD58" s="8"/>
      <c r="BE58" s="8"/>
    </row>
    <row r="59" spans="1:57">
      <c r="A59" s="8" t="s">
        <v>247</v>
      </c>
      <c r="B59" s="8" t="s">
        <v>47</v>
      </c>
      <c r="C59" s="8" t="s">
        <v>731</v>
      </c>
      <c r="D59" s="8" t="s">
        <v>732</v>
      </c>
      <c r="E59" s="8" t="s">
        <v>800</v>
      </c>
      <c r="F59" s="58" t="s">
        <v>820</v>
      </c>
      <c r="G59" s="8" t="s">
        <v>822</v>
      </c>
      <c r="H59" s="8" t="str">
        <f ca="1">IFERROR(__xludf.DUMMYFUNCTION("VLOOKUP(G59, IMPORTRANGE(""https://docs.google.com/spreadsheets/d/14deopnvwcrKtEGCKuYXdUHJbeLDZlkiSSWWT0g7x2pM/edit#gid=999382323"", ""LU List Maths (Filter)!A:B""), 2, FALSE)"),"Relationship between number of digits in perfect square and its square root")</f>
        <v>Relationship between number of digits in perfect square and its square root</v>
      </c>
      <c r="I59" s="10" t="str">
        <f t="shared" si="0"/>
        <v>LU000652.001</v>
      </c>
      <c r="J59" s="10" t="str">
        <f ca="1">IFERROR(__xludf.DUMMYFUNCTION("VLOOKUP(I59, IMPORTRANGE(""https://docs.google.com/spreadsheets/d/1yDAaXNsi4Mr5FtRQL4tbmSdIzhx6_m4wkOD7IG-k_eo/edit#gid=0"", ""Maths!M:N""), 2, FALSE)"),"List the properties of a perfect square number.")</f>
        <v>List the properties of a perfect square number.</v>
      </c>
      <c r="K59" s="10" t="str">
        <f t="shared" si="1"/>
        <v>LU000652.002</v>
      </c>
      <c r="L59" s="10" t="str">
        <f ca="1">IFERROR(__xludf.DUMMYFUNCTION("VLOOKUP(K59, IMPORTRANGE(""https://docs.google.com/spreadsheets/d/1yDAaXNsi4Mr5FtRQL4tbmSdIzhx6_m4wkOD7IG-k_eo/edit#gid=0"", ""Maths!M:N""), 2, FALSE)"),"Explain the concept of square roots and how they relate to perfect squares in terms of the number of digits.")</f>
        <v>Explain the concept of square roots and how they relate to perfect squares in terms of the number of digits.</v>
      </c>
      <c r="M59" s="10" t="str">
        <f t="shared" si="2"/>
        <v>LU000652.003</v>
      </c>
      <c r="N59" s="10" t="str">
        <f ca="1">IFERROR(__xludf.DUMMYFUNCTION("VLOOKUP(M59, IMPORTRANGE(""https://docs.google.com/spreadsheets/d/1yDAaXNsi4Mr5FtRQL4tbmSdIzhx6_m4wkOD7IG-k_eo/edit#gid=0"", ""Maths!M:N""), 2, FALSE)"),"Apply the knowledge of square roots and perfect squares to check the number of digits in square root.")</f>
        <v>Apply the knowledge of square roots and perfect squares to check the number of digits in square root.</v>
      </c>
      <c r="O59" s="10" t="str">
        <f t="shared" si="3"/>
        <v>LU000652.004</v>
      </c>
      <c r="P59" s="10" t="str">
        <f ca="1">IFERROR(__xludf.DUMMYFUNCTION("VLOOKUP(O59, IMPORTRANGE(""https://docs.google.com/spreadsheets/d/1yDAaXNsi4Mr5FtRQL4tbmSdIzhx6_m4wkOD7IG-k_eo/edit#gid=0"", ""Maths!M:N""), 2, FALSE)"),"Analyse the patterns in the number of digits of square roots for perfect squares with different numbers of digits.")</f>
        <v>Analyse the patterns in the number of digits of square roots for perfect squares with different numbers of digits.</v>
      </c>
      <c r="Q59" s="10" t="str">
        <f t="shared" si="4"/>
        <v>LU000652.005</v>
      </c>
      <c r="R59" s="10" t="str">
        <f ca="1">IFERROR(__xludf.DUMMYFUNCTION("VLOOKUP(Q59, IMPORTRANGE(""https://docs.google.com/spreadsheets/d/1yDAaXNsi4Mr5FtRQL4tbmSdIzhx6_m4wkOD7IG-k_eo/edit#gid=0"", ""Maths!M:N""), 2, FALSE)"),"Evaluate the relationships between the number of digits in perfect squares and their square roots by comparing various examples.")</f>
        <v>Evaluate the relationships between the number of digits in perfect squares and their square roots by comparing various examples.</v>
      </c>
      <c r="S59" s="10" t="str">
        <f t="shared" si="5"/>
        <v>LU000652.006</v>
      </c>
      <c r="T59" s="10" t="str">
        <f ca="1">IFERROR(__xludf.DUMMYFUNCTION("VLOOKUP(S59, IMPORTRANGE(""https://docs.google.com/spreadsheets/d/1yDAaXNsi4Mr5FtRQL4tbmSdIzhx6_m4wkOD7IG-k_eo/edit#gid=0"", ""Maths!M:N""), 2, FALSE)"),"Create a visual representation or chart that illustrates the relationship between the number of digits in perfect squares and their square roots.")</f>
        <v>Create a visual representation or chart that illustrates the relationship between the number of digits in perfect squares and their square roots.</v>
      </c>
      <c r="U59" s="52">
        <f ca="1">IFERROR(__xludf.DUMMYFUNCTION("ArrayFormula(VLOOKUP(G59, IMPORTRANGE(""https://docs.google.com/spreadsheets/d/1p7R4vtkWt5VOBim4ltsDG9KTzSjrtKXsMtQGXPHyND0/edit#gid=795171502"", ""'Filter 30_05_2024'!A1:M2000""), {2, 3, 4, 5,6,7,8,9,10,11,12,13}, 0))"),4)</f>
        <v>4</v>
      </c>
      <c r="V59" s="52">
        <f ca="1">IFERROR(__xludf.DUMMYFUNCTION("""COMPUTED_VALUE"""),6)</f>
        <v>6</v>
      </c>
      <c r="W59" s="52">
        <f ca="1">IFERROR(__xludf.DUMMYFUNCTION("""COMPUTED_VALUE"""),2)</f>
        <v>2</v>
      </c>
      <c r="X59" s="52">
        <f ca="1">IFERROR(__xludf.DUMMYFUNCTION("""COMPUTED_VALUE"""),12)</f>
        <v>12</v>
      </c>
      <c r="Y59" s="52">
        <f ca="1">IFERROR(__xludf.DUMMYFUNCTION("""COMPUTED_VALUE"""),5)</f>
        <v>5</v>
      </c>
      <c r="Z59" s="53">
        <f ca="1">IFERROR(__xludf.DUMMYFUNCTION("""COMPUTED_VALUE"""),2)</f>
        <v>2</v>
      </c>
      <c r="AA59" s="53">
        <f ca="1">IFERROR(__xludf.DUMMYFUNCTION("""COMPUTED_VALUE"""),1)</f>
        <v>1</v>
      </c>
      <c r="AB59" s="53">
        <f ca="1">IFERROR(__xludf.DUMMYFUNCTION("""COMPUTED_VALUE"""),8)</f>
        <v>8</v>
      </c>
      <c r="AC59" s="53"/>
      <c r="AD59" s="53"/>
      <c r="AE59" s="53"/>
      <c r="AF59" s="53"/>
      <c r="AG59" s="8" t="str">
        <f ca="1">IFERROR(__xludf.DUMMYFUNCTION("ArrayFormula(VLOOKUP(G59, IMPORTRANGE(""https://docs.google.com/spreadsheets/d/1Co934fvtviyaRiMsrIlT05Jaq7iiYq07aLvRr35KA48/edit?gid=173865642#gid=173865642"", ""'G8_Maths_Pri_LU'!G2:V2000""), {3, 4, 5, 6, 7, 8, 9, 10, 11, 12, 13, 14, 15, 16}, 0))"),"LU000647")</f>
        <v>LU000647</v>
      </c>
      <c r="AH59" s="8" t="str">
        <f ca="1">IFERROR(__xludf.DUMMYFUNCTION("""COMPUTED_VALUE"""),"Definition of square root")</f>
        <v>Definition of square root</v>
      </c>
      <c r="AI59" s="8" t="str">
        <f ca="1">IFERROR(__xludf.DUMMYFUNCTION("""COMPUTED_VALUE"""),"LU000636")</f>
        <v>LU000636</v>
      </c>
      <c r="AJ59" s="8" t="str">
        <f ca="1">IFERROR(__xludf.DUMMYFUNCTION("""COMPUTED_VALUE"""),"Definition and representation of square numbers/perfect square numbers")</f>
        <v>Definition and representation of square numbers/perfect square numbers</v>
      </c>
      <c r="AK59" s="8"/>
      <c r="AL59" s="8"/>
      <c r="AM59" s="8"/>
      <c r="AN59" s="8"/>
      <c r="AO59" s="8"/>
      <c r="AP59" s="8"/>
      <c r="AQ59" s="8"/>
      <c r="AR59" s="8"/>
      <c r="AS59" s="8"/>
      <c r="AT59" s="8"/>
      <c r="AU59" s="8"/>
      <c r="AV59" s="8"/>
      <c r="AW59" s="8"/>
      <c r="AX59" s="8"/>
      <c r="AY59" s="8"/>
      <c r="AZ59" s="8"/>
      <c r="BA59" s="8"/>
      <c r="BB59" s="8"/>
      <c r="BC59" s="8"/>
      <c r="BD59" s="8"/>
      <c r="BE59" s="8"/>
    </row>
    <row r="60" spans="1:57">
      <c r="A60" s="8" t="s">
        <v>247</v>
      </c>
      <c r="B60" s="8" t="s">
        <v>47</v>
      </c>
      <c r="C60" s="8" t="s">
        <v>731</v>
      </c>
      <c r="D60" s="8" t="s">
        <v>732</v>
      </c>
      <c r="E60" s="8" t="s">
        <v>800</v>
      </c>
      <c r="F60" s="58" t="s">
        <v>823</v>
      </c>
      <c r="G60" s="8" t="s">
        <v>824</v>
      </c>
      <c r="H60" s="8" t="str">
        <f ca="1">IFERROR(__xludf.DUMMYFUNCTION("VLOOKUP(G60, IMPORTRANGE(""https://docs.google.com/spreadsheets/d/14deopnvwcrKtEGCKuYXdUHJbeLDZlkiSSWWT0g7x2pM/edit#gid=999382323"", ""LU List Maths (Filter)!A:B""), 2, FALSE)"),"Square root of perfect square number through repeated subtraction")</f>
        <v>Square root of perfect square number through repeated subtraction</v>
      </c>
      <c r="I60" s="10" t="str">
        <f t="shared" si="0"/>
        <v>LU000648.001</v>
      </c>
      <c r="J60" s="10" t="str">
        <f ca="1">IFERROR(__xludf.DUMMYFUNCTION("VLOOKUP(I60, IMPORTRANGE(""https://docs.google.com/spreadsheets/d/1yDAaXNsi4Mr5FtRQL4tbmSdIzhx6_m4wkOD7IG-k_eo/edit#gid=0"", ""Maths!M:N""), 2, FALSE)"),"Recall the process of finding the square root of a perfect square number by repeatedly subtracting consecutive odd numbers.")</f>
        <v>Recall the process of finding the square root of a perfect square number by repeatedly subtracting consecutive odd numbers.</v>
      </c>
      <c r="K60" s="10" t="str">
        <f t="shared" si="1"/>
        <v>LU000648.002</v>
      </c>
      <c r="L60" s="10" t="str">
        <f ca="1">IFERROR(__xludf.DUMMYFUNCTION("VLOOKUP(K60, IMPORTRANGE(""https://docs.google.com/spreadsheets/d/1yDAaXNsi4Mr5FtRQL4tbmSdIzhx6_m4wkOD7IG-k_eo/edit#gid=0"", ""Maths!M:N""), 2, FALSE)"),"Explain the logic behind the process of finding the square root of a perfect square number through repeated subtraction of odd numbers.")</f>
        <v>Explain the logic behind the process of finding the square root of a perfect square number through repeated subtraction of odd numbers.</v>
      </c>
      <c r="M60" s="10" t="str">
        <f t="shared" si="2"/>
        <v>LU000648.003</v>
      </c>
      <c r="N60" s="10" t="str">
        <f ca="1">IFERROR(__xludf.DUMMYFUNCTION("VLOOKUP(M60, IMPORTRANGE(""https://docs.google.com/spreadsheets/d/1yDAaXNsi4Mr5FtRQL4tbmSdIzhx6_m4wkOD7IG-k_eo/edit#gid=0"", ""Maths!M:N""), 2, FALSE)"),"Apply the repeated subtraction method to find the square root of various perfect square numbers.")</f>
        <v>Apply the repeated subtraction method to find the square root of various perfect square numbers.</v>
      </c>
      <c r="O60" s="10" t="str">
        <f t="shared" si="3"/>
        <v>LU000648.004</v>
      </c>
      <c r="P60" s="10" t="str">
        <f ca="1">IFERROR(__xludf.DUMMYFUNCTION("VLOOKUP(O60, IMPORTRANGE(""https://docs.google.com/spreadsheets/d/1yDAaXNsi4Mr5FtRQL4tbmSdIzhx6_m4wkOD7IG-k_eo/edit#gid=0"", ""Maths!M:N""), 2, FALSE)"),"Analyse the efficiency of the repeated subtraction method in finding square roots and compare it to other methods.")</f>
        <v>Analyse the efficiency of the repeated subtraction method in finding square roots and compare it to other methods.</v>
      </c>
      <c r="Q60" s="10" t="str">
        <f t="shared" si="4"/>
        <v>LU000648.005</v>
      </c>
      <c r="R60" s="10" t="str">
        <f ca="1">IFERROR(__xludf.DUMMYFUNCTION("VLOOKUP(Q60, IMPORTRANGE(""https://docs.google.com/spreadsheets/d/1yDAaXNsi4Mr5FtRQL4tbmSdIzhx6_m4wkOD7IG-k_eo/edit#gid=0"", ""Maths!M:N""), 2, FALSE)"),"Evaluate the accuracy of the repeated subtraction method by checking the obtained square root against the actual value.")</f>
        <v>Evaluate the accuracy of the repeated subtraction method by checking the obtained square root against the actual value.</v>
      </c>
      <c r="S60" s="10" t="str">
        <f t="shared" si="5"/>
        <v>LU000648.006</v>
      </c>
      <c r="T60" s="10" t="str">
        <f ca="1">IFERROR(__xludf.DUMMYFUNCTION("VLOOKUP(S60, IMPORTRANGE(""https://docs.google.com/spreadsheets/d/1yDAaXNsi4Mr5FtRQL4tbmSdIzhx6_m4wkOD7IG-k_eo/edit#gid=0"", ""Maths!M:N""), 2, FALSE)"),"Create a set of perfect square numbers to finding their square roots using the repeated subtraction method.")</f>
        <v>Create a set of perfect square numbers to finding their square roots using the repeated subtraction method.</v>
      </c>
      <c r="U60" s="52">
        <f ca="1">IFERROR(__xludf.DUMMYFUNCTION("ArrayFormula(VLOOKUP(G60, IMPORTRANGE(""https://docs.google.com/spreadsheets/d/1p7R4vtkWt5VOBim4ltsDG9KTzSjrtKXsMtQGXPHyND0/edit#gid=795171502"", ""'Filter 30_05_2024'!A1:M2000""), {2, 3, 4, 5,6,7,8,9,10,11,12,13}, 0))"),4)</f>
        <v>4</v>
      </c>
      <c r="V60" s="52">
        <f ca="1">IFERROR(__xludf.DUMMYFUNCTION("""COMPUTED_VALUE"""),6)</f>
        <v>6</v>
      </c>
      <c r="W60" s="52">
        <f ca="1">IFERROR(__xludf.DUMMYFUNCTION("""COMPUTED_VALUE"""),1)</f>
        <v>1</v>
      </c>
      <c r="X60" s="52">
        <f ca="1">IFERROR(__xludf.DUMMYFUNCTION("""COMPUTED_VALUE"""),11)</f>
        <v>11</v>
      </c>
      <c r="Y60" s="52">
        <f ca="1">IFERROR(__xludf.DUMMYFUNCTION("""COMPUTED_VALUE"""),4)</f>
        <v>4</v>
      </c>
      <c r="Z60" s="53">
        <f ca="1">IFERROR(__xludf.DUMMYFUNCTION("""COMPUTED_VALUE"""),3)</f>
        <v>3</v>
      </c>
      <c r="AA60" s="53">
        <f ca="1">IFERROR(__xludf.DUMMYFUNCTION("""COMPUTED_VALUE"""),1)</f>
        <v>1</v>
      </c>
      <c r="AB60" s="53">
        <f ca="1">IFERROR(__xludf.DUMMYFUNCTION("""COMPUTED_VALUE"""),8)</f>
        <v>8</v>
      </c>
      <c r="AC60" s="53"/>
      <c r="AD60" s="53"/>
      <c r="AE60" s="53"/>
      <c r="AF60" s="53"/>
      <c r="AG60" s="8" t="str">
        <f ca="1">IFERROR(__xludf.DUMMYFUNCTION("ArrayFormula(VLOOKUP(G60, IMPORTRANGE(""https://docs.google.com/spreadsheets/d/1Co934fvtviyaRiMsrIlT05Jaq7iiYq07aLvRr35KA48/edit?gid=173865642#gid=173865642"", ""'G8_Maths_Pri_LU'!G2:V2000""), {3, 4, 5, 6, 7, 8, 9, 10, 11, 12, 13, 14, 15, 16}, 0))"),"LU000647")</f>
        <v>LU000647</v>
      </c>
      <c r="AH60" s="8" t="str">
        <f ca="1">IFERROR(__xludf.DUMMYFUNCTION("""COMPUTED_VALUE"""),"Definition of square root")</f>
        <v>Definition of square root</v>
      </c>
      <c r="AI60" s="8" t="str">
        <f ca="1">IFERROR(__xludf.DUMMYFUNCTION("""COMPUTED_VALUE"""),"LU000636")</f>
        <v>LU000636</v>
      </c>
      <c r="AJ60" s="8" t="str">
        <f ca="1">IFERROR(__xludf.DUMMYFUNCTION("""COMPUTED_VALUE"""),"Definition and representation of square numbers/perfect square numbers")</f>
        <v>Definition and representation of square numbers/perfect square numbers</v>
      </c>
      <c r="AK60" s="8"/>
      <c r="AL60" s="8"/>
      <c r="AM60" s="8"/>
      <c r="AN60" s="8"/>
      <c r="AO60" s="8"/>
      <c r="AP60" s="8"/>
      <c r="AQ60" s="8"/>
      <c r="AR60" s="8"/>
      <c r="AS60" s="8"/>
      <c r="AT60" s="8"/>
      <c r="AU60" s="8"/>
      <c r="AV60" s="8"/>
      <c r="AW60" s="8"/>
      <c r="AX60" s="8"/>
      <c r="AY60" s="8"/>
      <c r="AZ60" s="8"/>
      <c r="BA60" s="8"/>
      <c r="BB60" s="8"/>
      <c r="BC60" s="8"/>
      <c r="BD60" s="8"/>
      <c r="BE60" s="8"/>
    </row>
    <row r="61" spans="1:57">
      <c r="A61" s="8" t="s">
        <v>247</v>
      </c>
      <c r="B61" s="8" t="s">
        <v>47</v>
      </c>
      <c r="C61" s="8" t="s">
        <v>731</v>
      </c>
      <c r="D61" s="8" t="s">
        <v>732</v>
      </c>
      <c r="E61" s="8" t="s">
        <v>800</v>
      </c>
      <c r="F61" s="58" t="s">
        <v>823</v>
      </c>
      <c r="G61" s="8" t="s">
        <v>825</v>
      </c>
      <c r="H61" s="8" t="str">
        <f ca="1">IFERROR(__xludf.DUMMYFUNCTION("VLOOKUP(G61, IMPORTRANGE(""https://docs.google.com/spreadsheets/d/14deopnvwcrKtEGCKuYXdUHJbeLDZlkiSSWWT0g7x2pM/edit#gid=999382323"", ""LU List Maths (Filter)!A:B""), 2, FALSE)"),"Square root of perfect square numbers through prime factorisation")</f>
        <v>Square root of perfect square numbers through prime factorisation</v>
      </c>
      <c r="I61" s="10" t="str">
        <f t="shared" si="0"/>
        <v>LU000649.001</v>
      </c>
      <c r="J61" s="10" t="str">
        <f ca="1">IFERROR(__xludf.DUMMYFUNCTION("VLOOKUP(I61, IMPORTRANGE(""https://docs.google.com/spreadsheets/d/1yDAaXNsi4Mr5FtRQL4tbmSdIzhx6_m4wkOD7IG-k_eo/edit#gid=0"", ""Maths!M:N""), 2, FALSE)"),"Recall the steps involved in finding the square root of a perfect square number using prime factorisation.")</f>
        <v>Recall the steps involved in finding the square root of a perfect square number using prime factorisation.</v>
      </c>
      <c r="K61" s="10" t="str">
        <f t="shared" si="1"/>
        <v>LU000649.002</v>
      </c>
      <c r="L61" s="10" t="str">
        <f ca="1">IFERROR(__xludf.DUMMYFUNCTION("VLOOKUP(K61, IMPORTRANGE(""https://docs.google.com/spreadsheets/d/1yDAaXNsi4Mr5FtRQL4tbmSdIzhx6_m4wkOD7IG-k_eo/edit#gid=0"", ""Maths!M:N""), 2, FALSE)"),"Explain the concept of prime factorisation and how it is used to find the square root of a perfect square number.")</f>
        <v>Explain the concept of prime factorisation and how it is used to find the square root of a perfect square number.</v>
      </c>
      <c r="M61" s="10" t="str">
        <f t="shared" si="2"/>
        <v>LU000649.003</v>
      </c>
      <c r="N61" s="10" t="str">
        <f ca="1">IFERROR(__xludf.DUMMYFUNCTION("VLOOKUP(M61, IMPORTRANGE(""https://docs.google.com/spreadsheets/d/1yDAaXNsi4Mr5FtRQL4tbmSdIzhx6_m4wkOD7IG-k_eo/edit#gid=0"", ""Maths!M:N""), 2, FALSE)"),"Apply the prime factorisation method to find the square root of various perfect square numbers.")</f>
        <v>Apply the prime factorisation method to find the square root of various perfect square numbers.</v>
      </c>
      <c r="O61" s="10" t="str">
        <f t="shared" si="3"/>
        <v>LU000649.004</v>
      </c>
      <c r="P61" s="10" t="str">
        <f ca="1">IFERROR(__xludf.DUMMYFUNCTION("VLOOKUP(O61, IMPORTRANGE(""https://docs.google.com/spreadsheets/d/1yDAaXNsi4Mr5FtRQL4tbmSdIzhx6_m4wkOD7IG-k_eo/edit#gid=0"", ""Maths!M:N""), 2, FALSE)"),"Analyse the efficiency of the prime factorisation method in finding square roots and compare it to other methods.")</f>
        <v>Analyse the efficiency of the prime factorisation method in finding square roots and compare it to other methods.</v>
      </c>
      <c r="Q61" s="10" t="str">
        <f t="shared" si="4"/>
        <v>LU000649.005</v>
      </c>
      <c r="R61" s="10" t="str">
        <f ca="1">IFERROR(__xludf.DUMMYFUNCTION("VLOOKUP(Q61, IMPORTRANGE(""https://docs.google.com/spreadsheets/d/1yDAaXNsi4Mr5FtRQL4tbmSdIzhx6_m4wkOD7IG-k_eo/edit#gid=0"", ""Maths!M:N""), 2, FALSE)"),"Evaluate the accuracy of the prime factorisation method by checking the obtained square root against the actual value.")</f>
        <v>Evaluate the accuracy of the prime factorisation method by checking the obtained square root against the actual value.</v>
      </c>
      <c r="S61" s="10" t="str">
        <f t="shared" si="5"/>
        <v>LU000649.006</v>
      </c>
      <c r="T61" s="10" t="str">
        <f ca="1">IFERROR(__xludf.DUMMYFUNCTION("VLOOKUP(S61, IMPORTRANGE(""https://docs.google.com/spreadsheets/d/1yDAaXNsi4Mr5FtRQL4tbmSdIzhx6_m4wkOD7IG-k_eo/edit#gid=0"", ""Maths!M:N""), 2, FALSE)"),"Construct an alternate method or algorithm for finding square roots of perfect square numbers and compare it with the prime factorisation method.")</f>
        <v>Construct an alternate method or algorithm for finding square roots of perfect square numbers and compare it with the prime factorisation method.</v>
      </c>
      <c r="U61" s="52">
        <f ca="1">IFERROR(__xludf.DUMMYFUNCTION("ArrayFormula(VLOOKUP(G61, IMPORTRANGE(""https://docs.google.com/spreadsheets/d/1p7R4vtkWt5VOBim4ltsDG9KTzSjrtKXsMtQGXPHyND0/edit#gid=795171502"", ""'Filter 30_05_2024'!A1:M2000""), {2, 3, 4, 5,6,7,8,9,10,11,12,13}, 0))"),4)</f>
        <v>4</v>
      </c>
      <c r="V61" s="52">
        <f ca="1">IFERROR(__xludf.DUMMYFUNCTION("""COMPUTED_VALUE"""),6)</f>
        <v>6</v>
      </c>
      <c r="W61" s="52">
        <f ca="1">IFERROR(__xludf.DUMMYFUNCTION("""COMPUTED_VALUE"""),2)</f>
        <v>2</v>
      </c>
      <c r="X61" s="52">
        <f ca="1">IFERROR(__xludf.DUMMYFUNCTION("""COMPUTED_VALUE"""),12)</f>
        <v>12</v>
      </c>
      <c r="Y61" s="52">
        <f ca="1">IFERROR(__xludf.DUMMYFUNCTION("""COMPUTED_VALUE"""),4)</f>
        <v>4</v>
      </c>
      <c r="Z61" s="53">
        <f ca="1">IFERROR(__xludf.DUMMYFUNCTION("""COMPUTED_VALUE"""),3)</f>
        <v>3</v>
      </c>
      <c r="AA61" s="53">
        <f ca="1">IFERROR(__xludf.DUMMYFUNCTION("""COMPUTED_VALUE"""),1)</f>
        <v>1</v>
      </c>
      <c r="AB61" s="53">
        <f ca="1">IFERROR(__xludf.DUMMYFUNCTION("""COMPUTED_VALUE"""),8)</f>
        <v>8</v>
      </c>
      <c r="AC61" s="53"/>
      <c r="AD61" s="53"/>
      <c r="AE61" s="53"/>
      <c r="AF61" s="53"/>
      <c r="AG61" s="8" t="str">
        <f ca="1">IFERROR(__xludf.DUMMYFUNCTION("ArrayFormula(VLOOKUP(G61, IMPORTRANGE(""https://docs.google.com/spreadsheets/d/1Co934fvtviyaRiMsrIlT05Jaq7iiYq07aLvRr35KA48/edit?gid=173865642#gid=173865642"", ""'G8_Maths_Pri_LU'!G2:V2000""), {3, 4, 5, 6, 7, 8, 9, 10, 11, 12, 13, 14, 15, 16}, 0))"),"LU000647")</f>
        <v>LU000647</v>
      </c>
      <c r="AH61" s="8" t="str">
        <f ca="1">IFERROR(__xludf.DUMMYFUNCTION("""COMPUTED_VALUE"""),"Definition of square root")</f>
        <v>Definition of square root</v>
      </c>
      <c r="AI61" s="8" t="str">
        <f ca="1">IFERROR(__xludf.DUMMYFUNCTION("""COMPUTED_VALUE"""),"LU000210")</f>
        <v>LU000210</v>
      </c>
      <c r="AJ61" s="8" t="str">
        <f ca="1">IFERROR(__xludf.DUMMYFUNCTION("""COMPUTED_VALUE"""),"Methods of prime factorisation")</f>
        <v>Methods of prime factorisation</v>
      </c>
      <c r="AK61" s="8"/>
      <c r="AL61" s="8"/>
      <c r="AM61" s="8"/>
      <c r="AN61" s="8"/>
      <c r="AO61" s="8"/>
      <c r="AP61" s="8"/>
      <c r="AQ61" s="8"/>
      <c r="AR61" s="8"/>
      <c r="AS61" s="8"/>
      <c r="AT61" s="8"/>
      <c r="AU61" s="8"/>
      <c r="AV61" s="8"/>
      <c r="AW61" s="8"/>
      <c r="AX61" s="8"/>
      <c r="AY61" s="8"/>
      <c r="AZ61" s="8"/>
      <c r="BA61" s="8"/>
      <c r="BB61" s="8"/>
      <c r="BC61" s="8"/>
      <c r="BD61" s="8"/>
      <c r="BE61" s="8"/>
    </row>
    <row r="62" spans="1:57">
      <c r="A62" s="8" t="s">
        <v>247</v>
      </c>
      <c r="B62" s="8" t="s">
        <v>47</v>
      </c>
      <c r="C62" s="8" t="s">
        <v>731</v>
      </c>
      <c r="D62" s="8" t="s">
        <v>732</v>
      </c>
      <c r="E62" s="8" t="s">
        <v>800</v>
      </c>
      <c r="F62" s="58" t="s">
        <v>823</v>
      </c>
      <c r="G62" s="8" t="s">
        <v>826</v>
      </c>
      <c r="H62" s="8" t="str">
        <f ca="1">IFERROR(__xludf.DUMMYFUNCTION("VLOOKUP(G62, IMPORTRANGE(""https://docs.google.com/spreadsheets/d/14deopnvwcrKtEGCKuYXdUHJbeLDZlkiSSWWT0g7x2pM/edit#gid=999382323"", ""LU List Maths (Filter)!A:B""), 2, FALSE)"),"Square root of perfect square number (whole number) by division method")</f>
        <v>Square root of perfect square number (whole number) by division method</v>
      </c>
      <c r="I62" s="10" t="str">
        <f t="shared" si="0"/>
        <v>LU000650.001</v>
      </c>
      <c r="J62" s="10" t="str">
        <f ca="1">IFERROR(__xludf.DUMMYFUNCTION("VLOOKUP(I62, IMPORTRANGE(""https://docs.google.com/spreadsheets/d/1yDAaXNsi4Mr5FtRQL4tbmSdIzhx6_m4wkOD7IG-k_eo/edit#gid=0"", ""Maths!M:N""), 2, FALSE)"),"State the sequence of steps to apply the division method for extracting the square root of whole numbers.")</f>
        <v>State the sequence of steps to apply the division method for extracting the square root of whole numbers.</v>
      </c>
      <c r="K62" s="10" t="str">
        <f t="shared" si="1"/>
        <v>LU000650.002</v>
      </c>
      <c r="L62" s="10" t="str">
        <f ca="1">IFERROR(__xludf.DUMMYFUNCTION("VLOOKUP(K62, IMPORTRANGE(""https://docs.google.com/spreadsheets/d/1yDAaXNsi4Mr5FtRQL4tbmSdIzhx6_m4wkOD7IG-k_eo/edit#gid=0"", ""Maths!M:N""), 2, FALSE)"),"Describe why the division method involves grouping digits and finding factors to find square root of whole numbers.")</f>
        <v>Describe why the division method involves grouping digits and finding factors to find square root of whole numbers.</v>
      </c>
      <c r="M62" s="10" t="str">
        <f t="shared" si="2"/>
        <v>LU000650.003</v>
      </c>
      <c r="N62" s="10" t="str">
        <f ca="1">IFERROR(__xludf.DUMMYFUNCTION("VLOOKUP(M62, IMPORTRANGE(""https://docs.google.com/spreadsheets/d/1yDAaXNsi4Mr5FtRQL4tbmSdIzhx6_m4wkOD7IG-k_eo/edit#gid=0"", ""Maths!M:N""), 2, FALSE)"),"Utilize the division method to compute the square root of given perfect square whole numbers.")</f>
        <v>Utilize the division method to compute the square root of given perfect square whole numbers.</v>
      </c>
      <c r="O62" s="10" t="str">
        <f t="shared" si="3"/>
        <v>LU000650.004</v>
      </c>
      <c r="P62" s="10" t="str">
        <f ca="1">IFERROR(__xludf.DUMMYFUNCTION("VLOOKUP(O62, IMPORTRANGE(""https://docs.google.com/spreadsheets/d/1yDAaXNsi4Mr5FtRQL4tbmSdIzhx6_m4wkOD7IG-k_eo/edit#gid=0"", ""Maths!M:N""), 2, FALSE)"),"Analyze and compare the division method with other methods of finding square roots of whole numbers, highlighting its advantages and limitations.")</f>
        <v>Analyze and compare the division method with other methods of finding square roots of whole numbers, highlighting its advantages and limitations.</v>
      </c>
      <c r="Q62" s="10" t="str">
        <f t="shared" si="4"/>
        <v>LU000650.005</v>
      </c>
      <c r="R62" s="10" t="str">
        <f ca="1">IFERROR(__xludf.DUMMYFUNCTION("VLOOKUP(Q62, IMPORTRANGE(""https://docs.google.com/spreadsheets/d/1yDAaXNsi4Mr5FtRQL4tbmSdIzhx6_m4wkOD7IG-k_eo/edit#gid=0"", ""Maths!M:N""), 2, FALSE)"),"Evaluate the accuracy of the square root of whole numbers obtained through the division method by squaring it and comparing with the original number.")</f>
        <v>Evaluate the accuracy of the square root of whole numbers obtained through the division method by squaring it and comparing with the original number.</v>
      </c>
      <c r="S62" s="10" t="str">
        <f t="shared" si="5"/>
        <v>LU000650.006</v>
      </c>
      <c r="T62" s="10" t="str">
        <f ca="1">IFERROR(__xludf.DUMMYFUNCTION("VLOOKUP(S62, IMPORTRANGE(""https://docs.google.com/spreadsheets/d/1yDAaXNsi4Mr5FtRQL4tbmSdIzhx6_m4wkOD7IG-k_eo/edit#gid=0"", ""Maths!M:N""), 2, FALSE)"),"Develop a step-by-step video tutorial demonstrating the division method for finding square roots of whole numbers, including clear explanations and examples.")</f>
        <v>Develop a step-by-step video tutorial demonstrating the division method for finding square roots of whole numbers, including clear explanations and examples.</v>
      </c>
      <c r="U62" s="52">
        <f ca="1">IFERROR(__xludf.DUMMYFUNCTION("ArrayFormula(VLOOKUP(G62, IMPORTRANGE(""https://docs.google.com/spreadsheets/d/1p7R4vtkWt5VOBim4ltsDG9KTzSjrtKXsMtQGXPHyND0/edit#gid=795171502"", ""'Filter 30_05_2024'!A1:M2000""), {2, 3, 4, 5,6,7,8,9,10,11,12,13}, 0))"),4)</f>
        <v>4</v>
      </c>
      <c r="V62" s="52">
        <f ca="1">IFERROR(__xludf.DUMMYFUNCTION("""COMPUTED_VALUE"""),6)</f>
        <v>6</v>
      </c>
      <c r="W62" s="52">
        <f ca="1">IFERROR(__xludf.DUMMYFUNCTION("""COMPUTED_VALUE"""),2)</f>
        <v>2</v>
      </c>
      <c r="X62" s="52">
        <f ca="1">IFERROR(__xludf.DUMMYFUNCTION("""COMPUTED_VALUE"""),12)</f>
        <v>12</v>
      </c>
      <c r="Y62" s="52">
        <f ca="1">IFERROR(__xludf.DUMMYFUNCTION("""COMPUTED_VALUE"""),4)</f>
        <v>4</v>
      </c>
      <c r="Z62" s="53">
        <f ca="1">IFERROR(__xludf.DUMMYFUNCTION("""COMPUTED_VALUE"""),3)</f>
        <v>3</v>
      </c>
      <c r="AA62" s="53">
        <f ca="1">IFERROR(__xludf.DUMMYFUNCTION("""COMPUTED_VALUE"""),1)</f>
        <v>1</v>
      </c>
      <c r="AB62" s="53">
        <f ca="1">IFERROR(__xludf.DUMMYFUNCTION("""COMPUTED_VALUE"""),8)</f>
        <v>8</v>
      </c>
      <c r="AC62" s="53"/>
      <c r="AD62" s="53"/>
      <c r="AE62" s="53"/>
      <c r="AF62" s="53"/>
      <c r="AG62" s="8" t="str">
        <f ca="1">IFERROR(__xludf.DUMMYFUNCTION("ArrayFormula(VLOOKUP(G62, IMPORTRANGE(""https://docs.google.com/spreadsheets/d/1Co934fvtviyaRiMsrIlT05Jaq7iiYq07aLvRr35KA48/edit?gid=173865642#gid=173865642"", ""'G8_Maths_Pri_LU'!G2:V2000""), {3, 4, 5, 6, 7, 8, 9, 10, 11, 12, 13, 14, 15, 16}, 0))"),"LU000647")</f>
        <v>LU000647</v>
      </c>
      <c r="AH62" s="8" t="str">
        <f ca="1">IFERROR(__xludf.DUMMYFUNCTION("""COMPUTED_VALUE"""),"Definition of square root")</f>
        <v>Definition of square root</v>
      </c>
      <c r="AI62" s="8" t="str">
        <f ca="1">IFERROR(__xludf.DUMMYFUNCTION("""COMPUTED_VALUE"""),"LU000636")</f>
        <v>LU000636</v>
      </c>
      <c r="AJ62" s="8" t="str">
        <f ca="1">IFERROR(__xludf.DUMMYFUNCTION("""COMPUTED_VALUE"""),"Definition and representation of square numbers/perfect square numbers")</f>
        <v>Definition and representation of square numbers/perfect square numbers</v>
      </c>
      <c r="AK62" s="8"/>
      <c r="AL62" s="8"/>
      <c r="AM62" s="8"/>
      <c r="AN62" s="8"/>
      <c r="AO62" s="8"/>
      <c r="AP62" s="8"/>
      <c r="AQ62" s="8"/>
      <c r="AR62" s="8"/>
      <c r="AS62" s="8"/>
      <c r="AT62" s="8"/>
      <c r="AU62" s="8"/>
      <c r="AV62" s="8"/>
      <c r="AW62" s="8"/>
      <c r="AX62" s="8"/>
      <c r="AY62" s="8"/>
      <c r="AZ62" s="8"/>
      <c r="BA62" s="8"/>
      <c r="BB62" s="8"/>
      <c r="BC62" s="8"/>
      <c r="BD62" s="8"/>
      <c r="BE62" s="8"/>
    </row>
    <row r="63" spans="1:57">
      <c r="A63" s="8" t="s">
        <v>247</v>
      </c>
      <c r="B63" s="8" t="s">
        <v>47</v>
      </c>
      <c r="C63" s="8" t="s">
        <v>731</v>
      </c>
      <c r="D63" s="8" t="s">
        <v>732</v>
      </c>
      <c r="E63" s="8" t="s">
        <v>800</v>
      </c>
      <c r="F63" s="58" t="s">
        <v>827</v>
      </c>
      <c r="G63" s="8" t="s">
        <v>828</v>
      </c>
      <c r="H63" s="8" t="str">
        <f ca="1">IFERROR(__xludf.DUMMYFUNCTION("VLOOKUP(G63, IMPORTRANGE(""https://docs.google.com/spreadsheets/d/14deopnvwcrKtEGCKuYXdUHJbeLDZlkiSSWWT0g7x2pM/edit#gid=999382323"", ""LU List Maths (Filter)!A:B""), 2, FALSE)"),"Square of terminating decimals")</f>
        <v>Square of terminating decimals</v>
      </c>
      <c r="I63" s="10" t="str">
        <f t="shared" si="0"/>
        <v>LU000655.001</v>
      </c>
      <c r="J63" s="10" t="str">
        <f ca="1">IFERROR(__xludf.DUMMYFUNCTION("VLOOKUP(I63, IMPORTRANGE(""https://docs.google.com/spreadsheets/d/1yDAaXNsi4Mr5FtRQL4tbmSdIzhx6_m4wkOD7IG-k_eo/edit#gid=0"", ""Maths!M:N""), 2, FALSE)"),"State the steps to find the square of terminating decimals")</f>
        <v>State the steps to find the square of terminating decimals</v>
      </c>
      <c r="K63" s="10" t="str">
        <f t="shared" si="1"/>
        <v>LU000655.002</v>
      </c>
      <c r="L63" s="10" t="str">
        <f ca="1">IFERROR(__xludf.DUMMYFUNCTION("VLOOKUP(K63, IMPORTRANGE(""https://docs.google.com/spreadsheets/d/1yDAaXNsi4Mr5FtRQL4tbmSdIzhx6_m4wkOD7IG-k_eo/edit#gid=0"", ""Maths!M:N""), 2, FALSE)"),"Explain the concept of squaring a terminating decimal and how it's related to the original decimal.")</f>
        <v>Explain the concept of squaring a terminating decimal and how it's related to the original decimal.</v>
      </c>
      <c r="M63" s="10" t="str">
        <f t="shared" si="2"/>
        <v>LU000655.003</v>
      </c>
      <c r="N63" s="10" t="str">
        <f ca="1">IFERROR(__xludf.DUMMYFUNCTION("VLOOKUP(M63, IMPORTRANGE(""https://docs.google.com/spreadsheets/d/1yDAaXNsi4Mr5FtRQL4tbmSdIzhx6_m4wkOD7IG-k_eo/edit#gid=0"", ""Maths!M:N""), 2, FALSE)"),"Apply the knowledge of squaring to calculate the square of terminating decimals accurately.")</f>
        <v>Apply the knowledge of squaring to calculate the square of terminating decimals accurately.</v>
      </c>
      <c r="O63" s="10" t="str">
        <f t="shared" si="3"/>
        <v>LU000655.004</v>
      </c>
      <c r="P63" s="10" t="str">
        <f ca="1">IFERROR(__xludf.DUMMYFUNCTION("VLOOKUP(O63, IMPORTRANGE(""https://docs.google.com/spreadsheets/d/1yDAaXNsi4Mr5FtRQL4tbmSdIzhx6_m4wkOD7IG-k_eo/edit#gid=0"", ""Maths!M:N""), 2, FALSE)"),"Analyse patterns and relationships between the original terminating decimal and its square.")</f>
        <v>Analyse patterns and relationships between the original terminating decimal and its square.</v>
      </c>
      <c r="Q63" s="10" t="str">
        <f t="shared" si="4"/>
        <v>LU000655.005</v>
      </c>
      <c r="R63" s="10" t="str">
        <f ca="1">IFERROR(__xludf.DUMMYFUNCTION("VLOOKUP(Q63, IMPORTRANGE(""https://docs.google.com/spreadsheets/d/1yDAaXNsi4Mr5FtRQL4tbmSdIzhx6_m4wkOD7IG-k_eo/edit#gid=0"", ""Maths!M:N""), 2, FALSE)"),"Evaluate the correctness of square calculations for terminating decimals and provide explanations for any errors.")</f>
        <v>Evaluate the correctness of square calculations for terminating decimals and provide explanations for any errors.</v>
      </c>
      <c r="S63" s="10" t="str">
        <f t="shared" si="5"/>
        <v>LU000655.006</v>
      </c>
      <c r="T63" s="10" t="str">
        <f ca="1">IFERROR(__xludf.DUMMYFUNCTION("VLOOKUP(S63, IMPORTRANGE(""https://docs.google.com/spreadsheets/d/1yDAaXNsi4Mr5FtRQL4tbmSdIzhx6_m4wkOD7IG-k_eo/edit#gid=0"", ""Maths!M:N""), 2, FALSE)"),"Create a set of practice problems that require students to square various terminating decimals.")</f>
        <v>Create a set of practice problems that require students to square various terminating decimals.</v>
      </c>
      <c r="U63" s="52">
        <f ca="1">IFERROR(__xludf.DUMMYFUNCTION("ArrayFormula(VLOOKUP(G63, IMPORTRANGE(""https://docs.google.com/spreadsheets/d/1p7R4vtkWt5VOBim4ltsDG9KTzSjrtKXsMtQGXPHyND0/edit#gid=795171502"", ""'Filter 30_05_2024'!A1:M2000""), {2, 3, 4, 5,6,7,8,9,10,11,12,13}, 0))"),4)</f>
        <v>4</v>
      </c>
      <c r="V63" s="52">
        <f ca="1">IFERROR(__xludf.DUMMYFUNCTION("""COMPUTED_VALUE"""),6)</f>
        <v>6</v>
      </c>
      <c r="W63" s="52">
        <f ca="1">IFERROR(__xludf.DUMMYFUNCTION("""COMPUTED_VALUE"""),2)</f>
        <v>2</v>
      </c>
      <c r="X63" s="52">
        <f ca="1">IFERROR(__xludf.DUMMYFUNCTION("""COMPUTED_VALUE"""),12)</f>
        <v>12</v>
      </c>
      <c r="Y63" s="52">
        <f ca="1">IFERROR(__xludf.DUMMYFUNCTION("""COMPUTED_VALUE"""),4)</f>
        <v>4</v>
      </c>
      <c r="Z63" s="53">
        <f ca="1">IFERROR(__xludf.DUMMYFUNCTION("""COMPUTED_VALUE"""),3)</f>
        <v>3</v>
      </c>
      <c r="AA63" s="53">
        <f ca="1">IFERROR(__xludf.DUMMYFUNCTION("""COMPUTED_VALUE"""),1)</f>
        <v>1</v>
      </c>
      <c r="AB63" s="53">
        <f ca="1">IFERROR(__xludf.DUMMYFUNCTION("""COMPUTED_VALUE"""),8)</f>
        <v>8</v>
      </c>
      <c r="AC63" s="53"/>
      <c r="AD63" s="53"/>
      <c r="AE63" s="53"/>
      <c r="AF63" s="53"/>
      <c r="AG63" s="8" t="str">
        <f ca="1">IFERROR(__xludf.DUMMYFUNCTION("ArrayFormula(VLOOKUP(G63, IMPORTRANGE(""https://docs.google.com/spreadsheets/d/1Co934fvtviyaRiMsrIlT05Jaq7iiYq07aLvRr35KA48/edit?gid=173865642#gid=173865642"", ""'G8_Maths_Pri_LU'!G2:V2000""), {3, 4, 5, 6, 7, 8, 9, 10, 11, 12, 13, 14, 15, 16}, 0))"),"LU000377")</f>
        <v>LU000377</v>
      </c>
      <c r="AH63" s="8" t="str">
        <f ca="1">IFERROR(__xludf.DUMMYFUNCTION("""COMPUTED_VALUE"""),"Multiplication of decimal numbers")</f>
        <v>Multiplication of decimal numbers</v>
      </c>
      <c r="AI63" s="8" t="str">
        <f ca="1">IFERROR(__xludf.DUMMYFUNCTION("""COMPUTED_VALUE"""),"LU000636")</f>
        <v>LU000636</v>
      </c>
      <c r="AJ63" s="8" t="str">
        <f ca="1">IFERROR(__xludf.DUMMYFUNCTION("""COMPUTED_VALUE"""),"Definition and representation of square numbers/perfect square numbers")</f>
        <v>Definition and representation of square numbers/perfect square numbers</v>
      </c>
      <c r="AK63" s="8"/>
      <c r="AL63" s="8"/>
      <c r="AM63" s="8"/>
      <c r="AN63" s="8"/>
      <c r="AO63" s="8"/>
      <c r="AP63" s="8"/>
      <c r="AQ63" s="8"/>
      <c r="AR63" s="8"/>
      <c r="AS63" s="8"/>
      <c r="AT63" s="8"/>
      <c r="AU63" s="8"/>
      <c r="AV63" s="8"/>
      <c r="AW63" s="8"/>
      <c r="AX63" s="8"/>
      <c r="AY63" s="8"/>
      <c r="AZ63" s="8"/>
      <c r="BA63" s="8"/>
      <c r="BB63" s="8"/>
      <c r="BC63" s="8"/>
      <c r="BD63" s="8"/>
      <c r="BE63" s="8"/>
    </row>
    <row r="64" spans="1:57">
      <c r="A64" s="8" t="s">
        <v>247</v>
      </c>
      <c r="B64" s="8" t="s">
        <v>47</v>
      </c>
      <c r="C64" s="8" t="s">
        <v>731</v>
      </c>
      <c r="D64" s="8" t="s">
        <v>732</v>
      </c>
      <c r="E64" s="8" t="s">
        <v>800</v>
      </c>
      <c r="F64" s="58" t="s">
        <v>827</v>
      </c>
      <c r="G64" s="8" t="s">
        <v>829</v>
      </c>
      <c r="H64" s="8" t="str">
        <f ca="1">IFERROR(__xludf.DUMMYFUNCTION("VLOOKUP(G64, IMPORTRANGE(""https://docs.google.com/spreadsheets/d/14deopnvwcrKtEGCKuYXdUHJbeLDZlkiSSWWT0g7x2pM/edit#gid=999382323"", ""LU List Maths (Filter)!A:B""), 2, FALSE)"),"Square root of perfect square number (decimals) by division method")</f>
        <v>Square root of perfect square number (decimals) by division method</v>
      </c>
      <c r="I64" s="10" t="str">
        <f t="shared" si="0"/>
        <v>LU000651.001</v>
      </c>
      <c r="J64" s="10" t="str">
        <f ca="1">IFERROR(__xludf.DUMMYFUNCTION("VLOOKUP(I64, IMPORTRANGE(""https://docs.google.com/spreadsheets/d/1yDAaXNsi4Mr5FtRQL4tbmSdIzhx6_m4wkOD7IG-k_eo/edit#gid=0"", ""Maths!M:N""), 2, FALSE)"),"List the key steps involved in using the division method to find the square root of perfect square numbers in decimal form.")</f>
        <v>List the key steps involved in using the division method to find the square root of perfect square numbers in decimal form.</v>
      </c>
      <c r="K64" s="10" t="str">
        <f t="shared" si="1"/>
        <v>LU000651.002</v>
      </c>
      <c r="L64" s="10" t="str">
        <f ca="1">IFERROR(__xludf.DUMMYFUNCTION("VLOOKUP(K64, IMPORTRANGE(""https://docs.google.com/spreadsheets/d/1yDAaXNsi4Mr5FtRQL4tbmSdIzhx6_m4wkOD7IG-k_eo/edit#gid=0"", ""Maths!M:N""), 2, FALSE)"),"Explain the significance of the decimal point's placement when using the division method for square roots.")</f>
        <v>Explain the significance of the decimal point's placement when using the division method for square roots.</v>
      </c>
      <c r="M64" s="10" t="str">
        <f t="shared" si="2"/>
        <v>LU000651.003</v>
      </c>
      <c r="N64" s="10" t="str">
        <f ca="1">IFERROR(__xludf.DUMMYFUNCTION("VLOOKUP(M64, IMPORTRANGE(""https://docs.google.com/spreadsheets/d/1yDAaXNsi4Mr5FtRQL4tbmSdIzhx6_m4wkOD7IG-k_eo/edit#gid=0"", ""Maths!M:N""), 2, FALSE)"),"Apply the division method to find the square root of given perfect square numbers expressed as decimals.")</f>
        <v>Apply the division method to find the square root of given perfect square numbers expressed as decimals.</v>
      </c>
      <c r="O64" s="10" t="str">
        <f t="shared" si="3"/>
        <v>LU000651.004</v>
      </c>
      <c r="P64" s="10" t="str">
        <f ca="1">IFERROR(__xludf.DUMMYFUNCTION("VLOOKUP(O64, IMPORTRANGE(""https://docs.google.com/spreadsheets/d/1yDAaXNsi4Mr5FtRQL4tbmSdIzhx6_m4wkOD7IG-k_eo/edit#gid=0"", ""Maths!M:N""), 2, FALSE)"),"Analyse the division method's suitability for finding square roots of decimals compared to other methods, discussing its advantages and drawbacks.")</f>
        <v>Analyse the division method's suitability for finding square roots of decimals compared to other methods, discussing its advantages and drawbacks.</v>
      </c>
      <c r="Q64" s="10" t="str">
        <f t="shared" si="4"/>
        <v>LU000651.005</v>
      </c>
      <c r="R64" s="10" t="str">
        <f ca="1">IFERROR(__xludf.DUMMYFUNCTION("VLOOKUP(Q64, IMPORTRANGE(""https://docs.google.com/spreadsheets/d/1yDAaXNsi4Mr5FtRQL4tbmSdIzhx6_m4wkOD7IG-k_eo/edit#gid=0"", ""Maths!M:N""), 2, FALSE)"),"Evaluate the accuracy of the decimal square root obtained through the division method by squaring it and comparing it with the original decimal number.")</f>
        <v>Evaluate the accuracy of the decimal square root obtained through the division method by squaring it and comparing it with the original decimal number.</v>
      </c>
      <c r="S64" s="10" t="str">
        <f t="shared" si="5"/>
        <v>LU000651.006</v>
      </c>
      <c r="T64" s="10" t="str">
        <f ca="1">IFERROR(__xludf.DUMMYFUNCTION("VLOOKUP(S64, IMPORTRANGE(""https://docs.google.com/spreadsheets/d/1yDAaXNsi4Mr5FtRQL4tbmSdIzhx6_m4wkOD7IG-k_eo/edit#gid=0"", ""Maths!M:N""), 2, FALSE)"),"Design a set of practice problems involving various perfect square decimals to solve using the division method.")</f>
        <v>Design a set of practice problems involving various perfect square decimals to solve using the division method.</v>
      </c>
      <c r="U64" s="52">
        <f ca="1">IFERROR(__xludf.DUMMYFUNCTION("ArrayFormula(VLOOKUP(G64, IMPORTRANGE(""https://docs.google.com/spreadsheets/d/1p7R4vtkWt5VOBim4ltsDG9KTzSjrtKXsMtQGXPHyND0/edit#gid=795171502"", ""'Filter 30_05_2024'!A1:M2000""), {2, 3, 4, 5,6,7,8,9,10,11,12,13}, 0))"),4)</f>
        <v>4</v>
      </c>
      <c r="V64" s="52">
        <f ca="1">IFERROR(__xludf.DUMMYFUNCTION("""COMPUTED_VALUE"""),6)</f>
        <v>6</v>
      </c>
      <c r="W64" s="52">
        <f ca="1">IFERROR(__xludf.DUMMYFUNCTION("""COMPUTED_VALUE"""),2)</f>
        <v>2</v>
      </c>
      <c r="X64" s="52">
        <f ca="1">IFERROR(__xludf.DUMMYFUNCTION("""COMPUTED_VALUE"""),12)</f>
        <v>12</v>
      </c>
      <c r="Y64" s="52">
        <f ca="1">IFERROR(__xludf.DUMMYFUNCTION("""COMPUTED_VALUE"""),4)</f>
        <v>4</v>
      </c>
      <c r="Z64" s="53">
        <f ca="1">IFERROR(__xludf.DUMMYFUNCTION("""COMPUTED_VALUE"""),3)</f>
        <v>3</v>
      </c>
      <c r="AA64" s="53">
        <f ca="1">IFERROR(__xludf.DUMMYFUNCTION("""COMPUTED_VALUE"""),1)</f>
        <v>1</v>
      </c>
      <c r="AB64" s="53">
        <f ca="1">IFERROR(__xludf.DUMMYFUNCTION("""COMPUTED_VALUE"""),8)</f>
        <v>8</v>
      </c>
      <c r="AC64" s="53"/>
      <c r="AD64" s="53"/>
      <c r="AE64" s="53"/>
      <c r="AF64" s="53"/>
      <c r="AG64" s="8" t="str">
        <f ca="1">IFERROR(__xludf.DUMMYFUNCTION("ArrayFormula(VLOOKUP(G64, IMPORTRANGE(""https://docs.google.com/spreadsheets/d/1Co934fvtviyaRiMsrIlT05Jaq7iiYq07aLvRr35KA48/edit?gid=173865642#gid=173865642"", ""'G8_Maths_Pri_LU'!G2:V2000""), {3, 4, 5, 6, 7, 8, 9, 10, 11, 12, 13, 14, 15, 16}, 0))"),"LU000650")</f>
        <v>LU000650</v>
      </c>
      <c r="AH64" s="8" t="str">
        <f ca="1">IFERROR(__xludf.DUMMYFUNCTION("""COMPUTED_VALUE"""),"Square root of perfect square number (whole number) by division method")</f>
        <v>Square root of perfect square number (whole number) by division method</v>
      </c>
      <c r="AI64" s="8" t="str">
        <f ca="1">IFERROR(__xludf.DUMMYFUNCTION("""COMPUTED_VALUE"""),"LU000647")</f>
        <v>LU000647</v>
      </c>
      <c r="AJ64" s="8" t="str">
        <f ca="1">IFERROR(__xludf.DUMMYFUNCTION("""COMPUTED_VALUE"""),"Definition of square root")</f>
        <v>Definition of square root</v>
      </c>
      <c r="AK64" s="8"/>
      <c r="AL64" s="8"/>
      <c r="AM64" s="8"/>
      <c r="AN64" s="8"/>
      <c r="AO64" s="8"/>
      <c r="AP64" s="8"/>
      <c r="AQ64" s="8"/>
      <c r="AR64" s="8"/>
      <c r="AS64" s="8"/>
      <c r="AT64" s="8"/>
      <c r="AU64" s="8"/>
      <c r="AV64" s="8"/>
      <c r="AW64" s="8"/>
      <c r="AX64" s="8"/>
      <c r="AY64" s="8"/>
      <c r="AZ64" s="8"/>
      <c r="BA64" s="8"/>
      <c r="BB64" s="8"/>
      <c r="BC64" s="8"/>
      <c r="BD64" s="8"/>
      <c r="BE64" s="8"/>
    </row>
    <row r="65" spans="1:57">
      <c r="A65" s="8" t="s">
        <v>247</v>
      </c>
      <c r="B65" s="8" t="s">
        <v>47</v>
      </c>
      <c r="C65" s="8" t="s">
        <v>731</v>
      </c>
      <c r="D65" s="8" t="s">
        <v>732</v>
      </c>
      <c r="E65" s="8" t="s">
        <v>830</v>
      </c>
      <c r="F65" s="54" t="s">
        <v>831</v>
      </c>
      <c r="G65" s="8" t="s">
        <v>832</v>
      </c>
      <c r="H65" s="8" t="str">
        <f ca="1">IFERROR(__xludf.DUMMYFUNCTION("VLOOKUP(G65, IMPORTRANGE(""https://docs.google.com/spreadsheets/d/14deopnvwcrKtEGCKuYXdUHJbeLDZlkiSSWWT0g7x2pM/edit#gid=999382323"", ""LU List Maths (Filter)!A:B""), 2, FALSE)"),"Definition and representation of perfect cubes or cube numbers")</f>
        <v>Definition and representation of perfect cubes or cube numbers</v>
      </c>
      <c r="I65" s="10" t="str">
        <f t="shared" si="0"/>
        <v>LU000658.001</v>
      </c>
      <c r="J65" s="10" t="str">
        <f ca="1">IFERROR(__xludf.DUMMYFUNCTION("VLOOKUP(I65, IMPORTRANGE(""https://docs.google.com/spreadsheets/d/1yDAaXNsi4Mr5FtRQL4tbmSdIzhx6_m4wkOD7IG-k_eo/edit#gid=0"", ""Maths!M:N""), 2, FALSE)"),"State the definition of a perfect cube as a number that can be expressed as the cube of an integer.")</f>
        <v>State the definition of a perfect cube as a number that can be expressed as the cube of an integer.</v>
      </c>
      <c r="K65" s="10" t="str">
        <f t="shared" si="1"/>
        <v>LU000658.002</v>
      </c>
      <c r="L65" s="10" t="str">
        <f ca="1">IFERROR(__xludf.DUMMYFUNCTION("VLOOKUP(K65, IMPORTRANGE(""https://docs.google.com/spreadsheets/d/1yDAaXNsi4Mr5FtRQL4tbmSdIzhx6_m4wkOD7IG-k_eo/edit#gid=0"", ""Maths!M:N""), 2, FALSE)"),"Explain the concept of perfect cubes and their significance in mathematics.")</f>
        <v>Explain the concept of perfect cubes and their significance in mathematics.</v>
      </c>
      <c r="M65" s="10" t="str">
        <f t="shared" si="2"/>
        <v>LU000658.003</v>
      </c>
      <c r="N65" s="10" t="str">
        <f ca="1">IFERROR(__xludf.DUMMYFUNCTION("VLOOKUP(M65, IMPORTRANGE(""https://docs.google.com/spreadsheets/d/1yDAaXNsi4Mr5FtRQL4tbmSdIzhx6_m4wkOD7IG-k_eo/edit#gid=0"", ""Maths!M:N""), 2, FALSE)"),"Apply the knowledge of perfect cubes to identify perfect cube numbers and calculate their values.")</f>
        <v>Apply the knowledge of perfect cubes to identify perfect cube numbers and calculate their values.</v>
      </c>
      <c r="O65" s="10" t="str">
        <f t="shared" si="3"/>
        <v>LU000658.004</v>
      </c>
      <c r="P65" s="10" t="str">
        <f ca="1">IFERROR(__xludf.DUMMYFUNCTION("VLOOKUP(O65, IMPORTRANGE(""https://docs.google.com/spreadsheets/d/1yDAaXNsi4Mr5FtRQL4tbmSdIzhx6_m4wkOD7IG-k_eo/edit#gid=0"", ""Maths!M:N""), 2, FALSE)"),"Analyse the properties of perfect cubes, such as identifying patterns in their digits.")</f>
        <v>Analyse the properties of perfect cubes, such as identifying patterns in their digits.</v>
      </c>
      <c r="Q65" s="10" t="str">
        <f t="shared" si="4"/>
        <v>LU000658.005</v>
      </c>
      <c r="R65" s="10" t="str">
        <f ca="1">IFERROR(__xludf.DUMMYFUNCTION("VLOOKUP(Q65, IMPORTRANGE(""https://docs.google.com/spreadsheets/d/1yDAaXNsi4Mr5FtRQL4tbmSdIzhx6_m4wkOD7IG-k_eo/edit#gid=0"", ""Maths!M:N""), 2, FALSE)"),"Evaluate the use of perfect cubes in practical scenarios or problem-solving, highlighting their relevance.")</f>
        <v>Evaluate the use of perfect cubes in practical scenarios or problem-solving, highlighting their relevance.</v>
      </c>
      <c r="S65" s="10" t="str">
        <f t="shared" si="5"/>
        <v>LU000658.006</v>
      </c>
      <c r="T65" s="10" t="str">
        <f ca="1">IFERROR(__xludf.DUMMYFUNCTION("VLOOKUP(S65, IMPORTRANGE(""https://docs.google.com/spreadsheets/d/1yDAaXNsi4Mr5FtRQL4tbmSdIzhx6_m4wkOD7IG-k_eo/edit#gid=0"", ""Maths!M:N""), 2, FALSE)"),"Create a visual representation or model to illustrate the concept of perfect cubes.")</f>
        <v>Create a visual representation or model to illustrate the concept of perfect cubes.</v>
      </c>
      <c r="U65" s="52">
        <f ca="1">IFERROR(__xludf.DUMMYFUNCTION("ArrayFormula(VLOOKUP(G65, IMPORTRANGE(""https://docs.google.com/spreadsheets/d/1p7R4vtkWt5VOBim4ltsDG9KTzSjrtKXsMtQGXPHyND0/edit#gid=795171502"", ""'Filter 30_05_2024'!A1:M2000""), {2, 3, 4, 5,6,7,8,9,10,11,12,13}, 0))"),4)</f>
        <v>4</v>
      </c>
      <c r="V65" s="52">
        <f ca="1">IFERROR(__xludf.DUMMYFUNCTION("""COMPUTED_VALUE"""),6)</f>
        <v>6</v>
      </c>
      <c r="W65" s="52">
        <f ca="1">IFERROR(__xludf.DUMMYFUNCTION("""COMPUTED_VALUE"""),2)</f>
        <v>2</v>
      </c>
      <c r="X65" s="52">
        <f ca="1">IFERROR(__xludf.DUMMYFUNCTION("""COMPUTED_VALUE"""),12)</f>
        <v>12</v>
      </c>
      <c r="Y65" s="52">
        <f ca="1">IFERROR(__xludf.DUMMYFUNCTION("""COMPUTED_VALUE"""),4)</f>
        <v>4</v>
      </c>
      <c r="Z65" s="53">
        <f ca="1">IFERROR(__xludf.DUMMYFUNCTION("""COMPUTED_VALUE"""),3)</f>
        <v>3</v>
      </c>
      <c r="AA65" s="53">
        <f ca="1">IFERROR(__xludf.DUMMYFUNCTION("""COMPUTED_VALUE"""),1)</f>
        <v>1</v>
      </c>
      <c r="AB65" s="53">
        <f ca="1">IFERROR(__xludf.DUMMYFUNCTION("""COMPUTED_VALUE"""),8)</f>
        <v>8</v>
      </c>
      <c r="AC65" s="53"/>
      <c r="AD65" s="53"/>
      <c r="AE65" s="53"/>
      <c r="AF65" s="53"/>
      <c r="AG65" s="8" t="str">
        <f ca="1">IFERROR(__xludf.DUMMYFUNCTION("ArrayFormula(VLOOKUP(G65, IMPORTRANGE(""https://docs.google.com/spreadsheets/d/1Co934fvtviyaRiMsrIlT05Jaq7iiYq07aLvRr35KA48/edit?gid=173865642#gid=173865642"", ""'G8_Maths_Pri_LU'!G2:V2000""), {3, 4, 5, 6, 7, 8, 9, 10, 11, 12, 13, 14, 15, 16}, 0))"),"LU000636")</f>
        <v>LU000636</v>
      </c>
      <c r="AH65" s="8" t="str">
        <f ca="1">IFERROR(__xludf.DUMMYFUNCTION("""COMPUTED_VALUE"""),"Definition and representation of square numbers/perfect square numbers")</f>
        <v>Definition and representation of square numbers/perfect square numbers</v>
      </c>
      <c r="AI65" s="8"/>
      <c r="AJ65" s="8"/>
      <c r="AK65" s="8"/>
      <c r="AL65" s="8"/>
      <c r="AM65" s="8"/>
      <c r="AN65" s="8"/>
      <c r="AO65" s="8"/>
      <c r="AP65" s="8"/>
      <c r="AQ65" s="8"/>
      <c r="AR65" s="8"/>
      <c r="AS65" s="8"/>
      <c r="AT65" s="8"/>
      <c r="AU65" s="8"/>
      <c r="AV65" s="8"/>
      <c r="AW65" s="8"/>
      <c r="AX65" s="8"/>
      <c r="AY65" s="8"/>
      <c r="AZ65" s="8"/>
      <c r="BA65" s="8"/>
      <c r="BB65" s="8"/>
      <c r="BC65" s="8"/>
      <c r="BD65" s="8"/>
      <c r="BE65" s="8"/>
    </row>
    <row r="66" spans="1:57">
      <c r="A66" s="8" t="s">
        <v>247</v>
      </c>
      <c r="B66" s="8" t="s">
        <v>47</v>
      </c>
      <c r="C66" s="8" t="s">
        <v>731</v>
      </c>
      <c r="D66" s="8" t="s">
        <v>732</v>
      </c>
      <c r="E66" s="8" t="s">
        <v>830</v>
      </c>
      <c r="F66" s="54" t="s">
        <v>831</v>
      </c>
      <c r="G66" s="8" t="s">
        <v>833</v>
      </c>
      <c r="H66" s="8" t="str">
        <f ca="1">IFERROR(__xludf.DUMMYFUNCTION("VLOOKUP(G66, IMPORTRANGE(""https://docs.google.com/spreadsheets/d/14deopnvwcrKtEGCKuYXdUHJbeLDZlkiSSWWT0g7x2pM/edit#gid=999382323"", ""LU List Maths (Filter)!A:B""), 2, FALSE)"),"Properties of cube of a number")</f>
        <v>Properties of cube of a number</v>
      </c>
      <c r="I66" s="10" t="str">
        <f t="shared" si="0"/>
        <v>LU000661.001</v>
      </c>
      <c r="J66" s="10" t="str">
        <f ca="1">IFERROR(__xludf.DUMMYFUNCTION("VLOOKUP(I66, IMPORTRANGE(""https://docs.google.com/spreadsheets/d/1yDAaXNsi4Mr5FtRQL4tbmSdIzhx6_m4wkOD7IG-k_eo/edit#gid=0"", ""Maths!M:N""), 2, FALSE)"),"State the properties of cube of a number related to its digits at place value of cube of a number, cube of even, odd, negative numbers and rational numbers")</f>
        <v>State the properties of cube of a number related to its digits at place value of cube of a number, cube of even, odd, negative numbers and rational numbers</v>
      </c>
      <c r="K66" s="10" t="str">
        <f t="shared" si="1"/>
        <v>LU000661.002</v>
      </c>
      <c r="L66" s="10" t="str">
        <f ca="1">IFERROR(__xludf.DUMMYFUNCTION("VLOOKUP(K66, IMPORTRANGE(""https://docs.google.com/spreadsheets/d/1yDAaXNsi4Mr5FtRQL4tbmSdIzhx6_m4wkOD7IG-k_eo/edit#gid=0"", ""Maths!M:N""), 2, FALSE)"),"Explain the properties of cube of a number with examples")</f>
        <v>Explain the properties of cube of a number with examples</v>
      </c>
      <c r="M66" s="10" t="str">
        <f t="shared" si="2"/>
        <v>LU000661.003</v>
      </c>
      <c r="N66" s="10" t="str">
        <f ca="1">IFERROR(__xludf.DUMMYFUNCTION("VLOOKUP(M66, IMPORTRANGE(""https://docs.google.com/spreadsheets/d/1yDAaXNsi4Mr5FtRQL4tbmSdIzhx6_m4wkOD7IG-k_eo/edit#gid=0"", ""Maths!M:N""), 2, FALSE)"),"Apply the various properties of cube of a number to solve geometric, arithmetic and word problems")</f>
        <v>Apply the various properties of cube of a number to solve geometric, arithmetic and word problems</v>
      </c>
      <c r="O66" s="10" t="str">
        <f t="shared" si="3"/>
        <v>LU000661.004</v>
      </c>
      <c r="P66" s="10" t="str">
        <f ca="1">IFERROR(__xludf.DUMMYFUNCTION("VLOOKUP(O66, IMPORTRANGE(""https://docs.google.com/spreadsheets/d/1yDAaXNsi4Mr5FtRQL4tbmSdIzhx6_m4wkOD7IG-k_eo/edit#gid=0"", ""Maths!M:N""), 2, FALSE)"),"Analyse the different properties of cube numbers and relation between the number and its cube. ")</f>
        <v xml:space="preserve">Analyse the different properties of cube numbers and relation between the number and its cube. </v>
      </c>
      <c r="Q66" s="10" t="str">
        <f t="shared" si="4"/>
        <v>LU000661.005</v>
      </c>
      <c r="R66" s="10" t="str">
        <f ca="1">IFERROR(__xludf.DUMMYFUNCTION("VLOOKUP(Q66, IMPORTRANGE(""https://docs.google.com/spreadsheets/d/1yDAaXNsi4Mr5FtRQL4tbmSdIzhx6_m4wkOD7IG-k_eo/edit#gid=0"", ""Maths!M:N""), 2, FALSE)"),"#N/A")</f>
        <v>#N/A</v>
      </c>
      <c r="S66" s="10" t="str">
        <f t="shared" si="5"/>
        <v>LU000661.006</v>
      </c>
      <c r="T66" s="10" t="str">
        <f ca="1">IFERROR(__xludf.DUMMYFUNCTION("VLOOKUP(S66, IMPORTRANGE(""https://docs.google.com/spreadsheets/d/1yDAaXNsi4Mr5FtRQL4tbmSdIzhx6_m4wkOD7IG-k_eo/edit#gid=0"", ""Maths!M:N""), 2, FALSE)"),"#N/A")</f>
        <v>#N/A</v>
      </c>
      <c r="U66" s="52">
        <f ca="1">IFERROR(__xludf.DUMMYFUNCTION("ArrayFormula(VLOOKUP(G66, IMPORTRANGE(""https://docs.google.com/spreadsheets/d/1p7R4vtkWt5VOBim4ltsDG9KTzSjrtKXsMtQGXPHyND0/edit#gid=795171502"", ""'Filter 30_05_2024'!A1:M2000""), {2, 3, 4, 5,6,7,8,9,10,11,12,13}, 0))"),4)</f>
        <v>4</v>
      </c>
      <c r="V66" s="52">
        <f ca="1">IFERROR(__xludf.DUMMYFUNCTION("""COMPUTED_VALUE"""),6)</f>
        <v>6</v>
      </c>
      <c r="W66" s="52">
        <f ca="1">IFERROR(__xludf.DUMMYFUNCTION("""COMPUTED_VALUE"""),2)</f>
        <v>2</v>
      </c>
      <c r="X66" s="52">
        <f ca="1">IFERROR(__xludf.DUMMYFUNCTION("""COMPUTED_VALUE"""),12)</f>
        <v>12</v>
      </c>
      <c r="Y66" s="52">
        <f ca="1">IFERROR(__xludf.DUMMYFUNCTION("""COMPUTED_VALUE"""),4)</f>
        <v>4</v>
      </c>
      <c r="Z66" s="53">
        <f ca="1">IFERROR(__xludf.DUMMYFUNCTION("""COMPUTED_VALUE"""),3)</f>
        <v>3</v>
      </c>
      <c r="AA66" s="53">
        <f ca="1">IFERROR(__xludf.DUMMYFUNCTION("""COMPUTED_VALUE"""),1)</f>
        <v>1</v>
      </c>
      <c r="AB66" s="53">
        <f ca="1">IFERROR(__xludf.DUMMYFUNCTION("""COMPUTED_VALUE"""),8)</f>
        <v>8</v>
      </c>
      <c r="AC66" s="53"/>
      <c r="AD66" s="53"/>
      <c r="AE66" s="53"/>
      <c r="AF66" s="53"/>
      <c r="AG66" s="8" t="str">
        <f ca="1">IFERROR(__xludf.DUMMYFUNCTION("ArrayFormula(VLOOKUP(G66, IMPORTRANGE(""https://docs.google.com/spreadsheets/d/1Co934fvtviyaRiMsrIlT05Jaq7iiYq07aLvRr35KA48/edit?gid=173865642#gid=173865642"", ""'G8_Maths_Pri_LU'!G2:V2000""), {3, 4, 5, 6, 7, 8, 9, 10, 11, 12, 13, 14, 15, 16}, 0))"),"LU000658")</f>
        <v>LU000658</v>
      </c>
      <c r="AH66" s="8" t="str">
        <f ca="1">IFERROR(__xludf.DUMMYFUNCTION("""COMPUTED_VALUE"""),"Definition and representation of perfect cubes or cube numbers")</f>
        <v>Definition and representation of perfect cubes or cube numbers</v>
      </c>
      <c r="AI66" s="8"/>
      <c r="AJ66" s="8"/>
      <c r="AK66" s="8"/>
      <c r="AL66" s="8"/>
      <c r="AM66" s="8"/>
      <c r="AN66" s="8"/>
      <c r="AO66" s="8"/>
      <c r="AP66" s="8"/>
      <c r="AQ66" s="8"/>
      <c r="AR66" s="8"/>
      <c r="AS66" s="8"/>
      <c r="AT66" s="8"/>
      <c r="AU66" s="8"/>
      <c r="AV66" s="8"/>
      <c r="AW66" s="8"/>
      <c r="AX66" s="8"/>
      <c r="AY66" s="8"/>
      <c r="AZ66" s="8"/>
      <c r="BA66" s="8"/>
      <c r="BB66" s="8"/>
      <c r="BC66" s="8"/>
      <c r="BD66" s="8"/>
      <c r="BE66" s="8"/>
    </row>
    <row r="67" spans="1:57">
      <c r="A67" s="8" t="s">
        <v>247</v>
      </c>
      <c r="B67" s="8" t="s">
        <v>47</v>
      </c>
      <c r="C67" s="8" t="s">
        <v>731</v>
      </c>
      <c r="D67" s="8" t="s">
        <v>732</v>
      </c>
      <c r="E67" s="8" t="s">
        <v>830</v>
      </c>
      <c r="F67" s="54" t="s">
        <v>834</v>
      </c>
      <c r="G67" s="8" t="s">
        <v>835</v>
      </c>
      <c r="H67" s="8" t="str">
        <f ca="1">IFERROR(__xludf.DUMMYFUNCTION("VLOOKUP(G67, IMPORTRANGE(""https://docs.google.com/spreadsheets/d/14deopnvwcrKtEGCKuYXdUHJbeLDZlkiSSWWT0g7x2pM/edit#gid=999382323"", ""LU List Maths (Filter)!A:B""), 2, FALSE)"),"Patterns involving cubic numbers")</f>
        <v>Patterns involving cubic numbers</v>
      </c>
      <c r="I67" s="10" t="str">
        <f t="shared" si="0"/>
        <v>LU000675.001</v>
      </c>
      <c r="J67" s="10" t="str">
        <f ca="1">IFERROR(__xludf.DUMMYFUNCTION("VLOOKUP(I67, IMPORTRANGE(""https://docs.google.com/spreadsheets/d/1yDAaXNsi4Mr5FtRQL4tbmSdIzhx6_m4wkOD7IG-k_eo/edit#gid=0"", ""Maths!M:N""), 2, FALSE)"),"Recall the cubic sequence and identify the pattern of cubing consecutive natural numbers.")</f>
        <v>Recall the cubic sequence and identify the pattern of cubing consecutive natural numbers.</v>
      </c>
      <c r="K67" s="10" t="str">
        <f t="shared" si="1"/>
        <v>LU000675.002</v>
      </c>
      <c r="L67" s="10" t="str">
        <f ca="1">IFERROR(__xludf.DUMMYFUNCTION("VLOOKUP(K67, IMPORTRANGE(""https://docs.google.com/spreadsheets/d/1yDAaXNsi4Mr5FtRQL4tbmSdIzhx6_m4wkOD7IG-k_eo/edit#gid=0"", ""Maths!M:N""), 2, FALSE)"),"Describe the patterns for cube numbers.")</f>
        <v>Describe the patterns for cube numbers.</v>
      </c>
      <c r="M67" s="10" t="str">
        <f t="shared" si="2"/>
        <v>LU000675.003</v>
      </c>
      <c r="N67" s="10" t="str">
        <f ca="1">IFERROR(__xludf.DUMMYFUNCTION("VLOOKUP(M67, IMPORTRANGE(""https://docs.google.com/spreadsheets/d/1yDAaXNsi4Mr5FtRQL4tbmSdIzhx6_m4wkOD7IG-k_eo/edit#gid=0"", ""Maths!M:N""), 2, FALSE)"),"Apply the difference of cubes pattern to calculate the difference between the cubes of consecutive natural numbers.")</f>
        <v>Apply the difference of cubes pattern to calculate the difference between the cubes of consecutive natural numbers.</v>
      </c>
      <c r="O67" s="10" t="str">
        <f t="shared" si="3"/>
        <v>LU000675.004</v>
      </c>
      <c r="P67" s="10" t="str">
        <f ca="1">IFERROR(__xludf.DUMMYFUNCTION("VLOOKUP(O67, IMPORTRANGE(""https://docs.google.com/spreadsheets/d/1yDAaXNsi4Mr5FtRQL4tbmSdIzhx6_m4wkOD7IG-k_eo/edit#gid=0"", ""Maths!M:N""), 2, FALSE)"),"Analyse the relationship between cubic numbers and their endings, identifying patterns in the last digits of perfect cubes.")</f>
        <v>Analyse the relationship between cubic numbers and their endings, identifying patterns in the last digits of perfect cubes.</v>
      </c>
      <c r="Q67" s="10" t="str">
        <f t="shared" si="4"/>
        <v>LU000675.005</v>
      </c>
      <c r="R67" s="10" t="str">
        <f ca="1">IFERROR(__xludf.DUMMYFUNCTION("VLOOKUP(Q67, IMPORTRANGE(""https://docs.google.com/spreadsheets/d/1yDAaXNsi4Mr5FtRQL4tbmSdIzhx6_m4wkOD7IG-k_eo/edit#gid=0"", ""Maths!M:N""), 2, FALSE)"),"Evaluate the practical applications of cubic patterns, such as calculating volumes and dimensions.")</f>
        <v>Evaluate the practical applications of cubic patterns, such as calculating volumes and dimensions.</v>
      </c>
      <c r="S67" s="10" t="str">
        <f t="shared" si="5"/>
        <v>LU000675.006</v>
      </c>
      <c r="T67" s="10" t="str">
        <f ca="1">IFERROR(__xludf.DUMMYFUNCTION("VLOOKUP(S67, IMPORTRANGE(""https://docs.google.com/spreadsheets/d/1yDAaXNsi4Mr5FtRQL4tbmSdIzhx6_m4wkOD7IG-k_eo/edit#gid=0"", ""Maths!M:N""), 2, FALSE)"),"Design a creative visual representation to illustrate the relationship between the sum of cubes and square numbers.")</f>
        <v>Design a creative visual representation to illustrate the relationship between the sum of cubes and square numbers.</v>
      </c>
      <c r="U67" s="52">
        <f ca="1">IFERROR(__xludf.DUMMYFUNCTION("ArrayFormula(VLOOKUP(G67, IMPORTRANGE(""https://docs.google.com/spreadsheets/d/1p7R4vtkWt5VOBim4ltsDG9KTzSjrtKXsMtQGXPHyND0/edit#gid=795171502"", ""'Filter 30_05_2024'!A1:M2000""), {2, 3, 4, 5,6,7,8,9,10,11,12,13}, 0))"),4)</f>
        <v>4</v>
      </c>
      <c r="V67" s="52">
        <f ca="1">IFERROR(__xludf.DUMMYFUNCTION("""COMPUTED_VALUE"""),6)</f>
        <v>6</v>
      </c>
      <c r="W67" s="52">
        <f ca="1">IFERROR(__xludf.DUMMYFUNCTION("""COMPUTED_VALUE"""),2)</f>
        <v>2</v>
      </c>
      <c r="X67" s="52">
        <f ca="1">IFERROR(__xludf.DUMMYFUNCTION("""COMPUTED_VALUE"""),12)</f>
        <v>12</v>
      </c>
      <c r="Y67" s="52">
        <f ca="1">IFERROR(__xludf.DUMMYFUNCTION("""COMPUTED_VALUE"""),4)</f>
        <v>4</v>
      </c>
      <c r="Z67" s="53">
        <f ca="1">IFERROR(__xludf.DUMMYFUNCTION("""COMPUTED_VALUE"""),3)</f>
        <v>3</v>
      </c>
      <c r="AA67" s="53">
        <f ca="1">IFERROR(__xludf.DUMMYFUNCTION("""COMPUTED_VALUE"""),1)</f>
        <v>1</v>
      </c>
      <c r="AB67" s="53">
        <f ca="1">IFERROR(__xludf.DUMMYFUNCTION("""COMPUTED_VALUE"""),8)</f>
        <v>8</v>
      </c>
      <c r="AC67" s="53"/>
      <c r="AD67" s="53"/>
      <c r="AE67" s="53"/>
      <c r="AF67" s="53"/>
      <c r="AG67" s="8" t="str">
        <f ca="1">IFERROR(__xludf.DUMMYFUNCTION("ArrayFormula(VLOOKUP(G67, IMPORTRANGE(""https://docs.google.com/spreadsheets/d/1Co934fvtviyaRiMsrIlT05Jaq7iiYq07aLvRr35KA48/edit?gid=173865642#gid=173865642"", ""'G8_Maths_Pri_LU'!G2:V2000""), {3, 4, 5, 6, 7, 8, 9, 10, 11, 12, 13, 14, 15, 16}, 0))"),"LU000658")</f>
        <v>LU000658</v>
      </c>
      <c r="AH67" s="8" t="str">
        <f ca="1">IFERROR(__xludf.DUMMYFUNCTION("""COMPUTED_VALUE"""),"Definition and representation of perfect cubes or cube numbers")</f>
        <v>Definition and representation of perfect cubes or cube numbers</v>
      </c>
      <c r="AI67" s="8"/>
      <c r="AJ67" s="8"/>
      <c r="AK67" s="8"/>
      <c r="AL67" s="8"/>
      <c r="AM67" s="8"/>
      <c r="AN67" s="8"/>
      <c r="AO67" s="8"/>
      <c r="AP67" s="8"/>
      <c r="AQ67" s="8"/>
      <c r="AR67" s="8"/>
      <c r="AS67" s="8"/>
      <c r="AT67" s="8"/>
      <c r="AU67" s="8"/>
      <c r="AV67" s="8"/>
      <c r="AW67" s="8"/>
      <c r="AX67" s="8"/>
      <c r="AY67" s="8"/>
      <c r="AZ67" s="8"/>
      <c r="BA67" s="8"/>
      <c r="BB67" s="8"/>
      <c r="BC67" s="8"/>
      <c r="BD67" s="8"/>
      <c r="BE67" s="8"/>
    </row>
    <row r="68" spans="1:57">
      <c r="A68" s="8" t="s">
        <v>247</v>
      </c>
      <c r="B68" s="8" t="s">
        <v>47</v>
      </c>
      <c r="C68" s="8" t="s">
        <v>731</v>
      </c>
      <c r="D68" s="8" t="s">
        <v>732</v>
      </c>
      <c r="E68" s="8" t="s">
        <v>830</v>
      </c>
      <c r="F68" s="54" t="s">
        <v>836</v>
      </c>
      <c r="G68" s="8" t="s">
        <v>837</v>
      </c>
      <c r="H68" s="8" t="str">
        <f ca="1">IFERROR(__xludf.DUMMYFUNCTION("VLOOKUP(G68, IMPORTRANGE(""https://docs.google.com/spreadsheets/d/14deopnvwcrKtEGCKuYXdUHJbeLDZlkiSSWWT0g7x2pM/edit#gid=999382323"", ""LU List Maths (Filter)!A:B""), 2, FALSE)"),"Prime factorisation of cube numbers")</f>
        <v>Prime factorisation of cube numbers</v>
      </c>
      <c r="I68" s="10" t="str">
        <f t="shared" si="0"/>
        <v>LU000663.001</v>
      </c>
      <c r="J68" s="10" t="str">
        <f ca="1">IFERROR(__xludf.DUMMYFUNCTION("VLOOKUP(I68, IMPORTRANGE(""https://docs.google.com/spreadsheets/d/1yDAaXNsi4Mr5FtRQL4tbmSdIzhx6_m4wkOD7IG-k_eo/edit#gid=0"", ""Maths!M:N""), 2, FALSE)"),"List the prime factors of specific cube numbers.")</f>
        <v>List the prime factors of specific cube numbers.</v>
      </c>
      <c r="K68" s="10" t="str">
        <f t="shared" si="1"/>
        <v>LU000663.002</v>
      </c>
      <c r="L68" s="10" t="str">
        <f ca="1">IFERROR(__xludf.DUMMYFUNCTION("VLOOKUP(K68, IMPORTRANGE(""https://docs.google.com/spreadsheets/d/1yDAaXNsi4Mr5FtRQL4tbmSdIzhx6_m4wkOD7IG-k_eo/edit#gid=0"", ""Maths!M:N""), 2, FALSE)"),"State the prime factorisation process for cube numbers")</f>
        <v>State the prime factorisation process for cube numbers</v>
      </c>
      <c r="M68" s="10" t="str">
        <f t="shared" si="2"/>
        <v>LU000663.003</v>
      </c>
      <c r="N68" s="10" t="str">
        <f ca="1">IFERROR(__xludf.DUMMYFUNCTION("VLOOKUP(M68, IMPORTRANGE(""https://docs.google.com/spreadsheets/d/1yDAaXNsi4Mr5FtRQL4tbmSdIzhx6_m4wkOD7IG-k_eo/edit#gid=0"", ""Maths!M:N""), 2, FALSE)"),"Apply the knowledge of prime factorisation to find the prime factors of various cube numbers and express them in their prime factored form.")</f>
        <v>Apply the knowledge of prime factorisation to find the prime factors of various cube numbers and express them in their prime factored form.</v>
      </c>
      <c r="O68" s="10" t="str">
        <f t="shared" si="3"/>
        <v>LU000663.004</v>
      </c>
      <c r="P68" s="10" t="str">
        <f ca="1">IFERROR(__xludf.DUMMYFUNCTION("VLOOKUP(O68, IMPORTRANGE(""https://docs.google.com/spreadsheets/d/1yDAaXNsi4Mr5FtRQL4tbmSdIzhx6_m4wkOD7IG-k_eo/edit#gid=0"", ""Maths!M:N""), 2, FALSE)"),"Analyse the prime factorisation of cube numbers to identify common factors or patterns among different cube numbers.")</f>
        <v>Analyse the prime factorisation of cube numbers to identify common factors or patterns among different cube numbers.</v>
      </c>
      <c r="Q68" s="10" t="str">
        <f t="shared" si="4"/>
        <v>LU000663.005</v>
      </c>
      <c r="R68" s="10" t="str">
        <f ca="1">IFERROR(__xludf.DUMMYFUNCTION("VLOOKUP(Q68, IMPORTRANGE(""https://docs.google.com/spreadsheets/d/1yDAaXNsi4Mr5FtRQL4tbmSdIzhx6_m4wkOD7IG-k_eo/edit#gid=0"", ""Maths!M:N""), 2, FALSE)"),"Evaluate the prime factorisation of cube numbers to determine if they are perfect cubes or not, and explain the criteria for a cube number to be a perfect cube.")</f>
        <v>Evaluate the prime factorisation of cube numbers to determine if they are perfect cubes or not, and explain the criteria for a cube number to be a perfect cube.</v>
      </c>
      <c r="S68" s="10" t="str">
        <f t="shared" si="5"/>
        <v>LU000663.006</v>
      </c>
      <c r="T68" s="10" t="str">
        <f ca="1">IFERROR(__xludf.DUMMYFUNCTION("VLOOKUP(S68, IMPORTRANGE(""https://docs.google.com/spreadsheets/d/1yDAaXNsi4Mr5FtRQL4tbmSdIzhx6_m4wkOD7IG-k_eo/edit#gid=0"", ""Maths!M:N""), 2, FALSE)"),"#N/A")</f>
        <v>#N/A</v>
      </c>
      <c r="U68" s="52">
        <f ca="1">IFERROR(__xludf.DUMMYFUNCTION("ArrayFormula(VLOOKUP(G68, IMPORTRANGE(""https://docs.google.com/spreadsheets/d/1p7R4vtkWt5VOBim4ltsDG9KTzSjrtKXsMtQGXPHyND0/edit#gid=795171502"", ""'Filter 30_05_2024'!A1:M2000""), {2, 3, 4, 5,6,7,8,9,10,11,12,13}, 0))"),4)</f>
        <v>4</v>
      </c>
      <c r="V68" s="52">
        <f ca="1">IFERROR(__xludf.DUMMYFUNCTION("""COMPUTED_VALUE"""),6)</f>
        <v>6</v>
      </c>
      <c r="W68" s="52">
        <f ca="1">IFERROR(__xludf.DUMMYFUNCTION("""COMPUTED_VALUE"""),2)</f>
        <v>2</v>
      </c>
      <c r="X68" s="52">
        <f ca="1">IFERROR(__xludf.DUMMYFUNCTION("""COMPUTED_VALUE"""),12)</f>
        <v>12</v>
      </c>
      <c r="Y68" s="52">
        <f ca="1">IFERROR(__xludf.DUMMYFUNCTION("""COMPUTED_VALUE"""),4)</f>
        <v>4</v>
      </c>
      <c r="Z68" s="53">
        <f ca="1">IFERROR(__xludf.DUMMYFUNCTION("""COMPUTED_VALUE"""),3)</f>
        <v>3</v>
      </c>
      <c r="AA68" s="53">
        <f ca="1">IFERROR(__xludf.DUMMYFUNCTION("""COMPUTED_VALUE"""),1)</f>
        <v>1</v>
      </c>
      <c r="AB68" s="53">
        <f ca="1">IFERROR(__xludf.DUMMYFUNCTION("""COMPUTED_VALUE"""),8)</f>
        <v>8</v>
      </c>
      <c r="AC68" s="53"/>
      <c r="AD68" s="53"/>
      <c r="AE68" s="53"/>
      <c r="AF68" s="53"/>
      <c r="AG68" s="8" t="str">
        <f ca="1">IFERROR(__xludf.DUMMYFUNCTION("ArrayFormula(VLOOKUP(G68, IMPORTRANGE(""https://docs.google.com/spreadsheets/d/1Co934fvtviyaRiMsrIlT05Jaq7iiYq07aLvRr35KA48/edit?gid=173865642#gid=173865642"", ""'G8_Maths_Pri_LU'!G2:V2000""), {3, 4, 5, 6, 7, 8, 9, 10, 11, 12, 13, 14, 15, 16}, 0))"),"LU000658")</f>
        <v>LU000658</v>
      </c>
      <c r="AH68" s="8" t="str">
        <f ca="1">IFERROR(__xludf.DUMMYFUNCTION("""COMPUTED_VALUE"""),"Definition and representation of perfect cubes or cube numbers")</f>
        <v>Definition and representation of perfect cubes or cube numbers</v>
      </c>
      <c r="AI68" s="8" t="str">
        <f ca="1">IFERROR(__xludf.DUMMYFUNCTION("""COMPUTED_VALUE"""),"LU000210")</f>
        <v>LU000210</v>
      </c>
      <c r="AJ68" s="8" t="str">
        <f ca="1">IFERROR(__xludf.DUMMYFUNCTION("""COMPUTED_VALUE"""),"Methods of prime factorisation")</f>
        <v>Methods of prime factorisation</v>
      </c>
      <c r="AK68" s="8"/>
      <c r="AL68" s="8"/>
      <c r="AM68" s="8"/>
      <c r="AN68" s="8"/>
      <c r="AO68" s="8"/>
      <c r="AP68" s="8"/>
      <c r="AQ68" s="8"/>
      <c r="AR68" s="8"/>
      <c r="AS68" s="8"/>
      <c r="AT68" s="8"/>
      <c r="AU68" s="8"/>
      <c r="AV68" s="8"/>
      <c r="AW68" s="8"/>
      <c r="AX68" s="8"/>
      <c r="AY68" s="8"/>
      <c r="AZ68" s="8"/>
      <c r="BA68" s="8"/>
      <c r="BB68" s="8"/>
      <c r="BC68" s="8"/>
      <c r="BD68" s="8"/>
      <c r="BE68" s="8"/>
    </row>
    <row r="69" spans="1:57">
      <c r="A69" s="8" t="s">
        <v>247</v>
      </c>
      <c r="B69" s="8" t="s">
        <v>47</v>
      </c>
      <c r="C69" s="8" t="s">
        <v>731</v>
      </c>
      <c r="D69" s="8" t="s">
        <v>732</v>
      </c>
      <c r="E69" s="8" t="s">
        <v>830</v>
      </c>
      <c r="F69" s="54" t="s">
        <v>836</v>
      </c>
      <c r="G69" s="8" t="s">
        <v>838</v>
      </c>
      <c r="H69" s="8" t="str">
        <f ca="1">IFERROR(__xludf.DUMMYFUNCTION("VLOOKUP(G69, IMPORTRANGE(""https://docs.google.com/spreadsheets/d/14deopnvwcrKtEGCKuYXdUHJbeLDZlkiSSWWT0g7x2pM/edit#gid=999382323"", ""LU List Maths (Filter)!A:B""), 2, FALSE)"),"Use of prime factorisation to make a perfect cube")</f>
        <v>Use of prime factorisation to make a perfect cube</v>
      </c>
      <c r="I69" s="10" t="str">
        <f t="shared" si="0"/>
        <v>LU000664.001</v>
      </c>
      <c r="J69" s="10" t="str">
        <f ca="1">IFERROR(__xludf.DUMMYFUNCTION("VLOOKUP(I69, IMPORTRANGE(""https://docs.google.com/spreadsheets/d/1yDAaXNsi4Mr5FtRQL4tbmSdIzhx6_m4wkOD7IG-k_eo/edit#gid=0"", ""Maths!M:N""), 2, FALSE)"),"Recall how to utilise prime factorisation to create a perfect cube.")</f>
        <v>Recall how to utilise prime factorisation to create a perfect cube.</v>
      </c>
      <c r="K69" s="10" t="str">
        <f t="shared" si="1"/>
        <v>LU000664.002</v>
      </c>
      <c r="L69" s="10" t="str">
        <f ca="1">IFERROR(__xludf.DUMMYFUNCTION("VLOOKUP(K69, IMPORTRANGE(""https://docs.google.com/spreadsheets/d/1yDAaXNsi4Mr5FtRQL4tbmSdIzhx6_m4wkOD7IG-k_eo/edit#gid=0"", ""Maths!M:N""), 2, FALSE)"),"Describe how prime factorization can be used to identify missing factors needed to make a non-perfect cube into a perfect cube.")</f>
        <v>Describe how prime factorization can be used to identify missing factors needed to make a non-perfect cube into a perfect cube.</v>
      </c>
      <c r="M69" s="10" t="str">
        <f t="shared" si="2"/>
        <v>LU000664.003</v>
      </c>
      <c r="N69" s="10" t="str">
        <f ca="1">IFERROR(__xludf.DUMMYFUNCTION("VLOOKUP(M69, IMPORTRANGE(""https://docs.google.com/spreadsheets/d/1yDAaXNsi4Mr5FtRQL4tbmSdIzhx6_m4wkOD7IG-k_eo/edit#gid=0"", ""Maths!M:N""), 2, FALSE)"),"Use prime factorization to identify the missing factors needed to convert a number into a perfect cube.")</f>
        <v>Use prime factorization to identify the missing factors needed to convert a number into a perfect cube.</v>
      </c>
      <c r="O69" s="10" t="str">
        <f t="shared" si="3"/>
        <v>LU000664.004</v>
      </c>
      <c r="P69" s="10" t="str">
        <f ca="1">IFERROR(__xludf.DUMMYFUNCTION("VLOOKUP(O69, IMPORTRANGE(""https://docs.google.com/spreadsheets/d/1yDAaXNsi4Mr5FtRQL4tbmSdIzhx6_m4wkOD7IG-k_eo/edit#gid=0"", ""Maths!M:N""), 2, FALSE)"),"Analyse the process of converting a non-perfect cube numbers into a perfect cube. ")</f>
        <v xml:space="preserve">Analyse the process of converting a non-perfect cube numbers into a perfect cube. </v>
      </c>
      <c r="Q69" s="10" t="str">
        <f t="shared" si="4"/>
        <v>LU000664.005</v>
      </c>
      <c r="R69" s="10" t="str">
        <f ca="1">IFERROR(__xludf.DUMMYFUNCTION("VLOOKUP(Q69, IMPORTRANGE(""https://docs.google.com/spreadsheets/d/1yDAaXNsi4Mr5FtRQL4tbmSdIzhx6_m4wkOD7IG-k_eo/edit#gid=0"", ""Maths!M:N""), 2, FALSE)"),"Evaluate the effectiveness of using prime factorization to make non-perfect cubes into perfect cubes")</f>
        <v>Evaluate the effectiveness of using prime factorization to make non-perfect cubes into perfect cubes</v>
      </c>
      <c r="S69" s="10" t="str">
        <f t="shared" si="5"/>
        <v>LU000664.006</v>
      </c>
      <c r="T69" s="10" t="str">
        <f ca="1">IFERROR(__xludf.DUMMYFUNCTION("VLOOKUP(S69, IMPORTRANGE(""https://docs.google.com/spreadsheets/d/1yDAaXNsi4Mr5FtRQL4tbmSdIzhx6_m4wkOD7IG-k_eo/edit#gid=0"", ""Maths!M:N""), 2, FALSE)"),"#N/A")</f>
        <v>#N/A</v>
      </c>
      <c r="U69" s="52">
        <f ca="1">IFERROR(__xludf.DUMMYFUNCTION("ArrayFormula(VLOOKUP(G69, IMPORTRANGE(""https://docs.google.com/spreadsheets/d/1p7R4vtkWt5VOBim4ltsDG9KTzSjrtKXsMtQGXPHyND0/edit#gid=795171502"", ""'Filter 30_05_2024'!A1:M2000""), {2, 3, 4, 5,6,7,8,9,10,11,12,13}, 0))"),4)</f>
        <v>4</v>
      </c>
      <c r="V69" s="52">
        <f ca="1">IFERROR(__xludf.DUMMYFUNCTION("""COMPUTED_VALUE"""),6)</f>
        <v>6</v>
      </c>
      <c r="W69" s="52">
        <f ca="1">IFERROR(__xludf.DUMMYFUNCTION("""COMPUTED_VALUE"""),2)</f>
        <v>2</v>
      </c>
      <c r="X69" s="52">
        <f ca="1">IFERROR(__xludf.DUMMYFUNCTION("""COMPUTED_VALUE"""),12)</f>
        <v>12</v>
      </c>
      <c r="Y69" s="52">
        <f ca="1">IFERROR(__xludf.DUMMYFUNCTION("""COMPUTED_VALUE"""),4)</f>
        <v>4</v>
      </c>
      <c r="Z69" s="53">
        <f ca="1">IFERROR(__xludf.DUMMYFUNCTION("""COMPUTED_VALUE"""),3)</f>
        <v>3</v>
      </c>
      <c r="AA69" s="53">
        <f ca="1">IFERROR(__xludf.DUMMYFUNCTION("""COMPUTED_VALUE"""),1)</f>
        <v>1</v>
      </c>
      <c r="AB69" s="53">
        <f ca="1">IFERROR(__xludf.DUMMYFUNCTION("""COMPUTED_VALUE"""),8)</f>
        <v>8</v>
      </c>
      <c r="AC69" s="53"/>
      <c r="AD69" s="53"/>
      <c r="AE69" s="53"/>
      <c r="AF69" s="53"/>
      <c r="AG69" s="8" t="str">
        <f ca="1">IFERROR(__xludf.DUMMYFUNCTION("ArrayFormula(VLOOKUP(G69, IMPORTRANGE(""https://docs.google.com/spreadsheets/d/1Co934fvtviyaRiMsrIlT05Jaq7iiYq07aLvRr35KA48/edit?gid=173865642#gid=173865642"", ""'G8_Maths_Pri_LU'!G2:V2000""), {3, 4, 5, 6, 7, 8, 9, 10, 11, 12, 13, 14, 15, 16}, 0))"),"LU000663")</f>
        <v>LU000663</v>
      </c>
      <c r="AH69" s="8" t="str">
        <f ca="1">IFERROR(__xludf.DUMMYFUNCTION("""COMPUTED_VALUE"""),"Prime factorisation of cube numbers")</f>
        <v>Prime factorisation of cube numbers</v>
      </c>
      <c r="AI69" s="8"/>
      <c r="AJ69" s="8"/>
      <c r="AK69" s="8"/>
      <c r="AL69" s="8"/>
      <c r="AM69" s="8"/>
      <c r="AN69" s="8"/>
      <c r="AO69" s="8"/>
      <c r="AP69" s="8"/>
      <c r="AQ69" s="8"/>
      <c r="AR69" s="8"/>
      <c r="AS69" s="8"/>
      <c r="AT69" s="8"/>
      <c r="AU69" s="8"/>
      <c r="AV69" s="8"/>
      <c r="AW69" s="8"/>
      <c r="AX69" s="8"/>
      <c r="AY69" s="8"/>
      <c r="AZ69" s="8"/>
      <c r="BA69" s="8"/>
      <c r="BB69" s="8"/>
      <c r="BC69" s="8"/>
      <c r="BD69" s="8"/>
      <c r="BE69" s="8"/>
    </row>
    <row r="70" spans="1:57">
      <c r="A70" s="8" t="s">
        <v>247</v>
      </c>
      <c r="B70" s="8" t="s">
        <v>47</v>
      </c>
      <c r="C70" s="8" t="s">
        <v>731</v>
      </c>
      <c r="D70" s="8" t="s">
        <v>732</v>
      </c>
      <c r="E70" s="8" t="s">
        <v>830</v>
      </c>
      <c r="F70" s="54" t="s">
        <v>839</v>
      </c>
      <c r="G70" s="8" t="s">
        <v>840</v>
      </c>
      <c r="H70" s="8" t="str">
        <f ca="1">IFERROR(__xludf.DUMMYFUNCTION("VLOOKUP(G70, IMPORTRANGE(""https://docs.google.com/spreadsheets/d/14deopnvwcrKtEGCKuYXdUHJbeLDZlkiSSWWT0g7x2pM/edit#gid=999382323"", ""LU List Maths (Filter)!A:B""), 2, FALSE)"),"Definition and representation of cube root of a number")</f>
        <v>Definition and representation of cube root of a number</v>
      </c>
      <c r="I70" s="10" t="str">
        <f t="shared" si="0"/>
        <v>LU000659.001</v>
      </c>
      <c r="J70" s="10" t="str">
        <f ca="1">IFERROR(__xludf.DUMMYFUNCTION("VLOOKUP(I70, IMPORTRANGE(""https://docs.google.com/spreadsheets/d/1yDAaXNsi4Mr5FtRQL4tbmSdIzhx6_m4wkOD7IG-k_eo/edit#gid=0"", ""Maths!M:N""), 2, FALSE)"),"State the definition of cube root as the value that, when multiplied by itself three times, equals a given number.")</f>
        <v>State the definition of cube root as the value that, when multiplied by itself three times, equals a given number.</v>
      </c>
      <c r="K70" s="10" t="str">
        <f t="shared" si="1"/>
        <v>LU000659.002</v>
      </c>
      <c r="L70" s="10" t="str">
        <f ca="1">IFERROR(__xludf.DUMMYFUNCTION("VLOOKUP(K70, IMPORTRANGE(""https://docs.google.com/spreadsheets/d/1yDAaXNsi4Mr5FtRQL4tbmSdIzhx6_m4wkOD7IG-k_eo/edit#gid=0"", ""Maths!M:N""), 2, FALSE)"),"Explain the concept of cube roots and their significance in mathematics.")</f>
        <v>Explain the concept of cube roots and their significance in mathematics.</v>
      </c>
      <c r="M70" s="10" t="str">
        <f t="shared" si="2"/>
        <v>LU000659.003</v>
      </c>
      <c r="N70" s="10" t="str">
        <f ca="1">IFERROR(__xludf.DUMMYFUNCTION("VLOOKUP(M70, IMPORTRANGE(""https://docs.google.com/spreadsheets/d/1yDAaXNsi4Mr5FtRQL4tbmSdIzhx6_m4wkOD7IG-k_eo/edit#gid=0"", ""Maths!M:N""), 2, FALSE)"),"Apply the knowledge of cube roots to calculate the cube root of numbers.")</f>
        <v>Apply the knowledge of cube roots to calculate the cube root of numbers.</v>
      </c>
      <c r="O70" s="10" t="str">
        <f t="shared" si="3"/>
        <v>LU000659.004</v>
      </c>
      <c r="P70" s="10" t="str">
        <f ca="1">IFERROR(__xludf.DUMMYFUNCTION("VLOOKUP(O70, IMPORTRANGE(""https://docs.google.com/spreadsheets/d/1yDAaXNsi4Mr5FtRQL4tbmSdIzhx6_m4wkOD7IG-k_eo/edit#gid=0"", ""Maths!M:N""), 2, FALSE)"),"Analyse the properties of cube roots, such as identifying patterns in their values.")</f>
        <v>Analyse the properties of cube roots, such as identifying patterns in their values.</v>
      </c>
      <c r="Q70" s="10" t="str">
        <f t="shared" si="4"/>
        <v>LU000659.005</v>
      </c>
      <c r="R70" s="10" t="str">
        <f ca="1">IFERROR(__xludf.DUMMYFUNCTION("VLOOKUP(Q70, IMPORTRANGE(""https://docs.google.com/spreadsheets/d/1yDAaXNsi4Mr5FtRQL4tbmSdIzhx6_m4wkOD7IG-k_eo/edit#gid=0"", ""Maths!M:N""), 2, FALSE)"),"Evaluate the use of cube roots in real-life situations and problem-solving.")</f>
        <v>Evaluate the use of cube roots in real-life situations and problem-solving.</v>
      </c>
      <c r="S70" s="10" t="str">
        <f t="shared" si="5"/>
        <v>LU000659.006</v>
      </c>
      <c r="T70" s="10" t="str">
        <f ca="1">IFERROR(__xludf.DUMMYFUNCTION("VLOOKUP(S70, IMPORTRANGE(""https://docs.google.com/spreadsheets/d/1yDAaXNsi4Mr5FtRQL4tbmSdIzhx6_m4wkOD7IG-k_eo/edit#gid=0"", ""Maths!M:N""), 2, FALSE)"),"Design word problems that require students to calculate cube roots and apply them in practical scenarios.")</f>
        <v>Design word problems that require students to calculate cube roots and apply them in practical scenarios.</v>
      </c>
      <c r="U70" s="52">
        <f ca="1">IFERROR(__xludf.DUMMYFUNCTION("ArrayFormula(VLOOKUP(G70, IMPORTRANGE(""https://docs.google.com/spreadsheets/d/1p7R4vtkWt5VOBim4ltsDG9KTzSjrtKXsMtQGXPHyND0/edit#gid=795171502"", ""'Filter 30_05_2024'!A1:M2000""), {2, 3, 4, 5,6,7,8,9,10,11,12,13}, 0))"),4)</f>
        <v>4</v>
      </c>
      <c r="V70" s="52">
        <f ca="1">IFERROR(__xludf.DUMMYFUNCTION("""COMPUTED_VALUE"""),6)</f>
        <v>6</v>
      </c>
      <c r="W70" s="52">
        <f ca="1">IFERROR(__xludf.DUMMYFUNCTION("""COMPUTED_VALUE"""),2)</f>
        <v>2</v>
      </c>
      <c r="X70" s="52">
        <f ca="1">IFERROR(__xludf.DUMMYFUNCTION("""COMPUTED_VALUE"""),12)</f>
        <v>12</v>
      </c>
      <c r="Y70" s="52">
        <f ca="1">IFERROR(__xludf.DUMMYFUNCTION("""COMPUTED_VALUE"""),4)</f>
        <v>4</v>
      </c>
      <c r="Z70" s="53">
        <f ca="1">IFERROR(__xludf.DUMMYFUNCTION("""COMPUTED_VALUE"""),3)</f>
        <v>3</v>
      </c>
      <c r="AA70" s="53">
        <f ca="1">IFERROR(__xludf.DUMMYFUNCTION("""COMPUTED_VALUE"""),1)</f>
        <v>1</v>
      </c>
      <c r="AB70" s="53">
        <f ca="1">IFERROR(__xludf.DUMMYFUNCTION("""COMPUTED_VALUE"""),8)</f>
        <v>8</v>
      </c>
      <c r="AC70" s="53"/>
      <c r="AD70" s="53"/>
      <c r="AE70" s="53"/>
      <c r="AF70" s="53"/>
      <c r="AG70" s="8" t="str">
        <f ca="1">IFERROR(__xludf.DUMMYFUNCTION("ArrayFormula(VLOOKUP(G70, IMPORTRANGE(""https://docs.google.com/spreadsheets/d/1Co934fvtviyaRiMsrIlT05Jaq7iiYq07aLvRr35KA48/edit?gid=173865642#gid=173865642"", ""'G8_Maths_Pri_LU'!G2:V2000""), {3, 4, 5, 6, 7, 8, 9, 10, 11, 12, 13, 14, 15, 16}, 0))"),"LU000647")</f>
        <v>LU000647</v>
      </c>
      <c r="AH70" s="8" t="str">
        <f ca="1">IFERROR(__xludf.DUMMYFUNCTION("""COMPUTED_VALUE"""),"Definition of square root")</f>
        <v>Definition of square root</v>
      </c>
      <c r="AI70" s="8" t="str">
        <f ca="1">IFERROR(__xludf.DUMMYFUNCTION("""COMPUTED_VALUE"""),"LU000658")</f>
        <v>LU000658</v>
      </c>
      <c r="AJ70" s="8" t="str">
        <f ca="1">IFERROR(__xludf.DUMMYFUNCTION("""COMPUTED_VALUE"""),"Definition and representation of perfect cubes or cube numbers")</f>
        <v>Definition and representation of perfect cubes or cube numbers</v>
      </c>
      <c r="AK70" s="8"/>
      <c r="AL70" s="8"/>
      <c r="AM70" s="8"/>
      <c r="AN70" s="8"/>
      <c r="AO70" s="8"/>
      <c r="AP70" s="8"/>
      <c r="AQ70" s="8"/>
      <c r="AR70" s="8"/>
      <c r="AS70" s="8"/>
      <c r="AT70" s="8"/>
      <c r="AU70" s="8"/>
      <c r="AV70" s="8"/>
      <c r="AW70" s="8"/>
      <c r="AX70" s="8"/>
      <c r="AY70" s="8"/>
      <c r="AZ70" s="8"/>
      <c r="BA70" s="8"/>
      <c r="BB70" s="8"/>
      <c r="BC70" s="8"/>
      <c r="BD70" s="8"/>
      <c r="BE70" s="8"/>
    </row>
    <row r="71" spans="1:57">
      <c r="A71" s="8" t="s">
        <v>247</v>
      </c>
      <c r="B71" s="8" t="s">
        <v>47</v>
      </c>
      <c r="C71" s="8" t="s">
        <v>731</v>
      </c>
      <c r="D71" s="8" t="s">
        <v>732</v>
      </c>
      <c r="E71" s="8" t="s">
        <v>830</v>
      </c>
      <c r="F71" s="54" t="s">
        <v>839</v>
      </c>
      <c r="G71" s="8" t="s">
        <v>841</v>
      </c>
      <c r="H71" s="8" t="str">
        <f ca="1">IFERROR(__xludf.DUMMYFUNCTION("VLOOKUP(G71, IMPORTRANGE(""https://docs.google.com/spreadsheets/d/14deopnvwcrKtEGCKuYXdUHJbeLDZlkiSSWWT0g7x2pM/edit#gid=999382323"", ""LU List Maths (Filter)!A:B""), 2, FALSE)"),"Cube root through prime factorisation")</f>
        <v>Cube root through prime factorisation</v>
      </c>
      <c r="I71" s="10" t="str">
        <f t="shared" si="0"/>
        <v>LU000666.001</v>
      </c>
      <c r="J71" s="10" t="str">
        <f ca="1">IFERROR(__xludf.DUMMYFUNCTION("VLOOKUP(I71, IMPORTRANGE(""https://docs.google.com/spreadsheets/d/1yDAaXNsi4Mr5FtRQL4tbmSdIzhx6_m4wkOD7IG-k_eo/edit#gid=0"", ""Maths!M:N""), 2, FALSE)"),"Recall the concept of prime factorisation and its importance in mathematics.")</f>
        <v>Recall the concept of prime factorisation and its importance in mathematics.</v>
      </c>
      <c r="K71" s="10" t="str">
        <f t="shared" si="1"/>
        <v>LU000666.002</v>
      </c>
      <c r="L71" s="10" t="str">
        <f ca="1">IFERROR(__xludf.DUMMYFUNCTION("VLOOKUP(K71, IMPORTRANGE(""https://docs.google.com/spreadsheets/d/1yDAaXNsi4Mr5FtRQL4tbmSdIzhx6_m4wkOD7IG-k_eo/edit#gid=0"", ""Maths!M:N""), 2, FALSE)"),"Understand the relationship between prime factorisation and cube roots, and how prime factors contribute to finding cube roots.")</f>
        <v>Understand the relationship between prime factorisation and cube roots, and how prime factors contribute to finding cube roots.</v>
      </c>
      <c r="M71" s="10" t="str">
        <f t="shared" si="2"/>
        <v>LU000666.003</v>
      </c>
      <c r="N71" s="10" t="str">
        <f ca="1">IFERROR(__xludf.DUMMYFUNCTION("VLOOKUP(M71, IMPORTRANGE(""https://docs.google.com/spreadsheets/d/1yDAaXNsi4Mr5FtRQL4tbmSdIzhx6_m4wkOD7IG-k_eo/edit#gid=0"", ""Maths!M:N""), 2, FALSE)"),"Apply the prime factorisation method to find the cube root of a given cube number using its prime factors.")</f>
        <v>Apply the prime factorisation method to find the cube root of a given cube number using its prime factors.</v>
      </c>
      <c r="O71" s="10" t="str">
        <f t="shared" si="3"/>
        <v>LU000666.004</v>
      </c>
      <c r="P71" s="10" t="str">
        <f ca="1">IFERROR(__xludf.DUMMYFUNCTION("VLOOKUP(O71, IMPORTRANGE(""https://docs.google.com/spreadsheets/d/1yDAaXNsi4Mr5FtRQL4tbmSdIzhx6_m4wkOD7IG-k_eo/edit#gid=0"", ""Maths!M:N""), 2, FALSE)"),"Analyse how the prime factors of a cube number influence the determination of its cube root and the accuracy of the result.")</f>
        <v>Analyse how the prime factors of a cube number influence the determination of its cube root and the accuracy of the result.</v>
      </c>
      <c r="Q71" s="10" t="str">
        <f t="shared" si="4"/>
        <v>LU000666.005</v>
      </c>
      <c r="R71" s="10" t="str">
        <f ca="1">IFERROR(__xludf.DUMMYFUNCTION("VLOOKUP(Q71, IMPORTRANGE(""https://docs.google.com/spreadsheets/d/1yDAaXNsi4Mr5FtRQL4tbmSdIzhx6_m4wkOD7IG-k_eo/edit#gid=0"", ""Maths!M:N""), 2, FALSE)"),"Evaluate the efficiency of using prime factorisation for finding cube roots, considering its advantages and limitations compared to other methods.")</f>
        <v>Evaluate the efficiency of using prime factorisation for finding cube roots, considering its advantages and limitations compared to other methods.</v>
      </c>
      <c r="S71" s="10" t="str">
        <f t="shared" si="5"/>
        <v>LU000666.006</v>
      </c>
      <c r="T71" s="10" t="str">
        <f ca="1">IFERROR(__xludf.DUMMYFUNCTION("VLOOKUP(S71, IMPORTRANGE(""https://docs.google.com/spreadsheets/d/1yDAaXNsi4Mr5FtRQL4tbmSdIzhx6_m4wkOD7IG-k_eo/edit#gid=0"", ""Maths!M:N""), 2, FALSE)"),"Develop a clear and detailed set of instructions for using prime factorisation to determine the cube root of a specific cube number.")</f>
        <v>Develop a clear and detailed set of instructions for using prime factorisation to determine the cube root of a specific cube number.</v>
      </c>
      <c r="U71" s="52">
        <f ca="1">IFERROR(__xludf.DUMMYFUNCTION("ArrayFormula(VLOOKUP(G71, IMPORTRANGE(""https://docs.google.com/spreadsheets/d/1p7R4vtkWt5VOBim4ltsDG9KTzSjrtKXsMtQGXPHyND0/edit#gid=795171502"", ""'Filter 30_05_2024'!A1:M2000""), {2, 3, 4, 5,6,7,8,9,10,11,12,13}, 0))"),4)</f>
        <v>4</v>
      </c>
      <c r="V71" s="52">
        <f ca="1">IFERROR(__xludf.DUMMYFUNCTION("""COMPUTED_VALUE"""),6)</f>
        <v>6</v>
      </c>
      <c r="W71" s="52">
        <f ca="1">IFERROR(__xludf.DUMMYFUNCTION("""COMPUTED_VALUE"""),2)</f>
        <v>2</v>
      </c>
      <c r="X71" s="52">
        <f ca="1">IFERROR(__xludf.DUMMYFUNCTION("""COMPUTED_VALUE"""),12)</f>
        <v>12</v>
      </c>
      <c r="Y71" s="52">
        <f ca="1">IFERROR(__xludf.DUMMYFUNCTION("""COMPUTED_VALUE"""),4)</f>
        <v>4</v>
      </c>
      <c r="Z71" s="53">
        <f ca="1">IFERROR(__xludf.DUMMYFUNCTION("""COMPUTED_VALUE"""),3)</f>
        <v>3</v>
      </c>
      <c r="AA71" s="53">
        <f ca="1">IFERROR(__xludf.DUMMYFUNCTION("""COMPUTED_VALUE"""),1)</f>
        <v>1</v>
      </c>
      <c r="AB71" s="53">
        <f ca="1">IFERROR(__xludf.DUMMYFUNCTION("""COMPUTED_VALUE"""),8)</f>
        <v>8</v>
      </c>
      <c r="AC71" s="53"/>
      <c r="AD71" s="53"/>
      <c r="AE71" s="53"/>
      <c r="AF71" s="53"/>
      <c r="AG71" s="8" t="str">
        <f ca="1">IFERROR(__xludf.DUMMYFUNCTION("ArrayFormula(VLOOKUP(G71, IMPORTRANGE(""https://docs.google.com/spreadsheets/d/1Co934fvtviyaRiMsrIlT05Jaq7iiYq07aLvRr35KA48/edit?gid=173865642#gid=173865642"", ""'G8_Maths_Pri_LU'!G2:V2000""), {3, 4, 5, 6, 7, 8, 9, 10, 11, 12, 13, 14, 15, 16}, 0))"),"LU000664")</f>
        <v>LU000664</v>
      </c>
      <c r="AH71" s="8" t="str">
        <f ca="1">IFERROR(__xludf.DUMMYFUNCTION("""COMPUTED_VALUE"""),"Use of prime factorisation to make a perfect cube")</f>
        <v>Use of prime factorisation to make a perfect cube</v>
      </c>
      <c r="AI71" s="8" t="str">
        <f ca="1">IFERROR(__xludf.DUMMYFUNCTION("""COMPUTED_VALUE"""),"LU000663")</f>
        <v>LU000663</v>
      </c>
      <c r="AJ71" s="8" t="str">
        <f ca="1">IFERROR(__xludf.DUMMYFUNCTION("""COMPUTED_VALUE"""),"Prime factorisation of cube numbers")</f>
        <v>Prime factorisation of cube numbers</v>
      </c>
      <c r="AK71" s="8"/>
      <c r="AL71" s="8"/>
      <c r="AM71" s="8"/>
      <c r="AN71" s="8"/>
      <c r="AO71" s="8"/>
      <c r="AP71" s="8"/>
      <c r="AQ71" s="8"/>
      <c r="AR71" s="8"/>
      <c r="AS71" s="8"/>
      <c r="AT71" s="8"/>
      <c r="AU71" s="8"/>
      <c r="AV71" s="8"/>
      <c r="AW71" s="8"/>
      <c r="AX71" s="8"/>
      <c r="AY71" s="8"/>
      <c r="AZ71" s="8"/>
      <c r="BA71" s="8"/>
      <c r="BB71" s="8"/>
      <c r="BC71" s="8"/>
      <c r="BD71" s="8"/>
      <c r="BE71" s="8"/>
    </row>
    <row r="72" spans="1:57">
      <c r="A72" s="8" t="s">
        <v>247</v>
      </c>
      <c r="B72" s="8" t="s">
        <v>47</v>
      </c>
      <c r="C72" s="8" t="s">
        <v>731</v>
      </c>
      <c r="D72" s="8" t="s">
        <v>732</v>
      </c>
      <c r="E72" s="8" t="s">
        <v>534</v>
      </c>
      <c r="F72" s="58" t="s">
        <v>842</v>
      </c>
      <c r="G72" s="8" t="s">
        <v>843</v>
      </c>
      <c r="H72" s="8" t="str">
        <f ca="1">IFERROR(__xludf.DUMMYFUNCTION("VLOOKUP(G72, IMPORTRANGE(""https://docs.google.com/spreadsheets/d/14deopnvwcrKtEGCKuYXdUHJbeLDZlkiSSWWT0g7x2pM/edit#gid=999382323"", ""LU List Maths (Filter)!A:B""), 2, FALSE)"),"Definition of discount")</f>
        <v>Definition of discount</v>
      </c>
      <c r="I72" s="10" t="str">
        <f t="shared" si="0"/>
        <v>LU000677.001</v>
      </c>
      <c r="J72" s="10" t="str">
        <f ca="1">IFERROR(__xludf.DUMMYFUNCTION("VLOOKUP(I72, IMPORTRANGE(""https://docs.google.com/spreadsheets/d/1yDAaXNsi4Mr5FtRQL4tbmSdIzhx6_m4wkOD7IG-k_eo/edit#gid=0"", ""Maths!M:N""), 2, FALSE)"),"Recall the fundamental concept of a discount as a reduction in the original price or cost of an item or service.")</f>
        <v>Recall the fundamental concept of a discount as a reduction in the original price or cost of an item or service.</v>
      </c>
      <c r="K72" s="10" t="str">
        <f t="shared" si="1"/>
        <v>LU000677.002</v>
      </c>
      <c r="L72" s="10" t="str">
        <f ca="1">IFERROR(__xludf.DUMMYFUNCTION("VLOOKUP(K72, IMPORTRANGE(""https://docs.google.com/spreadsheets/d/1yDAaXNsi4Mr5FtRQL4tbmSdIzhx6_m4wkOD7IG-k_eo/edit#gid=0"", ""Maths!M:N""), 2, FALSE)"),"Explain the purpose and significance of discounts in various contexts, such as retail, sales, and pricing strategies.")</f>
        <v>Explain the purpose and significance of discounts in various contexts, such as retail, sales, and pricing strategies.</v>
      </c>
      <c r="M72" s="10" t="str">
        <f t="shared" si="2"/>
        <v>LU000677.003</v>
      </c>
      <c r="N72" s="10" t="str">
        <f ca="1">IFERROR(__xludf.DUMMYFUNCTION("VLOOKUP(M72, IMPORTRANGE(""https://docs.google.com/spreadsheets/d/1yDAaXNsi4Mr5FtRQL4tbmSdIzhx6_m4wkOD7IG-k_eo/edit#gid=0"", ""Maths!M:N""), 2, FALSE)"),"Apply knowledge of discounts to calculate the reduced price of an item or the amount saved when given the original price and discount percentage.")</f>
        <v>Apply knowledge of discounts to calculate the reduced price of an item or the amount saved when given the original price and discount percentage.</v>
      </c>
      <c r="O72" s="10" t="str">
        <f t="shared" si="3"/>
        <v>LU000677.004</v>
      </c>
      <c r="P72" s="10" t="str">
        <f ca="1">IFERROR(__xludf.DUMMYFUNCTION("VLOOKUP(O72, IMPORTRANGE(""https://docs.google.com/spreadsheets/d/1yDAaXNsi4Mr5FtRQL4tbmSdIzhx6_m4wkOD7IG-k_eo/edit#gid=0"", ""Maths!M:N""), 2, FALSE)"),"Analyze different discount scenarios to determine the final cost of items.")</f>
        <v>Analyze different discount scenarios to determine the final cost of items.</v>
      </c>
      <c r="Q72" s="10" t="str">
        <f t="shared" si="4"/>
        <v>LU000677.005</v>
      </c>
      <c r="R72" s="10" t="str">
        <f ca="1">IFERROR(__xludf.DUMMYFUNCTION("VLOOKUP(Q72, IMPORTRANGE(""https://docs.google.com/spreadsheets/d/1yDAaXNsi4Mr5FtRQL4tbmSdIzhx6_m4wkOD7IG-k_eo/edit#gid=0"", ""Maths!M:N""), 2, FALSE)"),"Evaluate the effectiveness of discounts in attracting customers and boosting sales")</f>
        <v>Evaluate the effectiveness of discounts in attracting customers and boosting sales</v>
      </c>
      <c r="S72" s="10" t="str">
        <f t="shared" si="5"/>
        <v>LU000677.006</v>
      </c>
      <c r="T72" s="10" t="str">
        <f ca="1">IFERROR(__xludf.DUMMYFUNCTION("VLOOKUP(S72, IMPORTRANGE(""https://docs.google.com/spreadsheets/d/1yDAaXNsi4Mr5FtRQL4tbmSdIzhx6_m4wkOD7IG-k_eo/edit#gid=0"", ""Maths!M:N""), 2, FALSE)"),"Create scenarios for products or services that involve the application of discounts.")</f>
        <v>Create scenarios for products or services that involve the application of discounts.</v>
      </c>
      <c r="U72" s="52">
        <f ca="1">IFERROR(__xludf.DUMMYFUNCTION("ArrayFormula(VLOOKUP(G72, IMPORTRANGE(""https://docs.google.com/spreadsheets/d/1p7R4vtkWt5VOBim4ltsDG9KTzSjrtKXsMtQGXPHyND0/edit#gid=795171502"", ""'Filter 30_05_2024'!A1:M2000""), {2, 3, 4, 5,6,7,8,9,10,11,12,13}, 0))"),4)</f>
        <v>4</v>
      </c>
      <c r="V72" s="52">
        <f ca="1">IFERROR(__xludf.DUMMYFUNCTION("""COMPUTED_VALUE"""),6)</f>
        <v>6</v>
      </c>
      <c r="W72" s="52">
        <f ca="1">IFERROR(__xludf.DUMMYFUNCTION("""COMPUTED_VALUE"""),2)</f>
        <v>2</v>
      </c>
      <c r="X72" s="52">
        <f ca="1">IFERROR(__xludf.DUMMYFUNCTION("""COMPUTED_VALUE"""),12)</f>
        <v>12</v>
      </c>
      <c r="Y72" s="52">
        <f ca="1">IFERROR(__xludf.DUMMYFUNCTION("""COMPUTED_VALUE"""),4)</f>
        <v>4</v>
      </c>
      <c r="Z72" s="53">
        <f ca="1">IFERROR(__xludf.DUMMYFUNCTION("""COMPUTED_VALUE"""),3)</f>
        <v>3</v>
      </c>
      <c r="AA72" s="53">
        <f ca="1">IFERROR(__xludf.DUMMYFUNCTION("""COMPUTED_VALUE"""),1)</f>
        <v>1</v>
      </c>
      <c r="AB72" s="53">
        <f ca="1">IFERROR(__xludf.DUMMYFUNCTION("""COMPUTED_VALUE"""),8)</f>
        <v>8</v>
      </c>
      <c r="AC72" s="53"/>
      <c r="AD72" s="53"/>
      <c r="AE72" s="53"/>
      <c r="AF72" s="53"/>
      <c r="AG72" s="8" t="str">
        <f ca="1">IFERROR(__xludf.DUMMYFUNCTION("ArrayFormula(VLOOKUP(G72, IMPORTRANGE(""https://docs.google.com/spreadsheets/d/1Co934fvtviyaRiMsrIlT05Jaq7iiYq07aLvRr35KA48/edit?gid=173865642#gid=173865642"", ""'G8_Maths_Pri_LU'!G2:V2000""), {3, 4, 5, 6, 7, 8, 9, 10, 11, 12, 13, 14, 15, 16}, 0))"),"")</f>
        <v/>
      </c>
      <c r="AH72" s="8"/>
      <c r="AI72" s="8"/>
      <c r="AJ72" s="8"/>
      <c r="AK72" s="8"/>
      <c r="AL72" s="8"/>
      <c r="AM72" s="8"/>
      <c r="AN72" s="8"/>
      <c r="AO72" s="8"/>
      <c r="AP72" s="8"/>
      <c r="AQ72" s="8"/>
      <c r="AR72" s="8"/>
      <c r="AS72" s="8"/>
      <c r="AT72" s="8"/>
      <c r="AU72" s="8"/>
      <c r="AV72" s="8"/>
      <c r="AW72" s="8"/>
      <c r="AX72" s="8"/>
      <c r="AY72" s="8"/>
      <c r="AZ72" s="8"/>
      <c r="BA72" s="8"/>
      <c r="BB72" s="8"/>
      <c r="BC72" s="8"/>
      <c r="BD72" s="8"/>
      <c r="BE72" s="8"/>
    </row>
    <row r="73" spans="1:57">
      <c r="A73" s="8" t="s">
        <v>247</v>
      </c>
      <c r="B73" s="8" t="s">
        <v>47</v>
      </c>
      <c r="C73" s="8" t="s">
        <v>731</v>
      </c>
      <c r="D73" s="8" t="s">
        <v>732</v>
      </c>
      <c r="E73" s="8" t="s">
        <v>534</v>
      </c>
      <c r="F73" s="58" t="s">
        <v>842</v>
      </c>
      <c r="G73" s="8" t="s">
        <v>844</v>
      </c>
      <c r="H73" s="8" t="str">
        <f ca="1">IFERROR(__xludf.DUMMYFUNCTION("VLOOKUP(G73, IMPORTRANGE(""https://docs.google.com/spreadsheets/d/14deopnvwcrKtEGCKuYXdUHJbeLDZlkiSSWWT0g7x2pM/edit#gid=999382323"", ""LU List Maths (Filter)!A:B""), 2, FALSE)"),"Definition of marked/list price")</f>
        <v>Definition of marked/list price</v>
      </c>
      <c r="I73" s="10" t="str">
        <f t="shared" si="0"/>
        <v>LU000678.001</v>
      </c>
      <c r="J73" s="10" t="str">
        <f ca="1">IFERROR(__xludf.DUMMYFUNCTION("VLOOKUP(I73, IMPORTRANGE(""https://docs.google.com/spreadsheets/d/1yDAaXNsi4Mr5FtRQL4tbmSdIzhx6_m4wkOD7IG-k_eo/edit#gid=0"", ""Maths!M:N""), 2, FALSE)"),"State the basic definition of marked/list price.")</f>
        <v>State the basic definition of marked/list price.</v>
      </c>
      <c r="K73" s="10" t="str">
        <f t="shared" si="1"/>
        <v>LU000678.002</v>
      </c>
      <c r="L73" s="10" t="str">
        <f ca="1">IFERROR(__xludf.DUMMYFUNCTION("VLOOKUP(K73, IMPORTRANGE(""https://docs.google.com/spreadsheets/d/1yDAaXNsi4Mr5FtRQL4tbmSdIzhx6_m4wkOD7IG-k_eo/edit#gid=0"", ""Maths!M:N""), 2, FALSE)"),"Explain the purpose and significance of marked/list price in pricing strategies")</f>
        <v>Explain the purpose and significance of marked/list price in pricing strategies</v>
      </c>
      <c r="M73" s="10" t="str">
        <f t="shared" si="2"/>
        <v>LU000678.003</v>
      </c>
      <c r="N73" s="10" t="str">
        <f ca="1">IFERROR(__xludf.DUMMYFUNCTION("VLOOKUP(M73, IMPORTRANGE(""https://docs.google.com/spreadsheets/d/1yDAaXNsi4Mr5FtRQL4tbmSdIzhx6_m4wkOD7IG-k_eo/edit#gid=0"", ""Maths!M:N""), 2, FALSE)"),"Use marked/list price to find the final price after applying discounts.")</f>
        <v>Use marked/list price to find the final price after applying discounts.</v>
      </c>
      <c r="O73" s="10" t="str">
        <f t="shared" si="3"/>
        <v>LU000678.004</v>
      </c>
      <c r="P73" s="10" t="str">
        <f ca="1">IFERROR(__xludf.DUMMYFUNCTION("VLOOKUP(O73, IMPORTRANGE(""https://docs.google.com/spreadsheets/d/1yDAaXNsi4Mr5FtRQL4tbmSdIzhx6_m4wkOD7IG-k_eo/edit#gid=0"", ""Maths!M:N""), 2, FALSE)"),"Analyze how marked/list prices and discounts affect what customers pay.")</f>
        <v>Analyze how marked/list prices and discounts affect what customers pay.</v>
      </c>
      <c r="Q73" s="10" t="str">
        <f t="shared" si="4"/>
        <v>LU000678.005</v>
      </c>
      <c r="R73" s="10" t="str">
        <f ca="1">IFERROR(__xludf.DUMMYFUNCTION("VLOOKUP(Q73, IMPORTRANGE(""https://docs.google.com/spreadsheets/d/1yDAaXNsi4Mr5FtRQL4tbmSdIzhx6_m4wkOD7IG-k_eo/edit#gid=0"", ""Maths!M:N""), 2, FALSE)"),"Evaluate whether marked/list prices and discounts are effective in attracting customers.")</f>
        <v>Evaluate whether marked/list prices and discounts are effective in attracting customers.</v>
      </c>
      <c r="S73" s="10" t="str">
        <f t="shared" si="5"/>
        <v>LU000678.006</v>
      </c>
      <c r="T73" s="10" t="str">
        <f ca="1">IFERROR(__xludf.DUMMYFUNCTION("VLOOKUP(S73, IMPORTRANGE(""https://docs.google.com/spreadsheets/d/1yDAaXNsi4Mr5FtRQL4tbmSdIzhx6_m4wkOD7IG-k_eo/edit#gid=0"", ""Maths!M:N""), 2, FALSE)"),"Create examples of products or services with marked/list prices and discounts, and calculate the final prices.")</f>
        <v>Create examples of products or services with marked/list prices and discounts, and calculate the final prices.</v>
      </c>
      <c r="U73" s="52">
        <f ca="1">IFERROR(__xludf.DUMMYFUNCTION("ArrayFormula(VLOOKUP(G73, IMPORTRANGE(""https://docs.google.com/spreadsheets/d/1p7R4vtkWt5VOBim4ltsDG9KTzSjrtKXsMtQGXPHyND0/edit#gid=795171502"", ""'Filter 30_05_2024'!A1:M2000""), {2, 3, 4, 5,6,7,8,9,10,11,12,13}, 0))"),4)</f>
        <v>4</v>
      </c>
      <c r="V73" s="52">
        <f ca="1">IFERROR(__xludf.DUMMYFUNCTION("""COMPUTED_VALUE"""),6)</f>
        <v>6</v>
      </c>
      <c r="W73" s="52">
        <f ca="1">IFERROR(__xludf.DUMMYFUNCTION("""COMPUTED_VALUE"""),2)</f>
        <v>2</v>
      </c>
      <c r="X73" s="52">
        <f ca="1">IFERROR(__xludf.DUMMYFUNCTION("""COMPUTED_VALUE"""),12)</f>
        <v>12</v>
      </c>
      <c r="Y73" s="52">
        <f ca="1">IFERROR(__xludf.DUMMYFUNCTION("""COMPUTED_VALUE"""),4)</f>
        <v>4</v>
      </c>
      <c r="Z73" s="53">
        <f ca="1">IFERROR(__xludf.DUMMYFUNCTION("""COMPUTED_VALUE"""),3)</f>
        <v>3</v>
      </c>
      <c r="AA73" s="53">
        <f ca="1">IFERROR(__xludf.DUMMYFUNCTION("""COMPUTED_VALUE"""),1)</f>
        <v>1</v>
      </c>
      <c r="AB73" s="53">
        <f ca="1">IFERROR(__xludf.DUMMYFUNCTION("""COMPUTED_VALUE"""),8)</f>
        <v>8</v>
      </c>
      <c r="AC73" s="53"/>
      <c r="AD73" s="53"/>
      <c r="AE73" s="53"/>
      <c r="AF73" s="53"/>
      <c r="AG73" s="8" t="str">
        <f ca="1">IFERROR(__xludf.DUMMYFUNCTION("ArrayFormula(VLOOKUP(G73, IMPORTRANGE(""https://docs.google.com/spreadsheets/d/1Co934fvtviyaRiMsrIlT05Jaq7iiYq07aLvRr35KA48/edit?gid=173865642#gid=173865642"", ""'G8_Maths_Pri_LU'!G2:V2000""), {3, 4, 5, 6, 7, 8, 9, 10, 11, 12, 13, 14, 15, 16}, 0))"),"LU000677")</f>
        <v>LU000677</v>
      </c>
      <c r="AH73" s="8" t="str">
        <f ca="1">IFERROR(__xludf.DUMMYFUNCTION("""COMPUTED_VALUE"""),"Definition of discount")</f>
        <v>Definition of discount</v>
      </c>
      <c r="AI73" s="8"/>
      <c r="AJ73" s="8"/>
      <c r="AK73" s="8"/>
      <c r="AL73" s="8"/>
      <c r="AM73" s="8"/>
      <c r="AN73" s="8"/>
      <c r="AO73" s="8"/>
      <c r="AP73" s="8"/>
      <c r="AQ73" s="8"/>
      <c r="AR73" s="8"/>
      <c r="AS73" s="8"/>
      <c r="AT73" s="8"/>
      <c r="AU73" s="8"/>
      <c r="AV73" s="8"/>
      <c r="AW73" s="8"/>
      <c r="AX73" s="8"/>
      <c r="AY73" s="8"/>
      <c r="AZ73" s="8"/>
      <c r="BA73" s="8"/>
      <c r="BB73" s="8"/>
      <c r="BC73" s="8"/>
      <c r="BD73" s="8"/>
      <c r="BE73" s="8"/>
    </row>
    <row r="74" spans="1:57">
      <c r="A74" s="8" t="s">
        <v>247</v>
      </c>
      <c r="B74" s="8" t="s">
        <v>47</v>
      </c>
      <c r="C74" s="8" t="s">
        <v>731</v>
      </c>
      <c r="D74" s="8" t="s">
        <v>732</v>
      </c>
      <c r="E74" s="8" t="s">
        <v>534</v>
      </c>
      <c r="F74" s="58" t="s">
        <v>842</v>
      </c>
      <c r="G74" s="8" t="s">
        <v>845</v>
      </c>
      <c r="H74" s="8" t="str">
        <f ca="1">IFERROR(__xludf.DUMMYFUNCTION("VLOOKUP(G74, IMPORTRANGE(""https://docs.google.com/spreadsheets/d/14deopnvwcrKtEGCKuYXdUHJbeLDZlkiSSWWT0g7x2pM/edit#gid=999382323"", ""LU List Maths (Filter)!A:B""), 2, FALSE)"),"Definition of sale price")</f>
        <v>Definition of sale price</v>
      </c>
      <c r="I74" s="10" t="str">
        <f t="shared" si="0"/>
        <v>LU000679.001</v>
      </c>
      <c r="J74" s="10" t="str">
        <f ca="1">IFERROR(__xludf.DUMMYFUNCTION("VLOOKUP(I74, IMPORTRANGE(""https://docs.google.com/spreadsheets/d/1yDAaXNsi4Mr5FtRQL4tbmSdIzhx6_m4wkOD7IG-k_eo/edit#gid=0"", ""Maths!M:N""), 2, FALSE)"),"Recognise that the sale price is the lower price during a special offer.")</f>
        <v>Recognise that the sale price is the lower price during a special offer.</v>
      </c>
      <c r="K74" s="10" t="str">
        <f t="shared" si="1"/>
        <v>LU000679.002</v>
      </c>
      <c r="L74" s="10" t="str">
        <f ca="1">IFERROR(__xludf.DUMMYFUNCTION("VLOOKUP(K74, IMPORTRANGE(""https://docs.google.com/spreadsheets/d/1yDAaXNsi4Mr5FtRQL4tbmSdIzhx6_m4wkOD7IG-k_eo/edit#gid=0"", ""Maths!M:N""), 2, FALSE)"),"Understand the purpose of a sale price and how it differs from the regular price.")</f>
        <v>Understand the purpose of a sale price and how it differs from the regular price.</v>
      </c>
      <c r="M74" s="10" t="str">
        <f t="shared" si="2"/>
        <v>LU000679.003</v>
      </c>
      <c r="N74" s="10" t="str">
        <f ca="1">IFERROR(__xludf.DUMMYFUNCTION("VLOOKUP(M74, IMPORTRANGE(""https://docs.google.com/spreadsheets/d/1yDAaXNsi4Mr5FtRQL4tbmSdIzhx6_m4wkOD7IG-k_eo/edit#gid=0"", ""Maths!M:N""), 2, FALSE)"),"Use the sale price to figure out how much you save or the final cost during a sale.")</f>
        <v>Use the sale price to figure out how much you save or the final cost during a sale.</v>
      </c>
      <c r="O74" s="10" t="str">
        <f t="shared" si="3"/>
        <v>LU000679.004</v>
      </c>
      <c r="P74" s="10" t="str">
        <f ca="1">IFERROR(__xludf.DUMMYFUNCTION("VLOOKUP(O74, IMPORTRANGE(""https://docs.google.com/spreadsheets/d/1yDAaXNsi4Mr5FtRQL4tbmSdIzhx6_m4wkOD7IG-k_eo/edit#gid=0"", ""Maths!M:N""), 2, FALSE)"),"Look at different sale price situations and see how discounts affect what people buy.")</f>
        <v>Look at different sale price situations and see how discounts affect what people buy.</v>
      </c>
      <c r="Q74" s="10" t="str">
        <f t="shared" si="4"/>
        <v>LU000679.005</v>
      </c>
      <c r="R74" s="10" t="str">
        <f ca="1">IFERROR(__xludf.DUMMYFUNCTION("VLOOKUP(Q74, IMPORTRANGE(""https://docs.google.com/spreadsheets/d/1yDAaXNsi4Mr5FtRQL4tbmSdIzhx6_m4wkOD7IG-k_eo/edit#gid=0"", ""Maths!M:N""), 2, FALSE)"),"Decide if using sale prices is a good idea for businesses to get more customers.")</f>
        <v>Decide if using sale prices is a good idea for businesses to get more customers.</v>
      </c>
      <c r="S74" s="10" t="str">
        <f t="shared" si="5"/>
        <v>LU000679.006</v>
      </c>
      <c r="T74" s="10" t="str">
        <f ca="1">IFERROR(__xludf.DUMMYFUNCTION("VLOOKUP(S74, IMPORTRANGE(""https://docs.google.com/spreadsheets/d/1yDAaXNsi4Mr5FtRQL4tbmSdIzhx6_m4wkOD7IG-k_eo/edit#gid=0"", ""Maths!M:N""), 2, FALSE)"),"Make up examples with sale prices, discounts, and regular prices to find the savings or final costs. Think about how businesses use sales to get people to buy.")</f>
        <v>Make up examples with sale prices, discounts, and regular prices to find the savings or final costs. Think about how businesses use sales to get people to buy.</v>
      </c>
      <c r="U74" s="52">
        <f ca="1">IFERROR(__xludf.DUMMYFUNCTION("ArrayFormula(VLOOKUP(G74, IMPORTRANGE(""https://docs.google.com/spreadsheets/d/1p7R4vtkWt5VOBim4ltsDG9KTzSjrtKXsMtQGXPHyND0/edit#gid=795171502"", ""'Filter 30_05_2024'!A1:M2000""), {2, 3, 4, 5,6,7,8,9,10,11,12,13}, 0))"),4)</f>
        <v>4</v>
      </c>
      <c r="V74" s="52">
        <f ca="1">IFERROR(__xludf.DUMMYFUNCTION("""COMPUTED_VALUE"""),6)</f>
        <v>6</v>
      </c>
      <c r="W74" s="52">
        <f ca="1">IFERROR(__xludf.DUMMYFUNCTION("""COMPUTED_VALUE"""),2)</f>
        <v>2</v>
      </c>
      <c r="X74" s="52">
        <f ca="1">IFERROR(__xludf.DUMMYFUNCTION("""COMPUTED_VALUE"""),12)</f>
        <v>12</v>
      </c>
      <c r="Y74" s="52">
        <f ca="1">IFERROR(__xludf.DUMMYFUNCTION("""COMPUTED_VALUE"""),4)</f>
        <v>4</v>
      </c>
      <c r="Z74" s="53">
        <f ca="1">IFERROR(__xludf.DUMMYFUNCTION("""COMPUTED_VALUE"""),3)</f>
        <v>3</v>
      </c>
      <c r="AA74" s="53">
        <f ca="1">IFERROR(__xludf.DUMMYFUNCTION("""COMPUTED_VALUE"""),1)</f>
        <v>1</v>
      </c>
      <c r="AB74" s="53">
        <f ca="1">IFERROR(__xludf.DUMMYFUNCTION("""COMPUTED_VALUE"""),8)</f>
        <v>8</v>
      </c>
      <c r="AC74" s="53"/>
      <c r="AD74" s="53"/>
      <c r="AE74" s="53"/>
      <c r="AF74" s="53"/>
      <c r="AG74" s="8" t="str">
        <f ca="1">IFERROR(__xludf.DUMMYFUNCTION("ArrayFormula(VLOOKUP(G74, IMPORTRANGE(""https://docs.google.com/spreadsheets/d/1Co934fvtviyaRiMsrIlT05Jaq7iiYq07aLvRr35KA48/edit?gid=173865642#gid=173865642"", ""'G8_Maths_Pri_LU'!G2:V2000""), {3, 4, 5, 6, 7, 8, 9, 10, 11, 12, 13, 14, 15, 16}, 0))"),"LU000678")</f>
        <v>LU000678</v>
      </c>
      <c r="AH74" s="8" t="str">
        <f ca="1">IFERROR(__xludf.DUMMYFUNCTION("""COMPUTED_VALUE"""),"Definition of marked/list price")</f>
        <v>Definition of marked/list price</v>
      </c>
      <c r="AI74" s="8"/>
      <c r="AJ74" s="8"/>
      <c r="AK74" s="8"/>
      <c r="AL74" s="8"/>
      <c r="AM74" s="8"/>
      <c r="AN74" s="8"/>
      <c r="AO74" s="8"/>
      <c r="AP74" s="8"/>
      <c r="AQ74" s="8"/>
      <c r="AR74" s="8"/>
      <c r="AS74" s="8"/>
      <c r="AT74" s="8"/>
      <c r="AU74" s="8"/>
      <c r="AV74" s="8"/>
      <c r="AW74" s="8"/>
      <c r="AX74" s="8"/>
      <c r="AY74" s="8"/>
      <c r="AZ74" s="8"/>
      <c r="BA74" s="8"/>
      <c r="BB74" s="8"/>
      <c r="BC74" s="8"/>
      <c r="BD74" s="8"/>
      <c r="BE74" s="8"/>
    </row>
    <row r="75" spans="1:57">
      <c r="A75" s="8" t="s">
        <v>247</v>
      </c>
      <c r="B75" s="8" t="s">
        <v>47</v>
      </c>
      <c r="C75" s="8" t="s">
        <v>731</v>
      </c>
      <c r="D75" s="8" t="s">
        <v>732</v>
      </c>
      <c r="E75" s="8" t="s">
        <v>534</v>
      </c>
      <c r="F75" s="58" t="s">
        <v>846</v>
      </c>
      <c r="G75" s="8" t="s">
        <v>847</v>
      </c>
      <c r="H75" s="8" t="str">
        <f ca="1">IFERROR(__xludf.DUMMYFUNCTION("VLOOKUP(G75, IMPORTRANGE(""https://docs.google.com/spreadsheets/d/14deopnvwcrKtEGCKuYXdUHJbeLDZlkiSSWWT0g7x2pM/edit#gid=999382323"", ""LU List Maths (Filter)!A:B""), 2, FALSE)"),"Calculation of discount percent")</f>
        <v>Calculation of discount percent</v>
      </c>
      <c r="I75" s="10" t="str">
        <f t="shared" si="0"/>
        <v>LU000693.001</v>
      </c>
      <c r="J75" s="10" t="str">
        <f ca="1">IFERROR(__xludf.DUMMYFUNCTION("VLOOKUP(I75, IMPORTRANGE(""https://docs.google.com/spreadsheets/d/1yDAaXNsi4Mr5FtRQL4tbmSdIzhx6_m4wkOD7IG-k_eo/edit#gid=0"", ""Maths!M:N""), 2, FALSE)"),"Describe that the ""discount percent"" is the amount by which the original price of an item is reduced.")</f>
        <v>Describe that the "discount percent" is the amount by which the original price of an item is reduced.</v>
      </c>
      <c r="K75" s="10" t="str">
        <f t="shared" si="1"/>
        <v>LU000693.002</v>
      </c>
      <c r="L75" s="10" t="str">
        <f ca="1">IFERROR(__xludf.DUMMYFUNCTION("VLOOKUP(K75, IMPORTRANGE(""https://docs.google.com/spreadsheets/d/1yDAaXNsi4Mr5FtRQL4tbmSdIzhx6_m4wkOD7IG-k_eo/edit#gid=0"", ""Maths!M:N""), 2, FALSE)"),"Understand the concept of discount percent and how it represents the reduction in the price of a product.")</f>
        <v>Understand the concept of discount percent and how it represents the reduction in the price of a product.</v>
      </c>
      <c r="M75" s="10" t="str">
        <f t="shared" si="2"/>
        <v>LU000693.003</v>
      </c>
      <c r="N75" s="10" t="str">
        <f ca="1">IFERROR(__xludf.DUMMYFUNCTION("VLOOKUP(M75, IMPORTRANGE(""https://docs.google.com/spreadsheets/d/1yDAaXNsi4Mr5FtRQL4tbmSdIzhx6_m4wkOD7IG-k_eo/edit#gid=0"", ""Maths!M:N""), 2, FALSE)"),"Apply the formula of discount percent to calculate the discount and vice versa.")</f>
        <v>Apply the formula of discount percent to calculate the discount and vice versa.</v>
      </c>
      <c r="O75" s="10" t="str">
        <f t="shared" si="3"/>
        <v>LU000693.004</v>
      </c>
      <c r="P75" s="10" t="str">
        <f ca="1">IFERROR(__xludf.DUMMYFUNCTION("VLOOKUP(O75, IMPORTRANGE(""https://docs.google.com/spreadsheets/d/1yDAaXNsi4Mr5FtRQL4tbmSdIzhx6_m4wkOD7IG-k_eo/edit#gid=0"", ""Maths!M:N""), 2, FALSE)"),"Analyze different discount percentages to determine their impact on the final price of a product")</f>
        <v>Analyze different discount percentages to determine their impact on the final price of a product</v>
      </c>
      <c r="Q75" s="10" t="str">
        <f t="shared" si="4"/>
        <v>LU000693.005</v>
      </c>
      <c r="R75" s="10" t="str">
        <f ca="1">IFERROR(__xludf.DUMMYFUNCTION("VLOOKUP(Q75, IMPORTRANGE(""https://docs.google.com/spreadsheets/d/1yDAaXNsi4Mr5FtRQL4tbmSdIzhx6_m4wkOD7IG-k_eo/edit#gid=0"", ""Maths!M:N""), 2, FALSE)"),"Evaluate the effectiveness of varying discount percentages")</f>
        <v>Evaluate the effectiveness of varying discount percentages</v>
      </c>
      <c r="S75" s="10" t="str">
        <f t="shared" si="5"/>
        <v>LU000693.006</v>
      </c>
      <c r="T75" s="10" t="str">
        <f ca="1">IFERROR(__xludf.DUMMYFUNCTION("VLOOKUP(S75, IMPORTRANGE(""https://docs.google.com/spreadsheets/d/1yDAaXNsi4Mr5FtRQL4tbmSdIzhx6_m4wkOD7IG-k_eo/edit#gid=0"", ""Maths!M:N""), 2, FALSE)"),"Create pricing scenarios with different discount percentages, prompting others to calculate savings")</f>
        <v>Create pricing scenarios with different discount percentages, prompting others to calculate savings</v>
      </c>
      <c r="U75" s="52">
        <f ca="1">IFERROR(__xludf.DUMMYFUNCTION("ArrayFormula(VLOOKUP(G75, IMPORTRANGE(""https://docs.google.com/spreadsheets/d/1p7R4vtkWt5VOBim4ltsDG9KTzSjrtKXsMtQGXPHyND0/edit#gid=795171502"", ""'Filter 30_05_2024'!A1:M2000""), {2, 3, 4, 5,6,7,8,9,10,11,12,13}, 0))"),4)</f>
        <v>4</v>
      </c>
      <c r="V75" s="52">
        <f ca="1">IFERROR(__xludf.DUMMYFUNCTION("""COMPUTED_VALUE"""),6)</f>
        <v>6</v>
      </c>
      <c r="W75" s="52">
        <f ca="1">IFERROR(__xludf.DUMMYFUNCTION("""COMPUTED_VALUE"""),2)</f>
        <v>2</v>
      </c>
      <c r="X75" s="52">
        <f ca="1">IFERROR(__xludf.DUMMYFUNCTION("""COMPUTED_VALUE"""),12)</f>
        <v>12</v>
      </c>
      <c r="Y75" s="52">
        <f ca="1">IFERROR(__xludf.DUMMYFUNCTION("""COMPUTED_VALUE"""),4)</f>
        <v>4</v>
      </c>
      <c r="Z75" s="53">
        <f ca="1">IFERROR(__xludf.DUMMYFUNCTION("""COMPUTED_VALUE"""),3)</f>
        <v>3</v>
      </c>
      <c r="AA75" s="53">
        <f ca="1">IFERROR(__xludf.DUMMYFUNCTION("""COMPUTED_VALUE"""),1)</f>
        <v>1</v>
      </c>
      <c r="AB75" s="53">
        <f ca="1">IFERROR(__xludf.DUMMYFUNCTION("""COMPUTED_VALUE"""),8)</f>
        <v>8</v>
      </c>
      <c r="AC75" s="53"/>
      <c r="AD75" s="53"/>
      <c r="AE75" s="53"/>
      <c r="AF75" s="53"/>
      <c r="AG75" s="8" t="str">
        <f ca="1">IFERROR(__xludf.DUMMYFUNCTION("ArrayFormula(VLOOKUP(G75, IMPORTRANGE(""https://docs.google.com/spreadsheets/d/1Co934fvtviyaRiMsrIlT05Jaq7iiYq07aLvRr35KA48/edit?gid=173865642#gid=173865642"", ""'G8_Maths_Pri_LU'!G2:V2000""), {3, 4, 5, 6, 7, 8, 9, 10, 11, 12, 13, 14, 15, 16}, 0))"),"LU000677")</f>
        <v>LU000677</v>
      </c>
      <c r="AH75" s="8" t="str">
        <f ca="1">IFERROR(__xludf.DUMMYFUNCTION("""COMPUTED_VALUE"""),"Definition of discount")</f>
        <v>Definition of discount</v>
      </c>
      <c r="AI75" s="8" t="str">
        <f ca="1">IFERROR(__xludf.DUMMYFUNCTION("""COMPUTED_VALUE"""),"LU000444")</f>
        <v>LU000444</v>
      </c>
      <c r="AJ75" s="8" t="str">
        <f ca="1">IFERROR(__xludf.DUMMYFUNCTION("""COMPUTED_VALUE"""),"Definition of percentage")</f>
        <v>Definition of percentage</v>
      </c>
      <c r="AK75" s="8" t="str">
        <f ca="1">IFERROR(__xludf.DUMMYFUNCTION("""COMPUTED_VALUE"""),"LU000678")</f>
        <v>LU000678</v>
      </c>
      <c r="AL75" s="8" t="str">
        <f ca="1">IFERROR(__xludf.DUMMYFUNCTION("""COMPUTED_VALUE"""),"Definition of marked/list price")</f>
        <v>Definition of marked/list price</v>
      </c>
      <c r="AM75" s="8"/>
      <c r="AN75" s="8"/>
      <c r="AO75" s="8"/>
      <c r="AP75" s="8"/>
      <c r="AQ75" s="8"/>
      <c r="AR75" s="8"/>
      <c r="AS75" s="8"/>
      <c r="AT75" s="8"/>
      <c r="AU75" s="8"/>
      <c r="AV75" s="8"/>
      <c r="AW75" s="8"/>
      <c r="AX75" s="8"/>
      <c r="AY75" s="8"/>
      <c r="AZ75" s="8"/>
      <c r="BA75" s="8"/>
      <c r="BB75" s="8"/>
      <c r="BC75" s="8"/>
      <c r="BD75" s="8"/>
      <c r="BE75" s="8"/>
    </row>
    <row r="76" spans="1:57">
      <c r="A76" s="8" t="s">
        <v>247</v>
      </c>
      <c r="B76" s="8" t="s">
        <v>47</v>
      </c>
      <c r="C76" s="8" t="s">
        <v>731</v>
      </c>
      <c r="D76" s="8" t="s">
        <v>732</v>
      </c>
      <c r="E76" s="8" t="s">
        <v>534</v>
      </c>
      <c r="F76" s="58" t="s">
        <v>846</v>
      </c>
      <c r="G76" s="8" t="s">
        <v>848</v>
      </c>
      <c r="H76" s="8" t="str">
        <f ca="1">IFERROR(__xludf.DUMMYFUNCTION("VLOOKUP(G76, IMPORTRANGE(""https://docs.google.com/spreadsheets/d/14deopnvwcrKtEGCKuYXdUHJbeLDZlkiSSWWT0g7x2pM/edit#gid=999382323"", ""LU List Maths (Filter)!A:B""), 2, FALSE)"),"Estimation in percentages")</f>
        <v>Estimation in percentages</v>
      </c>
      <c r="I76" s="10" t="str">
        <f t="shared" si="0"/>
        <v>LU000680.001</v>
      </c>
      <c r="J76" s="10" t="str">
        <f ca="1">IFERROR(__xludf.DUMMYFUNCTION("VLOOKUP(I76, IMPORTRANGE(""https://docs.google.com/spreadsheets/d/1yDAaXNsi4Mr5FtRQL4tbmSdIzhx6_m4wkOD7IG-k_eo/edit#gid=0"", ""Maths!M:N""), 2, FALSE)"),"Memorize the steps involved in estimating percentages.")</f>
        <v>Memorize the steps involved in estimating percentages.</v>
      </c>
      <c r="K76" s="10" t="str">
        <f t="shared" si="1"/>
        <v>LU000680.002</v>
      </c>
      <c r="L76" s="10" t="str">
        <f ca="1">IFERROR(__xludf.DUMMYFUNCTION("VLOOKUP(K76, IMPORTRANGE(""https://docs.google.com/spreadsheets/d/1yDAaXNsi4Mr5FtRQL4tbmSdIzhx6_m4wkOD7IG-k_eo/edit#gid=0"", ""Maths!M:N""), 2, FALSE)"),"Summarize the process of estimating percentages in given scenarios.")</f>
        <v>Summarize the process of estimating percentages in given scenarios.</v>
      </c>
      <c r="M76" s="10" t="str">
        <f t="shared" si="2"/>
        <v>LU000680.003</v>
      </c>
      <c r="N76" s="10" t="str">
        <f ca="1">IFERROR(__xludf.DUMMYFUNCTION("VLOOKUP(M76, IMPORTRANGE(""https://docs.google.com/spreadsheets/d/1yDAaXNsi4Mr5FtRQL4tbmSdIzhx6_m4wkOD7IG-k_eo/edit#gid=0"", ""Maths!M:N""), 2, FALSE)"),"Apply estimation techniques to calculate percentages in real-life situations, such as finding the percentage of a quantity in shopping discounts or school grades.")</f>
        <v>Apply estimation techniques to calculate percentages in real-life situations, such as finding the percentage of a quantity in shopping discounts or school grades.</v>
      </c>
      <c r="O76" s="10" t="str">
        <f t="shared" si="3"/>
        <v>LU000680.004</v>
      </c>
      <c r="P76" s="10" t="str">
        <f ca="1">IFERROR(__xludf.DUMMYFUNCTION("VLOOKUP(O76, IMPORTRANGE(""https://docs.google.com/spreadsheets/d/1yDAaXNsi4Mr5FtRQL4tbmSdIzhx6_m4wkOD7IG-k_eo/edit#gid=0"", ""Maths!M:N""), 2, FALSE)"),"Analyze word problems and identify when estimation is more appropriate than exact calculation.")</f>
        <v>Analyze word problems and identify when estimation is more appropriate than exact calculation.</v>
      </c>
      <c r="Q76" s="10" t="str">
        <f t="shared" si="4"/>
        <v>LU000680.005</v>
      </c>
      <c r="R76" s="10" t="str">
        <f ca="1">IFERROR(__xludf.DUMMYFUNCTION("VLOOKUP(Q76, IMPORTRANGE(""https://docs.google.com/spreadsheets/d/1yDAaXNsi4Mr5FtRQL4tbmSdIzhx6_m4wkOD7IG-k_eo/edit#gid=0"", ""Maths!M:N""), 2, FALSE)"),"Judge the effectiveness of different estimation strategies in various scenarios.")</f>
        <v>Judge the effectiveness of different estimation strategies in various scenarios.</v>
      </c>
      <c r="S76" s="10" t="str">
        <f t="shared" si="5"/>
        <v>LU000680.006</v>
      </c>
      <c r="T76" s="10" t="str">
        <f ca="1">IFERROR(__xludf.DUMMYFUNCTION("VLOOKUP(S76, IMPORTRANGE(""https://docs.google.com/spreadsheets/d/1yDAaXNsi4Mr5FtRQL4tbmSdIzhx6_m4wkOD7IG-k_eo/edit#gid=0"", ""Maths!M:N""), 2, FALSE)"),"Design real-world problems that can be solved using percentage estimations.")</f>
        <v>Design real-world problems that can be solved using percentage estimations.</v>
      </c>
      <c r="U76" s="52">
        <f ca="1">IFERROR(__xludf.DUMMYFUNCTION("ArrayFormula(VLOOKUP(G76, IMPORTRANGE(""https://docs.google.com/spreadsheets/d/1p7R4vtkWt5VOBim4ltsDG9KTzSjrtKXsMtQGXPHyND0/edit#gid=795171502"", ""'Filter 30_05_2024'!A1:M2000""), {2, 3, 4, 5,6,7,8,9,10,11,12,13}, 0))"),4)</f>
        <v>4</v>
      </c>
      <c r="V76" s="52">
        <f ca="1">IFERROR(__xludf.DUMMYFUNCTION("""COMPUTED_VALUE"""),6)</f>
        <v>6</v>
      </c>
      <c r="W76" s="52">
        <f ca="1">IFERROR(__xludf.DUMMYFUNCTION("""COMPUTED_VALUE"""),2)</f>
        <v>2</v>
      </c>
      <c r="X76" s="52">
        <f ca="1">IFERROR(__xludf.DUMMYFUNCTION("""COMPUTED_VALUE"""),12)</f>
        <v>12</v>
      </c>
      <c r="Y76" s="52">
        <f ca="1">IFERROR(__xludf.DUMMYFUNCTION("""COMPUTED_VALUE"""),4)</f>
        <v>4</v>
      </c>
      <c r="Z76" s="53">
        <f ca="1">IFERROR(__xludf.DUMMYFUNCTION("""COMPUTED_VALUE"""),3)</f>
        <v>3</v>
      </c>
      <c r="AA76" s="53">
        <f ca="1">IFERROR(__xludf.DUMMYFUNCTION("""COMPUTED_VALUE"""),1)</f>
        <v>1</v>
      </c>
      <c r="AB76" s="53">
        <f ca="1">IFERROR(__xludf.DUMMYFUNCTION("""COMPUTED_VALUE"""),8)</f>
        <v>8</v>
      </c>
      <c r="AC76" s="53"/>
      <c r="AD76" s="53"/>
      <c r="AE76" s="53"/>
      <c r="AF76" s="53"/>
      <c r="AG76" s="8" t="str">
        <f ca="1">IFERROR(__xludf.DUMMYFUNCTION("ArrayFormula(VLOOKUP(G76, IMPORTRANGE(""https://docs.google.com/spreadsheets/d/1Co934fvtviyaRiMsrIlT05Jaq7iiYq07aLvRr35KA48/edit?gid=173865642#gid=173865642"", ""'G8_Maths_Pri_LU'!G2:V2000""), {3, 4, 5, 6, 7, 8, 9, 10, 11, 12, 13, 14, 15, 16}, 0))"),"LU000170")</f>
        <v>LU000170</v>
      </c>
      <c r="AH76" s="8" t="str">
        <f ca="1">IFERROR(__xludf.DUMMYFUNCTION("""COMPUTED_VALUE"""),"Estimate of decimal numbers to the nearest tenths/hundredths/thousandths place by rounding off")</f>
        <v>Estimate of decimal numbers to the nearest tenths/hundredths/thousandths place by rounding off</v>
      </c>
      <c r="AI76" s="8" t="str">
        <f ca="1">IFERROR(__xludf.DUMMYFUNCTION("""COMPUTED_VALUE"""),"LU000451")</f>
        <v>LU000451</v>
      </c>
      <c r="AJ76" s="8" t="str">
        <f ca="1">IFERROR(__xludf.DUMMYFUNCTION("""COMPUTED_VALUE"""),"Calculation of percentage of amount")</f>
        <v>Calculation of percentage of amount</v>
      </c>
      <c r="AK76" s="8" t="str">
        <f ca="1">IFERROR(__xludf.DUMMYFUNCTION("""COMPUTED_VALUE"""),"LU000444")</f>
        <v>LU000444</v>
      </c>
      <c r="AL76" s="8" t="str">
        <f ca="1">IFERROR(__xludf.DUMMYFUNCTION("""COMPUTED_VALUE"""),"Definition of percentage")</f>
        <v>Definition of percentage</v>
      </c>
      <c r="AM76" s="8"/>
      <c r="AN76" s="8"/>
      <c r="AO76" s="8"/>
      <c r="AP76" s="8"/>
      <c r="AQ76" s="8"/>
      <c r="AR76" s="8"/>
      <c r="AS76" s="8"/>
      <c r="AT76" s="8"/>
      <c r="AU76" s="8"/>
      <c r="AV76" s="8"/>
      <c r="AW76" s="8"/>
      <c r="AX76" s="8"/>
      <c r="AY76" s="8"/>
      <c r="AZ76" s="8"/>
      <c r="BA76" s="8"/>
      <c r="BB76" s="8"/>
      <c r="BC76" s="8"/>
      <c r="BD76" s="8"/>
      <c r="BE76" s="8"/>
    </row>
    <row r="77" spans="1:57">
      <c r="A77" s="8" t="s">
        <v>247</v>
      </c>
      <c r="B77" s="8" t="s">
        <v>47</v>
      </c>
      <c r="C77" s="8" t="s">
        <v>731</v>
      </c>
      <c r="D77" s="8" t="s">
        <v>732</v>
      </c>
      <c r="E77" s="8" t="s">
        <v>534</v>
      </c>
      <c r="F77" s="54" t="s">
        <v>849</v>
      </c>
      <c r="G77" s="8" t="s">
        <v>850</v>
      </c>
      <c r="H77" s="8" t="str">
        <f ca="1">IFERROR(__xludf.DUMMYFUNCTION("VLOOKUP(G77, IMPORTRANGE(""https://docs.google.com/spreadsheets/d/14deopnvwcrKtEGCKuYXdUHJbeLDZlkiSSWWT0g7x2pM/edit#gid=999382323"", ""LU List Maths (Filter)!A:B""), 2, FALSE)"),"Contextual problems relating to combination of marked price, rate of discount, profit, loss, cost price and selling price")</f>
        <v>Contextual problems relating to combination of marked price, rate of discount, profit, loss, cost price and selling price</v>
      </c>
      <c r="I77" s="10" t="str">
        <f t="shared" si="0"/>
        <v>LU000932.001</v>
      </c>
      <c r="J77" s="10" t="str">
        <f ca="1">IFERROR(__xludf.DUMMYFUNCTION("VLOOKUP(I77, IMPORTRANGE(""https://docs.google.com/spreadsheets/d/1yDAaXNsi4Mr5FtRQL4tbmSdIzhx6_m4wkOD7IG-k_eo/edit#gid=0"", ""Maths!M:N""), 2, FALSE)"),"Recall how to solve contextual problems involving marked price, rate of discount, profit, loss, cost price, and selling price combinations.")</f>
        <v>Recall how to solve contextual problems involving marked price, rate of discount, profit, loss, cost price, and selling price combinations.</v>
      </c>
      <c r="K77" s="10" t="str">
        <f t="shared" si="1"/>
        <v>LU000932.002</v>
      </c>
      <c r="L77" s="10" t="str">
        <f ca="1">IFERROR(__xludf.DUMMYFUNCTION("VLOOKUP(K77, IMPORTRANGE(""https://docs.google.com/spreadsheets/d/1yDAaXNsi4Mr5FtRQL4tbmSdIzhx6_m4wkOD7IG-k_eo/edit#gid=0"", ""Maths!M:N""), 2, FALSE)"),"Explain the relationship between marked price, rate of discount, and the resulting selling price.")</f>
        <v>Explain the relationship between marked price, rate of discount, and the resulting selling price.</v>
      </c>
      <c r="M77" s="10" t="str">
        <f t="shared" si="2"/>
        <v>LU000932.003</v>
      </c>
      <c r="N77" s="10" t="str">
        <f ca="1">IFERROR(__xludf.DUMMYFUNCTION("VLOOKUP(M77, IMPORTRANGE(""https://docs.google.com/spreadsheets/d/1yDAaXNsi4Mr5FtRQL4tbmSdIzhx6_m4wkOD7IG-k_eo/edit#gid=0"", ""Maths!M:N""), 2, FALSE)"),"Apply the formulas for calculating the marked price, rate of discount, profit, and cost price to solve problems.")</f>
        <v>Apply the formulas for calculating the marked price, rate of discount, profit, and cost price to solve problems.</v>
      </c>
      <c r="O77" s="10" t="str">
        <f t="shared" si="3"/>
        <v>LU000932.004</v>
      </c>
      <c r="P77" s="10" t="str">
        <f ca="1">IFERROR(__xludf.DUMMYFUNCTION("VLOOKUP(O77, IMPORTRANGE(""https://docs.google.com/spreadsheets/d/1yDAaXNsi4Mr5FtRQL4tbmSdIzhx6_m4wkOD7IG-k_eo/edit#gid=0"", ""Maths!M:N""), 2, FALSE)"),"Examine contextual problems integrating marked price, discount rate, profit, loss, cost price, and selling price to discern patterns and optimize decision-making.")</f>
        <v>Examine contextual problems integrating marked price, discount rate, profit, loss, cost price, and selling price to discern patterns and optimize decision-making.</v>
      </c>
      <c r="Q77" s="10" t="str">
        <f t="shared" si="4"/>
        <v>LU000932.005</v>
      </c>
      <c r="R77" s="10" t="str">
        <f ca="1">IFERROR(__xludf.DUMMYFUNCTION("VLOOKUP(Q77, IMPORTRANGE(""https://docs.google.com/spreadsheets/d/1yDAaXNsi4Mr5FtRQL4tbmSdIzhx6_m4wkOD7IG-k_eo/edit#gid=0"", ""Maths!M:N""), 2, FALSE)"),"Evaluate the efficiency of using various methods to determine the marked price, cost price, rate of discount, profit in different problem contexts.")</f>
        <v>Evaluate the efficiency of using various methods to determine the marked price, cost price, rate of discount, profit in different problem contexts.</v>
      </c>
      <c r="S77" s="10" t="str">
        <f t="shared" si="5"/>
        <v>LU000932.006</v>
      </c>
      <c r="T77" s="10" t="str">
        <f ca="1">IFERROR(__xludf.DUMMYFUNCTION("VLOOKUP(S77, IMPORTRANGE(""https://docs.google.com/spreadsheets/d/1yDAaXNsi4Mr5FtRQL4tbmSdIzhx6_m4wkOD7IG-k_eo/edit#gid=0"", ""Maths!M:N""), 2, FALSE)"),"Develop a set of original problems that involve determining marked price, calculating the rate of discount, linking it with profit, and finding the cost price.")</f>
        <v>Develop a set of original problems that involve determining marked price, calculating the rate of discount, linking it with profit, and finding the cost price.</v>
      </c>
      <c r="U77" s="52">
        <f ca="1">IFERROR(__xludf.DUMMYFUNCTION("ArrayFormula(VLOOKUP(G77, IMPORTRANGE(""https://docs.google.com/spreadsheets/d/1p7R4vtkWt5VOBim4ltsDG9KTzSjrtKXsMtQGXPHyND0/edit#gid=795171502"", ""'Filter 30_05_2024'!A1:M2000""), {2, 3, 4, 5,6,7,8,9,10,11,12,13}, 0))"),4)</f>
        <v>4</v>
      </c>
      <c r="V77" s="52">
        <f ca="1">IFERROR(__xludf.DUMMYFUNCTION("""COMPUTED_VALUE"""),6)</f>
        <v>6</v>
      </c>
      <c r="W77" s="52">
        <f ca="1">IFERROR(__xludf.DUMMYFUNCTION("""COMPUTED_VALUE"""),2)</f>
        <v>2</v>
      </c>
      <c r="X77" s="52">
        <f ca="1">IFERROR(__xludf.DUMMYFUNCTION("""COMPUTED_VALUE"""),12)</f>
        <v>12</v>
      </c>
      <c r="Y77" s="52">
        <f ca="1">IFERROR(__xludf.DUMMYFUNCTION("""COMPUTED_VALUE"""),4)</f>
        <v>4</v>
      </c>
      <c r="Z77" s="53">
        <f ca="1">IFERROR(__xludf.DUMMYFUNCTION("""COMPUTED_VALUE"""),4)</f>
        <v>4</v>
      </c>
      <c r="AA77" s="53">
        <f ca="1">IFERROR(__xludf.DUMMYFUNCTION("""COMPUTED_VALUE"""),1)</f>
        <v>1</v>
      </c>
      <c r="AB77" s="53">
        <f ca="1">IFERROR(__xludf.DUMMYFUNCTION("""COMPUTED_VALUE"""),9)</f>
        <v>9</v>
      </c>
      <c r="AC77" s="53"/>
      <c r="AD77" s="53"/>
      <c r="AE77" s="53"/>
      <c r="AF77" s="53"/>
      <c r="AG77" s="8" t="str">
        <f ca="1">IFERROR(__xludf.DUMMYFUNCTION("ArrayFormula(VLOOKUP(G77, IMPORTRANGE(""https://docs.google.com/spreadsheets/d/1Co934fvtviyaRiMsrIlT05Jaq7iiYq07aLvRr35KA48/edit?gid=173865642#gid=173865642"", ""'G8_Maths_Pri_LU'!G2:V2000""), {3, 4, 5, 6, 7, 8, 9, 10, 11, 12, 13, 14, 15, 16}, 0))"),"LU000693")</f>
        <v>LU000693</v>
      </c>
      <c r="AH77" s="8" t="str">
        <f ca="1">IFERROR(__xludf.DUMMYFUNCTION("""COMPUTED_VALUE"""),"Calculation of discount percent")</f>
        <v>Calculation of discount percent</v>
      </c>
      <c r="AI77" s="8" t="str">
        <f ca="1">IFERROR(__xludf.DUMMYFUNCTION("""COMPUTED_VALUE"""),"LU000458")</f>
        <v>LU000458</v>
      </c>
      <c r="AJ77" s="8" t="str">
        <f ca="1">IFERROR(__xludf.DUMMYFUNCTION("""COMPUTED_VALUE"""),"Calculation of profit as percentage")</f>
        <v>Calculation of profit as percentage</v>
      </c>
      <c r="AK77" s="8" t="str">
        <f ca="1">IFERROR(__xludf.DUMMYFUNCTION("""COMPUTED_VALUE"""),"LU000459")</f>
        <v>LU000459</v>
      </c>
      <c r="AL77" s="8" t="str">
        <f ca="1">IFERROR(__xludf.DUMMYFUNCTION("""COMPUTED_VALUE"""),"Calculation of loss as percentage")</f>
        <v>Calculation of loss as percentage</v>
      </c>
      <c r="AM77" s="8"/>
      <c r="AN77" s="8"/>
      <c r="AO77" s="8"/>
      <c r="AP77" s="8"/>
      <c r="AQ77" s="8"/>
      <c r="AR77" s="8"/>
      <c r="AS77" s="8"/>
      <c r="AT77" s="8"/>
      <c r="AU77" s="8"/>
      <c r="AV77" s="8"/>
      <c r="AW77" s="8"/>
      <c r="AX77" s="8"/>
      <c r="AY77" s="8"/>
      <c r="AZ77" s="8"/>
      <c r="BA77" s="8"/>
      <c r="BB77" s="8"/>
      <c r="BC77" s="8"/>
      <c r="BD77" s="8"/>
      <c r="BE77" s="8"/>
    </row>
    <row r="78" spans="1:57">
      <c r="A78" s="8" t="s">
        <v>247</v>
      </c>
      <c r="B78" s="8" t="s">
        <v>47</v>
      </c>
      <c r="C78" s="8" t="s">
        <v>731</v>
      </c>
      <c r="D78" s="8" t="s">
        <v>732</v>
      </c>
      <c r="E78" s="8" t="s">
        <v>534</v>
      </c>
      <c r="F78" s="54" t="s">
        <v>851</v>
      </c>
      <c r="G78" s="8" t="s">
        <v>852</v>
      </c>
      <c r="H78" s="8" t="str">
        <f ca="1">IFERROR(__xludf.DUMMYFUNCTION("VLOOKUP(G78, IMPORTRANGE(""https://docs.google.com/spreadsheets/d/14deopnvwcrKtEGCKuYXdUHJbeLDZlkiSSWWT0g7x2pM/edit#gid=999382323"", ""LU List Maths (Filter)!A:B""), 2, FALSE)"),"Definition of overhead charges")</f>
        <v>Definition of overhead charges</v>
      </c>
      <c r="I78" s="10" t="str">
        <f t="shared" si="0"/>
        <v>LU000681.001</v>
      </c>
      <c r="J78" s="10" t="str">
        <f ca="1">IFERROR(__xludf.DUMMYFUNCTION("VLOOKUP(I78, IMPORTRANGE(""https://docs.google.com/spreadsheets/d/1yDAaXNsi4Mr5FtRQL4tbmSdIzhx6_m4wkOD7IG-k_eo/edit#gid=0"", ""Maths!M:N""), 2, FALSE)"),"State that overhead charges are additional costs or expenses incurred by a business beyond direct production costs.")</f>
        <v>State that overhead charges are additional costs or expenses incurred by a business beyond direct production costs.</v>
      </c>
      <c r="K78" s="10" t="str">
        <f t="shared" si="1"/>
        <v>LU000681.002</v>
      </c>
      <c r="L78" s="10" t="str">
        <f ca="1">IFERROR(__xludf.DUMMYFUNCTION("VLOOKUP(K78, IMPORTRANGE(""https://docs.google.com/spreadsheets/d/1yDAaXNsi4Mr5FtRQL4tbmSdIzhx6_m4wkOD7IG-k_eo/edit#gid=0"", ""Maths!M:N""), 2, FALSE)"),"Understand the purpose and significance of overhead charges in business operations")</f>
        <v>Understand the purpose and significance of overhead charges in business operations</v>
      </c>
      <c r="M78" s="10" t="str">
        <f t="shared" si="2"/>
        <v>LU000681.003</v>
      </c>
      <c r="N78" s="10" t="str">
        <f ca="1">IFERROR(__xludf.DUMMYFUNCTION("VLOOKUP(M78, IMPORTRANGE(""https://docs.google.com/spreadsheets/d/1yDAaXNsi4Mr5FtRQL4tbmSdIzhx6_m4wkOD7IG-k_eo/edit#gid=0"", ""Maths!M:N""), 2, FALSE)"),"Apply knowledge of overhead charges to identify different types of overhead expenses")</f>
        <v>Apply knowledge of overhead charges to identify different types of overhead expenses</v>
      </c>
      <c r="O78" s="10" t="str">
        <f t="shared" si="3"/>
        <v>LU000681.004</v>
      </c>
      <c r="P78" s="10" t="str">
        <f ca="1">IFERROR(__xludf.DUMMYFUNCTION("VLOOKUP(O78, IMPORTRANGE(""https://docs.google.com/spreadsheets/d/1yDAaXNsi4Mr5FtRQL4tbmSdIzhx6_m4wkOD7IG-k_eo/edit#gid=0"", ""Maths!M:N""), 2, FALSE)"),"Analyze the impact of overhead charges on a company's financial statements and cost structures.")</f>
        <v>Analyze the impact of overhead charges on a company's financial statements and cost structures.</v>
      </c>
      <c r="Q78" s="10" t="str">
        <f t="shared" si="4"/>
        <v>LU000681.005</v>
      </c>
      <c r="R78" s="10" t="str">
        <f ca="1">IFERROR(__xludf.DUMMYFUNCTION("VLOOKUP(Q78, IMPORTRANGE(""https://docs.google.com/spreadsheets/d/1yDAaXNsi4Mr5FtRQL4tbmSdIzhx6_m4wkOD7IG-k_eo/edit#gid=0"", ""Maths!M:N""), 2, FALSE)"),"Evaluate the effectiveness of controlling overhead charges in optimizing business costs and profitability")</f>
        <v>Evaluate the effectiveness of controlling overhead charges in optimizing business costs and profitability</v>
      </c>
      <c r="S78" s="10" t="str">
        <f t="shared" si="5"/>
        <v>LU000681.006</v>
      </c>
      <c r="T78" s="10" t="str">
        <f ca="1">IFERROR(__xludf.DUMMYFUNCTION("VLOOKUP(S78, IMPORTRANGE(""https://docs.google.com/spreadsheets/d/1yDAaXNsi4Mr5FtRQL4tbmSdIzhx6_m4wkOD7IG-k_eo/edit#gid=0"", ""Maths!M:N""), 2, FALSE)"),"Create examples of overhead charges for different businesses and industries, and discuss strategies to manage or minimize them.")</f>
        <v>Create examples of overhead charges for different businesses and industries, and discuss strategies to manage or minimize them.</v>
      </c>
      <c r="U78" s="52">
        <f ca="1">IFERROR(__xludf.DUMMYFUNCTION("ArrayFormula(VLOOKUP(G78, IMPORTRANGE(""https://docs.google.com/spreadsheets/d/1p7R4vtkWt5VOBim4ltsDG9KTzSjrtKXsMtQGXPHyND0/edit#gid=795171502"", ""'Filter 30_05_2024'!A1:M2000""), {2, 3, 4, 5,6,7,8,9,10,11,12,13}, 0))"),4)</f>
        <v>4</v>
      </c>
      <c r="V78" s="52">
        <f ca="1">IFERROR(__xludf.DUMMYFUNCTION("""COMPUTED_VALUE"""),6)</f>
        <v>6</v>
      </c>
      <c r="W78" s="52">
        <f ca="1">IFERROR(__xludf.DUMMYFUNCTION("""COMPUTED_VALUE"""),2)</f>
        <v>2</v>
      </c>
      <c r="X78" s="52">
        <f ca="1">IFERROR(__xludf.DUMMYFUNCTION("""COMPUTED_VALUE"""),12)</f>
        <v>12</v>
      </c>
      <c r="Y78" s="52">
        <f ca="1">IFERROR(__xludf.DUMMYFUNCTION("""COMPUTED_VALUE"""),4)</f>
        <v>4</v>
      </c>
      <c r="Z78" s="53">
        <f ca="1">IFERROR(__xludf.DUMMYFUNCTION("""COMPUTED_VALUE"""),3)</f>
        <v>3</v>
      </c>
      <c r="AA78" s="53">
        <f ca="1">IFERROR(__xludf.DUMMYFUNCTION("""COMPUTED_VALUE"""),1)</f>
        <v>1</v>
      </c>
      <c r="AB78" s="53">
        <f ca="1">IFERROR(__xludf.DUMMYFUNCTION("""COMPUTED_VALUE"""),8)</f>
        <v>8</v>
      </c>
      <c r="AC78" s="53"/>
      <c r="AD78" s="53"/>
      <c r="AE78" s="53"/>
      <c r="AF78" s="53"/>
      <c r="AG78" s="8" t="str">
        <f ca="1">IFERROR(__xludf.DUMMYFUNCTION("ArrayFormula(VLOOKUP(G78, IMPORTRANGE(""https://docs.google.com/spreadsheets/d/1Co934fvtviyaRiMsrIlT05Jaq7iiYq07aLvRr35KA48/edit?gid=173865642#gid=173865642"", ""'G8_Maths_Pri_LU'!G2:V2000""), {3, 4, 5, 6, 7, 8, 9, 10, 11, 12, 13, 14, 15, 16}, 0))"),"")</f>
        <v/>
      </c>
      <c r="AH78" s="8"/>
      <c r="AI78" s="8"/>
      <c r="AJ78" s="8"/>
      <c r="AK78" s="8"/>
      <c r="AL78" s="8"/>
      <c r="AM78" s="8"/>
      <c r="AN78" s="8"/>
      <c r="AO78" s="8"/>
      <c r="AP78" s="8"/>
      <c r="AQ78" s="8"/>
      <c r="AR78" s="8"/>
      <c r="AS78" s="8"/>
      <c r="AT78" s="8"/>
      <c r="AU78" s="8"/>
      <c r="AV78" s="8"/>
      <c r="AW78" s="8"/>
      <c r="AX78" s="8"/>
      <c r="AY78" s="8"/>
      <c r="AZ78" s="8"/>
      <c r="BA78" s="8"/>
      <c r="BB78" s="8"/>
      <c r="BC78" s="8"/>
      <c r="BD78" s="8"/>
      <c r="BE78" s="8"/>
    </row>
    <row r="79" spans="1:57">
      <c r="A79" s="8" t="s">
        <v>247</v>
      </c>
      <c r="B79" s="8" t="s">
        <v>47</v>
      </c>
      <c r="C79" s="8" t="s">
        <v>731</v>
      </c>
      <c r="D79" s="8" t="s">
        <v>732</v>
      </c>
      <c r="E79" s="8" t="s">
        <v>534</v>
      </c>
      <c r="F79" s="54" t="s">
        <v>851</v>
      </c>
      <c r="G79" s="8" t="s">
        <v>853</v>
      </c>
      <c r="H79" s="8" t="str">
        <f ca="1">IFERROR(__xludf.DUMMYFUNCTION("VLOOKUP(G79, IMPORTRANGE(""https://docs.google.com/spreadsheets/d/14deopnvwcrKtEGCKuYXdUHJbeLDZlkiSSWWT0g7x2pM/edit#gid=999382323"", ""LU List Maths (Filter)!A:B""), 2, FALSE)"),"Definition of sales tax")</f>
        <v>Definition of sales tax</v>
      </c>
      <c r="I79" s="10" t="str">
        <f t="shared" si="0"/>
        <v>LU000682.001</v>
      </c>
      <c r="J79" s="10" t="str">
        <f ca="1">IFERROR(__xludf.DUMMYFUNCTION("VLOOKUP(I79, IMPORTRANGE(""https://docs.google.com/spreadsheets/d/1yDAaXNsi4Mr5FtRQL4tbmSdIzhx6_m4wkOD7IG-k_eo/edit#gid=0"", ""Maths!M:N""), 2, FALSE)"),"State that sales tax is an additional charge imposed by the government on the sale of goods and services.")</f>
        <v>State that sales tax is an additional charge imposed by the government on the sale of goods and services.</v>
      </c>
      <c r="K79" s="10" t="str">
        <f t="shared" si="1"/>
        <v>LU000682.002</v>
      </c>
      <c r="L79" s="10" t="str">
        <f ca="1">IFERROR(__xludf.DUMMYFUNCTION("VLOOKUP(K79, IMPORTRANGE(""https://docs.google.com/spreadsheets/d/1yDAaXNsi4Mr5FtRQL4tbmSdIzhx6_m4wkOD7IG-k_eo/edit#gid=0"", ""Maths!M:N""), 2, FALSE)"),"Understand the purpose of sales tax as a source of government revenue and how it affects the cost of goods and services for consumers.")</f>
        <v>Understand the purpose of sales tax as a source of government revenue and how it affects the cost of goods and services for consumers.</v>
      </c>
      <c r="M79" s="10" t="str">
        <f t="shared" si="2"/>
        <v>LU000682.003</v>
      </c>
      <c r="N79" s="10" t="str">
        <f ca="1">IFERROR(__xludf.DUMMYFUNCTION("VLOOKUP(M79, IMPORTRANGE(""https://docs.google.com/spreadsheets/d/1yDAaXNsi4Mr5FtRQL4tbmSdIzhx6_m4wkOD7IG-k_eo/edit#gid=0"", ""Maths!M:N""), 2, FALSE)"),"Apply knowledge of sales tax to calculate the total cost of items including tax, considering the tax rate and the original price.")</f>
        <v>Apply knowledge of sales tax to calculate the total cost of items including tax, considering the tax rate and the original price.</v>
      </c>
      <c r="O79" s="10" t="str">
        <f t="shared" si="3"/>
        <v>LU000682.004</v>
      </c>
      <c r="P79" s="10" t="str">
        <f ca="1">IFERROR(__xludf.DUMMYFUNCTION("VLOOKUP(O79, IMPORTRANGE(""https://docs.google.com/spreadsheets/d/1yDAaXNsi4Mr5FtRQL4tbmSdIzhx6_m4wkOD7IG-k_eo/edit#gid=0"", ""Maths!M:N""), 2, FALSE)"),"Analyze the impact of sales tax on consumer purchasing decisions and its role in government finances.")</f>
        <v>Analyze the impact of sales tax on consumer purchasing decisions and its role in government finances.</v>
      </c>
      <c r="Q79" s="10" t="str">
        <f t="shared" si="4"/>
        <v>LU000682.005</v>
      </c>
      <c r="R79" s="10" t="str">
        <f ca="1">IFERROR(__xludf.DUMMYFUNCTION("VLOOKUP(Q79, IMPORTRANGE(""https://docs.google.com/spreadsheets/d/1yDAaXNsi4Mr5FtRQL4tbmSdIzhx6_m4wkOD7IG-k_eo/edit#gid=0"", ""Maths!M:N""), 2, FALSE)"),"Evaluate the fairness and efficiency of sales tax systems")</f>
        <v>Evaluate the fairness and efficiency of sales tax systems</v>
      </c>
      <c r="S79" s="10" t="str">
        <f t="shared" si="5"/>
        <v>LU000682.006</v>
      </c>
      <c r="T79" s="10" t="str">
        <f ca="1">IFERROR(__xludf.DUMMYFUNCTION("VLOOKUP(S79, IMPORTRANGE(""https://docs.google.com/spreadsheets/d/1yDAaXNsi4Mr5FtRQL4tbmSdIzhx6_m4wkOD7IG-k_eo/edit#gid=0"", ""Maths!M:N""), 2, FALSE)"),"Create hypothetical scenarios involving sales tax (such as calculating the tax on different items or proposing changes to sales tax rates) to analyse its effects on pricing and government revenue.")</f>
        <v>Create hypothetical scenarios involving sales tax (such as calculating the tax on different items or proposing changes to sales tax rates) to analyse its effects on pricing and government revenue.</v>
      </c>
      <c r="U79" s="52">
        <f ca="1">IFERROR(__xludf.DUMMYFUNCTION("ArrayFormula(VLOOKUP(G79, IMPORTRANGE(""https://docs.google.com/spreadsheets/d/1p7R4vtkWt5VOBim4ltsDG9KTzSjrtKXsMtQGXPHyND0/edit#gid=795171502"", ""'Filter 30_05_2024'!A1:M2000""), {2, 3, 4, 5,6,7,8,9,10,11,12,13}, 0))"),4)</f>
        <v>4</v>
      </c>
      <c r="V79" s="52">
        <f ca="1">IFERROR(__xludf.DUMMYFUNCTION("""COMPUTED_VALUE"""),6)</f>
        <v>6</v>
      </c>
      <c r="W79" s="52">
        <f ca="1">IFERROR(__xludf.DUMMYFUNCTION("""COMPUTED_VALUE"""),2)</f>
        <v>2</v>
      </c>
      <c r="X79" s="52">
        <f ca="1">IFERROR(__xludf.DUMMYFUNCTION("""COMPUTED_VALUE"""),12)</f>
        <v>12</v>
      </c>
      <c r="Y79" s="52">
        <f ca="1">IFERROR(__xludf.DUMMYFUNCTION("""COMPUTED_VALUE"""),4)</f>
        <v>4</v>
      </c>
      <c r="Z79" s="53">
        <f ca="1">IFERROR(__xludf.DUMMYFUNCTION("""COMPUTED_VALUE"""),3)</f>
        <v>3</v>
      </c>
      <c r="AA79" s="53">
        <f ca="1">IFERROR(__xludf.DUMMYFUNCTION("""COMPUTED_VALUE"""),1)</f>
        <v>1</v>
      </c>
      <c r="AB79" s="53">
        <f ca="1">IFERROR(__xludf.DUMMYFUNCTION("""COMPUTED_VALUE"""),8)</f>
        <v>8</v>
      </c>
      <c r="AC79" s="53"/>
      <c r="AD79" s="53"/>
      <c r="AE79" s="53"/>
      <c r="AF79" s="53"/>
      <c r="AG79" s="8" t="str">
        <f ca="1">IFERROR(__xludf.DUMMYFUNCTION("ArrayFormula(VLOOKUP(G79, IMPORTRANGE(""https://docs.google.com/spreadsheets/d/1Co934fvtviyaRiMsrIlT05Jaq7iiYq07aLvRr35KA48/edit?gid=173865642#gid=173865642"", ""'G8_Maths_Pri_LU'!G2:V2000""), {3, 4, 5, 6, 7, 8, 9, 10, 11, 12, 13, 14, 15, 16}, 0))"),"LU000693")</f>
        <v>LU000693</v>
      </c>
      <c r="AH79" s="8" t="str">
        <f ca="1">IFERROR(__xludf.DUMMYFUNCTION("""COMPUTED_VALUE"""),"Calculation of discount percent")</f>
        <v>Calculation of discount percent</v>
      </c>
      <c r="AI79" s="8" t="str">
        <f ca="1">IFERROR(__xludf.DUMMYFUNCTION("""COMPUTED_VALUE"""),"LU000679")</f>
        <v>LU000679</v>
      </c>
      <c r="AJ79" s="8" t="str">
        <f ca="1">IFERROR(__xludf.DUMMYFUNCTION("""COMPUTED_VALUE"""),"Definition of sale price")</f>
        <v>Definition of sale price</v>
      </c>
      <c r="AK79" s="8" t="str">
        <f ca="1">IFERROR(__xludf.DUMMYFUNCTION("""COMPUTED_VALUE"""),"LU000678")</f>
        <v>LU000678</v>
      </c>
      <c r="AL79" s="8" t="str">
        <f ca="1">IFERROR(__xludf.DUMMYFUNCTION("""COMPUTED_VALUE"""),"Definition of marked/list price")</f>
        <v>Definition of marked/list price</v>
      </c>
      <c r="AM79" s="8"/>
      <c r="AN79" s="8"/>
      <c r="AO79" s="8"/>
      <c r="AP79" s="8"/>
      <c r="AQ79" s="8"/>
      <c r="AR79" s="8"/>
      <c r="AS79" s="8"/>
      <c r="AT79" s="8"/>
      <c r="AU79" s="8"/>
      <c r="AV79" s="8"/>
      <c r="AW79" s="8"/>
      <c r="AX79" s="8"/>
      <c r="AY79" s="8"/>
      <c r="AZ79" s="8"/>
      <c r="BA79" s="8"/>
      <c r="BB79" s="8"/>
      <c r="BC79" s="8"/>
      <c r="BD79" s="8"/>
      <c r="BE79" s="8"/>
    </row>
    <row r="80" spans="1:57">
      <c r="A80" s="8" t="s">
        <v>247</v>
      </c>
      <c r="B80" s="8" t="s">
        <v>47</v>
      </c>
      <c r="C80" s="8" t="s">
        <v>731</v>
      </c>
      <c r="D80" s="8" t="s">
        <v>732</v>
      </c>
      <c r="E80" s="8" t="s">
        <v>534</v>
      </c>
      <c r="F80" s="54" t="s">
        <v>854</v>
      </c>
      <c r="G80" s="8" t="s">
        <v>855</v>
      </c>
      <c r="H80" s="8" t="str">
        <f ca="1">IFERROR(__xludf.DUMMYFUNCTION("VLOOKUP(G80, IMPORTRANGE(""https://docs.google.com/spreadsheets/d/14deopnvwcrKtEGCKuYXdUHJbeLDZlkiSSWWT0g7x2pM/edit#gid=999382323"", ""LU List Maths (Filter)!A:B""), 2, FALSE)"),"Definition of value-added tax")</f>
        <v>Definition of value-added tax</v>
      </c>
      <c r="I80" s="10" t="str">
        <f t="shared" si="0"/>
        <v>LU000683.001</v>
      </c>
      <c r="J80" s="10" t="str">
        <f ca="1">IFERROR(__xludf.DUMMYFUNCTION("VLOOKUP(I80, IMPORTRANGE(""https://docs.google.com/spreadsheets/d/1yDAaXNsi4Mr5FtRQL4tbmSdIzhx6_m4wkOD7IG-k_eo/edit#gid=0"", ""Maths!M:N""), 2, FALSE)"),"State that value-added tax (VAT) is a consumption tax levied at each stage of the production and distribution of goods and services,")</f>
        <v>State that value-added tax (VAT) is a consumption tax levied at each stage of the production and distribution of goods and services,</v>
      </c>
      <c r="K80" s="10" t="str">
        <f t="shared" si="1"/>
        <v>LU000683.002</v>
      </c>
      <c r="L80" s="10" t="str">
        <f ca="1">IFERROR(__xludf.DUMMYFUNCTION("VLOOKUP(K80, IMPORTRANGE(""https://docs.google.com/spreadsheets/d/1yDAaXNsi4Mr5FtRQL4tbmSdIzhx6_m4wkOD7IG-k_eo/edit#gid=0"", ""Maths!M:N""), 2, FALSE)"),"Describe that VAT helps the government get money and is added to the price of things we buy.")</f>
        <v>Describe that VAT helps the government get money and is added to the price of things we buy.</v>
      </c>
      <c r="M80" s="10" t="str">
        <f t="shared" si="2"/>
        <v>LU000683.003</v>
      </c>
      <c r="N80" s="10" t="str">
        <f ca="1">IFERROR(__xludf.DUMMYFUNCTION("VLOOKUP(M80, IMPORTRANGE(""https://docs.google.com/spreadsheets/d/1yDAaXNsi4Mr5FtRQL4tbmSdIzhx6_m4wkOD7IG-k_eo/edit#gid=0"", ""Maths!M:N""), 2, FALSE)"),"Apply knowledge of VAT to calculate the total cost of items before VAT was added.")</f>
        <v>Apply knowledge of VAT to calculate the total cost of items before VAT was added.</v>
      </c>
      <c r="O80" s="10" t="str">
        <f t="shared" si="3"/>
        <v>LU000683.004</v>
      </c>
      <c r="P80" s="10" t="str">
        <f ca="1">IFERROR(__xludf.DUMMYFUNCTION("VLOOKUP(O80, IMPORTRANGE(""https://docs.google.com/spreadsheets/d/1yDAaXNsi4Mr5FtRQL4tbmSdIzhx6_m4wkOD7IG-k_eo/edit#gid=0"", ""Maths!M:N""), 2, FALSE)"),"Analyze the concept of VAT in a business context")</f>
        <v>Analyze the concept of VAT in a business context</v>
      </c>
      <c r="Q80" s="10" t="str">
        <f t="shared" si="4"/>
        <v>LU000683.005</v>
      </c>
      <c r="R80" s="10" t="str">
        <f ca="1">IFERROR(__xludf.DUMMYFUNCTION("VLOOKUP(Q80, IMPORTRANGE(""https://docs.google.com/spreadsheets/d/1yDAaXNsi4Mr5FtRQL4tbmSdIzhx6_m4wkOD7IG-k_eo/edit#gid=0"", ""Maths!M:N""), 2, FALSE)"),"Evaluate the advantages and disadvantages of VAT as a tax system")</f>
        <v>Evaluate the advantages and disadvantages of VAT as a tax system</v>
      </c>
      <c r="S80" s="10" t="str">
        <f t="shared" si="5"/>
        <v>LU000683.006</v>
      </c>
      <c r="T80" s="10" t="str">
        <f ca="1">IFERROR(__xludf.DUMMYFUNCTION("VLOOKUP(S80, IMPORTRANGE(""https://docs.google.com/spreadsheets/d/1yDAaXNsi4Mr5FtRQL4tbmSdIzhx6_m4wkOD7IG-k_eo/edit#gid=0"", ""Maths!M:N""), 2, FALSE)"),"Create scenarios involving VAT, such as calculating the VAT amount at different stages of a product's production and distribution")</f>
        <v>Create scenarios involving VAT, such as calculating the VAT amount at different stages of a product's production and distribution</v>
      </c>
      <c r="U80" s="52">
        <f ca="1">IFERROR(__xludf.DUMMYFUNCTION("ArrayFormula(VLOOKUP(G80, IMPORTRANGE(""https://docs.google.com/spreadsheets/d/1p7R4vtkWt5VOBim4ltsDG9KTzSjrtKXsMtQGXPHyND0/edit#gid=795171502"", ""'Filter 30_05_2024'!A1:M2000""), {2, 3, 4, 5,6,7,8,9,10,11,12,13}, 0))"),4)</f>
        <v>4</v>
      </c>
      <c r="V80" s="52">
        <f ca="1">IFERROR(__xludf.DUMMYFUNCTION("""COMPUTED_VALUE"""),6)</f>
        <v>6</v>
      </c>
      <c r="W80" s="52">
        <f ca="1">IFERROR(__xludf.DUMMYFUNCTION("""COMPUTED_VALUE"""),2)</f>
        <v>2</v>
      </c>
      <c r="X80" s="52">
        <f ca="1">IFERROR(__xludf.DUMMYFUNCTION("""COMPUTED_VALUE"""),12)</f>
        <v>12</v>
      </c>
      <c r="Y80" s="52">
        <f ca="1">IFERROR(__xludf.DUMMYFUNCTION("""COMPUTED_VALUE"""),4)</f>
        <v>4</v>
      </c>
      <c r="Z80" s="53">
        <f ca="1">IFERROR(__xludf.DUMMYFUNCTION("""COMPUTED_VALUE"""),3)</f>
        <v>3</v>
      </c>
      <c r="AA80" s="53">
        <f ca="1">IFERROR(__xludf.DUMMYFUNCTION("""COMPUTED_VALUE"""),1)</f>
        <v>1</v>
      </c>
      <c r="AB80" s="53">
        <f ca="1">IFERROR(__xludf.DUMMYFUNCTION("""COMPUTED_VALUE"""),8)</f>
        <v>8</v>
      </c>
      <c r="AC80" s="53"/>
      <c r="AD80" s="53"/>
      <c r="AE80" s="53"/>
      <c r="AF80" s="53"/>
      <c r="AG80" s="8" t="str">
        <f ca="1">IFERROR(__xludf.DUMMYFUNCTION("ArrayFormula(VLOOKUP(G80, IMPORTRANGE(""https://docs.google.com/spreadsheets/d/1Co934fvtviyaRiMsrIlT05Jaq7iiYq07aLvRr35KA48/edit?gid=173865642#gid=173865642"", ""'G8_Maths_Pri_LU'!G2:V2000""), {3, 4, 5, 6, 7, 8, 9, 10, 11, 12, 13, 14, 15, 16}, 0))"),"LU000693")</f>
        <v>LU000693</v>
      </c>
      <c r="AH80" s="8" t="str">
        <f ca="1">IFERROR(__xludf.DUMMYFUNCTION("""COMPUTED_VALUE"""),"Calculation of discount percent")</f>
        <v>Calculation of discount percent</v>
      </c>
      <c r="AI80" s="8" t="str">
        <f ca="1">IFERROR(__xludf.DUMMYFUNCTION("""COMPUTED_VALUE"""),"LU000682")</f>
        <v>LU000682</v>
      </c>
      <c r="AJ80" s="8" t="str">
        <f ca="1">IFERROR(__xludf.DUMMYFUNCTION("""COMPUTED_VALUE"""),"Definition of sales tax")</f>
        <v>Definition of sales tax</v>
      </c>
      <c r="AK80" s="8" t="str">
        <f ca="1">IFERROR(__xludf.DUMMYFUNCTION("""COMPUTED_VALUE"""),"LU000678")</f>
        <v>LU000678</v>
      </c>
      <c r="AL80" s="8" t="str">
        <f ca="1">IFERROR(__xludf.DUMMYFUNCTION("""COMPUTED_VALUE"""),"Definition of marked/list price")</f>
        <v>Definition of marked/list price</v>
      </c>
      <c r="AM80" s="8"/>
      <c r="AN80" s="8"/>
      <c r="AO80" s="8"/>
      <c r="AP80" s="8"/>
      <c r="AQ80" s="8"/>
      <c r="AR80" s="8"/>
      <c r="AS80" s="8"/>
      <c r="AT80" s="8"/>
      <c r="AU80" s="8"/>
      <c r="AV80" s="8"/>
      <c r="AW80" s="8"/>
      <c r="AX80" s="8"/>
      <c r="AY80" s="8"/>
      <c r="AZ80" s="8"/>
      <c r="BA80" s="8"/>
      <c r="BB80" s="8"/>
      <c r="BC80" s="8"/>
      <c r="BD80" s="8"/>
      <c r="BE80" s="8"/>
    </row>
    <row r="81" spans="1:57">
      <c r="A81" s="8" t="s">
        <v>247</v>
      </c>
      <c r="B81" s="8" t="s">
        <v>47</v>
      </c>
      <c r="C81" s="8" t="s">
        <v>731</v>
      </c>
      <c r="D81" s="8" t="s">
        <v>732</v>
      </c>
      <c r="E81" s="8" t="s">
        <v>534</v>
      </c>
      <c r="F81" s="54" t="s">
        <v>854</v>
      </c>
      <c r="G81" s="8" t="s">
        <v>856</v>
      </c>
      <c r="H81" s="8" t="str">
        <f ca="1">IFERROR(__xludf.DUMMYFUNCTION("VLOOKUP(G81, IMPORTRANGE(""https://docs.google.com/spreadsheets/d/14deopnvwcrKtEGCKuYXdUHJbeLDZlkiSSWWT0g7x2pM/edit#gid=999382323"", ""LU List Maths (Filter)!A:B""), 2, FALSE)"),"Definition of goods and services tax")</f>
        <v>Definition of goods and services tax</v>
      </c>
      <c r="I81" s="10" t="str">
        <f t="shared" si="0"/>
        <v>LU000684.001</v>
      </c>
      <c r="J81" s="10" t="str">
        <f ca="1">IFERROR(__xludf.DUMMYFUNCTION("VLOOKUP(I81, IMPORTRANGE(""https://docs.google.com/spreadsheets/d/1yDAaXNsi4Mr5FtRQL4tbmSdIzhx6_m4wkOD7IG-k_eo/edit#gid=0"", ""Maths!M:N""), 2, FALSE)"),"Define GST as a type of tax on the consumption of goods and services")</f>
        <v>Define GST as a type of tax on the consumption of goods and services</v>
      </c>
      <c r="K81" s="10" t="str">
        <f t="shared" si="1"/>
        <v>LU000684.002</v>
      </c>
      <c r="L81" s="10" t="str">
        <f ca="1">IFERROR(__xludf.DUMMYFUNCTION("VLOOKUP(K81, IMPORTRANGE(""https://docs.google.com/spreadsheets/d/1yDAaXNsi4Mr5FtRQL4tbmSdIzhx6_m4wkOD7IG-k_eo/edit#gid=0"", ""Maths!M:N""), 2, FALSE)"),"Understand the purpose and structure of GST as a tax system that replaces multiple indirect taxes")</f>
        <v>Understand the purpose and structure of GST as a tax system that replaces multiple indirect taxes</v>
      </c>
      <c r="M81" s="10" t="str">
        <f t="shared" si="2"/>
        <v>LU000684.003</v>
      </c>
      <c r="N81" s="10" t="str">
        <f ca="1">IFERROR(__xludf.DUMMYFUNCTION("VLOOKUP(M81, IMPORTRANGE(""https://docs.google.com/spreadsheets/d/1yDAaXNsi4Mr5FtRQL4tbmSdIzhx6_m4wkOD7IG-k_eo/edit#gid=0"", ""Maths!M:N""), 2, FALSE)"),"Apply knowledge of GST to calculate the total tax amount paid at various stages of production and distribution")</f>
        <v>Apply knowledge of GST to calculate the total tax amount paid at various stages of production and distribution</v>
      </c>
      <c r="O81" s="10" t="str">
        <f t="shared" si="3"/>
        <v>LU000684.004</v>
      </c>
      <c r="P81" s="10" t="str">
        <f ca="1">IFERROR(__xludf.DUMMYFUNCTION("VLOOKUP(O81, IMPORTRANGE(""https://docs.google.com/spreadsheets/d/1yDAaXNsi4Mr5FtRQL4tbmSdIzhx6_m4wkOD7IG-k_eo/edit#gid=0"", ""Maths!M:N""), 2, FALSE)"),"Analyze the concept of GST in a business context")</f>
        <v>Analyze the concept of GST in a business context</v>
      </c>
      <c r="Q81" s="10" t="str">
        <f t="shared" si="4"/>
        <v>LU000684.005</v>
      </c>
      <c r="R81" s="10" t="str">
        <f ca="1">IFERROR(__xludf.DUMMYFUNCTION("VLOOKUP(Q81, IMPORTRANGE(""https://docs.google.com/spreadsheets/d/1yDAaXNsi4Mr5FtRQL4tbmSdIzhx6_m4wkOD7IG-k_eo/edit#gid=0"", ""Maths!M:N""), 2, FALSE)"),"Evaluate the advantages and disadvantages of GST as a tax system")</f>
        <v>Evaluate the advantages and disadvantages of GST as a tax system</v>
      </c>
      <c r="S81" s="10" t="str">
        <f t="shared" si="5"/>
        <v>LU000684.006</v>
      </c>
      <c r="T81" s="10" t="str">
        <f ca="1">IFERROR(__xludf.DUMMYFUNCTION("VLOOKUP(S81, IMPORTRANGE(""https://docs.google.com/spreadsheets/d/1yDAaXNsi4Mr5FtRQL4tbmSdIzhx6_m4wkOD7IG-k_eo/edit#gid=0"", ""Maths!M:N""), 2, FALSE)"),"Create hypothetical scenarios involving GST, such as calculating tax amounts for different goods and services, or proposing changes to GST rates")</f>
        <v>Create hypothetical scenarios involving GST, such as calculating tax amounts for different goods and services, or proposing changes to GST rates</v>
      </c>
      <c r="U81" s="52">
        <f ca="1">IFERROR(__xludf.DUMMYFUNCTION("ArrayFormula(VLOOKUP(G81, IMPORTRANGE(""https://docs.google.com/spreadsheets/d/1p7R4vtkWt5VOBim4ltsDG9KTzSjrtKXsMtQGXPHyND0/edit#gid=795171502"", ""'Filter 30_05_2024'!A1:M2000""), {2, 3, 4, 5,6,7,8,9,10,11,12,13}, 0))"),4)</f>
        <v>4</v>
      </c>
      <c r="V81" s="52">
        <f ca="1">IFERROR(__xludf.DUMMYFUNCTION("""COMPUTED_VALUE"""),6)</f>
        <v>6</v>
      </c>
      <c r="W81" s="52">
        <f ca="1">IFERROR(__xludf.DUMMYFUNCTION("""COMPUTED_VALUE"""),2)</f>
        <v>2</v>
      </c>
      <c r="X81" s="52">
        <f ca="1">IFERROR(__xludf.DUMMYFUNCTION("""COMPUTED_VALUE"""),12)</f>
        <v>12</v>
      </c>
      <c r="Y81" s="52">
        <f ca="1">IFERROR(__xludf.DUMMYFUNCTION("""COMPUTED_VALUE"""),4)</f>
        <v>4</v>
      </c>
      <c r="Z81" s="53">
        <f ca="1">IFERROR(__xludf.DUMMYFUNCTION("""COMPUTED_VALUE"""),3)</f>
        <v>3</v>
      </c>
      <c r="AA81" s="53">
        <f ca="1">IFERROR(__xludf.DUMMYFUNCTION("""COMPUTED_VALUE"""),1)</f>
        <v>1</v>
      </c>
      <c r="AB81" s="53">
        <f ca="1">IFERROR(__xludf.DUMMYFUNCTION("""COMPUTED_VALUE"""),8)</f>
        <v>8</v>
      </c>
      <c r="AC81" s="53"/>
      <c r="AD81" s="53"/>
      <c r="AE81" s="53"/>
      <c r="AF81" s="53"/>
      <c r="AG81" s="8" t="str">
        <f ca="1">IFERROR(__xludf.DUMMYFUNCTION("ArrayFormula(VLOOKUP(G81, IMPORTRANGE(""https://docs.google.com/spreadsheets/d/1Co934fvtviyaRiMsrIlT05Jaq7iiYq07aLvRr35KA48/edit?gid=173865642#gid=173865642"", ""'G8_Maths_Pri_LU'!G2:V2000""), {3, 4, 5, 6, 7, 8, 9, 10, 11, 12, 13, 14, 15, 16}, 0))"),"LU000693")</f>
        <v>LU000693</v>
      </c>
      <c r="AH81" s="8" t="str">
        <f ca="1">IFERROR(__xludf.DUMMYFUNCTION("""COMPUTED_VALUE"""),"Calculation of discount percent")</f>
        <v>Calculation of discount percent</v>
      </c>
      <c r="AI81" s="8" t="str">
        <f ca="1">IFERROR(__xludf.DUMMYFUNCTION("""COMPUTED_VALUE"""),"LU000683")</f>
        <v>LU000683</v>
      </c>
      <c r="AJ81" s="8" t="str">
        <f ca="1">IFERROR(__xludf.DUMMYFUNCTION("""COMPUTED_VALUE"""),"Definition of value-added tax")</f>
        <v>Definition of value-added tax</v>
      </c>
      <c r="AK81" s="8" t="str">
        <f ca="1">IFERROR(__xludf.DUMMYFUNCTION("""COMPUTED_VALUE"""),"LU000678")</f>
        <v>LU000678</v>
      </c>
      <c r="AL81" s="8" t="str">
        <f ca="1">IFERROR(__xludf.DUMMYFUNCTION("""COMPUTED_VALUE"""),"Definition of marked/list price")</f>
        <v>Definition of marked/list price</v>
      </c>
      <c r="AM81" s="8"/>
      <c r="AN81" s="8"/>
      <c r="AO81" s="8"/>
      <c r="AP81" s="8"/>
      <c r="AQ81" s="8"/>
      <c r="AR81" s="8"/>
      <c r="AS81" s="8"/>
      <c r="AT81" s="8"/>
      <c r="AU81" s="8"/>
      <c r="AV81" s="8"/>
      <c r="AW81" s="8"/>
      <c r="AX81" s="8"/>
      <c r="AY81" s="8"/>
      <c r="AZ81" s="8"/>
      <c r="BA81" s="8"/>
      <c r="BB81" s="8"/>
      <c r="BC81" s="8"/>
      <c r="BD81" s="8"/>
      <c r="BE81" s="8"/>
    </row>
    <row r="82" spans="1:57">
      <c r="A82" s="8" t="s">
        <v>247</v>
      </c>
      <c r="B82" s="8" t="s">
        <v>47</v>
      </c>
      <c r="C82" s="8" t="s">
        <v>731</v>
      </c>
      <c r="D82" s="8" t="s">
        <v>732</v>
      </c>
      <c r="E82" s="8" t="s">
        <v>534</v>
      </c>
      <c r="F82" s="54" t="s">
        <v>857</v>
      </c>
      <c r="G82" s="8" t="s">
        <v>858</v>
      </c>
      <c r="H82" s="8" t="str">
        <f ca="1">IFERROR(__xludf.DUMMYFUNCTION("VLOOKUP(G82, IMPORTRANGE(""https://docs.google.com/spreadsheets/d/14deopnvwcrKtEGCKuYXdUHJbeLDZlkiSSWWT0g7x2pM/edit#gid=999382323"", ""LU List Maths (Filter)!A:B""), 2, FALSE)"),"Definition of compound interest")</f>
        <v>Definition of compound interest</v>
      </c>
      <c r="I82" s="10" t="str">
        <f t="shared" si="0"/>
        <v>LU000685.001</v>
      </c>
      <c r="J82" s="10" t="str">
        <f ca="1">IFERROR(__xludf.DUMMYFUNCTION("VLOOKUP(I82, IMPORTRANGE(""https://docs.google.com/spreadsheets/d/1yDAaXNsi4Mr5FtRQL4tbmSdIzhx6_m4wkOD7IG-k_eo/edit#gid=0"", ""Maths!M:N""), 2, FALSE)"),"State the definition of compound interest")</f>
        <v>State the definition of compound interest</v>
      </c>
      <c r="K82" s="10" t="str">
        <f t="shared" si="1"/>
        <v>LU000685.002</v>
      </c>
      <c r="L82" s="10" t="str">
        <f ca="1">IFERROR(__xludf.DUMMYFUNCTION("VLOOKUP(K82, IMPORTRANGE(""https://docs.google.com/spreadsheets/d/1yDAaXNsi4Mr5FtRQL4tbmSdIzhx6_m4wkOD7IG-k_eo/edit#gid=0"", ""Maths!M:N""), 2, FALSE)"),"Understand the concept of compound interest, including how it differs from simple interest and its relevance in financial calculations.")</f>
        <v>Understand the concept of compound interest, including how it differs from simple interest and its relevance in financial calculations.</v>
      </c>
      <c r="M82" s="10" t="str">
        <f t="shared" si="2"/>
        <v>LU000685.003</v>
      </c>
      <c r="N82" s="10" t="str">
        <f ca="1">IFERROR(__xludf.DUMMYFUNCTION("VLOOKUP(M82, IMPORTRANGE(""https://docs.google.com/spreadsheets/d/1yDAaXNsi4Mr5FtRQL4tbmSdIzhx6_m4wkOD7IG-k_eo/edit#gid=0"", ""Maths!M:N""), 2, FALSE)"),"Apply the formula of amount in real life situation to calculate compound interest. ")</f>
        <v xml:space="preserve">Apply the formula of amount in real life situation to calculate compound interest. </v>
      </c>
      <c r="O82" s="10" t="str">
        <f t="shared" si="3"/>
        <v>LU000685.004</v>
      </c>
      <c r="P82" s="10" t="str">
        <f ca="1">IFERROR(__xludf.DUMMYFUNCTION("VLOOKUP(O82, IMPORTRANGE(""https://docs.google.com/spreadsheets/d/1yDAaXNsi4Mr5FtRQL4tbmSdIzhx6_m4wkOD7IG-k_eo/edit#gid=0"", ""Maths!M:N""), 2, FALSE)"),"Analyse different situations with compound interest to see how it changes when you save or owe money for a longer time")</f>
        <v>Analyse different situations with compound interest to see how it changes when you save or owe money for a longer time</v>
      </c>
      <c r="Q82" s="10" t="str">
        <f t="shared" si="4"/>
        <v>LU000685.005</v>
      </c>
      <c r="R82" s="10" t="str">
        <f ca="1">IFERROR(__xludf.DUMMYFUNCTION("VLOOKUP(Q82, IMPORTRANGE(""https://docs.google.com/spreadsheets/d/1yDAaXNsi4Mr5FtRQL4tbmSdIzhx6_m4wkOD7IG-k_eo/edit#gid=0"", ""Maths!M:N""), 2, FALSE)"),"Evaluate the benefits and drawbacks of compound interest, considering its potential for exponential growth in savings or the cost of borrowing")</f>
        <v>Evaluate the benefits and drawbacks of compound interest, considering its potential for exponential growth in savings or the cost of borrowing</v>
      </c>
      <c r="S82" s="10" t="str">
        <f t="shared" si="5"/>
        <v>LU000685.006</v>
      </c>
      <c r="T82" s="10" t="str">
        <f ca="1">IFERROR(__xludf.DUMMYFUNCTION("VLOOKUP(S82, IMPORTRANGE(""https://docs.google.com/spreadsheets/d/1yDAaXNsi4Mr5FtRQL4tbmSdIzhx6_m4wkOD7IG-k_eo/edit#gid=0"", ""Maths!M:N""), 2, FALSE)"),"Create compound interest problems to calculate the future value of investments or debts.")</f>
        <v>Create compound interest problems to calculate the future value of investments or debts.</v>
      </c>
      <c r="U82" s="52">
        <f ca="1">IFERROR(__xludf.DUMMYFUNCTION("ArrayFormula(VLOOKUP(G82, IMPORTRANGE(""https://docs.google.com/spreadsheets/d/1p7R4vtkWt5VOBim4ltsDG9KTzSjrtKXsMtQGXPHyND0/edit#gid=795171502"", ""'Filter 30_05_2024'!A1:M2000""), {2, 3, 4, 5,6,7,8,9,10,11,12,13}, 0))"),4)</f>
        <v>4</v>
      </c>
      <c r="V82" s="52">
        <f ca="1">IFERROR(__xludf.DUMMYFUNCTION("""COMPUTED_VALUE"""),6)</f>
        <v>6</v>
      </c>
      <c r="W82" s="52">
        <f ca="1">IFERROR(__xludf.DUMMYFUNCTION("""COMPUTED_VALUE"""),2)</f>
        <v>2</v>
      </c>
      <c r="X82" s="52">
        <f ca="1">IFERROR(__xludf.DUMMYFUNCTION("""COMPUTED_VALUE"""),12)</f>
        <v>12</v>
      </c>
      <c r="Y82" s="52">
        <f ca="1">IFERROR(__xludf.DUMMYFUNCTION("""COMPUTED_VALUE"""),4)</f>
        <v>4</v>
      </c>
      <c r="Z82" s="53">
        <f ca="1">IFERROR(__xludf.DUMMYFUNCTION("""COMPUTED_VALUE"""),3)</f>
        <v>3</v>
      </c>
      <c r="AA82" s="53">
        <f ca="1">IFERROR(__xludf.DUMMYFUNCTION("""COMPUTED_VALUE"""),1)</f>
        <v>1</v>
      </c>
      <c r="AB82" s="53">
        <f ca="1">IFERROR(__xludf.DUMMYFUNCTION("""COMPUTED_VALUE"""),8)</f>
        <v>8</v>
      </c>
      <c r="AC82" s="53"/>
      <c r="AD82" s="53"/>
      <c r="AE82" s="53"/>
      <c r="AF82" s="53"/>
      <c r="AG82" s="8" t="str">
        <f ca="1">IFERROR(__xludf.DUMMYFUNCTION("ArrayFormula(VLOOKUP(G82, IMPORTRANGE(""https://docs.google.com/spreadsheets/d/1Co934fvtviyaRiMsrIlT05Jaq7iiYq07aLvRr35KA48/edit?gid=173865642#gid=173865642"", ""'G8_Maths_Pri_LU'!G2:V2000""), {3, 4, 5, 6, 7, 8, 9, 10, 11, 12, 13, 14, 15, 16}, 0))"),"LU000460")</f>
        <v>LU000460</v>
      </c>
      <c r="AH82" s="8" t="str">
        <f ca="1">IFERROR(__xludf.DUMMYFUNCTION("""COMPUTED_VALUE"""),"Definition of simple interest")</f>
        <v>Definition of simple interest</v>
      </c>
      <c r="AI82" s="8" t="str">
        <f ca="1">IFERROR(__xludf.DUMMYFUNCTION("""COMPUTED_VALUE"""),"LU000463")</f>
        <v>LU000463</v>
      </c>
      <c r="AJ82" s="8" t="str">
        <f ca="1">IFERROR(__xludf.DUMMYFUNCTION("""COMPUTED_VALUE"""),"Definition of rate of interest")</f>
        <v>Definition of rate of interest</v>
      </c>
      <c r="AK82" s="8" t="str">
        <f ca="1">IFERROR(__xludf.DUMMYFUNCTION("""COMPUTED_VALUE"""),"LU000461")</f>
        <v>LU000461</v>
      </c>
      <c r="AL82" s="8" t="str">
        <f ca="1">IFERROR(__xludf.DUMMYFUNCTION("""COMPUTED_VALUE"""),"Definition of principal")</f>
        <v>Definition of principal</v>
      </c>
      <c r="AM82" s="8"/>
      <c r="AN82" s="8"/>
      <c r="AO82" s="8"/>
      <c r="AP82" s="8"/>
      <c r="AQ82" s="8"/>
      <c r="AR82" s="8"/>
      <c r="AS82" s="8"/>
      <c r="AT82" s="8"/>
      <c r="AU82" s="8"/>
      <c r="AV82" s="8"/>
      <c r="AW82" s="8"/>
      <c r="AX82" s="8"/>
      <c r="AY82" s="8"/>
      <c r="AZ82" s="8"/>
      <c r="BA82" s="8"/>
      <c r="BB82" s="8"/>
      <c r="BC82" s="8"/>
      <c r="BD82" s="8"/>
      <c r="BE82" s="8"/>
    </row>
    <row r="83" spans="1:57">
      <c r="A83" s="8" t="s">
        <v>247</v>
      </c>
      <c r="B83" s="8" t="s">
        <v>47</v>
      </c>
      <c r="C83" s="8" t="s">
        <v>731</v>
      </c>
      <c r="D83" s="8" t="s">
        <v>732</v>
      </c>
      <c r="E83" s="8" t="s">
        <v>534</v>
      </c>
      <c r="F83" s="54" t="s">
        <v>857</v>
      </c>
      <c r="G83" s="8" t="s">
        <v>859</v>
      </c>
      <c r="H83" s="8" t="str">
        <f ca="1">IFERROR(__xludf.DUMMYFUNCTION("VLOOKUP(G83, IMPORTRANGE(""https://docs.google.com/spreadsheets/d/14deopnvwcrKtEGCKuYXdUHJbeLDZlkiSSWWT0g7x2pM/edit#gid=999382323"", ""LU List Maths (Filter)!A:B""), 2, FALSE)"),"Rate compounded annually")</f>
        <v>Rate compounded annually</v>
      </c>
      <c r="I83" s="10" t="str">
        <f t="shared" si="0"/>
        <v>LU000687.001</v>
      </c>
      <c r="J83" s="10" t="str">
        <f ca="1">IFERROR(__xludf.DUMMYFUNCTION("VLOOKUP(I83, IMPORTRANGE(""https://docs.google.com/spreadsheets/d/1yDAaXNsi4Mr5FtRQL4tbmSdIzhx6_m4wkOD7IG-k_eo/edit#gid=0"", ""Maths!M:N""), 2, FALSE)"),"Describe the ""rate compounded annually"" as the interest rate being applied once a year to the original amount.")</f>
        <v>Describe the "rate compounded annually" as the interest rate being applied once a year to the original amount.</v>
      </c>
      <c r="K83" s="10" t="str">
        <f t="shared" si="1"/>
        <v>LU000687.002</v>
      </c>
      <c r="L83" s="10" t="str">
        <f ca="1">IFERROR(__xludf.DUMMYFUNCTION("VLOOKUP(K83, IMPORTRANGE(""https://docs.google.com/spreadsheets/d/1yDAaXNsi4Mr5FtRQL4tbmSdIzhx6_m4wkOD7IG-k_eo/edit#gid=0"", ""Maths!M:N""), 2, FALSE)"),"Explain the concept of an annual compounding rate and how it affects the growth of an investment or the cost of a loan over time.")</f>
        <v>Explain the concept of an annual compounding rate and how it affects the growth of an investment or the cost of a loan over time.</v>
      </c>
      <c r="M83" s="10" t="str">
        <f t="shared" si="2"/>
        <v>LU000687.003</v>
      </c>
      <c r="N83" s="10" t="str">
        <f ca="1">IFERROR(__xludf.DUMMYFUNCTION("VLOOKUP(M83, IMPORTRANGE(""https://docs.google.com/spreadsheets/d/1yDAaXNsi4Mr5FtRQL4tbmSdIzhx6_m4wkOD7IG-k_eo/edit#gid=0"", ""Maths!M:N""), 2, FALSE)"),"Apply the annual compounding rate to calculate compound interest for a given principal amount and time period.")</f>
        <v>Apply the annual compounding rate to calculate compound interest for a given principal amount and time period.</v>
      </c>
      <c r="O83" s="10" t="str">
        <f t="shared" si="3"/>
        <v>LU000687.004</v>
      </c>
      <c r="P83" s="10" t="str">
        <f ca="1">IFERROR(__xludf.DUMMYFUNCTION("VLOOKUP(O83, IMPORTRANGE(""https://docs.google.com/spreadsheets/d/1yDAaXNsi4Mr5FtRQL4tbmSdIzhx6_m4wkOD7IG-k_eo/edit#gid=0"", ""Maths!M:N""), 2, FALSE)"),"Analyze the differences in outcomes when different annual compounding rates are used")</f>
        <v>Analyze the differences in outcomes when different annual compounding rates are used</v>
      </c>
      <c r="Q83" s="10" t="str">
        <f t="shared" si="4"/>
        <v>LU000687.005</v>
      </c>
      <c r="R83" s="10" t="str">
        <f ca="1">IFERROR(__xludf.DUMMYFUNCTION("VLOOKUP(Q83, IMPORTRANGE(""https://docs.google.com/spreadsheets/d/1yDAaXNsi4Mr5FtRQL4tbmSdIzhx6_m4wkOD7IG-k_eo/edit#gid=0"", ""Maths!M:N""), 2, FALSE)"),"Evaluate the advantages and disadvantages of using an annual compounding rate in financial decisions")</f>
        <v>Evaluate the advantages and disadvantages of using an annual compounding rate in financial decisions</v>
      </c>
      <c r="S83" s="10" t="str">
        <f t="shared" si="5"/>
        <v>LU000687.006</v>
      </c>
      <c r="T83" s="10" t="str">
        <f ca="1">IFERROR(__xludf.DUMMYFUNCTION("VLOOKUP(S83, IMPORTRANGE(""https://docs.google.com/spreadsheets/d/1yDAaXNsi4Mr5FtRQL4tbmSdIzhx6_m4wkOD7IG-k_eo/edit#gid=0"", ""Maths!M:N""), 2, FALSE)"),"Create scenarios where the annual compounding rate is applied to savings or loans")</f>
        <v>Create scenarios where the annual compounding rate is applied to savings or loans</v>
      </c>
      <c r="U83" s="52">
        <f ca="1">IFERROR(__xludf.DUMMYFUNCTION("ArrayFormula(VLOOKUP(G83, IMPORTRANGE(""https://docs.google.com/spreadsheets/d/1p7R4vtkWt5VOBim4ltsDG9KTzSjrtKXsMtQGXPHyND0/edit#gid=795171502"", ""'Filter 30_05_2024'!A1:M2000""), {2, 3, 4, 5,6,7,8,9,10,11,12,13}, 0))"),4)</f>
        <v>4</v>
      </c>
      <c r="V83" s="52">
        <f ca="1">IFERROR(__xludf.DUMMYFUNCTION("""COMPUTED_VALUE"""),6)</f>
        <v>6</v>
      </c>
      <c r="W83" s="52">
        <f ca="1">IFERROR(__xludf.DUMMYFUNCTION("""COMPUTED_VALUE"""),2)</f>
        <v>2</v>
      </c>
      <c r="X83" s="52">
        <f ca="1">IFERROR(__xludf.DUMMYFUNCTION("""COMPUTED_VALUE"""),12)</f>
        <v>12</v>
      </c>
      <c r="Y83" s="52">
        <f ca="1">IFERROR(__xludf.DUMMYFUNCTION("""COMPUTED_VALUE"""),4)</f>
        <v>4</v>
      </c>
      <c r="Z83" s="53">
        <f ca="1">IFERROR(__xludf.DUMMYFUNCTION("""COMPUTED_VALUE"""),3)</f>
        <v>3</v>
      </c>
      <c r="AA83" s="53">
        <f ca="1">IFERROR(__xludf.DUMMYFUNCTION("""COMPUTED_VALUE"""),1)</f>
        <v>1</v>
      </c>
      <c r="AB83" s="53">
        <f ca="1">IFERROR(__xludf.DUMMYFUNCTION("""COMPUTED_VALUE"""),8)</f>
        <v>8</v>
      </c>
      <c r="AC83" s="53"/>
      <c r="AD83" s="53"/>
      <c r="AE83" s="53"/>
      <c r="AF83" s="53"/>
      <c r="AG83" s="8" t="str">
        <f ca="1">IFERROR(__xludf.DUMMYFUNCTION("ArrayFormula(VLOOKUP(G83, IMPORTRANGE(""https://docs.google.com/spreadsheets/d/1Co934fvtviyaRiMsrIlT05Jaq7iiYq07aLvRr35KA48/edit?gid=173865642#gid=173865642"", ""'G8_Maths_Pri_LU'!G2:V2000""), {3, 4, 5, 6, 7, 8, 9, 10, 11, 12, 13, 14, 15, 16}, 0))"),"LU000685")</f>
        <v>LU000685</v>
      </c>
      <c r="AH83" s="8" t="str">
        <f ca="1">IFERROR(__xludf.DUMMYFUNCTION("""COMPUTED_VALUE"""),"Definition of compound interest")</f>
        <v>Definition of compound interest</v>
      </c>
      <c r="AI83" s="8" t="str">
        <f ca="1">IFERROR(__xludf.DUMMYFUNCTION("""COMPUTED_VALUE"""),"LU000689")</f>
        <v>LU000689</v>
      </c>
      <c r="AJ83" s="8" t="str">
        <f ca="1">IFERROR(__xludf.DUMMYFUNCTION("""COMPUTED_VALUE"""),"Definition of conversion period")</f>
        <v>Definition of conversion period</v>
      </c>
      <c r="AK83" s="8"/>
      <c r="AL83" s="8"/>
      <c r="AM83" s="8"/>
      <c r="AN83" s="8"/>
      <c r="AO83" s="8"/>
      <c r="AP83" s="8"/>
      <c r="AQ83" s="8"/>
      <c r="AR83" s="8"/>
      <c r="AS83" s="8"/>
      <c r="AT83" s="8"/>
      <c r="AU83" s="8"/>
      <c r="AV83" s="8"/>
      <c r="AW83" s="8"/>
      <c r="AX83" s="8"/>
      <c r="AY83" s="8"/>
      <c r="AZ83" s="8"/>
      <c r="BA83" s="8"/>
      <c r="BB83" s="8"/>
      <c r="BC83" s="8"/>
      <c r="BD83" s="8"/>
      <c r="BE83" s="8"/>
    </row>
    <row r="84" spans="1:57">
      <c r="A84" s="8" t="s">
        <v>247</v>
      </c>
      <c r="B84" s="8" t="s">
        <v>47</v>
      </c>
      <c r="C84" s="8" t="s">
        <v>731</v>
      </c>
      <c r="D84" s="8" t="s">
        <v>732</v>
      </c>
      <c r="E84" s="8" t="s">
        <v>534</v>
      </c>
      <c r="F84" s="54" t="s">
        <v>860</v>
      </c>
      <c r="G84" s="8" t="s">
        <v>861</v>
      </c>
      <c r="H84" s="8" t="str">
        <f ca="1">IFERROR(__xludf.DUMMYFUNCTION("VLOOKUP(G84, IMPORTRANGE(""https://docs.google.com/spreadsheets/d/14deopnvwcrKtEGCKuYXdUHJbeLDZlkiSSWWT0g7x2pM/edit#gid=999382323"", ""LU List Maths (Filter)!A:B""), 2, FALSE)"),"Definition of rate of growth")</f>
        <v>Definition of rate of growth</v>
      </c>
      <c r="I84" s="10" t="str">
        <f t="shared" si="0"/>
        <v>LU000692.001</v>
      </c>
      <c r="J84" s="10" t="str">
        <f ca="1">IFERROR(__xludf.DUMMYFUNCTION("VLOOKUP(I84, IMPORTRANGE(""https://docs.google.com/spreadsheets/d/1yDAaXNsi4Mr5FtRQL4tbmSdIzhx6_m4wkOD7IG-k_eo/edit#gid=0"", ""Maths!M:N""), 2, FALSE)"),"Describe the ""rate of growth"" as a measure that tells how quickly something, like a population or an investment, is getting bigger over time.")</f>
        <v>Describe the "rate of growth" as a measure that tells how quickly something, like a population or an investment, is getting bigger over time.</v>
      </c>
      <c r="K84" s="10" t="str">
        <f t="shared" si="1"/>
        <v>LU000692.002</v>
      </c>
      <c r="L84" s="10" t="str">
        <f ca="1">IFERROR(__xludf.DUMMYFUNCTION("VLOOKUP(K84, IMPORTRANGE(""https://docs.google.com/spreadsheets/d/1yDAaXNsi4Mr5FtRQL4tbmSdIzhx6_m4wkOD7IG-k_eo/edit#gid=0"", ""Maths!M:N""), 2, FALSE)"),"Understand the concept of the rate of growth and how it's used to describe changes in size or quantity over time.")</f>
        <v>Understand the concept of the rate of growth and how it's used to describe changes in size or quantity over time.</v>
      </c>
      <c r="M84" s="10" t="str">
        <f t="shared" si="2"/>
        <v>LU000692.003</v>
      </c>
      <c r="N84" s="10" t="str">
        <f ca="1">IFERROR(__xludf.DUMMYFUNCTION("VLOOKUP(M84, IMPORTRANGE(""https://docs.google.com/spreadsheets/d/1yDAaXNsi4Mr5FtRQL4tbmSdIzhx6_m4wkOD7IG-k_eo/edit#gid=0"", ""Maths!M:N""), 2, FALSE)"),"Apply the idea of the rate of growth to calculate how much something will change over a specific period, given its initial size and the growth rate.")</f>
        <v>Apply the idea of the rate of growth to calculate how much something will change over a specific period, given its initial size and the growth rate.</v>
      </c>
      <c r="O84" s="10" t="str">
        <f t="shared" si="3"/>
        <v>LU000692.004</v>
      </c>
      <c r="P84" s="10" t="str">
        <f ca="1">IFERROR(__xludf.DUMMYFUNCTION("VLOOKUP(O84, IMPORTRANGE(""https://docs.google.com/spreadsheets/d/1yDAaXNsi4Mr5FtRQL4tbmSdIzhx6_m4wkOD7IG-k_eo/edit#gid=0"", ""Maths!M:N""), 2, FALSE)"),"Analyze different situations where the rate of growth is used")</f>
        <v>Analyze different situations where the rate of growth is used</v>
      </c>
      <c r="Q84" s="10" t="str">
        <f t="shared" si="4"/>
        <v>LU000692.005</v>
      </c>
      <c r="R84" s="10" t="str">
        <f ca="1">IFERROR(__xludf.DUMMYFUNCTION("VLOOKUP(Q84, IMPORTRANGE(""https://docs.google.com/spreadsheets/d/1yDAaXNsi4Mr5FtRQL4tbmSdIzhx6_m4wkOD7IG-k_eo/edit#gid=0"", ""Maths!M:N""), 2, FALSE)"),"Evaluate the significance of the rate of growth in various contexts")</f>
        <v>Evaluate the significance of the rate of growth in various contexts</v>
      </c>
      <c r="S84" s="10" t="str">
        <f t="shared" si="5"/>
        <v>LU000692.006</v>
      </c>
      <c r="T84" s="10" t="str">
        <f ca="1">IFERROR(__xludf.DUMMYFUNCTION("VLOOKUP(S84, IMPORTRANGE(""https://docs.google.com/spreadsheets/d/1yDAaXNsi4Mr5FtRQL4tbmSdIzhx6_m4wkOD7IG-k_eo/edit#gid=0"", ""Maths!M:N""), 2, FALSE)"),"Create examples or scenarios that involve the rate of growth to calculate growth rates and predict future changes based on different rates of growth.")</f>
        <v>Create examples or scenarios that involve the rate of growth to calculate growth rates and predict future changes based on different rates of growth.</v>
      </c>
      <c r="U84" s="52">
        <f ca="1">IFERROR(__xludf.DUMMYFUNCTION("ArrayFormula(VLOOKUP(G84, IMPORTRANGE(""https://docs.google.com/spreadsheets/d/1p7R4vtkWt5VOBim4ltsDG9KTzSjrtKXsMtQGXPHyND0/edit#gid=795171502"", ""'Filter 30_05_2024'!A1:M2000""), {2, 3, 4, 5,6,7,8,9,10,11,12,13}, 0))"),4)</f>
        <v>4</v>
      </c>
      <c r="V84" s="52">
        <f ca="1">IFERROR(__xludf.DUMMYFUNCTION("""COMPUTED_VALUE"""),6)</f>
        <v>6</v>
      </c>
      <c r="W84" s="52">
        <f ca="1">IFERROR(__xludf.DUMMYFUNCTION("""COMPUTED_VALUE"""),2)</f>
        <v>2</v>
      </c>
      <c r="X84" s="52">
        <f ca="1">IFERROR(__xludf.DUMMYFUNCTION("""COMPUTED_VALUE"""),12)</f>
        <v>12</v>
      </c>
      <c r="Y84" s="52">
        <f ca="1">IFERROR(__xludf.DUMMYFUNCTION("""COMPUTED_VALUE"""),4)</f>
        <v>4</v>
      </c>
      <c r="Z84" s="53">
        <f ca="1">IFERROR(__xludf.DUMMYFUNCTION("""COMPUTED_VALUE"""),3)</f>
        <v>3</v>
      </c>
      <c r="AA84" s="53">
        <f ca="1">IFERROR(__xludf.DUMMYFUNCTION("""COMPUTED_VALUE"""),1)</f>
        <v>1</v>
      </c>
      <c r="AB84" s="53">
        <f ca="1">IFERROR(__xludf.DUMMYFUNCTION("""COMPUTED_VALUE"""),8)</f>
        <v>8</v>
      </c>
      <c r="AC84" s="53"/>
      <c r="AD84" s="53"/>
      <c r="AE84" s="53"/>
      <c r="AF84" s="53"/>
      <c r="AG84" s="8" t="str">
        <f ca="1">IFERROR(__xludf.DUMMYFUNCTION("ArrayFormula(VLOOKUP(G84, IMPORTRANGE(""https://docs.google.com/spreadsheets/d/1Co934fvtviyaRiMsrIlT05Jaq7iiYq07aLvRr35KA48/edit?gid=173865642#gid=173865642"", ""'G8_Maths_Pri_LU'!G2:V2000""), {3, 4, 5, 6, 7, 8, 9, 10, 11, 12, 13, 14, 15, 16}, 0))"),"LU000687")</f>
        <v>LU000687</v>
      </c>
      <c r="AH84" s="8" t="str">
        <f ca="1">IFERROR(__xludf.DUMMYFUNCTION("""COMPUTED_VALUE"""),"Rate compounded annually")</f>
        <v>Rate compounded annually</v>
      </c>
      <c r="AI84" s="8" t="str">
        <f ca="1">IFERROR(__xludf.DUMMYFUNCTION("""COMPUTED_VALUE"""),"LU000685")</f>
        <v>LU000685</v>
      </c>
      <c r="AJ84" s="8" t="str">
        <f ca="1">IFERROR(__xludf.DUMMYFUNCTION("""COMPUTED_VALUE"""),"Definition of compound interest")</f>
        <v>Definition of compound interest</v>
      </c>
      <c r="AK84" s="8" t="str">
        <f ca="1">IFERROR(__xludf.DUMMYFUNCTION("""COMPUTED_VALUE"""),"LU001027")</f>
        <v>LU001027</v>
      </c>
      <c r="AL84" s="8" t="str">
        <f ca="1">IFERROR(__xludf.DUMMYFUNCTION("""COMPUTED_VALUE"""),"Increase in a quantity as percentage
")</f>
        <v xml:space="preserve">Increase in a quantity as percentage
</v>
      </c>
      <c r="AM84" s="8"/>
      <c r="AN84" s="8"/>
      <c r="AO84" s="8"/>
      <c r="AP84" s="8"/>
      <c r="AQ84" s="8"/>
      <c r="AR84" s="8"/>
      <c r="AS84" s="8"/>
      <c r="AT84" s="8"/>
      <c r="AU84" s="8"/>
      <c r="AV84" s="8"/>
      <c r="AW84" s="8"/>
      <c r="AX84" s="8"/>
      <c r="AY84" s="8"/>
      <c r="AZ84" s="8"/>
      <c r="BA84" s="8"/>
      <c r="BB84" s="8"/>
      <c r="BC84" s="8"/>
      <c r="BD84" s="8"/>
      <c r="BE84" s="8"/>
    </row>
    <row r="85" spans="1:57">
      <c r="A85" s="8" t="s">
        <v>247</v>
      </c>
      <c r="B85" s="8" t="s">
        <v>47</v>
      </c>
      <c r="C85" s="8" t="s">
        <v>731</v>
      </c>
      <c r="D85" s="8" t="s">
        <v>732</v>
      </c>
      <c r="E85" s="8" t="s">
        <v>534</v>
      </c>
      <c r="F85" s="54" t="s">
        <v>860</v>
      </c>
      <c r="G85" s="8" t="s">
        <v>862</v>
      </c>
      <c r="H85" s="8" t="str">
        <f ca="1">IFERROR(__xludf.DUMMYFUNCTION("VLOOKUP(G85, IMPORTRANGE(""https://docs.google.com/spreadsheets/d/14deopnvwcrKtEGCKuYXdUHJbeLDZlkiSSWWT0g7x2pM/edit#gid=999382323"", ""LU List Maths (Filter)!A:B""), 2, FALSE)"),"Definition of rate of depreciation")</f>
        <v>Definition of rate of depreciation</v>
      </c>
      <c r="I85" s="10" t="str">
        <f t="shared" si="0"/>
        <v>LU000690.001</v>
      </c>
      <c r="J85" s="10" t="str">
        <f ca="1">IFERROR(__xludf.DUMMYFUNCTION("VLOOKUP(I85, IMPORTRANGE(""https://docs.google.com/spreadsheets/d/1yDAaXNsi4Mr5FtRQL4tbmSdIzhx6_m4wkOD7IG-k_eo/edit#gid=0"", ""Maths!M:N""), 2, FALSE)"),"Describe the ""rate of depreciation"" as the speed at which the value of an asset decreases over time.")</f>
        <v>Describe the "rate of depreciation" as the speed at which the value of an asset decreases over time.</v>
      </c>
      <c r="K85" s="10" t="str">
        <f t="shared" si="1"/>
        <v>LU000690.002</v>
      </c>
      <c r="L85" s="10" t="str">
        <f ca="1">IFERROR(__xludf.DUMMYFUNCTION("VLOOKUP(K85, IMPORTRANGE(""https://docs.google.com/spreadsheets/d/1yDAaXNsi4Mr5FtRQL4tbmSdIzhx6_m4wkOD7IG-k_eo/edit#gid=0"", ""Maths!M:N""), 2, FALSE)"),"Understand the concept of the rate of depreciation, including how it impacts the value of assets like cars, equipment, or real estate.")</f>
        <v>Understand the concept of the rate of depreciation, including how it impacts the value of assets like cars, equipment, or real estate.</v>
      </c>
      <c r="M85" s="10" t="str">
        <f t="shared" si="2"/>
        <v>LU000690.003</v>
      </c>
      <c r="N85" s="10" t="str">
        <f ca="1">IFERROR(__xludf.DUMMYFUNCTION("VLOOKUP(M85, IMPORTRANGE(""https://docs.google.com/spreadsheets/d/1yDAaXNsi4Mr5FtRQL4tbmSdIzhx6_m4wkOD7IG-k_eo/edit#gid=0"", ""Maths!M:N""), 2, FALSE)"),"Apply knowledge of the rate of depreciation to calculate how much an asset's value decreases over a specific period, considering the initial value and depreciation rate.")</f>
        <v>Apply knowledge of the rate of depreciation to calculate how much an asset's value decreases over a specific period, considering the initial value and depreciation rate.</v>
      </c>
      <c r="O85" s="10" t="str">
        <f t="shared" si="3"/>
        <v>LU000690.004</v>
      </c>
      <c r="P85" s="10" t="str">
        <f ca="1">IFERROR(__xludf.DUMMYFUNCTION("VLOOKUP(O85, IMPORTRANGE(""https://docs.google.com/spreadsheets/d/1yDAaXNsi4Mr5FtRQL4tbmSdIzhx6_m4wkOD7IG-k_eo/edit#gid=0"", ""Maths!M:N""), 2, FALSE)"),"Analyze the factors influencing the rate of depreciation for different types of assets")</f>
        <v>Analyze the factors influencing the rate of depreciation for different types of assets</v>
      </c>
      <c r="Q85" s="10" t="str">
        <f t="shared" si="4"/>
        <v>LU000690.005</v>
      </c>
      <c r="R85" s="10" t="str">
        <f ca="1">IFERROR(__xludf.DUMMYFUNCTION("VLOOKUP(Q85, IMPORTRANGE(""https://docs.google.com/spreadsheets/d/1yDAaXNsi4Mr5FtRQL4tbmSdIzhx6_m4wkOD7IG-k_eo/edit#gid=0"", ""Maths!M:N""), 2, FALSE)"),"Evaluate the significance of the rate of depreciation in making decisions about buying, selling, or maintaining assets")</f>
        <v>Evaluate the significance of the rate of depreciation in making decisions about buying, selling, or maintaining assets</v>
      </c>
      <c r="S85" s="10" t="str">
        <f t="shared" si="5"/>
        <v>LU000690.006</v>
      </c>
      <c r="T85" s="10" t="str">
        <f ca="1">IFERROR(__xludf.DUMMYFUNCTION("VLOOKUP(S85, IMPORTRANGE(""https://docs.google.com/spreadsheets/d/1yDAaXNsi4Mr5FtRQL4tbmSdIzhx6_m4wkOD7IG-k_eo/edit#gid=0"", ""Maths!M:N""), 2, FALSE)"),"Create scenarios involving assets and their rates of depreciation, challenging others to calculate depreciation amounts over time")</f>
        <v>Create scenarios involving assets and their rates of depreciation, challenging others to calculate depreciation amounts over time</v>
      </c>
      <c r="U85" s="52">
        <f ca="1">IFERROR(__xludf.DUMMYFUNCTION("ArrayFormula(VLOOKUP(G85, IMPORTRANGE(""https://docs.google.com/spreadsheets/d/1p7R4vtkWt5VOBim4ltsDG9KTzSjrtKXsMtQGXPHyND0/edit#gid=795171502"", ""'Filter 30_05_2024'!A1:M2000""), {2, 3, 4, 5,6,7,8,9,10,11,12,13}, 0))"),3)</f>
        <v>3</v>
      </c>
      <c r="V85" s="52">
        <f ca="1">IFERROR(__xludf.DUMMYFUNCTION("""COMPUTED_VALUE"""),6)</f>
        <v>6</v>
      </c>
      <c r="W85" s="52">
        <f ca="1">IFERROR(__xludf.DUMMYFUNCTION("""COMPUTED_VALUE"""),2)</f>
        <v>2</v>
      </c>
      <c r="X85" s="52">
        <f ca="1">IFERROR(__xludf.DUMMYFUNCTION("""COMPUTED_VALUE"""),11)</f>
        <v>11</v>
      </c>
      <c r="Y85" s="52">
        <f ca="1">IFERROR(__xludf.DUMMYFUNCTION("""COMPUTED_VALUE"""),5)</f>
        <v>5</v>
      </c>
      <c r="Z85" s="53">
        <f ca="1">IFERROR(__xludf.DUMMYFUNCTION("""COMPUTED_VALUE"""),3)</f>
        <v>3</v>
      </c>
      <c r="AA85" s="53">
        <f ca="1">IFERROR(__xludf.DUMMYFUNCTION("""COMPUTED_VALUE"""),1)</f>
        <v>1</v>
      </c>
      <c r="AB85" s="53">
        <f ca="1">IFERROR(__xludf.DUMMYFUNCTION("""COMPUTED_VALUE"""),9)</f>
        <v>9</v>
      </c>
      <c r="AC85" s="53"/>
      <c r="AD85" s="53"/>
      <c r="AE85" s="53"/>
      <c r="AF85" s="53"/>
      <c r="AG85" s="8" t="str">
        <f ca="1">IFERROR(__xludf.DUMMYFUNCTION("ArrayFormula(VLOOKUP(G85, IMPORTRANGE(""https://docs.google.com/spreadsheets/d/1Co934fvtviyaRiMsrIlT05Jaq7iiYq07aLvRr35KA48/edit?gid=173865642#gid=173865642"", ""'G8_Maths_Pri_LU'!G2:V2000""), {3, 4, 5, 6, 7, 8, 9, 10, 11, 12, 13, 14, 15, 16}, 0))"),"LU000692")</f>
        <v>LU000692</v>
      </c>
      <c r="AH85" s="8" t="str">
        <f ca="1">IFERROR(__xludf.DUMMYFUNCTION("""COMPUTED_VALUE"""),"Definition of rate of growth")</f>
        <v>Definition of rate of growth</v>
      </c>
      <c r="AI85" s="8" t="str">
        <f ca="1">IFERROR(__xludf.DUMMYFUNCTION("""COMPUTED_VALUE"""),"LU000687")</f>
        <v>LU000687</v>
      </c>
      <c r="AJ85" s="8" t="str">
        <f ca="1">IFERROR(__xludf.DUMMYFUNCTION("""COMPUTED_VALUE"""),"Rate compounded annually")</f>
        <v>Rate compounded annually</v>
      </c>
      <c r="AK85" s="8" t="str">
        <f ca="1">IFERROR(__xludf.DUMMYFUNCTION("""COMPUTED_VALUE"""),"LU000685")</f>
        <v>LU000685</v>
      </c>
      <c r="AL85" s="8" t="str">
        <f ca="1">IFERROR(__xludf.DUMMYFUNCTION("""COMPUTED_VALUE"""),"Definition of compound interest")</f>
        <v>Definition of compound interest</v>
      </c>
      <c r="AM85" s="8"/>
      <c r="AN85" s="8"/>
      <c r="AO85" s="8"/>
      <c r="AP85" s="8"/>
      <c r="AQ85" s="8"/>
      <c r="AR85" s="8"/>
      <c r="AS85" s="8"/>
      <c r="AT85" s="8"/>
      <c r="AU85" s="8"/>
      <c r="AV85" s="8"/>
      <c r="AW85" s="8"/>
      <c r="AX85" s="8"/>
      <c r="AY85" s="8"/>
      <c r="AZ85" s="8"/>
      <c r="BA85" s="8"/>
      <c r="BB85" s="8"/>
      <c r="BC85" s="8"/>
      <c r="BD85" s="8"/>
      <c r="BE85" s="8"/>
    </row>
    <row r="86" spans="1:57">
      <c r="A86" s="8" t="s">
        <v>247</v>
      </c>
      <c r="B86" s="8" t="s">
        <v>47</v>
      </c>
      <c r="C86" s="8" t="s">
        <v>731</v>
      </c>
      <c r="D86" s="8" t="s">
        <v>732</v>
      </c>
      <c r="E86" s="8" t="s">
        <v>863</v>
      </c>
      <c r="F86" s="54" t="s">
        <v>864</v>
      </c>
      <c r="G86" s="8" t="s">
        <v>865</v>
      </c>
      <c r="H86" s="8" t="str">
        <f ca="1">IFERROR(__xludf.DUMMYFUNCTION("VLOOKUP(G86, IMPORTRANGE(""https://docs.google.com/spreadsheets/d/14deopnvwcrKtEGCKuYXdUHJbeLDZlkiSSWWT0g7x2pM/edit#gid=999382323"", ""LU List Maths (Filter)!A:B""), 2, FALSE)"),"Addition of like terms")</f>
        <v>Addition of like terms</v>
      </c>
      <c r="I86" s="10" t="str">
        <f t="shared" si="0"/>
        <v>LU000511.001</v>
      </c>
      <c r="J86" s="10" t="str">
        <f ca="1">IFERROR(__xludf.DUMMYFUNCTION("VLOOKUP(I86, IMPORTRANGE(""https://docs.google.com/spreadsheets/d/1yDAaXNsi4Mr5FtRQL4tbmSdIzhx6_m4wkOD7IG-k_eo/edit#gid=0"", ""Maths!M:N""), 2, FALSE)"),"Recall the rules for adding like terms.")</f>
        <v>Recall the rules for adding like terms.</v>
      </c>
      <c r="K86" s="10" t="str">
        <f t="shared" si="1"/>
        <v>LU000511.002</v>
      </c>
      <c r="L86" s="10" t="str">
        <f ca="1">IFERROR(__xludf.DUMMYFUNCTION("VLOOKUP(K86, IMPORTRANGE(""https://docs.google.com/spreadsheets/d/1yDAaXNsi4Mr5FtRQL4tbmSdIzhx6_m4wkOD7IG-k_eo/edit#gid=0"", ""Maths!M:N""), 2, FALSE)"),"Explain the rationale behind adding like terms, demonstrating comprehension of the rules.")</f>
        <v>Explain the rationale behind adding like terms, demonstrating comprehension of the rules.</v>
      </c>
      <c r="M86" s="10" t="str">
        <f t="shared" si="2"/>
        <v>LU000511.003</v>
      </c>
      <c r="N86" s="10" t="str">
        <f ca="1">IFERROR(__xludf.DUMMYFUNCTION("VLOOKUP(M86, IMPORTRANGE(""https://docs.google.com/spreadsheets/d/1yDAaXNsi4Mr5FtRQL4tbmSdIzhx6_m4wkOD7IG-k_eo/edit#gid=0"", ""Maths!M:N""), 2, FALSE)"),"Apply the rules for adding like terms to find the sum of the like terms.")</f>
        <v>Apply the rules for adding like terms to find the sum of the like terms.</v>
      </c>
      <c r="O86" s="10" t="str">
        <f t="shared" si="3"/>
        <v>LU000511.004</v>
      </c>
      <c r="P86" s="10" t="str">
        <f ca="1">IFERROR(__xludf.DUMMYFUNCTION("VLOOKUP(O86, IMPORTRANGE(""https://docs.google.com/spreadsheets/d/1yDAaXNsi4Mr5FtRQL4tbmSdIzhx6_m4wkOD7IG-k_eo/edit#gid=0"", ""Maths!M:N""), 2, FALSE)"),"Analyse the steps to find the sum of the like terms.")</f>
        <v>Analyse the steps to find the sum of the like terms.</v>
      </c>
      <c r="Q86" s="10" t="str">
        <f t="shared" si="4"/>
        <v>LU000511.005</v>
      </c>
      <c r="R86" s="10" t="str">
        <f ca="1">IFERROR(__xludf.DUMMYFUNCTION("VLOOKUP(Q86, IMPORTRANGE(""https://docs.google.com/spreadsheets/d/1yDAaXNsi4Mr5FtRQL4tbmSdIzhx6_m4wkOD7IG-k_eo/edit#gid=0"", ""Maths!M:N""), 2, FALSE)"),"Evaluate the correctness of solutions when adding like terms, and provide explanations for any discrepancies.")</f>
        <v>Evaluate the correctness of solutions when adding like terms, and provide explanations for any discrepancies.</v>
      </c>
      <c r="S86" s="10" t="str">
        <f t="shared" si="5"/>
        <v>LU000511.006</v>
      </c>
      <c r="T86" s="10" t="str">
        <f ca="1">IFERROR(__xludf.DUMMYFUNCTION("VLOOKUP(S86, IMPORTRANGE(""https://docs.google.com/spreadsheets/d/1yDAaXNsi4Mr5FtRQL4tbmSdIzhx6_m4wkOD7IG-k_eo/edit#gid=0"", ""Maths!M:N""), 2, FALSE)"),"Create algebraic expressions involving like terms, and perform addition to simplify them.")</f>
        <v>Create algebraic expressions involving like terms, and perform addition to simplify them.</v>
      </c>
      <c r="U86" s="52">
        <f ca="1">IFERROR(__xludf.DUMMYFUNCTION("ArrayFormula(VLOOKUP(G86, IMPORTRANGE(""https://docs.google.com/spreadsheets/d/1p7R4vtkWt5VOBim4ltsDG9KTzSjrtKXsMtQGXPHyND0/edit#gid=795171502"", ""'Filter 30_05_2024'!A1:M2000""), {2, 3, 4, 5,6,7,8,9,10,11,12,13}, 0))"),4)</f>
        <v>4</v>
      </c>
      <c r="V86" s="52">
        <f ca="1">IFERROR(__xludf.DUMMYFUNCTION("""COMPUTED_VALUE"""),6)</f>
        <v>6</v>
      </c>
      <c r="W86" s="52">
        <f ca="1">IFERROR(__xludf.DUMMYFUNCTION("""COMPUTED_VALUE"""),2)</f>
        <v>2</v>
      </c>
      <c r="X86" s="52">
        <f ca="1">IFERROR(__xludf.DUMMYFUNCTION("""COMPUTED_VALUE"""),12)</f>
        <v>12</v>
      </c>
      <c r="Y86" s="52">
        <f ca="1">IFERROR(__xludf.DUMMYFUNCTION("""COMPUTED_VALUE"""),4)</f>
        <v>4</v>
      </c>
      <c r="Z86" s="53">
        <f ca="1">IFERROR(__xludf.DUMMYFUNCTION("""COMPUTED_VALUE"""),3)</f>
        <v>3</v>
      </c>
      <c r="AA86" s="53">
        <f ca="1">IFERROR(__xludf.DUMMYFUNCTION("""COMPUTED_VALUE"""),1)</f>
        <v>1</v>
      </c>
      <c r="AB86" s="53">
        <f ca="1">IFERROR(__xludf.DUMMYFUNCTION("""COMPUTED_VALUE"""),8)</f>
        <v>8</v>
      </c>
      <c r="AC86" s="53"/>
      <c r="AD86" s="53"/>
      <c r="AE86" s="53"/>
      <c r="AF86" s="53"/>
      <c r="AG86" s="8" t="str">
        <f ca="1">IFERROR(__xludf.DUMMYFUNCTION("ArrayFormula(VLOOKUP(G86, IMPORTRANGE(""https://docs.google.com/spreadsheets/d/1Co934fvtviyaRiMsrIlT05Jaq7iiYq07aLvRr35KA48/edit?gid=173865642#gid=173865642"", ""'G8_Maths_Pri_LU'!G2:V2000""), {3, 4, 5, 6, 7, 8, 9, 10, 11, 12, 13, 14, 15, 16}, 0))"),"LU000508")</f>
        <v>LU000508</v>
      </c>
      <c r="AH86" s="8" t="str">
        <f ca="1">IFERROR(__xludf.DUMMYFUNCTION("""COMPUTED_VALUE"""),"Definition of like and unlike terms of algebraic expression")</f>
        <v>Definition of like and unlike terms of algebraic expression</v>
      </c>
      <c r="AI86" s="8" t="str">
        <f ca="1">IFERROR(__xludf.DUMMYFUNCTION("""COMPUTED_VALUE"""),"LU000191")</f>
        <v>LU000191</v>
      </c>
      <c r="AJ86" s="8" t="str">
        <f ca="1">IFERROR(__xludf.DUMMYFUNCTION("""COMPUTED_VALUE"""),"Simplification rule (DMAS) to solve numerical expression involving whole numbers")</f>
        <v>Simplification rule (DMAS) to solve numerical expression involving whole numbers</v>
      </c>
      <c r="AK86" s="8" t="str">
        <f ca="1">IFERROR(__xludf.DUMMYFUNCTION("""COMPUTED_VALUE"""),"LU000474")</f>
        <v>LU000474</v>
      </c>
      <c r="AL86" s="8" t="str">
        <f ca="1">IFERROR(__xludf.DUMMYFUNCTION("""COMPUTED_VALUE"""),"Addition of rational numbers")</f>
        <v>Addition of rational numbers</v>
      </c>
      <c r="AM86" s="8"/>
      <c r="AN86" s="8"/>
      <c r="AO86" s="8"/>
      <c r="AP86" s="8"/>
      <c r="AQ86" s="8"/>
      <c r="AR86" s="8"/>
      <c r="AS86" s="8"/>
      <c r="AT86" s="8"/>
      <c r="AU86" s="8"/>
      <c r="AV86" s="8"/>
      <c r="AW86" s="8"/>
      <c r="AX86" s="8"/>
      <c r="AY86" s="8"/>
      <c r="AZ86" s="8"/>
      <c r="BA86" s="8"/>
      <c r="BB86" s="8"/>
      <c r="BC86" s="8"/>
      <c r="BD86" s="8"/>
      <c r="BE86" s="8"/>
    </row>
    <row r="87" spans="1:57">
      <c r="A87" s="8" t="s">
        <v>247</v>
      </c>
      <c r="B87" s="8" t="s">
        <v>47</v>
      </c>
      <c r="C87" s="8" t="s">
        <v>731</v>
      </c>
      <c r="D87" s="8" t="s">
        <v>732</v>
      </c>
      <c r="E87" s="8" t="s">
        <v>863</v>
      </c>
      <c r="F87" s="54" t="s">
        <v>864</v>
      </c>
      <c r="G87" s="8" t="s">
        <v>866</v>
      </c>
      <c r="H87" s="8" t="str">
        <f ca="1">IFERROR(__xludf.DUMMYFUNCTION("VLOOKUP(G87, IMPORTRANGE(""https://docs.google.com/spreadsheets/d/14deopnvwcrKtEGCKuYXdUHJbeLDZlkiSSWWT0g7x2pM/edit#gid=999382323"", ""LU List Maths (Filter)!A:B""), 2, FALSE)"),"Addition of algebraic expressions")</f>
        <v>Addition of algebraic expressions</v>
      </c>
      <c r="I87" s="10" t="str">
        <f t="shared" si="0"/>
        <v>LU000512.001</v>
      </c>
      <c r="J87" s="10" t="str">
        <f ca="1">IFERROR(__xludf.DUMMYFUNCTION("VLOOKUP(I87, IMPORTRANGE(""https://docs.google.com/spreadsheets/d/1yDAaXNsi4Mr5FtRQL4tbmSdIzhx6_m4wkOD7IG-k_eo/edit#gid=0"", ""Maths!M:N""), 2, FALSE)"),"Recall the steps to determine the sum of algebraic expressions.")</f>
        <v>Recall the steps to determine the sum of algebraic expressions.</v>
      </c>
      <c r="K87" s="10" t="str">
        <f t="shared" si="1"/>
        <v>LU000512.002</v>
      </c>
      <c r="L87" s="10" t="str">
        <f ca="1">IFERROR(__xludf.DUMMYFUNCTION("VLOOKUP(K87, IMPORTRANGE(""https://docs.google.com/spreadsheets/d/1yDAaXNsi4Mr5FtRQL4tbmSdIzhx6_m4wkOD7IG-k_eo/edit#gid=0"", ""Maths!M:N""), 2, FALSE)"),"Explain the process of simplifying algebraic expressions by combining like terms.")</f>
        <v>Explain the process of simplifying algebraic expressions by combining like terms.</v>
      </c>
      <c r="M87" s="10" t="str">
        <f t="shared" si="2"/>
        <v>LU000512.003</v>
      </c>
      <c r="N87" s="10" t="str">
        <f ca="1">IFERROR(__xludf.DUMMYFUNCTION("VLOOKUP(M87, IMPORTRANGE(""https://docs.google.com/spreadsheets/d/1yDAaXNsi4Mr5FtRQL4tbmSdIzhx6_m4wkOD7IG-k_eo/edit#gid=0"", ""Maths!M:N""), 2, FALSE)"),"Apply addition of algebraic expressions to simplify expressions.")</f>
        <v>Apply addition of algebraic expressions to simplify expressions.</v>
      </c>
      <c r="O87" s="10" t="str">
        <f t="shared" si="3"/>
        <v>LU000512.004</v>
      </c>
      <c r="P87" s="10" t="str">
        <f ca="1">IFERROR(__xludf.DUMMYFUNCTION("VLOOKUP(O87, IMPORTRANGE(""https://docs.google.com/spreadsheets/d/1yDAaXNsi4Mr5FtRQL4tbmSdIzhx6_m4wkOD7IG-k_eo/edit#gid=0"", ""Maths!M:N""), 2, FALSE)"),"Compare and contrast the methods of vertically adding expressions vs. horizontally adding expressions.")</f>
        <v>Compare and contrast the methods of vertically adding expressions vs. horizontally adding expressions.</v>
      </c>
      <c r="Q87" s="10" t="str">
        <f t="shared" si="4"/>
        <v>LU000512.005</v>
      </c>
      <c r="R87" s="10" t="str">
        <f ca="1">IFERROR(__xludf.DUMMYFUNCTION("VLOOKUP(Q87, IMPORTRANGE(""https://docs.google.com/spreadsheets/d/1yDAaXNsi4Mr5FtRQL4tbmSdIzhx6_m4wkOD7IG-k_eo/edit#gid=0"", ""Maths!M:N""), 2, FALSE)"),"Assess the correctness of a student's solution to an algebraic addition problem.")</f>
        <v>Assess the correctness of a student's solution to an algebraic addition problem.</v>
      </c>
      <c r="S87" s="10" t="str">
        <f t="shared" si="5"/>
        <v>LU000512.006</v>
      </c>
      <c r="T87" s="10" t="str">
        <f ca="1">IFERROR(__xludf.DUMMYFUNCTION("VLOOKUP(S87, IMPORTRANGE(""https://docs.google.com/spreadsheets/d/1yDAaXNsi4Mr5FtRQL4tbmSdIzhx6_m4wkOD7IG-k_eo/edit#gid=0"", ""Maths!M:N""), 2, FALSE)"),"Devise a set of algebraic expressions that sum up to a specific value.")</f>
        <v>Devise a set of algebraic expressions that sum up to a specific value.</v>
      </c>
      <c r="U87" s="52">
        <f ca="1">IFERROR(__xludf.DUMMYFUNCTION("ArrayFormula(VLOOKUP(G87, IMPORTRANGE(""https://docs.google.com/spreadsheets/d/1p7R4vtkWt5VOBim4ltsDG9KTzSjrtKXsMtQGXPHyND0/edit#gid=795171502"", ""'Filter 30_05_2024'!A1:M2000""), {2, 3, 4, 5,6,7,8,9,10,11,12,13}, 0))"),4)</f>
        <v>4</v>
      </c>
      <c r="V87" s="52">
        <f ca="1">IFERROR(__xludf.DUMMYFUNCTION("""COMPUTED_VALUE"""),6)</f>
        <v>6</v>
      </c>
      <c r="W87" s="52">
        <f ca="1">IFERROR(__xludf.DUMMYFUNCTION("""COMPUTED_VALUE"""),2)</f>
        <v>2</v>
      </c>
      <c r="X87" s="52">
        <f ca="1">IFERROR(__xludf.DUMMYFUNCTION("""COMPUTED_VALUE"""),12)</f>
        <v>12</v>
      </c>
      <c r="Y87" s="52">
        <f ca="1">IFERROR(__xludf.DUMMYFUNCTION("""COMPUTED_VALUE"""),8)</f>
        <v>8</v>
      </c>
      <c r="Z87" s="53">
        <f ca="1">IFERROR(__xludf.DUMMYFUNCTION("""COMPUTED_VALUE"""),3)</f>
        <v>3</v>
      </c>
      <c r="AA87" s="53">
        <f ca="1">IFERROR(__xludf.DUMMYFUNCTION("""COMPUTED_VALUE"""),1)</f>
        <v>1</v>
      </c>
      <c r="AB87" s="53">
        <f ca="1">IFERROR(__xludf.DUMMYFUNCTION("""COMPUTED_VALUE"""),12)</f>
        <v>12</v>
      </c>
      <c r="AC87" s="53"/>
      <c r="AD87" s="53"/>
      <c r="AE87" s="53"/>
      <c r="AF87" s="53"/>
      <c r="AG87" s="8" t="str">
        <f ca="1">IFERROR(__xludf.DUMMYFUNCTION("ArrayFormula(VLOOKUP(G87, IMPORTRANGE(""https://docs.google.com/spreadsheets/d/1Co934fvtviyaRiMsrIlT05Jaq7iiYq07aLvRr35KA48/edit?gid=173865642#gid=173865642"", ""'G8_Maths_Pri_LU'!G2:V2000""), {3, 4, 5, 6, 7, 8, 9, 10, 11, 12, 13, 14, 15, 16}, 0))"),"LU000511")</f>
        <v>LU000511</v>
      </c>
      <c r="AH87" s="8" t="str">
        <f ca="1">IFERROR(__xludf.DUMMYFUNCTION("""COMPUTED_VALUE"""),"Addition of like terms")</f>
        <v>Addition of like terms</v>
      </c>
      <c r="AI87" s="8" t="str">
        <f ca="1">IFERROR(__xludf.DUMMYFUNCTION("""COMPUTED_VALUE"""),"LU000507")</f>
        <v>LU000507</v>
      </c>
      <c r="AJ87" s="8" t="str">
        <f ca="1">IFERROR(__xludf.DUMMYFUNCTION("""COMPUTED_VALUE"""),"Definition of the coefficient of a term")</f>
        <v>Definition of the coefficient of a term</v>
      </c>
      <c r="AK87" s="8" t="str">
        <f ca="1">IFERROR(__xludf.DUMMYFUNCTION("""COMPUTED_VALUE"""),"LU000271")</f>
        <v>LU000271</v>
      </c>
      <c r="AL87" s="8" t="str">
        <f ca="1">IFERROR(__xludf.DUMMYFUNCTION("""COMPUTED_VALUE"""),"Addition of integers using rules of signs")</f>
        <v>Addition of integers using rules of signs</v>
      </c>
      <c r="AM87" s="8"/>
      <c r="AN87" s="8"/>
      <c r="AO87" s="8"/>
      <c r="AP87" s="8"/>
      <c r="AQ87" s="8"/>
      <c r="AR87" s="8"/>
      <c r="AS87" s="8"/>
      <c r="AT87" s="8"/>
      <c r="AU87" s="8"/>
      <c r="AV87" s="8"/>
      <c r="AW87" s="8"/>
      <c r="AX87" s="8"/>
      <c r="AY87" s="8"/>
      <c r="AZ87" s="8"/>
      <c r="BA87" s="8"/>
      <c r="BB87" s="8"/>
      <c r="BC87" s="8"/>
      <c r="BD87" s="8"/>
      <c r="BE87" s="8"/>
    </row>
    <row r="88" spans="1:57">
      <c r="A88" s="8" t="s">
        <v>247</v>
      </c>
      <c r="B88" s="8" t="s">
        <v>47</v>
      </c>
      <c r="C88" s="8" t="s">
        <v>731</v>
      </c>
      <c r="D88" s="8" t="s">
        <v>732</v>
      </c>
      <c r="E88" s="8" t="s">
        <v>863</v>
      </c>
      <c r="F88" s="54" t="s">
        <v>864</v>
      </c>
      <c r="G88" s="8" t="s">
        <v>867</v>
      </c>
      <c r="H88" s="8" t="str">
        <f ca="1">IFERROR(__xludf.DUMMYFUNCTION("VLOOKUP(G88, IMPORTRANGE(""https://docs.google.com/spreadsheets/d/14deopnvwcrKtEGCKuYXdUHJbeLDZlkiSSWWT0g7x2pM/edit#gid=999382323"", ""LU List Maths (Filter)!A:B""), 2, FALSE)"),"Subtraction of algebraic expressions")</f>
        <v>Subtraction of algebraic expressions</v>
      </c>
      <c r="I88" s="10" t="str">
        <f t="shared" si="0"/>
        <v>LU000513.001</v>
      </c>
      <c r="J88" s="10" t="str">
        <f ca="1">IFERROR(__xludf.DUMMYFUNCTION("VLOOKUP(I88, IMPORTRANGE(""https://docs.google.com/spreadsheets/d/1yDAaXNsi4Mr5FtRQL4tbmSdIzhx6_m4wkOD7IG-k_eo/edit#gid=0"", ""Maths!M:N""), 2, FALSE)"),"Recall the rule for subtracting algebraic expressions.")</f>
        <v>Recall the rule for subtracting algebraic expressions.</v>
      </c>
      <c r="K88" s="10" t="str">
        <f t="shared" si="1"/>
        <v>LU000513.002</v>
      </c>
      <c r="L88" s="10" t="str">
        <f ca="1">IFERROR(__xludf.DUMMYFUNCTION("VLOOKUP(K88, IMPORTRANGE(""https://docs.google.com/spreadsheets/d/1yDAaXNsi4Mr5FtRQL4tbmSdIzhx6_m4wkOD7IG-k_eo/edit#gid=0"", ""Maths!M:N""), 2, FALSE)"),"Explain the concept of subtracting algebraic expressions with attention to additive inverses.")</f>
        <v>Explain the concept of subtracting algebraic expressions with attention to additive inverses.</v>
      </c>
      <c r="M88" s="10" t="str">
        <f t="shared" si="2"/>
        <v>LU000513.003</v>
      </c>
      <c r="N88" s="10" t="str">
        <f ca="1">IFERROR(__xludf.DUMMYFUNCTION("VLOOKUP(M88, IMPORTRANGE(""https://docs.google.com/spreadsheets/d/1yDAaXNsi4Mr5FtRQL4tbmSdIzhx6_m4wkOD7IG-k_eo/edit#gid=0"", ""Maths!M:N""), 2, FALSE)"),"Apply the concept of subtracting algebraic expressions to simplify practical situations.")</f>
        <v>Apply the concept of subtracting algebraic expressions to simplify practical situations.</v>
      </c>
      <c r="O88" s="10" t="str">
        <f t="shared" si="3"/>
        <v>LU000513.004</v>
      </c>
      <c r="P88" s="10" t="str">
        <f ca="1">IFERROR(__xludf.DUMMYFUNCTION("VLOOKUP(O88, IMPORTRANGE(""https://docs.google.com/spreadsheets/d/1yDAaXNsi4Mr5FtRQL4tbmSdIzhx6_m4wkOD7IG-k_eo/edit#gid=0"", ""Maths!M:N""), 2, FALSE)"),"Analyze the steps involved in subtracting algebraic expressions with negative terms.")</f>
        <v>Analyze the steps involved in subtracting algebraic expressions with negative terms.</v>
      </c>
      <c r="Q88" s="10" t="str">
        <f t="shared" si="4"/>
        <v>LU000513.005</v>
      </c>
      <c r="R88" s="10" t="str">
        <f ca="1">IFERROR(__xludf.DUMMYFUNCTION("VLOOKUP(Q88, IMPORTRANGE(""https://docs.google.com/spreadsheets/d/1yDAaXNsi4Mr5FtRQL4tbmSdIzhx6_m4wkOD7IG-k_eo/edit#gid=0"", ""Maths!M:N""), 2, FALSE)"),"Assess the appropriateness of subtracting algebraic expressions to solve specific problems.")</f>
        <v>Assess the appropriateness of subtracting algebraic expressions to solve specific problems.</v>
      </c>
      <c r="S88" s="10" t="str">
        <f t="shared" si="5"/>
        <v>LU000513.006</v>
      </c>
      <c r="T88" s="10" t="str">
        <f ca="1">IFERROR(__xludf.DUMMYFUNCTION("VLOOKUP(S88, IMPORTRANGE(""https://docs.google.com/spreadsheets/d/1yDAaXNsi4Mr5FtRQL4tbmSdIzhx6_m4wkOD7IG-k_eo/edit#gid=0"", ""Maths!M:N""), 2, FALSE)"),"Design a set of algebraic expressions that, when subtracted, result in a specified outcome.")</f>
        <v>Design a set of algebraic expressions that, when subtracted, result in a specified outcome.</v>
      </c>
      <c r="U88" s="52">
        <f ca="1">IFERROR(__xludf.DUMMYFUNCTION("ArrayFormula(VLOOKUP(G88, IMPORTRANGE(""https://docs.google.com/spreadsheets/d/1p7R4vtkWt5VOBim4ltsDG9KTzSjrtKXsMtQGXPHyND0/edit#gid=795171502"", ""'Filter 30_05_2024'!A1:M2000""), {2, 3, 4, 5,6,7,8,9,10,11,12,13}, 0))"),4)</f>
        <v>4</v>
      </c>
      <c r="V88" s="52">
        <f ca="1">IFERROR(__xludf.DUMMYFUNCTION("""COMPUTED_VALUE"""),6)</f>
        <v>6</v>
      </c>
      <c r="W88" s="52">
        <f ca="1">IFERROR(__xludf.DUMMYFUNCTION("""COMPUTED_VALUE"""),2)</f>
        <v>2</v>
      </c>
      <c r="X88" s="52">
        <f ca="1">IFERROR(__xludf.DUMMYFUNCTION("""COMPUTED_VALUE"""),12)</f>
        <v>12</v>
      </c>
      <c r="Y88" s="52">
        <f ca="1">IFERROR(__xludf.DUMMYFUNCTION("""COMPUTED_VALUE"""),4)</f>
        <v>4</v>
      </c>
      <c r="Z88" s="53">
        <f ca="1">IFERROR(__xludf.DUMMYFUNCTION("""COMPUTED_VALUE"""),3)</f>
        <v>3</v>
      </c>
      <c r="AA88" s="53">
        <f ca="1">IFERROR(__xludf.DUMMYFUNCTION("""COMPUTED_VALUE"""),1)</f>
        <v>1</v>
      </c>
      <c r="AB88" s="53">
        <f ca="1">IFERROR(__xludf.DUMMYFUNCTION("""COMPUTED_VALUE"""),8)</f>
        <v>8</v>
      </c>
      <c r="AC88" s="53"/>
      <c r="AD88" s="53"/>
      <c r="AE88" s="53"/>
      <c r="AF88" s="53"/>
      <c r="AG88" s="8" t="str">
        <f ca="1">IFERROR(__xludf.DUMMYFUNCTION("ArrayFormula(VLOOKUP(G88, IMPORTRANGE(""https://docs.google.com/spreadsheets/d/1Co934fvtviyaRiMsrIlT05Jaq7iiYq07aLvRr35KA48/edit?gid=173865642#gid=173865642"", ""'G8_Maths_Pri_LU'!G2:V2000""), {3, 4, 5, 6, 7, 8, 9, 10, 11, 12, 13, 14, 15, 16}, 0))"),"LU000786")</f>
        <v>LU000786</v>
      </c>
      <c r="AH88" s="8" t="str">
        <f ca="1">IFERROR(__xludf.DUMMYFUNCTION("""COMPUTED_VALUE"""),"Subtraction of like terms")</f>
        <v>Subtraction of like terms</v>
      </c>
      <c r="AI88" s="8" t="str">
        <f ca="1">IFERROR(__xludf.DUMMYFUNCTION("""COMPUTED_VALUE"""),"LU000512")</f>
        <v>LU000512</v>
      </c>
      <c r="AJ88" s="8" t="str">
        <f ca="1">IFERROR(__xludf.DUMMYFUNCTION("""COMPUTED_VALUE"""),"Addition of algebraic expressions")</f>
        <v>Addition of algebraic expressions</v>
      </c>
      <c r="AK88" s="8"/>
      <c r="AL88" s="8"/>
      <c r="AM88" s="8"/>
      <c r="AN88" s="8"/>
      <c r="AO88" s="8"/>
      <c r="AP88" s="8"/>
      <c r="AQ88" s="8"/>
      <c r="AR88" s="8"/>
      <c r="AS88" s="8"/>
      <c r="AT88" s="8"/>
      <c r="AU88" s="8"/>
      <c r="AV88" s="8"/>
      <c r="AW88" s="8"/>
      <c r="AX88" s="8"/>
      <c r="AY88" s="8"/>
      <c r="AZ88" s="8"/>
      <c r="BA88" s="8"/>
      <c r="BB88" s="8"/>
      <c r="BC88" s="8"/>
      <c r="BD88" s="8"/>
      <c r="BE88" s="8"/>
    </row>
    <row r="89" spans="1:57">
      <c r="A89" s="8" t="s">
        <v>247</v>
      </c>
      <c r="B89" s="8" t="s">
        <v>47</v>
      </c>
      <c r="C89" s="8" t="s">
        <v>731</v>
      </c>
      <c r="D89" s="8" t="s">
        <v>732</v>
      </c>
      <c r="E89" s="8" t="s">
        <v>863</v>
      </c>
      <c r="F89" s="59" t="s">
        <v>868</v>
      </c>
      <c r="G89" s="8" t="s">
        <v>869</v>
      </c>
      <c r="H89" s="8" t="str">
        <f ca="1">IFERROR(__xludf.DUMMYFUNCTION("VLOOKUP(G89, IMPORTRANGE(""https://docs.google.com/spreadsheets/d/14deopnvwcrKtEGCKuYXdUHJbeLDZlkiSSWWT0g7x2pM/edit#gid=999382323"", ""LU List Maths (Filter)!A:B""), 2, FALSE)"),"Multiplication of monomial by monomial")</f>
        <v>Multiplication of monomial by monomial</v>
      </c>
      <c r="I89" s="10" t="str">
        <f t="shared" si="0"/>
        <v>LU000694.001</v>
      </c>
      <c r="J89" s="10" t="str">
        <f ca="1">IFERROR(__xludf.DUMMYFUNCTION("VLOOKUP(I89, IMPORTRANGE(""https://docs.google.com/spreadsheets/d/1yDAaXNsi4Mr5FtRQL4tbmSdIzhx6_m4wkOD7IG-k_eo/edit#gid=0"", ""Maths!M:N""), 2, FALSE)"),"State the definition and basic properties of monomials.")</f>
        <v>State the definition and basic properties of monomials.</v>
      </c>
      <c r="K89" s="10" t="str">
        <f t="shared" si="1"/>
        <v>LU000694.002</v>
      </c>
      <c r="L89" s="10" t="str">
        <f ca="1">IFERROR(__xludf.DUMMYFUNCTION("VLOOKUP(K89, IMPORTRANGE(""https://docs.google.com/spreadsheets/d/1yDAaXNsi4Mr5FtRQL4tbmSdIzhx6_m4wkOD7IG-k_eo/edit#gid=0"", ""Maths!M:N""), 2, FALSE)"),"Describe the process of multiplying two monomials.")</f>
        <v>Describe the process of multiplying two monomials.</v>
      </c>
      <c r="M89" s="10" t="str">
        <f t="shared" si="2"/>
        <v>LU000694.003</v>
      </c>
      <c r="N89" s="10" t="str">
        <f ca="1">IFERROR(__xludf.DUMMYFUNCTION("VLOOKUP(M89, IMPORTRANGE(""https://docs.google.com/spreadsheets/d/1yDAaXNsi4Mr5FtRQL4tbmSdIzhx6_m4wkOD7IG-k_eo/edit#gid=0"", ""Maths!M:N""), 2, FALSE)"),"Solve practical problems that require multiplying monomials.")</f>
        <v>Solve practical problems that require multiplying monomials.</v>
      </c>
      <c r="O89" s="10" t="str">
        <f t="shared" si="3"/>
        <v>LU000694.004</v>
      </c>
      <c r="P89" s="10" t="str">
        <f ca="1">IFERROR(__xludf.DUMMYFUNCTION("VLOOKUP(O89, IMPORTRANGE(""https://docs.google.com/spreadsheets/d/1yDAaXNsi4Mr5FtRQL4tbmSdIzhx6_m4wkOD7IG-k_eo/edit#gid=0"", ""Maths!M:N""), 2, FALSE)"),"Analyse complex expressions involving multiple monomials and simplify them using the rules of monomial multiplication.")</f>
        <v>Analyse complex expressions involving multiple monomials and simplify them using the rules of monomial multiplication.</v>
      </c>
      <c r="Q89" s="10" t="str">
        <f t="shared" si="4"/>
        <v>LU000694.005</v>
      </c>
      <c r="R89" s="10" t="str">
        <f ca="1">IFERROR(__xludf.DUMMYFUNCTION("VLOOKUP(Q89, IMPORTRANGE(""https://docs.google.com/spreadsheets/d/1yDAaXNsi4Mr5FtRQL4tbmSdIzhx6_m4wkOD7IG-k_eo/edit#gid=0"", ""Maths!M:N""), 2, FALSE)"),"Evaluate and verify solutions of problems involving monomial multiplication, assessing the correctness of the solutions.")</f>
        <v>Evaluate and verify solutions of problems involving monomial multiplication, assessing the correctness of the solutions.</v>
      </c>
      <c r="S89" s="10" t="str">
        <f t="shared" si="5"/>
        <v>LU000694.006</v>
      </c>
      <c r="T89" s="10" t="str">
        <f ca="1">IFERROR(__xludf.DUMMYFUNCTION("VLOOKUP(S89, IMPORTRANGE(""https://docs.google.com/spreadsheets/d/1yDAaXNsi4Mr5FtRQL4tbmSdIzhx6_m4wkOD7IG-k_eo/edit#gid=0"", ""Maths!M:N""), 2, FALSE)"),"Create a set of mathematical expressions involving the multiplication of monomials and simplify and solve them.")</f>
        <v>Create a set of mathematical expressions involving the multiplication of monomials and simplify and solve them.</v>
      </c>
      <c r="U89" s="52">
        <f ca="1">IFERROR(__xludf.DUMMYFUNCTION("ArrayFormula(VLOOKUP(G89, IMPORTRANGE(""https://docs.google.com/spreadsheets/d/1p7R4vtkWt5VOBim4ltsDG9KTzSjrtKXsMtQGXPHyND0/edit#gid=795171502"", ""'Filter 30_05_2024'!A1:M2000""), {2, 3, 4, 5,6,7,8,9,10,11,12,13}, 0))"),4)</f>
        <v>4</v>
      </c>
      <c r="V89" s="52">
        <f ca="1">IFERROR(__xludf.DUMMYFUNCTION("""COMPUTED_VALUE"""),6)</f>
        <v>6</v>
      </c>
      <c r="W89" s="52">
        <f ca="1">IFERROR(__xludf.DUMMYFUNCTION("""COMPUTED_VALUE"""),2)</f>
        <v>2</v>
      </c>
      <c r="X89" s="52">
        <f ca="1">IFERROR(__xludf.DUMMYFUNCTION("""COMPUTED_VALUE"""),12)</f>
        <v>12</v>
      </c>
      <c r="Y89" s="52">
        <f ca="1">IFERROR(__xludf.DUMMYFUNCTION("""COMPUTED_VALUE"""),4)</f>
        <v>4</v>
      </c>
      <c r="Z89" s="53">
        <f ca="1">IFERROR(__xludf.DUMMYFUNCTION("""COMPUTED_VALUE"""),3)</f>
        <v>3</v>
      </c>
      <c r="AA89" s="53">
        <f ca="1">IFERROR(__xludf.DUMMYFUNCTION("""COMPUTED_VALUE"""),1)</f>
        <v>1</v>
      </c>
      <c r="AB89" s="53">
        <f ca="1">IFERROR(__xludf.DUMMYFUNCTION("""COMPUTED_VALUE"""),8)</f>
        <v>8</v>
      </c>
      <c r="AC89" s="53"/>
      <c r="AD89" s="53"/>
      <c r="AE89" s="53"/>
      <c r="AF89" s="53"/>
      <c r="AG89" s="8" t="str">
        <f ca="1">IFERROR(__xludf.DUMMYFUNCTION("ArrayFormula(VLOOKUP(G89, IMPORTRANGE(""https://docs.google.com/spreadsheets/d/1Co934fvtviyaRiMsrIlT05Jaq7iiYq07aLvRr35KA48/edit?gid=173865642#gid=173865642"", ""'G8_Maths_Pri_LU'!G2:V2000""), {3, 4, 5, 6, 7, 8, 9, 10, 11, 12, 13, 14, 15, 16}, 0))"),"LU000520")</f>
        <v>LU000520</v>
      </c>
      <c r="AH89" s="8" t="str">
        <f ca="1">IFERROR(__xludf.DUMMYFUNCTION("""COMPUTED_VALUE"""),"Law of product of power with the same base for whole numbers")</f>
        <v>Law of product of power with the same base for whole numbers</v>
      </c>
      <c r="AI89" s="8" t="str">
        <f ca="1">IFERROR(__xludf.DUMMYFUNCTION("""COMPUTED_VALUE"""),"LU000476")</f>
        <v>LU000476</v>
      </c>
      <c r="AJ89" s="8" t="str">
        <f ca="1">IFERROR(__xludf.DUMMYFUNCTION("""COMPUTED_VALUE"""),"Multiplication of rational numbers")</f>
        <v>Multiplication of rational numbers</v>
      </c>
      <c r="AK89" s="8"/>
      <c r="AL89" s="8"/>
      <c r="AM89" s="8"/>
      <c r="AN89" s="8"/>
      <c r="AO89" s="8"/>
      <c r="AP89" s="8"/>
      <c r="AQ89" s="8"/>
      <c r="AR89" s="8"/>
      <c r="AS89" s="8"/>
      <c r="AT89" s="8"/>
      <c r="AU89" s="8"/>
      <c r="AV89" s="8"/>
      <c r="AW89" s="8"/>
      <c r="AX89" s="8"/>
      <c r="AY89" s="8"/>
      <c r="AZ89" s="8"/>
      <c r="BA89" s="8"/>
      <c r="BB89" s="8"/>
      <c r="BC89" s="8"/>
      <c r="BD89" s="8"/>
      <c r="BE89" s="8"/>
    </row>
    <row r="90" spans="1:57">
      <c r="A90" s="8" t="s">
        <v>247</v>
      </c>
      <c r="B90" s="8" t="s">
        <v>47</v>
      </c>
      <c r="C90" s="8" t="s">
        <v>731</v>
      </c>
      <c r="D90" s="8" t="s">
        <v>732</v>
      </c>
      <c r="E90" s="8" t="s">
        <v>863</v>
      </c>
      <c r="F90" s="59" t="s">
        <v>868</v>
      </c>
      <c r="G90" s="8" t="s">
        <v>870</v>
      </c>
      <c r="H90" s="8" t="str">
        <f ca="1">IFERROR(__xludf.DUMMYFUNCTION("VLOOKUP(G90, IMPORTRANGE(""https://docs.google.com/spreadsheets/d/14deopnvwcrKtEGCKuYXdUHJbeLDZlkiSSWWT0g7x2pM/edit#gid=999382323"", ""LU List Maths (Filter)!A:B""), 2, FALSE)"),"Multiplication of three or more monomials")</f>
        <v>Multiplication of three or more monomials</v>
      </c>
      <c r="I90" s="10" t="str">
        <f t="shared" si="0"/>
        <v>LU000695.001</v>
      </c>
      <c r="J90" s="10" t="str">
        <f ca="1">IFERROR(__xludf.DUMMYFUNCTION("VLOOKUP(I90, IMPORTRANGE(""https://docs.google.com/spreadsheets/d/1yDAaXNsi4Mr5FtRQL4tbmSdIzhx6_m4wkOD7IG-k_eo/edit#gid=0"", ""Maths!M:N""), 2, FALSE)"),"Describe the rules for multiplying three or more monomials.")</f>
        <v>Describe the rules for multiplying three or more monomials.</v>
      </c>
      <c r="K90" s="10" t="str">
        <f t="shared" si="1"/>
        <v>LU000695.002</v>
      </c>
      <c r="L90" s="10" t="str">
        <f ca="1">IFERROR(__xludf.DUMMYFUNCTION("VLOOKUP(K90, IMPORTRANGE(""https://docs.google.com/spreadsheets/d/1yDAaXNsi4Mr5FtRQL4tbmSdIzhx6_m4wkOD7IG-k_eo/edit#gid=0"", ""Maths!M:N""), 2, FALSE)"),"Explain the concept of multiplying three or more monomials, providing examples to illustrate how these rules are applied.")</f>
        <v>Explain the concept of multiplying three or more monomials, providing examples to illustrate how these rules are applied.</v>
      </c>
      <c r="M90" s="10" t="str">
        <f t="shared" si="2"/>
        <v>LU000695.003</v>
      </c>
      <c r="N90" s="10" t="str">
        <f ca="1">IFERROR(__xludf.DUMMYFUNCTION("VLOOKUP(M90, IMPORTRANGE(""https://docs.google.com/spreadsheets/d/1yDAaXNsi4Mr5FtRQL4tbmSdIzhx6_m4wkOD7IG-k_eo/edit#gid=0"", ""Maths!M:N""), 2, FALSE)"),"Solve real-world problems that necessitate the multiplication of three or more monomials.")</f>
        <v>Solve real-world problems that necessitate the multiplication of three or more monomials.</v>
      </c>
      <c r="O90" s="10" t="str">
        <f t="shared" si="3"/>
        <v>LU000695.004</v>
      </c>
      <c r="P90" s="10" t="str">
        <f ca="1">IFERROR(__xludf.DUMMYFUNCTION("VLOOKUP(O90, IMPORTRANGE(""https://docs.google.com/spreadsheets/d/1yDAaXNsi4Mr5FtRQL4tbmSdIzhx6_m4wkOD7IG-k_eo/edit#gid=0"", ""Maths!M:N""), 2, FALSE)"),"Analyse complex expressions involving multiple monomials and demonstrate step-by-step simplification, applying the rules of monomial multiplication.")</f>
        <v>Analyse complex expressions involving multiple monomials and demonstrate step-by-step simplification, applying the rules of monomial multiplication.</v>
      </c>
      <c r="Q90" s="10" t="str">
        <f t="shared" si="4"/>
        <v>LU000695.005</v>
      </c>
      <c r="R90" s="10" t="str">
        <f ca="1">IFERROR(__xludf.DUMMYFUNCTION("VLOOKUP(Q90, IMPORTRANGE(""https://docs.google.com/spreadsheets/d/1yDAaXNsi4Mr5FtRQL4tbmSdIzhx6_m4wkOD7IG-k_eo/edit#gid=0"", ""Maths!M:N""), 2, FALSE)"),"Assess and critique solutions to problems involving the multiplication of three or more monomials, evaluating the accuracy and clarity of the solutions.")</f>
        <v>Assess and critique solutions to problems involving the multiplication of three or more monomials, evaluating the accuracy and clarity of the solutions.</v>
      </c>
      <c r="S90" s="10" t="str">
        <f t="shared" si="5"/>
        <v>LU000695.006</v>
      </c>
      <c r="T90" s="10" t="str">
        <f ca="1">IFERROR(__xludf.DUMMYFUNCTION("VLOOKUP(S90, IMPORTRANGE(""https://docs.google.com/spreadsheets/d/1yDAaXNsi4Mr5FtRQL4tbmSdIzhx6_m4wkOD7IG-k_eo/edit#gid=0"", ""Maths!M:N""), 2, FALSE)"),"Generate original mathematical expressions that involve the multiplication of three or more monomials, simplify and solve them.")</f>
        <v>Generate original mathematical expressions that involve the multiplication of three or more monomials, simplify and solve them.</v>
      </c>
      <c r="U90" s="52">
        <f ca="1">IFERROR(__xludf.DUMMYFUNCTION("ArrayFormula(VLOOKUP(G90, IMPORTRANGE(""https://docs.google.com/spreadsheets/d/1p7R4vtkWt5VOBim4ltsDG9KTzSjrtKXsMtQGXPHyND0/edit#gid=795171502"", ""'Filter 30_05_2024'!A1:M2000""), {2, 3, 4, 5,6,7,8,9,10,11,12,13}, 0))"),4)</f>
        <v>4</v>
      </c>
      <c r="V90" s="52">
        <f ca="1">IFERROR(__xludf.DUMMYFUNCTION("""COMPUTED_VALUE"""),6)</f>
        <v>6</v>
      </c>
      <c r="W90" s="52">
        <f ca="1">IFERROR(__xludf.DUMMYFUNCTION("""COMPUTED_VALUE"""),2)</f>
        <v>2</v>
      </c>
      <c r="X90" s="52">
        <f ca="1">IFERROR(__xludf.DUMMYFUNCTION("""COMPUTED_VALUE"""),12)</f>
        <v>12</v>
      </c>
      <c r="Y90" s="52">
        <f ca="1">IFERROR(__xludf.DUMMYFUNCTION("""COMPUTED_VALUE"""),4)</f>
        <v>4</v>
      </c>
      <c r="Z90" s="53">
        <f ca="1">IFERROR(__xludf.DUMMYFUNCTION("""COMPUTED_VALUE"""),3)</f>
        <v>3</v>
      </c>
      <c r="AA90" s="53">
        <f ca="1">IFERROR(__xludf.DUMMYFUNCTION("""COMPUTED_VALUE"""),1)</f>
        <v>1</v>
      </c>
      <c r="AB90" s="53">
        <f ca="1">IFERROR(__xludf.DUMMYFUNCTION("""COMPUTED_VALUE"""),8)</f>
        <v>8</v>
      </c>
      <c r="AC90" s="53"/>
      <c r="AD90" s="53"/>
      <c r="AE90" s="53"/>
      <c r="AF90" s="53"/>
      <c r="AG90" s="8" t="str">
        <f ca="1">IFERROR(__xludf.DUMMYFUNCTION("ArrayFormula(VLOOKUP(G90, IMPORTRANGE(""https://docs.google.com/spreadsheets/d/1Co934fvtviyaRiMsrIlT05Jaq7iiYq07aLvRr35KA48/edit?gid=173865642#gid=173865642"", ""'G8_Maths_Pri_LU'!G2:V2000""), {3, 4, 5, 6, 7, 8, 9, 10, 11, 12, 13, 14, 15, 16}, 0))"),"LU000694")</f>
        <v>LU000694</v>
      </c>
      <c r="AH90" s="8" t="str">
        <f ca="1">IFERROR(__xludf.DUMMYFUNCTION("""COMPUTED_VALUE"""),"Multiplication of monomial by monomial")</f>
        <v>Multiplication of monomial by monomial</v>
      </c>
      <c r="AI90" s="8" t="str">
        <f ca="1">IFERROR(__xludf.DUMMYFUNCTION("""COMPUTED_VALUE"""),"LU000520")</f>
        <v>LU000520</v>
      </c>
      <c r="AJ90" s="8" t="str">
        <f ca="1">IFERROR(__xludf.DUMMYFUNCTION("""COMPUTED_VALUE"""),"Law of product of power with the same base for whole numbers")</f>
        <v>Law of product of power with the same base for whole numbers</v>
      </c>
      <c r="AK90" s="8" t="str">
        <f ca="1">IFERROR(__xludf.DUMMYFUNCTION("""COMPUTED_VALUE"""),"LU000476")</f>
        <v>LU000476</v>
      </c>
      <c r="AL90" s="8" t="str">
        <f ca="1">IFERROR(__xludf.DUMMYFUNCTION("""COMPUTED_VALUE"""),"Multiplication of rational numbers")</f>
        <v>Multiplication of rational numbers</v>
      </c>
      <c r="AM90" s="8" t="str">
        <f ca="1">IFERROR(__xludf.DUMMYFUNCTION("""COMPUTED_VALUE"""),"LU000330")</f>
        <v>LU000330</v>
      </c>
      <c r="AN90" s="8" t="str">
        <f ca="1">IFERROR(__xludf.DUMMYFUNCTION("""COMPUTED_VALUE"""),"Definition of variable and constant")</f>
        <v>Definition of variable and constant</v>
      </c>
      <c r="AO90" s="8"/>
      <c r="AP90" s="8"/>
      <c r="AQ90" s="8"/>
      <c r="AR90" s="8"/>
      <c r="AS90" s="8"/>
      <c r="AT90" s="8"/>
      <c r="AU90" s="8"/>
      <c r="AV90" s="8"/>
      <c r="AW90" s="8"/>
      <c r="AX90" s="8"/>
      <c r="AY90" s="8"/>
      <c r="AZ90" s="8"/>
      <c r="BA90" s="8"/>
      <c r="BB90" s="8"/>
      <c r="BC90" s="8"/>
      <c r="BD90" s="8"/>
      <c r="BE90" s="8"/>
    </row>
    <row r="91" spans="1:57">
      <c r="A91" s="8" t="s">
        <v>247</v>
      </c>
      <c r="B91" s="8" t="s">
        <v>47</v>
      </c>
      <c r="C91" s="8" t="s">
        <v>731</v>
      </c>
      <c r="D91" s="8" t="s">
        <v>732</v>
      </c>
      <c r="E91" s="8" t="s">
        <v>863</v>
      </c>
      <c r="F91" s="60" t="s">
        <v>871</v>
      </c>
      <c r="G91" s="8" t="s">
        <v>872</v>
      </c>
      <c r="H91" s="8" t="str">
        <f ca="1">IFERROR(__xludf.DUMMYFUNCTION("VLOOKUP(G91, IMPORTRANGE(""https://docs.google.com/spreadsheets/d/14deopnvwcrKtEGCKuYXdUHJbeLDZlkiSSWWT0g7x2pM/edit#gid=999382323"", ""LU List Maths (Filter)!A:B""), 2, FALSE)"),"Multiplication of monomial by binomial")</f>
        <v>Multiplication of monomial by binomial</v>
      </c>
      <c r="I91" s="10" t="str">
        <f t="shared" si="0"/>
        <v>LU000697.001</v>
      </c>
      <c r="J91" s="10" t="str">
        <f ca="1">IFERROR(__xludf.DUMMYFUNCTION("VLOOKUP(I91, IMPORTRANGE(""https://docs.google.com/spreadsheets/d/1yDAaXNsi4Mr5FtRQL4tbmSdIzhx6_m4wkOD7IG-k_eo/edit#gid=0"", ""Maths!M:N""), 2, FALSE)"),"List the basic rules for multiplying a monomial by a binomial.")</f>
        <v>List the basic rules for multiplying a monomial by a binomial.</v>
      </c>
      <c r="K91" s="10" t="str">
        <f t="shared" si="1"/>
        <v>LU000697.002</v>
      </c>
      <c r="L91" s="10" t="str">
        <f ca="1">IFERROR(__xludf.DUMMYFUNCTION("VLOOKUP(K91, IMPORTRANGE(""https://docs.google.com/spreadsheets/d/1yDAaXNsi4Mr5FtRQL4tbmSdIzhx6_m4wkOD7IG-k_eo/edit#gid=0"", ""Maths!M:N""), 2, FALSE)"),"Explain the concept of multiplying a monomial by a binomial and provide examples to illustrate the process.")</f>
        <v>Explain the concept of multiplying a monomial by a binomial and provide examples to illustrate the process.</v>
      </c>
      <c r="M91" s="10" t="str">
        <f t="shared" si="2"/>
        <v>LU000697.003</v>
      </c>
      <c r="N91" s="10" t="str">
        <f ca="1">IFERROR(__xludf.DUMMYFUNCTION("VLOOKUP(M91, IMPORTRANGE(""https://docs.google.com/spreadsheets/d/1yDAaXNsi4Mr5FtRQL4tbmSdIzhx6_m4wkOD7IG-k_eo/edit#gid=0"", ""Maths!M:N""), 2, FALSE)"),"Apply the rules of monomial multiplication to solve problems involving the multiplication of a monomial by a binomial.")</f>
        <v>Apply the rules of monomial multiplication to solve problems involving the multiplication of a monomial by a binomial.</v>
      </c>
      <c r="O91" s="10" t="str">
        <f t="shared" si="3"/>
        <v>LU000697.004</v>
      </c>
      <c r="P91" s="10" t="str">
        <f ca="1">IFERROR(__xludf.DUMMYFUNCTION("VLOOKUP(O91, IMPORTRANGE(""https://docs.google.com/spreadsheets/d/1yDAaXNsi4Mr5FtRQL4tbmSdIzhx6_m4wkOD7IG-k_eo/edit#gid=0"", ""Maths!M:N""), 2, FALSE)"),"Analyse the process of multiplying a monomial by a binomial, considering the distribution of terms and applying the rules of multiplication to simplify expressions.")</f>
        <v>Analyse the process of multiplying a monomial by a binomial, considering the distribution of terms and applying the rules of multiplication to simplify expressions.</v>
      </c>
      <c r="Q91" s="10" t="str">
        <f t="shared" si="4"/>
        <v>LU000697.005</v>
      </c>
      <c r="R91" s="10" t="str">
        <f ca="1">IFERROR(__xludf.DUMMYFUNCTION("VLOOKUP(Q91, IMPORTRANGE(""https://docs.google.com/spreadsheets/d/1yDAaXNsi4Mr5FtRQL4tbmSdIzhx6_m4wkOD7IG-k_eo/edit#gid=0"", ""Maths!M:N""), 2, FALSE)"),"Evaluate the applicability of monomial-binomial multiplication in real-world scenarios, identifying situations where this mathematical operation is particularly useful.")</f>
        <v>Evaluate the applicability of monomial-binomial multiplication in real-world scenarios, identifying situations where this mathematical operation is particularly useful.</v>
      </c>
      <c r="S91" s="10" t="str">
        <f t="shared" si="5"/>
        <v>LU000697.006</v>
      </c>
      <c r="T91" s="10" t="str">
        <f ca="1">IFERROR(__xludf.DUMMYFUNCTION("VLOOKUP(S91, IMPORTRANGE(""https://docs.google.com/spreadsheets/d/1yDAaXNsi4Mr5FtRQL4tbmSdIzhx6_m4wkOD7IG-k_eo/edit#gid=0"", ""Maths!M:N""), 2, FALSE)"),"Design a set of word problems or practical scenarios that necessitate the multiplication of monomials by binomials, to apply this mathematical operation to real-life situations.")</f>
        <v>Design a set of word problems or practical scenarios that necessitate the multiplication of monomials by binomials, to apply this mathematical operation to real-life situations.</v>
      </c>
      <c r="U91" s="52">
        <f ca="1">IFERROR(__xludf.DUMMYFUNCTION("ArrayFormula(VLOOKUP(G91, IMPORTRANGE(""https://docs.google.com/spreadsheets/d/1p7R4vtkWt5VOBim4ltsDG9KTzSjrtKXsMtQGXPHyND0/edit#gid=795171502"", ""'Filter 30_05_2024'!A1:M2000""), {2, 3, 4, 5,6,7,8,9,10,11,12,13}, 0))"),4)</f>
        <v>4</v>
      </c>
      <c r="V91" s="52">
        <f ca="1">IFERROR(__xludf.DUMMYFUNCTION("""COMPUTED_VALUE"""),6)</f>
        <v>6</v>
      </c>
      <c r="W91" s="52">
        <f ca="1">IFERROR(__xludf.DUMMYFUNCTION("""COMPUTED_VALUE"""),2)</f>
        <v>2</v>
      </c>
      <c r="X91" s="52">
        <f ca="1">IFERROR(__xludf.DUMMYFUNCTION("""COMPUTED_VALUE"""),12)</f>
        <v>12</v>
      </c>
      <c r="Y91" s="52">
        <f ca="1">IFERROR(__xludf.DUMMYFUNCTION("""COMPUTED_VALUE"""),4)</f>
        <v>4</v>
      </c>
      <c r="Z91" s="53">
        <f ca="1">IFERROR(__xludf.DUMMYFUNCTION("""COMPUTED_VALUE"""),3)</f>
        <v>3</v>
      </c>
      <c r="AA91" s="53">
        <f ca="1">IFERROR(__xludf.DUMMYFUNCTION("""COMPUTED_VALUE"""),1)</f>
        <v>1</v>
      </c>
      <c r="AB91" s="53">
        <f ca="1">IFERROR(__xludf.DUMMYFUNCTION("""COMPUTED_VALUE"""),8)</f>
        <v>8</v>
      </c>
      <c r="AC91" s="53"/>
      <c r="AD91" s="53"/>
      <c r="AE91" s="53"/>
      <c r="AF91" s="53"/>
      <c r="AG91" s="8" t="str">
        <f ca="1">IFERROR(__xludf.DUMMYFUNCTION("ArrayFormula(VLOOKUP(G91, IMPORTRANGE(""https://docs.google.com/spreadsheets/d/1Co934fvtviyaRiMsrIlT05Jaq7iiYq07aLvRr35KA48/edit?gid=173865642#gid=173865642"", ""'G8_Maths_Pri_LU'!G2:V2000""), {3, 4, 5, 6, 7, 8, 9, 10, 11, 12, 13, 14, 15, 16}, 0))"),"LU000694")</f>
        <v>LU000694</v>
      </c>
      <c r="AH91" s="8" t="str">
        <f ca="1">IFERROR(__xludf.DUMMYFUNCTION("""COMPUTED_VALUE"""),"Multiplication of monomial by monomial")</f>
        <v>Multiplication of monomial by monomial</v>
      </c>
      <c r="AI91" s="8" t="str">
        <f ca="1">IFERROR(__xludf.DUMMYFUNCTION("""COMPUTED_VALUE"""),"LU000580")</f>
        <v>LU000580</v>
      </c>
      <c r="AJ91" s="8" t="str">
        <f ca="1">IFERROR(__xludf.DUMMYFUNCTION("""COMPUTED_VALUE"""),"Distributive property of multiplication over addition of rational numbers")</f>
        <v>Distributive property of multiplication over addition of rational numbers</v>
      </c>
      <c r="AK91" s="8" t="str">
        <f ca="1">IFERROR(__xludf.DUMMYFUNCTION("""COMPUTED_VALUE"""),"LU000901")</f>
        <v>LU000901</v>
      </c>
      <c r="AL91" s="8" t="str">
        <f ca="1">IFERROR(__xludf.DUMMYFUNCTION("""COMPUTED_VALUE"""),"Distributive property of multiplication over subtraction of rational numbers")</f>
        <v>Distributive property of multiplication over subtraction of rational numbers</v>
      </c>
      <c r="AM91" s="8"/>
      <c r="AN91" s="8"/>
      <c r="AO91" s="8"/>
      <c r="AP91" s="8"/>
      <c r="AQ91" s="8"/>
      <c r="AR91" s="8"/>
      <c r="AS91" s="8"/>
      <c r="AT91" s="8"/>
      <c r="AU91" s="8"/>
      <c r="AV91" s="8"/>
      <c r="AW91" s="8"/>
      <c r="AX91" s="8"/>
      <c r="AY91" s="8"/>
      <c r="AZ91" s="8"/>
      <c r="BA91" s="8"/>
      <c r="BB91" s="8"/>
      <c r="BC91" s="8"/>
      <c r="BD91" s="8"/>
      <c r="BE91" s="8"/>
    </row>
    <row r="92" spans="1:57">
      <c r="A92" s="8" t="s">
        <v>247</v>
      </c>
      <c r="B92" s="8" t="s">
        <v>47</v>
      </c>
      <c r="C92" s="8" t="s">
        <v>731</v>
      </c>
      <c r="D92" s="8" t="s">
        <v>732</v>
      </c>
      <c r="E92" s="8" t="s">
        <v>863</v>
      </c>
      <c r="F92" s="60" t="s">
        <v>871</v>
      </c>
      <c r="G92" s="8" t="s">
        <v>873</v>
      </c>
      <c r="H92" s="8" t="str">
        <f ca="1">IFERROR(__xludf.DUMMYFUNCTION("VLOOKUP(G92, IMPORTRANGE(""https://docs.google.com/spreadsheets/d/14deopnvwcrKtEGCKuYXdUHJbeLDZlkiSSWWT0g7x2pM/edit#gid=999382323"", ""LU List Maths (Filter)!A:B""), 2, FALSE)"),"Multiplication of monomial by trinomial")</f>
        <v>Multiplication of monomial by trinomial</v>
      </c>
      <c r="I92" s="10" t="str">
        <f t="shared" si="0"/>
        <v>LU000698.001</v>
      </c>
      <c r="J92" s="10" t="str">
        <f ca="1">IFERROR(__xludf.DUMMYFUNCTION("VLOOKUP(I92, IMPORTRANGE(""https://docs.google.com/spreadsheets/d/1yDAaXNsi4Mr5FtRQL4tbmSdIzhx6_m4wkOD7IG-k_eo/edit#gid=0"", ""Maths!M:N""), 2, FALSE)"),"List the basic rules for multiplying a monomial by a trinomial.")</f>
        <v>List the basic rules for multiplying a monomial by a trinomial.</v>
      </c>
      <c r="K92" s="10" t="str">
        <f t="shared" si="1"/>
        <v>LU000698.002</v>
      </c>
      <c r="L92" s="10" t="str">
        <f ca="1">IFERROR(__xludf.DUMMYFUNCTION("VLOOKUP(K92, IMPORTRANGE(""https://docs.google.com/spreadsheets/d/1yDAaXNsi4Mr5FtRQL4tbmSdIzhx6_m4wkOD7IG-k_eo/edit#gid=0"", ""Maths!M:N""), 2, FALSE)"),"Explain the concept of multiplying a monomial by a trinomial and provide examples to illustrate the process.")</f>
        <v>Explain the concept of multiplying a monomial by a trinomial and provide examples to illustrate the process.</v>
      </c>
      <c r="M92" s="10" t="str">
        <f t="shared" si="2"/>
        <v>LU000698.003</v>
      </c>
      <c r="N92" s="10" t="str">
        <f ca="1">IFERROR(__xludf.DUMMYFUNCTION("VLOOKUP(M92, IMPORTRANGE(""https://docs.google.com/spreadsheets/d/1yDAaXNsi4Mr5FtRQL4tbmSdIzhx6_m4wkOD7IG-k_eo/edit#gid=0"", ""Maths!M:N""), 2, FALSE)"),"Apply the rules of monomial multiplication to solve problems involving the multiplication of a monomial by a trinomial.")</f>
        <v>Apply the rules of monomial multiplication to solve problems involving the multiplication of a monomial by a trinomial.</v>
      </c>
      <c r="O92" s="10" t="str">
        <f t="shared" si="3"/>
        <v>LU000698.004</v>
      </c>
      <c r="P92" s="10" t="str">
        <f ca="1">IFERROR(__xludf.DUMMYFUNCTION("VLOOKUP(O92, IMPORTRANGE(""https://docs.google.com/spreadsheets/d/1yDAaXNsi4Mr5FtRQL4tbmSdIzhx6_m4wkOD7IG-k_eo/edit#gid=0"", ""Maths!M:N""), 2, FALSE)"),"Analyse the method of multiplying a monomial by a trinomial, considering the distribution of terms and applying the rules of multiplication to simplify expressions.")</f>
        <v>Analyse the method of multiplying a monomial by a trinomial, considering the distribution of terms and applying the rules of multiplication to simplify expressions.</v>
      </c>
      <c r="Q92" s="10" t="str">
        <f t="shared" si="4"/>
        <v>LU000698.005</v>
      </c>
      <c r="R92" s="10" t="str">
        <f ca="1">IFERROR(__xludf.DUMMYFUNCTION("VLOOKUP(Q92, IMPORTRANGE(""https://docs.google.com/spreadsheets/d/1yDAaXNsi4Mr5FtRQL4tbmSdIzhx6_m4wkOD7IG-k_eo/edit#gid=0"", ""Maths!M:N""), 2, FALSE)"),"Evaluate the applicability of monomial-trinomial multiplication in real-world scenarios, identifying situations where this mathematical operation is particularly useful.")</f>
        <v>Evaluate the applicability of monomial-trinomial multiplication in real-world scenarios, identifying situations where this mathematical operation is particularly useful.</v>
      </c>
      <c r="S92" s="10" t="str">
        <f t="shared" si="5"/>
        <v>LU000698.006</v>
      </c>
      <c r="T92" s="10" t="str">
        <f ca="1">IFERROR(__xludf.DUMMYFUNCTION("VLOOKUP(S92, IMPORTRANGE(""https://docs.google.com/spreadsheets/d/1yDAaXNsi4Mr5FtRQL4tbmSdIzhx6_m4wkOD7IG-k_eo/edit#gid=0"", ""Maths!M:N""), 2, FALSE)"),"Design a set of word problems or practical scenarios that necessitate the multiplication of monomials by trinomials, apply the mathematical operation to real-life situations.")</f>
        <v>Design a set of word problems or practical scenarios that necessitate the multiplication of monomials by trinomials, apply the mathematical operation to real-life situations.</v>
      </c>
      <c r="U92" s="52">
        <f ca="1">IFERROR(__xludf.DUMMYFUNCTION("ArrayFormula(VLOOKUP(G92, IMPORTRANGE(""https://docs.google.com/spreadsheets/d/1p7R4vtkWt5VOBim4ltsDG9KTzSjrtKXsMtQGXPHyND0/edit#gid=795171502"", ""'Filter 30_05_2024'!A1:M2000""), {2, 3, 4, 5,6,7,8,9,10,11,12,13}, 0))"),4)</f>
        <v>4</v>
      </c>
      <c r="V92" s="52">
        <f ca="1">IFERROR(__xludf.DUMMYFUNCTION("""COMPUTED_VALUE"""),6)</f>
        <v>6</v>
      </c>
      <c r="W92" s="52">
        <f ca="1">IFERROR(__xludf.DUMMYFUNCTION("""COMPUTED_VALUE"""),2)</f>
        <v>2</v>
      </c>
      <c r="X92" s="52">
        <f ca="1">IFERROR(__xludf.DUMMYFUNCTION("""COMPUTED_VALUE"""),12)</f>
        <v>12</v>
      </c>
      <c r="Y92" s="52">
        <f ca="1">IFERROR(__xludf.DUMMYFUNCTION("""COMPUTED_VALUE"""),4)</f>
        <v>4</v>
      </c>
      <c r="Z92" s="53">
        <f ca="1">IFERROR(__xludf.DUMMYFUNCTION("""COMPUTED_VALUE"""),3)</f>
        <v>3</v>
      </c>
      <c r="AA92" s="53">
        <f ca="1">IFERROR(__xludf.DUMMYFUNCTION("""COMPUTED_VALUE"""),1)</f>
        <v>1</v>
      </c>
      <c r="AB92" s="53">
        <f ca="1">IFERROR(__xludf.DUMMYFUNCTION("""COMPUTED_VALUE"""),8)</f>
        <v>8</v>
      </c>
      <c r="AC92" s="53"/>
      <c r="AD92" s="53"/>
      <c r="AE92" s="53"/>
      <c r="AF92" s="53"/>
      <c r="AG92" s="8" t="str">
        <f ca="1">IFERROR(__xludf.DUMMYFUNCTION("ArrayFormula(VLOOKUP(G92, IMPORTRANGE(""https://docs.google.com/spreadsheets/d/1Co934fvtviyaRiMsrIlT05Jaq7iiYq07aLvRr35KA48/edit?gid=173865642#gid=173865642"", ""'G8_Maths_Pri_LU'!G2:V2000""), {3, 4, 5, 6, 7, 8, 9, 10, 11, 12, 13, 14, 15, 16}, 0))"),"LU000697")</f>
        <v>LU000697</v>
      </c>
      <c r="AH92" s="8" t="str">
        <f ca="1">IFERROR(__xludf.DUMMYFUNCTION("""COMPUTED_VALUE"""),"Multiplication of monomial by binomial")</f>
        <v>Multiplication of monomial by binomial</v>
      </c>
      <c r="AI92" s="8"/>
      <c r="AJ92" s="8"/>
      <c r="AK92" s="8"/>
      <c r="AL92" s="8"/>
      <c r="AM92" s="8"/>
      <c r="AN92" s="8"/>
      <c r="AO92" s="8"/>
      <c r="AP92" s="8"/>
      <c r="AQ92" s="8"/>
      <c r="AR92" s="8"/>
      <c r="AS92" s="8"/>
      <c r="AT92" s="8"/>
      <c r="AU92" s="8"/>
      <c r="AV92" s="8"/>
      <c r="AW92" s="8"/>
      <c r="AX92" s="8"/>
      <c r="AY92" s="8"/>
      <c r="AZ92" s="8"/>
      <c r="BA92" s="8"/>
      <c r="BB92" s="8"/>
      <c r="BC92" s="8"/>
      <c r="BD92" s="8"/>
      <c r="BE92" s="8"/>
    </row>
    <row r="93" spans="1:57">
      <c r="A93" s="8" t="s">
        <v>247</v>
      </c>
      <c r="B93" s="8" t="s">
        <v>47</v>
      </c>
      <c r="C93" s="8" t="s">
        <v>731</v>
      </c>
      <c r="D93" s="8" t="s">
        <v>732</v>
      </c>
      <c r="E93" s="8" t="s">
        <v>863</v>
      </c>
      <c r="F93" s="60" t="s">
        <v>871</v>
      </c>
      <c r="G93" s="8" t="s">
        <v>874</v>
      </c>
      <c r="H93" s="8" t="str">
        <f ca="1">IFERROR(__xludf.DUMMYFUNCTION("VLOOKUP(G93, IMPORTRANGE(""https://docs.google.com/spreadsheets/d/14deopnvwcrKtEGCKuYXdUHJbeLDZlkiSSWWT0g7x2pM/edit#gid=999382323"", ""LU List Maths (Filter)!A:B""), 2, FALSE)"),"Multiplication of monomial by polynomial")</f>
        <v>Multiplication of monomial by polynomial</v>
      </c>
      <c r="I93" s="10" t="str">
        <f t="shared" si="0"/>
        <v>LU000696.001</v>
      </c>
      <c r="J93" s="10" t="str">
        <f ca="1">IFERROR(__xludf.DUMMYFUNCTION("VLOOKUP(I93, IMPORTRANGE(""https://docs.google.com/spreadsheets/d/1yDAaXNsi4Mr5FtRQL4tbmSdIzhx6_m4wkOD7IG-k_eo/edit#gid=0"", ""Maths!M:N""), 2, FALSE)"),"List the steps required to multiply a monomial by a polynomial, emphasising the order of operations.")</f>
        <v>List the steps required to multiply a monomial by a polynomial, emphasising the order of operations.</v>
      </c>
      <c r="K93" s="10" t="str">
        <f t="shared" si="1"/>
        <v>LU000696.002</v>
      </c>
      <c r="L93" s="10" t="str">
        <f ca="1">IFERROR(__xludf.DUMMYFUNCTION("VLOOKUP(K93, IMPORTRANGE(""https://docs.google.com/spreadsheets/d/1yDAaXNsi4Mr5FtRQL4tbmSdIzhx6_m4wkOD7IG-k_eo/edit#gid=0"", ""Maths!M:N""), 2, FALSE)"),"Explain the concept of multiplying a monomial by a polynomial and provide examples to illustrate the process.")</f>
        <v>Explain the concept of multiplying a monomial by a polynomial and provide examples to illustrate the process.</v>
      </c>
      <c r="M93" s="10" t="str">
        <f t="shared" si="2"/>
        <v>LU000696.003</v>
      </c>
      <c r="N93" s="10" t="str">
        <f ca="1">IFERROR(__xludf.DUMMYFUNCTION("VLOOKUP(M93, IMPORTRANGE(""https://docs.google.com/spreadsheets/d/1yDAaXNsi4Mr5FtRQL4tbmSdIzhx6_m4wkOD7IG-k_eo/edit#gid=0"", ""Maths!M:N""), 2, FALSE)"),"Apply the rules of monomial multiplication to solve problems involving the multiplication of a monomial by a polynomial.")</f>
        <v>Apply the rules of monomial multiplication to solve problems involving the multiplication of a monomial by a polynomial.</v>
      </c>
      <c r="O93" s="10" t="str">
        <f t="shared" si="3"/>
        <v>LU000696.004</v>
      </c>
      <c r="P93" s="10" t="str">
        <f ca="1">IFERROR(__xludf.DUMMYFUNCTION("VLOOKUP(O93, IMPORTRANGE(""https://docs.google.com/spreadsheets/d/1yDAaXNsi4Mr5FtRQL4tbmSdIzhx6_m4wkOD7IG-k_eo/edit#gid=0"", ""Maths!M:N""), 2, FALSE)"),"Analyse the process of multiplying a monomial by a polynomial, considering the distribution of terms and applying the rules of multiplication to simplify expressions.")</f>
        <v>Analyse the process of multiplying a monomial by a polynomial, considering the distribution of terms and applying the rules of multiplication to simplify expressions.</v>
      </c>
      <c r="Q93" s="10" t="str">
        <f t="shared" si="4"/>
        <v>LU000696.005</v>
      </c>
      <c r="R93" s="10" t="str">
        <f ca="1">IFERROR(__xludf.DUMMYFUNCTION("VLOOKUP(Q93, IMPORTRANGE(""https://docs.google.com/spreadsheets/d/1yDAaXNsi4Mr5FtRQL4tbmSdIzhx6_m4wkOD7IG-k_eo/edit#gid=0"", ""Maths!M:N""), 2, FALSE)"),"Evaluate the applicability of monomial-polynomial multiplication in real-world scenarios, identifying situations where this mathematical operation is particularly useful.")</f>
        <v>Evaluate the applicability of monomial-polynomial multiplication in real-world scenarios, identifying situations where this mathematical operation is particularly useful.</v>
      </c>
      <c r="S93" s="10" t="str">
        <f t="shared" si="5"/>
        <v>LU000696.006</v>
      </c>
      <c r="T93" s="10" t="str">
        <f ca="1">IFERROR(__xludf.DUMMYFUNCTION("VLOOKUP(S93, IMPORTRANGE(""https://docs.google.com/spreadsheets/d/1yDAaXNsi4Mr5FtRQL4tbmSdIzhx6_m4wkOD7IG-k_eo/edit#gid=0"", ""Maths!M:N""), 2, FALSE)"),"Design a set of word problems or practical scenarios that necessitate the multiplication of monomials by polynomials and apply this mathematical operation to real-life situations.")</f>
        <v>Design a set of word problems or practical scenarios that necessitate the multiplication of monomials by polynomials and apply this mathematical operation to real-life situations.</v>
      </c>
      <c r="U93" s="52">
        <f ca="1">IFERROR(__xludf.DUMMYFUNCTION("ArrayFormula(VLOOKUP(G93, IMPORTRANGE(""https://docs.google.com/spreadsheets/d/1p7R4vtkWt5VOBim4ltsDG9KTzSjrtKXsMtQGXPHyND0/edit#gid=795171502"", ""'Filter 30_05_2024'!A1:M2000""), {2, 3, 4, 5,6,7,8,9,10,11,12,13}, 0))"),3)</f>
        <v>3</v>
      </c>
      <c r="V93" s="52">
        <f ca="1">IFERROR(__xludf.DUMMYFUNCTION("""COMPUTED_VALUE"""),6)</f>
        <v>6</v>
      </c>
      <c r="W93" s="52">
        <f ca="1">IFERROR(__xludf.DUMMYFUNCTION("""COMPUTED_VALUE"""),2)</f>
        <v>2</v>
      </c>
      <c r="X93" s="52">
        <f ca="1">IFERROR(__xludf.DUMMYFUNCTION("""COMPUTED_VALUE"""),11)</f>
        <v>11</v>
      </c>
      <c r="Y93" s="52">
        <f ca="1">IFERROR(__xludf.DUMMYFUNCTION("""COMPUTED_VALUE"""),5)</f>
        <v>5</v>
      </c>
      <c r="Z93" s="53">
        <f ca="1">IFERROR(__xludf.DUMMYFUNCTION("""COMPUTED_VALUE"""),3)</f>
        <v>3</v>
      </c>
      <c r="AA93" s="53">
        <f ca="1">IFERROR(__xludf.DUMMYFUNCTION("""COMPUTED_VALUE"""),1)</f>
        <v>1</v>
      </c>
      <c r="AB93" s="53">
        <f ca="1">IFERROR(__xludf.DUMMYFUNCTION("""COMPUTED_VALUE"""),9)</f>
        <v>9</v>
      </c>
      <c r="AC93" s="53"/>
      <c r="AD93" s="53"/>
      <c r="AE93" s="53"/>
      <c r="AF93" s="53"/>
      <c r="AG93" s="8" t="str">
        <f ca="1">IFERROR(__xludf.DUMMYFUNCTION("ArrayFormula(VLOOKUP(G93, IMPORTRANGE(""https://docs.google.com/spreadsheets/d/1Co934fvtviyaRiMsrIlT05Jaq7iiYq07aLvRr35KA48/edit?gid=173865642#gid=173865642"", ""'G8_Maths_Pri_LU'!G2:V2000""), {3, 4, 5, 6, 7, 8, 9, 10, 11, 12, 13, 14, 15, 16}, 0))"),"LU000698")</f>
        <v>LU000698</v>
      </c>
      <c r="AH93" s="8" t="str">
        <f ca="1">IFERROR(__xludf.DUMMYFUNCTION("""COMPUTED_VALUE"""),"Multiplication of monomial by trinomial")</f>
        <v>Multiplication of monomial by trinomial</v>
      </c>
      <c r="AI93" s="8"/>
      <c r="AJ93" s="8"/>
      <c r="AK93" s="8"/>
      <c r="AL93" s="8"/>
      <c r="AM93" s="8"/>
      <c r="AN93" s="8"/>
      <c r="AO93" s="8"/>
      <c r="AP93" s="8"/>
      <c r="AQ93" s="8"/>
      <c r="AR93" s="8"/>
      <c r="AS93" s="8"/>
      <c r="AT93" s="8"/>
      <c r="AU93" s="8"/>
      <c r="AV93" s="8"/>
      <c r="AW93" s="8"/>
      <c r="AX93" s="8"/>
      <c r="AY93" s="8"/>
      <c r="AZ93" s="8"/>
      <c r="BA93" s="8"/>
      <c r="BB93" s="8"/>
      <c r="BC93" s="8"/>
      <c r="BD93" s="8"/>
      <c r="BE93" s="8"/>
    </row>
    <row r="94" spans="1:57">
      <c r="A94" s="8" t="s">
        <v>247</v>
      </c>
      <c r="B94" s="8" t="s">
        <v>47</v>
      </c>
      <c r="C94" s="8" t="s">
        <v>731</v>
      </c>
      <c r="D94" s="8" t="s">
        <v>732</v>
      </c>
      <c r="E94" s="8" t="s">
        <v>863</v>
      </c>
      <c r="F94" s="54" t="s">
        <v>875</v>
      </c>
      <c r="G94" s="8" t="s">
        <v>876</v>
      </c>
      <c r="H94" s="8" t="str">
        <f ca="1">IFERROR(__xludf.DUMMYFUNCTION("VLOOKUP(G94, IMPORTRANGE(""https://docs.google.com/spreadsheets/d/14deopnvwcrKtEGCKuYXdUHJbeLDZlkiSSWWT0g7x2pM/edit#gid=999382323"", ""LU List Maths (Filter)!A:B""), 2, FALSE)"),"Multiplication of binomial by binomial")</f>
        <v>Multiplication of binomial by binomial</v>
      </c>
      <c r="I94" s="10" t="str">
        <f t="shared" si="0"/>
        <v>LU000700.001</v>
      </c>
      <c r="J94" s="10" t="str">
        <f ca="1">IFERROR(__xludf.DUMMYFUNCTION("VLOOKUP(I94, IMPORTRANGE(""https://docs.google.com/spreadsheets/d/1yDAaXNsi4Mr5FtRQL4tbmSdIzhx6_m4wkOD7IG-k_eo/edit#gid=0"", ""Maths!M:N""), 2, FALSE)"),"Recall the basic rules for multiplying a binomial by binomial.")</f>
        <v>Recall the basic rules for multiplying a binomial by binomial.</v>
      </c>
      <c r="K94" s="10" t="str">
        <f t="shared" si="1"/>
        <v>LU000700.002</v>
      </c>
      <c r="L94" s="10" t="str">
        <f ca="1">IFERROR(__xludf.DUMMYFUNCTION("VLOOKUP(K94, IMPORTRANGE(""https://docs.google.com/spreadsheets/d/1yDAaXNsi4Mr5FtRQL4tbmSdIzhx6_m4wkOD7IG-k_eo/edit#gid=0"", ""Maths!M:N""), 2, FALSE)"),"Explain the concept of binomial multiplication, including terms, coefficients, and the distributive property.")</f>
        <v>Explain the concept of binomial multiplication, including terms, coefficients, and the distributive property.</v>
      </c>
      <c r="M94" s="10" t="str">
        <f t="shared" si="2"/>
        <v>LU000700.003</v>
      </c>
      <c r="N94" s="10" t="str">
        <f ca="1">IFERROR(__xludf.DUMMYFUNCTION("VLOOKUP(M94, IMPORTRANGE(""https://docs.google.com/spreadsheets/d/1yDAaXNsi4Mr5FtRQL4tbmSdIzhx6_m4wkOD7IG-k_eo/edit#gid=0"", ""Maths!M:N""), 2, FALSE)"),"Apply the rules of binomial multiplication to solve problems involving the multiplication of two binomials.")</f>
        <v>Apply the rules of binomial multiplication to solve problems involving the multiplication of two binomials.</v>
      </c>
      <c r="O94" s="10" t="str">
        <f t="shared" si="3"/>
        <v>LU000700.004</v>
      </c>
      <c r="P94" s="10" t="str">
        <f ca="1">IFERROR(__xludf.DUMMYFUNCTION("VLOOKUP(O94, IMPORTRANGE(""https://docs.google.com/spreadsheets/d/1yDAaXNsi4Mr5FtRQL4tbmSdIzhx6_m4wkOD7IG-k_eo/edit#gid=0"", ""Maths!M:N""), 2, FALSE)"),"Analyse the method of multiplying a binomial by another binomial, considering the distribution of terms and applying the rules of multiplication to simplify expressions.")</f>
        <v>Analyse the method of multiplying a binomial by another binomial, considering the distribution of terms and applying the rules of multiplication to simplify expressions.</v>
      </c>
      <c r="Q94" s="10" t="str">
        <f t="shared" si="4"/>
        <v>LU000700.005</v>
      </c>
      <c r="R94" s="10" t="str">
        <f ca="1">IFERROR(__xludf.DUMMYFUNCTION("VLOOKUP(Q94, IMPORTRANGE(""https://docs.google.com/spreadsheets/d/1yDAaXNsi4Mr5FtRQL4tbmSdIzhx6_m4wkOD7IG-k_eo/edit#gid=0"", ""Maths!M:N""), 2, FALSE)"),"Evaluate and critique solutions for problems related to binomial multiplication, assessing the accuracy and clarity of the solutions.")</f>
        <v>Evaluate and critique solutions for problems related to binomial multiplication, assessing the accuracy and clarity of the solutions.</v>
      </c>
      <c r="S94" s="10" t="str">
        <f t="shared" si="5"/>
        <v>LU000700.006</v>
      </c>
      <c r="T94" s="10" t="str">
        <f ca="1">IFERROR(__xludf.DUMMYFUNCTION("VLOOKUP(S94, IMPORTRANGE(""https://docs.google.com/spreadsheets/d/1yDAaXNsi4Mr5FtRQL4tbmSdIzhx6_m4wkOD7IG-k_eo/edit#gid=0"", ""Maths!M:N""), 2, FALSE)"),"Generate a set of binomial expressions that require multiplication, simplify and solve them, fostering creativity and the application of binomial multiplication principles.")</f>
        <v>Generate a set of binomial expressions that require multiplication, simplify and solve them, fostering creativity and the application of binomial multiplication principles.</v>
      </c>
      <c r="U94" s="52">
        <f ca="1">IFERROR(__xludf.DUMMYFUNCTION("ArrayFormula(VLOOKUP(G94, IMPORTRANGE(""https://docs.google.com/spreadsheets/d/1p7R4vtkWt5VOBim4ltsDG9KTzSjrtKXsMtQGXPHyND0/edit#gid=795171502"", ""'Filter 30_05_2024'!A1:M2000""), {2, 3, 4, 5,6,7,8,9,10,11,12,13}, 0))"),4)</f>
        <v>4</v>
      </c>
      <c r="V94" s="52">
        <f ca="1">IFERROR(__xludf.DUMMYFUNCTION("""COMPUTED_VALUE"""),6)</f>
        <v>6</v>
      </c>
      <c r="W94" s="52">
        <f ca="1">IFERROR(__xludf.DUMMYFUNCTION("""COMPUTED_VALUE"""),2)</f>
        <v>2</v>
      </c>
      <c r="X94" s="52">
        <f ca="1">IFERROR(__xludf.DUMMYFUNCTION("""COMPUTED_VALUE"""),12)</f>
        <v>12</v>
      </c>
      <c r="Y94" s="52">
        <f ca="1">IFERROR(__xludf.DUMMYFUNCTION("""COMPUTED_VALUE"""),4)</f>
        <v>4</v>
      </c>
      <c r="Z94" s="53">
        <f ca="1">IFERROR(__xludf.DUMMYFUNCTION("""COMPUTED_VALUE"""),3)</f>
        <v>3</v>
      </c>
      <c r="AA94" s="53">
        <f ca="1">IFERROR(__xludf.DUMMYFUNCTION("""COMPUTED_VALUE"""),1)</f>
        <v>1</v>
      </c>
      <c r="AB94" s="53">
        <f ca="1">IFERROR(__xludf.DUMMYFUNCTION("""COMPUTED_VALUE"""),8)</f>
        <v>8</v>
      </c>
      <c r="AC94" s="53"/>
      <c r="AD94" s="53"/>
      <c r="AE94" s="53"/>
      <c r="AF94" s="53"/>
      <c r="AG94" s="8" t="str">
        <f ca="1">IFERROR(__xludf.DUMMYFUNCTION("ArrayFormula(VLOOKUP(G94, IMPORTRANGE(""https://docs.google.com/spreadsheets/d/1Co934fvtviyaRiMsrIlT05Jaq7iiYq07aLvRr35KA48/edit?gid=173865642#gid=173865642"", ""'G8_Maths_Pri_LU'!G2:V2000""), {3, 4, 5, 6, 7, 8, 9, 10, 11, 12, 13, 14, 15, 16}, 0))"),"LU000697")</f>
        <v>LU000697</v>
      </c>
      <c r="AH94" s="8" t="str">
        <f ca="1">IFERROR(__xludf.DUMMYFUNCTION("""COMPUTED_VALUE"""),"Multiplication of monomial by binomial")</f>
        <v>Multiplication of monomial by binomial</v>
      </c>
      <c r="AI94" s="8" t="str">
        <f ca="1">IFERROR(__xludf.DUMMYFUNCTION("""COMPUTED_VALUE"""),"LU000694")</f>
        <v>LU000694</v>
      </c>
      <c r="AJ94" s="8" t="str">
        <f ca="1">IFERROR(__xludf.DUMMYFUNCTION("""COMPUTED_VALUE"""),"Multiplication of monomial by monomial")</f>
        <v>Multiplication of monomial by monomial</v>
      </c>
      <c r="AK94" s="8" t="str">
        <f ca="1">IFERROR(__xludf.DUMMYFUNCTION("""COMPUTED_VALUE"""),"LU000580")</f>
        <v>LU000580</v>
      </c>
      <c r="AL94" s="8" t="str">
        <f ca="1">IFERROR(__xludf.DUMMYFUNCTION("""COMPUTED_VALUE"""),"Distributive property of multiplication over addition of rational numbers")</f>
        <v>Distributive property of multiplication over addition of rational numbers</v>
      </c>
      <c r="AM94" s="8" t="str">
        <f ca="1">IFERROR(__xludf.DUMMYFUNCTION("""COMPUTED_VALUE"""),"LU000901")</f>
        <v>LU000901</v>
      </c>
      <c r="AN94" s="8" t="str">
        <f ca="1">IFERROR(__xludf.DUMMYFUNCTION("""COMPUTED_VALUE"""),"Distributive property of multiplication over subtraction of rational numbers")</f>
        <v>Distributive property of multiplication over subtraction of rational numbers</v>
      </c>
      <c r="AO94" s="8"/>
      <c r="AP94" s="8"/>
      <c r="AQ94" s="8"/>
      <c r="AR94" s="8"/>
      <c r="AS94" s="8"/>
      <c r="AT94" s="8"/>
      <c r="AU94" s="8"/>
      <c r="AV94" s="8"/>
      <c r="AW94" s="8"/>
      <c r="AX94" s="8"/>
      <c r="AY94" s="8"/>
      <c r="AZ94" s="8"/>
      <c r="BA94" s="8"/>
      <c r="BB94" s="8"/>
      <c r="BC94" s="8"/>
      <c r="BD94" s="8"/>
      <c r="BE94" s="8"/>
    </row>
    <row r="95" spans="1:57">
      <c r="A95" s="8" t="s">
        <v>247</v>
      </c>
      <c r="B95" s="8" t="s">
        <v>47</v>
      </c>
      <c r="C95" s="8" t="s">
        <v>731</v>
      </c>
      <c r="D95" s="8" t="s">
        <v>732</v>
      </c>
      <c r="E95" s="8" t="s">
        <v>863</v>
      </c>
      <c r="F95" s="58" t="s">
        <v>875</v>
      </c>
      <c r="G95" s="9" t="s">
        <v>877</v>
      </c>
      <c r="H95" s="9" t="str">
        <f ca="1">IFERROR(__xludf.DUMMYFUNCTION("VLOOKUP(G95, IMPORTRANGE(""https://docs.google.com/spreadsheets/d/14deopnvwcrKtEGCKuYXdUHJbeLDZlkiSSWWT0g7x2pM/edit#gid=999382323"", ""LU List Maths (Filter)!A:B""), 2, FALSE)"),"Visual representation of multiplication of algebraic expressions")</f>
        <v>Visual representation of multiplication of algebraic expressions</v>
      </c>
      <c r="I95" s="10" t="str">
        <f t="shared" si="0"/>
        <v>LU000779.001</v>
      </c>
      <c r="J95" s="10" t="str">
        <f ca="1">IFERROR(__xludf.DUMMYFUNCTION("VLOOKUP(I95, IMPORTRANGE(""https://docs.google.com/spreadsheets/d/1yDAaXNsi4Mr5FtRQL4tbmSdIzhx6_m4wkOD7IG-k_eo/edit#gid=0"", ""Maths!M:N""), 2, FALSE)"),"Recall the multiplication of algebraic terms through the use of diagrams.")</f>
        <v>Recall the multiplication of algebraic terms through the use of diagrams.</v>
      </c>
      <c r="K95" s="10" t="str">
        <f t="shared" si="1"/>
        <v>LU000779.002</v>
      </c>
      <c r="L95" s="10" t="str">
        <f ca="1">IFERROR(__xludf.DUMMYFUNCTION("VLOOKUP(K95, IMPORTRANGE(""https://docs.google.com/spreadsheets/d/1yDAaXNsi4Mr5FtRQL4tbmSdIzhx6_m4wkOD7IG-k_eo/edit#gid=0"", ""Maths!M:N""), 2, FALSE)"),"Explain why visual representation is a useful method for multiplying algebraic expressions.")</f>
        <v>Explain why visual representation is a useful method for multiplying algebraic expressions.</v>
      </c>
      <c r="M95" s="10" t="str">
        <f t="shared" si="2"/>
        <v>LU000779.003</v>
      </c>
      <c r="N95" s="10" t="str">
        <f ca="1">IFERROR(__xludf.DUMMYFUNCTION("VLOOKUP(M95, IMPORTRANGE(""https://docs.google.com/spreadsheets/d/1yDAaXNsi4Mr5FtRQL4tbmSdIzhx6_m4wkOD7IG-k_eo/edit#gid=0"", ""Maths!M:N""), 2, FALSE)"),"Use visual representation to multiply basic algebraic expressions.")</f>
        <v>Use visual representation to multiply basic algebraic expressions.</v>
      </c>
      <c r="O95" s="10" t="str">
        <f t="shared" si="3"/>
        <v>LU000779.004</v>
      </c>
      <c r="P95" s="10" t="str">
        <f ca="1">IFERROR(__xludf.DUMMYFUNCTION("VLOOKUP(O95, IMPORTRANGE(""https://docs.google.com/spreadsheets/d/1yDAaXNsi4Mr5FtRQL4tbmSdIzhx6_m4wkOD7IG-k_eo/edit#gid=0"", ""Maths!M:N""), 2, FALSE)"),"Compare the visual representation method to traditional algebraic methods.")</f>
        <v>Compare the visual representation method to traditional algebraic methods.</v>
      </c>
      <c r="Q95" s="10" t="str">
        <f t="shared" si="4"/>
        <v>LU000779.005</v>
      </c>
      <c r="R95" s="10" t="str">
        <f ca="1">IFERROR(__xludf.DUMMYFUNCTION("VLOOKUP(Q95, IMPORTRANGE(""https://docs.google.com/spreadsheets/d/1yDAaXNsi4Mr5FtRQL4tbmSdIzhx6_m4wkOD7IG-k_eo/edit#gid=0"", ""Maths!M:N""), 2, FALSE)"),"Assess the effectiveness of visual representation in different types of algebraic multiplication scenarios.")</f>
        <v>Assess the effectiveness of visual representation in different types of algebraic multiplication scenarios.</v>
      </c>
      <c r="S95" s="10" t="str">
        <f t="shared" si="5"/>
        <v>LU000779.006</v>
      </c>
      <c r="T95" s="10" t="str">
        <f ca="1">IFERROR(__xludf.DUMMYFUNCTION("VLOOKUP(S95, IMPORTRANGE(""https://docs.google.com/spreadsheets/d/1yDAaXNsi4Mr5FtRQL4tbmSdIzhx6_m4wkOD7IG-k_eo/edit#gid=0"", ""Maths!M:N""), 2, FALSE)"),"Develop new ways or strategies of using visual representation to multiply more complex algebraic expressions.")</f>
        <v>Develop new ways or strategies of using visual representation to multiply more complex algebraic expressions.</v>
      </c>
      <c r="U95" s="52">
        <f ca="1">IFERROR(__xludf.DUMMYFUNCTION("ArrayFormula(VLOOKUP(G95, IMPORTRANGE(""https://docs.google.com/spreadsheets/d/1p7R4vtkWt5VOBim4ltsDG9KTzSjrtKXsMtQGXPHyND0/edit#gid=795171502"", ""'Filter 30_05_2024'!A1:M2000""), {2, 3, 4, 5,6,7,8,9,10,11,12,13}, 0))"),4)</f>
        <v>4</v>
      </c>
      <c r="V95" s="52">
        <f ca="1">IFERROR(__xludf.DUMMYFUNCTION("""COMPUTED_VALUE"""),6)</f>
        <v>6</v>
      </c>
      <c r="W95" s="52">
        <f ca="1">IFERROR(__xludf.DUMMYFUNCTION("""COMPUTED_VALUE"""),2)</f>
        <v>2</v>
      </c>
      <c r="X95" s="52">
        <f ca="1">IFERROR(__xludf.DUMMYFUNCTION("""COMPUTED_VALUE"""),12)</f>
        <v>12</v>
      </c>
      <c r="Y95" s="52">
        <f ca="1">IFERROR(__xludf.DUMMYFUNCTION("""COMPUTED_VALUE"""),4)</f>
        <v>4</v>
      </c>
      <c r="Z95" s="53">
        <f ca="1">IFERROR(__xludf.DUMMYFUNCTION("""COMPUTED_VALUE"""),3)</f>
        <v>3</v>
      </c>
      <c r="AA95" s="53">
        <f ca="1">IFERROR(__xludf.DUMMYFUNCTION("""COMPUTED_VALUE"""),1)</f>
        <v>1</v>
      </c>
      <c r="AB95" s="53">
        <f ca="1">IFERROR(__xludf.DUMMYFUNCTION("""COMPUTED_VALUE"""),8)</f>
        <v>8</v>
      </c>
      <c r="AC95" s="53"/>
      <c r="AD95" s="53"/>
      <c r="AE95" s="53"/>
      <c r="AF95" s="53"/>
      <c r="AG95" s="8" t="str">
        <f ca="1">IFERROR(__xludf.DUMMYFUNCTION("ArrayFormula(VLOOKUP(G95, IMPORTRANGE(""https://docs.google.com/spreadsheets/d/1Co934fvtviyaRiMsrIlT05Jaq7iiYq07aLvRr35KA48/edit?gid=173865642#gid=173865642"", ""'G8_Maths_Pri_LU'!G2:V2000""), {3, 4, 5, 6, 7, 8, 9, 10, 11, 12, 13, 14, 15, 16}, 0))"),"LU000327")</f>
        <v>LU000327</v>
      </c>
      <c r="AH95" s="8" t="str">
        <f ca="1">IFERROR(__xludf.DUMMYFUNCTION("""COMPUTED_VALUE"""),"Area of a rectangle using formula")</f>
        <v>Area of a rectangle using formula</v>
      </c>
      <c r="AI95" s="8" t="str">
        <f ca="1">IFERROR(__xludf.DUMMYFUNCTION("""COMPUTED_VALUE"""),"LU000529")</f>
        <v>LU000529</v>
      </c>
      <c r="AJ95" s="8" t="str">
        <f ca="1">IFERROR(__xludf.DUMMYFUNCTION("""COMPUTED_VALUE"""),"Law of product of power with the same exponent for whole numbers")</f>
        <v>Law of product of power with the same exponent for whole numbers</v>
      </c>
      <c r="AK95" s="8" t="str">
        <f ca="1">IFERROR(__xludf.DUMMYFUNCTION("""COMPUTED_VALUE"""),"LU000511")</f>
        <v>LU000511</v>
      </c>
      <c r="AL95" s="8" t="str">
        <f ca="1">IFERROR(__xludf.DUMMYFUNCTION("""COMPUTED_VALUE"""),"Addition of like terms")</f>
        <v>Addition of like terms</v>
      </c>
      <c r="AM95" s="8"/>
      <c r="AN95" s="8"/>
      <c r="AO95" s="8"/>
      <c r="AP95" s="8"/>
      <c r="AQ95" s="8"/>
      <c r="AR95" s="8"/>
      <c r="AS95" s="8"/>
      <c r="AT95" s="8"/>
      <c r="AU95" s="8"/>
      <c r="AV95" s="8"/>
      <c r="AW95" s="8"/>
      <c r="AX95" s="8"/>
      <c r="AY95" s="8"/>
      <c r="AZ95" s="8"/>
      <c r="BA95" s="8"/>
      <c r="BB95" s="8"/>
      <c r="BC95" s="8"/>
      <c r="BD95" s="8"/>
      <c r="BE95" s="8"/>
    </row>
    <row r="96" spans="1:57">
      <c r="A96" s="8" t="s">
        <v>247</v>
      </c>
      <c r="B96" s="8" t="s">
        <v>47</v>
      </c>
      <c r="C96" s="8" t="s">
        <v>731</v>
      </c>
      <c r="D96" s="8" t="s">
        <v>732</v>
      </c>
      <c r="E96" s="8" t="s">
        <v>863</v>
      </c>
      <c r="F96" s="54" t="s">
        <v>875</v>
      </c>
      <c r="G96" s="8" t="s">
        <v>878</v>
      </c>
      <c r="H96" s="8" t="str">
        <f ca="1">IFERROR(__xludf.DUMMYFUNCTION("VLOOKUP(G96, IMPORTRANGE(""https://docs.google.com/spreadsheets/d/14deopnvwcrKtEGCKuYXdUHJbeLDZlkiSSWWT0g7x2pM/edit#gid=999382323"", ""LU List Maths (Filter)!A:B""), 2, FALSE)"),"Multiplication of binomial by trinomial")</f>
        <v>Multiplication of binomial by trinomial</v>
      </c>
      <c r="I96" s="10" t="str">
        <f t="shared" si="0"/>
        <v>LU000701.001</v>
      </c>
      <c r="J96" s="10" t="str">
        <f ca="1">IFERROR(__xludf.DUMMYFUNCTION("VLOOKUP(I96, IMPORTRANGE(""https://docs.google.com/spreadsheets/d/1yDAaXNsi4Mr5FtRQL4tbmSdIzhx6_m4wkOD7IG-k_eo/edit#gid=0"", ""Maths!M:N""), 2, FALSE)"),"List the basic rules for multiplying a binomial by a trinomial.")</f>
        <v>List the basic rules for multiplying a binomial by a trinomial.</v>
      </c>
      <c r="K96" s="10" t="str">
        <f t="shared" si="1"/>
        <v>LU000701.002</v>
      </c>
      <c r="L96" s="10" t="str">
        <f ca="1">IFERROR(__xludf.DUMMYFUNCTION("VLOOKUP(K96, IMPORTRANGE(""https://docs.google.com/spreadsheets/d/1yDAaXNsi4Mr5FtRQL4tbmSdIzhx6_m4wkOD7IG-k_eo/edit#gid=0"", ""Maths!M:N""), 2, FALSE)"),"Explain the concept of multiplying a binomial by a trinomial and provide examples to illustrate the process.")</f>
        <v>Explain the concept of multiplying a binomial by a trinomial and provide examples to illustrate the process.</v>
      </c>
      <c r="M96" s="10" t="str">
        <f t="shared" si="2"/>
        <v>LU000701.003</v>
      </c>
      <c r="N96" s="10" t="str">
        <f ca="1">IFERROR(__xludf.DUMMYFUNCTION("VLOOKUP(M96, IMPORTRANGE(""https://docs.google.com/spreadsheets/d/1yDAaXNsi4Mr5FtRQL4tbmSdIzhx6_m4wkOD7IG-k_eo/edit#gid=0"", ""Maths!M:N""), 2, FALSE)"),"Apply the rules of binomial multiplication to solve problems involving the multiplication of a binomial by a trinomial.")</f>
        <v>Apply the rules of binomial multiplication to solve problems involving the multiplication of a binomial by a trinomial.</v>
      </c>
      <c r="O96" s="10" t="str">
        <f t="shared" si="3"/>
        <v>LU000701.004</v>
      </c>
      <c r="P96" s="10" t="str">
        <f ca="1">IFERROR(__xludf.DUMMYFUNCTION("VLOOKUP(O96, IMPORTRANGE(""https://docs.google.com/spreadsheets/d/1yDAaXNsi4Mr5FtRQL4tbmSdIzhx6_m4wkOD7IG-k_eo/edit#gid=0"", ""Maths!M:N""), 2, FALSE)"),"Analyse the process of multiplying a binomial by a trinomial, considering the distribution of terms and applying the rules of multiplication to simplify expressions.")</f>
        <v>Analyse the process of multiplying a binomial by a trinomial, considering the distribution of terms and applying the rules of multiplication to simplify expressions.</v>
      </c>
      <c r="Q96" s="10" t="str">
        <f t="shared" si="4"/>
        <v>LU000701.005</v>
      </c>
      <c r="R96" s="10" t="str">
        <f ca="1">IFERROR(__xludf.DUMMYFUNCTION("VLOOKUP(Q96, IMPORTRANGE(""https://docs.google.com/spreadsheets/d/1yDAaXNsi4Mr5FtRQL4tbmSdIzhx6_m4wkOD7IG-k_eo/edit#gid=0"", ""Maths!M:N""), 2, FALSE)"),"Evaluate the applicability of binomial-trinomial multiplication in real-world scenarios, identifying situations where this mathematical operation is particularly useful.")</f>
        <v>Evaluate the applicability of binomial-trinomial multiplication in real-world scenarios, identifying situations where this mathematical operation is particularly useful.</v>
      </c>
      <c r="S96" s="10" t="str">
        <f t="shared" si="5"/>
        <v>LU000701.006</v>
      </c>
      <c r="T96" s="10" t="str">
        <f ca="1">IFERROR(__xludf.DUMMYFUNCTION("VLOOKUP(S96, IMPORTRANGE(""https://docs.google.com/spreadsheets/d/1yDAaXNsi4Mr5FtRQL4tbmSdIzhx6_m4wkOD7IG-k_eo/edit#gid=0"", ""Maths!M:N""), 2, FALSE)"),"Design a set of word problems or practical scenarios that necessitate the multiplication of binomials by trinomials, apply this mathematical operation to real-life situations.")</f>
        <v>Design a set of word problems or practical scenarios that necessitate the multiplication of binomials by trinomials, apply this mathematical operation to real-life situations.</v>
      </c>
      <c r="U96" s="52">
        <f ca="1">IFERROR(__xludf.DUMMYFUNCTION("ArrayFormula(VLOOKUP(G96, IMPORTRANGE(""https://docs.google.com/spreadsheets/d/1p7R4vtkWt5VOBim4ltsDG9KTzSjrtKXsMtQGXPHyND0/edit#gid=795171502"", ""'Filter 30_05_2024'!A1:M2000""), {2, 3, 4, 5,6,7,8,9,10,11,12,13}, 0))"),4)</f>
        <v>4</v>
      </c>
      <c r="V96" s="52">
        <f ca="1">IFERROR(__xludf.DUMMYFUNCTION("""COMPUTED_VALUE"""),6)</f>
        <v>6</v>
      </c>
      <c r="W96" s="52">
        <f ca="1">IFERROR(__xludf.DUMMYFUNCTION("""COMPUTED_VALUE"""),2)</f>
        <v>2</v>
      </c>
      <c r="X96" s="52">
        <f ca="1">IFERROR(__xludf.DUMMYFUNCTION("""COMPUTED_VALUE"""),12)</f>
        <v>12</v>
      </c>
      <c r="Y96" s="52">
        <f ca="1">IFERROR(__xludf.DUMMYFUNCTION("""COMPUTED_VALUE"""),4)</f>
        <v>4</v>
      </c>
      <c r="Z96" s="53">
        <f ca="1">IFERROR(__xludf.DUMMYFUNCTION("""COMPUTED_VALUE"""),3)</f>
        <v>3</v>
      </c>
      <c r="AA96" s="53">
        <f ca="1">IFERROR(__xludf.DUMMYFUNCTION("""COMPUTED_VALUE"""),1)</f>
        <v>1</v>
      </c>
      <c r="AB96" s="53">
        <f ca="1">IFERROR(__xludf.DUMMYFUNCTION("""COMPUTED_VALUE"""),8)</f>
        <v>8</v>
      </c>
      <c r="AC96" s="53"/>
      <c r="AD96" s="53"/>
      <c r="AE96" s="53"/>
      <c r="AF96" s="53"/>
      <c r="AG96" s="8" t="str">
        <f ca="1">IFERROR(__xludf.DUMMYFUNCTION("ArrayFormula(VLOOKUP(G96, IMPORTRANGE(""https://docs.google.com/spreadsheets/d/1Co934fvtviyaRiMsrIlT05Jaq7iiYq07aLvRr35KA48/edit?gid=173865642#gid=173865642"", ""'G8_Maths_Pri_LU'!G2:V2000""), {3, 4, 5, 6, 7, 8, 9, 10, 11, 12, 13, 14, 15, 16}, 0))"),"LU000698")</f>
        <v>LU000698</v>
      </c>
      <c r="AH96" s="8" t="str">
        <f ca="1">IFERROR(__xludf.DUMMYFUNCTION("""COMPUTED_VALUE"""),"Multiplication of monomial by trinomial")</f>
        <v>Multiplication of monomial by trinomial</v>
      </c>
      <c r="AI96" s="8" t="str">
        <f ca="1">IFERROR(__xludf.DUMMYFUNCTION("""COMPUTED_VALUE"""),"LU000700")</f>
        <v>LU000700</v>
      </c>
      <c r="AJ96" s="8" t="str">
        <f ca="1">IFERROR(__xludf.DUMMYFUNCTION("""COMPUTED_VALUE"""),"Multiplication of binomial by binomial")</f>
        <v>Multiplication of binomial by binomial</v>
      </c>
      <c r="AK96" s="8"/>
      <c r="AL96" s="8"/>
      <c r="AM96" s="8"/>
      <c r="AN96" s="8"/>
      <c r="AO96" s="8"/>
      <c r="AP96" s="8"/>
      <c r="AQ96" s="8"/>
      <c r="AR96" s="8"/>
      <c r="AS96" s="8"/>
      <c r="AT96" s="8"/>
      <c r="AU96" s="8"/>
      <c r="AV96" s="8"/>
      <c r="AW96" s="8"/>
      <c r="AX96" s="8"/>
      <c r="AY96" s="8"/>
      <c r="AZ96" s="8"/>
      <c r="BA96" s="8"/>
      <c r="BB96" s="8"/>
      <c r="BC96" s="8"/>
      <c r="BD96" s="8"/>
      <c r="BE96" s="8"/>
    </row>
    <row r="97" spans="1:57">
      <c r="A97" s="8" t="s">
        <v>247</v>
      </c>
      <c r="B97" s="8" t="s">
        <v>47</v>
      </c>
      <c r="C97" s="8" t="s">
        <v>731</v>
      </c>
      <c r="D97" s="8" t="s">
        <v>732</v>
      </c>
      <c r="E97" s="8" t="s">
        <v>863</v>
      </c>
      <c r="F97" s="54" t="s">
        <v>879</v>
      </c>
      <c r="G97" s="8" t="s">
        <v>880</v>
      </c>
      <c r="H97" s="8" t="str">
        <f ca="1">IFERROR(__xludf.DUMMYFUNCTION("VLOOKUP(G97, IMPORTRANGE(""https://docs.google.com/spreadsheets/d/14deopnvwcrKtEGCKuYXdUHJbeLDZlkiSSWWT0g7x2pM/edit#gid=999382323"", ""LU List Maths (Filter)!A:B""), 2, FALSE)"),"Multiplication of polynomial by polynomial")</f>
        <v>Multiplication of polynomial by polynomial</v>
      </c>
      <c r="I97" s="10" t="str">
        <f t="shared" si="0"/>
        <v>LU000699.001</v>
      </c>
      <c r="J97" s="10" t="str">
        <f ca="1">IFERROR(__xludf.DUMMYFUNCTION("VLOOKUP(I97, IMPORTRANGE(""https://docs.google.com/spreadsheets/d/1yDAaXNsi4Mr5FtRQL4tbmSdIzhx6_m4wkOD7IG-k_eo/edit#gid=0"", ""Maths!M:N""), 2, FALSE)"),"Recall the basic rules for multiplying two polynomials.")</f>
        <v>Recall the basic rules for multiplying two polynomials.</v>
      </c>
      <c r="K97" s="10" t="str">
        <f t="shared" si="1"/>
        <v>LU000699.002</v>
      </c>
      <c r="L97" s="10" t="str">
        <f ca="1">IFERROR(__xludf.DUMMYFUNCTION("VLOOKUP(K97, IMPORTRANGE(""https://docs.google.com/spreadsheets/d/1yDAaXNsi4Mr5FtRQL4tbmSdIzhx6_m4wkOD7IG-k_eo/edit#gid=0"", ""Maths!M:N""), 2, FALSE)"),"Explain the concept of polynomial multiplication, including terms, coefficients, and the distributive property.")</f>
        <v>Explain the concept of polynomial multiplication, including terms, coefficients, and the distributive property.</v>
      </c>
      <c r="M97" s="10" t="str">
        <f t="shared" si="2"/>
        <v>LU000699.003</v>
      </c>
      <c r="N97" s="10" t="str">
        <f ca="1">IFERROR(__xludf.DUMMYFUNCTION("VLOOKUP(M97, IMPORTRANGE(""https://docs.google.com/spreadsheets/d/1yDAaXNsi4Mr5FtRQL4tbmSdIzhx6_m4wkOD7IG-k_eo/edit#gid=0"", ""Maths!M:N""), 2, FALSE)"),"Apply the rules of polynomial multiplication to solve problems involving the multiplication of two polynomials.")</f>
        <v>Apply the rules of polynomial multiplication to solve problems involving the multiplication of two polynomials.</v>
      </c>
      <c r="O97" s="10" t="str">
        <f t="shared" si="3"/>
        <v>LU000699.004</v>
      </c>
      <c r="P97" s="10" t="str">
        <f ca="1">IFERROR(__xludf.DUMMYFUNCTION("VLOOKUP(O97, IMPORTRANGE(""https://docs.google.com/spreadsheets/d/1yDAaXNsi4Mr5FtRQL4tbmSdIzhx6_m4wkOD7IG-k_eo/edit#gid=0"", ""Maths!M:N""), 2, FALSE)"),"Analyse the procedure for multiplying a polynomial by another polynomial, focusing on the distribution of terms and applying the rules of multiplication to simplify expressions.")</f>
        <v>Analyse the procedure for multiplying a polynomial by another polynomial, focusing on the distribution of terms and applying the rules of multiplication to simplify expressions.</v>
      </c>
      <c r="Q97" s="10" t="str">
        <f t="shared" si="4"/>
        <v>LU000699.005</v>
      </c>
      <c r="R97" s="10" t="str">
        <f ca="1">IFERROR(__xludf.DUMMYFUNCTION("VLOOKUP(Q97, IMPORTRANGE(""https://docs.google.com/spreadsheets/d/1yDAaXNsi4Mr5FtRQL4tbmSdIzhx6_m4wkOD7IG-k_eo/edit#gid=0"", ""Maths!M:N""), 2, FALSE)"),"Evaluate and critique solutions provided for problems related to polynomial multiplication, assessing the accuracy and clarity of the solutions.")</f>
        <v>Evaluate and critique solutions provided for problems related to polynomial multiplication, assessing the accuracy and clarity of the solutions.</v>
      </c>
      <c r="S97" s="10" t="str">
        <f t="shared" si="5"/>
        <v>LU000699.006</v>
      </c>
      <c r="T97" s="10" t="str">
        <f ca="1">IFERROR(__xludf.DUMMYFUNCTION("VLOOKUP(S97, IMPORTRANGE(""https://docs.google.com/spreadsheets/d/1yDAaXNsi4Mr5FtRQL4tbmSdIzhx6_m4wkOD7IG-k_eo/edit#gid=0"", ""Maths!M:N""), 2, FALSE)"),"Generate a set of polynomial expressions that require multiplication, simplify and solve them and the application of polynomial multiplication principles.")</f>
        <v>Generate a set of polynomial expressions that require multiplication, simplify and solve them and the application of polynomial multiplication principles.</v>
      </c>
      <c r="U97" s="52">
        <f ca="1">IFERROR(__xludf.DUMMYFUNCTION("ArrayFormula(VLOOKUP(G97, IMPORTRANGE(""https://docs.google.com/spreadsheets/d/1p7R4vtkWt5VOBim4ltsDG9KTzSjrtKXsMtQGXPHyND0/edit#gid=795171502"", ""'Filter 30_05_2024'!A1:M2000""), {2, 3, 4, 5,6,7,8,9,10,11,12,13}, 0))"),4)</f>
        <v>4</v>
      </c>
      <c r="V97" s="52">
        <f ca="1">IFERROR(__xludf.DUMMYFUNCTION("""COMPUTED_VALUE"""),6)</f>
        <v>6</v>
      </c>
      <c r="W97" s="52">
        <f ca="1">IFERROR(__xludf.DUMMYFUNCTION("""COMPUTED_VALUE"""),2)</f>
        <v>2</v>
      </c>
      <c r="X97" s="52">
        <f ca="1">IFERROR(__xludf.DUMMYFUNCTION("""COMPUTED_VALUE"""),12)</f>
        <v>12</v>
      </c>
      <c r="Y97" s="52">
        <f ca="1">IFERROR(__xludf.DUMMYFUNCTION("""COMPUTED_VALUE"""),4)</f>
        <v>4</v>
      </c>
      <c r="Z97" s="53">
        <f ca="1">IFERROR(__xludf.DUMMYFUNCTION("""COMPUTED_VALUE"""),3)</f>
        <v>3</v>
      </c>
      <c r="AA97" s="53">
        <f ca="1">IFERROR(__xludf.DUMMYFUNCTION("""COMPUTED_VALUE"""),1)</f>
        <v>1</v>
      </c>
      <c r="AB97" s="53">
        <f ca="1">IFERROR(__xludf.DUMMYFUNCTION("""COMPUTED_VALUE"""),8)</f>
        <v>8</v>
      </c>
      <c r="AC97" s="53"/>
      <c r="AD97" s="53"/>
      <c r="AE97" s="53"/>
      <c r="AF97" s="53"/>
      <c r="AG97" s="8" t="str">
        <f ca="1">IFERROR(__xludf.DUMMYFUNCTION("ArrayFormula(VLOOKUP(G97, IMPORTRANGE(""https://docs.google.com/spreadsheets/d/1Co934fvtviyaRiMsrIlT05Jaq7iiYq07aLvRr35KA48/edit?gid=173865642#gid=173865642"", ""'G8_Maths_Pri_LU'!G2:V2000""), {3, 4, 5, 6, 7, 8, 9, 10, 11, 12, 13, 14, 15, 16}, 0))"),"LU000696")</f>
        <v>LU000696</v>
      </c>
      <c r="AH97" s="8" t="str">
        <f ca="1">IFERROR(__xludf.DUMMYFUNCTION("""COMPUTED_VALUE"""),"Multiplication of monomial by polynomial")</f>
        <v>Multiplication of monomial by polynomial</v>
      </c>
      <c r="AI97" s="8" t="str">
        <f ca="1">IFERROR(__xludf.DUMMYFUNCTION("""COMPUTED_VALUE"""),"LU000698")</f>
        <v>LU000698</v>
      </c>
      <c r="AJ97" s="8" t="str">
        <f ca="1">IFERROR(__xludf.DUMMYFUNCTION("""COMPUTED_VALUE"""),"Multiplication of monomial by trinomial")</f>
        <v>Multiplication of monomial by trinomial</v>
      </c>
      <c r="AK97" s="8" t="str">
        <f ca="1">IFERROR(__xludf.DUMMYFUNCTION("""COMPUTED_VALUE"""),"LU000701")</f>
        <v>LU000701</v>
      </c>
      <c r="AL97" s="8" t="str">
        <f ca="1">IFERROR(__xludf.DUMMYFUNCTION("""COMPUTED_VALUE"""),"Multiplication of binomial by trinomial")</f>
        <v>Multiplication of binomial by trinomial</v>
      </c>
      <c r="AM97" s="8"/>
      <c r="AN97" s="8"/>
      <c r="AO97" s="8"/>
      <c r="AP97" s="8"/>
      <c r="AQ97" s="8"/>
      <c r="AR97" s="8"/>
      <c r="AS97" s="8"/>
      <c r="AT97" s="8"/>
      <c r="AU97" s="8"/>
      <c r="AV97" s="8"/>
      <c r="AW97" s="8"/>
      <c r="AX97" s="8"/>
      <c r="AY97" s="8"/>
      <c r="AZ97" s="8"/>
      <c r="BA97" s="8"/>
      <c r="BB97" s="8"/>
      <c r="BC97" s="8"/>
      <c r="BD97" s="8"/>
      <c r="BE97" s="8"/>
    </row>
    <row r="98" spans="1:57">
      <c r="A98" s="8" t="s">
        <v>247</v>
      </c>
      <c r="B98" s="8" t="s">
        <v>47</v>
      </c>
      <c r="C98" s="8" t="s">
        <v>731</v>
      </c>
      <c r="D98" s="8" t="s">
        <v>732</v>
      </c>
      <c r="E98" s="8" t="s">
        <v>863</v>
      </c>
      <c r="F98" s="54" t="s">
        <v>881</v>
      </c>
      <c r="G98" s="8" t="s">
        <v>882</v>
      </c>
      <c r="H98" s="8" t="str">
        <f ca="1">IFERROR(__xludf.DUMMYFUNCTION("VLOOKUP(G98, IMPORTRANGE(""https://docs.google.com/spreadsheets/d/14deopnvwcrKtEGCKuYXdUHJbeLDZlkiSSWWT0g7x2pM/edit#gid=999382323"", ""LU List Maths (Filter)!A:B""), 2, FALSE)"),"Definition of algebraic identity")</f>
        <v>Definition of algebraic identity</v>
      </c>
      <c r="I98" s="10" t="str">
        <f t="shared" si="0"/>
        <v>LU000702.001</v>
      </c>
      <c r="J98" s="10" t="str">
        <f ca="1">IFERROR(__xludf.DUMMYFUNCTION("VLOOKUP(I98, IMPORTRANGE(""https://docs.google.com/spreadsheets/d/1yDAaXNsi4Mr5FtRQL4tbmSdIzhx6_m4wkOD7IG-k_eo/edit#gid=0"", ""Maths!M:N""), 2, FALSE)"),"State the definition of an algebraic identity and list algebraic identities.")</f>
        <v>State the definition of an algebraic identity and list algebraic identities.</v>
      </c>
      <c r="K98" s="10" t="str">
        <f t="shared" si="1"/>
        <v>LU000702.002</v>
      </c>
      <c r="L98" s="10" t="str">
        <f ca="1">IFERROR(__xludf.DUMMYFUNCTION("VLOOKUP(K98, IMPORTRANGE(""https://docs.google.com/spreadsheets/d/1yDAaXNsi4Mr5FtRQL4tbmSdIzhx6_m4wkOD7IG-k_eo/edit#gid=0"", ""Maths!M:N""), 2, FALSE)"),"Explain the meaning of an algebraic identity and demonstrate its application using examples")</f>
        <v>Explain the meaning of an algebraic identity and demonstrate its application using examples</v>
      </c>
      <c r="M98" s="10" t="str">
        <f t="shared" si="2"/>
        <v>LU000702.003</v>
      </c>
      <c r="N98" s="10" t="str">
        <f ca="1">IFERROR(__xludf.DUMMYFUNCTION("VLOOKUP(M98, IMPORTRANGE(""https://docs.google.com/spreadsheets/d/1yDAaXNsi4Mr5FtRQL4tbmSdIzhx6_m4wkOD7IG-k_eo/edit#gid=0"", ""Maths!M:N""), 2, FALSE)"),"Use the algebraic identities to simplify and solve an expression.")</f>
        <v>Use the algebraic identities to simplify and solve an expression.</v>
      </c>
      <c r="O98" s="10" t="str">
        <f t="shared" si="3"/>
        <v>LU000702.004</v>
      </c>
      <c r="P98" s="10" t="str">
        <f ca="1">IFERROR(__xludf.DUMMYFUNCTION("VLOOKUP(O98, IMPORTRANGE(""https://docs.google.com/spreadsheets/d/1yDAaXNsi4Mr5FtRQL4tbmSdIzhx6_m4wkOD7IG-k_eo/edit#gid=0"", ""Maths!M:N""), 2, FALSE)"),"Analyse a polynomial expression and identify the suitable algebraic identity to simplify it.")</f>
        <v>Analyse a polynomial expression and identify the suitable algebraic identity to simplify it.</v>
      </c>
      <c r="Q98" s="10" t="str">
        <f t="shared" si="4"/>
        <v>LU000702.005</v>
      </c>
      <c r="R98" s="10" t="str">
        <f ca="1">IFERROR(__xludf.DUMMYFUNCTION("VLOOKUP(Q98, IMPORTRANGE(""https://docs.google.com/spreadsheets/d/1yDAaXNsi4Mr5FtRQL4tbmSdIzhx6_m4wkOD7IG-k_eo/edit#gid=0"", ""Maths!M:N""), 2, FALSE)"),"Assess the accuracy of solutions presented for algebraic identity problems, verifying if identities are correctly applied.")</f>
        <v>Assess the accuracy of solutions presented for algebraic identity problems, verifying if identities are correctly applied.</v>
      </c>
      <c r="S98" s="10" t="str">
        <f t="shared" si="5"/>
        <v>LU000702.006</v>
      </c>
      <c r="T98" s="10" t="str">
        <f ca="1">IFERROR(__xludf.DUMMYFUNCTION("VLOOKUP(S98, IMPORTRANGE(""https://docs.google.com/spreadsheets/d/1yDAaXNsi4Mr5FtRQL4tbmSdIzhx6_m4wkOD7IG-k_eo/edit#gid=0"", ""Maths!M:N""), 2, FALSE)"),"Formulate original polynomial expressions that showcase the practical application of algebraic identities in distinct contexts.")</f>
        <v>Formulate original polynomial expressions that showcase the practical application of algebraic identities in distinct contexts.</v>
      </c>
      <c r="U98" s="52">
        <f ca="1">IFERROR(__xludf.DUMMYFUNCTION("ArrayFormula(VLOOKUP(G98, IMPORTRANGE(""https://docs.google.com/spreadsheets/d/1p7R4vtkWt5VOBim4ltsDG9KTzSjrtKXsMtQGXPHyND0/edit#gid=795171502"", ""'Filter 30_05_2024'!A1:M2000""), {2, 3, 4, 5,6,7,8,9,10,11,12,13}, 0))"),5)</f>
        <v>5</v>
      </c>
      <c r="V98" s="52">
        <f ca="1">IFERROR(__xludf.DUMMYFUNCTION("""COMPUTED_VALUE"""),5)</f>
        <v>5</v>
      </c>
      <c r="W98" s="52">
        <f ca="1">IFERROR(__xludf.DUMMYFUNCTION("""COMPUTED_VALUE"""),2)</f>
        <v>2</v>
      </c>
      <c r="X98" s="52">
        <f ca="1">IFERROR(__xludf.DUMMYFUNCTION("""COMPUTED_VALUE"""),12)</f>
        <v>12</v>
      </c>
      <c r="Y98" s="52">
        <f ca="1">IFERROR(__xludf.DUMMYFUNCTION("""COMPUTED_VALUE"""),4)</f>
        <v>4</v>
      </c>
      <c r="Z98" s="53">
        <f ca="1">IFERROR(__xludf.DUMMYFUNCTION("""COMPUTED_VALUE"""),3)</f>
        <v>3</v>
      </c>
      <c r="AA98" s="53">
        <f ca="1">IFERROR(__xludf.DUMMYFUNCTION("""COMPUTED_VALUE"""),1)</f>
        <v>1</v>
      </c>
      <c r="AB98" s="53">
        <f ca="1">IFERROR(__xludf.DUMMYFUNCTION("""COMPUTED_VALUE"""),8)</f>
        <v>8</v>
      </c>
      <c r="AC98" s="53"/>
      <c r="AD98" s="53"/>
      <c r="AE98" s="53"/>
      <c r="AF98" s="53"/>
      <c r="AG98" s="8" t="str">
        <f ca="1">IFERROR(__xludf.DUMMYFUNCTION("ArrayFormula(VLOOKUP(G98, IMPORTRANGE(""https://docs.google.com/spreadsheets/d/1Co934fvtviyaRiMsrIlT05Jaq7iiYq07aLvRr35KA48/edit?gid=173865642#gid=173865642"", ""'G8_Maths_Pri_LU'!G2:V2000""), {3, 4, 5, 6, 7, 8, 9, 10, 11, 12, 13, 14, 15, 16}, 0))"),"LU000700")</f>
        <v>LU000700</v>
      </c>
      <c r="AH98" s="8" t="str">
        <f ca="1">IFERROR(__xludf.DUMMYFUNCTION("""COMPUTED_VALUE"""),"Multiplication of binomial by binomial")</f>
        <v>Multiplication of binomial by binomial</v>
      </c>
      <c r="AI98" s="8"/>
      <c r="AJ98" s="8"/>
      <c r="AK98" s="8"/>
      <c r="AL98" s="8"/>
      <c r="AM98" s="8"/>
      <c r="AN98" s="8"/>
      <c r="AO98" s="8"/>
      <c r="AP98" s="8"/>
      <c r="AQ98" s="8"/>
      <c r="AR98" s="8"/>
      <c r="AS98" s="8"/>
      <c r="AT98" s="8"/>
      <c r="AU98" s="8"/>
      <c r="AV98" s="8"/>
      <c r="AW98" s="8"/>
      <c r="AX98" s="8"/>
      <c r="AY98" s="8"/>
      <c r="AZ98" s="8"/>
      <c r="BA98" s="8"/>
      <c r="BB98" s="8"/>
      <c r="BC98" s="8"/>
      <c r="BD98" s="8"/>
      <c r="BE98" s="8"/>
    </row>
    <row r="99" spans="1:57">
      <c r="A99" s="8" t="s">
        <v>247</v>
      </c>
      <c r="B99" s="8" t="s">
        <v>47</v>
      </c>
      <c r="C99" s="8" t="s">
        <v>731</v>
      </c>
      <c r="D99" s="8" t="s">
        <v>732</v>
      </c>
      <c r="E99" s="8" t="s">
        <v>863</v>
      </c>
      <c r="F99" s="54" t="s">
        <v>881</v>
      </c>
      <c r="G99" s="8" t="s">
        <v>883</v>
      </c>
      <c r="H99" s="8" t="str">
        <f ca="1">IFERROR(__xludf.DUMMYFUNCTION("VLOOKUP(G99, IMPORTRANGE(""https://docs.google.com/spreadsheets/d/14deopnvwcrKtEGCKuYXdUHJbeLDZlkiSSWWT0g7x2pM/edit#gid=999382323"", ""LU List Maths (Filter)!A:B""), 2, FALSE)"),"Algebraic identity for (a+b)^2")</f>
        <v>Algebraic identity for (a+b)^2</v>
      </c>
      <c r="I99" s="10" t="str">
        <f t="shared" si="0"/>
        <v>LU000705.001</v>
      </c>
      <c r="J99" s="10" t="str">
        <f ca="1">IFERROR(__xludf.DUMMYFUNCTION("VLOOKUP(I99, IMPORTRANGE(""https://docs.google.com/spreadsheets/d/1yDAaXNsi4Mr5FtRQL4tbmSdIzhx6_m4wkOD7IG-k_eo/edit#gid=0"", ""Maths!M:N""), 2, FALSE)"),"State the algebraic identity for (a+b)^2 and explain its importance in algebraic expressions.")</f>
        <v>State the algebraic identity for (a+b)^2 and explain its importance in algebraic expressions.</v>
      </c>
      <c r="K99" s="10" t="str">
        <f t="shared" si="1"/>
        <v>LU000705.002</v>
      </c>
      <c r="L99" s="10" t="str">
        <f ca="1">IFERROR(__xludf.DUMMYFUNCTION("VLOOKUP(K99, IMPORTRANGE(""https://docs.google.com/spreadsheets/d/1yDAaXNsi4Mr5FtRQL4tbmSdIzhx6_m4wkOD7IG-k_eo/edit#gid=0"", ""Maths!M:N""), 2, FALSE)"),"Describe the meaning of the algebraic identity (a+b)^2 and provide a numerical example showcasing its use in polynomial expansion.")</f>
        <v>Describe the meaning of the algebraic identity (a+b)^2 and provide a numerical example showcasing its use in polynomial expansion.</v>
      </c>
      <c r="M99" s="10" t="str">
        <f t="shared" si="2"/>
        <v>LU000705.003</v>
      </c>
      <c r="N99" s="10" t="str">
        <f ca="1">IFERROR(__xludf.DUMMYFUNCTION("VLOOKUP(M99, IMPORTRANGE(""https://docs.google.com/spreadsheets/d/1yDAaXNsi4Mr5FtRQL4tbmSdIzhx6_m4wkOD7IG-k_eo/edit#gid=0"", ""Maths!M:N""), 2, FALSE)"),"Utilize the algebraic identity (a+b)^2 to expand expressions (like (4x+3y)^2) and find the solution.")</f>
        <v>Utilize the algebraic identity (a+b)^2 to expand expressions (like (4x+3y)^2) and find the solution.</v>
      </c>
      <c r="O99" s="10" t="str">
        <f t="shared" si="3"/>
        <v>LU000705.004</v>
      </c>
      <c r="P99" s="10" t="str">
        <f ca="1">IFERROR(__xludf.DUMMYFUNCTION("VLOOKUP(O99, IMPORTRANGE(""https://docs.google.com/spreadsheets/d/1yDAaXNsi4Mr5FtRQL4tbmSdIzhx6_m4wkOD7IG-k_eo/edit#gid=0"", ""Maths!M:N""), 2, FALSE)"),"Analyse complex binomial expressions and determine when and how to apply the algebraic identity (a+b)^2 for expansion and simplification.")</f>
        <v>Analyse complex binomial expressions and determine when and how to apply the algebraic identity (a+b)^2 for expansion and simplification.</v>
      </c>
      <c r="Q99" s="10" t="str">
        <f t="shared" si="4"/>
        <v>LU000705.005</v>
      </c>
      <c r="R99" s="10" t="str">
        <f ca="1">IFERROR(__xludf.DUMMYFUNCTION("VLOOKUP(Q99, IMPORTRANGE(""https://docs.google.com/spreadsheets/d/1yDAaXNsi4Mr5FtRQL4tbmSdIzhx6_m4wkOD7IG-k_eo/edit#gid=0"", ""Maths!M:N""), 2, FALSE)"),"Assess the precision and effectiveness of applying the algebraic identity (a+b)^2 to expand expressions in various mathematical contexts.")</f>
        <v>Assess the precision and effectiveness of applying the algebraic identity (a+b)^2 to expand expressions in various mathematical contexts.</v>
      </c>
      <c r="S99" s="10" t="str">
        <f t="shared" si="5"/>
        <v>LU000705.006</v>
      </c>
      <c r="T99" s="10" t="str">
        <f ca="1">IFERROR(__xludf.DUMMYFUNCTION("VLOOKUP(S99, IMPORTRANGE(""https://docs.google.com/spreadsheets/d/1yDAaXNsi4Mr5FtRQL4tbmSdIzhx6_m4wkOD7IG-k_eo/edit#gid=0"", ""Maths!M:N""), 2, FALSE)"),"Design original mathematical problems or scenarios where the algebraic identity (a+b)^2 is a critical component to apply this identity creatively in problem-solving.")</f>
        <v>Design original mathematical problems or scenarios where the algebraic identity (a+b)^2 is a critical component to apply this identity creatively in problem-solving.</v>
      </c>
      <c r="U99" s="52">
        <f ca="1">IFERROR(__xludf.DUMMYFUNCTION("ArrayFormula(VLOOKUP(G99, IMPORTRANGE(""https://docs.google.com/spreadsheets/d/1p7R4vtkWt5VOBim4ltsDG9KTzSjrtKXsMtQGXPHyND0/edit#gid=795171502"", ""'Filter 30_05_2024'!A1:M2000""), {2, 3, 4, 5,6,7,8,9,10,11,12,13}, 0))"),4)</f>
        <v>4</v>
      </c>
      <c r="V99" s="52">
        <f ca="1">IFERROR(__xludf.DUMMYFUNCTION("""COMPUTED_VALUE"""),6)</f>
        <v>6</v>
      </c>
      <c r="W99" s="52">
        <f ca="1">IFERROR(__xludf.DUMMYFUNCTION("""COMPUTED_VALUE"""),2)</f>
        <v>2</v>
      </c>
      <c r="X99" s="52">
        <f ca="1">IFERROR(__xludf.DUMMYFUNCTION("""COMPUTED_VALUE"""),12)</f>
        <v>12</v>
      </c>
      <c r="Y99" s="52">
        <f ca="1">IFERROR(__xludf.DUMMYFUNCTION("""COMPUTED_VALUE"""),4)</f>
        <v>4</v>
      </c>
      <c r="Z99" s="53">
        <f ca="1">IFERROR(__xludf.DUMMYFUNCTION("""COMPUTED_VALUE"""),3)</f>
        <v>3</v>
      </c>
      <c r="AA99" s="53">
        <f ca="1">IFERROR(__xludf.DUMMYFUNCTION("""COMPUTED_VALUE"""),1)</f>
        <v>1</v>
      </c>
      <c r="AB99" s="53">
        <f ca="1">IFERROR(__xludf.DUMMYFUNCTION("""COMPUTED_VALUE"""),8)</f>
        <v>8</v>
      </c>
      <c r="AC99" s="53"/>
      <c r="AD99" s="53"/>
      <c r="AE99" s="53"/>
      <c r="AF99" s="53"/>
      <c r="AG99" s="8" t="str">
        <f ca="1">IFERROR(__xludf.DUMMYFUNCTION("ArrayFormula(VLOOKUP(G99, IMPORTRANGE(""https://docs.google.com/spreadsheets/d/1Co934fvtviyaRiMsrIlT05Jaq7iiYq07aLvRr35KA48/edit?gid=173865642#gid=173865642"", ""'G8_Maths_Pri_LU'!G2:V2000""), {3, 4, 5, 6, 7, 8, 9, 10, 11, 12, 13, 14, 15, 16}, 0))"),"LU000700")</f>
        <v>LU000700</v>
      </c>
      <c r="AH99" s="8" t="str">
        <f ca="1">IFERROR(__xludf.DUMMYFUNCTION("""COMPUTED_VALUE"""),"Multiplication of binomial by binomial")</f>
        <v>Multiplication of binomial by binomial</v>
      </c>
      <c r="AI99" s="8" t="str">
        <f ca="1">IFERROR(__xludf.DUMMYFUNCTION("""COMPUTED_VALUE"""),"LU000702")</f>
        <v>LU000702</v>
      </c>
      <c r="AJ99" s="8" t="str">
        <f ca="1">IFERROR(__xludf.DUMMYFUNCTION("""COMPUTED_VALUE"""),"Definition of algebraic identity")</f>
        <v>Definition of algebraic identity</v>
      </c>
      <c r="AK99" s="8"/>
      <c r="AL99" s="8"/>
      <c r="AM99" s="8"/>
      <c r="AN99" s="8"/>
      <c r="AO99" s="8"/>
      <c r="AP99" s="8"/>
      <c r="AQ99" s="8"/>
      <c r="AR99" s="8"/>
      <c r="AS99" s="8"/>
      <c r="AT99" s="8"/>
      <c r="AU99" s="8"/>
      <c r="AV99" s="8"/>
      <c r="AW99" s="8"/>
      <c r="AX99" s="8"/>
      <c r="AY99" s="8"/>
      <c r="AZ99" s="8"/>
      <c r="BA99" s="8"/>
      <c r="BB99" s="8"/>
      <c r="BC99" s="8"/>
      <c r="BD99" s="8"/>
      <c r="BE99" s="8"/>
    </row>
    <row r="100" spans="1:57">
      <c r="A100" s="8" t="s">
        <v>247</v>
      </c>
      <c r="B100" s="8" t="s">
        <v>47</v>
      </c>
      <c r="C100" s="8" t="s">
        <v>731</v>
      </c>
      <c r="D100" s="8" t="s">
        <v>732</v>
      </c>
      <c r="E100" s="8" t="s">
        <v>863</v>
      </c>
      <c r="F100" s="54" t="s">
        <v>881</v>
      </c>
      <c r="G100" s="8" t="s">
        <v>884</v>
      </c>
      <c r="H100" s="8" t="str">
        <f ca="1">IFERROR(__xludf.DUMMYFUNCTION("VLOOKUP(G100, IMPORTRANGE(""https://docs.google.com/spreadsheets/d/14deopnvwcrKtEGCKuYXdUHJbeLDZlkiSSWWT0g7x2pM/edit#gid=999382323"", ""LU List Maths (Filter)!A:B""), 2, FALSE)"),"Algebraic identity for (a-b)^2")</f>
        <v>Algebraic identity for (a-b)^2</v>
      </c>
      <c r="I100" s="10" t="str">
        <f t="shared" si="0"/>
        <v>LU000704.001</v>
      </c>
      <c r="J100" s="10" t="str">
        <f ca="1">IFERROR(__xludf.DUMMYFUNCTION("VLOOKUP(I100, IMPORTRANGE(""https://docs.google.com/spreadsheets/d/1yDAaXNsi4Mr5FtRQL4tbmSdIzhx6_m4wkOD7IG-k_eo/edit#gid=0"", ""Maths!M:N""), 2, FALSE)"),"State the algebraic identity for (a−b)^2 and explain its importance in algebraic expressions.")</f>
        <v>State the algebraic identity for (a−b)^2 and explain its importance in algebraic expressions.</v>
      </c>
      <c r="K100" s="10" t="str">
        <f t="shared" si="1"/>
        <v>LU000704.002</v>
      </c>
      <c r="L100" s="10" t="str">
        <f ca="1">IFERROR(__xludf.DUMMYFUNCTION("VLOOKUP(K100, IMPORTRANGE(""https://docs.google.com/spreadsheets/d/1yDAaXNsi4Mr5FtRQL4tbmSdIzhx6_m4wkOD7IG-k_eo/edit#gid=0"", ""Maths!M:N""), 2, FALSE)"),"Describe the meaning of the algebraic identity (a−b)^2 and provide a numerical example showcasing its use in polynomial expansion.")</f>
        <v>Describe the meaning of the algebraic identity (a−b)^2 and provide a numerical example showcasing its use in polynomial expansion.</v>
      </c>
      <c r="M100" s="10" t="str">
        <f t="shared" si="2"/>
        <v>LU000704.003</v>
      </c>
      <c r="N100" s="10" t="str">
        <f ca="1">IFERROR(__xludf.DUMMYFUNCTION("VLOOKUP(M100, IMPORTRANGE(""https://docs.google.com/spreadsheets/d/1yDAaXNsi4Mr5FtRQL4tbmSdIzhx6_m4wkOD7IG-k_eo/edit#gid=0"", ""Maths!M:N""), 2, FALSE)"),"Utilize the algebraic identity (a−b)^2 to expand expressions (like (2x−3y)^2) and find the solution.")</f>
        <v>Utilize the algebraic identity (a−b)^2 to expand expressions (like (2x−3y)^2) and find the solution.</v>
      </c>
      <c r="O100" s="10" t="str">
        <f t="shared" si="3"/>
        <v>LU000704.004</v>
      </c>
      <c r="P100" s="10" t="str">
        <f ca="1">IFERROR(__xludf.DUMMYFUNCTION("VLOOKUP(O100, IMPORTRANGE(""https://docs.google.com/spreadsheets/d/1yDAaXNsi4Mr5FtRQL4tbmSdIzhx6_m4wkOD7IG-k_eo/edit#gid=0"", ""Maths!M:N""), 2, FALSE)"),"Analyse complex binomial expressions and determine when and how to apply the algebraic identity (a−b)^2 for expansion and simplification.")</f>
        <v>Analyse complex binomial expressions and determine when and how to apply the algebraic identity (a−b)^2 for expansion and simplification.</v>
      </c>
      <c r="Q100" s="10" t="str">
        <f t="shared" si="4"/>
        <v>LU000704.005</v>
      </c>
      <c r="R100" s="10" t="str">
        <f ca="1">IFERROR(__xludf.DUMMYFUNCTION("VLOOKUP(Q100, IMPORTRANGE(""https://docs.google.com/spreadsheets/d/1yDAaXNsi4Mr5FtRQL4tbmSdIzhx6_m4wkOD7IG-k_eo/edit#gid=0"", ""Maths!M:N""), 2, FALSE)"),"Assess the precision and effectiveness of applying the algebraic identity (a−b)^2 to expand expressions in various mathematical contexts.")</f>
        <v>Assess the precision and effectiveness of applying the algebraic identity (a−b)^2 to expand expressions in various mathematical contexts.</v>
      </c>
      <c r="S100" s="10" t="str">
        <f t="shared" si="5"/>
        <v>LU000704.006</v>
      </c>
      <c r="T100" s="10" t="str">
        <f ca="1">IFERROR(__xludf.DUMMYFUNCTION("VLOOKUP(S100, IMPORTRANGE(""https://docs.google.com/spreadsheets/d/1yDAaXNsi4Mr5FtRQL4tbmSdIzhx6_m4wkOD7IG-k_eo/edit#gid=0"", ""Maths!M:N""), 2, FALSE)"),"Design original mathematical problems or scenarios where the algebraic identity (a−b)^2 is a critical component to apply this identity creatively in problem-solving.")</f>
        <v>Design original mathematical problems or scenarios where the algebraic identity (a−b)^2 is a critical component to apply this identity creatively in problem-solving.</v>
      </c>
      <c r="U100" s="52">
        <f ca="1">IFERROR(__xludf.DUMMYFUNCTION("ArrayFormula(VLOOKUP(G100, IMPORTRANGE(""https://docs.google.com/spreadsheets/d/1p7R4vtkWt5VOBim4ltsDG9KTzSjrtKXsMtQGXPHyND0/edit#gid=795171502"", ""'Filter 30_05_2024'!A1:M2000""), {2, 3, 4, 5,6,7,8,9,10,11,12,13}, 0))"),4)</f>
        <v>4</v>
      </c>
      <c r="V100" s="52">
        <f ca="1">IFERROR(__xludf.DUMMYFUNCTION("""COMPUTED_VALUE"""),6)</f>
        <v>6</v>
      </c>
      <c r="W100" s="52">
        <f ca="1">IFERROR(__xludf.DUMMYFUNCTION("""COMPUTED_VALUE"""),2)</f>
        <v>2</v>
      </c>
      <c r="X100" s="52">
        <f ca="1">IFERROR(__xludf.DUMMYFUNCTION("""COMPUTED_VALUE"""),12)</f>
        <v>12</v>
      </c>
      <c r="Y100" s="52">
        <f ca="1">IFERROR(__xludf.DUMMYFUNCTION("""COMPUTED_VALUE"""),4)</f>
        <v>4</v>
      </c>
      <c r="Z100" s="53">
        <f ca="1">IFERROR(__xludf.DUMMYFUNCTION("""COMPUTED_VALUE"""),3)</f>
        <v>3</v>
      </c>
      <c r="AA100" s="53">
        <f ca="1">IFERROR(__xludf.DUMMYFUNCTION("""COMPUTED_VALUE"""),1)</f>
        <v>1</v>
      </c>
      <c r="AB100" s="53">
        <f ca="1">IFERROR(__xludf.DUMMYFUNCTION("""COMPUTED_VALUE"""),8)</f>
        <v>8</v>
      </c>
      <c r="AC100" s="53"/>
      <c r="AD100" s="53"/>
      <c r="AE100" s="53"/>
      <c r="AF100" s="53"/>
      <c r="AG100" s="8" t="str">
        <f ca="1">IFERROR(__xludf.DUMMYFUNCTION("ArrayFormula(VLOOKUP(G100, IMPORTRANGE(""https://docs.google.com/spreadsheets/d/1Co934fvtviyaRiMsrIlT05Jaq7iiYq07aLvRr35KA48/edit?gid=173865642#gid=173865642"", ""'G8_Maths_Pri_LU'!G2:V2000""), {3, 4, 5, 6, 7, 8, 9, 10, 11, 12, 13, 14, 15, 16}, 0))"),"LU000705")</f>
        <v>LU000705</v>
      </c>
      <c r="AH100" s="8" t="str">
        <f ca="1">IFERROR(__xludf.DUMMYFUNCTION("""COMPUTED_VALUE"""),"Algebraic identity for (a+b)^2")</f>
        <v>Algebraic identity for (a+b)^2</v>
      </c>
      <c r="AI100" s="8"/>
      <c r="AJ100" s="8"/>
      <c r="AK100" s="8"/>
      <c r="AL100" s="8"/>
      <c r="AM100" s="8"/>
      <c r="AN100" s="8"/>
      <c r="AO100" s="8"/>
      <c r="AP100" s="8"/>
      <c r="AQ100" s="8"/>
      <c r="AR100" s="8"/>
      <c r="AS100" s="8"/>
      <c r="AT100" s="8"/>
      <c r="AU100" s="8"/>
      <c r="AV100" s="8"/>
      <c r="AW100" s="8"/>
      <c r="AX100" s="8"/>
      <c r="AY100" s="8"/>
      <c r="AZ100" s="8"/>
      <c r="BA100" s="8"/>
      <c r="BB100" s="8"/>
      <c r="BC100" s="8"/>
      <c r="BD100" s="8"/>
      <c r="BE100" s="8"/>
    </row>
    <row r="101" spans="1:57">
      <c r="A101" s="8" t="s">
        <v>247</v>
      </c>
      <c r="B101" s="8" t="s">
        <v>47</v>
      </c>
      <c r="C101" s="8" t="s">
        <v>731</v>
      </c>
      <c r="D101" s="8" t="s">
        <v>732</v>
      </c>
      <c r="E101" s="8" t="s">
        <v>863</v>
      </c>
      <c r="F101" s="54" t="s">
        <v>885</v>
      </c>
      <c r="G101" s="8" t="s">
        <v>886</v>
      </c>
      <c r="H101" s="8" t="str">
        <f ca="1">IFERROR(__xludf.DUMMYFUNCTION("VLOOKUP(G101, IMPORTRANGE(""https://docs.google.com/spreadsheets/d/14deopnvwcrKtEGCKuYXdUHJbeLDZlkiSSWWT0g7x2pM/edit#gid=999382323"", ""LU List Maths (Filter)!A:B""), 2, FALSE)"),"Algebraic identity for (a+b)(a-b)")</f>
        <v>Algebraic identity for (a+b)(a-b)</v>
      </c>
      <c r="I101" s="10" t="str">
        <f t="shared" si="0"/>
        <v>LU000703.001</v>
      </c>
      <c r="J101" s="10" t="str">
        <f ca="1">IFERROR(__xludf.DUMMYFUNCTION("VLOOKUP(I101, IMPORTRANGE(""https://docs.google.com/spreadsheets/d/1yDAaXNsi4Mr5FtRQL4tbmSdIzhx6_m4wkOD7IG-k_eo/edit#gid=0"", ""Maths!M:N""), 2, FALSE)"),"State the algebraic identity for a^2 - b^2 as (a + b)(a - b).")</f>
        <v>State the algebraic identity for a^2 - b^2 as (a + b)(a - b).</v>
      </c>
      <c r="K101" s="10" t="str">
        <f t="shared" si="1"/>
        <v>LU000703.002</v>
      </c>
      <c r="L101" s="10" t="str">
        <f ca="1">IFERROR(__xludf.DUMMYFUNCTION("VLOOKUP(K101, IMPORTRANGE(""https://docs.google.com/spreadsheets/d/1yDAaXNsi4Mr5FtRQL4tbmSdIzhx6_m4wkOD7IG-k_eo/edit#gid=0"", ""Maths!M:N""), 2, FALSE)"),"Describe why the algebraic identity for (a + b)(a - b) is essential in factoring polynomials and provide an example of its use in factorisation.")</f>
        <v>Describe why the algebraic identity for (a + b)(a - b) is essential in factoring polynomials and provide an example of its use in factorisation.</v>
      </c>
      <c r="M101" s="10" t="str">
        <f t="shared" si="2"/>
        <v>LU000703.003</v>
      </c>
      <c r="N101" s="10" t="str">
        <f ca="1">IFERROR(__xludf.DUMMYFUNCTION("VLOOKUP(M101, IMPORTRANGE(""https://docs.google.com/spreadsheets/d/1yDAaXNsi4Mr5FtRQL4tbmSdIzhx6_m4wkOD7IG-k_eo/edit#gid=0"", ""Maths!M:N""), 2, FALSE)"),"Apply the algebraic identity (a + b)(a - b) to simplify polynomial expressions and solve mathematical problems.")</f>
        <v>Apply the algebraic identity (a + b)(a - b) to simplify polynomial expressions and solve mathematical problems.</v>
      </c>
      <c r="O101" s="10" t="str">
        <f t="shared" si="3"/>
        <v>LU000703.004</v>
      </c>
      <c r="P101" s="10" t="str">
        <f ca="1">IFERROR(__xludf.DUMMYFUNCTION("VLOOKUP(O101, IMPORTRANGE(""https://docs.google.com/spreadsheets/d/1yDAaXNsi4Mr5FtRQL4tbmSdIzhx6_m4wkOD7IG-k_eo/edit#gid=0"", ""Maths!M:N""), 2, FALSE)"),"Analyse complex polynomial expressions and determine when and how to apply the algebraic identity (a + b)(a - b) for simplification.")</f>
        <v>Analyse complex polynomial expressions and determine when and how to apply the algebraic identity (a + b)(a - b) for simplification.</v>
      </c>
      <c r="Q101" s="10" t="str">
        <f t="shared" si="4"/>
        <v>LU000703.005</v>
      </c>
      <c r="R101" s="10" t="str">
        <f ca="1">IFERROR(__xludf.DUMMYFUNCTION("VLOOKUP(Q101, IMPORTRANGE(""https://docs.google.com/spreadsheets/d/1yDAaXNsi4Mr5FtRQL4tbmSdIzhx6_m4wkOD7IG-k_eo/edit#gid=0"", ""Maths!M:N""), 2, FALSE)"),"Evaluate the effectiveness of using the algebraic identity (a + b)(a - b) in simplifying polynomial expressions, considering correctness and efficiency.")</f>
        <v>Evaluate the effectiveness of using the algebraic identity (a + b)(a - b) in simplifying polynomial expressions, considering correctness and efficiency.</v>
      </c>
      <c r="S101" s="10" t="str">
        <f t="shared" si="5"/>
        <v>LU000703.006</v>
      </c>
      <c r="T101" s="10" t="str">
        <f ca="1">IFERROR(__xludf.DUMMYFUNCTION("VLOOKUP(S101, IMPORTRANGE(""https://docs.google.com/spreadsheets/d/1yDAaXNsi4Mr5FtRQL4tbmSdIzhx6_m4wkOD7IG-k_eo/edit#gid=0"", ""Maths!M:N""), 2, FALSE)"),"Formulate original mathematical problems or scenarios where the algebraic identity (a + b)(a - b) is a crucial step in finding a solution")</f>
        <v>Formulate original mathematical problems or scenarios where the algebraic identity (a + b)(a - b) is a crucial step in finding a solution</v>
      </c>
      <c r="U101" s="52">
        <f ca="1">IFERROR(__xludf.DUMMYFUNCTION("ArrayFormula(VLOOKUP(G101, IMPORTRANGE(""https://docs.google.com/spreadsheets/d/1p7R4vtkWt5VOBim4ltsDG9KTzSjrtKXsMtQGXPHyND0/edit#gid=795171502"", ""'Filter 30_05_2024'!A1:M2000""), {2, 3, 4, 5,6,7,8,9,10,11,12,13}, 0))"),3)</f>
        <v>3</v>
      </c>
      <c r="V101" s="52">
        <f ca="1">IFERROR(__xludf.DUMMYFUNCTION("""COMPUTED_VALUE"""),6)</f>
        <v>6</v>
      </c>
      <c r="W101" s="52">
        <f ca="1">IFERROR(__xludf.DUMMYFUNCTION("""COMPUTED_VALUE"""),2)</f>
        <v>2</v>
      </c>
      <c r="X101" s="52">
        <f ca="1">IFERROR(__xludf.DUMMYFUNCTION("""COMPUTED_VALUE"""),11)</f>
        <v>11</v>
      </c>
      <c r="Y101" s="52">
        <f ca="1">IFERROR(__xludf.DUMMYFUNCTION("""COMPUTED_VALUE"""),5)</f>
        <v>5</v>
      </c>
      <c r="Z101" s="53">
        <f ca="1">IFERROR(__xludf.DUMMYFUNCTION("""COMPUTED_VALUE"""),3)</f>
        <v>3</v>
      </c>
      <c r="AA101" s="53">
        <f ca="1">IFERROR(__xludf.DUMMYFUNCTION("""COMPUTED_VALUE"""),1)</f>
        <v>1</v>
      </c>
      <c r="AB101" s="53">
        <f ca="1">IFERROR(__xludf.DUMMYFUNCTION("""COMPUTED_VALUE"""),9)</f>
        <v>9</v>
      </c>
      <c r="AC101" s="53"/>
      <c r="AD101" s="53"/>
      <c r="AE101" s="53"/>
      <c r="AF101" s="53"/>
      <c r="AG101" s="8" t="str">
        <f ca="1">IFERROR(__xludf.DUMMYFUNCTION("ArrayFormula(VLOOKUP(G101, IMPORTRANGE(""https://docs.google.com/spreadsheets/d/1Co934fvtviyaRiMsrIlT05Jaq7iiYq07aLvRr35KA48/edit?gid=173865642#gid=173865642"", ""'G8_Maths_Pri_LU'!G2:V2000""), {3, 4, 5, 6, 7, 8, 9, 10, 11, 12, 13, 14, 15, 16}, 0))"),"LU000700")</f>
        <v>LU000700</v>
      </c>
      <c r="AH101" s="8" t="str">
        <f ca="1">IFERROR(__xludf.DUMMYFUNCTION("""COMPUTED_VALUE"""),"Multiplication of binomial by binomial")</f>
        <v>Multiplication of binomial by binomial</v>
      </c>
      <c r="AI101" s="8" t="str">
        <f ca="1">IFERROR(__xludf.DUMMYFUNCTION("""COMPUTED_VALUE"""),"LU000702")</f>
        <v>LU000702</v>
      </c>
      <c r="AJ101" s="8" t="str">
        <f ca="1">IFERROR(__xludf.DUMMYFUNCTION("""COMPUTED_VALUE"""),"Definition of algebraic identity")</f>
        <v>Definition of algebraic identity</v>
      </c>
      <c r="AK101" s="8"/>
      <c r="AL101" s="8"/>
      <c r="AM101" s="8"/>
      <c r="AN101" s="8"/>
      <c r="AO101" s="8"/>
      <c r="AP101" s="8"/>
      <c r="AQ101" s="8"/>
      <c r="AR101" s="8"/>
      <c r="AS101" s="8"/>
      <c r="AT101" s="8"/>
      <c r="AU101" s="8"/>
      <c r="AV101" s="8"/>
      <c r="AW101" s="8"/>
      <c r="AX101" s="8"/>
      <c r="AY101" s="8"/>
      <c r="AZ101" s="8"/>
      <c r="BA101" s="8"/>
      <c r="BB101" s="8"/>
      <c r="BC101" s="8"/>
      <c r="BD101" s="8"/>
      <c r="BE101" s="8"/>
    </row>
    <row r="102" spans="1:57">
      <c r="A102" s="8" t="s">
        <v>247</v>
      </c>
      <c r="B102" s="8" t="s">
        <v>47</v>
      </c>
      <c r="C102" s="8" t="s">
        <v>731</v>
      </c>
      <c r="D102" s="8" t="s">
        <v>732</v>
      </c>
      <c r="E102" s="8" t="s">
        <v>863</v>
      </c>
      <c r="F102" s="54" t="s">
        <v>885</v>
      </c>
      <c r="G102" s="8" t="s">
        <v>887</v>
      </c>
      <c r="H102" s="8" t="str">
        <f ca="1">IFERROR(__xludf.DUMMYFUNCTION("VLOOKUP(G102, IMPORTRANGE(""https://docs.google.com/spreadsheets/d/14deopnvwcrKtEGCKuYXdUHJbeLDZlkiSSWWT0g7x2pM/edit#gid=999382323"", ""LU List Maths (Filter)!A:B""), 2, FALSE)"),"Algebraic identity for (x+a)(x+b)")</f>
        <v>Algebraic identity for (x+a)(x+b)</v>
      </c>
      <c r="I102" s="10" t="str">
        <f t="shared" si="0"/>
        <v>LU000706.001</v>
      </c>
      <c r="J102" s="10" t="str">
        <f ca="1">IFERROR(__xludf.DUMMYFUNCTION("VLOOKUP(I102, IMPORTRANGE(""https://docs.google.com/spreadsheets/d/1yDAaXNsi4Mr5FtRQL4tbmSdIzhx6_m4wkOD7IG-k_eo/edit#gid=0"", ""Maths!M:N""), 2, FALSE)"),"State the algebraic identity for (x+a)(x+b) and explain its significance in polynomial expressions.")</f>
        <v>State the algebraic identity for (x+a)(x+b) and explain its significance in polynomial expressions.</v>
      </c>
      <c r="K102" s="10" t="str">
        <f t="shared" si="1"/>
        <v>LU000706.002</v>
      </c>
      <c r="L102" s="10" t="str">
        <f ca="1">IFERROR(__xludf.DUMMYFUNCTION("VLOOKUP(K102, IMPORTRANGE(""https://docs.google.com/spreadsheets/d/1yDAaXNsi4Mr5FtRQL4tbmSdIzhx6_m4wkOD7IG-k_eo/edit#gid=0"", ""Maths!M:N""), 2, FALSE)"),"Explain the concept behind the algebraic identity (x+a)(x+b) and provide examples illustrating its relevance in polynomial factorisation.")</f>
        <v>Explain the concept behind the algebraic identity (x+a)(x+b) and provide examples illustrating its relevance in polynomial factorisation.</v>
      </c>
      <c r="M102" s="10" t="str">
        <f t="shared" si="2"/>
        <v>LU000706.003</v>
      </c>
      <c r="N102" s="10" t="str">
        <f ca="1">IFERROR(__xludf.DUMMYFUNCTION("VLOOKUP(M102, IMPORTRANGE(""https://docs.google.com/spreadsheets/d/1yDAaXNsi4Mr5FtRQL4tbmSdIzhx6_m4wkOD7IG-k_eo/edit#gid=0"", ""Maths!M:N""), 2, FALSE)"),"Apply the algebraic identity (x+a)(x+b) to expand binomial expressions and solve problems involving polynomial manipulation.")</f>
        <v>Apply the algebraic identity (x+a)(x+b) to expand binomial expressions and solve problems involving polynomial manipulation.</v>
      </c>
      <c r="O102" s="10" t="str">
        <f t="shared" si="3"/>
        <v>LU000706.004</v>
      </c>
      <c r="P102" s="10" t="str">
        <f ca="1">IFERROR(__xludf.DUMMYFUNCTION("VLOOKUP(O102, IMPORTRANGE(""https://docs.google.com/spreadsheets/d/1yDAaXNsi4Mr5FtRQL4tbmSdIzhx6_m4wkOD7IG-k_eo/edit#gid=0"", ""Maths!M:N""), 2, FALSE)"),"Analyse complex binomial expressions and determine when and how to apply the algebraic identity (x+a)(x+b) for expansion and simplification.")</f>
        <v>Analyse complex binomial expressions and determine when and how to apply the algebraic identity (x+a)(x+b) for expansion and simplification.</v>
      </c>
      <c r="Q102" s="10" t="str">
        <f t="shared" si="4"/>
        <v>LU000706.005</v>
      </c>
      <c r="R102" s="10" t="str">
        <f ca="1">IFERROR(__xludf.DUMMYFUNCTION("VLOOKUP(Q102, IMPORTRANGE(""https://docs.google.com/spreadsheets/d/1yDAaXNsi4Mr5FtRQL4tbmSdIzhx6_m4wkOD7IG-k_eo/edit#gid=0"", ""Maths!M:N""), 2, FALSE)"),"Assess the precision and effectiveness of applying the algebraic identity (x+a)(x+b) to expand binomial expressions in various mathematical contexts.")</f>
        <v>Assess the precision and effectiveness of applying the algebraic identity (x+a)(x+b) to expand binomial expressions in various mathematical contexts.</v>
      </c>
      <c r="S102" s="10" t="str">
        <f t="shared" si="5"/>
        <v>LU000706.006</v>
      </c>
      <c r="T102" s="10" t="str">
        <f ca="1">IFERROR(__xludf.DUMMYFUNCTION("VLOOKUP(S102, IMPORTRANGE(""https://docs.google.com/spreadsheets/d/1yDAaXNsi4Mr5FtRQL4tbmSdIzhx6_m4wkOD7IG-k_eo/edit#gid=0"", ""Maths!M:N""), 2, FALSE)"),"Design mathematical problems or scenarios that necessitate the application of the algebraic identity (x+a)(x+b).")</f>
        <v>Design mathematical problems or scenarios that necessitate the application of the algebraic identity (x+a)(x+b).</v>
      </c>
      <c r="U102" s="52">
        <f ca="1">IFERROR(__xludf.DUMMYFUNCTION("ArrayFormula(VLOOKUP(G102, IMPORTRANGE(""https://docs.google.com/spreadsheets/d/1p7R4vtkWt5VOBim4ltsDG9KTzSjrtKXsMtQGXPHyND0/edit#gid=795171502"", ""'Filter 30_05_2024'!A1:M2000""), {2, 3, 4, 5,6,7,8,9,10,11,12,13}, 0))"),4)</f>
        <v>4</v>
      </c>
      <c r="V102" s="52">
        <f ca="1">IFERROR(__xludf.DUMMYFUNCTION("""COMPUTED_VALUE"""),6)</f>
        <v>6</v>
      </c>
      <c r="W102" s="52">
        <f ca="1">IFERROR(__xludf.DUMMYFUNCTION("""COMPUTED_VALUE"""),2)</f>
        <v>2</v>
      </c>
      <c r="X102" s="52">
        <f ca="1">IFERROR(__xludf.DUMMYFUNCTION("""COMPUTED_VALUE"""),12)</f>
        <v>12</v>
      </c>
      <c r="Y102" s="52">
        <f ca="1">IFERROR(__xludf.DUMMYFUNCTION("""COMPUTED_VALUE"""),4)</f>
        <v>4</v>
      </c>
      <c r="Z102" s="53">
        <f ca="1">IFERROR(__xludf.DUMMYFUNCTION("""COMPUTED_VALUE"""),3)</f>
        <v>3</v>
      </c>
      <c r="AA102" s="53">
        <f ca="1">IFERROR(__xludf.DUMMYFUNCTION("""COMPUTED_VALUE"""),1)</f>
        <v>1</v>
      </c>
      <c r="AB102" s="53">
        <f ca="1">IFERROR(__xludf.DUMMYFUNCTION("""COMPUTED_VALUE"""),8)</f>
        <v>8</v>
      </c>
      <c r="AC102" s="53"/>
      <c r="AD102" s="53"/>
      <c r="AE102" s="53"/>
      <c r="AF102" s="53"/>
      <c r="AG102" s="8" t="str">
        <f ca="1">IFERROR(__xludf.DUMMYFUNCTION("ArrayFormula(VLOOKUP(G102, IMPORTRANGE(""https://docs.google.com/spreadsheets/d/1Co934fvtviyaRiMsrIlT05Jaq7iiYq07aLvRr35KA48/edit?gid=173865642#gid=173865642"", ""'G8_Maths_Pri_LU'!G2:V2000""), {3, 4, 5, 6, 7, 8, 9, 10, 11, 12, 13, 14, 15, 16}, 0))"),"LU000700")</f>
        <v>LU000700</v>
      </c>
      <c r="AH102" s="8" t="str">
        <f ca="1">IFERROR(__xludf.DUMMYFUNCTION("""COMPUTED_VALUE"""),"Multiplication of binomial by binomial")</f>
        <v>Multiplication of binomial by binomial</v>
      </c>
      <c r="AI102" s="8" t="str">
        <f ca="1">IFERROR(__xludf.DUMMYFUNCTION("""COMPUTED_VALUE"""),"LU000702")</f>
        <v>LU000702</v>
      </c>
      <c r="AJ102" s="8" t="str">
        <f ca="1">IFERROR(__xludf.DUMMYFUNCTION("""COMPUTED_VALUE"""),"Definition of algebraic identity")</f>
        <v>Definition of algebraic identity</v>
      </c>
      <c r="AK102" s="8"/>
      <c r="AL102" s="8"/>
      <c r="AM102" s="8"/>
      <c r="AN102" s="8"/>
      <c r="AO102" s="8"/>
      <c r="AP102" s="8"/>
      <c r="AQ102" s="8"/>
      <c r="AR102" s="8"/>
      <c r="AS102" s="8"/>
      <c r="AT102" s="8"/>
      <c r="AU102" s="8"/>
      <c r="AV102" s="8"/>
      <c r="AW102" s="8"/>
      <c r="AX102" s="8"/>
      <c r="AY102" s="8"/>
      <c r="AZ102" s="8"/>
      <c r="BA102" s="8"/>
      <c r="BB102" s="8"/>
      <c r="BC102" s="8"/>
      <c r="BD102" s="8"/>
      <c r="BE102" s="8"/>
    </row>
    <row r="103" spans="1:57">
      <c r="A103" s="8" t="s">
        <v>247</v>
      </c>
      <c r="B103" s="8" t="s">
        <v>47</v>
      </c>
      <c r="C103" s="8" t="s">
        <v>731</v>
      </c>
      <c r="D103" s="8" t="s">
        <v>732</v>
      </c>
      <c r="E103" s="8" t="s">
        <v>386</v>
      </c>
      <c r="F103" s="60" t="s">
        <v>888</v>
      </c>
      <c r="G103" s="8" t="s">
        <v>889</v>
      </c>
      <c r="H103" s="8" t="str">
        <f ca="1">IFERROR(__xludf.DUMMYFUNCTION("VLOOKUP(G103, IMPORTRANGE(""https://docs.google.com/spreadsheets/d/14deopnvwcrKtEGCKuYXdUHJbeLDZlkiSSWWT0g7x2pM/edit#gid=999382323"", ""LU List Maths (Filter)!A:B""), 2, FALSE)"),"Area of a trapezium using formula")</f>
        <v>Area of a trapezium using formula</v>
      </c>
      <c r="I103" s="10" t="str">
        <f t="shared" si="0"/>
        <v>LU000715.001</v>
      </c>
      <c r="J103" s="10" t="str">
        <f ca="1">IFERROR(__xludf.DUMMYFUNCTION("VLOOKUP(I103, IMPORTRANGE(""https://docs.google.com/spreadsheets/d/1yDAaXNsi4Mr5FtRQL4tbmSdIzhx6_m4wkOD7IG-k_eo/edit#gid=0"", ""Maths!M:N""), 2, FALSE)"),"Recall the formula for calculating the area of a trapezium.")</f>
        <v>Recall the formula for calculating the area of a trapezium.</v>
      </c>
      <c r="K103" s="10" t="str">
        <f t="shared" si="1"/>
        <v>LU000715.002</v>
      </c>
      <c r="L103" s="10" t="str">
        <f ca="1">IFERROR(__xludf.DUMMYFUNCTION("VLOOKUP(K103, IMPORTRANGE(""https://docs.google.com/spreadsheets/d/1yDAaXNsi4Mr5FtRQL4tbmSdIzhx6_m4wkOD7IG-k_eo/edit#gid=0"", ""Maths!M:N""), 2, FALSE)"),"Explain the meaning of each variable in the trapezium area formula (A = ½ × (a + b) × h) and how they relate to the shape.")</f>
        <v>Explain the meaning of each variable in the trapezium area formula (A = ½ × (a + b) × h) and how they relate to the shape.</v>
      </c>
      <c r="M103" s="10" t="str">
        <f t="shared" si="2"/>
        <v>LU000715.003</v>
      </c>
      <c r="N103" s="10" t="str">
        <f ca="1">IFERROR(__xludf.DUMMYFUNCTION("VLOOKUP(M103, IMPORTRANGE(""https://docs.google.com/spreadsheets/d/1yDAaXNsi4Mr5FtRQL4tbmSdIzhx6_m4wkOD7IG-k_eo/edit#gid=0"", ""Maths!M:N""), 2, FALSE)"),"Calculate the area of a given trapezium by applying the area formula.")</f>
        <v>Calculate the area of a given trapezium by applying the area formula.</v>
      </c>
      <c r="O103" s="10" t="str">
        <f t="shared" si="3"/>
        <v>LU000715.004</v>
      </c>
      <c r="P103" s="10" t="str">
        <f ca="1">IFERROR(__xludf.DUMMYFUNCTION("VLOOKUP(O103, IMPORTRANGE(""https://docs.google.com/spreadsheets/d/1yDAaXNsi4Mr5FtRQL4tbmSdIzhx6_m4wkOD7IG-k_eo/edit#gid=0"", ""Maths!M:N""), 2, FALSE)"),"Break down a complex trapezium into simpler shapes and use the trapezium area formula to find its area.")</f>
        <v>Break down a complex trapezium into simpler shapes and use the trapezium area formula to find its area.</v>
      </c>
      <c r="Q103" s="10" t="str">
        <f t="shared" si="4"/>
        <v>LU000715.005</v>
      </c>
      <c r="R103" s="10" t="str">
        <f ca="1">IFERROR(__xludf.DUMMYFUNCTION("VLOOKUP(Q103, IMPORTRANGE(""https://docs.google.com/spreadsheets/d/1yDAaXNsi4Mr5FtRQL4tbmSdIzhx6_m4wkOD7IG-k_eo/edit#gid=0"", ""Maths!M:N""), 2, FALSE)"),"Compare and contrast the area of different trapeziums, identifying how changes in base lengths and height affect the area.")</f>
        <v>Compare and contrast the area of different trapeziums, identifying how changes in base lengths and height affect the area.</v>
      </c>
      <c r="S103" s="10" t="str">
        <f t="shared" si="5"/>
        <v>LU000715.006</v>
      </c>
      <c r="T103" s="10" t="str">
        <f ca="1">IFERROR(__xludf.DUMMYFUNCTION("VLOOKUP(S103, IMPORTRANGE(""https://docs.google.com/spreadsheets/d/1yDAaXNsi4Mr5FtRQL4tbmSdIzhx6_m4wkOD7IG-k_eo/edit#gid=0"", ""Maths!M:N""), 2, FALSE)"),"Design a real-world scenario or problem that requires the calculation of the area of a trapezium, and then solve it, showcasing the practical application of the concept.")</f>
        <v>Design a real-world scenario or problem that requires the calculation of the area of a trapezium, and then solve it, showcasing the practical application of the concept.</v>
      </c>
      <c r="U103" s="52">
        <f ca="1">IFERROR(__xludf.DUMMYFUNCTION("ArrayFormula(VLOOKUP(G103, IMPORTRANGE(""https://docs.google.com/spreadsheets/d/1p7R4vtkWt5VOBim4ltsDG9KTzSjrtKXsMtQGXPHyND0/edit#gid=795171502"", ""'Filter 30_05_2024'!A1:M2000""), {2, 3, 4, 5,6,7,8,9,10,11,12,13}, 0))"),4)</f>
        <v>4</v>
      </c>
      <c r="V103" s="52">
        <f ca="1">IFERROR(__xludf.DUMMYFUNCTION("""COMPUTED_VALUE"""),6)</f>
        <v>6</v>
      </c>
      <c r="W103" s="52">
        <f ca="1">IFERROR(__xludf.DUMMYFUNCTION("""COMPUTED_VALUE"""),2)</f>
        <v>2</v>
      </c>
      <c r="X103" s="52">
        <f ca="1">IFERROR(__xludf.DUMMYFUNCTION("""COMPUTED_VALUE"""),12)</f>
        <v>12</v>
      </c>
      <c r="Y103" s="52">
        <f ca="1">IFERROR(__xludf.DUMMYFUNCTION("""COMPUTED_VALUE"""),4)</f>
        <v>4</v>
      </c>
      <c r="Z103" s="53">
        <f ca="1">IFERROR(__xludf.DUMMYFUNCTION("""COMPUTED_VALUE"""),3)</f>
        <v>3</v>
      </c>
      <c r="AA103" s="53">
        <f ca="1">IFERROR(__xludf.DUMMYFUNCTION("""COMPUTED_VALUE"""),1)</f>
        <v>1</v>
      </c>
      <c r="AB103" s="53">
        <f ca="1">IFERROR(__xludf.DUMMYFUNCTION("""COMPUTED_VALUE"""),8)</f>
        <v>8</v>
      </c>
      <c r="AC103" s="53"/>
      <c r="AD103" s="53"/>
      <c r="AE103" s="53"/>
      <c r="AF103" s="53"/>
      <c r="AG103" s="8" t="str">
        <f ca="1">IFERROR(__xludf.DUMMYFUNCTION("ArrayFormula(VLOOKUP(G103, IMPORTRANGE(""https://docs.google.com/spreadsheets/d/1Co934fvtviyaRiMsrIlT05Jaq7iiYq07aLvRr35KA48/edit?gid=173865642#gid=173865642"", ""'G8_Maths_Pri_LU'!G2:V2000""), {3, 4, 5, 6, 7, 8, 9, 10, 11, 12, 13, 14, 15, 16}, 0))"),"LU000593")</f>
        <v>LU000593</v>
      </c>
      <c r="AH103" s="8" t="str">
        <f ca="1">IFERROR(__xludf.DUMMYFUNCTION("""COMPUTED_VALUE"""),"Definition of trapezium")</f>
        <v>Definition of trapezium</v>
      </c>
      <c r="AI103" s="8" t="str">
        <f ca="1">IFERROR(__xludf.DUMMYFUNCTION("""COMPUTED_VALUE"""),"LU000492")</f>
        <v>LU000492</v>
      </c>
      <c r="AJ103" s="8" t="str">
        <f ca="1">IFERROR(__xludf.DUMMYFUNCTION("""COMPUTED_VALUE"""),"Area of a triangle using the formula")</f>
        <v>Area of a triangle using the formula</v>
      </c>
      <c r="AK103" s="8" t="str">
        <f ca="1">IFERROR(__xludf.DUMMYFUNCTION("""COMPUTED_VALUE"""),"LU000424")</f>
        <v>LU000424</v>
      </c>
      <c r="AL103" s="8" t="str">
        <f ca="1">IFERROR(__xludf.DUMMYFUNCTION("""COMPUTED_VALUE"""),"Altitudes of a triangle")</f>
        <v>Altitudes of a triangle</v>
      </c>
      <c r="AM103" s="8" t="str">
        <f ca="1">IFERROR(__xludf.DUMMYFUNCTION("""COMPUTED_VALUE"""),"LU000500")</f>
        <v>LU000500</v>
      </c>
      <c r="AN103" s="8" t="str">
        <f ca="1">IFERROR(__xludf.DUMMYFUNCTION("""COMPUTED_VALUE"""),"Conversion of units of area")</f>
        <v>Conversion of units of area</v>
      </c>
      <c r="AO103" s="8"/>
      <c r="AP103" s="8"/>
      <c r="AQ103" s="8"/>
      <c r="AR103" s="8"/>
      <c r="AS103" s="8"/>
      <c r="AT103" s="8"/>
      <c r="AU103" s="8"/>
      <c r="AV103" s="8"/>
      <c r="AW103" s="8"/>
      <c r="AX103" s="8"/>
      <c r="AY103" s="8"/>
      <c r="AZ103" s="8"/>
      <c r="BA103" s="8"/>
      <c r="BB103" s="8"/>
      <c r="BC103" s="8"/>
      <c r="BD103" s="8"/>
      <c r="BE103" s="8"/>
    </row>
    <row r="104" spans="1:57">
      <c r="A104" s="8" t="s">
        <v>247</v>
      </c>
      <c r="B104" s="8" t="s">
        <v>47</v>
      </c>
      <c r="C104" s="8" t="s">
        <v>731</v>
      </c>
      <c r="D104" s="8" t="s">
        <v>732</v>
      </c>
      <c r="E104" s="8" t="s">
        <v>386</v>
      </c>
      <c r="F104" s="60" t="s">
        <v>890</v>
      </c>
      <c r="G104" s="8" t="s">
        <v>891</v>
      </c>
      <c r="H104" s="8" t="str">
        <f ca="1">IFERROR(__xludf.DUMMYFUNCTION("VLOOKUP(G104, IMPORTRANGE(""https://docs.google.com/spreadsheets/d/14deopnvwcrKtEGCKuYXdUHJbeLDZlkiSSWWT0g7x2pM/edit#gid=999382323"", ""LU List Maths (Filter)!A:B""), 2, FALSE)"),"Area of a rhombus using formula in terms of base and height")</f>
        <v>Area of a rhombus using formula in terms of base and height</v>
      </c>
      <c r="I104" s="10" t="str">
        <f t="shared" si="0"/>
        <v>LU000491.001</v>
      </c>
      <c r="J104" s="10" t="str">
        <f ca="1">IFERROR(__xludf.DUMMYFUNCTION("VLOOKUP(I104, IMPORTRANGE(""https://docs.google.com/spreadsheets/d/1yDAaXNsi4Mr5FtRQL4tbmSdIzhx6_m4wkOD7IG-k_eo/edit#gid=0"", ""Maths!M:N""), 2, FALSE)"),"Recall the formula for the area of a rhombus.")</f>
        <v>Recall the formula for the area of a rhombus.</v>
      </c>
      <c r="K104" s="10" t="str">
        <f t="shared" si="1"/>
        <v>LU000491.002</v>
      </c>
      <c r="L104" s="10" t="str">
        <f ca="1">IFERROR(__xludf.DUMMYFUNCTION("VLOOKUP(K104, IMPORTRANGE(""https://docs.google.com/spreadsheets/d/1yDAaXNsi4Mr5FtRQL4tbmSdIzhx6_m4wkOD7IG-k_eo/edit#gid=0"", ""Maths!M:N""), 2, FALSE)"),"Describe the process of deriving the area formula for a rhombus using the concept of a rectangle's area.")</f>
        <v>Describe the process of deriving the area formula for a rhombus using the concept of a rectangle's area.</v>
      </c>
      <c r="M104" s="10" t="str">
        <f t="shared" si="2"/>
        <v>LU000491.003</v>
      </c>
      <c r="N104" s="10" t="str">
        <f ca="1">IFERROR(__xludf.DUMMYFUNCTION("VLOOKUP(M104, IMPORTRANGE(""https://docs.google.com/spreadsheets/d/1yDAaXNsi4Mr5FtRQL4tbmSdIzhx6_m4wkOD7IG-k_eo/edit#gid=0"", ""Maths!M:N""), 2, FALSE)"),"Apply the formula to find the area of a given rhombus using its base and height.")</f>
        <v>Apply the formula to find the area of a given rhombus using its base and height.</v>
      </c>
      <c r="O104" s="10" t="str">
        <f t="shared" si="3"/>
        <v>LU000491.004</v>
      </c>
      <c r="P104" s="10" t="str">
        <f ca="1">IFERROR(__xludf.DUMMYFUNCTION("VLOOKUP(O104, IMPORTRANGE(""https://docs.google.com/spreadsheets/d/1yDAaXNsi4Mr5FtRQL4tbmSdIzhx6_m4wkOD7IG-k_eo/edit#gid=0"", ""Maths!M:N""), 2, FALSE)"),"Determine the base or height of a rhombus if the area is given.")</f>
        <v>Determine the base or height of a rhombus if the area is given.</v>
      </c>
      <c r="Q104" s="10" t="str">
        <f t="shared" si="4"/>
        <v>LU000491.005</v>
      </c>
      <c r="R104" s="10" t="str">
        <f ca="1">IFERROR(__xludf.DUMMYFUNCTION("VLOOKUP(Q104, IMPORTRANGE(""https://docs.google.com/spreadsheets/d/1yDAaXNsi4Mr5FtRQL4tbmSdIzhx6_m4wkOD7IG-k_eo/edit#gid=0"", ""Maths!M:N""), 2, FALSE)"),"Assess the accuracy of the claim about the relationship between the area and perimeter of rhombus.")</f>
        <v>Assess the accuracy of the claim about the relationship between the area and perimeter of rhombus.</v>
      </c>
      <c r="S104" s="10" t="str">
        <f t="shared" si="5"/>
        <v>LU000491.006</v>
      </c>
      <c r="T104" s="10" t="str">
        <f ca="1">IFERROR(__xludf.DUMMYFUNCTION("VLOOKUP(S104, IMPORTRANGE(""https://docs.google.com/spreadsheets/d/1yDAaXNsi4Mr5FtRQL4tbmSdIzhx6_m4wkOD7IG-k_eo/edit#gid=0"", ""Maths!M:N""), 2, FALSE)"),"Devise an experiment to demonstrate how altering the dimensions of a rhombus affects its area while keeping the perimeter constant.")</f>
        <v>Devise an experiment to demonstrate how altering the dimensions of a rhombus affects its area while keeping the perimeter constant.</v>
      </c>
      <c r="U104" s="52">
        <f ca="1">IFERROR(__xludf.DUMMYFUNCTION("ArrayFormula(VLOOKUP(G104, IMPORTRANGE(""https://docs.google.com/spreadsheets/d/1p7R4vtkWt5VOBim4ltsDG9KTzSjrtKXsMtQGXPHyND0/edit#gid=795171502"", ""'Filter 30_05_2024'!A1:M2000""), {2, 3, 4, 5,6,7,8,9,10,11,12,13}, 0))"),4)</f>
        <v>4</v>
      </c>
      <c r="V104" s="52">
        <f ca="1">IFERROR(__xludf.DUMMYFUNCTION("""COMPUTED_VALUE"""),6)</f>
        <v>6</v>
      </c>
      <c r="W104" s="52">
        <f ca="1">IFERROR(__xludf.DUMMYFUNCTION("""COMPUTED_VALUE"""),2)</f>
        <v>2</v>
      </c>
      <c r="X104" s="52">
        <f ca="1">IFERROR(__xludf.DUMMYFUNCTION("""COMPUTED_VALUE"""),12)</f>
        <v>12</v>
      </c>
      <c r="Y104" s="52">
        <f ca="1">IFERROR(__xludf.DUMMYFUNCTION("""COMPUTED_VALUE"""),4)</f>
        <v>4</v>
      </c>
      <c r="Z104" s="53">
        <f ca="1">IFERROR(__xludf.DUMMYFUNCTION("""COMPUTED_VALUE"""),3)</f>
        <v>3</v>
      </c>
      <c r="AA104" s="53">
        <f ca="1">IFERROR(__xludf.DUMMYFUNCTION("""COMPUTED_VALUE"""),1)</f>
        <v>1</v>
      </c>
      <c r="AB104" s="53">
        <f ca="1">IFERROR(__xludf.DUMMYFUNCTION("""COMPUTED_VALUE"""),8)</f>
        <v>8</v>
      </c>
      <c r="AC104" s="53"/>
      <c r="AD104" s="53"/>
      <c r="AE104" s="53"/>
      <c r="AF104" s="53"/>
      <c r="AG104" s="8" t="str">
        <f ca="1">IFERROR(__xludf.DUMMYFUNCTION("ArrayFormula(VLOOKUP(G104, IMPORTRANGE(""https://docs.google.com/spreadsheets/d/1Co934fvtviyaRiMsrIlT05Jaq7iiYq07aLvRr35KA48/edit?gid=173865642#gid=173865642"", ""'G8_Maths_Pri_LU'!G2:V2000""), {3, 4, 5, 6, 7, 8, 9, 10, 11, 12, 13, 14, 15, 16}, 0))"),"LU000490")</f>
        <v>LU000490</v>
      </c>
      <c r="AH104" s="8" t="str">
        <f ca="1">IFERROR(__xludf.DUMMYFUNCTION("""COMPUTED_VALUE"""),"Area of a parallelogram using the formula")</f>
        <v>Area of a parallelogram using the formula</v>
      </c>
      <c r="AI104" s="8" t="str">
        <f ca="1">IFERROR(__xludf.DUMMYFUNCTION("""COMPUTED_VALUE"""),"LU000596")</f>
        <v>LU000596</v>
      </c>
      <c r="AJ104" s="8" t="str">
        <f ca="1">IFERROR(__xludf.DUMMYFUNCTION("""COMPUTED_VALUE"""),"Definition of rhombus")</f>
        <v>Definition of rhombus</v>
      </c>
      <c r="AK104" s="8" t="str">
        <f ca="1">IFERROR(__xludf.DUMMYFUNCTION("""COMPUTED_VALUE"""),"LU000500")</f>
        <v>LU000500</v>
      </c>
      <c r="AL104" s="8" t="str">
        <f ca="1">IFERROR(__xludf.DUMMYFUNCTION("""COMPUTED_VALUE"""),"Conversion of units of area")</f>
        <v>Conversion of units of area</v>
      </c>
      <c r="AM104" s="8"/>
      <c r="AN104" s="8"/>
      <c r="AO104" s="8"/>
      <c r="AP104" s="8"/>
      <c r="AQ104" s="8"/>
      <c r="AR104" s="8"/>
      <c r="AS104" s="8"/>
      <c r="AT104" s="8"/>
      <c r="AU104" s="8"/>
      <c r="AV104" s="8"/>
      <c r="AW104" s="8"/>
      <c r="AX104" s="8"/>
      <c r="AY104" s="8"/>
      <c r="AZ104" s="8"/>
      <c r="BA104" s="8"/>
      <c r="BB104" s="8"/>
      <c r="BC104" s="8"/>
      <c r="BD104" s="8"/>
      <c r="BE104" s="8"/>
    </row>
    <row r="105" spans="1:57">
      <c r="A105" s="8" t="s">
        <v>247</v>
      </c>
      <c r="B105" s="8" t="s">
        <v>47</v>
      </c>
      <c r="C105" s="8" t="s">
        <v>731</v>
      </c>
      <c r="D105" s="8" t="s">
        <v>732</v>
      </c>
      <c r="E105" s="8" t="s">
        <v>386</v>
      </c>
      <c r="F105" s="60" t="s">
        <v>890</v>
      </c>
      <c r="G105" s="8" t="s">
        <v>892</v>
      </c>
      <c r="H105" s="8" t="str">
        <f ca="1">IFERROR(__xludf.DUMMYFUNCTION("VLOOKUP(G105, IMPORTRANGE(""https://docs.google.com/spreadsheets/d/14deopnvwcrKtEGCKuYXdUHJbeLDZlkiSSWWT0g7x2pM/edit#gid=999382323"", ""LU List Maths (Filter)!A:B""), 2, FALSE)"),"Area of a rhombus using formula in terms of lengths of diagonals")</f>
        <v>Area of a rhombus using formula in terms of lengths of diagonals</v>
      </c>
      <c r="I105" s="10" t="str">
        <f t="shared" si="0"/>
        <v>LU000717.001</v>
      </c>
      <c r="J105" s="10" t="str">
        <f ca="1">IFERROR(__xludf.DUMMYFUNCTION("VLOOKUP(I105, IMPORTRANGE(""https://docs.google.com/spreadsheets/d/1yDAaXNsi4Mr5FtRQL4tbmSdIzhx6_m4wkOD7IG-k_eo/edit#gid=0"", ""Maths!M:N""), 2, FALSE)"),"Recall the formula for the area of a rhombus in terms of lengths of diagonals.")</f>
        <v>Recall the formula for the area of a rhombus in terms of lengths of diagonals.</v>
      </c>
      <c r="K105" s="10" t="str">
        <f t="shared" si="1"/>
        <v>LU000717.002</v>
      </c>
      <c r="L105" s="10" t="str">
        <f ca="1">IFERROR(__xludf.DUMMYFUNCTION("VLOOKUP(K105, IMPORTRANGE(""https://docs.google.com/spreadsheets/d/1yDAaXNsi4Mr5FtRQL4tbmSdIzhx6_m4wkOD7IG-k_eo/edit#gid=0"", ""Maths!M:N""), 2, FALSE)"),"Explain why the formula for the area of a rhombus involves multiplying the lengths of its diagonals and dividing by 2.")</f>
        <v>Explain why the formula for the area of a rhombus involves multiplying the lengths of its diagonals and dividing by 2.</v>
      </c>
      <c r="M105" s="10" t="str">
        <f t="shared" si="2"/>
        <v>LU000717.003</v>
      </c>
      <c r="N105" s="10" t="str">
        <f ca="1">IFERROR(__xludf.DUMMYFUNCTION("VLOOKUP(M105, IMPORTRANGE(""https://docs.google.com/spreadsheets/d/1yDAaXNsi4Mr5FtRQL4tbmSdIzhx6_m4wkOD7IG-k_eo/edit#gid=0"", ""Maths!M:N""), 2, FALSE)"),"Apply the area formula to find the area of a given rhombus when the lengths of its diagonals are provided.")</f>
        <v>Apply the area formula to find the area of a given rhombus when the lengths of its diagonals are provided.</v>
      </c>
      <c r="O105" s="10" t="str">
        <f t="shared" si="3"/>
        <v>LU000717.004</v>
      </c>
      <c r="P105" s="10" t="str">
        <f ca="1">IFERROR(__xludf.DUMMYFUNCTION("VLOOKUP(O105, IMPORTRANGE(""https://docs.google.com/spreadsheets/d/1yDAaXNsi4Mr5FtRQL4tbmSdIzhx6_m4wkOD7IG-k_eo/edit#gid=0"", ""Maths!M:N""), 2, FALSE)"),"Analyze how changes in the lengths of the diagonals affect the area of a rhombus")</f>
        <v>Analyze how changes in the lengths of the diagonals affect the area of a rhombus</v>
      </c>
      <c r="Q105" s="10" t="str">
        <f t="shared" si="4"/>
        <v>LU000717.005</v>
      </c>
      <c r="R105" s="10" t="str">
        <f ca="1">IFERROR(__xludf.DUMMYFUNCTION("VLOOKUP(Q105, IMPORTRANGE(""https://docs.google.com/spreadsheets/d/1yDAaXNsi4Mr5FtRQL4tbmSdIzhx6_m4wkOD7IG-k_eo/edit#gid=0"", ""Maths!M:N""), 2, FALSE)"),"Evaluate the efficiency and accuracy of using the formula involving the diagonals to find the area of a rhombus compared to other methods, such as using side lengths and height.")</f>
        <v>Evaluate the efficiency and accuracy of using the formula involving the diagonals to find the area of a rhombus compared to other methods, such as using side lengths and height.</v>
      </c>
      <c r="S105" s="10" t="str">
        <f t="shared" si="5"/>
        <v>LU000717.006</v>
      </c>
      <c r="T105" s="10" t="str">
        <f ca="1">IFERROR(__xludf.DUMMYFUNCTION("VLOOKUP(S105, IMPORTRANGE(""https://docs.google.com/spreadsheets/d/1yDAaXNsi4Mr5FtRQL4tbmSdIzhx6_m4wkOD7IG-k_eo/edit#gid=0"", ""Maths!M:N""), 2, FALSE)"),"Create a geometric problem that involves finding the area of a rhombus, providing the lengths of its diagonals, and then solve the problem, demonstrating a creative application of the formula.")</f>
        <v>Create a geometric problem that involves finding the area of a rhombus, providing the lengths of its diagonals, and then solve the problem, demonstrating a creative application of the formula.</v>
      </c>
      <c r="U105" s="52">
        <f ca="1">IFERROR(__xludf.DUMMYFUNCTION("ArrayFormula(VLOOKUP(G105, IMPORTRANGE(""https://docs.google.com/spreadsheets/d/1p7R4vtkWt5VOBim4ltsDG9KTzSjrtKXsMtQGXPHyND0/edit#gid=795171502"", ""'Filter 30_05_2024'!A1:M2000""), {2, 3, 4, 5,6,7,8,9,10,11,12,13}, 0))"),4)</f>
        <v>4</v>
      </c>
      <c r="V105" s="52">
        <f ca="1">IFERROR(__xludf.DUMMYFUNCTION("""COMPUTED_VALUE"""),6)</f>
        <v>6</v>
      </c>
      <c r="W105" s="52">
        <f ca="1">IFERROR(__xludf.DUMMYFUNCTION("""COMPUTED_VALUE"""),2)</f>
        <v>2</v>
      </c>
      <c r="X105" s="52">
        <f ca="1">IFERROR(__xludf.DUMMYFUNCTION("""COMPUTED_VALUE"""),12)</f>
        <v>12</v>
      </c>
      <c r="Y105" s="52">
        <f ca="1">IFERROR(__xludf.DUMMYFUNCTION("""COMPUTED_VALUE"""),5)</f>
        <v>5</v>
      </c>
      <c r="Z105" s="53">
        <f ca="1">IFERROR(__xludf.DUMMYFUNCTION("""COMPUTED_VALUE"""),5)</f>
        <v>5</v>
      </c>
      <c r="AA105" s="53">
        <f ca="1">IFERROR(__xludf.DUMMYFUNCTION("""COMPUTED_VALUE"""),3)</f>
        <v>3</v>
      </c>
      <c r="AB105" s="53">
        <f ca="1">IFERROR(__xludf.DUMMYFUNCTION("""COMPUTED_VALUE"""),13)</f>
        <v>13</v>
      </c>
      <c r="AC105" s="53"/>
      <c r="AD105" s="53"/>
      <c r="AE105" s="53"/>
      <c r="AF105" s="53"/>
      <c r="AG105" s="8" t="str">
        <f ca="1">IFERROR(__xludf.DUMMYFUNCTION("ArrayFormula(VLOOKUP(G105, IMPORTRANGE(""https://docs.google.com/spreadsheets/d/1Co934fvtviyaRiMsrIlT05Jaq7iiYq07aLvRr35KA48/edit?gid=173865642#gid=173865642"", ""'G8_Maths_Pri_LU'!G2:V2000""), {3, 4, 5, 6, 7, 8, 9, 10, 11, 12, 13, 14, 15, 16}, 0))"),"LU000492")</f>
        <v>LU000492</v>
      </c>
      <c r="AH105" s="8" t="str">
        <f ca="1">IFERROR(__xludf.DUMMYFUNCTION("""COMPUTED_VALUE"""),"Area of a triangle using the formula")</f>
        <v>Area of a triangle using the formula</v>
      </c>
      <c r="AI105" s="8" t="str">
        <f ca="1">IFERROR(__xludf.DUMMYFUNCTION("""COMPUTED_VALUE"""),"LU000604")</f>
        <v>LU000604</v>
      </c>
      <c r="AJ105" s="8" t="str">
        <f ca="1">IFERROR(__xludf.DUMMYFUNCTION("""COMPUTED_VALUE"""),"Properties of a rhombus (related to its diagonals, sides and angles)")</f>
        <v>Properties of a rhombus (related to its diagonals, sides and angles)</v>
      </c>
      <c r="AK105" s="8" t="str">
        <f ca="1">IFERROR(__xludf.DUMMYFUNCTION("""COMPUTED_VALUE"""),"LU000500")</f>
        <v>LU000500</v>
      </c>
      <c r="AL105" s="8" t="str">
        <f ca="1">IFERROR(__xludf.DUMMYFUNCTION("""COMPUTED_VALUE"""),"Conversion of units of area")</f>
        <v>Conversion of units of area</v>
      </c>
      <c r="AM105" s="8"/>
      <c r="AN105" s="8"/>
      <c r="AO105" s="8"/>
      <c r="AP105" s="8"/>
      <c r="AQ105" s="8"/>
      <c r="AR105" s="8"/>
      <c r="AS105" s="8"/>
      <c r="AT105" s="8"/>
      <c r="AU105" s="8"/>
      <c r="AV105" s="8"/>
      <c r="AW105" s="8"/>
      <c r="AX105" s="8"/>
      <c r="AY105" s="8"/>
      <c r="AZ105" s="8"/>
      <c r="BA105" s="8"/>
      <c r="BB105" s="8"/>
      <c r="BC105" s="8"/>
      <c r="BD105" s="8"/>
      <c r="BE105" s="8"/>
    </row>
    <row r="106" spans="1:57">
      <c r="A106" s="8" t="s">
        <v>247</v>
      </c>
      <c r="B106" s="8" t="s">
        <v>47</v>
      </c>
      <c r="C106" s="8" t="s">
        <v>731</v>
      </c>
      <c r="D106" s="8" t="s">
        <v>732</v>
      </c>
      <c r="E106" s="8" t="s">
        <v>386</v>
      </c>
      <c r="F106" s="60" t="s">
        <v>893</v>
      </c>
      <c r="G106" s="8" t="s">
        <v>894</v>
      </c>
      <c r="H106" s="8" t="str">
        <f ca="1">IFERROR(__xludf.DUMMYFUNCTION("VLOOKUP(G106, IMPORTRANGE(""https://docs.google.com/spreadsheets/d/14deopnvwcrKtEGCKuYXdUHJbeLDZlkiSSWWT0g7x2pM/edit#gid=999382323"", ""LU List Maths (Filter)!A:B""), 2, FALSE)"),"Area of a general quadrilateral using triangulation method")</f>
        <v>Area of a general quadrilateral using triangulation method</v>
      </c>
      <c r="I106" s="10" t="str">
        <f t="shared" si="0"/>
        <v>LU000716.001</v>
      </c>
      <c r="J106" s="10" t="str">
        <f ca="1">IFERROR(__xludf.DUMMYFUNCTION("VLOOKUP(I106, IMPORTRANGE(""https://docs.google.com/spreadsheets/d/1yDAaXNsi4Mr5FtRQL4tbmSdIzhx6_m4wkOD7IG-k_eo/edit#gid=0"", ""Maths!M:N""), 2, FALSE)"),"Recall the concept of triangulation as a method to find the area of a general quadrilateral.")</f>
        <v>Recall the concept of triangulation as a method to find the area of a general quadrilateral.</v>
      </c>
      <c r="K106" s="10" t="str">
        <f t="shared" si="1"/>
        <v>LU000716.002</v>
      </c>
      <c r="L106" s="10" t="str">
        <f ca="1">IFERROR(__xludf.DUMMYFUNCTION("VLOOKUP(K106, IMPORTRANGE(""https://docs.google.com/spreadsheets/d/1yDAaXNsi4Mr5FtRQL4tbmSdIzhx6_m4wkOD7IG-k_eo/edit#gid=0"", ""Maths!M:N""), 2, FALSE)"),"Explain how triangulation involves dividing a quadrilateral into two triangles and why this method is used to calculate the area.")</f>
        <v>Explain how triangulation involves dividing a quadrilateral into two triangles and why this method is used to calculate the area.</v>
      </c>
      <c r="M106" s="10" t="str">
        <f t="shared" si="2"/>
        <v>LU000716.003</v>
      </c>
      <c r="N106" s="10" t="str">
        <f ca="1">IFERROR(__xludf.DUMMYFUNCTION("VLOOKUP(M106, IMPORTRANGE(""https://docs.google.com/spreadsheets/d/1yDAaXNsi4Mr5FtRQL4tbmSdIzhx6_m4wkOD7IG-k_eo/edit#gid=0"", ""Maths!M:N""), 2, FALSE)"),"Apply the triangulation method to find the area of a given quadrilateral by dividing it into triangles.")</f>
        <v>Apply the triangulation method to find the area of a given quadrilateral by dividing it into triangles.</v>
      </c>
      <c r="O106" s="10" t="str">
        <f t="shared" si="3"/>
        <v>LU000716.004</v>
      </c>
      <c r="P106" s="10" t="str">
        <f ca="1">IFERROR(__xludf.DUMMYFUNCTION("VLOOKUP(O106, IMPORTRANGE(""https://docs.google.com/spreadsheets/d/1yDAaXNsi4Mr5FtRQL4tbmSdIzhx6_m4wkOD7IG-k_eo/edit#gid=0"", ""Maths!M:N""), 2, FALSE)"),"Analyze different types of quadrilaterals and determine which ones are suitable for area calculation using the triangulation method based on their characteristics.")</f>
        <v>Analyze different types of quadrilaterals and determine which ones are suitable for area calculation using the triangulation method based on their characteristics.</v>
      </c>
      <c r="Q106" s="10" t="str">
        <f t="shared" si="4"/>
        <v>LU000716.005</v>
      </c>
      <c r="R106" s="10" t="str">
        <f ca="1">IFERROR(__xludf.DUMMYFUNCTION("VLOOKUP(Q106, IMPORTRANGE(""https://docs.google.com/spreadsheets/d/1yDAaXNsi4Mr5FtRQL4tbmSdIzhx6_m4wkOD7IG-k_eo/edit#gid=0"", ""Maths!M:N""), 2, FALSE)"),"Evaluate the effectiveness of the triangulation method for finding the area of different types of quadrilaterals.")</f>
        <v>Evaluate the effectiveness of the triangulation method for finding the area of different types of quadrilaterals.</v>
      </c>
      <c r="S106" s="10" t="str">
        <f t="shared" si="5"/>
        <v>LU000716.006</v>
      </c>
      <c r="T106" s="10" t="str">
        <f ca="1">IFERROR(__xludf.DUMMYFUNCTION("VLOOKUP(S106, IMPORTRANGE(""https://docs.google.com/spreadsheets/d/1yDAaXNsi4Mr5FtRQL4tbmSdIzhx6_m4wkOD7IG-k_eo/edit#gid=0"", ""Maths!M:N""), 2, FALSE)"),"Design a real-world scenario or problem involving an irregular quadrilateral, and then use the triangulation method to calculate its area, demonstrating a creative application of the concept.")</f>
        <v>Design a real-world scenario or problem involving an irregular quadrilateral, and then use the triangulation method to calculate its area, demonstrating a creative application of the concept.</v>
      </c>
      <c r="U106" s="52">
        <f ca="1">IFERROR(__xludf.DUMMYFUNCTION("ArrayFormula(VLOOKUP(G106, IMPORTRANGE(""https://docs.google.com/spreadsheets/d/1p7R4vtkWt5VOBim4ltsDG9KTzSjrtKXsMtQGXPHyND0/edit#gid=795171502"", ""'Filter 30_05_2024'!A1:M2000""), {2, 3, 4, 5,6,7,8,9,10,11,12,13}, 0))"),4)</f>
        <v>4</v>
      </c>
      <c r="V106" s="52">
        <f ca="1">IFERROR(__xludf.DUMMYFUNCTION("""COMPUTED_VALUE"""),6)</f>
        <v>6</v>
      </c>
      <c r="W106" s="52">
        <f ca="1">IFERROR(__xludf.DUMMYFUNCTION("""COMPUTED_VALUE"""),2)</f>
        <v>2</v>
      </c>
      <c r="X106" s="52">
        <f ca="1">IFERROR(__xludf.DUMMYFUNCTION("""COMPUTED_VALUE"""),12)</f>
        <v>12</v>
      </c>
      <c r="Y106" s="52">
        <f ca="1">IFERROR(__xludf.DUMMYFUNCTION("""COMPUTED_VALUE"""),5)</f>
        <v>5</v>
      </c>
      <c r="Z106" s="53">
        <f ca="1">IFERROR(__xludf.DUMMYFUNCTION("""COMPUTED_VALUE"""),5)</f>
        <v>5</v>
      </c>
      <c r="AA106" s="53">
        <f ca="1">IFERROR(__xludf.DUMMYFUNCTION("""COMPUTED_VALUE"""),1)</f>
        <v>1</v>
      </c>
      <c r="AB106" s="53">
        <f ca="1">IFERROR(__xludf.DUMMYFUNCTION("""COMPUTED_VALUE"""),11)</f>
        <v>11</v>
      </c>
      <c r="AC106" s="53"/>
      <c r="AD106" s="53"/>
      <c r="AE106" s="53"/>
      <c r="AF106" s="53"/>
      <c r="AG106" s="8" t="str">
        <f ca="1">IFERROR(__xludf.DUMMYFUNCTION("ArrayFormula(VLOOKUP(G106, IMPORTRANGE(""https://docs.google.com/spreadsheets/d/1Co934fvtviyaRiMsrIlT05Jaq7iiYq07aLvRr35KA48/edit?gid=173865642#gid=173865642"", ""'G8_Maths_Pri_LU'!G2:V2000""), {3, 4, 5, 6, 7, 8, 9, 10, 11, 12, 13, 14, 15, 16}, 0))"),"LU000492")</f>
        <v>LU000492</v>
      </c>
      <c r="AH106" s="8" t="str">
        <f ca="1">IFERROR(__xludf.DUMMYFUNCTION("""COMPUTED_VALUE"""),"Area of a triangle using the formula")</f>
        <v>Area of a triangle using the formula</v>
      </c>
      <c r="AI106" s="8" t="str">
        <f ca="1">IFERROR(__xludf.DUMMYFUNCTION("""COMPUTED_VALUE"""),"LU000902")</f>
        <v>LU000902</v>
      </c>
      <c r="AJ106" s="8" t="str">
        <f ca="1">IFERROR(__xludf.DUMMYFUNCTION("""COMPUTED_VALUE"""),"Triangulation method for polygons")</f>
        <v>Triangulation method for polygons</v>
      </c>
      <c r="AK106" s="8" t="str">
        <f ca="1">IFERROR(__xludf.DUMMYFUNCTION("""COMPUTED_VALUE"""),"LU000500")</f>
        <v>LU000500</v>
      </c>
      <c r="AL106" s="8" t="str">
        <f ca="1">IFERROR(__xludf.DUMMYFUNCTION("""COMPUTED_VALUE"""),"Conversion of units of area")</f>
        <v>Conversion of units of area</v>
      </c>
      <c r="AM106" s="8"/>
      <c r="AN106" s="8"/>
      <c r="AO106" s="8"/>
      <c r="AP106" s="8"/>
      <c r="AQ106" s="8"/>
      <c r="AR106" s="8"/>
      <c r="AS106" s="8"/>
      <c r="AT106" s="8"/>
      <c r="AU106" s="8"/>
      <c r="AV106" s="8"/>
      <c r="AW106" s="8"/>
      <c r="AX106" s="8"/>
      <c r="AY106" s="8"/>
      <c r="AZ106" s="8"/>
      <c r="BA106" s="8"/>
      <c r="BB106" s="8"/>
      <c r="BC106" s="8"/>
      <c r="BD106" s="8"/>
      <c r="BE106" s="8"/>
    </row>
    <row r="107" spans="1:57">
      <c r="A107" s="8" t="s">
        <v>247</v>
      </c>
      <c r="B107" s="8" t="s">
        <v>47</v>
      </c>
      <c r="C107" s="8" t="s">
        <v>731</v>
      </c>
      <c r="D107" s="8" t="s">
        <v>732</v>
      </c>
      <c r="E107" s="8" t="s">
        <v>386</v>
      </c>
      <c r="F107" s="54" t="s">
        <v>895</v>
      </c>
      <c r="G107" s="8" t="s">
        <v>896</v>
      </c>
      <c r="H107" s="8" t="str">
        <f ca="1">IFERROR(__xludf.DUMMYFUNCTION("VLOOKUP(G107, IMPORTRANGE(""https://docs.google.com/spreadsheets/d/14deopnvwcrKtEGCKuYXdUHJbeLDZlkiSSWWT0g7x2pM/edit#gid=999382323"", ""LU List Maths (Filter)!A:B""), 2, FALSE)"),"Area of a pentagon by dividing into parts (triangles and quadrilaterals)")</f>
        <v>Area of a pentagon by dividing into parts (triangles and quadrilaterals)</v>
      </c>
      <c r="I107" s="10" t="str">
        <f t="shared" si="0"/>
        <v>LU000728.001</v>
      </c>
      <c r="J107" s="10" t="str">
        <f ca="1">IFERROR(__xludf.DUMMYFUNCTION("VLOOKUP(I107, IMPORTRANGE(""https://docs.google.com/spreadsheets/d/1yDAaXNsi4Mr5FtRQL4tbmSdIzhx6_m4wkOD7IG-k_eo/edit#gid=0"", ""Maths!M:N""), 2, FALSE)"),"Recall the distinct properties of pentagons and quadrilaterals relevant to area calculations.")</f>
        <v>Recall the distinct properties of pentagons and quadrilaterals relevant to area calculations.</v>
      </c>
      <c r="K107" s="10" t="str">
        <f t="shared" si="1"/>
        <v>LU000728.002</v>
      </c>
      <c r="L107" s="10" t="str">
        <f ca="1">IFERROR(__xludf.DUMMYFUNCTION("VLOOKUP(K107, IMPORTRANGE(""https://docs.google.com/spreadsheets/d/1yDAaXNsi4Mr5FtRQL4tbmSdIzhx6_m4wkOD7IG-k_eo/edit#gid=0"", ""Maths!M:N""), 2, FALSE)"),"Explain the concept of how a pentagon can be divided into triangles and quadrilaterals to calculate its area.")</f>
        <v>Explain the concept of how a pentagon can be divided into triangles and quadrilaterals to calculate its area.</v>
      </c>
      <c r="M107" s="10" t="str">
        <f t="shared" si="2"/>
        <v>LU000728.003</v>
      </c>
      <c r="N107" s="10" t="str">
        <f ca="1">IFERROR(__xludf.DUMMYFUNCTION("VLOOKUP(M107, IMPORTRANGE(""https://docs.google.com/spreadsheets/d/1yDAaXNsi4Mr5FtRQL4tbmSdIzhx6_m4wkOD7IG-k_eo/edit#gid=0"", ""Maths!M:N""), 2, FALSE)"),"Calculate the area of a given pentagon by dividing it into triangles and quadrilaterals.")</f>
        <v>Calculate the area of a given pentagon by dividing it into triangles and quadrilaterals.</v>
      </c>
      <c r="O107" s="10" t="str">
        <f t="shared" si="3"/>
        <v>LU000728.004</v>
      </c>
      <c r="P107" s="10" t="str">
        <f ca="1">IFERROR(__xludf.DUMMYFUNCTION("VLOOKUP(O107, IMPORTRANGE(""https://docs.google.com/spreadsheets/d/1yDAaXNsi4Mr5FtRQL4tbmSdIzhx6_m4wkOD7IG-k_eo/edit#gid=0"", ""Maths!M:N""), 2, FALSE)"),"Analyze and differentiate the various approaches for dividing a pentagon into triangles and quadrilaterals.")</f>
        <v>Analyze and differentiate the various approaches for dividing a pentagon into triangles and quadrilaterals.</v>
      </c>
      <c r="Q107" s="10" t="str">
        <f t="shared" si="4"/>
        <v>LU000728.005</v>
      </c>
      <c r="R107" s="10" t="str">
        <f ca="1">IFERROR(__xludf.DUMMYFUNCTION("VLOOKUP(Q107, IMPORTRANGE(""https://docs.google.com/spreadsheets/d/1yDAaXNsi4Mr5FtRQL4tbmSdIzhx6_m4wkOD7IG-k_eo/edit#gid=0"", ""Maths!M:N""), 2, FALSE)"),"Evaluate the effectiveness of the method of partitioning a pentagon into triangles and quadrilaterals in terms of its accuracy and applicability for different types of pentagons.")</f>
        <v>Evaluate the effectiveness of the method of partitioning a pentagon into triangles and quadrilaterals in terms of its accuracy and applicability for different types of pentagons.</v>
      </c>
      <c r="S107" s="10" t="str">
        <f t="shared" si="5"/>
        <v>LU000728.006</v>
      </c>
      <c r="T107" s="10" t="str">
        <f ca="1">IFERROR(__xludf.DUMMYFUNCTION("VLOOKUP(S107, IMPORTRANGE(""https://docs.google.com/spreadsheets/d/1yDAaXNsi4Mr5FtRQL4tbmSdIzhx6_m4wkOD7IG-k_eo/edit#gid=0"", ""Maths!M:N""), 2, FALSE)"),"Develop an innovative alternative approach for finding the area of a pentagon by dividing it into parts other than triangles and quadrilaterals.")</f>
        <v>Develop an innovative alternative approach for finding the area of a pentagon by dividing it into parts other than triangles and quadrilaterals.</v>
      </c>
      <c r="U107" s="52">
        <f ca="1">IFERROR(__xludf.DUMMYFUNCTION("ArrayFormula(VLOOKUP(G107, IMPORTRANGE(""https://docs.google.com/spreadsheets/d/1p7R4vtkWt5VOBim4ltsDG9KTzSjrtKXsMtQGXPHyND0/edit#gid=795171502"", ""'Filter 30_05_2024'!A1:M2000""), {2, 3, 4, 5,6,7,8,9,10,11,12,13}, 0))"),4)</f>
        <v>4</v>
      </c>
      <c r="V107" s="52">
        <f ca="1">IFERROR(__xludf.DUMMYFUNCTION("""COMPUTED_VALUE"""),6)</f>
        <v>6</v>
      </c>
      <c r="W107" s="52">
        <f ca="1">IFERROR(__xludf.DUMMYFUNCTION("""COMPUTED_VALUE"""),2)</f>
        <v>2</v>
      </c>
      <c r="X107" s="52">
        <f ca="1">IFERROR(__xludf.DUMMYFUNCTION("""COMPUTED_VALUE"""),12)</f>
        <v>12</v>
      </c>
      <c r="Y107" s="52">
        <f ca="1">IFERROR(__xludf.DUMMYFUNCTION("""COMPUTED_VALUE"""),4)</f>
        <v>4</v>
      </c>
      <c r="Z107" s="53">
        <f ca="1">IFERROR(__xludf.DUMMYFUNCTION("""COMPUTED_VALUE"""),3)</f>
        <v>3</v>
      </c>
      <c r="AA107" s="53">
        <f ca="1">IFERROR(__xludf.DUMMYFUNCTION("""COMPUTED_VALUE"""),1)</f>
        <v>1</v>
      </c>
      <c r="AB107" s="53">
        <f ca="1">IFERROR(__xludf.DUMMYFUNCTION("""COMPUTED_VALUE"""),8)</f>
        <v>8</v>
      </c>
      <c r="AC107" s="53"/>
      <c r="AD107" s="53"/>
      <c r="AE107" s="53"/>
      <c r="AF107" s="53"/>
      <c r="AG107" s="8" t="str">
        <f ca="1">IFERROR(__xludf.DUMMYFUNCTION("ArrayFormula(VLOOKUP(G107, IMPORTRANGE(""https://docs.google.com/spreadsheets/d/1Co934fvtviyaRiMsrIlT05Jaq7iiYq07aLvRr35KA48/edit?gid=173865642#gid=173865642"", ""'G8_Maths_Pri_LU'!G2:V2000""), {3, 4, 5, 6, 7, 8, 9, 10, 11, 12, 13, 14, 15, 16}, 0))"),"LU000715")</f>
        <v>LU000715</v>
      </c>
      <c r="AH107" s="8" t="str">
        <f ca="1">IFERROR(__xludf.DUMMYFUNCTION("""COMPUTED_VALUE"""),"Area of a trapezium using formula")</f>
        <v>Area of a trapezium using formula</v>
      </c>
      <c r="AI107" s="8" t="str">
        <f ca="1">IFERROR(__xludf.DUMMYFUNCTION("""COMPUTED_VALUE"""),"LU000327")</f>
        <v>LU000327</v>
      </c>
      <c r="AJ107" s="8" t="str">
        <f ca="1">IFERROR(__xludf.DUMMYFUNCTION("""COMPUTED_VALUE"""),"Area of a rectangle using formula")</f>
        <v>Area of a rectangle using formula</v>
      </c>
      <c r="AK107" s="8" t="str">
        <f ca="1">IFERROR(__xludf.DUMMYFUNCTION("""COMPUTED_VALUE"""),"LU000492")</f>
        <v>LU000492</v>
      </c>
      <c r="AL107" s="8" t="str">
        <f ca="1">IFERROR(__xludf.DUMMYFUNCTION("""COMPUTED_VALUE"""),"Area of a triangle using the formula")</f>
        <v>Area of a triangle using the formula</v>
      </c>
      <c r="AM107" s="8" t="str">
        <f ca="1">IFERROR(__xludf.DUMMYFUNCTION("""COMPUTED_VALUE"""),"LU000902")</f>
        <v>LU000902</v>
      </c>
      <c r="AN107" s="8" t="str">
        <f ca="1">IFERROR(__xludf.DUMMYFUNCTION("""COMPUTED_VALUE"""),"Triangulation method for polygons")</f>
        <v>Triangulation method for polygons</v>
      </c>
      <c r="AO107" s="8" t="str">
        <f ca="1">IFERROR(__xludf.DUMMYFUNCTION("""COMPUTED_VALUE"""),"LU000500")</f>
        <v>LU000500</v>
      </c>
      <c r="AP107" s="8" t="str">
        <f ca="1">IFERROR(__xludf.DUMMYFUNCTION("""COMPUTED_VALUE"""),"Conversion of units of area")</f>
        <v>Conversion of units of area</v>
      </c>
      <c r="AQ107" s="8"/>
      <c r="AR107" s="8"/>
      <c r="AS107" s="8"/>
      <c r="AT107" s="8"/>
      <c r="AU107" s="8"/>
      <c r="AV107" s="8"/>
      <c r="AW107" s="8"/>
      <c r="AX107" s="8"/>
      <c r="AY107" s="8"/>
      <c r="AZ107" s="8"/>
      <c r="BA107" s="8"/>
      <c r="BB107" s="8"/>
      <c r="BC107" s="8"/>
      <c r="BD107" s="8"/>
      <c r="BE107" s="8"/>
    </row>
    <row r="108" spans="1:57">
      <c r="A108" s="8" t="s">
        <v>247</v>
      </c>
      <c r="B108" s="8" t="s">
        <v>47</v>
      </c>
      <c r="C108" s="8" t="s">
        <v>731</v>
      </c>
      <c r="D108" s="8" t="s">
        <v>732</v>
      </c>
      <c r="E108" s="8" t="s">
        <v>386</v>
      </c>
      <c r="F108" s="54" t="s">
        <v>895</v>
      </c>
      <c r="G108" s="8" t="s">
        <v>897</v>
      </c>
      <c r="H108" s="8" t="str">
        <f ca="1">IFERROR(__xludf.DUMMYFUNCTION("VLOOKUP(G108, IMPORTRANGE(""https://docs.google.com/spreadsheets/d/14deopnvwcrKtEGCKuYXdUHJbeLDZlkiSSWWT0g7x2pM/edit#gid=999382323"", ""LU List Maths (Filter)!A:B""), 2, FALSE)"),"Area of a hexagon by dividing into parts (triangles and quadrilaterals)")</f>
        <v>Area of a hexagon by dividing into parts (triangles and quadrilaterals)</v>
      </c>
      <c r="I108" s="10" t="str">
        <f t="shared" si="0"/>
        <v>LU000731.001</v>
      </c>
      <c r="J108" s="10" t="str">
        <f ca="1">IFERROR(__xludf.DUMMYFUNCTION("VLOOKUP(I108, IMPORTRANGE(""https://docs.google.com/spreadsheets/d/1yDAaXNsi4Mr5FtRQL4tbmSdIzhx6_m4wkOD7IG-k_eo/edit#gid=0"", ""Maths!M:N""), 2, FALSE)"),"Recall the distinct properties of hexagons and quadrilaterals relevant to area calculations.")</f>
        <v>Recall the distinct properties of hexagons and quadrilaterals relevant to area calculations.</v>
      </c>
      <c r="K108" s="10" t="str">
        <f t="shared" si="1"/>
        <v>LU000731.002</v>
      </c>
      <c r="L108" s="10" t="str">
        <f ca="1">IFERROR(__xludf.DUMMYFUNCTION("VLOOKUP(K108, IMPORTRANGE(""https://docs.google.com/spreadsheets/d/1yDAaXNsi4Mr5FtRQL4tbmSdIzhx6_m4wkOD7IG-k_eo/edit#gid=0"", ""Maths!M:N""), 2, FALSE)"),"Explain the concept of how a hexagon can be divided into triangles and quadrilaterals to calculate its area.")</f>
        <v>Explain the concept of how a hexagon can be divided into triangles and quadrilaterals to calculate its area.</v>
      </c>
      <c r="M108" s="10" t="str">
        <f t="shared" si="2"/>
        <v>LU000731.003</v>
      </c>
      <c r="N108" s="10" t="str">
        <f ca="1">IFERROR(__xludf.DUMMYFUNCTION("VLOOKUP(M108, IMPORTRANGE(""https://docs.google.com/spreadsheets/d/1yDAaXNsi4Mr5FtRQL4tbmSdIzhx6_m4wkOD7IG-k_eo/edit#gid=0"", ""Maths!M:N""), 2, FALSE)"),"Calculate the area of a given hexagon by dividing it into triangles and quadrilaterals.")</f>
        <v>Calculate the area of a given hexagon by dividing it into triangles and quadrilaterals.</v>
      </c>
      <c r="O108" s="10" t="str">
        <f t="shared" si="3"/>
        <v>LU000731.004</v>
      </c>
      <c r="P108" s="10" t="str">
        <f ca="1">IFERROR(__xludf.DUMMYFUNCTION("VLOOKUP(O108, IMPORTRANGE(""https://docs.google.com/spreadsheets/d/1yDAaXNsi4Mr5FtRQL4tbmSdIzhx6_m4wkOD7IG-k_eo/edit#gid=0"", ""Maths!M:N""), 2, FALSE)"),"Analyze and differentiate the various approaches for dividing a hexagon into triangles and quadrilaterals.")</f>
        <v>Analyze and differentiate the various approaches for dividing a hexagon into triangles and quadrilaterals.</v>
      </c>
      <c r="Q108" s="10" t="str">
        <f t="shared" si="4"/>
        <v>LU000731.005</v>
      </c>
      <c r="R108" s="10" t="str">
        <f ca="1">IFERROR(__xludf.DUMMYFUNCTION("VLOOKUP(Q108, IMPORTRANGE(""https://docs.google.com/spreadsheets/d/1yDAaXNsi4Mr5FtRQL4tbmSdIzhx6_m4wkOD7IG-k_eo/edit#gid=0"", ""Maths!M:N""), 2, FALSE)"),"Evaluate the effectiveness of the method of partitioning a hexagon into triangles and quadrilaterals in terms of its accuracy and applicability for different types of hexagons.")</f>
        <v>Evaluate the effectiveness of the method of partitioning a hexagon into triangles and quadrilaterals in terms of its accuracy and applicability for different types of hexagons.</v>
      </c>
      <c r="S108" s="10" t="str">
        <f t="shared" si="5"/>
        <v>LU000731.006</v>
      </c>
      <c r="T108" s="10" t="str">
        <f ca="1">IFERROR(__xludf.DUMMYFUNCTION("VLOOKUP(S108, IMPORTRANGE(""https://docs.google.com/spreadsheets/d/1yDAaXNsi4Mr5FtRQL4tbmSdIzhx6_m4wkOD7IG-k_eo/edit#gid=0"", ""Maths!M:N""), 2, FALSE)"),"Develop an innovative alternative approach for finding the area of a hexagon by dividing it into parts other than triangles and quadrilaterals.")</f>
        <v>Develop an innovative alternative approach for finding the area of a hexagon by dividing it into parts other than triangles and quadrilaterals.</v>
      </c>
      <c r="U108" s="52">
        <f ca="1">IFERROR(__xludf.DUMMYFUNCTION("ArrayFormula(VLOOKUP(G108, IMPORTRANGE(""https://docs.google.com/spreadsheets/d/1p7R4vtkWt5VOBim4ltsDG9KTzSjrtKXsMtQGXPHyND0/edit#gid=795171502"", ""'Filter 30_05_2024'!A1:M2000""), {2, 3, 4, 5,6,7,8,9,10,11,12,13}, 0))"),4)</f>
        <v>4</v>
      </c>
      <c r="V108" s="52">
        <f ca="1">IFERROR(__xludf.DUMMYFUNCTION("""COMPUTED_VALUE"""),6)</f>
        <v>6</v>
      </c>
      <c r="W108" s="52">
        <f ca="1">IFERROR(__xludf.DUMMYFUNCTION("""COMPUTED_VALUE"""),2)</f>
        <v>2</v>
      </c>
      <c r="X108" s="52">
        <f ca="1">IFERROR(__xludf.DUMMYFUNCTION("""COMPUTED_VALUE"""),12)</f>
        <v>12</v>
      </c>
      <c r="Y108" s="52">
        <f ca="1">IFERROR(__xludf.DUMMYFUNCTION("""COMPUTED_VALUE"""),4)</f>
        <v>4</v>
      </c>
      <c r="Z108" s="53">
        <f ca="1">IFERROR(__xludf.DUMMYFUNCTION("""COMPUTED_VALUE"""),3)</f>
        <v>3</v>
      </c>
      <c r="AA108" s="53">
        <f ca="1">IFERROR(__xludf.DUMMYFUNCTION("""COMPUTED_VALUE"""),1)</f>
        <v>1</v>
      </c>
      <c r="AB108" s="53">
        <f ca="1">IFERROR(__xludf.DUMMYFUNCTION("""COMPUTED_VALUE"""),8)</f>
        <v>8</v>
      </c>
      <c r="AC108" s="53"/>
      <c r="AD108" s="53"/>
      <c r="AE108" s="53"/>
      <c r="AF108" s="53"/>
      <c r="AG108" s="8" t="str">
        <f ca="1">IFERROR(__xludf.DUMMYFUNCTION("ArrayFormula(VLOOKUP(G108, IMPORTRANGE(""https://docs.google.com/spreadsheets/d/1Co934fvtviyaRiMsrIlT05Jaq7iiYq07aLvRr35KA48/edit?gid=173865642#gid=173865642"", ""'G8_Maths_Pri_LU'!G2:V2000""), {3, 4, 5, 6, 7, 8, 9, 10, 11, 12, 13, 14, 15, 16}, 0))"),"LU000715")</f>
        <v>LU000715</v>
      </c>
      <c r="AH108" s="8" t="str">
        <f ca="1">IFERROR(__xludf.DUMMYFUNCTION("""COMPUTED_VALUE"""),"Area of a trapezium using formula")</f>
        <v>Area of a trapezium using formula</v>
      </c>
      <c r="AI108" s="8" t="str">
        <f ca="1">IFERROR(__xludf.DUMMYFUNCTION("""COMPUTED_VALUE"""),"LU000327")</f>
        <v>LU000327</v>
      </c>
      <c r="AJ108" s="8" t="str">
        <f ca="1">IFERROR(__xludf.DUMMYFUNCTION("""COMPUTED_VALUE"""),"Area of a rectangle using formula")</f>
        <v>Area of a rectangle using formula</v>
      </c>
      <c r="AK108" s="8" t="str">
        <f ca="1">IFERROR(__xludf.DUMMYFUNCTION("""COMPUTED_VALUE"""),"LU000492")</f>
        <v>LU000492</v>
      </c>
      <c r="AL108" s="8" t="str">
        <f ca="1">IFERROR(__xludf.DUMMYFUNCTION("""COMPUTED_VALUE"""),"Area of a triangle using the formula")</f>
        <v>Area of a triangle using the formula</v>
      </c>
      <c r="AM108" s="8" t="str">
        <f ca="1">IFERROR(__xludf.DUMMYFUNCTION("""COMPUTED_VALUE"""),"LU000902")</f>
        <v>LU000902</v>
      </c>
      <c r="AN108" s="8" t="str">
        <f ca="1">IFERROR(__xludf.DUMMYFUNCTION("""COMPUTED_VALUE"""),"Triangulation method for polygons")</f>
        <v>Triangulation method for polygons</v>
      </c>
      <c r="AO108" s="8" t="str">
        <f ca="1">IFERROR(__xludf.DUMMYFUNCTION("""COMPUTED_VALUE"""),"LU000500")</f>
        <v>LU000500</v>
      </c>
      <c r="AP108" s="8" t="str">
        <f ca="1">IFERROR(__xludf.DUMMYFUNCTION("""COMPUTED_VALUE"""),"Conversion of units of area")</f>
        <v>Conversion of units of area</v>
      </c>
      <c r="AQ108" s="8"/>
      <c r="AR108" s="8"/>
      <c r="AS108" s="8"/>
      <c r="AT108" s="8"/>
      <c r="AU108" s="8"/>
      <c r="AV108" s="8"/>
      <c r="AW108" s="8"/>
      <c r="AX108" s="8"/>
      <c r="AY108" s="8"/>
      <c r="AZ108" s="8"/>
      <c r="BA108" s="8"/>
      <c r="BB108" s="8"/>
      <c r="BC108" s="8"/>
      <c r="BD108" s="8"/>
      <c r="BE108" s="8"/>
    </row>
    <row r="109" spans="1:57">
      <c r="A109" s="8" t="s">
        <v>247</v>
      </c>
      <c r="B109" s="8" t="s">
        <v>47</v>
      </c>
      <c r="C109" s="8" t="s">
        <v>731</v>
      </c>
      <c r="D109" s="8" t="s">
        <v>732</v>
      </c>
      <c r="E109" s="8" t="s">
        <v>386</v>
      </c>
      <c r="F109" s="54" t="s">
        <v>898</v>
      </c>
      <c r="G109" s="8" t="s">
        <v>899</v>
      </c>
      <c r="H109" s="8" t="str">
        <f ca="1">IFERROR(__xludf.DUMMYFUNCTION("VLOOKUP(G109, IMPORTRANGE(""https://docs.google.com/spreadsheets/d/14deopnvwcrKtEGCKuYXdUHJbeLDZlkiSSWWT0g7x2pM/edit#gid=999382323"", ""LU List Maths (Filter)!A:B""), 2, FALSE)"),"Area of a heptagon by dividing into parts (triangles and quadrilaterals)")</f>
        <v>Area of a heptagon by dividing into parts (triangles and quadrilaterals)</v>
      </c>
      <c r="I109" s="10" t="str">
        <f t="shared" si="0"/>
        <v>LU000732.001</v>
      </c>
      <c r="J109" s="10" t="str">
        <f ca="1">IFERROR(__xludf.DUMMYFUNCTION("VLOOKUP(I109, IMPORTRANGE(""https://docs.google.com/spreadsheets/d/1yDAaXNsi4Mr5FtRQL4tbmSdIzhx6_m4wkOD7IG-k_eo/edit#gid=0"", ""Maths!M:N""), 2, FALSE)"),"Recall the distinct properties of heptagons and quadrilaterals relevant to area calculations.")</f>
        <v>Recall the distinct properties of heptagons and quadrilaterals relevant to area calculations.</v>
      </c>
      <c r="K109" s="10" t="str">
        <f t="shared" si="1"/>
        <v>LU000732.002</v>
      </c>
      <c r="L109" s="10" t="str">
        <f ca="1">IFERROR(__xludf.DUMMYFUNCTION("VLOOKUP(K109, IMPORTRANGE(""https://docs.google.com/spreadsheets/d/1yDAaXNsi4Mr5FtRQL4tbmSdIzhx6_m4wkOD7IG-k_eo/edit#gid=0"", ""Maths!M:N""), 2, FALSE)"),"Explain the concept of how a heptagon can be divided into triangles and quadrilaterals to calculate its area.")</f>
        <v>Explain the concept of how a heptagon can be divided into triangles and quadrilaterals to calculate its area.</v>
      </c>
      <c r="M109" s="10" t="str">
        <f t="shared" si="2"/>
        <v>LU000732.003</v>
      </c>
      <c r="N109" s="10" t="str">
        <f ca="1">IFERROR(__xludf.DUMMYFUNCTION("VLOOKUP(M109, IMPORTRANGE(""https://docs.google.com/spreadsheets/d/1yDAaXNsi4Mr5FtRQL4tbmSdIzhx6_m4wkOD7IG-k_eo/edit#gid=0"", ""Maths!M:N""), 2, FALSE)"),"Calculate the area of a given heptagon by dividing it into triangles and quadrilaterals.")</f>
        <v>Calculate the area of a given heptagon by dividing it into triangles and quadrilaterals.</v>
      </c>
      <c r="O109" s="10" t="str">
        <f t="shared" si="3"/>
        <v>LU000732.004</v>
      </c>
      <c r="P109" s="10" t="str">
        <f ca="1">IFERROR(__xludf.DUMMYFUNCTION("VLOOKUP(O109, IMPORTRANGE(""https://docs.google.com/spreadsheets/d/1yDAaXNsi4Mr5FtRQL4tbmSdIzhx6_m4wkOD7IG-k_eo/edit#gid=0"", ""Maths!M:N""), 2, FALSE)"),"Analyze and differentiate the various approaches for dividing a heptagon into triangles and quadrilaterals.")</f>
        <v>Analyze and differentiate the various approaches for dividing a heptagon into triangles and quadrilaterals.</v>
      </c>
      <c r="Q109" s="10" t="str">
        <f t="shared" si="4"/>
        <v>LU000732.005</v>
      </c>
      <c r="R109" s="10" t="str">
        <f ca="1">IFERROR(__xludf.DUMMYFUNCTION("VLOOKUP(Q109, IMPORTRANGE(""https://docs.google.com/spreadsheets/d/1yDAaXNsi4Mr5FtRQL4tbmSdIzhx6_m4wkOD7IG-k_eo/edit#gid=0"", ""Maths!M:N""), 2, FALSE)"),"Evaluate the effectiveness of the method of partitioning a heptagon into triangles and quadrilaterals in terms of its accuracy and applicability for different types of heptagons.")</f>
        <v>Evaluate the effectiveness of the method of partitioning a heptagon into triangles and quadrilaterals in terms of its accuracy and applicability for different types of heptagons.</v>
      </c>
      <c r="S109" s="10" t="str">
        <f t="shared" si="5"/>
        <v>LU000732.006</v>
      </c>
      <c r="T109" s="10" t="str">
        <f ca="1">IFERROR(__xludf.DUMMYFUNCTION("VLOOKUP(S109, IMPORTRANGE(""https://docs.google.com/spreadsheets/d/1yDAaXNsi4Mr5FtRQL4tbmSdIzhx6_m4wkOD7IG-k_eo/edit#gid=0"", ""Maths!M:N""), 2, FALSE)"),"Develop an innovative alternative approach for finding the area of a heptagon by dividing it into parts other than triangles and quadrilaterals.")</f>
        <v>Develop an innovative alternative approach for finding the area of a heptagon by dividing it into parts other than triangles and quadrilaterals.</v>
      </c>
      <c r="U109" s="52">
        <f ca="1">IFERROR(__xludf.DUMMYFUNCTION("ArrayFormula(VLOOKUP(G109, IMPORTRANGE(""https://docs.google.com/spreadsheets/d/1p7R4vtkWt5VOBim4ltsDG9KTzSjrtKXsMtQGXPHyND0/edit#gid=795171502"", ""'Filter 30_05_2024'!A1:M2000""), {2, 3, 4, 5,6,7,8,9,10,11,12,13}, 0))"),4)</f>
        <v>4</v>
      </c>
      <c r="V109" s="52">
        <f ca="1">IFERROR(__xludf.DUMMYFUNCTION("""COMPUTED_VALUE"""),6)</f>
        <v>6</v>
      </c>
      <c r="W109" s="52">
        <f ca="1">IFERROR(__xludf.DUMMYFUNCTION("""COMPUTED_VALUE"""),2)</f>
        <v>2</v>
      </c>
      <c r="X109" s="52">
        <f ca="1">IFERROR(__xludf.DUMMYFUNCTION("""COMPUTED_VALUE"""),12)</f>
        <v>12</v>
      </c>
      <c r="Y109" s="52">
        <f ca="1">IFERROR(__xludf.DUMMYFUNCTION("""COMPUTED_VALUE"""),4)</f>
        <v>4</v>
      </c>
      <c r="Z109" s="53">
        <f ca="1">IFERROR(__xludf.DUMMYFUNCTION("""COMPUTED_VALUE"""),3)</f>
        <v>3</v>
      </c>
      <c r="AA109" s="53">
        <f ca="1">IFERROR(__xludf.DUMMYFUNCTION("""COMPUTED_VALUE"""),1)</f>
        <v>1</v>
      </c>
      <c r="AB109" s="53">
        <f ca="1">IFERROR(__xludf.DUMMYFUNCTION("""COMPUTED_VALUE"""),8)</f>
        <v>8</v>
      </c>
      <c r="AC109" s="53"/>
      <c r="AD109" s="53"/>
      <c r="AE109" s="53"/>
      <c r="AF109" s="53"/>
      <c r="AG109" s="8" t="str">
        <f ca="1">IFERROR(__xludf.DUMMYFUNCTION("ArrayFormula(VLOOKUP(G109, IMPORTRANGE(""https://docs.google.com/spreadsheets/d/1Co934fvtviyaRiMsrIlT05Jaq7iiYq07aLvRr35KA48/edit?gid=173865642#gid=173865642"", ""'G8_Maths_Pri_LU'!G2:V2000""), {3, 4, 5, 6, 7, 8, 9, 10, 11, 12, 13, 14, 15, 16}, 0))"),"LU000715")</f>
        <v>LU000715</v>
      </c>
      <c r="AH109" s="8" t="str">
        <f ca="1">IFERROR(__xludf.DUMMYFUNCTION("""COMPUTED_VALUE"""),"Area of a trapezium using formula")</f>
        <v>Area of a trapezium using formula</v>
      </c>
      <c r="AI109" s="8" t="str">
        <f ca="1">IFERROR(__xludf.DUMMYFUNCTION("""COMPUTED_VALUE"""),"LU000327")</f>
        <v>LU000327</v>
      </c>
      <c r="AJ109" s="8" t="str">
        <f ca="1">IFERROR(__xludf.DUMMYFUNCTION("""COMPUTED_VALUE"""),"Area of a rectangle using formula")</f>
        <v>Area of a rectangle using formula</v>
      </c>
      <c r="AK109" s="8" t="str">
        <f ca="1">IFERROR(__xludf.DUMMYFUNCTION("""COMPUTED_VALUE"""),"LU000492")</f>
        <v>LU000492</v>
      </c>
      <c r="AL109" s="8" t="str">
        <f ca="1">IFERROR(__xludf.DUMMYFUNCTION("""COMPUTED_VALUE"""),"Area of a triangle using the formula")</f>
        <v>Area of a triangle using the formula</v>
      </c>
      <c r="AM109" s="8" t="str">
        <f ca="1">IFERROR(__xludf.DUMMYFUNCTION("""COMPUTED_VALUE"""),"LU000902")</f>
        <v>LU000902</v>
      </c>
      <c r="AN109" s="8" t="str">
        <f ca="1">IFERROR(__xludf.DUMMYFUNCTION("""COMPUTED_VALUE"""),"Triangulation method for polygons")</f>
        <v>Triangulation method for polygons</v>
      </c>
      <c r="AO109" s="8" t="str">
        <f ca="1">IFERROR(__xludf.DUMMYFUNCTION("""COMPUTED_VALUE"""),"LU000500")</f>
        <v>LU000500</v>
      </c>
      <c r="AP109" s="8" t="str">
        <f ca="1">IFERROR(__xludf.DUMMYFUNCTION("""COMPUTED_VALUE"""),"Conversion of units of area")</f>
        <v>Conversion of units of area</v>
      </c>
      <c r="AQ109" s="8"/>
      <c r="AR109" s="8"/>
      <c r="AS109" s="8"/>
      <c r="AT109" s="8"/>
      <c r="AU109" s="8"/>
      <c r="AV109" s="8"/>
      <c r="AW109" s="8"/>
      <c r="AX109" s="8"/>
      <c r="AY109" s="8"/>
      <c r="AZ109" s="8"/>
      <c r="BA109" s="8"/>
      <c r="BB109" s="8"/>
      <c r="BC109" s="8"/>
      <c r="BD109" s="8"/>
      <c r="BE109" s="8"/>
    </row>
    <row r="110" spans="1:57">
      <c r="A110" s="8" t="s">
        <v>247</v>
      </c>
      <c r="B110" s="8" t="s">
        <v>47</v>
      </c>
      <c r="C110" s="8" t="s">
        <v>731</v>
      </c>
      <c r="D110" s="8" t="s">
        <v>732</v>
      </c>
      <c r="E110" s="8" t="s">
        <v>386</v>
      </c>
      <c r="F110" s="54" t="s">
        <v>898</v>
      </c>
      <c r="G110" s="8" t="s">
        <v>900</v>
      </c>
      <c r="H110" s="8" t="str">
        <f ca="1">IFERROR(__xludf.DUMMYFUNCTION("VLOOKUP(G110, IMPORTRANGE(""https://docs.google.com/spreadsheets/d/14deopnvwcrKtEGCKuYXdUHJbeLDZlkiSSWWT0g7x2pM/edit#gid=999382323"", ""LU List Maths (Filter)!A:B""), 2, FALSE)"),"Area of a octagon by dividing into parts (triangles and quadrilaterals)")</f>
        <v>Area of a octagon by dividing into parts (triangles and quadrilaterals)</v>
      </c>
      <c r="I110" s="10" t="str">
        <f t="shared" si="0"/>
        <v>LU000733.001</v>
      </c>
      <c r="J110" s="10" t="str">
        <f ca="1">IFERROR(__xludf.DUMMYFUNCTION("VLOOKUP(I110, IMPORTRANGE(""https://docs.google.com/spreadsheets/d/1yDAaXNsi4Mr5FtRQL4tbmSdIzhx6_m4wkOD7IG-k_eo/edit#gid=0"", ""Maths!M:N""), 2, FALSE)"),"Recall the distinct properties of octagons and quadrilaterals relevant to area calculations.")</f>
        <v>Recall the distinct properties of octagons and quadrilaterals relevant to area calculations.</v>
      </c>
      <c r="K110" s="10" t="str">
        <f t="shared" si="1"/>
        <v>LU000733.002</v>
      </c>
      <c r="L110" s="10" t="str">
        <f ca="1">IFERROR(__xludf.DUMMYFUNCTION("VLOOKUP(K110, IMPORTRANGE(""https://docs.google.com/spreadsheets/d/1yDAaXNsi4Mr5FtRQL4tbmSdIzhx6_m4wkOD7IG-k_eo/edit#gid=0"", ""Maths!M:N""), 2, FALSE)"),"Explain the concept of how a octagon can be divided into triangles and quadrilaterals to calculate its area.")</f>
        <v>Explain the concept of how a octagon can be divided into triangles and quadrilaterals to calculate its area.</v>
      </c>
      <c r="M110" s="10" t="str">
        <f t="shared" si="2"/>
        <v>LU000733.003</v>
      </c>
      <c r="N110" s="10" t="str">
        <f ca="1">IFERROR(__xludf.DUMMYFUNCTION("VLOOKUP(M110, IMPORTRANGE(""https://docs.google.com/spreadsheets/d/1yDAaXNsi4Mr5FtRQL4tbmSdIzhx6_m4wkOD7IG-k_eo/edit#gid=0"", ""Maths!M:N""), 2, FALSE)"),"Calculate the area of a given octagon by dividing it into triangles and quadrilaterals.")</f>
        <v>Calculate the area of a given octagon by dividing it into triangles and quadrilaterals.</v>
      </c>
      <c r="O110" s="10" t="str">
        <f t="shared" si="3"/>
        <v>LU000733.004</v>
      </c>
      <c r="P110" s="10" t="str">
        <f ca="1">IFERROR(__xludf.DUMMYFUNCTION("VLOOKUP(O110, IMPORTRANGE(""https://docs.google.com/spreadsheets/d/1yDAaXNsi4Mr5FtRQL4tbmSdIzhx6_m4wkOD7IG-k_eo/edit#gid=0"", ""Maths!M:N""), 2, FALSE)"),"Analyze and differentiate the various approaches for dividing a octagon into triangles and quadrilaterals.")</f>
        <v>Analyze and differentiate the various approaches for dividing a octagon into triangles and quadrilaterals.</v>
      </c>
      <c r="Q110" s="10" t="str">
        <f t="shared" si="4"/>
        <v>LU000733.005</v>
      </c>
      <c r="R110" s="10" t="str">
        <f ca="1">IFERROR(__xludf.DUMMYFUNCTION("VLOOKUP(Q110, IMPORTRANGE(""https://docs.google.com/spreadsheets/d/1yDAaXNsi4Mr5FtRQL4tbmSdIzhx6_m4wkOD7IG-k_eo/edit#gid=0"", ""Maths!M:N""), 2, FALSE)"),"Evaluate the effectiveness of the method of partitioning a octagon into triangles and quadrilaterals in terms of its accuracy and applicability for different types of octagons.")</f>
        <v>Evaluate the effectiveness of the method of partitioning a octagon into triangles and quadrilaterals in terms of its accuracy and applicability for different types of octagons.</v>
      </c>
      <c r="S110" s="10" t="str">
        <f t="shared" si="5"/>
        <v>LU000733.006</v>
      </c>
      <c r="T110" s="10" t="str">
        <f ca="1">IFERROR(__xludf.DUMMYFUNCTION("VLOOKUP(S110, IMPORTRANGE(""https://docs.google.com/spreadsheets/d/1yDAaXNsi4Mr5FtRQL4tbmSdIzhx6_m4wkOD7IG-k_eo/edit#gid=0"", ""Maths!M:N""), 2, FALSE)"),"Develop an innovative alternative approach for finding the area of a octagon by dividing it into parts other than triangles and quadrilaterals.")</f>
        <v>Develop an innovative alternative approach for finding the area of a octagon by dividing it into parts other than triangles and quadrilaterals.</v>
      </c>
      <c r="U110" s="52">
        <f ca="1">IFERROR(__xludf.DUMMYFUNCTION("ArrayFormula(VLOOKUP(G110, IMPORTRANGE(""https://docs.google.com/spreadsheets/d/1p7R4vtkWt5VOBim4ltsDG9KTzSjrtKXsMtQGXPHyND0/edit#gid=795171502"", ""'Filter 30_05_2024'!A1:M2000""), {2, 3, 4, 5,6,7,8,9,10,11,12,13}, 0))"),4)</f>
        <v>4</v>
      </c>
      <c r="V110" s="52">
        <f ca="1">IFERROR(__xludf.DUMMYFUNCTION("""COMPUTED_VALUE"""),6)</f>
        <v>6</v>
      </c>
      <c r="W110" s="52">
        <f ca="1">IFERROR(__xludf.DUMMYFUNCTION("""COMPUTED_VALUE"""),2)</f>
        <v>2</v>
      </c>
      <c r="X110" s="52">
        <f ca="1">IFERROR(__xludf.DUMMYFUNCTION("""COMPUTED_VALUE"""),12)</f>
        <v>12</v>
      </c>
      <c r="Y110" s="52">
        <f ca="1">IFERROR(__xludf.DUMMYFUNCTION("""COMPUTED_VALUE"""),4)</f>
        <v>4</v>
      </c>
      <c r="Z110" s="53">
        <f ca="1">IFERROR(__xludf.DUMMYFUNCTION("""COMPUTED_VALUE"""),3)</f>
        <v>3</v>
      </c>
      <c r="AA110" s="53">
        <f ca="1">IFERROR(__xludf.DUMMYFUNCTION("""COMPUTED_VALUE"""),1)</f>
        <v>1</v>
      </c>
      <c r="AB110" s="53">
        <f ca="1">IFERROR(__xludf.DUMMYFUNCTION("""COMPUTED_VALUE"""),8)</f>
        <v>8</v>
      </c>
      <c r="AC110" s="53"/>
      <c r="AD110" s="53"/>
      <c r="AE110" s="53"/>
      <c r="AF110" s="53"/>
      <c r="AG110" s="8" t="str">
        <f ca="1">IFERROR(__xludf.DUMMYFUNCTION("ArrayFormula(VLOOKUP(G110, IMPORTRANGE(""https://docs.google.com/spreadsheets/d/1Co934fvtviyaRiMsrIlT05Jaq7iiYq07aLvRr35KA48/edit?gid=173865642#gid=173865642"", ""'G8_Maths_Pri_LU'!G2:V2000""), {3, 4, 5, 6, 7, 8, 9, 10, 11, 12, 13, 14, 15, 16}, 0))"),"LU000715")</f>
        <v>LU000715</v>
      </c>
      <c r="AH110" s="8" t="str">
        <f ca="1">IFERROR(__xludf.DUMMYFUNCTION("""COMPUTED_VALUE"""),"Area of a trapezium using formula")</f>
        <v>Area of a trapezium using formula</v>
      </c>
      <c r="AI110" s="8" t="str">
        <f ca="1">IFERROR(__xludf.DUMMYFUNCTION("""COMPUTED_VALUE"""),"LU000327")</f>
        <v>LU000327</v>
      </c>
      <c r="AJ110" s="8" t="str">
        <f ca="1">IFERROR(__xludf.DUMMYFUNCTION("""COMPUTED_VALUE"""),"Area of a rectangle using formula")</f>
        <v>Area of a rectangle using formula</v>
      </c>
      <c r="AK110" s="8" t="str">
        <f ca="1">IFERROR(__xludf.DUMMYFUNCTION("""COMPUTED_VALUE"""),"LU000492")</f>
        <v>LU000492</v>
      </c>
      <c r="AL110" s="8" t="str">
        <f ca="1">IFERROR(__xludf.DUMMYFUNCTION("""COMPUTED_VALUE"""),"Area of a triangle using the formula")</f>
        <v>Area of a triangle using the formula</v>
      </c>
      <c r="AM110" s="8" t="str">
        <f ca="1">IFERROR(__xludf.DUMMYFUNCTION("""COMPUTED_VALUE"""),"LU000902")</f>
        <v>LU000902</v>
      </c>
      <c r="AN110" s="8" t="str">
        <f ca="1">IFERROR(__xludf.DUMMYFUNCTION("""COMPUTED_VALUE"""),"Triangulation method for polygons")</f>
        <v>Triangulation method for polygons</v>
      </c>
      <c r="AO110" s="8" t="str">
        <f ca="1">IFERROR(__xludf.DUMMYFUNCTION("""COMPUTED_VALUE"""),"LU000500")</f>
        <v>LU000500</v>
      </c>
      <c r="AP110" s="8" t="str">
        <f ca="1">IFERROR(__xludf.DUMMYFUNCTION("""COMPUTED_VALUE"""),"Conversion of units of area")</f>
        <v>Conversion of units of area</v>
      </c>
      <c r="AQ110" s="8"/>
      <c r="AR110" s="8"/>
      <c r="AS110" s="8"/>
      <c r="AT110" s="8"/>
      <c r="AU110" s="8"/>
      <c r="AV110" s="8"/>
      <c r="AW110" s="8"/>
      <c r="AX110" s="8"/>
      <c r="AY110" s="8"/>
      <c r="AZ110" s="8"/>
      <c r="BA110" s="8"/>
      <c r="BB110" s="8"/>
      <c r="BC110" s="8"/>
      <c r="BD110" s="8"/>
      <c r="BE110" s="8"/>
    </row>
    <row r="111" spans="1:57">
      <c r="A111" s="8" t="s">
        <v>247</v>
      </c>
      <c r="B111" s="8" t="s">
        <v>47</v>
      </c>
      <c r="C111" s="8" t="s">
        <v>731</v>
      </c>
      <c r="D111" s="8" t="s">
        <v>732</v>
      </c>
      <c r="E111" s="8" t="s">
        <v>386</v>
      </c>
      <c r="F111" s="54" t="s">
        <v>901</v>
      </c>
      <c r="G111" s="8" t="s">
        <v>902</v>
      </c>
      <c r="H111" s="8" t="str">
        <f ca="1">IFERROR(__xludf.DUMMYFUNCTION("VLOOKUP(G111, IMPORTRANGE(""https://docs.google.com/spreadsheets/d/14deopnvwcrKtEGCKuYXdUHJbeLDZlkiSSWWT0g7x2pM/edit#gid=999382323"", ""LU List Maths (Filter)!A:B""), 2, FALSE)"),"Lateral surface area of a cuboid")</f>
        <v>Lateral surface area of a cuboid</v>
      </c>
      <c r="I111" s="10" t="str">
        <f t="shared" si="0"/>
        <v>LU000718.001</v>
      </c>
      <c r="J111" s="10" t="str">
        <f ca="1">IFERROR(__xludf.DUMMYFUNCTION("VLOOKUP(I111, IMPORTRANGE(""https://docs.google.com/spreadsheets/d/1yDAaXNsi4Mr5FtRQL4tbmSdIzhx6_m4wkOD7IG-k_eo/edit#gid=0"", ""Maths!M:N""), 2, FALSE)"),"Recall the formula for calculating the lateral surface area of a cuboid.")</f>
        <v>Recall the formula for calculating the lateral surface area of a cuboid.</v>
      </c>
      <c r="K111" s="10" t="str">
        <f t="shared" si="1"/>
        <v>LU000718.002</v>
      </c>
      <c r="L111" s="10" t="str">
        <f ca="1">IFERROR(__xludf.DUMMYFUNCTION("VLOOKUP(K111, IMPORTRANGE(""https://docs.google.com/spreadsheets/d/1yDAaXNsi4Mr5FtRQL4tbmSdIzhx6_m4wkOD7IG-k_eo/edit#gid=0"", ""Maths!M:N""), 2, FALSE)"),"Explain the concept of lateral surface area of a cuboid.")</f>
        <v>Explain the concept of lateral surface area of a cuboid.</v>
      </c>
      <c r="M111" s="10" t="str">
        <f t="shared" si="2"/>
        <v>LU000718.003</v>
      </c>
      <c r="N111" s="10" t="str">
        <f ca="1">IFERROR(__xludf.DUMMYFUNCTION("VLOOKUP(M111, IMPORTRANGE(""https://docs.google.com/spreadsheets/d/1yDAaXNsi4Mr5FtRQL4tbmSdIzhx6_m4wkOD7IG-k_eo/edit#gid=0"", ""Maths!M:N""), 2, FALSE)"),"Apply the formula to find the lateral surface area of a cuboid with given dimensions.")</f>
        <v>Apply the formula to find the lateral surface area of a cuboid with given dimensions.</v>
      </c>
      <c r="O111" s="10" t="str">
        <f t="shared" si="3"/>
        <v>LU000718.004</v>
      </c>
      <c r="P111" s="10" t="str">
        <f ca="1">IFERROR(__xludf.DUMMYFUNCTION("VLOOKUP(O111, IMPORTRANGE(""https://docs.google.com/spreadsheets/d/1yDAaXNsi4Mr5FtRQL4tbmSdIzhx6_m4wkOD7IG-k_eo/edit#gid=0"", ""Maths!M:N""), 2, FALSE)"),"Analyze how changes in the dimensions (length, width, or height) of a cuboid impact its lateral surface area.")</f>
        <v>Analyze how changes in the dimensions (length, width, or height) of a cuboid impact its lateral surface area.</v>
      </c>
      <c r="Q111" s="10" t="str">
        <f t="shared" si="4"/>
        <v>LU000718.005</v>
      </c>
      <c r="R111" s="10" t="str">
        <f ca="1">IFERROR(__xludf.DUMMYFUNCTION("VLOOKUP(Q111, IMPORTRANGE(""https://docs.google.com/spreadsheets/d/1yDAaXNsi4Mr5FtRQL4tbmSdIzhx6_m4wkOD7IG-k_eo/edit#gid=0"", ""Maths!M:N""), 2, FALSE)"),"Evaluate the efficiency of the formula for calculating the lateral surface area of a cuboid compared to alternative methods, and justify its relevance in various real-world contexts.")</f>
        <v>Evaluate the efficiency of the formula for calculating the lateral surface area of a cuboid compared to alternative methods, and justify its relevance in various real-world contexts.</v>
      </c>
      <c r="S111" s="10" t="str">
        <f t="shared" si="5"/>
        <v>LU000718.006</v>
      </c>
      <c r="T111" s="10" t="str">
        <f ca="1">IFERROR(__xludf.DUMMYFUNCTION("VLOOKUP(S111, IMPORTRANGE(""https://docs.google.com/spreadsheets/d/1yDAaXNsi4Mr5FtRQL4tbmSdIzhx6_m4wkOD7IG-k_eo/edit#gid=0"", ""Maths!M:N""), 2, FALSE)"),"#N/A")</f>
        <v>#N/A</v>
      </c>
      <c r="U111" s="52">
        <f ca="1">IFERROR(__xludf.DUMMYFUNCTION("ArrayFormula(VLOOKUP(G111, IMPORTRANGE(""https://docs.google.com/spreadsheets/d/1p7R4vtkWt5VOBim4ltsDG9KTzSjrtKXsMtQGXPHyND0/edit#gid=795171502"", ""'Filter 30_05_2024'!A1:M2000""), {2, 3, 4, 5,6,7,8,9,10,11,12,13}, 0))"),4)</f>
        <v>4</v>
      </c>
      <c r="V111" s="52">
        <f ca="1">IFERROR(__xludf.DUMMYFUNCTION("""COMPUTED_VALUE"""),6)</f>
        <v>6</v>
      </c>
      <c r="W111" s="52">
        <f ca="1">IFERROR(__xludf.DUMMYFUNCTION("""COMPUTED_VALUE"""),2)</f>
        <v>2</v>
      </c>
      <c r="X111" s="52">
        <f ca="1">IFERROR(__xludf.DUMMYFUNCTION("""COMPUTED_VALUE"""),12)</f>
        <v>12</v>
      </c>
      <c r="Y111" s="52">
        <f ca="1">IFERROR(__xludf.DUMMYFUNCTION("""COMPUTED_VALUE"""),4)</f>
        <v>4</v>
      </c>
      <c r="Z111" s="53">
        <f ca="1">IFERROR(__xludf.DUMMYFUNCTION("""COMPUTED_VALUE"""),3)</f>
        <v>3</v>
      </c>
      <c r="AA111" s="53">
        <f ca="1">IFERROR(__xludf.DUMMYFUNCTION("""COMPUTED_VALUE"""),1)</f>
        <v>1</v>
      </c>
      <c r="AB111" s="53">
        <f ca="1">IFERROR(__xludf.DUMMYFUNCTION("""COMPUTED_VALUE"""),8)</f>
        <v>8</v>
      </c>
      <c r="AC111" s="53"/>
      <c r="AD111" s="53"/>
      <c r="AE111" s="53"/>
      <c r="AF111" s="53"/>
      <c r="AG111" s="8" t="str">
        <f ca="1">IFERROR(__xludf.DUMMYFUNCTION("ArrayFormula(VLOOKUP(G111, IMPORTRANGE(""https://docs.google.com/spreadsheets/d/1Co934fvtviyaRiMsrIlT05Jaq7iiYq07aLvRr35KA48/edit?gid=173865642#gid=173865642"", ""'G8_Maths_Pri_LU'!G2:V2000""), {3, 4, 5, 6, 7, 8, 9, 10, 11, 12, 13, 14, 15, 16}, 0))"),"LU000251")</f>
        <v>LU000251</v>
      </c>
      <c r="AH111" s="8" t="str">
        <f ca="1">IFERROR(__xludf.DUMMYFUNCTION("""COMPUTED_VALUE"""),"Lexical explanation of three dimensional shapes-cuboids")</f>
        <v>Lexical explanation of three dimensional shapes-cuboids</v>
      </c>
      <c r="AI111" s="8" t="str">
        <f ca="1">IFERROR(__xludf.DUMMYFUNCTION("""COMPUTED_VALUE"""),"LU000327")</f>
        <v>LU000327</v>
      </c>
      <c r="AJ111" s="8" t="str">
        <f ca="1">IFERROR(__xludf.DUMMYFUNCTION("""COMPUTED_VALUE"""),"Area of a rectangle using formula")</f>
        <v>Area of a rectangle using formula</v>
      </c>
      <c r="AK111" s="8" t="str">
        <f ca="1">IFERROR(__xludf.DUMMYFUNCTION("""COMPUTED_VALUE"""),"LU000163")</f>
        <v>LU000163</v>
      </c>
      <c r="AL111" s="8" t="str">
        <f ca="1">IFERROR(__xludf.DUMMYFUNCTION("""COMPUTED_VALUE"""),"Conversion between different units of length (in whole number)")</f>
        <v>Conversion between different units of length (in whole number)</v>
      </c>
      <c r="AM111" s="8" t="str">
        <f ca="1">IFERROR(__xludf.DUMMYFUNCTION("""COMPUTED_VALUE"""),"LU000500")</f>
        <v>LU000500</v>
      </c>
      <c r="AN111" s="8" t="str">
        <f ca="1">IFERROR(__xludf.DUMMYFUNCTION("""COMPUTED_VALUE"""),"Conversion of units of area")</f>
        <v>Conversion of units of area</v>
      </c>
      <c r="AO111" s="8"/>
      <c r="AP111" s="8"/>
      <c r="AQ111" s="8"/>
      <c r="AR111" s="8"/>
      <c r="AS111" s="8"/>
      <c r="AT111" s="8"/>
      <c r="AU111" s="8"/>
      <c r="AV111" s="8"/>
      <c r="AW111" s="8"/>
      <c r="AX111" s="8"/>
      <c r="AY111" s="8"/>
      <c r="AZ111" s="8"/>
      <c r="BA111" s="8"/>
      <c r="BB111" s="8"/>
      <c r="BC111" s="8"/>
      <c r="BD111" s="8"/>
      <c r="BE111" s="8"/>
    </row>
    <row r="112" spans="1:57">
      <c r="A112" s="8" t="s">
        <v>247</v>
      </c>
      <c r="B112" s="8" t="s">
        <v>47</v>
      </c>
      <c r="C112" s="8" t="s">
        <v>731</v>
      </c>
      <c r="D112" s="8" t="s">
        <v>732</v>
      </c>
      <c r="E112" s="8" t="s">
        <v>386</v>
      </c>
      <c r="F112" s="54" t="s">
        <v>901</v>
      </c>
      <c r="G112" s="8" t="s">
        <v>903</v>
      </c>
      <c r="H112" s="8" t="str">
        <f ca="1">IFERROR(__xludf.DUMMYFUNCTION("VLOOKUP(G112, IMPORTRANGE(""https://docs.google.com/spreadsheets/d/14deopnvwcrKtEGCKuYXdUHJbeLDZlkiSSWWT0g7x2pM/edit#gid=999382323"", ""LU List Maths (Filter)!A:B""), 2, FALSE)"),"Total surface area of a cuboid")</f>
        <v>Total surface area of a cuboid</v>
      </c>
      <c r="I112" s="10" t="str">
        <f t="shared" si="0"/>
        <v>LU000722.001</v>
      </c>
      <c r="J112" s="10" t="str">
        <f ca="1">IFERROR(__xludf.DUMMYFUNCTION("VLOOKUP(I112, IMPORTRANGE(""https://docs.google.com/spreadsheets/d/1yDAaXNsi4Mr5FtRQL4tbmSdIzhx6_m4wkOD7IG-k_eo/edit#gid=0"", ""Maths!M:N""), 2, FALSE)"),"Recall the formula for calculating the total surface area of a cuboid.")</f>
        <v>Recall the formula for calculating the total surface area of a cuboid.</v>
      </c>
      <c r="K112" s="10" t="str">
        <f t="shared" si="1"/>
        <v>LU000722.002</v>
      </c>
      <c r="L112" s="10" t="str">
        <f ca="1">IFERROR(__xludf.DUMMYFUNCTION("VLOOKUP(K112, IMPORTRANGE(""https://docs.google.com/spreadsheets/d/1yDAaXNsi4Mr5FtRQL4tbmSdIzhx6_m4wkOD7IG-k_eo/edit#gid=0"", ""Maths!M:N""), 2, FALSE)"),"Explain the concept of total surface area of a cuboid.")</f>
        <v>Explain the concept of total surface area of a cuboid.</v>
      </c>
      <c r="M112" s="10" t="str">
        <f t="shared" si="2"/>
        <v>LU000722.003</v>
      </c>
      <c r="N112" s="10" t="str">
        <f ca="1">IFERROR(__xludf.DUMMYFUNCTION("VLOOKUP(M112, IMPORTRANGE(""https://docs.google.com/spreadsheets/d/1yDAaXNsi4Mr5FtRQL4tbmSdIzhx6_m4wkOD7IG-k_eo/edit#gid=0"", ""Maths!M:N""), 2, FALSE)"),"Apply the formula to find the total surface area of a cuboid with given dimensions.")</f>
        <v>Apply the formula to find the total surface area of a cuboid with given dimensions.</v>
      </c>
      <c r="O112" s="10" t="str">
        <f t="shared" si="3"/>
        <v>LU000722.004</v>
      </c>
      <c r="P112" s="10" t="str">
        <f ca="1">IFERROR(__xludf.DUMMYFUNCTION("VLOOKUP(O112, IMPORTRANGE(""https://docs.google.com/spreadsheets/d/1yDAaXNsi4Mr5FtRQL4tbmSdIzhx6_m4wkOD7IG-k_eo/edit#gid=0"", ""Maths!M:N""), 2, FALSE)"),"Analyse the relationship between the total surface area and the lateral surface area of a cuboid, identifying how they are connected and why they have different values.")</f>
        <v>Analyse the relationship between the total surface area and the lateral surface area of a cuboid, identifying how they are connected and why they have different values.</v>
      </c>
      <c r="Q112" s="10" t="str">
        <f t="shared" si="4"/>
        <v>LU000722.005</v>
      </c>
      <c r="R112" s="10" t="str">
        <f ca="1">IFERROR(__xludf.DUMMYFUNCTION("VLOOKUP(Q112, IMPORTRANGE(""https://docs.google.com/spreadsheets/d/1yDAaXNsi4Mr5FtRQL4tbmSdIzhx6_m4wkOD7IG-k_eo/edit#gid=0"", ""Maths!M:N""), 2, FALSE)"),"Evaluate the efficiency of the formula for calculating the total surface area of a cuboid compared to alternative methods, and justify its relevance in various real-world contexts.")</f>
        <v>Evaluate the efficiency of the formula for calculating the total surface area of a cuboid compared to alternative methods, and justify its relevance in various real-world contexts.</v>
      </c>
      <c r="S112" s="10" t="str">
        <f t="shared" si="5"/>
        <v>LU000722.006</v>
      </c>
      <c r="T112" s="10" t="str">
        <f ca="1">IFERROR(__xludf.DUMMYFUNCTION("VLOOKUP(S112, IMPORTRANGE(""https://docs.google.com/spreadsheets/d/1yDAaXNsi4Mr5FtRQL4tbmSdIzhx6_m4wkOD7IG-k_eo/edit#gid=0"", ""Maths!M:N""), 2, FALSE)"),"Design a three-dimensional model or prototype of a unique cuboid packaging solution for a specific product, showcasing an innovative application of the concept of total surface area in packaging design.")</f>
        <v>Design a three-dimensional model or prototype of a unique cuboid packaging solution for a specific product, showcasing an innovative application of the concept of total surface area in packaging design.</v>
      </c>
      <c r="U112" s="52">
        <f ca="1">IFERROR(__xludf.DUMMYFUNCTION("ArrayFormula(VLOOKUP(G112, IMPORTRANGE(""https://docs.google.com/spreadsheets/d/1p7R4vtkWt5VOBim4ltsDG9KTzSjrtKXsMtQGXPHyND0/edit#gid=795171502"", ""'Filter 30_05_2024'!A1:M2000""), {2, 3, 4, 5,6,7,8,9,10,11,12,13}, 0))"),4)</f>
        <v>4</v>
      </c>
      <c r="V112" s="52">
        <f ca="1">IFERROR(__xludf.DUMMYFUNCTION("""COMPUTED_VALUE"""),6)</f>
        <v>6</v>
      </c>
      <c r="W112" s="52">
        <f ca="1">IFERROR(__xludf.DUMMYFUNCTION("""COMPUTED_VALUE"""),2)</f>
        <v>2</v>
      </c>
      <c r="X112" s="52">
        <f ca="1">IFERROR(__xludf.DUMMYFUNCTION("""COMPUTED_VALUE"""),12)</f>
        <v>12</v>
      </c>
      <c r="Y112" s="52">
        <f ca="1">IFERROR(__xludf.DUMMYFUNCTION("""COMPUTED_VALUE"""),4)</f>
        <v>4</v>
      </c>
      <c r="Z112" s="53">
        <f ca="1">IFERROR(__xludf.DUMMYFUNCTION("""COMPUTED_VALUE"""),3)</f>
        <v>3</v>
      </c>
      <c r="AA112" s="53">
        <f ca="1">IFERROR(__xludf.DUMMYFUNCTION("""COMPUTED_VALUE"""),1)</f>
        <v>1</v>
      </c>
      <c r="AB112" s="53">
        <f ca="1">IFERROR(__xludf.DUMMYFUNCTION("""COMPUTED_VALUE"""),8)</f>
        <v>8</v>
      </c>
      <c r="AC112" s="53"/>
      <c r="AD112" s="53"/>
      <c r="AE112" s="53"/>
      <c r="AF112" s="53"/>
      <c r="AG112" s="8" t="str">
        <f ca="1">IFERROR(__xludf.DUMMYFUNCTION("ArrayFormula(VLOOKUP(G112, IMPORTRANGE(""https://docs.google.com/spreadsheets/d/1Co934fvtviyaRiMsrIlT05Jaq7iiYq07aLvRr35KA48/edit?gid=173865642#gid=173865642"", ""'G8_Maths_Pri_LU'!G2:V2000""), {3, 4, 5, 6, 7, 8, 9, 10, 11, 12, 13, 14, 15, 16}, 0))"),"LU000718")</f>
        <v>LU000718</v>
      </c>
      <c r="AH112" s="8" t="str">
        <f ca="1">IFERROR(__xludf.DUMMYFUNCTION("""COMPUTED_VALUE"""),"Lateral surface area of a cuboid")</f>
        <v>Lateral surface area of a cuboid</v>
      </c>
      <c r="AI112" s="8" t="str">
        <f ca="1">IFERROR(__xludf.DUMMYFUNCTION("""COMPUTED_VALUE"""),"LU000251")</f>
        <v>LU000251</v>
      </c>
      <c r="AJ112" s="8" t="str">
        <f ca="1">IFERROR(__xludf.DUMMYFUNCTION("""COMPUTED_VALUE"""),"Lexical explanation of three dimensional shapes-cuboids")</f>
        <v>Lexical explanation of three dimensional shapes-cuboids</v>
      </c>
      <c r="AK112" s="8" t="str">
        <f ca="1">IFERROR(__xludf.DUMMYFUNCTION("""COMPUTED_VALUE"""),"LU000327")</f>
        <v>LU000327</v>
      </c>
      <c r="AL112" s="8" t="str">
        <f ca="1">IFERROR(__xludf.DUMMYFUNCTION("""COMPUTED_VALUE"""),"Area of a rectangle using formula")</f>
        <v>Area of a rectangle using formula</v>
      </c>
      <c r="AM112" s="8" t="str">
        <f ca="1">IFERROR(__xludf.DUMMYFUNCTION("""COMPUTED_VALUE"""),"LU000163")</f>
        <v>LU000163</v>
      </c>
      <c r="AN112" s="8" t="str">
        <f ca="1">IFERROR(__xludf.DUMMYFUNCTION("""COMPUTED_VALUE"""),"Conversion between different units of length (in whole number)")</f>
        <v>Conversion between different units of length (in whole number)</v>
      </c>
      <c r="AO112" s="8" t="str">
        <f ca="1">IFERROR(__xludf.DUMMYFUNCTION("""COMPUTED_VALUE"""),"LU000500")</f>
        <v>LU000500</v>
      </c>
      <c r="AP112" s="8" t="str">
        <f ca="1">IFERROR(__xludf.DUMMYFUNCTION("""COMPUTED_VALUE"""),"Conversion of units of area")</f>
        <v>Conversion of units of area</v>
      </c>
      <c r="AQ112" s="8"/>
      <c r="AR112" s="8"/>
      <c r="AS112" s="8"/>
      <c r="AT112" s="8"/>
      <c r="AU112" s="8"/>
      <c r="AV112" s="8"/>
      <c r="AW112" s="8"/>
      <c r="AX112" s="8"/>
      <c r="AY112" s="8"/>
      <c r="AZ112" s="8"/>
      <c r="BA112" s="8"/>
      <c r="BB112" s="8"/>
      <c r="BC112" s="8"/>
      <c r="BD112" s="8"/>
      <c r="BE112" s="8"/>
    </row>
    <row r="113" spans="1:57">
      <c r="A113" s="8" t="s">
        <v>247</v>
      </c>
      <c r="B113" s="8" t="s">
        <v>47</v>
      </c>
      <c r="C113" s="8" t="s">
        <v>731</v>
      </c>
      <c r="D113" s="8" t="s">
        <v>732</v>
      </c>
      <c r="E113" s="8" t="s">
        <v>386</v>
      </c>
      <c r="F113" s="54" t="s">
        <v>901</v>
      </c>
      <c r="G113" s="8" t="s">
        <v>904</v>
      </c>
      <c r="H113" s="8" t="str">
        <f ca="1">IFERROR(__xludf.DUMMYFUNCTION("VLOOKUP(G113, IMPORTRANGE(""https://docs.google.com/spreadsheets/d/14deopnvwcrKtEGCKuYXdUHJbeLDZlkiSSWWT0g7x2pM/edit#gid=999382323"", ""LU List Maths (Filter)!A:B""), 2, FALSE)"),"Surface area of the cuboid formed by joining the cubes")</f>
        <v>Surface area of the cuboid formed by joining the cubes</v>
      </c>
      <c r="I113" s="10" t="str">
        <f t="shared" si="0"/>
        <v>LU000734.001</v>
      </c>
      <c r="J113" s="10" t="str">
        <f ca="1">IFERROR(__xludf.DUMMYFUNCTION("VLOOKUP(I113, IMPORTRANGE(""https://docs.google.com/spreadsheets/d/1yDAaXNsi4Mr5FtRQL4tbmSdIzhx6_m4wkOD7IG-k_eo/edit#gid=0"", ""Maths!M:N""), 2, FALSE)"),"Recall the concept of forming a cuboid by joining cubes and remember the formula for calculating the surface area of a cuboid.")</f>
        <v>Recall the concept of forming a cuboid by joining cubes and remember the formula for calculating the surface area of a cuboid.</v>
      </c>
      <c r="K113" s="10" t="str">
        <f t="shared" si="1"/>
        <v>LU000734.002</v>
      </c>
      <c r="L113" s="10" t="str">
        <f ca="1">IFERROR(__xludf.DUMMYFUNCTION("VLOOKUP(K113, IMPORTRANGE(""https://docs.google.com/spreadsheets/d/1yDAaXNsi4Mr5FtRQL4tbmSdIzhx6_m4wkOD7IG-k_eo/edit#gid=0"", ""Maths!M:N""), 2, FALSE)"),"Understand how cubes with specific side lengths can be arranged and joined together to create a cuboid, recognizing the relationship between the dimensions of the cubes and the dimensions of the resulting cuboid.")</f>
        <v>Understand how cubes with specific side lengths can be arranged and joined together to create a cuboid, recognizing the relationship between the dimensions of the cubes and the dimensions of the resulting cuboid.</v>
      </c>
      <c r="M113" s="10" t="str">
        <f t="shared" si="2"/>
        <v>LU000734.003</v>
      </c>
      <c r="N113" s="10" t="str">
        <f ca="1">IFERROR(__xludf.DUMMYFUNCTION("VLOOKUP(M113, IMPORTRANGE(""https://docs.google.com/spreadsheets/d/1yDAaXNsi4Mr5FtRQL4tbmSdIzhx6_m4wkOD7IG-k_eo/edit#gid=0"", ""Maths!M:N""), 2, FALSE)"),"Apply the knowledge of joining cubes to form a cuboid with specific side lengths to calculate the surface area of this particular cuboid.")</f>
        <v>Apply the knowledge of joining cubes to form a cuboid with specific side lengths to calculate the surface area of this particular cuboid.</v>
      </c>
      <c r="O113" s="10" t="str">
        <f t="shared" si="3"/>
        <v>LU000734.004</v>
      </c>
      <c r="P113" s="10" t="str">
        <f ca="1">IFERROR(__xludf.DUMMYFUNCTION("VLOOKUP(O113, IMPORTRANGE(""https://docs.google.com/spreadsheets/d/1yDAaXNsi4Mr5FtRQL4tbmSdIzhx6_m4wkOD7IG-k_eo/edit#gid=0"", ""Maths!M:N""), 2, FALSE)"),"Analyze and compare the surface areas of the individual cubes with that of the cuboid formed by joining them, identifying differences and understanding how the arrangement affects the overall surface area.")</f>
        <v>Analyze and compare the surface areas of the individual cubes with that of the cuboid formed by joining them, identifying differences and understanding how the arrangement affects the overall surface area.</v>
      </c>
      <c r="Q113" s="10" t="str">
        <f t="shared" si="4"/>
        <v>LU000734.005</v>
      </c>
      <c r="R113" s="10" t="str">
        <f ca="1">IFERROR(__xludf.DUMMYFUNCTION("VLOOKUP(Q113, IMPORTRANGE(""https://docs.google.com/spreadsheets/d/1yDAaXNsi4Mr5FtRQL4tbmSdIzhx6_m4wkOD7IG-k_eo/edit#gid=0"", ""Maths!M:N""), 2, FALSE)"),"Evaluate different arrangements of cubes to form cuboids and determine which configuration results in the smallest or largest surface area.")</f>
        <v>Evaluate different arrangements of cubes to form cuboids and determine which configuration results in the smallest or largest surface area.</v>
      </c>
      <c r="S113" s="10" t="str">
        <f t="shared" si="5"/>
        <v>LU000734.006</v>
      </c>
      <c r="T113" s="10" t="str">
        <f ca="1">IFERROR(__xludf.DUMMYFUNCTION("VLOOKUP(S113, IMPORTRANGE(""https://docs.google.com/spreadsheets/d/1yDAaXNsi4Mr5FtRQL4tbmSdIzhx6_m4wkOD7IG-k_eo/edit#gid=0"", ""Maths!M:N""), 2, FALSE)"),"Create a design project that challenges students to arrange a given number of cubes to form a cuboid with a specified surface area")</f>
        <v>Create a design project that challenges students to arrange a given number of cubes to form a cuboid with a specified surface area</v>
      </c>
      <c r="U113" s="52">
        <f ca="1">IFERROR(__xludf.DUMMYFUNCTION("ArrayFormula(VLOOKUP(G113, IMPORTRANGE(""https://docs.google.com/spreadsheets/d/1p7R4vtkWt5VOBim4ltsDG9KTzSjrtKXsMtQGXPHyND0/edit#gid=795171502"", ""'Filter 30_05_2024'!A1:M2000""), {2, 3, 4, 5,6,7,8,9,10,11,12,13}, 0))"),4)</f>
        <v>4</v>
      </c>
      <c r="V113" s="52">
        <f ca="1">IFERROR(__xludf.DUMMYFUNCTION("""COMPUTED_VALUE"""),6)</f>
        <v>6</v>
      </c>
      <c r="W113" s="52">
        <f ca="1">IFERROR(__xludf.DUMMYFUNCTION("""COMPUTED_VALUE"""),2)</f>
        <v>2</v>
      </c>
      <c r="X113" s="52">
        <f ca="1">IFERROR(__xludf.DUMMYFUNCTION("""COMPUTED_VALUE"""),12)</f>
        <v>12</v>
      </c>
      <c r="Y113" s="52">
        <f ca="1">IFERROR(__xludf.DUMMYFUNCTION("""COMPUTED_VALUE"""),4)</f>
        <v>4</v>
      </c>
      <c r="Z113" s="53">
        <f ca="1">IFERROR(__xludf.DUMMYFUNCTION("""COMPUTED_VALUE"""),3)</f>
        <v>3</v>
      </c>
      <c r="AA113" s="53">
        <f ca="1">IFERROR(__xludf.DUMMYFUNCTION("""COMPUTED_VALUE"""),1)</f>
        <v>1</v>
      </c>
      <c r="AB113" s="53">
        <f ca="1">IFERROR(__xludf.DUMMYFUNCTION("""COMPUTED_VALUE"""),8)</f>
        <v>8</v>
      </c>
      <c r="AC113" s="53"/>
      <c r="AD113" s="53"/>
      <c r="AE113" s="53"/>
      <c r="AF113" s="53"/>
      <c r="AG113" s="8" t="str">
        <f ca="1">IFERROR(__xludf.DUMMYFUNCTION("ArrayFormula(VLOOKUP(G113, IMPORTRANGE(""https://docs.google.com/spreadsheets/d/1Co934fvtviyaRiMsrIlT05Jaq7iiYq07aLvRr35KA48/edit?gid=173865642#gid=173865642"", ""'G8_Maths_Pri_LU'!G2:V2000""), {3, 4, 5, 6, 7, 8, 9, 10, 11, 12, 13, 14, 15, 16}, 0))"),"LU000249")</f>
        <v>LU000249</v>
      </c>
      <c r="AH113" s="8" t="str">
        <f ca="1">IFERROR(__xludf.DUMMYFUNCTION("""COMPUTED_VALUE"""),"Lexical explanation of three dimensional shapes-Cube")</f>
        <v>Lexical explanation of three dimensional shapes-Cube</v>
      </c>
      <c r="AI113" s="8" t="str">
        <f ca="1">IFERROR(__xludf.DUMMYFUNCTION("""COMPUTED_VALUE"""),"LU000722")</f>
        <v>LU000722</v>
      </c>
      <c r="AJ113" s="8" t="str">
        <f ca="1">IFERROR(__xludf.DUMMYFUNCTION("""COMPUTED_VALUE"""),"Total surface area of a cuboid")</f>
        <v>Total surface area of a cuboid</v>
      </c>
      <c r="AK113" s="8" t="str">
        <f ca="1">IFERROR(__xludf.DUMMYFUNCTION("""COMPUTED_VALUE"""),"LU000163")</f>
        <v>LU000163</v>
      </c>
      <c r="AL113" s="8" t="str">
        <f ca="1">IFERROR(__xludf.DUMMYFUNCTION("""COMPUTED_VALUE"""),"Conversion between different units of length (in whole number)")</f>
        <v>Conversion between different units of length (in whole number)</v>
      </c>
      <c r="AM113" s="8" t="str">
        <f ca="1">IFERROR(__xludf.DUMMYFUNCTION("""COMPUTED_VALUE"""),"LU000500")</f>
        <v>LU000500</v>
      </c>
      <c r="AN113" s="8" t="str">
        <f ca="1">IFERROR(__xludf.DUMMYFUNCTION("""COMPUTED_VALUE"""),"Conversion of units of area")</f>
        <v>Conversion of units of area</v>
      </c>
      <c r="AO113" s="8"/>
      <c r="AP113" s="8"/>
      <c r="AQ113" s="8"/>
      <c r="AR113" s="8"/>
      <c r="AS113" s="8"/>
      <c r="AT113" s="8"/>
      <c r="AU113" s="8"/>
      <c r="AV113" s="8"/>
      <c r="AW113" s="8"/>
      <c r="AX113" s="8"/>
      <c r="AY113" s="8"/>
      <c r="AZ113" s="8"/>
      <c r="BA113" s="8"/>
      <c r="BB113" s="8"/>
      <c r="BC113" s="8"/>
      <c r="BD113" s="8"/>
      <c r="BE113" s="8"/>
    </row>
    <row r="114" spans="1:57">
      <c r="A114" s="8" t="s">
        <v>247</v>
      </c>
      <c r="B114" s="8" t="s">
        <v>47</v>
      </c>
      <c r="C114" s="8" t="s">
        <v>731</v>
      </c>
      <c r="D114" s="8" t="s">
        <v>732</v>
      </c>
      <c r="E114" s="8" t="s">
        <v>386</v>
      </c>
      <c r="F114" s="54" t="s">
        <v>905</v>
      </c>
      <c r="G114" s="8" t="s">
        <v>906</v>
      </c>
      <c r="H114" s="8" t="str">
        <f ca="1">IFERROR(__xludf.DUMMYFUNCTION("VLOOKUP(G114, IMPORTRANGE(""https://docs.google.com/spreadsheets/d/14deopnvwcrKtEGCKuYXdUHJbeLDZlkiSSWWT0g7x2pM/edit#gid=999382323"", ""LU List Maths (Filter)!A:B""), 2, FALSE)"),"Lateral surface area of a cube")</f>
        <v>Lateral surface area of a cube</v>
      </c>
      <c r="I114" s="10" t="str">
        <f t="shared" si="0"/>
        <v>LU000720.001</v>
      </c>
      <c r="J114" s="10" t="str">
        <f ca="1">IFERROR(__xludf.DUMMYFUNCTION("VLOOKUP(I114, IMPORTRANGE(""https://docs.google.com/spreadsheets/d/1yDAaXNsi4Mr5FtRQL4tbmSdIzhx6_m4wkOD7IG-k_eo/edit#gid=0"", ""Maths!M:N""), 2, FALSE)"),"Recall the formula for calculating the lateral surface area of a cube.")</f>
        <v>Recall the formula for calculating the lateral surface area of a cube.</v>
      </c>
      <c r="K114" s="10" t="str">
        <f t="shared" si="1"/>
        <v>LU000720.002</v>
      </c>
      <c r="L114" s="10" t="str">
        <f ca="1">IFERROR(__xludf.DUMMYFUNCTION("VLOOKUP(K114, IMPORTRANGE(""https://docs.google.com/spreadsheets/d/1yDAaXNsi4Mr5FtRQL4tbmSdIzhx6_m4wkOD7IG-k_eo/edit#gid=0"", ""Maths!M:N""), 2, FALSE)"),"Explain the concept of lateral surface area of a cube.")</f>
        <v>Explain the concept of lateral surface area of a cube.</v>
      </c>
      <c r="M114" s="10" t="str">
        <f t="shared" si="2"/>
        <v>LU000720.003</v>
      </c>
      <c r="N114" s="10" t="str">
        <f ca="1">IFERROR(__xludf.DUMMYFUNCTION("VLOOKUP(M114, IMPORTRANGE(""https://docs.google.com/spreadsheets/d/1yDAaXNsi4Mr5FtRQL4tbmSdIzhx6_m4wkOD7IG-k_eo/edit#gid=0"", ""Maths!M:N""), 2, FALSE)"),"Apply the formula to find the lateral surface area of a cube with given dimensions.")</f>
        <v>Apply the formula to find the lateral surface area of a cube with given dimensions.</v>
      </c>
      <c r="O114" s="10" t="str">
        <f t="shared" si="3"/>
        <v>LU000720.004</v>
      </c>
      <c r="P114" s="10" t="str">
        <f ca="1">IFERROR(__xludf.DUMMYFUNCTION("VLOOKUP(O114, IMPORTRANGE(""https://docs.google.com/spreadsheets/d/1yDAaXNsi4Mr5FtRQL4tbmSdIzhx6_m4wkOD7IG-k_eo/edit#gid=0"", ""Maths!M:N""), 2, FALSE)"),"Analyze how changes in the dimensions of a cube impact its lateral surface area.")</f>
        <v>Analyze how changes in the dimensions of a cube impact its lateral surface area.</v>
      </c>
      <c r="Q114" s="10" t="str">
        <f t="shared" si="4"/>
        <v>LU000720.005</v>
      </c>
      <c r="R114" s="10" t="str">
        <f ca="1">IFERROR(__xludf.DUMMYFUNCTION("VLOOKUP(Q114, IMPORTRANGE(""https://docs.google.com/spreadsheets/d/1yDAaXNsi4Mr5FtRQL4tbmSdIzhx6_m4wkOD7IG-k_eo/edit#gid=0"", ""Maths!M:N""), 2, FALSE)"),"Evaluate the efficiency of the formula for calculating the lateral surface area of a cube compared to alternative methods, and justify its relevance in various real-world contexts.")</f>
        <v>Evaluate the efficiency of the formula for calculating the lateral surface area of a cube compared to alternative methods, and justify its relevance in various real-world contexts.</v>
      </c>
      <c r="S114" s="10" t="str">
        <f t="shared" si="5"/>
        <v>LU000720.006</v>
      </c>
      <c r="T114" s="10" t="str">
        <f ca="1">IFERROR(__xludf.DUMMYFUNCTION("VLOOKUP(S114, IMPORTRANGE(""https://docs.google.com/spreadsheets/d/1yDAaXNsi4Mr5FtRQL4tbmSdIzhx6_m4wkOD7IG-k_eo/edit#gid=0"", ""Maths!M:N""), 2, FALSE)"),"#N/A")</f>
        <v>#N/A</v>
      </c>
      <c r="U114" s="52">
        <f ca="1">IFERROR(__xludf.DUMMYFUNCTION("ArrayFormula(VLOOKUP(G114, IMPORTRANGE(""https://docs.google.com/spreadsheets/d/1p7R4vtkWt5VOBim4ltsDG9KTzSjrtKXsMtQGXPHyND0/edit#gid=795171502"", ""'Filter 30_05_2024'!A1:M2000""), {2, 3, 4, 5,6,7,8,9,10,11,12,13}, 0))"),4)</f>
        <v>4</v>
      </c>
      <c r="V114" s="52">
        <f ca="1">IFERROR(__xludf.DUMMYFUNCTION("""COMPUTED_VALUE"""),6)</f>
        <v>6</v>
      </c>
      <c r="W114" s="52">
        <f ca="1">IFERROR(__xludf.DUMMYFUNCTION("""COMPUTED_VALUE"""),2)</f>
        <v>2</v>
      </c>
      <c r="X114" s="52">
        <f ca="1">IFERROR(__xludf.DUMMYFUNCTION("""COMPUTED_VALUE"""),12)</f>
        <v>12</v>
      </c>
      <c r="Y114" s="52">
        <f ca="1">IFERROR(__xludf.DUMMYFUNCTION("""COMPUTED_VALUE"""),4)</f>
        <v>4</v>
      </c>
      <c r="Z114" s="53">
        <f ca="1">IFERROR(__xludf.DUMMYFUNCTION("""COMPUTED_VALUE"""),3)</f>
        <v>3</v>
      </c>
      <c r="AA114" s="53">
        <f ca="1">IFERROR(__xludf.DUMMYFUNCTION("""COMPUTED_VALUE"""),1)</f>
        <v>1</v>
      </c>
      <c r="AB114" s="53">
        <f ca="1">IFERROR(__xludf.DUMMYFUNCTION("""COMPUTED_VALUE"""),8)</f>
        <v>8</v>
      </c>
      <c r="AC114" s="53"/>
      <c r="AD114" s="53"/>
      <c r="AE114" s="53"/>
      <c r="AF114" s="53"/>
      <c r="AG114" s="8" t="str">
        <f ca="1">IFERROR(__xludf.DUMMYFUNCTION("ArrayFormula(VLOOKUP(G114, IMPORTRANGE(""https://docs.google.com/spreadsheets/d/1Co934fvtviyaRiMsrIlT05Jaq7iiYq07aLvRr35KA48/edit?gid=173865642#gid=173865642"", ""'G8_Maths_Pri_LU'!G2:V2000""), {3, 4, 5, 6, 7, 8, 9, 10, 11, 12, 13, 14, 15, 16}, 0))"),"LU000249")</f>
        <v>LU000249</v>
      </c>
      <c r="AH114" s="8" t="str">
        <f ca="1">IFERROR(__xludf.DUMMYFUNCTION("""COMPUTED_VALUE"""),"Lexical explanation of three dimensional shapes-Cube")</f>
        <v>Lexical explanation of three dimensional shapes-Cube</v>
      </c>
      <c r="AI114" s="8" t="str">
        <f ca="1">IFERROR(__xludf.DUMMYFUNCTION("""COMPUTED_VALUE"""),"LU000328")</f>
        <v>LU000328</v>
      </c>
      <c r="AJ114" s="8" t="str">
        <f ca="1">IFERROR(__xludf.DUMMYFUNCTION("""COMPUTED_VALUE"""),"Area of a square using formula")</f>
        <v>Area of a square using formula</v>
      </c>
      <c r="AK114" s="8" t="str">
        <f ca="1">IFERROR(__xludf.DUMMYFUNCTION("""COMPUTED_VALUE"""),"LU000163")</f>
        <v>LU000163</v>
      </c>
      <c r="AL114" s="8" t="str">
        <f ca="1">IFERROR(__xludf.DUMMYFUNCTION("""COMPUTED_VALUE"""),"Conversion between different units of length (in whole number)")</f>
        <v>Conversion between different units of length (in whole number)</v>
      </c>
      <c r="AM114" s="8" t="str">
        <f ca="1">IFERROR(__xludf.DUMMYFUNCTION("""COMPUTED_VALUE"""),"LU000500")</f>
        <v>LU000500</v>
      </c>
      <c r="AN114" s="8" t="str">
        <f ca="1">IFERROR(__xludf.DUMMYFUNCTION("""COMPUTED_VALUE"""),"Conversion of units of area")</f>
        <v>Conversion of units of area</v>
      </c>
      <c r="AO114" s="8"/>
      <c r="AP114" s="8"/>
      <c r="AQ114" s="8"/>
      <c r="AR114" s="8"/>
      <c r="AS114" s="8"/>
      <c r="AT114" s="8"/>
      <c r="AU114" s="8"/>
      <c r="AV114" s="8"/>
      <c r="AW114" s="8"/>
      <c r="AX114" s="8"/>
      <c r="AY114" s="8"/>
      <c r="AZ114" s="8"/>
      <c r="BA114" s="8"/>
      <c r="BB114" s="8"/>
      <c r="BC114" s="8"/>
      <c r="BD114" s="8"/>
      <c r="BE114" s="8"/>
    </row>
    <row r="115" spans="1:57">
      <c r="A115" s="8" t="s">
        <v>247</v>
      </c>
      <c r="B115" s="8" t="s">
        <v>47</v>
      </c>
      <c r="C115" s="8" t="s">
        <v>731</v>
      </c>
      <c r="D115" s="8" t="s">
        <v>732</v>
      </c>
      <c r="E115" s="8" t="s">
        <v>386</v>
      </c>
      <c r="F115" s="54" t="s">
        <v>905</v>
      </c>
      <c r="G115" s="8" t="s">
        <v>907</v>
      </c>
      <c r="H115" s="8" t="str">
        <f ca="1">IFERROR(__xludf.DUMMYFUNCTION("VLOOKUP(G115, IMPORTRANGE(""https://docs.google.com/spreadsheets/d/14deopnvwcrKtEGCKuYXdUHJbeLDZlkiSSWWT0g7x2pM/edit#gid=999382323"", ""LU List Maths (Filter)!A:B""), 2, FALSE)"),"Total surface area of a cube")</f>
        <v>Total surface area of a cube</v>
      </c>
      <c r="I115" s="10" t="str">
        <f t="shared" si="0"/>
        <v>LU000721.001</v>
      </c>
      <c r="J115" s="10" t="str">
        <f ca="1">IFERROR(__xludf.DUMMYFUNCTION("VLOOKUP(I115, IMPORTRANGE(""https://docs.google.com/spreadsheets/d/1yDAaXNsi4Mr5FtRQL4tbmSdIzhx6_m4wkOD7IG-k_eo/edit#gid=0"", ""Maths!M:N""), 2, FALSE)"),"Recall the formula for calculating the total surface area of a cube.")</f>
        <v>Recall the formula for calculating the total surface area of a cube.</v>
      </c>
      <c r="K115" s="10" t="str">
        <f t="shared" si="1"/>
        <v>LU000721.002</v>
      </c>
      <c r="L115" s="10" t="str">
        <f ca="1">IFERROR(__xludf.DUMMYFUNCTION("VLOOKUP(K115, IMPORTRANGE(""https://docs.google.com/spreadsheets/d/1yDAaXNsi4Mr5FtRQL4tbmSdIzhx6_m4wkOD7IG-k_eo/edit#gid=0"", ""Maths!M:N""), 2, FALSE)"),"Explain the concept of total surface area of a cube.")</f>
        <v>Explain the concept of total surface area of a cube.</v>
      </c>
      <c r="M115" s="10" t="str">
        <f t="shared" si="2"/>
        <v>LU000721.003</v>
      </c>
      <c r="N115" s="10" t="str">
        <f ca="1">IFERROR(__xludf.DUMMYFUNCTION("VLOOKUP(M115, IMPORTRANGE(""https://docs.google.com/spreadsheets/d/1yDAaXNsi4Mr5FtRQL4tbmSdIzhx6_m4wkOD7IG-k_eo/edit#gid=0"", ""Maths!M:N""), 2, FALSE)"),"Apply the formula to find the total surface area of a cube with given dimensions.")</f>
        <v>Apply the formula to find the total surface area of a cube with given dimensions.</v>
      </c>
      <c r="O115" s="10" t="str">
        <f t="shared" si="3"/>
        <v>LU000721.004</v>
      </c>
      <c r="P115" s="10" t="str">
        <f ca="1">IFERROR(__xludf.DUMMYFUNCTION("VLOOKUP(O115, IMPORTRANGE(""https://docs.google.com/spreadsheets/d/1yDAaXNsi4Mr5FtRQL4tbmSdIzhx6_m4wkOD7IG-k_eo/edit#gid=0"", ""Maths!M:N""), 2, FALSE)"),"Analyse the relationship between the total surface area and the lateral surface area of a cube, identifying how they are connected and why they have different values.")</f>
        <v>Analyse the relationship between the total surface area and the lateral surface area of a cube, identifying how they are connected and why they have different values.</v>
      </c>
      <c r="Q115" s="10" t="str">
        <f t="shared" si="4"/>
        <v>LU000721.005</v>
      </c>
      <c r="R115" s="10" t="str">
        <f ca="1">IFERROR(__xludf.DUMMYFUNCTION("VLOOKUP(Q115, IMPORTRANGE(""https://docs.google.com/spreadsheets/d/1yDAaXNsi4Mr5FtRQL4tbmSdIzhx6_m4wkOD7IG-k_eo/edit#gid=0"", ""Maths!M:N""), 2, FALSE)"),"Evaluate the efficiency of the formula for calculating the total surface area of a cube compared to alternative methods, and justify its relevance in various real-world contexts.")</f>
        <v>Evaluate the efficiency of the formula for calculating the total surface area of a cube compared to alternative methods, and justify its relevance in various real-world contexts.</v>
      </c>
      <c r="S115" s="10" t="str">
        <f t="shared" si="5"/>
        <v>LU000721.006</v>
      </c>
      <c r="T115" s="10" t="str">
        <f ca="1">IFERROR(__xludf.DUMMYFUNCTION("VLOOKUP(S115, IMPORTRANGE(""https://docs.google.com/spreadsheets/d/1yDAaXNsi4Mr5FtRQL4tbmSdIzhx6_m4wkOD7IG-k_eo/edit#gid=0"", ""Maths!M:N""), 2, FALSE)"),"Design a three-dimensional model or prototype of a unique cubial packaging solution for a specific product, showcasing an innovative application of the concept of total surface area in packaging design.")</f>
        <v>Design a three-dimensional model or prototype of a unique cubial packaging solution for a specific product, showcasing an innovative application of the concept of total surface area in packaging design.</v>
      </c>
      <c r="U115" s="52">
        <f ca="1">IFERROR(__xludf.DUMMYFUNCTION("ArrayFormula(VLOOKUP(G115, IMPORTRANGE(""https://docs.google.com/spreadsheets/d/1p7R4vtkWt5VOBim4ltsDG9KTzSjrtKXsMtQGXPHyND0/edit#gid=795171502"", ""'Filter 30_05_2024'!A1:M2000""), {2, 3, 4, 5,6,7,8,9,10,11,12,13}, 0))"),4)</f>
        <v>4</v>
      </c>
      <c r="V115" s="52">
        <f ca="1">IFERROR(__xludf.DUMMYFUNCTION("""COMPUTED_VALUE"""),6)</f>
        <v>6</v>
      </c>
      <c r="W115" s="52">
        <f ca="1">IFERROR(__xludf.DUMMYFUNCTION("""COMPUTED_VALUE"""),2)</f>
        <v>2</v>
      </c>
      <c r="X115" s="52">
        <f ca="1">IFERROR(__xludf.DUMMYFUNCTION("""COMPUTED_VALUE"""),12)</f>
        <v>12</v>
      </c>
      <c r="Y115" s="52">
        <f ca="1">IFERROR(__xludf.DUMMYFUNCTION("""COMPUTED_VALUE"""),4)</f>
        <v>4</v>
      </c>
      <c r="Z115" s="53">
        <f ca="1">IFERROR(__xludf.DUMMYFUNCTION("""COMPUTED_VALUE"""),3)</f>
        <v>3</v>
      </c>
      <c r="AA115" s="53">
        <f ca="1">IFERROR(__xludf.DUMMYFUNCTION("""COMPUTED_VALUE"""),1)</f>
        <v>1</v>
      </c>
      <c r="AB115" s="53">
        <f ca="1">IFERROR(__xludf.DUMMYFUNCTION("""COMPUTED_VALUE"""),8)</f>
        <v>8</v>
      </c>
      <c r="AC115" s="53"/>
      <c r="AD115" s="53"/>
      <c r="AE115" s="53"/>
      <c r="AF115" s="53"/>
      <c r="AG115" s="8" t="str">
        <f ca="1">IFERROR(__xludf.DUMMYFUNCTION("ArrayFormula(VLOOKUP(G115, IMPORTRANGE(""https://docs.google.com/spreadsheets/d/1Co934fvtviyaRiMsrIlT05Jaq7iiYq07aLvRr35KA48/edit?gid=173865642#gid=173865642"", ""'G8_Maths_Pri_LU'!G2:V2000""), {3, 4, 5, 6, 7, 8, 9, 10, 11, 12, 13, 14, 15, 16}, 0))"),"LU000249")</f>
        <v>LU000249</v>
      </c>
      <c r="AH115" s="8" t="str">
        <f ca="1">IFERROR(__xludf.DUMMYFUNCTION("""COMPUTED_VALUE"""),"Lexical explanation of three dimensional shapes-Cube")</f>
        <v>Lexical explanation of three dimensional shapes-Cube</v>
      </c>
      <c r="AI115" s="8" t="str">
        <f ca="1">IFERROR(__xludf.DUMMYFUNCTION("""COMPUTED_VALUE"""),"LU000328")</f>
        <v>LU000328</v>
      </c>
      <c r="AJ115" s="8" t="str">
        <f ca="1">IFERROR(__xludf.DUMMYFUNCTION("""COMPUTED_VALUE"""),"Area of a square using formula")</f>
        <v>Area of a square using formula</v>
      </c>
      <c r="AK115" s="8" t="str">
        <f ca="1">IFERROR(__xludf.DUMMYFUNCTION("""COMPUTED_VALUE"""),"LU000163")</f>
        <v>LU000163</v>
      </c>
      <c r="AL115" s="8" t="str">
        <f ca="1">IFERROR(__xludf.DUMMYFUNCTION("""COMPUTED_VALUE"""),"Conversion between different units of length (in whole number)")</f>
        <v>Conversion between different units of length (in whole number)</v>
      </c>
      <c r="AM115" s="8" t="str">
        <f ca="1">IFERROR(__xludf.DUMMYFUNCTION("""COMPUTED_VALUE"""),"LU000500")</f>
        <v>LU000500</v>
      </c>
      <c r="AN115" s="8" t="str">
        <f ca="1">IFERROR(__xludf.DUMMYFUNCTION("""COMPUTED_VALUE"""),"Conversion of units of area")</f>
        <v>Conversion of units of area</v>
      </c>
      <c r="AO115" s="8"/>
      <c r="AP115" s="8"/>
      <c r="AQ115" s="8"/>
      <c r="AR115" s="8"/>
      <c r="AS115" s="8"/>
      <c r="AT115" s="8"/>
      <c r="AU115" s="8"/>
      <c r="AV115" s="8"/>
      <c r="AW115" s="8"/>
      <c r="AX115" s="8"/>
      <c r="AY115" s="8"/>
      <c r="AZ115" s="8"/>
      <c r="BA115" s="8"/>
      <c r="BB115" s="8"/>
      <c r="BC115" s="8"/>
      <c r="BD115" s="8"/>
      <c r="BE115" s="8"/>
    </row>
    <row r="116" spans="1:57">
      <c r="A116" s="8" t="s">
        <v>247</v>
      </c>
      <c r="B116" s="8" t="s">
        <v>47</v>
      </c>
      <c r="C116" s="8" t="s">
        <v>731</v>
      </c>
      <c r="D116" s="8" t="s">
        <v>732</v>
      </c>
      <c r="E116" s="8" t="s">
        <v>386</v>
      </c>
      <c r="F116" s="54" t="s">
        <v>908</v>
      </c>
      <c r="G116" s="8" t="s">
        <v>909</v>
      </c>
      <c r="H116" s="8" t="str">
        <f ca="1">IFERROR(__xludf.DUMMYFUNCTION("VLOOKUP(G116, IMPORTRANGE(""https://docs.google.com/spreadsheets/d/14deopnvwcrKtEGCKuYXdUHJbeLDZlkiSSWWT0g7x2pM/edit#gid=999382323"", ""LU List Maths (Filter)!A:B""), 2, FALSE)"),"Curved surface area (Lateral surface area) of a right circular cylinder")</f>
        <v>Curved surface area (Lateral surface area) of a right circular cylinder</v>
      </c>
      <c r="I116" s="10" t="str">
        <f t="shared" si="0"/>
        <v>LU000729.001</v>
      </c>
      <c r="J116" s="10" t="str">
        <f ca="1">IFERROR(__xludf.DUMMYFUNCTION("VLOOKUP(I116, IMPORTRANGE(""https://docs.google.com/spreadsheets/d/1yDAaXNsi4Mr5FtRQL4tbmSdIzhx6_m4wkOD7IG-k_eo/edit#gid=0"", ""Maths!M:N""), 2, FALSE)"),"Recall the formula for calculating the lateral surface area of a right circular cylinder.")</f>
        <v>Recall the formula for calculating the lateral surface area of a right circular cylinder.</v>
      </c>
      <c r="K116" s="10" t="str">
        <f t="shared" si="1"/>
        <v>LU000729.002</v>
      </c>
      <c r="L116" s="10" t="str">
        <f ca="1">IFERROR(__xludf.DUMMYFUNCTION("VLOOKUP(K116, IMPORTRANGE(""https://docs.google.com/spreadsheets/d/1yDAaXNsi4Mr5FtRQL4tbmSdIzhx6_m4wkOD7IG-k_eo/edit#gid=0"", ""Maths!M:N""), 2, FALSE)"),"Deduce the formula for the lateral surface area of the cylinder.")</f>
        <v>Deduce the formula for the lateral surface area of the cylinder.</v>
      </c>
      <c r="M116" s="10" t="str">
        <f t="shared" si="2"/>
        <v>LU000729.003</v>
      </c>
      <c r="N116" s="10" t="str">
        <f ca="1">IFERROR(__xludf.DUMMYFUNCTION("VLOOKUP(M116, IMPORTRANGE(""https://docs.google.com/spreadsheets/d/1yDAaXNsi4Mr5FtRQL4tbmSdIzhx6_m4wkOD7IG-k_eo/edit#gid=0"", ""Maths!M:N""), 2, FALSE)"),"Apply the formula for calculating the lateral surface area of a right circular cylinder to find the lateral surface area for a given cylinder with specified dimensions.")</f>
        <v>Apply the formula for calculating the lateral surface area of a right circular cylinder to find the lateral surface area for a given cylinder with specified dimensions.</v>
      </c>
      <c r="O116" s="10" t="str">
        <f t="shared" si="3"/>
        <v>LU000729.004</v>
      </c>
      <c r="P116" s="10" t="str">
        <f ca="1">IFERROR(__xludf.DUMMYFUNCTION("VLOOKUP(O116, IMPORTRANGE(""https://docs.google.com/spreadsheets/d/1yDAaXNsi4Mr5FtRQL4tbmSdIzhx6_m4wkOD7IG-k_eo/edit#gid=0"", ""Maths!M:N""), 2, FALSE)"),"Analyse how changes in the dimensions (radius and height) of a right circular cylinder affect its lateral surface area, recognizing the relationship between these dimensions and the resulting area.")</f>
        <v>Analyse how changes in the dimensions (radius and height) of a right circular cylinder affect its lateral surface area, recognizing the relationship between these dimensions and the resulting area.</v>
      </c>
      <c r="Q116" s="10" t="str">
        <f t="shared" si="4"/>
        <v>LU000729.005</v>
      </c>
      <c r="R116" s="10" t="str">
        <f ca="1">IFERROR(__xludf.DUMMYFUNCTION("VLOOKUP(Q116, IMPORTRANGE(""https://docs.google.com/spreadsheets/d/1yDAaXNsi4Mr5FtRQL4tbmSdIzhx6_m4wkOD7IG-k_eo/edit#gid=0"", ""Maths!M:N""), 2, FALSE)"),"Evaluate the practical significance of understanding and calculating the lateral surface area of a cylinder in real-life scenarios.")</f>
        <v>Evaluate the practical significance of understanding and calculating the lateral surface area of a cylinder in real-life scenarios.</v>
      </c>
      <c r="S116" s="10" t="str">
        <f t="shared" si="5"/>
        <v>LU000729.006</v>
      </c>
      <c r="T116" s="10" t="str">
        <f ca="1">IFERROR(__xludf.DUMMYFUNCTION("VLOOKUP(S116, IMPORTRANGE(""https://docs.google.com/spreadsheets/d/1yDAaXNsi4Mr5FtRQL4tbmSdIzhx6_m4wkOD7IG-k_eo/edit#gid=0"", ""Maths!M:N""), 2, FALSE)"),"Devise a novel design project that requires students to apply their knowledge of lateral surface area to construct a cylindrical container with specific dimensions.")</f>
        <v>Devise a novel design project that requires students to apply their knowledge of lateral surface area to construct a cylindrical container with specific dimensions.</v>
      </c>
      <c r="U116" s="52">
        <f ca="1">IFERROR(__xludf.DUMMYFUNCTION("ArrayFormula(VLOOKUP(G116, IMPORTRANGE(""https://docs.google.com/spreadsheets/d/1p7R4vtkWt5VOBim4ltsDG9KTzSjrtKXsMtQGXPHyND0/edit#gid=795171502"", ""'Filter 30_05_2024'!A1:M2000""), {2, 3, 4, 5,6,7,8,9,10,11,12,13}, 0))"),4)</f>
        <v>4</v>
      </c>
      <c r="V116" s="52">
        <f ca="1">IFERROR(__xludf.DUMMYFUNCTION("""COMPUTED_VALUE"""),7)</f>
        <v>7</v>
      </c>
      <c r="W116" s="52">
        <f ca="1">IFERROR(__xludf.DUMMYFUNCTION("""COMPUTED_VALUE"""),2)</f>
        <v>2</v>
      </c>
      <c r="X116" s="52">
        <f ca="1">IFERROR(__xludf.DUMMYFUNCTION("""COMPUTED_VALUE"""),13)</f>
        <v>13</v>
      </c>
      <c r="Y116" s="52">
        <f ca="1">IFERROR(__xludf.DUMMYFUNCTION("""COMPUTED_VALUE"""),4)</f>
        <v>4</v>
      </c>
      <c r="Z116" s="53">
        <f ca="1">IFERROR(__xludf.DUMMYFUNCTION("""COMPUTED_VALUE"""),3)</f>
        <v>3</v>
      </c>
      <c r="AA116" s="53">
        <f ca="1">IFERROR(__xludf.DUMMYFUNCTION("""COMPUTED_VALUE"""),1)</f>
        <v>1</v>
      </c>
      <c r="AB116" s="53">
        <f ca="1">IFERROR(__xludf.DUMMYFUNCTION("""COMPUTED_VALUE"""),8)</f>
        <v>8</v>
      </c>
      <c r="AC116" s="53"/>
      <c r="AD116" s="53"/>
      <c r="AE116" s="53"/>
      <c r="AF116" s="53"/>
      <c r="AG116" s="8" t="str">
        <f ca="1">IFERROR(__xludf.DUMMYFUNCTION("ArrayFormula(VLOOKUP(G116, IMPORTRANGE(""https://docs.google.com/spreadsheets/d/1Co934fvtviyaRiMsrIlT05Jaq7iiYq07aLvRr35KA48/edit?gid=173865642#gid=173865642"", ""'G8_Maths_Pri_LU'!G2:V2000""), {3, 4, 5, 6, 7, 8, 9, 10, 11, 12, 13, 14, 15, 16}, 0))"),"LU000253")</f>
        <v>LU000253</v>
      </c>
      <c r="AH116" s="8" t="str">
        <f ca="1">IFERROR(__xludf.DUMMYFUNCTION("""COMPUTED_VALUE"""),"Lexical explanation of three dimensional shapes-cylinders")</f>
        <v>Lexical explanation of three dimensional shapes-cylinders</v>
      </c>
      <c r="AI116" s="8" t="str">
        <f ca="1">IFERROR(__xludf.DUMMYFUNCTION("""COMPUTED_VALUE"""),"LU000327")</f>
        <v>LU000327</v>
      </c>
      <c r="AJ116" s="8" t="str">
        <f ca="1">IFERROR(__xludf.DUMMYFUNCTION("""COMPUTED_VALUE"""),"Area of a rectangle using formula")</f>
        <v>Area of a rectangle using formula</v>
      </c>
      <c r="AK116" s="8" t="str">
        <f ca="1">IFERROR(__xludf.DUMMYFUNCTION("""COMPUTED_VALUE"""),"LU000494")</f>
        <v>LU000494</v>
      </c>
      <c r="AL116" s="8" t="str">
        <f ca="1">IFERROR(__xludf.DUMMYFUNCTION("""COMPUTED_VALUE"""),"Circumference of a circle")</f>
        <v>Circumference of a circle</v>
      </c>
      <c r="AM116" s="8"/>
      <c r="AN116" s="8"/>
      <c r="AO116" s="8"/>
      <c r="AP116" s="8"/>
      <c r="AQ116" s="8"/>
      <c r="AR116" s="8"/>
      <c r="AS116" s="8"/>
      <c r="AT116" s="8"/>
      <c r="AU116" s="8"/>
      <c r="AV116" s="8"/>
      <c r="AW116" s="8"/>
      <c r="AX116" s="8"/>
      <c r="AY116" s="8"/>
      <c r="AZ116" s="8"/>
      <c r="BA116" s="8"/>
      <c r="BB116" s="8"/>
      <c r="BC116" s="8"/>
      <c r="BD116" s="8"/>
      <c r="BE116" s="8"/>
    </row>
    <row r="117" spans="1:57">
      <c r="A117" s="8" t="s">
        <v>247</v>
      </c>
      <c r="B117" s="8" t="s">
        <v>47</v>
      </c>
      <c r="C117" s="8" t="s">
        <v>731</v>
      </c>
      <c r="D117" s="8" t="s">
        <v>732</v>
      </c>
      <c r="E117" s="8" t="s">
        <v>386</v>
      </c>
      <c r="F117" s="54" t="s">
        <v>908</v>
      </c>
      <c r="G117" s="8" t="s">
        <v>910</v>
      </c>
      <c r="H117" s="8" t="str">
        <f ca="1">IFERROR(__xludf.DUMMYFUNCTION("VLOOKUP(G117, IMPORTRANGE(""https://docs.google.com/spreadsheets/d/14deopnvwcrKtEGCKuYXdUHJbeLDZlkiSSWWT0g7x2pM/edit#gid=999382323"", ""LU List Maths (Filter)!A:B""), 2, FALSE)"),"Total surface area of a right circular cylinder")</f>
        <v>Total surface area of a right circular cylinder</v>
      </c>
      <c r="I117" s="10" t="str">
        <f t="shared" si="0"/>
        <v>LU000723.001</v>
      </c>
      <c r="J117" s="10" t="str">
        <f ca="1">IFERROR(__xludf.DUMMYFUNCTION("VLOOKUP(I117, IMPORTRANGE(""https://docs.google.com/spreadsheets/d/1yDAaXNsi4Mr5FtRQL4tbmSdIzhx6_m4wkOD7IG-k_eo/edit#gid=0"", ""Maths!M:N""), 2, FALSE)"),"Recall the formula for calculating the total surface area of a right circular cylinder.")</f>
        <v>Recall the formula for calculating the total surface area of a right circular cylinder.</v>
      </c>
      <c r="K117" s="10" t="str">
        <f t="shared" si="1"/>
        <v>LU000723.002</v>
      </c>
      <c r="L117" s="10" t="str">
        <f ca="1">IFERROR(__xludf.DUMMYFUNCTION("VLOOKUP(K117, IMPORTRANGE(""https://docs.google.com/spreadsheets/d/1yDAaXNsi4Mr5FtRQL4tbmSdIzhx6_m4wkOD7IG-k_eo/edit#gid=0"", ""Maths!M:N""), 2, FALSE)"),"Deduce the formula for the total surface area of the cylinder.")</f>
        <v>Deduce the formula for the total surface area of the cylinder.</v>
      </c>
      <c r="M117" s="10" t="str">
        <f t="shared" si="2"/>
        <v>LU000723.003</v>
      </c>
      <c r="N117" s="10" t="str">
        <f ca="1">IFERROR(__xludf.DUMMYFUNCTION("VLOOKUP(M117, IMPORTRANGE(""https://docs.google.com/spreadsheets/d/1yDAaXNsi4Mr5FtRQL4tbmSdIzhx6_m4wkOD7IG-k_eo/edit#gid=0"", ""Maths!M:N""), 2, FALSE)"),"Apply the formula for calculating the total surface area of a right circular cylinder to find the total surface area for a given cylinder with specified dimensions.")</f>
        <v>Apply the formula for calculating the total surface area of a right circular cylinder to find the total surface area for a given cylinder with specified dimensions.</v>
      </c>
      <c r="O117" s="10" t="str">
        <f t="shared" si="3"/>
        <v>LU000723.004</v>
      </c>
      <c r="P117" s="10" t="str">
        <f ca="1">IFERROR(__xludf.DUMMYFUNCTION("VLOOKUP(O117, IMPORTRANGE(""https://docs.google.com/spreadsheets/d/1yDAaXNsi4Mr5FtRQL4tbmSdIzhx6_m4wkOD7IG-k_eo/edit#gid=0"", ""Maths!M:N""), 2, FALSE)"),"Analyse how changes in the dimensions (radius and height) of a right circular cylinder affect its total surface area, recognizing the relationship between these dimensions and the resulting area.")</f>
        <v>Analyse how changes in the dimensions (radius and height) of a right circular cylinder affect its total surface area, recognizing the relationship between these dimensions and the resulting area.</v>
      </c>
      <c r="Q117" s="10" t="str">
        <f t="shared" si="4"/>
        <v>LU000723.005</v>
      </c>
      <c r="R117" s="10" t="str">
        <f ca="1">IFERROR(__xludf.DUMMYFUNCTION("VLOOKUP(Q117, IMPORTRANGE(""https://docs.google.com/spreadsheets/d/1yDAaXNsi4Mr5FtRQL4tbmSdIzhx6_m4wkOD7IG-k_eo/edit#gid=0"", ""Maths!M:N""), 2, FALSE)"),"Evaluate the practical significance of understanding and calculating the total surface area of a cylinder in real-life scenarios.")</f>
        <v>Evaluate the practical significance of understanding and calculating the total surface area of a cylinder in real-life scenarios.</v>
      </c>
      <c r="S117" s="10" t="str">
        <f t="shared" si="5"/>
        <v>LU000723.006</v>
      </c>
      <c r="T117" s="10" t="str">
        <f ca="1">IFERROR(__xludf.DUMMYFUNCTION("VLOOKUP(S117, IMPORTRANGE(""https://docs.google.com/spreadsheets/d/1yDAaXNsi4Mr5FtRQL4tbmSdIzhx6_m4wkOD7IG-k_eo/edit#gid=0"", ""Maths!M:N""), 2, FALSE)"),"Devise a novel design project that requires students to apply their knowledge of total surface area to construct a cylindrical container with specific dimensions.")</f>
        <v>Devise a novel design project that requires students to apply their knowledge of total surface area to construct a cylindrical container with specific dimensions.</v>
      </c>
      <c r="U117" s="52">
        <f ca="1">IFERROR(__xludf.DUMMYFUNCTION("ArrayFormula(VLOOKUP(G117, IMPORTRANGE(""https://docs.google.com/spreadsheets/d/1p7R4vtkWt5VOBim4ltsDG9KTzSjrtKXsMtQGXPHyND0/edit#gid=795171502"", ""'Filter 30_05_2024'!A1:M2000""), {2, 3, 4, 5,6,7,8,9,10,11,12,13}, 0))"),4)</f>
        <v>4</v>
      </c>
      <c r="V117" s="52">
        <f ca="1">IFERROR(__xludf.DUMMYFUNCTION("""COMPUTED_VALUE"""),6)</f>
        <v>6</v>
      </c>
      <c r="W117" s="52">
        <f ca="1">IFERROR(__xludf.DUMMYFUNCTION("""COMPUTED_VALUE"""),2)</f>
        <v>2</v>
      </c>
      <c r="X117" s="52">
        <f ca="1">IFERROR(__xludf.DUMMYFUNCTION("""COMPUTED_VALUE"""),12)</f>
        <v>12</v>
      </c>
      <c r="Y117" s="52">
        <f ca="1">IFERROR(__xludf.DUMMYFUNCTION("""COMPUTED_VALUE"""),4)</f>
        <v>4</v>
      </c>
      <c r="Z117" s="53">
        <f ca="1">IFERROR(__xludf.DUMMYFUNCTION("""COMPUTED_VALUE"""),4)</f>
        <v>4</v>
      </c>
      <c r="AA117" s="53">
        <f ca="1">IFERROR(__xludf.DUMMYFUNCTION("""COMPUTED_VALUE"""),1)</f>
        <v>1</v>
      </c>
      <c r="AB117" s="53">
        <f ca="1">IFERROR(__xludf.DUMMYFUNCTION("""COMPUTED_VALUE"""),9)</f>
        <v>9</v>
      </c>
      <c r="AC117" s="53"/>
      <c r="AD117" s="53"/>
      <c r="AE117" s="53"/>
      <c r="AF117" s="53"/>
      <c r="AG117" s="8" t="str">
        <f ca="1">IFERROR(__xludf.DUMMYFUNCTION("ArrayFormula(VLOOKUP(G117, IMPORTRANGE(""https://docs.google.com/spreadsheets/d/1Co934fvtviyaRiMsrIlT05Jaq7iiYq07aLvRr35KA48/edit?gid=173865642#gid=173865642"", ""'G8_Maths_Pri_LU'!G2:V2000""), {3, 4, 5, 6, 7, 8, 9, 10, 11, 12, 13, 14, 15, 16}, 0))"),"LU000729")</f>
        <v>LU000729</v>
      </c>
      <c r="AH117" s="8" t="str">
        <f ca="1">IFERROR(__xludf.DUMMYFUNCTION("""COMPUTED_VALUE"""),"Curved surface area (Lateral surface area) of a right circular cylinder")</f>
        <v>Curved surface area (Lateral surface area) of a right circular cylinder</v>
      </c>
      <c r="AI117" s="8" t="str">
        <f ca="1">IFERROR(__xludf.DUMMYFUNCTION("""COMPUTED_VALUE"""),"LU000495")</f>
        <v>LU000495</v>
      </c>
      <c r="AJ117" s="8" t="str">
        <f ca="1">IFERROR(__xludf.DUMMYFUNCTION("""COMPUTED_VALUE"""),"Area of a circle")</f>
        <v>Area of a circle</v>
      </c>
      <c r="AK117" s="8" t="str">
        <f ca="1">IFERROR(__xludf.DUMMYFUNCTION("""COMPUTED_VALUE"""),"LU000253")</f>
        <v>LU000253</v>
      </c>
      <c r="AL117" s="8" t="str">
        <f ca="1">IFERROR(__xludf.DUMMYFUNCTION("""COMPUTED_VALUE"""),"Lexical explanation of three dimensional shapes-cylinders")</f>
        <v>Lexical explanation of three dimensional shapes-cylinders</v>
      </c>
      <c r="AM117" s="8" t="str">
        <f ca="1">IFERROR(__xludf.DUMMYFUNCTION("""COMPUTED_VALUE"""),"LU000163")</f>
        <v>LU000163</v>
      </c>
      <c r="AN117" s="8" t="str">
        <f ca="1">IFERROR(__xludf.DUMMYFUNCTION("""COMPUTED_VALUE"""),"Conversion between different units of length (in whole number)")</f>
        <v>Conversion between different units of length (in whole number)</v>
      </c>
      <c r="AO117" s="8" t="str">
        <f ca="1">IFERROR(__xludf.DUMMYFUNCTION("""COMPUTED_VALUE"""),"LU000500")</f>
        <v>LU000500</v>
      </c>
      <c r="AP117" s="8" t="str">
        <f ca="1">IFERROR(__xludf.DUMMYFUNCTION("""COMPUTED_VALUE"""),"Conversion of units of area")</f>
        <v>Conversion of units of area</v>
      </c>
      <c r="AQ117" s="8"/>
      <c r="AR117" s="8"/>
      <c r="AS117" s="8"/>
      <c r="AT117" s="8"/>
      <c r="AU117" s="8"/>
      <c r="AV117" s="8"/>
      <c r="AW117" s="8"/>
      <c r="AX117" s="8"/>
      <c r="AY117" s="8"/>
      <c r="AZ117" s="8"/>
      <c r="BA117" s="8"/>
      <c r="BB117" s="8"/>
      <c r="BC117" s="8"/>
      <c r="BD117" s="8"/>
      <c r="BE117" s="8"/>
    </row>
    <row r="118" spans="1:57">
      <c r="A118" s="8" t="s">
        <v>247</v>
      </c>
      <c r="B118" s="8" t="s">
        <v>47</v>
      </c>
      <c r="C118" s="8" t="s">
        <v>731</v>
      </c>
      <c r="D118" s="8" t="s">
        <v>732</v>
      </c>
      <c r="E118" s="8" t="s">
        <v>386</v>
      </c>
      <c r="F118" s="54" t="s">
        <v>911</v>
      </c>
      <c r="G118" s="8" t="s">
        <v>912</v>
      </c>
      <c r="H118" s="8" t="str">
        <f ca="1">IFERROR(__xludf.DUMMYFUNCTION("VLOOKUP(G118, IMPORTRANGE(""https://docs.google.com/spreadsheets/d/14deopnvwcrKtEGCKuYXdUHJbeLDZlkiSSWWT0g7x2pM/edit#gid=999382323"", ""LU List Maths (Filter)!A:B""), 2, FALSE)"),"Volume of a cube")</f>
        <v>Volume of a cube</v>
      </c>
      <c r="I118" s="10" t="str">
        <f t="shared" si="0"/>
        <v>LU000724.001</v>
      </c>
      <c r="J118" s="10" t="str">
        <f ca="1">IFERROR(__xludf.DUMMYFUNCTION("VLOOKUP(I118, IMPORTRANGE(""https://docs.google.com/spreadsheets/d/1yDAaXNsi4Mr5FtRQL4tbmSdIzhx6_m4wkOD7IG-k_eo/edit#gid=0"", ""Maths!M:N""), 2, FALSE)"),"Recall the formula for calculating the volume of a cube.")</f>
        <v>Recall the formula for calculating the volume of a cube.</v>
      </c>
      <c r="K118" s="10" t="str">
        <f t="shared" si="1"/>
        <v>LU000724.002</v>
      </c>
      <c r="L118" s="10" t="str">
        <f ca="1">IFERROR(__xludf.DUMMYFUNCTION("VLOOKUP(K118, IMPORTRANGE(""https://docs.google.com/spreadsheets/d/1yDAaXNsi4Mr5FtRQL4tbmSdIzhx6_m4wkOD7IG-k_eo/edit#gid=0"", ""Maths!M:N""), 2, FALSE)"),"Explain the concept of volume and understand how the volume of a cube is derived from the product of its three equal side lengths.")</f>
        <v>Explain the concept of volume and understand how the volume of a cube is derived from the product of its three equal side lengths.</v>
      </c>
      <c r="M118" s="10" t="str">
        <f t="shared" si="2"/>
        <v>LU000724.003</v>
      </c>
      <c r="N118" s="10" t="str">
        <f ca="1">IFERROR(__xludf.DUMMYFUNCTION("VLOOKUP(M118, IMPORTRANGE(""https://docs.google.com/spreadsheets/d/1yDAaXNsi4Mr5FtRQL4tbmSdIzhx6_m4wkOD7IG-k_eo/edit#gid=0"", ""Maths!M:N""), 2, FALSE)"),"Apply the formula for calculating the volume of a specific cube with a given side length, finding the volume in cubic units.")</f>
        <v>Apply the formula for calculating the volume of a specific cube with a given side length, finding the volume in cubic units.</v>
      </c>
      <c r="O118" s="10" t="str">
        <f t="shared" si="3"/>
        <v>LU000724.004</v>
      </c>
      <c r="P118" s="10" t="str">
        <f ca="1">IFERROR(__xludf.DUMMYFUNCTION("VLOOKUP(O118, IMPORTRANGE(""https://docs.google.com/spreadsheets/d/1yDAaXNsi4Mr5FtRQL4tbmSdIzhx6_m4wkOD7IG-k_eo/edit#gid=0"", ""Maths!M:N""), 2, FALSE)"),"Analyze the relationship between the volume of a cube and the dimensions of the cube, recognizing how changes in the side length impact the volume.")</f>
        <v>Analyze the relationship between the volume of a cube and the dimensions of the cube, recognizing how changes in the side length impact the volume.</v>
      </c>
      <c r="Q118" s="10" t="str">
        <f t="shared" si="4"/>
        <v>LU000724.005</v>
      </c>
      <c r="R118" s="10" t="str">
        <f ca="1">IFERROR(__xludf.DUMMYFUNCTION("VLOOKUP(Q118, IMPORTRANGE(""https://docs.google.com/spreadsheets/d/1yDAaXNsi4Mr5FtRQL4tbmSdIzhx6_m4wkOD7IG-k_eo/edit#gid=0"", ""Maths!M:N""), 2, FALSE)"),"Evaluate the practical significance of understanding and calculating the volume of a cube in real-world situations.")</f>
        <v>Evaluate the practical significance of understanding and calculating the volume of a cube in real-world situations.</v>
      </c>
      <c r="S118" s="10" t="str">
        <f t="shared" si="5"/>
        <v>LU000724.006</v>
      </c>
      <c r="T118" s="10" t="str">
        <f ca="1">IFERROR(__xludf.DUMMYFUNCTION("VLOOKUP(S118, IMPORTRANGE(""https://docs.google.com/spreadsheets/d/1yDAaXNsi4Mr5FtRQL4tbmSdIzhx6_m4wkOD7IG-k_eo/edit#gid=0"", ""Maths!M:N""), 2, FALSE)"),"Design a unique three-dimensional cubical structure with a specific volume requirement, demonstrating a high level of creativity, innovation, and problem-solving.")</f>
        <v>Design a unique three-dimensional cubical structure with a specific volume requirement, demonstrating a high level of creativity, innovation, and problem-solving.</v>
      </c>
      <c r="U118" s="52">
        <f ca="1">IFERROR(__xludf.DUMMYFUNCTION("ArrayFormula(VLOOKUP(G118, IMPORTRANGE(""https://docs.google.com/spreadsheets/d/1p7R4vtkWt5VOBim4ltsDG9KTzSjrtKXsMtQGXPHyND0/edit#gid=795171502"", ""'Filter 30_05_2024'!A1:M2000""), {2, 3, 4, 5,6,7,8,9,10,11,12,13}, 0))"),4)</f>
        <v>4</v>
      </c>
      <c r="V118" s="52">
        <f ca="1">IFERROR(__xludf.DUMMYFUNCTION("""COMPUTED_VALUE"""),6)</f>
        <v>6</v>
      </c>
      <c r="W118" s="52">
        <f ca="1">IFERROR(__xludf.DUMMYFUNCTION("""COMPUTED_VALUE"""),2)</f>
        <v>2</v>
      </c>
      <c r="X118" s="52">
        <f ca="1">IFERROR(__xludf.DUMMYFUNCTION("""COMPUTED_VALUE"""),12)</f>
        <v>12</v>
      </c>
      <c r="Y118" s="52">
        <f ca="1">IFERROR(__xludf.DUMMYFUNCTION("""COMPUTED_VALUE"""),4)</f>
        <v>4</v>
      </c>
      <c r="Z118" s="53">
        <f ca="1">IFERROR(__xludf.DUMMYFUNCTION("""COMPUTED_VALUE"""),3)</f>
        <v>3</v>
      </c>
      <c r="AA118" s="53">
        <f ca="1">IFERROR(__xludf.DUMMYFUNCTION("""COMPUTED_VALUE"""),1)</f>
        <v>1</v>
      </c>
      <c r="AB118" s="53">
        <f ca="1">IFERROR(__xludf.DUMMYFUNCTION("""COMPUTED_VALUE"""),8)</f>
        <v>8</v>
      </c>
      <c r="AC118" s="53"/>
      <c r="AD118" s="53"/>
      <c r="AE118" s="53"/>
      <c r="AF118" s="53"/>
      <c r="AG118" s="8" t="str">
        <f ca="1">IFERROR(__xludf.DUMMYFUNCTION("ArrayFormula(VLOOKUP(G118, IMPORTRANGE(""https://docs.google.com/spreadsheets/d/1Co934fvtviyaRiMsrIlT05Jaq7iiYq07aLvRr35KA48/edit?gid=173865642#gid=173865642"", ""'G8_Maths_Pri_LU'!G2:V2000""), {3, 4, 5, 6, 7, 8, 9, 10, 11, 12, 13, 14, 15, 16}, 0))"),"LU000249")</f>
        <v>LU000249</v>
      </c>
      <c r="AH118" s="8" t="str">
        <f ca="1">IFERROR(__xludf.DUMMYFUNCTION("""COMPUTED_VALUE"""),"Lexical explanation of three dimensional shapes-Cube")</f>
        <v>Lexical explanation of three dimensional shapes-Cube</v>
      </c>
      <c r="AI118" s="8" t="str">
        <f ca="1">IFERROR(__xludf.DUMMYFUNCTION("""COMPUTED_VALUE"""),"LU000328")</f>
        <v>LU000328</v>
      </c>
      <c r="AJ118" s="8" t="str">
        <f ca="1">IFERROR(__xludf.DUMMYFUNCTION("""COMPUTED_VALUE"""),"Area of a square using formula")</f>
        <v>Area of a square using formula</v>
      </c>
      <c r="AK118" s="8" t="str">
        <f ca="1">IFERROR(__xludf.DUMMYFUNCTION("""COMPUTED_VALUE"""),"LU000163")</f>
        <v>LU000163</v>
      </c>
      <c r="AL118" s="8" t="str">
        <f ca="1">IFERROR(__xludf.DUMMYFUNCTION("""COMPUTED_VALUE"""),"Conversion between different units of length (in whole number)")</f>
        <v>Conversion between different units of length (in whole number)</v>
      </c>
      <c r="AM118" s="8"/>
      <c r="AN118" s="8"/>
      <c r="AO118" s="8"/>
      <c r="AP118" s="8"/>
      <c r="AQ118" s="8"/>
      <c r="AR118" s="8"/>
      <c r="AS118" s="8"/>
      <c r="AT118" s="8"/>
      <c r="AU118" s="8"/>
      <c r="AV118" s="8"/>
      <c r="AW118" s="8"/>
      <c r="AX118" s="8"/>
      <c r="AY118" s="8"/>
      <c r="AZ118" s="8"/>
      <c r="BA118" s="8"/>
      <c r="BB118" s="8"/>
      <c r="BC118" s="8"/>
      <c r="BD118" s="8"/>
      <c r="BE118" s="8"/>
    </row>
    <row r="119" spans="1:57">
      <c r="A119" s="8" t="s">
        <v>247</v>
      </c>
      <c r="B119" s="8" t="s">
        <v>47</v>
      </c>
      <c r="C119" s="8" t="s">
        <v>731</v>
      </c>
      <c r="D119" s="8" t="s">
        <v>732</v>
      </c>
      <c r="E119" s="8" t="s">
        <v>386</v>
      </c>
      <c r="F119" s="54" t="s">
        <v>911</v>
      </c>
      <c r="G119" s="8" t="s">
        <v>913</v>
      </c>
      <c r="H119" s="8" t="str">
        <f ca="1">IFERROR(__xludf.DUMMYFUNCTION("VLOOKUP(G119, IMPORTRANGE(""https://docs.google.com/spreadsheets/d/14deopnvwcrKtEGCKuYXdUHJbeLDZlkiSSWWT0g7x2pM/edit#gid=999382323"", ""LU List Maths (Filter)!A:B""), 2, FALSE)"),"Volume of a cuboid")</f>
        <v>Volume of a cuboid</v>
      </c>
      <c r="I119" s="10" t="str">
        <f t="shared" si="0"/>
        <v>LU000725.001</v>
      </c>
      <c r="J119" s="10" t="str">
        <f ca="1">IFERROR(__xludf.DUMMYFUNCTION("VLOOKUP(I119, IMPORTRANGE(""https://docs.google.com/spreadsheets/d/1yDAaXNsi4Mr5FtRQL4tbmSdIzhx6_m4wkOD7IG-k_eo/edit#gid=0"", ""Maths!M:N""), 2, FALSE)"),"Recall the formula for calculating the volume of a cuboid.")</f>
        <v>Recall the formula for calculating the volume of a cuboid.</v>
      </c>
      <c r="K119" s="10" t="str">
        <f t="shared" si="1"/>
        <v>LU000725.002</v>
      </c>
      <c r="L119" s="10" t="str">
        <f ca="1">IFERROR(__xludf.DUMMYFUNCTION("VLOOKUP(K119, IMPORTRANGE(""https://docs.google.com/spreadsheets/d/1yDAaXNsi4Mr5FtRQL4tbmSdIzhx6_m4wkOD7IG-k_eo/edit#gid=0"", ""Maths!M:N""), 2, FALSE)"),"Explain the concept of volume and understand how the formula for the volume of a cuboid is derived from the product of its three dimensions (length, width, and height).")</f>
        <v>Explain the concept of volume and understand how the formula for the volume of a cuboid is derived from the product of its three dimensions (length, width, and height).</v>
      </c>
      <c r="M119" s="10" t="str">
        <f t="shared" si="2"/>
        <v>LU000725.003</v>
      </c>
      <c r="N119" s="10" t="str">
        <f ca="1">IFERROR(__xludf.DUMMYFUNCTION("VLOOKUP(M119, IMPORTRANGE(""https://docs.google.com/spreadsheets/d/1yDAaXNsi4Mr5FtRQL4tbmSdIzhx6_m4wkOD7IG-k_eo/edit#gid=0"", ""Maths!M:N""), 2, FALSE)"),"Apply the formula for calculating the volume of a specific cuboid with given dimensions (length, width, and height) to find the volume in cubic units.")</f>
        <v>Apply the formula for calculating the volume of a specific cuboid with given dimensions (length, width, and height) to find the volume in cubic units.</v>
      </c>
      <c r="O119" s="10" t="str">
        <f t="shared" si="3"/>
        <v>LU000725.004</v>
      </c>
      <c r="P119" s="10" t="str">
        <f ca="1">IFERROR(__xludf.DUMMYFUNCTION("VLOOKUP(O119, IMPORTRANGE(""https://docs.google.com/spreadsheets/d/1yDAaXNsi4Mr5FtRQL4tbmSdIzhx6_m4wkOD7IG-k_eo/edit#gid=0"", ""Maths!M:N""), 2, FALSE)"),"Analyse the relationship between the volume of a cuboid and its dimensions, recognizing how changes in any of the dimensions affect the volume and understanding the geometric principles involved.")</f>
        <v>Analyse the relationship between the volume of a cuboid and its dimensions, recognizing how changes in any of the dimensions affect the volume and understanding the geometric principles involved.</v>
      </c>
      <c r="Q119" s="10" t="str">
        <f t="shared" si="4"/>
        <v>LU000725.005</v>
      </c>
      <c r="R119" s="10" t="str">
        <f ca="1">IFERROR(__xludf.DUMMYFUNCTION("VLOOKUP(Q119, IMPORTRANGE(""https://docs.google.com/spreadsheets/d/1yDAaXNsi4Mr5FtRQL4tbmSdIzhx6_m4wkOD7IG-k_eo/edit#gid=0"", ""Maths!M:N""), 2, FALSE)"),"Evaluate the practical significance of understanding and calculating the volume of a cuboid in real-world situations.")</f>
        <v>Evaluate the practical significance of understanding and calculating the volume of a cuboid in real-world situations.</v>
      </c>
      <c r="S119" s="10" t="str">
        <f t="shared" si="5"/>
        <v>LU000725.006</v>
      </c>
      <c r="T119" s="10" t="str">
        <f ca="1">IFERROR(__xludf.DUMMYFUNCTION("VLOOKUP(S119, IMPORTRANGE(""https://docs.google.com/spreadsheets/d/1yDAaXNsi4Mr5FtRQL4tbmSdIzhx6_m4wkOD7IG-k_eo/edit#gid=0"", ""Maths!M:N""), 2, FALSE)"),"Design a unique three-dimensional cuboidal structure with a specific volume requirement, demonstrating a high level of creativity, innovation, and problem-solving.")</f>
        <v>Design a unique three-dimensional cuboidal structure with a specific volume requirement, demonstrating a high level of creativity, innovation, and problem-solving.</v>
      </c>
      <c r="U119" s="52">
        <f ca="1">IFERROR(__xludf.DUMMYFUNCTION("ArrayFormula(VLOOKUP(G119, IMPORTRANGE(""https://docs.google.com/spreadsheets/d/1p7R4vtkWt5VOBim4ltsDG9KTzSjrtKXsMtQGXPHyND0/edit#gid=795171502"", ""'Filter 30_05_2024'!A1:M2000""), {2, 3, 4, 5,6,7,8,9,10,11,12,13}, 0))"),4)</f>
        <v>4</v>
      </c>
      <c r="V119" s="52">
        <f ca="1">IFERROR(__xludf.DUMMYFUNCTION("""COMPUTED_VALUE"""),6)</f>
        <v>6</v>
      </c>
      <c r="W119" s="52">
        <f ca="1">IFERROR(__xludf.DUMMYFUNCTION("""COMPUTED_VALUE"""),2)</f>
        <v>2</v>
      </c>
      <c r="X119" s="52">
        <f ca="1">IFERROR(__xludf.DUMMYFUNCTION("""COMPUTED_VALUE"""),12)</f>
        <v>12</v>
      </c>
      <c r="Y119" s="52">
        <f ca="1">IFERROR(__xludf.DUMMYFUNCTION("""COMPUTED_VALUE"""),4)</f>
        <v>4</v>
      </c>
      <c r="Z119" s="53">
        <f ca="1">IFERROR(__xludf.DUMMYFUNCTION("""COMPUTED_VALUE"""),3)</f>
        <v>3</v>
      </c>
      <c r="AA119" s="53">
        <f ca="1">IFERROR(__xludf.DUMMYFUNCTION("""COMPUTED_VALUE"""),1)</f>
        <v>1</v>
      </c>
      <c r="AB119" s="53">
        <f ca="1">IFERROR(__xludf.DUMMYFUNCTION("""COMPUTED_VALUE"""),8)</f>
        <v>8</v>
      </c>
      <c r="AC119" s="53"/>
      <c r="AD119" s="53"/>
      <c r="AE119" s="53"/>
      <c r="AF119" s="53"/>
      <c r="AG119" s="8" t="str">
        <f ca="1">IFERROR(__xludf.DUMMYFUNCTION("ArrayFormula(VLOOKUP(G119, IMPORTRANGE(""https://docs.google.com/spreadsheets/d/1Co934fvtviyaRiMsrIlT05Jaq7iiYq07aLvRr35KA48/edit?gid=173865642#gid=173865642"", ""'G8_Maths_Pri_LU'!G2:V2000""), {3, 4, 5, 6, 7, 8, 9, 10, 11, 12, 13, 14, 15, 16}, 0))"),"LU000251")</f>
        <v>LU000251</v>
      </c>
      <c r="AH119" s="8" t="str">
        <f ca="1">IFERROR(__xludf.DUMMYFUNCTION("""COMPUTED_VALUE"""),"Lexical explanation of three dimensional shapes-cuboids")</f>
        <v>Lexical explanation of three dimensional shapes-cuboids</v>
      </c>
      <c r="AI119" s="8" t="str">
        <f ca="1">IFERROR(__xludf.DUMMYFUNCTION("""COMPUTED_VALUE"""),"LU000327")</f>
        <v>LU000327</v>
      </c>
      <c r="AJ119" s="8" t="str">
        <f ca="1">IFERROR(__xludf.DUMMYFUNCTION("""COMPUTED_VALUE"""),"Area of a rectangle using formula")</f>
        <v>Area of a rectangle using formula</v>
      </c>
      <c r="AK119" s="8" t="str">
        <f ca="1">IFERROR(__xludf.DUMMYFUNCTION("""COMPUTED_VALUE"""),"LU000163")</f>
        <v>LU000163</v>
      </c>
      <c r="AL119" s="8" t="str">
        <f ca="1">IFERROR(__xludf.DUMMYFUNCTION("""COMPUTED_VALUE"""),"Conversion between different units of length (in whole number)")</f>
        <v>Conversion between different units of length (in whole number)</v>
      </c>
      <c r="AM119" s="8"/>
      <c r="AN119" s="8"/>
      <c r="AO119" s="8"/>
      <c r="AP119" s="8"/>
      <c r="AQ119" s="8"/>
      <c r="AR119" s="8"/>
      <c r="AS119" s="8"/>
      <c r="AT119" s="8"/>
      <c r="AU119" s="8"/>
      <c r="AV119" s="8"/>
      <c r="AW119" s="8"/>
      <c r="AX119" s="8"/>
      <c r="AY119" s="8"/>
      <c r="AZ119" s="8"/>
      <c r="BA119" s="8"/>
      <c r="BB119" s="8"/>
      <c r="BC119" s="8"/>
      <c r="BD119" s="8"/>
      <c r="BE119" s="8"/>
    </row>
    <row r="120" spans="1:57">
      <c r="A120" s="8" t="s">
        <v>247</v>
      </c>
      <c r="B120" s="8" t="s">
        <v>47</v>
      </c>
      <c r="C120" s="8" t="s">
        <v>731</v>
      </c>
      <c r="D120" s="8" t="s">
        <v>732</v>
      </c>
      <c r="E120" s="8" t="s">
        <v>386</v>
      </c>
      <c r="F120" s="54" t="s">
        <v>914</v>
      </c>
      <c r="G120" s="8" t="s">
        <v>915</v>
      </c>
      <c r="H120" s="8" t="str">
        <f ca="1">IFERROR(__xludf.DUMMYFUNCTION("VLOOKUP(G120, IMPORTRANGE(""https://docs.google.com/spreadsheets/d/14deopnvwcrKtEGCKuYXdUHJbeLDZlkiSSWWT0g7x2pM/edit#gid=999382323"", ""LU List Maths (Filter)!A:B""), 2, FALSE)"),"Volume of a right circular cylinder")</f>
        <v>Volume of a right circular cylinder</v>
      </c>
      <c r="I120" s="10" t="str">
        <f t="shared" si="0"/>
        <v>LU000726.001</v>
      </c>
      <c r="J120" s="10" t="str">
        <f ca="1">IFERROR(__xludf.DUMMYFUNCTION("VLOOKUP(I120, IMPORTRANGE(""https://docs.google.com/spreadsheets/d/1yDAaXNsi4Mr5FtRQL4tbmSdIzhx6_m4wkOD7IG-k_eo/edit#gid=0"", ""Maths!M:N""), 2, FALSE)"),"Recall the formula for calculating the volume of a cylinder.")</f>
        <v>Recall the formula for calculating the volume of a cylinder.</v>
      </c>
      <c r="K120" s="10" t="str">
        <f t="shared" si="1"/>
        <v>LU000726.002</v>
      </c>
      <c r="L120" s="10" t="str">
        <f ca="1">IFERROR(__xludf.DUMMYFUNCTION("VLOOKUP(K120, IMPORTRANGE(""https://docs.google.com/spreadsheets/d/1yDAaXNsi4Mr5FtRQL4tbmSdIzhx6_m4wkOD7IG-k_eo/edit#gid=0"", ""Maths!M:N""), 2, FALSE)"),"Explain the concept of volume and understand how the formula for the volume of a cylinder is derived.")</f>
        <v>Explain the concept of volume and understand how the formula for the volume of a cylinder is derived.</v>
      </c>
      <c r="M120" s="10" t="str">
        <f t="shared" si="2"/>
        <v>LU000726.003</v>
      </c>
      <c r="N120" s="10" t="str">
        <f ca="1">IFERROR(__xludf.DUMMYFUNCTION("VLOOKUP(M120, IMPORTRANGE(""https://docs.google.com/spreadsheets/d/1yDAaXNsi4Mr5FtRQL4tbmSdIzhx6_m4wkOD7IG-k_eo/edit#gid=0"", ""Maths!M:N""), 2, FALSE)"),"Apply the formula for calculating the volume of a cylinder with given dimensions.")</f>
        <v>Apply the formula for calculating the volume of a cylinder with given dimensions.</v>
      </c>
      <c r="O120" s="10" t="str">
        <f t="shared" si="3"/>
        <v>LU000726.004</v>
      </c>
      <c r="P120" s="10" t="str">
        <f ca="1">IFERROR(__xludf.DUMMYFUNCTION("VLOOKUP(O120, IMPORTRANGE(""https://docs.google.com/spreadsheets/d/1yDAaXNsi4Mr5FtRQL4tbmSdIzhx6_m4wkOD7IG-k_eo/edit#gid=0"", ""Maths!M:N""), 2, FALSE)"),"Analyse the relationship between the dimensions of a right circular cylinder (radius and height) and its volume, recognizing how changes in these dimensions affect the overall volume.")</f>
        <v>Analyse the relationship between the dimensions of a right circular cylinder (radius and height) and its volume, recognizing how changes in these dimensions affect the overall volume.</v>
      </c>
      <c r="Q120" s="10" t="str">
        <f t="shared" si="4"/>
        <v>LU000726.005</v>
      </c>
      <c r="R120" s="10" t="str">
        <f ca="1">IFERROR(__xludf.DUMMYFUNCTION("VLOOKUP(Q120, IMPORTRANGE(""https://docs.google.com/spreadsheets/d/1yDAaXNsi4Mr5FtRQL4tbmSdIzhx6_m4wkOD7IG-k_eo/edit#gid=0"", ""Maths!M:N""), 2, FALSE)"),"Evaluate the practical significance of understanding and calculating the volume of a right circular cylinder in real-world situations.")</f>
        <v>Evaluate the practical significance of understanding and calculating the volume of a right circular cylinder in real-world situations.</v>
      </c>
      <c r="S120" s="10" t="str">
        <f t="shared" si="5"/>
        <v>LU000726.006</v>
      </c>
      <c r="T120" s="10" t="str">
        <f ca="1">IFERROR(__xludf.DUMMYFUNCTION("VLOOKUP(S120, IMPORTRANGE(""https://docs.google.com/spreadsheets/d/1yDAaXNsi4Mr5FtRQL4tbmSdIzhx6_m4wkOD7IG-k_eo/edit#gid=0"", ""Maths!M:N""), 2, FALSE)"),"Design a unique three-dimensional cylinderical structure with a specific volume requirement, demonstrating a high level of creativity, innovation, and problem-solving.")</f>
        <v>Design a unique three-dimensional cylinderical structure with a specific volume requirement, demonstrating a high level of creativity, innovation, and problem-solving.</v>
      </c>
      <c r="U120" s="52">
        <f ca="1">IFERROR(__xludf.DUMMYFUNCTION("ArrayFormula(VLOOKUP(G120, IMPORTRANGE(""https://docs.google.com/spreadsheets/d/1p7R4vtkWt5VOBim4ltsDG9KTzSjrtKXsMtQGXPHyND0/edit#gid=795171502"", ""'Filter 30_05_2024'!A1:M2000""), {2, 3, 4, 5,6,7,8,9,10,11,12,13}, 0))"),4)</f>
        <v>4</v>
      </c>
      <c r="V120" s="52">
        <f ca="1">IFERROR(__xludf.DUMMYFUNCTION("""COMPUTED_VALUE"""),6)</f>
        <v>6</v>
      </c>
      <c r="W120" s="52">
        <f ca="1">IFERROR(__xludf.DUMMYFUNCTION("""COMPUTED_VALUE"""),2)</f>
        <v>2</v>
      </c>
      <c r="X120" s="52">
        <f ca="1">IFERROR(__xludf.DUMMYFUNCTION("""COMPUTED_VALUE"""),12)</f>
        <v>12</v>
      </c>
      <c r="Y120" s="52">
        <f ca="1">IFERROR(__xludf.DUMMYFUNCTION("""COMPUTED_VALUE"""),4)</f>
        <v>4</v>
      </c>
      <c r="Z120" s="53">
        <f ca="1">IFERROR(__xludf.DUMMYFUNCTION("""COMPUTED_VALUE"""),3)</f>
        <v>3</v>
      </c>
      <c r="AA120" s="53">
        <f ca="1">IFERROR(__xludf.DUMMYFUNCTION("""COMPUTED_VALUE"""),1)</f>
        <v>1</v>
      </c>
      <c r="AB120" s="53">
        <f ca="1">IFERROR(__xludf.DUMMYFUNCTION("""COMPUTED_VALUE"""),8)</f>
        <v>8</v>
      </c>
      <c r="AC120" s="53"/>
      <c r="AD120" s="53"/>
      <c r="AE120" s="53"/>
      <c r="AF120" s="53"/>
      <c r="AG120" s="8" t="str">
        <f ca="1">IFERROR(__xludf.DUMMYFUNCTION("ArrayFormula(VLOOKUP(G120, IMPORTRANGE(""https://docs.google.com/spreadsheets/d/1Co934fvtviyaRiMsrIlT05Jaq7iiYq07aLvRr35KA48/edit?gid=173865642#gid=173865642"", ""'G8_Maths_Pri_LU'!G2:V2000""), {3, 4, 5, 6, 7, 8, 9, 10, 11, 12, 13, 14, 15, 16}, 0))"),"LU000253")</f>
        <v>LU000253</v>
      </c>
      <c r="AH120" s="8" t="str">
        <f ca="1">IFERROR(__xludf.DUMMYFUNCTION("""COMPUTED_VALUE"""),"Lexical explanation of three dimensional shapes-cylinders")</f>
        <v>Lexical explanation of three dimensional shapes-cylinders</v>
      </c>
      <c r="AI120" s="8" t="str">
        <f ca="1">IFERROR(__xludf.DUMMYFUNCTION("""COMPUTED_VALUE"""),"LU000495")</f>
        <v>LU000495</v>
      </c>
      <c r="AJ120" s="8" t="str">
        <f ca="1">IFERROR(__xludf.DUMMYFUNCTION("""COMPUTED_VALUE"""),"Area of a circle")</f>
        <v>Area of a circle</v>
      </c>
      <c r="AK120" s="8" t="str">
        <f ca="1">IFERROR(__xludf.DUMMYFUNCTION("""COMPUTED_VALUE"""),"LU000163")</f>
        <v>LU000163</v>
      </c>
      <c r="AL120" s="8" t="str">
        <f ca="1">IFERROR(__xludf.DUMMYFUNCTION("""COMPUTED_VALUE"""),"Conversion between different units of length (in whole number)")</f>
        <v>Conversion between different units of length (in whole number)</v>
      </c>
      <c r="AM120" s="8"/>
      <c r="AN120" s="8"/>
      <c r="AO120" s="8"/>
      <c r="AP120" s="8"/>
      <c r="AQ120" s="8"/>
      <c r="AR120" s="8"/>
      <c r="AS120" s="8"/>
      <c r="AT120" s="8"/>
      <c r="AU120" s="8"/>
      <c r="AV120" s="8"/>
      <c r="AW120" s="8"/>
      <c r="AX120" s="8"/>
      <c r="AY120" s="8"/>
      <c r="AZ120" s="8"/>
      <c r="BA120" s="8"/>
      <c r="BB120" s="8"/>
      <c r="BC120" s="8"/>
      <c r="BD120" s="8"/>
      <c r="BE120" s="8"/>
    </row>
    <row r="121" spans="1:57">
      <c r="A121" s="8" t="s">
        <v>247</v>
      </c>
      <c r="B121" s="8" t="s">
        <v>47</v>
      </c>
      <c r="C121" s="8" t="s">
        <v>731</v>
      </c>
      <c r="D121" s="8" t="s">
        <v>732</v>
      </c>
      <c r="E121" s="8" t="s">
        <v>386</v>
      </c>
      <c r="F121" s="54" t="s">
        <v>914</v>
      </c>
      <c r="G121" s="8" t="s">
        <v>916</v>
      </c>
      <c r="H121" s="8" t="str">
        <f ca="1">IFERROR(__xludf.DUMMYFUNCTION("VLOOKUP(G121, IMPORTRANGE(""https://docs.google.com/spreadsheets/d/14deopnvwcrKtEGCKuYXdUHJbeLDZlkiSSWWT0g7x2pM/edit#gid=999382323"", ""LU List Maths (Filter)!A:B""), 2, FALSE)"),"Capacity of a container")</f>
        <v>Capacity of a container</v>
      </c>
      <c r="I121" s="10" t="str">
        <f t="shared" si="0"/>
        <v>LU000727.001</v>
      </c>
      <c r="J121" s="10" t="str">
        <f ca="1">IFERROR(__xludf.DUMMYFUNCTION("VLOOKUP(I121, IMPORTRANGE(""https://docs.google.com/spreadsheets/d/1yDAaXNsi4Mr5FtRQL4tbmSdIzhx6_m4wkOD7IG-k_eo/edit#gid=0"", ""Maths!M:N""), 2, FALSE)"),"Recall the definition of capacity.")</f>
        <v>Recall the definition of capacity.</v>
      </c>
      <c r="K121" s="10" t="str">
        <f t="shared" si="1"/>
        <v>LU000727.002</v>
      </c>
      <c r="L121" s="10" t="str">
        <f ca="1">IFERROR(__xludf.DUMMYFUNCTION("VLOOKUP(K121, IMPORTRANGE(""https://docs.google.com/spreadsheets/d/1yDAaXNsi4Mr5FtRQL4tbmSdIzhx6_m4wkOD7IG-k_eo/edit#gid=0"", ""Maths!M:N""), 2, FALSE)"),"Explain how the shape and size of a container, as well as its dimensions, affect its capacity to hold a specific substance or material.")</f>
        <v>Explain how the shape and size of a container, as well as its dimensions, affect its capacity to hold a specific substance or material.</v>
      </c>
      <c r="M121" s="10" t="str">
        <f t="shared" si="2"/>
        <v>LU000727.003</v>
      </c>
      <c r="N121" s="10" t="str">
        <f ca="1">IFERROR(__xludf.DUMMYFUNCTION("VLOOKUP(M121, IMPORTRANGE(""https://docs.google.com/spreadsheets/d/1yDAaXNsi4Mr5FtRQL4tbmSdIzhx6_m4wkOD7IG-k_eo/edit#gid=0"", ""Maths!M:N""), 2, FALSE)"),"Apply the concept of capacity to calculate the volume of a given container, understanding that volume and capacity are closely related.")</f>
        <v>Apply the concept of capacity to calculate the volume of a given container, understanding that volume and capacity are closely related.</v>
      </c>
      <c r="O121" s="10" t="str">
        <f t="shared" si="3"/>
        <v>LU000727.004</v>
      </c>
      <c r="P121" s="10" t="str">
        <f ca="1">IFERROR(__xludf.DUMMYFUNCTION("VLOOKUP(O121, IMPORTRANGE(""https://docs.google.com/spreadsheets/d/1yDAaXNsi4Mr5FtRQL4tbmSdIzhx6_m4wkOD7IG-k_eo/edit#gid=0"", ""Maths!M:N""), 2, FALSE)"),"Analyse different containers of varying shapes and sizes to determine which one has the greatest capacity for holding a particular substance, considering their dimensions and configurations.")</f>
        <v>Analyse different containers of varying shapes and sizes to determine which one has the greatest capacity for holding a particular substance, considering their dimensions and configurations.</v>
      </c>
      <c r="Q121" s="10" t="str">
        <f t="shared" si="4"/>
        <v>LU000727.005</v>
      </c>
      <c r="R121" s="10" t="str">
        <f ca="1">IFERROR(__xludf.DUMMYFUNCTION("VLOOKUP(Q121, IMPORTRANGE(""https://docs.google.com/spreadsheets/d/1yDAaXNsi4Mr5FtRQL4tbmSdIzhx6_m4wkOD7IG-k_eo/edit#gid=0"", ""Maths!M:N""), 2, FALSE)"),"Evaluate the practical significance of understanding and calculating the capacity of containers in real-world scenarios.")</f>
        <v>Evaluate the practical significance of understanding and calculating the capacity of containers in real-world scenarios.</v>
      </c>
      <c r="S121" s="10" t="str">
        <f t="shared" si="5"/>
        <v>LU000727.006</v>
      </c>
      <c r="T121" s="10" t="str">
        <f ca="1">IFERROR(__xludf.DUMMYFUNCTION("VLOOKUP(S121, IMPORTRANGE(""https://docs.google.com/spreadsheets/d/1yDAaXNsi4Mr5FtRQL4tbmSdIzhx6_m4wkOD7IG-k_eo/edit#gid=0"", ""Maths!M:N""), 2, FALSE)"),"Design a container that maximizes space within given limits, showing creativity and problem-solving in making a practical container.")</f>
        <v>Design a container that maximizes space within given limits, showing creativity and problem-solving in making a practical container.</v>
      </c>
      <c r="U121" s="52">
        <f ca="1">IFERROR(__xludf.DUMMYFUNCTION("ArrayFormula(VLOOKUP(G121, IMPORTRANGE(""https://docs.google.com/spreadsheets/d/1p7R4vtkWt5VOBim4ltsDG9KTzSjrtKXsMtQGXPHyND0/edit#gid=795171502"", ""'Filter 30_05_2024'!A1:M2000""), {2, 3, 4, 5,6,7,8,9,10,11,12,13}, 0))"),4)</f>
        <v>4</v>
      </c>
      <c r="V121" s="52">
        <f ca="1">IFERROR(__xludf.DUMMYFUNCTION("""COMPUTED_VALUE"""),6)</f>
        <v>6</v>
      </c>
      <c r="W121" s="52">
        <f ca="1">IFERROR(__xludf.DUMMYFUNCTION("""COMPUTED_VALUE"""),2)</f>
        <v>2</v>
      </c>
      <c r="X121" s="52">
        <f ca="1">IFERROR(__xludf.DUMMYFUNCTION("""COMPUTED_VALUE"""),12)</f>
        <v>12</v>
      </c>
      <c r="Y121" s="52">
        <f ca="1">IFERROR(__xludf.DUMMYFUNCTION("""COMPUTED_VALUE"""),4)</f>
        <v>4</v>
      </c>
      <c r="Z121" s="53">
        <f ca="1">IFERROR(__xludf.DUMMYFUNCTION("""COMPUTED_VALUE"""),3)</f>
        <v>3</v>
      </c>
      <c r="AA121" s="53">
        <f ca="1">IFERROR(__xludf.DUMMYFUNCTION("""COMPUTED_VALUE"""),1)</f>
        <v>1</v>
      </c>
      <c r="AB121" s="53">
        <f ca="1">IFERROR(__xludf.DUMMYFUNCTION("""COMPUTED_VALUE"""),8)</f>
        <v>8</v>
      </c>
      <c r="AC121" s="53"/>
      <c r="AD121" s="53"/>
      <c r="AE121" s="53"/>
      <c r="AF121" s="53"/>
      <c r="AG121" s="8" t="str">
        <f ca="1">IFERROR(__xludf.DUMMYFUNCTION("ArrayFormula(VLOOKUP(G121, IMPORTRANGE(""https://docs.google.com/spreadsheets/d/1Co934fvtviyaRiMsrIlT05Jaq7iiYq07aLvRr35KA48/edit?gid=173865642#gid=173865642"", ""'G8_Maths_Pri_LU'!G2:V2000""), {3, 4, 5, 6, 7, 8, 9, 10, 11, 12, 13, 14, 15, 16}, 0))"),"LU000726")</f>
        <v>LU000726</v>
      </c>
      <c r="AH121" s="8" t="str">
        <f ca="1">IFERROR(__xludf.DUMMYFUNCTION("""COMPUTED_VALUE"""),"Volume of a right circular cylinder")</f>
        <v>Volume of a right circular cylinder</v>
      </c>
      <c r="AI121" s="8" t="str">
        <f ca="1">IFERROR(__xludf.DUMMYFUNCTION("""COMPUTED_VALUE"""),"LU000724")</f>
        <v>LU000724</v>
      </c>
      <c r="AJ121" s="8" t="str">
        <f ca="1">IFERROR(__xludf.DUMMYFUNCTION("""COMPUTED_VALUE"""),"Volume of a cube")</f>
        <v>Volume of a cube</v>
      </c>
      <c r="AK121" s="8" t="str">
        <f ca="1">IFERROR(__xludf.DUMMYFUNCTION("""COMPUTED_VALUE"""),"LU000725")</f>
        <v>LU000725</v>
      </c>
      <c r="AL121" s="8" t="str">
        <f ca="1">IFERROR(__xludf.DUMMYFUNCTION("""COMPUTED_VALUE"""),"Volume of a cuboid")</f>
        <v>Volume of a cuboid</v>
      </c>
      <c r="AM121" s="8" t="str">
        <f ca="1">IFERROR(__xludf.DUMMYFUNCTION("""COMPUTED_VALUE"""),"LU000163")</f>
        <v>LU000163</v>
      </c>
      <c r="AN121" s="8" t="str">
        <f ca="1">IFERROR(__xludf.DUMMYFUNCTION("""COMPUTED_VALUE"""),"Conversion between different units of length (in whole number)")</f>
        <v>Conversion between different units of length (in whole number)</v>
      </c>
      <c r="AO121" s="8"/>
      <c r="AP121" s="8"/>
      <c r="AQ121" s="8"/>
      <c r="AR121" s="8"/>
      <c r="AS121" s="8"/>
      <c r="AT121" s="8"/>
      <c r="AU121" s="8"/>
      <c r="AV121" s="8"/>
      <c r="AW121" s="8"/>
      <c r="AX121" s="8"/>
      <c r="AY121" s="8"/>
      <c r="AZ121" s="8"/>
      <c r="BA121" s="8"/>
      <c r="BB121" s="8"/>
      <c r="BC121" s="8"/>
      <c r="BD121" s="8"/>
      <c r="BE121" s="8"/>
    </row>
    <row r="122" spans="1:57">
      <c r="A122" s="8" t="s">
        <v>247</v>
      </c>
      <c r="B122" s="8" t="s">
        <v>47</v>
      </c>
      <c r="C122" s="8" t="s">
        <v>731</v>
      </c>
      <c r="D122" s="8" t="s">
        <v>732</v>
      </c>
      <c r="E122" s="8" t="s">
        <v>386</v>
      </c>
      <c r="F122" s="54" t="s">
        <v>914</v>
      </c>
      <c r="G122" s="8" t="s">
        <v>917</v>
      </c>
      <c r="H122" s="8" t="str">
        <f ca="1">IFERROR(__xludf.DUMMYFUNCTION("VLOOKUP(G122, IMPORTRANGE(""https://docs.google.com/spreadsheets/d/14deopnvwcrKtEGCKuYXdUHJbeLDZlkiSSWWT0g7x2pM/edit#gid=999382323"", ""LU List Maths (Filter)!A:B""), 2, FALSE)"),"Volume of a hollow cylinder")</f>
        <v>Volume of a hollow cylinder</v>
      </c>
      <c r="I122" s="10" t="str">
        <f t="shared" si="0"/>
        <v>LU000942.001</v>
      </c>
      <c r="J122" s="10" t="str">
        <f ca="1">IFERROR(__xludf.DUMMYFUNCTION("VLOOKUP(I122, IMPORTRANGE(""https://docs.google.com/spreadsheets/d/1yDAaXNsi4Mr5FtRQL4tbmSdIzhx6_m4wkOD7IG-k_eo/edit#gid=0"", ""Maths!M:N""), 2, FALSE)"),"State the formula for the volume of a hollow cylinder.")</f>
        <v>State the formula for the volume of a hollow cylinder.</v>
      </c>
      <c r="K122" s="10" t="str">
        <f t="shared" si="1"/>
        <v>LU000942.002</v>
      </c>
      <c r="L122" s="10" t="str">
        <f ca="1">IFERROR(__xludf.DUMMYFUNCTION("VLOOKUP(K122, IMPORTRANGE(""https://docs.google.com/spreadsheets/d/1yDAaXNsi4Mr5FtRQL4tbmSdIzhx6_m4wkOD7IG-k_eo/edit#gid=0"", ""Maths!M:N""), 2, FALSE)"),"Explain the difference between volume of solid cylinder and a hollow cylinder.")</f>
        <v>Explain the difference between volume of solid cylinder and a hollow cylinder.</v>
      </c>
      <c r="M122" s="10" t="str">
        <f t="shared" si="2"/>
        <v>LU000942.003</v>
      </c>
      <c r="N122" s="10" t="str">
        <f ca="1">IFERROR(__xludf.DUMMYFUNCTION("VLOOKUP(M122, IMPORTRANGE(""https://docs.google.com/spreadsheets/d/1yDAaXNsi4Mr5FtRQL4tbmSdIzhx6_m4wkOD7IG-k_eo/edit#gid=0"", ""Maths!M:N""), 2, FALSE)"),"Solve problems involving the calculation of the volume of a hollow cylinder.")</f>
        <v>Solve problems involving the calculation of the volume of a hollow cylinder.</v>
      </c>
      <c r="O122" s="10" t="str">
        <f t="shared" si="3"/>
        <v>LU000942.004</v>
      </c>
      <c r="P122" s="10" t="str">
        <f ca="1">IFERROR(__xludf.DUMMYFUNCTION("VLOOKUP(O122, IMPORTRANGE(""https://docs.google.com/spreadsheets/d/1yDAaXNsi4Mr5FtRQL4tbmSdIzhx6_m4wkOD7IG-k_eo/edit#gid=0"", ""Maths!M:N""), 2, FALSE)"),"#N/A")</f>
        <v>#N/A</v>
      </c>
      <c r="Q122" s="10" t="str">
        <f t="shared" si="4"/>
        <v>LU000942.005</v>
      </c>
      <c r="R122" s="10" t="str">
        <f ca="1">IFERROR(__xludf.DUMMYFUNCTION("VLOOKUP(Q122, IMPORTRANGE(""https://docs.google.com/spreadsheets/d/1yDAaXNsi4Mr5FtRQL4tbmSdIzhx6_m4wkOD7IG-k_eo/edit#gid=0"", ""Maths!M:N""), 2, FALSE)"),"Assess the impact of varying the thickness of the cylinder walls on the overall volume.")</f>
        <v>Assess the impact of varying the thickness of the cylinder walls on the overall volume.</v>
      </c>
      <c r="S122" s="10" t="str">
        <f t="shared" si="5"/>
        <v>LU000942.006</v>
      </c>
      <c r="T122" s="10" t="str">
        <f ca="1">IFERROR(__xludf.DUMMYFUNCTION("VLOOKUP(S122, IMPORTRANGE(""https://docs.google.com/spreadsheets/d/1yDAaXNsi4Mr5FtRQL4tbmSdIzhx6_m4wkOD7IG-k_eo/edit#gid=0"", ""Maths!M:N""), 2, FALSE)"),"Create a real-world scenario or problem that requires the application of knowledge about the volume of a hollow cylinder.")</f>
        <v>Create a real-world scenario or problem that requires the application of knowledge about the volume of a hollow cylinder.</v>
      </c>
      <c r="U122" s="52">
        <f ca="1">IFERROR(__xludf.DUMMYFUNCTION("ArrayFormula(VLOOKUP(G122, IMPORTRANGE(""https://docs.google.com/spreadsheets/d/1p7R4vtkWt5VOBim4ltsDG9KTzSjrtKXsMtQGXPHyND0/edit#gid=795171502"", ""'Filter 30_05_2024'!A1:M2000""), {2, 3, 4, 5,6,7,8,9,10,11,12,13}, 0))"),4)</f>
        <v>4</v>
      </c>
      <c r="V122" s="52">
        <f ca="1">IFERROR(__xludf.DUMMYFUNCTION("""COMPUTED_VALUE"""),6)</f>
        <v>6</v>
      </c>
      <c r="W122" s="52">
        <f ca="1">IFERROR(__xludf.DUMMYFUNCTION("""COMPUTED_VALUE"""),2)</f>
        <v>2</v>
      </c>
      <c r="X122" s="52">
        <f ca="1">IFERROR(__xludf.DUMMYFUNCTION("""COMPUTED_VALUE"""),12)</f>
        <v>12</v>
      </c>
      <c r="Y122" s="52">
        <f ca="1">IFERROR(__xludf.DUMMYFUNCTION("""COMPUTED_VALUE"""),4)</f>
        <v>4</v>
      </c>
      <c r="Z122" s="53">
        <f ca="1">IFERROR(__xludf.DUMMYFUNCTION("""COMPUTED_VALUE"""),3)</f>
        <v>3</v>
      </c>
      <c r="AA122" s="53">
        <f ca="1">IFERROR(__xludf.DUMMYFUNCTION("""COMPUTED_VALUE"""),1)</f>
        <v>1</v>
      </c>
      <c r="AB122" s="53">
        <f ca="1">IFERROR(__xludf.DUMMYFUNCTION("""COMPUTED_VALUE"""),8)</f>
        <v>8</v>
      </c>
      <c r="AC122" s="53"/>
      <c r="AD122" s="53"/>
      <c r="AE122" s="53"/>
      <c r="AF122" s="53"/>
      <c r="AG122" s="8" t="str">
        <f ca="1">IFERROR(__xludf.DUMMYFUNCTION("ArrayFormula(VLOOKUP(G122, IMPORTRANGE(""https://docs.google.com/spreadsheets/d/1Co934fvtviyaRiMsrIlT05Jaq7iiYq07aLvRr35KA48/edit?gid=173865642#gid=173865642"", ""'G8_Maths_Pri_LU'!G2:V2000""), {3, 4, 5, 6, 7, 8, 9, 10, 11, 12, 13, 14, 15, 16}, 0))"),"LU000726")</f>
        <v>LU000726</v>
      </c>
      <c r="AH122" s="8" t="str">
        <f ca="1">IFERROR(__xludf.DUMMYFUNCTION("""COMPUTED_VALUE"""),"Volume of a right circular cylinder")</f>
        <v>Volume of a right circular cylinder</v>
      </c>
      <c r="AI122" s="8" t="str">
        <f ca="1">IFERROR(__xludf.DUMMYFUNCTION("""COMPUTED_VALUE"""),"LU000495")</f>
        <v>LU000495</v>
      </c>
      <c r="AJ122" s="8" t="str">
        <f ca="1">IFERROR(__xludf.DUMMYFUNCTION("""COMPUTED_VALUE"""),"Area of a circle")</f>
        <v>Area of a circle</v>
      </c>
      <c r="AK122" s="8" t="str">
        <f ca="1">IFERROR(__xludf.DUMMYFUNCTION("""COMPUTED_VALUE"""),"LU000494")</f>
        <v>LU000494</v>
      </c>
      <c r="AL122" s="8" t="str">
        <f ca="1">IFERROR(__xludf.DUMMYFUNCTION("""COMPUTED_VALUE"""),"Circumference of a circle")</f>
        <v>Circumference of a circle</v>
      </c>
      <c r="AM122" s="8" t="str">
        <f ca="1">IFERROR(__xludf.DUMMYFUNCTION("""COMPUTED_VALUE"""),"LU000163")</f>
        <v>LU000163</v>
      </c>
      <c r="AN122" s="8" t="str">
        <f ca="1">IFERROR(__xludf.DUMMYFUNCTION("""COMPUTED_VALUE"""),"Conversion between different units of length (in whole number)")</f>
        <v>Conversion between different units of length (in whole number)</v>
      </c>
      <c r="AO122" s="8" t="str">
        <f ca="1">IFERROR(__xludf.DUMMYFUNCTION("""COMPUTED_VALUE"""),"LU000873")</f>
        <v>LU000873</v>
      </c>
      <c r="AP122" s="8" t="str">
        <f ca="1">IFERROR(__xludf.DUMMYFUNCTION("""COMPUTED_VALUE"""),"Definition of a hollow cylinder")</f>
        <v>Definition of a hollow cylinder</v>
      </c>
      <c r="AQ122" s="8"/>
      <c r="AR122" s="8"/>
      <c r="AS122" s="8"/>
      <c r="AT122" s="8"/>
      <c r="AU122" s="8"/>
      <c r="AV122" s="8"/>
      <c r="AW122" s="8"/>
      <c r="AX122" s="8"/>
      <c r="AY122" s="8"/>
      <c r="AZ122" s="8"/>
      <c r="BA122" s="8"/>
      <c r="BB122" s="8"/>
      <c r="BC122" s="8"/>
      <c r="BD122" s="8"/>
      <c r="BE122" s="8"/>
    </row>
    <row r="123" spans="1:57">
      <c r="A123" s="8" t="s">
        <v>247</v>
      </c>
      <c r="B123" s="8" t="s">
        <v>47</v>
      </c>
      <c r="C123" s="8" t="s">
        <v>731</v>
      </c>
      <c r="D123" s="8" t="s">
        <v>732</v>
      </c>
      <c r="E123" s="8" t="s">
        <v>631</v>
      </c>
      <c r="F123" s="54" t="s">
        <v>918</v>
      </c>
      <c r="G123" s="8" t="s">
        <v>919</v>
      </c>
      <c r="H123" s="8" t="str">
        <f ca="1">IFERROR(__xludf.DUMMYFUNCTION("VLOOKUP(G123, IMPORTRANGE(""https://docs.google.com/spreadsheets/d/14deopnvwcrKtEGCKuYXdUHJbeLDZlkiSSWWT0g7x2pM/edit#gid=999382323"", ""LU List Maths (Filter)!A:B""), 2, FALSE)"),"Law of power with negative exponent for whole numbers")</f>
        <v>Law of power with negative exponent for whole numbers</v>
      </c>
      <c r="I123" s="10" t="str">
        <f t="shared" si="0"/>
        <v>LU000535.001</v>
      </c>
      <c r="J123" s="10" t="str">
        <f ca="1">IFERROR(__xludf.DUMMYFUNCTION("VLOOKUP(I123, IMPORTRANGE(""https://docs.google.com/spreadsheets/d/1yDAaXNsi4Mr5FtRQL4tbmSdIzhx6_m4wkOD7IG-k_eo/edit#gid=0"", ""Maths!M:N""), 2, FALSE)"),"State the law of power with negative exponent for whole numbers.")</f>
        <v>State the law of power with negative exponent for whole numbers.</v>
      </c>
      <c r="K123" s="10" t="str">
        <f t="shared" si="1"/>
        <v>LU000535.002</v>
      </c>
      <c r="L123" s="10" t="str">
        <f ca="1">IFERROR(__xludf.DUMMYFUNCTION("VLOOKUP(K123, IMPORTRANGE(""https://docs.google.com/spreadsheets/d/1yDAaXNsi4Mr5FtRQL4tbmSdIzhx6_m4wkOD7IG-k_eo/edit#gid=0"", ""Maths!M:N""), 2, FALSE)"),"Describe how the law of power with negative exponent for whole numbers convert a power with a negative exponent into its reciprocal with a positive exponent")</f>
        <v>Describe how the law of power with negative exponent for whole numbers convert a power with a negative exponent into its reciprocal with a positive exponent</v>
      </c>
      <c r="M123" s="10" t="str">
        <f t="shared" si="2"/>
        <v>LU000535.003</v>
      </c>
      <c r="N123" s="10" t="str">
        <f ca="1">IFERROR(__xludf.DUMMYFUNCTION("VLOOKUP(M123, IMPORTRANGE(""https://docs.google.com/spreadsheets/d/1yDAaXNsi4Mr5FtRQL4tbmSdIzhx6_m4wkOD7IG-k_eo/edit#gid=0"", ""Maths!M:N""), 2, FALSE)"),"Apply the law of power with a negative exponent to simplify expressions involving whole number.")</f>
        <v>Apply the law of power with a negative exponent to simplify expressions involving whole number.</v>
      </c>
      <c r="O123" s="10" t="str">
        <f t="shared" si="3"/>
        <v>LU000535.004</v>
      </c>
      <c r="P123" s="10" t="str">
        <f ca="1">IFERROR(__xludf.DUMMYFUNCTION("VLOOKUP(O123, IMPORTRANGE(""https://docs.google.com/spreadsheets/d/1yDAaXNsi4Mr5FtRQL4tbmSdIzhx6_m4wkOD7IG-k_eo/edit#gid=0"", ""Maths!M:N""), 2, FALSE)"),"Deduce the law of power with a negative exponent for whole numbers.")</f>
        <v>Deduce the law of power with a negative exponent for whole numbers.</v>
      </c>
      <c r="Q123" s="10" t="str">
        <f t="shared" si="4"/>
        <v>LU000535.005</v>
      </c>
      <c r="R123" s="10" t="str">
        <f ca="1">IFERROR(__xludf.DUMMYFUNCTION("VLOOKUP(Q123, IMPORTRANGE(""https://docs.google.com/spreadsheets/d/1yDAaXNsi4Mr5FtRQL4tbmSdIzhx6_m4wkOD7IG-k_eo/edit#gid=0"", ""Maths!M:N""), 2, FALSE)"),"#N/A")</f>
        <v>#N/A</v>
      </c>
      <c r="S123" s="10" t="str">
        <f t="shared" si="5"/>
        <v>LU000535.006</v>
      </c>
      <c r="T123" s="10" t="str">
        <f ca="1">IFERROR(__xludf.DUMMYFUNCTION("VLOOKUP(S123, IMPORTRANGE(""https://docs.google.com/spreadsheets/d/1yDAaXNsi4Mr5FtRQL4tbmSdIzhx6_m4wkOD7IG-k_eo/edit#gid=0"", ""Maths!M:N""), 2, FALSE)"),"Design a set of practice problems that require applying the law of power with a negative exponent for whole numbers to simplify and solve.")</f>
        <v>Design a set of practice problems that require applying the law of power with a negative exponent for whole numbers to simplify and solve.</v>
      </c>
      <c r="U123" s="52">
        <f ca="1">IFERROR(__xludf.DUMMYFUNCTION("ArrayFormula(VLOOKUP(G123, IMPORTRANGE(""https://docs.google.com/spreadsheets/d/1p7R4vtkWt5VOBim4ltsDG9KTzSjrtKXsMtQGXPHyND0/edit#gid=795171502"", ""'Filter 30_05_2024'!A1:M2000""), {2, 3, 4, 5,6,7,8,9,10,11,12,13}, 0))"),4)</f>
        <v>4</v>
      </c>
      <c r="V123" s="52">
        <f ca="1">IFERROR(__xludf.DUMMYFUNCTION("""COMPUTED_VALUE"""),6)</f>
        <v>6</v>
      </c>
      <c r="W123" s="52">
        <f ca="1">IFERROR(__xludf.DUMMYFUNCTION("""COMPUTED_VALUE"""),2)</f>
        <v>2</v>
      </c>
      <c r="X123" s="52">
        <f ca="1">IFERROR(__xludf.DUMMYFUNCTION("""COMPUTED_VALUE"""),12)</f>
        <v>12</v>
      </c>
      <c r="Y123" s="52">
        <f ca="1">IFERROR(__xludf.DUMMYFUNCTION("""COMPUTED_VALUE"""),4)</f>
        <v>4</v>
      </c>
      <c r="Z123" s="53">
        <f ca="1">IFERROR(__xludf.DUMMYFUNCTION("""COMPUTED_VALUE"""),3)</f>
        <v>3</v>
      </c>
      <c r="AA123" s="53">
        <f ca="1">IFERROR(__xludf.DUMMYFUNCTION("""COMPUTED_VALUE"""),1)</f>
        <v>1</v>
      </c>
      <c r="AB123" s="53">
        <f ca="1">IFERROR(__xludf.DUMMYFUNCTION("""COMPUTED_VALUE"""),8)</f>
        <v>8</v>
      </c>
      <c r="AC123" s="53"/>
      <c r="AD123" s="53"/>
      <c r="AE123" s="53"/>
      <c r="AF123" s="53"/>
      <c r="AG123" s="8" t="str">
        <f ca="1">IFERROR(__xludf.DUMMYFUNCTION("ArrayFormula(VLOOKUP(G123, IMPORTRANGE(""https://docs.google.com/spreadsheets/d/1Co934fvtviyaRiMsrIlT05Jaq7iiYq07aLvRr35KA48/edit?gid=173865642#gid=173865642"", ""'G8_Maths_Pri_LU'!G2:V2000""), {3, 4, 5, 6, 7, 8, 9, 10, 11, 12, 13, 14, 15, 16}, 0))"),"LU000517")</f>
        <v>LU000517</v>
      </c>
      <c r="AH123" s="8" t="str">
        <f ca="1">IFERROR(__xludf.DUMMYFUNCTION("""COMPUTED_VALUE"""),"Definition of exponent of a number")</f>
        <v>Definition of exponent of a number</v>
      </c>
      <c r="AI123" s="8" t="str">
        <f ca="1">IFERROR(__xludf.DUMMYFUNCTION("""COMPUTED_VALUE"""),"LU000518")</f>
        <v>LU000518</v>
      </c>
      <c r="AJ123" s="8" t="str">
        <f ca="1">IFERROR(__xludf.DUMMYFUNCTION("""COMPUTED_VALUE"""),"Definition of base of a number")</f>
        <v>Definition of base of a number</v>
      </c>
      <c r="AK123" s="8"/>
      <c r="AL123" s="8"/>
      <c r="AM123" s="8"/>
      <c r="AN123" s="8"/>
      <c r="AO123" s="8"/>
      <c r="AP123" s="8"/>
      <c r="AQ123" s="8"/>
      <c r="AR123" s="8"/>
      <c r="AS123" s="8"/>
      <c r="AT123" s="8"/>
      <c r="AU123" s="8"/>
      <c r="AV123" s="8"/>
      <c r="AW123" s="8"/>
      <c r="AX123" s="8"/>
      <c r="AY123" s="8"/>
      <c r="AZ123" s="8"/>
      <c r="BA123" s="8"/>
      <c r="BB123" s="8"/>
      <c r="BC123" s="8"/>
      <c r="BD123" s="8"/>
      <c r="BE123" s="8"/>
    </row>
    <row r="124" spans="1:57">
      <c r="A124" s="8" t="s">
        <v>247</v>
      </c>
      <c r="B124" s="8" t="s">
        <v>47</v>
      </c>
      <c r="C124" s="8" t="s">
        <v>731</v>
      </c>
      <c r="D124" s="8" t="s">
        <v>732</v>
      </c>
      <c r="E124" s="8" t="s">
        <v>631</v>
      </c>
      <c r="F124" s="54" t="s">
        <v>918</v>
      </c>
      <c r="G124" s="8" t="s">
        <v>920</v>
      </c>
      <c r="H124" s="8" t="str">
        <f ca="1">IFERROR(__xludf.DUMMYFUNCTION("VLOOKUP(G124, IMPORTRANGE(""https://docs.google.com/spreadsheets/d/14deopnvwcrKtEGCKuYXdUHJbeLDZlkiSSWWT0g7x2pM/edit#gid=999382323"", ""LU List Maths (Filter)!A:B""), 2, FALSE)"),"Law of power with negative exponent for integers")</f>
        <v>Law of power with negative exponent for integers</v>
      </c>
      <c r="I124" s="10" t="str">
        <f t="shared" si="0"/>
        <v>LU000536.001</v>
      </c>
      <c r="J124" s="10" t="str">
        <f ca="1">IFERROR(__xludf.DUMMYFUNCTION("VLOOKUP(I124, IMPORTRANGE(""https://docs.google.com/spreadsheets/d/1yDAaXNsi4Mr5FtRQL4tbmSdIzhx6_m4wkOD7IG-k_eo/edit#gid=0"", ""Maths!M:N""), 2, FALSE)"),"State the law of power with negative exponent for integers.")</f>
        <v>State the law of power with negative exponent for integers.</v>
      </c>
      <c r="K124" s="10" t="str">
        <f t="shared" si="1"/>
        <v>LU000536.002</v>
      </c>
      <c r="L124" s="10" t="str">
        <f ca="1">IFERROR(__xludf.DUMMYFUNCTION("VLOOKUP(K124, IMPORTRANGE(""https://docs.google.com/spreadsheets/d/1yDAaXNsi4Mr5FtRQL4tbmSdIzhx6_m4wkOD7IG-k_eo/edit#gid=0"", ""Maths!M:N""), 2, FALSE)"),"Describe how the law of power with negative exponent for integers convert a power with a negative exponent into its reciprocal with a positive exponent")</f>
        <v>Describe how the law of power with negative exponent for integers convert a power with a negative exponent into its reciprocal with a positive exponent</v>
      </c>
      <c r="M124" s="10" t="str">
        <f t="shared" si="2"/>
        <v>LU000536.003</v>
      </c>
      <c r="N124" s="10" t="str">
        <f ca="1">IFERROR(__xludf.DUMMYFUNCTION("VLOOKUP(M124, IMPORTRANGE(""https://docs.google.com/spreadsheets/d/1yDAaXNsi4Mr5FtRQL4tbmSdIzhx6_m4wkOD7IG-k_eo/edit#gid=0"", ""Maths!M:N""), 2, FALSE)"),"Apply the law of power with a negative exponent to simplify expressions involving integers.")</f>
        <v>Apply the law of power with a negative exponent to simplify expressions involving integers.</v>
      </c>
      <c r="O124" s="10" t="str">
        <f t="shared" si="3"/>
        <v>LU000536.004</v>
      </c>
      <c r="P124" s="10" t="str">
        <f ca="1">IFERROR(__xludf.DUMMYFUNCTION("VLOOKUP(O124, IMPORTRANGE(""https://docs.google.com/spreadsheets/d/1yDAaXNsi4Mr5FtRQL4tbmSdIzhx6_m4wkOD7IG-k_eo/edit#gid=0"", ""Maths!M:N""), 2, FALSE)"),"Deduce the law of power with a negative exponent for integers.")</f>
        <v>Deduce the law of power with a negative exponent for integers.</v>
      </c>
      <c r="Q124" s="10" t="str">
        <f t="shared" si="4"/>
        <v>LU000536.005</v>
      </c>
      <c r="R124" s="10" t="str">
        <f ca="1">IFERROR(__xludf.DUMMYFUNCTION("VLOOKUP(Q124, IMPORTRANGE(""https://docs.google.com/spreadsheets/d/1yDAaXNsi4Mr5FtRQL4tbmSdIzhx6_m4wkOD7IG-k_eo/edit#gid=0"", ""Maths!M:N""), 2, FALSE)"),"#N/A")</f>
        <v>#N/A</v>
      </c>
      <c r="S124" s="10" t="str">
        <f t="shared" si="5"/>
        <v>LU000536.006</v>
      </c>
      <c r="T124" s="10" t="str">
        <f ca="1">IFERROR(__xludf.DUMMYFUNCTION("VLOOKUP(S124, IMPORTRANGE(""https://docs.google.com/spreadsheets/d/1yDAaXNsi4Mr5FtRQL4tbmSdIzhx6_m4wkOD7IG-k_eo/edit#gid=0"", ""Maths!M:N""), 2, FALSE)"),"Design a set of practice problems that require applying the law of power with a negative exponent for integers to simplify and solve.")</f>
        <v>Design a set of practice problems that require applying the law of power with a negative exponent for integers to simplify and solve.</v>
      </c>
      <c r="U124" s="52">
        <f ca="1">IFERROR(__xludf.DUMMYFUNCTION("ArrayFormula(VLOOKUP(G124, IMPORTRANGE(""https://docs.google.com/spreadsheets/d/1p7R4vtkWt5VOBim4ltsDG9KTzSjrtKXsMtQGXPHyND0/edit#gid=795171502"", ""'Filter 30_05_2024'!A1:M2000""), {2, 3, 4, 5,6,7,8,9,10,11,12,13}, 0))"),4)</f>
        <v>4</v>
      </c>
      <c r="V124" s="52">
        <f ca="1">IFERROR(__xludf.DUMMYFUNCTION("""COMPUTED_VALUE"""),6)</f>
        <v>6</v>
      </c>
      <c r="W124" s="52">
        <f ca="1">IFERROR(__xludf.DUMMYFUNCTION("""COMPUTED_VALUE"""),2)</f>
        <v>2</v>
      </c>
      <c r="X124" s="52">
        <f ca="1">IFERROR(__xludf.DUMMYFUNCTION("""COMPUTED_VALUE"""),12)</f>
        <v>12</v>
      </c>
      <c r="Y124" s="52">
        <f ca="1">IFERROR(__xludf.DUMMYFUNCTION("""COMPUTED_VALUE"""),4)</f>
        <v>4</v>
      </c>
      <c r="Z124" s="53">
        <f ca="1">IFERROR(__xludf.DUMMYFUNCTION("""COMPUTED_VALUE"""),3)</f>
        <v>3</v>
      </c>
      <c r="AA124" s="53">
        <f ca="1">IFERROR(__xludf.DUMMYFUNCTION("""COMPUTED_VALUE"""),1)</f>
        <v>1</v>
      </c>
      <c r="AB124" s="53">
        <f ca="1">IFERROR(__xludf.DUMMYFUNCTION("""COMPUTED_VALUE"""),8)</f>
        <v>8</v>
      </c>
      <c r="AC124" s="53"/>
      <c r="AD124" s="53"/>
      <c r="AE124" s="53"/>
      <c r="AF124" s="53"/>
      <c r="AG124" s="8" t="str">
        <f ca="1">IFERROR(__xludf.DUMMYFUNCTION("ArrayFormula(VLOOKUP(G124, IMPORTRANGE(""https://docs.google.com/spreadsheets/d/1Co934fvtviyaRiMsrIlT05Jaq7iiYq07aLvRr35KA48/edit?gid=173865642#gid=173865642"", ""'G8_Maths_Pri_LU'!G2:V2000""), {3, 4, 5, 6, 7, 8, 9, 10, 11, 12, 13, 14, 15, 16}, 0))"),"LU000535")</f>
        <v>LU000535</v>
      </c>
      <c r="AH124" s="8" t="str">
        <f ca="1">IFERROR(__xludf.DUMMYFUNCTION("""COMPUTED_VALUE"""),"Law of power with negative exponent for whole numbers")</f>
        <v>Law of power with negative exponent for whole numbers</v>
      </c>
      <c r="AI124" s="8" t="str">
        <f ca="1">IFERROR(__xludf.DUMMYFUNCTION("""COMPUTED_VALUE"""),"LU000517")</f>
        <v>LU000517</v>
      </c>
      <c r="AJ124" s="8" t="str">
        <f ca="1">IFERROR(__xludf.DUMMYFUNCTION("""COMPUTED_VALUE"""),"Definition of exponent of a number")</f>
        <v>Definition of exponent of a number</v>
      </c>
      <c r="AK124" s="8" t="str">
        <f ca="1">IFERROR(__xludf.DUMMYFUNCTION("""COMPUTED_VALUE"""),"LU000518")</f>
        <v>LU000518</v>
      </c>
      <c r="AL124" s="8" t="str">
        <f ca="1">IFERROR(__xludf.DUMMYFUNCTION("""COMPUTED_VALUE"""),"Definition of base of a number")</f>
        <v>Definition of base of a number</v>
      </c>
      <c r="AM124" s="8"/>
      <c r="AN124" s="8"/>
      <c r="AO124" s="8"/>
      <c r="AP124" s="8"/>
      <c r="AQ124" s="8"/>
      <c r="AR124" s="8"/>
      <c r="AS124" s="8"/>
      <c r="AT124" s="8"/>
      <c r="AU124" s="8"/>
      <c r="AV124" s="8"/>
      <c r="AW124" s="8"/>
      <c r="AX124" s="8"/>
      <c r="AY124" s="8"/>
      <c r="AZ124" s="8"/>
      <c r="BA124" s="8"/>
      <c r="BB124" s="8"/>
      <c r="BC124" s="8"/>
      <c r="BD124" s="8"/>
      <c r="BE124" s="8"/>
    </row>
    <row r="125" spans="1:57">
      <c r="A125" s="8" t="s">
        <v>247</v>
      </c>
      <c r="B125" s="8" t="s">
        <v>47</v>
      </c>
      <c r="C125" s="8" t="s">
        <v>731</v>
      </c>
      <c r="D125" s="8" t="s">
        <v>732</v>
      </c>
      <c r="E125" s="8" t="s">
        <v>631</v>
      </c>
      <c r="F125" s="54" t="s">
        <v>918</v>
      </c>
      <c r="G125" s="8" t="s">
        <v>921</v>
      </c>
      <c r="H125" s="8" t="str">
        <f ca="1">IFERROR(__xludf.DUMMYFUNCTION("VLOOKUP(G125, IMPORTRANGE(""https://docs.google.com/spreadsheets/d/14deopnvwcrKtEGCKuYXdUHJbeLDZlkiSSWWT0g7x2pM/edit#gid=999382323"", ""LU List Maths (Filter)!A:B""), 2, FALSE)"),"Multiplicative inverse of numbers in exponential form")</f>
        <v>Multiplicative inverse of numbers in exponential form</v>
      </c>
      <c r="I125" s="10" t="str">
        <f t="shared" si="0"/>
        <v>LU000736.001</v>
      </c>
      <c r="J125" s="10" t="str">
        <f ca="1">IFERROR(__xludf.DUMMYFUNCTION("VLOOKUP(I125, IMPORTRANGE(""https://docs.google.com/spreadsheets/d/1yDAaXNsi4Mr5FtRQL4tbmSdIzhx6_m4wkOD7IG-k_eo/edit#gid=0"", ""Maths!M:N""), 2, FALSE)"),"State the concept of multiplicative inverse of numbers in exponential form")</f>
        <v>State the concept of multiplicative inverse of numbers in exponential form</v>
      </c>
      <c r="K125" s="10" t="str">
        <f t="shared" si="1"/>
        <v>LU000736.002</v>
      </c>
      <c r="L125" s="10" t="str">
        <f ca="1">IFERROR(__xludf.DUMMYFUNCTION("VLOOKUP(K125, IMPORTRANGE(""https://docs.google.com/spreadsheets/d/1yDAaXNsi4Mr5FtRQL4tbmSdIzhx6_m4wkOD7IG-k_eo/edit#gid=0"", ""Maths!M:N""), 2, FALSE)"),"Understand the concept of a multiplicative inverse in the context of numbers expressed in exponential form")</f>
        <v>Understand the concept of a multiplicative inverse in the context of numbers expressed in exponential form</v>
      </c>
      <c r="M125" s="10" t="str">
        <f t="shared" si="2"/>
        <v>LU000736.003</v>
      </c>
      <c r="N125" s="10" t="str">
        <f ca="1">IFERROR(__xludf.DUMMYFUNCTION("VLOOKUP(M125, IMPORTRANGE(""https://docs.google.com/spreadsheets/d/1yDAaXNsi4Mr5FtRQL4tbmSdIzhx6_m4wkOD7IG-k_eo/edit#gid=0"", ""Maths!M:N""), 2, FALSE)"),"Apply knowledge of multiplicative inverses to find the multiplicative inverse of numbers represented in exponential form")</f>
        <v>Apply knowledge of multiplicative inverses to find the multiplicative inverse of numbers represented in exponential form</v>
      </c>
      <c r="O125" s="10" t="str">
        <f t="shared" si="3"/>
        <v>LU000736.004</v>
      </c>
      <c r="P125" s="10" t="str">
        <f ca="1">IFERROR(__xludf.DUMMYFUNCTION("VLOOKUP(O125, IMPORTRANGE(""https://docs.google.com/spreadsheets/d/1yDAaXNsi4Mr5FtRQL4tbmSdIzhx6_m4wkOD7IG-k_eo/edit#gid=0"", ""Maths!M:N""), 2, FALSE)"),"Analyze the properties of numbers in exponential form and their multiplicative inverses")</f>
        <v>Analyze the properties of numbers in exponential form and their multiplicative inverses</v>
      </c>
      <c r="Q125" s="10" t="str">
        <f t="shared" si="4"/>
        <v>LU000736.005</v>
      </c>
      <c r="R125" s="10" t="str">
        <f ca="1">IFERROR(__xludf.DUMMYFUNCTION("VLOOKUP(Q125, IMPORTRANGE(""https://docs.google.com/spreadsheets/d/1yDAaXNsi4Mr5FtRQL4tbmSdIzhx6_m4wkOD7IG-k_eo/edit#gid=0"", ""Maths!M:N""), 2, FALSE)"),"Evaluate the practical significance of determining multiplicative inverses for numbers represented in exponential form")</f>
        <v>Evaluate the practical significance of determining multiplicative inverses for numbers represented in exponential form</v>
      </c>
      <c r="S125" s="10" t="str">
        <f t="shared" si="5"/>
        <v>LU000736.006</v>
      </c>
      <c r="T125" s="10" t="str">
        <f ca="1">IFERROR(__xludf.DUMMYFUNCTION("VLOOKUP(S125, IMPORTRANGE(""https://docs.google.com/spreadsheets/d/1yDAaXNsi4Mr5FtRQL4tbmSdIzhx6_m4wkOD7IG-k_eo/edit#gid=0"", ""Maths!M:N""), 2, FALSE)"),"#N/A")</f>
        <v>#N/A</v>
      </c>
      <c r="U125" s="52">
        <f ca="1">IFERROR(__xludf.DUMMYFUNCTION("ArrayFormula(VLOOKUP(G125, IMPORTRANGE(""https://docs.google.com/spreadsheets/d/1p7R4vtkWt5VOBim4ltsDG9KTzSjrtKXsMtQGXPHyND0/edit#gid=795171502"", ""'Filter 30_05_2024'!A1:M2000""), {2, 3, 4, 5,6,7,8,9,10,11,12,13}, 0))"),4)</f>
        <v>4</v>
      </c>
      <c r="V125" s="52">
        <f ca="1">IFERROR(__xludf.DUMMYFUNCTION("""COMPUTED_VALUE"""),6)</f>
        <v>6</v>
      </c>
      <c r="W125" s="52">
        <f ca="1">IFERROR(__xludf.DUMMYFUNCTION("""COMPUTED_VALUE"""),2)</f>
        <v>2</v>
      </c>
      <c r="X125" s="52">
        <f ca="1">IFERROR(__xludf.DUMMYFUNCTION("""COMPUTED_VALUE"""),12)</f>
        <v>12</v>
      </c>
      <c r="Y125" s="52">
        <f ca="1">IFERROR(__xludf.DUMMYFUNCTION("""COMPUTED_VALUE"""),4)</f>
        <v>4</v>
      </c>
      <c r="Z125" s="53">
        <f ca="1">IFERROR(__xludf.DUMMYFUNCTION("""COMPUTED_VALUE"""),3)</f>
        <v>3</v>
      </c>
      <c r="AA125" s="53">
        <f ca="1">IFERROR(__xludf.DUMMYFUNCTION("""COMPUTED_VALUE"""),1)</f>
        <v>1</v>
      </c>
      <c r="AB125" s="53">
        <f ca="1">IFERROR(__xludf.DUMMYFUNCTION("""COMPUTED_VALUE"""),8)</f>
        <v>8</v>
      </c>
      <c r="AC125" s="53"/>
      <c r="AD125" s="53"/>
      <c r="AE125" s="53"/>
      <c r="AF125" s="53"/>
      <c r="AG125" s="8" t="str">
        <f ca="1">IFERROR(__xludf.DUMMYFUNCTION("ArrayFormula(VLOOKUP(G125, IMPORTRANGE(""https://docs.google.com/spreadsheets/d/1Co934fvtviyaRiMsrIlT05Jaq7iiYq07aLvRr35KA48/edit?gid=173865642#gid=173865642"", ""'G8_Maths_Pri_LU'!G2:V2000""), {3, 4, 5, 6, 7, 8, 9, 10, 11, 12, 13, 14, 15, 16}, 0))"),"LU000536")</f>
        <v>LU000536</v>
      </c>
      <c r="AH125" s="8" t="str">
        <f ca="1">IFERROR(__xludf.DUMMYFUNCTION("""COMPUTED_VALUE"""),"Law of power with negative exponent for integers")</f>
        <v>Law of power with negative exponent for integers</v>
      </c>
      <c r="AI125" s="8" t="str">
        <f ca="1">IFERROR(__xludf.DUMMYFUNCTION("""COMPUTED_VALUE"""),"LU000519")</f>
        <v>LU000519</v>
      </c>
      <c r="AJ125" s="8" t="str">
        <f ca="1">IFERROR(__xludf.DUMMYFUNCTION("""COMPUTED_VALUE"""),"Write whole numbers in exponential form")</f>
        <v>Write whole numbers in exponential form</v>
      </c>
      <c r="AK125" s="8" t="str">
        <f ca="1">IFERROR(__xludf.DUMMYFUNCTION("""COMPUTED_VALUE"""),"LU000517")</f>
        <v>LU000517</v>
      </c>
      <c r="AL125" s="8" t="str">
        <f ca="1">IFERROR(__xludf.DUMMYFUNCTION("""COMPUTED_VALUE"""),"Definition of exponent of a number")</f>
        <v>Definition of exponent of a number</v>
      </c>
      <c r="AM125" s="8" t="str">
        <f ca="1">IFERROR(__xludf.DUMMYFUNCTION("""COMPUTED_VALUE"""),"LU000518")</f>
        <v>LU000518</v>
      </c>
      <c r="AN125" s="8" t="str">
        <f ca="1">IFERROR(__xludf.DUMMYFUNCTION("""COMPUTED_VALUE"""),"Definition of base of a number")</f>
        <v>Definition of base of a number</v>
      </c>
      <c r="AO125" s="8"/>
      <c r="AP125" s="8"/>
      <c r="AQ125" s="8"/>
      <c r="AR125" s="8"/>
      <c r="AS125" s="8"/>
      <c r="AT125" s="8"/>
      <c r="AU125" s="8"/>
      <c r="AV125" s="8"/>
      <c r="AW125" s="8"/>
      <c r="AX125" s="8"/>
      <c r="AY125" s="8"/>
      <c r="AZ125" s="8"/>
      <c r="BA125" s="8"/>
      <c r="BB125" s="8"/>
      <c r="BC125" s="8"/>
      <c r="BD125" s="8"/>
      <c r="BE125" s="8"/>
    </row>
    <row r="126" spans="1:57">
      <c r="A126" s="8" t="s">
        <v>247</v>
      </c>
      <c r="B126" s="8" t="s">
        <v>47</v>
      </c>
      <c r="C126" s="8" t="s">
        <v>731</v>
      </c>
      <c r="D126" s="8" t="s">
        <v>732</v>
      </c>
      <c r="E126" s="8" t="s">
        <v>631</v>
      </c>
      <c r="F126" s="54" t="s">
        <v>922</v>
      </c>
      <c r="G126" s="8" t="s">
        <v>923</v>
      </c>
      <c r="H126" s="8" t="str">
        <f ca="1">IFERROR(__xludf.DUMMYFUNCTION("VLOOKUP(G126, IMPORTRANGE(""https://docs.google.com/spreadsheets/d/14deopnvwcrKtEGCKuYXdUHJbeLDZlkiSSWWT0g7x2pM/edit#gid=999382323"", ""LU List Maths (Filter)!A:B""), 2, FALSE)"),"Application of multiple laws of exponent (exponent is integer)")</f>
        <v>Application of multiple laws of exponent (exponent is integer)</v>
      </c>
      <c r="I126" s="10" t="str">
        <f t="shared" si="0"/>
        <v>LU000928.001</v>
      </c>
      <c r="J126" s="10" t="str">
        <f ca="1">IFERROR(__xludf.DUMMYFUNCTION("VLOOKUP(I126, IMPORTRANGE(""https://docs.google.com/spreadsheets/d/1yDAaXNsi4Mr5FtRQL4tbmSdIzhx6_m4wkOD7IG-k_eo/edit#gid=0"", ""Maths!M:N""), 2, FALSE)"),"#N/A")</f>
        <v>#N/A</v>
      </c>
      <c r="K126" s="10" t="str">
        <f t="shared" si="1"/>
        <v>LU000928.002</v>
      </c>
      <c r="L126" s="10" t="str">
        <f ca="1">IFERROR(__xludf.DUMMYFUNCTION("VLOOKUP(K126, IMPORTRANGE(""https://docs.google.com/spreadsheets/d/1yDAaXNsi4Mr5FtRQL4tbmSdIzhx6_m4wkOD7IG-k_eo/edit#gid=0"", ""Maths!M:N""), 2, FALSE)"),"Explain the use of multiple laws of exponents with different/same bases and integral exponent.")</f>
        <v>Explain the use of multiple laws of exponents with different/same bases and integral exponent.</v>
      </c>
      <c r="M126" s="10" t="str">
        <f t="shared" si="2"/>
        <v>LU000928.003</v>
      </c>
      <c r="N126" s="10" t="str">
        <f ca="1">IFERROR(__xludf.DUMMYFUNCTION("VLOOKUP(M126, IMPORTRANGE(""https://docs.google.com/spreadsheets/d/1yDAaXNsi4Mr5FtRQL4tbmSdIzhx6_m4wkOD7IG-k_eo/edit#gid=0"", ""Maths!M:N""), 2, FALSE)"),"Apply the different laws of exponents to solve numerical problems involving expressions with different/same bases and integral exponent.")</f>
        <v>Apply the different laws of exponents to solve numerical problems involving expressions with different/same bases and integral exponent.</v>
      </c>
      <c r="O126" s="10" t="str">
        <f t="shared" si="3"/>
        <v>LU000928.004</v>
      </c>
      <c r="P126" s="10" t="str">
        <f ca="1">IFERROR(__xludf.DUMMYFUNCTION("VLOOKUP(O126, IMPORTRANGE(""https://docs.google.com/spreadsheets/d/1yDAaXNsi4Mr5FtRQL4tbmSdIzhx6_m4wkOD7IG-k_eo/edit#gid=0"", ""Maths!M:N""), 2, FALSE)"),"Analyze expressions involving integral exponents to identify the application of specific exponent laws.")</f>
        <v>Analyze expressions involving integral exponents to identify the application of specific exponent laws.</v>
      </c>
      <c r="Q126" s="10" t="str">
        <f t="shared" si="4"/>
        <v>LU000928.005</v>
      </c>
      <c r="R126" s="10" t="str">
        <f ca="1">IFERROR(__xludf.DUMMYFUNCTION("VLOOKUP(Q126, IMPORTRANGE(""https://docs.google.com/spreadsheets/d/1yDAaXNsi4Mr5FtRQL4tbmSdIzhx6_m4wkOD7IG-k_eo/edit#gid=0"", ""Maths!M:N""), 2, FALSE)"),"Evaluate the effectiveness of using the laws of exponents with integral exponent in solving real-world mathematical problems.")</f>
        <v>Evaluate the effectiveness of using the laws of exponents with integral exponent in solving real-world mathematical problems.</v>
      </c>
      <c r="S126" s="10" t="str">
        <f t="shared" si="5"/>
        <v>LU000928.006</v>
      </c>
      <c r="T126" s="10" t="str">
        <f ca="1">IFERROR(__xludf.DUMMYFUNCTION("VLOOKUP(S126, IMPORTRANGE(""https://docs.google.com/spreadsheets/d/1yDAaXNsi4Mr5FtRQL4tbmSdIzhx6_m4wkOD7IG-k_eo/edit#gid=0"", ""Maths!M:N""), 2, FALSE)"),"#N/A")</f>
        <v>#N/A</v>
      </c>
      <c r="U126" s="52">
        <f ca="1">IFERROR(__xludf.DUMMYFUNCTION("ArrayFormula(VLOOKUP(G126, IMPORTRANGE(""https://docs.google.com/spreadsheets/d/1p7R4vtkWt5VOBim4ltsDG9KTzSjrtKXsMtQGXPHyND0/edit#gid=795171502"", ""'Filter 30_05_2024'!A1:M2000""), {2, 3, 4, 5,6,7,8,9,10,11,12,13}, 0))"),4)</f>
        <v>4</v>
      </c>
      <c r="V126" s="52">
        <f ca="1">IFERROR(__xludf.DUMMYFUNCTION("""COMPUTED_VALUE"""),6)</f>
        <v>6</v>
      </c>
      <c r="W126" s="52">
        <f ca="1">IFERROR(__xludf.DUMMYFUNCTION("""COMPUTED_VALUE"""),2)</f>
        <v>2</v>
      </c>
      <c r="X126" s="52">
        <f ca="1">IFERROR(__xludf.DUMMYFUNCTION("""COMPUTED_VALUE"""),12)</f>
        <v>12</v>
      </c>
      <c r="Y126" s="52">
        <f ca="1">IFERROR(__xludf.DUMMYFUNCTION("""COMPUTED_VALUE"""),4)</f>
        <v>4</v>
      </c>
      <c r="Z126" s="53">
        <f ca="1">IFERROR(__xludf.DUMMYFUNCTION("""COMPUTED_VALUE"""),3)</f>
        <v>3</v>
      </c>
      <c r="AA126" s="53">
        <f ca="1">IFERROR(__xludf.DUMMYFUNCTION("""COMPUTED_VALUE"""),1)</f>
        <v>1</v>
      </c>
      <c r="AB126" s="53">
        <f ca="1">IFERROR(__xludf.DUMMYFUNCTION("""COMPUTED_VALUE"""),8)</f>
        <v>8</v>
      </c>
      <c r="AC126" s="53"/>
      <c r="AD126" s="53"/>
      <c r="AE126" s="53"/>
      <c r="AF126" s="53"/>
      <c r="AG126" s="8" t="str">
        <f ca="1">IFERROR(__xludf.DUMMYFUNCTION("ArrayFormula(VLOOKUP(G126, IMPORTRANGE(""https://docs.google.com/spreadsheets/d/1Co934fvtviyaRiMsrIlT05Jaq7iiYq07aLvRr35KA48/edit?gid=173865642#gid=173865642"", ""'G8_Maths_Pri_LU'!G2:V2000""), {3, 4, 5, 6, 7, 8, 9, 10, 11, 12, 13, 14, 15, 16}, 0))"),"LU000536")</f>
        <v>LU000536</v>
      </c>
      <c r="AH126" s="8" t="str">
        <f ca="1">IFERROR(__xludf.DUMMYFUNCTION("""COMPUTED_VALUE"""),"Law of power with negative exponent for integers")</f>
        <v>Law of power with negative exponent for integers</v>
      </c>
      <c r="AI126" s="8" t="str">
        <f ca="1">IFERROR(__xludf.DUMMYFUNCTION("""COMPUTED_VALUE"""),"LU000524")</f>
        <v>LU000524</v>
      </c>
      <c r="AJ126" s="8" t="str">
        <f ca="1">IFERROR(__xludf.DUMMYFUNCTION("""COMPUTED_VALUE"""),"Law of quotient of power with the same base for integers")</f>
        <v>Law of quotient of power with the same base for integers</v>
      </c>
      <c r="AK126" s="8" t="str">
        <f ca="1">IFERROR(__xludf.DUMMYFUNCTION("""COMPUTED_VALUE"""),"LU000527")</f>
        <v>LU000527</v>
      </c>
      <c r="AL126" s="8" t="str">
        <f ca="1">IFERROR(__xludf.DUMMYFUNCTION("""COMPUTED_VALUE"""),"Law of power of a power for integers")</f>
        <v>Law of power of a power for integers</v>
      </c>
      <c r="AM126" s="8" t="str">
        <f ca="1">IFERROR(__xludf.DUMMYFUNCTION("""COMPUTED_VALUE"""),"LU000530")</f>
        <v>LU000530</v>
      </c>
      <c r="AN126" s="8" t="str">
        <f ca="1">IFERROR(__xludf.DUMMYFUNCTION("""COMPUTED_VALUE"""),"Law of product of power with the same exponent for integers")</f>
        <v>Law of product of power with the same exponent for integers</v>
      </c>
      <c r="AO126" s="8" t="str">
        <f ca="1">IFERROR(__xludf.DUMMYFUNCTION("""COMPUTED_VALUE"""),"LU000533")</f>
        <v>LU000533</v>
      </c>
      <c r="AP126" s="8" t="str">
        <f ca="1">IFERROR(__xludf.DUMMYFUNCTION("""COMPUTED_VALUE"""),"Law of quotient of power with the same exponent for integers")</f>
        <v>Law of quotient of power with the same exponent for integers</v>
      </c>
      <c r="AQ126" s="8" t="str">
        <f ca="1">IFERROR(__xludf.DUMMYFUNCTION("""COMPUTED_VALUE"""),"LU000536")</f>
        <v>LU000536</v>
      </c>
      <c r="AR126" s="8" t="str">
        <f ca="1">IFERROR(__xludf.DUMMYFUNCTION("""COMPUTED_VALUE"""),"Law of power with negative exponent for integers")</f>
        <v>Law of power with negative exponent for integers</v>
      </c>
      <c r="AS126" s="8" t="str">
        <f ca="1">IFERROR(__xludf.DUMMYFUNCTION("""COMPUTED_VALUE"""),"LU000539")</f>
        <v>LU000539</v>
      </c>
      <c r="AT126" s="8" t="str">
        <f ca="1">IFERROR(__xludf.DUMMYFUNCTION("""COMPUTED_VALUE"""),"Law of zero power for integers")</f>
        <v>Law of zero power for integers</v>
      </c>
      <c r="AU126" s="8"/>
      <c r="AV126" s="8"/>
      <c r="AW126" s="8"/>
      <c r="AX126" s="8"/>
      <c r="AY126" s="8"/>
      <c r="AZ126" s="8"/>
      <c r="BA126" s="8"/>
      <c r="BB126" s="8"/>
      <c r="BC126" s="8"/>
      <c r="BD126" s="8"/>
      <c r="BE126" s="8"/>
    </row>
    <row r="127" spans="1:57">
      <c r="A127" s="8" t="s">
        <v>247</v>
      </c>
      <c r="B127" s="9" t="s">
        <v>47</v>
      </c>
      <c r="C127" s="9" t="s">
        <v>731</v>
      </c>
      <c r="D127" s="9" t="s">
        <v>732</v>
      </c>
      <c r="E127" s="9" t="s">
        <v>631</v>
      </c>
      <c r="F127" s="58" t="s">
        <v>922</v>
      </c>
      <c r="G127" s="9" t="s">
        <v>924</v>
      </c>
      <c r="H127" s="9" t="str">
        <f ca="1">IFERROR(__xludf.DUMMYFUNCTION("VLOOKUP(G127, IMPORTRANGE(""https://docs.google.com/spreadsheets/d/14deopnvwcrKtEGCKuYXdUHJbeLDZlkiSSWWT0g7x2pM/edit#gid=999382323"", ""LU List Maths (Filter)!A:B""), 2, FALSE)"),"Application of multiple laws of exponent (exponent is rational number)")</f>
        <v>Application of multiple laws of exponent (exponent is rational number)</v>
      </c>
      <c r="I127" s="18" t="str">
        <f t="shared" si="0"/>
        <v>LU000929.001</v>
      </c>
      <c r="J127" s="18" t="str">
        <f ca="1">IFERROR(__xludf.DUMMYFUNCTION("VLOOKUP(I127, IMPORTRANGE(""https://docs.google.com/spreadsheets/d/1yDAaXNsi4Mr5FtRQL4tbmSdIzhx6_m4wkOD7IG-k_eo/edit#gid=0"", ""Maths!M:N""), 2, FALSE)"),"#N/A")</f>
        <v>#N/A</v>
      </c>
      <c r="K127" s="18" t="str">
        <f t="shared" si="1"/>
        <v>LU000929.002</v>
      </c>
      <c r="L127" s="18" t="str">
        <f ca="1">IFERROR(__xludf.DUMMYFUNCTION("VLOOKUP(K127, IMPORTRANGE(""https://docs.google.com/spreadsheets/d/1yDAaXNsi4Mr5FtRQL4tbmSdIzhx6_m4wkOD7IG-k_eo/edit#gid=0"", ""Maths!M:N""), 2, FALSE)"),"Explain the use of multiple laws of exponents with different/same bases and rational number exponent.")</f>
        <v>Explain the use of multiple laws of exponents with different/same bases and rational number exponent.</v>
      </c>
      <c r="M127" s="18" t="str">
        <f t="shared" si="2"/>
        <v>LU000929.003</v>
      </c>
      <c r="N127" s="18" t="str">
        <f ca="1">IFERROR(__xludf.DUMMYFUNCTION("VLOOKUP(M127, IMPORTRANGE(""https://docs.google.com/spreadsheets/d/1yDAaXNsi4Mr5FtRQL4tbmSdIzhx6_m4wkOD7IG-k_eo/edit#gid=0"", ""Maths!M:N""), 2, FALSE)"),"Apply the different laws of exponents to solve numerical problems involving expressions with different/same bases and rational number exponent.")</f>
        <v>Apply the different laws of exponents to solve numerical problems involving expressions with different/same bases and rational number exponent.</v>
      </c>
      <c r="O127" s="18" t="str">
        <f t="shared" si="3"/>
        <v>LU000929.004</v>
      </c>
      <c r="P127" s="18" t="str">
        <f ca="1">IFERROR(__xludf.DUMMYFUNCTION("VLOOKUP(O127, IMPORTRANGE(""https://docs.google.com/spreadsheets/d/1yDAaXNsi4Mr5FtRQL4tbmSdIzhx6_m4wkOD7IG-k_eo/edit#gid=0"", ""Maths!M:N""), 2, FALSE)"),"Analyze expressions involving rational number exponents to identify the application of specific exponent laws.")</f>
        <v>Analyze expressions involving rational number exponents to identify the application of specific exponent laws.</v>
      </c>
      <c r="Q127" s="18" t="str">
        <f t="shared" si="4"/>
        <v>LU000929.005</v>
      </c>
      <c r="R127" s="18" t="str">
        <f ca="1">IFERROR(__xludf.DUMMYFUNCTION("VLOOKUP(Q127, IMPORTRANGE(""https://docs.google.com/spreadsheets/d/1yDAaXNsi4Mr5FtRQL4tbmSdIzhx6_m4wkOD7IG-k_eo/edit#gid=0"", ""Maths!M:N""), 2, FALSE)"),"Evaluate the effectiveness of using the laws of exponents with rational number exponent in solving real-world mathematical problems.")</f>
        <v>Evaluate the effectiveness of using the laws of exponents with rational number exponent in solving real-world mathematical problems.</v>
      </c>
      <c r="S127" s="18" t="str">
        <f t="shared" si="5"/>
        <v>LU000929.006</v>
      </c>
      <c r="T127" s="18" t="str">
        <f ca="1">IFERROR(__xludf.DUMMYFUNCTION("VLOOKUP(S127, IMPORTRANGE(""https://docs.google.com/spreadsheets/d/1yDAaXNsi4Mr5FtRQL4tbmSdIzhx6_m4wkOD7IG-k_eo/edit#gid=0"", ""Maths!M:N""), 2, FALSE)"),"#N/A")</f>
        <v>#N/A</v>
      </c>
      <c r="U127" s="52">
        <f ca="1">IFERROR(__xludf.DUMMYFUNCTION("ArrayFormula(VLOOKUP(G127, IMPORTRANGE(""https://docs.google.com/spreadsheets/d/1p7R4vtkWt5VOBim4ltsDG9KTzSjrtKXsMtQGXPHyND0/edit#gid=795171502"", ""'Filter 30_05_2024'!A1:M2000""), {2, 3, 4, 5,6,7,8,9,10,11,12,13}, 0))"),4)</f>
        <v>4</v>
      </c>
      <c r="V127" s="52">
        <f ca="1">IFERROR(__xludf.DUMMYFUNCTION("""COMPUTED_VALUE"""),6)</f>
        <v>6</v>
      </c>
      <c r="W127" s="52">
        <f ca="1">IFERROR(__xludf.DUMMYFUNCTION("""COMPUTED_VALUE"""),2)</f>
        <v>2</v>
      </c>
      <c r="X127" s="52">
        <f ca="1">IFERROR(__xludf.DUMMYFUNCTION("""COMPUTED_VALUE"""),12)</f>
        <v>12</v>
      </c>
      <c r="Y127" s="52">
        <f ca="1">IFERROR(__xludf.DUMMYFUNCTION("""COMPUTED_VALUE"""),5)</f>
        <v>5</v>
      </c>
      <c r="Z127" s="61">
        <f ca="1">IFERROR(__xludf.DUMMYFUNCTION("""COMPUTED_VALUE"""),3)</f>
        <v>3</v>
      </c>
      <c r="AA127" s="61">
        <f ca="1">IFERROR(__xludf.DUMMYFUNCTION("""COMPUTED_VALUE"""),1)</f>
        <v>1</v>
      </c>
      <c r="AB127" s="61">
        <f ca="1">IFERROR(__xludf.DUMMYFUNCTION("""COMPUTED_VALUE"""),9)</f>
        <v>9</v>
      </c>
      <c r="AC127" s="61"/>
      <c r="AD127" s="61"/>
      <c r="AE127" s="61"/>
      <c r="AF127" s="61"/>
      <c r="AG127" s="8" t="str">
        <f ca="1">IFERROR(__xludf.DUMMYFUNCTION("ArrayFormula(VLOOKUP(G127, IMPORTRANGE(""https://docs.google.com/spreadsheets/d/1Co934fvtviyaRiMsrIlT05Jaq7iiYq07aLvRr35KA48/edit?gid=173865642#gid=173865642"", ""'G8_Maths_Pri_LU'!G2:V2000""), {3, 4, 5, 6, 7, 8, 9, 10, 11, 12, 13, 14, 15, 16}, 0))"),"LU000928")</f>
        <v>LU000928</v>
      </c>
      <c r="AH127" s="9" t="str">
        <f ca="1">IFERROR(__xludf.DUMMYFUNCTION("""COMPUTED_VALUE"""),"Application of multiple laws of exponent (exponent is integer)")</f>
        <v>Application of multiple laws of exponent (exponent is integer)</v>
      </c>
      <c r="AI127" s="9" t="str">
        <f ca="1">IFERROR(__xludf.DUMMYFUNCTION("""COMPUTED_VALUE"""),"LU000525")</f>
        <v>LU000525</v>
      </c>
      <c r="AJ127" s="9" t="str">
        <f ca="1">IFERROR(__xludf.DUMMYFUNCTION("""COMPUTED_VALUE"""),"Law of quotient of power with the same base for rational numbers")</f>
        <v>Law of quotient of power with the same base for rational numbers</v>
      </c>
      <c r="AK127" s="9" t="str">
        <f ca="1">IFERROR(__xludf.DUMMYFUNCTION("""COMPUTED_VALUE"""),"LU000528")</f>
        <v>LU000528</v>
      </c>
      <c r="AL127" s="9" t="str">
        <f ca="1">IFERROR(__xludf.DUMMYFUNCTION("""COMPUTED_VALUE"""),"Law of power of a power for rational numbers")</f>
        <v>Law of power of a power for rational numbers</v>
      </c>
      <c r="AM127" s="9" t="str">
        <f ca="1">IFERROR(__xludf.DUMMYFUNCTION("""COMPUTED_VALUE"""),"LU000531")</f>
        <v>LU000531</v>
      </c>
      <c r="AN127" s="9" t="str">
        <f ca="1">IFERROR(__xludf.DUMMYFUNCTION("""COMPUTED_VALUE"""),"Law of product of power with the same exponent for rational numbers")</f>
        <v>Law of product of power with the same exponent for rational numbers</v>
      </c>
      <c r="AO127" s="9" t="str">
        <f ca="1">IFERROR(__xludf.DUMMYFUNCTION("""COMPUTED_VALUE"""),"LU000534")</f>
        <v>LU000534</v>
      </c>
      <c r="AP127" s="9" t="str">
        <f ca="1">IFERROR(__xludf.DUMMYFUNCTION("""COMPUTED_VALUE"""),"Law of quotient of power with the same exponent for rational numbers")</f>
        <v>Law of quotient of power with the same exponent for rational numbers</v>
      </c>
      <c r="AQ127" s="9" t="str">
        <f ca="1">IFERROR(__xludf.DUMMYFUNCTION("""COMPUTED_VALUE"""),"LU000537")</f>
        <v>LU000537</v>
      </c>
      <c r="AR127" s="9" t="str">
        <f ca="1">IFERROR(__xludf.DUMMYFUNCTION("""COMPUTED_VALUE"""),"Law of power with negative exponent for rational numbers")</f>
        <v>Law of power with negative exponent for rational numbers</v>
      </c>
      <c r="AS127" s="9" t="str">
        <f ca="1">IFERROR(__xludf.DUMMYFUNCTION("""COMPUTED_VALUE"""),"LU000540")</f>
        <v>LU000540</v>
      </c>
      <c r="AT127" s="9" t="str">
        <f ca="1">IFERROR(__xludf.DUMMYFUNCTION("""COMPUTED_VALUE"""),"Law of zero power for rational numbers")</f>
        <v>Law of zero power for rational numbers</v>
      </c>
      <c r="AU127" s="9"/>
      <c r="AV127" s="9"/>
      <c r="AW127" s="9"/>
      <c r="AX127" s="9"/>
      <c r="AY127" s="9"/>
      <c r="AZ127" s="9"/>
      <c r="BA127" s="9"/>
      <c r="BB127" s="9"/>
      <c r="BC127" s="9"/>
      <c r="BD127" s="9"/>
      <c r="BE127" s="9"/>
    </row>
    <row r="128" spans="1:57">
      <c r="A128" s="8" t="s">
        <v>247</v>
      </c>
      <c r="B128" s="8" t="s">
        <v>47</v>
      </c>
      <c r="C128" s="8" t="s">
        <v>731</v>
      </c>
      <c r="D128" s="8" t="s">
        <v>732</v>
      </c>
      <c r="E128" s="8" t="s">
        <v>631</v>
      </c>
      <c r="F128" s="54" t="s">
        <v>925</v>
      </c>
      <c r="G128" s="8" t="s">
        <v>926</v>
      </c>
      <c r="H128" s="8" t="str">
        <f ca="1">IFERROR(__xludf.DUMMYFUNCTION("VLOOKUP(G128, IMPORTRANGE(""https://docs.google.com/spreadsheets/d/14deopnvwcrKtEGCKuYXdUHJbeLDZlkiSSWWT0g7x2pM/edit#gid=999382323"", ""LU List Maths (Filter)!A:B""), 2, FALSE)"),"Conversion of decimal number into standard form")</f>
        <v>Conversion of decimal number into standard form</v>
      </c>
      <c r="I128" s="10" t="str">
        <f t="shared" si="0"/>
        <v>LU000543.001</v>
      </c>
      <c r="J128" s="10" t="str">
        <f ca="1">IFERROR(__xludf.DUMMYFUNCTION("VLOOKUP(I128, IMPORTRANGE(""https://docs.google.com/spreadsheets/d/1yDAaXNsi4Mr5FtRQL4tbmSdIzhx6_m4wkOD7IG-k_eo/edit#gid=0"", ""Maths!M:N""), 2, FALSE)"),"State the definition of standard form and its purpose in representing decimal numbers")</f>
        <v>State the definition of standard form and its purpose in representing decimal numbers</v>
      </c>
      <c r="K128" s="10" t="str">
        <f t="shared" si="1"/>
        <v>LU000543.002</v>
      </c>
      <c r="L128" s="10" t="str">
        <f ca="1">IFERROR(__xludf.DUMMYFUNCTION("VLOOKUP(K128, IMPORTRANGE(""https://docs.google.com/spreadsheets/d/1yDAaXNsi4Mr5FtRQL4tbmSdIzhx6_m4wkOD7IG-k_eo/edit#gid=0"", ""Maths!M:N""), 2, FALSE)"),"Explain the process of converting decimal numbers into standard form.")</f>
        <v>Explain the process of converting decimal numbers into standard form.</v>
      </c>
      <c r="M128" s="10" t="str">
        <f t="shared" si="2"/>
        <v>LU000543.003</v>
      </c>
      <c r="N128" s="10" t="str">
        <f ca="1">IFERROR(__xludf.DUMMYFUNCTION("VLOOKUP(M128, IMPORTRANGE(""https://docs.google.com/spreadsheets/d/1yDAaXNsi4Mr5FtRQL4tbmSdIzhx6_m4wkOD7IG-k_eo/edit#gid=0"", ""Maths!M:N""), 2, FALSE)"),"Apply the procedure for converting decimal numbers into standard form to given decimal values.")</f>
        <v>Apply the procedure for converting decimal numbers into standard form to given decimal values.</v>
      </c>
      <c r="O128" s="10" t="str">
        <f t="shared" si="3"/>
        <v>LU000543.004</v>
      </c>
      <c r="P128" s="10" t="str">
        <f ca="1">IFERROR(__xludf.DUMMYFUNCTION("VLOOKUP(O128, IMPORTRANGE(""https://docs.google.com/spreadsheets/d/1yDAaXNsi4Mr5FtRQL4tbmSdIzhx6_m4wkOD7IG-k_eo/edit#gid=0"", ""Maths!M:N""), 2, FALSE)"),"Analyse decimal numbers to determine the appropriate coefficient and power of 10 when converting them into standard form.")</f>
        <v>Analyse decimal numbers to determine the appropriate coefficient and power of 10 when converting them into standard form.</v>
      </c>
      <c r="Q128" s="10" t="str">
        <f t="shared" si="4"/>
        <v>LU000543.005</v>
      </c>
      <c r="R128" s="10" t="str">
        <f ca="1">IFERROR(__xludf.DUMMYFUNCTION("VLOOKUP(Q128, IMPORTRANGE(""https://docs.google.com/spreadsheets/d/1yDAaXNsi4Mr5FtRQL4tbmSdIzhx6_m4wkOD7IG-k_eo/edit#gid=0"", ""Maths!M:N""), 2, FALSE)"),"Evaluate the importance of converting decimal numbers into standard form for scientific notation and precise representation.")</f>
        <v>Evaluate the importance of converting decimal numbers into standard form for scientific notation and precise representation.</v>
      </c>
      <c r="S128" s="10" t="str">
        <f t="shared" si="5"/>
        <v>LU000543.006</v>
      </c>
      <c r="T128" s="10" t="str">
        <f ca="1">IFERROR(__xludf.DUMMYFUNCTION("VLOOKUP(S128, IMPORTRANGE(""https://docs.google.com/spreadsheets/d/1yDAaXNsi4Mr5FtRQL4tbmSdIzhx6_m4wkOD7IG-k_eo/edit#gid=0"", ""Maths!M:N""), 2, FALSE)"),"Design scenarios that requires to convert real-world decimal measurements or data into standard form, emphasising practical application.")</f>
        <v>Design scenarios that requires to convert real-world decimal measurements or data into standard form, emphasising practical application.</v>
      </c>
      <c r="U128" s="52">
        <f ca="1">IFERROR(__xludf.DUMMYFUNCTION("ArrayFormula(VLOOKUP(G128, IMPORTRANGE(""https://docs.google.com/spreadsheets/d/1p7R4vtkWt5VOBim4ltsDG9KTzSjrtKXsMtQGXPHyND0/edit#gid=795171502"", ""'Filter 30_05_2024'!A1:M2000""), {2, 3, 4, 5,6,7,8,9,10,11,12,13}, 0))"),4)</f>
        <v>4</v>
      </c>
      <c r="V128" s="52">
        <f ca="1">IFERROR(__xludf.DUMMYFUNCTION("""COMPUTED_VALUE"""),6)</f>
        <v>6</v>
      </c>
      <c r="W128" s="52">
        <f ca="1">IFERROR(__xludf.DUMMYFUNCTION("""COMPUTED_VALUE"""),2)</f>
        <v>2</v>
      </c>
      <c r="X128" s="52">
        <f ca="1">IFERROR(__xludf.DUMMYFUNCTION("""COMPUTED_VALUE"""),12)</f>
        <v>12</v>
      </c>
      <c r="Y128" s="52">
        <f ca="1">IFERROR(__xludf.DUMMYFUNCTION("""COMPUTED_VALUE"""),4)</f>
        <v>4</v>
      </c>
      <c r="Z128" s="53">
        <f ca="1">IFERROR(__xludf.DUMMYFUNCTION("""COMPUTED_VALUE"""),3)</f>
        <v>3</v>
      </c>
      <c r="AA128" s="53">
        <f ca="1">IFERROR(__xludf.DUMMYFUNCTION("""COMPUTED_VALUE"""),1)</f>
        <v>1</v>
      </c>
      <c r="AB128" s="53">
        <f ca="1">IFERROR(__xludf.DUMMYFUNCTION("""COMPUTED_VALUE"""),8)</f>
        <v>8</v>
      </c>
      <c r="AC128" s="53"/>
      <c r="AD128" s="53"/>
      <c r="AE128" s="53"/>
      <c r="AF128" s="53"/>
      <c r="AG128" s="8" t="str">
        <f ca="1">IFERROR(__xludf.DUMMYFUNCTION("ArrayFormula(VLOOKUP(G128, IMPORTRANGE(""https://docs.google.com/spreadsheets/d/1Co934fvtviyaRiMsrIlT05Jaq7iiYq07aLvRr35KA48/edit?gid=173865642#gid=173865642"", ""'G8_Maths_Pri_LU'!G2:V2000""), {3, 4, 5, 6, 7, 8, 9, 10, 11, 12, 13, 14, 15, 16}, 0))"),"LU000544")</f>
        <v>LU000544</v>
      </c>
      <c r="AH128" s="8" t="str">
        <f ca="1">IFERROR(__xludf.DUMMYFUNCTION("""COMPUTED_VALUE"""),"Conversion of large numbers into standard form")</f>
        <v>Conversion of large numbers into standard form</v>
      </c>
      <c r="AI128" s="8" t="str">
        <f ca="1">IFERROR(__xludf.DUMMYFUNCTION("""COMPUTED_VALUE"""),"LU000542")</f>
        <v>LU000542</v>
      </c>
      <c r="AJ128" s="8" t="str">
        <f ca="1">IFERROR(__xludf.DUMMYFUNCTION("""COMPUTED_VALUE"""),"Definition of standard form of a number")</f>
        <v>Definition of standard form of a number</v>
      </c>
      <c r="AK128" s="8" t="str">
        <f ca="1">IFERROR(__xludf.DUMMYFUNCTION("""COMPUTED_VALUE"""),"LU000517")</f>
        <v>LU000517</v>
      </c>
      <c r="AL128" s="8" t="str">
        <f ca="1">IFERROR(__xludf.DUMMYFUNCTION("""COMPUTED_VALUE"""),"Definition of exponent of a number")</f>
        <v>Definition of exponent of a number</v>
      </c>
      <c r="AM128" s="8" t="str">
        <f ca="1">IFERROR(__xludf.DUMMYFUNCTION("""COMPUTED_VALUE"""),"LU000293")</f>
        <v>LU000293</v>
      </c>
      <c r="AN128" s="8" t="str">
        <f ca="1">IFERROR(__xludf.DUMMYFUNCTION("""COMPUTED_VALUE"""),"Place value system in decimal numbers")</f>
        <v>Place value system in decimal numbers</v>
      </c>
      <c r="AO128" s="8"/>
      <c r="AP128" s="8"/>
      <c r="AQ128" s="8"/>
      <c r="AR128" s="8"/>
      <c r="AS128" s="8"/>
      <c r="AT128" s="8"/>
      <c r="AU128" s="8"/>
      <c r="AV128" s="8"/>
      <c r="AW128" s="8"/>
      <c r="AX128" s="8"/>
      <c r="AY128" s="8"/>
      <c r="AZ128" s="8"/>
      <c r="BA128" s="8"/>
      <c r="BB128" s="8"/>
      <c r="BC128" s="8"/>
      <c r="BD128" s="8"/>
      <c r="BE128" s="8"/>
    </row>
    <row r="129" spans="1:57">
      <c r="A129" s="8" t="s">
        <v>247</v>
      </c>
      <c r="B129" s="8" t="s">
        <v>47</v>
      </c>
      <c r="C129" s="8" t="s">
        <v>731</v>
      </c>
      <c r="D129" s="8" t="s">
        <v>732</v>
      </c>
      <c r="E129" s="8" t="s">
        <v>631</v>
      </c>
      <c r="F129" s="54" t="s">
        <v>925</v>
      </c>
      <c r="G129" s="8" t="s">
        <v>927</v>
      </c>
      <c r="H129" s="8" t="str">
        <f ca="1">IFERROR(__xludf.DUMMYFUNCTION("VLOOKUP(G129, IMPORTRANGE(""https://docs.google.com/spreadsheets/d/14deopnvwcrKtEGCKuYXdUHJbeLDZlkiSSWWT0g7x2pM/edit#gid=999382323"", ""LU List Maths (Filter)!A:B""), 2, FALSE)"),"Conversion of small numbers into standard form")</f>
        <v>Conversion of small numbers into standard form</v>
      </c>
      <c r="I129" s="10" t="str">
        <f t="shared" si="0"/>
        <v>LU000545.001</v>
      </c>
      <c r="J129" s="10" t="str">
        <f ca="1">IFERROR(__xludf.DUMMYFUNCTION("VLOOKUP(I129, IMPORTRANGE(""https://docs.google.com/spreadsheets/d/1yDAaXNsi4Mr5FtRQL4tbmSdIzhx6_m4wkOD7IG-k_eo/edit#gid=0"", ""Maths!M:N""), 2, FALSE)"),"State the definition of standard form and its purpose in representing small numbers in a concise manner.")</f>
        <v>State the definition of standard form and its purpose in representing small numbers in a concise manner.</v>
      </c>
      <c r="K129" s="10" t="str">
        <f t="shared" si="1"/>
        <v>LU000545.002</v>
      </c>
      <c r="L129" s="10" t="str">
        <f ca="1">IFERROR(__xludf.DUMMYFUNCTION("VLOOKUP(K129, IMPORTRANGE(""https://docs.google.com/spreadsheets/d/1yDAaXNsi4Mr5FtRQL4tbmSdIzhx6_m4wkOD7IG-k_eo/edit#gid=0"", ""Maths!M:N""), 2, FALSE)"),"Explain the concept of converting small numbers into standard form, emphasising its role in expressing values across different scales.")</f>
        <v>Explain the concept of converting small numbers into standard form, emphasising its role in expressing values across different scales.</v>
      </c>
      <c r="M129" s="10" t="str">
        <f t="shared" si="2"/>
        <v>LU000545.003</v>
      </c>
      <c r="N129" s="10" t="str">
        <f ca="1">IFERROR(__xludf.DUMMYFUNCTION("VLOOKUP(M129, IMPORTRANGE(""https://docs.google.com/spreadsheets/d/1yDAaXNsi4Mr5FtRQL4tbmSdIzhx6_m4wkOD7IG-k_eo/edit#gid=0"", ""Maths!M:N""), 2, FALSE)"),"Apply the process of converting small numbers into standard form for various numerical values.")</f>
        <v>Apply the process of converting small numbers into standard form for various numerical values.</v>
      </c>
      <c r="O129" s="10" t="str">
        <f t="shared" si="3"/>
        <v>LU000545.004</v>
      </c>
      <c r="P129" s="10" t="str">
        <f ca="1">IFERROR(__xludf.DUMMYFUNCTION("VLOOKUP(O129, IMPORTRANGE(""https://docs.google.com/spreadsheets/d/1yDAaXNsi4Mr5FtRQL4tbmSdIzhx6_m4wkOD7IG-k_eo/edit#gid=0"", ""Maths!M:N""), 2, FALSE)"),"Analyse small numbers of different values to identify the appropriate coefficient and power of 10 when converting them into standard form.")</f>
        <v>Analyse small numbers of different values to identify the appropriate coefficient and power of 10 when converting them into standard form.</v>
      </c>
      <c r="Q129" s="10" t="str">
        <f t="shared" si="4"/>
        <v>LU000545.005</v>
      </c>
      <c r="R129" s="10" t="str">
        <f ca="1">IFERROR(__xludf.DUMMYFUNCTION("VLOOKUP(Q129, IMPORTRANGE(""https://docs.google.com/spreadsheets/d/1yDAaXNsi4Mr5FtRQL4tbmSdIzhx6_m4wkOD7IG-k_eo/edit#gid=0"", ""Maths!M:N""), 2, FALSE)"),"Evaluate the significance of converting small numbers into standard form for scientific notation, simplification and consistency in communication.")</f>
        <v>Evaluate the significance of converting small numbers into standard form for scientific notation, simplification and consistency in communication.</v>
      </c>
      <c r="S129" s="10" t="str">
        <f t="shared" si="5"/>
        <v>LU000545.006</v>
      </c>
      <c r="T129" s="10" t="str">
        <f ca="1">IFERROR(__xludf.DUMMYFUNCTION("VLOOKUP(S129, IMPORTRANGE(""https://docs.google.com/spreadsheets/d/1yDAaXNsi4Mr5FtRQL4tbmSdIzhx6_m4wkOD7IG-k_eo/edit#gid=0"", ""Maths!M:N""), 2, FALSE)"),"Design scenarios that require to convert real-world measurements or data given as small numbers into standard form, emphasising its practical application across different domains.")</f>
        <v>Design scenarios that require to convert real-world measurements or data given as small numbers into standard form, emphasising its practical application across different domains.</v>
      </c>
      <c r="U129" s="52">
        <f ca="1">IFERROR(__xludf.DUMMYFUNCTION("ArrayFormula(VLOOKUP(G129, IMPORTRANGE(""https://docs.google.com/spreadsheets/d/1p7R4vtkWt5VOBim4ltsDG9KTzSjrtKXsMtQGXPHyND0/edit#gid=795171502"", ""'Filter 30_05_2024'!A1:M2000""), {2, 3, 4, 5,6,7,8,9,10,11,12,13}, 0))"),3)</f>
        <v>3</v>
      </c>
      <c r="V129" s="52">
        <f ca="1">IFERROR(__xludf.DUMMYFUNCTION("""COMPUTED_VALUE"""),6)</f>
        <v>6</v>
      </c>
      <c r="W129" s="52">
        <f ca="1">IFERROR(__xludf.DUMMYFUNCTION("""COMPUTED_VALUE"""),2)</f>
        <v>2</v>
      </c>
      <c r="X129" s="52">
        <f ca="1">IFERROR(__xludf.DUMMYFUNCTION("""COMPUTED_VALUE"""),11)</f>
        <v>11</v>
      </c>
      <c r="Y129" s="52">
        <f ca="1">IFERROR(__xludf.DUMMYFUNCTION("""COMPUTED_VALUE"""),5)</f>
        <v>5</v>
      </c>
      <c r="Z129" s="53">
        <f ca="1">IFERROR(__xludf.DUMMYFUNCTION("""COMPUTED_VALUE"""),3)</f>
        <v>3</v>
      </c>
      <c r="AA129" s="53">
        <f ca="1">IFERROR(__xludf.DUMMYFUNCTION("""COMPUTED_VALUE"""),1)</f>
        <v>1</v>
      </c>
      <c r="AB129" s="53">
        <f ca="1">IFERROR(__xludf.DUMMYFUNCTION("""COMPUTED_VALUE"""),9)</f>
        <v>9</v>
      </c>
      <c r="AC129" s="53"/>
      <c r="AD129" s="53"/>
      <c r="AE129" s="53"/>
      <c r="AF129" s="53"/>
      <c r="AG129" s="8" t="str">
        <f ca="1">IFERROR(__xludf.DUMMYFUNCTION("ArrayFormula(VLOOKUP(G129, IMPORTRANGE(""https://docs.google.com/spreadsheets/d/1Co934fvtviyaRiMsrIlT05Jaq7iiYq07aLvRr35KA48/edit?gid=173865642#gid=173865642"", ""'G8_Maths_Pri_LU'!G2:V2000""), {3, 4, 5, 6, 7, 8, 9, 10, 11, 12, 13, 14, 15, 16}, 0))"),"LU000543")</f>
        <v>LU000543</v>
      </c>
      <c r="AH129" s="8" t="str">
        <f ca="1">IFERROR(__xludf.DUMMYFUNCTION("""COMPUTED_VALUE"""),"Conversion of decimal number into standard form")</f>
        <v>Conversion of decimal number into standard form</v>
      </c>
      <c r="AI129" s="8" t="str">
        <f ca="1">IFERROR(__xludf.DUMMYFUNCTION("""COMPUTED_VALUE"""),"LU000544")</f>
        <v>LU000544</v>
      </c>
      <c r="AJ129" s="8" t="str">
        <f ca="1">IFERROR(__xludf.DUMMYFUNCTION("""COMPUTED_VALUE"""),"Conversion of large numbers into standard form")</f>
        <v>Conversion of large numbers into standard form</v>
      </c>
      <c r="AK129" s="8" t="str">
        <f ca="1">IFERROR(__xludf.DUMMYFUNCTION("""COMPUTED_VALUE"""),"LU000542")</f>
        <v>LU000542</v>
      </c>
      <c r="AL129" s="8" t="str">
        <f ca="1">IFERROR(__xludf.DUMMYFUNCTION("""COMPUTED_VALUE"""),"Definition of standard form of a number")</f>
        <v>Definition of standard form of a number</v>
      </c>
      <c r="AM129" s="8" t="str">
        <f ca="1">IFERROR(__xludf.DUMMYFUNCTION("""COMPUTED_VALUE"""),"LU000380")</f>
        <v>LU000380</v>
      </c>
      <c r="AN129" s="8" t="str">
        <f ca="1">IFERROR(__xludf.DUMMYFUNCTION("""COMPUTED_VALUE"""),"Division of a decimal number by multiples of 10")</f>
        <v>Division of a decimal number by multiples of 10</v>
      </c>
      <c r="AO129" s="8" t="str">
        <f ca="1">IFERROR(__xludf.DUMMYFUNCTION("""COMPUTED_VALUE"""),"LU000376")</f>
        <v>LU000376</v>
      </c>
      <c r="AP129" s="8" t="str">
        <f ca="1">IFERROR(__xludf.DUMMYFUNCTION("""COMPUTED_VALUE"""),"Multiplication of decimal number by multiples of 10")</f>
        <v>Multiplication of decimal number by multiples of 10</v>
      </c>
      <c r="AQ129" s="8" t="str">
        <f ca="1">IFERROR(__xludf.DUMMYFUNCTION("""COMPUTED_VALUE"""),"LU000543")</f>
        <v>LU000543</v>
      </c>
      <c r="AR129" s="8" t="str">
        <f ca="1">IFERROR(__xludf.DUMMYFUNCTION("""COMPUTED_VALUE"""),"Conversion of decimal number into standard form")</f>
        <v>Conversion of decimal number into standard form</v>
      </c>
      <c r="AS129" s="8"/>
      <c r="AT129" s="8"/>
      <c r="AU129" s="8"/>
      <c r="AV129" s="8"/>
      <c r="AW129" s="8"/>
      <c r="AX129" s="8"/>
      <c r="AY129" s="8"/>
      <c r="AZ129" s="8"/>
      <c r="BA129" s="8"/>
      <c r="BB129" s="8"/>
      <c r="BC129" s="8"/>
      <c r="BD129" s="8"/>
      <c r="BE129" s="8"/>
    </row>
    <row r="130" spans="1:57">
      <c r="A130" s="8" t="s">
        <v>247</v>
      </c>
      <c r="B130" s="8" t="s">
        <v>47</v>
      </c>
      <c r="C130" s="8" t="s">
        <v>731</v>
      </c>
      <c r="D130" s="8" t="s">
        <v>732</v>
      </c>
      <c r="E130" s="8" t="s">
        <v>631</v>
      </c>
      <c r="F130" s="54" t="s">
        <v>928</v>
      </c>
      <c r="G130" s="8" t="s">
        <v>929</v>
      </c>
      <c r="H130" s="8" t="str">
        <f ca="1">IFERROR(__xludf.DUMMYFUNCTION("VLOOKUP(G130, IMPORTRANGE(""https://docs.google.com/spreadsheets/d/14deopnvwcrKtEGCKuYXdUHJbeLDZlkiSSWWT0g7x2pM/edit#gid=999382323"", ""LU List Maths (Filter)!A:B""), 2, FALSE)"),"Comparison of very small number involving exponents")</f>
        <v>Comparison of very small number involving exponents</v>
      </c>
      <c r="I130" s="10" t="str">
        <f t="shared" si="0"/>
        <v>LU000744.001</v>
      </c>
      <c r="J130" s="10" t="str">
        <f ca="1">IFERROR(__xludf.DUMMYFUNCTION("VLOOKUP(I130, IMPORTRANGE(""https://docs.google.com/spreadsheets/d/1yDAaXNsi4Mr5FtRQL4tbmSdIzhx6_m4wkOD7IG-k_eo/edit#gid=0"", ""Maths!M:N""), 2, FALSE)"),"State the steps involved in comparison of very small number involving exponents")</f>
        <v>State the steps involved in comparison of very small number involving exponents</v>
      </c>
      <c r="K130" s="10" t="str">
        <f t="shared" si="1"/>
        <v>LU000744.002</v>
      </c>
      <c r="L130" s="10" t="str">
        <f ca="1">IFERROR(__xludf.DUMMYFUNCTION("VLOOKUP(K130, IMPORTRANGE(""https://docs.google.com/spreadsheets/d/1yDAaXNsi4Mr5FtRQL4tbmSdIzhx6_m4wkOD7IG-k_eo/edit#gid=0"", ""Maths!M:N""), 2, FALSE)"),"Understand the concept of using exponents to compare very small numbers")</f>
        <v>Understand the concept of using exponents to compare very small numbers</v>
      </c>
      <c r="M130" s="10" t="str">
        <f t="shared" si="2"/>
        <v>LU000744.003</v>
      </c>
      <c r="N130" s="10" t="str">
        <f ca="1">IFERROR(__xludf.DUMMYFUNCTION("VLOOKUP(M130, IMPORTRANGE(""https://docs.google.com/spreadsheets/d/1yDAaXNsi4Mr5FtRQL4tbmSdIzhx6_m4wkOD7IG-k_eo/edit#gid=0"", ""Maths!M:N""), 2, FALSE)"),"Apply knowledge of exponents to efficiently compare and order very small numbers")</f>
        <v>Apply knowledge of exponents to efficiently compare and order very small numbers</v>
      </c>
      <c r="O130" s="10" t="str">
        <f t="shared" si="3"/>
        <v>LU000744.004</v>
      </c>
      <c r="P130" s="10" t="str">
        <f ca="1">IFERROR(__xludf.DUMMYFUNCTION("VLOOKUP(O130, IMPORTRANGE(""https://docs.google.com/spreadsheets/d/1yDAaXNsi4Mr5FtRQL4tbmSdIzhx6_m4wkOD7IG-k_eo/edit#gid=0"", ""Maths!M:N""), 2, FALSE)"),"Compare very small numbers in standard form and analyse the relation between them.")</f>
        <v>Compare very small numbers in standard form and analyse the relation between them.</v>
      </c>
      <c r="Q130" s="10" t="str">
        <f t="shared" si="4"/>
        <v>LU000744.005</v>
      </c>
      <c r="R130" s="10" t="str">
        <f ca="1">IFERROR(__xludf.DUMMYFUNCTION("VLOOKUP(Q130, IMPORTRANGE(""https://docs.google.com/spreadsheets/d/1yDAaXNsi4Mr5FtRQL4tbmSdIzhx6_m4wkOD7IG-k_eo/edit#gid=0"", ""Maths!M:N""), 2, FALSE)"),"Evaluate the effectiveness of using exponents when comparing very small numbers, considering how this notation enhances precision")</f>
        <v>Evaluate the effectiveness of using exponents when comparing very small numbers, considering how this notation enhances precision</v>
      </c>
      <c r="S130" s="10" t="str">
        <f t="shared" si="5"/>
        <v>LU000744.006</v>
      </c>
      <c r="T130" s="10" t="str">
        <f ca="1">IFERROR(__xludf.DUMMYFUNCTION("VLOOKUP(S130, IMPORTRANGE(""https://docs.google.com/spreadsheets/d/1yDAaXNsi4Mr5FtRQL4tbmSdIzhx6_m4wkOD7IG-k_eo/edit#gid=0"", ""Maths!M:N""), 2, FALSE)"),"Create intricate mathematical problems or scenarios that involve the comparison of very small numbers using exponents")</f>
        <v>Create intricate mathematical problems or scenarios that involve the comparison of very small numbers using exponents</v>
      </c>
      <c r="U130" s="52">
        <f ca="1">IFERROR(__xludf.DUMMYFUNCTION("ArrayFormula(VLOOKUP(G130, IMPORTRANGE(""https://docs.google.com/spreadsheets/d/1p7R4vtkWt5VOBim4ltsDG9KTzSjrtKXsMtQGXPHyND0/edit#gid=795171502"", ""'Filter 30_05_2024'!A1:M2000""), {2, 3, 4, 5,6,7,8,9,10,11,12,13}, 0))"),4)</f>
        <v>4</v>
      </c>
      <c r="V130" s="52">
        <f ca="1">IFERROR(__xludf.DUMMYFUNCTION("""COMPUTED_VALUE"""),6)</f>
        <v>6</v>
      </c>
      <c r="W130" s="52">
        <f ca="1">IFERROR(__xludf.DUMMYFUNCTION("""COMPUTED_VALUE"""),2)</f>
        <v>2</v>
      </c>
      <c r="X130" s="52">
        <f ca="1">IFERROR(__xludf.DUMMYFUNCTION("""COMPUTED_VALUE"""),12)</f>
        <v>12</v>
      </c>
      <c r="Y130" s="52">
        <f ca="1">IFERROR(__xludf.DUMMYFUNCTION("""COMPUTED_VALUE"""),4)</f>
        <v>4</v>
      </c>
      <c r="Z130" s="53">
        <f ca="1">IFERROR(__xludf.DUMMYFUNCTION("""COMPUTED_VALUE"""),3)</f>
        <v>3</v>
      </c>
      <c r="AA130" s="53">
        <f ca="1">IFERROR(__xludf.DUMMYFUNCTION("""COMPUTED_VALUE"""),3)</f>
        <v>3</v>
      </c>
      <c r="AB130" s="53">
        <f ca="1">IFERROR(__xludf.DUMMYFUNCTION("""COMPUTED_VALUE"""),10)</f>
        <v>10</v>
      </c>
      <c r="AC130" s="53"/>
      <c r="AD130" s="53"/>
      <c r="AE130" s="53"/>
      <c r="AF130" s="53"/>
      <c r="AG130" s="8" t="str">
        <f ca="1">IFERROR(__xludf.DUMMYFUNCTION("ArrayFormula(VLOOKUP(G130, IMPORTRANGE(""https://docs.google.com/spreadsheets/d/1Co934fvtviyaRiMsrIlT05Jaq7iiYq07aLvRr35KA48/edit?gid=173865642#gid=173865642"", ""'G8_Maths_Pri_LU'!G2:V2000""), {3, 4, 5, 6, 7, 8, 9, 10, 11, 12, 13, 14, 15, 16}, 0))"),"LU000545")</f>
        <v>LU000545</v>
      </c>
      <c r="AH130" s="8" t="str">
        <f ca="1">IFERROR(__xludf.DUMMYFUNCTION("""COMPUTED_VALUE"""),"Conversion of small numbers into standard form")</f>
        <v>Conversion of small numbers into standard form</v>
      </c>
      <c r="AI130" s="8" t="str">
        <f ca="1">IFERROR(__xludf.DUMMYFUNCTION("""COMPUTED_VALUE"""),"LU000543")</f>
        <v>LU000543</v>
      </c>
      <c r="AJ130" s="8" t="str">
        <f ca="1">IFERROR(__xludf.DUMMYFUNCTION("""COMPUTED_VALUE"""),"Conversion of decimal number into standard form")</f>
        <v>Conversion of decimal number into standard form</v>
      </c>
      <c r="AK130" s="8" t="str">
        <f ca="1">IFERROR(__xludf.DUMMYFUNCTION("""COMPUTED_VALUE"""),"LU000517")</f>
        <v>LU000517</v>
      </c>
      <c r="AL130" s="8" t="str">
        <f ca="1">IFERROR(__xludf.DUMMYFUNCTION("""COMPUTED_VALUE"""),"Definition of exponent of a number")</f>
        <v>Definition of exponent of a number</v>
      </c>
      <c r="AM130" s="8" t="str">
        <f ca="1">IFERROR(__xludf.DUMMYFUNCTION("""COMPUTED_VALUE"""),"LU000545")</f>
        <v>LU000545</v>
      </c>
      <c r="AN130" s="8" t="str">
        <f ca="1">IFERROR(__xludf.DUMMYFUNCTION("""COMPUTED_VALUE"""),"Conversion of small numbers into standard form")</f>
        <v>Conversion of small numbers into standard form</v>
      </c>
      <c r="AO130" s="8" t="str">
        <f ca="1">IFERROR(__xludf.DUMMYFUNCTION("""COMPUTED_VALUE"""),"LU000525")</f>
        <v>LU000525</v>
      </c>
      <c r="AP130" s="8" t="str">
        <f ca="1">IFERROR(__xludf.DUMMYFUNCTION("""COMPUTED_VALUE"""),"Law of quotient of power with the same base for rational numbers")</f>
        <v>Law of quotient of power with the same base for rational numbers</v>
      </c>
      <c r="AQ130" s="8" t="str">
        <f ca="1">IFERROR(__xludf.DUMMYFUNCTION("""COMPUTED_VALUE"""),"LU000537")</f>
        <v>LU000537</v>
      </c>
      <c r="AR130" s="8" t="str">
        <f ca="1">IFERROR(__xludf.DUMMYFUNCTION("""COMPUTED_VALUE"""),"Law of power with negative exponent for rational numbers")</f>
        <v>Law of power with negative exponent for rational numbers</v>
      </c>
      <c r="AS130" s="8"/>
      <c r="AT130" s="8"/>
      <c r="AU130" s="8"/>
      <c r="AV130" s="8"/>
      <c r="AW130" s="8"/>
      <c r="AX130" s="8"/>
      <c r="AY130" s="8"/>
      <c r="AZ130" s="8"/>
      <c r="BA130" s="8"/>
      <c r="BB130" s="8"/>
      <c r="BC130" s="8"/>
      <c r="BD130" s="8"/>
      <c r="BE130" s="8"/>
    </row>
    <row r="131" spans="1:57">
      <c r="A131" s="8" t="s">
        <v>247</v>
      </c>
      <c r="B131" s="8" t="s">
        <v>47</v>
      </c>
      <c r="C131" s="8" t="s">
        <v>731</v>
      </c>
      <c r="D131" s="8" t="s">
        <v>732</v>
      </c>
      <c r="E131" s="8" t="s">
        <v>631</v>
      </c>
      <c r="F131" s="54" t="s">
        <v>928</v>
      </c>
      <c r="G131" s="8" t="s">
        <v>930</v>
      </c>
      <c r="H131" s="8" t="str">
        <f ca="1">IFERROR(__xludf.DUMMYFUNCTION("VLOOKUP(G131, IMPORTRANGE(""https://docs.google.com/spreadsheets/d/14deopnvwcrKtEGCKuYXdUHJbeLDZlkiSSWWT0g7x2pM/edit#gid=999382323"", ""LU List Maths (Filter)!A:B""), 2, FALSE)"),"Comparison of very large number involving exponents")</f>
        <v>Comparison of very large number involving exponents</v>
      </c>
      <c r="I131" s="10" t="str">
        <f t="shared" si="0"/>
        <v>LU000735.001</v>
      </c>
      <c r="J131" s="10" t="str">
        <f ca="1">IFERROR(__xludf.DUMMYFUNCTION("VLOOKUP(I131, IMPORTRANGE(""https://docs.google.com/spreadsheets/d/1yDAaXNsi4Mr5FtRQL4tbmSdIzhx6_m4wkOD7IG-k_eo/edit#gid=0"", ""Maths!M:N""), 2, FALSE)"),"State the steps involved in comparison of very large number involving exponents")</f>
        <v>State the steps involved in comparison of very large number involving exponents</v>
      </c>
      <c r="K131" s="10" t="str">
        <f t="shared" si="1"/>
        <v>LU000735.002</v>
      </c>
      <c r="L131" s="10" t="str">
        <f ca="1">IFERROR(__xludf.DUMMYFUNCTION("VLOOKUP(K131, IMPORTRANGE(""https://docs.google.com/spreadsheets/d/1yDAaXNsi4Mr5FtRQL4tbmSdIzhx6_m4wkOD7IG-k_eo/edit#gid=0"", ""Maths!M:N""), 2, FALSE)"),"Understand how exponents simplify the representation of very large numbers and enable efficient comparisons.")</f>
        <v>Understand how exponents simplify the representation of very large numbers and enable efficient comparisons.</v>
      </c>
      <c r="M131" s="10" t="str">
        <f t="shared" si="2"/>
        <v>LU000735.003</v>
      </c>
      <c r="N131" s="10" t="str">
        <f ca="1">IFERROR(__xludf.DUMMYFUNCTION("VLOOKUP(M131, IMPORTRANGE(""https://docs.google.com/spreadsheets/d/1yDAaXNsi4Mr5FtRQL4tbmSdIzhx6_m4wkOD7IG-k_eo/edit#gid=0"", ""Maths!M:N""), 2, FALSE)"),"Apply the concept of exponents to compare and rank very large numbers accurately")</f>
        <v>Apply the concept of exponents to compare and rank very large numbers accurately</v>
      </c>
      <c r="O131" s="10" t="str">
        <f t="shared" si="3"/>
        <v>LU000735.004</v>
      </c>
      <c r="P131" s="10" t="str">
        <f ca="1">IFERROR(__xludf.DUMMYFUNCTION("VLOOKUP(O131, IMPORTRANGE(""https://docs.google.com/spreadsheets/d/1yDAaXNsi4Mr5FtRQL4tbmSdIzhx6_m4wkOD7IG-k_eo/edit#gid=0"", ""Maths!M:N""), 2, FALSE)"),"Analyze the components of very large numbers with exponents to determine which is larger")</f>
        <v>Analyze the components of very large numbers with exponents to determine which is larger</v>
      </c>
      <c r="Q131" s="10" t="str">
        <f t="shared" si="4"/>
        <v>LU000735.005</v>
      </c>
      <c r="R131" s="10" t="str">
        <f ca="1">IFERROR(__xludf.DUMMYFUNCTION("VLOOKUP(Q131, IMPORTRANGE(""https://docs.google.com/spreadsheets/d/1yDAaXNsi4Mr5FtRQL4tbmSdIzhx6_m4wkOD7IG-k_eo/edit#gid=0"", ""Maths!M:N""), 2, FALSE)"),"Evaluate the effectiveness of using exponents for comparing very large numbers")</f>
        <v>Evaluate the effectiveness of using exponents for comparing very large numbers</v>
      </c>
      <c r="S131" s="10" t="str">
        <f t="shared" si="5"/>
        <v>LU000735.006</v>
      </c>
      <c r="T131" s="10" t="str">
        <f ca="1">IFERROR(__xludf.DUMMYFUNCTION("VLOOKUP(S131, IMPORTRANGE(""https://docs.google.com/spreadsheets/d/1yDAaXNsi4Mr5FtRQL4tbmSdIzhx6_m4wkOD7IG-k_eo/edit#gid=0"", ""Maths!M:N""), 2, FALSE)"),"Devise real-world scenarios where understanding exponents and comparing very large numbers are crucial for making informed decisions.")</f>
        <v>Devise real-world scenarios where understanding exponents and comparing very large numbers are crucial for making informed decisions.</v>
      </c>
      <c r="U131" s="52">
        <f ca="1">IFERROR(__xludf.DUMMYFUNCTION("ArrayFormula(VLOOKUP(G131, IMPORTRANGE(""https://docs.google.com/spreadsheets/d/1p7R4vtkWt5VOBim4ltsDG9KTzSjrtKXsMtQGXPHyND0/edit#gid=795171502"", ""'Filter 30_05_2024'!A1:M2000""), {2, 3, 4, 5,6,7,8,9,10,11,12,13}, 0))"),4)</f>
        <v>4</v>
      </c>
      <c r="V131" s="52">
        <f ca="1">IFERROR(__xludf.DUMMYFUNCTION("""COMPUTED_VALUE"""),2)</f>
        <v>2</v>
      </c>
      <c r="W131" s="52">
        <f ca="1">IFERROR(__xludf.DUMMYFUNCTION("""COMPUTED_VALUE"""),2)</f>
        <v>2</v>
      </c>
      <c r="X131" s="52">
        <f ca="1">IFERROR(__xludf.DUMMYFUNCTION("""COMPUTED_VALUE"""),8)</f>
        <v>8</v>
      </c>
      <c r="Y131" s="52">
        <f ca="1">IFERROR(__xludf.DUMMYFUNCTION("""COMPUTED_VALUE"""),4)</f>
        <v>4</v>
      </c>
      <c r="Z131" s="53">
        <f ca="1">IFERROR(__xludf.DUMMYFUNCTION("""COMPUTED_VALUE"""),5)</f>
        <v>5</v>
      </c>
      <c r="AA131" s="53">
        <f ca="1">IFERROR(__xludf.DUMMYFUNCTION("""COMPUTED_VALUE"""),1)</f>
        <v>1</v>
      </c>
      <c r="AB131" s="53">
        <f ca="1">IFERROR(__xludf.DUMMYFUNCTION("""COMPUTED_VALUE"""),10)</f>
        <v>10</v>
      </c>
      <c r="AC131" s="53"/>
      <c r="AD131" s="53"/>
      <c r="AE131" s="53"/>
      <c r="AF131" s="53"/>
      <c r="AG131" s="8" t="str">
        <f ca="1">IFERROR(__xludf.DUMMYFUNCTION("ArrayFormula(VLOOKUP(G131, IMPORTRANGE(""https://docs.google.com/spreadsheets/d/1Co934fvtviyaRiMsrIlT05Jaq7iiYq07aLvRr35KA48/edit?gid=173865642#gid=173865642"", ""'G8_Maths_Pri_LU'!G2:V2000""), {3, 4, 5, 6, 7, 8, 9, 10, 11, 12, 13, 14, 15, 16}, 0))"),"LU000544")</f>
        <v>LU000544</v>
      </c>
      <c r="AH131" s="8" t="str">
        <f ca="1">IFERROR(__xludf.DUMMYFUNCTION("""COMPUTED_VALUE"""),"Conversion of large numbers into standard form")</f>
        <v>Conversion of large numbers into standard form</v>
      </c>
      <c r="AI131" s="8" t="str">
        <f ca="1">IFERROR(__xludf.DUMMYFUNCTION("""COMPUTED_VALUE"""),"LU000542")</f>
        <v>LU000542</v>
      </c>
      <c r="AJ131" s="8" t="str">
        <f ca="1">IFERROR(__xludf.DUMMYFUNCTION("""COMPUTED_VALUE"""),"Definition of standard form of a number")</f>
        <v>Definition of standard form of a number</v>
      </c>
      <c r="AK131" s="8" t="str">
        <f ca="1">IFERROR(__xludf.DUMMYFUNCTION("""COMPUTED_VALUE"""),"LU000376")</f>
        <v>LU000376</v>
      </c>
      <c r="AL131" s="8" t="str">
        <f ca="1">IFERROR(__xludf.DUMMYFUNCTION("""COMPUTED_VALUE"""),"Multiplication of decimal number by multiples of 10")</f>
        <v>Multiplication of decimal number by multiples of 10</v>
      </c>
      <c r="AM131" s="8" t="str">
        <f ca="1">IFERROR(__xludf.DUMMYFUNCTION("""COMPUTED_VALUE"""),"LU000380")</f>
        <v>LU000380</v>
      </c>
      <c r="AN131" s="8" t="str">
        <f ca="1">IFERROR(__xludf.DUMMYFUNCTION("""COMPUTED_VALUE"""),"Division of a decimal number by multiples of 10")</f>
        <v>Division of a decimal number by multiples of 10</v>
      </c>
      <c r="AO131" s="8" t="str">
        <f ca="1">IFERROR(__xludf.DUMMYFUNCTION("""COMPUTED_VALUE"""),"LU000522")</f>
        <v>LU000522</v>
      </c>
      <c r="AP131" s="8" t="str">
        <f ca="1">IFERROR(__xludf.DUMMYFUNCTION("""COMPUTED_VALUE"""),"Law of product of power with the same base for rational numbers")</f>
        <v>Law of product of power with the same base for rational numbers</v>
      </c>
      <c r="AQ131" s="8"/>
      <c r="AR131" s="8"/>
      <c r="AS131" s="8"/>
      <c r="AT131" s="8"/>
      <c r="AU131" s="8"/>
      <c r="AV131" s="8"/>
      <c r="AW131" s="8"/>
      <c r="AX131" s="8"/>
      <c r="AY131" s="8"/>
      <c r="AZ131" s="8"/>
      <c r="BA131" s="8"/>
      <c r="BB131" s="8"/>
      <c r="BC131" s="8"/>
      <c r="BD131" s="8"/>
      <c r="BE131" s="8"/>
    </row>
    <row r="132" spans="1:57">
      <c r="A132" s="8" t="s">
        <v>247</v>
      </c>
      <c r="B132" s="8" t="s">
        <v>47</v>
      </c>
      <c r="C132" s="8" t="s">
        <v>731</v>
      </c>
      <c r="D132" s="8" t="s">
        <v>732</v>
      </c>
      <c r="E132" s="8" t="s">
        <v>631</v>
      </c>
      <c r="F132" s="54" t="s">
        <v>931</v>
      </c>
      <c r="G132" s="8" t="s">
        <v>932</v>
      </c>
      <c r="H132" s="8" t="str">
        <f ca="1">IFERROR(__xludf.DUMMYFUNCTION("VLOOKUP(G132, IMPORTRANGE(""https://docs.google.com/spreadsheets/d/14deopnvwcrKtEGCKuYXdUHJbeLDZlkiSSWWT0g7x2pM/edit#gid=999382323"", ""LU List Maths (Filter)!A:B""), 2, FALSE)"),"Perform addition of large numbers using exponents")</f>
        <v>Perform addition of large numbers using exponents</v>
      </c>
      <c r="I132" s="10" t="str">
        <f t="shared" si="0"/>
        <v>LU000740.001</v>
      </c>
      <c r="J132" s="10" t="str">
        <f ca="1">IFERROR(__xludf.DUMMYFUNCTION("VLOOKUP(I132, IMPORTRANGE(""https://docs.google.com/spreadsheets/d/1yDAaXNsi4Mr5FtRQL4tbmSdIzhx6_m4wkOD7IG-k_eo/edit#gid=0"", ""Maths!M:N""), 2, FALSE)"),"State the basic rules and principles of exponents, especially as they relate to addition of numbers.")</f>
        <v>State the basic rules and principles of exponents, especially as they relate to addition of numbers.</v>
      </c>
      <c r="K132" s="10" t="str">
        <f t="shared" si="1"/>
        <v>LU000740.002</v>
      </c>
      <c r="L132" s="10" t="str">
        <f ca="1">IFERROR(__xludf.DUMMYFUNCTION("VLOOKUP(K132, IMPORTRANGE(""https://docs.google.com/spreadsheets/d/1yDAaXNsi4Mr5FtRQL4tbmSdIzhx6_m4wkOD7IG-k_eo/edit#gid=0"", ""Maths!M:N""), 2, FALSE)"),"Describe the concept of adding large numbers expressed using exponents")</f>
        <v>Describe the concept of adding large numbers expressed using exponents</v>
      </c>
      <c r="M132" s="10" t="str">
        <f t="shared" si="2"/>
        <v>LU000740.003</v>
      </c>
      <c r="N132" s="10" t="str">
        <f ca="1">IFERROR(__xludf.DUMMYFUNCTION("VLOOKUP(M132, IMPORTRANGE(""https://docs.google.com/spreadsheets/d/1yDAaXNsi4Mr5FtRQL4tbmSdIzhx6_m4wkOD7IG-k_eo/edit#gid=0"", ""Maths!M:N""), 2, FALSE)"),"Apply the rules of exponents to perform addition accurately when dealing with large numbers represented using exponential notation.")</f>
        <v>Apply the rules of exponents to perform addition accurately when dealing with large numbers represented using exponential notation.</v>
      </c>
      <c r="O132" s="10" t="str">
        <f t="shared" si="3"/>
        <v>LU000740.004</v>
      </c>
      <c r="P132" s="10" t="str">
        <f ca="1">IFERROR(__xludf.DUMMYFUNCTION("VLOOKUP(O132, IMPORTRANGE(""https://docs.google.com/spreadsheets/d/1yDAaXNsi4Mr5FtRQL4tbmSdIzhx6_m4wkOD7IG-k_eo/edit#gid=0"", ""Maths!M:N""), 2, FALSE)"),"Evaluate strategies for adding numbers with exponents and determine the most efficient approach for a given problem.")</f>
        <v>Evaluate strategies for adding numbers with exponents and determine the most efficient approach for a given problem.</v>
      </c>
      <c r="Q132" s="10" t="str">
        <f t="shared" si="4"/>
        <v>LU000740.005</v>
      </c>
      <c r="R132" s="10" t="str">
        <f ca="1">IFERROR(__xludf.DUMMYFUNCTION("VLOOKUP(Q132, IMPORTRANGE(""https://docs.google.com/spreadsheets/d/1yDAaXNsi4Mr5FtRQL4tbmSdIzhx6_m4wkOD7IG-k_eo/edit#gid=0"", ""Maths!M:N""), 2, FALSE)"),"Evaluate the efficiency and effectiveness of using exponents when adding large numbers")</f>
        <v>Evaluate the efficiency and effectiveness of using exponents when adding large numbers</v>
      </c>
      <c r="S132" s="10" t="str">
        <f t="shared" si="5"/>
        <v>LU000740.006</v>
      </c>
      <c r="T132" s="10" t="str">
        <f ca="1">IFERROR(__xludf.DUMMYFUNCTION("VLOOKUP(S132, IMPORTRANGE(""https://docs.google.com/spreadsheets/d/1yDAaXNsi4Mr5FtRQL4tbmSdIzhx6_m4wkOD7IG-k_eo/edit#gid=0"", ""Maths!M:N""), 2, FALSE)"),"Create complex mathematical problems that require the addition of large numbers using exponents")</f>
        <v>Create complex mathematical problems that require the addition of large numbers using exponents</v>
      </c>
      <c r="U132" s="52">
        <f ca="1">IFERROR(__xludf.DUMMYFUNCTION("ArrayFormula(VLOOKUP(G132, IMPORTRANGE(""https://docs.google.com/spreadsheets/d/1p7R4vtkWt5VOBim4ltsDG9KTzSjrtKXsMtQGXPHyND0/edit#gid=795171502"", ""'Filter 30_05_2024'!A1:M2000""), {2, 3, 4, 5,6,7,8,9,10,11,12,13}, 0))"),5)</f>
        <v>5</v>
      </c>
      <c r="V132" s="52">
        <f ca="1">IFERROR(__xludf.DUMMYFUNCTION("""COMPUTED_VALUE"""),5)</f>
        <v>5</v>
      </c>
      <c r="W132" s="52">
        <f ca="1">IFERROR(__xludf.DUMMYFUNCTION("""COMPUTED_VALUE"""),2)</f>
        <v>2</v>
      </c>
      <c r="X132" s="52">
        <f ca="1">IFERROR(__xludf.DUMMYFUNCTION("""COMPUTED_VALUE"""),12)</f>
        <v>12</v>
      </c>
      <c r="Y132" s="52">
        <f ca="1">IFERROR(__xludf.DUMMYFUNCTION("""COMPUTED_VALUE"""),4)</f>
        <v>4</v>
      </c>
      <c r="Z132" s="53">
        <f ca="1">IFERROR(__xludf.DUMMYFUNCTION("""COMPUTED_VALUE"""),4)</f>
        <v>4</v>
      </c>
      <c r="AA132" s="53">
        <f ca="1">IFERROR(__xludf.DUMMYFUNCTION("""COMPUTED_VALUE"""),1)</f>
        <v>1</v>
      </c>
      <c r="AB132" s="53">
        <f ca="1">IFERROR(__xludf.DUMMYFUNCTION("""COMPUTED_VALUE"""),9)</f>
        <v>9</v>
      </c>
      <c r="AC132" s="53"/>
      <c r="AD132" s="53"/>
      <c r="AE132" s="53"/>
      <c r="AF132" s="53"/>
      <c r="AG132" s="8" t="str">
        <f ca="1">IFERROR(__xludf.DUMMYFUNCTION("ArrayFormula(VLOOKUP(G132, IMPORTRANGE(""https://docs.google.com/spreadsheets/d/1Co934fvtviyaRiMsrIlT05Jaq7iiYq07aLvRr35KA48/edit?gid=173865642#gid=173865642"", ""'G8_Maths_Pri_LU'!G2:V2000""), {3, 4, 5, 6, 7, 8, 9, 10, 11, 12, 13, 14, 15, 16}, 0))"),"LU000544")</f>
        <v>LU000544</v>
      </c>
      <c r="AH132" s="8" t="str">
        <f ca="1">IFERROR(__xludf.DUMMYFUNCTION("""COMPUTED_VALUE"""),"Conversion of large numbers into standard form")</f>
        <v>Conversion of large numbers into standard form</v>
      </c>
      <c r="AI132" s="8" t="str">
        <f ca="1">IFERROR(__xludf.DUMMYFUNCTION("""COMPUTED_VALUE"""),"LU000542")</f>
        <v>LU000542</v>
      </c>
      <c r="AJ132" s="8" t="str">
        <f ca="1">IFERROR(__xludf.DUMMYFUNCTION("""COMPUTED_VALUE"""),"Definition of standard form of a number")</f>
        <v>Definition of standard form of a number</v>
      </c>
      <c r="AK132" s="8" t="str">
        <f ca="1">IFERROR(__xludf.DUMMYFUNCTION("""COMPUTED_VALUE"""),"LU000302")</f>
        <v>LU000302</v>
      </c>
      <c r="AL132" s="8" t="str">
        <f ca="1">IFERROR(__xludf.DUMMYFUNCTION("""COMPUTED_VALUE"""),"Addition of decimal numbers")</f>
        <v>Addition of decimal numbers</v>
      </c>
      <c r="AM132" s="8"/>
      <c r="AN132" s="8"/>
      <c r="AO132" s="8"/>
      <c r="AP132" s="8"/>
      <c r="AQ132" s="8"/>
      <c r="AR132" s="8"/>
      <c r="AS132" s="8"/>
      <c r="AT132" s="8"/>
      <c r="AU132" s="8"/>
      <c r="AV132" s="8"/>
      <c r="AW132" s="8"/>
      <c r="AX132" s="8"/>
      <c r="AY132" s="8"/>
      <c r="AZ132" s="8"/>
      <c r="BA132" s="8"/>
      <c r="BB132" s="8"/>
      <c r="BC132" s="8"/>
      <c r="BD132" s="8"/>
      <c r="BE132" s="8"/>
    </row>
    <row r="133" spans="1:57">
      <c r="A133" s="8" t="s">
        <v>247</v>
      </c>
      <c r="B133" s="8" t="s">
        <v>47</v>
      </c>
      <c r="C133" s="8" t="s">
        <v>731</v>
      </c>
      <c r="D133" s="8" t="s">
        <v>732</v>
      </c>
      <c r="E133" s="8" t="s">
        <v>933</v>
      </c>
      <c r="F133" s="54" t="s">
        <v>934</v>
      </c>
      <c r="G133" s="8" t="s">
        <v>935</v>
      </c>
      <c r="H133" s="8" t="str">
        <f ca="1">IFERROR(__xludf.DUMMYFUNCTION("VLOOKUP(G133, IMPORTRANGE(""https://docs.google.com/spreadsheets/d/14deopnvwcrKtEGCKuYXdUHJbeLDZlkiSSWWT0g7x2pM/edit#gid=999382323"", ""LU List Maths (Filter)!A:B""), 2, FALSE)"),"Definition of direct proportion")</f>
        <v>Definition of direct proportion</v>
      </c>
      <c r="I133" s="10" t="str">
        <f t="shared" si="0"/>
        <v>LU000748.001</v>
      </c>
      <c r="J133" s="10" t="str">
        <f ca="1">IFERROR(__xludf.DUMMYFUNCTION("VLOOKUP(I133, IMPORTRANGE(""https://docs.google.com/spreadsheets/d/1yDAaXNsi4Mr5FtRQL4tbmSdIzhx6_m4wkOD7IG-k_eo/edit#gid=0"", ""Maths!M:N""), 2, FALSE)"),"Recall the definition of direct proportion.")</f>
        <v>Recall the definition of direct proportion.</v>
      </c>
      <c r="K133" s="10" t="str">
        <f t="shared" si="1"/>
        <v>LU000748.002</v>
      </c>
      <c r="L133" s="10" t="str">
        <f ca="1">IFERROR(__xludf.DUMMYFUNCTION("VLOOKUP(K133, IMPORTRANGE(""https://docs.google.com/spreadsheets/d/1yDAaXNsi4Mr5FtRQL4tbmSdIzhx6_m4wkOD7IG-k_eo/edit#gid=0"", ""Maths!M:N""), 2, FALSE)"),"Identify examples of direct proportion from real-life scenarios.")</f>
        <v>Identify examples of direct proportion from real-life scenarios.</v>
      </c>
      <c r="M133" s="10" t="str">
        <f t="shared" si="2"/>
        <v>LU000748.003</v>
      </c>
      <c r="N133" s="10" t="str">
        <f ca="1">IFERROR(__xludf.DUMMYFUNCTION("VLOOKUP(M133, IMPORTRANGE(""https://docs.google.com/spreadsheets/d/1yDAaXNsi4Mr5FtRQL4tbmSdIzhx6_m4wkOD7IG-k_eo/edit#gid=0"", ""Maths!M:N""), 2, FALSE)"),"Solve mathematical problems involving direct proportion.")</f>
        <v>Solve mathematical problems involving direct proportion.</v>
      </c>
      <c r="O133" s="10" t="str">
        <f t="shared" si="3"/>
        <v>LU000748.004</v>
      </c>
      <c r="P133" s="10" t="str">
        <f ca="1">IFERROR(__xludf.DUMMYFUNCTION("VLOOKUP(O133, IMPORTRANGE(""https://docs.google.com/spreadsheets/d/1yDAaXNsi4Mr5FtRQL4tbmSdIzhx6_m4wkOD7IG-k_eo/edit#gid=0"", ""Maths!M:N""), 2, FALSE)"),"Analyze data sets to determine if two variables are in direct proportion.")</f>
        <v>Analyze data sets to determine if two variables are in direct proportion.</v>
      </c>
      <c r="Q133" s="10" t="str">
        <f t="shared" si="4"/>
        <v>LU000748.005</v>
      </c>
      <c r="R133" s="10" t="str">
        <f ca="1">IFERROR(__xludf.DUMMYFUNCTION("VLOOKUP(Q133, IMPORTRANGE(""https://docs.google.com/spreadsheets/d/1yDAaXNsi4Mr5FtRQL4tbmSdIzhx6_m4wkOD7IG-k_eo/edit#gid=0"", ""Maths!M:N""), 2, FALSE)"),"Evaluate the validity of a given statement about direct proportion")</f>
        <v>Evaluate the validity of a given statement about direct proportion</v>
      </c>
      <c r="S133" s="10" t="str">
        <f t="shared" si="5"/>
        <v>LU000748.006</v>
      </c>
      <c r="T133" s="10" t="str">
        <f ca="1">IFERROR(__xludf.DUMMYFUNCTION("VLOOKUP(S133, IMPORTRANGE(""https://docs.google.com/spreadsheets/d/1yDAaXNsi4Mr5FtRQL4tbmSdIzhx6_m4wkOD7IG-k_eo/edit#gid=0"", ""Maths!M:N""), 2, FALSE)"),"Design visual representations or diagrams to illustrate direct proportion concepts.")</f>
        <v>Design visual representations or diagrams to illustrate direct proportion concepts.</v>
      </c>
      <c r="U133" s="52">
        <f ca="1">IFERROR(__xludf.DUMMYFUNCTION("ArrayFormula(VLOOKUP(G133, IMPORTRANGE(""https://docs.google.com/spreadsheets/d/1p7R4vtkWt5VOBim4ltsDG9KTzSjrtKXsMtQGXPHyND0/edit#gid=795171502"", ""'Filter 30_05_2024'!A1:M2000""), {2, 3, 4, 5,6,7,8,9,10,11,12,13}, 0))"),4)</f>
        <v>4</v>
      </c>
      <c r="V133" s="52">
        <f ca="1">IFERROR(__xludf.DUMMYFUNCTION("""COMPUTED_VALUE"""),6)</f>
        <v>6</v>
      </c>
      <c r="W133" s="52">
        <f ca="1">IFERROR(__xludf.DUMMYFUNCTION("""COMPUTED_VALUE"""),2)</f>
        <v>2</v>
      </c>
      <c r="X133" s="52">
        <f ca="1">IFERROR(__xludf.DUMMYFUNCTION("""COMPUTED_VALUE"""),12)</f>
        <v>12</v>
      </c>
      <c r="Y133" s="52">
        <f ca="1">IFERROR(__xludf.DUMMYFUNCTION("""COMPUTED_VALUE"""),4)</f>
        <v>4</v>
      </c>
      <c r="Z133" s="53">
        <f ca="1">IFERROR(__xludf.DUMMYFUNCTION("""COMPUTED_VALUE"""),3)</f>
        <v>3</v>
      </c>
      <c r="AA133" s="53">
        <f ca="1">IFERROR(__xludf.DUMMYFUNCTION("""COMPUTED_VALUE"""),1)</f>
        <v>1</v>
      </c>
      <c r="AB133" s="53">
        <f ca="1">IFERROR(__xludf.DUMMYFUNCTION("""COMPUTED_VALUE"""),8)</f>
        <v>8</v>
      </c>
      <c r="AC133" s="53"/>
      <c r="AD133" s="53"/>
      <c r="AE133" s="53"/>
      <c r="AF133" s="53"/>
      <c r="AG133" s="8" t="str">
        <f ca="1">IFERROR(__xludf.DUMMYFUNCTION("ArrayFormula(VLOOKUP(G133, IMPORTRANGE(""https://docs.google.com/spreadsheets/d/1Co934fvtviyaRiMsrIlT05Jaq7iiYq07aLvRr35KA48/edit?gid=173865642#gid=173865642"", ""'G8_Maths_Pri_LU'!G2:V2000""), {3, 4, 5, 6, 7, 8, 9, 10, 11, 12, 13, 14, 15, 16}, 0))"),"LU000345")</f>
        <v>LU000345</v>
      </c>
      <c r="AH133" s="8" t="str">
        <f ca="1">IFERROR(__xludf.DUMMYFUNCTION("""COMPUTED_VALUE"""),"Definition of proportion")</f>
        <v>Definition of proportion</v>
      </c>
      <c r="AI133" s="8" t="str">
        <f ca="1">IFERROR(__xludf.DUMMYFUNCTION("""COMPUTED_VALUE"""),"LU000410")</f>
        <v>LU000410</v>
      </c>
      <c r="AJ133" s="8" t="str">
        <f ca="1">IFERROR(__xludf.DUMMYFUNCTION("""COMPUTED_VALUE"""),"Solution of a simple equation by transpose method")</f>
        <v>Solution of a simple equation by transpose method</v>
      </c>
      <c r="AK133" s="8" t="str">
        <f ca="1">IFERROR(__xludf.DUMMYFUNCTION("""COMPUTED_VALUE"""),"LU000342")</f>
        <v>LU000342</v>
      </c>
      <c r="AL133" s="8" t="str">
        <f ca="1">IFERROR(__xludf.DUMMYFUNCTION("""COMPUTED_VALUE"""),"Definition of ratio")</f>
        <v>Definition of ratio</v>
      </c>
      <c r="AM133" s="8"/>
      <c r="AN133" s="8"/>
      <c r="AO133" s="8"/>
      <c r="AP133" s="8"/>
      <c r="AQ133" s="8"/>
      <c r="AR133" s="8"/>
      <c r="AS133" s="8"/>
      <c r="AT133" s="8"/>
      <c r="AU133" s="8"/>
      <c r="AV133" s="8"/>
      <c r="AW133" s="8"/>
      <c r="AX133" s="8"/>
      <c r="AY133" s="8"/>
      <c r="AZ133" s="8"/>
      <c r="BA133" s="8"/>
      <c r="BB133" s="8"/>
      <c r="BC133" s="8"/>
      <c r="BD133" s="8"/>
      <c r="BE133" s="8"/>
    </row>
    <row r="134" spans="1:57">
      <c r="A134" s="8" t="s">
        <v>247</v>
      </c>
      <c r="B134" s="8" t="s">
        <v>47</v>
      </c>
      <c r="C134" s="8" t="s">
        <v>731</v>
      </c>
      <c r="D134" s="8" t="s">
        <v>732</v>
      </c>
      <c r="E134" s="8" t="s">
        <v>933</v>
      </c>
      <c r="F134" s="54" t="s">
        <v>934</v>
      </c>
      <c r="G134" s="8" t="s">
        <v>936</v>
      </c>
      <c r="H134" s="8" t="str">
        <f ca="1">IFERROR(__xludf.DUMMYFUNCTION("VLOOKUP(G134, IMPORTRANGE(""https://docs.google.com/spreadsheets/d/14deopnvwcrKtEGCKuYXdUHJbeLDZlkiSSWWT0g7x2pM/edit#gid=999382323"", ""LU List Maths (Filter)!A:B""), 2, FALSE)"),"Constant of proportionality for direct proportional relationships")</f>
        <v>Constant of proportionality for direct proportional relationships</v>
      </c>
      <c r="I134" s="10" t="str">
        <f t="shared" si="0"/>
        <v>LU000750.001</v>
      </c>
      <c r="J134" s="10" t="str">
        <f ca="1">IFERROR(__xludf.DUMMYFUNCTION("VLOOKUP(I134, IMPORTRANGE(""https://docs.google.com/spreadsheets/d/1yDAaXNsi4Mr5FtRQL4tbmSdIzhx6_m4wkOD7IG-k_eo/edit#gid=0"", ""Maths!M:N""), 2, FALSE)"),"Memorize the formula to calculate the constant of proportionality in a direct proportional relationship.")</f>
        <v>Memorize the formula to calculate the constant of proportionality in a direct proportional relationship.</v>
      </c>
      <c r="K134" s="10" t="str">
        <f t="shared" si="1"/>
        <v>LU000750.002</v>
      </c>
      <c r="L134" s="10" t="str">
        <f ca="1">IFERROR(__xludf.DUMMYFUNCTION("VLOOKUP(K134, IMPORTRANGE(""https://docs.google.com/spreadsheets/d/1yDAaXNsi4Mr5FtRQL4tbmSdIzhx6_m4wkOD7IG-k_eo/edit#gid=0"", ""Maths!M:N""), 2, FALSE)"),"Describe how two quantities in direct proportion maintain a constant ratio.")</f>
        <v>Describe how two quantities in direct proportion maintain a constant ratio.</v>
      </c>
      <c r="M134" s="10" t="str">
        <f t="shared" si="2"/>
        <v>LU000750.003</v>
      </c>
      <c r="N134" s="10" t="str">
        <f ca="1">IFERROR(__xludf.DUMMYFUNCTION("VLOOKUP(M134, IMPORTRANGE(""https://docs.google.com/spreadsheets/d/1yDAaXNsi4Mr5FtRQL4tbmSdIzhx6_m4wkOD7IG-k_eo/edit#gid=0"", ""Maths!M:N""), 2, FALSE)"),"Calculate the constant of proportionality for a given set of data in a direct proportional relationship.")</f>
        <v>Calculate the constant of proportionality for a given set of data in a direct proportional relationship.</v>
      </c>
      <c r="O134" s="10" t="str">
        <f t="shared" si="3"/>
        <v>LU000750.004</v>
      </c>
      <c r="P134" s="10" t="str">
        <f ca="1">IFERROR(__xludf.DUMMYFUNCTION("VLOOKUP(O134, IMPORTRANGE(""https://docs.google.com/spreadsheets/d/1yDAaXNsi4Mr5FtRQL4tbmSdIzhx6_m4wkOD7IG-k_eo/edit#gid=0"", ""Maths!M:N""), 2, FALSE)"),"Analyse real-world scenarios that exhibit direct proportional relationships.")</f>
        <v>Analyse real-world scenarios that exhibit direct proportional relationships.</v>
      </c>
      <c r="Q134" s="10" t="str">
        <f t="shared" si="4"/>
        <v>LU000750.005</v>
      </c>
      <c r="R134" s="10" t="str">
        <f ca="1">IFERROR(__xludf.DUMMYFUNCTION("VLOOKUP(Q134, IMPORTRANGE(""https://docs.google.com/spreadsheets/d/1yDAaXNsi4Mr5FtRQL4tbmSdIzhx6_m4wkOD7IG-k_eo/edit#gid=0"", ""Maths!M:N""), 2, FALSE)"),"Assess the reliability of using the constant of proportionality to make predictions and solve problems in various contexts.")</f>
        <v>Assess the reliability of using the constant of proportionality to make predictions and solve problems in various contexts.</v>
      </c>
      <c r="S134" s="10" t="str">
        <f t="shared" si="5"/>
        <v>LU000750.006</v>
      </c>
      <c r="T134" s="10" t="str">
        <f ca="1">IFERROR(__xludf.DUMMYFUNCTION("VLOOKUP(S134, IMPORTRANGE(""https://docs.google.com/spreadsheets/d/1yDAaXNsi4Mr5FtRQL4tbmSdIzhx6_m4wkOD7IG-k_eo/edit#gid=0"", ""Maths!M:N""), 2, FALSE)"),"Invent a visual representation or model to illustrate how the constant of proportionality works in direct proportional relationships.")</f>
        <v>Invent a visual representation or model to illustrate how the constant of proportionality works in direct proportional relationships.</v>
      </c>
      <c r="U134" s="52">
        <f ca="1">IFERROR(__xludf.DUMMYFUNCTION("ArrayFormula(VLOOKUP(G134, IMPORTRANGE(""https://docs.google.com/spreadsheets/d/1p7R4vtkWt5VOBim4ltsDG9KTzSjrtKXsMtQGXPHyND0/edit#gid=795171502"", ""'Filter 30_05_2024'!A1:M2000""), {2, 3, 4, 5,6,7,8,9,10,11,12,13}, 0))"),4)</f>
        <v>4</v>
      </c>
      <c r="V134" s="52">
        <f ca="1">IFERROR(__xludf.DUMMYFUNCTION("""COMPUTED_VALUE"""),6)</f>
        <v>6</v>
      </c>
      <c r="W134" s="52">
        <f ca="1">IFERROR(__xludf.DUMMYFUNCTION("""COMPUTED_VALUE"""),2)</f>
        <v>2</v>
      </c>
      <c r="X134" s="52">
        <f ca="1">IFERROR(__xludf.DUMMYFUNCTION("""COMPUTED_VALUE"""),12)</f>
        <v>12</v>
      </c>
      <c r="Y134" s="52">
        <f ca="1">IFERROR(__xludf.DUMMYFUNCTION("""COMPUTED_VALUE"""),4)</f>
        <v>4</v>
      </c>
      <c r="Z134" s="53">
        <f ca="1">IFERROR(__xludf.DUMMYFUNCTION("""COMPUTED_VALUE"""),3)</f>
        <v>3</v>
      </c>
      <c r="AA134" s="53">
        <f ca="1">IFERROR(__xludf.DUMMYFUNCTION("""COMPUTED_VALUE"""),1)</f>
        <v>1</v>
      </c>
      <c r="AB134" s="53">
        <f ca="1">IFERROR(__xludf.DUMMYFUNCTION("""COMPUTED_VALUE"""),8)</f>
        <v>8</v>
      </c>
      <c r="AC134" s="53"/>
      <c r="AD134" s="53"/>
      <c r="AE134" s="53"/>
      <c r="AF134" s="53"/>
      <c r="AG134" s="8" t="str">
        <f ca="1">IFERROR(__xludf.DUMMYFUNCTION("ArrayFormula(VLOOKUP(G134, IMPORTRANGE(""https://docs.google.com/spreadsheets/d/1Co934fvtviyaRiMsrIlT05Jaq7iiYq07aLvRr35KA48/edit?gid=173865642#gid=173865642"", ""'G8_Maths_Pri_LU'!G2:V2000""), {3, 4, 5, 6, 7, 8, 9, 10, 11, 12, 13, 14, 15, 16}, 0))"),"LU000748")</f>
        <v>LU000748</v>
      </c>
      <c r="AH134" s="8" t="str">
        <f ca="1">IFERROR(__xludf.DUMMYFUNCTION("""COMPUTED_VALUE"""),"Definition of direct proportion")</f>
        <v>Definition of direct proportion</v>
      </c>
      <c r="AI134" s="8" t="str">
        <f ca="1">IFERROR(__xludf.DUMMYFUNCTION("""COMPUTED_VALUE"""),"LU000345")</f>
        <v>LU000345</v>
      </c>
      <c r="AJ134" s="8" t="str">
        <f ca="1">IFERROR(__xludf.DUMMYFUNCTION("""COMPUTED_VALUE"""),"Definition of proportion")</f>
        <v>Definition of proportion</v>
      </c>
      <c r="AK134" s="8" t="str">
        <f ca="1">IFERROR(__xludf.DUMMYFUNCTION("""COMPUTED_VALUE"""),"LU000342")</f>
        <v>LU000342</v>
      </c>
      <c r="AL134" s="8" t="str">
        <f ca="1">IFERROR(__xludf.DUMMYFUNCTION("""COMPUTED_VALUE"""),"Definition of ratio")</f>
        <v>Definition of ratio</v>
      </c>
      <c r="AM134" s="8"/>
      <c r="AN134" s="8"/>
      <c r="AO134" s="8"/>
      <c r="AP134" s="8"/>
      <c r="AQ134" s="8"/>
      <c r="AR134" s="8"/>
      <c r="AS134" s="8"/>
      <c r="AT134" s="8"/>
      <c r="AU134" s="8"/>
      <c r="AV134" s="8"/>
      <c r="AW134" s="8"/>
      <c r="AX134" s="8"/>
      <c r="AY134" s="8"/>
      <c r="AZ134" s="8"/>
      <c r="BA134" s="8"/>
      <c r="BB134" s="8"/>
      <c r="BC134" s="8"/>
      <c r="BD134" s="8"/>
      <c r="BE134" s="8"/>
    </row>
    <row r="135" spans="1:57">
      <c r="A135" s="8" t="s">
        <v>247</v>
      </c>
      <c r="B135" s="8" t="s">
        <v>47</v>
      </c>
      <c r="C135" s="8" t="s">
        <v>731</v>
      </c>
      <c r="D135" s="8" t="s">
        <v>732</v>
      </c>
      <c r="E135" s="8" t="s">
        <v>933</v>
      </c>
      <c r="F135" s="54" t="s">
        <v>934</v>
      </c>
      <c r="G135" s="8" t="s">
        <v>937</v>
      </c>
      <c r="H135" s="8" t="str">
        <f ca="1">IFERROR(__xludf.DUMMYFUNCTION("VLOOKUP(G135, IMPORTRANGE(""https://docs.google.com/spreadsheets/d/14deopnvwcrKtEGCKuYXdUHJbeLDZlkiSSWWT0g7x2pM/edit#gid=999382323"", ""LU List Maths (Filter)!A:B""), 2, FALSE)"),"Interpret tables of direct proportional relationships")</f>
        <v>Interpret tables of direct proportional relationships</v>
      </c>
      <c r="I135" s="10" t="str">
        <f t="shared" si="0"/>
        <v>LU000754.001</v>
      </c>
      <c r="J135" s="10" t="str">
        <f ca="1">IFERROR(__xludf.DUMMYFUNCTION("VLOOKUP(I135, IMPORTRANGE(""https://docs.google.com/spreadsheets/d/1yDAaXNsi4Mr5FtRQL4tbmSdIzhx6_m4wkOD7IG-k_eo/edit#gid=0"", ""Maths!M:N""), 2, FALSE)"),"#N/A")</f>
        <v>#N/A</v>
      </c>
      <c r="K135" s="10" t="str">
        <f t="shared" si="1"/>
        <v>LU000754.002</v>
      </c>
      <c r="L135" s="10" t="str">
        <f ca="1">IFERROR(__xludf.DUMMYFUNCTION("VLOOKUP(K135, IMPORTRANGE(""https://docs.google.com/spreadsheets/d/1yDAaXNsi4Mr5FtRQL4tbmSdIzhx6_m4wkOD7IG-k_eo/edit#gid=0"", ""Maths!M:N""), 2, FALSE)"),"Understand the concept of direct proportional relationships and how they are represented in tabular form.")</f>
        <v>Understand the concept of direct proportional relationships and how they are represented in tabular form.</v>
      </c>
      <c r="M135" s="10" t="str">
        <f t="shared" si="2"/>
        <v>LU000754.003</v>
      </c>
      <c r="N135" s="10" t="str">
        <f ca="1">IFERROR(__xludf.DUMMYFUNCTION("VLOOKUP(M135, IMPORTRANGE(""https://docs.google.com/spreadsheets/d/1yDAaXNsi4Mr5FtRQL4tbmSdIzhx6_m4wkOD7IG-k_eo/edit#gid=0"", ""Maths!M:N""), 2, FALSE)"),"Observe the data in the tabular form and determine which pair of variables are directly proportional")</f>
        <v>Observe the data in the tabular form and determine which pair of variables are directly proportional</v>
      </c>
      <c r="O135" s="10" t="str">
        <f t="shared" si="3"/>
        <v>LU000754.004</v>
      </c>
      <c r="P135" s="10" t="str">
        <f ca="1">IFERROR(__xludf.DUMMYFUNCTION("VLOOKUP(O135, IMPORTRANGE(""https://docs.google.com/spreadsheets/d/1yDAaXNsi4Mr5FtRQL4tbmSdIzhx6_m4wkOD7IG-k_eo/edit#gid=0"", ""Maths!M:N""), 2, FALSE)"),"Complete a given table showing two direct proportional quantities and answer questions based on them.")</f>
        <v>Complete a given table showing two direct proportional quantities and answer questions based on them.</v>
      </c>
      <c r="Q135" s="10" t="str">
        <f t="shared" si="4"/>
        <v>LU000754.005</v>
      </c>
      <c r="R135" s="10" t="str">
        <f ca="1">IFERROR(__xludf.DUMMYFUNCTION("VLOOKUP(Q135, IMPORTRANGE(""https://docs.google.com/spreadsheets/d/1yDAaXNsi4Mr5FtRQL4tbmSdIzhx6_m4wkOD7IG-k_eo/edit#gid=0"", ""Maths!M:N""), 2, FALSE)"),"Evaluate the completeness and accuracy of a given table that represents two directly proportional quantities.")</f>
        <v>Evaluate the completeness and accuracy of a given table that represents two directly proportional quantities.</v>
      </c>
      <c r="S135" s="10" t="str">
        <f t="shared" si="5"/>
        <v>LU000754.006</v>
      </c>
      <c r="T135" s="10" t="str">
        <f ca="1">IFERROR(__xludf.DUMMYFUNCTION("VLOOKUP(S135, IMPORTRANGE(""https://docs.google.com/spreadsheets/d/1yDAaXNsi4Mr5FtRQL4tbmSdIzhx6_m4wkOD7IG-k_eo/edit#gid=0"", ""Maths!M:N""), 2, FALSE)"),"Create a table that represents two quantities in a direct proportional relationship, ensuring that the table format accurately reflects the concept of direct proportionality.")</f>
        <v>Create a table that represents two quantities in a direct proportional relationship, ensuring that the table format accurately reflects the concept of direct proportionality.</v>
      </c>
      <c r="U135" s="52">
        <f ca="1">IFERROR(__xludf.DUMMYFUNCTION("ArrayFormula(VLOOKUP(G135, IMPORTRANGE(""https://docs.google.com/spreadsheets/d/1p7R4vtkWt5VOBim4ltsDG9KTzSjrtKXsMtQGXPHyND0/edit#gid=795171502"", ""'Filter 30_05_2024'!A1:M2000""), {2, 3, 4, 5,6,7,8,9,10,11,12,13}, 0))"),4)</f>
        <v>4</v>
      </c>
      <c r="V135" s="52">
        <f ca="1">IFERROR(__xludf.DUMMYFUNCTION("""COMPUTED_VALUE"""),6)</f>
        <v>6</v>
      </c>
      <c r="W135" s="52">
        <f ca="1">IFERROR(__xludf.DUMMYFUNCTION("""COMPUTED_VALUE"""),2)</f>
        <v>2</v>
      </c>
      <c r="X135" s="52">
        <f ca="1">IFERROR(__xludf.DUMMYFUNCTION("""COMPUTED_VALUE"""),12)</f>
        <v>12</v>
      </c>
      <c r="Y135" s="52">
        <f ca="1">IFERROR(__xludf.DUMMYFUNCTION("""COMPUTED_VALUE"""),4)</f>
        <v>4</v>
      </c>
      <c r="Z135" s="53">
        <f ca="1">IFERROR(__xludf.DUMMYFUNCTION("""COMPUTED_VALUE"""),3)</f>
        <v>3</v>
      </c>
      <c r="AA135" s="53">
        <f ca="1">IFERROR(__xludf.DUMMYFUNCTION("""COMPUTED_VALUE"""),1)</f>
        <v>1</v>
      </c>
      <c r="AB135" s="53">
        <f ca="1">IFERROR(__xludf.DUMMYFUNCTION("""COMPUTED_VALUE"""),8)</f>
        <v>8</v>
      </c>
      <c r="AC135" s="53"/>
      <c r="AD135" s="53"/>
      <c r="AE135" s="53"/>
      <c r="AF135" s="53"/>
      <c r="AG135" s="8" t="str">
        <f ca="1">IFERROR(__xludf.DUMMYFUNCTION("ArrayFormula(VLOOKUP(G135, IMPORTRANGE(""https://docs.google.com/spreadsheets/d/1Co934fvtviyaRiMsrIlT05Jaq7iiYq07aLvRr35KA48/edit?gid=173865642#gid=173865642"", ""'G8_Maths_Pri_LU'!G2:V2000""), {3, 4, 5, 6, 7, 8, 9, 10, 11, 12, 13, 14, 15, 16}, 0))"),"LU000750")</f>
        <v>LU000750</v>
      </c>
      <c r="AH135" s="8" t="str">
        <f ca="1">IFERROR(__xludf.DUMMYFUNCTION("""COMPUTED_VALUE"""),"Constant of proportionality for direct proportional relationships")</f>
        <v>Constant of proportionality for direct proportional relationships</v>
      </c>
      <c r="AI135" s="8" t="str">
        <f ca="1">IFERROR(__xludf.DUMMYFUNCTION("""COMPUTED_VALUE"""),"LU000410")</f>
        <v>LU000410</v>
      </c>
      <c r="AJ135" s="8" t="str">
        <f ca="1">IFERROR(__xludf.DUMMYFUNCTION("""COMPUTED_VALUE"""),"Solution of a simple equation by transpose method")</f>
        <v>Solution of a simple equation by transpose method</v>
      </c>
      <c r="AK135" s="8"/>
      <c r="AL135" s="8"/>
      <c r="AM135" s="8"/>
      <c r="AN135" s="8"/>
      <c r="AO135" s="8"/>
      <c r="AP135" s="8"/>
      <c r="AQ135" s="8"/>
      <c r="AR135" s="8"/>
      <c r="AS135" s="8"/>
      <c r="AT135" s="8"/>
      <c r="AU135" s="8"/>
      <c r="AV135" s="8"/>
      <c r="AW135" s="8"/>
      <c r="AX135" s="8"/>
      <c r="AY135" s="8"/>
      <c r="AZ135" s="8"/>
      <c r="BA135" s="8"/>
      <c r="BB135" s="8"/>
      <c r="BC135" s="8"/>
      <c r="BD135" s="8"/>
      <c r="BE135" s="8"/>
    </row>
    <row r="136" spans="1:57">
      <c r="A136" s="8" t="s">
        <v>247</v>
      </c>
      <c r="B136" s="8" t="s">
        <v>47</v>
      </c>
      <c r="C136" s="8" t="s">
        <v>731</v>
      </c>
      <c r="D136" s="8" t="s">
        <v>732</v>
      </c>
      <c r="E136" s="8" t="s">
        <v>933</v>
      </c>
      <c r="F136" s="54" t="s">
        <v>938</v>
      </c>
      <c r="G136" s="8" t="s">
        <v>939</v>
      </c>
      <c r="H136" s="8" t="str">
        <f ca="1">IFERROR(__xludf.DUMMYFUNCTION("VLOOKUP(G136, IMPORTRANGE(""https://docs.google.com/spreadsheets/d/14deopnvwcrKtEGCKuYXdUHJbeLDZlkiSSWWT0g7x2pM/edit#gid=999382323"", ""LU List Maths (Filter)!A:B""), 2, FALSE)"),"Definition of inverse proportion")</f>
        <v>Definition of inverse proportion</v>
      </c>
      <c r="I136" s="10" t="str">
        <f t="shared" si="0"/>
        <v>LU000749.001</v>
      </c>
      <c r="J136" s="10" t="str">
        <f ca="1">IFERROR(__xludf.DUMMYFUNCTION("VLOOKUP(I136, IMPORTRANGE(""https://docs.google.com/spreadsheets/d/1yDAaXNsi4Mr5FtRQL4tbmSdIzhx6_m4wkOD7IG-k_eo/edit#gid=0"", ""Maths!M:N""), 2, FALSE)"),"Recall the definition of inverse proportion.")</f>
        <v>Recall the definition of inverse proportion.</v>
      </c>
      <c r="K136" s="10" t="str">
        <f t="shared" si="1"/>
        <v>LU000749.002</v>
      </c>
      <c r="L136" s="10" t="str">
        <f ca="1">IFERROR(__xludf.DUMMYFUNCTION("VLOOKUP(K136, IMPORTRANGE(""https://docs.google.com/spreadsheets/d/1yDAaXNsi4Mr5FtRQL4tbmSdIzhx6_m4wkOD7IG-k_eo/edit#gid=0"", ""Maths!M:N""), 2, FALSE)"),"Identify examples of inverse proportion from real-life scenarios.")</f>
        <v>Identify examples of inverse proportion from real-life scenarios.</v>
      </c>
      <c r="M136" s="10" t="str">
        <f t="shared" si="2"/>
        <v>LU000749.003</v>
      </c>
      <c r="N136" s="10" t="str">
        <f ca="1">IFERROR(__xludf.DUMMYFUNCTION("VLOOKUP(M136, IMPORTRANGE(""https://docs.google.com/spreadsheets/d/1yDAaXNsi4Mr5FtRQL4tbmSdIzhx6_m4wkOD7IG-k_eo/edit#gid=0"", ""Maths!M:N""), 2, FALSE)"),"Solve mathematical problems involving inverse proportion.")</f>
        <v>Solve mathematical problems involving inverse proportion.</v>
      </c>
      <c r="O136" s="10" t="str">
        <f t="shared" si="3"/>
        <v>LU000749.004</v>
      </c>
      <c r="P136" s="10" t="str">
        <f ca="1">IFERROR(__xludf.DUMMYFUNCTION("VLOOKUP(O136, IMPORTRANGE(""https://docs.google.com/spreadsheets/d/1yDAaXNsi4Mr5FtRQL4tbmSdIzhx6_m4wkOD7IG-k_eo/edit#gid=0"", ""Maths!M:N""), 2, FALSE)"),"Analyze data sets to determine if two variables are in inverse proportion.")</f>
        <v>Analyze data sets to determine if two variables are in inverse proportion.</v>
      </c>
      <c r="Q136" s="10" t="str">
        <f t="shared" si="4"/>
        <v>LU000749.005</v>
      </c>
      <c r="R136" s="10" t="str">
        <f ca="1">IFERROR(__xludf.DUMMYFUNCTION("VLOOKUP(Q136, IMPORTRANGE(""https://docs.google.com/spreadsheets/d/1yDAaXNsi4Mr5FtRQL4tbmSdIzhx6_m4wkOD7IG-k_eo/edit#gid=0"", ""Maths!M:N""), 2, FALSE)"),"Evaluate the validity of a given statement about inverse proportion")</f>
        <v>Evaluate the validity of a given statement about inverse proportion</v>
      </c>
      <c r="S136" s="10" t="str">
        <f t="shared" si="5"/>
        <v>LU000749.006</v>
      </c>
      <c r="T136" s="10" t="str">
        <f ca="1">IFERROR(__xludf.DUMMYFUNCTION("VLOOKUP(S136, IMPORTRANGE(""https://docs.google.com/spreadsheets/d/1yDAaXNsi4Mr5FtRQL4tbmSdIzhx6_m4wkOD7IG-k_eo/edit#gid=0"", ""Maths!M:N""), 2, FALSE)"),"Design visual representations or diagrams to illustrate inverse proportion concepts.")</f>
        <v>Design visual representations or diagrams to illustrate inverse proportion concepts.</v>
      </c>
      <c r="U136" s="52">
        <f ca="1">IFERROR(__xludf.DUMMYFUNCTION("ArrayFormula(VLOOKUP(G136, IMPORTRANGE(""https://docs.google.com/spreadsheets/d/1p7R4vtkWt5VOBim4ltsDG9KTzSjrtKXsMtQGXPHyND0/edit#gid=795171502"", ""'Filter 30_05_2024'!A1:M2000""), {2, 3, 4, 5,6,7,8,9,10,11,12,13}, 0))"),4)</f>
        <v>4</v>
      </c>
      <c r="V136" s="52">
        <f ca="1">IFERROR(__xludf.DUMMYFUNCTION("""COMPUTED_VALUE"""),6)</f>
        <v>6</v>
      </c>
      <c r="W136" s="52">
        <f ca="1">IFERROR(__xludf.DUMMYFUNCTION("""COMPUTED_VALUE"""),2)</f>
        <v>2</v>
      </c>
      <c r="X136" s="52">
        <f ca="1">IFERROR(__xludf.DUMMYFUNCTION("""COMPUTED_VALUE"""),12)</f>
        <v>12</v>
      </c>
      <c r="Y136" s="52">
        <f ca="1">IFERROR(__xludf.DUMMYFUNCTION("""COMPUTED_VALUE"""),4)</f>
        <v>4</v>
      </c>
      <c r="Z136" s="53">
        <f ca="1">IFERROR(__xludf.DUMMYFUNCTION("""COMPUTED_VALUE"""),3)</f>
        <v>3</v>
      </c>
      <c r="AA136" s="53">
        <f ca="1">IFERROR(__xludf.DUMMYFUNCTION("""COMPUTED_VALUE"""),1)</f>
        <v>1</v>
      </c>
      <c r="AB136" s="53">
        <f ca="1">IFERROR(__xludf.DUMMYFUNCTION("""COMPUTED_VALUE"""),8)</f>
        <v>8</v>
      </c>
      <c r="AC136" s="53"/>
      <c r="AD136" s="53"/>
      <c r="AE136" s="53"/>
      <c r="AF136" s="53"/>
      <c r="AG136" s="8" t="str">
        <f ca="1">IFERROR(__xludf.DUMMYFUNCTION("ArrayFormula(VLOOKUP(G136, IMPORTRANGE(""https://docs.google.com/spreadsheets/d/1Co934fvtviyaRiMsrIlT05Jaq7iiYq07aLvRr35KA48/edit?gid=173865642#gid=173865642"", ""'G8_Maths_Pri_LU'!G2:V2000""), {3, 4, 5, 6, 7, 8, 9, 10, 11, 12, 13, 14, 15, 16}, 0))"),"LU000345")</f>
        <v>LU000345</v>
      </c>
      <c r="AH136" s="8" t="str">
        <f ca="1">IFERROR(__xludf.DUMMYFUNCTION("""COMPUTED_VALUE"""),"Definition of proportion")</f>
        <v>Definition of proportion</v>
      </c>
      <c r="AI136" s="8" t="str">
        <f ca="1">IFERROR(__xludf.DUMMYFUNCTION("""COMPUTED_VALUE"""),"LU000410")</f>
        <v>LU000410</v>
      </c>
      <c r="AJ136" s="8" t="str">
        <f ca="1">IFERROR(__xludf.DUMMYFUNCTION("""COMPUTED_VALUE"""),"Solution of a simple equation by transpose method")</f>
        <v>Solution of a simple equation by transpose method</v>
      </c>
      <c r="AK136" s="8" t="str">
        <f ca="1">IFERROR(__xludf.DUMMYFUNCTION("""COMPUTED_VALUE"""),"LU000342")</f>
        <v>LU000342</v>
      </c>
      <c r="AL136" s="8" t="str">
        <f ca="1">IFERROR(__xludf.DUMMYFUNCTION("""COMPUTED_VALUE"""),"Definition of ratio")</f>
        <v>Definition of ratio</v>
      </c>
      <c r="AM136" s="8"/>
      <c r="AN136" s="8"/>
      <c r="AO136" s="8"/>
      <c r="AP136" s="8"/>
      <c r="AQ136" s="8"/>
      <c r="AR136" s="8"/>
      <c r="AS136" s="8"/>
      <c r="AT136" s="8"/>
      <c r="AU136" s="8"/>
      <c r="AV136" s="8"/>
      <c r="AW136" s="8"/>
      <c r="AX136" s="8"/>
      <c r="AY136" s="8"/>
      <c r="AZ136" s="8"/>
      <c r="BA136" s="8"/>
      <c r="BB136" s="8"/>
      <c r="BC136" s="8"/>
      <c r="BD136" s="8"/>
      <c r="BE136" s="8"/>
    </row>
    <row r="137" spans="1:57">
      <c r="A137" s="8" t="s">
        <v>247</v>
      </c>
      <c r="B137" s="8" t="s">
        <v>47</v>
      </c>
      <c r="C137" s="8" t="s">
        <v>731</v>
      </c>
      <c r="D137" s="8" t="s">
        <v>732</v>
      </c>
      <c r="E137" s="8" t="s">
        <v>933</v>
      </c>
      <c r="F137" s="54" t="s">
        <v>938</v>
      </c>
      <c r="G137" s="8" t="s">
        <v>940</v>
      </c>
      <c r="H137" s="8" t="str">
        <f ca="1">IFERROR(__xludf.DUMMYFUNCTION("VLOOKUP(G137, IMPORTRANGE(""https://docs.google.com/spreadsheets/d/14deopnvwcrKtEGCKuYXdUHJbeLDZlkiSSWWT0g7x2pM/edit#gid=999382323"", ""LU List Maths (Filter)!A:B""), 2, FALSE)"),"Constant of proportionality for inverse proportional relationships")</f>
        <v>Constant of proportionality for inverse proportional relationships</v>
      </c>
      <c r="I137" s="10" t="str">
        <f t="shared" si="0"/>
        <v>LU000753.001</v>
      </c>
      <c r="J137" s="10" t="str">
        <f ca="1">IFERROR(__xludf.DUMMYFUNCTION("VLOOKUP(I137, IMPORTRANGE(""https://docs.google.com/spreadsheets/d/1yDAaXNsi4Mr5FtRQL4tbmSdIzhx6_m4wkOD7IG-k_eo/edit#gid=0"", ""Maths!M:N""), 2, FALSE)"),"Memorize the formula to calculate the constant of proportionality in a inverse proportional relationship.")</f>
        <v>Memorize the formula to calculate the constant of proportionality in a inverse proportional relationship.</v>
      </c>
      <c r="K137" s="10" t="str">
        <f t="shared" si="1"/>
        <v>LU000753.002</v>
      </c>
      <c r="L137" s="10" t="str">
        <f ca="1">IFERROR(__xludf.DUMMYFUNCTION("VLOOKUP(K137, IMPORTRANGE(""https://docs.google.com/spreadsheets/d/1yDAaXNsi4Mr5FtRQL4tbmSdIzhx6_m4wkOD7IG-k_eo/edit#gid=0"", ""Maths!M:N""), 2, FALSE)"),"Describe how two quantities in inverse proportion maintain a constant ratio.")</f>
        <v>Describe how two quantities in inverse proportion maintain a constant ratio.</v>
      </c>
      <c r="M137" s="10" t="str">
        <f t="shared" si="2"/>
        <v>LU000753.003</v>
      </c>
      <c r="N137" s="10" t="str">
        <f ca="1">IFERROR(__xludf.DUMMYFUNCTION("VLOOKUP(M137, IMPORTRANGE(""https://docs.google.com/spreadsheets/d/1yDAaXNsi4Mr5FtRQL4tbmSdIzhx6_m4wkOD7IG-k_eo/edit#gid=0"", ""Maths!M:N""), 2, FALSE)"),"Calculate the constant of proportionality for a given set of data in a inverse proportional relationship.")</f>
        <v>Calculate the constant of proportionality for a given set of data in a inverse proportional relationship.</v>
      </c>
      <c r="O137" s="10" t="str">
        <f t="shared" si="3"/>
        <v>LU000753.004</v>
      </c>
      <c r="P137" s="10" t="str">
        <f ca="1">IFERROR(__xludf.DUMMYFUNCTION("VLOOKUP(O137, IMPORTRANGE(""https://docs.google.com/spreadsheets/d/1yDAaXNsi4Mr5FtRQL4tbmSdIzhx6_m4wkOD7IG-k_eo/edit#gid=0"", ""Maths!M:N""), 2, FALSE)"),"Analyse real-world scenarios that exhibit inverse proportional relationships")</f>
        <v>Analyse real-world scenarios that exhibit inverse proportional relationships</v>
      </c>
      <c r="Q137" s="10" t="str">
        <f t="shared" si="4"/>
        <v>LU000753.005</v>
      </c>
      <c r="R137" s="10" t="str">
        <f ca="1">IFERROR(__xludf.DUMMYFUNCTION("VLOOKUP(Q137, IMPORTRANGE(""https://docs.google.com/spreadsheets/d/1yDAaXNsi4Mr5FtRQL4tbmSdIzhx6_m4wkOD7IG-k_eo/edit#gid=0"", ""Maths!M:N""), 2, FALSE)"),"Assess the reliability of using the constant of proportionality in a inverse proportional relationship to make predictions and solve problems in various contexts.")</f>
        <v>Assess the reliability of using the constant of proportionality in a inverse proportional relationship to make predictions and solve problems in various contexts.</v>
      </c>
      <c r="S137" s="10" t="str">
        <f t="shared" si="5"/>
        <v>LU000753.006</v>
      </c>
      <c r="T137" s="10" t="str">
        <f ca="1">IFERROR(__xludf.DUMMYFUNCTION("VLOOKUP(S137, IMPORTRANGE(""https://docs.google.com/spreadsheets/d/1yDAaXNsi4Mr5FtRQL4tbmSdIzhx6_m4wkOD7IG-k_eo/edit#gid=0"", ""Maths!M:N""), 2, FALSE)"),"Invent a visual representation or model to illustrate how the constant of proportionality works in inverse proportional relationships.")</f>
        <v>Invent a visual representation or model to illustrate how the constant of proportionality works in inverse proportional relationships.</v>
      </c>
      <c r="U137" s="52">
        <f ca="1">IFERROR(__xludf.DUMMYFUNCTION("ArrayFormula(VLOOKUP(G137, IMPORTRANGE(""https://docs.google.com/spreadsheets/d/1p7R4vtkWt5VOBim4ltsDG9KTzSjrtKXsMtQGXPHyND0/edit#gid=795171502"", ""'Filter 30_05_2024'!A1:M2000""), {2, 3, 4, 5,6,7,8,9,10,11,12,13}, 0))"),4)</f>
        <v>4</v>
      </c>
      <c r="V137" s="52">
        <f ca="1">IFERROR(__xludf.DUMMYFUNCTION("""COMPUTED_VALUE"""),6)</f>
        <v>6</v>
      </c>
      <c r="W137" s="52">
        <f ca="1">IFERROR(__xludf.DUMMYFUNCTION("""COMPUTED_VALUE"""),2)</f>
        <v>2</v>
      </c>
      <c r="X137" s="52">
        <f ca="1">IFERROR(__xludf.DUMMYFUNCTION("""COMPUTED_VALUE"""),12)</f>
        <v>12</v>
      </c>
      <c r="Y137" s="52">
        <f ca="1">IFERROR(__xludf.DUMMYFUNCTION("""COMPUTED_VALUE"""),4)</f>
        <v>4</v>
      </c>
      <c r="Z137" s="53">
        <f ca="1">IFERROR(__xludf.DUMMYFUNCTION("""COMPUTED_VALUE"""),3)</f>
        <v>3</v>
      </c>
      <c r="AA137" s="53">
        <f ca="1">IFERROR(__xludf.DUMMYFUNCTION("""COMPUTED_VALUE"""),1)</f>
        <v>1</v>
      </c>
      <c r="AB137" s="53">
        <f ca="1">IFERROR(__xludf.DUMMYFUNCTION("""COMPUTED_VALUE"""),8)</f>
        <v>8</v>
      </c>
      <c r="AC137" s="53"/>
      <c r="AD137" s="53"/>
      <c r="AE137" s="53"/>
      <c r="AF137" s="53"/>
      <c r="AG137" s="8" t="str">
        <f ca="1">IFERROR(__xludf.DUMMYFUNCTION("ArrayFormula(VLOOKUP(G137, IMPORTRANGE(""https://docs.google.com/spreadsheets/d/1Co934fvtviyaRiMsrIlT05Jaq7iiYq07aLvRr35KA48/edit?gid=173865642#gid=173865642"", ""'G8_Maths_Pri_LU'!G2:V2000""), {3, 4, 5, 6, 7, 8, 9, 10, 11, 12, 13, 14, 15, 16}, 0))"),"LU000749")</f>
        <v>LU000749</v>
      </c>
      <c r="AH137" s="8" t="str">
        <f ca="1">IFERROR(__xludf.DUMMYFUNCTION("""COMPUTED_VALUE"""),"Definition of inverse proportion")</f>
        <v>Definition of inverse proportion</v>
      </c>
      <c r="AI137" s="8" t="str">
        <f ca="1">IFERROR(__xludf.DUMMYFUNCTION("""COMPUTED_VALUE"""),"LU000345")</f>
        <v>LU000345</v>
      </c>
      <c r="AJ137" s="8" t="str">
        <f ca="1">IFERROR(__xludf.DUMMYFUNCTION("""COMPUTED_VALUE"""),"Definition of proportion")</f>
        <v>Definition of proportion</v>
      </c>
      <c r="AK137" s="8" t="str">
        <f ca="1">IFERROR(__xludf.DUMMYFUNCTION("""COMPUTED_VALUE"""),"LU000342")</f>
        <v>LU000342</v>
      </c>
      <c r="AL137" s="8" t="str">
        <f ca="1">IFERROR(__xludf.DUMMYFUNCTION("""COMPUTED_VALUE"""),"Definition of ratio")</f>
        <v>Definition of ratio</v>
      </c>
      <c r="AM137" s="8"/>
      <c r="AN137" s="8"/>
      <c r="AO137" s="8"/>
      <c r="AP137" s="8"/>
      <c r="AQ137" s="8"/>
      <c r="AR137" s="8"/>
      <c r="AS137" s="8"/>
      <c r="AT137" s="8"/>
      <c r="AU137" s="8"/>
      <c r="AV137" s="8"/>
      <c r="AW137" s="8"/>
      <c r="AX137" s="8"/>
      <c r="AY137" s="8"/>
      <c r="AZ137" s="8"/>
      <c r="BA137" s="8"/>
      <c r="BB137" s="8"/>
      <c r="BC137" s="8"/>
      <c r="BD137" s="8"/>
      <c r="BE137" s="8"/>
    </row>
    <row r="138" spans="1:57">
      <c r="A138" s="8" t="s">
        <v>247</v>
      </c>
      <c r="B138" s="8" t="s">
        <v>47</v>
      </c>
      <c r="C138" s="8" t="s">
        <v>731</v>
      </c>
      <c r="D138" s="8" t="s">
        <v>732</v>
      </c>
      <c r="E138" s="8" t="s">
        <v>933</v>
      </c>
      <c r="F138" s="54" t="s">
        <v>938</v>
      </c>
      <c r="G138" s="8" t="s">
        <v>941</v>
      </c>
      <c r="H138" s="8" t="str">
        <f ca="1">IFERROR(__xludf.DUMMYFUNCTION("VLOOKUP(G138, IMPORTRANGE(""https://docs.google.com/spreadsheets/d/14deopnvwcrKtEGCKuYXdUHJbeLDZlkiSSWWT0g7x2pM/edit#gid=999382323"", ""LU List Maths (Filter)!A:B""), 2, FALSE)"),"Interpret tables of inverse proportional relationships")</f>
        <v>Interpret tables of inverse proportional relationships</v>
      </c>
      <c r="I138" s="10" t="str">
        <f t="shared" si="0"/>
        <v>LU000755.001</v>
      </c>
      <c r="J138" s="10" t="str">
        <f ca="1">IFERROR(__xludf.DUMMYFUNCTION("VLOOKUP(I138, IMPORTRANGE(""https://docs.google.com/spreadsheets/d/1yDAaXNsi4Mr5FtRQL4tbmSdIzhx6_m4wkOD7IG-k_eo/edit#gid=0"", ""Maths!M:N""), 2, FALSE)"),"#N/A")</f>
        <v>#N/A</v>
      </c>
      <c r="K138" s="10" t="str">
        <f t="shared" si="1"/>
        <v>LU000755.002</v>
      </c>
      <c r="L138" s="10" t="str">
        <f ca="1">IFERROR(__xludf.DUMMYFUNCTION("VLOOKUP(K138, IMPORTRANGE(""https://docs.google.com/spreadsheets/d/1yDAaXNsi4Mr5FtRQL4tbmSdIzhx6_m4wkOD7IG-k_eo/edit#gid=0"", ""Maths!M:N""), 2, FALSE)"),"Understand the concept of inverse proportional relationships and how they are represented in tabular form.")</f>
        <v>Understand the concept of inverse proportional relationships and how they are represented in tabular form.</v>
      </c>
      <c r="M138" s="10" t="str">
        <f t="shared" si="2"/>
        <v>LU000755.003</v>
      </c>
      <c r="N138" s="10" t="str">
        <f ca="1">IFERROR(__xludf.DUMMYFUNCTION("VLOOKUP(M138, IMPORTRANGE(""https://docs.google.com/spreadsheets/d/1yDAaXNsi4Mr5FtRQL4tbmSdIzhx6_m4wkOD7IG-k_eo/edit#gid=0"", ""Maths!M:N""), 2, FALSE)"),"Observe the data in the tabular form and determine which pair of variables are inversely proportional")</f>
        <v>Observe the data in the tabular form and determine which pair of variables are inversely proportional</v>
      </c>
      <c r="O138" s="10" t="str">
        <f t="shared" si="3"/>
        <v>LU000755.004</v>
      </c>
      <c r="P138" s="10" t="str">
        <f ca="1">IFERROR(__xludf.DUMMYFUNCTION("VLOOKUP(O138, IMPORTRANGE(""https://docs.google.com/spreadsheets/d/1yDAaXNsi4Mr5FtRQL4tbmSdIzhx6_m4wkOD7IG-k_eo/edit#gid=0"", ""Maths!M:N""), 2, FALSE)"),"Complete a given table showing two inverse proportional quantities and answer questions based on them.")</f>
        <v>Complete a given table showing two inverse proportional quantities and answer questions based on them.</v>
      </c>
      <c r="Q138" s="10" t="str">
        <f t="shared" si="4"/>
        <v>LU000755.005</v>
      </c>
      <c r="R138" s="10" t="str">
        <f ca="1">IFERROR(__xludf.DUMMYFUNCTION("VLOOKUP(Q138, IMPORTRANGE(""https://docs.google.com/spreadsheets/d/1yDAaXNsi4Mr5FtRQL4tbmSdIzhx6_m4wkOD7IG-k_eo/edit#gid=0"", ""Maths!M:N""), 2, FALSE)"),"Evaluate the completeness and accuracy of a given table that represents two inversely proportional quantities.")</f>
        <v>Evaluate the completeness and accuracy of a given table that represents two inversely proportional quantities.</v>
      </c>
      <c r="S138" s="10" t="str">
        <f t="shared" si="5"/>
        <v>LU000755.006</v>
      </c>
      <c r="T138" s="10" t="str">
        <f ca="1">IFERROR(__xludf.DUMMYFUNCTION("VLOOKUP(S138, IMPORTRANGE(""https://docs.google.com/spreadsheets/d/1yDAaXNsi4Mr5FtRQL4tbmSdIzhx6_m4wkOD7IG-k_eo/edit#gid=0"", ""Maths!M:N""), 2, FALSE)"),"Create a table that represents two quantities in a inverse proportional relationship, ensuring that the table format accurately reflects the concept of direct proportionality.")</f>
        <v>Create a table that represents two quantities in a inverse proportional relationship, ensuring that the table format accurately reflects the concept of direct proportionality.</v>
      </c>
      <c r="U138" s="52">
        <f ca="1">IFERROR(__xludf.DUMMYFUNCTION("ArrayFormula(VLOOKUP(G138, IMPORTRANGE(""https://docs.google.com/spreadsheets/d/1p7R4vtkWt5VOBim4ltsDG9KTzSjrtKXsMtQGXPHyND0/edit#gid=795171502"", ""'Filter 30_05_2024'!A1:M2000""), {2, 3, 4, 5,6,7,8,9,10,11,12,13}, 0))"),4)</f>
        <v>4</v>
      </c>
      <c r="V138" s="52">
        <f ca="1">IFERROR(__xludf.DUMMYFUNCTION("""COMPUTED_VALUE"""),6)</f>
        <v>6</v>
      </c>
      <c r="W138" s="52">
        <f ca="1">IFERROR(__xludf.DUMMYFUNCTION("""COMPUTED_VALUE"""),2)</f>
        <v>2</v>
      </c>
      <c r="X138" s="52">
        <f ca="1">IFERROR(__xludf.DUMMYFUNCTION("""COMPUTED_VALUE"""),12)</f>
        <v>12</v>
      </c>
      <c r="Y138" s="52">
        <f ca="1">IFERROR(__xludf.DUMMYFUNCTION("""COMPUTED_VALUE"""),4)</f>
        <v>4</v>
      </c>
      <c r="Z138" s="53">
        <f ca="1">IFERROR(__xludf.DUMMYFUNCTION("""COMPUTED_VALUE"""),3)</f>
        <v>3</v>
      </c>
      <c r="AA138" s="53">
        <f ca="1">IFERROR(__xludf.DUMMYFUNCTION("""COMPUTED_VALUE"""),1)</f>
        <v>1</v>
      </c>
      <c r="AB138" s="53">
        <f ca="1">IFERROR(__xludf.DUMMYFUNCTION("""COMPUTED_VALUE"""),8)</f>
        <v>8</v>
      </c>
      <c r="AC138" s="53"/>
      <c r="AD138" s="53"/>
      <c r="AE138" s="53"/>
      <c r="AF138" s="53"/>
      <c r="AG138" s="8" t="str">
        <f ca="1">IFERROR(__xludf.DUMMYFUNCTION("ArrayFormula(VLOOKUP(G138, IMPORTRANGE(""https://docs.google.com/spreadsheets/d/1Co934fvtviyaRiMsrIlT05Jaq7iiYq07aLvRr35KA48/edit?gid=173865642#gid=173865642"", ""'G8_Maths_Pri_LU'!G2:V2000""), {3, 4, 5, 6, 7, 8, 9, 10, 11, 12, 13, 14, 15, 16}, 0))"),"LU000753")</f>
        <v>LU000753</v>
      </c>
      <c r="AH138" s="8" t="str">
        <f ca="1">IFERROR(__xludf.DUMMYFUNCTION("""COMPUTED_VALUE"""),"Constant of proportionality for inverse proportional relationships")</f>
        <v>Constant of proportionality for inverse proportional relationships</v>
      </c>
      <c r="AI138" s="8" t="str">
        <f ca="1">IFERROR(__xludf.DUMMYFUNCTION("""COMPUTED_VALUE"""),"LU000410")</f>
        <v>LU000410</v>
      </c>
      <c r="AJ138" s="8" t="str">
        <f ca="1">IFERROR(__xludf.DUMMYFUNCTION("""COMPUTED_VALUE"""),"Solution of a simple equation by transpose method")</f>
        <v>Solution of a simple equation by transpose method</v>
      </c>
      <c r="AK138" s="8"/>
      <c r="AL138" s="8"/>
      <c r="AM138" s="8"/>
      <c r="AN138" s="8"/>
      <c r="AO138" s="8"/>
      <c r="AP138" s="8"/>
      <c r="AQ138" s="8"/>
      <c r="AR138" s="8"/>
      <c r="AS138" s="8"/>
      <c r="AT138" s="8"/>
      <c r="AU138" s="8"/>
      <c r="AV138" s="8"/>
      <c r="AW138" s="8"/>
      <c r="AX138" s="8"/>
      <c r="AY138" s="8"/>
      <c r="AZ138" s="8"/>
      <c r="BA138" s="8"/>
      <c r="BB138" s="8"/>
      <c r="BC138" s="8"/>
      <c r="BD138" s="8"/>
      <c r="BE138" s="8"/>
    </row>
    <row r="139" spans="1:57">
      <c r="A139" s="8" t="s">
        <v>247</v>
      </c>
      <c r="B139" s="8" t="s">
        <v>47</v>
      </c>
      <c r="C139" s="8" t="s">
        <v>731</v>
      </c>
      <c r="D139" s="8" t="s">
        <v>732</v>
      </c>
      <c r="E139" s="8" t="s">
        <v>933</v>
      </c>
      <c r="F139" s="54" t="s">
        <v>942</v>
      </c>
      <c r="G139" s="8" t="s">
        <v>943</v>
      </c>
      <c r="H139" s="8" t="str">
        <f ca="1">IFERROR(__xludf.DUMMYFUNCTION("VLOOKUP(G139, IMPORTRANGE(""https://docs.google.com/spreadsheets/d/14deopnvwcrKtEGCKuYXdUHJbeLDZlkiSSWWT0g7x2pM/edit#gid=999382323"", ""LU List Maths (Filter)!A:B""), 2, FALSE)"),"Applications of inverse proportional relationships in real-life scenarios")</f>
        <v>Applications of inverse proportional relationships in real-life scenarios</v>
      </c>
      <c r="I139" s="10" t="str">
        <f t="shared" si="0"/>
        <v>LU000752.001</v>
      </c>
      <c r="J139" s="10" t="str">
        <f ca="1">IFERROR(__xludf.DUMMYFUNCTION("VLOOKUP(I139, IMPORTRANGE(""https://docs.google.com/spreadsheets/d/1yDAaXNsi4Mr5FtRQL4tbmSdIzhx6_m4wkOD7IG-k_eo/edit#gid=0"", ""Maths!M:N""), 2, FALSE)"),"Recall examples of real-life situations where inverse proportional relationships are applied.")</f>
        <v>Recall examples of real-life situations where inverse proportional relationships are applied.</v>
      </c>
      <c r="K139" s="10" t="str">
        <f t="shared" si="1"/>
        <v>LU000752.002</v>
      </c>
      <c r="L139" s="10" t="str">
        <f ca="1">IFERROR(__xludf.DUMMYFUNCTION("VLOOKUP(K139, IMPORTRANGE(""https://docs.google.com/spreadsheets/d/1yDAaXNsi4Mr5FtRQL4tbmSdIzhx6_m4wkOD7IG-k_eo/edit#gid=0"", ""Maths!M:N""), 2, FALSE)"),"Explain the concept of inverse proportionality and how it relates to real-life scenarios")</f>
        <v>Explain the concept of inverse proportionality and how it relates to real-life scenarios</v>
      </c>
      <c r="M139" s="10" t="str">
        <f t="shared" si="2"/>
        <v>LU000752.003</v>
      </c>
      <c r="N139" s="10" t="str">
        <f ca="1">IFERROR(__xludf.DUMMYFUNCTION("VLOOKUP(M139, IMPORTRANGE(""https://docs.google.com/spreadsheets/d/1yDAaXNsi4Mr5FtRQL4tbmSdIzhx6_m4wkOD7IG-k_eo/edit#gid=0"", ""Maths!M:N""), 2, FALSE)"),"Apply inverse proportional relationships to solve practical problems in various contexts.")</f>
        <v>Apply inverse proportional relationships to solve practical problems in various contexts.</v>
      </c>
      <c r="O139" s="10" t="str">
        <f t="shared" si="3"/>
        <v>LU000752.004</v>
      </c>
      <c r="P139" s="10" t="str">
        <f ca="1">IFERROR(__xludf.DUMMYFUNCTION("VLOOKUP(O139, IMPORTRANGE(""https://docs.google.com/spreadsheets/d/1yDAaXNsi4Mr5FtRQL4tbmSdIzhx6_m4wkOD7IG-k_eo/edit#gid=0"", ""Maths!M:N""), 2, FALSE)"),"Analyze complex real-world scenarios and identify variables that exhibit inverse proportional relationships, discerning patterns within data.")</f>
        <v>Analyze complex real-world scenarios and identify variables that exhibit inverse proportional relationships, discerning patterns within data.</v>
      </c>
      <c r="Q139" s="10" t="str">
        <f t="shared" si="4"/>
        <v>LU000752.005</v>
      </c>
      <c r="R139" s="10" t="str">
        <f ca="1">IFERROR(__xludf.DUMMYFUNCTION("VLOOKUP(Q139, IMPORTRANGE(""https://docs.google.com/spreadsheets/d/1yDAaXNsi4Mr5FtRQL4tbmSdIzhx6_m4wkOD7IG-k_eo/edit#gid=0"", ""Maths!M:N""), 2, FALSE)"),"Evaluate the effectiveness of using inverse proportional relationships to make predictions and solve problems in various practical situations.")</f>
        <v>Evaluate the effectiveness of using inverse proportional relationships to make predictions and solve problems in various practical situations.</v>
      </c>
      <c r="S139" s="10" t="str">
        <f t="shared" si="5"/>
        <v>LU000752.006</v>
      </c>
      <c r="T139" s="10" t="str">
        <f ca="1">IFERROR(__xludf.DUMMYFUNCTION("VLOOKUP(S139, IMPORTRANGE(""https://docs.google.com/spreadsheets/d/1yDAaXNsi4Mr5FtRQL4tbmSdIzhx6_m4wkOD7IG-k_eo/edit#gid=0"", ""Maths!M:N""), 2, FALSE)"),"Design and implement a real-life experiment or project that explores inverse proportional relationships, collect data, and draw conclusions based on the findings, demonstrating the ability to apply and analyze the concept in a novel context.")</f>
        <v>Design and implement a real-life experiment or project that explores inverse proportional relationships, collect data, and draw conclusions based on the findings, demonstrating the ability to apply and analyze the concept in a novel context.</v>
      </c>
      <c r="U139" s="52">
        <f ca="1">IFERROR(__xludf.DUMMYFUNCTION("ArrayFormula(VLOOKUP(G139, IMPORTRANGE(""https://docs.google.com/spreadsheets/d/1p7R4vtkWt5VOBim4ltsDG9KTzSjrtKXsMtQGXPHyND0/edit#gid=795171502"", ""'Filter 30_05_2024'!A1:M2000""), {2, 3, 4, 5,6,7,8,9,10,11,12,13}, 0))"),4)</f>
        <v>4</v>
      </c>
      <c r="V139" s="52">
        <f ca="1">IFERROR(__xludf.DUMMYFUNCTION("""COMPUTED_VALUE"""),6)</f>
        <v>6</v>
      </c>
      <c r="W139" s="52">
        <f ca="1">IFERROR(__xludf.DUMMYFUNCTION("""COMPUTED_VALUE"""),2)</f>
        <v>2</v>
      </c>
      <c r="X139" s="52">
        <f ca="1">IFERROR(__xludf.DUMMYFUNCTION("""COMPUTED_VALUE"""),12)</f>
        <v>12</v>
      </c>
      <c r="Y139" s="52">
        <f ca="1">IFERROR(__xludf.DUMMYFUNCTION("""COMPUTED_VALUE"""),4)</f>
        <v>4</v>
      </c>
      <c r="Z139" s="53">
        <f ca="1">IFERROR(__xludf.DUMMYFUNCTION("""COMPUTED_VALUE"""),3)</f>
        <v>3</v>
      </c>
      <c r="AA139" s="53">
        <f ca="1">IFERROR(__xludf.DUMMYFUNCTION("""COMPUTED_VALUE"""),1)</f>
        <v>1</v>
      </c>
      <c r="AB139" s="53">
        <f ca="1">IFERROR(__xludf.DUMMYFUNCTION("""COMPUTED_VALUE"""),8)</f>
        <v>8</v>
      </c>
      <c r="AC139" s="53"/>
      <c r="AD139" s="53"/>
      <c r="AE139" s="53"/>
      <c r="AF139" s="53"/>
      <c r="AG139" s="8" t="str">
        <f ca="1">IFERROR(__xludf.DUMMYFUNCTION("ArrayFormula(VLOOKUP(G139, IMPORTRANGE(""https://docs.google.com/spreadsheets/d/1Co934fvtviyaRiMsrIlT05Jaq7iiYq07aLvRr35KA48/edit?gid=173865642#gid=173865642"", ""'G8_Maths_Pri_LU'!G2:V2000""), {3, 4, 5, 6, 7, 8, 9, 10, 11, 12, 13, 14, 15, 16}, 0))"),"LU000755")</f>
        <v>LU000755</v>
      </c>
      <c r="AH139" s="8" t="str">
        <f ca="1">IFERROR(__xludf.DUMMYFUNCTION("""COMPUTED_VALUE"""),"Interpret tables of inverse proportional relationships")</f>
        <v>Interpret tables of inverse proportional relationships</v>
      </c>
      <c r="AI139" s="8" t="str">
        <f ca="1">IFERROR(__xludf.DUMMYFUNCTION("""COMPUTED_VALUE"""),"LU000749")</f>
        <v>LU000749</v>
      </c>
      <c r="AJ139" s="8" t="str">
        <f ca="1">IFERROR(__xludf.DUMMYFUNCTION("""COMPUTED_VALUE"""),"Definition of inverse proportion")</f>
        <v>Definition of inverse proportion</v>
      </c>
      <c r="AK139" s="8" t="str">
        <f ca="1">IFERROR(__xludf.DUMMYFUNCTION("""COMPUTED_VALUE"""),"LU000345")</f>
        <v>LU000345</v>
      </c>
      <c r="AL139" s="8" t="str">
        <f ca="1">IFERROR(__xludf.DUMMYFUNCTION("""COMPUTED_VALUE"""),"Definition of proportion")</f>
        <v>Definition of proportion</v>
      </c>
      <c r="AM139" s="8" t="str">
        <f ca="1">IFERROR(__xludf.DUMMYFUNCTION("""COMPUTED_VALUE"""),"LU000410")</f>
        <v>LU000410</v>
      </c>
      <c r="AN139" s="8" t="str">
        <f ca="1">IFERROR(__xludf.DUMMYFUNCTION("""COMPUTED_VALUE"""),"Solution of a simple equation by transpose method")</f>
        <v>Solution of a simple equation by transpose method</v>
      </c>
      <c r="AO139" s="8"/>
      <c r="AP139" s="8"/>
      <c r="AQ139" s="8"/>
      <c r="AR139" s="8"/>
      <c r="AS139" s="8"/>
      <c r="AT139" s="8"/>
      <c r="AU139" s="8"/>
      <c r="AV139" s="8"/>
      <c r="AW139" s="8"/>
      <c r="AX139" s="8"/>
      <c r="AY139" s="8"/>
      <c r="AZ139" s="8"/>
      <c r="BA139" s="8"/>
      <c r="BB139" s="8"/>
      <c r="BC139" s="8"/>
      <c r="BD139" s="8"/>
      <c r="BE139" s="8"/>
    </row>
    <row r="140" spans="1:57">
      <c r="A140" s="8" t="s">
        <v>247</v>
      </c>
      <c r="B140" s="8" t="s">
        <v>47</v>
      </c>
      <c r="C140" s="8" t="s">
        <v>731</v>
      </c>
      <c r="D140" s="8" t="s">
        <v>732</v>
      </c>
      <c r="E140" s="8" t="s">
        <v>933</v>
      </c>
      <c r="F140" s="54" t="s">
        <v>942</v>
      </c>
      <c r="G140" s="8" t="s">
        <v>944</v>
      </c>
      <c r="H140" s="8" t="str">
        <f ca="1">IFERROR(__xludf.DUMMYFUNCTION("VLOOKUP(G140, IMPORTRANGE(""https://docs.google.com/spreadsheets/d/14deopnvwcrKtEGCKuYXdUHJbeLDZlkiSSWWT0g7x2pM/edit#gid=999382323"", ""LU List Maths (Filter)!A:B""), 2, FALSE)"),"Applications of direct proportional relationships in real-life scenarios")</f>
        <v>Applications of direct proportional relationships in real-life scenarios</v>
      </c>
      <c r="I140" s="10" t="str">
        <f t="shared" si="0"/>
        <v>LU000751.001</v>
      </c>
      <c r="J140" s="10" t="str">
        <f ca="1">IFERROR(__xludf.DUMMYFUNCTION("VLOOKUP(I140, IMPORTRANGE(""https://docs.google.com/spreadsheets/d/1yDAaXNsi4Mr5FtRQL4tbmSdIzhx6_m4wkOD7IG-k_eo/edit#gid=0"", ""Maths!M:N""), 2, FALSE)"),"List examples of real-life situations where direct proportional relationships are applied.")</f>
        <v>List examples of real-life situations where direct proportional relationships are applied.</v>
      </c>
      <c r="K140" s="10" t="str">
        <f t="shared" si="1"/>
        <v>LU000751.002</v>
      </c>
      <c r="L140" s="10" t="str">
        <f ca="1">IFERROR(__xludf.DUMMYFUNCTION("VLOOKUP(K140, IMPORTRANGE(""https://docs.google.com/spreadsheets/d/1yDAaXNsi4Mr5FtRQL4tbmSdIzhx6_m4wkOD7IG-k_eo/edit#gid=0"", ""Maths!M:N""), 2, FALSE)"),"Explain the concept of direct proportionality and how it relates to real-life scenarios")</f>
        <v>Explain the concept of direct proportionality and how it relates to real-life scenarios</v>
      </c>
      <c r="M140" s="10" t="str">
        <f t="shared" si="2"/>
        <v>LU000751.003</v>
      </c>
      <c r="N140" s="10" t="str">
        <f ca="1">IFERROR(__xludf.DUMMYFUNCTION("VLOOKUP(M140, IMPORTRANGE(""https://docs.google.com/spreadsheets/d/1yDAaXNsi4Mr5FtRQL4tbmSdIzhx6_m4wkOD7IG-k_eo/edit#gid=0"", ""Maths!M:N""), 2, FALSE)"),"Apply direct proportional relationships to solve practical problems in various contexts.")</f>
        <v>Apply direct proportional relationships to solve practical problems in various contexts.</v>
      </c>
      <c r="O140" s="10" t="str">
        <f t="shared" si="3"/>
        <v>LU000751.004</v>
      </c>
      <c r="P140" s="10" t="str">
        <f ca="1">IFERROR(__xludf.DUMMYFUNCTION("VLOOKUP(O140, IMPORTRANGE(""https://docs.google.com/spreadsheets/d/1yDAaXNsi4Mr5FtRQL4tbmSdIzhx6_m4wkOD7IG-k_eo/edit#gid=0"", ""Maths!M:N""), 2, FALSE)"),"Analyze complex real-world scenarios and identify variables that exhibit direct proportional relationships, discerning patterns within data.")</f>
        <v>Analyze complex real-world scenarios and identify variables that exhibit direct proportional relationships, discerning patterns within data.</v>
      </c>
      <c r="Q140" s="10" t="str">
        <f t="shared" si="4"/>
        <v>LU000751.005</v>
      </c>
      <c r="R140" s="10" t="str">
        <f ca="1">IFERROR(__xludf.DUMMYFUNCTION("VLOOKUP(Q140, IMPORTRANGE(""https://docs.google.com/spreadsheets/d/1yDAaXNsi4Mr5FtRQL4tbmSdIzhx6_m4wkOD7IG-k_eo/edit#gid=0"", ""Maths!M:N""), 2, FALSE)"),"Evaluate the effectiveness of using direct proportional relationships to make predictions and solve problems in various practical situations.")</f>
        <v>Evaluate the effectiveness of using direct proportional relationships to make predictions and solve problems in various practical situations.</v>
      </c>
      <c r="S140" s="10" t="str">
        <f t="shared" si="5"/>
        <v>LU000751.006</v>
      </c>
      <c r="T140" s="10" t="str">
        <f ca="1">IFERROR(__xludf.DUMMYFUNCTION("VLOOKUP(S140, IMPORTRANGE(""https://docs.google.com/spreadsheets/d/1yDAaXNsi4Mr5FtRQL4tbmSdIzhx6_m4wkOD7IG-k_eo/edit#gid=0"", ""Maths!M:N""), 2, FALSE)"),"Design and implement a real-life experiment or project that explores direct proportional relationships, collect data, and draw conclusions based on the findings, demonstrating the ability to apply and analyze the concept in a novel context.")</f>
        <v>Design and implement a real-life experiment or project that explores direct proportional relationships, collect data, and draw conclusions based on the findings, demonstrating the ability to apply and analyze the concept in a novel context.</v>
      </c>
      <c r="U140" s="52">
        <f ca="1">IFERROR(__xludf.DUMMYFUNCTION("ArrayFormula(VLOOKUP(G140, IMPORTRANGE(""https://docs.google.com/spreadsheets/d/1p7R4vtkWt5VOBim4ltsDG9KTzSjrtKXsMtQGXPHyND0/edit#gid=795171502"", ""'Filter 30_05_2024'!A1:M2000""), {2, 3, 4, 5,6,7,8,9,10,11,12,13}, 0))"),4)</f>
        <v>4</v>
      </c>
      <c r="V140" s="52">
        <f ca="1">IFERROR(__xludf.DUMMYFUNCTION("""COMPUTED_VALUE"""),6)</f>
        <v>6</v>
      </c>
      <c r="W140" s="52">
        <f ca="1">IFERROR(__xludf.DUMMYFUNCTION("""COMPUTED_VALUE"""),2)</f>
        <v>2</v>
      </c>
      <c r="X140" s="52">
        <f ca="1">IFERROR(__xludf.DUMMYFUNCTION("""COMPUTED_VALUE"""),12)</f>
        <v>12</v>
      </c>
      <c r="Y140" s="52">
        <f ca="1">IFERROR(__xludf.DUMMYFUNCTION("""COMPUTED_VALUE"""),4)</f>
        <v>4</v>
      </c>
      <c r="Z140" s="53">
        <f ca="1">IFERROR(__xludf.DUMMYFUNCTION("""COMPUTED_VALUE"""),3)</f>
        <v>3</v>
      </c>
      <c r="AA140" s="53">
        <f ca="1">IFERROR(__xludf.DUMMYFUNCTION("""COMPUTED_VALUE"""),1)</f>
        <v>1</v>
      </c>
      <c r="AB140" s="53">
        <f ca="1">IFERROR(__xludf.DUMMYFUNCTION("""COMPUTED_VALUE"""),8)</f>
        <v>8</v>
      </c>
      <c r="AC140" s="53"/>
      <c r="AD140" s="53"/>
      <c r="AE140" s="53"/>
      <c r="AF140" s="53"/>
      <c r="AG140" s="8" t="str">
        <f ca="1">IFERROR(__xludf.DUMMYFUNCTION("ArrayFormula(VLOOKUP(G140, IMPORTRANGE(""https://docs.google.com/spreadsheets/d/1Co934fvtviyaRiMsrIlT05Jaq7iiYq07aLvRr35KA48/edit?gid=173865642#gid=173865642"", ""'G8_Maths_Pri_LU'!G2:V2000""), {3, 4, 5, 6, 7, 8, 9, 10, 11, 12, 13, 14, 15, 16}, 0))"),"LU000754")</f>
        <v>LU000754</v>
      </c>
      <c r="AH140" s="8" t="str">
        <f ca="1">IFERROR(__xludf.DUMMYFUNCTION("""COMPUTED_VALUE"""),"Interpret tables of direct proportional relationships")</f>
        <v>Interpret tables of direct proportional relationships</v>
      </c>
      <c r="AI140" s="8" t="str">
        <f ca="1">IFERROR(__xludf.DUMMYFUNCTION("""COMPUTED_VALUE"""),"LU000748")</f>
        <v>LU000748</v>
      </c>
      <c r="AJ140" s="8" t="str">
        <f ca="1">IFERROR(__xludf.DUMMYFUNCTION("""COMPUTED_VALUE"""),"Definition of direct proportion")</f>
        <v>Definition of direct proportion</v>
      </c>
      <c r="AK140" s="8" t="str">
        <f ca="1">IFERROR(__xludf.DUMMYFUNCTION("""COMPUTED_VALUE"""),"LU000345")</f>
        <v>LU000345</v>
      </c>
      <c r="AL140" s="8" t="str">
        <f ca="1">IFERROR(__xludf.DUMMYFUNCTION("""COMPUTED_VALUE"""),"Definition of proportion")</f>
        <v>Definition of proportion</v>
      </c>
      <c r="AM140" s="8" t="str">
        <f ca="1">IFERROR(__xludf.DUMMYFUNCTION("""COMPUTED_VALUE"""),"LU000410")</f>
        <v>LU000410</v>
      </c>
      <c r="AN140" s="8" t="str">
        <f ca="1">IFERROR(__xludf.DUMMYFUNCTION("""COMPUTED_VALUE"""),"Solution of a simple equation by transpose method")</f>
        <v>Solution of a simple equation by transpose method</v>
      </c>
      <c r="AO140" s="8"/>
      <c r="AP140" s="8"/>
      <c r="AQ140" s="8"/>
      <c r="AR140" s="8"/>
      <c r="AS140" s="8"/>
      <c r="AT140" s="8"/>
      <c r="AU140" s="8"/>
      <c r="AV140" s="8"/>
      <c r="AW140" s="8"/>
      <c r="AX140" s="8"/>
      <c r="AY140" s="8"/>
      <c r="AZ140" s="8"/>
      <c r="BA140" s="8"/>
      <c r="BB140" s="8"/>
      <c r="BC140" s="8"/>
      <c r="BD140" s="8"/>
      <c r="BE140" s="8"/>
    </row>
    <row r="141" spans="1:57">
      <c r="A141" s="8" t="s">
        <v>247</v>
      </c>
      <c r="B141" s="8" t="s">
        <v>47</v>
      </c>
      <c r="C141" s="8" t="s">
        <v>731</v>
      </c>
      <c r="D141" s="8" t="s">
        <v>732</v>
      </c>
      <c r="E141" s="8" t="s">
        <v>933</v>
      </c>
      <c r="F141" s="54" t="s">
        <v>942</v>
      </c>
      <c r="G141" s="8" t="s">
        <v>945</v>
      </c>
      <c r="H141" s="8" t="str">
        <f ca="1">IFERROR(__xludf.DUMMYFUNCTION("VLOOKUP(G141, IMPORTRANGE(""https://docs.google.com/spreadsheets/d/14deopnvwcrKtEGCKuYXdUHJbeLDZlkiSSWWT0g7x2pM/edit#gid=999382323"", ""LU List Maths (Filter)!A:B""), 2, FALSE)"),"Proportional scaling in map and model interpretation")</f>
        <v>Proportional scaling in map and model interpretation</v>
      </c>
      <c r="I141" s="10" t="str">
        <f t="shared" si="0"/>
        <v>LU000756.001</v>
      </c>
      <c r="J141" s="10" t="str">
        <f ca="1">IFERROR(__xludf.DUMMYFUNCTION("VLOOKUP(I141, IMPORTRANGE(""https://docs.google.com/spreadsheets/d/1yDAaXNsi4Mr5FtRQL4tbmSdIzhx6_m4wkOD7IG-k_eo/edit#gid=0"", ""Maths!M:N""), 2, FALSE)"),"State the significance of maintaining proportions in maps and models.")</f>
        <v>State the significance of maintaining proportions in maps and models.</v>
      </c>
      <c r="K141" s="10" t="str">
        <f t="shared" si="1"/>
        <v>LU000756.002</v>
      </c>
      <c r="L141" s="10" t="str">
        <f ca="1">IFERROR(__xludf.DUMMYFUNCTION("VLOOKUP(K141, IMPORTRANGE(""https://docs.google.com/spreadsheets/d/1yDAaXNsi4Mr5FtRQL4tbmSdIzhx6_m4wkOD7IG-k_eo/edit#gid=0"", ""Maths!M:N""), 2, FALSE)"),"Differentiate between proportional scaling and non-proportional representations in maps and models.")</f>
        <v>Differentiate between proportional scaling and non-proportional representations in maps and models.</v>
      </c>
      <c r="M141" s="10" t="str">
        <f t="shared" si="2"/>
        <v>LU000756.003</v>
      </c>
      <c r="N141" s="10" t="str">
        <f ca="1">IFERROR(__xludf.DUMMYFUNCTION("VLOOKUP(M141, IMPORTRANGE(""https://docs.google.com/spreadsheets/d/1yDAaXNsi4Mr5FtRQL4tbmSdIzhx6_m4wkOD7IG-k_eo/edit#gid=0"", ""Maths!M:N""), 2, FALSE)"),"Apply proportional scaling to create a scaled-down/scale-up map of a real-world location.")</f>
        <v>Apply proportional scaling to create a scaled-down/scale-up map of a real-world location.</v>
      </c>
      <c r="O141" s="10" t="str">
        <f t="shared" si="3"/>
        <v>LU000756.004</v>
      </c>
      <c r="P141" s="10" t="str">
        <f ca="1">IFERROR(__xludf.DUMMYFUNCTION("VLOOKUP(O141, IMPORTRANGE(""https://docs.google.com/spreadsheets/d/1yDAaXNsi4Mr5FtRQL4tbmSdIzhx6_m4wkOD7IG-k_eo/edit#gid=0"", ""Maths!M:N""), 2, FALSE)"),"Compare and contrast the use of different scales for various map and model applications.")</f>
        <v>Compare and contrast the use of different scales for various map and model applications.</v>
      </c>
      <c r="Q141" s="10" t="str">
        <f t="shared" si="4"/>
        <v>LU000756.005</v>
      </c>
      <c r="R141" s="10" t="str">
        <f ca="1">IFERROR(__xludf.DUMMYFUNCTION("VLOOKUP(Q141, IMPORTRANGE(""https://docs.google.com/spreadsheets/d/1yDAaXNsi4Mr5FtRQL4tbmSdIzhx6_m4wkOD7IG-k_eo/edit#gid=0"", ""Maths!M:N""), 2, FALSE)"),"Compare and contrast the use of different scales for various map and model applications.")</f>
        <v>Compare and contrast the use of different scales for various map and model applications.</v>
      </c>
      <c r="S141" s="10" t="str">
        <f t="shared" si="5"/>
        <v>LU000756.006</v>
      </c>
      <c r="T141" s="10" t="str">
        <f ca="1">IFERROR(__xludf.DUMMYFUNCTION("VLOOKUP(S141, IMPORTRANGE(""https://docs.google.com/spreadsheets/d/1yDAaXNsi4Mr5FtRQL4tbmSdIzhx6_m4wkOD7IG-k_eo/edit#gid=0"", ""Maths!M:N""), 2, FALSE)"),"Construct a model of a complex structure while maintaining proportional relationships among its parts.")</f>
        <v>Construct a model of a complex structure while maintaining proportional relationships among its parts.</v>
      </c>
      <c r="U141" s="52">
        <f ca="1">IFERROR(__xludf.DUMMYFUNCTION("ArrayFormula(VLOOKUP(G141, IMPORTRANGE(""https://docs.google.com/spreadsheets/d/1p7R4vtkWt5VOBim4ltsDG9KTzSjrtKXsMtQGXPHyND0/edit#gid=795171502"", ""'Filter 30_05_2024'!A1:M2000""), {2, 3, 4, 5,6,7,8,9,10,11,12,13}, 0))"),5)</f>
        <v>5</v>
      </c>
      <c r="V141" s="52">
        <f ca="1">IFERROR(__xludf.DUMMYFUNCTION("""COMPUTED_VALUE"""),6)</f>
        <v>6</v>
      </c>
      <c r="W141" s="52">
        <f ca="1">IFERROR(__xludf.DUMMYFUNCTION("""COMPUTED_VALUE"""),2)</f>
        <v>2</v>
      </c>
      <c r="X141" s="52">
        <f ca="1">IFERROR(__xludf.DUMMYFUNCTION("""COMPUTED_VALUE"""),13)</f>
        <v>13</v>
      </c>
      <c r="Y141" s="52">
        <f ca="1">IFERROR(__xludf.DUMMYFUNCTION("""COMPUTED_VALUE"""),4)</f>
        <v>4</v>
      </c>
      <c r="Z141" s="53">
        <f ca="1">IFERROR(__xludf.DUMMYFUNCTION("""COMPUTED_VALUE"""),3)</f>
        <v>3</v>
      </c>
      <c r="AA141" s="53">
        <f ca="1">IFERROR(__xludf.DUMMYFUNCTION("""COMPUTED_VALUE"""),1)</f>
        <v>1</v>
      </c>
      <c r="AB141" s="53">
        <f ca="1">IFERROR(__xludf.DUMMYFUNCTION("""COMPUTED_VALUE"""),8)</f>
        <v>8</v>
      </c>
      <c r="AC141" s="53"/>
      <c r="AD141" s="53"/>
      <c r="AE141" s="53"/>
      <c r="AF141" s="53"/>
      <c r="AG141" s="8" t="str">
        <f ca="1">IFERROR(__xludf.DUMMYFUNCTION("ArrayFormula(VLOOKUP(G141, IMPORTRANGE(""https://docs.google.com/spreadsheets/d/1Co934fvtviyaRiMsrIlT05Jaq7iiYq07aLvRr35KA48/edit?gid=173865642#gid=173865642"", ""'G8_Maths_Pri_LU'!G2:V2000""), {3, 4, 5, 6, 7, 8, 9, 10, 11, 12, 13, 14, 15, 16}, 0))"),"LU000319")</f>
        <v>LU000319</v>
      </c>
      <c r="AH141" s="8" t="str">
        <f ca="1">IFERROR(__xludf.DUMMYFUNCTION("""COMPUTED_VALUE"""),"Definition of scale factor")</f>
        <v>Definition of scale factor</v>
      </c>
      <c r="AI141" s="8" t="str">
        <f ca="1">IFERROR(__xludf.DUMMYFUNCTION("""COMPUTED_VALUE"""),"LU000748")</f>
        <v>LU000748</v>
      </c>
      <c r="AJ141" s="8" t="str">
        <f ca="1">IFERROR(__xludf.DUMMYFUNCTION("""COMPUTED_VALUE"""),"Definition of direct proportion")</f>
        <v>Definition of direct proportion</v>
      </c>
      <c r="AK141" s="8" t="str">
        <f ca="1">IFERROR(__xludf.DUMMYFUNCTION("""COMPUTED_VALUE"""),"LU000073")</f>
        <v>LU000073</v>
      </c>
      <c r="AL141" s="8" t="str">
        <f ca="1">IFERROR(__xludf.DUMMYFUNCTION("""COMPUTED_VALUE"""),"Interpretation of the map using the given scale (directions, biggest angle formed, right angles formed by roads)")</f>
        <v>Interpretation of the map using the given scale (directions, biggest angle formed, right angles formed by roads)</v>
      </c>
      <c r="AM141" s="8" t="str">
        <f ca="1">IFERROR(__xludf.DUMMYFUNCTION("""COMPUTED_VALUE"""),"LU000163")</f>
        <v>LU000163</v>
      </c>
      <c r="AN141" s="8" t="str">
        <f ca="1">IFERROR(__xludf.DUMMYFUNCTION("""COMPUTED_VALUE"""),"Conversion between different units of length (in whole number)")</f>
        <v>Conversion between different units of length (in whole number)</v>
      </c>
      <c r="AO141" s="8" t="str">
        <f ca="1">IFERROR(__xludf.DUMMYFUNCTION("""COMPUTED_VALUE"""),"LU000342")</f>
        <v>LU000342</v>
      </c>
      <c r="AP141" s="8" t="str">
        <f ca="1">IFERROR(__xludf.DUMMYFUNCTION("""COMPUTED_VALUE"""),"Definition of ratio")</f>
        <v>Definition of ratio</v>
      </c>
      <c r="AQ141" s="8"/>
      <c r="AR141" s="8"/>
      <c r="AS141" s="8"/>
      <c r="AT141" s="8"/>
      <c r="AU141" s="8"/>
      <c r="AV141" s="8"/>
      <c r="AW141" s="8"/>
      <c r="AX141" s="8"/>
      <c r="AY141" s="8"/>
      <c r="AZ141" s="8"/>
      <c r="BA141" s="8"/>
      <c r="BB141" s="8"/>
      <c r="BC141" s="8"/>
      <c r="BD141" s="8"/>
      <c r="BE141" s="8"/>
    </row>
    <row r="142" spans="1:57">
      <c r="A142" s="8" t="s">
        <v>247</v>
      </c>
      <c r="B142" s="8" t="s">
        <v>47</v>
      </c>
      <c r="C142" s="8" t="s">
        <v>731</v>
      </c>
      <c r="D142" s="8" t="s">
        <v>732</v>
      </c>
      <c r="E142" s="8" t="s">
        <v>946</v>
      </c>
      <c r="F142" s="54" t="s">
        <v>947</v>
      </c>
      <c r="G142" s="8" t="s">
        <v>948</v>
      </c>
      <c r="H142" s="8" t="str">
        <f ca="1">IFERROR(__xludf.DUMMYFUNCTION("VLOOKUP(G142, IMPORTRANGE(""https://docs.google.com/spreadsheets/d/14deopnvwcrKtEGCKuYXdUHJbeLDZlkiSSWWT0g7x2pM/edit#gid=999382323"", ""LU List Maths (Filter)!A:B""), 2, FALSE)"),"Common factors of a monomial")</f>
        <v>Common factors of a monomial</v>
      </c>
      <c r="I142" s="10" t="str">
        <f t="shared" si="0"/>
        <v>LU000770.001</v>
      </c>
      <c r="J142" s="10" t="str">
        <f ca="1">IFERROR(__xludf.DUMMYFUNCTION("VLOOKUP(I142, IMPORTRANGE(""https://docs.google.com/spreadsheets/d/1yDAaXNsi4Mr5FtRQL4tbmSdIzhx6_m4wkOD7IG-k_eo/edit#gid=0"", ""Maths!M:N""), 2, FALSE)"),"List the common factors of given monomials.")</f>
        <v>List the common factors of given monomials.</v>
      </c>
      <c r="K142" s="10" t="str">
        <f t="shared" si="1"/>
        <v>LU000770.002</v>
      </c>
      <c r="L142" s="10" t="str">
        <f ca="1">IFERROR(__xludf.DUMMYFUNCTION("VLOOKUP(K142, IMPORTRANGE(""https://docs.google.com/spreadsheets/d/1yDAaXNsi4Mr5FtRQL4tbmSdIzhx6_m4wkOD7IG-k_eo/edit#gid=0"", ""Maths!M:N""), 2, FALSE)"),"Describe the concept of common factors in a monomial, recognizing that they are shared values that can be factored out.")</f>
        <v>Describe the concept of common factors in a monomial, recognizing that they are shared values that can be factored out.</v>
      </c>
      <c r="M142" s="10" t="str">
        <f t="shared" si="2"/>
        <v>LU000770.003</v>
      </c>
      <c r="N142" s="10" t="str">
        <f ca="1">IFERROR(__xludf.DUMMYFUNCTION("VLOOKUP(M142, IMPORTRANGE(""https://docs.google.com/spreadsheets/d/1yDAaXNsi4Mr5FtRQL4tbmSdIzhx6_m4wkOD7IG-k_eo/edit#gid=0"", ""Maths!M:N""), 2, FALSE)"),"Apply the knowledge of common factors to simplify monomials, demonstrating proficiency in factoring out these shared values.")</f>
        <v>Apply the knowledge of common factors to simplify monomials, demonstrating proficiency in factoring out these shared values.</v>
      </c>
      <c r="O142" s="10" t="str">
        <f t="shared" si="3"/>
        <v>LU000770.004</v>
      </c>
      <c r="P142" s="10" t="str">
        <f ca="1">IFERROR(__xludf.DUMMYFUNCTION("VLOOKUP(O142, IMPORTRANGE(""https://docs.google.com/spreadsheets/d/1yDAaXNsi4Mr5FtRQL4tbmSdIzhx6_m4wkOD7IG-k_eo/edit#gid=0"", ""Maths!M:N""), 2, FALSE)"),"Compare different methods of identifying common factors in monomials.")</f>
        <v>Compare different methods of identifying common factors in monomials.</v>
      </c>
      <c r="Q142" s="10" t="str">
        <f t="shared" si="4"/>
        <v>LU000770.005</v>
      </c>
      <c r="R142" s="10" t="str">
        <f ca="1">IFERROR(__xludf.DUMMYFUNCTION("VLOOKUP(Q142, IMPORTRANGE(""https://docs.google.com/spreadsheets/d/1yDAaXNsi4Mr5FtRQL4tbmSdIzhx6_m4wkOD7IG-k_eo/edit#gid=0"", ""Maths!M:N""), 2, FALSE)"),"Evaluate the accuracy of results when finding common factors of monomials")</f>
        <v>Evaluate the accuracy of results when finding common factors of monomials</v>
      </c>
      <c r="S142" s="10" t="str">
        <f t="shared" si="5"/>
        <v>LU000770.006</v>
      </c>
      <c r="T142" s="10" t="str">
        <f ca="1">IFERROR(__xludf.DUMMYFUNCTION("VLOOKUP(S142, IMPORTRANGE(""https://docs.google.com/spreadsheets/d/1yDAaXNsi4Mr5FtRQL4tbmSdIzhx6_m4wkOD7IG-k_eo/edit#gid=0"", ""Maths!M:N""), 2, FALSE)"),"#N/A")</f>
        <v>#N/A</v>
      </c>
      <c r="U142" s="52">
        <f ca="1">IFERROR(__xludf.DUMMYFUNCTION("ArrayFormula(VLOOKUP(G142, IMPORTRANGE(""https://docs.google.com/spreadsheets/d/1p7R4vtkWt5VOBim4ltsDG9KTzSjrtKXsMtQGXPHyND0/edit#gid=795171502"", ""'Filter 30_05_2024'!A1:M2000""), {2, 3, 4, 5,6,7,8,9,10,11,12,13}, 0))"),4)</f>
        <v>4</v>
      </c>
      <c r="V142" s="52">
        <f ca="1">IFERROR(__xludf.DUMMYFUNCTION("""COMPUTED_VALUE"""),6)</f>
        <v>6</v>
      </c>
      <c r="W142" s="52">
        <f ca="1">IFERROR(__xludf.DUMMYFUNCTION("""COMPUTED_VALUE"""),2)</f>
        <v>2</v>
      </c>
      <c r="X142" s="52">
        <f ca="1">IFERROR(__xludf.DUMMYFUNCTION("""COMPUTED_VALUE"""),12)</f>
        <v>12</v>
      </c>
      <c r="Y142" s="52">
        <f ca="1">IFERROR(__xludf.DUMMYFUNCTION("""COMPUTED_VALUE"""),4)</f>
        <v>4</v>
      </c>
      <c r="Z142" s="53">
        <f ca="1">IFERROR(__xludf.DUMMYFUNCTION("""COMPUTED_VALUE"""),3)</f>
        <v>3</v>
      </c>
      <c r="AA142" s="53">
        <f ca="1">IFERROR(__xludf.DUMMYFUNCTION("""COMPUTED_VALUE"""),1)</f>
        <v>1</v>
      </c>
      <c r="AB142" s="53">
        <f ca="1">IFERROR(__xludf.DUMMYFUNCTION("""COMPUTED_VALUE"""),8)</f>
        <v>8</v>
      </c>
      <c r="AC142" s="53"/>
      <c r="AD142" s="53"/>
      <c r="AE142" s="53"/>
      <c r="AF142" s="53"/>
      <c r="AG142" s="8" t="str">
        <f ca="1">IFERROR(__xludf.DUMMYFUNCTION("ArrayFormula(VLOOKUP(G142, IMPORTRANGE(""https://docs.google.com/spreadsheets/d/1Co934fvtviyaRiMsrIlT05Jaq7iiYq07aLvRr35KA48/edit?gid=173865642#gid=173865642"", ""'G8_Maths_Pri_LU'!G2:V2000""), {3, 4, 5, 6, 7, 8, 9, 10, 11, 12, 13, 14, 15, 16}, 0))"),"LU000506")</f>
        <v>LU000506</v>
      </c>
      <c r="AH142" s="8" t="str">
        <f ca="1">IFERROR(__xludf.DUMMYFUNCTION("""COMPUTED_VALUE"""),"Factors of a term of an algebraic expression")</f>
        <v>Factors of a term of an algebraic expression</v>
      </c>
      <c r="AI142" s="8" t="str">
        <f ca="1">IFERROR(__xludf.DUMMYFUNCTION("""COMPUTED_VALUE"""),"LU000507")</f>
        <v>LU000507</v>
      </c>
      <c r="AJ142" s="8" t="str">
        <f ca="1">IFERROR(__xludf.DUMMYFUNCTION("""COMPUTED_VALUE"""),"Definition of the coefficient of a term")</f>
        <v>Definition of the coefficient of a term</v>
      </c>
      <c r="AK142" s="8" t="str">
        <f ca="1">IFERROR(__xludf.DUMMYFUNCTION("""COMPUTED_VALUE"""),"LU000211")</f>
        <v>LU000211</v>
      </c>
      <c r="AL142" s="8" t="str">
        <f ca="1">IFERROR(__xludf.DUMMYFUNCTION("""COMPUTED_VALUE"""),"Highest Common Factor (HCF) of the numbers")</f>
        <v>Highest Common Factor (HCF) of the numbers</v>
      </c>
      <c r="AM142" s="8" t="str">
        <f ca="1">IFERROR(__xludf.DUMMYFUNCTION("""COMPUTED_VALUE"""),"LU000060")</f>
        <v>LU000060</v>
      </c>
      <c r="AN142" s="8" t="str">
        <f ca="1">IFERROR(__xludf.DUMMYFUNCTION("""COMPUTED_VALUE"""),"Common factors of numbers")</f>
        <v>Common factors of numbers</v>
      </c>
      <c r="AO142" s="8"/>
      <c r="AP142" s="8"/>
      <c r="AQ142" s="8"/>
      <c r="AR142" s="8"/>
      <c r="AS142" s="8"/>
      <c r="AT142" s="8"/>
      <c r="AU142" s="8"/>
      <c r="AV142" s="8"/>
      <c r="AW142" s="8"/>
      <c r="AX142" s="8"/>
      <c r="AY142" s="8"/>
      <c r="AZ142" s="8"/>
      <c r="BA142" s="8"/>
      <c r="BB142" s="8"/>
      <c r="BC142" s="8"/>
      <c r="BD142" s="8"/>
      <c r="BE142" s="8"/>
    </row>
    <row r="143" spans="1:57">
      <c r="A143" s="8" t="s">
        <v>247</v>
      </c>
      <c r="B143" s="8" t="s">
        <v>47</v>
      </c>
      <c r="C143" s="8" t="s">
        <v>731</v>
      </c>
      <c r="D143" s="8" t="s">
        <v>732</v>
      </c>
      <c r="E143" s="8" t="s">
        <v>946</v>
      </c>
      <c r="F143" s="54" t="s">
        <v>947</v>
      </c>
      <c r="G143" s="62" t="s">
        <v>949</v>
      </c>
      <c r="H143" s="8" t="str">
        <f ca="1">IFERROR(__xludf.DUMMYFUNCTION("VLOOKUP(G143, IMPORTRANGE(""https://docs.google.com/spreadsheets/d/14deopnvwcrKtEGCKuYXdUHJbeLDZlkiSSWWT0g7x2pM/edit#gid=999382323"", ""LU List Maths (Filter)!A:B""), 2, FALSE)"),"Highest common factor of monomials")</f>
        <v>Highest common factor of monomials</v>
      </c>
      <c r="I143" s="10" t="str">
        <f t="shared" si="0"/>
        <v>LU000771.001</v>
      </c>
      <c r="J143" s="10" t="str">
        <f ca="1">IFERROR(__xludf.DUMMYFUNCTION("VLOOKUP(I143, IMPORTRANGE(""https://docs.google.com/spreadsheets/d/1yDAaXNsi4Mr5FtRQL4tbmSdIzhx6_m4wkOD7IG-k_eo/edit#gid=0"", ""Maths!M:N""), 2, FALSE)"),"State the steps to find the highest common factor of monomials")</f>
        <v>State the steps to find the highest common factor of monomials</v>
      </c>
      <c r="K143" s="10" t="str">
        <f t="shared" si="1"/>
        <v>LU000771.002</v>
      </c>
      <c r="L143" s="10" t="str">
        <f ca="1">IFERROR(__xludf.DUMMYFUNCTION("VLOOKUP(K143, IMPORTRANGE(""https://docs.google.com/spreadsheets/d/1yDAaXNsi4Mr5FtRQL4tbmSdIzhx6_m4wkOD7IG-k_eo/edit#gid=0"", ""Maths!M:N""), 2, FALSE)"),"Describe the significance of finding the highest common factor (HCF) of monomials and how it simplifies algebraic expressions.")</f>
        <v>Describe the significance of finding the highest common factor (HCF) of monomials and how it simplifies algebraic expressions.</v>
      </c>
      <c r="M143" s="10" t="str">
        <f t="shared" si="2"/>
        <v>LU000771.003</v>
      </c>
      <c r="N143" s="10" t="str">
        <f ca="1">IFERROR(__xludf.DUMMYFUNCTION("VLOOKUP(M143, IMPORTRANGE(""https://docs.google.com/spreadsheets/d/1yDAaXNsi4Mr5FtRQL4tbmSdIzhx6_m4wkOD7IG-k_eo/edit#gid=0"", ""Maths!M:N""), 2, FALSE)"),"Apply the rules and methods for determining the highest common factor (HCF) of monomials to simplify algebraic expressions effectively.")</f>
        <v>Apply the rules and methods for determining the highest common factor (HCF) of monomials to simplify algebraic expressions effectively.</v>
      </c>
      <c r="O143" s="10" t="str">
        <f t="shared" si="3"/>
        <v>LU000771.004</v>
      </c>
      <c r="P143" s="10" t="str">
        <f ca="1">IFERROR(__xludf.DUMMYFUNCTION("VLOOKUP(O143, IMPORTRANGE(""https://docs.google.com/spreadsheets/d/1yDAaXNsi4Mr5FtRQL4tbmSdIzhx6_m4wkOD7IG-k_eo/edit#gid=0"", ""Maths!M:N""), 2, FALSE)"),"Analyze different monomials to identify and compute their highest common factor (HCF)")</f>
        <v>Analyze different monomials to identify and compute their highest common factor (HCF)</v>
      </c>
      <c r="Q143" s="10" t="str">
        <f t="shared" si="4"/>
        <v>LU000771.005</v>
      </c>
      <c r="R143" s="10" t="str">
        <f ca="1">IFERROR(__xludf.DUMMYFUNCTION("VLOOKUP(Q143, IMPORTRANGE(""https://docs.google.com/spreadsheets/d/1yDAaXNsi4Mr5FtRQL4tbmSdIzhx6_m4wkOD7IG-k_eo/edit#gid=0"", ""Maths!M:N""), 2, FALSE)"),"Evaluate the accuracy of calculated HCFs of monomials in various mathematical problems")</f>
        <v>Evaluate the accuracy of calculated HCFs of monomials in various mathematical problems</v>
      </c>
      <c r="S143" s="10" t="str">
        <f t="shared" si="5"/>
        <v>LU000771.006</v>
      </c>
      <c r="T143" s="10" t="str">
        <f ca="1">IFERROR(__xludf.DUMMYFUNCTION("VLOOKUP(S143, IMPORTRANGE(""https://docs.google.com/spreadsheets/d/1yDAaXNsi4Mr5FtRQL4tbmSdIzhx6_m4wkOD7IG-k_eo/edit#gid=0"", ""Maths!M:N""), 2, FALSE)"),"#N/A")</f>
        <v>#N/A</v>
      </c>
      <c r="U143" s="52">
        <f ca="1">IFERROR(__xludf.DUMMYFUNCTION("ArrayFormula(VLOOKUP(G143, IMPORTRANGE(""https://docs.google.com/spreadsheets/d/1p7R4vtkWt5VOBim4ltsDG9KTzSjrtKXsMtQGXPHyND0/edit#gid=795171502"", ""'Filter 30_05_2024'!A1:M2000""), {2, 3, 4, 5,6,7,8,9,10,11,12,13}, 0))"),4)</f>
        <v>4</v>
      </c>
      <c r="V143" s="52">
        <f ca="1">IFERROR(__xludf.DUMMYFUNCTION("""COMPUTED_VALUE"""),6)</f>
        <v>6</v>
      </c>
      <c r="W143" s="52">
        <f ca="1">IFERROR(__xludf.DUMMYFUNCTION("""COMPUTED_VALUE"""),2)</f>
        <v>2</v>
      </c>
      <c r="X143" s="52">
        <f ca="1">IFERROR(__xludf.DUMMYFUNCTION("""COMPUTED_VALUE"""),12)</f>
        <v>12</v>
      </c>
      <c r="Y143" s="52">
        <f ca="1">IFERROR(__xludf.DUMMYFUNCTION("""COMPUTED_VALUE"""),4)</f>
        <v>4</v>
      </c>
      <c r="Z143" s="53">
        <f ca="1">IFERROR(__xludf.DUMMYFUNCTION("""COMPUTED_VALUE"""),3)</f>
        <v>3</v>
      </c>
      <c r="AA143" s="53">
        <f ca="1">IFERROR(__xludf.DUMMYFUNCTION("""COMPUTED_VALUE"""),1)</f>
        <v>1</v>
      </c>
      <c r="AB143" s="53">
        <f ca="1">IFERROR(__xludf.DUMMYFUNCTION("""COMPUTED_VALUE"""),8)</f>
        <v>8</v>
      </c>
      <c r="AC143" s="53"/>
      <c r="AD143" s="53"/>
      <c r="AE143" s="53"/>
      <c r="AF143" s="53"/>
      <c r="AG143" s="8" t="str">
        <f ca="1">IFERROR(__xludf.DUMMYFUNCTION("ArrayFormula(VLOOKUP(G143, IMPORTRANGE(""https://docs.google.com/spreadsheets/d/1Co934fvtviyaRiMsrIlT05Jaq7iiYq07aLvRr35KA48/edit?gid=173865642#gid=173865642"", ""'G8_Maths_Pri_LU'!G2:V2000""), {3, 4, 5, 6, 7, 8, 9, 10, 11, 12, 13, 14, 15, 16}, 0))"),"LU000770")</f>
        <v>LU000770</v>
      </c>
      <c r="AH143" s="8" t="str">
        <f ca="1">IFERROR(__xludf.DUMMYFUNCTION("""COMPUTED_VALUE"""),"Common factors of a monomial")</f>
        <v>Common factors of a monomial</v>
      </c>
      <c r="AI143" s="8" t="str">
        <f ca="1">IFERROR(__xludf.DUMMYFUNCTION("""COMPUTED_VALUE"""),"LU000506")</f>
        <v>LU000506</v>
      </c>
      <c r="AJ143" s="8" t="str">
        <f ca="1">IFERROR(__xludf.DUMMYFUNCTION("""COMPUTED_VALUE"""),"Factors of a term of an algebraic expression")</f>
        <v>Factors of a term of an algebraic expression</v>
      </c>
      <c r="AK143" s="8" t="str">
        <f ca="1">IFERROR(__xludf.DUMMYFUNCTION("""COMPUTED_VALUE"""),"LU000211")</f>
        <v>LU000211</v>
      </c>
      <c r="AL143" s="8" t="str">
        <f ca="1">IFERROR(__xludf.DUMMYFUNCTION("""COMPUTED_VALUE"""),"Highest Common Factor (HCF) of the numbers")</f>
        <v>Highest Common Factor (HCF) of the numbers</v>
      </c>
      <c r="AM143" s="8" t="str">
        <f ca="1">IFERROR(__xludf.DUMMYFUNCTION("""COMPUTED_VALUE"""),"LU000060")</f>
        <v>LU000060</v>
      </c>
      <c r="AN143" s="8" t="str">
        <f ca="1">IFERROR(__xludf.DUMMYFUNCTION("""COMPUTED_VALUE"""),"Common factors of numbers")</f>
        <v>Common factors of numbers</v>
      </c>
      <c r="AO143" s="8"/>
      <c r="AP143" s="8"/>
      <c r="AQ143" s="8"/>
      <c r="AR143" s="8"/>
      <c r="AS143" s="8"/>
      <c r="AT143" s="8"/>
      <c r="AU143" s="8"/>
      <c r="AV143" s="8"/>
      <c r="AW143" s="8"/>
      <c r="AX143" s="8"/>
      <c r="AY143" s="8"/>
      <c r="AZ143" s="8"/>
      <c r="BA143" s="8"/>
      <c r="BB143" s="8"/>
      <c r="BC143" s="8"/>
      <c r="BD143" s="8"/>
      <c r="BE143" s="8"/>
    </row>
    <row r="144" spans="1:57">
      <c r="A144" s="8" t="s">
        <v>247</v>
      </c>
      <c r="B144" s="8" t="s">
        <v>47</v>
      </c>
      <c r="C144" s="8" t="s">
        <v>731</v>
      </c>
      <c r="D144" s="8" t="s">
        <v>732</v>
      </c>
      <c r="E144" s="8" t="s">
        <v>946</v>
      </c>
      <c r="F144" s="54" t="s">
        <v>947</v>
      </c>
      <c r="G144" s="8" t="s">
        <v>950</v>
      </c>
      <c r="H144" s="8" t="str">
        <f ca="1">IFERROR(__xludf.DUMMYFUNCTION("VLOOKUP(G144, IMPORTRANGE(""https://docs.google.com/spreadsheets/d/14deopnvwcrKtEGCKuYXdUHJbeLDZlkiSSWWT0g7x2pM/edit#gid=999382323"", ""LU List Maths (Filter)!A:B""), 2, FALSE)"),"Definition of factorisation of algebraic expressions")</f>
        <v>Definition of factorisation of algebraic expressions</v>
      </c>
      <c r="I144" s="10" t="str">
        <f t="shared" si="0"/>
        <v>LU000757.001</v>
      </c>
      <c r="J144" s="10" t="str">
        <f ca="1">IFERROR(__xludf.DUMMYFUNCTION("VLOOKUP(I144, IMPORTRANGE(""https://docs.google.com/spreadsheets/d/1yDAaXNsi4Mr5FtRQL4tbmSdIzhx6_m4wkOD7IG-k_eo/edit#gid=0"", ""Maths!M:N""), 2, FALSE)"),"Recall the definition of factorisation and its importance in simplifying algebraic expressions.")</f>
        <v>Recall the definition of factorisation and its importance in simplifying algebraic expressions.</v>
      </c>
      <c r="K144" s="10" t="str">
        <f t="shared" si="1"/>
        <v>LU000757.002</v>
      </c>
      <c r="L144" s="10" t="str">
        <f ca="1">IFERROR(__xludf.DUMMYFUNCTION("VLOOKUP(K144, IMPORTRANGE(""https://docs.google.com/spreadsheets/d/1yDAaXNsi4Mr5FtRQL4tbmSdIzhx6_m4wkOD7IG-k_eo/edit#gid=0"", ""Maths!M:N""), 2, FALSE)"),"Explain the importance of factorization in simplifying algebraic expressions.")</f>
        <v>Explain the importance of factorization in simplifying algebraic expressions.</v>
      </c>
      <c r="M144" s="10" t="str">
        <f t="shared" si="2"/>
        <v>LU000757.003</v>
      </c>
      <c r="N144" s="10" t="str">
        <f ca="1">IFERROR(__xludf.DUMMYFUNCTION("VLOOKUP(M144, IMPORTRANGE(""https://docs.google.com/spreadsheets/d/1yDAaXNsi4Mr5FtRQL4tbmSdIzhx6_m4wkOD7IG-k_eo/edit#gid=0"", ""Maths!M:N""), 2, FALSE)"),"Apply factorisation techniques to algebraic expressions.")</f>
        <v>Apply factorisation techniques to algebraic expressions.</v>
      </c>
      <c r="O144" s="10" t="str">
        <f t="shared" si="3"/>
        <v>LU000757.004</v>
      </c>
      <c r="P144" s="10" t="str">
        <f ca="1">IFERROR(__xludf.DUMMYFUNCTION("VLOOKUP(O144, IMPORTRANGE(""https://docs.google.com/spreadsheets/d/1yDAaXNsi4Mr5FtRQL4tbmSdIzhx6_m4wkOD7IG-k_eo/edit#gid=0"", ""Maths!M:N""), 2, FALSE)"),"Analyse complex algebraic expressions to identify patterns for factorisation.")</f>
        <v>Analyse complex algebraic expressions to identify patterns for factorisation.</v>
      </c>
      <c r="Q144" s="10" t="str">
        <f t="shared" si="4"/>
        <v>LU000757.005</v>
      </c>
      <c r="R144" s="10" t="str">
        <f ca="1">IFERROR(__xludf.DUMMYFUNCTION("VLOOKUP(Q144, IMPORTRANGE(""https://docs.google.com/spreadsheets/d/1yDAaXNsi4Mr5FtRQL4tbmSdIzhx6_m4wkOD7IG-k_eo/edit#gid=0"", ""Maths!M:N""), 2, FALSE)"),"Evaluate the significance of factorisation in solving real-world problems.")</f>
        <v>Evaluate the significance of factorisation in solving real-world problems.</v>
      </c>
      <c r="S144" s="10" t="str">
        <f t="shared" si="5"/>
        <v>LU000757.006</v>
      </c>
      <c r="T144" s="10" t="str">
        <f ca="1">IFERROR(__xludf.DUMMYFUNCTION("VLOOKUP(S144, IMPORTRANGE(""https://docs.google.com/spreadsheets/d/1yDAaXNsi4Mr5FtRQL4tbmSdIzhx6_m4wkOD7IG-k_eo/edit#gid=0"", ""Maths!M:N""), 2, FALSE)"),"Design factorisation problems involving various algebraic expressions for practice.")</f>
        <v>Design factorisation problems involving various algebraic expressions for practice.</v>
      </c>
      <c r="U144" s="52">
        <f ca="1">IFERROR(__xludf.DUMMYFUNCTION("ArrayFormula(VLOOKUP(G144, IMPORTRANGE(""https://docs.google.com/spreadsheets/d/1p7R4vtkWt5VOBim4ltsDG9KTzSjrtKXsMtQGXPHyND0/edit#gid=795171502"", ""'Filter 30_05_2024'!A1:M2000""), {2, 3, 4, 5,6,7,8,9,10,11,12,13}, 0))"),4)</f>
        <v>4</v>
      </c>
      <c r="V144" s="52">
        <f ca="1">IFERROR(__xludf.DUMMYFUNCTION("""COMPUTED_VALUE"""),6)</f>
        <v>6</v>
      </c>
      <c r="W144" s="52">
        <f ca="1">IFERROR(__xludf.DUMMYFUNCTION("""COMPUTED_VALUE"""),2)</f>
        <v>2</v>
      </c>
      <c r="X144" s="52">
        <f ca="1">IFERROR(__xludf.DUMMYFUNCTION("""COMPUTED_VALUE"""),12)</f>
        <v>12</v>
      </c>
      <c r="Y144" s="52">
        <f ca="1">IFERROR(__xludf.DUMMYFUNCTION("""COMPUTED_VALUE"""),4)</f>
        <v>4</v>
      </c>
      <c r="Z144" s="53">
        <f ca="1">IFERROR(__xludf.DUMMYFUNCTION("""COMPUTED_VALUE"""),3)</f>
        <v>3</v>
      </c>
      <c r="AA144" s="53">
        <f ca="1">IFERROR(__xludf.DUMMYFUNCTION("""COMPUTED_VALUE"""),1)</f>
        <v>1</v>
      </c>
      <c r="AB144" s="53">
        <f ca="1">IFERROR(__xludf.DUMMYFUNCTION("""COMPUTED_VALUE"""),8)</f>
        <v>8</v>
      </c>
      <c r="AC144" s="53"/>
      <c r="AD144" s="53"/>
      <c r="AE144" s="53"/>
      <c r="AF144" s="53"/>
      <c r="AG144" s="8" t="str">
        <f ca="1">IFERROR(__xludf.DUMMYFUNCTION("ArrayFormula(VLOOKUP(G144, IMPORTRANGE(""https://docs.google.com/spreadsheets/d/1Co934fvtviyaRiMsrIlT05Jaq7iiYq07aLvRr35KA48/edit?gid=173865642#gid=173865642"", ""'G8_Maths_Pri_LU'!G2:V2000""), {3, 4, 5, 6, 7, 8, 9, 10, 11, 12, 13, 14, 15, 16}, 0))"),"LU000771")</f>
        <v>LU000771</v>
      </c>
      <c r="AH144" s="8" t="str">
        <f ca="1">IFERROR(__xludf.DUMMYFUNCTION("""COMPUTED_VALUE"""),"Highest common factor of monomials")</f>
        <v>Highest common factor of monomials</v>
      </c>
      <c r="AI144" s="8"/>
      <c r="AJ144" s="8"/>
      <c r="AK144" s="8"/>
      <c r="AL144" s="8"/>
      <c r="AM144" s="8"/>
      <c r="AN144" s="8"/>
      <c r="AO144" s="8"/>
      <c r="AP144" s="8"/>
      <c r="AQ144" s="8"/>
      <c r="AR144" s="8"/>
      <c r="AS144" s="8"/>
      <c r="AT144" s="8"/>
      <c r="AU144" s="8"/>
      <c r="AV144" s="8"/>
      <c r="AW144" s="8"/>
      <c r="AX144" s="8"/>
      <c r="AY144" s="8"/>
      <c r="AZ144" s="8"/>
      <c r="BA144" s="8"/>
      <c r="BB144" s="8"/>
      <c r="BC144" s="8"/>
      <c r="BD144" s="8"/>
      <c r="BE144" s="8"/>
    </row>
    <row r="145" spans="1:57">
      <c r="A145" s="8" t="s">
        <v>247</v>
      </c>
      <c r="B145" s="8" t="s">
        <v>47</v>
      </c>
      <c r="C145" s="8" t="s">
        <v>731</v>
      </c>
      <c r="D145" s="8" t="s">
        <v>732</v>
      </c>
      <c r="E145" s="8" t="s">
        <v>946</v>
      </c>
      <c r="F145" s="54" t="s">
        <v>951</v>
      </c>
      <c r="G145" s="8" t="s">
        <v>952</v>
      </c>
      <c r="H145" s="8" t="str">
        <f ca="1">IFERROR(__xludf.DUMMYFUNCTION("VLOOKUP(G145, IMPORTRANGE(""https://docs.google.com/spreadsheets/d/14deopnvwcrKtEGCKuYXdUHJbeLDZlkiSSWWT0g7x2pM/edit#gid=999382323"", ""LU List Maths (Filter)!A:B""), 2, FALSE)"),"Factorisation of algebraic expressions by taking out monomial as common factors")</f>
        <v>Factorisation of algebraic expressions by taking out monomial as common factors</v>
      </c>
      <c r="I145" s="10" t="str">
        <f t="shared" si="0"/>
        <v>LU000758.001</v>
      </c>
      <c r="J145" s="10" t="str">
        <f ca="1">IFERROR(__xludf.DUMMYFUNCTION("VLOOKUP(I145, IMPORTRANGE(""https://docs.google.com/spreadsheets/d/1yDAaXNsi4Mr5FtRQL4tbmSdIzhx6_m4wkOD7IG-k_eo/edit#gid=0"", ""Maths!M:N""), 2, FALSE)"),"State the key steps involved in factorisation of algebraic expressions by taking out monomial as common factors.")</f>
        <v>State the key steps involved in factorisation of algebraic expressions by taking out monomial as common factors.</v>
      </c>
      <c r="K145" s="10" t="str">
        <f t="shared" si="1"/>
        <v>LU000758.002</v>
      </c>
      <c r="L145" s="10" t="str">
        <f ca="1">IFERROR(__xludf.DUMMYFUNCTION("VLOOKUP(K145, IMPORTRANGE(""https://docs.google.com/spreadsheets/d/1yDAaXNsi4Mr5FtRQL4tbmSdIzhx6_m4wkOD7IG-k_eo/edit#gid=0"", ""Maths!M:N""), 2, FALSE)"),"Explain the concept and purpose of factorising algebraic expressions by taking out monomial as common factors")</f>
        <v>Explain the concept and purpose of factorising algebraic expressions by taking out monomial as common factors</v>
      </c>
      <c r="M145" s="10" t="str">
        <f t="shared" si="2"/>
        <v>LU000758.003</v>
      </c>
      <c r="N145" s="10" t="str">
        <f ca="1">IFERROR(__xludf.DUMMYFUNCTION("VLOOKUP(M145, IMPORTRANGE(""https://docs.google.com/spreadsheets/d/1yDAaXNsi4Mr5FtRQL4tbmSdIzhx6_m4wkOD7IG-k_eo/edit#gid=0"", ""Maths!M:N""), 2, FALSE)"),"Solve problems on factorisation of algebraic expression by taking out monomial as common factors.")</f>
        <v>Solve problems on factorisation of algebraic expression by taking out monomial as common factors.</v>
      </c>
      <c r="O145" s="10" t="str">
        <f t="shared" si="3"/>
        <v>LU000758.004</v>
      </c>
      <c r="P145" s="10" t="str">
        <f ca="1">IFERROR(__xludf.DUMMYFUNCTION("VLOOKUP(O145, IMPORTRANGE(""https://docs.google.com/spreadsheets/d/1yDAaXNsi4Mr5FtRQL4tbmSdIzhx6_m4wkOD7IG-k_eo/edit#gid=0"", ""Maths!M:N""), 2, FALSE)"),"Analyse complex algebraic expressions to identify common monomial factors and perform factorisation.")</f>
        <v>Analyse complex algebraic expressions to identify common monomial factors and perform factorisation.</v>
      </c>
      <c r="Q145" s="10" t="str">
        <f t="shared" si="4"/>
        <v>LU000758.005</v>
      </c>
      <c r="R145" s="10" t="str">
        <f ca="1">IFERROR(__xludf.DUMMYFUNCTION("VLOOKUP(Q145, IMPORTRANGE(""https://docs.google.com/spreadsheets/d/1yDAaXNsi4Mr5FtRQL4tbmSdIzhx6_m4wkOD7IG-k_eo/edit#gid=0"", ""Maths!M:N""), 2, FALSE)"),"Evaluate the correctness of factorization results obtained by taking out monomial as common factor.")</f>
        <v>Evaluate the correctness of factorization results obtained by taking out monomial as common factor.</v>
      </c>
      <c r="S145" s="10" t="str">
        <f t="shared" si="5"/>
        <v>LU000758.006</v>
      </c>
      <c r="T145" s="10" t="str">
        <f ca="1">IFERROR(__xludf.DUMMYFUNCTION("VLOOKUP(S145, IMPORTRANGE(""https://docs.google.com/spreadsheets/d/1yDAaXNsi4Mr5FtRQL4tbmSdIzhx6_m4wkOD7IG-k_eo/edit#gid=0"", ""Maths!M:N""), 2, FALSE)"),"#N/A")</f>
        <v>#N/A</v>
      </c>
      <c r="U145" s="52">
        <f ca="1">IFERROR(__xludf.DUMMYFUNCTION("ArrayFormula(VLOOKUP(G145, IMPORTRANGE(""https://docs.google.com/spreadsheets/d/1p7R4vtkWt5VOBim4ltsDG9KTzSjrtKXsMtQGXPHyND0/edit#gid=795171502"", ""'Filter 30_05_2024'!A1:M2000""), {2, 3, 4, 5,6,7,8,9,10,11,12,13}, 0))"),4)</f>
        <v>4</v>
      </c>
      <c r="V145" s="52">
        <f ca="1">IFERROR(__xludf.DUMMYFUNCTION("""COMPUTED_VALUE"""),6)</f>
        <v>6</v>
      </c>
      <c r="W145" s="52">
        <f ca="1">IFERROR(__xludf.DUMMYFUNCTION("""COMPUTED_VALUE"""),2)</f>
        <v>2</v>
      </c>
      <c r="X145" s="52">
        <f ca="1">IFERROR(__xludf.DUMMYFUNCTION("""COMPUTED_VALUE"""),12)</f>
        <v>12</v>
      </c>
      <c r="Y145" s="52">
        <f ca="1">IFERROR(__xludf.DUMMYFUNCTION("""COMPUTED_VALUE"""),4)</f>
        <v>4</v>
      </c>
      <c r="Z145" s="53">
        <f ca="1">IFERROR(__xludf.DUMMYFUNCTION("""COMPUTED_VALUE"""),3)</f>
        <v>3</v>
      </c>
      <c r="AA145" s="53">
        <f ca="1">IFERROR(__xludf.DUMMYFUNCTION("""COMPUTED_VALUE"""),1)</f>
        <v>1</v>
      </c>
      <c r="AB145" s="53">
        <f ca="1">IFERROR(__xludf.DUMMYFUNCTION("""COMPUTED_VALUE"""),8)</f>
        <v>8</v>
      </c>
      <c r="AC145" s="53"/>
      <c r="AD145" s="53"/>
      <c r="AE145" s="53"/>
      <c r="AF145" s="53"/>
      <c r="AG145" s="8" t="str">
        <f ca="1">IFERROR(__xludf.DUMMYFUNCTION("ArrayFormula(VLOOKUP(G145, IMPORTRANGE(""https://docs.google.com/spreadsheets/d/1Co934fvtviyaRiMsrIlT05Jaq7iiYq07aLvRr35KA48/edit?gid=173865642#gid=173865642"", ""'G8_Maths_Pri_LU'!G2:V2000""), {3, 4, 5, 6, 7, 8, 9, 10, 11, 12, 13, 14, 15, 16}, 0))"),"LU000771")</f>
        <v>LU000771</v>
      </c>
      <c r="AH145" s="8" t="str">
        <f ca="1">IFERROR(__xludf.DUMMYFUNCTION("""COMPUTED_VALUE"""),"Highest common factor of monomials")</f>
        <v>Highest common factor of monomials</v>
      </c>
      <c r="AI145" s="8"/>
      <c r="AJ145" s="8"/>
      <c r="AK145" s="8"/>
      <c r="AL145" s="8"/>
      <c r="AM145" s="8"/>
      <c r="AN145" s="8"/>
      <c r="AO145" s="8"/>
      <c r="AP145" s="8"/>
      <c r="AQ145" s="8"/>
      <c r="AR145" s="8"/>
      <c r="AS145" s="8"/>
      <c r="AT145" s="8"/>
      <c r="AU145" s="8"/>
      <c r="AV145" s="8"/>
      <c r="AW145" s="8"/>
      <c r="AX145" s="8"/>
      <c r="AY145" s="8"/>
      <c r="AZ145" s="8"/>
      <c r="BA145" s="8"/>
      <c r="BB145" s="8"/>
      <c r="BC145" s="8"/>
      <c r="BD145" s="8"/>
      <c r="BE145" s="8"/>
    </row>
    <row r="146" spans="1:57">
      <c r="A146" s="8" t="s">
        <v>247</v>
      </c>
      <c r="B146" s="8" t="s">
        <v>47</v>
      </c>
      <c r="C146" s="8" t="s">
        <v>731</v>
      </c>
      <c r="D146" s="8" t="s">
        <v>732</v>
      </c>
      <c r="E146" s="8" t="s">
        <v>946</v>
      </c>
      <c r="F146" s="54" t="s">
        <v>951</v>
      </c>
      <c r="G146" s="8" t="s">
        <v>953</v>
      </c>
      <c r="H146" s="8" t="str">
        <f ca="1">IFERROR(__xludf.DUMMYFUNCTION("VLOOKUP(G146, IMPORTRANGE(""https://docs.google.com/spreadsheets/d/14deopnvwcrKtEGCKuYXdUHJbeLDZlkiSSWWT0g7x2pM/edit#gid=999382323"", ""LU List Maths (Filter)!A:B""), 2, FALSE)"),"Factorisation of algebraic expressions by taking out binomial as a common factor")</f>
        <v>Factorisation of algebraic expressions by taking out binomial as a common factor</v>
      </c>
      <c r="I146" s="10" t="str">
        <f t="shared" si="0"/>
        <v>LU000940.001</v>
      </c>
      <c r="J146" s="10" t="str">
        <f ca="1">IFERROR(__xludf.DUMMYFUNCTION("VLOOKUP(I146, IMPORTRANGE(""https://docs.google.com/spreadsheets/d/1yDAaXNsi4Mr5FtRQL4tbmSdIzhx6_m4wkOD7IG-k_eo/edit#gid=0"", ""Maths!M:N""), 2, FALSE)"),"State the key steps involved in factorisation of algebraic expressions by taking out binomial as a common factor.")</f>
        <v>State the key steps involved in factorisation of algebraic expressions by taking out binomial as a common factor.</v>
      </c>
      <c r="K146" s="10" t="str">
        <f t="shared" si="1"/>
        <v>LU000940.002</v>
      </c>
      <c r="L146" s="10" t="str">
        <f ca="1">IFERROR(__xludf.DUMMYFUNCTION("VLOOKUP(K146, IMPORTRANGE(""https://docs.google.com/spreadsheets/d/1yDAaXNsi4Mr5FtRQL4tbmSdIzhx6_m4wkOD7IG-k_eo/edit#gid=0"", ""Maths!M:N""), 2, FALSE)"),"Explain the concept and purpose of factorising algebraic expressions by taking out binomial as common factors")</f>
        <v>Explain the concept and purpose of factorising algebraic expressions by taking out binomial as common factors</v>
      </c>
      <c r="M146" s="10" t="str">
        <f t="shared" si="2"/>
        <v>LU000940.003</v>
      </c>
      <c r="N146" s="10" t="str">
        <f ca="1">IFERROR(__xludf.DUMMYFUNCTION("VLOOKUP(M146, IMPORTRANGE(""https://docs.google.com/spreadsheets/d/1yDAaXNsi4Mr5FtRQL4tbmSdIzhx6_m4wkOD7IG-k_eo/edit#gid=0"", ""Maths!M:N""), 2, FALSE)"),"Solve problems on factorisation of algebraic expression by taking out binomial as common factor.")</f>
        <v>Solve problems on factorisation of algebraic expression by taking out binomial as common factor.</v>
      </c>
      <c r="O146" s="10" t="str">
        <f t="shared" si="3"/>
        <v>LU000940.004</v>
      </c>
      <c r="P146" s="10" t="str">
        <f ca="1">IFERROR(__xludf.DUMMYFUNCTION("VLOOKUP(O146, IMPORTRANGE(""https://docs.google.com/spreadsheets/d/1yDAaXNsi4Mr5FtRQL4tbmSdIzhx6_m4wkOD7IG-k_eo/edit#gid=0"", ""Maths!M:N""), 2, FALSE)"),"Analyse complex algebraic expressions to identify common binomial factors and perform factorisation.")</f>
        <v>Analyse complex algebraic expressions to identify common binomial factors and perform factorisation.</v>
      </c>
      <c r="Q146" s="10" t="str">
        <f t="shared" si="4"/>
        <v>LU000940.005</v>
      </c>
      <c r="R146" s="10" t="str">
        <f ca="1">IFERROR(__xludf.DUMMYFUNCTION("VLOOKUP(Q146, IMPORTRANGE(""https://docs.google.com/spreadsheets/d/1yDAaXNsi4Mr5FtRQL4tbmSdIzhx6_m4wkOD7IG-k_eo/edit#gid=0"", ""Maths!M:N""), 2, FALSE)"),"Evaluate the correctness of factorization results obtained by taking out binomial as common factor.")</f>
        <v>Evaluate the correctness of factorization results obtained by taking out binomial as common factor.</v>
      </c>
      <c r="S146" s="10" t="str">
        <f t="shared" si="5"/>
        <v>LU000940.006</v>
      </c>
      <c r="T146" s="10" t="str">
        <f ca="1">IFERROR(__xludf.DUMMYFUNCTION("VLOOKUP(S146, IMPORTRANGE(""https://docs.google.com/spreadsheets/d/1yDAaXNsi4Mr5FtRQL4tbmSdIzhx6_m4wkOD7IG-k_eo/edit#gid=0"", ""Maths!M:N""), 2, FALSE)"),"#N/A")</f>
        <v>#N/A</v>
      </c>
      <c r="U146" s="52">
        <f ca="1">IFERROR(__xludf.DUMMYFUNCTION("ArrayFormula(VLOOKUP(G146, IMPORTRANGE(""https://docs.google.com/spreadsheets/d/1p7R4vtkWt5VOBim4ltsDG9KTzSjrtKXsMtQGXPHyND0/edit#gid=795171502"", ""'Filter 30_05_2024'!A1:M2000""), {2, 3, 4, 5,6,7,8,9,10,11,12,13}, 0))"),4)</f>
        <v>4</v>
      </c>
      <c r="V146" s="52">
        <f ca="1">IFERROR(__xludf.DUMMYFUNCTION("""COMPUTED_VALUE"""),6)</f>
        <v>6</v>
      </c>
      <c r="W146" s="52">
        <f ca="1">IFERROR(__xludf.DUMMYFUNCTION("""COMPUTED_VALUE"""),2)</f>
        <v>2</v>
      </c>
      <c r="X146" s="52">
        <f ca="1">IFERROR(__xludf.DUMMYFUNCTION("""COMPUTED_VALUE"""),12)</f>
        <v>12</v>
      </c>
      <c r="Y146" s="52">
        <f ca="1">IFERROR(__xludf.DUMMYFUNCTION("""COMPUTED_VALUE"""),4)</f>
        <v>4</v>
      </c>
      <c r="Z146" s="53">
        <f ca="1">IFERROR(__xludf.DUMMYFUNCTION("""COMPUTED_VALUE"""),3)</f>
        <v>3</v>
      </c>
      <c r="AA146" s="53">
        <f ca="1">IFERROR(__xludf.DUMMYFUNCTION("""COMPUTED_VALUE"""),1)</f>
        <v>1</v>
      </c>
      <c r="AB146" s="53">
        <f ca="1">IFERROR(__xludf.DUMMYFUNCTION("""COMPUTED_VALUE"""),8)</f>
        <v>8</v>
      </c>
      <c r="AC146" s="53"/>
      <c r="AD146" s="53"/>
      <c r="AE146" s="53"/>
      <c r="AF146" s="53"/>
      <c r="AG146" s="8" t="str">
        <f ca="1">IFERROR(__xludf.DUMMYFUNCTION("ArrayFormula(VLOOKUP(G146, IMPORTRANGE(""https://docs.google.com/spreadsheets/d/1Co934fvtviyaRiMsrIlT05Jaq7iiYq07aLvRr35KA48/edit?gid=173865642#gid=173865642"", ""'G8_Maths_Pri_LU'!G2:V2000""), {3, 4, 5, 6, 7, 8, 9, 10, 11, 12, 13, 14, 15, 16}, 0))"),"LU000758")</f>
        <v>LU000758</v>
      </c>
      <c r="AH146" s="8" t="str">
        <f ca="1">IFERROR(__xludf.DUMMYFUNCTION("""COMPUTED_VALUE"""),"Factorisation of algebraic expressions by taking out monomial as common factors")</f>
        <v>Factorisation of algebraic expressions by taking out monomial as common factors</v>
      </c>
      <c r="AI146" s="8" t="str">
        <f ca="1">IFERROR(__xludf.DUMMYFUNCTION("""COMPUTED_VALUE"""),"LU000757")</f>
        <v>LU000757</v>
      </c>
      <c r="AJ146" s="8" t="str">
        <f ca="1">IFERROR(__xludf.DUMMYFUNCTION("""COMPUTED_VALUE"""),"Definition of factorisation of algebraic expressions")</f>
        <v>Definition of factorisation of algebraic expressions</v>
      </c>
      <c r="AK146" s="8" t="str">
        <f ca="1">IFERROR(__xludf.DUMMYFUNCTION("""COMPUTED_VALUE"""),"LU000210")</f>
        <v>LU000210</v>
      </c>
      <c r="AL146" s="8" t="str">
        <f ca="1">IFERROR(__xludf.DUMMYFUNCTION("""COMPUTED_VALUE"""),"Methods of prime factorisation")</f>
        <v>Methods of prime factorisation</v>
      </c>
      <c r="AM146" s="8"/>
      <c r="AN146" s="8"/>
      <c r="AO146" s="8"/>
      <c r="AP146" s="8"/>
      <c r="AQ146" s="8"/>
      <c r="AR146" s="8"/>
      <c r="AS146" s="8"/>
      <c r="AT146" s="8"/>
      <c r="AU146" s="8"/>
      <c r="AV146" s="8"/>
      <c r="AW146" s="8"/>
      <c r="AX146" s="8"/>
      <c r="AY146" s="8"/>
      <c r="AZ146" s="8"/>
      <c r="BA146" s="8"/>
      <c r="BB146" s="8"/>
      <c r="BC146" s="8"/>
      <c r="BD146" s="8"/>
      <c r="BE146" s="8"/>
    </row>
    <row r="147" spans="1:57">
      <c r="A147" s="8" t="s">
        <v>247</v>
      </c>
      <c r="B147" s="8" t="s">
        <v>47</v>
      </c>
      <c r="C147" s="8" t="s">
        <v>731</v>
      </c>
      <c r="D147" s="8" t="s">
        <v>732</v>
      </c>
      <c r="E147" s="8" t="s">
        <v>946</v>
      </c>
      <c r="F147" s="54" t="s">
        <v>951</v>
      </c>
      <c r="G147" s="8" t="s">
        <v>954</v>
      </c>
      <c r="H147" s="8" t="str">
        <f ca="1">IFERROR(__xludf.DUMMYFUNCTION("VLOOKUP(G147, IMPORTRANGE(""https://docs.google.com/spreadsheets/d/14deopnvwcrKtEGCKuYXdUHJbeLDZlkiSSWWT0g7x2pM/edit#gid=999382323"", ""LU List Maths (Filter)!A:B""), 2, FALSE)"),"Factorisation of algebraic expressions by method of regrouping terms")</f>
        <v>Factorisation of algebraic expressions by method of regrouping terms</v>
      </c>
      <c r="I147" s="10" t="str">
        <f t="shared" si="0"/>
        <v>LU000759.001</v>
      </c>
      <c r="J147" s="10" t="str">
        <f ca="1">IFERROR(__xludf.DUMMYFUNCTION("VLOOKUP(I147, IMPORTRANGE(""https://docs.google.com/spreadsheets/d/1yDAaXNsi4Mr5FtRQL4tbmSdIzhx6_m4wkOD7IG-k_eo/edit#gid=0"", ""Maths!M:N""), 2, FALSE)"),"State the key steps involved in factorisation using the method of regrouping terms.")</f>
        <v>State the key steps involved in factorisation using the method of regrouping terms.</v>
      </c>
      <c r="K147" s="10" t="str">
        <f t="shared" si="1"/>
        <v>LU000759.002</v>
      </c>
      <c r="L147" s="10" t="str">
        <f ca="1">IFERROR(__xludf.DUMMYFUNCTION("VLOOKUP(K147, IMPORTRANGE(""https://docs.google.com/spreadsheets/d/1yDAaXNsi4Mr5FtRQL4tbmSdIzhx6_m4wkOD7IG-k_eo/edit#gid=0"", ""Maths!M:N""), 2, FALSE)"),"Describe why it is important to identify common factors when using the regrouping method for factorisation.")</f>
        <v>Describe why it is important to identify common factors when using the regrouping method for factorisation.</v>
      </c>
      <c r="M147" s="10" t="str">
        <f t="shared" si="2"/>
        <v>LU000759.003</v>
      </c>
      <c r="N147" s="10" t="str">
        <f ca="1">IFERROR(__xludf.DUMMYFUNCTION("VLOOKUP(M147, IMPORTRANGE(""https://docs.google.com/spreadsheets/d/1yDAaXNsi4Mr5FtRQL4tbmSdIzhx6_m4wkOD7IG-k_eo/edit#gid=0"", ""Maths!M:N""), 2, FALSE)"),"Apply the method of regrouping terms to factorise simple algebraic expressions.")</f>
        <v>Apply the method of regrouping terms to factorise simple algebraic expressions.</v>
      </c>
      <c r="O147" s="10" t="str">
        <f t="shared" si="3"/>
        <v>LU000759.004</v>
      </c>
      <c r="P147" s="10" t="str">
        <f ca="1">IFERROR(__xludf.DUMMYFUNCTION("VLOOKUP(O147, IMPORTRANGE(""https://docs.google.com/spreadsheets/d/1yDAaXNsi4Mr5FtRQL4tbmSdIzhx6_m4wkOD7IG-k_eo/edit#gid=0"", ""Maths!M:N""), 2, FALSE)"),"Analyse complex algebraic expressions to determine the suitability of the regrouping method for factorisation.")</f>
        <v>Analyse complex algebraic expressions to determine the suitability of the regrouping method for factorisation.</v>
      </c>
      <c r="Q147" s="10" t="str">
        <f t="shared" si="4"/>
        <v>LU000759.005</v>
      </c>
      <c r="R147" s="10" t="str">
        <f ca="1">IFERROR(__xludf.DUMMYFUNCTION("VLOOKUP(Q147, IMPORTRANGE(""https://docs.google.com/spreadsheets/d/1yDAaXNsi4Mr5FtRQL4tbmSdIzhx6_m4wkOD7IG-k_eo/edit#gid=0"", ""Maths!M:N""), 2, FALSE)"),"Evaluate the effectiveness of the regrouping method compared to other factorisation techniques in specific algebraic contexts.")</f>
        <v>Evaluate the effectiveness of the regrouping method compared to other factorisation techniques in specific algebraic contexts.</v>
      </c>
      <c r="S147" s="10" t="str">
        <f t="shared" si="5"/>
        <v>LU000759.006</v>
      </c>
      <c r="T147" s="10" t="str">
        <f ca="1">IFERROR(__xludf.DUMMYFUNCTION("VLOOKUP(S147, IMPORTRANGE(""https://docs.google.com/spreadsheets/d/1yDAaXNsi4Mr5FtRQL4tbmSdIzhx6_m4wkOD7IG-k_eo/edit#gid=0"", ""Maths!M:N""), 2, FALSE)"),"Design original algebraic expressions that necessitate factorisation through the regrouping method.")</f>
        <v>Design original algebraic expressions that necessitate factorisation through the regrouping method.</v>
      </c>
      <c r="U147" s="52">
        <f ca="1">IFERROR(__xludf.DUMMYFUNCTION("ArrayFormula(VLOOKUP(G147, IMPORTRANGE(""https://docs.google.com/spreadsheets/d/1p7R4vtkWt5VOBim4ltsDG9KTzSjrtKXsMtQGXPHyND0/edit#gid=795171502"", ""'Filter 30_05_2024'!A1:M2000""), {2, 3, 4, 5,6,7,8,9,10,11,12,13}, 0))"),4)</f>
        <v>4</v>
      </c>
      <c r="V147" s="52">
        <f ca="1">IFERROR(__xludf.DUMMYFUNCTION("""COMPUTED_VALUE"""),6)</f>
        <v>6</v>
      </c>
      <c r="W147" s="52">
        <f ca="1">IFERROR(__xludf.DUMMYFUNCTION("""COMPUTED_VALUE"""),2)</f>
        <v>2</v>
      </c>
      <c r="X147" s="52">
        <f ca="1">IFERROR(__xludf.DUMMYFUNCTION("""COMPUTED_VALUE"""),12)</f>
        <v>12</v>
      </c>
      <c r="Y147" s="52">
        <f ca="1">IFERROR(__xludf.DUMMYFUNCTION("""COMPUTED_VALUE"""),4)</f>
        <v>4</v>
      </c>
      <c r="Z147" s="53">
        <f ca="1">IFERROR(__xludf.DUMMYFUNCTION("""COMPUTED_VALUE"""),3)</f>
        <v>3</v>
      </c>
      <c r="AA147" s="53">
        <f ca="1">IFERROR(__xludf.DUMMYFUNCTION("""COMPUTED_VALUE"""),1)</f>
        <v>1</v>
      </c>
      <c r="AB147" s="53">
        <f ca="1">IFERROR(__xludf.DUMMYFUNCTION("""COMPUTED_VALUE"""),8)</f>
        <v>8</v>
      </c>
      <c r="AC147" s="53"/>
      <c r="AD147" s="53"/>
      <c r="AE147" s="53"/>
      <c r="AF147" s="53"/>
      <c r="AG147" s="8" t="str">
        <f ca="1">IFERROR(__xludf.DUMMYFUNCTION("ArrayFormula(VLOOKUP(G147, IMPORTRANGE(""https://docs.google.com/spreadsheets/d/1Co934fvtviyaRiMsrIlT05Jaq7iiYq07aLvRr35KA48/edit?gid=173865642#gid=173865642"", ""'G8_Maths_Pri_LU'!G2:V2000""), {3, 4, 5, 6, 7, 8, 9, 10, 11, 12, 13, 14, 15, 16}, 0))"),"LU000940")</f>
        <v>LU000940</v>
      </c>
      <c r="AH147" s="8" t="str">
        <f ca="1">IFERROR(__xludf.DUMMYFUNCTION("""COMPUTED_VALUE"""),"Factorisation of algebraic expressions by taking out binomial as a common factor")</f>
        <v>Factorisation of algebraic expressions by taking out binomial as a common factor</v>
      </c>
      <c r="AI147" s="8"/>
      <c r="AJ147" s="8"/>
      <c r="AK147" s="8"/>
      <c r="AL147" s="8"/>
      <c r="AM147" s="8"/>
      <c r="AN147" s="8"/>
      <c r="AO147" s="8"/>
      <c r="AP147" s="8"/>
      <c r="AQ147" s="8"/>
      <c r="AR147" s="8"/>
      <c r="AS147" s="8"/>
      <c r="AT147" s="8"/>
      <c r="AU147" s="8"/>
      <c r="AV147" s="8"/>
      <c r="AW147" s="8"/>
      <c r="AX147" s="8"/>
      <c r="AY147" s="8"/>
      <c r="AZ147" s="8"/>
      <c r="BA147" s="8"/>
      <c r="BB147" s="8"/>
      <c r="BC147" s="8"/>
      <c r="BD147" s="8"/>
      <c r="BE147" s="8"/>
    </row>
    <row r="148" spans="1:57">
      <c r="A148" s="8" t="s">
        <v>247</v>
      </c>
      <c r="B148" s="8" t="s">
        <v>47</v>
      </c>
      <c r="C148" s="8" t="s">
        <v>731</v>
      </c>
      <c r="D148" s="8" t="s">
        <v>732</v>
      </c>
      <c r="E148" s="8" t="s">
        <v>946</v>
      </c>
      <c r="F148" s="54" t="s">
        <v>955</v>
      </c>
      <c r="G148" s="8" t="s">
        <v>956</v>
      </c>
      <c r="H148" s="8" t="str">
        <f ca="1">IFERROR(__xludf.DUMMYFUNCTION("VLOOKUP(G148, IMPORTRANGE(""https://docs.google.com/spreadsheets/d/14deopnvwcrKtEGCKuYXdUHJbeLDZlkiSSWWT0g7x2pM/edit#gid=999382323"", ""LU List Maths (Filter)!A:B""), 2, FALSE)"),"Factorisation of algebraic expressions using identity (a-b)^2")</f>
        <v>Factorisation of algebraic expressions using identity (a-b)^2</v>
      </c>
      <c r="I148" s="10" t="str">
        <f t="shared" si="0"/>
        <v>LU000768.001</v>
      </c>
      <c r="J148" s="10" t="str">
        <f ca="1">IFERROR(__xludf.DUMMYFUNCTION("VLOOKUP(I148, IMPORTRANGE(""https://docs.google.com/spreadsheets/d/1yDAaXNsi4Mr5FtRQL4tbmSdIzhx6_m4wkOD7IG-k_eo/edit#gid=0"", ""Maths!M:N""), 2, FALSE)"),"State the formula for the identity (a-b)^2.")</f>
        <v>State the formula for the identity (a-b)^2.</v>
      </c>
      <c r="K148" s="10" t="str">
        <f t="shared" si="1"/>
        <v>LU000768.002</v>
      </c>
      <c r="L148" s="10" t="str">
        <f ca="1">IFERROR(__xludf.DUMMYFUNCTION("VLOOKUP(K148, IMPORTRANGE(""https://docs.google.com/spreadsheets/d/1yDAaXNsi4Mr5FtRQL4tbmSdIzhx6_m4wkOD7IG-k_eo/edit#gid=0"", ""Maths!M:N""), 2, FALSE)"),"Describe the role of each term (a^2, 2ab, and b^2) in the expansion of (a-b)^2.")</f>
        <v>Describe the role of each term (a^2, 2ab, and b^2) in the expansion of (a-b)^2.</v>
      </c>
      <c r="M148" s="10" t="str">
        <f t="shared" si="2"/>
        <v>LU000768.003</v>
      </c>
      <c r="N148" s="10" t="str">
        <f ca="1">IFERROR(__xludf.DUMMYFUNCTION("VLOOKUP(M148, IMPORTRANGE(""https://docs.google.com/spreadsheets/d/1yDAaXNsi4Mr5FtRQL4tbmSdIzhx6_m4wkOD7IG-k_eo/edit#gid=0"", ""Maths!M:N""), 2, FALSE)"),"Apply the identity (a-b)^2 to factorise algebraic expressions.")</f>
        <v>Apply the identity (a-b)^2 to factorise algebraic expressions.</v>
      </c>
      <c r="O148" s="10" t="str">
        <f t="shared" si="3"/>
        <v>LU000768.004</v>
      </c>
      <c r="P148" s="10" t="str">
        <f ca="1">IFERROR(__xludf.DUMMYFUNCTION("VLOOKUP(O148, IMPORTRANGE(""https://docs.google.com/spreadsheets/d/1yDAaXNsi4Mr5FtRQL4tbmSdIzhx6_m4wkOD7IG-k_eo/edit#gid=0"", ""Maths!M:N""), 2, FALSE)"),"Determine when it's more efficient to use (a-b)^2 compared to other factorisation methods for a given expression.")</f>
        <v>Determine when it's more efficient to use (a-b)^2 compared to other factorisation methods for a given expression.</v>
      </c>
      <c r="Q148" s="10" t="str">
        <f t="shared" si="4"/>
        <v>LU000768.005</v>
      </c>
      <c r="R148" s="10" t="str">
        <f ca="1">IFERROR(__xludf.DUMMYFUNCTION("VLOOKUP(Q148, IMPORTRANGE(""https://docs.google.com/spreadsheets/d/1yDAaXNsi4Mr5FtRQL4tbmSdIzhx6_m4wkOD7IG-k_eo/edit#gid=0"", ""Maths!M:N""), 2, FALSE)"),"Critically assess factorisation of an expression using (a-b)^2, highlighting any errors or improvements.")</f>
        <v>Critically assess factorisation of an expression using (a-b)^2, highlighting any errors or improvements.</v>
      </c>
      <c r="S148" s="10" t="str">
        <f t="shared" si="5"/>
        <v>LU000768.006</v>
      </c>
      <c r="T148" s="10" t="str">
        <f ca="1">IFERROR(__xludf.DUMMYFUNCTION("VLOOKUP(S148, IMPORTRANGE(""https://docs.google.com/spreadsheets/d/1yDAaXNsi4Mr5FtRQL4tbmSdIzhx6_m4wkOD7IG-k_eo/edit#gid=0"", ""Maths!M:N""), 2, FALSE)"),"Design a unique algebraic expression and then factorise it using the (a-b)^2 identity to simplify.")</f>
        <v>Design a unique algebraic expression and then factorise it using the (a-b)^2 identity to simplify.</v>
      </c>
      <c r="U148" s="52">
        <f ca="1">IFERROR(__xludf.DUMMYFUNCTION("ArrayFormula(VLOOKUP(G148, IMPORTRANGE(""https://docs.google.com/spreadsheets/d/1p7R4vtkWt5VOBim4ltsDG9KTzSjrtKXsMtQGXPHyND0/edit#gid=795171502"", ""'Filter 30_05_2024'!A1:M2000""), {2, 3, 4, 5,6,7,8,9,10,11,12,13}, 0))"),4)</f>
        <v>4</v>
      </c>
      <c r="V148" s="52">
        <f ca="1">IFERROR(__xludf.DUMMYFUNCTION("""COMPUTED_VALUE"""),7)</f>
        <v>7</v>
      </c>
      <c r="W148" s="52">
        <f ca="1">IFERROR(__xludf.DUMMYFUNCTION("""COMPUTED_VALUE"""),2)</f>
        <v>2</v>
      </c>
      <c r="X148" s="52">
        <f ca="1">IFERROR(__xludf.DUMMYFUNCTION("""COMPUTED_VALUE"""),13)</f>
        <v>13</v>
      </c>
      <c r="Y148" s="52">
        <f ca="1">IFERROR(__xludf.DUMMYFUNCTION("""COMPUTED_VALUE"""),4)</f>
        <v>4</v>
      </c>
      <c r="Z148" s="53">
        <f ca="1">IFERROR(__xludf.DUMMYFUNCTION("""COMPUTED_VALUE"""),3)</f>
        <v>3</v>
      </c>
      <c r="AA148" s="53">
        <f ca="1">IFERROR(__xludf.DUMMYFUNCTION("""COMPUTED_VALUE"""),1)</f>
        <v>1</v>
      </c>
      <c r="AB148" s="53">
        <f ca="1">IFERROR(__xludf.DUMMYFUNCTION("""COMPUTED_VALUE"""),8)</f>
        <v>8</v>
      </c>
      <c r="AC148" s="53"/>
      <c r="AD148" s="53"/>
      <c r="AE148" s="53"/>
      <c r="AF148" s="53"/>
      <c r="AG148" s="8" t="str">
        <f ca="1">IFERROR(__xludf.DUMMYFUNCTION("ArrayFormula(VLOOKUP(G148, IMPORTRANGE(""https://docs.google.com/spreadsheets/d/1Co934fvtviyaRiMsrIlT05Jaq7iiYq07aLvRr35KA48/edit?gid=173865642#gid=173865642"", ""'G8_Maths_Pri_LU'!G2:V2000""), {3, 4, 5, 6, 7, 8, 9, 10, 11, 12, 13, 14, 15, 16}, 0))"),"LU000704")</f>
        <v>LU000704</v>
      </c>
      <c r="AH148" s="8" t="str">
        <f ca="1">IFERROR(__xludf.DUMMYFUNCTION("""COMPUTED_VALUE"""),"Algebraic identity for (a-b)^2")</f>
        <v>Algebraic identity for (a-b)^2</v>
      </c>
      <c r="AI148" s="8" t="str">
        <f ca="1">IFERROR(__xludf.DUMMYFUNCTION("""COMPUTED_VALUE"""),"LU000757")</f>
        <v>LU000757</v>
      </c>
      <c r="AJ148" s="8" t="str">
        <f ca="1">IFERROR(__xludf.DUMMYFUNCTION("""COMPUTED_VALUE"""),"Definition of factorisation of algebraic expressions")</f>
        <v>Definition of factorisation of algebraic expressions</v>
      </c>
      <c r="AK148" s="8" t="str">
        <f ca="1">IFERROR(__xludf.DUMMYFUNCTION("""COMPUTED_VALUE"""),"LU000636")</f>
        <v>LU000636</v>
      </c>
      <c r="AL148" s="8" t="str">
        <f ca="1">IFERROR(__xludf.DUMMYFUNCTION("""COMPUTED_VALUE"""),"Definition and representation of square numbers/perfect square numbers")</f>
        <v>Definition and representation of square numbers/perfect square numbers</v>
      </c>
      <c r="AM148" s="8"/>
      <c r="AN148" s="8"/>
      <c r="AO148" s="8"/>
      <c r="AP148" s="8"/>
      <c r="AQ148" s="8"/>
      <c r="AR148" s="8"/>
      <c r="AS148" s="8"/>
      <c r="AT148" s="8"/>
      <c r="AU148" s="8"/>
      <c r="AV148" s="8"/>
      <c r="AW148" s="8"/>
      <c r="AX148" s="8"/>
      <c r="AY148" s="8"/>
      <c r="AZ148" s="8"/>
      <c r="BA148" s="8"/>
      <c r="BB148" s="8"/>
      <c r="BC148" s="8"/>
      <c r="BD148" s="8"/>
      <c r="BE148" s="8"/>
    </row>
    <row r="149" spans="1:57">
      <c r="A149" s="8" t="s">
        <v>247</v>
      </c>
      <c r="B149" s="8" t="s">
        <v>47</v>
      </c>
      <c r="C149" s="8" t="s">
        <v>731</v>
      </c>
      <c r="D149" s="8" t="s">
        <v>732</v>
      </c>
      <c r="E149" s="8" t="s">
        <v>946</v>
      </c>
      <c r="F149" s="54" t="s">
        <v>955</v>
      </c>
      <c r="G149" s="8" t="s">
        <v>957</v>
      </c>
      <c r="H149" s="8" t="str">
        <f ca="1">IFERROR(__xludf.DUMMYFUNCTION("VLOOKUP(G149, IMPORTRANGE(""https://docs.google.com/spreadsheets/d/14deopnvwcrKtEGCKuYXdUHJbeLDZlkiSSWWT0g7x2pM/edit#gid=999382323"", ""LU List Maths (Filter)!A:B""), 2, FALSE)"),"Factorisation of algebraic expressions using identity (a+b)^2")</f>
        <v>Factorisation of algebraic expressions using identity (a+b)^2</v>
      </c>
      <c r="I149" s="10" t="str">
        <f t="shared" si="0"/>
        <v>LU000767.001</v>
      </c>
      <c r="J149" s="10" t="str">
        <f ca="1">IFERROR(__xludf.DUMMYFUNCTION("VLOOKUP(I149, IMPORTRANGE(""https://docs.google.com/spreadsheets/d/1yDAaXNsi4Mr5FtRQL4tbmSdIzhx6_m4wkOD7IG-k_eo/edit#gid=0"", ""Maths!M:N""), 2, FALSE)"),"State the formula for the identity (a+b)^2.")</f>
        <v>State the formula for the identity (a+b)^2.</v>
      </c>
      <c r="K149" s="10" t="str">
        <f t="shared" si="1"/>
        <v>LU000767.002</v>
      </c>
      <c r="L149" s="10" t="str">
        <f ca="1">IFERROR(__xludf.DUMMYFUNCTION("VLOOKUP(K149, IMPORTRANGE(""https://docs.google.com/spreadsheets/d/1yDAaXNsi4Mr5FtRQL4tbmSdIzhx6_m4wkOD7IG-k_eo/edit#gid=0"", ""Maths!M:N""), 2, FALSE)"),"Describe the role of each term (a^2, 2ab, and b^2) in the expansion of (a+b)^2.")</f>
        <v>Describe the role of each term (a^2, 2ab, and b^2) in the expansion of (a+b)^2.</v>
      </c>
      <c r="M149" s="10" t="str">
        <f t="shared" si="2"/>
        <v>LU000767.003</v>
      </c>
      <c r="N149" s="10" t="str">
        <f ca="1">IFERROR(__xludf.DUMMYFUNCTION("VLOOKUP(M149, IMPORTRANGE(""https://docs.google.com/spreadsheets/d/1yDAaXNsi4Mr5FtRQL4tbmSdIzhx6_m4wkOD7IG-k_eo/edit#gid=0"", ""Maths!M:N""), 2, FALSE)"),"Apply the identity (a+b)^2 to factorise algebraic expressions.")</f>
        <v>Apply the identity (a+b)^2 to factorise algebraic expressions.</v>
      </c>
      <c r="O149" s="10" t="str">
        <f t="shared" si="3"/>
        <v>LU000767.004</v>
      </c>
      <c r="P149" s="10" t="str">
        <f ca="1">IFERROR(__xludf.DUMMYFUNCTION("VLOOKUP(O149, IMPORTRANGE(""https://docs.google.com/spreadsheets/d/1yDAaXNsi4Mr5FtRQL4tbmSdIzhx6_m4wkOD7IG-k_eo/edit#gid=0"", ""Maths!M:N""), 2, FALSE)"),"Determine when it's more efficient to use (a+b)^2 compared to other factorisation methods for a given expression.")</f>
        <v>Determine when it's more efficient to use (a+b)^2 compared to other factorisation methods for a given expression.</v>
      </c>
      <c r="Q149" s="10" t="str">
        <f t="shared" si="4"/>
        <v>LU000767.005</v>
      </c>
      <c r="R149" s="10" t="str">
        <f ca="1">IFERROR(__xludf.DUMMYFUNCTION("VLOOKUP(Q149, IMPORTRANGE(""https://docs.google.com/spreadsheets/d/1yDAaXNsi4Mr5FtRQL4tbmSdIzhx6_m4wkOD7IG-k_eo/edit#gid=0"", ""Maths!M:N""), 2, FALSE)"),"Critically assess factorisation of an expression using (a+b)^2, highlighting any errors or improvements.")</f>
        <v>Critically assess factorisation of an expression using (a+b)^2, highlighting any errors or improvements.</v>
      </c>
      <c r="S149" s="10" t="str">
        <f t="shared" si="5"/>
        <v>LU000767.006</v>
      </c>
      <c r="T149" s="10" t="str">
        <f ca="1">IFERROR(__xludf.DUMMYFUNCTION("VLOOKUP(S149, IMPORTRANGE(""https://docs.google.com/spreadsheets/d/1yDAaXNsi4Mr5FtRQL4tbmSdIzhx6_m4wkOD7IG-k_eo/edit#gid=0"", ""Maths!M:N""), 2, FALSE)"),"Design a unique algebraic expression and then factorise it using the (a+b)^2 identity to simplify.")</f>
        <v>Design a unique algebraic expression and then factorise it using the (a+b)^2 identity to simplify.</v>
      </c>
      <c r="U149" s="52">
        <f ca="1">IFERROR(__xludf.DUMMYFUNCTION("ArrayFormula(VLOOKUP(G149, IMPORTRANGE(""https://docs.google.com/spreadsheets/d/1p7R4vtkWt5VOBim4ltsDG9KTzSjrtKXsMtQGXPHyND0/edit#gid=795171502"", ""'Filter 30_05_2024'!A1:M2000""), {2, 3, 4, 5,6,7,8,9,10,11,12,13}, 0))"),4)</f>
        <v>4</v>
      </c>
      <c r="V149" s="52">
        <f ca="1">IFERROR(__xludf.DUMMYFUNCTION("""COMPUTED_VALUE"""),6)</f>
        <v>6</v>
      </c>
      <c r="W149" s="52">
        <f ca="1">IFERROR(__xludf.DUMMYFUNCTION("""COMPUTED_VALUE"""),2)</f>
        <v>2</v>
      </c>
      <c r="X149" s="52">
        <f ca="1">IFERROR(__xludf.DUMMYFUNCTION("""COMPUTED_VALUE"""),12)</f>
        <v>12</v>
      </c>
      <c r="Y149" s="52">
        <f ca="1">IFERROR(__xludf.DUMMYFUNCTION("""COMPUTED_VALUE"""),4)</f>
        <v>4</v>
      </c>
      <c r="Z149" s="53">
        <f ca="1">IFERROR(__xludf.DUMMYFUNCTION("""COMPUTED_VALUE"""),3)</f>
        <v>3</v>
      </c>
      <c r="AA149" s="53">
        <f ca="1">IFERROR(__xludf.DUMMYFUNCTION("""COMPUTED_VALUE"""),1)</f>
        <v>1</v>
      </c>
      <c r="AB149" s="53">
        <f ca="1">IFERROR(__xludf.DUMMYFUNCTION("""COMPUTED_VALUE"""),8)</f>
        <v>8</v>
      </c>
      <c r="AC149" s="53"/>
      <c r="AD149" s="53"/>
      <c r="AE149" s="53"/>
      <c r="AF149" s="53"/>
      <c r="AG149" s="8" t="str">
        <f ca="1">IFERROR(__xludf.DUMMYFUNCTION("ArrayFormula(VLOOKUP(G149, IMPORTRANGE(""https://docs.google.com/spreadsheets/d/1Co934fvtviyaRiMsrIlT05Jaq7iiYq07aLvRr35KA48/edit?gid=173865642#gid=173865642"", ""'G8_Maths_Pri_LU'!G2:V2000""), {3, 4, 5, 6, 7, 8, 9, 10, 11, 12, 13, 14, 15, 16}, 0))"),"LU000705")</f>
        <v>LU000705</v>
      </c>
      <c r="AH149" s="8" t="str">
        <f ca="1">IFERROR(__xludf.DUMMYFUNCTION("""COMPUTED_VALUE"""),"Algebraic identity for (a+b)^2")</f>
        <v>Algebraic identity for (a+b)^2</v>
      </c>
      <c r="AI149" s="8" t="str">
        <f ca="1">IFERROR(__xludf.DUMMYFUNCTION("""COMPUTED_VALUE"""),"LU000757")</f>
        <v>LU000757</v>
      </c>
      <c r="AJ149" s="8" t="str">
        <f ca="1">IFERROR(__xludf.DUMMYFUNCTION("""COMPUTED_VALUE"""),"Definition of factorisation of algebraic expressions")</f>
        <v>Definition of factorisation of algebraic expressions</v>
      </c>
      <c r="AK149" s="8" t="str">
        <f ca="1">IFERROR(__xludf.DUMMYFUNCTION("""COMPUTED_VALUE"""),"LU000636")</f>
        <v>LU000636</v>
      </c>
      <c r="AL149" s="8" t="str">
        <f ca="1">IFERROR(__xludf.DUMMYFUNCTION("""COMPUTED_VALUE"""),"Definition and representation of square numbers/perfect square numbers")</f>
        <v>Definition and representation of square numbers/perfect square numbers</v>
      </c>
      <c r="AM149" s="8"/>
      <c r="AN149" s="8"/>
      <c r="AO149" s="8"/>
      <c r="AP149" s="8"/>
      <c r="AQ149" s="8"/>
      <c r="AR149" s="8"/>
      <c r="AS149" s="8"/>
      <c r="AT149" s="8"/>
      <c r="AU149" s="8"/>
      <c r="AV149" s="8"/>
      <c r="AW149" s="8"/>
      <c r="AX149" s="8"/>
      <c r="AY149" s="8"/>
      <c r="AZ149" s="8"/>
      <c r="BA149" s="8"/>
      <c r="BB149" s="8"/>
      <c r="BC149" s="8"/>
      <c r="BD149" s="8"/>
      <c r="BE149" s="8"/>
    </row>
    <row r="150" spans="1:57">
      <c r="A150" s="8" t="s">
        <v>247</v>
      </c>
      <c r="B150" s="8" t="s">
        <v>47</v>
      </c>
      <c r="C150" s="8" t="s">
        <v>731</v>
      </c>
      <c r="D150" s="8" t="s">
        <v>732</v>
      </c>
      <c r="E150" s="8" t="s">
        <v>946</v>
      </c>
      <c r="F150" s="54" t="s">
        <v>955</v>
      </c>
      <c r="G150" s="8" t="s">
        <v>958</v>
      </c>
      <c r="H150" s="8" t="str">
        <f ca="1">IFERROR(__xludf.DUMMYFUNCTION("VLOOKUP(G150, IMPORTRANGE(""https://docs.google.com/spreadsheets/d/14deopnvwcrKtEGCKuYXdUHJbeLDZlkiSSWWT0g7x2pM/edit#gid=999382323"", ""LU List Maths (Filter)!A:B""), 2, FALSE)"),"Factorisation of algebraic expressions using identity (a+b)(a-b)")</f>
        <v>Factorisation of algebraic expressions using identity (a+b)(a-b)</v>
      </c>
      <c r="I150" s="10" t="str">
        <f t="shared" si="0"/>
        <v>LU000769.001</v>
      </c>
      <c r="J150" s="10" t="str">
        <f ca="1">IFERROR(__xludf.DUMMYFUNCTION("VLOOKUP(I150, IMPORTRANGE(""https://docs.google.com/spreadsheets/d/1yDAaXNsi4Mr5FtRQL4tbmSdIzhx6_m4wkOD7IG-k_eo/edit#gid=0"", ""Maths!M:N""), 2, FALSE)"),"State the identity (a+b)(a-b) = a^2 - b^2.")</f>
        <v>State the identity (a+b)(a-b) = a^2 - b^2.</v>
      </c>
      <c r="K150" s="10" t="str">
        <f t="shared" si="1"/>
        <v>LU000769.002</v>
      </c>
      <c r="L150" s="10" t="str">
        <f ca="1">IFERROR(__xludf.DUMMYFUNCTION("VLOOKUP(K150, IMPORTRANGE(""https://docs.google.com/spreadsheets/d/1yDAaXNsi4Mr5FtRQL4tbmSdIzhx6_m4wkOD7IG-k_eo/edit#gid=0"", ""Maths!M:N""), 2, FALSE)"),"Describe the relationship between the expressions (a^2 - b^2) and ((a+b)(a-b)) and why they are equivalent.")</f>
        <v>Describe the relationship between the expressions (a^2 - b^2) and ((a+b)(a-b)) and why they are equivalent.</v>
      </c>
      <c r="M150" s="10" t="str">
        <f t="shared" si="2"/>
        <v>LU000769.003</v>
      </c>
      <c r="N150" s="10" t="str">
        <f ca="1">IFERROR(__xludf.DUMMYFUNCTION("VLOOKUP(M150, IMPORTRANGE(""https://docs.google.com/spreadsheets/d/1yDAaXNsi4Mr5FtRQL4tbmSdIzhx6_m4wkOD7IG-k_eo/edit#gid=0"", ""Maths!M:N""), 2, FALSE)"),"Factorise the algebraic expression using the identity (a+b)(a-b).")</f>
        <v>Factorise the algebraic expression using the identity (a+b)(a-b).</v>
      </c>
      <c r="O150" s="10" t="str">
        <f t="shared" si="3"/>
        <v>LU000769.004</v>
      </c>
      <c r="P150" s="10" t="str">
        <f ca="1">IFERROR(__xludf.DUMMYFUNCTION("VLOOKUP(O150, IMPORTRANGE(""https://docs.google.com/spreadsheets/d/1yDAaXNsi4Mr5FtRQL4tbmSdIzhx6_m4wkOD7IG-k_eo/edit#gid=0"", ""Maths!M:N""), 2, FALSE)"),"Analyse and identify situations where using the identity (a+b)(a-b) is advantageous for factorisation.")</f>
        <v>Analyse and identify situations where using the identity (a+b)(a-b) is advantageous for factorisation.</v>
      </c>
      <c r="Q150" s="10" t="str">
        <f t="shared" si="4"/>
        <v>LU000769.005</v>
      </c>
      <c r="R150" s="10" t="str">
        <f ca="1">IFERROR(__xludf.DUMMYFUNCTION("VLOOKUP(Q150, IMPORTRANGE(""https://docs.google.com/spreadsheets/d/1yDAaXNsi4Mr5FtRQL4tbmSdIzhx6_m4wkOD7IG-k_eo/edit#gid=0"", ""Maths!M:N""), 2, FALSE)"),"Compare and contrast the use of the identity (a+b)(a-b) with other factorisation methods")</f>
        <v>Compare and contrast the use of the identity (a+b)(a-b) with other factorisation methods</v>
      </c>
      <c r="S150" s="10" t="str">
        <f t="shared" si="5"/>
        <v>LU000769.006</v>
      </c>
      <c r="T150" s="10" t="str">
        <f ca="1">IFERROR(__xludf.DUMMYFUNCTION("VLOOKUP(S150, IMPORTRANGE(""https://docs.google.com/spreadsheets/d/1yDAaXNsi4Mr5FtRQL4tbmSdIzhx6_m4wkOD7IG-k_eo/edit#gid=0"", ""Maths!M:N""), 2, FALSE)"),"Create original algebraic expressions and factorise them using the identity (a+b)(a-b).")</f>
        <v>Create original algebraic expressions and factorise them using the identity (a+b)(a-b).</v>
      </c>
      <c r="U150" s="52">
        <f ca="1">IFERROR(__xludf.DUMMYFUNCTION("ArrayFormula(VLOOKUP(G150, IMPORTRANGE(""https://docs.google.com/spreadsheets/d/1p7R4vtkWt5VOBim4ltsDG9KTzSjrtKXsMtQGXPHyND0/edit#gid=795171502"", ""'Filter 30_05_2024'!A1:M2000""), {2, 3, 4, 5,6,7,8,9,10,11,12,13}, 0))"),4)</f>
        <v>4</v>
      </c>
      <c r="V150" s="52">
        <f ca="1">IFERROR(__xludf.DUMMYFUNCTION("""COMPUTED_VALUE"""),6)</f>
        <v>6</v>
      </c>
      <c r="W150" s="52">
        <f ca="1">IFERROR(__xludf.DUMMYFUNCTION("""COMPUTED_VALUE"""),2)</f>
        <v>2</v>
      </c>
      <c r="X150" s="52">
        <f ca="1">IFERROR(__xludf.DUMMYFUNCTION("""COMPUTED_VALUE"""),12)</f>
        <v>12</v>
      </c>
      <c r="Y150" s="52">
        <f ca="1">IFERROR(__xludf.DUMMYFUNCTION("""COMPUTED_VALUE"""),4)</f>
        <v>4</v>
      </c>
      <c r="Z150" s="53">
        <f ca="1">IFERROR(__xludf.DUMMYFUNCTION("""COMPUTED_VALUE"""),3)</f>
        <v>3</v>
      </c>
      <c r="AA150" s="53">
        <f ca="1">IFERROR(__xludf.DUMMYFUNCTION("""COMPUTED_VALUE"""),1)</f>
        <v>1</v>
      </c>
      <c r="AB150" s="53">
        <f ca="1">IFERROR(__xludf.DUMMYFUNCTION("""COMPUTED_VALUE"""),8)</f>
        <v>8</v>
      </c>
      <c r="AC150" s="53"/>
      <c r="AD150" s="53"/>
      <c r="AE150" s="53"/>
      <c r="AF150" s="53"/>
      <c r="AG150" s="8" t="str">
        <f ca="1">IFERROR(__xludf.DUMMYFUNCTION("ArrayFormula(VLOOKUP(G150, IMPORTRANGE(""https://docs.google.com/spreadsheets/d/1Co934fvtviyaRiMsrIlT05Jaq7iiYq07aLvRr35KA48/edit?gid=173865642#gid=173865642"", ""'G8_Maths_Pri_LU'!G2:V2000""), {3, 4, 5, 6, 7, 8, 9, 10, 11, 12, 13, 14, 15, 16}, 0))"),"LU000703")</f>
        <v>LU000703</v>
      </c>
      <c r="AH150" s="8" t="str">
        <f ca="1">IFERROR(__xludf.DUMMYFUNCTION("""COMPUTED_VALUE"""),"Algebraic identity for (a+b)(a-b)")</f>
        <v>Algebraic identity for (a+b)(a-b)</v>
      </c>
      <c r="AI150" s="8" t="str">
        <f ca="1">IFERROR(__xludf.DUMMYFUNCTION("""COMPUTED_VALUE"""),"LU000700")</f>
        <v>LU000700</v>
      </c>
      <c r="AJ150" s="8" t="str">
        <f ca="1">IFERROR(__xludf.DUMMYFUNCTION("""COMPUTED_VALUE"""),"Multiplication of binomial by binomial")</f>
        <v>Multiplication of binomial by binomial</v>
      </c>
      <c r="AK150" s="8" t="str">
        <f ca="1">IFERROR(__xludf.DUMMYFUNCTION("""COMPUTED_VALUE"""),"LU000757")</f>
        <v>LU000757</v>
      </c>
      <c r="AL150" s="8" t="str">
        <f ca="1">IFERROR(__xludf.DUMMYFUNCTION("""COMPUTED_VALUE"""),"Definition of factorisation of algebraic expressions")</f>
        <v>Definition of factorisation of algebraic expressions</v>
      </c>
      <c r="AM150" s="8" t="str">
        <f ca="1">IFERROR(__xludf.DUMMYFUNCTION("""COMPUTED_VALUE"""),"LU000636")</f>
        <v>LU000636</v>
      </c>
      <c r="AN150" s="8" t="str">
        <f ca="1">IFERROR(__xludf.DUMMYFUNCTION("""COMPUTED_VALUE"""),"Definition and representation of square numbers/perfect square numbers")</f>
        <v>Definition and representation of square numbers/perfect square numbers</v>
      </c>
      <c r="AO150" s="8"/>
      <c r="AP150" s="8"/>
      <c r="AQ150" s="8"/>
      <c r="AR150" s="8"/>
      <c r="AS150" s="8"/>
      <c r="AT150" s="8"/>
      <c r="AU150" s="8"/>
      <c r="AV150" s="8"/>
      <c r="AW150" s="8"/>
      <c r="AX150" s="8"/>
      <c r="AY150" s="8"/>
      <c r="AZ150" s="8"/>
      <c r="BA150" s="8"/>
      <c r="BB150" s="8"/>
      <c r="BC150" s="8"/>
      <c r="BD150" s="8"/>
      <c r="BE150" s="8"/>
    </row>
    <row r="151" spans="1:57">
      <c r="A151" s="8" t="s">
        <v>247</v>
      </c>
      <c r="B151" s="8" t="s">
        <v>47</v>
      </c>
      <c r="C151" s="8" t="s">
        <v>731</v>
      </c>
      <c r="D151" s="8" t="s">
        <v>732</v>
      </c>
      <c r="E151" s="8" t="s">
        <v>946</v>
      </c>
      <c r="F151" s="54" t="s">
        <v>959</v>
      </c>
      <c r="G151" s="8" t="s">
        <v>960</v>
      </c>
      <c r="H151" s="8" t="str">
        <f ca="1">IFERROR(__xludf.DUMMYFUNCTION("VLOOKUP(G151, IMPORTRANGE(""https://docs.google.com/spreadsheets/d/14deopnvwcrKtEGCKuYXdUHJbeLDZlkiSSWWT0g7x2pM/edit#gid=999382323"", ""LU List Maths (Filter)!A:B""), 2, FALSE)"),"Factorisation of algebraic expressions using combination of identities [(a + b + c)^2 , (a + b )^2, (a - b )^2, a^2 - b^2)]")</f>
        <v>Factorisation of algebraic expressions using combination of identities [(a + b + c)^2 , (a + b )^2, (a - b )^2, a^2 - b^2)]</v>
      </c>
      <c r="I151" s="10" t="str">
        <f t="shared" si="0"/>
        <v>LU000760.001</v>
      </c>
      <c r="J151" s="10" t="str">
        <f ca="1">IFERROR(__xludf.DUMMYFUNCTION("VLOOKUP(I151, IMPORTRANGE(""https://docs.google.com/spreadsheets/d/1yDAaXNsi4Mr5FtRQL4tbmSdIzhx6_m4wkOD7IG-k_eo/edit#gid=0"", ""Maths!M:N""), 2, FALSE)"),"Recall and list the algebraic identities: (a + b + c)², (a + b)², (a - b)², and a² - b².")</f>
        <v>Recall and list the algebraic identities: (a + b + c)², (a + b)², (a - b)², and a² - b².</v>
      </c>
      <c r="K151" s="10" t="str">
        <f t="shared" si="1"/>
        <v>LU000760.002</v>
      </c>
      <c r="L151" s="10" t="str">
        <f ca="1">IFERROR(__xludf.DUMMYFUNCTION("VLOOKUP(K151, IMPORTRANGE(""https://docs.google.com/spreadsheets/d/1yDAaXNsi4Mr5FtRQL4tbmSdIzhx6_m4wkOD7IG-k_eo/edit#gid=0"", ""Maths!M:N""), 2, FALSE)"),"Summarize the process of applying identities (a + b + c)², (a + b)², (a - b)², and a² - b² to factorize algebraic expressions.")</f>
        <v>Summarize the process of applying identities (a + b + c)², (a + b)², (a - b)², and a² - b² to factorize algebraic expressions.</v>
      </c>
      <c r="M151" s="10" t="str">
        <f t="shared" si="2"/>
        <v>LU000760.003</v>
      </c>
      <c r="N151" s="10" t="str">
        <f ca="1">IFERROR(__xludf.DUMMYFUNCTION("VLOOKUP(M151, IMPORTRANGE(""https://docs.google.com/spreadsheets/d/1yDAaXNsi4Mr5FtRQL4tbmSdIzhx6_m4wkOD7IG-k_eo/edit#gid=0"", ""Maths!M:N""), 2, FALSE)"),"Apply the appropriate identities (a + b + c)², (a + b)², (a - b)², and a² - b² to factorize given algebraic expressions.")</f>
        <v>Apply the appropriate identities (a + b + c)², (a + b)², (a - b)², and a² - b² to factorize given algebraic expressions.</v>
      </c>
      <c r="O151" s="10" t="str">
        <f t="shared" si="3"/>
        <v>LU000760.004</v>
      </c>
      <c r="P151" s="10" t="str">
        <f ca="1">IFERROR(__xludf.DUMMYFUNCTION("VLOOKUP(O151, IMPORTRANGE(""https://docs.google.com/spreadsheets/d/1yDAaXNsi4Mr5FtRQL4tbmSdIzhx6_m4wkOD7IG-k_eo/edit#gid=0"", ""Maths!M:N""), 2, FALSE)"),"Analyze complex expressions to identify the most efficient identity for factorization.")</f>
        <v>Analyze complex expressions to identify the most efficient identity for factorization.</v>
      </c>
      <c r="Q151" s="10" t="str">
        <f t="shared" si="4"/>
        <v>LU000760.005</v>
      </c>
      <c r="R151" s="10" t="str">
        <f ca="1">IFERROR(__xludf.DUMMYFUNCTION("VLOOKUP(Q151, IMPORTRANGE(""https://docs.google.com/spreadsheets/d/1yDAaXNsi4Mr5FtRQL4tbmSdIzhx6_m4wkOD7IG-k_eo/edit#gid=0"", ""Maths!M:N""), 2, FALSE)"),"Assess the correctness of factorized expressions using the identities (a + b + c)², (a + b)², (a - b)², and a² - b².")</f>
        <v>Assess the correctness of factorized expressions using the identities (a + b + c)², (a + b)², (a - b)², and a² - b².</v>
      </c>
      <c r="S151" s="10" t="str">
        <f t="shared" si="5"/>
        <v>LU000760.006</v>
      </c>
      <c r="T151" s="10" t="str">
        <f ca="1">IFERROR(__xludf.DUMMYFUNCTION("VLOOKUP(S151, IMPORTRANGE(""https://docs.google.com/spreadsheets/d/1yDAaXNsi4Mr5FtRQL4tbmSdIzhx6_m4wkOD7IG-k_eo/edit#gid=0"", ""Maths!M:N""), 2, FALSE)"),"Construct new algebraic expressions that can be factorized using identities (a + b + c)², (a + b)², (a - b)², and a² - b².")</f>
        <v>Construct new algebraic expressions that can be factorized using identities (a + b + c)², (a + b)², (a - b)², and a² - b².</v>
      </c>
      <c r="U151" s="52">
        <f ca="1">IFERROR(__xludf.DUMMYFUNCTION("ArrayFormula(VLOOKUP(G151, IMPORTRANGE(""https://docs.google.com/spreadsheets/d/1p7R4vtkWt5VOBim4ltsDG9KTzSjrtKXsMtQGXPHyND0/edit#gid=795171502"", ""'Filter 30_05_2024'!A1:M2000""), {2, 3, 4, 5,6,7,8,9,10,11,12,13}, 0))"),4)</f>
        <v>4</v>
      </c>
      <c r="V151" s="52">
        <f ca="1">IFERROR(__xludf.DUMMYFUNCTION("""COMPUTED_VALUE"""),6)</f>
        <v>6</v>
      </c>
      <c r="W151" s="52">
        <f ca="1">IFERROR(__xludf.DUMMYFUNCTION("""COMPUTED_VALUE"""),2)</f>
        <v>2</v>
      </c>
      <c r="X151" s="52">
        <f ca="1">IFERROR(__xludf.DUMMYFUNCTION("""COMPUTED_VALUE"""),12)</f>
        <v>12</v>
      </c>
      <c r="Y151" s="52">
        <f ca="1">IFERROR(__xludf.DUMMYFUNCTION("""COMPUTED_VALUE"""),4)</f>
        <v>4</v>
      </c>
      <c r="Z151" s="53">
        <f ca="1">IFERROR(__xludf.DUMMYFUNCTION("""COMPUTED_VALUE"""),3)</f>
        <v>3</v>
      </c>
      <c r="AA151" s="53">
        <f ca="1">IFERROR(__xludf.DUMMYFUNCTION("""COMPUTED_VALUE"""),1)</f>
        <v>1</v>
      </c>
      <c r="AB151" s="53">
        <f ca="1">IFERROR(__xludf.DUMMYFUNCTION("""COMPUTED_VALUE"""),8)</f>
        <v>8</v>
      </c>
      <c r="AC151" s="53"/>
      <c r="AD151" s="53"/>
      <c r="AE151" s="53"/>
      <c r="AF151" s="53"/>
      <c r="AG151" s="8" t="str">
        <f ca="1">IFERROR(__xludf.DUMMYFUNCTION("ArrayFormula(VLOOKUP(G151, IMPORTRANGE(""https://docs.google.com/spreadsheets/d/1Co934fvtviyaRiMsrIlT05Jaq7iiYq07aLvRr35KA48/edit?gid=173865642#gid=173865642"", ""'G8_Maths_Pri_LU'!G2:V2000""), {3, 4, 5, 6, 7, 8, 9, 10, 11, 12, 13, 14, 15, 16}, 0))"),"LU000768")</f>
        <v>LU000768</v>
      </c>
      <c r="AH151" s="8" t="str">
        <f ca="1">IFERROR(__xludf.DUMMYFUNCTION("""COMPUTED_VALUE"""),"Factorisation of algebraic expressions using identity (a-b)^2")</f>
        <v>Factorisation of algebraic expressions using identity (a-b)^2</v>
      </c>
      <c r="AI151" s="8" t="str">
        <f ca="1">IFERROR(__xludf.DUMMYFUNCTION("""COMPUTED_VALUE"""),"LU000767")</f>
        <v>LU000767</v>
      </c>
      <c r="AJ151" s="8" t="str">
        <f ca="1">IFERROR(__xludf.DUMMYFUNCTION("""COMPUTED_VALUE"""),"Factorisation of algebraic expressions using identity (a+b)^2")</f>
        <v>Factorisation of algebraic expressions using identity (a+b)^2</v>
      </c>
      <c r="AK151" s="8" t="str">
        <f ca="1">IFERROR(__xludf.DUMMYFUNCTION("""COMPUTED_VALUE"""),"LU000769")</f>
        <v>LU000769</v>
      </c>
      <c r="AL151" s="8" t="str">
        <f ca="1">IFERROR(__xludf.DUMMYFUNCTION("""COMPUTED_VALUE"""),"Factorisation of algebraic expressions using identity (a+b)(a-b)")</f>
        <v>Factorisation of algebraic expressions using identity (a+b)(a-b)</v>
      </c>
      <c r="AM151" s="8" t="str">
        <f ca="1">IFERROR(__xludf.DUMMYFUNCTION("""COMPUTED_VALUE"""),"LU000757")</f>
        <v>LU000757</v>
      </c>
      <c r="AN151" s="8" t="str">
        <f ca="1">IFERROR(__xludf.DUMMYFUNCTION("""COMPUTED_VALUE"""),"Definition of factorisation of algebraic expressions")</f>
        <v>Definition of factorisation of algebraic expressions</v>
      </c>
      <c r="AO151" s="8"/>
      <c r="AP151" s="8"/>
      <c r="AQ151" s="8"/>
      <c r="AR151" s="8"/>
      <c r="AS151" s="8"/>
      <c r="AT151" s="8"/>
      <c r="AU151" s="8"/>
      <c r="AV151" s="8"/>
      <c r="AW151" s="8"/>
      <c r="AX151" s="8"/>
      <c r="AY151" s="8"/>
      <c r="AZ151" s="8"/>
      <c r="BA151" s="8"/>
      <c r="BB151" s="8"/>
      <c r="BC151" s="8"/>
      <c r="BD151" s="8"/>
      <c r="BE151" s="8"/>
    </row>
    <row r="152" spans="1:57">
      <c r="A152" s="8" t="s">
        <v>247</v>
      </c>
      <c r="B152" s="8" t="s">
        <v>47</v>
      </c>
      <c r="C152" s="8" t="s">
        <v>731</v>
      </c>
      <c r="D152" s="8" t="s">
        <v>732</v>
      </c>
      <c r="E152" s="8" t="s">
        <v>946</v>
      </c>
      <c r="F152" s="54" t="s">
        <v>959</v>
      </c>
      <c r="G152" s="8" t="s">
        <v>961</v>
      </c>
      <c r="H152" s="8" t="str">
        <f ca="1">IFERROR(__xludf.DUMMYFUNCTION("VLOOKUP(G152, IMPORTRANGE(""https://docs.google.com/spreadsheets/d/14deopnvwcrKtEGCKuYXdUHJbeLDZlkiSSWWT0g7x2pM/edit#gid=999382323"", ""LU List Maths (Filter)!A:B""), 2, FALSE)"),"Factorisation of algebraic expressions of the form x^2 + px + q")</f>
        <v>Factorisation of algebraic expressions of the form x^2 + px + q</v>
      </c>
      <c r="I152" s="10" t="str">
        <f t="shared" si="0"/>
        <v>LU000761.001</v>
      </c>
      <c r="J152" s="10" t="str">
        <f ca="1">IFERROR(__xludf.DUMMYFUNCTION("VLOOKUP(I152, IMPORTRANGE(""https://docs.google.com/spreadsheets/d/1yDAaXNsi4Mr5FtRQL4tbmSdIzhx6_m4wkOD7IG-k_eo/edit#gid=0"", ""Maths!M:N""), 2, FALSE)"),"State the standard form of algebraic expressions that can be factorised as x^2+px+q.")</f>
        <v>State the standard form of algebraic expressions that can be factorised as x^2+px+q.</v>
      </c>
      <c r="K152" s="10" t="str">
        <f t="shared" si="1"/>
        <v>LU000761.002</v>
      </c>
      <c r="L152" s="10" t="str">
        <f ca="1">IFERROR(__xludf.DUMMYFUNCTION("VLOOKUP(K152, IMPORTRANGE(""https://docs.google.com/spreadsheets/d/1yDAaXNsi4Mr5FtRQL4tbmSdIzhx6_m4wkOD7IG-k_eo/edit#gid=0"", ""Maths!M:N""), 2, FALSE)"),"Describe how the coefficients p and q influence the factorization process for expressions in the form x^2+px+q.")</f>
        <v>Describe how the coefficients p and q influence the factorization process for expressions in the form x^2+px+q.</v>
      </c>
      <c r="M152" s="10" t="str">
        <f t="shared" si="2"/>
        <v>LU000761.003</v>
      </c>
      <c r="N152" s="10" t="str">
        <f ca="1">IFERROR(__xludf.DUMMYFUNCTION("VLOOKUP(M152, IMPORTRANGE(""https://docs.google.com/spreadsheets/d/1yDAaXNsi4Mr5FtRQL4tbmSdIzhx6_m4wkOD7IG-k_eo/edit#gid=0"", ""Maths!M:N""), 2, FALSE)"),"Apply the appropriate factorisation method to factorise expressions of the form x^2+px+q.")</f>
        <v>Apply the appropriate factorisation method to factorise expressions of the form x^2+px+q.</v>
      </c>
      <c r="O152" s="10" t="str">
        <f t="shared" si="3"/>
        <v>LU000761.004</v>
      </c>
      <c r="P152" s="10" t="str">
        <f ca="1">IFERROR(__xludf.DUMMYFUNCTION("VLOOKUP(O152, IMPORTRANGE(""https://docs.google.com/spreadsheets/d/1yDAaXNsi4Mr5FtRQL4tbmSdIzhx6_m4wkOD7IG-k_eo/edit#gid=0"", ""Maths!M:N""), 2, FALSE)"),"Analyse different expressions of the form x^2+px+q to determine whether they can be factorised using the method.")</f>
        <v>Analyse different expressions of the form x^2+px+q to determine whether they can be factorised using the method.</v>
      </c>
      <c r="Q152" s="10" t="str">
        <f t="shared" si="4"/>
        <v>LU000761.005</v>
      </c>
      <c r="R152" s="10" t="str">
        <f ca="1">IFERROR(__xludf.DUMMYFUNCTION("VLOOKUP(Q152, IMPORTRANGE(""https://docs.google.com/spreadsheets/d/1yDAaXNsi4Mr5FtRQL4tbmSdIzhx6_m4wkOD7IG-k_eo/edit#gid=0"", ""Maths!M:N""), 2, FALSE)"),"Check the factorisation of the form x^2+px+q to ensure it has been correctly simplified.")</f>
        <v>Check the factorisation of the form x^2+px+q to ensure it has been correctly simplified.</v>
      </c>
      <c r="S152" s="10" t="str">
        <f t="shared" si="5"/>
        <v>LU000761.006</v>
      </c>
      <c r="T152" s="10" t="str">
        <f ca="1">IFERROR(__xludf.DUMMYFUNCTION("VLOOKUP(S152, IMPORTRANGE(""https://docs.google.com/spreadsheets/d/1yDAaXNsi4Mr5FtRQL4tbmSdIzhx6_m4wkOD7IG-k_eo/edit#gid=0"", ""Maths!M:N""), 2, FALSE)"),"Create original algebraic expressions in the form x^2+px+q and factorise them.")</f>
        <v>Create original algebraic expressions in the form x^2+px+q and factorise them.</v>
      </c>
      <c r="U152" s="52">
        <f ca="1">IFERROR(__xludf.DUMMYFUNCTION("ArrayFormula(VLOOKUP(G152, IMPORTRANGE(""https://docs.google.com/spreadsheets/d/1p7R4vtkWt5VOBim4ltsDG9KTzSjrtKXsMtQGXPHyND0/edit#gid=795171502"", ""'Filter 30_05_2024'!A1:M2000""), {2, 3, 4, 5,6,7,8,9,10,11,12,13}, 0))"),4)</f>
        <v>4</v>
      </c>
      <c r="V152" s="52">
        <f ca="1">IFERROR(__xludf.DUMMYFUNCTION("""COMPUTED_VALUE"""),6)</f>
        <v>6</v>
      </c>
      <c r="W152" s="52">
        <f ca="1">IFERROR(__xludf.DUMMYFUNCTION("""COMPUTED_VALUE"""),2)</f>
        <v>2</v>
      </c>
      <c r="X152" s="52">
        <f ca="1">IFERROR(__xludf.DUMMYFUNCTION("""COMPUTED_VALUE"""),12)</f>
        <v>12</v>
      </c>
      <c r="Y152" s="52">
        <f ca="1">IFERROR(__xludf.DUMMYFUNCTION("""COMPUTED_VALUE"""),4)</f>
        <v>4</v>
      </c>
      <c r="Z152" s="53">
        <f ca="1">IFERROR(__xludf.DUMMYFUNCTION("""COMPUTED_VALUE"""),3)</f>
        <v>3</v>
      </c>
      <c r="AA152" s="53">
        <f ca="1">IFERROR(__xludf.DUMMYFUNCTION("""COMPUTED_VALUE"""),1)</f>
        <v>1</v>
      </c>
      <c r="AB152" s="53">
        <f ca="1">IFERROR(__xludf.DUMMYFUNCTION("""COMPUTED_VALUE"""),8)</f>
        <v>8</v>
      </c>
      <c r="AC152" s="53"/>
      <c r="AD152" s="53"/>
      <c r="AE152" s="53"/>
      <c r="AF152" s="53"/>
      <c r="AG152" s="8" t="str">
        <f ca="1">IFERROR(__xludf.DUMMYFUNCTION("ArrayFormula(VLOOKUP(G152, IMPORTRANGE(""https://docs.google.com/spreadsheets/d/1Co934fvtviyaRiMsrIlT05Jaq7iiYq07aLvRr35KA48/edit?gid=173865642#gid=173865642"", ""'G8_Maths_Pri_LU'!G2:V2000""), {3, 4, 5, 6, 7, 8, 9, 10, 11, 12, 13, 14, 15, 16}, 0))"),"LU000706")</f>
        <v>LU000706</v>
      </c>
      <c r="AH152" s="8" t="str">
        <f ca="1">IFERROR(__xludf.DUMMYFUNCTION("""COMPUTED_VALUE"""),"Algebraic identity for (x+a)(x+b)")</f>
        <v>Algebraic identity for (x+a)(x+b)</v>
      </c>
      <c r="AI152" s="8" t="str">
        <f ca="1">IFERROR(__xludf.DUMMYFUNCTION("""COMPUTED_VALUE"""),"LU000940")</f>
        <v>LU000940</v>
      </c>
      <c r="AJ152" s="8" t="str">
        <f ca="1">IFERROR(__xludf.DUMMYFUNCTION("""COMPUTED_VALUE"""),"Factorisation of algebraic expressions by taking out binomial as a common factor")</f>
        <v>Factorisation of algebraic expressions by taking out binomial as a common factor</v>
      </c>
      <c r="AK152" s="8" t="str">
        <f ca="1">IFERROR(__xludf.DUMMYFUNCTION("""COMPUTED_VALUE"""),"LU000759")</f>
        <v>LU000759</v>
      </c>
      <c r="AL152" s="8" t="str">
        <f ca="1">IFERROR(__xludf.DUMMYFUNCTION("""COMPUTED_VALUE"""),"Factorisation of algebraic expressions by method of regrouping terms")</f>
        <v>Factorisation of algebraic expressions by method of regrouping terms</v>
      </c>
      <c r="AM152" s="8"/>
      <c r="AN152" s="8"/>
      <c r="AO152" s="8"/>
      <c r="AP152" s="8"/>
      <c r="AQ152" s="8"/>
      <c r="AR152" s="8"/>
      <c r="AS152" s="8"/>
      <c r="AT152" s="8"/>
      <c r="AU152" s="8"/>
      <c r="AV152" s="8"/>
      <c r="AW152" s="8"/>
      <c r="AX152" s="8"/>
      <c r="AY152" s="8"/>
      <c r="AZ152" s="8"/>
      <c r="BA152" s="8"/>
      <c r="BB152" s="8"/>
      <c r="BC152" s="8"/>
      <c r="BD152" s="8"/>
      <c r="BE152" s="8"/>
    </row>
    <row r="153" spans="1:57">
      <c r="A153" s="8" t="s">
        <v>247</v>
      </c>
      <c r="B153" s="8" t="s">
        <v>47</v>
      </c>
      <c r="C153" s="8" t="s">
        <v>731</v>
      </c>
      <c r="D153" s="8" t="s">
        <v>732</v>
      </c>
      <c r="E153" s="8" t="s">
        <v>946</v>
      </c>
      <c r="F153" s="54" t="s">
        <v>962</v>
      </c>
      <c r="G153" s="8" t="s">
        <v>963</v>
      </c>
      <c r="H153" s="8" t="str">
        <f ca="1">IFERROR(__xludf.DUMMYFUNCTION("VLOOKUP(G153, IMPORTRANGE(""https://docs.google.com/spreadsheets/d/14deopnvwcrKtEGCKuYXdUHJbeLDZlkiSSWWT0g7x2pM/edit#gid=999382323"", ""LU List Maths (Filter)!A:B""), 2, FALSE)"),"Terms (dividend, divisor, quotient and remainder) related to division algorithm in terms of algebraic expressions")</f>
        <v>Terms (dividend, divisor, quotient and remainder) related to division algorithm in terms of algebraic expressions</v>
      </c>
      <c r="I153" s="10" t="str">
        <f t="shared" si="0"/>
        <v>LU000711.001</v>
      </c>
      <c r="J153" s="10" t="str">
        <f ca="1">IFERROR(__xludf.DUMMYFUNCTION("VLOOKUP(I153, IMPORTRANGE(""https://docs.google.com/spreadsheets/d/1yDAaXNsi4Mr5FtRQL4tbmSdIzhx6_m4wkOD7IG-k_eo/edit#gid=0"", ""Maths!M:N""), 2, FALSE)"),"List and define the terms ""dividend,"" ""divisor,"" ""quotient,"" and ""remainder"" in the context of the division algorithm.")</f>
        <v>List and define the terms "dividend," "divisor," "quotient," and "remainder" in the context of the division algorithm.</v>
      </c>
      <c r="K153" s="10" t="str">
        <f t="shared" si="1"/>
        <v>LU000711.002</v>
      </c>
      <c r="L153" s="10" t="str">
        <f ca="1">IFERROR(__xludf.DUMMYFUNCTION("VLOOKUP(K153, IMPORTRANGE(""https://docs.google.com/spreadsheets/d/1yDAaXNsi4Mr5FtRQL4tbmSdIzhx6_m4wkOD7IG-k_eo/edit#gid=0"", ""Maths!M:N""), 2, FALSE)"),"Describe how the dividend, divisor, quotient, and remainder are interconnected when performing long division and explain why each term is essential.")</f>
        <v>Describe how the dividend, divisor, quotient, and remainder are interconnected when performing long division and explain why each term is essential.</v>
      </c>
      <c r="M153" s="10" t="str">
        <f t="shared" si="2"/>
        <v>LU000711.003</v>
      </c>
      <c r="N153" s="10" t="str">
        <f ca="1">IFERROR(__xludf.DUMMYFUNCTION("VLOOKUP(M153, IMPORTRANGE(""https://docs.google.com/spreadsheets/d/1yDAaXNsi4Mr5FtRQL4tbmSdIzhx6_m4wkOD7IG-k_eo/edit#gid=0"", ""Maths!M:N""), 2, FALSE)"),"Apply the terms dividend, divisor, quotient, and remainder to solve division algorithm problems.")</f>
        <v>Apply the terms dividend, divisor, quotient, and remainder to solve division algorithm problems.</v>
      </c>
      <c r="O153" s="10" t="str">
        <f t="shared" si="3"/>
        <v>LU000711.004</v>
      </c>
      <c r="P153" s="10" t="str">
        <f ca="1">IFERROR(__xludf.DUMMYFUNCTION("VLOOKUP(O153, IMPORTRANGE(""https://docs.google.com/spreadsheets/d/1yDAaXNsi4Mr5FtRQL4tbmSdIzhx6_m4wkOD7IG-k_eo/edit#gid=0"", ""Maths!M:N""), 2, FALSE)"),"Analyse division algorithm problems to identify and distinguish between the dividend, divisor, quotient, and remainder.")</f>
        <v>Analyse division algorithm problems to identify and distinguish between the dividend, divisor, quotient, and remainder.</v>
      </c>
      <c r="Q153" s="10" t="str">
        <f t="shared" si="4"/>
        <v>LU000711.005</v>
      </c>
      <c r="R153" s="10" t="str">
        <f ca="1">IFERROR(__xludf.DUMMYFUNCTION("VLOOKUP(Q153, IMPORTRANGE(""https://docs.google.com/spreadsheets/d/1yDAaXNsi4Mr5FtRQL4tbmSdIzhx6_m4wkOD7IG-k_eo/edit#gid=0"", ""Maths!M:N""), 2, FALSE)"),"Evaluate the correctness of division algorithm solutions by verifying the relationships and calculations involving the dividend, divisor, quotient and remainder.")</f>
        <v>Evaluate the correctness of division algorithm solutions by verifying the relationships and calculations involving the dividend, divisor, quotient and remainder.</v>
      </c>
      <c r="S153" s="10" t="str">
        <f t="shared" si="5"/>
        <v>LU000711.006</v>
      </c>
      <c r="T153" s="10" t="str">
        <f ca="1">IFERROR(__xludf.DUMMYFUNCTION("VLOOKUP(S153, IMPORTRANGE(""https://docs.google.com/spreadsheets/d/1yDAaXNsi4Mr5FtRQL4tbmSdIzhx6_m4wkOD7IG-k_eo/edit#gid=0"", ""Maths!M:N""), 2, FALSE)"),"Design original division algorithm problems that involve polynomials, challenging others to correctly identify and work with the dividend, divisor, quotient, and remainder.")</f>
        <v>Design original division algorithm problems that involve polynomials, challenging others to correctly identify and work with the dividend, divisor, quotient, and remainder.</v>
      </c>
      <c r="U153" s="52">
        <f ca="1">IFERROR(__xludf.DUMMYFUNCTION("ArrayFormula(VLOOKUP(G153, IMPORTRANGE(""https://docs.google.com/spreadsheets/d/1p7R4vtkWt5VOBim4ltsDG9KTzSjrtKXsMtQGXPHyND0/edit#gid=795171502"", ""'Filter 30_05_2024'!A1:M2000""), {2, 3, 4, 5,6,7,8,9,10,11,12,13}, 0))"),4)</f>
        <v>4</v>
      </c>
      <c r="V153" s="52">
        <f ca="1">IFERROR(__xludf.DUMMYFUNCTION("""COMPUTED_VALUE"""),6)</f>
        <v>6</v>
      </c>
      <c r="W153" s="52">
        <f ca="1">IFERROR(__xludf.DUMMYFUNCTION("""COMPUTED_VALUE"""),2)</f>
        <v>2</v>
      </c>
      <c r="X153" s="52">
        <f ca="1">IFERROR(__xludf.DUMMYFUNCTION("""COMPUTED_VALUE"""),12)</f>
        <v>12</v>
      </c>
      <c r="Y153" s="52">
        <f ca="1">IFERROR(__xludf.DUMMYFUNCTION("""COMPUTED_VALUE"""),4)</f>
        <v>4</v>
      </c>
      <c r="Z153" s="53">
        <f ca="1">IFERROR(__xludf.DUMMYFUNCTION("""COMPUTED_VALUE"""),3)</f>
        <v>3</v>
      </c>
      <c r="AA153" s="53">
        <f ca="1">IFERROR(__xludf.DUMMYFUNCTION("""COMPUTED_VALUE"""),2)</f>
        <v>2</v>
      </c>
      <c r="AB153" s="53">
        <f ca="1">IFERROR(__xludf.DUMMYFUNCTION("""COMPUTED_VALUE"""),9)</f>
        <v>9</v>
      </c>
      <c r="AC153" s="53"/>
      <c r="AD153" s="53"/>
      <c r="AE153" s="53"/>
      <c r="AF153" s="53"/>
      <c r="AG153" s="8" t="str">
        <f ca="1">IFERROR(__xludf.DUMMYFUNCTION("ArrayFormula(VLOOKUP(G153, IMPORTRANGE(""https://docs.google.com/spreadsheets/d/1Co934fvtviyaRiMsrIlT05Jaq7iiYq07aLvRr35KA48/edit?gid=173865642#gid=173865642"", ""'G8_Maths_Pri_LU'!G2:V2000""), {3, 4, 5, 6, 7, 8, 9, 10, 11, 12, 13, 14, 15, 16}, 0))"),"LU001159")</f>
        <v>LU001159</v>
      </c>
      <c r="AH153" s="8" t="str">
        <f ca="1">IFERROR(__xludf.DUMMYFUNCTION("""COMPUTED_VALUE"""),"Terms (dividend, divisor, quotient and remainder) related to division algorithm in terms of numbers")</f>
        <v>Terms (dividend, divisor, quotient and remainder) related to division algorithm in terms of numbers</v>
      </c>
      <c r="AI153" s="8" t="str">
        <f ca="1">IFERROR(__xludf.DUMMYFUNCTION("""COMPUTED_VALUE"""),"LU000935")</f>
        <v>LU000935</v>
      </c>
      <c r="AJ153" s="8" t="str">
        <f ca="1">IFERROR(__xludf.DUMMYFUNCTION("""COMPUTED_VALUE"""),"Definition of algebraic expression")</f>
        <v>Definition of algebraic expression</v>
      </c>
      <c r="AK153" s="8"/>
      <c r="AL153" s="8"/>
      <c r="AM153" s="8"/>
      <c r="AN153" s="8"/>
      <c r="AO153" s="8"/>
      <c r="AP153" s="8"/>
      <c r="AQ153" s="8"/>
      <c r="AR153" s="8"/>
      <c r="AS153" s="8"/>
      <c r="AT153" s="8"/>
      <c r="AU153" s="8"/>
      <c r="AV153" s="8"/>
      <c r="AW153" s="8"/>
      <c r="AX153" s="8"/>
      <c r="AY153" s="8"/>
      <c r="AZ153" s="8"/>
      <c r="BA153" s="8"/>
      <c r="BB153" s="8"/>
      <c r="BC153" s="8"/>
      <c r="BD153" s="8"/>
      <c r="BE153" s="8"/>
    </row>
    <row r="154" spans="1:57">
      <c r="A154" s="8" t="s">
        <v>247</v>
      </c>
      <c r="B154" s="8" t="s">
        <v>47</v>
      </c>
      <c r="C154" s="8" t="s">
        <v>731</v>
      </c>
      <c r="D154" s="8" t="s">
        <v>732</v>
      </c>
      <c r="E154" s="8" t="s">
        <v>946</v>
      </c>
      <c r="F154" s="54" t="s">
        <v>962</v>
      </c>
      <c r="G154" s="8" t="s">
        <v>964</v>
      </c>
      <c r="H154" s="8" t="str">
        <f ca="1">IFERROR(__xludf.DUMMYFUNCTION("VLOOKUP(G154, IMPORTRANGE(""https://docs.google.com/spreadsheets/d/14deopnvwcrKtEGCKuYXdUHJbeLDZlkiSSWWT0g7x2pM/edit#gid=999382323"", ""LU List Maths (Filter)!A:B""), 2, FALSE)"),"Division of monomial by monomial")</f>
        <v>Division of monomial by monomial</v>
      </c>
      <c r="I154" s="10" t="str">
        <f t="shared" si="0"/>
        <v>LU000708.001</v>
      </c>
      <c r="J154" s="10" t="str">
        <f ca="1">IFERROR(__xludf.DUMMYFUNCTION("VLOOKUP(I154, IMPORTRANGE(""https://docs.google.com/spreadsheets/d/1yDAaXNsi4Mr5FtRQL4tbmSdIzhx6_m4wkOD7IG-k_eo/edit#gid=0"", ""Maths!M:N""), 2, FALSE)"),"State the rule for dividing monomials and provide an example illustrating this division.")</f>
        <v>State the rule for dividing monomials and provide an example illustrating this division.</v>
      </c>
      <c r="K154" s="10" t="str">
        <f t="shared" si="1"/>
        <v>LU000708.002</v>
      </c>
      <c r="L154" s="10" t="str">
        <f ca="1">IFERROR(__xludf.DUMMYFUNCTION("VLOOKUP(K154, IMPORTRANGE(""https://docs.google.com/spreadsheets/d/1yDAaXNsi4Mr5FtRQL4tbmSdIzhx6_m4wkOD7IG-k_eo/edit#gid=0"", ""Maths!M:N""), 2, FALSE)"),"Describe the significance of dividing monomials in algebraic expressions and provide a real-world context where this concept applies.")</f>
        <v>Describe the significance of dividing monomials in algebraic expressions and provide a real-world context where this concept applies.</v>
      </c>
      <c r="M154" s="10" t="str">
        <f t="shared" si="2"/>
        <v>LU000708.003</v>
      </c>
      <c r="N154" s="10" t="str">
        <f ca="1">IFERROR(__xludf.DUMMYFUNCTION("VLOOKUP(M154, IMPORTRANGE(""https://docs.google.com/spreadsheets/d/1yDAaXNsi4Mr5FtRQL4tbmSdIzhx6_m4wkOD7IG-k_eo/edit#gid=0"", ""Maths!M:N""), 2, FALSE)"),"Apply the rules of monomial division to solve mathematical problems and simplify polynomial expressions.")</f>
        <v>Apply the rules of monomial division to solve mathematical problems and simplify polynomial expressions.</v>
      </c>
      <c r="O154" s="10" t="str">
        <f t="shared" si="3"/>
        <v>LU000708.004</v>
      </c>
      <c r="P154" s="10" t="str">
        <f ca="1">IFERROR(__xludf.DUMMYFUNCTION("VLOOKUP(O154, IMPORTRANGE(""https://docs.google.com/spreadsheets/d/1yDAaXNsi4Mr5FtRQL4tbmSdIzhx6_m4wkOD7IG-k_eo/edit#gid=0"", ""Maths!M:N""), 2, FALSE)"),"Examine intricate polynomial expressions and identify situations where monomial division is the most efficient method for simplification.")</f>
        <v>Examine intricate polynomial expressions and identify situations where monomial division is the most efficient method for simplification.</v>
      </c>
      <c r="Q154" s="10" t="str">
        <f t="shared" si="4"/>
        <v>LU000708.005</v>
      </c>
      <c r="R154" s="10" t="str">
        <f ca="1">IFERROR(__xludf.DUMMYFUNCTION("VLOOKUP(Q154, IMPORTRANGE(""https://docs.google.com/spreadsheets/d/1yDAaXNsi4Mr5FtRQL4tbmSdIzhx6_m4wkOD7IG-k_eo/edit#gid=0"", ""Maths!M:N""), 2, FALSE)"),"Evaluate the correctness and efficiency of using monomial division in polynomial simplification, considering accuracy and effectiveness.")</f>
        <v>Evaluate the correctness and efficiency of using monomial division in polynomial simplification, considering accuracy and effectiveness.</v>
      </c>
      <c r="S154" s="10" t="str">
        <f t="shared" si="5"/>
        <v>LU000708.006</v>
      </c>
      <c r="T154" s="10" t="str">
        <f ca="1">IFERROR(__xludf.DUMMYFUNCTION("VLOOKUP(S154, IMPORTRANGE(""https://docs.google.com/spreadsheets/d/1yDAaXNsi4Mr5FtRQL4tbmSdIzhx6_m4wkOD7IG-k_eo/edit#gid=0"", ""Maths!M:N""), 2, FALSE)"),"Design original mathematical problems or scenarios that require the application of monomial division, challenging others to apply this concept creatively in problem-solving.")</f>
        <v>Design original mathematical problems or scenarios that require the application of monomial division, challenging others to apply this concept creatively in problem-solving.</v>
      </c>
      <c r="U154" s="52">
        <f ca="1">IFERROR(__xludf.DUMMYFUNCTION("ArrayFormula(VLOOKUP(G154, IMPORTRANGE(""https://docs.google.com/spreadsheets/d/1p7R4vtkWt5VOBim4ltsDG9KTzSjrtKXsMtQGXPHyND0/edit#gid=795171502"", ""'Filter 30_05_2024'!A1:M2000""), {2, 3, 4, 5,6,7,8,9,10,11,12,13}, 0))"),4)</f>
        <v>4</v>
      </c>
      <c r="V154" s="52">
        <f ca="1">IFERROR(__xludf.DUMMYFUNCTION("""COMPUTED_VALUE"""),6)</f>
        <v>6</v>
      </c>
      <c r="W154" s="52">
        <f ca="1">IFERROR(__xludf.DUMMYFUNCTION("""COMPUTED_VALUE"""),2)</f>
        <v>2</v>
      </c>
      <c r="X154" s="52">
        <f ca="1">IFERROR(__xludf.DUMMYFUNCTION("""COMPUTED_VALUE"""),12)</f>
        <v>12</v>
      </c>
      <c r="Y154" s="52">
        <f ca="1">IFERROR(__xludf.DUMMYFUNCTION("""COMPUTED_VALUE"""),4)</f>
        <v>4</v>
      </c>
      <c r="Z154" s="53">
        <f ca="1">IFERROR(__xludf.DUMMYFUNCTION("""COMPUTED_VALUE"""),3)</f>
        <v>3</v>
      </c>
      <c r="AA154" s="53">
        <f ca="1">IFERROR(__xludf.DUMMYFUNCTION("""COMPUTED_VALUE"""),1)</f>
        <v>1</v>
      </c>
      <c r="AB154" s="53">
        <f ca="1">IFERROR(__xludf.DUMMYFUNCTION("""COMPUTED_VALUE"""),8)</f>
        <v>8</v>
      </c>
      <c r="AC154" s="53"/>
      <c r="AD154" s="53"/>
      <c r="AE154" s="53"/>
      <c r="AF154" s="53"/>
      <c r="AG154" s="8" t="str">
        <f ca="1">IFERROR(__xludf.DUMMYFUNCTION("ArrayFormula(VLOOKUP(G154, IMPORTRANGE(""https://docs.google.com/spreadsheets/d/1Co934fvtviyaRiMsrIlT05Jaq7iiYq07aLvRr35KA48/edit?gid=173865642#gid=173865642"", ""'G8_Maths_Pri_LU'!G2:V2000""), {3, 4, 5, 6, 7, 8, 9, 10, 11, 12, 13, 14, 15, 16}, 0))"),"LU000523")</f>
        <v>LU000523</v>
      </c>
      <c r="AH154" s="8" t="str">
        <f ca="1">IFERROR(__xludf.DUMMYFUNCTION("""COMPUTED_VALUE"""),"Law of quotient of powers with the same base for whole numbers")</f>
        <v>Law of quotient of powers with the same base for whole numbers</v>
      </c>
      <c r="AI154" s="8" t="str">
        <f ca="1">IFERROR(__xludf.DUMMYFUNCTION("""COMPUTED_VALUE"""),"LU000060")</f>
        <v>LU000060</v>
      </c>
      <c r="AJ154" s="8" t="str">
        <f ca="1">IFERROR(__xludf.DUMMYFUNCTION("""COMPUTED_VALUE"""),"Common factors of numbers")</f>
        <v>Common factors of numbers</v>
      </c>
      <c r="AK154" s="8" t="str">
        <f ca="1">IFERROR(__xludf.DUMMYFUNCTION("""COMPUTED_VALUE"""),"LU000330")</f>
        <v>LU000330</v>
      </c>
      <c r="AL154" s="8" t="str">
        <f ca="1">IFERROR(__xludf.DUMMYFUNCTION("""COMPUTED_VALUE"""),"Definition of variable and constant")</f>
        <v>Definition of variable and constant</v>
      </c>
      <c r="AM154" s="8"/>
      <c r="AN154" s="8"/>
      <c r="AO154" s="8"/>
      <c r="AP154" s="8"/>
      <c r="AQ154" s="8"/>
      <c r="AR154" s="8"/>
      <c r="AS154" s="8"/>
      <c r="AT154" s="8"/>
      <c r="AU154" s="8"/>
      <c r="AV154" s="8"/>
      <c r="AW154" s="8"/>
      <c r="AX154" s="8"/>
      <c r="AY154" s="8"/>
      <c r="AZ154" s="8"/>
      <c r="BA154" s="8"/>
      <c r="BB154" s="8"/>
      <c r="BC154" s="8"/>
      <c r="BD154" s="8"/>
      <c r="BE154" s="8"/>
    </row>
    <row r="155" spans="1:57">
      <c r="A155" s="8" t="s">
        <v>247</v>
      </c>
      <c r="B155" s="8" t="s">
        <v>47</v>
      </c>
      <c r="C155" s="8" t="s">
        <v>731</v>
      </c>
      <c r="D155" s="8" t="s">
        <v>732</v>
      </c>
      <c r="E155" s="8" t="s">
        <v>946</v>
      </c>
      <c r="F155" s="54" t="s">
        <v>962</v>
      </c>
      <c r="G155" s="8" t="s">
        <v>965</v>
      </c>
      <c r="H155" s="8" t="str">
        <f ca="1">IFERROR(__xludf.DUMMYFUNCTION("VLOOKUP(G155, IMPORTRANGE(""https://docs.google.com/spreadsheets/d/14deopnvwcrKtEGCKuYXdUHJbeLDZlkiSSWWT0g7x2pM/edit#gid=999382323"", ""LU List Maths (Filter)!A:B""), 2, FALSE)"),"Division of polynomial by monomial")</f>
        <v>Division of polynomial by monomial</v>
      </c>
      <c r="I155" s="10" t="str">
        <f t="shared" si="0"/>
        <v>LU000709.001</v>
      </c>
      <c r="J155" s="10" t="str">
        <f ca="1">IFERROR(__xludf.DUMMYFUNCTION("VLOOKUP(I155, IMPORTRANGE(""https://docs.google.com/spreadsheets/d/1yDAaXNsi4Mr5FtRQL4tbmSdIzhx6_m4wkOD7IG-k_eo/edit#gid=0"", ""Maths!M:N""), 2, FALSE)"),"State the procedure for dividing a polynomial by a monomial and provide an example illustrating this division.")</f>
        <v>State the procedure for dividing a polynomial by a monomial and provide an example illustrating this division.</v>
      </c>
      <c r="K155" s="10" t="str">
        <f t="shared" si="1"/>
        <v>LU000709.002</v>
      </c>
      <c r="L155" s="10" t="str">
        <f ca="1">IFERROR(__xludf.DUMMYFUNCTION("VLOOKUP(K155, IMPORTRANGE(""https://docs.google.com/spreadsheets/d/1yDAaXNsi4Mr5FtRQL4tbmSdIzhx6_m4wkOD7IG-k_eo/edit#gid=0"", ""Maths!M:N""), 2, FALSE)"),"Explain the concept of polynomial division by a monomial and demonstrate an understanding of its relevance in polynomial mathematics.")</f>
        <v>Explain the concept of polynomial division by a monomial and demonstrate an understanding of its relevance in polynomial mathematics.</v>
      </c>
      <c r="M155" s="10" t="str">
        <f t="shared" si="2"/>
        <v>LU000709.003</v>
      </c>
      <c r="N155" s="10" t="str">
        <f ca="1">IFERROR(__xludf.DUMMYFUNCTION("VLOOKUP(M155, IMPORTRANGE(""https://docs.google.com/spreadsheets/d/1yDAaXNsi4Mr5FtRQL4tbmSdIzhx6_m4wkOD7IG-k_eo/edit#gid=0"", ""Maths!M:N""), 2, FALSE)"),"Utilise the division of polynomials by monomials to simplify expressions and find the result.")</f>
        <v>Utilise the division of polynomials by monomials to simplify expressions and find the result.</v>
      </c>
      <c r="O155" s="10" t="str">
        <f t="shared" si="3"/>
        <v>LU000709.004</v>
      </c>
      <c r="P155" s="10" t="str">
        <f ca="1">IFERROR(__xludf.DUMMYFUNCTION("VLOOKUP(O155, IMPORTRANGE(""https://docs.google.com/spreadsheets/d/1yDAaXNsi4Mr5FtRQL4tbmSdIzhx6_m4wkOD7IG-k_eo/edit#gid=0"", ""Maths!M:N""), 2, FALSE)"),"Analyse complex polynomial expressions and determine when and how to use division by monomials to simplify or solve them effectively.")</f>
        <v>Analyse complex polynomial expressions and determine when and how to use division by monomials to simplify or solve them effectively.</v>
      </c>
      <c r="Q155" s="10" t="str">
        <f t="shared" si="4"/>
        <v>LU000709.005</v>
      </c>
      <c r="R155" s="10" t="str">
        <f ca="1">IFERROR(__xludf.DUMMYFUNCTION("VLOOKUP(Q155, IMPORTRANGE(""https://docs.google.com/spreadsheets/d/1yDAaXNsi4Mr5FtRQL4tbmSdIzhx6_m4wkOD7IG-k_eo/edit#gid=0"", ""Maths!M:N""), 2, FALSE)"),"Evaluate the correctness and efficiency of using polynomial division by monomials, considering accuracy and effectiveness in simplifying expressions.")</f>
        <v>Evaluate the correctness and efficiency of using polynomial division by monomials, considering accuracy and effectiveness in simplifying expressions.</v>
      </c>
      <c r="S155" s="10" t="str">
        <f t="shared" si="5"/>
        <v>LU000709.006</v>
      </c>
      <c r="T155" s="10" t="str">
        <f ca="1">IFERROR(__xludf.DUMMYFUNCTION("VLOOKUP(S155, IMPORTRANGE(""https://docs.google.com/spreadsheets/d/1yDAaXNsi4Mr5FtRQL4tbmSdIzhx6_m4wkOD7IG-k_eo/edit#gid=0"", ""Maths!M:N""), 2, FALSE)"),"Design original mathematical problems or scenarios that require the application of polynomial division by monomials.")</f>
        <v>Design original mathematical problems or scenarios that require the application of polynomial division by monomials.</v>
      </c>
      <c r="U155" s="52">
        <f ca="1">IFERROR(__xludf.DUMMYFUNCTION("ArrayFormula(VLOOKUP(G155, IMPORTRANGE(""https://docs.google.com/spreadsheets/d/1p7R4vtkWt5VOBim4ltsDG9KTzSjrtKXsMtQGXPHyND0/edit#gid=795171502"", ""'Filter 30_05_2024'!A1:M2000""), {2, 3, 4, 5,6,7,8,9,10,11,12,13}, 0))"),4)</f>
        <v>4</v>
      </c>
      <c r="V155" s="52">
        <f ca="1">IFERROR(__xludf.DUMMYFUNCTION("""COMPUTED_VALUE"""),6)</f>
        <v>6</v>
      </c>
      <c r="W155" s="52">
        <f ca="1">IFERROR(__xludf.DUMMYFUNCTION("""COMPUTED_VALUE"""),2)</f>
        <v>2</v>
      </c>
      <c r="X155" s="52">
        <f ca="1">IFERROR(__xludf.DUMMYFUNCTION("""COMPUTED_VALUE"""),12)</f>
        <v>12</v>
      </c>
      <c r="Y155" s="52">
        <f ca="1">IFERROR(__xludf.DUMMYFUNCTION("""COMPUTED_VALUE"""),4)</f>
        <v>4</v>
      </c>
      <c r="Z155" s="53">
        <f ca="1">IFERROR(__xludf.DUMMYFUNCTION("""COMPUTED_VALUE"""),3)</f>
        <v>3</v>
      </c>
      <c r="AA155" s="53">
        <f ca="1">IFERROR(__xludf.DUMMYFUNCTION("""COMPUTED_VALUE"""),1)</f>
        <v>1</v>
      </c>
      <c r="AB155" s="53">
        <f ca="1">IFERROR(__xludf.DUMMYFUNCTION("""COMPUTED_VALUE"""),8)</f>
        <v>8</v>
      </c>
      <c r="AC155" s="53"/>
      <c r="AD155" s="53"/>
      <c r="AE155" s="53"/>
      <c r="AF155" s="53"/>
      <c r="AG155" s="8" t="str">
        <f ca="1">IFERROR(__xludf.DUMMYFUNCTION("ArrayFormula(VLOOKUP(G155, IMPORTRANGE(""https://docs.google.com/spreadsheets/d/1Co934fvtviyaRiMsrIlT05Jaq7iiYq07aLvRr35KA48/edit?gid=173865642#gid=173865642"", ""'G8_Maths_Pri_LU'!G2:V2000""), {3, 4, 5, 6, 7, 8, 9, 10, 11, 12, 13, 14, 15, 16}, 0))"),"LU000708")</f>
        <v>LU000708</v>
      </c>
      <c r="AH155" s="8" t="str">
        <f ca="1">IFERROR(__xludf.DUMMYFUNCTION("""COMPUTED_VALUE"""),"Division of monomial by monomial")</f>
        <v>Division of monomial by monomial</v>
      </c>
      <c r="AI155" s="8" t="str">
        <f ca="1">IFERROR(__xludf.DUMMYFUNCTION("""COMPUTED_VALUE"""),"LU000523")</f>
        <v>LU000523</v>
      </c>
      <c r="AJ155" s="8" t="str">
        <f ca="1">IFERROR(__xludf.DUMMYFUNCTION("""COMPUTED_VALUE"""),"Law of quotient of powers with the same base for whole numbers")</f>
        <v>Law of quotient of powers with the same base for whole numbers</v>
      </c>
      <c r="AK155" s="8" t="str">
        <f ca="1">IFERROR(__xludf.DUMMYFUNCTION("""COMPUTED_VALUE"""),"LU000060")</f>
        <v>LU000060</v>
      </c>
      <c r="AL155" s="8" t="str">
        <f ca="1">IFERROR(__xludf.DUMMYFUNCTION("""COMPUTED_VALUE"""),"Common factors of numbers")</f>
        <v>Common factors of numbers</v>
      </c>
      <c r="AM155" s="8"/>
      <c r="AN155" s="8"/>
      <c r="AO155" s="8"/>
      <c r="AP155" s="8"/>
      <c r="AQ155" s="8"/>
      <c r="AR155" s="8"/>
      <c r="AS155" s="8"/>
      <c r="AT155" s="8"/>
      <c r="AU155" s="8"/>
      <c r="AV155" s="8"/>
      <c r="AW155" s="8"/>
      <c r="AX155" s="8"/>
      <c r="AY155" s="8"/>
      <c r="AZ155" s="8"/>
      <c r="BA155" s="8"/>
      <c r="BB155" s="8"/>
      <c r="BC155" s="8"/>
      <c r="BD155" s="8"/>
      <c r="BE155" s="8"/>
    </row>
    <row r="156" spans="1:57">
      <c r="A156" s="8" t="s">
        <v>247</v>
      </c>
      <c r="B156" s="8" t="s">
        <v>47</v>
      </c>
      <c r="C156" s="8" t="s">
        <v>731</v>
      </c>
      <c r="D156" s="8" t="s">
        <v>732</v>
      </c>
      <c r="E156" s="8" t="s">
        <v>946</v>
      </c>
      <c r="F156" s="54" t="s">
        <v>966</v>
      </c>
      <c r="G156" s="8" t="s">
        <v>967</v>
      </c>
      <c r="H156" s="8" t="str">
        <f ca="1">IFERROR(__xludf.DUMMYFUNCTION("VLOOKUP(G156, IMPORTRANGE(""https://docs.google.com/spreadsheets/d/14deopnvwcrKtEGCKuYXdUHJbeLDZlkiSSWWT0g7x2pM/edit#gid=999382323"", ""LU List Maths (Filter)!A:B""), 2, FALSE)"),"Division of a polynomial by a binomial using factorisation")</f>
        <v>Division of a polynomial by a binomial using factorisation</v>
      </c>
      <c r="I156" s="10" t="str">
        <f t="shared" si="0"/>
        <v>LU000710.001</v>
      </c>
      <c r="J156" s="10" t="str">
        <f ca="1">IFERROR(__xludf.DUMMYFUNCTION("VLOOKUP(I156, IMPORTRANGE(""https://docs.google.com/spreadsheets/d/1yDAaXNsi4Mr5FtRQL4tbmSdIzhx6_m4wkOD7IG-k_eo/edit#gid=0"", ""Maths!M:N""), 2, FALSE)"),"State the procedure for dividing a polynomial by a binomial and provide an example illustrating this division.")</f>
        <v>State the procedure for dividing a polynomial by a binomial and provide an example illustrating this division.</v>
      </c>
      <c r="K156" s="10" t="str">
        <f t="shared" si="1"/>
        <v>LU000710.002</v>
      </c>
      <c r="L156" s="10" t="str">
        <f ca="1">IFERROR(__xludf.DUMMYFUNCTION("VLOOKUP(K156, IMPORTRANGE(""https://docs.google.com/spreadsheets/d/1yDAaXNsi4Mr5FtRQL4tbmSdIzhx6_m4wkOD7IG-k_eo/edit#gid=0"", ""Maths!M:N""), 2, FALSE)"),"Explain the concept of polynomial division by a binomial and demonstrate an understanding of its relevance in polynomial mathematics.")</f>
        <v>Explain the concept of polynomial division by a binomial and demonstrate an understanding of its relevance in polynomial mathematics.</v>
      </c>
      <c r="M156" s="10" t="str">
        <f t="shared" si="2"/>
        <v>LU000710.003</v>
      </c>
      <c r="N156" s="10" t="str">
        <f ca="1">IFERROR(__xludf.DUMMYFUNCTION("VLOOKUP(M156, IMPORTRANGE(""https://docs.google.com/spreadsheets/d/1yDAaXNsi4Mr5FtRQL4tbmSdIzhx6_m4wkOD7IG-k_eo/edit#gid=0"", ""Maths!M:N""), 2, FALSE)"),"Utilise the division of polynomials by binomials to simplify expressions and find the result.")</f>
        <v>Utilise the division of polynomials by binomials to simplify expressions and find the result.</v>
      </c>
      <c r="O156" s="10" t="str">
        <f t="shared" si="3"/>
        <v>LU000710.004</v>
      </c>
      <c r="P156" s="10" t="str">
        <f ca="1">IFERROR(__xludf.DUMMYFUNCTION("VLOOKUP(O156, IMPORTRANGE(""https://docs.google.com/spreadsheets/d/1yDAaXNsi4Mr5FtRQL4tbmSdIzhx6_m4wkOD7IG-k_eo/edit#gid=0"", ""Maths!M:N""), 2, FALSE)"),"Analyse complex polynomial expressions and determine when and how to use division by binomials to simplify or solve them effectively.")</f>
        <v>Analyse complex polynomial expressions and determine when and how to use division by binomials to simplify or solve them effectively.</v>
      </c>
      <c r="Q156" s="10" t="str">
        <f t="shared" si="4"/>
        <v>LU000710.005</v>
      </c>
      <c r="R156" s="10" t="str">
        <f ca="1">IFERROR(__xludf.DUMMYFUNCTION("VLOOKUP(Q156, IMPORTRANGE(""https://docs.google.com/spreadsheets/d/1yDAaXNsi4Mr5FtRQL4tbmSdIzhx6_m4wkOD7IG-k_eo/edit#gid=0"", ""Maths!M:N""), 2, FALSE)"),"Evaluate the correctness and efficiency of using polynomial division by binomials, considering accuracy and effectiveness in simplifying expressions.")</f>
        <v>Evaluate the correctness and efficiency of using polynomial division by binomials, considering accuracy and effectiveness in simplifying expressions.</v>
      </c>
      <c r="S156" s="10" t="str">
        <f t="shared" si="5"/>
        <v>LU000710.006</v>
      </c>
      <c r="T156" s="10" t="str">
        <f ca="1">IFERROR(__xludf.DUMMYFUNCTION("VLOOKUP(S156, IMPORTRANGE(""https://docs.google.com/spreadsheets/d/1yDAaXNsi4Mr5FtRQL4tbmSdIzhx6_m4wkOD7IG-k_eo/edit#gid=0"", ""Maths!M:N""), 2, FALSE)"),"Design original mathematical problems or scenarios that require the application of polynomial division by binomials.")</f>
        <v>Design original mathematical problems or scenarios that require the application of polynomial division by binomials.</v>
      </c>
      <c r="U156" s="52">
        <f ca="1">IFERROR(__xludf.DUMMYFUNCTION("ArrayFormula(VLOOKUP(G156, IMPORTRANGE(""https://docs.google.com/spreadsheets/d/1p7R4vtkWt5VOBim4ltsDG9KTzSjrtKXsMtQGXPHyND0/edit#gid=795171502"", ""'Filter 30_05_2024'!A1:M2000""), {2, 3, 4, 5,6,7,8,9,10,11,12,13}, 0))"),4)</f>
        <v>4</v>
      </c>
      <c r="V156" s="52">
        <f ca="1">IFERROR(__xludf.DUMMYFUNCTION("""COMPUTED_VALUE"""),6)</f>
        <v>6</v>
      </c>
      <c r="W156" s="52">
        <f ca="1">IFERROR(__xludf.DUMMYFUNCTION("""COMPUTED_VALUE"""),2)</f>
        <v>2</v>
      </c>
      <c r="X156" s="52">
        <f ca="1">IFERROR(__xludf.DUMMYFUNCTION("""COMPUTED_VALUE"""),12)</f>
        <v>12</v>
      </c>
      <c r="Y156" s="52">
        <f ca="1">IFERROR(__xludf.DUMMYFUNCTION("""COMPUTED_VALUE"""),4)</f>
        <v>4</v>
      </c>
      <c r="Z156" s="53">
        <f ca="1">IFERROR(__xludf.DUMMYFUNCTION("""COMPUTED_VALUE"""),3)</f>
        <v>3</v>
      </c>
      <c r="AA156" s="53">
        <f ca="1">IFERROR(__xludf.DUMMYFUNCTION("""COMPUTED_VALUE"""),1)</f>
        <v>1</v>
      </c>
      <c r="AB156" s="53">
        <f ca="1">IFERROR(__xludf.DUMMYFUNCTION("""COMPUTED_VALUE"""),8)</f>
        <v>8</v>
      </c>
      <c r="AC156" s="53"/>
      <c r="AD156" s="53"/>
      <c r="AE156" s="53"/>
      <c r="AF156" s="53"/>
      <c r="AG156" s="8" t="str">
        <f ca="1">IFERROR(__xludf.DUMMYFUNCTION("ArrayFormula(VLOOKUP(G156, IMPORTRANGE(""https://docs.google.com/spreadsheets/d/1Co934fvtviyaRiMsrIlT05Jaq7iiYq07aLvRr35KA48/edit?gid=173865642#gid=173865642"", ""'G8_Maths_Pri_LU'!G2:V2000""), {3, 4, 5, 6, 7, 8, 9, 10, 11, 12, 13, 14, 15, 16}, 0))"),"LU000760")</f>
        <v>LU000760</v>
      </c>
      <c r="AH156" s="8" t="str">
        <f ca="1">IFERROR(__xludf.DUMMYFUNCTION("""COMPUTED_VALUE"""),"Factorisation of algebraic expressions using combination of identities [(a + b + c)^2 , (a + b )^2, (a - b )^2, a^2 - b^2)]")</f>
        <v>Factorisation of algebraic expressions using combination of identities [(a + b + c)^2 , (a + b )^2, (a - b )^2, a^2 - b^2)]</v>
      </c>
      <c r="AI156" s="8" t="str">
        <f ca="1">IFERROR(__xludf.DUMMYFUNCTION("""COMPUTED_VALUE"""),"LU000709")</f>
        <v>LU000709</v>
      </c>
      <c r="AJ156" s="8" t="str">
        <f ca="1">IFERROR(__xludf.DUMMYFUNCTION("""COMPUTED_VALUE"""),"Division of polynomial by monomial")</f>
        <v>Division of polynomial by monomial</v>
      </c>
      <c r="AK156" s="8" t="str">
        <f ca="1">IFERROR(__xludf.DUMMYFUNCTION("""COMPUTED_VALUE"""),"LU000708")</f>
        <v>LU000708</v>
      </c>
      <c r="AL156" s="8" t="str">
        <f ca="1">IFERROR(__xludf.DUMMYFUNCTION("""COMPUTED_VALUE"""),"Division of monomial by monomial")</f>
        <v>Division of monomial by monomial</v>
      </c>
      <c r="AM156" s="8"/>
      <c r="AN156" s="8"/>
      <c r="AO156" s="8"/>
      <c r="AP156" s="8"/>
      <c r="AQ156" s="8"/>
      <c r="AR156" s="8"/>
      <c r="AS156" s="8"/>
      <c r="AT156" s="8"/>
      <c r="AU156" s="8"/>
      <c r="AV156" s="8"/>
      <c r="AW156" s="8"/>
      <c r="AX156" s="8"/>
      <c r="AY156" s="8"/>
      <c r="AZ156" s="8"/>
      <c r="BA156" s="8"/>
      <c r="BB156" s="8"/>
      <c r="BC156" s="8"/>
      <c r="BD156" s="8"/>
      <c r="BE156" s="8"/>
    </row>
    <row r="157" spans="1:57">
      <c r="A157" s="8" t="s">
        <v>247</v>
      </c>
      <c r="B157" s="8" t="s">
        <v>47</v>
      </c>
      <c r="C157" s="8" t="s">
        <v>731</v>
      </c>
      <c r="D157" s="8" t="s">
        <v>732</v>
      </c>
      <c r="E157" s="8" t="s">
        <v>968</v>
      </c>
      <c r="F157" s="54" t="s">
        <v>969</v>
      </c>
      <c r="G157" s="8" t="s">
        <v>970</v>
      </c>
      <c r="H157" s="8" t="str">
        <f ca="1">IFERROR(__xludf.DUMMYFUNCTION("VLOOKUP(G157, IMPORTRANGE(""https://docs.google.com/spreadsheets/d/14deopnvwcrKtEGCKuYXdUHJbeLDZlkiSSWWT0g7x2pM/edit#gid=999382323"", ""LU List Maths (Filter)!A:B""), 2, FALSE)"),"Coordinates of a point on a graph")</f>
        <v>Coordinates of a point on a graph</v>
      </c>
      <c r="I157" s="10" t="str">
        <f t="shared" si="0"/>
        <v>LU000776.001</v>
      </c>
      <c r="J157" s="10" t="str">
        <f ca="1">IFERROR(__xludf.DUMMYFUNCTION("VLOOKUP(I157, IMPORTRANGE(""https://docs.google.com/spreadsheets/d/1yDAaXNsi4Mr5FtRQL4tbmSdIzhx6_m4wkOD7IG-k_eo/edit#gid=0"", ""Maths!M:N""), 2, FALSE)"),"Recall the definition of ""coordinates"" as pairs of numbers used to specify the location of a point on a graph.")</f>
        <v>Recall the definition of "coordinates" as pairs of numbers used to specify the location of a point on a graph.</v>
      </c>
      <c r="K157" s="10" t="str">
        <f t="shared" si="1"/>
        <v>LU000776.002</v>
      </c>
      <c r="L157" s="10" t="str">
        <f ca="1">IFERROR(__xludf.DUMMYFUNCTION("VLOOKUP(K157, IMPORTRANGE(""https://docs.google.com/spreadsheets/d/1yDAaXNsi4Mr5FtRQL4tbmSdIzhx6_m4wkOD7IG-k_eo/edit#gid=0"", ""Maths!M:N""), 2, FALSE)"),"Explain the significance of coordinates in representing the precise position of a point on a graph and how they relate to the axes.")</f>
        <v>Explain the significance of coordinates in representing the precise position of a point on a graph and how they relate to the axes.</v>
      </c>
      <c r="M157" s="10" t="str">
        <f t="shared" si="2"/>
        <v>LU000776.003</v>
      </c>
      <c r="N157" s="10" t="str">
        <f ca="1">IFERROR(__xludf.DUMMYFUNCTION("VLOOKUP(M157, IMPORTRANGE(""https://docs.google.com/spreadsheets/d/1yDAaXNsi4Mr5FtRQL4tbmSdIzhx6_m4wkOD7IG-k_eo/edit#gid=0"", ""Maths!M:N""), 2, FALSE)"),"Demonstrate the ability to find and write the coordinates of a given point on a graph accurately.")</f>
        <v>Demonstrate the ability to find and write the coordinates of a given point on a graph accurately.</v>
      </c>
      <c r="O157" s="10" t="str">
        <f t="shared" si="3"/>
        <v>LU000776.004</v>
      </c>
      <c r="P157" s="10" t="str">
        <f ca="1">IFERROR(__xludf.DUMMYFUNCTION("VLOOKUP(O157, IMPORTRANGE(""https://docs.google.com/spreadsheets/d/1yDAaXNsi4Mr5FtRQL4tbmSdIzhx6_m4wkOD7IG-k_eo/edit#gid=0"", ""Maths!M:N""), 2, FALSE)"),"Analyze different points on a graph and compare their coordinates to identify patterns and relationships.")</f>
        <v>Analyze different points on a graph and compare their coordinates to identify patterns and relationships.</v>
      </c>
      <c r="Q157" s="10" t="str">
        <f t="shared" si="4"/>
        <v>LU000776.005</v>
      </c>
      <c r="R157" s="10" t="str">
        <f ca="1">IFERROR(__xludf.DUMMYFUNCTION("VLOOKUP(Q157, IMPORTRANGE(""https://docs.google.com/spreadsheets/d/1yDAaXNsi4Mr5FtRQL4tbmSdIzhx6_m4wkOD7IG-k_eo/edit#gid=0"", ""Maths!M:N""), 2, FALSE)"),"Evaluate the correctness of coordinates provided for points on a graph, identifying any errors or discrepancies.")</f>
        <v>Evaluate the correctness of coordinates provided for points on a graph, identifying any errors or discrepancies.</v>
      </c>
      <c r="S157" s="10" t="str">
        <f t="shared" si="5"/>
        <v>LU000776.006</v>
      </c>
      <c r="T157" s="10" t="str">
        <f ca="1">IFERROR(__xludf.DUMMYFUNCTION("VLOOKUP(S157, IMPORTRANGE(""https://docs.google.com/spreadsheets/d/1yDAaXNsi4Mr5FtRQL4tbmSdIzhx6_m4wkOD7IG-k_eo/edit#gid=0"", ""Maths!M:N""), 2, FALSE)"),"Create a set of coordinate pairs to accurately represent the positions of multiple points on a graph, emphasizing clarity and accuracy in the coordinate notation.")</f>
        <v>Create a set of coordinate pairs to accurately represent the positions of multiple points on a graph, emphasizing clarity and accuracy in the coordinate notation.</v>
      </c>
      <c r="U157" s="52">
        <f ca="1">IFERROR(__xludf.DUMMYFUNCTION("ArrayFormula(VLOOKUP(G157, IMPORTRANGE(""https://docs.google.com/spreadsheets/d/1p7R4vtkWt5VOBim4ltsDG9KTzSjrtKXsMtQGXPHyND0/edit#gid=795171502"", ""'Filter 30_05_2024'!A1:M2000""), {2, 3, 4, 5,6,7,8,9,10,11,12,13}, 0))"),4)</f>
        <v>4</v>
      </c>
      <c r="V157" s="52">
        <f ca="1">IFERROR(__xludf.DUMMYFUNCTION("""COMPUTED_VALUE"""),6)</f>
        <v>6</v>
      </c>
      <c r="W157" s="52">
        <f ca="1">IFERROR(__xludf.DUMMYFUNCTION("""COMPUTED_VALUE"""),2)</f>
        <v>2</v>
      </c>
      <c r="X157" s="52">
        <f ca="1">IFERROR(__xludf.DUMMYFUNCTION("""COMPUTED_VALUE"""),12)</f>
        <v>12</v>
      </c>
      <c r="Y157" s="52">
        <f ca="1">IFERROR(__xludf.DUMMYFUNCTION("""COMPUTED_VALUE"""),4)</f>
        <v>4</v>
      </c>
      <c r="Z157" s="53">
        <f ca="1">IFERROR(__xludf.DUMMYFUNCTION("""COMPUTED_VALUE"""),3)</f>
        <v>3</v>
      </c>
      <c r="AA157" s="53">
        <f ca="1">IFERROR(__xludf.DUMMYFUNCTION("""COMPUTED_VALUE"""),1)</f>
        <v>1</v>
      </c>
      <c r="AB157" s="53">
        <f ca="1">IFERROR(__xludf.DUMMYFUNCTION("""COMPUTED_VALUE"""),8)</f>
        <v>8</v>
      </c>
      <c r="AC157" s="53"/>
      <c r="AD157" s="53"/>
      <c r="AE157" s="53"/>
      <c r="AF157" s="53"/>
      <c r="AG157" s="8" t="str">
        <f ca="1">IFERROR(__xludf.DUMMYFUNCTION("ArrayFormula(VLOOKUP(G157, IMPORTRANGE(""https://docs.google.com/spreadsheets/d/1Co934fvtviyaRiMsrIlT05Jaq7iiYq07aLvRr35KA48/edit?gid=173865642#gid=173865642"", ""'G8_Maths_Pri_LU'!G2:V2000""), {3, 4, 5, 6, 7, 8, 9, 10, 11, 12, 13, 14, 15, 16}, 0))"),"")</f>
        <v/>
      </c>
      <c r="AH157" s="8"/>
      <c r="AI157" s="8"/>
      <c r="AJ157" s="8"/>
      <c r="AK157" s="8"/>
      <c r="AL157" s="8"/>
      <c r="AM157" s="8"/>
      <c r="AN157" s="8"/>
      <c r="AO157" s="8"/>
      <c r="AP157" s="8"/>
      <c r="AQ157" s="8"/>
      <c r="AR157" s="8"/>
      <c r="AS157" s="8"/>
      <c r="AT157" s="8"/>
      <c r="AU157" s="8"/>
      <c r="AV157" s="8"/>
      <c r="AW157" s="8"/>
      <c r="AX157" s="8"/>
      <c r="AY157" s="8"/>
      <c r="AZ157" s="8"/>
      <c r="BA157" s="8"/>
      <c r="BB157" s="8"/>
      <c r="BC157" s="8"/>
      <c r="BD157" s="8"/>
      <c r="BE157" s="8"/>
    </row>
    <row r="158" spans="1:57">
      <c r="A158" s="8" t="s">
        <v>247</v>
      </c>
      <c r="B158" s="8" t="s">
        <v>47</v>
      </c>
      <c r="C158" s="8" t="s">
        <v>731</v>
      </c>
      <c r="D158" s="8" t="s">
        <v>732</v>
      </c>
      <c r="E158" s="8" t="s">
        <v>968</v>
      </c>
      <c r="F158" s="54" t="s">
        <v>971</v>
      </c>
      <c r="G158" s="8" t="s">
        <v>972</v>
      </c>
      <c r="H158" s="8" t="str">
        <f ca="1">IFERROR(__xludf.DUMMYFUNCTION("VLOOKUP(G158, IMPORTRANGE(""https://docs.google.com/spreadsheets/d/14deopnvwcrKtEGCKuYXdUHJbeLDZlkiSSWWT0g7x2pM/edit#gid=999382323"", ""LU List Maths (Filter)!A:B""), 2, FALSE)"),"Definition of line graph")</f>
        <v>Definition of line graph</v>
      </c>
      <c r="I158" s="10" t="str">
        <f t="shared" si="0"/>
        <v>LU000772.001</v>
      </c>
      <c r="J158" s="10" t="str">
        <f ca="1">IFERROR(__xludf.DUMMYFUNCTION("VLOOKUP(I158, IMPORTRANGE(""https://docs.google.com/spreadsheets/d/1yDAaXNsi4Mr5FtRQL4tbmSdIzhx6_m4wkOD7IG-k_eo/edit#gid=0"", ""Maths!M:N""), 2, FALSE)"),"Recall the fundamental features of a line graph, such as the use of lines to connect data points.")</f>
        <v>Recall the fundamental features of a line graph, such as the use of lines to connect data points.</v>
      </c>
      <c r="K158" s="10" t="str">
        <f t="shared" si="1"/>
        <v>LU000772.002</v>
      </c>
      <c r="L158" s="10" t="str">
        <f ca="1">IFERROR(__xludf.DUMMYFUNCTION("VLOOKUP(K158, IMPORTRANGE(""https://docs.google.com/spreadsheets/d/1yDAaXNsi4Mr5FtRQL4tbmSdIzhx6_m4wkOD7IG-k_eo/edit#gid=0"", ""Maths!M:N""), 2, FALSE)"),"Explain the purpose of a line graph in representing data trends and changes over time.")</f>
        <v>Explain the purpose of a line graph in representing data trends and changes over time.</v>
      </c>
      <c r="M158" s="10" t="str">
        <f t="shared" si="2"/>
        <v>LU000772.003</v>
      </c>
      <c r="N158" s="10" t="str">
        <f ca="1">IFERROR(__xludf.DUMMYFUNCTION("VLOOKUP(M158, IMPORTRANGE(""https://docs.google.com/spreadsheets/d/1yDAaXNsi4Mr5FtRQL4tbmSdIzhx6_m4wkOD7IG-k_eo/edit#gid=0"", ""Maths!M:N""), 2, FALSE)"),"Demonstrate the ability to identify a line graph and differentiate it from other types of graphs based on its characteristic features.")</f>
        <v>Demonstrate the ability to identify a line graph and differentiate it from other types of graphs based on its characteristic features.</v>
      </c>
      <c r="O158" s="10" t="str">
        <f t="shared" si="3"/>
        <v>LU000772.004</v>
      </c>
      <c r="P158" s="10" t="str">
        <f ca="1">IFERROR(__xludf.DUMMYFUNCTION("VLOOKUP(O158, IMPORTRANGE(""https://docs.google.com/spreadsheets/d/1yDAaXNsi4Mr5FtRQL4tbmSdIzhx6_m4wkOD7IG-k_eo/edit#gid=0"", ""Maths!M:N""), 2, FALSE)"),"Analyze the components of a line graph, such as origin, axes, and labels, to understand how they contribute to effective data communication.")</f>
        <v>Analyze the components of a line graph, such as origin, axes, and labels, to understand how they contribute to effective data communication.</v>
      </c>
      <c r="Q158" s="10" t="str">
        <f t="shared" si="4"/>
        <v>LU000772.005</v>
      </c>
      <c r="R158" s="10" t="str">
        <f ca="1">IFERROR(__xludf.DUMMYFUNCTION("VLOOKUP(Q158, IMPORTRANGE(""https://docs.google.com/spreadsheets/d/1yDAaXNsi4Mr5FtRQL4tbmSdIzhx6_m4wkOD7IG-k_eo/edit#gid=0"", ""Maths!M:N""), 2, FALSE)"),"Assess the effectiveness of using a line graph in representing specific types of data, considering whether it is an appropriate choice for the given context.")</f>
        <v>Assess the effectiveness of using a line graph in representing specific types of data, considering whether it is an appropriate choice for the given context.</v>
      </c>
      <c r="S158" s="10" t="str">
        <f t="shared" si="5"/>
        <v>LU000772.006</v>
      </c>
      <c r="T158" s="10" t="str">
        <f ca="1">IFERROR(__xludf.DUMMYFUNCTION("VLOOKUP(S158, IMPORTRANGE(""https://docs.google.com/spreadsheets/d/1yDAaXNsi4Mr5FtRQL4tbmSdIzhx6_m4wkOD7IG-k_eo/edit#gid=0"", ""Maths!M:N""), 2, FALSE)"),"#N/A")</f>
        <v>#N/A</v>
      </c>
      <c r="U158" s="52">
        <f ca="1">IFERROR(__xludf.DUMMYFUNCTION("ArrayFormula(VLOOKUP(G158, IMPORTRANGE(""https://docs.google.com/spreadsheets/d/1p7R4vtkWt5VOBim4ltsDG9KTzSjrtKXsMtQGXPHyND0/edit#gid=795171502"", ""'Filter 30_05_2024'!A1:M2000""), {2, 3, 4, 5,6,7,8,9,10,11,12,13}, 0))"),4)</f>
        <v>4</v>
      </c>
      <c r="V158" s="52">
        <f ca="1">IFERROR(__xludf.DUMMYFUNCTION("""COMPUTED_VALUE"""),6)</f>
        <v>6</v>
      </c>
      <c r="W158" s="52">
        <f ca="1">IFERROR(__xludf.DUMMYFUNCTION("""COMPUTED_VALUE"""),2)</f>
        <v>2</v>
      </c>
      <c r="X158" s="52">
        <f ca="1">IFERROR(__xludf.DUMMYFUNCTION("""COMPUTED_VALUE"""),12)</f>
        <v>12</v>
      </c>
      <c r="Y158" s="52">
        <f ca="1">IFERROR(__xludf.DUMMYFUNCTION("""COMPUTED_VALUE"""),4)</f>
        <v>4</v>
      </c>
      <c r="Z158" s="53">
        <f ca="1">IFERROR(__xludf.DUMMYFUNCTION("""COMPUTED_VALUE"""),3)</f>
        <v>3</v>
      </c>
      <c r="AA158" s="53">
        <f ca="1">IFERROR(__xludf.DUMMYFUNCTION("""COMPUTED_VALUE"""),1)</f>
        <v>1</v>
      </c>
      <c r="AB158" s="53">
        <f ca="1">IFERROR(__xludf.DUMMYFUNCTION("""COMPUTED_VALUE"""),8)</f>
        <v>8</v>
      </c>
      <c r="AC158" s="53"/>
      <c r="AD158" s="53"/>
      <c r="AE158" s="53"/>
      <c r="AF158" s="53"/>
      <c r="AG158" s="8" t="str">
        <f ca="1">IFERROR(__xludf.DUMMYFUNCTION("ArrayFormula(VLOOKUP(G158, IMPORTRANGE(""https://docs.google.com/spreadsheets/d/1Co934fvtviyaRiMsrIlT05Jaq7iiYq07aLvRr35KA48/edit?gid=173865642#gid=173865642"", ""'G8_Maths_Pri_LU'!G2:V2000""), {3, 4, 5, 6, 7, 8, 9, 10, 11, 12, 13, 14, 15, 16}, 0))"),"LU000778")</f>
        <v>LU000778</v>
      </c>
      <c r="AH158" s="8" t="str">
        <f ca="1">IFERROR(__xludf.DUMMYFUNCTION("""COMPUTED_VALUE"""),"Definition of independent and dependent variables")</f>
        <v>Definition of independent and dependent variables</v>
      </c>
      <c r="AI158" s="8" t="str">
        <f ca="1">IFERROR(__xludf.DUMMYFUNCTION("""COMPUTED_VALUE"""),"LU000776")</f>
        <v>LU000776</v>
      </c>
      <c r="AJ158" s="8" t="str">
        <f ca="1">IFERROR(__xludf.DUMMYFUNCTION("""COMPUTED_VALUE"""),"Coordinates of a point on a graph")</f>
        <v>Coordinates of a point on a graph</v>
      </c>
      <c r="AK158" s="8"/>
      <c r="AL158" s="8"/>
      <c r="AM158" s="8"/>
      <c r="AN158" s="8"/>
      <c r="AO158" s="8"/>
      <c r="AP158" s="8"/>
      <c r="AQ158" s="8"/>
      <c r="AR158" s="8"/>
      <c r="AS158" s="8"/>
      <c r="AT158" s="8"/>
      <c r="AU158" s="8"/>
      <c r="AV158" s="8"/>
      <c r="AW158" s="8"/>
      <c r="AX158" s="8"/>
      <c r="AY158" s="8"/>
      <c r="AZ158" s="8"/>
      <c r="BA158" s="8"/>
      <c r="BB158" s="8"/>
      <c r="BC158" s="8"/>
      <c r="BD158" s="8"/>
      <c r="BE158" s="8"/>
    </row>
    <row r="159" spans="1:57">
      <c r="A159" s="8" t="s">
        <v>247</v>
      </c>
      <c r="B159" s="8" t="s">
        <v>47</v>
      </c>
      <c r="C159" s="8" t="s">
        <v>731</v>
      </c>
      <c r="D159" s="8" t="s">
        <v>732</v>
      </c>
      <c r="E159" s="8" t="s">
        <v>968</v>
      </c>
      <c r="F159" s="54" t="s">
        <v>971</v>
      </c>
      <c r="G159" s="8" t="s">
        <v>973</v>
      </c>
      <c r="H159" s="8" t="str">
        <f ca="1">IFERROR(__xludf.DUMMYFUNCTION("VLOOKUP(G159, IMPORTRANGE(""https://docs.google.com/spreadsheets/d/14deopnvwcrKtEGCKuYXdUHJbeLDZlkiSSWWT0g7x2pM/edit#gid=999382323"", ""LU List Maths (Filter)!A:B""), 2, FALSE)"),"Interpretation of line graph")</f>
        <v>Interpretation of line graph</v>
      </c>
      <c r="I159" s="10" t="str">
        <f t="shared" si="0"/>
        <v>LU000781.001</v>
      </c>
      <c r="J159" s="10" t="str">
        <f ca="1">IFERROR(__xludf.DUMMYFUNCTION("VLOOKUP(I159, IMPORTRANGE(""https://docs.google.com/spreadsheets/d/1yDAaXNsi4Mr5FtRQL4tbmSdIzhx6_m4wkOD7IG-k_eo/edit#gid=0"", ""Maths!M:N""), 2, FALSE)"),"Recall the fundamental components of a line graph, such as the x-axis, y-axis, and plotted data points.")</f>
        <v>Recall the fundamental components of a line graph, such as the x-axis, y-axis, and plotted data points.</v>
      </c>
      <c r="K159" s="10" t="str">
        <f t="shared" si="1"/>
        <v>LU000781.002</v>
      </c>
      <c r="L159" s="10" t="str">
        <f ca="1">IFERROR(__xludf.DUMMYFUNCTION("VLOOKUP(K159, IMPORTRANGE(""https://docs.google.com/spreadsheets/d/1yDAaXNsi4Mr5FtRQL4tbmSdIzhx6_m4wkOD7IG-k_eo/edit#gid=0"", ""Maths!M:N""), 2, FALSE)"),"Explain the primary purpose of a line graph in representing data trends and relationships.")</f>
        <v>Explain the primary purpose of a line graph in representing data trends and relationships.</v>
      </c>
      <c r="M159" s="10" t="str">
        <f t="shared" si="2"/>
        <v>LU000781.003</v>
      </c>
      <c r="N159" s="10" t="str">
        <f ca="1">IFERROR(__xludf.DUMMYFUNCTION("VLOOKUP(M159, IMPORTRANGE(""https://docs.google.com/spreadsheets/d/1yDAaXNsi4Mr5FtRQL4tbmSdIzhx6_m4wkOD7IG-k_eo/edit#gid=0"", ""Maths!M:N""), 2, FALSE)"),"Apply your knowledge of line graphs to recognize and identify trends or patterns when presented with a line graph.")</f>
        <v>Apply your knowledge of line graphs to recognize and identify trends or patterns when presented with a line graph.</v>
      </c>
      <c r="O159" s="10" t="str">
        <f t="shared" si="3"/>
        <v>LU000781.004</v>
      </c>
      <c r="P159" s="10" t="str">
        <f ca="1">IFERROR(__xludf.DUMMYFUNCTION("VLOOKUP(O159, IMPORTRANGE(""https://docs.google.com/spreadsheets/d/1yDAaXNsi4Mr5FtRQL4tbmSdIzhx6_m4wkOD7IG-k_eo/edit#gid=0"", ""Maths!M:N""), 2, FALSE)"),"Analyze the patterns and trends represented by a given line graph to extract information about the data's changes and fluctuations over time.")</f>
        <v>Analyze the patterns and trends represented by a given line graph to extract information about the data's changes and fluctuations over time.</v>
      </c>
      <c r="Q159" s="10" t="str">
        <f t="shared" si="4"/>
        <v>LU000781.005</v>
      </c>
      <c r="R159" s="10" t="str">
        <f ca="1">IFERROR(__xludf.DUMMYFUNCTION("VLOOKUP(Q159, IMPORTRANGE(""https://docs.google.com/spreadsheets/d/1yDAaXNsi4Mr5FtRQL4tbmSdIzhx6_m4wkOD7IG-k_eo/edit#gid=0"", ""Maths!M:N""), 2, FALSE)"),"Assess the effectiveness of a line graph in conveying specific data trends or relationships, considering whether it is a suitable choice for a given dataset.")</f>
        <v>Assess the effectiveness of a line graph in conveying specific data trends or relationships, considering whether it is a suitable choice for a given dataset.</v>
      </c>
      <c r="S159" s="10" t="str">
        <f t="shared" si="5"/>
        <v>LU000781.006</v>
      </c>
      <c r="T159" s="10" t="str">
        <f ca="1">IFERROR(__xludf.DUMMYFUNCTION("VLOOKUP(S159, IMPORTRANGE(""https://docs.google.com/spreadsheets/d/1yDAaXNsi4Mr5FtRQL4tbmSdIzhx6_m4wkOD7IG-k_eo/edit#gid=0"", ""Maths!M:N""), 2, FALSE)"),"Create a line graph from a provided dataset, ensuring that it accurately represents the data's trends and relationships between variables, and that it is visually clear for others to interpret.")</f>
        <v>Create a line graph from a provided dataset, ensuring that it accurately represents the data's trends and relationships between variables, and that it is visually clear for others to interpret.</v>
      </c>
      <c r="U159" s="52">
        <f ca="1">IFERROR(__xludf.DUMMYFUNCTION("ArrayFormula(VLOOKUP(G159, IMPORTRANGE(""https://docs.google.com/spreadsheets/d/1p7R4vtkWt5VOBim4ltsDG9KTzSjrtKXsMtQGXPHyND0/edit#gid=795171502"", ""'Filter 30_05_2024'!A1:M2000""), {2, 3, 4, 5,6,7,8,9,10,11,12,13}, 0))"),4)</f>
        <v>4</v>
      </c>
      <c r="V159" s="52">
        <f ca="1">IFERROR(__xludf.DUMMYFUNCTION("""COMPUTED_VALUE"""),6)</f>
        <v>6</v>
      </c>
      <c r="W159" s="52">
        <f ca="1">IFERROR(__xludf.DUMMYFUNCTION("""COMPUTED_VALUE"""),2)</f>
        <v>2</v>
      </c>
      <c r="X159" s="52">
        <f ca="1">IFERROR(__xludf.DUMMYFUNCTION("""COMPUTED_VALUE"""),12)</f>
        <v>12</v>
      </c>
      <c r="Y159" s="52">
        <f ca="1">IFERROR(__xludf.DUMMYFUNCTION("""COMPUTED_VALUE"""),4)</f>
        <v>4</v>
      </c>
      <c r="Z159" s="53">
        <f ca="1">IFERROR(__xludf.DUMMYFUNCTION("""COMPUTED_VALUE"""),3)</f>
        <v>3</v>
      </c>
      <c r="AA159" s="53">
        <f ca="1">IFERROR(__xludf.DUMMYFUNCTION("""COMPUTED_VALUE"""),1)</f>
        <v>1</v>
      </c>
      <c r="AB159" s="53">
        <f ca="1">IFERROR(__xludf.DUMMYFUNCTION("""COMPUTED_VALUE"""),8)</f>
        <v>8</v>
      </c>
      <c r="AC159" s="53"/>
      <c r="AD159" s="53"/>
      <c r="AE159" s="53"/>
      <c r="AF159" s="53"/>
      <c r="AG159" s="8" t="str">
        <f ca="1">IFERROR(__xludf.DUMMYFUNCTION("ArrayFormula(VLOOKUP(G159, IMPORTRANGE(""https://docs.google.com/spreadsheets/d/1Co934fvtviyaRiMsrIlT05Jaq7iiYq07aLvRr35KA48/edit?gid=173865642#gid=173865642"", ""'G8_Maths_Pri_LU'!G2:V2000""), {3, 4, 5, 6, 7, 8, 9, 10, 11, 12, 13, 14, 15, 16}, 0))"),"LU000772")</f>
        <v>LU000772</v>
      </c>
      <c r="AH159" s="8" t="str">
        <f ca="1">IFERROR(__xludf.DUMMYFUNCTION("""COMPUTED_VALUE"""),"Definition of line graph")</f>
        <v>Definition of line graph</v>
      </c>
      <c r="AI159" s="8"/>
      <c r="AJ159" s="8"/>
      <c r="AK159" s="8"/>
      <c r="AL159" s="8"/>
      <c r="AM159" s="8"/>
      <c r="AN159" s="8"/>
      <c r="AO159" s="8"/>
      <c r="AP159" s="8"/>
      <c r="AQ159" s="8"/>
      <c r="AR159" s="8"/>
      <c r="AS159" s="8"/>
      <c r="AT159" s="8"/>
      <c r="AU159" s="8"/>
      <c r="AV159" s="8"/>
      <c r="AW159" s="8"/>
      <c r="AX159" s="8"/>
      <c r="AY159" s="8"/>
      <c r="AZ159" s="8"/>
      <c r="BA159" s="8"/>
      <c r="BB159" s="8"/>
      <c r="BC159" s="8"/>
      <c r="BD159" s="8"/>
      <c r="BE159" s="8"/>
    </row>
    <row r="160" spans="1:57">
      <c r="A160" s="8" t="s">
        <v>247</v>
      </c>
      <c r="B160" s="8" t="s">
        <v>47</v>
      </c>
      <c r="C160" s="8" t="s">
        <v>731</v>
      </c>
      <c r="D160" s="8" t="s">
        <v>732</v>
      </c>
      <c r="E160" s="8" t="s">
        <v>968</v>
      </c>
      <c r="F160" s="54" t="s">
        <v>971</v>
      </c>
      <c r="G160" s="8" t="s">
        <v>974</v>
      </c>
      <c r="H160" s="8" t="str">
        <f ca="1">IFERROR(__xludf.DUMMYFUNCTION("VLOOKUP(G160, IMPORTRANGE(""https://docs.google.com/spreadsheets/d/14deopnvwcrKtEGCKuYXdUHJbeLDZlkiSSWWT0g7x2pM/edit#gid=999382323"", ""LU List Maths (Filter)!A:B""), 2, FALSE)"),"Construction of a line graph using tabular information")</f>
        <v>Construction of a line graph using tabular information</v>
      </c>
      <c r="I160" s="10" t="str">
        <f t="shared" si="0"/>
        <v>LU000773.001</v>
      </c>
      <c r="J160" s="10" t="str">
        <f ca="1">IFERROR(__xludf.DUMMYFUNCTION("VLOOKUP(I160, IMPORTRANGE(""https://docs.google.com/spreadsheets/d/1yDAaXNsi4Mr5FtRQL4tbmSdIzhx6_m4wkOD7IG-k_eo/edit#gid=0"", ""Maths!M:N""), 2, FALSE)"),"Recall the key elements required for constructing a line graph, including the axes, data points, and labels.")</f>
        <v>Recall the key elements required for constructing a line graph, including the axes, data points, and labels.</v>
      </c>
      <c r="K160" s="10" t="str">
        <f t="shared" si="1"/>
        <v>LU000773.002</v>
      </c>
      <c r="L160" s="10" t="str">
        <f ca="1">IFERROR(__xludf.DUMMYFUNCTION("VLOOKUP(K160, IMPORTRANGE(""https://docs.google.com/spreadsheets/d/1yDAaXNsi4Mr5FtRQL4tbmSdIzhx6_m4wkOD7IG-k_eo/edit#gid=0"", ""Maths!M:N""), 2, FALSE)"),"Explain the purpose and significance of constructing a line graph to represent data visually.")</f>
        <v>Explain the purpose and significance of constructing a line graph to represent data visually.</v>
      </c>
      <c r="M160" s="10" t="str">
        <f t="shared" si="2"/>
        <v>LU000773.003</v>
      </c>
      <c r="N160" s="10" t="str">
        <f ca="1">IFERROR(__xludf.DUMMYFUNCTION("VLOOKUP(M160, IMPORTRANGE(""https://docs.google.com/spreadsheets/d/1yDAaXNsi4Mr5FtRQL4tbmSdIzhx6_m4wkOD7IG-k_eo/edit#gid=0"", ""Maths!M:N""), 2, FALSE)"),"Apply knowledge and skills to accurately construct a line graph from provided tabular information, labeling axes and plotting data points correctly.")</f>
        <v>Apply knowledge and skills to accurately construct a line graph from provided tabular information, labeling axes and plotting data points correctly.</v>
      </c>
      <c r="O160" s="10" t="str">
        <f t="shared" si="3"/>
        <v>LU000773.004</v>
      </c>
      <c r="P160" s="10" t="str">
        <f ca="1">IFERROR(__xludf.DUMMYFUNCTION("VLOOKUP(O160, IMPORTRANGE(""https://docs.google.com/spreadsheets/d/1yDAaXNsi4Mr5FtRQL4tbmSdIzhx6_m4wkOD7IG-k_eo/edit#gid=0"", ""Maths!M:N""), 2, FALSE)"),"Analyze the constructed line graph to identify trends, patterns, or relationships within the data, making connections between data points.")</f>
        <v>Analyze the constructed line graph to identify trends, patterns, or relationships within the data, making connections between data points.</v>
      </c>
      <c r="Q160" s="10" t="str">
        <f t="shared" si="4"/>
        <v>LU000773.005</v>
      </c>
      <c r="R160" s="10" t="str">
        <f ca="1">IFERROR(__xludf.DUMMYFUNCTION("VLOOKUP(Q160, IMPORTRANGE(""https://docs.google.com/spreadsheets/d/1yDAaXNsi4Mr5FtRQL4tbmSdIzhx6_m4wkOD7IG-k_eo/edit#gid=0"", ""Maths!M:N""), 2, FALSE)"),"Evaluate the effectiveness of the constructed line graph in effectively communicating the trends and insights present in the tabular data.")</f>
        <v>Evaluate the effectiveness of the constructed line graph in effectively communicating the trends and insights present in the tabular data.</v>
      </c>
      <c r="S160" s="10" t="str">
        <f t="shared" si="5"/>
        <v>LU000773.006</v>
      </c>
      <c r="T160" s="10" t="str">
        <f ca="1">IFERROR(__xludf.DUMMYFUNCTION("VLOOKUP(S160, IMPORTRANGE(""https://docs.google.com/spreadsheets/d/1yDAaXNsi4Mr5FtRQL4tbmSdIzhx6_m4wkOD7IG-k_eo/edit#gid=0"", ""Maths!M:N""), 2, FALSE)"),"Design and construct an original line graph from provided tabular information, ensuring accuracy, clarity, and adherence to graphing conventions to represent data effectively.")</f>
        <v>Design and construct an original line graph from provided tabular information, ensuring accuracy, clarity, and adherence to graphing conventions to represent data effectively.</v>
      </c>
      <c r="U160" s="52">
        <f ca="1">IFERROR(__xludf.DUMMYFUNCTION("ArrayFormula(VLOOKUP(G160, IMPORTRANGE(""https://docs.google.com/spreadsheets/d/1p7R4vtkWt5VOBim4ltsDG9KTzSjrtKXsMtQGXPHyND0/edit#gid=795171502"", ""'Filter 30_05_2024'!A1:M2000""), {2, 3, 4, 5,6,7,8,9,10,11,12,13}, 0))"),4)</f>
        <v>4</v>
      </c>
      <c r="V160" s="52">
        <f ca="1">IFERROR(__xludf.DUMMYFUNCTION("""COMPUTED_VALUE"""),6)</f>
        <v>6</v>
      </c>
      <c r="W160" s="52">
        <f ca="1">IFERROR(__xludf.DUMMYFUNCTION("""COMPUTED_VALUE"""),2)</f>
        <v>2</v>
      </c>
      <c r="X160" s="52">
        <f ca="1">IFERROR(__xludf.DUMMYFUNCTION("""COMPUTED_VALUE"""),12)</f>
        <v>12</v>
      </c>
      <c r="Y160" s="52">
        <f ca="1">IFERROR(__xludf.DUMMYFUNCTION("""COMPUTED_VALUE"""),4)</f>
        <v>4</v>
      </c>
      <c r="Z160" s="53">
        <f ca="1">IFERROR(__xludf.DUMMYFUNCTION("""COMPUTED_VALUE"""),3)</f>
        <v>3</v>
      </c>
      <c r="AA160" s="53">
        <f ca="1">IFERROR(__xludf.DUMMYFUNCTION("""COMPUTED_VALUE"""),1)</f>
        <v>1</v>
      </c>
      <c r="AB160" s="53">
        <f ca="1">IFERROR(__xludf.DUMMYFUNCTION("""COMPUTED_VALUE"""),8)</f>
        <v>8</v>
      </c>
      <c r="AC160" s="53"/>
      <c r="AD160" s="53"/>
      <c r="AE160" s="53"/>
      <c r="AF160" s="53"/>
      <c r="AG160" s="8" t="str">
        <f ca="1">IFERROR(__xludf.DUMMYFUNCTION("ArrayFormula(VLOOKUP(G160, IMPORTRANGE(""https://docs.google.com/spreadsheets/d/1Co934fvtviyaRiMsrIlT05Jaq7iiYq07aLvRr35KA48/edit?gid=173865642#gid=173865642"", ""'G8_Maths_Pri_LU'!G2:V2000""), {3, 4, 5, 6, 7, 8, 9, 10, 11, 12, 13, 14, 15, 16}, 0))"),"LU000781")</f>
        <v>LU000781</v>
      </c>
      <c r="AH160" s="8" t="str">
        <f ca="1">IFERROR(__xludf.DUMMYFUNCTION("""COMPUTED_VALUE"""),"Interpretation of line graph")</f>
        <v>Interpretation of line graph</v>
      </c>
      <c r="AI160" s="8"/>
      <c r="AJ160" s="8"/>
      <c r="AK160" s="8"/>
      <c r="AL160" s="8"/>
      <c r="AM160" s="8"/>
      <c r="AN160" s="8"/>
      <c r="AO160" s="8"/>
      <c r="AP160" s="8"/>
      <c r="AQ160" s="8"/>
      <c r="AR160" s="8"/>
      <c r="AS160" s="8"/>
      <c r="AT160" s="8"/>
      <c r="AU160" s="8"/>
      <c r="AV160" s="8"/>
      <c r="AW160" s="8"/>
      <c r="AX160" s="8"/>
      <c r="AY160" s="8"/>
      <c r="AZ160" s="8"/>
      <c r="BA160" s="8"/>
      <c r="BB160" s="8"/>
      <c r="BC160" s="8"/>
      <c r="BD160" s="8"/>
      <c r="BE160" s="8"/>
    </row>
    <row r="161" spans="1:57">
      <c r="A161" s="8" t="s">
        <v>247</v>
      </c>
      <c r="B161" s="8" t="s">
        <v>47</v>
      </c>
      <c r="C161" s="8" t="s">
        <v>731</v>
      </c>
      <c r="D161" s="8" t="s">
        <v>732</v>
      </c>
      <c r="E161" s="8" t="s">
        <v>968</v>
      </c>
      <c r="F161" s="54" t="s">
        <v>975</v>
      </c>
      <c r="G161" s="8" t="s">
        <v>976</v>
      </c>
      <c r="H161" s="8" t="str">
        <f ca="1">IFERROR(__xludf.DUMMYFUNCTION("VLOOKUP(G161, IMPORTRANGE(""https://docs.google.com/spreadsheets/d/14deopnvwcrKtEGCKuYXdUHJbeLDZlkiSSWWT0g7x2pM/edit#gid=999382323"", ""LU List Maths (Filter)!A:B""), 2, FALSE)"),"Definition of linear graphs")</f>
        <v>Definition of linear graphs</v>
      </c>
      <c r="I161" s="10" t="str">
        <f t="shared" si="0"/>
        <v>LU000775.001</v>
      </c>
      <c r="J161" s="10" t="str">
        <f ca="1">IFERROR(__xludf.DUMMYFUNCTION("VLOOKUP(I161, IMPORTRANGE(""https://docs.google.com/spreadsheets/d/1yDAaXNsi4Mr5FtRQL4tbmSdIzhx6_m4wkOD7IG-k_eo/edit#gid=0"", ""Maths!M:N""), 2, FALSE)"),"Define linear graph.")</f>
        <v>Define linear graph.</v>
      </c>
      <c r="K161" s="10" t="str">
        <f t="shared" si="1"/>
        <v>LU000775.002</v>
      </c>
      <c r="L161" s="10" t="str">
        <f ca="1">IFERROR(__xludf.DUMMYFUNCTION("VLOOKUP(K161, IMPORTRANGE(""https://docs.google.com/spreadsheets/d/1yDAaXNsi4Mr5FtRQL4tbmSdIzhx6_m4wkOD7IG-k_eo/edit#gid=0"", ""Maths!M:N""), 2, FALSE)"),"Explain the purpose of a linear graph in visualizing and representing linear relationships between variables in a graphical form.")</f>
        <v>Explain the purpose of a linear graph in visualizing and representing linear relationships between variables in a graphical form.</v>
      </c>
      <c r="M161" s="10" t="str">
        <f t="shared" si="2"/>
        <v>LU000775.003</v>
      </c>
      <c r="N161" s="10" t="str">
        <f ca="1">IFERROR(__xludf.DUMMYFUNCTION("VLOOKUP(M161, IMPORTRANGE(""https://docs.google.com/spreadsheets/d/1yDAaXNsi4Mr5FtRQL4tbmSdIzhx6_m4wkOD7IG-k_eo/edit#gid=0"", ""Maths!M:N""), 2, FALSE)"),"Apply knowledge to identify a linear graph and distinguish it from other types of graphs.")</f>
        <v>Apply knowledge to identify a linear graph and distinguish it from other types of graphs.</v>
      </c>
      <c r="O161" s="10" t="str">
        <f t="shared" si="3"/>
        <v>LU000775.004</v>
      </c>
      <c r="P161" s="10" t="str">
        <f ca="1">IFERROR(__xludf.DUMMYFUNCTION("VLOOKUP(O161, IMPORTRANGE(""https://docs.google.com/spreadsheets/d/1yDAaXNsi4Mr5FtRQL4tbmSdIzhx6_m4wkOD7IG-k_eo/edit#gid=0"", ""Maths!M:N""), 2, FALSE)"),"Analyze the components of a linear graph, including the origin x and y-axes.")</f>
        <v>Analyze the components of a linear graph, including the origin x and y-axes.</v>
      </c>
      <c r="Q161" s="10" t="str">
        <f t="shared" si="4"/>
        <v>LU000775.005</v>
      </c>
      <c r="R161" s="10" t="str">
        <f ca="1">IFERROR(__xludf.DUMMYFUNCTION("VLOOKUP(Q161, IMPORTRANGE(""https://docs.google.com/spreadsheets/d/1yDAaXNsi4Mr5FtRQL4tbmSdIzhx6_m4wkOD7IG-k_eo/edit#gid=0"", ""Maths!M:N""), 2, FALSE)"),"Assess the suitability of using linear graphs to represent specific types of data or relationships, considering whether a linear representation accurately reflects the underlying trend or pattern.")</f>
        <v>Assess the suitability of using linear graphs to represent specific types of data or relationships, considering whether a linear representation accurately reflects the underlying trend or pattern.</v>
      </c>
      <c r="S161" s="10" t="str">
        <f t="shared" si="5"/>
        <v>LU000775.006</v>
      </c>
      <c r="T161" s="10" t="str">
        <f ca="1">IFERROR(__xludf.DUMMYFUNCTION("VLOOKUP(S161, IMPORTRANGE(""https://docs.google.com/spreadsheets/d/1yDAaXNsi4Mr5FtRQL4tbmSdIzhx6_m4wkOD7IG-k_eo/edit#gid=0"", ""Maths!M:N""), 2, FALSE)"),"#N/A")</f>
        <v>#N/A</v>
      </c>
      <c r="U161" s="52">
        <f ca="1">IFERROR(__xludf.DUMMYFUNCTION("ArrayFormula(VLOOKUP(G161, IMPORTRANGE(""https://docs.google.com/spreadsheets/d/1p7R4vtkWt5VOBim4ltsDG9KTzSjrtKXsMtQGXPHyND0/edit#gid=795171502"", ""'Filter 30_05_2024'!A1:M2000""), {2, 3, 4, 5,6,7,8,9,10,11,12,13}, 0))"),4)</f>
        <v>4</v>
      </c>
      <c r="V161" s="52">
        <f ca="1">IFERROR(__xludf.DUMMYFUNCTION("""COMPUTED_VALUE"""),6)</f>
        <v>6</v>
      </c>
      <c r="W161" s="52">
        <f ca="1">IFERROR(__xludf.DUMMYFUNCTION("""COMPUTED_VALUE"""),2)</f>
        <v>2</v>
      </c>
      <c r="X161" s="52">
        <f ca="1">IFERROR(__xludf.DUMMYFUNCTION("""COMPUTED_VALUE"""),12)</f>
        <v>12</v>
      </c>
      <c r="Y161" s="52">
        <f ca="1">IFERROR(__xludf.DUMMYFUNCTION("""COMPUTED_VALUE"""),4)</f>
        <v>4</v>
      </c>
      <c r="Z161" s="53">
        <f ca="1">IFERROR(__xludf.DUMMYFUNCTION("""COMPUTED_VALUE"""),3)</f>
        <v>3</v>
      </c>
      <c r="AA161" s="53">
        <f ca="1">IFERROR(__xludf.DUMMYFUNCTION("""COMPUTED_VALUE"""),2)</f>
        <v>2</v>
      </c>
      <c r="AB161" s="53">
        <f ca="1">IFERROR(__xludf.DUMMYFUNCTION("""COMPUTED_VALUE"""),9)</f>
        <v>9</v>
      </c>
      <c r="AC161" s="53"/>
      <c r="AD161" s="53"/>
      <c r="AE161" s="53"/>
      <c r="AF161" s="53"/>
      <c r="AG161" s="8" t="str">
        <f ca="1">IFERROR(__xludf.DUMMYFUNCTION("ArrayFormula(VLOOKUP(G161, IMPORTRANGE(""https://docs.google.com/spreadsheets/d/1Co934fvtviyaRiMsrIlT05Jaq7iiYq07aLvRr35KA48/edit?gid=173865642#gid=173865642"", ""'G8_Maths_Pri_LU'!G2:V2000""), {3, 4, 5, 6, 7, 8, 9, 10, 11, 12, 13, 14, 15, 16}, 0))"),"LU000776")</f>
        <v>LU000776</v>
      </c>
      <c r="AH161" s="8" t="str">
        <f ca="1">IFERROR(__xludf.DUMMYFUNCTION("""COMPUTED_VALUE"""),"Coordinates of a point on a graph")</f>
        <v>Coordinates of a point on a graph</v>
      </c>
      <c r="AI161" s="8" t="str">
        <f ca="1">IFERROR(__xludf.DUMMYFUNCTION("""COMPUTED_VALUE"""),"LU000772")</f>
        <v>LU000772</v>
      </c>
      <c r="AJ161" s="8" t="str">
        <f ca="1">IFERROR(__xludf.DUMMYFUNCTION("""COMPUTED_VALUE"""),"Definition of line graph")</f>
        <v>Definition of line graph</v>
      </c>
      <c r="AK161" s="8"/>
      <c r="AL161" s="8"/>
      <c r="AM161" s="8"/>
      <c r="AN161" s="8"/>
      <c r="AO161" s="8"/>
      <c r="AP161" s="8"/>
      <c r="AQ161" s="8"/>
      <c r="AR161" s="8"/>
      <c r="AS161" s="8"/>
      <c r="AT161" s="8"/>
      <c r="AU161" s="8"/>
      <c r="AV161" s="8"/>
      <c r="AW161" s="8"/>
      <c r="AX161" s="8"/>
      <c r="AY161" s="8"/>
      <c r="AZ161" s="8"/>
      <c r="BA161" s="8"/>
      <c r="BB161" s="8"/>
      <c r="BC161" s="8"/>
      <c r="BD161" s="8"/>
      <c r="BE161" s="8"/>
    </row>
    <row r="162" spans="1:57">
      <c r="A162" s="8" t="s">
        <v>247</v>
      </c>
      <c r="B162" s="8" t="s">
        <v>47</v>
      </c>
      <c r="C162" s="8" t="s">
        <v>731</v>
      </c>
      <c r="D162" s="8" t="s">
        <v>732</v>
      </c>
      <c r="E162" s="8" t="s">
        <v>968</v>
      </c>
      <c r="F162" s="54" t="s">
        <v>975</v>
      </c>
      <c r="G162" s="8" t="s">
        <v>977</v>
      </c>
      <c r="H162" s="8" t="str">
        <f ca="1">IFERROR(__xludf.DUMMYFUNCTION("VLOOKUP(G162, IMPORTRANGE(""https://docs.google.com/spreadsheets/d/14deopnvwcrKtEGCKuYXdUHJbeLDZlkiSSWWT0g7x2pM/edit#gid=999382323"", ""LU List Maths (Filter)!A:B""), 2, FALSE)"),"Interpretation of linear graph")</f>
        <v>Interpretation of linear graph</v>
      </c>
      <c r="I162" s="10" t="str">
        <f t="shared" si="0"/>
        <v>LU000780.001</v>
      </c>
      <c r="J162" s="10" t="str">
        <f ca="1">IFERROR(__xludf.DUMMYFUNCTION("VLOOKUP(I162, IMPORTRANGE(""https://docs.google.com/spreadsheets/d/1yDAaXNsi4Mr5FtRQL4tbmSdIzhx6_m4wkOD7IG-k_eo/edit#gid=0"", ""Maths!M:N""), 2, FALSE)"),"Recall the fundamental components of a linear graph, such as the x-axis, y-axis, and plotted data points.")</f>
        <v>Recall the fundamental components of a linear graph, such as the x-axis, y-axis, and plotted data points.</v>
      </c>
      <c r="K162" s="10" t="str">
        <f t="shared" si="1"/>
        <v>LU000780.002</v>
      </c>
      <c r="L162" s="10" t="str">
        <f ca="1">IFERROR(__xludf.DUMMYFUNCTION("VLOOKUP(K162, IMPORTRANGE(""https://docs.google.com/spreadsheets/d/1yDAaXNsi4Mr5FtRQL4tbmSdIzhx6_m4wkOD7IG-k_eo/edit#gid=0"", ""Maths!M:N""), 2, FALSE)"),"Explain the primary purpose of a linear graph in representing data trends and relationships.")</f>
        <v>Explain the primary purpose of a linear graph in representing data trends and relationships.</v>
      </c>
      <c r="M162" s="10" t="str">
        <f t="shared" si="2"/>
        <v>LU000780.003</v>
      </c>
      <c r="N162" s="10" t="str">
        <f ca="1">IFERROR(__xludf.DUMMYFUNCTION("VLOOKUP(M162, IMPORTRANGE(""https://docs.google.com/spreadsheets/d/1yDAaXNsi4Mr5FtRQL4tbmSdIzhx6_m4wkOD7IG-k_eo/edit#gid=0"", ""Maths!M:N""), 2, FALSE)"),"Apply knowledge of linear graphs to identify and recognize linear relationships when presented with a graph.")</f>
        <v>Apply knowledge of linear graphs to identify and recognize linear relationships when presented with a graph.</v>
      </c>
      <c r="O162" s="10" t="str">
        <f t="shared" si="3"/>
        <v>LU000780.004</v>
      </c>
      <c r="P162" s="10" t="str">
        <f ca="1">IFERROR(__xludf.DUMMYFUNCTION("VLOOKUP(O162, IMPORTRANGE(""https://docs.google.com/spreadsheets/d/1yDAaXNsi4Mr5FtRQL4tbmSdIzhx6_m4wkOD7IG-k_eo/edit#gid=0"", ""Maths!M:N""), 2, FALSE)"),"Analyze a given linear graph to extract meaningful insights about the relationship it represents.")</f>
        <v>Analyze a given linear graph to extract meaningful insights about the relationship it represents.</v>
      </c>
      <c r="Q162" s="10" t="str">
        <f t="shared" si="4"/>
        <v>LU000780.005</v>
      </c>
      <c r="R162" s="10" t="str">
        <f ca="1">IFERROR(__xludf.DUMMYFUNCTION("VLOOKUP(Q162, IMPORTRANGE(""https://docs.google.com/spreadsheets/d/1yDAaXNsi4Mr5FtRQL4tbmSdIzhx6_m4wkOD7IG-k_eo/edit#gid=0"", ""Maths!M:N""), 2, FALSE)"),"Evaluate the effectiveness of using linear graphs to represent specific types of data or relationships, considering whether linear representation accurately reflects the underlying trend.")</f>
        <v>Evaluate the effectiveness of using linear graphs to represent specific types of data or relationships, considering whether linear representation accurately reflects the underlying trend.</v>
      </c>
      <c r="S162" s="10" t="str">
        <f t="shared" si="5"/>
        <v>LU000780.006</v>
      </c>
      <c r="T162" s="10" t="str">
        <f ca="1">IFERROR(__xludf.DUMMYFUNCTION("VLOOKUP(S162, IMPORTRANGE(""https://docs.google.com/spreadsheets/d/1yDAaXNsi4Mr5FtRQL4tbmSdIzhx6_m4wkOD7IG-k_eo/edit#gid=0"", ""Maths!M:N""), 2, FALSE)"),"#N/A")</f>
        <v>#N/A</v>
      </c>
      <c r="U162" s="52">
        <f ca="1">IFERROR(__xludf.DUMMYFUNCTION("ArrayFormula(VLOOKUP(G162, IMPORTRANGE(""https://docs.google.com/spreadsheets/d/1p7R4vtkWt5VOBim4ltsDG9KTzSjrtKXsMtQGXPHyND0/edit#gid=795171502"", ""'Filter 30_05_2024'!A1:M2000""), {2, 3, 4, 5,6,7,8,9,10,11,12,13}, 0))"),4)</f>
        <v>4</v>
      </c>
      <c r="V162" s="52">
        <f ca="1">IFERROR(__xludf.DUMMYFUNCTION("""COMPUTED_VALUE"""),6)</f>
        <v>6</v>
      </c>
      <c r="W162" s="52">
        <f ca="1">IFERROR(__xludf.DUMMYFUNCTION("""COMPUTED_VALUE"""),2)</f>
        <v>2</v>
      </c>
      <c r="X162" s="52">
        <f ca="1">IFERROR(__xludf.DUMMYFUNCTION("""COMPUTED_VALUE"""),12)</f>
        <v>12</v>
      </c>
      <c r="Y162" s="52">
        <f ca="1">IFERROR(__xludf.DUMMYFUNCTION("""COMPUTED_VALUE"""),4)</f>
        <v>4</v>
      </c>
      <c r="Z162" s="53">
        <f ca="1">IFERROR(__xludf.DUMMYFUNCTION("""COMPUTED_VALUE"""),3)</f>
        <v>3</v>
      </c>
      <c r="AA162" s="53">
        <f ca="1">IFERROR(__xludf.DUMMYFUNCTION("""COMPUTED_VALUE"""),1)</f>
        <v>1</v>
      </c>
      <c r="AB162" s="53">
        <f ca="1">IFERROR(__xludf.DUMMYFUNCTION("""COMPUTED_VALUE"""),8)</f>
        <v>8</v>
      </c>
      <c r="AC162" s="53"/>
      <c r="AD162" s="53"/>
      <c r="AE162" s="53"/>
      <c r="AF162" s="53"/>
      <c r="AG162" s="8" t="str">
        <f ca="1">IFERROR(__xludf.DUMMYFUNCTION("ArrayFormula(VLOOKUP(G162, IMPORTRANGE(""https://docs.google.com/spreadsheets/d/1Co934fvtviyaRiMsrIlT05Jaq7iiYq07aLvRr35KA48/edit?gid=173865642#gid=173865642"", ""'G8_Maths_Pri_LU'!G2:V2000""), {3, 4, 5, 6, 7, 8, 9, 10, 11, 12, 13, 14, 15, 16}, 0))"),"LU000775")</f>
        <v>LU000775</v>
      </c>
      <c r="AH162" s="8" t="str">
        <f ca="1">IFERROR(__xludf.DUMMYFUNCTION("""COMPUTED_VALUE"""),"Definition of linear graphs")</f>
        <v>Definition of linear graphs</v>
      </c>
      <c r="AI162" s="8"/>
      <c r="AJ162" s="8"/>
      <c r="AK162" s="8"/>
      <c r="AL162" s="8"/>
      <c r="AM162" s="8"/>
      <c r="AN162" s="8"/>
      <c r="AO162" s="8"/>
      <c r="AP162" s="8"/>
      <c r="AQ162" s="8"/>
      <c r="AR162" s="8"/>
      <c r="AS162" s="8"/>
      <c r="AT162" s="8"/>
      <c r="AU162" s="8"/>
      <c r="AV162" s="8"/>
      <c r="AW162" s="8"/>
      <c r="AX162" s="8"/>
      <c r="AY162" s="8"/>
      <c r="AZ162" s="8"/>
      <c r="BA162" s="8"/>
      <c r="BB162" s="8"/>
      <c r="BC162" s="8"/>
      <c r="BD162" s="8"/>
      <c r="BE162" s="8"/>
    </row>
    <row r="163" spans="1:57">
      <c r="A163" s="8" t="s">
        <v>247</v>
      </c>
      <c r="B163" s="8" t="s">
        <v>47</v>
      </c>
      <c r="C163" s="8" t="s">
        <v>731</v>
      </c>
      <c r="D163" s="8" t="s">
        <v>732</v>
      </c>
      <c r="E163" s="8" t="s">
        <v>968</v>
      </c>
      <c r="F163" s="54" t="s">
        <v>975</v>
      </c>
      <c r="G163" s="8" t="s">
        <v>978</v>
      </c>
      <c r="H163" s="8" t="str">
        <f ca="1">IFERROR(__xludf.DUMMYFUNCTION("VLOOKUP(G163, IMPORTRANGE(""https://docs.google.com/spreadsheets/d/14deopnvwcrKtEGCKuYXdUHJbeLDZlkiSSWWT0g7x2pM/edit#gid=999382323"", ""LU List Maths (Filter)!A:B""), 2, FALSE)"),"Construction of a linear graph")</f>
        <v>Construction of a linear graph</v>
      </c>
      <c r="I163" s="10" t="str">
        <f t="shared" si="0"/>
        <v>LU000784.001</v>
      </c>
      <c r="J163" s="10" t="str">
        <f ca="1">IFERROR(__xludf.DUMMYFUNCTION("VLOOKUP(I163, IMPORTRANGE(""https://docs.google.com/spreadsheets/d/1yDAaXNsi4Mr5FtRQL4tbmSdIzhx6_m4wkOD7IG-k_eo/edit#gid=0"", ""Maths!M:N""), 2, FALSE)"),"Recall the fundamental steps involved in constructing a linear graph, including plotting points and connecting them with a straight line.")</f>
        <v>Recall the fundamental steps involved in constructing a linear graph, including plotting points and connecting them with a straight line.</v>
      </c>
      <c r="K163" s="10" t="str">
        <f t="shared" si="1"/>
        <v>LU000784.002</v>
      </c>
      <c r="L163" s="10" t="str">
        <f ca="1">IFERROR(__xludf.DUMMYFUNCTION("VLOOKUP(K163, IMPORTRANGE(""https://docs.google.com/spreadsheets/d/1yDAaXNsi4Mr5FtRQL4tbmSdIzhx6_m4wkOD7IG-k_eo/edit#gid=0"", ""Maths!M:N""), 2, FALSE)"),"Explain the purpose of constructing a linear graph as a means to visually represent and understand linear relationships.")</f>
        <v>Explain the purpose of constructing a linear graph as a means to visually represent and understand linear relationships.</v>
      </c>
      <c r="M163" s="10" t="str">
        <f t="shared" si="2"/>
        <v>LU000784.003</v>
      </c>
      <c r="N163" s="10" t="str">
        <f ca="1">IFERROR(__xludf.DUMMYFUNCTION("VLOOKUP(M163, IMPORTRANGE(""https://docs.google.com/spreadsheets/d/1yDAaXNsi4Mr5FtRQL4tbmSdIzhx6_m4wkOD7IG-k_eo/edit#gid=0"", ""Maths!M:N""), 2, FALSE)"),"Apply knowledge and skills to accurately construct a linear graph from given data, ensuring that points are plotted correctly and lines are straight.")</f>
        <v>Apply knowledge and skills to accurately construct a linear graph from given data, ensuring that points are plotted correctly and lines are straight.</v>
      </c>
      <c r="O163" s="10" t="str">
        <f t="shared" si="3"/>
        <v>LU000784.004</v>
      </c>
      <c r="P163" s="10" t="str">
        <f ca="1">IFERROR(__xludf.DUMMYFUNCTION("VLOOKUP(O163, IMPORTRANGE(""https://docs.google.com/spreadsheets/d/1yDAaXNsi4Mr5FtRQL4tbmSdIzhx6_m4wkOD7IG-k_eo/edit#gid=0"", ""Maths!M:N""), 2, FALSE)"),"Analyze the constructed linear graph to interpret the relationship between variables.")</f>
        <v>Analyze the constructed linear graph to interpret the relationship between variables.</v>
      </c>
      <c r="Q163" s="10" t="str">
        <f t="shared" si="4"/>
        <v>LU000784.005</v>
      </c>
      <c r="R163" s="10" t="str">
        <f ca="1">IFERROR(__xludf.DUMMYFUNCTION("VLOOKUP(Q163, IMPORTRANGE(""https://docs.google.com/spreadsheets/d/1yDAaXNsi4Mr5FtRQL4tbmSdIzhx6_m4wkOD7IG-k_eo/edit#gid=0"", ""Maths!M:N""), 2, FALSE)"),"Evaluate the effectiveness of the constructed linear graph in visualizing and representing the linear relationship, considering factors like clarity, scale, and labeling.")</f>
        <v>Evaluate the effectiveness of the constructed linear graph in visualizing and representing the linear relationship, considering factors like clarity, scale, and labeling.</v>
      </c>
      <c r="S163" s="10" t="str">
        <f t="shared" si="5"/>
        <v>LU000784.006</v>
      </c>
      <c r="T163" s="10" t="str">
        <f ca="1">IFERROR(__xludf.DUMMYFUNCTION("VLOOKUP(S163, IMPORTRANGE(""https://docs.google.com/spreadsheets/d/1yDAaXNsi4Mr5FtRQL4tbmSdIzhx6_m4wkOD7IG-k_eo/edit#gid=0"", ""Maths!M:N""), 2, FALSE)"),"Create a linear graph using given data, ensuring it accurately represents the linear relationship and is visually clear and informative for others to interpret.")</f>
        <v>Create a linear graph using given data, ensuring it accurately represents the linear relationship and is visually clear and informative for others to interpret.</v>
      </c>
      <c r="U163" s="52">
        <f ca="1">IFERROR(__xludf.DUMMYFUNCTION("ArrayFormula(VLOOKUP(G163, IMPORTRANGE(""https://docs.google.com/spreadsheets/d/1p7R4vtkWt5VOBim4ltsDG9KTzSjrtKXsMtQGXPHyND0/edit#gid=795171502"", ""'Filter 30_05_2024'!A1:M2000""), {2, 3, 4, 5,6,7,8,9,10,11,12,13}, 0))"),4)</f>
        <v>4</v>
      </c>
      <c r="V163" s="52">
        <f ca="1">IFERROR(__xludf.DUMMYFUNCTION("""COMPUTED_VALUE"""),6)</f>
        <v>6</v>
      </c>
      <c r="W163" s="52">
        <f ca="1">IFERROR(__xludf.DUMMYFUNCTION("""COMPUTED_VALUE"""),2)</f>
        <v>2</v>
      </c>
      <c r="X163" s="52">
        <f ca="1">IFERROR(__xludf.DUMMYFUNCTION("""COMPUTED_VALUE"""),12)</f>
        <v>12</v>
      </c>
      <c r="Y163" s="52">
        <f ca="1">IFERROR(__xludf.DUMMYFUNCTION("""COMPUTED_VALUE"""),4)</f>
        <v>4</v>
      </c>
      <c r="Z163" s="53">
        <f ca="1">IFERROR(__xludf.DUMMYFUNCTION("""COMPUTED_VALUE"""),3)</f>
        <v>3</v>
      </c>
      <c r="AA163" s="53">
        <f ca="1">IFERROR(__xludf.DUMMYFUNCTION("""COMPUTED_VALUE"""),1)</f>
        <v>1</v>
      </c>
      <c r="AB163" s="53">
        <f ca="1">IFERROR(__xludf.DUMMYFUNCTION("""COMPUTED_VALUE"""),8)</f>
        <v>8</v>
      </c>
      <c r="AC163" s="53"/>
      <c r="AD163" s="53"/>
      <c r="AE163" s="53"/>
      <c r="AF163" s="53"/>
      <c r="AG163" s="8" t="str">
        <f ca="1">IFERROR(__xludf.DUMMYFUNCTION("ArrayFormula(VLOOKUP(G163, IMPORTRANGE(""https://docs.google.com/spreadsheets/d/1Co934fvtviyaRiMsrIlT05Jaq7iiYq07aLvRr35KA48/edit?gid=173865642#gid=173865642"", ""'G8_Maths_Pri_LU'!G2:V2000""), {3, 4, 5, 6, 7, 8, 9, 10, 11, 12, 13, 14, 15, 16}, 0))"),"LU000780")</f>
        <v>LU000780</v>
      </c>
      <c r="AH163" s="8" t="str">
        <f ca="1">IFERROR(__xludf.DUMMYFUNCTION("""COMPUTED_VALUE"""),"Interpretation of linear graph")</f>
        <v>Interpretation of linear graph</v>
      </c>
      <c r="AI163" s="8"/>
      <c r="AJ163" s="8"/>
      <c r="AK163" s="8"/>
      <c r="AL163" s="8"/>
      <c r="AM163" s="8"/>
      <c r="AN163" s="8"/>
      <c r="AO163" s="8"/>
      <c r="AP163" s="8"/>
      <c r="AQ163" s="8"/>
      <c r="AR163" s="8"/>
      <c r="AS163" s="8"/>
      <c r="AT163" s="8"/>
      <c r="AU163" s="8"/>
      <c r="AV163" s="8"/>
      <c r="AW163" s="8"/>
      <c r="AX163" s="8"/>
      <c r="AY163" s="8"/>
      <c r="AZ163" s="8"/>
      <c r="BA163" s="8"/>
      <c r="BB163" s="8"/>
      <c r="BC163" s="8"/>
      <c r="BD163" s="8"/>
      <c r="BE163" s="8"/>
    </row>
    <row r="164" spans="1:57">
      <c r="A164" s="8"/>
      <c r="B164" s="8"/>
      <c r="C164" s="8"/>
      <c r="D164" s="8"/>
      <c r="E164" s="8"/>
      <c r="F164" s="54"/>
      <c r="G164" s="8"/>
      <c r="H164" s="8"/>
      <c r="I164" s="8"/>
      <c r="J164" s="8"/>
      <c r="K164" s="8"/>
      <c r="L164" s="8"/>
      <c r="M164" s="8"/>
      <c r="N164" s="8"/>
      <c r="O164" s="8"/>
      <c r="P164" s="8"/>
      <c r="Q164" s="8"/>
      <c r="R164" s="8"/>
      <c r="S164" s="8"/>
      <c r="T164" s="8"/>
      <c r="U164" s="53"/>
      <c r="V164" s="53"/>
      <c r="W164" s="53"/>
      <c r="X164" s="53"/>
      <c r="Y164" s="53"/>
      <c r="Z164" s="53"/>
      <c r="AA164" s="53"/>
      <c r="AB164" s="53"/>
      <c r="AC164" s="53"/>
      <c r="AD164" s="53"/>
      <c r="AE164" s="53"/>
      <c r="AF164" s="53"/>
      <c r="AG164" s="8"/>
      <c r="AH164" s="8"/>
      <c r="AI164" s="8"/>
      <c r="AJ164" s="8"/>
      <c r="AK164" s="8"/>
      <c r="AL164" s="8"/>
      <c r="AM164" s="8"/>
      <c r="AN164" s="8"/>
      <c r="AO164" s="8"/>
      <c r="AP164" s="8"/>
      <c r="AQ164" s="8"/>
      <c r="AR164" s="8"/>
      <c r="AS164" s="8"/>
      <c r="AT164" s="8"/>
      <c r="AU164" s="8"/>
      <c r="AV164" s="8"/>
      <c r="AW164" s="8"/>
      <c r="AX164" s="8"/>
      <c r="AY164" s="8"/>
      <c r="AZ164" s="8"/>
      <c r="BA164" s="8"/>
      <c r="BB164" s="8"/>
      <c r="BC164" s="8"/>
      <c r="BD164" s="8"/>
      <c r="BE164" s="8"/>
    </row>
    <row r="165" spans="1:57">
      <c r="A165" s="8"/>
      <c r="B165" s="8"/>
      <c r="C165" s="8"/>
      <c r="D165" s="8"/>
      <c r="E165" s="8"/>
      <c r="F165" s="54"/>
      <c r="G165" s="30"/>
      <c r="H165" s="8"/>
      <c r="I165" s="8"/>
      <c r="J165" s="8"/>
      <c r="K165" s="8"/>
      <c r="L165" s="8"/>
      <c r="M165" s="8"/>
      <c r="N165" s="8"/>
      <c r="O165" s="8"/>
      <c r="P165" s="8"/>
      <c r="Q165" s="8"/>
      <c r="R165" s="8"/>
      <c r="S165" s="8"/>
      <c r="T165" s="8"/>
      <c r="U165" s="53"/>
      <c r="V165" s="53"/>
      <c r="W165" s="53"/>
      <c r="X165" s="53"/>
      <c r="Y165" s="53"/>
      <c r="Z165" s="53"/>
      <c r="AA165" s="53"/>
      <c r="AB165" s="53"/>
      <c r="AC165" s="53"/>
      <c r="AD165" s="53"/>
      <c r="AE165" s="53"/>
      <c r="AF165" s="53"/>
      <c r="AG165" s="8"/>
      <c r="AH165" s="8"/>
      <c r="AI165" s="8"/>
      <c r="AJ165" s="8"/>
      <c r="AK165" s="8"/>
      <c r="AL165" s="8"/>
      <c r="AM165" s="8"/>
      <c r="AN165" s="8"/>
      <c r="AO165" s="8"/>
      <c r="AP165" s="8"/>
      <c r="AQ165" s="8"/>
      <c r="AR165" s="8"/>
      <c r="AS165" s="8"/>
      <c r="AT165" s="8"/>
      <c r="AU165" s="8"/>
      <c r="AV165" s="8"/>
      <c r="AW165" s="8"/>
      <c r="AX165" s="8"/>
      <c r="AY165" s="8"/>
      <c r="AZ165" s="8"/>
      <c r="BA165" s="8"/>
      <c r="BB165" s="8"/>
      <c r="BC165" s="8"/>
      <c r="BD165" s="8"/>
      <c r="BE165" s="8"/>
    </row>
    <row r="166" spans="1:57">
      <c r="A166" s="8"/>
      <c r="B166" s="8"/>
      <c r="C166" s="8"/>
      <c r="D166" s="8"/>
      <c r="E166" s="8"/>
      <c r="F166" s="54"/>
      <c r="G166" s="8"/>
      <c r="H166" s="8"/>
      <c r="I166" s="8"/>
      <c r="J166" s="8"/>
      <c r="K166" s="8"/>
      <c r="L166" s="8"/>
      <c r="M166" s="8"/>
      <c r="N166" s="8"/>
      <c r="O166" s="8"/>
      <c r="P166" s="8"/>
      <c r="Q166" s="8"/>
      <c r="R166" s="8"/>
      <c r="S166" s="8"/>
      <c r="T166" s="8"/>
      <c r="U166" s="53"/>
      <c r="V166" s="53"/>
      <c r="W166" s="53"/>
      <c r="X166" s="53"/>
      <c r="Y166" s="53"/>
      <c r="Z166" s="53"/>
      <c r="AA166" s="53"/>
      <c r="AB166" s="53"/>
      <c r="AC166" s="53"/>
      <c r="AD166" s="53"/>
      <c r="AE166" s="53"/>
      <c r="AF166" s="53"/>
      <c r="AG166" s="8"/>
      <c r="AH166" s="8"/>
      <c r="AI166" s="8"/>
      <c r="AJ166" s="8"/>
      <c r="AK166" s="8"/>
      <c r="AL166" s="8"/>
      <c r="AM166" s="8"/>
      <c r="AN166" s="8"/>
      <c r="AO166" s="8"/>
      <c r="AP166" s="8"/>
      <c r="AQ166" s="8"/>
      <c r="AR166" s="8"/>
      <c r="AS166" s="8"/>
      <c r="AT166" s="8"/>
      <c r="AU166" s="8"/>
      <c r="AV166" s="8"/>
      <c r="AW166" s="8"/>
      <c r="AX166" s="8"/>
      <c r="AY166" s="8"/>
      <c r="AZ166" s="8"/>
      <c r="BA166" s="8"/>
      <c r="BB166" s="8"/>
      <c r="BC166" s="8"/>
      <c r="BD166" s="8"/>
      <c r="BE166" s="8"/>
    </row>
    <row r="167" spans="1:57">
      <c r="A167" s="8"/>
      <c r="B167" s="8"/>
      <c r="C167" s="8"/>
      <c r="D167" s="8"/>
      <c r="E167" s="8"/>
      <c r="F167" s="54"/>
      <c r="G167" s="8"/>
      <c r="H167" s="8"/>
      <c r="I167" s="8"/>
      <c r="J167" s="8"/>
      <c r="K167" s="8"/>
      <c r="L167" s="8"/>
      <c r="M167" s="8"/>
      <c r="N167" s="8"/>
      <c r="O167" s="8"/>
      <c r="P167" s="8"/>
      <c r="Q167" s="8"/>
      <c r="R167" s="8"/>
      <c r="S167" s="8"/>
      <c r="T167" s="8"/>
      <c r="U167" s="53"/>
      <c r="V167" s="53"/>
      <c r="W167" s="53"/>
      <c r="X167" s="53"/>
      <c r="Y167" s="53"/>
      <c r="Z167" s="53"/>
      <c r="AA167" s="53"/>
      <c r="AB167" s="53"/>
      <c r="AC167" s="53"/>
      <c r="AD167" s="53"/>
      <c r="AE167" s="53"/>
      <c r="AF167" s="53"/>
      <c r="AG167" s="8"/>
      <c r="AH167" s="8"/>
      <c r="AI167" s="8"/>
      <c r="AJ167" s="8"/>
      <c r="AK167" s="8"/>
      <c r="AL167" s="8"/>
      <c r="AM167" s="8"/>
      <c r="AN167" s="8"/>
      <c r="AO167" s="8"/>
      <c r="AP167" s="8"/>
      <c r="AQ167" s="8"/>
      <c r="AR167" s="8"/>
      <c r="AS167" s="8"/>
      <c r="AT167" s="8"/>
      <c r="AU167" s="8"/>
      <c r="AV167" s="8"/>
      <c r="AW167" s="8"/>
      <c r="AX167" s="8"/>
      <c r="AY167" s="8"/>
      <c r="AZ167" s="8"/>
      <c r="BA167" s="8"/>
      <c r="BB167" s="8"/>
      <c r="BC167" s="8"/>
      <c r="BD167" s="8"/>
      <c r="BE167" s="8"/>
    </row>
    <row r="168" spans="1:57">
      <c r="A168" s="8"/>
      <c r="B168" s="8"/>
      <c r="C168" s="8"/>
      <c r="D168" s="8"/>
      <c r="E168" s="8"/>
      <c r="F168" s="54"/>
      <c r="G168" s="8"/>
      <c r="H168" s="8"/>
      <c r="I168" s="8"/>
      <c r="J168" s="8"/>
      <c r="K168" s="8"/>
      <c r="L168" s="8"/>
      <c r="M168" s="8"/>
      <c r="N168" s="8"/>
      <c r="O168" s="8"/>
      <c r="P168" s="8"/>
      <c r="Q168" s="8"/>
      <c r="R168" s="8"/>
      <c r="S168" s="8"/>
      <c r="T168" s="8"/>
      <c r="U168" s="53"/>
      <c r="V168" s="53"/>
      <c r="W168" s="53"/>
      <c r="X168" s="53"/>
      <c r="Y168" s="53"/>
      <c r="Z168" s="53"/>
      <c r="AA168" s="53"/>
      <c r="AB168" s="53"/>
      <c r="AC168" s="53"/>
      <c r="AD168" s="53"/>
      <c r="AE168" s="53"/>
      <c r="AF168" s="53"/>
      <c r="AG168" s="8"/>
      <c r="AH168" s="8"/>
      <c r="AI168" s="8"/>
      <c r="AJ168" s="8"/>
      <c r="AK168" s="8"/>
      <c r="AL168" s="8"/>
      <c r="AM168" s="8"/>
      <c r="AN168" s="8"/>
      <c r="AO168" s="8"/>
      <c r="AP168" s="8"/>
      <c r="AQ168" s="8"/>
      <c r="AR168" s="8"/>
      <c r="AS168" s="8"/>
      <c r="AT168" s="8"/>
      <c r="AU168" s="8"/>
      <c r="AV168" s="8"/>
      <c r="AW168" s="8"/>
      <c r="AX168" s="8"/>
      <c r="AY168" s="8"/>
      <c r="AZ168" s="8"/>
      <c r="BA168" s="8"/>
      <c r="BB168" s="8"/>
      <c r="BC168" s="8"/>
      <c r="BD168" s="8"/>
      <c r="BE168" s="8"/>
    </row>
    <row r="169" spans="1:57">
      <c r="A169" s="8"/>
      <c r="B169" s="8"/>
      <c r="C169" s="8"/>
      <c r="D169" s="8"/>
      <c r="E169" s="8"/>
      <c r="F169" s="54"/>
      <c r="G169" s="8"/>
      <c r="H169" s="8"/>
      <c r="I169" s="8"/>
      <c r="J169" s="8"/>
      <c r="K169" s="8"/>
      <c r="L169" s="8"/>
      <c r="M169" s="8"/>
      <c r="N169" s="8"/>
      <c r="O169" s="8"/>
      <c r="P169" s="8"/>
      <c r="Q169" s="8"/>
      <c r="R169" s="8"/>
      <c r="S169" s="8"/>
      <c r="T169" s="8"/>
      <c r="U169" s="53"/>
      <c r="V169" s="53"/>
      <c r="W169" s="53"/>
      <c r="X169" s="53"/>
      <c r="Y169" s="53"/>
      <c r="Z169" s="53"/>
      <c r="AA169" s="53"/>
      <c r="AB169" s="53"/>
      <c r="AC169" s="53"/>
      <c r="AD169" s="53"/>
      <c r="AE169" s="53"/>
      <c r="AF169" s="53"/>
      <c r="AG169" s="8"/>
      <c r="AH169" s="8"/>
      <c r="AI169" s="8"/>
      <c r="AJ169" s="8"/>
      <c r="AK169" s="8"/>
      <c r="AL169" s="8"/>
      <c r="AM169" s="8"/>
      <c r="AN169" s="8"/>
      <c r="AO169" s="8"/>
      <c r="AP169" s="8"/>
      <c r="AQ169" s="8"/>
      <c r="AR169" s="8"/>
      <c r="AS169" s="8"/>
      <c r="AT169" s="8"/>
      <c r="AU169" s="8"/>
      <c r="AV169" s="8"/>
      <c r="AW169" s="8"/>
      <c r="AX169" s="8"/>
      <c r="AY169" s="8"/>
      <c r="AZ169" s="8"/>
      <c r="BA169" s="8"/>
      <c r="BB169" s="8"/>
      <c r="BC169" s="8"/>
      <c r="BD169" s="8"/>
      <c r="BE169" s="8"/>
    </row>
    <row r="170" spans="1:57">
      <c r="A170" s="8"/>
      <c r="B170" s="8"/>
      <c r="C170" s="8"/>
      <c r="D170" s="8"/>
      <c r="E170" s="8"/>
      <c r="F170" s="54"/>
      <c r="G170" s="8"/>
      <c r="H170" s="8"/>
      <c r="I170" s="8"/>
      <c r="J170" s="8"/>
      <c r="K170" s="8"/>
      <c r="L170" s="8"/>
      <c r="M170" s="8"/>
      <c r="N170" s="8"/>
      <c r="O170" s="8"/>
      <c r="P170" s="8"/>
      <c r="Q170" s="8"/>
      <c r="R170" s="8"/>
      <c r="S170" s="8"/>
      <c r="T170" s="8"/>
      <c r="U170" s="53"/>
      <c r="V170" s="53"/>
      <c r="W170" s="53"/>
      <c r="X170" s="53"/>
      <c r="Y170" s="53"/>
      <c r="Z170" s="53"/>
      <c r="AA170" s="53"/>
      <c r="AB170" s="53"/>
      <c r="AC170" s="53"/>
      <c r="AD170" s="53"/>
      <c r="AE170" s="53"/>
      <c r="AF170" s="53"/>
      <c r="AG170" s="8"/>
      <c r="AH170" s="8"/>
      <c r="AI170" s="8"/>
      <c r="AJ170" s="8"/>
      <c r="AK170" s="8"/>
      <c r="AL170" s="8"/>
      <c r="AM170" s="8"/>
      <c r="AN170" s="8"/>
      <c r="AO170" s="8"/>
      <c r="AP170" s="8"/>
      <c r="AQ170" s="8"/>
      <c r="AR170" s="8"/>
      <c r="AS170" s="8"/>
      <c r="AT170" s="8"/>
      <c r="AU170" s="8"/>
      <c r="AV170" s="8"/>
      <c r="AW170" s="8"/>
      <c r="AX170" s="8"/>
      <c r="AY170" s="8"/>
      <c r="AZ170" s="8"/>
      <c r="BA170" s="8"/>
      <c r="BB170" s="8"/>
      <c r="BC170" s="8"/>
      <c r="BD170" s="8"/>
      <c r="BE170" s="8"/>
    </row>
    <row r="171" spans="1:57">
      <c r="A171" s="8"/>
      <c r="B171" s="8"/>
      <c r="C171" s="8"/>
      <c r="D171" s="8"/>
      <c r="E171" s="8"/>
      <c r="F171" s="54"/>
      <c r="G171" s="8"/>
      <c r="H171" s="8"/>
      <c r="I171" s="8"/>
      <c r="J171" s="8"/>
      <c r="K171" s="8"/>
      <c r="L171" s="8"/>
      <c r="M171" s="8"/>
      <c r="N171" s="8"/>
      <c r="O171" s="8"/>
      <c r="P171" s="8"/>
      <c r="Q171" s="8"/>
      <c r="R171" s="8"/>
      <c r="S171" s="8"/>
      <c r="T171" s="8"/>
      <c r="U171" s="53"/>
      <c r="V171" s="53"/>
      <c r="W171" s="53"/>
      <c r="X171" s="53"/>
      <c r="Y171" s="53"/>
      <c r="Z171" s="53"/>
      <c r="AA171" s="53"/>
      <c r="AB171" s="53"/>
      <c r="AC171" s="53"/>
      <c r="AD171" s="53"/>
      <c r="AE171" s="53"/>
      <c r="AF171" s="53"/>
      <c r="AG171" s="8"/>
      <c r="AH171" s="8"/>
      <c r="AI171" s="8"/>
      <c r="AJ171" s="8"/>
      <c r="AK171" s="8"/>
      <c r="AL171" s="8"/>
      <c r="AM171" s="8"/>
      <c r="AN171" s="8"/>
      <c r="AO171" s="8"/>
      <c r="AP171" s="8"/>
      <c r="AQ171" s="8"/>
      <c r="AR171" s="8"/>
      <c r="AS171" s="8"/>
      <c r="AT171" s="8"/>
      <c r="AU171" s="8"/>
      <c r="AV171" s="8"/>
      <c r="AW171" s="8"/>
      <c r="AX171" s="8"/>
      <c r="AY171" s="8"/>
      <c r="AZ171" s="8"/>
      <c r="BA171" s="8"/>
      <c r="BB171" s="8"/>
      <c r="BC171" s="8"/>
      <c r="BD171" s="8"/>
      <c r="BE171" s="8"/>
    </row>
    <row r="172" spans="1:57">
      <c r="A172" s="8"/>
      <c r="B172" s="8"/>
      <c r="C172" s="8"/>
      <c r="D172" s="8"/>
      <c r="E172" s="8"/>
      <c r="F172" s="54"/>
      <c r="G172" s="8"/>
      <c r="H172" s="8"/>
      <c r="I172" s="8"/>
      <c r="J172" s="8"/>
      <c r="K172" s="8"/>
      <c r="L172" s="8"/>
      <c r="M172" s="8"/>
      <c r="N172" s="8"/>
      <c r="O172" s="8"/>
      <c r="P172" s="8"/>
      <c r="Q172" s="8"/>
      <c r="R172" s="8"/>
      <c r="S172" s="8"/>
      <c r="T172" s="8"/>
      <c r="U172" s="53"/>
      <c r="V172" s="53"/>
      <c r="W172" s="53"/>
      <c r="X172" s="53"/>
      <c r="Y172" s="53"/>
      <c r="Z172" s="53"/>
      <c r="AA172" s="53"/>
      <c r="AB172" s="53"/>
      <c r="AC172" s="53"/>
      <c r="AD172" s="53"/>
      <c r="AE172" s="53"/>
      <c r="AF172" s="53"/>
      <c r="AG172" s="8"/>
      <c r="AH172" s="8"/>
      <c r="AI172" s="8"/>
      <c r="AJ172" s="8"/>
      <c r="AK172" s="8"/>
      <c r="AL172" s="8"/>
      <c r="AM172" s="8"/>
      <c r="AN172" s="8"/>
      <c r="AO172" s="8"/>
      <c r="AP172" s="8"/>
      <c r="AQ172" s="8"/>
      <c r="AR172" s="8"/>
      <c r="AS172" s="8"/>
      <c r="AT172" s="8"/>
      <c r="AU172" s="8"/>
      <c r="AV172" s="8"/>
      <c r="AW172" s="8"/>
      <c r="AX172" s="8"/>
      <c r="AY172" s="8"/>
      <c r="AZ172" s="8"/>
      <c r="BA172" s="8"/>
      <c r="BB172" s="8"/>
      <c r="BC172" s="8"/>
      <c r="BD172" s="8"/>
      <c r="BE172" s="8"/>
    </row>
    <row r="173" spans="1:57">
      <c r="A173" s="8"/>
      <c r="B173" s="8"/>
      <c r="C173" s="8"/>
      <c r="D173" s="8"/>
      <c r="E173" s="8"/>
      <c r="F173" s="54"/>
      <c r="G173" s="8"/>
      <c r="H173" s="8"/>
      <c r="I173" s="8"/>
      <c r="J173" s="8"/>
      <c r="K173" s="8"/>
      <c r="L173" s="8"/>
      <c r="M173" s="8"/>
      <c r="N173" s="8"/>
      <c r="O173" s="8"/>
      <c r="P173" s="8"/>
      <c r="Q173" s="8"/>
      <c r="R173" s="8"/>
      <c r="S173" s="8"/>
      <c r="T173" s="8"/>
      <c r="U173" s="53"/>
      <c r="V173" s="53"/>
      <c r="W173" s="53"/>
      <c r="X173" s="53"/>
      <c r="Y173" s="53"/>
      <c r="Z173" s="53"/>
      <c r="AA173" s="53"/>
      <c r="AB173" s="53"/>
      <c r="AC173" s="53"/>
      <c r="AD173" s="53"/>
      <c r="AE173" s="53"/>
      <c r="AF173" s="53"/>
      <c r="AG173" s="8"/>
      <c r="AH173" s="8"/>
      <c r="AI173" s="8"/>
      <c r="AJ173" s="8"/>
      <c r="AK173" s="8"/>
      <c r="AL173" s="8"/>
      <c r="AM173" s="8"/>
      <c r="AN173" s="8"/>
      <c r="AO173" s="8"/>
      <c r="AP173" s="8"/>
      <c r="AQ173" s="8"/>
      <c r="AR173" s="8"/>
      <c r="AS173" s="8"/>
      <c r="AT173" s="8"/>
      <c r="AU173" s="8"/>
      <c r="AV173" s="8"/>
      <c r="AW173" s="8"/>
      <c r="AX173" s="8"/>
      <c r="AY173" s="8"/>
      <c r="AZ173" s="8"/>
      <c r="BA173" s="8"/>
      <c r="BB173" s="8"/>
      <c r="BC173" s="8"/>
      <c r="BD173" s="8"/>
      <c r="BE173" s="8"/>
    </row>
    <row r="174" spans="1:57">
      <c r="A174" s="8"/>
      <c r="B174" s="8"/>
      <c r="C174" s="8"/>
      <c r="D174" s="8"/>
      <c r="E174" s="8"/>
      <c r="F174" s="54"/>
      <c r="G174" s="8"/>
      <c r="H174" s="8"/>
      <c r="I174" s="8"/>
      <c r="J174" s="8"/>
      <c r="K174" s="8"/>
      <c r="L174" s="8"/>
      <c r="M174" s="8"/>
      <c r="N174" s="8"/>
      <c r="O174" s="8"/>
      <c r="P174" s="8"/>
      <c r="Q174" s="8"/>
      <c r="R174" s="8"/>
      <c r="S174" s="8"/>
      <c r="T174" s="8"/>
      <c r="U174" s="53"/>
      <c r="V174" s="53"/>
      <c r="W174" s="53"/>
      <c r="X174" s="53"/>
      <c r="Y174" s="53"/>
      <c r="Z174" s="53"/>
      <c r="AA174" s="53"/>
      <c r="AB174" s="53"/>
      <c r="AC174" s="53"/>
      <c r="AD174" s="53"/>
      <c r="AE174" s="53"/>
      <c r="AF174" s="53"/>
      <c r="AG174" s="8"/>
      <c r="AH174" s="8"/>
      <c r="AI174" s="8"/>
      <c r="AJ174" s="8"/>
      <c r="AK174" s="8"/>
      <c r="AL174" s="8"/>
      <c r="AM174" s="8"/>
      <c r="AN174" s="8"/>
      <c r="AO174" s="8"/>
      <c r="AP174" s="8"/>
      <c r="AQ174" s="8"/>
      <c r="AR174" s="8"/>
      <c r="AS174" s="8"/>
      <c r="AT174" s="8"/>
      <c r="AU174" s="8"/>
      <c r="AV174" s="8"/>
      <c r="AW174" s="8"/>
      <c r="AX174" s="8"/>
      <c r="AY174" s="8"/>
      <c r="AZ174" s="8"/>
      <c r="BA174" s="8"/>
      <c r="BB174" s="8"/>
      <c r="BC174" s="8"/>
      <c r="BD174" s="8"/>
      <c r="BE174" s="8"/>
    </row>
    <row r="175" spans="1:57">
      <c r="A175" s="8"/>
      <c r="B175" s="8"/>
      <c r="C175" s="8"/>
      <c r="D175" s="8"/>
      <c r="E175" s="8"/>
      <c r="F175" s="54"/>
      <c r="G175" s="8"/>
      <c r="H175" s="8"/>
      <c r="I175" s="8"/>
      <c r="J175" s="8"/>
      <c r="K175" s="8"/>
      <c r="L175" s="8"/>
      <c r="M175" s="8"/>
      <c r="N175" s="8"/>
      <c r="O175" s="8"/>
      <c r="P175" s="8"/>
      <c r="Q175" s="8"/>
      <c r="R175" s="8"/>
      <c r="S175" s="8"/>
      <c r="T175" s="8"/>
      <c r="U175" s="53"/>
      <c r="V175" s="53"/>
      <c r="W175" s="53"/>
      <c r="X175" s="53"/>
      <c r="Y175" s="53"/>
      <c r="Z175" s="53"/>
      <c r="AA175" s="53"/>
      <c r="AB175" s="53"/>
      <c r="AC175" s="53"/>
      <c r="AD175" s="53"/>
      <c r="AE175" s="53"/>
      <c r="AF175" s="53"/>
      <c r="AG175" s="8"/>
      <c r="AH175" s="8"/>
      <c r="AI175" s="8"/>
      <c r="AJ175" s="8"/>
      <c r="AK175" s="8"/>
      <c r="AL175" s="8"/>
      <c r="AM175" s="8"/>
      <c r="AN175" s="8"/>
      <c r="AO175" s="8"/>
      <c r="AP175" s="8"/>
      <c r="AQ175" s="8"/>
      <c r="AR175" s="8"/>
      <c r="AS175" s="8"/>
      <c r="AT175" s="8"/>
      <c r="AU175" s="8"/>
      <c r="AV175" s="8"/>
      <c r="AW175" s="8"/>
      <c r="AX175" s="8"/>
      <c r="AY175" s="8"/>
      <c r="AZ175" s="8"/>
      <c r="BA175" s="8"/>
      <c r="BB175" s="8"/>
      <c r="BC175" s="8"/>
      <c r="BD175" s="8"/>
      <c r="BE175" s="8"/>
    </row>
    <row r="176" spans="1:57">
      <c r="A176" s="8"/>
      <c r="B176" s="8"/>
      <c r="C176" s="8"/>
      <c r="D176" s="8"/>
      <c r="E176" s="8"/>
      <c r="F176" s="54"/>
      <c r="G176" s="8"/>
      <c r="H176" s="8"/>
      <c r="I176" s="8"/>
      <c r="J176" s="8"/>
      <c r="K176" s="8"/>
      <c r="L176" s="8"/>
      <c r="M176" s="8"/>
      <c r="N176" s="8"/>
      <c r="O176" s="8"/>
      <c r="P176" s="8"/>
      <c r="Q176" s="8"/>
      <c r="R176" s="8"/>
      <c r="S176" s="8"/>
      <c r="T176" s="8"/>
      <c r="U176" s="53"/>
      <c r="V176" s="53"/>
      <c r="W176" s="53"/>
      <c r="X176" s="53"/>
      <c r="Y176" s="53"/>
      <c r="Z176" s="53"/>
      <c r="AA176" s="53"/>
      <c r="AB176" s="53"/>
      <c r="AC176" s="53"/>
      <c r="AD176" s="53"/>
      <c r="AE176" s="53"/>
      <c r="AF176" s="53"/>
      <c r="AG176" s="8"/>
      <c r="AH176" s="8"/>
      <c r="AI176" s="8"/>
      <c r="AJ176" s="8"/>
      <c r="AK176" s="8"/>
      <c r="AL176" s="8"/>
      <c r="AM176" s="8"/>
      <c r="AN176" s="8"/>
      <c r="AO176" s="8"/>
      <c r="AP176" s="8"/>
      <c r="AQ176" s="8"/>
      <c r="AR176" s="8"/>
      <c r="AS176" s="8"/>
      <c r="AT176" s="8"/>
      <c r="AU176" s="8"/>
      <c r="AV176" s="8"/>
      <c r="AW176" s="8"/>
      <c r="AX176" s="8"/>
      <c r="AY176" s="8"/>
      <c r="AZ176" s="8"/>
      <c r="BA176" s="8"/>
      <c r="BB176" s="8"/>
      <c r="BC176" s="8"/>
      <c r="BD176" s="8"/>
      <c r="BE176" s="8"/>
    </row>
    <row r="177" spans="1:57">
      <c r="A177" s="8"/>
      <c r="B177" s="8"/>
      <c r="C177" s="8"/>
      <c r="D177" s="8"/>
      <c r="E177" s="8"/>
      <c r="F177" s="54"/>
      <c r="G177" s="8"/>
      <c r="H177" s="8"/>
      <c r="I177" s="8"/>
      <c r="J177" s="8"/>
      <c r="K177" s="8"/>
      <c r="L177" s="8"/>
      <c r="M177" s="8"/>
      <c r="N177" s="8"/>
      <c r="O177" s="8"/>
      <c r="P177" s="8"/>
      <c r="Q177" s="8"/>
      <c r="R177" s="8"/>
      <c r="S177" s="8"/>
      <c r="T177" s="8"/>
      <c r="U177" s="53"/>
      <c r="V177" s="53"/>
      <c r="W177" s="53"/>
      <c r="X177" s="53"/>
      <c r="Y177" s="53"/>
      <c r="Z177" s="53"/>
      <c r="AA177" s="53"/>
      <c r="AB177" s="53"/>
      <c r="AC177" s="53"/>
      <c r="AD177" s="53"/>
      <c r="AE177" s="53"/>
      <c r="AF177" s="53"/>
      <c r="AG177" s="8"/>
      <c r="AH177" s="8"/>
      <c r="AI177" s="8"/>
      <c r="AJ177" s="8"/>
      <c r="AK177" s="8"/>
      <c r="AL177" s="8"/>
      <c r="AM177" s="8"/>
      <c r="AN177" s="8"/>
      <c r="AO177" s="8"/>
      <c r="AP177" s="8"/>
      <c r="AQ177" s="8"/>
      <c r="AR177" s="8"/>
      <c r="AS177" s="8"/>
      <c r="AT177" s="8"/>
      <c r="AU177" s="8"/>
      <c r="AV177" s="8"/>
      <c r="AW177" s="8"/>
      <c r="AX177" s="8"/>
      <c r="AY177" s="8"/>
      <c r="AZ177" s="8"/>
      <c r="BA177" s="8"/>
      <c r="BB177" s="8"/>
      <c r="BC177" s="8"/>
      <c r="BD177" s="8"/>
      <c r="BE177" s="8"/>
    </row>
    <row r="178" spans="1:57">
      <c r="A178" s="8"/>
      <c r="B178" s="8"/>
      <c r="C178" s="8"/>
      <c r="D178" s="8"/>
      <c r="E178" s="8"/>
      <c r="F178" s="54"/>
      <c r="G178" s="8"/>
      <c r="H178" s="8"/>
      <c r="I178" s="8"/>
      <c r="J178" s="8"/>
      <c r="K178" s="8"/>
      <c r="L178" s="8"/>
      <c r="M178" s="8"/>
      <c r="N178" s="8"/>
      <c r="O178" s="8"/>
      <c r="P178" s="8"/>
      <c r="Q178" s="8"/>
      <c r="R178" s="8"/>
      <c r="S178" s="8"/>
      <c r="T178" s="8"/>
      <c r="U178" s="53"/>
      <c r="V178" s="53"/>
      <c r="W178" s="53"/>
      <c r="X178" s="53"/>
      <c r="Y178" s="53"/>
      <c r="Z178" s="53"/>
      <c r="AA178" s="53"/>
      <c r="AB178" s="53"/>
      <c r="AC178" s="53"/>
      <c r="AD178" s="53"/>
      <c r="AE178" s="53"/>
      <c r="AF178" s="53"/>
      <c r="AG178" s="8"/>
      <c r="AH178" s="8"/>
      <c r="AI178" s="8"/>
      <c r="AJ178" s="8"/>
      <c r="AK178" s="8"/>
      <c r="AL178" s="8"/>
      <c r="AM178" s="8"/>
      <c r="AN178" s="8"/>
      <c r="AO178" s="8"/>
      <c r="AP178" s="8"/>
      <c r="AQ178" s="8"/>
      <c r="AR178" s="8"/>
      <c r="AS178" s="8"/>
      <c r="AT178" s="8"/>
      <c r="AU178" s="8"/>
      <c r="AV178" s="8"/>
      <c r="AW178" s="8"/>
      <c r="AX178" s="8"/>
      <c r="AY178" s="8"/>
      <c r="AZ178" s="8"/>
      <c r="BA178" s="8"/>
      <c r="BB178" s="8"/>
      <c r="BC178" s="8"/>
      <c r="BD178" s="8"/>
      <c r="BE178" s="8"/>
    </row>
    <row r="179" spans="1:57">
      <c r="A179" s="8"/>
      <c r="B179" s="8"/>
      <c r="C179" s="8"/>
      <c r="D179" s="8"/>
      <c r="E179" s="8"/>
      <c r="F179" s="54"/>
      <c r="G179" s="8"/>
      <c r="H179" s="8"/>
      <c r="I179" s="8"/>
      <c r="J179" s="8"/>
      <c r="K179" s="8"/>
      <c r="L179" s="8"/>
      <c r="M179" s="8"/>
      <c r="N179" s="8"/>
      <c r="O179" s="8"/>
      <c r="P179" s="8"/>
      <c r="Q179" s="8"/>
      <c r="R179" s="8"/>
      <c r="S179" s="8"/>
      <c r="T179" s="8"/>
      <c r="U179" s="53"/>
      <c r="V179" s="53"/>
      <c r="W179" s="53"/>
      <c r="X179" s="53"/>
      <c r="Y179" s="53"/>
      <c r="Z179" s="53"/>
      <c r="AA179" s="53"/>
      <c r="AB179" s="53"/>
      <c r="AC179" s="53"/>
      <c r="AD179" s="53"/>
      <c r="AE179" s="53"/>
      <c r="AF179" s="53"/>
      <c r="AG179" s="8"/>
      <c r="AH179" s="8"/>
      <c r="AI179" s="8"/>
      <c r="AJ179" s="8"/>
      <c r="AK179" s="8"/>
      <c r="AL179" s="8"/>
      <c r="AM179" s="8"/>
      <c r="AN179" s="8"/>
      <c r="AO179" s="8"/>
      <c r="AP179" s="8"/>
      <c r="AQ179" s="8"/>
      <c r="AR179" s="8"/>
      <c r="AS179" s="8"/>
      <c r="AT179" s="8"/>
      <c r="AU179" s="8"/>
      <c r="AV179" s="8"/>
      <c r="AW179" s="8"/>
      <c r="AX179" s="8"/>
      <c r="AY179" s="8"/>
      <c r="AZ179" s="8"/>
      <c r="BA179" s="8"/>
      <c r="BB179" s="8"/>
      <c r="BC179" s="8"/>
      <c r="BD179" s="8"/>
      <c r="BE179" s="8"/>
    </row>
    <row r="180" spans="1:57">
      <c r="A180" s="8"/>
      <c r="B180" s="8"/>
      <c r="C180" s="8"/>
      <c r="D180" s="8"/>
      <c r="E180" s="8"/>
      <c r="F180" s="54"/>
      <c r="G180" s="8"/>
      <c r="H180" s="8"/>
      <c r="I180" s="8"/>
      <c r="J180" s="8"/>
      <c r="K180" s="8"/>
      <c r="L180" s="8"/>
      <c r="M180" s="8"/>
      <c r="N180" s="8"/>
      <c r="O180" s="8"/>
      <c r="P180" s="8"/>
      <c r="Q180" s="8"/>
      <c r="R180" s="8"/>
      <c r="S180" s="8"/>
      <c r="T180" s="8"/>
      <c r="U180" s="53"/>
      <c r="V180" s="53"/>
      <c r="W180" s="53"/>
      <c r="X180" s="53"/>
      <c r="Y180" s="53"/>
      <c r="Z180" s="53"/>
      <c r="AA180" s="53"/>
      <c r="AB180" s="53"/>
      <c r="AC180" s="53"/>
      <c r="AD180" s="53"/>
      <c r="AE180" s="53"/>
      <c r="AF180" s="53"/>
      <c r="AG180" s="8"/>
      <c r="AH180" s="8"/>
      <c r="AI180" s="8"/>
      <c r="AJ180" s="8"/>
      <c r="AK180" s="8"/>
      <c r="AL180" s="8"/>
      <c r="AM180" s="8"/>
      <c r="AN180" s="8"/>
      <c r="AO180" s="8"/>
      <c r="AP180" s="8"/>
      <c r="AQ180" s="8"/>
      <c r="AR180" s="8"/>
      <c r="AS180" s="8"/>
      <c r="AT180" s="8"/>
      <c r="AU180" s="8"/>
      <c r="AV180" s="8"/>
      <c r="AW180" s="8"/>
      <c r="AX180" s="8"/>
      <c r="AY180" s="8"/>
      <c r="AZ180" s="8"/>
      <c r="BA180" s="8"/>
      <c r="BB180" s="8"/>
      <c r="BC180" s="8"/>
      <c r="BD180" s="8"/>
      <c r="BE180" s="8"/>
    </row>
    <row r="181" spans="1:57">
      <c r="A181" s="8"/>
      <c r="B181" s="8"/>
      <c r="C181" s="8"/>
      <c r="D181" s="8"/>
      <c r="E181" s="8"/>
      <c r="F181" s="54"/>
      <c r="G181" s="8"/>
      <c r="H181" s="8"/>
      <c r="I181" s="8"/>
      <c r="J181" s="8"/>
      <c r="K181" s="8"/>
      <c r="L181" s="8"/>
      <c r="M181" s="8"/>
      <c r="N181" s="8"/>
      <c r="O181" s="8"/>
      <c r="P181" s="8"/>
      <c r="Q181" s="8"/>
      <c r="R181" s="8"/>
      <c r="S181" s="8"/>
      <c r="T181" s="8"/>
      <c r="U181" s="53"/>
      <c r="V181" s="53"/>
      <c r="W181" s="53"/>
      <c r="X181" s="53"/>
      <c r="Y181" s="53"/>
      <c r="Z181" s="53"/>
      <c r="AA181" s="53"/>
      <c r="AB181" s="53"/>
      <c r="AC181" s="53"/>
      <c r="AD181" s="53"/>
      <c r="AE181" s="53"/>
      <c r="AF181" s="53"/>
      <c r="AG181" s="8"/>
      <c r="AH181" s="8"/>
      <c r="AI181" s="8"/>
      <c r="AJ181" s="8"/>
      <c r="AK181" s="8"/>
      <c r="AL181" s="8"/>
      <c r="AM181" s="8"/>
      <c r="AN181" s="8"/>
      <c r="AO181" s="8"/>
      <c r="AP181" s="8"/>
      <c r="AQ181" s="8"/>
      <c r="AR181" s="8"/>
      <c r="AS181" s="8"/>
      <c r="AT181" s="8"/>
      <c r="AU181" s="8"/>
      <c r="AV181" s="8"/>
      <c r="AW181" s="8"/>
      <c r="AX181" s="8"/>
      <c r="AY181" s="8"/>
      <c r="AZ181" s="8"/>
      <c r="BA181" s="8"/>
      <c r="BB181" s="8"/>
      <c r="BC181" s="8"/>
      <c r="BD181" s="8"/>
      <c r="BE181" s="8"/>
    </row>
    <row r="182" spans="1:57">
      <c r="A182" s="8"/>
      <c r="B182" s="8"/>
      <c r="C182" s="8"/>
      <c r="D182" s="8"/>
      <c r="E182" s="8"/>
      <c r="F182" s="54"/>
      <c r="G182" s="8"/>
      <c r="H182" s="8"/>
      <c r="I182" s="8"/>
      <c r="J182" s="8"/>
      <c r="K182" s="8"/>
      <c r="L182" s="8"/>
      <c r="M182" s="8"/>
      <c r="N182" s="8"/>
      <c r="O182" s="8"/>
      <c r="P182" s="8"/>
      <c r="Q182" s="8"/>
      <c r="R182" s="8"/>
      <c r="S182" s="8"/>
      <c r="T182" s="8"/>
      <c r="U182" s="53"/>
      <c r="V182" s="53"/>
      <c r="W182" s="53"/>
      <c r="X182" s="53"/>
      <c r="Y182" s="53"/>
      <c r="Z182" s="53"/>
      <c r="AA182" s="53"/>
      <c r="AB182" s="53"/>
      <c r="AC182" s="53"/>
      <c r="AD182" s="53"/>
      <c r="AE182" s="53"/>
      <c r="AF182" s="53"/>
      <c r="AG182" s="8"/>
      <c r="AH182" s="8"/>
      <c r="AI182" s="8"/>
      <c r="AJ182" s="8"/>
      <c r="AK182" s="8"/>
      <c r="AL182" s="8"/>
      <c r="AM182" s="8"/>
      <c r="AN182" s="8"/>
      <c r="AO182" s="8"/>
      <c r="AP182" s="8"/>
      <c r="AQ182" s="8"/>
      <c r="AR182" s="8"/>
      <c r="AS182" s="8"/>
      <c r="AT182" s="8"/>
      <c r="AU182" s="8"/>
      <c r="AV182" s="8"/>
      <c r="AW182" s="8"/>
      <c r="AX182" s="8"/>
      <c r="AY182" s="8"/>
      <c r="AZ182" s="8"/>
      <c r="BA182" s="8"/>
      <c r="BB182" s="8"/>
      <c r="BC182" s="8"/>
      <c r="BD182" s="8"/>
      <c r="BE182" s="8"/>
    </row>
    <row r="183" spans="1:57">
      <c r="A183" s="8"/>
      <c r="B183" s="8"/>
      <c r="C183" s="8"/>
      <c r="D183" s="8"/>
      <c r="E183" s="8"/>
      <c r="F183" s="54"/>
      <c r="G183" s="8"/>
      <c r="H183" s="8"/>
      <c r="I183" s="8"/>
      <c r="J183" s="8"/>
      <c r="K183" s="8"/>
      <c r="L183" s="8"/>
      <c r="M183" s="8"/>
      <c r="N183" s="8"/>
      <c r="O183" s="8"/>
      <c r="P183" s="8"/>
      <c r="Q183" s="8"/>
      <c r="R183" s="8"/>
      <c r="S183" s="8"/>
      <c r="T183" s="8"/>
      <c r="U183" s="53"/>
      <c r="V183" s="53"/>
      <c r="W183" s="53"/>
      <c r="X183" s="53"/>
      <c r="Y183" s="53"/>
      <c r="Z183" s="53"/>
      <c r="AA183" s="53"/>
      <c r="AB183" s="53"/>
      <c r="AC183" s="53"/>
      <c r="AD183" s="53"/>
      <c r="AE183" s="53"/>
      <c r="AF183" s="53"/>
      <c r="AG183" s="8"/>
      <c r="AH183" s="8"/>
      <c r="AI183" s="8"/>
      <c r="AJ183" s="8"/>
      <c r="AK183" s="8"/>
      <c r="AL183" s="8"/>
      <c r="AM183" s="8"/>
      <c r="AN183" s="8"/>
      <c r="AO183" s="8"/>
      <c r="AP183" s="8"/>
      <c r="AQ183" s="8"/>
      <c r="AR183" s="8"/>
      <c r="AS183" s="8"/>
      <c r="AT183" s="8"/>
      <c r="AU183" s="8"/>
      <c r="AV183" s="8"/>
      <c r="AW183" s="8"/>
      <c r="AX183" s="8"/>
      <c r="AY183" s="8"/>
      <c r="AZ183" s="8"/>
      <c r="BA183" s="8"/>
      <c r="BB183" s="8"/>
      <c r="BC183" s="8"/>
      <c r="BD183" s="8"/>
      <c r="BE183" s="8"/>
    </row>
    <row r="184" spans="1:57">
      <c r="A184" s="8"/>
      <c r="B184" s="8"/>
      <c r="C184" s="8"/>
      <c r="D184" s="8"/>
      <c r="E184" s="8"/>
      <c r="F184" s="54"/>
      <c r="G184" s="8"/>
      <c r="H184" s="8"/>
      <c r="I184" s="8"/>
      <c r="J184" s="8"/>
      <c r="K184" s="8"/>
      <c r="L184" s="8"/>
      <c r="M184" s="8"/>
      <c r="N184" s="8"/>
      <c r="O184" s="8"/>
      <c r="P184" s="8"/>
      <c r="Q184" s="8"/>
      <c r="R184" s="8"/>
      <c r="S184" s="8"/>
      <c r="T184" s="8"/>
      <c r="U184" s="53"/>
      <c r="V184" s="53"/>
      <c r="W184" s="53"/>
      <c r="X184" s="53"/>
      <c r="Y184" s="53"/>
      <c r="Z184" s="53"/>
      <c r="AA184" s="53"/>
      <c r="AB184" s="53"/>
      <c r="AC184" s="53"/>
      <c r="AD184" s="53"/>
      <c r="AE184" s="53"/>
      <c r="AF184" s="53"/>
      <c r="AG184" s="8"/>
      <c r="AH184" s="8"/>
      <c r="AI184" s="8"/>
      <c r="AJ184" s="8"/>
      <c r="AK184" s="8"/>
      <c r="AL184" s="8"/>
      <c r="AM184" s="8"/>
      <c r="AN184" s="8"/>
      <c r="AO184" s="8"/>
      <c r="AP184" s="8"/>
      <c r="AQ184" s="8"/>
      <c r="AR184" s="8"/>
      <c r="AS184" s="8"/>
      <c r="AT184" s="8"/>
      <c r="AU184" s="8"/>
      <c r="AV184" s="8"/>
      <c r="AW184" s="8"/>
      <c r="AX184" s="8"/>
      <c r="AY184" s="8"/>
      <c r="AZ184" s="8"/>
      <c r="BA184" s="8"/>
      <c r="BB184" s="8"/>
      <c r="BC184" s="8"/>
      <c r="BD184" s="8"/>
      <c r="BE184" s="8"/>
    </row>
    <row r="185" spans="1:57">
      <c r="A185" s="8"/>
      <c r="B185" s="8"/>
      <c r="C185" s="8"/>
      <c r="D185" s="8"/>
      <c r="E185" s="8"/>
      <c r="F185" s="54"/>
      <c r="G185" s="8"/>
      <c r="H185" s="8"/>
      <c r="I185" s="8"/>
      <c r="J185" s="8"/>
      <c r="K185" s="8"/>
      <c r="L185" s="8"/>
      <c r="M185" s="8"/>
      <c r="N185" s="8"/>
      <c r="O185" s="8"/>
      <c r="P185" s="8"/>
      <c r="Q185" s="8"/>
      <c r="R185" s="8"/>
      <c r="S185" s="8"/>
      <c r="T185" s="8"/>
      <c r="U185" s="53"/>
      <c r="V185" s="53"/>
      <c r="W185" s="53"/>
      <c r="X185" s="53"/>
      <c r="Y185" s="53"/>
      <c r="Z185" s="53"/>
      <c r="AA185" s="53"/>
      <c r="AB185" s="53"/>
      <c r="AC185" s="53"/>
      <c r="AD185" s="53"/>
      <c r="AE185" s="53"/>
      <c r="AF185" s="53"/>
      <c r="AG185" s="8"/>
      <c r="AH185" s="8"/>
      <c r="AI185" s="8"/>
      <c r="AJ185" s="8"/>
      <c r="AK185" s="8"/>
      <c r="AL185" s="8"/>
      <c r="AM185" s="8"/>
      <c r="AN185" s="8"/>
      <c r="AO185" s="8"/>
      <c r="AP185" s="8"/>
      <c r="AQ185" s="8"/>
      <c r="AR185" s="8"/>
      <c r="AS185" s="8"/>
      <c r="AT185" s="8"/>
      <c r="AU185" s="8"/>
      <c r="AV185" s="8"/>
      <c r="AW185" s="8"/>
      <c r="AX185" s="8"/>
      <c r="AY185" s="8"/>
      <c r="AZ185" s="8"/>
      <c r="BA185" s="8"/>
      <c r="BB185" s="8"/>
      <c r="BC185" s="8"/>
      <c r="BD185" s="8"/>
      <c r="BE185" s="8"/>
    </row>
    <row r="186" spans="1:57">
      <c r="A186" s="8"/>
      <c r="B186" s="8"/>
      <c r="C186" s="8"/>
      <c r="D186" s="8"/>
      <c r="E186" s="8"/>
      <c r="F186" s="54"/>
      <c r="G186" s="8"/>
      <c r="H186" s="8"/>
      <c r="I186" s="8"/>
      <c r="J186" s="8"/>
      <c r="K186" s="8"/>
      <c r="L186" s="8"/>
      <c r="M186" s="8"/>
      <c r="N186" s="8"/>
      <c r="O186" s="8"/>
      <c r="P186" s="8"/>
      <c r="Q186" s="8"/>
      <c r="R186" s="8"/>
      <c r="S186" s="8"/>
      <c r="T186" s="8"/>
      <c r="U186" s="53"/>
      <c r="V186" s="53"/>
      <c r="W186" s="53"/>
      <c r="X186" s="53"/>
      <c r="Y186" s="53"/>
      <c r="Z186" s="53"/>
      <c r="AA186" s="53"/>
      <c r="AB186" s="53"/>
      <c r="AC186" s="53"/>
      <c r="AD186" s="53"/>
      <c r="AE186" s="53"/>
      <c r="AF186" s="53"/>
      <c r="AG186" s="8"/>
      <c r="AH186" s="8"/>
      <c r="AI186" s="8"/>
      <c r="AJ186" s="8"/>
      <c r="AK186" s="8"/>
      <c r="AL186" s="8"/>
      <c r="AM186" s="8"/>
      <c r="AN186" s="8"/>
      <c r="AO186" s="8"/>
      <c r="AP186" s="8"/>
      <c r="AQ186" s="8"/>
      <c r="AR186" s="8"/>
      <c r="AS186" s="8"/>
      <c r="AT186" s="8"/>
      <c r="AU186" s="8"/>
      <c r="AV186" s="8"/>
      <c r="AW186" s="8"/>
      <c r="AX186" s="8"/>
      <c r="AY186" s="8"/>
      <c r="AZ186" s="8"/>
      <c r="BA186" s="8"/>
      <c r="BB186" s="8"/>
      <c r="BC186" s="8"/>
      <c r="BD186" s="8"/>
      <c r="BE186" s="8"/>
    </row>
    <row r="187" spans="1:57">
      <c r="A187" s="8"/>
      <c r="B187" s="8"/>
      <c r="C187" s="8"/>
      <c r="D187" s="8"/>
      <c r="E187" s="8"/>
      <c r="F187" s="54"/>
      <c r="G187" s="8"/>
      <c r="H187" s="8"/>
      <c r="I187" s="8"/>
      <c r="J187" s="8"/>
      <c r="K187" s="8"/>
      <c r="L187" s="8"/>
      <c r="M187" s="8"/>
      <c r="N187" s="8"/>
      <c r="O187" s="8"/>
      <c r="P187" s="8"/>
      <c r="Q187" s="8"/>
      <c r="R187" s="8"/>
      <c r="S187" s="8"/>
      <c r="T187" s="8"/>
      <c r="U187" s="53"/>
      <c r="V187" s="53"/>
      <c r="W187" s="53"/>
      <c r="X187" s="53"/>
      <c r="Y187" s="53"/>
      <c r="Z187" s="53"/>
      <c r="AA187" s="53"/>
      <c r="AB187" s="53"/>
      <c r="AC187" s="53"/>
      <c r="AD187" s="53"/>
      <c r="AE187" s="53"/>
      <c r="AF187" s="53"/>
      <c r="AG187" s="8"/>
      <c r="AH187" s="8"/>
      <c r="AI187" s="8"/>
      <c r="AJ187" s="8"/>
      <c r="AK187" s="8"/>
      <c r="AL187" s="8"/>
      <c r="AM187" s="8"/>
      <c r="AN187" s="8"/>
      <c r="AO187" s="8"/>
      <c r="AP187" s="8"/>
      <c r="AQ187" s="8"/>
      <c r="AR187" s="8"/>
      <c r="AS187" s="8"/>
      <c r="AT187" s="8"/>
      <c r="AU187" s="8"/>
      <c r="AV187" s="8"/>
      <c r="AW187" s="8"/>
      <c r="AX187" s="8"/>
      <c r="AY187" s="8"/>
      <c r="AZ187" s="8"/>
      <c r="BA187" s="8"/>
      <c r="BB187" s="8"/>
      <c r="BC187" s="8"/>
      <c r="BD187" s="8"/>
      <c r="BE187" s="8"/>
    </row>
    <row r="188" spans="1:57">
      <c r="A188" s="8"/>
      <c r="B188" s="8"/>
      <c r="C188" s="8"/>
      <c r="D188" s="8"/>
      <c r="E188" s="8"/>
      <c r="F188" s="54"/>
      <c r="G188" s="8"/>
      <c r="H188" s="8"/>
      <c r="I188" s="8"/>
      <c r="J188" s="8"/>
      <c r="K188" s="8"/>
      <c r="L188" s="8"/>
      <c r="M188" s="8"/>
      <c r="N188" s="8"/>
      <c r="O188" s="8"/>
      <c r="P188" s="8"/>
      <c r="Q188" s="8"/>
      <c r="R188" s="8"/>
      <c r="S188" s="8"/>
      <c r="T188" s="8"/>
      <c r="U188" s="53"/>
      <c r="V188" s="53"/>
      <c r="W188" s="53"/>
      <c r="X188" s="53"/>
      <c r="Y188" s="53"/>
      <c r="Z188" s="53"/>
      <c r="AA188" s="53"/>
      <c r="AB188" s="53"/>
      <c r="AC188" s="53"/>
      <c r="AD188" s="53"/>
      <c r="AE188" s="53"/>
      <c r="AF188" s="53"/>
      <c r="AG188" s="8"/>
      <c r="AH188" s="8"/>
      <c r="AI188" s="8"/>
      <c r="AJ188" s="8"/>
      <c r="AK188" s="8"/>
      <c r="AL188" s="8"/>
      <c r="AM188" s="8"/>
      <c r="AN188" s="8"/>
      <c r="AO188" s="8"/>
      <c r="AP188" s="8"/>
      <c r="AQ188" s="8"/>
      <c r="AR188" s="8"/>
      <c r="AS188" s="8"/>
      <c r="AT188" s="8"/>
      <c r="AU188" s="8"/>
      <c r="AV188" s="8"/>
      <c r="AW188" s="8"/>
      <c r="AX188" s="8"/>
      <c r="AY188" s="8"/>
      <c r="AZ188" s="8"/>
      <c r="BA188" s="8"/>
      <c r="BB188" s="8"/>
      <c r="BC188" s="8"/>
      <c r="BD188" s="8"/>
      <c r="BE188" s="8"/>
    </row>
    <row r="189" spans="1:57">
      <c r="A189" s="8"/>
      <c r="B189" s="8"/>
      <c r="C189" s="8"/>
      <c r="D189" s="8"/>
      <c r="E189" s="8"/>
      <c r="F189" s="54"/>
      <c r="G189" s="8"/>
      <c r="H189" s="8"/>
      <c r="I189" s="8"/>
      <c r="J189" s="8"/>
      <c r="K189" s="8"/>
      <c r="L189" s="8"/>
      <c r="M189" s="8"/>
      <c r="N189" s="8"/>
      <c r="O189" s="8"/>
      <c r="P189" s="8"/>
      <c r="Q189" s="8"/>
      <c r="R189" s="8"/>
      <c r="S189" s="8"/>
      <c r="T189" s="8"/>
      <c r="U189" s="53"/>
      <c r="V189" s="53"/>
      <c r="W189" s="53"/>
      <c r="X189" s="53"/>
      <c r="Y189" s="53"/>
      <c r="Z189" s="53"/>
      <c r="AA189" s="53"/>
      <c r="AB189" s="53"/>
      <c r="AC189" s="53"/>
      <c r="AD189" s="53"/>
      <c r="AE189" s="53"/>
      <c r="AF189" s="53"/>
      <c r="AG189" s="8"/>
      <c r="AH189" s="8"/>
      <c r="AI189" s="8"/>
      <c r="AJ189" s="8"/>
      <c r="AK189" s="8"/>
      <c r="AL189" s="8"/>
      <c r="AM189" s="8"/>
      <c r="AN189" s="8"/>
      <c r="AO189" s="8"/>
      <c r="AP189" s="8"/>
      <c r="AQ189" s="8"/>
      <c r="AR189" s="8"/>
      <c r="AS189" s="8"/>
      <c r="AT189" s="8"/>
      <c r="AU189" s="8"/>
      <c r="AV189" s="8"/>
      <c r="AW189" s="8"/>
      <c r="AX189" s="8"/>
      <c r="AY189" s="8"/>
      <c r="AZ189" s="8"/>
      <c r="BA189" s="8"/>
      <c r="BB189" s="8"/>
      <c r="BC189" s="8"/>
      <c r="BD189" s="8"/>
      <c r="BE189" s="8"/>
    </row>
    <row r="190" spans="1:57">
      <c r="A190" s="8"/>
      <c r="B190" s="8"/>
      <c r="C190" s="8"/>
      <c r="D190" s="8"/>
      <c r="E190" s="8"/>
      <c r="F190" s="54"/>
      <c r="G190" s="8"/>
      <c r="H190" s="8"/>
      <c r="I190" s="8"/>
      <c r="J190" s="8"/>
      <c r="K190" s="8"/>
      <c r="L190" s="8"/>
      <c r="M190" s="8"/>
      <c r="N190" s="8"/>
      <c r="O190" s="8"/>
      <c r="P190" s="8"/>
      <c r="Q190" s="8"/>
      <c r="R190" s="8"/>
      <c r="S190" s="8"/>
      <c r="T190" s="8"/>
      <c r="U190" s="53"/>
      <c r="V190" s="53"/>
      <c r="W190" s="53"/>
      <c r="X190" s="53"/>
      <c r="Y190" s="53"/>
      <c r="Z190" s="53"/>
      <c r="AA190" s="53"/>
      <c r="AB190" s="53"/>
      <c r="AC190" s="53"/>
      <c r="AD190" s="53"/>
      <c r="AE190" s="53"/>
      <c r="AF190" s="53"/>
      <c r="AG190" s="8"/>
      <c r="AH190" s="8"/>
      <c r="AI190" s="8"/>
      <c r="AJ190" s="8"/>
      <c r="AK190" s="8"/>
      <c r="AL190" s="8"/>
      <c r="AM190" s="8"/>
      <c r="AN190" s="8"/>
      <c r="AO190" s="8"/>
      <c r="AP190" s="8"/>
      <c r="AQ190" s="8"/>
      <c r="AR190" s="8"/>
      <c r="AS190" s="8"/>
      <c r="AT190" s="8"/>
      <c r="AU190" s="8"/>
      <c r="AV190" s="8"/>
      <c r="AW190" s="8"/>
      <c r="AX190" s="8"/>
      <c r="AY190" s="8"/>
      <c r="AZ190" s="8"/>
      <c r="BA190" s="8"/>
      <c r="BB190" s="8"/>
      <c r="BC190" s="8"/>
      <c r="BD190" s="8"/>
      <c r="BE190" s="8"/>
    </row>
    <row r="191" spans="1:57">
      <c r="A191" s="8"/>
      <c r="B191" s="8"/>
      <c r="C191" s="8"/>
      <c r="D191" s="8"/>
      <c r="E191" s="8"/>
      <c r="F191" s="54"/>
      <c r="G191" s="8"/>
      <c r="H191" s="8"/>
      <c r="I191" s="8"/>
      <c r="J191" s="8"/>
      <c r="K191" s="8"/>
      <c r="L191" s="8"/>
      <c r="M191" s="8"/>
      <c r="N191" s="8"/>
      <c r="O191" s="8"/>
      <c r="P191" s="8"/>
      <c r="Q191" s="8"/>
      <c r="R191" s="8"/>
      <c r="S191" s="8"/>
      <c r="T191" s="8"/>
      <c r="U191" s="53"/>
      <c r="V191" s="53"/>
      <c r="W191" s="53"/>
      <c r="X191" s="53"/>
      <c r="Y191" s="53"/>
      <c r="Z191" s="53"/>
      <c r="AA191" s="53"/>
      <c r="AB191" s="53"/>
      <c r="AC191" s="53"/>
      <c r="AD191" s="53"/>
      <c r="AE191" s="53"/>
      <c r="AF191" s="53"/>
      <c r="AG191" s="8"/>
      <c r="AH191" s="8"/>
      <c r="AI191" s="8"/>
      <c r="AJ191" s="8"/>
      <c r="AK191" s="8"/>
      <c r="AL191" s="8"/>
      <c r="AM191" s="8"/>
      <c r="AN191" s="8"/>
      <c r="AO191" s="8"/>
      <c r="AP191" s="8"/>
      <c r="AQ191" s="8"/>
      <c r="AR191" s="8"/>
      <c r="AS191" s="8"/>
      <c r="AT191" s="8"/>
      <c r="AU191" s="8"/>
      <c r="AV191" s="8"/>
      <c r="AW191" s="8"/>
      <c r="AX191" s="8"/>
      <c r="AY191" s="8"/>
      <c r="AZ191" s="8"/>
      <c r="BA191" s="8"/>
      <c r="BB191" s="8"/>
      <c r="BC191" s="8"/>
      <c r="BD191" s="8"/>
      <c r="BE191" s="8"/>
    </row>
    <row r="192" spans="1:57">
      <c r="A192" s="8"/>
      <c r="B192" s="8"/>
      <c r="C192" s="8"/>
      <c r="D192" s="8"/>
      <c r="E192" s="8"/>
      <c r="F192" s="54"/>
      <c r="G192" s="8"/>
      <c r="H192" s="8"/>
      <c r="I192" s="8"/>
      <c r="J192" s="8"/>
      <c r="K192" s="8"/>
      <c r="L192" s="8"/>
      <c r="M192" s="8"/>
      <c r="N192" s="8"/>
      <c r="O192" s="8"/>
      <c r="P192" s="8"/>
      <c r="Q192" s="8"/>
      <c r="R192" s="8"/>
      <c r="S192" s="8"/>
      <c r="T192" s="8"/>
      <c r="U192" s="53"/>
      <c r="V192" s="53"/>
      <c r="W192" s="53"/>
      <c r="X192" s="53"/>
      <c r="Y192" s="53"/>
      <c r="Z192" s="53"/>
      <c r="AA192" s="53"/>
      <c r="AB192" s="53"/>
      <c r="AC192" s="53"/>
      <c r="AD192" s="53"/>
      <c r="AE192" s="53"/>
      <c r="AF192" s="53"/>
      <c r="AG192" s="8"/>
      <c r="AH192" s="8"/>
      <c r="AI192" s="8"/>
      <c r="AJ192" s="8"/>
      <c r="AK192" s="8"/>
      <c r="AL192" s="8"/>
      <c r="AM192" s="8"/>
      <c r="AN192" s="8"/>
      <c r="AO192" s="8"/>
      <c r="AP192" s="8"/>
      <c r="AQ192" s="8"/>
      <c r="AR192" s="8"/>
      <c r="AS192" s="8"/>
      <c r="AT192" s="8"/>
      <c r="AU192" s="8"/>
      <c r="AV192" s="8"/>
      <c r="AW192" s="8"/>
      <c r="AX192" s="8"/>
      <c r="AY192" s="8"/>
      <c r="AZ192" s="8"/>
      <c r="BA192" s="8"/>
      <c r="BB192" s="8"/>
      <c r="BC192" s="8"/>
      <c r="BD192" s="8"/>
      <c r="BE192" s="8"/>
    </row>
    <row r="193" spans="1:57">
      <c r="A193" s="8"/>
      <c r="B193" s="8"/>
      <c r="C193" s="8"/>
      <c r="D193" s="8"/>
      <c r="E193" s="8"/>
      <c r="F193" s="54"/>
      <c r="G193" s="8"/>
      <c r="H193" s="8"/>
      <c r="I193" s="8"/>
      <c r="J193" s="8"/>
      <c r="K193" s="8"/>
      <c r="L193" s="8"/>
      <c r="M193" s="8"/>
      <c r="N193" s="8"/>
      <c r="O193" s="8"/>
      <c r="P193" s="8"/>
      <c r="Q193" s="8"/>
      <c r="R193" s="8"/>
      <c r="S193" s="8"/>
      <c r="T193" s="8"/>
      <c r="U193" s="53"/>
      <c r="V193" s="53"/>
      <c r="W193" s="53"/>
      <c r="X193" s="53"/>
      <c r="Y193" s="53"/>
      <c r="Z193" s="53"/>
      <c r="AA193" s="53"/>
      <c r="AB193" s="53"/>
      <c r="AC193" s="53"/>
      <c r="AD193" s="53"/>
      <c r="AE193" s="53"/>
      <c r="AF193" s="53"/>
      <c r="AG193" s="8"/>
      <c r="AH193" s="8"/>
      <c r="AI193" s="8"/>
      <c r="AJ193" s="8"/>
      <c r="AK193" s="8"/>
      <c r="AL193" s="8"/>
      <c r="AM193" s="8"/>
      <c r="AN193" s="8"/>
      <c r="AO193" s="8"/>
      <c r="AP193" s="8"/>
      <c r="AQ193" s="8"/>
      <c r="AR193" s="8"/>
      <c r="AS193" s="8"/>
      <c r="AT193" s="8"/>
      <c r="AU193" s="8"/>
      <c r="AV193" s="8"/>
      <c r="AW193" s="8"/>
      <c r="AX193" s="8"/>
      <c r="AY193" s="8"/>
      <c r="AZ193" s="8"/>
      <c r="BA193" s="8"/>
      <c r="BB193" s="8"/>
      <c r="BC193" s="8"/>
      <c r="BD193" s="8"/>
      <c r="BE193" s="8"/>
    </row>
    <row r="194" spans="1:57">
      <c r="A194" s="8"/>
      <c r="B194" s="8"/>
      <c r="C194" s="8"/>
      <c r="D194" s="8"/>
      <c r="E194" s="8"/>
      <c r="F194" s="54"/>
      <c r="G194" s="8"/>
      <c r="H194" s="8"/>
      <c r="I194" s="8"/>
      <c r="J194" s="8"/>
      <c r="K194" s="8"/>
      <c r="L194" s="8"/>
      <c r="M194" s="8"/>
      <c r="N194" s="8"/>
      <c r="O194" s="8"/>
      <c r="P194" s="8"/>
      <c r="Q194" s="8"/>
      <c r="R194" s="8"/>
      <c r="S194" s="8"/>
      <c r="T194" s="8"/>
      <c r="U194" s="53"/>
      <c r="V194" s="53"/>
      <c r="W194" s="53"/>
      <c r="X194" s="53"/>
      <c r="Y194" s="53"/>
      <c r="Z194" s="53"/>
      <c r="AA194" s="53"/>
      <c r="AB194" s="53"/>
      <c r="AC194" s="53"/>
      <c r="AD194" s="53"/>
      <c r="AE194" s="53"/>
      <c r="AF194" s="53"/>
      <c r="AG194" s="8"/>
      <c r="AH194" s="8"/>
      <c r="AI194" s="8"/>
      <c r="AJ194" s="8"/>
      <c r="AK194" s="8"/>
      <c r="AL194" s="8"/>
      <c r="AM194" s="8"/>
      <c r="AN194" s="8"/>
      <c r="AO194" s="8"/>
      <c r="AP194" s="8"/>
      <c r="AQ194" s="8"/>
      <c r="AR194" s="8"/>
      <c r="AS194" s="8"/>
      <c r="AT194" s="8"/>
      <c r="AU194" s="8"/>
      <c r="AV194" s="8"/>
      <c r="AW194" s="8"/>
      <c r="AX194" s="8"/>
      <c r="AY194" s="8"/>
      <c r="AZ194" s="8"/>
      <c r="BA194" s="8"/>
      <c r="BB194" s="8"/>
      <c r="BC194" s="8"/>
      <c r="BD194" s="8"/>
      <c r="BE194" s="8"/>
    </row>
    <row r="195" spans="1:57">
      <c r="A195" s="8"/>
      <c r="B195" s="8"/>
      <c r="C195" s="8"/>
      <c r="D195" s="8"/>
      <c r="E195" s="8"/>
      <c r="F195" s="54"/>
      <c r="G195" s="8"/>
      <c r="H195" s="8"/>
      <c r="I195" s="8"/>
      <c r="J195" s="8"/>
      <c r="K195" s="8"/>
      <c r="L195" s="8"/>
      <c r="M195" s="8"/>
      <c r="N195" s="8"/>
      <c r="O195" s="8"/>
      <c r="P195" s="8"/>
      <c r="Q195" s="8"/>
      <c r="R195" s="8"/>
      <c r="S195" s="8"/>
      <c r="T195" s="8"/>
      <c r="U195" s="53"/>
      <c r="V195" s="53"/>
      <c r="W195" s="53"/>
      <c r="X195" s="53"/>
      <c r="Y195" s="53"/>
      <c r="Z195" s="53"/>
      <c r="AA195" s="53"/>
      <c r="AB195" s="53"/>
      <c r="AC195" s="53"/>
      <c r="AD195" s="53"/>
      <c r="AE195" s="53"/>
      <c r="AF195" s="53"/>
      <c r="AG195" s="8"/>
      <c r="AH195" s="8"/>
      <c r="AI195" s="8"/>
      <c r="AJ195" s="8"/>
      <c r="AK195" s="8"/>
      <c r="AL195" s="8"/>
      <c r="AM195" s="8"/>
      <c r="AN195" s="8"/>
      <c r="AO195" s="8"/>
      <c r="AP195" s="8"/>
      <c r="AQ195" s="8"/>
      <c r="AR195" s="8"/>
      <c r="AS195" s="8"/>
      <c r="AT195" s="8"/>
      <c r="AU195" s="8"/>
      <c r="AV195" s="8"/>
      <c r="AW195" s="8"/>
      <c r="AX195" s="8"/>
      <c r="AY195" s="8"/>
      <c r="AZ195" s="8"/>
      <c r="BA195" s="8"/>
      <c r="BB195" s="8"/>
      <c r="BC195" s="8"/>
      <c r="BD195" s="8"/>
      <c r="BE195" s="8"/>
    </row>
    <row r="196" spans="1:57">
      <c r="A196" s="8"/>
      <c r="B196" s="8"/>
      <c r="C196" s="8"/>
      <c r="D196" s="8"/>
      <c r="E196" s="8"/>
      <c r="F196" s="54"/>
      <c r="G196" s="8"/>
      <c r="H196" s="8"/>
      <c r="I196" s="8"/>
      <c r="J196" s="8"/>
      <c r="K196" s="8"/>
      <c r="L196" s="8"/>
      <c r="M196" s="8"/>
      <c r="N196" s="8"/>
      <c r="O196" s="8"/>
      <c r="P196" s="8"/>
      <c r="Q196" s="8"/>
      <c r="R196" s="8"/>
      <c r="S196" s="8"/>
      <c r="T196" s="8"/>
      <c r="U196" s="53"/>
      <c r="V196" s="53"/>
      <c r="W196" s="53"/>
      <c r="X196" s="53"/>
      <c r="Y196" s="53"/>
      <c r="Z196" s="53"/>
      <c r="AA196" s="53"/>
      <c r="AB196" s="53"/>
      <c r="AC196" s="53"/>
      <c r="AD196" s="53"/>
      <c r="AE196" s="53"/>
      <c r="AF196" s="53"/>
      <c r="AG196" s="8"/>
      <c r="AH196" s="8"/>
      <c r="AI196" s="8"/>
      <c r="AJ196" s="8"/>
      <c r="AK196" s="8"/>
      <c r="AL196" s="8"/>
      <c r="AM196" s="8"/>
      <c r="AN196" s="8"/>
      <c r="AO196" s="8"/>
      <c r="AP196" s="8"/>
      <c r="AQ196" s="8"/>
      <c r="AR196" s="8"/>
      <c r="AS196" s="8"/>
      <c r="AT196" s="8"/>
      <c r="AU196" s="8"/>
      <c r="AV196" s="8"/>
      <c r="AW196" s="8"/>
      <c r="AX196" s="8"/>
      <c r="AY196" s="8"/>
      <c r="AZ196" s="8"/>
      <c r="BA196" s="8"/>
      <c r="BB196" s="8"/>
      <c r="BC196" s="8"/>
      <c r="BD196" s="8"/>
      <c r="BE196" s="8"/>
    </row>
    <row r="197" spans="1:57">
      <c r="A197" s="8"/>
      <c r="B197" s="8"/>
      <c r="C197" s="8"/>
      <c r="D197" s="8"/>
      <c r="E197" s="8"/>
      <c r="F197" s="54"/>
      <c r="G197" s="8"/>
      <c r="H197" s="8"/>
      <c r="I197" s="8"/>
      <c r="J197" s="8"/>
      <c r="K197" s="8"/>
      <c r="L197" s="8"/>
      <c r="M197" s="8"/>
      <c r="N197" s="8"/>
      <c r="O197" s="8"/>
      <c r="P197" s="8"/>
      <c r="Q197" s="8"/>
      <c r="R197" s="8"/>
      <c r="S197" s="8"/>
      <c r="T197" s="8"/>
      <c r="U197" s="53"/>
      <c r="V197" s="53"/>
      <c r="W197" s="53"/>
      <c r="X197" s="53"/>
      <c r="Y197" s="53"/>
      <c r="Z197" s="53"/>
      <c r="AA197" s="53"/>
      <c r="AB197" s="53"/>
      <c r="AC197" s="53"/>
      <c r="AD197" s="53"/>
      <c r="AE197" s="53"/>
      <c r="AF197" s="53"/>
      <c r="AG197" s="8"/>
      <c r="AH197" s="8"/>
      <c r="AI197" s="8"/>
      <c r="AJ197" s="8"/>
      <c r="AK197" s="8"/>
      <c r="AL197" s="8"/>
      <c r="AM197" s="8"/>
      <c r="AN197" s="8"/>
      <c r="AO197" s="8"/>
      <c r="AP197" s="8"/>
      <c r="AQ197" s="8"/>
      <c r="AR197" s="8"/>
      <c r="AS197" s="8"/>
      <c r="AT197" s="8"/>
      <c r="AU197" s="8"/>
      <c r="AV197" s="8"/>
      <c r="AW197" s="8"/>
      <c r="AX197" s="8"/>
      <c r="AY197" s="8"/>
      <c r="AZ197" s="8"/>
      <c r="BA197" s="8"/>
      <c r="BB197" s="8"/>
      <c r="BC197" s="8"/>
      <c r="BD197" s="8"/>
      <c r="BE197" s="8"/>
    </row>
    <row r="198" spans="1:57">
      <c r="A198" s="8"/>
      <c r="B198" s="8"/>
      <c r="C198" s="8"/>
      <c r="D198" s="8"/>
      <c r="E198" s="8"/>
      <c r="F198" s="54"/>
      <c r="G198" s="8"/>
      <c r="H198" s="8"/>
      <c r="I198" s="8"/>
      <c r="J198" s="8"/>
      <c r="K198" s="8"/>
      <c r="L198" s="8"/>
      <c r="M198" s="8"/>
      <c r="N198" s="8"/>
      <c r="O198" s="8"/>
      <c r="P198" s="8"/>
      <c r="Q198" s="8"/>
      <c r="R198" s="8"/>
      <c r="S198" s="8"/>
      <c r="T198" s="8"/>
      <c r="U198" s="53"/>
      <c r="V198" s="53"/>
      <c r="W198" s="53"/>
      <c r="X198" s="53"/>
      <c r="Y198" s="53"/>
      <c r="Z198" s="53"/>
      <c r="AA198" s="53"/>
      <c r="AB198" s="53"/>
      <c r="AC198" s="53"/>
      <c r="AD198" s="53"/>
      <c r="AE198" s="53"/>
      <c r="AF198" s="53"/>
      <c r="AG198" s="8"/>
      <c r="AH198" s="8"/>
      <c r="AI198" s="8"/>
      <c r="AJ198" s="8"/>
      <c r="AK198" s="8"/>
      <c r="AL198" s="8"/>
      <c r="AM198" s="8"/>
      <c r="AN198" s="8"/>
      <c r="AO198" s="8"/>
      <c r="AP198" s="8"/>
      <c r="AQ198" s="8"/>
      <c r="AR198" s="8"/>
      <c r="AS198" s="8"/>
      <c r="AT198" s="8"/>
      <c r="AU198" s="8"/>
      <c r="AV198" s="8"/>
      <c r="AW198" s="8"/>
      <c r="AX198" s="8"/>
      <c r="AY198" s="8"/>
      <c r="AZ198" s="8"/>
      <c r="BA198" s="8"/>
      <c r="BB198" s="8"/>
      <c r="BC198" s="8"/>
      <c r="BD198" s="8"/>
      <c r="BE198" s="8"/>
    </row>
    <row r="199" spans="1:57">
      <c r="A199" s="8"/>
      <c r="B199" s="8"/>
      <c r="C199" s="8"/>
      <c r="D199" s="8"/>
      <c r="E199" s="8"/>
      <c r="F199" s="54"/>
      <c r="G199" s="8"/>
      <c r="H199" s="8"/>
      <c r="I199" s="8"/>
      <c r="J199" s="8"/>
      <c r="K199" s="8"/>
      <c r="L199" s="8"/>
      <c r="M199" s="8"/>
      <c r="N199" s="8"/>
      <c r="O199" s="8"/>
      <c r="P199" s="8"/>
      <c r="Q199" s="8"/>
      <c r="R199" s="8"/>
      <c r="S199" s="8"/>
      <c r="T199" s="8"/>
      <c r="U199" s="53"/>
      <c r="V199" s="53"/>
      <c r="W199" s="53"/>
      <c r="X199" s="53"/>
      <c r="Y199" s="53"/>
      <c r="Z199" s="53"/>
      <c r="AA199" s="53"/>
      <c r="AB199" s="53"/>
      <c r="AC199" s="53"/>
      <c r="AD199" s="53"/>
      <c r="AE199" s="53"/>
      <c r="AF199" s="53"/>
      <c r="AG199" s="8"/>
      <c r="AH199" s="8"/>
      <c r="AI199" s="8"/>
      <c r="AJ199" s="8"/>
      <c r="AK199" s="8"/>
      <c r="AL199" s="8"/>
      <c r="AM199" s="8"/>
      <c r="AN199" s="8"/>
      <c r="AO199" s="8"/>
      <c r="AP199" s="8"/>
      <c r="AQ199" s="8"/>
      <c r="AR199" s="8"/>
      <c r="AS199" s="8"/>
      <c r="AT199" s="8"/>
      <c r="AU199" s="8"/>
      <c r="AV199" s="8"/>
      <c r="AW199" s="8"/>
      <c r="AX199" s="8"/>
      <c r="AY199" s="8"/>
      <c r="AZ199" s="8"/>
      <c r="BA199" s="8"/>
      <c r="BB199" s="8"/>
      <c r="BC199" s="8"/>
      <c r="BD199" s="8"/>
      <c r="BE199" s="8"/>
    </row>
    <row r="200" spans="1:57">
      <c r="A200" s="8"/>
      <c r="B200" s="8"/>
      <c r="C200" s="8"/>
      <c r="D200" s="8"/>
      <c r="E200" s="8"/>
      <c r="F200" s="54"/>
      <c r="G200" s="8"/>
      <c r="H200" s="8"/>
      <c r="I200" s="8"/>
      <c r="J200" s="8"/>
      <c r="K200" s="8"/>
      <c r="L200" s="8"/>
      <c r="M200" s="8"/>
      <c r="N200" s="8"/>
      <c r="O200" s="8"/>
      <c r="P200" s="8"/>
      <c r="Q200" s="8"/>
      <c r="R200" s="8"/>
      <c r="S200" s="8"/>
      <c r="T200" s="8"/>
      <c r="U200" s="53"/>
      <c r="V200" s="53"/>
      <c r="W200" s="53"/>
      <c r="X200" s="53"/>
      <c r="Y200" s="53"/>
      <c r="Z200" s="53"/>
      <c r="AA200" s="53"/>
      <c r="AB200" s="53"/>
      <c r="AC200" s="53"/>
      <c r="AD200" s="53"/>
      <c r="AE200" s="53"/>
      <c r="AF200" s="53"/>
      <c r="AG200" s="8"/>
      <c r="AH200" s="8"/>
      <c r="AI200" s="8"/>
      <c r="AJ200" s="8"/>
      <c r="AK200" s="8"/>
      <c r="AL200" s="8"/>
      <c r="AM200" s="8"/>
      <c r="AN200" s="8"/>
      <c r="AO200" s="8"/>
      <c r="AP200" s="8"/>
      <c r="AQ200" s="8"/>
      <c r="AR200" s="8"/>
      <c r="AS200" s="8"/>
      <c r="AT200" s="8"/>
      <c r="AU200" s="8"/>
      <c r="AV200" s="8"/>
      <c r="AW200" s="8"/>
      <c r="AX200" s="8"/>
      <c r="AY200" s="8"/>
      <c r="AZ200" s="8"/>
      <c r="BA200" s="8"/>
      <c r="BB200" s="8"/>
      <c r="BC200" s="8"/>
      <c r="BD200" s="8"/>
      <c r="BE200" s="8"/>
    </row>
    <row r="201" spans="1:57">
      <c r="A201" s="8"/>
      <c r="B201" s="8"/>
      <c r="C201" s="8"/>
      <c r="D201" s="8"/>
      <c r="E201" s="8"/>
      <c r="F201" s="54"/>
      <c r="G201" s="8"/>
      <c r="H201" s="8"/>
      <c r="I201" s="8"/>
      <c r="J201" s="8"/>
      <c r="K201" s="8"/>
      <c r="L201" s="8"/>
      <c r="M201" s="8"/>
      <c r="N201" s="8"/>
      <c r="O201" s="8"/>
      <c r="P201" s="8"/>
      <c r="Q201" s="8"/>
      <c r="R201" s="8"/>
      <c r="S201" s="8"/>
      <c r="T201" s="8"/>
      <c r="U201" s="53"/>
      <c r="V201" s="53"/>
      <c r="W201" s="53"/>
      <c r="X201" s="53"/>
      <c r="Y201" s="53"/>
      <c r="Z201" s="53"/>
      <c r="AA201" s="53"/>
      <c r="AB201" s="53"/>
      <c r="AC201" s="53"/>
      <c r="AD201" s="53"/>
      <c r="AE201" s="53"/>
      <c r="AF201" s="53"/>
      <c r="AG201" s="8"/>
      <c r="AH201" s="8"/>
      <c r="AI201" s="8"/>
      <c r="AJ201" s="8"/>
      <c r="AK201" s="8"/>
      <c r="AL201" s="8"/>
      <c r="AM201" s="8"/>
      <c r="AN201" s="8"/>
      <c r="AO201" s="8"/>
      <c r="AP201" s="8"/>
      <c r="AQ201" s="8"/>
      <c r="AR201" s="8"/>
      <c r="AS201" s="8"/>
      <c r="AT201" s="8"/>
      <c r="AU201" s="8"/>
      <c r="AV201" s="8"/>
      <c r="AW201" s="8"/>
      <c r="AX201" s="8"/>
      <c r="AY201" s="8"/>
      <c r="AZ201" s="8"/>
      <c r="BA201" s="8"/>
      <c r="BB201" s="8"/>
      <c r="BC201" s="8"/>
      <c r="BD201" s="8"/>
      <c r="BE201" s="8"/>
    </row>
    <row r="202" spans="1:57">
      <c r="A202" s="8"/>
      <c r="B202" s="8"/>
      <c r="C202" s="8"/>
      <c r="D202" s="8"/>
      <c r="E202" s="8"/>
      <c r="F202" s="54"/>
      <c r="G202" s="8"/>
      <c r="H202" s="8"/>
      <c r="I202" s="8"/>
      <c r="J202" s="8"/>
      <c r="K202" s="8"/>
      <c r="L202" s="8"/>
      <c r="M202" s="8"/>
      <c r="N202" s="8"/>
      <c r="O202" s="8"/>
      <c r="P202" s="8"/>
      <c r="Q202" s="8"/>
      <c r="R202" s="8"/>
      <c r="S202" s="8"/>
      <c r="T202" s="8"/>
      <c r="U202" s="53"/>
      <c r="V202" s="53"/>
      <c r="W202" s="53"/>
      <c r="X202" s="53"/>
      <c r="Y202" s="53"/>
      <c r="Z202" s="53"/>
      <c r="AA202" s="53"/>
      <c r="AB202" s="53"/>
      <c r="AC202" s="53"/>
      <c r="AD202" s="53"/>
      <c r="AE202" s="53"/>
      <c r="AF202" s="53"/>
      <c r="AG202" s="8"/>
      <c r="AH202" s="8"/>
      <c r="AI202" s="8"/>
      <c r="AJ202" s="8"/>
      <c r="AK202" s="8"/>
      <c r="AL202" s="8"/>
      <c r="AM202" s="8"/>
      <c r="AN202" s="8"/>
      <c r="AO202" s="8"/>
      <c r="AP202" s="8"/>
      <c r="AQ202" s="8"/>
      <c r="AR202" s="8"/>
      <c r="AS202" s="8"/>
      <c r="AT202" s="8"/>
      <c r="AU202" s="8"/>
      <c r="AV202" s="8"/>
      <c r="AW202" s="8"/>
      <c r="AX202" s="8"/>
      <c r="AY202" s="8"/>
      <c r="AZ202" s="8"/>
      <c r="BA202" s="8"/>
      <c r="BB202" s="8"/>
      <c r="BC202" s="8"/>
      <c r="BD202" s="8"/>
      <c r="BE202" s="8"/>
    </row>
    <row r="203" spans="1:57">
      <c r="A203" s="8"/>
      <c r="B203" s="8"/>
      <c r="C203" s="8"/>
      <c r="D203" s="8"/>
      <c r="E203" s="8"/>
      <c r="F203" s="54"/>
      <c r="G203" s="8"/>
      <c r="H203" s="8"/>
      <c r="I203" s="8"/>
      <c r="J203" s="8"/>
      <c r="K203" s="8"/>
      <c r="L203" s="8"/>
      <c r="M203" s="8"/>
      <c r="N203" s="8"/>
      <c r="O203" s="8"/>
      <c r="P203" s="8"/>
      <c r="Q203" s="8"/>
      <c r="R203" s="8"/>
      <c r="S203" s="8"/>
      <c r="T203" s="8"/>
      <c r="U203" s="53"/>
      <c r="V203" s="53"/>
      <c r="W203" s="53"/>
      <c r="X203" s="53"/>
      <c r="Y203" s="53"/>
      <c r="Z203" s="53"/>
      <c r="AA203" s="53"/>
      <c r="AB203" s="53"/>
      <c r="AC203" s="53"/>
      <c r="AD203" s="53"/>
      <c r="AE203" s="53"/>
      <c r="AF203" s="53"/>
      <c r="AG203" s="8"/>
      <c r="AH203" s="8"/>
      <c r="AI203" s="8"/>
      <c r="AJ203" s="8"/>
      <c r="AK203" s="8"/>
      <c r="AL203" s="8"/>
      <c r="AM203" s="8"/>
      <c r="AN203" s="8"/>
      <c r="AO203" s="8"/>
      <c r="AP203" s="8"/>
      <c r="AQ203" s="8"/>
      <c r="AR203" s="8"/>
      <c r="AS203" s="8"/>
      <c r="AT203" s="8"/>
      <c r="AU203" s="8"/>
      <c r="AV203" s="8"/>
      <c r="AW203" s="8"/>
      <c r="AX203" s="8"/>
      <c r="AY203" s="8"/>
      <c r="AZ203" s="8"/>
      <c r="BA203" s="8"/>
      <c r="BB203" s="8"/>
      <c r="BC203" s="8"/>
      <c r="BD203" s="8"/>
      <c r="BE203" s="8"/>
    </row>
    <row r="204" spans="1:57">
      <c r="A204" s="8"/>
      <c r="B204" s="8"/>
      <c r="C204" s="8"/>
      <c r="D204" s="8"/>
      <c r="E204" s="8"/>
      <c r="F204" s="54"/>
      <c r="G204" s="8"/>
      <c r="H204" s="8"/>
      <c r="I204" s="8"/>
      <c r="J204" s="8"/>
      <c r="K204" s="8"/>
      <c r="L204" s="8"/>
      <c r="M204" s="8"/>
      <c r="N204" s="8"/>
      <c r="O204" s="8"/>
      <c r="P204" s="8"/>
      <c r="Q204" s="8"/>
      <c r="R204" s="8"/>
      <c r="S204" s="8"/>
      <c r="T204" s="8"/>
      <c r="U204" s="53"/>
      <c r="V204" s="53"/>
      <c r="W204" s="53"/>
      <c r="X204" s="53"/>
      <c r="Y204" s="53"/>
      <c r="Z204" s="53"/>
      <c r="AA204" s="53"/>
      <c r="AB204" s="53"/>
      <c r="AC204" s="53"/>
      <c r="AD204" s="53"/>
      <c r="AE204" s="53"/>
      <c r="AF204" s="53"/>
      <c r="AG204" s="8"/>
      <c r="AH204" s="8"/>
      <c r="AI204" s="8"/>
      <c r="AJ204" s="8"/>
      <c r="AK204" s="8"/>
      <c r="AL204" s="8"/>
      <c r="AM204" s="8"/>
      <c r="AN204" s="8"/>
      <c r="AO204" s="8"/>
      <c r="AP204" s="8"/>
      <c r="AQ204" s="8"/>
      <c r="AR204" s="8"/>
      <c r="AS204" s="8"/>
      <c r="AT204" s="8"/>
      <c r="AU204" s="8"/>
      <c r="AV204" s="8"/>
      <c r="AW204" s="8"/>
      <c r="AX204" s="8"/>
      <c r="AY204" s="8"/>
      <c r="AZ204" s="8"/>
      <c r="BA204" s="8"/>
      <c r="BB204" s="8"/>
      <c r="BC204" s="8"/>
      <c r="BD204" s="8"/>
      <c r="BE204" s="8"/>
    </row>
    <row r="205" spans="1:57">
      <c r="A205" s="8"/>
      <c r="B205" s="8"/>
      <c r="C205" s="8"/>
      <c r="D205" s="8"/>
      <c r="E205" s="8"/>
      <c r="F205" s="54"/>
      <c r="G205" s="8"/>
      <c r="H205" s="8"/>
      <c r="I205" s="8"/>
      <c r="J205" s="8"/>
      <c r="K205" s="8"/>
      <c r="L205" s="8"/>
      <c r="M205" s="8"/>
      <c r="N205" s="8"/>
      <c r="O205" s="8"/>
      <c r="P205" s="8"/>
      <c r="Q205" s="8"/>
      <c r="R205" s="8"/>
      <c r="S205" s="8"/>
      <c r="T205" s="8"/>
      <c r="U205" s="53"/>
      <c r="V205" s="53"/>
      <c r="W205" s="53"/>
      <c r="X205" s="53"/>
      <c r="Y205" s="53"/>
      <c r="Z205" s="53"/>
      <c r="AA205" s="53"/>
      <c r="AB205" s="53"/>
      <c r="AC205" s="53"/>
      <c r="AD205" s="53"/>
      <c r="AE205" s="53"/>
      <c r="AF205" s="53"/>
      <c r="AG205" s="8"/>
      <c r="AH205" s="8"/>
      <c r="AI205" s="8"/>
      <c r="AJ205" s="8"/>
      <c r="AK205" s="8"/>
      <c r="AL205" s="8"/>
      <c r="AM205" s="8"/>
      <c r="AN205" s="8"/>
      <c r="AO205" s="8"/>
      <c r="AP205" s="8"/>
      <c r="AQ205" s="8"/>
      <c r="AR205" s="8"/>
      <c r="AS205" s="8"/>
      <c r="AT205" s="8"/>
      <c r="AU205" s="8"/>
      <c r="AV205" s="8"/>
      <c r="AW205" s="8"/>
      <c r="AX205" s="8"/>
      <c r="AY205" s="8"/>
      <c r="AZ205" s="8"/>
      <c r="BA205" s="8"/>
      <c r="BB205" s="8"/>
      <c r="BC205" s="8"/>
      <c r="BD205" s="8"/>
      <c r="BE205" s="8"/>
    </row>
    <row r="206" spans="1:57">
      <c r="A206" s="8"/>
      <c r="B206" s="8"/>
      <c r="C206" s="8"/>
      <c r="D206" s="8"/>
      <c r="E206" s="8"/>
      <c r="F206" s="54"/>
      <c r="G206" s="8"/>
      <c r="H206" s="8"/>
      <c r="I206" s="8"/>
      <c r="J206" s="8"/>
      <c r="K206" s="8"/>
      <c r="L206" s="8"/>
      <c r="M206" s="8"/>
      <c r="N206" s="8"/>
      <c r="O206" s="8"/>
      <c r="P206" s="8"/>
      <c r="Q206" s="8"/>
      <c r="R206" s="8"/>
      <c r="S206" s="8"/>
      <c r="T206" s="8"/>
      <c r="U206" s="53"/>
      <c r="V206" s="53"/>
      <c r="W206" s="53"/>
      <c r="X206" s="53"/>
      <c r="Y206" s="53"/>
      <c r="Z206" s="53"/>
      <c r="AA206" s="53"/>
      <c r="AB206" s="53"/>
      <c r="AC206" s="53"/>
      <c r="AD206" s="53"/>
      <c r="AE206" s="53"/>
      <c r="AF206" s="53"/>
      <c r="AG206" s="8"/>
      <c r="AH206" s="8"/>
      <c r="AI206" s="8"/>
      <c r="AJ206" s="8"/>
      <c r="AK206" s="8"/>
      <c r="AL206" s="8"/>
      <c r="AM206" s="8"/>
      <c r="AN206" s="8"/>
      <c r="AO206" s="8"/>
      <c r="AP206" s="8"/>
      <c r="AQ206" s="8"/>
      <c r="AR206" s="8"/>
      <c r="AS206" s="8"/>
      <c r="AT206" s="8"/>
      <c r="AU206" s="8"/>
      <c r="AV206" s="8"/>
      <c r="AW206" s="8"/>
      <c r="AX206" s="8"/>
      <c r="AY206" s="8"/>
      <c r="AZ206" s="8"/>
      <c r="BA206" s="8"/>
      <c r="BB206" s="8"/>
      <c r="BC206" s="8"/>
      <c r="BD206" s="8"/>
      <c r="BE206" s="8"/>
    </row>
    <row r="207" spans="1:57">
      <c r="A207" s="8"/>
      <c r="B207" s="8"/>
      <c r="C207" s="8"/>
      <c r="D207" s="8"/>
      <c r="E207" s="8"/>
      <c r="F207" s="54"/>
      <c r="G207" s="8"/>
      <c r="H207" s="8"/>
      <c r="I207" s="8"/>
      <c r="J207" s="8"/>
      <c r="K207" s="8"/>
      <c r="L207" s="8"/>
      <c r="M207" s="8"/>
      <c r="N207" s="8"/>
      <c r="O207" s="8"/>
      <c r="P207" s="8"/>
      <c r="Q207" s="8"/>
      <c r="R207" s="8"/>
      <c r="S207" s="8"/>
      <c r="T207" s="8"/>
      <c r="U207" s="53"/>
      <c r="V207" s="53"/>
      <c r="W207" s="53"/>
      <c r="X207" s="53"/>
      <c r="Y207" s="53"/>
      <c r="Z207" s="53"/>
      <c r="AA207" s="53"/>
      <c r="AB207" s="53"/>
      <c r="AC207" s="53"/>
      <c r="AD207" s="53"/>
      <c r="AE207" s="53"/>
      <c r="AF207" s="53"/>
      <c r="AG207" s="8"/>
      <c r="AH207" s="8"/>
      <c r="AI207" s="8"/>
      <c r="AJ207" s="8"/>
      <c r="AK207" s="8"/>
      <c r="AL207" s="8"/>
      <c r="AM207" s="8"/>
      <c r="AN207" s="8"/>
      <c r="AO207" s="8"/>
      <c r="AP207" s="8"/>
      <c r="AQ207" s="8"/>
      <c r="AR207" s="8"/>
      <c r="AS207" s="8"/>
      <c r="AT207" s="8"/>
      <c r="AU207" s="8"/>
      <c r="AV207" s="8"/>
      <c r="AW207" s="8"/>
      <c r="AX207" s="8"/>
      <c r="AY207" s="8"/>
      <c r="AZ207" s="8"/>
      <c r="BA207" s="8"/>
      <c r="BB207" s="8"/>
      <c r="BC207" s="8"/>
      <c r="BD207" s="8"/>
      <c r="BE207" s="8"/>
    </row>
    <row r="208" spans="1:57">
      <c r="A208" s="8"/>
      <c r="B208" s="8"/>
      <c r="C208" s="8"/>
      <c r="D208" s="8"/>
      <c r="E208" s="8"/>
      <c r="F208" s="54"/>
      <c r="G208" s="8"/>
      <c r="H208" s="8"/>
      <c r="I208" s="8"/>
      <c r="J208" s="8"/>
      <c r="K208" s="8"/>
      <c r="L208" s="8"/>
      <c r="M208" s="8"/>
      <c r="N208" s="8"/>
      <c r="O208" s="8"/>
      <c r="P208" s="8"/>
      <c r="Q208" s="8"/>
      <c r="R208" s="8"/>
      <c r="S208" s="8"/>
      <c r="T208" s="8"/>
      <c r="U208" s="53"/>
      <c r="V208" s="53"/>
      <c r="W208" s="53"/>
      <c r="X208" s="53"/>
      <c r="Y208" s="53"/>
      <c r="Z208" s="53"/>
      <c r="AA208" s="53"/>
      <c r="AB208" s="53"/>
      <c r="AC208" s="53"/>
      <c r="AD208" s="53"/>
      <c r="AE208" s="53"/>
      <c r="AF208" s="53"/>
      <c r="AG208" s="8"/>
      <c r="AH208" s="8"/>
      <c r="AI208" s="8"/>
      <c r="AJ208" s="8"/>
      <c r="AK208" s="8"/>
      <c r="AL208" s="8"/>
      <c r="AM208" s="8"/>
      <c r="AN208" s="8"/>
      <c r="AO208" s="8"/>
      <c r="AP208" s="8"/>
      <c r="AQ208" s="8"/>
      <c r="AR208" s="8"/>
      <c r="AS208" s="8"/>
      <c r="AT208" s="8"/>
      <c r="AU208" s="8"/>
      <c r="AV208" s="8"/>
      <c r="AW208" s="8"/>
      <c r="AX208" s="8"/>
      <c r="AY208" s="8"/>
      <c r="AZ208" s="8"/>
      <c r="BA208" s="8"/>
      <c r="BB208" s="8"/>
      <c r="BC208" s="8"/>
      <c r="BD208" s="8"/>
      <c r="BE208" s="8"/>
    </row>
    <row r="209" spans="1:57">
      <c r="A209" s="8"/>
      <c r="B209" s="8"/>
      <c r="C209" s="8"/>
      <c r="D209" s="8"/>
      <c r="E209" s="8"/>
      <c r="F209" s="54"/>
      <c r="G209" s="8"/>
      <c r="H209" s="8"/>
      <c r="I209" s="8"/>
      <c r="J209" s="8"/>
      <c r="K209" s="8"/>
      <c r="L209" s="8"/>
      <c r="M209" s="8"/>
      <c r="N209" s="8"/>
      <c r="O209" s="8"/>
      <c r="P209" s="8"/>
      <c r="Q209" s="8"/>
      <c r="R209" s="8"/>
      <c r="S209" s="8"/>
      <c r="T209" s="8"/>
      <c r="U209" s="53"/>
      <c r="V209" s="53"/>
      <c r="W209" s="53"/>
      <c r="X209" s="53"/>
      <c r="Y209" s="53"/>
      <c r="Z209" s="53"/>
      <c r="AA209" s="53"/>
      <c r="AB209" s="53"/>
      <c r="AC209" s="53"/>
      <c r="AD209" s="53"/>
      <c r="AE209" s="53"/>
      <c r="AF209" s="53"/>
      <c r="AG209" s="8"/>
      <c r="AH209" s="8"/>
      <c r="AI209" s="8"/>
      <c r="AJ209" s="8"/>
      <c r="AK209" s="8"/>
      <c r="AL209" s="8"/>
      <c r="AM209" s="8"/>
      <c r="AN209" s="8"/>
      <c r="AO209" s="8"/>
      <c r="AP209" s="8"/>
      <c r="AQ209" s="8"/>
      <c r="AR209" s="8"/>
      <c r="AS209" s="8"/>
      <c r="AT209" s="8"/>
      <c r="AU209" s="8"/>
      <c r="AV209" s="8"/>
      <c r="AW209" s="8"/>
      <c r="AX209" s="8"/>
      <c r="AY209" s="8"/>
      <c r="AZ209" s="8"/>
      <c r="BA209" s="8"/>
      <c r="BB209" s="8"/>
      <c r="BC209" s="8"/>
      <c r="BD209" s="8"/>
      <c r="BE209" s="8"/>
    </row>
    <row r="210" spans="1:57">
      <c r="A210" s="8"/>
      <c r="B210" s="8"/>
      <c r="C210" s="8"/>
      <c r="D210" s="8"/>
      <c r="E210" s="8"/>
      <c r="F210" s="54"/>
      <c r="G210" s="8"/>
      <c r="H210" s="8"/>
      <c r="I210" s="8"/>
      <c r="J210" s="8"/>
      <c r="K210" s="8"/>
      <c r="L210" s="8"/>
      <c r="M210" s="8"/>
      <c r="N210" s="8"/>
      <c r="O210" s="8"/>
      <c r="P210" s="8"/>
      <c r="Q210" s="8"/>
      <c r="R210" s="8"/>
      <c r="S210" s="8"/>
      <c r="T210" s="8"/>
      <c r="U210" s="53"/>
      <c r="V210" s="53"/>
      <c r="W210" s="53"/>
      <c r="X210" s="53"/>
      <c r="Y210" s="53"/>
      <c r="Z210" s="53"/>
      <c r="AA210" s="53"/>
      <c r="AB210" s="53"/>
      <c r="AC210" s="53"/>
      <c r="AD210" s="53"/>
      <c r="AE210" s="53"/>
      <c r="AF210" s="53"/>
      <c r="AG210" s="8"/>
      <c r="AH210" s="8"/>
      <c r="AI210" s="8"/>
      <c r="AJ210" s="8"/>
      <c r="AK210" s="8"/>
      <c r="AL210" s="8"/>
      <c r="AM210" s="8"/>
      <c r="AN210" s="8"/>
      <c r="AO210" s="8"/>
      <c r="AP210" s="8"/>
      <c r="AQ210" s="8"/>
      <c r="AR210" s="8"/>
      <c r="AS210" s="8"/>
      <c r="AT210" s="8"/>
      <c r="AU210" s="8"/>
      <c r="AV210" s="8"/>
      <c r="AW210" s="8"/>
      <c r="AX210" s="8"/>
      <c r="AY210" s="8"/>
      <c r="AZ210" s="8"/>
      <c r="BA210" s="8"/>
      <c r="BB210" s="8"/>
      <c r="BC210" s="8"/>
      <c r="BD210" s="8"/>
      <c r="BE210" s="8"/>
    </row>
    <row r="211" spans="1:57">
      <c r="A211" s="8"/>
      <c r="B211" s="8"/>
      <c r="C211" s="8"/>
      <c r="D211" s="8"/>
      <c r="E211" s="8"/>
      <c r="F211" s="54"/>
      <c r="G211" s="8"/>
      <c r="H211" s="8"/>
      <c r="I211" s="8"/>
      <c r="J211" s="8"/>
      <c r="K211" s="8"/>
      <c r="L211" s="8"/>
      <c r="M211" s="8"/>
      <c r="N211" s="8"/>
      <c r="O211" s="8"/>
      <c r="P211" s="8"/>
      <c r="Q211" s="8"/>
      <c r="R211" s="8"/>
      <c r="S211" s="8"/>
      <c r="T211" s="8"/>
      <c r="U211" s="53"/>
      <c r="V211" s="53"/>
      <c r="W211" s="53"/>
      <c r="X211" s="53"/>
      <c r="Y211" s="53"/>
      <c r="Z211" s="53"/>
      <c r="AA211" s="53"/>
      <c r="AB211" s="53"/>
      <c r="AC211" s="53"/>
      <c r="AD211" s="53"/>
      <c r="AE211" s="53"/>
      <c r="AF211" s="53"/>
      <c r="AG211" s="8"/>
      <c r="AH211" s="8"/>
      <c r="AI211" s="8"/>
      <c r="AJ211" s="8"/>
      <c r="AK211" s="8"/>
      <c r="AL211" s="8"/>
      <c r="AM211" s="8"/>
      <c r="AN211" s="8"/>
      <c r="AO211" s="8"/>
      <c r="AP211" s="8"/>
      <c r="AQ211" s="8"/>
      <c r="AR211" s="8"/>
      <c r="AS211" s="8"/>
      <c r="AT211" s="8"/>
      <c r="AU211" s="8"/>
      <c r="AV211" s="8"/>
      <c r="AW211" s="8"/>
      <c r="AX211" s="8"/>
      <c r="AY211" s="8"/>
      <c r="AZ211" s="8"/>
      <c r="BA211" s="8"/>
      <c r="BB211" s="8"/>
      <c r="BC211" s="8"/>
      <c r="BD211" s="8"/>
      <c r="BE211" s="8"/>
    </row>
    <row r="212" spans="1:57">
      <c r="A212" s="8"/>
      <c r="B212" s="8"/>
      <c r="C212" s="8"/>
      <c r="D212" s="8"/>
      <c r="E212" s="8"/>
      <c r="F212" s="54"/>
      <c r="G212" s="8"/>
      <c r="H212" s="8"/>
      <c r="I212" s="8"/>
      <c r="J212" s="8"/>
      <c r="K212" s="8"/>
      <c r="L212" s="8"/>
      <c r="M212" s="8"/>
      <c r="N212" s="8"/>
      <c r="O212" s="8"/>
      <c r="P212" s="8"/>
      <c r="Q212" s="8"/>
      <c r="R212" s="8"/>
      <c r="S212" s="8"/>
      <c r="T212" s="8"/>
      <c r="U212" s="53"/>
      <c r="V212" s="53"/>
      <c r="W212" s="53"/>
      <c r="X212" s="53"/>
      <c r="Y212" s="53"/>
      <c r="Z212" s="53"/>
      <c r="AA212" s="53"/>
      <c r="AB212" s="53"/>
      <c r="AC212" s="53"/>
      <c r="AD212" s="53"/>
      <c r="AE212" s="53"/>
      <c r="AF212" s="53"/>
      <c r="AG212" s="8"/>
      <c r="AH212" s="8"/>
      <c r="AI212" s="8"/>
      <c r="AJ212" s="8"/>
      <c r="AK212" s="8"/>
      <c r="AL212" s="8"/>
      <c r="AM212" s="8"/>
      <c r="AN212" s="8"/>
      <c r="AO212" s="8"/>
      <c r="AP212" s="8"/>
      <c r="AQ212" s="8"/>
      <c r="AR212" s="8"/>
      <c r="AS212" s="8"/>
      <c r="AT212" s="8"/>
      <c r="AU212" s="8"/>
      <c r="AV212" s="8"/>
      <c r="AW212" s="8"/>
      <c r="AX212" s="8"/>
      <c r="AY212" s="8"/>
      <c r="AZ212" s="8"/>
      <c r="BA212" s="8"/>
      <c r="BB212" s="8"/>
      <c r="BC212" s="8"/>
      <c r="BD212" s="8"/>
      <c r="BE212" s="8"/>
    </row>
    <row r="213" spans="1:57">
      <c r="A213" s="8"/>
      <c r="B213" s="8"/>
      <c r="C213" s="8"/>
      <c r="D213" s="8"/>
      <c r="E213" s="8"/>
      <c r="F213" s="54"/>
      <c r="G213" s="8"/>
      <c r="H213" s="8"/>
      <c r="I213" s="8"/>
      <c r="J213" s="8"/>
      <c r="K213" s="8"/>
      <c r="L213" s="8"/>
      <c r="M213" s="8"/>
      <c r="N213" s="8"/>
      <c r="O213" s="8"/>
      <c r="P213" s="8"/>
      <c r="Q213" s="8"/>
      <c r="R213" s="8"/>
      <c r="S213" s="8"/>
      <c r="T213" s="8"/>
      <c r="U213" s="53"/>
      <c r="V213" s="53"/>
      <c r="W213" s="53"/>
      <c r="X213" s="53"/>
      <c r="Y213" s="53"/>
      <c r="Z213" s="53"/>
      <c r="AA213" s="53"/>
      <c r="AB213" s="53"/>
      <c r="AC213" s="53"/>
      <c r="AD213" s="53"/>
      <c r="AE213" s="53"/>
      <c r="AF213" s="53"/>
      <c r="AG213" s="8"/>
      <c r="AH213" s="8"/>
      <c r="AI213" s="8"/>
      <c r="AJ213" s="8"/>
      <c r="AK213" s="8"/>
      <c r="AL213" s="8"/>
      <c r="AM213" s="8"/>
      <c r="AN213" s="8"/>
      <c r="AO213" s="8"/>
      <c r="AP213" s="8"/>
      <c r="AQ213" s="8"/>
      <c r="AR213" s="8"/>
      <c r="AS213" s="8"/>
      <c r="AT213" s="8"/>
      <c r="AU213" s="8"/>
      <c r="AV213" s="8"/>
      <c r="AW213" s="8"/>
      <c r="AX213" s="8"/>
      <c r="AY213" s="8"/>
      <c r="AZ213" s="8"/>
      <c r="BA213" s="8"/>
      <c r="BB213" s="8"/>
      <c r="BC213" s="8"/>
      <c r="BD213" s="8"/>
      <c r="BE213" s="8"/>
    </row>
    <row r="214" spans="1:57">
      <c r="A214" s="8"/>
      <c r="B214" s="8"/>
      <c r="C214" s="8"/>
      <c r="D214" s="8"/>
      <c r="E214" s="8"/>
      <c r="F214" s="54"/>
      <c r="G214" s="8"/>
      <c r="H214" s="8"/>
      <c r="I214" s="8"/>
      <c r="J214" s="8"/>
      <c r="K214" s="8"/>
      <c r="L214" s="8"/>
      <c r="M214" s="8"/>
      <c r="N214" s="8"/>
      <c r="O214" s="8"/>
      <c r="P214" s="8"/>
      <c r="Q214" s="8"/>
      <c r="R214" s="8"/>
      <c r="S214" s="8"/>
      <c r="T214" s="8"/>
      <c r="U214" s="53"/>
      <c r="V214" s="53"/>
      <c r="W214" s="53"/>
      <c r="X214" s="53"/>
      <c r="Y214" s="53"/>
      <c r="Z214" s="53"/>
      <c r="AA214" s="53"/>
      <c r="AB214" s="53"/>
      <c r="AC214" s="53"/>
      <c r="AD214" s="53"/>
      <c r="AE214" s="53"/>
      <c r="AF214" s="53"/>
      <c r="AG214" s="8"/>
      <c r="AH214" s="8"/>
      <c r="AI214" s="8"/>
      <c r="AJ214" s="8"/>
      <c r="AK214" s="8"/>
      <c r="AL214" s="8"/>
      <c r="AM214" s="8"/>
      <c r="AN214" s="8"/>
      <c r="AO214" s="8"/>
      <c r="AP214" s="8"/>
      <c r="AQ214" s="8"/>
      <c r="AR214" s="8"/>
      <c r="AS214" s="8"/>
      <c r="AT214" s="8"/>
      <c r="AU214" s="8"/>
      <c r="AV214" s="8"/>
      <c r="AW214" s="8"/>
      <c r="AX214" s="8"/>
      <c r="AY214" s="8"/>
      <c r="AZ214" s="8"/>
      <c r="BA214" s="8"/>
      <c r="BB214" s="8"/>
      <c r="BC214" s="8"/>
      <c r="BD214" s="8"/>
      <c r="BE214" s="8"/>
    </row>
    <row r="215" spans="1:57">
      <c r="A215" s="8"/>
      <c r="B215" s="8"/>
      <c r="C215" s="8"/>
      <c r="D215" s="8"/>
      <c r="E215" s="8"/>
      <c r="F215" s="54"/>
      <c r="G215" s="8"/>
      <c r="H215" s="8"/>
      <c r="I215" s="8"/>
      <c r="J215" s="8"/>
      <c r="K215" s="8"/>
      <c r="L215" s="8"/>
      <c r="M215" s="8"/>
      <c r="N215" s="8"/>
      <c r="O215" s="8"/>
      <c r="P215" s="8"/>
      <c r="Q215" s="8"/>
      <c r="R215" s="8"/>
      <c r="S215" s="8"/>
      <c r="T215" s="8"/>
      <c r="U215" s="53"/>
      <c r="V215" s="53"/>
      <c r="W215" s="53"/>
      <c r="X215" s="53"/>
      <c r="Y215" s="53"/>
      <c r="Z215" s="53"/>
      <c r="AA215" s="53"/>
      <c r="AB215" s="53"/>
      <c r="AC215" s="53"/>
      <c r="AD215" s="53"/>
      <c r="AE215" s="53"/>
      <c r="AF215" s="53"/>
      <c r="AG215" s="8"/>
      <c r="AH215" s="8"/>
      <c r="AI215" s="8"/>
      <c r="AJ215" s="8"/>
      <c r="AK215" s="8"/>
      <c r="AL215" s="8"/>
      <c r="AM215" s="8"/>
      <c r="AN215" s="8"/>
      <c r="AO215" s="8"/>
      <c r="AP215" s="8"/>
      <c r="AQ215" s="8"/>
      <c r="AR215" s="8"/>
      <c r="AS215" s="8"/>
      <c r="AT215" s="8"/>
      <c r="AU215" s="8"/>
      <c r="AV215" s="8"/>
      <c r="AW215" s="8"/>
      <c r="AX215" s="8"/>
      <c r="AY215" s="8"/>
      <c r="AZ215" s="8"/>
      <c r="BA215" s="8"/>
      <c r="BB215" s="8"/>
      <c r="BC215" s="8"/>
      <c r="BD215" s="8"/>
      <c r="BE215" s="8"/>
    </row>
    <row r="216" spans="1:57">
      <c r="A216" s="8"/>
      <c r="B216" s="8"/>
      <c r="C216" s="8"/>
      <c r="D216" s="8"/>
      <c r="E216" s="8"/>
      <c r="F216" s="54"/>
      <c r="G216" s="8"/>
      <c r="H216" s="8"/>
      <c r="I216" s="8"/>
      <c r="J216" s="8"/>
      <c r="K216" s="8"/>
      <c r="L216" s="8"/>
      <c r="M216" s="8"/>
      <c r="N216" s="8"/>
      <c r="O216" s="8"/>
      <c r="P216" s="8"/>
      <c r="Q216" s="8"/>
      <c r="R216" s="8"/>
      <c r="S216" s="8"/>
      <c r="T216" s="8"/>
      <c r="U216" s="53"/>
      <c r="V216" s="53"/>
      <c r="W216" s="53"/>
      <c r="X216" s="53"/>
      <c r="Y216" s="53"/>
      <c r="Z216" s="53"/>
      <c r="AA216" s="53"/>
      <c r="AB216" s="53"/>
      <c r="AC216" s="53"/>
      <c r="AD216" s="53"/>
      <c r="AE216" s="53"/>
      <c r="AF216" s="53"/>
      <c r="AG216" s="8"/>
      <c r="AH216" s="8"/>
      <c r="AI216" s="8"/>
      <c r="AJ216" s="8"/>
      <c r="AK216" s="8"/>
      <c r="AL216" s="8"/>
      <c r="AM216" s="8"/>
      <c r="AN216" s="8"/>
      <c r="AO216" s="8"/>
      <c r="AP216" s="8"/>
      <c r="AQ216" s="8"/>
      <c r="AR216" s="8"/>
      <c r="AS216" s="8"/>
      <c r="AT216" s="8"/>
      <c r="AU216" s="8"/>
      <c r="AV216" s="8"/>
      <c r="AW216" s="8"/>
      <c r="AX216" s="8"/>
      <c r="AY216" s="8"/>
      <c r="AZ216" s="8"/>
      <c r="BA216" s="8"/>
      <c r="BB216" s="8"/>
      <c r="BC216" s="8"/>
      <c r="BD216" s="8"/>
      <c r="BE216" s="8"/>
    </row>
    <row r="217" spans="1:57">
      <c r="A217" s="8"/>
      <c r="B217" s="8"/>
      <c r="C217" s="8"/>
      <c r="D217" s="8"/>
      <c r="E217" s="8"/>
      <c r="F217" s="54"/>
      <c r="G217" s="8"/>
      <c r="H217" s="8"/>
      <c r="I217" s="8"/>
      <c r="J217" s="8"/>
      <c r="K217" s="8"/>
      <c r="L217" s="8"/>
      <c r="M217" s="8"/>
      <c r="N217" s="8"/>
      <c r="O217" s="8"/>
      <c r="P217" s="8"/>
      <c r="Q217" s="8"/>
      <c r="R217" s="8"/>
      <c r="S217" s="8"/>
      <c r="T217" s="8"/>
      <c r="U217" s="53"/>
      <c r="V217" s="53"/>
      <c r="W217" s="53"/>
      <c r="X217" s="53"/>
      <c r="Y217" s="53"/>
      <c r="Z217" s="53"/>
      <c r="AA217" s="53"/>
      <c r="AB217" s="53"/>
      <c r="AC217" s="53"/>
      <c r="AD217" s="53"/>
      <c r="AE217" s="53"/>
      <c r="AF217" s="53"/>
      <c r="AG217" s="8"/>
      <c r="AH217" s="8"/>
      <c r="AI217" s="8"/>
      <c r="AJ217" s="8"/>
      <c r="AK217" s="8"/>
      <c r="AL217" s="8"/>
      <c r="AM217" s="8"/>
      <c r="AN217" s="8"/>
      <c r="AO217" s="8"/>
      <c r="AP217" s="8"/>
      <c r="AQ217" s="8"/>
      <c r="AR217" s="8"/>
      <c r="AS217" s="8"/>
      <c r="AT217" s="8"/>
      <c r="AU217" s="8"/>
      <c r="AV217" s="8"/>
      <c r="AW217" s="8"/>
      <c r="AX217" s="8"/>
      <c r="AY217" s="8"/>
      <c r="AZ217" s="8"/>
      <c r="BA217" s="8"/>
      <c r="BB217" s="8"/>
      <c r="BC217" s="8"/>
      <c r="BD217" s="8"/>
      <c r="BE217" s="8"/>
    </row>
    <row r="218" spans="1:57">
      <c r="A218" s="8"/>
      <c r="B218" s="8"/>
      <c r="C218" s="8"/>
      <c r="D218" s="8"/>
      <c r="E218" s="8"/>
      <c r="F218" s="54"/>
      <c r="G218" s="8"/>
      <c r="H218" s="8"/>
      <c r="I218" s="8"/>
      <c r="J218" s="8"/>
      <c r="K218" s="8"/>
      <c r="L218" s="8"/>
      <c r="M218" s="8"/>
      <c r="N218" s="8"/>
      <c r="O218" s="8"/>
      <c r="P218" s="8"/>
      <c r="Q218" s="8"/>
      <c r="R218" s="8"/>
      <c r="S218" s="8"/>
      <c r="T218" s="8"/>
      <c r="U218" s="53"/>
      <c r="V218" s="53"/>
      <c r="W218" s="53"/>
      <c r="X218" s="53"/>
      <c r="Y218" s="53"/>
      <c r="Z218" s="53"/>
      <c r="AA218" s="53"/>
      <c r="AB218" s="53"/>
      <c r="AC218" s="53"/>
      <c r="AD218" s="53"/>
      <c r="AE218" s="53"/>
      <c r="AF218" s="53"/>
      <c r="AG218" s="8"/>
      <c r="AH218" s="8"/>
      <c r="AI218" s="8"/>
      <c r="AJ218" s="8"/>
      <c r="AK218" s="8"/>
      <c r="AL218" s="8"/>
      <c r="AM218" s="8"/>
      <c r="AN218" s="8"/>
      <c r="AO218" s="8"/>
      <c r="AP218" s="8"/>
      <c r="AQ218" s="8"/>
      <c r="AR218" s="8"/>
      <c r="AS218" s="8"/>
      <c r="AT218" s="8"/>
      <c r="AU218" s="8"/>
      <c r="AV218" s="8"/>
      <c r="AW218" s="8"/>
      <c r="AX218" s="8"/>
      <c r="AY218" s="8"/>
      <c r="AZ218" s="8"/>
      <c r="BA218" s="8"/>
      <c r="BB218" s="8"/>
      <c r="BC218" s="8"/>
      <c r="BD218" s="8"/>
      <c r="BE218" s="8"/>
    </row>
    <row r="219" spans="1:57">
      <c r="A219" s="8"/>
      <c r="B219" s="8"/>
      <c r="C219" s="8"/>
      <c r="D219" s="8"/>
      <c r="E219" s="8"/>
      <c r="F219" s="54"/>
      <c r="G219" s="8"/>
      <c r="H219" s="8"/>
      <c r="I219" s="8"/>
      <c r="J219" s="8"/>
      <c r="K219" s="8"/>
      <c r="L219" s="8"/>
      <c r="M219" s="8"/>
      <c r="N219" s="8"/>
      <c r="O219" s="8"/>
      <c r="P219" s="8"/>
      <c r="Q219" s="8"/>
      <c r="R219" s="8"/>
      <c r="S219" s="8"/>
      <c r="T219" s="8"/>
      <c r="U219" s="53"/>
      <c r="V219" s="53"/>
      <c r="W219" s="53"/>
      <c r="X219" s="53"/>
      <c r="Y219" s="53"/>
      <c r="Z219" s="53"/>
      <c r="AA219" s="53"/>
      <c r="AB219" s="53"/>
      <c r="AC219" s="53"/>
      <c r="AD219" s="53"/>
      <c r="AE219" s="53"/>
      <c r="AF219" s="53"/>
      <c r="AG219" s="8"/>
      <c r="AH219" s="8"/>
      <c r="AI219" s="8"/>
      <c r="AJ219" s="8"/>
      <c r="AK219" s="8"/>
      <c r="AL219" s="8"/>
      <c r="AM219" s="8"/>
      <c r="AN219" s="8"/>
      <c r="AO219" s="8"/>
      <c r="AP219" s="8"/>
      <c r="AQ219" s="8"/>
      <c r="AR219" s="8"/>
      <c r="AS219" s="8"/>
      <c r="AT219" s="8"/>
      <c r="AU219" s="8"/>
      <c r="AV219" s="8"/>
      <c r="AW219" s="8"/>
      <c r="AX219" s="8"/>
      <c r="AY219" s="8"/>
      <c r="AZ219" s="8"/>
      <c r="BA219" s="8"/>
      <c r="BB219" s="8"/>
      <c r="BC219" s="8"/>
      <c r="BD219" s="8"/>
      <c r="BE219" s="8"/>
    </row>
    <row r="220" spans="1:57">
      <c r="A220" s="8"/>
      <c r="B220" s="8"/>
      <c r="C220" s="8"/>
      <c r="D220" s="8"/>
      <c r="E220" s="8"/>
      <c r="F220" s="54"/>
      <c r="G220" s="8"/>
      <c r="H220" s="8"/>
      <c r="I220" s="8"/>
      <c r="J220" s="8"/>
      <c r="K220" s="8"/>
      <c r="L220" s="8"/>
      <c r="M220" s="8"/>
      <c r="N220" s="8"/>
      <c r="O220" s="8"/>
      <c r="P220" s="8"/>
      <c r="Q220" s="8"/>
      <c r="R220" s="8"/>
      <c r="S220" s="8"/>
      <c r="T220" s="8"/>
      <c r="U220" s="53"/>
      <c r="V220" s="53"/>
      <c r="W220" s="53"/>
      <c r="X220" s="53"/>
      <c r="Y220" s="53"/>
      <c r="Z220" s="53"/>
      <c r="AA220" s="53"/>
      <c r="AB220" s="53"/>
      <c r="AC220" s="53"/>
      <c r="AD220" s="53"/>
      <c r="AE220" s="53"/>
      <c r="AF220" s="53"/>
      <c r="AG220" s="8"/>
      <c r="AH220" s="8"/>
      <c r="AI220" s="8"/>
      <c r="AJ220" s="8"/>
      <c r="AK220" s="8"/>
      <c r="AL220" s="8"/>
      <c r="AM220" s="8"/>
      <c r="AN220" s="8"/>
      <c r="AO220" s="8"/>
      <c r="AP220" s="8"/>
      <c r="AQ220" s="8"/>
      <c r="AR220" s="8"/>
      <c r="AS220" s="8"/>
      <c r="AT220" s="8"/>
      <c r="AU220" s="8"/>
      <c r="AV220" s="8"/>
      <c r="AW220" s="8"/>
      <c r="AX220" s="8"/>
      <c r="AY220" s="8"/>
      <c r="AZ220" s="8"/>
      <c r="BA220" s="8"/>
      <c r="BB220" s="8"/>
      <c r="BC220" s="8"/>
      <c r="BD220" s="8"/>
      <c r="BE220" s="8"/>
    </row>
    <row r="221" spans="1:57">
      <c r="A221" s="8"/>
      <c r="B221" s="8"/>
      <c r="C221" s="8"/>
      <c r="D221" s="8"/>
      <c r="E221" s="8"/>
      <c r="F221" s="54"/>
      <c r="G221" s="8"/>
      <c r="H221" s="8"/>
      <c r="I221" s="8"/>
      <c r="J221" s="8"/>
      <c r="K221" s="8"/>
      <c r="L221" s="8"/>
      <c r="M221" s="8"/>
      <c r="N221" s="8"/>
      <c r="O221" s="8"/>
      <c r="P221" s="8"/>
      <c r="Q221" s="8"/>
      <c r="R221" s="8"/>
      <c r="S221" s="8"/>
      <c r="T221" s="8"/>
      <c r="U221" s="53"/>
      <c r="V221" s="53"/>
      <c r="W221" s="53"/>
      <c r="X221" s="53"/>
      <c r="Y221" s="53"/>
      <c r="Z221" s="53"/>
      <c r="AA221" s="53"/>
      <c r="AB221" s="53"/>
      <c r="AC221" s="53"/>
      <c r="AD221" s="53"/>
      <c r="AE221" s="53"/>
      <c r="AF221" s="53"/>
      <c r="AG221" s="8"/>
      <c r="AH221" s="8"/>
      <c r="AI221" s="8"/>
      <c r="AJ221" s="8"/>
      <c r="AK221" s="8"/>
      <c r="AL221" s="8"/>
      <c r="AM221" s="8"/>
      <c r="AN221" s="8"/>
      <c r="AO221" s="8"/>
      <c r="AP221" s="8"/>
      <c r="AQ221" s="8"/>
      <c r="AR221" s="8"/>
      <c r="AS221" s="8"/>
      <c r="AT221" s="8"/>
      <c r="AU221" s="8"/>
      <c r="AV221" s="8"/>
      <c r="AW221" s="8"/>
      <c r="AX221" s="8"/>
      <c r="AY221" s="8"/>
      <c r="AZ221" s="8"/>
      <c r="BA221" s="8"/>
      <c r="BB221" s="8"/>
      <c r="BC221" s="8"/>
      <c r="BD221" s="8"/>
      <c r="BE221" s="8"/>
    </row>
    <row r="222" spans="1:57">
      <c r="A222" s="8"/>
      <c r="B222" s="8"/>
      <c r="C222" s="8"/>
      <c r="D222" s="8"/>
      <c r="E222" s="8"/>
      <c r="F222" s="54"/>
      <c r="G222" s="8"/>
      <c r="H222" s="8"/>
      <c r="I222" s="8"/>
      <c r="J222" s="8"/>
      <c r="K222" s="8"/>
      <c r="L222" s="8"/>
      <c r="M222" s="8"/>
      <c r="N222" s="8"/>
      <c r="O222" s="8"/>
      <c r="P222" s="8"/>
      <c r="Q222" s="8"/>
      <c r="R222" s="8"/>
      <c r="S222" s="8"/>
      <c r="T222" s="8"/>
      <c r="U222" s="53"/>
      <c r="V222" s="53"/>
      <c r="W222" s="53"/>
      <c r="X222" s="53"/>
      <c r="Y222" s="53"/>
      <c r="Z222" s="53"/>
      <c r="AA222" s="53"/>
      <c r="AB222" s="53"/>
      <c r="AC222" s="53"/>
      <c r="AD222" s="53"/>
      <c r="AE222" s="53"/>
      <c r="AF222" s="53"/>
      <c r="AG222" s="8"/>
      <c r="AH222" s="8"/>
      <c r="AI222" s="8"/>
      <c r="AJ222" s="8"/>
      <c r="AK222" s="8"/>
      <c r="AL222" s="8"/>
      <c r="AM222" s="8"/>
      <c r="AN222" s="8"/>
      <c r="AO222" s="8"/>
      <c r="AP222" s="8"/>
      <c r="AQ222" s="8"/>
      <c r="AR222" s="8"/>
      <c r="AS222" s="8"/>
      <c r="AT222" s="8"/>
      <c r="AU222" s="8"/>
      <c r="AV222" s="8"/>
      <c r="AW222" s="8"/>
      <c r="AX222" s="8"/>
      <c r="AY222" s="8"/>
      <c r="AZ222" s="8"/>
      <c r="BA222" s="8"/>
      <c r="BB222" s="8"/>
      <c r="BC222" s="8"/>
      <c r="BD222" s="8"/>
      <c r="BE222" s="8"/>
    </row>
    <row r="223" spans="1:57">
      <c r="A223" s="8"/>
      <c r="B223" s="8"/>
      <c r="C223" s="8"/>
      <c r="D223" s="8"/>
      <c r="E223" s="8"/>
      <c r="F223" s="54"/>
      <c r="G223" s="8"/>
      <c r="H223" s="8"/>
      <c r="I223" s="8"/>
      <c r="J223" s="8"/>
      <c r="K223" s="8"/>
      <c r="L223" s="8"/>
      <c r="M223" s="8"/>
      <c r="N223" s="8"/>
      <c r="O223" s="8"/>
      <c r="P223" s="8"/>
      <c r="Q223" s="8"/>
      <c r="R223" s="8"/>
      <c r="S223" s="8"/>
      <c r="T223" s="8"/>
      <c r="U223" s="53"/>
      <c r="V223" s="53"/>
      <c r="W223" s="53"/>
      <c r="X223" s="53"/>
      <c r="Y223" s="53"/>
      <c r="Z223" s="53"/>
      <c r="AA223" s="53"/>
      <c r="AB223" s="53"/>
      <c r="AC223" s="53"/>
      <c r="AD223" s="53"/>
      <c r="AE223" s="53"/>
      <c r="AF223" s="53"/>
      <c r="AG223" s="8"/>
      <c r="AH223" s="8"/>
      <c r="AI223" s="8"/>
      <c r="AJ223" s="8"/>
      <c r="AK223" s="8"/>
      <c r="AL223" s="8"/>
      <c r="AM223" s="8"/>
      <c r="AN223" s="8"/>
      <c r="AO223" s="8"/>
      <c r="AP223" s="8"/>
      <c r="AQ223" s="8"/>
      <c r="AR223" s="8"/>
      <c r="AS223" s="8"/>
      <c r="AT223" s="8"/>
      <c r="AU223" s="8"/>
      <c r="AV223" s="8"/>
      <c r="AW223" s="8"/>
      <c r="AX223" s="8"/>
      <c r="AY223" s="8"/>
      <c r="AZ223" s="8"/>
      <c r="BA223" s="8"/>
      <c r="BB223" s="8"/>
      <c r="BC223" s="8"/>
      <c r="BD223" s="8"/>
      <c r="BE223" s="8"/>
    </row>
    <row r="224" spans="1:57">
      <c r="A224" s="8"/>
      <c r="B224" s="8"/>
      <c r="C224" s="8"/>
      <c r="D224" s="8"/>
      <c r="E224" s="8"/>
      <c r="F224" s="54"/>
      <c r="G224" s="8"/>
      <c r="H224" s="8"/>
      <c r="I224" s="8"/>
      <c r="J224" s="8"/>
      <c r="K224" s="8"/>
      <c r="L224" s="8"/>
      <c r="M224" s="8"/>
      <c r="N224" s="8"/>
      <c r="O224" s="8"/>
      <c r="P224" s="8"/>
      <c r="Q224" s="8"/>
      <c r="R224" s="8"/>
      <c r="S224" s="8"/>
      <c r="T224" s="8"/>
      <c r="U224" s="53"/>
      <c r="V224" s="53"/>
      <c r="W224" s="53"/>
      <c r="X224" s="53"/>
      <c r="Y224" s="53"/>
      <c r="Z224" s="53"/>
      <c r="AA224" s="53"/>
      <c r="AB224" s="53"/>
      <c r="AC224" s="53"/>
      <c r="AD224" s="53"/>
      <c r="AE224" s="53"/>
      <c r="AF224" s="53"/>
      <c r="AG224" s="8"/>
      <c r="AH224" s="8"/>
      <c r="AI224" s="8"/>
      <c r="AJ224" s="8"/>
      <c r="AK224" s="8"/>
      <c r="AL224" s="8"/>
      <c r="AM224" s="8"/>
      <c r="AN224" s="8"/>
      <c r="AO224" s="8"/>
      <c r="AP224" s="8"/>
      <c r="AQ224" s="8"/>
      <c r="AR224" s="8"/>
      <c r="AS224" s="8"/>
      <c r="AT224" s="8"/>
      <c r="AU224" s="8"/>
      <c r="AV224" s="8"/>
      <c r="AW224" s="8"/>
      <c r="AX224" s="8"/>
      <c r="AY224" s="8"/>
      <c r="AZ224" s="8"/>
      <c r="BA224" s="8"/>
      <c r="BB224" s="8"/>
      <c r="BC224" s="8"/>
      <c r="BD224" s="8"/>
      <c r="BE224" s="8"/>
    </row>
    <row r="225" spans="1:57">
      <c r="A225" s="8"/>
      <c r="B225" s="8"/>
      <c r="C225" s="8"/>
      <c r="D225" s="8"/>
      <c r="E225" s="8"/>
      <c r="F225" s="54"/>
      <c r="G225" s="8"/>
      <c r="H225" s="8"/>
      <c r="I225" s="8"/>
      <c r="J225" s="8"/>
      <c r="K225" s="8"/>
      <c r="L225" s="8"/>
      <c r="M225" s="8"/>
      <c r="N225" s="8"/>
      <c r="O225" s="8"/>
      <c r="P225" s="8"/>
      <c r="Q225" s="8"/>
      <c r="R225" s="8"/>
      <c r="S225" s="8"/>
      <c r="T225" s="8"/>
      <c r="U225" s="53"/>
      <c r="V225" s="53"/>
      <c r="W225" s="53"/>
      <c r="X225" s="53"/>
      <c r="Y225" s="53"/>
      <c r="Z225" s="53"/>
      <c r="AA225" s="53"/>
      <c r="AB225" s="53"/>
      <c r="AC225" s="53"/>
      <c r="AD225" s="53"/>
      <c r="AE225" s="53"/>
      <c r="AF225" s="53"/>
      <c r="AG225" s="8"/>
      <c r="AH225" s="8"/>
      <c r="AI225" s="8"/>
      <c r="AJ225" s="8"/>
      <c r="AK225" s="8"/>
      <c r="AL225" s="8"/>
      <c r="AM225" s="8"/>
      <c r="AN225" s="8"/>
      <c r="AO225" s="8"/>
      <c r="AP225" s="8"/>
      <c r="AQ225" s="8"/>
      <c r="AR225" s="8"/>
      <c r="AS225" s="8"/>
      <c r="AT225" s="8"/>
      <c r="AU225" s="8"/>
      <c r="AV225" s="8"/>
      <c r="AW225" s="8"/>
      <c r="AX225" s="8"/>
      <c r="AY225" s="8"/>
      <c r="AZ225" s="8"/>
      <c r="BA225" s="8"/>
      <c r="BB225" s="8"/>
      <c r="BC225" s="8"/>
      <c r="BD225" s="8"/>
      <c r="BE225" s="8"/>
    </row>
    <row r="226" spans="1:57">
      <c r="A226" s="8"/>
      <c r="B226" s="8"/>
      <c r="C226" s="8"/>
      <c r="D226" s="8"/>
      <c r="E226" s="8"/>
      <c r="F226" s="54"/>
      <c r="G226" s="8"/>
      <c r="H226" s="8"/>
      <c r="I226" s="8"/>
      <c r="J226" s="8"/>
      <c r="K226" s="8"/>
      <c r="L226" s="8"/>
      <c r="M226" s="8"/>
      <c r="N226" s="8"/>
      <c r="O226" s="8"/>
      <c r="P226" s="8"/>
      <c r="Q226" s="8"/>
      <c r="R226" s="8"/>
      <c r="S226" s="8"/>
      <c r="T226" s="8"/>
      <c r="U226" s="53"/>
      <c r="V226" s="53"/>
      <c r="W226" s="53"/>
      <c r="X226" s="53"/>
      <c r="Y226" s="53"/>
      <c r="Z226" s="53"/>
      <c r="AA226" s="53"/>
      <c r="AB226" s="53"/>
      <c r="AC226" s="53"/>
      <c r="AD226" s="53"/>
      <c r="AE226" s="53"/>
      <c r="AF226" s="53"/>
      <c r="AG226" s="8"/>
      <c r="AH226" s="8"/>
      <c r="AI226" s="8"/>
      <c r="AJ226" s="8"/>
      <c r="AK226" s="8"/>
      <c r="AL226" s="8"/>
      <c r="AM226" s="8"/>
      <c r="AN226" s="8"/>
      <c r="AO226" s="8"/>
      <c r="AP226" s="8"/>
      <c r="AQ226" s="8"/>
      <c r="AR226" s="8"/>
      <c r="AS226" s="8"/>
      <c r="AT226" s="8"/>
      <c r="AU226" s="8"/>
      <c r="AV226" s="8"/>
      <c r="AW226" s="8"/>
      <c r="AX226" s="8"/>
      <c r="AY226" s="8"/>
      <c r="AZ226" s="8"/>
      <c r="BA226" s="8"/>
      <c r="BB226" s="8"/>
      <c r="BC226" s="8"/>
      <c r="BD226" s="8"/>
      <c r="BE226" s="8"/>
    </row>
    <row r="227" spans="1:57">
      <c r="A227" s="8"/>
      <c r="B227" s="8"/>
      <c r="C227" s="8"/>
      <c r="D227" s="8"/>
      <c r="E227" s="8"/>
      <c r="F227" s="54"/>
      <c r="G227" s="8"/>
      <c r="H227" s="8"/>
      <c r="I227" s="8"/>
      <c r="J227" s="8"/>
      <c r="K227" s="8"/>
      <c r="L227" s="8"/>
      <c r="M227" s="8"/>
      <c r="N227" s="8"/>
      <c r="O227" s="8"/>
      <c r="P227" s="8"/>
      <c r="Q227" s="8"/>
      <c r="R227" s="8"/>
      <c r="S227" s="8"/>
      <c r="T227" s="8"/>
      <c r="U227" s="53"/>
      <c r="V227" s="53"/>
      <c r="W227" s="53"/>
      <c r="X227" s="53"/>
      <c r="Y227" s="53"/>
      <c r="Z227" s="53"/>
      <c r="AA227" s="53"/>
      <c r="AB227" s="53"/>
      <c r="AC227" s="53"/>
      <c r="AD227" s="53"/>
      <c r="AE227" s="53"/>
      <c r="AF227" s="53"/>
      <c r="AG227" s="8"/>
      <c r="AH227" s="8"/>
      <c r="AI227" s="8"/>
      <c r="AJ227" s="8"/>
      <c r="AK227" s="8"/>
      <c r="AL227" s="8"/>
      <c r="AM227" s="8"/>
      <c r="AN227" s="8"/>
      <c r="AO227" s="8"/>
      <c r="AP227" s="8"/>
      <c r="AQ227" s="8"/>
      <c r="AR227" s="8"/>
      <c r="AS227" s="8"/>
      <c r="AT227" s="8"/>
      <c r="AU227" s="8"/>
      <c r="AV227" s="8"/>
      <c r="AW227" s="8"/>
      <c r="AX227" s="8"/>
      <c r="AY227" s="8"/>
      <c r="AZ227" s="8"/>
      <c r="BA227" s="8"/>
      <c r="BB227" s="8"/>
      <c r="BC227" s="8"/>
      <c r="BD227" s="8"/>
      <c r="BE227" s="8"/>
    </row>
    <row r="228" spans="1:57">
      <c r="A228" s="8"/>
      <c r="B228" s="8"/>
      <c r="C228" s="8"/>
      <c r="D228" s="8"/>
      <c r="E228" s="8"/>
      <c r="F228" s="54"/>
      <c r="G228" s="8"/>
      <c r="H228" s="8"/>
      <c r="I228" s="8"/>
      <c r="J228" s="8"/>
      <c r="K228" s="8"/>
      <c r="L228" s="8"/>
      <c r="M228" s="8"/>
      <c r="N228" s="8"/>
      <c r="O228" s="8"/>
      <c r="P228" s="8"/>
      <c r="Q228" s="8"/>
      <c r="R228" s="8"/>
      <c r="S228" s="8"/>
      <c r="T228" s="8"/>
      <c r="U228" s="53"/>
      <c r="V228" s="53"/>
      <c r="W228" s="53"/>
      <c r="X228" s="53"/>
      <c r="Y228" s="53"/>
      <c r="Z228" s="53"/>
      <c r="AA228" s="53"/>
      <c r="AB228" s="53"/>
      <c r="AC228" s="53"/>
      <c r="AD228" s="53"/>
      <c r="AE228" s="53"/>
      <c r="AF228" s="53"/>
      <c r="AG228" s="8"/>
      <c r="AH228" s="8"/>
      <c r="AI228" s="8"/>
      <c r="AJ228" s="8"/>
      <c r="AK228" s="8"/>
      <c r="AL228" s="8"/>
      <c r="AM228" s="8"/>
      <c r="AN228" s="8"/>
      <c r="AO228" s="8"/>
      <c r="AP228" s="8"/>
      <c r="AQ228" s="8"/>
      <c r="AR228" s="8"/>
      <c r="AS228" s="8"/>
      <c r="AT228" s="8"/>
      <c r="AU228" s="8"/>
      <c r="AV228" s="8"/>
      <c r="AW228" s="8"/>
      <c r="AX228" s="8"/>
      <c r="AY228" s="8"/>
      <c r="AZ228" s="8"/>
      <c r="BA228" s="8"/>
      <c r="BB228" s="8"/>
      <c r="BC228" s="8"/>
      <c r="BD228" s="8"/>
      <c r="BE228" s="8"/>
    </row>
    <row r="229" spans="1:57">
      <c r="A229" s="8"/>
      <c r="B229" s="8"/>
      <c r="C229" s="8"/>
      <c r="D229" s="8"/>
      <c r="E229" s="8"/>
      <c r="F229" s="54"/>
      <c r="G229" s="8"/>
      <c r="H229" s="8"/>
      <c r="I229" s="8"/>
      <c r="J229" s="8"/>
      <c r="K229" s="8"/>
      <c r="L229" s="8"/>
      <c r="M229" s="8"/>
      <c r="N229" s="8"/>
      <c r="O229" s="8"/>
      <c r="P229" s="8"/>
      <c r="Q229" s="8"/>
      <c r="R229" s="8"/>
      <c r="S229" s="8"/>
      <c r="T229" s="8"/>
      <c r="U229" s="53"/>
      <c r="V229" s="53"/>
      <c r="W229" s="53"/>
      <c r="X229" s="53"/>
      <c r="Y229" s="53"/>
      <c r="Z229" s="53"/>
      <c r="AA229" s="53"/>
      <c r="AB229" s="53"/>
      <c r="AC229" s="53"/>
      <c r="AD229" s="53"/>
      <c r="AE229" s="53"/>
      <c r="AF229" s="53"/>
      <c r="AG229" s="8"/>
      <c r="AH229" s="8"/>
      <c r="AI229" s="8"/>
      <c r="AJ229" s="8"/>
      <c r="AK229" s="8"/>
      <c r="AL229" s="8"/>
      <c r="AM229" s="8"/>
      <c r="AN229" s="8"/>
      <c r="AO229" s="8"/>
      <c r="AP229" s="8"/>
      <c r="AQ229" s="8"/>
      <c r="AR229" s="8"/>
      <c r="AS229" s="8"/>
      <c r="AT229" s="8"/>
      <c r="AU229" s="8"/>
      <c r="AV229" s="8"/>
      <c r="AW229" s="8"/>
      <c r="AX229" s="8"/>
      <c r="AY229" s="8"/>
      <c r="AZ229" s="8"/>
      <c r="BA229" s="8"/>
      <c r="BB229" s="8"/>
      <c r="BC229" s="8"/>
      <c r="BD229" s="8"/>
      <c r="BE229" s="8"/>
    </row>
    <row r="230" spans="1:57">
      <c r="A230" s="8"/>
      <c r="B230" s="8"/>
      <c r="C230" s="8"/>
      <c r="D230" s="8"/>
      <c r="E230" s="8"/>
      <c r="F230" s="54"/>
      <c r="G230" s="8"/>
      <c r="H230" s="8"/>
      <c r="I230" s="8"/>
      <c r="J230" s="8"/>
      <c r="K230" s="8"/>
      <c r="L230" s="8"/>
      <c r="M230" s="8"/>
      <c r="N230" s="8"/>
      <c r="O230" s="8"/>
      <c r="P230" s="8"/>
      <c r="Q230" s="8"/>
      <c r="R230" s="8"/>
      <c r="S230" s="8"/>
      <c r="T230" s="8"/>
      <c r="U230" s="53"/>
      <c r="V230" s="53"/>
      <c r="W230" s="53"/>
      <c r="X230" s="53"/>
      <c r="Y230" s="53"/>
      <c r="Z230" s="53"/>
      <c r="AA230" s="53"/>
      <c r="AB230" s="53"/>
      <c r="AC230" s="53"/>
      <c r="AD230" s="53"/>
      <c r="AE230" s="53"/>
      <c r="AF230" s="53"/>
      <c r="AG230" s="8"/>
      <c r="AH230" s="8"/>
      <c r="AI230" s="8"/>
      <c r="AJ230" s="8"/>
      <c r="AK230" s="8"/>
      <c r="AL230" s="8"/>
      <c r="AM230" s="8"/>
      <c r="AN230" s="8"/>
      <c r="AO230" s="8"/>
      <c r="AP230" s="8"/>
      <c r="AQ230" s="8"/>
      <c r="AR230" s="8"/>
      <c r="AS230" s="8"/>
      <c r="AT230" s="8"/>
      <c r="AU230" s="8"/>
      <c r="AV230" s="8"/>
      <c r="AW230" s="8"/>
      <c r="AX230" s="8"/>
      <c r="AY230" s="8"/>
      <c r="AZ230" s="8"/>
      <c r="BA230" s="8"/>
      <c r="BB230" s="8"/>
      <c r="BC230" s="8"/>
      <c r="BD230" s="8"/>
      <c r="BE230" s="8"/>
    </row>
    <row r="231" spans="1:57">
      <c r="A231" s="8"/>
      <c r="B231" s="8"/>
      <c r="C231" s="8"/>
      <c r="D231" s="8"/>
      <c r="E231" s="8"/>
      <c r="F231" s="54"/>
      <c r="G231" s="8"/>
      <c r="H231" s="8"/>
      <c r="I231" s="8"/>
      <c r="J231" s="8"/>
      <c r="K231" s="8"/>
      <c r="L231" s="8"/>
      <c r="M231" s="8"/>
      <c r="N231" s="8"/>
      <c r="O231" s="8"/>
      <c r="P231" s="8"/>
      <c r="Q231" s="8"/>
      <c r="R231" s="8"/>
      <c r="S231" s="8"/>
      <c r="T231" s="8"/>
      <c r="U231" s="53"/>
      <c r="V231" s="53"/>
      <c r="W231" s="53"/>
      <c r="X231" s="53"/>
      <c r="Y231" s="53"/>
      <c r="Z231" s="53"/>
      <c r="AA231" s="53"/>
      <c r="AB231" s="53"/>
      <c r="AC231" s="53"/>
      <c r="AD231" s="53"/>
      <c r="AE231" s="53"/>
      <c r="AF231" s="53"/>
      <c r="AG231" s="8"/>
      <c r="AH231" s="8"/>
      <c r="AI231" s="8"/>
      <c r="AJ231" s="8"/>
      <c r="AK231" s="8"/>
      <c r="AL231" s="8"/>
      <c r="AM231" s="8"/>
      <c r="AN231" s="8"/>
      <c r="AO231" s="8"/>
      <c r="AP231" s="8"/>
      <c r="AQ231" s="8"/>
      <c r="AR231" s="8"/>
      <c r="AS231" s="8"/>
      <c r="AT231" s="8"/>
      <c r="AU231" s="8"/>
      <c r="AV231" s="8"/>
      <c r="AW231" s="8"/>
      <c r="AX231" s="8"/>
      <c r="AY231" s="8"/>
      <c r="AZ231" s="8"/>
      <c r="BA231" s="8"/>
      <c r="BB231" s="8"/>
      <c r="BC231" s="8"/>
      <c r="BD231" s="8"/>
      <c r="BE231" s="8"/>
    </row>
    <row r="232" spans="1:57">
      <c r="A232" s="8"/>
      <c r="B232" s="8"/>
      <c r="C232" s="8"/>
      <c r="D232" s="8"/>
      <c r="E232" s="8"/>
      <c r="F232" s="54"/>
      <c r="G232" s="8"/>
      <c r="H232" s="8"/>
      <c r="I232" s="8"/>
      <c r="J232" s="8"/>
      <c r="K232" s="8"/>
      <c r="L232" s="8"/>
      <c r="M232" s="8"/>
      <c r="N232" s="8"/>
      <c r="O232" s="8"/>
      <c r="P232" s="8"/>
      <c r="Q232" s="8"/>
      <c r="R232" s="8"/>
      <c r="S232" s="8"/>
      <c r="T232" s="8"/>
      <c r="U232" s="53"/>
      <c r="V232" s="53"/>
      <c r="W232" s="53"/>
      <c r="X232" s="53"/>
      <c r="Y232" s="53"/>
      <c r="Z232" s="53"/>
      <c r="AA232" s="53"/>
      <c r="AB232" s="53"/>
      <c r="AC232" s="53"/>
      <c r="AD232" s="53"/>
      <c r="AE232" s="53"/>
      <c r="AF232" s="53"/>
      <c r="AG232" s="8"/>
      <c r="AH232" s="8"/>
      <c r="AI232" s="8"/>
      <c r="AJ232" s="8"/>
      <c r="AK232" s="8"/>
      <c r="AL232" s="8"/>
      <c r="AM232" s="8"/>
      <c r="AN232" s="8"/>
      <c r="AO232" s="8"/>
      <c r="AP232" s="8"/>
      <c r="AQ232" s="8"/>
      <c r="AR232" s="8"/>
      <c r="AS232" s="8"/>
      <c r="AT232" s="8"/>
      <c r="AU232" s="8"/>
      <c r="AV232" s="8"/>
      <c r="AW232" s="8"/>
      <c r="AX232" s="8"/>
      <c r="AY232" s="8"/>
      <c r="AZ232" s="8"/>
      <c r="BA232" s="8"/>
      <c r="BB232" s="8"/>
      <c r="BC232" s="8"/>
      <c r="BD232" s="8"/>
      <c r="BE232" s="8"/>
    </row>
    <row r="233" spans="1:57">
      <c r="A233" s="8"/>
      <c r="B233" s="8"/>
      <c r="C233" s="8"/>
      <c r="D233" s="8"/>
      <c r="E233" s="8"/>
      <c r="F233" s="54"/>
      <c r="G233" s="8"/>
      <c r="H233" s="8"/>
      <c r="I233" s="8"/>
      <c r="J233" s="8"/>
      <c r="K233" s="8"/>
      <c r="L233" s="8"/>
      <c r="M233" s="8"/>
      <c r="N233" s="8"/>
      <c r="O233" s="8"/>
      <c r="P233" s="8"/>
      <c r="Q233" s="8"/>
      <c r="R233" s="8"/>
      <c r="S233" s="8"/>
      <c r="T233" s="8"/>
      <c r="U233" s="53"/>
      <c r="V233" s="53"/>
      <c r="W233" s="53"/>
      <c r="X233" s="53"/>
      <c r="Y233" s="53"/>
      <c r="Z233" s="53"/>
      <c r="AA233" s="53"/>
      <c r="AB233" s="53"/>
      <c r="AC233" s="53"/>
      <c r="AD233" s="53"/>
      <c r="AE233" s="53"/>
      <c r="AF233" s="53"/>
      <c r="AG233" s="8"/>
      <c r="AH233" s="8"/>
      <c r="AI233" s="8"/>
      <c r="AJ233" s="8"/>
      <c r="AK233" s="8"/>
      <c r="AL233" s="8"/>
      <c r="AM233" s="8"/>
      <c r="AN233" s="8"/>
      <c r="AO233" s="8"/>
      <c r="AP233" s="8"/>
      <c r="AQ233" s="8"/>
      <c r="AR233" s="8"/>
      <c r="AS233" s="8"/>
      <c r="AT233" s="8"/>
      <c r="AU233" s="8"/>
      <c r="AV233" s="8"/>
      <c r="AW233" s="8"/>
      <c r="AX233" s="8"/>
      <c r="AY233" s="8"/>
      <c r="AZ233" s="8"/>
      <c r="BA233" s="8"/>
      <c r="BB233" s="8"/>
      <c r="BC233" s="8"/>
      <c r="BD233" s="8"/>
      <c r="BE233" s="8"/>
    </row>
    <row r="234" spans="1:57">
      <c r="A234" s="8"/>
      <c r="B234" s="8"/>
      <c r="C234" s="8"/>
      <c r="D234" s="8"/>
      <c r="E234" s="8"/>
      <c r="F234" s="54"/>
      <c r="G234" s="8"/>
      <c r="H234" s="8"/>
      <c r="I234" s="8"/>
      <c r="J234" s="8"/>
      <c r="K234" s="8"/>
      <c r="L234" s="8"/>
      <c r="M234" s="8"/>
      <c r="N234" s="8"/>
      <c r="O234" s="8"/>
      <c r="P234" s="8"/>
      <c r="Q234" s="8"/>
      <c r="R234" s="8"/>
      <c r="S234" s="8"/>
      <c r="T234" s="8"/>
      <c r="U234" s="53"/>
      <c r="V234" s="53"/>
      <c r="W234" s="53"/>
      <c r="X234" s="53"/>
      <c r="Y234" s="53"/>
      <c r="Z234" s="53"/>
      <c r="AA234" s="53"/>
      <c r="AB234" s="53"/>
      <c r="AC234" s="53"/>
      <c r="AD234" s="53"/>
      <c r="AE234" s="53"/>
      <c r="AF234" s="53"/>
      <c r="AG234" s="8"/>
      <c r="AH234" s="8"/>
      <c r="AI234" s="8"/>
      <c r="AJ234" s="8"/>
      <c r="AK234" s="8"/>
      <c r="AL234" s="8"/>
      <c r="AM234" s="8"/>
      <c r="AN234" s="8"/>
      <c r="AO234" s="8"/>
      <c r="AP234" s="8"/>
      <c r="AQ234" s="8"/>
      <c r="AR234" s="8"/>
      <c r="AS234" s="8"/>
      <c r="AT234" s="8"/>
      <c r="AU234" s="8"/>
      <c r="AV234" s="8"/>
      <c r="AW234" s="8"/>
      <c r="AX234" s="8"/>
      <c r="AY234" s="8"/>
      <c r="AZ234" s="8"/>
      <c r="BA234" s="8"/>
      <c r="BB234" s="8"/>
      <c r="BC234" s="8"/>
      <c r="BD234" s="8"/>
      <c r="BE234" s="8"/>
    </row>
    <row r="235" spans="1:57">
      <c r="A235" s="8"/>
      <c r="B235" s="8"/>
      <c r="C235" s="8"/>
      <c r="D235" s="8"/>
      <c r="E235" s="8"/>
      <c r="F235" s="54"/>
      <c r="G235" s="8"/>
      <c r="H235" s="8"/>
      <c r="I235" s="8"/>
      <c r="J235" s="8"/>
      <c r="K235" s="8"/>
      <c r="L235" s="8"/>
      <c r="M235" s="8"/>
      <c r="N235" s="8"/>
      <c r="O235" s="8"/>
      <c r="P235" s="8"/>
      <c r="Q235" s="8"/>
      <c r="R235" s="8"/>
      <c r="S235" s="8"/>
      <c r="T235" s="8"/>
      <c r="U235" s="53"/>
      <c r="V235" s="53"/>
      <c r="W235" s="53"/>
      <c r="X235" s="53"/>
      <c r="Y235" s="53"/>
      <c r="Z235" s="53"/>
      <c r="AA235" s="53"/>
      <c r="AB235" s="53"/>
      <c r="AC235" s="53"/>
      <c r="AD235" s="53"/>
      <c r="AE235" s="53"/>
      <c r="AF235" s="53"/>
      <c r="AG235" s="8"/>
      <c r="AH235" s="8"/>
      <c r="AI235" s="8"/>
      <c r="AJ235" s="8"/>
      <c r="AK235" s="8"/>
      <c r="AL235" s="8"/>
      <c r="AM235" s="8"/>
      <c r="AN235" s="8"/>
      <c r="AO235" s="8"/>
      <c r="AP235" s="8"/>
      <c r="AQ235" s="8"/>
      <c r="AR235" s="8"/>
      <c r="AS235" s="8"/>
      <c r="AT235" s="8"/>
      <c r="AU235" s="8"/>
      <c r="AV235" s="8"/>
      <c r="AW235" s="8"/>
      <c r="AX235" s="8"/>
      <c r="AY235" s="8"/>
      <c r="AZ235" s="8"/>
      <c r="BA235" s="8"/>
      <c r="BB235" s="8"/>
      <c r="BC235" s="8"/>
      <c r="BD235" s="8"/>
      <c r="BE235" s="8"/>
    </row>
    <row r="236" spans="1:57">
      <c r="A236" s="8"/>
      <c r="B236" s="8"/>
      <c r="C236" s="8"/>
      <c r="D236" s="8"/>
      <c r="E236" s="8"/>
      <c r="F236" s="54"/>
      <c r="G236" s="8"/>
      <c r="H236" s="8"/>
      <c r="I236" s="8"/>
      <c r="J236" s="8"/>
      <c r="K236" s="8"/>
      <c r="L236" s="8"/>
      <c r="M236" s="8"/>
      <c r="N236" s="8"/>
      <c r="O236" s="8"/>
      <c r="P236" s="8"/>
      <c r="Q236" s="8"/>
      <c r="R236" s="8"/>
      <c r="S236" s="8"/>
      <c r="T236" s="8"/>
      <c r="U236" s="53"/>
      <c r="V236" s="53"/>
      <c r="W236" s="53"/>
      <c r="X236" s="53"/>
      <c r="Y236" s="53"/>
      <c r="Z236" s="53"/>
      <c r="AA236" s="53"/>
      <c r="AB236" s="53"/>
      <c r="AC236" s="53"/>
      <c r="AD236" s="53"/>
      <c r="AE236" s="53"/>
      <c r="AF236" s="53"/>
      <c r="AG236" s="8"/>
      <c r="AH236" s="8"/>
      <c r="AI236" s="8"/>
      <c r="AJ236" s="8"/>
      <c r="AK236" s="8"/>
      <c r="AL236" s="8"/>
      <c r="AM236" s="8"/>
      <c r="AN236" s="8"/>
      <c r="AO236" s="8"/>
      <c r="AP236" s="8"/>
      <c r="AQ236" s="8"/>
      <c r="AR236" s="8"/>
      <c r="AS236" s="8"/>
      <c r="AT236" s="8"/>
      <c r="AU236" s="8"/>
      <c r="AV236" s="8"/>
      <c r="AW236" s="8"/>
      <c r="AX236" s="8"/>
      <c r="AY236" s="8"/>
      <c r="AZ236" s="8"/>
      <c r="BA236" s="8"/>
      <c r="BB236" s="8"/>
      <c r="BC236" s="8"/>
      <c r="BD236" s="8"/>
      <c r="BE236" s="8"/>
    </row>
    <row r="237" spans="1:57">
      <c r="A237" s="8"/>
      <c r="B237" s="8"/>
      <c r="C237" s="8"/>
      <c r="D237" s="8"/>
      <c r="E237" s="8"/>
      <c r="F237" s="54"/>
      <c r="G237" s="8"/>
      <c r="H237" s="8"/>
      <c r="I237" s="8"/>
      <c r="J237" s="8"/>
      <c r="K237" s="8"/>
      <c r="L237" s="8"/>
      <c r="M237" s="8"/>
      <c r="N237" s="8"/>
      <c r="O237" s="8"/>
      <c r="P237" s="8"/>
      <c r="Q237" s="8"/>
      <c r="R237" s="8"/>
      <c r="S237" s="8"/>
      <c r="T237" s="8"/>
      <c r="U237" s="53"/>
      <c r="V237" s="53"/>
      <c r="W237" s="53"/>
      <c r="X237" s="53"/>
      <c r="Y237" s="53"/>
      <c r="Z237" s="53"/>
      <c r="AA237" s="53"/>
      <c r="AB237" s="53"/>
      <c r="AC237" s="53"/>
      <c r="AD237" s="53"/>
      <c r="AE237" s="53"/>
      <c r="AF237" s="53"/>
      <c r="AG237" s="8"/>
      <c r="AH237" s="8"/>
      <c r="AI237" s="8"/>
      <c r="AJ237" s="8"/>
      <c r="AK237" s="8"/>
      <c r="AL237" s="8"/>
      <c r="AM237" s="8"/>
      <c r="AN237" s="8"/>
      <c r="AO237" s="8"/>
      <c r="AP237" s="8"/>
      <c r="AQ237" s="8"/>
      <c r="AR237" s="8"/>
      <c r="AS237" s="8"/>
      <c r="AT237" s="8"/>
      <c r="AU237" s="8"/>
      <c r="AV237" s="8"/>
      <c r="AW237" s="8"/>
      <c r="AX237" s="8"/>
      <c r="AY237" s="8"/>
      <c r="AZ237" s="8"/>
      <c r="BA237" s="8"/>
      <c r="BB237" s="8"/>
      <c r="BC237" s="8"/>
      <c r="BD237" s="8"/>
      <c r="BE237" s="8"/>
    </row>
    <row r="238" spans="1:57">
      <c r="A238" s="8"/>
      <c r="B238" s="8"/>
      <c r="C238" s="8"/>
      <c r="D238" s="8"/>
      <c r="E238" s="8"/>
      <c r="F238" s="54"/>
      <c r="G238" s="8"/>
      <c r="H238" s="8"/>
      <c r="I238" s="8"/>
      <c r="J238" s="8"/>
      <c r="K238" s="8"/>
      <c r="L238" s="8"/>
      <c r="M238" s="8"/>
      <c r="N238" s="8"/>
      <c r="O238" s="8"/>
      <c r="P238" s="8"/>
      <c r="Q238" s="8"/>
      <c r="R238" s="8"/>
      <c r="S238" s="8"/>
      <c r="T238" s="8"/>
      <c r="U238" s="53"/>
      <c r="V238" s="53"/>
      <c r="W238" s="53"/>
      <c r="X238" s="53"/>
      <c r="Y238" s="53"/>
      <c r="Z238" s="53"/>
      <c r="AA238" s="53"/>
      <c r="AB238" s="53"/>
      <c r="AC238" s="53"/>
      <c r="AD238" s="53"/>
      <c r="AE238" s="53"/>
      <c r="AF238" s="53"/>
      <c r="AG238" s="8"/>
      <c r="AH238" s="8"/>
      <c r="AI238" s="8"/>
      <c r="AJ238" s="8"/>
      <c r="AK238" s="8"/>
      <c r="AL238" s="8"/>
      <c r="AM238" s="8"/>
      <c r="AN238" s="8"/>
      <c r="AO238" s="8"/>
      <c r="AP238" s="8"/>
      <c r="AQ238" s="8"/>
      <c r="AR238" s="8"/>
      <c r="AS238" s="8"/>
      <c r="AT238" s="8"/>
      <c r="AU238" s="8"/>
      <c r="AV238" s="8"/>
      <c r="AW238" s="8"/>
      <c r="AX238" s="8"/>
      <c r="AY238" s="8"/>
      <c r="AZ238" s="8"/>
      <c r="BA238" s="8"/>
      <c r="BB238" s="8"/>
      <c r="BC238" s="8"/>
      <c r="BD238" s="8"/>
      <c r="BE238" s="8"/>
    </row>
    <row r="239" spans="1:57">
      <c r="A239" s="8"/>
      <c r="B239" s="8"/>
      <c r="C239" s="8"/>
      <c r="D239" s="8"/>
      <c r="E239" s="8"/>
      <c r="F239" s="54"/>
      <c r="G239" s="8"/>
      <c r="H239" s="8"/>
      <c r="I239" s="8"/>
      <c r="J239" s="8"/>
      <c r="K239" s="8"/>
      <c r="L239" s="8"/>
      <c r="M239" s="8"/>
      <c r="N239" s="8"/>
      <c r="O239" s="8"/>
      <c r="P239" s="8"/>
      <c r="Q239" s="8"/>
      <c r="R239" s="8"/>
      <c r="S239" s="8"/>
      <c r="T239" s="8"/>
      <c r="U239" s="53"/>
      <c r="V239" s="53"/>
      <c r="W239" s="53"/>
      <c r="X239" s="53"/>
      <c r="Y239" s="53"/>
      <c r="Z239" s="53"/>
      <c r="AA239" s="53"/>
      <c r="AB239" s="53"/>
      <c r="AC239" s="53"/>
      <c r="AD239" s="53"/>
      <c r="AE239" s="53"/>
      <c r="AF239" s="53"/>
      <c r="AG239" s="8"/>
      <c r="AH239" s="8"/>
      <c r="AI239" s="8"/>
      <c r="AJ239" s="8"/>
      <c r="AK239" s="8"/>
      <c r="AL239" s="8"/>
      <c r="AM239" s="8"/>
      <c r="AN239" s="8"/>
      <c r="AO239" s="8"/>
      <c r="AP239" s="8"/>
      <c r="AQ239" s="8"/>
      <c r="AR239" s="8"/>
      <c r="AS239" s="8"/>
      <c r="AT239" s="8"/>
      <c r="AU239" s="8"/>
      <c r="AV239" s="8"/>
      <c r="AW239" s="8"/>
      <c r="AX239" s="8"/>
      <c r="AY239" s="8"/>
      <c r="AZ239" s="8"/>
      <c r="BA239" s="8"/>
      <c r="BB239" s="8"/>
      <c r="BC239" s="8"/>
      <c r="BD239" s="8"/>
      <c r="BE239" s="8"/>
    </row>
    <row r="240" spans="1:57">
      <c r="A240" s="8"/>
      <c r="B240" s="8"/>
      <c r="C240" s="8"/>
      <c r="D240" s="8"/>
      <c r="E240" s="8"/>
      <c r="F240" s="54"/>
      <c r="G240" s="8"/>
      <c r="H240" s="8"/>
      <c r="I240" s="8"/>
      <c r="J240" s="8"/>
      <c r="K240" s="8"/>
      <c r="L240" s="8"/>
      <c r="M240" s="8"/>
      <c r="N240" s="8"/>
      <c r="O240" s="8"/>
      <c r="P240" s="8"/>
      <c r="Q240" s="8"/>
      <c r="R240" s="8"/>
      <c r="S240" s="8"/>
      <c r="T240" s="8"/>
      <c r="U240" s="53"/>
      <c r="V240" s="53"/>
      <c r="W240" s="53"/>
      <c r="X240" s="53"/>
      <c r="Y240" s="53"/>
      <c r="Z240" s="53"/>
      <c r="AA240" s="53"/>
      <c r="AB240" s="53"/>
      <c r="AC240" s="53"/>
      <c r="AD240" s="53"/>
      <c r="AE240" s="53"/>
      <c r="AF240" s="53"/>
      <c r="AG240" s="8"/>
      <c r="AH240" s="8"/>
      <c r="AI240" s="8"/>
      <c r="AJ240" s="8"/>
      <c r="AK240" s="8"/>
      <c r="AL240" s="8"/>
      <c r="AM240" s="8"/>
      <c r="AN240" s="8"/>
      <c r="AO240" s="8"/>
      <c r="AP240" s="8"/>
      <c r="AQ240" s="8"/>
      <c r="AR240" s="8"/>
      <c r="AS240" s="8"/>
      <c r="AT240" s="8"/>
      <c r="AU240" s="8"/>
      <c r="AV240" s="8"/>
      <c r="AW240" s="8"/>
      <c r="AX240" s="8"/>
      <c r="AY240" s="8"/>
      <c r="AZ240" s="8"/>
      <c r="BA240" s="8"/>
      <c r="BB240" s="8"/>
      <c r="BC240" s="8"/>
      <c r="BD240" s="8"/>
      <c r="BE240" s="8"/>
    </row>
    <row r="241" spans="1:57">
      <c r="A241" s="8"/>
      <c r="B241" s="8"/>
      <c r="C241" s="8"/>
      <c r="D241" s="8"/>
      <c r="E241" s="8"/>
      <c r="F241" s="54"/>
      <c r="G241" s="8"/>
      <c r="H241" s="8"/>
      <c r="I241" s="8"/>
      <c r="J241" s="8"/>
      <c r="K241" s="8"/>
      <c r="L241" s="8"/>
      <c r="M241" s="8"/>
      <c r="N241" s="8"/>
      <c r="O241" s="8"/>
      <c r="P241" s="8"/>
      <c r="Q241" s="8"/>
      <c r="R241" s="8"/>
      <c r="S241" s="8"/>
      <c r="T241" s="8"/>
      <c r="U241" s="53"/>
      <c r="V241" s="53"/>
      <c r="W241" s="53"/>
      <c r="X241" s="53"/>
      <c r="Y241" s="53"/>
      <c r="Z241" s="53"/>
      <c r="AA241" s="53"/>
      <c r="AB241" s="53"/>
      <c r="AC241" s="53"/>
      <c r="AD241" s="53"/>
      <c r="AE241" s="53"/>
      <c r="AF241" s="53"/>
      <c r="AG241" s="8"/>
      <c r="AH241" s="8"/>
      <c r="AI241" s="8"/>
      <c r="AJ241" s="8"/>
      <c r="AK241" s="8"/>
      <c r="AL241" s="8"/>
      <c r="AM241" s="8"/>
      <c r="AN241" s="8"/>
      <c r="AO241" s="8"/>
      <c r="AP241" s="8"/>
      <c r="AQ241" s="8"/>
      <c r="AR241" s="8"/>
      <c r="AS241" s="8"/>
      <c r="AT241" s="8"/>
      <c r="AU241" s="8"/>
      <c r="AV241" s="8"/>
      <c r="AW241" s="8"/>
      <c r="AX241" s="8"/>
      <c r="AY241" s="8"/>
      <c r="AZ241" s="8"/>
      <c r="BA241" s="8"/>
      <c r="BB241" s="8"/>
      <c r="BC241" s="8"/>
      <c r="BD241" s="8"/>
      <c r="BE241" s="8"/>
    </row>
    <row r="242" spans="1:57">
      <c r="A242" s="8"/>
      <c r="B242" s="8"/>
      <c r="C242" s="8"/>
      <c r="D242" s="8"/>
      <c r="E242" s="8"/>
      <c r="F242" s="54"/>
      <c r="G242" s="8"/>
      <c r="H242" s="8"/>
      <c r="I242" s="8"/>
      <c r="J242" s="8"/>
      <c r="K242" s="8"/>
      <c r="L242" s="8"/>
      <c r="M242" s="8"/>
      <c r="N242" s="8"/>
      <c r="O242" s="8"/>
      <c r="P242" s="8"/>
      <c r="Q242" s="8"/>
      <c r="R242" s="8"/>
      <c r="S242" s="8"/>
      <c r="T242" s="8"/>
      <c r="U242" s="53"/>
      <c r="V242" s="53"/>
      <c r="W242" s="53"/>
      <c r="X242" s="53"/>
      <c r="Y242" s="53"/>
      <c r="Z242" s="53"/>
      <c r="AA242" s="53"/>
      <c r="AB242" s="53"/>
      <c r="AC242" s="53"/>
      <c r="AD242" s="53"/>
      <c r="AE242" s="53"/>
      <c r="AF242" s="53"/>
      <c r="AG242" s="8"/>
      <c r="AH242" s="8"/>
      <c r="AI242" s="8"/>
      <c r="AJ242" s="8"/>
      <c r="AK242" s="8"/>
      <c r="AL242" s="8"/>
      <c r="AM242" s="8"/>
      <c r="AN242" s="8"/>
      <c r="AO242" s="8"/>
      <c r="AP242" s="8"/>
      <c r="AQ242" s="8"/>
      <c r="AR242" s="8"/>
      <c r="AS242" s="8"/>
      <c r="AT242" s="8"/>
      <c r="AU242" s="8"/>
      <c r="AV242" s="8"/>
      <c r="AW242" s="8"/>
      <c r="AX242" s="8"/>
      <c r="AY242" s="8"/>
      <c r="AZ242" s="8"/>
      <c r="BA242" s="8"/>
      <c r="BB242" s="8"/>
      <c r="BC242" s="8"/>
      <c r="BD242" s="8"/>
      <c r="BE242" s="8"/>
    </row>
    <row r="243" spans="1:57">
      <c r="A243" s="8"/>
      <c r="B243" s="8"/>
      <c r="C243" s="8"/>
      <c r="D243" s="8"/>
      <c r="E243" s="8"/>
      <c r="F243" s="54"/>
      <c r="G243" s="8"/>
      <c r="H243" s="8"/>
      <c r="I243" s="8"/>
      <c r="J243" s="8"/>
      <c r="K243" s="8"/>
      <c r="L243" s="8"/>
      <c r="M243" s="8"/>
      <c r="N243" s="8"/>
      <c r="O243" s="8"/>
      <c r="P243" s="8"/>
      <c r="Q243" s="8"/>
      <c r="R243" s="8"/>
      <c r="S243" s="8"/>
      <c r="T243" s="8"/>
      <c r="U243" s="53"/>
      <c r="V243" s="53"/>
      <c r="W243" s="53"/>
      <c r="X243" s="53"/>
      <c r="Y243" s="53"/>
      <c r="Z243" s="53"/>
      <c r="AA243" s="53"/>
      <c r="AB243" s="53"/>
      <c r="AC243" s="53"/>
      <c r="AD243" s="53"/>
      <c r="AE243" s="53"/>
      <c r="AF243" s="53"/>
      <c r="AG243" s="8"/>
      <c r="AH243" s="8"/>
      <c r="AI243" s="8"/>
      <c r="AJ243" s="8"/>
      <c r="AK243" s="8"/>
      <c r="AL243" s="8"/>
      <c r="AM243" s="8"/>
      <c r="AN243" s="8"/>
      <c r="AO243" s="8"/>
      <c r="AP243" s="8"/>
      <c r="AQ243" s="8"/>
      <c r="AR243" s="8"/>
      <c r="AS243" s="8"/>
      <c r="AT243" s="8"/>
      <c r="AU243" s="8"/>
      <c r="AV243" s="8"/>
      <c r="AW243" s="8"/>
      <c r="AX243" s="8"/>
      <c r="AY243" s="8"/>
      <c r="AZ243" s="8"/>
      <c r="BA243" s="8"/>
      <c r="BB243" s="8"/>
      <c r="BC243" s="8"/>
      <c r="BD243" s="8"/>
      <c r="BE243" s="8"/>
    </row>
    <row r="244" spans="1:57">
      <c r="A244" s="8"/>
      <c r="B244" s="8"/>
      <c r="C244" s="8"/>
      <c r="D244" s="8"/>
      <c r="E244" s="8"/>
      <c r="F244" s="54"/>
      <c r="G244" s="8"/>
      <c r="H244" s="8"/>
      <c r="I244" s="8"/>
      <c r="J244" s="8"/>
      <c r="K244" s="8"/>
      <c r="L244" s="8"/>
      <c r="M244" s="8"/>
      <c r="N244" s="8"/>
      <c r="O244" s="8"/>
      <c r="P244" s="8"/>
      <c r="Q244" s="8"/>
      <c r="R244" s="8"/>
      <c r="S244" s="8"/>
      <c r="T244" s="8"/>
      <c r="U244" s="53"/>
      <c r="V244" s="53"/>
      <c r="W244" s="53"/>
      <c r="X244" s="53"/>
      <c r="Y244" s="53"/>
      <c r="Z244" s="53"/>
      <c r="AA244" s="53"/>
      <c r="AB244" s="53"/>
      <c r="AC244" s="53"/>
      <c r="AD244" s="53"/>
      <c r="AE244" s="53"/>
      <c r="AF244" s="53"/>
      <c r="AG244" s="8"/>
      <c r="AH244" s="8"/>
      <c r="AI244" s="8"/>
      <c r="AJ244" s="8"/>
      <c r="AK244" s="8"/>
      <c r="AL244" s="8"/>
      <c r="AM244" s="8"/>
      <c r="AN244" s="8"/>
      <c r="AO244" s="8"/>
      <c r="AP244" s="8"/>
      <c r="AQ244" s="8"/>
      <c r="AR244" s="8"/>
      <c r="AS244" s="8"/>
      <c r="AT244" s="8"/>
      <c r="AU244" s="8"/>
      <c r="AV244" s="8"/>
      <c r="AW244" s="8"/>
      <c r="AX244" s="8"/>
      <c r="AY244" s="8"/>
      <c r="AZ244" s="8"/>
      <c r="BA244" s="8"/>
      <c r="BB244" s="8"/>
      <c r="BC244" s="8"/>
      <c r="BD244" s="8"/>
      <c r="BE244" s="8"/>
    </row>
    <row r="245" spans="1:57">
      <c r="A245" s="8"/>
      <c r="B245" s="8"/>
      <c r="C245" s="8"/>
      <c r="D245" s="8"/>
      <c r="E245" s="8"/>
      <c r="F245" s="54"/>
      <c r="G245" s="8"/>
      <c r="H245" s="8"/>
      <c r="I245" s="8"/>
      <c r="J245" s="8"/>
      <c r="K245" s="8"/>
      <c r="L245" s="8"/>
      <c r="M245" s="8"/>
      <c r="N245" s="8"/>
      <c r="O245" s="8"/>
      <c r="P245" s="8"/>
      <c r="Q245" s="8"/>
      <c r="R245" s="8"/>
      <c r="S245" s="8"/>
      <c r="T245" s="8"/>
      <c r="U245" s="53"/>
      <c r="V245" s="53"/>
      <c r="W245" s="53"/>
      <c r="X245" s="53"/>
      <c r="Y245" s="53"/>
      <c r="Z245" s="53"/>
      <c r="AA245" s="53"/>
      <c r="AB245" s="53"/>
      <c r="AC245" s="53"/>
      <c r="AD245" s="53"/>
      <c r="AE245" s="53"/>
      <c r="AF245" s="53"/>
      <c r="AG245" s="8"/>
      <c r="AH245" s="8"/>
      <c r="AI245" s="8"/>
      <c r="AJ245" s="8"/>
      <c r="AK245" s="8"/>
      <c r="AL245" s="8"/>
      <c r="AM245" s="8"/>
      <c r="AN245" s="8"/>
      <c r="AO245" s="8"/>
      <c r="AP245" s="8"/>
      <c r="AQ245" s="8"/>
      <c r="AR245" s="8"/>
      <c r="AS245" s="8"/>
      <c r="AT245" s="8"/>
      <c r="AU245" s="8"/>
      <c r="AV245" s="8"/>
      <c r="AW245" s="8"/>
      <c r="AX245" s="8"/>
      <c r="AY245" s="8"/>
      <c r="AZ245" s="8"/>
      <c r="BA245" s="8"/>
      <c r="BB245" s="8"/>
      <c r="BC245" s="8"/>
      <c r="BD245" s="8"/>
      <c r="BE245" s="8"/>
    </row>
    <row r="246" spans="1:57">
      <c r="A246" s="8"/>
      <c r="B246" s="8"/>
      <c r="C246" s="8"/>
      <c r="D246" s="8"/>
      <c r="E246" s="8"/>
      <c r="F246" s="54"/>
      <c r="G246" s="8"/>
      <c r="H246" s="8"/>
      <c r="I246" s="8"/>
      <c r="J246" s="8"/>
      <c r="K246" s="8"/>
      <c r="L246" s="8"/>
      <c r="M246" s="8"/>
      <c r="N246" s="8"/>
      <c r="O246" s="8"/>
      <c r="P246" s="8"/>
      <c r="Q246" s="8"/>
      <c r="R246" s="8"/>
      <c r="S246" s="8"/>
      <c r="T246" s="8"/>
      <c r="U246" s="53"/>
      <c r="V246" s="53"/>
      <c r="W246" s="53"/>
      <c r="X246" s="53"/>
      <c r="Y246" s="53"/>
      <c r="Z246" s="53"/>
      <c r="AA246" s="53"/>
      <c r="AB246" s="53"/>
      <c r="AC246" s="53"/>
      <c r="AD246" s="53"/>
      <c r="AE246" s="53"/>
      <c r="AF246" s="53"/>
      <c r="AG246" s="8"/>
      <c r="AH246" s="8"/>
      <c r="AI246" s="8"/>
      <c r="AJ246" s="8"/>
      <c r="AK246" s="8"/>
      <c r="AL246" s="8"/>
      <c r="AM246" s="8"/>
      <c r="AN246" s="8"/>
      <c r="AO246" s="8"/>
      <c r="AP246" s="8"/>
      <c r="AQ246" s="8"/>
      <c r="AR246" s="8"/>
      <c r="AS246" s="8"/>
      <c r="AT246" s="8"/>
      <c r="AU246" s="8"/>
      <c r="AV246" s="8"/>
      <c r="AW246" s="8"/>
      <c r="AX246" s="8"/>
      <c r="AY246" s="8"/>
      <c r="AZ246" s="8"/>
      <c r="BA246" s="8"/>
      <c r="BB246" s="8"/>
      <c r="BC246" s="8"/>
      <c r="BD246" s="8"/>
      <c r="BE246" s="8"/>
    </row>
    <row r="247" spans="1:57">
      <c r="A247" s="8"/>
      <c r="B247" s="8"/>
      <c r="C247" s="8"/>
      <c r="D247" s="8"/>
      <c r="E247" s="8"/>
      <c r="F247" s="54"/>
      <c r="G247" s="8"/>
      <c r="H247" s="8"/>
      <c r="I247" s="8"/>
      <c r="J247" s="8"/>
      <c r="K247" s="8"/>
      <c r="L247" s="8"/>
      <c r="M247" s="8"/>
      <c r="N247" s="8"/>
      <c r="O247" s="8"/>
      <c r="P247" s="8"/>
      <c r="Q247" s="8"/>
      <c r="R247" s="8"/>
      <c r="S247" s="8"/>
      <c r="T247" s="8"/>
      <c r="U247" s="53"/>
      <c r="V247" s="53"/>
      <c r="W247" s="53"/>
      <c r="X247" s="53"/>
      <c r="Y247" s="53"/>
      <c r="Z247" s="53"/>
      <c r="AA247" s="53"/>
      <c r="AB247" s="53"/>
      <c r="AC247" s="53"/>
      <c r="AD247" s="53"/>
      <c r="AE247" s="53"/>
      <c r="AF247" s="53"/>
      <c r="AG247" s="8"/>
      <c r="AH247" s="8"/>
      <c r="AI247" s="8"/>
      <c r="AJ247" s="8"/>
      <c r="AK247" s="8"/>
      <c r="AL247" s="8"/>
      <c r="AM247" s="8"/>
      <c r="AN247" s="8"/>
      <c r="AO247" s="8"/>
      <c r="AP247" s="8"/>
      <c r="AQ247" s="8"/>
      <c r="AR247" s="8"/>
      <c r="AS247" s="8"/>
      <c r="AT247" s="8"/>
      <c r="AU247" s="8"/>
      <c r="AV247" s="8"/>
      <c r="AW247" s="8"/>
      <c r="AX247" s="8"/>
      <c r="AY247" s="8"/>
      <c r="AZ247" s="8"/>
      <c r="BA247" s="8"/>
      <c r="BB247" s="8"/>
      <c r="BC247" s="8"/>
      <c r="BD247" s="8"/>
      <c r="BE247" s="8"/>
    </row>
    <row r="248" spans="1:57">
      <c r="A248" s="8"/>
      <c r="B248" s="8"/>
      <c r="C248" s="8"/>
      <c r="D248" s="8"/>
      <c r="E248" s="8"/>
      <c r="F248" s="54"/>
      <c r="G248" s="8"/>
      <c r="H248" s="8"/>
      <c r="I248" s="8"/>
      <c r="J248" s="8"/>
      <c r="K248" s="8"/>
      <c r="L248" s="8"/>
      <c r="M248" s="8"/>
      <c r="N248" s="8"/>
      <c r="O248" s="8"/>
      <c r="P248" s="8"/>
      <c r="Q248" s="8"/>
      <c r="R248" s="8"/>
      <c r="S248" s="8"/>
      <c r="T248" s="8"/>
      <c r="U248" s="53"/>
      <c r="V248" s="53"/>
      <c r="W248" s="53"/>
      <c r="X248" s="53"/>
      <c r="Y248" s="53"/>
      <c r="Z248" s="53"/>
      <c r="AA248" s="53"/>
      <c r="AB248" s="53"/>
      <c r="AC248" s="53"/>
      <c r="AD248" s="53"/>
      <c r="AE248" s="53"/>
      <c r="AF248" s="53"/>
      <c r="AG248" s="8"/>
      <c r="AH248" s="8"/>
      <c r="AI248" s="8"/>
      <c r="AJ248" s="8"/>
      <c r="AK248" s="8"/>
      <c r="AL248" s="8"/>
      <c r="AM248" s="8"/>
      <c r="AN248" s="8"/>
      <c r="AO248" s="8"/>
      <c r="AP248" s="8"/>
      <c r="AQ248" s="8"/>
      <c r="AR248" s="8"/>
      <c r="AS248" s="8"/>
      <c r="AT248" s="8"/>
      <c r="AU248" s="8"/>
      <c r="AV248" s="8"/>
      <c r="AW248" s="8"/>
      <c r="AX248" s="8"/>
      <c r="AY248" s="8"/>
      <c r="AZ248" s="8"/>
      <c r="BA248" s="8"/>
      <c r="BB248" s="8"/>
      <c r="BC248" s="8"/>
      <c r="BD248" s="8"/>
      <c r="BE248" s="8"/>
    </row>
    <row r="249" spans="1:57">
      <c r="A249" s="8"/>
      <c r="B249" s="8"/>
      <c r="C249" s="8"/>
      <c r="D249" s="8"/>
      <c r="E249" s="8"/>
      <c r="F249" s="54"/>
      <c r="G249" s="8"/>
      <c r="H249" s="8"/>
      <c r="I249" s="8"/>
      <c r="J249" s="8"/>
      <c r="K249" s="8"/>
      <c r="L249" s="8"/>
      <c r="M249" s="8"/>
      <c r="N249" s="8"/>
      <c r="O249" s="8"/>
      <c r="P249" s="8"/>
      <c r="Q249" s="8"/>
      <c r="R249" s="8"/>
      <c r="S249" s="8"/>
      <c r="T249" s="8"/>
      <c r="U249" s="53"/>
      <c r="V249" s="53"/>
      <c r="W249" s="53"/>
      <c r="X249" s="53"/>
      <c r="Y249" s="53"/>
      <c r="Z249" s="53"/>
      <c r="AA249" s="53"/>
      <c r="AB249" s="53"/>
      <c r="AC249" s="53"/>
      <c r="AD249" s="53"/>
      <c r="AE249" s="53"/>
      <c r="AF249" s="53"/>
      <c r="AG249" s="8"/>
      <c r="AH249" s="8"/>
      <c r="AI249" s="8"/>
      <c r="AJ249" s="8"/>
      <c r="AK249" s="8"/>
      <c r="AL249" s="8"/>
      <c r="AM249" s="8"/>
      <c r="AN249" s="8"/>
      <c r="AO249" s="8"/>
      <c r="AP249" s="8"/>
      <c r="AQ249" s="8"/>
      <c r="AR249" s="8"/>
      <c r="AS249" s="8"/>
      <c r="AT249" s="8"/>
      <c r="AU249" s="8"/>
      <c r="AV249" s="8"/>
      <c r="AW249" s="8"/>
      <c r="AX249" s="8"/>
      <c r="AY249" s="8"/>
      <c r="AZ249" s="8"/>
      <c r="BA249" s="8"/>
      <c r="BB249" s="8"/>
      <c r="BC249" s="8"/>
      <c r="BD249" s="8"/>
      <c r="BE249" s="8"/>
    </row>
    <row r="250" spans="1:57">
      <c r="A250" s="8"/>
      <c r="B250" s="8"/>
      <c r="C250" s="8"/>
      <c r="D250" s="8"/>
      <c r="E250" s="8"/>
      <c r="F250" s="54"/>
      <c r="G250" s="8"/>
      <c r="H250" s="8"/>
      <c r="I250" s="8"/>
      <c r="J250" s="8"/>
      <c r="K250" s="8"/>
      <c r="L250" s="8"/>
      <c r="M250" s="8"/>
      <c r="N250" s="8"/>
      <c r="O250" s="8"/>
      <c r="P250" s="8"/>
      <c r="Q250" s="8"/>
      <c r="R250" s="8"/>
      <c r="S250" s="8"/>
      <c r="T250" s="8"/>
      <c r="U250" s="53"/>
      <c r="V250" s="53"/>
      <c r="W250" s="53"/>
      <c r="X250" s="53"/>
      <c r="Y250" s="53"/>
      <c r="Z250" s="53"/>
      <c r="AA250" s="53"/>
      <c r="AB250" s="53"/>
      <c r="AC250" s="53"/>
      <c r="AD250" s="53"/>
      <c r="AE250" s="53"/>
      <c r="AF250" s="53"/>
      <c r="AG250" s="8"/>
      <c r="AH250" s="8"/>
      <c r="AI250" s="8"/>
      <c r="AJ250" s="8"/>
      <c r="AK250" s="8"/>
      <c r="AL250" s="8"/>
      <c r="AM250" s="8"/>
      <c r="AN250" s="8"/>
      <c r="AO250" s="8"/>
      <c r="AP250" s="8"/>
      <c r="AQ250" s="8"/>
      <c r="AR250" s="8"/>
      <c r="AS250" s="8"/>
      <c r="AT250" s="8"/>
      <c r="AU250" s="8"/>
      <c r="AV250" s="8"/>
      <c r="AW250" s="8"/>
      <c r="AX250" s="8"/>
      <c r="AY250" s="8"/>
      <c r="AZ250" s="8"/>
      <c r="BA250" s="8"/>
      <c r="BB250" s="8"/>
      <c r="BC250" s="8"/>
      <c r="BD250" s="8"/>
      <c r="BE250" s="8"/>
    </row>
    <row r="251" spans="1:57">
      <c r="A251" s="8"/>
      <c r="B251" s="8"/>
      <c r="C251" s="8"/>
      <c r="D251" s="8"/>
      <c r="E251" s="8"/>
      <c r="F251" s="54"/>
      <c r="G251" s="8"/>
      <c r="H251" s="8"/>
      <c r="I251" s="8"/>
      <c r="J251" s="8"/>
      <c r="K251" s="8"/>
      <c r="L251" s="8"/>
      <c r="M251" s="8"/>
      <c r="N251" s="8"/>
      <c r="O251" s="8"/>
      <c r="P251" s="8"/>
      <c r="Q251" s="8"/>
      <c r="R251" s="8"/>
      <c r="S251" s="8"/>
      <c r="T251" s="8"/>
      <c r="U251" s="53"/>
      <c r="V251" s="53"/>
      <c r="W251" s="53"/>
      <c r="X251" s="53"/>
      <c r="Y251" s="53"/>
      <c r="Z251" s="53"/>
      <c r="AA251" s="53"/>
      <c r="AB251" s="53"/>
      <c r="AC251" s="53"/>
      <c r="AD251" s="53"/>
      <c r="AE251" s="53"/>
      <c r="AF251" s="53"/>
      <c r="AG251" s="8"/>
      <c r="AH251" s="8"/>
      <c r="AI251" s="8"/>
      <c r="AJ251" s="8"/>
      <c r="AK251" s="8"/>
      <c r="AL251" s="8"/>
      <c r="AM251" s="8"/>
      <c r="AN251" s="8"/>
      <c r="AO251" s="8"/>
      <c r="AP251" s="8"/>
      <c r="AQ251" s="8"/>
      <c r="AR251" s="8"/>
      <c r="AS251" s="8"/>
      <c r="AT251" s="8"/>
      <c r="AU251" s="8"/>
      <c r="AV251" s="8"/>
      <c r="AW251" s="8"/>
      <c r="AX251" s="8"/>
      <c r="AY251" s="8"/>
      <c r="AZ251" s="8"/>
      <c r="BA251" s="8"/>
      <c r="BB251" s="8"/>
      <c r="BC251" s="8"/>
      <c r="BD251" s="8"/>
      <c r="BE251" s="8"/>
    </row>
    <row r="252" spans="1:57">
      <c r="A252" s="8"/>
      <c r="B252" s="8"/>
      <c r="C252" s="8"/>
      <c r="D252" s="8"/>
      <c r="E252" s="8"/>
      <c r="F252" s="54"/>
      <c r="G252" s="8"/>
      <c r="H252" s="8"/>
      <c r="I252" s="8"/>
      <c r="J252" s="8"/>
      <c r="K252" s="8"/>
      <c r="L252" s="8"/>
      <c r="M252" s="8"/>
      <c r="N252" s="8"/>
      <c r="O252" s="8"/>
      <c r="P252" s="8"/>
      <c r="Q252" s="8"/>
      <c r="R252" s="8"/>
      <c r="S252" s="8"/>
      <c r="T252" s="8"/>
      <c r="U252" s="53"/>
      <c r="V252" s="53"/>
      <c r="W252" s="53"/>
      <c r="X252" s="53"/>
      <c r="Y252" s="53"/>
      <c r="Z252" s="53"/>
      <c r="AA252" s="53"/>
      <c r="AB252" s="53"/>
      <c r="AC252" s="53"/>
      <c r="AD252" s="53"/>
      <c r="AE252" s="53"/>
      <c r="AF252" s="53"/>
      <c r="AG252" s="8"/>
      <c r="AH252" s="8"/>
      <c r="AI252" s="8"/>
      <c r="AJ252" s="8"/>
      <c r="AK252" s="8"/>
      <c r="AL252" s="8"/>
      <c r="AM252" s="8"/>
      <c r="AN252" s="8"/>
      <c r="AO252" s="8"/>
      <c r="AP252" s="8"/>
      <c r="AQ252" s="8"/>
      <c r="AR252" s="8"/>
      <c r="AS252" s="8"/>
      <c r="AT252" s="8"/>
      <c r="AU252" s="8"/>
      <c r="AV252" s="8"/>
      <c r="AW252" s="8"/>
      <c r="AX252" s="8"/>
      <c r="AY252" s="8"/>
      <c r="AZ252" s="8"/>
      <c r="BA252" s="8"/>
      <c r="BB252" s="8"/>
      <c r="BC252" s="8"/>
      <c r="BD252" s="8"/>
      <c r="BE252" s="8"/>
    </row>
    <row r="253" spans="1:57">
      <c r="A253" s="8"/>
      <c r="B253" s="8"/>
      <c r="C253" s="8"/>
      <c r="D253" s="8"/>
      <c r="E253" s="8"/>
      <c r="F253" s="54"/>
      <c r="G253" s="8"/>
      <c r="H253" s="8"/>
      <c r="I253" s="8"/>
      <c r="J253" s="8"/>
      <c r="K253" s="8"/>
      <c r="L253" s="8"/>
      <c r="M253" s="8"/>
      <c r="N253" s="8"/>
      <c r="O253" s="8"/>
      <c r="P253" s="8"/>
      <c r="Q253" s="8"/>
      <c r="R253" s="8"/>
      <c r="S253" s="8"/>
      <c r="T253" s="8"/>
      <c r="U253" s="53"/>
      <c r="V253" s="53"/>
      <c r="W253" s="53"/>
      <c r="X253" s="53"/>
      <c r="Y253" s="53"/>
      <c r="Z253" s="53"/>
      <c r="AA253" s="53"/>
      <c r="AB253" s="53"/>
      <c r="AC253" s="53"/>
      <c r="AD253" s="53"/>
      <c r="AE253" s="53"/>
      <c r="AF253" s="53"/>
      <c r="AG253" s="8"/>
      <c r="AH253" s="8"/>
      <c r="AI253" s="8"/>
      <c r="AJ253" s="8"/>
      <c r="AK253" s="8"/>
      <c r="AL253" s="8"/>
      <c r="AM253" s="8"/>
      <c r="AN253" s="8"/>
      <c r="AO253" s="8"/>
      <c r="AP253" s="8"/>
      <c r="AQ253" s="8"/>
      <c r="AR253" s="8"/>
      <c r="AS253" s="8"/>
      <c r="AT253" s="8"/>
      <c r="AU253" s="8"/>
      <c r="AV253" s="8"/>
      <c r="AW253" s="8"/>
      <c r="AX253" s="8"/>
      <c r="AY253" s="8"/>
      <c r="AZ253" s="8"/>
      <c r="BA253" s="8"/>
      <c r="BB253" s="8"/>
      <c r="BC253" s="8"/>
      <c r="BD253" s="8"/>
      <c r="BE253" s="8"/>
    </row>
    <row r="254" spans="1:57">
      <c r="A254" s="8"/>
      <c r="B254" s="8"/>
      <c r="C254" s="8"/>
      <c r="D254" s="8"/>
      <c r="E254" s="8"/>
      <c r="F254" s="54"/>
      <c r="G254" s="8"/>
      <c r="H254" s="8"/>
      <c r="I254" s="8"/>
      <c r="J254" s="8"/>
      <c r="K254" s="8"/>
      <c r="L254" s="8"/>
      <c r="M254" s="8"/>
      <c r="N254" s="8"/>
      <c r="O254" s="8"/>
      <c r="P254" s="8"/>
      <c r="Q254" s="8"/>
      <c r="R254" s="8"/>
      <c r="S254" s="8"/>
      <c r="T254" s="8"/>
      <c r="U254" s="53"/>
      <c r="V254" s="53"/>
      <c r="W254" s="53"/>
      <c r="X254" s="53"/>
      <c r="Y254" s="53"/>
      <c r="Z254" s="53"/>
      <c r="AA254" s="53"/>
      <c r="AB254" s="53"/>
      <c r="AC254" s="53"/>
      <c r="AD254" s="53"/>
      <c r="AE254" s="53"/>
      <c r="AF254" s="53"/>
      <c r="AG254" s="8"/>
      <c r="AH254" s="8"/>
      <c r="AI254" s="8"/>
      <c r="AJ254" s="8"/>
      <c r="AK254" s="8"/>
      <c r="AL254" s="8"/>
      <c r="AM254" s="8"/>
      <c r="AN254" s="8"/>
      <c r="AO254" s="8"/>
      <c r="AP254" s="8"/>
      <c r="AQ254" s="8"/>
      <c r="AR254" s="8"/>
      <c r="AS254" s="8"/>
      <c r="AT254" s="8"/>
      <c r="AU254" s="8"/>
      <c r="AV254" s="8"/>
      <c r="AW254" s="8"/>
      <c r="AX254" s="8"/>
      <c r="AY254" s="8"/>
      <c r="AZ254" s="8"/>
      <c r="BA254" s="8"/>
      <c r="BB254" s="8"/>
      <c r="BC254" s="8"/>
      <c r="BD254" s="8"/>
      <c r="BE254" s="8"/>
    </row>
    <row r="255" spans="1:57">
      <c r="A255" s="8"/>
      <c r="B255" s="8"/>
      <c r="C255" s="8"/>
      <c r="D255" s="8"/>
      <c r="E255" s="8"/>
      <c r="F255" s="54"/>
      <c r="G255" s="8"/>
      <c r="H255" s="8"/>
      <c r="I255" s="8"/>
      <c r="J255" s="8"/>
      <c r="K255" s="8"/>
      <c r="L255" s="8"/>
      <c r="M255" s="8"/>
      <c r="N255" s="8"/>
      <c r="O255" s="8"/>
      <c r="P255" s="8"/>
      <c r="Q255" s="8"/>
      <c r="R255" s="8"/>
      <c r="S255" s="8"/>
      <c r="T255" s="8"/>
      <c r="U255" s="53"/>
      <c r="V255" s="53"/>
      <c r="W255" s="53"/>
      <c r="X255" s="53"/>
      <c r="Y255" s="53"/>
      <c r="Z255" s="53"/>
      <c r="AA255" s="53"/>
      <c r="AB255" s="53"/>
      <c r="AC255" s="53"/>
      <c r="AD255" s="53"/>
      <c r="AE255" s="53"/>
      <c r="AF255" s="53"/>
      <c r="AG255" s="8"/>
      <c r="AH255" s="8"/>
      <c r="AI255" s="8"/>
      <c r="AJ255" s="8"/>
      <c r="AK255" s="8"/>
      <c r="AL255" s="8"/>
      <c r="AM255" s="8"/>
      <c r="AN255" s="8"/>
      <c r="AO255" s="8"/>
      <c r="AP255" s="8"/>
      <c r="AQ255" s="8"/>
      <c r="AR255" s="8"/>
      <c r="AS255" s="8"/>
      <c r="AT255" s="8"/>
      <c r="AU255" s="8"/>
      <c r="AV255" s="8"/>
      <c r="AW255" s="8"/>
      <c r="AX255" s="8"/>
      <c r="AY255" s="8"/>
      <c r="AZ255" s="8"/>
      <c r="BA255" s="8"/>
      <c r="BB255" s="8"/>
      <c r="BC255" s="8"/>
      <c r="BD255" s="8"/>
      <c r="BE255" s="8"/>
    </row>
    <row r="256" spans="1:57">
      <c r="A256" s="8"/>
      <c r="B256" s="8"/>
      <c r="C256" s="8"/>
      <c r="D256" s="8"/>
      <c r="E256" s="8"/>
      <c r="F256" s="54"/>
      <c r="G256" s="8"/>
      <c r="H256" s="8"/>
      <c r="I256" s="8"/>
      <c r="J256" s="8"/>
      <c r="K256" s="8"/>
      <c r="L256" s="8"/>
      <c r="M256" s="8"/>
      <c r="N256" s="8"/>
      <c r="O256" s="8"/>
      <c r="P256" s="8"/>
      <c r="Q256" s="8"/>
      <c r="R256" s="8"/>
      <c r="S256" s="8"/>
      <c r="T256" s="8"/>
      <c r="U256" s="53"/>
      <c r="V256" s="53"/>
      <c r="W256" s="53"/>
      <c r="X256" s="53"/>
      <c r="Y256" s="53"/>
      <c r="Z256" s="53"/>
      <c r="AA256" s="53"/>
      <c r="AB256" s="53"/>
      <c r="AC256" s="53"/>
      <c r="AD256" s="53"/>
      <c r="AE256" s="53"/>
      <c r="AF256" s="53"/>
      <c r="AG256" s="8"/>
      <c r="AH256" s="8"/>
      <c r="AI256" s="8"/>
      <c r="AJ256" s="8"/>
      <c r="AK256" s="8"/>
      <c r="AL256" s="8"/>
      <c r="AM256" s="8"/>
      <c r="AN256" s="8"/>
      <c r="AO256" s="8"/>
      <c r="AP256" s="8"/>
      <c r="AQ256" s="8"/>
      <c r="AR256" s="8"/>
      <c r="AS256" s="8"/>
      <c r="AT256" s="8"/>
      <c r="AU256" s="8"/>
      <c r="AV256" s="8"/>
      <c r="AW256" s="8"/>
      <c r="AX256" s="8"/>
      <c r="AY256" s="8"/>
      <c r="AZ256" s="8"/>
      <c r="BA256" s="8"/>
      <c r="BB256" s="8"/>
      <c r="BC256" s="8"/>
      <c r="BD256" s="8"/>
      <c r="BE256" s="8"/>
    </row>
    <row r="257" spans="1:57">
      <c r="A257" s="8"/>
      <c r="B257" s="8"/>
      <c r="C257" s="8"/>
      <c r="D257" s="8"/>
      <c r="E257" s="8"/>
      <c r="F257" s="54"/>
      <c r="G257" s="8"/>
      <c r="H257" s="8"/>
      <c r="I257" s="8"/>
      <c r="J257" s="8"/>
      <c r="K257" s="8"/>
      <c r="L257" s="8"/>
      <c r="M257" s="8"/>
      <c r="N257" s="8"/>
      <c r="O257" s="8"/>
      <c r="P257" s="8"/>
      <c r="Q257" s="8"/>
      <c r="R257" s="8"/>
      <c r="S257" s="8"/>
      <c r="T257" s="8"/>
      <c r="U257" s="53"/>
      <c r="V257" s="53"/>
      <c r="W257" s="53"/>
      <c r="X257" s="53"/>
      <c r="Y257" s="53"/>
      <c r="Z257" s="53"/>
      <c r="AA257" s="53"/>
      <c r="AB257" s="53"/>
      <c r="AC257" s="53"/>
      <c r="AD257" s="53"/>
      <c r="AE257" s="53"/>
      <c r="AF257" s="53"/>
      <c r="AG257" s="8"/>
      <c r="AH257" s="8"/>
      <c r="AI257" s="8"/>
      <c r="AJ257" s="8"/>
      <c r="AK257" s="8"/>
      <c r="AL257" s="8"/>
      <c r="AM257" s="8"/>
      <c r="AN257" s="8"/>
      <c r="AO257" s="8"/>
      <c r="AP257" s="8"/>
      <c r="AQ257" s="8"/>
      <c r="AR257" s="8"/>
      <c r="AS257" s="8"/>
      <c r="AT257" s="8"/>
      <c r="AU257" s="8"/>
      <c r="AV257" s="8"/>
      <c r="AW257" s="8"/>
      <c r="AX257" s="8"/>
      <c r="AY257" s="8"/>
      <c r="AZ257" s="8"/>
      <c r="BA257" s="8"/>
      <c r="BB257" s="8"/>
      <c r="BC257" s="8"/>
      <c r="BD257" s="8"/>
      <c r="BE257" s="8"/>
    </row>
    <row r="258" spans="1:57">
      <c r="A258" s="8"/>
      <c r="B258" s="8"/>
      <c r="C258" s="8"/>
      <c r="D258" s="8"/>
      <c r="E258" s="8"/>
      <c r="F258" s="54"/>
      <c r="G258" s="8"/>
      <c r="H258" s="8"/>
      <c r="I258" s="8"/>
      <c r="J258" s="8"/>
      <c r="K258" s="8"/>
      <c r="L258" s="8"/>
      <c r="M258" s="8"/>
      <c r="N258" s="8"/>
      <c r="O258" s="8"/>
      <c r="P258" s="8"/>
      <c r="Q258" s="8"/>
      <c r="R258" s="8"/>
      <c r="S258" s="8"/>
      <c r="T258" s="8"/>
      <c r="U258" s="53"/>
      <c r="V258" s="53"/>
      <c r="W258" s="53"/>
      <c r="X258" s="53"/>
      <c r="Y258" s="53"/>
      <c r="Z258" s="53"/>
      <c r="AA258" s="53"/>
      <c r="AB258" s="53"/>
      <c r="AC258" s="53"/>
      <c r="AD258" s="53"/>
      <c r="AE258" s="53"/>
      <c r="AF258" s="53"/>
      <c r="AG258" s="8"/>
      <c r="AH258" s="8"/>
      <c r="AI258" s="8"/>
      <c r="AJ258" s="8"/>
      <c r="AK258" s="8"/>
      <c r="AL258" s="8"/>
      <c r="AM258" s="8"/>
      <c r="AN258" s="8"/>
      <c r="AO258" s="8"/>
      <c r="AP258" s="8"/>
      <c r="AQ258" s="8"/>
      <c r="AR258" s="8"/>
      <c r="AS258" s="8"/>
      <c r="AT258" s="8"/>
      <c r="AU258" s="8"/>
      <c r="AV258" s="8"/>
      <c r="AW258" s="8"/>
      <c r="AX258" s="8"/>
      <c r="AY258" s="8"/>
      <c r="AZ258" s="8"/>
      <c r="BA258" s="8"/>
      <c r="BB258" s="8"/>
      <c r="BC258" s="8"/>
      <c r="BD258" s="8"/>
      <c r="BE258" s="8"/>
    </row>
    <row r="259" spans="1:57">
      <c r="A259" s="8"/>
      <c r="B259" s="8"/>
      <c r="C259" s="8"/>
      <c r="D259" s="8"/>
      <c r="E259" s="8"/>
      <c r="F259" s="54"/>
      <c r="G259" s="8"/>
      <c r="H259" s="8"/>
      <c r="I259" s="8"/>
      <c r="J259" s="8"/>
      <c r="K259" s="8"/>
      <c r="L259" s="8"/>
      <c r="M259" s="8"/>
      <c r="N259" s="8"/>
      <c r="O259" s="8"/>
      <c r="P259" s="8"/>
      <c r="Q259" s="8"/>
      <c r="R259" s="8"/>
      <c r="S259" s="8"/>
      <c r="T259" s="8"/>
      <c r="U259" s="53"/>
      <c r="V259" s="53"/>
      <c r="W259" s="53"/>
      <c r="X259" s="53"/>
      <c r="Y259" s="53"/>
      <c r="Z259" s="53"/>
      <c r="AA259" s="53"/>
      <c r="AB259" s="53"/>
      <c r="AC259" s="53"/>
      <c r="AD259" s="53"/>
      <c r="AE259" s="53"/>
      <c r="AF259" s="53"/>
      <c r="AG259" s="8"/>
      <c r="AH259" s="8"/>
      <c r="AI259" s="8"/>
      <c r="AJ259" s="8"/>
      <c r="AK259" s="8"/>
      <c r="AL259" s="8"/>
      <c r="AM259" s="8"/>
      <c r="AN259" s="8"/>
      <c r="AO259" s="8"/>
      <c r="AP259" s="8"/>
      <c r="AQ259" s="8"/>
      <c r="AR259" s="8"/>
      <c r="AS259" s="8"/>
      <c r="AT259" s="8"/>
      <c r="AU259" s="8"/>
      <c r="AV259" s="8"/>
      <c r="AW259" s="8"/>
      <c r="AX259" s="8"/>
      <c r="AY259" s="8"/>
      <c r="AZ259" s="8"/>
      <c r="BA259" s="8"/>
      <c r="BB259" s="8"/>
      <c r="BC259" s="8"/>
      <c r="BD259" s="8"/>
      <c r="BE259" s="8"/>
    </row>
    <row r="260" spans="1:57">
      <c r="A260" s="8"/>
      <c r="B260" s="8"/>
      <c r="C260" s="8"/>
      <c r="D260" s="8"/>
      <c r="E260" s="8"/>
      <c r="F260" s="54"/>
      <c r="G260" s="8"/>
      <c r="H260" s="8"/>
      <c r="I260" s="8"/>
      <c r="J260" s="8"/>
      <c r="K260" s="8"/>
      <c r="L260" s="8"/>
      <c r="M260" s="8"/>
      <c r="N260" s="8"/>
      <c r="O260" s="8"/>
      <c r="P260" s="8"/>
      <c r="Q260" s="8"/>
      <c r="R260" s="8"/>
      <c r="S260" s="8"/>
      <c r="T260" s="8"/>
      <c r="U260" s="53"/>
      <c r="V260" s="53"/>
      <c r="W260" s="53"/>
      <c r="X260" s="53"/>
      <c r="Y260" s="53"/>
      <c r="Z260" s="53"/>
      <c r="AA260" s="53"/>
      <c r="AB260" s="53"/>
      <c r="AC260" s="53"/>
      <c r="AD260" s="53"/>
      <c r="AE260" s="53"/>
      <c r="AF260" s="53"/>
      <c r="AG260" s="8"/>
      <c r="AH260" s="8"/>
      <c r="AI260" s="8"/>
      <c r="AJ260" s="8"/>
      <c r="AK260" s="8"/>
      <c r="AL260" s="8"/>
      <c r="AM260" s="8"/>
      <c r="AN260" s="8"/>
      <c r="AO260" s="8"/>
      <c r="AP260" s="8"/>
      <c r="AQ260" s="8"/>
      <c r="AR260" s="8"/>
      <c r="AS260" s="8"/>
      <c r="AT260" s="8"/>
      <c r="AU260" s="8"/>
      <c r="AV260" s="8"/>
      <c r="AW260" s="8"/>
      <c r="AX260" s="8"/>
      <c r="AY260" s="8"/>
      <c r="AZ260" s="8"/>
      <c r="BA260" s="8"/>
      <c r="BB260" s="8"/>
      <c r="BC260" s="8"/>
      <c r="BD260" s="8"/>
      <c r="BE260" s="8"/>
    </row>
    <row r="261" spans="1:57">
      <c r="A261" s="8"/>
      <c r="B261" s="8"/>
      <c r="C261" s="8"/>
      <c r="D261" s="8"/>
      <c r="E261" s="8"/>
      <c r="F261" s="54"/>
      <c r="G261" s="8"/>
      <c r="H261" s="8"/>
      <c r="I261" s="8"/>
      <c r="J261" s="8"/>
      <c r="K261" s="8"/>
      <c r="L261" s="8"/>
      <c r="M261" s="8"/>
      <c r="N261" s="8"/>
      <c r="O261" s="8"/>
      <c r="P261" s="8"/>
      <c r="Q261" s="8"/>
      <c r="R261" s="8"/>
      <c r="S261" s="8"/>
      <c r="T261" s="8"/>
      <c r="U261" s="53"/>
      <c r="V261" s="53"/>
      <c r="W261" s="53"/>
      <c r="X261" s="53"/>
      <c r="Y261" s="53"/>
      <c r="Z261" s="53"/>
      <c r="AA261" s="53"/>
      <c r="AB261" s="53"/>
      <c r="AC261" s="53"/>
      <c r="AD261" s="53"/>
      <c r="AE261" s="53"/>
      <c r="AF261" s="53"/>
      <c r="AG261" s="8"/>
      <c r="AH261" s="8"/>
      <c r="AI261" s="8"/>
      <c r="AJ261" s="8"/>
      <c r="AK261" s="8"/>
      <c r="AL261" s="8"/>
      <c r="AM261" s="8"/>
      <c r="AN261" s="8"/>
      <c r="AO261" s="8"/>
      <c r="AP261" s="8"/>
      <c r="AQ261" s="8"/>
      <c r="AR261" s="8"/>
      <c r="AS261" s="8"/>
      <c r="AT261" s="8"/>
      <c r="AU261" s="8"/>
      <c r="AV261" s="8"/>
      <c r="AW261" s="8"/>
      <c r="AX261" s="8"/>
      <c r="AY261" s="8"/>
      <c r="AZ261" s="8"/>
      <c r="BA261" s="8"/>
      <c r="BB261" s="8"/>
      <c r="BC261" s="8"/>
      <c r="BD261" s="8"/>
      <c r="BE261" s="8"/>
    </row>
    <row r="262" spans="1:57">
      <c r="A262" s="8"/>
      <c r="B262" s="8"/>
      <c r="C262" s="8"/>
      <c r="D262" s="8"/>
      <c r="E262" s="8"/>
      <c r="F262" s="54"/>
      <c r="G262" s="8"/>
      <c r="H262" s="8"/>
      <c r="I262" s="8"/>
      <c r="J262" s="8"/>
      <c r="K262" s="8"/>
      <c r="L262" s="8"/>
      <c r="M262" s="8"/>
      <c r="N262" s="8"/>
      <c r="O262" s="8"/>
      <c r="P262" s="8"/>
      <c r="Q262" s="8"/>
      <c r="R262" s="8"/>
      <c r="S262" s="8"/>
      <c r="T262" s="8"/>
      <c r="U262" s="53"/>
      <c r="V262" s="53"/>
      <c r="W262" s="53"/>
      <c r="X262" s="53"/>
      <c r="Y262" s="53"/>
      <c r="Z262" s="53"/>
      <c r="AA262" s="53"/>
      <c r="AB262" s="53"/>
      <c r="AC262" s="53"/>
      <c r="AD262" s="53"/>
      <c r="AE262" s="53"/>
      <c r="AF262" s="53"/>
      <c r="AG262" s="8"/>
      <c r="AH262" s="8"/>
      <c r="AI262" s="8"/>
      <c r="AJ262" s="8"/>
      <c r="AK262" s="8"/>
      <c r="AL262" s="8"/>
      <c r="AM262" s="8"/>
      <c r="AN262" s="8"/>
      <c r="AO262" s="8"/>
      <c r="AP262" s="8"/>
      <c r="AQ262" s="8"/>
      <c r="AR262" s="8"/>
      <c r="AS262" s="8"/>
      <c r="AT262" s="8"/>
      <c r="AU262" s="8"/>
      <c r="AV262" s="8"/>
      <c r="AW262" s="8"/>
      <c r="AX262" s="8"/>
      <c r="AY262" s="8"/>
      <c r="AZ262" s="8"/>
      <c r="BA262" s="8"/>
      <c r="BB262" s="8"/>
      <c r="BC262" s="8"/>
      <c r="BD262" s="8"/>
      <c r="BE262" s="8"/>
    </row>
    <row r="263" spans="1:57">
      <c r="A263" s="8"/>
      <c r="B263" s="8"/>
      <c r="C263" s="8"/>
      <c r="D263" s="8"/>
      <c r="E263" s="8"/>
      <c r="F263" s="54"/>
      <c r="G263" s="8"/>
      <c r="H263" s="8"/>
      <c r="I263" s="8"/>
      <c r="J263" s="8"/>
      <c r="K263" s="8"/>
      <c r="L263" s="8"/>
      <c r="M263" s="8"/>
      <c r="N263" s="8"/>
      <c r="O263" s="8"/>
      <c r="P263" s="8"/>
      <c r="Q263" s="8"/>
      <c r="R263" s="8"/>
      <c r="S263" s="8"/>
      <c r="T263" s="8"/>
      <c r="U263" s="53"/>
      <c r="V263" s="53"/>
      <c r="W263" s="53"/>
      <c r="X263" s="53"/>
      <c r="Y263" s="53"/>
      <c r="Z263" s="53"/>
      <c r="AA263" s="53"/>
      <c r="AB263" s="53"/>
      <c r="AC263" s="53"/>
      <c r="AD263" s="53"/>
      <c r="AE263" s="53"/>
      <c r="AF263" s="53"/>
      <c r="AG263" s="8"/>
      <c r="AH263" s="8"/>
      <c r="AI263" s="8"/>
      <c r="AJ263" s="8"/>
      <c r="AK263" s="8"/>
      <c r="AL263" s="8"/>
      <c r="AM263" s="8"/>
      <c r="AN263" s="8"/>
      <c r="AO263" s="8"/>
      <c r="AP263" s="8"/>
      <c r="AQ263" s="8"/>
      <c r="AR263" s="8"/>
      <c r="AS263" s="8"/>
      <c r="AT263" s="8"/>
      <c r="AU263" s="8"/>
      <c r="AV263" s="8"/>
      <c r="AW263" s="8"/>
      <c r="AX263" s="8"/>
      <c r="AY263" s="8"/>
      <c r="AZ263" s="8"/>
      <c r="BA263" s="8"/>
      <c r="BB263" s="8"/>
      <c r="BC263" s="8"/>
      <c r="BD263" s="8"/>
      <c r="BE263" s="8"/>
    </row>
    <row r="264" spans="1:57">
      <c r="A264" s="8"/>
      <c r="B264" s="8"/>
      <c r="C264" s="8"/>
      <c r="D264" s="8"/>
      <c r="E264" s="8"/>
      <c r="F264" s="54"/>
      <c r="G264" s="8"/>
      <c r="H264" s="8"/>
      <c r="I264" s="8"/>
      <c r="J264" s="8"/>
      <c r="K264" s="8"/>
      <c r="L264" s="8"/>
      <c r="M264" s="8"/>
      <c r="N264" s="8"/>
      <c r="O264" s="8"/>
      <c r="P264" s="8"/>
      <c r="Q264" s="8"/>
      <c r="R264" s="8"/>
      <c r="S264" s="8"/>
      <c r="T264" s="8"/>
      <c r="U264" s="53"/>
      <c r="V264" s="53"/>
      <c r="W264" s="53"/>
      <c r="X264" s="53"/>
      <c r="Y264" s="53"/>
      <c r="Z264" s="53"/>
      <c r="AA264" s="53"/>
      <c r="AB264" s="53"/>
      <c r="AC264" s="53"/>
      <c r="AD264" s="53"/>
      <c r="AE264" s="53"/>
      <c r="AF264" s="53"/>
      <c r="AG264" s="8"/>
      <c r="AH264" s="8"/>
      <c r="AI264" s="8"/>
      <c r="AJ264" s="8"/>
      <c r="AK264" s="8"/>
      <c r="AL264" s="8"/>
      <c r="AM264" s="8"/>
      <c r="AN264" s="8"/>
      <c r="AO264" s="8"/>
      <c r="AP264" s="8"/>
      <c r="AQ264" s="8"/>
      <c r="AR264" s="8"/>
      <c r="AS264" s="8"/>
      <c r="AT264" s="8"/>
      <c r="AU264" s="8"/>
      <c r="AV264" s="8"/>
      <c r="AW264" s="8"/>
      <c r="AX264" s="8"/>
      <c r="AY264" s="8"/>
      <c r="AZ264" s="8"/>
      <c r="BA264" s="8"/>
      <c r="BB264" s="8"/>
      <c r="BC264" s="8"/>
      <c r="BD264" s="8"/>
      <c r="BE264" s="8"/>
    </row>
    <row r="265" spans="1:57">
      <c r="A265" s="8"/>
      <c r="B265" s="8"/>
      <c r="C265" s="8"/>
      <c r="D265" s="8"/>
      <c r="E265" s="8"/>
      <c r="F265" s="54"/>
      <c r="G265" s="8"/>
      <c r="H265" s="8"/>
      <c r="I265" s="8"/>
      <c r="J265" s="8"/>
      <c r="K265" s="8"/>
      <c r="L265" s="8"/>
      <c r="M265" s="8"/>
      <c r="N265" s="8"/>
      <c r="O265" s="8"/>
      <c r="P265" s="8"/>
      <c r="Q265" s="8"/>
      <c r="R265" s="8"/>
      <c r="S265" s="8"/>
      <c r="T265" s="8"/>
      <c r="U265" s="53"/>
      <c r="V265" s="53"/>
      <c r="W265" s="53"/>
      <c r="X265" s="53"/>
      <c r="Y265" s="53"/>
      <c r="Z265" s="53"/>
      <c r="AA265" s="53"/>
      <c r="AB265" s="53"/>
      <c r="AC265" s="53"/>
      <c r="AD265" s="53"/>
      <c r="AE265" s="53"/>
      <c r="AF265" s="53"/>
      <c r="AG265" s="8"/>
      <c r="AH265" s="8"/>
      <c r="AI265" s="8"/>
      <c r="AJ265" s="8"/>
      <c r="AK265" s="8"/>
      <c r="AL265" s="8"/>
      <c r="AM265" s="8"/>
      <c r="AN265" s="8"/>
      <c r="AO265" s="8"/>
      <c r="AP265" s="8"/>
      <c r="AQ265" s="8"/>
      <c r="AR265" s="8"/>
      <c r="AS265" s="8"/>
      <c r="AT265" s="8"/>
      <c r="AU265" s="8"/>
      <c r="AV265" s="8"/>
      <c r="AW265" s="8"/>
      <c r="AX265" s="8"/>
      <c r="AY265" s="8"/>
      <c r="AZ265" s="8"/>
      <c r="BA265" s="8"/>
      <c r="BB265" s="8"/>
      <c r="BC265" s="8"/>
      <c r="BD265" s="8"/>
      <c r="BE265" s="8"/>
    </row>
    <row r="266" spans="1:57">
      <c r="A266" s="8"/>
      <c r="B266" s="8"/>
      <c r="C266" s="8"/>
      <c r="D266" s="8"/>
      <c r="E266" s="8"/>
      <c r="F266" s="54"/>
      <c r="G266" s="8"/>
      <c r="H266" s="8"/>
      <c r="I266" s="8"/>
      <c r="J266" s="8"/>
      <c r="K266" s="8"/>
      <c r="L266" s="8"/>
      <c r="M266" s="8"/>
      <c r="N266" s="8"/>
      <c r="O266" s="8"/>
      <c r="P266" s="8"/>
      <c r="Q266" s="8"/>
      <c r="R266" s="8"/>
      <c r="S266" s="8"/>
      <c r="T266" s="8"/>
      <c r="U266" s="53"/>
      <c r="V266" s="53"/>
      <c r="W266" s="53"/>
      <c r="X266" s="53"/>
      <c r="Y266" s="53"/>
      <c r="Z266" s="53"/>
      <c r="AA266" s="53"/>
      <c r="AB266" s="53"/>
      <c r="AC266" s="53"/>
      <c r="AD266" s="53"/>
      <c r="AE266" s="53"/>
      <c r="AF266" s="53"/>
      <c r="AG266" s="8"/>
      <c r="AH266" s="8"/>
      <c r="AI266" s="8"/>
      <c r="AJ266" s="8"/>
      <c r="AK266" s="8"/>
      <c r="AL266" s="8"/>
      <c r="AM266" s="8"/>
      <c r="AN266" s="8"/>
      <c r="AO266" s="8"/>
      <c r="AP266" s="8"/>
      <c r="AQ266" s="8"/>
      <c r="AR266" s="8"/>
      <c r="AS266" s="8"/>
      <c r="AT266" s="8"/>
      <c r="AU266" s="8"/>
      <c r="AV266" s="8"/>
      <c r="AW266" s="8"/>
      <c r="AX266" s="8"/>
      <c r="AY266" s="8"/>
      <c r="AZ266" s="8"/>
      <c r="BA266" s="8"/>
      <c r="BB266" s="8"/>
      <c r="BC266" s="8"/>
      <c r="BD266" s="8"/>
      <c r="BE266" s="8"/>
    </row>
    <row r="267" spans="1:57">
      <c r="A267" s="8"/>
      <c r="B267" s="8"/>
      <c r="C267" s="8"/>
      <c r="D267" s="8"/>
      <c r="E267" s="8"/>
      <c r="F267" s="54"/>
      <c r="G267" s="8"/>
      <c r="H267" s="8"/>
      <c r="I267" s="8"/>
      <c r="J267" s="8"/>
      <c r="K267" s="8"/>
      <c r="L267" s="8"/>
      <c r="M267" s="8"/>
      <c r="N267" s="8"/>
      <c r="O267" s="8"/>
      <c r="P267" s="8"/>
      <c r="Q267" s="8"/>
      <c r="R267" s="8"/>
      <c r="S267" s="8"/>
      <c r="T267" s="8"/>
      <c r="U267" s="53"/>
      <c r="V267" s="53"/>
      <c r="W267" s="53"/>
      <c r="X267" s="53"/>
      <c r="Y267" s="53"/>
      <c r="Z267" s="53"/>
      <c r="AA267" s="53"/>
      <c r="AB267" s="53"/>
      <c r="AC267" s="53"/>
      <c r="AD267" s="53"/>
      <c r="AE267" s="53"/>
      <c r="AF267" s="53"/>
      <c r="AG267" s="8"/>
      <c r="AH267" s="8"/>
      <c r="AI267" s="8"/>
      <c r="AJ267" s="8"/>
      <c r="AK267" s="8"/>
      <c r="AL267" s="8"/>
      <c r="AM267" s="8"/>
      <c r="AN267" s="8"/>
      <c r="AO267" s="8"/>
      <c r="AP267" s="8"/>
      <c r="AQ267" s="8"/>
      <c r="AR267" s="8"/>
      <c r="AS267" s="8"/>
      <c r="AT267" s="8"/>
      <c r="AU267" s="8"/>
      <c r="AV267" s="8"/>
      <c r="AW267" s="8"/>
      <c r="AX267" s="8"/>
      <c r="AY267" s="8"/>
      <c r="AZ267" s="8"/>
      <c r="BA267" s="8"/>
      <c r="BB267" s="8"/>
      <c r="BC267" s="8"/>
      <c r="BD267" s="8"/>
      <c r="BE267" s="8"/>
    </row>
    <row r="268" spans="1:57">
      <c r="A268" s="8"/>
      <c r="B268" s="8"/>
      <c r="C268" s="8"/>
      <c r="D268" s="8"/>
      <c r="E268" s="8"/>
      <c r="F268" s="54"/>
      <c r="G268" s="8"/>
      <c r="H268" s="8"/>
      <c r="I268" s="8"/>
      <c r="J268" s="8"/>
      <c r="K268" s="8"/>
      <c r="L268" s="8"/>
      <c r="M268" s="8"/>
      <c r="N268" s="8"/>
      <c r="O268" s="8"/>
      <c r="P268" s="8"/>
      <c r="Q268" s="8"/>
      <c r="R268" s="8"/>
      <c r="S268" s="8"/>
      <c r="T268" s="8"/>
      <c r="U268" s="53"/>
      <c r="V268" s="53"/>
      <c r="W268" s="53"/>
      <c r="X268" s="53"/>
      <c r="Y268" s="53"/>
      <c r="Z268" s="53"/>
      <c r="AA268" s="53"/>
      <c r="AB268" s="53"/>
      <c r="AC268" s="53"/>
      <c r="AD268" s="53"/>
      <c r="AE268" s="53"/>
      <c r="AF268" s="53"/>
      <c r="AG268" s="8"/>
      <c r="AH268" s="8"/>
      <c r="AI268" s="8"/>
      <c r="AJ268" s="8"/>
      <c r="AK268" s="8"/>
      <c r="AL268" s="8"/>
      <c r="AM268" s="8"/>
      <c r="AN268" s="8"/>
      <c r="AO268" s="8"/>
      <c r="AP268" s="8"/>
      <c r="AQ268" s="8"/>
      <c r="AR268" s="8"/>
      <c r="AS268" s="8"/>
      <c r="AT268" s="8"/>
      <c r="AU268" s="8"/>
      <c r="AV268" s="8"/>
      <c r="AW268" s="8"/>
      <c r="AX268" s="8"/>
      <c r="AY268" s="8"/>
      <c r="AZ268" s="8"/>
      <c r="BA268" s="8"/>
      <c r="BB268" s="8"/>
      <c r="BC268" s="8"/>
      <c r="BD268" s="8"/>
      <c r="BE268" s="8"/>
    </row>
    <row r="269" spans="1:57">
      <c r="A269" s="8"/>
      <c r="B269" s="8"/>
      <c r="C269" s="8"/>
      <c r="D269" s="8"/>
      <c r="E269" s="8"/>
      <c r="F269" s="54"/>
      <c r="G269" s="8"/>
      <c r="H269" s="8"/>
      <c r="I269" s="8"/>
      <c r="J269" s="8"/>
      <c r="K269" s="8"/>
      <c r="L269" s="8"/>
      <c r="M269" s="8"/>
      <c r="N269" s="8"/>
      <c r="O269" s="8"/>
      <c r="P269" s="8"/>
      <c r="Q269" s="8"/>
      <c r="R269" s="8"/>
      <c r="S269" s="8"/>
      <c r="T269" s="8"/>
      <c r="U269" s="53"/>
      <c r="V269" s="53"/>
      <c r="W269" s="53"/>
      <c r="X269" s="53"/>
      <c r="Y269" s="53"/>
      <c r="Z269" s="53"/>
      <c r="AA269" s="53"/>
      <c r="AB269" s="53"/>
      <c r="AC269" s="53"/>
      <c r="AD269" s="53"/>
      <c r="AE269" s="53"/>
      <c r="AF269" s="53"/>
      <c r="AG269" s="8"/>
      <c r="AH269" s="8"/>
      <c r="AI269" s="8"/>
      <c r="AJ269" s="8"/>
      <c r="AK269" s="8"/>
      <c r="AL269" s="8"/>
      <c r="AM269" s="8"/>
      <c r="AN269" s="8"/>
      <c r="AO269" s="8"/>
      <c r="AP269" s="8"/>
      <c r="AQ269" s="8"/>
      <c r="AR269" s="8"/>
      <c r="AS269" s="8"/>
      <c r="AT269" s="8"/>
      <c r="AU269" s="8"/>
      <c r="AV269" s="8"/>
      <c r="AW269" s="8"/>
      <c r="AX269" s="8"/>
      <c r="AY269" s="8"/>
      <c r="AZ269" s="8"/>
      <c r="BA269" s="8"/>
      <c r="BB269" s="8"/>
      <c r="BC269" s="8"/>
      <c r="BD269" s="8"/>
      <c r="BE269" s="8"/>
    </row>
    <row r="270" spans="1:57">
      <c r="A270" s="8"/>
      <c r="B270" s="8"/>
      <c r="C270" s="8"/>
      <c r="D270" s="8"/>
      <c r="E270" s="8"/>
      <c r="F270" s="54"/>
      <c r="G270" s="8"/>
      <c r="H270" s="8"/>
      <c r="I270" s="8"/>
      <c r="J270" s="8"/>
      <c r="K270" s="8"/>
      <c r="L270" s="8"/>
      <c r="M270" s="8"/>
      <c r="N270" s="8"/>
      <c r="O270" s="8"/>
      <c r="P270" s="8"/>
      <c r="Q270" s="8"/>
      <c r="R270" s="8"/>
      <c r="S270" s="8"/>
      <c r="T270" s="8"/>
      <c r="U270" s="53"/>
      <c r="V270" s="53"/>
      <c r="W270" s="53"/>
      <c r="X270" s="53"/>
      <c r="Y270" s="53"/>
      <c r="Z270" s="53"/>
      <c r="AA270" s="53"/>
      <c r="AB270" s="53"/>
      <c r="AC270" s="53"/>
      <c r="AD270" s="53"/>
      <c r="AE270" s="53"/>
      <c r="AF270" s="53"/>
      <c r="AG270" s="8"/>
      <c r="AH270" s="8"/>
      <c r="AI270" s="8"/>
      <c r="AJ270" s="8"/>
      <c r="AK270" s="8"/>
      <c r="AL270" s="8"/>
      <c r="AM270" s="8"/>
      <c r="AN270" s="8"/>
      <c r="AO270" s="8"/>
      <c r="AP270" s="8"/>
      <c r="AQ270" s="8"/>
      <c r="AR270" s="8"/>
      <c r="AS270" s="8"/>
      <c r="AT270" s="8"/>
      <c r="AU270" s="8"/>
      <c r="AV270" s="8"/>
      <c r="AW270" s="8"/>
      <c r="AX270" s="8"/>
      <c r="AY270" s="8"/>
      <c r="AZ270" s="8"/>
      <c r="BA270" s="8"/>
      <c r="BB270" s="8"/>
      <c r="BC270" s="8"/>
      <c r="BD270" s="8"/>
      <c r="BE270" s="8"/>
    </row>
    <row r="271" spans="1:57">
      <c r="A271" s="8"/>
      <c r="B271" s="8"/>
      <c r="C271" s="8"/>
      <c r="D271" s="8"/>
      <c r="E271" s="8"/>
      <c r="F271" s="54"/>
      <c r="G271" s="8"/>
      <c r="H271" s="8"/>
      <c r="I271" s="8"/>
      <c r="J271" s="8"/>
      <c r="K271" s="8"/>
      <c r="L271" s="8"/>
      <c r="M271" s="8"/>
      <c r="N271" s="8"/>
      <c r="O271" s="8"/>
      <c r="P271" s="8"/>
      <c r="Q271" s="8"/>
      <c r="R271" s="8"/>
      <c r="S271" s="8"/>
      <c r="T271" s="8"/>
      <c r="U271" s="53"/>
      <c r="V271" s="53"/>
      <c r="W271" s="53"/>
      <c r="X271" s="53"/>
      <c r="Y271" s="53"/>
      <c r="Z271" s="53"/>
      <c r="AA271" s="53"/>
      <c r="AB271" s="53"/>
      <c r="AC271" s="53"/>
      <c r="AD271" s="53"/>
      <c r="AE271" s="53"/>
      <c r="AF271" s="53"/>
      <c r="AG271" s="8"/>
      <c r="AH271" s="8"/>
      <c r="AI271" s="8"/>
      <c r="AJ271" s="8"/>
      <c r="AK271" s="8"/>
      <c r="AL271" s="8"/>
      <c r="AM271" s="8"/>
      <c r="AN271" s="8"/>
      <c r="AO271" s="8"/>
      <c r="AP271" s="8"/>
      <c r="AQ271" s="8"/>
      <c r="AR271" s="8"/>
      <c r="AS271" s="8"/>
      <c r="AT271" s="8"/>
      <c r="AU271" s="8"/>
      <c r="AV271" s="8"/>
      <c r="AW271" s="8"/>
      <c r="AX271" s="8"/>
      <c r="AY271" s="8"/>
      <c r="AZ271" s="8"/>
      <c r="BA271" s="8"/>
      <c r="BB271" s="8"/>
      <c r="BC271" s="8"/>
      <c r="BD271" s="8"/>
      <c r="BE271" s="8"/>
    </row>
    <row r="272" spans="1:57">
      <c r="A272" s="8"/>
      <c r="B272" s="8"/>
      <c r="C272" s="8"/>
      <c r="D272" s="8"/>
      <c r="E272" s="8"/>
      <c r="F272" s="54"/>
      <c r="G272" s="8"/>
      <c r="H272" s="8"/>
      <c r="I272" s="8"/>
      <c r="J272" s="8"/>
      <c r="K272" s="8"/>
      <c r="L272" s="8"/>
      <c r="M272" s="8"/>
      <c r="N272" s="8"/>
      <c r="O272" s="8"/>
      <c r="P272" s="8"/>
      <c r="Q272" s="8"/>
      <c r="R272" s="8"/>
      <c r="S272" s="8"/>
      <c r="T272" s="8"/>
      <c r="U272" s="53"/>
      <c r="V272" s="53"/>
      <c r="W272" s="53"/>
      <c r="X272" s="53"/>
      <c r="Y272" s="53"/>
      <c r="Z272" s="53"/>
      <c r="AA272" s="53"/>
      <c r="AB272" s="53"/>
      <c r="AC272" s="53"/>
      <c r="AD272" s="53"/>
      <c r="AE272" s="53"/>
      <c r="AF272" s="53"/>
      <c r="AG272" s="8"/>
      <c r="AH272" s="8"/>
      <c r="AI272" s="8"/>
      <c r="AJ272" s="8"/>
      <c r="AK272" s="8"/>
      <c r="AL272" s="8"/>
      <c r="AM272" s="8"/>
      <c r="AN272" s="8"/>
      <c r="AO272" s="8"/>
      <c r="AP272" s="8"/>
      <c r="AQ272" s="8"/>
      <c r="AR272" s="8"/>
      <c r="AS272" s="8"/>
      <c r="AT272" s="8"/>
      <c r="AU272" s="8"/>
      <c r="AV272" s="8"/>
      <c r="AW272" s="8"/>
      <c r="AX272" s="8"/>
      <c r="AY272" s="8"/>
      <c r="AZ272" s="8"/>
      <c r="BA272" s="8"/>
      <c r="BB272" s="8"/>
      <c r="BC272" s="8"/>
      <c r="BD272" s="8"/>
      <c r="BE272" s="8"/>
    </row>
    <row r="273" spans="1:57">
      <c r="A273" s="8"/>
      <c r="B273" s="8"/>
      <c r="C273" s="8"/>
      <c r="D273" s="8"/>
      <c r="E273" s="8"/>
      <c r="F273" s="54"/>
      <c r="G273" s="8"/>
      <c r="H273" s="8"/>
      <c r="I273" s="8"/>
      <c r="J273" s="8"/>
      <c r="K273" s="8"/>
      <c r="L273" s="8"/>
      <c r="M273" s="8"/>
      <c r="N273" s="8"/>
      <c r="O273" s="8"/>
      <c r="P273" s="8"/>
      <c r="Q273" s="8"/>
      <c r="R273" s="8"/>
      <c r="S273" s="8"/>
      <c r="T273" s="8"/>
      <c r="U273" s="53"/>
      <c r="V273" s="53"/>
      <c r="W273" s="53"/>
      <c r="X273" s="53"/>
      <c r="Y273" s="53"/>
      <c r="Z273" s="53"/>
      <c r="AA273" s="53"/>
      <c r="AB273" s="53"/>
      <c r="AC273" s="53"/>
      <c r="AD273" s="53"/>
      <c r="AE273" s="53"/>
      <c r="AF273" s="53"/>
      <c r="AG273" s="8"/>
      <c r="AH273" s="8"/>
      <c r="AI273" s="8"/>
      <c r="AJ273" s="8"/>
      <c r="AK273" s="8"/>
      <c r="AL273" s="8"/>
      <c r="AM273" s="8"/>
      <c r="AN273" s="8"/>
      <c r="AO273" s="8"/>
      <c r="AP273" s="8"/>
      <c r="AQ273" s="8"/>
      <c r="AR273" s="8"/>
      <c r="AS273" s="8"/>
      <c r="AT273" s="8"/>
      <c r="AU273" s="8"/>
      <c r="AV273" s="8"/>
      <c r="AW273" s="8"/>
      <c r="AX273" s="8"/>
      <c r="AY273" s="8"/>
      <c r="AZ273" s="8"/>
      <c r="BA273" s="8"/>
      <c r="BB273" s="8"/>
      <c r="BC273" s="8"/>
      <c r="BD273" s="8"/>
      <c r="BE273" s="8"/>
    </row>
    <row r="274" spans="1:57">
      <c r="A274" s="8"/>
      <c r="B274" s="8"/>
      <c r="C274" s="8"/>
      <c r="D274" s="8"/>
      <c r="E274" s="8"/>
      <c r="F274" s="54"/>
      <c r="G274" s="8"/>
      <c r="H274" s="8"/>
      <c r="I274" s="8"/>
      <c r="J274" s="8"/>
      <c r="K274" s="8"/>
      <c r="L274" s="8"/>
      <c r="M274" s="8"/>
      <c r="N274" s="8"/>
      <c r="O274" s="8"/>
      <c r="P274" s="8"/>
      <c r="Q274" s="8"/>
      <c r="R274" s="8"/>
      <c r="S274" s="8"/>
      <c r="T274" s="8"/>
      <c r="U274" s="53"/>
      <c r="V274" s="53"/>
      <c r="W274" s="53"/>
      <c r="X274" s="53"/>
      <c r="Y274" s="53"/>
      <c r="Z274" s="53"/>
      <c r="AA274" s="53"/>
      <c r="AB274" s="53"/>
      <c r="AC274" s="53"/>
      <c r="AD274" s="53"/>
      <c r="AE274" s="53"/>
      <c r="AF274" s="53"/>
      <c r="AG274" s="8"/>
      <c r="AH274" s="8"/>
      <c r="AI274" s="8"/>
      <c r="AJ274" s="8"/>
      <c r="AK274" s="8"/>
      <c r="AL274" s="8"/>
      <c r="AM274" s="8"/>
      <c r="AN274" s="8"/>
      <c r="AO274" s="8"/>
      <c r="AP274" s="8"/>
      <c r="AQ274" s="8"/>
      <c r="AR274" s="8"/>
      <c r="AS274" s="8"/>
      <c r="AT274" s="8"/>
      <c r="AU274" s="8"/>
      <c r="AV274" s="8"/>
      <c r="AW274" s="8"/>
      <c r="AX274" s="8"/>
      <c r="AY274" s="8"/>
      <c r="AZ274" s="8"/>
      <c r="BA274" s="8"/>
      <c r="BB274" s="8"/>
      <c r="BC274" s="8"/>
      <c r="BD274" s="8"/>
      <c r="BE274" s="8"/>
    </row>
    <row r="275" spans="1:57">
      <c r="A275" s="8"/>
      <c r="B275" s="8"/>
      <c r="C275" s="8"/>
      <c r="D275" s="8"/>
      <c r="E275" s="8"/>
      <c r="F275" s="54"/>
      <c r="G275" s="8"/>
      <c r="H275" s="8"/>
      <c r="I275" s="8"/>
      <c r="J275" s="8"/>
      <c r="K275" s="8"/>
      <c r="L275" s="8"/>
      <c r="M275" s="8"/>
      <c r="N275" s="8"/>
      <c r="O275" s="8"/>
      <c r="P275" s="8"/>
      <c r="Q275" s="8"/>
      <c r="R275" s="8"/>
      <c r="S275" s="8"/>
      <c r="T275" s="8"/>
      <c r="U275" s="53"/>
      <c r="V275" s="53"/>
      <c r="W275" s="53"/>
      <c r="X275" s="53"/>
      <c r="Y275" s="53"/>
      <c r="Z275" s="53"/>
      <c r="AA275" s="53"/>
      <c r="AB275" s="53"/>
      <c r="AC275" s="53"/>
      <c r="AD275" s="53"/>
      <c r="AE275" s="53"/>
      <c r="AF275" s="53"/>
      <c r="AG275" s="8"/>
      <c r="AH275" s="8"/>
      <c r="AI275" s="8"/>
      <c r="AJ275" s="8"/>
      <c r="AK275" s="8"/>
      <c r="AL275" s="8"/>
      <c r="AM275" s="8"/>
      <c r="AN275" s="8"/>
      <c r="AO275" s="8"/>
      <c r="AP275" s="8"/>
      <c r="AQ275" s="8"/>
      <c r="AR275" s="8"/>
      <c r="AS275" s="8"/>
      <c r="AT275" s="8"/>
      <c r="AU275" s="8"/>
      <c r="AV275" s="8"/>
      <c r="AW275" s="8"/>
      <c r="AX275" s="8"/>
      <c r="AY275" s="8"/>
      <c r="AZ275" s="8"/>
      <c r="BA275" s="8"/>
      <c r="BB275" s="8"/>
      <c r="BC275" s="8"/>
      <c r="BD275" s="8"/>
      <c r="BE275" s="8"/>
    </row>
    <row r="276" spans="1:57">
      <c r="A276" s="8"/>
      <c r="B276" s="8"/>
      <c r="C276" s="8"/>
      <c r="D276" s="8"/>
      <c r="E276" s="8"/>
      <c r="F276" s="54"/>
      <c r="G276" s="8"/>
      <c r="H276" s="8"/>
      <c r="I276" s="8"/>
      <c r="J276" s="8"/>
      <c r="K276" s="8"/>
      <c r="L276" s="8"/>
      <c r="M276" s="8"/>
      <c r="N276" s="8"/>
      <c r="O276" s="8"/>
      <c r="P276" s="8"/>
      <c r="Q276" s="8"/>
      <c r="R276" s="8"/>
      <c r="S276" s="8"/>
      <c r="T276" s="8"/>
      <c r="U276" s="53"/>
      <c r="V276" s="53"/>
      <c r="W276" s="53"/>
      <c r="X276" s="53"/>
      <c r="Y276" s="53"/>
      <c r="Z276" s="53"/>
      <c r="AA276" s="53"/>
      <c r="AB276" s="53"/>
      <c r="AC276" s="53"/>
      <c r="AD276" s="53"/>
      <c r="AE276" s="53"/>
      <c r="AF276" s="53"/>
      <c r="AG276" s="8"/>
      <c r="AH276" s="8"/>
      <c r="AI276" s="8"/>
      <c r="AJ276" s="8"/>
      <c r="AK276" s="8"/>
      <c r="AL276" s="8"/>
      <c r="AM276" s="8"/>
      <c r="AN276" s="8"/>
      <c r="AO276" s="8"/>
      <c r="AP276" s="8"/>
      <c r="AQ276" s="8"/>
      <c r="AR276" s="8"/>
      <c r="AS276" s="8"/>
      <c r="AT276" s="8"/>
      <c r="AU276" s="8"/>
      <c r="AV276" s="8"/>
      <c r="AW276" s="8"/>
      <c r="AX276" s="8"/>
      <c r="AY276" s="8"/>
      <c r="AZ276" s="8"/>
      <c r="BA276" s="8"/>
      <c r="BB276" s="8"/>
      <c r="BC276" s="8"/>
      <c r="BD276" s="8"/>
      <c r="BE276" s="8"/>
    </row>
    <row r="277" spans="1:57">
      <c r="A277" s="8"/>
      <c r="B277" s="8"/>
      <c r="C277" s="8"/>
      <c r="D277" s="8"/>
      <c r="E277" s="8"/>
      <c r="F277" s="54"/>
      <c r="G277" s="8"/>
      <c r="H277" s="8"/>
      <c r="I277" s="8"/>
      <c r="J277" s="8"/>
      <c r="K277" s="8"/>
      <c r="L277" s="8"/>
      <c r="M277" s="8"/>
      <c r="N277" s="8"/>
      <c r="O277" s="8"/>
      <c r="P277" s="8"/>
      <c r="Q277" s="8"/>
      <c r="R277" s="8"/>
      <c r="S277" s="8"/>
      <c r="T277" s="8"/>
      <c r="U277" s="53"/>
      <c r="V277" s="53"/>
      <c r="W277" s="53"/>
      <c r="X277" s="53"/>
      <c r="Y277" s="53"/>
      <c r="Z277" s="53"/>
      <c r="AA277" s="53"/>
      <c r="AB277" s="53"/>
      <c r="AC277" s="53"/>
      <c r="AD277" s="53"/>
      <c r="AE277" s="53"/>
      <c r="AF277" s="53"/>
      <c r="AG277" s="8"/>
      <c r="AH277" s="8"/>
      <c r="AI277" s="8"/>
      <c r="AJ277" s="8"/>
      <c r="AK277" s="8"/>
      <c r="AL277" s="8"/>
      <c r="AM277" s="8"/>
      <c r="AN277" s="8"/>
      <c r="AO277" s="8"/>
      <c r="AP277" s="8"/>
      <c r="AQ277" s="8"/>
      <c r="AR277" s="8"/>
      <c r="AS277" s="8"/>
      <c r="AT277" s="8"/>
      <c r="AU277" s="8"/>
      <c r="AV277" s="8"/>
      <c r="AW277" s="8"/>
      <c r="AX277" s="8"/>
      <c r="AY277" s="8"/>
      <c r="AZ277" s="8"/>
      <c r="BA277" s="8"/>
      <c r="BB277" s="8"/>
      <c r="BC277" s="8"/>
      <c r="BD277" s="8"/>
      <c r="BE277" s="8"/>
    </row>
    <row r="278" spans="1:57">
      <c r="A278" s="8"/>
      <c r="B278" s="8"/>
      <c r="C278" s="8"/>
      <c r="D278" s="8"/>
      <c r="E278" s="8"/>
      <c r="F278" s="54"/>
      <c r="G278" s="8"/>
      <c r="H278" s="8"/>
      <c r="I278" s="8"/>
      <c r="J278" s="8"/>
      <c r="K278" s="8"/>
      <c r="L278" s="8"/>
      <c r="M278" s="8"/>
      <c r="N278" s="8"/>
      <c r="O278" s="8"/>
      <c r="P278" s="8"/>
      <c r="Q278" s="8"/>
      <c r="R278" s="8"/>
      <c r="S278" s="8"/>
      <c r="T278" s="8"/>
      <c r="U278" s="53"/>
      <c r="V278" s="53"/>
      <c r="W278" s="53"/>
      <c r="X278" s="53"/>
      <c r="Y278" s="53"/>
      <c r="Z278" s="53"/>
      <c r="AA278" s="53"/>
      <c r="AB278" s="53"/>
      <c r="AC278" s="53"/>
      <c r="AD278" s="53"/>
      <c r="AE278" s="53"/>
      <c r="AF278" s="53"/>
      <c r="AG278" s="8"/>
      <c r="AH278" s="8"/>
      <c r="AI278" s="8"/>
      <c r="AJ278" s="8"/>
      <c r="AK278" s="8"/>
      <c r="AL278" s="8"/>
      <c r="AM278" s="8"/>
      <c r="AN278" s="8"/>
      <c r="AO278" s="8"/>
      <c r="AP278" s="8"/>
      <c r="AQ278" s="8"/>
      <c r="AR278" s="8"/>
      <c r="AS278" s="8"/>
      <c r="AT278" s="8"/>
      <c r="AU278" s="8"/>
      <c r="AV278" s="8"/>
      <c r="AW278" s="8"/>
      <c r="AX278" s="8"/>
      <c r="AY278" s="8"/>
      <c r="AZ278" s="8"/>
      <c r="BA278" s="8"/>
      <c r="BB278" s="8"/>
      <c r="BC278" s="8"/>
      <c r="BD278" s="8"/>
      <c r="BE278" s="8"/>
    </row>
    <row r="279" spans="1:57">
      <c r="A279" s="8"/>
      <c r="B279" s="8"/>
      <c r="C279" s="8"/>
      <c r="D279" s="8"/>
      <c r="E279" s="8"/>
      <c r="F279" s="54"/>
      <c r="G279" s="8"/>
      <c r="H279" s="8"/>
      <c r="I279" s="8"/>
      <c r="J279" s="8"/>
      <c r="K279" s="8"/>
      <c r="L279" s="8"/>
      <c r="M279" s="8"/>
      <c r="N279" s="8"/>
      <c r="O279" s="8"/>
      <c r="P279" s="8"/>
      <c r="Q279" s="8"/>
      <c r="R279" s="8"/>
      <c r="S279" s="8"/>
      <c r="T279" s="8"/>
      <c r="U279" s="53"/>
      <c r="V279" s="53"/>
      <c r="W279" s="53"/>
      <c r="X279" s="53"/>
      <c r="Y279" s="53"/>
      <c r="Z279" s="53"/>
      <c r="AA279" s="53"/>
      <c r="AB279" s="53"/>
      <c r="AC279" s="53"/>
      <c r="AD279" s="53"/>
      <c r="AE279" s="53"/>
      <c r="AF279" s="53"/>
      <c r="AG279" s="8"/>
      <c r="AH279" s="8"/>
      <c r="AI279" s="8"/>
      <c r="AJ279" s="8"/>
      <c r="AK279" s="8"/>
      <c r="AL279" s="8"/>
      <c r="AM279" s="8"/>
      <c r="AN279" s="8"/>
      <c r="AO279" s="8"/>
      <c r="AP279" s="8"/>
      <c r="AQ279" s="8"/>
      <c r="AR279" s="8"/>
      <c r="AS279" s="8"/>
      <c r="AT279" s="8"/>
      <c r="AU279" s="8"/>
      <c r="AV279" s="8"/>
      <c r="AW279" s="8"/>
      <c r="AX279" s="8"/>
      <c r="AY279" s="8"/>
      <c r="AZ279" s="8"/>
      <c r="BA279" s="8"/>
      <c r="BB279" s="8"/>
      <c r="BC279" s="8"/>
      <c r="BD279" s="8"/>
      <c r="BE279" s="8"/>
    </row>
    <row r="280" spans="1:57">
      <c r="A280" s="8"/>
      <c r="B280" s="8"/>
      <c r="C280" s="8"/>
      <c r="D280" s="8"/>
      <c r="E280" s="8"/>
      <c r="F280" s="54"/>
      <c r="G280" s="8"/>
      <c r="H280" s="8"/>
      <c r="I280" s="8"/>
      <c r="J280" s="8"/>
      <c r="K280" s="8"/>
      <c r="L280" s="8"/>
      <c r="M280" s="8"/>
      <c r="N280" s="8"/>
      <c r="O280" s="8"/>
      <c r="P280" s="8"/>
      <c r="Q280" s="8"/>
      <c r="R280" s="8"/>
      <c r="S280" s="8"/>
      <c r="T280" s="8"/>
      <c r="U280" s="53"/>
      <c r="V280" s="53"/>
      <c r="W280" s="53"/>
      <c r="X280" s="53"/>
      <c r="Y280" s="53"/>
      <c r="Z280" s="53"/>
      <c r="AA280" s="53"/>
      <c r="AB280" s="53"/>
      <c r="AC280" s="53"/>
      <c r="AD280" s="53"/>
      <c r="AE280" s="53"/>
      <c r="AF280" s="53"/>
      <c r="AG280" s="8"/>
      <c r="AH280" s="8"/>
      <c r="AI280" s="8"/>
      <c r="AJ280" s="8"/>
      <c r="AK280" s="8"/>
      <c r="AL280" s="8"/>
      <c r="AM280" s="8"/>
      <c r="AN280" s="8"/>
      <c r="AO280" s="8"/>
      <c r="AP280" s="8"/>
      <c r="AQ280" s="8"/>
      <c r="AR280" s="8"/>
      <c r="AS280" s="8"/>
      <c r="AT280" s="8"/>
      <c r="AU280" s="8"/>
      <c r="AV280" s="8"/>
      <c r="AW280" s="8"/>
      <c r="AX280" s="8"/>
      <c r="AY280" s="8"/>
      <c r="AZ280" s="8"/>
      <c r="BA280" s="8"/>
      <c r="BB280" s="8"/>
      <c r="BC280" s="8"/>
      <c r="BD280" s="8"/>
      <c r="BE280" s="8"/>
    </row>
    <row r="281" spans="1:57">
      <c r="A281" s="8"/>
      <c r="B281" s="8"/>
      <c r="C281" s="8"/>
      <c r="D281" s="8"/>
      <c r="E281" s="8"/>
      <c r="F281" s="54"/>
      <c r="G281" s="8"/>
      <c r="H281" s="8"/>
      <c r="I281" s="8"/>
      <c r="J281" s="8"/>
      <c r="K281" s="8"/>
      <c r="L281" s="8"/>
      <c r="M281" s="8"/>
      <c r="N281" s="8"/>
      <c r="O281" s="8"/>
      <c r="P281" s="8"/>
      <c r="Q281" s="8"/>
      <c r="R281" s="8"/>
      <c r="S281" s="8"/>
      <c r="T281" s="8"/>
      <c r="U281" s="53"/>
      <c r="V281" s="53"/>
      <c r="W281" s="53"/>
      <c r="X281" s="53"/>
      <c r="Y281" s="53"/>
      <c r="Z281" s="53"/>
      <c r="AA281" s="53"/>
      <c r="AB281" s="53"/>
      <c r="AC281" s="53"/>
      <c r="AD281" s="53"/>
      <c r="AE281" s="53"/>
      <c r="AF281" s="53"/>
      <c r="AG281" s="8"/>
      <c r="AH281" s="8"/>
      <c r="AI281" s="8"/>
      <c r="AJ281" s="8"/>
      <c r="AK281" s="8"/>
      <c r="AL281" s="8"/>
      <c r="AM281" s="8"/>
      <c r="AN281" s="8"/>
      <c r="AO281" s="8"/>
      <c r="AP281" s="8"/>
      <c r="AQ281" s="8"/>
      <c r="AR281" s="8"/>
      <c r="AS281" s="8"/>
      <c r="AT281" s="8"/>
      <c r="AU281" s="8"/>
      <c r="AV281" s="8"/>
      <c r="AW281" s="8"/>
      <c r="AX281" s="8"/>
      <c r="AY281" s="8"/>
      <c r="AZ281" s="8"/>
      <c r="BA281" s="8"/>
      <c r="BB281" s="8"/>
      <c r="BC281" s="8"/>
      <c r="BD281" s="8"/>
      <c r="BE281" s="8"/>
    </row>
    <row r="282" spans="1:57">
      <c r="A282" s="8"/>
      <c r="B282" s="8"/>
      <c r="C282" s="8"/>
      <c r="D282" s="8"/>
      <c r="E282" s="8"/>
      <c r="F282" s="54"/>
      <c r="G282" s="8"/>
      <c r="H282" s="8"/>
      <c r="I282" s="8"/>
      <c r="J282" s="8"/>
      <c r="K282" s="8"/>
      <c r="L282" s="8"/>
      <c r="M282" s="8"/>
      <c r="N282" s="8"/>
      <c r="O282" s="8"/>
      <c r="P282" s="8"/>
      <c r="Q282" s="8"/>
      <c r="R282" s="8"/>
      <c r="S282" s="8"/>
      <c r="T282" s="8"/>
      <c r="U282" s="53"/>
      <c r="V282" s="53"/>
      <c r="W282" s="53"/>
      <c r="X282" s="53"/>
      <c r="Y282" s="53"/>
      <c r="Z282" s="53"/>
      <c r="AA282" s="53"/>
      <c r="AB282" s="53"/>
      <c r="AC282" s="53"/>
      <c r="AD282" s="53"/>
      <c r="AE282" s="53"/>
      <c r="AF282" s="53"/>
      <c r="AG282" s="8"/>
      <c r="AH282" s="8"/>
      <c r="AI282" s="8"/>
      <c r="AJ282" s="8"/>
      <c r="AK282" s="8"/>
      <c r="AL282" s="8"/>
      <c r="AM282" s="8"/>
      <c r="AN282" s="8"/>
      <c r="AO282" s="8"/>
      <c r="AP282" s="8"/>
      <c r="AQ282" s="8"/>
      <c r="AR282" s="8"/>
      <c r="AS282" s="8"/>
      <c r="AT282" s="8"/>
      <c r="AU282" s="8"/>
      <c r="AV282" s="8"/>
      <c r="AW282" s="8"/>
      <c r="AX282" s="8"/>
      <c r="AY282" s="8"/>
      <c r="AZ282" s="8"/>
      <c r="BA282" s="8"/>
      <c r="BB282" s="8"/>
      <c r="BC282" s="8"/>
      <c r="BD282" s="8"/>
      <c r="BE282" s="8"/>
    </row>
    <row r="283" spans="1:57">
      <c r="A283" s="8"/>
      <c r="B283" s="8"/>
      <c r="C283" s="8"/>
      <c r="D283" s="8"/>
      <c r="E283" s="8"/>
      <c r="F283" s="54"/>
      <c r="G283" s="8"/>
      <c r="H283" s="8"/>
      <c r="I283" s="8"/>
      <c r="J283" s="8"/>
      <c r="K283" s="8"/>
      <c r="L283" s="8"/>
      <c r="M283" s="8"/>
      <c r="N283" s="8"/>
      <c r="O283" s="8"/>
      <c r="P283" s="8"/>
      <c r="Q283" s="8"/>
      <c r="R283" s="8"/>
      <c r="S283" s="8"/>
      <c r="T283" s="8"/>
      <c r="U283" s="53"/>
      <c r="V283" s="53"/>
      <c r="W283" s="53"/>
      <c r="X283" s="53"/>
      <c r="Y283" s="53"/>
      <c r="Z283" s="53"/>
      <c r="AA283" s="53"/>
      <c r="AB283" s="53"/>
      <c r="AC283" s="53"/>
      <c r="AD283" s="53"/>
      <c r="AE283" s="53"/>
      <c r="AF283" s="53"/>
      <c r="AG283" s="8"/>
      <c r="AH283" s="8"/>
      <c r="AI283" s="8"/>
      <c r="AJ283" s="8"/>
      <c r="AK283" s="8"/>
      <c r="AL283" s="8"/>
      <c r="AM283" s="8"/>
      <c r="AN283" s="8"/>
      <c r="AO283" s="8"/>
      <c r="AP283" s="8"/>
      <c r="AQ283" s="8"/>
      <c r="AR283" s="8"/>
      <c r="AS283" s="8"/>
      <c r="AT283" s="8"/>
      <c r="AU283" s="8"/>
      <c r="AV283" s="8"/>
      <c r="AW283" s="8"/>
      <c r="AX283" s="8"/>
      <c r="AY283" s="8"/>
      <c r="AZ283" s="8"/>
      <c r="BA283" s="8"/>
      <c r="BB283" s="8"/>
      <c r="BC283" s="8"/>
      <c r="BD283" s="8"/>
      <c r="BE283" s="8"/>
    </row>
    <row r="284" spans="1:57">
      <c r="A284" s="8"/>
      <c r="B284" s="8"/>
      <c r="C284" s="8"/>
      <c r="D284" s="8"/>
      <c r="E284" s="8"/>
      <c r="F284" s="54"/>
      <c r="G284" s="8"/>
      <c r="H284" s="8"/>
      <c r="I284" s="8"/>
      <c r="J284" s="8"/>
      <c r="K284" s="8"/>
      <c r="L284" s="8"/>
      <c r="M284" s="8"/>
      <c r="N284" s="8"/>
      <c r="O284" s="8"/>
      <c r="P284" s="8"/>
      <c r="Q284" s="8"/>
      <c r="R284" s="8"/>
      <c r="S284" s="8"/>
      <c r="T284" s="8"/>
      <c r="U284" s="53"/>
      <c r="V284" s="53"/>
      <c r="W284" s="53"/>
      <c r="X284" s="53"/>
      <c r="Y284" s="53"/>
      <c r="Z284" s="53"/>
      <c r="AA284" s="53"/>
      <c r="AB284" s="53"/>
      <c r="AC284" s="53"/>
      <c r="AD284" s="53"/>
      <c r="AE284" s="53"/>
      <c r="AF284" s="53"/>
      <c r="AG284" s="8"/>
      <c r="AH284" s="8"/>
      <c r="AI284" s="8"/>
      <c r="AJ284" s="8"/>
      <c r="AK284" s="8"/>
      <c r="AL284" s="8"/>
      <c r="AM284" s="8"/>
      <c r="AN284" s="8"/>
      <c r="AO284" s="8"/>
      <c r="AP284" s="8"/>
      <c r="AQ284" s="8"/>
      <c r="AR284" s="8"/>
      <c r="AS284" s="8"/>
      <c r="AT284" s="8"/>
      <c r="AU284" s="8"/>
      <c r="AV284" s="8"/>
      <c r="AW284" s="8"/>
      <c r="AX284" s="8"/>
      <c r="AY284" s="8"/>
      <c r="AZ284" s="8"/>
      <c r="BA284" s="8"/>
      <c r="BB284" s="8"/>
      <c r="BC284" s="8"/>
      <c r="BD284" s="8"/>
      <c r="BE284" s="8"/>
    </row>
    <row r="285" spans="1:57">
      <c r="A285" s="8"/>
      <c r="B285" s="8"/>
      <c r="C285" s="8"/>
      <c r="D285" s="8"/>
      <c r="E285" s="8"/>
      <c r="F285" s="54"/>
      <c r="G285" s="8"/>
      <c r="H285" s="8"/>
      <c r="I285" s="8"/>
      <c r="J285" s="8"/>
      <c r="K285" s="8"/>
      <c r="L285" s="8"/>
      <c r="M285" s="8"/>
      <c r="N285" s="8"/>
      <c r="O285" s="8"/>
      <c r="P285" s="8"/>
      <c r="Q285" s="8"/>
      <c r="R285" s="8"/>
      <c r="S285" s="8"/>
      <c r="T285" s="8"/>
      <c r="U285" s="53"/>
      <c r="V285" s="53"/>
      <c r="W285" s="53"/>
      <c r="X285" s="53"/>
      <c r="Y285" s="53"/>
      <c r="Z285" s="53"/>
      <c r="AA285" s="53"/>
      <c r="AB285" s="53"/>
      <c r="AC285" s="53"/>
      <c r="AD285" s="53"/>
      <c r="AE285" s="53"/>
      <c r="AF285" s="53"/>
      <c r="AG285" s="8"/>
      <c r="AH285" s="8"/>
      <c r="AI285" s="8"/>
      <c r="AJ285" s="8"/>
      <c r="AK285" s="8"/>
      <c r="AL285" s="8"/>
      <c r="AM285" s="8"/>
      <c r="AN285" s="8"/>
      <c r="AO285" s="8"/>
      <c r="AP285" s="8"/>
      <c r="AQ285" s="8"/>
      <c r="AR285" s="8"/>
      <c r="AS285" s="8"/>
      <c r="AT285" s="8"/>
      <c r="AU285" s="8"/>
      <c r="AV285" s="8"/>
      <c r="AW285" s="8"/>
      <c r="AX285" s="8"/>
      <c r="AY285" s="8"/>
      <c r="AZ285" s="8"/>
      <c r="BA285" s="8"/>
      <c r="BB285" s="8"/>
      <c r="BC285" s="8"/>
      <c r="BD285" s="8"/>
      <c r="BE285" s="8"/>
    </row>
    <row r="286" spans="1:57">
      <c r="A286" s="8"/>
      <c r="B286" s="8"/>
      <c r="C286" s="8"/>
      <c r="D286" s="8"/>
      <c r="E286" s="8"/>
      <c r="F286" s="54"/>
      <c r="G286" s="8"/>
      <c r="H286" s="8"/>
      <c r="I286" s="8"/>
      <c r="J286" s="8"/>
      <c r="K286" s="8"/>
      <c r="L286" s="8"/>
      <c r="M286" s="8"/>
      <c r="N286" s="8"/>
      <c r="O286" s="8"/>
      <c r="P286" s="8"/>
      <c r="Q286" s="8"/>
      <c r="R286" s="8"/>
      <c r="S286" s="8"/>
      <c r="T286" s="8"/>
      <c r="U286" s="53"/>
      <c r="V286" s="53"/>
      <c r="W286" s="53"/>
      <c r="X286" s="53"/>
      <c r="Y286" s="53"/>
      <c r="Z286" s="53"/>
      <c r="AA286" s="53"/>
      <c r="AB286" s="53"/>
      <c r="AC286" s="53"/>
      <c r="AD286" s="53"/>
      <c r="AE286" s="53"/>
      <c r="AF286" s="53"/>
      <c r="AG286" s="8"/>
      <c r="AH286" s="8"/>
      <c r="AI286" s="8"/>
      <c r="AJ286" s="8"/>
      <c r="AK286" s="8"/>
      <c r="AL286" s="8"/>
      <c r="AM286" s="8"/>
      <c r="AN286" s="8"/>
      <c r="AO286" s="8"/>
      <c r="AP286" s="8"/>
      <c r="AQ286" s="8"/>
      <c r="AR286" s="8"/>
      <c r="AS286" s="8"/>
      <c r="AT286" s="8"/>
      <c r="AU286" s="8"/>
      <c r="AV286" s="8"/>
      <c r="AW286" s="8"/>
      <c r="AX286" s="8"/>
      <c r="AY286" s="8"/>
      <c r="AZ286" s="8"/>
      <c r="BA286" s="8"/>
      <c r="BB286" s="8"/>
      <c r="BC286" s="8"/>
      <c r="BD286" s="8"/>
      <c r="BE286" s="8"/>
    </row>
    <row r="287" spans="1:57">
      <c r="A287" s="8"/>
      <c r="B287" s="8"/>
      <c r="C287" s="8"/>
      <c r="D287" s="8"/>
      <c r="E287" s="8"/>
      <c r="F287" s="54"/>
      <c r="G287" s="8"/>
      <c r="H287" s="8"/>
      <c r="I287" s="8"/>
      <c r="J287" s="8"/>
      <c r="K287" s="8"/>
      <c r="L287" s="8"/>
      <c r="M287" s="8"/>
      <c r="N287" s="8"/>
      <c r="O287" s="8"/>
      <c r="P287" s="8"/>
      <c r="Q287" s="8"/>
      <c r="R287" s="8"/>
      <c r="S287" s="8"/>
      <c r="T287" s="8"/>
      <c r="U287" s="53"/>
      <c r="V287" s="53"/>
      <c r="W287" s="53"/>
      <c r="X287" s="53"/>
      <c r="Y287" s="53"/>
      <c r="Z287" s="53"/>
      <c r="AA287" s="53"/>
      <c r="AB287" s="53"/>
      <c r="AC287" s="53"/>
      <c r="AD287" s="53"/>
      <c r="AE287" s="53"/>
      <c r="AF287" s="53"/>
      <c r="AG287" s="8"/>
      <c r="AH287" s="8"/>
      <c r="AI287" s="8"/>
      <c r="AJ287" s="8"/>
      <c r="AK287" s="8"/>
      <c r="AL287" s="8"/>
      <c r="AM287" s="8"/>
      <c r="AN287" s="8"/>
      <c r="AO287" s="8"/>
      <c r="AP287" s="8"/>
      <c r="AQ287" s="8"/>
      <c r="AR287" s="8"/>
      <c r="AS287" s="8"/>
      <c r="AT287" s="8"/>
      <c r="AU287" s="8"/>
      <c r="AV287" s="8"/>
      <c r="AW287" s="8"/>
      <c r="AX287" s="8"/>
      <c r="AY287" s="8"/>
      <c r="AZ287" s="8"/>
      <c r="BA287" s="8"/>
      <c r="BB287" s="8"/>
      <c r="BC287" s="8"/>
      <c r="BD287" s="8"/>
      <c r="BE287" s="8"/>
    </row>
    <row r="288" spans="1:57">
      <c r="A288" s="8"/>
      <c r="B288" s="8"/>
      <c r="C288" s="8"/>
      <c r="D288" s="8"/>
      <c r="E288" s="8"/>
      <c r="F288" s="54"/>
      <c r="G288" s="8"/>
      <c r="H288" s="8"/>
      <c r="I288" s="8"/>
      <c r="J288" s="8"/>
      <c r="K288" s="8"/>
      <c r="L288" s="8"/>
      <c r="M288" s="8"/>
      <c r="N288" s="8"/>
      <c r="O288" s="8"/>
      <c r="P288" s="8"/>
      <c r="Q288" s="8"/>
      <c r="R288" s="8"/>
      <c r="S288" s="8"/>
      <c r="T288" s="8"/>
      <c r="U288" s="53"/>
      <c r="V288" s="53"/>
      <c r="W288" s="53"/>
      <c r="X288" s="53"/>
      <c r="Y288" s="53"/>
      <c r="Z288" s="53"/>
      <c r="AA288" s="53"/>
      <c r="AB288" s="53"/>
      <c r="AC288" s="53"/>
      <c r="AD288" s="53"/>
      <c r="AE288" s="53"/>
      <c r="AF288" s="53"/>
      <c r="AG288" s="8"/>
      <c r="AH288" s="8"/>
      <c r="AI288" s="8"/>
      <c r="AJ288" s="8"/>
      <c r="AK288" s="8"/>
      <c r="AL288" s="8"/>
      <c r="AM288" s="8"/>
      <c r="AN288" s="8"/>
      <c r="AO288" s="8"/>
      <c r="AP288" s="8"/>
      <c r="AQ288" s="8"/>
      <c r="AR288" s="8"/>
      <c r="AS288" s="8"/>
      <c r="AT288" s="8"/>
      <c r="AU288" s="8"/>
      <c r="AV288" s="8"/>
      <c r="AW288" s="8"/>
      <c r="AX288" s="8"/>
      <c r="AY288" s="8"/>
      <c r="AZ288" s="8"/>
      <c r="BA288" s="8"/>
      <c r="BB288" s="8"/>
      <c r="BC288" s="8"/>
      <c r="BD288" s="8"/>
      <c r="BE288" s="8"/>
    </row>
    <row r="289" spans="1:57">
      <c r="A289" s="8"/>
      <c r="B289" s="8"/>
      <c r="C289" s="8"/>
      <c r="D289" s="8"/>
      <c r="E289" s="8"/>
      <c r="F289" s="54"/>
      <c r="G289" s="8"/>
      <c r="H289" s="8"/>
      <c r="I289" s="8"/>
      <c r="J289" s="8"/>
      <c r="K289" s="8"/>
      <c r="L289" s="8"/>
      <c r="M289" s="8"/>
      <c r="N289" s="8"/>
      <c r="O289" s="8"/>
      <c r="P289" s="8"/>
      <c r="Q289" s="8"/>
      <c r="R289" s="8"/>
      <c r="S289" s="8"/>
      <c r="T289" s="8"/>
      <c r="U289" s="53"/>
      <c r="V289" s="53"/>
      <c r="W289" s="53"/>
      <c r="X289" s="53"/>
      <c r="Y289" s="53"/>
      <c r="Z289" s="53"/>
      <c r="AA289" s="53"/>
      <c r="AB289" s="53"/>
      <c r="AC289" s="53"/>
      <c r="AD289" s="53"/>
      <c r="AE289" s="53"/>
      <c r="AF289" s="53"/>
      <c r="AG289" s="8"/>
      <c r="AH289" s="8"/>
      <c r="AI289" s="8"/>
      <c r="AJ289" s="8"/>
      <c r="AK289" s="8"/>
      <c r="AL289" s="8"/>
      <c r="AM289" s="8"/>
      <c r="AN289" s="8"/>
      <c r="AO289" s="8"/>
      <c r="AP289" s="8"/>
      <c r="AQ289" s="8"/>
      <c r="AR289" s="8"/>
      <c r="AS289" s="8"/>
      <c r="AT289" s="8"/>
      <c r="AU289" s="8"/>
      <c r="AV289" s="8"/>
      <c r="AW289" s="8"/>
      <c r="AX289" s="8"/>
      <c r="AY289" s="8"/>
      <c r="AZ289" s="8"/>
      <c r="BA289" s="8"/>
      <c r="BB289" s="8"/>
      <c r="BC289" s="8"/>
      <c r="BD289" s="8"/>
      <c r="BE289" s="8"/>
    </row>
    <row r="290" spans="1:57">
      <c r="A290" s="8"/>
      <c r="B290" s="8"/>
      <c r="C290" s="8"/>
      <c r="D290" s="8"/>
      <c r="E290" s="8"/>
      <c r="F290" s="54"/>
      <c r="G290" s="8"/>
      <c r="H290" s="8"/>
      <c r="I290" s="8"/>
      <c r="J290" s="8"/>
      <c r="K290" s="8"/>
      <c r="L290" s="8"/>
      <c r="M290" s="8"/>
      <c r="N290" s="8"/>
      <c r="O290" s="8"/>
      <c r="P290" s="8"/>
      <c r="Q290" s="8"/>
      <c r="R290" s="8"/>
      <c r="S290" s="8"/>
      <c r="T290" s="8"/>
      <c r="U290" s="53"/>
      <c r="V290" s="53"/>
      <c r="W290" s="53"/>
      <c r="X290" s="53"/>
      <c r="Y290" s="53"/>
      <c r="Z290" s="53"/>
      <c r="AA290" s="53"/>
      <c r="AB290" s="53"/>
      <c r="AC290" s="53"/>
      <c r="AD290" s="53"/>
      <c r="AE290" s="53"/>
      <c r="AF290" s="53"/>
      <c r="AG290" s="8"/>
      <c r="AH290" s="8"/>
      <c r="AI290" s="8"/>
      <c r="AJ290" s="8"/>
      <c r="AK290" s="8"/>
      <c r="AL290" s="8"/>
      <c r="AM290" s="8"/>
      <c r="AN290" s="8"/>
      <c r="AO290" s="8"/>
      <c r="AP290" s="8"/>
      <c r="AQ290" s="8"/>
      <c r="AR290" s="8"/>
      <c r="AS290" s="8"/>
      <c r="AT290" s="8"/>
      <c r="AU290" s="8"/>
      <c r="AV290" s="8"/>
      <c r="AW290" s="8"/>
      <c r="AX290" s="8"/>
      <c r="AY290" s="8"/>
      <c r="AZ290" s="8"/>
      <c r="BA290" s="8"/>
      <c r="BB290" s="8"/>
      <c r="BC290" s="8"/>
      <c r="BD290" s="8"/>
      <c r="BE290" s="8"/>
    </row>
    <row r="291" spans="1:57">
      <c r="A291" s="8"/>
      <c r="B291" s="8"/>
      <c r="C291" s="8"/>
      <c r="D291" s="8"/>
      <c r="E291" s="8"/>
      <c r="F291" s="54"/>
      <c r="G291" s="8"/>
      <c r="H291" s="8"/>
      <c r="I291" s="8"/>
      <c r="J291" s="8"/>
      <c r="K291" s="8"/>
      <c r="L291" s="8"/>
      <c r="M291" s="8"/>
      <c r="N291" s="8"/>
      <c r="O291" s="8"/>
      <c r="P291" s="8"/>
      <c r="Q291" s="8"/>
      <c r="R291" s="8"/>
      <c r="S291" s="8"/>
      <c r="T291" s="8"/>
      <c r="U291" s="53"/>
      <c r="V291" s="53"/>
      <c r="W291" s="53"/>
      <c r="X291" s="53"/>
      <c r="Y291" s="53"/>
      <c r="Z291" s="53"/>
      <c r="AA291" s="53"/>
      <c r="AB291" s="53"/>
      <c r="AC291" s="53"/>
      <c r="AD291" s="53"/>
      <c r="AE291" s="53"/>
      <c r="AF291" s="53"/>
      <c r="AG291" s="8"/>
      <c r="AH291" s="8"/>
      <c r="AI291" s="8"/>
      <c r="AJ291" s="8"/>
      <c r="AK291" s="8"/>
      <c r="AL291" s="8"/>
      <c r="AM291" s="8"/>
      <c r="AN291" s="8"/>
      <c r="AO291" s="8"/>
      <c r="AP291" s="8"/>
      <c r="AQ291" s="8"/>
      <c r="AR291" s="8"/>
      <c r="AS291" s="8"/>
      <c r="AT291" s="8"/>
      <c r="AU291" s="8"/>
      <c r="AV291" s="8"/>
      <c r="AW291" s="8"/>
      <c r="AX291" s="8"/>
      <c r="AY291" s="8"/>
      <c r="AZ291" s="8"/>
      <c r="BA291" s="8"/>
      <c r="BB291" s="8"/>
      <c r="BC291" s="8"/>
      <c r="BD291" s="8"/>
      <c r="BE291" s="8"/>
    </row>
    <row r="292" spans="1:57">
      <c r="A292" s="8"/>
      <c r="B292" s="8"/>
      <c r="C292" s="8"/>
      <c r="D292" s="8"/>
      <c r="E292" s="8"/>
      <c r="F292" s="54"/>
      <c r="G292" s="8"/>
      <c r="H292" s="8"/>
      <c r="I292" s="8"/>
      <c r="J292" s="8"/>
      <c r="K292" s="8"/>
      <c r="L292" s="8"/>
      <c r="M292" s="8"/>
      <c r="N292" s="8"/>
      <c r="O292" s="8"/>
      <c r="P292" s="8"/>
      <c r="Q292" s="8"/>
      <c r="R292" s="8"/>
      <c r="S292" s="8"/>
      <c r="T292" s="8"/>
      <c r="U292" s="53"/>
      <c r="V292" s="53"/>
      <c r="W292" s="53"/>
      <c r="X292" s="53"/>
      <c r="Y292" s="53"/>
      <c r="Z292" s="53"/>
      <c r="AA292" s="53"/>
      <c r="AB292" s="53"/>
      <c r="AC292" s="53"/>
      <c r="AD292" s="53"/>
      <c r="AE292" s="53"/>
      <c r="AF292" s="53"/>
      <c r="AG292" s="8"/>
      <c r="AH292" s="8"/>
      <c r="AI292" s="8"/>
      <c r="AJ292" s="8"/>
      <c r="AK292" s="8"/>
      <c r="AL292" s="8"/>
      <c r="AM292" s="8"/>
      <c r="AN292" s="8"/>
      <c r="AO292" s="8"/>
      <c r="AP292" s="8"/>
      <c r="AQ292" s="8"/>
      <c r="AR292" s="8"/>
      <c r="AS292" s="8"/>
      <c r="AT292" s="8"/>
      <c r="AU292" s="8"/>
      <c r="AV292" s="8"/>
      <c r="AW292" s="8"/>
      <c r="AX292" s="8"/>
      <c r="AY292" s="8"/>
      <c r="AZ292" s="8"/>
      <c r="BA292" s="8"/>
      <c r="BB292" s="8"/>
      <c r="BC292" s="8"/>
      <c r="BD292" s="8"/>
      <c r="BE292" s="8"/>
    </row>
    <row r="293" spans="1:57">
      <c r="A293" s="8"/>
      <c r="B293" s="8"/>
      <c r="C293" s="8"/>
      <c r="D293" s="8"/>
      <c r="E293" s="8"/>
      <c r="F293" s="54"/>
      <c r="G293" s="8"/>
      <c r="H293" s="8"/>
      <c r="I293" s="8"/>
      <c r="J293" s="8"/>
      <c r="K293" s="8"/>
      <c r="L293" s="8"/>
      <c r="M293" s="8"/>
      <c r="N293" s="8"/>
      <c r="O293" s="8"/>
      <c r="P293" s="8"/>
      <c r="Q293" s="8"/>
      <c r="R293" s="8"/>
      <c r="S293" s="8"/>
      <c r="T293" s="8"/>
      <c r="U293" s="53"/>
      <c r="V293" s="53"/>
      <c r="W293" s="53"/>
      <c r="X293" s="53"/>
      <c r="Y293" s="53"/>
      <c r="Z293" s="53"/>
      <c r="AA293" s="53"/>
      <c r="AB293" s="53"/>
      <c r="AC293" s="53"/>
      <c r="AD293" s="53"/>
      <c r="AE293" s="53"/>
      <c r="AF293" s="53"/>
      <c r="AG293" s="8"/>
      <c r="AH293" s="8"/>
      <c r="AI293" s="8"/>
      <c r="AJ293" s="8"/>
      <c r="AK293" s="8"/>
      <c r="AL293" s="8"/>
      <c r="AM293" s="8"/>
      <c r="AN293" s="8"/>
      <c r="AO293" s="8"/>
      <c r="AP293" s="8"/>
      <c r="AQ293" s="8"/>
      <c r="AR293" s="8"/>
      <c r="AS293" s="8"/>
      <c r="AT293" s="8"/>
      <c r="AU293" s="8"/>
      <c r="AV293" s="8"/>
      <c r="AW293" s="8"/>
      <c r="AX293" s="8"/>
      <c r="AY293" s="8"/>
      <c r="AZ293" s="8"/>
      <c r="BA293" s="8"/>
      <c r="BB293" s="8"/>
      <c r="BC293" s="8"/>
      <c r="BD293" s="8"/>
      <c r="BE293" s="8"/>
    </row>
    <row r="294" spans="1:57">
      <c r="A294" s="8"/>
      <c r="B294" s="8"/>
      <c r="C294" s="8"/>
      <c r="D294" s="8"/>
      <c r="E294" s="8"/>
      <c r="F294" s="54"/>
      <c r="G294" s="8"/>
      <c r="H294" s="8"/>
      <c r="I294" s="8"/>
      <c r="J294" s="8"/>
      <c r="K294" s="8"/>
      <c r="L294" s="8"/>
      <c r="M294" s="8"/>
      <c r="N294" s="8"/>
      <c r="O294" s="8"/>
      <c r="P294" s="8"/>
      <c r="Q294" s="8"/>
      <c r="R294" s="8"/>
      <c r="S294" s="8"/>
      <c r="T294" s="8"/>
      <c r="U294" s="53"/>
      <c r="V294" s="53"/>
      <c r="W294" s="53"/>
      <c r="X294" s="53"/>
      <c r="Y294" s="53"/>
      <c r="Z294" s="53"/>
      <c r="AA294" s="53"/>
      <c r="AB294" s="53"/>
      <c r="AC294" s="53"/>
      <c r="AD294" s="53"/>
      <c r="AE294" s="53"/>
      <c r="AF294" s="53"/>
      <c r="AG294" s="8"/>
      <c r="AH294" s="8"/>
      <c r="AI294" s="8"/>
      <c r="AJ294" s="8"/>
      <c r="AK294" s="8"/>
      <c r="AL294" s="8"/>
      <c r="AM294" s="8"/>
      <c r="AN294" s="8"/>
      <c r="AO294" s="8"/>
      <c r="AP294" s="8"/>
      <c r="AQ294" s="8"/>
      <c r="AR294" s="8"/>
      <c r="AS294" s="8"/>
      <c r="AT294" s="8"/>
      <c r="AU294" s="8"/>
      <c r="AV294" s="8"/>
      <c r="AW294" s="8"/>
      <c r="AX294" s="8"/>
      <c r="AY294" s="8"/>
      <c r="AZ294" s="8"/>
      <c r="BA294" s="8"/>
      <c r="BB294" s="8"/>
      <c r="BC294" s="8"/>
      <c r="BD294" s="8"/>
      <c r="BE294" s="8"/>
    </row>
    <row r="295" spans="1:57">
      <c r="A295" s="8"/>
      <c r="B295" s="8"/>
      <c r="C295" s="8"/>
      <c r="D295" s="8"/>
      <c r="E295" s="8"/>
      <c r="F295" s="54"/>
      <c r="G295" s="8"/>
      <c r="H295" s="8"/>
      <c r="I295" s="8"/>
      <c r="J295" s="8"/>
      <c r="K295" s="8"/>
      <c r="L295" s="8"/>
      <c r="M295" s="8"/>
      <c r="N295" s="8"/>
      <c r="O295" s="8"/>
      <c r="P295" s="8"/>
      <c r="Q295" s="8"/>
      <c r="R295" s="8"/>
      <c r="S295" s="8"/>
      <c r="T295" s="8"/>
      <c r="U295" s="53"/>
      <c r="V295" s="53"/>
      <c r="W295" s="53"/>
      <c r="X295" s="53"/>
      <c r="Y295" s="53"/>
      <c r="Z295" s="53"/>
      <c r="AA295" s="53"/>
      <c r="AB295" s="53"/>
      <c r="AC295" s="53"/>
      <c r="AD295" s="53"/>
      <c r="AE295" s="53"/>
      <c r="AF295" s="53"/>
      <c r="AG295" s="8"/>
      <c r="AH295" s="8"/>
      <c r="AI295" s="8"/>
      <c r="AJ295" s="8"/>
      <c r="AK295" s="8"/>
      <c r="AL295" s="8"/>
      <c r="AM295" s="8"/>
      <c r="AN295" s="8"/>
      <c r="AO295" s="8"/>
      <c r="AP295" s="8"/>
      <c r="AQ295" s="8"/>
      <c r="AR295" s="8"/>
      <c r="AS295" s="8"/>
      <c r="AT295" s="8"/>
      <c r="AU295" s="8"/>
      <c r="AV295" s="8"/>
      <c r="AW295" s="8"/>
      <c r="AX295" s="8"/>
      <c r="AY295" s="8"/>
      <c r="AZ295" s="8"/>
      <c r="BA295" s="8"/>
      <c r="BB295" s="8"/>
      <c r="BC295" s="8"/>
      <c r="BD295" s="8"/>
      <c r="BE295" s="8"/>
    </row>
    <row r="296" spans="1:57">
      <c r="A296" s="8"/>
      <c r="B296" s="8"/>
      <c r="C296" s="8"/>
      <c r="D296" s="8"/>
      <c r="E296" s="8"/>
      <c r="F296" s="54"/>
      <c r="G296" s="8"/>
      <c r="H296" s="8"/>
      <c r="I296" s="8"/>
      <c r="J296" s="8"/>
      <c r="K296" s="8"/>
      <c r="L296" s="8"/>
      <c r="M296" s="8"/>
      <c r="N296" s="8"/>
      <c r="O296" s="8"/>
      <c r="P296" s="8"/>
      <c r="Q296" s="8"/>
      <c r="R296" s="8"/>
      <c r="S296" s="8"/>
      <c r="T296" s="8"/>
      <c r="U296" s="53"/>
      <c r="V296" s="53"/>
      <c r="W296" s="53"/>
      <c r="X296" s="53"/>
      <c r="Y296" s="53"/>
      <c r="Z296" s="53"/>
      <c r="AA296" s="53"/>
      <c r="AB296" s="53"/>
      <c r="AC296" s="53"/>
      <c r="AD296" s="53"/>
      <c r="AE296" s="53"/>
      <c r="AF296" s="53"/>
      <c r="AG296" s="8"/>
      <c r="AH296" s="8"/>
      <c r="AI296" s="8"/>
      <c r="AJ296" s="8"/>
      <c r="AK296" s="8"/>
      <c r="AL296" s="8"/>
      <c r="AM296" s="8"/>
      <c r="AN296" s="8"/>
      <c r="AO296" s="8"/>
      <c r="AP296" s="8"/>
      <c r="AQ296" s="8"/>
      <c r="AR296" s="8"/>
      <c r="AS296" s="8"/>
      <c r="AT296" s="8"/>
      <c r="AU296" s="8"/>
      <c r="AV296" s="8"/>
      <c r="AW296" s="8"/>
      <c r="AX296" s="8"/>
      <c r="AY296" s="8"/>
      <c r="AZ296" s="8"/>
      <c r="BA296" s="8"/>
      <c r="BB296" s="8"/>
      <c r="BC296" s="8"/>
      <c r="BD296" s="8"/>
      <c r="BE296" s="8"/>
    </row>
    <row r="297" spans="1:57">
      <c r="A297" s="8"/>
      <c r="B297" s="8"/>
      <c r="C297" s="8"/>
      <c r="D297" s="8"/>
      <c r="E297" s="8"/>
      <c r="F297" s="54"/>
      <c r="G297" s="8"/>
      <c r="H297" s="8"/>
      <c r="I297" s="8"/>
      <c r="J297" s="8"/>
      <c r="K297" s="8"/>
      <c r="L297" s="8"/>
      <c r="M297" s="8"/>
      <c r="N297" s="8"/>
      <c r="O297" s="8"/>
      <c r="P297" s="8"/>
      <c r="Q297" s="8"/>
      <c r="R297" s="8"/>
      <c r="S297" s="8"/>
      <c r="T297" s="8"/>
      <c r="U297" s="53"/>
      <c r="V297" s="53"/>
      <c r="W297" s="53"/>
      <c r="X297" s="53"/>
      <c r="Y297" s="53"/>
      <c r="Z297" s="53"/>
      <c r="AA297" s="53"/>
      <c r="AB297" s="53"/>
      <c r="AC297" s="53"/>
      <c r="AD297" s="53"/>
      <c r="AE297" s="53"/>
      <c r="AF297" s="53"/>
      <c r="AG297" s="8"/>
      <c r="AH297" s="8"/>
      <c r="AI297" s="8"/>
      <c r="AJ297" s="8"/>
      <c r="AK297" s="8"/>
      <c r="AL297" s="8"/>
      <c r="AM297" s="8"/>
      <c r="AN297" s="8"/>
      <c r="AO297" s="8"/>
      <c r="AP297" s="8"/>
      <c r="AQ297" s="8"/>
      <c r="AR297" s="8"/>
      <c r="AS297" s="8"/>
      <c r="AT297" s="8"/>
      <c r="AU297" s="8"/>
      <c r="AV297" s="8"/>
      <c r="AW297" s="8"/>
      <c r="AX297" s="8"/>
      <c r="AY297" s="8"/>
      <c r="AZ297" s="8"/>
      <c r="BA297" s="8"/>
      <c r="BB297" s="8"/>
      <c r="BC297" s="8"/>
      <c r="BD297" s="8"/>
      <c r="BE297" s="8"/>
    </row>
    <row r="298" spans="1:57">
      <c r="A298" s="8"/>
      <c r="B298" s="8"/>
      <c r="C298" s="8"/>
      <c r="D298" s="8"/>
      <c r="E298" s="8"/>
      <c r="F298" s="54"/>
      <c r="G298" s="8"/>
      <c r="H298" s="8"/>
      <c r="I298" s="8"/>
      <c r="J298" s="8"/>
      <c r="K298" s="8"/>
      <c r="L298" s="8"/>
      <c r="M298" s="8"/>
      <c r="N298" s="8"/>
      <c r="O298" s="8"/>
      <c r="P298" s="8"/>
      <c r="Q298" s="8"/>
      <c r="R298" s="8"/>
      <c r="S298" s="8"/>
      <c r="T298" s="8"/>
      <c r="U298" s="53"/>
      <c r="V298" s="53"/>
      <c r="W298" s="53"/>
      <c r="X298" s="53"/>
      <c r="Y298" s="53"/>
      <c r="Z298" s="53"/>
      <c r="AA298" s="53"/>
      <c r="AB298" s="53"/>
      <c r="AC298" s="53"/>
      <c r="AD298" s="53"/>
      <c r="AE298" s="53"/>
      <c r="AF298" s="53"/>
      <c r="AG298" s="8"/>
      <c r="AH298" s="8"/>
      <c r="AI298" s="8"/>
      <c r="AJ298" s="8"/>
      <c r="AK298" s="8"/>
      <c r="AL298" s="8"/>
      <c r="AM298" s="8"/>
      <c r="AN298" s="8"/>
      <c r="AO298" s="8"/>
      <c r="AP298" s="8"/>
      <c r="AQ298" s="8"/>
      <c r="AR298" s="8"/>
      <c r="AS298" s="8"/>
      <c r="AT298" s="8"/>
      <c r="AU298" s="8"/>
      <c r="AV298" s="8"/>
      <c r="AW298" s="8"/>
      <c r="AX298" s="8"/>
      <c r="AY298" s="8"/>
      <c r="AZ298" s="8"/>
      <c r="BA298" s="8"/>
      <c r="BB298" s="8"/>
      <c r="BC298" s="8"/>
      <c r="BD298" s="8"/>
      <c r="BE298" s="8"/>
    </row>
    <row r="299" spans="1:57">
      <c r="A299" s="8"/>
      <c r="B299" s="8"/>
      <c r="C299" s="8"/>
      <c r="D299" s="8"/>
      <c r="E299" s="8"/>
      <c r="F299" s="54"/>
      <c r="G299" s="8"/>
      <c r="H299" s="8"/>
      <c r="I299" s="8"/>
      <c r="J299" s="8"/>
      <c r="K299" s="8"/>
      <c r="L299" s="8"/>
      <c r="M299" s="8"/>
      <c r="N299" s="8"/>
      <c r="O299" s="8"/>
      <c r="P299" s="8"/>
      <c r="Q299" s="8"/>
      <c r="R299" s="8"/>
      <c r="S299" s="8"/>
      <c r="T299" s="8"/>
      <c r="U299" s="53"/>
      <c r="V299" s="53"/>
      <c r="W299" s="53"/>
      <c r="X299" s="53"/>
      <c r="Y299" s="53"/>
      <c r="Z299" s="53"/>
      <c r="AA299" s="53"/>
      <c r="AB299" s="53"/>
      <c r="AC299" s="53"/>
      <c r="AD299" s="53"/>
      <c r="AE299" s="53"/>
      <c r="AF299" s="53"/>
      <c r="AG299" s="8"/>
      <c r="AH299" s="8"/>
      <c r="AI299" s="8"/>
      <c r="AJ299" s="8"/>
      <c r="AK299" s="8"/>
      <c r="AL299" s="8"/>
      <c r="AM299" s="8"/>
      <c r="AN299" s="8"/>
      <c r="AO299" s="8"/>
      <c r="AP299" s="8"/>
      <c r="AQ299" s="8"/>
      <c r="AR299" s="8"/>
      <c r="AS299" s="8"/>
      <c r="AT299" s="8"/>
      <c r="AU299" s="8"/>
      <c r="AV299" s="8"/>
      <c r="AW299" s="8"/>
      <c r="AX299" s="8"/>
      <c r="AY299" s="8"/>
      <c r="AZ299" s="8"/>
      <c r="BA299" s="8"/>
      <c r="BB299" s="8"/>
      <c r="BC299" s="8"/>
      <c r="BD299" s="8"/>
      <c r="BE299" s="8"/>
    </row>
    <row r="300" spans="1:57">
      <c r="A300" s="8"/>
      <c r="B300" s="8"/>
      <c r="C300" s="8"/>
      <c r="D300" s="8"/>
      <c r="E300" s="8"/>
      <c r="F300" s="54"/>
      <c r="G300" s="8"/>
      <c r="H300" s="8"/>
      <c r="I300" s="8"/>
      <c r="J300" s="8"/>
      <c r="K300" s="8"/>
      <c r="L300" s="8"/>
      <c r="M300" s="8"/>
      <c r="N300" s="8"/>
      <c r="O300" s="8"/>
      <c r="P300" s="8"/>
      <c r="Q300" s="8"/>
      <c r="R300" s="8"/>
      <c r="S300" s="8"/>
      <c r="T300" s="8"/>
      <c r="U300" s="53"/>
      <c r="V300" s="53"/>
      <c r="W300" s="53"/>
      <c r="X300" s="53"/>
      <c r="Y300" s="53"/>
      <c r="Z300" s="53"/>
      <c r="AA300" s="53"/>
      <c r="AB300" s="53"/>
      <c r="AC300" s="53"/>
      <c r="AD300" s="53"/>
      <c r="AE300" s="53"/>
      <c r="AF300" s="53"/>
      <c r="AG300" s="8"/>
      <c r="AH300" s="8"/>
      <c r="AI300" s="8"/>
      <c r="AJ300" s="8"/>
      <c r="AK300" s="8"/>
      <c r="AL300" s="8"/>
      <c r="AM300" s="8"/>
      <c r="AN300" s="8"/>
      <c r="AO300" s="8"/>
      <c r="AP300" s="8"/>
      <c r="AQ300" s="8"/>
      <c r="AR300" s="8"/>
      <c r="AS300" s="8"/>
      <c r="AT300" s="8"/>
      <c r="AU300" s="8"/>
      <c r="AV300" s="8"/>
      <c r="AW300" s="8"/>
      <c r="AX300" s="8"/>
      <c r="AY300" s="8"/>
      <c r="AZ300" s="8"/>
      <c r="BA300" s="8"/>
      <c r="BB300" s="8"/>
      <c r="BC300" s="8"/>
      <c r="BD300" s="8"/>
      <c r="BE300" s="8"/>
    </row>
    <row r="301" spans="1:57">
      <c r="A301" s="8"/>
      <c r="B301" s="8"/>
      <c r="C301" s="8"/>
      <c r="D301" s="8"/>
      <c r="E301" s="8"/>
      <c r="F301" s="54"/>
      <c r="G301" s="8"/>
      <c r="H301" s="8"/>
      <c r="I301" s="8"/>
      <c r="J301" s="8"/>
      <c r="K301" s="8"/>
      <c r="L301" s="8"/>
      <c r="M301" s="8"/>
      <c r="N301" s="8"/>
      <c r="O301" s="8"/>
      <c r="P301" s="8"/>
      <c r="Q301" s="8"/>
      <c r="R301" s="8"/>
      <c r="S301" s="8"/>
      <c r="T301" s="8"/>
      <c r="U301" s="53"/>
      <c r="V301" s="53"/>
      <c r="W301" s="53"/>
      <c r="X301" s="53"/>
      <c r="Y301" s="53"/>
      <c r="Z301" s="53"/>
      <c r="AA301" s="53"/>
      <c r="AB301" s="53"/>
      <c r="AC301" s="53"/>
      <c r="AD301" s="53"/>
      <c r="AE301" s="53"/>
      <c r="AF301" s="53"/>
      <c r="AG301" s="8"/>
      <c r="AH301" s="8"/>
      <c r="AI301" s="8"/>
      <c r="AJ301" s="8"/>
      <c r="AK301" s="8"/>
      <c r="AL301" s="8"/>
      <c r="AM301" s="8"/>
      <c r="AN301" s="8"/>
      <c r="AO301" s="8"/>
      <c r="AP301" s="8"/>
      <c r="AQ301" s="8"/>
      <c r="AR301" s="8"/>
      <c r="AS301" s="8"/>
      <c r="AT301" s="8"/>
      <c r="AU301" s="8"/>
      <c r="AV301" s="8"/>
      <c r="AW301" s="8"/>
      <c r="AX301" s="8"/>
      <c r="AY301" s="8"/>
      <c r="AZ301" s="8"/>
      <c r="BA301" s="8"/>
      <c r="BB301" s="8"/>
      <c r="BC301" s="8"/>
      <c r="BD301" s="8"/>
      <c r="BE301" s="8"/>
    </row>
    <row r="302" spans="1:57">
      <c r="A302" s="8"/>
      <c r="B302" s="8"/>
      <c r="C302" s="8"/>
      <c r="D302" s="8"/>
      <c r="E302" s="8"/>
      <c r="F302" s="54"/>
      <c r="G302" s="8"/>
      <c r="H302" s="8"/>
      <c r="I302" s="8"/>
      <c r="J302" s="8"/>
      <c r="K302" s="8"/>
      <c r="L302" s="8"/>
      <c r="M302" s="8"/>
      <c r="N302" s="8"/>
      <c r="O302" s="8"/>
      <c r="P302" s="8"/>
      <c r="Q302" s="8"/>
      <c r="R302" s="8"/>
      <c r="S302" s="8"/>
      <c r="T302" s="8"/>
      <c r="U302" s="53"/>
      <c r="V302" s="53"/>
      <c r="W302" s="53"/>
      <c r="X302" s="53"/>
      <c r="Y302" s="53"/>
      <c r="Z302" s="53"/>
      <c r="AA302" s="53"/>
      <c r="AB302" s="53"/>
      <c r="AC302" s="53"/>
      <c r="AD302" s="53"/>
      <c r="AE302" s="53"/>
      <c r="AF302" s="53"/>
      <c r="AG302" s="8"/>
      <c r="AH302" s="8"/>
      <c r="AI302" s="8"/>
      <c r="AJ302" s="8"/>
      <c r="AK302" s="8"/>
      <c r="AL302" s="8"/>
      <c r="AM302" s="8"/>
      <c r="AN302" s="8"/>
      <c r="AO302" s="8"/>
      <c r="AP302" s="8"/>
      <c r="AQ302" s="8"/>
      <c r="AR302" s="8"/>
      <c r="AS302" s="8"/>
      <c r="AT302" s="8"/>
      <c r="AU302" s="8"/>
      <c r="AV302" s="8"/>
      <c r="AW302" s="8"/>
      <c r="AX302" s="8"/>
      <c r="AY302" s="8"/>
      <c r="AZ302" s="8"/>
      <c r="BA302" s="8"/>
      <c r="BB302" s="8"/>
      <c r="BC302" s="8"/>
      <c r="BD302" s="8"/>
      <c r="BE302" s="8"/>
    </row>
    <row r="303" spans="1:57">
      <c r="A303" s="8"/>
      <c r="B303" s="8"/>
      <c r="C303" s="8"/>
      <c r="D303" s="8"/>
      <c r="E303" s="8"/>
      <c r="F303" s="54"/>
      <c r="G303" s="8"/>
      <c r="H303" s="8"/>
      <c r="I303" s="8"/>
      <c r="J303" s="8"/>
      <c r="K303" s="8"/>
      <c r="L303" s="8"/>
      <c r="M303" s="8"/>
      <c r="N303" s="8"/>
      <c r="O303" s="8"/>
      <c r="P303" s="8"/>
      <c r="Q303" s="8"/>
      <c r="R303" s="8"/>
      <c r="S303" s="8"/>
      <c r="T303" s="8"/>
      <c r="U303" s="53"/>
      <c r="V303" s="53"/>
      <c r="W303" s="53"/>
      <c r="X303" s="53"/>
      <c r="Y303" s="53"/>
      <c r="Z303" s="53"/>
      <c r="AA303" s="53"/>
      <c r="AB303" s="53"/>
      <c r="AC303" s="53"/>
      <c r="AD303" s="53"/>
      <c r="AE303" s="53"/>
      <c r="AF303" s="53"/>
      <c r="AG303" s="8"/>
      <c r="AH303" s="8"/>
      <c r="AI303" s="8"/>
      <c r="AJ303" s="8"/>
      <c r="AK303" s="8"/>
      <c r="AL303" s="8"/>
      <c r="AM303" s="8"/>
      <c r="AN303" s="8"/>
      <c r="AO303" s="8"/>
      <c r="AP303" s="8"/>
      <c r="AQ303" s="8"/>
      <c r="AR303" s="8"/>
      <c r="AS303" s="8"/>
      <c r="AT303" s="8"/>
      <c r="AU303" s="8"/>
      <c r="AV303" s="8"/>
      <c r="AW303" s="8"/>
      <c r="AX303" s="8"/>
      <c r="AY303" s="8"/>
      <c r="AZ303" s="8"/>
      <c r="BA303" s="8"/>
      <c r="BB303" s="8"/>
      <c r="BC303" s="8"/>
      <c r="BD303" s="8"/>
      <c r="BE303" s="8"/>
    </row>
    <row r="304" spans="1:57">
      <c r="A304" s="8"/>
      <c r="B304" s="8"/>
      <c r="C304" s="8"/>
      <c r="D304" s="8"/>
      <c r="E304" s="8"/>
      <c r="F304" s="54"/>
      <c r="G304" s="8"/>
      <c r="H304" s="8"/>
      <c r="I304" s="8"/>
      <c r="J304" s="8"/>
      <c r="K304" s="8"/>
      <c r="L304" s="8"/>
      <c r="M304" s="8"/>
      <c r="N304" s="8"/>
      <c r="O304" s="8"/>
      <c r="P304" s="8"/>
      <c r="Q304" s="8"/>
      <c r="R304" s="8"/>
      <c r="S304" s="8"/>
      <c r="T304" s="8"/>
      <c r="U304" s="53"/>
      <c r="V304" s="53"/>
      <c r="W304" s="53"/>
      <c r="X304" s="53"/>
      <c r="Y304" s="53"/>
      <c r="Z304" s="53"/>
      <c r="AA304" s="53"/>
      <c r="AB304" s="53"/>
      <c r="AC304" s="53"/>
      <c r="AD304" s="53"/>
      <c r="AE304" s="53"/>
      <c r="AF304" s="53"/>
      <c r="AG304" s="8"/>
      <c r="AH304" s="8"/>
      <c r="AI304" s="8"/>
      <c r="AJ304" s="8"/>
      <c r="AK304" s="8"/>
      <c r="AL304" s="8"/>
      <c r="AM304" s="8"/>
      <c r="AN304" s="8"/>
      <c r="AO304" s="8"/>
      <c r="AP304" s="8"/>
      <c r="AQ304" s="8"/>
      <c r="AR304" s="8"/>
      <c r="AS304" s="8"/>
      <c r="AT304" s="8"/>
      <c r="AU304" s="8"/>
      <c r="AV304" s="8"/>
      <c r="AW304" s="8"/>
      <c r="AX304" s="8"/>
      <c r="AY304" s="8"/>
      <c r="AZ304" s="8"/>
      <c r="BA304" s="8"/>
      <c r="BB304" s="8"/>
      <c r="BC304" s="8"/>
      <c r="BD304" s="8"/>
      <c r="BE304" s="8"/>
    </row>
    <row r="305" spans="1:57">
      <c r="A305" s="8"/>
      <c r="B305" s="8"/>
      <c r="C305" s="8"/>
      <c r="D305" s="8"/>
      <c r="E305" s="8"/>
      <c r="F305" s="54"/>
      <c r="G305" s="8"/>
      <c r="H305" s="8"/>
      <c r="I305" s="8"/>
      <c r="J305" s="8"/>
      <c r="K305" s="8"/>
      <c r="L305" s="8"/>
      <c r="M305" s="8"/>
      <c r="N305" s="8"/>
      <c r="O305" s="8"/>
      <c r="P305" s="8"/>
      <c r="Q305" s="8"/>
      <c r="R305" s="8"/>
      <c r="S305" s="8"/>
      <c r="T305" s="8"/>
      <c r="U305" s="53"/>
      <c r="V305" s="53"/>
      <c r="W305" s="53"/>
      <c r="X305" s="53"/>
      <c r="Y305" s="53"/>
      <c r="Z305" s="53"/>
      <c r="AA305" s="53"/>
      <c r="AB305" s="53"/>
      <c r="AC305" s="53"/>
      <c r="AD305" s="53"/>
      <c r="AE305" s="53"/>
      <c r="AF305" s="53"/>
      <c r="AG305" s="8"/>
      <c r="AH305" s="8"/>
      <c r="AI305" s="8"/>
      <c r="AJ305" s="8"/>
      <c r="AK305" s="8"/>
      <c r="AL305" s="8"/>
      <c r="AM305" s="8"/>
      <c r="AN305" s="8"/>
      <c r="AO305" s="8"/>
      <c r="AP305" s="8"/>
      <c r="AQ305" s="8"/>
      <c r="AR305" s="8"/>
      <c r="AS305" s="8"/>
      <c r="AT305" s="8"/>
      <c r="AU305" s="8"/>
      <c r="AV305" s="8"/>
      <c r="AW305" s="8"/>
      <c r="AX305" s="8"/>
      <c r="AY305" s="8"/>
      <c r="AZ305" s="8"/>
      <c r="BA305" s="8"/>
      <c r="BB305" s="8"/>
      <c r="BC305" s="8"/>
      <c r="BD305" s="8"/>
      <c r="BE305" s="8"/>
    </row>
    <row r="306" spans="1:57">
      <c r="A306" s="8"/>
      <c r="B306" s="8"/>
      <c r="C306" s="8"/>
      <c r="D306" s="8"/>
      <c r="E306" s="8"/>
      <c r="F306" s="54"/>
      <c r="G306" s="8"/>
      <c r="H306" s="8"/>
      <c r="I306" s="8"/>
      <c r="J306" s="8"/>
      <c r="K306" s="8"/>
      <c r="L306" s="8"/>
      <c r="M306" s="8"/>
      <c r="N306" s="8"/>
      <c r="O306" s="8"/>
      <c r="P306" s="8"/>
      <c r="Q306" s="8"/>
      <c r="R306" s="8"/>
      <c r="S306" s="8"/>
      <c r="T306" s="8"/>
      <c r="U306" s="53"/>
      <c r="V306" s="53"/>
      <c r="W306" s="53"/>
      <c r="X306" s="53"/>
      <c r="Y306" s="53"/>
      <c r="Z306" s="53"/>
      <c r="AA306" s="53"/>
      <c r="AB306" s="53"/>
      <c r="AC306" s="53"/>
      <c r="AD306" s="53"/>
      <c r="AE306" s="53"/>
      <c r="AF306" s="53"/>
      <c r="AG306" s="8"/>
      <c r="AH306" s="8"/>
      <c r="AI306" s="8"/>
      <c r="AJ306" s="8"/>
      <c r="AK306" s="8"/>
      <c r="AL306" s="8"/>
      <c r="AM306" s="8"/>
      <c r="AN306" s="8"/>
      <c r="AO306" s="8"/>
      <c r="AP306" s="8"/>
      <c r="AQ306" s="8"/>
      <c r="AR306" s="8"/>
      <c r="AS306" s="8"/>
      <c r="AT306" s="8"/>
      <c r="AU306" s="8"/>
      <c r="AV306" s="8"/>
      <c r="AW306" s="8"/>
      <c r="AX306" s="8"/>
      <c r="AY306" s="8"/>
      <c r="AZ306" s="8"/>
      <c r="BA306" s="8"/>
      <c r="BB306" s="8"/>
      <c r="BC306" s="8"/>
      <c r="BD306" s="8"/>
      <c r="BE306" s="8"/>
    </row>
    <row r="307" spans="1:57">
      <c r="A307" s="8"/>
      <c r="B307" s="8"/>
      <c r="C307" s="8"/>
      <c r="D307" s="8"/>
      <c r="E307" s="8"/>
      <c r="F307" s="54"/>
      <c r="G307" s="8"/>
      <c r="H307" s="8"/>
      <c r="I307" s="8"/>
      <c r="J307" s="8"/>
      <c r="K307" s="8"/>
      <c r="L307" s="8"/>
      <c r="M307" s="8"/>
      <c r="N307" s="8"/>
      <c r="O307" s="8"/>
      <c r="P307" s="8"/>
      <c r="Q307" s="8"/>
      <c r="R307" s="8"/>
      <c r="S307" s="8"/>
      <c r="T307" s="8"/>
      <c r="U307" s="53"/>
      <c r="V307" s="53"/>
      <c r="W307" s="53"/>
      <c r="X307" s="53"/>
      <c r="Y307" s="53"/>
      <c r="Z307" s="53"/>
      <c r="AA307" s="53"/>
      <c r="AB307" s="53"/>
      <c r="AC307" s="53"/>
      <c r="AD307" s="53"/>
      <c r="AE307" s="53"/>
      <c r="AF307" s="53"/>
      <c r="AG307" s="8"/>
      <c r="AH307" s="8"/>
      <c r="AI307" s="8"/>
      <c r="AJ307" s="8"/>
      <c r="AK307" s="8"/>
      <c r="AL307" s="8"/>
      <c r="AM307" s="8"/>
      <c r="AN307" s="8"/>
      <c r="AO307" s="8"/>
      <c r="AP307" s="8"/>
      <c r="AQ307" s="8"/>
      <c r="AR307" s="8"/>
      <c r="AS307" s="8"/>
      <c r="AT307" s="8"/>
      <c r="AU307" s="8"/>
      <c r="AV307" s="8"/>
      <c r="AW307" s="8"/>
      <c r="AX307" s="8"/>
      <c r="AY307" s="8"/>
      <c r="AZ307" s="8"/>
      <c r="BA307" s="8"/>
      <c r="BB307" s="8"/>
      <c r="BC307" s="8"/>
      <c r="BD307" s="8"/>
      <c r="BE307" s="8"/>
    </row>
    <row r="308" spans="1:57">
      <c r="A308" s="8"/>
      <c r="B308" s="8"/>
      <c r="C308" s="8"/>
      <c r="D308" s="8"/>
      <c r="E308" s="8"/>
      <c r="F308" s="54"/>
      <c r="G308" s="8"/>
      <c r="H308" s="8"/>
      <c r="I308" s="8"/>
      <c r="J308" s="8"/>
      <c r="K308" s="8"/>
      <c r="L308" s="8"/>
      <c r="M308" s="8"/>
      <c r="N308" s="8"/>
      <c r="O308" s="8"/>
      <c r="P308" s="8"/>
      <c r="Q308" s="8"/>
      <c r="R308" s="8"/>
      <c r="S308" s="8"/>
      <c r="T308" s="8"/>
      <c r="U308" s="53"/>
      <c r="V308" s="53"/>
      <c r="W308" s="53"/>
      <c r="X308" s="53"/>
      <c r="Y308" s="53"/>
      <c r="Z308" s="53"/>
      <c r="AA308" s="53"/>
      <c r="AB308" s="53"/>
      <c r="AC308" s="53"/>
      <c r="AD308" s="53"/>
      <c r="AE308" s="53"/>
      <c r="AF308" s="53"/>
      <c r="AG308" s="8"/>
      <c r="AH308" s="8"/>
      <c r="AI308" s="8"/>
      <c r="AJ308" s="8"/>
      <c r="AK308" s="8"/>
      <c r="AL308" s="8"/>
      <c r="AM308" s="8"/>
      <c r="AN308" s="8"/>
      <c r="AO308" s="8"/>
      <c r="AP308" s="8"/>
      <c r="AQ308" s="8"/>
      <c r="AR308" s="8"/>
      <c r="AS308" s="8"/>
      <c r="AT308" s="8"/>
      <c r="AU308" s="8"/>
      <c r="AV308" s="8"/>
      <c r="AW308" s="8"/>
      <c r="AX308" s="8"/>
      <c r="AY308" s="8"/>
      <c r="AZ308" s="8"/>
      <c r="BA308" s="8"/>
      <c r="BB308" s="8"/>
      <c r="BC308" s="8"/>
      <c r="BD308" s="8"/>
      <c r="BE308" s="8"/>
    </row>
    <row r="309" spans="1:57">
      <c r="A309" s="8"/>
      <c r="B309" s="8"/>
      <c r="C309" s="8"/>
      <c r="D309" s="8"/>
      <c r="E309" s="8"/>
      <c r="F309" s="54"/>
      <c r="G309" s="8"/>
      <c r="H309" s="8"/>
      <c r="I309" s="8"/>
      <c r="J309" s="8"/>
      <c r="K309" s="8"/>
      <c r="L309" s="8"/>
      <c r="M309" s="8"/>
      <c r="N309" s="8"/>
      <c r="O309" s="8"/>
      <c r="P309" s="8"/>
      <c r="Q309" s="8"/>
      <c r="R309" s="8"/>
      <c r="S309" s="8"/>
      <c r="T309" s="8"/>
      <c r="U309" s="53"/>
      <c r="V309" s="53"/>
      <c r="W309" s="53"/>
      <c r="X309" s="53"/>
      <c r="Y309" s="53"/>
      <c r="Z309" s="53"/>
      <c r="AA309" s="53"/>
      <c r="AB309" s="53"/>
      <c r="AC309" s="53"/>
      <c r="AD309" s="53"/>
      <c r="AE309" s="53"/>
      <c r="AF309" s="53"/>
      <c r="AG309" s="8"/>
      <c r="AH309" s="8"/>
      <c r="AI309" s="8"/>
      <c r="AJ309" s="8"/>
      <c r="AK309" s="8"/>
      <c r="AL309" s="8"/>
      <c r="AM309" s="8"/>
      <c r="AN309" s="8"/>
      <c r="AO309" s="8"/>
      <c r="AP309" s="8"/>
      <c r="AQ309" s="8"/>
      <c r="AR309" s="8"/>
      <c r="AS309" s="8"/>
      <c r="AT309" s="8"/>
      <c r="AU309" s="8"/>
      <c r="AV309" s="8"/>
      <c r="AW309" s="8"/>
      <c r="AX309" s="8"/>
      <c r="AY309" s="8"/>
      <c r="AZ309" s="8"/>
      <c r="BA309" s="8"/>
      <c r="BB309" s="8"/>
      <c r="BC309" s="8"/>
      <c r="BD309" s="8"/>
      <c r="BE309" s="8"/>
    </row>
    <row r="310" spans="1:57">
      <c r="A310" s="8"/>
      <c r="B310" s="8"/>
      <c r="C310" s="8"/>
      <c r="D310" s="8"/>
      <c r="E310" s="8"/>
      <c r="F310" s="54"/>
      <c r="G310" s="8"/>
      <c r="H310" s="8"/>
      <c r="I310" s="8"/>
      <c r="J310" s="8"/>
      <c r="K310" s="8"/>
      <c r="L310" s="8"/>
      <c r="M310" s="8"/>
      <c r="N310" s="8"/>
      <c r="O310" s="8"/>
      <c r="P310" s="8"/>
      <c r="Q310" s="8"/>
      <c r="R310" s="8"/>
      <c r="S310" s="8"/>
      <c r="T310" s="8"/>
      <c r="U310" s="53"/>
      <c r="V310" s="53"/>
      <c r="W310" s="53"/>
      <c r="X310" s="53"/>
      <c r="Y310" s="53"/>
      <c r="Z310" s="53"/>
      <c r="AA310" s="53"/>
      <c r="AB310" s="53"/>
      <c r="AC310" s="53"/>
      <c r="AD310" s="53"/>
      <c r="AE310" s="53"/>
      <c r="AF310" s="53"/>
      <c r="AG310" s="8"/>
      <c r="AH310" s="8"/>
      <c r="AI310" s="8"/>
      <c r="AJ310" s="8"/>
      <c r="AK310" s="8"/>
      <c r="AL310" s="8"/>
      <c r="AM310" s="8"/>
      <c r="AN310" s="8"/>
      <c r="AO310" s="8"/>
      <c r="AP310" s="8"/>
      <c r="AQ310" s="8"/>
      <c r="AR310" s="8"/>
      <c r="AS310" s="8"/>
      <c r="AT310" s="8"/>
      <c r="AU310" s="8"/>
      <c r="AV310" s="8"/>
      <c r="AW310" s="8"/>
      <c r="AX310" s="8"/>
      <c r="AY310" s="8"/>
      <c r="AZ310" s="8"/>
      <c r="BA310" s="8"/>
      <c r="BB310" s="8"/>
      <c r="BC310" s="8"/>
      <c r="BD310" s="8"/>
      <c r="BE310" s="8"/>
    </row>
    <row r="311" spans="1:57">
      <c r="A311" s="8"/>
      <c r="B311" s="8"/>
      <c r="C311" s="8"/>
      <c r="D311" s="8"/>
      <c r="E311" s="8"/>
      <c r="F311" s="54"/>
      <c r="G311" s="8"/>
      <c r="H311" s="8"/>
      <c r="I311" s="8"/>
      <c r="J311" s="8"/>
      <c r="K311" s="8"/>
      <c r="L311" s="8"/>
      <c r="M311" s="8"/>
      <c r="N311" s="8"/>
      <c r="O311" s="8"/>
      <c r="P311" s="8"/>
      <c r="Q311" s="8"/>
      <c r="R311" s="8"/>
      <c r="S311" s="8"/>
      <c r="T311" s="8"/>
      <c r="U311" s="53"/>
      <c r="V311" s="53"/>
      <c r="W311" s="53"/>
      <c r="X311" s="53"/>
      <c r="Y311" s="53"/>
      <c r="Z311" s="53"/>
      <c r="AA311" s="53"/>
      <c r="AB311" s="53"/>
      <c r="AC311" s="53"/>
      <c r="AD311" s="53"/>
      <c r="AE311" s="53"/>
      <c r="AF311" s="53"/>
      <c r="AG311" s="8"/>
      <c r="AH311" s="8"/>
      <c r="AI311" s="8"/>
      <c r="AJ311" s="8"/>
      <c r="AK311" s="8"/>
      <c r="AL311" s="8"/>
      <c r="AM311" s="8"/>
      <c r="AN311" s="8"/>
      <c r="AO311" s="8"/>
      <c r="AP311" s="8"/>
      <c r="AQ311" s="8"/>
      <c r="AR311" s="8"/>
      <c r="AS311" s="8"/>
      <c r="AT311" s="8"/>
      <c r="AU311" s="8"/>
      <c r="AV311" s="8"/>
      <c r="AW311" s="8"/>
      <c r="AX311" s="8"/>
      <c r="AY311" s="8"/>
      <c r="AZ311" s="8"/>
      <c r="BA311" s="8"/>
      <c r="BB311" s="8"/>
      <c r="BC311" s="8"/>
      <c r="BD311" s="8"/>
      <c r="BE311" s="8"/>
    </row>
    <row r="312" spans="1:57">
      <c r="A312" s="8"/>
      <c r="B312" s="8"/>
      <c r="C312" s="8"/>
      <c r="D312" s="8"/>
      <c r="E312" s="8"/>
      <c r="F312" s="54"/>
      <c r="G312" s="8"/>
      <c r="H312" s="8"/>
      <c r="I312" s="8"/>
      <c r="J312" s="8"/>
      <c r="K312" s="8"/>
      <c r="L312" s="8"/>
      <c r="M312" s="8"/>
      <c r="N312" s="8"/>
      <c r="O312" s="8"/>
      <c r="P312" s="8"/>
      <c r="Q312" s="8"/>
      <c r="R312" s="8"/>
      <c r="S312" s="8"/>
      <c r="T312" s="8"/>
      <c r="U312" s="53"/>
      <c r="V312" s="53"/>
      <c r="W312" s="53"/>
      <c r="X312" s="53"/>
      <c r="Y312" s="53"/>
      <c r="Z312" s="53"/>
      <c r="AA312" s="53"/>
      <c r="AB312" s="53"/>
      <c r="AC312" s="53"/>
      <c r="AD312" s="53"/>
      <c r="AE312" s="53"/>
      <c r="AF312" s="53"/>
      <c r="AG312" s="8"/>
      <c r="AH312" s="8"/>
      <c r="AI312" s="8"/>
      <c r="AJ312" s="8"/>
      <c r="AK312" s="8"/>
      <c r="AL312" s="8"/>
      <c r="AM312" s="8"/>
      <c r="AN312" s="8"/>
      <c r="AO312" s="8"/>
      <c r="AP312" s="8"/>
      <c r="AQ312" s="8"/>
      <c r="AR312" s="8"/>
      <c r="AS312" s="8"/>
      <c r="AT312" s="8"/>
      <c r="AU312" s="8"/>
      <c r="AV312" s="8"/>
      <c r="AW312" s="8"/>
      <c r="AX312" s="8"/>
      <c r="AY312" s="8"/>
      <c r="AZ312" s="8"/>
      <c r="BA312" s="8"/>
      <c r="BB312" s="8"/>
      <c r="BC312" s="8"/>
      <c r="BD312" s="8"/>
      <c r="BE312" s="8"/>
    </row>
    <row r="313" spans="1:57">
      <c r="A313" s="8"/>
      <c r="B313" s="8"/>
      <c r="C313" s="8"/>
      <c r="D313" s="8"/>
      <c r="E313" s="8"/>
      <c r="F313" s="54"/>
      <c r="G313" s="8"/>
      <c r="H313" s="8"/>
      <c r="I313" s="8"/>
      <c r="J313" s="8"/>
      <c r="K313" s="8"/>
      <c r="L313" s="8"/>
      <c r="M313" s="8"/>
      <c r="N313" s="8"/>
      <c r="O313" s="8"/>
      <c r="P313" s="8"/>
      <c r="Q313" s="8"/>
      <c r="R313" s="8"/>
      <c r="S313" s="8"/>
      <c r="T313" s="8"/>
      <c r="U313" s="53"/>
      <c r="V313" s="53"/>
      <c r="W313" s="53"/>
      <c r="X313" s="53"/>
      <c r="Y313" s="53"/>
      <c r="Z313" s="53"/>
      <c r="AA313" s="53"/>
      <c r="AB313" s="53"/>
      <c r="AC313" s="53"/>
      <c r="AD313" s="53"/>
      <c r="AE313" s="53"/>
      <c r="AF313" s="53"/>
      <c r="AG313" s="8"/>
      <c r="AH313" s="8"/>
      <c r="AI313" s="8"/>
      <c r="AJ313" s="8"/>
      <c r="AK313" s="8"/>
      <c r="AL313" s="8"/>
      <c r="AM313" s="8"/>
      <c r="AN313" s="8"/>
      <c r="AO313" s="8"/>
      <c r="AP313" s="8"/>
      <c r="AQ313" s="8"/>
      <c r="AR313" s="8"/>
      <c r="AS313" s="8"/>
      <c r="AT313" s="8"/>
      <c r="AU313" s="8"/>
      <c r="AV313" s="8"/>
      <c r="AW313" s="8"/>
      <c r="AX313" s="8"/>
      <c r="AY313" s="8"/>
      <c r="AZ313" s="8"/>
      <c r="BA313" s="8"/>
      <c r="BB313" s="8"/>
      <c r="BC313" s="8"/>
      <c r="BD313" s="8"/>
      <c r="BE313" s="8"/>
    </row>
    <row r="314" spans="1:57">
      <c r="A314" s="8"/>
      <c r="B314" s="8"/>
      <c r="C314" s="8"/>
      <c r="D314" s="8"/>
      <c r="E314" s="8"/>
      <c r="F314" s="54"/>
      <c r="G314" s="8"/>
      <c r="H314" s="8"/>
      <c r="I314" s="8"/>
      <c r="J314" s="8"/>
      <c r="K314" s="8"/>
      <c r="L314" s="8"/>
      <c r="M314" s="8"/>
      <c r="N314" s="8"/>
      <c r="O314" s="8"/>
      <c r="P314" s="8"/>
      <c r="Q314" s="8"/>
      <c r="R314" s="8"/>
      <c r="S314" s="8"/>
      <c r="T314" s="8"/>
      <c r="U314" s="53"/>
      <c r="V314" s="53"/>
      <c r="W314" s="53"/>
      <c r="X314" s="53"/>
      <c r="Y314" s="53"/>
      <c r="Z314" s="53"/>
      <c r="AA314" s="53"/>
      <c r="AB314" s="53"/>
      <c r="AC314" s="53"/>
      <c r="AD314" s="53"/>
      <c r="AE314" s="53"/>
      <c r="AF314" s="53"/>
      <c r="AG314" s="8"/>
      <c r="AH314" s="8"/>
      <c r="AI314" s="8"/>
      <c r="AJ314" s="8"/>
      <c r="AK314" s="8"/>
      <c r="AL314" s="8"/>
      <c r="AM314" s="8"/>
      <c r="AN314" s="8"/>
      <c r="AO314" s="8"/>
      <c r="AP314" s="8"/>
      <c r="AQ314" s="8"/>
      <c r="AR314" s="8"/>
      <c r="AS314" s="8"/>
      <c r="AT314" s="8"/>
      <c r="AU314" s="8"/>
      <c r="AV314" s="8"/>
      <c r="AW314" s="8"/>
      <c r="AX314" s="8"/>
      <c r="AY314" s="8"/>
      <c r="AZ314" s="8"/>
      <c r="BA314" s="8"/>
      <c r="BB314" s="8"/>
      <c r="BC314" s="8"/>
      <c r="BD314" s="8"/>
      <c r="BE314" s="8"/>
    </row>
    <row r="315" spans="1:57">
      <c r="A315" s="8"/>
      <c r="B315" s="8"/>
      <c r="C315" s="8"/>
      <c r="D315" s="8"/>
      <c r="E315" s="8"/>
      <c r="F315" s="54"/>
      <c r="G315" s="8"/>
      <c r="H315" s="8"/>
      <c r="I315" s="8"/>
      <c r="J315" s="8"/>
      <c r="K315" s="8"/>
      <c r="L315" s="8"/>
      <c r="M315" s="8"/>
      <c r="N315" s="8"/>
      <c r="O315" s="8"/>
      <c r="P315" s="8"/>
      <c r="Q315" s="8"/>
      <c r="R315" s="8"/>
      <c r="S315" s="8"/>
      <c r="T315" s="8"/>
      <c r="U315" s="53"/>
      <c r="V315" s="53"/>
      <c r="W315" s="53"/>
      <c r="X315" s="53"/>
      <c r="Y315" s="53"/>
      <c r="Z315" s="53"/>
      <c r="AA315" s="53"/>
      <c r="AB315" s="53"/>
      <c r="AC315" s="53"/>
      <c r="AD315" s="53"/>
      <c r="AE315" s="53"/>
      <c r="AF315" s="53"/>
      <c r="AG315" s="8"/>
      <c r="AH315" s="8"/>
      <c r="AI315" s="8"/>
      <c r="AJ315" s="8"/>
      <c r="AK315" s="8"/>
      <c r="AL315" s="8"/>
      <c r="AM315" s="8"/>
      <c r="AN315" s="8"/>
      <c r="AO315" s="8"/>
      <c r="AP315" s="8"/>
      <c r="AQ315" s="8"/>
      <c r="AR315" s="8"/>
      <c r="AS315" s="8"/>
      <c r="AT315" s="8"/>
      <c r="AU315" s="8"/>
      <c r="AV315" s="8"/>
      <c r="AW315" s="8"/>
      <c r="AX315" s="8"/>
      <c r="AY315" s="8"/>
      <c r="AZ315" s="8"/>
      <c r="BA315" s="8"/>
      <c r="BB315" s="8"/>
      <c r="BC315" s="8"/>
      <c r="BD315" s="8"/>
      <c r="BE315" s="8"/>
    </row>
    <row r="316" spans="1:57">
      <c r="A316" s="8"/>
      <c r="B316" s="8"/>
      <c r="C316" s="8"/>
      <c r="D316" s="8"/>
      <c r="E316" s="8"/>
      <c r="F316" s="54"/>
      <c r="G316" s="8"/>
      <c r="H316" s="8"/>
      <c r="I316" s="8"/>
      <c r="J316" s="8"/>
      <c r="K316" s="8"/>
      <c r="L316" s="8"/>
      <c r="M316" s="8"/>
      <c r="N316" s="8"/>
      <c r="O316" s="8"/>
      <c r="P316" s="8"/>
      <c r="Q316" s="8"/>
      <c r="R316" s="8"/>
      <c r="S316" s="8"/>
      <c r="T316" s="8"/>
      <c r="U316" s="53"/>
      <c r="V316" s="53"/>
      <c r="W316" s="53"/>
      <c r="X316" s="53"/>
      <c r="Y316" s="53"/>
      <c r="Z316" s="53"/>
      <c r="AA316" s="53"/>
      <c r="AB316" s="53"/>
      <c r="AC316" s="53"/>
      <c r="AD316" s="53"/>
      <c r="AE316" s="53"/>
      <c r="AF316" s="53"/>
      <c r="AG316" s="8"/>
      <c r="AH316" s="8"/>
      <c r="AI316" s="8"/>
      <c r="AJ316" s="8"/>
      <c r="AK316" s="8"/>
      <c r="AL316" s="8"/>
      <c r="AM316" s="8"/>
      <c r="AN316" s="8"/>
      <c r="AO316" s="8"/>
      <c r="AP316" s="8"/>
      <c r="AQ316" s="8"/>
      <c r="AR316" s="8"/>
      <c r="AS316" s="8"/>
      <c r="AT316" s="8"/>
      <c r="AU316" s="8"/>
      <c r="AV316" s="8"/>
      <c r="AW316" s="8"/>
      <c r="AX316" s="8"/>
      <c r="AY316" s="8"/>
      <c r="AZ316" s="8"/>
      <c r="BA316" s="8"/>
      <c r="BB316" s="8"/>
      <c r="BC316" s="8"/>
      <c r="BD316" s="8"/>
      <c r="BE316" s="8"/>
    </row>
    <row r="317" spans="1:57">
      <c r="A317" s="8"/>
      <c r="B317" s="8"/>
      <c r="C317" s="8"/>
      <c r="D317" s="8"/>
      <c r="E317" s="8"/>
      <c r="F317" s="54"/>
      <c r="G317" s="8"/>
      <c r="H317" s="8"/>
      <c r="I317" s="8"/>
      <c r="J317" s="8"/>
      <c r="K317" s="8"/>
      <c r="L317" s="8"/>
      <c r="M317" s="8"/>
      <c r="N317" s="8"/>
      <c r="O317" s="8"/>
      <c r="P317" s="8"/>
      <c r="Q317" s="8"/>
      <c r="R317" s="8"/>
      <c r="S317" s="8"/>
      <c r="T317" s="8"/>
      <c r="U317" s="53"/>
      <c r="V317" s="53"/>
      <c r="W317" s="53"/>
      <c r="X317" s="53"/>
      <c r="Y317" s="53"/>
      <c r="Z317" s="53"/>
      <c r="AA317" s="53"/>
      <c r="AB317" s="53"/>
      <c r="AC317" s="53"/>
      <c r="AD317" s="53"/>
      <c r="AE317" s="53"/>
      <c r="AF317" s="53"/>
      <c r="AG317" s="8"/>
      <c r="AH317" s="8"/>
      <c r="AI317" s="8"/>
      <c r="AJ317" s="8"/>
      <c r="AK317" s="8"/>
      <c r="AL317" s="8"/>
      <c r="AM317" s="8"/>
      <c r="AN317" s="8"/>
      <c r="AO317" s="8"/>
      <c r="AP317" s="8"/>
      <c r="AQ317" s="8"/>
      <c r="AR317" s="8"/>
      <c r="AS317" s="8"/>
      <c r="AT317" s="8"/>
      <c r="AU317" s="8"/>
      <c r="AV317" s="8"/>
      <c r="AW317" s="8"/>
      <c r="AX317" s="8"/>
      <c r="AY317" s="8"/>
      <c r="AZ317" s="8"/>
      <c r="BA317" s="8"/>
      <c r="BB317" s="8"/>
      <c r="BC317" s="8"/>
      <c r="BD317" s="8"/>
      <c r="BE317" s="8"/>
    </row>
    <row r="318" spans="1:57">
      <c r="A318" s="8"/>
      <c r="B318" s="8"/>
      <c r="C318" s="8"/>
      <c r="D318" s="8"/>
      <c r="E318" s="8"/>
      <c r="F318" s="54"/>
      <c r="G318" s="8"/>
      <c r="H318" s="8"/>
      <c r="I318" s="8"/>
      <c r="J318" s="8"/>
      <c r="K318" s="8"/>
      <c r="L318" s="8"/>
      <c r="M318" s="8"/>
      <c r="N318" s="8"/>
      <c r="O318" s="8"/>
      <c r="P318" s="8"/>
      <c r="Q318" s="8"/>
      <c r="R318" s="8"/>
      <c r="S318" s="8"/>
      <c r="T318" s="8"/>
      <c r="U318" s="53"/>
      <c r="V318" s="53"/>
      <c r="W318" s="53"/>
      <c r="X318" s="53"/>
      <c r="Y318" s="53"/>
      <c r="Z318" s="53"/>
      <c r="AA318" s="53"/>
      <c r="AB318" s="53"/>
      <c r="AC318" s="53"/>
      <c r="AD318" s="53"/>
      <c r="AE318" s="53"/>
      <c r="AF318" s="53"/>
      <c r="AG318" s="8"/>
      <c r="AH318" s="8"/>
      <c r="AI318" s="8"/>
      <c r="AJ318" s="8"/>
      <c r="AK318" s="8"/>
      <c r="AL318" s="8"/>
      <c r="AM318" s="8"/>
      <c r="AN318" s="8"/>
      <c r="AO318" s="8"/>
      <c r="AP318" s="8"/>
      <c r="AQ318" s="8"/>
      <c r="AR318" s="8"/>
      <c r="AS318" s="8"/>
      <c r="AT318" s="8"/>
      <c r="AU318" s="8"/>
      <c r="AV318" s="8"/>
      <c r="AW318" s="8"/>
      <c r="AX318" s="8"/>
      <c r="AY318" s="8"/>
      <c r="AZ318" s="8"/>
      <c r="BA318" s="8"/>
      <c r="BB318" s="8"/>
      <c r="BC318" s="8"/>
      <c r="BD318" s="8"/>
      <c r="BE318" s="8"/>
    </row>
    <row r="319" spans="1:57">
      <c r="A319" s="8"/>
      <c r="B319" s="8"/>
      <c r="C319" s="8"/>
      <c r="D319" s="8"/>
      <c r="E319" s="8"/>
      <c r="F319" s="54"/>
      <c r="G319" s="8"/>
      <c r="H319" s="8"/>
      <c r="I319" s="8"/>
      <c r="J319" s="8"/>
      <c r="K319" s="8"/>
      <c r="L319" s="8"/>
      <c r="M319" s="8"/>
      <c r="N319" s="8"/>
      <c r="O319" s="8"/>
      <c r="P319" s="8"/>
      <c r="Q319" s="8"/>
      <c r="R319" s="8"/>
      <c r="S319" s="8"/>
      <c r="T319" s="8"/>
      <c r="U319" s="53"/>
      <c r="V319" s="53"/>
      <c r="W319" s="53"/>
      <c r="X319" s="53"/>
      <c r="Y319" s="53"/>
      <c r="Z319" s="53"/>
      <c r="AA319" s="53"/>
      <c r="AB319" s="53"/>
      <c r="AC319" s="53"/>
      <c r="AD319" s="53"/>
      <c r="AE319" s="53"/>
      <c r="AF319" s="53"/>
      <c r="AG319" s="8"/>
      <c r="AH319" s="8"/>
      <c r="AI319" s="8"/>
      <c r="AJ319" s="8"/>
      <c r="AK319" s="8"/>
      <c r="AL319" s="8"/>
      <c r="AM319" s="8"/>
      <c r="AN319" s="8"/>
      <c r="AO319" s="8"/>
      <c r="AP319" s="8"/>
      <c r="AQ319" s="8"/>
      <c r="AR319" s="8"/>
      <c r="AS319" s="8"/>
      <c r="AT319" s="8"/>
      <c r="AU319" s="8"/>
      <c r="AV319" s="8"/>
      <c r="AW319" s="8"/>
      <c r="AX319" s="8"/>
      <c r="AY319" s="8"/>
      <c r="AZ319" s="8"/>
      <c r="BA319" s="8"/>
      <c r="BB319" s="8"/>
      <c r="BC319" s="8"/>
      <c r="BD319" s="8"/>
      <c r="BE319" s="8"/>
    </row>
    <row r="320" spans="1:57">
      <c r="A320" s="8"/>
      <c r="B320" s="8"/>
      <c r="C320" s="8"/>
      <c r="D320" s="8"/>
      <c r="E320" s="8"/>
      <c r="F320" s="54"/>
      <c r="G320" s="8"/>
      <c r="H320" s="8"/>
      <c r="I320" s="8"/>
      <c r="J320" s="8"/>
      <c r="K320" s="8"/>
      <c r="L320" s="8"/>
      <c r="M320" s="8"/>
      <c r="N320" s="8"/>
      <c r="O320" s="8"/>
      <c r="P320" s="8"/>
      <c r="Q320" s="8"/>
      <c r="R320" s="8"/>
      <c r="S320" s="8"/>
      <c r="T320" s="8"/>
      <c r="U320" s="53"/>
      <c r="V320" s="53"/>
      <c r="W320" s="53"/>
      <c r="X320" s="53"/>
      <c r="Y320" s="53"/>
      <c r="Z320" s="53"/>
      <c r="AA320" s="53"/>
      <c r="AB320" s="53"/>
      <c r="AC320" s="53"/>
      <c r="AD320" s="53"/>
      <c r="AE320" s="53"/>
      <c r="AF320" s="53"/>
      <c r="AG320" s="8"/>
      <c r="AH320" s="8"/>
      <c r="AI320" s="8"/>
      <c r="AJ320" s="8"/>
      <c r="AK320" s="8"/>
      <c r="AL320" s="8"/>
      <c r="AM320" s="8"/>
      <c r="AN320" s="8"/>
      <c r="AO320" s="8"/>
      <c r="AP320" s="8"/>
      <c r="AQ320" s="8"/>
      <c r="AR320" s="8"/>
      <c r="AS320" s="8"/>
      <c r="AT320" s="8"/>
      <c r="AU320" s="8"/>
      <c r="AV320" s="8"/>
      <c r="AW320" s="8"/>
      <c r="AX320" s="8"/>
      <c r="AY320" s="8"/>
      <c r="AZ320" s="8"/>
      <c r="BA320" s="8"/>
      <c r="BB320" s="8"/>
      <c r="BC320" s="8"/>
      <c r="BD320" s="8"/>
      <c r="BE320" s="8"/>
    </row>
    <row r="321" spans="1:57">
      <c r="A321" s="8"/>
      <c r="B321" s="8"/>
      <c r="C321" s="8"/>
      <c r="D321" s="8"/>
      <c r="E321" s="8"/>
      <c r="F321" s="54"/>
      <c r="G321" s="8"/>
      <c r="H321" s="8"/>
      <c r="I321" s="8"/>
      <c r="J321" s="8"/>
      <c r="K321" s="8"/>
      <c r="L321" s="8"/>
      <c r="M321" s="8"/>
      <c r="N321" s="8"/>
      <c r="O321" s="8"/>
      <c r="P321" s="8"/>
      <c r="Q321" s="8"/>
      <c r="R321" s="8"/>
      <c r="S321" s="8"/>
      <c r="T321" s="8"/>
      <c r="U321" s="53"/>
      <c r="V321" s="53"/>
      <c r="W321" s="53"/>
      <c r="X321" s="53"/>
      <c r="Y321" s="53"/>
      <c r="Z321" s="53"/>
      <c r="AA321" s="53"/>
      <c r="AB321" s="53"/>
      <c r="AC321" s="53"/>
      <c r="AD321" s="53"/>
      <c r="AE321" s="53"/>
      <c r="AF321" s="53"/>
      <c r="AG321" s="8"/>
      <c r="AH321" s="8"/>
      <c r="AI321" s="8"/>
      <c r="AJ321" s="8"/>
      <c r="AK321" s="8"/>
      <c r="AL321" s="8"/>
      <c r="AM321" s="8"/>
      <c r="AN321" s="8"/>
      <c r="AO321" s="8"/>
      <c r="AP321" s="8"/>
      <c r="AQ321" s="8"/>
      <c r="AR321" s="8"/>
      <c r="AS321" s="8"/>
      <c r="AT321" s="8"/>
      <c r="AU321" s="8"/>
      <c r="AV321" s="8"/>
      <c r="AW321" s="8"/>
      <c r="AX321" s="8"/>
      <c r="AY321" s="8"/>
      <c r="AZ321" s="8"/>
      <c r="BA321" s="8"/>
      <c r="BB321" s="8"/>
      <c r="BC321" s="8"/>
      <c r="BD321" s="8"/>
      <c r="BE321" s="8"/>
    </row>
    <row r="322" spans="1:57">
      <c r="A322" s="8"/>
      <c r="B322" s="8"/>
      <c r="C322" s="8"/>
      <c r="D322" s="8"/>
      <c r="E322" s="8"/>
      <c r="F322" s="54"/>
      <c r="G322" s="8"/>
      <c r="H322" s="8"/>
      <c r="I322" s="8"/>
      <c r="J322" s="8"/>
      <c r="K322" s="8"/>
      <c r="L322" s="8"/>
      <c r="M322" s="8"/>
      <c r="N322" s="8"/>
      <c r="O322" s="8"/>
      <c r="P322" s="8"/>
      <c r="Q322" s="8"/>
      <c r="R322" s="8"/>
      <c r="S322" s="8"/>
      <c r="T322" s="8"/>
      <c r="U322" s="53"/>
      <c r="V322" s="53"/>
      <c r="W322" s="53"/>
      <c r="X322" s="53"/>
      <c r="Y322" s="53"/>
      <c r="Z322" s="53"/>
      <c r="AA322" s="53"/>
      <c r="AB322" s="53"/>
      <c r="AC322" s="53"/>
      <c r="AD322" s="53"/>
      <c r="AE322" s="53"/>
      <c r="AF322" s="53"/>
      <c r="AG322" s="8"/>
      <c r="AH322" s="8"/>
      <c r="AI322" s="8"/>
      <c r="AJ322" s="8"/>
      <c r="AK322" s="8"/>
      <c r="AL322" s="8"/>
      <c r="AM322" s="8"/>
      <c r="AN322" s="8"/>
      <c r="AO322" s="8"/>
      <c r="AP322" s="8"/>
      <c r="AQ322" s="8"/>
      <c r="AR322" s="8"/>
      <c r="AS322" s="8"/>
      <c r="AT322" s="8"/>
      <c r="AU322" s="8"/>
      <c r="AV322" s="8"/>
      <c r="AW322" s="8"/>
      <c r="AX322" s="8"/>
      <c r="AY322" s="8"/>
      <c r="AZ322" s="8"/>
      <c r="BA322" s="8"/>
      <c r="BB322" s="8"/>
      <c r="BC322" s="8"/>
      <c r="BD322" s="8"/>
      <c r="BE322" s="8"/>
    </row>
    <row r="323" spans="1:57">
      <c r="A323" s="8"/>
      <c r="B323" s="8"/>
      <c r="C323" s="8"/>
      <c r="D323" s="8"/>
      <c r="E323" s="8"/>
      <c r="F323" s="54"/>
      <c r="G323" s="8"/>
      <c r="H323" s="8"/>
      <c r="I323" s="8"/>
      <c r="J323" s="8"/>
      <c r="K323" s="8"/>
      <c r="L323" s="8"/>
      <c r="M323" s="8"/>
      <c r="N323" s="8"/>
      <c r="O323" s="8"/>
      <c r="P323" s="8"/>
      <c r="Q323" s="8"/>
      <c r="R323" s="8"/>
      <c r="S323" s="8"/>
      <c r="T323" s="8"/>
      <c r="U323" s="53"/>
      <c r="V323" s="53"/>
      <c r="W323" s="53"/>
      <c r="X323" s="53"/>
      <c r="Y323" s="53"/>
      <c r="Z323" s="53"/>
      <c r="AA323" s="53"/>
      <c r="AB323" s="53"/>
      <c r="AC323" s="53"/>
      <c r="AD323" s="53"/>
      <c r="AE323" s="53"/>
      <c r="AF323" s="53"/>
      <c r="AG323" s="8"/>
      <c r="AH323" s="8"/>
      <c r="AI323" s="8"/>
      <c r="AJ323" s="8"/>
      <c r="AK323" s="8"/>
      <c r="AL323" s="8"/>
      <c r="AM323" s="8"/>
      <c r="AN323" s="8"/>
      <c r="AO323" s="8"/>
      <c r="AP323" s="8"/>
      <c r="AQ323" s="8"/>
      <c r="AR323" s="8"/>
      <c r="AS323" s="8"/>
      <c r="AT323" s="8"/>
      <c r="AU323" s="8"/>
      <c r="AV323" s="8"/>
      <c r="AW323" s="8"/>
      <c r="AX323" s="8"/>
      <c r="AY323" s="8"/>
      <c r="AZ323" s="8"/>
      <c r="BA323" s="8"/>
      <c r="BB323" s="8"/>
      <c r="BC323" s="8"/>
      <c r="BD323" s="8"/>
      <c r="BE323" s="8"/>
    </row>
    <row r="324" spans="1:57">
      <c r="A324" s="8"/>
      <c r="B324" s="8"/>
      <c r="C324" s="8"/>
      <c r="D324" s="8"/>
      <c r="E324" s="8"/>
      <c r="F324" s="54"/>
      <c r="G324" s="8"/>
      <c r="H324" s="8"/>
      <c r="I324" s="8"/>
      <c r="J324" s="8"/>
      <c r="K324" s="8"/>
      <c r="L324" s="8"/>
      <c r="M324" s="8"/>
      <c r="N324" s="8"/>
      <c r="O324" s="8"/>
      <c r="P324" s="8"/>
      <c r="Q324" s="8"/>
      <c r="R324" s="8"/>
      <c r="S324" s="8"/>
      <c r="T324" s="8"/>
      <c r="U324" s="53"/>
      <c r="V324" s="53"/>
      <c r="W324" s="53"/>
      <c r="X324" s="53"/>
      <c r="Y324" s="53"/>
      <c r="Z324" s="53"/>
      <c r="AA324" s="53"/>
      <c r="AB324" s="53"/>
      <c r="AC324" s="53"/>
      <c r="AD324" s="53"/>
      <c r="AE324" s="53"/>
      <c r="AF324" s="53"/>
      <c r="AG324" s="8"/>
      <c r="AH324" s="8"/>
      <c r="AI324" s="8"/>
      <c r="AJ324" s="8"/>
      <c r="AK324" s="8"/>
      <c r="AL324" s="8"/>
      <c r="AM324" s="8"/>
      <c r="AN324" s="8"/>
      <c r="AO324" s="8"/>
      <c r="AP324" s="8"/>
      <c r="AQ324" s="8"/>
      <c r="AR324" s="8"/>
      <c r="AS324" s="8"/>
      <c r="AT324" s="8"/>
      <c r="AU324" s="8"/>
      <c r="AV324" s="8"/>
      <c r="AW324" s="8"/>
      <c r="AX324" s="8"/>
      <c r="AY324" s="8"/>
      <c r="AZ324" s="8"/>
      <c r="BA324" s="8"/>
      <c r="BB324" s="8"/>
      <c r="BC324" s="8"/>
      <c r="BD324" s="8"/>
      <c r="BE324" s="8"/>
    </row>
    <row r="325" spans="1:57">
      <c r="A325" s="8"/>
      <c r="B325" s="8"/>
      <c r="C325" s="8"/>
      <c r="D325" s="8"/>
      <c r="E325" s="8"/>
      <c r="F325" s="54"/>
      <c r="G325" s="8"/>
      <c r="H325" s="8"/>
      <c r="I325" s="8"/>
      <c r="J325" s="8"/>
      <c r="K325" s="8"/>
      <c r="L325" s="8"/>
      <c r="M325" s="8"/>
      <c r="N325" s="8"/>
      <c r="O325" s="8"/>
      <c r="P325" s="8"/>
      <c r="Q325" s="8"/>
      <c r="R325" s="8"/>
      <c r="S325" s="8"/>
      <c r="T325" s="8"/>
      <c r="U325" s="53"/>
      <c r="V325" s="53"/>
      <c r="W325" s="53"/>
      <c r="X325" s="53"/>
      <c r="Y325" s="53"/>
      <c r="Z325" s="53"/>
      <c r="AA325" s="53"/>
      <c r="AB325" s="53"/>
      <c r="AC325" s="53"/>
      <c r="AD325" s="53"/>
      <c r="AE325" s="53"/>
      <c r="AF325" s="53"/>
      <c r="AG325" s="8"/>
      <c r="AH325" s="8"/>
      <c r="AI325" s="8"/>
      <c r="AJ325" s="8"/>
      <c r="AK325" s="8"/>
      <c r="AL325" s="8"/>
      <c r="AM325" s="8"/>
      <c r="AN325" s="8"/>
      <c r="AO325" s="8"/>
      <c r="AP325" s="8"/>
      <c r="AQ325" s="8"/>
      <c r="AR325" s="8"/>
      <c r="AS325" s="8"/>
      <c r="AT325" s="8"/>
      <c r="AU325" s="8"/>
      <c r="AV325" s="8"/>
      <c r="AW325" s="8"/>
      <c r="AX325" s="8"/>
      <c r="AY325" s="8"/>
      <c r="AZ325" s="8"/>
      <c r="BA325" s="8"/>
      <c r="BB325" s="8"/>
      <c r="BC325" s="8"/>
      <c r="BD325" s="8"/>
      <c r="BE325" s="8"/>
    </row>
    <row r="326" spans="1:57">
      <c r="A326" s="8"/>
      <c r="B326" s="8"/>
      <c r="C326" s="8"/>
      <c r="D326" s="8"/>
      <c r="E326" s="8"/>
      <c r="F326" s="54"/>
      <c r="G326" s="8"/>
      <c r="H326" s="8"/>
      <c r="I326" s="8"/>
      <c r="J326" s="8"/>
      <c r="K326" s="8"/>
      <c r="L326" s="8"/>
      <c r="M326" s="8"/>
      <c r="N326" s="8"/>
      <c r="O326" s="8"/>
      <c r="P326" s="8"/>
      <c r="Q326" s="8"/>
      <c r="R326" s="8"/>
      <c r="S326" s="8"/>
      <c r="T326" s="8"/>
      <c r="U326" s="53"/>
      <c r="V326" s="53"/>
      <c r="W326" s="53"/>
      <c r="X326" s="53"/>
      <c r="Y326" s="53"/>
      <c r="Z326" s="53"/>
      <c r="AA326" s="53"/>
      <c r="AB326" s="53"/>
      <c r="AC326" s="53"/>
      <c r="AD326" s="53"/>
      <c r="AE326" s="53"/>
      <c r="AF326" s="53"/>
      <c r="AG326" s="8"/>
      <c r="AH326" s="8"/>
      <c r="AI326" s="8"/>
      <c r="AJ326" s="8"/>
      <c r="AK326" s="8"/>
      <c r="AL326" s="8"/>
      <c r="AM326" s="8"/>
      <c r="AN326" s="8"/>
      <c r="AO326" s="8"/>
      <c r="AP326" s="8"/>
      <c r="AQ326" s="8"/>
      <c r="AR326" s="8"/>
      <c r="AS326" s="8"/>
      <c r="AT326" s="8"/>
      <c r="AU326" s="8"/>
      <c r="AV326" s="8"/>
      <c r="AW326" s="8"/>
      <c r="AX326" s="8"/>
      <c r="AY326" s="8"/>
      <c r="AZ326" s="8"/>
      <c r="BA326" s="8"/>
      <c r="BB326" s="8"/>
      <c r="BC326" s="8"/>
      <c r="BD326" s="8"/>
      <c r="BE326" s="8"/>
    </row>
    <row r="327" spans="1:57">
      <c r="A327" s="8"/>
      <c r="B327" s="8"/>
      <c r="C327" s="8"/>
      <c r="D327" s="8"/>
      <c r="E327" s="8"/>
      <c r="F327" s="54"/>
      <c r="G327" s="8"/>
      <c r="H327" s="8"/>
      <c r="I327" s="8"/>
      <c r="J327" s="8"/>
      <c r="K327" s="8"/>
      <c r="L327" s="8"/>
      <c r="M327" s="8"/>
      <c r="N327" s="8"/>
      <c r="O327" s="8"/>
      <c r="P327" s="8"/>
      <c r="Q327" s="8"/>
      <c r="R327" s="8"/>
      <c r="S327" s="8"/>
      <c r="T327" s="8"/>
      <c r="U327" s="53"/>
      <c r="V327" s="53"/>
      <c r="W327" s="53"/>
      <c r="X327" s="53"/>
      <c r="Y327" s="53"/>
      <c r="Z327" s="53"/>
      <c r="AA327" s="53"/>
      <c r="AB327" s="53"/>
      <c r="AC327" s="53"/>
      <c r="AD327" s="53"/>
      <c r="AE327" s="53"/>
      <c r="AF327" s="53"/>
      <c r="AG327" s="8"/>
      <c r="AH327" s="8"/>
      <c r="AI327" s="8"/>
      <c r="AJ327" s="8"/>
      <c r="AK327" s="8"/>
      <c r="AL327" s="8"/>
      <c r="AM327" s="8"/>
      <c r="AN327" s="8"/>
      <c r="AO327" s="8"/>
      <c r="AP327" s="8"/>
      <c r="AQ327" s="8"/>
      <c r="AR327" s="8"/>
      <c r="AS327" s="8"/>
      <c r="AT327" s="8"/>
      <c r="AU327" s="8"/>
      <c r="AV327" s="8"/>
      <c r="AW327" s="8"/>
      <c r="AX327" s="8"/>
      <c r="AY327" s="8"/>
      <c r="AZ327" s="8"/>
      <c r="BA327" s="8"/>
      <c r="BB327" s="8"/>
      <c r="BC327" s="8"/>
      <c r="BD327" s="8"/>
      <c r="BE327" s="8"/>
    </row>
    <row r="328" spans="1:57">
      <c r="A328" s="8"/>
      <c r="B328" s="8"/>
      <c r="C328" s="8"/>
      <c r="D328" s="8"/>
      <c r="E328" s="8"/>
      <c r="F328" s="54"/>
      <c r="G328" s="8"/>
      <c r="H328" s="8"/>
      <c r="I328" s="8"/>
      <c r="J328" s="8"/>
      <c r="K328" s="8"/>
      <c r="L328" s="8"/>
      <c r="M328" s="8"/>
      <c r="N328" s="8"/>
      <c r="O328" s="8"/>
      <c r="P328" s="8"/>
      <c r="Q328" s="8"/>
      <c r="R328" s="8"/>
      <c r="S328" s="8"/>
      <c r="T328" s="8"/>
      <c r="U328" s="53"/>
      <c r="V328" s="53"/>
      <c r="W328" s="53"/>
      <c r="X328" s="53"/>
      <c r="Y328" s="53"/>
      <c r="Z328" s="53"/>
      <c r="AA328" s="53"/>
      <c r="AB328" s="53"/>
      <c r="AC328" s="53"/>
      <c r="AD328" s="53"/>
      <c r="AE328" s="53"/>
      <c r="AF328" s="53"/>
      <c r="AG328" s="8"/>
      <c r="AH328" s="8"/>
      <c r="AI328" s="8"/>
      <c r="AJ328" s="8"/>
      <c r="AK328" s="8"/>
      <c r="AL328" s="8"/>
      <c r="AM328" s="8"/>
      <c r="AN328" s="8"/>
      <c r="AO328" s="8"/>
      <c r="AP328" s="8"/>
      <c r="AQ328" s="8"/>
      <c r="AR328" s="8"/>
      <c r="AS328" s="8"/>
      <c r="AT328" s="8"/>
      <c r="AU328" s="8"/>
      <c r="AV328" s="8"/>
      <c r="AW328" s="8"/>
      <c r="AX328" s="8"/>
      <c r="AY328" s="8"/>
      <c r="AZ328" s="8"/>
      <c r="BA328" s="8"/>
      <c r="BB328" s="8"/>
      <c r="BC328" s="8"/>
      <c r="BD328" s="8"/>
      <c r="BE328" s="8"/>
    </row>
    <row r="329" spans="1:57">
      <c r="A329" s="8"/>
      <c r="B329" s="8"/>
      <c r="C329" s="8"/>
      <c r="D329" s="8"/>
      <c r="E329" s="8"/>
      <c r="F329" s="54"/>
      <c r="G329" s="8"/>
      <c r="H329" s="8"/>
      <c r="I329" s="8"/>
      <c r="J329" s="8"/>
      <c r="K329" s="8"/>
      <c r="L329" s="8"/>
      <c r="M329" s="8"/>
      <c r="N329" s="8"/>
      <c r="O329" s="8"/>
      <c r="P329" s="8"/>
      <c r="Q329" s="8"/>
      <c r="R329" s="8"/>
      <c r="S329" s="8"/>
      <c r="T329" s="8"/>
      <c r="U329" s="53"/>
      <c r="V329" s="53"/>
      <c r="W329" s="53"/>
      <c r="X329" s="53"/>
      <c r="Y329" s="53"/>
      <c r="Z329" s="53"/>
      <c r="AA329" s="53"/>
      <c r="AB329" s="53"/>
      <c r="AC329" s="53"/>
      <c r="AD329" s="53"/>
      <c r="AE329" s="53"/>
      <c r="AF329" s="53"/>
      <c r="AG329" s="8"/>
      <c r="AH329" s="8"/>
      <c r="AI329" s="8"/>
      <c r="AJ329" s="8"/>
      <c r="AK329" s="8"/>
      <c r="AL329" s="8"/>
      <c r="AM329" s="8"/>
      <c r="AN329" s="8"/>
      <c r="AO329" s="8"/>
      <c r="AP329" s="8"/>
      <c r="AQ329" s="8"/>
      <c r="AR329" s="8"/>
      <c r="AS329" s="8"/>
      <c r="AT329" s="8"/>
      <c r="AU329" s="8"/>
      <c r="AV329" s="8"/>
      <c r="AW329" s="8"/>
      <c r="AX329" s="8"/>
      <c r="AY329" s="8"/>
      <c r="AZ329" s="8"/>
      <c r="BA329" s="8"/>
      <c r="BB329" s="8"/>
      <c r="BC329" s="8"/>
      <c r="BD329" s="8"/>
      <c r="BE329" s="8"/>
    </row>
    <row r="330" spans="1:57">
      <c r="A330" s="8"/>
      <c r="B330" s="8"/>
      <c r="C330" s="8"/>
      <c r="D330" s="8"/>
      <c r="E330" s="8"/>
      <c r="F330" s="54"/>
      <c r="G330" s="8"/>
      <c r="H330" s="8"/>
      <c r="I330" s="8"/>
      <c r="J330" s="8"/>
      <c r="K330" s="8"/>
      <c r="L330" s="8"/>
      <c r="M330" s="8"/>
      <c r="N330" s="8"/>
      <c r="O330" s="8"/>
      <c r="P330" s="8"/>
      <c r="Q330" s="8"/>
      <c r="R330" s="8"/>
      <c r="S330" s="8"/>
      <c r="T330" s="8"/>
      <c r="U330" s="53"/>
      <c r="V330" s="53"/>
      <c r="W330" s="53"/>
      <c r="X330" s="53"/>
      <c r="Y330" s="53"/>
      <c r="Z330" s="53"/>
      <c r="AA330" s="53"/>
      <c r="AB330" s="53"/>
      <c r="AC330" s="53"/>
      <c r="AD330" s="53"/>
      <c r="AE330" s="53"/>
      <c r="AF330" s="53"/>
      <c r="AG330" s="8"/>
      <c r="AH330" s="8"/>
      <c r="AI330" s="8"/>
      <c r="AJ330" s="8"/>
      <c r="AK330" s="8"/>
      <c r="AL330" s="8"/>
      <c r="AM330" s="8"/>
      <c r="AN330" s="8"/>
      <c r="AO330" s="8"/>
      <c r="AP330" s="8"/>
      <c r="AQ330" s="8"/>
      <c r="AR330" s="8"/>
      <c r="AS330" s="8"/>
      <c r="AT330" s="8"/>
      <c r="AU330" s="8"/>
      <c r="AV330" s="8"/>
      <c r="AW330" s="8"/>
      <c r="AX330" s="8"/>
      <c r="AY330" s="8"/>
      <c r="AZ330" s="8"/>
      <c r="BA330" s="8"/>
      <c r="BB330" s="8"/>
      <c r="BC330" s="8"/>
      <c r="BD330" s="8"/>
      <c r="BE330" s="8"/>
    </row>
    <row r="331" spans="1:57">
      <c r="A331" s="8"/>
      <c r="B331" s="8"/>
      <c r="C331" s="8"/>
      <c r="D331" s="8"/>
      <c r="E331" s="8"/>
      <c r="F331" s="54"/>
      <c r="G331" s="8"/>
      <c r="H331" s="8"/>
      <c r="I331" s="8"/>
      <c r="J331" s="8"/>
      <c r="K331" s="8"/>
      <c r="L331" s="8"/>
      <c r="M331" s="8"/>
      <c r="N331" s="8"/>
      <c r="O331" s="8"/>
      <c r="P331" s="8"/>
      <c r="Q331" s="8"/>
      <c r="R331" s="8"/>
      <c r="S331" s="8"/>
      <c r="T331" s="8"/>
      <c r="U331" s="53"/>
      <c r="V331" s="53"/>
      <c r="W331" s="53"/>
      <c r="X331" s="53"/>
      <c r="Y331" s="53"/>
      <c r="Z331" s="53"/>
      <c r="AA331" s="53"/>
      <c r="AB331" s="53"/>
      <c r="AC331" s="53"/>
      <c r="AD331" s="53"/>
      <c r="AE331" s="53"/>
      <c r="AF331" s="53"/>
      <c r="AG331" s="8"/>
      <c r="AH331" s="8"/>
      <c r="AI331" s="8"/>
      <c r="AJ331" s="8"/>
      <c r="AK331" s="8"/>
      <c r="AL331" s="8"/>
      <c r="AM331" s="8"/>
      <c r="AN331" s="8"/>
      <c r="AO331" s="8"/>
      <c r="AP331" s="8"/>
      <c r="AQ331" s="8"/>
      <c r="AR331" s="8"/>
      <c r="AS331" s="8"/>
      <c r="AT331" s="8"/>
      <c r="AU331" s="8"/>
      <c r="AV331" s="8"/>
      <c r="AW331" s="8"/>
      <c r="AX331" s="8"/>
      <c r="AY331" s="8"/>
      <c r="AZ331" s="8"/>
      <c r="BA331" s="8"/>
      <c r="BB331" s="8"/>
      <c r="BC331" s="8"/>
      <c r="BD331" s="8"/>
      <c r="BE331" s="8"/>
    </row>
    <row r="332" spans="1:57">
      <c r="A332" s="8"/>
      <c r="B332" s="8"/>
      <c r="C332" s="8"/>
      <c r="D332" s="8"/>
      <c r="E332" s="8"/>
      <c r="F332" s="54"/>
      <c r="G332" s="8"/>
      <c r="H332" s="8"/>
      <c r="I332" s="8"/>
      <c r="J332" s="8"/>
      <c r="K332" s="8"/>
      <c r="L332" s="8"/>
      <c r="M332" s="8"/>
      <c r="N332" s="8"/>
      <c r="O332" s="8"/>
      <c r="P332" s="8"/>
      <c r="Q332" s="8"/>
      <c r="R332" s="8"/>
      <c r="S332" s="8"/>
      <c r="T332" s="8"/>
      <c r="U332" s="53"/>
      <c r="V332" s="53"/>
      <c r="W332" s="53"/>
      <c r="X332" s="53"/>
      <c r="Y332" s="53"/>
      <c r="Z332" s="53"/>
      <c r="AA332" s="53"/>
      <c r="AB332" s="53"/>
      <c r="AC332" s="53"/>
      <c r="AD332" s="53"/>
      <c r="AE332" s="53"/>
      <c r="AF332" s="53"/>
      <c r="AG332" s="8"/>
      <c r="AH332" s="8"/>
      <c r="AI332" s="8"/>
      <c r="AJ332" s="8"/>
      <c r="AK332" s="8"/>
      <c r="AL332" s="8"/>
      <c r="AM332" s="8"/>
      <c r="AN332" s="8"/>
      <c r="AO332" s="8"/>
      <c r="AP332" s="8"/>
      <c r="AQ332" s="8"/>
      <c r="AR332" s="8"/>
      <c r="AS332" s="8"/>
      <c r="AT332" s="8"/>
      <c r="AU332" s="8"/>
      <c r="AV332" s="8"/>
      <c r="AW332" s="8"/>
      <c r="AX332" s="8"/>
      <c r="AY332" s="8"/>
      <c r="AZ332" s="8"/>
      <c r="BA332" s="8"/>
      <c r="BB332" s="8"/>
      <c r="BC332" s="8"/>
      <c r="BD332" s="8"/>
      <c r="BE332" s="8"/>
    </row>
    <row r="333" spans="1:57">
      <c r="A333" s="8"/>
      <c r="B333" s="8"/>
      <c r="C333" s="8"/>
      <c r="D333" s="8"/>
      <c r="E333" s="8"/>
      <c r="F333" s="54"/>
      <c r="G333" s="8"/>
      <c r="H333" s="8"/>
      <c r="I333" s="8"/>
      <c r="J333" s="8"/>
      <c r="K333" s="8"/>
      <c r="L333" s="8"/>
      <c r="M333" s="8"/>
      <c r="N333" s="8"/>
      <c r="O333" s="8"/>
      <c r="P333" s="8"/>
      <c r="Q333" s="8"/>
      <c r="R333" s="8"/>
      <c r="S333" s="8"/>
      <c r="T333" s="8"/>
      <c r="U333" s="53"/>
      <c r="V333" s="53"/>
      <c r="W333" s="53"/>
      <c r="X333" s="53"/>
      <c r="Y333" s="53"/>
      <c r="Z333" s="53"/>
      <c r="AA333" s="53"/>
      <c r="AB333" s="53"/>
      <c r="AC333" s="53"/>
      <c r="AD333" s="53"/>
      <c r="AE333" s="53"/>
      <c r="AF333" s="53"/>
      <c r="AG333" s="8"/>
      <c r="AH333" s="8"/>
      <c r="AI333" s="8"/>
      <c r="AJ333" s="8"/>
      <c r="AK333" s="8"/>
      <c r="AL333" s="8"/>
      <c r="AM333" s="8"/>
      <c r="AN333" s="8"/>
      <c r="AO333" s="8"/>
      <c r="AP333" s="8"/>
      <c r="AQ333" s="8"/>
      <c r="AR333" s="8"/>
      <c r="AS333" s="8"/>
      <c r="AT333" s="8"/>
      <c r="AU333" s="8"/>
      <c r="AV333" s="8"/>
      <c r="AW333" s="8"/>
      <c r="AX333" s="8"/>
      <c r="AY333" s="8"/>
      <c r="AZ333" s="8"/>
      <c r="BA333" s="8"/>
      <c r="BB333" s="8"/>
      <c r="BC333" s="8"/>
      <c r="BD333" s="8"/>
      <c r="BE333" s="8"/>
    </row>
    <row r="334" spans="1:57">
      <c r="A334" s="8"/>
      <c r="B334" s="8"/>
      <c r="C334" s="8"/>
      <c r="D334" s="8"/>
      <c r="E334" s="8"/>
      <c r="F334" s="54"/>
      <c r="G334" s="8"/>
      <c r="H334" s="8"/>
      <c r="I334" s="8"/>
      <c r="J334" s="8"/>
      <c r="K334" s="8"/>
      <c r="L334" s="8"/>
      <c r="M334" s="8"/>
      <c r="N334" s="8"/>
      <c r="O334" s="8"/>
      <c r="P334" s="8"/>
      <c r="Q334" s="8"/>
      <c r="R334" s="8"/>
      <c r="S334" s="8"/>
      <c r="T334" s="8"/>
      <c r="U334" s="53"/>
      <c r="V334" s="53"/>
      <c r="W334" s="53"/>
      <c r="X334" s="53"/>
      <c r="Y334" s="53"/>
      <c r="Z334" s="53"/>
      <c r="AA334" s="53"/>
      <c r="AB334" s="53"/>
      <c r="AC334" s="53"/>
      <c r="AD334" s="53"/>
      <c r="AE334" s="53"/>
      <c r="AF334" s="53"/>
      <c r="AG334" s="8"/>
      <c r="AH334" s="8"/>
      <c r="AI334" s="8"/>
      <c r="AJ334" s="8"/>
      <c r="AK334" s="8"/>
      <c r="AL334" s="8"/>
      <c r="AM334" s="8"/>
      <c r="AN334" s="8"/>
      <c r="AO334" s="8"/>
      <c r="AP334" s="8"/>
      <c r="AQ334" s="8"/>
      <c r="AR334" s="8"/>
      <c r="AS334" s="8"/>
      <c r="AT334" s="8"/>
      <c r="AU334" s="8"/>
      <c r="AV334" s="8"/>
      <c r="AW334" s="8"/>
      <c r="AX334" s="8"/>
      <c r="AY334" s="8"/>
      <c r="AZ334" s="8"/>
      <c r="BA334" s="8"/>
      <c r="BB334" s="8"/>
      <c r="BC334" s="8"/>
      <c r="BD334" s="8"/>
      <c r="BE334" s="8"/>
    </row>
    <row r="335" spans="1:57">
      <c r="A335" s="8"/>
      <c r="B335" s="8"/>
      <c r="C335" s="8"/>
      <c r="D335" s="8"/>
      <c r="E335" s="8"/>
      <c r="F335" s="54"/>
      <c r="G335" s="8"/>
      <c r="H335" s="8"/>
      <c r="I335" s="8"/>
      <c r="J335" s="8"/>
      <c r="K335" s="8"/>
      <c r="L335" s="8"/>
      <c r="M335" s="8"/>
      <c r="N335" s="8"/>
      <c r="O335" s="8"/>
      <c r="P335" s="8"/>
      <c r="Q335" s="8"/>
      <c r="R335" s="8"/>
      <c r="S335" s="8"/>
      <c r="T335" s="8"/>
      <c r="U335" s="53"/>
      <c r="V335" s="53"/>
      <c r="W335" s="53"/>
      <c r="X335" s="53"/>
      <c r="Y335" s="53"/>
      <c r="Z335" s="53"/>
      <c r="AA335" s="53"/>
      <c r="AB335" s="53"/>
      <c r="AC335" s="53"/>
      <c r="AD335" s="53"/>
      <c r="AE335" s="53"/>
      <c r="AF335" s="53"/>
      <c r="AG335" s="8"/>
      <c r="AH335" s="8"/>
      <c r="AI335" s="8"/>
      <c r="AJ335" s="8"/>
      <c r="AK335" s="8"/>
      <c r="AL335" s="8"/>
      <c r="AM335" s="8"/>
      <c r="AN335" s="8"/>
      <c r="AO335" s="8"/>
      <c r="AP335" s="8"/>
      <c r="AQ335" s="8"/>
      <c r="AR335" s="8"/>
      <c r="AS335" s="8"/>
      <c r="AT335" s="8"/>
      <c r="AU335" s="8"/>
      <c r="AV335" s="8"/>
      <c r="AW335" s="8"/>
      <c r="AX335" s="8"/>
      <c r="AY335" s="8"/>
      <c r="AZ335" s="8"/>
      <c r="BA335" s="8"/>
      <c r="BB335" s="8"/>
      <c r="BC335" s="8"/>
      <c r="BD335" s="8"/>
      <c r="BE335" s="8"/>
    </row>
    <row r="336" spans="1:57">
      <c r="A336" s="8"/>
      <c r="B336" s="8"/>
      <c r="C336" s="8"/>
      <c r="D336" s="8"/>
      <c r="E336" s="8"/>
      <c r="F336" s="54"/>
      <c r="G336" s="8"/>
      <c r="H336" s="8"/>
      <c r="I336" s="8"/>
      <c r="J336" s="8"/>
      <c r="K336" s="8"/>
      <c r="L336" s="8"/>
      <c r="M336" s="8"/>
      <c r="N336" s="8"/>
      <c r="O336" s="8"/>
      <c r="P336" s="8"/>
      <c r="Q336" s="8"/>
      <c r="R336" s="8"/>
      <c r="S336" s="8"/>
      <c r="T336" s="8"/>
      <c r="U336" s="53"/>
      <c r="V336" s="53"/>
      <c r="W336" s="53"/>
      <c r="X336" s="53"/>
      <c r="Y336" s="53"/>
      <c r="Z336" s="53"/>
      <c r="AA336" s="53"/>
      <c r="AB336" s="53"/>
      <c r="AC336" s="53"/>
      <c r="AD336" s="53"/>
      <c r="AE336" s="53"/>
      <c r="AF336" s="53"/>
      <c r="AG336" s="8"/>
      <c r="AH336" s="8"/>
      <c r="AI336" s="8"/>
      <c r="AJ336" s="8"/>
      <c r="AK336" s="8"/>
      <c r="AL336" s="8"/>
      <c r="AM336" s="8"/>
      <c r="AN336" s="8"/>
      <c r="AO336" s="8"/>
      <c r="AP336" s="8"/>
      <c r="AQ336" s="8"/>
      <c r="AR336" s="8"/>
      <c r="AS336" s="8"/>
      <c r="AT336" s="8"/>
      <c r="AU336" s="8"/>
      <c r="AV336" s="8"/>
      <c r="AW336" s="8"/>
      <c r="AX336" s="8"/>
      <c r="AY336" s="8"/>
      <c r="AZ336" s="8"/>
      <c r="BA336" s="8"/>
      <c r="BB336" s="8"/>
      <c r="BC336" s="8"/>
      <c r="BD336" s="8"/>
      <c r="BE336" s="8"/>
    </row>
    <row r="337" spans="1:57">
      <c r="A337" s="8"/>
      <c r="B337" s="8"/>
      <c r="C337" s="8"/>
      <c r="D337" s="8"/>
      <c r="E337" s="8"/>
      <c r="F337" s="54"/>
      <c r="G337" s="8"/>
      <c r="H337" s="8"/>
      <c r="I337" s="8"/>
      <c r="J337" s="8"/>
      <c r="K337" s="8"/>
      <c r="L337" s="8"/>
      <c r="M337" s="8"/>
      <c r="N337" s="8"/>
      <c r="O337" s="8"/>
      <c r="P337" s="8"/>
      <c r="Q337" s="8"/>
      <c r="R337" s="8"/>
      <c r="S337" s="8"/>
      <c r="T337" s="8"/>
      <c r="U337" s="53"/>
      <c r="V337" s="53"/>
      <c r="W337" s="53"/>
      <c r="X337" s="53"/>
      <c r="Y337" s="53"/>
      <c r="Z337" s="53"/>
      <c r="AA337" s="53"/>
      <c r="AB337" s="53"/>
      <c r="AC337" s="53"/>
      <c r="AD337" s="53"/>
      <c r="AE337" s="53"/>
      <c r="AF337" s="53"/>
      <c r="AG337" s="8"/>
      <c r="AH337" s="8"/>
      <c r="AI337" s="8"/>
      <c r="AJ337" s="8"/>
      <c r="AK337" s="8"/>
      <c r="AL337" s="8"/>
      <c r="AM337" s="8"/>
      <c r="AN337" s="8"/>
      <c r="AO337" s="8"/>
      <c r="AP337" s="8"/>
      <c r="AQ337" s="8"/>
      <c r="AR337" s="8"/>
      <c r="AS337" s="8"/>
      <c r="AT337" s="8"/>
      <c r="AU337" s="8"/>
      <c r="AV337" s="8"/>
      <c r="AW337" s="8"/>
      <c r="AX337" s="8"/>
      <c r="AY337" s="8"/>
      <c r="AZ337" s="8"/>
      <c r="BA337" s="8"/>
      <c r="BB337" s="8"/>
      <c r="BC337" s="8"/>
      <c r="BD337" s="8"/>
      <c r="BE337" s="8"/>
    </row>
    <row r="338" spans="1:57">
      <c r="A338" s="8"/>
      <c r="B338" s="8"/>
      <c r="C338" s="8"/>
      <c r="D338" s="8"/>
      <c r="E338" s="8"/>
      <c r="F338" s="54"/>
      <c r="G338" s="8"/>
      <c r="H338" s="8"/>
      <c r="I338" s="8"/>
      <c r="J338" s="8"/>
      <c r="K338" s="8"/>
      <c r="L338" s="8"/>
      <c r="M338" s="8"/>
      <c r="N338" s="8"/>
      <c r="O338" s="8"/>
      <c r="P338" s="8"/>
      <c r="Q338" s="8"/>
      <c r="R338" s="8"/>
      <c r="S338" s="8"/>
      <c r="T338" s="8"/>
      <c r="U338" s="53"/>
      <c r="V338" s="53"/>
      <c r="W338" s="53"/>
      <c r="X338" s="53"/>
      <c r="Y338" s="53"/>
      <c r="Z338" s="53"/>
      <c r="AA338" s="53"/>
      <c r="AB338" s="53"/>
      <c r="AC338" s="53"/>
      <c r="AD338" s="53"/>
      <c r="AE338" s="53"/>
      <c r="AF338" s="53"/>
      <c r="AG338" s="8"/>
      <c r="AH338" s="8"/>
      <c r="AI338" s="8"/>
      <c r="AJ338" s="8"/>
      <c r="AK338" s="8"/>
      <c r="AL338" s="8"/>
      <c r="AM338" s="8"/>
      <c r="AN338" s="8"/>
      <c r="AO338" s="8"/>
      <c r="AP338" s="8"/>
      <c r="AQ338" s="8"/>
      <c r="AR338" s="8"/>
      <c r="AS338" s="8"/>
      <c r="AT338" s="8"/>
      <c r="AU338" s="8"/>
      <c r="AV338" s="8"/>
      <c r="AW338" s="8"/>
      <c r="AX338" s="8"/>
      <c r="AY338" s="8"/>
      <c r="AZ338" s="8"/>
      <c r="BA338" s="8"/>
      <c r="BB338" s="8"/>
      <c r="BC338" s="8"/>
      <c r="BD338" s="8"/>
      <c r="BE338" s="8"/>
    </row>
    <row r="339" spans="1:57">
      <c r="A339" s="8"/>
      <c r="B339" s="8"/>
      <c r="C339" s="8"/>
      <c r="D339" s="8"/>
      <c r="E339" s="8"/>
      <c r="F339" s="54"/>
      <c r="G339" s="8"/>
      <c r="H339" s="8"/>
      <c r="I339" s="8"/>
      <c r="J339" s="8"/>
      <c r="K339" s="8"/>
      <c r="L339" s="8"/>
      <c r="M339" s="8"/>
      <c r="N339" s="8"/>
      <c r="O339" s="8"/>
      <c r="P339" s="8"/>
      <c r="Q339" s="8"/>
      <c r="R339" s="8"/>
      <c r="S339" s="8"/>
      <c r="T339" s="8"/>
      <c r="U339" s="53"/>
      <c r="V339" s="53"/>
      <c r="W339" s="53"/>
      <c r="X339" s="53"/>
      <c r="Y339" s="53"/>
      <c r="Z339" s="53"/>
      <c r="AA339" s="53"/>
      <c r="AB339" s="53"/>
      <c r="AC339" s="53"/>
      <c r="AD339" s="53"/>
      <c r="AE339" s="53"/>
      <c r="AF339" s="53"/>
      <c r="AG339" s="8"/>
      <c r="AH339" s="8"/>
      <c r="AI339" s="8"/>
      <c r="AJ339" s="8"/>
      <c r="AK339" s="8"/>
      <c r="AL339" s="8"/>
      <c r="AM339" s="8"/>
      <c r="AN339" s="8"/>
      <c r="AO339" s="8"/>
      <c r="AP339" s="8"/>
      <c r="AQ339" s="8"/>
      <c r="AR339" s="8"/>
      <c r="AS339" s="8"/>
      <c r="AT339" s="8"/>
      <c r="AU339" s="8"/>
      <c r="AV339" s="8"/>
      <c r="AW339" s="8"/>
      <c r="AX339" s="8"/>
      <c r="AY339" s="8"/>
      <c r="AZ339" s="8"/>
      <c r="BA339" s="8"/>
      <c r="BB339" s="8"/>
      <c r="BC339" s="8"/>
      <c r="BD339" s="8"/>
      <c r="BE339" s="8"/>
    </row>
    <row r="340" spans="1:57">
      <c r="A340" s="8"/>
      <c r="B340" s="8"/>
      <c r="C340" s="8"/>
      <c r="D340" s="8"/>
      <c r="E340" s="8"/>
      <c r="F340" s="54"/>
      <c r="G340" s="8"/>
      <c r="H340" s="8"/>
      <c r="I340" s="8"/>
      <c r="J340" s="8"/>
      <c r="K340" s="8"/>
      <c r="L340" s="8"/>
      <c r="M340" s="8"/>
      <c r="N340" s="8"/>
      <c r="O340" s="8"/>
      <c r="P340" s="8"/>
      <c r="Q340" s="8"/>
      <c r="R340" s="8"/>
      <c r="S340" s="8"/>
      <c r="T340" s="8"/>
      <c r="U340" s="53"/>
      <c r="V340" s="53"/>
      <c r="W340" s="53"/>
      <c r="X340" s="53"/>
      <c r="Y340" s="53"/>
      <c r="Z340" s="53"/>
      <c r="AA340" s="53"/>
      <c r="AB340" s="53"/>
      <c r="AC340" s="53"/>
      <c r="AD340" s="53"/>
      <c r="AE340" s="53"/>
      <c r="AF340" s="53"/>
      <c r="AG340" s="8"/>
      <c r="AH340" s="8"/>
      <c r="AI340" s="8"/>
      <c r="AJ340" s="8"/>
      <c r="AK340" s="8"/>
      <c r="AL340" s="8"/>
      <c r="AM340" s="8"/>
      <c r="AN340" s="8"/>
      <c r="AO340" s="8"/>
      <c r="AP340" s="8"/>
      <c r="AQ340" s="8"/>
      <c r="AR340" s="8"/>
      <c r="AS340" s="8"/>
      <c r="AT340" s="8"/>
      <c r="AU340" s="8"/>
      <c r="AV340" s="8"/>
      <c r="AW340" s="8"/>
      <c r="AX340" s="8"/>
      <c r="AY340" s="8"/>
      <c r="AZ340" s="8"/>
      <c r="BA340" s="8"/>
      <c r="BB340" s="8"/>
      <c r="BC340" s="8"/>
      <c r="BD340" s="8"/>
      <c r="BE340" s="8"/>
    </row>
    <row r="341" spans="1:57">
      <c r="A341" s="8"/>
      <c r="B341" s="8"/>
      <c r="C341" s="8"/>
      <c r="D341" s="8"/>
      <c r="E341" s="8"/>
      <c r="F341" s="54"/>
      <c r="G341" s="8"/>
      <c r="H341" s="8"/>
      <c r="I341" s="8"/>
      <c r="J341" s="8"/>
      <c r="K341" s="8"/>
      <c r="L341" s="8"/>
      <c r="M341" s="8"/>
      <c r="N341" s="8"/>
      <c r="O341" s="8"/>
      <c r="P341" s="8"/>
      <c r="Q341" s="8"/>
      <c r="R341" s="8"/>
      <c r="S341" s="8"/>
      <c r="T341" s="8"/>
      <c r="U341" s="53"/>
      <c r="V341" s="53"/>
      <c r="W341" s="53"/>
      <c r="X341" s="53"/>
      <c r="Y341" s="53"/>
      <c r="Z341" s="53"/>
      <c r="AA341" s="53"/>
      <c r="AB341" s="53"/>
      <c r="AC341" s="53"/>
      <c r="AD341" s="53"/>
      <c r="AE341" s="53"/>
      <c r="AF341" s="53"/>
      <c r="AG341" s="8"/>
      <c r="AH341" s="8"/>
      <c r="AI341" s="8"/>
      <c r="AJ341" s="8"/>
      <c r="AK341" s="8"/>
      <c r="AL341" s="8"/>
      <c r="AM341" s="8"/>
      <c r="AN341" s="8"/>
      <c r="AO341" s="8"/>
      <c r="AP341" s="8"/>
      <c r="AQ341" s="8"/>
      <c r="AR341" s="8"/>
      <c r="AS341" s="8"/>
      <c r="AT341" s="8"/>
      <c r="AU341" s="8"/>
      <c r="AV341" s="8"/>
      <c r="AW341" s="8"/>
      <c r="AX341" s="8"/>
      <c r="AY341" s="8"/>
      <c r="AZ341" s="8"/>
      <c r="BA341" s="8"/>
      <c r="BB341" s="8"/>
      <c r="BC341" s="8"/>
      <c r="BD341" s="8"/>
      <c r="BE341" s="8"/>
    </row>
    <row r="342" spans="1:57">
      <c r="A342" s="8"/>
      <c r="B342" s="8"/>
      <c r="C342" s="8"/>
      <c r="D342" s="8"/>
      <c r="E342" s="8"/>
      <c r="F342" s="54"/>
      <c r="G342" s="8"/>
      <c r="H342" s="8"/>
      <c r="I342" s="8"/>
      <c r="J342" s="8"/>
      <c r="K342" s="8"/>
      <c r="L342" s="8"/>
      <c r="M342" s="8"/>
      <c r="N342" s="8"/>
      <c r="O342" s="8"/>
      <c r="P342" s="8"/>
      <c r="Q342" s="8"/>
      <c r="R342" s="8"/>
      <c r="S342" s="8"/>
      <c r="T342" s="8"/>
      <c r="U342" s="53"/>
      <c r="V342" s="53"/>
      <c r="W342" s="53"/>
      <c r="X342" s="53"/>
      <c r="Y342" s="53"/>
      <c r="Z342" s="53"/>
      <c r="AA342" s="53"/>
      <c r="AB342" s="53"/>
      <c r="AC342" s="53"/>
      <c r="AD342" s="53"/>
      <c r="AE342" s="53"/>
      <c r="AF342" s="53"/>
      <c r="AG342" s="8"/>
      <c r="AH342" s="8"/>
      <c r="AI342" s="8"/>
      <c r="AJ342" s="8"/>
      <c r="AK342" s="8"/>
      <c r="AL342" s="8"/>
      <c r="AM342" s="8"/>
      <c r="AN342" s="8"/>
      <c r="AO342" s="8"/>
      <c r="AP342" s="8"/>
      <c r="AQ342" s="8"/>
      <c r="AR342" s="8"/>
      <c r="AS342" s="8"/>
      <c r="AT342" s="8"/>
      <c r="AU342" s="8"/>
      <c r="AV342" s="8"/>
      <c r="AW342" s="8"/>
      <c r="AX342" s="8"/>
      <c r="AY342" s="8"/>
      <c r="AZ342" s="8"/>
      <c r="BA342" s="8"/>
      <c r="BB342" s="8"/>
      <c r="BC342" s="8"/>
      <c r="BD342" s="8"/>
      <c r="BE342" s="8"/>
    </row>
    <row r="343" spans="1:57">
      <c r="A343" s="8"/>
      <c r="B343" s="8"/>
      <c r="C343" s="8"/>
      <c r="D343" s="8"/>
      <c r="E343" s="8"/>
      <c r="F343" s="54"/>
      <c r="G343" s="8"/>
      <c r="H343" s="8"/>
      <c r="I343" s="8"/>
      <c r="J343" s="8"/>
      <c r="K343" s="8"/>
      <c r="L343" s="8"/>
      <c r="M343" s="8"/>
      <c r="N343" s="8"/>
      <c r="O343" s="8"/>
      <c r="P343" s="8"/>
      <c r="Q343" s="8"/>
      <c r="R343" s="8"/>
      <c r="S343" s="8"/>
      <c r="T343" s="8"/>
      <c r="U343" s="53"/>
      <c r="V343" s="53"/>
      <c r="W343" s="53"/>
      <c r="X343" s="53"/>
      <c r="Y343" s="53"/>
      <c r="Z343" s="53"/>
      <c r="AA343" s="53"/>
      <c r="AB343" s="53"/>
      <c r="AC343" s="53"/>
      <c r="AD343" s="53"/>
      <c r="AE343" s="53"/>
      <c r="AF343" s="53"/>
      <c r="AG343" s="8"/>
      <c r="AH343" s="8"/>
      <c r="AI343" s="8"/>
      <c r="AJ343" s="8"/>
      <c r="AK343" s="8"/>
      <c r="AL343" s="8"/>
      <c r="AM343" s="8"/>
      <c r="AN343" s="8"/>
      <c r="AO343" s="8"/>
      <c r="AP343" s="8"/>
      <c r="AQ343" s="8"/>
      <c r="AR343" s="8"/>
      <c r="AS343" s="8"/>
      <c r="AT343" s="8"/>
      <c r="AU343" s="8"/>
      <c r="AV343" s="8"/>
      <c r="AW343" s="8"/>
      <c r="AX343" s="8"/>
      <c r="AY343" s="8"/>
      <c r="AZ343" s="8"/>
      <c r="BA343" s="8"/>
      <c r="BB343" s="8"/>
      <c r="BC343" s="8"/>
      <c r="BD343" s="8"/>
      <c r="BE343" s="8"/>
    </row>
    <row r="344" spans="1:57">
      <c r="A344" s="8"/>
      <c r="B344" s="8"/>
      <c r="C344" s="8"/>
      <c r="D344" s="8"/>
      <c r="E344" s="8"/>
      <c r="F344" s="54"/>
      <c r="G344" s="8"/>
      <c r="H344" s="8"/>
      <c r="I344" s="8"/>
      <c r="J344" s="8"/>
      <c r="K344" s="8"/>
      <c r="L344" s="8"/>
      <c r="M344" s="8"/>
      <c r="N344" s="8"/>
      <c r="O344" s="8"/>
      <c r="P344" s="8"/>
      <c r="Q344" s="8"/>
      <c r="R344" s="8"/>
      <c r="S344" s="8"/>
      <c r="T344" s="8"/>
      <c r="U344" s="53"/>
      <c r="V344" s="53"/>
      <c r="W344" s="53"/>
      <c r="X344" s="53"/>
      <c r="Y344" s="53"/>
      <c r="Z344" s="53"/>
      <c r="AA344" s="53"/>
      <c r="AB344" s="53"/>
      <c r="AC344" s="53"/>
      <c r="AD344" s="53"/>
      <c r="AE344" s="53"/>
      <c r="AF344" s="53"/>
      <c r="AG344" s="8"/>
      <c r="AH344" s="8"/>
      <c r="AI344" s="8"/>
      <c r="AJ344" s="8"/>
      <c r="AK344" s="8"/>
      <c r="AL344" s="8"/>
      <c r="AM344" s="8"/>
      <c r="AN344" s="8"/>
      <c r="AO344" s="8"/>
      <c r="AP344" s="8"/>
      <c r="AQ344" s="8"/>
      <c r="AR344" s="8"/>
      <c r="AS344" s="8"/>
      <c r="AT344" s="8"/>
      <c r="AU344" s="8"/>
      <c r="AV344" s="8"/>
      <c r="AW344" s="8"/>
      <c r="AX344" s="8"/>
      <c r="AY344" s="8"/>
      <c r="AZ344" s="8"/>
      <c r="BA344" s="8"/>
      <c r="BB344" s="8"/>
      <c r="BC344" s="8"/>
      <c r="BD344" s="8"/>
      <c r="BE344" s="8"/>
    </row>
    <row r="345" spans="1:57">
      <c r="A345" s="8"/>
      <c r="B345" s="8"/>
      <c r="C345" s="8"/>
      <c r="D345" s="8"/>
      <c r="E345" s="8"/>
      <c r="F345" s="54"/>
      <c r="G345" s="8"/>
      <c r="H345" s="8"/>
      <c r="I345" s="8"/>
      <c r="J345" s="8"/>
      <c r="K345" s="8"/>
      <c r="L345" s="8"/>
      <c r="M345" s="8"/>
      <c r="N345" s="8"/>
      <c r="O345" s="8"/>
      <c r="P345" s="8"/>
      <c r="Q345" s="8"/>
      <c r="R345" s="8"/>
      <c r="S345" s="8"/>
      <c r="T345" s="8"/>
      <c r="U345" s="53"/>
      <c r="V345" s="53"/>
      <c r="W345" s="53"/>
      <c r="X345" s="53"/>
      <c r="Y345" s="53"/>
      <c r="Z345" s="53"/>
      <c r="AA345" s="53"/>
      <c r="AB345" s="53"/>
      <c r="AC345" s="53"/>
      <c r="AD345" s="53"/>
      <c r="AE345" s="53"/>
      <c r="AF345" s="53"/>
      <c r="AG345" s="8"/>
      <c r="AH345" s="8"/>
      <c r="AI345" s="8"/>
      <c r="AJ345" s="8"/>
      <c r="AK345" s="8"/>
      <c r="AL345" s="8"/>
      <c r="AM345" s="8"/>
      <c r="AN345" s="8"/>
      <c r="AO345" s="8"/>
      <c r="AP345" s="8"/>
      <c r="AQ345" s="8"/>
      <c r="AR345" s="8"/>
      <c r="AS345" s="8"/>
      <c r="AT345" s="8"/>
      <c r="AU345" s="8"/>
      <c r="AV345" s="8"/>
      <c r="AW345" s="8"/>
      <c r="AX345" s="8"/>
      <c r="AY345" s="8"/>
      <c r="AZ345" s="8"/>
      <c r="BA345" s="8"/>
      <c r="BB345" s="8"/>
      <c r="BC345" s="8"/>
      <c r="BD345" s="8"/>
      <c r="BE345" s="8"/>
    </row>
    <row r="346" spans="1:57">
      <c r="A346" s="8"/>
      <c r="B346" s="8"/>
      <c r="C346" s="8"/>
      <c r="D346" s="8"/>
      <c r="E346" s="8"/>
      <c r="F346" s="54"/>
      <c r="G346" s="8"/>
      <c r="H346" s="8"/>
      <c r="I346" s="8"/>
      <c r="J346" s="8"/>
      <c r="K346" s="8"/>
      <c r="L346" s="8"/>
      <c r="M346" s="8"/>
      <c r="N346" s="8"/>
      <c r="O346" s="8"/>
      <c r="P346" s="8"/>
      <c r="Q346" s="8"/>
      <c r="R346" s="8"/>
      <c r="S346" s="8"/>
      <c r="T346" s="8"/>
      <c r="U346" s="53"/>
      <c r="V346" s="53"/>
      <c r="W346" s="53"/>
      <c r="X346" s="53"/>
      <c r="Y346" s="53"/>
      <c r="Z346" s="53"/>
      <c r="AA346" s="53"/>
      <c r="AB346" s="53"/>
      <c r="AC346" s="53"/>
      <c r="AD346" s="53"/>
      <c r="AE346" s="53"/>
      <c r="AF346" s="53"/>
      <c r="AG346" s="8"/>
      <c r="AH346" s="8"/>
      <c r="AI346" s="8"/>
      <c r="AJ346" s="8"/>
      <c r="AK346" s="8"/>
      <c r="AL346" s="8"/>
      <c r="AM346" s="8"/>
      <c r="AN346" s="8"/>
      <c r="AO346" s="8"/>
      <c r="AP346" s="8"/>
      <c r="AQ346" s="8"/>
      <c r="AR346" s="8"/>
      <c r="AS346" s="8"/>
      <c r="AT346" s="8"/>
      <c r="AU346" s="8"/>
      <c r="AV346" s="8"/>
      <c r="AW346" s="8"/>
      <c r="AX346" s="8"/>
      <c r="AY346" s="8"/>
      <c r="AZ346" s="8"/>
      <c r="BA346" s="8"/>
      <c r="BB346" s="8"/>
      <c r="BC346" s="8"/>
      <c r="BD346" s="8"/>
      <c r="BE346" s="8"/>
    </row>
    <row r="347" spans="1:57">
      <c r="A347" s="8"/>
      <c r="B347" s="8"/>
      <c r="C347" s="8"/>
      <c r="D347" s="8"/>
      <c r="E347" s="8"/>
      <c r="F347" s="54"/>
      <c r="G347" s="8"/>
      <c r="H347" s="8"/>
      <c r="I347" s="8"/>
      <c r="J347" s="8"/>
      <c r="K347" s="8"/>
      <c r="L347" s="8"/>
      <c r="M347" s="8"/>
      <c r="N347" s="8"/>
      <c r="O347" s="8"/>
      <c r="P347" s="8"/>
      <c r="Q347" s="8"/>
      <c r="R347" s="8"/>
      <c r="S347" s="8"/>
      <c r="T347" s="8"/>
      <c r="U347" s="53"/>
      <c r="V347" s="53"/>
      <c r="W347" s="53"/>
      <c r="X347" s="53"/>
      <c r="Y347" s="53"/>
      <c r="Z347" s="53"/>
      <c r="AA347" s="53"/>
      <c r="AB347" s="53"/>
      <c r="AC347" s="53"/>
      <c r="AD347" s="53"/>
      <c r="AE347" s="53"/>
      <c r="AF347" s="53"/>
      <c r="AG347" s="8"/>
      <c r="AH347" s="8"/>
      <c r="AI347" s="8"/>
      <c r="AJ347" s="8"/>
      <c r="AK347" s="8"/>
      <c r="AL347" s="8"/>
      <c r="AM347" s="8"/>
      <c r="AN347" s="8"/>
      <c r="AO347" s="8"/>
      <c r="AP347" s="8"/>
      <c r="AQ347" s="8"/>
      <c r="AR347" s="8"/>
      <c r="AS347" s="8"/>
      <c r="AT347" s="8"/>
      <c r="AU347" s="8"/>
      <c r="AV347" s="8"/>
      <c r="AW347" s="8"/>
      <c r="AX347" s="8"/>
      <c r="AY347" s="8"/>
      <c r="AZ347" s="8"/>
      <c r="BA347" s="8"/>
      <c r="BB347" s="8"/>
      <c r="BC347" s="8"/>
      <c r="BD347" s="8"/>
      <c r="BE347" s="8"/>
    </row>
    <row r="348" spans="1:57">
      <c r="A348" s="8"/>
      <c r="B348" s="8"/>
      <c r="C348" s="8"/>
      <c r="D348" s="8"/>
      <c r="E348" s="8"/>
      <c r="F348" s="54"/>
      <c r="G348" s="8"/>
      <c r="H348" s="8"/>
      <c r="I348" s="8"/>
      <c r="J348" s="8"/>
      <c r="K348" s="8"/>
      <c r="L348" s="8"/>
      <c r="M348" s="8"/>
      <c r="N348" s="8"/>
      <c r="O348" s="8"/>
      <c r="P348" s="8"/>
      <c r="Q348" s="8"/>
      <c r="R348" s="8"/>
      <c r="S348" s="8"/>
      <c r="T348" s="8"/>
      <c r="U348" s="53"/>
      <c r="V348" s="53"/>
      <c r="W348" s="53"/>
      <c r="X348" s="53"/>
      <c r="Y348" s="53"/>
      <c r="Z348" s="53"/>
      <c r="AA348" s="53"/>
      <c r="AB348" s="53"/>
      <c r="AC348" s="53"/>
      <c r="AD348" s="53"/>
      <c r="AE348" s="53"/>
      <c r="AF348" s="53"/>
      <c r="AG348" s="8"/>
      <c r="AH348" s="8"/>
      <c r="AI348" s="8"/>
      <c r="AJ348" s="8"/>
      <c r="AK348" s="8"/>
      <c r="AL348" s="8"/>
      <c r="AM348" s="8"/>
      <c r="AN348" s="8"/>
      <c r="AO348" s="8"/>
      <c r="AP348" s="8"/>
      <c r="AQ348" s="8"/>
      <c r="AR348" s="8"/>
      <c r="AS348" s="8"/>
      <c r="AT348" s="8"/>
      <c r="AU348" s="8"/>
      <c r="AV348" s="8"/>
      <c r="AW348" s="8"/>
      <c r="AX348" s="8"/>
      <c r="AY348" s="8"/>
      <c r="AZ348" s="8"/>
      <c r="BA348" s="8"/>
      <c r="BB348" s="8"/>
      <c r="BC348" s="8"/>
      <c r="BD348" s="8"/>
      <c r="BE348" s="8"/>
    </row>
    <row r="349" spans="1:57">
      <c r="A349" s="8"/>
      <c r="B349" s="8"/>
      <c r="C349" s="8"/>
      <c r="D349" s="8"/>
      <c r="E349" s="8"/>
      <c r="F349" s="54"/>
      <c r="G349" s="8"/>
      <c r="H349" s="8"/>
      <c r="I349" s="8"/>
      <c r="J349" s="8"/>
      <c r="K349" s="8"/>
      <c r="L349" s="8"/>
      <c r="M349" s="8"/>
      <c r="N349" s="8"/>
      <c r="O349" s="8"/>
      <c r="P349" s="8"/>
      <c r="Q349" s="8"/>
      <c r="R349" s="8"/>
      <c r="S349" s="8"/>
      <c r="T349" s="8"/>
      <c r="U349" s="53"/>
      <c r="V349" s="53"/>
      <c r="W349" s="53"/>
      <c r="X349" s="53"/>
      <c r="Y349" s="53"/>
      <c r="Z349" s="53"/>
      <c r="AA349" s="53"/>
      <c r="AB349" s="53"/>
      <c r="AC349" s="53"/>
      <c r="AD349" s="53"/>
      <c r="AE349" s="53"/>
      <c r="AF349" s="53"/>
      <c r="AG349" s="8"/>
      <c r="AH349" s="8"/>
      <c r="AI349" s="8"/>
      <c r="AJ349" s="8"/>
      <c r="AK349" s="8"/>
      <c r="AL349" s="8"/>
      <c r="AM349" s="8"/>
      <c r="AN349" s="8"/>
      <c r="AO349" s="8"/>
      <c r="AP349" s="8"/>
      <c r="AQ349" s="8"/>
      <c r="AR349" s="8"/>
      <c r="AS349" s="8"/>
      <c r="AT349" s="8"/>
      <c r="AU349" s="8"/>
      <c r="AV349" s="8"/>
      <c r="AW349" s="8"/>
      <c r="AX349" s="8"/>
      <c r="AY349" s="8"/>
      <c r="AZ349" s="8"/>
      <c r="BA349" s="8"/>
      <c r="BB349" s="8"/>
      <c r="BC349" s="8"/>
      <c r="BD349" s="8"/>
      <c r="BE349" s="8"/>
    </row>
    <row r="350" spans="1:57">
      <c r="A350" s="8"/>
      <c r="B350" s="8"/>
      <c r="C350" s="8"/>
      <c r="D350" s="8"/>
      <c r="E350" s="8"/>
      <c r="F350" s="54"/>
      <c r="G350" s="8"/>
      <c r="H350" s="8"/>
      <c r="I350" s="8"/>
      <c r="J350" s="8"/>
      <c r="K350" s="8"/>
      <c r="L350" s="8"/>
      <c r="M350" s="8"/>
      <c r="N350" s="8"/>
      <c r="O350" s="8"/>
      <c r="P350" s="8"/>
      <c r="Q350" s="8"/>
      <c r="R350" s="8"/>
      <c r="S350" s="8"/>
      <c r="T350" s="8"/>
      <c r="U350" s="53"/>
      <c r="V350" s="53"/>
      <c r="W350" s="53"/>
      <c r="X350" s="53"/>
      <c r="Y350" s="53"/>
      <c r="Z350" s="53"/>
      <c r="AA350" s="53"/>
      <c r="AB350" s="53"/>
      <c r="AC350" s="53"/>
      <c r="AD350" s="53"/>
      <c r="AE350" s="53"/>
      <c r="AF350" s="53"/>
      <c r="AG350" s="8"/>
      <c r="AH350" s="8"/>
      <c r="AI350" s="8"/>
      <c r="AJ350" s="8"/>
      <c r="AK350" s="8"/>
      <c r="AL350" s="8"/>
      <c r="AM350" s="8"/>
      <c r="AN350" s="8"/>
      <c r="AO350" s="8"/>
      <c r="AP350" s="8"/>
      <c r="AQ350" s="8"/>
      <c r="AR350" s="8"/>
      <c r="AS350" s="8"/>
      <c r="AT350" s="8"/>
      <c r="AU350" s="8"/>
      <c r="AV350" s="8"/>
      <c r="AW350" s="8"/>
      <c r="AX350" s="8"/>
      <c r="AY350" s="8"/>
      <c r="AZ350" s="8"/>
      <c r="BA350" s="8"/>
      <c r="BB350" s="8"/>
      <c r="BC350" s="8"/>
      <c r="BD350" s="8"/>
      <c r="BE350" s="8"/>
    </row>
    <row r="351" spans="1:57">
      <c r="A351" s="8"/>
      <c r="B351" s="8"/>
      <c r="C351" s="8"/>
      <c r="D351" s="8"/>
      <c r="E351" s="8"/>
      <c r="F351" s="54"/>
      <c r="G351" s="8"/>
      <c r="H351" s="8"/>
      <c r="I351" s="8"/>
      <c r="J351" s="8"/>
      <c r="K351" s="8"/>
      <c r="L351" s="8"/>
      <c r="M351" s="8"/>
      <c r="N351" s="8"/>
      <c r="O351" s="8"/>
      <c r="P351" s="8"/>
      <c r="Q351" s="8"/>
      <c r="R351" s="8"/>
      <c r="S351" s="8"/>
      <c r="T351" s="8"/>
      <c r="U351" s="53"/>
      <c r="V351" s="53"/>
      <c r="W351" s="53"/>
      <c r="X351" s="53"/>
      <c r="Y351" s="53"/>
      <c r="Z351" s="53"/>
      <c r="AA351" s="53"/>
      <c r="AB351" s="53"/>
      <c r="AC351" s="53"/>
      <c r="AD351" s="53"/>
      <c r="AE351" s="53"/>
      <c r="AF351" s="53"/>
      <c r="AG351" s="8"/>
      <c r="AH351" s="8"/>
      <c r="AI351" s="8"/>
      <c r="AJ351" s="8"/>
      <c r="AK351" s="8"/>
      <c r="AL351" s="8"/>
      <c r="AM351" s="8"/>
      <c r="AN351" s="8"/>
      <c r="AO351" s="8"/>
      <c r="AP351" s="8"/>
      <c r="AQ351" s="8"/>
      <c r="AR351" s="8"/>
      <c r="AS351" s="8"/>
      <c r="AT351" s="8"/>
      <c r="AU351" s="8"/>
      <c r="AV351" s="8"/>
      <c r="AW351" s="8"/>
      <c r="AX351" s="8"/>
      <c r="AY351" s="8"/>
      <c r="AZ351" s="8"/>
      <c r="BA351" s="8"/>
      <c r="BB351" s="8"/>
      <c r="BC351" s="8"/>
      <c r="BD351" s="8"/>
      <c r="BE351" s="8"/>
    </row>
    <row r="352" spans="1:57">
      <c r="A352" s="8"/>
      <c r="B352" s="8"/>
      <c r="C352" s="8"/>
      <c r="D352" s="8"/>
      <c r="E352" s="8"/>
      <c r="F352" s="54"/>
      <c r="G352" s="8"/>
      <c r="H352" s="8"/>
      <c r="I352" s="8"/>
      <c r="J352" s="8"/>
      <c r="K352" s="8"/>
      <c r="L352" s="8"/>
      <c r="M352" s="8"/>
      <c r="N352" s="8"/>
      <c r="O352" s="8"/>
      <c r="P352" s="8"/>
      <c r="Q352" s="8"/>
      <c r="R352" s="8"/>
      <c r="S352" s="8"/>
      <c r="T352" s="8"/>
      <c r="U352" s="53"/>
      <c r="V352" s="53"/>
      <c r="W352" s="53"/>
      <c r="X352" s="53"/>
      <c r="Y352" s="53"/>
      <c r="Z352" s="53"/>
      <c r="AA352" s="53"/>
      <c r="AB352" s="53"/>
      <c r="AC352" s="53"/>
      <c r="AD352" s="53"/>
      <c r="AE352" s="53"/>
      <c r="AF352" s="53"/>
      <c r="AG352" s="8"/>
      <c r="AH352" s="8"/>
      <c r="AI352" s="8"/>
      <c r="AJ352" s="8"/>
      <c r="AK352" s="8"/>
      <c r="AL352" s="8"/>
      <c r="AM352" s="8"/>
      <c r="AN352" s="8"/>
      <c r="AO352" s="8"/>
      <c r="AP352" s="8"/>
      <c r="AQ352" s="8"/>
      <c r="AR352" s="8"/>
      <c r="AS352" s="8"/>
      <c r="AT352" s="8"/>
      <c r="AU352" s="8"/>
      <c r="AV352" s="8"/>
      <c r="AW352" s="8"/>
      <c r="AX352" s="8"/>
      <c r="AY352" s="8"/>
      <c r="AZ352" s="8"/>
      <c r="BA352" s="8"/>
      <c r="BB352" s="8"/>
      <c r="BC352" s="8"/>
      <c r="BD352" s="8"/>
      <c r="BE352" s="8"/>
    </row>
    <row r="353" spans="1:57">
      <c r="A353" s="8"/>
      <c r="B353" s="8"/>
      <c r="C353" s="8"/>
      <c r="D353" s="8"/>
      <c r="E353" s="8"/>
      <c r="F353" s="54"/>
      <c r="G353" s="8"/>
      <c r="H353" s="8"/>
      <c r="I353" s="8"/>
      <c r="J353" s="8"/>
      <c r="K353" s="8"/>
      <c r="L353" s="8"/>
      <c r="M353" s="8"/>
      <c r="N353" s="8"/>
      <c r="O353" s="8"/>
      <c r="P353" s="8"/>
      <c r="Q353" s="8"/>
      <c r="R353" s="8"/>
      <c r="S353" s="8"/>
      <c r="T353" s="8"/>
      <c r="U353" s="53"/>
      <c r="V353" s="53"/>
      <c r="W353" s="53"/>
      <c r="X353" s="53"/>
      <c r="Y353" s="53"/>
      <c r="Z353" s="53"/>
      <c r="AA353" s="53"/>
      <c r="AB353" s="53"/>
      <c r="AC353" s="53"/>
      <c r="AD353" s="53"/>
      <c r="AE353" s="53"/>
      <c r="AF353" s="53"/>
      <c r="AG353" s="8"/>
      <c r="AH353" s="8"/>
      <c r="AI353" s="8"/>
      <c r="AJ353" s="8"/>
      <c r="AK353" s="8"/>
      <c r="AL353" s="8"/>
      <c r="AM353" s="8"/>
      <c r="AN353" s="8"/>
      <c r="AO353" s="8"/>
      <c r="AP353" s="8"/>
      <c r="AQ353" s="8"/>
      <c r="AR353" s="8"/>
      <c r="AS353" s="8"/>
      <c r="AT353" s="8"/>
      <c r="AU353" s="8"/>
      <c r="AV353" s="8"/>
      <c r="AW353" s="8"/>
      <c r="AX353" s="8"/>
      <c r="AY353" s="8"/>
      <c r="AZ353" s="8"/>
      <c r="BA353" s="8"/>
      <c r="BB353" s="8"/>
      <c r="BC353" s="8"/>
      <c r="BD353" s="8"/>
      <c r="BE353" s="8"/>
    </row>
    <row r="354" spans="1:57">
      <c r="A354" s="8"/>
      <c r="B354" s="8"/>
      <c r="C354" s="8"/>
      <c r="D354" s="8"/>
      <c r="E354" s="8"/>
      <c r="F354" s="54"/>
      <c r="G354" s="8"/>
      <c r="H354" s="8"/>
      <c r="I354" s="8"/>
      <c r="J354" s="8"/>
      <c r="K354" s="8"/>
      <c r="L354" s="8"/>
      <c r="M354" s="8"/>
      <c r="N354" s="8"/>
      <c r="O354" s="8"/>
      <c r="P354" s="8"/>
      <c r="Q354" s="8"/>
      <c r="R354" s="8"/>
      <c r="S354" s="8"/>
      <c r="T354" s="8"/>
      <c r="U354" s="53"/>
      <c r="V354" s="53"/>
      <c r="W354" s="53"/>
      <c r="X354" s="53"/>
      <c r="Y354" s="53"/>
      <c r="Z354" s="53"/>
      <c r="AA354" s="53"/>
      <c r="AB354" s="53"/>
      <c r="AC354" s="53"/>
      <c r="AD354" s="53"/>
      <c r="AE354" s="53"/>
      <c r="AF354" s="53"/>
      <c r="AG354" s="8"/>
      <c r="AH354" s="8"/>
      <c r="AI354" s="8"/>
      <c r="AJ354" s="8"/>
      <c r="AK354" s="8"/>
      <c r="AL354" s="8"/>
      <c r="AM354" s="8"/>
      <c r="AN354" s="8"/>
      <c r="AO354" s="8"/>
      <c r="AP354" s="8"/>
      <c r="AQ354" s="8"/>
      <c r="AR354" s="8"/>
      <c r="AS354" s="8"/>
      <c r="AT354" s="8"/>
      <c r="AU354" s="8"/>
      <c r="AV354" s="8"/>
      <c r="AW354" s="8"/>
      <c r="AX354" s="8"/>
      <c r="AY354" s="8"/>
      <c r="AZ354" s="8"/>
      <c r="BA354" s="8"/>
      <c r="BB354" s="8"/>
      <c r="BC354" s="8"/>
      <c r="BD354" s="8"/>
      <c r="BE354" s="8"/>
    </row>
    <row r="355" spans="1:57">
      <c r="A355" s="8"/>
      <c r="B355" s="8"/>
      <c r="C355" s="8"/>
      <c r="D355" s="8"/>
      <c r="E355" s="8"/>
      <c r="F355" s="54"/>
      <c r="G355" s="8"/>
      <c r="H355" s="8"/>
      <c r="I355" s="8"/>
      <c r="J355" s="8"/>
      <c r="K355" s="8"/>
      <c r="L355" s="8"/>
      <c r="M355" s="8"/>
      <c r="N355" s="8"/>
      <c r="O355" s="8"/>
      <c r="P355" s="8"/>
      <c r="Q355" s="8"/>
      <c r="R355" s="8"/>
      <c r="S355" s="8"/>
      <c r="T355" s="8"/>
      <c r="U355" s="53"/>
      <c r="V355" s="53"/>
      <c r="W355" s="53"/>
      <c r="X355" s="53"/>
      <c r="Y355" s="53"/>
      <c r="Z355" s="53"/>
      <c r="AA355" s="53"/>
      <c r="AB355" s="53"/>
      <c r="AC355" s="53"/>
      <c r="AD355" s="53"/>
      <c r="AE355" s="53"/>
      <c r="AF355" s="53"/>
      <c r="AG355" s="8"/>
      <c r="AH355" s="8"/>
      <c r="AI355" s="8"/>
      <c r="AJ355" s="8"/>
      <c r="AK355" s="8"/>
      <c r="AL355" s="8"/>
      <c r="AM355" s="8"/>
      <c r="AN355" s="8"/>
      <c r="AO355" s="8"/>
      <c r="AP355" s="8"/>
      <c r="AQ355" s="8"/>
      <c r="AR355" s="8"/>
      <c r="AS355" s="8"/>
      <c r="AT355" s="8"/>
      <c r="AU355" s="8"/>
      <c r="AV355" s="8"/>
      <c r="AW355" s="8"/>
      <c r="AX355" s="8"/>
      <c r="AY355" s="8"/>
      <c r="AZ355" s="8"/>
      <c r="BA355" s="8"/>
      <c r="BB355" s="8"/>
      <c r="BC355" s="8"/>
      <c r="BD355" s="8"/>
      <c r="BE355" s="8"/>
    </row>
    <row r="356" spans="1:57">
      <c r="A356" s="8"/>
      <c r="B356" s="8"/>
      <c r="C356" s="8"/>
      <c r="D356" s="8"/>
      <c r="E356" s="8"/>
      <c r="F356" s="54"/>
      <c r="G356" s="8"/>
      <c r="H356" s="8"/>
      <c r="I356" s="8"/>
      <c r="J356" s="8"/>
      <c r="K356" s="8"/>
      <c r="L356" s="8"/>
      <c r="M356" s="8"/>
      <c r="N356" s="8"/>
      <c r="O356" s="8"/>
      <c r="P356" s="8"/>
      <c r="Q356" s="8"/>
      <c r="R356" s="8"/>
      <c r="S356" s="8"/>
      <c r="T356" s="8"/>
      <c r="U356" s="53"/>
      <c r="V356" s="53"/>
      <c r="W356" s="53"/>
      <c r="X356" s="53"/>
      <c r="Y356" s="53"/>
      <c r="Z356" s="53"/>
      <c r="AA356" s="53"/>
      <c r="AB356" s="53"/>
      <c r="AC356" s="53"/>
      <c r="AD356" s="53"/>
      <c r="AE356" s="53"/>
      <c r="AF356" s="53"/>
      <c r="AG356" s="8"/>
      <c r="AH356" s="8"/>
      <c r="AI356" s="8"/>
      <c r="AJ356" s="8"/>
      <c r="AK356" s="8"/>
      <c r="AL356" s="8"/>
      <c r="AM356" s="8"/>
      <c r="AN356" s="8"/>
      <c r="AO356" s="8"/>
      <c r="AP356" s="8"/>
      <c r="AQ356" s="8"/>
      <c r="AR356" s="8"/>
      <c r="AS356" s="8"/>
      <c r="AT356" s="8"/>
      <c r="AU356" s="8"/>
      <c r="AV356" s="8"/>
      <c r="AW356" s="8"/>
      <c r="AX356" s="8"/>
      <c r="AY356" s="8"/>
      <c r="AZ356" s="8"/>
      <c r="BA356" s="8"/>
      <c r="BB356" s="8"/>
      <c r="BC356" s="8"/>
      <c r="BD356" s="8"/>
      <c r="BE356" s="8"/>
    </row>
    <row r="357" spans="1:57">
      <c r="A357" s="8"/>
      <c r="B357" s="8"/>
      <c r="C357" s="8"/>
      <c r="D357" s="8"/>
      <c r="E357" s="8"/>
      <c r="F357" s="54"/>
      <c r="G357" s="8"/>
      <c r="H357" s="8"/>
      <c r="I357" s="8"/>
      <c r="J357" s="8"/>
      <c r="K357" s="8"/>
      <c r="L357" s="8"/>
      <c r="M357" s="8"/>
      <c r="N357" s="8"/>
      <c r="O357" s="8"/>
      <c r="P357" s="8"/>
      <c r="Q357" s="8"/>
      <c r="R357" s="8"/>
      <c r="S357" s="8"/>
      <c r="T357" s="8"/>
      <c r="U357" s="53"/>
      <c r="V357" s="53"/>
      <c r="W357" s="53"/>
      <c r="X357" s="53"/>
      <c r="Y357" s="53"/>
      <c r="Z357" s="53"/>
      <c r="AA357" s="53"/>
      <c r="AB357" s="53"/>
      <c r="AC357" s="53"/>
      <c r="AD357" s="53"/>
      <c r="AE357" s="53"/>
      <c r="AF357" s="53"/>
      <c r="AG357" s="8"/>
      <c r="AH357" s="8"/>
      <c r="AI357" s="8"/>
      <c r="AJ357" s="8"/>
      <c r="AK357" s="8"/>
      <c r="AL357" s="8"/>
      <c r="AM357" s="8"/>
      <c r="AN357" s="8"/>
      <c r="AO357" s="8"/>
      <c r="AP357" s="8"/>
      <c r="AQ357" s="8"/>
      <c r="AR357" s="8"/>
      <c r="AS357" s="8"/>
      <c r="AT357" s="8"/>
      <c r="AU357" s="8"/>
      <c r="AV357" s="8"/>
      <c r="AW357" s="8"/>
      <c r="AX357" s="8"/>
      <c r="AY357" s="8"/>
      <c r="AZ357" s="8"/>
      <c r="BA357" s="8"/>
      <c r="BB357" s="8"/>
      <c r="BC357" s="8"/>
      <c r="BD357" s="8"/>
      <c r="BE357" s="8"/>
    </row>
    <row r="358" spans="1:57">
      <c r="A358" s="8"/>
      <c r="B358" s="8"/>
      <c r="C358" s="8"/>
      <c r="D358" s="8"/>
      <c r="E358" s="8"/>
      <c r="F358" s="54"/>
      <c r="G358" s="8"/>
      <c r="H358" s="8"/>
      <c r="I358" s="8"/>
      <c r="J358" s="8"/>
      <c r="K358" s="8"/>
      <c r="L358" s="8"/>
      <c r="M358" s="8"/>
      <c r="N358" s="8"/>
      <c r="O358" s="8"/>
      <c r="P358" s="8"/>
      <c r="Q358" s="8"/>
      <c r="R358" s="8"/>
      <c r="S358" s="8"/>
      <c r="T358" s="8"/>
      <c r="U358" s="53"/>
      <c r="V358" s="53"/>
      <c r="W358" s="53"/>
      <c r="X358" s="53"/>
      <c r="Y358" s="53"/>
      <c r="Z358" s="53"/>
      <c r="AA358" s="53"/>
      <c r="AB358" s="53"/>
      <c r="AC358" s="53"/>
      <c r="AD358" s="53"/>
      <c r="AE358" s="53"/>
      <c r="AF358" s="53"/>
      <c r="AG358" s="8"/>
      <c r="AH358" s="8"/>
      <c r="AI358" s="8"/>
      <c r="AJ358" s="8"/>
      <c r="AK358" s="8"/>
      <c r="AL358" s="8"/>
      <c r="AM358" s="8"/>
      <c r="AN358" s="8"/>
      <c r="AO358" s="8"/>
      <c r="AP358" s="8"/>
      <c r="AQ358" s="8"/>
      <c r="AR358" s="8"/>
      <c r="AS358" s="8"/>
      <c r="AT358" s="8"/>
      <c r="AU358" s="8"/>
      <c r="AV358" s="8"/>
      <c r="AW358" s="8"/>
      <c r="AX358" s="8"/>
      <c r="AY358" s="8"/>
      <c r="AZ358" s="8"/>
      <c r="BA358" s="8"/>
      <c r="BB358" s="8"/>
      <c r="BC358" s="8"/>
      <c r="BD358" s="8"/>
      <c r="BE358" s="8"/>
    </row>
    <row r="359" spans="1:57">
      <c r="A359" s="8"/>
      <c r="B359" s="8"/>
      <c r="C359" s="8"/>
      <c r="D359" s="8"/>
      <c r="E359" s="8"/>
      <c r="F359" s="54"/>
      <c r="G359" s="8"/>
      <c r="H359" s="8"/>
      <c r="I359" s="8"/>
      <c r="J359" s="8"/>
      <c r="K359" s="8"/>
      <c r="L359" s="8"/>
      <c r="M359" s="8"/>
      <c r="N359" s="8"/>
      <c r="O359" s="8"/>
      <c r="P359" s="8"/>
      <c r="Q359" s="8"/>
      <c r="R359" s="8"/>
      <c r="S359" s="8"/>
      <c r="T359" s="8"/>
      <c r="U359" s="53"/>
      <c r="V359" s="53"/>
      <c r="W359" s="53"/>
      <c r="X359" s="53"/>
      <c r="Y359" s="53"/>
      <c r="Z359" s="53"/>
      <c r="AA359" s="53"/>
      <c r="AB359" s="53"/>
      <c r="AC359" s="53"/>
      <c r="AD359" s="53"/>
      <c r="AE359" s="53"/>
      <c r="AF359" s="53"/>
      <c r="AG359" s="8"/>
      <c r="AH359" s="8"/>
      <c r="AI359" s="8"/>
      <c r="AJ359" s="8"/>
      <c r="AK359" s="8"/>
      <c r="AL359" s="8"/>
      <c r="AM359" s="8"/>
      <c r="AN359" s="8"/>
      <c r="AO359" s="8"/>
      <c r="AP359" s="8"/>
      <c r="AQ359" s="8"/>
      <c r="AR359" s="8"/>
      <c r="AS359" s="8"/>
      <c r="AT359" s="8"/>
      <c r="AU359" s="8"/>
      <c r="AV359" s="8"/>
      <c r="AW359" s="8"/>
      <c r="AX359" s="8"/>
      <c r="AY359" s="8"/>
      <c r="AZ359" s="8"/>
      <c r="BA359" s="8"/>
      <c r="BB359" s="8"/>
      <c r="BC359" s="8"/>
      <c r="BD359" s="8"/>
      <c r="BE359" s="8"/>
    </row>
    <row r="360" spans="1:57">
      <c r="A360" s="8"/>
      <c r="B360" s="8"/>
      <c r="C360" s="8"/>
      <c r="D360" s="8"/>
      <c r="E360" s="8"/>
      <c r="F360" s="54"/>
      <c r="G360" s="8"/>
      <c r="H360" s="8"/>
      <c r="I360" s="8"/>
      <c r="J360" s="8"/>
      <c r="K360" s="8"/>
      <c r="L360" s="8"/>
      <c r="M360" s="8"/>
      <c r="N360" s="8"/>
      <c r="O360" s="8"/>
      <c r="P360" s="8"/>
      <c r="Q360" s="8"/>
      <c r="R360" s="8"/>
      <c r="S360" s="8"/>
      <c r="T360" s="8"/>
      <c r="U360" s="53"/>
      <c r="V360" s="53"/>
      <c r="W360" s="53"/>
      <c r="X360" s="53"/>
      <c r="Y360" s="53"/>
      <c r="Z360" s="53"/>
      <c r="AA360" s="53"/>
      <c r="AB360" s="53"/>
      <c r="AC360" s="53"/>
      <c r="AD360" s="53"/>
      <c r="AE360" s="53"/>
      <c r="AF360" s="53"/>
      <c r="AG360" s="8"/>
      <c r="AH360" s="8"/>
      <c r="AI360" s="8"/>
      <c r="AJ360" s="8"/>
      <c r="AK360" s="8"/>
      <c r="AL360" s="8"/>
      <c r="AM360" s="8"/>
      <c r="AN360" s="8"/>
      <c r="AO360" s="8"/>
      <c r="AP360" s="8"/>
      <c r="AQ360" s="8"/>
      <c r="AR360" s="8"/>
      <c r="AS360" s="8"/>
      <c r="AT360" s="8"/>
      <c r="AU360" s="8"/>
      <c r="AV360" s="8"/>
      <c r="AW360" s="8"/>
      <c r="AX360" s="8"/>
      <c r="AY360" s="8"/>
      <c r="AZ360" s="8"/>
      <c r="BA360" s="8"/>
      <c r="BB360" s="8"/>
      <c r="BC360" s="8"/>
      <c r="BD360" s="8"/>
      <c r="BE360" s="8"/>
    </row>
    <row r="361" spans="1:57">
      <c r="A361" s="8"/>
      <c r="B361" s="8"/>
      <c r="C361" s="8"/>
      <c r="D361" s="8"/>
      <c r="E361" s="8"/>
      <c r="F361" s="54"/>
      <c r="G361" s="8"/>
      <c r="H361" s="8"/>
      <c r="I361" s="8"/>
      <c r="J361" s="8"/>
      <c r="K361" s="8"/>
      <c r="L361" s="8"/>
      <c r="M361" s="8"/>
      <c r="N361" s="8"/>
      <c r="O361" s="8"/>
      <c r="P361" s="8"/>
      <c r="Q361" s="8"/>
      <c r="R361" s="8"/>
      <c r="S361" s="8"/>
      <c r="T361" s="8"/>
      <c r="U361" s="53"/>
      <c r="V361" s="53"/>
      <c r="W361" s="53"/>
      <c r="X361" s="53"/>
      <c r="Y361" s="53"/>
      <c r="Z361" s="53"/>
      <c r="AA361" s="53"/>
      <c r="AB361" s="53"/>
      <c r="AC361" s="53"/>
      <c r="AD361" s="53"/>
      <c r="AE361" s="53"/>
      <c r="AF361" s="53"/>
      <c r="AG361" s="8"/>
      <c r="AH361" s="8"/>
      <c r="AI361" s="8"/>
      <c r="AJ361" s="8"/>
      <c r="AK361" s="8"/>
      <c r="AL361" s="8"/>
      <c r="AM361" s="8"/>
      <c r="AN361" s="8"/>
      <c r="AO361" s="8"/>
      <c r="AP361" s="8"/>
      <c r="AQ361" s="8"/>
      <c r="AR361" s="8"/>
      <c r="AS361" s="8"/>
      <c r="AT361" s="8"/>
      <c r="AU361" s="8"/>
      <c r="AV361" s="8"/>
      <c r="AW361" s="8"/>
      <c r="AX361" s="8"/>
      <c r="AY361" s="8"/>
      <c r="AZ361" s="8"/>
      <c r="BA361" s="8"/>
      <c r="BB361" s="8"/>
      <c r="BC361" s="8"/>
      <c r="BD361" s="8"/>
      <c r="BE361" s="8"/>
    </row>
    <row r="362" spans="1:57">
      <c r="A362" s="8"/>
      <c r="B362" s="8"/>
      <c r="C362" s="8"/>
      <c r="D362" s="8"/>
      <c r="E362" s="8"/>
      <c r="F362" s="54"/>
      <c r="G362" s="8"/>
      <c r="H362" s="8"/>
      <c r="I362" s="8"/>
      <c r="J362" s="8"/>
      <c r="K362" s="8"/>
      <c r="L362" s="8"/>
      <c r="M362" s="8"/>
      <c r="N362" s="8"/>
      <c r="O362" s="8"/>
      <c r="P362" s="8"/>
      <c r="Q362" s="8"/>
      <c r="R362" s="8"/>
      <c r="S362" s="8"/>
      <c r="T362" s="8"/>
      <c r="U362" s="53"/>
      <c r="V362" s="53"/>
      <c r="W362" s="53"/>
      <c r="X362" s="53"/>
      <c r="Y362" s="53"/>
      <c r="Z362" s="53"/>
      <c r="AA362" s="53"/>
      <c r="AB362" s="53"/>
      <c r="AC362" s="53"/>
      <c r="AD362" s="53"/>
      <c r="AE362" s="53"/>
      <c r="AF362" s="53"/>
      <c r="AG362" s="8"/>
      <c r="AH362" s="8"/>
      <c r="AI362" s="8"/>
      <c r="AJ362" s="8"/>
      <c r="AK362" s="8"/>
      <c r="AL362" s="8"/>
      <c r="AM362" s="8"/>
      <c r="AN362" s="8"/>
      <c r="AO362" s="8"/>
      <c r="AP362" s="8"/>
      <c r="AQ362" s="8"/>
      <c r="AR362" s="8"/>
      <c r="AS362" s="8"/>
      <c r="AT362" s="8"/>
      <c r="AU362" s="8"/>
      <c r="AV362" s="8"/>
      <c r="AW362" s="8"/>
      <c r="AX362" s="8"/>
      <c r="AY362" s="8"/>
      <c r="AZ362" s="8"/>
      <c r="BA362" s="8"/>
      <c r="BB362" s="8"/>
      <c r="BC362" s="8"/>
      <c r="BD362" s="8"/>
      <c r="BE362" s="8"/>
    </row>
    <row r="363" spans="1:57">
      <c r="A363" s="8"/>
      <c r="B363" s="8"/>
      <c r="C363" s="8"/>
      <c r="D363" s="8"/>
      <c r="E363" s="8"/>
      <c r="F363" s="54"/>
      <c r="G363" s="8"/>
      <c r="H363" s="8"/>
      <c r="I363" s="8"/>
      <c r="J363" s="8"/>
      <c r="K363" s="8"/>
      <c r="L363" s="8"/>
      <c r="M363" s="8"/>
      <c r="N363" s="8"/>
      <c r="O363" s="8"/>
      <c r="P363" s="8"/>
      <c r="Q363" s="8"/>
      <c r="R363" s="8"/>
      <c r="S363" s="8"/>
      <c r="T363" s="8"/>
      <c r="U363" s="53"/>
      <c r="V363" s="53"/>
      <c r="W363" s="53"/>
      <c r="X363" s="53"/>
      <c r="Y363" s="53"/>
      <c r="Z363" s="53"/>
      <c r="AA363" s="53"/>
      <c r="AB363" s="53"/>
      <c r="AC363" s="53"/>
      <c r="AD363" s="53"/>
      <c r="AE363" s="53"/>
      <c r="AF363" s="53"/>
      <c r="AG363" s="8"/>
      <c r="AH363" s="8"/>
      <c r="AI363" s="8"/>
      <c r="AJ363" s="8"/>
      <c r="AK363" s="8"/>
      <c r="AL363" s="8"/>
      <c r="AM363" s="8"/>
      <c r="AN363" s="8"/>
      <c r="AO363" s="8"/>
      <c r="AP363" s="8"/>
      <c r="AQ363" s="8"/>
      <c r="AR363" s="8"/>
      <c r="AS363" s="8"/>
      <c r="AT363" s="8"/>
      <c r="AU363" s="8"/>
      <c r="AV363" s="8"/>
      <c r="AW363" s="8"/>
      <c r="AX363" s="8"/>
      <c r="AY363" s="8"/>
      <c r="AZ363" s="8"/>
      <c r="BA363" s="8"/>
      <c r="BB363" s="8"/>
      <c r="BC363" s="8"/>
      <c r="BD363" s="8"/>
      <c r="BE363" s="8"/>
    </row>
    <row r="364" spans="1:57">
      <c r="A364" s="8"/>
      <c r="B364" s="8"/>
      <c r="C364" s="8"/>
      <c r="D364" s="8"/>
      <c r="E364" s="8"/>
      <c r="F364" s="54"/>
      <c r="G364" s="8"/>
      <c r="H364" s="8"/>
      <c r="I364" s="8"/>
      <c r="J364" s="8"/>
      <c r="K364" s="8"/>
      <c r="L364" s="8"/>
      <c r="M364" s="8"/>
      <c r="N364" s="8"/>
      <c r="O364" s="8"/>
      <c r="P364" s="8"/>
      <c r="Q364" s="8"/>
      <c r="R364" s="8"/>
      <c r="S364" s="8"/>
      <c r="T364" s="8"/>
      <c r="U364" s="53"/>
      <c r="V364" s="53"/>
      <c r="W364" s="53"/>
      <c r="X364" s="53"/>
      <c r="Y364" s="53"/>
      <c r="Z364" s="53"/>
      <c r="AA364" s="53"/>
      <c r="AB364" s="53"/>
      <c r="AC364" s="53"/>
      <c r="AD364" s="53"/>
      <c r="AE364" s="53"/>
      <c r="AF364" s="53"/>
      <c r="AG364" s="8"/>
      <c r="AH364" s="8"/>
      <c r="AI364" s="8"/>
      <c r="AJ364" s="8"/>
      <c r="AK364" s="8"/>
      <c r="AL364" s="8"/>
      <c r="AM364" s="8"/>
      <c r="AN364" s="8"/>
      <c r="AO364" s="8"/>
      <c r="AP364" s="8"/>
      <c r="AQ364" s="8"/>
      <c r="AR364" s="8"/>
      <c r="AS364" s="8"/>
      <c r="AT364" s="8"/>
      <c r="AU364" s="8"/>
      <c r="AV364" s="8"/>
      <c r="AW364" s="8"/>
      <c r="AX364" s="8"/>
      <c r="AY364" s="8"/>
      <c r="AZ364" s="8"/>
      <c r="BA364" s="8"/>
      <c r="BB364" s="8"/>
      <c r="BC364" s="8"/>
      <c r="BD364" s="8"/>
      <c r="BE364" s="8"/>
    </row>
    <row r="365" spans="1:57">
      <c r="A365" s="8"/>
      <c r="B365" s="8"/>
      <c r="C365" s="8"/>
      <c r="D365" s="8"/>
      <c r="E365" s="8"/>
      <c r="F365" s="54"/>
      <c r="G365" s="8"/>
      <c r="H365" s="8"/>
      <c r="I365" s="8"/>
      <c r="J365" s="8"/>
      <c r="K365" s="8"/>
      <c r="L365" s="8"/>
      <c r="M365" s="8"/>
      <c r="N365" s="8"/>
      <c r="O365" s="8"/>
      <c r="P365" s="8"/>
      <c r="Q365" s="8"/>
      <c r="R365" s="8"/>
      <c r="S365" s="8"/>
      <c r="T365" s="8"/>
      <c r="U365" s="53"/>
      <c r="V365" s="53"/>
      <c r="W365" s="53"/>
      <c r="X365" s="53"/>
      <c r="Y365" s="53"/>
      <c r="Z365" s="53"/>
      <c r="AA365" s="53"/>
      <c r="AB365" s="53"/>
      <c r="AC365" s="53"/>
      <c r="AD365" s="53"/>
      <c r="AE365" s="53"/>
      <c r="AF365" s="53"/>
      <c r="AG365" s="8"/>
      <c r="AH365" s="8"/>
      <c r="AI365" s="8"/>
      <c r="AJ365" s="8"/>
      <c r="AK365" s="8"/>
      <c r="AL365" s="8"/>
      <c r="AM365" s="8"/>
      <c r="AN365" s="8"/>
      <c r="AO365" s="8"/>
      <c r="AP365" s="8"/>
      <c r="AQ365" s="8"/>
      <c r="AR365" s="8"/>
      <c r="AS365" s="8"/>
      <c r="AT365" s="8"/>
      <c r="AU365" s="8"/>
      <c r="AV365" s="8"/>
      <c r="AW365" s="8"/>
      <c r="AX365" s="8"/>
      <c r="AY365" s="8"/>
      <c r="AZ365" s="8"/>
      <c r="BA365" s="8"/>
      <c r="BB365" s="8"/>
      <c r="BC365" s="8"/>
      <c r="BD365" s="8"/>
      <c r="BE365" s="8"/>
    </row>
    <row r="366" spans="1:57">
      <c r="A366" s="8"/>
      <c r="B366" s="8"/>
      <c r="C366" s="8"/>
      <c r="D366" s="8"/>
      <c r="E366" s="8"/>
      <c r="F366" s="54"/>
      <c r="G366" s="8"/>
      <c r="H366" s="8"/>
      <c r="I366" s="8"/>
      <c r="J366" s="8"/>
      <c r="K366" s="8"/>
      <c r="L366" s="8"/>
      <c r="M366" s="8"/>
      <c r="N366" s="8"/>
      <c r="O366" s="8"/>
      <c r="P366" s="8"/>
      <c r="Q366" s="8"/>
      <c r="R366" s="8"/>
      <c r="S366" s="8"/>
      <c r="T366" s="8"/>
      <c r="U366" s="53"/>
      <c r="V366" s="53"/>
      <c r="W366" s="53"/>
      <c r="X366" s="53"/>
      <c r="Y366" s="53"/>
      <c r="Z366" s="53"/>
      <c r="AA366" s="53"/>
      <c r="AB366" s="53"/>
      <c r="AC366" s="53"/>
      <c r="AD366" s="53"/>
      <c r="AE366" s="53"/>
      <c r="AF366" s="53"/>
      <c r="AG366" s="8"/>
      <c r="AH366" s="8"/>
      <c r="AI366" s="8"/>
      <c r="AJ366" s="8"/>
      <c r="AK366" s="8"/>
      <c r="AL366" s="8"/>
      <c r="AM366" s="8"/>
      <c r="AN366" s="8"/>
      <c r="AO366" s="8"/>
      <c r="AP366" s="8"/>
      <c r="AQ366" s="8"/>
      <c r="AR366" s="8"/>
      <c r="AS366" s="8"/>
      <c r="AT366" s="8"/>
      <c r="AU366" s="8"/>
      <c r="AV366" s="8"/>
      <c r="AW366" s="8"/>
      <c r="AX366" s="8"/>
      <c r="AY366" s="8"/>
      <c r="AZ366" s="8"/>
      <c r="BA366" s="8"/>
      <c r="BB366" s="8"/>
      <c r="BC366" s="8"/>
      <c r="BD366" s="8"/>
      <c r="BE366" s="8"/>
    </row>
    <row r="367" spans="1:57">
      <c r="A367" s="8"/>
      <c r="B367" s="8"/>
      <c r="C367" s="8"/>
      <c r="D367" s="8"/>
      <c r="E367" s="8"/>
      <c r="F367" s="54"/>
      <c r="G367" s="8"/>
      <c r="H367" s="8"/>
      <c r="I367" s="8"/>
      <c r="J367" s="8"/>
      <c r="K367" s="8"/>
      <c r="L367" s="8"/>
      <c r="M367" s="8"/>
      <c r="N367" s="8"/>
      <c r="O367" s="8"/>
      <c r="P367" s="8"/>
      <c r="Q367" s="8"/>
      <c r="R367" s="8"/>
      <c r="S367" s="8"/>
      <c r="T367" s="8"/>
      <c r="U367" s="53"/>
      <c r="V367" s="53"/>
      <c r="W367" s="53"/>
      <c r="X367" s="53"/>
      <c r="Y367" s="53"/>
      <c r="Z367" s="53"/>
      <c r="AA367" s="53"/>
      <c r="AB367" s="53"/>
      <c r="AC367" s="53"/>
      <c r="AD367" s="53"/>
      <c r="AE367" s="53"/>
      <c r="AF367" s="53"/>
      <c r="AG367" s="8"/>
      <c r="AH367" s="8"/>
      <c r="AI367" s="8"/>
      <c r="AJ367" s="8"/>
      <c r="AK367" s="8"/>
      <c r="AL367" s="8"/>
      <c r="AM367" s="8"/>
      <c r="AN367" s="8"/>
      <c r="AO367" s="8"/>
      <c r="AP367" s="8"/>
      <c r="AQ367" s="8"/>
      <c r="AR367" s="8"/>
      <c r="AS367" s="8"/>
      <c r="AT367" s="8"/>
      <c r="AU367" s="8"/>
      <c r="AV367" s="8"/>
      <c r="AW367" s="8"/>
      <c r="AX367" s="8"/>
      <c r="AY367" s="8"/>
      <c r="AZ367" s="8"/>
      <c r="BA367" s="8"/>
      <c r="BB367" s="8"/>
      <c r="BC367" s="8"/>
      <c r="BD367" s="8"/>
      <c r="BE367" s="8"/>
    </row>
    <row r="368" spans="1:57">
      <c r="A368" s="8"/>
      <c r="B368" s="8"/>
      <c r="C368" s="8"/>
      <c r="D368" s="8"/>
      <c r="E368" s="8"/>
      <c r="F368" s="54"/>
      <c r="G368" s="8"/>
      <c r="H368" s="8"/>
      <c r="I368" s="8"/>
      <c r="J368" s="8"/>
      <c r="K368" s="8"/>
      <c r="L368" s="8"/>
      <c r="M368" s="8"/>
      <c r="N368" s="8"/>
      <c r="O368" s="8"/>
      <c r="P368" s="8"/>
      <c r="Q368" s="8"/>
      <c r="R368" s="8"/>
      <c r="S368" s="8"/>
      <c r="T368" s="8"/>
      <c r="U368" s="53"/>
      <c r="V368" s="53"/>
      <c r="W368" s="53"/>
      <c r="X368" s="53"/>
      <c r="Y368" s="53"/>
      <c r="Z368" s="53"/>
      <c r="AA368" s="53"/>
      <c r="AB368" s="53"/>
      <c r="AC368" s="53"/>
      <c r="AD368" s="53"/>
      <c r="AE368" s="53"/>
      <c r="AF368" s="53"/>
      <c r="AG368" s="8"/>
      <c r="AH368" s="8"/>
      <c r="AI368" s="8"/>
      <c r="AJ368" s="8"/>
      <c r="AK368" s="8"/>
      <c r="AL368" s="8"/>
      <c r="AM368" s="8"/>
      <c r="AN368" s="8"/>
      <c r="AO368" s="8"/>
      <c r="AP368" s="8"/>
      <c r="AQ368" s="8"/>
      <c r="AR368" s="8"/>
      <c r="AS368" s="8"/>
      <c r="AT368" s="8"/>
      <c r="AU368" s="8"/>
      <c r="AV368" s="8"/>
      <c r="AW368" s="8"/>
      <c r="AX368" s="8"/>
      <c r="AY368" s="8"/>
      <c r="AZ368" s="8"/>
      <c r="BA368" s="8"/>
      <c r="BB368" s="8"/>
      <c r="BC368" s="8"/>
      <c r="BD368" s="8"/>
      <c r="BE368" s="8"/>
    </row>
    <row r="369" spans="1:57">
      <c r="A369" s="8"/>
      <c r="B369" s="8"/>
      <c r="C369" s="8"/>
      <c r="D369" s="8"/>
      <c r="E369" s="8"/>
      <c r="F369" s="54"/>
      <c r="G369" s="8"/>
      <c r="H369" s="8"/>
      <c r="I369" s="8"/>
      <c r="J369" s="8"/>
      <c r="K369" s="8"/>
      <c r="L369" s="8"/>
      <c r="M369" s="8"/>
      <c r="N369" s="8"/>
      <c r="O369" s="8"/>
      <c r="P369" s="8"/>
      <c r="Q369" s="8"/>
      <c r="R369" s="8"/>
      <c r="S369" s="8"/>
      <c r="T369" s="8"/>
      <c r="U369" s="53"/>
      <c r="V369" s="53"/>
      <c r="W369" s="53"/>
      <c r="X369" s="53"/>
      <c r="Y369" s="53"/>
      <c r="Z369" s="53"/>
      <c r="AA369" s="53"/>
      <c r="AB369" s="53"/>
      <c r="AC369" s="53"/>
      <c r="AD369" s="53"/>
      <c r="AE369" s="53"/>
      <c r="AF369" s="53"/>
      <c r="AG369" s="8"/>
      <c r="AH369" s="8"/>
      <c r="AI369" s="8"/>
      <c r="AJ369" s="8"/>
      <c r="AK369" s="8"/>
      <c r="AL369" s="8"/>
      <c r="AM369" s="8"/>
      <c r="AN369" s="8"/>
      <c r="AO369" s="8"/>
      <c r="AP369" s="8"/>
      <c r="AQ369" s="8"/>
      <c r="AR369" s="8"/>
      <c r="AS369" s="8"/>
      <c r="AT369" s="8"/>
      <c r="AU369" s="8"/>
      <c r="AV369" s="8"/>
      <c r="AW369" s="8"/>
      <c r="AX369" s="8"/>
      <c r="AY369" s="8"/>
      <c r="AZ369" s="8"/>
      <c r="BA369" s="8"/>
      <c r="BB369" s="8"/>
      <c r="BC369" s="8"/>
      <c r="BD369" s="8"/>
      <c r="BE369" s="8"/>
    </row>
    <row r="370" spans="1:57">
      <c r="A370" s="8"/>
      <c r="B370" s="8"/>
      <c r="C370" s="8"/>
      <c r="D370" s="8"/>
      <c r="E370" s="8"/>
      <c r="F370" s="54"/>
      <c r="G370" s="8"/>
      <c r="H370" s="8"/>
      <c r="I370" s="8"/>
      <c r="J370" s="8"/>
      <c r="K370" s="8"/>
      <c r="L370" s="8"/>
      <c r="M370" s="8"/>
      <c r="N370" s="8"/>
      <c r="O370" s="8"/>
      <c r="P370" s="8"/>
      <c r="Q370" s="8"/>
      <c r="R370" s="8"/>
      <c r="S370" s="8"/>
      <c r="T370" s="8"/>
      <c r="U370" s="53"/>
      <c r="V370" s="53"/>
      <c r="W370" s="53"/>
      <c r="X370" s="53"/>
      <c r="Y370" s="53"/>
      <c r="Z370" s="53"/>
      <c r="AA370" s="53"/>
      <c r="AB370" s="53"/>
      <c r="AC370" s="53"/>
      <c r="AD370" s="53"/>
      <c r="AE370" s="53"/>
      <c r="AF370" s="53"/>
      <c r="AG370" s="8"/>
      <c r="AH370" s="8"/>
      <c r="AI370" s="8"/>
      <c r="AJ370" s="8"/>
      <c r="AK370" s="8"/>
      <c r="AL370" s="8"/>
      <c r="AM370" s="8"/>
      <c r="AN370" s="8"/>
      <c r="AO370" s="8"/>
      <c r="AP370" s="8"/>
      <c r="AQ370" s="8"/>
      <c r="AR370" s="8"/>
      <c r="AS370" s="8"/>
      <c r="AT370" s="8"/>
      <c r="AU370" s="8"/>
      <c r="AV370" s="8"/>
      <c r="AW370" s="8"/>
      <c r="AX370" s="8"/>
      <c r="AY370" s="8"/>
      <c r="AZ370" s="8"/>
      <c r="BA370" s="8"/>
      <c r="BB370" s="8"/>
      <c r="BC370" s="8"/>
      <c r="BD370" s="8"/>
      <c r="BE370" s="8"/>
    </row>
    <row r="371" spans="1:57">
      <c r="A371" s="8"/>
      <c r="B371" s="8"/>
      <c r="C371" s="8"/>
      <c r="D371" s="8"/>
      <c r="E371" s="8"/>
      <c r="F371" s="54"/>
      <c r="G371" s="8"/>
      <c r="H371" s="8"/>
      <c r="I371" s="8"/>
      <c r="J371" s="8"/>
      <c r="K371" s="8"/>
      <c r="L371" s="8"/>
      <c r="M371" s="8"/>
      <c r="N371" s="8"/>
      <c r="O371" s="8"/>
      <c r="P371" s="8"/>
      <c r="Q371" s="8"/>
      <c r="R371" s="8"/>
      <c r="S371" s="8"/>
      <c r="T371" s="8"/>
      <c r="U371" s="53"/>
      <c r="V371" s="53"/>
      <c r="W371" s="53"/>
      <c r="X371" s="53"/>
      <c r="Y371" s="53"/>
      <c r="Z371" s="53"/>
      <c r="AA371" s="53"/>
      <c r="AB371" s="53"/>
      <c r="AC371" s="53"/>
      <c r="AD371" s="53"/>
      <c r="AE371" s="53"/>
      <c r="AF371" s="53"/>
      <c r="AG371" s="8"/>
      <c r="AH371" s="8"/>
      <c r="AI371" s="8"/>
      <c r="AJ371" s="8"/>
      <c r="AK371" s="8"/>
      <c r="AL371" s="8"/>
      <c r="AM371" s="8"/>
      <c r="AN371" s="8"/>
      <c r="AO371" s="8"/>
      <c r="AP371" s="8"/>
      <c r="AQ371" s="8"/>
      <c r="AR371" s="8"/>
      <c r="AS371" s="8"/>
      <c r="AT371" s="8"/>
      <c r="AU371" s="8"/>
      <c r="AV371" s="8"/>
      <c r="AW371" s="8"/>
      <c r="AX371" s="8"/>
      <c r="AY371" s="8"/>
      <c r="AZ371" s="8"/>
      <c r="BA371" s="8"/>
      <c r="BB371" s="8"/>
      <c r="BC371" s="8"/>
      <c r="BD371" s="8"/>
      <c r="BE371" s="8"/>
    </row>
    <row r="372" spans="1:57">
      <c r="A372" s="8"/>
      <c r="B372" s="8"/>
      <c r="C372" s="8"/>
      <c r="D372" s="8"/>
      <c r="E372" s="8"/>
      <c r="F372" s="54"/>
      <c r="G372" s="8"/>
      <c r="H372" s="8"/>
      <c r="I372" s="8"/>
      <c r="J372" s="8"/>
      <c r="K372" s="8"/>
      <c r="L372" s="8"/>
      <c r="M372" s="8"/>
      <c r="N372" s="8"/>
      <c r="O372" s="8"/>
      <c r="P372" s="8"/>
      <c r="Q372" s="8"/>
      <c r="R372" s="8"/>
      <c r="S372" s="8"/>
      <c r="T372" s="8"/>
      <c r="U372" s="53"/>
      <c r="V372" s="53"/>
      <c r="W372" s="53"/>
      <c r="X372" s="53"/>
      <c r="Y372" s="53"/>
      <c r="Z372" s="53"/>
      <c r="AA372" s="53"/>
      <c r="AB372" s="53"/>
      <c r="AC372" s="53"/>
      <c r="AD372" s="53"/>
      <c r="AE372" s="53"/>
      <c r="AF372" s="53"/>
      <c r="AG372" s="8"/>
      <c r="AH372" s="8"/>
      <c r="AI372" s="8"/>
      <c r="AJ372" s="8"/>
      <c r="AK372" s="8"/>
      <c r="AL372" s="8"/>
      <c r="AM372" s="8"/>
      <c r="AN372" s="8"/>
      <c r="AO372" s="8"/>
      <c r="AP372" s="8"/>
      <c r="AQ372" s="8"/>
      <c r="AR372" s="8"/>
      <c r="AS372" s="8"/>
      <c r="AT372" s="8"/>
      <c r="AU372" s="8"/>
      <c r="AV372" s="8"/>
      <c r="AW372" s="8"/>
      <c r="AX372" s="8"/>
      <c r="AY372" s="8"/>
      <c r="AZ372" s="8"/>
      <c r="BA372" s="8"/>
      <c r="BB372" s="8"/>
      <c r="BC372" s="8"/>
      <c r="BD372" s="8"/>
      <c r="BE372" s="8"/>
    </row>
    <row r="373" spans="1:57">
      <c r="A373" s="8"/>
      <c r="B373" s="8"/>
      <c r="C373" s="8"/>
      <c r="D373" s="8"/>
      <c r="E373" s="8"/>
      <c r="F373" s="54"/>
      <c r="G373" s="8"/>
      <c r="H373" s="8"/>
      <c r="I373" s="8"/>
      <c r="J373" s="8"/>
      <c r="K373" s="8"/>
      <c r="L373" s="8"/>
      <c r="M373" s="8"/>
      <c r="N373" s="8"/>
      <c r="O373" s="8"/>
      <c r="P373" s="8"/>
      <c r="Q373" s="8"/>
      <c r="R373" s="8"/>
      <c r="S373" s="8"/>
      <c r="T373" s="8"/>
      <c r="U373" s="53"/>
      <c r="V373" s="53"/>
      <c r="W373" s="53"/>
      <c r="X373" s="53"/>
      <c r="Y373" s="53"/>
      <c r="Z373" s="53"/>
      <c r="AA373" s="53"/>
      <c r="AB373" s="53"/>
      <c r="AC373" s="53"/>
      <c r="AD373" s="53"/>
      <c r="AE373" s="53"/>
      <c r="AF373" s="53"/>
      <c r="AG373" s="8"/>
      <c r="AH373" s="8"/>
      <c r="AI373" s="8"/>
      <c r="AJ373" s="8"/>
      <c r="AK373" s="8"/>
      <c r="AL373" s="8"/>
      <c r="AM373" s="8"/>
      <c r="AN373" s="8"/>
      <c r="AO373" s="8"/>
      <c r="AP373" s="8"/>
      <c r="AQ373" s="8"/>
      <c r="AR373" s="8"/>
      <c r="AS373" s="8"/>
      <c r="AT373" s="8"/>
      <c r="AU373" s="8"/>
      <c r="AV373" s="8"/>
      <c r="AW373" s="8"/>
      <c r="AX373" s="8"/>
      <c r="AY373" s="8"/>
      <c r="AZ373" s="8"/>
      <c r="BA373" s="8"/>
      <c r="BB373" s="8"/>
      <c r="BC373" s="8"/>
      <c r="BD373" s="8"/>
      <c r="BE373" s="8"/>
    </row>
    <row r="374" spans="1:57">
      <c r="A374" s="8"/>
      <c r="B374" s="8"/>
      <c r="C374" s="8"/>
      <c r="D374" s="8"/>
      <c r="E374" s="8"/>
      <c r="F374" s="54"/>
      <c r="G374" s="8"/>
      <c r="H374" s="8"/>
      <c r="I374" s="8"/>
      <c r="J374" s="8"/>
      <c r="K374" s="8"/>
      <c r="L374" s="8"/>
      <c r="M374" s="8"/>
      <c r="N374" s="8"/>
      <c r="O374" s="8"/>
      <c r="P374" s="8"/>
      <c r="Q374" s="8"/>
      <c r="R374" s="8"/>
      <c r="S374" s="8"/>
      <c r="T374" s="8"/>
      <c r="U374" s="53"/>
      <c r="V374" s="53"/>
      <c r="W374" s="53"/>
      <c r="X374" s="53"/>
      <c r="Y374" s="53"/>
      <c r="Z374" s="53"/>
      <c r="AA374" s="53"/>
      <c r="AB374" s="53"/>
      <c r="AC374" s="53"/>
      <c r="AD374" s="53"/>
      <c r="AE374" s="53"/>
      <c r="AF374" s="53"/>
      <c r="AG374" s="8"/>
      <c r="AH374" s="8"/>
      <c r="AI374" s="8"/>
      <c r="AJ374" s="8"/>
      <c r="AK374" s="8"/>
      <c r="AL374" s="8"/>
      <c r="AM374" s="8"/>
      <c r="AN374" s="8"/>
      <c r="AO374" s="8"/>
      <c r="AP374" s="8"/>
      <c r="AQ374" s="8"/>
      <c r="AR374" s="8"/>
      <c r="AS374" s="8"/>
      <c r="AT374" s="8"/>
      <c r="AU374" s="8"/>
      <c r="AV374" s="8"/>
      <c r="AW374" s="8"/>
      <c r="AX374" s="8"/>
      <c r="AY374" s="8"/>
      <c r="AZ374" s="8"/>
      <c r="BA374" s="8"/>
      <c r="BB374" s="8"/>
      <c r="BC374" s="8"/>
      <c r="BD374" s="8"/>
      <c r="BE374" s="8"/>
    </row>
    <row r="375" spans="1:57">
      <c r="A375" s="8"/>
      <c r="B375" s="8"/>
      <c r="C375" s="8"/>
      <c r="D375" s="8"/>
      <c r="E375" s="8"/>
      <c r="F375" s="54"/>
      <c r="G375" s="8"/>
      <c r="H375" s="8"/>
      <c r="I375" s="8"/>
      <c r="J375" s="8"/>
      <c r="K375" s="8"/>
      <c r="L375" s="8"/>
      <c r="M375" s="8"/>
      <c r="N375" s="8"/>
      <c r="O375" s="8"/>
      <c r="P375" s="8"/>
      <c r="Q375" s="8"/>
      <c r="R375" s="8"/>
      <c r="S375" s="8"/>
      <c r="T375" s="8"/>
      <c r="U375" s="53"/>
      <c r="V375" s="53"/>
      <c r="W375" s="53"/>
      <c r="X375" s="53"/>
      <c r="Y375" s="53"/>
      <c r="Z375" s="53"/>
      <c r="AA375" s="53"/>
      <c r="AB375" s="53"/>
      <c r="AC375" s="53"/>
      <c r="AD375" s="53"/>
      <c r="AE375" s="53"/>
      <c r="AF375" s="53"/>
      <c r="AG375" s="8"/>
      <c r="AH375" s="8"/>
      <c r="AI375" s="8"/>
      <c r="AJ375" s="8"/>
      <c r="AK375" s="8"/>
      <c r="AL375" s="8"/>
      <c r="AM375" s="8"/>
      <c r="AN375" s="8"/>
      <c r="AO375" s="8"/>
      <c r="AP375" s="8"/>
      <c r="AQ375" s="8"/>
      <c r="AR375" s="8"/>
      <c r="AS375" s="8"/>
      <c r="AT375" s="8"/>
      <c r="AU375" s="8"/>
      <c r="AV375" s="8"/>
      <c r="AW375" s="8"/>
      <c r="AX375" s="8"/>
      <c r="AY375" s="8"/>
      <c r="AZ375" s="8"/>
      <c r="BA375" s="8"/>
      <c r="BB375" s="8"/>
      <c r="BC375" s="8"/>
      <c r="BD375" s="8"/>
      <c r="BE375" s="8"/>
    </row>
    <row r="376" spans="1:57">
      <c r="A376" s="8"/>
      <c r="B376" s="8"/>
      <c r="C376" s="8"/>
      <c r="D376" s="8"/>
      <c r="E376" s="8"/>
      <c r="F376" s="54"/>
      <c r="G376" s="8"/>
      <c r="H376" s="8"/>
      <c r="I376" s="8"/>
      <c r="J376" s="8"/>
      <c r="K376" s="8"/>
      <c r="L376" s="8"/>
      <c r="M376" s="8"/>
      <c r="N376" s="8"/>
      <c r="O376" s="8"/>
      <c r="P376" s="8"/>
      <c r="Q376" s="8"/>
      <c r="R376" s="8"/>
      <c r="S376" s="8"/>
      <c r="T376" s="8"/>
      <c r="U376" s="53"/>
      <c r="V376" s="53"/>
      <c r="W376" s="53"/>
      <c r="X376" s="53"/>
      <c r="Y376" s="53"/>
      <c r="Z376" s="53"/>
      <c r="AA376" s="53"/>
      <c r="AB376" s="53"/>
      <c r="AC376" s="53"/>
      <c r="AD376" s="53"/>
      <c r="AE376" s="53"/>
      <c r="AF376" s="53"/>
      <c r="AG376" s="8"/>
      <c r="AH376" s="8"/>
      <c r="AI376" s="8"/>
      <c r="AJ376" s="8"/>
      <c r="AK376" s="8"/>
      <c r="AL376" s="8"/>
      <c r="AM376" s="8"/>
      <c r="AN376" s="8"/>
      <c r="AO376" s="8"/>
      <c r="AP376" s="8"/>
      <c r="AQ376" s="8"/>
      <c r="AR376" s="8"/>
      <c r="AS376" s="8"/>
      <c r="AT376" s="8"/>
      <c r="AU376" s="8"/>
      <c r="AV376" s="8"/>
      <c r="AW376" s="8"/>
      <c r="AX376" s="8"/>
      <c r="AY376" s="8"/>
      <c r="AZ376" s="8"/>
      <c r="BA376" s="8"/>
      <c r="BB376" s="8"/>
      <c r="BC376" s="8"/>
      <c r="BD376" s="8"/>
      <c r="BE376" s="8"/>
    </row>
    <row r="377" spans="1:57">
      <c r="A377" s="8"/>
      <c r="B377" s="8"/>
      <c r="C377" s="8"/>
      <c r="D377" s="8"/>
      <c r="E377" s="8"/>
      <c r="F377" s="54"/>
      <c r="G377" s="8"/>
      <c r="H377" s="8"/>
      <c r="I377" s="8"/>
      <c r="J377" s="8"/>
      <c r="K377" s="8"/>
      <c r="L377" s="8"/>
      <c r="M377" s="8"/>
      <c r="N377" s="8"/>
      <c r="O377" s="8"/>
      <c r="P377" s="8"/>
      <c r="Q377" s="8"/>
      <c r="R377" s="8"/>
      <c r="S377" s="8"/>
      <c r="T377" s="8"/>
      <c r="U377" s="53"/>
      <c r="V377" s="53"/>
      <c r="W377" s="53"/>
      <c r="X377" s="53"/>
      <c r="Y377" s="53"/>
      <c r="Z377" s="53"/>
      <c r="AA377" s="53"/>
      <c r="AB377" s="53"/>
      <c r="AC377" s="53"/>
      <c r="AD377" s="53"/>
      <c r="AE377" s="53"/>
      <c r="AF377" s="53"/>
      <c r="AG377" s="8"/>
      <c r="AH377" s="8"/>
      <c r="AI377" s="8"/>
      <c r="AJ377" s="8"/>
      <c r="AK377" s="8"/>
      <c r="AL377" s="8"/>
      <c r="AM377" s="8"/>
      <c r="AN377" s="8"/>
      <c r="AO377" s="8"/>
      <c r="AP377" s="8"/>
      <c r="AQ377" s="8"/>
      <c r="AR377" s="8"/>
      <c r="AS377" s="8"/>
      <c r="AT377" s="8"/>
      <c r="AU377" s="8"/>
      <c r="AV377" s="8"/>
      <c r="AW377" s="8"/>
      <c r="AX377" s="8"/>
      <c r="AY377" s="8"/>
      <c r="AZ377" s="8"/>
      <c r="BA377" s="8"/>
      <c r="BB377" s="8"/>
      <c r="BC377" s="8"/>
      <c r="BD377" s="8"/>
      <c r="BE377" s="8"/>
    </row>
    <row r="378" spans="1:57">
      <c r="A378" s="8"/>
      <c r="B378" s="8"/>
      <c r="C378" s="8"/>
      <c r="D378" s="8"/>
      <c r="E378" s="8"/>
      <c r="F378" s="54"/>
      <c r="G378" s="8"/>
      <c r="H378" s="8"/>
      <c r="I378" s="8"/>
      <c r="J378" s="8"/>
      <c r="K378" s="8"/>
      <c r="L378" s="8"/>
      <c r="M378" s="8"/>
      <c r="N378" s="8"/>
      <c r="O378" s="8"/>
      <c r="P378" s="8"/>
      <c r="Q378" s="8"/>
      <c r="R378" s="8"/>
      <c r="S378" s="8"/>
      <c r="T378" s="8"/>
      <c r="U378" s="53"/>
      <c r="V378" s="53"/>
      <c r="W378" s="53"/>
      <c r="X378" s="53"/>
      <c r="Y378" s="53"/>
      <c r="Z378" s="53"/>
      <c r="AA378" s="53"/>
      <c r="AB378" s="53"/>
      <c r="AC378" s="53"/>
      <c r="AD378" s="53"/>
      <c r="AE378" s="53"/>
      <c r="AF378" s="53"/>
      <c r="AG378" s="8"/>
      <c r="AH378" s="8"/>
      <c r="AI378" s="8"/>
      <c r="AJ378" s="8"/>
      <c r="AK378" s="8"/>
      <c r="AL378" s="8"/>
      <c r="AM378" s="8"/>
      <c r="AN378" s="8"/>
      <c r="AO378" s="8"/>
      <c r="AP378" s="8"/>
      <c r="AQ378" s="8"/>
      <c r="AR378" s="8"/>
      <c r="AS378" s="8"/>
      <c r="AT378" s="8"/>
      <c r="AU378" s="8"/>
      <c r="AV378" s="8"/>
      <c r="AW378" s="8"/>
      <c r="AX378" s="8"/>
      <c r="AY378" s="8"/>
      <c r="AZ378" s="8"/>
      <c r="BA378" s="8"/>
      <c r="BB378" s="8"/>
      <c r="BC378" s="8"/>
      <c r="BD378" s="8"/>
      <c r="BE378" s="8"/>
    </row>
    <row r="379" spans="1:57">
      <c r="A379" s="8"/>
      <c r="B379" s="8"/>
      <c r="C379" s="8"/>
      <c r="D379" s="8"/>
      <c r="E379" s="8"/>
      <c r="F379" s="54"/>
      <c r="G379" s="8"/>
      <c r="H379" s="8"/>
      <c r="I379" s="8"/>
      <c r="J379" s="8"/>
      <c r="K379" s="8"/>
      <c r="L379" s="8"/>
      <c r="M379" s="8"/>
      <c r="N379" s="8"/>
      <c r="O379" s="8"/>
      <c r="P379" s="8"/>
      <c r="Q379" s="8"/>
      <c r="R379" s="8"/>
      <c r="S379" s="8"/>
      <c r="T379" s="8"/>
      <c r="U379" s="53"/>
      <c r="V379" s="53"/>
      <c r="W379" s="53"/>
      <c r="X379" s="53"/>
      <c r="Y379" s="53"/>
      <c r="Z379" s="53"/>
      <c r="AA379" s="53"/>
      <c r="AB379" s="53"/>
      <c r="AC379" s="53"/>
      <c r="AD379" s="53"/>
      <c r="AE379" s="53"/>
      <c r="AF379" s="53"/>
      <c r="AG379" s="8"/>
      <c r="AH379" s="8"/>
      <c r="AI379" s="8"/>
      <c r="AJ379" s="8"/>
      <c r="AK379" s="8"/>
      <c r="AL379" s="8"/>
      <c r="AM379" s="8"/>
      <c r="AN379" s="8"/>
      <c r="AO379" s="8"/>
      <c r="AP379" s="8"/>
      <c r="AQ379" s="8"/>
      <c r="AR379" s="8"/>
      <c r="AS379" s="8"/>
      <c r="AT379" s="8"/>
      <c r="AU379" s="8"/>
      <c r="AV379" s="8"/>
      <c r="AW379" s="8"/>
      <c r="AX379" s="8"/>
      <c r="AY379" s="8"/>
      <c r="AZ379" s="8"/>
      <c r="BA379" s="8"/>
      <c r="BB379" s="8"/>
      <c r="BC379" s="8"/>
      <c r="BD379" s="8"/>
      <c r="BE379" s="8"/>
    </row>
    <row r="380" spans="1:57">
      <c r="A380" s="8"/>
      <c r="B380" s="8"/>
      <c r="C380" s="8"/>
      <c r="D380" s="8"/>
      <c r="E380" s="8"/>
      <c r="F380" s="54"/>
      <c r="G380" s="8"/>
      <c r="H380" s="8"/>
      <c r="I380" s="8"/>
      <c r="J380" s="8"/>
      <c r="K380" s="8"/>
      <c r="L380" s="8"/>
      <c r="M380" s="8"/>
      <c r="N380" s="8"/>
      <c r="O380" s="8"/>
      <c r="P380" s="8"/>
      <c r="Q380" s="8"/>
      <c r="R380" s="8"/>
      <c r="S380" s="8"/>
      <c r="T380" s="8"/>
      <c r="U380" s="53"/>
      <c r="V380" s="53"/>
      <c r="W380" s="53"/>
      <c r="X380" s="53"/>
      <c r="Y380" s="53"/>
      <c r="Z380" s="53"/>
      <c r="AA380" s="53"/>
      <c r="AB380" s="53"/>
      <c r="AC380" s="53"/>
      <c r="AD380" s="53"/>
      <c r="AE380" s="53"/>
      <c r="AF380" s="53"/>
      <c r="AG380" s="8"/>
      <c r="AH380" s="8"/>
      <c r="AI380" s="8"/>
      <c r="AJ380" s="8"/>
      <c r="AK380" s="8"/>
      <c r="AL380" s="8"/>
      <c r="AM380" s="8"/>
      <c r="AN380" s="8"/>
      <c r="AO380" s="8"/>
      <c r="AP380" s="8"/>
      <c r="AQ380" s="8"/>
      <c r="AR380" s="8"/>
      <c r="AS380" s="8"/>
      <c r="AT380" s="8"/>
      <c r="AU380" s="8"/>
      <c r="AV380" s="8"/>
      <c r="AW380" s="8"/>
      <c r="AX380" s="8"/>
      <c r="AY380" s="8"/>
      <c r="AZ380" s="8"/>
      <c r="BA380" s="8"/>
      <c r="BB380" s="8"/>
      <c r="BC380" s="8"/>
      <c r="BD380" s="8"/>
      <c r="BE380" s="8"/>
    </row>
    <row r="381" spans="1:57">
      <c r="A381" s="8"/>
      <c r="B381" s="8"/>
      <c r="C381" s="8"/>
      <c r="D381" s="8"/>
      <c r="E381" s="8"/>
      <c r="F381" s="54"/>
      <c r="G381" s="8"/>
      <c r="H381" s="8"/>
      <c r="I381" s="8"/>
      <c r="J381" s="8"/>
      <c r="K381" s="8"/>
      <c r="L381" s="8"/>
      <c r="M381" s="8"/>
      <c r="N381" s="8"/>
      <c r="O381" s="8"/>
      <c r="P381" s="8"/>
      <c r="Q381" s="8"/>
      <c r="R381" s="8"/>
      <c r="S381" s="8"/>
      <c r="T381" s="8"/>
      <c r="U381" s="53"/>
      <c r="V381" s="53"/>
      <c r="W381" s="53"/>
      <c r="X381" s="53"/>
      <c r="Y381" s="53"/>
      <c r="Z381" s="53"/>
      <c r="AA381" s="53"/>
      <c r="AB381" s="53"/>
      <c r="AC381" s="53"/>
      <c r="AD381" s="53"/>
      <c r="AE381" s="53"/>
      <c r="AF381" s="53"/>
      <c r="AG381" s="8"/>
      <c r="AH381" s="8"/>
      <c r="AI381" s="8"/>
      <c r="AJ381" s="8"/>
      <c r="AK381" s="8"/>
      <c r="AL381" s="8"/>
      <c r="AM381" s="8"/>
      <c r="AN381" s="8"/>
      <c r="AO381" s="8"/>
      <c r="AP381" s="8"/>
      <c r="AQ381" s="8"/>
      <c r="AR381" s="8"/>
      <c r="AS381" s="8"/>
      <c r="AT381" s="8"/>
      <c r="AU381" s="8"/>
      <c r="AV381" s="8"/>
      <c r="AW381" s="8"/>
      <c r="AX381" s="8"/>
      <c r="AY381" s="8"/>
      <c r="AZ381" s="8"/>
      <c r="BA381" s="8"/>
      <c r="BB381" s="8"/>
      <c r="BC381" s="8"/>
      <c r="BD381" s="8"/>
      <c r="BE381" s="8"/>
    </row>
    <row r="382" spans="1:57">
      <c r="A382" s="8"/>
      <c r="B382" s="8"/>
      <c r="C382" s="8"/>
      <c r="D382" s="8"/>
      <c r="E382" s="8"/>
      <c r="F382" s="54"/>
      <c r="G382" s="8"/>
      <c r="H382" s="8"/>
      <c r="I382" s="8"/>
      <c r="J382" s="8"/>
      <c r="K382" s="8"/>
      <c r="L382" s="8"/>
      <c r="M382" s="8"/>
      <c r="N382" s="8"/>
      <c r="O382" s="8"/>
      <c r="P382" s="8"/>
      <c r="Q382" s="8"/>
      <c r="R382" s="8"/>
      <c r="S382" s="8"/>
      <c r="T382" s="8"/>
      <c r="U382" s="53"/>
      <c r="V382" s="53"/>
      <c r="W382" s="53"/>
      <c r="X382" s="53"/>
      <c r="Y382" s="53"/>
      <c r="Z382" s="53"/>
      <c r="AA382" s="53"/>
      <c r="AB382" s="53"/>
      <c r="AC382" s="53"/>
      <c r="AD382" s="53"/>
      <c r="AE382" s="53"/>
      <c r="AF382" s="53"/>
      <c r="AG382" s="8"/>
      <c r="AH382" s="8"/>
      <c r="AI382" s="8"/>
      <c r="AJ382" s="8"/>
      <c r="AK382" s="8"/>
      <c r="AL382" s="8"/>
      <c r="AM382" s="8"/>
      <c r="AN382" s="8"/>
      <c r="AO382" s="8"/>
      <c r="AP382" s="8"/>
      <c r="AQ382" s="8"/>
      <c r="AR382" s="8"/>
      <c r="AS382" s="8"/>
      <c r="AT382" s="8"/>
      <c r="AU382" s="8"/>
      <c r="AV382" s="8"/>
      <c r="AW382" s="8"/>
      <c r="AX382" s="8"/>
      <c r="AY382" s="8"/>
      <c r="AZ382" s="8"/>
      <c r="BA382" s="8"/>
      <c r="BB382" s="8"/>
      <c r="BC382" s="8"/>
      <c r="BD382" s="8"/>
      <c r="BE382" s="8"/>
    </row>
    <row r="383" spans="1:57">
      <c r="A383" s="8"/>
      <c r="B383" s="8"/>
      <c r="C383" s="8"/>
      <c r="D383" s="8"/>
      <c r="E383" s="8"/>
      <c r="F383" s="54"/>
      <c r="G383" s="8"/>
      <c r="H383" s="8"/>
      <c r="I383" s="8"/>
      <c r="J383" s="8"/>
      <c r="K383" s="8"/>
      <c r="L383" s="8"/>
      <c r="M383" s="8"/>
      <c r="N383" s="8"/>
      <c r="O383" s="8"/>
      <c r="P383" s="8"/>
      <c r="Q383" s="8"/>
      <c r="R383" s="8"/>
      <c r="S383" s="8"/>
      <c r="T383" s="8"/>
      <c r="U383" s="53"/>
      <c r="V383" s="53"/>
      <c r="W383" s="53"/>
      <c r="X383" s="53"/>
      <c r="Y383" s="53"/>
      <c r="Z383" s="53"/>
      <c r="AA383" s="53"/>
      <c r="AB383" s="53"/>
      <c r="AC383" s="53"/>
      <c r="AD383" s="53"/>
      <c r="AE383" s="53"/>
      <c r="AF383" s="53"/>
      <c r="AG383" s="8"/>
      <c r="AH383" s="8"/>
      <c r="AI383" s="8"/>
      <c r="AJ383" s="8"/>
      <c r="AK383" s="8"/>
      <c r="AL383" s="8"/>
      <c r="AM383" s="8"/>
      <c r="AN383" s="8"/>
      <c r="AO383" s="8"/>
      <c r="AP383" s="8"/>
      <c r="AQ383" s="8"/>
      <c r="AR383" s="8"/>
      <c r="AS383" s="8"/>
      <c r="AT383" s="8"/>
      <c r="AU383" s="8"/>
      <c r="AV383" s="8"/>
      <c r="AW383" s="8"/>
      <c r="AX383" s="8"/>
      <c r="AY383" s="8"/>
      <c r="AZ383" s="8"/>
      <c r="BA383" s="8"/>
      <c r="BB383" s="8"/>
      <c r="BC383" s="8"/>
      <c r="BD383" s="8"/>
      <c r="BE383" s="8"/>
    </row>
    <row r="384" spans="1:57">
      <c r="A384" s="8"/>
      <c r="B384" s="8"/>
      <c r="C384" s="8"/>
      <c r="D384" s="8"/>
      <c r="E384" s="8"/>
      <c r="F384" s="54"/>
      <c r="G384" s="8"/>
      <c r="H384" s="8"/>
      <c r="I384" s="8"/>
      <c r="J384" s="8"/>
      <c r="K384" s="8"/>
      <c r="L384" s="8"/>
      <c r="M384" s="8"/>
      <c r="N384" s="8"/>
      <c r="O384" s="8"/>
      <c r="P384" s="8"/>
      <c r="Q384" s="8"/>
      <c r="R384" s="8"/>
      <c r="S384" s="8"/>
      <c r="T384" s="8"/>
      <c r="U384" s="53"/>
      <c r="V384" s="53"/>
      <c r="W384" s="53"/>
      <c r="X384" s="53"/>
      <c r="Y384" s="53"/>
      <c r="Z384" s="53"/>
      <c r="AA384" s="53"/>
      <c r="AB384" s="53"/>
      <c r="AC384" s="53"/>
      <c r="AD384" s="53"/>
      <c r="AE384" s="53"/>
      <c r="AF384" s="53"/>
      <c r="AG384" s="8"/>
      <c r="AH384" s="8"/>
      <c r="AI384" s="8"/>
      <c r="AJ384" s="8"/>
      <c r="AK384" s="8"/>
      <c r="AL384" s="8"/>
      <c r="AM384" s="8"/>
      <c r="AN384" s="8"/>
      <c r="AO384" s="8"/>
      <c r="AP384" s="8"/>
      <c r="AQ384" s="8"/>
      <c r="AR384" s="8"/>
      <c r="AS384" s="8"/>
      <c r="AT384" s="8"/>
      <c r="AU384" s="8"/>
      <c r="AV384" s="8"/>
      <c r="AW384" s="8"/>
      <c r="AX384" s="8"/>
      <c r="AY384" s="8"/>
      <c r="AZ384" s="8"/>
      <c r="BA384" s="8"/>
      <c r="BB384" s="8"/>
      <c r="BC384" s="8"/>
      <c r="BD384" s="8"/>
      <c r="BE384" s="8"/>
    </row>
    <row r="385" spans="1:57">
      <c r="A385" s="8"/>
      <c r="B385" s="8"/>
      <c r="C385" s="8"/>
      <c r="D385" s="8"/>
      <c r="E385" s="8"/>
      <c r="F385" s="54"/>
      <c r="G385" s="8"/>
      <c r="H385" s="8"/>
      <c r="I385" s="8"/>
      <c r="J385" s="8"/>
      <c r="K385" s="8"/>
      <c r="L385" s="8"/>
      <c r="M385" s="8"/>
      <c r="N385" s="8"/>
      <c r="O385" s="8"/>
      <c r="P385" s="8"/>
      <c r="Q385" s="8"/>
      <c r="R385" s="8"/>
      <c r="S385" s="8"/>
      <c r="T385" s="8"/>
      <c r="U385" s="53"/>
      <c r="V385" s="53"/>
      <c r="W385" s="53"/>
      <c r="X385" s="53"/>
      <c r="Y385" s="53"/>
      <c r="Z385" s="53"/>
      <c r="AA385" s="53"/>
      <c r="AB385" s="53"/>
      <c r="AC385" s="53"/>
      <c r="AD385" s="53"/>
      <c r="AE385" s="53"/>
      <c r="AF385" s="53"/>
      <c r="AG385" s="8"/>
      <c r="AH385" s="8"/>
      <c r="AI385" s="8"/>
      <c r="AJ385" s="8"/>
      <c r="AK385" s="8"/>
      <c r="AL385" s="8"/>
      <c r="AM385" s="8"/>
      <c r="AN385" s="8"/>
      <c r="AO385" s="8"/>
      <c r="AP385" s="8"/>
      <c r="AQ385" s="8"/>
      <c r="AR385" s="8"/>
      <c r="AS385" s="8"/>
      <c r="AT385" s="8"/>
      <c r="AU385" s="8"/>
      <c r="AV385" s="8"/>
      <c r="AW385" s="8"/>
      <c r="AX385" s="8"/>
      <c r="AY385" s="8"/>
      <c r="AZ385" s="8"/>
      <c r="BA385" s="8"/>
      <c r="BB385" s="8"/>
      <c r="BC385" s="8"/>
      <c r="BD385" s="8"/>
      <c r="BE385" s="8"/>
    </row>
    <row r="386" spans="1:57">
      <c r="A386" s="8"/>
      <c r="B386" s="8"/>
      <c r="C386" s="8"/>
      <c r="D386" s="8"/>
      <c r="E386" s="8"/>
      <c r="F386" s="54"/>
      <c r="G386" s="8"/>
      <c r="H386" s="8"/>
      <c r="I386" s="8"/>
      <c r="J386" s="8"/>
      <c r="K386" s="8"/>
      <c r="L386" s="8"/>
      <c r="M386" s="8"/>
      <c r="N386" s="8"/>
      <c r="O386" s="8"/>
      <c r="P386" s="8"/>
      <c r="Q386" s="8"/>
      <c r="R386" s="8"/>
      <c r="S386" s="8"/>
      <c r="T386" s="8"/>
      <c r="U386" s="53"/>
      <c r="V386" s="53"/>
      <c r="W386" s="53"/>
      <c r="X386" s="53"/>
      <c r="Y386" s="53"/>
      <c r="Z386" s="53"/>
      <c r="AA386" s="53"/>
      <c r="AB386" s="53"/>
      <c r="AC386" s="53"/>
      <c r="AD386" s="53"/>
      <c r="AE386" s="53"/>
      <c r="AF386" s="53"/>
      <c r="AG386" s="8"/>
      <c r="AH386" s="8"/>
      <c r="AI386" s="8"/>
      <c r="AJ386" s="8"/>
      <c r="AK386" s="8"/>
      <c r="AL386" s="8"/>
      <c r="AM386" s="8"/>
      <c r="AN386" s="8"/>
      <c r="AO386" s="8"/>
      <c r="AP386" s="8"/>
      <c r="AQ386" s="8"/>
      <c r="AR386" s="8"/>
      <c r="AS386" s="8"/>
      <c r="AT386" s="8"/>
      <c r="AU386" s="8"/>
      <c r="AV386" s="8"/>
      <c r="AW386" s="8"/>
      <c r="AX386" s="8"/>
      <c r="AY386" s="8"/>
      <c r="AZ386" s="8"/>
      <c r="BA386" s="8"/>
      <c r="BB386" s="8"/>
      <c r="BC386" s="8"/>
      <c r="BD386" s="8"/>
      <c r="BE386" s="8"/>
    </row>
    <row r="387" spans="1:57">
      <c r="A387" s="8"/>
      <c r="B387" s="8"/>
      <c r="C387" s="8"/>
      <c r="D387" s="8"/>
      <c r="E387" s="8"/>
      <c r="F387" s="54"/>
      <c r="G387" s="8"/>
      <c r="H387" s="8"/>
      <c r="I387" s="8"/>
      <c r="J387" s="8"/>
      <c r="K387" s="8"/>
      <c r="L387" s="8"/>
      <c r="M387" s="8"/>
      <c r="N387" s="8"/>
      <c r="O387" s="8"/>
      <c r="P387" s="8"/>
      <c r="Q387" s="8"/>
      <c r="R387" s="8"/>
      <c r="S387" s="8"/>
      <c r="T387" s="8"/>
      <c r="U387" s="53"/>
      <c r="V387" s="53"/>
      <c r="W387" s="53"/>
      <c r="X387" s="53"/>
      <c r="Y387" s="53"/>
      <c r="Z387" s="53"/>
      <c r="AA387" s="53"/>
      <c r="AB387" s="53"/>
      <c r="AC387" s="53"/>
      <c r="AD387" s="53"/>
      <c r="AE387" s="53"/>
      <c r="AF387" s="53"/>
      <c r="AG387" s="8"/>
      <c r="AH387" s="8"/>
      <c r="AI387" s="8"/>
      <c r="AJ387" s="8"/>
      <c r="AK387" s="8"/>
      <c r="AL387" s="8"/>
      <c r="AM387" s="8"/>
      <c r="AN387" s="8"/>
      <c r="AO387" s="8"/>
      <c r="AP387" s="8"/>
      <c r="AQ387" s="8"/>
      <c r="AR387" s="8"/>
      <c r="AS387" s="8"/>
      <c r="AT387" s="8"/>
      <c r="AU387" s="8"/>
      <c r="AV387" s="8"/>
      <c r="AW387" s="8"/>
      <c r="AX387" s="8"/>
      <c r="AY387" s="8"/>
      <c r="AZ387" s="8"/>
      <c r="BA387" s="8"/>
      <c r="BB387" s="8"/>
      <c r="BC387" s="8"/>
      <c r="BD387" s="8"/>
      <c r="BE387" s="8"/>
    </row>
    <row r="388" spans="1:57">
      <c r="A388" s="8"/>
      <c r="B388" s="8"/>
      <c r="C388" s="8"/>
      <c r="D388" s="8"/>
      <c r="E388" s="8"/>
      <c r="F388" s="54"/>
      <c r="G388" s="8"/>
      <c r="H388" s="8"/>
      <c r="I388" s="8"/>
      <c r="J388" s="8"/>
      <c r="K388" s="8"/>
      <c r="L388" s="8"/>
      <c r="M388" s="8"/>
      <c r="N388" s="8"/>
      <c r="O388" s="8"/>
      <c r="P388" s="8"/>
      <c r="Q388" s="8"/>
      <c r="R388" s="8"/>
      <c r="S388" s="8"/>
      <c r="T388" s="8"/>
      <c r="U388" s="53"/>
      <c r="V388" s="53"/>
      <c r="W388" s="53"/>
      <c r="X388" s="53"/>
      <c r="Y388" s="53"/>
      <c r="Z388" s="53"/>
      <c r="AA388" s="53"/>
      <c r="AB388" s="53"/>
      <c r="AC388" s="53"/>
      <c r="AD388" s="53"/>
      <c r="AE388" s="53"/>
      <c r="AF388" s="53"/>
      <c r="AG388" s="8"/>
      <c r="AH388" s="8"/>
      <c r="AI388" s="8"/>
      <c r="AJ388" s="8"/>
      <c r="AK388" s="8"/>
      <c r="AL388" s="8"/>
      <c r="AM388" s="8"/>
      <c r="AN388" s="8"/>
      <c r="AO388" s="8"/>
      <c r="AP388" s="8"/>
      <c r="AQ388" s="8"/>
      <c r="AR388" s="8"/>
      <c r="AS388" s="8"/>
      <c r="AT388" s="8"/>
      <c r="AU388" s="8"/>
      <c r="AV388" s="8"/>
      <c r="AW388" s="8"/>
      <c r="AX388" s="8"/>
      <c r="AY388" s="8"/>
      <c r="AZ388" s="8"/>
      <c r="BA388" s="8"/>
      <c r="BB388" s="8"/>
      <c r="BC388" s="8"/>
      <c r="BD388" s="8"/>
      <c r="BE388" s="8"/>
    </row>
    <row r="389" spans="1:57">
      <c r="A389" s="8"/>
      <c r="B389" s="8"/>
      <c r="C389" s="8"/>
      <c r="D389" s="8"/>
      <c r="E389" s="8"/>
      <c r="F389" s="54"/>
      <c r="G389" s="8"/>
      <c r="H389" s="8"/>
      <c r="I389" s="8"/>
      <c r="J389" s="8"/>
      <c r="K389" s="8"/>
      <c r="L389" s="8"/>
      <c r="M389" s="8"/>
      <c r="N389" s="8"/>
      <c r="O389" s="8"/>
      <c r="P389" s="8"/>
      <c r="Q389" s="8"/>
      <c r="R389" s="8"/>
      <c r="S389" s="8"/>
      <c r="T389" s="8"/>
      <c r="U389" s="53"/>
      <c r="V389" s="53"/>
      <c r="W389" s="53"/>
      <c r="X389" s="53"/>
      <c r="Y389" s="53"/>
      <c r="Z389" s="53"/>
      <c r="AA389" s="53"/>
      <c r="AB389" s="53"/>
      <c r="AC389" s="53"/>
      <c r="AD389" s="53"/>
      <c r="AE389" s="53"/>
      <c r="AF389" s="53"/>
      <c r="AG389" s="8"/>
      <c r="AH389" s="8"/>
      <c r="AI389" s="8"/>
      <c r="AJ389" s="8"/>
      <c r="AK389" s="8"/>
      <c r="AL389" s="8"/>
      <c r="AM389" s="8"/>
      <c r="AN389" s="8"/>
      <c r="AO389" s="8"/>
      <c r="AP389" s="8"/>
      <c r="AQ389" s="8"/>
      <c r="AR389" s="8"/>
      <c r="AS389" s="8"/>
      <c r="AT389" s="8"/>
      <c r="AU389" s="8"/>
      <c r="AV389" s="8"/>
      <c r="AW389" s="8"/>
      <c r="AX389" s="8"/>
      <c r="AY389" s="8"/>
      <c r="AZ389" s="8"/>
      <c r="BA389" s="8"/>
      <c r="BB389" s="8"/>
      <c r="BC389" s="8"/>
      <c r="BD389" s="8"/>
      <c r="BE389" s="8"/>
    </row>
    <row r="390" spans="1:57">
      <c r="A390" s="8"/>
      <c r="B390" s="8"/>
      <c r="C390" s="8"/>
      <c r="D390" s="8"/>
      <c r="E390" s="8"/>
      <c r="F390" s="54"/>
      <c r="G390" s="8"/>
      <c r="H390" s="8"/>
      <c r="I390" s="8"/>
      <c r="J390" s="8"/>
      <c r="K390" s="8"/>
      <c r="L390" s="8"/>
      <c r="M390" s="8"/>
      <c r="N390" s="8"/>
      <c r="O390" s="8"/>
      <c r="P390" s="8"/>
      <c r="Q390" s="8"/>
      <c r="R390" s="8"/>
      <c r="S390" s="8"/>
      <c r="T390" s="8"/>
      <c r="U390" s="53"/>
      <c r="V390" s="53"/>
      <c r="W390" s="53"/>
      <c r="X390" s="53"/>
      <c r="Y390" s="53"/>
      <c r="Z390" s="53"/>
      <c r="AA390" s="53"/>
      <c r="AB390" s="53"/>
      <c r="AC390" s="53"/>
      <c r="AD390" s="53"/>
      <c r="AE390" s="53"/>
      <c r="AF390" s="53"/>
      <c r="AG390" s="8"/>
      <c r="AH390" s="8"/>
      <c r="AI390" s="8"/>
      <c r="AJ390" s="8"/>
      <c r="AK390" s="8"/>
      <c r="AL390" s="8"/>
      <c r="AM390" s="8"/>
      <c r="AN390" s="8"/>
      <c r="AO390" s="8"/>
      <c r="AP390" s="8"/>
      <c r="AQ390" s="8"/>
      <c r="AR390" s="8"/>
      <c r="AS390" s="8"/>
      <c r="AT390" s="8"/>
      <c r="AU390" s="8"/>
      <c r="AV390" s="8"/>
      <c r="AW390" s="8"/>
      <c r="AX390" s="8"/>
      <c r="AY390" s="8"/>
      <c r="AZ390" s="8"/>
      <c r="BA390" s="8"/>
      <c r="BB390" s="8"/>
      <c r="BC390" s="8"/>
      <c r="BD390" s="8"/>
      <c r="BE390" s="8"/>
    </row>
    <row r="391" spans="1:57">
      <c r="A391" s="8"/>
      <c r="B391" s="8"/>
      <c r="C391" s="8"/>
      <c r="D391" s="8"/>
      <c r="E391" s="8"/>
      <c r="F391" s="54"/>
      <c r="G391" s="8"/>
      <c r="H391" s="8"/>
      <c r="I391" s="8"/>
      <c r="J391" s="8"/>
      <c r="K391" s="8"/>
      <c r="L391" s="8"/>
      <c r="M391" s="8"/>
      <c r="N391" s="8"/>
      <c r="O391" s="8"/>
      <c r="P391" s="8"/>
      <c r="Q391" s="8"/>
      <c r="R391" s="8"/>
      <c r="S391" s="8"/>
      <c r="T391" s="8"/>
      <c r="U391" s="53"/>
      <c r="V391" s="53"/>
      <c r="W391" s="53"/>
      <c r="X391" s="53"/>
      <c r="Y391" s="53"/>
      <c r="Z391" s="53"/>
      <c r="AA391" s="53"/>
      <c r="AB391" s="53"/>
      <c r="AC391" s="53"/>
      <c r="AD391" s="53"/>
      <c r="AE391" s="53"/>
      <c r="AF391" s="53"/>
      <c r="AG391" s="8"/>
      <c r="AH391" s="8"/>
      <c r="AI391" s="8"/>
      <c r="AJ391" s="8"/>
      <c r="AK391" s="8"/>
      <c r="AL391" s="8"/>
      <c r="AM391" s="8"/>
      <c r="AN391" s="8"/>
      <c r="AO391" s="8"/>
      <c r="AP391" s="8"/>
      <c r="AQ391" s="8"/>
      <c r="AR391" s="8"/>
      <c r="AS391" s="8"/>
      <c r="AT391" s="8"/>
      <c r="AU391" s="8"/>
      <c r="AV391" s="8"/>
      <c r="AW391" s="8"/>
      <c r="AX391" s="8"/>
      <c r="AY391" s="8"/>
      <c r="AZ391" s="8"/>
      <c r="BA391" s="8"/>
      <c r="BB391" s="8"/>
      <c r="BC391" s="8"/>
      <c r="BD391" s="8"/>
      <c r="BE391" s="8"/>
    </row>
    <row r="392" spans="1:57">
      <c r="A392" s="8"/>
      <c r="B392" s="8"/>
      <c r="C392" s="8"/>
      <c r="D392" s="8"/>
      <c r="E392" s="8"/>
      <c r="F392" s="54"/>
      <c r="G392" s="8"/>
      <c r="H392" s="8"/>
      <c r="I392" s="8"/>
      <c r="J392" s="8"/>
      <c r="K392" s="8"/>
      <c r="L392" s="8"/>
      <c r="M392" s="8"/>
      <c r="N392" s="8"/>
      <c r="O392" s="8"/>
      <c r="P392" s="8"/>
      <c r="Q392" s="8"/>
      <c r="R392" s="8"/>
      <c r="S392" s="8"/>
      <c r="T392" s="8"/>
      <c r="U392" s="53"/>
      <c r="V392" s="53"/>
      <c r="W392" s="53"/>
      <c r="X392" s="53"/>
      <c r="Y392" s="53"/>
      <c r="Z392" s="53"/>
      <c r="AA392" s="53"/>
      <c r="AB392" s="53"/>
      <c r="AC392" s="53"/>
      <c r="AD392" s="53"/>
      <c r="AE392" s="53"/>
      <c r="AF392" s="53"/>
      <c r="AG392" s="8"/>
      <c r="AH392" s="8"/>
      <c r="AI392" s="8"/>
      <c r="AJ392" s="8"/>
      <c r="AK392" s="8"/>
      <c r="AL392" s="8"/>
      <c r="AM392" s="8"/>
      <c r="AN392" s="8"/>
      <c r="AO392" s="8"/>
      <c r="AP392" s="8"/>
      <c r="AQ392" s="8"/>
      <c r="AR392" s="8"/>
      <c r="AS392" s="8"/>
      <c r="AT392" s="8"/>
      <c r="AU392" s="8"/>
      <c r="AV392" s="8"/>
      <c r="AW392" s="8"/>
      <c r="AX392" s="8"/>
      <c r="AY392" s="8"/>
      <c r="AZ392" s="8"/>
      <c r="BA392" s="8"/>
      <c r="BB392" s="8"/>
      <c r="BC392" s="8"/>
      <c r="BD392" s="8"/>
      <c r="BE392" s="8"/>
    </row>
    <row r="393" spans="1:57">
      <c r="A393" s="8"/>
      <c r="B393" s="8"/>
      <c r="C393" s="8"/>
      <c r="D393" s="8"/>
      <c r="E393" s="8"/>
      <c r="F393" s="54"/>
      <c r="G393" s="8"/>
      <c r="H393" s="8"/>
      <c r="I393" s="8"/>
      <c r="J393" s="8"/>
      <c r="K393" s="8"/>
      <c r="L393" s="8"/>
      <c r="M393" s="8"/>
      <c r="N393" s="8"/>
      <c r="O393" s="8"/>
      <c r="P393" s="8"/>
      <c r="Q393" s="8"/>
      <c r="R393" s="8"/>
      <c r="S393" s="8"/>
      <c r="T393" s="8"/>
      <c r="U393" s="53"/>
      <c r="V393" s="53"/>
      <c r="W393" s="53"/>
      <c r="X393" s="53"/>
      <c r="Y393" s="53"/>
      <c r="Z393" s="53"/>
      <c r="AA393" s="53"/>
      <c r="AB393" s="53"/>
      <c r="AC393" s="53"/>
      <c r="AD393" s="53"/>
      <c r="AE393" s="53"/>
      <c r="AF393" s="53"/>
      <c r="AG393" s="8"/>
      <c r="AH393" s="8"/>
      <c r="AI393" s="8"/>
      <c r="AJ393" s="8"/>
      <c r="AK393" s="8"/>
      <c r="AL393" s="8"/>
      <c r="AM393" s="8"/>
      <c r="AN393" s="8"/>
      <c r="AO393" s="8"/>
      <c r="AP393" s="8"/>
      <c r="AQ393" s="8"/>
      <c r="AR393" s="8"/>
      <c r="AS393" s="8"/>
      <c r="AT393" s="8"/>
      <c r="AU393" s="8"/>
      <c r="AV393" s="8"/>
      <c r="AW393" s="8"/>
      <c r="AX393" s="8"/>
      <c r="AY393" s="8"/>
      <c r="AZ393" s="8"/>
      <c r="BA393" s="8"/>
      <c r="BB393" s="8"/>
      <c r="BC393" s="8"/>
      <c r="BD393" s="8"/>
      <c r="BE393" s="8"/>
    </row>
    <row r="394" spans="1:57">
      <c r="A394" s="8"/>
      <c r="B394" s="8"/>
      <c r="C394" s="8"/>
      <c r="D394" s="8"/>
      <c r="E394" s="8"/>
      <c r="F394" s="54"/>
      <c r="G394" s="8"/>
      <c r="H394" s="8"/>
      <c r="I394" s="8"/>
      <c r="J394" s="8"/>
      <c r="K394" s="8"/>
      <c r="L394" s="8"/>
      <c r="M394" s="8"/>
      <c r="N394" s="8"/>
      <c r="O394" s="8"/>
      <c r="P394" s="8"/>
      <c r="Q394" s="8"/>
      <c r="R394" s="8"/>
      <c r="S394" s="8"/>
      <c r="T394" s="8"/>
      <c r="U394" s="53"/>
      <c r="V394" s="53"/>
      <c r="W394" s="53"/>
      <c r="X394" s="53"/>
      <c r="Y394" s="53"/>
      <c r="Z394" s="53"/>
      <c r="AA394" s="53"/>
      <c r="AB394" s="53"/>
      <c r="AC394" s="53"/>
      <c r="AD394" s="53"/>
      <c r="AE394" s="53"/>
      <c r="AF394" s="53"/>
      <c r="AG394" s="8"/>
      <c r="AH394" s="8"/>
      <c r="AI394" s="8"/>
      <c r="AJ394" s="8"/>
      <c r="AK394" s="8"/>
      <c r="AL394" s="8"/>
      <c r="AM394" s="8"/>
      <c r="AN394" s="8"/>
      <c r="AO394" s="8"/>
      <c r="AP394" s="8"/>
      <c r="AQ394" s="8"/>
      <c r="AR394" s="8"/>
      <c r="AS394" s="8"/>
      <c r="AT394" s="8"/>
      <c r="AU394" s="8"/>
      <c r="AV394" s="8"/>
      <c r="AW394" s="8"/>
      <c r="AX394" s="8"/>
      <c r="AY394" s="8"/>
      <c r="AZ394" s="8"/>
      <c r="BA394" s="8"/>
      <c r="BB394" s="8"/>
      <c r="BC394" s="8"/>
      <c r="BD394" s="8"/>
      <c r="BE394" s="8"/>
    </row>
    <row r="395" spans="1:57">
      <c r="A395" s="8"/>
      <c r="B395" s="8"/>
      <c r="C395" s="8"/>
      <c r="D395" s="8"/>
      <c r="E395" s="8"/>
      <c r="F395" s="54"/>
      <c r="G395" s="8"/>
      <c r="H395" s="8"/>
      <c r="I395" s="8"/>
      <c r="J395" s="8"/>
      <c r="K395" s="8"/>
      <c r="L395" s="8"/>
      <c r="M395" s="8"/>
      <c r="N395" s="8"/>
      <c r="O395" s="8"/>
      <c r="P395" s="8"/>
      <c r="Q395" s="8"/>
      <c r="R395" s="8"/>
      <c r="S395" s="8"/>
      <c r="T395" s="8"/>
      <c r="U395" s="53"/>
      <c r="V395" s="53"/>
      <c r="W395" s="53"/>
      <c r="X395" s="53"/>
      <c r="Y395" s="53"/>
      <c r="Z395" s="53"/>
      <c r="AA395" s="53"/>
      <c r="AB395" s="53"/>
      <c r="AC395" s="53"/>
      <c r="AD395" s="53"/>
      <c r="AE395" s="53"/>
      <c r="AF395" s="53"/>
      <c r="AG395" s="8"/>
      <c r="AH395" s="8"/>
      <c r="AI395" s="8"/>
      <c r="AJ395" s="8"/>
      <c r="AK395" s="8"/>
      <c r="AL395" s="8"/>
      <c r="AM395" s="8"/>
      <c r="AN395" s="8"/>
      <c r="AO395" s="8"/>
      <c r="AP395" s="8"/>
      <c r="AQ395" s="8"/>
      <c r="AR395" s="8"/>
      <c r="AS395" s="8"/>
      <c r="AT395" s="8"/>
      <c r="AU395" s="8"/>
      <c r="AV395" s="8"/>
      <c r="AW395" s="8"/>
      <c r="AX395" s="8"/>
      <c r="AY395" s="8"/>
      <c r="AZ395" s="8"/>
      <c r="BA395" s="8"/>
      <c r="BB395" s="8"/>
      <c r="BC395" s="8"/>
      <c r="BD395" s="8"/>
      <c r="BE395" s="8"/>
    </row>
    <row r="396" spans="1:57">
      <c r="A396" s="8"/>
      <c r="B396" s="8"/>
      <c r="C396" s="8"/>
      <c r="D396" s="8"/>
      <c r="E396" s="8"/>
      <c r="F396" s="54"/>
      <c r="G396" s="8"/>
      <c r="H396" s="8"/>
      <c r="I396" s="8"/>
      <c r="J396" s="8"/>
      <c r="K396" s="8"/>
      <c r="L396" s="8"/>
      <c r="M396" s="8"/>
      <c r="N396" s="8"/>
      <c r="O396" s="8"/>
      <c r="P396" s="8"/>
      <c r="Q396" s="8"/>
      <c r="R396" s="8"/>
      <c r="S396" s="8"/>
      <c r="T396" s="8"/>
      <c r="U396" s="53"/>
      <c r="V396" s="53"/>
      <c r="W396" s="53"/>
      <c r="X396" s="53"/>
      <c r="Y396" s="53"/>
      <c r="Z396" s="53"/>
      <c r="AA396" s="53"/>
      <c r="AB396" s="53"/>
      <c r="AC396" s="53"/>
      <c r="AD396" s="53"/>
      <c r="AE396" s="53"/>
      <c r="AF396" s="53"/>
      <c r="AG396" s="8"/>
      <c r="AH396" s="8"/>
      <c r="AI396" s="8"/>
      <c r="AJ396" s="8"/>
      <c r="AK396" s="8"/>
      <c r="AL396" s="8"/>
      <c r="AM396" s="8"/>
      <c r="AN396" s="8"/>
      <c r="AO396" s="8"/>
      <c r="AP396" s="8"/>
      <c r="AQ396" s="8"/>
      <c r="AR396" s="8"/>
      <c r="AS396" s="8"/>
      <c r="AT396" s="8"/>
      <c r="AU396" s="8"/>
      <c r="AV396" s="8"/>
      <c r="AW396" s="8"/>
      <c r="AX396" s="8"/>
      <c r="AY396" s="8"/>
      <c r="AZ396" s="8"/>
      <c r="BA396" s="8"/>
      <c r="BB396" s="8"/>
      <c r="BC396" s="8"/>
      <c r="BD396" s="8"/>
      <c r="BE396" s="8"/>
    </row>
    <row r="397" spans="1:57">
      <c r="A397" s="8"/>
      <c r="B397" s="8"/>
      <c r="C397" s="8"/>
      <c r="D397" s="8"/>
      <c r="E397" s="8"/>
      <c r="F397" s="54"/>
      <c r="G397" s="8"/>
      <c r="H397" s="8"/>
      <c r="I397" s="8"/>
      <c r="J397" s="8"/>
      <c r="K397" s="8"/>
      <c r="L397" s="8"/>
      <c r="M397" s="8"/>
      <c r="N397" s="8"/>
      <c r="O397" s="8"/>
      <c r="P397" s="8"/>
      <c r="Q397" s="8"/>
      <c r="R397" s="8"/>
      <c r="S397" s="8"/>
      <c r="T397" s="8"/>
      <c r="U397" s="53"/>
      <c r="V397" s="53"/>
      <c r="W397" s="53"/>
      <c r="X397" s="53"/>
      <c r="Y397" s="53"/>
      <c r="Z397" s="53"/>
      <c r="AA397" s="53"/>
      <c r="AB397" s="53"/>
      <c r="AC397" s="53"/>
      <c r="AD397" s="53"/>
      <c r="AE397" s="53"/>
      <c r="AF397" s="53"/>
      <c r="AG397" s="8"/>
      <c r="AH397" s="8"/>
      <c r="AI397" s="8"/>
      <c r="AJ397" s="8"/>
      <c r="AK397" s="8"/>
      <c r="AL397" s="8"/>
      <c r="AM397" s="8"/>
      <c r="AN397" s="8"/>
      <c r="AO397" s="8"/>
      <c r="AP397" s="8"/>
      <c r="AQ397" s="8"/>
      <c r="AR397" s="8"/>
      <c r="AS397" s="8"/>
      <c r="AT397" s="8"/>
      <c r="AU397" s="8"/>
      <c r="AV397" s="8"/>
      <c r="AW397" s="8"/>
      <c r="AX397" s="8"/>
      <c r="AY397" s="8"/>
      <c r="AZ397" s="8"/>
      <c r="BA397" s="8"/>
      <c r="BB397" s="8"/>
      <c r="BC397" s="8"/>
      <c r="BD397" s="8"/>
      <c r="BE397" s="8"/>
    </row>
    <row r="398" spans="1:57">
      <c r="A398" s="8"/>
      <c r="B398" s="8"/>
      <c r="C398" s="8"/>
      <c r="D398" s="8"/>
      <c r="E398" s="8"/>
      <c r="F398" s="54"/>
      <c r="G398" s="8"/>
      <c r="H398" s="8"/>
      <c r="I398" s="8"/>
      <c r="J398" s="8"/>
      <c r="K398" s="8"/>
      <c r="L398" s="8"/>
      <c r="M398" s="8"/>
      <c r="N398" s="8"/>
      <c r="O398" s="8"/>
      <c r="P398" s="8"/>
      <c r="Q398" s="8"/>
      <c r="R398" s="8"/>
      <c r="S398" s="8"/>
      <c r="T398" s="8"/>
      <c r="U398" s="53"/>
      <c r="V398" s="53"/>
      <c r="W398" s="53"/>
      <c r="X398" s="53"/>
      <c r="Y398" s="53"/>
      <c r="Z398" s="53"/>
      <c r="AA398" s="53"/>
      <c r="AB398" s="53"/>
      <c r="AC398" s="53"/>
      <c r="AD398" s="53"/>
      <c r="AE398" s="53"/>
      <c r="AF398" s="53"/>
      <c r="AG398" s="8"/>
      <c r="AH398" s="8"/>
      <c r="AI398" s="8"/>
      <c r="AJ398" s="8"/>
      <c r="AK398" s="8"/>
      <c r="AL398" s="8"/>
      <c r="AM398" s="8"/>
      <c r="AN398" s="8"/>
      <c r="AO398" s="8"/>
      <c r="AP398" s="8"/>
      <c r="AQ398" s="8"/>
      <c r="AR398" s="8"/>
      <c r="AS398" s="8"/>
      <c r="AT398" s="8"/>
      <c r="AU398" s="8"/>
      <c r="AV398" s="8"/>
      <c r="AW398" s="8"/>
      <c r="AX398" s="8"/>
      <c r="AY398" s="8"/>
      <c r="AZ398" s="8"/>
      <c r="BA398" s="8"/>
      <c r="BB398" s="8"/>
      <c r="BC398" s="8"/>
      <c r="BD398" s="8"/>
      <c r="BE398" s="8"/>
    </row>
    <row r="399" spans="1:57">
      <c r="A399" s="8"/>
      <c r="B399" s="8"/>
      <c r="C399" s="8"/>
      <c r="D399" s="8"/>
      <c r="E399" s="8"/>
      <c r="F399" s="54"/>
      <c r="G399" s="8"/>
      <c r="H399" s="8"/>
      <c r="I399" s="8"/>
      <c r="J399" s="8"/>
      <c r="K399" s="8"/>
      <c r="L399" s="8"/>
      <c r="M399" s="8"/>
      <c r="N399" s="8"/>
      <c r="O399" s="8"/>
      <c r="P399" s="8"/>
      <c r="Q399" s="8"/>
      <c r="R399" s="8"/>
      <c r="S399" s="8"/>
      <c r="T399" s="8"/>
      <c r="U399" s="53"/>
      <c r="V399" s="53"/>
      <c r="W399" s="53"/>
      <c r="X399" s="53"/>
      <c r="Y399" s="53"/>
      <c r="Z399" s="53"/>
      <c r="AA399" s="53"/>
      <c r="AB399" s="53"/>
      <c r="AC399" s="53"/>
      <c r="AD399" s="53"/>
      <c r="AE399" s="53"/>
      <c r="AF399" s="53"/>
      <c r="AG399" s="8"/>
      <c r="AH399" s="8"/>
      <c r="AI399" s="8"/>
      <c r="AJ399" s="8"/>
      <c r="AK399" s="8"/>
      <c r="AL399" s="8"/>
      <c r="AM399" s="8"/>
      <c r="AN399" s="8"/>
      <c r="AO399" s="8"/>
      <c r="AP399" s="8"/>
      <c r="AQ399" s="8"/>
      <c r="AR399" s="8"/>
      <c r="AS399" s="8"/>
      <c r="AT399" s="8"/>
      <c r="AU399" s="8"/>
      <c r="AV399" s="8"/>
      <c r="AW399" s="8"/>
      <c r="AX399" s="8"/>
      <c r="AY399" s="8"/>
      <c r="AZ399" s="8"/>
      <c r="BA399" s="8"/>
      <c r="BB399" s="8"/>
      <c r="BC399" s="8"/>
      <c r="BD399" s="8"/>
      <c r="BE399" s="8"/>
    </row>
    <row r="400" spans="1:57">
      <c r="A400" s="8"/>
      <c r="B400" s="8"/>
      <c r="C400" s="8"/>
      <c r="D400" s="8"/>
      <c r="E400" s="8"/>
      <c r="F400" s="54"/>
      <c r="G400" s="8"/>
      <c r="H400" s="8"/>
      <c r="I400" s="8"/>
      <c r="J400" s="8"/>
      <c r="K400" s="8"/>
      <c r="L400" s="8"/>
      <c r="M400" s="8"/>
      <c r="N400" s="8"/>
      <c r="O400" s="8"/>
      <c r="P400" s="8"/>
      <c r="Q400" s="8"/>
      <c r="R400" s="8"/>
      <c r="S400" s="8"/>
      <c r="T400" s="8"/>
      <c r="U400" s="53"/>
      <c r="V400" s="53"/>
      <c r="W400" s="53"/>
      <c r="X400" s="53"/>
      <c r="Y400" s="53"/>
      <c r="Z400" s="53"/>
      <c r="AA400" s="53"/>
      <c r="AB400" s="53"/>
      <c r="AC400" s="53"/>
      <c r="AD400" s="53"/>
      <c r="AE400" s="53"/>
      <c r="AF400" s="53"/>
      <c r="AG400" s="8"/>
      <c r="AH400" s="8"/>
      <c r="AI400" s="8"/>
      <c r="AJ400" s="8"/>
      <c r="AK400" s="8"/>
      <c r="AL400" s="8"/>
      <c r="AM400" s="8"/>
      <c r="AN400" s="8"/>
      <c r="AO400" s="8"/>
      <c r="AP400" s="8"/>
      <c r="AQ400" s="8"/>
      <c r="AR400" s="8"/>
      <c r="AS400" s="8"/>
      <c r="AT400" s="8"/>
      <c r="AU400" s="8"/>
      <c r="AV400" s="8"/>
      <c r="AW400" s="8"/>
      <c r="AX400" s="8"/>
      <c r="AY400" s="8"/>
      <c r="AZ400" s="8"/>
      <c r="BA400" s="8"/>
      <c r="BB400" s="8"/>
      <c r="BC400" s="8"/>
      <c r="BD400" s="8"/>
      <c r="BE400" s="8"/>
    </row>
    <row r="401" spans="1:57">
      <c r="A401" s="8"/>
      <c r="B401" s="8"/>
      <c r="C401" s="8"/>
      <c r="D401" s="8"/>
      <c r="E401" s="8"/>
      <c r="F401" s="54"/>
      <c r="G401" s="8"/>
      <c r="H401" s="8"/>
      <c r="I401" s="8"/>
      <c r="J401" s="8"/>
      <c r="K401" s="8"/>
      <c r="L401" s="8"/>
      <c r="M401" s="8"/>
      <c r="N401" s="8"/>
      <c r="O401" s="8"/>
      <c r="P401" s="8"/>
      <c r="Q401" s="8"/>
      <c r="R401" s="8"/>
      <c r="S401" s="8"/>
      <c r="T401" s="8"/>
      <c r="U401" s="53"/>
      <c r="V401" s="53"/>
      <c r="W401" s="53"/>
      <c r="X401" s="53"/>
      <c r="Y401" s="53"/>
      <c r="Z401" s="53"/>
      <c r="AA401" s="53"/>
      <c r="AB401" s="53"/>
      <c r="AC401" s="53"/>
      <c r="AD401" s="53"/>
      <c r="AE401" s="53"/>
      <c r="AF401" s="53"/>
      <c r="AG401" s="8"/>
      <c r="AH401" s="8"/>
      <c r="AI401" s="8"/>
      <c r="AJ401" s="8"/>
      <c r="AK401" s="8"/>
      <c r="AL401" s="8"/>
      <c r="AM401" s="8"/>
      <c r="AN401" s="8"/>
      <c r="AO401" s="8"/>
      <c r="AP401" s="8"/>
      <c r="AQ401" s="8"/>
      <c r="AR401" s="8"/>
      <c r="AS401" s="8"/>
      <c r="AT401" s="8"/>
      <c r="AU401" s="8"/>
      <c r="AV401" s="8"/>
      <c r="AW401" s="8"/>
      <c r="AX401" s="8"/>
      <c r="AY401" s="8"/>
      <c r="AZ401" s="8"/>
      <c r="BA401" s="8"/>
      <c r="BB401" s="8"/>
      <c r="BC401" s="8"/>
      <c r="BD401" s="8"/>
      <c r="BE401" s="8"/>
    </row>
    <row r="402" spans="1:57">
      <c r="A402" s="8"/>
      <c r="B402" s="8"/>
      <c r="C402" s="8"/>
      <c r="D402" s="8"/>
      <c r="E402" s="8"/>
      <c r="F402" s="54"/>
      <c r="G402" s="8"/>
      <c r="H402" s="8"/>
      <c r="I402" s="8"/>
      <c r="J402" s="8"/>
      <c r="K402" s="8"/>
      <c r="L402" s="8"/>
      <c r="M402" s="8"/>
      <c r="N402" s="8"/>
      <c r="O402" s="8"/>
      <c r="P402" s="8"/>
      <c r="Q402" s="8"/>
      <c r="R402" s="8"/>
      <c r="S402" s="8"/>
      <c r="T402" s="8"/>
      <c r="U402" s="53"/>
      <c r="V402" s="53"/>
      <c r="W402" s="53"/>
      <c r="X402" s="53"/>
      <c r="Y402" s="53"/>
      <c r="Z402" s="53"/>
      <c r="AA402" s="53"/>
      <c r="AB402" s="53"/>
      <c r="AC402" s="53"/>
      <c r="AD402" s="53"/>
      <c r="AE402" s="53"/>
      <c r="AF402" s="53"/>
      <c r="AG402" s="8"/>
      <c r="AH402" s="8"/>
      <c r="AI402" s="8"/>
      <c r="AJ402" s="8"/>
      <c r="AK402" s="8"/>
      <c r="AL402" s="8"/>
      <c r="AM402" s="8"/>
      <c r="AN402" s="8"/>
      <c r="AO402" s="8"/>
      <c r="AP402" s="8"/>
      <c r="AQ402" s="8"/>
      <c r="AR402" s="8"/>
      <c r="AS402" s="8"/>
      <c r="AT402" s="8"/>
      <c r="AU402" s="8"/>
      <c r="AV402" s="8"/>
      <c r="AW402" s="8"/>
      <c r="AX402" s="8"/>
      <c r="AY402" s="8"/>
      <c r="AZ402" s="8"/>
      <c r="BA402" s="8"/>
      <c r="BB402" s="8"/>
      <c r="BC402" s="8"/>
      <c r="BD402" s="8"/>
      <c r="BE402" s="8"/>
    </row>
    <row r="403" spans="1:57">
      <c r="A403" s="8"/>
      <c r="B403" s="8"/>
      <c r="C403" s="8"/>
      <c r="D403" s="8"/>
      <c r="E403" s="8"/>
      <c r="F403" s="54"/>
      <c r="G403" s="8"/>
      <c r="H403" s="8"/>
      <c r="I403" s="8"/>
      <c r="J403" s="8"/>
      <c r="K403" s="8"/>
      <c r="L403" s="8"/>
      <c r="M403" s="8"/>
      <c r="N403" s="8"/>
      <c r="O403" s="8"/>
      <c r="P403" s="8"/>
      <c r="Q403" s="8"/>
      <c r="R403" s="8"/>
      <c r="S403" s="8"/>
      <c r="T403" s="8"/>
      <c r="U403" s="53"/>
      <c r="V403" s="53"/>
      <c r="W403" s="53"/>
      <c r="X403" s="53"/>
      <c r="Y403" s="53"/>
      <c r="Z403" s="53"/>
      <c r="AA403" s="53"/>
      <c r="AB403" s="53"/>
      <c r="AC403" s="53"/>
      <c r="AD403" s="53"/>
      <c r="AE403" s="53"/>
      <c r="AF403" s="53"/>
      <c r="AG403" s="8"/>
      <c r="AH403" s="8"/>
      <c r="AI403" s="8"/>
      <c r="AJ403" s="8"/>
      <c r="AK403" s="8"/>
      <c r="AL403" s="8"/>
      <c r="AM403" s="8"/>
      <c r="AN403" s="8"/>
      <c r="AO403" s="8"/>
      <c r="AP403" s="8"/>
      <c r="AQ403" s="8"/>
      <c r="AR403" s="8"/>
      <c r="AS403" s="8"/>
      <c r="AT403" s="8"/>
      <c r="AU403" s="8"/>
      <c r="AV403" s="8"/>
      <c r="AW403" s="8"/>
      <c r="AX403" s="8"/>
      <c r="AY403" s="8"/>
      <c r="AZ403" s="8"/>
      <c r="BA403" s="8"/>
      <c r="BB403" s="8"/>
      <c r="BC403" s="8"/>
      <c r="BD403" s="8"/>
      <c r="BE403" s="8"/>
    </row>
    <row r="404" spans="1:57">
      <c r="A404" s="8"/>
      <c r="B404" s="8"/>
      <c r="C404" s="8"/>
      <c r="D404" s="8"/>
      <c r="E404" s="8"/>
      <c r="F404" s="54"/>
      <c r="G404" s="8"/>
      <c r="H404" s="8"/>
      <c r="I404" s="8"/>
      <c r="J404" s="8"/>
      <c r="K404" s="8"/>
      <c r="L404" s="8"/>
      <c r="M404" s="8"/>
      <c r="N404" s="8"/>
      <c r="O404" s="8"/>
      <c r="P404" s="8"/>
      <c r="Q404" s="8"/>
      <c r="R404" s="8"/>
      <c r="S404" s="8"/>
      <c r="T404" s="8"/>
      <c r="U404" s="53"/>
      <c r="V404" s="53"/>
      <c r="W404" s="53"/>
      <c r="X404" s="53"/>
      <c r="Y404" s="53"/>
      <c r="Z404" s="53"/>
      <c r="AA404" s="53"/>
      <c r="AB404" s="53"/>
      <c r="AC404" s="53"/>
      <c r="AD404" s="53"/>
      <c r="AE404" s="53"/>
      <c r="AF404" s="53"/>
      <c r="AG404" s="8"/>
      <c r="AH404" s="8"/>
      <c r="AI404" s="8"/>
      <c r="AJ404" s="8"/>
      <c r="AK404" s="8"/>
      <c r="AL404" s="8"/>
      <c r="AM404" s="8"/>
      <c r="AN404" s="8"/>
      <c r="AO404" s="8"/>
      <c r="AP404" s="8"/>
      <c r="AQ404" s="8"/>
      <c r="AR404" s="8"/>
      <c r="AS404" s="8"/>
      <c r="AT404" s="8"/>
      <c r="AU404" s="8"/>
      <c r="AV404" s="8"/>
      <c r="AW404" s="8"/>
      <c r="AX404" s="8"/>
      <c r="AY404" s="8"/>
      <c r="AZ404" s="8"/>
      <c r="BA404" s="8"/>
      <c r="BB404" s="8"/>
      <c r="BC404" s="8"/>
      <c r="BD404" s="8"/>
      <c r="BE404" s="8"/>
    </row>
    <row r="405" spans="1:57">
      <c r="A405" s="8"/>
      <c r="B405" s="8"/>
      <c r="C405" s="8"/>
      <c r="D405" s="8"/>
      <c r="E405" s="8"/>
      <c r="F405" s="54"/>
      <c r="G405" s="8"/>
      <c r="H405" s="8"/>
      <c r="I405" s="8"/>
      <c r="J405" s="8"/>
      <c r="K405" s="8"/>
      <c r="L405" s="8"/>
      <c r="M405" s="8"/>
      <c r="N405" s="8"/>
      <c r="O405" s="8"/>
      <c r="P405" s="8"/>
      <c r="Q405" s="8"/>
      <c r="R405" s="8"/>
      <c r="S405" s="8"/>
      <c r="T405" s="8"/>
      <c r="U405" s="53"/>
      <c r="V405" s="53"/>
      <c r="W405" s="53"/>
      <c r="X405" s="53"/>
      <c r="Y405" s="53"/>
      <c r="Z405" s="53"/>
      <c r="AA405" s="53"/>
      <c r="AB405" s="53"/>
      <c r="AC405" s="53"/>
      <c r="AD405" s="53"/>
      <c r="AE405" s="53"/>
      <c r="AF405" s="53"/>
      <c r="AG405" s="8"/>
      <c r="AH405" s="8"/>
      <c r="AI405" s="8"/>
      <c r="AJ405" s="8"/>
      <c r="AK405" s="8"/>
      <c r="AL405" s="8"/>
      <c r="AM405" s="8"/>
      <c r="AN405" s="8"/>
      <c r="AO405" s="8"/>
      <c r="AP405" s="8"/>
      <c r="AQ405" s="8"/>
      <c r="AR405" s="8"/>
      <c r="AS405" s="8"/>
      <c r="AT405" s="8"/>
      <c r="AU405" s="8"/>
      <c r="AV405" s="8"/>
      <c r="AW405" s="8"/>
      <c r="AX405" s="8"/>
      <c r="AY405" s="8"/>
      <c r="AZ405" s="8"/>
      <c r="BA405" s="8"/>
      <c r="BB405" s="8"/>
      <c r="BC405" s="8"/>
      <c r="BD405" s="8"/>
      <c r="BE405" s="8"/>
    </row>
    <row r="406" spans="1:57">
      <c r="A406" s="8"/>
      <c r="B406" s="8"/>
      <c r="C406" s="8"/>
      <c r="D406" s="8"/>
      <c r="E406" s="8"/>
      <c r="F406" s="54"/>
      <c r="G406" s="8"/>
      <c r="H406" s="8"/>
      <c r="I406" s="8"/>
      <c r="J406" s="8"/>
      <c r="K406" s="8"/>
      <c r="L406" s="8"/>
      <c r="M406" s="8"/>
      <c r="N406" s="8"/>
      <c r="O406" s="8"/>
      <c r="P406" s="8"/>
      <c r="Q406" s="8"/>
      <c r="R406" s="8"/>
      <c r="S406" s="8"/>
      <c r="T406" s="8"/>
      <c r="U406" s="53"/>
      <c r="V406" s="53"/>
      <c r="W406" s="53"/>
      <c r="X406" s="53"/>
      <c r="Y406" s="53"/>
      <c r="Z406" s="53"/>
      <c r="AA406" s="53"/>
      <c r="AB406" s="53"/>
      <c r="AC406" s="53"/>
      <c r="AD406" s="53"/>
      <c r="AE406" s="53"/>
      <c r="AF406" s="53"/>
      <c r="AG406" s="8"/>
      <c r="AH406" s="8"/>
      <c r="AI406" s="8"/>
      <c r="AJ406" s="8"/>
      <c r="AK406" s="8"/>
      <c r="AL406" s="8"/>
      <c r="AM406" s="8"/>
      <c r="AN406" s="8"/>
      <c r="AO406" s="8"/>
      <c r="AP406" s="8"/>
      <c r="AQ406" s="8"/>
      <c r="AR406" s="8"/>
      <c r="AS406" s="8"/>
      <c r="AT406" s="8"/>
      <c r="AU406" s="8"/>
      <c r="AV406" s="8"/>
      <c r="AW406" s="8"/>
      <c r="AX406" s="8"/>
      <c r="AY406" s="8"/>
      <c r="AZ406" s="8"/>
      <c r="BA406" s="8"/>
      <c r="BB406" s="8"/>
      <c r="BC406" s="8"/>
      <c r="BD406" s="8"/>
      <c r="BE406" s="8"/>
    </row>
    <row r="407" spans="1:57">
      <c r="A407" s="8"/>
      <c r="B407" s="8"/>
      <c r="C407" s="8"/>
      <c r="D407" s="8"/>
      <c r="E407" s="8"/>
      <c r="F407" s="54"/>
      <c r="G407" s="8"/>
      <c r="H407" s="8"/>
      <c r="I407" s="8"/>
      <c r="J407" s="8"/>
      <c r="K407" s="8"/>
      <c r="L407" s="8"/>
      <c r="M407" s="8"/>
      <c r="N407" s="8"/>
      <c r="O407" s="8"/>
      <c r="P407" s="8"/>
      <c r="Q407" s="8"/>
      <c r="R407" s="8"/>
      <c r="S407" s="8"/>
      <c r="T407" s="8"/>
      <c r="U407" s="53"/>
      <c r="V407" s="53"/>
      <c r="W407" s="53"/>
      <c r="X407" s="53"/>
      <c r="Y407" s="53"/>
      <c r="Z407" s="53"/>
      <c r="AA407" s="53"/>
      <c r="AB407" s="53"/>
      <c r="AC407" s="53"/>
      <c r="AD407" s="53"/>
      <c r="AE407" s="53"/>
      <c r="AF407" s="53"/>
      <c r="AG407" s="8"/>
      <c r="AH407" s="8"/>
      <c r="AI407" s="8"/>
      <c r="AJ407" s="8"/>
      <c r="AK407" s="8"/>
      <c r="AL407" s="8"/>
      <c r="AM407" s="8"/>
      <c r="AN407" s="8"/>
      <c r="AO407" s="8"/>
      <c r="AP407" s="8"/>
      <c r="AQ407" s="8"/>
      <c r="AR407" s="8"/>
      <c r="AS407" s="8"/>
      <c r="AT407" s="8"/>
      <c r="AU407" s="8"/>
      <c r="AV407" s="8"/>
      <c r="AW407" s="8"/>
      <c r="AX407" s="8"/>
      <c r="AY407" s="8"/>
      <c r="AZ407" s="8"/>
      <c r="BA407" s="8"/>
      <c r="BB407" s="8"/>
      <c r="BC407" s="8"/>
      <c r="BD407" s="8"/>
      <c r="BE407" s="8"/>
    </row>
    <row r="408" spans="1:57">
      <c r="A408" s="8"/>
      <c r="B408" s="8"/>
      <c r="C408" s="8"/>
      <c r="D408" s="8"/>
      <c r="E408" s="8"/>
      <c r="F408" s="54"/>
      <c r="G408" s="8"/>
      <c r="H408" s="8"/>
      <c r="I408" s="8"/>
      <c r="J408" s="8"/>
      <c r="K408" s="8"/>
      <c r="L408" s="8"/>
      <c r="M408" s="8"/>
      <c r="N408" s="8"/>
      <c r="O408" s="8"/>
      <c r="P408" s="8"/>
      <c r="Q408" s="8"/>
      <c r="R408" s="8"/>
      <c r="S408" s="8"/>
      <c r="T408" s="8"/>
      <c r="U408" s="53"/>
      <c r="V408" s="53"/>
      <c r="W408" s="53"/>
      <c r="X408" s="53"/>
      <c r="Y408" s="53"/>
      <c r="Z408" s="53"/>
      <c r="AA408" s="53"/>
      <c r="AB408" s="53"/>
      <c r="AC408" s="53"/>
      <c r="AD408" s="53"/>
      <c r="AE408" s="53"/>
      <c r="AF408" s="53"/>
      <c r="AG408" s="8"/>
      <c r="AH408" s="8"/>
      <c r="AI408" s="8"/>
      <c r="AJ408" s="8"/>
      <c r="AK408" s="8"/>
      <c r="AL408" s="8"/>
      <c r="AM408" s="8"/>
      <c r="AN408" s="8"/>
      <c r="AO408" s="8"/>
      <c r="AP408" s="8"/>
      <c r="AQ408" s="8"/>
      <c r="AR408" s="8"/>
      <c r="AS408" s="8"/>
      <c r="AT408" s="8"/>
      <c r="AU408" s="8"/>
      <c r="AV408" s="8"/>
      <c r="AW408" s="8"/>
      <c r="AX408" s="8"/>
      <c r="AY408" s="8"/>
      <c r="AZ408" s="8"/>
      <c r="BA408" s="8"/>
      <c r="BB408" s="8"/>
      <c r="BC408" s="8"/>
      <c r="BD408" s="8"/>
      <c r="BE408" s="8"/>
    </row>
    <row r="409" spans="1:57">
      <c r="A409" s="8"/>
      <c r="B409" s="8"/>
      <c r="C409" s="8"/>
      <c r="D409" s="8"/>
      <c r="E409" s="8"/>
      <c r="F409" s="54"/>
      <c r="G409" s="8"/>
      <c r="H409" s="8"/>
      <c r="I409" s="8"/>
      <c r="J409" s="8"/>
      <c r="K409" s="8"/>
      <c r="L409" s="8"/>
      <c r="M409" s="8"/>
      <c r="N409" s="8"/>
      <c r="O409" s="8"/>
      <c r="P409" s="8"/>
      <c r="Q409" s="8"/>
      <c r="R409" s="8"/>
      <c r="S409" s="8"/>
      <c r="T409" s="8"/>
      <c r="U409" s="53"/>
      <c r="V409" s="53"/>
      <c r="W409" s="53"/>
      <c r="X409" s="53"/>
      <c r="Y409" s="53"/>
      <c r="Z409" s="53"/>
      <c r="AA409" s="53"/>
      <c r="AB409" s="53"/>
      <c r="AC409" s="53"/>
      <c r="AD409" s="53"/>
      <c r="AE409" s="53"/>
      <c r="AF409" s="53"/>
      <c r="AG409" s="8"/>
      <c r="AH409" s="8"/>
      <c r="AI409" s="8"/>
      <c r="AJ409" s="8"/>
      <c r="AK409" s="8"/>
      <c r="AL409" s="8"/>
      <c r="AM409" s="8"/>
      <c r="AN409" s="8"/>
      <c r="AO409" s="8"/>
      <c r="AP409" s="8"/>
      <c r="AQ409" s="8"/>
      <c r="AR409" s="8"/>
      <c r="AS409" s="8"/>
      <c r="AT409" s="8"/>
      <c r="AU409" s="8"/>
      <c r="AV409" s="8"/>
      <c r="AW409" s="8"/>
      <c r="AX409" s="8"/>
      <c r="AY409" s="8"/>
      <c r="AZ409" s="8"/>
      <c r="BA409" s="8"/>
      <c r="BB409" s="8"/>
      <c r="BC409" s="8"/>
      <c r="BD409" s="8"/>
      <c r="BE409" s="8"/>
    </row>
    <row r="410" spans="1:57">
      <c r="A410" s="8"/>
      <c r="B410" s="8"/>
      <c r="C410" s="8"/>
      <c r="D410" s="8"/>
      <c r="E410" s="8"/>
      <c r="F410" s="54"/>
      <c r="G410" s="8"/>
      <c r="H410" s="8"/>
      <c r="I410" s="8"/>
      <c r="J410" s="8"/>
      <c r="K410" s="8"/>
      <c r="L410" s="8"/>
      <c r="M410" s="8"/>
      <c r="N410" s="8"/>
      <c r="O410" s="8"/>
      <c r="P410" s="8"/>
      <c r="Q410" s="8"/>
      <c r="R410" s="8"/>
      <c r="S410" s="8"/>
      <c r="T410" s="8"/>
      <c r="U410" s="53"/>
      <c r="V410" s="53"/>
      <c r="W410" s="53"/>
      <c r="X410" s="53"/>
      <c r="Y410" s="53"/>
      <c r="Z410" s="53"/>
      <c r="AA410" s="53"/>
      <c r="AB410" s="53"/>
      <c r="AC410" s="53"/>
      <c r="AD410" s="53"/>
      <c r="AE410" s="53"/>
      <c r="AF410" s="53"/>
      <c r="AG410" s="8"/>
      <c r="AH410" s="8"/>
      <c r="AI410" s="8"/>
      <c r="AJ410" s="8"/>
      <c r="AK410" s="8"/>
      <c r="AL410" s="8"/>
      <c r="AM410" s="8"/>
      <c r="AN410" s="8"/>
      <c r="AO410" s="8"/>
      <c r="AP410" s="8"/>
      <c r="AQ410" s="8"/>
      <c r="AR410" s="8"/>
      <c r="AS410" s="8"/>
      <c r="AT410" s="8"/>
      <c r="AU410" s="8"/>
      <c r="AV410" s="8"/>
      <c r="AW410" s="8"/>
      <c r="AX410" s="8"/>
      <c r="AY410" s="8"/>
      <c r="AZ410" s="8"/>
      <c r="BA410" s="8"/>
      <c r="BB410" s="8"/>
      <c r="BC410" s="8"/>
      <c r="BD410" s="8"/>
      <c r="BE410" s="8"/>
    </row>
    <row r="411" spans="1:57">
      <c r="A411" s="8"/>
      <c r="B411" s="8"/>
      <c r="C411" s="8"/>
      <c r="D411" s="8"/>
      <c r="E411" s="8"/>
      <c r="F411" s="54"/>
      <c r="G411" s="8"/>
      <c r="H411" s="8"/>
      <c r="I411" s="8"/>
      <c r="J411" s="8"/>
      <c r="K411" s="8"/>
      <c r="L411" s="8"/>
      <c r="M411" s="8"/>
      <c r="N411" s="8"/>
      <c r="O411" s="8"/>
      <c r="P411" s="8"/>
      <c r="Q411" s="8"/>
      <c r="R411" s="8"/>
      <c r="S411" s="8"/>
      <c r="T411" s="8"/>
      <c r="U411" s="53"/>
      <c r="V411" s="53"/>
      <c r="W411" s="53"/>
      <c r="X411" s="53"/>
      <c r="Y411" s="53"/>
      <c r="Z411" s="53"/>
      <c r="AA411" s="53"/>
      <c r="AB411" s="53"/>
      <c r="AC411" s="53"/>
      <c r="AD411" s="53"/>
      <c r="AE411" s="53"/>
      <c r="AF411" s="53"/>
      <c r="AG411" s="8"/>
      <c r="AH411" s="8"/>
      <c r="AI411" s="8"/>
      <c r="AJ411" s="8"/>
      <c r="AK411" s="8"/>
      <c r="AL411" s="8"/>
      <c r="AM411" s="8"/>
      <c r="AN411" s="8"/>
      <c r="AO411" s="8"/>
      <c r="AP411" s="8"/>
      <c r="AQ411" s="8"/>
      <c r="AR411" s="8"/>
      <c r="AS411" s="8"/>
      <c r="AT411" s="8"/>
      <c r="AU411" s="8"/>
      <c r="AV411" s="8"/>
      <c r="AW411" s="8"/>
      <c r="AX411" s="8"/>
      <c r="AY411" s="8"/>
      <c r="AZ411" s="8"/>
      <c r="BA411" s="8"/>
      <c r="BB411" s="8"/>
      <c r="BC411" s="8"/>
      <c r="BD411" s="8"/>
      <c r="BE411" s="8"/>
    </row>
    <row r="412" spans="1:57">
      <c r="A412" s="8"/>
      <c r="B412" s="8"/>
      <c r="C412" s="8"/>
      <c r="D412" s="8"/>
      <c r="E412" s="8"/>
      <c r="F412" s="54"/>
      <c r="G412" s="8"/>
      <c r="H412" s="8"/>
      <c r="I412" s="8"/>
      <c r="J412" s="8"/>
      <c r="K412" s="8"/>
      <c r="L412" s="8"/>
      <c r="M412" s="8"/>
      <c r="N412" s="8"/>
      <c r="O412" s="8"/>
      <c r="P412" s="8"/>
      <c r="Q412" s="8"/>
      <c r="R412" s="8"/>
      <c r="S412" s="8"/>
      <c r="T412" s="8"/>
      <c r="U412" s="53"/>
      <c r="V412" s="53"/>
      <c r="W412" s="53"/>
      <c r="X412" s="53"/>
      <c r="Y412" s="53"/>
      <c r="Z412" s="53"/>
      <c r="AA412" s="53"/>
      <c r="AB412" s="53"/>
      <c r="AC412" s="53"/>
      <c r="AD412" s="53"/>
      <c r="AE412" s="53"/>
      <c r="AF412" s="53"/>
      <c r="AG412" s="8"/>
      <c r="AH412" s="8"/>
      <c r="AI412" s="8"/>
      <c r="AJ412" s="8"/>
      <c r="AK412" s="8"/>
      <c r="AL412" s="8"/>
      <c r="AM412" s="8"/>
      <c r="AN412" s="8"/>
      <c r="AO412" s="8"/>
      <c r="AP412" s="8"/>
      <c r="AQ412" s="8"/>
      <c r="AR412" s="8"/>
      <c r="AS412" s="8"/>
      <c r="AT412" s="8"/>
      <c r="AU412" s="8"/>
      <c r="AV412" s="8"/>
      <c r="AW412" s="8"/>
      <c r="AX412" s="8"/>
      <c r="AY412" s="8"/>
      <c r="AZ412" s="8"/>
      <c r="BA412" s="8"/>
      <c r="BB412" s="8"/>
      <c r="BC412" s="8"/>
      <c r="BD412" s="8"/>
      <c r="BE412" s="8"/>
    </row>
    <row r="413" spans="1:57">
      <c r="A413" s="8"/>
      <c r="B413" s="8"/>
      <c r="C413" s="8"/>
      <c r="D413" s="8"/>
      <c r="E413" s="8"/>
      <c r="F413" s="54"/>
      <c r="G413" s="8"/>
      <c r="H413" s="8"/>
      <c r="I413" s="8"/>
      <c r="J413" s="8"/>
      <c r="K413" s="8"/>
      <c r="L413" s="8"/>
      <c r="M413" s="8"/>
      <c r="N413" s="8"/>
      <c r="O413" s="8"/>
      <c r="P413" s="8"/>
      <c r="Q413" s="8"/>
      <c r="R413" s="8"/>
      <c r="S413" s="8"/>
      <c r="T413" s="8"/>
      <c r="U413" s="53"/>
      <c r="V413" s="53"/>
      <c r="W413" s="53"/>
      <c r="X413" s="53"/>
      <c r="Y413" s="53"/>
      <c r="Z413" s="53"/>
      <c r="AA413" s="53"/>
      <c r="AB413" s="53"/>
      <c r="AC413" s="53"/>
      <c r="AD413" s="53"/>
      <c r="AE413" s="53"/>
      <c r="AF413" s="53"/>
      <c r="AG413" s="8"/>
      <c r="AH413" s="8"/>
      <c r="AI413" s="8"/>
      <c r="AJ413" s="8"/>
      <c r="AK413" s="8"/>
      <c r="AL413" s="8"/>
      <c r="AM413" s="8"/>
      <c r="AN413" s="8"/>
      <c r="AO413" s="8"/>
      <c r="AP413" s="8"/>
      <c r="AQ413" s="8"/>
      <c r="AR413" s="8"/>
      <c r="AS413" s="8"/>
      <c r="AT413" s="8"/>
      <c r="AU413" s="8"/>
      <c r="AV413" s="8"/>
      <c r="AW413" s="8"/>
      <c r="AX413" s="8"/>
      <c r="AY413" s="8"/>
      <c r="AZ413" s="8"/>
      <c r="BA413" s="8"/>
      <c r="BB413" s="8"/>
      <c r="BC413" s="8"/>
      <c r="BD413" s="8"/>
      <c r="BE413" s="8"/>
    </row>
    <row r="414" spans="1:57">
      <c r="A414" s="8"/>
      <c r="B414" s="8"/>
      <c r="C414" s="8"/>
      <c r="D414" s="8"/>
      <c r="E414" s="8"/>
      <c r="F414" s="54"/>
      <c r="G414" s="8"/>
      <c r="H414" s="8"/>
      <c r="I414" s="8"/>
      <c r="J414" s="8"/>
      <c r="K414" s="8"/>
      <c r="L414" s="8"/>
      <c r="M414" s="8"/>
      <c r="N414" s="8"/>
      <c r="O414" s="8"/>
      <c r="P414" s="8"/>
      <c r="Q414" s="8"/>
      <c r="R414" s="8"/>
      <c r="S414" s="8"/>
      <c r="T414" s="8"/>
      <c r="U414" s="53"/>
      <c r="V414" s="53"/>
      <c r="W414" s="53"/>
      <c r="X414" s="53"/>
      <c r="Y414" s="53"/>
      <c r="Z414" s="53"/>
      <c r="AA414" s="53"/>
      <c r="AB414" s="53"/>
      <c r="AC414" s="53"/>
      <c r="AD414" s="53"/>
      <c r="AE414" s="53"/>
      <c r="AF414" s="53"/>
      <c r="AG414" s="8"/>
      <c r="AH414" s="8"/>
      <c r="AI414" s="8"/>
      <c r="AJ414" s="8"/>
      <c r="AK414" s="8"/>
      <c r="AL414" s="8"/>
      <c r="AM414" s="8"/>
      <c r="AN414" s="8"/>
      <c r="AO414" s="8"/>
      <c r="AP414" s="8"/>
      <c r="AQ414" s="8"/>
      <c r="AR414" s="8"/>
      <c r="AS414" s="8"/>
      <c r="AT414" s="8"/>
      <c r="AU414" s="8"/>
      <c r="AV414" s="8"/>
      <c r="AW414" s="8"/>
      <c r="AX414" s="8"/>
      <c r="AY414" s="8"/>
      <c r="AZ414" s="8"/>
      <c r="BA414" s="8"/>
      <c r="BB414" s="8"/>
      <c r="BC414" s="8"/>
      <c r="BD414" s="8"/>
      <c r="BE414" s="8"/>
    </row>
    <row r="415" spans="1:57">
      <c r="A415" s="8"/>
      <c r="B415" s="8"/>
      <c r="C415" s="8"/>
      <c r="D415" s="8"/>
      <c r="E415" s="8"/>
      <c r="F415" s="54"/>
      <c r="G415" s="8"/>
      <c r="H415" s="8"/>
      <c r="I415" s="8"/>
      <c r="J415" s="8"/>
      <c r="K415" s="8"/>
      <c r="L415" s="8"/>
      <c r="M415" s="8"/>
      <c r="N415" s="8"/>
      <c r="O415" s="8"/>
      <c r="P415" s="8"/>
      <c r="Q415" s="8"/>
      <c r="R415" s="8"/>
      <c r="S415" s="8"/>
      <c r="T415" s="8"/>
      <c r="U415" s="53"/>
      <c r="V415" s="53"/>
      <c r="W415" s="53"/>
      <c r="X415" s="53"/>
      <c r="Y415" s="53"/>
      <c r="Z415" s="53"/>
      <c r="AA415" s="53"/>
      <c r="AB415" s="53"/>
      <c r="AC415" s="53"/>
      <c r="AD415" s="53"/>
      <c r="AE415" s="53"/>
      <c r="AF415" s="53"/>
      <c r="AG415" s="8"/>
      <c r="AH415" s="8"/>
      <c r="AI415" s="8"/>
      <c r="AJ415" s="8"/>
      <c r="AK415" s="8"/>
      <c r="AL415" s="8"/>
      <c r="AM415" s="8"/>
      <c r="AN415" s="8"/>
      <c r="AO415" s="8"/>
      <c r="AP415" s="8"/>
      <c r="AQ415" s="8"/>
      <c r="AR415" s="8"/>
      <c r="AS415" s="8"/>
      <c r="AT415" s="8"/>
      <c r="AU415" s="8"/>
      <c r="AV415" s="8"/>
      <c r="AW415" s="8"/>
      <c r="AX415" s="8"/>
      <c r="AY415" s="8"/>
      <c r="AZ415" s="8"/>
      <c r="BA415" s="8"/>
      <c r="BB415" s="8"/>
      <c r="BC415" s="8"/>
      <c r="BD415" s="8"/>
      <c r="BE415" s="8"/>
    </row>
    <row r="416" spans="1:57">
      <c r="A416" s="8"/>
      <c r="B416" s="8"/>
      <c r="C416" s="8"/>
      <c r="D416" s="8"/>
      <c r="E416" s="8"/>
      <c r="F416" s="54"/>
      <c r="G416" s="8"/>
      <c r="H416" s="8"/>
      <c r="I416" s="8"/>
      <c r="J416" s="8"/>
      <c r="K416" s="8"/>
      <c r="L416" s="8"/>
      <c r="M416" s="8"/>
      <c r="N416" s="8"/>
      <c r="O416" s="8"/>
      <c r="P416" s="8"/>
      <c r="Q416" s="8"/>
      <c r="R416" s="8"/>
      <c r="S416" s="8"/>
      <c r="T416" s="8"/>
      <c r="U416" s="53"/>
      <c r="V416" s="53"/>
      <c r="W416" s="53"/>
      <c r="X416" s="53"/>
      <c r="Y416" s="53"/>
      <c r="Z416" s="53"/>
      <c r="AA416" s="53"/>
      <c r="AB416" s="53"/>
      <c r="AC416" s="53"/>
      <c r="AD416" s="53"/>
      <c r="AE416" s="53"/>
      <c r="AF416" s="53"/>
      <c r="AG416" s="8"/>
      <c r="AH416" s="8"/>
      <c r="AI416" s="8"/>
      <c r="AJ416" s="8"/>
      <c r="AK416" s="8"/>
      <c r="AL416" s="8"/>
      <c r="AM416" s="8"/>
      <c r="AN416" s="8"/>
      <c r="AO416" s="8"/>
      <c r="AP416" s="8"/>
      <c r="AQ416" s="8"/>
      <c r="AR416" s="8"/>
      <c r="AS416" s="8"/>
      <c r="AT416" s="8"/>
      <c r="AU416" s="8"/>
      <c r="AV416" s="8"/>
      <c r="AW416" s="8"/>
      <c r="AX416" s="8"/>
      <c r="AY416" s="8"/>
      <c r="AZ416" s="8"/>
      <c r="BA416" s="8"/>
      <c r="BB416" s="8"/>
      <c r="BC416" s="8"/>
      <c r="BD416" s="8"/>
      <c r="BE416" s="8"/>
    </row>
    <row r="417" spans="1:57">
      <c r="A417" s="8"/>
      <c r="B417" s="8"/>
      <c r="C417" s="8"/>
      <c r="D417" s="8"/>
      <c r="E417" s="8"/>
      <c r="F417" s="54"/>
      <c r="G417" s="8"/>
      <c r="H417" s="8"/>
      <c r="I417" s="8"/>
      <c r="J417" s="8"/>
      <c r="K417" s="8"/>
      <c r="L417" s="8"/>
      <c r="M417" s="8"/>
      <c r="N417" s="8"/>
      <c r="O417" s="8"/>
      <c r="P417" s="8"/>
      <c r="Q417" s="8"/>
      <c r="R417" s="8"/>
      <c r="S417" s="8"/>
      <c r="T417" s="8"/>
      <c r="U417" s="53"/>
      <c r="V417" s="53"/>
      <c r="W417" s="53"/>
      <c r="X417" s="53"/>
      <c r="Y417" s="53"/>
      <c r="Z417" s="53"/>
      <c r="AA417" s="53"/>
      <c r="AB417" s="53"/>
      <c r="AC417" s="53"/>
      <c r="AD417" s="53"/>
      <c r="AE417" s="53"/>
      <c r="AF417" s="53"/>
      <c r="AG417" s="8"/>
      <c r="AH417" s="8"/>
      <c r="AI417" s="8"/>
      <c r="AJ417" s="8"/>
      <c r="AK417" s="8"/>
      <c r="AL417" s="8"/>
      <c r="AM417" s="8"/>
      <c r="AN417" s="8"/>
      <c r="AO417" s="8"/>
      <c r="AP417" s="8"/>
      <c r="AQ417" s="8"/>
      <c r="AR417" s="8"/>
      <c r="AS417" s="8"/>
      <c r="AT417" s="8"/>
      <c r="AU417" s="8"/>
      <c r="AV417" s="8"/>
      <c r="AW417" s="8"/>
      <c r="AX417" s="8"/>
      <c r="AY417" s="8"/>
      <c r="AZ417" s="8"/>
      <c r="BA417" s="8"/>
      <c r="BB417" s="8"/>
      <c r="BC417" s="8"/>
      <c r="BD417" s="8"/>
      <c r="BE417" s="8"/>
    </row>
    <row r="418" spans="1:57">
      <c r="A418" s="8"/>
      <c r="B418" s="8"/>
      <c r="C418" s="8"/>
      <c r="D418" s="8"/>
      <c r="E418" s="8"/>
      <c r="F418" s="54"/>
      <c r="G418" s="8"/>
      <c r="H418" s="8"/>
      <c r="I418" s="8"/>
      <c r="J418" s="8"/>
      <c r="K418" s="8"/>
      <c r="L418" s="8"/>
      <c r="M418" s="8"/>
      <c r="N418" s="8"/>
      <c r="O418" s="8"/>
      <c r="P418" s="8"/>
      <c r="Q418" s="8"/>
      <c r="R418" s="8"/>
      <c r="S418" s="8"/>
      <c r="T418" s="8"/>
      <c r="U418" s="53"/>
      <c r="V418" s="53"/>
      <c r="W418" s="53"/>
      <c r="X418" s="53"/>
      <c r="Y418" s="53"/>
      <c r="Z418" s="53"/>
      <c r="AA418" s="53"/>
      <c r="AB418" s="53"/>
      <c r="AC418" s="53"/>
      <c r="AD418" s="53"/>
      <c r="AE418" s="53"/>
      <c r="AF418" s="53"/>
      <c r="AG418" s="8"/>
      <c r="AH418" s="8"/>
      <c r="AI418" s="8"/>
      <c r="AJ418" s="8"/>
      <c r="AK418" s="8"/>
      <c r="AL418" s="8"/>
      <c r="AM418" s="8"/>
      <c r="AN418" s="8"/>
      <c r="AO418" s="8"/>
      <c r="AP418" s="8"/>
      <c r="AQ418" s="8"/>
      <c r="AR418" s="8"/>
      <c r="AS418" s="8"/>
      <c r="AT418" s="8"/>
      <c r="AU418" s="8"/>
      <c r="AV418" s="8"/>
      <c r="AW418" s="8"/>
      <c r="AX418" s="8"/>
      <c r="AY418" s="8"/>
      <c r="AZ418" s="8"/>
      <c r="BA418" s="8"/>
      <c r="BB418" s="8"/>
      <c r="BC418" s="8"/>
      <c r="BD418" s="8"/>
      <c r="BE418" s="8"/>
    </row>
    <row r="419" spans="1:57">
      <c r="A419" s="8"/>
      <c r="B419" s="8"/>
      <c r="C419" s="8"/>
      <c r="D419" s="8"/>
      <c r="E419" s="8"/>
      <c r="F419" s="54"/>
      <c r="G419" s="8"/>
      <c r="H419" s="8"/>
      <c r="I419" s="8"/>
      <c r="J419" s="8"/>
      <c r="K419" s="8"/>
      <c r="L419" s="8"/>
      <c r="M419" s="8"/>
      <c r="N419" s="8"/>
      <c r="O419" s="8"/>
      <c r="P419" s="8"/>
      <c r="Q419" s="8"/>
      <c r="R419" s="8"/>
      <c r="S419" s="8"/>
      <c r="T419" s="8"/>
      <c r="U419" s="53"/>
      <c r="V419" s="53"/>
      <c r="W419" s="53"/>
      <c r="X419" s="53"/>
      <c r="Y419" s="53"/>
      <c r="Z419" s="53"/>
      <c r="AA419" s="53"/>
      <c r="AB419" s="53"/>
      <c r="AC419" s="53"/>
      <c r="AD419" s="53"/>
      <c r="AE419" s="53"/>
      <c r="AF419" s="53"/>
      <c r="AG419" s="8"/>
      <c r="AH419" s="8"/>
      <c r="AI419" s="8"/>
      <c r="AJ419" s="8"/>
      <c r="AK419" s="8"/>
      <c r="AL419" s="8"/>
      <c r="AM419" s="8"/>
      <c r="AN419" s="8"/>
      <c r="AO419" s="8"/>
      <c r="AP419" s="8"/>
      <c r="AQ419" s="8"/>
      <c r="AR419" s="8"/>
      <c r="AS419" s="8"/>
      <c r="AT419" s="8"/>
      <c r="AU419" s="8"/>
      <c r="AV419" s="8"/>
      <c r="AW419" s="8"/>
      <c r="AX419" s="8"/>
      <c r="AY419" s="8"/>
      <c r="AZ419" s="8"/>
      <c r="BA419" s="8"/>
      <c r="BB419" s="8"/>
      <c r="BC419" s="8"/>
      <c r="BD419" s="8"/>
      <c r="BE419" s="8"/>
    </row>
    <row r="420" spans="1:57">
      <c r="A420" s="8"/>
      <c r="B420" s="8"/>
      <c r="C420" s="8"/>
      <c r="D420" s="8"/>
      <c r="E420" s="8"/>
      <c r="F420" s="54"/>
      <c r="G420" s="8"/>
      <c r="H420" s="8"/>
      <c r="I420" s="8"/>
      <c r="J420" s="8"/>
      <c r="K420" s="8"/>
      <c r="L420" s="8"/>
      <c r="M420" s="8"/>
      <c r="N420" s="8"/>
      <c r="O420" s="8"/>
      <c r="P420" s="8"/>
      <c r="Q420" s="8"/>
      <c r="R420" s="8"/>
      <c r="S420" s="8"/>
      <c r="T420" s="8"/>
      <c r="U420" s="53"/>
      <c r="V420" s="53"/>
      <c r="W420" s="53"/>
      <c r="X420" s="53"/>
      <c r="Y420" s="53"/>
      <c r="Z420" s="53"/>
      <c r="AA420" s="53"/>
      <c r="AB420" s="53"/>
      <c r="AC420" s="53"/>
      <c r="AD420" s="53"/>
      <c r="AE420" s="53"/>
      <c r="AF420" s="53"/>
      <c r="AG420" s="8"/>
      <c r="AH420" s="8"/>
      <c r="AI420" s="8"/>
      <c r="AJ420" s="8"/>
      <c r="AK420" s="8"/>
      <c r="AL420" s="8"/>
      <c r="AM420" s="8"/>
      <c r="AN420" s="8"/>
      <c r="AO420" s="8"/>
      <c r="AP420" s="8"/>
      <c r="AQ420" s="8"/>
      <c r="AR420" s="8"/>
      <c r="AS420" s="8"/>
      <c r="AT420" s="8"/>
      <c r="AU420" s="8"/>
      <c r="AV420" s="8"/>
      <c r="AW420" s="8"/>
      <c r="AX420" s="8"/>
      <c r="AY420" s="8"/>
      <c r="AZ420" s="8"/>
      <c r="BA420" s="8"/>
      <c r="BB420" s="8"/>
      <c r="BC420" s="8"/>
      <c r="BD420" s="8"/>
      <c r="BE420" s="8"/>
    </row>
    <row r="421" spans="1:57">
      <c r="A421" s="8"/>
      <c r="B421" s="8"/>
      <c r="C421" s="8"/>
      <c r="D421" s="8"/>
      <c r="E421" s="8"/>
      <c r="F421" s="54"/>
      <c r="G421" s="8"/>
      <c r="H421" s="8"/>
      <c r="I421" s="8"/>
      <c r="J421" s="8"/>
      <c r="K421" s="8"/>
      <c r="L421" s="8"/>
      <c r="M421" s="8"/>
      <c r="N421" s="8"/>
      <c r="O421" s="8"/>
      <c r="P421" s="8"/>
      <c r="Q421" s="8"/>
      <c r="R421" s="8"/>
      <c r="S421" s="8"/>
      <c r="T421" s="8"/>
      <c r="U421" s="53"/>
      <c r="V421" s="53"/>
      <c r="W421" s="53"/>
      <c r="X421" s="53"/>
      <c r="Y421" s="53"/>
      <c r="Z421" s="53"/>
      <c r="AA421" s="53"/>
      <c r="AB421" s="53"/>
      <c r="AC421" s="53"/>
      <c r="AD421" s="53"/>
      <c r="AE421" s="53"/>
      <c r="AF421" s="53"/>
      <c r="AG421" s="8"/>
      <c r="AH421" s="8"/>
      <c r="AI421" s="8"/>
      <c r="AJ421" s="8"/>
      <c r="AK421" s="8"/>
      <c r="AL421" s="8"/>
      <c r="AM421" s="8"/>
      <c r="AN421" s="8"/>
      <c r="AO421" s="8"/>
      <c r="AP421" s="8"/>
      <c r="AQ421" s="8"/>
      <c r="AR421" s="8"/>
      <c r="AS421" s="8"/>
      <c r="AT421" s="8"/>
      <c r="AU421" s="8"/>
      <c r="AV421" s="8"/>
      <c r="AW421" s="8"/>
      <c r="AX421" s="8"/>
      <c r="AY421" s="8"/>
      <c r="AZ421" s="8"/>
      <c r="BA421" s="8"/>
      <c r="BB421" s="8"/>
      <c r="BC421" s="8"/>
      <c r="BD421" s="8"/>
      <c r="BE421" s="8"/>
    </row>
    <row r="422" spans="1:57">
      <c r="A422" s="8"/>
      <c r="B422" s="8"/>
      <c r="C422" s="8"/>
      <c r="D422" s="8"/>
      <c r="E422" s="8"/>
      <c r="F422" s="54"/>
      <c r="G422" s="8"/>
      <c r="H422" s="8"/>
      <c r="I422" s="8"/>
      <c r="J422" s="8"/>
      <c r="K422" s="8"/>
      <c r="L422" s="8"/>
      <c r="M422" s="8"/>
      <c r="N422" s="8"/>
      <c r="O422" s="8"/>
      <c r="P422" s="8"/>
      <c r="Q422" s="8"/>
      <c r="R422" s="8"/>
      <c r="S422" s="8"/>
      <c r="T422" s="8"/>
      <c r="U422" s="53"/>
      <c r="V422" s="53"/>
      <c r="W422" s="53"/>
      <c r="X422" s="53"/>
      <c r="Y422" s="53"/>
      <c r="Z422" s="53"/>
      <c r="AA422" s="53"/>
      <c r="AB422" s="53"/>
      <c r="AC422" s="53"/>
      <c r="AD422" s="53"/>
      <c r="AE422" s="53"/>
      <c r="AF422" s="53"/>
      <c r="AG422" s="8"/>
      <c r="AH422" s="8"/>
      <c r="AI422" s="8"/>
      <c r="AJ422" s="8"/>
      <c r="AK422" s="8"/>
      <c r="AL422" s="8"/>
      <c r="AM422" s="8"/>
      <c r="AN422" s="8"/>
      <c r="AO422" s="8"/>
      <c r="AP422" s="8"/>
      <c r="AQ422" s="8"/>
      <c r="AR422" s="8"/>
      <c r="AS422" s="8"/>
      <c r="AT422" s="8"/>
      <c r="AU422" s="8"/>
      <c r="AV422" s="8"/>
      <c r="AW422" s="8"/>
      <c r="AX422" s="8"/>
      <c r="AY422" s="8"/>
      <c r="AZ422" s="8"/>
      <c r="BA422" s="8"/>
      <c r="BB422" s="8"/>
      <c r="BC422" s="8"/>
      <c r="BD422" s="8"/>
      <c r="BE422" s="8"/>
    </row>
    <row r="423" spans="1:57">
      <c r="A423" s="8"/>
      <c r="B423" s="8"/>
      <c r="C423" s="8"/>
      <c r="D423" s="8"/>
      <c r="E423" s="8"/>
      <c r="F423" s="54"/>
      <c r="G423" s="8"/>
      <c r="H423" s="8"/>
      <c r="I423" s="8"/>
      <c r="J423" s="8"/>
      <c r="K423" s="8"/>
      <c r="L423" s="8"/>
      <c r="M423" s="8"/>
      <c r="N423" s="8"/>
      <c r="O423" s="8"/>
      <c r="P423" s="8"/>
      <c r="Q423" s="8"/>
      <c r="R423" s="8"/>
      <c r="S423" s="8"/>
      <c r="T423" s="8"/>
      <c r="U423" s="53"/>
      <c r="V423" s="53"/>
      <c r="W423" s="53"/>
      <c r="X423" s="53"/>
      <c r="Y423" s="53"/>
      <c r="Z423" s="53"/>
      <c r="AA423" s="53"/>
      <c r="AB423" s="53"/>
      <c r="AC423" s="53"/>
      <c r="AD423" s="53"/>
      <c r="AE423" s="53"/>
      <c r="AF423" s="53"/>
      <c r="AG423" s="8"/>
      <c r="AH423" s="8"/>
      <c r="AI423" s="8"/>
      <c r="AJ423" s="8"/>
      <c r="AK423" s="8"/>
      <c r="AL423" s="8"/>
      <c r="AM423" s="8"/>
      <c r="AN423" s="8"/>
      <c r="AO423" s="8"/>
      <c r="AP423" s="8"/>
      <c r="AQ423" s="8"/>
      <c r="AR423" s="8"/>
      <c r="AS423" s="8"/>
      <c r="AT423" s="8"/>
      <c r="AU423" s="8"/>
      <c r="AV423" s="8"/>
      <c r="AW423" s="8"/>
      <c r="AX423" s="8"/>
      <c r="AY423" s="8"/>
      <c r="AZ423" s="8"/>
      <c r="BA423" s="8"/>
      <c r="BB423" s="8"/>
      <c r="BC423" s="8"/>
      <c r="BD423" s="8"/>
      <c r="BE423" s="8"/>
    </row>
    <row r="424" spans="1:57">
      <c r="A424" s="8"/>
      <c r="B424" s="8"/>
      <c r="C424" s="8"/>
      <c r="D424" s="8"/>
      <c r="E424" s="8"/>
      <c r="F424" s="54"/>
      <c r="G424" s="8"/>
      <c r="H424" s="8"/>
      <c r="I424" s="8"/>
      <c r="J424" s="8"/>
      <c r="K424" s="8"/>
      <c r="L424" s="8"/>
      <c r="M424" s="8"/>
      <c r="N424" s="8"/>
      <c r="O424" s="8"/>
      <c r="P424" s="8"/>
      <c r="Q424" s="8"/>
      <c r="R424" s="8"/>
      <c r="S424" s="8"/>
      <c r="T424" s="8"/>
      <c r="U424" s="53"/>
      <c r="V424" s="53"/>
      <c r="W424" s="53"/>
      <c r="X424" s="53"/>
      <c r="Y424" s="53"/>
      <c r="Z424" s="53"/>
      <c r="AA424" s="53"/>
      <c r="AB424" s="53"/>
      <c r="AC424" s="53"/>
      <c r="AD424" s="53"/>
      <c r="AE424" s="53"/>
      <c r="AF424" s="53"/>
      <c r="AG424" s="8"/>
      <c r="AH424" s="8"/>
      <c r="AI424" s="8"/>
      <c r="AJ424" s="8"/>
      <c r="AK424" s="8"/>
      <c r="AL424" s="8"/>
      <c r="AM424" s="8"/>
      <c r="AN424" s="8"/>
      <c r="AO424" s="8"/>
      <c r="AP424" s="8"/>
      <c r="AQ424" s="8"/>
      <c r="AR424" s="8"/>
      <c r="AS424" s="8"/>
      <c r="AT424" s="8"/>
      <c r="AU424" s="8"/>
      <c r="AV424" s="8"/>
      <c r="AW424" s="8"/>
      <c r="AX424" s="8"/>
      <c r="AY424" s="8"/>
      <c r="AZ424" s="8"/>
      <c r="BA424" s="8"/>
      <c r="BB424" s="8"/>
      <c r="BC424" s="8"/>
      <c r="BD424" s="8"/>
      <c r="BE424" s="8"/>
    </row>
    <row r="425" spans="1:57">
      <c r="A425" s="8"/>
      <c r="B425" s="8"/>
      <c r="C425" s="8"/>
      <c r="D425" s="8"/>
      <c r="E425" s="8"/>
      <c r="F425" s="54"/>
      <c r="G425" s="8"/>
      <c r="H425" s="8"/>
      <c r="I425" s="8"/>
      <c r="J425" s="8"/>
      <c r="K425" s="8"/>
      <c r="L425" s="8"/>
      <c r="M425" s="8"/>
      <c r="N425" s="8"/>
      <c r="O425" s="8"/>
      <c r="P425" s="8"/>
      <c r="Q425" s="8"/>
      <c r="R425" s="8"/>
      <c r="S425" s="8"/>
      <c r="T425" s="8"/>
      <c r="U425" s="53"/>
      <c r="V425" s="53"/>
      <c r="W425" s="53"/>
      <c r="X425" s="53"/>
      <c r="Y425" s="53"/>
      <c r="Z425" s="53"/>
      <c r="AA425" s="53"/>
      <c r="AB425" s="53"/>
      <c r="AC425" s="53"/>
      <c r="AD425" s="53"/>
      <c r="AE425" s="53"/>
      <c r="AF425" s="53"/>
      <c r="AG425" s="8"/>
      <c r="AH425" s="8"/>
      <c r="AI425" s="8"/>
      <c r="AJ425" s="8"/>
      <c r="AK425" s="8"/>
      <c r="AL425" s="8"/>
      <c r="AM425" s="8"/>
      <c r="AN425" s="8"/>
      <c r="AO425" s="8"/>
      <c r="AP425" s="8"/>
      <c r="AQ425" s="8"/>
      <c r="AR425" s="8"/>
      <c r="AS425" s="8"/>
      <c r="AT425" s="8"/>
      <c r="AU425" s="8"/>
      <c r="AV425" s="8"/>
      <c r="AW425" s="8"/>
      <c r="AX425" s="8"/>
      <c r="AY425" s="8"/>
      <c r="AZ425" s="8"/>
      <c r="BA425" s="8"/>
      <c r="BB425" s="8"/>
      <c r="BC425" s="8"/>
      <c r="BD425" s="8"/>
      <c r="BE425" s="8"/>
    </row>
    <row r="426" spans="1:57">
      <c r="A426" s="8"/>
      <c r="B426" s="8"/>
      <c r="C426" s="8"/>
      <c r="D426" s="8"/>
      <c r="E426" s="8"/>
      <c r="F426" s="54"/>
      <c r="G426" s="8"/>
      <c r="H426" s="8"/>
      <c r="I426" s="8"/>
      <c r="J426" s="8"/>
      <c r="K426" s="8"/>
      <c r="L426" s="8"/>
      <c r="M426" s="8"/>
      <c r="N426" s="8"/>
      <c r="O426" s="8"/>
      <c r="P426" s="8"/>
      <c r="Q426" s="8"/>
      <c r="R426" s="8"/>
      <c r="S426" s="8"/>
      <c r="T426" s="8"/>
      <c r="U426" s="53"/>
      <c r="V426" s="53"/>
      <c r="W426" s="53"/>
      <c r="X426" s="53"/>
      <c r="Y426" s="53"/>
      <c r="Z426" s="53"/>
      <c r="AA426" s="53"/>
      <c r="AB426" s="53"/>
      <c r="AC426" s="53"/>
      <c r="AD426" s="53"/>
      <c r="AE426" s="53"/>
      <c r="AF426" s="53"/>
      <c r="AG426" s="8"/>
      <c r="AH426" s="8"/>
      <c r="AI426" s="8"/>
      <c r="AJ426" s="8"/>
      <c r="AK426" s="8"/>
      <c r="AL426" s="8"/>
      <c r="AM426" s="8"/>
      <c r="AN426" s="8"/>
      <c r="AO426" s="8"/>
      <c r="AP426" s="8"/>
      <c r="AQ426" s="8"/>
      <c r="AR426" s="8"/>
      <c r="AS426" s="8"/>
      <c r="AT426" s="8"/>
      <c r="AU426" s="8"/>
      <c r="AV426" s="8"/>
      <c r="AW426" s="8"/>
      <c r="AX426" s="8"/>
      <c r="AY426" s="8"/>
      <c r="AZ426" s="8"/>
      <c r="BA426" s="8"/>
      <c r="BB426" s="8"/>
      <c r="BC426" s="8"/>
      <c r="BD426" s="8"/>
      <c r="BE426" s="8"/>
    </row>
    <row r="427" spans="1:57">
      <c r="A427" s="8"/>
      <c r="B427" s="8"/>
      <c r="C427" s="8"/>
      <c r="D427" s="8"/>
      <c r="E427" s="8"/>
      <c r="F427" s="54"/>
      <c r="G427" s="8"/>
      <c r="H427" s="8"/>
      <c r="I427" s="8"/>
      <c r="J427" s="8"/>
      <c r="K427" s="8"/>
      <c r="L427" s="8"/>
      <c r="M427" s="8"/>
      <c r="N427" s="8"/>
      <c r="O427" s="8"/>
      <c r="P427" s="8"/>
      <c r="Q427" s="8"/>
      <c r="R427" s="8"/>
      <c r="S427" s="8"/>
      <c r="T427" s="8"/>
      <c r="U427" s="53"/>
      <c r="V427" s="53"/>
      <c r="W427" s="53"/>
      <c r="X427" s="53"/>
      <c r="Y427" s="53"/>
      <c r="Z427" s="53"/>
      <c r="AA427" s="53"/>
      <c r="AB427" s="53"/>
      <c r="AC427" s="53"/>
      <c r="AD427" s="53"/>
      <c r="AE427" s="53"/>
      <c r="AF427" s="53"/>
      <c r="AG427" s="8"/>
      <c r="AH427" s="8"/>
      <c r="AI427" s="8"/>
      <c r="AJ427" s="8"/>
      <c r="AK427" s="8"/>
      <c r="AL427" s="8"/>
      <c r="AM427" s="8"/>
      <c r="AN427" s="8"/>
      <c r="AO427" s="8"/>
      <c r="AP427" s="8"/>
      <c r="AQ427" s="8"/>
      <c r="AR427" s="8"/>
      <c r="AS427" s="8"/>
      <c r="AT427" s="8"/>
      <c r="AU427" s="8"/>
      <c r="AV427" s="8"/>
      <c r="AW427" s="8"/>
      <c r="AX427" s="8"/>
      <c r="AY427" s="8"/>
      <c r="AZ427" s="8"/>
      <c r="BA427" s="8"/>
      <c r="BB427" s="8"/>
      <c r="BC427" s="8"/>
      <c r="BD427" s="8"/>
      <c r="BE427" s="8"/>
    </row>
    <row r="428" spans="1:57">
      <c r="A428" s="8"/>
      <c r="B428" s="8"/>
      <c r="C428" s="8"/>
      <c r="D428" s="8"/>
      <c r="E428" s="8"/>
      <c r="F428" s="54"/>
      <c r="G428" s="8"/>
      <c r="H428" s="8"/>
      <c r="I428" s="8"/>
      <c r="J428" s="8"/>
      <c r="K428" s="8"/>
      <c r="L428" s="8"/>
      <c r="M428" s="8"/>
      <c r="N428" s="8"/>
      <c r="O428" s="8"/>
      <c r="P428" s="8"/>
      <c r="Q428" s="8"/>
      <c r="R428" s="8"/>
      <c r="S428" s="8"/>
      <c r="T428" s="8"/>
      <c r="U428" s="53"/>
      <c r="V428" s="53"/>
      <c r="W428" s="53"/>
      <c r="X428" s="53"/>
      <c r="Y428" s="53"/>
      <c r="Z428" s="53"/>
      <c r="AA428" s="53"/>
      <c r="AB428" s="53"/>
      <c r="AC428" s="53"/>
      <c r="AD428" s="53"/>
      <c r="AE428" s="53"/>
      <c r="AF428" s="53"/>
      <c r="AG428" s="8"/>
      <c r="AH428" s="8"/>
      <c r="AI428" s="8"/>
      <c r="AJ428" s="8"/>
      <c r="AK428" s="8"/>
      <c r="AL428" s="8"/>
      <c r="AM428" s="8"/>
      <c r="AN428" s="8"/>
      <c r="AO428" s="8"/>
      <c r="AP428" s="8"/>
      <c r="AQ428" s="8"/>
      <c r="AR428" s="8"/>
      <c r="AS428" s="8"/>
      <c r="AT428" s="8"/>
      <c r="AU428" s="8"/>
      <c r="AV428" s="8"/>
      <c r="AW428" s="8"/>
      <c r="AX428" s="8"/>
      <c r="AY428" s="8"/>
      <c r="AZ428" s="8"/>
      <c r="BA428" s="8"/>
      <c r="BB428" s="8"/>
      <c r="BC428" s="8"/>
      <c r="BD428" s="8"/>
      <c r="BE428" s="8"/>
    </row>
    <row r="429" spans="1:57">
      <c r="A429" s="8"/>
      <c r="B429" s="8"/>
      <c r="C429" s="8"/>
      <c r="D429" s="8"/>
      <c r="E429" s="8"/>
      <c r="F429" s="54"/>
      <c r="G429" s="8"/>
      <c r="H429" s="8"/>
      <c r="I429" s="8"/>
      <c r="J429" s="8"/>
      <c r="K429" s="8"/>
      <c r="L429" s="8"/>
      <c r="M429" s="8"/>
      <c r="N429" s="8"/>
      <c r="O429" s="8"/>
      <c r="P429" s="8"/>
      <c r="Q429" s="8"/>
      <c r="R429" s="8"/>
      <c r="S429" s="8"/>
      <c r="T429" s="8"/>
      <c r="U429" s="53"/>
      <c r="V429" s="53"/>
      <c r="W429" s="53"/>
      <c r="X429" s="53"/>
      <c r="Y429" s="53"/>
      <c r="Z429" s="53"/>
      <c r="AA429" s="53"/>
      <c r="AB429" s="53"/>
      <c r="AC429" s="53"/>
      <c r="AD429" s="53"/>
      <c r="AE429" s="53"/>
      <c r="AF429" s="53"/>
      <c r="AG429" s="8"/>
      <c r="AH429" s="8"/>
      <c r="AI429" s="8"/>
      <c r="AJ429" s="8"/>
      <c r="AK429" s="8"/>
      <c r="AL429" s="8"/>
      <c r="AM429" s="8"/>
      <c r="AN429" s="8"/>
      <c r="AO429" s="8"/>
      <c r="AP429" s="8"/>
      <c r="AQ429" s="8"/>
      <c r="AR429" s="8"/>
      <c r="AS429" s="8"/>
      <c r="AT429" s="8"/>
      <c r="AU429" s="8"/>
      <c r="AV429" s="8"/>
      <c r="AW429" s="8"/>
      <c r="AX429" s="8"/>
      <c r="AY429" s="8"/>
      <c r="AZ429" s="8"/>
      <c r="BA429" s="8"/>
      <c r="BB429" s="8"/>
      <c r="BC429" s="8"/>
      <c r="BD429" s="8"/>
      <c r="BE429" s="8"/>
    </row>
    <row r="430" spans="1:57">
      <c r="A430" s="8"/>
      <c r="B430" s="8"/>
      <c r="C430" s="8"/>
      <c r="D430" s="8"/>
      <c r="E430" s="8"/>
      <c r="F430" s="54"/>
      <c r="G430" s="8"/>
      <c r="H430" s="8"/>
      <c r="I430" s="8"/>
      <c r="J430" s="8"/>
      <c r="K430" s="8"/>
      <c r="L430" s="8"/>
      <c r="M430" s="8"/>
      <c r="N430" s="8"/>
      <c r="O430" s="8"/>
      <c r="P430" s="8"/>
      <c r="Q430" s="8"/>
      <c r="R430" s="8"/>
      <c r="S430" s="8"/>
      <c r="T430" s="8"/>
      <c r="U430" s="53"/>
      <c r="V430" s="53"/>
      <c r="W430" s="53"/>
      <c r="X430" s="53"/>
      <c r="Y430" s="53"/>
      <c r="Z430" s="53"/>
      <c r="AA430" s="53"/>
      <c r="AB430" s="53"/>
      <c r="AC430" s="53"/>
      <c r="AD430" s="53"/>
      <c r="AE430" s="53"/>
      <c r="AF430" s="53"/>
      <c r="AG430" s="8"/>
      <c r="AH430" s="8"/>
      <c r="AI430" s="8"/>
      <c r="AJ430" s="8"/>
      <c r="AK430" s="8"/>
      <c r="AL430" s="8"/>
      <c r="AM430" s="8"/>
      <c r="AN430" s="8"/>
      <c r="AO430" s="8"/>
      <c r="AP430" s="8"/>
      <c r="AQ430" s="8"/>
      <c r="AR430" s="8"/>
      <c r="AS430" s="8"/>
      <c r="AT430" s="8"/>
      <c r="AU430" s="8"/>
      <c r="AV430" s="8"/>
      <c r="AW430" s="8"/>
      <c r="AX430" s="8"/>
      <c r="AY430" s="8"/>
      <c r="AZ430" s="8"/>
      <c r="BA430" s="8"/>
      <c r="BB430" s="8"/>
      <c r="BC430" s="8"/>
      <c r="BD430" s="8"/>
      <c r="BE430" s="8"/>
    </row>
    <row r="431" spans="1:57">
      <c r="A431" s="8"/>
      <c r="B431" s="8"/>
      <c r="C431" s="8"/>
      <c r="D431" s="8"/>
      <c r="E431" s="8"/>
      <c r="F431" s="54"/>
      <c r="G431" s="8"/>
      <c r="H431" s="8"/>
      <c r="I431" s="8"/>
      <c r="J431" s="8"/>
      <c r="K431" s="8"/>
      <c r="L431" s="8"/>
      <c r="M431" s="8"/>
      <c r="N431" s="8"/>
      <c r="O431" s="8"/>
      <c r="P431" s="8"/>
      <c r="Q431" s="8"/>
      <c r="R431" s="8"/>
      <c r="S431" s="8"/>
      <c r="T431" s="8"/>
      <c r="U431" s="53"/>
      <c r="V431" s="53"/>
      <c r="W431" s="53"/>
      <c r="X431" s="53"/>
      <c r="Y431" s="53"/>
      <c r="Z431" s="53"/>
      <c r="AA431" s="53"/>
      <c r="AB431" s="53"/>
      <c r="AC431" s="53"/>
      <c r="AD431" s="53"/>
      <c r="AE431" s="53"/>
      <c r="AF431" s="53"/>
      <c r="AG431" s="8"/>
      <c r="AH431" s="8"/>
      <c r="AI431" s="8"/>
      <c r="AJ431" s="8"/>
      <c r="AK431" s="8"/>
      <c r="AL431" s="8"/>
      <c r="AM431" s="8"/>
      <c r="AN431" s="8"/>
      <c r="AO431" s="8"/>
      <c r="AP431" s="8"/>
      <c r="AQ431" s="8"/>
      <c r="AR431" s="8"/>
      <c r="AS431" s="8"/>
      <c r="AT431" s="8"/>
      <c r="AU431" s="8"/>
      <c r="AV431" s="8"/>
      <c r="AW431" s="8"/>
      <c r="AX431" s="8"/>
      <c r="AY431" s="8"/>
      <c r="AZ431" s="8"/>
      <c r="BA431" s="8"/>
      <c r="BB431" s="8"/>
      <c r="BC431" s="8"/>
      <c r="BD431" s="8"/>
      <c r="BE431" s="8"/>
    </row>
    <row r="432" spans="1:57">
      <c r="A432" s="8"/>
      <c r="B432" s="8"/>
      <c r="C432" s="8"/>
      <c r="D432" s="8"/>
      <c r="E432" s="8"/>
      <c r="F432" s="54"/>
      <c r="G432" s="8"/>
      <c r="H432" s="8"/>
      <c r="I432" s="8"/>
      <c r="J432" s="8"/>
      <c r="K432" s="8"/>
      <c r="L432" s="8"/>
      <c r="M432" s="8"/>
      <c r="N432" s="8"/>
      <c r="O432" s="8"/>
      <c r="P432" s="8"/>
      <c r="Q432" s="8"/>
      <c r="R432" s="8"/>
      <c r="S432" s="8"/>
      <c r="T432" s="8"/>
      <c r="U432" s="53"/>
      <c r="V432" s="53"/>
      <c r="W432" s="53"/>
      <c r="X432" s="53"/>
      <c r="Y432" s="53"/>
      <c r="Z432" s="53"/>
      <c r="AA432" s="53"/>
      <c r="AB432" s="53"/>
      <c r="AC432" s="53"/>
      <c r="AD432" s="53"/>
      <c r="AE432" s="53"/>
      <c r="AF432" s="53"/>
      <c r="AG432" s="8"/>
      <c r="AH432" s="8"/>
      <c r="AI432" s="8"/>
      <c r="AJ432" s="8"/>
      <c r="AK432" s="8"/>
      <c r="AL432" s="8"/>
      <c r="AM432" s="8"/>
      <c r="AN432" s="8"/>
      <c r="AO432" s="8"/>
      <c r="AP432" s="8"/>
      <c r="AQ432" s="8"/>
      <c r="AR432" s="8"/>
      <c r="AS432" s="8"/>
      <c r="AT432" s="8"/>
      <c r="AU432" s="8"/>
      <c r="AV432" s="8"/>
      <c r="AW432" s="8"/>
      <c r="AX432" s="8"/>
      <c r="AY432" s="8"/>
      <c r="AZ432" s="8"/>
      <c r="BA432" s="8"/>
      <c r="BB432" s="8"/>
      <c r="BC432" s="8"/>
      <c r="BD432" s="8"/>
      <c r="BE432" s="8"/>
    </row>
    <row r="433" spans="1:57">
      <c r="A433" s="8"/>
      <c r="B433" s="8"/>
      <c r="C433" s="8"/>
      <c r="D433" s="8"/>
      <c r="E433" s="8"/>
      <c r="F433" s="54"/>
      <c r="G433" s="8"/>
      <c r="H433" s="8"/>
      <c r="I433" s="8"/>
      <c r="J433" s="8"/>
      <c r="K433" s="8"/>
      <c r="L433" s="8"/>
      <c r="M433" s="8"/>
      <c r="N433" s="8"/>
      <c r="O433" s="8"/>
      <c r="P433" s="8"/>
      <c r="Q433" s="8"/>
      <c r="R433" s="8"/>
      <c r="S433" s="8"/>
      <c r="T433" s="8"/>
      <c r="U433" s="53"/>
      <c r="V433" s="53"/>
      <c r="W433" s="53"/>
      <c r="X433" s="53"/>
      <c r="Y433" s="53"/>
      <c r="Z433" s="53"/>
      <c r="AA433" s="53"/>
      <c r="AB433" s="53"/>
      <c r="AC433" s="53"/>
      <c r="AD433" s="53"/>
      <c r="AE433" s="53"/>
      <c r="AF433" s="53"/>
      <c r="AG433" s="8"/>
      <c r="AH433" s="8"/>
      <c r="AI433" s="8"/>
      <c r="AJ433" s="8"/>
      <c r="AK433" s="8"/>
      <c r="AL433" s="8"/>
      <c r="AM433" s="8"/>
      <c r="AN433" s="8"/>
      <c r="AO433" s="8"/>
      <c r="AP433" s="8"/>
      <c r="AQ433" s="8"/>
      <c r="AR433" s="8"/>
      <c r="AS433" s="8"/>
      <c r="AT433" s="8"/>
      <c r="AU433" s="8"/>
      <c r="AV433" s="8"/>
      <c r="AW433" s="8"/>
      <c r="AX433" s="8"/>
      <c r="AY433" s="8"/>
      <c r="AZ433" s="8"/>
      <c r="BA433" s="8"/>
      <c r="BB433" s="8"/>
      <c r="BC433" s="8"/>
      <c r="BD433" s="8"/>
      <c r="BE433" s="8"/>
    </row>
    <row r="434" spans="1:57">
      <c r="A434" s="8"/>
      <c r="B434" s="8"/>
      <c r="C434" s="8"/>
      <c r="D434" s="8"/>
      <c r="E434" s="8"/>
      <c r="F434" s="54"/>
      <c r="G434" s="8"/>
      <c r="H434" s="8"/>
      <c r="I434" s="8"/>
      <c r="J434" s="8"/>
      <c r="K434" s="8"/>
      <c r="L434" s="8"/>
      <c r="M434" s="8"/>
      <c r="N434" s="8"/>
      <c r="O434" s="8"/>
      <c r="P434" s="8"/>
      <c r="Q434" s="8"/>
      <c r="R434" s="8"/>
      <c r="S434" s="8"/>
      <c r="T434" s="8"/>
      <c r="U434" s="53"/>
      <c r="V434" s="53"/>
      <c r="W434" s="53"/>
      <c r="X434" s="53"/>
      <c r="Y434" s="53"/>
      <c r="Z434" s="53"/>
      <c r="AA434" s="53"/>
      <c r="AB434" s="53"/>
      <c r="AC434" s="53"/>
      <c r="AD434" s="53"/>
      <c r="AE434" s="53"/>
      <c r="AF434" s="53"/>
      <c r="AG434" s="8"/>
      <c r="AH434" s="8"/>
      <c r="AI434" s="8"/>
      <c r="AJ434" s="8"/>
      <c r="AK434" s="8"/>
      <c r="AL434" s="8"/>
      <c r="AM434" s="8"/>
      <c r="AN434" s="8"/>
      <c r="AO434" s="8"/>
      <c r="AP434" s="8"/>
      <c r="AQ434" s="8"/>
      <c r="AR434" s="8"/>
      <c r="AS434" s="8"/>
      <c r="AT434" s="8"/>
      <c r="AU434" s="8"/>
      <c r="AV434" s="8"/>
      <c r="AW434" s="8"/>
      <c r="AX434" s="8"/>
      <c r="AY434" s="8"/>
      <c r="AZ434" s="8"/>
      <c r="BA434" s="8"/>
      <c r="BB434" s="8"/>
      <c r="BC434" s="8"/>
      <c r="BD434" s="8"/>
      <c r="BE434" s="8"/>
    </row>
    <row r="435" spans="1:57">
      <c r="A435" s="8"/>
      <c r="B435" s="8"/>
      <c r="C435" s="8"/>
      <c r="D435" s="8"/>
      <c r="E435" s="8"/>
      <c r="F435" s="54"/>
      <c r="G435" s="8"/>
      <c r="H435" s="8"/>
      <c r="I435" s="8"/>
      <c r="J435" s="8"/>
      <c r="K435" s="8"/>
      <c r="L435" s="8"/>
      <c r="M435" s="8"/>
      <c r="N435" s="8"/>
      <c r="O435" s="8"/>
      <c r="P435" s="8"/>
      <c r="Q435" s="8"/>
      <c r="R435" s="8"/>
      <c r="S435" s="8"/>
      <c r="T435" s="8"/>
      <c r="U435" s="53"/>
      <c r="V435" s="53"/>
      <c r="W435" s="53"/>
      <c r="X435" s="53"/>
      <c r="Y435" s="53"/>
      <c r="Z435" s="53"/>
      <c r="AA435" s="53"/>
      <c r="AB435" s="53"/>
      <c r="AC435" s="53"/>
      <c r="AD435" s="53"/>
      <c r="AE435" s="53"/>
      <c r="AF435" s="53"/>
      <c r="AG435" s="8"/>
      <c r="AH435" s="8"/>
      <c r="AI435" s="8"/>
      <c r="AJ435" s="8"/>
      <c r="AK435" s="8"/>
      <c r="AL435" s="8"/>
      <c r="AM435" s="8"/>
      <c r="AN435" s="8"/>
      <c r="AO435" s="8"/>
      <c r="AP435" s="8"/>
      <c r="AQ435" s="8"/>
      <c r="AR435" s="8"/>
      <c r="AS435" s="8"/>
      <c r="AT435" s="8"/>
      <c r="AU435" s="8"/>
      <c r="AV435" s="8"/>
      <c r="AW435" s="8"/>
      <c r="AX435" s="8"/>
      <c r="AY435" s="8"/>
      <c r="AZ435" s="8"/>
      <c r="BA435" s="8"/>
      <c r="BB435" s="8"/>
      <c r="BC435" s="8"/>
      <c r="BD435" s="8"/>
      <c r="BE435" s="8"/>
    </row>
    <row r="436" spans="1:57">
      <c r="A436" s="8"/>
      <c r="B436" s="8"/>
      <c r="C436" s="8"/>
      <c r="D436" s="8"/>
      <c r="E436" s="8"/>
      <c r="F436" s="54"/>
      <c r="G436" s="8"/>
      <c r="H436" s="8"/>
      <c r="I436" s="8"/>
      <c r="J436" s="8"/>
      <c r="K436" s="8"/>
      <c r="L436" s="8"/>
      <c r="M436" s="8"/>
      <c r="N436" s="8"/>
      <c r="O436" s="8"/>
      <c r="P436" s="8"/>
      <c r="Q436" s="8"/>
      <c r="R436" s="8"/>
      <c r="S436" s="8"/>
      <c r="T436" s="8"/>
      <c r="U436" s="53"/>
      <c r="V436" s="53"/>
      <c r="W436" s="53"/>
      <c r="X436" s="53"/>
      <c r="Y436" s="53"/>
      <c r="Z436" s="53"/>
      <c r="AA436" s="53"/>
      <c r="AB436" s="53"/>
      <c r="AC436" s="53"/>
      <c r="AD436" s="53"/>
      <c r="AE436" s="53"/>
      <c r="AF436" s="53"/>
      <c r="AG436" s="8"/>
      <c r="AH436" s="8"/>
      <c r="AI436" s="8"/>
      <c r="AJ436" s="8"/>
      <c r="AK436" s="8"/>
      <c r="AL436" s="8"/>
      <c r="AM436" s="8"/>
      <c r="AN436" s="8"/>
      <c r="AO436" s="8"/>
      <c r="AP436" s="8"/>
      <c r="AQ436" s="8"/>
      <c r="AR436" s="8"/>
      <c r="AS436" s="8"/>
      <c r="AT436" s="8"/>
      <c r="AU436" s="8"/>
      <c r="AV436" s="8"/>
      <c r="AW436" s="8"/>
      <c r="AX436" s="8"/>
      <c r="AY436" s="8"/>
      <c r="AZ436" s="8"/>
      <c r="BA436" s="8"/>
      <c r="BB436" s="8"/>
      <c r="BC436" s="8"/>
      <c r="BD436" s="8"/>
      <c r="BE436" s="8"/>
    </row>
    <row r="437" spans="1:57">
      <c r="A437" s="8"/>
      <c r="B437" s="8"/>
      <c r="C437" s="8"/>
      <c r="D437" s="8"/>
      <c r="E437" s="8"/>
      <c r="F437" s="54"/>
      <c r="G437" s="8"/>
      <c r="H437" s="8"/>
      <c r="I437" s="8"/>
      <c r="J437" s="8"/>
      <c r="K437" s="8"/>
      <c r="L437" s="8"/>
      <c r="M437" s="8"/>
      <c r="N437" s="8"/>
      <c r="O437" s="8"/>
      <c r="P437" s="8"/>
      <c r="Q437" s="8"/>
      <c r="R437" s="8"/>
      <c r="S437" s="8"/>
      <c r="T437" s="8"/>
      <c r="U437" s="53"/>
      <c r="V437" s="53"/>
      <c r="W437" s="53"/>
      <c r="X437" s="53"/>
      <c r="Y437" s="53"/>
      <c r="Z437" s="53"/>
      <c r="AA437" s="53"/>
      <c r="AB437" s="53"/>
      <c r="AC437" s="53"/>
      <c r="AD437" s="53"/>
      <c r="AE437" s="53"/>
      <c r="AF437" s="53"/>
      <c r="AG437" s="8"/>
      <c r="AH437" s="8"/>
      <c r="AI437" s="8"/>
      <c r="AJ437" s="8"/>
      <c r="AK437" s="8"/>
      <c r="AL437" s="8"/>
      <c r="AM437" s="8"/>
      <c r="AN437" s="8"/>
      <c r="AO437" s="8"/>
      <c r="AP437" s="8"/>
      <c r="AQ437" s="8"/>
      <c r="AR437" s="8"/>
      <c r="AS437" s="8"/>
      <c r="AT437" s="8"/>
      <c r="AU437" s="8"/>
      <c r="AV437" s="8"/>
      <c r="AW437" s="8"/>
      <c r="AX437" s="8"/>
      <c r="AY437" s="8"/>
      <c r="AZ437" s="8"/>
      <c r="BA437" s="8"/>
      <c r="BB437" s="8"/>
      <c r="BC437" s="8"/>
      <c r="BD437" s="8"/>
      <c r="BE437" s="8"/>
    </row>
    <row r="438" spans="1:57">
      <c r="A438" s="8"/>
      <c r="B438" s="8"/>
      <c r="C438" s="8"/>
      <c r="D438" s="8"/>
      <c r="E438" s="8"/>
      <c r="F438" s="54"/>
      <c r="G438" s="8"/>
      <c r="H438" s="8"/>
      <c r="I438" s="8"/>
      <c r="J438" s="8"/>
      <c r="K438" s="8"/>
      <c r="L438" s="8"/>
      <c r="M438" s="8"/>
      <c r="N438" s="8"/>
      <c r="O438" s="8"/>
      <c r="P438" s="8"/>
      <c r="Q438" s="8"/>
      <c r="R438" s="8"/>
      <c r="S438" s="8"/>
      <c r="T438" s="8"/>
      <c r="U438" s="53"/>
      <c r="V438" s="53"/>
      <c r="W438" s="53"/>
      <c r="X438" s="53"/>
      <c r="Y438" s="53"/>
      <c r="Z438" s="53"/>
      <c r="AA438" s="53"/>
      <c r="AB438" s="53"/>
      <c r="AC438" s="53"/>
      <c r="AD438" s="53"/>
      <c r="AE438" s="53"/>
      <c r="AF438" s="53"/>
      <c r="AG438" s="8"/>
      <c r="AH438" s="8"/>
      <c r="AI438" s="8"/>
      <c r="AJ438" s="8"/>
      <c r="AK438" s="8"/>
      <c r="AL438" s="8"/>
      <c r="AM438" s="8"/>
      <c r="AN438" s="8"/>
      <c r="AO438" s="8"/>
      <c r="AP438" s="8"/>
      <c r="AQ438" s="8"/>
      <c r="AR438" s="8"/>
      <c r="AS438" s="8"/>
      <c r="AT438" s="8"/>
      <c r="AU438" s="8"/>
      <c r="AV438" s="8"/>
      <c r="AW438" s="8"/>
      <c r="AX438" s="8"/>
      <c r="AY438" s="8"/>
      <c r="AZ438" s="8"/>
      <c r="BA438" s="8"/>
      <c r="BB438" s="8"/>
      <c r="BC438" s="8"/>
      <c r="BD438" s="8"/>
      <c r="BE438" s="8"/>
    </row>
    <row r="439" spans="1:57">
      <c r="A439" s="8"/>
      <c r="B439" s="8"/>
      <c r="C439" s="8"/>
      <c r="D439" s="8"/>
      <c r="E439" s="8"/>
      <c r="F439" s="54"/>
      <c r="G439" s="8"/>
      <c r="H439" s="8"/>
      <c r="I439" s="8"/>
      <c r="J439" s="8"/>
      <c r="K439" s="8"/>
      <c r="L439" s="8"/>
      <c r="M439" s="8"/>
      <c r="N439" s="8"/>
      <c r="O439" s="8"/>
      <c r="P439" s="8"/>
      <c r="Q439" s="8"/>
      <c r="R439" s="8"/>
      <c r="S439" s="8"/>
      <c r="T439" s="8"/>
      <c r="U439" s="53"/>
      <c r="V439" s="53"/>
      <c r="W439" s="53"/>
      <c r="X439" s="53"/>
      <c r="Y439" s="53"/>
      <c r="Z439" s="53"/>
      <c r="AA439" s="53"/>
      <c r="AB439" s="53"/>
      <c r="AC439" s="53"/>
      <c r="AD439" s="53"/>
      <c r="AE439" s="53"/>
      <c r="AF439" s="53"/>
      <c r="AG439" s="8"/>
      <c r="AH439" s="8"/>
      <c r="AI439" s="8"/>
      <c r="AJ439" s="8"/>
      <c r="AK439" s="8"/>
      <c r="AL439" s="8"/>
      <c r="AM439" s="8"/>
      <c r="AN439" s="8"/>
      <c r="AO439" s="8"/>
      <c r="AP439" s="8"/>
      <c r="AQ439" s="8"/>
      <c r="AR439" s="8"/>
      <c r="AS439" s="8"/>
      <c r="AT439" s="8"/>
      <c r="AU439" s="8"/>
      <c r="AV439" s="8"/>
      <c r="AW439" s="8"/>
      <c r="AX439" s="8"/>
      <c r="AY439" s="8"/>
      <c r="AZ439" s="8"/>
      <c r="BA439" s="8"/>
      <c r="BB439" s="8"/>
      <c r="BC439" s="8"/>
      <c r="BD439" s="8"/>
      <c r="BE439" s="8"/>
    </row>
    <row r="440" spans="1:57">
      <c r="A440" s="8"/>
      <c r="B440" s="8"/>
      <c r="C440" s="8"/>
      <c r="D440" s="8"/>
      <c r="E440" s="8"/>
      <c r="F440" s="54"/>
      <c r="G440" s="8"/>
      <c r="H440" s="8"/>
      <c r="I440" s="8"/>
      <c r="J440" s="8"/>
      <c r="K440" s="8"/>
      <c r="L440" s="8"/>
      <c r="M440" s="8"/>
      <c r="N440" s="8"/>
      <c r="O440" s="8"/>
      <c r="P440" s="8"/>
      <c r="Q440" s="8"/>
      <c r="R440" s="8"/>
      <c r="S440" s="8"/>
      <c r="T440" s="8"/>
      <c r="U440" s="53"/>
      <c r="V440" s="53"/>
      <c r="W440" s="53"/>
      <c r="X440" s="53"/>
      <c r="Y440" s="53"/>
      <c r="Z440" s="53"/>
      <c r="AA440" s="53"/>
      <c r="AB440" s="53"/>
      <c r="AC440" s="53"/>
      <c r="AD440" s="53"/>
      <c r="AE440" s="53"/>
      <c r="AF440" s="53"/>
      <c r="AG440" s="8"/>
      <c r="AH440" s="8"/>
      <c r="AI440" s="8"/>
      <c r="AJ440" s="8"/>
      <c r="AK440" s="8"/>
      <c r="AL440" s="8"/>
      <c r="AM440" s="8"/>
      <c r="AN440" s="8"/>
      <c r="AO440" s="8"/>
      <c r="AP440" s="8"/>
      <c r="AQ440" s="8"/>
      <c r="AR440" s="8"/>
      <c r="AS440" s="8"/>
      <c r="AT440" s="8"/>
      <c r="AU440" s="8"/>
      <c r="AV440" s="8"/>
      <c r="AW440" s="8"/>
      <c r="AX440" s="8"/>
      <c r="AY440" s="8"/>
      <c r="AZ440" s="8"/>
      <c r="BA440" s="8"/>
      <c r="BB440" s="8"/>
      <c r="BC440" s="8"/>
      <c r="BD440" s="8"/>
      <c r="BE440" s="8"/>
    </row>
    <row r="441" spans="1:57">
      <c r="A441" s="8"/>
      <c r="B441" s="8"/>
      <c r="C441" s="8"/>
      <c r="D441" s="8"/>
      <c r="E441" s="8"/>
      <c r="F441" s="54"/>
      <c r="G441" s="8"/>
      <c r="H441" s="8"/>
      <c r="I441" s="8"/>
      <c r="J441" s="8"/>
      <c r="K441" s="8"/>
      <c r="L441" s="8"/>
      <c r="M441" s="8"/>
      <c r="N441" s="8"/>
      <c r="O441" s="8"/>
      <c r="P441" s="8"/>
      <c r="Q441" s="8"/>
      <c r="R441" s="8"/>
      <c r="S441" s="8"/>
      <c r="T441" s="8"/>
      <c r="U441" s="53"/>
      <c r="V441" s="53"/>
      <c r="W441" s="53"/>
      <c r="X441" s="53"/>
      <c r="Y441" s="53"/>
      <c r="Z441" s="53"/>
      <c r="AA441" s="53"/>
      <c r="AB441" s="53"/>
      <c r="AC441" s="53"/>
      <c r="AD441" s="53"/>
      <c r="AE441" s="53"/>
      <c r="AF441" s="53"/>
      <c r="AG441" s="8"/>
      <c r="AH441" s="8"/>
      <c r="AI441" s="8"/>
      <c r="AJ441" s="8"/>
      <c r="AK441" s="8"/>
      <c r="AL441" s="8"/>
      <c r="AM441" s="8"/>
      <c r="AN441" s="8"/>
      <c r="AO441" s="8"/>
      <c r="AP441" s="8"/>
      <c r="AQ441" s="8"/>
      <c r="AR441" s="8"/>
      <c r="AS441" s="8"/>
      <c r="AT441" s="8"/>
      <c r="AU441" s="8"/>
      <c r="AV441" s="8"/>
      <c r="AW441" s="8"/>
      <c r="AX441" s="8"/>
      <c r="AY441" s="8"/>
      <c r="AZ441" s="8"/>
      <c r="BA441" s="8"/>
      <c r="BB441" s="8"/>
      <c r="BC441" s="8"/>
      <c r="BD441" s="8"/>
      <c r="BE441" s="8"/>
    </row>
    <row r="442" spans="1:57">
      <c r="A442" s="8"/>
      <c r="B442" s="8"/>
      <c r="C442" s="8"/>
      <c r="D442" s="8"/>
      <c r="E442" s="8"/>
      <c r="F442" s="54"/>
      <c r="G442" s="8"/>
      <c r="H442" s="8"/>
      <c r="I442" s="8"/>
      <c r="J442" s="8"/>
      <c r="K442" s="8"/>
      <c r="L442" s="8"/>
      <c r="M442" s="8"/>
      <c r="N442" s="8"/>
      <c r="O442" s="8"/>
      <c r="P442" s="8"/>
      <c r="Q442" s="8"/>
      <c r="R442" s="8"/>
      <c r="S442" s="8"/>
      <c r="T442" s="8"/>
      <c r="U442" s="53"/>
      <c r="V442" s="53"/>
      <c r="W442" s="53"/>
      <c r="X442" s="53"/>
      <c r="Y442" s="53"/>
      <c r="Z442" s="53"/>
      <c r="AA442" s="53"/>
      <c r="AB442" s="53"/>
      <c r="AC442" s="53"/>
      <c r="AD442" s="53"/>
      <c r="AE442" s="53"/>
      <c r="AF442" s="53"/>
      <c r="AG442" s="8"/>
      <c r="AH442" s="8"/>
      <c r="AI442" s="8"/>
      <c r="AJ442" s="8"/>
      <c r="AK442" s="8"/>
      <c r="AL442" s="8"/>
      <c r="AM442" s="8"/>
      <c r="AN442" s="8"/>
      <c r="AO442" s="8"/>
      <c r="AP442" s="8"/>
      <c r="AQ442" s="8"/>
      <c r="AR442" s="8"/>
      <c r="AS442" s="8"/>
      <c r="AT442" s="8"/>
      <c r="AU442" s="8"/>
      <c r="AV442" s="8"/>
      <c r="AW442" s="8"/>
      <c r="AX442" s="8"/>
      <c r="AY442" s="8"/>
      <c r="AZ442" s="8"/>
      <c r="BA442" s="8"/>
      <c r="BB442" s="8"/>
      <c r="BC442" s="8"/>
      <c r="BD442" s="8"/>
      <c r="BE442" s="8"/>
    </row>
    <row r="443" spans="1:57">
      <c r="A443" s="8"/>
      <c r="B443" s="8"/>
      <c r="C443" s="8"/>
      <c r="D443" s="8"/>
      <c r="E443" s="8"/>
      <c r="F443" s="54"/>
      <c r="G443" s="8"/>
      <c r="H443" s="8"/>
      <c r="I443" s="8"/>
      <c r="J443" s="8"/>
      <c r="K443" s="8"/>
      <c r="L443" s="8"/>
      <c r="M443" s="8"/>
      <c r="N443" s="8"/>
      <c r="O443" s="8"/>
      <c r="P443" s="8"/>
      <c r="Q443" s="8"/>
      <c r="R443" s="8"/>
      <c r="S443" s="8"/>
      <c r="T443" s="8"/>
      <c r="U443" s="53"/>
      <c r="V443" s="53"/>
      <c r="W443" s="53"/>
      <c r="X443" s="53"/>
      <c r="Y443" s="53"/>
      <c r="Z443" s="53"/>
      <c r="AA443" s="53"/>
      <c r="AB443" s="53"/>
      <c r="AC443" s="53"/>
      <c r="AD443" s="53"/>
      <c r="AE443" s="53"/>
      <c r="AF443" s="53"/>
      <c r="AG443" s="8"/>
      <c r="AH443" s="8"/>
      <c r="AI443" s="8"/>
      <c r="AJ443" s="8"/>
      <c r="AK443" s="8"/>
      <c r="AL443" s="8"/>
      <c r="AM443" s="8"/>
      <c r="AN443" s="8"/>
      <c r="AO443" s="8"/>
      <c r="AP443" s="8"/>
      <c r="AQ443" s="8"/>
      <c r="AR443" s="8"/>
      <c r="AS443" s="8"/>
      <c r="AT443" s="8"/>
      <c r="AU443" s="8"/>
      <c r="AV443" s="8"/>
      <c r="AW443" s="8"/>
      <c r="AX443" s="8"/>
      <c r="AY443" s="8"/>
      <c r="AZ443" s="8"/>
      <c r="BA443" s="8"/>
      <c r="BB443" s="8"/>
      <c r="BC443" s="8"/>
      <c r="BD443" s="8"/>
      <c r="BE443" s="8"/>
    </row>
    <row r="444" spans="1:57">
      <c r="A444" s="8"/>
      <c r="B444" s="8"/>
      <c r="C444" s="8"/>
      <c r="D444" s="8"/>
      <c r="E444" s="8"/>
      <c r="F444" s="54"/>
      <c r="G444" s="8"/>
      <c r="H444" s="8"/>
      <c r="I444" s="8"/>
      <c r="J444" s="8"/>
      <c r="K444" s="8"/>
      <c r="L444" s="8"/>
      <c r="M444" s="8"/>
      <c r="N444" s="8"/>
      <c r="O444" s="8"/>
      <c r="P444" s="8"/>
      <c r="Q444" s="8"/>
      <c r="R444" s="8"/>
      <c r="S444" s="8"/>
      <c r="T444" s="8"/>
      <c r="U444" s="53"/>
      <c r="V444" s="53"/>
      <c r="W444" s="53"/>
      <c r="X444" s="53"/>
      <c r="Y444" s="53"/>
      <c r="Z444" s="53"/>
      <c r="AA444" s="53"/>
      <c r="AB444" s="53"/>
      <c r="AC444" s="53"/>
      <c r="AD444" s="53"/>
      <c r="AE444" s="53"/>
      <c r="AF444" s="53"/>
      <c r="AG444" s="8"/>
      <c r="AH444" s="8"/>
      <c r="AI444" s="8"/>
      <c r="AJ444" s="8"/>
      <c r="AK444" s="8"/>
      <c r="AL444" s="8"/>
      <c r="AM444" s="8"/>
      <c r="AN444" s="8"/>
      <c r="AO444" s="8"/>
      <c r="AP444" s="8"/>
      <c r="AQ444" s="8"/>
      <c r="AR444" s="8"/>
      <c r="AS444" s="8"/>
      <c r="AT444" s="8"/>
      <c r="AU444" s="8"/>
      <c r="AV444" s="8"/>
      <c r="AW444" s="8"/>
      <c r="AX444" s="8"/>
      <c r="AY444" s="8"/>
      <c r="AZ444" s="8"/>
      <c r="BA444" s="8"/>
      <c r="BB444" s="8"/>
      <c r="BC444" s="8"/>
      <c r="BD444" s="8"/>
      <c r="BE444" s="8"/>
    </row>
    <row r="445" spans="1:57">
      <c r="A445" s="8"/>
      <c r="B445" s="8"/>
      <c r="C445" s="8"/>
      <c r="D445" s="8"/>
      <c r="E445" s="8"/>
      <c r="F445" s="54"/>
      <c r="G445" s="8"/>
      <c r="H445" s="8"/>
      <c r="I445" s="8"/>
      <c r="J445" s="8"/>
      <c r="K445" s="8"/>
      <c r="L445" s="8"/>
      <c r="M445" s="8"/>
      <c r="N445" s="8"/>
      <c r="O445" s="8"/>
      <c r="P445" s="8"/>
      <c r="Q445" s="8"/>
      <c r="R445" s="8"/>
      <c r="S445" s="8"/>
      <c r="T445" s="8"/>
      <c r="U445" s="53"/>
      <c r="V445" s="53"/>
      <c r="W445" s="53"/>
      <c r="X445" s="53"/>
      <c r="Y445" s="53"/>
      <c r="Z445" s="53"/>
      <c r="AA445" s="53"/>
      <c r="AB445" s="53"/>
      <c r="AC445" s="53"/>
      <c r="AD445" s="53"/>
      <c r="AE445" s="53"/>
      <c r="AF445" s="53"/>
      <c r="AG445" s="8"/>
      <c r="AH445" s="8"/>
      <c r="AI445" s="8"/>
      <c r="AJ445" s="8"/>
      <c r="AK445" s="8"/>
      <c r="AL445" s="8"/>
      <c r="AM445" s="8"/>
      <c r="AN445" s="8"/>
      <c r="AO445" s="8"/>
      <c r="AP445" s="8"/>
      <c r="AQ445" s="8"/>
      <c r="AR445" s="8"/>
      <c r="AS445" s="8"/>
      <c r="AT445" s="8"/>
      <c r="AU445" s="8"/>
      <c r="AV445" s="8"/>
      <c r="AW445" s="8"/>
      <c r="AX445" s="8"/>
      <c r="AY445" s="8"/>
      <c r="AZ445" s="8"/>
      <c r="BA445" s="8"/>
      <c r="BB445" s="8"/>
      <c r="BC445" s="8"/>
      <c r="BD445" s="8"/>
      <c r="BE445" s="8"/>
    </row>
    <row r="446" spans="1:57">
      <c r="A446" s="8"/>
      <c r="B446" s="8"/>
      <c r="C446" s="8"/>
      <c r="D446" s="8"/>
      <c r="E446" s="8"/>
      <c r="F446" s="54"/>
      <c r="G446" s="8"/>
      <c r="H446" s="8"/>
      <c r="I446" s="8"/>
      <c r="J446" s="8"/>
      <c r="K446" s="8"/>
      <c r="L446" s="8"/>
      <c r="M446" s="8"/>
      <c r="N446" s="8"/>
      <c r="O446" s="8"/>
      <c r="P446" s="8"/>
      <c r="Q446" s="8"/>
      <c r="R446" s="8"/>
      <c r="S446" s="8"/>
      <c r="T446" s="8"/>
      <c r="U446" s="53"/>
      <c r="V446" s="53"/>
      <c r="W446" s="53"/>
      <c r="X446" s="53"/>
      <c r="Y446" s="53"/>
      <c r="Z446" s="53"/>
      <c r="AA446" s="53"/>
      <c r="AB446" s="53"/>
      <c r="AC446" s="53"/>
      <c r="AD446" s="53"/>
      <c r="AE446" s="53"/>
      <c r="AF446" s="53"/>
      <c r="AG446" s="8"/>
      <c r="AH446" s="8"/>
      <c r="AI446" s="8"/>
      <c r="AJ446" s="8"/>
      <c r="AK446" s="8"/>
      <c r="AL446" s="8"/>
      <c r="AM446" s="8"/>
      <c r="AN446" s="8"/>
      <c r="AO446" s="8"/>
      <c r="AP446" s="8"/>
      <c r="AQ446" s="8"/>
      <c r="AR446" s="8"/>
      <c r="AS446" s="8"/>
      <c r="AT446" s="8"/>
      <c r="AU446" s="8"/>
      <c r="AV446" s="8"/>
      <c r="AW446" s="8"/>
      <c r="AX446" s="8"/>
      <c r="AY446" s="8"/>
      <c r="AZ446" s="8"/>
      <c r="BA446" s="8"/>
      <c r="BB446" s="8"/>
      <c r="BC446" s="8"/>
      <c r="BD446" s="8"/>
      <c r="BE446" s="8"/>
    </row>
    <row r="447" spans="1:57">
      <c r="A447" s="8"/>
      <c r="B447" s="8"/>
      <c r="C447" s="8"/>
      <c r="D447" s="8"/>
      <c r="E447" s="8"/>
      <c r="F447" s="54"/>
      <c r="G447" s="8"/>
      <c r="H447" s="8"/>
      <c r="I447" s="8"/>
      <c r="J447" s="8"/>
      <c r="K447" s="8"/>
      <c r="L447" s="8"/>
      <c r="M447" s="8"/>
      <c r="N447" s="8"/>
      <c r="O447" s="8"/>
      <c r="P447" s="8"/>
      <c r="Q447" s="8"/>
      <c r="R447" s="8"/>
      <c r="S447" s="8"/>
      <c r="T447" s="8"/>
      <c r="U447" s="53"/>
      <c r="V447" s="53"/>
      <c r="W447" s="53"/>
      <c r="X447" s="53"/>
      <c r="Y447" s="53"/>
      <c r="Z447" s="53"/>
      <c r="AA447" s="53"/>
      <c r="AB447" s="53"/>
      <c r="AC447" s="53"/>
      <c r="AD447" s="53"/>
      <c r="AE447" s="53"/>
      <c r="AF447" s="53"/>
      <c r="AG447" s="8"/>
      <c r="AH447" s="8"/>
      <c r="AI447" s="8"/>
      <c r="AJ447" s="8"/>
      <c r="AK447" s="8"/>
      <c r="AL447" s="8"/>
      <c r="AM447" s="8"/>
      <c r="AN447" s="8"/>
      <c r="AO447" s="8"/>
      <c r="AP447" s="8"/>
      <c r="AQ447" s="8"/>
      <c r="AR447" s="8"/>
      <c r="AS447" s="8"/>
      <c r="AT447" s="8"/>
      <c r="AU447" s="8"/>
      <c r="AV447" s="8"/>
      <c r="AW447" s="8"/>
      <c r="AX447" s="8"/>
      <c r="AY447" s="8"/>
      <c r="AZ447" s="8"/>
      <c r="BA447" s="8"/>
      <c r="BB447" s="8"/>
      <c r="BC447" s="8"/>
      <c r="BD447" s="8"/>
      <c r="BE447" s="8"/>
    </row>
    <row r="448" spans="1:57">
      <c r="A448" s="8"/>
      <c r="B448" s="8"/>
      <c r="C448" s="8"/>
      <c r="D448" s="8"/>
      <c r="E448" s="8"/>
      <c r="F448" s="54"/>
      <c r="G448" s="8"/>
      <c r="H448" s="8"/>
      <c r="I448" s="8"/>
      <c r="J448" s="8"/>
      <c r="K448" s="8"/>
      <c r="L448" s="8"/>
      <c r="M448" s="8"/>
      <c r="N448" s="8"/>
      <c r="O448" s="8"/>
      <c r="P448" s="8"/>
      <c r="Q448" s="8"/>
      <c r="R448" s="8"/>
      <c r="S448" s="8"/>
      <c r="T448" s="8"/>
      <c r="U448" s="53"/>
      <c r="V448" s="53"/>
      <c r="W448" s="53"/>
      <c r="X448" s="53"/>
      <c r="Y448" s="53"/>
      <c r="Z448" s="53"/>
      <c r="AA448" s="53"/>
      <c r="AB448" s="53"/>
      <c r="AC448" s="53"/>
      <c r="AD448" s="53"/>
      <c r="AE448" s="53"/>
      <c r="AF448" s="53"/>
      <c r="AG448" s="8"/>
      <c r="AH448" s="8"/>
      <c r="AI448" s="8"/>
      <c r="AJ448" s="8"/>
      <c r="AK448" s="8"/>
      <c r="AL448" s="8"/>
      <c r="AM448" s="8"/>
      <c r="AN448" s="8"/>
      <c r="AO448" s="8"/>
      <c r="AP448" s="8"/>
      <c r="AQ448" s="8"/>
      <c r="AR448" s="8"/>
      <c r="AS448" s="8"/>
      <c r="AT448" s="8"/>
      <c r="AU448" s="8"/>
      <c r="AV448" s="8"/>
      <c r="AW448" s="8"/>
      <c r="AX448" s="8"/>
      <c r="AY448" s="8"/>
      <c r="AZ448" s="8"/>
      <c r="BA448" s="8"/>
      <c r="BB448" s="8"/>
      <c r="BC448" s="8"/>
      <c r="BD448" s="8"/>
      <c r="BE448" s="8"/>
    </row>
    <row r="449" spans="1:57">
      <c r="A449" s="8"/>
      <c r="B449" s="8"/>
      <c r="C449" s="8"/>
      <c r="D449" s="8"/>
      <c r="E449" s="8"/>
      <c r="F449" s="54"/>
      <c r="G449" s="8"/>
      <c r="H449" s="8"/>
      <c r="I449" s="8"/>
      <c r="J449" s="8"/>
      <c r="K449" s="8"/>
      <c r="L449" s="8"/>
      <c r="M449" s="8"/>
      <c r="N449" s="8"/>
      <c r="O449" s="8"/>
      <c r="P449" s="8"/>
      <c r="Q449" s="8"/>
      <c r="R449" s="8"/>
      <c r="S449" s="8"/>
      <c r="T449" s="8"/>
      <c r="U449" s="53"/>
      <c r="V449" s="53"/>
      <c r="W449" s="53"/>
      <c r="X449" s="53"/>
      <c r="Y449" s="53"/>
      <c r="Z449" s="53"/>
      <c r="AA449" s="53"/>
      <c r="AB449" s="53"/>
      <c r="AC449" s="53"/>
      <c r="AD449" s="53"/>
      <c r="AE449" s="53"/>
      <c r="AF449" s="53"/>
      <c r="AG449" s="8"/>
      <c r="AH449" s="8"/>
      <c r="AI449" s="8"/>
      <c r="AJ449" s="8"/>
      <c r="AK449" s="8"/>
      <c r="AL449" s="8"/>
      <c r="AM449" s="8"/>
      <c r="AN449" s="8"/>
      <c r="AO449" s="8"/>
      <c r="AP449" s="8"/>
      <c r="AQ449" s="8"/>
      <c r="AR449" s="8"/>
      <c r="AS449" s="8"/>
      <c r="AT449" s="8"/>
      <c r="AU449" s="8"/>
      <c r="AV449" s="8"/>
      <c r="AW449" s="8"/>
      <c r="AX449" s="8"/>
      <c r="AY449" s="8"/>
      <c r="AZ449" s="8"/>
      <c r="BA449" s="8"/>
      <c r="BB449" s="8"/>
      <c r="BC449" s="8"/>
      <c r="BD449" s="8"/>
      <c r="BE449" s="8"/>
    </row>
    <row r="450" spans="1:57">
      <c r="A450" s="8"/>
      <c r="B450" s="8"/>
      <c r="C450" s="8"/>
      <c r="D450" s="8"/>
      <c r="E450" s="8"/>
      <c r="F450" s="54"/>
      <c r="G450" s="8"/>
      <c r="H450" s="8"/>
      <c r="I450" s="8"/>
      <c r="J450" s="8"/>
      <c r="K450" s="8"/>
      <c r="L450" s="8"/>
      <c r="M450" s="8"/>
      <c r="N450" s="8"/>
      <c r="O450" s="8"/>
      <c r="P450" s="8"/>
      <c r="Q450" s="8"/>
      <c r="R450" s="8"/>
      <c r="S450" s="8"/>
      <c r="T450" s="8"/>
      <c r="U450" s="53"/>
      <c r="V450" s="53"/>
      <c r="W450" s="53"/>
      <c r="X450" s="53"/>
      <c r="Y450" s="53"/>
      <c r="Z450" s="53"/>
      <c r="AA450" s="53"/>
      <c r="AB450" s="53"/>
      <c r="AC450" s="53"/>
      <c r="AD450" s="53"/>
      <c r="AE450" s="53"/>
      <c r="AF450" s="53"/>
      <c r="AG450" s="8"/>
      <c r="AH450" s="8"/>
      <c r="AI450" s="8"/>
      <c r="AJ450" s="8"/>
      <c r="AK450" s="8"/>
      <c r="AL450" s="8"/>
      <c r="AM450" s="8"/>
      <c r="AN450" s="8"/>
      <c r="AO450" s="8"/>
      <c r="AP450" s="8"/>
      <c r="AQ450" s="8"/>
      <c r="AR450" s="8"/>
      <c r="AS450" s="8"/>
      <c r="AT450" s="8"/>
      <c r="AU450" s="8"/>
      <c r="AV450" s="8"/>
      <c r="AW450" s="8"/>
      <c r="AX450" s="8"/>
      <c r="AY450" s="8"/>
      <c r="AZ450" s="8"/>
      <c r="BA450" s="8"/>
      <c r="BB450" s="8"/>
      <c r="BC450" s="8"/>
      <c r="BD450" s="8"/>
      <c r="BE450" s="8"/>
    </row>
    <row r="451" spans="1:57">
      <c r="A451" s="8"/>
      <c r="B451" s="8"/>
      <c r="C451" s="8"/>
      <c r="D451" s="8"/>
      <c r="E451" s="8"/>
      <c r="F451" s="54"/>
      <c r="G451" s="8"/>
      <c r="H451" s="8"/>
      <c r="I451" s="8"/>
      <c r="J451" s="8"/>
      <c r="K451" s="8"/>
      <c r="L451" s="8"/>
      <c r="M451" s="8"/>
      <c r="N451" s="8"/>
      <c r="O451" s="8"/>
      <c r="P451" s="8"/>
      <c r="Q451" s="8"/>
      <c r="R451" s="8"/>
      <c r="S451" s="8"/>
      <c r="T451" s="8"/>
      <c r="U451" s="53"/>
      <c r="V451" s="53"/>
      <c r="W451" s="53"/>
      <c r="X451" s="53"/>
      <c r="Y451" s="53"/>
      <c r="Z451" s="53"/>
      <c r="AA451" s="53"/>
      <c r="AB451" s="53"/>
      <c r="AC451" s="53"/>
      <c r="AD451" s="53"/>
      <c r="AE451" s="53"/>
      <c r="AF451" s="53"/>
      <c r="AG451" s="8"/>
      <c r="AH451" s="8"/>
      <c r="AI451" s="8"/>
      <c r="AJ451" s="8"/>
      <c r="AK451" s="8"/>
      <c r="AL451" s="8"/>
      <c r="AM451" s="8"/>
      <c r="AN451" s="8"/>
      <c r="AO451" s="8"/>
      <c r="AP451" s="8"/>
      <c r="AQ451" s="8"/>
      <c r="AR451" s="8"/>
      <c r="AS451" s="8"/>
      <c r="AT451" s="8"/>
      <c r="AU451" s="8"/>
      <c r="AV451" s="8"/>
      <c r="AW451" s="8"/>
      <c r="AX451" s="8"/>
      <c r="AY451" s="8"/>
      <c r="AZ451" s="8"/>
      <c r="BA451" s="8"/>
      <c r="BB451" s="8"/>
      <c r="BC451" s="8"/>
      <c r="BD451" s="8"/>
      <c r="BE451" s="8"/>
    </row>
    <row r="452" spans="1:57">
      <c r="A452" s="8"/>
      <c r="B452" s="8"/>
      <c r="C452" s="8"/>
      <c r="D452" s="8"/>
      <c r="E452" s="8"/>
      <c r="F452" s="54"/>
      <c r="G452" s="8"/>
      <c r="H452" s="8"/>
      <c r="I452" s="8"/>
      <c r="J452" s="8"/>
      <c r="K452" s="8"/>
      <c r="L452" s="8"/>
      <c r="M452" s="8"/>
      <c r="N452" s="8"/>
      <c r="O452" s="8"/>
      <c r="P452" s="8"/>
      <c r="Q452" s="8"/>
      <c r="R452" s="8"/>
      <c r="S452" s="8"/>
      <c r="T452" s="8"/>
      <c r="U452" s="53"/>
      <c r="V452" s="53"/>
      <c r="W452" s="53"/>
      <c r="X452" s="53"/>
      <c r="Y452" s="53"/>
      <c r="Z452" s="53"/>
      <c r="AA452" s="53"/>
      <c r="AB452" s="53"/>
      <c r="AC452" s="53"/>
      <c r="AD452" s="53"/>
      <c r="AE452" s="53"/>
      <c r="AF452" s="53"/>
      <c r="AG452" s="8"/>
      <c r="AH452" s="8"/>
      <c r="AI452" s="8"/>
      <c r="AJ452" s="8"/>
      <c r="AK452" s="8"/>
      <c r="AL452" s="8"/>
      <c r="AM452" s="8"/>
      <c r="AN452" s="8"/>
      <c r="AO452" s="8"/>
      <c r="AP452" s="8"/>
      <c r="AQ452" s="8"/>
      <c r="AR452" s="8"/>
      <c r="AS452" s="8"/>
      <c r="AT452" s="8"/>
      <c r="AU452" s="8"/>
      <c r="AV452" s="8"/>
      <c r="AW452" s="8"/>
      <c r="AX452" s="8"/>
      <c r="AY452" s="8"/>
      <c r="AZ452" s="8"/>
      <c r="BA452" s="8"/>
      <c r="BB452" s="8"/>
      <c r="BC452" s="8"/>
      <c r="BD452" s="8"/>
      <c r="BE452" s="8"/>
    </row>
    <row r="453" spans="1:57">
      <c r="A453" s="8"/>
      <c r="B453" s="8"/>
      <c r="C453" s="8"/>
      <c r="D453" s="8"/>
      <c r="E453" s="8"/>
      <c r="F453" s="54"/>
      <c r="G453" s="8"/>
      <c r="H453" s="8"/>
      <c r="I453" s="8"/>
      <c r="J453" s="8"/>
      <c r="K453" s="8"/>
      <c r="L453" s="8"/>
      <c r="M453" s="8"/>
      <c r="N453" s="8"/>
      <c r="O453" s="8"/>
      <c r="P453" s="8"/>
      <c r="Q453" s="8"/>
      <c r="R453" s="8"/>
      <c r="S453" s="8"/>
      <c r="T453" s="8"/>
      <c r="U453" s="53"/>
      <c r="V453" s="53"/>
      <c r="W453" s="53"/>
      <c r="X453" s="53"/>
      <c r="Y453" s="53"/>
      <c r="Z453" s="53"/>
      <c r="AA453" s="53"/>
      <c r="AB453" s="53"/>
      <c r="AC453" s="53"/>
      <c r="AD453" s="53"/>
      <c r="AE453" s="53"/>
      <c r="AF453" s="53"/>
      <c r="AG453" s="8"/>
      <c r="AH453" s="8"/>
      <c r="AI453" s="8"/>
      <c r="AJ453" s="8"/>
      <c r="AK453" s="8"/>
      <c r="AL453" s="8"/>
      <c r="AM453" s="8"/>
      <c r="AN453" s="8"/>
      <c r="AO453" s="8"/>
      <c r="AP453" s="8"/>
      <c r="AQ453" s="8"/>
      <c r="AR453" s="8"/>
      <c r="AS453" s="8"/>
      <c r="AT453" s="8"/>
      <c r="AU453" s="8"/>
      <c r="AV453" s="8"/>
      <c r="AW453" s="8"/>
      <c r="AX453" s="8"/>
      <c r="AY453" s="8"/>
      <c r="AZ453" s="8"/>
      <c r="BA453" s="8"/>
      <c r="BB453" s="8"/>
      <c r="BC453" s="8"/>
      <c r="BD453" s="8"/>
      <c r="BE453" s="8"/>
    </row>
    <row r="454" spans="1:57">
      <c r="A454" s="8"/>
      <c r="B454" s="8"/>
      <c r="C454" s="8"/>
      <c r="D454" s="8"/>
      <c r="E454" s="8"/>
      <c r="F454" s="54"/>
      <c r="G454" s="8"/>
      <c r="H454" s="8"/>
      <c r="I454" s="8"/>
      <c r="J454" s="8"/>
      <c r="K454" s="8"/>
      <c r="L454" s="8"/>
      <c r="M454" s="8"/>
      <c r="N454" s="8"/>
      <c r="O454" s="8"/>
      <c r="P454" s="8"/>
      <c r="Q454" s="8"/>
      <c r="R454" s="8"/>
      <c r="S454" s="8"/>
      <c r="T454" s="8"/>
      <c r="U454" s="53"/>
      <c r="V454" s="53"/>
      <c r="W454" s="53"/>
      <c r="X454" s="53"/>
      <c r="Y454" s="53"/>
      <c r="Z454" s="53"/>
      <c r="AA454" s="53"/>
      <c r="AB454" s="53"/>
      <c r="AC454" s="53"/>
      <c r="AD454" s="53"/>
      <c r="AE454" s="53"/>
      <c r="AF454" s="53"/>
      <c r="AG454" s="8"/>
      <c r="AH454" s="8"/>
      <c r="AI454" s="8"/>
      <c r="AJ454" s="8"/>
      <c r="AK454" s="8"/>
      <c r="AL454" s="8"/>
      <c r="AM454" s="8"/>
      <c r="AN454" s="8"/>
      <c r="AO454" s="8"/>
      <c r="AP454" s="8"/>
      <c r="AQ454" s="8"/>
      <c r="AR454" s="8"/>
      <c r="AS454" s="8"/>
      <c r="AT454" s="8"/>
      <c r="AU454" s="8"/>
      <c r="AV454" s="8"/>
      <c r="AW454" s="8"/>
      <c r="AX454" s="8"/>
      <c r="AY454" s="8"/>
      <c r="AZ454" s="8"/>
      <c r="BA454" s="8"/>
      <c r="BB454" s="8"/>
      <c r="BC454" s="8"/>
      <c r="BD454" s="8"/>
      <c r="BE454" s="8"/>
    </row>
    <row r="455" spans="1:57">
      <c r="A455" s="8"/>
      <c r="B455" s="8"/>
      <c r="C455" s="8"/>
      <c r="D455" s="8"/>
      <c r="E455" s="8"/>
      <c r="F455" s="54"/>
      <c r="G455" s="8"/>
      <c r="H455" s="8"/>
      <c r="I455" s="8"/>
      <c r="J455" s="8"/>
      <c r="K455" s="8"/>
      <c r="L455" s="8"/>
      <c r="M455" s="8"/>
      <c r="N455" s="8"/>
      <c r="O455" s="8"/>
      <c r="P455" s="8"/>
      <c r="Q455" s="8"/>
      <c r="R455" s="8"/>
      <c r="S455" s="8"/>
      <c r="T455" s="8"/>
      <c r="U455" s="53"/>
      <c r="V455" s="53"/>
      <c r="W455" s="53"/>
      <c r="X455" s="53"/>
      <c r="Y455" s="53"/>
      <c r="Z455" s="53"/>
      <c r="AA455" s="53"/>
      <c r="AB455" s="53"/>
      <c r="AC455" s="53"/>
      <c r="AD455" s="53"/>
      <c r="AE455" s="53"/>
      <c r="AF455" s="53"/>
      <c r="AG455" s="8"/>
      <c r="AH455" s="8"/>
      <c r="AI455" s="8"/>
      <c r="AJ455" s="8"/>
      <c r="AK455" s="8"/>
      <c r="AL455" s="8"/>
      <c r="AM455" s="8"/>
      <c r="AN455" s="8"/>
      <c r="AO455" s="8"/>
      <c r="AP455" s="8"/>
      <c r="AQ455" s="8"/>
      <c r="AR455" s="8"/>
      <c r="AS455" s="8"/>
      <c r="AT455" s="8"/>
      <c r="AU455" s="8"/>
      <c r="AV455" s="8"/>
      <c r="AW455" s="8"/>
      <c r="AX455" s="8"/>
      <c r="AY455" s="8"/>
      <c r="AZ455" s="8"/>
      <c r="BA455" s="8"/>
      <c r="BB455" s="8"/>
      <c r="BC455" s="8"/>
      <c r="BD455" s="8"/>
      <c r="BE455" s="8"/>
    </row>
    <row r="456" spans="1:57">
      <c r="A456" s="8"/>
      <c r="B456" s="8"/>
      <c r="C456" s="8"/>
      <c r="D456" s="8"/>
      <c r="E456" s="8"/>
      <c r="F456" s="54"/>
      <c r="G456" s="8"/>
      <c r="H456" s="8"/>
      <c r="I456" s="8"/>
      <c r="J456" s="8"/>
      <c r="K456" s="8"/>
      <c r="L456" s="8"/>
      <c r="M456" s="8"/>
      <c r="N456" s="8"/>
      <c r="O456" s="8"/>
      <c r="P456" s="8"/>
      <c r="Q456" s="8"/>
      <c r="R456" s="8"/>
      <c r="S456" s="8"/>
      <c r="T456" s="8"/>
      <c r="U456" s="53"/>
      <c r="V456" s="53"/>
      <c r="W456" s="53"/>
      <c r="X456" s="53"/>
      <c r="Y456" s="53"/>
      <c r="Z456" s="53"/>
      <c r="AA456" s="53"/>
      <c r="AB456" s="53"/>
      <c r="AC456" s="53"/>
      <c r="AD456" s="53"/>
      <c r="AE456" s="53"/>
      <c r="AF456" s="53"/>
      <c r="AG456" s="8"/>
      <c r="AH456" s="8"/>
      <c r="AI456" s="8"/>
      <c r="AJ456" s="8"/>
      <c r="AK456" s="8"/>
      <c r="AL456" s="8"/>
      <c r="AM456" s="8"/>
      <c r="AN456" s="8"/>
      <c r="AO456" s="8"/>
      <c r="AP456" s="8"/>
      <c r="AQ456" s="8"/>
      <c r="AR456" s="8"/>
      <c r="AS456" s="8"/>
      <c r="AT456" s="8"/>
      <c r="AU456" s="8"/>
      <c r="AV456" s="8"/>
      <c r="AW456" s="8"/>
      <c r="AX456" s="8"/>
      <c r="AY456" s="8"/>
      <c r="AZ456" s="8"/>
      <c r="BA456" s="8"/>
      <c r="BB456" s="8"/>
      <c r="BC456" s="8"/>
      <c r="BD456" s="8"/>
      <c r="BE456" s="8"/>
    </row>
    <row r="457" spans="1:57">
      <c r="A457" s="8"/>
      <c r="B457" s="8"/>
      <c r="C457" s="8"/>
      <c r="D457" s="8"/>
      <c r="E457" s="8"/>
      <c r="F457" s="54"/>
      <c r="G457" s="8"/>
      <c r="H457" s="8"/>
      <c r="I457" s="8"/>
      <c r="J457" s="8"/>
      <c r="K457" s="8"/>
      <c r="L457" s="8"/>
      <c r="M457" s="8"/>
      <c r="N457" s="8"/>
      <c r="O457" s="8"/>
      <c r="P457" s="8"/>
      <c r="Q457" s="8"/>
      <c r="R457" s="8"/>
      <c r="S457" s="8"/>
      <c r="T457" s="8"/>
      <c r="U457" s="53"/>
      <c r="V457" s="53"/>
      <c r="W457" s="53"/>
      <c r="X457" s="53"/>
      <c r="Y457" s="53"/>
      <c r="Z457" s="53"/>
      <c r="AA457" s="53"/>
      <c r="AB457" s="53"/>
      <c r="AC457" s="53"/>
      <c r="AD457" s="53"/>
      <c r="AE457" s="53"/>
      <c r="AF457" s="53"/>
      <c r="AG457" s="8"/>
      <c r="AH457" s="8"/>
      <c r="AI457" s="8"/>
      <c r="AJ457" s="8"/>
      <c r="AK457" s="8"/>
      <c r="AL457" s="8"/>
      <c r="AM457" s="8"/>
      <c r="AN457" s="8"/>
      <c r="AO457" s="8"/>
      <c r="AP457" s="8"/>
      <c r="AQ457" s="8"/>
      <c r="AR457" s="8"/>
      <c r="AS457" s="8"/>
      <c r="AT457" s="8"/>
      <c r="AU457" s="8"/>
      <c r="AV457" s="8"/>
      <c r="AW457" s="8"/>
      <c r="AX457" s="8"/>
      <c r="AY457" s="8"/>
      <c r="AZ457" s="8"/>
      <c r="BA457" s="8"/>
      <c r="BB457" s="8"/>
      <c r="BC457" s="8"/>
      <c r="BD457" s="8"/>
      <c r="BE457" s="8"/>
    </row>
    <row r="458" spans="1:57">
      <c r="A458" s="8"/>
      <c r="B458" s="8"/>
      <c r="C458" s="8"/>
      <c r="D458" s="8"/>
      <c r="E458" s="8"/>
      <c r="F458" s="54"/>
      <c r="G458" s="8"/>
      <c r="H458" s="8"/>
      <c r="I458" s="8"/>
      <c r="J458" s="8"/>
      <c r="K458" s="8"/>
      <c r="L458" s="8"/>
      <c r="M458" s="8"/>
      <c r="N458" s="8"/>
      <c r="O458" s="8"/>
      <c r="P458" s="8"/>
      <c r="Q458" s="8"/>
      <c r="R458" s="8"/>
      <c r="S458" s="8"/>
      <c r="T458" s="8"/>
      <c r="U458" s="53"/>
      <c r="V458" s="53"/>
      <c r="W458" s="53"/>
      <c r="X458" s="53"/>
      <c r="Y458" s="53"/>
      <c r="Z458" s="53"/>
      <c r="AA458" s="53"/>
      <c r="AB458" s="53"/>
      <c r="AC458" s="53"/>
      <c r="AD458" s="53"/>
      <c r="AE458" s="53"/>
      <c r="AF458" s="53"/>
      <c r="AG458" s="8"/>
      <c r="AH458" s="8"/>
      <c r="AI458" s="8"/>
      <c r="AJ458" s="8"/>
      <c r="AK458" s="8"/>
      <c r="AL458" s="8"/>
      <c r="AM458" s="8"/>
      <c r="AN458" s="8"/>
      <c r="AO458" s="8"/>
      <c r="AP458" s="8"/>
      <c r="AQ458" s="8"/>
      <c r="AR458" s="8"/>
      <c r="AS458" s="8"/>
      <c r="AT458" s="8"/>
      <c r="AU458" s="8"/>
      <c r="AV458" s="8"/>
      <c r="AW458" s="8"/>
      <c r="AX458" s="8"/>
      <c r="AY458" s="8"/>
      <c r="AZ458" s="8"/>
      <c r="BA458" s="8"/>
      <c r="BB458" s="8"/>
      <c r="BC458" s="8"/>
      <c r="BD458" s="8"/>
      <c r="BE458" s="8"/>
    </row>
    <row r="459" spans="1:57">
      <c r="A459" s="8"/>
      <c r="B459" s="8"/>
      <c r="C459" s="8"/>
      <c r="D459" s="8"/>
      <c r="E459" s="8"/>
      <c r="F459" s="54"/>
      <c r="G459" s="8"/>
      <c r="H459" s="8"/>
      <c r="I459" s="8"/>
      <c r="J459" s="8"/>
      <c r="K459" s="8"/>
      <c r="L459" s="8"/>
      <c r="M459" s="8"/>
      <c r="N459" s="8"/>
      <c r="O459" s="8"/>
      <c r="P459" s="8"/>
      <c r="Q459" s="8"/>
      <c r="R459" s="8"/>
      <c r="S459" s="8"/>
      <c r="T459" s="8"/>
      <c r="U459" s="53"/>
      <c r="V459" s="53"/>
      <c r="W459" s="53"/>
      <c r="X459" s="53"/>
      <c r="Y459" s="53"/>
      <c r="Z459" s="53"/>
      <c r="AA459" s="53"/>
      <c r="AB459" s="53"/>
      <c r="AC459" s="53"/>
      <c r="AD459" s="53"/>
      <c r="AE459" s="53"/>
      <c r="AF459" s="53"/>
      <c r="AG459" s="8"/>
      <c r="AH459" s="8"/>
      <c r="AI459" s="8"/>
      <c r="AJ459" s="8"/>
      <c r="AK459" s="8"/>
      <c r="AL459" s="8"/>
      <c r="AM459" s="8"/>
      <c r="AN459" s="8"/>
      <c r="AO459" s="8"/>
      <c r="AP459" s="8"/>
      <c r="AQ459" s="8"/>
      <c r="AR459" s="8"/>
      <c r="AS459" s="8"/>
      <c r="AT459" s="8"/>
      <c r="AU459" s="8"/>
      <c r="AV459" s="8"/>
      <c r="AW459" s="8"/>
      <c r="AX459" s="8"/>
      <c r="AY459" s="8"/>
      <c r="AZ459" s="8"/>
      <c r="BA459" s="8"/>
      <c r="BB459" s="8"/>
      <c r="BC459" s="8"/>
      <c r="BD459" s="8"/>
      <c r="BE459" s="8"/>
    </row>
    <row r="460" spans="1:57">
      <c r="A460" s="8"/>
      <c r="B460" s="8"/>
      <c r="C460" s="8"/>
      <c r="D460" s="8"/>
      <c r="E460" s="8"/>
      <c r="F460" s="54"/>
      <c r="G460" s="8"/>
      <c r="H460" s="8"/>
      <c r="I460" s="8"/>
      <c r="J460" s="8"/>
      <c r="K460" s="8"/>
      <c r="L460" s="8"/>
      <c r="M460" s="8"/>
      <c r="N460" s="8"/>
      <c r="O460" s="8"/>
      <c r="P460" s="8"/>
      <c r="Q460" s="8"/>
      <c r="R460" s="8"/>
      <c r="S460" s="8"/>
      <c r="T460" s="8"/>
      <c r="U460" s="53"/>
      <c r="V460" s="53"/>
      <c r="W460" s="53"/>
      <c r="X460" s="53"/>
      <c r="Y460" s="53"/>
      <c r="Z460" s="53"/>
      <c r="AA460" s="53"/>
      <c r="AB460" s="53"/>
      <c r="AC460" s="53"/>
      <c r="AD460" s="53"/>
      <c r="AE460" s="53"/>
      <c r="AF460" s="53"/>
      <c r="AG460" s="8"/>
      <c r="AH460" s="8"/>
      <c r="AI460" s="8"/>
      <c r="AJ460" s="8"/>
      <c r="AK460" s="8"/>
      <c r="AL460" s="8"/>
      <c r="AM460" s="8"/>
      <c r="AN460" s="8"/>
      <c r="AO460" s="8"/>
      <c r="AP460" s="8"/>
      <c r="AQ460" s="8"/>
      <c r="AR460" s="8"/>
      <c r="AS460" s="8"/>
      <c r="AT460" s="8"/>
      <c r="AU460" s="8"/>
      <c r="AV460" s="8"/>
      <c r="AW460" s="8"/>
      <c r="AX460" s="8"/>
      <c r="AY460" s="8"/>
      <c r="AZ460" s="8"/>
      <c r="BA460" s="8"/>
      <c r="BB460" s="8"/>
      <c r="BC460" s="8"/>
      <c r="BD460" s="8"/>
      <c r="BE460" s="8"/>
    </row>
    <row r="461" spans="1:57">
      <c r="A461" s="8"/>
      <c r="B461" s="8"/>
      <c r="C461" s="8"/>
      <c r="D461" s="8"/>
      <c r="E461" s="8"/>
      <c r="F461" s="54"/>
      <c r="G461" s="8"/>
      <c r="H461" s="8"/>
      <c r="I461" s="8"/>
      <c r="J461" s="8"/>
      <c r="K461" s="8"/>
      <c r="L461" s="8"/>
      <c r="M461" s="8"/>
      <c r="N461" s="8"/>
      <c r="O461" s="8"/>
      <c r="P461" s="8"/>
      <c r="Q461" s="8"/>
      <c r="R461" s="8"/>
      <c r="S461" s="8"/>
      <c r="T461" s="8"/>
      <c r="U461" s="53"/>
      <c r="V461" s="53"/>
      <c r="W461" s="53"/>
      <c r="X461" s="53"/>
      <c r="Y461" s="53"/>
      <c r="Z461" s="53"/>
      <c r="AA461" s="53"/>
      <c r="AB461" s="53"/>
      <c r="AC461" s="53"/>
      <c r="AD461" s="53"/>
      <c r="AE461" s="53"/>
      <c r="AF461" s="53"/>
      <c r="AG461" s="8"/>
      <c r="AH461" s="8"/>
      <c r="AI461" s="8"/>
      <c r="AJ461" s="8"/>
      <c r="AK461" s="8"/>
      <c r="AL461" s="8"/>
      <c r="AM461" s="8"/>
      <c r="AN461" s="8"/>
      <c r="AO461" s="8"/>
      <c r="AP461" s="8"/>
      <c r="AQ461" s="8"/>
      <c r="AR461" s="8"/>
      <c r="AS461" s="8"/>
      <c r="AT461" s="8"/>
      <c r="AU461" s="8"/>
      <c r="AV461" s="8"/>
      <c r="AW461" s="8"/>
      <c r="AX461" s="8"/>
      <c r="AY461" s="8"/>
      <c r="AZ461" s="8"/>
      <c r="BA461" s="8"/>
      <c r="BB461" s="8"/>
      <c r="BC461" s="8"/>
      <c r="BD461" s="8"/>
      <c r="BE461" s="8"/>
    </row>
    <row r="462" spans="1:57">
      <c r="A462" s="8"/>
      <c r="B462" s="8"/>
      <c r="C462" s="8"/>
      <c r="D462" s="8"/>
      <c r="E462" s="8"/>
      <c r="F462" s="54"/>
      <c r="G462" s="8"/>
      <c r="H462" s="8"/>
      <c r="I462" s="8"/>
      <c r="J462" s="8"/>
      <c r="K462" s="8"/>
      <c r="L462" s="8"/>
      <c r="M462" s="8"/>
      <c r="N462" s="8"/>
      <c r="O462" s="8"/>
      <c r="P462" s="8"/>
      <c r="Q462" s="8"/>
      <c r="R462" s="8"/>
      <c r="S462" s="8"/>
      <c r="T462" s="8"/>
      <c r="U462" s="53"/>
      <c r="V462" s="53"/>
      <c r="W462" s="53"/>
      <c r="X462" s="53"/>
      <c r="Y462" s="53"/>
      <c r="Z462" s="53"/>
      <c r="AA462" s="53"/>
      <c r="AB462" s="53"/>
      <c r="AC462" s="53"/>
      <c r="AD462" s="53"/>
      <c r="AE462" s="53"/>
      <c r="AF462" s="53"/>
      <c r="AG462" s="8"/>
      <c r="AH462" s="8"/>
      <c r="AI462" s="8"/>
      <c r="AJ462" s="8"/>
      <c r="AK462" s="8"/>
      <c r="AL462" s="8"/>
      <c r="AM462" s="8"/>
      <c r="AN462" s="8"/>
      <c r="AO462" s="8"/>
      <c r="AP462" s="8"/>
      <c r="AQ462" s="8"/>
      <c r="AR462" s="8"/>
      <c r="AS462" s="8"/>
      <c r="AT462" s="8"/>
      <c r="AU462" s="8"/>
      <c r="AV462" s="8"/>
      <c r="AW462" s="8"/>
      <c r="AX462" s="8"/>
      <c r="AY462" s="8"/>
      <c r="AZ462" s="8"/>
      <c r="BA462" s="8"/>
      <c r="BB462" s="8"/>
      <c r="BC462" s="8"/>
      <c r="BD462" s="8"/>
      <c r="BE462" s="8"/>
    </row>
    <row r="463" spans="1:57">
      <c r="A463" s="8"/>
      <c r="B463" s="8"/>
      <c r="C463" s="8"/>
      <c r="D463" s="8"/>
      <c r="E463" s="8"/>
      <c r="F463" s="54"/>
      <c r="G463" s="8"/>
      <c r="H463" s="8"/>
      <c r="I463" s="8"/>
      <c r="J463" s="8"/>
      <c r="K463" s="8"/>
      <c r="L463" s="8"/>
      <c r="M463" s="8"/>
      <c r="N463" s="8"/>
      <c r="O463" s="8"/>
      <c r="P463" s="8"/>
      <c r="Q463" s="8"/>
      <c r="R463" s="8"/>
      <c r="S463" s="8"/>
      <c r="T463" s="8"/>
      <c r="U463" s="53"/>
      <c r="V463" s="53"/>
      <c r="W463" s="53"/>
      <c r="X463" s="53"/>
      <c r="Y463" s="53"/>
      <c r="Z463" s="53"/>
      <c r="AA463" s="53"/>
      <c r="AB463" s="53"/>
      <c r="AC463" s="53"/>
      <c r="AD463" s="53"/>
      <c r="AE463" s="53"/>
      <c r="AF463" s="53"/>
      <c r="AG463" s="8"/>
      <c r="AH463" s="8"/>
      <c r="AI463" s="8"/>
      <c r="AJ463" s="8"/>
      <c r="AK463" s="8"/>
      <c r="AL463" s="8"/>
      <c r="AM463" s="8"/>
      <c r="AN463" s="8"/>
      <c r="AO463" s="8"/>
      <c r="AP463" s="8"/>
      <c r="AQ463" s="8"/>
      <c r="AR463" s="8"/>
      <c r="AS463" s="8"/>
      <c r="AT463" s="8"/>
      <c r="AU463" s="8"/>
      <c r="AV463" s="8"/>
      <c r="AW463" s="8"/>
      <c r="AX463" s="8"/>
      <c r="AY463" s="8"/>
      <c r="AZ463" s="8"/>
      <c r="BA463" s="8"/>
      <c r="BB463" s="8"/>
      <c r="BC463" s="8"/>
      <c r="BD463" s="8"/>
      <c r="BE463" s="8"/>
    </row>
    <row r="464" spans="1:57">
      <c r="A464" s="8"/>
      <c r="B464" s="8"/>
      <c r="C464" s="8"/>
      <c r="D464" s="8"/>
      <c r="E464" s="8"/>
      <c r="F464" s="54"/>
      <c r="G464" s="8"/>
      <c r="H464" s="8"/>
      <c r="I464" s="8"/>
      <c r="J464" s="8"/>
      <c r="K464" s="8"/>
      <c r="L464" s="8"/>
      <c r="M464" s="8"/>
      <c r="N464" s="8"/>
      <c r="O464" s="8"/>
      <c r="P464" s="8"/>
      <c r="Q464" s="8"/>
      <c r="R464" s="8"/>
      <c r="S464" s="8"/>
      <c r="T464" s="8"/>
      <c r="U464" s="53"/>
      <c r="V464" s="53"/>
      <c r="W464" s="53"/>
      <c r="X464" s="53"/>
      <c r="Y464" s="53"/>
      <c r="Z464" s="53"/>
      <c r="AA464" s="53"/>
      <c r="AB464" s="53"/>
      <c r="AC464" s="53"/>
      <c r="AD464" s="53"/>
      <c r="AE464" s="53"/>
      <c r="AF464" s="53"/>
      <c r="AG464" s="8"/>
      <c r="AH464" s="8"/>
      <c r="AI464" s="8"/>
      <c r="AJ464" s="8"/>
      <c r="AK464" s="8"/>
      <c r="AL464" s="8"/>
      <c r="AM464" s="8"/>
      <c r="AN464" s="8"/>
      <c r="AO464" s="8"/>
      <c r="AP464" s="8"/>
      <c r="AQ464" s="8"/>
      <c r="AR464" s="8"/>
      <c r="AS464" s="8"/>
      <c r="AT464" s="8"/>
      <c r="AU464" s="8"/>
      <c r="AV464" s="8"/>
      <c r="AW464" s="8"/>
      <c r="AX464" s="8"/>
      <c r="AY464" s="8"/>
      <c r="AZ464" s="8"/>
      <c r="BA464" s="8"/>
      <c r="BB464" s="8"/>
      <c r="BC464" s="8"/>
      <c r="BD464" s="8"/>
      <c r="BE464" s="8"/>
    </row>
    <row r="465" spans="1:57">
      <c r="A465" s="8"/>
      <c r="B465" s="8"/>
      <c r="C465" s="8"/>
      <c r="D465" s="8"/>
      <c r="E465" s="8"/>
      <c r="F465" s="54"/>
      <c r="G465" s="8"/>
      <c r="H465" s="8"/>
      <c r="I465" s="8"/>
      <c r="J465" s="8"/>
      <c r="K465" s="8"/>
      <c r="L465" s="8"/>
      <c r="M465" s="8"/>
      <c r="N465" s="8"/>
      <c r="O465" s="8"/>
      <c r="P465" s="8"/>
      <c r="Q465" s="8"/>
      <c r="R465" s="8"/>
      <c r="S465" s="8"/>
      <c r="T465" s="8"/>
      <c r="U465" s="53"/>
      <c r="V465" s="53"/>
      <c r="W465" s="53"/>
      <c r="X465" s="53"/>
      <c r="Y465" s="53"/>
      <c r="Z465" s="53"/>
      <c r="AA465" s="53"/>
      <c r="AB465" s="53"/>
      <c r="AC465" s="53"/>
      <c r="AD465" s="53"/>
      <c r="AE465" s="53"/>
      <c r="AF465" s="53"/>
      <c r="AG465" s="8"/>
      <c r="AH465" s="8"/>
      <c r="AI465" s="8"/>
      <c r="AJ465" s="8"/>
      <c r="AK465" s="8"/>
      <c r="AL465" s="8"/>
      <c r="AM465" s="8"/>
      <c r="AN465" s="8"/>
      <c r="AO465" s="8"/>
      <c r="AP465" s="8"/>
      <c r="AQ465" s="8"/>
      <c r="AR465" s="8"/>
      <c r="AS465" s="8"/>
      <c r="AT465" s="8"/>
      <c r="AU465" s="8"/>
      <c r="AV465" s="8"/>
      <c r="AW465" s="8"/>
      <c r="AX465" s="8"/>
      <c r="AY465" s="8"/>
      <c r="AZ465" s="8"/>
      <c r="BA465" s="8"/>
      <c r="BB465" s="8"/>
      <c r="BC465" s="8"/>
      <c r="BD465" s="8"/>
      <c r="BE465" s="8"/>
    </row>
    <row r="466" spans="1:57">
      <c r="A466" s="8"/>
      <c r="B466" s="8"/>
      <c r="C466" s="8"/>
      <c r="D466" s="8"/>
      <c r="E466" s="8"/>
      <c r="F466" s="54"/>
      <c r="G466" s="8"/>
      <c r="H466" s="8"/>
      <c r="I466" s="8"/>
      <c r="J466" s="8"/>
      <c r="K466" s="8"/>
      <c r="L466" s="8"/>
      <c r="M466" s="8"/>
      <c r="N466" s="8"/>
      <c r="O466" s="8"/>
      <c r="P466" s="8"/>
      <c r="Q466" s="8"/>
      <c r="R466" s="8"/>
      <c r="S466" s="8"/>
      <c r="T466" s="8"/>
      <c r="U466" s="53"/>
      <c r="V466" s="53"/>
      <c r="W466" s="53"/>
      <c r="X466" s="53"/>
      <c r="Y466" s="53"/>
      <c r="Z466" s="53"/>
      <c r="AA466" s="53"/>
      <c r="AB466" s="53"/>
      <c r="AC466" s="53"/>
      <c r="AD466" s="53"/>
      <c r="AE466" s="53"/>
      <c r="AF466" s="53"/>
      <c r="AG466" s="8"/>
      <c r="AH466" s="8"/>
      <c r="AI466" s="8"/>
      <c r="AJ466" s="8"/>
      <c r="AK466" s="8"/>
      <c r="AL466" s="8"/>
      <c r="AM466" s="8"/>
      <c r="AN466" s="8"/>
      <c r="AO466" s="8"/>
      <c r="AP466" s="8"/>
      <c r="AQ466" s="8"/>
      <c r="AR466" s="8"/>
      <c r="AS466" s="8"/>
      <c r="AT466" s="8"/>
      <c r="AU466" s="8"/>
      <c r="AV466" s="8"/>
      <c r="AW466" s="8"/>
      <c r="AX466" s="8"/>
      <c r="AY466" s="8"/>
      <c r="AZ466" s="8"/>
      <c r="BA466" s="8"/>
      <c r="BB466" s="8"/>
      <c r="BC466" s="8"/>
      <c r="BD466" s="8"/>
      <c r="BE466" s="8"/>
    </row>
    <row r="467" spans="1:57">
      <c r="A467" s="8"/>
      <c r="B467" s="8"/>
      <c r="C467" s="8"/>
      <c r="D467" s="8"/>
      <c r="E467" s="8"/>
      <c r="F467" s="54"/>
      <c r="G467" s="8"/>
      <c r="H467" s="8"/>
      <c r="I467" s="8"/>
      <c r="J467" s="8"/>
      <c r="K467" s="8"/>
      <c r="L467" s="8"/>
      <c r="M467" s="8"/>
      <c r="N467" s="8"/>
      <c r="O467" s="8"/>
      <c r="P467" s="8"/>
      <c r="Q467" s="8"/>
      <c r="R467" s="8"/>
      <c r="S467" s="8"/>
      <c r="T467" s="8"/>
      <c r="U467" s="53"/>
      <c r="V467" s="53"/>
      <c r="W467" s="53"/>
      <c r="X467" s="53"/>
      <c r="Y467" s="53"/>
      <c r="Z467" s="53"/>
      <c r="AA467" s="53"/>
      <c r="AB467" s="53"/>
      <c r="AC467" s="53"/>
      <c r="AD467" s="53"/>
      <c r="AE467" s="53"/>
      <c r="AF467" s="53"/>
      <c r="AG467" s="8"/>
      <c r="AH467" s="8"/>
      <c r="AI467" s="8"/>
      <c r="AJ467" s="8"/>
      <c r="AK467" s="8"/>
      <c r="AL467" s="8"/>
      <c r="AM467" s="8"/>
      <c r="AN467" s="8"/>
      <c r="AO467" s="8"/>
      <c r="AP467" s="8"/>
      <c r="AQ467" s="8"/>
      <c r="AR467" s="8"/>
      <c r="AS467" s="8"/>
      <c r="AT467" s="8"/>
      <c r="AU467" s="8"/>
      <c r="AV467" s="8"/>
      <c r="AW467" s="8"/>
      <c r="AX467" s="8"/>
      <c r="AY467" s="8"/>
      <c r="AZ467" s="8"/>
      <c r="BA467" s="8"/>
      <c r="BB467" s="8"/>
      <c r="BC467" s="8"/>
      <c r="BD467" s="8"/>
      <c r="BE467" s="8"/>
    </row>
    <row r="468" spans="1:57">
      <c r="A468" s="8"/>
      <c r="B468" s="8"/>
      <c r="C468" s="8"/>
      <c r="D468" s="8"/>
      <c r="E468" s="8"/>
      <c r="F468" s="54"/>
      <c r="G468" s="8"/>
      <c r="H468" s="8"/>
      <c r="I468" s="8"/>
      <c r="J468" s="8"/>
      <c r="K468" s="8"/>
      <c r="L468" s="8"/>
      <c r="M468" s="8"/>
      <c r="N468" s="8"/>
      <c r="O468" s="8"/>
      <c r="P468" s="8"/>
      <c r="Q468" s="8"/>
      <c r="R468" s="8"/>
      <c r="S468" s="8"/>
      <c r="T468" s="8"/>
      <c r="U468" s="53"/>
      <c r="V468" s="53"/>
      <c r="W468" s="53"/>
      <c r="X468" s="53"/>
      <c r="Y468" s="53"/>
      <c r="Z468" s="53"/>
      <c r="AA468" s="53"/>
      <c r="AB468" s="53"/>
      <c r="AC468" s="53"/>
      <c r="AD468" s="53"/>
      <c r="AE468" s="53"/>
      <c r="AF468" s="53"/>
      <c r="AG468" s="8"/>
      <c r="AH468" s="8"/>
      <c r="AI468" s="8"/>
      <c r="AJ468" s="8"/>
      <c r="AK468" s="8"/>
      <c r="AL468" s="8"/>
      <c r="AM468" s="8"/>
      <c r="AN468" s="8"/>
      <c r="AO468" s="8"/>
      <c r="AP468" s="8"/>
      <c r="AQ468" s="8"/>
      <c r="AR468" s="8"/>
      <c r="AS468" s="8"/>
      <c r="AT468" s="8"/>
      <c r="AU468" s="8"/>
      <c r="AV468" s="8"/>
      <c r="AW468" s="8"/>
      <c r="AX468" s="8"/>
      <c r="AY468" s="8"/>
      <c r="AZ468" s="8"/>
      <c r="BA468" s="8"/>
      <c r="BB468" s="8"/>
      <c r="BC468" s="8"/>
      <c r="BD468" s="8"/>
      <c r="BE468" s="8"/>
    </row>
    <row r="469" spans="1:57">
      <c r="A469" s="8"/>
      <c r="B469" s="8"/>
      <c r="C469" s="8"/>
      <c r="D469" s="8"/>
      <c r="E469" s="8"/>
      <c r="F469" s="54"/>
      <c r="G469" s="8"/>
      <c r="H469" s="8"/>
      <c r="I469" s="8"/>
      <c r="J469" s="8"/>
      <c r="K469" s="8"/>
      <c r="L469" s="8"/>
      <c r="M469" s="8"/>
      <c r="N469" s="8"/>
      <c r="O469" s="8"/>
      <c r="P469" s="8"/>
      <c r="Q469" s="8"/>
      <c r="R469" s="8"/>
      <c r="S469" s="8"/>
      <c r="T469" s="8"/>
      <c r="U469" s="53"/>
      <c r="V469" s="53"/>
      <c r="W469" s="53"/>
      <c r="X469" s="53"/>
      <c r="Y469" s="53"/>
      <c r="Z469" s="53"/>
      <c r="AA469" s="53"/>
      <c r="AB469" s="53"/>
      <c r="AC469" s="53"/>
      <c r="AD469" s="53"/>
      <c r="AE469" s="53"/>
      <c r="AF469" s="53"/>
      <c r="AG469" s="8"/>
      <c r="AH469" s="8"/>
      <c r="AI469" s="8"/>
      <c r="AJ469" s="8"/>
      <c r="AK469" s="8"/>
      <c r="AL469" s="8"/>
      <c r="AM469" s="8"/>
      <c r="AN469" s="8"/>
      <c r="AO469" s="8"/>
      <c r="AP469" s="8"/>
      <c r="AQ469" s="8"/>
      <c r="AR469" s="8"/>
      <c r="AS469" s="8"/>
      <c r="AT469" s="8"/>
      <c r="AU469" s="8"/>
      <c r="AV469" s="8"/>
      <c r="AW469" s="8"/>
      <c r="AX469" s="8"/>
      <c r="AY469" s="8"/>
      <c r="AZ469" s="8"/>
      <c r="BA469" s="8"/>
      <c r="BB469" s="8"/>
      <c r="BC469" s="8"/>
      <c r="BD469" s="8"/>
      <c r="BE469" s="8"/>
    </row>
    <row r="470" spans="1:57">
      <c r="A470" s="8"/>
      <c r="B470" s="8"/>
      <c r="C470" s="8"/>
      <c r="D470" s="8"/>
      <c r="E470" s="8"/>
      <c r="F470" s="54"/>
      <c r="G470" s="8"/>
      <c r="H470" s="8"/>
      <c r="I470" s="8"/>
      <c r="J470" s="8"/>
      <c r="K470" s="8"/>
      <c r="L470" s="8"/>
      <c r="M470" s="8"/>
      <c r="N470" s="8"/>
      <c r="O470" s="8"/>
      <c r="P470" s="8"/>
      <c r="Q470" s="8"/>
      <c r="R470" s="8"/>
      <c r="S470" s="8"/>
      <c r="T470" s="8"/>
      <c r="U470" s="53"/>
      <c r="V470" s="53"/>
      <c r="W470" s="53"/>
      <c r="X470" s="53"/>
      <c r="Y470" s="53"/>
      <c r="Z470" s="53"/>
      <c r="AA470" s="53"/>
      <c r="AB470" s="53"/>
      <c r="AC470" s="53"/>
      <c r="AD470" s="53"/>
      <c r="AE470" s="53"/>
      <c r="AF470" s="53"/>
      <c r="AG470" s="8"/>
      <c r="AH470" s="8"/>
      <c r="AI470" s="8"/>
      <c r="AJ470" s="8"/>
      <c r="AK470" s="8"/>
      <c r="AL470" s="8"/>
      <c r="AM470" s="8"/>
      <c r="AN470" s="8"/>
      <c r="AO470" s="8"/>
      <c r="AP470" s="8"/>
      <c r="AQ470" s="8"/>
      <c r="AR470" s="8"/>
      <c r="AS470" s="8"/>
      <c r="AT470" s="8"/>
      <c r="AU470" s="8"/>
      <c r="AV470" s="8"/>
      <c r="AW470" s="8"/>
      <c r="AX470" s="8"/>
      <c r="AY470" s="8"/>
      <c r="AZ470" s="8"/>
      <c r="BA470" s="8"/>
      <c r="BB470" s="8"/>
      <c r="BC470" s="8"/>
      <c r="BD470" s="8"/>
      <c r="BE470" s="8"/>
    </row>
    <row r="471" spans="1:57">
      <c r="A471" s="8"/>
      <c r="B471" s="8"/>
      <c r="C471" s="8"/>
      <c r="D471" s="8"/>
      <c r="E471" s="8"/>
      <c r="F471" s="54"/>
      <c r="G471" s="8"/>
      <c r="H471" s="8"/>
      <c r="I471" s="8"/>
      <c r="J471" s="8"/>
      <c r="K471" s="8"/>
      <c r="L471" s="8"/>
      <c r="M471" s="8"/>
      <c r="N471" s="8"/>
      <c r="O471" s="8"/>
      <c r="P471" s="8"/>
      <c r="Q471" s="8"/>
      <c r="R471" s="8"/>
      <c r="S471" s="8"/>
      <c r="T471" s="8"/>
      <c r="U471" s="53"/>
      <c r="V471" s="53"/>
      <c r="W471" s="53"/>
      <c r="X471" s="53"/>
      <c r="Y471" s="53"/>
      <c r="Z471" s="53"/>
      <c r="AA471" s="53"/>
      <c r="AB471" s="53"/>
      <c r="AC471" s="53"/>
      <c r="AD471" s="53"/>
      <c r="AE471" s="53"/>
      <c r="AF471" s="53"/>
      <c r="AG471" s="8"/>
      <c r="AH471" s="8"/>
      <c r="AI471" s="8"/>
      <c r="AJ471" s="8"/>
      <c r="AK471" s="8"/>
      <c r="AL471" s="8"/>
      <c r="AM471" s="8"/>
      <c r="AN471" s="8"/>
      <c r="AO471" s="8"/>
      <c r="AP471" s="8"/>
      <c r="AQ471" s="8"/>
      <c r="AR471" s="8"/>
      <c r="AS471" s="8"/>
      <c r="AT471" s="8"/>
      <c r="AU471" s="8"/>
      <c r="AV471" s="8"/>
      <c r="AW471" s="8"/>
      <c r="AX471" s="8"/>
      <c r="AY471" s="8"/>
      <c r="AZ471" s="8"/>
      <c r="BA471" s="8"/>
      <c r="BB471" s="8"/>
      <c r="BC471" s="8"/>
      <c r="BD471" s="8"/>
      <c r="BE471" s="8"/>
    </row>
    <row r="472" spans="1:57">
      <c r="A472" s="8"/>
      <c r="B472" s="8"/>
      <c r="C472" s="8"/>
      <c r="D472" s="8"/>
      <c r="E472" s="8"/>
      <c r="F472" s="54"/>
      <c r="G472" s="8"/>
      <c r="H472" s="8"/>
      <c r="I472" s="8"/>
      <c r="J472" s="8"/>
      <c r="K472" s="8"/>
      <c r="L472" s="8"/>
      <c r="M472" s="8"/>
      <c r="N472" s="8"/>
      <c r="O472" s="8"/>
      <c r="P472" s="8"/>
      <c r="Q472" s="8"/>
      <c r="R472" s="8"/>
      <c r="S472" s="8"/>
      <c r="T472" s="8"/>
      <c r="U472" s="53"/>
      <c r="V472" s="53"/>
      <c r="W472" s="53"/>
      <c r="X472" s="53"/>
      <c r="Y472" s="53"/>
      <c r="Z472" s="53"/>
      <c r="AA472" s="53"/>
      <c r="AB472" s="53"/>
      <c r="AC472" s="53"/>
      <c r="AD472" s="53"/>
      <c r="AE472" s="53"/>
      <c r="AF472" s="53"/>
      <c r="AG472" s="8"/>
      <c r="AH472" s="8"/>
      <c r="AI472" s="8"/>
      <c r="AJ472" s="8"/>
      <c r="AK472" s="8"/>
      <c r="AL472" s="8"/>
      <c r="AM472" s="8"/>
      <c r="AN472" s="8"/>
      <c r="AO472" s="8"/>
      <c r="AP472" s="8"/>
      <c r="AQ472" s="8"/>
      <c r="AR472" s="8"/>
      <c r="AS472" s="8"/>
      <c r="AT472" s="8"/>
      <c r="AU472" s="8"/>
      <c r="AV472" s="8"/>
      <c r="AW472" s="8"/>
      <c r="AX472" s="8"/>
      <c r="AY472" s="8"/>
      <c r="AZ472" s="8"/>
      <c r="BA472" s="8"/>
      <c r="BB472" s="8"/>
      <c r="BC472" s="8"/>
      <c r="BD472" s="8"/>
      <c r="BE472" s="8"/>
    </row>
    <row r="473" spans="1:57">
      <c r="A473" s="8"/>
      <c r="B473" s="8"/>
      <c r="C473" s="8"/>
      <c r="D473" s="8"/>
      <c r="E473" s="8"/>
      <c r="F473" s="54"/>
      <c r="G473" s="8"/>
      <c r="H473" s="8"/>
      <c r="I473" s="8"/>
      <c r="J473" s="8"/>
      <c r="K473" s="8"/>
      <c r="L473" s="8"/>
      <c r="M473" s="8"/>
      <c r="N473" s="8"/>
      <c r="O473" s="8"/>
      <c r="P473" s="8"/>
      <c r="Q473" s="8"/>
      <c r="R473" s="8"/>
      <c r="S473" s="8"/>
      <c r="T473" s="8"/>
      <c r="U473" s="53"/>
      <c r="V473" s="53"/>
      <c r="W473" s="53"/>
      <c r="X473" s="53"/>
      <c r="Y473" s="53"/>
      <c r="Z473" s="53"/>
      <c r="AA473" s="53"/>
      <c r="AB473" s="53"/>
      <c r="AC473" s="53"/>
      <c r="AD473" s="53"/>
      <c r="AE473" s="53"/>
      <c r="AF473" s="53"/>
      <c r="AG473" s="8"/>
      <c r="AH473" s="8"/>
      <c r="AI473" s="8"/>
      <c r="AJ473" s="8"/>
      <c r="AK473" s="8"/>
      <c r="AL473" s="8"/>
      <c r="AM473" s="8"/>
      <c r="AN473" s="8"/>
      <c r="AO473" s="8"/>
      <c r="AP473" s="8"/>
      <c r="AQ473" s="8"/>
      <c r="AR473" s="8"/>
      <c r="AS473" s="8"/>
      <c r="AT473" s="8"/>
      <c r="AU473" s="8"/>
      <c r="AV473" s="8"/>
      <c r="AW473" s="8"/>
      <c r="AX473" s="8"/>
      <c r="AY473" s="8"/>
      <c r="AZ473" s="8"/>
      <c r="BA473" s="8"/>
      <c r="BB473" s="8"/>
      <c r="BC473" s="8"/>
      <c r="BD473" s="8"/>
      <c r="BE473" s="8"/>
    </row>
    <row r="474" spans="1:57">
      <c r="A474" s="8"/>
      <c r="B474" s="8"/>
      <c r="C474" s="8"/>
      <c r="D474" s="8"/>
      <c r="E474" s="8"/>
      <c r="F474" s="54"/>
      <c r="G474" s="8"/>
      <c r="H474" s="8"/>
      <c r="I474" s="8"/>
      <c r="J474" s="8"/>
      <c r="K474" s="8"/>
      <c r="L474" s="8"/>
      <c r="M474" s="8"/>
      <c r="N474" s="8"/>
      <c r="O474" s="8"/>
      <c r="P474" s="8"/>
      <c r="Q474" s="8"/>
      <c r="R474" s="8"/>
      <c r="S474" s="8"/>
      <c r="T474" s="8"/>
      <c r="U474" s="53"/>
      <c r="V474" s="53"/>
      <c r="W474" s="53"/>
      <c r="X474" s="53"/>
      <c r="Y474" s="53"/>
      <c r="Z474" s="53"/>
      <c r="AA474" s="53"/>
      <c r="AB474" s="53"/>
      <c r="AC474" s="53"/>
      <c r="AD474" s="53"/>
      <c r="AE474" s="53"/>
      <c r="AF474" s="53"/>
      <c r="AG474" s="8"/>
      <c r="AH474" s="8"/>
      <c r="AI474" s="8"/>
      <c r="AJ474" s="8"/>
      <c r="AK474" s="8"/>
      <c r="AL474" s="8"/>
      <c r="AM474" s="8"/>
      <c r="AN474" s="8"/>
      <c r="AO474" s="8"/>
      <c r="AP474" s="8"/>
      <c r="AQ474" s="8"/>
      <c r="AR474" s="8"/>
      <c r="AS474" s="8"/>
      <c r="AT474" s="8"/>
      <c r="AU474" s="8"/>
      <c r="AV474" s="8"/>
      <c r="AW474" s="8"/>
      <c r="AX474" s="8"/>
      <c r="AY474" s="8"/>
      <c r="AZ474" s="8"/>
      <c r="BA474" s="8"/>
      <c r="BB474" s="8"/>
      <c r="BC474" s="8"/>
      <c r="BD474" s="8"/>
      <c r="BE474" s="8"/>
    </row>
    <row r="475" spans="1:57">
      <c r="A475" s="8"/>
      <c r="B475" s="8"/>
      <c r="C475" s="8"/>
      <c r="D475" s="8"/>
      <c r="E475" s="8"/>
      <c r="F475" s="54"/>
      <c r="G475" s="8"/>
      <c r="H475" s="8"/>
      <c r="I475" s="8"/>
      <c r="J475" s="8"/>
      <c r="K475" s="8"/>
      <c r="L475" s="8"/>
      <c r="M475" s="8"/>
      <c r="N475" s="8"/>
      <c r="O475" s="8"/>
      <c r="P475" s="8"/>
      <c r="Q475" s="8"/>
      <c r="R475" s="8"/>
      <c r="S475" s="8"/>
      <c r="T475" s="8"/>
      <c r="U475" s="53"/>
      <c r="V475" s="53"/>
      <c r="W475" s="53"/>
      <c r="X475" s="53"/>
      <c r="Y475" s="53"/>
      <c r="Z475" s="53"/>
      <c r="AA475" s="53"/>
      <c r="AB475" s="53"/>
      <c r="AC475" s="53"/>
      <c r="AD475" s="53"/>
      <c r="AE475" s="53"/>
      <c r="AF475" s="53"/>
      <c r="AG475" s="8"/>
      <c r="AH475" s="8"/>
      <c r="AI475" s="8"/>
      <c r="AJ475" s="8"/>
      <c r="AK475" s="8"/>
      <c r="AL475" s="8"/>
      <c r="AM475" s="8"/>
      <c r="AN475" s="8"/>
      <c r="AO475" s="8"/>
      <c r="AP475" s="8"/>
      <c r="AQ475" s="8"/>
      <c r="AR475" s="8"/>
      <c r="AS475" s="8"/>
      <c r="AT475" s="8"/>
      <c r="AU475" s="8"/>
      <c r="AV475" s="8"/>
      <c r="AW475" s="8"/>
      <c r="AX475" s="8"/>
      <c r="AY475" s="8"/>
      <c r="AZ475" s="8"/>
      <c r="BA475" s="8"/>
      <c r="BB475" s="8"/>
      <c r="BC475" s="8"/>
      <c r="BD475" s="8"/>
      <c r="BE475" s="8"/>
    </row>
    <row r="476" spans="1:57">
      <c r="A476" s="8"/>
      <c r="B476" s="8"/>
      <c r="C476" s="8"/>
      <c r="D476" s="8"/>
      <c r="E476" s="8"/>
      <c r="F476" s="54"/>
      <c r="G476" s="8"/>
      <c r="H476" s="8"/>
      <c r="I476" s="8"/>
      <c r="J476" s="8"/>
      <c r="K476" s="8"/>
      <c r="L476" s="8"/>
      <c r="M476" s="8"/>
      <c r="N476" s="8"/>
      <c r="O476" s="8"/>
      <c r="P476" s="8"/>
      <c r="Q476" s="8"/>
      <c r="R476" s="8"/>
      <c r="S476" s="8"/>
      <c r="T476" s="8"/>
      <c r="U476" s="53"/>
      <c r="V476" s="53"/>
      <c r="W476" s="53"/>
      <c r="X476" s="53"/>
      <c r="Y476" s="53"/>
      <c r="Z476" s="53"/>
      <c r="AA476" s="53"/>
      <c r="AB476" s="53"/>
      <c r="AC476" s="53"/>
      <c r="AD476" s="53"/>
      <c r="AE476" s="53"/>
      <c r="AF476" s="53"/>
      <c r="AG476" s="8"/>
      <c r="AH476" s="8"/>
      <c r="AI476" s="8"/>
      <c r="AJ476" s="8"/>
      <c r="AK476" s="8"/>
      <c r="AL476" s="8"/>
      <c r="AM476" s="8"/>
      <c r="AN476" s="8"/>
      <c r="AO476" s="8"/>
      <c r="AP476" s="8"/>
      <c r="AQ476" s="8"/>
      <c r="AR476" s="8"/>
      <c r="AS476" s="8"/>
      <c r="AT476" s="8"/>
      <c r="AU476" s="8"/>
      <c r="AV476" s="8"/>
      <c r="AW476" s="8"/>
      <c r="AX476" s="8"/>
      <c r="AY476" s="8"/>
      <c r="AZ476" s="8"/>
      <c r="BA476" s="8"/>
      <c r="BB476" s="8"/>
      <c r="BC476" s="8"/>
      <c r="BD476" s="8"/>
      <c r="BE476" s="8"/>
    </row>
    <row r="477" spans="1:57">
      <c r="A477" s="8"/>
      <c r="B477" s="8"/>
      <c r="C477" s="8"/>
      <c r="D477" s="8"/>
      <c r="E477" s="8"/>
      <c r="F477" s="54"/>
      <c r="G477" s="8"/>
      <c r="H477" s="8"/>
      <c r="I477" s="8"/>
      <c r="J477" s="8"/>
      <c r="K477" s="8"/>
      <c r="L477" s="8"/>
      <c r="M477" s="8"/>
      <c r="N477" s="8"/>
      <c r="O477" s="8"/>
      <c r="P477" s="8"/>
      <c r="Q477" s="8"/>
      <c r="R477" s="8"/>
      <c r="S477" s="8"/>
      <c r="T477" s="8"/>
      <c r="U477" s="53"/>
      <c r="V477" s="53"/>
      <c r="W477" s="53"/>
      <c r="X477" s="53"/>
      <c r="Y477" s="53"/>
      <c r="Z477" s="53"/>
      <c r="AA477" s="53"/>
      <c r="AB477" s="53"/>
      <c r="AC477" s="53"/>
      <c r="AD477" s="53"/>
      <c r="AE477" s="53"/>
      <c r="AF477" s="53"/>
      <c r="AG477" s="8"/>
      <c r="AH477" s="8"/>
      <c r="AI477" s="8"/>
      <c r="AJ477" s="8"/>
      <c r="AK477" s="8"/>
      <c r="AL477" s="8"/>
      <c r="AM477" s="8"/>
      <c r="AN477" s="8"/>
      <c r="AO477" s="8"/>
      <c r="AP477" s="8"/>
      <c r="AQ477" s="8"/>
      <c r="AR477" s="8"/>
      <c r="AS477" s="8"/>
      <c r="AT477" s="8"/>
      <c r="AU477" s="8"/>
      <c r="AV477" s="8"/>
      <c r="AW477" s="8"/>
      <c r="AX477" s="8"/>
      <c r="AY477" s="8"/>
      <c r="AZ477" s="8"/>
      <c r="BA477" s="8"/>
      <c r="BB477" s="8"/>
      <c r="BC477" s="8"/>
      <c r="BD477" s="8"/>
      <c r="BE477" s="8"/>
    </row>
    <row r="478" spans="1:57">
      <c r="A478" s="8"/>
      <c r="B478" s="8"/>
      <c r="C478" s="8"/>
      <c r="D478" s="8"/>
      <c r="E478" s="8"/>
      <c r="F478" s="54"/>
      <c r="G478" s="8"/>
      <c r="H478" s="8"/>
      <c r="I478" s="8"/>
      <c r="J478" s="8"/>
      <c r="K478" s="8"/>
      <c r="L478" s="8"/>
      <c r="M478" s="8"/>
      <c r="N478" s="8"/>
      <c r="O478" s="8"/>
      <c r="P478" s="8"/>
      <c r="Q478" s="8"/>
      <c r="R478" s="8"/>
      <c r="S478" s="8"/>
      <c r="T478" s="8"/>
      <c r="U478" s="53"/>
      <c r="V478" s="53"/>
      <c r="W478" s="53"/>
      <c r="X478" s="53"/>
      <c r="Y478" s="53"/>
      <c r="Z478" s="53"/>
      <c r="AA478" s="53"/>
      <c r="AB478" s="53"/>
      <c r="AC478" s="53"/>
      <c r="AD478" s="53"/>
      <c r="AE478" s="53"/>
      <c r="AF478" s="53"/>
      <c r="AG478" s="8"/>
      <c r="AH478" s="8"/>
      <c r="AI478" s="8"/>
      <c r="AJ478" s="8"/>
      <c r="AK478" s="8"/>
      <c r="AL478" s="8"/>
      <c r="AM478" s="8"/>
      <c r="AN478" s="8"/>
      <c r="AO478" s="8"/>
      <c r="AP478" s="8"/>
      <c r="AQ478" s="8"/>
      <c r="AR478" s="8"/>
      <c r="AS478" s="8"/>
      <c r="AT478" s="8"/>
      <c r="AU478" s="8"/>
      <c r="AV478" s="8"/>
      <c r="AW478" s="8"/>
      <c r="AX478" s="8"/>
      <c r="AY478" s="8"/>
      <c r="AZ478" s="8"/>
      <c r="BA478" s="8"/>
      <c r="BB478" s="8"/>
      <c r="BC478" s="8"/>
      <c r="BD478" s="8"/>
      <c r="BE478" s="8"/>
    </row>
    <row r="479" spans="1:57">
      <c r="A479" s="8"/>
      <c r="B479" s="8"/>
      <c r="C479" s="8"/>
      <c r="D479" s="8"/>
      <c r="E479" s="8"/>
      <c r="F479" s="54"/>
      <c r="G479" s="8"/>
      <c r="H479" s="8"/>
      <c r="I479" s="8"/>
      <c r="J479" s="8"/>
      <c r="K479" s="8"/>
      <c r="L479" s="8"/>
      <c r="M479" s="8"/>
      <c r="N479" s="8"/>
      <c r="O479" s="8"/>
      <c r="P479" s="8"/>
      <c r="Q479" s="8"/>
      <c r="R479" s="8"/>
      <c r="S479" s="8"/>
      <c r="T479" s="8"/>
      <c r="U479" s="53"/>
      <c r="V479" s="53"/>
      <c r="W479" s="53"/>
      <c r="X479" s="53"/>
      <c r="Y479" s="53"/>
      <c r="Z479" s="53"/>
      <c r="AA479" s="53"/>
      <c r="AB479" s="53"/>
      <c r="AC479" s="53"/>
      <c r="AD479" s="53"/>
      <c r="AE479" s="53"/>
      <c r="AF479" s="53"/>
      <c r="AG479" s="8"/>
      <c r="AH479" s="8"/>
      <c r="AI479" s="8"/>
      <c r="AJ479" s="8"/>
      <c r="AK479" s="8"/>
      <c r="AL479" s="8"/>
      <c r="AM479" s="8"/>
      <c r="AN479" s="8"/>
      <c r="AO479" s="8"/>
      <c r="AP479" s="8"/>
      <c r="AQ479" s="8"/>
      <c r="AR479" s="8"/>
      <c r="AS479" s="8"/>
      <c r="AT479" s="8"/>
      <c r="AU479" s="8"/>
      <c r="AV479" s="8"/>
      <c r="AW479" s="8"/>
      <c r="AX479" s="8"/>
      <c r="AY479" s="8"/>
      <c r="AZ479" s="8"/>
      <c r="BA479" s="8"/>
      <c r="BB479" s="8"/>
      <c r="BC479" s="8"/>
      <c r="BD479" s="8"/>
      <c r="BE479" s="8"/>
    </row>
    <row r="480" spans="1:57">
      <c r="A480" s="8"/>
      <c r="B480" s="8"/>
      <c r="C480" s="8"/>
      <c r="D480" s="8"/>
      <c r="E480" s="8"/>
      <c r="F480" s="54"/>
      <c r="G480" s="8"/>
      <c r="H480" s="8"/>
      <c r="I480" s="8"/>
      <c r="J480" s="8"/>
      <c r="K480" s="8"/>
      <c r="L480" s="8"/>
      <c r="M480" s="8"/>
      <c r="N480" s="8"/>
      <c r="O480" s="8"/>
      <c r="P480" s="8"/>
      <c r="Q480" s="8"/>
      <c r="R480" s="8"/>
      <c r="S480" s="8"/>
      <c r="T480" s="8"/>
      <c r="U480" s="53"/>
      <c r="V480" s="53"/>
      <c r="W480" s="53"/>
      <c r="X480" s="53"/>
      <c r="Y480" s="53"/>
      <c r="Z480" s="53"/>
      <c r="AA480" s="53"/>
      <c r="AB480" s="53"/>
      <c r="AC480" s="53"/>
      <c r="AD480" s="53"/>
      <c r="AE480" s="53"/>
      <c r="AF480" s="53"/>
      <c r="AG480" s="8"/>
      <c r="AH480" s="8"/>
      <c r="AI480" s="8"/>
      <c r="AJ480" s="8"/>
      <c r="AK480" s="8"/>
      <c r="AL480" s="8"/>
      <c r="AM480" s="8"/>
      <c r="AN480" s="8"/>
      <c r="AO480" s="8"/>
      <c r="AP480" s="8"/>
      <c r="AQ480" s="8"/>
      <c r="AR480" s="8"/>
      <c r="AS480" s="8"/>
      <c r="AT480" s="8"/>
      <c r="AU480" s="8"/>
      <c r="AV480" s="8"/>
      <c r="AW480" s="8"/>
      <c r="AX480" s="8"/>
      <c r="AY480" s="8"/>
      <c r="AZ480" s="8"/>
      <c r="BA480" s="8"/>
      <c r="BB480" s="8"/>
      <c r="BC480" s="8"/>
      <c r="BD480" s="8"/>
      <c r="BE480" s="8"/>
    </row>
    <row r="481" spans="1:57">
      <c r="A481" s="8"/>
      <c r="B481" s="8"/>
      <c r="C481" s="8"/>
      <c r="D481" s="8"/>
      <c r="E481" s="8"/>
      <c r="F481" s="54"/>
      <c r="G481" s="8"/>
      <c r="H481" s="8"/>
      <c r="I481" s="8"/>
      <c r="J481" s="8"/>
      <c r="K481" s="8"/>
      <c r="L481" s="8"/>
      <c r="M481" s="8"/>
      <c r="N481" s="8"/>
      <c r="O481" s="8"/>
      <c r="P481" s="8"/>
      <c r="Q481" s="8"/>
      <c r="R481" s="8"/>
      <c r="S481" s="8"/>
      <c r="T481" s="8"/>
      <c r="U481" s="53"/>
      <c r="V481" s="53"/>
      <c r="W481" s="53"/>
      <c r="X481" s="53"/>
      <c r="Y481" s="53"/>
      <c r="Z481" s="53"/>
      <c r="AA481" s="53"/>
      <c r="AB481" s="53"/>
      <c r="AC481" s="53"/>
      <c r="AD481" s="53"/>
      <c r="AE481" s="53"/>
      <c r="AF481" s="53"/>
      <c r="AG481" s="8"/>
      <c r="AH481" s="8"/>
      <c r="AI481" s="8"/>
      <c r="AJ481" s="8"/>
      <c r="AK481" s="8"/>
      <c r="AL481" s="8"/>
      <c r="AM481" s="8"/>
      <c r="AN481" s="8"/>
      <c r="AO481" s="8"/>
      <c r="AP481" s="8"/>
      <c r="AQ481" s="8"/>
      <c r="AR481" s="8"/>
      <c r="AS481" s="8"/>
      <c r="AT481" s="8"/>
      <c r="AU481" s="8"/>
      <c r="AV481" s="8"/>
      <c r="AW481" s="8"/>
      <c r="AX481" s="8"/>
      <c r="AY481" s="8"/>
      <c r="AZ481" s="8"/>
      <c r="BA481" s="8"/>
      <c r="BB481" s="8"/>
      <c r="BC481" s="8"/>
      <c r="BD481" s="8"/>
      <c r="BE481" s="8"/>
    </row>
    <row r="482" spans="1:57">
      <c r="A482" s="8"/>
      <c r="B482" s="8"/>
      <c r="C482" s="8"/>
      <c r="D482" s="8"/>
      <c r="E482" s="8"/>
      <c r="F482" s="54"/>
      <c r="G482" s="8"/>
      <c r="H482" s="8"/>
      <c r="I482" s="8"/>
      <c r="J482" s="8"/>
      <c r="K482" s="8"/>
      <c r="L482" s="8"/>
      <c r="M482" s="8"/>
      <c r="N482" s="8"/>
      <c r="O482" s="8"/>
      <c r="P482" s="8"/>
      <c r="Q482" s="8"/>
      <c r="R482" s="8"/>
      <c r="S482" s="8"/>
      <c r="T482" s="8"/>
      <c r="U482" s="53"/>
      <c r="V482" s="53"/>
      <c r="W482" s="53"/>
      <c r="X482" s="53"/>
      <c r="Y482" s="53"/>
      <c r="Z482" s="53"/>
      <c r="AA482" s="53"/>
      <c r="AB482" s="53"/>
      <c r="AC482" s="53"/>
      <c r="AD482" s="53"/>
      <c r="AE482" s="53"/>
      <c r="AF482" s="53"/>
      <c r="AG482" s="8"/>
      <c r="AH482" s="8"/>
      <c r="AI482" s="8"/>
      <c r="AJ482" s="8"/>
      <c r="AK482" s="8"/>
      <c r="AL482" s="8"/>
      <c r="AM482" s="8"/>
      <c r="AN482" s="8"/>
      <c r="AO482" s="8"/>
      <c r="AP482" s="8"/>
      <c r="AQ482" s="8"/>
      <c r="AR482" s="8"/>
      <c r="AS482" s="8"/>
      <c r="AT482" s="8"/>
      <c r="AU482" s="8"/>
      <c r="AV482" s="8"/>
      <c r="AW482" s="8"/>
      <c r="AX482" s="8"/>
      <c r="AY482" s="8"/>
      <c r="AZ482" s="8"/>
      <c r="BA482" s="8"/>
      <c r="BB482" s="8"/>
      <c r="BC482" s="8"/>
      <c r="BD482" s="8"/>
      <c r="BE482" s="8"/>
    </row>
    <row r="483" spans="1:57">
      <c r="A483" s="8"/>
      <c r="B483" s="8"/>
      <c r="C483" s="8"/>
      <c r="D483" s="8"/>
      <c r="E483" s="8"/>
      <c r="F483" s="54"/>
      <c r="G483" s="8"/>
      <c r="H483" s="8"/>
      <c r="I483" s="8"/>
      <c r="J483" s="8"/>
      <c r="K483" s="8"/>
      <c r="L483" s="8"/>
      <c r="M483" s="8"/>
      <c r="N483" s="8"/>
      <c r="O483" s="8"/>
      <c r="P483" s="8"/>
      <c r="Q483" s="8"/>
      <c r="R483" s="8"/>
      <c r="S483" s="8"/>
      <c r="T483" s="8"/>
      <c r="U483" s="53"/>
      <c r="V483" s="53"/>
      <c r="W483" s="53"/>
      <c r="X483" s="53"/>
      <c r="Y483" s="53"/>
      <c r="Z483" s="53"/>
      <c r="AA483" s="53"/>
      <c r="AB483" s="53"/>
      <c r="AC483" s="53"/>
      <c r="AD483" s="53"/>
      <c r="AE483" s="53"/>
      <c r="AF483" s="53"/>
      <c r="AG483" s="8"/>
      <c r="AH483" s="8"/>
      <c r="AI483" s="8"/>
      <c r="AJ483" s="8"/>
      <c r="AK483" s="8"/>
      <c r="AL483" s="8"/>
      <c r="AM483" s="8"/>
      <c r="AN483" s="8"/>
      <c r="AO483" s="8"/>
      <c r="AP483" s="8"/>
      <c r="AQ483" s="8"/>
      <c r="AR483" s="8"/>
      <c r="AS483" s="8"/>
      <c r="AT483" s="8"/>
      <c r="AU483" s="8"/>
      <c r="AV483" s="8"/>
      <c r="AW483" s="8"/>
      <c r="AX483" s="8"/>
      <c r="AY483" s="8"/>
      <c r="AZ483" s="8"/>
      <c r="BA483" s="8"/>
      <c r="BB483" s="8"/>
      <c r="BC483" s="8"/>
      <c r="BD483" s="8"/>
      <c r="BE483" s="8"/>
    </row>
    <row r="484" spans="1:57">
      <c r="A484" s="8"/>
      <c r="B484" s="8"/>
      <c r="C484" s="8"/>
      <c r="D484" s="8"/>
      <c r="E484" s="8"/>
      <c r="F484" s="54"/>
      <c r="G484" s="8"/>
      <c r="H484" s="8"/>
      <c r="I484" s="8"/>
      <c r="J484" s="8"/>
      <c r="K484" s="8"/>
      <c r="L484" s="8"/>
      <c r="M484" s="8"/>
      <c r="N484" s="8"/>
      <c r="O484" s="8"/>
      <c r="P484" s="8"/>
      <c r="Q484" s="8"/>
      <c r="R484" s="8"/>
      <c r="S484" s="8"/>
      <c r="T484" s="8"/>
      <c r="U484" s="53"/>
      <c r="V484" s="53"/>
      <c r="W484" s="53"/>
      <c r="X484" s="53"/>
      <c r="Y484" s="53"/>
      <c r="Z484" s="53"/>
      <c r="AA484" s="53"/>
      <c r="AB484" s="53"/>
      <c r="AC484" s="53"/>
      <c r="AD484" s="53"/>
      <c r="AE484" s="53"/>
      <c r="AF484" s="53"/>
      <c r="AG484" s="8"/>
      <c r="AH484" s="8"/>
      <c r="AI484" s="8"/>
      <c r="AJ484" s="8"/>
      <c r="AK484" s="8"/>
      <c r="AL484" s="8"/>
      <c r="AM484" s="8"/>
      <c r="AN484" s="8"/>
      <c r="AO484" s="8"/>
      <c r="AP484" s="8"/>
      <c r="AQ484" s="8"/>
      <c r="AR484" s="8"/>
      <c r="AS484" s="8"/>
      <c r="AT484" s="8"/>
      <c r="AU484" s="8"/>
      <c r="AV484" s="8"/>
      <c r="AW484" s="8"/>
      <c r="AX484" s="8"/>
      <c r="AY484" s="8"/>
      <c r="AZ484" s="8"/>
      <c r="BA484" s="8"/>
      <c r="BB484" s="8"/>
      <c r="BC484" s="8"/>
      <c r="BD484" s="8"/>
      <c r="BE484" s="8"/>
    </row>
    <row r="485" spans="1:57">
      <c r="A485" s="8"/>
      <c r="B485" s="8"/>
      <c r="C485" s="8"/>
      <c r="D485" s="8"/>
      <c r="E485" s="8"/>
      <c r="F485" s="54"/>
      <c r="G485" s="8"/>
      <c r="H485" s="8"/>
      <c r="I485" s="8"/>
      <c r="J485" s="8"/>
      <c r="K485" s="8"/>
      <c r="L485" s="8"/>
      <c r="M485" s="8"/>
      <c r="N485" s="8"/>
      <c r="O485" s="8"/>
      <c r="P485" s="8"/>
      <c r="Q485" s="8"/>
      <c r="R485" s="8"/>
      <c r="S485" s="8"/>
      <c r="T485" s="8"/>
      <c r="U485" s="53"/>
      <c r="V485" s="53"/>
      <c r="W485" s="53"/>
      <c r="X485" s="53"/>
      <c r="Y485" s="53"/>
      <c r="Z485" s="53"/>
      <c r="AA485" s="53"/>
      <c r="AB485" s="53"/>
      <c r="AC485" s="53"/>
      <c r="AD485" s="53"/>
      <c r="AE485" s="53"/>
      <c r="AF485" s="53"/>
      <c r="AG485" s="8"/>
      <c r="AH485" s="8"/>
      <c r="AI485" s="8"/>
      <c r="AJ485" s="8"/>
      <c r="AK485" s="8"/>
      <c r="AL485" s="8"/>
      <c r="AM485" s="8"/>
      <c r="AN485" s="8"/>
      <c r="AO485" s="8"/>
      <c r="AP485" s="8"/>
      <c r="AQ485" s="8"/>
      <c r="AR485" s="8"/>
      <c r="AS485" s="8"/>
      <c r="AT485" s="8"/>
      <c r="AU485" s="8"/>
      <c r="AV485" s="8"/>
      <c r="AW485" s="8"/>
      <c r="AX485" s="8"/>
      <c r="AY485" s="8"/>
      <c r="AZ485" s="8"/>
      <c r="BA485" s="8"/>
      <c r="BB485" s="8"/>
      <c r="BC485" s="8"/>
      <c r="BD485" s="8"/>
      <c r="BE485" s="8"/>
    </row>
    <row r="486" spans="1:57">
      <c r="A486" s="8"/>
      <c r="B486" s="8"/>
      <c r="C486" s="8"/>
      <c r="D486" s="8"/>
      <c r="E486" s="8"/>
      <c r="F486" s="54"/>
      <c r="G486" s="8"/>
      <c r="H486" s="8"/>
      <c r="I486" s="8"/>
      <c r="J486" s="8"/>
      <c r="K486" s="8"/>
      <c r="L486" s="8"/>
      <c r="M486" s="8"/>
      <c r="N486" s="8"/>
      <c r="O486" s="8"/>
      <c r="P486" s="8"/>
      <c r="Q486" s="8"/>
      <c r="R486" s="8"/>
      <c r="S486" s="8"/>
      <c r="T486" s="8"/>
      <c r="U486" s="53"/>
      <c r="V486" s="53"/>
      <c r="W486" s="53"/>
      <c r="X486" s="53"/>
      <c r="Y486" s="53"/>
      <c r="Z486" s="53"/>
      <c r="AA486" s="53"/>
      <c r="AB486" s="53"/>
      <c r="AC486" s="53"/>
      <c r="AD486" s="53"/>
      <c r="AE486" s="53"/>
      <c r="AF486" s="53"/>
      <c r="AG486" s="8"/>
      <c r="AH486" s="8"/>
      <c r="AI486" s="8"/>
      <c r="AJ486" s="8"/>
      <c r="AK486" s="8"/>
      <c r="AL486" s="8"/>
      <c r="AM486" s="8"/>
      <c r="AN486" s="8"/>
      <c r="AO486" s="8"/>
      <c r="AP486" s="8"/>
      <c r="AQ486" s="8"/>
      <c r="AR486" s="8"/>
      <c r="AS486" s="8"/>
      <c r="AT486" s="8"/>
      <c r="AU486" s="8"/>
      <c r="AV486" s="8"/>
      <c r="AW486" s="8"/>
      <c r="AX486" s="8"/>
      <c r="AY486" s="8"/>
      <c r="AZ486" s="8"/>
      <c r="BA486" s="8"/>
      <c r="BB486" s="8"/>
      <c r="BC486" s="8"/>
      <c r="BD486" s="8"/>
      <c r="BE486" s="8"/>
    </row>
    <row r="487" spans="1:57">
      <c r="A487" s="8"/>
      <c r="B487" s="8"/>
      <c r="C487" s="8"/>
      <c r="D487" s="8"/>
      <c r="E487" s="8"/>
      <c r="F487" s="54"/>
      <c r="G487" s="8"/>
      <c r="H487" s="8"/>
      <c r="I487" s="8"/>
      <c r="J487" s="8"/>
      <c r="K487" s="8"/>
      <c r="L487" s="8"/>
      <c r="M487" s="8"/>
      <c r="N487" s="8"/>
      <c r="O487" s="8"/>
      <c r="P487" s="8"/>
      <c r="Q487" s="8"/>
      <c r="R487" s="8"/>
      <c r="S487" s="8"/>
      <c r="T487" s="8"/>
      <c r="U487" s="53"/>
      <c r="V487" s="53"/>
      <c r="W487" s="53"/>
      <c r="X487" s="53"/>
      <c r="Y487" s="53"/>
      <c r="Z487" s="53"/>
      <c r="AA487" s="53"/>
      <c r="AB487" s="53"/>
      <c r="AC487" s="53"/>
      <c r="AD487" s="53"/>
      <c r="AE487" s="53"/>
      <c r="AF487" s="53"/>
      <c r="AG487" s="8"/>
      <c r="AH487" s="8"/>
      <c r="AI487" s="8"/>
      <c r="AJ487" s="8"/>
      <c r="AK487" s="8"/>
      <c r="AL487" s="8"/>
      <c r="AM487" s="8"/>
      <c r="AN487" s="8"/>
      <c r="AO487" s="8"/>
      <c r="AP487" s="8"/>
      <c r="AQ487" s="8"/>
      <c r="AR487" s="8"/>
      <c r="AS487" s="8"/>
      <c r="AT487" s="8"/>
      <c r="AU487" s="8"/>
      <c r="AV487" s="8"/>
      <c r="AW487" s="8"/>
      <c r="AX487" s="8"/>
      <c r="AY487" s="8"/>
      <c r="AZ487" s="8"/>
      <c r="BA487" s="8"/>
      <c r="BB487" s="8"/>
      <c r="BC487" s="8"/>
      <c r="BD487" s="8"/>
      <c r="BE487" s="8"/>
    </row>
    <row r="488" spans="1:57">
      <c r="A488" s="8"/>
      <c r="B488" s="8"/>
      <c r="C488" s="8"/>
      <c r="D488" s="8"/>
      <c r="E488" s="8"/>
      <c r="F488" s="54"/>
      <c r="G488" s="8"/>
      <c r="H488" s="8"/>
      <c r="I488" s="8"/>
      <c r="J488" s="8"/>
      <c r="K488" s="8"/>
      <c r="L488" s="8"/>
      <c r="M488" s="8"/>
      <c r="N488" s="8"/>
      <c r="O488" s="8"/>
      <c r="P488" s="8"/>
      <c r="Q488" s="8"/>
      <c r="R488" s="8"/>
      <c r="S488" s="8"/>
      <c r="T488" s="8"/>
      <c r="U488" s="53"/>
      <c r="V488" s="53"/>
      <c r="W488" s="53"/>
      <c r="X488" s="53"/>
      <c r="Y488" s="53"/>
      <c r="Z488" s="53"/>
      <c r="AA488" s="53"/>
      <c r="AB488" s="53"/>
      <c r="AC488" s="53"/>
      <c r="AD488" s="53"/>
      <c r="AE488" s="53"/>
      <c r="AF488" s="53"/>
      <c r="AG488" s="8"/>
      <c r="AH488" s="8"/>
      <c r="AI488" s="8"/>
      <c r="AJ488" s="8"/>
      <c r="AK488" s="8"/>
      <c r="AL488" s="8"/>
      <c r="AM488" s="8"/>
      <c r="AN488" s="8"/>
      <c r="AO488" s="8"/>
      <c r="AP488" s="8"/>
      <c r="AQ488" s="8"/>
      <c r="AR488" s="8"/>
      <c r="AS488" s="8"/>
      <c r="AT488" s="8"/>
      <c r="AU488" s="8"/>
      <c r="AV488" s="8"/>
      <c r="AW488" s="8"/>
      <c r="AX488" s="8"/>
      <c r="AY488" s="8"/>
      <c r="AZ488" s="8"/>
      <c r="BA488" s="8"/>
      <c r="BB488" s="8"/>
      <c r="BC488" s="8"/>
      <c r="BD488" s="8"/>
      <c r="BE488" s="8"/>
    </row>
    <row r="489" spans="1:57">
      <c r="A489" s="8"/>
      <c r="B489" s="8"/>
      <c r="C489" s="8"/>
      <c r="D489" s="8"/>
      <c r="E489" s="8"/>
      <c r="F489" s="54"/>
      <c r="G489" s="8"/>
      <c r="H489" s="8"/>
      <c r="I489" s="8"/>
      <c r="J489" s="8"/>
      <c r="K489" s="8"/>
      <c r="L489" s="8"/>
      <c r="M489" s="8"/>
      <c r="N489" s="8"/>
      <c r="O489" s="8"/>
      <c r="P489" s="8"/>
      <c r="Q489" s="8"/>
      <c r="R489" s="8"/>
      <c r="S489" s="8"/>
      <c r="T489" s="8"/>
      <c r="U489" s="53"/>
      <c r="V489" s="53"/>
      <c r="W489" s="53"/>
      <c r="X489" s="53"/>
      <c r="Y489" s="53"/>
      <c r="Z489" s="53"/>
      <c r="AA489" s="53"/>
      <c r="AB489" s="53"/>
      <c r="AC489" s="53"/>
      <c r="AD489" s="53"/>
      <c r="AE489" s="53"/>
      <c r="AF489" s="53"/>
      <c r="AG489" s="8"/>
      <c r="AH489" s="8"/>
      <c r="AI489" s="8"/>
      <c r="AJ489" s="8"/>
      <c r="AK489" s="8"/>
      <c r="AL489" s="8"/>
      <c r="AM489" s="8"/>
      <c r="AN489" s="8"/>
      <c r="AO489" s="8"/>
      <c r="AP489" s="8"/>
      <c r="AQ489" s="8"/>
      <c r="AR489" s="8"/>
      <c r="AS489" s="8"/>
      <c r="AT489" s="8"/>
      <c r="AU489" s="8"/>
      <c r="AV489" s="8"/>
      <c r="AW489" s="8"/>
      <c r="AX489" s="8"/>
      <c r="AY489" s="8"/>
      <c r="AZ489" s="8"/>
      <c r="BA489" s="8"/>
      <c r="BB489" s="8"/>
      <c r="BC489" s="8"/>
      <c r="BD489" s="8"/>
      <c r="BE489" s="8"/>
    </row>
    <row r="490" spans="1:57">
      <c r="A490" s="8"/>
      <c r="B490" s="8"/>
      <c r="C490" s="8"/>
      <c r="D490" s="8"/>
      <c r="E490" s="8"/>
      <c r="F490" s="54"/>
      <c r="G490" s="8"/>
      <c r="H490" s="8"/>
      <c r="I490" s="8"/>
      <c r="J490" s="8"/>
      <c r="K490" s="8"/>
      <c r="L490" s="8"/>
      <c r="M490" s="8"/>
      <c r="N490" s="8"/>
      <c r="O490" s="8"/>
      <c r="P490" s="8"/>
      <c r="Q490" s="8"/>
      <c r="R490" s="8"/>
      <c r="S490" s="8"/>
      <c r="T490" s="8"/>
      <c r="U490" s="53"/>
      <c r="V490" s="53"/>
      <c r="W490" s="53"/>
      <c r="X490" s="53"/>
      <c r="Y490" s="53"/>
      <c r="Z490" s="53"/>
      <c r="AA490" s="53"/>
      <c r="AB490" s="53"/>
      <c r="AC490" s="53"/>
      <c r="AD490" s="53"/>
      <c r="AE490" s="53"/>
      <c r="AF490" s="53"/>
      <c r="AG490" s="8"/>
      <c r="AH490" s="8"/>
      <c r="AI490" s="8"/>
      <c r="AJ490" s="8"/>
      <c r="AK490" s="8"/>
      <c r="AL490" s="8"/>
      <c r="AM490" s="8"/>
      <c r="AN490" s="8"/>
      <c r="AO490" s="8"/>
      <c r="AP490" s="8"/>
      <c r="AQ490" s="8"/>
      <c r="AR490" s="8"/>
      <c r="AS490" s="8"/>
      <c r="AT490" s="8"/>
      <c r="AU490" s="8"/>
      <c r="AV490" s="8"/>
      <c r="AW490" s="8"/>
      <c r="AX490" s="8"/>
      <c r="AY490" s="8"/>
      <c r="AZ490" s="8"/>
      <c r="BA490" s="8"/>
      <c r="BB490" s="8"/>
      <c r="BC490" s="8"/>
      <c r="BD490" s="8"/>
      <c r="BE490" s="8"/>
    </row>
    <row r="491" spans="1:57">
      <c r="A491" s="8"/>
      <c r="B491" s="8"/>
      <c r="C491" s="8"/>
      <c r="D491" s="8"/>
      <c r="E491" s="8"/>
      <c r="F491" s="54"/>
      <c r="G491" s="8"/>
      <c r="H491" s="8"/>
      <c r="I491" s="8"/>
      <c r="J491" s="8"/>
      <c r="K491" s="8"/>
      <c r="L491" s="8"/>
      <c r="M491" s="8"/>
      <c r="N491" s="8"/>
      <c r="O491" s="8"/>
      <c r="P491" s="8"/>
      <c r="Q491" s="8"/>
      <c r="R491" s="8"/>
      <c r="S491" s="8"/>
      <c r="T491" s="8"/>
      <c r="U491" s="53"/>
      <c r="V491" s="53"/>
      <c r="W491" s="53"/>
      <c r="X491" s="53"/>
      <c r="Y491" s="53"/>
      <c r="Z491" s="53"/>
      <c r="AA491" s="53"/>
      <c r="AB491" s="53"/>
      <c r="AC491" s="53"/>
      <c r="AD491" s="53"/>
      <c r="AE491" s="53"/>
      <c r="AF491" s="53"/>
      <c r="AG491" s="8"/>
      <c r="AH491" s="8"/>
      <c r="AI491" s="8"/>
      <c r="AJ491" s="8"/>
      <c r="AK491" s="8"/>
      <c r="AL491" s="8"/>
      <c r="AM491" s="8"/>
      <c r="AN491" s="8"/>
      <c r="AO491" s="8"/>
      <c r="AP491" s="8"/>
      <c r="AQ491" s="8"/>
      <c r="AR491" s="8"/>
      <c r="AS491" s="8"/>
      <c r="AT491" s="8"/>
      <c r="AU491" s="8"/>
      <c r="AV491" s="8"/>
      <c r="AW491" s="8"/>
      <c r="AX491" s="8"/>
      <c r="AY491" s="8"/>
      <c r="AZ491" s="8"/>
      <c r="BA491" s="8"/>
      <c r="BB491" s="8"/>
      <c r="BC491" s="8"/>
      <c r="BD491" s="8"/>
      <c r="BE491" s="8"/>
    </row>
    <row r="492" spans="1:57">
      <c r="A492" s="8"/>
      <c r="B492" s="8"/>
      <c r="C492" s="8"/>
      <c r="D492" s="8"/>
      <c r="E492" s="8"/>
      <c r="F492" s="54"/>
      <c r="G492" s="8"/>
      <c r="H492" s="8"/>
      <c r="I492" s="8"/>
      <c r="J492" s="8"/>
      <c r="K492" s="8"/>
      <c r="L492" s="8"/>
      <c r="M492" s="8"/>
      <c r="N492" s="8"/>
      <c r="O492" s="8"/>
      <c r="P492" s="8"/>
      <c r="Q492" s="8"/>
      <c r="R492" s="8"/>
      <c r="S492" s="8"/>
      <c r="T492" s="8"/>
      <c r="U492" s="53"/>
      <c r="V492" s="53"/>
      <c r="W492" s="53"/>
      <c r="X492" s="53"/>
      <c r="Y492" s="53"/>
      <c r="Z492" s="53"/>
      <c r="AA492" s="53"/>
      <c r="AB492" s="53"/>
      <c r="AC492" s="53"/>
      <c r="AD492" s="53"/>
      <c r="AE492" s="53"/>
      <c r="AF492" s="53"/>
      <c r="AG492" s="8"/>
      <c r="AH492" s="8"/>
      <c r="AI492" s="8"/>
      <c r="AJ492" s="8"/>
      <c r="AK492" s="8"/>
      <c r="AL492" s="8"/>
      <c r="AM492" s="8"/>
      <c r="AN492" s="8"/>
      <c r="AO492" s="8"/>
      <c r="AP492" s="8"/>
      <c r="AQ492" s="8"/>
      <c r="AR492" s="8"/>
      <c r="AS492" s="8"/>
      <c r="AT492" s="8"/>
      <c r="AU492" s="8"/>
      <c r="AV492" s="8"/>
      <c r="AW492" s="8"/>
      <c r="AX492" s="8"/>
      <c r="AY492" s="8"/>
      <c r="AZ492" s="8"/>
      <c r="BA492" s="8"/>
      <c r="BB492" s="8"/>
      <c r="BC492" s="8"/>
      <c r="BD492" s="8"/>
      <c r="BE492" s="8"/>
    </row>
    <row r="493" spans="1:57">
      <c r="A493" s="8"/>
      <c r="B493" s="8"/>
      <c r="C493" s="8"/>
      <c r="D493" s="8"/>
      <c r="E493" s="8"/>
      <c r="F493" s="54"/>
      <c r="G493" s="8"/>
      <c r="H493" s="8"/>
      <c r="I493" s="8"/>
      <c r="J493" s="8"/>
      <c r="K493" s="8"/>
      <c r="L493" s="8"/>
      <c r="M493" s="8"/>
      <c r="N493" s="8"/>
      <c r="O493" s="8"/>
      <c r="P493" s="8"/>
      <c r="Q493" s="8"/>
      <c r="R493" s="8"/>
      <c r="S493" s="8"/>
      <c r="T493" s="8"/>
      <c r="U493" s="53"/>
      <c r="V493" s="53"/>
      <c r="W493" s="53"/>
      <c r="X493" s="53"/>
      <c r="Y493" s="53"/>
      <c r="Z493" s="53"/>
      <c r="AA493" s="53"/>
      <c r="AB493" s="53"/>
      <c r="AC493" s="53"/>
      <c r="AD493" s="53"/>
      <c r="AE493" s="53"/>
      <c r="AF493" s="53"/>
      <c r="AG493" s="8"/>
      <c r="AH493" s="8"/>
      <c r="AI493" s="8"/>
      <c r="AJ493" s="8"/>
      <c r="AK493" s="8"/>
      <c r="AL493" s="8"/>
      <c r="AM493" s="8"/>
      <c r="AN493" s="8"/>
      <c r="AO493" s="8"/>
      <c r="AP493" s="8"/>
      <c r="AQ493" s="8"/>
      <c r="AR493" s="8"/>
      <c r="AS493" s="8"/>
      <c r="AT493" s="8"/>
      <c r="AU493" s="8"/>
      <c r="AV493" s="8"/>
      <c r="AW493" s="8"/>
      <c r="AX493" s="8"/>
      <c r="AY493" s="8"/>
      <c r="AZ493" s="8"/>
      <c r="BA493" s="8"/>
      <c r="BB493" s="8"/>
      <c r="BC493" s="8"/>
      <c r="BD493" s="8"/>
      <c r="BE493" s="8"/>
    </row>
    <row r="494" spans="1:57">
      <c r="A494" s="8"/>
      <c r="B494" s="8"/>
      <c r="C494" s="8"/>
      <c r="D494" s="8"/>
      <c r="E494" s="8"/>
      <c r="F494" s="54"/>
      <c r="G494" s="8"/>
      <c r="H494" s="8"/>
      <c r="I494" s="8"/>
      <c r="J494" s="8"/>
      <c r="K494" s="8"/>
      <c r="L494" s="8"/>
      <c r="M494" s="8"/>
      <c r="N494" s="8"/>
      <c r="O494" s="8"/>
      <c r="P494" s="8"/>
      <c r="Q494" s="8"/>
      <c r="R494" s="8"/>
      <c r="S494" s="8"/>
      <c r="T494" s="8"/>
      <c r="U494" s="53"/>
      <c r="V494" s="53"/>
      <c r="W494" s="53"/>
      <c r="X494" s="53"/>
      <c r="Y494" s="53"/>
      <c r="Z494" s="53"/>
      <c r="AA494" s="53"/>
      <c r="AB494" s="53"/>
      <c r="AC494" s="53"/>
      <c r="AD494" s="53"/>
      <c r="AE494" s="53"/>
      <c r="AF494" s="53"/>
      <c r="AG494" s="8"/>
      <c r="AH494" s="8"/>
      <c r="AI494" s="8"/>
      <c r="AJ494" s="8"/>
      <c r="AK494" s="8"/>
      <c r="AL494" s="8"/>
      <c r="AM494" s="8"/>
      <c r="AN494" s="8"/>
      <c r="AO494" s="8"/>
      <c r="AP494" s="8"/>
      <c r="AQ494" s="8"/>
      <c r="AR494" s="8"/>
      <c r="AS494" s="8"/>
      <c r="AT494" s="8"/>
      <c r="AU494" s="8"/>
      <c r="AV494" s="8"/>
      <c r="AW494" s="8"/>
      <c r="AX494" s="8"/>
      <c r="AY494" s="8"/>
      <c r="AZ494" s="8"/>
      <c r="BA494" s="8"/>
      <c r="BB494" s="8"/>
      <c r="BC494" s="8"/>
      <c r="BD494" s="8"/>
      <c r="BE494" s="8"/>
    </row>
    <row r="495" spans="1:57">
      <c r="A495" s="8"/>
      <c r="B495" s="8"/>
      <c r="C495" s="8"/>
      <c r="D495" s="8"/>
      <c r="E495" s="8"/>
      <c r="F495" s="54"/>
      <c r="G495" s="8"/>
      <c r="H495" s="8"/>
      <c r="I495" s="8"/>
      <c r="J495" s="8"/>
      <c r="K495" s="8"/>
      <c r="L495" s="8"/>
      <c r="M495" s="8"/>
      <c r="N495" s="8"/>
      <c r="O495" s="8"/>
      <c r="P495" s="8"/>
      <c r="Q495" s="8"/>
      <c r="R495" s="8"/>
      <c r="S495" s="8"/>
      <c r="T495" s="8"/>
      <c r="U495" s="53"/>
      <c r="V495" s="53"/>
      <c r="W495" s="53"/>
      <c r="X495" s="53"/>
      <c r="Y495" s="53"/>
      <c r="Z495" s="53"/>
      <c r="AA495" s="53"/>
      <c r="AB495" s="53"/>
      <c r="AC495" s="53"/>
      <c r="AD495" s="53"/>
      <c r="AE495" s="53"/>
      <c r="AF495" s="53"/>
      <c r="AG495" s="8"/>
      <c r="AH495" s="8"/>
      <c r="AI495" s="8"/>
      <c r="AJ495" s="8"/>
      <c r="AK495" s="8"/>
      <c r="AL495" s="8"/>
      <c r="AM495" s="8"/>
      <c r="AN495" s="8"/>
      <c r="AO495" s="8"/>
      <c r="AP495" s="8"/>
      <c r="AQ495" s="8"/>
      <c r="AR495" s="8"/>
      <c r="AS495" s="8"/>
      <c r="AT495" s="8"/>
      <c r="AU495" s="8"/>
      <c r="AV495" s="8"/>
      <c r="AW495" s="8"/>
      <c r="AX495" s="8"/>
      <c r="AY495" s="8"/>
      <c r="AZ495" s="8"/>
      <c r="BA495" s="8"/>
      <c r="BB495" s="8"/>
      <c r="BC495" s="8"/>
      <c r="BD495" s="8"/>
      <c r="BE495" s="8"/>
    </row>
    <row r="496" spans="1:57">
      <c r="A496" s="8"/>
      <c r="B496" s="8"/>
      <c r="C496" s="8"/>
      <c r="D496" s="8"/>
      <c r="E496" s="8"/>
      <c r="F496" s="54"/>
      <c r="G496" s="8"/>
      <c r="H496" s="8"/>
      <c r="I496" s="8"/>
      <c r="J496" s="8"/>
      <c r="K496" s="8"/>
      <c r="L496" s="8"/>
      <c r="M496" s="8"/>
      <c r="N496" s="8"/>
      <c r="O496" s="8"/>
      <c r="P496" s="8"/>
      <c r="Q496" s="8"/>
      <c r="R496" s="8"/>
      <c r="S496" s="8"/>
      <c r="T496" s="8"/>
      <c r="U496" s="53"/>
      <c r="V496" s="53"/>
      <c r="W496" s="53"/>
      <c r="X496" s="53"/>
      <c r="Y496" s="53"/>
      <c r="Z496" s="53"/>
      <c r="AA496" s="53"/>
      <c r="AB496" s="53"/>
      <c r="AC496" s="53"/>
      <c r="AD496" s="53"/>
      <c r="AE496" s="53"/>
      <c r="AF496" s="53"/>
      <c r="AG496" s="8"/>
      <c r="AH496" s="8"/>
      <c r="AI496" s="8"/>
      <c r="AJ496" s="8"/>
      <c r="AK496" s="8"/>
      <c r="AL496" s="8"/>
      <c r="AM496" s="8"/>
      <c r="AN496" s="8"/>
      <c r="AO496" s="8"/>
      <c r="AP496" s="8"/>
      <c r="AQ496" s="8"/>
      <c r="AR496" s="8"/>
      <c r="AS496" s="8"/>
      <c r="AT496" s="8"/>
      <c r="AU496" s="8"/>
      <c r="AV496" s="8"/>
      <c r="AW496" s="8"/>
      <c r="AX496" s="8"/>
      <c r="AY496" s="8"/>
      <c r="AZ496" s="8"/>
      <c r="BA496" s="8"/>
      <c r="BB496" s="8"/>
      <c r="BC496" s="8"/>
      <c r="BD496" s="8"/>
      <c r="BE496" s="8"/>
    </row>
    <row r="497" spans="1:57">
      <c r="A497" s="8"/>
      <c r="B497" s="8"/>
      <c r="C497" s="8"/>
      <c r="D497" s="8"/>
      <c r="E497" s="8"/>
      <c r="F497" s="54"/>
      <c r="G497" s="8"/>
      <c r="H497" s="8"/>
      <c r="I497" s="8"/>
      <c r="J497" s="8"/>
      <c r="K497" s="8"/>
      <c r="L497" s="8"/>
      <c r="M497" s="8"/>
      <c r="N497" s="8"/>
      <c r="O497" s="8"/>
      <c r="P497" s="8"/>
      <c r="Q497" s="8"/>
      <c r="R497" s="8"/>
      <c r="S497" s="8"/>
      <c r="T497" s="8"/>
      <c r="U497" s="53"/>
      <c r="V497" s="53"/>
      <c r="W497" s="53"/>
      <c r="X497" s="53"/>
      <c r="Y497" s="53"/>
      <c r="Z497" s="53"/>
      <c r="AA497" s="53"/>
      <c r="AB497" s="53"/>
      <c r="AC497" s="53"/>
      <c r="AD497" s="53"/>
      <c r="AE497" s="53"/>
      <c r="AF497" s="53"/>
      <c r="AG497" s="8"/>
      <c r="AH497" s="8"/>
      <c r="AI497" s="8"/>
      <c r="AJ497" s="8"/>
      <c r="AK497" s="8"/>
      <c r="AL497" s="8"/>
      <c r="AM497" s="8"/>
      <c r="AN497" s="8"/>
      <c r="AO497" s="8"/>
      <c r="AP497" s="8"/>
      <c r="AQ497" s="8"/>
      <c r="AR497" s="8"/>
      <c r="AS497" s="8"/>
      <c r="AT497" s="8"/>
      <c r="AU497" s="8"/>
      <c r="AV497" s="8"/>
      <c r="AW497" s="8"/>
      <c r="AX497" s="8"/>
      <c r="AY497" s="8"/>
      <c r="AZ497" s="8"/>
      <c r="BA497" s="8"/>
      <c r="BB497" s="8"/>
      <c r="BC497" s="8"/>
      <c r="BD497" s="8"/>
      <c r="BE497" s="8"/>
    </row>
    <row r="498" spans="1:57">
      <c r="A498" s="8"/>
      <c r="B498" s="8"/>
      <c r="C498" s="8"/>
      <c r="D498" s="8"/>
      <c r="E498" s="8"/>
      <c r="F498" s="54"/>
      <c r="G498" s="8"/>
      <c r="H498" s="8"/>
      <c r="I498" s="8"/>
      <c r="J498" s="8"/>
      <c r="K498" s="8"/>
      <c r="L498" s="8"/>
      <c r="M498" s="8"/>
      <c r="N498" s="8"/>
      <c r="O498" s="8"/>
      <c r="P498" s="8"/>
      <c r="Q498" s="8"/>
      <c r="R498" s="8"/>
      <c r="S498" s="8"/>
      <c r="T498" s="8"/>
      <c r="U498" s="53"/>
      <c r="V498" s="53"/>
      <c r="W498" s="53"/>
      <c r="X498" s="53"/>
      <c r="Y498" s="53"/>
      <c r="Z498" s="53"/>
      <c r="AA498" s="53"/>
      <c r="AB498" s="53"/>
      <c r="AC498" s="53"/>
      <c r="AD498" s="53"/>
      <c r="AE498" s="53"/>
      <c r="AF498" s="53"/>
      <c r="AG498" s="8"/>
      <c r="AH498" s="8"/>
      <c r="AI498" s="8"/>
      <c r="AJ498" s="8"/>
      <c r="AK498" s="8"/>
      <c r="AL498" s="8"/>
      <c r="AM498" s="8"/>
      <c r="AN498" s="8"/>
      <c r="AO498" s="8"/>
      <c r="AP498" s="8"/>
      <c r="AQ498" s="8"/>
      <c r="AR498" s="8"/>
      <c r="AS498" s="8"/>
      <c r="AT498" s="8"/>
      <c r="AU498" s="8"/>
      <c r="AV498" s="8"/>
      <c r="AW498" s="8"/>
      <c r="AX498" s="8"/>
      <c r="AY498" s="8"/>
      <c r="AZ498" s="8"/>
      <c r="BA498" s="8"/>
      <c r="BB498" s="8"/>
      <c r="BC498" s="8"/>
      <c r="BD498" s="8"/>
      <c r="BE498" s="8"/>
    </row>
    <row r="499" spans="1:57">
      <c r="A499" s="8"/>
      <c r="B499" s="8"/>
      <c r="C499" s="8"/>
      <c r="D499" s="8"/>
      <c r="E499" s="8"/>
      <c r="F499" s="54"/>
      <c r="G499" s="8"/>
      <c r="H499" s="8"/>
      <c r="I499" s="8"/>
      <c r="J499" s="8"/>
      <c r="K499" s="8"/>
      <c r="L499" s="8"/>
      <c r="M499" s="8"/>
      <c r="N499" s="8"/>
      <c r="O499" s="8"/>
      <c r="P499" s="8"/>
      <c r="Q499" s="8"/>
      <c r="R499" s="8"/>
      <c r="S499" s="8"/>
      <c r="T499" s="8"/>
      <c r="U499" s="53"/>
      <c r="V499" s="53"/>
      <c r="W499" s="53"/>
      <c r="X499" s="53"/>
      <c r="Y499" s="53"/>
      <c r="Z499" s="53"/>
      <c r="AA499" s="53"/>
      <c r="AB499" s="53"/>
      <c r="AC499" s="53"/>
      <c r="AD499" s="53"/>
      <c r="AE499" s="53"/>
      <c r="AF499" s="53"/>
      <c r="AG499" s="8"/>
      <c r="AH499" s="8"/>
      <c r="AI499" s="8"/>
      <c r="AJ499" s="8"/>
      <c r="AK499" s="8"/>
      <c r="AL499" s="8"/>
      <c r="AM499" s="8"/>
      <c r="AN499" s="8"/>
      <c r="AO499" s="8"/>
      <c r="AP499" s="8"/>
      <c r="AQ499" s="8"/>
      <c r="AR499" s="8"/>
      <c r="AS499" s="8"/>
      <c r="AT499" s="8"/>
      <c r="AU499" s="8"/>
      <c r="AV499" s="8"/>
      <c r="AW499" s="8"/>
      <c r="AX499" s="8"/>
      <c r="AY499" s="8"/>
      <c r="AZ499" s="8"/>
      <c r="BA499" s="8"/>
      <c r="BB499" s="8"/>
      <c r="BC499" s="8"/>
      <c r="BD499" s="8"/>
      <c r="BE499" s="8"/>
    </row>
    <row r="500" spans="1:57">
      <c r="A500" s="8"/>
      <c r="B500" s="8"/>
      <c r="C500" s="8"/>
      <c r="D500" s="8"/>
      <c r="E500" s="8"/>
      <c r="F500" s="54"/>
      <c r="G500" s="8"/>
      <c r="H500" s="8"/>
      <c r="I500" s="8"/>
      <c r="J500" s="8"/>
      <c r="K500" s="8"/>
      <c r="L500" s="8"/>
      <c r="M500" s="8"/>
      <c r="N500" s="8"/>
      <c r="O500" s="8"/>
      <c r="P500" s="8"/>
      <c r="Q500" s="8"/>
      <c r="R500" s="8"/>
      <c r="S500" s="8"/>
      <c r="T500" s="8"/>
      <c r="U500" s="53"/>
      <c r="V500" s="53"/>
      <c r="W500" s="53"/>
      <c r="X500" s="53"/>
      <c r="Y500" s="53"/>
      <c r="Z500" s="53"/>
      <c r="AA500" s="53"/>
      <c r="AB500" s="53"/>
      <c r="AC500" s="53"/>
      <c r="AD500" s="53"/>
      <c r="AE500" s="53"/>
      <c r="AF500" s="53"/>
      <c r="AG500" s="8"/>
      <c r="AH500" s="8"/>
      <c r="AI500" s="8"/>
      <c r="AJ500" s="8"/>
      <c r="AK500" s="8"/>
      <c r="AL500" s="8"/>
      <c r="AM500" s="8"/>
      <c r="AN500" s="8"/>
      <c r="AO500" s="8"/>
      <c r="AP500" s="8"/>
      <c r="AQ500" s="8"/>
      <c r="AR500" s="8"/>
      <c r="AS500" s="8"/>
      <c r="AT500" s="8"/>
      <c r="AU500" s="8"/>
      <c r="AV500" s="8"/>
      <c r="AW500" s="8"/>
      <c r="AX500" s="8"/>
      <c r="AY500" s="8"/>
      <c r="AZ500" s="8"/>
      <c r="BA500" s="8"/>
      <c r="BB500" s="8"/>
      <c r="BC500" s="8"/>
      <c r="BD500" s="8"/>
      <c r="BE500" s="8"/>
    </row>
    <row r="501" spans="1:57">
      <c r="A501" s="8"/>
      <c r="B501" s="8"/>
      <c r="C501" s="8"/>
      <c r="D501" s="8"/>
      <c r="E501" s="8"/>
      <c r="F501" s="54"/>
      <c r="G501" s="8"/>
      <c r="H501" s="8"/>
      <c r="I501" s="8"/>
      <c r="J501" s="8"/>
      <c r="K501" s="8"/>
      <c r="L501" s="8"/>
      <c r="M501" s="8"/>
      <c r="N501" s="8"/>
      <c r="O501" s="8"/>
      <c r="P501" s="8"/>
      <c r="Q501" s="8"/>
      <c r="R501" s="8"/>
      <c r="S501" s="8"/>
      <c r="T501" s="8"/>
      <c r="U501" s="53"/>
      <c r="V501" s="53"/>
      <c r="W501" s="53"/>
      <c r="X501" s="53"/>
      <c r="Y501" s="53"/>
      <c r="Z501" s="53"/>
      <c r="AA501" s="53"/>
      <c r="AB501" s="53"/>
      <c r="AC501" s="53"/>
      <c r="AD501" s="53"/>
      <c r="AE501" s="53"/>
      <c r="AF501" s="53"/>
      <c r="AG501" s="8"/>
      <c r="AH501" s="8"/>
      <c r="AI501" s="8"/>
      <c r="AJ501" s="8"/>
      <c r="AK501" s="8"/>
      <c r="AL501" s="8"/>
      <c r="AM501" s="8"/>
      <c r="AN501" s="8"/>
      <c r="AO501" s="8"/>
      <c r="AP501" s="8"/>
      <c r="AQ501" s="8"/>
      <c r="AR501" s="8"/>
      <c r="AS501" s="8"/>
      <c r="AT501" s="8"/>
      <c r="AU501" s="8"/>
      <c r="AV501" s="8"/>
      <c r="AW501" s="8"/>
      <c r="AX501" s="8"/>
      <c r="AY501" s="8"/>
      <c r="AZ501" s="8"/>
      <c r="BA501" s="8"/>
      <c r="BB501" s="8"/>
      <c r="BC501" s="8"/>
      <c r="BD501" s="8"/>
      <c r="BE501" s="8"/>
    </row>
    <row r="502" spans="1:57">
      <c r="A502" s="8"/>
      <c r="B502" s="8"/>
      <c r="C502" s="8"/>
      <c r="D502" s="8"/>
      <c r="E502" s="8"/>
      <c r="F502" s="54"/>
      <c r="G502" s="8"/>
      <c r="H502" s="8"/>
      <c r="I502" s="8"/>
      <c r="J502" s="8"/>
      <c r="K502" s="8"/>
      <c r="L502" s="8"/>
      <c r="M502" s="8"/>
      <c r="N502" s="8"/>
      <c r="O502" s="8"/>
      <c r="P502" s="8"/>
      <c r="Q502" s="8"/>
      <c r="R502" s="8"/>
      <c r="S502" s="8"/>
      <c r="T502" s="8"/>
      <c r="U502" s="53"/>
      <c r="V502" s="53"/>
      <c r="W502" s="53"/>
      <c r="X502" s="53"/>
      <c r="Y502" s="53"/>
      <c r="Z502" s="53"/>
      <c r="AA502" s="53"/>
      <c r="AB502" s="53"/>
      <c r="AC502" s="53"/>
      <c r="AD502" s="53"/>
      <c r="AE502" s="53"/>
      <c r="AF502" s="53"/>
      <c r="AG502" s="8"/>
      <c r="AH502" s="8"/>
      <c r="AI502" s="8"/>
      <c r="AJ502" s="8"/>
      <c r="AK502" s="8"/>
      <c r="AL502" s="8"/>
      <c r="AM502" s="8"/>
      <c r="AN502" s="8"/>
      <c r="AO502" s="8"/>
      <c r="AP502" s="8"/>
      <c r="AQ502" s="8"/>
      <c r="AR502" s="8"/>
      <c r="AS502" s="8"/>
      <c r="AT502" s="8"/>
      <c r="AU502" s="8"/>
      <c r="AV502" s="8"/>
      <c r="AW502" s="8"/>
      <c r="AX502" s="8"/>
      <c r="AY502" s="8"/>
      <c r="AZ502" s="8"/>
      <c r="BA502" s="8"/>
      <c r="BB502" s="8"/>
      <c r="BC502" s="8"/>
      <c r="BD502" s="8"/>
      <c r="BE502" s="8"/>
    </row>
    <row r="503" spans="1:57">
      <c r="A503" s="8"/>
      <c r="B503" s="8"/>
      <c r="C503" s="8"/>
      <c r="D503" s="8"/>
      <c r="E503" s="8"/>
      <c r="F503" s="54"/>
      <c r="G503" s="8"/>
      <c r="H503" s="8"/>
      <c r="I503" s="8"/>
      <c r="J503" s="8"/>
      <c r="K503" s="8"/>
      <c r="L503" s="8"/>
      <c r="M503" s="8"/>
      <c r="N503" s="8"/>
      <c r="O503" s="8"/>
      <c r="P503" s="8"/>
      <c r="Q503" s="8"/>
      <c r="R503" s="8"/>
      <c r="S503" s="8"/>
      <c r="T503" s="8"/>
      <c r="U503" s="53"/>
      <c r="V503" s="53"/>
      <c r="W503" s="53"/>
      <c r="X503" s="53"/>
      <c r="Y503" s="53"/>
      <c r="Z503" s="53"/>
      <c r="AA503" s="53"/>
      <c r="AB503" s="53"/>
      <c r="AC503" s="53"/>
      <c r="AD503" s="53"/>
      <c r="AE503" s="53"/>
      <c r="AF503" s="53"/>
      <c r="AG503" s="8"/>
      <c r="AH503" s="8"/>
      <c r="AI503" s="8"/>
      <c r="AJ503" s="8"/>
      <c r="AK503" s="8"/>
      <c r="AL503" s="8"/>
      <c r="AM503" s="8"/>
      <c r="AN503" s="8"/>
      <c r="AO503" s="8"/>
      <c r="AP503" s="8"/>
      <c r="AQ503" s="8"/>
      <c r="AR503" s="8"/>
      <c r="AS503" s="8"/>
      <c r="AT503" s="8"/>
      <c r="AU503" s="8"/>
      <c r="AV503" s="8"/>
      <c r="AW503" s="8"/>
      <c r="AX503" s="8"/>
      <c r="AY503" s="8"/>
      <c r="AZ503" s="8"/>
      <c r="BA503" s="8"/>
      <c r="BB503" s="8"/>
      <c r="BC503" s="8"/>
      <c r="BD503" s="8"/>
      <c r="BE503" s="8"/>
    </row>
    <row r="504" spans="1:57">
      <c r="A504" s="8"/>
      <c r="B504" s="8"/>
      <c r="C504" s="8"/>
      <c r="D504" s="8"/>
      <c r="E504" s="8"/>
      <c r="F504" s="54"/>
      <c r="G504" s="8"/>
      <c r="H504" s="8"/>
      <c r="I504" s="8"/>
      <c r="J504" s="8"/>
      <c r="K504" s="8"/>
      <c r="L504" s="8"/>
      <c r="M504" s="8"/>
      <c r="N504" s="8"/>
      <c r="O504" s="8"/>
      <c r="P504" s="8"/>
      <c r="Q504" s="8"/>
      <c r="R504" s="8"/>
      <c r="S504" s="8"/>
      <c r="T504" s="8"/>
      <c r="U504" s="53"/>
      <c r="V504" s="53"/>
      <c r="W504" s="53"/>
      <c r="X504" s="53"/>
      <c r="Y504" s="53"/>
      <c r="Z504" s="53"/>
      <c r="AA504" s="53"/>
      <c r="AB504" s="53"/>
      <c r="AC504" s="53"/>
      <c r="AD504" s="53"/>
      <c r="AE504" s="53"/>
      <c r="AF504" s="53"/>
      <c r="AG504" s="8"/>
      <c r="AH504" s="8"/>
      <c r="AI504" s="8"/>
      <c r="AJ504" s="8"/>
      <c r="AK504" s="8"/>
      <c r="AL504" s="8"/>
      <c r="AM504" s="8"/>
      <c r="AN504" s="8"/>
      <c r="AO504" s="8"/>
      <c r="AP504" s="8"/>
      <c r="AQ504" s="8"/>
      <c r="AR504" s="8"/>
      <c r="AS504" s="8"/>
      <c r="AT504" s="8"/>
      <c r="AU504" s="8"/>
      <c r="AV504" s="8"/>
      <c r="AW504" s="8"/>
      <c r="AX504" s="8"/>
      <c r="AY504" s="8"/>
      <c r="AZ504" s="8"/>
      <c r="BA504" s="8"/>
      <c r="BB504" s="8"/>
      <c r="BC504" s="8"/>
      <c r="BD504" s="8"/>
      <c r="BE504" s="8"/>
    </row>
    <row r="505" spans="1:57">
      <c r="A505" s="8"/>
      <c r="B505" s="8"/>
      <c r="C505" s="8"/>
      <c r="D505" s="8"/>
      <c r="E505" s="8"/>
      <c r="F505" s="54"/>
      <c r="G505" s="8"/>
      <c r="H505" s="8"/>
      <c r="I505" s="8"/>
      <c r="J505" s="8"/>
      <c r="K505" s="8"/>
      <c r="L505" s="8"/>
      <c r="M505" s="8"/>
      <c r="N505" s="8"/>
      <c r="O505" s="8"/>
      <c r="P505" s="8"/>
      <c r="Q505" s="8"/>
      <c r="R505" s="8"/>
      <c r="S505" s="8"/>
      <c r="T505" s="8"/>
      <c r="U505" s="53"/>
      <c r="V505" s="53"/>
      <c r="W505" s="53"/>
      <c r="X505" s="53"/>
      <c r="Y505" s="53"/>
      <c r="Z505" s="53"/>
      <c r="AA505" s="53"/>
      <c r="AB505" s="53"/>
      <c r="AC505" s="53"/>
      <c r="AD505" s="53"/>
      <c r="AE505" s="53"/>
      <c r="AF505" s="53"/>
      <c r="AG505" s="8"/>
      <c r="AH505" s="8"/>
      <c r="AI505" s="8"/>
      <c r="AJ505" s="8"/>
      <c r="AK505" s="8"/>
      <c r="AL505" s="8"/>
      <c r="AM505" s="8"/>
      <c r="AN505" s="8"/>
      <c r="AO505" s="8"/>
      <c r="AP505" s="8"/>
      <c r="AQ505" s="8"/>
      <c r="AR505" s="8"/>
      <c r="AS505" s="8"/>
      <c r="AT505" s="8"/>
      <c r="AU505" s="8"/>
      <c r="AV505" s="8"/>
      <c r="AW505" s="8"/>
      <c r="AX505" s="8"/>
      <c r="AY505" s="8"/>
      <c r="AZ505" s="8"/>
      <c r="BA505" s="8"/>
      <c r="BB505" s="8"/>
      <c r="BC505" s="8"/>
      <c r="BD505" s="8"/>
      <c r="BE505" s="8"/>
    </row>
    <row r="506" spans="1:57">
      <c r="A506" s="8"/>
      <c r="B506" s="8"/>
      <c r="C506" s="8"/>
      <c r="D506" s="8"/>
      <c r="E506" s="8"/>
      <c r="F506" s="54"/>
      <c r="G506" s="8"/>
      <c r="H506" s="8"/>
      <c r="I506" s="8"/>
      <c r="J506" s="8"/>
      <c r="K506" s="8"/>
      <c r="L506" s="8"/>
      <c r="M506" s="8"/>
      <c r="N506" s="8"/>
      <c r="O506" s="8"/>
      <c r="P506" s="8"/>
      <c r="Q506" s="8"/>
      <c r="R506" s="8"/>
      <c r="S506" s="8"/>
      <c r="T506" s="8"/>
      <c r="U506" s="53"/>
      <c r="V506" s="53"/>
      <c r="W506" s="53"/>
      <c r="X506" s="53"/>
      <c r="Y506" s="53"/>
      <c r="Z506" s="53"/>
      <c r="AA506" s="53"/>
      <c r="AB506" s="53"/>
      <c r="AC506" s="53"/>
      <c r="AD506" s="53"/>
      <c r="AE506" s="53"/>
      <c r="AF506" s="53"/>
      <c r="AG506" s="8"/>
      <c r="AH506" s="8"/>
      <c r="AI506" s="8"/>
      <c r="AJ506" s="8"/>
      <c r="AK506" s="8"/>
      <c r="AL506" s="8"/>
      <c r="AM506" s="8"/>
      <c r="AN506" s="8"/>
      <c r="AO506" s="8"/>
      <c r="AP506" s="8"/>
      <c r="AQ506" s="8"/>
      <c r="AR506" s="8"/>
      <c r="AS506" s="8"/>
      <c r="AT506" s="8"/>
      <c r="AU506" s="8"/>
      <c r="AV506" s="8"/>
      <c r="AW506" s="8"/>
      <c r="AX506" s="8"/>
      <c r="AY506" s="8"/>
      <c r="AZ506" s="8"/>
      <c r="BA506" s="8"/>
      <c r="BB506" s="8"/>
      <c r="BC506" s="8"/>
      <c r="BD506" s="8"/>
      <c r="BE506" s="8"/>
    </row>
    <row r="507" spans="1:57">
      <c r="A507" s="8"/>
      <c r="B507" s="8"/>
      <c r="C507" s="8"/>
      <c r="D507" s="8"/>
      <c r="E507" s="8"/>
      <c r="F507" s="54"/>
      <c r="G507" s="8"/>
      <c r="H507" s="8"/>
      <c r="I507" s="8"/>
      <c r="J507" s="8"/>
      <c r="K507" s="8"/>
      <c r="L507" s="8"/>
      <c r="M507" s="8"/>
      <c r="N507" s="8"/>
      <c r="O507" s="8"/>
      <c r="P507" s="8"/>
      <c r="Q507" s="8"/>
      <c r="R507" s="8"/>
      <c r="S507" s="8"/>
      <c r="T507" s="8"/>
      <c r="U507" s="53"/>
      <c r="V507" s="53"/>
      <c r="W507" s="53"/>
      <c r="X507" s="53"/>
      <c r="Y507" s="53"/>
      <c r="Z507" s="53"/>
      <c r="AA507" s="53"/>
      <c r="AB507" s="53"/>
      <c r="AC507" s="53"/>
      <c r="AD507" s="53"/>
      <c r="AE507" s="53"/>
      <c r="AF507" s="53"/>
      <c r="AG507" s="8"/>
      <c r="AH507" s="8"/>
      <c r="AI507" s="8"/>
      <c r="AJ507" s="8"/>
      <c r="AK507" s="8"/>
      <c r="AL507" s="8"/>
      <c r="AM507" s="8"/>
      <c r="AN507" s="8"/>
      <c r="AO507" s="8"/>
      <c r="AP507" s="8"/>
      <c r="AQ507" s="8"/>
      <c r="AR507" s="8"/>
      <c r="AS507" s="8"/>
      <c r="AT507" s="8"/>
      <c r="AU507" s="8"/>
      <c r="AV507" s="8"/>
      <c r="AW507" s="8"/>
      <c r="AX507" s="8"/>
      <c r="AY507" s="8"/>
      <c r="AZ507" s="8"/>
      <c r="BA507" s="8"/>
      <c r="BB507" s="8"/>
      <c r="BC507" s="8"/>
      <c r="BD507" s="8"/>
      <c r="BE507" s="8"/>
    </row>
    <row r="508" spans="1:57">
      <c r="A508" s="8"/>
      <c r="B508" s="8"/>
      <c r="C508" s="8"/>
      <c r="D508" s="8"/>
      <c r="E508" s="8"/>
      <c r="F508" s="54"/>
      <c r="G508" s="8"/>
      <c r="H508" s="8"/>
      <c r="I508" s="8"/>
      <c r="J508" s="8"/>
      <c r="K508" s="8"/>
      <c r="L508" s="8"/>
      <c r="M508" s="8"/>
      <c r="N508" s="8"/>
      <c r="O508" s="8"/>
      <c r="P508" s="8"/>
      <c r="Q508" s="8"/>
      <c r="R508" s="8"/>
      <c r="S508" s="8"/>
      <c r="T508" s="8"/>
      <c r="U508" s="53"/>
      <c r="V508" s="53"/>
      <c r="W508" s="53"/>
      <c r="X508" s="53"/>
      <c r="Y508" s="53"/>
      <c r="Z508" s="53"/>
      <c r="AA508" s="53"/>
      <c r="AB508" s="53"/>
      <c r="AC508" s="53"/>
      <c r="AD508" s="53"/>
      <c r="AE508" s="53"/>
      <c r="AF508" s="53"/>
      <c r="AG508" s="8"/>
      <c r="AH508" s="8"/>
      <c r="AI508" s="8"/>
      <c r="AJ508" s="8"/>
      <c r="AK508" s="8"/>
      <c r="AL508" s="8"/>
      <c r="AM508" s="8"/>
      <c r="AN508" s="8"/>
      <c r="AO508" s="8"/>
      <c r="AP508" s="8"/>
      <c r="AQ508" s="8"/>
      <c r="AR508" s="8"/>
      <c r="AS508" s="8"/>
      <c r="AT508" s="8"/>
      <c r="AU508" s="8"/>
      <c r="AV508" s="8"/>
      <c r="AW508" s="8"/>
      <c r="AX508" s="8"/>
      <c r="AY508" s="8"/>
      <c r="AZ508" s="8"/>
      <c r="BA508" s="8"/>
      <c r="BB508" s="8"/>
      <c r="BC508" s="8"/>
      <c r="BD508" s="8"/>
      <c r="BE508" s="8"/>
    </row>
    <row r="509" spans="1:57">
      <c r="A509" s="8"/>
      <c r="B509" s="8"/>
      <c r="C509" s="8"/>
      <c r="D509" s="8"/>
      <c r="E509" s="8"/>
      <c r="F509" s="54"/>
      <c r="G509" s="8"/>
      <c r="H509" s="8"/>
      <c r="I509" s="8"/>
      <c r="J509" s="8"/>
      <c r="K509" s="8"/>
      <c r="L509" s="8"/>
      <c r="M509" s="8"/>
      <c r="N509" s="8"/>
      <c r="O509" s="8"/>
      <c r="P509" s="8"/>
      <c r="Q509" s="8"/>
      <c r="R509" s="8"/>
      <c r="S509" s="8"/>
      <c r="T509" s="8"/>
      <c r="U509" s="53"/>
      <c r="V509" s="53"/>
      <c r="W509" s="53"/>
      <c r="X509" s="53"/>
      <c r="Y509" s="53"/>
      <c r="Z509" s="53"/>
      <c r="AA509" s="53"/>
      <c r="AB509" s="53"/>
      <c r="AC509" s="53"/>
      <c r="AD509" s="53"/>
      <c r="AE509" s="53"/>
      <c r="AF509" s="53"/>
      <c r="AG509" s="8"/>
      <c r="AH509" s="8"/>
      <c r="AI509" s="8"/>
      <c r="AJ509" s="8"/>
      <c r="AK509" s="8"/>
      <c r="AL509" s="8"/>
      <c r="AM509" s="8"/>
      <c r="AN509" s="8"/>
      <c r="AO509" s="8"/>
      <c r="AP509" s="8"/>
      <c r="AQ509" s="8"/>
      <c r="AR509" s="8"/>
      <c r="AS509" s="8"/>
      <c r="AT509" s="8"/>
      <c r="AU509" s="8"/>
      <c r="AV509" s="8"/>
      <c r="AW509" s="8"/>
      <c r="AX509" s="8"/>
      <c r="AY509" s="8"/>
      <c r="AZ509" s="8"/>
      <c r="BA509" s="8"/>
      <c r="BB509" s="8"/>
      <c r="BC509" s="8"/>
      <c r="BD509" s="8"/>
      <c r="BE509" s="8"/>
    </row>
    <row r="510" spans="1:57">
      <c r="A510" s="8"/>
      <c r="B510" s="8"/>
      <c r="C510" s="8"/>
      <c r="D510" s="8"/>
      <c r="E510" s="8"/>
      <c r="F510" s="54"/>
      <c r="G510" s="8"/>
      <c r="H510" s="8"/>
      <c r="I510" s="8"/>
      <c r="J510" s="8"/>
      <c r="K510" s="8"/>
      <c r="L510" s="8"/>
      <c r="M510" s="8"/>
      <c r="N510" s="8"/>
      <c r="O510" s="8"/>
      <c r="P510" s="8"/>
      <c r="Q510" s="8"/>
      <c r="R510" s="8"/>
      <c r="S510" s="8"/>
      <c r="T510" s="8"/>
      <c r="U510" s="53"/>
      <c r="V510" s="53"/>
      <c r="W510" s="53"/>
      <c r="X510" s="53"/>
      <c r="Y510" s="53"/>
      <c r="Z510" s="53"/>
      <c r="AA510" s="53"/>
      <c r="AB510" s="53"/>
      <c r="AC510" s="53"/>
      <c r="AD510" s="53"/>
      <c r="AE510" s="53"/>
      <c r="AF510" s="53"/>
      <c r="AG510" s="8"/>
      <c r="AH510" s="8"/>
      <c r="AI510" s="8"/>
      <c r="AJ510" s="8"/>
      <c r="AK510" s="8"/>
      <c r="AL510" s="8"/>
      <c r="AM510" s="8"/>
      <c r="AN510" s="8"/>
      <c r="AO510" s="8"/>
      <c r="AP510" s="8"/>
      <c r="AQ510" s="8"/>
      <c r="AR510" s="8"/>
      <c r="AS510" s="8"/>
      <c r="AT510" s="8"/>
      <c r="AU510" s="8"/>
      <c r="AV510" s="8"/>
      <c r="AW510" s="8"/>
      <c r="AX510" s="8"/>
      <c r="AY510" s="8"/>
      <c r="AZ510" s="8"/>
      <c r="BA510" s="8"/>
      <c r="BB510" s="8"/>
      <c r="BC510" s="8"/>
      <c r="BD510" s="8"/>
      <c r="BE510" s="8"/>
    </row>
    <row r="511" spans="1:57">
      <c r="A511" s="8"/>
      <c r="B511" s="8"/>
      <c r="C511" s="8"/>
      <c r="D511" s="8"/>
      <c r="E511" s="8"/>
      <c r="F511" s="54"/>
      <c r="G511" s="8"/>
      <c r="H511" s="8"/>
      <c r="I511" s="8"/>
      <c r="J511" s="8"/>
      <c r="K511" s="8"/>
      <c r="L511" s="8"/>
      <c r="M511" s="8"/>
      <c r="N511" s="8"/>
      <c r="O511" s="8"/>
      <c r="P511" s="8"/>
      <c r="Q511" s="8"/>
      <c r="R511" s="8"/>
      <c r="S511" s="8"/>
      <c r="T511" s="8"/>
      <c r="U511" s="53"/>
      <c r="V511" s="53"/>
      <c r="W511" s="53"/>
      <c r="X511" s="53"/>
      <c r="Y511" s="53"/>
      <c r="Z511" s="53"/>
      <c r="AA511" s="53"/>
      <c r="AB511" s="53"/>
      <c r="AC511" s="53"/>
      <c r="AD511" s="53"/>
      <c r="AE511" s="53"/>
      <c r="AF511" s="53"/>
      <c r="AG511" s="8"/>
      <c r="AH511" s="8"/>
      <c r="AI511" s="8"/>
      <c r="AJ511" s="8"/>
      <c r="AK511" s="8"/>
      <c r="AL511" s="8"/>
      <c r="AM511" s="8"/>
      <c r="AN511" s="8"/>
      <c r="AO511" s="8"/>
      <c r="AP511" s="8"/>
      <c r="AQ511" s="8"/>
      <c r="AR511" s="8"/>
      <c r="AS511" s="8"/>
      <c r="AT511" s="8"/>
      <c r="AU511" s="8"/>
      <c r="AV511" s="8"/>
      <c r="AW511" s="8"/>
      <c r="AX511" s="8"/>
      <c r="AY511" s="8"/>
      <c r="AZ511" s="8"/>
      <c r="BA511" s="8"/>
      <c r="BB511" s="8"/>
      <c r="BC511" s="8"/>
      <c r="BD511" s="8"/>
      <c r="BE511" s="8"/>
    </row>
    <row r="512" spans="1:57">
      <c r="A512" s="8"/>
      <c r="B512" s="8"/>
      <c r="C512" s="8"/>
      <c r="D512" s="8"/>
      <c r="E512" s="8"/>
      <c r="F512" s="54"/>
      <c r="G512" s="8"/>
      <c r="H512" s="8"/>
      <c r="I512" s="8"/>
      <c r="J512" s="8"/>
      <c r="K512" s="8"/>
      <c r="L512" s="8"/>
      <c r="M512" s="8"/>
      <c r="N512" s="8"/>
      <c r="O512" s="8"/>
      <c r="P512" s="8"/>
      <c r="Q512" s="8"/>
      <c r="R512" s="8"/>
      <c r="S512" s="8"/>
      <c r="T512" s="8"/>
      <c r="U512" s="53"/>
      <c r="V512" s="53"/>
      <c r="W512" s="53"/>
      <c r="X512" s="53"/>
      <c r="Y512" s="53"/>
      <c r="Z512" s="53"/>
      <c r="AA512" s="53"/>
      <c r="AB512" s="53"/>
      <c r="AC512" s="53"/>
      <c r="AD512" s="53"/>
      <c r="AE512" s="53"/>
      <c r="AF512" s="53"/>
      <c r="AG512" s="8"/>
      <c r="AH512" s="8"/>
      <c r="AI512" s="8"/>
      <c r="AJ512" s="8"/>
      <c r="AK512" s="8"/>
      <c r="AL512" s="8"/>
      <c r="AM512" s="8"/>
      <c r="AN512" s="8"/>
      <c r="AO512" s="8"/>
      <c r="AP512" s="8"/>
      <c r="AQ512" s="8"/>
      <c r="AR512" s="8"/>
      <c r="AS512" s="8"/>
      <c r="AT512" s="8"/>
      <c r="AU512" s="8"/>
      <c r="AV512" s="8"/>
      <c r="AW512" s="8"/>
      <c r="AX512" s="8"/>
      <c r="AY512" s="8"/>
      <c r="AZ512" s="8"/>
      <c r="BA512" s="8"/>
      <c r="BB512" s="8"/>
      <c r="BC512" s="8"/>
      <c r="BD512" s="8"/>
      <c r="BE512" s="8"/>
    </row>
    <row r="513" spans="1:57">
      <c r="A513" s="8"/>
      <c r="B513" s="8"/>
      <c r="C513" s="8"/>
      <c r="D513" s="8"/>
      <c r="E513" s="8"/>
      <c r="F513" s="54"/>
      <c r="G513" s="8"/>
      <c r="H513" s="8"/>
      <c r="I513" s="8"/>
      <c r="J513" s="8"/>
      <c r="K513" s="8"/>
      <c r="L513" s="8"/>
      <c r="M513" s="8"/>
      <c r="N513" s="8"/>
      <c r="O513" s="8"/>
      <c r="P513" s="8"/>
      <c r="Q513" s="8"/>
      <c r="R513" s="8"/>
      <c r="S513" s="8"/>
      <c r="T513" s="8"/>
      <c r="U513" s="53"/>
      <c r="V513" s="53"/>
      <c r="W513" s="53"/>
      <c r="X513" s="53"/>
      <c r="Y513" s="53"/>
      <c r="Z513" s="53"/>
      <c r="AA513" s="53"/>
      <c r="AB513" s="53"/>
      <c r="AC513" s="53"/>
      <c r="AD513" s="53"/>
      <c r="AE513" s="53"/>
      <c r="AF513" s="53"/>
      <c r="AG513" s="8"/>
      <c r="AH513" s="8"/>
      <c r="AI513" s="8"/>
      <c r="AJ513" s="8"/>
      <c r="AK513" s="8"/>
      <c r="AL513" s="8"/>
      <c r="AM513" s="8"/>
      <c r="AN513" s="8"/>
      <c r="AO513" s="8"/>
      <c r="AP513" s="8"/>
      <c r="AQ513" s="8"/>
      <c r="AR513" s="8"/>
      <c r="AS513" s="8"/>
      <c r="AT513" s="8"/>
      <c r="AU513" s="8"/>
      <c r="AV513" s="8"/>
      <c r="AW513" s="8"/>
      <c r="AX513" s="8"/>
      <c r="AY513" s="8"/>
      <c r="AZ513" s="8"/>
      <c r="BA513" s="8"/>
      <c r="BB513" s="8"/>
      <c r="BC513" s="8"/>
      <c r="BD513" s="8"/>
      <c r="BE513" s="8"/>
    </row>
    <row r="514" spans="1:57">
      <c r="A514" s="8"/>
      <c r="B514" s="8"/>
      <c r="C514" s="8"/>
      <c r="D514" s="8"/>
      <c r="E514" s="8"/>
      <c r="F514" s="54"/>
      <c r="G514" s="8"/>
      <c r="H514" s="8"/>
      <c r="I514" s="8"/>
      <c r="J514" s="8"/>
      <c r="K514" s="8"/>
      <c r="L514" s="8"/>
      <c r="M514" s="8"/>
      <c r="N514" s="8"/>
      <c r="O514" s="8"/>
      <c r="P514" s="8"/>
      <c r="Q514" s="8"/>
      <c r="R514" s="8"/>
      <c r="S514" s="8"/>
      <c r="T514" s="8"/>
      <c r="U514" s="53"/>
      <c r="V514" s="53"/>
      <c r="W514" s="53"/>
      <c r="X514" s="53"/>
      <c r="Y514" s="53"/>
      <c r="Z514" s="53"/>
      <c r="AA514" s="53"/>
      <c r="AB514" s="53"/>
      <c r="AC514" s="53"/>
      <c r="AD514" s="53"/>
      <c r="AE514" s="53"/>
      <c r="AF514" s="53"/>
      <c r="AG514" s="8"/>
      <c r="AH514" s="8"/>
      <c r="AI514" s="8"/>
      <c r="AJ514" s="8"/>
      <c r="AK514" s="8"/>
      <c r="AL514" s="8"/>
      <c r="AM514" s="8"/>
      <c r="AN514" s="8"/>
      <c r="AO514" s="8"/>
      <c r="AP514" s="8"/>
      <c r="AQ514" s="8"/>
      <c r="AR514" s="8"/>
      <c r="AS514" s="8"/>
      <c r="AT514" s="8"/>
      <c r="AU514" s="8"/>
      <c r="AV514" s="8"/>
      <c r="AW514" s="8"/>
      <c r="AX514" s="8"/>
      <c r="AY514" s="8"/>
      <c r="AZ514" s="8"/>
      <c r="BA514" s="8"/>
      <c r="BB514" s="8"/>
      <c r="BC514" s="8"/>
      <c r="BD514" s="8"/>
      <c r="BE514" s="8"/>
    </row>
    <row r="515" spans="1:57">
      <c r="A515" s="8"/>
      <c r="B515" s="8"/>
      <c r="C515" s="8"/>
      <c r="D515" s="8"/>
      <c r="E515" s="8"/>
      <c r="F515" s="54"/>
      <c r="G515" s="8"/>
      <c r="H515" s="8"/>
      <c r="I515" s="8"/>
      <c r="J515" s="8"/>
      <c r="K515" s="8"/>
      <c r="L515" s="8"/>
      <c r="M515" s="8"/>
      <c r="N515" s="8"/>
      <c r="O515" s="8"/>
      <c r="P515" s="8"/>
      <c r="Q515" s="8"/>
      <c r="R515" s="8"/>
      <c r="S515" s="8"/>
      <c r="T515" s="8"/>
      <c r="U515" s="53"/>
      <c r="V515" s="53"/>
      <c r="W515" s="53"/>
      <c r="X515" s="53"/>
      <c r="Y515" s="53"/>
      <c r="Z515" s="53"/>
      <c r="AA515" s="53"/>
      <c r="AB515" s="53"/>
      <c r="AC515" s="53"/>
      <c r="AD515" s="53"/>
      <c r="AE515" s="53"/>
      <c r="AF515" s="53"/>
      <c r="AG515" s="8"/>
      <c r="AH515" s="8"/>
      <c r="AI515" s="8"/>
      <c r="AJ515" s="8"/>
      <c r="AK515" s="8"/>
      <c r="AL515" s="8"/>
      <c r="AM515" s="8"/>
      <c r="AN515" s="8"/>
      <c r="AO515" s="8"/>
      <c r="AP515" s="8"/>
      <c r="AQ515" s="8"/>
      <c r="AR515" s="8"/>
      <c r="AS515" s="8"/>
      <c r="AT515" s="8"/>
      <c r="AU515" s="8"/>
      <c r="AV515" s="8"/>
      <c r="AW515" s="8"/>
      <c r="AX515" s="8"/>
      <c r="AY515" s="8"/>
      <c r="AZ515" s="8"/>
      <c r="BA515" s="8"/>
      <c r="BB515" s="8"/>
      <c r="BC515" s="8"/>
      <c r="BD515" s="8"/>
      <c r="BE515" s="8"/>
    </row>
    <row r="516" spans="1:57">
      <c r="A516" s="8"/>
      <c r="B516" s="8"/>
      <c r="C516" s="8"/>
      <c r="D516" s="8"/>
      <c r="E516" s="8"/>
      <c r="F516" s="54"/>
      <c r="G516" s="8"/>
      <c r="H516" s="8"/>
      <c r="I516" s="8"/>
      <c r="J516" s="8"/>
      <c r="K516" s="8"/>
      <c r="L516" s="8"/>
      <c r="M516" s="8"/>
      <c r="N516" s="8"/>
      <c r="O516" s="8"/>
      <c r="P516" s="8"/>
      <c r="Q516" s="8"/>
      <c r="R516" s="8"/>
      <c r="S516" s="8"/>
      <c r="T516" s="8"/>
      <c r="U516" s="53"/>
      <c r="V516" s="53"/>
      <c r="W516" s="53"/>
      <c r="X516" s="53"/>
      <c r="Y516" s="53"/>
      <c r="Z516" s="53"/>
      <c r="AA516" s="53"/>
      <c r="AB516" s="53"/>
      <c r="AC516" s="53"/>
      <c r="AD516" s="53"/>
      <c r="AE516" s="53"/>
      <c r="AF516" s="53"/>
      <c r="AG516" s="8"/>
      <c r="AH516" s="8"/>
      <c r="AI516" s="8"/>
      <c r="AJ516" s="8"/>
      <c r="AK516" s="8"/>
      <c r="AL516" s="8"/>
      <c r="AM516" s="8"/>
      <c r="AN516" s="8"/>
      <c r="AO516" s="8"/>
      <c r="AP516" s="8"/>
      <c r="AQ516" s="8"/>
      <c r="AR516" s="8"/>
      <c r="AS516" s="8"/>
      <c r="AT516" s="8"/>
      <c r="AU516" s="8"/>
      <c r="AV516" s="8"/>
      <c r="AW516" s="8"/>
      <c r="AX516" s="8"/>
      <c r="AY516" s="8"/>
      <c r="AZ516" s="8"/>
      <c r="BA516" s="8"/>
      <c r="BB516" s="8"/>
      <c r="BC516" s="8"/>
      <c r="BD516" s="8"/>
      <c r="BE516" s="8"/>
    </row>
    <row r="517" spans="1:57">
      <c r="A517" s="8"/>
      <c r="B517" s="8"/>
      <c r="C517" s="8"/>
      <c r="D517" s="8"/>
      <c r="E517" s="8"/>
      <c r="F517" s="54"/>
      <c r="G517" s="8"/>
      <c r="H517" s="8"/>
      <c r="I517" s="8"/>
      <c r="J517" s="8"/>
      <c r="K517" s="8"/>
      <c r="L517" s="8"/>
      <c r="M517" s="8"/>
      <c r="N517" s="8"/>
      <c r="O517" s="8"/>
      <c r="P517" s="8"/>
      <c r="Q517" s="8"/>
      <c r="R517" s="8"/>
      <c r="S517" s="8"/>
      <c r="T517" s="8"/>
      <c r="U517" s="53"/>
      <c r="V517" s="53"/>
      <c r="W517" s="53"/>
      <c r="X517" s="53"/>
      <c r="Y517" s="53"/>
      <c r="Z517" s="53"/>
      <c r="AA517" s="53"/>
      <c r="AB517" s="53"/>
      <c r="AC517" s="53"/>
      <c r="AD517" s="53"/>
      <c r="AE517" s="53"/>
      <c r="AF517" s="53"/>
      <c r="AG517" s="8"/>
      <c r="AH517" s="8"/>
      <c r="AI517" s="8"/>
      <c r="AJ517" s="8"/>
      <c r="AK517" s="8"/>
      <c r="AL517" s="8"/>
      <c r="AM517" s="8"/>
      <c r="AN517" s="8"/>
      <c r="AO517" s="8"/>
      <c r="AP517" s="8"/>
      <c r="AQ517" s="8"/>
      <c r="AR517" s="8"/>
      <c r="AS517" s="8"/>
      <c r="AT517" s="8"/>
      <c r="AU517" s="8"/>
      <c r="AV517" s="8"/>
      <c r="AW517" s="8"/>
      <c r="AX517" s="8"/>
      <c r="AY517" s="8"/>
      <c r="AZ517" s="8"/>
      <c r="BA517" s="8"/>
      <c r="BB517" s="8"/>
      <c r="BC517" s="8"/>
      <c r="BD517" s="8"/>
      <c r="BE517" s="8"/>
    </row>
    <row r="518" spans="1:57">
      <c r="A518" s="8"/>
      <c r="B518" s="8"/>
      <c r="C518" s="8"/>
      <c r="D518" s="8"/>
      <c r="E518" s="8"/>
      <c r="F518" s="54"/>
      <c r="G518" s="8"/>
      <c r="H518" s="8"/>
      <c r="I518" s="8"/>
      <c r="J518" s="8"/>
      <c r="K518" s="8"/>
      <c r="L518" s="8"/>
      <c r="M518" s="8"/>
      <c r="N518" s="8"/>
      <c r="O518" s="8"/>
      <c r="P518" s="8"/>
      <c r="Q518" s="8"/>
      <c r="R518" s="8"/>
      <c r="S518" s="8"/>
      <c r="T518" s="8"/>
      <c r="U518" s="53"/>
      <c r="V518" s="53"/>
      <c r="W518" s="53"/>
      <c r="X518" s="53"/>
      <c r="Y518" s="53"/>
      <c r="Z518" s="53"/>
      <c r="AA518" s="53"/>
      <c r="AB518" s="53"/>
      <c r="AC518" s="53"/>
      <c r="AD518" s="53"/>
      <c r="AE518" s="53"/>
      <c r="AF518" s="53"/>
      <c r="AG518" s="8"/>
      <c r="AH518" s="8"/>
      <c r="AI518" s="8"/>
      <c r="AJ518" s="8"/>
      <c r="AK518" s="8"/>
      <c r="AL518" s="8"/>
      <c r="AM518" s="8"/>
      <c r="AN518" s="8"/>
      <c r="AO518" s="8"/>
      <c r="AP518" s="8"/>
      <c r="AQ518" s="8"/>
      <c r="AR518" s="8"/>
      <c r="AS518" s="8"/>
      <c r="AT518" s="8"/>
      <c r="AU518" s="8"/>
      <c r="AV518" s="8"/>
      <c r="AW518" s="8"/>
      <c r="AX518" s="8"/>
      <c r="AY518" s="8"/>
      <c r="AZ518" s="8"/>
      <c r="BA518" s="8"/>
      <c r="BB518" s="8"/>
      <c r="BC518" s="8"/>
      <c r="BD518" s="8"/>
      <c r="BE518" s="8"/>
    </row>
    <row r="519" spans="1:57">
      <c r="A519" s="8"/>
      <c r="B519" s="8"/>
      <c r="C519" s="8"/>
      <c r="D519" s="8"/>
      <c r="E519" s="8"/>
      <c r="F519" s="54"/>
      <c r="G519" s="8"/>
      <c r="H519" s="8"/>
      <c r="I519" s="8"/>
      <c r="J519" s="8"/>
      <c r="K519" s="8"/>
      <c r="L519" s="8"/>
      <c r="M519" s="8"/>
      <c r="N519" s="8"/>
      <c r="O519" s="8"/>
      <c r="P519" s="8"/>
      <c r="Q519" s="8"/>
      <c r="R519" s="8"/>
      <c r="S519" s="8"/>
      <c r="T519" s="8"/>
      <c r="U519" s="53"/>
      <c r="V519" s="53"/>
      <c r="W519" s="53"/>
      <c r="X519" s="53"/>
      <c r="Y519" s="53"/>
      <c r="Z519" s="53"/>
      <c r="AA519" s="53"/>
      <c r="AB519" s="53"/>
      <c r="AC519" s="53"/>
      <c r="AD519" s="53"/>
      <c r="AE519" s="53"/>
      <c r="AF519" s="53"/>
      <c r="AG519" s="8"/>
      <c r="AH519" s="8"/>
      <c r="AI519" s="8"/>
      <c r="AJ519" s="8"/>
      <c r="AK519" s="8"/>
      <c r="AL519" s="8"/>
      <c r="AM519" s="8"/>
      <c r="AN519" s="8"/>
      <c r="AO519" s="8"/>
      <c r="AP519" s="8"/>
      <c r="AQ519" s="8"/>
      <c r="AR519" s="8"/>
      <c r="AS519" s="8"/>
      <c r="AT519" s="8"/>
      <c r="AU519" s="8"/>
      <c r="AV519" s="8"/>
      <c r="AW519" s="8"/>
      <c r="AX519" s="8"/>
      <c r="AY519" s="8"/>
      <c r="AZ519" s="8"/>
      <c r="BA519" s="8"/>
      <c r="BB519" s="8"/>
      <c r="BC519" s="8"/>
      <c r="BD519" s="8"/>
      <c r="BE519" s="8"/>
    </row>
    <row r="520" spans="1:57">
      <c r="A520" s="8"/>
      <c r="B520" s="8"/>
      <c r="C520" s="8"/>
      <c r="D520" s="8"/>
      <c r="E520" s="8"/>
      <c r="F520" s="54"/>
      <c r="G520" s="8"/>
      <c r="H520" s="8"/>
      <c r="I520" s="8"/>
      <c r="J520" s="8"/>
      <c r="K520" s="8"/>
      <c r="L520" s="8"/>
      <c r="M520" s="8"/>
      <c r="N520" s="8"/>
      <c r="O520" s="8"/>
      <c r="P520" s="8"/>
      <c r="Q520" s="8"/>
      <c r="R520" s="8"/>
      <c r="S520" s="8"/>
      <c r="T520" s="8"/>
      <c r="U520" s="53"/>
      <c r="V520" s="53"/>
      <c r="W520" s="53"/>
      <c r="X520" s="53"/>
      <c r="Y520" s="53"/>
      <c r="Z520" s="53"/>
      <c r="AA520" s="53"/>
      <c r="AB520" s="53"/>
      <c r="AC520" s="53"/>
      <c r="AD520" s="53"/>
      <c r="AE520" s="53"/>
      <c r="AF520" s="53"/>
      <c r="AG520" s="8"/>
      <c r="AH520" s="8"/>
      <c r="AI520" s="8"/>
      <c r="AJ520" s="8"/>
      <c r="AK520" s="8"/>
      <c r="AL520" s="8"/>
      <c r="AM520" s="8"/>
      <c r="AN520" s="8"/>
      <c r="AO520" s="8"/>
      <c r="AP520" s="8"/>
      <c r="AQ520" s="8"/>
      <c r="AR520" s="8"/>
      <c r="AS520" s="8"/>
      <c r="AT520" s="8"/>
      <c r="AU520" s="8"/>
      <c r="AV520" s="8"/>
      <c r="AW520" s="8"/>
      <c r="AX520" s="8"/>
      <c r="AY520" s="8"/>
      <c r="AZ520" s="8"/>
      <c r="BA520" s="8"/>
      <c r="BB520" s="8"/>
      <c r="BC520" s="8"/>
      <c r="BD520" s="8"/>
      <c r="BE520" s="8"/>
    </row>
    <row r="521" spans="1:57">
      <c r="A521" s="8"/>
      <c r="B521" s="8"/>
      <c r="C521" s="8"/>
      <c r="D521" s="8"/>
      <c r="E521" s="8"/>
      <c r="F521" s="54"/>
      <c r="G521" s="8"/>
      <c r="H521" s="8"/>
      <c r="I521" s="8"/>
      <c r="J521" s="8"/>
      <c r="K521" s="8"/>
      <c r="L521" s="8"/>
      <c r="M521" s="8"/>
      <c r="N521" s="8"/>
      <c r="O521" s="8"/>
      <c r="P521" s="8"/>
      <c r="Q521" s="8"/>
      <c r="R521" s="8"/>
      <c r="S521" s="8"/>
      <c r="T521" s="8"/>
      <c r="U521" s="53"/>
      <c r="V521" s="53"/>
      <c r="W521" s="53"/>
      <c r="X521" s="53"/>
      <c r="Y521" s="53"/>
      <c r="Z521" s="53"/>
      <c r="AA521" s="53"/>
      <c r="AB521" s="53"/>
      <c r="AC521" s="53"/>
      <c r="AD521" s="53"/>
      <c r="AE521" s="53"/>
      <c r="AF521" s="53"/>
      <c r="AG521" s="8"/>
      <c r="AH521" s="8"/>
      <c r="AI521" s="8"/>
      <c r="AJ521" s="8"/>
      <c r="AK521" s="8"/>
      <c r="AL521" s="8"/>
      <c r="AM521" s="8"/>
      <c r="AN521" s="8"/>
      <c r="AO521" s="8"/>
      <c r="AP521" s="8"/>
      <c r="AQ521" s="8"/>
      <c r="AR521" s="8"/>
      <c r="AS521" s="8"/>
      <c r="AT521" s="8"/>
      <c r="AU521" s="8"/>
      <c r="AV521" s="8"/>
      <c r="AW521" s="8"/>
      <c r="AX521" s="8"/>
      <c r="AY521" s="8"/>
      <c r="AZ521" s="8"/>
      <c r="BA521" s="8"/>
      <c r="BB521" s="8"/>
      <c r="BC521" s="8"/>
      <c r="BD521" s="8"/>
      <c r="BE521" s="8"/>
    </row>
    <row r="522" spans="1:57">
      <c r="A522" s="8"/>
      <c r="B522" s="8"/>
      <c r="C522" s="8"/>
      <c r="D522" s="8"/>
      <c r="E522" s="8"/>
      <c r="F522" s="54"/>
      <c r="G522" s="8"/>
      <c r="H522" s="8"/>
      <c r="I522" s="8"/>
      <c r="J522" s="8"/>
      <c r="K522" s="8"/>
      <c r="L522" s="8"/>
      <c r="M522" s="8"/>
      <c r="N522" s="8"/>
      <c r="O522" s="8"/>
      <c r="P522" s="8"/>
      <c r="Q522" s="8"/>
      <c r="R522" s="8"/>
      <c r="S522" s="8"/>
      <c r="T522" s="8"/>
      <c r="U522" s="53"/>
      <c r="V522" s="53"/>
      <c r="W522" s="53"/>
      <c r="X522" s="53"/>
      <c r="Y522" s="53"/>
      <c r="Z522" s="53"/>
      <c r="AA522" s="53"/>
      <c r="AB522" s="53"/>
      <c r="AC522" s="53"/>
      <c r="AD522" s="53"/>
      <c r="AE522" s="53"/>
      <c r="AF522" s="53"/>
      <c r="AG522" s="8"/>
      <c r="AH522" s="8"/>
      <c r="AI522" s="8"/>
      <c r="AJ522" s="8"/>
      <c r="AK522" s="8"/>
      <c r="AL522" s="8"/>
      <c r="AM522" s="8"/>
      <c r="AN522" s="8"/>
      <c r="AO522" s="8"/>
      <c r="AP522" s="8"/>
      <c r="AQ522" s="8"/>
      <c r="AR522" s="8"/>
      <c r="AS522" s="8"/>
      <c r="AT522" s="8"/>
      <c r="AU522" s="8"/>
      <c r="AV522" s="8"/>
      <c r="AW522" s="8"/>
      <c r="AX522" s="8"/>
      <c r="AY522" s="8"/>
      <c r="AZ522" s="8"/>
      <c r="BA522" s="8"/>
      <c r="BB522" s="8"/>
      <c r="BC522" s="8"/>
      <c r="BD522" s="8"/>
      <c r="BE522" s="8"/>
    </row>
    <row r="523" spans="1:57">
      <c r="A523" s="8"/>
      <c r="B523" s="8"/>
      <c r="C523" s="8"/>
      <c r="D523" s="8"/>
      <c r="E523" s="8"/>
      <c r="F523" s="54"/>
      <c r="G523" s="8"/>
      <c r="H523" s="8"/>
      <c r="I523" s="8"/>
      <c r="J523" s="8"/>
      <c r="K523" s="8"/>
      <c r="L523" s="8"/>
      <c r="M523" s="8"/>
      <c r="N523" s="8"/>
      <c r="O523" s="8"/>
      <c r="P523" s="8"/>
      <c r="Q523" s="8"/>
      <c r="R523" s="8"/>
      <c r="S523" s="8"/>
      <c r="T523" s="8"/>
      <c r="U523" s="53"/>
      <c r="V523" s="53"/>
      <c r="W523" s="53"/>
      <c r="X523" s="53"/>
      <c r="Y523" s="53"/>
      <c r="Z523" s="53"/>
      <c r="AA523" s="53"/>
      <c r="AB523" s="53"/>
      <c r="AC523" s="53"/>
      <c r="AD523" s="53"/>
      <c r="AE523" s="53"/>
      <c r="AF523" s="53"/>
      <c r="AG523" s="8"/>
      <c r="AH523" s="8"/>
      <c r="AI523" s="8"/>
      <c r="AJ523" s="8"/>
      <c r="AK523" s="8"/>
      <c r="AL523" s="8"/>
      <c r="AM523" s="8"/>
      <c r="AN523" s="8"/>
      <c r="AO523" s="8"/>
      <c r="AP523" s="8"/>
      <c r="AQ523" s="8"/>
      <c r="AR523" s="8"/>
      <c r="AS523" s="8"/>
      <c r="AT523" s="8"/>
      <c r="AU523" s="8"/>
      <c r="AV523" s="8"/>
      <c r="AW523" s="8"/>
      <c r="AX523" s="8"/>
      <c r="AY523" s="8"/>
      <c r="AZ523" s="8"/>
      <c r="BA523" s="8"/>
      <c r="BB523" s="8"/>
      <c r="BC523" s="8"/>
      <c r="BD523" s="8"/>
      <c r="BE523" s="8"/>
    </row>
    <row r="524" spans="1:57">
      <c r="A524" s="8"/>
      <c r="B524" s="8"/>
      <c r="C524" s="8"/>
      <c r="D524" s="8"/>
      <c r="E524" s="8"/>
      <c r="F524" s="54"/>
      <c r="G524" s="8"/>
      <c r="H524" s="8"/>
      <c r="I524" s="8"/>
      <c r="J524" s="8"/>
      <c r="K524" s="8"/>
      <c r="L524" s="8"/>
      <c r="M524" s="8"/>
      <c r="N524" s="8"/>
      <c r="O524" s="8"/>
      <c r="P524" s="8"/>
      <c r="Q524" s="8"/>
      <c r="R524" s="8"/>
      <c r="S524" s="8"/>
      <c r="T524" s="8"/>
      <c r="U524" s="53"/>
      <c r="V524" s="53"/>
      <c r="W524" s="53"/>
      <c r="X524" s="53"/>
      <c r="Y524" s="53"/>
      <c r="Z524" s="53"/>
      <c r="AA524" s="53"/>
      <c r="AB524" s="53"/>
      <c r="AC524" s="53"/>
      <c r="AD524" s="53"/>
      <c r="AE524" s="53"/>
      <c r="AF524" s="53"/>
      <c r="AG524" s="8"/>
      <c r="AH524" s="8"/>
      <c r="AI524" s="8"/>
      <c r="AJ524" s="8"/>
      <c r="AK524" s="8"/>
      <c r="AL524" s="8"/>
      <c r="AM524" s="8"/>
      <c r="AN524" s="8"/>
      <c r="AO524" s="8"/>
      <c r="AP524" s="8"/>
      <c r="AQ524" s="8"/>
      <c r="AR524" s="8"/>
      <c r="AS524" s="8"/>
      <c r="AT524" s="8"/>
      <c r="AU524" s="8"/>
      <c r="AV524" s="8"/>
      <c r="AW524" s="8"/>
      <c r="AX524" s="8"/>
      <c r="AY524" s="8"/>
      <c r="AZ524" s="8"/>
      <c r="BA524" s="8"/>
      <c r="BB524" s="8"/>
      <c r="BC524" s="8"/>
      <c r="BD524" s="8"/>
      <c r="BE524" s="8"/>
    </row>
    <row r="525" spans="1:57">
      <c r="A525" s="8"/>
      <c r="B525" s="8"/>
      <c r="C525" s="8"/>
      <c r="D525" s="8"/>
      <c r="E525" s="8"/>
      <c r="F525" s="54"/>
      <c r="G525" s="8"/>
      <c r="H525" s="8"/>
      <c r="I525" s="8"/>
      <c r="J525" s="8"/>
      <c r="K525" s="8"/>
      <c r="L525" s="8"/>
      <c r="M525" s="8"/>
      <c r="N525" s="8"/>
      <c r="O525" s="8"/>
      <c r="P525" s="8"/>
      <c r="Q525" s="8"/>
      <c r="R525" s="8"/>
      <c r="S525" s="8"/>
      <c r="T525" s="8"/>
      <c r="U525" s="53"/>
      <c r="V525" s="53"/>
      <c r="W525" s="53"/>
      <c r="X525" s="53"/>
      <c r="Y525" s="53"/>
      <c r="Z525" s="53"/>
      <c r="AA525" s="53"/>
      <c r="AB525" s="53"/>
      <c r="AC525" s="53"/>
      <c r="AD525" s="53"/>
      <c r="AE525" s="53"/>
      <c r="AF525" s="53"/>
      <c r="AG525" s="8"/>
      <c r="AH525" s="8"/>
      <c r="AI525" s="8"/>
      <c r="AJ525" s="8"/>
      <c r="AK525" s="8"/>
      <c r="AL525" s="8"/>
      <c r="AM525" s="8"/>
      <c r="AN525" s="8"/>
      <c r="AO525" s="8"/>
      <c r="AP525" s="8"/>
      <c r="AQ525" s="8"/>
      <c r="AR525" s="8"/>
      <c r="AS525" s="8"/>
      <c r="AT525" s="8"/>
      <c r="AU525" s="8"/>
      <c r="AV525" s="8"/>
      <c r="AW525" s="8"/>
      <c r="AX525" s="8"/>
      <c r="AY525" s="8"/>
      <c r="AZ525" s="8"/>
      <c r="BA525" s="8"/>
      <c r="BB525" s="8"/>
      <c r="BC525" s="8"/>
      <c r="BD525" s="8"/>
      <c r="BE525" s="8"/>
    </row>
    <row r="526" spans="1:57">
      <c r="A526" s="8"/>
      <c r="B526" s="8"/>
      <c r="C526" s="8"/>
      <c r="D526" s="8"/>
      <c r="E526" s="8"/>
      <c r="F526" s="54"/>
      <c r="G526" s="8"/>
      <c r="H526" s="8"/>
      <c r="I526" s="8"/>
      <c r="J526" s="8"/>
      <c r="K526" s="8"/>
      <c r="L526" s="8"/>
      <c r="M526" s="8"/>
      <c r="N526" s="8"/>
      <c r="O526" s="8"/>
      <c r="P526" s="8"/>
      <c r="Q526" s="8"/>
      <c r="R526" s="8"/>
      <c r="S526" s="8"/>
      <c r="T526" s="8"/>
      <c r="U526" s="53"/>
      <c r="V526" s="53"/>
      <c r="W526" s="53"/>
      <c r="X526" s="53"/>
      <c r="Y526" s="53"/>
      <c r="Z526" s="53"/>
      <c r="AA526" s="53"/>
      <c r="AB526" s="53"/>
      <c r="AC526" s="53"/>
      <c r="AD526" s="53"/>
      <c r="AE526" s="53"/>
      <c r="AF526" s="53"/>
      <c r="AG526" s="8"/>
      <c r="AH526" s="8"/>
      <c r="AI526" s="8"/>
      <c r="AJ526" s="8"/>
      <c r="AK526" s="8"/>
      <c r="AL526" s="8"/>
      <c r="AM526" s="8"/>
      <c r="AN526" s="8"/>
      <c r="AO526" s="8"/>
      <c r="AP526" s="8"/>
      <c r="AQ526" s="8"/>
      <c r="AR526" s="8"/>
      <c r="AS526" s="8"/>
      <c r="AT526" s="8"/>
      <c r="AU526" s="8"/>
      <c r="AV526" s="8"/>
      <c r="AW526" s="8"/>
      <c r="AX526" s="8"/>
      <c r="AY526" s="8"/>
      <c r="AZ526" s="8"/>
      <c r="BA526" s="8"/>
      <c r="BB526" s="8"/>
      <c r="BC526" s="8"/>
      <c r="BD526" s="8"/>
      <c r="BE526" s="8"/>
    </row>
    <row r="527" spans="1:57">
      <c r="A527" s="8"/>
      <c r="B527" s="8"/>
      <c r="C527" s="8"/>
      <c r="D527" s="8"/>
      <c r="E527" s="8"/>
      <c r="F527" s="54"/>
      <c r="G527" s="8"/>
      <c r="H527" s="8"/>
      <c r="I527" s="8"/>
      <c r="J527" s="8"/>
      <c r="K527" s="8"/>
      <c r="L527" s="8"/>
      <c r="M527" s="8"/>
      <c r="N527" s="8"/>
      <c r="O527" s="8"/>
      <c r="P527" s="8"/>
      <c r="Q527" s="8"/>
      <c r="R527" s="8"/>
      <c r="S527" s="8"/>
      <c r="T527" s="8"/>
      <c r="U527" s="53"/>
      <c r="V527" s="53"/>
      <c r="W527" s="53"/>
      <c r="X527" s="53"/>
      <c r="Y527" s="53"/>
      <c r="Z527" s="53"/>
      <c r="AA527" s="53"/>
      <c r="AB527" s="53"/>
      <c r="AC527" s="53"/>
      <c r="AD527" s="53"/>
      <c r="AE527" s="53"/>
      <c r="AF527" s="53"/>
      <c r="AG527" s="8"/>
      <c r="AH527" s="8"/>
      <c r="AI527" s="8"/>
      <c r="AJ527" s="8"/>
      <c r="AK527" s="8"/>
      <c r="AL527" s="8"/>
      <c r="AM527" s="8"/>
      <c r="AN527" s="8"/>
      <c r="AO527" s="8"/>
      <c r="AP527" s="8"/>
      <c r="AQ527" s="8"/>
      <c r="AR527" s="8"/>
      <c r="AS527" s="8"/>
      <c r="AT527" s="8"/>
      <c r="AU527" s="8"/>
      <c r="AV527" s="8"/>
      <c r="AW527" s="8"/>
      <c r="AX527" s="8"/>
      <c r="AY527" s="8"/>
      <c r="AZ527" s="8"/>
      <c r="BA527" s="8"/>
      <c r="BB527" s="8"/>
      <c r="BC527" s="8"/>
      <c r="BD527" s="8"/>
      <c r="BE527" s="8"/>
    </row>
    <row r="528" spans="1:57">
      <c r="A528" s="8"/>
      <c r="B528" s="8"/>
      <c r="C528" s="8"/>
      <c r="D528" s="8"/>
      <c r="E528" s="8"/>
      <c r="F528" s="54"/>
      <c r="G528" s="8"/>
      <c r="H528" s="8"/>
      <c r="I528" s="8"/>
      <c r="J528" s="8"/>
      <c r="K528" s="8"/>
      <c r="L528" s="8"/>
      <c r="M528" s="8"/>
      <c r="N528" s="8"/>
      <c r="O528" s="8"/>
      <c r="P528" s="8"/>
      <c r="Q528" s="8"/>
      <c r="R528" s="8"/>
      <c r="S528" s="8"/>
      <c r="T528" s="8"/>
      <c r="U528" s="53"/>
      <c r="V528" s="53"/>
      <c r="W528" s="53"/>
      <c r="X528" s="53"/>
      <c r="Y528" s="53"/>
      <c r="Z528" s="53"/>
      <c r="AA528" s="53"/>
      <c r="AB528" s="53"/>
      <c r="AC528" s="53"/>
      <c r="AD528" s="53"/>
      <c r="AE528" s="53"/>
      <c r="AF528" s="53"/>
      <c r="AG528" s="8"/>
      <c r="AH528" s="8"/>
      <c r="AI528" s="8"/>
      <c r="AJ528" s="8"/>
      <c r="AK528" s="8"/>
      <c r="AL528" s="8"/>
      <c r="AM528" s="8"/>
      <c r="AN528" s="8"/>
      <c r="AO528" s="8"/>
      <c r="AP528" s="8"/>
      <c r="AQ528" s="8"/>
      <c r="AR528" s="8"/>
      <c r="AS528" s="8"/>
      <c r="AT528" s="8"/>
      <c r="AU528" s="8"/>
      <c r="AV528" s="8"/>
      <c r="AW528" s="8"/>
      <c r="AX528" s="8"/>
      <c r="AY528" s="8"/>
      <c r="AZ528" s="8"/>
      <c r="BA528" s="8"/>
      <c r="BB528" s="8"/>
      <c r="BC528" s="8"/>
      <c r="BD528" s="8"/>
      <c r="BE528" s="8"/>
    </row>
    <row r="529" spans="1:57">
      <c r="A529" s="8"/>
      <c r="B529" s="8"/>
      <c r="C529" s="8"/>
      <c r="D529" s="8"/>
      <c r="E529" s="8"/>
      <c r="F529" s="54"/>
      <c r="G529" s="8"/>
      <c r="H529" s="8"/>
      <c r="I529" s="8"/>
      <c r="J529" s="8"/>
      <c r="K529" s="8"/>
      <c r="L529" s="8"/>
      <c r="M529" s="8"/>
      <c r="N529" s="8"/>
      <c r="O529" s="8"/>
      <c r="P529" s="8"/>
      <c r="Q529" s="8"/>
      <c r="R529" s="8"/>
      <c r="S529" s="8"/>
      <c r="T529" s="8"/>
      <c r="U529" s="53"/>
      <c r="V529" s="53"/>
      <c r="W529" s="53"/>
      <c r="X529" s="53"/>
      <c r="Y529" s="53"/>
      <c r="Z529" s="53"/>
      <c r="AA529" s="53"/>
      <c r="AB529" s="53"/>
      <c r="AC529" s="53"/>
      <c r="AD529" s="53"/>
      <c r="AE529" s="53"/>
      <c r="AF529" s="53"/>
      <c r="AG529" s="8"/>
      <c r="AH529" s="8"/>
      <c r="AI529" s="8"/>
      <c r="AJ529" s="8"/>
      <c r="AK529" s="8"/>
      <c r="AL529" s="8"/>
      <c r="AM529" s="8"/>
      <c r="AN529" s="8"/>
      <c r="AO529" s="8"/>
      <c r="AP529" s="8"/>
      <c r="AQ529" s="8"/>
      <c r="AR529" s="8"/>
      <c r="AS529" s="8"/>
      <c r="AT529" s="8"/>
      <c r="AU529" s="8"/>
      <c r="AV529" s="8"/>
      <c r="AW529" s="8"/>
      <c r="AX529" s="8"/>
      <c r="AY529" s="8"/>
      <c r="AZ529" s="8"/>
      <c r="BA529" s="8"/>
      <c r="BB529" s="8"/>
      <c r="BC529" s="8"/>
      <c r="BD529" s="8"/>
      <c r="BE529" s="8"/>
    </row>
    <row r="530" spans="1:57">
      <c r="A530" s="8"/>
      <c r="B530" s="8"/>
      <c r="C530" s="8"/>
      <c r="D530" s="8"/>
      <c r="E530" s="8"/>
      <c r="F530" s="54"/>
      <c r="G530" s="8"/>
      <c r="H530" s="8"/>
      <c r="I530" s="8"/>
      <c r="J530" s="8"/>
      <c r="K530" s="8"/>
      <c r="L530" s="8"/>
      <c r="M530" s="8"/>
      <c r="N530" s="8"/>
      <c r="O530" s="8"/>
      <c r="P530" s="8"/>
      <c r="Q530" s="8"/>
      <c r="R530" s="8"/>
      <c r="S530" s="8"/>
      <c r="T530" s="8"/>
      <c r="U530" s="53"/>
      <c r="V530" s="53"/>
      <c r="W530" s="53"/>
      <c r="X530" s="53"/>
      <c r="Y530" s="53"/>
      <c r="Z530" s="53"/>
      <c r="AA530" s="53"/>
      <c r="AB530" s="53"/>
      <c r="AC530" s="53"/>
      <c r="AD530" s="53"/>
      <c r="AE530" s="53"/>
      <c r="AF530" s="53"/>
      <c r="AG530" s="8"/>
      <c r="AH530" s="8"/>
      <c r="AI530" s="8"/>
      <c r="AJ530" s="8"/>
      <c r="AK530" s="8"/>
      <c r="AL530" s="8"/>
      <c r="AM530" s="8"/>
      <c r="AN530" s="8"/>
      <c r="AO530" s="8"/>
      <c r="AP530" s="8"/>
      <c r="AQ530" s="8"/>
      <c r="AR530" s="8"/>
      <c r="AS530" s="8"/>
      <c r="AT530" s="8"/>
      <c r="AU530" s="8"/>
      <c r="AV530" s="8"/>
      <c r="AW530" s="8"/>
      <c r="AX530" s="8"/>
      <c r="AY530" s="8"/>
      <c r="AZ530" s="8"/>
      <c r="BA530" s="8"/>
      <c r="BB530" s="8"/>
      <c r="BC530" s="8"/>
      <c r="BD530" s="8"/>
      <c r="BE530" s="8"/>
    </row>
    <row r="531" spans="1:57">
      <c r="A531" s="8"/>
      <c r="B531" s="8"/>
      <c r="C531" s="8"/>
      <c r="D531" s="8"/>
      <c r="E531" s="8"/>
      <c r="F531" s="54"/>
      <c r="G531" s="8"/>
      <c r="H531" s="8"/>
      <c r="I531" s="8"/>
      <c r="J531" s="8"/>
      <c r="K531" s="8"/>
      <c r="L531" s="8"/>
      <c r="M531" s="8"/>
      <c r="N531" s="8"/>
      <c r="O531" s="8"/>
      <c r="P531" s="8"/>
      <c r="Q531" s="8"/>
      <c r="R531" s="8"/>
      <c r="S531" s="8"/>
      <c r="T531" s="8"/>
      <c r="U531" s="53"/>
      <c r="V531" s="53"/>
      <c r="W531" s="53"/>
      <c r="X531" s="53"/>
      <c r="Y531" s="53"/>
      <c r="Z531" s="53"/>
      <c r="AA531" s="53"/>
      <c r="AB531" s="53"/>
      <c r="AC531" s="53"/>
      <c r="AD531" s="53"/>
      <c r="AE531" s="53"/>
      <c r="AF531" s="53"/>
      <c r="AG531" s="8"/>
      <c r="AH531" s="8"/>
      <c r="AI531" s="8"/>
      <c r="AJ531" s="8"/>
      <c r="AK531" s="8"/>
      <c r="AL531" s="8"/>
      <c r="AM531" s="8"/>
      <c r="AN531" s="8"/>
      <c r="AO531" s="8"/>
      <c r="AP531" s="8"/>
      <c r="AQ531" s="8"/>
      <c r="AR531" s="8"/>
      <c r="AS531" s="8"/>
      <c r="AT531" s="8"/>
      <c r="AU531" s="8"/>
      <c r="AV531" s="8"/>
      <c r="AW531" s="8"/>
      <c r="AX531" s="8"/>
      <c r="AY531" s="8"/>
      <c r="AZ531" s="8"/>
      <c r="BA531" s="8"/>
      <c r="BB531" s="8"/>
      <c r="BC531" s="8"/>
      <c r="BD531" s="8"/>
      <c r="BE531" s="8"/>
    </row>
    <row r="532" spans="1:57">
      <c r="A532" s="8"/>
      <c r="B532" s="8"/>
      <c r="C532" s="8"/>
      <c r="D532" s="8"/>
      <c r="E532" s="8"/>
      <c r="F532" s="54"/>
      <c r="G532" s="8"/>
      <c r="H532" s="8"/>
      <c r="I532" s="8"/>
      <c r="J532" s="8"/>
      <c r="K532" s="8"/>
      <c r="L532" s="8"/>
      <c r="M532" s="8"/>
      <c r="N532" s="8"/>
      <c r="O532" s="8"/>
      <c r="P532" s="8"/>
      <c r="Q532" s="8"/>
      <c r="R532" s="8"/>
      <c r="S532" s="8"/>
      <c r="T532" s="8"/>
      <c r="U532" s="53"/>
      <c r="V532" s="53"/>
      <c r="W532" s="53"/>
      <c r="X532" s="53"/>
      <c r="Y532" s="53"/>
      <c r="Z532" s="53"/>
      <c r="AA532" s="53"/>
      <c r="AB532" s="53"/>
      <c r="AC532" s="53"/>
      <c r="AD532" s="53"/>
      <c r="AE532" s="53"/>
      <c r="AF532" s="53"/>
      <c r="AG532" s="8"/>
      <c r="AH532" s="8"/>
      <c r="AI532" s="8"/>
      <c r="AJ532" s="8"/>
      <c r="AK532" s="8"/>
      <c r="AL532" s="8"/>
      <c r="AM532" s="8"/>
      <c r="AN532" s="8"/>
      <c r="AO532" s="8"/>
      <c r="AP532" s="8"/>
      <c r="AQ532" s="8"/>
      <c r="AR532" s="8"/>
      <c r="AS532" s="8"/>
      <c r="AT532" s="8"/>
      <c r="AU532" s="8"/>
      <c r="AV532" s="8"/>
      <c r="AW532" s="8"/>
      <c r="AX532" s="8"/>
      <c r="AY532" s="8"/>
      <c r="AZ532" s="8"/>
      <c r="BA532" s="8"/>
      <c r="BB532" s="8"/>
      <c r="BC532" s="8"/>
      <c r="BD532" s="8"/>
      <c r="BE532" s="8"/>
    </row>
    <row r="533" spans="1:57">
      <c r="A533" s="8"/>
      <c r="B533" s="8"/>
      <c r="C533" s="8"/>
      <c r="D533" s="8"/>
      <c r="E533" s="8"/>
      <c r="F533" s="54"/>
      <c r="G533" s="8"/>
      <c r="H533" s="8"/>
      <c r="I533" s="8"/>
      <c r="J533" s="8"/>
      <c r="K533" s="8"/>
      <c r="L533" s="8"/>
      <c r="M533" s="8"/>
      <c r="N533" s="8"/>
      <c r="O533" s="8"/>
      <c r="P533" s="8"/>
      <c r="Q533" s="8"/>
      <c r="R533" s="8"/>
      <c r="S533" s="8"/>
      <c r="T533" s="8"/>
      <c r="U533" s="53"/>
      <c r="V533" s="53"/>
      <c r="W533" s="53"/>
      <c r="X533" s="53"/>
      <c r="Y533" s="53"/>
      <c r="Z533" s="53"/>
      <c r="AA533" s="53"/>
      <c r="AB533" s="53"/>
      <c r="AC533" s="53"/>
      <c r="AD533" s="53"/>
      <c r="AE533" s="53"/>
      <c r="AF533" s="53"/>
      <c r="AG533" s="8"/>
      <c r="AH533" s="8"/>
      <c r="AI533" s="8"/>
      <c r="AJ533" s="8"/>
      <c r="AK533" s="8"/>
      <c r="AL533" s="8"/>
      <c r="AM533" s="8"/>
      <c r="AN533" s="8"/>
      <c r="AO533" s="8"/>
      <c r="AP533" s="8"/>
      <c r="AQ533" s="8"/>
      <c r="AR533" s="8"/>
      <c r="AS533" s="8"/>
      <c r="AT533" s="8"/>
      <c r="AU533" s="8"/>
      <c r="AV533" s="8"/>
      <c r="AW533" s="8"/>
      <c r="AX533" s="8"/>
      <c r="AY533" s="8"/>
      <c r="AZ533" s="8"/>
      <c r="BA533" s="8"/>
      <c r="BB533" s="8"/>
      <c r="BC533" s="8"/>
      <c r="BD533" s="8"/>
      <c r="BE533" s="8"/>
    </row>
    <row r="534" spans="1:57">
      <c r="A534" s="8"/>
      <c r="B534" s="8"/>
      <c r="C534" s="8"/>
      <c r="D534" s="8"/>
      <c r="E534" s="8"/>
      <c r="F534" s="54"/>
      <c r="G534" s="8"/>
      <c r="H534" s="8"/>
      <c r="I534" s="8"/>
      <c r="J534" s="8"/>
      <c r="K534" s="8"/>
      <c r="L534" s="8"/>
      <c r="M534" s="8"/>
      <c r="N534" s="8"/>
      <c r="O534" s="8"/>
      <c r="P534" s="8"/>
      <c r="Q534" s="8"/>
      <c r="R534" s="8"/>
      <c r="S534" s="8"/>
      <c r="T534" s="8"/>
      <c r="U534" s="53"/>
      <c r="V534" s="53"/>
      <c r="W534" s="53"/>
      <c r="X534" s="53"/>
      <c r="Y534" s="53"/>
      <c r="Z534" s="53"/>
      <c r="AA534" s="53"/>
      <c r="AB534" s="53"/>
      <c r="AC534" s="53"/>
      <c r="AD534" s="53"/>
      <c r="AE534" s="53"/>
      <c r="AF534" s="53"/>
      <c r="AG534" s="8"/>
      <c r="AH534" s="8"/>
      <c r="AI534" s="8"/>
      <c r="AJ534" s="8"/>
      <c r="AK534" s="8"/>
      <c r="AL534" s="8"/>
      <c r="AM534" s="8"/>
      <c r="AN534" s="8"/>
      <c r="AO534" s="8"/>
      <c r="AP534" s="8"/>
      <c r="AQ534" s="8"/>
      <c r="AR534" s="8"/>
      <c r="AS534" s="8"/>
      <c r="AT534" s="8"/>
      <c r="AU534" s="8"/>
      <c r="AV534" s="8"/>
      <c r="AW534" s="8"/>
      <c r="AX534" s="8"/>
      <c r="AY534" s="8"/>
      <c r="AZ534" s="8"/>
      <c r="BA534" s="8"/>
      <c r="BB534" s="8"/>
      <c r="BC534" s="8"/>
      <c r="BD534" s="8"/>
      <c r="BE534" s="8"/>
    </row>
    <row r="535" spans="1:57">
      <c r="A535" s="8"/>
      <c r="B535" s="8"/>
      <c r="C535" s="8"/>
      <c r="D535" s="8"/>
      <c r="E535" s="8"/>
      <c r="F535" s="54"/>
      <c r="G535" s="8"/>
      <c r="H535" s="8"/>
      <c r="I535" s="8"/>
      <c r="J535" s="8"/>
      <c r="K535" s="8"/>
      <c r="L535" s="8"/>
      <c r="M535" s="8"/>
      <c r="N535" s="8"/>
      <c r="O535" s="8"/>
      <c r="P535" s="8"/>
      <c r="Q535" s="8"/>
      <c r="R535" s="8"/>
      <c r="S535" s="8"/>
      <c r="T535" s="8"/>
      <c r="U535" s="53"/>
      <c r="V535" s="53"/>
      <c r="W535" s="53"/>
      <c r="X535" s="53"/>
      <c r="Y535" s="53"/>
      <c r="Z535" s="53"/>
      <c r="AA535" s="53"/>
      <c r="AB535" s="53"/>
      <c r="AC535" s="53"/>
      <c r="AD535" s="53"/>
      <c r="AE535" s="53"/>
      <c r="AF535" s="53"/>
      <c r="AG535" s="8"/>
      <c r="AH535" s="8"/>
      <c r="AI535" s="8"/>
      <c r="AJ535" s="8"/>
      <c r="AK535" s="8"/>
      <c r="AL535" s="8"/>
      <c r="AM535" s="8"/>
      <c r="AN535" s="8"/>
      <c r="AO535" s="8"/>
      <c r="AP535" s="8"/>
      <c r="AQ535" s="8"/>
      <c r="AR535" s="8"/>
      <c r="AS535" s="8"/>
      <c r="AT535" s="8"/>
      <c r="AU535" s="8"/>
      <c r="AV535" s="8"/>
      <c r="AW535" s="8"/>
      <c r="AX535" s="8"/>
      <c r="AY535" s="8"/>
      <c r="AZ535" s="8"/>
      <c r="BA535" s="8"/>
      <c r="BB535" s="8"/>
      <c r="BC535" s="8"/>
      <c r="BD535" s="8"/>
      <c r="BE535" s="8"/>
    </row>
    <row r="536" spans="1:57">
      <c r="A536" s="8"/>
      <c r="B536" s="8"/>
      <c r="C536" s="8"/>
      <c r="D536" s="8"/>
      <c r="E536" s="8"/>
      <c r="F536" s="54"/>
      <c r="G536" s="8"/>
      <c r="H536" s="8"/>
      <c r="I536" s="8"/>
      <c r="J536" s="8"/>
      <c r="K536" s="8"/>
      <c r="L536" s="8"/>
      <c r="M536" s="8"/>
      <c r="N536" s="8"/>
      <c r="O536" s="8"/>
      <c r="P536" s="8"/>
      <c r="Q536" s="8"/>
      <c r="R536" s="8"/>
      <c r="S536" s="8"/>
      <c r="T536" s="8"/>
      <c r="U536" s="53"/>
      <c r="V536" s="53"/>
      <c r="W536" s="53"/>
      <c r="X536" s="53"/>
      <c r="Y536" s="53"/>
      <c r="Z536" s="53"/>
      <c r="AA536" s="53"/>
      <c r="AB536" s="53"/>
      <c r="AC536" s="53"/>
      <c r="AD536" s="53"/>
      <c r="AE536" s="53"/>
      <c r="AF536" s="53"/>
      <c r="AG536" s="8"/>
      <c r="AH536" s="8"/>
      <c r="AI536" s="8"/>
      <c r="AJ536" s="8"/>
      <c r="AK536" s="8"/>
      <c r="AL536" s="8"/>
      <c r="AM536" s="8"/>
      <c r="AN536" s="8"/>
      <c r="AO536" s="8"/>
      <c r="AP536" s="8"/>
      <c r="AQ536" s="8"/>
      <c r="AR536" s="8"/>
      <c r="AS536" s="8"/>
      <c r="AT536" s="8"/>
      <c r="AU536" s="8"/>
      <c r="AV536" s="8"/>
      <c r="AW536" s="8"/>
      <c r="AX536" s="8"/>
      <c r="AY536" s="8"/>
      <c r="AZ536" s="8"/>
      <c r="BA536" s="8"/>
      <c r="BB536" s="8"/>
      <c r="BC536" s="8"/>
      <c r="BD536" s="8"/>
      <c r="BE536" s="8"/>
    </row>
    <row r="537" spans="1:57">
      <c r="A537" s="8"/>
      <c r="B537" s="8"/>
      <c r="C537" s="8"/>
      <c r="D537" s="8"/>
      <c r="E537" s="8"/>
      <c r="F537" s="54"/>
      <c r="G537" s="8"/>
      <c r="H537" s="8"/>
      <c r="I537" s="8"/>
      <c r="J537" s="8"/>
      <c r="K537" s="8"/>
      <c r="L537" s="8"/>
      <c r="M537" s="8"/>
      <c r="N537" s="8"/>
      <c r="O537" s="8"/>
      <c r="P537" s="8"/>
      <c r="Q537" s="8"/>
      <c r="R537" s="8"/>
      <c r="S537" s="8"/>
      <c r="T537" s="8"/>
      <c r="U537" s="53"/>
      <c r="V537" s="53"/>
      <c r="W537" s="53"/>
      <c r="X537" s="53"/>
      <c r="Y537" s="53"/>
      <c r="Z537" s="53"/>
      <c r="AA537" s="53"/>
      <c r="AB537" s="53"/>
      <c r="AC537" s="53"/>
      <c r="AD537" s="53"/>
      <c r="AE537" s="53"/>
      <c r="AF537" s="53"/>
      <c r="AG537" s="8"/>
      <c r="AH537" s="8"/>
      <c r="AI537" s="8"/>
      <c r="AJ537" s="8"/>
      <c r="AK537" s="8"/>
      <c r="AL537" s="8"/>
      <c r="AM537" s="8"/>
      <c r="AN537" s="8"/>
      <c r="AO537" s="8"/>
      <c r="AP537" s="8"/>
      <c r="AQ537" s="8"/>
      <c r="AR537" s="8"/>
      <c r="AS537" s="8"/>
      <c r="AT537" s="8"/>
      <c r="AU537" s="8"/>
      <c r="AV537" s="8"/>
      <c r="AW537" s="8"/>
      <c r="AX537" s="8"/>
      <c r="AY537" s="8"/>
      <c r="AZ537" s="8"/>
      <c r="BA537" s="8"/>
      <c r="BB537" s="8"/>
      <c r="BC537" s="8"/>
      <c r="BD537" s="8"/>
      <c r="BE537" s="8"/>
    </row>
    <row r="538" spans="1:57">
      <c r="A538" s="8"/>
      <c r="B538" s="8"/>
      <c r="C538" s="8"/>
      <c r="D538" s="8"/>
      <c r="E538" s="8"/>
      <c r="F538" s="54"/>
      <c r="G538" s="8"/>
      <c r="H538" s="8"/>
      <c r="I538" s="8"/>
      <c r="J538" s="8"/>
      <c r="K538" s="8"/>
      <c r="L538" s="8"/>
      <c r="M538" s="8"/>
      <c r="N538" s="8"/>
      <c r="O538" s="8"/>
      <c r="P538" s="8"/>
      <c r="Q538" s="8"/>
      <c r="R538" s="8"/>
      <c r="S538" s="8"/>
      <c r="T538" s="8"/>
      <c r="U538" s="53"/>
      <c r="V538" s="53"/>
      <c r="W538" s="53"/>
      <c r="X538" s="53"/>
      <c r="Y538" s="53"/>
      <c r="Z538" s="53"/>
      <c r="AA538" s="53"/>
      <c r="AB538" s="53"/>
      <c r="AC538" s="53"/>
      <c r="AD538" s="53"/>
      <c r="AE538" s="53"/>
      <c r="AF538" s="53"/>
      <c r="AG538" s="8"/>
      <c r="AH538" s="8"/>
      <c r="AI538" s="8"/>
      <c r="AJ538" s="8"/>
      <c r="AK538" s="8"/>
      <c r="AL538" s="8"/>
      <c r="AM538" s="8"/>
      <c r="AN538" s="8"/>
      <c r="AO538" s="8"/>
      <c r="AP538" s="8"/>
      <c r="AQ538" s="8"/>
      <c r="AR538" s="8"/>
      <c r="AS538" s="8"/>
      <c r="AT538" s="8"/>
      <c r="AU538" s="8"/>
      <c r="AV538" s="8"/>
      <c r="AW538" s="8"/>
      <c r="AX538" s="8"/>
      <c r="AY538" s="8"/>
      <c r="AZ538" s="8"/>
      <c r="BA538" s="8"/>
      <c r="BB538" s="8"/>
      <c r="BC538" s="8"/>
      <c r="BD538" s="8"/>
      <c r="BE538" s="8"/>
    </row>
    <row r="539" spans="1:57">
      <c r="A539" s="8"/>
      <c r="B539" s="8"/>
      <c r="C539" s="8"/>
      <c r="D539" s="8"/>
      <c r="E539" s="8"/>
      <c r="F539" s="54"/>
      <c r="G539" s="8"/>
      <c r="H539" s="8"/>
      <c r="I539" s="8"/>
      <c r="J539" s="8"/>
      <c r="K539" s="8"/>
      <c r="L539" s="8"/>
      <c r="M539" s="8"/>
      <c r="N539" s="8"/>
      <c r="O539" s="8"/>
      <c r="P539" s="8"/>
      <c r="Q539" s="8"/>
      <c r="R539" s="8"/>
      <c r="S539" s="8"/>
      <c r="T539" s="8"/>
      <c r="U539" s="53"/>
      <c r="V539" s="53"/>
      <c r="W539" s="53"/>
      <c r="X539" s="53"/>
      <c r="Y539" s="53"/>
      <c r="Z539" s="53"/>
      <c r="AA539" s="53"/>
      <c r="AB539" s="53"/>
      <c r="AC539" s="53"/>
      <c r="AD539" s="53"/>
      <c r="AE539" s="53"/>
      <c r="AF539" s="53"/>
      <c r="AG539" s="8"/>
      <c r="AH539" s="8"/>
      <c r="AI539" s="8"/>
      <c r="AJ539" s="8"/>
      <c r="AK539" s="8"/>
      <c r="AL539" s="8"/>
      <c r="AM539" s="8"/>
      <c r="AN539" s="8"/>
      <c r="AO539" s="8"/>
      <c r="AP539" s="8"/>
      <c r="AQ539" s="8"/>
      <c r="AR539" s="8"/>
      <c r="AS539" s="8"/>
      <c r="AT539" s="8"/>
      <c r="AU539" s="8"/>
      <c r="AV539" s="8"/>
      <c r="AW539" s="8"/>
      <c r="AX539" s="8"/>
      <c r="AY539" s="8"/>
      <c r="AZ539" s="8"/>
      <c r="BA539" s="8"/>
      <c r="BB539" s="8"/>
      <c r="BC539" s="8"/>
      <c r="BD539" s="8"/>
      <c r="BE539" s="8"/>
    </row>
    <row r="540" spans="1:57">
      <c r="A540" s="8"/>
      <c r="B540" s="8"/>
      <c r="C540" s="8"/>
      <c r="D540" s="8"/>
      <c r="E540" s="8"/>
      <c r="F540" s="54"/>
      <c r="G540" s="8"/>
      <c r="H540" s="8"/>
      <c r="I540" s="8"/>
      <c r="J540" s="8"/>
      <c r="K540" s="8"/>
      <c r="L540" s="8"/>
      <c r="M540" s="8"/>
      <c r="N540" s="8"/>
      <c r="O540" s="8"/>
      <c r="P540" s="8"/>
      <c r="Q540" s="8"/>
      <c r="R540" s="8"/>
      <c r="S540" s="8"/>
      <c r="T540" s="8"/>
      <c r="U540" s="53"/>
      <c r="V540" s="53"/>
      <c r="W540" s="53"/>
      <c r="X540" s="53"/>
      <c r="Y540" s="53"/>
      <c r="Z540" s="53"/>
      <c r="AA540" s="53"/>
      <c r="AB540" s="53"/>
      <c r="AC540" s="53"/>
      <c r="AD540" s="53"/>
      <c r="AE540" s="53"/>
      <c r="AF540" s="53"/>
      <c r="AG540" s="8"/>
      <c r="AH540" s="8"/>
      <c r="AI540" s="8"/>
      <c r="AJ540" s="8"/>
      <c r="AK540" s="8"/>
      <c r="AL540" s="8"/>
      <c r="AM540" s="8"/>
      <c r="AN540" s="8"/>
      <c r="AO540" s="8"/>
      <c r="AP540" s="8"/>
      <c r="AQ540" s="8"/>
      <c r="AR540" s="8"/>
      <c r="AS540" s="8"/>
      <c r="AT540" s="8"/>
      <c r="AU540" s="8"/>
      <c r="AV540" s="8"/>
      <c r="AW540" s="8"/>
      <c r="AX540" s="8"/>
      <c r="AY540" s="8"/>
      <c r="AZ540" s="8"/>
      <c r="BA540" s="8"/>
      <c r="BB540" s="8"/>
      <c r="BC540" s="8"/>
      <c r="BD540" s="8"/>
      <c r="BE540" s="8"/>
    </row>
    <row r="541" spans="1:57">
      <c r="A541" s="8"/>
      <c r="B541" s="8"/>
      <c r="C541" s="8"/>
      <c r="D541" s="8"/>
      <c r="E541" s="8"/>
      <c r="F541" s="54"/>
      <c r="G541" s="8"/>
      <c r="H541" s="8"/>
      <c r="I541" s="8"/>
      <c r="J541" s="8"/>
      <c r="K541" s="8"/>
      <c r="L541" s="8"/>
      <c r="M541" s="8"/>
      <c r="N541" s="8"/>
      <c r="O541" s="8"/>
      <c r="P541" s="8"/>
      <c r="Q541" s="8"/>
      <c r="R541" s="8"/>
      <c r="S541" s="8"/>
      <c r="T541" s="8"/>
      <c r="U541" s="53"/>
      <c r="V541" s="53"/>
      <c r="W541" s="53"/>
      <c r="X541" s="53"/>
      <c r="Y541" s="53"/>
      <c r="Z541" s="53"/>
      <c r="AA541" s="53"/>
      <c r="AB541" s="53"/>
      <c r="AC541" s="53"/>
      <c r="AD541" s="53"/>
      <c r="AE541" s="53"/>
      <c r="AF541" s="53"/>
      <c r="AG541" s="8"/>
      <c r="AH541" s="8"/>
      <c r="AI541" s="8"/>
      <c r="AJ541" s="8"/>
      <c r="AK541" s="8"/>
      <c r="AL541" s="8"/>
      <c r="AM541" s="8"/>
      <c r="AN541" s="8"/>
      <c r="AO541" s="8"/>
      <c r="AP541" s="8"/>
      <c r="AQ541" s="8"/>
      <c r="AR541" s="8"/>
      <c r="AS541" s="8"/>
      <c r="AT541" s="8"/>
      <c r="AU541" s="8"/>
      <c r="AV541" s="8"/>
      <c r="AW541" s="8"/>
      <c r="AX541" s="8"/>
      <c r="AY541" s="8"/>
      <c r="AZ541" s="8"/>
      <c r="BA541" s="8"/>
      <c r="BB541" s="8"/>
      <c r="BC541" s="8"/>
      <c r="BD541" s="8"/>
      <c r="BE541" s="8"/>
    </row>
    <row r="542" spans="1:57">
      <c r="A542" s="8"/>
      <c r="B542" s="8"/>
      <c r="C542" s="8"/>
      <c r="D542" s="8"/>
      <c r="E542" s="8"/>
      <c r="F542" s="54"/>
      <c r="G542" s="8"/>
      <c r="H542" s="8"/>
      <c r="I542" s="8"/>
      <c r="J542" s="8"/>
      <c r="K542" s="8"/>
      <c r="L542" s="8"/>
      <c r="M542" s="8"/>
      <c r="N542" s="8"/>
      <c r="O542" s="8"/>
      <c r="P542" s="8"/>
      <c r="Q542" s="8"/>
      <c r="R542" s="8"/>
      <c r="S542" s="8"/>
      <c r="T542" s="8"/>
      <c r="U542" s="53"/>
      <c r="V542" s="53"/>
      <c r="W542" s="53"/>
      <c r="X542" s="53"/>
      <c r="Y542" s="53"/>
      <c r="Z542" s="53"/>
      <c r="AA542" s="53"/>
      <c r="AB542" s="53"/>
      <c r="AC542" s="53"/>
      <c r="AD542" s="53"/>
      <c r="AE542" s="53"/>
      <c r="AF542" s="53"/>
      <c r="AG542" s="8"/>
      <c r="AH542" s="8"/>
      <c r="AI542" s="8"/>
      <c r="AJ542" s="8"/>
      <c r="AK542" s="8"/>
      <c r="AL542" s="8"/>
      <c r="AM542" s="8"/>
      <c r="AN542" s="8"/>
      <c r="AO542" s="8"/>
      <c r="AP542" s="8"/>
      <c r="AQ542" s="8"/>
      <c r="AR542" s="8"/>
      <c r="AS542" s="8"/>
      <c r="AT542" s="8"/>
      <c r="AU542" s="8"/>
      <c r="AV542" s="8"/>
      <c r="AW542" s="8"/>
      <c r="AX542" s="8"/>
      <c r="AY542" s="8"/>
      <c r="AZ542" s="8"/>
      <c r="BA542" s="8"/>
      <c r="BB542" s="8"/>
      <c r="BC542" s="8"/>
      <c r="BD542" s="8"/>
      <c r="BE542" s="8"/>
    </row>
    <row r="543" spans="1:57">
      <c r="A543" s="8"/>
      <c r="B543" s="8"/>
      <c r="C543" s="8"/>
      <c r="D543" s="8"/>
      <c r="E543" s="8"/>
      <c r="F543" s="54"/>
      <c r="G543" s="8"/>
      <c r="H543" s="8"/>
      <c r="I543" s="8"/>
      <c r="J543" s="8"/>
      <c r="K543" s="8"/>
      <c r="L543" s="8"/>
      <c r="M543" s="8"/>
      <c r="N543" s="8"/>
      <c r="O543" s="8"/>
      <c r="P543" s="8"/>
      <c r="Q543" s="8"/>
      <c r="R543" s="8"/>
      <c r="S543" s="8"/>
      <c r="T543" s="8"/>
      <c r="U543" s="53"/>
      <c r="V543" s="53"/>
      <c r="W543" s="53"/>
      <c r="X543" s="53"/>
      <c r="Y543" s="53"/>
      <c r="Z543" s="53"/>
      <c r="AA543" s="53"/>
      <c r="AB543" s="53"/>
      <c r="AC543" s="53"/>
      <c r="AD543" s="53"/>
      <c r="AE543" s="53"/>
      <c r="AF543" s="53"/>
      <c r="AG543" s="8"/>
      <c r="AH543" s="8"/>
      <c r="AI543" s="8"/>
      <c r="AJ543" s="8"/>
      <c r="AK543" s="8"/>
      <c r="AL543" s="8"/>
      <c r="AM543" s="8"/>
      <c r="AN543" s="8"/>
      <c r="AO543" s="8"/>
      <c r="AP543" s="8"/>
      <c r="AQ543" s="8"/>
      <c r="AR543" s="8"/>
      <c r="AS543" s="8"/>
      <c r="AT543" s="8"/>
      <c r="AU543" s="8"/>
      <c r="AV543" s="8"/>
      <c r="AW543" s="8"/>
      <c r="AX543" s="8"/>
      <c r="AY543" s="8"/>
      <c r="AZ543" s="8"/>
      <c r="BA543" s="8"/>
      <c r="BB543" s="8"/>
      <c r="BC543" s="8"/>
      <c r="BD543" s="8"/>
      <c r="BE543" s="8"/>
    </row>
    <row r="544" spans="1:57">
      <c r="A544" s="8"/>
      <c r="B544" s="8"/>
      <c r="C544" s="8"/>
      <c r="D544" s="8"/>
      <c r="E544" s="8"/>
      <c r="F544" s="54"/>
      <c r="G544" s="8"/>
      <c r="H544" s="8"/>
      <c r="I544" s="8"/>
      <c r="J544" s="8"/>
      <c r="K544" s="8"/>
      <c r="L544" s="8"/>
      <c r="M544" s="8"/>
      <c r="N544" s="8"/>
      <c r="O544" s="8"/>
      <c r="P544" s="8"/>
      <c r="Q544" s="8"/>
      <c r="R544" s="8"/>
      <c r="S544" s="8"/>
      <c r="T544" s="8"/>
      <c r="U544" s="53"/>
      <c r="V544" s="53"/>
      <c r="W544" s="53"/>
      <c r="X544" s="53"/>
      <c r="Y544" s="53"/>
      <c r="Z544" s="53"/>
      <c r="AA544" s="53"/>
      <c r="AB544" s="53"/>
      <c r="AC544" s="53"/>
      <c r="AD544" s="53"/>
      <c r="AE544" s="53"/>
      <c r="AF544" s="53"/>
      <c r="AG544" s="8"/>
      <c r="AH544" s="8"/>
      <c r="AI544" s="8"/>
      <c r="AJ544" s="8"/>
      <c r="AK544" s="8"/>
      <c r="AL544" s="8"/>
      <c r="AM544" s="8"/>
      <c r="AN544" s="8"/>
      <c r="AO544" s="8"/>
      <c r="AP544" s="8"/>
      <c r="AQ544" s="8"/>
      <c r="AR544" s="8"/>
      <c r="AS544" s="8"/>
      <c r="AT544" s="8"/>
      <c r="AU544" s="8"/>
      <c r="AV544" s="8"/>
      <c r="AW544" s="8"/>
      <c r="AX544" s="8"/>
      <c r="AY544" s="8"/>
      <c r="AZ544" s="8"/>
      <c r="BA544" s="8"/>
      <c r="BB544" s="8"/>
      <c r="BC544" s="8"/>
      <c r="BD544" s="8"/>
      <c r="BE544" s="8"/>
    </row>
    <row r="545" spans="1:57">
      <c r="A545" s="8"/>
      <c r="B545" s="8"/>
      <c r="C545" s="8"/>
      <c r="D545" s="8"/>
      <c r="E545" s="8"/>
      <c r="F545" s="54"/>
      <c r="G545" s="8"/>
      <c r="H545" s="8"/>
      <c r="I545" s="8"/>
      <c r="J545" s="8"/>
      <c r="K545" s="8"/>
      <c r="L545" s="8"/>
      <c r="M545" s="8"/>
      <c r="N545" s="8"/>
      <c r="O545" s="8"/>
      <c r="P545" s="8"/>
      <c r="Q545" s="8"/>
      <c r="R545" s="8"/>
      <c r="S545" s="8"/>
      <c r="T545" s="8"/>
      <c r="U545" s="53"/>
      <c r="V545" s="53"/>
      <c r="W545" s="53"/>
      <c r="X545" s="53"/>
      <c r="Y545" s="53"/>
      <c r="Z545" s="53"/>
      <c r="AA545" s="53"/>
      <c r="AB545" s="53"/>
      <c r="AC545" s="53"/>
      <c r="AD545" s="53"/>
      <c r="AE545" s="53"/>
      <c r="AF545" s="53"/>
      <c r="AG545" s="8"/>
      <c r="AH545" s="8"/>
      <c r="AI545" s="8"/>
      <c r="AJ545" s="8"/>
      <c r="AK545" s="8"/>
      <c r="AL545" s="8"/>
      <c r="AM545" s="8"/>
      <c r="AN545" s="8"/>
      <c r="AO545" s="8"/>
      <c r="AP545" s="8"/>
      <c r="AQ545" s="8"/>
      <c r="AR545" s="8"/>
      <c r="AS545" s="8"/>
      <c r="AT545" s="8"/>
      <c r="AU545" s="8"/>
      <c r="AV545" s="8"/>
      <c r="AW545" s="8"/>
      <c r="AX545" s="8"/>
      <c r="AY545" s="8"/>
      <c r="AZ545" s="8"/>
      <c r="BA545" s="8"/>
      <c r="BB545" s="8"/>
      <c r="BC545" s="8"/>
      <c r="BD545" s="8"/>
      <c r="BE545" s="8"/>
    </row>
    <row r="546" spans="1:57">
      <c r="A546" s="8"/>
      <c r="B546" s="8"/>
      <c r="C546" s="8"/>
      <c r="D546" s="8"/>
      <c r="E546" s="8"/>
      <c r="F546" s="54"/>
      <c r="G546" s="8"/>
      <c r="H546" s="8"/>
      <c r="I546" s="8"/>
      <c r="J546" s="8"/>
      <c r="K546" s="8"/>
      <c r="L546" s="8"/>
      <c r="M546" s="8"/>
      <c r="N546" s="8"/>
      <c r="O546" s="8"/>
      <c r="P546" s="8"/>
      <c r="Q546" s="8"/>
      <c r="R546" s="8"/>
      <c r="S546" s="8"/>
      <c r="T546" s="8"/>
      <c r="U546" s="53"/>
      <c r="V546" s="53"/>
      <c r="W546" s="53"/>
      <c r="X546" s="53"/>
      <c r="Y546" s="53"/>
      <c r="Z546" s="53"/>
      <c r="AA546" s="53"/>
      <c r="AB546" s="53"/>
      <c r="AC546" s="53"/>
      <c r="AD546" s="53"/>
      <c r="AE546" s="53"/>
      <c r="AF546" s="53"/>
      <c r="AG546" s="8"/>
      <c r="AH546" s="8"/>
      <c r="AI546" s="8"/>
      <c r="AJ546" s="8"/>
      <c r="AK546" s="8"/>
      <c r="AL546" s="8"/>
      <c r="AM546" s="8"/>
      <c r="AN546" s="8"/>
      <c r="AO546" s="8"/>
      <c r="AP546" s="8"/>
      <c r="AQ546" s="8"/>
      <c r="AR546" s="8"/>
      <c r="AS546" s="8"/>
      <c r="AT546" s="8"/>
      <c r="AU546" s="8"/>
      <c r="AV546" s="8"/>
      <c r="AW546" s="8"/>
      <c r="AX546" s="8"/>
      <c r="AY546" s="8"/>
      <c r="AZ546" s="8"/>
      <c r="BA546" s="8"/>
      <c r="BB546" s="8"/>
      <c r="BC546" s="8"/>
      <c r="BD546" s="8"/>
      <c r="BE546" s="8"/>
    </row>
    <row r="547" spans="1:57">
      <c r="A547" s="8"/>
      <c r="B547" s="8"/>
      <c r="C547" s="8"/>
      <c r="D547" s="8"/>
      <c r="E547" s="8"/>
      <c r="F547" s="54"/>
      <c r="G547" s="8"/>
      <c r="H547" s="8"/>
      <c r="I547" s="8"/>
      <c r="J547" s="8"/>
      <c r="K547" s="8"/>
      <c r="L547" s="8"/>
      <c r="M547" s="8"/>
      <c r="N547" s="8"/>
      <c r="O547" s="8"/>
      <c r="P547" s="8"/>
      <c r="Q547" s="8"/>
      <c r="R547" s="8"/>
      <c r="S547" s="8"/>
      <c r="T547" s="8"/>
      <c r="U547" s="53"/>
      <c r="V547" s="53"/>
      <c r="W547" s="53"/>
      <c r="X547" s="53"/>
      <c r="Y547" s="53"/>
      <c r="Z547" s="53"/>
      <c r="AA547" s="53"/>
      <c r="AB547" s="53"/>
      <c r="AC547" s="53"/>
      <c r="AD547" s="53"/>
      <c r="AE547" s="53"/>
      <c r="AF547" s="53"/>
      <c r="AG547" s="8"/>
      <c r="AH547" s="8"/>
      <c r="AI547" s="8"/>
      <c r="AJ547" s="8"/>
      <c r="AK547" s="8"/>
      <c r="AL547" s="8"/>
      <c r="AM547" s="8"/>
      <c r="AN547" s="8"/>
      <c r="AO547" s="8"/>
      <c r="AP547" s="8"/>
      <c r="AQ547" s="8"/>
      <c r="AR547" s="8"/>
      <c r="AS547" s="8"/>
      <c r="AT547" s="8"/>
      <c r="AU547" s="8"/>
      <c r="AV547" s="8"/>
      <c r="AW547" s="8"/>
      <c r="AX547" s="8"/>
      <c r="AY547" s="8"/>
      <c r="AZ547" s="8"/>
      <c r="BA547" s="8"/>
      <c r="BB547" s="8"/>
      <c r="BC547" s="8"/>
      <c r="BD547" s="8"/>
      <c r="BE547" s="8"/>
    </row>
    <row r="548" spans="1:57">
      <c r="A548" s="8"/>
      <c r="B548" s="8"/>
      <c r="C548" s="8"/>
      <c r="D548" s="8"/>
      <c r="E548" s="8"/>
      <c r="F548" s="54"/>
      <c r="G548" s="8"/>
      <c r="H548" s="8"/>
      <c r="I548" s="8"/>
      <c r="J548" s="8"/>
      <c r="K548" s="8"/>
      <c r="L548" s="8"/>
      <c r="M548" s="8"/>
      <c r="N548" s="8"/>
      <c r="O548" s="8"/>
      <c r="P548" s="8"/>
      <c r="Q548" s="8"/>
      <c r="R548" s="8"/>
      <c r="S548" s="8"/>
      <c r="T548" s="8"/>
      <c r="U548" s="53"/>
      <c r="V548" s="53"/>
      <c r="W548" s="53"/>
      <c r="X548" s="53"/>
      <c r="Y548" s="53"/>
      <c r="Z548" s="53"/>
      <c r="AA548" s="53"/>
      <c r="AB548" s="53"/>
      <c r="AC548" s="53"/>
      <c r="AD548" s="53"/>
      <c r="AE548" s="53"/>
      <c r="AF548" s="53"/>
      <c r="AG548" s="8"/>
      <c r="AH548" s="8"/>
      <c r="AI548" s="8"/>
      <c r="AJ548" s="8"/>
      <c r="AK548" s="8"/>
      <c r="AL548" s="8"/>
      <c r="AM548" s="8"/>
      <c r="AN548" s="8"/>
      <c r="AO548" s="8"/>
      <c r="AP548" s="8"/>
      <c r="AQ548" s="8"/>
      <c r="AR548" s="8"/>
      <c r="AS548" s="8"/>
      <c r="AT548" s="8"/>
      <c r="AU548" s="8"/>
      <c r="AV548" s="8"/>
      <c r="AW548" s="8"/>
      <c r="AX548" s="8"/>
      <c r="AY548" s="8"/>
      <c r="AZ548" s="8"/>
      <c r="BA548" s="8"/>
      <c r="BB548" s="8"/>
      <c r="BC548" s="8"/>
      <c r="BD548" s="8"/>
      <c r="BE548" s="8"/>
    </row>
    <row r="549" spans="1:57">
      <c r="A549" s="8"/>
      <c r="B549" s="8"/>
      <c r="C549" s="8"/>
      <c r="D549" s="8"/>
      <c r="E549" s="8"/>
      <c r="F549" s="54"/>
      <c r="G549" s="8"/>
      <c r="H549" s="8"/>
      <c r="I549" s="8"/>
      <c r="J549" s="8"/>
      <c r="K549" s="8"/>
      <c r="L549" s="8"/>
      <c r="M549" s="8"/>
      <c r="N549" s="8"/>
      <c r="O549" s="8"/>
      <c r="P549" s="8"/>
      <c r="Q549" s="8"/>
      <c r="R549" s="8"/>
      <c r="S549" s="8"/>
      <c r="T549" s="8"/>
      <c r="U549" s="53"/>
      <c r="V549" s="53"/>
      <c r="W549" s="53"/>
      <c r="X549" s="53"/>
      <c r="Y549" s="53"/>
      <c r="Z549" s="53"/>
      <c r="AA549" s="53"/>
      <c r="AB549" s="53"/>
      <c r="AC549" s="53"/>
      <c r="AD549" s="53"/>
      <c r="AE549" s="53"/>
      <c r="AF549" s="53"/>
      <c r="AG549" s="8"/>
      <c r="AH549" s="8"/>
      <c r="AI549" s="8"/>
      <c r="AJ549" s="8"/>
      <c r="AK549" s="8"/>
      <c r="AL549" s="8"/>
      <c r="AM549" s="8"/>
      <c r="AN549" s="8"/>
      <c r="AO549" s="8"/>
      <c r="AP549" s="8"/>
      <c r="AQ549" s="8"/>
      <c r="AR549" s="8"/>
      <c r="AS549" s="8"/>
      <c r="AT549" s="8"/>
      <c r="AU549" s="8"/>
      <c r="AV549" s="8"/>
      <c r="AW549" s="8"/>
      <c r="AX549" s="8"/>
      <c r="AY549" s="8"/>
      <c r="AZ549" s="8"/>
      <c r="BA549" s="8"/>
      <c r="BB549" s="8"/>
      <c r="BC549" s="8"/>
      <c r="BD549" s="8"/>
      <c r="BE549" s="8"/>
    </row>
    <row r="550" spans="1:57">
      <c r="A550" s="8"/>
      <c r="B550" s="8"/>
      <c r="C550" s="8"/>
      <c r="D550" s="8"/>
      <c r="E550" s="8"/>
      <c r="F550" s="54"/>
      <c r="G550" s="8"/>
      <c r="H550" s="8"/>
      <c r="I550" s="8"/>
      <c r="J550" s="8"/>
      <c r="K550" s="8"/>
      <c r="L550" s="8"/>
      <c r="M550" s="8"/>
      <c r="N550" s="8"/>
      <c r="O550" s="8"/>
      <c r="P550" s="8"/>
      <c r="Q550" s="8"/>
      <c r="R550" s="8"/>
      <c r="S550" s="8"/>
      <c r="T550" s="8"/>
      <c r="U550" s="53"/>
      <c r="V550" s="53"/>
      <c r="W550" s="53"/>
      <c r="X550" s="53"/>
      <c r="Y550" s="53"/>
      <c r="Z550" s="53"/>
      <c r="AA550" s="53"/>
      <c r="AB550" s="53"/>
      <c r="AC550" s="53"/>
      <c r="AD550" s="53"/>
      <c r="AE550" s="53"/>
      <c r="AF550" s="53"/>
      <c r="AG550" s="8"/>
      <c r="AH550" s="8"/>
      <c r="AI550" s="8"/>
      <c r="AJ550" s="8"/>
      <c r="AK550" s="8"/>
      <c r="AL550" s="8"/>
      <c r="AM550" s="8"/>
      <c r="AN550" s="8"/>
      <c r="AO550" s="8"/>
      <c r="AP550" s="8"/>
      <c r="AQ550" s="8"/>
      <c r="AR550" s="8"/>
      <c r="AS550" s="8"/>
      <c r="AT550" s="8"/>
      <c r="AU550" s="8"/>
      <c r="AV550" s="8"/>
      <c r="AW550" s="8"/>
      <c r="AX550" s="8"/>
      <c r="AY550" s="8"/>
      <c r="AZ550" s="8"/>
      <c r="BA550" s="8"/>
      <c r="BB550" s="8"/>
      <c r="BC550" s="8"/>
      <c r="BD550" s="8"/>
      <c r="BE550" s="8"/>
    </row>
    <row r="551" spans="1:57">
      <c r="A551" s="8"/>
      <c r="B551" s="8"/>
      <c r="C551" s="8"/>
      <c r="D551" s="8"/>
      <c r="E551" s="8"/>
      <c r="F551" s="54"/>
      <c r="G551" s="8"/>
      <c r="H551" s="8"/>
      <c r="I551" s="8"/>
      <c r="J551" s="8"/>
      <c r="K551" s="8"/>
      <c r="L551" s="8"/>
      <c r="M551" s="8"/>
      <c r="N551" s="8"/>
      <c r="O551" s="8"/>
      <c r="P551" s="8"/>
      <c r="Q551" s="8"/>
      <c r="R551" s="8"/>
      <c r="S551" s="8"/>
      <c r="T551" s="8"/>
      <c r="U551" s="53"/>
      <c r="V551" s="53"/>
      <c r="W551" s="53"/>
      <c r="X551" s="53"/>
      <c r="Y551" s="53"/>
      <c r="Z551" s="53"/>
      <c r="AA551" s="53"/>
      <c r="AB551" s="53"/>
      <c r="AC551" s="53"/>
      <c r="AD551" s="53"/>
      <c r="AE551" s="53"/>
      <c r="AF551" s="53"/>
      <c r="AG551" s="8"/>
      <c r="AH551" s="8"/>
      <c r="AI551" s="8"/>
      <c r="AJ551" s="8"/>
      <c r="AK551" s="8"/>
      <c r="AL551" s="8"/>
      <c r="AM551" s="8"/>
      <c r="AN551" s="8"/>
      <c r="AO551" s="8"/>
      <c r="AP551" s="8"/>
      <c r="AQ551" s="8"/>
      <c r="AR551" s="8"/>
      <c r="AS551" s="8"/>
      <c r="AT551" s="8"/>
      <c r="AU551" s="8"/>
      <c r="AV551" s="8"/>
      <c r="AW551" s="8"/>
      <c r="AX551" s="8"/>
      <c r="AY551" s="8"/>
      <c r="AZ551" s="8"/>
      <c r="BA551" s="8"/>
      <c r="BB551" s="8"/>
      <c r="BC551" s="8"/>
      <c r="BD551" s="8"/>
      <c r="BE551" s="8"/>
    </row>
    <row r="552" spans="1:57">
      <c r="A552" s="8"/>
      <c r="B552" s="8"/>
      <c r="C552" s="8"/>
      <c r="D552" s="8"/>
      <c r="E552" s="8"/>
      <c r="F552" s="54"/>
      <c r="G552" s="8"/>
      <c r="H552" s="8"/>
      <c r="I552" s="8"/>
      <c r="J552" s="8"/>
      <c r="K552" s="8"/>
      <c r="L552" s="8"/>
      <c r="M552" s="8"/>
      <c r="N552" s="8"/>
      <c r="O552" s="8"/>
      <c r="P552" s="8"/>
      <c r="Q552" s="8"/>
      <c r="R552" s="8"/>
      <c r="S552" s="8"/>
      <c r="T552" s="8"/>
      <c r="U552" s="53"/>
      <c r="V552" s="53"/>
      <c r="W552" s="53"/>
      <c r="X552" s="53"/>
      <c r="Y552" s="53"/>
      <c r="Z552" s="53"/>
      <c r="AA552" s="53"/>
      <c r="AB552" s="53"/>
      <c r="AC552" s="53"/>
      <c r="AD552" s="53"/>
      <c r="AE552" s="53"/>
      <c r="AF552" s="53"/>
      <c r="AG552" s="8"/>
      <c r="AH552" s="8"/>
      <c r="AI552" s="8"/>
      <c r="AJ552" s="8"/>
      <c r="AK552" s="8"/>
      <c r="AL552" s="8"/>
      <c r="AM552" s="8"/>
      <c r="AN552" s="8"/>
      <c r="AO552" s="8"/>
      <c r="AP552" s="8"/>
      <c r="AQ552" s="8"/>
      <c r="AR552" s="8"/>
      <c r="AS552" s="8"/>
      <c r="AT552" s="8"/>
      <c r="AU552" s="8"/>
      <c r="AV552" s="8"/>
      <c r="AW552" s="8"/>
      <c r="AX552" s="8"/>
      <c r="AY552" s="8"/>
      <c r="AZ552" s="8"/>
      <c r="BA552" s="8"/>
      <c r="BB552" s="8"/>
      <c r="BC552" s="8"/>
      <c r="BD552" s="8"/>
      <c r="BE552" s="8"/>
    </row>
    <row r="553" spans="1:57">
      <c r="A553" s="8"/>
      <c r="B553" s="8"/>
      <c r="C553" s="8"/>
      <c r="D553" s="8"/>
      <c r="E553" s="8"/>
      <c r="F553" s="54"/>
      <c r="G553" s="8"/>
      <c r="H553" s="8"/>
      <c r="I553" s="8"/>
      <c r="J553" s="8"/>
      <c r="K553" s="8"/>
      <c r="L553" s="8"/>
      <c r="M553" s="8"/>
      <c r="N553" s="8"/>
      <c r="O553" s="8"/>
      <c r="P553" s="8"/>
      <c r="Q553" s="8"/>
      <c r="R553" s="8"/>
      <c r="S553" s="8"/>
      <c r="T553" s="8"/>
      <c r="U553" s="53"/>
      <c r="V553" s="53"/>
      <c r="W553" s="53"/>
      <c r="X553" s="53"/>
      <c r="Y553" s="53"/>
      <c r="Z553" s="53"/>
      <c r="AA553" s="53"/>
      <c r="AB553" s="53"/>
      <c r="AC553" s="53"/>
      <c r="AD553" s="53"/>
      <c r="AE553" s="53"/>
      <c r="AF553" s="53"/>
      <c r="AG553" s="8"/>
      <c r="AH553" s="8"/>
      <c r="AI553" s="8"/>
      <c r="AJ553" s="8"/>
      <c r="AK553" s="8"/>
      <c r="AL553" s="8"/>
      <c r="AM553" s="8"/>
      <c r="AN553" s="8"/>
      <c r="AO553" s="8"/>
      <c r="AP553" s="8"/>
      <c r="AQ553" s="8"/>
      <c r="AR553" s="8"/>
      <c r="AS553" s="8"/>
      <c r="AT553" s="8"/>
      <c r="AU553" s="8"/>
      <c r="AV553" s="8"/>
      <c r="AW553" s="8"/>
      <c r="AX553" s="8"/>
      <c r="AY553" s="8"/>
      <c r="AZ553" s="8"/>
      <c r="BA553" s="8"/>
      <c r="BB553" s="8"/>
      <c r="BC553" s="8"/>
      <c r="BD553" s="8"/>
      <c r="BE553" s="8"/>
    </row>
    <row r="554" spans="1:57">
      <c r="A554" s="8"/>
      <c r="B554" s="8"/>
      <c r="C554" s="8"/>
      <c r="D554" s="8"/>
      <c r="E554" s="8"/>
      <c r="F554" s="54"/>
      <c r="G554" s="8"/>
      <c r="H554" s="8"/>
      <c r="I554" s="8"/>
      <c r="J554" s="8"/>
      <c r="K554" s="8"/>
      <c r="L554" s="8"/>
      <c r="M554" s="8"/>
      <c r="N554" s="8"/>
      <c r="O554" s="8"/>
      <c r="P554" s="8"/>
      <c r="Q554" s="8"/>
      <c r="R554" s="8"/>
      <c r="S554" s="8"/>
      <c r="T554" s="8"/>
      <c r="U554" s="53"/>
      <c r="V554" s="53"/>
      <c r="W554" s="53"/>
      <c r="X554" s="53"/>
      <c r="Y554" s="53"/>
      <c r="Z554" s="53"/>
      <c r="AA554" s="53"/>
      <c r="AB554" s="53"/>
      <c r="AC554" s="53"/>
      <c r="AD554" s="53"/>
      <c r="AE554" s="53"/>
      <c r="AF554" s="53"/>
      <c r="AG554" s="8"/>
      <c r="AH554" s="8"/>
      <c r="AI554" s="8"/>
      <c r="AJ554" s="8"/>
      <c r="AK554" s="8"/>
      <c r="AL554" s="8"/>
      <c r="AM554" s="8"/>
      <c r="AN554" s="8"/>
      <c r="AO554" s="8"/>
      <c r="AP554" s="8"/>
      <c r="AQ554" s="8"/>
      <c r="AR554" s="8"/>
      <c r="AS554" s="8"/>
      <c r="AT554" s="8"/>
      <c r="AU554" s="8"/>
      <c r="AV554" s="8"/>
      <c r="AW554" s="8"/>
      <c r="AX554" s="8"/>
      <c r="AY554" s="8"/>
      <c r="AZ554" s="8"/>
      <c r="BA554" s="8"/>
      <c r="BB554" s="8"/>
      <c r="BC554" s="8"/>
      <c r="BD554" s="8"/>
      <c r="BE554" s="8"/>
    </row>
    <row r="555" spans="1:57">
      <c r="A555" s="8"/>
      <c r="B555" s="8"/>
      <c r="C555" s="8"/>
      <c r="D555" s="8"/>
      <c r="E555" s="8"/>
      <c r="F555" s="54"/>
      <c r="G555" s="8"/>
      <c r="H555" s="8"/>
      <c r="I555" s="8"/>
      <c r="J555" s="8"/>
      <c r="K555" s="8"/>
      <c r="L555" s="8"/>
      <c r="M555" s="8"/>
      <c r="N555" s="8"/>
      <c r="O555" s="8"/>
      <c r="P555" s="8"/>
      <c r="Q555" s="8"/>
      <c r="R555" s="8"/>
      <c r="S555" s="8"/>
      <c r="T555" s="8"/>
      <c r="U555" s="53"/>
      <c r="V555" s="53"/>
      <c r="W555" s="53"/>
      <c r="X555" s="53"/>
      <c r="Y555" s="53"/>
      <c r="Z555" s="53"/>
      <c r="AA555" s="53"/>
      <c r="AB555" s="53"/>
      <c r="AC555" s="53"/>
      <c r="AD555" s="53"/>
      <c r="AE555" s="53"/>
      <c r="AF555" s="53"/>
      <c r="AG555" s="8"/>
      <c r="AH555" s="8"/>
      <c r="AI555" s="8"/>
      <c r="AJ555" s="8"/>
      <c r="AK555" s="8"/>
      <c r="AL555" s="8"/>
      <c r="AM555" s="8"/>
      <c r="AN555" s="8"/>
      <c r="AO555" s="8"/>
      <c r="AP555" s="8"/>
      <c r="AQ555" s="8"/>
      <c r="AR555" s="8"/>
      <c r="AS555" s="8"/>
      <c r="AT555" s="8"/>
      <c r="AU555" s="8"/>
      <c r="AV555" s="8"/>
      <c r="AW555" s="8"/>
      <c r="AX555" s="8"/>
      <c r="AY555" s="8"/>
      <c r="AZ555" s="8"/>
      <c r="BA555" s="8"/>
      <c r="BB555" s="8"/>
      <c r="BC555" s="8"/>
      <c r="BD555" s="8"/>
      <c r="BE555" s="8"/>
    </row>
    <row r="556" spans="1:57">
      <c r="A556" s="8"/>
      <c r="B556" s="8"/>
      <c r="C556" s="8"/>
      <c r="D556" s="8"/>
      <c r="E556" s="8"/>
      <c r="F556" s="54"/>
      <c r="G556" s="8"/>
      <c r="H556" s="8"/>
      <c r="I556" s="8"/>
      <c r="J556" s="8"/>
      <c r="K556" s="8"/>
      <c r="L556" s="8"/>
      <c r="M556" s="8"/>
      <c r="N556" s="8"/>
      <c r="O556" s="8"/>
      <c r="P556" s="8"/>
      <c r="Q556" s="8"/>
      <c r="R556" s="8"/>
      <c r="S556" s="8"/>
      <c r="T556" s="8"/>
      <c r="U556" s="53"/>
      <c r="V556" s="53"/>
      <c r="W556" s="53"/>
      <c r="X556" s="53"/>
      <c r="Y556" s="53"/>
      <c r="Z556" s="53"/>
      <c r="AA556" s="53"/>
      <c r="AB556" s="53"/>
      <c r="AC556" s="53"/>
      <c r="AD556" s="53"/>
      <c r="AE556" s="53"/>
      <c r="AF556" s="53"/>
      <c r="AG556" s="8"/>
      <c r="AH556" s="8"/>
      <c r="AI556" s="8"/>
      <c r="AJ556" s="8"/>
      <c r="AK556" s="8"/>
      <c r="AL556" s="8"/>
      <c r="AM556" s="8"/>
      <c r="AN556" s="8"/>
      <c r="AO556" s="8"/>
      <c r="AP556" s="8"/>
      <c r="AQ556" s="8"/>
      <c r="AR556" s="8"/>
      <c r="AS556" s="8"/>
      <c r="AT556" s="8"/>
      <c r="AU556" s="8"/>
      <c r="AV556" s="8"/>
      <c r="AW556" s="8"/>
      <c r="AX556" s="8"/>
      <c r="AY556" s="8"/>
      <c r="AZ556" s="8"/>
      <c r="BA556" s="8"/>
      <c r="BB556" s="8"/>
      <c r="BC556" s="8"/>
      <c r="BD556" s="8"/>
      <c r="BE556" s="8"/>
    </row>
    <row r="557" spans="1:57">
      <c r="A557" s="8"/>
      <c r="B557" s="8"/>
      <c r="C557" s="8"/>
      <c r="D557" s="8"/>
      <c r="E557" s="8"/>
      <c r="F557" s="54"/>
      <c r="G557" s="8"/>
      <c r="H557" s="8"/>
      <c r="I557" s="8"/>
      <c r="J557" s="8"/>
      <c r="K557" s="8"/>
      <c r="L557" s="8"/>
      <c r="M557" s="8"/>
      <c r="N557" s="8"/>
      <c r="O557" s="8"/>
      <c r="P557" s="8"/>
      <c r="Q557" s="8"/>
      <c r="R557" s="8"/>
      <c r="S557" s="8"/>
      <c r="T557" s="8"/>
      <c r="U557" s="53"/>
      <c r="V557" s="53"/>
      <c r="W557" s="53"/>
      <c r="X557" s="53"/>
      <c r="Y557" s="53"/>
      <c r="Z557" s="53"/>
      <c r="AA557" s="53"/>
      <c r="AB557" s="53"/>
      <c r="AC557" s="53"/>
      <c r="AD557" s="53"/>
      <c r="AE557" s="53"/>
      <c r="AF557" s="53"/>
      <c r="AG557" s="8"/>
      <c r="AH557" s="8"/>
      <c r="AI557" s="8"/>
      <c r="AJ557" s="8"/>
      <c r="AK557" s="8"/>
      <c r="AL557" s="8"/>
      <c r="AM557" s="8"/>
      <c r="AN557" s="8"/>
      <c r="AO557" s="8"/>
      <c r="AP557" s="8"/>
      <c r="AQ557" s="8"/>
      <c r="AR557" s="8"/>
      <c r="AS557" s="8"/>
      <c r="AT557" s="8"/>
      <c r="AU557" s="8"/>
      <c r="AV557" s="8"/>
      <c r="AW557" s="8"/>
      <c r="AX557" s="8"/>
      <c r="AY557" s="8"/>
      <c r="AZ557" s="8"/>
      <c r="BA557" s="8"/>
      <c r="BB557" s="8"/>
      <c r="BC557" s="8"/>
      <c r="BD557" s="8"/>
      <c r="BE557" s="8"/>
    </row>
    <row r="558" spans="1:57">
      <c r="A558" s="8"/>
      <c r="B558" s="8"/>
      <c r="C558" s="8"/>
      <c r="D558" s="8"/>
      <c r="E558" s="8"/>
      <c r="F558" s="54"/>
      <c r="G558" s="8"/>
      <c r="H558" s="8"/>
      <c r="I558" s="8"/>
      <c r="J558" s="8"/>
      <c r="K558" s="8"/>
      <c r="L558" s="8"/>
      <c r="M558" s="8"/>
      <c r="N558" s="8"/>
      <c r="O558" s="8"/>
      <c r="P558" s="8"/>
      <c r="Q558" s="8"/>
      <c r="R558" s="8"/>
      <c r="S558" s="8"/>
      <c r="T558" s="8"/>
      <c r="U558" s="53"/>
      <c r="V558" s="53"/>
      <c r="W558" s="53"/>
      <c r="X558" s="53"/>
      <c r="Y558" s="53"/>
      <c r="Z558" s="53"/>
      <c r="AA558" s="53"/>
      <c r="AB558" s="53"/>
      <c r="AC558" s="53"/>
      <c r="AD558" s="53"/>
      <c r="AE558" s="53"/>
      <c r="AF558" s="53"/>
      <c r="AG558" s="8"/>
      <c r="AH558" s="8"/>
      <c r="AI558" s="8"/>
      <c r="AJ558" s="8"/>
      <c r="AK558" s="8"/>
      <c r="AL558" s="8"/>
      <c r="AM558" s="8"/>
      <c r="AN558" s="8"/>
      <c r="AO558" s="8"/>
      <c r="AP558" s="8"/>
      <c r="AQ558" s="8"/>
      <c r="AR558" s="8"/>
      <c r="AS558" s="8"/>
      <c r="AT558" s="8"/>
      <c r="AU558" s="8"/>
      <c r="AV558" s="8"/>
      <c r="AW558" s="8"/>
      <c r="AX558" s="8"/>
      <c r="AY558" s="8"/>
      <c r="AZ558" s="8"/>
      <c r="BA558" s="8"/>
      <c r="BB558" s="8"/>
      <c r="BC558" s="8"/>
      <c r="BD558" s="8"/>
      <c r="BE558" s="8"/>
    </row>
    <row r="559" spans="1:57">
      <c r="A559" s="8"/>
      <c r="B559" s="8"/>
      <c r="C559" s="8"/>
      <c r="D559" s="8"/>
      <c r="E559" s="8"/>
      <c r="F559" s="54"/>
      <c r="G559" s="8"/>
      <c r="H559" s="8"/>
      <c r="I559" s="8"/>
      <c r="J559" s="8"/>
      <c r="K559" s="8"/>
      <c r="L559" s="8"/>
      <c r="M559" s="8"/>
      <c r="N559" s="8"/>
      <c r="O559" s="8"/>
      <c r="P559" s="8"/>
      <c r="Q559" s="8"/>
      <c r="R559" s="8"/>
      <c r="S559" s="8"/>
      <c r="T559" s="8"/>
      <c r="U559" s="53"/>
      <c r="V559" s="53"/>
      <c r="W559" s="53"/>
      <c r="X559" s="53"/>
      <c r="Y559" s="53"/>
      <c r="Z559" s="53"/>
      <c r="AA559" s="53"/>
      <c r="AB559" s="53"/>
      <c r="AC559" s="53"/>
      <c r="AD559" s="53"/>
      <c r="AE559" s="53"/>
      <c r="AF559" s="53"/>
      <c r="AG559" s="8"/>
      <c r="AH559" s="8"/>
      <c r="AI559" s="8"/>
      <c r="AJ559" s="8"/>
      <c r="AK559" s="8"/>
      <c r="AL559" s="8"/>
      <c r="AM559" s="8"/>
      <c r="AN559" s="8"/>
      <c r="AO559" s="8"/>
      <c r="AP559" s="8"/>
      <c r="AQ559" s="8"/>
      <c r="AR559" s="8"/>
      <c r="AS559" s="8"/>
      <c r="AT559" s="8"/>
      <c r="AU559" s="8"/>
      <c r="AV559" s="8"/>
      <c r="AW559" s="8"/>
      <c r="AX559" s="8"/>
      <c r="AY559" s="8"/>
      <c r="AZ559" s="8"/>
      <c r="BA559" s="8"/>
      <c r="BB559" s="8"/>
      <c r="BC559" s="8"/>
      <c r="BD559" s="8"/>
      <c r="BE559" s="8"/>
    </row>
    <row r="560" spans="1:57">
      <c r="A560" s="8"/>
      <c r="B560" s="8"/>
      <c r="C560" s="8"/>
      <c r="D560" s="8"/>
      <c r="E560" s="8"/>
      <c r="F560" s="54"/>
      <c r="G560" s="8"/>
      <c r="H560" s="8"/>
      <c r="I560" s="8"/>
      <c r="J560" s="8"/>
      <c r="K560" s="8"/>
      <c r="L560" s="8"/>
      <c r="M560" s="8"/>
      <c r="N560" s="8"/>
      <c r="O560" s="8"/>
      <c r="P560" s="8"/>
      <c r="Q560" s="8"/>
      <c r="R560" s="8"/>
      <c r="S560" s="8"/>
      <c r="T560" s="8"/>
      <c r="U560" s="53"/>
      <c r="V560" s="53"/>
      <c r="W560" s="53"/>
      <c r="X560" s="53"/>
      <c r="Y560" s="53"/>
      <c r="Z560" s="53"/>
      <c r="AA560" s="53"/>
      <c r="AB560" s="53"/>
      <c r="AC560" s="53"/>
      <c r="AD560" s="53"/>
      <c r="AE560" s="53"/>
      <c r="AF560" s="53"/>
      <c r="AG560" s="8"/>
      <c r="AH560" s="8"/>
      <c r="AI560" s="8"/>
      <c r="AJ560" s="8"/>
      <c r="AK560" s="8"/>
      <c r="AL560" s="8"/>
      <c r="AM560" s="8"/>
      <c r="AN560" s="8"/>
      <c r="AO560" s="8"/>
      <c r="AP560" s="8"/>
      <c r="AQ560" s="8"/>
      <c r="AR560" s="8"/>
      <c r="AS560" s="8"/>
      <c r="AT560" s="8"/>
      <c r="AU560" s="8"/>
      <c r="AV560" s="8"/>
      <c r="AW560" s="8"/>
      <c r="AX560" s="8"/>
      <c r="AY560" s="8"/>
      <c r="AZ560" s="8"/>
      <c r="BA560" s="8"/>
      <c r="BB560" s="8"/>
      <c r="BC560" s="8"/>
      <c r="BD560" s="8"/>
      <c r="BE560" s="8"/>
    </row>
    <row r="561" spans="1:57">
      <c r="A561" s="8"/>
      <c r="B561" s="8"/>
      <c r="C561" s="8"/>
      <c r="D561" s="8"/>
      <c r="E561" s="8"/>
      <c r="F561" s="54"/>
      <c r="G561" s="8"/>
      <c r="H561" s="8"/>
      <c r="I561" s="8"/>
      <c r="J561" s="8"/>
      <c r="K561" s="8"/>
      <c r="L561" s="8"/>
      <c r="M561" s="8"/>
      <c r="N561" s="8"/>
      <c r="O561" s="8"/>
      <c r="P561" s="8"/>
      <c r="Q561" s="8"/>
      <c r="R561" s="8"/>
      <c r="S561" s="8"/>
      <c r="T561" s="8"/>
      <c r="U561" s="53"/>
      <c r="V561" s="53"/>
      <c r="W561" s="53"/>
      <c r="X561" s="53"/>
      <c r="Y561" s="53"/>
      <c r="Z561" s="53"/>
      <c r="AA561" s="53"/>
      <c r="AB561" s="53"/>
      <c r="AC561" s="53"/>
      <c r="AD561" s="53"/>
      <c r="AE561" s="53"/>
      <c r="AF561" s="53"/>
      <c r="AG561" s="8"/>
      <c r="AH561" s="8"/>
      <c r="AI561" s="8"/>
      <c r="AJ561" s="8"/>
      <c r="AK561" s="8"/>
      <c r="AL561" s="8"/>
      <c r="AM561" s="8"/>
      <c r="AN561" s="8"/>
      <c r="AO561" s="8"/>
      <c r="AP561" s="8"/>
      <c r="AQ561" s="8"/>
      <c r="AR561" s="8"/>
      <c r="AS561" s="8"/>
      <c r="AT561" s="8"/>
      <c r="AU561" s="8"/>
      <c r="AV561" s="8"/>
      <c r="AW561" s="8"/>
      <c r="AX561" s="8"/>
      <c r="AY561" s="8"/>
      <c r="AZ561" s="8"/>
      <c r="BA561" s="8"/>
      <c r="BB561" s="8"/>
      <c r="BC561" s="8"/>
      <c r="BD561" s="8"/>
      <c r="BE561" s="8"/>
    </row>
    <row r="562" spans="1:57">
      <c r="A562" s="8"/>
      <c r="B562" s="8"/>
      <c r="C562" s="8"/>
      <c r="D562" s="8"/>
      <c r="E562" s="8"/>
      <c r="F562" s="54"/>
      <c r="G562" s="8"/>
      <c r="H562" s="8"/>
      <c r="I562" s="8"/>
      <c r="J562" s="8"/>
      <c r="K562" s="8"/>
      <c r="L562" s="8"/>
      <c r="M562" s="8"/>
      <c r="N562" s="8"/>
      <c r="O562" s="8"/>
      <c r="P562" s="8"/>
      <c r="Q562" s="8"/>
      <c r="R562" s="8"/>
      <c r="S562" s="8"/>
      <c r="T562" s="8"/>
      <c r="U562" s="53"/>
      <c r="V562" s="53"/>
      <c r="W562" s="53"/>
      <c r="X562" s="53"/>
      <c r="Y562" s="53"/>
      <c r="Z562" s="53"/>
      <c r="AA562" s="53"/>
      <c r="AB562" s="53"/>
      <c r="AC562" s="53"/>
      <c r="AD562" s="53"/>
      <c r="AE562" s="53"/>
      <c r="AF562" s="53"/>
      <c r="AG562" s="8"/>
      <c r="AH562" s="8"/>
      <c r="AI562" s="8"/>
      <c r="AJ562" s="8"/>
      <c r="AK562" s="8"/>
      <c r="AL562" s="8"/>
      <c r="AM562" s="8"/>
      <c r="AN562" s="8"/>
      <c r="AO562" s="8"/>
      <c r="AP562" s="8"/>
      <c r="AQ562" s="8"/>
      <c r="AR562" s="8"/>
      <c r="AS562" s="8"/>
      <c r="AT562" s="8"/>
      <c r="AU562" s="8"/>
      <c r="AV562" s="8"/>
      <c r="AW562" s="8"/>
      <c r="AX562" s="8"/>
      <c r="AY562" s="8"/>
      <c r="AZ562" s="8"/>
      <c r="BA562" s="8"/>
      <c r="BB562" s="8"/>
      <c r="BC562" s="8"/>
      <c r="BD562" s="8"/>
      <c r="BE562" s="8"/>
    </row>
    <row r="563" spans="1:57">
      <c r="A563" s="8"/>
      <c r="B563" s="8"/>
      <c r="C563" s="8"/>
      <c r="D563" s="8"/>
      <c r="E563" s="8"/>
      <c r="F563" s="54"/>
      <c r="G563" s="8"/>
      <c r="H563" s="8"/>
      <c r="I563" s="8"/>
      <c r="J563" s="8"/>
      <c r="K563" s="8"/>
      <c r="L563" s="8"/>
      <c r="M563" s="8"/>
      <c r="N563" s="8"/>
      <c r="O563" s="8"/>
      <c r="P563" s="8"/>
      <c r="Q563" s="8"/>
      <c r="R563" s="8"/>
      <c r="S563" s="8"/>
      <c r="T563" s="8"/>
      <c r="U563" s="53"/>
      <c r="V563" s="53"/>
      <c r="W563" s="53"/>
      <c r="X563" s="53"/>
      <c r="Y563" s="53"/>
      <c r="Z563" s="53"/>
      <c r="AA563" s="53"/>
      <c r="AB563" s="53"/>
      <c r="AC563" s="53"/>
      <c r="AD563" s="53"/>
      <c r="AE563" s="53"/>
      <c r="AF563" s="53"/>
      <c r="AG563" s="8"/>
      <c r="AH563" s="8"/>
      <c r="AI563" s="8"/>
      <c r="AJ563" s="8"/>
      <c r="AK563" s="8"/>
      <c r="AL563" s="8"/>
      <c r="AM563" s="8"/>
      <c r="AN563" s="8"/>
      <c r="AO563" s="8"/>
      <c r="AP563" s="8"/>
      <c r="AQ563" s="8"/>
      <c r="AR563" s="8"/>
      <c r="AS563" s="8"/>
      <c r="AT563" s="8"/>
      <c r="AU563" s="8"/>
      <c r="AV563" s="8"/>
      <c r="AW563" s="8"/>
      <c r="AX563" s="8"/>
      <c r="AY563" s="8"/>
      <c r="AZ563" s="8"/>
      <c r="BA563" s="8"/>
      <c r="BB563" s="8"/>
      <c r="BC563" s="8"/>
      <c r="BD563" s="8"/>
      <c r="BE563" s="8"/>
    </row>
    <row r="564" spans="1:57">
      <c r="A564" s="8"/>
      <c r="B564" s="8"/>
      <c r="C564" s="8"/>
      <c r="D564" s="8"/>
      <c r="E564" s="8"/>
      <c r="F564" s="54"/>
      <c r="G564" s="8"/>
      <c r="H564" s="8"/>
      <c r="I564" s="8"/>
      <c r="J564" s="8"/>
      <c r="K564" s="8"/>
      <c r="L564" s="8"/>
      <c r="M564" s="8"/>
      <c r="N564" s="8"/>
      <c r="O564" s="8"/>
      <c r="P564" s="8"/>
      <c r="Q564" s="8"/>
      <c r="R564" s="8"/>
      <c r="S564" s="8"/>
      <c r="T564" s="8"/>
      <c r="U564" s="53"/>
      <c r="V564" s="53"/>
      <c r="W564" s="53"/>
      <c r="X564" s="53"/>
      <c r="Y564" s="53"/>
      <c r="Z564" s="53"/>
      <c r="AA564" s="53"/>
      <c r="AB564" s="53"/>
      <c r="AC564" s="53"/>
      <c r="AD564" s="53"/>
      <c r="AE564" s="53"/>
      <c r="AF564" s="53"/>
      <c r="AG564" s="8"/>
      <c r="AH564" s="8"/>
      <c r="AI564" s="8"/>
      <c r="AJ564" s="8"/>
      <c r="AK564" s="8"/>
      <c r="AL564" s="8"/>
      <c r="AM564" s="8"/>
      <c r="AN564" s="8"/>
      <c r="AO564" s="8"/>
      <c r="AP564" s="8"/>
      <c r="AQ564" s="8"/>
      <c r="AR564" s="8"/>
      <c r="AS564" s="8"/>
      <c r="AT564" s="8"/>
      <c r="AU564" s="8"/>
      <c r="AV564" s="8"/>
      <c r="AW564" s="8"/>
      <c r="AX564" s="8"/>
      <c r="AY564" s="8"/>
      <c r="AZ564" s="8"/>
      <c r="BA564" s="8"/>
      <c r="BB564" s="8"/>
      <c r="BC564" s="8"/>
      <c r="BD564" s="8"/>
      <c r="BE564" s="8"/>
    </row>
    <row r="565" spans="1:57">
      <c r="A565" s="8"/>
      <c r="B565" s="8"/>
      <c r="C565" s="8"/>
      <c r="D565" s="8"/>
      <c r="E565" s="8"/>
      <c r="F565" s="54"/>
      <c r="G565" s="8"/>
      <c r="H565" s="8"/>
      <c r="I565" s="8"/>
      <c r="J565" s="8"/>
      <c r="K565" s="8"/>
      <c r="L565" s="8"/>
      <c r="M565" s="8"/>
      <c r="N565" s="8"/>
      <c r="O565" s="8"/>
      <c r="P565" s="8"/>
      <c r="Q565" s="8"/>
      <c r="R565" s="8"/>
      <c r="S565" s="8"/>
      <c r="T565" s="8"/>
      <c r="U565" s="53"/>
      <c r="V565" s="53"/>
      <c r="W565" s="53"/>
      <c r="X565" s="53"/>
      <c r="Y565" s="53"/>
      <c r="Z565" s="53"/>
      <c r="AA565" s="53"/>
      <c r="AB565" s="53"/>
      <c r="AC565" s="53"/>
      <c r="AD565" s="53"/>
      <c r="AE565" s="53"/>
      <c r="AF565" s="53"/>
      <c r="AG565" s="8"/>
      <c r="AH565" s="8"/>
      <c r="AI565" s="8"/>
      <c r="AJ565" s="8"/>
      <c r="AK565" s="8"/>
      <c r="AL565" s="8"/>
      <c r="AM565" s="8"/>
      <c r="AN565" s="8"/>
      <c r="AO565" s="8"/>
      <c r="AP565" s="8"/>
      <c r="AQ565" s="8"/>
      <c r="AR565" s="8"/>
      <c r="AS565" s="8"/>
      <c r="AT565" s="8"/>
      <c r="AU565" s="8"/>
      <c r="AV565" s="8"/>
      <c r="AW565" s="8"/>
      <c r="AX565" s="8"/>
      <c r="AY565" s="8"/>
      <c r="AZ565" s="8"/>
      <c r="BA565" s="8"/>
      <c r="BB565" s="8"/>
      <c r="BC565" s="8"/>
      <c r="BD565" s="8"/>
      <c r="BE565" s="8"/>
    </row>
    <row r="566" spans="1:57">
      <c r="A566" s="8"/>
      <c r="B566" s="8"/>
      <c r="C566" s="8"/>
      <c r="D566" s="8"/>
      <c r="E566" s="8"/>
      <c r="F566" s="54"/>
      <c r="G566" s="8"/>
      <c r="H566" s="8"/>
      <c r="I566" s="8"/>
      <c r="J566" s="8"/>
      <c r="K566" s="8"/>
      <c r="L566" s="8"/>
      <c r="M566" s="8"/>
      <c r="N566" s="8"/>
      <c r="O566" s="8"/>
      <c r="P566" s="8"/>
      <c r="Q566" s="8"/>
      <c r="R566" s="8"/>
      <c r="S566" s="8"/>
      <c r="T566" s="8"/>
      <c r="U566" s="53"/>
      <c r="V566" s="53"/>
      <c r="W566" s="53"/>
      <c r="X566" s="53"/>
      <c r="Y566" s="53"/>
      <c r="Z566" s="53"/>
      <c r="AA566" s="53"/>
      <c r="AB566" s="53"/>
      <c r="AC566" s="53"/>
      <c r="AD566" s="53"/>
      <c r="AE566" s="53"/>
      <c r="AF566" s="53"/>
      <c r="AG566" s="8"/>
      <c r="AH566" s="8"/>
      <c r="AI566" s="8"/>
      <c r="AJ566" s="8"/>
      <c r="AK566" s="8"/>
      <c r="AL566" s="8"/>
      <c r="AM566" s="8"/>
      <c r="AN566" s="8"/>
      <c r="AO566" s="8"/>
      <c r="AP566" s="8"/>
      <c r="AQ566" s="8"/>
      <c r="AR566" s="8"/>
      <c r="AS566" s="8"/>
      <c r="AT566" s="8"/>
      <c r="AU566" s="8"/>
      <c r="AV566" s="8"/>
      <c r="AW566" s="8"/>
      <c r="AX566" s="8"/>
      <c r="AY566" s="8"/>
      <c r="AZ566" s="8"/>
      <c r="BA566" s="8"/>
      <c r="BB566" s="8"/>
      <c r="BC566" s="8"/>
      <c r="BD566" s="8"/>
      <c r="BE566" s="8"/>
    </row>
    <row r="567" spans="1:57">
      <c r="A567" s="8"/>
      <c r="B567" s="8"/>
      <c r="C567" s="8"/>
      <c r="D567" s="8"/>
      <c r="E567" s="8"/>
      <c r="F567" s="54"/>
      <c r="G567" s="8"/>
      <c r="H567" s="8"/>
      <c r="I567" s="8"/>
      <c r="J567" s="8"/>
      <c r="K567" s="8"/>
      <c r="L567" s="8"/>
      <c r="M567" s="8"/>
      <c r="N567" s="8"/>
      <c r="O567" s="8"/>
      <c r="P567" s="8"/>
      <c r="Q567" s="8"/>
      <c r="R567" s="8"/>
      <c r="S567" s="8"/>
      <c r="T567" s="8"/>
      <c r="U567" s="53"/>
      <c r="V567" s="53"/>
      <c r="W567" s="53"/>
      <c r="X567" s="53"/>
      <c r="Y567" s="53"/>
      <c r="Z567" s="53"/>
      <c r="AA567" s="53"/>
      <c r="AB567" s="53"/>
      <c r="AC567" s="53"/>
      <c r="AD567" s="53"/>
      <c r="AE567" s="53"/>
      <c r="AF567" s="53"/>
      <c r="AG567" s="8"/>
      <c r="AH567" s="8"/>
      <c r="AI567" s="8"/>
      <c r="AJ567" s="8"/>
      <c r="AK567" s="8"/>
      <c r="AL567" s="8"/>
      <c r="AM567" s="8"/>
      <c r="AN567" s="8"/>
      <c r="AO567" s="8"/>
      <c r="AP567" s="8"/>
      <c r="AQ567" s="8"/>
      <c r="AR567" s="8"/>
      <c r="AS567" s="8"/>
      <c r="AT567" s="8"/>
      <c r="AU567" s="8"/>
      <c r="AV567" s="8"/>
      <c r="AW567" s="8"/>
      <c r="AX567" s="8"/>
      <c r="AY567" s="8"/>
      <c r="AZ567" s="8"/>
      <c r="BA567" s="8"/>
      <c r="BB567" s="8"/>
      <c r="BC567" s="8"/>
      <c r="BD567" s="8"/>
      <c r="BE567" s="8"/>
    </row>
    <row r="568" spans="1:57">
      <c r="A568" s="8"/>
      <c r="B568" s="8"/>
      <c r="C568" s="8"/>
      <c r="D568" s="8"/>
      <c r="E568" s="8"/>
      <c r="F568" s="54"/>
      <c r="G568" s="8"/>
      <c r="H568" s="8"/>
      <c r="I568" s="8"/>
      <c r="J568" s="8"/>
      <c r="K568" s="8"/>
      <c r="L568" s="8"/>
      <c r="M568" s="8"/>
      <c r="N568" s="8"/>
      <c r="O568" s="8"/>
      <c r="P568" s="8"/>
      <c r="Q568" s="8"/>
      <c r="R568" s="8"/>
      <c r="S568" s="8"/>
      <c r="T568" s="8"/>
      <c r="U568" s="53"/>
      <c r="V568" s="53"/>
      <c r="W568" s="53"/>
      <c r="X568" s="53"/>
      <c r="Y568" s="53"/>
      <c r="Z568" s="53"/>
      <c r="AA568" s="53"/>
      <c r="AB568" s="53"/>
      <c r="AC568" s="53"/>
      <c r="AD568" s="53"/>
      <c r="AE568" s="53"/>
      <c r="AF568" s="53"/>
      <c r="AG568" s="8"/>
      <c r="AH568" s="8"/>
      <c r="AI568" s="8"/>
      <c r="AJ568" s="8"/>
      <c r="AK568" s="8"/>
      <c r="AL568" s="8"/>
      <c r="AM568" s="8"/>
      <c r="AN568" s="8"/>
      <c r="AO568" s="8"/>
      <c r="AP568" s="8"/>
      <c r="AQ568" s="8"/>
      <c r="AR568" s="8"/>
      <c r="AS568" s="8"/>
      <c r="AT568" s="8"/>
      <c r="AU568" s="8"/>
      <c r="AV568" s="8"/>
      <c r="AW568" s="8"/>
      <c r="AX568" s="8"/>
      <c r="AY568" s="8"/>
      <c r="AZ568" s="8"/>
      <c r="BA568" s="8"/>
      <c r="BB568" s="8"/>
      <c r="BC568" s="8"/>
      <c r="BD568" s="8"/>
      <c r="BE568" s="8"/>
    </row>
    <row r="569" spans="1:57">
      <c r="A569" s="8"/>
      <c r="B569" s="8"/>
      <c r="C569" s="8"/>
      <c r="D569" s="8"/>
      <c r="E569" s="8"/>
      <c r="F569" s="54"/>
      <c r="G569" s="8"/>
      <c r="H569" s="8"/>
      <c r="I569" s="8"/>
      <c r="J569" s="8"/>
      <c r="K569" s="8"/>
      <c r="L569" s="8"/>
      <c r="M569" s="8"/>
      <c r="N569" s="8"/>
      <c r="O569" s="8"/>
      <c r="P569" s="8"/>
      <c r="Q569" s="8"/>
      <c r="R569" s="8"/>
      <c r="S569" s="8"/>
      <c r="T569" s="8"/>
      <c r="U569" s="53"/>
      <c r="V569" s="53"/>
      <c r="W569" s="53"/>
      <c r="X569" s="53"/>
      <c r="Y569" s="53"/>
      <c r="Z569" s="53"/>
      <c r="AA569" s="53"/>
      <c r="AB569" s="53"/>
      <c r="AC569" s="53"/>
      <c r="AD569" s="53"/>
      <c r="AE569" s="53"/>
      <c r="AF569" s="53"/>
      <c r="AG569" s="8"/>
      <c r="AH569" s="8"/>
      <c r="AI569" s="8"/>
      <c r="AJ569" s="8"/>
      <c r="AK569" s="8"/>
      <c r="AL569" s="8"/>
      <c r="AM569" s="8"/>
      <c r="AN569" s="8"/>
      <c r="AO569" s="8"/>
      <c r="AP569" s="8"/>
      <c r="AQ569" s="8"/>
      <c r="AR569" s="8"/>
      <c r="AS569" s="8"/>
      <c r="AT569" s="8"/>
      <c r="AU569" s="8"/>
      <c r="AV569" s="8"/>
      <c r="AW569" s="8"/>
      <c r="AX569" s="8"/>
      <c r="AY569" s="8"/>
      <c r="AZ569" s="8"/>
      <c r="BA569" s="8"/>
      <c r="BB569" s="8"/>
      <c r="BC569" s="8"/>
      <c r="BD569" s="8"/>
      <c r="BE569" s="8"/>
    </row>
    <row r="570" spans="1:57">
      <c r="A570" s="8"/>
      <c r="B570" s="8"/>
      <c r="C570" s="8"/>
      <c r="D570" s="8"/>
      <c r="E570" s="8"/>
      <c r="F570" s="54"/>
      <c r="G570" s="8"/>
      <c r="H570" s="8"/>
      <c r="I570" s="8"/>
      <c r="J570" s="8"/>
      <c r="K570" s="8"/>
      <c r="L570" s="8"/>
      <c r="M570" s="8"/>
      <c r="N570" s="8"/>
      <c r="O570" s="8"/>
      <c r="P570" s="8"/>
      <c r="Q570" s="8"/>
      <c r="R570" s="8"/>
      <c r="S570" s="8"/>
      <c r="T570" s="8"/>
      <c r="U570" s="53"/>
      <c r="V570" s="53"/>
      <c r="W570" s="53"/>
      <c r="X570" s="53"/>
      <c r="Y570" s="53"/>
      <c r="Z570" s="53"/>
      <c r="AA570" s="53"/>
      <c r="AB570" s="53"/>
      <c r="AC570" s="53"/>
      <c r="AD570" s="53"/>
      <c r="AE570" s="53"/>
      <c r="AF570" s="53"/>
      <c r="AG570" s="8"/>
      <c r="AH570" s="8"/>
      <c r="AI570" s="8"/>
      <c r="AJ570" s="8"/>
      <c r="AK570" s="8"/>
      <c r="AL570" s="8"/>
      <c r="AM570" s="8"/>
      <c r="AN570" s="8"/>
      <c r="AO570" s="8"/>
      <c r="AP570" s="8"/>
      <c r="AQ570" s="8"/>
      <c r="AR570" s="8"/>
      <c r="AS570" s="8"/>
      <c r="AT570" s="8"/>
      <c r="AU570" s="8"/>
      <c r="AV570" s="8"/>
      <c r="AW570" s="8"/>
      <c r="AX570" s="8"/>
      <c r="AY570" s="8"/>
      <c r="AZ570" s="8"/>
      <c r="BA570" s="8"/>
      <c r="BB570" s="8"/>
      <c r="BC570" s="8"/>
      <c r="BD570" s="8"/>
      <c r="BE570" s="8"/>
    </row>
    <row r="571" spans="1:57">
      <c r="A571" s="8"/>
      <c r="B571" s="8"/>
      <c r="C571" s="8"/>
      <c r="D571" s="8"/>
      <c r="E571" s="8"/>
      <c r="F571" s="54"/>
      <c r="G571" s="8"/>
      <c r="H571" s="8"/>
      <c r="I571" s="8"/>
      <c r="J571" s="8"/>
      <c r="K571" s="8"/>
      <c r="L571" s="8"/>
      <c r="M571" s="8"/>
      <c r="N571" s="8"/>
      <c r="O571" s="8"/>
      <c r="P571" s="8"/>
      <c r="Q571" s="8"/>
      <c r="R571" s="8"/>
      <c r="S571" s="8"/>
      <c r="T571" s="8"/>
      <c r="U571" s="53"/>
      <c r="V571" s="53"/>
      <c r="W571" s="53"/>
      <c r="X571" s="53"/>
      <c r="Y571" s="53"/>
      <c r="Z571" s="53"/>
      <c r="AA571" s="53"/>
      <c r="AB571" s="53"/>
      <c r="AC571" s="53"/>
      <c r="AD571" s="53"/>
      <c r="AE571" s="53"/>
      <c r="AF571" s="53"/>
      <c r="AG571" s="8"/>
      <c r="AH571" s="8"/>
      <c r="AI571" s="8"/>
      <c r="AJ571" s="8"/>
      <c r="AK571" s="8"/>
      <c r="AL571" s="8"/>
      <c r="AM571" s="8"/>
      <c r="AN571" s="8"/>
      <c r="AO571" s="8"/>
      <c r="AP571" s="8"/>
      <c r="AQ571" s="8"/>
      <c r="AR571" s="8"/>
      <c r="AS571" s="8"/>
      <c r="AT571" s="8"/>
      <c r="AU571" s="8"/>
      <c r="AV571" s="8"/>
      <c r="AW571" s="8"/>
      <c r="AX571" s="8"/>
      <c r="AY571" s="8"/>
      <c r="AZ571" s="8"/>
      <c r="BA571" s="8"/>
      <c r="BB571" s="8"/>
      <c r="BC571" s="8"/>
      <c r="BD571" s="8"/>
      <c r="BE571" s="8"/>
    </row>
    <row r="572" spans="1:57">
      <c r="A572" s="8"/>
      <c r="B572" s="8"/>
      <c r="C572" s="8"/>
      <c r="D572" s="8"/>
      <c r="E572" s="8"/>
      <c r="F572" s="54"/>
      <c r="G572" s="8"/>
      <c r="H572" s="8"/>
      <c r="I572" s="8"/>
      <c r="J572" s="8"/>
      <c r="K572" s="8"/>
      <c r="L572" s="8"/>
      <c r="M572" s="8"/>
      <c r="N572" s="8"/>
      <c r="O572" s="8"/>
      <c r="P572" s="8"/>
      <c r="Q572" s="8"/>
      <c r="R572" s="8"/>
      <c r="S572" s="8"/>
      <c r="T572" s="8"/>
      <c r="U572" s="53"/>
      <c r="V572" s="53"/>
      <c r="W572" s="53"/>
      <c r="X572" s="53"/>
      <c r="Y572" s="53"/>
      <c r="Z572" s="53"/>
      <c r="AA572" s="53"/>
      <c r="AB572" s="53"/>
      <c r="AC572" s="53"/>
      <c r="AD572" s="53"/>
      <c r="AE572" s="53"/>
      <c r="AF572" s="53"/>
      <c r="AG572" s="8"/>
      <c r="AH572" s="8"/>
      <c r="AI572" s="8"/>
      <c r="AJ572" s="8"/>
      <c r="AK572" s="8"/>
      <c r="AL572" s="8"/>
      <c r="AM572" s="8"/>
      <c r="AN572" s="8"/>
      <c r="AO572" s="8"/>
      <c r="AP572" s="8"/>
      <c r="AQ572" s="8"/>
      <c r="AR572" s="8"/>
      <c r="AS572" s="8"/>
      <c r="AT572" s="8"/>
      <c r="AU572" s="8"/>
      <c r="AV572" s="8"/>
      <c r="AW572" s="8"/>
      <c r="AX572" s="8"/>
      <c r="AY572" s="8"/>
      <c r="AZ572" s="8"/>
      <c r="BA572" s="8"/>
      <c r="BB572" s="8"/>
      <c r="BC572" s="8"/>
      <c r="BD572" s="8"/>
      <c r="BE572" s="8"/>
    </row>
    <row r="573" spans="1:57">
      <c r="A573" s="8"/>
      <c r="B573" s="8"/>
      <c r="C573" s="8"/>
      <c r="D573" s="8"/>
      <c r="E573" s="8"/>
      <c r="F573" s="54"/>
      <c r="G573" s="8"/>
      <c r="H573" s="8"/>
      <c r="I573" s="8"/>
      <c r="J573" s="8"/>
      <c r="K573" s="8"/>
      <c r="L573" s="8"/>
      <c r="M573" s="8"/>
      <c r="N573" s="8"/>
      <c r="O573" s="8"/>
      <c r="P573" s="8"/>
      <c r="Q573" s="8"/>
      <c r="R573" s="8"/>
      <c r="S573" s="8"/>
      <c r="T573" s="8"/>
      <c r="U573" s="53"/>
      <c r="V573" s="53"/>
      <c r="W573" s="53"/>
      <c r="X573" s="53"/>
      <c r="Y573" s="53"/>
      <c r="Z573" s="53"/>
      <c r="AA573" s="53"/>
      <c r="AB573" s="53"/>
      <c r="AC573" s="53"/>
      <c r="AD573" s="53"/>
      <c r="AE573" s="53"/>
      <c r="AF573" s="53"/>
      <c r="AG573" s="8"/>
      <c r="AH573" s="8"/>
      <c r="AI573" s="8"/>
      <c r="AJ573" s="8"/>
      <c r="AK573" s="8"/>
      <c r="AL573" s="8"/>
      <c r="AM573" s="8"/>
      <c r="AN573" s="8"/>
      <c r="AO573" s="8"/>
      <c r="AP573" s="8"/>
      <c r="AQ573" s="8"/>
      <c r="AR573" s="8"/>
      <c r="AS573" s="8"/>
      <c r="AT573" s="8"/>
      <c r="AU573" s="8"/>
      <c r="AV573" s="8"/>
      <c r="AW573" s="8"/>
      <c r="AX573" s="8"/>
      <c r="AY573" s="8"/>
      <c r="AZ573" s="8"/>
      <c r="BA573" s="8"/>
      <c r="BB573" s="8"/>
      <c r="BC573" s="8"/>
      <c r="BD573" s="8"/>
      <c r="BE573" s="8"/>
    </row>
    <row r="574" spans="1:57">
      <c r="A574" s="8"/>
      <c r="B574" s="8"/>
      <c r="C574" s="8"/>
      <c r="D574" s="8"/>
      <c r="E574" s="8"/>
      <c r="F574" s="54"/>
      <c r="G574" s="8"/>
      <c r="H574" s="8"/>
      <c r="I574" s="8"/>
      <c r="J574" s="8"/>
      <c r="K574" s="8"/>
      <c r="L574" s="8"/>
      <c r="M574" s="8"/>
      <c r="N574" s="8"/>
      <c r="O574" s="8"/>
      <c r="P574" s="8"/>
      <c r="Q574" s="8"/>
      <c r="R574" s="8"/>
      <c r="S574" s="8"/>
      <c r="T574" s="8"/>
      <c r="U574" s="53"/>
      <c r="V574" s="53"/>
      <c r="W574" s="53"/>
      <c r="X574" s="53"/>
      <c r="Y574" s="53"/>
      <c r="Z574" s="53"/>
      <c r="AA574" s="53"/>
      <c r="AB574" s="53"/>
      <c r="AC574" s="53"/>
      <c r="AD574" s="53"/>
      <c r="AE574" s="53"/>
      <c r="AF574" s="53"/>
      <c r="AG574" s="8"/>
      <c r="AH574" s="8"/>
      <c r="AI574" s="8"/>
      <c r="AJ574" s="8"/>
      <c r="AK574" s="8"/>
      <c r="AL574" s="8"/>
      <c r="AM574" s="8"/>
      <c r="AN574" s="8"/>
      <c r="AO574" s="8"/>
      <c r="AP574" s="8"/>
      <c r="AQ574" s="8"/>
      <c r="AR574" s="8"/>
      <c r="AS574" s="8"/>
      <c r="AT574" s="8"/>
      <c r="AU574" s="8"/>
      <c r="AV574" s="8"/>
      <c r="AW574" s="8"/>
      <c r="AX574" s="8"/>
      <c r="AY574" s="8"/>
      <c r="AZ574" s="8"/>
      <c r="BA574" s="8"/>
      <c r="BB574" s="8"/>
      <c r="BC574" s="8"/>
      <c r="BD574" s="8"/>
      <c r="BE574" s="8"/>
    </row>
    <row r="575" spans="1:57">
      <c r="A575" s="8"/>
      <c r="B575" s="8"/>
      <c r="C575" s="8"/>
      <c r="D575" s="8"/>
      <c r="E575" s="8"/>
      <c r="F575" s="54"/>
      <c r="G575" s="8"/>
      <c r="H575" s="8"/>
      <c r="I575" s="8"/>
      <c r="J575" s="8"/>
      <c r="K575" s="8"/>
      <c r="L575" s="8"/>
      <c r="M575" s="8"/>
      <c r="N575" s="8"/>
      <c r="O575" s="8"/>
      <c r="P575" s="8"/>
      <c r="Q575" s="8"/>
      <c r="R575" s="8"/>
      <c r="S575" s="8"/>
      <c r="T575" s="8"/>
      <c r="U575" s="53"/>
      <c r="V575" s="53"/>
      <c r="W575" s="53"/>
      <c r="X575" s="53"/>
      <c r="Y575" s="53"/>
      <c r="Z575" s="53"/>
      <c r="AA575" s="53"/>
      <c r="AB575" s="53"/>
      <c r="AC575" s="53"/>
      <c r="AD575" s="53"/>
      <c r="AE575" s="53"/>
      <c r="AF575" s="53"/>
      <c r="AG575" s="8"/>
      <c r="AH575" s="8"/>
      <c r="AI575" s="8"/>
      <c r="AJ575" s="8"/>
      <c r="AK575" s="8"/>
      <c r="AL575" s="8"/>
      <c r="AM575" s="8"/>
      <c r="AN575" s="8"/>
      <c r="AO575" s="8"/>
      <c r="AP575" s="8"/>
      <c r="AQ575" s="8"/>
      <c r="AR575" s="8"/>
      <c r="AS575" s="8"/>
      <c r="AT575" s="8"/>
      <c r="AU575" s="8"/>
      <c r="AV575" s="8"/>
      <c r="AW575" s="8"/>
      <c r="AX575" s="8"/>
      <c r="AY575" s="8"/>
      <c r="AZ575" s="8"/>
      <c r="BA575" s="8"/>
      <c r="BB575" s="8"/>
      <c r="BC575" s="8"/>
      <c r="BD575" s="8"/>
      <c r="BE575" s="8"/>
    </row>
    <row r="576" spans="1:57">
      <c r="A576" s="8"/>
      <c r="B576" s="8"/>
      <c r="C576" s="8"/>
      <c r="D576" s="8"/>
      <c r="E576" s="8"/>
      <c r="F576" s="54"/>
      <c r="G576" s="8"/>
      <c r="H576" s="8"/>
      <c r="I576" s="8"/>
      <c r="J576" s="8"/>
      <c r="K576" s="8"/>
      <c r="L576" s="8"/>
      <c r="M576" s="8"/>
      <c r="N576" s="8"/>
      <c r="O576" s="8"/>
      <c r="P576" s="8"/>
      <c r="Q576" s="8"/>
      <c r="R576" s="8"/>
      <c r="S576" s="8"/>
      <c r="T576" s="8"/>
      <c r="U576" s="53"/>
      <c r="V576" s="53"/>
      <c r="W576" s="53"/>
      <c r="X576" s="53"/>
      <c r="Y576" s="53"/>
      <c r="Z576" s="53"/>
      <c r="AA576" s="53"/>
      <c r="AB576" s="53"/>
      <c r="AC576" s="53"/>
      <c r="AD576" s="53"/>
      <c r="AE576" s="53"/>
      <c r="AF576" s="53"/>
      <c r="AG576" s="8"/>
      <c r="AH576" s="8"/>
      <c r="AI576" s="8"/>
      <c r="AJ576" s="8"/>
      <c r="AK576" s="8"/>
      <c r="AL576" s="8"/>
      <c r="AM576" s="8"/>
      <c r="AN576" s="8"/>
      <c r="AO576" s="8"/>
      <c r="AP576" s="8"/>
      <c r="AQ576" s="8"/>
      <c r="AR576" s="8"/>
      <c r="AS576" s="8"/>
      <c r="AT576" s="8"/>
      <c r="AU576" s="8"/>
      <c r="AV576" s="8"/>
      <c r="AW576" s="8"/>
      <c r="AX576" s="8"/>
      <c r="AY576" s="8"/>
      <c r="AZ576" s="8"/>
      <c r="BA576" s="8"/>
      <c r="BB576" s="8"/>
      <c r="BC576" s="8"/>
      <c r="BD576" s="8"/>
      <c r="BE576" s="8"/>
    </row>
    <row r="577" spans="1:57">
      <c r="A577" s="8"/>
      <c r="B577" s="8"/>
      <c r="C577" s="8"/>
      <c r="D577" s="8"/>
      <c r="E577" s="8"/>
      <c r="F577" s="54"/>
      <c r="G577" s="8"/>
      <c r="H577" s="8"/>
      <c r="I577" s="8"/>
      <c r="J577" s="8"/>
      <c r="K577" s="8"/>
      <c r="L577" s="8"/>
      <c r="M577" s="8"/>
      <c r="N577" s="8"/>
      <c r="O577" s="8"/>
      <c r="P577" s="8"/>
      <c r="Q577" s="8"/>
      <c r="R577" s="8"/>
      <c r="S577" s="8"/>
      <c r="T577" s="8"/>
      <c r="U577" s="53"/>
      <c r="V577" s="53"/>
      <c r="W577" s="53"/>
      <c r="X577" s="53"/>
      <c r="Y577" s="53"/>
      <c r="Z577" s="53"/>
      <c r="AA577" s="53"/>
      <c r="AB577" s="53"/>
      <c r="AC577" s="53"/>
      <c r="AD577" s="53"/>
      <c r="AE577" s="53"/>
      <c r="AF577" s="53"/>
      <c r="AG577" s="8"/>
      <c r="AH577" s="8"/>
      <c r="AI577" s="8"/>
      <c r="AJ577" s="8"/>
      <c r="AK577" s="8"/>
      <c r="AL577" s="8"/>
      <c r="AM577" s="8"/>
      <c r="AN577" s="8"/>
      <c r="AO577" s="8"/>
      <c r="AP577" s="8"/>
      <c r="AQ577" s="8"/>
      <c r="AR577" s="8"/>
      <c r="AS577" s="8"/>
      <c r="AT577" s="8"/>
      <c r="AU577" s="8"/>
      <c r="AV577" s="8"/>
      <c r="AW577" s="8"/>
      <c r="AX577" s="8"/>
      <c r="AY577" s="8"/>
      <c r="AZ577" s="8"/>
      <c r="BA577" s="8"/>
      <c r="BB577" s="8"/>
      <c r="BC577" s="8"/>
      <c r="BD577" s="8"/>
      <c r="BE577" s="8"/>
    </row>
    <row r="578" spans="1:57">
      <c r="A578" s="8"/>
      <c r="B578" s="8"/>
      <c r="C578" s="8"/>
      <c r="D578" s="8"/>
      <c r="E578" s="8"/>
      <c r="F578" s="54"/>
      <c r="G578" s="8"/>
      <c r="H578" s="8"/>
      <c r="I578" s="8"/>
      <c r="J578" s="8"/>
      <c r="K578" s="8"/>
      <c r="L578" s="8"/>
      <c r="M578" s="8"/>
      <c r="N578" s="8"/>
      <c r="O578" s="8"/>
      <c r="P578" s="8"/>
      <c r="Q578" s="8"/>
      <c r="R578" s="8"/>
      <c r="S578" s="8"/>
      <c r="T578" s="8"/>
      <c r="U578" s="53"/>
      <c r="V578" s="53"/>
      <c r="W578" s="53"/>
      <c r="X578" s="53"/>
      <c r="Y578" s="53"/>
      <c r="Z578" s="53"/>
      <c r="AA578" s="53"/>
      <c r="AB578" s="53"/>
      <c r="AC578" s="53"/>
      <c r="AD578" s="53"/>
      <c r="AE578" s="53"/>
      <c r="AF578" s="53"/>
      <c r="AG578" s="8"/>
      <c r="AH578" s="8"/>
      <c r="AI578" s="8"/>
      <c r="AJ578" s="8"/>
      <c r="AK578" s="8"/>
      <c r="AL578" s="8"/>
      <c r="AM578" s="8"/>
      <c r="AN578" s="8"/>
      <c r="AO578" s="8"/>
      <c r="AP578" s="8"/>
      <c r="AQ578" s="8"/>
      <c r="AR578" s="8"/>
      <c r="AS578" s="8"/>
      <c r="AT578" s="8"/>
      <c r="AU578" s="8"/>
      <c r="AV578" s="8"/>
      <c r="AW578" s="8"/>
      <c r="AX578" s="8"/>
      <c r="AY578" s="8"/>
      <c r="AZ578" s="8"/>
      <c r="BA578" s="8"/>
      <c r="BB578" s="8"/>
      <c r="BC578" s="8"/>
      <c r="BD578" s="8"/>
      <c r="BE578" s="8"/>
    </row>
    <row r="579" spans="1:57">
      <c r="A579" s="8"/>
      <c r="B579" s="8"/>
      <c r="C579" s="8"/>
      <c r="D579" s="8"/>
      <c r="E579" s="8"/>
      <c r="F579" s="54"/>
      <c r="G579" s="8"/>
      <c r="H579" s="8"/>
      <c r="I579" s="8"/>
      <c r="J579" s="8"/>
      <c r="K579" s="8"/>
      <c r="L579" s="8"/>
      <c r="M579" s="8"/>
      <c r="N579" s="8"/>
      <c r="O579" s="8"/>
      <c r="P579" s="8"/>
      <c r="Q579" s="8"/>
      <c r="R579" s="8"/>
      <c r="S579" s="8"/>
      <c r="T579" s="8"/>
      <c r="U579" s="53"/>
      <c r="V579" s="53"/>
      <c r="W579" s="53"/>
      <c r="X579" s="53"/>
      <c r="Y579" s="53"/>
      <c r="Z579" s="53"/>
      <c r="AA579" s="53"/>
      <c r="AB579" s="53"/>
      <c r="AC579" s="53"/>
      <c r="AD579" s="53"/>
      <c r="AE579" s="53"/>
      <c r="AF579" s="53"/>
      <c r="AG579" s="8"/>
      <c r="AH579" s="8"/>
      <c r="AI579" s="8"/>
      <c r="AJ579" s="8"/>
      <c r="AK579" s="8"/>
      <c r="AL579" s="8"/>
      <c r="AM579" s="8"/>
      <c r="AN579" s="8"/>
      <c r="AO579" s="8"/>
      <c r="AP579" s="8"/>
      <c r="AQ579" s="8"/>
      <c r="AR579" s="8"/>
      <c r="AS579" s="8"/>
      <c r="AT579" s="8"/>
      <c r="AU579" s="8"/>
      <c r="AV579" s="8"/>
      <c r="AW579" s="8"/>
      <c r="AX579" s="8"/>
      <c r="AY579" s="8"/>
      <c r="AZ579" s="8"/>
      <c r="BA579" s="8"/>
      <c r="BB579" s="8"/>
      <c r="BC579" s="8"/>
      <c r="BD579" s="8"/>
      <c r="BE579" s="8"/>
    </row>
    <row r="580" spans="1:57">
      <c r="A580" s="8"/>
      <c r="B580" s="8"/>
      <c r="C580" s="8"/>
      <c r="D580" s="8"/>
      <c r="E580" s="8"/>
      <c r="F580" s="54"/>
      <c r="G580" s="8"/>
      <c r="H580" s="8"/>
      <c r="I580" s="8"/>
      <c r="J580" s="8"/>
      <c r="K580" s="8"/>
      <c r="L580" s="8"/>
      <c r="M580" s="8"/>
      <c r="N580" s="8"/>
      <c r="O580" s="8"/>
      <c r="P580" s="8"/>
      <c r="Q580" s="8"/>
      <c r="R580" s="8"/>
      <c r="S580" s="8"/>
      <c r="T580" s="8"/>
      <c r="U580" s="53"/>
      <c r="V580" s="53"/>
      <c r="W580" s="53"/>
      <c r="X580" s="53"/>
      <c r="Y580" s="53"/>
      <c r="Z580" s="53"/>
      <c r="AA580" s="53"/>
      <c r="AB580" s="53"/>
      <c r="AC580" s="53"/>
      <c r="AD580" s="53"/>
      <c r="AE580" s="53"/>
      <c r="AF580" s="53"/>
      <c r="AG580" s="8"/>
      <c r="AH580" s="8"/>
      <c r="AI580" s="8"/>
      <c r="AJ580" s="8"/>
      <c r="AK580" s="8"/>
      <c r="AL580" s="8"/>
      <c r="AM580" s="8"/>
      <c r="AN580" s="8"/>
      <c r="AO580" s="8"/>
      <c r="AP580" s="8"/>
      <c r="AQ580" s="8"/>
      <c r="AR580" s="8"/>
      <c r="AS580" s="8"/>
      <c r="AT580" s="8"/>
      <c r="AU580" s="8"/>
      <c r="AV580" s="8"/>
      <c r="AW580" s="8"/>
      <c r="AX580" s="8"/>
      <c r="AY580" s="8"/>
      <c r="AZ580" s="8"/>
      <c r="BA580" s="8"/>
      <c r="BB580" s="8"/>
      <c r="BC580" s="8"/>
      <c r="BD580" s="8"/>
      <c r="BE580" s="8"/>
    </row>
    <row r="581" spans="1:57">
      <c r="A581" s="8"/>
      <c r="B581" s="8"/>
      <c r="C581" s="8"/>
      <c r="D581" s="8"/>
      <c r="E581" s="8"/>
      <c r="F581" s="54"/>
      <c r="G581" s="8"/>
      <c r="H581" s="8"/>
      <c r="I581" s="8"/>
      <c r="J581" s="8"/>
      <c r="K581" s="8"/>
      <c r="L581" s="8"/>
      <c r="M581" s="8"/>
      <c r="N581" s="8"/>
      <c r="O581" s="8"/>
      <c r="P581" s="8"/>
      <c r="Q581" s="8"/>
      <c r="R581" s="8"/>
      <c r="S581" s="8"/>
      <c r="T581" s="8"/>
      <c r="U581" s="53"/>
      <c r="V581" s="53"/>
      <c r="W581" s="53"/>
      <c r="X581" s="53"/>
      <c r="Y581" s="53"/>
      <c r="Z581" s="53"/>
      <c r="AA581" s="53"/>
      <c r="AB581" s="53"/>
      <c r="AC581" s="53"/>
      <c r="AD581" s="53"/>
      <c r="AE581" s="53"/>
      <c r="AF581" s="53"/>
      <c r="AG581" s="8"/>
      <c r="AH581" s="8"/>
      <c r="AI581" s="8"/>
      <c r="AJ581" s="8"/>
      <c r="AK581" s="8"/>
      <c r="AL581" s="8"/>
      <c r="AM581" s="8"/>
      <c r="AN581" s="8"/>
      <c r="AO581" s="8"/>
      <c r="AP581" s="8"/>
      <c r="AQ581" s="8"/>
      <c r="AR581" s="8"/>
      <c r="AS581" s="8"/>
      <c r="AT581" s="8"/>
      <c r="AU581" s="8"/>
      <c r="AV581" s="8"/>
      <c r="AW581" s="8"/>
      <c r="AX581" s="8"/>
      <c r="AY581" s="8"/>
      <c r="AZ581" s="8"/>
      <c r="BA581" s="8"/>
      <c r="BB581" s="8"/>
      <c r="BC581" s="8"/>
      <c r="BD581" s="8"/>
      <c r="BE581" s="8"/>
    </row>
    <row r="582" spans="1:57">
      <c r="A582" s="8"/>
      <c r="B582" s="8"/>
      <c r="C582" s="8"/>
      <c r="D582" s="8"/>
      <c r="E582" s="8"/>
      <c r="F582" s="54"/>
      <c r="G582" s="8"/>
      <c r="H582" s="8"/>
      <c r="I582" s="8"/>
      <c r="J582" s="8"/>
      <c r="K582" s="8"/>
      <c r="L582" s="8"/>
      <c r="M582" s="8"/>
      <c r="N582" s="8"/>
      <c r="O582" s="8"/>
      <c r="P582" s="8"/>
      <c r="Q582" s="8"/>
      <c r="R582" s="8"/>
      <c r="S582" s="8"/>
      <c r="T582" s="8"/>
      <c r="U582" s="53"/>
      <c r="V582" s="53"/>
      <c r="W582" s="53"/>
      <c r="X582" s="53"/>
      <c r="Y582" s="53"/>
      <c r="Z582" s="53"/>
      <c r="AA582" s="53"/>
      <c r="AB582" s="53"/>
      <c r="AC582" s="53"/>
      <c r="AD582" s="53"/>
      <c r="AE582" s="53"/>
      <c r="AF582" s="53"/>
      <c r="AG582" s="8"/>
      <c r="AH582" s="8"/>
      <c r="AI582" s="8"/>
      <c r="AJ582" s="8"/>
      <c r="AK582" s="8"/>
      <c r="AL582" s="8"/>
      <c r="AM582" s="8"/>
      <c r="AN582" s="8"/>
      <c r="AO582" s="8"/>
      <c r="AP582" s="8"/>
      <c r="AQ582" s="8"/>
      <c r="AR582" s="8"/>
      <c r="AS582" s="8"/>
      <c r="AT582" s="8"/>
      <c r="AU582" s="8"/>
      <c r="AV582" s="8"/>
      <c r="AW582" s="8"/>
      <c r="AX582" s="8"/>
      <c r="AY582" s="8"/>
      <c r="AZ582" s="8"/>
      <c r="BA582" s="8"/>
      <c r="BB582" s="8"/>
      <c r="BC582" s="8"/>
      <c r="BD582" s="8"/>
      <c r="BE582" s="8"/>
    </row>
    <row r="583" spans="1:57">
      <c r="A583" s="8"/>
      <c r="B583" s="8"/>
      <c r="C583" s="8"/>
      <c r="D583" s="8"/>
      <c r="E583" s="8"/>
      <c r="F583" s="54"/>
      <c r="G583" s="8"/>
      <c r="H583" s="8"/>
      <c r="I583" s="8"/>
      <c r="J583" s="8"/>
      <c r="K583" s="8"/>
      <c r="L583" s="8"/>
      <c r="M583" s="8"/>
      <c r="N583" s="8"/>
      <c r="O583" s="8"/>
      <c r="P583" s="8"/>
      <c r="Q583" s="8"/>
      <c r="R583" s="8"/>
      <c r="S583" s="8"/>
      <c r="T583" s="8"/>
      <c r="U583" s="53"/>
      <c r="V583" s="53"/>
      <c r="W583" s="53"/>
      <c r="X583" s="53"/>
      <c r="Y583" s="53"/>
      <c r="Z583" s="53"/>
      <c r="AA583" s="53"/>
      <c r="AB583" s="53"/>
      <c r="AC583" s="53"/>
      <c r="AD583" s="53"/>
      <c r="AE583" s="53"/>
      <c r="AF583" s="53"/>
      <c r="AG583" s="8"/>
      <c r="AH583" s="8"/>
      <c r="AI583" s="8"/>
      <c r="AJ583" s="8"/>
      <c r="AK583" s="8"/>
      <c r="AL583" s="8"/>
      <c r="AM583" s="8"/>
      <c r="AN583" s="8"/>
      <c r="AO583" s="8"/>
      <c r="AP583" s="8"/>
      <c r="AQ583" s="8"/>
      <c r="AR583" s="8"/>
      <c r="AS583" s="8"/>
      <c r="AT583" s="8"/>
      <c r="AU583" s="8"/>
      <c r="AV583" s="8"/>
      <c r="AW583" s="8"/>
      <c r="AX583" s="8"/>
      <c r="AY583" s="8"/>
      <c r="AZ583" s="8"/>
      <c r="BA583" s="8"/>
      <c r="BB583" s="8"/>
      <c r="BC583" s="8"/>
      <c r="BD583" s="8"/>
      <c r="BE583" s="8"/>
    </row>
    <row r="584" spans="1:57">
      <c r="A584" s="8"/>
      <c r="B584" s="8"/>
      <c r="C584" s="8"/>
      <c r="D584" s="8"/>
      <c r="E584" s="8"/>
      <c r="F584" s="54"/>
      <c r="G584" s="8"/>
      <c r="H584" s="8"/>
      <c r="I584" s="8"/>
      <c r="J584" s="8"/>
      <c r="K584" s="8"/>
      <c r="L584" s="8"/>
      <c r="M584" s="8"/>
      <c r="N584" s="8"/>
      <c r="O584" s="8"/>
      <c r="P584" s="8"/>
      <c r="Q584" s="8"/>
      <c r="R584" s="8"/>
      <c r="S584" s="8"/>
      <c r="T584" s="8"/>
      <c r="U584" s="53"/>
      <c r="V584" s="53"/>
      <c r="W584" s="53"/>
      <c r="X584" s="53"/>
      <c r="Y584" s="53"/>
      <c r="Z584" s="53"/>
      <c r="AA584" s="53"/>
      <c r="AB584" s="53"/>
      <c r="AC584" s="53"/>
      <c r="AD584" s="53"/>
      <c r="AE584" s="53"/>
      <c r="AF584" s="53"/>
      <c r="AG584" s="8"/>
      <c r="AH584" s="8"/>
      <c r="AI584" s="8"/>
      <c r="AJ584" s="8"/>
      <c r="AK584" s="8"/>
      <c r="AL584" s="8"/>
      <c r="AM584" s="8"/>
      <c r="AN584" s="8"/>
      <c r="AO584" s="8"/>
      <c r="AP584" s="8"/>
      <c r="AQ584" s="8"/>
      <c r="AR584" s="8"/>
      <c r="AS584" s="8"/>
      <c r="AT584" s="8"/>
      <c r="AU584" s="8"/>
      <c r="AV584" s="8"/>
      <c r="AW584" s="8"/>
      <c r="AX584" s="8"/>
      <c r="AY584" s="8"/>
      <c r="AZ584" s="8"/>
      <c r="BA584" s="8"/>
      <c r="BB584" s="8"/>
      <c r="BC584" s="8"/>
      <c r="BD584" s="8"/>
      <c r="BE584" s="8"/>
    </row>
    <row r="585" spans="1:57">
      <c r="A585" s="8"/>
      <c r="B585" s="8"/>
      <c r="C585" s="8"/>
      <c r="D585" s="8"/>
      <c r="E585" s="8"/>
      <c r="F585" s="54"/>
      <c r="G585" s="8"/>
      <c r="H585" s="8"/>
      <c r="I585" s="8"/>
      <c r="J585" s="8"/>
      <c r="K585" s="8"/>
      <c r="L585" s="8"/>
      <c r="M585" s="8"/>
      <c r="N585" s="8"/>
      <c r="O585" s="8"/>
      <c r="P585" s="8"/>
      <c r="Q585" s="8"/>
      <c r="R585" s="8"/>
      <c r="S585" s="8"/>
      <c r="T585" s="8"/>
      <c r="U585" s="53"/>
      <c r="V585" s="53"/>
      <c r="W585" s="53"/>
      <c r="X585" s="53"/>
      <c r="Y585" s="53"/>
      <c r="Z585" s="53"/>
      <c r="AA585" s="53"/>
      <c r="AB585" s="53"/>
      <c r="AC585" s="53"/>
      <c r="AD585" s="53"/>
      <c r="AE585" s="53"/>
      <c r="AF585" s="53"/>
      <c r="AG585" s="8"/>
      <c r="AH585" s="8"/>
      <c r="AI585" s="8"/>
      <c r="AJ585" s="8"/>
      <c r="AK585" s="8"/>
      <c r="AL585" s="8"/>
      <c r="AM585" s="8"/>
      <c r="AN585" s="8"/>
      <c r="AO585" s="8"/>
      <c r="AP585" s="8"/>
      <c r="AQ585" s="8"/>
      <c r="AR585" s="8"/>
      <c r="AS585" s="8"/>
      <c r="AT585" s="8"/>
      <c r="AU585" s="8"/>
      <c r="AV585" s="8"/>
      <c r="AW585" s="8"/>
      <c r="AX585" s="8"/>
      <c r="AY585" s="8"/>
      <c r="AZ585" s="8"/>
      <c r="BA585" s="8"/>
      <c r="BB585" s="8"/>
      <c r="BC585" s="8"/>
      <c r="BD585" s="8"/>
      <c r="BE585" s="8"/>
    </row>
    <row r="586" spans="1:57">
      <c r="A586" s="8"/>
      <c r="B586" s="8"/>
      <c r="C586" s="8"/>
      <c r="D586" s="8"/>
      <c r="E586" s="8"/>
      <c r="F586" s="54"/>
      <c r="G586" s="8"/>
      <c r="H586" s="8"/>
      <c r="I586" s="8"/>
      <c r="J586" s="8"/>
      <c r="K586" s="8"/>
      <c r="L586" s="8"/>
      <c r="M586" s="8"/>
      <c r="N586" s="8"/>
      <c r="O586" s="8"/>
      <c r="P586" s="8"/>
      <c r="Q586" s="8"/>
      <c r="R586" s="8"/>
      <c r="S586" s="8"/>
      <c r="T586" s="8"/>
      <c r="U586" s="53"/>
      <c r="V586" s="53"/>
      <c r="W586" s="53"/>
      <c r="X586" s="53"/>
      <c r="Y586" s="53"/>
      <c r="Z586" s="53"/>
      <c r="AA586" s="53"/>
      <c r="AB586" s="53"/>
      <c r="AC586" s="53"/>
      <c r="AD586" s="53"/>
      <c r="AE586" s="53"/>
      <c r="AF586" s="53"/>
      <c r="AG586" s="8"/>
      <c r="AH586" s="8"/>
      <c r="AI586" s="8"/>
      <c r="AJ586" s="8"/>
      <c r="AK586" s="8"/>
      <c r="AL586" s="8"/>
      <c r="AM586" s="8"/>
      <c r="AN586" s="8"/>
      <c r="AO586" s="8"/>
      <c r="AP586" s="8"/>
      <c r="AQ586" s="8"/>
      <c r="AR586" s="8"/>
      <c r="AS586" s="8"/>
      <c r="AT586" s="8"/>
      <c r="AU586" s="8"/>
      <c r="AV586" s="8"/>
      <c r="AW586" s="8"/>
      <c r="AX586" s="8"/>
      <c r="AY586" s="8"/>
      <c r="AZ586" s="8"/>
      <c r="BA586" s="8"/>
      <c r="BB586" s="8"/>
      <c r="BC586" s="8"/>
      <c r="BD586" s="8"/>
      <c r="BE586" s="8"/>
    </row>
    <row r="587" spans="1:57">
      <c r="A587" s="8"/>
      <c r="B587" s="8"/>
      <c r="C587" s="8"/>
      <c r="D587" s="8"/>
      <c r="E587" s="8"/>
      <c r="F587" s="54"/>
      <c r="G587" s="8"/>
      <c r="H587" s="8"/>
      <c r="I587" s="8"/>
      <c r="J587" s="8"/>
      <c r="K587" s="8"/>
      <c r="L587" s="8"/>
      <c r="M587" s="8"/>
      <c r="N587" s="8"/>
      <c r="O587" s="8"/>
      <c r="P587" s="8"/>
      <c r="Q587" s="8"/>
      <c r="R587" s="8"/>
      <c r="S587" s="8"/>
      <c r="T587" s="8"/>
      <c r="U587" s="53"/>
      <c r="V587" s="53"/>
      <c r="W587" s="53"/>
      <c r="X587" s="53"/>
      <c r="Y587" s="53"/>
      <c r="Z587" s="53"/>
      <c r="AA587" s="53"/>
      <c r="AB587" s="53"/>
      <c r="AC587" s="53"/>
      <c r="AD587" s="53"/>
      <c r="AE587" s="53"/>
      <c r="AF587" s="53"/>
      <c r="AG587" s="8"/>
      <c r="AH587" s="8"/>
      <c r="AI587" s="8"/>
      <c r="AJ587" s="8"/>
      <c r="AK587" s="8"/>
      <c r="AL587" s="8"/>
      <c r="AM587" s="8"/>
      <c r="AN587" s="8"/>
      <c r="AO587" s="8"/>
      <c r="AP587" s="8"/>
      <c r="AQ587" s="8"/>
      <c r="AR587" s="8"/>
      <c r="AS587" s="8"/>
      <c r="AT587" s="8"/>
      <c r="AU587" s="8"/>
      <c r="AV587" s="8"/>
      <c r="AW587" s="8"/>
      <c r="AX587" s="8"/>
      <c r="AY587" s="8"/>
      <c r="AZ587" s="8"/>
      <c r="BA587" s="8"/>
      <c r="BB587" s="8"/>
      <c r="BC587" s="8"/>
      <c r="BD587" s="8"/>
      <c r="BE587" s="8"/>
    </row>
    <row r="588" spans="1:57">
      <c r="A588" s="8"/>
      <c r="B588" s="8"/>
      <c r="C588" s="8"/>
      <c r="D588" s="8"/>
      <c r="E588" s="8"/>
      <c r="F588" s="54"/>
      <c r="G588" s="8"/>
      <c r="H588" s="8"/>
      <c r="I588" s="8"/>
      <c r="J588" s="8"/>
      <c r="K588" s="8"/>
      <c r="L588" s="8"/>
      <c r="M588" s="8"/>
      <c r="N588" s="8"/>
      <c r="O588" s="8"/>
      <c r="P588" s="8"/>
      <c r="Q588" s="8"/>
      <c r="R588" s="8"/>
      <c r="S588" s="8"/>
      <c r="T588" s="8"/>
      <c r="U588" s="53"/>
      <c r="V588" s="53"/>
      <c r="W588" s="53"/>
      <c r="X588" s="53"/>
      <c r="Y588" s="53"/>
      <c r="Z588" s="53"/>
      <c r="AA588" s="53"/>
      <c r="AB588" s="53"/>
      <c r="AC588" s="53"/>
      <c r="AD588" s="53"/>
      <c r="AE588" s="53"/>
      <c r="AF588" s="53"/>
      <c r="AG588" s="8"/>
      <c r="AH588" s="8"/>
      <c r="AI588" s="8"/>
      <c r="AJ588" s="8"/>
      <c r="AK588" s="8"/>
      <c r="AL588" s="8"/>
      <c r="AM588" s="8"/>
      <c r="AN588" s="8"/>
      <c r="AO588" s="8"/>
      <c r="AP588" s="8"/>
      <c r="AQ588" s="8"/>
      <c r="AR588" s="8"/>
      <c r="AS588" s="8"/>
      <c r="AT588" s="8"/>
      <c r="AU588" s="8"/>
      <c r="AV588" s="8"/>
      <c r="AW588" s="8"/>
      <c r="AX588" s="8"/>
      <c r="AY588" s="8"/>
      <c r="AZ588" s="8"/>
      <c r="BA588" s="8"/>
      <c r="BB588" s="8"/>
      <c r="BC588" s="8"/>
      <c r="BD588" s="8"/>
      <c r="BE588" s="8"/>
    </row>
    <row r="589" spans="1:57">
      <c r="A589" s="8"/>
      <c r="B589" s="8"/>
      <c r="C589" s="8"/>
      <c r="D589" s="8"/>
      <c r="E589" s="8"/>
      <c r="F589" s="54"/>
      <c r="G589" s="8"/>
      <c r="H589" s="8"/>
      <c r="I589" s="8"/>
      <c r="J589" s="8"/>
      <c r="K589" s="8"/>
      <c r="L589" s="8"/>
      <c r="M589" s="8"/>
      <c r="N589" s="8"/>
      <c r="O589" s="8"/>
      <c r="P589" s="8"/>
      <c r="Q589" s="8"/>
      <c r="R589" s="8"/>
      <c r="S589" s="8"/>
      <c r="T589" s="8"/>
      <c r="U589" s="53"/>
      <c r="V589" s="53"/>
      <c r="W589" s="53"/>
      <c r="X589" s="53"/>
      <c r="Y589" s="53"/>
      <c r="Z589" s="53"/>
      <c r="AA589" s="53"/>
      <c r="AB589" s="53"/>
      <c r="AC589" s="53"/>
      <c r="AD589" s="53"/>
      <c r="AE589" s="53"/>
      <c r="AF589" s="53"/>
      <c r="AG589" s="8"/>
      <c r="AH589" s="8"/>
      <c r="AI589" s="8"/>
      <c r="AJ589" s="8"/>
      <c r="AK589" s="8"/>
      <c r="AL589" s="8"/>
      <c r="AM589" s="8"/>
      <c r="AN589" s="8"/>
      <c r="AO589" s="8"/>
      <c r="AP589" s="8"/>
      <c r="AQ589" s="8"/>
      <c r="AR589" s="8"/>
      <c r="AS589" s="8"/>
      <c r="AT589" s="8"/>
      <c r="AU589" s="8"/>
      <c r="AV589" s="8"/>
      <c r="AW589" s="8"/>
      <c r="AX589" s="8"/>
      <c r="AY589" s="8"/>
      <c r="AZ589" s="8"/>
      <c r="BA589" s="8"/>
      <c r="BB589" s="8"/>
      <c r="BC589" s="8"/>
      <c r="BD589" s="8"/>
      <c r="BE589" s="8"/>
    </row>
    <row r="590" spans="1:57">
      <c r="A590" s="8"/>
      <c r="B590" s="8"/>
      <c r="C590" s="8"/>
      <c r="D590" s="8"/>
      <c r="E590" s="8"/>
      <c r="F590" s="54"/>
      <c r="G590" s="8"/>
      <c r="H590" s="8"/>
      <c r="I590" s="8"/>
      <c r="J590" s="8"/>
      <c r="K590" s="8"/>
      <c r="L590" s="8"/>
      <c r="M590" s="8"/>
      <c r="N590" s="8"/>
      <c r="O590" s="8"/>
      <c r="P590" s="8"/>
      <c r="Q590" s="8"/>
      <c r="R590" s="8"/>
      <c r="S590" s="8"/>
      <c r="T590" s="8"/>
      <c r="U590" s="53"/>
      <c r="V590" s="53"/>
      <c r="W590" s="53"/>
      <c r="X590" s="53"/>
      <c r="Y590" s="53"/>
      <c r="Z590" s="53"/>
      <c r="AA590" s="53"/>
      <c r="AB590" s="53"/>
      <c r="AC590" s="53"/>
      <c r="AD590" s="53"/>
      <c r="AE590" s="53"/>
      <c r="AF590" s="53"/>
      <c r="AG590" s="8"/>
      <c r="AH590" s="8"/>
      <c r="AI590" s="8"/>
      <c r="AJ590" s="8"/>
      <c r="AK590" s="8"/>
      <c r="AL590" s="8"/>
      <c r="AM590" s="8"/>
      <c r="AN590" s="8"/>
      <c r="AO590" s="8"/>
      <c r="AP590" s="8"/>
      <c r="AQ590" s="8"/>
      <c r="AR590" s="8"/>
      <c r="AS590" s="8"/>
      <c r="AT590" s="8"/>
      <c r="AU590" s="8"/>
      <c r="AV590" s="8"/>
      <c r="AW590" s="8"/>
      <c r="AX590" s="8"/>
      <c r="AY590" s="8"/>
      <c r="AZ590" s="8"/>
      <c r="BA590" s="8"/>
      <c r="BB590" s="8"/>
      <c r="BC590" s="8"/>
      <c r="BD590" s="8"/>
      <c r="BE590" s="8"/>
    </row>
    <row r="591" spans="1:57">
      <c r="A591" s="8"/>
      <c r="B591" s="8"/>
      <c r="C591" s="8"/>
      <c r="D591" s="8"/>
      <c r="E591" s="8"/>
      <c r="F591" s="54"/>
      <c r="G591" s="8"/>
      <c r="H591" s="8"/>
      <c r="I591" s="8"/>
      <c r="J591" s="8"/>
      <c r="K591" s="8"/>
      <c r="L591" s="8"/>
      <c r="M591" s="8"/>
      <c r="N591" s="8"/>
      <c r="O591" s="8"/>
      <c r="P591" s="8"/>
      <c r="Q591" s="8"/>
      <c r="R591" s="8"/>
      <c r="S591" s="8"/>
      <c r="T591" s="8"/>
      <c r="U591" s="53"/>
      <c r="V591" s="53"/>
      <c r="W591" s="53"/>
      <c r="X591" s="53"/>
      <c r="Y591" s="53"/>
      <c r="Z591" s="53"/>
      <c r="AA591" s="53"/>
      <c r="AB591" s="53"/>
      <c r="AC591" s="53"/>
      <c r="AD591" s="53"/>
      <c r="AE591" s="53"/>
      <c r="AF591" s="53"/>
      <c r="AG591" s="8"/>
      <c r="AH591" s="8"/>
      <c r="AI591" s="8"/>
      <c r="AJ591" s="8"/>
      <c r="AK591" s="8"/>
      <c r="AL591" s="8"/>
      <c r="AM591" s="8"/>
      <c r="AN591" s="8"/>
      <c r="AO591" s="8"/>
      <c r="AP591" s="8"/>
      <c r="AQ591" s="8"/>
      <c r="AR591" s="8"/>
      <c r="AS591" s="8"/>
      <c r="AT591" s="8"/>
      <c r="AU591" s="8"/>
      <c r="AV591" s="8"/>
      <c r="AW591" s="8"/>
      <c r="AX591" s="8"/>
      <c r="AY591" s="8"/>
      <c r="AZ591" s="8"/>
      <c r="BA591" s="8"/>
      <c r="BB591" s="8"/>
      <c r="BC591" s="8"/>
      <c r="BD591" s="8"/>
      <c r="BE591" s="8"/>
    </row>
    <row r="592" spans="1:57">
      <c r="A592" s="8"/>
      <c r="B592" s="8"/>
      <c r="C592" s="8"/>
      <c r="D592" s="8"/>
      <c r="E592" s="8"/>
      <c r="F592" s="54"/>
      <c r="G592" s="8"/>
      <c r="H592" s="8"/>
      <c r="I592" s="8"/>
      <c r="J592" s="8"/>
      <c r="K592" s="8"/>
      <c r="L592" s="8"/>
      <c r="M592" s="8"/>
      <c r="N592" s="8"/>
      <c r="O592" s="8"/>
      <c r="P592" s="8"/>
      <c r="Q592" s="8"/>
      <c r="R592" s="8"/>
      <c r="S592" s="8"/>
      <c r="T592" s="8"/>
      <c r="U592" s="53"/>
      <c r="V592" s="53"/>
      <c r="W592" s="53"/>
      <c r="X592" s="53"/>
      <c r="Y592" s="53"/>
      <c r="Z592" s="53"/>
      <c r="AA592" s="53"/>
      <c r="AB592" s="53"/>
      <c r="AC592" s="53"/>
      <c r="AD592" s="53"/>
      <c r="AE592" s="53"/>
      <c r="AF592" s="53"/>
      <c r="AG592" s="8"/>
      <c r="AH592" s="8"/>
      <c r="AI592" s="8"/>
      <c r="AJ592" s="8"/>
      <c r="AK592" s="8"/>
      <c r="AL592" s="8"/>
      <c r="AM592" s="8"/>
      <c r="AN592" s="8"/>
      <c r="AO592" s="8"/>
      <c r="AP592" s="8"/>
      <c r="AQ592" s="8"/>
      <c r="AR592" s="8"/>
      <c r="AS592" s="8"/>
      <c r="AT592" s="8"/>
      <c r="AU592" s="8"/>
      <c r="AV592" s="8"/>
      <c r="AW592" s="8"/>
      <c r="AX592" s="8"/>
      <c r="AY592" s="8"/>
      <c r="AZ592" s="8"/>
      <c r="BA592" s="8"/>
      <c r="BB592" s="8"/>
      <c r="BC592" s="8"/>
      <c r="BD592" s="8"/>
      <c r="BE592" s="8"/>
    </row>
    <row r="593" spans="1:57">
      <c r="A593" s="8"/>
      <c r="B593" s="8"/>
      <c r="C593" s="8"/>
      <c r="D593" s="8"/>
      <c r="E593" s="8"/>
      <c r="F593" s="54"/>
      <c r="G593" s="8"/>
      <c r="H593" s="8"/>
      <c r="I593" s="8"/>
      <c r="J593" s="8"/>
      <c r="K593" s="8"/>
      <c r="L593" s="8"/>
      <c r="M593" s="8"/>
      <c r="N593" s="8"/>
      <c r="O593" s="8"/>
      <c r="P593" s="8"/>
      <c r="Q593" s="8"/>
      <c r="R593" s="8"/>
      <c r="S593" s="8"/>
      <c r="T593" s="8"/>
      <c r="U593" s="53"/>
      <c r="V593" s="53"/>
      <c r="W593" s="53"/>
      <c r="X593" s="53"/>
      <c r="Y593" s="53"/>
      <c r="Z593" s="53"/>
      <c r="AA593" s="53"/>
      <c r="AB593" s="53"/>
      <c r="AC593" s="53"/>
      <c r="AD593" s="53"/>
      <c r="AE593" s="53"/>
      <c r="AF593" s="53"/>
      <c r="AG593" s="8"/>
      <c r="AH593" s="8"/>
      <c r="AI593" s="8"/>
      <c r="AJ593" s="8"/>
      <c r="AK593" s="8"/>
      <c r="AL593" s="8"/>
      <c r="AM593" s="8"/>
      <c r="AN593" s="8"/>
      <c r="AO593" s="8"/>
      <c r="AP593" s="8"/>
      <c r="AQ593" s="8"/>
      <c r="AR593" s="8"/>
      <c r="AS593" s="8"/>
      <c r="AT593" s="8"/>
      <c r="AU593" s="8"/>
      <c r="AV593" s="8"/>
      <c r="AW593" s="8"/>
      <c r="AX593" s="8"/>
      <c r="AY593" s="8"/>
      <c r="AZ593" s="8"/>
      <c r="BA593" s="8"/>
      <c r="BB593" s="8"/>
      <c r="BC593" s="8"/>
      <c r="BD593" s="8"/>
      <c r="BE593" s="8"/>
    </row>
    <row r="594" spans="1:57">
      <c r="A594" s="8"/>
      <c r="B594" s="8"/>
      <c r="C594" s="8"/>
      <c r="D594" s="8"/>
      <c r="E594" s="8"/>
      <c r="F594" s="54"/>
      <c r="G594" s="8"/>
      <c r="H594" s="8"/>
      <c r="I594" s="8"/>
      <c r="J594" s="8"/>
      <c r="K594" s="8"/>
      <c r="L594" s="8"/>
      <c r="M594" s="8"/>
      <c r="N594" s="8"/>
      <c r="O594" s="8"/>
      <c r="P594" s="8"/>
      <c r="Q594" s="8"/>
      <c r="R594" s="8"/>
      <c r="S594" s="8"/>
      <c r="T594" s="8"/>
      <c r="U594" s="53"/>
      <c r="V594" s="53"/>
      <c r="W594" s="53"/>
      <c r="X594" s="53"/>
      <c r="Y594" s="53"/>
      <c r="Z594" s="53"/>
      <c r="AA594" s="53"/>
      <c r="AB594" s="53"/>
      <c r="AC594" s="53"/>
      <c r="AD594" s="53"/>
      <c r="AE594" s="53"/>
      <c r="AF594" s="53"/>
      <c r="AG594" s="8"/>
      <c r="AH594" s="8"/>
      <c r="AI594" s="8"/>
      <c r="AJ594" s="8"/>
      <c r="AK594" s="8"/>
      <c r="AL594" s="8"/>
      <c r="AM594" s="8"/>
      <c r="AN594" s="8"/>
      <c r="AO594" s="8"/>
      <c r="AP594" s="8"/>
      <c r="AQ594" s="8"/>
      <c r="AR594" s="8"/>
      <c r="AS594" s="8"/>
      <c r="AT594" s="8"/>
      <c r="AU594" s="8"/>
      <c r="AV594" s="8"/>
      <c r="AW594" s="8"/>
      <c r="AX594" s="8"/>
      <c r="AY594" s="8"/>
      <c r="AZ594" s="8"/>
      <c r="BA594" s="8"/>
      <c r="BB594" s="8"/>
      <c r="BC594" s="8"/>
      <c r="BD594" s="8"/>
      <c r="BE594" s="8"/>
    </row>
    <row r="595" spans="1:57">
      <c r="A595" s="8"/>
      <c r="B595" s="8"/>
      <c r="C595" s="8"/>
      <c r="D595" s="8"/>
      <c r="E595" s="8"/>
      <c r="F595" s="54"/>
      <c r="G595" s="8"/>
      <c r="H595" s="8"/>
      <c r="I595" s="8"/>
      <c r="J595" s="8"/>
      <c r="K595" s="8"/>
      <c r="L595" s="8"/>
      <c r="M595" s="8"/>
      <c r="N595" s="8"/>
      <c r="O595" s="8"/>
      <c r="P595" s="8"/>
      <c r="Q595" s="8"/>
      <c r="R595" s="8"/>
      <c r="S595" s="8"/>
      <c r="T595" s="8"/>
      <c r="U595" s="53"/>
      <c r="V595" s="53"/>
      <c r="W595" s="53"/>
      <c r="X595" s="53"/>
      <c r="Y595" s="53"/>
      <c r="Z595" s="53"/>
      <c r="AA595" s="53"/>
      <c r="AB595" s="53"/>
      <c r="AC595" s="53"/>
      <c r="AD595" s="53"/>
      <c r="AE595" s="53"/>
      <c r="AF595" s="53"/>
      <c r="AG595" s="8"/>
      <c r="AH595" s="8"/>
      <c r="AI595" s="8"/>
      <c r="AJ595" s="8"/>
      <c r="AK595" s="8"/>
      <c r="AL595" s="8"/>
      <c r="AM595" s="8"/>
      <c r="AN595" s="8"/>
      <c r="AO595" s="8"/>
      <c r="AP595" s="8"/>
      <c r="AQ595" s="8"/>
      <c r="AR595" s="8"/>
      <c r="AS595" s="8"/>
      <c r="AT595" s="8"/>
      <c r="AU595" s="8"/>
      <c r="AV595" s="8"/>
      <c r="AW595" s="8"/>
      <c r="AX595" s="8"/>
      <c r="AY595" s="8"/>
      <c r="AZ595" s="8"/>
      <c r="BA595" s="8"/>
      <c r="BB595" s="8"/>
      <c r="BC595" s="8"/>
      <c r="BD595" s="8"/>
      <c r="BE595" s="8"/>
    </row>
    <row r="596" spans="1:57">
      <c r="A596" s="8"/>
      <c r="B596" s="8"/>
      <c r="C596" s="8"/>
      <c r="D596" s="8"/>
      <c r="E596" s="8"/>
      <c r="F596" s="54"/>
      <c r="G596" s="8"/>
      <c r="H596" s="8"/>
      <c r="I596" s="8"/>
      <c r="J596" s="8"/>
      <c r="K596" s="8"/>
      <c r="L596" s="8"/>
      <c r="M596" s="8"/>
      <c r="N596" s="8"/>
      <c r="O596" s="8"/>
      <c r="P596" s="8"/>
      <c r="Q596" s="8"/>
      <c r="R596" s="8"/>
      <c r="S596" s="8"/>
      <c r="T596" s="8"/>
      <c r="U596" s="53"/>
      <c r="V596" s="53"/>
      <c r="W596" s="53"/>
      <c r="X596" s="53"/>
      <c r="Y596" s="53"/>
      <c r="Z596" s="53"/>
      <c r="AA596" s="53"/>
      <c r="AB596" s="53"/>
      <c r="AC596" s="53"/>
      <c r="AD596" s="53"/>
      <c r="AE596" s="53"/>
      <c r="AF596" s="53"/>
      <c r="AG596" s="8"/>
      <c r="AH596" s="8"/>
      <c r="AI596" s="8"/>
      <c r="AJ596" s="8"/>
      <c r="AK596" s="8"/>
      <c r="AL596" s="8"/>
      <c r="AM596" s="8"/>
      <c r="AN596" s="8"/>
      <c r="AO596" s="8"/>
      <c r="AP596" s="8"/>
      <c r="AQ596" s="8"/>
      <c r="AR596" s="8"/>
      <c r="AS596" s="8"/>
      <c r="AT596" s="8"/>
      <c r="AU596" s="8"/>
      <c r="AV596" s="8"/>
      <c r="AW596" s="8"/>
      <c r="AX596" s="8"/>
      <c r="AY596" s="8"/>
      <c r="AZ596" s="8"/>
      <c r="BA596" s="8"/>
      <c r="BB596" s="8"/>
      <c r="BC596" s="8"/>
      <c r="BD596" s="8"/>
      <c r="BE596" s="8"/>
    </row>
    <row r="597" spans="1:57">
      <c r="A597" s="8"/>
      <c r="B597" s="8"/>
      <c r="C597" s="8"/>
      <c r="D597" s="8"/>
      <c r="E597" s="8"/>
      <c r="F597" s="54"/>
      <c r="G597" s="8"/>
      <c r="H597" s="8"/>
      <c r="I597" s="8"/>
      <c r="J597" s="8"/>
      <c r="K597" s="8"/>
      <c r="L597" s="8"/>
      <c r="M597" s="8"/>
      <c r="N597" s="8"/>
      <c r="O597" s="8"/>
      <c r="P597" s="8"/>
      <c r="Q597" s="8"/>
      <c r="R597" s="8"/>
      <c r="S597" s="8"/>
      <c r="T597" s="8"/>
      <c r="U597" s="53"/>
      <c r="V597" s="53"/>
      <c r="W597" s="53"/>
      <c r="X597" s="53"/>
      <c r="Y597" s="53"/>
      <c r="Z597" s="53"/>
      <c r="AA597" s="53"/>
      <c r="AB597" s="53"/>
      <c r="AC597" s="53"/>
      <c r="AD597" s="53"/>
      <c r="AE597" s="53"/>
      <c r="AF597" s="53"/>
      <c r="AG597" s="8"/>
      <c r="AH597" s="8"/>
      <c r="AI597" s="8"/>
      <c r="AJ597" s="8"/>
      <c r="AK597" s="8"/>
      <c r="AL597" s="8"/>
      <c r="AM597" s="8"/>
      <c r="AN597" s="8"/>
      <c r="AO597" s="8"/>
      <c r="AP597" s="8"/>
      <c r="AQ597" s="8"/>
      <c r="AR597" s="8"/>
      <c r="AS597" s="8"/>
      <c r="AT597" s="8"/>
      <c r="AU597" s="8"/>
      <c r="AV597" s="8"/>
      <c r="AW597" s="8"/>
      <c r="AX597" s="8"/>
      <c r="AY597" s="8"/>
      <c r="AZ597" s="8"/>
      <c r="BA597" s="8"/>
      <c r="BB597" s="8"/>
      <c r="BC597" s="8"/>
      <c r="BD597" s="8"/>
      <c r="BE597" s="8"/>
    </row>
    <row r="598" spans="1:57">
      <c r="A598" s="8"/>
      <c r="B598" s="8"/>
      <c r="C598" s="8"/>
      <c r="D598" s="8"/>
      <c r="E598" s="8"/>
      <c r="F598" s="54"/>
      <c r="G598" s="8"/>
      <c r="H598" s="8"/>
      <c r="I598" s="8"/>
      <c r="J598" s="8"/>
      <c r="K598" s="8"/>
      <c r="L598" s="8"/>
      <c r="M598" s="8"/>
      <c r="N598" s="8"/>
      <c r="O598" s="8"/>
      <c r="P598" s="8"/>
      <c r="Q598" s="8"/>
      <c r="R598" s="8"/>
      <c r="S598" s="8"/>
      <c r="T598" s="8"/>
      <c r="U598" s="53"/>
      <c r="V598" s="53"/>
      <c r="W598" s="53"/>
      <c r="X598" s="53"/>
      <c r="Y598" s="53"/>
      <c r="Z598" s="53"/>
      <c r="AA598" s="53"/>
      <c r="AB598" s="53"/>
      <c r="AC598" s="53"/>
      <c r="AD598" s="53"/>
      <c r="AE598" s="53"/>
      <c r="AF598" s="53"/>
      <c r="AG598" s="8"/>
      <c r="AH598" s="8"/>
      <c r="AI598" s="8"/>
      <c r="AJ598" s="8"/>
      <c r="AK598" s="8"/>
      <c r="AL598" s="8"/>
      <c r="AM598" s="8"/>
      <c r="AN598" s="8"/>
      <c r="AO598" s="8"/>
      <c r="AP598" s="8"/>
      <c r="AQ598" s="8"/>
      <c r="AR598" s="8"/>
      <c r="AS598" s="8"/>
      <c r="AT598" s="8"/>
      <c r="AU598" s="8"/>
      <c r="AV598" s="8"/>
      <c r="AW598" s="8"/>
      <c r="AX598" s="8"/>
      <c r="AY598" s="8"/>
      <c r="AZ598" s="8"/>
      <c r="BA598" s="8"/>
      <c r="BB598" s="8"/>
      <c r="BC598" s="8"/>
      <c r="BD598" s="8"/>
      <c r="BE598" s="8"/>
    </row>
    <row r="599" spans="1:57">
      <c r="A599" s="8"/>
      <c r="B599" s="8"/>
      <c r="C599" s="8"/>
      <c r="D599" s="8"/>
      <c r="E599" s="8"/>
      <c r="F599" s="54"/>
      <c r="G599" s="8"/>
      <c r="H599" s="8"/>
      <c r="I599" s="8"/>
      <c r="J599" s="8"/>
      <c r="K599" s="8"/>
      <c r="L599" s="8"/>
      <c r="M599" s="8"/>
      <c r="N599" s="8"/>
      <c r="O599" s="8"/>
      <c r="P599" s="8"/>
      <c r="Q599" s="8"/>
      <c r="R599" s="8"/>
      <c r="S599" s="8"/>
      <c r="T599" s="8"/>
      <c r="U599" s="53"/>
      <c r="V599" s="53"/>
      <c r="W599" s="53"/>
      <c r="X599" s="53"/>
      <c r="Y599" s="53"/>
      <c r="Z599" s="53"/>
      <c r="AA599" s="53"/>
      <c r="AB599" s="53"/>
      <c r="AC599" s="53"/>
      <c r="AD599" s="53"/>
      <c r="AE599" s="53"/>
      <c r="AF599" s="53"/>
      <c r="AG599" s="8"/>
      <c r="AH599" s="8"/>
      <c r="AI599" s="8"/>
      <c r="AJ599" s="8"/>
      <c r="AK599" s="8"/>
      <c r="AL599" s="8"/>
      <c r="AM599" s="8"/>
      <c r="AN599" s="8"/>
      <c r="AO599" s="8"/>
      <c r="AP599" s="8"/>
      <c r="AQ599" s="8"/>
      <c r="AR599" s="8"/>
      <c r="AS599" s="8"/>
      <c r="AT599" s="8"/>
      <c r="AU599" s="8"/>
      <c r="AV599" s="8"/>
      <c r="AW599" s="8"/>
      <c r="AX599" s="8"/>
      <c r="AY599" s="8"/>
      <c r="AZ599" s="8"/>
      <c r="BA599" s="8"/>
      <c r="BB599" s="8"/>
      <c r="BC599" s="8"/>
      <c r="BD599" s="8"/>
      <c r="BE599" s="8"/>
    </row>
    <row r="600" spans="1:57">
      <c r="A600" s="8"/>
      <c r="B600" s="8"/>
      <c r="C600" s="8"/>
      <c r="D600" s="8"/>
      <c r="E600" s="8"/>
      <c r="F600" s="54"/>
      <c r="G600" s="8"/>
      <c r="H600" s="8"/>
      <c r="I600" s="8"/>
      <c r="J600" s="8"/>
      <c r="K600" s="8"/>
      <c r="L600" s="8"/>
      <c r="M600" s="8"/>
      <c r="N600" s="8"/>
      <c r="O600" s="8"/>
      <c r="P600" s="8"/>
      <c r="Q600" s="8"/>
      <c r="R600" s="8"/>
      <c r="S600" s="8"/>
      <c r="T600" s="8"/>
      <c r="U600" s="53"/>
      <c r="V600" s="53"/>
      <c r="W600" s="53"/>
      <c r="X600" s="53"/>
      <c r="Y600" s="53"/>
      <c r="Z600" s="53"/>
      <c r="AA600" s="53"/>
      <c r="AB600" s="53"/>
      <c r="AC600" s="53"/>
      <c r="AD600" s="53"/>
      <c r="AE600" s="53"/>
      <c r="AF600" s="53"/>
      <c r="AG600" s="8"/>
      <c r="AH600" s="8"/>
      <c r="AI600" s="8"/>
      <c r="AJ600" s="8"/>
      <c r="AK600" s="8"/>
      <c r="AL600" s="8"/>
      <c r="AM600" s="8"/>
      <c r="AN600" s="8"/>
      <c r="AO600" s="8"/>
      <c r="AP600" s="8"/>
      <c r="AQ600" s="8"/>
      <c r="AR600" s="8"/>
      <c r="AS600" s="8"/>
      <c r="AT600" s="8"/>
      <c r="AU600" s="8"/>
      <c r="AV600" s="8"/>
      <c r="AW600" s="8"/>
      <c r="AX600" s="8"/>
      <c r="AY600" s="8"/>
      <c r="AZ600" s="8"/>
      <c r="BA600" s="8"/>
      <c r="BB600" s="8"/>
      <c r="BC600" s="8"/>
      <c r="BD600" s="8"/>
      <c r="BE600" s="8"/>
    </row>
    <row r="601" spans="1:57">
      <c r="A601" s="8"/>
      <c r="B601" s="8"/>
      <c r="C601" s="8"/>
      <c r="D601" s="8"/>
      <c r="E601" s="8"/>
      <c r="F601" s="54"/>
      <c r="G601" s="8"/>
      <c r="H601" s="8"/>
      <c r="I601" s="8"/>
      <c r="J601" s="8"/>
      <c r="K601" s="8"/>
      <c r="L601" s="8"/>
      <c r="M601" s="8"/>
      <c r="N601" s="8"/>
      <c r="O601" s="8"/>
      <c r="P601" s="8"/>
      <c r="Q601" s="8"/>
      <c r="R601" s="8"/>
      <c r="S601" s="8"/>
      <c r="T601" s="8"/>
      <c r="U601" s="53"/>
      <c r="V601" s="53"/>
      <c r="W601" s="53"/>
      <c r="X601" s="53"/>
      <c r="Y601" s="53"/>
      <c r="Z601" s="53"/>
      <c r="AA601" s="53"/>
      <c r="AB601" s="53"/>
      <c r="AC601" s="53"/>
      <c r="AD601" s="53"/>
      <c r="AE601" s="53"/>
      <c r="AF601" s="53"/>
      <c r="AG601" s="8"/>
      <c r="AH601" s="8"/>
      <c r="AI601" s="8"/>
      <c r="AJ601" s="8"/>
      <c r="AK601" s="8"/>
      <c r="AL601" s="8"/>
      <c r="AM601" s="8"/>
      <c r="AN601" s="8"/>
      <c r="AO601" s="8"/>
      <c r="AP601" s="8"/>
      <c r="AQ601" s="8"/>
      <c r="AR601" s="8"/>
      <c r="AS601" s="8"/>
      <c r="AT601" s="8"/>
      <c r="AU601" s="8"/>
      <c r="AV601" s="8"/>
      <c r="AW601" s="8"/>
      <c r="AX601" s="8"/>
      <c r="AY601" s="8"/>
      <c r="AZ601" s="8"/>
      <c r="BA601" s="8"/>
      <c r="BB601" s="8"/>
      <c r="BC601" s="8"/>
      <c r="BD601" s="8"/>
      <c r="BE601" s="8"/>
    </row>
    <row r="602" spans="1:57">
      <c r="A602" s="8"/>
      <c r="B602" s="8"/>
      <c r="C602" s="8"/>
      <c r="D602" s="8"/>
      <c r="E602" s="8"/>
      <c r="F602" s="54"/>
      <c r="G602" s="8"/>
      <c r="H602" s="8"/>
      <c r="I602" s="8"/>
      <c r="J602" s="8"/>
      <c r="K602" s="8"/>
      <c r="L602" s="8"/>
      <c r="M602" s="8"/>
      <c r="N602" s="8"/>
      <c r="O602" s="8"/>
      <c r="P602" s="8"/>
      <c r="Q602" s="8"/>
      <c r="R602" s="8"/>
      <c r="S602" s="8"/>
      <c r="T602" s="8"/>
      <c r="U602" s="53"/>
      <c r="V602" s="53"/>
      <c r="W602" s="53"/>
      <c r="X602" s="53"/>
      <c r="Y602" s="53"/>
      <c r="Z602" s="53"/>
      <c r="AA602" s="53"/>
      <c r="AB602" s="53"/>
      <c r="AC602" s="53"/>
      <c r="AD602" s="53"/>
      <c r="AE602" s="53"/>
      <c r="AF602" s="53"/>
      <c r="AG602" s="8"/>
      <c r="AH602" s="8"/>
      <c r="AI602" s="8"/>
      <c r="AJ602" s="8"/>
      <c r="AK602" s="8"/>
      <c r="AL602" s="8"/>
      <c r="AM602" s="8"/>
      <c r="AN602" s="8"/>
      <c r="AO602" s="8"/>
      <c r="AP602" s="8"/>
      <c r="AQ602" s="8"/>
      <c r="AR602" s="8"/>
      <c r="AS602" s="8"/>
      <c r="AT602" s="8"/>
      <c r="AU602" s="8"/>
      <c r="AV602" s="8"/>
      <c r="AW602" s="8"/>
      <c r="AX602" s="8"/>
      <c r="AY602" s="8"/>
      <c r="AZ602" s="8"/>
      <c r="BA602" s="8"/>
      <c r="BB602" s="8"/>
      <c r="BC602" s="8"/>
      <c r="BD602" s="8"/>
      <c r="BE602" s="8"/>
    </row>
    <row r="603" spans="1:57">
      <c r="A603" s="8"/>
      <c r="B603" s="8"/>
      <c r="C603" s="8"/>
      <c r="D603" s="8"/>
      <c r="E603" s="8"/>
      <c r="F603" s="54"/>
      <c r="G603" s="8"/>
      <c r="H603" s="8"/>
      <c r="I603" s="8"/>
      <c r="J603" s="8"/>
      <c r="K603" s="8"/>
      <c r="L603" s="8"/>
      <c r="M603" s="8"/>
      <c r="N603" s="8"/>
      <c r="O603" s="8"/>
      <c r="P603" s="8"/>
      <c r="Q603" s="8"/>
      <c r="R603" s="8"/>
      <c r="S603" s="8"/>
      <c r="T603" s="8"/>
      <c r="U603" s="53"/>
      <c r="V603" s="53"/>
      <c r="W603" s="53"/>
      <c r="X603" s="53"/>
      <c r="Y603" s="53"/>
      <c r="Z603" s="53"/>
      <c r="AA603" s="53"/>
      <c r="AB603" s="53"/>
      <c r="AC603" s="53"/>
      <c r="AD603" s="53"/>
      <c r="AE603" s="53"/>
      <c r="AF603" s="53"/>
      <c r="AG603" s="8"/>
      <c r="AH603" s="8"/>
      <c r="AI603" s="8"/>
      <c r="AJ603" s="8"/>
      <c r="AK603" s="8"/>
      <c r="AL603" s="8"/>
      <c r="AM603" s="8"/>
      <c r="AN603" s="8"/>
      <c r="AO603" s="8"/>
      <c r="AP603" s="8"/>
      <c r="AQ603" s="8"/>
      <c r="AR603" s="8"/>
      <c r="AS603" s="8"/>
      <c r="AT603" s="8"/>
      <c r="AU603" s="8"/>
      <c r="AV603" s="8"/>
      <c r="AW603" s="8"/>
      <c r="AX603" s="8"/>
      <c r="AY603" s="8"/>
      <c r="AZ603" s="8"/>
      <c r="BA603" s="8"/>
      <c r="BB603" s="8"/>
      <c r="BC603" s="8"/>
      <c r="BD603" s="8"/>
      <c r="BE603" s="8"/>
    </row>
    <row r="604" spans="1:57">
      <c r="A604" s="8"/>
      <c r="B604" s="8"/>
      <c r="C604" s="8"/>
      <c r="D604" s="8"/>
      <c r="E604" s="8"/>
      <c r="F604" s="54"/>
      <c r="G604" s="8"/>
      <c r="H604" s="8"/>
      <c r="I604" s="8"/>
      <c r="J604" s="8"/>
      <c r="K604" s="8"/>
      <c r="L604" s="8"/>
      <c r="M604" s="8"/>
      <c r="N604" s="8"/>
      <c r="O604" s="8"/>
      <c r="P604" s="8"/>
      <c r="Q604" s="8"/>
      <c r="R604" s="8"/>
      <c r="S604" s="8"/>
      <c r="T604" s="8"/>
      <c r="U604" s="53"/>
      <c r="V604" s="53"/>
      <c r="W604" s="53"/>
      <c r="X604" s="53"/>
      <c r="Y604" s="53"/>
      <c r="Z604" s="53"/>
      <c r="AA604" s="53"/>
      <c r="AB604" s="53"/>
      <c r="AC604" s="53"/>
      <c r="AD604" s="53"/>
      <c r="AE604" s="53"/>
      <c r="AF604" s="53"/>
      <c r="AG604" s="8"/>
      <c r="AH604" s="8"/>
      <c r="AI604" s="8"/>
      <c r="AJ604" s="8"/>
      <c r="AK604" s="8"/>
      <c r="AL604" s="8"/>
      <c r="AM604" s="8"/>
      <c r="AN604" s="8"/>
      <c r="AO604" s="8"/>
      <c r="AP604" s="8"/>
      <c r="AQ604" s="8"/>
      <c r="AR604" s="8"/>
      <c r="AS604" s="8"/>
      <c r="AT604" s="8"/>
      <c r="AU604" s="8"/>
      <c r="AV604" s="8"/>
      <c r="AW604" s="8"/>
      <c r="AX604" s="8"/>
      <c r="AY604" s="8"/>
      <c r="AZ604" s="8"/>
      <c r="BA604" s="8"/>
      <c r="BB604" s="8"/>
      <c r="BC604" s="8"/>
      <c r="BD604" s="8"/>
      <c r="BE604" s="8"/>
    </row>
    <row r="605" spans="1:57">
      <c r="A605" s="8"/>
      <c r="B605" s="8"/>
      <c r="C605" s="8"/>
      <c r="D605" s="8"/>
      <c r="E605" s="8"/>
      <c r="F605" s="54"/>
      <c r="G605" s="8"/>
      <c r="H605" s="8"/>
      <c r="I605" s="8"/>
      <c r="J605" s="8"/>
      <c r="K605" s="8"/>
      <c r="L605" s="8"/>
      <c r="M605" s="8"/>
      <c r="N605" s="8"/>
      <c r="O605" s="8"/>
      <c r="P605" s="8"/>
      <c r="Q605" s="8"/>
      <c r="R605" s="8"/>
      <c r="S605" s="8"/>
      <c r="T605" s="8"/>
      <c r="U605" s="53"/>
      <c r="V605" s="53"/>
      <c r="W605" s="53"/>
      <c r="X605" s="53"/>
      <c r="Y605" s="53"/>
      <c r="Z605" s="53"/>
      <c r="AA605" s="53"/>
      <c r="AB605" s="53"/>
      <c r="AC605" s="53"/>
      <c r="AD605" s="53"/>
      <c r="AE605" s="53"/>
      <c r="AF605" s="53"/>
      <c r="AG605" s="8"/>
      <c r="AH605" s="8"/>
      <c r="AI605" s="8"/>
      <c r="AJ605" s="8"/>
      <c r="AK605" s="8"/>
      <c r="AL605" s="8"/>
      <c r="AM605" s="8"/>
      <c r="AN605" s="8"/>
      <c r="AO605" s="8"/>
      <c r="AP605" s="8"/>
      <c r="AQ605" s="8"/>
      <c r="AR605" s="8"/>
      <c r="AS605" s="8"/>
      <c r="AT605" s="8"/>
      <c r="AU605" s="8"/>
      <c r="AV605" s="8"/>
      <c r="AW605" s="8"/>
      <c r="AX605" s="8"/>
      <c r="AY605" s="8"/>
      <c r="AZ605" s="8"/>
      <c r="BA605" s="8"/>
      <c r="BB605" s="8"/>
      <c r="BC605" s="8"/>
      <c r="BD605" s="8"/>
      <c r="BE605" s="8"/>
    </row>
    <row r="606" spans="1:57">
      <c r="A606" s="8"/>
      <c r="B606" s="8"/>
      <c r="C606" s="8"/>
      <c r="D606" s="8"/>
      <c r="E606" s="8"/>
      <c r="F606" s="54"/>
      <c r="G606" s="8"/>
      <c r="H606" s="8"/>
      <c r="I606" s="8"/>
      <c r="J606" s="8"/>
      <c r="K606" s="8"/>
      <c r="L606" s="8"/>
      <c r="M606" s="8"/>
      <c r="N606" s="8"/>
      <c r="O606" s="8"/>
      <c r="P606" s="8"/>
      <c r="Q606" s="8"/>
      <c r="R606" s="8"/>
      <c r="S606" s="8"/>
      <c r="T606" s="8"/>
      <c r="U606" s="53"/>
      <c r="V606" s="53"/>
      <c r="W606" s="53"/>
      <c r="X606" s="53"/>
      <c r="Y606" s="53"/>
      <c r="Z606" s="53"/>
      <c r="AA606" s="53"/>
      <c r="AB606" s="53"/>
      <c r="AC606" s="53"/>
      <c r="AD606" s="53"/>
      <c r="AE606" s="53"/>
      <c r="AF606" s="53"/>
      <c r="AG606" s="8"/>
      <c r="AH606" s="8"/>
      <c r="AI606" s="8"/>
      <c r="AJ606" s="8"/>
      <c r="AK606" s="8"/>
      <c r="AL606" s="8"/>
      <c r="AM606" s="8"/>
      <c r="AN606" s="8"/>
      <c r="AO606" s="8"/>
      <c r="AP606" s="8"/>
      <c r="AQ606" s="8"/>
      <c r="AR606" s="8"/>
      <c r="AS606" s="8"/>
      <c r="AT606" s="8"/>
      <c r="AU606" s="8"/>
      <c r="AV606" s="8"/>
      <c r="AW606" s="8"/>
      <c r="AX606" s="8"/>
      <c r="AY606" s="8"/>
      <c r="AZ606" s="8"/>
      <c r="BA606" s="8"/>
      <c r="BB606" s="8"/>
      <c r="BC606" s="8"/>
      <c r="BD606" s="8"/>
      <c r="BE606" s="8"/>
    </row>
    <row r="607" spans="1:57">
      <c r="A607" s="8"/>
      <c r="B607" s="8"/>
      <c r="C607" s="8"/>
      <c r="D607" s="8"/>
      <c r="E607" s="8"/>
      <c r="F607" s="54"/>
      <c r="G607" s="8"/>
      <c r="H607" s="8"/>
      <c r="I607" s="8"/>
      <c r="J607" s="8"/>
      <c r="K607" s="8"/>
      <c r="L607" s="8"/>
      <c r="M607" s="8"/>
      <c r="N607" s="8"/>
      <c r="O607" s="8"/>
      <c r="P607" s="8"/>
      <c r="Q607" s="8"/>
      <c r="R607" s="8"/>
      <c r="S607" s="8"/>
      <c r="T607" s="8"/>
      <c r="U607" s="53"/>
      <c r="V607" s="53"/>
      <c r="W607" s="53"/>
      <c r="X607" s="53"/>
      <c r="Y607" s="53"/>
      <c r="Z607" s="53"/>
      <c r="AA607" s="53"/>
      <c r="AB607" s="53"/>
      <c r="AC607" s="53"/>
      <c r="AD607" s="53"/>
      <c r="AE607" s="53"/>
      <c r="AF607" s="53"/>
      <c r="AG607" s="8"/>
      <c r="AH607" s="8"/>
      <c r="AI607" s="8"/>
      <c r="AJ607" s="8"/>
      <c r="AK607" s="8"/>
      <c r="AL607" s="8"/>
      <c r="AM607" s="8"/>
      <c r="AN607" s="8"/>
      <c r="AO607" s="8"/>
      <c r="AP607" s="8"/>
      <c r="AQ607" s="8"/>
      <c r="AR607" s="8"/>
      <c r="AS607" s="8"/>
      <c r="AT607" s="8"/>
      <c r="AU607" s="8"/>
      <c r="AV607" s="8"/>
      <c r="AW607" s="8"/>
      <c r="AX607" s="8"/>
      <c r="AY607" s="8"/>
      <c r="AZ607" s="8"/>
      <c r="BA607" s="8"/>
      <c r="BB607" s="8"/>
      <c r="BC607" s="8"/>
      <c r="BD607" s="8"/>
      <c r="BE607" s="8"/>
    </row>
    <row r="608" spans="1:57">
      <c r="A608" s="8"/>
      <c r="B608" s="8"/>
      <c r="C608" s="8"/>
      <c r="D608" s="8"/>
      <c r="E608" s="8"/>
      <c r="F608" s="54"/>
      <c r="G608" s="8"/>
      <c r="H608" s="8"/>
      <c r="I608" s="8"/>
      <c r="J608" s="8"/>
      <c r="K608" s="8"/>
      <c r="L608" s="8"/>
      <c r="M608" s="8"/>
      <c r="N608" s="8"/>
      <c r="O608" s="8"/>
      <c r="P608" s="8"/>
      <c r="Q608" s="8"/>
      <c r="R608" s="8"/>
      <c r="S608" s="8"/>
      <c r="T608" s="8"/>
      <c r="U608" s="53"/>
      <c r="V608" s="53"/>
      <c r="W608" s="53"/>
      <c r="X608" s="53"/>
      <c r="Y608" s="53"/>
      <c r="Z608" s="53"/>
      <c r="AA608" s="53"/>
      <c r="AB608" s="53"/>
      <c r="AC608" s="53"/>
      <c r="AD608" s="53"/>
      <c r="AE608" s="53"/>
      <c r="AF608" s="53"/>
      <c r="AG608" s="8"/>
      <c r="AH608" s="8"/>
      <c r="AI608" s="8"/>
      <c r="AJ608" s="8"/>
      <c r="AK608" s="8"/>
      <c r="AL608" s="8"/>
      <c r="AM608" s="8"/>
      <c r="AN608" s="8"/>
      <c r="AO608" s="8"/>
      <c r="AP608" s="8"/>
      <c r="AQ608" s="8"/>
      <c r="AR608" s="8"/>
      <c r="AS608" s="8"/>
      <c r="AT608" s="8"/>
      <c r="AU608" s="8"/>
      <c r="AV608" s="8"/>
      <c r="AW608" s="8"/>
      <c r="AX608" s="8"/>
      <c r="AY608" s="8"/>
      <c r="AZ608" s="8"/>
      <c r="BA608" s="8"/>
      <c r="BB608" s="8"/>
      <c r="BC608" s="8"/>
      <c r="BD608" s="8"/>
      <c r="BE608" s="8"/>
    </row>
    <row r="609" spans="1:57">
      <c r="A609" s="8"/>
      <c r="B609" s="8"/>
      <c r="C609" s="8"/>
      <c r="D609" s="8"/>
      <c r="E609" s="8"/>
      <c r="F609" s="54"/>
      <c r="G609" s="8"/>
      <c r="H609" s="8"/>
      <c r="I609" s="8"/>
      <c r="J609" s="8"/>
      <c r="K609" s="8"/>
      <c r="L609" s="8"/>
      <c r="M609" s="8"/>
      <c r="N609" s="8"/>
      <c r="O609" s="8"/>
      <c r="P609" s="8"/>
      <c r="Q609" s="8"/>
      <c r="R609" s="8"/>
      <c r="S609" s="8"/>
      <c r="T609" s="8"/>
      <c r="U609" s="53"/>
      <c r="V609" s="53"/>
      <c r="W609" s="53"/>
      <c r="X609" s="53"/>
      <c r="Y609" s="53"/>
      <c r="Z609" s="53"/>
      <c r="AA609" s="53"/>
      <c r="AB609" s="53"/>
      <c r="AC609" s="53"/>
      <c r="AD609" s="53"/>
      <c r="AE609" s="53"/>
      <c r="AF609" s="53"/>
      <c r="AG609" s="8"/>
      <c r="AH609" s="8"/>
      <c r="AI609" s="8"/>
      <c r="AJ609" s="8"/>
      <c r="AK609" s="8"/>
      <c r="AL609" s="8"/>
      <c r="AM609" s="8"/>
      <c r="AN609" s="8"/>
      <c r="AO609" s="8"/>
      <c r="AP609" s="8"/>
      <c r="AQ609" s="8"/>
      <c r="AR609" s="8"/>
      <c r="AS609" s="8"/>
      <c r="AT609" s="8"/>
      <c r="AU609" s="8"/>
      <c r="AV609" s="8"/>
      <c r="AW609" s="8"/>
      <c r="AX609" s="8"/>
      <c r="AY609" s="8"/>
      <c r="AZ609" s="8"/>
      <c r="BA609" s="8"/>
      <c r="BB609" s="8"/>
      <c r="BC609" s="8"/>
      <c r="BD609" s="8"/>
      <c r="BE609" s="8"/>
    </row>
    <row r="610" spans="1:57">
      <c r="A610" s="8"/>
      <c r="B610" s="8"/>
      <c r="C610" s="8"/>
      <c r="D610" s="8"/>
      <c r="E610" s="8"/>
      <c r="F610" s="54"/>
      <c r="G610" s="8"/>
      <c r="H610" s="8"/>
      <c r="I610" s="8"/>
      <c r="J610" s="8"/>
      <c r="K610" s="8"/>
      <c r="L610" s="8"/>
      <c r="M610" s="8"/>
      <c r="N610" s="8"/>
      <c r="O610" s="8"/>
      <c r="P610" s="8"/>
      <c r="Q610" s="8"/>
      <c r="R610" s="8"/>
      <c r="S610" s="8"/>
      <c r="T610" s="8"/>
      <c r="U610" s="53"/>
      <c r="V610" s="53"/>
      <c r="W610" s="53"/>
      <c r="X610" s="53"/>
      <c r="Y610" s="53"/>
      <c r="Z610" s="53"/>
      <c r="AA610" s="53"/>
      <c r="AB610" s="53"/>
      <c r="AC610" s="53"/>
      <c r="AD610" s="53"/>
      <c r="AE610" s="53"/>
      <c r="AF610" s="53"/>
      <c r="AG610" s="8"/>
      <c r="AH610" s="8"/>
      <c r="AI610" s="8"/>
      <c r="AJ610" s="8"/>
      <c r="AK610" s="8"/>
      <c r="AL610" s="8"/>
      <c r="AM610" s="8"/>
      <c r="AN610" s="8"/>
      <c r="AO610" s="8"/>
      <c r="AP610" s="8"/>
      <c r="AQ610" s="8"/>
      <c r="AR610" s="8"/>
      <c r="AS610" s="8"/>
      <c r="AT610" s="8"/>
      <c r="AU610" s="8"/>
      <c r="AV610" s="8"/>
      <c r="AW610" s="8"/>
      <c r="AX610" s="8"/>
      <c r="AY610" s="8"/>
      <c r="AZ610" s="8"/>
      <c r="BA610" s="8"/>
      <c r="BB610" s="8"/>
      <c r="BC610" s="8"/>
      <c r="BD610" s="8"/>
      <c r="BE610" s="8"/>
    </row>
    <row r="611" spans="1:57">
      <c r="A611" s="8"/>
      <c r="B611" s="8"/>
      <c r="C611" s="8"/>
      <c r="D611" s="8"/>
      <c r="E611" s="8"/>
      <c r="F611" s="54"/>
      <c r="G611" s="8"/>
      <c r="H611" s="8"/>
      <c r="I611" s="8"/>
      <c r="J611" s="8"/>
      <c r="K611" s="8"/>
      <c r="L611" s="8"/>
      <c r="M611" s="8"/>
      <c r="N611" s="8"/>
      <c r="O611" s="8"/>
      <c r="P611" s="8"/>
      <c r="Q611" s="8"/>
      <c r="R611" s="8"/>
      <c r="S611" s="8"/>
      <c r="T611" s="8"/>
      <c r="U611" s="53"/>
      <c r="V611" s="53"/>
      <c r="W611" s="53"/>
      <c r="X611" s="53"/>
      <c r="Y611" s="53"/>
      <c r="Z611" s="53"/>
      <c r="AA611" s="53"/>
      <c r="AB611" s="53"/>
      <c r="AC611" s="53"/>
      <c r="AD611" s="53"/>
      <c r="AE611" s="53"/>
      <c r="AF611" s="53"/>
      <c r="AG611" s="8"/>
      <c r="AH611" s="8"/>
      <c r="AI611" s="8"/>
      <c r="AJ611" s="8"/>
      <c r="AK611" s="8"/>
      <c r="AL611" s="8"/>
      <c r="AM611" s="8"/>
      <c r="AN611" s="8"/>
      <c r="AO611" s="8"/>
      <c r="AP611" s="8"/>
      <c r="AQ611" s="8"/>
      <c r="AR611" s="8"/>
      <c r="AS611" s="8"/>
      <c r="AT611" s="8"/>
      <c r="AU611" s="8"/>
      <c r="AV611" s="8"/>
      <c r="AW611" s="8"/>
      <c r="AX611" s="8"/>
      <c r="AY611" s="8"/>
      <c r="AZ611" s="8"/>
      <c r="BA611" s="8"/>
      <c r="BB611" s="8"/>
      <c r="BC611" s="8"/>
      <c r="BD611" s="8"/>
      <c r="BE611" s="8"/>
    </row>
    <row r="612" spans="1:57">
      <c r="A612" s="8"/>
      <c r="B612" s="8"/>
      <c r="C612" s="8"/>
      <c r="D612" s="8"/>
      <c r="E612" s="8"/>
      <c r="F612" s="54"/>
      <c r="G612" s="8"/>
      <c r="H612" s="8"/>
      <c r="I612" s="8"/>
      <c r="J612" s="8"/>
      <c r="K612" s="8"/>
      <c r="L612" s="8"/>
      <c r="M612" s="8"/>
      <c r="N612" s="8"/>
      <c r="O612" s="8"/>
      <c r="P612" s="8"/>
      <c r="Q612" s="8"/>
      <c r="R612" s="8"/>
      <c r="S612" s="8"/>
      <c r="T612" s="8"/>
      <c r="U612" s="53"/>
      <c r="V612" s="53"/>
      <c r="W612" s="53"/>
      <c r="X612" s="53"/>
      <c r="Y612" s="53"/>
      <c r="Z612" s="53"/>
      <c r="AA612" s="53"/>
      <c r="AB612" s="53"/>
      <c r="AC612" s="53"/>
      <c r="AD612" s="53"/>
      <c r="AE612" s="53"/>
      <c r="AF612" s="53"/>
      <c r="AG612" s="8"/>
      <c r="AH612" s="8"/>
      <c r="AI612" s="8"/>
      <c r="AJ612" s="8"/>
      <c r="AK612" s="8"/>
      <c r="AL612" s="8"/>
      <c r="AM612" s="8"/>
      <c r="AN612" s="8"/>
      <c r="AO612" s="8"/>
      <c r="AP612" s="8"/>
      <c r="AQ612" s="8"/>
      <c r="AR612" s="8"/>
      <c r="AS612" s="8"/>
      <c r="AT612" s="8"/>
      <c r="AU612" s="8"/>
      <c r="AV612" s="8"/>
      <c r="AW612" s="8"/>
      <c r="AX612" s="8"/>
      <c r="AY612" s="8"/>
      <c r="AZ612" s="8"/>
      <c r="BA612" s="8"/>
      <c r="BB612" s="8"/>
      <c r="BC612" s="8"/>
      <c r="BD612" s="8"/>
      <c r="BE612" s="8"/>
    </row>
    <row r="613" spans="1:57">
      <c r="A613" s="8"/>
      <c r="B613" s="8"/>
      <c r="C613" s="8"/>
      <c r="D613" s="8"/>
      <c r="E613" s="8"/>
      <c r="F613" s="54"/>
      <c r="G613" s="8"/>
      <c r="H613" s="8"/>
      <c r="I613" s="8"/>
      <c r="J613" s="8"/>
      <c r="K613" s="8"/>
      <c r="L613" s="8"/>
      <c r="M613" s="8"/>
      <c r="N613" s="8"/>
      <c r="O613" s="8"/>
      <c r="P613" s="8"/>
      <c r="Q613" s="8"/>
      <c r="R613" s="8"/>
      <c r="S613" s="8"/>
      <c r="T613" s="8"/>
      <c r="U613" s="53"/>
      <c r="V613" s="53"/>
      <c r="W613" s="53"/>
      <c r="X613" s="53"/>
      <c r="Y613" s="53"/>
      <c r="Z613" s="53"/>
      <c r="AA613" s="53"/>
      <c r="AB613" s="53"/>
      <c r="AC613" s="53"/>
      <c r="AD613" s="53"/>
      <c r="AE613" s="53"/>
      <c r="AF613" s="53"/>
      <c r="AG613" s="8"/>
      <c r="AH613" s="8"/>
      <c r="AI613" s="8"/>
      <c r="AJ613" s="8"/>
      <c r="AK613" s="8"/>
      <c r="AL613" s="8"/>
      <c r="AM613" s="8"/>
      <c r="AN613" s="8"/>
      <c r="AO613" s="8"/>
      <c r="AP613" s="8"/>
      <c r="AQ613" s="8"/>
      <c r="AR613" s="8"/>
      <c r="AS613" s="8"/>
      <c r="AT613" s="8"/>
      <c r="AU613" s="8"/>
      <c r="AV613" s="8"/>
      <c r="AW613" s="8"/>
      <c r="AX613" s="8"/>
      <c r="AY613" s="8"/>
      <c r="AZ613" s="8"/>
      <c r="BA613" s="8"/>
      <c r="BB613" s="8"/>
      <c r="BC613" s="8"/>
      <c r="BD613" s="8"/>
      <c r="BE613" s="8"/>
    </row>
    <row r="614" spans="1:57">
      <c r="A614" s="8"/>
      <c r="B614" s="8"/>
      <c r="C614" s="8"/>
      <c r="D614" s="8"/>
      <c r="E614" s="8"/>
      <c r="F614" s="54"/>
      <c r="G614" s="8"/>
      <c r="H614" s="8"/>
      <c r="I614" s="8"/>
      <c r="J614" s="8"/>
      <c r="K614" s="8"/>
      <c r="L614" s="8"/>
      <c r="M614" s="8"/>
      <c r="N614" s="8"/>
      <c r="O614" s="8"/>
      <c r="P614" s="8"/>
      <c r="Q614" s="8"/>
      <c r="R614" s="8"/>
      <c r="S614" s="8"/>
      <c r="T614" s="8"/>
      <c r="U614" s="53"/>
      <c r="V614" s="53"/>
      <c r="W614" s="53"/>
      <c r="X614" s="53"/>
      <c r="Y614" s="53"/>
      <c r="Z614" s="53"/>
      <c r="AA614" s="53"/>
      <c r="AB614" s="53"/>
      <c r="AC614" s="53"/>
      <c r="AD614" s="53"/>
      <c r="AE614" s="53"/>
      <c r="AF614" s="53"/>
      <c r="AG614" s="8"/>
      <c r="AH614" s="8"/>
      <c r="AI614" s="8"/>
      <c r="AJ614" s="8"/>
      <c r="AK614" s="8"/>
      <c r="AL614" s="8"/>
      <c r="AM614" s="8"/>
      <c r="AN614" s="8"/>
      <c r="AO614" s="8"/>
      <c r="AP614" s="8"/>
      <c r="AQ614" s="8"/>
      <c r="AR614" s="8"/>
      <c r="AS614" s="8"/>
      <c r="AT614" s="8"/>
      <c r="AU614" s="8"/>
      <c r="AV614" s="8"/>
      <c r="AW614" s="8"/>
      <c r="AX614" s="8"/>
      <c r="AY614" s="8"/>
      <c r="AZ614" s="8"/>
      <c r="BA614" s="8"/>
      <c r="BB614" s="8"/>
      <c r="BC614" s="8"/>
      <c r="BD614" s="8"/>
      <c r="BE614" s="8"/>
    </row>
    <row r="615" spans="1:57">
      <c r="A615" s="8"/>
      <c r="B615" s="8"/>
      <c r="C615" s="8"/>
      <c r="D615" s="8"/>
      <c r="E615" s="8"/>
      <c r="F615" s="54"/>
      <c r="G615" s="8"/>
      <c r="H615" s="8"/>
      <c r="I615" s="8"/>
      <c r="J615" s="8"/>
      <c r="K615" s="8"/>
      <c r="L615" s="8"/>
      <c r="M615" s="8"/>
      <c r="N615" s="8"/>
      <c r="O615" s="8"/>
      <c r="P615" s="8"/>
      <c r="Q615" s="8"/>
      <c r="R615" s="8"/>
      <c r="S615" s="8"/>
      <c r="T615" s="8"/>
      <c r="U615" s="53"/>
      <c r="V615" s="53"/>
      <c r="W615" s="53"/>
      <c r="X615" s="53"/>
      <c r="Y615" s="53"/>
      <c r="Z615" s="53"/>
      <c r="AA615" s="53"/>
      <c r="AB615" s="53"/>
      <c r="AC615" s="53"/>
      <c r="AD615" s="53"/>
      <c r="AE615" s="53"/>
      <c r="AF615" s="53"/>
      <c r="AG615" s="8"/>
      <c r="AH615" s="8"/>
      <c r="AI615" s="8"/>
      <c r="AJ615" s="8"/>
      <c r="AK615" s="8"/>
      <c r="AL615" s="8"/>
      <c r="AM615" s="8"/>
      <c r="AN615" s="8"/>
      <c r="AO615" s="8"/>
      <c r="AP615" s="8"/>
      <c r="AQ615" s="8"/>
      <c r="AR615" s="8"/>
      <c r="AS615" s="8"/>
      <c r="AT615" s="8"/>
      <c r="AU615" s="8"/>
      <c r="AV615" s="8"/>
      <c r="AW615" s="8"/>
      <c r="AX615" s="8"/>
      <c r="AY615" s="8"/>
      <c r="AZ615" s="8"/>
      <c r="BA615" s="8"/>
      <c r="BB615" s="8"/>
      <c r="BC615" s="8"/>
      <c r="BD615" s="8"/>
      <c r="BE615" s="8"/>
    </row>
    <row r="616" spans="1:57">
      <c r="A616" s="8"/>
      <c r="B616" s="8"/>
      <c r="C616" s="8"/>
      <c r="D616" s="8"/>
      <c r="E616" s="8"/>
      <c r="F616" s="54"/>
      <c r="G616" s="8"/>
      <c r="H616" s="8"/>
      <c r="I616" s="8"/>
      <c r="J616" s="8"/>
      <c r="K616" s="8"/>
      <c r="L616" s="8"/>
      <c r="M616" s="8"/>
      <c r="N616" s="8"/>
      <c r="O616" s="8"/>
      <c r="P616" s="8"/>
      <c r="Q616" s="8"/>
      <c r="R616" s="8"/>
      <c r="S616" s="8"/>
      <c r="T616" s="8"/>
      <c r="U616" s="53"/>
      <c r="V616" s="53"/>
      <c r="W616" s="53"/>
      <c r="X616" s="53"/>
      <c r="Y616" s="53"/>
      <c r="Z616" s="53"/>
      <c r="AA616" s="53"/>
      <c r="AB616" s="53"/>
      <c r="AC616" s="53"/>
      <c r="AD616" s="53"/>
      <c r="AE616" s="53"/>
      <c r="AF616" s="53"/>
      <c r="AG616" s="8"/>
      <c r="AH616" s="8"/>
      <c r="AI616" s="8"/>
      <c r="AJ616" s="8"/>
      <c r="AK616" s="8"/>
      <c r="AL616" s="8"/>
      <c r="AM616" s="8"/>
      <c r="AN616" s="8"/>
      <c r="AO616" s="8"/>
      <c r="AP616" s="8"/>
      <c r="AQ616" s="8"/>
      <c r="AR616" s="8"/>
      <c r="AS616" s="8"/>
      <c r="AT616" s="8"/>
      <c r="AU616" s="8"/>
      <c r="AV616" s="8"/>
      <c r="AW616" s="8"/>
      <c r="AX616" s="8"/>
      <c r="AY616" s="8"/>
      <c r="AZ616" s="8"/>
      <c r="BA616" s="8"/>
      <c r="BB616" s="8"/>
      <c r="BC616" s="8"/>
      <c r="BD616" s="8"/>
      <c r="BE616" s="8"/>
    </row>
    <row r="617" spans="1:57">
      <c r="A617" s="8"/>
      <c r="B617" s="8"/>
      <c r="C617" s="8"/>
      <c r="D617" s="8"/>
      <c r="E617" s="8"/>
      <c r="F617" s="54"/>
      <c r="G617" s="8"/>
      <c r="H617" s="8"/>
      <c r="I617" s="8"/>
      <c r="J617" s="8"/>
      <c r="K617" s="8"/>
      <c r="L617" s="8"/>
      <c r="M617" s="8"/>
      <c r="N617" s="8"/>
      <c r="O617" s="8"/>
      <c r="P617" s="8"/>
      <c r="Q617" s="8"/>
      <c r="R617" s="8"/>
      <c r="S617" s="8"/>
      <c r="T617" s="8"/>
      <c r="U617" s="53"/>
      <c r="V617" s="53"/>
      <c r="W617" s="53"/>
      <c r="X617" s="53"/>
      <c r="Y617" s="53"/>
      <c r="Z617" s="53"/>
      <c r="AA617" s="53"/>
      <c r="AB617" s="53"/>
      <c r="AC617" s="53"/>
      <c r="AD617" s="53"/>
      <c r="AE617" s="53"/>
      <c r="AF617" s="53"/>
      <c r="AG617" s="8"/>
      <c r="AH617" s="8"/>
      <c r="AI617" s="8"/>
      <c r="AJ617" s="8"/>
      <c r="AK617" s="8"/>
      <c r="AL617" s="8"/>
      <c r="AM617" s="8"/>
      <c r="AN617" s="8"/>
      <c r="AO617" s="8"/>
      <c r="AP617" s="8"/>
      <c r="AQ617" s="8"/>
      <c r="AR617" s="8"/>
      <c r="AS617" s="8"/>
      <c r="AT617" s="8"/>
      <c r="AU617" s="8"/>
      <c r="AV617" s="8"/>
      <c r="AW617" s="8"/>
      <c r="AX617" s="8"/>
      <c r="AY617" s="8"/>
      <c r="AZ617" s="8"/>
      <c r="BA617" s="8"/>
      <c r="BB617" s="8"/>
      <c r="BC617" s="8"/>
      <c r="BD617" s="8"/>
      <c r="BE617" s="8"/>
    </row>
    <row r="618" spans="1:57">
      <c r="A618" s="8"/>
      <c r="B618" s="8"/>
      <c r="C618" s="8"/>
      <c r="D618" s="8"/>
      <c r="E618" s="8"/>
      <c r="F618" s="54"/>
      <c r="G618" s="8"/>
      <c r="H618" s="8"/>
      <c r="I618" s="8"/>
      <c r="J618" s="8"/>
      <c r="K618" s="8"/>
      <c r="L618" s="8"/>
      <c r="M618" s="8"/>
      <c r="N618" s="8"/>
      <c r="O618" s="8"/>
      <c r="P618" s="8"/>
      <c r="Q618" s="8"/>
      <c r="R618" s="8"/>
      <c r="S618" s="8"/>
      <c r="T618" s="8"/>
      <c r="U618" s="53"/>
      <c r="V618" s="53"/>
      <c r="W618" s="53"/>
      <c r="X618" s="53"/>
      <c r="Y618" s="53"/>
      <c r="Z618" s="53"/>
      <c r="AA618" s="53"/>
      <c r="AB618" s="53"/>
      <c r="AC618" s="53"/>
      <c r="AD618" s="53"/>
      <c r="AE618" s="53"/>
      <c r="AF618" s="53"/>
      <c r="AG618" s="8"/>
      <c r="AH618" s="8"/>
      <c r="AI618" s="8"/>
      <c r="AJ618" s="8"/>
      <c r="AK618" s="8"/>
      <c r="AL618" s="8"/>
      <c r="AM618" s="8"/>
      <c r="AN618" s="8"/>
      <c r="AO618" s="8"/>
      <c r="AP618" s="8"/>
      <c r="AQ618" s="8"/>
      <c r="AR618" s="8"/>
      <c r="AS618" s="8"/>
      <c r="AT618" s="8"/>
      <c r="AU618" s="8"/>
      <c r="AV618" s="8"/>
      <c r="AW618" s="8"/>
      <c r="AX618" s="8"/>
      <c r="AY618" s="8"/>
      <c r="AZ618" s="8"/>
      <c r="BA618" s="8"/>
      <c r="BB618" s="8"/>
      <c r="BC618" s="8"/>
      <c r="BD618" s="8"/>
      <c r="BE618" s="8"/>
    </row>
    <row r="619" spans="1:57">
      <c r="A619" s="8"/>
      <c r="B619" s="8"/>
      <c r="C619" s="8"/>
      <c r="D619" s="8"/>
      <c r="E619" s="8"/>
      <c r="F619" s="54"/>
      <c r="G619" s="8"/>
      <c r="H619" s="8"/>
      <c r="I619" s="8"/>
      <c r="J619" s="8"/>
      <c r="K619" s="8"/>
      <c r="L619" s="8"/>
      <c r="M619" s="8"/>
      <c r="N619" s="8"/>
      <c r="O619" s="8"/>
      <c r="P619" s="8"/>
      <c r="Q619" s="8"/>
      <c r="R619" s="8"/>
      <c r="S619" s="8"/>
      <c r="T619" s="8"/>
      <c r="U619" s="53"/>
      <c r="V619" s="53"/>
      <c r="W619" s="53"/>
      <c r="X619" s="53"/>
      <c r="Y619" s="53"/>
      <c r="Z619" s="53"/>
      <c r="AA619" s="53"/>
      <c r="AB619" s="53"/>
      <c r="AC619" s="53"/>
      <c r="AD619" s="53"/>
      <c r="AE619" s="53"/>
      <c r="AF619" s="53"/>
      <c r="AG619" s="8"/>
      <c r="AH619" s="8"/>
      <c r="AI619" s="8"/>
      <c r="AJ619" s="8"/>
      <c r="AK619" s="8"/>
      <c r="AL619" s="8"/>
      <c r="AM619" s="8"/>
      <c r="AN619" s="8"/>
      <c r="AO619" s="8"/>
      <c r="AP619" s="8"/>
      <c r="AQ619" s="8"/>
      <c r="AR619" s="8"/>
      <c r="AS619" s="8"/>
      <c r="AT619" s="8"/>
      <c r="AU619" s="8"/>
      <c r="AV619" s="8"/>
      <c r="AW619" s="8"/>
      <c r="AX619" s="8"/>
      <c r="AY619" s="8"/>
      <c r="AZ619" s="8"/>
      <c r="BA619" s="8"/>
      <c r="BB619" s="8"/>
      <c r="BC619" s="8"/>
      <c r="BD619" s="8"/>
      <c r="BE619" s="8"/>
    </row>
    <row r="620" spans="1:57">
      <c r="A620" s="8"/>
      <c r="B620" s="8"/>
      <c r="C620" s="8"/>
      <c r="D620" s="8"/>
      <c r="E620" s="8"/>
      <c r="F620" s="54"/>
      <c r="G620" s="8"/>
      <c r="H620" s="8"/>
      <c r="I620" s="8"/>
      <c r="J620" s="8"/>
      <c r="K620" s="8"/>
      <c r="L620" s="8"/>
      <c r="M620" s="8"/>
      <c r="N620" s="8"/>
      <c r="O620" s="8"/>
      <c r="P620" s="8"/>
      <c r="Q620" s="8"/>
      <c r="R620" s="8"/>
      <c r="S620" s="8"/>
      <c r="T620" s="8"/>
      <c r="U620" s="53"/>
      <c r="V620" s="53"/>
      <c r="W620" s="53"/>
      <c r="X620" s="53"/>
      <c r="Y620" s="53"/>
      <c r="Z620" s="53"/>
      <c r="AA620" s="53"/>
      <c r="AB620" s="53"/>
      <c r="AC620" s="53"/>
      <c r="AD620" s="53"/>
      <c r="AE620" s="53"/>
      <c r="AF620" s="53"/>
      <c r="AG620" s="8"/>
      <c r="AH620" s="8"/>
      <c r="AI620" s="8"/>
      <c r="AJ620" s="8"/>
      <c r="AK620" s="8"/>
      <c r="AL620" s="8"/>
      <c r="AM620" s="8"/>
      <c r="AN620" s="8"/>
      <c r="AO620" s="8"/>
      <c r="AP620" s="8"/>
      <c r="AQ620" s="8"/>
      <c r="AR620" s="8"/>
      <c r="AS620" s="8"/>
      <c r="AT620" s="8"/>
      <c r="AU620" s="8"/>
      <c r="AV620" s="8"/>
      <c r="AW620" s="8"/>
      <c r="AX620" s="8"/>
      <c r="AY620" s="8"/>
      <c r="AZ620" s="8"/>
      <c r="BA620" s="8"/>
      <c r="BB620" s="8"/>
      <c r="BC620" s="8"/>
      <c r="BD620" s="8"/>
      <c r="BE620" s="8"/>
    </row>
    <row r="621" spans="1:57">
      <c r="A621" s="8"/>
      <c r="B621" s="8"/>
      <c r="C621" s="8"/>
      <c r="D621" s="8"/>
      <c r="E621" s="8"/>
      <c r="F621" s="54"/>
      <c r="G621" s="8"/>
      <c r="H621" s="8"/>
      <c r="I621" s="8"/>
      <c r="J621" s="8"/>
      <c r="K621" s="8"/>
      <c r="L621" s="8"/>
      <c r="M621" s="8"/>
      <c r="N621" s="8"/>
      <c r="O621" s="8"/>
      <c r="P621" s="8"/>
      <c r="Q621" s="8"/>
      <c r="R621" s="8"/>
      <c r="S621" s="8"/>
      <c r="T621" s="8"/>
      <c r="U621" s="53"/>
      <c r="V621" s="53"/>
      <c r="W621" s="53"/>
      <c r="X621" s="53"/>
      <c r="Y621" s="53"/>
      <c r="Z621" s="53"/>
      <c r="AA621" s="53"/>
      <c r="AB621" s="53"/>
      <c r="AC621" s="53"/>
      <c r="AD621" s="53"/>
      <c r="AE621" s="53"/>
      <c r="AF621" s="53"/>
      <c r="AG621" s="8"/>
      <c r="AH621" s="8"/>
      <c r="AI621" s="8"/>
      <c r="AJ621" s="8"/>
      <c r="AK621" s="8"/>
      <c r="AL621" s="8"/>
      <c r="AM621" s="8"/>
      <c r="AN621" s="8"/>
      <c r="AO621" s="8"/>
      <c r="AP621" s="8"/>
      <c r="AQ621" s="8"/>
      <c r="AR621" s="8"/>
      <c r="AS621" s="8"/>
      <c r="AT621" s="8"/>
      <c r="AU621" s="8"/>
      <c r="AV621" s="8"/>
      <c r="AW621" s="8"/>
      <c r="AX621" s="8"/>
      <c r="AY621" s="8"/>
      <c r="AZ621" s="8"/>
      <c r="BA621" s="8"/>
      <c r="BB621" s="8"/>
      <c r="BC621" s="8"/>
      <c r="BD621" s="8"/>
      <c r="BE621" s="8"/>
    </row>
    <row r="622" spans="1:57">
      <c r="A622" s="8"/>
      <c r="B622" s="8"/>
      <c r="C622" s="8"/>
      <c r="D622" s="8"/>
      <c r="E622" s="8"/>
      <c r="F622" s="54"/>
      <c r="G622" s="8"/>
      <c r="H622" s="8"/>
      <c r="I622" s="8"/>
      <c r="J622" s="8"/>
      <c r="K622" s="8"/>
      <c r="L622" s="8"/>
      <c r="M622" s="8"/>
      <c r="N622" s="8"/>
      <c r="O622" s="8"/>
      <c r="P622" s="8"/>
      <c r="Q622" s="8"/>
      <c r="R622" s="8"/>
      <c r="S622" s="8"/>
      <c r="T622" s="8"/>
      <c r="U622" s="53"/>
      <c r="V622" s="53"/>
      <c r="W622" s="53"/>
      <c r="X622" s="53"/>
      <c r="Y622" s="53"/>
      <c r="Z622" s="53"/>
      <c r="AA622" s="53"/>
      <c r="AB622" s="53"/>
      <c r="AC622" s="53"/>
      <c r="AD622" s="53"/>
      <c r="AE622" s="53"/>
      <c r="AF622" s="53"/>
      <c r="AG622" s="8"/>
      <c r="AH622" s="8"/>
      <c r="AI622" s="8"/>
      <c r="AJ622" s="8"/>
      <c r="AK622" s="8"/>
      <c r="AL622" s="8"/>
      <c r="AM622" s="8"/>
      <c r="AN622" s="8"/>
      <c r="AO622" s="8"/>
      <c r="AP622" s="8"/>
      <c r="AQ622" s="8"/>
      <c r="AR622" s="8"/>
      <c r="AS622" s="8"/>
      <c r="AT622" s="8"/>
      <c r="AU622" s="8"/>
      <c r="AV622" s="8"/>
      <c r="AW622" s="8"/>
      <c r="AX622" s="8"/>
      <c r="AY622" s="8"/>
      <c r="AZ622" s="8"/>
      <c r="BA622" s="8"/>
      <c r="BB622" s="8"/>
      <c r="BC622" s="8"/>
      <c r="BD622" s="8"/>
      <c r="BE622" s="8"/>
    </row>
    <row r="623" spans="1:57">
      <c r="A623" s="8"/>
      <c r="B623" s="8"/>
      <c r="C623" s="8"/>
      <c r="D623" s="8"/>
      <c r="E623" s="8"/>
      <c r="F623" s="54"/>
      <c r="G623" s="8"/>
      <c r="H623" s="8"/>
      <c r="I623" s="8"/>
      <c r="J623" s="8"/>
      <c r="K623" s="8"/>
      <c r="L623" s="8"/>
      <c r="M623" s="8"/>
      <c r="N623" s="8"/>
      <c r="O623" s="8"/>
      <c r="P623" s="8"/>
      <c r="Q623" s="8"/>
      <c r="R623" s="8"/>
      <c r="S623" s="8"/>
      <c r="T623" s="8"/>
      <c r="U623" s="53"/>
      <c r="V623" s="53"/>
      <c r="W623" s="53"/>
      <c r="X623" s="53"/>
      <c r="Y623" s="53"/>
      <c r="Z623" s="53"/>
      <c r="AA623" s="53"/>
      <c r="AB623" s="53"/>
      <c r="AC623" s="53"/>
      <c r="AD623" s="53"/>
      <c r="AE623" s="53"/>
      <c r="AF623" s="53"/>
      <c r="AG623" s="8"/>
      <c r="AH623" s="8"/>
      <c r="AI623" s="8"/>
      <c r="AJ623" s="8"/>
      <c r="AK623" s="8"/>
      <c r="AL623" s="8"/>
      <c r="AM623" s="8"/>
      <c r="AN623" s="8"/>
      <c r="AO623" s="8"/>
      <c r="AP623" s="8"/>
      <c r="AQ623" s="8"/>
      <c r="AR623" s="8"/>
      <c r="AS623" s="8"/>
      <c r="AT623" s="8"/>
      <c r="AU623" s="8"/>
      <c r="AV623" s="8"/>
      <c r="AW623" s="8"/>
      <c r="AX623" s="8"/>
      <c r="AY623" s="8"/>
      <c r="AZ623" s="8"/>
      <c r="BA623" s="8"/>
      <c r="BB623" s="8"/>
      <c r="BC623" s="8"/>
      <c r="BD623" s="8"/>
      <c r="BE623" s="8"/>
    </row>
    <row r="624" spans="1:57">
      <c r="A624" s="8"/>
      <c r="B624" s="8"/>
      <c r="C624" s="8"/>
      <c r="D624" s="8"/>
      <c r="E624" s="8"/>
      <c r="F624" s="54"/>
      <c r="G624" s="8"/>
      <c r="H624" s="8"/>
      <c r="I624" s="8"/>
      <c r="J624" s="8"/>
      <c r="K624" s="8"/>
      <c r="L624" s="8"/>
      <c r="M624" s="8"/>
      <c r="N624" s="8"/>
      <c r="O624" s="8"/>
      <c r="P624" s="8"/>
      <c r="Q624" s="8"/>
      <c r="R624" s="8"/>
      <c r="S624" s="8"/>
      <c r="T624" s="8"/>
      <c r="U624" s="53"/>
      <c r="V624" s="53"/>
      <c r="W624" s="53"/>
      <c r="X624" s="53"/>
      <c r="Y624" s="53"/>
      <c r="Z624" s="53"/>
      <c r="AA624" s="53"/>
      <c r="AB624" s="53"/>
      <c r="AC624" s="53"/>
      <c r="AD624" s="53"/>
      <c r="AE624" s="53"/>
      <c r="AF624" s="53"/>
      <c r="AG624" s="8"/>
      <c r="AH624" s="8"/>
      <c r="AI624" s="8"/>
      <c r="AJ624" s="8"/>
      <c r="AK624" s="8"/>
      <c r="AL624" s="8"/>
      <c r="AM624" s="8"/>
      <c r="AN624" s="8"/>
      <c r="AO624" s="8"/>
      <c r="AP624" s="8"/>
      <c r="AQ624" s="8"/>
      <c r="AR624" s="8"/>
      <c r="AS624" s="8"/>
      <c r="AT624" s="8"/>
      <c r="AU624" s="8"/>
      <c r="AV624" s="8"/>
      <c r="AW624" s="8"/>
      <c r="AX624" s="8"/>
      <c r="AY624" s="8"/>
      <c r="AZ624" s="8"/>
      <c r="BA624" s="8"/>
      <c r="BB624" s="8"/>
      <c r="BC624" s="8"/>
      <c r="BD624" s="8"/>
      <c r="BE624" s="8"/>
    </row>
    <row r="625" spans="1:57">
      <c r="A625" s="8"/>
      <c r="B625" s="8"/>
      <c r="C625" s="8"/>
      <c r="D625" s="8"/>
      <c r="E625" s="8"/>
      <c r="F625" s="54"/>
      <c r="G625" s="8"/>
      <c r="H625" s="8"/>
      <c r="I625" s="8"/>
      <c r="J625" s="8"/>
      <c r="K625" s="8"/>
      <c r="L625" s="8"/>
      <c r="M625" s="8"/>
      <c r="N625" s="8"/>
      <c r="O625" s="8"/>
      <c r="P625" s="8"/>
      <c r="Q625" s="8"/>
      <c r="R625" s="8"/>
      <c r="S625" s="8"/>
      <c r="T625" s="8"/>
      <c r="U625" s="53"/>
      <c r="V625" s="53"/>
      <c r="W625" s="53"/>
      <c r="X625" s="53"/>
      <c r="Y625" s="53"/>
      <c r="Z625" s="53"/>
      <c r="AA625" s="53"/>
      <c r="AB625" s="53"/>
      <c r="AC625" s="53"/>
      <c r="AD625" s="53"/>
      <c r="AE625" s="53"/>
      <c r="AF625" s="53"/>
      <c r="AG625" s="8"/>
      <c r="AH625" s="8"/>
      <c r="AI625" s="8"/>
      <c r="AJ625" s="8"/>
      <c r="AK625" s="8"/>
      <c r="AL625" s="8"/>
      <c r="AM625" s="8"/>
      <c r="AN625" s="8"/>
      <c r="AO625" s="8"/>
      <c r="AP625" s="8"/>
      <c r="AQ625" s="8"/>
      <c r="AR625" s="8"/>
      <c r="AS625" s="8"/>
      <c r="AT625" s="8"/>
      <c r="AU625" s="8"/>
      <c r="AV625" s="8"/>
      <c r="AW625" s="8"/>
      <c r="AX625" s="8"/>
      <c r="AY625" s="8"/>
      <c r="AZ625" s="8"/>
      <c r="BA625" s="8"/>
      <c r="BB625" s="8"/>
      <c r="BC625" s="8"/>
      <c r="BD625" s="8"/>
      <c r="BE625" s="8"/>
    </row>
    <row r="626" spans="1:57">
      <c r="A626" s="8"/>
      <c r="B626" s="8"/>
      <c r="C626" s="8"/>
      <c r="D626" s="8"/>
      <c r="E626" s="8"/>
      <c r="F626" s="54"/>
      <c r="G626" s="8"/>
      <c r="H626" s="8"/>
      <c r="I626" s="8"/>
      <c r="J626" s="8"/>
      <c r="K626" s="8"/>
      <c r="L626" s="8"/>
      <c r="M626" s="8"/>
      <c r="N626" s="8"/>
      <c r="O626" s="8"/>
      <c r="P626" s="8"/>
      <c r="Q626" s="8"/>
      <c r="R626" s="8"/>
      <c r="S626" s="8"/>
      <c r="T626" s="8"/>
      <c r="U626" s="53"/>
      <c r="V626" s="53"/>
      <c r="W626" s="53"/>
      <c r="X626" s="53"/>
      <c r="Y626" s="53"/>
      <c r="Z626" s="53"/>
      <c r="AA626" s="53"/>
      <c r="AB626" s="53"/>
      <c r="AC626" s="53"/>
      <c r="AD626" s="53"/>
      <c r="AE626" s="53"/>
      <c r="AF626" s="53"/>
      <c r="AG626" s="8"/>
      <c r="AH626" s="8"/>
      <c r="AI626" s="8"/>
      <c r="AJ626" s="8"/>
      <c r="AK626" s="8"/>
      <c r="AL626" s="8"/>
      <c r="AM626" s="8"/>
      <c r="AN626" s="8"/>
      <c r="AO626" s="8"/>
      <c r="AP626" s="8"/>
      <c r="AQ626" s="8"/>
      <c r="AR626" s="8"/>
      <c r="AS626" s="8"/>
      <c r="AT626" s="8"/>
      <c r="AU626" s="8"/>
      <c r="AV626" s="8"/>
      <c r="AW626" s="8"/>
      <c r="AX626" s="8"/>
      <c r="AY626" s="8"/>
      <c r="AZ626" s="8"/>
      <c r="BA626" s="8"/>
      <c r="BB626" s="8"/>
      <c r="BC626" s="8"/>
      <c r="BD626" s="8"/>
      <c r="BE626" s="8"/>
    </row>
    <row r="627" spans="1:57">
      <c r="A627" s="8"/>
      <c r="B627" s="8"/>
      <c r="C627" s="8"/>
      <c r="D627" s="8"/>
      <c r="E627" s="8"/>
      <c r="F627" s="54"/>
      <c r="G627" s="8"/>
      <c r="H627" s="8"/>
      <c r="I627" s="8"/>
      <c r="J627" s="8"/>
      <c r="K627" s="8"/>
      <c r="L627" s="8"/>
      <c r="M627" s="8"/>
      <c r="N627" s="8"/>
      <c r="O627" s="8"/>
      <c r="P627" s="8"/>
      <c r="Q627" s="8"/>
      <c r="R627" s="8"/>
      <c r="S627" s="8"/>
      <c r="T627" s="8"/>
      <c r="U627" s="53"/>
      <c r="V627" s="53"/>
      <c r="W627" s="53"/>
      <c r="X627" s="53"/>
      <c r="Y627" s="53"/>
      <c r="Z627" s="53"/>
      <c r="AA627" s="53"/>
      <c r="AB627" s="53"/>
      <c r="AC627" s="53"/>
      <c r="AD627" s="53"/>
      <c r="AE627" s="53"/>
      <c r="AF627" s="53"/>
      <c r="AG627" s="8"/>
      <c r="AH627" s="8"/>
      <c r="AI627" s="8"/>
      <c r="AJ627" s="8"/>
      <c r="AK627" s="8"/>
      <c r="AL627" s="8"/>
      <c r="AM627" s="8"/>
      <c r="AN627" s="8"/>
      <c r="AO627" s="8"/>
      <c r="AP627" s="8"/>
      <c r="AQ627" s="8"/>
      <c r="AR627" s="8"/>
      <c r="AS627" s="8"/>
      <c r="AT627" s="8"/>
      <c r="AU627" s="8"/>
      <c r="AV627" s="8"/>
      <c r="AW627" s="8"/>
      <c r="AX627" s="8"/>
      <c r="AY627" s="8"/>
      <c r="AZ627" s="8"/>
      <c r="BA627" s="8"/>
      <c r="BB627" s="8"/>
      <c r="BC627" s="8"/>
      <c r="BD627" s="8"/>
      <c r="BE627" s="8"/>
    </row>
    <row r="628" spans="1:57">
      <c r="A628" s="8"/>
      <c r="B628" s="8"/>
      <c r="C628" s="8"/>
      <c r="D628" s="8"/>
      <c r="E628" s="8"/>
      <c r="F628" s="54"/>
      <c r="G628" s="8"/>
      <c r="H628" s="8"/>
      <c r="I628" s="8"/>
      <c r="J628" s="8"/>
      <c r="K628" s="8"/>
      <c r="L628" s="8"/>
      <c r="M628" s="8"/>
      <c r="N628" s="8"/>
      <c r="O628" s="8"/>
      <c r="P628" s="8"/>
      <c r="Q628" s="8"/>
      <c r="R628" s="8"/>
      <c r="S628" s="8"/>
      <c r="T628" s="8"/>
      <c r="U628" s="53"/>
      <c r="V628" s="53"/>
      <c r="W628" s="53"/>
      <c r="X628" s="53"/>
      <c r="Y628" s="53"/>
      <c r="Z628" s="53"/>
      <c r="AA628" s="53"/>
      <c r="AB628" s="53"/>
      <c r="AC628" s="53"/>
      <c r="AD628" s="53"/>
      <c r="AE628" s="53"/>
      <c r="AF628" s="53"/>
      <c r="AG628" s="8"/>
      <c r="AH628" s="8"/>
      <c r="AI628" s="8"/>
      <c r="AJ628" s="8"/>
      <c r="AK628" s="8"/>
      <c r="AL628" s="8"/>
      <c r="AM628" s="8"/>
      <c r="AN628" s="8"/>
      <c r="AO628" s="8"/>
      <c r="AP628" s="8"/>
      <c r="AQ628" s="8"/>
      <c r="AR628" s="8"/>
      <c r="AS628" s="8"/>
      <c r="AT628" s="8"/>
      <c r="AU628" s="8"/>
      <c r="AV628" s="8"/>
      <c r="AW628" s="8"/>
      <c r="AX628" s="8"/>
      <c r="AY628" s="8"/>
      <c r="AZ628" s="8"/>
      <c r="BA628" s="8"/>
      <c r="BB628" s="8"/>
      <c r="BC628" s="8"/>
      <c r="BD628" s="8"/>
      <c r="BE628" s="8"/>
    </row>
    <row r="629" spans="1:57">
      <c r="A629" s="8"/>
      <c r="B629" s="8"/>
      <c r="C629" s="8"/>
      <c r="D629" s="8"/>
      <c r="E629" s="8"/>
      <c r="F629" s="54"/>
      <c r="G629" s="8"/>
      <c r="H629" s="8"/>
      <c r="I629" s="8"/>
      <c r="J629" s="8"/>
      <c r="K629" s="8"/>
      <c r="L629" s="8"/>
      <c r="M629" s="8"/>
      <c r="N629" s="8"/>
      <c r="O629" s="8"/>
      <c r="P629" s="8"/>
      <c r="Q629" s="8"/>
      <c r="R629" s="8"/>
      <c r="S629" s="8"/>
      <c r="T629" s="8"/>
      <c r="U629" s="53"/>
      <c r="V629" s="53"/>
      <c r="W629" s="53"/>
      <c r="X629" s="53"/>
      <c r="Y629" s="53"/>
      <c r="Z629" s="53"/>
      <c r="AA629" s="53"/>
      <c r="AB629" s="53"/>
      <c r="AC629" s="53"/>
      <c r="AD629" s="53"/>
      <c r="AE629" s="53"/>
      <c r="AF629" s="53"/>
      <c r="AG629" s="8"/>
      <c r="AH629" s="8"/>
      <c r="AI629" s="8"/>
      <c r="AJ629" s="8"/>
      <c r="AK629" s="8"/>
      <c r="AL629" s="8"/>
      <c r="AM629" s="8"/>
      <c r="AN629" s="8"/>
      <c r="AO629" s="8"/>
      <c r="AP629" s="8"/>
      <c r="AQ629" s="8"/>
      <c r="AR629" s="8"/>
      <c r="AS629" s="8"/>
      <c r="AT629" s="8"/>
      <c r="AU629" s="8"/>
      <c r="AV629" s="8"/>
      <c r="AW629" s="8"/>
      <c r="AX629" s="8"/>
      <c r="AY629" s="8"/>
      <c r="AZ629" s="8"/>
      <c r="BA629" s="8"/>
      <c r="BB629" s="8"/>
      <c r="BC629" s="8"/>
      <c r="BD629" s="8"/>
      <c r="BE629" s="8"/>
    </row>
    <row r="630" spans="1:57">
      <c r="A630" s="8"/>
      <c r="B630" s="8"/>
      <c r="C630" s="8"/>
      <c r="D630" s="8"/>
      <c r="E630" s="8"/>
      <c r="F630" s="54"/>
      <c r="G630" s="8"/>
      <c r="H630" s="8"/>
      <c r="I630" s="8"/>
      <c r="J630" s="8"/>
      <c r="K630" s="8"/>
      <c r="L630" s="8"/>
      <c r="M630" s="8"/>
      <c r="N630" s="8"/>
      <c r="O630" s="8"/>
      <c r="P630" s="8"/>
      <c r="Q630" s="8"/>
      <c r="R630" s="8"/>
      <c r="S630" s="8"/>
      <c r="T630" s="8"/>
      <c r="U630" s="53"/>
      <c r="V630" s="53"/>
      <c r="W630" s="53"/>
      <c r="X630" s="53"/>
      <c r="Y630" s="53"/>
      <c r="Z630" s="53"/>
      <c r="AA630" s="53"/>
      <c r="AB630" s="53"/>
      <c r="AC630" s="53"/>
      <c r="AD630" s="53"/>
      <c r="AE630" s="53"/>
      <c r="AF630" s="53"/>
      <c r="AG630" s="8"/>
      <c r="AH630" s="8"/>
      <c r="AI630" s="8"/>
      <c r="AJ630" s="8"/>
      <c r="AK630" s="8"/>
      <c r="AL630" s="8"/>
      <c r="AM630" s="8"/>
      <c r="AN630" s="8"/>
      <c r="AO630" s="8"/>
      <c r="AP630" s="8"/>
      <c r="AQ630" s="8"/>
      <c r="AR630" s="8"/>
      <c r="AS630" s="8"/>
      <c r="AT630" s="8"/>
      <c r="AU630" s="8"/>
      <c r="AV630" s="8"/>
      <c r="AW630" s="8"/>
      <c r="AX630" s="8"/>
      <c r="AY630" s="8"/>
      <c r="AZ630" s="8"/>
      <c r="BA630" s="8"/>
      <c r="BB630" s="8"/>
      <c r="BC630" s="8"/>
      <c r="BD630" s="8"/>
      <c r="BE630" s="8"/>
    </row>
    <row r="631" spans="1:57">
      <c r="A631" s="8"/>
      <c r="B631" s="8"/>
      <c r="C631" s="8"/>
      <c r="D631" s="8"/>
      <c r="E631" s="8"/>
      <c r="F631" s="54"/>
      <c r="G631" s="8"/>
      <c r="H631" s="8"/>
      <c r="I631" s="8"/>
      <c r="J631" s="8"/>
      <c r="K631" s="8"/>
      <c r="L631" s="8"/>
      <c r="M631" s="8"/>
      <c r="N631" s="8"/>
      <c r="O631" s="8"/>
      <c r="P631" s="8"/>
      <c r="Q631" s="8"/>
      <c r="R631" s="8"/>
      <c r="S631" s="8"/>
      <c r="T631" s="8"/>
      <c r="U631" s="53"/>
      <c r="V631" s="53"/>
      <c r="W631" s="53"/>
      <c r="X631" s="53"/>
      <c r="Y631" s="53"/>
      <c r="Z631" s="53"/>
      <c r="AA631" s="53"/>
      <c r="AB631" s="53"/>
      <c r="AC631" s="53"/>
      <c r="AD631" s="53"/>
      <c r="AE631" s="53"/>
      <c r="AF631" s="53"/>
      <c r="AG631" s="8"/>
      <c r="AH631" s="8"/>
      <c r="AI631" s="8"/>
      <c r="AJ631" s="8"/>
      <c r="AK631" s="8"/>
      <c r="AL631" s="8"/>
      <c r="AM631" s="8"/>
      <c r="AN631" s="8"/>
      <c r="AO631" s="8"/>
      <c r="AP631" s="8"/>
      <c r="AQ631" s="8"/>
      <c r="AR631" s="8"/>
      <c r="AS631" s="8"/>
      <c r="AT631" s="8"/>
      <c r="AU631" s="8"/>
      <c r="AV631" s="8"/>
      <c r="AW631" s="8"/>
      <c r="AX631" s="8"/>
      <c r="AY631" s="8"/>
      <c r="AZ631" s="8"/>
      <c r="BA631" s="8"/>
      <c r="BB631" s="8"/>
      <c r="BC631" s="8"/>
      <c r="BD631" s="8"/>
      <c r="BE631" s="8"/>
    </row>
    <row r="632" spans="1:57">
      <c r="A632" s="8"/>
      <c r="B632" s="8"/>
      <c r="C632" s="8"/>
      <c r="D632" s="8"/>
      <c r="E632" s="8"/>
      <c r="F632" s="54"/>
      <c r="G632" s="8"/>
      <c r="H632" s="8"/>
      <c r="I632" s="8"/>
      <c r="J632" s="8"/>
      <c r="K632" s="8"/>
      <c r="L632" s="8"/>
      <c r="M632" s="8"/>
      <c r="N632" s="8"/>
      <c r="O632" s="8"/>
      <c r="P632" s="8"/>
      <c r="Q632" s="8"/>
      <c r="R632" s="8"/>
      <c r="S632" s="8"/>
      <c r="T632" s="8"/>
      <c r="U632" s="53"/>
      <c r="V632" s="53"/>
      <c r="W632" s="53"/>
      <c r="X632" s="53"/>
      <c r="Y632" s="53"/>
      <c r="Z632" s="53"/>
      <c r="AA632" s="53"/>
      <c r="AB632" s="53"/>
      <c r="AC632" s="53"/>
      <c r="AD632" s="53"/>
      <c r="AE632" s="53"/>
      <c r="AF632" s="53"/>
      <c r="AG632" s="8"/>
      <c r="AH632" s="8"/>
      <c r="AI632" s="8"/>
      <c r="AJ632" s="8"/>
      <c r="AK632" s="8"/>
      <c r="AL632" s="8"/>
      <c r="AM632" s="8"/>
      <c r="AN632" s="8"/>
      <c r="AO632" s="8"/>
      <c r="AP632" s="8"/>
      <c r="AQ632" s="8"/>
      <c r="AR632" s="8"/>
      <c r="AS632" s="8"/>
      <c r="AT632" s="8"/>
      <c r="AU632" s="8"/>
      <c r="AV632" s="8"/>
      <c r="AW632" s="8"/>
      <c r="AX632" s="8"/>
      <c r="AY632" s="8"/>
      <c r="AZ632" s="8"/>
      <c r="BA632" s="8"/>
      <c r="BB632" s="8"/>
      <c r="BC632" s="8"/>
      <c r="BD632" s="8"/>
      <c r="BE632" s="8"/>
    </row>
    <row r="633" spans="1:57">
      <c r="A633" s="8"/>
      <c r="B633" s="8"/>
      <c r="C633" s="8"/>
      <c r="D633" s="8"/>
      <c r="E633" s="8"/>
      <c r="F633" s="54"/>
      <c r="G633" s="8"/>
      <c r="H633" s="8"/>
      <c r="I633" s="8"/>
      <c r="J633" s="8"/>
      <c r="K633" s="8"/>
      <c r="L633" s="8"/>
      <c r="M633" s="8"/>
      <c r="N633" s="8"/>
      <c r="O633" s="8"/>
      <c r="P633" s="8"/>
      <c r="Q633" s="8"/>
      <c r="R633" s="8"/>
      <c r="S633" s="8"/>
      <c r="T633" s="8"/>
      <c r="U633" s="53"/>
      <c r="V633" s="53"/>
      <c r="W633" s="53"/>
      <c r="X633" s="53"/>
      <c r="Y633" s="53"/>
      <c r="Z633" s="53"/>
      <c r="AA633" s="53"/>
      <c r="AB633" s="53"/>
      <c r="AC633" s="53"/>
      <c r="AD633" s="53"/>
      <c r="AE633" s="53"/>
      <c r="AF633" s="53"/>
      <c r="AG633" s="8"/>
      <c r="AH633" s="8"/>
      <c r="AI633" s="8"/>
      <c r="AJ633" s="8"/>
      <c r="AK633" s="8"/>
      <c r="AL633" s="8"/>
      <c r="AM633" s="8"/>
      <c r="AN633" s="8"/>
      <c r="AO633" s="8"/>
      <c r="AP633" s="8"/>
      <c r="AQ633" s="8"/>
      <c r="AR633" s="8"/>
      <c r="AS633" s="8"/>
      <c r="AT633" s="8"/>
      <c r="AU633" s="8"/>
      <c r="AV633" s="8"/>
      <c r="AW633" s="8"/>
      <c r="AX633" s="8"/>
      <c r="AY633" s="8"/>
      <c r="AZ633" s="8"/>
      <c r="BA633" s="8"/>
      <c r="BB633" s="8"/>
      <c r="BC633" s="8"/>
      <c r="BD633" s="8"/>
      <c r="BE633" s="8"/>
    </row>
    <row r="634" spans="1:57">
      <c r="A634" s="8"/>
      <c r="B634" s="8"/>
      <c r="C634" s="8"/>
      <c r="D634" s="8"/>
      <c r="E634" s="8"/>
      <c r="F634" s="54"/>
      <c r="G634" s="8"/>
      <c r="H634" s="8"/>
      <c r="I634" s="8"/>
      <c r="J634" s="8"/>
      <c r="K634" s="8"/>
      <c r="L634" s="8"/>
      <c r="M634" s="8"/>
      <c r="N634" s="8"/>
      <c r="O634" s="8"/>
      <c r="P634" s="8"/>
      <c r="Q634" s="8"/>
      <c r="R634" s="8"/>
      <c r="S634" s="8"/>
      <c r="T634" s="8"/>
      <c r="U634" s="53"/>
      <c r="V634" s="53"/>
      <c r="W634" s="53"/>
      <c r="X634" s="53"/>
      <c r="Y634" s="53"/>
      <c r="Z634" s="53"/>
      <c r="AA634" s="53"/>
      <c r="AB634" s="53"/>
      <c r="AC634" s="53"/>
      <c r="AD634" s="53"/>
      <c r="AE634" s="53"/>
      <c r="AF634" s="53"/>
      <c r="AG634" s="8"/>
      <c r="AH634" s="8"/>
      <c r="AI634" s="8"/>
      <c r="AJ634" s="8"/>
      <c r="AK634" s="8"/>
      <c r="AL634" s="8"/>
      <c r="AM634" s="8"/>
      <c r="AN634" s="8"/>
      <c r="AO634" s="8"/>
      <c r="AP634" s="8"/>
      <c r="AQ634" s="8"/>
      <c r="AR634" s="8"/>
      <c r="AS634" s="8"/>
      <c r="AT634" s="8"/>
      <c r="AU634" s="8"/>
      <c r="AV634" s="8"/>
      <c r="AW634" s="8"/>
      <c r="AX634" s="8"/>
      <c r="AY634" s="8"/>
      <c r="AZ634" s="8"/>
      <c r="BA634" s="8"/>
      <c r="BB634" s="8"/>
      <c r="BC634" s="8"/>
      <c r="BD634" s="8"/>
      <c r="BE634" s="8"/>
    </row>
    <row r="635" spans="1:57">
      <c r="A635" s="8"/>
      <c r="B635" s="8"/>
      <c r="C635" s="8"/>
      <c r="D635" s="8"/>
      <c r="E635" s="8"/>
      <c r="F635" s="54"/>
      <c r="G635" s="8"/>
      <c r="H635" s="8"/>
      <c r="I635" s="8"/>
      <c r="J635" s="8"/>
      <c r="K635" s="8"/>
      <c r="L635" s="8"/>
      <c r="M635" s="8"/>
      <c r="N635" s="8"/>
      <c r="O635" s="8"/>
      <c r="P635" s="8"/>
      <c r="Q635" s="8"/>
      <c r="R635" s="8"/>
      <c r="S635" s="8"/>
      <c r="T635" s="8"/>
      <c r="U635" s="53"/>
      <c r="V635" s="53"/>
      <c r="W635" s="53"/>
      <c r="X635" s="53"/>
      <c r="Y635" s="53"/>
      <c r="Z635" s="53"/>
      <c r="AA635" s="53"/>
      <c r="AB635" s="53"/>
      <c r="AC635" s="53"/>
      <c r="AD635" s="53"/>
      <c r="AE635" s="53"/>
      <c r="AF635" s="53"/>
      <c r="AG635" s="8"/>
      <c r="AH635" s="8"/>
      <c r="AI635" s="8"/>
      <c r="AJ635" s="8"/>
      <c r="AK635" s="8"/>
      <c r="AL635" s="8"/>
      <c r="AM635" s="8"/>
      <c r="AN635" s="8"/>
      <c r="AO635" s="8"/>
      <c r="AP635" s="8"/>
      <c r="AQ635" s="8"/>
      <c r="AR635" s="8"/>
      <c r="AS635" s="8"/>
      <c r="AT635" s="8"/>
      <c r="AU635" s="8"/>
      <c r="AV635" s="8"/>
      <c r="AW635" s="8"/>
      <c r="AX635" s="8"/>
      <c r="AY635" s="8"/>
      <c r="AZ635" s="8"/>
      <c r="BA635" s="8"/>
      <c r="BB635" s="8"/>
      <c r="BC635" s="8"/>
      <c r="BD635" s="8"/>
      <c r="BE635" s="8"/>
    </row>
    <row r="636" spans="1:57">
      <c r="A636" s="8"/>
      <c r="B636" s="8"/>
      <c r="C636" s="8"/>
      <c r="D636" s="8"/>
      <c r="E636" s="8"/>
      <c r="F636" s="54"/>
      <c r="G636" s="8"/>
      <c r="H636" s="8"/>
      <c r="I636" s="8"/>
      <c r="J636" s="8"/>
      <c r="K636" s="8"/>
      <c r="L636" s="8"/>
      <c r="M636" s="8"/>
      <c r="N636" s="8"/>
      <c r="O636" s="8"/>
      <c r="P636" s="8"/>
      <c r="Q636" s="8"/>
      <c r="R636" s="8"/>
      <c r="S636" s="8"/>
      <c r="T636" s="8"/>
      <c r="U636" s="53"/>
      <c r="V636" s="53"/>
      <c r="W636" s="53"/>
      <c r="X636" s="53"/>
      <c r="Y636" s="53"/>
      <c r="Z636" s="53"/>
      <c r="AA636" s="53"/>
      <c r="AB636" s="53"/>
      <c r="AC636" s="53"/>
      <c r="AD636" s="53"/>
      <c r="AE636" s="53"/>
      <c r="AF636" s="53"/>
      <c r="AG636" s="8"/>
      <c r="AH636" s="8"/>
      <c r="AI636" s="8"/>
      <c r="AJ636" s="8"/>
      <c r="AK636" s="8"/>
      <c r="AL636" s="8"/>
      <c r="AM636" s="8"/>
      <c r="AN636" s="8"/>
      <c r="AO636" s="8"/>
      <c r="AP636" s="8"/>
      <c r="AQ636" s="8"/>
      <c r="AR636" s="8"/>
      <c r="AS636" s="8"/>
      <c r="AT636" s="8"/>
      <c r="AU636" s="8"/>
      <c r="AV636" s="8"/>
      <c r="AW636" s="8"/>
      <c r="AX636" s="8"/>
      <c r="AY636" s="8"/>
      <c r="AZ636" s="8"/>
      <c r="BA636" s="8"/>
      <c r="BB636" s="8"/>
      <c r="BC636" s="8"/>
      <c r="BD636" s="8"/>
      <c r="BE636" s="8"/>
    </row>
    <row r="637" spans="1:57">
      <c r="A637" s="8"/>
      <c r="B637" s="8"/>
      <c r="C637" s="8"/>
      <c r="D637" s="8"/>
      <c r="E637" s="8"/>
      <c r="F637" s="54"/>
      <c r="G637" s="8"/>
      <c r="H637" s="8"/>
      <c r="I637" s="8"/>
      <c r="J637" s="8"/>
      <c r="K637" s="8"/>
      <c r="L637" s="8"/>
      <c r="M637" s="8"/>
      <c r="N637" s="8"/>
      <c r="O637" s="8"/>
      <c r="P637" s="8"/>
      <c r="Q637" s="8"/>
      <c r="R637" s="8"/>
      <c r="S637" s="8"/>
      <c r="T637" s="8"/>
      <c r="U637" s="53"/>
      <c r="V637" s="53"/>
      <c r="W637" s="53"/>
      <c r="X637" s="53"/>
      <c r="Y637" s="53"/>
      <c r="Z637" s="53"/>
      <c r="AA637" s="53"/>
      <c r="AB637" s="53"/>
      <c r="AC637" s="53"/>
      <c r="AD637" s="53"/>
      <c r="AE637" s="53"/>
      <c r="AF637" s="53"/>
      <c r="AG637" s="8"/>
      <c r="AH637" s="8"/>
      <c r="AI637" s="8"/>
      <c r="AJ637" s="8"/>
      <c r="AK637" s="8"/>
      <c r="AL637" s="8"/>
      <c r="AM637" s="8"/>
      <c r="AN637" s="8"/>
      <c r="AO637" s="8"/>
      <c r="AP637" s="8"/>
      <c r="AQ637" s="8"/>
      <c r="AR637" s="8"/>
      <c r="AS637" s="8"/>
      <c r="AT637" s="8"/>
      <c r="AU637" s="8"/>
      <c r="AV637" s="8"/>
      <c r="AW637" s="8"/>
      <c r="AX637" s="8"/>
      <c r="AY637" s="8"/>
      <c r="AZ637" s="8"/>
      <c r="BA637" s="8"/>
      <c r="BB637" s="8"/>
      <c r="BC637" s="8"/>
      <c r="BD637" s="8"/>
      <c r="BE637" s="8"/>
    </row>
    <row r="638" spans="1:57">
      <c r="A638" s="8"/>
      <c r="B638" s="8"/>
      <c r="C638" s="8"/>
      <c r="D638" s="8"/>
      <c r="E638" s="8"/>
      <c r="F638" s="54"/>
      <c r="G638" s="8"/>
      <c r="H638" s="8"/>
      <c r="I638" s="8"/>
      <c r="J638" s="8"/>
      <c r="K638" s="8"/>
      <c r="L638" s="8"/>
      <c r="M638" s="8"/>
      <c r="N638" s="8"/>
      <c r="O638" s="8"/>
      <c r="P638" s="8"/>
      <c r="Q638" s="8"/>
      <c r="R638" s="8"/>
      <c r="S638" s="8"/>
      <c r="T638" s="8"/>
      <c r="U638" s="53"/>
      <c r="V638" s="53"/>
      <c r="W638" s="53"/>
      <c r="X638" s="53"/>
      <c r="Y638" s="53"/>
      <c r="Z638" s="53"/>
      <c r="AA638" s="53"/>
      <c r="AB638" s="53"/>
      <c r="AC638" s="53"/>
      <c r="AD638" s="53"/>
      <c r="AE638" s="53"/>
      <c r="AF638" s="53"/>
      <c r="AG638" s="8"/>
      <c r="AH638" s="8"/>
      <c r="AI638" s="8"/>
      <c r="AJ638" s="8"/>
      <c r="AK638" s="8"/>
      <c r="AL638" s="8"/>
      <c r="AM638" s="8"/>
      <c r="AN638" s="8"/>
      <c r="AO638" s="8"/>
      <c r="AP638" s="8"/>
      <c r="AQ638" s="8"/>
      <c r="AR638" s="8"/>
      <c r="AS638" s="8"/>
      <c r="AT638" s="8"/>
      <c r="AU638" s="8"/>
      <c r="AV638" s="8"/>
      <c r="AW638" s="8"/>
      <c r="AX638" s="8"/>
      <c r="AY638" s="8"/>
      <c r="AZ638" s="8"/>
      <c r="BA638" s="8"/>
      <c r="BB638" s="8"/>
      <c r="BC638" s="8"/>
      <c r="BD638" s="8"/>
      <c r="BE638" s="8"/>
    </row>
    <row r="639" spans="1:57">
      <c r="A639" s="8"/>
      <c r="B639" s="8"/>
      <c r="C639" s="8"/>
      <c r="D639" s="8"/>
      <c r="E639" s="8"/>
      <c r="F639" s="54"/>
      <c r="G639" s="8"/>
      <c r="H639" s="8"/>
      <c r="I639" s="8"/>
      <c r="J639" s="8"/>
      <c r="K639" s="8"/>
      <c r="L639" s="8"/>
      <c r="M639" s="8"/>
      <c r="N639" s="8"/>
      <c r="O639" s="8"/>
      <c r="P639" s="8"/>
      <c r="Q639" s="8"/>
      <c r="R639" s="8"/>
      <c r="S639" s="8"/>
      <c r="T639" s="8"/>
      <c r="U639" s="53"/>
      <c r="V639" s="53"/>
      <c r="W639" s="53"/>
      <c r="X639" s="53"/>
      <c r="Y639" s="53"/>
      <c r="Z639" s="53"/>
      <c r="AA639" s="53"/>
      <c r="AB639" s="53"/>
      <c r="AC639" s="53"/>
      <c r="AD639" s="53"/>
      <c r="AE639" s="53"/>
      <c r="AF639" s="53"/>
      <c r="AG639" s="8"/>
      <c r="AH639" s="8"/>
      <c r="AI639" s="8"/>
      <c r="AJ639" s="8"/>
      <c r="AK639" s="8"/>
      <c r="AL639" s="8"/>
      <c r="AM639" s="8"/>
      <c r="AN639" s="8"/>
      <c r="AO639" s="8"/>
      <c r="AP639" s="8"/>
      <c r="AQ639" s="8"/>
      <c r="AR639" s="8"/>
      <c r="AS639" s="8"/>
      <c r="AT639" s="8"/>
      <c r="AU639" s="8"/>
      <c r="AV639" s="8"/>
      <c r="AW639" s="8"/>
      <c r="AX639" s="8"/>
      <c r="AY639" s="8"/>
      <c r="AZ639" s="8"/>
      <c r="BA639" s="8"/>
      <c r="BB639" s="8"/>
      <c r="BC639" s="8"/>
      <c r="BD639" s="8"/>
      <c r="BE639" s="8"/>
    </row>
    <row r="640" spans="1:57">
      <c r="A640" s="8"/>
      <c r="B640" s="8"/>
      <c r="C640" s="8"/>
      <c r="D640" s="8"/>
      <c r="E640" s="8"/>
      <c r="F640" s="54"/>
      <c r="G640" s="8"/>
      <c r="H640" s="8"/>
      <c r="I640" s="8"/>
      <c r="J640" s="8"/>
      <c r="K640" s="8"/>
      <c r="L640" s="8"/>
      <c r="M640" s="8"/>
      <c r="N640" s="8"/>
      <c r="O640" s="8"/>
      <c r="P640" s="8"/>
      <c r="Q640" s="8"/>
      <c r="R640" s="8"/>
      <c r="S640" s="8"/>
      <c r="T640" s="8"/>
      <c r="U640" s="53"/>
      <c r="V640" s="53"/>
      <c r="W640" s="53"/>
      <c r="X640" s="53"/>
      <c r="Y640" s="53"/>
      <c r="Z640" s="53"/>
      <c r="AA640" s="53"/>
      <c r="AB640" s="53"/>
      <c r="AC640" s="53"/>
      <c r="AD640" s="53"/>
      <c r="AE640" s="53"/>
      <c r="AF640" s="53"/>
      <c r="AG640" s="8"/>
      <c r="AH640" s="8"/>
      <c r="AI640" s="8"/>
      <c r="AJ640" s="8"/>
      <c r="AK640" s="8"/>
      <c r="AL640" s="8"/>
      <c r="AM640" s="8"/>
      <c r="AN640" s="8"/>
      <c r="AO640" s="8"/>
      <c r="AP640" s="8"/>
      <c r="AQ640" s="8"/>
      <c r="AR640" s="8"/>
      <c r="AS640" s="8"/>
      <c r="AT640" s="8"/>
      <c r="AU640" s="8"/>
      <c r="AV640" s="8"/>
      <c r="AW640" s="8"/>
      <c r="AX640" s="8"/>
      <c r="AY640" s="8"/>
      <c r="AZ640" s="8"/>
      <c r="BA640" s="8"/>
      <c r="BB640" s="8"/>
      <c r="BC640" s="8"/>
      <c r="BD640" s="8"/>
      <c r="BE640" s="8"/>
    </row>
    <row r="641" spans="1:57">
      <c r="A641" s="8"/>
      <c r="B641" s="8"/>
      <c r="C641" s="8"/>
      <c r="D641" s="8"/>
      <c r="E641" s="8"/>
      <c r="F641" s="54"/>
      <c r="G641" s="8"/>
      <c r="H641" s="8"/>
      <c r="I641" s="8"/>
      <c r="J641" s="8"/>
      <c r="K641" s="8"/>
      <c r="L641" s="8"/>
      <c r="M641" s="8"/>
      <c r="N641" s="8"/>
      <c r="O641" s="8"/>
      <c r="P641" s="8"/>
      <c r="Q641" s="8"/>
      <c r="R641" s="8"/>
      <c r="S641" s="8"/>
      <c r="T641" s="8"/>
      <c r="U641" s="53"/>
      <c r="V641" s="53"/>
      <c r="W641" s="53"/>
      <c r="X641" s="53"/>
      <c r="Y641" s="53"/>
      <c r="Z641" s="53"/>
      <c r="AA641" s="53"/>
      <c r="AB641" s="53"/>
      <c r="AC641" s="53"/>
      <c r="AD641" s="53"/>
      <c r="AE641" s="53"/>
      <c r="AF641" s="53"/>
      <c r="AG641" s="8"/>
      <c r="AH641" s="8"/>
      <c r="AI641" s="8"/>
      <c r="AJ641" s="8"/>
      <c r="AK641" s="8"/>
      <c r="AL641" s="8"/>
      <c r="AM641" s="8"/>
      <c r="AN641" s="8"/>
      <c r="AO641" s="8"/>
      <c r="AP641" s="8"/>
      <c r="AQ641" s="8"/>
      <c r="AR641" s="8"/>
      <c r="AS641" s="8"/>
      <c r="AT641" s="8"/>
      <c r="AU641" s="8"/>
      <c r="AV641" s="8"/>
      <c r="AW641" s="8"/>
      <c r="AX641" s="8"/>
      <c r="AY641" s="8"/>
      <c r="AZ641" s="8"/>
      <c r="BA641" s="8"/>
      <c r="BB641" s="8"/>
      <c r="BC641" s="8"/>
      <c r="BD641" s="8"/>
      <c r="BE641" s="8"/>
    </row>
    <row r="642" spans="1:57">
      <c r="A642" s="8"/>
      <c r="B642" s="8"/>
      <c r="C642" s="8"/>
      <c r="D642" s="8"/>
      <c r="E642" s="8"/>
      <c r="F642" s="54"/>
      <c r="G642" s="8"/>
      <c r="H642" s="8"/>
      <c r="I642" s="8"/>
      <c r="J642" s="8"/>
      <c r="K642" s="8"/>
      <c r="L642" s="8"/>
      <c r="M642" s="8"/>
      <c r="N642" s="8"/>
      <c r="O642" s="8"/>
      <c r="P642" s="8"/>
      <c r="Q642" s="8"/>
      <c r="R642" s="8"/>
      <c r="S642" s="8"/>
      <c r="T642" s="8"/>
      <c r="U642" s="53"/>
      <c r="V642" s="53"/>
      <c r="W642" s="53"/>
      <c r="X642" s="53"/>
      <c r="Y642" s="53"/>
      <c r="Z642" s="53"/>
      <c r="AA642" s="53"/>
      <c r="AB642" s="53"/>
      <c r="AC642" s="53"/>
      <c r="AD642" s="53"/>
      <c r="AE642" s="53"/>
      <c r="AF642" s="53"/>
      <c r="AG642" s="8"/>
      <c r="AH642" s="8"/>
      <c r="AI642" s="8"/>
      <c r="AJ642" s="8"/>
      <c r="AK642" s="8"/>
      <c r="AL642" s="8"/>
      <c r="AM642" s="8"/>
      <c r="AN642" s="8"/>
      <c r="AO642" s="8"/>
      <c r="AP642" s="8"/>
      <c r="AQ642" s="8"/>
      <c r="AR642" s="8"/>
      <c r="AS642" s="8"/>
      <c r="AT642" s="8"/>
      <c r="AU642" s="8"/>
      <c r="AV642" s="8"/>
      <c r="AW642" s="8"/>
      <c r="AX642" s="8"/>
      <c r="AY642" s="8"/>
      <c r="AZ642" s="8"/>
      <c r="BA642" s="8"/>
      <c r="BB642" s="8"/>
      <c r="BC642" s="8"/>
      <c r="BD642" s="8"/>
      <c r="BE642" s="8"/>
    </row>
    <row r="643" spans="1:57">
      <c r="A643" s="8"/>
      <c r="B643" s="8"/>
      <c r="C643" s="8"/>
      <c r="D643" s="8"/>
      <c r="E643" s="8"/>
      <c r="F643" s="54"/>
      <c r="G643" s="8"/>
      <c r="H643" s="8"/>
      <c r="I643" s="8"/>
      <c r="J643" s="8"/>
      <c r="K643" s="8"/>
      <c r="L643" s="8"/>
      <c r="M643" s="8"/>
      <c r="N643" s="8"/>
      <c r="O643" s="8"/>
      <c r="P643" s="8"/>
      <c r="Q643" s="8"/>
      <c r="R643" s="8"/>
      <c r="S643" s="8"/>
      <c r="T643" s="8"/>
      <c r="U643" s="53"/>
      <c r="V643" s="53"/>
      <c r="W643" s="53"/>
      <c r="X643" s="53"/>
      <c r="Y643" s="53"/>
      <c r="Z643" s="53"/>
      <c r="AA643" s="53"/>
      <c r="AB643" s="53"/>
      <c r="AC643" s="53"/>
      <c r="AD643" s="53"/>
      <c r="AE643" s="53"/>
      <c r="AF643" s="53"/>
      <c r="AG643" s="8"/>
      <c r="AH643" s="8"/>
      <c r="AI643" s="8"/>
      <c r="AJ643" s="8"/>
      <c r="AK643" s="8"/>
      <c r="AL643" s="8"/>
      <c r="AM643" s="8"/>
      <c r="AN643" s="8"/>
      <c r="AO643" s="8"/>
      <c r="AP643" s="8"/>
      <c r="AQ643" s="8"/>
      <c r="AR643" s="8"/>
      <c r="AS643" s="8"/>
      <c r="AT643" s="8"/>
      <c r="AU643" s="8"/>
      <c r="AV643" s="8"/>
      <c r="AW643" s="8"/>
      <c r="AX643" s="8"/>
      <c r="AY643" s="8"/>
      <c r="AZ643" s="8"/>
      <c r="BA643" s="8"/>
      <c r="BB643" s="8"/>
      <c r="BC643" s="8"/>
      <c r="BD643" s="8"/>
      <c r="BE643" s="8"/>
    </row>
    <row r="644" spans="1:57">
      <c r="A644" s="8"/>
      <c r="B644" s="8"/>
      <c r="C644" s="8"/>
      <c r="D644" s="8"/>
      <c r="E644" s="8"/>
      <c r="F644" s="54"/>
      <c r="G644" s="8"/>
      <c r="H644" s="8"/>
      <c r="I644" s="8"/>
      <c r="J644" s="8"/>
      <c r="K644" s="8"/>
      <c r="L644" s="8"/>
      <c r="M644" s="8"/>
      <c r="N644" s="8"/>
      <c r="O644" s="8"/>
      <c r="P644" s="8"/>
      <c r="Q644" s="8"/>
      <c r="R644" s="8"/>
      <c r="S644" s="8"/>
      <c r="T644" s="8"/>
      <c r="U644" s="53"/>
      <c r="V644" s="53"/>
      <c r="W644" s="53"/>
      <c r="X644" s="53"/>
      <c r="Y644" s="53"/>
      <c r="Z644" s="53"/>
      <c r="AA644" s="53"/>
      <c r="AB644" s="53"/>
      <c r="AC644" s="53"/>
      <c r="AD644" s="53"/>
      <c r="AE644" s="53"/>
      <c r="AF644" s="53"/>
      <c r="AG644" s="8"/>
      <c r="AH644" s="8"/>
      <c r="AI644" s="8"/>
      <c r="AJ644" s="8"/>
      <c r="AK644" s="8"/>
      <c r="AL644" s="8"/>
      <c r="AM644" s="8"/>
      <c r="AN644" s="8"/>
      <c r="AO644" s="8"/>
      <c r="AP644" s="8"/>
      <c r="AQ644" s="8"/>
      <c r="AR644" s="8"/>
      <c r="AS644" s="8"/>
      <c r="AT644" s="8"/>
      <c r="AU644" s="8"/>
      <c r="AV644" s="8"/>
      <c r="AW644" s="8"/>
      <c r="AX644" s="8"/>
      <c r="AY644" s="8"/>
      <c r="AZ644" s="8"/>
      <c r="BA644" s="8"/>
      <c r="BB644" s="8"/>
      <c r="BC644" s="8"/>
      <c r="BD644" s="8"/>
      <c r="BE644" s="8"/>
    </row>
    <row r="645" spans="1:57">
      <c r="A645" s="8"/>
      <c r="B645" s="8"/>
      <c r="C645" s="8"/>
      <c r="D645" s="8"/>
      <c r="E645" s="8"/>
      <c r="F645" s="54"/>
      <c r="G645" s="8"/>
      <c r="H645" s="8"/>
      <c r="I645" s="8"/>
      <c r="J645" s="8"/>
      <c r="K645" s="8"/>
      <c r="L645" s="8"/>
      <c r="M645" s="8"/>
      <c r="N645" s="8"/>
      <c r="O645" s="8"/>
      <c r="P645" s="8"/>
      <c r="Q645" s="8"/>
      <c r="R645" s="8"/>
      <c r="S645" s="8"/>
      <c r="T645" s="8"/>
      <c r="U645" s="53"/>
      <c r="V645" s="53"/>
      <c r="W645" s="53"/>
      <c r="X645" s="53"/>
      <c r="Y645" s="53"/>
      <c r="Z645" s="53"/>
      <c r="AA645" s="53"/>
      <c r="AB645" s="53"/>
      <c r="AC645" s="53"/>
      <c r="AD645" s="53"/>
      <c r="AE645" s="53"/>
      <c r="AF645" s="53"/>
      <c r="AG645" s="8"/>
      <c r="AH645" s="8"/>
      <c r="AI645" s="8"/>
      <c r="AJ645" s="8"/>
      <c r="AK645" s="8"/>
      <c r="AL645" s="8"/>
      <c r="AM645" s="8"/>
      <c r="AN645" s="8"/>
      <c r="AO645" s="8"/>
      <c r="AP645" s="8"/>
      <c r="AQ645" s="8"/>
      <c r="AR645" s="8"/>
      <c r="AS645" s="8"/>
      <c r="AT645" s="8"/>
      <c r="AU645" s="8"/>
      <c r="AV645" s="8"/>
      <c r="AW645" s="8"/>
      <c r="AX645" s="8"/>
      <c r="AY645" s="8"/>
      <c r="AZ645" s="8"/>
      <c r="BA645" s="8"/>
      <c r="BB645" s="8"/>
      <c r="BC645" s="8"/>
      <c r="BD645" s="8"/>
      <c r="BE645" s="8"/>
    </row>
    <row r="646" spans="1:57">
      <c r="A646" s="8"/>
      <c r="B646" s="8"/>
      <c r="C646" s="8"/>
      <c r="D646" s="8"/>
      <c r="E646" s="8"/>
      <c r="F646" s="54"/>
      <c r="G646" s="8"/>
      <c r="H646" s="8"/>
      <c r="I646" s="8"/>
      <c r="J646" s="8"/>
      <c r="K646" s="8"/>
      <c r="L646" s="8"/>
      <c r="M646" s="8"/>
      <c r="N646" s="8"/>
      <c r="O646" s="8"/>
      <c r="P646" s="8"/>
      <c r="Q646" s="8"/>
      <c r="R646" s="8"/>
      <c r="S646" s="8"/>
      <c r="T646" s="8"/>
      <c r="U646" s="53"/>
      <c r="V646" s="53"/>
      <c r="W646" s="53"/>
      <c r="X646" s="53"/>
      <c r="Y646" s="53"/>
      <c r="Z646" s="53"/>
      <c r="AA646" s="53"/>
      <c r="AB646" s="53"/>
      <c r="AC646" s="53"/>
      <c r="AD646" s="53"/>
      <c r="AE646" s="53"/>
      <c r="AF646" s="53"/>
      <c r="AG646" s="8"/>
      <c r="AH646" s="8"/>
      <c r="AI646" s="8"/>
      <c r="AJ646" s="8"/>
      <c r="AK646" s="8"/>
      <c r="AL646" s="8"/>
      <c r="AM646" s="8"/>
      <c r="AN646" s="8"/>
      <c r="AO646" s="8"/>
      <c r="AP646" s="8"/>
      <c r="AQ646" s="8"/>
      <c r="AR646" s="8"/>
      <c r="AS646" s="8"/>
      <c r="AT646" s="8"/>
      <c r="AU646" s="8"/>
      <c r="AV646" s="8"/>
      <c r="AW646" s="8"/>
      <c r="AX646" s="8"/>
      <c r="AY646" s="8"/>
      <c r="AZ646" s="8"/>
      <c r="BA646" s="8"/>
      <c r="BB646" s="8"/>
      <c r="BC646" s="8"/>
      <c r="BD646" s="8"/>
      <c r="BE646" s="8"/>
    </row>
    <row r="647" spans="1:57">
      <c r="A647" s="8"/>
      <c r="B647" s="8"/>
      <c r="C647" s="8"/>
      <c r="D647" s="8"/>
      <c r="E647" s="8"/>
      <c r="F647" s="54"/>
      <c r="G647" s="8"/>
      <c r="H647" s="8"/>
      <c r="I647" s="8"/>
      <c r="J647" s="8"/>
      <c r="K647" s="8"/>
      <c r="L647" s="8"/>
      <c r="M647" s="8"/>
      <c r="N647" s="8"/>
      <c r="O647" s="8"/>
      <c r="P647" s="8"/>
      <c r="Q647" s="8"/>
      <c r="R647" s="8"/>
      <c r="S647" s="8"/>
      <c r="T647" s="8"/>
      <c r="U647" s="53"/>
      <c r="V647" s="53"/>
      <c r="W647" s="53"/>
      <c r="X647" s="53"/>
      <c r="Y647" s="53"/>
      <c r="Z647" s="53"/>
      <c r="AA647" s="53"/>
      <c r="AB647" s="53"/>
      <c r="AC647" s="53"/>
      <c r="AD647" s="53"/>
      <c r="AE647" s="53"/>
      <c r="AF647" s="53"/>
      <c r="AG647" s="8"/>
      <c r="AH647" s="8"/>
      <c r="AI647" s="8"/>
      <c r="AJ647" s="8"/>
      <c r="AK647" s="8"/>
      <c r="AL647" s="8"/>
      <c r="AM647" s="8"/>
      <c r="AN647" s="8"/>
      <c r="AO647" s="8"/>
      <c r="AP647" s="8"/>
      <c r="AQ647" s="8"/>
      <c r="AR647" s="8"/>
      <c r="AS647" s="8"/>
      <c r="AT647" s="8"/>
      <c r="AU647" s="8"/>
      <c r="AV647" s="8"/>
      <c r="AW647" s="8"/>
      <c r="AX647" s="8"/>
      <c r="AY647" s="8"/>
      <c r="AZ647" s="8"/>
      <c r="BA647" s="8"/>
      <c r="BB647" s="8"/>
      <c r="BC647" s="8"/>
      <c r="BD647" s="8"/>
      <c r="BE647" s="8"/>
    </row>
    <row r="648" spans="1:57">
      <c r="A648" s="8"/>
      <c r="B648" s="8"/>
      <c r="C648" s="8"/>
      <c r="D648" s="8"/>
      <c r="E648" s="8"/>
      <c r="F648" s="54"/>
      <c r="G648" s="8"/>
      <c r="H648" s="8"/>
      <c r="I648" s="8"/>
      <c r="J648" s="8"/>
      <c r="K648" s="8"/>
      <c r="L648" s="8"/>
      <c r="M648" s="8"/>
      <c r="N648" s="8"/>
      <c r="O648" s="8"/>
      <c r="P648" s="8"/>
      <c r="Q648" s="8"/>
      <c r="R648" s="8"/>
      <c r="S648" s="8"/>
      <c r="T648" s="8"/>
      <c r="U648" s="53"/>
      <c r="V648" s="53"/>
      <c r="W648" s="53"/>
      <c r="X648" s="53"/>
      <c r="Y648" s="53"/>
      <c r="Z648" s="53"/>
      <c r="AA648" s="53"/>
      <c r="AB648" s="53"/>
      <c r="AC648" s="53"/>
      <c r="AD648" s="53"/>
      <c r="AE648" s="53"/>
      <c r="AF648" s="53"/>
      <c r="AG648" s="8"/>
      <c r="AH648" s="8"/>
      <c r="AI648" s="8"/>
      <c r="AJ648" s="8"/>
      <c r="AK648" s="8"/>
      <c r="AL648" s="8"/>
      <c r="AM648" s="8"/>
      <c r="AN648" s="8"/>
      <c r="AO648" s="8"/>
      <c r="AP648" s="8"/>
      <c r="AQ648" s="8"/>
      <c r="AR648" s="8"/>
      <c r="AS648" s="8"/>
      <c r="AT648" s="8"/>
      <c r="AU648" s="8"/>
      <c r="AV648" s="8"/>
      <c r="AW648" s="8"/>
      <c r="AX648" s="8"/>
      <c r="AY648" s="8"/>
      <c r="AZ648" s="8"/>
      <c r="BA648" s="8"/>
      <c r="BB648" s="8"/>
      <c r="BC648" s="8"/>
      <c r="BD648" s="8"/>
      <c r="BE648" s="8"/>
    </row>
    <row r="649" spans="1:57">
      <c r="A649" s="8"/>
      <c r="B649" s="8"/>
      <c r="C649" s="8"/>
      <c r="D649" s="8"/>
      <c r="E649" s="8"/>
      <c r="F649" s="54"/>
      <c r="G649" s="8"/>
      <c r="H649" s="8"/>
      <c r="I649" s="8"/>
      <c r="J649" s="8"/>
      <c r="K649" s="8"/>
      <c r="L649" s="8"/>
      <c r="M649" s="8"/>
      <c r="N649" s="8"/>
      <c r="O649" s="8"/>
      <c r="P649" s="8"/>
      <c r="Q649" s="8"/>
      <c r="R649" s="8"/>
      <c r="S649" s="8"/>
      <c r="T649" s="8"/>
      <c r="U649" s="53"/>
      <c r="V649" s="53"/>
      <c r="W649" s="53"/>
      <c r="X649" s="53"/>
      <c r="Y649" s="53"/>
      <c r="Z649" s="53"/>
      <c r="AA649" s="53"/>
      <c r="AB649" s="53"/>
      <c r="AC649" s="53"/>
      <c r="AD649" s="53"/>
      <c r="AE649" s="53"/>
      <c r="AF649" s="53"/>
      <c r="AG649" s="8"/>
      <c r="AH649" s="8"/>
      <c r="AI649" s="8"/>
      <c r="AJ649" s="8"/>
      <c r="AK649" s="8"/>
      <c r="AL649" s="8"/>
      <c r="AM649" s="8"/>
      <c r="AN649" s="8"/>
      <c r="AO649" s="8"/>
      <c r="AP649" s="8"/>
      <c r="AQ649" s="8"/>
      <c r="AR649" s="8"/>
      <c r="AS649" s="8"/>
      <c r="AT649" s="8"/>
      <c r="AU649" s="8"/>
      <c r="AV649" s="8"/>
      <c r="AW649" s="8"/>
      <c r="AX649" s="8"/>
      <c r="AY649" s="8"/>
      <c r="AZ649" s="8"/>
      <c r="BA649" s="8"/>
      <c r="BB649" s="8"/>
      <c r="BC649" s="8"/>
      <c r="BD649" s="8"/>
      <c r="BE649" s="8"/>
    </row>
    <row r="650" spans="1:57">
      <c r="A650" s="8"/>
      <c r="B650" s="8"/>
      <c r="C650" s="8"/>
      <c r="D650" s="8"/>
      <c r="E650" s="8"/>
      <c r="F650" s="54"/>
      <c r="G650" s="8"/>
      <c r="H650" s="8"/>
      <c r="I650" s="8"/>
      <c r="J650" s="8"/>
      <c r="K650" s="8"/>
      <c r="L650" s="8"/>
      <c r="M650" s="8"/>
      <c r="N650" s="8"/>
      <c r="O650" s="8"/>
      <c r="P650" s="8"/>
      <c r="Q650" s="8"/>
      <c r="R650" s="8"/>
      <c r="S650" s="8"/>
      <c r="T650" s="8"/>
      <c r="U650" s="53"/>
      <c r="V650" s="53"/>
      <c r="W650" s="53"/>
      <c r="X650" s="53"/>
      <c r="Y650" s="53"/>
      <c r="Z650" s="53"/>
      <c r="AA650" s="53"/>
      <c r="AB650" s="53"/>
      <c r="AC650" s="53"/>
      <c r="AD650" s="53"/>
      <c r="AE650" s="53"/>
      <c r="AF650" s="53"/>
      <c r="AG650" s="8"/>
      <c r="AH650" s="8"/>
      <c r="AI650" s="8"/>
      <c r="AJ650" s="8"/>
      <c r="AK650" s="8"/>
      <c r="AL650" s="8"/>
      <c r="AM650" s="8"/>
      <c r="AN650" s="8"/>
      <c r="AO650" s="8"/>
      <c r="AP650" s="8"/>
      <c r="AQ650" s="8"/>
      <c r="AR650" s="8"/>
      <c r="AS650" s="8"/>
      <c r="AT650" s="8"/>
      <c r="AU650" s="8"/>
      <c r="AV650" s="8"/>
      <c r="AW650" s="8"/>
      <c r="AX650" s="8"/>
      <c r="AY650" s="8"/>
      <c r="AZ650" s="8"/>
      <c r="BA650" s="8"/>
      <c r="BB650" s="8"/>
      <c r="BC650" s="8"/>
      <c r="BD650" s="8"/>
      <c r="BE650" s="8"/>
    </row>
    <row r="651" spans="1:57">
      <c r="A651" s="8"/>
      <c r="B651" s="8"/>
      <c r="C651" s="8"/>
      <c r="D651" s="8"/>
      <c r="E651" s="8"/>
      <c r="F651" s="54"/>
      <c r="G651" s="8"/>
      <c r="H651" s="8"/>
      <c r="I651" s="8"/>
      <c r="J651" s="8"/>
      <c r="K651" s="8"/>
      <c r="L651" s="8"/>
      <c r="M651" s="8"/>
      <c r="N651" s="8"/>
      <c r="O651" s="8"/>
      <c r="P651" s="8"/>
      <c r="Q651" s="8"/>
      <c r="R651" s="8"/>
      <c r="S651" s="8"/>
      <c r="T651" s="8"/>
      <c r="U651" s="53"/>
      <c r="V651" s="53"/>
      <c r="W651" s="53"/>
      <c r="X651" s="53"/>
      <c r="Y651" s="53"/>
      <c r="Z651" s="53"/>
      <c r="AA651" s="53"/>
      <c r="AB651" s="53"/>
      <c r="AC651" s="53"/>
      <c r="AD651" s="53"/>
      <c r="AE651" s="53"/>
      <c r="AF651" s="53"/>
      <c r="AG651" s="8"/>
      <c r="AH651" s="8"/>
      <c r="AI651" s="8"/>
      <c r="AJ651" s="8"/>
      <c r="AK651" s="8"/>
      <c r="AL651" s="8"/>
      <c r="AM651" s="8"/>
      <c r="AN651" s="8"/>
      <c r="AO651" s="8"/>
      <c r="AP651" s="8"/>
      <c r="AQ651" s="8"/>
      <c r="AR651" s="8"/>
      <c r="AS651" s="8"/>
      <c r="AT651" s="8"/>
      <c r="AU651" s="8"/>
      <c r="AV651" s="8"/>
      <c r="AW651" s="8"/>
      <c r="AX651" s="8"/>
      <c r="AY651" s="8"/>
      <c r="AZ651" s="8"/>
      <c r="BA651" s="8"/>
      <c r="BB651" s="8"/>
      <c r="BC651" s="8"/>
      <c r="BD651" s="8"/>
      <c r="BE651" s="8"/>
    </row>
    <row r="652" spans="1:57">
      <c r="A652" s="8"/>
      <c r="B652" s="8"/>
      <c r="C652" s="8"/>
      <c r="D652" s="8"/>
      <c r="E652" s="8"/>
      <c r="F652" s="54"/>
      <c r="G652" s="8"/>
      <c r="H652" s="8"/>
      <c r="I652" s="8"/>
      <c r="J652" s="8"/>
      <c r="K652" s="8"/>
      <c r="L652" s="8"/>
      <c r="M652" s="8"/>
      <c r="N652" s="8"/>
      <c r="O652" s="8"/>
      <c r="P652" s="8"/>
      <c r="Q652" s="8"/>
      <c r="R652" s="8"/>
      <c r="S652" s="8"/>
      <c r="T652" s="8"/>
      <c r="U652" s="53"/>
      <c r="V652" s="53"/>
      <c r="W652" s="53"/>
      <c r="X652" s="53"/>
      <c r="Y652" s="53"/>
      <c r="Z652" s="53"/>
      <c r="AA652" s="53"/>
      <c r="AB652" s="53"/>
      <c r="AC652" s="53"/>
      <c r="AD652" s="53"/>
      <c r="AE652" s="53"/>
      <c r="AF652" s="53"/>
      <c r="AG652" s="8"/>
      <c r="AH652" s="8"/>
      <c r="AI652" s="8"/>
      <c r="AJ652" s="8"/>
      <c r="AK652" s="8"/>
      <c r="AL652" s="8"/>
      <c r="AM652" s="8"/>
      <c r="AN652" s="8"/>
      <c r="AO652" s="8"/>
      <c r="AP652" s="8"/>
      <c r="AQ652" s="8"/>
      <c r="AR652" s="8"/>
      <c r="AS652" s="8"/>
      <c r="AT652" s="8"/>
      <c r="AU652" s="8"/>
      <c r="AV652" s="8"/>
      <c r="AW652" s="8"/>
      <c r="AX652" s="8"/>
      <c r="AY652" s="8"/>
      <c r="AZ652" s="8"/>
      <c r="BA652" s="8"/>
      <c r="BB652" s="8"/>
      <c r="BC652" s="8"/>
      <c r="BD652" s="8"/>
      <c r="BE652" s="8"/>
    </row>
    <row r="653" spans="1:57">
      <c r="A653" s="8"/>
      <c r="B653" s="8"/>
      <c r="C653" s="8"/>
      <c r="D653" s="8"/>
      <c r="E653" s="8"/>
      <c r="F653" s="54"/>
      <c r="G653" s="8"/>
      <c r="H653" s="8"/>
      <c r="I653" s="8"/>
      <c r="J653" s="8"/>
      <c r="K653" s="8"/>
      <c r="L653" s="8"/>
      <c r="M653" s="8"/>
      <c r="N653" s="8"/>
      <c r="O653" s="8"/>
      <c r="P653" s="8"/>
      <c r="Q653" s="8"/>
      <c r="R653" s="8"/>
      <c r="S653" s="8"/>
      <c r="T653" s="8"/>
      <c r="U653" s="53"/>
      <c r="V653" s="53"/>
      <c r="W653" s="53"/>
      <c r="X653" s="53"/>
      <c r="Y653" s="53"/>
      <c r="Z653" s="53"/>
      <c r="AA653" s="53"/>
      <c r="AB653" s="53"/>
      <c r="AC653" s="53"/>
      <c r="AD653" s="53"/>
      <c r="AE653" s="53"/>
      <c r="AF653" s="53"/>
      <c r="AG653" s="8"/>
      <c r="AH653" s="8"/>
      <c r="AI653" s="8"/>
      <c r="AJ653" s="8"/>
      <c r="AK653" s="8"/>
      <c r="AL653" s="8"/>
      <c r="AM653" s="8"/>
      <c r="AN653" s="8"/>
      <c r="AO653" s="8"/>
      <c r="AP653" s="8"/>
      <c r="AQ653" s="8"/>
      <c r="AR653" s="8"/>
      <c r="AS653" s="8"/>
      <c r="AT653" s="8"/>
      <c r="AU653" s="8"/>
      <c r="AV653" s="8"/>
      <c r="AW653" s="8"/>
      <c r="AX653" s="8"/>
      <c r="AY653" s="8"/>
      <c r="AZ653" s="8"/>
      <c r="BA653" s="8"/>
      <c r="BB653" s="8"/>
      <c r="BC653" s="8"/>
      <c r="BD653" s="8"/>
      <c r="BE653" s="8"/>
    </row>
    <row r="654" spans="1:57">
      <c r="A654" s="8"/>
      <c r="B654" s="8"/>
      <c r="C654" s="8"/>
      <c r="D654" s="8"/>
      <c r="E654" s="8"/>
      <c r="F654" s="54"/>
      <c r="G654" s="8"/>
      <c r="H654" s="8"/>
      <c r="I654" s="8"/>
      <c r="J654" s="8"/>
      <c r="K654" s="8"/>
      <c r="L654" s="8"/>
      <c r="M654" s="8"/>
      <c r="N654" s="8"/>
      <c r="O654" s="8"/>
      <c r="P654" s="8"/>
      <c r="Q654" s="8"/>
      <c r="R654" s="8"/>
      <c r="S654" s="8"/>
      <c r="T654" s="8"/>
      <c r="U654" s="53"/>
      <c r="V654" s="53"/>
      <c r="W654" s="53"/>
      <c r="X654" s="53"/>
      <c r="Y654" s="53"/>
      <c r="Z654" s="53"/>
      <c r="AA654" s="53"/>
      <c r="AB654" s="53"/>
      <c r="AC654" s="53"/>
      <c r="AD654" s="53"/>
      <c r="AE654" s="53"/>
      <c r="AF654" s="53"/>
      <c r="AG654" s="8"/>
      <c r="AH654" s="8"/>
      <c r="AI654" s="8"/>
      <c r="AJ654" s="8"/>
      <c r="AK654" s="8"/>
      <c r="AL654" s="8"/>
      <c r="AM654" s="8"/>
      <c r="AN654" s="8"/>
      <c r="AO654" s="8"/>
      <c r="AP654" s="8"/>
      <c r="AQ654" s="8"/>
      <c r="AR654" s="8"/>
      <c r="AS654" s="8"/>
      <c r="AT654" s="8"/>
      <c r="AU654" s="8"/>
      <c r="AV654" s="8"/>
      <c r="AW654" s="8"/>
      <c r="AX654" s="8"/>
      <c r="AY654" s="8"/>
      <c r="AZ654" s="8"/>
      <c r="BA654" s="8"/>
      <c r="BB654" s="8"/>
      <c r="BC654" s="8"/>
      <c r="BD654" s="8"/>
      <c r="BE654" s="8"/>
    </row>
    <row r="655" spans="1:57">
      <c r="A655" s="8"/>
      <c r="B655" s="8"/>
      <c r="C655" s="8"/>
      <c r="D655" s="8"/>
      <c r="E655" s="8"/>
      <c r="F655" s="54"/>
      <c r="G655" s="8"/>
      <c r="H655" s="8"/>
      <c r="I655" s="8"/>
      <c r="J655" s="8"/>
      <c r="K655" s="8"/>
      <c r="L655" s="8"/>
      <c r="M655" s="8"/>
      <c r="N655" s="8"/>
      <c r="O655" s="8"/>
      <c r="P655" s="8"/>
      <c r="Q655" s="8"/>
      <c r="R655" s="8"/>
      <c r="S655" s="8"/>
      <c r="T655" s="8"/>
      <c r="U655" s="53"/>
      <c r="V655" s="53"/>
      <c r="W655" s="53"/>
      <c r="X655" s="53"/>
      <c r="Y655" s="53"/>
      <c r="Z655" s="53"/>
      <c r="AA655" s="53"/>
      <c r="AB655" s="53"/>
      <c r="AC655" s="53"/>
      <c r="AD655" s="53"/>
      <c r="AE655" s="53"/>
      <c r="AF655" s="53"/>
      <c r="AG655" s="8"/>
      <c r="AH655" s="8"/>
      <c r="AI655" s="8"/>
      <c r="AJ655" s="8"/>
      <c r="AK655" s="8"/>
      <c r="AL655" s="8"/>
      <c r="AM655" s="8"/>
      <c r="AN655" s="8"/>
      <c r="AO655" s="8"/>
      <c r="AP655" s="8"/>
      <c r="AQ655" s="8"/>
      <c r="AR655" s="8"/>
      <c r="AS655" s="8"/>
      <c r="AT655" s="8"/>
      <c r="AU655" s="8"/>
      <c r="AV655" s="8"/>
      <c r="AW655" s="8"/>
      <c r="AX655" s="8"/>
      <c r="AY655" s="8"/>
      <c r="AZ655" s="8"/>
      <c r="BA655" s="8"/>
      <c r="BB655" s="8"/>
      <c r="BC655" s="8"/>
      <c r="BD655" s="8"/>
      <c r="BE655" s="8"/>
    </row>
    <row r="656" spans="1:57">
      <c r="A656" s="8"/>
      <c r="B656" s="8"/>
      <c r="C656" s="8"/>
      <c r="D656" s="8"/>
      <c r="E656" s="8"/>
      <c r="F656" s="54"/>
      <c r="G656" s="8"/>
      <c r="H656" s="8"/>
      <c r="I656" s="8"/>
      <c r="J656" s="8"/>
      <c r="K656" s="8"/>
      <c r="L656" s="8"/>
      <c r="M656" s="8"/>
      <c r="N656" s="8"/>
      <c r="O656" s="8"/>
      <c r="P656" s="8"/>
      <c r="Q656" s="8"/>
      <c r="R656" s="8"/>
      <c r="S656" s="8"/>
      <c r="T656" s="8"/>
      <c r="U656" s="53"/>
      <c r="V656" s="53"/>
      <c r="W656" s="53"/>
      <c r="X656" s="53"/>
      <c r="Y656" s="53"/>
      <c r="Z656" s="53"/>
      <c r="AA656" s="53"/>
      <c r="AB656" s="53"/>
      <c r="AC656" s="53"/>
      <c r="AD656" s="53"/>
      <c r="AE656" s="53"/>
      <c r="AF656" s="53"/>
      <c r="AG656" s="8"/>
      <c r="AH656" s="8"/>
      <c r="AI656" s="8"/>
      <c r="AJ656" s="8"/>
      <c r="AK656" s="8"/>
      <c r="AL656" s="8"/>
      <c r="AM656" s="8"/>
      <c r="AN656" s="8"/>
      <c r="AO656" s="8"/>
      <c r="AP656" s="8"/>
      <c r="AQ656" s="8"/>
      <c r="AR656" s="8"/>
      <c r="AS656" s="8"/>
      <c r="AT656" s="8"/>
      <c r="AU656" s="8"/>
      <c r="AV656" s="8"/>
      <c r="AW656" s="8"/>
      <c r="AX656" s="8"/>
      <c r="AY656" s="8"/>
      <c r="AZ656" s="8"/>
      <c r="BA656" s="8"/>
      <c r="BB656" s="8"/>
      <c r="BC656" s="8"/>
      <c r="BD656" s="8"/>
      <c r="BE656" s="8"/>
    </row>
    <row r="657" spans="1:57">
      <c r="A657" s="8"/>
      <c r="B657" s="8"/>
      <c r="C657" s="8"/>
      <c r="D657" s="8"/>
      <c r="E657" s="8"/>
      <c r="F657" s="54"/>
      <c r="G657" s="8"/>
      <c r="H657" s="8"/>
      <c r="I657" s="8"/>
      <c r="J657" s="8"/>
      <c r="K657" s="8"/>
      <c r="L657" s="8"/>
      <c r="M657" s="8"/>
      <c r="N657" s="8"/>
      <c r="O657" s="8"/>
      <c r="P657" s="8"/>
      <c r="Q657" s="8"/>
      <c r="R657" s="8"/>
      <c r="S657" s="8"/>
      <c r="T657" s="8"/>
      <c r="U657" s="53"/>
      <c r="V657" s="53"/>
      <c r="W657" s="53"/>
      <c r="X657" s="53"/>
      <c r="Y657" s="53"/>
      <c r="Z657" s="53"/>
      <c r="AA657" s="53"/>
      <c r="AB657" s="53"/>
      <c r="AC657" s="53"/>
      <c r="AD657" s="53"/>
      <c r="AE657" s="53"/>
      <c r="AF657" s="53"/>
      <c r="AG657" s="8"/>
      <c r="AH657" s="8"/>
      <c r="AI657" s="8"/>
      <c r="AJ657" s="8"/>
      <c r="AK657" s="8"/>
      <c r="AL657" s="8"/>
      <c r="AM657" s="8"/>
      <c r="AN657" s="8"/>
      <c r="AO657" s="8"/>
      <c r="AP657" s="8"/>
      <c r="AQ657" s="8"/>
      <c r="AR657" s="8"/>
      <c r="AS657" s="8"/>
      <c r="AT657" s="8"/>
      <c r="AU657" s="8"/>
      <c r="AV657" s="8"/>
      <c r="AW657" s="8"/>
      <c r="AX657" s="8"/>
      <c r="AY657" s="8"/>
      <c r="AZ657" s="8"/>
      <c r="BA657" s="8"/>
      <c r="BB657" s="8"/>
      <c r="BC657" s="8"/>
      <c r="BD657" s="8"/>
      <c r="BE657" s="8"/>
    </row>
    <row r="658" spans="1:57">
      <c r="A658" s="8"/>
      <c r="B658" s="8"/>
      <c r="C658" s="8"/>
      <c r="D658" s="8"/>
      <c r="E658" s="8"/>
      <c r="F658" s="54"/>
      <c r="G658" s="8"/>
      <c r="H658" s="8"/>
      <c r="I658" s="8"/>
      <c r="J658" s="8"/>
      <c r="K658" s="8"/>
      <c r="L658" s="8"/>
      <c r="M658" s="8"/>
      <c r="N658" s="8"/>
      <c r="O658" s="8"/>
      <c r="P658" s="8"/>
      <c r="Q658" s="8"/>
      <c r="R658" s="8"/>
      <c r="S658" s="8"/>
      <c r="T658" s="8"/>
      <c r="U658" s="53"/>
      <c r="V658" s="53"/>
      <c r="W658" s="53"/>
      <c r="X658" s="53"/>
      <c r="Y658" s="53"/>
      <c r="Z658" s="53"/>
      <c r="AA658" s="53"/>
      <c r="AB658" s="53"/>
      <c r="AC658" s="53"/>
      <c r="AD658" s="53"/>
      <c r="AE658" s="53"/>
      <c r="AF658" s="53"/>
      <c r="AG658" s="8"/>
      <c r="AH658" s="8"/>
      <c r="AI658" s="8"/>
      <c r="AJ658" s="8"/>
      <c r="AK658" s="8"/>
      <c r="AL658" s="8"/>
      <c r="AM658" s="8"/>
      <c r="AN658" s="8"/>
      <c r="AO658" s="8"/>
      <c r="AP658" s="8"/>
      <c r="AQ658" s="8"/>
      <c r="AR658" s="8"/>
      <c r="AS658" s="8"/>
      <c r="AT658" s="8"/>
      <c r="AU658" s="8"/>
      <c r="AV658" s="8"/>
      <c r="AW658" s="8"/>
      <c r="AX658" s="8"/>
      <c r="AY658" s="8"/>
      <c r="AZ658" s="8"/>
      <c r="BA658" s="8"/>
      <c r="BB658" s="8"/>
      <c r="BC658" s="8"/>
      <c r="BD658" s="8"/>
      <c r="BE658" s="8"/>
    </row>
    <row r="659" spans="1:57">
      <c r="A659" s="8"/>
      <c r="B659" s="8"/>
      <c r="C659" s="8"/>
      <c r="D659" s="8"/>
      <c r="E659" s="8"/>
      <c r="F659" s="54"/>
      <c r="G659" s="8"/>
      <c r="H659" s="8"/>
      <c r="I659" s="8"/>
      <c r="J659" s="8"/>
      <c r="K659" s="8"/>
      <c r="L659" s="8"/>
      <c r="M659" s="8"/>
      <c r="N659" s="8"/>
      <c r="O659" s="8"/>
      <c r="P659" s="8"/>
      <c r="Q659" s="8"/>
      <c r="R659" s="8"/>
      <c r="S659" s="8"/>
      <c r="T659" s="8"/>
      <c r="U659" s="53"/>
      <c r="V659" s="53"/>
      <c r="W659" s="53"/>
      <c r="X659" s="53"/>
      <c r="Y659" s="53"/>
      <c r="Z659" s="53"/>
      <c r="AA659" s="53"/>
      <c r="AB659" s="53"/>
      <c r="AC659" s="53"/>
      <c r="AD659" s="53"/>
      <c r="AE659" s="53"/>
      <c r="AF659" s="53"/>
      <c r="AG659" s="8"/>
      <c r="AH659" s="8"/>
      <c r="AI659" s="8"/>
      <c r="AJ659" s="8"/>
      <c r="AK659" s="8"/>
      <c r="AL659" s="8"/>
      <c r="AM659" s="8"/>
      <c r="AN659" s="8"/>
      <c r="AO659" s="8"/>
      <c r="AP659" s="8"/>
      <c r="AQ659" s="8"/>
      <c r="AR659" s="8"/>
      <c r="AS659" s="8"/>
      <c r="AT659" s="8"/>
      <c r="AU659" s="8"/>
      <c r="AV659" s="8"/>
      <c r="AW659" s="8"/>
      <c r="AX659" s="8"/>
      <c r="AY659" s="8"/>
      <c r="AZ659" s="8"/>
      <c r="BA659" s="8"/>
      <c r="BB659" s="8"/>
      <c r="BC659" s="8"/>
      <c r="BD659" s="8"/>
      <c r="BE659" s="8"/>
    </row>
    <row r="660" spans="1:57">
      <c r="A660" s="8"/>
      <c r="B660" s="8"/>
      <c r="C660" s="8"/>
      <c r="D660" s="8"/>
      <c r="E660" s="8"/>
      <c r="F660" s="54"/>
      <c r="G660" s="8"/>
      <c r="H660" s="8"/>
      <c r="I660" s="8"/>
      <c r="J660" s="8"/>
      <c r="K660" s="8"/>
      <c r="L660" s="8"/>
      <c r="M660" s="8"/>
      <c r="N660" s="8"/>
      <c r="O660" s="8"/>
      <c r="P660" s="8"/>
      <c r="Q660" s="8"/>
      <c r="R660" s="8"/>
      <c r="S660" s="8"/>
      <c r="T660" s="8"/>
      <c r="U660" s="53"/>
      <c r="V660" s="53"/>
      <c r="W660" s="53"/>
      <c r="X660" s="53"/>
      <c r="Y660" s="53"/>
      <c r="Z660" s="53"/>
      <c r="AA660" s="53"/>
      <c r="AB660" s="53"/>
      <c r="AC660" s="53"/>
      <c r="AD660" s="53"/>
      <c r="AE660" s="53"/>
      <c r="AF660" s="53"/>
      <c r="AG660" s="8"/>
      <c r="AH660" s="8"/>
      <c r="AI660" s="8"/>
      <c r="AJ660" s="8"/>
      <c r="AK660" s="8"/>
      <c r="AL660" s="8"/>
      <c r="AM660" s="8"/>
      <c r="AN660" s="8"/>
      <c r="AO660" s="8"/>
      <c r="AP660" s="8"/>
      <c r="AQ660" s="8"/>
      <c r="AR660" s="8"/>
      <c r="AS660" s="8"/>
      <c r="AT660" s="8"/>
      <c r="AU660" s="8"/>
      <c r="AV660" s="8"/>
      <c r="AW660" s="8"/>
      <c r="AX660" s="8"/>
      <c r="AY660" s="8"/>
      <c r="AZ660" s="8"/>
      <c r="BA660" s="8"/>
      <c r="BB660" s="8"/>
      <c r="BC660" s="8"/>
      <c r="BD660" s="8"/>
      <c r="BE660" s="8"/>
    </row>
    <row r="661" spans="1:57">
      <c r="A661" s="8"/>
      <c r="B661" s="8"/>
      <c r="C661" s="8"/>
      <c r="D661" s="8"/>
      <c r="E661" s="8"/>
      <c r="F661" s="54"/>
      <c r="G661" s="8"/>
      <c r="H661" s="8"/>
      <c r="I661" s="8"/>
      <c r="J661" s="8"/>
      <c r="K661" s="8"/>
      <c r="L661" s="8"/>
      <c r="M661" s="8"/>
      <c r="N661" s="8"/>
      <c r="O661" s="8"/>
      <c r="P661" s="8"/>
      <c r="Q661" s="8"/>
      <c r="R661" s="8"/>
      <c r="S661" s="8"/>
      <c r="T661" s="8"/>
      <c r="U661" s="53"/>
      <c r="V661" s="53"/>
      <c r="W661" s="53"/>
      <c r="X661" s="53"/>
      <c r="Y661" s="53"/>
      <c r="Z661" s="53"/>
      <c r="AA661" s="53"/>
      <c r="AB661" s="53"/>
      <c r="AC661" s="53"/>
      <c r="AD661" s="53"/>
      <c r="AE661" s="53"/>
      <c r="AF661" s="53"/>
      <c r="AG661" s="8"/>
      <c r="AH661" s="8"/>
      <c r="AI661" s="8"/>
      <c r="AJ661" s="8"/>
      <c r="AK661" s="8"/>
      <c r="AL661" s="8"/>
      <c r="AM661" s="8"/>
      <c r="AN661" s="8"/>
      <c r="AO661" s="8"/>
      <c r="AP661" s="8"/>
      <c r="AQ661" s="8"/>
      <c r="AR661" s="8"/>
      <c r="AS661" s="8"/>
      <c r="AT661" s="8"/>
      <c r="AU661" s="8"/>
      <c r="AV661" s="8"/>
      <c r="AW661" s="8"/>
      <c r="AX661" s="8"/>
      <c r="AY661" s="8"/>
      <c r="AZ661" s="8"/>
      <c r="BA661" s="8"/>
      <c r="BB661" s="8"/>
      <c r="BC661" s="8"/>
      <c r="BD661" s="8"/>
      <c r="BE661" s="8"/>
    </row>
    <row r="662" spans="1:57">
      <c r="A662" s="8"/>
      <c r="B662" s="8"/>
      <c r="C662" s="8"/>
      <c r="D662" s="8"/>
      <c r="E662" s="8"/>
      <c r="F662" s="54"/>
      <c r="G662" s="8"/>
      <c r="H662" s="8"/>
      <c r="I662" s="8"/>
      <c r="J662" s="8"/>
      <c r="K662" s="8"/>
      <c r="L662" s="8"/>
      <c r="M662" s="8"/>
      <c r="N662" s="8"/>
      <c r="O662" s="8"/>
      <c r="P662" s="8"/>
      <c r="Q662" s="8"/>
      <c r="R662" s="8"/>
      <c r="S662" s="8"/>
      <c r="T662" s="8"/>
      <c r="U662" s="53"/>
      <c r="V662" s="53"/>
      <c r="W662" s="53"/>
      <c r="X662" s="53"/>
      <c r="Y662" s="53"/>
      <c r="Z662" s="53"/>
      <c r="AA662" s="53"/>
      <c r="AB662" s="53"/>
      <c r="AC662" s="53"/>
      <c r="AD662" s="53"/>
      <c r="AE662" s="53"/>
      <c r="AF662" s="53"/>
      <c r="AG662" s="8"/>
      <c r="AH662" s="8"/>
      <c r="AI662" s="8"/>
      <c r="AJ662" s="8"/>
      <c r="AK662" s="8"/>
      <c r="AL662" s="8"/>
      <c r="AM662" s="8"/>
      <c r="AN662" s="8"/>
      <c r="AO662" s="8"/>
      <c r="AP662" s="8"/>
      <c r="AQ662" s="8"/>
      <c r="AR662" s="8"/>
      <c r="AS662" s="8"/>
      <c r="AT662" s="8"/>
      <c r="AU662" s="8"/>
      <c r="AV662" s="8"/>
      <c r="AW662" s="8"/>
      <c r="AX662" s="8"/>
      <c r="AY662" s="8"/>
      <c r="AZ662" s="8"/>
      <c r="BA662" s="8"/>
      <c r="BB662" s="8"/>
      <c r="BC662" s="8"/>
      <c r="BD662" s="8"/>
      <c r="BE662" s="8"/>
    </row>
    <row r="663" spans="1:57">
      <c r="A663" s="8"/>
      <c r="B663" s="8"/>
      <c r="C663" s="8"/>
      <c r="D663" s="8"/>
      <c r="E663" s="8"/>
      <c r="F663" s="54"/>
      <c r="G663" s="8"/>
      <c r="H663" s="8"/>
      <c r="I663" s="8"/>
      <c r="J663" s="8"/>
      <c r="K663" s="8"/>
      <c r="L663" s="8"/>
      <c r="M663" s="8"/>
      <c r="N663" s="8"/>
      <c r="O663" s="8"/>
      <c r="P663" s="8"/>
      <c r="Q663" s="8"/>
      <c r="R663" s="8"/>
      <c r="S663" s="8"/>
      <c r="T663" s="8"/>
      <c r="U663" s="53"/>
      <c r="V663" s="53"/>
      <c r="W663" s="53"/>
      <c r="X663" s="53"/>
      <c r="Y663" s="53"/>
      <c r="Z663" s="53"/>
      <c r="AA663" s="53"/>
      <c r="AB663" s="53"/>
      <c r="AC663" s="53"/>
      <c r="AD663" s="53"/>
      <c r="AE663" s="53"/>
      <c r="AF663" s="53"/>
      <c r="AG663" s="8"/>
      <c r="AH663" s="8"/>
      <c r="AI663" s="8"/>
      <c r="AJ663" s="8"/>
      <c r="AK663" s="8"/>
      <c r="AL663" s="8"/>
      <c r="AM663" s="8"/>
      <c r="AN663" s="8"/>
      <c r="AO663" s="8"/>
      <c r="AP663" s="8"/>
      <c r="AQ663" s="8"/>
      <c r="AR663" s="8"/>
      <c r="AS663" s="8"/>
      <c r="AT663" s="8"/>
      <c r="AU663" s="8"/>
      <c r="AV663" s="8"/>
      <c r="AW663" s="8"/>
      <c r="AX663" s="8"/>
      <c r="AY663" s="8"/>
      <c r="AZ663" s="8"/>
      <c r="BA663" s="8"/>
      <c r="BB663" s="8"/>
      <c r="BC663" s="8"/>
      <c r="BD663" s="8"/>
      <c r="BE663" s="8"/>
    </row>
    <row r="664" spans="1:57">
      <c r="A664" s="8"/>
      <c r="B664" s="8"/>
      <c r="C664" s="8"/>
      <c r="D664" s="8"/>
      <c r="E664" s="8"/>
      <c r="F664" s="54"/>
      <c r="G664" s="8"/>
      <c r="H664" s="8"/>
      <c r="I664" s="8"/>
      <c r="J664" s="8"/>
      <c r="K664" s="8"/>
      <c r="L664" s="8"/>
      <c r="M664" s="8"/>
      <c r="N664" s="8"/>
      <c r="O664" s="8"/>
      <c r="P664" s="8"/>
      <c r="Q664" s="8"/>
      <c r="R664" s="8"/>
      <c r="S664" s="8"/>
      <c r="T664" s="8"/>
      <c r="U664" s="53"/>
      <c r="V664" s="53"/>
      <c r="W664" s="53"/>
      <c r="X664" s="53"/>
      <c r="Y664" s="53"/>
      <c r="Z664" s="53"/>
      <c r="AA664" s="53"/>
      <c r="AB664" s="53"/>
      <c r="AC664" s="53"/>
      <c r="AD664" s="53"/>
      <c r="AE664" s="53"/>
      <c r="AF664" s="53"/>
      <c r="AG664" s="8"/>
      <c r="AH664" s="8"/>
      <c r="AI664" s="8"/>
      <c r="AJ664" s="8"/>
      <c r="AK664" s="8"/>
      <c r="AL664" s="8"/>
      <c r="AM664" s="8"/>
      <c r="AN664" s="8"/>
      <c r="AO664" s="8"/>
      <c r="AP664" s="8"/>
      <c r="AQ664" s="8"/>
      <c r="AR664" s="8"/>
      <c r="AS664" s="8"/>
      <c r="AT664" s="8"/>
      <c r="AU664" s="8"/>
      <c r="AV664" s="8"/>
      <c r="AW664" s="8"/>
      <c r="AX664" s="8"/>
      <c r="AY664" s="8"/>
      <c r="AZ664" s="8"/>
      <c r="BA664" s="8"/>
      <c r="BB664" s="8"/>
      <c r="BC664" s="8"/>
      <c r="BD664" s="8"/>
      <c r="BE664" s="8"/>
    </row>
    <row r="665" spans="1:57">
      <c r="A665" s="8"/>
      <c r="B665" s="8"/>
      <c r="C665" s="8"/>
      <c r="D665" s="8"/>
      <c r="E665" s="8"/>
      <c r="F665" s="54"/>
      <c r="G665" s="8"/>
      <c r="H665" s="8"/>
      <c r="I665" s="8"/>
      <c r="J665" s="8"/>
      <c r="K665" s="8"/>
      <c r="L665" s="8"/>
      <c r="M665" s="8"/>
      <c r="N665" s="8"/>
      <c r="O665" s="8"/>
      <c r="P665" s="8"/>
      <c r="Q665" s="8"/>
      <c r="R665" s="8"/>
      <c r="S665" s="8"/>
      <c r="T665" s="8"/>
      <c r="U665" s="53"/>
      <c r="V665" s="53"/>
      <c r="W665" s="53"/>
      <c r="X665" s="53"/>
      <c r="Y665" s="53"/>
      <c r="Z665" s="53"/>
      <c r="AA665" s="53"/>
      <c r="AB665" s="53"/>
      <c r="AC665" s="53"/>
      <c r="AD665" s="53"/>
      <c r="AE665" s="53"/>
      <c r="AF665" s="53"/>
      <c r="AG665" s="8"/>
      <c r="AH665" s="8"/>
      <c r="AI665" s="8"/>
      <c r="AJ665" s="8"/>
      <c r="AK665" s="8"/>
      <c r="AL665" s="8"/>
      <c r="AM665" s="8"/>
      <c r="AN665" s="8"/>
      <c r="AO665" s="8"/>
      <c r="AP665" s="8"/>
      <c r="AQ665" s="8"/>
      <c r="AR665" s="8"/>
      <c r="AS665" s="8"/>
      <c r="AT665" s="8"/>
      <c r="AU665" s="8"/>
      <c r="AV665" s="8"/>
      <c r="AW665" s="8"/>
      <c r="AX665" s="8"/>
      <c r="AY665" s="8"/>
      <c r="AZ665" s="8"/>
      <c r="BA665" s="8"/>
      <c r="BB665" s="8"/>
      <c r="BC665" s="8"/>
      <c r="BD665" s="8"/>
      <c r="BE665" s="8"/>
    </row>
    <row r="666" spans="1:57">
      <c r="A666" s="8"/>
      <c r="B666" s="8"/>
      <c r="C666" s="8"/>
      <c r="D666" s="8"/>
      <c r="E666" s="8"/>
      <c r="F666" s="54"/>
      <c r="G666" s="8"/>
      <c r="H666" s="8"/>
      <c r="I666" s="8"/>
      <c r="J666" s="8"/>
      <c r="K666" s="8"/>
      <c r="L666" s="8"/>
      <c r="M666" s="8"/>
      <c r="N666" s="8"/>
      <c r="O666" s="8"/>
      <c r="P666" s="8"/>
      <c r="Q666" s="8"/>
      <c r="R666" s="8"/>
      <c r="S666" s="8"/>
      <c r="T666" s="8"/>
      <c r="U666" s="53"/>
      <c r="V666" s="53"/>
      <c r="W666" s="53"/>
      <c r="X666" s="53"/>
      <c r="Y666" s="53"/>
      <c r="Z666" s="53"/>
      <c r="AA666" s="53"/>
      <c r="AB666" s="53"/>
      <c r="AC666" s="53"/>
      <c r="AD666" s="53"/>
      <c r="AE666" s="53"/>
      <c r="AF666" s="53"/>
      <c r="AG666" s="8"/>
      <c r="AH666" s="8"/>
      <c r="AI666" s="8"/>
      <c r="AJ666" s="8"/>
      <c r="AK666" s="8"/>
      <c r="AL666" s="8"/>
      <c r="AM666" s="8"/>
      <c r="AN666" s="8"/>
      <c r="AO666" s="8"/>
      <c r="AP666" s="8"/>
      <c r="AQ666" s="8"/>
      <c r="AR666" s="8"/>
      <c r="AS666" s="8"/>
      <c r="AT666" s="8"/>
      <c r="AU666" s="8"/>
      <c r="AV666" s="8"/>
      <c r="AW666" s="8"/>
      <c r="AX666" s="8"/>
      <c r="AY666" s="8"/>
      <c r="AZ666" s="8"/>
      <c r="BA666" s="8"/>
      <c r="BB666" s="8"/>
      <c r="BC666" s="8"/>
      <c r="BD666" s="8"/>
      <c r="BE666" s="8"/>
    </row>
    <row r="667" spans="1:57">
      <c r="A667" s="8"/>
      <c r="B667" s="8"/>
      <c r="C667" s="8"/>
      <c r="D667" s="8"/>
      <c r="E667" s="8"/>
      <c r="F667" s="54"/>
      <c r="G667" s="8"/>
      <c r="H667" s="8"/>
      <c r="I667" s="8"/>
      <c r="J667" s="8"/>
      <c r="K667" s="8"/>
      <c r="L667" s="8"/>
      <c r="M667" s="8"/>
      <c r="N667" s="8"/>
      <c r="O667" s="8"/>
      <c r="P667" s="8"/>
      <c r="Q667" s="8"/>
      <c r="R667" s="8"/>
      <c r="S667" s="8"/>
      <c r="T667" s="8"/>
      <c r="U667" s="53"/>
      <c r="V667" s="53"/>
      <c r="W667" s="53"/>
      <c r="X667" s="53"/>
      <c r="Y667" s="53"/>
      <c r="Z667" s="53"/>
      <c r="AA667" s="53"/>
      <c r="AB667" s="53"/>
      <c r="AC667" s="53"/>
      <c r="AD667" s="53"/>
      <c r="AE667" s="53"/>
      <c r="AF667" s="53"/>
      <c r="AG667" s="8"/>
      <c r="AH667" s="8"/>
      <c r="AI667" s="8"/>
      <c r="AJ667" s="8"/>
      <c r="AK667" s="8"/>
      <c r="AL667" s="8"/>
      <c r="AM667" s="8"/>
      <c r="AN667" s="8"/>
      <c r="AO667" s="8"/>
      <c r="AP667" s="8"/>
      <c r="AQ667" s="8"/>
      <c r="AR667" s="8"/>
      <c r="AS667" s="8"/>
      <c r="AT667" s="8"/>
      <c r="AU667" s="8"/>
      <c r="AV667" s="8"/>
      <c r="AW667" s="8"/>
      <c r="AX667" s="8"/>
      <c r="AY667" s="8"/>
      <c r="AZ667" s="8"/>
      <c r="BA667" s="8"/>
      <c r="BB667" s="8"/>
      <c r="BC667" s="8"/>
      <c r="BD667" s="8"/>
      <c r="BE667" s="8"/>
    </row>
    <row r="668" spans="1:57">
      <c r="A668" s="8"/>
      <c r="B668" s="8"/>
      <c r="C668" s="8"/>
      <c r="D668" s="8"/>
      <c r="E668" s="8"/>
      <c r="F668" s="54"/>
      <c r="G668" s="8"/>
      <c r="H668" s="8"/>
      <c r="I668" s="8"/>
      <c r="J668" s="8"/>
      <c r="K668" s="8"/>
      <c r="L668" s="8"/>
      <c r="M668" s="8"/>
      <c r="N668" s="8"/>
      <c r="O668" s="8"/>
      <c r="P668" s="8"/>
      <c r="Q668" s="8"/>
      <c r="R668" s="8"/>
      <c r="S668" s="8"/>
      <c r="T668" s="8"/>
      <c r="U668" s="53"/>
      <c r="V668" s="53"/>
      <c r="W668" s="53"/>
      <c r="X668" s="53"/>
      <c r="Y668" s="53"/>
      <c r="Z668" s="53"/>
      <c r="AA668" s="53"/>
      <c r="AB668" s="53"/>
      <c r="AC668" s="53"/>
      <c r="AD668" s="53"/>
      <c r="AE668" s="53"/>
      <c r="AF668" s="53"/>
      <c r="AG668" s="8"/>
      <c r="AH668" s="8"/>
      <c r="AI668" s="8"/>
      <c r="AJ668" s="8"/>
      <c r="AK668" s="8"/>
      <c r="AL668" s="8"/>
      <c r="AM668" s="8"/>
      <c r="AN668" s="8"/>
      <c r="AO668" s="8"/>
      <c r="AP668" s="8"/>
      <c r="AQ668" s="8"/>
      <c r="AR668" s="8"/>
      <c r="AS668" s="8"/>
      <c r="AT668" s="8"/>
      <c r="AU668" s="8"/>
      <c r="AV668" s="8"/>
      <c r="AW668" s="8"/>
      <c r="AX668" s="8"/>
      <c r="AY668" s="8"/>
      <c r="AZ668" s="8"/>
      <c r="BA668" s="8"/>
      <c r="BB668" s="8"/>
      <c r="BC668" s="8"/>
      <c r="BD668" s="8"/>
      <c r="BE668" s="8"/>
    </row>
    <row r="669" spans="1:57">
      <c r="A669" s="8"/>
      <c r="B669" s="8"/>
      <c r="C669" s="8"/>
      <c r="D669" s="8"/>
      <c r="E669" s="8"/>
      <c r="F669" s="54"/>
      <c r="G669" s="8"/>
      <c r="H669" s="8"/>
      <c r="I669" s="8"/>
      <c r="J669" s="8"/>
      <c r="K669" s="8"/>
      <c r="L669" s="8"/>
      <c r="M669" s="8"/>
      <c r="N669" s="8"/>
      <c r="O669" s="8"/>
      <c r="P669" s="8"/>
      <c r="Q669" s="8"/>
      <c r="R669" s="8"/>
      <c r="S669" s="8"/>
      <c r="T669" s="8"/>
      <c r="U669" s="53"/>
      <c r="V669" s="53"/>
      <c r="W669" s="53"/>
      <c r="X669" s="53"/>
      <c r="Y669" s="53"/>
      <c r="Z669" s="53"/>
      <c r="AA669" s="53"/>
      <c r="AB669" s="53"/>
      <c r="AC669" s="53"/>
      <c r="AD669" s="53"/>
      <c r="AE669" s="53"/>
      <c r="AF669" s="53"/>
      <c r="AG669" s="8"/>
      <c r="AH669" s="8"/>
      <c r="AI669" s="8"/>
      <c r="AJ669" s="8"/>
      <c r="AK669" s="8"/>
      <c r="AL669" s="8"/>
      <c r="AM669" s="8"/>
      <c r="AN669" s="8"/>
      <c r="AO669" s="8"/>
      <c r="AP669" s="8"/>
      <c r="AQ669" s="8"/>
      <c r="AR669" s="8"/>
      <c r="AS669" s="8"/>
      <c r="AT669" s="8"/>
      <c r="AU669" s="8"/>
      <c r="AV669" s="8"/>
      <c r="AW669" s="8"/>
      <c r="AX669" s="8"/>
      <c r="AY669" s="8"/>
      <c r="AZ669" s="8"/>
      <c r="BA669" s="8"/>
      <c r="BB669" s="8"/>
      <c r="BC669" s="8"/>
      <c r="BD669" s="8"/>
      <c r="BE669" s="8"/>
    </row>
    <row r="670" spans="1:57">
      <c r="A670" s="8"/>
      <c r="B670" s="8"/>
      <c r="C670" s="8"/>
      <c r="D670" s="8"/>
      <c r="E670" s="8"/>
      <c r="F670" s="54"/>
      <c r="G670" s="8"/>
      <c r="H670" s="8"/>
      <c r="I670" s="8"/>
      <c r="J670" s="8"/>
      <c r="K670" s="8"/>
      <c r="L670" s="8"/>
      <c r="M670" s="8"/>
      <c r="N670" s="8"/>
      <c r="O670" s="8"/>
      <c r="P670" s="8"/>
      <c r="Q670" s="8"/>
      <c r="R670" s="8"/>
      <c r="S670" s="8"/>
      <c r="T670" s="8"/>
      <c r="U670" s="53"/>
      <c r="V670" s="53"/>
      <c r="W670" s="53"/>
      <c r="X670" s="53"/>
      <c r="Y670" s="53"/>
      <c r="Z670" s="53"/>
      <c r="AA670" s="53"/>
      <c r="AB670" s="53"/>
      <c r="AC670" s="53"/>
      <c r="AD670" s="53"/>
      <c r="AE670" s="53"/>
      <c r="AF670" s="53"/>
      <c r="AG670" s="8"/>
      <c r="AH670" s="8"/>
      <c r="AI670" s="8"/>
      <c r="AJ670" s="8"/>
      <c r="AK670" s="8"/>
      <c r="AL670" s="8"/>
      <c r="AM670" s="8"/>
      <c r="AN670" s="8"/>
      <c r="AO670" s="8"/>
      <c r="AP670" s="8"/>
      <c r="AQ670" s="8"/>
      <c r="AR670" s="8"/>
      <c r="AS670" s="8"/>
      <c r="AT670" s="8"/>
      <c r="AU670" s="8"/>
      <c r="AV670" s="8"/>
      <c r="AW670" s="8"/>
      <c r="AX670" s="8"/>
      <c r="AY670" s="8"/>
      <c r="AZ670" s="8"/>
      <c r="BA670" s="8"/>
      <c r="BB670" s="8"/>
      <c r="BC670" s="8"/>
      <c r="BD670" s="8"/>
      <c r="BE670" s="8"/>
    </row>
    <row r="671" spans="1:57">
      <c r="A671" s="8"/>
      <c r="B671" s="8"/>
      <c r="C671" s="8"/>
      <c r="D671" s="8"/>
      <c r="E671" s="8"/>
      <c r="F671" s="54"/>
      <c r="G671" s="8"/>
      <c r="H671" s="8"/>
      <c r="I671" s="8"/>
      <c r="J671" s="8"/>
      <c r="K671" s="8"/>
      <c r="L671" s="8"/>
      <c r="M671" s="8"/>
      <c r="N671" s="8"/>
      <c r="O671" s="8"/>
      <c r="P671" s="8"/>
      <c r="Q671" s="8"/>
      <c r="R671" s="8"/>
      <c r="S671" s="8"/>
      <c r="T671" s="8"/>
      <c r="U671" s="53"/>
      <c r="V671" s="53"/>
      <c r="W671" s="53"/>
      <c r="X671" s="53"/>
      <c r="Y671" s="53"/>
      <c r="Z671" s="53"/>
      <c r="AA671" s="53"/>
      <c r="AB671" s="53"/>
      <c r="AC671" s="53"/>
      <c r="AD671" s="53"/>
      <c r="AE671" s="53"/>
      <c r="AF671" s="53"/>
      <c r="AG671" s="8"/>
      <c r="AH671" s="8"/>
      <c r="AI671" s="8"/>
      <c r="AJ671" s="8"/>
      <c r="AK671" s="8"/>
      <c r="AL671" s="8"/>
      <c r="AM671" s="8"/>
      <c r="AN671" s="8"/>
      <c r="AO671" s="8"/>
      <c r="AP671" s="8"/>
      <c r="AQ671" s="8"/>
      <c r="AR671" s="8"/>
      <c r="AS671" s="8"/>
      <c r="AT671" s="8"/>
      <c r="AU671" s="8"/>
      <c r="AV671" s="8"/>
      <c r="AW671" s="8"/>
      <c r="AX671" s="8"/>
      <c r="AY671" s="8"/>
      <c r="AZ671" s="8"/>
      <c r="BA671" s="8"/>
      <c r="BB671" s="8"/>
      <c r="BC671" s="8"/>
      <c r="BD671" s="8"/>
      <c r="BE671" s="8"/>
    </row>
    <row r="672" spans="1:57">
      <c r="A672" s="8"/>
      <c r="B672" s="8"/>
      <c r="C672" s="8"/>
      <c r="D672" s="8"/>
      <c r="E672" s="8"/>
      <c r="F672" s="54"/>
      <c r="G672" s="8"/>
      <c r="H672" s="8"/>
      <c r="I672" s="8"/>
      <c r="J672" s="8"/>
      <c r="K672" s="8"/>
      <c r="L672" s="8"/>
      <c r="M672" s="8"/>
      <c r="N672" s="8"/>
      <c r="O672" s="8"/>
      <c r="P672" s="8"/>
      <c r="Q672" s="8"/>
      <c r="R672" s="8"/>
      <c r="S672" s="8"/>
      <c r="T672" s="8"/>
      <c r="U672" s="53"/>
      <c r="V672" s="53"/>
      <c r="W672" s="53"/>
      <c r="X672" s="53"/>
      <c r="Y672" s="53"/>
      <c r="Z672" s="53"/>
      <c r="AA672" s="53"/>
      <c r="AB672" s="53"/>
      <c r="AC672" s="53"/>
      <c r="AD672" s="53"/>
      <c r="AE672" s="53"/>
      <c r="AF672" s="53"/>
      <c r="AG672" s="8"/>
      <c r="AH672" s="8"/>
      <c r="AI672" s="8"/>
      <c r="AJ672" s="8"/>
      <c r="AK672" s="8"/>
      <c r="AL672" s="8"/>
      <c r="AM672" s="8"/>
      <c r="AN672" s="8"/>
      <c r="AO672" s="8"/>
      <c r="AP672" s="8"/>
      <c r="AQ672" s="8"/>
      <c r="AR672" s="8"/>
      <c r="AS672" s="8"/>
      <c r="AT672" s="8"/>
      <c r="AU672" s="8"/>
      <c r="AV672" s="8"/>
      <c r="AW672" s="8"/>
      <c r="AX672" s="8"/>
      <c r="AY672" s="8"/>
      <c r="AZ672" s="8"/>
      <c r="BA672" s="8"/>
      <c r="BB672" s="8"/>
      <c r="BC672" s="8"/>
      <c r="BD672" s="8"/>
      <c r="BE672" s="8"/>
    </row>
    <row r="673" spans="1:57">
      <c r="A673" s="8"/>
      <c r="B673" s="8"/>
      <c r="C673" s="8"/>
      <c r="D673" s="8"/>
      <c r="E673" s="8"/>
      <c r="F673" s="54"/>
      <c r="G673" s="8"/>
      <c r="H673" s="8"/>
      <c r="I673" s="8"/>
      <c r="J673" s="8"/>
      <c r="K673" s="8"/>
      <c r="L673" s="8"/>
      <c r="M673" s="8"/>
      <c r="N673" s="8"/>
      <c r="O673" s="8"/>
      <c r="P673" s="8"/>
      <c r="Q673" s="8"/>
      <c r="R673" s="8"/>
      <c r="S673" s="8"/>
      <c r="T673" s="8"/>
      <c r="U673" s="53"/>
      <c r="V673" s="53"/>
      <c r="W673" s="53"/>
      <c r="X673" s="53"/>
      <c r="Y673" s="53"/>
      <c r="Z673" s="53"/>
      <c r="AA673" s="53"/>
      <c r="AB673" s="53"/>
      <c r="AC673" s="53"/>
      <c r="AD673" s="53"/>
      <c r="AE673" s="53"/>
      <c r="AF673" s="53"/>
      <c r="AG673" s="8"/>
      <c r="AH673" s="8"/>
      <c r="AI673" s="8"/>
      <c r="AJ673" s="8"/>
      <c r="AK673" s="8"/>
      <c r="AL673" s="8"/>
      <c r="AM673" s="8"/>
      <c r="AN673" s="8"/>
      <c r="AO673" s="8"/>
      <c r="AP673" s="8"/>
      <c r="AQ673" s="8"/>
      <c r="AR673" s="8"/>
      <c r="AS673" s="8"/>
      <c r="AT673" s="8"/>
      <c r="AU673" s="8"/>
      <c r="AV673" s="8"/>
      <c r="AW673" s="8"/>
      <c r="AX673" s="8"/>
      <c r="AY673" s="8"/>
      <c r="AZ673" s="8"/>
      <c r="BA673" s="8"/>
      <c r="BB673" s="8"/>
      <c r="BC673" s="8"/>
      <c r="BD673" s="8"/>
      <c r="BE673" s="8"/>
    </row>
    <row r="674" spans="1:57">
      <c r="A674" s="8"/>
      <c r="B674" s="8"/>
      <c r="C674" s="8"/>
      <c r="D674" s="8"/>
      <c r="E674" s="8"/>
      <c r="F674" s="54"/>
      <c r="G674" s="8"/>
      <c r="H674" s="8"/>
      <c r="I674" s="8"/>
      <c r="J674" s="8"/>
      <c r="K674" s="8"/>
      <c r="L674" s="8"/>
      <c r="M674" s="8"/>
      <c r="N674" s="8"/>
      <c r="O674" s="8"/>
      <c r="P674" s="8"/>
      <c r="Q674" s="8"/>
      <c r="R674" s="8"/>
      <c r="S674" s="8"/>
      <c r="T674" s="8"/>
      <c r="U674" s="53"/>
      <c r="V674" s="53"/>
      <c r="W674" s="53"/>
      <c r="X674" s="53"/>
      <c r="Y674" s="53"/>
      <c r="Z674" s="53"/>
      <c r="AA674" s="53"/>
      <c r="AB674" s="53"/>
      <c r="AC674" s="53"/>
      <c r="AD674" s="53"/>
      <c r="AE674" s="53"/>
      <c r="AF674" s="53"/>
      <c r="AG674" s="8"/>
      <c r="AH674" s="8"/>
      <c r="AI674" s="8"/>
      <c r="AJ674" s="8"/>
      <c r="AK674" s="8"/>
      <c r="AL674" s="8"/>
      <c r="AM674" s="8"/>
      <c r="AN674" s="8"/>
      <c r="AO674" s="8"/>
      <c r="AP674" s="8"/>
      <c r="AQ674" s="8"/>
      <c r="AR674" s="8"/>
      <c r="AS674" s="8"/>
      <c r="AT674" s="8"/>
      <c r="AU674" s="8"/>
      <c r="AV674" s="8"/>
      <c r="AW674" s="8"/>
      <c r="AX674" s="8"/>
      <c r="AY674" s="8"/>
      <c r="AZ674" s="8"/>
      <c r="BA674" s="8"/>
      <c r="BB674" s="8"/>
      <c r="BC674" s="8"/>
      <c r="BD674" s="8"/>
      <c r="BE674" s="8"/>
    </row>
    <row r="675" spans="1:57">
      <c r="A675" s="8"/>
      <c r="B675" s="8"/>
      <c r="C675" s="8"/>
      <c r="D675" s="8"/>
      <c r="E675" s="8"/>
      <c r="F675" s="54"/>
      <c r="G675" s="8"/>
      <c r="H675" s="8"/>
      <c r="I675" s="8"/>
      <c r="J675" s="8"/>
      <c r="K675" s="8"/>
      <c r="L675" s="8"/>
      <c r="M675" s="8"/>
      <c r="N675" s="8"/>
      <c r="O675" s="8"/>
      <c r="P675" s="8"/>
      <c r="Q675" s="8"/>
      <c r="R675" s="8"/>
      <c r="S675" s="8"/>
      <c r="T675" s="8"/>
      <c r="U675" s="53"/>
      <c r="V675" s="53"/>
      <c r="W675" s="53"/>
      <c r="X675" s="53"/>
      <c r="Y675" s="53"/>
      <c r="Z675" s="53"/>
      <c r="AA675" s="53"/>
      <c r="AB675" s="53"/>
      <c r="AC675" s="53"/>
      <c r="AD675" s="53"/>
      <c r="AE675" s="53"/>
      <c r="AF675" s="53"/>
      <c r="AG675" s="8"/>
      <c r="AH675" s="8"/>
      <c r="AI675" s="8"/>
      <c r="AJ675" s="8"/>
      <c r="AK675" s="8"/>
      <c r="AL675" s="8"/>
      <c r="AM675" s="8"/>
      <c r="AN675" s="8"/>
      <c r="AO675" s="8"/>
      <c r="AP675" s="8"/>
      <c r="AQ675" s="8"/>
      <c r="AR675" s="8"/>
      <c r="AS675" s="8"/>
      <c r="AT675" s="8"/>
      <c r="AU675" s="8"/>
      <c r="AV675" s="8"/>
      <c r="AW675" s="8"/>
      <c r="AX675" s="8"/>
      <c r="AY675" s="8"/>
      <c r="AZ675" s="8"/>
      <c r="BA675" s="8"/>
      <c r="BB675" s="8"/>
      <c r="BC675" s="8"/>
      <c r="BD675" s="8"/>
      <c r="BE675" s="8"/>
    </row>
    <row r="676" spans="1:57">
      <c r="A676" s="8"/>
      <c r="B676" s="8"/>
      <c r="C676" s="8"/>
      <c r="D676" s="8"/>
      <c r="E676" s="8"/>
      <c r="F676" s="54"/>
      <c r="G676" s="8"/>
      <c r="H676" s="8"/>
      <c r="I676" s="8"/>
      <c r="J676" s="8"/>
      <c r="K676" s="8"/>
      <c r="L676" s="8"/>
      <c r="M676" s="8"/>
      <c r="N676" s="8"/>
      <c r="O676" s="8"/>
      <c r="P676" s="8"/>
      <c r="Q676" s="8"/>
      <c r="R676" s="8"/>
      <c r="S676" s="8"/>
      <c r="T676" s="8"/>
      <c r="U676" s="53"/>
      <c r="V676" s="53"/>
      <c r="W676" s="53"/>
      <c r="X676" s="53"/>
      <c r="Y676" s="53"/>
      <c r="Z676" s="53"/>
      <c r="AA676" s="53"/>
      <c r="AB676" s="53"/>
      <c r="AC676" s="53"/>
      <c r="AD676" s="53"/>
      <c r="AE676" s="53"/>
      <c r="AF676" s="53"/>
      <c r="AG676" s="8"/>
      <c r="AH676" s="8"/>
      <c r="AI676" s="8"/>
      <c r="AJ676" s="8"/>
      <c r="AK676" s="8"/>
      <c r="AL676" s="8"/>
      <c r="AM676" s="8"/>
      <c r="AN676" s="8"/>
      <c r="AO676" s="8"/>
      <c r="AP676" s="8"/>
      <c r="AQ676" s="8"/>
      <c r="AR676" s="8"/>
      <c r="AS676" s="8"/>
      <c r="AT676" s="8"/>
      <c r="AU676" s="8"/>
      <c r="AV676" s="8"/>
      <c r="AW676" s="8"/>
      <c r="AX676" s="8"/>
      <c r="AY676" s="8"/>
      <c r="AZ676" s="8"/>
      <c r="BA676" s="8"/>
      <c r="BB676" s="8"/>
      <c r="BC676" s="8"/>
      <c r="BD676" s="8"/>
      <c r="BE676" s="8"/>
    </row>
    <row r="677" spans="1:57">
      <c r="A677" s="8"/>
      <c r="B677" s="8"/>
      <c r="C677" s="8"/>
      <c r="D677" s="8"/>
      <c r="E677" s="8"/>
      <c r="F677" s="54"/>
      <c r="G677" s="8"/>
      <c r="H677" s="8"/>
      <c r="I677" s="8"/>
      <c r="J677" s="8"/>
      <c r="K677" s="8"/>
      <c r="L677" s="8"/>
      <c r="M677" s="8"/>
      <c r="N677" s="8"/>
      <c r="O677" s="8"/>
      <c r="P677" s="8"/>
      <c r="Q677" s="8"/>
      <c r="R677" s="8"/>
      <c r="S677" s="8"/>
      <c r="T677" s="8"/>
      <c r="U677" s="53"/>
      <c r="V677" s="53"/>
      <c r="W677" s="53"/>
      <c r="X677" s="53"/>
      <c r="Y677" s="53"/>
      <c r="Z677" s="53"/>
      <c r="AA677" s="53"/>
      <c r="AB677" s="53"/>
      <c r="AC677" s="53"/>
      <c r="AD677" s="53"/>
      <c r="AE677" s="53"/>
      <c r="AF677" s="53"/>
      <c r="AG677" s="8"/>
      <c r="AH677" s="8"/>
      <c r="AI677" s="8"/>
      <c r="AJ677" s="8"/>
      <c r="AK677" s="8"/>
      <c r="AL677" s="8"/>
      <c r="AM677" s="8"/>
      <c r="AN677" s="8"/>
      <c r="AO677" s="8"/>
      <c r="AP677" s="8"/>
      <c r="AQ677" s="8"/>
      <c r="AR677" s="8"/>
      <c r="AS677" s="8"/>
      <c r="AT677" s="8"/>
      <c r="AU677" s="8"/>
      <c r="AV677" s="8"/>
      <c r="AW677" s="8"/>
      <c r="AX677" s="8"/>
      <c r="AY677" s="8"/>
      <c r="AZ677" s="8"/>
      <c r="BA677" s="8"/>
      <c r="BB677" s="8"/>
      <c r="BC677" s="8"/>
      <c r="BD677" s="8"/>
      <c r="BE677" s="8"/>
    </row>
    <row r="678" spans="1:57">
      <c r="A678" s="8"/>
      <c r="B678" s="8"/>
      <c r="C678" s="8"/>
      <c r="D678" s="8"/>
      <c r="E678" s="8"/>
      <c r="F678" s="54"/>
      <c r="G678" s="8"/>
      <c r="H678" s="8"/>
      <c r="I678" s="8"/>
      <c r="J678" s="8"/>
      <c r="K678" s="8"/>
      <c r="L678" s="8"/>
      <c r="M678" s="8"/>
      <c r="N678" s="8"/>
      <c r="O678" s="8"/>
      <c r="P678" s="8"/>
      <c r="Q678" s="8"/>
      <c r="R678" s="8"/>
      <c r="S678" s="8"/>
      <c r="T678" s="8"/>
      <c r="U678" s="53"/>
      <c r="V678" s="53"/>
      <c r="W678" s="53"/>
      <c r="X678" s="53"/>
      <c r="Y678" s="53"/>
      <c r="Z678" s="53"/>
      <c r="AA678" s="53"/>
      <c r="AB678" s="53"/>
      <c r="AC678" s="53"/>
      <c r="AD678" s="53"/>
      <c r="AE678" s="53"/>
      <c r="AF678" s="53"/>
      <c r="AG678" s="8"/>
      <c r="AH678" s="8"/>
      <c r="AI678" s="8"/>
      <c r="AJ678" s="8"/>
      <c r="AK678" s="8"/>
      <c r="AL678" s="8"/>
      <c r="AM678" s="8"/>
      <c r="AN678" s="8"/>
      <c r="AO678" s="8"/>
      <c r="AP678" s="8"/>
      <c r="AQ678" s="8"/>
      <c r="AR678" s="8"/>
      <c r="AS678" s="8"/>
      <c r="AT678" s="8"/>
      <c r="AU678" s="8"/>
      <c r="AV678" s="8"/>
      <c r="AW678" s="8"/>
      <c r="AX678" s="8"/>
      <c r="AY678" s="8"/>
      <c r="AZ678" s="8"/>
      <c r="BA678" s="8"/>
      <c r="BB678" s="8"/>
      <c r="BC678" s="8"/>
      <c r="BD678" s="8"/>
      <c r="BE678" s="8"/>
    </row>
    <row r="679" spans="1:57">
      <c r="A679" s="8"/>
      <c r="B679" s="8"/>
      <c r="C679" s="8"/>
      <c r="D679" s="8"/>
      <c r="E679" s="8"/>
      <c r="F679" s="54"/>
      <c r="G679" s="8"/>
      <c r="H679" s="8"/>
      <c r="I679" s="8"/>
      <c r="J679" s="8"/>
      <c r="K679" s="8"/>
      <c r="L679" s="8"/>
      <c r="M679" s="8"/>
      <c r="N679" s="8"/>
      <c r="O679" s="8"/>
      <c r="P679" s="8"/>
      <c r="Q679" s="8"/>
      <c r="R679" s="8"/>
      <c r="S679" s="8"/>
      <c r="T679" s="8"/>
      <c r="U679" s="53"/>
      <c r="V679" s="53"/>
      <c r="W679" s="53"/>
      <c r="X679" s="53"/>
      <c r="Y679" s="53"/>
      <c r="Z679" s="53"/>
      <c r="AA679" s="53"/>
      <c r="AB679" s="53"/>
      <c r="AC679" s="53"/>
      <c r="AD679" s="53"/>
      <c r="AE679" s="53"/>
      <c r="AF679" s="53"/>
      <c r="AG679" s="8"/>
      <c r="AH679" s="8"/>
      <c r="AI679" s="8"/>
      <c r="AJ679" s="8"/>
      <c r="AK679" s="8"/>
      <c r="AL679" s="8"/>
      <c r="AM679" s="8"/>
      <c r="AN679" s="8"/>
      <c r="AO679" s="8"/>
      <c r="AP679" s="8"/>
      <c r="AQ679" s="8"/>
      <c r="AR679" s="8"/>
      <c r="AS679" s="8"/>
      <c r="AT679" s="8"/>
      <c r="AU679" s="8"/>
      <c r="AV679" s="8"/>
      <c r="AW679" s="8"/>
      <c r="AX679" s="8"/>
      <c r="AY679" s="8"/>
      <c r="AZ679" s="8"/>
      <c r="BA679" s="8"/>
      <c r="BB679" s="8"/>
      <c r="BC679" s="8"/>
      <c r="BD679" s="8"/>
      <c r="BE679" s="8"/>
    </row>
    <row r="680" spans="1:57">
      <c r="A680" s="8"/>
      <c r="B680" s="8"/>
      <c r="C680" s="8"/>
      <c r="D680" s="8"/>
      <c r="E680" s="8"/>
      <c r="F680" s="54"/>
      <c r="G680" s="8"/>
      <c r="H680" s="8"/>
      <c r="I680" s="8"/>
      <c r="J680" s="8"/>
      <c r="K680" s="8"/>
      <c r="L680" s="8"/>
      <c r="M680" s="8"/>
      <c r="N680" s="8"/>
      <c r="O680" s="8"/>
      <c r="P680" s="8"/>
      <c r="Q680" s="8"/>
      <c r="R680" s="8"/>
      <c r="S680" s="8"/>
      <c r="T680" s="8"/>
      <c r="U680" s="53"/>
      <c r="V680" s="53"/>
      <c r="W680" s="53"/>
      <c r="X680" s="53"/>
      <c r="Y680" s="53"/>
      <c r="Z680" s="53"/>
      <c r="AA680" s="53"/>
      <c r="AB680" s="53"/>
      <c r="AC680" s="53"/>
      <c r="AD680" s="53"/>
      <c r="AE680" s="53"/>
      <c r="AF680" s="53"/>
      <c r="AG680" s="8"/>
      <c r="AH680" s="8"/>
      <c r="AI680" s="8"/>
      <c r="AJ680" s="8"/>
      <c r="AK680" s="8"/>
      <c r="AL680" s="8"/>
      <c r="AM680" s="8"/>
      <c r="AN680" s="8"/>
      <c r="AO680" s="8"/>
      <c r="AP680" s="8"/>
      <c r="AQ680" s="8"/>
      <c r="AR680" s="8"/>
      <c r="AS680" s="8"/>
      <c r="AT680" s="8"/>
      <c r="AU680" s="8"/>
      <c r="AV680" s="8"/>
      <c r="AW680" s="8"/>
      <c r="AX680" s="8"/>
      <c r="AY680" s="8"/>
      <c r="AZ680" s="8"/>
      <c r="BA680" s="8"/>
      <c r="BB680" s="8"/>
      <c r="BC680" s="8"/>
      <c r="BD680" s="8"/>
      <c r="BE680" s="8"/>
    </row>
    <row r="681" spans="1:57">
      <c r="A681" s="8"/>
      <c r="B681" s="8"/>
      <c r="C681" s="8"/>
      <c r="D681" s="8"/>
      <c r="E681" s="8"/>
      <c r="F681" s="54"/>
      <c r="G681" s="8"/>
      <c r="H681" s="8"/>
      <c r="I681" s="8"/>
      <c r="J681" s="8"/>
      <c r="K681" s="8"/>
      <c r="L681" s="8"/>
      <c r="M681" s="8"/>
      <c r="N681" s="8"/>
      <c r="O681" s="8"/>
      <c r="P681" s="8"/>
      <c r="Q681" s="8"/>
      <c r="R681" s="8"/>
      <c r="S681" s="8"/>
      <c r="T681" s="8"/>
      <c r="U681" s="53"/>
      <c r="V681" s="53"/>
      <c r="W681" s="53"/>
      <c r="X681" s="53"/>
      <c r="Y681" s="53"/>
      <c r="Z681" s="53"/>
      <c r="AA681" s="53"/>
      <c r="AB681" s="53"/>
      <c r="AC681" s="53"/>
      <c r="AD681" s="53"/>
      <c r="AE681" s="53"/>
      <c r="AF681" s="53"/>
      <c r="AG681" s="8"/>
      <c r="AH681" s="8"/>
      <c r="AI681" s="8"/>
      <c r="AJ681" s="8"/>
      <c r="AK681" s="8"/>
      <c r="AL681" s="8"/>
      <c r="AM681" s="8"/>
      <c r="AN681" s="8"/>
      <c r="AO681" s="8"/>
      <c r="AP681" s="8"/>
      <c r="AQ681" s="8"/>
      <c r="AR681" s="8"/>
      <c r="AS681" s="8"/>
      <c r="AT681" s="8"/>
      <c r="AU681" s="8"/>
      <c r="AV681" s="8"/>
      <c r="AW681" s="8"/>
      <c r="AX681" s="8"/>
      <c r="AY681" s="8"/>
      <c r="AZ681" s="8"/>
      <c r="BA681" s="8"/>
      <c r="BB681" s="8"/>
      <c r="BC681" s="8"/>
      <c r="BD681" s="8"/>
      <c r="BE681" s="8"/>
    </row>
    <row r="682" spans="1:57">
      <c r="A682" s="8"/>
      <c r="B682" s="8"/>
      <c r="C682" s="8"/>
      <c r="D682" s="8"/>
      <c r="E682" s="8"/>
      <c r="F682" s="54"/>
      <c r="G682" s="8"/>
      <c r="H682" s="8"/>
      <c r="I682" s="8"/>
      <c r="J682" s="8"/>
      <c r="K682" s="8"/>
      <c r="L682" s="8"/>
      <c r="M682" s="8"/>
      <c r="N682" s="8"/>
      <c r="O682" s="8"/>
      <c r="P682" s="8"/>
      <c r="Q682" s="8"/>
      <c r="R682" s="8"/>
      <c r="S682" s="8"/>
      <c r="T682" s="8"/>
      <c r="U682" s="53"/>
      <c r="V682" s="53"/>
      <c r="W682" s="53"/>
      <c r="X682" s="53"/>
      <c r="Y682" s="53"/>
      <c r="Z682" s="53"/>
      <c r="AA682" s="53"/>
      <c r="AB682" s="53"/>
      <c r="AC682" s="53"/>
      <c r="AD682" s="53"/>
      <c r="AE682" s="53"/>
      <c r="AF682" s="53"/>
      <c r="AG682" s="8"/>
      <c r="AH682" s="8"/>
      <c r="AI682" s="8"/>
      <c r="AJ682" s="8"/>
      <c r="AK682" s="8"/>
      <c r="AL682" s="8"/>
      <c r="AM682" s="8"/>
      <c r="AN682" s="8"/>
      <c r="AO682" s="8"/>
      <c r="AP682" s="8"/>
      <c r="AQ682" s="8"/>
      <c r="AR682" s="8"/>
      <c r="AS682" s="8"/>
      <c r="AT682" s="8"/>
      <c r="AU682" s="8"/>
      <c r="AV682" s="8"/>
      <c r="AW682" s="8"/>
      <c r="AX682" s="8"/>
      <c r="AY682" s="8"/>
      <c r="AZ682" s="8"/>
      <c r="BA682" s="8"/>
      <c r="BB682" s="8"/>
      <c r="BC682" s="8"/>
      <c r="BD682" s="8"/>
      <c r="BE682" s="8"/>
    </row>
    <row r="683" spans="1:57">
      <c r="A683" s="8"/>
      <c r="B683" s="8"/>
      <c r="C683" s="8"/>
      <c r="D683" s="8"/>
      <c r="E683" s="8"/>
      <c r="F683" s="54"/>
      <c r="G683" s="8"/>
      <c r="H683" s="8"/>
      <c r="I683" s="8"/>
      <c r="J683" s="8"/>
      <c r="K683" s="8"/>
      <c r="L683" s="8"/>
      <c r="M683" s="8"/>
      <c r="N683" s="8"/>
      <c r="O683" s="8"/>
      <c r="P683" s="8"/>
      <c r="Q683" s="8"/>
      <c r="R683" s="8"/>
      <c r="S683" s="8"/>
      <c r="T683" s="8"/>
      <c r="U683" s="53"/>
      <c r="V683" s="53"/>
      <c r="W683" s="53"/>
      <c r="X683" s="53"/>
      <c r="Y683" s="53"/>
      <c r="Z683" s="53"/>
      <c r="AA683" s="53"/>
      <c r="AB683" s="53"/>
      <c r="AC683" s="53"/>
      <c r="AD683" s="53"/>
      <c r="AE683" s="53"/>
      <c r="AF683" s="53"/>
      <c r="AG683" s="8"/>
      <c r="AH683" s="8"/>
      <c r="AI683" s="8"/>
      <c r="AJ683" s="8"/>
      <c r="AK683" s="8"/>
      <c r="AL683" s="8"/>
      <c r="AM683" s="8"/>
      <c r="AN683" s="8"/>
      <c r="AO683" s="8"/>
      <c r="AP683" s="8"/>
      <c r="AQ683" s="8"/>
      <c r="AR683" s="8"/>
      <c r="AS683" s="8"/>
      <c r="AT683" s="8"/>
      <c r="AU683" s="8"/>
      <c r="AV683" s="8"/>
      <c r="AW683" s="8"/>
      <c r="AX683" s="8"/>
      <c r="AY683" s="8"/>
      <c r="AZ683" s="8"/>
      <c r="BA683" s="8"/>
      <c r="BB683" s="8"/>
      <c r="BC683" s="8"/>
      <c r="BD683" s="8"/>
      <c r="BE683" s="8"/>
    </row>
    <row r="684" spans="1:57">
      <c r="A684" s="8"/>
      <c r="B684" s="8"/>
      <c r="C684" s="8"/>
      <c r="D684" s="8"/>
      <c r="E684" s="8"/>
      <c r="F684" s="54"/>
      <c r="G684" s="8"/>
      <c r="H684" s="8"/>
      <c r="I684" s="8"/>
      <c r="J684" s="8"/>
      <c r="K684" s="8"/>
      <c r="L684" s="8"/>
      <c r="M684" s="8"/>
      <c r="N684" s="8"/>
      <c r="O684" s="8"/>
      <c r="P684" s="8"/>
      <c r="Q684" s="8"/>
      <c r="R684" s="8"/>
      <c r="S684" s="8"/>
      <c r="T684" s="8"/>
      <c r="U684" s="53"/>
      <c r="V684" s="53"/>
      <c r="W684" s="53"/>
      <c r="X684" s="53"/>
      <c r="Y684" s="53"/>
      <c r="Z684" s="53"/>
      <c r="AA684" s="53"/>
      <c r="AB684" s="53"/>
      <c r="AC684" s="53"/>
      <c r="AD684" s="53"/>
      <c r="AE684" s="53"/>
      <c r="AF684" s="53"/>
      <c r="AG684" s="8"/>
      <c r="AH684" s="8"/>
      <c r="AI684" s="8"/>
      <c r="AJ684" s="8"/>
      <c r="AK684" s="8"/>
      <c r="AL684" s="8"/>
      <c r="AM684" s="8"/>
      <c r="AN684" s="8"/>
      <c r="AO684" s="8"/>
      <c r="AP684" s="8"/>
      <c r="AQ684" s="8"/>
      <c r="AR684" s="8"/>
      <c r="AS684" s="8"/>
      <c r="AT684" s="8"/>
      <c r="AU684" s="8"/>
      <c r="AV684" s="8"/>
      <c r="AW684" s="8"/>
      <c r="AX684" s="8"/>
      <c r="AY684" s="8"/>
      <c r="AZ684" s="8"/>
      <c r="BA684" s="8"/>
      <c r="BB684" s="8"/>
      <c r="BC684" s="8"/>
      <c r="BD684" s="8"/>
      <c r="BE684" s="8"/>
    </row>
    <row r="685" spans="1:57">
      <c r="A685" s="8"/>
      <c r="B685" s="8"/>
      <c r="C685" s="8"/>
      <c r="D685" s="8"/>
      <c r="E685" s="8"/>
      <c r="F685" s="54"/>
      <c r="G685" s="8"/>
      <c r="H685" s="8"/>
      <c r="I685" s="8"/>
      <c r="J685" s="8"/>
      <c r="K685" s="8"/>
      <c r="L685" s="8"/>
      <c r="M685" s="8"/>
      <c r="N685" s="8"/>
      <c r="O685" s="8"/>
      <c r="P685" s="8"/>
      <c r="Q685" s="8"/>
      <c r="R685" s="8"/>
      <c r="S685" s="8"/>
      <c r="T685" s="8"/>
      <c r="U685" s="53"/>
      <c r="V685" s="53"/>
      <c r="W685" s="53"/>
      <c r="X685" s="53"/>
      <c r="Y685" s="53"/>
      <c r="Z685" s="53"/>
      <c r="AA685" s="53"/>
      <c r="AB685" s="53"/>
      <c r="AC685" s="53"/>
      <c r="AD685" s="53"/>
      <c r="AE685" s="53"/>
      <c r="AF685" s="53"/>
      <c r="AG685" s="8"/>
      <c r="AH685" s="8"/>
      <c r="AI685" s="8"/>
      <c r="AJ685" s="8"/>
      <c r="AK685" s="8"/>
      <c r="AL685" s="8"/>
      <c r="AM685" s="8"/>
      <c r="AN685" s="8"/>
      <c r="AO685" s="8"/>
      <c r="AP685" s="8"/>
      <c r="AQ685" s="8"/>
      <c r="AR685" s="8"/>
      <c r="AS685" s="8"/>
      <c r="AT685" s="8"/>
      <c r="AU685" s="8"/>
      <c r="AV685" s="8"/>
      <c r="AW685" s="8"/>
      <c r="AX685" s="8"/>
      <c r="AY685" s="8"/>
      <c r="AZ685" s="8"/>
      <c r="BA685" s="8"/>
      <c r="BB685" s="8"/>
      <c r="BC685" s="8"/>
      <c r="BD685" s="8"/>
      <c r="BE685" s="8"/>
    </row>
    <row r="686" spans="1:57">
      <c r="A686" s="8"/>
      <c r="B686" s="8"/>
      <c r="C686" s="8"/>
      <c r="D686" s="8"/>
      <c r="E686" s="8"/>
      <c r="F686" s="54"/>
      <c r="G686" s="8"/>
      <c r="H686" s="8"/>
      <c r="I686" s="8"/>
      <c r="J686" s="8"/>
      <c r="K686" s="8"/>
      <c r="L686" s="8"/>
      <c r="M686" s="8"/>
      <c r="N686" s="8"/>
      <c r="O686" s="8"/>
      <c r="P686" s="8"/>
      <c r="Q686" s="8"/>
      <c r="R686" s="8"/>
      <c r="S686" s="8"/>
      <c r="T686" s="8"/>
      <c r="U686" s="53"/>
      <c r="V686" s="53"/>
      <c r="W686" s="53"/>
      <c r="X686" s="53"/>
      <c r="Y686" s="53"/>
      <c r="Z686" s="53"/>
      <c r="AA686" s="53"/>
      <c r="AB686" s="53"/>
      <c r="AC686" s="53"/>
      <c r="AD686" s="53"/>
      <c r="AE686" s="53"/>
      <c r="AF686" s="53"/>
      <c r="AG686" s="8"/>
      <c r="AH686" s="8"/>
      <c r="AI686" s="8"/>
      <c r="AJ686" s="8"/>
      <c r="AK686" s="8"/>
      <c r="AL686" s="8"/>
      <c r="AM686" s="8"/>
      <c r="AN686" s="8"/>
      <c r="AO686" s="8"/>
      <c r="AP686" s="8"/>
      <c r="AQ686" s="8"/>
      <c r="AR686" s="8"/>
      <c r="AS686" s="8"/>
      <c r="AT686" s="8"/>
      <c r="AU686" s="8"/>
      <c r="AV686" s="8"/>
      <c r="AW686" s="8"/>
      <c r="AX686" s="8"/>
      <c r="AY686" s="8"/>
      <c r="AZ686" s="8"/>
      <c r="BA686" s="8"/>
      <c r="BB686" s="8"/>
      <c r="BC686" s="8"/>
      <c r="BD686" s="8"/>
      <c r="BE686" s="8"/>
    </row>
    <row r="687" spans="1:57">
      <c r="A687" s="8"/>
      <c r="B687" s="8"/>
      <c r="C687" s="8"/>
      <c r="D687" s="8"/>
      <c r="E687" s="8"/>
      <c r="F687" s="54"/>
      <c r="G687" s="8"/>
      <c r="H687" s="8"/>
      <c r="I687" s="8"/>
      <c r="J687" s="8"/>
      <c r="K687" s="8"/>
      <c r="L687" s="8"/>
      <c r="M687" s="8"/>
      <c r="N687" s="8"/>
      <c r="O687" s="8"/>
      <c r="P687" s="8"/>
      <c r="Q687" s="8"/>
      <c r="R687" s="8"/>
      <c r="S687" s="8"/>
      <c r="T687" s="8"/>
      <c r="U687" s="53"/>
      <c r="V687" s="53"/>
      <c r="W687" s="53"/>
      <c r="X687" s="53"/>
      <c r="Y687" s="53"/>
      <c r="Z687" s="53"/>
      <c r="AA687" s="53"/>
      <c r="AB687" s="53"/>
      <c r="AC687" s="53"/>
      <c r="AD687" s="53"/>
      <c r="AE687" s="53"/>
      <c r="AF687" s="53"/>
      <c r="AG687" s="8"/>
      <c r="AH687" s="8"/>
      <c r="AI687" s="8"/>
      <c r="AJ687" s="8"/>
      <c r="AK687" s="8"/>
      <c r="AL687" s="8"/>
      <c r="AM687" s="8"/>
      <c r="AN687" s="8"/>
      <c r="AO687" s="8"/>
      <c r="AP687" s="8"/>
      <c r="AQ687" s="8"/>
      <c r="AR687" s="8"/>
      <c r="AS687" s="8"/>
      <c r="AT687" s="8"/>
      <c r="AU687" s="8"/>
      <c r="AV687" s="8"/>
      <c r="AW687" s="8"/>
      <c r="AX687" s="8"/>
      <c r="AY687" s="8"/>
      <c r="AZ687" s="8"/>
      <c r="BA687" s="8"/>
      <c r="BB687" s="8"/>
      <c r="BC687" s="8"/>
      <c r="BD687" s="8"/>
      <c r="BE687" s="8"/>
    </row>
    <row r="688" spans="1:57">
      <c r="A688" s="8"/>
      <c r="B688" s="8"/>
      <c r="C688" s="8"/>
      <c r="D688" s="8"/>
      <c r="E688" s="8"/>
      <c r="F688" s="54"/>
      <c r="G688" s="8"/>
      <c r="H688" s="8"/>
      <c r="I688" s="8"/>
      <c r="J688" s="8"/>
      <c r="K688" s="8"/>
      <c r="L688" s="8"/>
      <c r="M688" s="8"/>
      <c r="N688" s="8"/>
      <c r="O688" s="8"/>
      <c r="P688" s="8"/>
      <c r="Q688" s="8"/>
      <c r="R688" s="8"/>
      <c r="S688" s="8"/>
      <c r="T688" s="8"/>
      <c r="U688" s="53"/>
      <c r="V688" s="53"/>
      <c r="W688" s="53"/>
      <c r="X688" s="53"/>
      <c r="Y688" s="53"/>
      <c r="Z688" s="53"/>
      <c r="AA688" s="53"/>
      <c r="AB688" s="53"/>
      <c r="AC688" s="53"/>
      <c r="AD688" s="53"/>
      <c r="AE688" s="53"/>
      <c r="AF688" s="53"/>
      <c r="AG688" s="8"/>
      <c r="AH688" s="8"/>
      <c r="AI688" s="8"/>
      <c r="AJ688" s="8"/>
      <c r="AK688" s="8"/>
      <c r="AL688" s="8"/>
      <c r="AM688" s="8"/>
      <c r="AN688" s="8"/>
      <c r="AO688" s="8"/>
      <c r="AP688" s="8"/>
      <c r="AQ688" s="8"/>
      <c r="AR688" s="8"/>
      <c r="AS688" s="8"/>
      <c r="AT688" s="8"/>
      <c r="AU688" s="8"/>
      <c r="AV688" s="8"/>
      <c r="AW688" s="8"/>
      <c r="AX688" s="8"/>
      <c r="AY688" s="8"/>
      <c r="AZ688" s="8"/>
      <c r="BA688" s="8"/>
      <c r="BB688" s="8"/>
      <c r="BC688" s="8"/>
      <c r="BD688" s="8"/>
      <c r="BE688" s="8"/>
    </row>
    <row r="689" spans="1:57">
      <c r="A689" s="8"/>
      <c r="B689" s="8"/>
      <c r="C689" s="8"/>
      <c r="D689" s="8"/>
      <c r="E689" s="8"/>
      <c r="F689" s="54"/>
      <c r="G689" s="8"/>
      <c r="H689" s="8"/>
      <c r="I689" s="8"/>
      <c r="J689" s="8"/>
      <c r="K689" s="8"/>
      <c r="L689" s="8"/>
      <c r="M689" s="8"/>
      <c r="N689" s="8"/>
      <c r="O689" s="8"/>
      <c r="P689" s="8"/>
      <c r="Q689" s="8"/>
      <c r="R689" s="8"/>
      <c r="S689" s="8"/>
      <c r="T689" s="8"/>
      <c r="U689" s="53"/>
      <c r="V689" s="53"/>
      <c r="W689" s="53"/>
      <c r="X689" s="53"/>
      <c r="Y689" s="53"/>
      <c r="Z689" s="53"/>
      <c r="AA689" s="53"/>
      <c r="AB689" s="53"/>
      <c r="AC689" s="53"/>
      <c r="AD689" s="53"/>
      <c r="AE689" s="53"/>
      <c r="AF689" s="53"/>
      <c r="AG689" s="8"/>
      <c r="AH689" s="8"/>
      <c r="AI689" s="8"/>
      <c r="AJ689" s="8"/>
      <c r="AK689" s="8"/>
      <c r="AL689" s="8"/>
      <c r="AM689" s="8"/>
      <c r="AN689" s="8"/>
      <c r="AO689" s="8"/>
      <c r="AP689" s="8"/>
      <c r="AQ689" s="8"/>
      <c r="AR689" s="8"/>
      <c r="AS689" s="8"/>
      <c r="AT689" s="8"/>
      <c r="AU689" s="8"/>
      <c r="AV689" s="8"/>
      <c r="AW689" s="8"/>
      <c r="AX689" s="8"/>
      <c r="AY689" s="8"/>
      <c r="AZ689" s="8"/>
      <c r="BA689" s="8"/>
      <c r="BB689" s="8"/>
      <c r="BC689" s="8"/>
      <c r="BD689" s="8"/>
      <c r="BE689" s="8"/>
    </row>
    <row r="690" spans="1:57">
      <c r="A690" s="8"/>
      <c r="B690" s="8"/>
      <c r="C690" s="8"/>
      <c r="D690" s="8"/>
      <c r="E690" s="8"/>
      <c r="F690" s="54"/>
      <c r="G690" s="8"/>
      <c r="H690" s="8"/>
      <c r="I690" s="8"/>
      <c r="J690" s="8"/>
      <c r="K690" s="8"/>
      <c r="L690" s="8"/>
      <c r="M690" s="8"/>
      <c r="N690" s="8"/>
      <c r="O690" s="8"/>
      <c r="P690" s="8"/>
      <c r="Q690" s="8"/>
      <c r="R690" s="8"/>
      <c r="S690" s="8"/>
      <c r="T690" s="8"/>
      <c r="U690" s="53"/>
      <c r="V690" s="53"/>
      <c r="W690" s="53"/>
      <c r="X690" s="53"/>
      <c r="Y690" s="53"/>
      <c r="Z690" s="53"/>
      <c r="AA690" s="53"/>
      <c r="AB690" s="53"/>
      <c r="AC690" s="53"/>
      <c r="AD690" s="53"/>
      <c r="AE690" s="53"/>
      <c r="AF690" s="53"/>
      <c r="AG690" s="8"/>
      <c r="AH690" s="8"/>
      <c r="AI690" s="8"/>
      <c r="AJ690" s="8"/>
      <c r="AK690" s="8"/>
      <c r="AL690" s="8"/>
      <c r="AM690" s="8"/>
      <c r="AN690" s="8"/>
      <c r="AO690" s="8"/>
      <c r="AP690" s="8"/>
      <c r="AQ690" s="8"/>
      <c r="AR690" s="8"/>
      <c r="AS690" s="8"/>
      <c r="AT690" s="8"/>
      <c r="AU690" s="8"/>
      <c r="AV690" s="8"/>
      <c r="AW690" s="8"/>
      <c r="AX690" s="8"/>
      <c r="AY690" s="8"/>
      <c r="AZ690" s="8"/>
      <c r="BA690" s="8"/>
      <c r="BB690" s="8"/>
      <c r="BC690" s="8"/>
      <c r="BD690" s="8"/>
      <c r="BE690" s="8"/>
    </row>
    <row r="691" spans="1:57">
      <c r="A691" s="8"/>
      <c r="B691" s="8"/>
      <c r="C691" s="8"/>
      <c r="D691" s="8"/>
      <c r="E691" s="8"/>
      <c r="F691" s="54"/>
      <c r="G691" s="8"/>
      <c r="H691" s="8"/>
      <c r="I691" s="8"/>
      <c r="J691" s="8"/>
      <c r="K691" s="8"/>
      <c r="L691" s="8"/>
      <c r="M691" s="8"/>
      <c r="N691" s="8"/>
      <c r="O691" s="8"/>
      <c r="P691" s="8"/>
      <c r="Q691" s="8"/>
      <c r="R691" s="8"/>
      <c r="S691" s="8"/>
      <c r="T691" s="8"/>
      <c r="U691" s="53"/>
      <c r="V691" s="53"/>
      <c r="W691" s="53"/>
      <c r="X691" s="53"/>
      <c r="Y691" s="53"/>
      <c r="Z691" s="53"/>
      <c r="AA691" s="53"/>
      <c r="AB691" s="53"/>
      <c r="AC691" s="53"/>
      <c r="AD691" s="53"/>
      <c r="AE691" s="53"/>
      <c r="AF691" s="53"/>
      <c r="AG691" s="8"/>
      <c r="AH691" s="8"/>
      <c r="AI691" s="8"/>
      <c r="AJ691" s="8"/>
      <c r="AK691" s="8"/>
      <c r="AL691" s="8"/>
      <c r="AM691" s="8"/>
      <c r="AN691" s="8"/>
      <c r="AO691" s="8"/>
      <c r="AP691" s="8"/>
      <c r="AQ691" s="8"/>
      <c r="AR691" s="8"/>
      <c r="AS691" s="8"/>
      <c r="AT691" s="8"/>
      <c r="AU691" s="8"/>
      <c r="AV691" s="8"/>
      <c r="AW691" s="8"/>
      <c r="AX691" s="8"/>
      <c r="AY691" s="8"/>
      <c r="AZ691" s="8"/>
      <c r="BA691" s="8"/>
      <c r="BB691" s="8"/>
      <c r="BC691" s="8"/>
      <c r="BD691" s="8"/>
      <c r="BE691" s="8"/>
    </row>
    <row r="692" spans="1:57">
      <c r="A692" s="8"/>
      <c r="B692" s="8"/>
      <c r="C692" s="8"/>
      <c r="D692" s="8"/>
      <c r="E692" s="8"/>
      <c r="F692" s="54"/>
      <c r="G692" s="8"/>
      <c r="H692" s="8"/>
      <c r="I692" s="8"/>
      <c r="J692" s="8"/>
      <c r="K692" s="8"/>
      <c r="L692" s="8"/>
      <c r="M692" s="8"/>
      <c r="N692" s="8"/>
      <c r="O692" s="8"/>
      <c r="P692" s="8"/>
      <c r="Q692" s="8"/>
      <c r="R692" s="8"/>
      <c r="S692" s="8"/>
      <c r="T692" s="8"/>
      <c r="U692" s="53"/>
      <c r="V692" s="53"/>
      <c r="W692" s="53"/>
      <c r="X692" s="53"/>
      <c r="Y692" s="53"/>
      <c r="Z692" s="53"/>
      <c r="AA692" s="53"/>
      <c r="AB692" s="53"/>
      <c r="AC692" s="53"/>
      <c r="AD692" s="53"/>
      <c r="AE692" s="53"/>
      <c r="AF692" s="53"/>
      <c r="AG692" s="8"/>
      <c r="AH692" s="8"/>
      <c r="AI692" s="8"/>
      <c r="AJ692" s="8"/>
      <c r="AK692" s="8"/>
      <c r="AL692" s="8"/>
      <c r="AM692" s="8"/>
      <c r="AN692" s="8"/>
      <c r="AO692" s="8"/>
      <c r="AP692" s="8"/>
      <c r="AQ692" s="8"/>
      <c r="AR692" s="8"/>
      <c r="AS692" s="8"/>
      <c r="AT692" s="8"/>
      <c r="AU692" s="8"/>
      <c r="AV692" s="8"/>
      <c r="AW692" s="8"/>
      <c r="AX692" s="8"/>
      <c r="AY692" s="8"/>
      <c r="AZ692" s="8"/>
      <c r="BA692" s="8"/>
      <c r="BB692" s="8"/>
      <c r="BC692" s="8"/>
      <c r="BD692" s="8"/>
      <c r="BE692" s="8"/>
    </row>
    <row r="693" spans="1:57">
      <c r="A693" s="8"/>
      <c r="B693" s="8"/>
      <c r="C693" s="8"/>
      <c r="D693" s="8"/>
      <c r="E693" s="8"/>
      <c r="F693" s="54"/>
      <c r="G693" s="8"/>
      <c r="H693" s="8"/>
      <c r="I693" s="8"/>
      <c r="J693" s="8"/>
      <c r="K693" s="8"/>
      <c r="L693" s="8"/>
      <c r="M693" s="8"/>
      <c r="N693" s="8"/>
      <c r="O693" s="8"/>
      <c r="P693" s="8"/>
      <c r="Q693" s="8"/>
      <c r="R693" s="8"/>
      <c r="S693" s="8"/>
      <c r="T693" s="8"/>
      <c r="U693" s="53"/>
      <c r="V693" s="53"/>
      <c r="W693" s="53"/>
      <c r="X693" s="53"/>
      <c r="Y693" s="53"/>
      <c r="Z693" s="53"/>
      <c r="AA693" s="53"/>
      <c r="AB693" s="53"/>
      <c r="AC693" s="53"/>
      <c r="AD693" s="53"/>
      <c r="AE693" s="53"/>
      <c r="AF693" s="53"/>
      <c r="AG693" s="8"/>
      <c r="AH693" s="8"/>
      <c r="AI693" s="8"/>
      <c r="AJ693" s="8"/>
      <c r="AK693" s="8"/>
      <c r="AL693" s="8"/>
      <c r="AM693" s="8"/>
      <c r="AN693" s="8"/>
      <c r="AO693" s="8"/>
      <c r="AP693" s="8"/>
      <c r="AQ693" s="8"/>
      <c r="AR693" s="8"/>
      <c r="AS693" s="8"/>
      <c r="AT693" s="8"/>
      <c r="AU693" s="8"/>
      <c r="AV693" s="8"/>
      <c r="AW693" s="8"/>
      <c r="AX693" s="8"/>
      <c r="AY693" s="8"/>
      <c r="AZ693" s="8"/>
      <c r="BA693" s="8"/>
      <c r="BB693" s="8"/>
      <c r="BC693" s="8"/>
      <c r="BD693" s="8"/>
      <c r="BE693" s="8"/>
    </row>
    <row r="694" spans="1:57">
      <c r="A694" s="8"/>
      <c r="B694" s="8"/>
      <c r="C694" s="8"/>
      <c r="D694" s="8"/>
      <c r="E694" s="8"/>
      <c r="F694" s="54"/>
      <c r="G694" s="8"/>
      <c r="H694" s="8"/>
      <c r="I694" s="8"/>
      <c r="J694" s="8"/>
      <c r="K694" s="8"/>
      <c r="L694" s="8"/>
      <c r="M694" s="8"/>
      <c r="N694" s="8"/>
      <c r="O694" s="8"/>
      <c r="P694" s="8"/>
      <c r="Q694" s="8"/>
      <c r="R694" s="8"/>
      <c r="S694" s="8"/>
      <c r="T694" s="8"/>
      <c r="U694" s="53"/>
      <c r="V694" s="53"/>
      <c r="W694" s="53"/>
      <c r="X694" s="53"/>
      <c r="Y694" s="53"/>
      <c r="Z694" s="53"/>
      <c r="AA694" s="53"/>
      <c r="AB694" s="53"/>
      <c r="AC694" s="53"/>
      <c r="AD694" s="53"/>
      <c r="AE694" s="53"/>
      <c r="AF694" s="53"/>
      <c r="AG694" s="8"/>
      <c r="AH694" s="8"/>
      <c r="AI694" s="8"/>
      <c r="AJ694" s="8"/>
      <c r="AK694" s="8"/>
      <c r="AL694" s="8"/>
      <c r="AM694" s="8"/>
      <c r="AN694" s="8"/>
      <c r="AO694" s="8"/>
      <c r="AP694" s="8"/>
      <c r="AQ694" s="8"/>
      <c r="AR694" s="8"/>
      <c r="AS694" s="8"/>
      <c r="AT694" s="8"/>
      <c r="AU694" s="8"/>
      <c r="AV694" s="8"/>
      <c r="AW694" s="8"/>
      <c r="AX694" s="8"/>
      <c r="AY694" s="8"/>
      <c r="AZ694" s="8"/>
      <c r="BA694" s="8"/>
      <c r="BB694" s="8"/>
      <c r="BC694" s="8"/>
      <c r="BD694" s="8"/>
      <c r="BE694" s="8"/>
    </row>
    <row r="695" spans="1:57">
      <c r="A695" s="8"/>
      <c r="B695" s="8"/>
      <c r="C695" s="8"/>
      <c r="D695" s="8"/>
      <c r="E695" s="8"/>
      <c r="F695" s="54"/>
      <c r="G695" s="8"/>
      <c r="H695" s="8"/>
      <c r="I695" s="8"/>
      <c r="J695" s="8"/>
      <c r="K695" s="8"/>
      <c r="L695" s="8"/>
      <c r="M695" s="8"/>
      <c r="N695" s="8"/>
      <c r="O695" s="8"/>
      <c r="P695" s="8"/>
      <c r="Q695" s="8"/>
      <c r="R695" s="8"/>
      <c r="S695" s="8"/>
      <c r="T695" s="8"/>
      <c r="U695" s="53"/>
      <c r="V695" s="53"/>
      <c r="W695" s="53"/>
      <c r="X695" s="53"/>
      <c r="Y695" s="53"/>
      <c r="Z695" s="53"/>
      <c r="AA695" s="53"/>
      <c r="AB695" s="53"/>
      <c r="AC695" s="53"/>
      <c r="AD695" s="53"/>
      <c r="AE695" s="53"/>
      <c r="AF695" s="53"/>
      <c r="AG695" s="8"/>
      <c r="AH695" s="8"/>
      <c r="AI695" s="8"/>
      <c r="AJ695" s="8"/>
      <c r="AK695" s="8"/>
      <c r="AL695" s="8"/>
      <c r="AM695" s="8"/>
      <c r="AN695" s="8"/>
      <c r="AO695" s="8"/>
      <c r="AP695" s="8"/>
      <c r="AQ695" s="8"/>
      <c r="AR695" s="8"/>
      <c r="AS695" s="8"/>
      <c r="AT695" s="8"/>
      <c r="AU695" s="8"/>
      <c r="AV695" s="8"/>
      <c r="AW695" s="8"/>
      <c r="AX695" s="8"/>
      <c r="AY695" s="8"/>
      <c r="AZ695" s="8"/>
      <c r="BA695" s="8"/>
      <c r="BB695" s="8"/>
      <c r="BC695" s="8"/>
      <c r="BD695" s="8"/>
      <c r="BE695" s="8"/>
    </row>
    <row r="696" spans="1:57">
      <c r="A696" s="8"/>
      <c r="B696" s="8"/>
      <c r="C696" s="8"/>
      <c r="D696" s="8"/>
      <c r="E696" s="8"/>
      <c r="F696" s="54"/>
      <c r="G696" s="8"/>
      <c r="H696" s="8"/>
      <c r="I696" s="8"/>
      <c r="J696" s="8"/>
      <c r="K696" s="8"/>
      <c r="L696" s="8"/>
      <c r="M696" s="8"/>
      <c r="N696" s="8"/>
      <c r="O696" s="8"/>
      <c r="P696" s="8"/>
      <c r="Q696" s="8"/>
      <c r="R696" s="8"/>
      <c r="S696" s="8"/>
      <c r="T696" s="8"/>
      <c r="U696" s="53"/>
      <c r="V696" s="53"/>
      <c r="W696" s="53"/>
      <c r="X696" s="53"/>
      <c r="Y696" s="53"/>
      <c r="Z696" s="53"/>
      <c r="AA696" s="53"/>
      <c r="AB696" s="53"/>
      <c r="AC696" s="53"/>
      <c r="AD696" s="53"/>
      <c r="AE696" s="53"/>
      <c r="AF696" s="53"/>
      <c r="AG696" s="8"/>
      <c r="AH696" s="8"/>
      <c r="AI696" s="8"/>
      <c r="AJ696" s="8"/>
      <c r="AK696" s="8"/>
      <c r="AL696" s="8"/>
      <c r="AM696" s="8"/>
      <c r="AN696" s="8"/>
      <c r="AO696" s="8"/>
      <c r="AP696" s="8"/>
      <c r="AQ696" s="8"/>
      <c r="AR696" s="8"/>
      <c r="AS696" s="8"/>
      <c r="AT696" s="8"/>
      <c r="AU696" s="8"/>
      <c r="AV696" s="8"/>
      <c r="AW696" s="8"/>
      <c r="AX696" s="8"/>
      <c r="AY696" s="8"/>
      <c r="AZ696" s="8"/>
      <c r="BA696" s="8"/>
      <c r="BB696" s="8"/>
      <c r="BC696" s="8"/>
      <c r="BD696" s="8"/>
      <c r="BE696" s="8"/>
    </row>
    <row r="697" spans="1:57">
      <c r="A697" s="8"/>
      <c r="B697" s="8"/>
      <c r="C697" s="8"/>
      <c r="D697" s="8"/>
      <c r="E697" s="8"/>
      <c r="F697" s="54"/>
      <c r="G697" s="8"/>
      <c r="H697" s="8"/>
      <c r="I697" s="8"/>
      <c r="J697" s="8"/>
      <c r="K697" s="8"/>
      <c r="L697" s="8"/>
      <c r="M697" s="8"/>
      <c r="N697" s="8"/>
      <c r="O697" s="8"/>
      <c r="P697" s="8"/>
      <c r="Q697" s="8"/>
      <c r="R697" s="8"/>
      <c r="S697" s="8"/>
      <c r="T697" s="8"/>
      <c r="U697" s="53"/>
      <c r="V697" s="53"/>
      <c r="W697" s="53"/>
      <c r="X697" s="53"/>
      <c r="Y697" s="53"/>
      <c r="Z697" s="53"/>
      <c r="AA697" s="53"/>
      <c r="AB697" s="53"/>
      <c r="AC697" s="53"/>
      <c r="AD697" s="53"/>
      <c r="AE697" s="53"/>
      <c r="AF697" s="53"/>
      <c r="AG697" s="8"/>
      <c r="AH697" s="8"/>
      <c r="AI697" s="8"/>
      <c r="AJ697" s="8"/>
      <c r="AK697" s="8"/>
      <c r="AL697" s="8"/>
      <c r="AM697" s="8"/>
      <c r="AN697" s="8"/>
      <c r="AO697" s="8"/>
      <c r="AP697" s="8"/>
      <c r="AQ697" s="8"/>
      <c r="AR697" s="8"/>
      <c r="AS697" s="8"/>
      <c r="AT697" s="8"/>
      <c r="AU697" s="8"/>
      <c r="AV697" s="8"/>
      <c r="AW697" s="8"/>
      <c r="AX697" s="8"/>
      <c r="AY697" s="8"/>
      <c r="AZ697" s="8"/>
      <c r="BA697" s="8"/>
      <c r="BB697" s="8"/>
      <c r="BC697" s="8"/>
      <c r="BD697" s="8"/>
      <c r="BE697" s="8"/>
    </row>
    <row r="698" spans="1:57">
      <c r="A698" s="8"/>
      <c r="B698" s="8"/>
      <c r="C698" s="8"/>
      <c r="D698" s="8"/>
      <c r="E698" s="8"/>
      <c r="F698" s="54"/>
      <c r="G698" s="8"/>
      <c r="H698" s="8"/>
      <c r="I698" s="8"/>
      <c r="J698" s="8"/>
      <c r="K698" s="8"/>
      <c r="L698" s="8"/>
      <c r="M698" s="8"/>
      <c r="N698" s="8"/>
      <c r="O698" s="8"/>
      <c r="P698" s="8"/>
      <c r="Q698" s="8"/>
      <c r="R698" s="8"/>
      <c r="S698" s="8"/>
      <c r="T698" s="8"/>
      <c r="U698" s="53"/>
      <c r="V698" s="53"/>
      <c r="W698" s="53"/>
      <c r="X698" s="53"/>
      <c r="Y698" s="53"/>
      <c r="Z698" s="53"/>
      <c r="AA698" s="53"/>
      <c r="AB698" s="53"/>
      <c r="AC698" s="53"/>
      <c r="AD698" s="53"/>
      <c r="AE698" s="53"/>
      <c r="AF698" s="53"/>
      <c r="AG698" s="8"/>
      <c r="AH698" s="8"/>
      <c r="AI698" s="8"/>
      <c r="AJ698" s="8"/>
      <c r="AK698" s="8"/>
      <c r="AL698" s="8"/>
      <c r="AM698" s="8"/>
      <c r="AN698" s="8"/>
      <c r="AO698" s="8"/>
      <c r="AP698" s="8"/>
      <c r="AQ698" s="8"/>
      <c r="AR698" s="8"/>
      <c r="AS698" s="8"/>
      <c r="AT698" s="8"/>
      <c r="AU698" s="8"/>
      <c r="AV698" s="8"/>
      <c r="AW698" s="8"/>
      <c r="AX698" s="8"/>
      <c r="AY698" s="8"/>
      <c r="AZ698" s="8"/>
      <c r="BA698" s="8"/>
      <c r="BB698" s="8"/>
      <c r="BC698" s="8"/>
      <c r="BD698" s="8"/>
      <c r="BE698" s="8"/>
    </row>
    <row r="699" spans="1:57">
      <c r="A699" s="8"/>
      <c r="B699" s="8"/>
      <c r="C699" s="8"/>
      <c r="D699" s="8"/>
      <c r="E699" s="8"/>
      <c r="F699" s="54"/>
      <c r="G699" s="8"/>
      <c r="H699" s="8"/>
      <c r="I699" s="8"/>
      <c r="J699" s="8"/>
      <c r="K699" s="8"/>
      <c r="L699" s="8"/>
      <c r="M699" s="8"/>
      <c r="N699" s="8"/>
      <c r="O699" s="8"/>
      <c r="P699" s="8"/>
      <c r="Q699" s="8"/>
      <c r="R699" s="8"/>
      <c r="S699" s="8"/>
      <c r="T699" s="8"/>
      <c r="U699" s="53"/>
      <c r="V699" s="53"/>
      <c r="W699" s="53"/>
      <c r="X699" s="53"/>
      <c r="Y699" s="53"/>
      <c r="Z699" s="53"/>
      <c r="AA699" s="53"/>
      <c r="AB699" s="53"/>
      <c r="AC699" s="53"/>
      <c r="AD699" s="53"/>
      <c r="AE699" s="53"/>
      <c r="AF699" s="53"/>
      <c r="AG699" s="8"/>
      <c r="AH699" s="8"/>
      <c r="AI699" s="8"/>
      <c r="AJ699" s="8"/>
      <c r="AK699" s="8"/>
      <c r="AL699" s="8"/>
      <c r="AM699" s="8"/>
      <c r="AN699" s="8"/>
      <c r="AO699" s="8"/>
      <c r="AP699" s="8"/>
      <c r="AQ699" s="8"/>
      <c r="AR699" s="8"/>
      <c r="AS699" s="8"/>
      <c r="AT699" s="8"/>
      <c r="AU699" s="8"/>
      <c r="AV699" s="8"/>
      <c r="AW699" s="8"/>
      <c r="AX699" s="8"/>
      <c r="AY699" s="8"/>
      <c r="AZ699" s="8"/>
      <c r="BA699" s="8"/>
      <c r="BB699" s="8"/>
      <c r="BC699" s="8"/>
      <c r="BD699" s="8"/>
      <c r="BE699" s="8"/>
    </row>
    <row r="700" spans="1:57">
      <c r="A700" s="8"/>
      <c r="B700" s="8"/>
      <c r="C700" s="8"/>
      <c r="D700" s="8"/>
      <c r="E700" s="8"/>
      <c r="F700" s="54"/>
      <c r="G700" s="8"/>
      <c r="H700" s="8"/>
      <c r="I700" s="8"/>
      <c r="J700" s="8"/>
      <c r="K700" s="8"/>
      <c r="L700" s="8"/>
      <c r="M700" s="8"/>
      <c r="N700" s="8"/>
      <c r="O700" s="8"/>
      <c r="P700" s="8"/>
      <c r="Q700" s="8"/>
      <c r="R700" s="8"/>
      <c r="S700" s="8"/>
      <c r="T700" s="8"/>
      <c r="U700" s="53"/>
      <c r="V700" s="53"/>
      <c r="W700" s="53"/>
      <c r="X700" s="53"/>
      <c r="Y700" s="53"/>
      <c r="Z700" s="53"/>
      <c r="AA700" s="53"/>
      <c r="AB700" s="53"/>
      <c r="AC700" s="53"/>
      <c r="AD700" s="53"/>
      <c r="AE700" s="53"/>
      <c r="AF700" s="53"/>
      <c r="AG700" s="8"/>
      <c r="AH700" s="8"/>
      <c r="AI700" s="8"/>
      <c r="AJ700" s="8"/>
      <c r="AK700" s="8"/>
      <c r="AL700" s="8"/>
      <c r="AM700" s="8"/>
      <c r="AN700" s="8"/>
      <c r="AO700" s="8"/>
      <c r="AP700" s="8"/>
      <c r="AQ700" s="8"/>
      <c r="AR700" s="8"/>
      <c r="AS700" s="8"/>
      <c r="AT700" s="8"/>
      <c r="AU700" s="8"/>
      <c r="AV700" s="8"/>
      <c r="AW700" s="8"/>
      <c r="AX700" s="8"/>
      <c r="AY700" s="8"/>
      <c r="AZ700" s="8"/>
      <c r="BA700" s="8"/>
      <c r="BB700" s="8"/>
      <c r="BC700" s="8"/>
      <c r="BD700" s="8"/>
      <c r="BE700" s="8"/>
    </row>
    <row r="701" spans="1:57">
      <c r="A701" s="8"/>
      <c r="B701" s="8"/>
      <c r="C701" s="8"/>
      <c r="D701" s="8"/>
      <c r="E701" s="8"/>
      <c r="F701" s="54"/>
      <c r="G701" s="8"/>
      <c r="H701" s="8"/>
      <c r="I701" s="8"/>
      <c r="J701" s="8"/>
      <c r="K701" s="8"/>
      <c r="L701" s="8"/>
      <c r="M701" s="8"/>
      <c r="N701" s="8"/>
      <c r="O701" s="8"/>
      <c r="P701" s="8"/>
      <c r="Q701" s="8"/>
      <c r="R701" s="8"/>
      <c r="S701" s="8"/>
      <c r="T701" s="8"/>
      <c r="U701" s="53"/>
      <c r="V701" s="53"/>
      <c r="W701" s="53"/>
      <c r="X701" s="53"/>
      <c r="Y701" s="53"/>
      <c r="Z701" s="53"/>
      <c r="AA701" s="53"/>
      <c r="AB701" s="53"/>
      <c r="AC701" s="53"/>
      <c r="AD701" s="53"/>
      <c r="AE701" s="53"/>
      <c r="AF701" s="53"/>
      <c r="AG701" s="8"/>
      <c r="AH701" s="8"/>
      <c r="AI701" s="8"/>
      <c r="AJ701" s="8"/>
      <c r="AK701" s="8"/>
      <c r="AL701" s="8"/>
      <c r="AM701" s="8"/>
      <c r="AN701" s="8"/>
      <c r="AO701" s="8"/>
      <c r="AP701" s="8"/>
      <c r="AQ701" s="8"/>
      <c r="AR701" s="8"/>
      <c r="AS701" s="8"/>
      <c r="AT701" s="8"/>
      <c r="AU701" s="8"/>
      <c r="AV701" s="8"/>
      <c r="AW701" s="8"/>
      <c r="AX701" s="8"/>
      <c r="AY701" s="8"/>
      <c r="AZ701" s="8"/>
      <c r="BA701" s="8"/>
      <c r="BB701" s="8"/>
      <c r="BC701" s="8"/>
      <c r="BD701" s="8"/>
      <c r="BE701" s="8"/>
    </row>
    <row r="702" spans="1:57">
      <c r="A702" s="8"/>
      <c r="B702" s="8"/>
      <c r="C702" s="8"/>
      <c r="D702" s="8"/>
      <c r="E702" s="8"/>
      <c r="F702" s="54"/>
      <c r="G702" s="8"/>
      <c r="H702" s="8"/>
      <c r="I702" s="8"/>
      <c r="J702" s="8"/>
      <c r="K702" s="8"/>
      <c r="L702" s="8"/>
      <c r="M702" s="8"/>
      <c r="N702" s="8"/>
      <c r="O702" s="8"/>
      <c r="P702" s="8"/>
      <c r="Q702" s="8"/>
      <c r="R702" s="8"/>
      <c r="S702" s="8"/>
      <c r="T702" s="8"/>
      <c r="U702" s="53"/>
      <c r="V702" s="53"/>
      <c r="W702" s="53"/>
      <c r="X702" s="53"/>
      <c r="Y702" s="53"/>
      <c r="Z702" s="53"/>
      <c r="AA702" s="53"/>
      <c r="AB702" s="53"/>
      <c r="AC702" s="53"/>
      <c r="AD702" s="53"/>
      <c r="AE702" s="53"/>
      <c r="AF702" s="53"/>
      <c r="AG702" s="8"/>
      <c r="AH702" s="8"/>
      <c r="AI702" s="8"/>
      <c r="AJ702" s="8"/>
      <c r="AK702" s="8"/>
      <c r="AL702" s="8"/>
      <c r="AM702" s="8"/>
      <c r="AN702" s="8"/>
      <c r="AO702" s="8"/>
      <c r="AP702" s="8"/>
      <c r="AQ702" s="8"/>
      <c r="AR702" s="8"/>
      <c r="AS702" s="8"/>
      <c r="AT702" s="8"/>
      <c r="AU702" s="8"/>
      <c r="AV702" s="8"/>
      <c r="AW702" s="8"/>
      <c r="AX702" s="8"/>
      <c r="AY702" s="8"/>
      <c r="AZ702" s="8"/>
      <c r="BA702" s="8"/>
      <c r="BB702" s="8"/>
      <c r="BC702" s="8"/>
      <c r="BD702" s="8"/>
      <c r="BE702" s="8"/>
    </row>
    <row r="703" spans="1:57">
      <c r="A703" s="8"/>
      <c r="B703" s="8"/>
      <c r="C703" s="8"/>
      <c r="D703" s="8"/>
      <c r="E703" s="8"/>
      <c r="F703" s="54"/>
      <c r="G703" s="8"/>
      <c r="H703" s="8"/>
      <c r="I703" s="8"/>
      <c r="J703" s="8"/>
      <c r="K703" s="8"/>
      <c r="L703" s="8"/>
      <c r="M703" s="8"/>
      <c r="N703" s="8"/>
      <c r="O703" s="8"/>
      <c r="P703" s="8"/>
      <c r="Q703" s="8"/>
      <c r="R703" s="8"/>
      <c r="S703" s="8"/>
      <c r="T703" s="8"/>
      <c r="U703" s="53"/>
      <c r="V703" s="53"/>
      <c r="W703" s="53"/>
      <c r="X703" s="53"/>
      <c r="Y703" s="53"/>
      <c r="Z703" s="53"/>
      <c r="AA703" s="53"/>
      <c r="AB703" s="53"/>
      <c r="AC703" s="53"/>
      <c r="AD703" s="53"/>
      <c r="AE703" s="53"/>
      <c r="AF703" s="53"/>
      <c r="AG703" s="8"/>
      <c r="AH703" s="8"/>
      <c r="AI703" s="8"/>
      <c r="AJ703" s="8"/>
      <c r="AK703" s="8"/>
      <c r="AL703" s="8"/>
      <c r="AM703" s="8"/>
      <c r="AN703" s="8"/>
      <c r="AO703" s="8"/>
      <c r="AP703" s="8"/>
      <c r="AQ703" s="8"/>
      <c r="AR703" s="8"/>
      <c r="AS703" s="8"/>
      <c r="AT703" s="8"/>
      <c r="AU703" s="8"/>
      <c r="AV703" s="8"/>
      <c r="AW703" s="8"/>
      <c r="AX703" s="8"/>
      <c r="AY703" s="8"/>
      <c r="AZ703" s="8"/>
      <c r="BA703" s="8"/>
      <c r="BB703" s="8"/>
      <c r="BC703" s="8"/>
      <c r="BD703" s="8"/>
      <c r="BE703" s="8"/>
    </row>
    <row r="704" spans="1:57">
      <c r="A704" s="8"/>
      <c r="B704" s="8"/>
      <c r="C704" s="8"/>
      <c r="D704" s="8"/>
      <c r="E704" s="8"/>
      <c r="F704" s="54"/>
      <c r="G704" s="8"/>
      <c r="H704" s="8"/>
      <c r="I704" s="8"/>
      <c r="J704" s="8"/>
      <c r="K704" s="8"/>
      <c r="L704" s="8"/>
      <c r="M704" s="8"/>
      <c r="N704" s="8"/>
      <c r="O704" s="8"/>
      <c r="P704" s="8"/>
      <c r="Q704" s="8"/>
      <c r="R704" s="8"/>
      <c r="S704" s="8"/>
      <c r="T704" s="8"/>
      <c r="U704" s="53"/>
      <c r="V704" s="53"/>
      <c r="W704" s="53"/>
      <c r="X704" s="53"/>
      <c r="Y704" s="53"/>
      <c r="Z704" s="53"/>
      <c r="AA704" s="53"/>
      <c r="AB704" s="53"/>
      <c r="AC704" s="53"/>
      <c r="AD704" s="53"/>
      <c r="AE704" s="53"/>
      <c r="AF704" s="53"/>
      <c r="AG704" s="8"/>
      <c r="AH704" s="8"/>
      <c r="AI704" s="8"/>
      <c r="AJ704" s="8"/>
      <c r="AK704" s="8"/>
      <c r="AL704" s="8"/>
      <c r="AM704" s="8"/>
      <c r="AN704" s="8"/>
      <c r="AO704" s="8"/>
      <c r="AP704" s="8"/>
      <c r="AQ704" s="8"/>
      <c r="AR704" s="8"/>
      <c r="AS704" s="8"/>
      <c r="AT704" s="8"/>
      <c r="AU704" s="8"/>
      <c r="AV704" s="8"/>
      <c r="AW704" s="8"/>
      <c r="AX704" s="8"/>
      <c r="AY704" s="8"/>
      <c r="AZ704" s="8"/>
      <c r="BA704" s="8"/>
      <c r="BB704" s="8"/>
      <c r="BC704" s="8"/>
      <c r="BD704" s="8"/>
      <c r="BE704" s="8"/>
    </row>
    <row r="705" spans="1:57">
      <c r="A705" s="8"/>
      <c r="B705" s="8"/>
      <c r="C705" s="8"/>
      <c r="D705" s="8"/>
      <c r="E705" s="8"/>
      <c r="F705" s="54"/>
      <c r="G705" s="8"/>
      <c r="H705" s="8"/>
      <c r="I705" s="8"/>
      <c r="J705" s="8"/>
      <c r="K705" s="8"/>
      <c r="L705" s="8"/>
      <c r="M705" s="8"/>
      <c r="N705" s="8"/>
      <c r="O705" s="8"/>
      <c r="P705" s="8"/>
      <c r="Q705" s="8"/>
      <c r="R705" s="8"/>
      <c r="S705" s="8"/>
      <c r="T705" s="8"/>
      <c r="U705" s="53"/>
      <c r="V705" s="53"/>
      <c r="W705" s="53"/>
      <c r="X705" s="53"/>
      <c r="Y705" s="53"/>
      <c r="Z705" s="53"/>
      <c r="AA705" s="53"/>
      <c r="AB705" s="53"/>
      <c r="AC705" s="53"/>
      <c r="AD705" s="53"/>
      <c r="AE705" s="53"/>
      <c r="AF705" s="53"/>
      <c r="AG705" s="8"/>
      <c r="AH705" s="8"/>
      <c r="AI705" s="8"/>
      <c r="AJ705" s="8"/>
      <c r="AK705" s="8"/>
      <c r="AL705" s="8"/>
      <c r="AM705" s="8"/>
      <c r="AN705" s="8"/>
      <c r="AO705" s="8"/>
      <c r="AP705" s="8"/>
      <c r="AQ705" s="8"/>
      <c r="AR705" s="8"/>
      <c r="AS705" s="8"/>
      <c r="AT705" s="8"/>
      <c r="AU705" s="8"/>
      <c r="AV705" s="8"/>
      <c r="AW705" s="8"/>
      <c r="AX705" s="8"/>
      <c r="AY705" s="8"/>
      <c r="AZ705" s="8"/>
      <c r="BA705" s="8"/>
      <c r="BB705" s="8"/>
      <c r="BC705" s="8"/>
      <c r="BD705" s="8"/>
      <c r="BE705" s="8"/>
    </row>
    <row r="706" spans="1:57">
      <c r="A706" s="8"/>
      <c r="B706" s="8"/>
      <c r="C706" s="8"/>
      <c r="D706" s="8"/>
      <c r="E706" s="8"/>
      <c r="F706" s="54"/>
      <c r="G706" s="8"/>
      <c r="H706" s="8"/>
      <c r="I706" s="8"/>
      <c r="J706" s="8"/>
      <c r="K706" s="8"/>
      <c r="L706" s="8"/>
      <c r="M706" s="8"/>
      <c r="N706" s="8"/>
      <c r="O706" s="8"/>
      <c r="P706" s="8"/>
      <c r="Q706" s="8"/>
      <c r="R706" s="8"/>
      <c r="S706" s="8"/>
      <c r="T706" s="8"/>
      <c r="U706" s="53"/>
      <c r="V706" s="53"/>
      <c r="W706" s="53"/>
      <c r="X706" s="53"/>
      <c r="Y706" s="53"/>
      <c r="Z706" s="53"/>
      <c r="AA706" s="53"/>
      <c r="AB706" s="53"/>
      <c r="AC706" s="53"/>
      <c r="AD706" s="53"/>
      <c r="AE706" s="53"/>
      <c r="AF706" s="53"/>
      <c r="AG706" s="8"/>
      <c r="AH706" s="8"/>
      <c r="AI706" s="8"/>
      <c r="AJ706" s="8"/>
      <c r="AK706" s="8"/>
      <c r="AL706" s="8"/>
      <c r="AM706" s="8"/>
      <c r="AN706" s="8"/>
      <c r="AO706" s="8"/>
      <c r="AP706" s="8"/>
      <c r="AQ706" s="8"/>
      <c r="AR706" s="8"/>
      <c r="AS706" s="8"/>
      <c r="AT706" s="8"/>
      <c r="AU706" s="8"/>
      <c r="AV706" s="8"/>
      <c r="AW706" s="8"/>
      <c r="AX706" s="8"/>
      <c r="AY706" s="8"/>
      <c r="AZ706" s="8"/>
      <c r="BA706" s="8"/>
      <c r="BB706" s="8"/>
      <c r="BC706" s="8"/>
      <c r="BD706" s="8"/>
      <c r="BE706" s="8"/>
    </row>
    <row r="707" spans="1:57">
      <c r="A707" s="8"/>
      <c r="B707" s="8"/>
      <c r="C707" s="8"/>
      <c r="D707" s="8"/>
      <c r="E707" s="8"/>
      <c r="F707" s="54"/>
      <c r="G707" s="8"/>
      <c r="H707" s="8"/>
      <c r="I707" s="8"/>
      <c r="J707" s="8"/>
      <c r="K707" s="8"/>
      <c r="L707" s="8"/>
      <c r="M707" s="8"/>
      <c r="N707" s="8"/>
      <c r="O707" s="8"/>
      <c r="P707" s="8"/>
      <c r="Q707" s="8"/>
      <c r="R707" s="8"/>
      <c r="S707" s="8"/>
      <c r="T707" s="8"/>
      <c r="U707" s="53"/>
      <c r="V707" s="53"/>
      <c r="W707" s="53"/>
      <c r="X707" s="53"/>
      <c r="Y707" s="53"/>
      <c r="Z707" s="53"/>
      <c r="AA707" s="53"/>
      <c r="AB707" s="53"/>
      <c r="AC707" s="53"/>
      <c r="AD707" s="53"/>
      <c r="AE707" s="53"/>
      <c r="AF707" s="53"/>
      <c r="AG707" s="8"/>
      <c r="AH707" s="8"/>
      <c r="AI707" s="8"/>
      <c r="AJ707" s="8"/>
      <c r="AK707" s="8"/>
      <c r="AL707" s="8"/>
      <c r="AM707" s="8"/>
      <c r="AN707" s="8"/>
      <c r="AO707" s="8"/>
      <c r="AP707" s="8"/>
      <c r="AQ707" s="8"/>
      <c r="AR707" s="8"/>
      <c r="AS707" s="8"/>
      <c r="AT707" s="8"/>
      <c r="AU707" s="8"/>
      <c r="AV707" s="8"/>
      <c r="AW707" s="8"/>
      <c r="AX707" s="8"/>
      <c r="AY707" s="8"/>
      <c r="AZ707" s="8"/>
      <c r="BA707" s="8"/>
      <c r="BB707" s="8"/>
      <c r="BC707" s="8"/>
      <c r="BD707" s="8"/>
      <c r="BE707" s="8"/>
    </row>
    <row r="708" spans="1:57">
      <c r="A708" s="8"/>
      <c r="B708" s="8"/>
      <c r="C708" s="8"/>
      <c r="D708" s="8"/>
      <c r="E708" s="8"/>
      <c r="F708" s="54"/>
      <c r="G708" s="8"/>
      <c r="H708" s="8"/>
      <c r="I708" s="8"/>
      <c r="J708" s="8"/>
      <c r="K708" s="8"/>
      <c r="L708" s="8"/>
      <c r="M708" s="8"/>
      <c r="N708" s="8"/>
      <c r="O708" s="8"/>
      <c r="P708" s="8"/>
      <c r="Q708" s="8"/>
      <c r="R708" s="8"/>
      <c r="S708" s="8"/>
      <c r="T708" s="8"/>
      <c r="U708" s="53"/>
      <c r="V708" s="53"/>
      <c r="W708" s="53"/>
      <c r="X708" s="53"/>
      <c r="Y708" s="53"/>
      <c r="Z708" s="53"/>
      <c r="AA708" s="53"/>
      <c r="AB708" s="53"/>
      <c r="AC708" s="53"/>
      <c r="AD708" s="53"/>
      <c r="AE708" s="53"/>
      <c r="AF708" s="53"/>
      <c r="AG708" s="8"/>
      <c r="AH708" s="8"/>
      <c r="AI708" s="8"/>
      <c r="AJ708" s="8"/>
      <c r="AK708" s="8"/>
      <c r="AL708" s="8"/>
      <c r="AM708" s="8"/>
      <c r="AN708" s="8"/>
      <c r="AO708" s="8"/>
      <c r="AP708" s="8"/>
      <c r="AQ708" s="8"/>
      <c r="AR708" s="8"/>
      <c r="AS708" s="8"/>
      <c r="AT708" s="8"/>
      <c r="AU708" s="8"/>
      <c r="AV708" s="8"/>
      <c r="AW708" s="8"/>
      <c r="AX708" s="8"/>
      <c r="AY708" s="8"/>
      <c r="AZ708" s="8"/>
      <c r="BA708" s="8"/>
      <c r="BB708" s="8"/>
      <c r="BC708" s="8"/>
      <c r="BD708" s="8"/>
      <c r="BE708" s="8"/>
    </row>
    <row r="709" spans="1:57">
      <c r="A709" s="8"/>
      <c r="B709" s="8"/>
      <c r="C709" s="8"/>
      <c r="D709" s="8"/>
      <c r="E709" s="8"/>
      <c r="F709" s="54"/>
      <c r="G709" s="8"/>
      <c r="H709" s="8"/>
      <c r="I709" s="8"/>
      <c r="J709" s="8"/>
      <c r="K709" s="8"/>
      <c r="L709" s="8"/>
      <c r="M709" s="8"/>
      <c r="N709" s="8"/>
      <c r="O709" s="8"/>
      <c r="P709" s="8"/>
      <c r="Q709" s="8"/>
      <c r="R709" s="8"/>
      <c r="S709" s="8"/>
      <c r="T709" s="8"/>
      <c r="U709" s="53"/>
      <c r="V709" s="53"/>
      <c r="W709" s="53"/>
      <c r="X709" s="53"/>
      <c r="Y709" s="53"/>
      <c r="Z709" s="53"/>
      <c r="AA709" s="53"/>
      <c r="AB709" s="53"/>
      <c r="AC709" s="53"/>
      <c r="AD709" s="53"/>
      <c r="AE709" s="53"/>
      <c r="AF709" s="53"/>
      <c r="AG709" s="8"/>
      <c r="AH709" s="8"/>
      <c r="AI709" s="8"/>
      <c r="AJ709" s="8"/>
      <c r="AK709" s="8"/>
      <c r="AL709" s="8"/>
      <c r="AM709" s="8"/>
      <c r="AN709" s="8"/>
      <c r="AO709" s="8"/>
      <c r="AP709" s="8"/>
      <c r="AQ709" s="8"/>
      <c r="AR709" s="8"/>
      <c r="AS709" s="8"/>
      <c r="AT709" s="8"/>
      <c r="AU709" s="8"/>
      <c r="AV709" s="8"/>
      <c r="AW709" s="8"/>
      <c r="AX709" s="8"/>
      <c r="AY709" s="8"/>
      <c r="AZ709" s="8"/>
      <c r="BA709" s="8"/>
      <c r="BB709" s="8"/>
      <c r="BC709" s="8"/>
      <c r="BD709" s="8"/>
      <c r="BE709" s="8"/>
    </row>
    <row r="710" spans="1:57">
      <c r="A710" s="8"/>
      <c r="B710" s="8"/>
      <c r="C710" s="8"/>
      <c r="D710" s="8"/>
      <c r="E710" s="8"/>
      <c r="F710" s="54"/>
      <c r="G710" s="8"/>
      <c r="H710" s="8"/>
      <c r="I710" s="8"/>
      <c r="J710" s="8"/>
      <c r="K710" s="8"/>
      <c r="L710" s="8"/>
      <c r="M710" s="8"/>
      <c r="N710" s="8"/>
      <c r="O710" s="8"/>
      <c r="P710" s="8"/>
      <c r="Q710" s="8"/>
      <c r="R710" s="8"/>
      <c r="S710" s="8"/>
      <c r="T710" s="8"/>
      <c r="U710" s="53"/>
      <c r="V710" s="53"/>
      <c r="W710" s="53"/>
      <c r="X710" s="53"/>
      <c r="Y710" s="53"/>
      <c r="Z710" s="53"/>
      <c r="AA710" s="53"/>
      <c r="AB710" s="53"/>
      <c r="AC710" s="53"/>
      <c r="AD710" s="53"/>
      <c r="AE710" s="53"/>
      <c r="AF710" s="53"/>
      <c r="AG710" s="8"/>
      <c r="AH710" s="8"/>
      <c r="AI710" s="8"/>
      <c r="AJ710" s="8"/>
      <c r="AK710" s="8"/>
      <c r="AL710" s="8"/>
      <c r="AM710" s="8"/>
      <c r="AN710" s="8"/>
      <c r="AO710" s="8"/>
      <c r="AP710" s="8"/>
      <c r="AQ710" s="8"/>
      <c r="AR710" s="8"/>
      <c r="AS710" s="8"/>
      <c r="AT710" s="8"/>
      <c r="AU710" s="8"/>
      <c r="AV710" s="8"/>
      <c r="AW710" s="8"/>
      <c r="AX710" s="8"/>
      <c r="AY710" s="8"/>
      <c r="AZ710" s="8"/>
      <c r="BA710" s="8"/>
      <c r="BB710" s="8"/>
      <c r="BC710" s="8"/>
      <c r="BD710" s="8"/>
      <c r="BE710" s="8"/>
    </row>
    <row r="711" spans="1:57">
      <c r="A711" s="8"/>
      <c r="B711" s="8"/>
      <c r="C711" s="8"/>
      <c r="D711" s="8"/>
      <c r="E711" s="8"/>
      <c r="F711" s="54"/>
      <c r="G711" s="8"/>
      <c r="H711" s="8"/>
      <c r="I711" s="8"/>
      <c r="J711" s="8"/>
      <c r="K711" s="8"/>
      <c r="L711" s="8"/>
      <c r="M711" s="8"/>
      <c r="N711" s="8"/>
      <c r="O711" s="8"/>
      <c r="P711" s="8"/>
      <c r="Q711" s="8"/>
      <c r="R711" s="8"/>
      <c r="S711" s="8"/>
      <c r="T711" s="8"/>
      <c r="U711" s="53"/>
      <c r="V711" s="53"/>
      <c r="W711" s="53"/>
      <c r="X711" s="53"/>
      <c r="Y711" s="53"/>
      <c r="Z711" s="53"/>
      <c r="AA711" s="53"/>
      <c r="AB711" s="53"/>
      <c r="AC711" s="53"/>
      <c r="AD711" s="53"/>
      <c r="AE711" s="53"/>
      <c r="AF711" s="53"/>
      <c r="AG711" s="8"/>
      <c r="AH711" s="8"/>
      <c r="AI711" s="8"/>
      <c r="AJ711" s="8"/>
      <c r="AK711" s="8"/>
      <c r="AL711" s="8"/>
      <c r="AM711" s="8"/>
      <c r="AN711" s="8"/>
      <c r="AO711" s="8"/>
      <c r="AP711" s="8"/>
      <c r="AQ711" s="8"/>
      <c r="AR711" s="8"/>
      <c r="AS711" s="8"/>
      <c r="AT711" s="8"/>
      <c r="AU711" s="8"/>
      <c r="AV711" s="8"/>
      <c r="AW711" s="8"/>
      <c r="AX711" s="8"/>
      <c r="AY711" s="8"/>
      <c r="AZ711" s="8"/>
      <c r="BA711" s="8"/>
      <c r="BB711" s="8"/>
      <c r="BC711" s="8"/>
      <c r="BD711" s="8"/>
      <c r="BE711" s="8"/>
    </row>
    <row r="712" spans="1:57">
      <c r="A712" s="8"/>
      <c r="B712" s="8"/>
      <c r="C712" s="8"/>
      <c r="D712" s="8"/>
      <c r="E712" s="8"/>
      <c r="F712" s="54"/>
      <c r="G712" s="8"/>
      <c r="H712" s="8"/>
      <c r="I712" s="8"/>
      <c r="J712" s="8"/>
      <c r="K712" s="8"/>
      <c r="L712" s="8"/>
      <c r="M712" s="8"/>
      <c r="N712" s="8"/>
      <c r="O712" s="8"/>
      <c r="P712" s="8"/>
      <c r="Q712" s="8"/>
      <c r="R712" s="8"/>
      <c r="S712" s="8"/>
      <c r="T712" s="8"/>
      <c r="U712" s="53"/>
      <c r="V712" s="53"/>
      <c r="W712" s="53"/>
      <c r="X712" s="53"/>
      <c r="Y712" s="53"/>
      <c r="Z712" s="53"/>
      <c r="AA712" s="53"/>
      <c r="AB712" s="53"/>
      <c r="AC712" s="53"/>
      <c r="AD712" s="53"/>
      <c r="AE712" s="53"/>
      <c r="AF712" s="53"/>
      <c r="AG712" s="8"/>
      <c r="AH712" s="8"/>
      <c r="AI712" s="8"/>
      <c r="AJ712" s="8"/>
      <c r="AK712" s="8"/>
      <c r="AL712" s="8"/>
      <c r="AM712" s="8"/>
      <c r="AN712" s="8"/>
      <c r="AO712" s="8"/>
      <c r="AP712" s="8"/>
      <c r="AQ712" s="8"/>
      <c r="AR712" s="8"/>
      <c r="AS712" s="8"/>
      <c r="AT712" s="8"/>
      <c r="AU712" s="8"/>
      <c r="AV712" s="8"/>
      <c r="AW712" s="8"/>
      <c r="AX712" s="8"/>
      <c r="AY712" s="8"/>
      <c r="AZ712" s="8"/>
      <c r="BA712" s="8"/>
      <c r="BB712" s="8"/>
      <c r="BC712" s="8"/>
      <c r="BD712" s="8"/>
      <c r="BE712" s="8"/>
    </row>
    <row r="713" spans="1:57">
      <c r="A713" s="8"/>
      <c r="B713" s="8"/>
      <c r="C713" s="8"/>
      <c r="D713" s="8"/>
      <c r="E713" s="8"/>
      <c r="F713" s="54"/>
      <c r="G713" s="8"/>
      <c r="H713" s="8"/>
      <c r="I713" s="8"/>
      <c r="J713" s="8"/>
      <c r="K713" s="8"/>
      <c r="L713" s="8"/>
      <c r="M713" s="8"/>
      <c r="N713" s="8"/>
      <c r="O713" s="8"/>
      <c r="P713" s="8"/>
      <c r="Q713" s="8"/>
      <c r="R713" s="8"/>
      <c r="S713" s="8"/>
      <c r="T713" s="8"/>
      <c r="U713" s="53"/>
      <c r="V713" s="53"/>
      <c r="W713" s="53"/>
      <c r="X713" s="53"/>
      <c r="Y713" s="53"/>
      <c r="Z713" s="53"/>
      <c r="AA713" s="53"/>
      <c r="AB713" s="53"/>
      <c r="AC713" s="53"/>
      <c r="AD713" s="53"/>
      <c r="AE713" s="53"/>
      <c r="AF713" s="53"/>
      <c r="AG713" s="8"/>
      <c r="AH713" s="8"/>
      <c r="AI713" s="8"/>
      <c r="AJ713" s="8"/>
      <c r="AK713" s="8"/>
      <c r="AL713" s="8"/>
      <c r="AM713" s="8"/>
      <c r="AN713" s="8"/>
      <c r="AO713" s="8"/>
      <c r="AP713" s="8"/>
      <c r="AQ713" s="8"/>
      <c r="AR713" s="8"/>
      <c r="AS713" s="8"/>
      <c r="AT713" s="8"/>
      <c r="AU713" s="8"/>
      <c r="AV713" s="8"/>
      <c r="AW713" s="8"/>
      <c r="AX713" s="8"/>
      <c r="AY713" s="8"/>
      <c r="AZ713" s="8"/>
      <c r="BA713" s="8"/>
      <c r="BB713" s="8"/>
      <c r="BC713" s="8"/>
      <c r="BD713" s="8"/>
      <c r="BE713" s="8"/>
    </row>
    <row r="714" spans="1:57">
      <c r="A714" s="8"/>
      <c r="B714" s="8"/>
      <c r="C714" s="8"/>
      <c r="D714" s="8"/>
      <c r="E714" s="8"/>
      <c r="F714" s="54"/>
      <c r="G714" s="8"/>
      <c r="H714" s="8"/>
      <c r="I714" s="8"/>
      <c r="J714" s="8"/>
      <c r="K714" s="8"/>
      <c r="L714" s="8"/>
      <c r="M714" s="8"/>
      <c r="N714" s="8"/>
      <c r="O714" s="8"/>
      <c r="P714" s="8"/>
      <c r="Q714" s="8"/>
      <c r="R714" s="8"/>
      <c r="S714" s="8"/>
      <c r="T714" s="8"/>
      <c r="U714" s="53"/>
      <c r="V714" s="53"/>
      <c r="W714" s="53"/>
      <c r="X714" s="53"/>
      <c r="Y714" s="53"/>
      <c r="Z714" s="53"/>
      <c r="AA714" s="53"/>
      <c r="AB714" s="53"/>
      <c r="AC714" s="53"/>
      <c r="AD714" s="53"/>
      <c r="AE714" s="53"/>
      <c r="AF714" s="53"/>
      <c r="AG714" s="8"/>
      <c r="AH714" s="8"/>
      <c r="AI714" s="8"/>
      <c r="AJ714" s="8"/>
      <c r="AK714" s="8"/>
      <c r="AL714" s="8"/>
      <c r="AM714" s="8"/>
      <c r="AN714" s="8"/>
      <c r="AO714" s="8"/>
      <c r="AP714" s="8"/>
      <c r="AQ714" s="8"/>
      <c r="AR714" s="8"/>
      <c r="AS714" s="8"/>
      <c r="AT714" s="8"/>
      <c r="AU714" s="8"/>
      <c r="AV714" s="8"/>
      <c r="AW714" s="8"/>
      <c r="AX714" s="8"/>
      <c r="AY714" s="8"/>
      <c r="AZ714" s="8"/>
      <c r="BA714" s="8"/>
      <c r="BB714" s="8"/>
      <c r="BC714" s="8"/>
      <c r="BD714" s="8"/>
      <c r="BE714" s="8"/>
    </row>
    <row r="715" spans="1:57">
      <c r="A715" s="8"/>
      <c r="B715" s="8"/>
      <c r="C715" s="8"/>
      <c r="D715" s="8"/>
      <c r="E715" s="8"/>
      <c r="F715" s="54"/>
      <c r="G715" s="8"/>
      <c r="H715" s="8"/>
      <c r="I715" s="8"/>
      <c r="J715" s="8"/>
      <c r="K715" s="8"/>
      <c r="L715" s="8"/>
      <c r="M715" s="8"/>
      <c r="N715" s="8"/>
      <c r="O715" s="8"/>
      <c r="P715" s="8"/>
      <c r="Q715" s="8"/>
      <c r="R715" s="8"/>
      <c r="S715" s="8"/>
      <c r="T715" s="8"/>
      <c r="U715" s="53"/>
      <c r="V715" s="53"/>
      <c r="W715" s="53"/>
      <c r="X715" s="53"/>
      <c r="Y715" s="53"/>
      <c r="Z715" s="53"/>
      <c r="AA715" s="53"/>
      <c r="AB715" s="53"/>
      <c r="AC715" s="53"/>
      <c r="AD715" s="53"/>
      <c r="AE715" s="53"/>
      <c r="AF715" s="53"/>
      <c r="AG715" s="8"/>
      <c r="AH715" s="8"/>
      <c r="AI715" s="8"/>
      <c r="AJ715" s="8"/>
      <c r="AK715" s="8"/>
      <c r="AL715" s="8"/>
      <c r="AM715" s="8"/>
      <c r="AN715" s="8"/>
      <c r="AO715" s="8"/>
      <c r="AP715" s="8"/>
      <c r="AQ715" s="8"/>
      <c r="AR715" s="8"/>
      <c r="AS715" s="8"/>
      <c r="AT715" s="8"/>
      <c r="AU715" s="8"/>
      <c r="AV715" s="8"/>
      <c r="AW715" s="8"/>
      <c r="AX715" s="8"/>
      <c r="AY715" s="8"/>
      <c r="AZ715" s="8"/>
      <c r="BA715" s="8"/>
      <c r="BB715" s="8"/>
      <c r="BC715" s="8"/>
      <c r="BD715" s="8"/>
      <c r="BE715" s="8"/>
    </row>
    <row r="716" spans="1:57">
      <c r="A716" s="8"/>
      <c r="B716" s="8"/>
      <c r="C716" s="8"/>
      <c r="D716" s="8"/>
      <c r="E716" s="8"/>
      <c r="F716" s="54"/>
      <c r="G716" s="8"/>
      <c r="H716" s="8"/>
      <c r="I716" s="8"/>
      <c r="J716" s="8"/>
      <c r="K716" s="8"/>
      <c r="L716" s="8"/>
      <c r="M716" s="8"/>
      <c r="N716" s="8"/>
      <c r="O716" s="8"/>
      <c r="P716" s="8"/>
      <c r="Q716" s="8"/>
      <c r="R716" s="8"/>
      <c r="S716" s="8"/>
      <c r="T716" s="8"/>
      <c r="U716" s="53"/>
      <c r="V716" s="53"/>
      <c r="W716" s="53"/>
      <c r="X716" s="53"/>
      <c r="Y716" s="53"/>
      <c r="Z716" s="53"/>
      <c r="AA716" s="53"/>
      <c r="AB716" s="53"/>
      <c r="AC716" s="53"/>
      <c r="AD716" s="53"/>
      <c r="AE716" s="53"/>
      <c r="AF716" s="53"/>
      <c r="AG716" s="8"/>
      <c r="AH716" s="8"/>
      <c r="AI716" s="8"/>
      <c r="AJ716" s="8"/>
      <c r="AK716" s="8"/>
      <c r="AL716" s="8"/>
      <c r="AM716" s="8"/>
      <c r="AN716" s="8"/>
      <c r="AO716" s="8"/>
      <c r="AP716" s="8"/>
      <c r="AQ716" s="8"/>
      <c r="AR716" s="8"/>
      <c r="AS716" s="8"/>
      <c r="AT716" s="8"/>
      <c r="AU716" s="8"/>
      <c r="AV716" s="8"/>
      <c r="AW716" s="8"/>
      <c r="AX716" s="8"/>
      <c r="AY716" s="8"/>
      <c r="AZ716" s="8"/>
      <c r="BA716" s="8"/>
      <c r="BB716" s="8"/>
      <c r="BC716" s="8"/>
      <c r="BD716" s="8"/>
      <c r="BE716" s="8"/>
    </row>
    <row r="717" spans="1:57">
      <c r="A717" s="8"/>
      <c r="B717" s="8"/>
      <c r="C717" s="8"/>
      <c r="D717" s="8"/>
      <c r="E717" s="8"/>
      <c r="F717" s="54"/>
      <c r="G717" s="8"/>
      <c r="H717" s="8"/>
      <c r="I717" s="8"/>
      <c r="J717" s="8"/>
      <c r="K717" s="8"/>
      <c r="L717" s="8"/>
      <c r="M717" s="8"/>
      <c r="N717" s="8"/>
      <c r="O717" s="8"/>
      <c r="P717" s="8"/>
      <c r="Q717" s="8"/>
      <c r="R717" s="8"/>
      <c r="S717" s="8"/>
      <c r="T717" s="8"/>
      <c r="U717" s="53"/>
      <c r="V717" s="53"/>
      <c r="W717" s="53"/>
      <c r="X717" s="53"/>
      <c r="Y717" s="53"/>
      <c r="Z717" s="53"/>
      <c r="AA717" s="53"/>
      <c r="AB717" s="53"/>
      <c r="AC717" s="53"/>
      <c r="AD717" s="53"/>
      <c r="AE717" s="53"/>
      <c r="AF717" s="53"/>
      <c r="AG717" s="8"/>
      <c r="AH717" s="8"/>
      <c r="AI717" s="8"/>
      <c r="AJ717" s="8"/>
      <c r="AK717" s="8"/>
      <c r="AL717" s="8"/>
      <c r="AM717" s="8"/>
      <c r="AN717" s="8"/>
      <c r="AO717" s="8"/>
      <c r="AP717" s="8"/>
      <c r="AQ717" s="8"/>
      <c r="AR717" s="8"/>
      <c r="AS717" s="8"/>
      <c r="AT717" s="8"/>
      <c r="AU717" s="8"/>
      <c r="AV717" s="8"/>
      <c r="AW717" s="8"/>
      <c r="AX717" s="8"/>
      <c r="AY717" s="8"/>
      <c r="AZ717" s="8"/>
      <c r="BA717" s="8"/>
      <c r="BB717" s="8"/>
      <c r="BC717" s="8"/>
      <c r="BD717" s="8"/>
      <c r="BE717" s="8"/>
    </row>
    <row r="718" spans="1:57">
      <c r="A718" s="8"/>
      <c r="B718" s="8"/>
      <c r="C718" s="8"/>
      <c r="D718" s="8"/>
      <c r="E718" s="8"/>
      <c r="F718" s="54"/>
      <c r="G718" s="8"/>
      <c r="H718" s="8"/>
      <c r="I718" s="8"/>
      <c r="J718" s="8"/>
      <c r="K718" s="8"/>
      <c r="L718" s="8"/>
      <c r="M718" s="8"/>
      <c r="N718" s="8"/>
      <c r="O718" s="8"/>
      <c r="P718" s="8"/>
      <c r="Q718" s="8"/>
      <c r="R718" s="8"/>
      <c r="S718" s="8"/>
      <c r="T718" s="8"/>
      <c r="U718" s="53"/>
      <c r="V718" s="53"/>
      <c r="W718" s="53"/>
      <c r="X718" s="53"/>
      <c r="Y718" s="53"/>
      <c r="Z718" s="53"/>
      <c r="AA718" s="53"/>
      <c r="AB718" s="53"/>
      <c r="AC718" s="53"/>
      <c r="AD718" s="53"/>
      <c r="AE718" s="53"/>
      <c r="AF718" s="53"/>
      <c r="AG718" s="8"/>
      <c r="AH718" s="8"/>
      <c r="AI718" s="8"/>
      <c r="AJ718" s="8"/>
      <c r="AK718" s="8"/>
      <c r="AL718" s="8"/>
      <c r="AM718" s="8"/>
      <c r="AN718" s="8"/>
      <c r="AO718" s="8"/>
      <c r="AP718" s="8"/>
      <c r="AQ718" s="8"/>
      <c r="AR718" s="8"/>
      <c r="AS718" s="8"/>
      <c r="AT718" s="8"/>
      <c r="AU718" s="8"/>
      <c r="AV718" s="8"/>
      <c r="AW718" s="8"/>
      <c r="AX718" s="8"/>
      <c r="AY718" s="8"/>
      <c r="AZ718" s="8"/>
      <c r="BA718" s="8"/>
      <c r="BB718" s="8"/>
      <c r="BC718" s="8"/>
      <c r="BD718" s="8"/>
      <c r="BE718" s="8"/>
    </row>
    <row r="719" spans="1:57">
      <c r="A719" s="8"/>
      <c r="B719" s="8"/>
      <c r="C719" s="8"/>
      <c r="D719" s="8"/>
      <c r="E719" s="8"/>
      <c r="F719" s="54"/>
      <c r="G719" s="8"/>
      <c r="H719" s="8"/>
      <c r="I719" s="8"/>
      <c r="J719" s="8"/>
      <c r="K719" s="8"/>
      <c r="L719" s="8"/>
      <c r="M719" s="8"/>
      <c r="N719" s="8"/>
      <c r="O719" s="8"/>
      <c r="P719" s="8"/>
      <c r="Q719" s="8"/>
      <c r="R719" s="8"/>
      <c r="S719" s="8"/>
      <c r="T719" s="8"/>
      <c r="U719" s="53"/>
      <c r="V719" s="53"/>
      <c r="W719" s="53"/>
      <c r="X719" s="53"/>
      <c r="Y719" s="53"/>
      <c r="Z719" s="53"/>
      <c r="AA719" s="53"/>
      <c r="AB719" s="53"/>
      <c r="AC719" s="53"/>
      <c r="AD719" s="53"/>
      <c r="AE719" s="53"/>
      <c r="AF719" s="53"/>
      <c r="AG719" s="8"/>
      <c r="AH719" s="8"/>
      <c r="AI719" s="8"/>
      <c r="AJ719" s="8"/>
      <c r="AK719" s="8"/>
      <c r="AL719" s="8"/>
      <c r="AM719" s="8"/>
      <c r="AN719" s="8"/>
      <c r="AO719" s="8"/>
      <c r="AP719" s="8"/>
      <c r="AQ719" s="8"/>
      <c r="AR719" s="8"/>
      <c r="AS719" s="8"/>
      <c r="AT719" s="8"/>
      <c r="AU719" s="8"/>
      <c r="AV719" s="8"/>
      <c r="AW719" s="8"/>
      <c r="AX719" s="8"/>
      <c r="AY719" s="8"/>
      <c r="AZ719" s="8"/>
      <c r="BA719" s="8"/>
      <c r="BB719" s="8"/>
      <c r="BC719" s="8"/>
      <c r="BD719" s="8"/>
      <c r="BE719" s="8"/>
    </row>
    <row r="720" spans="1:57">
      <c r="A720" s="8"/>
      <c r="B720" s="8"/>
      <c r="C720" s="8"/>
      <c r="D720" s="8"/>
      <c r="E720" s="8"/>
      <c r="F720" s="54"/>
      <c r="G720" s="8"/>
      <c r="H720" s="8"/>
      <c r="I720" s="8"/>
      <c r="J720" s="8"/>
      <c r="K720" s="8"/>
      <c r="L720" s="8"/>
      <c r="M720" s="8"/>
      <c r="N720" s="8"/>
      <c r="O720" s="8"/>
      <c r="P720" s="8"/>
      <c r="Q720" s="8"/>
      <c r="R720" s="8"/>
      <c r="S720" s="8"/>
      <c r="T720" s="8"/>
      <c r="U720" s="53"/>
      <c r="V720" s="53"/>
      <c r="W720" s="53"/>
      <c r="X720" s="53"/>
      <c r="Y720" s="53"/>
      <c r="Z720" s="53"/>
      <c r="AA720" s="53"/>
      <c r="AB720" s="53"/>
      <c r="AC720" s="53"/>
      <c r="AD720" s="53"/>
      <c r="AE720" s="53"/>
      <c r="AF720" s="53"/>
      <c r="AG720" s="8"/>
      <c r="AH720" s="8"/>
      <c r="AI720" s="8"/>
      <c r="AJ720" s="8"/>
      <c r="AK720" s="8"/>
      <c r="AL720" s="8"/>
      <c r="AM720" s="8"/>
      <c r="AN720" s="8"/>
      <c r="AO720" s="8"/>
      <c r="AP720" s="8"/>
      <c r="AQ720" s="8"/>
      <c r="AR720" s="8"/>
      <c r="AS720" s="8"/>
      <c r="AT720" s="8"/>
      <c r="AU720" s="8"/>
      <c r="AV720" s="8"/>
      <c r="AW720" s="8"/>
      <c r="AX720" s="8"/>
      <c r="AY720" s="8"/>
      <c r="AZ720" s="8"/>
      <c r="BA720" s="8"/>
      <c r="BB720" s="8"/>
      <c r="BC720" s="8"/>
      <c r="BD720" s="8"/>
      <c r="BE720" s="8"/>
    </row>
    <row r="721" spans="1:57">
      <c r="A721" s="8"/>
      <c r="B721" s="8"/>
      <c r="C721" s="8"/>
      <c r="D721" s="8"/>
      <c r="E721" s="8"/>
      <c r="F721" s="54"/>
      <c r="G721" s="8"/>
      <c r="H721" s="8"/>
      <c r="I721" s="8"/>
      <c r="J721" s="8"/>
      <c r="K721" s="8"/>
      <c r="L721" s="8"/>
      <c r="M721" s="8"/>
      <c r="N721" s="8"/>
      <c r="O721" s="8"/>
      <c r="P721" s="8"/>
      <c r="Q721" s="8"/>
      <c r="R721" s="8"/>
      <c r="S721" s="8"/>
      <c r="T721" s="8"/>
      <c r="U721" s="53"/>
      <c r="V721" s="53"/>
      <c r="W721" s="53"/>
      <c r="X721" s="53"/>
      <c r="Y721" s="53"/>
      <c r="Z721" s="53"/>
      <c r="AA721" s="53"/>
      <c r="AB721" s="53"/>
      <c r="AC721" s="53"/>
      <c r="AD721" s="53"/>
      <c r="AE721" s="53"/>
      <c r="AF721" s="53"/>
      <c r="AG721" s="8"/>
      <c r="AH721" s="8"/>
      <c r="AI721" s="8"/>
      <c r="AJ721" s="8"/>
      <c r="AK721" s="8"/>
      <c r="AL721" s="8"/>
      <c r="AM721" s="8"/>
      <c r="AN721" s="8"/>
      <c r="AO721" s="8"/>
      <c r="AP721" s="8"/>
      <c r="AQ721" s="8"/>
      <c r="AR721" s="8"/>
      <c r="AS721" s="8"/>
      <c r="AT721" s="8"/>
      <c r="AU721" s="8"/>
      <c r="AV721" s="8"/>
      <c r="AW721" s="8"/>
      <c r="AX721" s="8"/>
      <c r="AY721" s="8"/>
      <c r="AZ721" s="8"/>
      <c r="BA721" s="8"/>
      <c r="BB721" s="8"/>
      <c r="BC721" s="8"/>
      <c r="BD721" s="8"/>
      <c r="BE721" s="8"/>
    </row>
    <row r="722" spans="1:57">
      <c r="A722" s="8"/>
      <c r="B722" s="8"/>
      <c r="C722" s="8"/>
      <c r="D722" s="8"/>
      <c r="E722" s="8"/>
      <c r="F722" s="54"/>
      <c r="G722" s="8"/>
      <c r="H722" s="8"/>
      <c r="I722" s="8"/>
      <c r="J722" s="8"/>
      <c r="K722" s="8"/>
      <c r="L722" s="8"/>
      <c r="M722" s="8"/>
      <c r="N722" s="8"/>
      <c r="O722" s="8"/>
      <c r="P722" s="8"/>
      <c r="Q722" s="8"/>
      <c r="R722" s="8"/>
      <c r="S722" s="8"/>
      <c r="T722" s="8"/>
      <c r="U722" s="53"/>
      <c r="V722" s="53"/>
      <c r="W722" s="53"/>
      <c r="X722" s="53"/>
      <c r="Y722" s="53"/>
      <c r="Z722" s="53"/>
      <c r="AA722" s="53"/>
      <c r="AB722" s="53"/>
      <c r="AC722" s="53"/>
      <c r="AD722" s="53"/>
      <c r="AE722" s="53"/>
      <c r="AF722" s="53"/>
      <c r="AG722" s="8"/>
      <c r="AH722" s="8"/>
      <c r="AI722" s="8"/>
      <c r="AJ722" s="8"/>
      <c r="AK722" s="8"/>
      <c r="AL722" s="8"/>
      <c r="AM722" s="8"/>
      <c r="AN722" s="8"/>
      <c r="AO722" s="8"/>
      <c r="AP722" s="8"/>
      <c r="AQ722" s="8"/>
      <c r="AR722" s="8"/>
      <c r="AS722" s="8"/>
      <c r="AT722" s="8"/>
      <c r="AU722" s="8"/>
      <c r="AV722" s="8"/>
      <c r="AW722" s="8"/>
      <c r="AX722" s="8"/>
      <c r="AY722" s="8"/>
      <c r="AZ722" s="8"/>
      <c r="BA722" s="8"/>
      <c r="BB722" s="8"/>
      <c r="BC722" s="8"/>
      <c r="BD722" s="8"/>
      <c r="BE722" s="8"/>
    </row>
    <row r="723" spans="1:57">
      <c r="A723" s="8"/>
      <c r="B723" s="8"/>
      <c r="C723" s="8"/>
      <c r="D723" s="8"/>
      <c r="E723" s="8"/>
      <c r="F723" s="54"/>
      <c r="G723" s="8"/>
      <c r="H723" s="8"/>
      <c r="I723" s="8"/>
      <c r="J723" s="8"/>
      <c r="K723" s="8"/>
      <c r="L723" s="8"/>
      <c r="M723" s="8"/>
      <c r="N723" s="8"/>
      <c r="O723" s="8"/>
      <c r="P723" s="8"/>
      <c r="Q723" s="8"/>
      <c r="R723" s="8"/>
      <c r="S723" s="8"/>
      <c r="T723" s="8"/>
      <c r="U723" s="53"/>
      <c r="V723" s="53"/>
      <c r="W723" s="53"/>
      <c r="X723" s="53"/>
      <c r="Y723" s="53"/>
      <c r="Z723" s="53"/>
      <c r="AA723" s="53"/>
      <c r="AB723" s="53"/>
      <c r="AC723" s="53"/>
      <c r="AD723" s="53"/>
      <c r="AE723" s="53"/>
      <c r="AF723" s="53"/>
      <c r="AG723" s="8"/>
      <c r="AH723" s="8"/>
      <c r="AI723" s="8"/>
      <c r="AJ723" s="8"/>
      <c r="AK723" s="8"/>
      <c r="AL723" s="8"/>
      <c r="AM723" s="8"/>
      <c r="AN723" s="8"/>
      <c r="AO723" s="8"/>
      <c r="AP723" s="8"/>
      <c r="AQ723" s="8"/>
      <c r="AR723" s="8"/>
      <c r="AS723" s="8"/>
      <c r="AT723" s="8"/>
      <c r="AU723" s="8"/>
      <c r="AV723" s="8"/>
      <c r="AW723" s="8"/>
      <c r="AX723" s="8"/>
      <c r="AY723" s="8"/>
      <c r="AZ723" s="8"/>
      <c r="BA723" s="8"/>
      <c r="BB723" s="8"/>
      <c r="BC723" s="8"/>
      <c r="BD723" s="8"/>
      <c r="BE723" s="8"/>
    </row>
    <row r="724" spans="1:57">
      <c r="A724" s="8"/>
      <c r="B724" s="8"/>
      <c r="C724" s="8"/>
      <c r="D724" s="8"/>
      <c r="E724" s="8"/>
      <c r="F724" s="54"/>
      <c r="G724" s="8"/>
      <c r="H724" s="8"/>
      <c r="I724" s="8"/>
      <c r="J724" s="8"/>
      <c r="K724" s="8"/>
      <c r="L724" s="8"/>
      <c r="M724" s="8"/>
      <c r="N724" s="8"/>
      <c r="O724" s="8"/>
      <c r="P724" s="8"/>
      <c r="Q724" s="8"/>
      <c r="R724" s="8"/>
      <c r="S724" s="8"/>
      <c r="T724" s="8"/>
      <c r="U724" s="53"/>
      <c r="V724" s="53"/>
      <c r="W724" s="53"/>
      <c r="X724" s="53"/>
      <c r="Y724" s="53"/>
      <c r="Z724" s="53"/>
      <c r="AA724" s="53"/>
      <c r="AB724" s="53"/>
      <c r="AC724" s="53"/>
      <c r="AD724" s="53"/>
      <c r="AE724" s="53"/>
      <c r="AF724" s="53"/>
      <c r="AG724" s="8"/>
      <c r="AH724" s="8"/>
      <c r="AI724" s="8"/>
      <c r="AJ724" s="8"/>
      <c r="AK724" s="8"/>
      <c r="AL724" s="8"/>
      <c r="AM724" s="8"/>
      <c r="AN724" s="8"/>
      <c r="AO724" s="8"/>
      <c r="AP724" s="8"/>
      <c r="AQ724" s="8"/>
      <c r="AR724" s="8"/>
      <c r="AS724" s="8"/>
      <c r="AT724" s="8"/>
      <c r="AU724" s="8"/>
      <c r="AV724" s="8"/>
      <c r="AW724" s="8"/>
      <c r="AX724" s="8"/>
      <c r="AY724" s="8"/>
      <c r="AZ724" s="8"/>
      <c r="BA724" s="8"/>
      <c r="BB724" s="8"/>
      <c r="BC724" s="8"/>
      <c r="BD724" s="8"/>
      <c r="BE724" s="8"/>
    </row>
    <row r="725" spans="1:57">
      <c r="A725" s="8"/>
      <c r="B725" s="8"/>
      <c r="C725" s="8"/>
      <c r="D725" s="8"/>
      <c r="E725" s="8"/>
      <c r="F725" s="54"/>
      <c r="G725" s="8"/>
      <c r="H725" s="8"/>
      <c r="I725" s="8"/>
      <c r="J725" s="8"/>
      <c r="K725" s="8"/>
      <c r="L725" s="8"/>
      <c r="M725" s="8"/>
      <c r="N725" s="8"/>
      <c r="O725" s="8"/>
      <c r="P725" s="8"/>
      <c r="Q725" s="8"/>
      <c r="R725" s="8"/>
      <c r="S725" s="8"/>
      <c r="T725" s="8"/>
      <c r="U725" s="53"/>
      <c r="V725" s="53"/>
      <c r="W725" s="53"/>
      <c r="X725" s="53"/>
      <c r="Y725" s="53"/>
      <c r="Z725" s="53"/>
      <c r="AA725" s="53"/>
      <c r="AB725" s="53"/>
      <c r="AC725" s="53"/>
      <c r="AD725" s="53"/>
      <c r="AE725" s="53"/>
      <c r="AF725" s="53"/>
      <c r="AG725" s="8"/>
      <c r="AH725" s="8"/>
      <c r="AI725" s="8"/>
      <c r="AJ725" s="8"/>
      <c r="AK725" s="8"/>
      <c r="AL725" s="8"/>
      <c r="AM725" s="8"/>
      <c r="AN725" s="8"/>
      <c r="AO725" s="8"/>
      <c r="AP725" s="8"/>
      <c r="AQ725" s="8"/>
      <c r="AR725" s="8"/>
      <c r="AS725" s="8"/>
      <c r="AT725" s="8"/>
      <c r="AU725" s="8"/>
      <c r="AV725" s="8"/>
      <c r="AW725" s="8"/>
      <c r="AX725" s="8"/>
      <c r="AY725" s="8"/>
      <c r="AZ725" s="8"/>
      <c r="BA725" s="8"/>
      <c r="BB725" s="8"/>
      <c r="BC725" s="8"/>
      <c r="BD725" s="8"/>
      <c r="BE725" s="8"/>
    </row>
    <row r="726" spans="1:57">
      <c r="A726" s="8"/>
      <c r="B726" s="8"/>
      <c r="C726" s="8"/>
      <c r="D726" s="8"/>
      <c r="E726" s="8"/>
      <c r="F726" s="54"/>
      <c r="G726" s="8"/>
      <c r="H726" s="8"/>
      <c r="I726" s="8"/>
      <c r="J726" s="8"/>
      <c r="K726" s="8"/>
      <c r="L726" s="8"/>
      <c r="M726" s="8"/>
      <c r="N726" s="8"/>
      <c r="O726" s="8"/>
      <c r="P726" s="8"/>
      <c r="Q726" s="8"/>
      <c r="R726" s="8"/>
      <c r="S726" s="8"/>
      <c r="T726" s="8"/>
      <c r="U726" s="53"/>
      <c r="V726" s="53"/>
      <c r="W726" s="53"/>
      <c r="X726" s="53"/>
      <c r="Y726" s="53"/>
      <c r="Z726" s="53"/>
      <c r="AA726" s="53"/>
      <c r="AB726" s="53"/>
      <c r="AC726" s="53"/>
      <c r="AD726" s="53"/>
      <c r="AE726" s="53"/>
      <c r="AF726" s="53"/>
      <c r="AG726" s="8"/>
      <c r="AH726" s="8"/>
      <c r="AI726" s="8"/>
      <c r="AJ726" s="8"/>
      <c r="AK726" s="8"/>
      <c r="AL726" s="8"/>
      <c r="AM726" s="8"/>
      <c r="AN726" s="8"/>
      <c r="AO726" s="8"/>
      <c r="AP726" s="8"/>
      <c r="AQ726" s="8"/>
      <c r="AR726" s="8"/>
      <c r="AS726" s="8"/>
      <c r="AT726" s="8"/>
      <c r="AU726" s="8"/>
      <c r="AV726" s="8"/>
      <c r="AW726" s="8"/>
      <c r="AX726" s="8"/>
      <c r="AY726" s="8"/>
      <c r="AZ726" s="8"/>
      <c r="BA726" s="8"/>
      <c r="BB726" s="8"/>
      <c r="BC726" s="8"/>
      <c r="BD726" s="8"/>
      <c r="BE726" s="8"/>
    </row>
    <row r="727" spans="1:57">
      <c r="A727" s="8"/>
      <c r="B727" s="8"/>
      <c r="C727" s="8"/>
      <c r="D727" s="8"/>
      <c r="E727" s="8"/>
      <c r="F727" s="54"/>
      <c r="G727" s="8"/>
      <c r="H727" s="8"/>
      <c r="I727" s="8"/>
      <c r="J727" s="8"/>
      <c r="K727" s="8"/>
      <c r="L727" s="8"/>
      <c r="M727" s="8"/>
      <c r="N727" s="8"/>
      <c r="O727" s="8"/>
      <c r="P727" s="8"/>
      <c r="Q727" s="8"/>
      <c r="R727" s="8"/>
      <c r="S727" s="8"/>
      <c r="T727" s="8"/>
      <c r="U727" s="53"/>
      <c r="V727" s="53"/>
      <c r="W727" s="53"/>
      <c r="X727" s="53"/>
      <c r="Y727" s="53"/>
      <c r="Z727" s="53"/>
      <c r="AA727" s="53"/>
      <c r="AB727" s="53"/>
      <c r="AC727" s="53"/>
      <c r="AD727" s="53"/>
      <c r="AE727" s="53"/>
      <c r="AF727" s="53"/>
      <c r="AG727" s="8"/>
      <c r="AH727" s="8"/>
      <c r="AI727" s="8"/>
      <c r="AJ727" s="8"/>
      <c r="AK727" s="8"/>
      <c r="AL727" s="8"/>
      <c r="AM727" s="8"/>
      <c r="AN727" s="8"/>
      <c r="AO727" s="8"/>
      <c r="AP727" s="8"/>
      <c r="AQ727" s="8"/>
      <c r="AR727" s="8"/>
      <c r="AS727" s="8"/>
      <c r="AT727" s="8"/>
      <c r="AU727" s="8"/>
      <c r="AV727" s="8"/>
      <c r="AW727" s="8"/>
      <c r="AX727" s="8"/>
      <c r="AY727" s="8"/>
      <c r="AZ727" s="8"/>
      <c r="BA727" s="8"/>
      <c r="BB727" s="8"/>
      <c r="BC727" s="8"/>
      <c r="BD727" s="8"/>
      <c r="BE727" s="8"/>
    </row>
    <row r="728" spans="1:57">
      <c r="A728" s="8"/>
      <c r="B728" s="8"/>
      <c r="C728" s="8"/>
      <c r="D728" s="8"/>
      <c r="E728" s="8"/>
      <c r="F728" s="54"/>
      <c r="G728" s="8"/>
      <c r="H728" s="8"/>
      <c r="I728" s="8"/>
      <c r="J728" s="8"/>
      <c r="K728" s="8"/>
      <c r="L728" s="8"/>
      <c r="M728" s="8"/>
      <c r="N728" s="8"/>
      <c r="O728" s="8"/>
      <c r="P728" s="8"/>
      <c r="Q728" s="8"/>
      <c r="R728" s="8"/>
      <c r="S728" s="8"/>
      <c r="T728" s="8"/>
      <c r="U728" s="53"/>
      <c r="V728" s="53"/>
      <c r="W728" s="53"/>
      <c r="X728" s="53"/>
      <c r="Y728" s="53"/>
      <c r="Z728" s="53"/>
      <c r="AA728" s="53"/>
      <c r="AB728" s="53"/>
      <c r="AC728" s="53"/>
      <c r="AD728" s="53"/>
      <c r="AE728" s="53"/>
      <c r="AF728" s="53"/>
      <c r="AG728" s="8"/>
      <c r="AH728" s="8"/>
      <c r="AI728" s="8"/>
      <c r="AJ728" s="8"/>
      <c r="AK728" s="8"/>
      <c r="AL728" s="8"/>
      <c r="AM728" s="8"/>
      <c r="AN728" s="8"/>
      <c r="AO728" s="8"/>
      <c r="AP728" s="8"/>
      <c r="AQ728" s="8"/>
      <c r="AR728" s="8"/>
      <c r="AS728" s="8"/>
      <c r="AT728" s="8"/>
      <c r="AU728" s="8"/>
      <c r="AV728" s="8"/>
      <c r="AW728" s="8"/>
      <c r="AX728" s="8"/>
      <c r="AY728" s="8"/>
      <c r="AZ728" s="8"/>
      <c r="BA728" s="8"/>
      <c r="BB728" s="8"/>
      <c r="BC728" s="8"/>
      <c r="BD728" s="8"/>
      <c r="BE728" s="8"/>
    </row>
    <row r="729" spans="1:57">
      <c r="A729" s="8"/>
      <c r="B729" s="8"/>
      <c r="C729" s="8"/>
      <c r="D729" s="8"/>
      <c r="E729" s="8"/>
      <c r="F729" s="54"/>
      <c r="G729" s="8"/>
      <c r="H729" s="8"/>
      <c r="I729" s="8"/>
      <c r="J729" s="8"/>
      <c r="K729" s="8"/>
      <c r="L729" s="8"/>
      <c r="M729" s="8"/>
      <c r="N729" s="8"/>
      <c r="O729" s="8"/>
      <c r="P729" s="8"/>
      <c r="Q729" s="8"/>
      <c r="R729" s="8"/>
      <c r="S729" s="8"/>
      <c r="T729" s="8"/>
      <c r="U729" s="53"/>
      <c r="V729" s="53"/>
      <c r="W729" s="53"/>
      <c r="X729" s="53"/>
      <c r="Y729" s="53"/>
      <c r="Z729" s="53"/>
      <c r="AA729" s="53"/>
      <c r="AB729" s="53"/>
      <c r="AC729" s="53"/>
      <c r="AD729" s="53"/>
      <c r="AE729" s="53"/>
      <c r="AF729" s="53"/>
      <c r="AG729" s="8"/>
      <c r="AH729" s="8"/>
      <c r="AI729" s="8"/>
      <c r="AJ729" s="8"/>
      <c r="AK729" s="8"/>
      <c r="AL729" s="8"/>
      <c r="AM729" s="8"/>
      <c r="AN729" s="8"/>
      <c r="AO729" s="8"/>
      <c r="AP729" s="8"/>
      <c r="AQ729" s="8"/>
      <c r="AR729" s="8"/>
      <c r="AS729" s="8"/>
      <c r="AT729" s="8"/>
      <c r="AU729" s="8"/>
      <c r="AV729" s="8"/>
      <c r="AW729" s="8"/>
      <c r="AX729" s="8"/>
      <c r="AY729" s="8"/>
      <c r="AZ729" s="8"/>
      <c r="BA729" s="8"/>
      <c r="BB729" s="8"/>
      <c r="BC729" s="8"/>
      <c r="BD729" s="8"/>
      <c r="BE729" s="8"/>
    </row>
    <row r="730" spans="1:57">
      <c r="A730" s="8"/>
      <c r="B730" s="8"/>
      <c r="C730" s="8"/>
      <c r="D730" s="8"/>
      <c r="E730" s="8"/>
      <c r="F730" s="54"/>
      <c r="G730" s="8"/>
      <c r="H730" s="8"/>
      <c r="I730" s="8"/>
      <c r="J730" s="8"/>
      <c r="K730" s="8"/>
      <c r="L730" s="8"/>
      <c r="M730" s="8"/>
      <c r="N730" s="8"/>
      <c r="O730" s="8"/>
      <c r="P730" s="8"/>
      <c r="Q730" s="8"/>
      <c r="R730" s="8"/>
      <c r="S730" s="8"/>
      <c r="T730" s="8"/>
      <c r="U730" s="53"/>
      <c r="V730" s="53"/>
      <c r="W730" s="53"/>
      <c r="X730" s="53"/>
      <c r="Y730" s="53"/>
      <c r="Z730" s="53"/>
      <c r="AA730" s="53"/>
      <c r="AB730" s="53"/>
      <c r="AC730" s="53"/>
      <c r="AD730" s="53"/>
      <c r="AE730" s="53"/>
      <c r="AF730" s="53"/>
      <c r="AG730" s="8"/>
      <c r="AH730" s="8"/>
      <c r="AI730" s="8"/>
      <c r="AJ730" s="8"/>
      <c r="AK730" s="8"/>
      <c r="AL730" s="8"/>
      <c r="AM730" s="8"/>
      <c r="AN730" s="8"/>
      <c r="AO730" s="8"/>
      <c r="AP730" s="8"/>
      <c r="AQ730" s="8"/>
      <c r="AR730" s="8"/>
      <c r="AS730" s="8"/>
      <c r="AT730" s="8"/>
      <c r="AU730" s="8"/>
      <c r="AV730" s="8"/>
      <c r="AW730" s="8"/>
      <c r="AX730" s="8"/>
      <c r="AY730" s="8"/>
      <c r="AZ730" s="8"/>
      <c r="BA730" s="8"/>
      <c r="BB730" s="8"/>
      <c r="BC730" s="8"/>
      <c r="BD730" s="8"/>
      <c r="BE730" s="8"/>
    </row>
    <row r="731" spans="1:57">
      <c r="A731" s="8"/>
      <c r="B731" s="8"/>
      <c r="C731" s="8"/>
      <c r="D731" s="8"/>
      <c r="E731" s="8"/>
      <c r="F731" s="54"/>
      <c r="G731" s="8"/>
      <c r="H731" s="8"/>
      <c r="I731" s="8"/>
      <c r="J731" s="8"/>
      <c r="K731" s="8"/>
      <c r="L731" s="8"/>
      <c r="M731" s="8"/>
      <c r="N731" s="8"/>
      <c r="O731" s="8"/>
      <c r="P731" s="8"/>
      <c r="Q731" s="8"/>
      <c r="R731" s="8"/>
      <c r="S731" s="8"/>
      <c r="T731" s="8"/>
      <c r="U731" s="53"/>
      <c r="V731" s="53"/>
      <c r="W731" s="53"/>
      <c r="X731" s="53"/>
      <c r="Y731" s="53"/>
      <c r="Z731" s="53"/>
      <c r="AA731" s="53"/>
      <c r="AB731" s="53"/>
      <c r="AC731" s="53"/>
      <c r="AD731" s="53"/>
      <c r="AE731" s="53"/>
      <c r="AF731" s="53"/>
      <c r="AG731" s="8"/>
      <c r="AH731" s="8"/>
      <c r="AI731" s="8"/>
      <c r="AJ731" s="8"/>
      <c r="AK731" s="8"/>
      <c r="AL731" s="8"/>
      <c r="AM731" s="8"/>
      <c r="AN731" s="8"/>
      <c r="AO731" s="8"/>
      <c r="AP731" s="8"/>
      <c r="AQ731" s="8"/>
      <c r="AR731" s="8"/>
      <c r="AS731" s="8"/>
      <c r="AT731" s="8"/>
      <c r="AU731" s="8"/>
      <c r="AV731" s="8"/>
      <c r="AW731" s="8"/>
      <c r="AX731" s="8"/>
      <c r="AY731" s="8"/>
      <c r="AZ731" s="8"/>
      <c r="BA731" s="8"/>
      <c r="BB731" s="8"/>
      <c r="BC731" s="8"/>
      <c r="BD731" s="8"/>
      <c r="BE731" s="8"/>
    </row>
    <row r="732" spans="1:57">
      <c r="A732" s="8"/>
      <c r="B732" s="8"/>
      <c r="C732" s="8"/>
      <c r="D732" s="8"/>
      <c r="E732" s="8"/>
      <c r="F732" s="54"/>
      <c r="G732" s="8"/>
      <c r="H732" s="8"/>
      <c r="I732" s="8"/>
      <c r="J732" s="8"/>
      <c r="K732" s="8"/>
      <c r="L732" s="8"/>
      <c r="M732" s="8"/>
      <c r="N732" s="8"/>
      <c r="O732" s="8"/>
      <c r="P732" s="8"/>
      <c r="Q732" s="8"/>
      <c r="R732" s="8"/>
      <c r="S732" s="8"/>
      <c r="T732" s="8"/>
      <c r="U732" s="53"/>
      <c r="V732" s="53"/>
      <c r="W732" s="53"/>
      <c r="X732" s="53"/>
      <c r="Y732" s="53"/>
      <c r="Z732" s="53"/>
      <c r="AA732" s="53"/>
      <c r="AB732" s="53"/>
      <c r="AC732" s="53"/>
      <c r="AD732" s="53"/>
      <c r="AE732" s="53"/>
      <c r="AF732" s="53"/>
      <c r="AG732" s="8"/>
      <c r="AH732" s="8"/>
      <c r="AI732" s="8"/>
      <c r="AJ732" s="8"/>
      <c r="AK732" s="8"/>
      <c r="AL732" s="8"/>
      <c r="AM732" s="8"/>
      <c r="AN732" s="8"/>
      <c r="AO732" s="8"/>
      <c r="AP732" s="8"/>
      <c r="AQ732" s="8"/>
      <c r="AR732" s="8"/>
      <c r="AS732" s="8"/>
      <c r="AT732" s="8"/>
      <c r="AU732" s="8"/>
      <c r="AV732" s="8"/>
      <c r="AW732" s="8"/>
      <c r="AX732" s="8"/>
      <c r="AY732" s="8"/>
      <c r="AZ732" s="8"/>
      <c r="BA732" s="8"/>
      <c r="BB732" s="8"/>
      <c r="BC732" s="8"/>
      <c r="BD732" s="8"/>
      <c r="BE732" s="8"/>
    </row>
    <row r="733" spans="1:57">
      <c r="A733" s="8"/>
      <c r="B733" s="8"/>
      <c r="C733" s="8"/>
      <c r="D733" s="8"/>
      <c r="E733" s="8"/>
      <c r="F733" s="54"/>
      <c r="G733" s="8"/>
      <c r="H733" s="8"/>
      <c r="I733" s="8"/>
      <c r="J733" s="8"/>
      <c r="K733" s="8"/>
      <c r="L733" s="8"/>
      <c r="M733" s="8"/>
      <c r="N733" s="8"/>
      <c r="O733" s="8"/>
      <c r="P733" s="8"/>
      <c r="Q733" s="8"/>
      <c r="R733" s="8"/>
      <c r="S733" s="8"/>
      <c r="T733" s="8"/>
      <c r="U733" s="53"/>
      <c r="V733" s="53"/>
      <c r="W733" s="53"/>
      <c r="X733" s="53"/>
      <c r="Y733" s="53"/>
      <c r="Z733" s="53"/>
      <c r="AA733" s="53"/>
      <c r="AB733" s="53"/>
      <c r="AC733" s="53"/>
      <c r="AD733" s="53"/>
      <c r="AE733" s="53"/>
      <c r="AF733" s="53"/>
      <c r="AG733" s="8"/>
      <c r="AH733" s="8"/>
      <c r="AI733" s="8"/>
      <c r="AJ733" s="8"/>
      <c r="AK733" s="8"/>
      <c r="AL733" s="8"/>
      <c r="AM733" s="8"/>
      <c r="AN733" s="8"/>
      <c r="AO733" s="8"/>
      <c r="AP733" s="8"/>
      <c r="AQ733" s="8"/>
      <c r="AR733" s="8"/>
      <c r="AS733" s="8"/>
      <c r="AT733" s="8"/>
      <c r="AU733" s="8"/>
      <c r="AV733" s="8"/>
      <c r="AW733" s="8"/>
      <c r="AX733" s="8"/>
      <c r="AY733" s="8"/>
      <c r="AZ733" s="8"/>
      <c r="BA733" s="8"/>
      <c r="BB733" s="8"/>
      <c r="BC733" s="8"/>
      <c r="BD733" s="8"/>
      <c r="BE733" s="8"/>
    </row>
    <row r="734" spans="1:57">
      <c r="A734" s="8"/>
      <c r="B734" s="8"/>
      <c r="C734" s="8"/>
      <c r="D734" s="8"/>
      <c r="E734" s="8"/>
      <c r="F734" s="54"/>
      <c r="G734" s="8"/>
      <c r="H734" s="8"/>
      <c r="I734" s="8"/>
      <c r="J734" s="8"/>
      <c r="K734" s="8"/>
      <c r="L734" s="8"/>
      <c r="M734" s="8"/>
      <c r="N734" s="8"/>
      <c r="O734" s="8"/>
      <c r="P734" s="8"/>
      <c r="Q734" s="8"/>
      <c r="R734" s="8"/>
      <c r="S734" s="8"/>
      <c r="T734" s="8"/>
      <c r="U734" s="53"/>
      <c r="V734" s="53"/>
      <c r="W734" s="53"/>
      <c r="X734" s="53"/>
      <c r="Y734" s="53"/>
      <c r="Z734" s="53"/>
      <c r="AA734" s="53"/>
      <c r="AB734" s="53"/>
      <c r="AC734" s="53"/>
      <c r="AD734" s="53"/>
      <c r="AE734" s="53"/>
      <c r="AF734" s="53"/>
      <c r="AG734" s="8"/>
      <c r="AH734" s="8"/>
      <c r="AI734" s="8"/>
      <c r="AJ734" s="8"/>
      <c r="AK734" s="8"/>
      <c r="AL734" s="8"/>
      <c r="AM734" s="8"/>
      <c r="AN734" s="8"/>
      <c r="AO734" s="8"/>
      <c r="AP734" s="8"/>
      <c r="AQ734" s="8"/>
      <c r="AR734" s="8"/>
      <c r="AS734" s="8"/>
      <c r="AT734" s="8"/>
      <c r="AU734" s="8"/>
      <c r="AV734" s="8"/>
      <c r="AW734" s="8"/>
      <c r="AX734" s="8"/>
      <c r="AY734" s="8"/>
      <c r="AZ734" s="8"/>
      <c r="BA734" s="8"/>
      <c r="BB734" s="8"/>
      <c r="BC734" s="8"/>
      <c r="BD734" s="8"/>
      <c r="BE734" s="8"/>
    </row>
    <row r="735" spans="1:57">
      <c r="A735" s="8"/>
      <c r="B735" s="8"/>
      <c r="C735" s="8"/>
      <c r="D735" s="8"/>
      <c r="E735" s="8"/>
      <c r="F735" s="54"/>
      <c r="G735" s="8"/>
      <c r="H735" s="8"/>
      <c r="I735" s="8"/>
      <c r="J735" s="8"/>
      <c r="K735" s="8"/>
      <c r="L735" s="8"/>
      <c r="M735" s="8"/>
      <c r="N735" s="8"/>
      <c r="O735" s="8"/>
      <c r="P735" s="8"/>
      <c r="Q735" s="8"/>
      <c r="R735" s="8"/>
      <c r="S735" s="8"/>
      <c r="T735" s="8"/>
      <c r="U735" s="53"/>
      <c r="V735" s="53"/>
      <c r="W735" s="53"/>
      <c r="X735" s="53"/>
      <c r="Y735" s="53"/>
      <c r="Z735" s="53"/>
      <c r="AA735" s="53"/>
      <c r="AB735" s="53"/>
      <c r="AC735" s="53"/>
      <c r="AD735" s="53"/>
      <c r="AE735" s="53"/>
      <c r="AF735" s="53"/>
      <c r="AG735" s="8"/>
      <c r="AH735" s="8"/>
      <c r="AI735" s="8"/>
      <c r="AJ735" s="8"/>
      <c r="AK735" s="8"/>
      <c r="AL735" s="8"/>
      <c r="AM735" s="8"/>
      <c r="AN735" s="8"/>
      <c r="AO735" s="8"/>
      <c r="AP735" s="8"/>
      <c r="AQ735" s="8"/>
      <c r="AR735" s="8"/>
      <c r="AS735" s="8"/>
      <c r="AT735" s="8"/>
      <c r="AU735" s="8"/>
      <c r="AV735" s="8"/>
      <c r="AW735" s="8"/>
      <c r="AX735" s="8"/>
      <c r="AY735" s="8"/>
      <c r="AZ735" s="8"/>
      <c r="BA735" s="8"/>
      <c r="BB735" s="8"/>
      <c r="BC735" s="8"/>
      <c r="BD735" s="8"/>
      <c r="BE735" s="8"/>
    </row>
    <row r="736" spans="1:57">
      <c r="A736" s="8"/>
      <c r="B736" s="8"/>
      <c r="C736" s="8"/>
      <c r="D736" s="8"/>
      <c r="E736" s="8"/>
      <c r="F736" s="54"/>
      <c r="G736" s="8"/>
      <c r="H736" s="8"/>
      <c r="I736" s="8"/>
      <c r="J736" s="8"/>
      <c r="K736" s="8"/>
      <c r="L736" s="8"/>
      <c r="M736" s="8"/>
      <c r="N736" s="8"/>
      <c r="O736" s="8"/>
      <c r="P736" s="8"/>
      <c r="Q736" s="8"/>
      <c r="R736" s="8"/>
      <c r="S736" s="8"/>
      <c r="T736" s="8"/>
      <c r="U736" s="53"/>
      <c r="V736" s="53"/>
      <c r="W736" s="53"/>
      <c r="X736" s="53"/>
      <c r="Y736" s="53"/>
      <c r="Z736" s="53"/>
      <c r="AA736" s="53"/>
      <c r="AB736" s="53"/>
      <c r="AC736" s="53"/>
      <c r="AD736" s="53"/>
      <c r="AE736" s="53"/>
      <c r="AF736" s="53"/>
      <c r="AG736" s="8"/>
      <c r="AH736" s="8"/>
      <c r="AI736" s="8"/>
      <c r="AJ736" s="8"/>
      <c r="AK736" s="8"/>
      <c r="AL736" s="8"/>
      <c r="AM736" s="8"/>
      <c r="AN736" s="8"/>
      <c r="AO736" s="8"/>
      <c r="AP736" s="8"/>
      <c r="AQ736" s="8"/>
      <c r="AR736" s="8"/>
      <c r="AS736" s="8"/>
      <c r="AT736" s="8"/>
      <c r="AU736" s="8"/>
      <c r="AV736" s="8"/>
      <c r="AW736" s="8"/>
      <c r="AX736" s="8"/>
      <c r="AY736" s="8"/>
      <c r="AZ736" s="8"/>
      <c r="BA736" s="8"/>
      <c r="BB736" s="8"/>
      <c r="BC736" s="8"/>
      <c r="BD736" s="8"/>
      <c r="BE736" s="8"/>
    </row>
    <row r="737" spans="1:57">
      <c r="A737" s="8"/>
      <c r="B737" s="8"/>
      <c r="C737" s="8"/>
      <c r="D737" s="8"/>
      <c r="E737" s="8"/>
      <c r="F737" s="54"/>
      <c r="G737" s="8"/>
      <c r="H737" s="8"/>
      <c r="I737" s="8"/>
      <c r="J737" s="8"/>
      <c r="K737" s="8"/>
      <c r="L737" s="8"/>
      <c r="M737" s="8"/>
      <c r="N737" s="8"/>
      <c r="O737" s="8"/>
      <c r="P737" s="8"/>
      <c r="Q737" s="8"/>
      <c r="R737" s="8"/>
      <c r="S737" s="8"/>
      <c r="T737" s="8"/>
      <c r="U737" s="53"/>
      <c r="V737" s="53"/>
      <c r="W737" s="53"/>
      <c r="X737" s="53"/>
      <c r="Y737" s="53"/>
      <c r="Z737" s="53"/>
      <c r="AA737" s="53"/>
      <c r="AB737" s="53"/>
      <c r="AC737" s="53"/>
      <c r="AD737" s="53"/>
      <c r="AE737" s="53"/>
      <c r="AF737" s="53"/>
      <c r="AG737" s="8"/>
      <c r="AH737" s="8"/>
      <c r="AI737" s="8"/>
      <c r="AJ737" s="8"/>
      <c r="AK737" s="8"/>
      <c r="AL737" s="8"/>
      <c r="AM737" s="8"/>
      <c r="AN737" s="8"/>
      <c r="AO737" s="8"/>
      <c r="AP737" s="8"/>
      <c r="AQ737" s="8"/>
      <c r="AR737" s="8"/>
      <c r="AS737" s="8"/>
      <c r="AT737" s="8"/>
      <c r="AU737" s="8"/>
      <c r="AV737" s="8"/>
      <c r="AW737" s="8"/>
      <c r="AX737" s="8"/>
      <c r="AY737" s="8"/>
      <c r="AZ737" s="8"/>
      <c r="BA737" s="8"/>
      <c r="BB737" s="8"/>
      <c r="BC737" s="8"/>
      <c r="BD737" s="8"/>
      <c r="BE737" s="8"/>
    </row>
    <row r="738" spans="1:57">
      <c r="A738" s="8"/>
      <c r="B738" s="8"/>
      <c r="C738" s="8"/>
      <c r="D738" s="8"/>
      <c r="E738" s="8"/>
      <c r="F738" s="54"/>
      <c r="G738" s="8"/>
      <c r="H738" s="8"/>
      <c r="I738" s="8"/>
      <c r="J738" s="8"/>
      <c r="K738" s="8"/>
      <c r="L738" s="8"/>
      <c r="M738" s="8"/>
      <c r="N738" s="8"/>
      <c r="O738" s="8"/>
      <c r="P738" s="8"/>
      <c r="Q738" s="8"/>
      <c r="R738" s="8"/>
      <c r="S738" s="8"/>
      <c r="T738" s="8"/>
      <c r="U738" s="53"/>
      <c r="V738" s="53"/>
      <c r="W738" s="53"/>
      <c r="X738" s="53"/>
      <c r="Y738" s="53"/>
      <c r="Z738" s="53"/>
      <c r="AA738" s="53"/>
      <c r="AB738" s="53"/>
      <c r="AC738" s="53"/>
      <c r="AD738" s="53"/>
      <c r="AE738" s="53"/>
      <c r="AF738" s="53"/>
      <c r="AG738" s="8"/>
      <c r="AH738" s="8"/>
      <c r="AI738" s="8"/>
      <c r="AJ738" s="8"/>
      <c r="AK738" s="8"/>
      <c r="AL738" s="8"/>
      <c r="AM738" s="8"/>
      <c r="AN738" s="8"/>
      <c r="AO738" s="8"/>
      <c r="AP738" s="8"/>
      <c r="AQ738" s="8"/>
      <c r="AR738" s="8"/>
      <c r="AS738" s="8"/>
      <c r="AT738" s="8"/>
      <c r="AU738" s="8"/>
      <c r="AV738" s="8"/>
      <c r="AW738" s="8"/>
      <c r="AX738" s="8"/>
      <c r="AY738" s="8"/>
      <c r="AZ738" s="8"/>
      <c r="BA738" s="8"/>
      <c r="BB738" s="8"/>
      <c r="BC738" s="8"/>
      <c r="BD738" s="8"/>
      <c r="BE738" s="8"/>
    </row>
    <row r="739" spans="1:57">
      <c r="A739" s="8"/>
      <c r="B739" s="8"/>
      <c r="C739" s="8"/>
      <c r="D739" s="8"/>
      <c r="E739" s="8"/>
      <c r="F739" s="54"/>
      <c r="G739" s="8"/>
      <c r="H739" s="8"/>
      <c r="I739" s="8"/>
      <c r="J739" s="8"/>
      <c r="K739" s="8"/>
      <c r="L739" s="8"/>
      <c r="M739" s="8"/>
      <c r="N739" s="8"/>
      <c r="O739" s="8"/>
      <c r="P739" s="8"/>
      <c r="Q739" s="8"/>
      <c r="R739" s="8"/>
      <c r="S739" s="8"/>
      <c r="T739" s="8"/>
      <c r="U739" s="53"/>
      <c r="V739" s="53"/>
      <c r="W739" s="53"/>
      <c r="X739" s="53"/>
      <c r="Y739" s="53"/>
      <c r="Z739" s="53"/>
      <c r="AA739" s="53"/>
      <c r="AB739" s="53"/>
      <c r="AC739" s="53"/>
      <c r="AD739" s="53"/>
      <c r="AE739" s="53"/>
      <c r="AF739" s="53"/>
      <c r="AG739" s="8"/>
      <c r="AH739" s="8"/>
      <c r="AI739" s="8"/>
      <c r="AJ739" s="8"/>
      <c r="AK739" s="8"/>
      <c r="AL739" s="8"/>
      <c r="AM739" s="8"/>
      <c r="AN739" s="8"/>
      <c r="AO739" s="8"/>
      <c r="AP739" s="8"/>
      <c r="AQ739" s="8"/>
      <c r="AR739" s="8"/>
      <c r="AS739" s="8"/>
      <c r="AT739" s="8"/>
      <c r="AU739" s="8"/>
      <c r="AV739" s="8"/>
      <c r="AW739" s="8"/>
      <c r="AX739" s="8"/>
      <c r="AY739" s="8"/>
      <c r="AZ739" s="8"/>
      <c r="BA739" s="8"/>
      <c r="BB739" s="8"/>
      <c r="BC739" s="8"/>
      <c r="BD739" s="8"/>
      <c r="BE739" s="8"/>
    </row>
    <row r="740" spans="1:57">
      <c r="A740" s="8"/>
      <c r="B740" s="8"/>
      <c r="C740" s="8"/>
      <c r="D740" s="8"/>
      <c r="E740" s="8"/>
      <c r="F740" s="54"/>
      <c r="G740" s="8"/>
      <c r="H740" s="8"/>
      <c r="I740" s="8"/>
      <c r="J740" s="8"/>
      <c r="K740" s="8"/>
      <c r="L740" s="8"/>
      <c r="M740" s="8"/>
      <c r="N740" s="8"/>
      <c r="O740" s="8"/>
      <c r="P740" s="8"/>
      <c r="Q740" s="8"/>
      <c r="R740" s="8"/>
      <c r="S740" s="8"/>
      <c r="T740" s="8"/>
      <c r="U740" s="53"/>
      <c r="V740" s="53"/>
      <c r="W740" s="53"/>
      <c r="X740" s="53"/>
      <c r="Y740" s="53"/>
      <c r="Z740" s="53"/>
      <c r="AA740" s="53"/>
      <c r="AB740" s="53"/>
      <c r="AC740" s="53"/>
      <c r="AD740" s="53"/>
      <c r="AE740" s="53"/>
      <c r="AF740" s="53"/>
      <c r="AG740" s="8"/>
      <c r="AH740" s="8"/>
      <c r="AI740" s="8"/>
      <c r="AJ740" s="8"/>
      <c r="AK740" s="8"/>
      <c r="AL740" s="8"/>
      <c r="AM740" s="8"/>
      <c r="AN740" s="8"/>
      <c r="AO740" s="8"/>
      <c r="AP740" s="8"/>
      <c r="AQ740" s="8"/>
      <c r="AR740" s="8"/>
      <c r="AS740" s="8"/>
      <c r="AT740" s="8"/>
      <c r="AU740" s="8"/>
      <c r="AV740" s="8"/>
      <c r="AW740" s="8"/>
      <c r="AX740" s="8"/>
      <c r="AY740" s="8"/>
      <c r="AZ740" s="8"/>
      <c r="BA740" s="8"/>
      <c r="BB740" s="8"/>
      <c r="BC740" s="8"/>
      <c r="BD740" s="8"/>
      <c r="BE740" s="8"/>
    </row>
    <row r="741" spans="1:57">
      <c r="A741" s="8"/>
      <c r="B741" s="8"/>
      <c r="C741" s="8"/>
      <c r="D741" s="8"/>
      <c r="E741" s="8"/>
      <c r="F741" s="54"/>
      <c r="G741" s="8"/>
      <c r="H741" s="8"/>
      <c r="I741" s="8"/>
      <c r="J741" s="8"/>
      <c r="K741" s="8"/>
      <c r="L741" s="8"/>
      <c r="M741" s="8"/>
      <c r="N741" s="8"/>
      <c r="O741" s="8"/>
      <c r="P741" s="8"/>
      <c r="Q741" s="8"/>
      <c r="R741" s="8"/>
      <c r="S741" s="8"/>
      <c r="T741" s="8"/>
      <c r="U741" s="53"/>
      <c r="V741" s="53"/>
      <c r="W741" s="53"/>
      <c r="X741" s="53"/>
      <c r="Y741" s="53"/>
      <c r="Z741" s="53"/>
      <c r="AA741" s="53"/>
      <c r="AB741" s="53"/>
      <c r="AC741" s="53"/>
      <c r="AD741" s="53"/>
      <c r="AE741" s="53"/>
      <c r="AF741" s="53"/>
      <c r="AG741" s="8"/>
      <c r="AH741" s="8"/>
      <c r="AI741" s="8"/>
      <c r="AJ741" s="8"/>
      <c r="AK741" s="8"/>
      <c r="AL741" s="8"/>
      <c r="AM741" s="8"/>
      <c r="AN741" s="8"/>
      <c r="AO741" s="8"/>
      <c r="AP741" s="8"/>
      <c r="AQ741" s="8"/>
      <c r="AR741" s="8"/>
      <c r="AS741" s="8"/>
      <c r="AT741" s="8"/>
      <c r="AU741" s="8"/>
      <c r="AV741" s="8"/>
      <c r="AW741" s="8"/>
      <c r="AX741" s="8"/>
      <c r="AY741" s="8"/>
      <c r="AZ741" s="8"/>
      <c r="BA741" s="8"/>
      <c r="BB741" s="8"/>
      <c r="BC741" s="8"/>
      <c r="BD741" s="8"/>
      <c r="BE741" s="8"/>
    </row>
    <row r="742" spans="1:57">
      <c r="A742" s="8"/>
      <c r="B742" s="8"/>
      <c r="C742" s="8"/>
      <c r="D742" s="8"/>
      <c r="E742" s="8"/>
      <c r="F742" s="54"/>
      <c r="G742" s="8"/>
      <c r="H742" s="8"/>
      <c r="I742" s="8"/>
      <c r="J742" s="8"/>
      <c r="K742" s="8"/>
      <c r="L742" s="8"/>
      <c r="M742" s="8"/>
      <c r="N742" s="8"/>
      <c r="O742" s="8"/>
      <c r="P742" s="8"/>
      <c r="Q742" s="8"/>
      <c r="R742" s="8"/>
      <c r="S742" s="8"/>
      <c r="T742" s="8"/>
      <c r="U742" s="53"/>
      <c r="V742" s="53"/>
      <c r="W742" s="53"/>
      <c r="X742" s="53"/>
      <c r="Y742" s="53"/>
      <c r="Z742" s="53"/>
      <c r="AA742" s="53"/>
      <c r="AB742" s="53"/>
      <c r="AC742" s="53"/>
      <c r="AD742" s="53"/>
      <c r="AE742" s="53"/>
      <c r="AF742" s="53"/>
      <c r="AG742" s="8"/>
      <c r="AH742" s="8"/>
      <c r="AI742" s="8"/>
      <c r="AJ742" s="8"/>
      <c r="AK742" s="8"/>
      <c r="AL742" s="8"/>
      <c r="AM742" s="8"/>
      <c r="AN742" s="8"/>
      <c r="AO742" s="8"/>
      <c r="AP742" s="8"/>
      <c r="AQ742" s="8"/>
      <c r="AR742" s="8"/>
      <c r="AS742" s="8"/>
      <c r="AT742" s="8"/>
      <c r="AU742" s="8"/>
      <c r="AV742" s="8"/>
      <c r="AW742" s="8"/>
      <c r="AX742" s="8"/>
      <c r="AY742" s="8"/>
      <c r="AZ742" s="8"/>
      <c r="BA742" s="8"/>
      <c r="BB742" s="8"/>
      <c r="BC742" s="8"/>
      <c r="BD742" s="8"/>
      <c r="BE742" s="8"/>
    </row>
    <row r="743" spans="1:57">
      <c r="A743" s="8"/>
      <c r="B743" s="8"/>
      <c r="C743" s="8"/>
      <c r="D743" s="8"/>
      <c r="E743" s="8"/>
      <c r="F743" s="54"/>
      <c r="G743" s="8"/>
      <c r="H743" s="8"/>
      <c r="I743" s="8"/>
      <c r="J743" s="8"/>
      <c r="K743" s="8"/>
      <c r="L743" s="8"/>
      <c r="M743" s="8"/>
      <c r="N743" s="8"/>
      <c r="O743" s="8"/>
      <c r="P743" s="8"/>
      <c r="Q743" s="8"/>
      <c r="R743" s="8"/>
      <c r="S743" s="8"/>
      <c r="T743" s="8"/>
      <c r="U743" s="53"/>
      <c r="V743" s="53"/>
      <c r="W743" s="53"/>
      <c r="X743" s="53"/>
      <c r="Y743" s="53"/>
      <c r="Z743" s="53"/>
      <c r="AA743" s="53"/>
      <c r="AB743" s="53"/>
      <c r="AC743" s="53"/>
      <c r="AD743" s="53"/>
      <c r="AE743" s="53"/>
      <c r="AF743" s="53"/>
      <c r="AG743" s="8"/>
      <c r="AH743" s="8"/>
      <c r="AI743" s="8"/>
      <c r="AJ743" s="8"/>
      <c r="AK743" s="8"/>
      <c r="AL743" s="8"/>
      <c r="AM743" s="8"/>
      <c r="AN743" s="8"/>
      <c r="AO743" s="8"/>
      <c r="AP743" s="8"/>
      <c r="AQ743" s="8"/>
      <c r="AR743" s="8"/>
      <c r="AS743" s="8"/>
      <c r="AT743" s="8"/>
      <c r="AU743" s="8"/>
      <c r="AV743" s="8"/>
      <c r="AW743" s="8"/>
      <c r="AX743" s="8"/>
      <c r="AY743" s="8"/>
      <c r="AZ743" s="8"/>
      <c r="BA743" s="8"/>
      <c r="BB743" s="8"/>
      <c r="BC743" s="8"/>
      <c r="BD743" s="8"/>
      <c r="BE743" s="8"/>
    </row>
    <row r="744" spans="1:57">
      <c r="A744" s="8"/>
      <c r="B744" s="8"/>
      <c r="C744" s="8"/>
      <c r="D744" s="8"/>
      <c r="E744" s="8"/>
      <c r="F744" s="54"/>
      <c r="G744" s="8"/>
      <c r="H744" s="8"/>
      <c r="I744" s="8"/>
      <c r="J744" s="8"/>
      <c r="K744" s="8"/>
      <c r="L744" s="8"/>
      <c r="M744" s="8"/>
      <c r="N744" s="8"/>
      <c r="O744" s="8"/>
      <c r="P744" s="8"/>
      <c r="Q744" s="8"/>
      <c r="R744" s="8"/>
      <c r="S744" s="8"/>
      <c r="T744" s="8"/>
      <c r="U744" s="53"/>
      <c r="V744" s="53"/>
      <c r="W744" s="53"/>
      <c r="X744" s="53"/>
      <c r="Y744" s="53"/>
      <c r="Z744" s="53"/>
      <c r="AA744" s="53"/>
      <c r="AB744" s="53"/>
      <c r="AC744" s="53"/>
      <c r="AD744" s="53"/>
      <c r="AE744" s="53"/>
      <c r="AF744" s="53"/>
      <c r="AG744" s="8"/>
      <c r="AH744" s="8"/>
      <c r="AI744" s="8"/>
      <c r="AJ744" s="8"/>
      <c r="AK744" s="8"/>
      <c r="AL744" s="8"/>
      <c r="AM744" s="8"/>
      <c r="AN744" s="8"/>
      <c r="AO744" s="8"/>
      <c r="AP744" s="8"/>
      <c r="AQ744" s="8"/>
      <c r="AR744" s="8"/>
      <c r="AS744" s="8"/>
      <c r="AT744" s="8"/>
      <c r="AU744" s="8"/>
      <c r="AV744" s="8"/>
      <c r="AW744" s="8"/>
      <c r="AX744" s="8"/>
      <c r="AY744" s="8"/>
      <c r="AZ744" s="8"/>
      <c r="BA744" s="8"/>
      <c r="BB744" s="8"/>
      <c r="BC744" s="8"/>
      <c r="BD744" s="8"/>
      <c r="BE744" s="8"/>
    </row>
    <row r="745" spans="1:57">
      <c r="A745" s="8"/>
      <c r="B745" s="8"/>
      <c r="C745" s="8"/>
      <c r="D745" s="8"/>
      <c r="E745" s="8"/>
      <c r="F745" s="54"/>
      <c r="G745" s="8"/>
      <c r="H745" s="8"/>
      <c r="I745" s="8"/>
      <c r="J745" s="8"/>
      <c r="K745" s="8"/>
      <c r="L745" s="8"/>
      <c r="M745" s="8"/>
      <c r="N745" s="8"/>
      <c r="O745" s="8"/>
      <c r="P745" s="8"/>
      <c r="Q745" s="8"/>
      <c r="R745" s="8"/>
      <c r="S745" s="8"/>
      <c r="T745" s="8"/>
      <c r="U745" s="53"/>
      <c r="V745" s="53"/>
      <c r="W745" s="53"/>
      <c r="X745" s="53"/>
      <c r="Y745" s="53"/>
      <c r="Z745" s="53"/>
      <c r="AA745" s="53"/>
      <c r="AB745" s="53"/>
      <c r="AC745" s="53"/>
      <c r="AD745" s="53"/>
      <c r="AE745" s="53"/>
      <c r="AF745" s="53"/>
      <c r="AG745" s="8"/>
      <c r="AH745" s="8"/>
      <c r="AI745" s="8"/>
      <c r="AJ745" s="8"/>
      <c r="AK745" s="8"/>
      <c r="AL745" s="8"/>
      <c r="AM745" s="8"/>
      <c r="AN745" s="8"/>
      <c r="AO745" s="8"/>
      <c r="AP745" s="8"/>
      <c r="AQ745" s="8"/>
      <c r="AR745" s="8"/>
      <c r="AS745" s="8"/>
      <c r="AT745" s="8"/>
      <c r="AU745" s="8"/>
      <c r="AV745" s="8"/>
      <c r="AW745" s="8"/>
      <c r="AX745" s="8"/>
      <c r="AY745" s="8"/>
      <c r="AZ745" s="8"/>
      <c r="BA745" s="8"/>
      <c r="BB745" s="8"/>
      <c r="BC745" s="8"/>
      <c r="BD745" s="8"/>
      <c r="BE745" s="8"/>
    </row>
    <row r="746" spans="1:57">
      <c r="A746" s="8"/>
      <c r="B746" s="8"/>
      <c r="C746" s="8"/>
      <c r="D746" s="8"/>
      <c r="E746" s="8"/>
      <c r="F746" s="54"/>
      <c r="G746" s="8"/>
      <c r="H746" s="8"/>
      <c r="I746" s="8"/>
      <c r="J746" s="8"/>
      <c r="K746" s="8"/>
      <c r="L746" s="8"/>
      <c r="M746" s="8"/>
      <c r="N746" s="8"/>
      <c r="O746" s="8"/>
      <c r="P746" s="8"/>
      <c r="Q746" s="8"/>
      <c r="R746" s="8"/>
      <c r="S746" s="8"/>
      <c r="T746" s="8"/>
      <c r="U746" s="53"/>
      <c r="V746" s="53"/>
      <c r="W746" s="53"/>
      <c r="X746" s="53"/>
      <c r="Y746" s="53"/>
      <c r="Z746" s="53"/>
      <c r="AA746" s="53"/>
      <c r="AB746" s="53"/>
      <c r="AC746" s="53"/>
      <c r="AD746" s="53"/>
      <c r="AE746" s="53"/>
      <c r="AF746" s="53"/>
      <c r="AG746" s="8"/>
      <c r="AH746" s="8"/>
      <c r="AI746" s="8"/>
      <c r="AJ746" s="8"/>
      <c r="AK746" s="8"/>
      <c r="AL746" s="8"/>
      <c r="AM746" s="8"/>
      <c r="AN746" s="8"/>
      <c r="AO746" s="8"/>
      <c r="AP746" s="8"/>
      <c r="AQ746" s="8"/>
      <c r="AR746" s="8"/>
      <c r="AS746" s="8"/>
      <c r="AT746" s="8"/>
      <c r="AU746" s="8"/>
      <c r="AV746" s="8"/>
      <c r="AW746" s="8"/>
      <c r="AX746" s="8"/>
      <c r="AY746" s="8"/>
      <c r="AZ746" s="8"/>
      <c r="BA746" s="8"/>
      <c r="BB746" s="8"/>
      <c r="BC746" s="8"/>
      <c r="BD746" s="8"/>
      <c r="BE746" s="8"/>
    </row>
    <row r="747" spans="1:57">
      <c r="A747" s="8"/>
      <c r="B747" s="8"/>
      <c r="C747" s="8"/>
      <c r="D747" s="8"/>
      <c r="E747" s="8"/>
      <c r="F747" s="54"/>
      <c r="G747" s="8"/>
      <c r="H747" s="8"/>
      <c r="I747" s="8"/>
      <c r="J747" s="8"/>
      <c r="K747" s="8"/>
      <c r="L747" s="8"/>
      <c r="M747" s="8"/>
      <c r="N747" s="8"/>
      <c r="O747" s="8"/>
      <c r="P747" s="8"/>
      <c r="Q747" s="8"/>
      <c r="R747" s="8"/>
      <c r="S747" s="8"/>
      <c r="T747" s="8"/>
      <c r="U747" s="53"/>
      <c r="V747" s="53"/>
      <c r="W747" s="53"/>
      <c r="X747" s="53"/>
      <c r="Y747" s="53"/>
      <c r="Z747" s="53"/>
      <c r="AA747" s="53"/>
      <c r="AB747" s="53"/>
      <c r="AC747" s="53"/>
      <c r="AD747" s="53"/>
      <c r="AE747" s="53"/>
      <c r="AF747" s="53"/>
      <c r="AG747" s="8"/>
      <c r="AH747" s="8"/>
      <c r="AI747" s="8"/>
      <c r="AJ747" s="8"/>
      <c r="AK747" s="8"/>
      <c r="AL747" s="8"/>
      <c r="AM747" s="8"/>
      <c r="AN747" s="8"/>
      <c r="AO747" s="8"/>
      <c r="AP747" s="8"/>
      <c r="AQ747" s="8"/>
      <c r="AR747" s="8"/>
      <c r="AS747" s="8"/>
      <c r="AT747" s="8"/>
      <c r="AU747" s="8"/>
      <c r="AV747" s="8"/>
      <c r="AW747" s="8"/>
      <c r="AX747" s="8"/>
      <c r="AY747" s="8"/>
      <c r="AZ747" s="8"/>
      <c r="BA747" s="8"/>
      <c r="BB747" s="8"/>
      <c r="BC747" s="8"/>
      <c r="BD747" s="8"/>
      <c r="BE747" s="8"/>
    </row>
    <row r="748" spans="1:57">
      <c r="A748" s="8"/>
      <c r="B748" s="8"/>
      <c r="C748" s="8"/>
      <c r="D748" s="8"/>
      <c r="E748" s="8"/>
      <c r="F748" s="54"/>
      <c r="G748" s="8"/>
      <c r="H748" s="8"/>
      <c r="I748" s="8"/>
      <c r="J748" s="8"/>
      <c r="K748" s="8"/>
      <c r="L748" s="8"/>
      <c r="M748" s="8"/>
      <c r="N748" s="8"/>
      <c r="O748" s="8"/>
      <c r="P748" s="8"/>
      <c r="Q748" s="8"/>
      <c r="R748" s="8"/>
      <c r="S748" s="8"/>
      <c r="T748" s="8"/>
      <c r="U748" s="53"/>
      <c r="V748" s="53"/>
      <c r="W748" s="53"/>
      <c r="X748" s="53"/>
      <c r="Y748" s="53"/>
      <c r="Z748" s="53"/>
      <c r="AA748" s="53"/>
      <c r="AB748" s="53"/>
      <c r="AC748" s="53"/>
      <c r="AD748" s="53"/>
      <c r="AE748" s="53"/>
      <c r="AF748" s="53"/>
      <c r="AG748" s="8"/>
      <c r="AH748" s="8"/>
      <c r="AI748" s="8"/>
      <c r="AJ748" s="8"/>
      <c r="AK748" s="8"/>
      <c r="AL748" s="8"/>
      <c r="AM748" s="8"/>
      <c r="AN748" s="8"/>
      <c r="AO748" s="8"/>
      <c r="AP748" s="8"/>
      <c r="AQ748" s="8"/>
      <c r="AR748" s="8"/>
      <c r="AS748" s="8"/>
      <c r="AT748" s="8"/>
      <c r="AU748" s="8"/>
      <c r="AV748" s="8"/>
      <c r="AW748" s="8"/>
      <c r="AX748" s="8"/>
      <c r="AY748" s="8"/>
      <c r="AZ748" s="8"/>
      <c r="BA748" s="8"/>
      <c r="BB748" s="8"/>
      <c r="BC748" s="8"/>
      <c r="BD748" s="8"/>
      <c r="BE748" s="8"/>
    </row>
    <row r="749" spans="1:57">
      <c r="A749" s="8"/>
      <c r="B749" s="8"/>
      <c r="C749" s="8"/>
      <c r="D749" s="8"/>
      <c r="E749" s="8"/>
      <c r="F749" s="54"/>
      <c r="G749" s="8"/>
      <c r="H749" s="8"/>
      <c r="I749" s="8"/>
      <c r="J749" s="8"/>
      <c r="K749" s="8"/>
      <c r="L749" s="8"/>
      <c r="M749" s="8"/>
      <c r="N749" s="8"/>
      <c r="O749" s="8"/>
      <c r="P749" s="8"/>
      <c r="Q749" s="8"/>
      <c r="R749" s="8"/>
      <c r="S749" s="8"/>
      <c r="T749" s="8"/>
      <c r="U749" s="53"/>
      <c r="V749" s="53"/>
      <c r="W749" s="53"/>
      <c r="X749" s="53"/>
      <c r="Y749" s="53"/>
      <c r="Z749" s="53"/>
      <c r="AA749" s="53"/>
      <c r="AB749" s="53"/>
      <c r="AC749" s="53"/>
      <c r="AD749" s="53"/>
      <c r="AE749" s="53"/>
      <c r="AF749" s="53"/>
      <c r="AG749" s="8"/>
      <c r="AH749" s="8"/>
      <c r="AI749" s="8"/>
      <c r="AJ749" s="8"/>
      <c r="AK749" s="8"/>
      <c r="AL749" s="8"/>
      <c r="AM749" s="8"/>
      <c r="AN749" s="8"/>
      <c r="AO749" s="8"/>
      <c r="AP749" s="8"/>
      <c r="AQ749" s="8"/>
      <c r="AR749" s="8"/>
      <c r="AS749" s="8"/>
      <c r="AT749" s="8"/>
      <c r="AU749" s="8"/>
      <c r="AV749" s="8"/>
      <c r="AW749" s="8"/>
      <c r="AX749" s="8"/>
      <c r="AY749" s="8"/>
      <c r="AZ749" s="8"/>
      <c r="BA749" s="8"/>
      <c r="BB749" s="8"/>
      <c r="BC749" s="8"/>
      <c r="BD749" s="8"/>
      <c r="BE749" s="8"/>
    </row>
    <row r="750" spans="1:57">
      <c r="A750" s="8"/>
      <c r="B750" s="8"/>
      <c r="C750" s="8"/>
      <c r="D750" s="8"/>
      <c r="E750" s="8"/>
      <c r="F750" s="54"/>
      <c r="G750" s="8"/>
      <c r="H750" s="8"/>
      <c r="I750" s="8"/>
      <c r="J750" s="8"/>
      <c r="K750" s="8"/>
      <c r="L750" s="8"/>
      <c r="M750" s="8"/>
      <c r="N750" s="8"/>
      <c r="O750" s="8"/>
      <c r="P750" s="8"/>
      <c r="Q750" s="8"/>
      <c r="R750" s="8"/>
      <c r="S750" s="8"/>
      <c r="T750" s="8"/>
      <c r="U750" s="53"/>
      <c r="V750" s="53"/>
      <c r="W750" s="53"/>
      <c r="X750" s="53"/>
      <c r="Y750" s="53"/>
      <c r="Z750" s="53"/>
      <c r="AA750" s="53"/>
      <c r="AB750" s="53"/>
      <c r="AC750" s="53"/>
      <c r="AD750" s="53"/>
      <c r="AE750" s="53"/>
      <c r="AF750" s="53"/>
      <c r="AG750" s="8"/>
      <c r="AH750" s="8"/>
      <c r="AI750" s="8"/>
      <c r="AJ750" s="8"/>
      <c r="AK750" s="8"/>
      <c r="AL750" s="8"/>
      <c r="AM750" s="8"/>
      <c r="AN750" s="8"/>
      <c r="AO750" s="8"/>
      <c r="AP750" s="8"/>
      <c r="AQ750" s="8"/>
      <c r="AR750" s="8"/>
      <c r="AS750" s="8"/>
      <c r="AT750" s="8"/>
      <c r="AU750" s="8"/>
      <c r="AV750" s="8"/>
      <c r="AW750" s="8"/>
      <c r="AX750" s="8"/>
      <c r="AY750" s="8"/>
      <c r="AZ750" s="8"/>
      <c r="BA750" s="8"/>
      <c r="BB750" s="8"/>
      <c r="BC750" s="8"/>
      <c r="BD750" s="8"/>
      <c r="BE750" s="8"/>
    </row>
    <row r="751" spans="1:57">
      <c r="A751" s="8"/>
      <c r="B751" s="8"/>
      <c r="C751" s="8"/>
      <c r="D751" s="8"/>
      <c r="E751" s="8"/>
      <c r="F751" s="54"/>
      <c r="G751" s="8"/>
      <c r="H751" s="8"/>
      <c r="I751" s="8"/>
      <c r="J751" s="8"/>
      <c r="K751" s="8"/>
      <c r="L751" s="8"/>
      <c r="M751" s="8"/>
      <c r="N751" s="8"/>
      <c r="O751" s="8"/>
      <c r="P751" s="8"/>
      <c r="Q751" s="8"/>
      <c r="R751" s="8"/>
      <c r="S751" s="8"/>
      <c r="T751" s="8"/>
      <c r="U751" s="53"/>
      <c r="V751" s="53"/>
      <c r="W751" s="53"/>
      <c r="X751" s="53"/>
      <c r="Y751" s="53"/>
      <c r="Z751" s="53"/>
      <c r="AA751" s="53"/>
      <c r="AB751" s="53"/>
      <c r="AC751" s="53"/>
      <c r="AD751" s="53"/>
      <c r="AE751" s="53"/>
      <c r="AF751" s="53"/>
      <c r="AG751" s="8"/>
      <c r="AH751" s="8"/>
      <c r="AI751" s="8"/>
      <c r="AJ751" s="8"/>
      <c r="AK751" s="8"/>
      <c r="AL751" s="8"/>
      <c r="AM751" s="8"/>
      <c r="AN751" s="8"/>
      <c r="AO751" s="8"/>
      <c r="AP751" s="8"/>
      <c r="AQ751" s="8"/>
      <c r="AR751" s="8"/>
      <c r="AS751" s="8"/>
      <c r="AT751" s="8"/>
      <c r="AU751" s="8"/>
      <c r="AV751" s="8"/>
      <c r="AW751" s="8"/>
      <c r="AX751" s="8"/>
      <c r="AY751" s="8"/>
      <c r="AZ751" s="8"/>
      <c r="BA751" s="8"/>
      <c r="BB751" s="8"/>
      <c r="BC751" s="8"/>
      <c r="BD751" s="8"/>
      <c r="BE751" s="8"/>
    </row>
    <row r="752" spans="1:57">
      <c r="A752" s="8"/>
      <c r="B752" s="8"/>
      <c r="C752" s="8"/>
      <c r="D752" s="8"/>
      <c r="E752" s="8"/>
      <c r="F752" s="54"/>
      <c r="G752" s="8"/>
      <c r="H752" s="8"/>
      <c r="I752" s="8"/>
      <c r="J752" s="8"/>
      <c r="K752" s="8"/>
      <c r="L752" s="8"/>
      <c r="M752" s="8"/>
      <c r="N752" s="8"/>
      <c r="O752" s="8"/>
      <c r="P752" s="8"/>
      <c r="Q752" s="8"/>
      <c r="R752" s="8"/>
      <c r="S752" s="8"/>
      <c r="T752" s="8"/>
      <c r="U752" s="53"/>
      <c r="V752" s="53"/>
      <c r="W752" s="53"/>
      <c r="X752" s="53"/>
      <c r="Y752" s="53"/>
      <c r="Z752" s="53"/>
      <c r="AA752" s="53"/>
      <c r="AB752" s="53"/>
      <c r="AC752" s="53"/>
      <c r="AD752" s="53"/>
      <c r="AE752" s="53"/>
      <c r="AF752" s="53"/>
      <c r="AG752" s="8"/>
      <c r="AH752" s="8"/>
      <c r="AI752" s="8"/>
      <c r="AJ752" s="8"/>
      <c r="AK752" s="8"/>
      <c r="AL752" s="8"/>
      <c r="AM752" s="8"/>
      <c r="AN752" s="8"/>
      <c r="AO752" s="8"/>
      <c r="AP752" s="8"/>
      <c r="AQ752" s="8"/>
      <c r="AR752" s="8"/>
      <c r="AS752" s="8"/>
      <c r="AT752" s="8"/>
      <c r="AU752" s="8"/>
      <c r="AV752" s="8"/>
      <c r="AW752" s="8"/>
      <c r="AX752" s="8"/>
      <c r="AY752" s="8"/>
      <c r="AZ752" s="8"/>
      <c r="BA752" s="8"/>
      <c r="BB752" s="8"/>
      <c r="BC752" s="8"/>
      <c r="BD752" s="8"/>
      <c r="BE752" s="8"/>
    </row>
    <row r="753" spans="1:57">
      <c r="A753" s="8"/>
      <c r="B753" s="8"/>
      <c r="C753" s="8"/>
      <c r="D753" s="8"/>
      <c r="E753" s="8"/>
      <c r="F753" s="54"/>
      <c r="G753" s="8"/>
      <c r="H753" s="8"/>
      <c r="I753" s="8"/>
      <c r="J753" s="8"/>
      <c r="K753" s="8"/>
      <c r="L753" s="8"/>
      <c r="M753" s="8"/>
      <c r="N753" s="8"/>
      <c r="O753" s="8"/>
      <c r="P753" s="8"/>
      <c r="Q753" s="8"/>
      <c r="R753" s="8"/>
      <c r="S753" s="8"/>
      <c r="T753" s="8"/>
      <c r="U753" s="53"/>
      <c r="V753" s="53"/>
      <c r="W753" s="53"/>
      <c r="X753" s="53"/>
      <c r="Y753" s="53"/>
      <c r="Z753" s="53"/>
      <c r="AA753" s="53"/>
      <c r="AB753" s="53"/>
      <c r="AC753" s="53"/>
      <c r="AD753" s="53"/>
      <c r="AE753" s="53"/>
      <c r="AF753" s="53"/>
      <c r="AG753" s="8"/>
      <c r="AH753" s="8"/>
      <c r="AI753" s="8"/>
      <c r="AJ753" s="8"/>
      <c r="AK753" s="8"/>
      <c r="AL753" s="8"/>
      <c r="AM753" s="8"/>
      <c r="AN753" s="8"/>
      <c r="AO753" s="8"/>
      <c r="AP753" s="8"/>
      <c r="AQ753" s="8"/>
      <c r="AR753" s="8"/>
      <c r="AS753" s="8"/>
      <c r="AT753" s="8"/>
      <c r="AU753" s="8"/>
      <c r="AV753" s="8"/>
      <c r="AW753" s="8"/>
      <c r="AX753" s="8"/>
      <c r="AY753" s="8"/>
      <c r="AZ753" s="8"/>
      <c r="BA753" s="8"/>
      <c r="BB753" s="8"/>
      <c r="BC753" s="8"/>
      <c r="BD753" s="8"/>
      <c r="BE753" s="8"/>
    </row>
    <row r="754" spans="1:57">
      <c r="A754" s="8"/>
      <c r="B754" s="8"/>
      <c r="C754" s="8"/>
      <c r="D754" s="8"/>
      <c r="E754" s="8"/>
      <c r="F754" s="54"/>
      <c r="G754" s="8"/>
      <c r="H754" s="8"/>
      <c r="I754" s="8"/>
      <c r="J754" s="8"/>
      <c r="K754" s="8"/>
      <c r="L754" s="8"/>
      <c r="M754" s="8"/>
      <c r="N754" s="8"/>
      <c r="O754" s="8"/>
      <c r="P754" s="8"/>
      <c r="Q754" s="8"/>
      <c r="R754" s="8"/>
      <c r="S754" s="8"/>
      <c r="T754" s="8"/>
      <c r="U754" s="53"/>
      <c r="V754" s="53"/>
      <c r="W754" s="53"/>
      <c r="X754" s="53"/>
      <c r="Y754" s="53"/>
      <c r="Z754" s="53"/>
      <c r="AA754" s="53"/>
      <c r="AB754" s="53"/>
      <c r="AC754" s="53"/>
      <c r="AD754" s="53"/>
      <c r="AE754" s="53"/>
      <c r="AF754" s="53"/>
      <c r="AG754" s="8"/>
      <c r="AH754" s="8"/>
      <c r="AI754" s="8"/>
      <c r="AJ754" s="8"/>
      <c r="AK754" s="8"/>
      <c r="AL754" s="8"/>
      <c r="AM754" s="8"/>
      <c r="AN754" s="8"/>
      <c r="AO754" s="8"/>
      <c r="AP754" s="8"/>
      <c r="AQ754" s="8"/>
      <c r="AR754" s="8"/>
      <c r="AS754" s="8"/>
      <c r="AT754" s="8"/>
      <c r="AU754" s="8"/>
      <c r="AV754" s="8"/>
      <c r="AW754" s="8"/>
      <c r="AX754" s="8"/>
      <c r="AY754" s="8"/>
      <c r="AZ754" s="8"/>
      <c r="BA754" s="8"/>
      <c r="BB754" s="8"/>
      <c r="BC754" s="8"/>
      <c r="BD754" s="8"/>
      <c r="BE754" s="8"/>
    </row>
    <row r="755" spans="1:57">
      <c r="A755" s="8"/>
      <c r="B755" s="8"/>
      <c r="C755" s="8"/>
      <c r="D755" s="8"/>
      <c r="E755" s="8"/>
      <c r="F755" s="54"/>
      <c r="G755" s="8"/>
      <c r="H755" s="8"/>
      <c r="I755" s="8"/>
      <c r="J755" s="8"/>
      <c r="K755" s="8"/>
      <c r="L755" s="8"/>
      <c r="M755" s="8"/>
      <c r="N755" s="8"/>
      <c r="O755" s="8"/>
      <c r="P755" s="8"/>
      <c r="Q755" s="8"/>
      <c r="R755" s="8"/>
      <c r="S755" s="8"/>
      <c r="T755" s="8"/>
      <c r="U755" s="53"/>
      <c r="V755" s="53"/>
      <c r="W755" s="53"/>
      <c r="X755" s="53"/>
      <c r="Y755" s="53"/>
      <c r="Z755" s="53"/>
      <c r="AA755" s="53"/>
      <c r="AB755" s="53"/>
      <c r="AC755" s="53"/>
      <c r="AD755" s="53"/>
      <c r="AE755" s="53"/>
      <c r="AF755" s="53"/>
      <c r="AG755" s="8"/>
      <c r="AH755" s="8"/>
      <c r="AI755" s="8"/>
      <c r="AJ755" s="8"/>
      <c r="AK755" s="8"/>
      <c r="AL755" s="8"/>
      <c r="AM755" s="8"/>
      <c r="AN755" s="8"/>
      <c r="AO755" s="8"/>
      <c r="AP755" s="8"/>
      <c r="AQ755" s="8"/>
      <c r="AR755" s="8"/>
      <c r="AS755" s="8"/>
      <c r="AT755" s="8"/>
      <c r="AU755" s="8"/>
      <c r="AV755" s="8"/>
      <c r="AW755" s="8"/>
      <c r="AX755" s="8"/>
      <c r="AY755" s="8"/>
      <c r="AZ755" s="8"/>
      <c r="BA755" s="8"/>
      <c r="BB755" s="8"/>
      <c r="BC755" s="8"/>
      <c r="BD755" s="8"/>
      <c r="BE755" s="8"/>
    </row>
    <row r="756" spans="1:57">
      <c r="A756" s="8"/>
      <c r="B756" s="8"/>
      <c r="C756" s="8"/>
      <c r="D756" s="8"/>
      <c r="E756" s="8"/>
      <c r="F756" s="54"/>
      <c r="G756" s="8"/>
      <c r="H756" s="8"/>
      <c r="I756" s="8"/>
      <c r="J756" s="8"/>
      <c r="K756" s="8"/>
      <c r="L756" s="8"/>
      <c r="M756" s="8"/>
      <c r="N756" s="8"/>
      <c r="O756" s="8"/>
      <c r="P756" s="8"/>
      <c r="Q756" s="8"/>
      <c r="R756" s="8"/>
      <c r="S756" s="8"/>
      <c r="T756" s="8"/>
      <c r="U756" s="53"/>
      <c r="V756" s="53"/>
      <c r="W756" s="53"/>
      <c r="X756" s="53"/>
      <c r="Y756" s="53"/>
      <c r="Z756" s="53"/>
      <c r="AA756" s="53"/>
      <c r="AB756" s="53"/>
      <c r="AC756" s="53"/>
      <c r="AD756" s="53"/>
      <c r="AE756" s="53"/>
      <c r="AF756" s="53"/>
      <c r="AG756" s="8"/>
      <c r="AH756" s="8"/>
      <c r="AI756" s="8"/>
      <c r="AJ756" s="8"/>
      <c r="AK756" s="8"/>
      <c r="AL756" s="8"/>
      <c r="AM756" s="8"/>
      <c r="AN756" s="8"/>
      <c r="AO756" s="8"/>
      <c r="AP756" s="8"/>
      <c r="AQ756" s="8"/>
      <c r="AR756" s="8"/>
      <c r="AS756" s="8"/>
      <c r="AT756" s="8"/>
      <c r="AU756" s="8"/>
      <c r="AV756" s="8"/>
      <c r="AW756" s="8"/>
      <c r="AX756" s="8"/>
      <c r="AY756" s="8"/>
      <c r="AZ756" s="8"/>
      <c r="BA756" s="8"/>
      <c r="BB756" s="8"/>
      <c r="BC756" s="8"/>
      <c r="BD756" s="8"/>
      <c r="BE756" s="8"/>
    </row>
    <row r="757" spans="1:57">
      <c r="A757" s="8"/>
      <c r="B757" s="8"/>
      <c r="C757" s="8"/>
      <c r="D757" s="8"/>
      <c r="E757" s="8"/>
      <c r="F757" s="54"/>
      <c r="G757" s="8"/>
      <c r="H757" s="8"/>
      <c r="I757" s="8"/>
      <c r="J757" s="8"/>
      <c r="K757" s="8"/>
      <c r="L757" s="8"/>
      <c r="M757" s="8"/>
      <c r="N757" s="8"/>
      <c r="O757" s="8"/>
      <c r="P757" s="8"/>
      <c r="Q757" s="8"/>
      <c r="R757" s="8"/>
      <c r="S757" s="8"/>
      <c r="T757" s="8"/>
      <c r="U757" s="53"/>
      <c r="V757" s="53"/>
      <c r="W757" s="53"/>
      <c r="X757" s="53"/>
      <c r="Y757" s="53"/>
      <c r="Z757" s="53"/>
      <c r="AA757" s="53"/>
      <c r="AB757" s="53"/>
      <c r="AC757" s="53"/>
      <c r="AD757" s="53"/>
      <c r="AE757" s="53"/>
      <c r="AF757" s="53"/>
      <c r="AG757" s="8"/>
      <c r="AH757" s="8"/>
      <c r="AI757" s="8"/>
      <c r="AJ757" s="8"/>
      <c r="AK757" s="8"/>
      <c r="AL757" s="8"/>
      <c r="AM757" s="8"/>
      <c r="AN757" s="8"/>
      <c r="AO757" s="8"/>
      <c r="AP757" s="8"/>
      <c r="AQ757" s="8"/>
      <c r="AR757" s="8"/>
      <c r="AS757" s="8"/>
      <c r="AT757" s="8"/>
      <c r="AU757" s="8"/>
      <c r="AV757" s="8"/>
      <c r="AW757" s="8"/>
      <c r="AX757" s="8"/>
      <c r="AY757" s="8"/>
      <c r="AZ757" s="8"/>
      <c r="BA757" s="8"/>
      <c r="BB757" s="8"/>
      <c r="BC757" s="8"/>
      <c r="BD757" s="8"/>
      <c r="BE757" s="8"/>
    </row>
    <row r="758" spans="1:57">
      <c r="A758" s="8"/>
      <c r="B758" s="8"/>
      <c r="C758" s="8"/>
      <c r="D758" s="8"/>
      <c r="E758" s="8"/>
      <c r="F758" s="54"/>
      <c r="G758" s="8"/>
      <c r="H758" s="8"/>
      <c r="I758" s="8"/>
      <c r="J758" s="8"/>
      <c r="K758" s="8"/>
      <c r="L758" s="8"/>
      <c r="M758" s="8"/>
      <c r="N758" s="8"/>
      <c r="O758" s="8"/>
      <c r="P758" s="8"/>
      <c r="Q758" s="8"/>
      <c r="R758" s="8"/>
      <c r="S758" s="8"/>
      <c r="T758" s="8"/>
      <c r="U758" s="53"/>
      <c r="V758" s="53"/>
      <c r="W758" s="53"/>
      <c r="X758" s="53"/>
      <c r="Y758" s="53"/>
      <c r="Z758" s="53"/>
      <c r="AA758" s="53"/>
      <c r="AB758" s="53"/>
      <c r="AC758" s="53"/>
      <c r="AD758" s="53"/>
      <c r="AE758" s="53"/>
      <c r="AF758" s="53"/>
      <c r="AG758" s="8"/>
      <c r="AH758" s="8"/>
      <c r="AI758" s="8"/>
      <c r="AJ758" s="8"/>
      <c r="AK758" s="8"/>
      <c r="AL758" s="8"/>
      <c r="AM758" s="8"/>
      <c r="AN758" s="8"/>
      <c r="AO758" s="8"/>
      <c r="AP758" s="8"/>
      <c r="AQ758" s="8"/>
      <c r="AR758" s="8"/>
      <c r="AS758" s="8"/>
      <c r="AT758" s="8"/>
      <c r="AU758" s="8"/>
      <c r="AV758" s="8"/>
      <c r="AW758" s="8"/>
      <c r="AX758" s="8"/>
      <c r="AY758" s="8"/>
      <c r="AZ758" s="8"/>
      <c r="BA758" s="8"/>
      <c r="BB758" s="8"/>
      <c r="BC758" s="8"/>
      <c r="BD758" s="8"/>
      <c r="BE758" s="8"/>
    </row>
    <row r="759" spans="1:57">
      <c r="A759" s="8"/>
      <c r="B759" s="8"/>
      <c r="C759" s="8"/>
      <c r="D759" s="8"/>
      <c r="E759" s="8"/>
      <c r="F759" s="54"/>
      <c r="G759" s="8"/>
      <c r="H759" s="8"/>
      <c r="I759" s="8"/>
      <c r="J759" s="8"/>
      <c r="K759" s="8"/>
      <c r="L759" s="8"/>
      <c r="M759" s="8"/>
      <c r="N759" s="8"/>
      <c r="O759" s="8"/>
      <c r="P759" s="8"/>
      <c r="Q759" s="8"/>
      <c r="R759" s="8"/>
      <c r="S759" s="8"/>
      <c r="T759" s="8"/>
      <c r="U759" s="53"/>
      <c r="V759" s="53"/>
      <c r="W759" s="53"/>
      <c r="X759" s="53"/>
      <c r="Y759" s="53"/>
      <c r="Z759" s="53"/>
      <c r="AA759" s="53"/>
      <c r="AB759" s="53"/>
      <c r="AC759" s="53"/>
      <c r="AD759" s="53"/>
      <c r="AE759" s="53"/>
      <c r="AF759" s="53"/>
      <c r="AG759" s="8"/>
      <c r="AH759" s="8"/>
      <c r="AI759" s="8"/>
      <c r="AJ759" s="8"/>
      <c r="AK759" s="8"/>
      <c r="AL759" s="8"/>
      <c r="AM759" s="8"/>
      <c r="AN759" s="8"/>
      <c r="AO759" s="8"/>
      <c r="AP759" s="8"/>
      <c r="AQ759" s="8"/>
      <c r="AR759" s="8"/>
      <c r="AS759" s="8"/>
      <c r="AT759" s="8"/>
      <c r="AU759" s="8"/>
      <c r="AV759" s="8"/>
      <c r="AW759" s="8"/>
      <c r="AX759" s="8"/>
      <c r="AY759" s="8"/>
      <c r="AZ759" s="8"/>
      <c r="BA759" s="8"/>
      <c r="BB759" s="8"/>
      <c r="BC759" s="8"/>
      <c r="BD759" s="8"/>
      <c r="BE759" s="8"/>
    </row>
    <row r="760" spans="1:57">
      <c r="A760" s="8"/>
      <c r="B760" s="8"/>
      <c r="C760" s="8"/>
      <c r="D760" s="8"/>
      <c r="E760" s="8"/>
      <c r="F760" s="54"/>
      <c r="G760" s="8"/>
      <c r="H760" s="8"/>
      <c r="I760" s="8"/>
      <c r="J760" s="8"/>
      <c r="K760" s="8"/>
      <c r="L760" s="8"/>
      <c r="M760" s="8"/>
      <c r="N760" s="8"/>
      <c r="O760" s="8"/>
      <c r="P760" s="8"/>
      <c r="Q760" s="8"/>
      <c r="R760" s="8"/>
      <c r="S760" s="8"/>
      <c r="T760" s="8"/>
      <c r="U760" s="53"/>
      <c r="V760" s="53"/>
      <c r="W760" s="53"/>
      <c r="X760" s="53"/>
      <c r="Y760" s="53"/>
      <c r="Z760" s="53"/>
      <c r="AA760" s="53"/>
      <c r="AB760" s="53"/>
      <c r="AC760" s="53"/>
      <c r="AD760" s="53"/>
      <c r="AE760" s="53"/>
      <c r="AF760" s="53"/>
      <c r="AG760" s="8"/>
      <c r="AH760" s="8"/>
      <c r="AI760" s="8"/>
      <c r="AJ760" s="8"/>
      <c r="AK760" s="8"/>
      <c r="AL760" s="8"/>
      <c r="AM760" s="8"/>
      <c r="AN760" s="8"/>
      <c r="AO760" s="8"/>
      <c r="AP760" s="8"/>
      <c r="AQ760" s="8"/>
      <c r="AR760" s="8"/>
      <c r="AS760" s="8"/>
      <c r="AT760" s="8"/>
      <c r="AU760" s="8"/>
      <c r="AV760" s="8"/>
      <c r="AW760" s="8"/>
      <c r="AX760" s="8"/>
      <c r="AY760" s="8"/>
      <c r="AZ760" s="8"/>
      <c r="BA760" s="8"/>
      <c r="BB760" s="8"/>
      <c r="BC760" s="8"/>
      <c r="BD760" s="8"/>
      <c r="BE760" s="8"/>
    </row>
    <row r="761" spans="1:57">
      <c r="A761" s="8"/>
      <c r="B761" s="8"/>
      <c r="C761" s="8"/>
      <c r="D761" s="8"/>
      <c r="E761" s="8"/>
      <c r="F761" s="54"/>
      <c r="G761" s="8"/>
      <c r="H761" s="8"/>
      <c r="I761" s="8"/>
      <c r="J761" s="8"/>
      <c r="K761" s="8"/>
      <c r="L761" s="8"/>
      <c r="M761" s="8"/>
      <c r="N761" s="8"/>
      <c r="O761" s="8"/>
      <c r="P761" s="8"/>
      <c r="Q761" s="8"/>
      <c r="R761" s="8"/>
      <c r="S761" s="8"/>
      <c r="T761" s="8"/>
      <c r="U761" s="53"/>
      <c r="V761" s="53"/>
      <c r="W761" s="53"/>
      <c r="X761" s="53"/>
      <c r="Y761" s="53"/>
      <c r="Z761" s="53"/>
      <c r="AA761" s="53"/>
      <c r="AB761" s="53"/>
      <c r="AC761" s="53"/>
      <c r="AD761" s="53"/>
      <c r="AE761" s="53"/>
      <c r="AF761" s="53"/>
      <c r="AG761" s="8"/>
      <c r="AH761" s="8"/>
      <c r="AI761" s="8"/>
      <c r="AJ761" s="8"/>
      <c r="AK761" s="8"/>
      <c r="AL761" s="8"/>
      <c r="AM761" s="8"/>
      <c r="AN761" s="8"/>
      <c r="AO761" s="8"/>
      <c r="AP761" s="8"/>
      <c r="AQ761" s="8"/>
      <c r="AR761" s="8"/>
      <c r="AS761" s="8"/>
      <c r="AT761" s="8"/>
      <c r="AU761" s="8"/>
      <c r="AV761" s="8"/>
      <c r="AW761" s="8"/>
      <c r="AX761" s="8"/>
      <c r="AY761" s="8"/>
      <c r="AZ761" s="8"/>
      <c r="BA761" s="8"/>
      <c r="BB761" s="8"/>
      <c r="BC761" s="8"/>
      <c r="BD761" s="8"/>
      <c r="BE761" s="8"/>
    </row>
    <row r="762" spans="1:57">
      <c r="A762" s="8"/>
      <c r="B762" s="8"/>
      <c r="C762" s="8"/>
      <c r="D762" s="8"/>
      <c r="E762" s="8"/>
      <c r="F762" s="54"/>
      <c r="G762" s="8"/>
      <c r="H762" s="8"/>
      <c r="I762" s="8"/>
      <c r="J762" s="8"/>
      <c r="K762" s="8"/>
      <c r="L762" s="8"/>
      <c r="M762" s="8"/>
      <c r="N762" s="8"/>
      <c r="O762" s="8"/>
      <c r="P762" s="8"/>
      <c r="Q762" s="8"/>
      <c r="R762" s="8"/>
      <c r="S762" s="8"/>
      <c r="T762" s="8"/>
      <c r="U762" s="53"/>
      <c r="V762" s="53"/>
      <c r="W762" s="53"/>
      <c r="X762" s="53"/>
      <c r="Y762" s="53"/>
      <c r="Z762" s="53"/>
      <c r="AA762" s="53"/>
      <c r="AB762" s="53"/>
      <c r="AC762" s="53"/>
      <c r="AD762" s="53"/>
      <c r="AE762" s="53"/>
      <c r="AF762" s="53"/>
      <c r="AG762" s="8"/>
      <c r="AH762" s="8"/>
      <c r="AI762" s="8"/>
      <c r="AJ762" s="8"/>
      <c r="AK762" s="8"/>
      <c r="AL762" s="8"/>
      <c r="AM762" s="8"/>
      <c r="AN762" s="8"/>
      <c r="AO762" s="8"/>
      <c r="AP762" s="8"/>
      <c r="AQ762" s="8"/>
      <c r="AR762" s="8"/>
      <c r="AS762" s="8"/>
      <c r="AT762" s="8"/>
      <c r="AU762" s="8"/>
      <c r="AV762" s="8"/>
      <c r="AW762" s="8"/>
      <c r="AX762" s="8"/>
      <c r="AY762" s="8"/>
      <c r="AZ762" s="8"/>
      <c r="BA762" s="8"/>
      <c r="BB762" s="8"/>
      <c r="BC762" s="8"/>
      <c r="BD762" s="8"/>
      <c r="BE762" s="8"/>
    </row>
    <row r="763" spans="1:57">
      <c r="A763" s="8"/>
      <c r="B763" s="8"/>
      <c r="C763" s="8"/>
      <c r="D763" s="8"/>
      <c r="E763" s="8"/>
      <c r="F763" s="54"/>
      <c r="G763" s="8"/>
      <c r="H763" s="8"/>
      <c r="I763" s="8"/>
      <c r="J763" s="8"/>
      <c r="K763" s="8"/>
      <c r="L763" s="8"/>
      <c r="M763" s="8"/>
      <c r="N763" s="8"/>
      <c r="O763" s="8"/>
      <c r="P763" s="8"/>
      <c r="Q763" s="8"/>
      <c r="R763" s="8"/>
      <c r="S763" s="8"/>
      <c r="T763" s="8"/>
      <c r="U763" s="53"/>
      <c r="V763" s="53"/>
      <c r="W763" s="53"/>
      <c r="X763" s="53"/>
      <c r="Y763" s="53"/>
      <c r="Z763" s="53"/>
      <c r="AA763" s="53"/>
      <c r="AB763" s="53"/>
      <c r="AC763" s="53"/>
      <c r="AD763" s="53"/>
      <c r="AE763" s="53"/>
      <c r="AF763" s="53"/>
      <c r="AG763" s="8"/>
      <c r="AH763" s="8"/>
      <c r="AI763" s="8"/>
      <c r="AJ763" s="8"/>
      <c r="AK763" s="8"/>
      <c r="AL763" s="8"/>
      <c r="AM763" s="8"/>
      <c r="AN763" s="8"/>
      <c r="AO763" s="8"/>
      <c r="AP763" s="8"/>
      <c r="AQ763" s="8"/>
      <c r="AR763" s="8"/>
      <c r="AS763" s="8"/>
      <c r="AT763" s="8"/>
      <c r="AU763" s="8"/>
      <c r="AV763" s="8"/>
      <c r="AW763" s="8"/>
      <c r="AX763" s="8"/>
      <c r="AY763" s="8"/>
      <c r="AZ763" s="8"/>
      <c r="BA763" s="8"/>
      <c r="BB763" s="8"/>
      <c r="BC763" s="8"/>
      <c r="BD763" s="8"/>
      <c r="BE763" s="8"/>
    </row>
    <row r="764" spans="1:57">
      <c r="A764" s="8"/>
      <c r="B764" s="8"/>
      <c r="C764" s="8"/>
      <c r="D764" s="8"/>
      <c r="E764" s="8"/>
      <c r="F764" s="54"/>
      <c r="G764" s="8"/>
      <c r="H764" s="8"/>
      <c r="I764" s="8"/>
      <c r="J764" s="8"/>
      <c r="K764" s="8"/>
      <c r="L764" s="8"/>
      <c r="M764" s="8"/>
      <c r="N764" s="8"/>
      <c r="O764" s="8"/>
      <c r="P764" s="8"/>
      <c r="Q764" s="8"/>
      <c r="R764" s="8"/>
      <c r="S764" s="8"/>
      <c r="T764" s="8"/>
      <c r="U764" s="53"/>
      <c r="V764" s="53"/>
      <c r="W764" s="53"/>
      <c r="X764" s="53"/>
      <c r="Y764" s="53"/>
      <c r="Z764" s="53"/>
      <c r="AA764" s="53"/>
      <c r="AB764" s="53"/>
      <c r="AC764" s="53"/>
      <c r="AD764" s="53"/>
      <c r="AE764" s="53"/>
      <c r="AF764" s="53"/>
      <c r="AG764" s="8"/>
      <c r="AH764" s="8"/>
      <c r="AI764" s="8"/>
      <c r="AJ764" s="8"/>
      <c r="AK764" s="8"/>
      <c r="AL764" s="8"/>
      <c r="AM764" s="8"/>
      <c r="AN764" s="8"/>
      <c r="AO764" s="8"/>
      <c r="AP764" s="8"/>
      <c r="AQ764" s="8"/>
      <c r="AR764" s="8"/>
      <c r="AS764" s="8"/>
      <c r="AT764" s="8"/>
      <c r="AU764" s="8"/>
      <c r="AV764" s="8"/>
      <c r="AW764" s="8"/>
      <c r="AX764" s="8"/>
      <c r="AY764" s="8"/>
      <c r="AZ764" s="8"/>
      <c r="BA764" s="8"/>
      <c r="BB764" s="8"/>
      <c r="BC764" s="8"/>
      <c r="BD764" s="8"/>
      <c r="BE764" s="8"/>
    </row>
    <row r="765" spans="1:57">
      <c r="A765" s="8"/>
      <c r="B765" s="8"/>
      <c r="C765" s="8"/>
      <c r="D765" s="8"/>
      <c r="E765" s="8"/>
      <c r="F765" s="54"/>
      <c r="G765" s="8"/>
      <c r="H765" s="8"/>
      <c r="I765" s="8"/>
      <c r="J765" s="8"/>
      <c r="K765" s="8"/>
      <c r="L765" s="8"/>
      <c r="M765" s="8"/>
      <c r="N765" s="8"/>
      <c r="O765" s="8"/>
      <c r="P765" s="8"/>
      <c r="Q765" s="8"/>
      <c r="R765" s="8"/>
      <c r="S765" s="8"/>
      <c r="T765" s="8"/>
      <c r="U765" s="53"/>
      <c r="V765" s="53"/>
      <c r="W765" s="53"/>
      <c r="X765" s="53"/>
      <c r="Y765" s="53"/>
      <c r="Z765" s="53"/>
      <c r="AA765" s="53"/>
      <c r="AB765" s="53"/>
      <c r="AC765" s="53"/>
      <c r="AD765" s="53"/>
      <c r="AE765" s="53"/>
      <c r="AF765" s="53"/>
      <c r="AG765" s="8"/>
      <c r="AH765" s="8"/>
      <c r="AI765" s="8"/>
      <c r="AJ765" s="8"/>
      <c r="AK765" s="8"/>
      <c r="AL765" s="8"/>
      <c r="AM765" s="8"/>
      <c r="AN765" s="8"/>
      <c r="AO765" s="8"/>
      <c r="AP765" s="8"/>
      <c r="AQ765" s="8"/>
      <c r="AR765" s="8"/>
      <c r="AS765" s="8"/>
      <c r="AT765" s="8"/>
      <c r="AU765" s="8"/>
      <c r="AV765" s="8"/>
      <c r="AW765" s="8"/>
      <c r="AX765" s="8"/>
      <c r="AY765" s="8"/>
      <c r="AZ765" s="8"/>
      <c r="BA765" s="8"/>
      <c r="BB765" s="8"/>
      <c r="BC765" s="8"/>
      <c r="BD765" s="8"/>
      <c r="BE765" s="8"/>
    </row>
    <row r="766" spans="1:57">
      <c r="A766" s="8"/>
      <c r="B766" s="8"/>
      <c r="C766" s="8"/>
      <c r="D766" s="8"/>
      <c r="E766" s="8"/>
      <c r="F766" s="54"/>
      <c r="G766" s="8"/>
      <c r="H766" s="8"/>
      <c r="I766" s="8"/>
      <c r="J766" s="8"/>
      <c r="K766" s="8"/>
      <c r="L766" s="8"/>
      <c r="M766" s="8"/>
      <c r="N766" s="8"/>
      <c r="O766" s="8"/>
      <c r="P766" s="8"/>
      <c r="Q766" s="8"/>
      <c r="R766" s="8"/>
      <c r="S766" s="8"/>
      <c r="T766" s="8"/>
      <c r="U766" s="53"/>
      <c r="V766" s="53"/>
      <c r="W766" s="53"/>
      <c r="X766" s="53"/>
      <c r="Y766" s="53"/>
      <c r="Z766" s="53"/>
      <c r="AA766" s="53"/>
      <c r="AB766" s="53"/>
      <c r="AC766" s="53"/>
      <c r="AD766" s="53"/>
      <c r="AE766" s="53"/>
      <c r="AF766" s="53"/>
      <c r="AG766" s="8"/>
      <c r="AH766" s="8"/>
      <c r="AI766" s="8"/>
      <c r="AJ766" s="8"/>
      <c r="AK766" s="8"/>
      <c r="AL766" s="8"/>
      <c r="AM766" s="8"/>
      <c r="AN766" s="8"/>
      <c r="AO766" s="8"/>
      <c r="AP766" s="8"/>
      <c r="AQ766" s="8"/>
      <c r="AR766" s="8"/>
      <c r="AS766" s="8"/>
      <c r="AT766" s="8"/>
      <c r="AU766" s="8"/>
      <c r="AV766" s="8"/>
      <c r="AW766" s="8"/>
      <c r="AX766" s="8"/>
      <c r="AY766" s="8"/>
      <c r="AZ766" s="8"/>
      <c r="BA766" s="8"/>
      <c r="BB766" s="8"/>
      <c r="BC766" s="8"/>
      <c r="BD766" s="8"/>
      <c r="BE766" s="8"/>
    </row>
    <row r="767" spans="1:57">
      <c r="A767" s="8"/>
      <c r="B767" s="8"/>
      <c r="C767" s="8"/>
      <c r="D767" s="8"/>
      <c r="E767" s="8"/>
      <c r="F767" s="54"/>
      <c r="G767" s="8"/>
      <c r="H767" s="8"/>
      <c r="I767" s="8"/>
      <c r="J767" s="8"/>
      <c r="K767" s="8"/>
      <c r="L767" s="8"/>
      <c r="M767" s="8"/>
      <c r="N767" s="8"/>
      <c r="O767" s="8"/>
      <c r="P767" s="8"/>
      <c r="Q767" s="8"/>
      <c r="R767" s="8"/>
      <c r="S767" s="8"/>
      <c r="T767" s="8"/>
      <c r="U767" s="53"/>
      <c r="V767" s="53"/>
      <c r="W767" s="53"/>
      <c r="X767" s="53"/>
      <c r="Y767" s="53"/>
      <c r="Z767" s="53"/>
      <c r="AA767" s="53"/>
      <c r="AB767" s="53"/>
      <c r="AC767" s="53"/>
      <c r="AD767" s="53"/>
      <c r="AE767" s="53"/>
      <c r="AF767" s="53"/>
      <c r="AG767" s="8"/>
      <c r="AH767" s="8"/>
      <c r="AI767" s="8"/>
      <c r="AJ767" s="8"/>
      <c r="AK767" s="8"/>
      <c r="AL767" s="8"/>
      <c r="AM767" s="8"/>
      <c r="AN767" s="8"/>
      <c r="AO767" s="8"/>
      <c r="AP767" s="8"/>
      <c r="AQ767" s="8"/>
      <c r="AR767" s="8"/>
      <c r="AS767" s="8"/>
      <c r="AT767" s="8"/>
      <c r="AU767" s="8"/>
      <c r="AV767" s="8"/>
      <c r="AW767" s="8"/>
      <c r="AX767" s="8"/>
      <c r="AY767" s="8"/>
      <c r="AZ767" s="8"/>
      <c r="BA767" s="8"/>
      <c r="BB767" s="8"/>
      <c r="BC767" s="8"/>
      <c r="BD767" s="8"/>
      <c r="BE767" s="8"/>
    </row>
    <row r="768" spans="1:57">
      <c r="A768" s="8"/>
      <c r="B768" s="8"/>
      <c r="C768" s="8"/>
      <c r="D768" s="8"/>
      <c r="E768" s="8"/>
      <c r="F768" s="54"/>
      <c r="G768" s="8"/>
      <c r="H768" s="8"/>
      <c r="I768" s="8"/>
      <c r="J768" s="8"/>
      <c r="K768" s="8"/>
      <c r="L768" s="8"/>
      <c r="M768" s="8"/>
      <c r="N768" s="8"/>
      <c r="O768" s="8"/>
      <c r="P768" s="8"/>
      <c r="Q768" s="8"/>
      <c r="R768" s="8"/>
      <c r="S768" s="8"/>
      <c r="T768" s="8"/>
      <c r="U768" s="53"/>
      <c r="V768" s="53"/>
      <c r="W768" s="53"/>
      <c r="X768" s="53"/>
      <c r="Y768" s="53"/>
      <c r="Z768" s="53"/>
      <c r="AA768" s="53"/>
      <c r="AB768" s="53"/>
      <c r="AC768" s="53"/>
      <c r="AD768" s="53"/>
      <c r="AE768" s="53"/>
      <c r="AF768" s="53"/>
      <c r="AG768" s="8"/>
      <c r="AH768" s="8"/>
      <c r="AI768" s="8"/>
      <c r="AJ768" s="8"/>
      <c r="AK768" s="8"/>
      <c r="AL768" s="8"/>
      <c r="AM768" s="8"/>
      <c r="AN768" s="8"/>
      <c r="AO768" s="8"/>
      <c r="AP768" s="8"/>
      <c r="AQ768" s="8"/>
      <c r="AR768" s="8"/>
      <c r="AS768" s="8"/>
      <c r="AT768" s="8"/>
      <c r="AU768" s="8"/>
      <c r="AV768" s="8"/>
      <c r="AW768" s="8"/>
      <c r="AX768" s="8"/>
      <c r="AY768" s="8"/>
      <c r="AZ768" s="8"/>
      <c r="BA768" s="8"/>
      <c r="BB768" s="8"/>
      <c r="BC768" s="8"/>
      <c r="BD768" s="8"/>
      <c r="BE768" s="8"/>
    </row>
    <row r="769" spans="1:57">
      <c r="A769" s="8"/>
      <c r="B769" s="8"/>
      <c r="C769" s="8"/>
      <c r="D769" s="8"/>
      <c r="E769" s="8"/>
      <c r="F769" s="54"/>
      <c r="G769" s="8"/>
      <c r="H769" s="8"/>
      <c r="I769" s="8"/>
      <c r="J769" s="8"/>
      <c r="K769" s="8"/>
      <c r="L769" s="8"/>
      <c r="M769" s="8"/>
      <c r="N769" s="8"/>
      <c r="O769" s="8"/>
      <c r="P769" s="8"/>
      <c r="Q769" s="8"/>
      <c r="R769" s="8"/>
      <c r="S769" s="8"/>
      <c r="T769" s="8"/>
      <c r="U769" s="53"/>
      <c r="V769" s="53"/>
      <c r="W769" s="53"/>
      <c r="X769" s="53"/>
      <c r="Y769" s="53"/>
      <c r="Z769" s="53"/>
      <c r="AA769" s="53"/>
      <c r="AB769" s="53"/>
      <c r="AC769" s="53"/>
      <c r="AD769" s="53"/>
      <c r="AE769" s="53"/>
      <c r="AF769" s="53"/>
      <c r="AG769" s="8"/>
      <c r="AH769" s="8"/>
      <c r="AI769" s="8"/>
      <c r="AJ769" s="8"/>
      <c r="AK769" s="8"/>
      <c r="AL769" s="8"/>
      <c r="AM769" s="8"/>
      <c r="AN769" s="8"/>
      <c r="AO769" s="8"/>
      <c r="AP769" s="8"/>
      <c r="AQ769" s="8"/>
      <c r="AR769" s="8"/>
      <c r="AS769" s="8"/>
      <c r="AT769" s="8"/>
      <c r="AU769" s="8"/>
      <c r="AV769" s="8"/>
      <c r="AW769" s="8"/>
      <c r="AX769" s="8"/>
      <c r="AY769" s="8"/>
      <c r="AZ769" s="8"/>
      <c r="BA769" s="8"/>
      <c r="BB769" s="8"/>
      <c r="BC769" s="8"/>
      <c r="BD769" s="8"/>
      <c r="BE769" s="8"/>
    </row>
    <row r="770" spans="1:57">
      <c r="A770" s="8"/>
      <c r="B770" s="8"/>
      <c r="C770" s="8"/>
      <c r="D770" s="8"/>
      <c r="E770" s="8"/>
      <c r="F770" s="54"/>
      <c r="G770" s="8"/>
      <c r="H770" s="8"/>
      <c r="I770" s="8"/>
      <c r="J770" s="8"/>
      <c r="K770" s="8"/>
      <c r="L770" s="8"/>
      <c r="M770" s="8"/>
      <c r="N770" s="8"/>
      <c r="O770" s="8"/>
      <c r="P770" s="8"/>
      <c r="Q770" s="8"/>
      <c r="R770" s="8"/>
      <c r="S770" s="8"/>
      <c r="T770" s="8"/>
      <c r="U770" s="53"/>
      <c r="V770" s="53"/>
      <c r="W770" s="53"/>
      <c r="X770" s="53"/>
      <c r="Y770" s="53"/>
      <c r="Z770" s="53"/>
      <c r="AA770" s="53"/>
      <c r="AB770" s="53"/>
      <c r="AC770" s="53"/>
      <c r="AD770" s="53"/>
      <c r="AE770" s="53"/>
      <c r="AF770" s="53"/>
      <c r="AG770" s="8"/>
      <c r="AH770" s="8"/>
      <c r="AI770" s="8"/>
      <c r="AJ770" s="8"/>
      <c r="AK770" s="8"/>
      <c r="AL770" s="8"/>
      <c r="AM770" s="8"/>
      <c r="AN770" s="8"/>
      <c r="AO770" s="8"/>
      <c r="AP770" s="8"/>
      <c r="AQ770" s="8"/>
      <c r="AR770" s="8"/>
      <c r="AS770" s="8"/>
      <c r="AT770" s="8"/>
      <c r="AU770" s="8"/>
      <c r="AV770" s="8"/>
      <c r="AW770" s="8"/>
      <c r="AX770" s="8"/>
      <c r="AY770" s="8"/>
      <c r="AZ770" s="8"/>
      <c r="BA770" s="8"/>
      <c r="BB770" s="8"/>
      <c r="BC770" s="8"/>
      <c r="BD770" s="8"/>
      <c r="BE770" s="8"/>
    </row>
    <row r="771" spans="1:57">
      <c r="A771" s="8"/>
      <c r="B771" s="8"/>
      <c r="C771" s="8"/>
      <c r="D771" s="8"/>
      <c r="E771" s="8"/>
      <c r="F771" s="54"/>
      <c r="G771" s="8"/>
      <c r="H771" s="8"/>
      <c r="I771" s="8"/>
      <c r="J771" s="8"/>
      <c r="K771" s="8"/>
      <c r="L771" s="8"/>
      <c r="M771" s="8"/>
      <c r="N771" s="8"/>
      <c r="O771" s="8"/>
      <c r="P771" s="8"/>
      <c r="Q771" s="8"/>
      <c r="R771" s="8"/>
      <c r="S771" s="8"/>
      <c r="T771" s="8"/>
      <c r="U771" s="53"/>
      <c r="V771" s="53"/>
      <c r="W771" s="53"/>
      <c r="X771" s="53"/>
      <c r="Y771" s="53"/>
      <c r="Z771" s="53"/>
      <c r="AA771" s="53"/>
      <c r="AB771" s="53"/>
      <c r="AC771" s="53"/>
      <c r="AD771" s="53"/>
      <c r="AE771" s="53"/>
      <c r="AF771" s="53"/>
      <c r="AG771" s="8"/>
      <c r="AH771" s="8"/>
      <c r="AI771" s="8"/>
      <c r="AJ771" s="8"/>
      <c r="AK771" s="8"/>
      <c r="AL771" s="8"/>
      <c r="AM771" s="8"/>
      <c r="AN771" s="8"/>
      <c r="AO771" s="8"/>
      <c r="AP771" s="8"/>
      <c r="AQ771" s="8"/>
      <c r="AR771" s="8"/>
      <c r="AS771" s="8"/>
      <c r="AT771" s="8"/>
      <c r="AU771" s="8"/>
      <c r="AV771" s="8"/>
      <c r="AW771" s="8"/>
      <c r="AX771" s="8"/>
      <c r="AY771" s="8"/>
      <c r="AZ771" s="8"/>
      <c r="BA771" s="8"/>
      <c r="BB771" s="8"/>
      <c r="BC771" s="8"/>
      <c r="BD771" s="8"/>
      <c r="BE771" s="8"/>
    </row>
    <row r="772" spans="1:57">
      <c r="A772" s="8"/>
      <c r="B772" s="8"/>
      <c r="C772" s="8"/>
      <c r="D772" s="8"/>
      <c r="E772" s="8"/>
      <c r="F772" s="54"/>
      <c r="G772" s="8"/>
      <c r="H772" s="8"/>
      <c r="I772" s="8"/>
      <c r="J772" s="8"/>
      <c r="K772" s="8"/>
      <c r="L772" s="8"/>
      <c r="M772" s="8"/>
      <c r="N772" s="8"/>
      <c r="O772" s="8"/>
      <c r="P772" s="8"/>
      <c r="Q772" s="8"/>
      <c r="R772" s="8"/>
      <c r="S772" s="8"/>
      <c r="T772" s="8"/>
      <c r="U772" s="53"/>
      <c r="V772" s="53"/>
      <c r="W772" s="53"/>
      <c r="X772" s="53"/>
      <c r="Y772" s="53"/>
      <c r="Z772" s="53"/>
      <c r="AA772" s="53"/>
      <c r="AB772" s="53"/>
      <c r="AC772" s="53"/>
      <c r="AD772" s="53"/>
      <c r="AE772" s="53"/>
      <c r="AF772" s="53"/>
      <c r="AG772" s="8"/>
      <c r="AH772" s="8"/>
      <c r="AI772" s="8"/>
      <c r="AJ772" s="8"/>
      <c r="AK772" s="8"/>
      <c r="AL772" s="8"/>
      <c r="AM772" s="8"/>
      <c r="AN772" s="8"/>
      <c r="AO772" s="8"/>
      <c r="AP772" s="8"/>
      <c r="AQ772" s="8"/>
      <c r="AR772" s="8"/>
      <c r="AS772" s="8"/>
      <c r="AT772" s="8"/>
      <c r="AU772" s="8"/>
      <c r="AV772" s="8"/>
      <c r="AW772" s="8"/>
      <c r="AX772" s="8"/>
      <c r="AY772" s="8"/>
      <c r="AZ772" s="8"/>
      <c r="BA772" s="8"/>
      <c r="BB772" s="8"/>
      <c r="BC772" s="8"/>
      <c r="BD772" s="8"/>
      <c r="BE772" s="8"/>
    </row>
    <row r="773" spans="1:57">
      <c r="A773" s="8"/>
      <c r="B773" s="8"/>
      <c r="C773" s="8"/>
      <c r="D773" s="8"/>
      <c r="E773" s="8"/>
      <c r="F773" s="54"/>
      <c r="G773" s="8"/>
      <c r="H773" s="8"/>
      <c r="I773" s="8"/>
      <c r="J773" s="8"/>
      <c r="K773" s="8"/>
      <c r="L773" s="8"/>
      <c r="M773" s="8"/>
      <c r="N773" s="8"/>
      <c r="O773" s="8"/>
      <c r="P773" s="8"/>
      <c r="Q773" s="8"/>
      <c r="R773" s="8"/>
      <c r="S773" s="8"/>
      <c r="T773" s="8"/>
      <c r="U773" s="53"/>
      <c r="V773" s="53"/>
      <c r="W773" s="53"/>
      <c r="X773" s="53"/>
      <c r="Y773" s="53"/>
      <c r="Z773" s="53"/>
      <c r="AA773" s="53"/>
      <c r="AB773" s="53"/>
      <c r="AC773" s="53"/>
      <c r="AD773" s="53"/>
      <c r="AE773" s="53"/>
      <c r="AF773" s="53"/>
      <c r="AG773" s="8"/>
      <c r="AH773" s="8"/>
      <c r="AI773" s="8"/>
      <c r="AJ773" s="8"/>
      <c r="AK773" s="8"/>
      <c r="AL773" s="8"/>
      <c r="AM773" s="8"/>
      <c r="AN773" s="8"/>
      <c r="AO773" s="8"/>
      <c r="AP773" s="8"/>
      <c r="AQ773" s="8"/>
      <c r="AR773" s="8"/>
      <c r="AS773" s="8"/>
      <c r="AT773" s="8"/>
      <c r="AU773" s="8"/>
      <c r="AV773" s="8"/>
      <c r="AW773" s="8"/>
      <c r="AX773" s="8"/>
      <c r="AY773" s="8"/>
      <c r="AZ773" s="8"/>
      <c r="BA773" s="8"/>
      <c r="BB773" s="8"/>
      <c r="BC773" s="8"/>
      <c r="BD773" s="8"/>
      <c r="BE773" s="8"/>
    </row>
    <row r="774" spans="1:57">
      <c r="A774" s="8"/>
      <c r="B774" s="8"/>
      <c r="C774" s="8"/>
      <c r="D774" s="8"/>
      <c r="E774" s="8"/>
      <c r="F774" s="54"/>
      <c r="G774" s="8"/>
      <c r="H774" s="8"/>
      <c r="I774" s="8"/>
      <c r="J774" s="8"/>
      <c r="K774" s="8"/>
      <c r="L774" s="8"/>
      <c r="M774" s="8"/>
      <c r="N774" s="8"/>
      <c r="O774" s="8"/>
      <c r="P774" s="8"/>
      <c r="Q774" s="8"/>
      <c r="R774" s="8"/>
      <c r="S774" s="8"/>
      <c r="T774" s="8"/>
      <c r="U774" s="53"/>
      <c r="V774" s="53"/>
      <c r="W774" s="53"/>
      <c r="X774" s="53"/>
      <c r="Y774" s="53"/>
      <c r="Z774" s="53"/>
      <c r="AA774" s="53"/>
      <c r="AB774" s="53"/>
      <c r="AC774" s="53"/>
      <c r="AD774" s="53"/>
      <c r="AE774" s="53"/>
      <c r="AF774" s="53"/>
      <c r="AG774" s="8"/>
      <c r="AH774" s="8"/>
      <c r="AI774" s="8"/>
      <c r="AJ774" s="8"/>
      <c r="AK774" s="8"/>
      <c r="AL774" s="8"/>
      <c r="AM774" s="8"/>
      <c r="AN774" s="8"/>
      <c r="AO774" s="8"/>
      <c r="AP774" s="8"/>
      <c r="AQ774" s="8"/>
      <c r="AR774" s="8"/>
      <c r="AS774" s="8"/>
      <c r="AT774" s="8"/>
      <c r="AU774" s="8"/>
      <c r="AV774" s="8"/>
      <c r="AW774" s="8"/>
      <c r="AX774" s="8"/>
      <c r="AY774" s="8"/>
      <c r="AZ774" s="8"/>
      <c r="BA774" s="8"/>
      <c r="BB774" s="8"/>
      <c r="BC774" s="8"/>
      <c r="BD774" s="8"/>
      <c r="BE774" s="8"/>
    </row>
    <row r="775" spans="1:57">
      <c r="A775" s="8"/>
      <c r="B775" s="8"/>
      <c r="C775" s="8"/>
      <c r="D775" s="8"/>
      <c r="E775" s="8"/>
      <c r="F775" s="54"/>
      <c r="G775" s="8"/>
      <c r="H775" s="8"/>
      <c r="I775" s="8"/>
      <c r="J775" s="8"/>
      <c r="K775" s="8"/>
      <c r="L775" s="8"/>
      <c r="M775" s="8"/>
      <c r="N775" s="8"/>
      <c r="O775" s="8"/>
      <c r="P775" s="8"/>
      <c r="Q775" s="8"/>
      <c r="R775" s="8"/>
      <c r="S775" s="8"/>
      <c r="T775" s="8"/>
      <c r="U775" s="53"/>
      <c r="V775" s="53"/>
      <c r="W775" s="53"/>
      <c r="X775" s="53"/>
      <c r="Y775" s="53"/>
      <c r="Z775" s="53"/>
      <c r="AA775" s="53"/>
      <c r="AB775" s="53"/>
      <c r="AC775" s="53"/>
      <c r="AD775" s="53"/>
      <c r="AE775" s="53"/>
      <c r="AF775" s="53"/>
      <c r="AG775" s="8"/>
      <c r="AH775" s="8"/>
      <c r="AI775" s="8"/>
      <c r="AJ775" s="8"/>
      <c r="AK775" s="8"/>
      <c r="AL775" s="8"/>
      <c r="AM775" s="8"/>
      <c r="AN775" s="8"/>
      <c r="AO775" s="8"/>
      <c r="AP775" s="8"/>
      <c r="AQ775" s="8"/>
      <c r="AR775" s="8"/>
      <c r="AS775" s="8"/>
      <c r="AT775" s="8"/>
      <c r="AU775" s="8"/>
      <c r="AV775" s="8"/>
      <c r="AW775" s="8"/>
      <c r="AX775" s="8"/>
      <c r="AY775" s="8"/>
      <c r="AZ775" s="8"/>
      <c r="BA775" s="8"/>
      <c r="BB775" s="8"/>
      <c r="BC775" s="8"/>
      <c r="BD775" s="8"/>
      <c r="BE775" s="8"/>
    </row>
    <row r="776" spans="1:57">
      <c r="A776" s="8"/>
      <c r="B776" s="8"/>
      <c r="C776" s="8"/>
      <c r="D776" s="8"/>
      <c r="E776" s="8"/>
      <c r="F776" s="54"/>
      <c r="G776" s="8"/>
      <c r="H776" s="8"/>
      <c r="I776" s="8"/>
      <c r="J776" s="8"/>
      <c r="K776" s="8"/>
      <c r="L776" s="8"/>
      <c r="M776" s="8"/>
      <c r="N776" s="8"/>
      <c r="O776" s="8"/>
      <c r="P776" s="8"/>
      <c r="Q776" s="8"/>
      <c r="R776" s="8"/>
      <c r="S776" s="8"/>
      <c r="T776" s="8"/>
      <c r="U776" s="53"/>
      <c r="V776" s="53"/>
      <c r="W776" s="53"/>
      <c r="X776" s="53"/>
      <c r="Y776" s="53"/>
      <c r="Z776" s="53"/>
      <c r="AA776" s="53"/>
      <c r="AB776" s="53"/>
      <c r="AC776" s="53"/>
      <c r="AD776" s="53"/>
      <c r="AE776" s="53"/>
      <c r="AF776" s="53"/>
      <c r="AG776" s="8"/>
      <c r="AH776" s="8"/>
      <c r="AI776" s="8"/>
      <c r="AJ776" s="8"/>
      <c r="AK776" s="8"/>
      <c r="AL776" s="8"/>
      <c r="AM776" s="8"/>
      <c r="AN776" s="8"/>
      <c r="AO776" s="8"/>
      <c r="AP776" s="8"/>
      <c r="AQ776" s="8"/>
      <c r="AR776" s="8"/>
      <c r="AS776" s="8"/>
      <c r="AT776" s="8"/>
      <c r="AU776" s="8"/>
      <c r="AV776" s="8"/>
      <c r="AW776" s="8"/>
      <c r="AX776" s="8"/>
      <c r="AY776" s="8"/>
      <c r="AZ776" s="8"/>
      <c r="BA776" s="8"/>
      <c r="BB776" s="8"/>
      <c r="BC776" s="8"/>
      <c r="BD776" s="8"/>
      <c r="BE776" s="8"/>
    </row>
    <row r="777" spans="1:57">
      <c r="A777" s="8"/>
      <c r="B777" s="8"/>
      <c r="C777" s="8"/>
      <c r="D777" s="8"/>
      <c r="E777" s="8"/>
      <c r="F777" s="54"/>
      <c r="G777" s="8"/>
      <c r="H777" s="8"/>
      <c r="I777" s="8"/>
      <c r="J777" s="8"/>
      <c r="K777" s="8"/>
      <c r="L777" s="8"/>
      <c r="M777" s="8"/>
      <c r="N777" s="8"/>
      <c r="O777" s="8"/>
      <c r="P777" s="8"/>
      <c r="Q777" s="8"/>
      <c r="R777" s="8"/>
      <c r="S777" s="8"/>
      <c r="T777" s="8"/>
      <c r="U777" s="53"/>
      <c r="V777" s="53"/>
      <c r="W777" s="53"/>
      <c r="X777" s="53"/>
      <c r="Y777" s="53"/>
      <c r="Z777" s="53"/>
      <c r="AA777" s="53"/>
      <c r="AB777" s="53"/>
      <c r="AC777" s="53"/>
      <c r="AD777" s="53"/>
      <c r="AE777" s="53"/>
      <c r="AF777" s="53"/>
      <c r="AG777" s="8"/>
      <c r="AH777" s="8"/>
      <c r="AI777" s="8"/>
      <c r="AJ777" s="8"/>
      <c r="AK777" s="8"/>
      <c r="AL777" s="8"/>
      <c r="AM777" s="8"/>
      <c r="AN777" s="8"/>
      <c r="AO777" s="8"/>
      <c r="AP777" s="8"/>
      <c r="AQ777" s="8"/>
      <c r="AR777" s="8"/>
      <c r="AS777" s="8"/>
      <c r="AT777" s="8"/>
      <c r="AU777" s="8"/>
      <c r="AV777" s="8"/>
      <c r="AW777" s="8"/>
      <c r="AX777" s="8"/>
      <c r="AY777" s="8"/>
      <c r="AZ777" s="8"/>
      <c r="BA777" s="8"/>
      <c r="BB777" s="8"/>
      <c r="BC777" s="8"/>
      <c r="BD777" s="8"/>
      <c r="BE777" s="8"/>
    </row>
    <row r="778" spans="1:57">
      <c r="A778" s="8"/>
      <c r="B778" s="8"/>
      <c r="C778" s="8"/>
      <c r="D778" s="8"/>
      <c r="E778" s="8"/>
      <c r="F778" s="54"/>
      <c r="G778" s="8"/>
      <c r="H778" s="8"/>
      <c r="I778" s="8"/>
      <c r="J778" s="8"/>
      <c r="K778" s="8"/>
      <c r="L778" s="8"/>
      <c r="M778" s="8"/>
      <c r="N778" s="8"/>
      <c r="O778" s="8"/>
      <c r="P778" s="8"/>
      <c r="Q778" s="8"/>
      <c r="R778" s="8"/>
      <c r="S778" s="8"/>
      <c r="T778" s="8"/>
      <c r="U778" s="53"/>
      <c r="V778" s="53"/>
      <c r="W778" s="53"/>
      <c r="X778" s="53"/>
      <c r="Y778" s="53"/>
      <c r="Z778" s="53"/>
      <c r="AA778" s="53"/>
      <c r="AB778" s="53"/>
      <c r="AC778" s="53"/>
      <c r="AD778" s="53"/>
      <c r="AE778" s="53"/>
      <c r="AF778" s="53"/>
      <c r="AG778" s="8"/>
      <c r="AH778" s="8"/>
      <c r="AI778" s="8"/>
      <c r="AJ778" s="8"/>
      <c r="AK778" s="8"/>
      <c r="AL778" s="8"/>
      <c r="AM778" s="8"/>
      <c r="AN778" s="8"/>
      <c r="AO778" s="8"/>
      <c r="AP778" s="8"/>
      <c r="AQ778" s="8"/>
      <c r="AR778" s="8"/>
      <c r="AS778" s="8"/>
      <c r="AT778" s="8"/>
      <c r="AU778" s="8"/>
      <c r="AV778" s="8"/>
      <c r="AW778" s="8"/>
      <c r="AX778" s="8"/>
      <c r="AY778" s="8"/>
      <c r="AZ778" s="8"/>
      <c r="BA778" s="8"/>
      <c r="BB778" s="8"/>
      <c r="BC778" s="8"/>
      <c r="BD778" s="8"/>
      <c r="BE778" s="8"/>
    </row>
    <row r="779" spans="1:57">
      <c r="A779" s="8"/>
      <c r="B779" s="8"/>
      <c r="C779" s="8"/>
      <c r="D779" s="8"/>
      <c r="E779" s="8"/>
      <c r="F779" s="54"/>
      <c r="G779" s="8"/>
      <c r="H779" s="8"/>
      <c r="I779" s="8"/>
      <c r="J779" s="8"/>
      <c r="K779" s="8"/>
      <c r="L779" s="8"/>
      <c r="M779" s="8"/>
      <c r="N779" s="8"/>
      <c r="O779" s="8"/>
      <c r="P779" s="8"/>
      <c r="Q779" s="8"/>
      <c r="R779" s="8"/>
      <c r="S779" s="8"/>
      <c r="T779" s="8"/>
      <c r="U779" s="53"/>
      <c r="V779" s="53"/>
      <c r="W779" s="53"/>
      <c r="X779" s="53"/>
      <c r="Y779" s="53"/>
      <c r="Z779" s="53"/>
      <c r="AA779" s="53"/>
      <c r="AB779" s="53"/>
      <c r="AC779" s="53"/>
      <c r="AD779" s="53"/>
      <c r="AE779" s="53"/>
      <c r="AF779" s="53"/>
      <c r="AG779" s="8"/>
      <c r="AH779" s="8"/>
      <c r="AI779" s="8"/>
      <c r="AJ779" s="8"/>
      <c r="AK779" s="8"/>
      <c r="AL779" s="8"/>
      <c r="AM779" s="8"/>
      <c r="AN779" s="8"/>
      <c r="AO779" s="8"/>
      <c r="AP779" s="8"/>
      <c r="AQ779" s="8"/>
      <c r="AR779" s="8"/>
      <c r="AS779" s="8"/>
      <c r="AT779" s="8"/>
      <c r="AU779" s="8"/>
      <c r="AV779" s="8"/>
      <c r="AW779" s="8"/>
      <c r="AX779" s="8"/>
      <c r="AY779" s="8"/>
      <c r="AZ779" s="8"/>
      <c r="BA779" s="8"/>
      <c r="BB779" s="8"/>
      <c r="BC779" s="8"/>
      <c r="BD779" s="8"/>
      <c r="BE779" s="8"/>
    </row>
    <row r="780" spans="1:57">
      <c r="A780" s="8"/>
      <c r="B780" s="8"/>
      <c r="C780" s="8"/>
      <c r="D780" s="8"/>
      <c r="E780" s="8"/>
      <c r="F780" s="54"/>
      <c r="G780" s="8"/>
      <c r="H780" s="8"/>
      <c r="I780" s="8"/>
      <c r="J780" s="8"/>
      <c r="K780" s="8"/>
      <c r="L780" s="8"/>
      <c r="M780" s="8"/>
      <c r="N780" s="8"/>
      <c r="O780" s="8"/>
      <c r="P780" s="8"/>
      <c r="Q780" s="8"/>
      <c r="R780" s="8"/>
      <c r="S780" s="8"/>
      <c r="T780" s="8"/>
      <c r="U780" s="53"/>
      <c r="V780" s="53"/>
      <c r="W780" s="53"/>
      <c r="X780" s="53"/>
      <c r="Y780" s="53"/>
      <c r="Z780" s="53"/>
      <c r="AA780" s="53"/>
      <c r="AB780" s="53"/>
      <c r="AC780" s="53"/>
      <c r="AD780" s="53"/>
      <c r="AE780" s="53"/>
      <c r="AF780" s="53"/>
      <c r="AG780" s="8"/>
      <c r="AH780" s="8"/>
      <c r="AI780" s="8"/>
      <c r="AJ780" s="8"/>
      <c r="AK780" s="8"/>
      <c r="AL780" s="8"/>
      <c r="AM780" s="8"/>
      <c r="AN780" s="8"/>
      <c r="AO780" s="8"/>
      <c r="AP780" s="8"/>
      <c r="AQ780" s="8"/>
      <c r="AR780" s="8"/>
      <c r="AS780" s="8"/>
      <c r="AT780" s="8"/>
      <c r="AU780" s="8"/>
      <c r="AV780" s="8"/>
      <c r="AW780" s="8"/>
      <c r="AX780" s="8"/>
      <c r="AY780" s="8"/>
      <c r="AZ780" s="8"/>
      <c r="BA780" s="8"/>
      <c r="BB780" s="8"/>
      <c r="BC780" s="8"/>
      <c r="BD780" s="8"/>
      <c r="BE780" s="8"/>
    </row>
    <row r="781" spans="1:57">
      <c r="A781" s="8"/>
      <c r="B781" s="8"/>
      <c r="C781" s="8"/>
      <c r="D781" s="8"/>
      <c r="E781" s="8"/>
      <c r="F781" s="54"/>
      <c r="G781" s="8"/>
      <c r="H781" s="8"/>
      <c r="I781" s="8"/>
      <c r="J781" s="8"/>
      <c r="K781" s="8"/>
      <c r="L781" s="8"/>
      <c r="M781" s="8"/>
      <c r="N781" s="8"/>
      <c r="O781" s="8"/>
      <c r="P781" s="8"/>
      <c r="Q781" s="8"/>
      <c r="R781" s="8"/>
      <c r="S781" s="8"/>
      <c r="T781" s="8"/>
      <c r="U781" s="53"/>
      <c r="V781" s="53"/>
      <c r="W781" s="53"/>
      <c r="X781" s="53"/>
      <c r="Y781" s="53"/>
      <c r="Z781" s="53"/>
      <c r="AA781" s="53"/>
      <c r="AB781" s="53"/>
      <c r="AC781" s="53"/>
      <c r="AD781" s="53"/>
      <c r="AE781" s="53"/>
      <c r="AF781" s="53"/>
      <c r="AG781" s="8"/>
      <c r="AH781" s="8"/>
      <c r="AI781" s="8"/>
      <c r="AJ781" s="8"/>
      <c r="AK781" s="8"/>
      <c r="AL781" s="8"/>
      <c r="AM781" s="8"/>
      <c r="AN781" s="8"/>
      <c r="AO781" s="8"/>
      <c r="AP781" s="8"/>
      <c r="AQ781" s="8"/>
      <c r="AR781" s="8"/>
      <c r="AS781" s="8"/>
      <c r="AT781" s="8"/>
      <c r="AU781" s="8"/>
      <c r="AV781" s="8"/>
      <c r="AW781" s="8"/>
      <c r="AX781" s="8"/>
      <c r="AY781" s="8"/>
      <c r="AZ781" s="8"/>
      <c r="BA781" s="8"/>
      <c r="BB781" s="8"/>
      <c r="BC781" s="8"/>
      <c r="BD781" s="8"/>
      <c r="BE781" s="8"/>
    </row>
    <row r="782" spans="1:57">
      <c r="A782" s="8"/>
      <c r="B782" s="8"/>
      <c r="C782" s="8"/>
      <c r="D782" s="8"/>
      <c r="E782" s="8"/>
      <c r="F782" s="54"/>
      <c r="G782" s="8"/>
      <c r="H782" s="8"/>
      <c r="I782" s="8"/>
      <c r="J782" s="8"/>
      <c r="K782" s="8"/>
      <c r="L782" s="8"/>
      <c r="M782" s="8"/>
      <c r="N782" s="8"/>
      <c r="O782" s="8"/>
      <c r="P782" s="8"/>
      <c r="Q782" s="8"/>
      <c r="R782" s="8"/>
      <c r="S782" s="8"/>
      <c r="T782" s="8"/>
      <c r="U782" s="53"/>
      <c r="V782" s="53"/>
      <c r="W782" s="53"/>
      <c r="X782" s="53"/>
      <c r="Y782" s="53"/>
      <c r="Z782" s="53"/>
      <c r="AA782" s="53"/>
      <c r="AB782" s="53"/>
      <c r="AC782" s="53"/>
      <c r="AD782" s="53"/>
      <c r="AE782" s="53"/>
      <c r="AF782" s="53"/>
      <c r="AG782" s="8"/>
      <c r="AH782" s="8"/>
      <c r="AI782" s="8"/>
      <c r="AJ782" s="8"/>
      <c r="AK782" s="8"/>
      <c r="AL782" s="8"/>
      <c r="AM782" s="8"/>
      <c r="AN782" s="8"/>
      <c r="AO782" s="8"/>
      <c r="AP782" s="8"/>
      <c r="AQ782" s="8"/>
      <c r="AR782" s="8"/>
      <c r="AS782" s="8"/>
      <c r="AT782" s="8"/>
      <c r="AU782" s="8"/>
      <c r="AV782" s="8"/>
      <c r="AW782" s="8"/>
      <c r="AX782" s="8"/>
      <c r="AY782" s="8"/>
      <c r="AZ782" s="8"/>
      <c r="BA782" s="8"/>
      <c r="BB782" s="8"/>
      <c r="BC782" s="8"/>
      <c r="BD782" s="8"/>
      <c r="BE782" s="8"/>
    </row>
    <row r="783" spans="1:57">
      <c r="A783" s="8"/>
      <c r="B783" s="8"/>
      <c r="C783" s="8"/>
      <c r="D783" s="8"/>
      <c r="E783" s="8"/>
      <c r="F783" s="54"/>
      <c r="G783" s="8"/>
      <c r="H783" s="8"/>
      <c r="I783" s="8"/>
      <c r="J783" s="8"/>
      <c r="K783" s="8"/>
      <c r="L783" s="8"/>
      <c r="M783" s="8"/>
      <c r="N783" s="8"/>
      <c r="O783" s="8"/>
      <c r="P783" s="8"/>
      <c r="Q783" s="8"/>
      <c r="R783" s="8"/>
      <c r="S783" s="8"/>
      <c r="T783" s="8"/>
      <c r="U783" s="53"/>
      <c r="V783" s="53"/>
      <c r="W783" s="53"/>
      <c r="X783" s="53"/>
      <c r="Y783" s="53"/>
      <c r="Z783" s="53"/>
      <c r="AA783" s="53"/>
      <c r="AB783" s="53"/>
      <c r="AC783" s="53"/>
      <c r="AD783" s="53"/>
      <c r="AE783" s="53"/>
      <c r="AF783" s="53"/>
      <c r="AG783" s="8"/>
      <c r="AH783" s="8"/>
      <c r="AI783" s="8"/>
      <c r="AJ783" s="8"/>
      <c r="AK783" s="8"/>
      <c r="AL783" s="8"/>
      <c r="AM783" s="8"/>
      <c r="AN783" s="8"/>
      <c r="AO783" s="8"/>
      <c r="AP783" s="8"/>
      <c r="AQ783" s="8"/>
      <c r="AR783" s="8"/>
      <c r="AS783" s="8"/>
      <c r="AT783" s="8"/>
      <c r="AU783" s="8"/>
      <c r="AV783" s="8"/>
      <c r="AW783" s="8"/>
      <c r="AX783" s="8"/>
      <c r="AY783" s="8"/>
      <c r="AZ783" s="8"/>
      <c r="BA783" s="8"/>
      <c r="BB783" s="8"/>
      <c r="BC783" s="8"/>
      <c r="BD783" s="8"/>
      <c r="BE783" s="8"/>
    </row>
    <row r="784" spans="1:57">
      <c r="A784" s="8"/>
      <c r="B784" s="8"/>
      <c r="C784" s="8"/>
      <c r="D784" s="8"/>
      <c r="E784" s="8"/>
      <c r="F784" s="54"/>
      <c r="G784" s="8"/>
      <c r="H784" s="8"/>
      <c r="I784" s="8"/>
      <c r="J784" s="8"/>
      <c r="K784" s="8"/>
      <c r="L784" s="8"/>
      <c r="M784" s="8"/>
      <c r="N784" s="8"/>
      <c r="O784" s="8"/>
      <c r="P784" s="8"/>
      <c r="Q784" s="8"/>
      <c r="R784" s="8"/>
      <c r="S784" s="8"/>
      <c r="T784" s="8"/>
      <c r="U784" s="53"/>
      <c r="V784" s="53"/>
      <c r="W784" s="53"/>
      <c r="X784" s="53"/>
      <c r="Y784" s="53"/>
      <c r="Z784" s="53"/>
      <c r="AA784" s="53"/>
      <c r="AB784" s="53"/>
      <c r="AC784" s="53"/>
      <c r="AD784" s="53"/>
      <c r="AE784" s="53"/>
      <c r="AF784" s="53"/>
      <c r="AG784" s="8"/>
      <c r="AH784" s="8"/>
      <c r="AI784" s="8"/>
      <c r="AJ784" s="8"/>
      <c r="AK784" s="8"/>
      <c r="AL784" s="8"/>
      <c r="AM784" s="8"/>
      <c r="AN784" s="8"/>
      <c r="AO784" s="8"/>
      <c r="AP784" s="8"/>
      <c r="AQ784" s="8"/>
      <c r="AR784" s="8"/>
      <c r="AS784" s="8"/>
      <c r="AT784" s="8"/>
      <c r="AU784" s="8"/>
      <c r="AV784" s="8"/>
      <c r="AW784" s="8"/>
      <c r="AX784" s="8"/>
      <c r="AY784" s="8"/>
      <c r="AZ784" s="8"/>
      <c r="BA784" s="8"/>
      <c r="BB784" s="8"/>
      <c r="BC784" s="8"/>
      <c r="BD784" s="8"/>
      <c r="BE784" s="8"/>
    </row>
    <row r="785" spans="1:57">
      <c r="A785" s="8"/>
      <c r="B785" s="8"/>
      <c r="C785" s="8"/>
      <c r="D785" s="8"/>
      <c r="E785" s="8"/>
      <c r="F785" s="54"/>
      <c r="G785" s="8"/>
      <c r="H785" s="8"/>
      <c r="I785" s="8"/>
      <c r="J785" s="8"/>
      <c r="K785" s="8"/>
      <c r="L785" s="8"/>
      <c r="M785" s="8"/>
      <c r="N785" s="8"/>
      <c r="O785" s="8"/>
      <c r="P785" s="8"/>
      <c r="Q785" s="8"/>
      <c r="R785" s="8"/>
      <c r="S785" s="8"/>
      <c r="T785" s="8"/>
      <c r="U785" s="53"/>
      <c r="V785" s="53"/>
      <c r="W785" s="53"/>
      <c r="X785" s="53"/>
      <c r="Y785" s="53"/>
      <c r="Z785" s="53"/>
      <c r="AA785" s="53"/>
      <c r="AB785" s="53"/>
      <c r="AC785" s="53"/>
      <c r="AD785" s="53"/>
      <c r="AE785" s="53"/>
      <c r="AF785" s="53"/>
      <c r="AG785" s="8"/>
      <c r="AH785" s="8"/>
      <c r="AI785" s="8"/>
      <c r="AJ785" s="8"/>
      <c r="AK785" s="8"/>
      <c r="AL785" s="8"/>
      <c r="AM785" s="8"/>
      <c r="AN785" s="8"/>
      <c r="AO785" s="8"/>
      <c r="AP785" s="8"/>
      <c r="AQ785" s="8"/>
      <c r="AR785" s="8"/>
      <c r="AS785" s="8"/>
      <c r="AT785" s="8"/>
      <c r="AU785" s="8"/>
      <c r="AV785" s="8"/>
      <c r="AW785" s="8"/>
      <c r="AX785" s="8"/>
      <c r="AY785" s="8"/>
      <c r="AZ785" s="8"/>
      <c r="BA785" s="8"/>
      <c r="BB785" s="8"/>
      <c r="BC785" s="8"/>
      <c r="BD785" s="8"/>
      <c r="BE785" s="8"/>
    </row>
    <row r="786" spans="1:57">
      <c r="A786" s="8"/>
      <c r="B786" s="8"/>
      <c r="C786" s="8"/>
      <c r="D786" s="8"/>
      <c r="E786" s="8"/>
      <c r="F786" s="54"/>
      <c r="G786" s="8"/>
      <c r="H786" s="8"/>
      <c r="I786" s="8"/>
      <c r="J786" s="8"/>
      <c r="K786" s="8"/>
      <c r="L786" s="8"/>
      <c r="M786" s="8"/>
      <c r="N786" s="8"/>
      <c r="O786" s="8"/>
      <c r="P786" s="8"/>
      <c r="Q786" s="8"/>
      <c r="R786" s="8"/>
      <c r="S786" s="8"/>
      <c r="T786" s="8"/>
      <c r="U786" s="53"/>
      <c r="V786" s="53"/>
      <c r="W786" s="53"/>
      <c r="X786" s="53"/>
      <c r="Y786" s="53"/>
      <c r="Z786" s="53"/>
      <c r="AA786" s="53"/>
      <c r="AB786" s="53"/>
      <c r="AC786" s="53"/>
      <c r="AD786" s="53"/>
      <c r="AE786" s="53"/>
      <c r="AF786" s="53"/>
      <c r="AG786" s="8"/>
      <c r="AH786" s="8"/>
      <c r="AI786" s="8"/>
      <c r="AJ786" s="8"/>
      <c r="AK786" s="8"/>
      <c r="AL786" s="8"/>
      <c r="AM786" s="8"/>
      <c r="AN786" s="8"/>
      <c r="AO786" s="8"/>
      <c r="AP786" s="8"/>
      <c r="AQ786" s="8"/>
      <c r="AR786" s="8"/>
      <c r="AS786" s="8"/>
      <c r="AT786" s="8"/>
      <c r="AU786" s="8"/>
      <c r="AV786" s="8"/>
      <c r="AW786" s="8"/>
      <c r="AX786" s="8"/>
      <c r="AY786" s="8"/>
      <c r="AZ786" s="8"/>
      <c r="BA786" s="8"/>
      <c r="BB786" s="8"/>
      <c r="BC786" s="8"/>
      <c r="BD786" s="8"/>
      <c r="BE786" s="8"/>
    </row>
    <row r="787" spans="1:57">
      <c r="A787" s="8"/>
      <c r="B787" s="8"/>
      <c r="C787" s="8"/>
      <c r="D787" s="8"/>
      <c r="E787" s="8"/>
      <c r="F787" s="54"/>
      <c r="G787" s="8"/>
      <c r="H787" s="8"/>
      <c r="I787" s="8"/>
      <c r="J787" s="8"/>
      <c r="K787" s="8"/>
      <c r="L787" s="8"/>
      <c r="M787" s="8"/>
      <c r="N787" s="8"/>
      <c r="O787" s="8"/>
      <c r="P787" s="8"/>
      <c r="Q787" s="8"/>
      <c r="R787" s="8"/>
      <c r="S787" s="8"/>
      <c r="T787" s="8"/>
      <c r="U787" s="53"/>
      <c r="V787" s="53"/>
      <c r="W787" s="53"/>
      <c r="X787" s="53"/>
      <c r="Y787" s="53"/>
      <c r="Z787" s="53"/>
      <c r="AA787" s="53"/>
      <c r="AB787" s="53"/>
      <c r="AC787" s="53"/>
      <c r="AD787" s="53"/>
      <c r="AE787" s="53"/>
      <c r="AF787" s="53"/>
      <c r="AG787" s="8"/>
      <c r="AH787" s="8"/>
      <c r="AI787" s="8"/>
      <c r="AJ787" s="8"/>
      <c r="AK787" s="8"/>
      <c r="AL787" s="8"/>
      <c r="AM787" s="8"/>
      <c r="AN787" s="8"/>
      <c r="AO787" s="8"/>
      <c r="AP787" s="8"/>
      <c r="AQ787" s="8"/>
      <c r="AR787" s="8"/>
      <c r="AS787" s="8"/>
      <c r="AT787" s="8"/>
      <c r="AU787" s="8"/>
      <c r="AV787" s="8"/>
      <c r="AW787" s="8"/>
      <c r="AX787" s="8"/>
      <c r="AY787" s="8"/>
      <c r="AZ787" s="8"/>
      <c r="BA787" s="8"/>
      <c r="BB787" s="8"/>
      <c r="BC787" s="8"/>
      <c r="BD787" s="8"/>
      <c r="BE787" s="8"/>
    </row>
    <row r="788" spans="1:57">
      <c r="A788" s="8"/>
      <c r="B788" s="8"/>
      <c r="C788" s="8"/>
      <c r="D788" s="8"/>
      <c r="E788" s="8"/>
      <c r="F788" s="54"/>
      <c r="G788" s="8"/>
      <c r="H788" s="8"/>
      <c r="I788" s="8"/>
      <c r="J788" s="8"/>
      <c r="K788" s="8"/>
      <c r="L788" s="8"/>
      <c r="M788" s="8"/>
      <c r="N788" s="8"/>
      <c r="O788" s="8"/>
      <c r="P788" s="8"/>
      <c r="Q788" s="8"/>
      <c r="R788" s="8"/>
      <c r="S788" s="8"/>
      <c r="T788" s="8"/>
      <c r="U788" s="53"/>
      <c r="V788" s="53"/>
      <c r="W788" s="53"/>
      <c r="X788" s="53"/>
      <c r="Y788" s="53"/>
      <c r="Z788" s="53"/>
      <c r="AA788" s="53"/>
      <c r="AB788" s="53"/>
      <c r="AC788" s="53"/>
      <c r="AD788" s="53"/>
      <c r="AE788" s="53"/>
      <c r="AF788" s="53"/>
      <c r="AG788" s="8"/>
      <c r="AH788" s="8"/>
      <c r="AI788" s="8"/>
      <c r="AJ788" s="8"/>
      <c r="AK788" s="8"/>
      <c r="AL788" s="8"/>
      <c r="AM788" s="8"/>
      <c r="AN788" s="8"/>
      <c r="AO788" s="8"/>
      <c r="AP788" s="8"/>
      <c r="AQ788" s="8"/>
      <c r="AR788" s="8"/>
      <c r="AS788" s="8"/>
      <c r="AT788" s="8"/>
      <c r="AU788" s="8"/>
      <c r="AV788" s="8"/>
      <c r="AW788" s="8"/>
      <c r="AX788" s="8"/>
      <c r="AY788" s="8"/>
      <c r="AZ788" s="8"/>
      <c r="BA788" s="8"/>
      <c r="BB788" s="8"/>
      <c r="BC788" s="8"/>
      <c r="BD788" s="8"/>
      <c r="BE788" s="8"/>
    </row>
    <row r="789" spans="1:57">
      <c r="A789" s="8"/>
      <c r="B789" s="8"/>
      <c r="C789" s="8"/>
      <c r="D789" s="8"/>
      <c r="E789" s="8"/>
      <c r="F789" s="54"/>
      <c r="G789" s="8"/>
      <c r="H789" s="8"/>
      <c r="I789" s="8"/>
      <c r="J789" s="8"/>
      <c r="K789" s="8"/>
      <c r="L789" s="8"/>
      <c r="M789" s="8"/>
      <c r="N789" s="8"/>
      <c r="O789" s="8"/>
      <c r="P789" s="8"/>
      <c r="Q789" s="8"/>
      <c r="R789" s="8"/>
      <c r="S789" s="8"/>
      <c r="T789" s="8"/>
      <c r="U789" s="53"/>
      <c r="V789" s="53"/>
      <c r="W789" s="53"/>
      <c r="X789" s="53"/>
      <c r="Y789" s="53"/>
      <c r="Z789" s="53"/>
      <c r="AA789" s="53"/>
      <c r="AB789" s="53"/>
      <c r="AC789" s="53"/>
      <c r="AD789" s="53"/>
      <c r="AE789" s="53"/>
      <c r="AF789" s="53"/>
      <c r="AG789" s="8"/>
      <c r="AH789" s="8"/>
      <c r="AI789" s="8"/>
      <c r="AJ789" s="8"/>
      <c r="AK789" s="8"/>
      <c r="AL789" s="8"/>
      <c r="AM789" s="8"/>
      <c r="AN789" s="8"/>
      <c r="AO789" s="8"/>
      <c r="AP789" s="8"/>
      <c r="AQ789" s="8"/>
      <c r="AR789" s="8"/>
      <c r="AS789" s="8"/>
      <c r="AT789" s="8"/>
      <c r="AU789" s="8"/>
      <c r="AV789" s="8"/>
      <c r="AW789" s="8"/>
      <c r="AX789" s="8"/>
      <c r="AY789" s="8"/>
      <c r="AZ789" s="8"/>
      <c r="BA789" s="8"/>
      <c r="BB789" s="8"/>
      <c r="BC789" s="8"/>
      <c r="BD789" s="8"/>
      <c r="BE789" s="8"/>
    </row>
    <row r="790" spans="1:57">
      <c r="A790" s="8"/>
      <c r="B790" s="8"/>
      <c r="C790" s="8"/>
      <c r="D790" s="8"/>
      <c r="E790" s="8"/>
      <c r="F790" s="54"/>
      <c r="G790" s="8"/>
      <c r="H790" s="8"/>
      <c r="I790" s="8"/>
      <c r="J790" s="8"/>
      <c r="K790" s="8"/>
      <c r="L790" s="8"/>
      <c r="M790" s="8"/>
      <c r="N790" s="8"/>
      <c r="O790" s="8"/>
      <c r="P790" s="8"/>
      <c r="Q790" s="8"/>
      <c r="R790" s="8"/>
      <c r="S790" s="8"/>
      <c r="T790" s="8"/>
      <c r="U790" s="53"/>
      <c r="V790" s="53"/>
      <c r="W790" s="53"/>
      <c r="X790" s="53"/>
      <c r="Y790" s="53"/>
      <c r="Z790" s="53"/>
      <c r="AA790" s="53"/>
      <c r="AB790" s="53"/>
      <c r="AC790" s="53"/>
      <c r="AD790" s="53"/>
      <c r="AE790" s="53"/>
      <c r="AF790" s="53"/>
      <c r="AG790" s="8"/>
      <c r="AH790" s="8"/>
      <c r="AI790" s="8"/>
      <c r="AJ790" s="8"/>
      <c r="AK790" s="8"/>
      <c r="AL790" s="8"/>
      <c r="AM790" s="8"/>
      <c r="AN790" s="8"/>
      <c r="AO790" s="8"/>
      <c r="AP790" s="8"/>
      <c r="AQ790" s="8"/>
      <c r="AR790" s="8"/>
      <c r="AS790" s="8"/>
      <c r="AT790" s="8"/>
      <c r="AU790" s="8"/>
      <c r="AV790" s="8"/>
      <c r="AW790" s="8"/>
      <c r="AX790" s="8"/>
      <c r="AY790" s="8"/>
      <c r="AZ790" s="8"/>
      <c r="BA790" s="8"/>
      <c r="BB790" s="8"/>
      <c r="BC790" s="8"/>
      <c r="BD790" s="8"/>
      <c r="BE790" s="8"/>
    </row>
    <row r="791" spans="1:57">
      <c r="A791" s="8"/>
      <c r="B791" s="8"/>
      <c r="C791" s="8"/>
      <c r="D791" s="8"/>
      <c r="E791" s="8"/>
      <c r="F791" s="54"/>
      <c r="G791" s="8"/>
      <c r="H791" s="8"/>
      <c r="I791" s="8"/>
      <c r="J791" s="8"/>
      <c r="K791" s="8"/>
      <c r="L791" s="8"/>
      <c r="M791" s="8"/>
      <c r="N791" s="8"/>
      <c r="O791" s="8"/>
      <c r="P791" s="8"/>
      <c r="Q791" s="8"/>
      <c r="R791" s="8"/>
      <c r="S791" s="8"/>
      <c r="T791" s="8"/>
      <c r="U791" s="53"/>
      <c r="V791" s="53"/>
      <c r="W791" s="53"/>
      <c r="X791" s="53"/>
      <c r="Y791" s="53"/>
      <c r="Z791" s="53"/>
      <c r="AA791" s="53"/>
      <c r="AB791" s="53"/>
      <c r="AC791" s="53"/>
      <c r="AD791" s="53"/>
      <c r="AE791" s="53"/>
      <c r="AF791" s="53"/>
      <c r="AG791" s="8"/>
      <c r="AH791" s="8"/>
      <c r="AI791" s="8"/>
      <c r="AJ791" s="8"/>
      <c r="AK791" s="8"/>
      <c r="AL791" s="8"/>
      <c r="AM791" s="8"/>
      <c r="AN791" s="8"/>
      <c r="AO791" s="8"/>
      <c r="AP791" s="8"/>
      <c r="AQ791" s="8"/>
      <c r="AR791" s="8"/>
      <c r="AS791" s="8"/>
      <c r="AT791" s="8"/>
      <c r="AU791" s="8"/>
      <c r="AV791" s="8"/>
      <c r="AW791" s="8"/>
      <c r="AX791" s="8"/>
      <c r="AY791" s="8"/>
      <c r="AZ791" s="8"/>
      <c r="BA791" s="8"/>
      <c r="BB791" s="8"/>
      <c r="BC791" s="8"/>
      <c r="BD791" s="8"/>
      <c r="BE791" s="8"/>
    </row>
    <row r="792" spans="1:57">
      <c r="A792" s="8"/>
      <c r="B792" s="8"/>
      <c r="C792" s="8"/>
      <c r="D792" s="8"/>
      <c r="E792" s="8"/>
      <c r="F792" s="54"/>
      <c r="G792" s="8"/>
      <c r="H792" s="8"/>
      <c r="I792" s="8"/>
      <c r="J792" s="8"/>
      <c r="K792" s="8"/>
      <c r="L792" s="8"/>
      <c r="M792" s="8"/>
      <c r="N792" s="8"/>
      <c r="O792" s="8"/>
      <c r="P792" s="8"/>
      <c r="Q792" s="8"/>
      <c r="R792" s="8"/>
      <c r="S792" s="8"/>
      <c r="T792" s="8"/>
      <c r="U792" s="53"/>
      <c r="V792" s="53"/>
      <c r="W792" s="53"/>
      <c r="X792" s="53"/>
      <c r="Y792" s="53"/>
      <c r="Z792" s="53"/>
      <c r="AA792" s="53"/>
      <c r="AB792" s="53"/>
      <c r="AC792" s="53"/>
      <c r="AD792" s="53"/>
      <c r="AE792" s="53"/>
      <c r="AF792" s="53"/>
      <c r="AG792" s="8"/>
      <c r="AH792" s="8"/>
      <c r="AI792" s="8"/>
      <c r="AJ792" s="8"/>
      <c r="AK792" s="8"/>
      <c r="AL792" s="8"/>
      <c r="AM792" s="8"/>
      <c r="AN792" s="8"/>
      <c r="AO792" s="8"/>
      <c r="AP792" s="8"/>
      <c r="AQ792" s="8"/>
      <c r="AR792" s="8"/>
      <c r="AS792" s="8"/>
      <c r="AT792" s="8"/>
      <c r="AU792" s="8"/>
      <c r="AV792" s="8"/>
      <c r="AW792" s="8"/>
      <c r="AX792" s="8"/>
      <c r="AY792" s="8"/>
      <c r="AZ792" s="8"/>
      <c r="BA792" s="8"/>
      <c r="BB792" s="8"/>
      <c r="BC792" s="8"/>
      <c r="BD792" s="8"/>
      <c r="BE792" s="8"/>
    </row>
    <row r="793" spans="1:57">
      <c r="A793" s="8"/>
      <c r="B793" s="8"/>
      <c r="C793" s="8"/>
      <c r="D793" s="8"/>
      <c r="E793" s="8"/>
      <c r="F793" s="54"/>
      <c r="G793" s="8"/>
      <c r="H793" s="8"/>
      <c r="I793" s="8"/>
      <c r="J793" s="8"/>
      <c r="K793" s="8"/>
      <c r="L793" s="8"/>
      <c r="M793" s="8"/>
      <c r="N793" s="8"/>
      <c r="O793" s="8"/>
      <c r="P793" s="8"/>
      <c r="Q793" s="8"/>
      <c r="R793" s="8"/>
      <c r="S793" s="8"/>
      <c r="T793" s="8"/>
      <c r="U793" s="53"/>
      <c r="V793" s="53"/>
      <c r="W793" s="53"/>
      <c r="X793" s="53"/>
      <c r="Y793" s="53"/>
      <c r="Z793" s="53"/>
      <c r="AA793" s="53"/>
      <c r="AB793" s="53"/>
      <c r="AC793" s="53"/>
      <c r="AD793" s="53"/>
      <c r="AE793" s="53"/>
      <c r="AF793" s="53"/>
      <c r="AG793" s="8"/>
      <c r="AH793" s="8"/>
      <c r="AI793" s="8"/>
      <c r="AJ793" s="8"/>
      <c r="AK793" s="8"/>
      <c r="AL793" s="8"/>
      <c r="AM793" s="8"/>
      <c r="AN793" s="8"/>
      <c r="AO793" s="8"/>
      <c r="AP793" s="8"/>
      <c r="AQ793" s="8"/>
      <c r="AR793" s="8"/>
      <c r="AS793" s="8"/>
      <c r="AT793" s="8"/>
      <c r="AU793" s="8"/>
      <c r="AV793" s="8"/>
      <c r="AW793" s="8"/>
      <c r="AX793" s="8"/>
      <c r="AY793" s="8"/>
      <c r="AZ793" s="8"/>
      <c r="BA793" s="8"/>
      <c r="BB793" s="8"/>
      <c r="BC793" s="8"/>
      <c r="BD793" s="8"/>
      <c r="BE793" s="8"/>
    </row>
    <row r="794" spans="1:57">
      <c r="A794" s="8"/>
      <c r="B794" s="8"/>
      <c r="C794" s="8"/>
      <c r="D794" s="8"/>
      <c r="E794" s="8"/>
      <c r="F794" s="54"/>
      <c r="G794" s="8"/>
      <c r="H794" s="8"/>
      <c r="I794" s="8"/>
      <c r="J794" s="8"/>
      <c r="K794" s="8"/>
      <c r="L794" s="8"/>
      <c r="M794" s="8"/>
      <c r="N794" s="8"/>
      <c r="O794" s="8"/>
      <c r="P794" s="8"/>
      <c r="Q794" s="8"/>
      <c r="R794" s="8"/>
      <c r="S794" s="8"/>
      <c r="T794" s="8"/>
      <c r="U794" s="53"/>
      <c r="V794" s="53"/>
      <c r="W794" s="53"/>
      <c r="X794" s="53"/>
      <c r="Y794" s="53"/>
      <c r="Z794" s="53"/>
      <c r="AA794" s="53"/>
      <c r="AB794" s="53"/>
      <c r="AC794" s="53"/>
      <c r="AD794" s="53"/>
      <c r="AE794" s="53"/>
      <c r="AF794" s="53"/>
      <c r="AG794" s="8"/>
      <c r="AH794" s="8"/>
      <c r="AI794" s="8"/>
      <c r="AJ794" s="8"/>
      <c r="AK794" s="8"/>
      <c r="AL794" s="8"/>
      <c r="AM794" s="8"/>
      <c r="AN794" s="8"/>
      <c r="AO794" s="8"/>
      <c r="AP794" s="8"/>
      <c r="AQ794" s="8"/>
      <c r="AR794" s="8"/>
      <c r="AS794" s="8"/>
      <c r="AT794" s="8"/>
      <c r="AU794" s="8"/>
      <c r="AV794" s="8"/>
      <c r="AW794" s="8"/>
      <c r="AX794" s="8"/>
      <c r="AY794" s="8"/>
      <c r="AZ794" s="8"/>
      <c r="BA794" s="8"/>
      <c r="BB794" s="8"/>
      <c r="BC794" s="8"/>
      <c r="BD794" s="8"/>
      <c r="BE794" s="8"/>
    </row>
    <row r="795" spans="1:57">
      <c r="A795" s="8"/>
      <c r="B795" s="8"/>
      <c r="C795" s="8"/>
      <c r="D795" s="8"/>
      <c r="E795" s="8"/>
      <c r="F795" s="54"/>
      <c r="G795" s="8"/>
      <c r="H795" s="8"/>
      <c r="I795" s="8"/>
      <c r="J795" s="8"/>
      <c r="K795" s="8"/>
      <c r="L795" s="8"/>
      <c r="M795" s="8"/>
      <c r="N795" s="8"/>
      <c r="O795" s="8"/>
      <c r="P795" s="8"/>
      <c r="Q795" s="8"/>
      <c r="R795" s="8"/>
      <c r="S795" s="8"/>
      <c r="T795" s="8"/>
      <c r="U795" s="53"/>
      <c r="V795" s="53"/>
      <c r="W795" s="53"/>
      <c r="X795" s="53"/>
      <c r="Y795" s="53"/>
      <c r="Z795" s="53"/>
      <c r="AA795" s="53"/>
      <c r="AB795" s="53"/>
      <c r="AC795" s="53"/>
      <c r="AD795" s="53"/>
      <c r="AE795" s="53"/>
      <c r="AF795" s="53"/>
      <c r="AG795" s="8"/>
      <c r="AH795" s="8"/>
      <c r="AI795" s="8"/>
      <c r="AJ795" s="8"/>
      <c r="AK795" s="8"/>
      <c r="AL795" s="8"/>
      <c r="AM795" s="8"/>
      <c r="AN795" s="8"/>
      <c r="AO795" s="8"/>
      <c r="AP795" s="8"/>
      <c r="AQ795" s="8"/>
      <c r="AR795" s="8"/>
      <c r="AS795" s="8"/>
      <c r="AT795" s="8"/>
      <c r="AU795" s="8"/>
      <c r="AV795" s="8"/>
      <c r="AW795" s="8"/>
      <c r="AX795" s="8"/>
      <c r="AY795" s="8"/>
      <c r="AZ795" s="8"/>
      <c r="BA795" s="8"/>
      <c r="BB795" s="8"/>
      <c r="BC795" s="8"/>
      <c r="BD795" s="8"/>
      <c r="BE795" s="8"/>
    </row>
    <row r="796" spans="1:57">
      <c r="A796" s="8"/>
      <c r="B796" s="8"/>
      <c r="C796" s="8"/>
      <c r="D796" s="8"/>
      <c r="E796" s="8"/>
      <c r="F796" s="54"/>
      <c r="G796" s="8"/>
      <c r="H796" s="8"/>
      <c r="I796" s="8"/>
      <c r="J796" s="8"/>
      <c r="K796" s="8"/>
      <c r="L796" s="8"/>
      <c r="M796" s="8"/>
      <c r="N796" s="8"/>
      <c r="O796" s="8"/>
      <c r="P796" s="8"/>
      <c r="Q796" s="8"/>
      <c r="R796" s="8"/>
      <c r="S796" s="8"/>
      <c r="T796" s="8"/>
      <c r="U796" s="53"/>
      <c r="V796" s="53"/>
      <c r="W796" s="53"/>
      <c r="X796" s="53"/>
      <c r="Y796" s="53"/>
      <c r="Z796" s="53"/>
      <c r="AA796" s="53"/>
      <c r="AB796" s="53"/>
      <c r="AC796" s="53"/>
      <c r="AD796" s="53"/>
      <c r="AE796" s="53"/>
      <c r="AF796" s="53"/>
      <c r="AG796" s="8"/>
      <c r="AH796" s="8"/>
      <c r="AI796" s="8"/>
      <c r="AJ796" s="8"/>
      <c r="AK796" s="8"/>
      <c r="AL796" s="8"/>
      <c r="AM796" s="8"/>
      <c r="AN796" s="8"/>
      <c r="AO796" s="8"/>
      <c r="AP796" s="8"/>
      <c r="AQ796" s="8"/>
      <c r="AR796" s="8"/>
      <c r="AS796" s="8"/>
      <c r="AT796" s="8"/>
      <c r="AU796" s="8"/>
      <c r="AV796" s="8"/>
      <c r="AW796" s="8"/>
      <c r="AX796" s="8"/>
      <c r="AY796" s="8"/>
      <c r="AZ796" s="8"/>
      <c r="BA796" s="8"/>
      <c r="BB796" s="8"/>
      <c r="BC796" s="8"/>
      <c r="BD796" s="8"/>
      <c r="BE796" s="8"/>
    </row>
    <row r="797" spans="1:57">
      <c r="A797" s="8"/>
      <c r="B797" s="8"/>
      <c r="C797" s="8"/>
      <c r="D797" s="8"/>
      <c r="E797" s="8"/>
      <c r="F797" s="54"/>
      <c r="G797" s="8"/>
      <c r="H797" s="8"/>
      <c r="I797" s="8"/>
      <c r="J797" s="8"/>
      <c r="K797" s="8"/>
      <c r="L797" s="8"/>
      <c r="M797" s="8"/>
      <c r="N797" s="8"/>
      <c r="O797" s="8"/>
      <c r="P797" s="8"/>
      <c r="Q797" s="8"/>
      <c r="R797" s="8"/>
      <c r="S797" s="8"/>
      <c r="T797" s="8"/>
      <c r="U797" s="53"/>
      <c r="V797" s="53"/>
      <c r="W797" s="53"/>
      <c r="X797" s="53"/>
      <c r="Y797" s="53"/>
      <c r="Z797" s="53"/>
      <c r="AA797" s="53"/>
      <c r="AB797" s="53"/>
      <c r="AC797" s="53"/>
      <c r="AD797" s="53"/>
      <c r="AE797" s="53"/>
      <c r="AF797" s="53"/>
      <c r="AG797" s="8"/>
      <c r="AH797" s="8"/>
      <c r="AI797" s="8"/>
      <c r="AJ797" s="8"/>
      <c r="AK797" s="8"/>
      <c r="AL797" s="8"/>
      <c r="AM797" s="8"/>
      <c r="AN797" s="8"/>
      <c r="AO797" s="8"/>
      <c r="AP797" s="8"/>
      <c r="AQ797" s="8"/>
      <c r="AR797" s="8"/>
      <c r="AS797" s="8"/>
      <c r="AT797" s="8"/>
      <c r="AU797" s="8"/>
      <c r="AV797" s="8"/>
      <c r="AW797" s="8"/>
      <c r="AX797" s="8"/>
      <c r="AY797" s="8"/>
      <c r="AZ797" s="8"/>
      <c r="BA797" s="8"/>
      <c r="BB797" s="8"/>
      <c r="BC797" s="8"/>
      <c r="BD797" s="8"/>
      <c r="BE797" s="8"/>
    </row>
    <row r="798" spans="1:57">
      <c r="A798" s="8"/>
      <c r="B798" s="8"/>
      <c r="C798" s="8"/>
      <c r="D798" s="8"/>
      <c r="E798" s="8"/>
      <c r="F798" s="54"/>
      <c r="G798" s="8"/>
      <c r="H798" s="8"/>
      <c r="I798" s="8"/>
      <c r="J798" s="8"/>
      <c r="K798" s="8"/>
      <c r="L798" s="8"/>
      <c r="M798" s="8"/>
      <c r="N798" s="8"/>
      <c r="O798" s="8"/>
      <c r="P798" s="8"/>
      <c r="Q798" s="8"/>
      <c r="R798" s="8"/>
      <c r="S798" s="8"/>
      <c r="T798" s="8"/>
      <c r="U798" s="53"/>
      <c r="V798" s="53"/>
      <c r="W798" s="53"/>
      <c r="X798" s="53"/>
      <c r="Y798" s="53"/>
      <c r="Z798" s="53"/>
      <c r="AA798" s="53"/>
      <c r="AB798" s="53"/>
      <c r="AC798" s="53"/>
      <c r="AD798" s="53"/>
      <c r="AE798" s="53"/>
      <c r="AF798" s="53"/>
      <c r="AG798" s="8"/>
      <c r="AH798" s="8"/>
      <c r="AI798" s="8"/>
      <c r="AJ798" s="8"/>
      <c r="AK798" s="8"/>
      <c r="AL798" s="8"/>
      <c r="AM798" s="8"/>
      <c r="AN798" s="8"/>
      <c r="AO798" s="8"/>
      <c r="AP798" s="8"/>
      <c r="AQ798" s="8"/>
      <c r="AR798" s="8"/>
      <c r="AS798" s="8"/>
      <c r="AT798" s="8"/>
      <c r="AU798" s="8"/>
      <c r="AV798" s="8"/>
      <c r="AW798" s="8"/>
      <c r="AX798" s="8"/>
      <c r="AY798" s="8"/>
      <c r="AZ798" s="8"/>
      <c r="BA798" s="8"/>
      <c r="BB798" s="8"/>
      <c r="BC798" s="8"/>
      <c r="BD798" s="8"/>
      <c r="BE798" s="8"/>
    </row>
    <row r="799" spans="1:57">
      <c r="A799" s="8"/>
      <c r="B799" s="8"/>
      <c r="C799" s="8"/>
      <c r="D799" s="8"/>
      <c r="E799" s="8"/>
      <c r="F799" s="54"/>
      <c r="G799" s="8"/>
      <c r="H799" s="8"/>
      <c r="I799" s="8"/>
      <c r="J799" s="8"/>
      <c r="K799" s="8"/>
      <c r="L799" s="8"/>
      <c r="M799" s="8"/>
      <c r="N799" s="8"/>
      <c r="O799" s="8"/>
      <c r="P799" s="8"/>
      <c r="Q799" s="8"/>
      <c r="R799" s="8"/>
      <c r="S799" s="8"/>
      <c r="T799" s="8"/>
      <c r="U799" s="53"/>
      <c r="V799" s="53"/>
      <c r="W799" s="53"/>
      <c r="X799" s="53"/>
      <c r="Y799" s="53"/>
      <c r="Z799" s="53"/>
      <c r="AA799" s="53"/>
      <c r="AB799" s="53"/>
      <c r="AC799" s="53"/>
      <c r="AD799" s="53"/>
      <c r="AE799" s="53"/>
      <c r="AF799" s="53"/>
      <c r="AG799" s="8"/>
      <c r="AH799" s="8"/>
      <c r="AI799" s="8"/>
      <c r="AJ799" s="8"/>
      <c r="AK799" s="8"/>
      <c r="AL799" s="8"/>
      <c r="AM799" s="8"/>
      <c r="AN799" s="8"/>
      <c r="AO799" s="8"/>
      <c r="AP799" s="8"/>
      <c r="AQ799" s="8"/>
      <c r="AR799" s="8"/>
      <c r="AS799" s="8"/>
      <c r="AT799" s="8"/>
      <c r="AU799" s="8"/>
      <c r="AV799" s="8"/>
      <c r="AW799" s="8"/>
      <c r="AX799" s="8"/>
      <c r="AY799" s="8"/>
      <c r="AZ799" s="8"/>
      <c r="BA799" s="8"/>
      <c r="BB799" s="8"/>
      <c r="BC799" s="8"/>
      <c r="BD799" s="8"/>
      <c r="BE799" s="8"/>
    </row>
    <row r="800" spans="1:57">
      <c r="A800" s="8"/>
      <c r="B800" s="8"/>
      <c r="C800" s="8"/>
      <c r="D800" s="8"/>
      <c r="E800" s="8"/>
      <c r="F800" s="54"/>
      <c r="G800" s="8"/>
      <c r="H800" s="8"/>
      <c r="I800" s="8"/>
      <c r="J800" s="8"/>
      <c r="K800" s="8"/>
      <c r="L800" s="8"/>
      <c r="M800" s="8"/>
      <c r="N800" s="8"/>
      <c r="O800" s="8"/>
      <c r="P800" s="8"/>
      <c r="Q800" s="8"/>
      <c r="R800" s="8"/>
      <c r="S800" s="8"/>
      <c r="T800" s="8"/>
      <c r="U800" s="53"/>
      <c r="V800" s="53"/>
      <c r="W800" s="53"/>
      <c r="X800" s="53"/>
      <c r="Y800" s="53"/>
      <c r="Z800" s="53"/>
      <c r="AA800" s="53"/>
      <c r="AB800" s="53"/>
      <c r="AC800" s="53"/>
      <c r="AD800" s="53"/>
      <c r="AE800" s="53"/>
      <c r="AF800" s="53"/>
      <c r="AG800" s="8"/>
      <c r="AH800" s="8"/>
      <c r="AI800" s="8"/>
      <c r="AJ800" s="8"/>
      <c r="AK800" s="8"/>
      <c r="AL800" s="8"/>
      <c r="AM800" s="8"/>
      <c r="AN800" s="8"/>
      <c r="AO800" s="8"/>
      <c r="AP800" s="8"/>
      <c r="AQ800" s="8"/>
      <c r="AR800" s="8"/>
      <c r="AS800" s="8"/>
      <c r="AT800" s="8"/>
      <c r="AU800" s="8"/>
      <c r="AV800" s="8"/>
      <c r="AW800" s="8"/>
      <c r="AX800" s="8"/>
      <c r="AY800" s="8"/>
      <c r="AZ800" s="8"/>
      <c r="BA800" s="8"/>
      <c r="BB800" s="8"/>
      <c r="BC800" s="8"/>
      <c r="BD800" s="8"/>
      <c r="BE800" s="8"/>
    </row>
    <row r="801" spans="1:57">
      <c r="A801" s="8"/>
      <c r="B801" s="8"/>
      <c r="C801" s="8"/>
      <c r="D801" s="8"/>
      <c r="E801" s="8"/>
      <c r="F801" s="54"/>
      <c r="G801" s="8"/>
      <c r="H801" s="8"/>
      <c r="I801" s="8"/>
      <c r="J801" s="8"/>
      <c r="K801" s="8"/>
      <c r="L801" s="8"/>
      <c r="M801" s="8"/>
      <c r="N801" s="8"/>
      <c r="O801" s="8"/>
      <c r="P801" s="8"/>
      <c r="Q801" s="8"/>
      <c r="R801" s="8"/>
      <c r="S801" s="8"/>
      <c r="T801" s="8"/>
      <c r="U801" s="53"/>
      <c r="V801" s="53"/>
      <c r="W801" s="53"/>
      <c r="X801" s="53"/>
      <c r="Y801" s="53"/>
      <c r="Z801" s="53"/>
      <c r="AA801" s="53"/>
      <c r="AB801" s="53"/>
      <c r="AC801" s="53"/>
      <c r="AD801" s="53"/>
      <c r="AE801" s="53"/>
      <c r="AF801" s="53"/>
      <c r="AG801" s="8"/>
      <c r="AH801" s="8"/>
      <c r="AI801" s="8"/>
      <c r="AJ801" s="8"/>
      <c r="AK801" s="8"/>
      <c r="AL801" s="8"/>
      <c r="AM801" s="8"/>
      <c r="AN801" s="8"/>
      <c r="AO801" s="8"/>
      <c r="AP801" s="8"/>
      <c r="AQ801" s="8"/>
      <c r="AR801" s="8"/>
      <c r="AS801" s="8"/>
      <c r="AT801" s="8"/>
      <c r="AU801" s="8"/>
      <c r="AV801" s="8"/>
      <c r="AW801" s="8"/>
      <c r="AX801" s="8"/>
      <c r="AY801" s="8"/>
      <c r="AZ801" s="8"/>
      <c r="BA801" s="8"/>
      <c r="BB801" s="8"/>
      <c r="BC801" s="8"/>
      <c r="BD801" s="8"/>
      <c r="BE801" s="8"/>
    </row>
    <row r="802" spans="1:57">
      <c r="A802" s="8"/>
      <c r="B802" s="8"/>
      <c r="C802" s="8"/>
      <c r="D802" s="8"/>
      <c r="E802" s="8"/>
      <c r="F802" s="54"/>
      <c r="G802" s="8"/>
      <c r="H802" s="8"/>
      <c r="I802" s="8"/>
      <c r="J802" s="8"/>
      <c r="K802" s="8"/>
      <c r="L802" s="8"/>
      <c r="M802" s="8"/>
      <c r="N802" s="8"/>
      <c r="O802" s="8"/>
      <c r="P802" s="8"/>
      <c r="Q802" s="8"/>
      <c r="R802" s="8"/>
      <c r="S802" s="8"/>
      <c r="T802" s="8"/>
      <c r="U802" s="53"/>
      <c r="V802" s="53"/>
      <c r="W802" s="53"/>
      <c r="X802" s="53"/>
      <c r="Y802" s="53"/>
      <c r="Z802" s="53"/>
      <c r="AA802" s="53"/>
      <c r="AB802" s="53"/>
      <c r="AC802" s="53"/>
      <c r="AD802" s="53"/>
      <c r="AE802" s="53"/>
      <c r="AF802" s="53"/>
      <c r="AG802" s="8"/>
      <c r="AH802" s="8"/>
      <c r="AI802" s="8"/>
      <c r="AJ802" s="8"/>
      <c r="AK802" s="8"/>
      <c r="AL802" s="8"/>
      <c r="AM802" s="8"/>
      <c r="AN802" s="8"/>
      <c r="AO802" s="8"/>
      <c r="AP802" s="8"/>
      <c r="AQ802" s="8"/>
      <c r="AR802" s="8"/>
      <c r="AS802" s="8"/>
      <c r="AT802" s="8"/>
      <c r="AU802" s="8"/>
      <c r="AV802" s="8"/>
      <c r="AW802" s="8"/>
      <c r="AX802" s="8"/>
      <c r="AY802" s="8"/>
      <c r="AZ802" s="8"/>
      <c r="BA802" s="8"/>
      <c r="BB802" s="8"/>
      <c r="BC802" s="8"/>
      <c r="BD802" s="8"/>
      <c r="BE802" s="8"/>
    </row>
    <row r="803" spans="1:57">
      <c r="A803" s="8"/>
      <c r="B803" s="8"/>
      <c r="C803" s="8"/>
      <c r="D803" s="8"/>
      <c r="E803" s="8"/>
      <c r="F803" s="54"/>
      <c r="G803" s="8"/>
      <c r="H803" s="8"/>
      <c r="I803" s="8"/>
      <c r="J803" s="8"/>
      <c r="K803" s="8"/>
      <c r="L803" s="8"/>
      <c r="M803" s="8"/>
      <c r="N803" s="8"/>
      <c r="O803" s="8"/>
      <c r="P803" s="8"/>
      <c r="Q803" s="8"/>
      <c r="R803" s="8"/>
      <c r="S803" s="8"/>
      <c r="T803" s="8"/>
      <c r="U803" s="53"/>
      <c r="V803" s="53"/>
      <c r="W803" s="53"/>
      <c r="X803" s="53"/>
      <c r="Y803" s="53"/>
      <c r="Z803" s="53"/>
      <c r="AA803" s="53"/>
      <c r="AB803" s="53"/>
      <c r="AC803" s="53"/>
      <c r="AD803" s="53"/>
      <c r="AE803" s="53"/>
      <c r="AF803" s="53"/>
      <c r="AG803" s="8"/>
      <c r="AH803" s="8"/>
      <c r="AI803" s="8"/>
      <c r="AJ803" s="8"/>
      <c r="AK803" s="8"/>
      <c r="AL803" s="8"/>
      <c r="AM803" s="8"/>
      <c r="AN803" s="8"/>
      <c r="AO803" s="8"/>
      <c r="AP803" s="8"/>
      <c r="AQ803" s="8"/>
      <c r="AR803" s="8"/>
      <c r="AS803" s="8"/>
      <c r="AT803" s="8"/>
      <c r="AU803" s="8"/>
      <c r="AV803" s="8"/>
      <c r="AW803" s="8"/>
      <c r="AX803" s="8"/>
      <c r="AY803" s="8"/>
      <c r="AZ803" s="8"/>
      <c r="BA803" s="8"/>
      <c r="BB803" s="8"/>
      <c r="BC803" s="8"/>
      <c r="BD803" s="8"/>
      <c r="BE803" s="8"/>
    </row>
    <row r="804" spans="1:57">
      <c r="A804" s="8"/>
      <c r="B804" s="8"/>
      <c r="C804" s="8"/>
      <c r="D804" s="8"/>
      <c r="E804" s="8"/>
      <c r="F804" s="54"/>
      <c r="G804" s="8"/>
      <c r="H804" s="8"/>
      <c r="I804" s="8"/>
      <c r="J804" s="8"/>
      <c r="K804" s="8"/>
      <c r="L804" s="8"/>
      <c r="M804" s="8"/>
      <c r="N804" s="8"/>
      <c r="O804" s="8"/>
      <c r="P804" s="8"/>
      <c r="Q804" s="8"/>
      <c r="R804" s="8"/>
      <c r="S804" s="8"/>
      <c r="T804" s="8"/>
      <c r="U804" s="53"/>
      <c r="V804" s="53"/>
      <c r="W804" s="53"/>
      <c r="X804" s="53"/>
      <c r="Y804" s="53"/>
      <c r="Z804" s="53"/>
      <c r="AA804" s="53"/>
      <c r="AB804" s="53"/>
      <c r="AC804" s="53"/>
      <c r="AD804" s="53"/>
      <c r="AE804" s="53"/>
      <c r="AF804" s="53"/>
      <c r="AG804" s="8"/>
      <c r="AH804" s="8"/>
      <c r="AI804" s="8"/>
      <c r="AJ804" s="8"/>
      <c r="AK804" s="8"/>
      <c r="AL804" s="8"/>
      <c r="AM804" s="8"/>
      <c r="AN804" s="8"/>
      <c r="AO804" s="8"/>
      <c r="AP804" s="8"/>
      <c r="AQ804" s="8"/>
      <c r="AR804" s="8"/>
      <c r="AS804" s="8"/>
      <c r="AT804" s="8"/>
      <c r="AU804" s="8"/>
      <c r="AV804" s="8"/>
      <c r="AW804" s="8"/>
      <c r="AX804" s="8"/>
      <c r="AY804" s="8"/>
      <c r="AZ804" s="8"/>
      <c r="BA804" s="8"/>
      <c r="BB804" s="8"/>
      <c r="BC804" s="8"/>
      <c r="BD804" s="8"/>
      <c r="BE804" s="8"/>
    </row>
    <row r="805" spans="1:57">
      <c r="A805" s="8"/>
      <c r="B805" s="8"/>
      <c r="C805" s="8"/>
      <c r="D805" s="8"/>
      <c r="E805" s="8"/>
      <c r="F805" s="54"/>
      <c r="G805" s="8"/>
      <c r="H805" s="8"/>
      <c r="I805" s="8"/>
      <c r="J805" s="8"/>
      <c r="K805" s="8"/>
      <c r="L805" s="8"/>
      <c r="M805" s="8"/>
      <c r="N805" s="8"/>
      <c r="O805" s="8"/>
      <c r="P805" s="8"/>
      <c r="Q805" s="8"/>
      <c r="R805" s="8"/>
      <c r="S805" s="8"/>
      <c r="T805" s="8"/>
      <c r="U805" s="53"/>
      <c r="V805" s="53"/>
      <c r="W805" s="53"/>
      <c r="X805" s="53"/>
      <c r="Y805" s="53"/>
      <c r="Z805" s="53"/>
      <c r="AA805" s="53"/>
      <c r="AB805" s="53"/>
      <c r="AC805" s="53"/>
      <c r="AD805" s="53"/>
      <c r="AE805" s="53"/>
      <c r="AF805" s="53"/>
      <c r="AG805" s="8"/>
      <c r="AH805" s="8"/>
      <c r="AI805" s="8"/>
      <c r="AJ805" s="8"/>
      <c r="AK805" s="8"/>
      <c r="AL805" s="8"/>
      <c r="AM805" s="8"/>
      <c r="AN805" s="8"/>
      <c r="AO805" s="8"/>
      <c r="AP805" s="8"/>
      <c r="AQ805" s="8"/>
      <c r="AR805" s="8"/>
      <c r="AS805" s="8"/>
      <c r="AT805" s="8"/>
      <c r="AU805" s="8"/>
      <c r="AV805" s="8"/>
      <c r="AW805" s="8"/>
      <c r="AX805" s="8"/>
      <c r="AY805" s="8"/>
      <c r="AZ805" s="8"/>
      <c r="BA805" s="8"/>
      <c r="BB805" s="8"/>
      <c r="BC805" s="8"/>
      <c r="BD805" s="8"/>
      <c r="BE805" s="8"/>
    </row>
    <row r="806" spans="1:57">
      <c r="A806" s="8"/>
      <c r="B806" s="8"/>
      <c r="C806" s="8"/>
      <c r="D806" s="8"/>
      <c r="E806" s="8"/>
      <c r="F806" s="54"/>
      <c r="G806" s="8"/>
      <c r="H806" s="8"/>
      <c r="I806" s="8"/>
      <c r="J806" s="8"/>
      <c r="K806" s="8"/>
      <c r="L806" s="8"/>
      <c r="M806" s="8"/>
      <c r="N806" s="8"/>
      <c r="O806" s="8"/>
      <c r="P806" s="8"/>
      <c r="Q806" s="8"/>
      <c r="R806" s="8"/>
      <c r="S806" s="8"/>
      <c r="T806" s="8"/>
      <c r="U806" s="53"/>
      <c r="V806" s="53"/>
      <c r="W806" s="53"/>
      <c r="X806" s="53"/>
      <c r="Y806" s="53"/>
      <c r="Z806" s="53"/>
      <c r="AA806" s="53"/>
      <c r="AB806" s="53"/>
      <c r="AC806" s="53"/>
      <c r="AD806" s="53"/>
      <c r="AE806" s="53"/>
      <c r="AF806" s="53"/>
      <c r="AG806" s="8"/>
      <c r="AH806" s="8"/>
      <c r="AI806" s="8"/>
      <c r="AJ806" s="8"/>
      <c r="AK806" s="8"/>
      <c r="AL806" s="8"/>
      <c r="AM806" s="8"/>
      <c r="AN806" s="8"/>
      <c r="AO806" s="8"/>
      <c r="AP806" s="8"/>
      <c r="AQ806" s="8"/>
      <c r="AR806" s="8"/>
      <c r="AS806" s="8"/>
      <c r="AT806" s="8"/>
      <c r="AU806" s="8"/>
      <c r="AV806" s="8"/>
      <c r="AW806" s="8"/>
      <c r="AX806" s="8"/>
      <c r="AY806" s="8"/>
      <c r="AZ806" s="8"/>
      <c r="BA806" s="8"/>
      <c r="BB806" s="8"/>
      <c r="BC806" s="8"/>
      <c r="BD806" s="8"/>
      <c r="BE806" s="8"/>
    </row>
    <row r="807" spans="1:57">
      <c r="A807" s="8"/>
      <c r="B807" s="8"/>
      <c r="C807" s="8"/>
      <c r="D807" s="8"/>
      <c r="E807" s="8"/>
      <c r="F807" s="54"/>
      <c r="G807" s="8"/>
      <c r="H807" s="8"/>
      <c r="I807" s="8"/>
      <c r="J807" s="8"/>
      <c r="K807" s="8"/>
      <c r="L807" s="8"/>
      <c r="M807" s="8"/>
      <c r="N807" s="8"/>
      <c r="O807" s="8"/>
      <c r="P807" s="8"/>
      <c r="Q807" s="8"/>
      <c r="R807" s="8"/>
      <c r="S807" s="8"/>
      <c r="T807" s="8"/>
      <c r="U807" s="53"/>
      <c r="V807" s="53"/>
      <c r="W807" s="53"/>
      <c r="X807" s="53"/>
      <c r="Y807" s="53"/>
      <c r="Z807" s="53"/>
      <c r="AA807" s="53"/>
      <c r="AB807" s="53"/>
      <c r="AC807" s="53"/>
      <c r="AD807" s="53"/>
      <c r="AE807" s="53"/>
      <c r="AF807" s="53"/>
      <c r="AG807" s="8"/>
      <c r="AH807" s="8"/>
      <c r="AI807" s="8"/>
      <c r="AJ807" s="8"/>
      <c r="AK807" s="8"/>
      <c r="AL807" s="8"/>
      <c r="AM807" s="8"/>
      <c r="AN807" s="8"/>
      <c r="AO807" s="8"/>
      <c r="AP807" s="8"/>
      <c r="AQ807" s="8"/>
      <c r="AR807" s="8"/>
      <c r="AS807" s="8"/>
      <c r="AT807" s="8"/>
      <c r="AU807" s="8"/>
      <c r="AV807" s="8"/>
      <c r="AW807" s="8"/>
      <c r="AX807" s="8"/>
      <c r="AY807" s="8"/>
      <c r="AZ807" s="8"/>
      <c r="BA807" s="8"/>
      <c r="BB807" s="8"/>
      <c r="BC807" s="8"/>
      <c r="BD807" s="8"/>
      <c r="BE807" s="8"/>
    </row>
    <row r="808" spans="1:57">
      <c r="A808" s="8"/>
      <c r="B808" s="8"/>
      <c r="C808" s="8"/>
      <c r="D808" s="8"/>
      <c r="E808" s="8"/>
      <c r="F808" s="54"/>
      <c r="G808" s="8"/>
      <c r="H808" s="8"/>
      <c r="I808" s="8"/>
      <c r="J808" s="8"/>
      <c r="K808" s="8"/>
      <c r="L808" s="8"/>
      <c r="M808" s="8"/>
      <c r="N808" s="8"/>
      <c r="O808" s="8"/>
      <c r="P808" s="8"/>
      <c r="Q808" s="8"/>
      <c r="R808" s="8"/>
      <c r="S808" s="8"/>
      <c r="T808" s="8"/>
      <c r="U808" s="53"/>
      <c r="V808" s="53"/>
      <c r="W808" s="53"/>
      <c r="X808" s="53"/>
      <c r="Y808" s="53"/>
      <c r="Z808" s="53"/>
      <c r="AA808" s="53"/>
      <c r="AB808" s="53"/>
      <c r="AC808" s="53"/>
      <c r="AD808" s="53"/>
      <c r="AE808" s="53"/>
      <c r="AF808" s="53"/>
      <c r="AG808" s="8"/>
      <c r="AH808" s="8"/>
      <c r="AI808" s="8"/>
      <c r="AJ808" s="8"/>
      <c r="AK808" s="8"/>
      <c r="AL808" s="8"/>
      <c r="AM808" s="8"/>
      <c r="AN808" s="8"/>
      <c r="AO808" s="8"/>
      <c r="AP808" s="8"/>
      <c r="AQ808" s="8"/>
      <c r="AR808" s="8"/>
      <c r="AS808" s="8"/>
      <c r="AT808" s="8"/>
      <c r="AU808" s="8"/>
      <c r="AV808" s="8"/>
      <c r="AW808" s="8"/>
      <c r="AX808" s="8"/>
      <c r="AY808" s="8"/>
      <c r="AZ808" s="8"/>
      <c r="BA808" s="8"/>
      <c r="BB808" s="8"/>
      <c r="BC808" s="8"/>
      <c r="BD808" s="8"/>
      <c r="BE808" s="8"/>
    </row>
    <row r="809" spans="1:57">
      <c r="A809" s="8"/>
      <c r="B809" s="8"/>
      <c r="C809" s="8"/>
      <c r="D809" s="8"/>
      <c r="E809" s="8"/>
      <c r="F809" s="54"/>
      <c r="G809" s="8"/>
      <c r="H809" s="8"/>
      <c r="I809" s="8"/>
      <c r="J809" s="8"/>
      <c r="K809" s="8"/>
      <c r="L809" s="8"/>
      <c r="M809" s="8"/>
      <c r="N809" s="8"/>
      <c r="O809" s="8"/>
      <c r="P809" s="8"/>
      <c r="Q809" s="8"/>
      <c r="R809" s="8"/>
      <c r="S809" s="8"/>
      <c r="T809" s="8"/>
      <c r="U809" s="53"/>
      <c r="V809" s="53"/>
      <c r="W809" s="53"/>
      <c r="X809" s="53"/>
      <c r="Y809" s="53"/>
      <c r="Z809" s="53"/>
      <c r="AA809" s="53"/>
      <c r="AB809" s="53"/>
      <c r="AC809" s="53"/>
      <c r="AD809" s="53"/>
      <c r="AE809" s="53"/>
      <c r="AF809" s="53"/>
      <c r="AG809" s="8"/>
      <c r="AH809" s="8"/>
      <c r="AI809" s="8"/>
      <c r="AJ809" s="8"/>
      <c r="AK809" s="8"/>
      <c r="AL809" s="8"/>
      <c r="AM809" s="8"/>
      <c r="AN809" s="8"/>
      <c r="AO809" s="8"/>
      <c r="AP809" s="8"/>
      <c r="AQ809" s="8"/>
      <c r="AR809" s="8"/>
      <c r="AS809" s="8"/>
      <c r="AT809" s="8"/>
      <c r="AU809" s="8"/>
      <c r="AV809" s="8"/>
      <c r="AW809" s="8"/>
      <c r="AX809" s="8"/>
      <c r="AY809" s="8"/>
      <c r="AZ809" s="8"/>
      <c r="BA809" s="8"/>
      <c r="BB809" s="8"/>
      <c r="BC809" s="8"/>
      <c r="BD809" s="8"/>
      <c r="BE809" s="8"/>
    </row>
    <row r="810" spans="1:57">
      <c r="A810" s="8"/>
      <c r="B810" s="8"/>
      <c r="C810" s="8"/>
      <c r="D810" s="8"/>
      <c r="E810" s="8"/>
      <c r="F810" s="54"/>
      <c r="G810" s="8"/>
      <c r="H810" s="8"/>
      <c r="I810" s="8"/>
      <c r="J810" s="8"/>
      <c r="K810" s="8"/>
      <c r="L810" s="8"/>
      <c r="M810" s="8"/>
      <c r="N810" s="8"/>
      <c r="O810" s="8"/>
      <c r="P810" s="8"/>
      <c r="Q810" s="8"/>
      <c r="R810" s="8"/>
      <c r="S810" s="8"/>
      <c r="T810" s="8"/>
      <c r="U810" s="53"/>
      <c r="V810" s="53"/>
      <c r="W810" s="53"/>
      <c r="X810" s="53"/>
      <c r="Y810" s="53"/>
      <c r="Z810" s="53"/>
      <c r="AA810" s="53"/>
      <c r="AB810" s="53"/>
      <c r="AC810" s="53"/>
      <c r="AD810" s="53"/>
      <c r="AE810" s="53"/>
      <c r="AF810" s="53"/>
      <c r="AG810" s="8"/>
      <c r="AH810" s="8"/>
      <c r="AI810" s="8"/>
      <c r="AJ810" s="8"/>
      <c r="AK810" s="8"/>
      <c r="AL810" s="8"/>
      <c r="AM810" s="8"/>
      <c r="AN810" s="8"/>
      <c r="AO810" s="8"/>
      <c r="AP810" s="8"/>
      <c r="AQ810" s="8"/>
      <c r="AR810" s="8"/>
      <c r="AS810" s="8"/>
      <c r="AT810" s="8"/>
      <c r="AU810" s="8"/>
      <c r="AV810" s="8"/>
      <c r="AW810" s="8"/>
      <c r="AX810" s="8"/>
      <c r="AY810" s="8"/>
      <c r="AZ810" s="8"/>
      <c r="BA810" s="8"/>
      <c r="BB810" s="8"/>
      <c r="BC810" s="8"/>
      <c r="BD810" s="8"/>
      <c r="BE810" s="8"/>
    </row>
    <row r="811" spans="1:57">
      <c r="A811" s="8"/>
      <c r="B811" s="8"/>
      <c r="C811" s="8"/>
      <c r="D811" s="8"/>
      <c r="E811" s="8"/>
      <c r="F811" s="54"/>
      <c r="G811" s="8"/>
      <c r="H811" s="8"/>
      <c r="I811" s="8"/>
      <c r="J811" s="8"/>
      <c r="K811" s="8"/>
      <c r="L811" s="8"/>
      <c r="M811" s="8"/>
      <c r="N811" s="8"/>
      <c r="O811" s="8"/>
      <c r="P811" s="8"/>
      <c r="Q811" s="8"/>
      <c r="R811" s="8"/>
      <c r="S811" s="8"/>
      <c r="T811" s="8"/>
      <c r="U811" s="53"/>
      <c r="V811" s="53"/>
      <c r="W811" s="53"/>
      <c r="X811" s="53"/>
      <c r="Y811" s="53"/>
      <c r="Z811" s="53"/>
      <c r="AA811" s="53"/>
      <c r="AB811" s="53"/>
      <c r="AC811" s="53"/>
      <c r="AD811" s="53"/>
      <c r="AE811" s="53"/>
      <c r="AF811" s="53"/>
      <c r="AG811" s="8"/>
      <c r="AH811" s="8"/>
      <c r="AI811" s="8"/>
      <c r="AJ811" s="8"/>
      <c r="AK811" s="8"/>
      <c r="AL811" s="8"/>
      <c r="AM811" s="8"/>
      <c r="AN811" s="8"/>
      <c r="AO811" s="8"/>
      <c r="AP811" s="8"/>
      <c r="AQ811" s="8"/>
      <c r="AR811" s="8"/>
      <c r="AS811" s="8"/>
      <c r="AT811" s="8"/>
      <c r="AU811" s="8"/>
      <c r="AV811" s="8"/>
      <c r="AW811" s="8"/>
      <c r="AX811" s="8"/>
      <c r="AY811" s="8"/>
      <c r="AZ811" s="8"/>
      <c r="BA811" s="8"/>
      <c r="BB811" s="8"/>
      <c r="BC811" s="8"/>
      <c r="BD811" s="8"/>
      <c r="BE811" s="8"/>
    </row>
    <row r="812" spans="1:57">
      <c r="A812" s="8"/>
      <c r="B812" s="8"/>
      <c r="C812" s="8"/>
      <c r="D812" s="8"/>
      <c r="E812" s="8"/>
      <c r="F812" s="54"/>
      <c r="G812" s="8"/>
      <c r="H812" s="8"/>
      <c r="I812" s="8"/>
      <c r="J812" s="8"/>
      <c r="K812" s="8"/>
      <c r="L812" s="8"/>
      <c r="M812" s="8"/>
      <c r="N812" s="8"/>
      <c r="O812" s="8"/>
      <c r="P812" s="8"/>
      <c r="Q812" s="8"/>
      <c r="R812" s="8"/>
      <c r="S812" s="8"/>
      <c r="T812" s="8"/>
      <c r="U812" s="53"/>
      <c r="V812" s="53"/>
      <c r="W812" s="53"/>
      <c r="X812" s="53"/>
      <c r="Y812" s="53"/>
      <c r="Z812" s="53"/>
      <c r="AA812" s="53"/>
      <c r="AB812" s="53"/>
      <c r="AC812" s="53"/>
      <c r="AD812" s="53"/>
      <c r="AE812" s="53"/>
      <c r="AF812" s="53"/>
      <c r="AG812" s="8"/>
      <c r="AH812" s="8"/>
      <c r="AI812" s="8"/>
      <c r="AJ812" s="8"/>
      <c r="AK812" s="8"/>
      <c r="AL812" s="8"/>
      <c r="AM812" s="8"/>
      <c r="AN812" s="8"/>
      <c r="AO812" s="8"/>
      <c r="AP812" s="8"/>
      <c r="AQ812" s="8"/>
      <c r="AR812" s="8"/>
      <c r="AS812" s="8"/>
      <c r="AT812" s="8"/>
      <c r="AU812" s="8"/>
      <c r="AV812" s="8"/>
      <c r="AW812" s="8"/>
      <c r="AX812" s="8"/>
      <c r="AY812" s="8"/>
      <c r="AZ812" s="8"/>
      <c r="BA812" s="8"/>
      <c r="BB812" s="8"/>
      <c r="BC812" s="8"/>
      <c r="BD812" s="8"/>
      <c r="BE812" s="8"/>
    </row>
    <row r="813" spans="1:57">
      <c r="A813" s="8"/>
      <c r="B813" s="8"/>
      <c r="C813" s="8"/>
      <c r="D813" s="8"/>
      <c r="E813" s="8"/>
      <c r="F813" s="54"/>
      <c r="G813" s="8"/>
      <c r="H813" s="8"/>
      <c r="I813" s="8"/>
      <c r="J813" s="8"/>
      <c r="K813" s="8"/>
      <c r="L813" s="8"/>
      <c r="M813" s="8"/>
      <c r="N813" s="8"/>
      <c r="O813" s="8"/>
      <c r="P813" s="8"/>
      <c r="Q813" s="8"/>
      <c r="R813" s="8"/>
      <c r="S813" s="8"/>
      <c r="T813" s="8"/>
      <c r="U813" s="53"/>
      <c r="V813" s="53"/>
      <c r="W813" s="53"/>
      <c r="X813" s="53"/>
      <c r="Y813" s="53"/>
      <c r="Z813" s="53"/>
      <c r="AA813" s="53"/>
      <c r="AB813" s="53"/>
      <c r="AC813" s="53"/>
      <c r="AD813" s="53"/>
      <c r="AE813" s="53"/>
      <c r="AF813" s="53"/>
      <c r="AG813" s="8"/>
      <c r="AH813" s="8"/>
      <c r="AI813" s="8"/>
      <c r="AJ813" s="8"/>
      <c r="AK813" s="8"/>
      <c r="AL813" s="8"/>
      <c r="AM813" s="8"/>
      <c r="AN813" s="8"/>
      <c r="AO813" s="8"/>
      <c r="AP813" s="8"/>
      <c r="AQ813" s="8"/>
      <c r="AR813" s="8"/>
      <c r="AS813" s="8"/>
      <c r="AT813" s="8"/>
      <c r="AU813" s="8"/>
      <c r="AV813" s="8"/>
      <c r="AW813" s="8"/>
      <c r="AX813" s="8"/>
      <c r="AY813" s="8"/>
      <c r="AZ813" s="8"/>
      <c r="BA813" s="8"/>
      <c r="BB813" s="8"/>
      <c r="BC813" s="8"/>
      <c r="BD813" s="8"/>
      <c r="BE813" s="8"/>
    </row>
    <row r="814" spans="1:57">
      <c r="A814" s="8"/>
      <c r="B814" s="8"/>
      <c r="C814" s="8"/>
      <c r="D814" s="8"/>
      <c r="E814" s="8"/>
      <c r="F814" s="54"/>
      <c r="G814" s="8"/>
      <c r="H814" s="8"/>
      <c r="I814" s="8"/>
      <c r="J814" s="8"/>
      <c r="K814" s="8"/>
      <c r="L814" s="8"/>
      <c r="M814" s="8"/>
      <c r="N814" s="8"/>
      <c r="O814" s="8"/>
      <c r="P814" s="8"/>
      <c r="Q814" s="8"/>
      <c r="R814" s="8"/>
      <c r="S814" s="8"/>
      <c r="T814" s="8"/>
      <c r="U814" s="53"/>
      <c r="V814" s="53"/>
      <c r="W814" s="53"/>
      <c r="X814" s="53"/>
      <c r="Y814" s="53"/>
      <c r="Z814" s="53"/>
      <c r="AA814" s="53"/>
      <c r="AB814" s="53"/>
      <c r="AC814" s="53"/>
      <c r="AD814" s="53"/>
      <c r="AE814" s="53"/>
      <c r="AF814" s="53"/>
      <c r="AG814" s="8"/>
      <c r="AH814" s="8"/>
      <c r="AI814" s="8"/>
      <c r="AJ814" s="8"/>
      <c r="AK814" s="8"/>
      <c r="AL814" s="8"/>
      <c r="AM814" s="8"/>
      <c r="AN814" s="8"/>
      <c r="AO814" s="8"/>
      <c r="AP814" s="8"/>
      <c r="AQ814" s="8"/>
      <c r="AR814" s="8"/>
      <c r="AS814" s="8"/>
      <c r="AT814" s="8"/>
      <c r="AU814" s="8"/>
      <c r="AV814" s="8"/>
      <c r="AW814" s="8"/>
      <c r="AX814" s="8"/>
      <c r="AY814" s="8"/>
      <c r="AZ814" s="8"/>
      <c r="BA814" s="8"/>
      <c r="BB814" s="8"/>
      <c r="BC814" s="8"/>
      <c r="BD814" s="8"/>
      <c r="BE814" s="8"/>
    </row>
    <row r="815" spans="1:57">
      <c r="A815" s="8"/>
      <c r="B815" s="8"/>
      <c r="C815" s="8"/>
      <c r="D815" s="8"/>
      <c r="E815" s="8"/>
      <c r="F815" s="54"/>
      <c r="G815" s="8"/>
      <c r="H815" s="8"/>
      <c r="I815" s="8"/>
      <c r="J815" s="8"/>
      <c r="K815" s="8"/>
      <c r="L815" s="8"/>
      <c r="M815" s="8"/>
      <c r="N815" s="8"/>
      <c r="O815" s="8"/>
      <c r="P815" s="8"/>
      <c r="Q815" s="8"/>
      <c r="R815" s="8"/>
      <c r="S815" s="8"/>
      <c r="T815" s="8"/>
      <c r="U815" s="53"/>
      <c r="V815" s="53"/>
      <c r="W815" s="53"/>
      <c r="X815" s="53"/>
      <c r="Y815" s="53"/>
      <c r="Z815" s="53"/>
      <c r="AA815" s="53"/>
      <c r="AB815" s="53"/>
      <c r="AC815" s="53"/>
      <c r="AD815" s="53"/>
      <c r="AE815" s="53"/>
      <c r="AF815" s="53"/>
      <c r="AG815" s="8"/>
      <c r="AH815" s="8"/>
      <c r="AI815" s="8"/>
      <c r="AJ815" s="8"/>
      <c r="AK815" s="8"/>
      <c r="AL815" s="8"/>
      <c r="AM815" s="8"/>
      <c r="AN815" s="8"/>
      <c r="AO815" s="8"/>
      <c r="AP815" s="8"/>
      <c r="AQ815" s="8"/>
      <c r="AR815" s="8"/>
      <c r="AS815" s="8"/>
      <c r="AT815" s="8"/>
      <c r="AU815" s="8"/>
      <c r="AV815" s="8"/>
      <c r="AW815" s="8"/>
      <c r="AX815" s="8"/>
      <c r="AY815" s="8"/>
      <c r="AZ815" s="8"/>
      <c r="BA815" s="8"/>
      <c r="BB815" s="8"/>
      <c r="BC815" s="8"/>
      <c r="BD815" s="8"/>
      <c r="BE815" s="8"/>
    </row>
    <row r="816" spans="1:57">
      <c r="A816" s="8"/>
      <c r="B816" s="8"/>
      <c r="C816" s="8"/>
      <c r="D816" s="8"/>
      <c r="E816" s="8"/>
      <c r="F816" s="54"/>
      <c r="G816" s="8"/>
      <c r="H816" s="8"/>
      <c r="I816" s="8"/>
      <c r="J816" s="8"/>
      <c r="K816" s="8"/>
      <c r="L816" s="8"/>
      <c r="M816" s="8"/>
      <c r="N816" s="8"/>
      <c r="O816" s="8"/>
      <c r="P816" s="8"/>
      <c r="Q816" s="8"/>
      <c r="R816" s="8"/>
      <c r="S816" s="8"/>
      <c r="T816" s="8"/>
      <c r="U816" s="53"/>
      <c r="V816" s="53"/>
      <c r="W816" s="53"/>
      <c r="X816" s="53"/>
      <c r="Y816" s="53"/>
      <c r="Z816" s="53"/>
      <c r="AA816" s="53"/>
      <c r="AB816" s="53"/>
      <c r="AC816" s="53"/>
      <c r="AD816" s="53"/>
      <c r="AE816" s="53"/>
      <c r="AF816" s="53"/>
      <c r="AG816" s="8"/>
      <c r="AH816" s="8"/>
      <c r="AI816" s="8"/>
      <c r="AJ816" s="8"/>
      <c r="AK816" s="8"/>
      <c r="AL816" s="8"/>
      <c r="AM816" s="8"/>
      <c r="AN816" s="8"/>
      <c r="AO816" s="8"/>
      <c r="AP816" s="8"/>
      <c r="AQ816" s="8"/>
      <c r="AR816" s="8"/>
      <c r="AS816" s="8"/>
      <c r="AT816" s="8"/>
      <c r="AU816" s="8"/>
      <c r="AV816" s="8"/>
      <c r="AW816" s="8"/>
      <c r="AX816" s="8"/>
      <c r="AY816" s="8"/>
      <c r="AZ816" s="8"/>
      <c r="BA816" s="8"/>
      <c r="BB816" s="8"/>
      <c r="BC816" s="8"/>
      <c r="BD816" s="8"/>
      <c r="BE816" s="8"/>
    </row>
    <row r="817" spans="1:57">
      <c r="A817" s="8"/>
      <c r="B817" s="8"/>
      <c r="C817" s="8"/>
      <c r="D817" s="8"/>
      <c r="E817" s="8"/>
      <c r="F817" s="54"/>
      <c r="G817" s="8"/>
      <c r="H817" s="8"/>
      <c r="I817" s="8"/>
      <c r="J817" s="8"/>
      <c r="K817" s="8"/>
      <c r="L817" s="8"/>
      <c r="M817" s="8"/>
      <c r="N817" s="8"/>
      <c r="O817" s="8"/>
      <c r="P817" s="8"/>
      <c r="Q817" s="8"/>
      <c r="R817" s="8"/>
      <c r="S817" s="8"/>
      <c r="T817" s="8"/>
      <c r="U817" s="53"/>
      <c r="V817" s="53"/>
      <c r="W817" s="53"/>
      <c r="X817" s="53"/>
      <c r="Y817" s="53"/>
      <c r="Z817" s="53"/>
      <c r="AA817" s="53"/>
      <c r="AB817" s="53"/>
      <c r="AC817" s="53"/>
      <c r="AD817" s="53"/>
      <c r="AE817" s="53"/>
      <c r="AF817" s="53"/>
      <c r="AG817" s="8"/>
      <c r="AH817" s="8"/>
      <c r="AI817" s="8"/>
      <c r="AJ817" s="8"/>
      <c r="AK817" s="8"/>
      <c r="AL817" s="8"/>
      <c r="AM817" s="8"/>
      <c r="AN817" s="8"/>
      <c r="AO817" s="8"/>
      <c r="AP817" s="8"/>
      <c r="AQ817" s="8"/>
      <c r="AR817" s="8"/>
      <c r="AS817" s="8"/>
      <c r="AT817" s="8"/>
      <c r="AU817" s="8"/>
      <c r="AV817" s="8"/>
      <c r="AW817" s="8"/>
      <c r="AX817" s="8"/>
      <c r="AY817" s="8"/>
      <c r="AZ817" s="8"/>
      <c r="BA817" s="8"/>
      <c r="BB817" s="8"/>
      <c r="BC817" s="8"/>
      <c r="BD817" s="8"/>
      <c r="BE817" s="8"/>
    </row>
    <row r="818" spans="1:57">
      <c r="A818" s="8"/>
      <c r="B818" s="8"/>
      <c r="C818" s="8"/>
      <c r="D818" s="8"/>
      <c r="E818" s="8"/>
      <c r="F818" s="54"/>
      <c r="G818" s="8"/>
      <c r="H818" s="8"/>
      <c r="I818" s="8"/>
      <c r="J818" s="8"/>
      <c r="K818" s="8"/>
      <c r="L818" s="8"/>
      <c r="M818" s="8"/>
      <c r="N818" s="8"/>
      <c r="O818" s="8"/>
      <c r="P818" s="8"/>
      <c r="Q818" s="8"/>
      <c r="R818" s="8"/>
      <c r="S818" s="8"/>
      <c r="T818" s="8"/>
      <c r="U818" s="53"/>
      <c r="V818" s="53"/>
      <c r="W818" s="53"/>
      <c r="X818" s="53"/>
      <c r="Y818" s="53"/>
      <c r="Z818" s="53"/>
      <c r="AA818" s="53"/>
      <c r="AB818" s="53"/>
      <c r="AC818" s="53"/>
      <c r="AD818" s="53"/>
      <c r="AE818" s="53"/>
      <c r="AF818" s="53"/>
      <c r="AG818" s="8"/>
      <c r="AH818" s="8"/>
      <c r="AI818" s="8"/>
      <c r="AJ818" s="8"/>
      <c r="AK818" s="8"/>
      <c r="AL818" s="8"/>
      <c r="AM818" s="8"/>
      <c r="AN818" s="8"/>
      <c r="AO818" s="8"/>
      <c r="AP818" s="8"/>
      <c r="AQ818" s="8"/>
      <c r="AR818" s="8"/>
      <c r="AS818" s="8"/>
      <c r="AT818" s="8"/>
      <c r="AU818" s="8"/>
      <c r="AV818" s="8"/>
      <c r="AW818" s="8"/>
      <c r="AX818" s="8"/>
      <c r="AY818" s="8"/>
      <c r="AZ818" s="8"/>
      <c r="BA818" s="8"/>
      <c r="BB818" s="8"/>
      <c r="BC818" s="8"/>
      <c r="BD818" s="8"/>
      <c r="BE818" s="8"/>
    </row>
    <row r="819" spans="1:57">
      <c r="A819" s="8"/>
      <c r="B819" s="8"/>
      <c r="C819" s="8"/>
      <c r="D819" s="8"/>
      <c r="E819" s="8"/>
      <c r="F819" s="54"/>
      <c r="G819" s="8"/>
      <c r="H819" s="8"/>
      <c r="I819" s="8"/>
      <c r="J819" s="8"/>
      <c r="K819" s="8"/>
      <c r="L819" s="8"/>
      <c r="M819" s="8"/>
      <c r="N819" s="8"/>
      <c r="O819" s="8"/>
      <c r="P819" s="8"/>
      <c r="Q819" s="8"/>
      <c r="R819" s="8"/>
      <c r="S819" s="8"/>
      <c r="T819" s="8"/>
      <c r="U819" s="53"/>
      <c r="V819" s="53"/>
      <c r="W819" s="53"/>
      <c r="X819" s="53"/>
      <c r="Y819" s="53"/>
      <c r="Z819" s="53"/>
      <c r="AA819" s="53"/>
      <c r="AB819" s="53"/>
      <c r="AC819" s="53"/>
      <c r="AD819" s="53"/>
      <c r="AE819" s="53"/>
      <c r="AF819" s="53"/>
      <c r="AG819" s="8"/>
      <c r="AH819" s="8"/>
      <c r="AI819" s="8"/>
      <c r="AJ819" s="8"/>
      <c r="AK819" s="8"/>
      <c r="AL819" s="8"/>
      <c r="AM819" s="8"/>
      <c r="AN819" s="8"/>
      <c r="AO819" s="8"/>
      <c r="AP819" s="8"/>
      <c r="AQ819" s="8"/>
      <c r="AR819" s="8"/>
      <c r="AS819" s="8"/>
      <c r="AT819" s="8"/>
      <c r="AU819" s="8"/>
      <c r="AV819" s="8"/>
      <c r="AW819" s="8"/>
      <c r="AX819" s="8"/>
      <c r="AY819" s="8"/>
      <c r="AZ819" s="8"/>
      <c r="BA819" s="8"/>
      <c r="BB819" s="8"/>
      <c r="BC819" s="8"/>
      <c r="BD819" s="8"/>
      <c r="BE819" s="8"/>
    </row>
    <row r="820" spans="1:57">
      <c r="A820" s="8"/>
      <c r="B820" s="8"/>
      <c r="C820" s="8"/>
      <c r="D820" s="8"/>
      <c r="E820" s="8"/>
      <c r="F820" s="54"/>
      <c r="G820" s="8"/>
      <c r="H820" s="8"/>
      <c r="I820" s="8"/>
      <c r="J820" s="8"/>
      <c r="K820" s="8"/>
      <c r="L820" s="8"/>
      <c r="M820" s="8"/>
      <c r="N820" s="8"/>
      <c r="O820" s="8"/>
      <c r="P820" s="8"/>
      <c r="Q820" s="8"/>
      <c r="R820" s="8"/>
      <c r="S820" s="8"/>
      <c r="T820" s="8"/>
      <c r="U820" s="53"/>
      <c r="V820" s="53"/>
      <c r="W820" s="53"/>
      <c r="X820" s="53"/>
      <c r="Y820" s="53"/>
      <c r="Z820" s="53"/>
      <c r="AA820" s="53"/>
      <c r="AB820" s="53"/>
      <c r="AC820" s="53"/>
      <c r="AD820" s="53"/>
      <c r="AE820" s="53"/>
      <c r="AF820" s="53"/>
      <c r="AG820" s="8"/>
      <c r="AH820" s="8"/>
      <c r="AI820" s="8"/>
      <c r="AJ820" s="8"/>
      <c r="AK820" s="8"/>
      <c r="AL820" s="8"/>
      <c r="AM820" s="8"/>
      <c r="AN820" s="8"/>
      <c r="AO820" s="8"/>
      <c r="AP820" s="8"/>
      <c r="AQ820" s="8"/>
      <c r="AR820" s="8"/>
      <c r="AS820" s="8"/>
      <c r="AT820" s="8"/>
      <c r="AU820" s="8"/>
      <c r="AV820" s="8"/>
      <c r="AW820" s="8"/>
      <c r="AX820" s="8"/>
      <c r="AY820" s="8"/>
      <c r="AZ820" s="8"/>
      <c r="BA820" s="8"/>
      <c r="BB820" s="8"/>
      <c r="BC820" s="8"/>
      <c r="BD820" s="8"/>
      <c r="BE820" s="8"/>
    </row>
    <row r="821" spans="1:57">
      <c r="A821" s="8"/>
      <c r="B821" s="8"/>
      <c r="C821" s="8"/>
      <c r="D821" s="8"/>
      <c r="E821" s="8"/>
      <c r="F821" s="54"/>
      <c r="G821" s="8"/>
      <c r="H821" s="8"/>
      <c r="I821" s="8"/>
      <c r="J821" s="8"/>
      <c r="K821" s="8"/>
      <c r="L821" s="8"/>
      <c r="M821" s="8"/>
      <c r="N821" s="8"/>
      <c r="O821" s="8"/>
      <c r="P821" s="8"/>
      <c r="Q821" s="8"/>
      <c r="R821" s="8"/>
      <c r="S821" s="8"/>
      <c r="T821" s="8"/>
      <c r="U821" s="53"/>
      <c r="V821" s="53"/>
      <c r="W821" s="53"/>
      <c r="X821" s="53"/>
      <c r="Y821" s="53"/>
      <c r="Z821" s="53"/>
      <c r="AA821" s="53"/>
      <c r="AB821" s="53"/>
      <c r="AC821" s="53"/>
      <c r="AD821" s="53"/>
      <c r="AE821" s="53"/>
      <c r="AF821" s="53"/>
      <c r="AG821" s="8"/>
      <c r="AH821" s="8"/>
      <c r="AI821" s="8"/>
      <c r="AJ821" s="8"/>
      <c r="AK821" s="8"/>
      <c r="AL821" s="8"/>
      <c r="AM821" s="8"/>
      <c r="AN821" s="8"/>
      <c r="AO821" s="8"/>
      <c r="AP821" s="8"/>
      <c r="AQ821" s="8"/>
      <c r="AR821" s="8"/>
      <c r="AS821" s="8"/>
      <c r="AT821" s="8"/>
      <c r="AU821" s="8"/>
      <c r="AV821" s="8"/>
      <c r="AW821" s="8"/>
      <c r="AX821" s="8"/>
      <c r="AY821" s="8"/>
      <c r="AZ821" s="8"/>
      <c r="BA821" s="8"/>
      <c r="BB821" s="8"/>
      <c r="BC821" s="8"/>
      <c r="BD821" s="8"/>
      <c r="BE821" s="8"/>
    </row>
    <row r="822" spans="1:57">
      <c r="A822" s="8"/>
      <c r="B822" s="8"/>
      <c r="C822" s="8"/>
      <c r="D822" s="8"/>
      <c r="E822" s="8"/>
      <c r="F822" s="54"/>
      <c r="G822" s="8"/>
      <c r="H822" s="8"/>
      <c r="I822" s="8"/>
      <c r="J822" s="8"/>
      <c r="K822" s="8"/>
      <c r="L822" s="8"/>
      <c r="M822" s="8"/>
      <c r="N822" s="8"/>
      <c r="O822" s="8"/>
      <c r="P822" s="8"/>
      <c r="Q822" s="8"/>
      <c r="R822" s="8"/>
      <c r="S822" s="8"/>
      <c r="T822" s="8"/>
      <c r="U822" s="53"/>
      <c r="V822" s="53"/>
      <c r="W822" s="53"/>
      <c r="X822" s="53"/>
      <c r="Y822" s="53"/>
      <c r="Z822" s="53"/>
      <c r="AA822" s="53"/>
      <c r="AB822" s="53"/>
      <c r="AC822" s="53"/>
      <c r="AD822" s="53"/>
      <c r="AE822" s="53"/>
      <c r="AF822" s="53"/>
      <c r="AG822" s="8"/>
      <c r="AH822" s="8"/>
      <c r="AI822" s="8"/>
      <c r="AJ822" s="8"/>
      <c r="AK822" s="8"/>
      <c r="AL822" s="8"/>
      <c r="AM822" s="8"/>
      <c r="AN822" s="8"/>
      <c r="AO822" s="8"/>
      <c r="AP822" s="8"/>
      <c r="AQ822" s="8"/>
      <c r="AR822" s="8"/>
      <c r="AS822" s="8"/>
      <c r="AT822" s="8"/>
      <c r="AU822" s="8"/>
      <c r="AV822" s="8"/>
      <c r="AW822" s="8"/>
      <c r="AX822" s="8"/>
      <c r="AY822" s="8"/>
      <c r="AZ822" s="8"/>
      <c r="BA822" s="8"/>
      <c r="BB822" s="8"/>
      <c r="BC822" s="8"/>
      <c r="BD822" s="8"/>
      <c r="BE822" s="8"/>
    </row>
    <row r="823" spans="1:57">
      <c r="A823" s="8"/>
      <c r="B823" s="8"/>
      <c r="C823" s="8"/>
      <c r="D823" s="8"/>
      <c r="E823" s="8"/>
      <c r="F823" s="54"/>
      <c r="G823" s="8"/>
      <c r="H823" s="8"/>
      <c r="I823" s="8"/>
      <c r="J823" s="8"/>
      <c r="K823" s="8"/>
      <c r="L823" s="8"/>
      <c r="M823" s="8"/>
      <c r="N823" s="8"/>
      <c r="O823" s="8"/>
      <c r="P823" s="8"/>
      <c r="Q823" s="8"/>
      <c r="R823" s="8"/>
      <c r="S823" s="8"/>
      <c r="T823" s="8"/>
      <c r="U823" s="53"/>
      <c r="V823" s="53"/>
      <c r="W823" s="53"/>
      <c r="X823" s="53"/>
      <c r="Y823" s="53"/>
      <c r="Z823" s="53"/>
      <c r="AA823" s="53"/>
      <c r="AB823" s="53"/>
      <c r="AC823" s="53"/>
      <c r="AD823" s="53"/>
      <c r="AE823" s="53"/>
      <c r="AF823" s="53"/>
      <c r="AG823" s="8"/>
      <c r="AH823" s="8"/>
      <c r="AI823" s="8"/>
      <c r="AJ823" s="8"/>
      <c r="AK823" s="8"/>
      <c r="AL823" s="8"/>
      <c r="AM823" s="8"/>
      <c r="AN823" s="8"/>
      <c r="AO823" s="8"/>
      <c r="AP823" s="8"/>
      <c r="AQ823" s="8"/>
      <c r="AR823" s="8"/>
      <c r="AS823" s="8"/>
      <c r="AT823" s="8"/>
      <c r="AU823" s="8"/>
      <c r="AV823" s="8"/>
      <c r="AW823" s="8"/>
      <c r="AX823" s="8"/>
      <c r="AY823" s="8"/>
      <c r="AZ823" s="8"/>
      <c r="BA823" s="8"/>
      <c r="BB823" s="8"/>
      <c r="BC823" s="8"/>
      <c r="BD823" s="8"/>
      <c r="BE823" s="8"/>
    </row>
    <row r="824" spans="1:57">
      <c r="A824" s="8"/>
      <c r="B824" s="8"/>
      <c r="C824" s="8"/>
      <c r="D824" s="8"/>
      <c r="E824" s="8"/>
      <c r="F824" s="54"/>
      <c r="G824" s="8"/>
      <c r="H824" s="8"/>
      <c r="I824" s="8"/>
      <c r="J824" s="8"/>
      <c r="K824" s="8"/>
      <c r="L824" s="8"/>
      <c r="M824" s="8"/>
      <c r="N824" s="8"/>
      <c r="O824" s="8"/>
      <c r="P824" s="8"/>
      <c r="Q824" s="8"/>
      <c r="R824" s="8"/>
      <c r="S824" s="8"/>
      <c r="T824" s="8"/>
      <c r="U824" s="53"/>
      <c r="V824" s="53"/>
      <c r="W824" s="53"/>
      <c r="X824" s="53"/>
      <c r="Y824" s="53"/>
      <c r="Z824" s="53"/>
      <c r="AA824" s="53"/>
      <c r="AB824" s="53"/>
      <c r="AC824" s="53"/>
      <c r="AD824" s="53"/>
      <c r="AE824" s="53"/>
      <c r="AF824" s="53"/>
      <c r="AG824" s="8"/>
      <c r="AH824" s="8"/>
      <c r="AI824" s="8"/>
      <c r="AJ824" s="8"/>
      <c r="AK824" s="8"/>
      <c r="AL824" s="8"/>
      <c r="AM824" s="8"/>
      <c r="AN824" s="8"/>
      <c r="AO824" s="8"/>
      <c r="AP824" s="8"/>
      <c r="AQ824" s="8"/>
      <c r="AR824" s="8"/>
      <c r="AS824" s="8"/>
      <c r="AT824" s="8"/>
      <c r="AU824" s="8"/>
      <c r="AV824" s="8"/>
      <c r="AW824" s="8"/>
      <c r="AX824" s="8"/>
      <c r="AY824" s="8"/>
      <c r="AZ824" s="8"/>
      <c r="BA824" s="8"/>
      <c r="BB824" s="8"/>
      <c r="BC824" s="8"/>
      <c r="BD824" s="8"/>
      <c r="BE824" s="8"/>
    </row>
    <row r="825" spans="1:57">
      <c r="A825" s="8"/>
      <c r="B825" s="8"/>
      <c r="C825" s="8"/>
      <c r="D825" s="8"/>
      <c r="E825" s="8"/>
      <c r="F825" s="54"/>
      <c r="G825" s="8"/>
      <c r="H825" s="8"/>
      <c r="I825" s="8"/>
      <c r="J825" s="8"/>
      <c r="K825" s="8"/>
      <c r="L825" s="8"/>
      <c r="M825" s="8"/>
      <c r="N825" s="8"/>
      <c r="O825" s="8"/>
      <c r="P825" s="8"/>
      <c r="Q825" s="8"/>
      <c r="R825" s="8"/>
      <c r="S825" s="8"/>
      <c r="T825" s="8"/>
      <c r="U825" s="53"/>
      <c r="V825" s="53"/>
      <c r="W825" s="53"/>
      <c r="X825" s="53"/>
      <c r="Y825" s="53"/>
      <c r="Z825" s="53"/>
      <c r="AA825" s="53"/>
      <c r="AB825" s="53"/>
      <c r="AC825" s="53"/>
      <c r="AD825" s="53"/>
      <c r="AE825" s="53"/>
      <c r="AF825" s="53"/>
      <c r="AG825" s="8"/>
      <c r="AH825" s="8"/>
      <c r="AI825" s="8"/>
      <c r="AJ825" s="8"/>
      <c r="AK825" s="8"/>
      <c r="AL825" s="8"/>
      <c r="AM825" s="8"/>
      <c r="AN825" s="8"/>
      <c r="AO825" s="8"/>
      <c r="AP825" s="8"/>
      <c r="AQ825" s="8"/>
      <c r="AR825" s="8"/>
      <c r="AS825" s="8"/>
      <c r="AT825" s="8"/>
      <c r="AU825" s="8"/>
      <c r="AV825" s="8"/>
      <c r="AW825" s="8"/>
      <c r="AX825" s="8"/>
      <c r="AY825" s="8"/>
      <c r="AZ825" s="8"/>
      <c r="BA825" s="8"/>
      <c r="BB825" s="8"/>
      <c r="BC825" s="8"/>
      <c r="BD825" s="8"/>
      <c r="BE825" s="8"/>
    </row>
    <row r="826" spans="1:57">
      <c r="A826" s="8"/>
      <c r="B826" s="8"/>
      <c r="C826" s="8"/>
      <c r="D826" s="8"/>
      <c r="E826" s="8"/>
      <c r="F826" s="54"/>
      <c r="G826" s="8"/>
      <c r="H826" s="8"/>
      <c r="I826" s="8"/>
      <c r="J826" s="8"/>
      <c r="K826" s="8"/>
      <c r="L826" s="8"/>
      <c r="M826" s="8"/>
      <c r="N826" s="8"/>
      <c r="O826" s="8"/>
      <c r="P826" s="8"/>
      <c r="Q826" s="8"/>
      <c r="R826" s="8"/>
      <c r="S826" s="8"/>
      <c r="T826" s="8"/>
      <c r="U826" s="53"/>
      <c r="V826" s="53"/>
      <c r="W826" s="53"/>
      <c r="X826" s="53"/>
      <c r="Y826" s="53"/>
      <c r="Z826" s="53"/>
      <c r="AA826" s="53"/>
      <c r="AB826" s="53"/>
      <c r="AC826" s="53"/>
      <c r="AD826" s="53"/>
      <c r="AE826" s="53"/>
      <c r="AF826" s="53"/>
      <c r="AG826" s="8"/>
      <c r="AH826" s="8"/>
      <c r="AI826" s="8"/>
      <c r="AJ826" s="8"/>
      <c r="AK826" s="8"/>
      <c r="AL826" s="8"/>
      <c r="AM826" s="8"/>
      <c r="AN826" s="8"/>
      <c r="AO826" s="8"/>
      <c r="AP826" s="8"/>
      <c r="AQ826" s="8"/>
      <c r="AR826" s="8"/>
      <c r="AS826" s="8"/>
      <c r="AT826" s="8"/>
      <c r="AU826" s="8"/>
      <c r="AV826" s="8"/>
      <c r="AW826" s="8"/>
      <c r="AX826" s="8"/>
      <c r="AY826" s="8"/>
      <c r="AZ826" s="8"/>
      <c r="BA826" s="8"/>
      <c r="BB826" s="8"/>
      <c r="BC826" s="8"/>
      <c r="BD826" s="8"/>
      <c r="BE826" s="8"/>
    </row>
    <row r="827" spans="1:57">
      <c r="A827" s="8"/>
      <c r="B827" s="8"/>
      <c r="C827" s="8"/>
      <c r="D827" s="8"/>
      <c r="E827" s="8"/>
      <c r="F827" s="54"/>
      <c r="G827" s="8"/>
      <c r="H827" s="8"/>
      <c r="I827" s="8"/>
      <c r="J827" s="8"/>
      <c r="K827" s="8"/>
      <c r="L827" s="8"/>
      <c r="M827" s="8"/>
      <c r="N827" s="8"/>
      <c r="O827" s="8"/>
      <c r="P827" s="8"/>
      <c r="Q827" s="8"/>
      <c r="R827" s="8"/>
      <c r="S827" s="8"/>
      <c r="T827" s="8"/>
      <c r="U827" s="53"/>
      <c r="V827" s="53"/>
      <c r="W827" s="53"/>
      <c r="X827" s="53"/>
      <c r="Y827" s="53"/>
      <c r="Z827" s="53"/>
      <c r="AA827" s="53"/>
      <c r="AB827" s="53"/>
      <c r="AC827" s="53"/>
      <c r="AD827" s="53"/>
      <c r="AE827" s="53"/>
      <c r="AF827" s="53"/>
      <c r="AG827" s="8"/>
      <c r="AH827" s="8"/>
      <c r="AI827" s="8"/>
      <c r="AJ827" s="8"/>
      <c r="AK827" s="8"/>
      <c r="AL827" s="8"/>
      <c r="AM827" s="8"/>
      <c r="AN827" s="8"/>
      <c r="AO827" s="8"/>
      <c r="AP827" s="8"/>
      <c r="AQ827" s="8"/>
      <c r="AR827" s="8"/>
      <c r="AS827" s="8"/>
      <c r="AT827" s="8"/>
      <c r="AU827" s="8"/>
      <c r="AV827" s="8"/>
      <c r="AW827" s="8"/>
      <c r="AX827" s="8"/>
      <c r="AY827" s="8"/>
      <c r="AZ827" s="8"/>
      <c r="BA827" s="8"/>
      <c r="BB827" s="8"/>
      <c r="BC827" s="8"/>
      <c r="BD827" s="8"/>
      <c r="BE827" s="8"/>
    </row>
    <row r="828" spans="1:57">
      <c r="A828" s="8"/>
      <c r="B828" s="8"/>
      <c r="C828" s="8"/>
      <c r="D828" s="8"/>
      <c r="E828" s="8"/>
      <c r="F828" s="54"/>
      <c r="G828" s="8"/>
      <c r="H828" s="8"/>
      <c r="I828" s="8"/>
      <c r="J828" s="8"/>
      <c r="K828" s="8"/>
      <c r="L828" s="8"/>
      <c r="M828" s="8"/>
      <c r="N828" s="8"/>
      <c r="O828" s="8"/>
      <c r="P828" s="8"/>
      <c r="Q828" s="8"/>
      <c r="R828" s="8"/>
      <c r="S828" s="8"/>
      <c r="T828" s="8"/>
      <c r="U828" s="53"/>
      <c r="V828" s="53"/>
      <c r="W828" s="53"/>
      <c r="X828" s="53"/>
      <c r="Y828" s="53"/>
      <c r="Z828" s="53"/>
      <c r="AA828" s="53"/>
      <c r="AB828" s="53"/>
      <c r="AC828" s="53"/>
      <c r="AD828" s="53"/>
      <c r="AE828" s="53"/>
      <c r="AF828" s="53"/>
      <c r="AG828" s="8"/>
      <c r="AH828" s="8"/>
      <c r="AI828" s="8"/>
      <c r="AJ828" s="8"/>
      <c r="AK828" s="8"/>
      <c r="AL828" s="8"/>
      <c r="AM828" s="8"/>
      <c r="AN828" s="8"/>
      <c r="AO828" s="8"/>
      <c r="AP828" s="8"/>
      <c r="AQ828" s="8"/>
      <c r="AR828" s="8"/>
      <c r="AS828" s="8"/>
      <c r="AT828" s="8"/>
      <c r="AU828" s="8"/>
      <c r="AV828" s="8"/>
      <c r="AW828" s="8"/>
      <c r="AX828" s="8"/>
      <c r="AY828" s="8"/>
      <c r="AZ828" s="8"/>
      <c r="BA828" s="8"/>
      <c r="BB828" s="8"/>
      <c r="BC828" s="8"/>
      <c r="BD828" s="8"/>
      <c r="BE828" s="8"/>
    </row>
    <row r="829" spans="1:57">
      <c r="A829" s="8"/>
      <c r="B829" s="8"/>
      <c r="C829" s="8"/>
      <c r="D829" s="8"/>
      <c r="E829" s="8"/>
      <c r="F829" s="54"/>
      <c r="G829" s="8"/>
      <c r="H829" s="8"/>
      <c r="I829" s="8"/>
      <c r="J829" s="8"/>
      <c r="K829" s="8"/>
      <c r="L829" s="8"/>
      <c r="M829" s="8"/>
      <c r="N829" s="8"/>
      <c r="O829" s="8"/>
      <c r="P829" s="8"/>
      <c r="Q829" s="8"/>
      <c r="R829" s="8"/>
      <c r="S829" s="8"/>
      <c r="T829" s="8"/>
      <c r="U829" s="53"/>
      <c r="V829" s="53"/>
      <c r="W829" s="53"/>
      <c r="X829" s="53"/>
      <c r="Y829" s="53"/>
      <c r="Z829" s="53"/>
      <c r="AA829" s="53"/>
      <c r="AB829" s="53"/>
      <c r="AC829" s="53"/>
      <c r="AD829" s="53"/>
      <c r="AE829" s="53"/>
      <c r="AF829" s="53"/>
      <c r="AG829" s="8"/>
      <c r="AH829" s="8"/>
      <c r="AI829" s="8"/>
      <c r="AJ829" s="8"/>
      <c r="AK829" s="8"/>
      <c r="AL829" s="8"/>
      <c r="AM829" s="8"/>
      <c r="AN829" s="8"/>
      <c r="AO829" s="8"/>
      <c r="AP829" s="8"/>
      <c r="AQ829" s="8"/>
      <c r="AR829" s="8"/>
      <c r="AS829" s="8"/>
      <c r="AT829" s="8"/>
      <c r="AU829" s="8"/>
      <c r="AV829" s="8"/>
      <c r="AW829" s="8"/>
      <c r="AX829" s="8"/>
      <c r="AY829" s="8"/>
      <c r="AZ829" s="8"/>
      <c r="BA829" s="8"/>
      <c r="BB829" s="8"/>
      <c r="BC829" s="8"/>
      <c r="BD829" s="8"/>
      <c r="BE829" s="8"/>
    </row>
    <row r="830" spans="1:57">
      <c r="A830" s="8"/>
      <c r="B830" s="8"/>
      <c r="C830" s="8"/>
      <c r="D830" s="8"/>
      <c r="E830" s="8"/>
      <c r="F830" s="54"/>
      <c r="G830" s="8"/>
      <c r="H830" s="8"/>
      <c r="I830" s="8"/>
      <c r="J830" s="8"/>
      <c r="K830" s="8"/>
      <c r="L830" s="8"/>
      <c r="M830" s="8"/>
      <c r="N830" s="8"/>
      <c r="O830" s="8"/>
      <c r="P830" s="8"/>
      <c r="Q830" s="8"/>
      <c r="R830" s="8"/>
      <c r="S830" s="8"/>
      <c r="T830" s="8"/>
      <c r="U830" s="53"/>
      <c r="V830" s="53"/>
      <c r="W830" s="53"/>
      <c r="X830" s="53"/>
      <c r="Y830" s="53"/>
      <c r="Z830" s="53"/>
      <c r="AA830" s="53"/>
      <c r="AB830" s="53"/>
      <c r="AC830" s="53"/>
      <c r="AD830" s="53"/>
      <c r="AE830" s="53"/>
      <c r="AF830" s="53"/>
      <c r="AG830" s="8"/>
      <c r="AH830" s="8"/>
      <c r="AI830" s="8"/>
      <c r="AJ830" s="8"/>
      <c r="AK830" s="8"/>
      <c r="AL830" s="8"/>
      <c r="AM830" s="8"/>
      <c r="AN830" s="8"/>
      <c r="AO830" s="8"/>
      <c r="AP830" s="8"/>
      <c r="AQ830" s="8"/>
      <c r="AR830" s="8"/>
      <c r="AS830" s="8"/>
      <c r="AT830" s="8"/>
      <c r="AU830" s="8"/>
      <c r="AV830" s="8"/>
      <c r="AW830" s="8"/>
      <c r="AX830" s="8"/>
      <c r="AY830" s="8"/>
      <c r="AZ830" s="8"/>
      <c r="BA830" s="8"/>
      <c r="BB830" s="8"/>
      <c r="BC830" s="8"/>
      <c r="BD830" s="8"/>
      <c r="BE830" s="8"/>
    </row>
    <row r="831" spans="1:57">
      <c r="A831" s="8"/>
      <c r="B831" s="8"/>
      <c r="C831" s="8"/>
      <c r="D831" s="8"/>
      <c r="E831" s="8"/>
      <c r="F831" s="54"/>
      <c r="G831" s="8"/>
      <c r="H831" s="8"/>
      <c r="I831" s="8"/>
      <c r="J831" s="8"/>
      <c r="K831" s="8"/>
      <c r="L831" s="8"/>
      <c r="M831" s="8"/>
      <c r="N831" s="8"/>
      <c r="O831" s="8"/>
      <c r="P831" s="8"/>
      <c r="Q831" s="8"/>
      <c r="R831" s="8"/>
      <c r="S831" s="8"/>
      <c r="T831" s="8"/>
      <c r="U831" s="53"/>
      <c r="V831" s="53"/>
      <c r="W831" s="53"/>
      <c r="X831" s="53"/>
      <c r="Y831" s="53"/>
      <c r="Z831" s="53"/>
      <c r="AA831" s="53"/>
      <c r="AB831" s="53"/>
      <c r="AC831" s="53"/>
      <c r="AD831" s="53"/>
      <c r="AE831" s="53"/>
      <c r="AF831" s="53"/>
      <c r="AG831" s="8"/>
      <c r="AH831" s="8"/>
      <c r="AI831" s="8"/>
      <c r="AJ831" s="8"/>
      <c r="AK831" s="8"/>
      <c r="AL831" s="8"/>
      <c r="AM831" s="8"/>
      <c r="AN831" s="8"/>
      <c r="AO831" s="8"/>
      <c r="AP831" s="8"/>
      <c r="AQ831" s="8"/>
      <c r="AR831" s="8"/>
      <c r="AS831" s="8"/>
      <c r="AT831" s="8"/>
      <c r="AU831" s="8"/>
      <c r="AV831" s="8"/>
      <c r="AW831" s="8"/>
      <c r="AX831" s="8"/>
      <c r="AY831" s="8"/>
      <c r="AZ831" s="8"/>
      <c r="BA831" s="8"/>
      <c r="BB831" s="8"/>
      <c r="BC831" s="8"/>
      <c r="BD831" s="8"/>
      <c r="BE831" s="8"/>
    </row>
    <row r="832" spans="1:57">
      <c r="A832" s="8"/>
      <c r="B832" s="8"/>
      <c r="C832" s="8"/>
      <c r="D832" s="8"/>
      <c r="E832" s="8"/>
      <c r="F832" s="54"/>
      <c r="G832" s="8"/>
      <c r="H832" s="8"/>
      <c r="I832" s="8"/>
      <c r="J832" s="8"/>
      <c r="K832" s="8"/>
      <c r="L832" s="8"/>
      <c r="M832" s="8"/>
      <c r="N832" s="8"/>
      <c r="O832" s="8"/>
      <c r="P832" s="8"/>
      <c r="Q832" s="8"/>
      <c r="R832" s="8"/>
      <c r="S832" s="8"/>
      <c r="T832" s="8"/>
      <c r="U832" s="53"/>
      <c r="V832" s="53"/>
      <c r="W832" s="53"/>
      <c r="X832" s="53"/>
      <c r="Y832" s="53"/>
      <c r="Z832" s="53"/>
      <c r="AA832" s="53"/>
      <c r="AB832" s="53"/>
      <c r="AC832" s="53"/>
      <c r="AD832" s="53"/>
      <c r="AE832" s="53"/>
      <c r="AF832" s="53"/>
      <c r="AG832" s="8"/>
      <c r="AH832" s="8"/>
      <c r="AI832" s="8"/>
      <c r="AJ832" s="8"/>
      <c r="AK832" s="8"/>
      <c r="AL832" s="8"/>
      <c r="AM832" s="8"/>
      <c r="AN832" s="8"/>
      <c r="AO832" s="8"/>
      <c r="AP832" s="8"/>
      <c r="AQ832" s="8"/>
      <c r="AR832" s="8"/>
      <c r="AS832" s="8"/>
      <c r="AT832" s="8"/>
      <c r="AU832" s="8"/>
      <c r="AV832" s="8"/>
      <c r="AW832" s="8"/>
      <c r="AX832" s="8"/>
      <c r="AY832" s="8"/>
      <c r="AZ832" s="8"/>
      <c r="BA832" s="8"/>
      <c r="BB832" s="8"/>
      <c r="BC832" s="8"/>
      <c r="BD832" s="8"/>
      <c r="BE832" s="8"/>
    </row>
    <row r="833" spans="1:57">
      <c r="A833" s="8"/>
      <c r="B833" s="8"/>
      <c r="C833" s="8"/>
      <c r="D833" s="8"/>
      <c r="E833" s="8"/>
      <c r="F833" s="54"/>
      <c r="G833" s="8"/>
      <c r="H833" s="8"/>
      <c r="I833" s="8"/>
      <c r="J833" s="8"/>
      <c r="K833" s="8"/>
      <c r="L833" s="8"/>
      <c r="M833" s="8"/>
      <c r="N833" s="8"/>
      <c r="O833" s="8"/>
      <c r="P833" s="8"/>
      <c r="Q833" s="8"/>
      <c r="R833" s="8"/>
      <c r="S833" s="8"/>
      <c r="T833" s="8"/>
      <c r="U833" s="53"/>
      <c r="V833" s="53"/>
      <c r="W833" s="53"/>
      <c r="X833" s="53"/>
      <c r="Y833" s="53"/>
      <c r="Z833" s="53"/>
      <c r="AA833" s="53"/>
      <c r="AB833" s="53"/>
      <c r="AC833" s="53"/>
      <c r="AD833" s="53"/>
      <c r="AE833" s="53"/>
      <c r="AF833" s="53"/>
      <c r="AG833" s="8"/>
      <c r="AH833" s="8"/>
      <c r="AI833" s="8"/>
      <c r="AJ833" s="8"/>
      <c r="AK833" s="8"/>
      <c r="AL833" s="8"/>
      <c r="AM833" s="8"/>
      <c r="AN833" s="8"/>
      <c r="AO833" s="8"/>
      <c r="AP833" s="8"/>
      <c r="AQ833" s="8"/>
      <c r="AR833" s="8"/>
      <c r="AS833" s="8"/>
      <c r="AT833" s="8"/>
      <c r="AU833" s="8"/>
      <c r="AV833" s="8"/>
      <c r="AW833" s="8"/>
      <c r="AX833" s="8"/>
      <c r="AY833" s="8"/>
      <c r="AZ833" s="8"/>
      <c r="BA833" s="8"/>
      <c r="BB833" s="8"/>
      <c r="BC833" s="8"/>
      <c r="BD833" s="8"/>
      <c r="BE833" s="8"/>
    </row>
    <row r="834" spans="1:57">
      <c r="A834" s="8"/>
      <c r="B834" s="8"/>
      <c r="C834" s="8"/>
      <c r="D834" s="8"/>
      <c r="E834" s="8"/>
      <c r="F834" s="54"/>
      <c r="G834" s="8"/>
      <c r="H834" s="8"/>
      <c r="I834" s="8"/>
      <c r="J834" s="8"/>
      <c r="K834" s="8"/>
      <c r="L834" s="8"/>
      <c r="M834" s="8"/>
      <c r="N834" s="8"/>
      <c r="O834" s="8"/>
      <c r="P834" s="8"/>
      <c r="Q834" s="8"/>
      <c r="R834" s="8"/>
      <c r="S834" s="8"/>
      <c r="T834" s="8"/>
      <c r="U834" s="53"/>
      <c r="V834" s="53"/>
      <c r="W834" s="53"/>
      <c r="X834" s="53"/>
      <c r="Y834" s="53"/>
      <c r="Z834" s="53"/>
      <c r="AA834" s="53"/>
      <c r="AB834" s="53"/>
      <c r="AC834" s="53"/>
      <c r="AD834" s="53"/>
      <c r="AE834" s="53"/>
      <c r="AF834" s="53"/>
      <c r="AG834" s="8"/>
      <c r="AH834" s="8"/>
      <c r="AI834" s="8"/>
      <c r="AJ834" s="8"/>
      <c r="AK834" s="8"/>
      <c r="AL834" s="8"/>
      <c r="AM834" s="8"/>
      <c r="AN834" s="8"/>
      <c r="AO834" s="8"/>
      <c r="AP834" s="8"/>
      <c r="AQ834" s="8"/>
      <c r="AR834" s="8"/>
      <c r="AS834" s="8"/>
      <c r="AT834" s="8"/>
      <c r="AU834" s="8"/>
      <c r="AV834" s="8"/>
      <c r="AW834" s="8"/>
      <c r="AX834" s="8"/>
      <c r="AY834" s="8"/>
      <c r="AZ834" s="8"/>
      <c r="BA834" s="8"/>
      <c r="BB834" s="8"/>
      <c r="BC834" s="8"/>
      <c r="BD834" s="8"/>
      <c r="BE834" s="8"/>
    </row>
    <row r="835" spans="1:57">
      <c r="A835" s="8"/>
      <c r="B835" s="8"/>
      <c r="C835" s="8"/>
      <c r="D835" s="8"/>
      <c r="E835" s="8"/>
      <c r="F835" s="54"/>
      <c r="G835" s="8"/>
      <c r="H835" s="8"/>
      <c r="I835" s="8"/>
      <c r="J835" s="8"/>
      <c r="K835" s="8"/>
      <c r="L835" s="8"/>
      <c r="M835" s="8"/>
      <c r="N835" s="8"/>
      <c r="O835" s="8"/>
      <c r="P835" s="8"/>
      <c r="Q835" s="8"/>
      <c r="R835" s="8"/>
      <c r="S835" s="8"/>
      <c r="T835" s="8"/>
      <c r="U835" s="53"/>
      <c r="V835" s="53"/>
      <c r="W835" s="53"/>
      <c r="X835" s="53"/>
      <c r="Y835" s="53"/>
      <c r="Z835" s="53"/>
      <c r="AA835" s="53"/>
      <c r="AB835" s="53"/>
      <c r="AC835" s="53"/>
      <c r="AD835" s="53"/>
      <c r="AE835" s="53"/>
      <c r="AF835" s="53"/>
      <c r="AG835" s="8"/>
      <c r="AH835" s="8"/>
      <c r="AI835" s="8"/>
      <c r="AJ835" s="8"/>
      <c r="AK835" s="8"/>
      <c r="AL835" s="8"/>
      <c r="AM835" s="8"/>
      <c r="AN835" s="8"/>
      <c r="AO835" s="8"/>
      <c r="AP835" s="8"/>
      <c r="AQ835" s="8"/>
      <c r="AR835" s="8"/>
      <c r="AS835" s="8"/>
      <c r="AT835" s="8"/>
      <c r="AU835" s="8"/>
      <c r="AV835" s="8"/>
      <c r="AW835" s="8"/>
      <c r="AX835" s="8"/>
      <c r="AY835" s="8"/>
      <c r="AZ835" s="8"/>
      <c r="BA835" s="8"/>
      <c r="BB835" s="8"/>
      <c r="BC835" s="8"/>
      <c r="BD835" s="8"/>
      <c r="BE835" s="8"/>
    </row>
    <row r="836" spans="1:57">
      <c r="A836" s="8"/>
      <c r="B836" s="8"/>
      <c r="C836" s="8"/>
      <c r="D836" s="8"/>
      <c r="E836" s="8"/>
      <c r="F836" s="54"/>
      <c r="G836" s="8"/>
      <c r="H836" s="8"/>
      <c r="I836" s="8"/>
      <c r="J836" s="8"/>
      <c r="K836" s="8"/>
      <c r="L836" s="8"/>
      <c r="M836" s="8"/>
      <c r="N836" s="8"/>
      <c r="O836" s="8"/>
      <c r="P836" s="8"/>
      <c r="Q836" s="8"/>
      <c r="R836" s="8"/>
      <c r="S836" s="8"/>
      <c r="T836" s="8"/>
      <c r="U836" s="53"/>
      <c r="V836" s="53"/>
      <c r="W836" s="53"/>
      <c r="X836" s="53"/>
      <c r="Y836" s="53"/>
      <c r="Z836" s="53"/>
      <c r="AA836" s="53"/>
      <c r="AB836" s="53"/>
      <c r="AC836" s="53"/>
      <c r="AD836" s="53"/>
      <c r="AE836" s="53"/>
      <c r="AF836" s="53"/>
      <c r="AG836" s="8"/>
      <c r="AH836" s="8"/>
      <c r="AI836" s="8"/>
      <c r="AJ836" s="8"/>
      <c r="AK836" s="8"/>
      <c r="AL836" s="8"/>
      <c r="AM836" s="8"/>
      <c r="AN836" s="8"/>
      <c r="AO836" s="8"/>
      <c r="AP836" s="8"/>
      <c r="AQ836" s="8"/>
      <c r="AR836" s="8"/>
      <c r="AS836" s="8"/>
      <c r="AT836" s="8"/>
      <c r="AU836" s="8"/>
      <c r="AV836" s="8"/>
      <c r="AW836" s="8"/>
      <c r="AX836" s="8"/>
      <c r="AY836" s="8"/>
      <c r="AZ836" s="8"/>
      <c r="BA836" s="8"/>
      <c r="BB836" s="8"/>
      <c r="BC836" s="8"/>
      <c r="BD836" s="8"/>
      <c r="BE836" s="8"/>
    </row>
    <row r="837" spans="1:57">
      <c r="A837" s="8"/>
      <c r="B837" s="8"/>
      <c r="C837" s="8"/>
      <c r="D837" s="8"/>
      <c r="E837" s="8"/>
      <c r="F837" s="54"/>
      <c r="G837" s="8"/>
      <c r="H837" s="8"/>
      <c r="I837" s="8"/>
      <c r="J837" s="8"/>
      <c r="K837" s="8"/>
      <c r="L837" s="8"/>
      <c r="M837" s="8"/>
      <c r="N837" s="8"/>
      <c r="O837" s="8"/>
      <c r="P837" s="8"/>
      <c r="Q837" s="8"/>
      <c r="R837" s="8"/>
      <c r="S837" s="8"/>
      <c r="T837" s="8"/>
      <c r="U837" s="53"/>
      <c r="V837" s="53"/>
      <c r="W837" s="53"/>
      <c r="X837" s="53"/>
      <c r="Y837" s="53"/>
      <c r="Z837" s="53"/>
      <c r="AA837" s="53"/>
      <c r="AB837" s="53"/>
      <c r="AC837" s="53"/>
      <c r="AD837" s="53"/>
      <c r="AE837" s="53"/>
      <c r="AF837" s="53"/>
      <c r="AG837" s="8"/>
      <c r="AH837" s="8"/>
      <c r="AI837" s="8"/>
      <c r="AJ837" s="8"/>
      <c r="AK837" s="8"/>
      <c r="AL837" s="8"/>
      <c r="AM837" s="8"/>
      <c r="AN837" s="8"/>
      <c r="AO837" s="8"/>
      <c r="AP837" s="8"/>
      <c r="AQ837" s="8"/>
      <c r="AR837" s="8"/>
      <c r="AS837" s="8"/>
      <c r="AT837" s="8"/>
      <c r="AU837" s="8"/>
      <c r="AV837" s="8"/>
      <c r="AW837" s="8"/>
      <c r="AX837" s="8"/>
      <c r="AY837" s="8"/>
      <c r="AZ837" s="8"/>
      <c r="BA837" s="8"/>
      <c r="BB837" s="8"/>
      <c r="BC837" s="8"/>
      <c r="BD837" s="8"/>
      <c r="BE837" s="8"/>
    </row>
    <row r="838" spans="1:57">
      <c r="A838" s="8"/>
      <c r="B838" s="8"/>
      <c r="C838" s="8"/>
      <c r="D838" s="8"/>
      <c r="E838" s="8"/>
      <c r="F838" s="54"/>
      <c r="G838" s="8"/>
      <c r="H838" s="8"/>
      <c r="I838" s="8"/>
      <c r="J838" s="8"/>
      <c r="K838" s="8"/>
      <c r="L838" s="8"/>
      <c r="M838" s="8"/>
      <c r="N838" s="8"/>
      <c r="O838" s="8"/>
      <c r="P838" s="8"/>
      <c r="Q838" s="8"/>
      <c r="R838" s="8"/>
      <c r="S838" s="8"/>
      <c r="T838" s="8"/>
      <c r="U838" s="53"/>
      <c r="V838" s="53"/>
      <c r="W838" s="53"/>
      <c r="X838" s="53"/>
      <c r="Y838" s="53"/>
      <c r="Z838" s="53"/>
      <c r="AA838" s="53"/>
      <c r="AB838" s="53"/>
      <c r="AC838" s="53"/>
      <c r="AD838" s="53"/>
      <c r="AE838" s="53"/>
      <c r="AF838" s="53"/>
      <c r="AG838" s="8"/>
      <c r="AH838" s="8"/>
      <c r="AI838" s="8"/>
      <c r="AJ838" s="8"/>
      <c r="AK838" s="8"/>
      <c r="AL838" s="8"/>
      <c r="AM838" s="8"/>
      <c r="AN838" s="8"/>
      <c r="AO838" s="8"/>
      <c r="AP838" s="8"/>
      <c r="AQ838" s="8"/>
      <c r="AR838" s="8"/>
      <c r="AS838" s="8"/>
      <c r="AT838" s="8"/>
      <c r="AU838" s="8"/>
      <c r="AV838" s="8"/>
      <c r="AW838" s="8"/>
      <c r="AX838" s="8"/>
      <c r="AY838" s="8"/>
      <c r="AZ838" s="8"/>
      <c r="BA838" s="8"/>
      <c r="BB838" s="8"/>
      <c r="BC838" s="8"/>
      <c r="BD838" s="8"/>
      <c r="BE838" s="8"/>
    </row>
    <row r="839" spans="1:57">
      <c r="A839" s="8"/>
      <c r="B839" s="8"/>
      <c r="C839" s="8"/>
      <c r="D839" s="8"/>
      <c r="E839" s="8"/>
      <c r="F839" s="54"/>
      <c r="G839" s="8"/>
      <c r="H839" s="8"/>
      <c r="I839" s="8"/>
      <c r="J839" s="8"/>
      <c r="K839" s="8"/>
      <c r="L839" s="8"/>
      <c r="M839" s="8"/>
      <c r="N839" s="8"/>
      <c r="O839" s="8"/>
      <c r="P839" s="8"/>
      <c r="Q839" s="8"/>
      <c r="R839" s="8"/>
      <c r="S839" s="8"/>
      <c r="T839" s="8"/>
      <c r="U839" s="53"/>
      <c r="V839" s="53"/>
      <c r="W839" s="53"/>
      <c r="X839" s="53"/>
      <c r="Y839" s="53"/>
      <c r="Z839" s="53"/>
      <c r="AA839" s="53"/>
      <c r="AB839" s="53"/>
      <c r="AC839" s="53"/>
      <c r="AD839" s="53"/>
      <c r="AE839" s="53"/>
      <c r="AF839" s="53"/>
      <c r="AG839" s="8"/>
      <c r="AH839" s="8"/>
      <c r="AI839" s="8"/>
      <c r="AJ839" s="8"/>
      <c r="AK839" s="8"/>
      <c r="AL839" s="8"/>
      <c r="AM839" s="8"/>
      <c r="AN839" s="8"/>
      <c r="AO839" s="8"/>
      <c r="AP839" s="8"/>
      <c r="AQ839" s="8"/>
      <c r="AR839" s="8"/>
      <c r="AS839" s="8"/>
      <c r="AT839" s="8"/>
      <c r="AU839" s="8"/>
      <c r="AV839" s="8"/>
      <c r="AW839" s="8"/>
      <c r="AX839" s="8"/>
      <c r="AY839" s="8"/>
      <c r="AZ839" s="8"/>
      <c r="BA839" s="8"/>
      <c r="BB839" s="8"/>
      <c r="BC839" s="8"/>
      <c r="BD839" s="8"/>
      <c r="BE839" s="8"/>
    </row>
    <row r="840" spans="1:57">
      <c r="A840" s="8"/>
      <c r="B840" s="8"/>
      <c r="C840" s="8"/>
      <c r="D840" s="8"/>
      <c r="E840" s="8"/>
      <c r="F840" s="54"/>
      <c r="G840" s="8"/>
      <c r="H840" s="8"/>
      <c r="I840" s="8"/>
      <c r="J840" s="8"/>
      <c r="K840" s="8"/>
      <c r="L840" s="8"/>
      <c r="M840" s="8"/>
      <c r="N840" s="8"/>
      <c r="O840" s="8"/>
      <c r="P840" s="8"/>
      <c r="Q840" s="8"/>
      <c r="R840" s="8"/>
      <c r="S840" s="8"/>
      <c r="T840" s="8"/>
      <c r="U840" s="53"/>
      <c r="V840" s="53"/>
      <c r="W840" s="53"/>
      <c r="X840" s="53"/>
      <c r="Y840" s="53"/>
      <c r="Z840" s="53"/>
      <c r="AA840" s="53"/>
      <c r="AB840" s="53"/>
      <c r="AC840" s="53"/>
      <c r="AD840" s="53"/>
      <c r="AE840" s="53"/>
      <c r="AF840" s="53"/>
      <c r="AG840" s="8"/>
      <c r="AH840" s="8"/>
      <c r="AI840" s="8"/>
      <c r="AJ840" s="8"/>
      <c r="AK840" s="8"/>
      <c r="AL840" s="8"/>
      <c r="AM840" s="8"/>
      <c r="AN840" s="8"/>
      <c r="AO840" s="8"/>
      <c r="AP840" s="8"/>
      <c r="AQ840" s="8"/>
      <c r="AR840" s="8"/>
      <c r="AS840" s="8"/>
      <c r="AT840" s="8"/>
      <c r="AU840" s="8"/>
      <c r="AV840" s="8"/>
      <c r="AW840" s="8"/>
      <c r="AX840" s="8"/>
      <c r="AY840" s="8"/>
      <c r="AZ840" s="8"/>
      <c r="BA840" s="8"/>
      <c r="BB840" s="8"/>
      <c r="BC840" s="8"/>
      <c r="BD840" s="8"/>
      <c r="BE840" s="8"/>
    </row>
    <row r="841" spans="1:57">
      <c r="A841" s="8"/>
      <c r="B841" s="8"/>
      <c r="C841" s="8"/>
      <c r="D841" s="8"/>
      <c r="E841" s="8"/>
      <c r="F841" s="54"/>
      <c r="G841" s="8"/>
      <c r="H841" s="8"/>
      <c r="I841" s="8"/>
      <c r="J841" s="8"/>
      <c r="K841" s="8"/>
      <c r="L841" s="8"/>
      <c r="M841" s="8"/>
      <c r="N841" s="8"/>
      <c r="O841" s="8"/>
      <c r="P841" s="8"/>
      <c r="Q841" s="8"/>
      <c r="R841" s="8"/>
      <c r="S841" s="8"/>
      <c r="T841" s="8"/>
      <c r="U841" s="53"/>
      <c r="V841" s="53"/>
      <c r="W841" s="53"/>
      <c r="X841" s="53"/>
      <c r="Y841" s="53"/>
      <c r="Z841" s="53"/>
      <c r="AA841" s="53"/>
      <c r="AB841" s="53"/>
      <c r="AC841" s="53"/>
      <c r="AD841" s="53"/>
      <c r="AE841" s="53"/>
      <c r="AF841" s="53"/>
      <c r="AG841" s="8"/>
      <c r="AH841" s="8"/>
      <c r="AI841" s="8"/>
      <c r="AJ841" s="8"/>
      <c r="AK841" s="8"/>
      <c r="AL841" s="8"/>
      <c r="AM841" s="8"/>
      <c r="AN841" s="8"/>
      <c r="AO841" s="8"/>
      <c r="AP841" s="8"/>
      <c r="AQ841" s="8"/>
      <c r="AR841" s="8"/>
      <c r="AS841" s="8"/>
      <c r="AT841" s="8"/>
      <c r="AU841" s="8"/>
      <c r="AV841" s="8"/>
      <c r="AW841" s="8"/>
      <c r="AX841" s="8"/>
      <c r="AY841" s="8"/>
      <c r="AZ841" s="8"/>
      <c r="BA841" s="8"/>
      <c r="BB841" s="8"/>
      <c r="BC841" s="8"/>
      <c r="BD841" s="8"/>
      <c r="BE841" s="8"/>
    </row>
    <row r="842" spans="1:57">
      <c r="A842" s="8"/>
      <c r="B842" s="8"/>
      <c r="C842" s="8"/>
      <c r="D842" s="8"/>
      <c r="E842" s="8"/>
      <c r="F842" s="54"/>
      <c r="G842" s="8"/>
      <c r="H842" s="8"/>
      <c r="I842" s="8"/>
      <c r="J842" s="8"/>
      <c r="K842" s="8"/>
      <c r="L842" s="8"/>
      <c r="M842" s="8"/>
      <c r="N842" s="8"/>
      <c r="O842" s="8"/>
      <c r="P842" s="8"/>
      <c r="Q842" s="8"/>
      <c r="R842" s="8"/>
      <c r="S842" s="8"/>
      <c r="T842" s="8"/>
      <c r="U842" s="53"/>
      <c r="V842" s="53"/>
      <c r="W842" s="53"/>
      <c r="X842" s="53"/>
      <c r="Y842" s="53"/>
      <c r="Z842" s="53"/>
      <c r="AA842" s="53"/>
      <c r="AB842" s="53"/>
      <c r="AC842" s="53"/>
      <c r="AD842" s="53"/>
      <c r="AE842" s="53"/>
      <c r="AF842" s="53"/>
      <c r="AG842" s="8"/>
      <c r="AH842" s="8"/>
      <c r="AI842" s="8"/>
      <c r="AJ842" s="8"/>
      <c r="AK842" s="8"/>
      <c r="AL842" s="8"/>
      <c r="AM842" s="8"/>
      <c r="AN842" s="8"/>
      <c r="AO842" s="8"/>
      <c r="AP842" s="8"/>
      <c r="AQ842" s="8"/>
      <c r="AR842" s="8"/>
      <c r="AS842" s="8"/>
      <c r="AT842" s="8"/>
      <c r="AU842" s="8"/>
      <c r="AV842" s="8"/>
      <c r="AW842" s="8"/>
      <c r="AX842" s="8"/>
      <c r="AY842" s="8"/>
      <c r="AZ842" s="8"/>
      <c r="BA842" s="8"/>
      <c r="BB842" s="8"/>
      <c r="BC842" s="8"/>
      <c r="BD842" s="8"/>
      <c r="BE842" s="8"/>
    </row>
    <row r="843" spans="1:57">
      <c r="A843" s="8"/>
      <c r="B843" s="8"/>
      <c r="C843" s="8"/>
      <c r="D843" s="8"/>
      <c r="E843" s="8"/>
      <c r="F843" s="54"/>
      <c r="G843" s="8"/>
      <c r="H843" s="8"/>
      <c r="I843" s="8"/>
      <c r="J843" s="8"/>
      <c r="K843" s="8"/>
      <c r="L843" s="8"/>
      <c r="M843" s="8"/>
      <c r="N843" s="8"/>
      <c r="O843" s="8"/>
      <c r="P843" s="8"/>
      <c r="Q843" s="8"/>
      <c r="R843" s="8"/>
      <c r="S843" s="8"/>
      <c r="T843" s="8"/>
      <c r="U843" s="53"/>
      <c r="V843" s="53"/>
      <c r="W843" s="53"/>
      <c r="X843" s="53"/>
      <c r="Y843" s="53"/>
      <c r="Z843" s="53"/>
      <c r="AA843" s="53"/>
      <c r="AB843" s="53"/>
      <c r="AC843" s="53"/>
      <c r="AD843" s="53"/>
      <c r="AE843" s="53"/>
      <c r="AF843" s="53"/>
      <c r="AG843" s="8"/>
      <c r="AH843" s="8"/>
      <c r="AI843" s="8"/>
      <c r="AJ843" s="8"/>
      <c r="AK843" s="8"/>
      <c r="AL843" s="8"/>
      <c r="AM843" s="8"/>
      <c r="AN843" s="8"/>
      <c r="AO843" s="8"/>
      <c r="AP843" s="8"/>
      <c r="AQ843" s="8"/>
      <c r="AR843" s="8"/>
      <c r="AS843" s="8"/>
      <c r="AT843" s="8"/>
      <c r="AU843" s="8"/>
      <c r="AV843" s="8"/>
      <c r="AW843" s="8"/>
      <c r="AX843" s="8"/>
      <c r="AY843" s="8"/>
      <c r="AZ843" s="8"/>
      <c r="BA843" s="8"/>
      <c r="BB843" s="8"/>
      <c r="BC843" s="8"/>
      <c r="BD843" s="8"/>
      <c r="BE843" s="8"/>
    </row>
    <row r="844" spans="1:57">
      <c r="A844" s="8"/>
      <c r="B844" s="8"/>
      <c r="C844" s="8"/>
      <c r="D844" s="8"/>
      <c r="E844" s="8"/>
      <c r="F844" s="54"/>
      <c r="G844" s="8"/>
      <c r="H844" s="8"/>
      <c r="I844" s="8"/>
      <c r="J844" s="8"/>
      <c r="K844" s="8"/>
      <c r="L844" s="8"/>
      <c r="M844" s="8"/>
      <c r="N844" s="8"/>
      <c r="O844" s="8"/>
      <c r="P844" s="8"/>
      <c r="Q844" s="8"/>
      <c r="R844" s="8"/>
      <c r="S844" s="8"/>
      <c r="T844" s="8"/>
      <c r="U844" s="53"/>
      <c r="V844" s="53"/>
      <c r="W844" s="53"/>
      <c r="X844" s="53"/>
      <c r="Y844" s="53"/>
      <c r="Z844" s="53"/>
      <c r="AA844" s="53"/>
      <c r="AB844" s="53"/>
      <c r="AC844" s="53"/>
      <c r="AD844" s="53"/>
      <c r="AE844" s="53"/>
      <c r="AF844" s="53"/>
      <c r="AG844" s="8"/>
      <c r="AH844" s="8"/>
      <c r="AI844" s="8"/>
      <c r="AJ844" s="8"/>
      <c r="AK844" s="8"/>
      <c r="AL844" s="8"/>
      <c r="AM844" s="8"/>
      <c r="AN844" s="8"/>
      <c r="AO844" s="8"/>
      <c r="AP844" s="8"/>
      <c r="AQ844" s="8"/>
      <c r="AR844" s="8"/>
      <c r="AS844" s="8"/>
      <c r="AT844" s="8"/>
      <c r="AU844" s="8"/>
      <c r="AV844" s="8"/>
      <c r="AW844" s="8"/>
      <c r="AX844" s="8"/>
      <c r="AY844" s="8"/>
      <c r="AZ844" s="8"/>
      <c r="BA844" s="8"/>
      <c r="BB844" s="8"/>
      <c r="BC844" s="8"/>
      <c r="BD844" s="8"/>
      <c r="BE844" s="8"/>
    </row>
    <row r="845" spans="1:57">
      <c r="A845" s="8"/>
      <c r="B845" s="8"/>
      <c r="C845" s="8"/>
      <c r="D845" s="8"/>
      <c r="E845" s="8"/>
      <c r="F845" s="54"/>
      <c r="G845" s="8"/>
      <c r="H845" s="8"/>
      <c r="I845" s="8"/>
      <c r="J845" s="8"/>
      <c r="K845" s="8"/>
      <c r="L845" s="8"/>
      <c r="M845" s="8"/>
      <c r="N845" s="8"/>
      <c r="O845" s="8"/>
      <c r="P845" s="8"/>
      <c r="Q845" s="8"/>
      <c r="R845" s="8"/>
      <c r="S845" s="8"/>
      <c r="T845" s="8"/>
      <c r="U845" s="53"/>
      <c r="V845" s="53"/>
      <c r="W845" s="53"/>
      <c r="X845" s="53"/>
      <c r="Y845" s="53"/>
      <c r="Z845" s="53"/>
      <c r="AA845" s="53"/>
      <c r="AB845" s="53"/>
      <c r="AC845" s="53"/>
      <c r="AD845" s="53"/>
      <c r="AE845" s="53"/>
      <c r="AF845" s="53"/>
      <c r="AG845" s="8"/>
      <c r="AH845" s="8"/>
      <c r="AI845" s="8"/>
      <c r="AJ845" s="8"/>
      <c r="AK845" s="8"/>
      <c r="AL845" s="8"/>
      <c r="AM845" s="8"/>
      <c r="AN845" s="8"/>
      <c r="AO845" s="8"/>
      <c r="AP845" s="8"/>
      <c r="AQ845" s="8"/>
      <c r="AR845" s="8"/>
      <c r="AS845" s="8"/>
      <c r="AT845" s="8"/>
      <c r="AU845" s="8"/>
      <c r="AV845" s="8"/>
      <c r="AW845" s="8"/>
      <c r="AX845" s="8"/>
      <c r="AY845" s="8"/>
      <c r="AZ845" s="8"/>
      <c r="BA845" s="8"/>
      <c r="BB845" s="8"/>
      <c r="BC845" s="8"/>
      <c r="BD845" s="8"/>
      <c r="BE845" s="8"/>
    </row>
    <row r="846" spans="1:57">
      <c r="A846" s="8"/>
      <c r="B846" s="8"/>
      <c r="C846" s="8"/>
      <c r="D846" s="8"/>
      <c r="E846" s="8"/>
      <c r="F846" s="54"/>
      <c r="G846" s="8"/>
      <c r="H846" s="8"/>
      <c r="I846" s="8"/>
      <c r="J846" s="8"/>
      <c r="K846" s="8"/>
      <c r="L846" s="8"/>
      <c r="M846" s="8"/>
      <c r="N846" s="8"/>
      <c r="O846" s="8"/>
      <c r="P846" s="8"/>
      <c r="Q846" s="8"/>
      <c r="R846" s="8"/>
      <c r="S846" s="8"/>
      <c r="T846" s="8"/>
      <c r="U846" s="53"/>
      <c r="V846" s="53"/>
      <c r="W846" s="53"/>
      <c r="X846" s="53"/>
      <c r="Y846" s="53"/>
      <c r="Z846" s="53"/>
      <c r="AA846" s="53"/>
      <c r="AB846" s="53"/>
      <c r="AC846" s="53"/>
      <c r="AD846" s="53"/>
      <c r="AE846" s="53"/>
      <c r="AF846" s="53"/>
      <c r="AG846" s="8"/>
      <c r="AH846" s="8"/>
      <c r="AI846" s="8"/>
      <c r="AJ846" s="8"/>
      <c r="AK846" s="8"/>
      <c r="AL846" s="8"/>
      <c r="AM846" s="8"/>
      <c r="AN846" s="8"/>
      <c r="AO846" s="8"/>
      <c r="AP846" s="8"/>
      <c r="AQ846" s="8"/>
      <c r="AR846" s="8"/>
      <c r="AS846" s="8"/>
      <c r="AT846" s="8"/>
      <c r="AU846" s="8"/>
      <c r="AV846" s="8"/>
      <c r="AW846" s="8"/>
      <c r="AX846" s="8"/>
      <c r="AY846" s="8"/>
      <c r="AZ846" s="8"/>
      <c r="BA846" s="8"/>
      <c r="BB846" s="8"/>
      <c r="BC846" s="8"/>
      <c r="BD846" s="8"/>
      <c r="BE846" s="8"/>
    </row>
    <row r="847" spans="1:57">
      <c r="A847" s="8"/>
      <c r="B847" s="8"/>
      <c r="C847" s="8"/>
      <c r="D847" s="8"/>
      <c r="E847" s="8"/>
      <c r="F847" s="54"/>
      <c r="G847" s="8"/>
      <c r="H847" s="8"/>
      <c r="I847" s="8"/>
      <c r="J847" s="8"/>
      <c r="K847" s="8"/>
      <c r="L847" s="8"/>
      <c r="M847" s="8"/>
      <c r="N847" s="8"/>
      <c r="O847" s="8"/>
      <c r="P847" s="8"/>
      <c r="Q847" s="8"/>
      <c r="R847" s="8"/>
      <c r="S847" s="8"/>
      <c r="T847" s="8"/>
      <c r="U847" s="53"/>
      <c r="V847" s="53"/>
      <c r="W847" s="53"/>
      <c r="X847" s="53"/>
      <c r="Y847" s="53"/>
      <c r="Z847" s="53"/>
      <c r="AA847" s="53"/>
      <c r="AB847" s="53"/>
      <c r="AC847" s="53"/>
      <c r="AD847" s="53"/>
      <c r="AE847" s="53"/>
      <c r="AF847" s="53"/>
      <c r="AG847" s="8"/>
      <c r="AH847" s="8"/>
      <c r="AI847" s="8"/>
      <c r="AJ847" s="8"/>
      <c r="AK847" s="8"/>
      <c r="AL847" s="8"/>
      <c r="AM847" s="8"/>
      <c r="AN847" s="8"/>
      <c r="AO847" s="8"/>
      <c r="AP847" s="8"/>
      <c r="AQ847" s="8"/>
      <c r="AR847" s="8"/>
      <c r="AS847" s="8"/>
      <c r="AT847" s="8"/>
      <c r="AU847" s="8"/>
      <c r="AV847" s="8"/>
      <c r="AW847" s="8"/>
      <c r="AX847" s="8"/>
      <c r="AY847" s="8"/>
      <c r="AZ847" s="8"/>
      <c r="BA847" s="8"/>
      <c r="BB847" s="8"/>
      <c r="BC847" s="8"/>
      <c r="BD847" s="8"/>
      <c r="BE847" s="8"/>
    </row>
    <row r="848" spans="1:57">
      <c r="A848" s="8"/>
      <c r="B848" s="8"/>
      <c r="C848" s="8"/>
      <c r="D848" s="8"/>
      <c r="E848" s="8"/>
      <c r="F848" s="54"/>
      <c r="G848" s="8"/>
      <c r="H848" s="8"/>
      <c r="I848" s="8"/>
      <c r="J848" s="8"/>
      <c r="K848" s="8"/>
      <c r="L848" s="8"/>
      <c r="M848" s="8"/>
      <c r="N848" s="8"/>
      <c r="O848" s="8"/>
      <c r="P848" s="8"/>
      <c r="Q848" s="8"/>
      <c r="R848" s="8"/>
      <c r="S848" s="8"/>
      <c r="T848" s="8"/>
      <c r="U848" s="53"/>
      <c r="V848" s="53"/>
      <c r="W848" s="53"/>
      <c r="X848" s="53"/>
      <c r="Y848" s="53"/>
      <c r="Z848" s="53"/>
      <c r="AA848" s="53"/>
      <c r="AB848" s="53"/>
      <c r="AC848" s="53"/>
      <c r="AD848" s="53"/>
      <c r="AE848" s="53"/>
      <c r="AF848" s="53"/>
      <c r="AG848" s="8"/>
      <c r="AH848" s="8"/>
      <c r="AI848" s="8"/>
      <c r="AJ848" s="8"/>
      <c r="AK848" s="8"/>
      <c r="AL848" s="8"/>
      <c r="AM848" s="8"/>
      <c r="AN848" s="8"/>
      <c r="AO848" s="8"/>
      <c r="AP848" s="8"/>
      <c r="AQ848" s="8"/>
      <c r="AR848" s="8"/>
      <c r="AS848" s="8"/>
      <c r="AT848" s="8"/>
      <c r="AU848" s="8"/>
      <c r="AV848" s="8"/>
      <c r="AW848" s="8"/>
      <c r="AX848" s="8"/>
      <c r="AY848" s="8"/>
      <c r="AZ848" s="8"/>
      <c r="BA848" s="8"/>
      <c r="BB848" s="8"/>
      <c r="BC848" s="8"/>
      <c r="BD848" s="8"/>
      <c r="BE848" s="8"/>
    </row>
    <row r="849" spans="1:57">
      <c r="A849" s="8"/>
      <c r="B849" s="8"/>
      <c r="C849" s="8"/>
      <c r="D849" s="8"/>
      <c r="E849" s="8"/>
      <c r="F849" s="54"/>
      <c r="G849" s="8"/>
      <c r="H849" s="8"/>
      <c r="I849" s="8"/>
      <c r="J849" s="8"/>
      <c r="K849" s="8"/>
      <c r="L849" s="8"/>
      <c r="M849" s="8"/>
      <c r="N849" s="8"/>
      <c r="O849" s="8"/>
      <c r="P849" s="8"/>
      <c r="Q849" s="8"/>
      <c r="R849" s="8"/>
      <c r="S849" s="8"/>
      <c r="T849" s="8"/>
      <c r="U849" s="53"/>
      <c r="V849" s="53"/>
      <c r="W849" s="53"/>
      <c r="X849" s="53"/>
      <c r="Y849" s="53"/>
      <c r="Z849" s="53"/>
      <c r="AA849" s="53"/>
      <c r="AB849" s="53"/>
      <c r="AC849" s="53"/>
      <c r="AD849" s="53"/>
      <c r="AE849" s="53"/>
      <c r="AF849" s="53"/>
      <c r="AG849" s="8"/>
      <c r="AH849" s="8"/>
      <c r="AI849" s="8"/>
      <c r="AJ849" s="8"/>
      <c r="AK849" s="8"/>
      <c r="AL849" s="8"/>
      <c r="AM849" s="8"/>
      <c r="AN849" s="8"/>
      <c r="AO849" s="8"/>
      <c r="AP849" s="8"/>
      <c r="AQ849" s="8"/>
      <c r="AR849" s="8"/>
      <c r="AS849" s="8"/>
      <c r="AT849" s="8"/>
      <c r="AU849" s="8"/>
      <c r="AV849" s="8"/>
      <c r="AW849" s="8"/>
      <c r="AX849" s="8"/>
      <c r="AY849" s="8"/>
      <c r="AZ849" s="8"/>
      <c r="BA849" s="8"/>
      <c r="BB849" s="8"/>
      <c r="BC849" s="8"/>
      <c r="BD849" s="8"/>
      <c r="BE849" s="8"/>
    </row>
    <row r="850" spans="1:57">
      <c r="A850" s="8"/>
      <c r="B850" s="8"/>
      <c r="C850" s="8"/>
      <c r="D850" s="8"/>
      <c r="E850" s="8"/>
      <c r="F850" s="54"/>
      <c r="G850" s="8"/>
      <c r="H850" s="8"/>
      <c r="I850" s="8"/>
      <c r="J850" s="8"/>
      <c r="K850" s="8"/>
      <c r="L850" s="8"/>
      <c r="M850" s="8"/>
      <c r="N850" s="8"/>
      <c r="O850" s="8"/>
      <c r="P850" s="8"/>
      <c r="Q850" s="8"/>
      <c r="R850" s="8"/>
      <c r="S850" s="8"/>
      <c r="T850" s="8"/>
      <c r="U850" s="53"/>
      <c r="V850" s="53"/>
      <c r="W850" s="53"/>
      <c r="X850" s="53"/>
      <c r="Y850" s="53"/>
      <c r="Z850" s="53"/>
      <c r="AA850" s="53"/>
      <c r="AB850" s="53"/>
      <c r="AC850" s="53"/>
      <c r="AD850" s="53"/>
      <c r="AE850" s="53"/>
      <c r="AF850" s="53"/>
      <c r="AG850" s="8"/>
      <c r="AH850" s="8"/>
      <c r="AI850" s="8"/>
      <c r="AJ850" s="8"/>
      <c r="AK850" s="8"/>
      <c r="AL850" s="8"/>
      <c r="AM850" s="8"/>
      <c r="AN850" s="8"/>
      <c r="AO850" s="8"/>
      <c r="AP850" s="8"/>
      <c r="AQ850" s="8"/>
      <c r="AR850" s="8"/>
      <c r="AS850" s="8"/>
      <c r="AT850" s="8"/>
      <c r="AU850" s="8"/>
      <c r="AV850" s="8"/>
      <c r="AW850" s="8"/>
      <c r="AX850" s="8"/>
      <c r="AY850" s="8"/>
      <c r="AZ850" s="8"/>
      <c r="BA850" s="8"/>
      <c r="BB850" s="8"/>
      <c r="BC850" s="8"/>
      <c r="BD850" s="8"/>
      <c r="BE850" s="8"/>
    </row>
    <row r="851" spans="1:57">
      <c r="A851" s="8"/>
      <c r="B851" s="8"/>
      <c r="C851" s="8"/>
      <c r="D851" s="8"/>
      <c r="E851" s="8"/>
      <c r="F851" s="54"/>
      <c r="G851" s="8"/>
      <c r="H851" s="8"/>
      <c r="I851" s="8"/>
      <c r="J851" s="8"/>
      <c r="K851" s="8"/>
      <c r="L851" s="8"/>
      <c r="M851" s="8"/>
      <c r="N851" s="8"/>
      <c r="O851" s="8"/>
      <c r="P851" s="8"/>
      <c r="Q851" s="8"/>
      <c r="R851" s="8"/>
      <c r="S851" s="8"/>
      <c r="T851" s="8"/>
      <c r="U851" s="53"/>
      <c r="V851" s="53"/>
      <c r="W851" s="53"/>
      <c r="X851" s="53"/>
      <c r="Y851" s="53"/>
      <c r="Z851" s="53"/>
      <c r="AA851" s="53"/>
      <c r="AB851" s="53"/>
      <c r="AC851" s="53"/>
      <c r="AD851" s="53"/>
      <c r="AE851" s="53"/>
      <c r="AF851" s="53"/>
      <c r="AG851" s="8"/>
      <c r="AH851" s="8"/>
      <c r="AI851" s="8"/>
      <c r="AJ851" s="8"/>
      <c r="AK851" s="8"/>
      <c r="AL851" s="8"/>
      <c r="AM851" s="8"/>
      <c r="AN851" s="8"/>
      <c r="AO851" s="8"/>
      <c r="AP851" s="8"/>
      <c r="AQ851" s="8"/>
      <c r="AR851" s="8"/>
      <c r="AS851" s="8"/>
      <c r="AT851" s="8"/>
      <c r="AU851" s="8"/>
      <c r="AV851" s="8"/>
      <c r="AW851" s="8"/>
      <c r="AX851" s="8"/>
      <c r="AY851" s="8"/>
      <c r="AZ851" s="8"/>
      <c r="BA851" s="8"/>
      <c r="BB851" s="8"/>
      <c r="BC851" s="8"/>
      <c r="BD851" s="8"/>
      <c r="BE851" s="8"/>
    </row>
    <row r="852" spans="1:57">
      <c r="A852" s="8"/>
      <c r="B852" s="8"/>
      <c r="C852" s="8"/>
      <c r="D852" s="8"/>
      <c r="E852" s="8"/>
      <c r="F852" s="54"/>
      <c r="G852" s="8"/>
      <c r="H852" s="8"/>
      <c r="I852" s="8"/>
      <c r="J852" s="8"/>
      <c r="K852" s="8"/>
      <c r="L852" s="8"/>
      <c r="M852" s="8"/>
      <c r="N852" s="8"/>
      <c r="O852" s="8"/>
      <c r="P852" s="8"/>
      <c r="Q852" s="8"/>
      <c r="R852" s="8"/>
      <c r="S852" s="8"/>
      <c r="T852" s="8"/>
      <c r="U852" s="53"/>
      <c r="V852" s="53"/>
      <c r="W852" s="53"/>
      <c r="X852" s="53"/>
      <c r="Y852" s="53"/>
      <c r="Z852" s="53"/>
      <c r="AA852" s="53"/>
      <c r="AB852" s="53"/>
      <c r="AC852" s="53"/>
      <c r="AD852" s="53"/>
      <c r="AE852" s="53"/>
      <c r="AF852" s="53"/>
      <c r="AG852" s="8"/>
      <c r="AH852" s="8"/>
      <c r="AI852" s="8"/>
      <c r="AJ852" s="8"/>
      <c r="AK852" s="8"/>
      <c r="AL852" s="8"/>
      <c r="AM852" s="8"/>
      <c r="AN852" s="8"/>
      <c r="AO852" s="8"/>
      <c r="AP852" s="8"/>
      <c r="AQ852" s="8"/>
      <c r="AR852" s="8"/>
      <c r="AS852" s="8"/>
      <c r="AT852" s="8"/>
      <c r="AU852" s="8"/>
      <c r="AV852" s="8"/>
      <c r="AW852" s="8"/>
      <c r="AX852" s="8"/>
      <c r="AY852" s="8"/>
      <c r="AZ852" s="8"/>
      <c r="BA852" s="8"/>
      <c r="BB852" s="8"/>
      <c r="BC852" s="8"/>
      <c r="BD852" s="8"/>
      <c r="BE852" s="8"/>
    </row>
    <row r="853" spans="1:57">
      <c r="A853" s="8"/>
      <c r="B853" s="8"/>
      <c r="C853" s="8"/>
      <c r="D853" s="8"/>
      <c r="E853" s="8"/>
      <c r="F853" s="54"/>
      <c r="G853" s="8"/>
      <c r="H853" s="8"/>
      <c r="I853" s="8"/>
      <c r="J853" s="8"/>
      <c r="K853" s="8"/>
      <c r="L853" s="8"/>
      <c r="M853" s="8"/>
      <c r="N853" s="8"/>
      <c r="O853" s="8"/>
      <c r="P853" s="8"/>
      <c r="Q853" s="8"/>
      <c r="R853" s="8"/>
      <c r="S853" s="8"/>
      <c r="T853" s="8"/>
      <c r="U853" s="53"/>
      <c r="V853" s="53"/>
      <c r="W853" s="53"/>
      <c r="X853" s="53"/>
      <c r="Y853" s="53"/>
      <c r="Z853" s="53"/>
      <c r="AA853" s="53"/>
      <c r="AB853" s="53"/>
      <c r="AC853" s="53"/>
      <c r="AD853" s="53"/>
      <c r="AE853" s="53"/>
      <c r="AF853" s="53"/>
      <c r="AG853" s="8"/>
      <c r="AH853" s="8"/>
      <c r="AI853" s="8"/>
      <c r="AJ853" s="8"/>
      <c r="AK853" s="8"/>
      <c r="AL853" s="8"/>
      <c r="AM853" s="8"/>
      <c r="AN853" s="8"/>
      <c r="AO853" s="8"/>
      <c r="AP853" s="8"/>
      <c r="AQ853" s="8"/>
      <c r="AR853" s="8"/>
      <c r="AS853" s="8"/>
      <c r="AT853" s="8"/>
      <c r="AU853" s="8"/>
      <c r="AV853" s="8"/>
      <c r="AW853" s="8"/>
      <c r="AX853" s="8"/>
      <c r="AY853" s="8"/>
      <c r="AZ853" s="8"/>
      <c r="BA853" s="8"/>
      <c r="BB853" s="8"/>
      <c r="BC853" s="8"/>
      <c r="BD853" s="8"/>
      <c r="BE853" s="8"/>
    </row>
    <row r="854" spans="1:57">
      <c r="A854" s="8"/>
      <c r="B854" s="8"/>
      <c r="C854" s="8"/>
      <c r="D854" s="8"/>
      <c r="E854" s="8"/>
      <c r="F854" s="54"/>
      <c r="G854" s="8"/>
      <c r="H854" s="8"/>
      <c r="I854" s="8"/>
      <c r="J854" s="8"/>
      <c r="K854" s="8"/>
      <c r="L854" s="8"/>
      <c r="M854" s="8"/>
      <c r="N854" s="8"/>
      <c r="O854" s="8"/>
      <c r="P854" s="8"/>
      <c r="Q854" s="8"/>
      <c r="R854" s="8"/>
      <c r="S854" s="8"/>
      <c r="T854" s="8"/>
      <c r="U854" s="53"/>
      <c r="V854" s="53"/>
      <c r="W854" s="53"/>
      <c r="X854" s="53"/>
      <c r="Y854" s="53"/>
      <c r="Z854" s="53"/>
      <c r="AA854" s="53"/>
      <c r="AB854" s="53"/>
      <c r="AC854" s="53"/>
      <c r="AD854" s="53"/>
      <c r="AE854" s="53"/>
      <c r="AF854" s="53"/>
      <c r="AG854" s="8"/>
      <c r="AH854" s="8"/>
      <c r="AI854" s="8"/>
      <c r="AJ854" s="8"/>
      <c r="AK854" s="8"/>
      <c r="AL854" s="8"/>
      <c r="AM854" s="8"/>
      <c r="AN854" s="8"/>
      <c r="AO854" s="8"/>
      <c r="AP854" s="8"/>
      <c r="AQ854" s="8"/>
      <c r="AR854" s="8"/>
      <c r="AS854" s="8"/>
      <c r="AT854" s="8"/>
      <c r="AU854" s="8"/>
      <c r="AV854" s="8"/>
      <c r="AW854" s="8"/>
      <c r="AX854" s="8"/>
      <c r="AY854" s="8"/>
      <c r="AZ854" s="8"/>
      <c r="BA854" s="8"/>
      <c r="BB854" s="8"/>
      <c r="BC854" s="8"/>
      <c r="BD854" s="8"/>
      <c r="BE854" s="8"/>
    </row>
    <row r="855" spans="1:57">
      <c r="A855" s="8"/>
      <c r="B855" s="8"/>
      <c r="C855" s="8"/>
      <c r="D855" s="8"/>
      <c r="E855" s="8"/>
      <c r="F855" s="54"/>
      <c r="G855" s="8"/>
      <c r="H855" s="8"/>
      <c r="I855" s="8"/>
      <c r="J855" s="8"/>
      <c r="K855" s="8"/>
      <c r="L855" s="8"/>
      <c r="M855" s="8"/>
      <c r="N855" s="8"/>
      <c r="O855" s="8"/>
      <c r="P855" s="8"/>
      <c r="Q855" s="8"/>
      <c r="R855" s="8"/>
      <c r="S855" s="8"/>
      <c r="T855" s="8"/>
      <c r="U855" s="53"/>
      <c r="V855" s="53"/>
      <c r="W855" s="53"/>
      <c r="X855" s="53"/>
      <c r="Y855" s="53"/>
      <c r="Z855" s="53"/>
      <c r="AA855" s="53"/>
      <c r="AB855" s="53"/>
      <c r="AC855" s="53"/>
      <c r="AD855" s="53"/>
      <c r="AE855" s="53"/>
      <c r="AF855" s="53"/>
      <c r="AG855" s="8"/>
      <c r="AH855" s="8"/>
      <c r="AI855" s="8"/>
      <c r="AJ855" s="8"/>
      <c r="AK855" s="8"/>
      <c r="AL855" s="8"/>
      <c r="AM855" s="8"/>
      <c r="AN855" s="8"/>
      <c r="AO855" s="8"/>
      <c r="AP855" s="8"/>
      <c r="AQ855" s="8"/>
      <c r="AR855" s="8"/>
      <c r="AS855" s="8"/>
      <c r="AT855" s="8"/>
      <c r="AU855" s="8"/>
      <c r="AV855" s="8"/>
      <c r="AW855" s="8"/>
      <c r="AX855" s="8"/>
      <c r="AY855" s="8"/>
      <c r="AZ855" s="8"/>
      <c r="BA855" s="8"/>
      <c r="BB855" s="8"/>
      <c r="BC855" s="8"/>
      <c r="BD855" s="8"/>
      <c r="BE855" s="8"/>
    </row>
    <row r="856" spans="1:57">
      <c r="A856" s="8"/>
      <c r="B856" s="8"/>
      <c r="C856" s="8"/>
      <c r="D856" s="8"/>
      <c r="E856" s="8"/>
      <c r="F856" s="54"/>
      <c r="G856" s="8"/>
      <c r="H856" s="8"/>
      <c r="I856" s="8"/>
      <c r="J856" s="8"/>
      <c r="K856" s="8"/>
      <c r="L856" s="8"/>
      <c r="M856" s="8"/>
      <c r="N856" s="8"/>
      <c r="O856" s="8"/>
      <c r="P856" s="8"/>
      <c r="Q856" s="8"/>
      <c r="R856" s="8"/>
      <c r="S856" s="8"/>
      <c r="T856" s="8"/>
      <c r="U856" s="53"/>
      <c r="V856" s="53"/>
      <c r="W856" s="53"/>
      <c r="X856" s="53"/>
      <c r="Y856" s="53"/>
      <c r="Z856" s="53"/>
      <c r="AA856" s="53"/>
      <c r="AB856" s="53"/>
      <c r="AC856" s="53"/>
      <c r="AD856" s="53"/>
      <c r="AE856" s="53"/>
      <c r="AF856" s="53"/>
      <c r="AG856" s="8"/>
      <c r="AH856" s="8"/>
      <c r="AI856" s="8"/>
      <c r="AJ856" s="8"/>
      <c r="AK856" s="8"/>
      <c r="AL856" s="8"/>
      <c r="AM856" s="8"/>
      <c r="AN856" s="8"/>
      <c r="AO856" s="8"/>
      <c r="AP856" s="8"/>
      <c r="AQ856" s="8"/>
      <c r="AR856" s="8"/>
      <c r="AS856" s="8"/>
      <c r="AT856" s="8"/>
      <c r="AU856" s="8"/>
      <c r="AV856" s="8"/>
      <c r="AW856" s="8"/>
      <c r="AX856" s="8"/>
      <c r="AY856" s="8"/>
      <c r="AZ856" s="8"/>
      <c r="BA856" s="8"/>
      <c r="BB856" s="8"/>
      <c r="BC856" s="8"/>
      <c r="BD856" s="8"/>
      <c r="BE856" s="8"/>
    </row>
    <row r="857" spans="1:57">
      <c r="A857" s="8"/>
      <c r="B857" s="8"/>
      <c r="C857" s="8"/>
      <c r="D857" s="8"/>
      <c r="E857" s="8"/>
      <c r="F857" s="54"/>
      <c r="G857" s="8"/>
      <c r="H857" s="8"/>
      <c r="I857" s="8"/>
      <c r="J857" s="8"/>
      <c r="K857" s="8"/>
      <c r="L857" s="8"/>
      <c r="M857" s="8"/>
      <c r="N857" s="8"/>
      <c r="O857" s="8"/>
      <c r="P857" s="8"/>
      <c r="Q857" s="8"/>
      <c r="R857" s="8"/>
      <c r="S857" s="8"/>
      <c r="T857" s="8"/>
      <c r="U857" s="53"/>
      <c r="V857" s="53"/>
      <c r="W857" s="53"/>
      <c r="X857" s="53"/>
      <c r="Y857" s="53"/>
      <c r="Z857" s="53"/>
      <c r="AA857" s="53"/>
      <c r="AB857" s="53"/>
      <c r="AC857" s="53"/>
      <c r="AD857" s="53"/>
      <c r="AE857" s="53"/>
      <c r="AF857" s="53"/>
      <c r="AG857" s="8"/>
      <c r="AH857" s="8"/>
      <c r="AI857" s="8"/>
      <c r="AJ857" s="8"/>
      <c r="AK857" s="8"/>
      <c r="AL857" s="8"/>
      <c r="AM857" s="8"/>
      <c r="AN857" s="8"/>
      <c r="AO857" s="8"/>
      <c r="AP857" s="8"/>
      <c r="AQ857" s="8"/>
      <c r="AR857" s="8"/>
      <c r="AS857" s="8"/>
      <c r="AT857" s="8"/>
      <c r="AU857" s="8"/>
      <c r="AV857" s="8"/>
      <c r="AW857" s="8"/>
      <c r="AX857" s="8"/>
      <c r="AY857" s="8"/>
      <c r="AZ857" s="8"/>
      <c r="BA857" s="8"/>
      <c r="BB857" s="8"/>
      <c r="BC857" s="8"/>
      <c r="BD857" s="8"/>
      <c r="BE857" s="8"/>
    </row>
    <row r="858" spans="1:57">
      <c r="A858" s="8"/>
      <c r="B858" s="8"/>
      <c r="C858" s="8"/>
      <c r="D858" s="8"/>
      <c r="E858" s="8"/>
      <c r="F858" s="54"/>
      <c r="G858" s="8"/>
      <c r="H858" s="8"/>
      <c r="I858" s="8"/>
      <c r="J858" s="8"/>
      <c r="K858" s="8"/>
      <c r="L858" s="8"/>
      <c r="M858" s="8"/>
      <c r="N858" s="8"/>
      <c r="O858" s="8"/>
      <c r="P858" s="8"/>
      <c r="Q858" s="8"/>
      <c r="R858" s="8"/>
      <c r="S858" s="8"/>
      <c r="T858" s="8"/>
      <c r="U858" s="53"/>
      <c r="V858" s="53"/>
      <c r="W858" s="53"/>
      <c r="X858" s="53"/>
      <c r="Y858" s="53"/>
      <c r="Z858" s="53"/>
      <c r="AA858" s="53"/>
      <c r="AB858" s="53"/>
      <c r="AC858" s="53"/>
      <c r="AD858" s="53"/>
      <c r="AE858" s="53"/>
      <c r="AF858" s="53"/>
      <c r="AG858" s="8"/>
      <c r="AH858" s="8"/>
      <c r="AI858" s="8"/>
      <c r="AJ858" s="8"/>
      <c r="AK858" s="8"/>
      <c r="AL858" s="8"/>
      <c r="AM858" s="8"/>
      <c r="AN858" s="8"/>
      <c r="AO858" s="8"/>
      <c r="AP858" s="8"/>
      <c r="AQ858" s="8"/>
      <c r="AR858" s="8"/>
      <c r="AS858" s="8"/>
      <c r="AT858" s="8"/>
      <c r="AU858" s="8"/>
      <c r="AV858" s="8"/>
      <c r="AW858" s="8"/>
      <c r="AX858" s="8"/>
      <c r="AY858" s="8"/>
      <c r="AZ858" s="8"/>
      <c r="BA858" s="8"/>
      <c r="BB858" s="8"/>
      <c r="BC858" s="8"/>
      <c r="BD858" s="8"/>
      <c r="BE858" s="8"/>
    </row>
    <row r="859" spans="1:57">
      <c r="A859" s="8"/>
      <c r="B859" s="8"/>
      <c r="C859" s="8"/>
      <c r="D859" s="8"/>
      <c r="E859" s="8"/>
      <c r="F859" s="54"/>
      <c r="G859" s="8"/>
      <c r="H859" s="8"/>
      <c r="I859" s="8"/>
      <c r="J859" s="8"/>
      <c r="K859" s="8"/>
      <c r="L859" s="8"/>
      <c r="M859" s="8"/>
      <c r="N859" s="8"/>
      <c r="O859" s="8"/>
      <c r="P859" s="8"/>
      <c r="Q859" s="8"/>
      <c r="R859" s="8"/>
      <c r="S859" s="8"/>
      <c r="T859" s="8"/>
      <c r="U859" s="53"/>
      <c r="V859" s="53"/>
      <c r="W859" s="53"/>
      <c r="X859" s="53"/>
      <c r="Y859" s="53"/>
      <c r="Z859" s="53"/>
      <c r="AA859" s="53"/>
      <c r="AB859" s="53"/>
      <c r="AC859" s="53"/>
      <c r="AD859" s="53"/>
      <c r="AE859" s="53"/>
      <c r="AF859" s="53"/>
      <c r="AG859" s="8"/>
      <c r="AH859" s="8"/>
      <c r="AI859" s="8"/>
      <c r="AJ859" s="8"/>
      <c r="AK859" s="8"/>
      <c r="AL859" s="8"/>
      <c r="AM859" s="8"/>
      <c r="AN859" s="8"/>
      <c r="AO859" s="8"/>
      <c r="AP859" s="8"/>
      <c r="AQ859" s="8"/>
      <c r="AR859" s="8"/>
      <c r="AS859" s="8"/>
      <c r="AT859" s="8"/>
      <c r="AU859" s="8"/>
      <c r="AV859" s="8"/>
      <c r="AW859" s="8"/>
      <c r="AX859" s="8"/>
      <c r="AY859" s="8"/>
      <c r="AZ859" s="8"/>
      <c r="BA859" s="8"/>
      <c r="BB859" s="8"/>
      <c r="BC859" s="8"/>
      <c r="BD859" s="8"/>
      <c r="BE859" s="8"/>
    </row>
    <row r="860" spans="1:57">
      <c r="A860" s="8"/>
      <c r="B860" s="8"/>
      <c r="C860" s="8"/>
      <c r="D860" s="8"/>
      <c r="E860" s="8"/>
      <c r="F860" s="54"/>
      <c r="G860" s="8"/>
      <c r="H860" s="8"/>
      <c r="I860" s="8"/>
      <c r="J860" s="8"/>
      <c r="K860" s="8"/>
      <c r="L860" s="8"/>
      <c r="M860" s="8"/>
      <c r="N860" s="8"/>
      <c r="O860" s="8"/>
      <c r="P860" s="8"/>
      <c r="Q860" s="8"/>
      <c r="R860" s="8"/>
      <c r="S860" s="8"/>
      <c r="T860" s="8"/>
      <c r="U860" s="53"/>
      <c r="V860" s="53"/>
      <c r="W860" s="53"/>
      <c r="X860" s="53"/>
      <c r="Y860" s="53"/>
      <c r="Z860" s="53"/>
      <c r="AA860" s="53"/>
      <c r="AB860" s="53"/>
      <c r="AC860" s="53"/>
      <c r="AD860" s="53"/>
      <c r="AE860" s="53"/>
      <c r="AF860" s="53"/>
      <c r="AG860" s="8"/>
      <c r="AH860" s="8"/>
      <c r="AI860" s="8"/>
      <c r="AJ860" s="8"/>
      <c r="AK860" s="8"/>
      <c r="AL860" s="8"/>
      <c r="AM860" s="8"/>
      <c r="AN860" s="8"/>
      <c r="AO860" s="8"/>
      <c r="AP860" s="8"/>
      <c r="AQ860" s="8"/>
      <c r="AR860" s="8"/>
      <c r="AS860" s="8"/>
      <c r="AT860" s="8"/>
      <c r="AU860" s="8"/>
      <c r="AV860" s="8"/>
      <c r="AW860" s="8"/>
      <c r="AX860" s="8"/>
      <c r="AY860" s="8"/>
      <c r="AZ860" s="8"/>
      <c r="BA860" s="8"/>
      <c r="BB860" s="8"/>
      <c r="BC860" s="8"/>
      <c r="BD860" s="8"/>
      <c r="BE860" s="8"/>
    </row>
    <row r="861" spans="1:57">
      <c r="A861" s="8"/>
      <c r="B861" s="8"/>
      <c r="C861" s="8"/>
      <c r="D861" s="8"/>
      <c r="E861" s="8"/>
      <c r="F861" s="54"/>
      <c r="G861" s="8"/>
      <c r="H861" s="8"/>
      <c r="I861" s="8"/>
      <c r="J861" s="8"/>
      <c r="K861" s="8"/>
      <c r="L861" s="8"/>
      <c r="M861" s="8"/>
      <c r="N861" s="8"/>
      <c r="O861" s="8"/>
      <c r="P861" s="8"/>
      <c r="Q861" s="8"/>
      <c r="R861" s="8"/>
      <c r="S861" s="8"/>
      <c r="T861" s="8"/>
      <c r="U861" s="53"/>
      <c r="V861" s="53"/>
      <c r="W861" s="53"/>
      <c r="X861" s="53"/>
      <c r="Y861" s="53"/>
      <c r="Z861" s="53"/>
      <c r="AA861" s="53"/>
      <c r="AB861" s="53"/>
      <c r="AC861" s="53"/>
      <c r="AD861" s="53"/>
      <c r="AE861" s="53"/>
      <c r="AF861" s="53"/>
      <c r="AG861" s="8"/>
      <c r="AH861" s="8"/>
      <c r="AI861" s="8"/>
      <c r="AJ861" s="8"/>
      <c r="AK861" s="8"/>
      <c r="AL861" s="8"/>
      <c r="AM861" s="8"/>
      <c r="AN861" s="8"/>
      <c r="AO861" s="8"/>
      <c r="AP861" s="8"/>
      <c r="AQ861" s="8"/>
      <c r="AR861" s="8"/>
      <c r="AS861" s="8"/>
      <c r="AT861" s="8"/>
      <c r="AU861" s="8"/>
      <c r="AV861" s="8"/>
      <c r="AW861" s="8"/>
      <c r="AX861" s="8"/>
      <c r="AY861" s="8"/>
      <c r="AZ861" s="8"/>
      <c r="BA861" s="8"/>
      <c r="BB861" s="8"/>
      <c r="BC861" s="8"/>
      <c r="BD861" s="8"/>
      <c r="BE861" s="8"/>
    </row>
    <row r="862" spans="1:57">
      <c r="A862" s="8"/>
      <c r="B862" s="8"/>
      <c r="C862" s="8"/>
      <c r="D862" s="8"/>
      <c r="E862" s="8"/>
      <c r="F862" s="54"/>
      <c r="G862" s="8"/>
      <c r="H862" s="8"/>
      <c r="I862" s="8"/>
      <c r="J862" s="8"/>
      <c r="K862" s="8"/>
      <c r="L862" s="8"/>
      <c r="M862" s="8"/>
      <c r="N862" s="8"/>
      <c r="O862" s="8"/>
      <c r="P862" s="8"/>
      <c r="Q862" s="8"/>
      <c r="R862" s="8"/>
      <c r="S862" s="8"/>
      <c r="T862" s="8"/>
      <c r="U862" s="53"/>
      <c r="V862" s="53"/>
      <c r="W862" s="53"/>
      <c r="X862" s="53"/>
      <c r="Y862" s="53"/>
      <c r="Z862" s="53"/>
      <c r="AA862" s="53"/>
      <c r="AB862" s="53"/>
      <c r="AC862" s="53"/>
      <c r="AD862" s="53"/>
      <c r="AE862" s="53"/>
      <c r="AF862" s="53"/>
      <c r="AG862" s="8"/>
      <c r="AH862" s="8"/>
      <c r="AI862" s="8"/>
      <c r="AJ862" s="8"/>
      <c r="AK862" s="8"/>
      <c r="AL862" s="8"/>
      <c r="AM862" s="8"/>
      <c r="AN862" s="8"/>
      <c r="AO862" s="8"/>
      <c r="AP862" s="8"/>
      <c r="AQ862" s="8"/>
      <c r="AR862" s="8"/>
      <c r="AS862" s="8"/>
      <c r="AT862" s="8"/>
      <c r="AU862" s="8"/>
      <c r="AV862" s="8"/>
      <c r="AW862" s="8"/>
      <c r="AX862" s="8"/>
      <c r="AY862" s="8"/>
      <c r="AZ862" s="8"/>
      <c r="BA862" s="8"/>
      <c r="BB862" s="8"/>
      <c r="BC862" s="8"/>
      <c r="BD862" s="8"/>
      <c r="BE862" s="8"/>
    </row>
    <row r="863" spans="1:57">
      <c r="A863" s="8"/>
      <c r="B863" s="8"/>
      <c r="C863" s="8"/>
      <c r="D863" s="8"/>
      <c r="E863" s="8"/>
      <c r="F863" s="54"/>
      <c r="G863" s="8"/>
      <c r="H863" s="8"/>
      <c r="I863" s="8"/>
      <c r="J863" s="8"/>
      <c r="K863" s="8"/>
      <c r="L863" s="8"/>
      <c r="M863" s="8"/>
      <c r="N863" s="8"/>
      <c r="O863" s="8"/>
      <c r="P863" s="8"/>
      <c r="Q863" s="8"/>
      <c r="R863" s="8"/>
      <c r="S863" s="8"/>
      <c r="T863" s="8"/>
      <c r="U863" s="53"/>
      <c r="V863" s="53"/>
      <c r="W863" s="53"/>
      <c r="X863" s="53"/>
      <c r="Y863" s="53"/>
      <c r="Z863" s="53"/>
      <c r="AA863" s="53"/>
      <c r="AB863" s="53"/>
      <c r="AC863" s="53"/>
      <c r="AD863" s="53"/>
      <c r="AE863" s="53"/>
      <c r="AF863" s="53"/>
      <c r="AG863" s="8"/>
      <c r="AH863" s="8"/>
      <c r="AI863" s="8"/>
      <c r="AJ863" s="8"/>
      <c r="AK863" s="8"/>
      <c r="AL863" s="8"/>
      <c r="AM863" s="8"/>
      <c r="AN863" s="8"/>
      <c r="AO863" s="8"/>
      <c r="AP863" s="8"/>
      <c r="AQ863" s="8"/>
      <c r="AR863" s="8"/>
      <c r="AS863" s="8"/>
      <c r="AT863" s="8"/>
      <c r="AU863" s="8"/>
      <c r="AV863" s="8"/>
      <c r="AW863" s="8"/>
      <c r="AX863" s="8"/>
      <c r="AY863" s="8"/>
      <c r="AZ863" s="8"/>
      <c r="BA863" s="8"/>
      <c r="BB863" s="8"/>
      <c r="BC863" s="8"/>
      <c r="BD863" s="8"/>
      <c r="BE863" s="8"/>
    </row>
    <row r="864" spans="1:57">
      <c r="A864" s="8"/>
      <c r="B864" s="8"/>
      <c r="C864" s="8"/>
      <c r="D864" s="8"/>
      <c r="E864" s="8"/>
      <c r="F864" s="54"/>
      <c r="G864" s="8"/>
      <c r="H864" s="8"/>
      <c r="I864" s="8"/>
      <c r="J864" s="8"/>
      <c r="K864" s="8"/>
      <c r="L864" s="8"/>
      <c r="M864" s="8"/>
      <c r="N864" s="8"/>
      <c r="O864" s="8"/>
      <c r="P864" s="8"/>
      <c r="Q864" s="8"/>
      <c r="R864" s="8"/>
      <c r="S864" s="8"/>
      <c r="T864" s="8"/>
      <c r="U864" s="53"/>
      <c r="V864" s="53"/>
      <c r="W864" s="53"/>
      <c r="X864" s="53"/>
      <c r="Y864" s="53"/>
      <c r="Z864" s="53"/>
      <c r="AA864" s="53"/>
      <c r="AB864" s="53"/>
      <c r="AC864" s="53"/>
      <c r="AD864" s="53"/>
      <c r="AE864" s="53"/>
      <c r="AF864" s="53"/>
      <c r="AG864" s="8"/>
      <c r="AH864" s="8"/>
      <c r="AI864" s="8"/>
      <c r="AJ864" s="8"/>
      <c r="AK864" s="8"/>
      <c r="AL864" s="8"/>
      <c r="AM864" s="8"/>
      <c r="AN864" s="8"/>
      <c r="AO864" s="8"/>
      <c r="AP864" s="8"/>
      <c r="AQ864" s="8"/>
      <c r="AR864" s="8"/>
      <c r="AS864" s="8"/>
      <c r="AT864" s="8"/>
      <c r="AU864" s="8"/>
      <c r="AV864" s="8"/>
      <c r="AW864" s="8"/>
      <c r="AX864" s="8"/>
      <c r="AY864" s="8"/>
      <c r="AZ864" s="8"/>
      <c r="BA864" s="8"/>
      <c r="BB864" s="8"/>
      <c r="BC864" s="8"/>
      <c r="BD864" s="8"/>
      <c r="BE864" s="8"/>
    </row>
    <row r="865" spans="1:57">
      <c r="A865" s="8"/>
      <c r="B865" s="8"/>
      <c r="C865" s="8"/>
      <c r="D865" s="8"/>
      <c r="E865" s="8"/>
      <c r="F865" s="54"/>
      <c r="G865" s="8"/>
      <c r="H865" s="8"/>
      <c r="I865" s="8"/>
      <c r="J865" s="8"/>
      <c r="K865" s="8"/>
      <c r="L865" s="8"/>
      <c r="M865" s="8"/>
      <c r="N865" s="8"/>
      <c r="O865" s="8"/>
      <c r="P865" s="8"/>
      <c r="Q865" s="8"/>
      <c r="R865" s="8"/>
      <c r="S865" s="8"/>
      <c r="T865" s="8"/>
      <c r="U865" s="53"/>
      <c r="V865" s="53"/>
      <c r="W865" s="53"/>
      <c r="X865" s="53"/>
      <c r="Y865" s="53"/>
      <c r="Z865" s="53"/>
      <c r="AA865" s="53"/>
      <c r="AB865" s="53"/>
      <c r="AC865" s="53"/>
      <c r="AD865" s="53"/>
      <c r="AE865" s="53"/>
      <c r="AF865" s="53"/>
      <c r="AG865" s="8"/>
      <c r="AH865" s="8"/>
      <c r="AI865" s="8"/>
      <c r="AJ865" s="8"/>
      <c r="AK865" s="8"/>
      <c r="AL865" s="8"/>
      <c r="AM865" s="8"/>
      <c r="AN865" s="8"/>
      <c r="AO865" s="8"/>
      <c r="AP865" s="8"/>
      <c r="AQ865" s="8"/>
      <c r="AR865" s="8"/>
      <c r="AS865" s="8"/>
      <c r="AT865" s="8"/>
      <c r="AU865" s="8"/>
      <c r="AV865" s="8"/>
      <c r="AW865" s="8"/>
      <c r="AX865" s="8"/>
      <c r="AY865" s="8"/>
      <c r="AZ865" s="8"/>
      <c r="BA865" s="8"/>
      <c r="BB865" s="8"/>
      <c r="BC865" s="8"/>
      <c r="BD865" s="8"/>
      <c r="BE865" s="8"/>
    </row>
    <row r="866" spans="1:57">
      <c r="A866" s="8"/>
      <c r="B866" s="8"/>
      <c r="C866" s="8"/>
      <c r="D866" s="8"/>
      <c r="E866" s="8"/>
      <c r="F866" s="54"/>
      <c r="G866" s="8"/>
      <c r="H866" s="8"/>
      <c r="I866" s="8"/>
      <c r="J866" s="8"/>
      <c r="K866" s="8"/>
      <c r="L866" s="8"/>
      <c r="M866" s="8"/>
      <c r="N866" s="8"/>
      <c r="O866" s="8"/>
      <c r="P866" s="8"/>
      <c r="Q866" s="8"/>
      <c r="R866" s="8"/>
      <c r="S866" s="8"/>
      <c r="T866" s="8"/>
      <c r="U866" s="53"/>
      <c r="V866" s="53"/>
      <c r="W866" s="53"/>
      <c r="X866" s="53"/>
      <c r="Y866" s="53"/>
      <c r="Z866" s="53"/>
      <c r="AA866" s="53"/>
      <c r="AB866" s="53"/>
      <c r="AC866" s="53"/>
      <c r="AD866" s="53"/>
      <c r="AE866" s="53"/>
      <c r="AF866" s="53"/>
      <c r="AG866" s="8"/>
      <c r="AH866" s="8"/>
      <c r="AI866" s="8"/>
      <c r="AJ866" s="8"/>
      <c r="AK866" s="8"/>
      <c r="AL866" s="8"/>
      <c r="AM866" s="8"/>
      <c r="AN866" s="8"/>
      <c r="AO866" s="8"/>
      <c r="AP866" s="8"/>
      <c r="AQ866" s="8"/>
      <c r="AR866" s="8"/>
      <c r="AS866" s="8"/>
      <c r="AT866" s="8"/>
      <c r="AU866" s="8"/>
      <c r="AV866" s="8"/>
      <c r="AW866" s="8"/>
      <c r="AX866" s="8"/>
      <c r="AY866" s="8"/>
      <c r="AZ866" s="8"/>
      <c r="BA866" s="8"/>
      <c r="BB866" s="8"/>
      <c r="BC866" s="8"/>
      <c r="BD866" s="8"/>
      <c r="BE866" s="8"/>
    </row>
    <row r="867" spans="1:57">
      <c r="A867" s="8"/>
      <c r="B867" s="8"/>
      <c r="C867" s="8"/>
      <c r="D867" s="8"/>
      <c r="E867" s="8"/>
      <c r="F867" s="54"/>
      <c r="G867" s="8"/>
      <c r="H867" s="8"/>
      <c r="I867" s="8"/>
      <c r="J867" s="8"/>
      <c r="K867" s="8"/>
      <c r="L867" s="8"/>
      <c r="M867" s="8"/>
      <c r="N867" s="8"/>
      <c r="O867" s="8"/>
      <c r="P867" s="8"/>
      <c r="Q867" s="8"/>
      <c r="R867" s="8"/>
      <c r="S867" s="8"/>
      <c r="T867" s="8"/>
      <c r="U867" s="53"/>
      <c r="V867" s="53"/>
      <c r="W867" s="53"/>
      <c r="X867" s="53"/>
      <c r="Y867" s="53"/>
      <c r="Z867" s="53"/>
      <c r="AA867" s="53"/>
      <c r="AB867" s="53"/>
      <c r="AC867" s="53"/>
      <c r="AD867" s="53"/>
      <c r="AE867" s="53"/>
      <c r="AF867" s="53"/>
      <c r="AG867" s="8"/>
      <c r="AH867" s="8"/>
      <c r="AI867" s="8"/>
      <c r="AJ867" s="8"/>
      <c r="AK867" s="8"/>
      <c r="AL867" s="8"/>
      <c r="AM867" s="8"/>
      <c r="AN867" s="8"/>
      <c r="AO867" s="8"/>
      <c r="AP867" s="8"/>
      <c r="AQ867" s="8"/>
      <c r="AR867" s="8"/>
      <c r="AS867" s="8"/>
      <c r="AT867" s="8"/>
      <c r="AU867" s="8"/>
      <c r="AV867" s="8"/>
      <c r="AW867" s="8"/>
      <c r="AX867" s="8"/>
      <c r="AY867" s="8"/>
      <c r="AZ867" s="8"/>
      <c r="BA867" s="8"/>
      <c r="BB867" s="8"/>
      <c r="BC867" s="8"/>
      <c r="BD867" s="8"/>
      <c r="BE867" s="8"/>
    </row>
    <row r="868" spans="1:57">
      <c r="A868" s="8"/>
      <c r="B868" s="8"/>
      <c r="C868" s="8"/>
      <c r="D868" s="8"/>
      <c r="E868" s="8"/>
      <c r="F868" s="54"/>
      <c r="G868" s="8"/>
      <c r="H868" s="8"/>
      <c r="I868" s="8"/>
      <c r="J868" s="8"/>
      <c r="K868" s="8"/>
      <c r="L868" s="8"/>
      <c r="M868" s="8"/>
      <c r="N868" s="8"/>
      <c r="O868" s="8"/>
      <c r="P868" s="8"/>
      <c r="Q868" s="8"/>
      <c r="R868" s="8"/>
      <c r="S868" s="8"/>
      <c r="T868" s="8"/>
      <c r="U868" s="53"/>
      <c r="V868" s="53"/>
      <c r="W868" s="53"/>
      <c r="X868" s="53"/>
      <c r="Y868" s="53"/>
      <c r="Z868" s="53"/>
      <c r="AA868" s="53"/>
      <c r="AB868" s="53"/>
      <c r="AC868" s="53"/>
      <c r="AD868" s="53"/>
      <c r="AE868" s="53"/>
      <c r="AF868" s="53"/>
      <c r="AG868" s="8"/>
      <c r="AH868" s="8"/>
      <c r="AI868" s="8"/>
      <c r="AJ868" s="8"/>
      <c r="AK868" s="8"/>
      <c r="AL868" s="8"/>
      <c r="AM868" s="8"/>
      <c r="AN868" s="8"/>
      <c r="AO868" s="8"/>
      <c r="AP868" s="8"/>
      <c r="AQ868" s="8"/>
      <c r="AR868" s="8"/>
      <c r="AS868" s="8"/>
      <c r="AT868" s="8"/>
      <c r="AU868" s="8"/>
      <c r="AV868" s="8"/>
      <c r="AW868" s="8"/>
      <c r="AX868" s="8"/>
      <c r="AY868" s="8"/>
      <c r="AZ868" s="8"/>
      <c r="BA868" s="8"/>
      <c r="BB868" s="8"/>
      <c r="BC868" s="8"/>
      <c r="BD868" s="8"/>
      <c r="BE868" s="8"/>
    </row>
    <row r="869" spans="1:57">
      <c r="A869" s="8"/>
      <c r="B869" s="8"/>
      <c r="C869" s="8"/>
      <c r="D869" s="8"/>
      <c r="E869" s="8"/>
      <c r="F869" s="54"/>
      <c r="G869" s="8"/>
      <c r="H869" s="8"/>
      <c r="I869" s="8"/>
      <c r="J869" s="8"/>
      <c r="K869" s="8"/>
      <c r="L869" s="8"/>
      <c r="M869" s="8"/>
      <c r="N869" s="8"/>
      <c r="O869" s="8"/>
      <c r="P869" s="8"/>
      <c r="Q869" s="8"/>
      <c r="R869" s="8"/>
      <c r="S869" s="8"/>
      <c r="T869" s="8"/>
      <c r="U869" s="53"/>
      <c r="V869" s="53"/>
      <c r="W869" s="53"/>
      <c r="X869" s="53"/>
      <c r="Y869" s="53"/>
      <c r="Z869" s="53"/>
      <c r="AA869" s="53"/>
      <c r="AB869" s="53"/>
      <c r="AC869" s="53"/>
      <c r="AD869" s="53"/>
      <c r="AE869" s="53"/>
      <c r="AF869" s="53"/>
      <c r="AG869" s="8"/>
      <c r="AH869" s="8"/>
      <c r="AI869" s="8"/>
      <c r="AJ869" s="8"/>
      <c r="AK869" s="8"/>
      <c r="AL869" s="8"/>
      <c r="AM869" s="8"/>
      <c r="AN869" s="8"/>
      <c r="AO869" s="8"/>
      <c r="AP869" s="8"/>
      <c r="AQ869" s="8"/>
      <c r="AR869" s="8"/>
      <c r="AS869" s="8"/>
      <c r="AT869" s="8"/>
      <c r="AU869" s="8"/>
      <c r="AV869" s="8"/>
      <c r="AW869" s="8"/>
      <c r="AX869" s="8"/>
      <c r="AY869" s="8"/>
      <c r="AZ869" s="8"/>
      <c r="BA869" s="8"/>
      <c r="BB869" s="8"/>
      <c r="BC869" s="8"/>
      <c r="BD869" s="8"/>
      <c r="BE869" s="8"/>
    </row>
    <row r="870" spans="1:57">
      <c r="A870" s="8"/>
      <c r="B870" s="8"/>
      <c r="C870" s="8"/>
      <c r="D870" s="8"/>
      <c r="E870" s="8"/>
      <c r="F870" s="54"/>
      <c r="G870" s="8"/>
      <c r="H870" s="8"/>
      <c r="I870" s="8"/>
      <c r="J870" s="8"/>
      <c r="K870" s="8"/>
      <c r="L870" s="8"/>
      <c r="M870" s="8"/>
      <c r="N870" s="8"/>
      <c r="O870" s="8"/>
      <c r="P870" s="8"/>
      <c r="Q870" s="8"/>
      <c r="R870" s="8"/>
      <c r="S870" s="8"/>
      <c r="T870" s="8"/>
      <c r="U870" s="53"/>
      <c r="V870" s="53"/>
      <c r="W870" s="53"/>
      <c r="X870" s="53"/>
      <c r="Y870" s="53"/>
      <c r="Z870" s="53"/>
      <c r="AA870" s="53"/>
      <c r="AB870" s="53"/>
      <c r="AC870" s="53"/>
      <c r="AD870" s="53"/>
      <c r="AE870" s="53"/>
      <c r="AF870" s="53"/>
      <c r="AG870" s="8"/>
      <c r="AH870" s="8"/>
      <c r="AI870" s="8"/>
      <c r="AJ870" s="8"/>
      <c r="AK870" s="8"/>
      <c r="AL870" s="8"/>
      <c r="AM870" s="8"/>
      <c r="AN870" s="8"/>
      <c r="AO870" s="8"/>
      <c r="AP870" s="8"/>
      <c r="AQ870" s="8"/>
      <c r="AR870" s="8"/>
      <c r="AS870" s="8"/>
      <c r="AT870" s="8"/>
      <c r="AU870" s="8"/>
      <c r="AV870" s="8"/>
      <c r="AW870" s="8"/>
      <c r="AX870" s="8"/>
      <c r="AY870" s="8"/>
      <c r="AZ870" s="8"/>
      <c r="BA870" s="8"/>
      <c r="BB870" s="8"/>
      <c r="BC870" s="8"/>
      <c r="BD870" s="8"/>
      <c r="BE870" s="8"/>
    </row>
    <row r="871" spans="1:57">
      <c r="A871" s="8"/>
      <c r="B871" s="8"/>
      <c r="C871" s="8"/>
      <c r="D871" s="8"/>
      <c r="E871" s="8"/>
      <c r="F871" s="54"/>
      <c r="G871" s="8"/>
      <c r="H871" s="8"/>
      <c r="I871" s="8"/>
      <c r="J871" s="8"/>
      <c r="K871" s="8"/>
      <c r="L871" s="8"/>
      <c r="M871" s="8"/>
      <c r="N871" s="8"/>
      <c r="O871" s="8"/>
      <c r="P871" s="8"/>
      <c r="Q871" s="8"/>
      <c r="R871" s="8"/>
      <c r="S871" s="8"/>
      <c r="T871" s="8"/>
      <c r="U871" s="53"/>
      <c r="V871" s="53"/>
      <c r="W871" s="53"/>
      <c r="X871" s="53"/>
      <c r="Y871" s="53"/>
      <c r="Z871" s="53"/>
      <c r="AA871" s="53"/>
      <c r="AB871" s="53"/>
      <c r="AC871" s="53"/>
      <c r="AD871" s="53"/>
      <c r="AE871" s="53"/>
      <c r="AF871" s="53"/>
      <c r="AG871" s="8"/>
      <c r="AH871" s="8"/>
      <c r="AI871" s="8"/>
      <c r="AJ871" s="8"/>
      <c r="AK871" s="8"/>
      <c r="AL871" s="8"/>
      <c r="AM871" s="8"/>
      <c r="AN871" s="8"/>
      <c r="AO871" s="8"/>
      <c r="AP871" s="8"/>
      <c r="AQ871" s="8"/>
      <c r="AR871" s="8"/>
      <c r="AS871" s="8"/>
      <c r="AT871" s="8"/>
      <c r="AU871" s="8"/>
      <c r="AV871" s="8"/>
      <c r="AW871" s="8"/>
      <c r="AX871" s="8"/>
      <c r="AY871" s="8"/>
      <c r="AZ871" s="8"/>
      <c r="BA871" s="8"/>
      <c r="BB871" s="8"/>
      <c r="BC871" s="8"/>
      <c r="BD871" s="8"/>
      <c r="BE871" s="8"/>
    </row>
    <row r="872" spans="1:57">
      <c r="A872" s="8"/>
      <c r="B872" s="8"/>
      <c r="C872" s="8"/>
      <c r="D872" s="8"/>
      <c r="E872" s="8"/>
      <c r="F872" s="54"/>
      <c r="G872" s="8"/>
      <c r="H872" s="8"/>
      <c r="I872" s="8"/>
      <c r="J872" s="8"/>
      <c r="K872" s="8"/>
      <c r="L872" s="8"/>
      <c r="M872" s="8"/>
      <c r="N872" s="8"/>
      <c r="O872" s="8"/>
      <c r="P872" s="8"/>
      <c r="Q872" s="8"/>
      <c r="R872" s="8"/>
      <c r="S872" s="8"/>
      <c r="T872" s="8"/>
      <c r="U872" s="53"/>
      <c r="V872" s="53"/>
      <c r="W872" s="53"/>
      <c r="X872" s="53"/>
      <c r="Y872" s="53"/>
      <c r="Z872" s="53"/>
      <c r="AA872" s="53"/>
      <c r="AB872" s="53"/>
      <c r="AC872" s="53"/>
      <c r="AD872" s="53"/>
      <c r="AE872" s="53"/>
      <c r="AF872" s="53"/>
      <c r="AG872" s="8"/>
      <c r="AH872" s="8"/>
      <c r="AI872" s="8"/>
      <c r="AJ872" s="8"/>
      <c r="AK872" s="8"/>
      <c r="AL872" s="8"/>
      <c r="AM872" s="8"/>
      <c r="AN872" s="8"/>
      <c r="AO872" s="8"/>
      <c r="AP872" s="8"/>
      <c r="AQ872" s="8"/>
      <c r="AR872" s="8"/>
      <c r="AS872" s="8"/>
      <c r="AT872" s="8"/>
      <c r="AU872" s="8"/>
      <c r="AV872" s="8"/>
      <c r="AW872" s="8"/>
      <c r="AX872" s="8"/>
      <c r="AY872" s="8"/>
      <c r="AZ872" s="8"/>
      <c r="BA872" s="8"/>
      <c r="BB872" s="8"/>
      <c r="BC872" s="8"/>
      <c r="BD872" s="8"/>
      <c r="BE872" s="8"/>
    </row>
    <row r="873" spans="1:57">
      <c r="A873" s="8"/>
      <c r="B873" s="8"/>
      <c r="C873" s="8"/>
      <c r="D873" s="8"/>
      <c r="E873" s="8"/>
      <c r="F873" s="54"/>
      <c r="G873" s="8"/>
      <c r="H873" s="8"/>
      <c r="I873" s="8"/>
      <c r="J873" s="8"/>
      <c r="K873" s="8"/>
      <c r="L873" s="8"/>
      <c r="M873" s="8"/>
      <c r="N873" s="8"/>
      <c r="O873" s="8"/>
      <c r="P873" s="8"/>
      <c r="Q873" s="8"/>
      <c r="R873" s="8"/>
      <c r="S873" s="8"/>
      <c r="T873" s="8"/>
      <c r="U873" s="53"/>
      <c r="V873" s="53"/>
      <c r="W873" s="53"/>
      <c r="X873" s="53"/>
      <c r="Y873" s="53"/>
      <c r="Z873" s="53"/>
      <c r="AA873" s="53"/>
      <c r="AB873" s="53"/>
      <c r="AC873" s="53"/>
      <c r="AD873" s="53"/>
      <c r="AE873" s="53"/>
      <c r="AF873" s="53"/>
      <c r="AG873" s="8"/>
      <c r="AH873" s="8"/>
      <c r="AI873" s="8"/>
      <c r="AJ873" s="8"/>
      <c r="AK873" s="8"/>
      <c r="AL873" s="8"/>
      <c r="AM873" s="8"/>
      <c r="AN873" s="8"/>
      <c r="AO873" s="8"/>
      <c r="AP873" s="8"/>
      <c r="AQ873" s="8"/>
      <c r="AR873" s="8"/>
      <c r="AS873" s="8"/>
      <c r="AT873" s="8"/>
      <c r="AU873" s="8"/>
      <c r="AV873" s="8"/>
      <c r="AW873" s="8"/>
      <c r="AX873" s="8"/>
      <c r="AY873" s="8"/>
      <c r="AZ873" s="8"/>
      <c r="BA873" s="8"/>
      <c r="BB873" s="8"/>
      <c r="BC873" s="8"/>
      <c r="BD873" s="8"/>
      <c r="BE873" s="8"/>
    </row>
    <row r="874" spans="1:57">
      <c r="A874" s="8"/>
      <c r="B874" s="8"/>
      <c r="C874" s="8"/>
      <c r="D874" s="8"/>
      <c r="E874" s="8"/>
      <c r="F874" s="54"/>
      <c r="G874" s="8"/>
      <c r="H874" s="8"/>
      <c r="I874" s="8"/>
      <c r="J874" s="8"/>
      <c r="K874" s="8"/>
      <c r="L874" s="8"/>
      <c r="M874" s="8"/>
      <c r="N874" s="8"/>
      <c r="O874" s="8"/>
      <c r="P874" s="8"/>
      <c r="Q874" s="8"/>
      <c r="R874" s="8"/>
      <c r="S874" s="8"/>
      <c r="T874" s="8"/>
      <c r="U874" s="53"/>
      <c r="V874" s="53"/>
      <c r="W874" s="53"/>
      <c r="X874" s="53"/>
      <c r="Y874" s="53"/>
      <c r="Z874" s="53"/>
      <c r="AA874" s="53"/>
      <c r="AB874" s="53"/>
      <c r="AC874" s="53"/>
      <c r="AD874" s="53"/>
      <c r="AE874" s="53"/>
      <c r="AF874" s="53"/>
      <c r="AG874" s="8"/>
      <c r="AH874" s="8"/>
      <c r="AI874" s="8"/>
      <c r="AJ874" s="8"/>
      <c r="AK874" s="8"/>
      <c r="AL874" s="8"/>
      <c r="AM874" s="8"/>
      <c r="AN874" s="8"/>
      <c r="AO874" s="8"/>
      <c r="AP874" s="8"/>
      <c r="AQ874" s="8"/>
      <c r="AR874" s="8"/>
      <c r="AS874" s="8"/>
      <c r="AT874" s="8"/>
      <c r="AU874" s="8"/>
      <c r="AV874" s="8"/>
      <c r="AW874" s="8"/>
      <c r="AX874" s="8"/>
      <c r="AY874" s="8"/>
      <c r="AZ874" s="8"/>
      <c r="BA874" s="8"/>
      <c r="BB874" s="8"/>
      <c r="BC874" s="8"/>
      <c r="BD874" s="8"/>
      <c r="BE874" s="8"/>
    </row>
    <row r="875" spans="1:57">
      <c r="A875" s="8"/>
      <c r="B875" s="8"/>
      <c r="C875" s="8"/>
      <c r="D875" s="8"/>
      <c r="E875" s="8"/>
      <c r="F875" s="54"/>
      <c r="G875" s="8"/>
      <c r="H875" s="8"/>
      <c r="I875" s="8"/>
      <c r="J875" s="8"/>
      <c r="K875" s="8"/>
      <c r="L875" s="8"/>
      <c r="M875" s="8"/>
      <c r="N875" s="8"/>
      <c r="O875" s="8"/>
      <c r="P875" s="8"/>
      <c r="Q875" s="8"/>
      <c r="R875" s="8"/>
      <c r="S875" s="8"/>
      <c r="T875" s="8"/>
      <c r="U875" s="53"/>
      <c r="V875" s="53"/>
      <c r="W875" s="53"/>
      <c r="X875" s="53"/>
      <c r="Y875" s="53"/>
      <c r="Z875" s="53"/>
      <c r="AA875" s="53"/>
      <c r="AB875" s="53"/>
      <c r="AC875" s="53"/>
      <c r="AD875" s="53"/>
      <c r="AE875" s="53"/>
      <c r="AF875" s="53"/>
      <c r="AG875" s="8"/>
      <c r="AH875" s="8"/>
      <c r="AI875" s="8"/>
      <c r="AJ875" s="8"/>
      <c r="AK875" s="8"/>
      <c r="AL875" s="8"/>
      <c r="AM875" s="8"/>
      <c r="AN875" s="8"/>
      <c r="AO875" s="8"/>
      <c r="AP875" s="8"/>
      <c r="AQ875" s="8"/>
      <c r="AR875" s="8"/>
      <c r="AS875" s="8"/>
      <c r="AT875" s="8"/>
      <c r="AU875" s="8"/>
      <c r="AV875" s="8"/>
      <c r="AW875" s="8"/>
      <c r="AX875" s="8"/>
      <c r="AY875" s="8"/>
      <c r="AZ875" s="8"/>
      <c r="BA875" s="8"/>
      <c r="BB875" s="8"/>
      <c r="BC875" s="8"/>
      <c r="BD875" s="8"/>
      <c r="BE875" s="8"/>
    </row>
    <row r="876" spans="1:57">
      <c r="A876" s="8"/>
      <c r="B876" s="8"/>
      <c r="C876" s="8"/>
      <c r="D876" s="8"/>
      <c r="E876" s="8"/>
      <c r="F876" s="54"/>
      <c r="G876" s="8"/>
      <c r="H876" s="8"/>
      <c r="I876" s="8"/>
      <c r="J876" s="8"/>
      <c r="K876" s="8"/>
      <c r="L876" s="8"/>
      <c r="M876" s="8"/>
      <c r="N876" s="8"/>
      <c r="O876" s="8"/>
      <c r="P876" s="8"/>
      <c r="Q876" s="8"/>
      <c r="R876" s="8"/>
      <c r="S876" s="8"/>
      <c r="T876" s="8"/>
      <c r="U876" s="53"/>
      <c r="V876" s="53"/>
      <c r="W876" s="53"/>
      <c r="X876" s="53"/>
      <c r="Y876" s="53"/>
      <c r="Z876" s="53"/>
      <c r="AA876" s="53"/>
      <c r="AB876" s="53"/>
      <c r="AC876" s="53"/>
      <c r="AD876" s="53"/>
      <c r="AE876" s="53"/>
      <c r="AF876" s="53"/>
      <c r="AG876" s="8"/>
      <c r="AH876" s="8"/>
      <c r="AI876" s="8"/>
      <c r="AJ876" s="8"/>
      <c r="AK876" s="8"/>
      <c r="AL876" s="8"/>
      <c r="AM876" s="8"/>
      <c r="AN876" s="8"/>
      <c r="AO876" s="8"/>
      <c r="AP876" s="8"/>
      <c r="AQ876" s="8"/>
      <c r="AR876" s="8"/>
      <c r="AS876" s="8"/>
      <c r="AT876" s="8"/>
      <c r="AU876" s="8"/>
      <c r="AV876" s="8"/>
      <c r="AW876" s="8"/>
      <c r="AX876" s="8"/>
      <c r="AY876" s="8"/>
      <c r="AZ876" s="8"/>
      <c r="BA876" s="8"/>
      <c r="BB876" s="8"/>
      <c r="BC876" s="8"/>
      <c r="BD876" s="8"/>
      <c r="BE876" s="8"/>
    </row>
    <row r="877" spans="1:57">
      <c r="A877" s="8"/>
      <c r="B877" s="8"/>
      <c r="C877" s="8"/>
      <c r="D877" s="8"/>
      <c r="E877" s="8"/>
      <c r="F877" s="54"/>
      <c r="G877" s="8"/>
      <c r="H877" s="8"/>
      <c r="I877" s="8"/>
      <c r="J877" s="8"/>
      <c r="K877" s="8"/>
      <c r="L877" s="8"/>
      <c r="M877" s="8"/>
      <c r="N877" s="8"/>
      <c r="O877" s="8"/>
      <c r="P877" s="8"/>
      <c r="Q877" s="8"/>
      <c r="R877" s="8"/>
      <c r="S877" s="8"/>
      <c r="T877" s="8"/>
      <c r="U877" s="53"/>
      <c r="V877" s="53"/>
      <c r="W877" s="53"/>
      <c r="X877" s="53"/>
      <c r="Y877" s="53"/>
      <c r="Z877" s="53"/>
      <c r="AA877" s="53"/>
      <c r="AB877" s="53"/>
      <c r="AC877" s="53"/>
      <c r="AD877" s="53"/>
      <c r="AE877" s="53"/>
      <c r="AF877" s="53"/>
      <c r="AG877" s="8"/>
      <c r="AH877" s="8"/>
      <c r="AI877" s="8"/>
      <c r="AJ877" s="8"/>
      <c r="AK877" s="8"/>
      <c r="AL877" s="8"/>
      <c r="AM877" s="8"/>
      <c r="AN877" s="8"/>
      <c r="AO877" s="8"/>
      <c r="AP877" s="8"/>
      <c r="AQ877" s="8"/>
      <c r="AR877" s="8"/>
      <c r="AS877" s="8"/>
      <c r="AT877" s="8"/>
      <c r="AU877" s="8"/>
      <c r="AV877" s="8"/>
      <c r="AW877" s="8"/>
      <c r="AX877" s="8"/>
      <c r="AY877" s="8"/>
      <c r="AZ877" s="8"/>
      <c r="BA877" s="8"/>
      <c r="BB877" s="8"/>
      <c r="BC877" s="8"/>
      <c r="BD877" s="8"/>
      <c r="BE877" s="8"/>
    </row>
    <row r="878" spans="1:57">
      <c r="A878" s="8"/>
      <c r="B878" s="8"/>
      <c r="C878" s="8"/>
      <c r="D878" s="8"/>
      <c r="E878" s="8"/>
      <c r="F878" s="54"/>
      <c r="G878" s="8"/>
      <c r="H878" s="8"/>
      <c r="I878" s="8"/>
      <c r="J878" s="8"/>
      <c r="K878" s="8"/>
      <c r="L878" s="8"/>
      <c r="M878" s="8"/>
      <c r="N878" s="8"/>
      <c r="O878" s="8"/>
      <c r="P878" s="8"/>
      <c r="Q878" s="8"/>
      <c r="R878" s="8"/>
      <c r="S878" s="8"/>
      <c r="T878" s="8"/>
      <c r="U878" s="53"/>
      <c r="V878" s="53"/>
      <c r="W878" s="53"/>
      <c r="X878" s="53"/>
      <c r="Y878" s="53"/>
      <c r="Z878" s="53"/>
      <c r="AA878" s="53"/>
      <c r="AB878" s="53"/>
      <c r="AC878" s="53"/>
      <c r="AD878" s="53"/>
      <c r="AE878" s="53"/>
      <c r="AF878" s="53"/>
      <c r="AG878" s="8"/>
      <c r="AH878" s="8"/>
      <c r="AI878" s="8"/>
      <c r="AJ878" s="8"/>
      <c r="AK878" s="8"/>
      <c r="AL878" s="8"/>
      <c r="AM878" s="8"/>
      <c r="AN878" s="8"/>
      <c r="AO878" s="8"/>
      <c r="AP878" s="8"/>
      <c r="AQ878" s="8"/>
      <c r="AR878" s="8"/>
      <c r="AS878" s="8"/>
      <c r="AT878" s="8"/>
      <c r="AU878" s="8"/>
      <c r="AV878" s="8"/>
      <c r="AW878" s="8"/>
      <c r="AX878" s="8"/>
      <c r="AY878" s="8"/>
      <c r="AZ878" s="8"/>
      <c r="BA878" s="8"/>
      <c r="BB878" s="8"/>
      <c r="BC878" s="8"/>
      <c r="BD878" s="8"/>
      <c r="BE878" s="8"/>
    </row>
    <row r="879" spans="1:57">
      <c r="A879" s="8"/>
      <c r="B879" s="8"/>
      <c r="C879" s="8"/>
      <c r="D879" s="8"/>
      <c r="E879" s="8"/>
      <c r="F879" s="54"/>
      <c r="G879" s="8"/>
      <c r="H879" s="8"/>
      <c r="I879" s="8"/>
      <c r="J879" s="8"/>
      <c r="K879" s="8"/>
      <c r="L879" s="8"/>
      <c r="M879" s="8"/>
      <c r="N879" s="8"/>
      <c r="O879" s="8"/>
      <c r="P879" s="8"/>
      <c r="Q879" s="8"/>
      <c r="R879" s="8"/>
      <c r="S879" s="8"/>
      <c r="T879" s="8"/>
      <c r="U879" s="53"/>
      <c r="V879" s="53"/>
      <c r="W879" s="53"/>
      <c r="X879" s="53"/>
      <c r="Y879" s="53"/>
      <c r="Z879" s="53"/>
      <c r="AA879" s="53"/>
      <c r="AB879" s="53"/>
      <c r="AC879" s="53"/>
      <c r="AD879" s="53"/>
      <c r="AE879" s="53"/>
      <c r="AF879" s="53"/>
      <c r="AG879" s="8"/>
      <c r="AH879" s="8"/>
      <c r="AI879" s="8"/>
      <c r="AJ879" s="8"/>
      <c r="AK879" s="8"/>
      <c r="AL879" s="8"/>
      <c r="AM879" s="8"/>
      <c r="AN879" s="8"/>
      <c r="AO879" s="8"/>
      <c r="AP879" s="8"/>
      <c r="AQ879" s="8"/>
      <c r="AR879" s="8"/>
      <c r="AS879" s="8"/>
      <c r="AT879" s="8"/>
      <c r="AU879" s="8"/>
      <c r="AV879" s="8"/>
      <c r="AW879" s="8"/>
      <c r="AX879" s="8"/>
      <c r="AY879" s="8"/>
      <c r="AZ879" s="8"/>
      <c r="BA879" s="8"/>
      <c r="BB879" s="8"/>
      <c r="BC879" s="8"/>
      <c r="BD879" s="8"/>
      <c r="BE879" s="8"/>
    </row>
    <row r="880" spans="1:57">
      <c r="A880" s="8"/>
      <c r="B880" s="8"/>
      <c r="C880" s="8"/>
      <c r="D880" s="8"/>
      <c r="E880" s="8"/>
      <c r="F880" s="54"/>
      <c r="G880" s="8"/>
      <c r="H880" s="8"/>
      <c r="I880" s="8"/>
      <c r="J880" s="8"/>
      <c r="K880" s="8"/>
      <c r="L880" s="8"/>
      <c r="M880" s="8"/>
      <c r="N880" s="8"/>
      <c r="O880" s="8"/>
      <c r="P880" s="8"/>
      <c r="Q880" s="8"/>
      <c r="R880" s="8"/>
      <c r="S880" s="8"/>
      <c r="T880" s="8"/>
      <c r="U880" s="53"/>
      <c r="V880" s="53"/>
      <c r="W880" s="53"/>
      <c r="X880" s="53"/>
      <c r="Y880" s="53"/>
      <c r="Z880" s="53"/>
      <c r="AA880" s="53"/>
      <c r="AB880" s="53"/>
      <c r="AC880" s="53"/>
      <c r="AD880" s="53"/>
      <c r="AE880" s="53"/>
      <c r="AF880" s="53"/>
      <c r="AG880" s="8"/>
      <c r="AH880" s="8"/>
      <c r="AI880" s="8"/>
      <c r="AJ880" s="8"/>
      <c r="AK880" s="8"/>
      <c r="AL880" s="8"/>
      <c r="AM880" s="8"/>
      <c r="AN880" s="8"/>
      <c r="AO880" s="8"/>
      <c r="AP880" s="8"/>
      <c r="AQ880" s="8"/>
      <c r="AR880" s="8"/>
      <c r="AS880" s="8"/>
      <c r="AT880" s="8"/>
      <c r="AU880" s="8"/>
      <c r="AV880" s="8"/>
      <c r="AW880" s="8"/>
      <c r="AX880" s="8"/>
      <c r="AY880" s="8"/>
      <c r="AZ880" s="8"/>
      <c r="BA880" s="8"/>
      <c r="BB880" s="8"/>
      <c r="BC880" s="8"/>
      <c r="BD880" s="8"/>
      <c r="BE880" s="8"/>
    </row>
    <row r="881" spans="1:57">
      <c r="A881" s="8"/>
      <c r="B881" s="8"/>
      <c r="C881" s="8"/>
      <c r="D881" s="8"/>
      <c r="E881" s="8"/>
      <c r="F881" s="54"/>
      <c r="G881" s="8"/>
      <c r="H881" s="8"/>
      <c r="I881" s="8"/>
      <c r="J881" s="8"/>
      <c r="K881" s="8"/>
      <c r="L881" s="8"/>
      <c r="M881" s="8"/>
      <c r="N881" s="8"/>
      <c r="O881" s="8"/>
      <c r="P881" s="8"/>
      <c r="Q881" s="8"/>
      <c r="R881" s="8"/>
      <c r="S881" s="8"/>
      <c r="T881" s="8"/>
      <c r="U881" s="53"/>
      <c r="V881" s="53"/>
      <c r="W881" s="53"/>
      <c r="X881" s="53"/>
      <c r="Y881" s="53"/>
      <c r="Z881" s="53"/>
      <c r="AA881" s="53"/>
      <c r="AB881" s="53"/>
      <c r="AC881" s="53"/>
      <c r="AD881" s="53"/>
      <c r="AE881" s="53"/>
      <c r="AF881" s="53"/>
      <c r="AG881" s="8"/>
      <c r="AH881" s="8"/>
      <c r="AI881" s="8"/>
      <c r="AJ881" s="8"/>
      <c r="AK881" s="8"/>
      <c r="AL881" s="8"/>
      <c r="AM881" s="8"/>
      <c r="AN881" s="8"/>
      <c r="AO881" s="8"/>
      <c r="AP881" s="8"/>
      <c r="AQ881" s="8"/>
      <c r="AR881" s="8"/>
      <c r="AS881" s="8"/>
      <c r="AT881" s="8"/>
      <c r="AU881" s="8"/>
      <c r="AV881" s="8"/>
      <c r="AW881" s="8"/>
      <c r="AX881" s="8"/>
      <c r="AY881" s="8"/>
      <c r="AZ881" s="8"/>
      <c r="BA881" s="8"/>
      <c r="BB881" s="8"/>
      <c r="BC881" s="8"/>
      <c r="BD881" s="8"/>
      <c r="BE881" s="8"/>
    </row>
    <row r="882" spans="1:57">
      <c r="A882" s="8"/>
      <c r="B882" s="8"/>
      <c r="C882" s="8"/>
      <c r="D882" s="8"/>
      <c r="E882" s="8"/>
      <c r="F882" s="54"/>
      <c r="G882" s="8"/>
      <c r="H882" s="8"/>
      <c r="I882" s="8"/>
      <c r="J882" s="8"/>
      <c r="K882" s="8"/>
      <c r="L882" s="8"/>
      <c r="M882" s="8"/>
      <c r="N882" s="8"/>
      <c r="O882" s="8"/>
      <c r="P882" s="8"/>
      <c r="Q882" s="8"/>
      <c r="R882" s="8"/>
      <c r="S882" s="8"/>
      <c r="T882" s="8"/>
      <c r="U882" s="53"/>
      <c r="V882" s="53"/>
      <c r="W882" s="53"/>
      <c r="X882" s="53"/>
      <c r="Y882" s="53"/>
      <c r="Z882" s="53"/>
      <c r="AA882" s="53"/>
      <c r="AB882" s="53"/>
      <c r="AC882" s="53"/>
      <c r="AD882" s="53"/>
      <c r="AE882" s="53"/>
      <c r="AF882" s="53"/>
      <c r="AG882" s="8"/>
      <c r="AH882" s="8"/>
      <c r="AI882" s="8"/>
      <c r="AJ882" s="8"/>
      <c r="AK882" s="8"/>
      <c r="AL882" s="8"/>
      <c r="AM882" s="8"/>
      <c r="AN882" s="8"/>
      <c r="AO882" s="8"/>
      <c r="AP882" s="8"/>
      <c r="AQ882" s="8"/>
      <c r="AR882" s="8"/>
      <c r="AS882" s="8"/>
      <c r="AT882" s="8"/>
      <c r="AU882" s="8"/>
      <c r="AV882" s="8"/>
      <c r="AW882" s="8"/>
      <c r="AX882" s="8"/>
      <c r="AY882" s="8"/>
      <c r="AZ882" s="8"/>
      <c r="BA882" s="8"/>
      <c r="BB882" s="8"/>
      <c r="BC882" s="8"/>
      <c r="BD882" s="8"/>
      <c r="BE882" s="8"/>
    </row>
    <row r="883" spans="1:57">
      <c r="A883" s="8"/>
      <c r="B883" s="8"/>
      <c r="C883" s="8"/>
      <c r="D883" s="8"/>
      <c r="E883" s="8"/>
      <c r="F883" s="54"/>
      <c r="G883" s="8"/>
      <c r="H883" s="8"/>
      <c r="I883" s="8"/>
      <c r="J883" s="8"/>
      <c r="K883" s="8"/>
      <c r="L883" s="8"/>
      <c r="M883" s="8"/>
      <c r="N883" s="8"/>
      <c r="O883" s="8"/>
      <c r="P883" s="8"/>
      <c r="Q883" s="8"/>
      <c r="R883" s="8"/>
      <c r="S883" s="8"/>
      <c r="T883" s="8"/>
      <c r="U883" s="53"/>
      <c r="V883" s="53"/>
      <c r="W883" s="53"/>
      <c r="X883" s="53"/>
      <c r="Y883" s="53"/>
      <c r="Z883" s="53"/>
      <c r="AA883" s="53"/>
      <c r="AB883" s="53"/>
      <c r="AC883" s="53"/>
      <c r="AD883" s="53"/>
      <c r="AE883" s="53"/>
      <c r="AF883" s="53"/>
      <c r="AG883" s="8"/>
      <c r="AH883" s="8"/>
      <c r="AI883" s="8"/>
      <c r="AJ883" s="8"/>
      <c r="AK883" s="8"/>
      <c r="AL883" s="8"/>
      <c r="AM883" s="8"/>
      <c r="AN883" s="8"/>
      <c r="AO883" s="8"/>
      <c r="AP883" s="8"/>
      <c r="AQ883" s="8"/>
      <c r="AR883" s="8"/>
      <c r="AS883" s="8"/>
      <c r="AT883" s="8"/>
      <c r="AU883" s="8"/>
      <c r="AV883" s="8"/>
      <c r="AW883" s="8"/>
      <c r="AX883" s="8"/>
      <c r="AY883" s="8"/>
      <c r="AZ883" s="8"/>
      <c r="BA883" s="8"/>
      <c r="BB883" s="8"/>
      <c r="BC883" s="8"/>
      <c r="BD883" s="8"/>
      <c r="BE883" s="8"/>
    </row>
    <row r="884" spans="1:57">
      <c r="A884" s="8"/>
      <c r="B884" s="8"/>
      <c r="C884" s="8"/>
      <c r="D884" s="8"/>
      <c r="E884" s="8"/>
      <c r="F884" s="54"/>
      <c r="G884" s="8"/>
      <c r="H884" s="8"/>
      <c r="I884" s="8"/>
      <c r="J884" s="8"/>
      <c r="K884" s="8"/>
      <c r="L884" s="8"/>
      <c r="M884" s="8"/>
      <c r="N884" s="8"/>
      <c r="O884" s="8"/>
      <c r="P884" s="8"/>
      <c r="Q884" s="8"/>
      <c r="R884" s="8"/>
      <c r="S884" s="8"/>
      <c r="T884" s="8"/>
      <c r="U884" s="53"/>
      <c r="V884" s="53"/>
      <c r="W884" s="53"/>
      <c r="X884" s="53"/>
      <c r="Y884" s="53"/>
      <c r="Z884" s="53"/>
      <c r="AA884" s="53"/>
      <c r="AB884" s="53"/>
      <c r="AC884" s="53"/>
      <c r="AD884" s="53"/>
      <c r="AE884" s="53"/>
      <c r="AF884" s="53"/>
      <c r="AG884" s="8"/>
      <c r="AH884" s="8"/>
      <c r="AI884" s="8"/>
      <c r="AJ884" s="8"/>
      <c r="AK884" s="8"/>
      <c r="AL884" s="8"/>
      <c r="AM884" s="8"/>
      <c r="AN884" s="8"/>
      <c r="AO884" s="8"/>
      <c r="AP884" s="8"/>
      <c r="AQ884" s="8"/>
      <c r="AR884" s="8"/>
      <c r="AS884" s="8"/>
      <c r="AT884" s="8"/>
      <c r="AU884" s="8"/>
      <c r="AV884" s="8"/>
      <c r="AW884" s="8"/>
      <c r="AX884" s="8"/>
      <c r="AY884" s="8"/>
      <c r="AZ884" s="8"/>
      <c r="BA884" s="8"/>
      <c r="BB884" s="8"/>
      <c r="BC884" s="8"/>
      <c r="BD884" s="8"/>
      <c r="BE884" s="8"/>
    </row>
    <row r="885" spans="1:57">
      <c r="A885" s="8"/>
      <c r="B885" s="8"/>
      <c r="C885" s="8"/>
      <c r="D885" s="8"/>
      <c r="E885" s="8"/>
      <c r="F885" s="54"/>
      <c r="G885" s="8"/>
      <c r="H885" s="8"/>
      <c r="I885" s="8"/>
      <c r="J885" s="8"/>
      <c r="K885" s="8"/>
      <c r="L885" s="8"/>
      <c r="M885" s="8"/>
      <c r="N885" s="8"/>
      <c r="O885" s="8"/>
      <c r="P885" s="8"/>
      <c r="Q885" s="8"/>
      <c r="R885" s="8"/>
      <c r="S885" s="8"/>
      <c r="T885" s="8"/>
      <c r="U885" s="53"/>
      <c r="V885" s="53"/>
      <c r="W885" s="53"/>
      <c r="X885" s="53"/>
      <c r="Y885" s="53"/>
      <c r="Z885" s="53"/>
      <c r="AA885" s="53"/>
      <c r="AB885" s="53"/>
      <c r="AC885" s="53"/>
      <c r="AD885" s="53"/>
      <c r="AE885" s="53"/>
      <c r="AF885" s="53"/>
      <c r="AG885" s="8"/>
      <c r="AH885" s="8"/>
      <c r="AI885" s="8"/>
      <c r="AJ885" s="8"/>
      <c r="AK885" s="8"/>
      <c r="AL885" s="8"/>
      <c r="AM885" s="8"/>
      <c r="AN885" s="8"/>
      <c r="AO885" s="8"/>
      <c r="AP885" s="8"/>
      <c r="AQ885" s="8"/>
      <c r="AR885" s="8"/>
      <c r="AS885" s="8"/>
      <c r="AT885" s="8"/>
      <c r="AU885" s="8"/>
      <c r="AV885" s="8"/>
      <c r="AW885" s="8"/>
      <c r="AX885" s="8"/>
      <c r="AY885" s="8"/>
      <c r="AZ885" s="8"/>
      <c r="BA885" s="8"/>
      <c r="BB885" s="8"/>
      <c r="BC885" s="8"/>
      <c r="BD885" s="8"/>
      <c r="BE885" s="8"/>
    </row>
    <row r="886" spans="1:57">
      <c r="A886" s="8"/>
      <c r="B886" s="8"/>
      <c r="C886" s="8"/>
      <c r="D886" s="8"/>
      <c r="E886" s="8"/>
      <c r="F886" s="54"/>
      <c r="G886" s="8"/>
      <c r="H886" s="8"/>
      <c r="I886" s="8"/>
      <c r="J886" s="8"/>
      <c r="K886" s="8"/>
      <c r="L886" s="8"/>
      <c r="M886" s="8"/>
      <c r="N886" s="8"/>
      <c r="O886" s="8"/>
      <c r="P886" s="8"/>
      <c r="Q886" s="8"/>
      <c r="R886" s="8"/>
      <c r="S886" s="8"/>
      <c r="T886" s="8"/>
      <c r="U886" s="53"/>
      <c r="V886" s="53"/>
      <c r="W886" s="53"/>
      <c r="X886" s="53"/>
      <c r="Y886" s="53"/>
      <c r="Z886" s="53"/>
      <c r="AA886" s="53"/>
      <c r="AB886" s="53"/>
      <c r="AC886" s="53"/>
      <c r="AD886" s="53"/>
      <c r="AE886" s="53"/>
      <c r="AF886" s="53"/>
      <c r="AG886" s="8"/>
      <c r="AH886" s="8"/>
      <c r="AI886" s="8"/>
      <c r="AJ886" s="8"/>
      <c r="AK886" s="8"/>
      <c r="AL886" s="8"/>
      <c r="AM886" s="8"/>
      <c r="AN886" s="8"/>
      <c r="AO886" s="8"/>
      <c r="AP886" s="8"/>
      <c r="AQ886" s="8"/>
      <c r="AR886" s="8"/>
      <c r="AS886" s="8"/>
      <c r="AT886" s="8"/>
      <c r="AU886" s="8"/>
      <c r="AV886" s="8"/>
      <c r="AW886" s="8"/>
      <c r="AX886" s="8"/>
      <c r="AY886" s="8"/>
      <c r="AZ886" s="8"/>
      <c r="BA886" s="8"/>
      <c r="BB886" s="8"/>
      <c r="BC886" s="8"/>
      <c r="BD886" s="8"/>
      <c r="BE886" s="8"/>
    </row>
    <row r="887" spans="1:57">
      <c r="A887" s="8"/>
      <c r="B887" s="8"/>
      <c r="C887" s="8"/>
      <c r="D887" s="8"/>
      <c r="E887" s="8"/>
      <c r="F887" s="54"/>
      <c r="G887" s="8"/>
      <c r="H887" s="8"/>
      <c r="I887" s="8"/>
      <c r="J887" s="8"/>
      <c r="K887" s="8"/>
      <c r="L887" s="8"/>
      <c r="M887" s="8"/>
      <c r="N887" s="8"/>
      <c r="O887" s="8"/>
      <c r="P887" s="8"/>
      <c r="Q887" s="8"/>
      <c r="R887" s="8"/>
      <c r="S887" s="8"/>
      <c r="T887" s="8"/>
      <c r="U887" s="53"/>
      <c r="V887" s="53"/>
      <c r="W887" s="53"/>
      <c r="X887" s="53"/>
      <c r="Y887" s="53"/>
      <c r="Z887" s="53"/>
      <c r="AA887" s="53"/>
      <c r="AB887" s="53"/>
      <c r="AC887" s="53"/>
      <c r="AD887" s="53"/>
      <c r="AE887" s="53"/>
      <c r="AF887" s="53"/>
      <c r="AG887" s="8"/>
      <c r="AH887" s="8"/>
      <c r="AI887" s="8"/>
      <c r="AJ887" s="8"/>
      <c r="AK887" s="8"/>
      <c r="AL887" s="8"/>
      <c r="AM887" s="8"/>
      <c r="AN887" s="8"/>
      <c r="AO887" s="8"/>
      <c r="AP887" s="8"/>
      <c r="AQ887" s="8"/>
      <c r="AR887" s="8"/>
      <c r="AS887" s="8"/>
      <c r="AT887" s="8"/>
      <c r="AU887" s="8"/>
      <c r="AV887" s="8"/>
      <c r="AW887" s="8"/>
      <c r="AX887" s="8"/>
      <c r="AY887" s="8"/>
      <c r="AZ887" s="8"/>
      <c r="BA887" s="8"/>
      <c r="BB887" s="8"/>
      <c r="BC887" s="8"/>
      <c r="BD887" s="8"/>
      <c r="BE887" s="8"/>
    </row>
    <row r="888" spans="1:57">
      <c r="A888" s="8"/>
      <c r="B888" s="8"/>
      <c r="C888" s="8"/>
      <c r="D888" s="8"/>
      <c r="E888" s="8"/>
      <c r="F888" s="54"/>
      <c r="G888" s="8"/>
      <c r="H888" s="8"/>
      <c r="I888" s="8"/>
      <c r="J888" s="8"/>
      <c r="K888" s="8"/>
      <c r="L888" s="8"/>
      <c r="M888" s="8"/>
      <c r="N888" s="8"/>
      <c r="O888" s="8"/>
      <c r="P888" s="8"/>
      <c r="Q888" s="8"/>
      <c r="R888" s="8"/>
      <c r="S888" s="8"/>
      <c r="T888" s="8"/>
      <c r="U888" s="53"/>
      <c r="V888" s="53"/>
      <c r="W888" s="53"/>
      <c r="X888" s="53"/>
      <c r="Y888" s="53"/>
      <c r="Z888" s="53"/>
      <c r="AA888" s="53"/>
      <c r="AB888" s="53"/>
      <c r="AC888" s="53"/>
      <c r="AD888" s="53"/>
      <c r="AE888" s="53"/>
      <c r="AF888" s="53"/>
      <c r="AG888" s="8"/>
      <c r="AH888" s="8"/>
      <c r="AI888" s="8"/>
      <c r="AJ888" s="8"/>
      <c r="AK888" s="8"/>
      <c r="AL888" s="8"/>
      <c r="AM888" s="8"/>
      <c r="AN888" s="8"/>
      <c r="AO888" s="8"/>
      <c r="AP888" s="8"/>
      <c r="AQ888" s="8"/>
      <c r="AR888" s="8"/>
      <c r="AS888" s="8"/>
      <c r="AT888" s="8"/>
      <c r="AU888" s="8"/>
      <c r="AV888" s="8"/>
      <c r="AW888" s="8"/>
      <c r="AX888" s="8"/>
      <c r="AY888" s="8"/>
      <c r="AZ888" s="8"/>
      <c r="BA888" s="8"/>
      <c r="BB888" s="8"/>
      <c r="BC888" s="8"/>
      <c r="BD888" s="8"/>
      <c r="BE888" s="8"/>
    </row>
    <row r="889" spans="1:57">
      <c r="A889" s="8"/>
      <c r="B889" s="8"/>
      <c r="C889" s="8"/>
      <c r="D889" s="8"/>
      <c r="E889" s="8"/>
      <c r="F889" s="54"/>
      <c r="G889" s="8"/>
      <c r="H889" s="8"/>
      <c r="I889" s="8"/>
      <c r="J889" s="8"/>
      <c r="K889" s="8"/>
      <c r="L889" s="8"/>
      <c r="M889" s="8"/>
      <c r="N889" s="8"/>
      <c r="O889" s="8"/>
      <c r="P889" s="8"/>
      <c r="Q889" s="8"/>
      <c r="R889" s="8"/>
      <c r="S889" s="8"/>
      <c r="T889" s="8"/>
      <c r="U889" s="53"/>
      <c r="V889" s="53"/>
      <c r="W889" s="53"/>
      <c r="X889" s="53"/>
      <c r="Y889" s="53"/>
      <c r="Z889" s="53"/>
      <c r="AA889" s="53"/>
      <c r="AB889" s="53"/>
      <c r="AC889" s="53"/>
      <c r="AD889" s="53"/>
      <c r="AE889" s="53"/>
      <c r="AF889" s="53"/>
      <c r="AG889" s="8"/>
      <c r="AH889" s="8"/>
      <c r="AI889" s="8"/>
      <c r="AJ889" s="8"/>
      <c r="AK889" s="8"/>
      <c r="AL889" s="8"/>
      <c r="AM889" s="8"/>
      <c r="AN889" s="8"/>
      <c r="AO889" s="8"/>
      <c r="AP889" s="8"/>
      <c r="AQ889" s="8"/>
      <c r="AR889" s="8"/>
      <c r="AS889" s="8"/>
      <c r="AT889" s="8"/>
      <c r="AU889" s="8"/>
      <c r="AV889" s="8"/>
      <c r="AW889" s="8"/>
      <c r="AX889" s="8"/>
      <c r="AY889" s="8"/>
      <c r="AZ889" s="8"/>
      <c r="BA889" s="8"/>
      <c r="BB889" s="8"/>
      <c r="BC889" s="8"/>
      <c r="BD889" s="8"/>
      <c r="BE889" s="8"/>
    </row>
    <row r="890" spans="1:57">
      <c r="A890" s="8"/>
      <c r="B890" s="8"/>
      <c r="C890" s="8"/>
      <c r="D890" s="8"/>
      <c r="E890" s="8"/>
      <c r="F890" s="54"/>
      <c r="G890" s="8"/>
      <c r="H890" s="8"/>
      <c r="I890" s="8"/>
      <c r="J890" s="8"/>
      <c r="K890" s="8"/>
      <c r="L890" s="8"/>
      <c r="M890" s="8"/>
      <c r="N890" s="8"/>
      <c r="O890" s="8"/>
      <c r="P890" s="8"/>
      <c r="Q890" s="8"/>
      <c r="R890" s="8"/>
      <c r="S890" s="8"/>
      <c r="T890" s="8"/>
      <c r="U890" s="53"/>
      <c r="V890" s="53"/>
      <c r="W890" s="53"/>
      <c r="X890" s="53"/>
      <c r="Y890" s="53"/>
      <c r="Z890" s="53"/>
      <c r="AA890" s="53"/>
      <c r="AB890" s="53"/>
      <c r="AC890" s="53"/>
      <c r="AD890" s="53"/>
      <c r="AE890" s="53"/>
      <c r="AF890" s="53"/>
      <c r="AG890" s="8"/>
      <c r="AH890" s="8"/>
      <c r="AI890" s="8"/>
      <c r="AJ890" s="8"/>
      <c r="AK890" s="8"/>
      <c r="AL890" s="8"/>
      <c r="AM890" s="8"/>
      <c r="AN890" s="8"/>
      <c r="AO890" s="8"/>
      <c r="AP890" s="8"/>
      <c r="AQ890" s="8"/>
      <c r="AR890" s="8"/>
      <c r="AS890" s="8"/>
      <c r="AT890" s="8"/>
      <c r="AU890" s="8"/>
      <c r="AV890" s="8"/>
      <c r="AW890" s="8"/>
      <c r="AX890" s="8"/>
      <c r="AY890" s="8"/>
      <c r="AZ890" s="8"/>
      <c r="BA890" s="8"/>
      <c r="BB890" s="8"/>
      <c r="BC890" s="8"/>
      <c r="BD890" s="8"/>
      <c r="BE890" s="8"/>
    </row>
    <row r="891" spans="1:57">
      <c r="A891" s="8"/>
      <c r="B891" s="8"/>
      <c r="C891" s="8"/>
      <c r="D891" s="8"/>
      <c r="E891" s="8"/>
      <c r="F891" s="54"/>
      <c r="G891" s="8"/>
      <c r="H891" s="8"/>
      <c r="I891" s="8"/>
      <c r="J891" s="8"/>
      <c r="K891" s="8"/>
      <c r="L891" s="8"/>
      <c r="M891" s="8"/>
      <c r="N891" s="8"/>
      <c r="O891" s="8"/>
      <c r="P891" s="8"/>
      <c r="Q891" s="8"/>
      <c r="R891" s="8"/>
      <c r="S891" s="8"/>
      <c r="T891" s="8"/>
      <c r="U891" s="53"/>
      <c r="V891" s="53"/>
      <c r="W891" s="53"/>
      <c r="X891" s="53"/>
      <c r="Y891" s="53"/>
      <c r="Z891" s="53"/>
      <c r="AA891" s="53"/>
      <c r="AB891" s="53"/>
      <c r="AC891" s="53"/>
      <c r="AD891" s="53"/>
      <c r="AE891" s="53"/>
      <c r="AF891" s="53"/>
      <c r="AG891" s="8"/>
      <c r="AH891" s="8"/>
      <c r="AI891" s="8"/>
      <c r="AJ891" s="8"/>
      <c r="AK891" s="8"/>
      <c r="AL891" s="8"/>
      <c r="AM891" s="8"/>
      <c r="AN891" s="8"/>
      <c r="AO891" s="8"/>
      <c r="AP891" s="8"/>
      <c r="AQ891" s="8"/>
      <c r="AR891" s="8"/>
      <c r="AS891" s="8"/>
      <c r="AT891" s="8"/>
      <c r="AU891" s="8"/>
      <c r="AV891" s="8"/>
      <c r="AW891" s="8"/>
      <c r="AX891" s="8"/>
      <c r="AY891" s="8"/>
      <c r="AZ891" s="8"/>
      <c r="BA891" s="8"/>
      <c r="BB891" s="8"/>
      <c r="BC891" s="8"/>
      <c r="BD891" s="8"/>
      <c r="BE891" s="8"/>
    </row>
    <row r="892" spans="1:57">
      <c r="A892" s="8"/>
      <c r="B892" s="8"/>
      <c r="C892" s="8"/>
      <c r="D892" s="8"/>
      <c r="E892" s="8"/>
      <c r="F892" s="54"/>
      <c r="G892" s="8"/>
      <c r="H892" s="8"/>
      <c r="I892" s="8"/>
      <c r="J892" s="8"/>
      <c r="K892" s="8"/>
      <c r="L892" s="8"/>
      <c r="M892" s="8"/>
      <c r="N892" s="8"/>
      <c r="O892" s="8"/>
      <c r="P892" s="8"/>
      <c r="Q892" s="8"/>
      <c r="R892" s="8"/>
      <c r="S892" s="8"/>
      <c r="T892" s="8"/>
      <c r="U892" s="53"/>
      <c r="V892" s="53"/>
      <c r="W892" s="53"/>
      <c r="X892" s="53"/>
      <c r="Y892" s="53"/>
      <c r="Z892" s="53"/>
      <c r="AA892" s="53"/>
      <c r="AB892" s="53"/>
      <c r="AC892" s="53"/>
      <c r="AD892" s="53"/>
      <c r="AE892" s="53"/>
      <c r="AF892" s="53"/>
      <c r="AG892" s="8"/>
      <c r="AH892" s="8"/>
      <c r="AI892" s="8"/>
      <c r="AJ892" s="8"/>
      <c r="AK892" s="8"/>
      <c r="AL892" s="8"/>
      <c r="AM892" s="8"/>
      <c r="AN892" s="8"/>
      <c r="AO892" s="8"/>
      <c r="AP892" s="8"/>
      <c r="AQ892" s="8"/>
      <c r="AR892" s="8"/>
      <c r="AS892" s="8"/>
      <c r="AT892" s="8"/>
      <c r="AU892" s="8"/>
      <c r="AV892" s="8"/>
      <c r="AW892" s="8"/>
      <c r="AX892" s="8"/>
      <c r="AY892" s="8"/>
      <c r="AZ892" s="8"/>
      <c r="BA892" s="8"/>
      <c r="BB892" s="8"/>
      <c r="BC892" s="8"/>
      <c r="BD892" s="8"/>
      <c r="BE892" s="8"/>
    </row>
    <row r="893" spans="1:57">
      <c r="A893" s="8"/>
      <c r="B893" s="8"/>
      <c r="C893" s="8"/>
      <c r="D893" s="8"/>
      <c r="E893" s="8"/>
      <c r="F893" s="54"/>
      <c r="G893" s="8"/>
      <c r="H893" s="8"/>
      <c r="I893" s="8"/>
      <c r="J893" s="8"/>
      <c r="K893" s="8"/>
      <c r="L893" s="8"/>
      <c r="M893" s="8"/>
      <c r="N893" s="8"/>
      <c r="O893" s="8"/>
      <c r="P893" s="8"/>
      <c r="Q893" s="8"/>
      <c r="R893" s="8"/>
      <c r="S893" s="8"/>
      <c r="T893" s="8"/>
      <c r="U893" s="53"/>
      <c r="V893" s="53"/>
      <c r="W893" s="53"/>
      <c r="X893" s="53"/>
      <c r="Y893" s="53"/>
      <c r="Z893" s="53"/>
      <c r="AA893" s="53"/>
      <c r="AB893" s="53"/>
      <c r="AC893" s="53"/>
      <c r="AD893" s="53"/>
      <c r="AE893" s="53"/>
      <c r="AF893" s="53"/>
      <c r="AG893" s="8"/>
      <c r="AH893" s="8"/>
      <c r="AI893" s="8"/>
      <c r="AJ893" s="8"/>
      <c r="AK893" s="8"/>
      <c r="AL893" s="8"/>
      <c r="AM893" s="8"/>
      <c r="AN893" s="8"/>
      <c r="AO893" s="8"/>
      <c r="AP893" s="8"/>
      <c r="AQ893" s="8"/>
      <c r="AR893" s="8"/>
      <c r="AS893" s="8"/>
      <c r="AT893" s="8"/>
      <c r="AU893" s="8"/>
      <c r="AV893" s="8"/>
      <c r="AW893" s="8"/>
      <c r="AX893" s="8"/>
      <c r="AY893" s="8"/>
      <c r="AZ893" s="8"/>
      <c r="BA893" s="8"/>
      <c r="BB893" s="8"/>
      <c r="BC893" s="8"/>
      <c r="BD893" s="8"/>
      <c r="BE893" s="8"/>
    </row>
    <row r="894" spans="1:57">
      <c r="A894" s="8"/>
      <c r="B894" s="8"/>
      <c r="C894" s="8"/>
      <c r="D894" s="8"/>
      <c r="E894" s="8"/>
      <c r="F894" s="54"/>
      <c r="G894" s="8"/>
      <c r="H894" s="8"/>
      <c r="I894" s="8"/>
      <c r="J894" s="8"/>
      <c r="K894" s="8"/>
      <c r="L894" s="8"/>
      <c r="M894" s="8"/>
      <c r="N894" s="8"/>
      <c r="O894" s="8"/>
      <c r="P894" s="8"/>
      <c r="Q894" s="8"/>
      <c r="R894" s="8"/>
      <c r="S894" s="8"/>
      <c r="T894" s="8"/>
      <c r="U894" s="53"/>
      <c r="V894" s="53"/>
      <c r="W894" s="53"/>
      <c r="X894" s="53"/>
      <c r="Y894" s="53"/>
      <c r="Z894" s="53"/>
      <c r="AA894" s="53"/>
      <c r="AB894" s="53"/>
      <c r="AC894" s="53"/>
      <c r="AD894" s="53"/>
      <c r="AE894" s="53"/>
      <c r="AF894" s="53"/>
      <c r="AG894" s="8"/>
      <c r="AH894" s="8"/>
      <c r="AI894" s="8"/>
      <c r="AJ894" s="8"/>
      <c r="AK894" s="8"/>
      <c r="AL894" s="8"/>
      <c r="AM894" s="8"/>
      <c r="AN894" s="8"/>
      <c r="AO894" s="8"/>
      <c r="AP894" s="8"/>
      <c r="AQ894" s="8"/>
      <c r="AR894" s="8"/>
      <c r="AS894" s="8"/>
      <c r="AT894" s="8"/>
      <c r="AU894" s="8"/>
      <c r="AV894" s="8"/>
      <c r="AW894" s="8"/>
      <c r="AX894" s="8"/>
      <c r="AY894" s="8"/>
      <c r="AZ894" s="8"/>
      <c r="BA894" s="8"/>
      <c r="BB894" s="8"/>
      <c r="BC894" s="8"/>
      <c r="BD894" s="8"/>
      <c r="BE894" s="8"/>
    </row>
    <row r="895" spans="1:57">
      <c r="A895" s="8"/>
      <c r="B895" s="8"/>
      <c r="C895" s="8"/>
      <c r="D895" s="8"/>
      <c r="E895" s="8"/>
      <c r="F895" s="54"/>
      <c r="G895" s="8"/>
      <c r="H895" s="8"/>
      <c r="I895" s="8"/>
      <c r="J895" s="8"/>
      <c r="K895" s="8"/>
      <c r="L895" s="8"/>
      <c r="M895" s="8"/>
      <c r="N895" s="8"/>
      <c r="O895" s="8"/>
      <c r="P895" s="8"/>
      <c r="Q895" s="8"/>
      <c r="R895" s="8"/>
      <c r="S895" s="8"/>
      <c r="T895" s="8"/>
      <c r="U895" s="53"/>
      <c r="V895" s="53"/>
      <c r="W895" s="53"/>
      <c r="X895" s="53"/>
      <c r="Y895" s="53"/>
      <c r="Z895" s="53"/>
      <c r="AA895" s="53"/>
      <c r="AB895" s="53"/>
      <c r="AC895" s="53"/>
      <c r="AD895" s="53"/>
      <c r="AE895" s="53"/>
      <c r="AF895" s="53"/>
      <c r="AG895" s="8"/>
      <c r="AH895" s="8"/>
      <c r="AI895" s="8"/>
      <c r="AJ895" s="8"/>
      <c r="AK895" s="8"/>
      <c r="AL895" s="8"/>
      <c r="AM895" s="8"/>
      <c r="AN895" s="8"/>
      <c r="AO895" s="8"/>
      <c r="AP895" s="8"/>
      <c r="AQ895" s="8"/>
      <c r="AR895" s="8"/>
      <c r="AS895" s="8"/>
      <c r="AT895" s="8"/>
      <c r="AU895" s="8"/>
      <c r="AV895" s="8"/>
      <c r="AW895" s="8"/>
      <c r="AX895" s="8"/>
      <c r="AY895" s="8"/>
      <c r="AZ895" s="8"/>
      <c r="BA895" s="8"/>
      <c r="BB895" s="8"/>
      <c r="BC895" s="8"/>
      <c r="BD895" s="8"/>
      <c r="BE895" s="8"/>
    </row>
    <row r="896" spans="1:57">
      <c r="A896" s="8"/>
      <c r="B896" s="8"/>
      <c r="C896" s="8"/>
      <c r="D896" s="8"/>
      <c r="E896" s="8"/>
      <c r="F896" s="54"/>
      <c r="G896" s="8"/>
      <c r="H896" s="8"/>
      <c r="I896" s="8"/>
      <c r="J896" s="8"/>
      <c r="K896" s="8"/>
      <c r="L896" s="8"/>
      <c r="M896" s="8"/>
      <c r="N896" s="8"/>
      <c r="O896" s="8"/>
      <c r="P896" s="8"/>
      <c r="Q896" s="8"/>
      <c r="R896" s="8"/>
      <c r="S896" s="8"/>
      <c r="T896" s="8"/>
      <c r="U896" s="53"/>
      <c r="V896" s="53"/>
      <c r="W896" s="53"/>
      <c r="X896" s="53"/>
      <c r="Y896" s="53"/>
      <c r="Z896" s="53"/>
      <c r="AA896" s="53"/>
      <c r="AB896" s="53"/>
      <c r="AC896" s="53"/>
      <c r="AD896" s="53"/>
      <c r="AE896" s="53"/>
      <c r="AF896" s="53"/>
      <c r="AG896" s="8"/>
      <c r="AH896" s="8"/>
      <c r="AI896" s="8"/>
      <c r="AJ896" s="8"/>
      <c r="AK896" s="8"/>
      <c r="AL896" s="8"/>
      <c r="AM896" s="8"/>
      <c r="AN896" s="8"/>
      <c r="AO896" s="8"/>
      <c r="AP896" s="8"/>
      <c r="AQ896" s="8"/>
      <c r="AR896" s="8"/>
      <c r="AS896" s="8"/>
      <c r="AT896" s="8"/>
      <c r="AU896" s="8"/>
      <c r="AV896" s="8"/>
      <c r="AW896" s="8"/>
      <c r="AX896" s="8"/>
      <c r="AY896" s="8"/>
      <c r="AZ896" s="8"/>
      <c r="BA896" s="8"/>
      <c r="BB896" s="8"/>
      <c r="BC896" s="8"/>
      <c r="BD896" s="8"/>
      <c r="BE896" s="8"/>
    </row>
    <row r="897" spans="1:57">
      <c r="A897" s="8"/>
      <c r="B897" s="8"/>
      <c r="C897" s="8"/>
      <c r="D897" s="8"/>
      <c r="E897" s="8"/>
      <c r="F897" s="54"/>
      <c r="G897" s="8"/>
      <c r="H897" s="8"/>
      <c r="I897" s="8"/>
      <c r="J897" s="8"/>
      <c r="K897" s="8"/>
      <c r="L897" s="8"/>
      <c r="M897" s="8"/>
      <c r="N897" s="8"/>
      <c r="O897" s="8"/>
      <c r="P897" s="8"/>
      <c r="Q897" s="8"/>
      <c r="R897" s="8"/>
      <c r="S897" s="8"/>
      <c r="T897" s="8"/>
      <c r="U897" s="53"/>
      <c r="V897" s="53"/>
      <c r="W897" s="53"/>
      <c r="X897" s="53"/>
      <c r="Y897" s="53"/>
      <c r="Z897" s="53"/>
      <c r="AA897" s="53"/>
      <c r="AB897" s="53"/>
      <c r="AC897" s="53"/>
      <c r="AD897" s="53"/>
      <c r="AE897" s="53"/>
      <c r="AF897" s="53"/>
      <c r="AG897" s="8"/>
      <c r="AH897" s="8"/>
      <c r="AI897" s="8"/>
      <c r="AJ897" s="8"/>
      <c r="AK897" s="8"/>
      <c r="AL897" s="8"/>
      <c r="AM897" s="8"/>
      <c r="AN897" s="8"/>
      <c r="AO897" s="8"/>
      <c r="AP897" s="8"/>
      <c r="AQ897" s="8"/>
      <c r="AR897" s="8"/>
      <c r="AS897" s="8"/>
      <c r="AT897" s="8"/>
      <c r="AU897" s="8"/>
      <c r="AV897" s="8"/>
      <c r="AW897" s="8"/>
      <c r="AX897" s="8"/>
      <c r="AY897" s="8"/>
      <c r="AZ897" s="8"/>
      <c r="BA897" s="8"/>
      <c r="BB897" s="8"/>
      <c r="BC897" s="8"/>
      <c r="BD897" s="8"/>
      <c r="BE897" s="8"/>
    </row>
    <row r="898" spans="1:57">
      <c r="A898" s="8"/>
      <c r="B898" s="8"/>
      <c r="C898" s="8"/>
      <c r="D898" s="8"/>
      <c r="E898" s="8"/>
      <c r="F898" s="54"/>
      <c r="G898" s="8"/>
      <c r="H898" s="8"/>
      <c r="I898" s="8"/>
      <c r="J898" s="8"/>
      <c r="K898" s="8"/>
      <c r="L898" s="8"/>
      <c r="M898" s="8"/>
      <c r="N898" s="8"/>
      <c r="O898" s="8"/>
      <c r="P898" s="8"/>
      <c r="Q898" s="8"/>
      <c r="R898" s="8"/>
      <c r="S898" s="8"/>
      <c r="T898" s="8"/>
      <c r="U898" s="53"/>
      <c r="V898" s="53"/>
      <c r="W898" s="53"/>
      <c r="X898" s="53"/>
      <c r="Y898" s="53"/>
      <c r="Z898" s="53"/>
      <c r="AA898" s="53"/>
      <c r="AB898" s="53"/>
      <c r="AC898" s="53"/>
      <c r="AD898" s="53"/>
      <c r="AE898" s="53"/>
      <c r="AF898" s="53"/>
      <c r="AG898" s="8"/>
      <c r="AH898" s="8"/>
      <c r="AI898" s="8"/>
      <c r="AJ898" s="8"/>
      <c r="AK898" s="8"/>
      <c r="AL898" s="8"/>
      <c r="AM898" s="8"/>
      <c r="AN898" s="8"/>
      <c r="AO898" s="8"/>
      <c r="AP898" s="8"/>
      <c r="AQ898" s="8"/>
      <c r="AR898" s="8"/>
      <c r="AS898" s="8"/>
      <c r="AT898" s="8"/>
      <c r="AU898" s="8"/>
      <c r="AV898" s="8"/>
      <c r="AW898" s="8"/>
      <c r="AX898" s="8"/>
      <c r="AY898" s="8"/>
      <c r="AZ898" s="8"/>
      <c r="BA898" s="8"/>
      <c r="BB898" s="8"/>
      <c r="BC898" s="8"/>
      <c r="BD898" s="8"/>
      <c r="BE898" s="8"/>
    </row>
    <row r="899" spans="1:57">
      <c r="A899" s="8"/>
      <c r="B899" s="8"/>
      <c r="C899" s="8"/>
      <c r="D899" s="8"/>
      <c r="E899" s="8"/>
      <c r="F899" s="54"/>
      <c r="G899" s="8"/>
      <c r="H899" s="8"/>
      <c r="I899" s="8"/>
      <c r="J899" s="8"/>
      <c r="K899" s="8"/>
      <c r="L899" s="8"/>
      <c r="M899" s="8"/>
      <c r="N899" s="8"/>
      <c r="O899" s="8"/>
      <c r="P899" s="8"/>
      <c r="Q899" s="8"/>
      <c r="R899" s="8"/>
      <c r="S899" s="8"/>
      <c r="T899" s="8"/>
      <c r="U899" s="53"/>
      <c r="V899" s="53"/>
      <c r="W899" s="53"/>
      <c r="X899" s="53"/>
      <c r="Y899" s="53"/>
      <c r="Z899" s="53"/>
      <c r="AA899" s="53"/>
      <c r="AB899" s="53"/>
      <c r="AC899" s="53"/>
      <c r="AD899" s="53"/>
      <c r="AE899" s="53"/>
      <c r="AF899" s="53"/>
      <c r="AG899" s="8"/>
      <c r="AH899" s="8"/>
      <c r="AI899" s="8"/>
      <c r="AJ899" s="8"/>
      <c r="AK899" s="8"/>
      <c r="AL899" s="8"/>
      <c r="AM899" s="8"/>
      <c r="AN899" s="8"/>
      <c r="AO899" s="8"/>
      <c r="AP899" s="8"/>
      <c r="AQ899" s="8"/>
      <c r="AR899" s="8"/>
      <c r="AS899" s="8"/>
      <c r="AT899" s="8"/>
      <c r="AU899" s="8"/>
      <c r="AV899" s="8"/>
      <c r="AW899" s="8"/>
      <c r="AX899" s="8"/>
      <c r="AY899" s="8"/>
      <c r="AZ899" s="8"/>
      <c r="BA899" s="8"/>
      <c r="BB899" s="8"/>
      <c r="BC899" s="8"/>
      <c r="BD899" s="8"/>
      <c r="BE899" s="8"/>
    </row>
    <row r="900" spans="1:57">
      <c r="A900" s="8"/>
      <c r="B900" s="8"/>
      <c r="C900" s="8"/>
      <c r="D900" s="8"/>
      <c r="E900" s="8"/>
      <c r="F900" s="54"/>
      <c r="G900" s="8"/>
      <c r="H900" s="8"/>
      <c r="I900" s="8"/>
      <c r="J900" s="8"/>
      <c r="K900" s="8"/>
      <c r="L900" s="8"/>
      <c r="M900" s="8"/>
      <c r="N900" s="8"/>
      <c r="O900" s="8"/>
      <c r="P900" s="8"/>
      <c r="Q900" s="8"/>
      <c r="R900" s="8"/>
      <c r="S900" s="8"/>
      <c r="T900" s="8"/>
      <c r="U900" s="53"/>
      <c r="V900" s="53"/>
      <c r="W900" s="53"/>
      <c r="X900" s="53"/>
      <c r="Y900" s="53"/>
      <c r="Z900" s="53"/>
      <c r="AA900" s="53"/>
      <c r="AB900" s="53"/>
      <c r="AC900" s="53"/>
      <c r="AD900" s="53"/>
      <c r="AE900" s="53"/>
      <c r="AF900" s="53"/>
      <c r="AG900" s="8"/>
      <c r="AH900" s="8"/>
      <c r="AI900" s="8"/>
      <c r="AJ900" s="8"/>
      <c r="AK900" s="8"/>
      <c r="AL900" s="8"/>
      <c r="AM900" s="8"/>
      <c r="AN900" s="8"/>
      <c r="AO900" s="8"/>
      <c r="AP900" s="8"/>
      <c r="AQ900" s="8"/>
      <c r="AR900" s="8"/>
      <c r="AS900" s="8"/>
      <c r="AT900" s="8"/>
      <c r="AU900" s="8"/>
      <c r="AV900" s="8"/>
      <c r="AW900" s="8"/>
      <c r="AX900" s="8"/>
      <c r="AY900" s="8"/>
      <c r="AZ900" s="8"/>
      <c r="BA900" s="8"/>
      <c r="BB900" s="8"/>
      <c r="BC900" s="8"/>
      <c r="BD900" s="8"/>
      <c r="BE900" s="8"/>
    </row>
    <row r="901" spans="1:57">
      <c r="A901" s="8"/>
      <c r="B901" s="8"/>
      <c r="C901" s="8"/>
      <c r="D901" s="8"/>
      <c r="E901" s="8"/>
      <c r="F901" s="54"/>
      <c r="G901" s="8"/>
      <c r="H901" s="8"/>
      <c r="I901" s="8"/>
      <c r="J901" s="8"/>
      <c r="K901" s="8"/>
      <c r="L901" s="8"/>
      <c r="M901" s="8"/>
      <c r="N901" s="8"/>
      <c r="O901" s="8"/>
      <c r="P901" s="8"/>
      <c r="Q901" s="8"/>
      <c r="R901" s="8"/>
      <c r="S901" s="8"/>
      <c r="T901" s="8"/>
      <c r="U901" s="53"/>
      <c r="V901" s="53"/>
      <c r="W901" s="53"/>
      <c r="X901" s="53"/>
      <c r="Y901" s="53"/>
      <c r="Z901" s="53"/>
      <c r="AA901" s="53"/>
      <c r="AB901" s="53"/>
      <c r="AC901" s="53"/>
      <c r="AD901" s="53"/>
      <c r="AE901" s="53"/>
      <c r="AF901" s="53"/>
      <c r="AG901" s="8"/>
      <c r="AH901" s="8"/>
      <c r="AI901" s="8"/>
      <c r="AJ901" s="8"/>
      <c r="AK901" s="8"/>
      <c r="AL901" s="8"/>
      <c r="AM901" s="8"/>
      <c r="AN901" s="8"/>
      <c r="AO901" s="8"/>
      <c r="AP901" s="8"/>
      <c r="AQ901" s="8"/>
      <c r="AR901" s="8"/>
      <c r="AS901" s="8"/>
      <c r="AT901" s="8"/>
      <c r="AU901" s="8"/>
      <c r="AV901" s="8"/>
      <c r="AW901" s="8"/>
      <c r="AX901" s="8"/>
      <c r="AY901" s="8"/>
      <c r="AZ901" s="8"/>
      <c r="BA901" s="8"/>
      <c r="BB901" s="8"/>
      <c r="BC901" s="8"/>
      <c r="BD901" s="8"/>
      <c r="BE901" s="8"/>
    </row>
    <row r="902" spans="1:57">
      <c r="A902" s="8"/>
      <c r="B902" s="8"/>
      <c r="C902" s="8"/>
      <c r="D902" s="8"/>
      <c r="E902" s="8"/>
      <c r="F902" s="54"/>
      <c r="G902" s="8"/>
      <c r="H902" s="8"/>
      <c r="I902" s="8"/>
      <c r="J902" s="8"/>
      <c r="K902" s="8"/>
      <c r="L902" s="8"/>
      <c r="M902" s="8"/>
      <c r="N902" s="8"/>
      <c r="O902" s="8"/>
      <c r="P902" s="8"/>
      <c r="Q902" s="8"/>
      <c r="R902" s="8"/>
      <c r="S902" s="8"/>
      <c r="T902" s="8"/>
      <c r="U902" s="53"/>
      <c r="V902" s="53"/>
      <c r="W902" s="53"/>
      <c r="X902" s="53"/>
      <c r="Y902" s="53"/>
      <c r="Z902" s="53"/>
      <c r="AA902" s="53"/>
      <c r="AB902" s="53"/>
      <c r="AC902" s="53"/>
      <c r="AD902" s="53"/>
      <c r="AE902" s="53"/>
      <c r="AF902" s="53"/>
      <c r="AG902" s="8"/>
      <c r="AH902" s="8"/>
      <c r="AI902" s="8"/>
      <c r="AJ902" s="8"/>
      <c r="AK902" s="8"/>
      <c r="AL902" s="8"/>
      <c r="AM902" s="8"/>
      <c r="AN902" s="8"/>
      <c r="AO902" s="8"/>
      <c r="AP902" s="8"/>
      <c r="AQ902" s="8"/>
      <c r="AR902" s="8"/>
      <c r="AS902" s="8"/>
      <c r="AT902" s="8"/>
      <c r="AU902" s="8"/>
      <c r="AV902" s="8"/>
      <c r="AW902" s="8"/>
      <c r="AX902" s="8"/>
      <c r="AY902" s="8"/>
      <c r="AZ902" s="8"/>
      <c r="BA902" s="8"/>
      <c r="BB902" s="8"/>
      <c r="BC902" s="8"/>
      <c r="BD902" s="8"/>
      <c r="BE902" s="8"/>
    </row>
    <row r="903" spans="1:57">
      <c r="A903" s="8"/>
      <c r="B903" s="8"/>
      <c r="C903" s="8"/>
      <c r="D903" s="8"/>
      <c r="E903" s="8"/>
      <c r="F903" s="54"/>
      <c r="G903" s="8"/>
      <c r="H903" s="8"/>
      <c r="I903" s="8"/>
      <c r="J903" s="8"/>
      <c r="K903" s="8"/>
      <c r="L903" s="8"/>
      <c r="M903" s="8"/>
      <c r="N903" s="8"/>
      <c r="O903" s="8"/>
      <c r="P903" s="8"/>
      <c r="Q903" s="8"/>
      <c r="R903" s="8"/>
      <c r="S903" s="8"/>
      <c r="T903" s="8"/>
      <c r="U903" s="53"/>
      <c r="V903" s="53"/>
      <c r="W903" s="53"/>
      <c r="X903" s="53"/>
      <c r="Y903" s="53"/>
      <c r="Z903" s="53"/>
      <c r="AA903" s="53"/>
      <c r="AB903" s="53"/>
      <c r="AC903" s="53"/>
      <c r="AD903" s="53"/>
      <c r="AE903" s="53"/>
      <c r="AF903" s="53"/>
      <c r="AG903" s="8"/>
      <c r="AH903" s="8"/>
      <c r="AI903" s="8"/>
      <c r="AJ903" s="8"/>
      <c r="AK903" s="8"/>
      <c r="AL903" s="8"/>
      <c r="AM903" s="8"/>
      <c r="AN903" s="8"/>
      <c r="AO903" s="8"/>
      <c r="AP903" s="8"/>
      <c r="AQ903" s="8"/>
      <c r="AR903" s="8"/>
      <c r="AS903" s="8"/>
      <c r="AT903" s="8"/>
      <c r="AU903" s="8"/>
      <c r="AV903" s="8"/>
      <c r="AW903" s="8"/>
      <c r="AX903" s="8"/>
      <c r="AY903" s="8"/>
      <c r="AZ903" s="8"/>
      <c r="BA903" s="8"/>
      <c r="BB903" s="8"/>
      <c r="BC903" s="8"/>
      <c r="BD903" s="8"/>
      <c r="BE903" s="8"/>
    </row>
    <row r="904" spans="1:57">
      <c r="A904" s="8"/>
      <c r="B904" s="8"/>
      <c r="C904" s="8"/>
      <c r="D904" s="8"/>
      <c r="E904" s="8"/>
      <c r="F904" s="54"/>
      <c r="G904" s="8"/>
      <c r="H904" s="8"/>
      <c r="I904" s="8"/>
      <c r="J904" s="8"/>
      <c r="K904" s="8"/>
      <c r="L904" s="8"/>
      <c r="M904" s="8"/>
      <c r="N904" s="8"/>
      <c r="O904" s="8"/>
      <c r="P904" s="8"/>
      <c r="Q904" s="8"/>
      <c r="R904" s="8"/>
      <c r="S904" s="8"/>
      <c r="T904" s="8"/>
      <c r="U904" s="53"/>
      <c r="V904" s="53"/>
      <c r="W904" s="53"/>
      <c r="X904" s="53"/>
      <c r="Y904" s="53"/>
      <c r="Z904" s="53"/>
      <c r="AA904" s="53"/>
      <c r="AB904" s="53"/>
      <c r="AC904" s="53"/>
      <c r="AD904" s="53"/>
      <c r="AE904" s="53"/>
      <c r="AF904" s="53"/>
      <c r="AG904" s="8"/>
      <c r="AH904" s="8"/>
      <c r="AI904" s="8"/>
      <c r="AJ904" s="8"/>
      <c r="AK904" s="8"/>
      <c r="AL904" s="8"/>
      <c r="AM904" s="8"/>
      <c r="AN904" s="8"/>
      <c r="AO904" s="8"/>
      <c r="AP904" s="8"/>
      <c r="AQ904" s="8"/>
      <c r="AR904" s="8"/>
      <c r="AS904" s="8"/>
      <c r="AT904" s="8"/>
      <c r="AU904" s="8"/>
      <c r="AV904" s="8"/>
      <c r="AW904" s="8"/>
      <c r="AX904" s="8"/>
      <c r="AY904" s="8"/>
      <c r="AZ904" s="8"/>
      <c r="BA904" s="8"/>
      <c r="BB904" s="8"/>
      <c r="BC904" s="8"/>
      <c r="BD904" s="8"/>
      <c r="BE904" s="8"/>
    </row>
    <row r="905" spans="1:57">
      <c r="A905" s="8"/>
      <c r="B905" s="8"/>
      <c r="C905" s="8"/>
      <c r="D905" s="8"/>
      <c r="E905" s="8"/>
      <c r="F905" s="54"/>
      <c r="G905" s="8"/>
      <c r="H905" s="8"/>
      <c r="I905" s="8"/>
      <c r="J905" s="8"/>
      <c r="K905" s="8"/>
      <c r="L905" s="8"/>
      <c r="M905" s="8"/>
      <c r="N905" s="8"/>
      <c r="O905" s="8"/>
      <c r="P905" s="8"/>
      <c r="Q905" s="8"/>
      <c r="R905" s="8"/>
      <c r="S905" s="8"/>
      <c r="T905" s="8"/>
      <c r="U905" s="53"/>
      <c r="V905" s="53"/>
      <c r="W905" s="53"/>
      <c r="X905" s="53"/>
      <c r="Y905" s="53"/>
      <c r="Z905" s="53"/>
      <c r="AA905" s="53"/>
      <c r="AB905" s="53"/>
      <c r="AC905" s="53"/>
      <c r="AD905" s="53"/>
      <c r="AE905" s="53"/>
      <c r="AF905" s="53"/>
      <c r="AG905" s="8"/>
      <c r="AH905" s="8"/>
      <c r="AI905" s="8"/>
      <c r="AJ905" s="8"/>
      <c r="AK905" s="8"/>
      <c r="AL905" s="8"/>
      <c r="AM905" s="8"/>
      <c r="AN905" s="8"/>
      <c r="AO905" s="8"/>
      <c r="AP905" s="8"/>
      <c r="AQ905" s="8"/>
      <c r="AR905" s="8"/>
      <c r="AS905" s="8"/>
      <c r="AT905" s="8"/>
      <c r="AU905" s="8"/>
      <c r="AV905" s="8"/>
      <c r="AW905" s="8"/>
      <c r="AX905" s="8"/>
      <c r="AY905" s="8"/>
      <c r="AZ905" s="8"/>
      <c r="BA905" s="8"/>
      <c r="BB905" s="8"/>
      <c r="BC905" s="8"/>
      <c r="BD905" s="8"/>
      <c r="BE905" s="8"/>
    </row>
    <row r="906" spans="1:57">
      <c r="A906" s="8"/>
      <c r="B906" s="8"/>
      <c r="C906" s="8"/>
      <c r="D906" s="8"/>
      <c r="E906" s="8"/>
      <c r="F906" s="54"/>
      <c r="G906" s="8"/>
      <c r="H906" s="8"/>
      <c r="I906" s="8"/>
      <c r="J906" s="8"/>
      <c r="K906" s="8"/>
      <c r="L906" s="8"/>
      <c r="M906" s="8"/>
      <c r="N906" s="8"/>
      <c r="O906" s="8"/>
      <c r="P906" s="8"/>
      <c r="Q906" s="8"/>
      <c r="R906" s="8"/>
      <c r="S906" s="8"/>
      <c r="T906" s="8"/>
      <c r="U906" s="53"/>
      <c r="V906" s="53"/>
      <c r="W906" s="53"/>
      <c r="X906" s="53"/>
      <c r="Y906" s="53"/>
      <c r="Z906" s="53"/>
      <c r="AA906" s="53"/>
      <c r="AB906" s="53"/>
      <c r="AC906" s="53"/>
      <c r="AD906" s="53"/>
      <c r="AE906" s="53"/>
      <c r="AF906" s="53"/>
      <c r="AG906" s="8"/>
      <c r="AH906" s="8"/>
      <c r="AI906" s="8"/>
      <c r="AJ906" s="8"/>
      <c r="AK906" s="8"/>
      <c r="AL906" s="8"/>
      <c r="AM906" s="8"/>
      <c r="AN906" s="8"/>
      <c r="AO906" s="8"/>
      <c r="AP906" s="8"/>
      <c r="AQ906" s="8"/>
      <c r="AR906" s="8"/>
      <c r="AS906" s="8"/>
      <c r="AT906" s="8"/>
      <c r="AU906" s="8"/>
      <c r="AV906" s="8"/>
      <c r="AW906" s="8"/>
      <c r="AX906" s="8"/>
      <c r="AY906" s="8"/>
      <c r="AZ906" s="8"/>
      <c r="BA906" s="8"/>
      <c r="BB906" s="8"/>
      <c r="BC906" s="8"/>
      <c r="BD906" s="8"/>
      <c r="BE906" s="8"/>
    </row>
    <row r="907" spans="1:57">
      <c r="A907" s="8"/>
      <c r="B907" s="8"/>
      <c r="C907" s="8"/>
      <c r="D907" s="8"/>
      <c r="E907" s="8"/>
      <c r="F907" s="54"/>
      <c r="G907" s="8"/>
      <c r="H907" s="8"/>
      <c r="I907" s="8"/>
      <c r="J907" s="8"/>
      <c r="K907" s="8"/>
      <c r="L907" s="8"/>
      <c r="M907" s="8"/>
      <c r="N907" s="8"/>
      <c r="O907" s="8"/>
      <c r="P907" s="8"/>
      <c r="Q907" s="8"/>
      <c r="R907" s="8"/>
      <c r="S907" s="8"/>
      <c r="T907" s="8"/>
      <c r="U907" s="53"/>
      <c r="V907" s="53"/>
      <c r="W907" s="53"/>
      <c r="X907" s="53"/>
      <c r="Y907" s="53"/>
      <c r="Z907" s="53"/>
      <c r="AA907" s="53"/>
      <c r="AB907" s="53"/>
      <c r="AC907" s="53"/>
      <c r="AD907" s="53"/>
      <c r="AE907" s="53"/>
      <c r="AF907" s="53"/>
      <c r="AG907" s="8"/>
      <c r="AH907" s="8"/>
      <c r="AI907" s="8"/>
      <c r="AJ907" s="8"/>
      <c r="AK907" s="8"/>
      <c r="AL907" s="8"/>
      <c r="AM907" s="8"/>
      <c r="AN907" s="8"/>
      <c r="AO907" s="8"/>
      <c r="AP907" s="8"/>
      <c r="AQ907" s="8"/>
      <c r="AR907" s="8"/>
      <c r="AS907" s="8"/>
      <c r="AT907" s="8"/>
      <c r="AU907" s="8"/>
      <c r="AV907" s="8"/>
      <c r="AW907" s="8"/>
      <c r="AX907" s="8"/>
      <c r="AY907" s="8"/>
      <c r="AZ907" s="8"/>
      <c r="BA907" s="8"/>
      <c r="BB907" s="8"/>
      <c r="BC907" s="8"/>
      <c r="BD907" s="8"/>
      <c r="BE907" s="8"/>
    </row>
    <row r="908" spans="1:57">
      <c r="A908" s="8"/>
      <c r="B908" s="8"/>
      <c r="C908" s="8"/>
      <c r="D908" s="8"/>
      <c r="E908" s="8"/>
      <c r="F908" s="54"/>
      <c r="G908" s="8"/>
      <c r="H908" s="8"/>
      <c r="I908" s="8"/>
      <c r="J908" s="8"/>
      <c r="K908" s="8"/>
      <c r="L908" s="8"/>
      <c r="M908" s="8"/>
      <c r="N908" s="8"/>
      <c r="O908" s="8"/>
      <c r="P908" s="8"/>
      <c r="Q908" s="8"/>
      <c r="R908" s="8"/>
      <c r="S908" s="8"/>
      <c r="T908" s="8"/>
      <c r="U908" s="53"/>
      <c r="V908" s="53"/>
      <c r="W908" s="53"/>
      <c r="X908" s="53"/>
      <c r="Y908" s="53"/>
      <c r="Z908" s="53"/>
      <c r="AA908" s="53"/>
      <c r="AB908" s="53"/>
      <c r="AC908" s="53"/>
      <c r="AD908" s="53"/>
      <c r="AE908" s="53"/>
      <c r="AF908" s="53"/>
      <c r="AG908" s="8"/>
      <c r="AH908" s="8"/>
      <c r="AI908" s="8"/>
      <c r="AJ908" s="8"/>
      <c r="AK908" s="8"/>
      <c r="AL908" s="8"/>
      <c r="AM908" s="8"/>
      <c r="AN908" s="8"/>
      <c r="AO908" s="8"/>
      <c r="AP908" s="8"/>
      <c r="AQ908" s="8"/>
      <c r="AR908" s="8"/>
      <c r="AS908" s="8"/>
      <c r="AT908" s="8"/>
      <c r="AU908" s="8"/>
      <c r="AV908" s="8"/>
      <c r="AW908" s="8"/>
      <c r="AX908" s="8"/>
      <c r="AY908" s="8"/>
      <c r="AZ908" s="8"/>
      <c r="BA908" s="8"/>
      <c r="BB908" s="8"/>
      <c r="BC908" s="8"/>
      <c r="BD908" s="8"/>
      <c r="BE908" s="8"/>
    </row>
    <row r="909" spans="1:57">
      <c r="A909" s="8"/>
      <c r="B909" s="8"/>
      <c r="C909" s="8"/>
      <c r="D909" s="8"/>
      <c r="E909" s="8"/>
      <c r="F909" s="54"/>
      <c r="G909" s="8"/>
      <c r="H909" s="8"/>
      <c r="I909" s="8"/>
      <c r="J909" s="8"/>
      <c r="K909" s="8"/>
      <c r="L909" s="8"/>
      <c r="M909" s="8"/>
      <c r="N909" s="8"/>
      <c r="O909" s="8"/>
      <c r="P909" s="8"/>
      <c r="Q909" s="8"/>
      <c r="R909" s="8"/>
      <c r="S909" s="8"/>
      <c r="T909" s="8"/>
      <c r="U909" s="53"/>
      <c r="V909" s="53"/>
      <c r="W909" s="53"/>
      <c r="X909" s="53"/>
      <c r="Y909" s="53"/>
      <c r="Z909" s="53"/>
      <c r="AA909" s="53"/>
      <c r="AB909" s="53"/>
      <c r="AC909" s="53"/>
      <c r="AD909" s="53"/>
      <c r="AE909" s="53"/>
      <c r="AF909" s="53"/>
      <c r="AG909" s="8"/>
      <c r="AH909" s="8"/>
      <c r="AI909" s="8"/>
      <c r="AJ909" s="8"/>
      <c r="AK909" s="8"/>
      <c r="AL909" s="8"/>
      <c r="AM909" s="8"/>
      <c r="AN909" s="8"/>
      <c r="AO909" s="8"/>
      <c r="AP909" s="8"/>
      <c r="AQ909" s="8"/>
      <c r="AR909" s="8"/>
      <c r="AS909" s="8"/>
      <c r="AT909" s="8"/>
      <c r="AU909" s="8"/>
      <c r="AV909" s="8"/>
      <c r="AW909" s="8"/>
      <c r="AX909" s="8"/>
      <c r="AY909" s="8"/>
      <c r="AZ909" s="8"/>
      <c r="BA909" s="8"/>
      <c r="BB909" s="8"/>
      <c r="BC909" s="8"/>
      <c r="BD909" s="8"/>
      <c r="BE909" s="8"/>
    </row>
    <row r="910" spans="1:57">
      <c r="A910" s="8"/>
      <c r="B910" s="8"/>
      <c r="C910" s="8"/>
      <c r="D910" s="8"/>
      <c r="E910" s="8"/>
      <c r="F910" s="54"/>
      <c r="G910" s="8"/>
      <c r="H910" s="8"/>
      <c r="I910" s="8"/>
      <c r="J910" s="8"/>
      <c r="K910" s="8"/>
      <c r="L910" s="8"/>
      <c r="M910" s="8"/>
      <c r="N910" s="8"/>
      <c r="O910" s="8"/>
      <c r="P910" s="8"/>
      <c r="Q910" s="8"/>
      <c r="R910" s="8"/>
      <c r="S910" s="8"/>
      <c r="T910" s="8"/>
      <c r="U910" s="53"/>
      <c r="V910" s="53"/>
      <c r="W910" s="53"/>
      <c r="X910" s="53"/>
      <c r="Y910" s="53"/>
      <c r="Z910" s="53"/>
      <c r="AA910" s="53"/>
      <c r="AB910" s="53"/>
      <c r="AC910" s="53"/>
      <c r="AD910" s="53"/>
      <c r="AE910" s="53"/>
      <c r="AF910" s="53"/>
      <c r="AG910" s="8"/>
      <c r="AH910" s="8"/>
      <c r="AI910" s="8"/>
      <c r="AJ910" s="8"/>
      <c r="AK910" s="8"/>
      <c r="AL910" s="8"/>
      <c r="AM910" s="8"/>
      <c r="AN910" s="8"/>
      <c r="AO910" s="8"/>
      <c r="AP910" s="8"/>
      <c r="AQ910" s="8"/>
      <c r="AR910" s="8"/>
      <c r="AS910" s="8"/>
      <c r="AT910" s="8"/>
      <c r="AU910" s="8"/>
      <c r="AV910" s="8"/>
      <c r="AW910" s="8"/>
      <c r="AX910" s="8"/>
      <c r="AY910" s="8"/>
      <c r="AZ910" s="8"/>
      <c r="BA910" s="8"/>
      <c r="BB910" s="8"/>
      <c r="BC910" s="8"/>
      <c r="BD910" s="8"/>
      <c r="BE910" s="8"/>
    </row>
    <row r="911" spans="1:57">
      <c r="A911" s="8"/>
      <c r="B911" s="8"/>
      <c r="C911" s="8"/>
      <c r="D911" s="8"/>
      <c r="E911" s="8"/>
      <c r="F911" s="54"/>
      <c r="G911" s="8"/>
      <c r="H911" s="8"/>
      <c r="I911" s="8"/>
      <c r="J911" s="8"/>
      <c r="K911" s="8"/>
      <c r="L911" s="8"/>
      <c r="M911" s="8"/>
      <c r="N911" s="8"/>
      <c r="O911" s="8"/>
      <c r="P911" s="8"/>
      <c r="Q911" s="8"/>
      <c r="R911" s="8"/>
      <c r="S911" s="8"/>
      <c r="T911" s="8"/>
      <c r="U911" s="53"/>
      <c r="V911" s="53"/>
      <c r="W911" s="53"/>
      <c r="X911" s="53"/>
      <c r="Y911" s="53"/>
      <c r="Z911" s="53"/>
      <c r="AA911" s="53"/>
      <c r="AB911" s="53"/>
      <c r="AC911" s="53"/>
      <c r="AD911" s="53"/>
      <c r="AE911" s="53"/>
      <c r="AF911" s="53"/>
      <c r="AG911" s="8"/>
      <c r="AH911" s="8"/>
      <c r="AI911" s="8"/>
      <c r="AJ911" s="8"/>
      <c r="AK911" s="8"/>
      <c r="AL911" s="8"/>
      <c r="AM911" s="8"/>
      <c r="AN911" s="8"/>
      <c r="AO911" s="8"/>
      <c r="AP911" s="8"/>
      <c r="AQ911" s="8"/>
      <c r="AR911" s="8"/>
      <c r="AS911" s="8"/>
      <c r="AT911" s="8"/>
      <c r="AU911" s="8"/>
      <c r="AV911" s="8"/>
      <c r="AW911" s="8"/>
      <c r="AX911" s="8"/>
      <c r="AY911" s="8"/>
      <c r="AZ911" s="8"/>
      <c r="BA911" s="8"/>
      <c r="BB911" s="8"/>
      <c r="BC911" s="8"/>
      <c r="BD911" s="8"/>
      <c r="BE911" s="8"/>
    </row>
    <row r="912" spans="1:57">
      <c r="A912" s="8"/>
      <c r="B912" s="8"/>
      <c r="C912" s="8"/>
      <c r="D912" s="8"/>
      <c r="E912" s="8"/>
      <c r="F912" s="54"/>
      <c r="G912" s="8"/>
      <c r="H912" s="8"/>
      <c r="I912" s="8"/>
      <c r="J912" s="8"/>
      <c r="K912" s="8"/>
      <c r="L912" s="8"/>
      <c r="M912" s="8"/>
      <c r="N912" s="8"/>
      <c r="O912" s="8"/>
      <c r="P912" s="8"/>
      <c r="Q912" s="8"/>
      <c r="R912" s="8"/>
      <c r="S912" s="8"/>
      <c r="T912" s="8"/>
      <c r="U912" s="53"/>
      <c r="V912" s="53"/>
      <c r="W912" s="53"/>
      <c r="X912" s="53"/>
      <c r="Y912" s="53"/>
      <c r="Z912" s="53"/>
      <c r="AA912" s="53"/>
      <c r="AB912" s="53"/>
      <c r="AC912" s="53"/>
      <c r="AD912" s="53"/>
      <c r="AE912" s="53"/>
      <c r="AF912" s="53"/>
      <c r="AG912" s="8"/>
      <c r="AH912" s="8"/>
      <c r="AI912" s="8"/>
      <c r="AJ912" s="8"/>
      <c r="AK912" s="8"/>
      <c r="AL912" s="8"/>
      <c r="AM912" s="8"/>
      <c r="AN912" s="8"/>
      <c r="AO912" s="8"/>
      <c r="AP912" s="8"/>
      <c r="AQ912" s="8"/>
      <c r="AR912" s="8"/>
      <c r="AS912" s="8"/>
      <c r="AT912" s="8"/>
      <c r="AU912" s="8"/>
      <c r="AV912" s="8"/>
      <c r="AW912" s="8"/>
      <c r="AX912" s="8"/>
      <c r="AY912" s="8"/>
      <c r="AZ912" s="8"/>
      <c r="BA912" s="8"/>
      <c r="BB912" s="8"/>
      <c r="BC912" s="8"/>
      <c r="BD912" s="8"/>
      <c r="BE912" s="8"/>
    </row>
    <row r="913" spans="1:57">
      <c r="A913" s="8"/>
      <c r="B913" s="8"/>
      <c r="C913" s="8"/>
      <c r="D913" s="8"/>
      <c r="E913" s="8"/>
      <c r="F913" s="54"/>
      <c r="G913" s="8"/>
      <c r="H913" s="8"/>
      <c r="I913" s="8"/>
      <c r="J913" s="8"/>
      <c r="K913" s="8"/>
      <c r="L913" s="8"/>
      <c r="M913" s="8"/>
      <c r="N913" s="8"/>
      <c r="O913" s="8"/>
      <c r="P913" s="8"/>
      <c r="Q913" s="8"/>
      <c r="R913" s="8"/>
      <c r="S913" s="8"/>
      <c r="T913" s="8"/>
      <c r="U913" s="53"/>
      <c r="V913" s="53"/>
      <c r="W913" s="53"/>
      <c r="X913" s="53"/>
      <c r="Y913" s="53"/>
      <c r="Z913" s="53"/>
      <c r="AA913" s="53"/>
      <c r="AB913" s="53"/>
      <c r="AC913" s="53"/>
      <c r="AD913" s="53"/>
      <c r="AE913" s="53"/>
      <c r="AF913" s="53"/>
      <c r="AG913" s="8"/>
      <c r="AH913" s="8"/>
      <c r="AI913" s="8"/>
      <c r="AJ913" s="8"/>
      <c r="AK913" s="8"/>
      <c r="AL913" s="8"/>
      <c r="AM913" s="8"/>
      <c r="AN913" s="8"/>
      <c r="AO913" s="8"/>
      <c r="AP913" s="8"/>
      <c r="AQ913" s="8"/>
      <c r="AR913" s="8"/>
      <c r="AS913" s="8"/>
      <c r="AT913" s="8"/>
      <c r="AU913" s="8"/>
      <c r="AV913" s="8"/>
      <c r="AW913" s="8"/>
      <c r="AX913" s="8"/>
      <c r="AY913" s="8"/>
      <c r="AZ913" s="8"/>
      <c r="BA913" s="8"/>
      <c r="BB913" s="8"/>
      <c r="BC913" s="8"/>
      <c r="BD913" s="8"/>
      <c r="BE913" s="8"/>
    </row>
    <row r="914" spans="1:57">
      <c r="A914" s="8"/>
      <c r="B914" s="8"/>
      <c r="C914" s="8"/>
      <c r="D914" s="8"/>
      <c r="E914" s="8"/>
      <c r="F914" s="54"/>
      <c r="G914" s="8"/>
      <c r="H914" s="8"/>
      <c r="I914" s="8"/>
      <c r="J914" s="8"/>
      <c r="K914" s="8"/>
      <c r="L914" s="8"/>
      <c r="M914" s="8"/>
      <c r="N914" s="8"/>
      <c r="O914" s="8"/>
      <c r="P914" s="8"/>
      <c r="Q914" s="8"/>
      <c r="R914" s="8"/>
      <c r="S914" s="8"/>
      <c r="T914" s="8"/>
      <c r="U914" s="53"/>
      <c r="V914" s="53"/>
      <c r="W914" s="53"/>
      <c r="X914" s="53"/>
      <c r="Y914" s="53"/>
      <c r="Z914" s="53"/>
      <c r="AA914" s="53"/>
      <c r="AB914" s="53"/>
      <c r="AC914" s="53"/>
      <c r="AD914" s="53"/>
      <c r="AE914" s="53"/>
      <c r="AF914" s="53"/>
      <c r="AG914" s="8"/>
      <c r="AH914" s="8"/>
      <c r="AI914" s="8"/>
      <c r="AJ914" s="8"/>
      <c r="AK914" s="8"/>
      <c r="AL914" s="8"/>
      <c r="AM914" s="8"/>
      <c r="AN914" s="8"/>
      <c r="AO914" s="8"/>
      <c r="AP914" s="8"/>
      <c r="AQ914" s="8"/>
      <c r="AR914" s="8"/>
      <c r="AS914" s="8"/>
      <c r="AT914" s="8"/>
      <c r="AU914" s="8"/>
      <c r="AV914" s="8"/>
      <c r="AW914" s="8"/>
      <c r="AX914" s="8"/>
      <c r="AY914" s="8"/>
      <c r="AZ914" s="8"/>
      <c r="BA914" s="8"/>
      <c r="BB914" s="8"/>
      <c r="BC914" s="8"/>
      <c r="BD914" s="8"/>
      <c r="BE914" s="8"/>
    </row>
    <row r="915" spans="1:57">
      <c r="A915" s="8"/>
      <c r="B915" s="8"/>
      <c r="C915" s="8"/>
      <c r="D915" s="8"/>
      <c r="E915" s="8"/>
      <c r="F915" s="54"/>
      <c r="G915" s="8"/>
      <c r="H915" s="8"/>
      <c r="I915" s="8"/>
      <c r="J915" s="8"/>
      <c r="K915" s="8"/>
      <c r="L915" s="8"/>
      <c r="M915" s="8"/>
      <c r="N915" s="8"/>
      <c r="O915" s="8"/>
      <c r="P915" s="8"/>
      <c r="Q915" s="8"/>
      <c r="R915" s="8"/>
      <c r="S915" s="8"/>
      <c r="T915" s="8"/>
      <c r="U915" s="53"/>
      <c r="V915" s="53"/>
      <c r="W915" s="53"/>
      <c r="X915" s="53"/>
      <c r="Y915" s="53"/>
      <c r="Z915" s="53"/>
      <c r="AA915" s="53"/>
      <c r="AB915" s="53"/>
      <c r="AC915" s="53"/>
      <c r="AD915" s="53"/>
      <c r="AE915" s="53"/>
      <c r="AF915" s="53"/>
      <c r="AG915" s="8"/>
      <c r="AH915" s="8"/>
      <c r="AI915" s="8"/>
      <c r="AJ915" s="8"/>
      <c r="AK915" s="8"/>
      <c r="AL915" s="8"/>
      <c r="AM915" s="8"/>
      <c r="AN915" s="8"/>
      <c r="AO915" s="8"/>
      <c r="AP915" s="8"/>
      <c r="AQ915" s="8"/>
      <c r="AR915" s="8"/>
      <c r="AS915" s="8"/>
      <c r="AT915" s="8"/>
      <c r="AU915" s="8"/>
      <c r="AV915" s="8"/>
      <c r="AW915" s="8"/>
      <c r="AX915" s="8"/>
      <c r="AY915" s="8"/>
      <c r="AZ915" s="8"/>
      <c r="BA915" s="8"/>
      <c r="BB915" s="8"/>
      <c r="BC915" s="8"/>
      <c r="BD915" s="8"/>
      <c r="BE915" s="8"/>
    </row>
    <row r="916" spans="1:57">
      <c r="A916" s="8"/>
      <c r="B916" s="8"/>
      <c r="C916" s="8"/>
      <c r="D916" s="8"/>
      <c r="E916" s="8"/>
      <c r="F916" s="54"/>
      <c r="G916" s="8"/>
      <c r="H916" s="8"/>
      <c r="I916" s="8"/>
      <c r="J916" s="8"/>
      <c r="K916" s="8"/>
      <c r="L916" s="8"/>
      <c r="M916" s="8"/>
      <c r="N916" s="8"/>
      <c r="O916" s="8"/>
      <c r="P916" s="8"/>
      <c r="Q916" s="8"/>
      <c r="R916" s="8"/>
      <c r="S916" s="8"/>
      <c r="T916" s="8"/>
      <c r="U916" s="53"/>
      <c r="V916" s="53"/>
      <c r="W916" s="53"/>
      <c r="X916" s="53"/>
      <c r="Y916" s="53"/>
      <c r="Z916" s="53"/>
      <c r="AA916" s="53"/>
      <c r="AB916" s="53"/>
      <c r="AC916" s="53"/>
      <c r="AD916" s="53"/>
      <c r="AE916" s="53"/>
      <c r="AF916" s="53"/>
      <c r="AG916" s="8"/>
      <c r="AH916" s="8"/>
      <c r="AI916" s="8"/>
      <c r="AJ916" s="8"/>
      <c r="AK916" s="8"/>
      <c r="AL916" s="8"/>
      <c r="AM916" s="8"/>
      <c r="AN916" s="8"/>
      <c r="AO916" s="8"/>
      <c r="AP916" s="8"/>
      <c r="AQ916" s="8"/>
      <c r="AR916" s="8"/>
      <c r="AS916" s="8"/>
      <c r="AT916" s="8"/>
      <c r="AU916" s="8"/>
      <c r="AV916" s="8"/>
      <c r="AW916" s="8"/>
      <c r="AX916" s="8"/>
      <c r="AY916" s="8"/>
      <c r="AZ916" s="8"/>
      <c r="BA916" s="8"/>
      <c r="BB916" s="8"/>
      <c r="BC916" s="8"/>
      <c r="BD916" s="8"/>
      <c r="BE916" s="8"/>
    </row>
    <row r="917" spans="1:57">
      <c r="A917" s="8"/>
      <c r="B917" s="8"/>
      <c r="C917" s="8"/>
      <c r="D917" s="8"/>
      <c r="E917" s="8"/>
      <c r="F917" s="54"/>
      <c r="G917" s="8"/>
      <c r="H917" s="8"/>
      <c r="I917" s="8"/>
      <c r="J917" s="8"/>
      <c r="K917" s="8"/>
      <c r="L917" s="8"/>
      <c r="M917" s="8"/>
      <c r="N917" s="8"/>
      <c r="O917" s="8"/>
      <c r="P917" s="8"/>
      <c r="Q917" s="8"/>
      <c r="R917" s="8"/>
      <c r="S917" s="8"/>
      <c r="T917" s="8"/>
      <c r="U917" s="53"/>
      <c r="V917" s="53"/>
      <c r="W917" s="53"/>
      <c r="X917" s="53"/>
      <c r="Y917" s="53"/>
      <c r="Z917" s="53"/>
      <c r="AA917" s="53"/>
      <c r="AB917" s="53"/>
      <c r="AC917" s="53"/>
      <c r="AD917" s="53"/>
      <c r="AE917" s="53"/>
      <c r="AF917" s="53"/>
      <c r="AG917" s="8"/>
      <c r="AH917" s="8"/>
      <c r="AI917" s="8"/>
      <c r="AJ917" s="8"/>
      <c r="AK917" s="8"/>
      <c r="AL917" s="8"/>
      <c r="AM917" s="8"/>
      <c r="AN917" s="8"/>
      <c r="AO917" s="8"/>
      <c r="AP917" s="8"/>
      <c r="AQ917" s="8"/>
      <c r="AR917" s="8"/>
      <c r="AS917" s="8"/>
      <c r="AT917" s="8"/>
      <c r="AU917" s="8"/>
      <c r="AV917" s="8"/>
      <c r="AW917" s="8"/>
      <c r="AX917" s="8"/>
      <c r="AY917" s="8"/>
      <c r="AZ917" s="8"/>
      <c r="BA917" s="8"/>
      <c r="BB917" s="8"/>
      <c r="BC917" s="8"/>
      <c r="BD917" s="8"/>
      <c r="BE917" s="8"/>
    </row>
    <row r="918" spans="1:57">
      <c r="A918" s="8"/>
      <c r="B918" s="8"/>
      <c r="C918" s="8"/>
      <c r="D918" s="8"/>
      <c r="E918" s="8"/>
      <c r="F918" s="54"/>
      <c r="G918" s="8"/>
      <c r="H918" s="8"/>
      <c r="I918" s="8"/>
      <c r="J918" s="8"/>
      <c r="K918" s="8"/>
      <c r="L918" s="8"/>
      <c r="M918" s="8"/>
      <c r="N918" s="8"/>
      <c r="O918" s="8"/>
      <c r="P918" s="8"/>
      <c r="Q918" s="8"/>
      <c r="R918" s="8"/>
      <c r="S918" s="8"/>
      <c r="T918" s="8"/>
      <c r="U918" s="53"/>
      <c r="V918" s="53"/>
      <c r="W918" s="53"/>
      <c r="X918" s="53"/>
      <c r="Y918" s="53"/>
      <c r="Z918" s="53"/>
      <c r="AA918" s="53"/>
      <c r="AB918" s="53"/>
      <c r="AC918" s="53"/>
      <c r="AD918" s="53"/>
      <c r="AE918" s="53"/>
      <c r="AF918" s="53"/>
      <c r="AG918" s="8"/>
      <c r="AH918" s="8"/>
      <c r="AI918" s="8"/>
      <c r="AJ918" s="8"/>
      <c r="AK918" s="8"/>
      <c r="AL918" s="8"/>
      <c r="AM918" s="8"/>
      <c r="AN918" s="8"/>
      <c r="AO918" s="8"/>
      <c r="AP918" s="8"/>
      <c r="AQ918" s="8"/>
      <c r="AR918" s="8"/>
      <c r="AS918" s="8"/>
      <c r="AT918" s="8"/>
      <c r="AU918" s="8"/>
      <c r="AV918" s="8"/>
      <c r="AW918" s="8"/>
      <c r="AX918" s="8"/>
      <c r="AY918" s="8"/>
      <c r="AZ918" s="8"/>
      <c r="BA918" s="8"/>
      <c r="BB918" s="8"/>
      <c r="BC918" s="8"/>
      <c r="BD918" s="8"/>
      <c r="BE918" s="8"/>
    </row>
    <row r="919" spans="1:57">
      <c r="A919" s="8"/>
      <c r="B919" s="8"/>
      <c r="C919" s="8"/>
      <c r="D919" s="8"/>
      <c r="E919" s="8"/>
      <c r="F919" s="54"/>
      <c r="G919" s="8"/>
      <c r="H919" s="8"/>
      <c r="I919" s="8"/>
      <c r="J919" s="8"/>
      <c r="K919" s="8"/>
      <c r="L919" s="8"/>
      <c r="M919" s="8"/>
      <c r="N919" s="8"/>
      <c r="O919" s="8"/>
      <c r="P919" s="8"/>
      <c r="Q919" s="8"/>
      <c r="R919" s="8"/>
      <c r="S919" s="8"/>
      <c r="T919" s="8"/>
      <c r="U919" s="53"/>
      <c r="V919" s="53"/>
      <c r="W919" s="53"/>
      <c r="X919" s="53"/>
      <c r="Y919" s="53"/>
      <c r="Z919" s="53"/>
      <c r="AA919" s="53"/>
      <c r="AB919" s="53"/>
      <c r="AC919" s="53"/>
      <c r="AD919" s="53"/>
      <c r="AE919" s="53"/>
      <c r="AF919" s="53"/>
      <c r="AG919" s="8"/>
      <c r="AH919" s="8"/>
      <c r="AI919" s="8"/>
      <c r="AJ919" s="8"/>
      <c r="AK919" s="8"/>
      <c r="AL919" s="8"/>
      <c r="AM919" s="8"/>
      <c r="AN919" s="8"/>
      <c r="AO919" s="8"/>
      <c r="AP919" s="8"/>
      <c r="AQ919" s="8"/>
      <c r="AR919" s="8"/>
      <c r="AS919" s="8"/>
      <c r="AT919" s="8"/>
      <c r="AU919" s="8"/>
      <c r="AV919" s="8"/>
      <c r="AW919" s="8"/>
      <c r="AX919" s="8"/>
      <c r="AY919" s="8"/>
      <c r="AZ919" s="8"/>
      <c r="BA919" s="8"/>
      <c r="BB919" s="8"/>
      <c r="BC919" s="8"/>
      <c r="BD919" s="8"/>
      <c r="BE919" s="8"/>
    </row>
    <row r="920" spans="1:57">
      <c r="A920" s="8"/>
      <c r="B920" s="8"/>
      <c r="C920" s="8"/>
      <c r="D920" s="8"/>
      <c r="E920" s="8"/>
      <c r="F920" s="54"/>
      <c r="G920" s="8"/>
      <c r="H920" s="8"/>
      <c r="I920" s="8"/>
      <c r="J920" s="8"/>
      <c r="K920" s="8"/>
      <c r="L920" s="8"/>
      <c r="M920" s="8"/>
      <c r="N920" s="8"/>
      <c r="O920" s="8"/>
      <c r="P920" s="8"/>
      <c r="Q920" s="8"/>
      <c r="R920" s="8"/>
      <c r="S920" s="8"/>
      <c r="T920" s="8"/>
      <c r="U920" s="53"/>
      <c r="V920" s="53"/>
      <c r="W920" s="53"/>
      <c r="X920" s="53"/>
      <c r="Y920" s="53"/>
      <c r="Z920" s="53"/>
      <c r="AA920" s="53"/>
      <c r="AB920" s="53"/>
      <c r="AC920" s="53"/>
      <c r="AD920" s="53"/>
      <c r="AE920" s="53"/>
      <c r="AF920" s="53"/>
      <c r="AG920" s="8"/>
      <c r="AH920" s="8"/>
      <c r="AI920" s="8"/>
      <c r="AJ920" s="8"/>
      <c r="AK920" s="8"/>
      <c r="AL920" s="8"/>
      <c r="AM920" s="8"/>
      <c r="AN920" s="8"/>
      <c r="AO920" s="8"/>
      <c r="AP920" s="8"/>
      <c r="AQ920" s="8"/>
      <c r="AR920" s="8"/>
      <c r="AS920" s="8"/>
      <c r="AT920" s="8"/>
      <c r="AU920" s="8"/>
      <c r="AV920" s="8"/>
      <c r="AW920" s="8"/>
      <c r="AX920" s="8"/>
      <c r="AY920" s="8"/>
      <c r="AZ920" s="8"/>
      <c r="BA920" s="8"/>
      <c r="BB920" s="8"/>
      <c r="BC920" s="8"/>
      <c r="BD920" s="8"/>
      <c r="BE920" s="8"/>
    </row>
    <row r="921" spans="1:57">
      <c r="A921" s="8"/>
      <c r="B921" s="8"/>
      <c r="C921" s="8"/>
      <c r="D921" s="8"/>
      <c r="E921" s="8"/>
      <c r="F921" s="54"/>
      <c r="G921" s="8"/>
      <c r="H921" s="8"/>
      <c r="I921" s="8"/>
      <c r="J921" s="8"/>
      <c r="K921" s="8"/>
      <c r="L921" s="8"/>
      <c r="M921" s="8"/>
      <c r="N921" s="8"/>
      <c r="O921" s="8"/>
      <c r="P921" s="8"/>
      <c r="Q921" s="8"/>
      <c r="R921" s="8"/>
      <c r="S921" s="8"/>
      <c r="T921" s="8"/>
      <c r="U921" s="53"/>
      <c r="V921" s="53"/>
      <c r="W921" s="53"/>
      <c r="X921" s="53"/>
      <c r="Y921" s="53"/>
      <c r="Z921" s="53"/>
      <c r="AA921" s="53"/>
      <c r="AB921" s="53"/>
      <c r="AC921" s="53"/>
      <c r="AD921" s="53"/>
      <c r="AE921" s="53"/>
      <c r="AF921" s="53"/>
      <c r="AG921" s="8"/>
      <c r="AH921" s="8"/>
      <c r="AI921" s="8"/>
      <c r="AJ921" s="8"/>
      <c r="AK921" s="8"/>
      <c r="AL921" s="8"/>
      <c r="AM921" s="8"/>
      <c r="AN921" s="8"/>
      <c r="AO921" s="8"/>
      <c r="AP921" s="8"/>
      <c r="AQ921" s="8"/>
      <c r="AR921" s="8"/>
      <c r="AS921" s="8"/>
      <c r="AT921" s="8"/>
      <c r="AU921" s="8"/>
      <c r="AV921" s="8"/>
      <c r="AW921" s="8"/>
      <c r="AX921" s="8"/>
      <c r="AY921" s="8"/>
      <c r="AZ921" s="8"/>
      <c r="BA921" s="8"/>
      <c r="BB921" s="8"/>
      <c r="BC921" s="8"/>
      <c r="BD921" s="8"/>
      <c r="BE921" s="8"/>
    </row>
    <row r="922" spans="1:57">
      <c r="A922" s="8"/>
      <c r="B922" s="8"/>
      <c r="C922" s="8"/>
      <c r="D922" s="8"/>
      <c r="E922" s="8"/>
      <c r="F922" s="54"/>
      <c r="G922" s="8"/>
      <c r="H922" s="8"/>
      <c r="I922" s="8"/>
      <c r="J922" s="8"/>
      <c r="K922" s="8"/>
      <c r="L922" s="8"/>
      <c r="M922" s="8"/>
      <c r="N922" s="8"/>
      <c r="O922" s="8"/>
      <c r="P922" s="8"/>
      <c r="Q922" s="8"/>
      <c r="R922" s="8"/>
      <c r="S922" s="8"/>
      <c r="T922" s="8"/>
      <c r="U922" s="53"/>
      <c r="V922" s="53"/>
      <c r="W922" s="53"/>
      <c r="X922" s="53"/>
      <c r="Y922" s="53"/>
      <c r="Z922" s="53"/>
      <c r="AA922" s="53"/>
      <c r="AB922" s="53"/>
      <c r="AC922" s="53"/>
      <c r="AD922" s="53"/>
      <c r="AE922" s="53"/>
      <c r="AF922" s="53"/>
      <c r="AG922" s="8"/>
      <c r="AH922" s="8"/>
      <c r="AI922" s="8"/>
      <c r="AJ922" s="8"/>
      <c r="AK922" s="8"/>
      <c r="AL922" s="8"/>
      <c r="AM922" s="8"/>
      <c r="AN922" s="8"/>
      <c r="AO922" s="8"/>
      <c r="AP922" s="8"/>
      <c r="AQ922" s="8"/>
      <c r="AR922" s="8"/>
      <c r="AS922" s="8"/>
      <c r="AT922" s="8"/>
      <c r="AU922" s="8"/>
      <c r="AV922" s="8"/>
      <c r="AW922" s="8"/>
      <c r="AX922" s="8"/>
      <c r="AY922" s="8"/>
      <c r="AZ922" s="8"/>
      <c r="BA922" s="8"/>
      <c r="BB922" s="8"/>
      <c r="BC922" s="8"/>
      <c r="BD922" s="8"/>
      <c r="BE922" s="8"/>
    </row>
    <row r="923" spans="1:57">
      <c r="A923" s="8"/>
      <c r="B923" s="8"/>
      <c r="C923" s="8"/>
      <c r="D923" s="8"/>
      <c r="E923" s="8"/>
      <c r="F923" s="54"/>
      <c r="G923" s="8"/>
      <c r="H923" s="8"/>
      <c r="I923" s="8"/>
      <c r="J923" s="8"/>
      <c r="K923" s="8"/>
      <c r="L923" s="8"/>
      <c r="M923" s="8"/>
      <c r="N923" s="8"/>
      <c r="O923" s="8"/>
      <c r="P923" s="8"/>
      <c r="Q923" s="8"/>
      <c r="R923" s="8"/>
      <c r="S923" s="8"/>
      <c r="T923" s="8"/>
      <c r="U923" s="53"/>
      <c r="V923" s="53"/>
      <c r="W923" s="53"/>
      <c r="X923" s="53"/>
      <c r="Y923" s="53"/>
      <c r="Z923" s="53"/>
      <c r="AA923" s="53"/>
      <c r="AB923" s="53"/>
      <c r="AC923" s="53"/>
      <c r="AD923" s="53"/>
      <c r="AE923" s="53"/>
      <c r="AF923" s="53"/>
      <c r="AG923" s="8"/>
      <c r="AH923" s="8"/>
      <c r="AI923" s="8"/>
      <c r="AJ923" s="8"/>
      <c r="AK923" s="8"/>
      <c r="AL923" s="8"/>
      <c r="AM923" s="8"/>
      <c r="AN923" s="8"/>
      <c r="AO923" s="8"/>
      <c r="AP923" s="8"/>
      <c r="AQ923" s="8"/>
      <c r="AR923" s="8"/>
      <c r="AS923" s="8"/>
      <c r="AT923" s="8"/>
      <c r="AU923" s="8"/>
      <c r="AV923" s="8"/>
      <c r="AW923" s="8"/>
      <c r="AX923" s="8"/>
      <c r="AY923" s="8"/>
      <c r="AZ923" s="8"/>
      <c r="BA923" s="8"/>
      <c r="BB923" s="8"/>
      <c r="BC923" s="8"/>
      <c r="BD923" s="8"/>
      <c r="BE923" s="8"/>
    </row>
    <row r="924" spans="1:57">
      <c r="A924" s="8"/>
      <c r="B924" s="8"/>
      <c r="C924" s="8"/>
      <c r="D924" s="8"/>
      <c r="E924" s="8"/>
      <c r="F924" s="54"/>
      <c r="G924" s="8"/>
      <c r="H924" s="8"/>
      <c r="I924" s="8"/>
      <c r="J924" s="8"/>
      <c r="K924" s="8"/>
      <c r="L924" s="8"/>
      <c r="M924" s="8"/>
      <c r="N924" s="8"/>
      <c r="O924" s="8"/>
      <c r="P924" s="8"/>
      <c r="Q924" s="8"/>
      <c r="R924" s="8"/>
      <c r="S924" s="8"/>
      <c r="T924" s="8"/>
      <c r="U924" s="53"/>
      <c r="V924" s="53"/>
      <c r="W924" s="53"/>
      <c r="X924" s="53"/>
      <c r="Y924" s="53"/>
      <c r="Z924" s="53"/>
      <c r="AA924" s="53"/>
      <c r="AB924" s="53"/>
      <c r="AC924" s="53"/>
      <c r="AD924" s="53"/>
      <c r="AE924" s="53"/>
      <c r="AF924" s="53"/>
      <c r="AG924" s="8"/>
      <c r="AH924" s="8"/>
      <c r="AI924" s="8"/>
      <c r="AJ924" s="8"/>
      <c r="AK924" s="8"/>
      <c r="AL924" s="8"/>
      <c r="AM924" s="8"/>
      <c r="AN924" s="8"/>
      <c r="AO924" s="8"/>
      <c r="AP924" s="8"/>
      <c r="AQ924" s="8"/>
      <c r="AR924" s="8"/>
      <c r="AS924" s="8"/>
      <c r="AT924" s="8"/>
      <c r="AU924" s="8"/>
      <c r="AV924" s="8"/>
      <c r="AW924" s="8"/>
      <c r="AX924" s="8"/>
      <c r="AY924" s="8"/>
      <c r="AZ924" s="8"/>
      <c r="BA924" s="8"/>
      <c r="BB924" s="8"/>
      <c r="BC924" s="8"/>
      <c r="BD924" s="8"/>
      <c r="BE924" s="8"/>
    </row>
    <row r="925" spans="1:57">
      <c r="A925" s="8"/>
      <c r="B925" s="8"/>
      <c r="C925" s="8"/>
      <c r="D925" s="8"/>
      <c r="E925" s="8"/>
      <c r="F925" s="54"/>
      <c r="G925" s="8"/>
      <c r="H925" s="8"/>
      <c r="I925" s="8"/>
      <c r="J925" s="8"/>
      <c r="K925" s="8"/>
      <c r="L925" s="8"/>
      <c r="M925" s="8"/>
      <c r="N925" s="8"/>
      <c r="O925" s="8"/>
      <c r="P925" s="8"/>
      <c r="Q925" s="8"/>
      <c r="R925" s="8"/>
      <c r="S925" s="8"/>
      <c r="T925" s="8"/>
      <c r="U925" s="53"/>
      <c r="V925" s="53"/>
      <c r="W925" s="53"/>
      <c r="X925" s="53"/>
      <c r="Y925" s="53"/>
      <c r="Z925" s="53"/>
      <c r="AA925" s="53"/>
      <c r="AB925" s="53"/>
      <c r="AC925" s="53"/>
      <c r="AD925" s="53"/>
      <c r="AE925" s="53"/>
      <c r="AF925" s="53"/>
      <c r="AG925" s="8"/>
      <c r="AH925" s="8"/>
      <c r="AI925" s="8"/>
      <c r="AJ925" s="8"/>
      <c r="AK925" s="8"/>
      <c r="AL925" s="8"/>
      <c r="AM925" s="8"/>
      <c r="AN925" s="8"/>
      <c r="AO925" s="8"/>
      <c r="AP925" s="8"/>
      <c r="AQ925" s="8"/>
      <c r="AR925" s="8"/>
      <c r="AS925" s="8"/>
      <c r="AT925" s="8"/>
      <c r="AU925" s="8"/>
      <c r="AV925" s="8"/>
      <c r="AW925" s="8"/>
      <c r="AX925" s="8"/>
      <c r="AY925" s="8"/>
      <c r="AZ925" s="8"/>
      <c r="BA925" s="8"/>
      <c r="BB925" s="8"/>
      <c r="BC925" s="8"/>
      <c r="BD925" s="8"/>
      <c r="BE925" s="8"/>
    </row>
    <row r="926" spans="1:57">
      <c r="A926" s="8"/>
      <c r="B926" s="8"/>
      <c r="C926" s="8"/>
      <c r="D926" s="8"/>
      <c r="E926" s="8"/>
      <c r="F926" s="54"/>
      <c r="G926" s="8"/>
      <c r="H926" s="8"/>
      <c r="I926" s="8"/>
      <c r="J926" s="8"/>
      <c r="K926" s="8"/>
      <c r="L926" s="8"/>
      <c r="M926" s="8"/>
      <c r="N926" s="8"/>
      <c r="O926" s="8"/>
      <c r="P926" s="8"/>
      <c r="Q926" s="8"/>
      <c r="R926" s="8"/>
      <c r="S926" s="8"/>
      <c r="T926" s="8"/>
      <c r="U926" s="53"/>
      <c r="V926" s="53"/>
      <c r="W926" s="53"/>
      <c r="X926" s="53"/>
      <c r="Y926" s="53"/>
      <c r="Z926" s="53"/>
      <c r="AA926" s="53"/>
      <c r="AB926" s="53"/>
      <c r="AC926" s="53"/>
      <c r="AD926" s="53"/>
      <c r="AE926" s="53"/>
      <c r="AF926" s="53"/>
      <c r="AG926" s="8"/>
      <c r="AH926" s="8"/>
      <c r="AI926" s="8"/>
      <c r="AJ926" s="8"/>
      <c r="AK926" s="8"/>
      <c r="AL926" s="8"/>
      <c r="AM926" s="8"/>
      <c r="AN926" s="8"/>
      <c r="AO926" s="8"/>
      <c r="AP926" s="8"/>
      <c r="AQ926" s="8"/>
      <c r="AR926" s="8"/>
      <c r="AS926" s="8"/>
      <c r="AT926" s="8"/>
      <c r="AU926" s="8"/>
      <c r="AV926" s="8"/>
      <c r="AW926" s="8"/>
      <c r="AX926" s="8"/>
      <c r="AY926" s="8"/>
      <c r="AZ926" s="8"/>
      <c r="BA926" s="8"/>
      <c r="BB926" s="8"/>
      <c r="BC926" s="8"/>
      <c r="BD926" s="8"/>
      <c r="BE926" s="8"/>
    </row>
    <row r="927" spans="1:57">
      <c r="A927" s="8"/>
      <c r="B927" s="8"/>
      <c r="C927" s="8"/>
      <c r="D927" s="8"/>
      <c r="E927" s="8"/>
      <c r="F927" s="54"/>
      <c r="G927" s="8"/>
      <c r="H927" s="8"/>
      <c r="I927" s="8"/>
      <c r="J927" s="8"/>
      <c r="K927" s="8"/>
      <c r="L927" s="8"/>
      <c r="M927" s="8"/>
      <c r="N927" s="8"/>
      <c r="O927" s="8"/>
      <c r="P927" s="8"/>
      <c r="Q927" s="8"/>
      <c r="R927" s="8"/>
      <c r="S927" s="8"/>
      <c r="T927" s="8"/>
      <c r="U927" s="53"/>
      <c r="V927" s="53"/>
      <c r="W927" s="53"/>
      <c r="X927" s="53"/>
      <c r="Y927" s="53"/>
      <c r="Z927" s="53"/>
      <c r="AA927" s="53"/>
      <c r="AB927" s="53"/>
      <c r="AC927" s="53"/>
      <c r="AD927" s="53"/>
      <c r="AE927" s="53"/>
      <c r="AF927" s="53"/>
      <c r="AG927" s="8"/>
      <c r="AH927" s="8"/>
      <c r="AI927" s="8"/>
      <c r="AJ927" s="8"/>
      <c r="AK927" s="8"/>
      <c r="AL927" s="8"/>
      <c r="AM927" s="8"/>
      <c r="AN927" s="8"/>
      <c r="AO927" s="8"/>
      <c r="AP927" s="8"/>
      <c r="AQ927" s="8"/>
      <c r="AR927" s="8"/>
      <c r="AS927" s="8"/>
      <c r="AT927" s="8"/>
      <c r="AU927" s="8"/>
      <c r="AV927" s="8"/>
      <c r="AW927" s="8"/>
      <c r="AX927" s="8"/>
      <c r="AY927" s="8"/>
      <c r="AZ927" s="8"/>
      <c r="BA927" s="8"/>
      <c r="BB927" s="8"/>
      <c r="BC927" s="8"/>
      <c r="BD927" s="8"/>
      <c r="BE927" s="8"/>
    </row>
    <row r="928" spans="1:57">
      <c r="A928" s="8"/>
      <c r="B928" s="8"/>
      <c r="C928" s="8"/>
      <c r="D928" s="8"/>
      <c r="E928" s="8"/>
      <c r="F928" s="54"/>
      <c r="G928" s="8"/>
      <c r="H928" s="8"/>
      <c r="I928" s="8"/>
      <c r="J928" s="8"/>
      <c r="K928" s="8"/>
      <c r="L928" s="8"/>
      <c r="M928" s="8"/>
      <c r="N928" s="8"/>
      <c r="O928" s="8"/>
      <c r="P928" s="8"/>
      <c r="Q928" s="8"/>
      <c r="R928" s="8"/>
      <c r="S928" s="8"/>
      <c r="T928" s="8"/>
      <c r="U928" s="53"/>
      <c r="V928" s="53"/>
      <c r="W928" s="53"/>
      <c r="X928" s="53"/>
      <c r="Y928" s="53"/>
      <c r="Z928" s="53"/>
      <c r="AA928" s="53"/>
      <c r="AB928" s="53"/>
      <c r="AC928" s="53"/>
      <c r="AD928" s="53"/>
      <c r="AE928" s="53"/>
      <c r="AF928" s="53"/>
      <c r="AG928" s="8"/>
      <c r="AH928" s="8"/>
      <c r="AI928" s="8"/>
      <c r="AJ928" s="8"/>
      <c r="AK928" s="8"/>
      <c r="AL928" s="8"/>
      <c r="AM928" s="8"/>
      <c r="AN928" s="8"/>
      <c r="AO928" s="8"/>
      <c r="AP928" s="8"/>
      <c r="AQ928" s="8"/>
      <c r="AR928" s="8"/>
      <c r="AS928" s="8"/>
      <c r="AT928" s="8"/>
      <c r="AU928" s="8"/>
      <c r="AV928" s="8"/>
      <c r="AW928" s="8"/>
      <c r="AX928" s="8"/>
      <c r="AY928" s="8"/>
      <c r="AZ928" s="8"/>
      <c r="BA928" s="8"/>
      <c r="BB928" s="8"/>
      <c r="BC928" s="8"/>
      <c r="BD928" s="8"/>
      <c r="BE928" s="8"/>
    </row>
    <row r="929" spans="1:57">
      <c r="A929" s="8"/>
      <c r="B929" s="8"/>
      <c r="C929" s="8"/>
      <c r="D929" s="8"/>
      <c r="E929" s="8"/>
      <c r="F929" s="54"/>
      <c r="G929" s="8"/>
      <c r="H929" s="8"/>
      <c r="I929" s="8"/>
      <c r="J929" s="8"/>
      <c r="K929" s="8"/>
      <c r="L929" s="8"/>
      <c r="M929" s="8"/>
      <c r="N929" s="8"/>
      <c r="O929" s="8"/>
      <c r="P929" s="8"/>
      <c r="Q929" s="8"/>
      <c r="R929" s="8"/>
      <c r="S929" s="8"/>
      <c r="T929" s="8"/>
      <c r="U929" s="53"/>
      <c r="V929" s="53"/>
      <c r="W929" s="53"/>
      <c r="X929" s="53"/>
      <c r="Y929" s="53"/>
      <c r="Z929" s="53"/>
      <c r="AA929" s="53"/>
      <c r="AB929" s="53"/>
      <c r="AC929" s="53"/>
      <c r="AD929" s="53"/>
      <c r="AE929" s="53"/>
      <c r="AF929" s="53"/>
      <c r="AG929" s="8"/>
      <c r="AH929" s="8"/>
      <c r="AI929" s="8"/>
      <c r="AJ929" s="8"/>
      <c r="AK929" s="8"/>
      <c r="AL929" s="8"/>
      <c r="AM929" s="8"/>
      <c r="AN929" s="8"/>
      <c r="AO929" s="8"/>
      <c r="AP929" s="8"/>
      <c r="AQ929" s="8"/>
      <c r="AR929" s="8"/>
      <c r="AS929" s="8"/>
      <c r="AT929" s="8"/>
      <c r="AU929" s="8"/>
      <c r="AV929" s="8"/>
      <c r="AW929" s="8"/>
      <c r="AX929" s="8"/>
      <c r="AY929" s="8"/>
      <c r="AZ929" s="8"/>
      <c r="BA929" s="8"/>
      <c r="BB929" s="8"/>
      <c r="BC929" s="8"/>
      <c r="BD929" s="8"/>
      <c r="BE929" s="8"/>
    </row>
    <row r="930" spans="1:57">
      <c r="A930" s="8"/>
      <c r="B930" s="8"/>
      <c r="C930" s="8"/>
      <c r="D930" s="8"/>
      <c r="E930" s="8"/>
      <c r="F930" s="54"/>
      <c r="G930" s="8"/>
      <c r="H930" s="8"/>
      <c r="I930" s="8"/>
      <c r="J930" s="8"/>
      <c r="K930" s="8"/>
      <c r="L930" s="8"/>
      <c r="M930" s="8"/>
      <c r="N930" s="8"/>
      <c r="O930" s="8"/>
      <c r="P930" s="8"/>
      <c r="Q930" s="8"/>
      <c r="R930" s="8"/>
      <c r="S930" s="8"/>
      <c r="T930" s="8"/>
      <c r="U930" s="53"/>
      <c r="V930" s="53"/>
      <c r="W930" s="53"/>
      <c r="X930" s="53"/>
      <c r="Y930" s="53"/>
      <c r="Z930" s="53"/>
      <c r="AA930" s="53"/>
      <c r="AB930" s="53"/>
      <c r="AC930" s="53"/>
      <c r="AD930" s="53"/>
      <c r="AE930" s="53"/>
      <c r="AF930" s="53"/>
      <c r="AG930" s="8"/>
      <c r="AH930" s="8"/>
      <c r="AI930" s="8"/>
      <c r="AJ930" s="8"/>
      <c r="AK930" s="8"/>
      <c r="AL930" s="8"/>
      <c r="AM930" s="8"/>
      <c r="AN930" s="8"/>
      <c r="AO930" s="8"/>
      <c r="AP930" s="8"/>
      <c r="AQ930" s="8"/>
      <c r="AR930" s="8"/>
      <c r="AS930" s="8"/>
      <c r="AT930" s="8"/>
      <c r="AU930" s="8"/>
      <c r="AV930" s="8"/>
      <c r="AW930" s="8"/>
      <c r="AX930" s="8"/>
      <c r="AY930" s="8"/>
      <c r="AZ930" s="8"/>
      <c r="BA930" s="8"/>
      <c r="BB930" s="8"/>
      <c r="BC930" s="8"/>
      <c r="BD930" s="8"/>
      <c r="BE930" s="8"/>
    </row>
    <row r="931" spans="1:57">
      <c r="A931" s="8"/>
      <c r="B931" s="8"/>
      <c r="C931" s="8"/>
      <c r="D931" s="8"/>
      <c r="E931" s="8"/>
      <c r="F931" s="54"/>
      <c r="G931" s="8"/>
      <c r="H931" s="8"/>
      <c r="I931" s="8"/>
      <c r="J931" s="8"/>
      <c r="K931" s="8"/>
      <c r="L931" s="8"/>
      <c r="M931" s="8"/>
      <c r="N931" s="8"/>
      <c r="O931" s="8"/>
      <c r="P931" s="8"/>
      <c r="Q931" s="8"/>
      <c r="R931" s="8"/>
      <c r="S931" s="8"/>
      <c r="T931" s="8"/>
      <c r="U931" s="53"/>
      <c r="V931" s="53"/>
      <c r="W931" s="53"/>
      <c r="X931" s="53"/>
      <c r="Y931" s="53"/>
      <c r="Z931" s="53"/>
      <c r="AA931" s="53"/>
      <c r="AB931" s="53"/>
      <c r="AC931" s="53"/>
      <c r="AD931" s="53"/>
      <c r="AE931" s="53"/>
      <c r="AF931" s="53"/>
      <c r="AG931" s="8"/>
      <c r="AH931" s="8"/>
      <c r="AI931" s="8"/>
      <c r="AJ931" s="8"/>
      <c r="AK931" s="8"/>
      <c r="AL931" s="8"/>
      <c r="AM931" s="8"/>
      <c r="AN931" s="8"/>
      <c r="AO931" s="8"/>
      <c r="AP931" s="8"/>
      <c r="AQ931" s="8"/>
      <c r="AR931" s="8"/>
      <c r="AS931" s="8"/>
      <c r="AT931" s="8"/>
      <c r="AU931" s="8"/>
      <c r="AV931" s="8"/>
      <c r="AW931" s="8"/>
      <c r="AX931" s="8"/>
      <c r="AY931" s="8"/>
      <c r="AZ931" s="8"/>
      <c r="BA931" s="8"/>
      <c r="BB931" s="8"/>
      <c r="BC931" s="8"/>
      <c r="BD931" s="8"/>
      <c r="BE931" s="8"/>
    </row>
    <row r="932" spans="1:57">
      <c r="A932" s="8"/>
      <c r="B932" s="8"/>
      <c r="C932" s="8"/>
      <c r="D932" s="8"/>
      <c r="E932" s="8"/>
      <c r="F932" s="54"/>
      <c r="G932" s="8"/>
      <c r="H932" s="8"/>
      <c r="I932" s="8"/>
      <c r="J932" s="8"/>
      <c r="K932" s="8"/>
      <c r="L932" s="8"/>
      <c r="M932" s="8"/>
      <c r="N932" s="8"/>
      <c r="O932" s="8"/>
      <c r="P932" s="8"/>
      <c r="Q932" s="8"/>
      <c r="R932" s="8"/>
      <c r="S932" s="8"/>
      <c r="T932" s="8"/>
      <c r="U932" s="53"/>
      <c r="V932" s="53"/>
      <c r="W932" s="53"/>
      <c r="X932" s="53"/>
      <c r="Y932" s="53"/>
      <c r="Z932" s="53"/>
      <c r="AA932" s="53"/>
      <c r="AB932" s="53"/>
      <c r="AC932" s="53"/>
      <c r="AD932" s="53"/>
      <c r="AE932" s="53"/>
      <c r="AF932" s="53"/>
      <c r="AG932" s="8"/>
      <c r="AH932" s="8"/>
      <c r="AI932" s="8"/>
      <c r="AJ932" s="8"/>
      <c r="AK932" s="8"/>
      <c r="AL932" s="8"/>
      <c r="AM932" s="8"/>
      <c r="AN932" s="8"/>
      <c r="AO932" s="8"/>
      <c r="AP932" s="8"/>
      <c r="AQ932" s="8"/>
      <c r="AR932" s="8"/>
      <c r="AS932" s="8"/>
      <c r="AT932" s="8"/>
      <c r="AU932" s="8"/>
      <c r="AV932" s="8"/>
      <c r="AW932" s="8"/>
      <c r="AX932" s="8"/>
      <c r="AY932" s="8"/>
      <c r="AZ932" s="8"/>
      <c r="BA932" s="8"/>
      <c r="BB932" s="8"/>
      <c r="BC932" s="8"/>
      <c r="BD932" s="8"/>
      <c r="BE932" s="8"/>
    </row>
    <row r="933" spans="1:57">
      <c r="A933" s="8"/>
      <c r="B933" s="8"/>
      <c r="C933" s="8"/>
      <c r="D933" s="8"/>
      <c r="E933" s="8"/>
      <c r="F933" s="54"/>
      <c r="G933" s="8"/>
      <c r="H933" s="8"/>
      <c r="I933" s="8"/>
      <c r="J933" s="8"/>
      <c r="K933" s="8"/>
      <c r="L933" s="8"/>
      <c r="M933" s="8"/>
      <c r="N933" s="8"/>
      <c r="O933" s="8"/>
      <c r="P933" s="8"/>
      <c r="Q933" s="8"/>
      <c r="R933" s="8"/>
      <c r="S933" s="8"/>
      <c r="T933" s="8"/>
      <c r="U933" s="53"/>
      <c r="V933" s="53"/>
      <c r="W933" s="53"/>
      <c r="X933" s="53"/>
      <c r="Y933" s="53"/>
      <c r="Z933" s="53"/>
      <c r="AA933" s="53"/>
      <c r="AB933" s="53"/>
      <c r="AC933" s="53"/>
      <c r="AD933" s="53"/>
      <c r="AE933" s="53"/>
      <c r="AF933" s="53"/>
      <c r="AG933" s="8"/>
      <c r="AH933" s="8"/>
      <c r="AI933" s="8"/>
      <c r="AJ933" s="8"/>
      <c r="AK933" s="8"/>
      <c r="AL933" s="8"/>
      <c r="AM933" s="8"/>
      <c r="AN933" s="8"/>
      <c r="AO933" s="8"/>
      <c r="AP933" s="8"/>
      <c r="AQ933" s="8"/>
      <c r="AR933" s="8"/>
      <c r="AS933" s="8"/>
      <c r="AT933" s="8"/>
      <c r="AU933" s="8"/>
      <c r="AV933" s="8"/>
      <c r="AW933" s="8"/>
      <c r="AX933" s="8"/>
      <c r="AY933" s="8"/>
      <c r="AZ933" s="8"/>
      <c r="BA933" s="8"/>
      <c r="BB933" s="8"/>
      <c r="BC933" s="8"/>
      <c r="BD933" s="8"/>
      <c r="BE933" s="8"/>
    </row>
    <row r="934" spans="1:57">
      <c r="A934" s="8"/>
      <c r="B934" s="8"/>
      <c r="C934" s="8"/>
      <c r="D934" s="8"/>
      <c r="E934" s="8"/>
      <c r="F934" s="54"/>
      <c r="G934" s="8"/>
      <c r="H934" s="8"/>
      <c r="I934" s="8"/>
      <c r="J934" s="8"/>
      <c r="K934" s="8"/>
      <c r="L934" s="8"/>
      <c r="M934" s="8"/>
      <c r="N934" s="8"/>
      <c r="O934" s="8"/>
      <c r="P934" s="8"/>
      <c r="Q934" s="8"/>
      <c r="R934" s="8"/>
      <c r="S934" s="8"/>
      <c r="T934" s="8"/>
      <c r="U934" s="53"/>
      <c r="V934" s="53"/>
      <c r="W934" s="53"/>
      <c r="X934" s="53"/>
      <c r="Y934" s="53"/>
      <c r="Z934" s="53"/>
      <c r="AA934" s="53"/>
      <c r="AB934" s="53"/>
      <c r="AC934" s="53"/>
      <c r="AD934" s="53"/>
      <c r="AE934" s="53"/>
      <c r="AF934" s="53"/>
      <c r="AG934" s="8"/>
      <c r="AH934" s="8"/>
      <c r="AI934" s="8"/>
      <c r="AJ934" s="8"/>
      <c r="AK934" s="8"/>
      <c r="AL934" s="8"/>
      <c r="AM934" s="8"/>
      <c r="AN934" s="8"/>
      <c r="AO934" s="8"/>
      <c r="AP934" s="8"/>
      <c r="AQ934" s="8"/>
      <c r="AR934" s="8"/>
      <c r="AS934" s="8"/>
      <c r="AT934" s="8"/>
      <c r="AU934" s="8"/>
      <c r="AV934" s="8"/>
      <c r="AW934" s="8"/>
      <c r="AX934" s="8"/>
      <c r="AY934" s="8"/>
      <c r="AZ934" s="8"/>
      <c r="BA934" s="8"/>
      <c r="BB934" s="8"/>
      <c r="BC934" s="8"/>
      <c r="BD934" s="8"/>
      <c r="BE934" s="8"/>
    </row>
    <row r="935" spans="1:57">
      <c r="A935" s="8"/>
      <c r="B935" s="8"/>
      <c r="C935" s="8"/>
      <c r="D935" s="8"/>
      <c r="E935" s="8"/>
      <c r="F935" s="54"/>
      <c r="G935" s="8"/>
      <c r="H935" s="8"/>
      <c r="I935" s="8"/>
      <c r="J935" s="8"/>
      <c r="K935" s="8"/>
      <c r="L935" s="8"/>
      <c r="M935" s="8"/>
      <c r="N935" s="8"/>
      <c r="O935" s="8"/>
      <c r="P935" s="8"/>
      <c r="Q935" s="8"/>
      <c r="R935" s="8"/>
      <c r="S935" s="8"/>
      <c r="T935" s="8"/>
      <c r="U935" s="53"/>
      <c r="V935" s="53"/>
      <c r="W935" s="53"/>
      <c r="X935" s="53"/>
      <c r="Y935" s="53"/>
      <c r="Z935" s="53"/>
      <c r="AA935" s="53"/>
      <c r="AB935" s="53"/>
      <c r="AC935" s="53"/>
      <c r="AD935" s="53"/>
      <c r="AE935" s="53"/>
      <c r="AF935" s="53"/>
      <c r="AG935" s="8"/>
      <c r="AH935" s="8"/>
      <c r="AI935" s="8"/>
      <c r="AJ935" s="8"/>
      <c r="AK935" s="8"/>
      <c r="AL935" s="8"/>
      <c r="AM935" s="8"/>
      <c r="AN935" s="8"/>
      <c r="AO935" s="8"/>
      <c r="AP935" s="8"/>
      <c r="AQ935" s="8"/>
      <c r="AR935" s="8"/>
      <c r="AS935" s="8"/>
      <c r="AT935" s="8"/>
      <c r="AU935" s="8"/>
      <c r="AV935" s="8"/>
      <c r="AW935" s="8"/>
      <c r="AX935" s="8"/>
      <c r="AY935" s="8"/>
      <c r="AZ935" s="8"/>
      <c r="BA935" s="8"/>
      <c r="BB935" s="8"/>
      <c r="BC935" s="8"/>
      <c r="BD935" s="8"/>
      <c r="BE935" s="8"/>
    </row>
    <row r="936" spans="1:57">
      <c r="A936" s="8"/>
      <c r="B936" s="8"/>
      <c r="C936" s="8"/>
      <c r="D936" s="8"/>
      <c r="E936" s="8"/>
      <c r="F936" s="54"/>
      <c r="G936" s="8"/>
      <c r="H936" s="8"/>
      <c r="I936" s="8"/>
      <c r="J936" s="8"/>
      <c r="K936" s="8"/>
      <c r="L936" s="8"/>
      <c r="M936" s="8"/>
      <c r="N936" s="8"/>
      <c r="O936" s="8"/>
      <c r="P936" s="8"/>
      <c r="Q936" s="8"/>
      <c r="R936" s="8"/>
      <c r="S936" s="8"/>
      <c r="T936" s="8"/>
      <c r="U936" s="53"/>
      <c r="V936" s="53"/>
      <c r="W936" s="53"/>
      <c r="X936" s="53"/>
      <c r="Y936" s="53"/>
      <c r="Z936" s="53"/>
      <c r="AA936" s="53"/>
      <c r="AB936" s="53"/>
      <c r="AC936" s="53"/>
      <c r="AD936" s="53"/>
      <c r="AE936" s="53"/>
      <c r="AF936" s="53"/>
      <c r="AG936" s="8"/>
      <c r="AH936" s="8"/>
      <c r="AI936" s="8"/>
      <c r="AJ936" s="8"/>
      <c r="AK936" s="8"/>
      <c r="AL936" s="8"/>
      <c r="AM936" s="8"/>
      <c r="AN936" s="8"/>
      <c r="AO936" s="8"/>
      <c r="AP936" s="8"/>
      <c r="AQ936" s="8"/>
      <c r="AR936" s="8"/>
      <c r="AS936" s="8"/>
      <c r="AT936" s="8"/>
      <c r="AU936" s="8"/>
      <c r="AV936" s="8"/>
      <c r="AW936" s="8"/>
      <c r="AX936" s="8"/>
      <c r="AY936" s="8"/>
      <c r="AZ936" s="8"/>
      <c r="BA936" s="8"/>
      <c r="BB936" s="8"/>
      <c r="BC936" s="8"/>
      <c r="BD936" s="8"/>
      <c r="BE936" s="8"/>
    </row>
    <row r="937" spans="1:57">
      <c r="A937" s="8"/>
      <c r="B937" s="8"/>
      <c r="C937" s="8"/>
      <c r="D937" s="8"/>
      <c r="E937" s="8"/>
      <c r="F937" s="54"/>
      <c r="G937" s="8"/>
      <c r="H937" s="8"/>
      <c r="I937" s="8"/>
      <c r="J937" s="8"/>
      <c r="K937" s="8"/>
      <c r="L937" s="8"/>
      <c r="M937" s="8"/>
      <c r="N937" s="8"/>
      <c r="O937" s="8"/>
      <c r="P937" s="8"/>
      <c r="Q937" s="8"/>
      <c r="R937" s="8"/>
      <c r="S937" s="8"/>
      <c r="T937" s="8"/>
      <c r="U937" s="53"/>
      <c r="V937" s="53"/>
      <c r="W937" s="53"/>
      <c r="X937" s="53"/>
      <c r="Y937" s="53"/>
      <c r="Z937" s="53"/>
      <c r="AA937" s="53"/>
      <c r="AB937" s="53"/>
      <c r="AC937" s="53"/>
      <c r="AD937" s="53"/>
      <c r="AE937" s="53"/>
      <c r="AF937" s="53"/>
      <c r="AG937" s="8"/>
      <c r="AH937" s="8"/>
      <c r="AI937" s="8"/>
      <c r="AJ937" s="8"/>
      <c r="AK937" s="8"/>
      <c r="AL937" s="8"/>
      <c r="AM937" s="8"/>
      <c r="AN937" s="8"/>
      <c r="AO937" s="8"/>
      <c r="AP937" s="8"/>
      <c r="AQ937" s="8"/>
      <c r="AR937" s="8"/>
      <c r="AS937" s="8"/>
      <c r="AT937" s="8"/>
      <c r="AU937" s="8"/>
      <c r="AV937" s="8"/>
      <c r="AW937" s="8"/>
      <c r="AX937" s="8"/>
      <c r="AY937" s="8"/>
      <c r="AZ937" s="8"/>
      <c r="BA937" s="8"/>
      <c r="BB937" s="8"/>
      <c r="BC937" s="8"/>
      <c r="BD937" s="8"/>
      <c r="BE937" s="8"/>
    </row>
    <row r="938" spans="1:57">
      <c r="A938" s="8"/>
      <c r="B938" s="8"/>
      <c r="C938" s="8"/>
      <c r="D938" s="8"/>
      <c r="E938" s="8"/>
      <c r="F938" s="54"/>
      <c r="G938" s="8"/>
      <c r="H938" s="8"/>
      <c r="I938" s="8"/>
      <c r="J938" s="8"/>
      <c r="K938" s="8"/>
      <c r="L938" s="8"/>
      <c r="M938" s="8"/>
      <c r="N938" s="8"/>
      <c r="O938" s="8"/>
      <c r="P938" s="8"/>
      <c r="Q938" s="8"/>
      <c r="R938" s="8"/>
      <c r="S938" s="8"/>
      <c r="T938" s="8"/>
      <c r="U938" s="53"/>
      <c r="V938" s="53"/>
      <c r="W938" s="53"/>
      <c r="X938" s="53"/>
      <c r="Y938" s="53"/>
      <c r="Z938" s="53"/>
      <c r="AA938" s="53"/>
      <c r="AB938" s="53"/>
      <c r="AC938" s="53"/>
      <c r="AD938" s="53"/>
      <c r="AE938" s="53"/>
      <c r="AF938" s="53"/>
      <c r="AG938" s="8"/>
      <c r="AH938" s="8"/>
      <c r="AI938" s="8"/>
      <c r="AJ938" s="8"/>
      <c r="AK938" s="8"/>
      <c r="AL938" s="8"/>
      <c r="AM938" s="8"/>
      <c r="AN938" s="8"/>
      <c r="AO938" s="8"/>
      <c r="AP938" s="8"/>
      <c r="AQ938" s="8"/>
      <c r="AR938" s="8"/>
      <c r="AS938" s="8"/>
      <c r="AT938" s="8"/>
      <c r="AU938" s="8"/>
      <c r="AV938" s="8"/>
      <c r="AW938" s="8"/>
      <c r="AX938" s="8"/>
      <c r="AY938" s="8"/>
      <c r="AZ938" s="8"/>
      <c r="BA938" s="8"/>
      <c r="BB938" s="8"/>
      <c r="BC938" s="8"/>
      <c r="BD938" s="8"/>
      <c r="BE938" s="8"/>
    </row>
    <row r="939" spans="1:57">
      <c r="A939" s="8"/>
      <c r="B939" s="8"/>
      <c r="C939" s="8"/>
      <c r="D939" s="8"/>
      <c r="E939" s="8"/>
      <c r="F939" s="54"/>
      <c r="G939" s="8"/>
      <c r="H939" s="8"/>
      <c r="I939" s="8"/>
      <c r="J939" s="8"/>
      <c r="K939" s="8"/>
      <c r="L939" s="8"/>
      <c r="M939" s="8"/>
      <c r="N939" s="8"/>
      <c r="O939" s="8"/>
      <c r="P939" s="8"/>
      <c r="Q939" s="8"/>
      <c r="R939" s="8"/>
      <c r="S939" s="8"/>
      <c r="T939" s="8"/>
      <c r="U939" s="53"/>
      <c r="V939" s="53"/>
      <c r="W939" s="53"/>
      <c r="X939" s="53"/>
      <c r="Y939" s="53"/>
      <c r="Z939" s="53"/>
      <c r="AA939" s="53"/>
      <c r="AB939" s="53"/>
      <c r="AC939" s="53"/>
      <c r="AD939" s="53"/>
      <c r="AE939" s="53"/>
      <c r="AF939" s="53"/>
      <c r="AG939" s="8"/>
      <c r="AH939" s="8"/>
      <c r="AI939" s="8"/>
      <c r="AJ939" s="8"/>
      <c r="AK939" s="8"/>
      <c r="AL939" s="8"/>
      <c r="AM939" s="8"/>
      <c r="AN939" s="8"/>
      <c r="AO939" s="8"/>
      <c r="AP939" s="8"/>
      <c r="AQ939" s="8"/>
      <c r="AR939" s="8"/>
      <c r="AS939" s="8"/>
      <c r="AT939" s="8"/>
      <c r="AU939" s="8"/>
      <c r="AV939" s="8"/>
      <c r="AW939" s="8"/>
      <c r="AX939" s="8"/>
      <c r="AY939" s="8"/>
      <c r="AZ939" s="8"/>
      <c r="BA939" s="8"/>
      <c r="BB939" s="8"/>
      <c r="BC939" s="8"/>
      <c r="BD939" s="8"/>
      <c r="BE939" s="8"/>
    </row>
    <row r="940" spans="1:57">
      <c r="A940" s="8"/>
      <c r="B940" s="8"/>
      <c r="C940" s="8"/>
      <c r="D940" s="8"/>
      <c r="E940" s="8"/>
      <c r="F940" s="54"/>
      <c r="G940" s="8"/>
      <c r="H940" s="8"/>
      <c r="I940" s="8"/>
      <c r="J940" s="8"/>
      <c r="K940" s="8"/>
      <c r="L940" s="8"/>
      <c r="M940" s="8"/>
      <c r="N940" s="8"/>
      <c r="O940" s="8"/>
      <c r="P940" s="8"/>
      <c r="Q940" s="8"/>
      <c r="R940" s="8"/>
      <c r="S940" s="8"/>
      <c r="T940" s="8"/>
      <c r="U940" s="53"/>
      <c r="V940" s="53"/>
      <c r="W940" s="53"/>
      <c r="X940" s="53"/>
      <c r="Y940" s="53"/>
      <c r="Z940" s="53"/>
      <c r="AA940" s="53"/>
      <c r="AB940" s="53"/>
      <c r="AC940" s="53"/>
      <c r="AD940" s="53"/>
      <c r="AE940" s="53"/>
      <c r="AF940" s="53"/>
      <c r="AG940" s="8"/>
      <c r="AH940" s="8"/>
      <c r="AI940" s="8"/>
      <c r="AJ940" s="8"/>
      <c r="AK940" s="8"/>
      <c r="AL940" s="8"/>
      <c r="AM940" s="8"/>
      <c r="AN940" s="8"/>
      <c r="AO940" s="8"/>
      <c r="AP940" s="8"/>
      <c r="AQ940" s="8"/>
      <c r="AR940" s="8"/>
      <c r="AS940" s="8"/>
      <c r="AT940" s="8"/>
      <c r="AU940" s="8"/>
      <c r="AV940" s="8"/>
      <c r="AW940" s="8"/>
      <c r="AX940" s="8"/>
      <c r="AY940" s="8"/>
      <c r="AZ940" s="8"/>
      <c r="BA940" s="8"/>
      <c r="BB940" s="8"/>
      <c r="BC940" s="8"/>
      <c r="BD940" s="8"/>
      <c r="BE940" s="8"/>
    </row>
    <row r="941" spans="1:57">
      <c r="A941" s="8"/>
      <c r="B941" s="8"/>
      <c r="C941" s="8"/>
      <c r="D941" s="8"/>
      <c r="E941" s="8"/>
      <c r="F941" s="54"/>
      <c r="G941" s="8"/>
      <c r="H941" s="8"/>
      <c r="I941" s="8"/>
      <c r="J941" s="8"/>
      <c r="K941" s="8"/>
      <c r="L941" s="8"/>
      <c r="M941" s="8"/>
      <c r="N941" s="8"/>
      <c r="O941" s="8"/>
      <c r="P941" s="8"/>
      <c r="Q941" s="8"/>
      <c r="R941" s="8"/>
      <c r="S941" s="8"/>
      <c r="T941" s="8"/>
      <c r="U941" s="53"/>
      <c r="V941" s="53"/>
      <c r="W941" s="53"/>
      <c r="X941" s="53"/>
      <c r="Y941" s="53"/>
      <c r="Z941" s="53"/>
      <c r="AA941" s="53"/>
      <c r="AB941" s="53"/>
      <c r="AC941" s="53"/>
      <c r="AD941" s="53"/>
      <c r="AE941" s="53"/>
      <c r="AF941" s="53"/>
      <c r="AG941" s="8"/>
      <c r="AH941" s="8"/>
      <c r="AI941" s="8"/>
      <c r="AJ941" s="8"/>
      <c r="AK941" s="8"/>
      <c r="AL941" s="8"/>
      <c r="AM941" s="8"/>
      <c r="AN941" s="8"/>
      <c r="AO941" s="8"/>
      <c r="AP941" s="8"/>
      <c r="AQ941" s="8"/>
      <c r="AR941" s="8"/>
      <c r="AS941" s="8"/>
      <c r="AT941" s="8"/>
      <c r="AU941" s="8"/>
      <c r="AV941" s="8"/>
      <c r="AW941" s="8"/>
      <c r="AX941" s="8"/>
      <c r="AY941" s="8"/>
      <c r="AZ941" s="8"/>
      <c r="BA941" s="8"/>
      <c r="BB941" s="8"/>
      <c r="BC941" s="8"/>
      <c r="BD941" s="8"/>
      <c r="BE941" s="8"/>
    </row>
    <row r="942" spans="1:57">
      <c r="A942" s="8"/>
      <c r="B942" s="8"/>
      <c r="C942" s="8"/>
      <c r="D942" s="8"/>
      <c r="E942" s="8"/>
      <c r="F942" s="54"/>
      <c r="G942" s="8"/>
      <c r="H942" s="8"/>
      <c r="I942" s="8"/>
      <c r="J942" s="8"/>
      <c r="K942" s="8"/>
      <c r="L942" s="8"/>
      <c r="M942" s="8"/>
      <c r="N942" s="8"/>
      <c r="O942" s="8"/>
      <c r="P942" s="8"/>
      <c r="Q942" s="8"/>
      <c r="R942" s="8"/>
      <c r="S942" s="8"/>
      <c r="T942" s="8"/>
      <c r="U942" s="53"/>
      <c r="V942" s="53"/>
      <c r="W942" s="53"/>
      <c r="X942" s="53"/>
      <c r="Y942" s="53"/>
      <c r="Z942" s="53"/>
      <c r="AA942" s="53"/>
      <c r="AB942" s="53"/>
      <c r="AC942" s="53"/>
      <c r="AD942" s="53"/>
      <c r="AE942" s="53"/>
      <c r="AF942" s="53"/>
      <c r="AG942" s="8"/>
      <c r="AH942" s="8"/>
      <c r="AI942" s="8"/>
      <c r="AJ942" s="8"/>
      <c r="AK942" s="8"/>
      <c r="AL942" s="8"/>
      <c r="AM942" s="8"/>
      <c r="AN942" s="8"/>
      <c r="AO942" s="8"/>
      <c r="AP942" s="8"/>
      <c r="AQ942" s="8"/>
      <c r="AR942" s="8"/>
      <c r="AS942" s="8"/>
      <c r="AT942" s="8"/>
      <c r="AU942" s="8"/>
      <c r="AV942" s="8"/>
      <c r="AW942" s="8"/>
      <c r="AX942" s="8"/>
      <c r="AY942" s="8"/>
      <c r="AZ942" s="8"/>
      <c r="BA942" s="8"/>
      <c r="BB942" s="8"/>
      <c r="BC942" s="8"/>
      <c r="BD942" s="8"/>
      <c r="BE942" s="8"/>
    </row>
    <row r="943" spans="1:57">
      <c r="A943" s="8"/>
      <c r="B943" s="8"/>
      <c r="C943" s="8"/>
      <c r="D943" s="8"/>
      <c r="E943" s="8"/>
      <c r="F943" s="54"/>
      <c r="G943" s="8"/>
      <c r="H943" s="8"/>
      <c r="I943" s="8"/>
      <c r="J943" s="8"/>
      <c r="K943" s="8"/>
      <c r="L943" s="8"/>
      <c r="M943" s="8"/>
      <c r="N943" s="8"/>
      <c r="O943" s="8"/>
      <c r="P943" s="8"/>
      <c r="Q943" s="8"/>
      <c r="R943" s="8"/>
      <c r="S943" s="8"/>
      <c r="T943" s="8"/>
      <c r="U943" s="53"/>
      <c r="V943" s="53"/>
      <c r="W943" s="53"/>
      <c r="X943" s="53"/>
      <c r="Y943" s="53"/>
      <c r="Z943" s="53"/>
      <c r="AA943" s="53"/>
      <c r="AB943" s="53"/>
      <c r="AC943" s="53"/>
      <c r="AD943" s="53"/>
      <c r="AE943" s="53"/>
      <c r="AF943" s="53"/>
      <c r="AG943" s="8"/>
      <c r="AH943" s="8"/>
      <c r="AI943" s="8"/>
      <c r="AJ943" s="8"/>
      <c r="AK943" s="8"/>
      <c r="AL943" s="8"/>
      <c r="AM943" s="8"/>
      <c r="AN943" s="8"/>
      <c r="AO943" s="8"/>
      <c r="AP943" s="8"/>
      <c r="AQ943" s="8"/>
      <c r="AR943" s="8"/>
      <c r="AS943" s="8"/>
      <c r="AT943" s="8"/>
      <c r="AU943" s="8"/>
      <c r="AV943" s="8"/>
      <c r="AW943" s="8"/>
      <c r="AX943" s="8"/>
      <c r="AY943" s="8"/>
      <c r="AZ943" s="8"/>
      <c r="BA943" s="8"/>
      <c r="BB943" s="8"/>
      <c r="BC943" s="8"/>
      <c r="BD943" s="8"/>
      <c r="BE943" s="8"/>
    </row>
    <row r="944" spans="1:57">
      <c r="A944" s="8"/>
      <c r="B944" s="8"/>
      <c r="C944" s="8"/>
      <c r="D944" s="8"/>
      <c r="E944" s="8"/>
      <c r="F944" s="54"/>
      <c r="G944" s="8"/>
      <c r="H944" s="8"/>
      <c r="I944" s="8"/>
      <c r="J944" s="8"/>
      <c r="K944" s="8"/>
      <c r="L944" s="8"/>
      <c r="M944" s="8"/>
      <c r="N944" s="8"/>
      <c r="O944" s="8"/>
      <c r="P944" s="8"/>
      <c r="Q944" s="8"/>
      <c r="R944" s="8"/>
      <c r="S944" s="8"/>
      <c r="T944" s="8"/>
      <c r="U944" s="53"/>
      <c r="V944" s="53"/>
      <c r="W944" s="53"/>
      <c r="X944" s="53"/>
      <c r="Y944" s="53"/>
      <c r="Z944" s="53"/>
      <c r="AA944" s="53"/>
      <c r="AB944" s="53"/>
      <c r="AC944" s="53"/>
      <c r="AD944" s="53"/>
      <c r="AE944" s="53"/>
      <c r="AF944" s="53"/>
      <c r="AG944" s="8"/>
      <c r="AH944" s="8"/>
      <c r="AI944" s="8"/>
      <c r="AJ944" s="8"/>
      <c r="AK944" s="8"/>
      <c r="AL944" s="8"/>
      <c r="AM944" s="8"/>
      <c r="AN944" s="8"/>
      <c r="AO944" s="8"/>
      <c r="AP944" s="8"/>
      <c r="AQ944" s="8"/>
      <c r="AR944" s="8"/>
      <c r="AS944" s="8"/>
      <c r="AT944" s="8"/>
      <c r="AU944" s="8"/>
      <c r="AV944" s="8"/>
      <c r="AW944" s="8"/>
      <c r="AX944" s="8"/>
      <c r="AY944" s="8"/>
      <c r="AZ944" s="8"/>
      <c r="BA944" s="8"/>
      <c r="BB944" s="8"/>
      <c r="BC944" s="8"/>
      <c r="BD944" s="8"/>
      <c r="BE944" s="8"/>
    </row>
    <row r="945" spans="1:57">
      <c r="A945" s="8"/>
      <c r="B945" s="8"/>
      <c r="C945" s="8"/>
      <c r="D945" s="8"/>
      <c r="E945" s="8"/>
      <c r="F945" s="54"/>
      <c r="G945" s="8"/>
      <c r="H945" s="8"/>
      <c r="I945" s="8"/>
      <c r="J945" s="8"/>
      <c r="K945" s="8"/>
      <c r="L945" s="8"/>
      <c r="M945" s="8"/>
      <c r="N945" s="8"/>
      <c r="O945" s="8"/>
      <c r="P945" s="8"/>
      <c r="Q945" s="8"/>
      <c r="R945" s="8"/>
      <c r="S945" s="8"/>
      <c r="T945" s="8"/>
      <c r="U945" s="53"/>
      <c r="V945" s="53"/>
      <c r="W945" s="53"/>
      <c r="X945" s="53"/>
      <c r="Y945" s="53"/>
      <c r="Z945" s="53"/>
      <c r="AA945" s="53"/>
      <c r="AB945" s="53"/>
      <c r="AC945" s="53"/>
      <c r="AD945" s="53"/>
      <c r="AE945" s="53"/>
      <c r="AF945" s="53"/>
      <c r="AG945" s="8"/>
      <c r="AH945" s="8"/>
      <c r="AI945" s="8"/>
      <c r="AJ945" s="8"/>
      <c r="AK945" s="8"/>
      <c r="AL945" s="8"/>
      <c r="AM945" s="8"/>
      <c r="AN945" s="8"/>
      <c r="AO945" s="8"/>
      <c r="AP945" s="8"/>
      <c r="AQ945" s="8"/>
      <c r="AR945" s="8"/>
      <c r="AS945" s="8"/>
      <c r="AT945" s="8"/>
      <c r="AU945" s="8"/>
      <c r="AV945" s="8"/>
      <c r="AW945" s="8"/>
      <c r="AX945" s="8"/>
      <c r="AY945" s="8"/>
      <c r="AZ945" s="8"/>
      <c r="BA945" s="8"/>
      <c r="BB945" s="8"/>
      <c r="BC945" s="8"/>
      <c r="BD945" s="8"/>
      <c r="BE945" s="8"/>
    </row>
    <row r="946" spans="1:57">
      <c r="A946" s="8"/>
      <c r="B946" s="8"/>
      <c r="C946" s="8"/>
      <c r="D946" s="8"/>
      <c r="E946" s="8"/>
      <c r="F946" s="54"/>
      <c r="G946" s="8"/>
      <c r="H946" s="8"/>
      <c r="I946" s="8"/>
      <c r="J946" s="8"/>
      <c r="K946" s="8"/>
      <c r="L946" s="8"/>
      <c r="M946" s="8"/>
      <c r="N946" s="8"/>
      <c r="O946" s="8"/>
      <c r="P946" s="8"/>
      <c r="Q946" s="8"/>
      <c r="R946" s="8"/>
      <c r="S946" s="8"/>
      <c r="T946" s="8"/>
      <c r="U946" s="53"/>
      <c r="V946" s="53"/>
      <c r="W946" s="53"/>
      <c r="X946" s="53"/>
      <c r="Y946" s="53"/>
      <c r="Z946" s="53"/>
      <c r="AA946" s="53"/>
      <c r="AB946" s="53"/>
      <c r="AC946" s="53"/>
      <c r="AD946" s="53"/>
      <c r="AE946" s="53"/>
      <c r="AF946" s="53"/>
      <c r="AG946" s="8"/>
      <c r="AH946" s="8"/>
      <c r="AI946" s="8"/>
      <c r="AJ946" s="8"/>
      <c r="AK946" s="8"/>
      <c r="AL946" s="8"/>
      <c r="AM946" s="8"/>
      <c r="AN946" s="8"/>
      <c r="AO946" s="8"/>
      <c r="AP946" s="8"/>
      <c r="AQ946" s="8"/>
      <c r="AR946" s="8"/>
      <c r="AS946" s="8"/>
      <c r="AT946" s="8"/>
      <c r="AU946" s="8"/>
      <c r="AV946" s="8"/>
      <c r="AW946" s="8"/>
      <c r="AX946" s="8"/>
      <c r="AY946" s="8"/>
      <c r="AZ946" s="8"/>
      <c r="BA946" s="8"/>
      <c r="BB946" s="8"/>
      <c r="BC946" s="8"/>
      <c r="BD946" s="8"/>
      <c r="BE946" s="8"/>
    </row>
    <row r="947" spans="1:57">
      <c r="A947" s="8"/>
      <c r="B947" s="8"/>
      <c r="C947" s="8"/>
      <c r="D947" s="8"/>
      <c r="E947" s="8"/>
      <c r="F947" s="54"/>
      <c r="G947" s="8"/>
      <c r="H947" s="8"/>
      <c r="I947" s="8"/>
      <c r="J947" s="8"/>
      <c r="K947" s="8"/>
      <c r="L947" s="8"/>
      <c r="M947" s="8"/>
      <c r="N947" s="8"/>
      <c r="O947" s="8"/>
      <c r="P947" s="8"/>
      <c r="Q947" s="8"/>
      <c r="R947" s="8"/>
      <c r="S947" s="8"/>
      <c r="T947" s="8"/>
      <c r="U947" s="53"/>
      <c r="V947" s="53"/>
      <c r="W947" s="53"/>
      <c r="X947" s="53"/>
      <c r="Y947" s="53"/>
      <c r="Z947" s="53"/>
      <c r="AA947" s="53"/>
      <c r="AB947" s="53"/>
      <c r="AC947" s="53"/>
      <c r="AD947" s="53"/>
      <c r="AE947" s="53"/>
      <c r="AF947" s="53"/>
      <c r="AG947" s="8"/>
      <c r="AH947" s="8"/>
      <c r="AI947" s="8"/>
      <c r="AJ947" s="8"/>
      <c r="AK947" s="8"/>
      <c r="AL947" s="8"/>
      <c r="AM947" s="8"/>
      <c r="AN947" s="8"/>
      <c r="AO947" s="8"/>
      <c r="AP947" s="8"/>
      <c r="AQ947" s="8"/>
      <c r="AR947" s="8"/>
      <c r="AS947" s="8"/>
      <c r="AT947" s="8"/>
      <c r="AU947" s="8"/>
      <c r="AV947" s="8"/>
      <c r="AW947" s="8"/>
      <c r="AX947" s="8"/>
      <c r="AY947" s="8"/>
      <c r="AZ947" s="8"/>
      <c r="BA947" s="8"/>
      <c r="BB947" s="8"/>
      <c r="BC947" s="8"/>
      <c r="BD947" s="8"/>
      <c r="BE947" s="8"/>
    </row>
    <row r="948" spans="1:57">
      <c r="A948" s="8"/>
      <c r="B948" s="8"/>
      <c r="C948" s="8"/>
      <c r="D948" s="8"/>
      <c r="E948" s="8"/>
      <c r="F948" s="54"/>
      <c r="G948" s="8"/>
      <c r="H948" s="8"/>
      <c r="I948" s="8"/>
      <c r="J948" s="8"/>
      <c r="K948" s="8"/>
      <c r="L948" s="8"/>
      <c r="M948" s="8"/>
      <c r="N948" s="8"/>
      <c r="O948" s="8"/>
      <c r="P948" s="8"/>
      <c r="Q948" s="8"/>
      <c r="R948" s="8"/>
      <c r="S948" s="8"/>
      <c r="T948" s="8"/>
      <c r="U948" s="53"/>
      <c r="V948" s="53"/>
      <c r="W948" s="53"/>
      <c r="X948" s="53"/>
      <c r="Y948" s="53"/>
      <c r="Z948" s="53"/>
      <c r="AA948" s="53"/>
      <c r="AB948" s="53"/>
      <c r="AC948" s="53"/>
      <c r="AD948" s="53"/>
      <c r="AE948" s="53"/>
      <c r="AF948" s="53"/>
      <c r="AG948" s="8"/>
      <c r="AH948" s="8"/>
      <c r="AI948" s="8"/>
      <c r="AJ948" s="8"/>
      <c r="AK948" s="8"/>
      <c r="AL948" s="8"/>
      <c r="AM948" s="8"/>
      <c r="AN948" s="8"/>
      <c r="AO948" s="8"/>
      <c r="AP948" s="8"/>
      <c r="AQ948" s="8"/>
      <c r="AR948" s="8"/>
      <c r="AS948" s="8"/>
      <c r="AT948" s="8"/>
      <c r="AU948" s="8"/>
      <c r="AV948" s="8"/>
      <c r="AW948" s="8"/>
      <c r="AX948" s="8"/>
      <c r="AY948" s="8"/>
      <c r="AZ948" s="8"/>
      <c r="BA948" s="8"/>
      <c r="BB948" s="8"/>
      <c r="BC948" s="8"/>
      <c r="BD948" s="8"/>
      <c r="BE948" s="8"/>
    </row>
    <row r="949" spans="1:57">
      <c r="A949" s="8"/>
      <c r="B949" s="8"/>
      <c r="C949" s="8"/>
      <c r="D949" s="8"/>
      <c r="E949" s="8"/>
      <c r="F949" s="54"/>
      <c r="G949" s="8"/>
      <c r="H949" s="8"/>
      <c r="I949" s="8"/>
      <c r="J949" s="8"/>
      <c r="K949" s="8"/>
      <c r="L949" s="8"/>
      <c r="M949" s="8"/>
      <c r="N949" s="8"/>
      <c r="O949" s="8"/>
      <c r="P949" s="8"/>
      <c r="Q949" s="8"/>
      <c r="R949" s="8"/>
      <c r="S949" s="8"/>
      <c r="T949" s="8"/>
      <c r="U949" s="53"/>
      <c r="V949" s="53"/>
      <c r="W949" s="53"/>
      <c r="X949" s="53"/>
      <c r="Y949" s="53"/>
      <c r="Z949" s="53"/>
      <c r="AA949" s="53"/>
      <c r="AB949" s="53"/>
      <c r="AC949" s="53"/>
      <c r="AD949" s="53"/>
      <c r="AE949" s="53"/>
      <c r="AF949" s="53"/>
      <c r="AG949" s="8"/>
      <c r="AH949" s="8"/>
      <c r="AI949" s="8"/>
      <c r="AJ949" s="8"/>
      <c r="AK949" s="8"/>
      <c r="AL949" s="8"/>
      <c r="AM949" s="8"/>
      <c r="AN949" s="8"/>
      <c r="AO949" s="8"/>
      <c r="AP949" s="8"/>
      <c r="AQ949" s="8"/>
      <c r="AR949" s="8"/>
      <c r="AS949" s="8"/>
      <c r="AT949" s="8"/>
      <c r="AU949" s="8"/>
      <c r="AV949" s="8"/>
      <c r="AW949" s="8"/>
      <c r="AX949" s="8"/>
      <c r="AY949" s="8"/>
      <c r="AZ949" s="8"/>
      <c r="BA949" s="8"/>
      <c r="BB949" s="8"/>
      <c r="BC949" s="8"/>
      <c r="BD949" s="8"/>
      <c r="BE949" s="8"/>
    </row>
    <row r="950" spans="1:57">
      <c r="A950" s="8"/>
      <c r="B950" s="8"/>
      <c r="C950" s="8"/>
      <c r="D950" s="8"/>
      <c r="E950" s="8"/>
      <c r="F950" s="54"/>
      <c r="G950" s="8"/>
      <c r="H950" s="8"/>
      <c r="I950" s="8"/>
      <c r="J950" s="8"/>
      <c r="K950" s="8"/>
      <c r="L950" s="8"/>
      <c r="M950" s="8"/>
      <c r="N950" s="8"/>
      <c r="O950" s="8"/>
      <c r="P950" s="8"/>
      <c r="Q950" s="8"/>
      <c r="R950" s="8"/>
      <c r="S950" s="8"/>
      <c r="T950" s="8"/>
      <c r="U950" s="53"/>
      <c r="V950" s="53"/>
      <c r="W950" s="53"/>
      <c r="X950" s="53"/>
      <c r="Y950" s="53"/>
      <c r="Z950" s="53"/>
      <c r="AA950" s="53"/>
      <c r="AB950" s="53"/>
      <c r="AC950" s="53"/>
      <c r="AD950" s="53"/>
      <c r="AE950" s="53"/>
      <c r="AF950" s="53"/>
      <c r="AG950" s="8"/>
      <c r="AH950" s="8"/>
      <c r="AI950" s="8"/>
      <c r="AJ950" s="8"/>
      <c r="AK950" s="8"/>
      <c r="AL950" s="8"/>
      <c r="AM950" s="8"/>
      <c r="AN950" s="8"/>
      <c r="AO950" s="8"/>
      <c r="AP950" s="8"/>
      <c r="AQ950" s="8"/>
      <c r="AR950" s="8"/>
      <c r="AS950" s="8"/>
      <c r="AT950" s="8"/>
      <c r="AU950" s="8"/>
      <c r="AV950" s="8"/>
      <c r="AW950" s="8"/>
      <c r="AX950" s="8"/>
      <c r="AY950" s="8"/>
      <c r="AZ950" s="8"/>
      <c r="BA950" s="8"/>
      <c r="BB950" s="8"/>
      <c r="BC950" s="8"/>
      <c r="BD950" s="8"/>
      <c r="BE950" s="8"/>
    </row>
    <row r="951" spans="1:57">
      <c r="A951" s="8"/>
      <c r="B951" s="8"/>
      <c r="C951" s="8"/>
      <c r="D951" s="8"/>
      <c r="E951" s="8"/>
      <c r="F951" s="54"/>
      <c r="G951" s="8"/>
      <c r="H951" s="8"/>
      <c r="I951" s="8"/>
      <c r="J951" s="8"/>
      <c r="K951" s="8"/>
      <c r="L951" s="8"/>
      <c r="M951" s="8"/>
      <c r="N951" s="8"/>
      <c r="O951" s="8"/>
      <c r="P951" s="8"/>
      <c r="Q951" s="8"/>
      <c r="R951" s="8"/>
      <c r="S951" s="8"/>
      <c r="T951" s="8"/>
      <c r="U951" s="53"/>
      <c r="V951" s="53"/>
      <c r="W951" s="53"/>
      <c r="X951" s="53"/>
      <c r="Y951" s="53"/>
      <c r="Z951" s="53"/>
      <c r="AA951" s="53"/>
      <c r="AB951" s="53"/>
      <c r="AC951" s="53"/>
      <c r="AD951" s="53"/>
      <c r="AE951" s="53"/>
      <c r="AF951" s="53"/>
      <c r="AG951" s="8"/>
      <c r="AH951" s="8"/>
      <c r="AI951" s="8"/>
      <c r="AJ951" s="8"/>
      <c r="AK951" s="8"/>
      <c r="AL951" s="8"/>
      <c r="AM951" s="8"/>
      <c r="AN951" s="8"/>
      <c r="AO951" s="8"/>
      <c r="AP951" s="8"/>
      <c r="AQ951" s="8"/>
      <c r="AR951" s="8"/>
      <c r="AS951" s="8"/>
      <c r="AT951" s="8"/>
      <c r="AU951" s="8"/>
      <c r="AV951" s="8"/>
      <c r="AW951" s="8"/>
      <c r="AX951" s="8"/>
      <c r="AY951" s="8"/>
      <c r="AZ951" s="8"/>
      <c r="BA951" s="8"/>
      <c r="BB951" s="8"/>
      <c r="BC951" s="8"/>
      <c r="BD951" s="8"/>
      <c r="BE951" s="8"/>
    </row>
    <row r="952" spans="1:57">
      <c r="A952" s="8"/>
      <c r="B952" s="8"/>
      <c r="C952" s="8"/>
      <c r="D952" s="8"/>
      <c r="E952" s="8"/>
      <c r="F952" s="54"/>
      <c r="G952" s="8"/>
      <c r="H952" s="8"/>
      <c r="I952" s="8"/>
      <c r="J952" s="8"/>
      <c r="K952" s="8"/>
      <c r="L952" s="8"/>
      <c r="M952" s="8"/>
      <c r="N952" s="8"/>
      <c r="O952" s="8"/>
      <c r="P952" s="8"/>
      <c r="Q952" s="8"/>
      <c r="R952" s="8"/>
      <c r="S952" s="8"/>
      <c r="T952" s="8"/>
      <c r="U952" s="53"/>
      <c r="V952" s="53"/>
      <c r="W952" s="53"/>
      <c r="X952" s="53"/>
      <c r="Y952" s="53"/>
      <c r="Z952" s="53"/>
      <c r="AA952" s="53"/>
      <c r="AB952" s="53"/>
      <c r="AC952" s="53"/>
      <c r="AD952" s="53"/>
      <c r="AE952" s="53"/>
      <c r="AF952" s="53"/>
      <c r="AG952" s="8"/>
      <c r="AH952" s="8"/>
      <c r="AI952" s="8"/>
      <c r="AJ952" s="8"/>
      <c r="AK952" s="8"/>
      <c r="AL952" s="8"/>
      <c r="AM952" s="8"/>
      <c r="AN952" s="8"/>
      <c r="AO952" s="8"/>
      <c r="AP952" s="8"/>
      <c r="AQ952" s="8"/>
      <c r="AR952" s="8"/>
      <c r="AS952" s="8"/>
      <c r="AT952" s="8"/>
      <c r="AU952" s="8"/>
      <c r="AV952" s="8"/>
      <c r="AW952" s="8"/>
      <c r="AX952" s="8"/>
      <c r="AY952" s="8"/>
      <c r="AZ952" s="8"/>
      <c r="BA952" s="8"/>
      <c r="BB952" s="8"/>
      <c r="BC952" s="8"/>
      <c r="BD952" s="8"/>
      <c r="BE952" s="8"/>
    </row>
    <row r="953" spans="1:57">
      <c r="A953" s="8"/>
      <c r="B953" s="8"/>
      <c r="C953" s="8"/>
      <c r="D953" s="8"/>
      <c r="E953" s="8"/>
      <c r="F953" s="54"/>
      <c r="G953" s="8"/>
      <c r="H953" s="8"/>
      <c r="I953" s="8"/>
      <c r="J953" s="8"/>
      <c r="K953" s="8"/>
      <c r="L953" s="8"/>
      <c r="M953" s="8"/>
      <c r="N953" s="8"/>
      <c r="O953" s="8"/>
      <c r="P953" s="8"/>
      <c r="Q953" s="8"/>
      <c r="R953" s="8"/>
      <c r="S953" s="8"/>
      <c r="T953" s="8"/>
      <c r="U953" s="53"/>
      <c r="V953" s="53"/>
      <c r="W953" s="53"/>
      <c r="X953" s="53"/>
      <c r="Y953" s="53"/>
      <c r="Z953" s="53"/>
      <c r="AA953" s="53"/>
      <c r="AB953" s="53"/>
      <c r="AC953" s="53"/>
      <c r="AD953" s="53"/>
      <c r="AE953" s="53"/>
      <c r="AF953" s="53"/>
      <c r="AG953" s="8"/>
      <c r="AH953" s="8"/>
      <c r="AI953" s="8"/>
      <c r="AJ953" s="8"/>
      <c r="AK953" s="8"/>
      <c r="AL953" s="8"/>
      <c r="AM953" s="8"/>
      <c r="AN953" s="8"/>
      <c r="AO953" s="8"/>
      <c r="AP953" s="8"/>
      <c r="AQ953" s="8"/>
      <c r="AR953" s="8"/>
      <c r="AS953" s="8"/>
      <c r="AT953" s="8"/>
      <c r="AU953" s="8"/>
      <c r="AV953" s="8"/>
      <c r="AW953" s="8"/>
      <c r="AX953" s="8"/>
      <c r="AY953" s="8"/>
      <c r="AZ953" s="8"/>
      <c r="BA953" s="8"/>
      <c r="BB953" s="8"/>
      <c r="BC953" s="8"/>
      <c r="BD953" s="8"/>
      <c r="BE953" s="8"/>
    </row>
    <row r="954" spans="1:57">
      <c r="A954" s="8"/>
      <c r="B954" s="8"/>
      <c r="C954" s="8"/>
      <c r="D954" s="8"/>
      <c r="E954" s="8"/>
      <c r="F954" s="54"/>
      <c r="G954" s="8"/>
      <c r="H954" s="8"/>
      <c r="I954" s="8"/>
      <c r="J954" s="8"/>
      <c r="K954" s="8"/>
      <c r="L954" s="8"/>
      <c r="M954" s="8"/>
      <c r="N954" s="8"/>
      <c r="O954" s="8"/>
      <c r="P954" s="8"/>
      <c r="Q954" s="8"/>
      <c r="R954" s="8"/>
      <c r="S954" s="8"/>
      <c r="T954" s="8"/>
      <c r="U954" s="53"/>
      <c r="V954" s="53"/>
      <c r="W954" s="53"/>
      <c r="X954" s="53"/>
      <c r="Y954" s="53"/>
      <c r="Z954" s="53"/>
      <c r="AA954" s="53"/>
      <c r="AB954" s="53"/>
      <c r="AC954" s="53"/>
      <c r="AD954" s="53"/>
      <c r="AE954" s="53"/>
      <c r="AF954" s="53"/>
      <c r="AG954" s="8"/>
      <c r="AH954" s="8"/>
      <c r="AI954" s="8"/>
      <c r="AJ954" s="8"/>
      <c r="AK954" s="8"/>
      <c r="AL954" s="8"/>
      <c r="AM954" s="8"/>
      <c r="AN954" s="8"/>
      <c r="AO954" s="8"/>
      <c r="AP954" s="8"/>
      <c r="AQ954" s="8"/>
      <c r="AR954" s="8"/>
      <c r="AS954" s="8"/>
      <c r="AT954" s="8"/>
      <c r="AU954" s="8"/>
      <c r="AV954" s="8"/>
      <c r="AW954" s="8"/>
      <c r="AX954" s="8"/>
      <c r="AY954" s="8"/>
      <c r="AZ954" s="8"/>
      <c r="BA954" s="8"/>
      <c r="BB954" s="8"/>
      <c r="BC954" s="8"/>
      <c r="BD954" s="8"/>
      <c r="BE954" s="8"/>
    </row>
    <row r="955" spans="1:57">
      <c r="A955" s="8"/>
      <c r="B955" s="8"/>
      <c r="C955" s="8"/>
      <c r="D955" s="8"/>
      <c r="E955" s="8"/>
      <c r="F955" s="54"/>
      <c r="G955" s="8"/>
      <c r="H955" s="8"/>
      <c r="I955" s="8"/>
      <c r="J955" s="8"/>
      <c r="K955" s="8"/>
      <c r="L955" s="8"/>
      <c r="M955" s="8"/>
      <c r="N955" s="8"/>
      <c r="O955" s="8"/>
      <c r="P955" s="8"/>
      <c r="Q955" s="8"/>
      <c r="R955" s="8"/>
      <c r="S955" s="8"/>
      <c r="T955" s="8"/>
      <c r="U955" s="53"/>
      <c r="V955" s="53"/>
      <c r="W955" s="53"/>
      <c r="X955" s="53"/>
      <c r="Y955" s="53"/>
      <c r="Z955" s="53"/>
      <c r="AA955" s="53"/>
      <c r="AB955" s="53"/>
      <c r="AC955" s="53"/>
      <c r="AD955" s="53"/>
      <c r="AE955" s="53"/>
      <c r="AF955" s="53"/>
      <c r="AG955" s="8"/>
      <c r="AH955" s="8"/>
      <c r="AI955" s="8"/>
      <c r="AJ955" s="8"/>
      <c r="AK955" s="8"/>
      <c r="AL955" s="8"/>
      <c r="AM955" s="8"/>
      <c r="AN955" s="8"/>
      <c r="AO955" s="8"/>
      <c r="AP955" s="8"/>
      <c r="AQ955" s="8"/>
      <c r="AR955" s="8"/>
      <c r="AS955" s="8"/>
      <c r="AT955" s="8"/>
      <c r="AU955" s="8"/>
      <c r="AV955" s="8"/>
      <c r="AW955" s="8"/>
      <c r="AX955" s="8"/>
      <c r="AY955" s="8"/>
      <c r="AZ955" s="8"/>
      <c r="BA955" s="8"/>
      <c r="BB955" s="8"/>
      <c r="BC955" s="8"/>
      <c r="BD955" s="8"/>
      <c r="BE955" s="8"/>
    </row>
    <row r="956" spans="1:57">
      <c r="A956" s="8"/>
      <c r="B956" s="8"/>
      <c r="C956" s="8"/>
      <c r="D956" s="8"/>
      <c r="E956" s="8"/>
      <c r="F956" s="54"/>
      <c r="G956" s="8"/>
      <c r="H956" s="8"/>
      <c r="I956" s="8"/>
      <c r="J956" s="8"/>
      <c r="K956" s="8"/>
      <c r="L956" s="8"/>
      <c r="M956" s="8"/>
      <c r="N956" s="8"/>
      <c r="O956" s="8"/>
      <c r="P956" s="8"/>
      <c r="Q956" s="8"/>
      <c r="R956" s="8"/>
      <c r="S956" s="8"/>
      <c r="T956" s="8"/>
      <c r="U956" s="53"/>
      <c r="V956" s="53"/>
      <c r="W956" s="53"/>
      <c r="X956" s="53"/>
      <c r="Y956" s="53"/>
      <c r="Z956" s="53"/>
      <c r="AA956" s="53"/>
      <c r="AB956" s="53"/>
      <c r="AC956" s="53"/>
      <c r="AD956" s="53"/>
      <c r="AE956" s="53"/>
      <c r="AF956" s="53"/>
      <c r="AG956" s="8"/>
      <c r="AH956" s="8"/>
      <c r="AI956" s="8"/>
      <c r="AJ956" s="8"/>
      <c r="AK956" s="8"/>
      <c r="AL956" s="8"/>
      <c r="AM956" s="8"/>
      <c r="AN956" s="8"/>
      <c r="AO956" s="8"/>
      <c r="AP956" s="8"/>
      <c r="AQ956" s="8"/>
      <c r="AR956" s="8"/>
      <c r="AS956" s="8"/>
      <c r="AT956" s="8"/>
      <c r="AU956" s="8"/>
      <c r="AV956" s="8"/>
      <c r="AW956" s="8"/>
      <c r="AX956" s="8"/>
      <c r="AY956" s="8"/>
      <c r="AZ956" s="8"/>
      <c r="BA956" s="8"/>
      <c r="BB956" s="8"/>
      <c r="BC956" s="8"/>
      <c r="BD956" s="8"/>
      <c r="BE956" s="8"/>
    </row>
    <row r="957" spans="1:57">
      <c r="A957" s="8"/>
      <c r="B957" s="8"/>
      <c r="C957" s="8"/>
      <c r="D957" s="8"/>
      <c r="E957" s="8"/>
      <c r="F957" s="54"/>
      <c r="G957" s="8"/>
      <c r="H957" s="8"/>
      <c r="I957" s="8"/>
      <c r="J957" s="8"/>
      <c r="K957" s="8"/>
      <c r="L957" s="8"/>
      <c r="M957" s="8"/>
      <c r="N957" s="8"/>
      <c r="O957" s="8"/>
      <c r="P957" s="8"/>
      <c r="Q957" s="8"/>
      <c r="R957" s="8"/>
      <c r="S957" s="8"/>
      <c r="T957" s="8"/>
      <c r="U957" s="53"/>
      <c r="V957" s="53"/>
      <c r="W957" s="53"/>
      <c r="X957" s="53"/>
      <c r="Y957" s="53"/>
      <c r="Z957" s="53"/>
      <c r="AA957" s="53"/>
      <c r="AB957" s="53"/>
      <c r="AC957" s="53"/>
      <c r="AD957" s="53"/>
      <c r="AE957" s="53"/>
      <c r="AF957" s="53"/>
      <c r="AG957" s="8"/>
      <c r="AH957" s="8"/>
      <c r="AI957" s="8"/>
      <c r="AJ957" s="8"/>
      <c r="AK957" s="8"/>
      <c r="AL957" s="8"/>
      <c r="AM957" s="8"/>
      <c r="AN957" s="8"/>
      <c r="AO957" s="8"/>
      <c r="AP957" s="8"/>
      <c r="AQ957" s="8"/>
      <c r="AR957" s="8"/>
      <c r="AS957" s="8"/>
      <c r="AT957" s="8"/>
      <c r="AU957" s="8"/>
      <c r="AV957" s="8"/>
      <c r="AW957" s="8"/>
      <c r="AX957" s="8"/>
      <c r="AY957" s="8"/>
      <c r="AZ957" s="8"/>
      <c r="BA957" s="8"/>
      <c r="BB957" s="8"/>
      <c r="BC957" s="8"/>
      <c r="BD957" s="8"/>
      <c r="BE957" s="8"/>
    </row>
    <row r="958" spans="1:57">
      <c r="A958" s="8"/>
      <c r="B958" s="8"/>
      <c r="C958" s="8"/>
      <c r="D958" s="8"/>
      <c r="E958" s="8"/>
      <c r="F958" s="54"/>
      <c r="G958" s="8"/>
      <c r="H958" s="8"/>
      <c r="I958" s="8"/>
      <c r="J958" s="8"/>
      <c r="K958" s="8"/>
      <c r="L958" s="8"/>
      <c r="M958" s="8"/>
      <c r="N958" s="8"/>
      <c r="O958" s="8"/>
      <c r="P958" s="8"/>
      <c r="Q958" s="8"/>
      <c r="R958" s="8"/>
      <c r="S958" s="8"/>
      <c r="T958" s="8"/>
      <c r="U958" s="53"/>
      <c r="V958" s="53"/>
      <c r="W958" s="53"/>
      <c r="X958" s="53"/>
      <c r="Y958" s="53"/>
      <c r="Z958" s="53"/>
      <c r="AA958" s="53"/>
      <c r="AB958" s="53"/>
      <c r="AC958" s="53"/>
      <c r="AD958" s="53"/>
      <c r="AE958" s="53"/>
      <c r="AF958" s="53"/>
      <c r="AG958" s="8"/>
      <c r="AH958" s="8"/>
      <c r="AI958" s="8"/>
      <c r="AJ958" s="8"/>
      <c r="AK958" s="8"/>
      <c r="AL958" s="8"/>
      <c r="AM958" s="8"/>
      <c r="AN958" s="8"/>
      <c r="AO958" s="8"/>
      <c r="AP958" s="8"/>
      <c r="AQ958" s="8"/>
      <c r="AR958" s="8"/>
      <c r="AS958" s="8"/>
      <c r="AT958" s="8"/>
      <c r="AU958" s="8"/>
      <c r="AV958" s="8"/>
      <c r="AW958" s="8"/>
      <c r="AX958" s="8"/>
      <c r="AY958" s="8"/>
      <c r="AZ958" s="8"/>
      <c r="BA958" s="8"/>
      <c r="BB958" s="8"/>
      <c r="BC958" s="8"/>
      <c r="BD958" s="8"/>
      <c r="BE958" s="8"/>
    </row>
    <row r="959" spans="1:57">
      <c r="A959" s="8"/>
      <c r="B959" s="8"/>
      <c r="C959" s="8"/>
      <c r="D959" s="8"/>
      <c r="E959" s="8"/>
      <c r="F959" s="54"/>
      <c r="G959" s="8"/>
      <c r="H959" s="8"/>
      <c r="I959" s="8"/>
      <c r="J959" s="8"/>
      <c r="K959" s="8"/>
      <c r="L959" s="8"/>
      <c r="M959" s="8"/>
      <c r="N959" s="8"/>
      <c r="O959" s="8"/>
      <c r="P959" s="8"/>
      <c r="Q959" s="8"/>
      <c r="R959" s="8"/>
      <c r="S959" s="8"/>
      <c r="T959" s="8"/>
      <c r="U959" s="53"/>
      <c r="V959" s="53"/>
      <c r="W959" s="53"/>
      <c r="X959" s="53"/>
      <c r="Y959" s="53"/>
      <c r="Z959" s="53"/>
      <c r="AA959" s="53"/>
      <c r="AB959" s="53"/>
      <c r="AC959" s="53"/>
      <c r="AD959" s="53"/>
      <c r="AE959" s="53"/>
      <c r="AF959" s="53"/>
      <c r="AG959" s="8"/>
      <c r="AH959" s="8"/>
      <c r="AI959" s="8"/>
      <c r="AJ959" s="8"/>
      <c r="AK959" s="8"/>
      <c r="AL959" s="8"/>
      <c r="AM959" s="8"/>
      <c r="AN959" s="8"/>
      <c r="AO959" s="8"/>
      <c r="AP959" s="8"/>
      <c r="AQ959" s="8"/>
      <c r="AR959" s="8"/>
      <c r="AS959" s="8"/>
      <c r="AT959" s="8"/>
      <c r="AU959" s="8"/>
      <c r="AV959" s="8"/>
      <c r="AW959" s="8"/>
      <c r="AX959" s="8"/>
      <c r="AY959" s="8"/>
      <c r="AZ959" s="8"/>
      <c r="BA959" s="8"/>
      <c r="BB959" s="8"/>
      <c r="BC959" s="8"/>
      <c r="BD959" s="8"/>
      <c r="BE959" s="8"/>
    </row>
    <row r="960" spans="1:57">
      <c r="A960" s="8"/>
      <c r="B960" s="8"/>
      <c r="C960" s="8"/>
      <c r="D960" s="8"/>
      <c r="E960" s="8"/>
      <c r="F960" s="54"/>
      <c r="G960" s="8"/>
      <c r="H960" s="8"/>
      <c r="I960" s="8"/>
      <c r="J960" s="8"/>
      <c r="K960" s="8"/>
      <c r="L960" s="8"/>
      <c r="M960" s="8"/>
      <c r="N960" s="8"/>
      <c r="O960" s="8"/>
      <c r="P960" s="8"/>
      <c r="Q960" s="8"/>
      <c r="R960" s="8"/>
      <c r="S960" s="8"/>
      <c r="T960" s="8"/>
      <c r="U960" s="53"/>
      <c r="V960" s="53"/>
      <c r="W960" s="53"/>
      <c r="X960" s="53"/>
      <c r="Y960" s="53"/>
      <c r="Z960" s="53"/>
      <c r="AA960" s="53"/>
      <c r="AB960" s="53"/>
      <c r="AC960" s="53"/>
      <c r="AD960" s="53"/>
      <c r="AE960" s="53"/>
      <c r="AF960" s="53"/>
      <c r="AG960" s="8"/>
      <c r="AH960" s="8"/>
      <c r="AI960" s="8"/>
      <c r="AJ960" s="8"/>
      <c r="AK960" s="8"/>
      <c r="AL960" s="8"/>
      <c r="AM960" s="8"/>
      <c r="AN960" s="8"/>
      <c r="AO960" s="8"/>
      <c r="AP960" s="8"/>
      <c r="AQ960" s="8"/>
      <c r="AR960" s="8"/>
      <c r="AS960" s="8"/>
      <c r="AT960" s="8"/>
      <c r="AU960" s="8"/>
      <c r="AV960" s="8"/>
      <c r="AW960" s="8"/>
      <c r="AX960" s="8"/>
      <c r="AY960" s="8"/>
      <c r="AZ960" s="8"/>
      <c r="BA960" s="8"/>
      <c r="BB960" s="8"/>
      <c r="BC960" s="8"/>
      <c r="BD960" s="8"/>
      <c r="BE960" s="8"/>
    </row>
    <row r="961" spans="1:57">
      <c r="A961" s="8"/>
      <c r="B961" s="8"/>
      <c r="C961" s="8"/>
      <c r="D961" s="8"/>
      <c r="E961" s="8"/>
      <c r="F961" s="54"/>
      <c r="G961" s="8"/>
      <c r="H961" s="8"/>
      <c r="I961" s="8"/>
      <c r="J961" s="8"/>
      <c r="K961" s="8"/>
      <c r="L961" s="8"/>
      <c r="M961" s="8"/>
      <c r="N961" s="8"/>
      <c r="O961" s="8"/>
      <c r="P961" s="8"/>
      <c r="Q961" s="8"/>
      <c r="R961" s="8"/>
      <c r="S961" s="8"/>
      <c r="T961" s="8"/>
      <c r="U961" s="53"/>
      <c r="V961" s="53"/>
      <c r="W961" s="53"/>
      <c r="X961" s="53"/>
      <c r="Y961" s="53"/>
      <c r="Z961" s="53"/>
      <c r="AA961" s="53"/>
      <c r="AB961" s="53"/>
      <c r="AC961" s="53"/>
      <c r="AD961" s="53"/>
      <c r="AE961" s="53"/>
      <c r="AF961" s="53"/>
      <c r="AG961" s="8"/>
      <c r="AH961" s="8"/>
      <c r="AI961" s="8"/>
      <c r="AJ961" s="8"/>
      <c r="AK961" s="8"/>
      <c r="AL961" s="8"/>
      <c r="AM961" s="8"/>
      <c r="AN961" s="8"/>
      <c r="AO961" s="8"/>
      <c r="AP961" s="8"/>
      <c r="AQ961" s="8"/>
      <c r="AR961" s="8"/>
      <c r="AS961" s="8"/>
      <c r="AT961" s="8"/>
      <c r="AU961" s="8"/>
      <c r="AV961" s="8"/>
      <c r="AW961" s="8"/>
      <c r="AX961" s="8"/>
      <c r="AY961" s="8"/>
      <c r="AZ961" s="8"/>
      <c r="BA961" s="8"/>
      <c r="BB961" s="8"/>
      <c r="BC961" s="8"/>
      <c r="BD961" s="8"/>
      <c r="BE961" s="8"/>
    </row>
    <row r="962" spans="1:57">
      <c r="A962" s="8"/>
      <c r="B962" s="8"/>
      <c r="C962" s="8"/>
      <c r="D962" s="8"/>
      <c r="E962" s="8"/>
      <c r="F962" s="54"/>
      <c r="G962" s="8"/>
      <c r="H962" s="8"/>
      <c r="I962" s="8"/>
      <c r="J962" s="8"/>
      <c r="K962" s="8"/>
      <c r="L962" s="8"/>
      <c r="M962" s="8"/>
      <c r="N962" s="8"/>
      <c r="O962" s="8"/>
      <c r="P962" s="8"/>
      <c r="Q962" s="8"/>
      <c r="R962" s="8"/>
      <c r="S962" s="8"/>
      <c r="T962" s="8"/>
      <c r="U962" s="53"/>
      <c r="V962" s="53"/>
      <c r="W962" s="53"/>
      <c r="X962" s="53"/>
      <c r="Y962" s="53"/>
      <c r="Z962" s="53"/>
      <c r="AA962" s="53"/>
      <c r="AB962" s="53"/>
      <c r="AC962" s="53"/>
      <c r="AD962" s="53"/>
      <c r="AE962" s="53"/>
      <c r="AF962" s="53"/>
      <c r="AG962" s="8"/>
      <c r="AH962" s="8"/>
      <c r="AI962" s="8"/>
      <c r="AJ962" s="8"/>
      <c r="AK962" s="8"/>
      <c r="AL962" s="8"/>
      <c r="AM962" s="8"/>
      <c r="AN962" s="8"/>
      <c r="AO962" s="8"/>
      <c r="AP962" s="8"/>
      <c r="AQ962" s="8"/>
      <c r="AR962" s="8"/>
      <c r="AS962" s="8"/>
      <c r="AT962" s="8"/>
      <c r="AU962" s="8"/>
      <c r="AV962" s="8"/>
      <c r="AW962" s="8"/>
      <c r="AX962" s="8"/>
      <c r="AY962" s="8"/>
      <c r="AZ962" s="8"/>
      <c r="BA962" s="8"/>
      <c r="BB962" s="8"/>
      <c r="BC962" s="8"/>
      <c r="BD962" s="8"/>
      <c r="BE962" s="8"/>
    </row>
    <row r="963" spans="1:57">
      <c r="A963" s="8"/>
      <c r="B963" s="8"/>
      <c r="C963" s="8"/>
      <c r="D963" s="8"/>
      <c r="E963" s="8"/>
      <c r="F963" s="54"/>
      <c r="G963" s="8"/>
      <c r="H963" s="8"/>
      <c r="I963" s="8"/>
      <c r="J963" s="8"/>
      <c r="K963" s="8"/>
      <c r="L963" s="8"/>
      <c r="M963" s="8"/>
      <c r="N963" s="8"/>
      <c r="O963" s="8"/>
      <c r="P963" s="8"/>
      <c r="Q963" s="8"/>
      <c r="R963" s="8"/>
      <c r="S963" s="8"/>
      <c r="T963" s="8"/>
      <c r="U963" s="53"/>
      <c r="V963" s="53"/>
      <c r="W963" s="53"/>
      <c r="X963" s="53"/>
      <c r="Y963" s="53"/>
      <c r="Z963" s="53"/>
      <c r="AA963" s="53"/>
      <c r="AB963" s="53"/>
      <c r="AC963" s="53"/>
      <c r="AD963" s="53"/>
      <c r="AE963" s="53"/>
      <c r="AF963" s="53"/>
      <c r="AG963" s="8"/>
      <c r="AH963" s="8"/>
      <c r="AI963" s="8"/>
      <c r="AJ963" s="8"/>
      <c r="AK963" s="8"/>
      <c r="AL963" s="8"/>
      <c r="AM963" s="8"/>
      <c r="AN963" s="8"/>
      <c r="AO963" s="8"/>
      <c r="AP963" s="8"/>
      <c r="AQ963" s="8"/>
      <c r="AR963" s="8"/>
      <c r="AS963" s="8"/>
      <c r="AT963" s="8"/>
      <c r="AU963" s="8"/>
      <c r="AV963" s="8"/>
      <c r="AW963" s="8"/>
      <c r="AX963" s="8"/>
      <c r="AY963" s="8"/>
      <c r="AZ963" s="8"/>
      <c r="BA963" s="8"/>
      <c r="BB963" s="8"/>
      <c r="BC963" s="8"/>
      <c r="BD963" s="8"/>
      <c r="BE963" s="8"/>
    </row>
    <row r="964" spans="1:57">
      <c r="A964" s="8"/>
      <c r="B964" s="8"/>
      <c r="C964" s="8"/>
      <c r="D964" s="8"/>
      <c r="E964" s="8"/>
      <c r="F964" s="54"/>
      <c r="G964" s="8"/>
      <c r="H964" s="8"/>
      <c r="I964" s="8"/>
      <c r="J964" s="8"/>
      <c r="K964" s="8"/>
      <c r="L964" s="8"/>
      <c r="M964" s="8"/>
      <c r="N964" s="8"/>
      <c r="O964" s="8"/>
      <c r="P964" s="8"/>
      <c r="Q964" s="8"/>
      <c r="R964" s="8"/>
      <c r="S964" s="8"/>
      <c r="T964" s="8"/>
      <c r="U964" s="53"/>
      <c r="V964" s="53"/>
      <c r="W964" s="53"/>
      <c r="X964" s="53"/>
      <c r="Y964" s="53"/>
      <c r="Z964" s="53"/>
      <c r="AA964" s="53"/>
      <c r="AB964" s="53"/>
      <c r="AC964" s="53"/>
      <c r="AD964" s="53"/>
      <c r="AE964" s="53"/>
      <c r="AF964" s="53"/>
      <c r="AG964" s="8"/>
      <c r="AH964" s="8"/>
      <c r="AI964" s="8"/>
      <c r="AJ964" s="8"/>
      <c r="AK964" s="8"/>
      <c r="AL964" s="8"/>
      <c r="AM964" s="8"/>
      <c r="AN964" s="8"/>
      <c r="AO964" s="8"/>
      <c r="AP964" s="8"/>
      <c r="AQ964" s="8"/>
      <c r="AR964" s="8"/>
      <c r="AS964" s="8"/>
      <c r="AT964" s="8"/>
      <c r="AU964" s="8"/>
      <c r="AV964" s="8"/>
      <c r="AW964" s="8"/>
      <c r="AX964" s="8"/>
      <c r="AY964" s="8"/>
      <c r="AZ964" s="8"/>
      <c r="BA964" s="8"/>
      <c r="BB964" s="8"/>
      <c r="BC964" s="8"/>
      <c r="BD964" s="8"/>
      <c r="BE964" s="8"/>
    </row>
    <row r="965" spans="1:57">
      <c r="A965" s="8"/>
      <c r="B965" s="8"/>
      <c r="C965" s="8"/>
      <c r="D965" s="8"/>
      <c r="E965" s="8"/>
      <c r="F965" s="54"/>
      <c r="G965" s="8"/>
      <c r="H965" s="8"/>
      <c r="I965" s="8"/>
      <c r="J965" s="8"/>
      <c r="K965" s="8"/>
      <c r="L965" s="8"/>
      <c r="M965" s="8"/>
      <c r="N965" s="8"/>
      <c r="O965" s="8"/>
      <c r="P965" s="8"/>
      <c r="Q965" s="8"/>
      <c r="R965" s="8"/>
      <c r="S965" s="8"/>
      <c r="T965" s="8"/>
      <c r="U965" s="53"/>
      <c r="V965" s="53"/>
      <c r="W965" s="53"/>
      <c r="X965" s="53"/>
      <c r="Y965" s="53"/>
      <c r="Z965" s="53"/>
      <c r="AA965" s="53"/>
      <c r="AB965" s="53"/>
      <c r="AC965" s="53"/>
      <c r="AD965" s="53"/>
      <c r="AE965" s="53"/>
      <c r="AF965" s="53"/>
      <c r="AG965" s="8"/>
      <c r="AH965" s="8"/>
      <c r="AI965" s="8"/>
      <c r="AJ965" s="8"/>
      <c r="AK965" s="8"/>
      <c r="AL965" s="8"/>
      <c r="AM965" s="8"/>
      <c r="AN965" s="8"/>
      <c r="AO965" s="8"/>
      <c r="AP965" s="8"/>
      <c r="AQ965" s="8"/>
      <c r="AR965" s="8"/>
      <c r="AS965" s="8"/>
      <c r="AT965" s="8"/>
      <c r="AU965" s="8"/>
      <c r="AV965" s="8"/>
      <c r="AW965" s="8"/>
      <c r="AX965" s="8"/>
      <c r="AY965" s="8"/>
      <c r="AZ965" s="8"/>
      <c r="BA965" s="8"/>
      <c r="BB965" s="8"/>
      <c r="BC965" s="8"/>
      <c r="BD965" s="8"/>
      <c r="BE965" s="8"/>
    </row>
    <row r="966" spans="1:57">
      <c r="A966" s="8"/>
      <c r="B966" s="8"/>
      <c r="C966" s="8"/>
      <c r="D966" s="8"/>
      <c r="E966" s="8"/>
      <c r="F966" s="54"/>
      <c r="G966" s="8"/>
      <c r="H966" s="8"/>
      <c r="I966" s="8"/>
      <c r="J966" s="8"/>
      <c r="K966" s="8"/>
      <c r="L966" s="8"/>
      <c r="M966" s="8"/>
      <c r="N966" s="8"/>
      <c r="O966" s="8"/>
      <c r="P966" s="8"/>
      <c r="Q966" s="8"/>
      <c r="R966" s="8"/>
      <c r="S966" s="8"/>
      <c r="T966" s="8"/>
      <c r="U966" s="53"/>
      <c r="V966" s="53"/>
      <c r="W966" s="53"/>
      <c r="X966" s="53"/>
      <c r="Y966" s="53"/>
      <c r="Z966" s="53"/>
      <c r="AA966" s="53"/>
      <c r="AB966" s="53"/>
      <c r="AC966" s="53"/>
      <c r="AD966" s="53"/>
      <c r="AE966" s="53"/>
      <c r="AF966" s="53"/>
      <c r="AG966" s="8"/>
      <c r="AH966" s="8"/>
      <c r="AI966" s="8"/>
      <c r="AJ966" s="8"/>
      <c r="AK966" s="8"/>
      <c r="AL966" s="8"/>
      <c r="AM966" s="8"/>
      <c r="AN966" s="8"/>
      <c r="AO966" s="8"/>
      <c r="AP966" s="8"/>
      <c r="AQ966" s="8"/>
      <c r="AR966" s="8"/>
      <c r="AS966" s="8"/>
      <c r="AT966" s="8"/>
      <c r="AU966" s="8"/>
      <c r="AV966" s="8"/>
      <c r="AW966" s="8"/>
      <c r="AX966" s="8"/>
      <c r="AY966" s="8"/>
      <c r="AZ966" s="8"/>
      <c r="BA966" s="8"/>
      <c r="BB966" s="8"/>
      <c r="BC966" s="8"/>
      <c r="BD966" s="8"/>
      <c r="BE966" s="8"/>
    </row>
    <row r="967" spans="1:57">
      <c r="A967" s="8"/>
      <c r="B967" s="8"/>
      <c r="C967" s="8"/>
      <c r="D967" s="8"/>
      <c r="E967" s="8"/>
      <c r="F967" s="54"/>
      <c r="G967" s="8"/>
      <c r="H967" s="8"/>
      <c r="I967" s="8"/>
      <c r="J967" s="8"/>
      <c r="K967" s="8"/>
      <c r="L967" s="8"/>
      <c r="M967" s="8"/>
      <c r="N967" s="8"/>
      <c r="O967" s="8"/>
      <c r="P967" s="8"/>
      <c r="Q967" s="8"/>
      <c r="R967" s="8"/>
      <c r="S967" s="8"/>
      <c r="T967" s="8"/>
      <c r="U967" s="53"/>
      <c r="V967" s="53"/>
      <c r="W967" s="53"/>
      <c r="X967" s="53"/>
      <c r="Y967" s="53"/>
      <c r="Z967" s="53"/>
      <c r="AA967" s="53"/>
      <c r="AB967" s="53"/>
      <c r="AC967" s="53"/>
      <c r="AD967" s="53"/>
      <c r="AE967" s="53"/>
      <c r="AF967" s="53"/>
      <c r="AG967" s="8"/>
      <c r="AH967" s="8"/>
      <c r="AI967" s="8"/>
      <c r="AJ967" s="8"/>
      <c r="AK967" s="8"/>
      <c r="AL967" s="8"/>
      <c r="AM967" s="8"/>
      <c r="AN967" s="8"/>
      <c r="AO967" s="8"/>
      <c r="AP967" s="8"/>
      <c r="AQ967" s="8"/>
      <c r="AR967" s="8"/>
      <c r="AS967" s="8"/>
      <c r="AT967" s="8"/>
      <c r="AU967" s="8"/>
      <c r="AV967" s="8"/>
      <c r="AW967" s="8"/>
      <c r="AX967" s="8"/>
      <c r="AY967" s="8"/>
      <c r="AZ967" s="8"/>
      <c r="BA967" s="8"/>
      <c r="BB967" s="8"/>
      <c r="BC967" s="8"/>
      <c r="BD967" s="8"/>
      <c r="BE967" s="8"/>
    </row>
    <row r="968" spans="1:57">
      <c r="A968" s="8"/>
      <c r="B968" s="8"/>
      <c r="C968" s="8"/>
      <c r="D968" s="8"/>
      <c r="E968" s="8"/>
      <c r="F968" s="54"/>
      <c r="G968" s="8"/>
      <c r="H968" s="8"/>
      <c r="I968" s="8"/>
      <c r="J968" s="8"/>
      <c r="K968" s="8"/>
      <c r="L968" s="8"/>
      <c r="M968" s="8"/>
      <c r="N968" s="8"/>
      <c r="O968" s="8"/>
      <c r="P968" s="8"/>
      <c r="Q968" s="8"/>
      <c r="R968" s="8"/>
      <c r="S968" s="8"/>
      <c r="T968" s="8"/>
      <c r="U968" s="53"/>
      <c r="V968" s="53"/>
      <c r="W968" s="53"/>
      <c r="X968" s="53"/>
      <c r="Y968" s="53"/>
      <c r="Z968" s="53"/>
      <c r="AA968" s="53"/>
      <c r="AB968" s="53"/>
      <c r="AC968" s="53"/>
      <c r="AD968" s="53"/>
      <c r="AE968" s="53"/>
      <c r="AF968" s="53"/>
      <c r="AG968" s="8"/>
      <c r="AH968" s="8"/>
      <c r="AI968" s="8"/>
      <c r="AJ968" s="8"/>
      <c r="AK968" s="8"/>
      <c r="AL968" s="8"/>
      <c r="AM968" s="8"/>
      <c r="AN968" s="8"/>
      <c r="AO968" s="8"/>
      <c r="AP968" s="8"/>
      <c r="AQ968" s="8"/>
      <c r="AR968" s="8"/>
      <c r="AS968" s="8"/>
      <c r="AT968" s="8"/>
      <c r="AU968" s="8"/>
      <c r="AV968" s="8"/>
      <c r="AW968" s="8"/>
      <c r="AX968" s="8"/>
      <c r="AY968" s="8"/>
      <c r="AZ968" s="8"/>
      <c r="BA968" s="8"/>
      <c r="BB968" s="8"/>
      <c r="BC968" s="8"/>
      <c r="BD968" s="8"/>
      <c r="BE968" s="8"/>
    </row>
    <row r="969" spans="1:57">
      <c r="A969" s="8"/>
      <c r="B969" s="8"/>
      <c r="C969" s="8"/>
      <c r="D969" s="8"/>
      <c r="E969" s="8"/>
      <c r="F969" s="54"/>
      <c r="G969" s="8"/>
      <c r="H969" s="8"/>
      <c r="I969" s="8"/>
      <c r="J969" s="8"/>
      <c r="K969" s="8"/>
      <c r="L969" s="8"/>
      <c r="M969" s="8"/>
      <c r="N969" s="8"/>
      <c r="O969" s="8"/>
      <c r="P969" s="8"/>
      <c r="Q969" s="8"/>
      <c r="R969" s="8"/>
      <c r="S969" s="8"/>
      <c r="T969" s="8"/>
      <c r="U969" s="53"/>
      <c r="V969" s="53"/>
      <c r="W969" s="53"/>
      <c r="X969" s="53"/>
      <c r="Y969" s="53"/>
      <c r="Z969" s="53"/>
      <c r="AA969" s="53"/>
      <c r="AB969" s="53"/>
      <c r="AC969" s="53"/>
      <c r="AD969" s="53"/>
      <c r="AE969" s="53"/>
      <c r="AF969" s="53"/>
      <c r="AG969" s="8"/>
      <c r="AH969" s="8"/>
      <c r="AI969" s="8"/>
      <c r="AJ969" s="8"/>
      <c r="AK969" s="8"/>
      <c r="AL969" s="8"/>
      <c r="AM969" s="8"/>
      <c r="AN969" s="8"/>
      <c r="AO969" s="8"/>
      <c r="AP969" s="8"/>
      <c r="AQ969" s="8"/>
      <c r="AR969" s="8"/>
      <c r="AS969" s="8"/>
      <c r="AT969" s="8"/>
      <c r="AU969" s="8"/>
      <c r="AV969" s="8"/>
      <c r="AW969" s="8"/>
      <c r="AX969" s="8"/>
      <c r="AY969" s="8"/>
      <c r="AZ969" s="8"/>
      <c r="BA969" s="8"/>
      <c r="BB969" s="8"/>
      <c r="BC969" s="8"/>
      <c r="BD969" s="8"/>
      <c r="BE969" s="8"/>
    </row>
    <row r="970" spans="1:57">
      <c r="A970" s="8"/>
      <c r="B970" s="8"/>
      <c r="C970" s="8"/>
      <c r="D970" s="8"/>
      <c r="E970" s="8"/>
      <c r="F970" s="54"/>
      <c r="G970" s="8"/>
      <c r="H970" s="8"/>
      <c r="I970" s="8"/>
      <c r="J970" s="8"/>
      <c r="K970" s="8"/>
      <c r="L970" s="8"/>
      <c r="M970" s="8"/>
      <c r="N970" s="8"/>
      <c r="O970" s="8"/>
      <c r="P970" s="8"/>
      <c r="Q970" s="8"/>
      <c r="R970" s="8"/>
      <c r="S970" s="8"/>
      <c r="T970" s="8"/>
      <c r="U970" s="53"/>
      <c r="V970" s="53"/>
      <c r="W970" s="53"/>
      <c r="X970" s="53"/>
      <c r="Y970" s="53"/>
      <c r="Z970" s="53"/>
      <c r="AA970" s="53"/>
      <c r="AB970" s="53"/>
      <c r="AC970" s="53"/>
      <c r="AD970" s="53"/>
      <c r="AE970" s="53"/>
      <c r="AF970" s="53"/>
      <c r="AG970" s="8"/>
      <c r="AH970" s="8"/>
      <c r="AI970" s="8"/>
      <c r="AJ970" s="8"/>
      <c r="AK970" s="8"/>
      <c r="AL970" s="8"/>
      <c r="AM970" s="8"/>
      <c r="AN970" s="8"/>
      <c r="AO970" s="8"/>
      <c r="AP970" s="8"/>
      <c r="AQ970" s="8"/>
      <c r="AR970" s="8"/>
      <c r="AS970" s="8"/>
      <c r="AT970" s="8"/>
      <c r="AU970" s="8"/>
      <c r="AV970" s="8"/>
      <c r="AW970" s="8"/>
      <c r="AX970" s="8"/>
      <c r="AY970" s="8"/>
      <c r="AZ970" s="8"/>
      <c r="BA970" s="8"/>
      <c r="BB970" s="8"/>
      <c r="BC970" s="8"/>
      <c r="BD970" s="8"/>
      <c r="BE970" s="8"/>
    </row>
    <row r="971" spans="1:57">
      <c r="A971" s="8"/>
      <c r="B971" s="8"/>
      <c r="C971" s="8"/>
      <c r="D971" s="8"/>
      <c r="E971" s="8"/>
      <c r="F971" s="54"/>
      <c r="G971" s="8"/>
      <c r="H971" s="8"/>
      <c r="I971" s="8"/>
      <c r="J971" s="8"/>
      <c r="K971" s="8"/>
      <c r="L971" s="8"/>
      <c r="M971" s="8"/>
      <c r="N971" s="8"/>
      <c r="O971" s="8"/>
      <c r="P971" s="8"/>
      <c r="Q971" s="8"/>
      <c r="R971" s="8"/>
      <c r="S971" s="8"/>
      <c r="T971" s="8"/>
      <c r="U971" s="53"/>
      <c r="V971" s="53"/>
      <c r="W971" s="53"/>
      <c r="X971" s="53"/>
      <c r="Y971" s="53"/>
      <c r="Z971" s="53"/>
      <c r="AA971" s="53"/>
      <c r="AB971" s="53"/>
      <c r="AC971" s="53"/>
      <c r="AD971" s="53"/>
      <c r="AE971" s="53"/>
      <c r="AF971" s="53"/>
      <c r="AG971" s="8"/>
      <c r="AH971" s="8"/>
      <c r="AI971" s="8"/>
      <c r="AJ971" s="8"/>
      <c r="AK971" s="8"/>
      <c r="AL971" s="8"/>
      <c r="AM971" s="8"/>
      <c r="AN971" s="8"/>
      <c r="AO971" s="8"/>
      <c r="AP971" s="8"/>
      <c r="AQ971" s="8"/>
      <c r="AR971" s="8"/>
      <c r="AS971" s="8"/>
      <c r="AT971" s="8"/>
      <c r="AU971" s="8"/>
      <c r="AV971" s="8"/>
      <c r="AW971" s="8"/>
      <c r="AX971" s="8"/>
      <c r="AY971" s="8"/>
      <c r="AZ971" s="8"/>
      <c r="BA971" s="8"/>
      <c r="BB971" s="8"/>
      <c r="BC971" s="8"/>
      <c r="BD971" s="8"/>
      <c r="BE971" s="8"/>
    </row>
    <row r="972" spans="1:57">
      <c r="A972" s="8"/>
      <c r="B972" s="8"/>
      <c r="C972" s="8"/>
      <c r="D972" s="8"/>
      <c r="E972" s="8"/>
      <c r="F972" s="54"/>
      <c r="G972" s="8"/>
      <c r="H972" s="8"/>
      <c r="I972" s="8"/>
      <c r="J972" s="8"/>
      <c r="K972" s="8"/>
      <c r="L972" s="8"/>
      <c r="M972" s="8"/>
      <c r="N972" s="8"/>
      <c r="O972" s="8"/>
      <c r="P972" s="8"/>
      <c r="Q972" s="8"/>
      <c r="R972" s="8"/>
      <c r="S972" s="8"/>
      <c r="T972" s="8"/>
      <c r="U972" s="53"/>
      <c r="V972" s="53"/>
      <c r="W972" s="53"/>
      <c r="X972" s="53"/>
      <c r="Y972" s="53"/>
      <c r="Z972" s="53"/>
      <c r="AA972" s="53"/>
      <c r="AB972" s="53"/>
      <c r="AC972" s="53"/>
      <c r="AD972" s="53"/>
      <c r="AE972" s="53"/>
      <c r="AF972" s="53"/>
      <c r="AG972" s="8"/>
      <c r="AH972" s="8"/>
      <c r="AI972" s="8"/>
      <c r="AJ972" s="8"/>
      <c r="AK972" s="8"/>
      <c r="AL972" s="8"/>
      <c r="AM972" s="8"/>
      <c r="AN972" s="8"/>
      <c r="AO972" s="8"/>
      <c r="AP972" s="8"/>
      <c r="AQ972" s="8"/>
      <c r="AR972" s="8"/>
      <c r="AS972" s="8"/>
      <c r="AT972" s="8"/>
      <c r="AU972" s="8"/>
      <c r="AV972" s="8"/>
      <c r="AW972" s="8"/>
      <c r="AX972" s="8"/>
      <c r="AY972" s="8"/>
      <c r="AZ972" s="8"/>
      <c r="BA972" s="8"/>
      <c r="BB972" s="8"/>
      <c r="BC972" s="8"/>
      <c r="BD972" s="8"/>
      <c r="BE972" s="8"/>
    </row>
    <row r="973" spans="1:57">
      <c r="A973" s="8"/>
      <c r="B973" s="8"/>
      <c r="C973" s="8"/>
      <c r="D973" s="8"/>
      <c r="E973" s="8"/>
      <c r="F973" s="54"/>
      <c r="G973" s="8"/>
      <c r="H973" s="8"/>
      <c r="I973" s="8"/>
      <c r="J973" s="8"/>
      <c r="K973" s="8"/>
      <c r="L973" s="8"/>
      <c r="M973" s="8"/>
      <c r="N973" s="8"/>
      <c r="O973" s="8"/>
      <c r="P973" s="8"/>
      <c r="Q973" s="8"/>
      <c r="R973" s="8"/>
      <c r="S973" s="8"/>
      <c r="T973" s="8"/>
      <c r="U973" s="53"/>
      <c r="V973" s="53"/>
      <c r="W973" s="53"/>
      <c r="X973" s="53"/>
      <c r="Y973" s="53"/>
      <c r="Z973" s="53"/>
      <c r="AA973" s="53"/>
      <c r="AB973" s="53"/>
      <c r="AC973" s="53"/>
      <c r="AD973" s="53"/>
      <c r="AE973" s="53"/>
      <c r="AF973" s="53"/>
      <c r="AG973" s="8"/>
      <c r="AH973" s="8"/>
      <c r="AI973" s="8"/>
      <c r="AJ973" s="8"/>
      <c r="AK973" s="8"/>
      <c r="AL973" s="8"/>
      <c r="AM973" s="8"/>
      <c r="AN973" s="8"/>
      <c r="AO973" s="8"/>
      <c r="AP973" s="8"/>
      <c r="AQ973" s="8"/>
      <c r="AR973" s="8"/>
      <c r="AS973" s="8"/>
      <c r="AT973" s="8"/>
      <c r="AU973" s="8"/>
      <c r="AV973" s="8"/>
      <c r="AW973" s="8"/>
      <c r="AX973" s="8"/>
      <c r="AY973" s="8"/>
      <c r="AZ973" s="8"/>
      <c r="BA973" s="8"/>
      <c r="BB973" s="8"/>
      <c r="BC973" s="8"/>
      <c r="BD973" s="8"/>
      <c r="BE973" s="8"/>
    </row>
    <row r="974" spans="1:57">
      <c r="A974" s="8"/>
      <c r="B974" s="8"/>
      <c r="C974" s="8"/>
      <c r="D974" s="8"/>
      <c r="E974" s="8"/>
      <c r="F974" s="54"/>
      <c r="G974" s="8"/>
      <c r="H974" s="8"/>
      <c r="I974" s="8"/>
      <c r="J974" s="8"/>
      <c r="K974" s="8"/>
      <c r="L974" s="8"/>
      <c r="M974" s="8"/>
      <c r="N974" s="8"/>
      <c r="O974" s="8"/>
      <c r="P974" s="8"/>
      <c r="Q974" s="8"/>
      <c r="R974" s="8"/>
      <c r="S974" s="8"/>
      <c r="T974" s="8"/>
      <c r="U974" s="53"/>
      <c r="V974" s="53"/>
      <c r="W974" s="53"/>
      <c r="X974" s="53"/>
      <c r="Y974" s="53"/>
      <c r="Z974" s="53"/>
      <c r="AA974" s="53"/>
      <c r="AB974" s="53"/>
      <c r="AC974" s="53"/>
      <c r="AD974" s="53"/>
      <c r="AE974" s="53"/>
      <c r="AF974" s="53"/>
      <c r="AG974" s="8"/>
      <c r="AH974" s="8"/>
      <c r="AI974" s="8"/>
      <c r="AJ974" s="8"/>
      <c r="AK974" s="8"/>
      <c r="AL974" s="8"/>
      <c r="AM974" s="8"/>
      <c r="AN974" s="8"/>
      <c r="AO974" s="8"/>
      <c r="AP974" s="8"/>
      <c r="AQ974" s="8"/>
      <c r="AR974" s="8"/>
      <c r="AS974" s="8"/>
      <c r="AT974" s="8"/>
      <c r="AU974" s="8"/>
      <c r="AV974" s="8"/>
      <c r="AW974" s="8"/>
      <c r="AX974" s="8"/>
      <c r="AY974" s="8"/>
      <c r="AZ974" s="8"/>
      <c r="BA974" s="8"/>
      <c r="BB974" s="8"/>
      <c r="BC974" s="8"/>
      <c r="BD974" s="8"/>
      <c r="BE974" s="8"/>
    </row>
    <row r="975" spans="1:57">
      <c r="A975" s="8"/>
      <c r="B975" s="8"/>
      <c r="C975" s="8"/>
      <c r="D975" s="8"/>
      <c r="E975" s="8"/>
      <c r="F975" s="54"/>
      <c r="G975" s="8"/>
      <c r="H975" s="8"/>
      <c r="I975" s="8"/>
      <c r="J975" s="8"/>
      <c r="K975" s="8"/>
      <c r="L975" s="8"/>
      <c r="M975" s="8"/>
      <c r="N975" s="8"/>
      <c r="O975" s="8"/>
      <c r="P975" s="8"/>
      <c r="Q975" s="8"/>
      <c r="R975" s="8"/>
      <c r="S975" s="8"/>
      <c r="T975" s="8"/>
      <c r="U975" s="53"/>
      <c r="V975" s="53"/>
      <c r="W975" s="53"/>
      <c r="X975" s="53"/>
      <c r="Y975" s="53"/>
      <c r="Z975" s="53"/>
      <c r="AA975" s="53"/>
      <c r="AB975" s="53"/>
      <c r="AC975" s="53"/>
      <c r="AD975" s="53"/>
      <c r="AE975" s="53"/>
      <c r="AF975" s="53"/>
      <c r="AG975" s="8"/>
      <c r="AH975" s="8"/>
      <c r="AI975" s="8"/>
      <c r="AJ975" s="8"/>
      <c r="AK975" s="8"/>
      <c r="AL975" s="8"/>
      <c r="AM975" s="8"/>
      <c r="AN975" s="8"/>
      <c r="AO975" s="8"/>
      <c r="AP975" s="8"/>
      <c r="AQ975" s="8"/>
      <c r="AR975" s="8"/>
      <c r="AS975" s="8"/>
      <c r="AT975" s="8"/>
      <c r="AU975" s="8"/>
      <c r="AV975" s="8"/>
      <c r="AW975" s="8"/>
      <c r="AX975" s="8"/>
      <c r="AY975" s="8"/>
      <c r="AZ975" s="8"/>
      <c r="BA975" s="8"/>
      <c r="BB975" s="8"/>
      <c r="BC975" s="8"/>
      <c r="BD975" s="8"/>
      <c r="BE975" s="8"/>
    </row>
    <row r="976" spans="1:57">
      <c r="A976" s="8"/>
      <c r="B976" s="8"/>
      <c r="C976" s="8"/>
      <c r="D976" s="8"/>
      <c r="E976" s="8"/>
      <c r="F976" s="54"/>
      <c r="G976" s="8"/>
      <c r="H976" s="8"/>
      <c r="I976" s="8"/>
      <c r="J976" s="8"/>
      <c r="K976" s="8"/>
      <c r="L976" s="8"/>
      <c r="M976" s="8"/>
      <c r="N976" s="8"/>
      <c r="O976" s="8"/>
      <c r="P976" s="8"/>
      <c r="Q976" s="8"/>
      <c r="R976" s="8"/>
      <c r="S976" s="8"/>
      <c r="T976" s="8"/>
      <c r="U976" s="53"/>
      <c r="V976" s="53"/>
      <c r="W976" s="53"/>
      <c r="X976" s="53"/>
      <c r="Y976" s="53"/>
      <c r="Z976" s="53"/>
      <c r="AA976" s="53"/>
      <c r="AB976" s="53"/>
      <c r="AC976" s="53"/>
      <c r="AD976" s="53"/>
      <c r="AE976" s="53"/>
      <c r="AF976" s="53"/>
      <c r="AG976" s="8"/>
      <c r="AH976" s="8"/>
      <c r="AI976" s="8"/>
      <c r="AJ976" s="8"/>
      <c r="AK976" s="8"/>
      <c r="AL976" s="8"/>
      <c r="AM976" s="8"/>
      <c r="AN976" s="8"/>
      <c r="AO976" s="8"/>
      <c r="AP976" s="8"/>
      <c r="AQ976" s="8"/>
      <c r="AR976" s="8"/>
      <c r="AS976" s="8"/>
      <c r="AT976" s="8"/>
      <c r="AU976" s="8"/>
      <c r="AV976" s="8"/>
      <c r="AW976" s="8"/>
      <c r="AX976" s="8"/>
      <c r="AY976" s="8"/>
      <c r="AZ976" s="8"/>
      <c r="BA976" s="8"/>
      <c r="BB976" s="8"/>
      <c r="BC976" s="8"/>
      <c r="BD976" s="8"/>
      <c r="BE976" s="8"/>
    </row>
    <row r="977" spans="1:57">
      <c r="A977" s="8"/>
      <c r="B977" s="8"/>
      <c r="C977" s="8"/>
      <c r="D977" s="8"/>
      <c r="E977" s="8"/>
      <c r="F977" s="54"/>
      <c r="G977" s="8"/>
      <c r="H977" s="8"/>
      <c r="I977" s="8"/>
      <c r="J977" s="8"/>
      <c r="K977" s="8"/>
      <c r="L977" s="8"/>
      <c r="M977" s="8"/>
      <c r="N977" s="8"/>
      <c r="O977" s="8"/>
      <c r="P977" s="8"/>
      <c r="Q977" s="8"/>
      <c r="R977" s="8"/>
      <c r="S977" s="8"/>
      <c r="T977" s="8"/>
      <c r="U977" s="53"/>
      <c r="V977" s="53"/>
      <c r="W977" s="53"/>
      <c r="X977" s="53"/>
      <c r="Y977" s="53"/>
      <c r="Z977" s="53"/>
      <c r="AA977" s="53"/>
      <c r="AB977" s="53"/>
      <c r="AC977" s="53"/>
      <c r="AD977" s="53"/>
      <c r="AE977" s="53"/>
      <c r="AF977" s="53"/>
      <c r="AG977" s="8"/>
      <c r="AH977" s="8"/>
      <c r="AI977" s="8"/>
      <c r="AJ977" s="8"/>
      <c r="AK977" s="8"/>
      <c r="AL977" s="8"/>
      <c r="AM977" s="8"/>
      <c r="AN977" s="8"/>
      <c r="AO977" s="8"/>
      <c r="AP977" s="8"/>
      <c r="AQ977" s="8"/>
      <c r="AR977" s="8"/>
      <c r="AS977" s="8"/>
      <c r="AT977" s="8"/>
      <c r="AU977" s="8"/>
      <c r="AV977" s="8"/>
      <c r="AW977" s="8"/>
      <c r="AX977" s="8"/>
      <c r="AY977" s="8"/>
      <c r="AZ977" s="8"/>
      <c r="BA977" s="8"/>
      <c r="BB977" s="8"/>
      <c r="BC977" s="8"/>
      <c r="BD977" s="8"/>
      <c r="BE977" s="8"/>
    </row>
    <row r="978" spans="1:57">
      <c r="A978" s="8"/>
      <c r="B978" s="8"/>
      <c r="C978" s="8"/>
      <c r="D978" s="8"/>
      <c r="E978" s="8"/>
      <c r="F978" s="54"/>
      <c r="G978" s="8"/>
      <c r="H978" s="8"/>
      <c r="I978" s="8"/>
      <c r="J978" s="8"/>
      <c r="K978" s="8"/>
      <c r="L978" s="8"/>
      <c r="M978" s="8"/>
      <c r="N978" s="8"/>
      <c r="O978" s="8"/>
      <c r="P978" s="8"/>
      <c r="Q978" s="8"/>
      <c r="R978" s="8"/>
      <c r="S978" s="8"/>
      <c r="T978" s="8"/>
      <c r="U978" s="53"/>
      <c r="V978" s="53"/>
      <c r="W978" s="53"/>
      <c r="X978" s="53"/>
      <c r="Y978" s="53"/>
      <c r="Z978" s="53"/>
      <c r="AA978" s="53"/>
      <c r="AB978" s="53"/>
      <c r="AC978" s="53"/>
      <c r="AD978" s="53"/>
      <c r="AE978" s="53"/>
      <c r="AF978" s="53"/>
      <c r="AG978" s="8"/>
      <c r="AH978" s="8"/>
      <c r="AI978" s="8"/>
      <c r="AJ978" s="8"/>
      <c r="AK978" s="8"/>
      <c r="AL978" s="8"/>
      <c r="AM978" s="8"/>
      <c r="AN978" s="8"/>
      <c r="AO978" s="8"/>
      <c r="AP978" s="8"/>
      <c r="AQ978" s="8"/>
      <c r="AR978" s="8"/>
      <c r="AS978" s="8"/>
      <c r="AT978" s="8"/>
      <c r="AU978" s="8"/>
      <c r="AV978" s="8"/>
      <c r="AW978" s="8"/>
      <c r="AX978" s="8"/>
      <c r="AY978" s="8"/>
      <c r="AZ978" s="8"/>
      <c r="BA978" s="8"/>
      <c r="BB978" s="8"/>
      <c r="BC978" s="8"/>
      <c r="BD978" s="8"/>
      <c r="BE978" s="8"/>
    </row>
    <row r="979" spans="1:57">
      <c r="A979" s="8"/>
      <c r="B979" s="8"/>
      <c r="C979" s="8"/>
      <c r="D979" s="8"/>
      <c r="E979" s="8"/>
      <c r="F979" s="54"/>
      <c r="G979" s="8"/>
      <c r="H979" s="8"/>
      <c r="I979" s="8"/>
      <c r="J979" s="8"/>
      <c r="K979" s="8"/>
      <c r="L979" s="8"/>
      <c r="M979" s="8"/>
      <c r="N979" s="8"/>
      <c r="O979" s="8"/>
      <c r="P979" s="8"/>
      <c r="Q979" s="8"/>
      <c r="R979" s="8"/>
      <c r="S979" s="8"/>
      <c r="T979" s="8"/>
      <c r="U979" s="53"/>
      <c r="V979" s="53"/>
      <c r="W979" s="53"/>
      <c r="X979" s="53"/>
      <c r="Y979" s="53"/>
      <c r="Z979" s="53"/>
      <c r="AA979" s="53"/>
      <c r="AB979" s="53"/>
      <c r="AC979" s="53"/>
      <c r="AD979" s="53"/>
      <c r="AE979" s="53"/>
      <c r="AF979" s="53"/>
      <c r="AG979" s="8"/>
      <c r="AH979" s="8"/>
      <c r="AI979" s="8"/>
      <c r="AJ979" s="8"/>
      <c r="AK979" s="8"/>
      <c r="AL979" s="8"/>
      <c r="AM979" s="8"/>
      <c r="AN979" s="8"/>
      <c r="AO979" s="8"/>
      <c r="AP979" s="8"/>
      <c r="AQ979" s="8"/>
      <c r="AR979" s="8"/>
      <c r="AS979" s="8"/>
      <c r="AT979" s="8"/>
      <c r="AU979" s="8"/>
      <c r="AV979" s="8"/>
      <c r="AW979" s="8"/>
      <c r="AX979" s="8"/>
      <c r="AY979" s="8"/>
      <c r="AZ979" s="8"/>
      <c r="BA979" s="8"/>
      <c r="BB979" s="8"/>
      <c r="BC979" s="8"/>
      <c r="BD979" s="8"/>
      <c r="BE979" s="8"/>
    </row>
    <row r="980" spans="1:57">
      <c r="A980" s="8"/>
      <c r="B980" s="8"/>
      <c r="C980" s="8"/>
      <c r="D980" s="8"/>
      <c r="E980" s="8"/>
      <c r="F980" s="54"/>
      <c r="G980" s="8"/>
      <c r="H980" s="8"/>
      <c r="I980" s="8"/>
      <c r="J980" s="8"/>
      <c r="K980" s="8"/>
      <c r="L980" s="8"/>
      <c r="M980" s="8"/>
      <c r="N980" s="8"/>
      <c r="O980" s="8"/>
      <c r="P980" s="8"/>
      <c r="Q980" s="8"/>
      <c r="R980" s="8"/>
      <c r="S980" s="8"/>
      <c r="T980" s="8"/>
      <c r="U980" s="53"/>
      <c r="V980" s="53"/>
      <c r="W980" s="53"/>
      <c r="X980" s="53"/>
      <c r="Y980" s="53"/>
      <c r="Z980" s="53"/>
      <c r="AA980" s="53"/>
      <c r="AB980" s="53"/>
      <c r="AC980" s="53"/>
      <c r="AD980" s="53"/>
      <c r="AE980" s="53"/>
      <c r="AF980" s="53"/>
      <c r="AG980" s="8"/>
      <c r="AH980" s="8"/>
      <c r="AI980" s="8"/>
      <c r="AJ980" s="8"/>
      <c r="AK980" s="8"/>
      <c r="AL980" s="8"/>
      <c r="AM980" s="8"/>
      <c r="AN980" s="8"/>
      <c r="AO980" s="8"/>
      <c r="AP980" s="8"/>
      <c r="AQ980" s="8"/>
      <c r="AR980" s="8"/>
      <c r="AS980" s="8"/>
      <c r="AT980" s="8"/>
      <c r="AU980" s="8"/>
      <c r="AV980" s="8"/>
      <c r="AW980" s="8"/>
      <c r="AX980" s="8"/>
      <c r="AY980" s="8"/>
      <c r="AZ980" s="8"/>
      <c r="BA980" s="8"/>
      <c r="BB980" s="8"/>
      <c r="BC980" s="8"/>
      <c r="BD980" s="8"/>
      <c r="BE980" s="8"/>
    </row>
    <row r="981" spans="1:57">
      <c r="A981" s="8"/>
      <c r="B981" s="8"/>
      <c r="C981" s="8"/>
      <c r="D981" s="8"/>
      <c r="E981" s="8"/>
      <c r="F981" s="54"/>
      <c r="G981" s="8"/>
      <c r="H981" s="8"/>
      <c r="I981" s="8"/>
      <c r="J981" s="8"/>
      <c r="K981" s="8"/>
      <c r="L981" s="8"/>
      <c r="M981" s="8"/>
      <c r="N981" s="8"/>
      <c r="O981" s="8"/>
      <c r="P981" s="8"/>
      <c r="Q981" s="8"/>
      <c r="R981" s="8"/>
      <c r="S981" s="8"/>
      <c r="T981" s="8"/>
      <c r="U981" s="53"/>
      <c r="V981" s="53"/>
      <c r="W981" s="53"/>
      <c r="X981" s="53"/>
      <c r="Y981" s="53"/>
      <c r="Z981" s="53"/>
      <c r="AA981" s="53"/>
      <c r="AB981" s="53"/>
      <c r="AC981" s="53"/>
      <c r="AD981" s="53"/>
      <c r="AE981" s="53"/>
      <c r="AF981" s="53"/>
      <c r="AG981" s="8"/>
      <c r="AH981" s="8"/>
      <c r="AI981" s="8"/>
      <c r="AJ981" s="8"/>
      <c r="AK981" s="8"/>
      <c r="AL981" s="8"/>
      <c r="AM981" s="8"/>
      <c r="AN981" s="8"/>
      <c r="AO981" s="8"/>
      <c r="AP981" s="8"/>
      <c r="AQ981" s="8"/>
      <c r="AR981" s="8"/>
      <c r="AS981" s="8"/>
      <c r="AT981" s="8"/>
      <c r="AU981" s="8"/>
      <c r="AV981" s="8"/>
      <c r="AW981" s="8"/>
      <c r="AX981" s="8"/>
      <c r="AY981" s="8"/>
      <c r="AZ981" s="8"/>
      <c r="BA981" s="8"/>
      <c r="BB981" s="8"/>
      <c r="BC981" s="8"/>
      <c r="BD981" s="8"/>
      <c r="BE981" s="8"/>
    </row>
    <row r="982" spans="1:57">
      <c r="A982" s="8"/>
      <c r="B982" s="8"/>
      <c r="C982" s="8"/>
      <c r="D982" s="8"/>
      <c r="E982" s="8"/>
      <c r="F982" s="54"/>
      <c r="G982" s="8"/>
      <c r="H982" s="8"/>
      <c r="I982" s="8"/>
      <c r="J982" s="8"/>
      <c r="K982" s="8"/>
      <c r="L982" s="8"/>
      <c r="M982" s="8"/>
      <c r="N982" s="8"/>
      <c r="O982" s="8"/>
      <c r="P982" s="8"/>
      <c r="Q982" s="8"/>
      <c r="R982" s="8"/>
      <c r="S982" s="8"/>
      <c r="T982" s="8"/>
      <c r="U982" s="53"/>
      <c r="V982" s="53"/>
      <c r="W982" s="53"/>
      <c r="X982" s="53"/>
      <c r="Y982" s="53"/>
      <c r="Z982" s="53"/>
      <c r="AA982" s="53"/>
      <c r="AB982" s="53"/>
      <c r="AC982" s="53"/>
      <c r="AD982" s="53"/>
      <c r="AE982" s="53"/>
      <c r="AF982" s="53"/>
      <c r="AG982" s="8"/>
      <c r="AH982" s="8"/>
      <c r="AI982" s="8"/>
      <c r="AJ982" s="8"/>
      <c r="AK982" s="8"/>
      <c r="AL982" s="8"/>
      <c r="AM982" s="8"/>
      <c r="AN982" s="8"/>
      <c r="AO982" s="8"/>
      <c r="AP982" s="8"/>
      <c r="AQ982" s="8"/>
      <c r="AR982" s="8"/>
      <c r="AS982" s="8"/>
      <c r="AT982" s="8"/>
      <c r="AU982" s="8"/>
      <c r="AV982" s="8"/>
      <c r="AW982" s="8"/>
      <c r="AX982" s="8"/>
      <c r="AY982" s="8"/>
      <c r="AZ982" s="8"/>
      <c r="BA982" s="8"/>
      <c r="BB982" s="8"/>
      <c r="BC982" s="8"/>
      <c r="BD982" s="8"/>
      <c r="BE982" s="8"/>
    </row>
    <row r="983" spans="1:57">
      <c r="A983" s="8"/>
      <c r="B983" s="8"/>
      <c r="C983" s="8"/>
      <c r="D983" s="8"/>
      <c r="E983" s="8"/>
      <c r="F983" s="54"/>
      <c r="G983" s="8"/>
      <c r="H983" s="8"/>
      <c r="I983" s="8"/>
      <c r="J983" s="8"/>
      <c r="K983" s="8"/>
      <c r="L983" s="8"/>
      <c r="M983" s="8"/>
      <c r="N983" s="8"/>
      <c r="O983" s="8"/>
      <c r="P983" s="8"/>
      <c r="Q983" s="8"/>
      <c r="R983" s="8"/>
      <c r="S983" s="8"/>
      <c r="T983" s="8"/>
      <c r="U983" s="53"/>
      <c r="V983" s="53"/>
      <c r="W983" s="53"/>
      <c r="X983" s="53"/>
      <c r="Y983" s="53"/>
      <c r="Z983" s="53"/>
      <c r="AA983" s="53"/>
      <c r="AB983" s="53"/>
      <c r="AC983" s="53"/>
      <c r="AD983" s="53"/>
      <c r="AE983" s="53"/>
      <c r="AF983" s="53"/>
      <c r="AG983" s="8"/>
      <c r="AH983" s="8"/>
      <c r="AI983" s="8"/>
      <c r="AJ983" s="8"/>
      <c r="AK983" s="8"/>
      <c r="AL983" s="8"/>
      <c r="AM983" s="8"/>
      <c r="AN983" s="8"/>
      <c r="AO983" s="8"/>
      <c r="AP983" s="8"/>
      <c r="AQ983" s="8"/>
      <c r="AR983" s="8"/>
      <c r="AS983" s="8"/>
      <c r="AT983" s="8"/>
      <c r="AU983" s="8"/>
      <c r="AV983" s="8"/>
      <c r="AW983" s="8"/>
      <c r="AX983" s="8"/>
      <c r="AY983" s="8"/>
      <c r="AZ983" s="8"/>
      <c r="BA983" s="8"/>
      <c r="BB983" s="8"/>
      <c r="BC983" s="8"/>
      <c r="BD983" s="8"/>
      <c r="BE983" s="8"/>
    </row>
    <row r="984" spans="1:57">
      <c r="A984" s="8"/>
      <c r="B984" s="8"/>
      <c r="C984" s="8"/>
      <c r="D984" s="8"/>
      <c r="E984" s="8"/>
      <c r="F984" s="54"/>
      <c r="G984" s="8"/>
      <c r="H984" s="8"/>
      <c r="I984" s="8"/>
      <c r="J984" s="8"/>
      <c r="K984" s="8"/>
      <c r="L984" s="8"/>
      <c r="M984" s="8"/>
      <c r="N984" s="8"/>
      <c r="O984" s="8"/>
      <c r="P984" s="8"/>
      <c r="Q984" s="8"/>
      <c r="R984" s="8"/>
      <c r="S984" s="8"/>
      <c r="T984" s="8"/>
      <c r="U984" s="53"/>
      <c r="V984" s="53"/>
      <c r="W984" s="53"/>
      <c r="X984" s="53"/>
      <c r="Y984" s="53"/>
      <c r="Z984" s="53"/>
      <c r="AA984" s="53"/>
      <c r="AB984" s="53"/>
      <c r="AC984" s="53"/>
      <c r="AD984" s="53"/>
      <c r="AE984" s="53"/>
      <c r="AF984" s="53"/>
      <c r="AG984" s="8"/>
      <c r="AH984" s="8"/>
      <c r="AI984" s="8"/>
      <c r="AJ984" s="8"/>
      <c r="AK984" s="8"/>
      <c r="AL984" s="8"/>
      <c r="AM984" s="8"/>
      <c r="AN984" s="8"/>
      <c r="AO984" s="8"/>
      <c r="AP984" s="8"/>
      <c r="AQ984" s="8"/>
      <c r="AR984" s="8"/>
      <c r="AS984" s="8"/>
      <c r="AT984" s="8"/>
      <c r="AU984" s="8"/>
      <c r="AV984" s="8"/>
      <c r="AW984" s="8"/>
      <c r="AX984" s="8"/>
      <c r="AY984" s="8"/>
      <c r="AZ984" s="8"/>
      <c r="BA984" s="8"/>
      <c r="BB984" s="8"/>
      <c r="BC984" s="8"/>
      <c r="BD984" s="8"/>
      <c r="BE984" s="8"/>
    </row>
  </sheetData>
  <conditionalFormatting sqref="Y1:Y984">
    <cfRule type="cellIs" dxfId="2" priority="1" operator="lessThan">
      <formula>4</formula>
    </cfRule>
  </conditionalFormatting>
  <conditionalFormatting sqref="Z1:Z984">
    <cfRule type="cellIs" dxfId="1" priority="2" operator="lessThan">
      <formula>3</formula>
    </cfRule>
  </conditionalFormatting>
  <conditionalFormatting sqref="AA1:AA984">
    <cfRule type="cellIs" dxfId="0" priority="3" operator="lessThan">
      <formula>1</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AT1072"/>
  <sheetViews>
    <sheetView workbookViewId="0">
      <pane ySplit="1" topLeftCell="A2" activePane="bottomLeft" state="frozen"/>
      <selection pane="bottomLeft" activeCell="B3" sqref="B3"/>
    </sheetView>
  </sheetViews>
  <sheetFormatPr defaultColWidth="12.6640625" defaultRowHeight="15.75" customHeight="1"/>
  <cols>
    <col min="2" max="2" width="10.33203125" customWidth="1"/>
    <col min="3" max="3" width="11.21875" customWidth="1"/>
    <col min="4" max="4" width="10.77734375" customWidth="1"/>
    <col min="5" max="5" width="17.21875" customWidth="1"/>
    <col min="6" max="6" width="20.109375" customWidth="1"/>
    <col min="7" max="7" width="11.109375" customWidth="1"/>
    <col min="8" max="8" width="31.33203125" customWidth="1"/>
    <col min="10" max="10" width="32.33203125" customWidth="1"/>
    <col min="12" max="12" width="33.6640625" customWidth="1"/>
    <col min="14" max="14" width="34.6640625" customWidth="1"/>
    <col min="16" max="16" width="38.109375" customWidth="1"/>
    <col min="18" max="18" width="49.21875" customWidth="1"/>
    <col min="20" max="20" width="40.6640625" customWidth="1"/>
  </cols>
  <sheetData>
    <row r="1" spans="1:46">
      <c r="A1" s="63" t="s">
        <v>0</v>
      </c>
      <c r="B1" s="63" t="s">
        <v>1</v>
      </c>
      <c r="C1" s="63" t="s">
        <v>2</v>
      </c>
      <c r="D1" s="63" t="s">
        <v>3</v>
      </c>
      <c r="E1" s="63" t="s">
        <v>4</v>
      </c>
      <c r="F1" s="63" t="s">
        <v>5</v>
      </c>
      <c r="G1" s="63" t="s">
        <v>6</v>
      </c>
      <c r="H1" s="63" t="s">
        <v>7</v>
      </c>
      <c r="I1" s="64" t="s">
        <v>8</v>
      </c>
      <c r="J1" s="64" t="s">
        <v>9</v>
      </c>
      <c r="K1" s="64" t="s">
        <v>10</v>
      </c>
      <c r="L1" s="64" t="s">
        <v>11</v>
      </c>
      <c r="M1" s="64" t="s">
        <v>12</v>
      </c>
      <c r="N1" s="64" t="s">
        <v>13</v>
      </c>
      <c r="O1" s="64" t="s">
        <v>14</v>
      </c>
      <c r="P1" s="64" t="s">
        <v>15</v>
      </c>
      <c r="Q1" s="64" t="s">
        <v>16</v>
      </c>
      <c r="R1" s="64" t="s">
        <v>17</v>
      </c>
      <c r="S1" s="64" t="s">
        <v>18</v>
      </c>
      <c r="T1" s="64" t="s">
        <v>19</v>
      </c>
      <c r="U1" s="33" t="s">
        <v>20</v>
      </c>
      <c r="V1" s="33" t="s">
        <v>21</v>
      </c>
      <c r="W1" s="33" t="s">
        <v>22</v>
      </c>
      <c r="X1" s="33" t="s">
        <v>23</v>
      </c>
      <c r="Y1" s="33" t="s">
        <v>24</v>
      </c>
      <c r="Z1" s="33" t="s">
        <v>25</v>
      </c>
      <c r="AA1" s="33" t="s">
        <v>26</v>
      </c>
      <c r="AB1" s="35" t="s">
        <v>27</v>
      </c>
      <c r="AC1" s="36" t="s">
        <v>28</v>
      </c>
      <c r="AD1" s="36" t="s">
        <v>29</v>
      </c>
      <c r="AE1" s="36" t="s">
        <v>30</v>
      </c>
      <c r="AF1" s="37" t="s">
        <v>31</v>
      </c>
      <c r="AG1" s="65" t="s">
        <v>32</v>
      </c>
      <c r="AH1" s="65" t="s">
        <v>33</v>
      </c>
      <c r="AI1" s="65" t="s">
        <v>34</v>
      </c>
      <c r="AJ1" s="65" t="s">
        <v>35</v>
      </c>
      <c r="AK1" s="65" t="s">
        <v>36</v>
      </c>
      <c r="AL1" s="65" t="s">
        <v>37</v>
      </c>
      <c r="AM1" s="6" t="s">
        <v>38</v>
      </c>
      <c r="AN1" s="7" t="s">
        <v>39</v>
      </c>
      <c r="AO1" s="6" t="s">
        <v>40</v>
      </c>
      <c r="AP1" s="7" t="s">
        <v>41</v>
      </c>
      <c r="AQ1" s="6" t="s">
        <v>42</v>
      </c>
      <c r="AR1" s="7" t="s">
        <v>43</v>
      </c>
      <c r="AS1" s="6" t="s">
        <v>44</v>
      </c>
      <c r="AT1" s="7" t="s">
        <v>45</v>
      </c>
    </row>
    <row r="2" spans="1:46">
      <c r="A2" s="8" t="s">
        <v>247</v>
      </c>
      <c r="B2" s="66" t="s">
        <v>47</v>
      </c>
      <c r="C2" s="66" t="s">
        <v>979</v>
      </c>
      <c r="D2" s="67" t="s">
        <v>732</v>
      </c>
      <c r="E2" s="67" t="s">
        <v>980</v>
      </c>
      <c r="F2" s="66" t="s">
        <v>981</v>
      </c>
      <c r="G2" s="68" t="s">
        <v>982</v>
      </c>
      <c r="H2" s="66" t="str">
        <f ca="1">IFERROR(__xludf.DUMMYFUNCTION("VLOOKUP(G2, IMPORTRANGE(""https://docs.google.com/spreadsheets/d/14deopnvwcrKtEGCKuYXdUHJbeLDZlkiSSWWT0g7x2pM/edit#gid=999382323"", ""LU List Maths (Filter)!A:B""), 2, FALSE)"),"Introduction to irrational numbers [definition, representation, characteristics, examples]")</f>
        <v>Introduction to irrational numbers [definition, representation, characteristics, examples]</v>
      </c>
      <c r="I2" s="69" t="str">
        <f t="shared" ref="I2:I119" si="0">G2 &amp; ".001"</f>
        <v>LU001177.001</v>
      </c>
      <c r="J2" s="69" t="str">
        <f ca="1">IFERROR(__xludf.DUMMYFUNCTION("VLOOKUP(I2, IMPORTRANGE(""https://docs.google.com/spreadsheets/d/1yDAaXNsi4Mr5FtRQL4tbmSdIzhx6_m4wkOD7IG-k_eo/edit#gid=0"", ""Maths!M:N""), 2, FALSE)"),"Define irrational numbers as numbers that cannot be expressed as a ratio of two integers.")</f>
        <v>Define irrational numbers as numbers that cannot be expressed as a ratio of two integers.</v>
      </c>
      <c r="K2" s="69" t="str">
        <f t="shared" ref="K2:K119" si="1">G2 &amp; ".002"</f>
        <v>LU001177.002</v>
      </c>
      <c r="L2" s="69" t="str">
        <f ca="1">IFERROR(__xludf.DUMMYFUNCTION("VLOOKUP(K2, IMPORTRANGE(""https://docs.google.com/spreadsheets/d/1yDAaXNsi4Mr5FtRQL4tbmSdIzhx6_m4wkOD7IG-k_eo/edit#gid=0"", ""Maths!M:N""), 2, FALSE)"),"Describe the characteristics that distinguish irrational numbers from rational numbers.")</f>
        <v>Describe the characteristics that distinguish irrational numbers from rational numbers.</v>
      </c>
      <c r="M2" s="69" t="str">
        <f t="shared" ref="M2:M119" si="2">G2 &amp; ".003"</f>
        <v>LU001177.003</v>
      </c>
      <c r="N2" s="69" t="str">
        <f ca="1">IFERROR(__xludf.DUMMYFUNCTION("VLOOKUP(M2, IMPORTRANGE(""https://docs.google.com/spreadsheets/d/1yDAaXNsi4Mr5FtRQL4tbmSdIzhx6_m4wkOD7IG-k_eo/edit#gid=0"", ""Maths!M:N""), 2, FALSE)"),"Provide examples of irrational numbers and explain why they fit the definition.")</f>
        <v>Provide examples of irrational numbers and explain why they fit the definition.</v>
      </c>
      <c r="O2" s="69" t="str">
        <f t="shared" ref="O2:O119" si="3">G2 &amp; ".004"</f>
        <v>LU001177.004</v>
      </c>
      <c r="P2" s="69" t="str">
        <f ca="1">IFERROR(__xludf.DUMMYFUNCTION("VLOOKUP(O2, IMPORTRANGE(""https://docs.google.com/spreadsheets/d/1yDAaXNsi4Mr5FtRQL4tbmSdIzhx6_m4wkOD7IG-k_eo/edit#gid=0"", ""Maths!M:N""), 2, FALSE)"),"Differentiate between various types of numbers by identifying which are irrational based on their characteristics.")</f>
        <v>Differentiate between various types of numbers by identifying which are irrational based on their characteristics.</v>
      </c>
      <c r="Q2" s="69" t="str">
        <f t="shared" ref="Q2:Q119" si="4">G2 &amp; ".005"</f>
        <v>LU001177.005</v>
      </c>
      <c r="R2" s="69" t="str">
        <f ca="1">IFERROR(__xludf.DUMMYFUNCTION("VLOOKUP(Q2, IMPORTRANGE(""https://docs.google.com/spreadsheets/d/1yDAaXNsi4Mr5FtRQL4tbmSdIzhx6_m4wkOD7IG-k_eo/edit#gid=0"", ""Maths!M:N""), 2, FALSE)"),"Assess the historical significance of the discovery of irrational numbers by the Pythagoreans")</f>
        <v>Assess the historical significance of the discovery of irrational numbers by the Pythagoreans</v>
      </c>
      <c r="S2" s="69" t="str">
        <f t="shared" ref="S2:S119" si="5">G2 &amp; ".006"</f>
        <v>LU001177.006</v>
      </c>
      <c r="T2" s="69" t="str">
        <f ca="1">IFERROR(__xludf.DUMMYFUNCTION("VLOOKUP(S2, IMPORTRANGE(""https://docs.google.com/spreadsheets/d/1yDAaXNsi4Mr5FtRQL4tbmSdIzhx6_m4wkOD7IG-k_eo/edit#gid=0"", ""Maths!M:N""), 2, FALSE)"),"Generate new examples of irrational numbers and explain their characteristics.")</f>
        <v>Generate new examples of irrational numbers and explain their characteristics.</v>
      </c>
      <c r="U2" s="11" t="str">
        <f ca="1">IFERROR(__xludf.DUMMYFUNCTION("ArrayFormula(VLOOKUP(G2, IMPORTRANGE(""https://docs.google.com/spreadsheets/d/1p7R4vtkWt5VOBim4ltsDG9KTzSjrtKXsMtQGXPHyND0/edit#gid=795171502"", ""'Filter 30_05_2024'!A1:M2000""), {2, 3, 4, 5,6,7,8,9,10,11,12,13}, 0))"),"#N/A")</f>
        <v>#N/A</v>
      </c>
      <c r="V2" s="11" t="str">
        <f ca="1">IFERROR(__xludf.DUMMYFUNCTION("""COMPUTED_VALUE"""),"#N/A")</f>
        <v>#N/A</v>
      </c>
      <c r="W2" s="11" t="str">
        <f ca="1">IFERROR(__xludf.DUMMYFUNCTION("""COMPUTED_VALUE"""),"#N/A")</f>
        <v>#N/A</v>
      </c>
      <c r="X2" s="11" t="str">
        <f ca="1">IFERROR(__xludf.DUMMYFUNCTION("""COMPUTED_VALUE"""),"#N/A")</f>
        <v>#N/A</v>
      </c>
      <c r="Y2" s="11" t="str">
        <f ca="1">IFERROR(__xludf.DUMMYFUNCTION("""COMPUTED_VALUE"""),"#N/A")</f>
        <v>#N/A</v>
      </c>
      <c r="Z2" s="12" t="str">
        <f ca="1">IFERROR(__xludf.DUMMYFUNCTION("""COMPUTED_VALUE"""),"#N/A")</f>
        <v>#N/A</v>
      </c>
      <c r="AA2" s="12" t="str">
        <f ca="1">IFERROR(__xludf.DUMMYFUNCTION("""COMPUTED_VALUE"""),"#N/A")</f>
        <v>#N/A</v>
      </c>
      <c r="AB2" s="12" t="str">
        <f ca="1">IFERROR(__xludf.DUMMYFUNCTION("""COMPUTED_VALUE"""),"#N/A")</f>
        <v>#N/A</v>
      </c>
      <c r="AC2" s="11" t="str">
        <f ca="1">IFERROR(__xludf.DUMMYFUNCTION("""COMPUTED_VALUE"""),"#N/A")</f>
        <v>#N/A</v>
      </c>
      <c r="AD2" s="12" t="str">
        <f ca="1">IFERROR(__xludf.DUMMYFUNCTION("""COMPUTED_VALUE"""),"#N/A")</f>
        <v>#N/A</v>
      </c>
      <c r="AE2" s="12" t="str">
        <f ca="1">IFERROR(__xludf.DUMMYFUNCTION("""COMPUTED_VALUE"""),"#N/A")</f>
        <v>#N/A</v>
      </c>
      <c r="AF2" s="12" t="str">
        <f ca="1">IFERROR(__xludf.DUMMYFUNCTION("""COMPUTED_VALUE"""),"#N/A")</f>
        <v>#N/A</v>
      </c>
      <c r="AG2" s="70" t="str">
        <f ca="1">IFERROR(__xludf.DUMMYFUNCTION("ArrayFormula(VLOOKUP(G2, IMPORTRANGE(""https://docs.google.com/spreadsheets/d/1Co934fvtviyaRiMsrIlT05Jaq7iiYq07aLvRr35KA48/edit?gid=173865642#gid=173865642"", ""'G9_Maths_Pri_LU'!G2:V2000""), {3, 4, 5, 6, 7, 8, 9, 10, 11, 12, 13, 14, 15, 16}, 0))"),"LU000464")</f>
        <v>LU000464</v>
      </c>
      <c r="AH2" s="70" t="str">
        <f ca="1">IFERROR(__xludf.DUMMYFUNCTION("""COMPUTED_VALUE"""),"Definition of rational numbers")</f>
        <v>Definition of rational numbers</v>
      </c>
      <c r="AI2" s="70" t="str">
        <f ca="1">IFERROR(__xludf.DUMMYFUNCTION("""COMPUTED_VALUE"""),"LU000647")</f>
        <v>LU000647</v>
      </c>
      <c r="AJ2" s="70" t="str">
        <f ca="1">IFERROR(__xludf.DUMMYFUNCTION("""COMPUTED_VALUE"""),"Definition of square root")</f>
        <v>Definition of square root</v>
      </c>
      <c r="AK2" s="70"/>
      <c r="AL2" s="70"/>
      <c r="AM2" s="12"/>
      <c r="AN2" s="12"/>
      <c r="AO2" s="12"/>
      <c r="AP2" s="12"/>
      <c r="AQ2" s="12"/>
      <c r="AR2" s="12"/>
      <c r="AS2" s="12"/>
      <c r="AT2" s="12"/>
    </row>
    <row r="3" spans="1:46">
      <c r="A3" s="8" t="s">
        <v>247</v>
      </c>
      <c r="B3" s="66" t="s">
        <v>47</v>
      </c>
      <c r="C3" s="66" t="s">
        <v>979</v>
      </c>
      <c r="D3" s="67" t="s">
        <v>732</v>
      </c>
      <c r="E3" s="67" t="s">
        <v>980</v>
      </c>
      <c r="F3" s="66" t="s">
        <v>981</v>
      </c>
      <c r="G3" s="68" t="s">
        <v>983</v>
      </c>
      <c r="H3" s="66" t="str">
        <f ca="1">IFERROR(__xludf.DUMMYFUNCTION("VLOOKUP(G3, IMPORTRANGE(""https://docs.google.com/spreadsheets/d/14deopnvwcrKtEGCKuYXdUHJbeLDZlkiSSWWT0g7x2pM/edit#gid=999382323"", ""LU List Maths (Filter)!A:B""), 2, FALSE)"),"Introduction to real numbers [definition, denotation]")</f>
        <v>Introduction to real numbers [definition, denotation]</v>
      </c>
      <c r="I3" s="69" t="str">
        <f t="shared" si="0"/>
        <v>LU001178.001</v>
      </c>
      <c r="J3" s="69" t="str">
        <f ca="1">IFERROR(__xludf.DUMMYFUNCTION("VLOOKUP(I3, IMPORTRANGE(""https://docs.google.com/spreadsheets/d/1yDAaXNsi4Mr5FtRQL4tbmSdIzhx6_m4wkOD7IG-k_eo/edit#gid=0"", ""Maths!M:N""), 2, FALSE)"),"State the definition of real numbers.")</f>
        <v>State the definition of real numbers.</v>
      </c>
      <c r="K3" s="69" t="str">
        <f t="shared" si="1"/>
        <v>LU001178.002</v>
      </c>
      <c r="L3" s="69" t="str">
        <f ca="1">IFERROR(__xludf.DUMMYFUNCTION("VLOOKUP(K3, IMPORTRANGE(""https://docs.google.com/spreadsheets/d/1yDAaXNsi4Mr5FtRQL4tbmSdIzhx6_m4wkOD7IG-k_eo/edit#gid=0"", ""Maths!M:N""), 2, FALSE)"),"Explain the denotation of real numbers and how they encompass both rational and irrational numbers.")</f>
        <v>Explain the denotation of real numbers and how they encompass both rational and irrational numbers.</v>
      </c>
      <c r="M3" s="69" t="str">
        <f t="shared" si="2"/>
        <v>LU001178.003</v>
      </c>
      <c r="N3" s="69" t="str">
        <f ca="1">IFERROR(__xludf.DUMMYFUNCTION("VLOOKUP(M3, IMPORTRANGE(""https://docs.google.com/spreadsheets/d/1yDAaXNsi4Mr5FtRQL4tbmSdIzhx6_m4wkOD7IG-k_eo/edit#gid=0"", ""Maths!M:N""), 2, FALSE)"),"Identify examples of real numbers and classify them as either rational or irrational.")</f>
        <v>Identify examples of real numbers and classify them as either rational or irrational.</v>
      </c>
      <c r="O3" s="69" t="str">
        <f t="shared" si="3"/>
        <v>LU001178.004</v>
      </c>
      <c r="P3" s="69" t="str">
        <f ca="1">IFERROR(__xludf.DUMMYFUNCTION("VLOOKUP(O3, IMPORTRANGE(""https://docs.google.com/spreadsheets/d/1yDAaXNsi4Mr5FtRQL4tbmSdIzhx6_m4wkOD7IG-k_eo/edit#gid=0"", ""Maths!M:N""), 2, FALSE)"),"Explain how rational and irrational numbers together form the set of real numbers.")</f>
        <v>Explain how rational and irrational numbers together form the set of real numbers.</v>
      </c>
      <c r="Q3" s="69" t="str">
        <f t="shared" si="4"/>
        <v>LU001178.005</v>
      </c>
      <c r="R3" s="69" t="str">
        <f ca="1">IFERROR(__xludf.DUMMYFUNCTION("VLOOKUP(Q3, IMPORTRANGE(""https://docs.google.com/spreadsheets/d/1yDAaXNsi4Mr5FtRQL4tbmSdIzhx6_m4wkOD7IG-k_eo/edit#gid=0"", ""Maths!M:N""), 2, FALSE)"),"Assess the significance of real numbers in the number system and justify their comprehensive nature.")</f>
        <v>Assess the significance of real numbers in the number system and justify their comprehensive nature.</v>
      </c>
      <c r="S3" s="69" t="str">
        <f t="shared" si="5"/>
        <v>LU001178.006</v>
      </c>
      <c r="T3" s="69" t="str">
        <f ca="1">IFERROR(__xludf.DUMMYFUNCTION("VLOOKUP(S3, IMPORTRANGE(""https://docs.google.com/spreadsheets/d/1yDAaXNsi4Mr5FtRQL4tbmSdIzhx6_m4wkOD7IG-k_eo/edit#gid=0"", ""Maths!M:N""), 2, FALSE)"),"Construct a set of real numbers including both rational and irrational numbers, explaining their denotation and characteristics.")</f>
        <v>Construct a set of real numbers including both rational and irrational numbers, explaining their denotation and characteristics.</v>
      </c>
      <c r="U3" s="11" t="str">
        <f ca="1">IFERROR(__xludf.DUMMYFUNCTION("ArrayFormula(VLOOKUP(G3, IMPORTRANGE(""https://docs.google.com/spreadsheets/d/1p7R4vtkWt5VOBim4ltsDG9KTzSjrtKXsMtQGXPHyND0/edit#gid=795171502"", ""'Filter 30_05_2024'!A1:M2000""), {2, 3, 4, 5,6,7,8,9,10,11,12,13}, 0))"),"#N/A")</f>
        <v>#N/A</v>
      </c>
      <c r="V3" s="11" t="str">
        <f ca="1">IFERROR(__xludf.DUMMYFUNCTION("""COMPUTED_VALUE"""),"#N/A")</f>
        <v>#N/A</v>
      </c>
      <c r="W3" s="11" t="str">
        <f ca="1">IFERROR(__xludf.DUMMYFUNCTION("""COMPUTED_VALUE"""),"#N/A")</f>
        <v>#N/A</v>
      </c>
      <c r="X3" s="11" t="str">
        <f ca="1">IFERROR(__xludf.DUMMYFUNCTION("""COMPUTED_VALUE"""),"#N/A")</f>
        <v>#N/A</v>
      </c>
      <c r="Y3" s="11" t="str">
        <f ca="1">IFERROR(__xludf.DUMMYFUNCTION("""COMPUTED_VALUE"""),"#N/A")</f>
        <v>#N/A</v>
      </c>
      <c r="Z3" s="12" t="str">
        <f ca="1">IFERROR(__xludf.DUMMYFUNCTION("""COMPUTED_VALUE"""),"#N/A")</f>
        <v>#N/A</v>
      </c>
      <c r="AA3" s="12" t="str">
        <f ca="1">IFERROR(__xludf.DUMMYFUNCTION("""COMPUTED_VALUE"""),"#N/A")</f>
        <v>#N/A</v>
      </c>
      <c r="AB3" s="12" t="str">
        <f ca="1">IFERROR(__xludf.DUMMYFUNCTION("""COMPUTED_VALUE"""),"#N/A")</f>
        <v>#N/A</v>
      </c>
      <c r="AC3" s="11" t="str">
        <f ca="1">IFERROR(__xludf.DUMMYFUNCTION("""COMPUTED_VALUE"""),"#N/A")</f>
        <v>#N/A</v>
      </c>
      <c r="AD3" s="12" t="str">
        <f ca="1">IFERROR(__xludf.DUMMYFUNCTION("""COMPUTED_VALUE"""),"#N/A")</f>
        <v>#N/A</v>
      </c>
      <c r="AE3" s="12" t="str">
        <f ca="1">IFERROR(__xludf.DUMMYFUNCTION("""COMPUTED_VALUE"""),"#N/A")</f>
        <v>#N/A</v>
      </c>
      <c r="AF3" s="12" t="str">
        <f ca="1">IFERROR(__xludf.DUMMYFUNCTION("""COMPUTED_VALUE"""),"#N/A")</f>
        <v>#N/A</v>
      </c>
      <c r="AG3" s="70" t="str">
        <f ca="1">IFERROR(__xludf.DUMMYFUNCTION("ArrayFormula(VLOOKUP(G3, IMPORTRANGE(""https://docs.google.com/spreadsheets/d/1Co934fvtviyaRiMsrIlT05Jaq7iiYq07aLvRr35KA48/edit?gid=173865642#gid=173865642"", ""'G9_Maths_Pri_LU'!G2:V2000""), {3, 4, 5, 6, 7, 8, 9, 10, 11, 12, 13, 14, 15, 16}, 0))"),"LU001177")</f>
        <v>LU001177</v>
      </c>
      <c r="AH3" s="70" t="str">
        <f ca="1">IFERROR(__xludf.DUMMYFUNCTION("""COMPUTED_VALUE"""),"Introduction to irrational numbers [definition, representation, characteristics, examples]")</f>
        <v>Introduction to irrational numbers [definition, representation, characteristics, examples]</v>
      </c>
      <c r="AI3" s="70"/>
      <c r="AJ3" s="70"/>
      <c r="AK3" s="70"/>
      <c r="AL3" s="70"/>
      <c r="AM3" s="13"/>
      <c r="AN3" s="13"/>
      <c r="AO3" s="13"/>
      <c r="AP3" s="13"/>
      <c r="AQ3" s="13"/>
      <c r="AR3" s="13"/>
      <c r="AS3" s="13"/>
      <c r="AT3" s="13"/>
    </row>
    <row r="4" spans="1:46">
      <c r="A4" s="8" t="s">
        <v>247</v>
      </c>
      <c r="B4" s="66" t="s">
        <v>47</v>
      </c>
      <c r="C4" s="66" t="s">
        <v>979</v>
      </c>
      <c r="D4" s="67" t="s">
        <v>732</v>
      </c>
      <c r="E4" s="67" t="s">
        <v>980</v>
      </c>
      <c r="F4" s="66" t="s">
        <v>981</v>
      </c>
      <c r="G4" s="68" t="s">
        <v>984</v>
      </c>
      <c r="H4" s="66" t="str">
        <f ca="1">IFERROR(__xludf.DUMMYFUNCTION("VLOOKUP(G4, IMPORTRANGE(""https://docs.google.com/spreadsheets/d/14deopnvwcrKtEGCKuYXdUHJbeLDZlkiSSWWT0g7x2pM/edit#gid=999382323"", ""LU List Maths (Filter)!A:B""), 2, FALSE)"),"Representation of irrational numbers on real number line [visual proof]")</f>
        <v>Representation of irrational numbers on real number line [visual proof]</v>
      </c>
      <c r="I4" s="69" t="str">
        <f t="shared" si="0"/>
        <v>LU001179.001</v>
      </c>
      <c r="J4" s="69" t="str">
        <f ca="1">IFERROR(__xludf.DUMMYFUNCTION("VLOOKUP(I4, IMPORTRANGE(""https://docs.google.com/spreadsheets/d/1yDAaXNsi4Mr5FtRQL4tbmSdIzhx6_m4wkOD7IG-k_eo/edit#gid=0"", ""Maths!M:N""), 2, FALSE)"),"Recall the steps to represent √2 on the number line using a compass and a ruler.")</f>
        <v>Recall the steps to represent √2 on the number line using a compass and a ruler.</v>
      </c>
      <c r="K4" s="69" t="str">
        <f t="shared" si="1"/>
        <v>LU001179.002</v>
      </c>
      <c r="L4" s="69" t="str">
        <f ca="1">IFERROR(__xludf.DUMMYFUNCTION("VLOOKUP(K4, IMPORTRANGE(""https://docs.google.com/spreadsheets/d/1yDAaXNsi4Mr5FtRQL4tbmSdIzhx6_m4wkOD7IG-k_eo/edit#gid=0"", ""Maths!M:N""), 2, FALSE)"),"Explain how to locate an irrational number, such as √3, on the number line using geometric constructions.")</f>
        <v>Explain how to locate an irrational number, such as √3, on the number line using geometric constructions.</v>
      </c>
      <c r="M4" s="69" t="str">
        <f t="shared" si="2"/>
        <v>LU001179.003</v>
      </c>
      <c r="N4" s="69" t="str">
        <f ca="1">IFERROR(__xludf.DUMMYFUNCTION("VLOOKUP(M4, IMPORTRANGE(""https://docs.google.com/spreadsheets/d/1yDAaXNsi4Mr5FtRQL4tbmSdIzhx6_m4wkOD7IG-k_eo/edit#gid=0"", ""Maths!M:N""), 2, FALSE)"),"Demonstrate the steps to represent an irrational number on the number line using the Pythagorean theorem.")</f>
        <v>Demonstrate the steps to represent an irrational number on the number line using the Pythagorean theorem.</v>
      </c>
      <c r="O4" s="69" t="str">
        <f t="shared" si="3"/>
        <v>LU001179.004</v>
      </c>
      <c r="P4" s="69" t="str">
        <f ca="1">IFERROR(__xludf.DUMMYFUNCTION("VLOOKUP(O4, IMPORTRANGE(""https://docs.google.com/spreadsheets/d/1yDAaXNsi4Mr5FtRQL4tbmSdIzhx6_m4wkOD7IG-k_eo/edit#gid=0"", ""Maths!M:N""), 2, FALSE)"),"Break down the geometric construction process used to represent irrational numbers on the number line into distinct steps.")</f>
        <v>Break down the geometric construction process used to represent irrational numbers on the number line into distinct steps.</v>
      </c>
      <c r="Q4" s="69" t="str">
        <f t="shared" si="4"/>
        <v>LU001179.005</v>
      </c>
      <c r="R4" s="69" t="str">
        <f ca="1">IFERROR(__xludf.DUMMYFUNCTION("VLOOKUP(Q4, IMPORTRANGE(""https://docs.google.com/spreadsheets/d/1yDAaXNsi4Mr5FtRQL4tbmSdIzhx6_m4wkOD7IG-k_eo/edit#gid=0"", ""Maths!M:N""), 2, FALSE)"),"Evaluate the accuracy of representing irrational numbers on the number line through geometric methods.")</f>
        <v>Evaluate the accuracy of representing irrational numbers on the number line through geometric methods.</v>
      </c>
      <c r="S4" s="69" t="str">
        <f t="shared" si="5"/>
        <v>LU001179.006</v>
      </c>
      <c r="T4" s="69" t="str">
        <f ca="1">IFERROR(__xludf.DUMMYFUNCTION("VLOOKUP(S4, IMPORTRANGE(""https://docs.google.com/spreadsheets/d/1yDAaXNsi4Mr5FtRQL4tbmSdIzhx6_m4wkOD7IG-k_eo/edit#gid=0"", ""Maths!M:N""), 2, FALSE)"),"Construct a geometric proof to represent an irrational number, such as √5, on the number line using appropriate tools.")</f>
        <v>Construct a geometric proof to represent an irrational number, such as √5, on the number line using appropriate tools.</v>
      </c>
      <c r="U4" s="11" t="str">
        <f ca="1">IFERROR(__xludf.DUMMYFUNCTION("ArrayFormula(VLOOKUP(G4, IMPORTRANGE(""https://docs.google.com/spreadsheets/d/1p7R4vtkWt5VOBim4ltsDG9KTzSjrtKXsMtQGXPHyND0/edit#gid=795171502"", ""'Filter 30_05_2024'!A1:M2000""), {2, 3, 4, 5,6,7,8,9,10,11,12,13}, 0))"),"#N/A")</f>
        <v>#N/A</v>
      </c>
      <c r="V4" s="11" t="str">
        <f ca="1">IFERROR(__xludf.DUMMYFUNCTION("""COMPUTED_VALUE"""),"#N/A")</f>
        <v>#N/A</v>
      </c>
      <c r="W4" s="11" t="str">
        <f ca="1">IFERROR(__xludf.DUMMYFUNCTION("""COMPUTED_VALUE"""),"#N/A")</f>
        <v>#N/A</v>
      </c>
      <c r="X4" s="11" t="str">
        <f ca="1">IFERROR(__xludf.DUMMYFUNCTION("""COMPUTED_VALUE"""),"#N/A")</f>
        <v>#N/A</v>
      </c>
      <c r="Y4" s="11" t="str">
        <f ca="1">IFERROR(__xludf.DUMMYFUNCTION("""COMPUTED_VALUE"""),"#N/A")</f>
        <v>#N/A</v>
      </c>
      <c r="Z4" s="12" t="str">
        <f ca="1">IFERROR(__xludf.DUMMYFUNCTION("""COMPUTED_VALUE"""),"#N/A")</f>
        <v>#N/A</v>
      </c>
      <c r="AA4" s="12" t="str">
        <f ca="1">IFERROR(__xludf.DUMMYFUNCTION("""COMPUTED_VALUE"""),"#N/A")</f>
        <v>#N/A</v>
      </c>
      <c r="AB4" s="12" t="str">
        <f ca="1">IFERROR(__xludf.DUMMYFUNCTION("""COMPUTED_VALUE"""),"#N/A")</f>
        <v>#N/A</v>
      </c>
      <c r="AC4" s="11" t="str">
        <f ca="1">IFERROR(__xludf.DUMMYFUNCTION("""COMPUTED_VALUE"""),"#N/A")</f>
        <v>#N/A</v>
      </c>
      <c r="AD4" s="12" t="str">
        <f ca="1">IFERROR(__xludf.DUMMYFUNCTION("""COMPUTED_VALUE"""),"#N/A")</f>
        <v>#N/A</v>
      </c>
      <c r="AE4" s="12" t="str">
        <f ca="1">IFERROR(__xludf.DUMMYFUNCTION("""COMPUTED_VALUE"""),"#N/A")</f>
        <v>#N/A</v>
      </c>
      <c r="AF4" s="12" t="str">
        <f ca="1">IFERROR(__xludf.DUMMYFUNCTION("""COMPUTED_VALUE"""),"#N/A")</f>
        <v>#N/A</v>
      </c>
      <c r="AG4" s="70" t="str">
        <f ca="1">IFERROR(__xludf.DUMMYFUNCTION("ArrayFormula(VLOOKUP(G4, IMPORTRANGE(""https://docs.google.com/spreadsheets/d/1Co934fvtviyaRiMsrIlT05Jaq7iiYq07aLvRr35KA48/edit?gid=173865642#gid=173865642"", ""'G9_Maths_Pri_LU'!G2:V2000""), {3, 4, 5, 6, 7, 8, 9, 10, 11, 12, 13, 14, 15, 16}, 0))"),"LU000434")</f>
        <v>LU000434</v>
      </c>
      <c r="AH4" s="70" t="str">
        <f ca="1">IFERROR(__xludf.DUMMYFUNCTION("""COMPUTED_VALUE"""),"Pythagoras property")</f>
        <v>Pythagoras property</v>
      </c>
      <c r="AI4" s="70" t="str">
        <f ca="1">IFERROR(__xludf.DUMMYFUNCTION("""COMPUTED_VALUE"""),"LU001177")</f>
        <v>LU001177</v>
      </c>
      <c r="AJ4" s="70" t="str">
        <f ca="1">IFERROR(__xludf.DUMMYFUNCTION("""COMPUTED_VALUE"""),"Introduction to irrational numbers [definition, representation, characteristics, examples]")</f>
        <v>Introduction to irrational numbers [definition, representation, characteristics, examples]</v>
      </c>
      <c r="AK4" s="70" t="str">
        <f ca="1">IFERROR(__xludf.DUMMYFUNCTION("""COMPUTED_VALUE"""),"LU000470")</f>
        <v>LU000470</v>
      </c>
      <c r="AL4" s="70" t="str">
        <f ca="1">IFERROR(__xludf.DUMMYFUNCTION("""COMPUTED_VALUE"""),"Representation of rational numbers on a number line")</f>
        <v>Representation of rational numbers on a number line</v>
      </c>
      <c r="AM4" s="13"/>
      <c r="AN4" s="13"/>
      <c r="AO4" s="13"/>
      <c r="AP4" s="13"/>
      <c r="AQ4" s="13"/>
      <c r="AR4" s="13"/>
      <c r="AS4" s="13"/>
      <c r="AT4" s="13"/>
    </row>
    <row r="5" spans="1:46">
      <c r="A5" s="8" t="s">
        <v>247</v>
      </c>
      <c r="B5" s="66" t="s">
        <v>47</v>
      </c>
      <c r="C5" s="66" t="s">
        <v>979</v>
      </c>
      <c r="D5" s="67" t="s">
        <v>732</v>
      </c>
      <c r="E5" s="67" t="s">
        <v>980</v>
      </c>
      <c r="F5" s="66" t="s">
        <v>985</v>
      </c>
      <c r="G5" s="68" t="s">
        <v>986</v>
      </c>
      <c r="H5" s="66" t="str">
        <f ca="1">IFERROR(__xludf.DUMMYFUNCTION("VLOOKUP(G5, IMPORTRANGE(""https://docs.google.com/spreadsheets/d/14deopnvwcrKtEGCKuYXdUHJbeLDZlkiSSWWT0g7x2pM/edit#gid=999382323"", ""LU List Maths (Filter)!A:B""), 2, FALSE)"),"Rational numbers as terminating decimal [definition, express one form to another]")</f>
        <v>Rational numbers as terminating decimal [definition, express one form to another]</v>
      </c>
      <c r="I5" s="69" t="str">
        <f t="shared" si="0"/>
        <v>LU001180.001</v>
      </c>
      <c r="J5" s="69" t="str">
        <f ca="1">IFERROR(__xludf.DUMMYFUNCTION("VLOOKUP(I5, IMPORTRANGE(""https://docs.google.com/spreadsheets/d/1yDAaXNsi4Mr5FtRQL4tbmSdIzhx6_m4wkOD7IG-k_eo/edit#gid=0"", ""Maths!M:N""), 2, FALSE)"),"Define a terminating decimal and identify examples of rational numbers that have terminating decimal expansions.")</f>
        <v>Define a terminating decimal and identify examples of rational numbers that have terminating decimal expansions.</v>
      </c>
      <c r="K5" s="69" t="str">
        <f t="shared" si="1"/>
        <v>LU001180.002</v>
      </c>
      <c r="L5" s="69" t="str">
        <f ca="1">IFERROR(__xludf.DUMMYFUNCTION("VLOOKUP(K5, IMPORTRANGE(""https://docs.google.com/spreadsheets/d/1yDAaXNsi4Mr5FtRQL4tbmSdIzhx6_m4wkOD7IG-k_eo/edit#gid=0"", ""Maths!M:N""), 2, FALSE)"),"Explain the process of converting a rational number (fractional form) to a terminating decimal and vice versa.")</f>
        <v>Explain the process of converting a rational number (fractional form) to a terminating decimal and vice versa.</v>
      </c>
      <c r="M5" s="69" t="str">
        <f t="shared" si="2"/>
        <v>LU001180.003</v>
      </c>
      <c r="N5" s="69" t="str">
        <f ca="1">IFERROR(__xludf.DUMMYFUNCTION("VLOOKUP(M5, IMPORTRANGE(""https://docs.google.com/spreadsheets/d/1yDAaXNsi4Mr5FtRQL4tbmSdIzhx6_m4wkOD7IG-k_eo/edit#gid=0"", ""Maths!M:N""), 2, FALSE)"),"Convert a given rational number in fractional form to its terminating decimal form and vice versa.")</f>
        <v>Convert a given rational number in fractional form to its terminating decimal form and vice versa.</v>
      </c>
      <c r="O5" s="69" t="str">
        <f t="shared" si="3"/>
        <v>LU001180.004</v>
      </c>
      <c r="P5" s="69" t="str">
        <f ca="1">IFERROR(__xludf.DUMMYFUNCTION("VLOOKUP(O5, IMPORTRANGE(""https://docs.google.com/spreadsheets/d/1yDAaXNsi4Mr5FtRQL4tbmSdIzhx6_m4wkOD7IG-k_eo/edit#gid=0"", ""Maths!M:N""), 2, FALSE)"),"Differentiate between rational numbers with terminating and non-terminating decimal expansions.")</f>
        <v>Differentiate between rational numbers with terminating and non-terminating decimal expansions.</v>
      </c>
      <c r="Q5" s="69" t="str">
        <f t="shared" si="4"/>
        <v>LU001180.005</v>
      </c>
      <c r="R5" s="69" t="str">
        <f ca="1">IFERROR(__xludf.DUMMYFUNCTION("VLOOKUP(Q5, IMPORTRANGE(""https://docs.google.com/spreadsheets/d/1yDAaXNsi4Mr5FtRQL4tbmSdIzhx6_m4wkOD7IG-k_eo/edit#gid=0"", ""Maths!M:N""), 2, FALSE)"),"Assess the validity of a decimal representation to determine if it corresponds to a terminating decimal.")</f>
        <v>Assess the validity of a decimal representation to determine if it corresponds to a terminating decimal.</v>
      </c>
      <c r="S5" s="69" t="str">
        <f t="shared" si="5"/>
        <v>LU001180.006</v>
      </c>
      <c r="T5" s="69" t="str">
        <f ca="1">IFERROR(__xludf.DUMMYFUNCTION("VLOOKUP(S5, IMPORTRANGE(""https://docs.google.com/spreadsheets/d/1yDAaXNsi4Mr5FtRQL4tbmSdIzhx6_m4wkOD7IG-k_eo/edit#gid=0"", ""Maths!M:N""), 2, FALSE)"),"Develop a step-by-step guide for converting fractions with denominators that result in terminating decimals.")</f>
        <v>Develop a step-by-step guide for converting fractions with denominators that result in terminating decimals.</v>
      </c>
      <c r="U5" s="11" t="str">
        <f ca="1">IFERROR(__xludf.DUMMYFUNCTION("ArrayFormula(VLOOKUP(G5, IMPORTRANGE(""https://docs.google.com/spreadsheets/d/1p7R4vtkWt5VOBim4ltsDG9KTzSjrtKXsMtQGXPHyND0/edit#gid=795171502"", ""'Filter 30_05_2024'!A1:M2000""), {2, 3, 4, 5,6,7,8,9,10,11,12,13}, 0))"),"#N/A")</f>
        <v>#N/A</v>
      </c>
      <c r="V5" s="11" t="str">
        <f ca="1">IFERROR(__xludf.DUMMYFUNCTION("""COMPUTED_VALUE"""),"#N/A")</f>
        <v>#N/A</v>
      </c>
      <c r="W5" s="11" t="str">
        <f ca="1">IFERROR(__xludf.DUMMYFUNCTION("""COMPUTED_VALUE"""),"#N/A")</f>
        <v>#N/A</v>
      </c>
      <c r="X5" s="11" t="str">
        <f ca="1">IFERROR(__xludf.DUMMYFUNCTION("""COMPUTED_VALUE"""),"#N/A")</f>
        <v>#N/A</v>
      </c>
      <c r="Y5" s="11" t="str">
        <f ca="1">IFERROR(__xludf.DUMMYFUNCTION("""COMPUTED_VALUE"""),"#N/A")</f>
        <v>#N/A</v>
      </c>
      <c r="Z5" s="12" t="str">
        <f ca="1">IFERROR(__xludf.DUMMYFUNCTION("""COMPUTED_VALUE"""),"#N/A")</f>
        <v>#N/A</v>
      </c>
      <c r="AA5" s="12" t="str">
        <f ca="1">IFERROR(__xludf.DUMMYFUNCTION("""COMPUTED_VALUE"""),"#N/A")</f>
        <v>#N/A</v>
      </c>
      <c r="AB5" s="12" t="str">
        <f ca="1">IFERROR(__xludf.DUMMYFUNCTION("""COMPUTED_VALUE"""),"#N/A")</f>
        <v>#N/A</v>
      </c>
      <c r="AC5" s="11" t="str">
        <f ca="1">IFERROR(__xludf.DUMMYFUNCTION("""COMPUTED_VALUE"""),"#N/A")</f>
        <v>#N/A</v>
      </c>
      <c r="AD5" s="12" t="str">
        <f ca="1">IFERROR(__xludf.DUMMYFUNCTION("""COMPUTED_VALUE"""),"#N/A")</f>
        <v>#N/A</v>
      </c>
      <c r="AE5" s="12" t="str">
        <f ca="1">IFERROR(__xludf.DUMMYFUNCTION("""COMPUTED_VALUE"""),"#N/A")</f>
        <v>#N/A</v>
      </c>
      <c r="AF5" s="12" t="str">
        <f ca="1">IFERROR(__xludf.DUMMYFUNCTION("""COMPUTED_VALUE"""),"#N/A")</f>
        <v>#N/A</v>
      </c>
      <c r="AG5" s="70" t="str">
        <f ca="1">IFERROR(__xludf.DUMMYFUNCTION("ArrayFormula(VLOOKUP(G5, IMPORTRANGE(""https://docs.google.com/spreadsheets/d/1Co934fvtviyaRiMsrIlT05Jaq7iiYq07aLvRr35KA48/edit?gid=173865642#gid=173865642"", ""'G9_Maths_Pri_LU'!G2:V2000""), {3, 4, 5, 6, 7, 8, 9, 10, 11, 12, 13, 14, 15, 16}, 0))"),"LU000097")</f>
        <v>LU000097</v>
      </c>
      <c r="AH5" s="70" t="str">
        <f ca="1">IFERROR(__xludf.DUMMYFUNCTION("""COMPUTED_VALUE"""),"Convert fractional form to decimal number")</f>
        <v>Convert fractional form to decimal number</v>
      </c>
      <c r="AI5" s="70" t="str">
        <f ca="1">IFERROR(__xludf.DUMMYFUNCTION("""COMPUTED_VALUE"""),"LU000096")</f>
        <v>LU000096</v>
      </c>
      <c r="AJ5" s="70" t="str">
        <f ca="1">IFERROR(__xludf.DUMMYFUNCTION("""COMPUTED_VALUE"""),"Convert decimal number to fractional form")</f>
        <v>Convert decimal number to fractional form</v>
      </c>
      <c r="AK5" s="70"/>
      <c r="AL5" s="70"/>
      <c r="AM5" s="13"/>
      <c r="AN5" s="13"/>
      <c r="AO5" s="13"/>
      <c r="AP5" s="13"/>
      <c r="AQ5" s="13"/>
      <c r="AR5" s="13"/>
      <c r="AS5" s="13"/>
      <c r="AT5" s="13"/>
    </row>
    <row r="6" spans="1:46">
      <c r="A6" s="8" t="s">
        <v>247</v>
      </c>
      <c r="B6" s="66" t="s">
        <v>47</v>
      </c>
      <c r="C6" s="66" t="s">
        <v>979</v>
      </c>
      <c r="D6" s="67" t="s">
        <v>732</v>
      </c>
      <c r="E6" s="67" t="s">
        <v>980</v>
      </c>
      <c r="F6" s="66" t="s">
        <v>985</v>
      </c>
      <c r="G6" s="68" t="s">
        <v>987</v>
      </c>
      <c r="H6" s="66" t="str">
        <f ca="1">IFERROR(__xludf.DUMMYFUNCTION("VLOOKUP(G6, IMPORTRANGE(""https://docs.google.com/spreadsheets/d/14deopnvwcrKtEGCKuYXdUHJbeLDZlkiSSWWT0g7x2pM/edit#gid=999382323"", ""LU List Maths (Filter)!A:B""), 2, FALSE)"),"Rational numbers as non-terminating recurring decimal [definition, express one form to another]")</f>
        <v>Rational numbers as non-terminating recurring decimal [definition, express one form to another]</v>
      </c>
      <c r="I6" s="69" t="str">
        <f t="shared" si="0"/>
        <v>LU001181.001</v>
      </c>
      <c r="J6" s="69" t="str">
        <f ca="1">IFERROR(__xludf.DUMMYFUNCTION("VLOOKUP(I6, IMPORTRANGE(""https://docs.google.com/spreadsheets/d/1yDAaXNsi4Mr5FtRQL4tbmSdIzhx6_m4wkOD7IG-k_eo/edit#gid=0"", ""Maths!M:N""), 2, FALSE)"),"State the definition of a non-terminating recurring decimal.")</f>
        <v>State the definition of a non-terminating recurring decimal.</v>
      </c>
      <c r="K6" s="69" t="str">
        <f t="shared" si="1"/>
        <v>LU001181.002</v>
      </c>
      <c r="L6" s="69" t="str">
        <f ca="1">IFERROR(__xludf.DUMMYFUNCTION("VLOOKUP(K6, IMPORTRANGE(""https://docs.google.com/spreadsheets/d/1yDAaXNsi4Mr5FtRQL4tbmSdIzhx6_m4wkOD7IG-k_eo/edit#gid=0"", ""Maths!M:N""), 2, FALSE)"),"Explain how a rational number can be expressed as a non-terminating recurring decimal and vice versa")</f>
        <v>Explain how a rational number can be expressed as a non-terminating recurring decimal and vice versa</v>
      </c>
      <c r="M6" s="69" t="str">
        <f t="shared" si="2"/>
        <v>LU001181.003</v>
      </c>
      <c r="N6" s="69" t="str">
        <f ca="1">IFERROR(__xludf.DUMMYFUNCTION("VLOOKUP(M6, IMPORTRANGE(""https://docs.google.com/spreadsheets/d/1yDAaXNsi4Mr5FtRQL4tbmSdIzhx6_m4wkOD7IG-k_eo/edit#gid=0"", ""Maths!M:N""), 2, FALSE)"),"Convert a given rational number(fractional form) into its non-terminating recurring decimal form and vice versa.")</f>
        <v>Convert a given rational number(fractional form) into its non-terminating recurring decimal form and vice versa.</v>
      </c>
      <c r="O6" s="69" t="str">
        <f t="shared" si="3"/>
        <v>LU001181.004</v>
      </c>
      <c r="P6" s="69" t="str">
        <f ca="1">IFERROR(__xludf.DUMMYFUNCTION("VLOOKUP(O6, IMPORTRANGE(""https://docs.google.com/spreadsheets/d/1yDAaXNsi4Mr5FtRQL4tbmSdIzhx6_m4wkOD7IG-k_eo/edit#gid=0"", ""Maths!M:N""), 2, FALSE)"),"Determine the repeating sequence in the non-terminating recurring decimal form of the rational numbers (fractional form).")</f>
        <v>Determine the repeating sequence in the non-terminating recurring decimal form of the rational numbers (fractional form).</v>
      </c>
      <c r="Q6" s="69" t="str">
        <f t="shared" si="4"/>
        <v>LU001181.005</v>
      </c>
      <c r="R6" s="69" t="str">
        <f ca="1">IFERROR(__xludf.DUMMYFUNCTION("VLOOKUP(Q6, IMPORTRANGE(""https://docs.google.com/spreadsheets/d/1yDAaXNsi4Mr5FtRQL4tbmSdIzhx6_m4wkOD7IG-k_eo/edit#gid=0"", ""Maths!M:N""), 2, FALSE)"),"Validate the conversion process of a non-terminating recurring decimal back into its fractional form.")</f>
        <v>Validate the conversion process of a non-terminating recurring decimal back into its fractional form.</v>
      </c>
      <c r="S6" s="69" t="str">
        <f t="shared" si="5"/>
        <v>LU001181.006</v>
      </c>
      <c r="T6" s="69" t="str">
        <f ca="1">IFERROR(__xludf.DUMMYFUNCTION("VLOOKUP(S6, IMPORTRANGE(""https://docs.google.com/spreadsheets/d/1yDAaXNsi4Mr5FtRQL4tbmSdIzhx6_m4wkOD7IG-k_eo/edit#gid=0"", ""Maths!M:N""), 2, FALSE)"),"Develop a step-by-step procedure to express any given rational number as a non-terminating recurring decimal and vice versa.")</f>
        <v>Develop a step-by-step procedure to express any given rational number as a non-terminating recurring decimal and vice versa.</v>
      </c>
      <c r="U6" s="11" t="str">
        <f ca="1">IFERROR(__xludf.DUMMYFUNCTION("ArrayFormula(VLOOKUP(G6, IMPORTRANGE(""https://docs.google.com/spreadsheets/d/1p7R4vtkWt5VOBim4ltsDG9KTzSjrtKXsMtQGXPHyND0/edit#gid=795171502"", ""'Filter 30_05_2024'!A1:M2000""), {2, 3, 4, 5,6,7,8,9,10,11,12,13}, 0))"),"#N/A")</f>
        <v>#N/A</v>
      </c>
      <c r="V6" s="11" t="str">
        <f ca="1">IFERROR(__xludf.DUMMYFUNCTION("""COMPUTED_VALUE"""),"#N/A")</f>
        <v>#N/A</v>
      </c>
      <c r="W6" s="11" t="str">
        <f ca="1">IFERROR(__xludf.DUMMYFUNCTION("""COMPUTED_VALUE"""),"#N/A")</f>
        <v>#N/A</v>
      </c>
      <c r="X6" s="11" t="str">
        <f ca="1">IFERROR(__xludf.DUMMYFUNCTION("""COMPUTED_VALUE"""),"#N/A")</f>
        <v>#N/A</v>
      </c>
      <c r="Y6" s="11" t="str">
        <f ca="1">IFERROR(__xludf.DUMMYFUNCTION("""COMPUTED_VALUE"""),"#N/A")</f>
        <v>#N/A</v>
      </c>
      <c r="Z6" s="12" t="str">
        <f ca="1">IFERROR(__xludf.DUMMYFUNCTION("""COMPUTED_VALUE"""),"#N/A")</f>
        <v>#N/A</v>
      </c>
      <c r="AA6" s="12" t="str">
        <f ca="1">IFERROR(__xludf.DUMMYFUNCTION("""COMPUTED_VALUE"""),"#N/A")</f>
        <v>#N/A</v>
      </c>
      <c r="AB6" s="12" t="str">
        <f ca="1">IFERROR(__xludf.DUMMYFUNCTION("""COMPUTED_VALUE"""),"#N/A")</f>
        <v>#N/A</v>
      </c>
      <c r="AC6" s="11" t="str">
        <f ca="1">IFERROR(__xludf.DUMMYFUNCTION("""COMPUTED_VALUE"""),"#N/A")</f>
        <v>#N/A</v>
      </c>
      <c r="AD6" s="12" t="str">
        <f ca="1">IFERROR(__xludf.DUMMYFUNCTION("""COMPUTED_VALUE"""),"#N/A")</f>
        <v>#N/A</v>
      </c>
      <c r="AE6" s="12" t="str">
        <f ca="1">IFERROR(__xludf.DUMMYFUNCTION("""COMPUTED_VALUE"""),"#N/A")</f>
        <v>#N/A</v>
      </c>
      <c r="AF6" s="12" t="str">
        <f ca="1">IFERROR(__xludf.DUMMYFUNCTION("""COMPUTED_VALUE"""),"#N/A")</f>
        <v>#N/A</v>
      </c>
      <c r="AG6" s="70" t="str">
        <f ca="1">IFERROR(__xludf.DUMMYFUNCTION("ArrayFormula(VLOOKUP(G6, IMPORTRANGE(""https://docs.google.com/spreadsheets/d/1Co934fvtviyaRiMsrIlT05Jaq7iiYq07aLvRr35KA48/edit?gid=173865642#gid=173865642"", ""'G9_Maths_Pri_LU'!G2:V2000""), {3, 4, 5, 6, 7, 8, 9, 10, 11, 12, 13, 14, 15, 16}, 0))"),"LU000097")</f>
        <v>LU000097</v>
      </c>
      <c r="AH6" s="70" t="str">
        <f ca="1">IFERROR(__xludf.DUMMYFUNCTION("""COMPUTED_VALUE"""),"Convert fractional form to decimal number")</f>
        <v>Convert fractional form to decimal number</v>
      </c>
      <c r="AI6" s="70" t="str">
        <f ca="1">IFERROR(__xludf.DUMMYFUNCTION("""COMPUTED_VALUE"""),"LU000096")</f>
        <v>LU000096</v>
      </c>
      <c r="AJ6" s="70" t="str">
        <f ca="1">IFERROR(__xludf.DUMMYFUNCTION("""COMPUTED_VALUE"""),"Convert decimal number to fractional form")</f>
        <v>Convert decimal number to fractional form</v>
      </c>
      <c r="AK6" s="70" t="str">
        <f ca="1">IFERROR(__xludf.DUMMYFUNCTION("""COMPUTED_VALUE"""),"LU001180")</f>
        <v>LU001180</v>
      </c>
      <c r="AL6" s="70" t="str">
        <f ca="1">IFERROR(__xludf.DUMMYFUNCTION("""COMPUTED_VALUE"""),"Rational numbers as terminating decimal [definition, express one form to another]")</f>
        <v>Rational numbers as terminating decimal [definition, express one form to another]</v>
      </c>
      <c r="AM6" s="13"/>
      <c r="AN6" s="13"/>
      <c r="AO6" s="13"/>
      <c r="AP6" s="13"/>
      <c r="AQ6" s="13"/>
      <c r="AR6" s="13"/>
      <c r="AS6" s="13"/>
      <c r="AT6" s="13"/>
    </row>
    <row r="7" spans="1:46">
      <c r="A7" s="8" t="s">
        <v>247</v>
      </c>
      <c r="B7" s="66" t="s">
        <v>47</v>
      </c>
      <c r="C7" s="66" t="s">
        <v>979</v>
      </c>
      <c r="D7" s="67" t="s">
        <v>732</v>
      </c>
      <c r="E7" s="67" t="s">
        <v>980</v>
      </c>
      <c r="F7" s="66" t="s">
        <v>988</v>
      </c>
      <c r="G7" s="68" t="s">
        <v>989</v>
      </c>
      <c r="H7" s="66" t="str">
        <f ca="1">IFERROR(__xludf.DUMMYFUNCTION("VLOOKUP(G7, IMPORTRANGE(""https://docs.google.com/spreadsheets/d/14deopnvwcrKtEGCKuYXdUHJbeLDZlkiSSWWT0g7x2pM/edit#gid=999382323"", ""LU List Maths (Filter)!A:B""), 2, FALSE)"),"Non-terminating non-recurring decimals as irrational number [definition]")</f>
        <v>Non-terminating non-recurring decimals as irrational number [definition]</v>
      </c>
      <c r="I7" s="69" t="str">
        <f t="shared" si="0"/>
        <v>LU001182.001</v>
      </c>
      <c r="J7" s="69" t="str">
        <f ca="1">IFERROR(__xludf.DUMMYFUNCTION("VLOOKUP(I7, IMPORTRANGE(""https://docs.google.com/spreadsheets/d/1yDAaXNsi4Mr5FtRQL4tbmSdIzhx6_m4wkOD7IG-k_eo/edit#gid=0"", ""Maths!M:N""), 2, FALSE)"),"Define a non-terminating, non-recurring decimal.")</f>
        <v>Define a non-terminating, non-recurring decimal.</v>
      </c>
      <c r="K7" s="69" t="str">
        <f t="shared" si="1"/>
        <v>LU001182.002</v>
      </c>
      <c r="L7" s="69" t="str">
        <f ca="1">IFERROR(__xludf.DUMMYFUNCTION("VLOOKUP(K7, IMPORTRANGE(""https://docs.google.com/spreadsheets/d/1yDAaXNsi4Mr5FtRQL4tbmSdIzhx6_m4wkOD7IG-k_eo/edit#gid=0"", ""Maths!M:N""), 2, FALSE)"),"Explain why non-terminating, non-recurring decimals are considered irrational numbers.")</f>
        <v>Explain why non-terminating, non-recurring decimals are considered irrational numbers.</v>
      </c>
      <c r="M7" s="69" t="str">
        <f t="shared" si="2"/>
        <v>LU001182.003</v>
      </c>
      <c r="N7" s="69" t="str">
        <f ca="1">IFERROR(__xludf.DUMMYFUNCTION("VLOOKUP(M7, IMPORTRANGE(""https://docs.google.com/spreadsheets/d/1yDAaXNsi4Mr5FtRQL4tbmSdIzhx6_m4wkOD7IG-k_eo/edit#gid=0"", ""Maths!M:N""), 2, FALSE)"),"Identify an example of a non-terminating, non-recurring decimal from a given list.")</f>
        <v>Identify an example of a non-terminating, non-recurring decimal from a given list.</v>
      </c>
      <c r="O7" s="69" t="str">
        <f t="shared" si="3"/>
        <v>LU001182.004</v>
      </c>
      <c r="P7" s="69" t="str">
        <f ca="1">IFERROR(__xludf.DUMMYFUNCTION("VLOOKUP(O7, IMPORTRANGE(""https://docs.google.com/spreadsheets/d/1yDAaXNsi4Mr5FtRQL4tbmSdIzhx6_m4wkOD7IG-k_eo/edit#gid=0"", ""Maths!M:N""), 2, FALSE)"),"Differentiate between rational and irrational numbers based on their decimal expansions.")</f>
        <v>Differentiate between rational and irrational numbers based on their decimal expansions.</v>
      </c>
      <c r="Q7" s="69" t="str">
        <f t="shared" si="4"/>
        <v>LU001182.005</v>
      </c>
      <c r="R7" s="69" t="str">
        <f ca="1">IFERROR(__xludf.DUMMYFUNCTION("VLOOKUP(Q7, IMPORTRANGE(""https://docs.google.com/spreadsheets/d/1yDAaXNsi4Mr5FtRQL4tbmSdIzhx6_m4wkOD7IG-k_eo/edit#gid=0"", ""Maths!M:N""), 2, FALSE)"),"Evaluate the accuracy of classifying a given decimal as non-terminating, non-recurring.")</f>
        <v>Evaluate the accuracy of classifying a given decimal as non-terminating, non-recurring.</v>
      </c>
      <c r="S7" s="69" t="str">
        <f t="shared" si="5"/>
        <v>LU001182.006</v>
      </c>
      <c r="T7" s="69" t="str">
        <f ca="1">IFERROR(__xludf.DUMMYFUNCTION("VLOOKUP(S7, IMPORTRANGE(""https://docs.google.com/spreadsheets/d/1yDAaXNsi4Mr5FtRQL4tbmSdIzhx6_m4wkOD7IG-k_eo/edit#gid=0"", ""Maths!M:N""), 2, FALSE)"),"Formulate a mathematical argument to prove that a specific decimal is non-terminating and non-recurring.")</f>
        <v>Formulate a mathematical argument to prove that a specific decimal is non-terminating and non-recurring.</v>
      </c>
      <c r="U7" s="11" t="str">
        <f ca="1">IFERROR(__xludf.DUMMYFUNCTION("ArrayFormula(VLOOKUP(G7, IMPORTRANGE(""https://docs.google.com/spreadsheets/d/1p7R4vtkWt5VOBim4ltsDG9KTzSjrtKXsMtQGXPHyND0/edit#gid=795171502"", ""'Filter 30_05_2024'!A1:M2000""), {2, 3, 4, 5,6,7,8,9,10,11,12,13}, 0))"),"#N/A")</f>
        <v>#N/A</v>
      </c>
      <c r="V7" s="11" t="str">
        <f ca="1">IFERROR(__xludf.DUMMYFUNCTION("""COMPUTED_VALUE"""),"#N/A")</f>
        <v>#N/A</v>
      </c>
      <c r="W7" s="11" t="str">
        <f ca="1">IFERROR(__xludf.DUMMYFUNCTION("""COMPUTED_VALUE"""),"#N/A")</f>
        <v>#N/A</v>
      </c>
      <c r="X7" s="11" t="str">
        <f ca="1">IFERROR(__xludf.DUMMYFUNCTION("""COMPUTED_VALUE"""),"#N/A")</f>
        <v>#N/A</v>
      </c>
      <c r="Y7" s="11" t="str">
        <f ca="1">IFERROR(__xludf.DUMMYFUNCTION("""COMPUTED_VALUE"""),"#N/A")</f>
        <v>#N/A</v>
      </c>
      <c r="Z7" s="12" t="str">
        <f ca="1">IFERROR(__xludf.DUMMYFUNCTION("""COMPUTED_VALUE"""),"#N/A")</f>
        <v>#N/A</v>
      </c>
      <c r="AA7" s="12" t="str">
        <f ca="1">IFERROR(__xludf.DUMMYFUNCTION("""COMPUTED_VALUE"""),"#N/A")</f>
        <v>#N/A</v>
      </c>
      <c r="AB7" s="12" t="str">
        <f ca="1">IFERROR(__xludf.DUMMYFUNCTION("""COMPUTED_VALUE"""),"#N/A")</f>
        <v>#N/A</v>
      </c>
      <c r="AC7" s="11" t="str">
        <f ca="1">IFERROR(__xludf.DUMMYFUNCTION("""COMPUTED_VALUE"""),"#N/A")</f>
        <v>#N/A</v>
      </c>
      <c r="AD7" s="12" t="str">
        <f ca="1">IFERROR(__xludf.DUMMYFUNCTION("""COMPUTED_VALUE"""),"#N/A")</f>
        <v>#N/A</v>
      </c>
      <c r="AE7" s="12" t="str">
        <f ca="1">IFERROR(__xludf.DUMMYFUNCTION("""COMPUTED_VALUE"""),"#N/A")</f>
        <v>#N/A</v>
      </c>
      <c r="AF7" s="12" t="str">
        <f ca="1">IFERROR(__xludf.DUMMYFUNCTION("""COMPUTED_VALUE"""),"#N/A")</f>
        <v>#N/A</v>
      </c>
      <c r="AG7" s="70" t="str">
        <f ca="1">IFERROR(__xludf.DUMMYFUNCTION("ArrayFormula(VLOOKUP(G7, IMPORTRANGE(""https://docs.google.com/spreadsheets/d/1Co934fvtviyaRiMsrIlT05Jaq7iiYq07aLvRr35KA48/edit?gid=173865642#gid=173865642"", ""'G9_Maths_Pri_LU'!G2:V2000""), {3, 4, 5, 6, 7, 8, 9, 10, 11, 12, 13, 14, 15, 16}, 0))"),"LU001181")</f>
        <v>LU001181</v>
      </c>
      <c r="AH7" s="70" t="str">
        <f ca="1">IFERROR(__xludf.DUMMYFUNCTION("""COMPUTED_VALUE"""),"Rational numbers as non-terminating recurring decimal [definition, express one form to another]")</f>
        <v>Rational numbers as non-terminating recurring decimal [definition, express one form to another]</v>
      </c>
      <c r="AI7" s="70" t="str">
        <f ca="1">IFERROR(__xludf.DUMMYFUNCTION("""COMPUTED_VALUE"""),"LU001177")</f>
        <v>LU001177</v>
      </c>
      <c r="AJ7" s="70" t="str">
        <f ca="1">IFERROR(__xludf.DUMMYFUNCTION("""COMPUTED_VALUE"""),"Introduction to irrational numbers [definition, representation, characteristics, examples]")</f>
        <v>Introduction to irrational numbers [definition, representation, characteristics, examples]</v>
      </c>
      <c r="AK7" s="70"/>
      <c r="AL7" s="70"/>
      <c r="AM7" s="13"/>
      <c r="AN7" s="13"/>
      <c r="AO7" s="13"/>
      <c r="AP7" s="13"/>
      <c r="AQ7" s="13"/>
      <c r="AR7" s="13"/>
      <c r="AS7" s="13"/>
      <c r="AT7" s="13"/>
    </row>
    <row r="8" spans="1:46">
      <c r="A8" s="8" t="s">
        <v>247</v>
      </c>
      <c r="B8" s="66" t="s">
        <v>47</v>
      </c>
      <c r="C8" s="66" t="s">
        <v>979</v>
      </c>
      <c r="D8" s="67" t="s">
        <v>732</v>
      </c>
      <c r="E8" s="67" t="s">
        <v>980</v>
      </c>
      <c r="F8" s="66" t="s">
        <v>988</v>
      </c>
      <c r="G8" s="68" t="s">
        <v>990</v>
      </c>
      <c r="H8" s="66" t="str">
        <f ca="1">IFERROR(__xludf.DUMMYFUNCTION("VLOOKUP(G8, IMPORTRANGE(""https://docs.google.com/spreadsheets/d/14deopnvwcrKtEGCKuYXdUHJbeLDZlkiSSWWT0g7x2pM/edit#gid=999382323"", ""LU List Maths (Filter)!A:B""), 2, FALSE)"),"Irrational (non-terminating non-recurring) numbers between two rational numbers")</f>
        <v>Irrational (non-terminating non-recurring) numbers between two rational numbers</v>
      </c>
      <c r="I8" s="69" t="str">
        <f t="shared" si="0"/>
        <v>LU001183.001</v>
      </c>
      <c r="J8" s="69" t="str">
        <f ca="1">IFERROR(__xludf.DUMMYFUNCTION("VLOOKUP(I8, IMPORTRANGE(""https://docs.google.com/spreadsheets/d/1yDAaXNsi4Mr5FtRQL4tbmSdIzhx6_m4wkOD7IG-k_eo/edit#gid=0"", ""Maths!M:N""), 2, FALSE)"),"State examples of common irrational numbers (e.g., √2, 𝜋).
")</f>
        <v xml:space="preserve">State examples of common irrational numbers (e.g., √2, 𝜋).
</v>
      </c>
      <c r="K8" s="69" t="str">
        <f t="shared" si="1"/>
        <v>LU001183.002</v>
      </c>
      <c r="L8" s="69" t="str">
        <f ca="1">IFERROR(__xludf.DUMMYFUNCTION("VLOOKUP(K8, IMPORTRANGE(""https://docs.google.com/spreadsheets/d/1yDAaXNsi4Mr5FtRQL4tbmSdIzhx6_m4wkOD7IG-k_eo/edit#gid=0"", ""Maths!M:N""), 2, FALSE)"),"Describe the process of finding an irrational number between two given rational numbers.")</f>
        <v>Describe the process of finding an irrational number between two given rational numbers.</v>
      </c>
      <c r="M8" s="69" t="str">
        <f t="shared" si="2"/>
        <v>LU001183.003</v>
      </c>
      <c r="N8" s="69" t="str">
        <f ca="1">IFERROR(__xludf.DUMMYFUNCTION("VLOOKUP(M8, IMPORTRANGE(""https://docs.google.com/spreadsheets/d/1yDAaXNsi4Mr5FtRQL4tbmSdIzhx6_m4wkOD7IG-k_eo/edit#gid=0"", ""Maths!M:N""), 2, FALSE)"),"Identify an irrational number between two given rational numbers.")</f>
        <v>Identify an irrational number between two given rational numbers.</v>
      </c>
      <c r="O8" s="69" t="str">
        <f t="shared" si="3"/>
        <v>LU001183.004</v>
      </c>
      <c r="P8" s="69" t="str">
        <f ca="1">IFERROR(__xludf.DUMMYFUNCTION("VLOOKUP(O8, IMPORTRANGE(""https://docs.google.com/spreadsheets/d/1yDAaXNsi4Mr5FtRQL4tbmSdIzhx6_m4wkOD7IG-k_eo/edit#gid=0"", ""Maths!M:N""), 2, FALSE)"),"Compare the density of rational and irrational numbers on the number line.")</f>
        <v>Compare the density of rational and irrational numbers on the number line.</v>
      </c>
      <c r="Q8" s="69" t="str">
        <f t="shared" si="4"/>
        <v>LU001183.005</v>
      </c>
      <c r="R8" s="69" t="str">
        <f ca="1">IFERROR(__xludf.DUMMYFUNCTION("VLOOKUP(Q8, IMPORTRANGE(""https://docs.google.com/spreadsheets/d/1yDAaXNsi4Mr5FtRQL4tbmSdIzhx6_m4wkOD7IG-k_eo/edit#gid=0"", ""Maths!M:N""), 2, FALSE)"),"Assess the validity of a given method for finding an irrational number between two rational numbers.")</f>
        <v>Assess the validity of a given method for finding an irrational number between two rational numbers.</v>
      </c>
      <c r="S8" s="69" t="str">
        <f t="shared" si="5"/>
        <v>LU001183.006</v>
      </c>
      <c r="T8" s="69" t="str">
        <f ca="1">IFERROR(__xludf.DUMMYFUNCTION("VLOOKUP(S8, IMPORTRANGE(""https://docs.google.com/spreadsheets/d/1yDAaXNsi4Mr5FtRQL4tbmSdIzhx6_m4wkOD7IG-k_eo/edit#gid=0"", ""Maths!M:N""), 2, FALSE)"),"Construct an example demonstrating the method to find an irrational number between two given rational numbers.")</f>
        <v>Construct an example demonstrating the method to find an irrational number between two given rational numbers.</v>
      </c>
      <c r="U8" s="11" t="str">
        <f ca="1">IFERROR(__xludf.DUMMYFUNCTION("ArrayFormula(VLOOKUP(G8, IMPORTRANGE(""https://docs.google.com/spreadsheets/d/1p7R4vtkWt5VOBim4ltsDG9KTzSjrtKXsMtQGXPHyND0/edit#gid=795171502"", ""'Filter 30_05_2024'!A1:M2000""), {2, 3, 4, 5,6,7,8,9,10,11,12,13}, 0))"),"#N/A")</f>
        <v>#N/A</v>
      </c>
      <c r="V8" s="11" t="str">
        <f ca="1">IFERROR(__xludf.DUMMYFUNCTION("""COMPUTED_VALUE"""),"#N/A")</f>
        <v>#N/A</v>
      </c>
      <c r="W8" s="11" t="str">
        <f ca="1">IFERROR(__xludf.DUMMYFUNCTION("""COMPUTED_VALUE"""),"#N/A")</f>
        <v>#N/A</v>
      </c>
      <c r="X8" s="11" t="str">
        <f ca="1">IFERROR(__xludf.DUMMYFUNCTION("""COMPUTED_VALUE"""),"#N/A")</f>
        <v>#N/A</v>
      </c>
      <c r="Y8" s="11" t="str">
        <f ca="1">IFERROR(__xludf.DUMMYFUNCTION("""COMPUTED_VALUE"""),"#N/A")</f>
        <v>#N/A</v>
      </c>
      <c r="Z8" s="12" t="str">
        <f ca="1">IFERROR(__xludf.DUMMYFUNCTION("""COMPUTED_VALUE"""),"#N/A")</f>
        <v>#N/A</v>
      </c>
      <c r="AA8" s="12" t="str">
        <f ca="1">IFERROR(__xludf.DUMMYFUNCTION("""COMPUTED_VALUE"""),"#N/A")</f>
        <v>#N/A</v>
      </c>
      <c r="AB8" s="12" t="str">
        <f ca="1">IFERROR(__xludf.DUMMYFUNCTION("""COMPUTED_VALUE"""),"#N/A")</f>
        <v>#N/A</v>
      </c>
      <c r="AC8" s="11" t="str">
        <f ca="1">IFERROR(__xludf.DUMMYFUNCTION("""COMPUTED_VALUE"""),"#N/A")</f>
        <v>#N/A</v>
      </c>
      <c r="AD8" s="12" t="str">
        <f ca="1">IFERROR(__xludf.DUMMYFUNCTION("""COMPUTED_VALUE"""),"#N/A")</f>
        <v>#N/A</v>
      </c>
      <c r="AE8" s="12" t="str">
        <f ca="1">IFERROR(__xludf.DUMMYFUNCTION("""COMPUTED_VALUE"""),"#N/A")</f>
        <v>#N/A</v>
      </c>
      <c r="AF8" s="12" t="str">
        <f ca="1">IFERROR(__xludf.DUMMYFUNCTION("""COMPUTED_VALUE"""),"#N/A")</f>
        <v>#N/A</v>
      </c>
      <c r="AG8" s="70" t="str">
        <f ca="1">IFERROR(__xludf.DUMMYFUNCTION("ArrayFormula(VLOOKUP(G8, IMPORTRANGE(""https://docs.google.com/spreadsheets/d/1Co934fvtviyaRiMsrIlT05Jaq7iiYq07aLvRr35KA48/edit?gid=173865642#gid=173865642"", ""'G9_Maths_Pri_LU'!G2:V2000""), {3, 4, 5, 6, 7, 8, 9, 10, 11, 12, 13, 14, 15, 16}, 0))"),"LU001182")</f>
        <v>LU001182</v>
      </c>
      <c r="AH8" s="70" t="str">
        <f ca="1">IFERROR(__xludf.DUMMYFUNCTION("""COMPUTED_VALUE"""),"Non-terminating non-recurring decimals as irrational number [definition]")</f>
        <v>Non-terminating non-recurring decimals as irrational number [definition]</v>
      </c>
      <c r="AI8" s="70"/>
      <c r="AJ8" s="70"/>
      <c r="AK8" s="70"/>
      <c r="AL8" s="70"/>
      <c r="AM8" s="13"/>
      <c r="AN8" s="13"/>
      <c r="AO8" s="13"/>
      <c r="AP8" s="13"/>
      <c r="AQ8" s="13"/>
      <c r="AR8" s="13"/>
      <c r="AS8" s="13"/>
      <c r="AT8" s="13"/>
    </row>
    <row r="9" spans="1:46">
      <c r="A9" s="8" t="s">
        <v>247</v>
      </c>
      <c r="B9" s="66" t="s">
        <v>47</v>
      </c>
      <c r="C9" s="66" t="s">
        <v>979</v>
      </c>
      <c r="D9" s="67" t="s">
        <v>732</v>
      </c>
      <c r="E9" s="67" t="s">
        <v>980</v>
      </c>
      <c r="F9" s="66" t="s">
        <v>991</v>
      </c>
      <c r="G9" s="68" t="s">
        <v>992</v>
      </c>
      <c r="H9" s="66" t="str">
        <f ca="1">IFERROR(__xludf.DUMMYFUNCTION("VLOOKUP(G9, IMPORTRANGE(""https://docs.google.com/spreadsheets/d/14deopnvwcrKtEGCKuYXdUHJbeLDZlkiSSWWT0g7x2pM/edit#gid=999382323"", ""LU List Maths (Filter)!A:B""), 2, FALSE)"),"Addition of a rational and an irrational number")</f>
        <v>Addition of a rational and an irrational number</v>
      </c>
      <c r="I9" s="69" t="str">
        <f t="shared" si="0"/>
        <v>LU001185.001</v>
      </c>
      <c r="J9" s="69" t="str">
        <f ca="1">IFERROR(__xludf.DUMMYFUNCTION("VLOOKUP(I9, IMPORTRANGE(""https://docs.google.com/spreadsheets/d/1yDAaXNsi4Mr5FtRQL4tbmSdIzhx6_m4wkOD7IG-k_eo/edit#gid=0"", ""Maths!M:N""), 2, FALSE)"),"Recall that the sum of a rational number and an irrational number is always irrational.")</f>
        <v>Recall that the sum of a rational number and an irrational number is always irrational.</v>
      </c>
      <c r="K9" s="69" t="str">
        <f t="shared" si="1"/>
        <v>LU001185.002</v>
      </c>
      <c r="L9" s="69" t="str">
        <f ca="1">IFERROR(__xludf.DUMMYFUNCTION("VLOOKUP(K9, IMPORTRANGE(""https://docs.google.com/spreadsheets/d/1yDAaXNsi4Mr5FtRQL4tbmSdIzhx6_m4wkOD7IG-k_eo/edit#gid=0"", ""Maths!M:N""), 2, FALSE)"),"Explain why the sum of a rational number and an irrational number is always irrational.")</f>
        <v>Explain why the sum of a rational number and an irrational number is always irrational.</v>
      </c>
      <c r="M9" s="69" t="str">
        <f t="shared" si="2"/>
        <v>LU001185.003</v>
      </c>
      <c r="N9" s="69" t="str">
        <f ca="1">IFERROR(__xludf.DUMMYFUNCTION("VLOOKUP(M9, IMPORTRANGE(""https://docs.google.com/spreadsheets/d/1yDAaXNsi4Mr5FtRQL4tbmSdIzhx6_m4wkOD7IG-k_eo/edit#gid=0"", ""Maths!M:N""), 2, FALSE)"),"Calculate the sum of a given rational number and an irrational number.")</f>
        <v>Calculate the sum of a given rational number and an irrational number.</v>
      </c>
      <c r="O9" s="69" t="str">
        <f t="shared" si="3"/>
        <v>LU001185.004</v>
      </c>
      <c r="P9" s="69" t="str">
        <f ca="1">IFERROR(__xludf.DUMMYFUNCTION("VLOOKUP(O9, IMPORTRANGE(""https://docs.google.com/spreadsheets/d/1yDAaXNsi4Mr5FtRQL4tbmSdIzhx6_m4wkOD7IG-k_eo/edit#gid=0"", ""Maths!M:N""), 2, FALSE)"),"Identify the properties of the sum when a rational number is added to an irrational number.")</f>
        <v>Identify the properties of the sum when a rational number is added to an irrational number.</v>
      </c>
      <c r="Q9" s="69" t="str">
        <f t="shared" si="4"/>
        <v>LU001185.005</v>
      </c>
      <c r="R9" s="69" t="str">
        <f ca="1">IFERROR(__xludf.DUMMYFUNCTION("VLOOKUP(Q9, IMPORTRANGE(""https://docs.google.com/spreadsheets/d/1yDAaXNsi4Mr5FtRQL4tbmSdIzhx6_m4wkOD7IG-k_eo/edit#gid=0"", ""Maths!M:N""), 2, FALSE)"),"Determine whether a given number is the correct result of adding a rational and an irrational number.")</f>
        <v>Determine whether a given number is the correct result of adding a rational and an irrational number.</v>
      </c>
      <c r="S9" s="69" t="str">
        <f t="shared" si="5"/>
        <v>LU001185.006</v>
      </c>
      <c r="T9" s="69" t="str">
        <f ca="1">IFERROR(__xludf.DUMMYFUNCTION("VLOOKUP(S9, IMPORTRANGE(""https://docs.google.com/spreadsheets/d/1yDAaXNsi4Mr5FtRQL4tbmSdIzhx6_m4wkOD7IG-k_eo/edit#gid=0"", ""Maths!M:N""), 2, FALSE)"),"Design a problem where a rational number is added to an irrational number, and explain the steps to solve it.")</f>
        <v>Design a problem where a rational number is added to an irrational number, and explain the steps to solve it.</v>
      </c>
      <c r="U9" s="11" t="str">
        <f ca="1">IFERROR(__xludf.DUMMYFUNCTION("ArrayFormula(VLOOKUP(G9, IMPORTRANGE(""https://docs.google.com/spreadsheets/d/1p7R4vtkWt5VOBim4ltsDG9KTzSjrtKXsMtQGXPHyND0/edit#gid=795171502"", ""'Filter 30_05_2024'!A1:M2000""), {2, 3, 4, 5,6,7,8,9,10,11,12,13}, 0))"),"#N/A")</f>
        <v>#N/A</v>
      </c>
      <c r="V9" s="11" t="str">
        <f ca="1">IFERROR(__xludf.DUMMYFUNCTION("""COMPUTED_VALUE"""),"#N/A")</f>
        <v>#N/A</v>
      </c>
      <c r="W9" s="11" t="str">
        <f ca="1">IFERROR(__xludf.DUMMYFUNCTION("""COMPUTED_VALUE"""),"#N/A")</f>
        <v>#N/A</v>
      </c>
      <c r="X9" s="11" t="str">
        <f ca="1">IFERROR(__xludf.DUMMYFUNCTION("""COMPUTED_VALUE"""),"#N/A")</f>
        <v>#N/A</v>
      </c>
      <c r="Y9" s="11" t="str">
        <f ca="1">IFERROR(__xludf.DUMMYFUNCTION("""COMPUTED_VALUE"""),"#N/A")</f>
        <v>#N/A</v>
      </c>
      <c r="Z9" s="12" t="str">
        <f ca="1">IFERROR(__xludf.DUMMYFUNCTION("""COMPUTED_VALUE"""),"#N/A")</f>
        <v>#N/A</v>
      </c>
      <c r="AA9" s="12" t="str">
        <f ca="1">IFERROR(__xludf.DUMMYFUNCTION("""COMPUTED_VALUE"""),"#N/A")</f>
        <v>#N/A</v>
      </c>
      <c r="AB9" s="12" t="str">
        <f ca="1">IFERROR(__xludf.DUMMYFUNCTION("""COMPUTED_VALUE"""),"#N/A")</f>
        <v>#N/A</v>
      </c>
      <c r="AC9" s="11" t="str">
        <f ca="1">IFERROR(__xludf.DUMMYFUNCTION("""COMPUTED_VALUE"""),"#N/A")</f>
        <v>#N/A</v>
      </c>
      <c r="AD9" s="12" t="str">
        <f ca="1">IFERROR(__xludf.DUMMYFUNCTION("""COMPUTED_VALUE"""),"#N/A")</f>
        <v>#N/A</v>
      </c>
      <c r="AE9" s="12" t="str">
        <f ca="1">IFERROR(__xludf.DUMMYFUNCTION("""COMPUTED_VALUE"""),"#N/A")</f>
        <v>#N/A</v>
      </c>
      <c r="AF9" s="12" t="str">
        <f ca="1">IFERROR(__xludf.DUMMYFUNCTION("""COMPUTED_VALUE"""),"#N/A")</f>
        <v>#N/A</v>
      </c>
      <c r="AG9" s="70" t="str">
        <f ca="1">IFERROR(__xludf.DUMMYFUNCTION("ArrayFormula(VLOOKUP(G9, IMPORTRANGE(""https://docs.google.com/spreadsheets/d/1Co934fvtviyaRiMsrIlT05Jaq7iiYq07aLvRr35KA48/edit?gid=173865642#gid=173865642"", ""'G9_Maths_Pri_LU'!G2:V2000""), {3, 4, 5, 6, 7, 8, 9, 10, 11, 12, 13, 14, 15, 16}, 0))"),"LU001177")</f>
        <v>LU001177</v>
      </c>
      <c r="AH9" s="70" t="str">
        <f ca="1">IFERROR(__xludf.DUMMYFUNCTION("""COMPUTED_VALUE"""),"Introduction to irrational numbers [definition, representation, characteristics, examples]")</f>
        <v>Introduction to irrational numbers [definition, representation, characteristics, examples]</v>
      </c>
      <c r="AI9" s="70" t="str">
        <f ca="1">IFERROR(__xludf.DUMMYFUNCTION("""COMPUTED_VALUE"""),"LU000474")</f>
        <v>LU000474</v>
      </c>
      <c r="AJ9" s="70" t="str">
        <f ca="1">IFERROR(__xludf.DUMMYFUNCTION("""COMPUTED_VALUE"""),"Addition of rational numbers")</f>
        <v>Addition of rational numbers</v>
      </c>
      <c r="AK9" s="70"/>
      <c r="AL9" s="70"/>
      <c r="AM9" s="13"/>
      <c r="AN9" s="13"/>
      <c r="AO9" s="13"/>
      <c r="AP9" s="13"/>
      <c r="AQ9" s="13"/>
      <c r="AR9" s="13"/>
      <c r="AS9" s="13"/>
      <c r="AT9" s="13"/>
    </row>
    <row r="10" spans="1:46">
      <c r="A10" s="8" t="s">
        <v>247</v>
      </c>
      <c r="B10" s="66" t="s">
        <v>47</v>
      </c>
      <c r="C10" s="66" t="s">
        <v>979</v>
      </c>
      <c r="D10" s="67" t="s">
        <v>732</v>
      </c>
      <c r="E10" s="67" t="s">
        <v>980</v>
      </c>
      <c r="F10" s="66" t="s">
        <v>991</v>
      </c>
      <c r="G10" s="68" t="s">
        <v>993</v>
      </c>
      <c r="H10" s="66" t="str">
        <f ca="1">IFERROR(__xludf.DUMMYFUNCTION("VLOOKUP(G10, IMPORTRANGE(""https://docs.google.com/spreadsheets/d/14deopnvwcrKtEGCKuYXdUHJbeLDZlkiSSWWT0g7x2pM/edit#gid=999382323"", ""LU List Maths (Filter)!A:B""), 2, FALSE)"),"Subtraction of a rational and an irrational number")</f>
        <v>Subtraction of a rational and an irrational number</v>
      </c>
      <c r="I10" s="69" t="str">
        <f t="shared" si="0"/>
        <v>LU001186.001</v>
      </c>
      <c r="J10" s="69" t="str">
        <f ca="1">IFERROR(__xludf.DUMMYFUNCTION("VLOOKUP(I10, IMPORTRANGE(""https://docs.google.com/spreadsheets/d/1yDAaXNsi4Mr5FtRQL4tbmSdIzhx6_m4wkOD7IG-k_eo/edit#gid=0"", ""Maths!M:N""), 2, FALSE)"),"Recall that the difference between a rational number and an irrational number is always irrational.")</f>
        <v>Recall that the difference between a rational number and an irrational number is always irrational.</v>
      </c>
      <c r="K10" s="69" t="str">
        <f t="shared" si="1"/>
        <v>LU001186.002</v>
      </c>
      <c r="L10" s="69" t="str">
        <f ca="1">IFERROR(__xludf.DUMMYFUNCTION("VLOOKUP(K10, IMPORTRANGE(""https://docs.google.com/spreadsheets/d/1yDAaXNsi4Mr5FtRQL4tbmSdIzhx6_m4wkOD7IG-k_eo/edit#gid=0"", ""Maths!M:N""), 2, FALSE)"),"Explain why the difference between a rational number and an irrational number is always irrational.")</f>
        <v>Explain why the difference between a rational number and an irrational number is always irrational.</v>
      </c>
      <c r="M10" s="69" t="str">
        <f t="shared" si="2"/>
        <v>LU001186.003</v>
      </c>
      <c r="N10" s="69" t="str">
        <f ca="1">IFERROR(__xludf.DUMMYFUNCTION("VLOOKUP(M10, IMPORTRANGE(""https://docs.google.com/spreadsheets/d/1yDAaXNsi4Mr5FtRQL4tbmSdIzhx6_m4wkOD7IG-k_eo/edit#gid=0"", ""Maths!M:N""), 2, FALSE)"),"Calculate the difference between a given rational number and an irrational number.")</f>
        <v>Calculate the difference between a given rational number and an irrational number.</v>
      </c>
      <c r="O10" s="69" t="str">
        <f t="shared" si="3"/>
        <v>LU001186.004</v>
      </c>
      <c r="P10" s="69" t="str">
        <f ca="1">IFERROR(__xludf.DUMMYFUNCTION("VLOOKUP(O10, IMPORTRANGE(""https://docs.google.com/spreadsheets/d/1yDAaXNsi4Mr5FtRQL4tbmSdIzhx6_m4wkOD7IG-k_eo/edit#gid=0"", ""Maths!M:N""), 2, FALSE)"),"Distinguish between the outcomes of subtracting rational numbers from irrational numbers and vice versa.")</f>
        <v>Distinguish between the outcomes of subtracting rational numbers from irrational numbers and vice versa.</v>
      </c>
      <c r="Q10" s="69" t="str">
        <f t="shared" si="4"/>
        <v>LU001186.005</v>
      </c>
      <c r="R10" s="69" t="str">
        <f ca="1">IFERROR(__xludf.DUMMYFUNCTION("VLOOKUP(Q10, IMPORTRANGE(""https://docs.google.com/spreadsheets/d/1yDAaXNsi4Mr5FtRQL4tbmSdIzhx6_m4wkOD7IG-k_eo/edit#gid=0"", ""Maths!M:N""), 2, FALSE)"),"Determine whether a given number is the correct result of subtracting a rational number from an irrational number.")</f>
        <v>Determine whether a given number is the correct result of subtracting a rational number from an irrational number.</v>
      </c>
      <c r="S10" s="69" t="str">
        <f t="shared" si="5"/>
        <v>LU001186.006</v>
      </c>
      <c r="T10" s="69" t="str">
        <f ca="1">IFERROR(__xludf.DUMMYFUNCTION("VLOOKUP(S10, IMPORTRANGE(""https://docs.google.com/spreadsheets/d/1yDAaXNsi4Mr5FtRQL4tbmSdIzhx6_m4wkOD7IG-k_eo/edit#gid=0"", ""Maths!M:N""), 2, FALSE)"),"Design a problem where a rational number is subtracted from an irrational number, and explain the steps to solve it.")</f>
        <v>Design a problem where a rational number is subtracted from an irrational number, and explain the steps to solve it.</v>
      </c>
      <c r="U10" s="11" t="str">
        <f ca="1">IFERROR(__xludf.DUMMYFUNCTION("ArrayFormula(VLOOKUP(G10, IMPORTRANGE(""https://docs.google.com/spreadsheets/d/1p7R4vtkWt5VOBim4ltsDG9KTzSjrtKXsMtQGXPHyND0/edit#gid=795171502"", ""'Filter 30_05_2024'!A1:M2000""), {2, 3, 4, 5,6,7,8,9,10,11,12,13}, 0))"),"#N/A")</f>
        <v>#N/A</v>
      </c>
      <c r="V10" s="11" t="str">
        <f ca="1">IFERROR(__xludf.DUMMYFUNCTION("""COMPUTED_VALUE"""),"#N/A")</f>
        <v>#N/A</v>
      </c>
      <c r="W10" s="11" t="str">
        <f ca="1">IFERROR(__xludf.DUMMYFUNCTION("""COMPUTED_VALUE"""),"#N/A")</f>
        <v>#N/A</v>
      </c>
      <c r="X10" s="11" t="str">
        <f ca="1">IFERROR(__xludf.DUMMYFUNCTION("""COMPUTED_VALUE"""),"#N/A")</f>
        <v>#N/A</v>
      </c>
      <c r="Y10" s="11" t="str">
        <f ca="1">IFERROR(__xludf.DUMMYFUNCTION("""COMPUTED_VALUE"""),"#N/A")</f>
        <v>#N/A</v>
      </c>
      <c r="Z10" s="12" t="str">
        <f ca="1">IFERROR(__xludf.DUMMYFUNCTION("""COMPUTED_VALUE"""),"#N/A")</f>
        <v>#N/A</v>
      </c>
      <c r="AA10" s="12" t="str">
        <f ca="1">IFERROR(__xludf.DUMMYFUNCTION("""COMPUTED_VALUE"""),"#N/A")</f>
        <v>#N/A</v>
      </c>
      <c r="AB10" s="12" t="str">
        <f ca="1">IFERROR(__xludf.DUMMYFUNCTION("""COMPUTED_VALUE"""),"#N/A")</f>
        <v>#N/A</v>
      </c>
      <c r="AC10" s="11" t="str">
        <f ca="1">IFERROR(__xludf.DUMMYFUNCTION("""COMPUTED_VALUE"""),"#N/A")</f>
        <v>#N/A</v>
      </c>
      <c r="AD10" s="12" t="str">
        <f ca="1">IFERROR(__xludf.DUMMYFUNCTION("""COMPUTED_VALUE"""),"#N/A")</f>
        <v>#N/A</v>
      </c>
      <c r="AE10" s="12" t="str">
        <f ca="1">IFERROR(__xludf.DUMMYFUNCTION("""COMPUTED_VALUE"""),"#N/A")</f>
        <v>#N/A</v>
      </c>
      <c r="AF10" s="12" t="str">
        <f ca="1">IFERROR(__xludf.DUMMYFUNCTION("""COMPUTED_VALUE"""),"#N/A")</f>
        <v>#N/A</v>
      </c>
      <c r="AG10" s="70" t="str">
        <f ca="1">IFERROR(__xludf.DUMMYFUNCTION("ArrayFormula(VLOOKUP(G10, IMPORTRANGE(""https://docs.google.com/spreadsheets/d/1Co934fvtviyaRiMsrIlT05Jaq7iiYq07aLvRr35KA48/edit?gid=173865642#gid=173865642"", ""'G9_Maths_Pri_LU'!G2:V2000""), {3, 4, 5, 6, 7, 8, 9, 10, 11, 12, 13, 14, 15, 16}, 0))"),"LU001177")</f>
        <v>LU001177</v>
      </c>
      <c r="AH10" s="70" t="str">
        <f ca="1">IFERROR(__xludf.DUMMYFUNCTION("""COMPUTED_VALUE"""),"Introduction to irrational numbers [definition, representation, characteristics, examples]")</f>
        <v>Introduction to irrational numbers [definition, representation, characteristics, examples]</v>
      </c>
      <c r="AI10" s="70" t="str">
        <f ca="1">IFERROR(__xludf.DUMMYFUNCTION("""COMPUTED_VALUE"""),"LU000475")</f>
        <v>LU000475</v>
      </c>
      <c r="AJ10" s="70" t="str">
        <f ca="1">IFERROR(__xludf.DUMMYFUNCTION("""COMPUTED_VALUE"""),"Subtraction of rational numbers")</f>
        <v>Subtraction of rational numbers</v>
      </c>
      <c r="AK10" s="70"/>
      <c r="AL10" s="70"/>
      <c r="AM10" s="13"/>
      <c r="AN10" s="13"/>
      <c r="AO10" s="13"/>
      <c r="AP10" s="13"/>
      <c r="AQ10" s="13"/>
      <c r="AR10" s="13"/>
      <c r="AS10" s="13"/>
      <c r="AT10" s="13"/>
    </row>
    <row r="11" spans="1:46">
      <c r="A11" s="8" t="s">
        <v>247</v>
      </c>
      <c r="B11" s="66" t="s">
        <v>47</v>
      </c>
      <c r="C11" s="66" t="s">
        <v>979</v>
      </c>
      <c r="D11" s="67" t="s">
        <v>732</v>
      </c>
      <c r="E11" s="67" t="s">
        <v>980</v>
      </c>
      <c r="F11" s="66" t="s">
        <v>994</v>
      </c>
      <c r="G11" s="68" t="s">
        <v>995</v>
      </c>
      <c r="H11" s="66" t="str">
        <f ca="1">IFERROR(__xludf.DUMMYFUNCTION("VLOOKUP(G11, IMPORTRANGE(""https://docs.google.com/spreadsheets/d/14deopnvwcrKtEGCKuYXdUHJbeLDZlkiSSWWT0g7x2pM/edit#gid=999382323"", ""LU List Maths (Filter)!A:B""), 2, FALSE)"),"Multiplication of a non-zero rational with an irrational number")</f>
        <v>Multiplication of a non-zero rational with an irrational number</v>
      </c>
      <c r="I11" s="69" t="str">
        <f t="shared" si="0"/>
        <v>LU001187.001</v>
      </c>
      <c r="J11" s="69" t="str">
        <f ca="1">IFERROR(__xludf.DUMMYFUNCTION("VLOOKUP(I11, IMPORTRANGE(""https://docs.google.com/spreadsheets/d/1yDAaXNsi4Mr5FtRQL4tbmSdIzhx6_m4wkOD7IG-k_eo/edit#gid=0"", ""Maths!M:N""), 2, FALSE)"),"Recall that the product of a non-zero rational number and an irrational number is always irrational.")</f>
        <v>Recall that the product of a non-zero rational number and an irrational number is always irrational.</v>
      </c>
      <c r="K11" s="69" t="str">
        <f t="shared" si="1"/>
        <v>LU001187.002</v>
      </c>
      <c r="L11" s="69" t="str">
        <f ca="1">IFERROR(__xludf.DUMMYFUNCTION("VLOOKUP(K11, IMPORTRANGE(""https://docs.google.com/spreadsheets/d/1yDAaXNsi4Mr5FtRQL4tbmSdIzhx6_m4wkOD7IG-k_eo/edit#gid=0"", ""Maths!M:N""), 2, FALSE)"),"Explain why the product of a non-zero rational number and an irrational number is always irrational.")</f>
        <v>Explain why the product of a non-zero rational number and an irrational number is always irrational.</v>
      </c>
      <c r="M11" s="69" t="str">
        <f t="shared" si="2"/>
        <v>LU001187.003</v>
      </c>
      <c r="N11" s="69" t="str">
        <f ca="1">IFERROR(__xludf.DUMMYFUNCTION("VLOOKUP(M11, IMPORTRANGE(""https://docs.google.com/spreadsheets/d/1yDAaXNsi4Mr5FtRQL4tbmSdIzhx6_m4wkOD7IG-k_eo/edit#gid=0"", ""Maths!M:N""), 2, FALSE)"),"Calculate the product of a given non-zero rational number and an irrational number.")</f>
        <v>Calculate the product of a given non-zero rational number and an irrational number.</v>
      </c>
      <c r="O11" s="69" t="str">
        <f t="shared" si="3"/>
        <v>LU001187.004</v>
      </c>
      <c r="P11" s="69" t="str">
        <f ca="1">IFERROR(__xludf.DUMMYFUNCTION("VLOOKUP(O11, IMPORTRANGE(""https://docs.google.com/spreadsheets/d/1yDAaXNsi4Mr5FtRQL4tbmSdIzhx6_m4wkOD7IG-k_eo/edit#gid=0"", ""Maths!M:N""), 2, FALSE)"),"Determine the impact on the product when the non-zero rational number is varied while keeping the irrational number constant.")</f>
        <v>Determine the impact on the product when the non-zero rational number is varied while keeping the irrational number constant.</v>
      </c>
      <c r="Q11" s="69" t="str">
        <f t="shared" si="4"/>
        <v>LU001187.005</v>
      </c>
      <c r="R11" s="69" t="str">
        <f ca="1">IFERROR(__xludf.DUMMYFUNCTION("VLOOKUP(Q11, IMPORTRANGE(""https://docs.google.com/spreadsheets/d/1yDAaXNsi4Mr5FtRQL4tbmSdIzhx6_m4wkOD7IG-k_eo/edit#gid=0"", ""Maths!M:N""), 2, FALSE)"),"Determine whether a given number is the correct result of multiplying a non-zero rational number by an irrational number.")</f>
        <v>Determine whether a given number is the correct result of multiplying a non-zero rational number by an irrational number.</v>
      </c>
      <c r="S11" s="69" t="str">
        <f t="shared" si="5"/>
        <v>LU001187.006</v>
      </c>
      <c r="T11" s="69" t="str">
        <f ca="1">IFERROR(__xludf.DUMMYFUNCTION("VLOOKUP(S11, IMPORTRANGE(""https://docs.google.com/spreadsheets/d/1yDAaXNsi4Mr5FtRQL4tbmSdIzhx6_m4wkOD7IG-k_eo/edit#gid=0"", ""Maths!M:N""), 2, FALSE)"),"ormulate an example where a non-zero rational number is multiplied by an irrational number and explain why the result is irrational.")</f>
        <v>ormulate an example where a non-zero rational number is multiplied by an irrational number and explain why the result is irrational.</v>
      </c>
      <c r="U11" s="11" t="str">
        <f ca="1">IFERROR(__xludf.DUMMYFUNCTION("ArrayFormula(VLOOKUP(G11, IMPORTRANGE(""https://docs.google.com/spreadsheets/d/1p7R4vtkWt5VOBim4ltsDG9KTzSjrtKXsMtQGXPHyND0/edit#gid=795171502"", ""'Filter 30_05_2024'!A1:M2000""), {2, 3, 4, 5,6,7,8,9,10,11,12,13}, 0))"),"#N/A")</f>
        <v>#N/A</v>
      </c>
      <c r="V11" s="11" t="str">
        <f ca="1">IFERROR(__xludf.DUMMYFUNCTION("""COMPUTED_VALUE"""),"#N/A")</f>
        <v>#N/A</v>
      </c>
      <c r="W11" s="11" t="str">
        <f ca="1">IFERROR(__xludf.DUMMYFUNCTION("""COMPUTED_VALUE"""),"#N/A")</f>
        <v>#N/A</v>
      </c>
      <c r="X11" s="11" t="str">
        <f ca="1">IFERROR(__xludf.DUMMYFUNCTION("""COMPUTED_VALUE"""),"#N/A")</f>
        <v>#N/A</v>
      </c>
      <c r="Y11" s="11" t="str">
        <f ca="1">IFERROR(__xludf.DUMMYFUNCTION("""COMPUTED_VALUE"""),"#N/A")</f>
        <v>#N/A</v>
      </c>
      <c r="Z11" s="12" t="str">
        <f ca="1">IFERROR(__xludf.DUMMYFUNCTION("""COMPUTED_VALUE"""),"#N/A")</f>
        <v>#N/A</v>
      </c>
      <c r="AA11" s="12" t="str">
        <f ca="1">IFERROR(__xludf.DUMMYFUNCTION("""COMPUTED_VALUE"""),"#N/A")</f>
        <v>#N/A</v>
      </c>
      <c r="AB11" s="12" t="str">
        <f ca="1">IFERROR(__xludf.DUMMYFUNCTION("""COMPUTED_VALUE"""),"#N/A")</f>
        <v>#N/A</v>
      </c>
      <c r="AC11" s="11" t="str">
        <f ca="1">IFERROR(__xludf.DUMMYFUNCTION("""COMPUTED_VALUE"""),"#N/A")</f>
        <v>#N/A</v>
      </c>
      <c r="AD11" s="12" t="str">
        <f ca="1">IFERROR(__xludf.DUMMYFUNCTION("""COMPUTED_VALUE"""),"#N/A")</f>
        <v>#N/A</v>
      </c>
      <c r="AE11" s="12" t="str">
        <f ca="1">IFERROR(__xludf.DUMMYFUNCTION("""COMPUTED_VALUE"""),"#N/A")</f>
        <v>#N/A</v>
      </c>
      <c r="AF11" s="12" t="str">
        <f ca="1">IFERROR(__xludf.DUMMYFUNCTION("""COMPUTED_VALUE"""),"#N/A")</f>
        <v>#N/A</v>
      </c>
      <c r="AG11" s="70" t="str">
        <f ca="1">IFERROR(__xludf.DUMMYFUNCTION("ArrayFormula(VLOOKUP(G11, IMPORTRANGE(""https://docs.google.com/spreadsheets/d/1Co934fvtviyaRiMsrIlT05Jaq7iiYq07aLvRr35KA48/edit?gid=173865642#gid=173865642"", ""'G9_Maths_Pri_LU'!G2:V2000""), {3, 4, 5, 6, 7, 8, 9, 10, 11, 12, 13, 14, 15, 16}, 0))"),"LU001177")</f>
        <v>LU001177</v>
      </c>
      <c r="AH11" s="70" t="str">
        <f ca="1">IFERROR(__xludf.DUMMYFUNCTION("""COMPUTED_VALUE"""),"Introduction to irrational numbers [definition, representation, characteristics, examples]")</f>
        <v>Introduction to irrational numbers [definition, representation, characteristics, examples]</v>
      </c>
      <c r="AI11" s="70" t="str">
        <f ca="1">IFERROR(__xludf.DUMMYFUNCTION("""COMPUTED_VALUE"""),"LU000476")</f>
        <v>LU000476</v>
      </c>
      <c r="AJ11" s="70" t="str">
        <f ca="1">IFERROR(__xludf.DUMMYFUNCTION("""COMPUTED_VALUE"""),"Multiplication of rational numbers")</f>
        <v>Multiplication of rational numbers</v>
      </c>
      <c r="AK11" s="70"/>
      <c r="AL11" s="70"/>
      <c r="AM11" s="13"/>
      <c r="AN11" s="13"/>
      <c r="AO11" s="13"/>
      <c r="AP11" s="13"/>
      <c r="AQ11" s="13"/>
      <c r="AR11" s="13"/>
      <c r="AS11" s="13"/>
      <c r="AT11" s="13"/>
    </row>
    <row r="12" spans="1:46">
      <c r="A12" s="8" t="s">
        <v>247</v>
      </c>
      <c r="B12" s="66" t="s">
        <v>47</v>
      </c>
      <c r="C12" s="66" t="s">
        <v>979</v>
      </c>
      <c r="D12" s="67" t="s">
        <v>732</v>
      </c>
      <c r="E12" s="67" t="s">
        <v>980</v>
      </c>
      <c r="F12" s="66" t="s">
        <v>994</v>
      </c>
      <c r="G12" s="68" t="s">
        <v>996</v>
      </c>
      <c r="H12" s="66" t="str">
        <f ca="1">IFERROR(__xludf.DUMMYFUNCTION("VLOOKUP(G12, IMPORTRANGE(""https://docs.google.com/spreadsheets/d/14deopnvwcrKtEGCKuYXdUHJbeLDZlkiSSWWT0g7x2pM/edit#gid=999382323"", ""LU List Maths (Filter)!A:B""), 2, FALSE)"),"Quotient of a non-zero rational number with an irrational number")</f>
        <v>Quotient of a non-zero rational number with an irrational number</v>
      </c>
      <c r="I12" s="69" t="str">
        <f t="shared" si="0"/>
        <v>LU001188.001</v>
      </c>
      <c r="J12" s="69" t="str">
        <f ca="1">IFERROR(__xludf.DUMMYFUNCTION("VLOOKUP(I12, IMPORTRANGE(""https://docs.google.com/spreadsheets/d/1yDAaXNsi4Mr5FtRQL4tbmSdIzhx6_m4wkOD7IG-k_eo/edit#gid=0"", ""Maths!M:N""), 2, FALSE)"),"Recall that the quotient of a non-zero rational number and an irrational number is always irrational.")</f>
        <v>Recall that the quotient of a non-zero rational number and an irrational number is always irrational.</v>
      </c>
      <c r="K12" s="69" t="str">
        <f t="shared" si="1"/>
        <v>LU001188.002</v>
      </c>
      <c r="L12" s="69" t="str">
        <f ca="1">IFERROR(__xludf.DUMMYFUNCTION("VLOOKUP(K12, IMPORTRANGE(""https://docs.google.com/spreadsheets/d/1yDAaXNsi4Mr5FtRQL4tbmSdIzhx6_m4wkOD7IG-k_eo/edit#gid=0"", ""Maths!M:N""), 2, FALSE)"),"Explain why the quotient of a non-zero rational number and an irrational number is always irrational.")</f>
        <v>Explain why the quotient of a non-zero rational number and an irrational number is always irrational.</v>
      </c>
      <c r="M12" s="69" t="str">
        <f t="shared" si="2"/>
        <v>LU001188.003</v>
      </c>
      <c r="N12" s="69" t="str">
        <f ca="1">IFERROR(__xludf.DUMMYFUNCTION("VLOOKUP(M12, IMPORTRANGE(""https://docs.google.com/spreadsheets/d/1yDAaXNsi4Mr5FtRQL4tbmSdIzhx6_m4wkOD7IG-k_eo/edit#gid=0"", ""Maths!M:N""), 2, FALSE)"),"Calculate the quotient of a given non-zero rational number and an irrational number.")</f>
        <v>Calculate the quotient of a given non-zero rational number and an irrational number.</v>
      </c>
      <c r="O12" s="69" t="str">
        <f t="shared" si="3"/>
        <v>LU001188.004</v>
      </c>
      <c r="P12" s="69" t="str">
        <f ca="1">IFERROR(__xludf.DUMMYFUNCTION("VLOOKUP(O12, IMPORTRANGE(""https://docs.google.com/spreadsheets/d/1yDAaXNsi4Mr5FtRQL4tbmSdIzhx6_m4wkOD7IG-k_eo/edit#gid=0"", ""Maths!M:N""), 2, FALSE)"),"Compare the results of dividing different non-zero rational numbers by the same irrational number.")</f>
        <v>Compare the results of dividing different non-zero rational numbers by the same irrational number.</v>
      </c>
      <c r="Q12" s="69" t="str">
        <f t="shared" si="4"/>
        <v>LU001188.005</v>
      </c>
      <c r="R12" s="69" t="str">
        <f ca="1">IFERROR(__xludf.DUMMYFUNCTION("VLOOKUP(Q12, IMPORTRANGE(""https://docs.google.com/spreadsheets/d/1yDAaXNsi4Mr5FtRQL4tbmSdIzhx6_m4wkOD7IG-k_eo/edit#gid=0"", ""Maths!M:N""), 2, FALSE)"),"Determine the correctness of a given result obtained by dividing a non-zero rational number by an irrational number.")</f>
        <v>Determine the correctness of a given result obtained by dividing a non-zero rational number by an irrational number.</v>
      </c>
      <c r="S12" s="69" t="str">
        <f t="shared" si="5"/>
        <v>LU001188.006</v>
      </c>
      <c r="T12" s="69" t="str">
        <f ca="1">IFERROR(__xludf.DUMMYFUNCTION("VLOOKUP(S12, IMPORTRANGE(""https://docs.google.com/spreadsheets/d/1yDAaXNsi4Mr5FtRQL4tbmSdIzhx6_m4wkOD7IG-k_eo/edit#gid=0"", ""Maths!M:N""), 2, FALSE)"),"Construct a problem where a non-zero rational number is divided by an irrational number and explain why the result is irrational.")</f>
        <v>Construct a problem where a non-zero rational number is divided by an irrational number and explain why the result is irrational.</v>
      </c>
      <c r="U12" s="11" t="str">
        <f ca="1">IFERROR(__xludf.DUMMYFUNCTION("ArrayFormula(VLOOKUP(G12, IMPORTRANGE(""https://docs.google.com/spreadsheets/d/1p7R4vtkWt5VOBim4ltsDG9KTzSjrtKXsMtQGXPHyND0/edit#gid=795171502"", ""'Filter 30_05_2024'!A1:M2000""), {2, 3, 4, 5,6,7,8,9,10,11,12,13}, 0))"),"#N/A")</f>
        <v>#N/A</v>
      </c>
      <c r="V12" s="11" t="str">
        <f ca="1">IFERROR(__xludf.DUMMYFUNCTION("""COMPUTED_VALUE"""),"#N/A")</f>
        <v>#N/A</v>
      </c>
      <c r="W12" s="11" t="str">
        <f ca="1">IFERROR(__xludf.DUMMYFUNCTION("""COMPUTED_VALUE"""),"#N/A")</f>
        <v>#N/A</v>
      </c>
      <c r="X12" s="11" t="str">
        <f ca="1">IFERROR(__xludf.DUMMYFUNCTION("""COMPUTED_VALUE"""),"#N/A")</f>
        <v>#N/A</v>
      </c>
      <c r="Y12" s="11" t="str">
        <f ca="1">IFERROR(__xludf.DUMMYFUNCTION("""COMPUTED_VALUE"""),"#N/A")</f>
        <v>#N/A</v>
      </c>
      <c r="Z12" s="12" t="str">
        <f ca="1">IFERROR(__xludf.DUMMYFUNCTION("""COMPUTED_VALUE"""),"#N/A")</f>
        <v>#N/A</v>
      </c>
      <c r="AA12" s="12" t="str">
        <f ca="1">IFERROR(__xludf.DUMMYFUNCTION("""COMPUTED_VALUE"""),"#N/A")</f>
        <v>#N/A</v>
      </c>
      <c r="AB12" s="12" t="str">
        <f ca="1">IFERROR(__xludf.DUMMYFUNCTION("""COMPUTED_VALUE"""),"#N/A")</f>
        <v>#N/A</v>
      </c>
      <c r="AC12" s="11" t="str">
        <f ca="1">IFERROR(__xludf.DUMMYFUNCTION("""COMPUTED_VALUE"""),"#N/A")</f>
        <v>#N/A</v>
      </c>
      <c r="AD12" s="12" t="str">
        <f ca="1">IFERROR(__xludf.DUMMYFUNCTION("""COMPUTED_VALUE"""),"#N/A")</f>
        <v>#N/A</v>
      </c>
      <c r="AE12" s="12" t="str">
        <f ca="1">IFERROR(__xludf.DUMMYFUNCTION("""COMPUTED_VALUE"""),"#N/A")</f>
        <v>#N/A</v>
      </c>
      <c r="AF12" s="12" t="str">
        <f ca="1">IFERROR(__xludf.DUMMYFUNCTION("""COMPUTED_VALUE"""),"#N/A")</f>
        <v>#N/A</v>
      </c>
      <c r="AG12" s="70" t="str">
        <f ca="1">IFERROR(__xludf.DUMMYFUNCTION("ArrayFormula(VLOOKUP(G12, IMPORTRANGE(""https://docs.google.com/spreadsheets/d/1Co934fvtviyaRiMsrIlT05Jaq7iiYq07aLvRr35KA48/edit?gid=173865642#gid=173865642"", ""'G9_Maths_Pri_LU'!G2:V2000""), {3, 4, 5, 6, 7, 8, 9, 10, 11, 12, 13, 14, 15, 16}, 0))"),"LU001177")</f>
        <v>LU001177</v>
      </c>
      <c r="AH12" s="70" t="str">
        <f ca="1">IFERROR(__xludf.DUMMYFUNCTION("""COMPUTED_VALUE"""),"Introduction to irrational numbers [definition, representation, characteristics, examples]")</f>
        <v>Introduction to irrational numbers [definition, representation, characteristics, examples]</v>
      </c>
      <c r="AI12" s="70" t="str">
        <f ca="1">IFERROR(__xludf.DUMMYFUNCTION("""COMPUTED_VALUE"""),"LU000477")</f>
        <v>LU000477</v>
      </c>
      <c r="AJ12" s="70" t="str">
        <f ca="1">IFERROR(__xludf.DUMMYFUNCTION("""COMPUTED_VALUE"""),"Division of rational numbers")</f>
        <v>Division of rational numbers</v>
      </c>
      <c r="AK12" s="70"/>
      <c r="AL12" s="70"/>
      <c r="AM12" s="13"/>
      <c r="AN12" s="13"/>
      <c r="AO12" s="13"/>
      <c r="AP12" s="13"/>
      <c r="AQ12" s="13"/>
      <c r="AR12" s="13"/>
      <c r="AS12" s="13"/>
      <c r="AT12" s="13"/>
    </row>
    <row r="13" spans="1:46">
      <c r="A13" s="8" t="s">
        <v>247</v>
      </c>
      <c r="B13" s="66" t="s">
        <v>47</v>
      </c>
      <c r="C13" s="66" t="s">
        <v>979</v>
      </c>
      <c r="D13" s="67" t="s">
        <v>732</v>
      </c>
      <c r="E13" s="67" t="s">
        <v>980</v>
      </c>
      <c r="F13" s="66" t="s">
        <v>997</v>
      </c>
      <c r="G13" s="68" t="s">
        <v>998</v>
      </c>
      <c r="H13" s="66" t="str">
        <f ca="1">IFERROR(__xludf.DUMMYFUNCTION("VLOOKUP(G13, IMPORTRANGE(""https://docs.google.com/spreadsheets/d/14deopnvwcrKtEGCKuYXdUHJbeLDZlkiSSWWT0g7x2pM/edit#gid=999382323"", ""LU List Maths (Filter)!A:B""), 2, FALSE)"),"Addition of two irrational numbers")</f>
        <v>Addition of two irrational numbers</v>
      </c>
      <c r="I13" s="69" t="str">
        <f t="shared" si="0"/>
        <v>LU001189.001</v>
      </c>
      <c r="J13" s="69" t="str">
        <f ca="1">IFERROR(__xludf.DUMMYFUNCTION("VLOOKUP(I13, IMPORTRANGE(""https://docs.google.com/spreadsheets/d/1yDAaXNsi4Mr5FtRQL4tbmSdIzhx6_m4wkOD7IG-k_eo/edit#gid=0"", ""Maths!M:N""), 2, FALSE)"),"Recall that the sum of two irrational numbers is not necessarily irrational.")</f>
        <v>Recall that the sum of two irrational numbers is not necessarily irrational.</v>
      </c>
      <c r="K13" s="69" t="str">
        <f t="shared" si="1"/>
        <v>LU001189.002</v>
      </c>
      <c r="L13" s="69" t="str">
        <f ca="1">IFERROR(__xludf.DUMMYFUNCTION("VLOOKUP(K13, IMPORTRANGE(""https://docs.google.com/spreadsheets/d/1yDAaXNsi4Mr5FtRQL4tbmSdIzhx6_m4wkOD7IG-k_eo/edit#gid=0"", ""Maths!M:N""), 2, FALSE)"),"Explain why the sum of two irrational numbers can sometimes be rational.")</f>
        <v>Explain why the sum of two irrational numbers can sometimes be rational.</v>
      </c>
      <c r="M13" s="69" t="str">
        <f t="shared" si="2"/>
        <v>LU001189.003</v>
      </c>
      <c r="N13" s="69" t="str">
        <f ca="1">IFERROR(__xludf.DUMMYFUNCTION("VLOOKUP(M13, IMPORTRANGE(""https://docs.google.com/spreadsheets/d/1yDAaXNsi4Mr5FtRQL4tbmSdIzhx6_m4wkOD7IG-k_eo/edit#gid=0"", ""Maths!M:N""), 2, FALSE)"),"Calculate the sum of given pairs of irrational numbers and determine whether the result is rational or irrational.")</f>
        <v>Calculate the sum of given pairs of irrational numbers and determine whether the result is rational or irrational.</v>
      </c>
      <c r="O13" s="69" t="str">
        <f t="shared" si="3"/>
        <v>LU001189.004</v>
      </c>
      <c r="P13" s="69" t="str">
        <f ca="1">IFERROR(__xludf.DUMMYFUNCTION("VLOOKUP(O13, IMPORTRANGE(""https://docs.google.com/spreadsheets/d/1yDAaXNsi4Mr5FtRQL4tbmSdIzhx6_m4wkOD7IG-k_eo/edit#gid=0"", ""Maths!M:N""), 2, FALSE)"),"Compare the properties of sums of different pairs of irrational numbers.")</f>
        <v>Compare the properties of sums of different pairs of irrational numbers.</v>
      </c>
      <c r="Q13" s="69" t="str">
        <f t="shared" si="4"/>
        <v>LU001189.005</v>
      </c>
      <c r="R13" s="69" t="str">
        <f ca="1">IFERROR(__xludf.DUMMYFUNCTION("VLOOKUP(Q13, IMPORTRANGE(""https://docs.google.com/spreadsheets/d/1yDAaXNsi4Mr5FtRQL4tbmSdIzhx6_m4wkOD7IG-k_eo/edit#gid=0"", ""Maths!M:N""), 2, FALSE)"),"Assess whether a given number could be the result of adding two irrational numbers.")</f>
        <v>Assess whether a given number could be the result of adding two irrational numbers.</v>
      </c>
      <c r="S13" s="69" t="str">
        <f t="shared" si="5"/>
        <v>LU001189.006</v>
      </c>
      <c r="T13" s="69" t="str">
        <f ca="1">IFERROR(__xludf.DUMMYFUNCTION("VLOOKUP(S13, IMPORTRANGE(""https://docs.google.com/spreadsheets/d/1yDAaXNsi4Mr5FtRQL4tbmSdIzhx6_m4wkOD7IG-k_eo/edit#gid=0"", ""Maths!M:N""), 2, FALSE)"),"Formulate an example where the sum of two specific irrational numbers is rational, and explain the reasoning.")</f>
        <v>Formulate an example where the sum of two specific irrational numbers is rational, and explain the reasoning.</v>
      </c>
      <c r="U13" s="11" t="str">
        <f ca="1">IFERROR(__xludf.DUMMYFUNCTION("ArrayFormula(VLOOKUP(G13, IMPORTRANGE(""https://docs.google.com/spreadsheets/d/1p7R4vtkWt5VOBim4ltsDG9KTzSjrtKXsMtQGXPHyND0/edit#gid=795171502"", ""'Filter 30_05_2024'!A1:M2000""), {2, 3, 4, 5,6,7,8,9,10,11,12,13}, 0))"),"#N/A")</f>
        <v>#N/A</v>
      </c>
      <c r="V13" s="11" t="str">
        <f ca="1">IFERROR(__xludf.DUMMYFUNCTION("""COMPUTED_VALUE"""),"#N/A")</f>
        <v>#N/A</v>
      </c>
      <c r="W13" s="11" t="str">
        <f ca="1">IFERROR(__xludf.DUMMYFUNCTION("""COMPUTED_VALUE"""),"#N/A")</f>
        <v>#N/A</v>
      </c>
      <c r="X13" s="11" t="str">
        <f ca="1">IFERROR(__xludf.DUMMYFUNCTION("""COMPUTED_VALUE"""),"#N/A")</f>
        <v>#N/A</v>
      </c>
      <c r="Y13" s="11" t="str">
        <f ca="1">IFERROR(__xludf.DUMMYFUNCTION("""COMPUTED_VALUE"""),"#N/A")</f>
        <v>#N/A</v>
      </c>
      <c r="Z13" s="12" t="str">
        <f ca="1">IFERROR(__xludf.DUMMYFUNCTION("""COMPUTED_VALUE"""),"#N/A")</f>
        <v>#N/A</v>
      </c>
      <c r="AA13" s="12" t="str">
        <f ca="1">IFERROR(__xludf.DUMMYFUNCTION("""COMPUTED_VALUE"""),"#N/A")</f>
        <v>#N/A</v>
      </c>
      <c r="AB13" s="12" t="str">
        <f ca="1">IFERROR(__xludf.DUMMYFUNCTION("""COMPUTED_VALUE"""),"#N/A")</f>
        <v>#N/A</v>
      </c>
      <c r="AC13" s="11" t="str">
        <f ca="1">IFERROR(__xludf.DUMMYFUNCTION("""COMPUTED_VALUE"""),"#N/A")</f>
        <v>#N/A</v>
      </c>
      <c r="AD13" s="12" t="str">
        <f ca="1">IFERROR(__xludf.DUMMYFUNCTION("""COMPUTED_VALUE"""),"#N/A")</f>
        <v>#N/A</v>
      </c>
      <c r="AE13" s="12" t="str">
        <f ca="1">IFERROR(__xludf.DUMMYFUNCTION("""COMPUTED_VALUE"""),"#N/A")</f>
        <v>#N/A</v>
      </c>
      <c r="AF13" s="12" t="str">
        <f ca="1">IFERROR(__xludf.DUMMYFUNCTION("""COMPUTED_VALUE"""),"#N/A")</f>
        <v>#N/A</v>
      </c>
      <c r="AG13" s="70" t="str">
        <f ca="1">IFERROR(__xludf.DUMMYFUNCTION("ArrayFormula(VLOOKUP(G13, IMPORTRANGE(""https://docs.google.com/spreadsheets/d/1Co934fvtviyaRiMsrIlT05Jaq7iiYq07aLvRr35KA48/edit?gid=173865642#gid=173865642"", ""'G9_Maths_Pri_LU'!G2:V2000""), {3, 4, 5, 6, 7, 8, 9, 10, 11, 12, 13, 14, 15, 16}, 0))"),"LU000210")</f>
        <v>LU000210</v>
      </c>
      <c r="AH13" s="70" t="str">
        <f ca="1">IFERROR(__xludf.DUMMYFUNCTION("""COMPUTED_VALUE"""),"Methods of prime factorisation")</f>
        <v>Methods of prime factorisation</v>
      </c>
      <c r="AI13" s="70" t="str">
        <f ca="1">IFERROR(__xludf.DUMMYFUNCTION("""COMPUTED_VALUE"""),"LU000647")</f>
        <v>LU000647</v>
      </c>
      <c r="AJ13" s="70" t="str">
        <f ca="1">IFERROR(__xludf.DUMMYFUNCTION("""COMPUTED_VALUE"""),"Definition of square root")</f>
        <v>Definition of square root</v>
      </c>
      <c r="AK13" s="70" t="str">
        <f ca="1">IFERROR(__xludf.DUMMYFUNCTION("""COMPUTED_VALUE"""),"LU001185")</f>
        <v>LU001185</v>
      </c>
      <c r="AL13" s="70" t="str">
        <f ca="1">IFERROR(__xludf.DUMMYFUNCTION("""COMPUTED_VALUE"""),"Addition of a rational and an irrational number")</f>
        <v>Addition of a rational and an irrational number</v>
      </c>
      <c r="AM13" s="13"/>
      <c r="AN13" s="13"/>
      <c r="AO13" s="13"/>
      <c r="AP13" s="13"/>
      <c r="AQ13" s="13"/>
      <c r="AR13" s="13"/>
      <c r="AS13" s="13"/>
      <c r="AT13" s="13"/>
    </row>
    <row r="14" spans="1:46">
      <c r="A14" s="8" t="s">
        <v>247</v>
      </c>
      <c r="B14" s="66" t="s">
        <v>47</v>
      </c>
      <c r="C14" s="66" t="s">
        <v>979</v>
      </c>
      <c r="D14" s="67" t="s">
        <v>732</v>
      </c>
      <c r="E14" s="67" t="s">
        <v>980</v>
      </c>
      <c r="F14" s="66" t="s">
        <v>997</v>
      </c>
      <c r="G14" s="68" t="s">
        <v>999</v>
      </c>
      <c r="H14" s="66" t="str">
        <f ca="1">IFERROR(__xludf.DUMMYFUNCTION("VLOOKUP(G14, IMPORTRANGE(""https://docs.google.com/spreadsheets/d/14deopnvwcrKtEGCKuYXdUHJbeLDZlkiSSWWT0g7x2pM/edit#gid=999382323"", ""LU List Maths (Filter)!A:B""), 2, FALSE)"),"Subtraction of two irrational numbers")</f>
        <v>Subtraction of two irrational numbers</v>
      </c>
      <c r="I14" s="69" t="str">
        <f t="shared" si="0"/>
        <v>LU001190.001</v>
      </c>
      <c r="J14" s="69" t="str">
        <f ca="1">IFERROR(__xludf.DUMMYFUNCTION("VLOOKUP(I14, IMPORTRANGE(""https://docs.google.com/spreadsheets/d/1yDAaXNsi4Mr5FtRQL4tbmSdIzhx6_m4wkOD7IG-k_eo/edit#gid=0"", ""Maths!M:N""), 2, FALSE)"),"Recall that the difference between two irrational numbers is not necessarily irrational.")</f>
        <v>Recall that the difference between two irrational numbers is not necessarily irrational.</v>
      </c>
      <c r="K14" s="69" t="str">
        <f t="shared" si="1"/>
        <v>LU001190.002</v>
      </c>
      <c r="L14" s="69" t="str">
        <f ca="1">IFERROR(__xludf.DUMMYFUNCTION("VLOOKUP(K14, IMPORTRANGE(""https://docs.google.com/spreadsheets/d/1yDAaXNsi4Mr5FtRQL4tbmSdIzhx6_m4wkOD7IG-k_eo/edit#gid=0"", ""Maths!M:N""), 2, FALSE)"),"Explain why the difference between two irrational numbers can sometimes be rational.")</f>
        <v>Explain why the difference between two irrational numbers can sometimes be rational.</v>
      </c>
      <c r="M14" s="69" t="str">
        <f t="shared" si="2"/>
        <v>LU001190.003</v>
      </c>
      <c r="N14" s="69" t="str">
        <f ca="1">IFERROR(__xludf.DUMMYFUNCTION("VLOOKUP(M14, IMPORTRANGE(""https://docs.google.com/spreadsheets/d/1yDAaXNsi4Mr5FtRQL4tbmSdIzhx6_m4wkOD7IG-k_eo/edit#gid=0"", ""Maths!M:N""), 2, FALSE)"),"Calculate the difference between given pairs of irrational numbers and determine whether the result is rational or irrational.")</f>
        <v>Calculate the difference between given pairs of irrational numbers and determine whether the result is rational or irrational.</v>
      </c>
      <c r="O14" s="69" t="str">
        <f t="shared" si="3"/>
        <v>LU001190.004</v>
      </c>
      <c r="P14" s="69" t="str">
        <f ca="1">IFERROR(__xludf.DUMMYFUNCTION("VLOOKUP(O14, IMPORTRANGE(""https://docs.google.com/spreadsheets/d/1yDAaXNsi4Mr5FtRQL4tbmSdIzhx6_m4wkOD7IG-k_eo/edit#gid=0"", ""Maths!M:N""), 2, FALSE)"),"Compare the properties of differences of different pairs of irrational numbers.")</f>
        <v>Compare the properties of differences of different pairs of irrational numbers.</v>
      </c>
      <c r="Q14" s="69" t="str">
        <f t="shared" si="4"/>
        <v>LU001190.005</v>
      </c>
      <c r="R14" s="69" t="str">
        <f ca="1">IFERROR(__xludf.DUMMYFUNCTION("VLOOKUP(Q14, IMPORTRANGE(""https://docs.google.com/spreadsheets/d/1yDAaXNsi4Mr5FtRQL4tbmSdIzhx6_m4wkOD7IG-k_eo/edit#gid=0"", ""Maths!M:N""), 2, FALSE)"),"Assess whether a given number could be the result of subtracting two irrational numbers.")</f>
        <v>Assess whether a given number could be the result of subtracting two irrational numbers.</v>
      </c>
      <c r="S14" s="69" t="str">
        <f t="shared" si="5"/>
        <v>LU001190.006</v>
      </c>
      <c r="T14" s="69" t="str">
        <f ca="1">IFERROR(__xludf.DUMMYFUNCTION("VLOOKUP(S14, IMPORTRANGE(""https://docs.google.com/spreadsheets/d/1yDAaXNsi4Mr5FtRQL4tbmSdIzhx6_m4wkOD7IG-k_eo/edit#gid=0"", ""Maths!M:N""), 2, FALSE)"),"Formulate a new problem where the difference between two irrational numbers is rational and explain the solution.")</f>
        <v>Formulate a new problem where the difference between two irrational numbers is rational and explain the solution.</v>
      </c>
      <c r="U14" s="11" t="str">
        <f ca="1">IFERROR(__xludf.DUMMYFUNCTION("ArrayFormula(VLOOKUP(G14, IMPORTRANGE(""https://docs.google.com/spreadsheets/d/1p7R4vtkWt5VOBim4ltsDG9KTzSjrtKXsMtQGXPHyND0/edit#gid=795171502"", ""'Filter 30_05_2024'!A1:M2000""), {2, 3, 4, 5,6,7,8,9,10,11,12,13}, 0))"),"#N/A")</f>
        <v>#N/A</v>
      </c>
      <c r="V14" s="11" t="str">
        <f ca="1">IFERROR(__xludf.DUMMYFUNCTION("""COMPUTED_VALUE"""),"#N/A")</f>
        <v>#N/A</v>
      </c>
      <c r="W14" s="11" t="str">
        <f ca="1">IFERROR(__xludf.DUMMYFUNCTION("""COMPUTED_VALUE"""),"#N/A")</f>
        <v>#N/A</v>
      </c>
      <c r="X14" s="11" t="str">
        <f ca="1">IFERROR(__xludf.DUMMYFUNCTION("""COMPUTED_VALUE"""),"#N/A")</f>
        <v>#N/A</v>
      </c>
      <c r="Y14" s="11" t="str">
        <f ca="1">IFERROR(__xludf.DUMMYFUNCTION("""COMPUTED_VALUE"""),"#N/A")</f>
        <v>#N/A</v>
      </c>
      <c r="Z14" s="12" t="str">
        <f ca="1">IFERROR(__xludf.DUMMYFUNCTION("""COMPUTED_VALUE"""),"#N/A")</f>
        <v>#N/A</v>
      </c>
      <c r="AA14" s="12" t="str">
        <f ca="1">IFERROR(__xludf.DUMMYFUNCTION("""COMPUTED_VALUE"""),"#N/A")</f>
        <v>#N/A</v>
      </c>
      <c r="AB14" s="12" t="str">
        <f ca="1">IFERROR(__xludf.DUMMYFUNCTION("""COMPUTED_VALUE"""),"#N/A")</f>
        <v>#N/A</v>
      </c>
      <c r="AC14" s="11" t="str">
        <f ca="1">IFERROR(__xludf.DUMMYFUNCTION("""COMPUTED_VALUE"""),"#N/A")</f>
        <v>#N/A</v>
      </c>
      <c r="AD14" s="12" t="str">
        <f ca="1">IFERROR(__xludf.DUMMYFUNCTION("""COMPUTED_VALUE"""),"#N/A")</f>
        <v>#N/A</v>
      </c>
      <c r="AE14" s="12" t="str">
        <f ca="1">IFERROR(__xludf.DUMMYFUNCTION("""COMPUTED_VALUE"""),"#N/A")</f>
        <v>#N/A</v>
      </c>
      <c r="AF14" s="12" t="str">
        <f ca="1">IFERROR(__xludf.DUMMYFUNCTION("""COMPUTED_VALUE"""),"#N/A")</f>
        <v>#N/A</v>
      </c>
      <c r="AG14" s="70" t="str">
        <f ca="1">IFERROR(__xludf.DUMMYFUNCTION("ArrayFormula(VLOOKUP(G14, IMPORTRANGE(""https://docs.google.com/spreadsheets/d/1Co934fvtviyaRiMsrIlT05Jaq7iiYq07aLvRr35KA48/edit?gid=173865642#gid=173865642"", ""'G9_Maths_Pri_LU'!G2:V2000""), {3, 4, 5, 6, 7, 8, 9, 10, 11, 12, 13, 14, 15, 16}, 0))"),"LU001189")</f>
        <v>LU001189</v>
      </c>
      <c r="AH14" s="70" t="str">
        <f ca="1">IFERROR(__xludf.DUMMYFUNCTION("""COMPUTED_VALUE"""),"Addition of two irrational numbers")</f>
        <v>Addition of two irrational numbers</v>
      </c>
      <c r="AI14" s="70" t="str">
        <f ca="1">IFERROR(__xludf.DUMMYFUNCTION("""COMPUTED_VALUE"""),"LU001186")</f>
        <v>LU001186</v>
      </c>
      <c r="AJ14" s="70" t="str">
        <f ca="1">IFERROR(__xludf.DUMMYFUNCTION("""COMPUTED_VALUE"""),"Subtraction of a rational and an irrational number")</f>
        <v>Subtraction of a rational and an irrational number</v>
      </c>
      <c r="AK14" s="70"/>
      <c r="AL14" s="70"/>
      <c r="AM14" s="13"/>
      <c r="AN14" s="13"/>
      <c r="AO14" s="13"/>
      <c r="AP14" s="13"/>
      <c r="AQ14" s="13"/>
      <c r="AR14" s="13"/>
      <c r="AS14" s="13"/>
      <c r="AT14" s="13"/>
    </row>
    <row r="15" spans="1:46">
      <c r="A15" s="8" t="s">
        <v>247</v>
      </c>
      <c r="B15" s="66" t="s">
        <v>47</v>
      </c>
      <c r="C15" s="66" t="s">
        <v>979</v>
      </c>
      <c r="D15" s="67" t="s">
        <v>732</v>
      </c>
      <c r="E15" s="67" t="s">
        <v>980</v>
      </c>
      <c r="F15" s="66" t="s">
        <v>1000</v>
      </c>
      <c r="G15" s="68" t="s">
        <v>1001</v>
      </c>
      <c r="H15" s="66" t="str">
        <f ca="1">IFERROR(__xludf.DUMMYFUNCTION("VLOOKUP(G15, IMPORTRANGE(""https://docs.google.com/spreadsheets/d/14deopnvwcrKtEGCKuYXdUHJbeLDZlkiSSWWT0g7x2pM/edit#gid=999382323"", ""LU List Maths (Filter)!A:B""), 2, FALSE)"),"Multiplication of two irrational numbers")</f>
        <v>Multiplication of two irrational numbers</v>
      </c>
      <c r="I15" s="69" t="str">
        <f t="shared" si="0"/>
        <v>LU001191.001</v>
      </c>
      <c r="J15" s="69" t="str">
        <f ca="1">IFERROR(__xludf.DUMMYFUNCTION("VLOOKUP(I15, IMPORTRANGE(""https://docs.google.com/spreadsheets/d/1yDAaXNsi4Mr5FtRQL4tbmSdIzhx6_m4wkOD7IG-k_eo/edit#gid=0"", ""Maths!M:N""), 2, FALSE)"),"Recall that the product of two irrational numbers is not necessarily irrational.")</f>
        <v>Recall that the product of two irrational numbers is not necessarily irrational.</v>
      </c>
      <c r="K15" s="69" t="str">
        <f t="shared" si="1"/>
        <v>LU001191.002</v>
      </c>
      <c r="L15" s="69" t="str">
        <f ca="1">IFERROR(__xludf.DUMMYFUNCTION("VLOOKUP(K15, IMPORTRANGE(""https://docs.google.com/spreadsheets/d/1yDAaXNsi4Mr5FtRQL4tbmSdIzhx6_m4wkOD7IG-k_eo/edit#gid=0"", ""Maths!M:N""), 2, FALSE)"),"Explain why the product of two irrational numbers can sometimes be rational.")</f>
        <v>Explain why the product of two irrational numbers can sometimes be rational.</v>
      </c>
      <c r="M15" s="69" t="str">
        <f t="shared" si="2"/>
        <v>LU001191.003</v>
      </c>
      <c r="N15" s="69" t="str">
        <f ca="1">IFERROR(__xludf.DUMMYFUNCTION("VLOOKUP(M15, IMPORTRANGE(""https://docs.google.com/spreadsheets/d/1yDAaXNsi4Mr5FtRQL4tbmSdIzhx6_m4wkOD7IG-k_eo/edit#gid=0"", ""Maths!M:N""), 2, FALSE)"),"Calculate the product of given pairs of irrational numbers and determine whether the result is rational or irrational.")</f>
        <v>Calculate the product of given pairs of irrational numbers and determine whether the result is rational or irrational.</v>
      </c>
      <c r="O15" s="69" t="str">
        <f t="shared" si="3"/>
        <v>LU001191.004</v>
      </c>
      <c r="P15" s="69" t="str">
        <f ca="1">IFERROR(__xludf.DUMMYFUNCTION("VLOOKUP(O15, IMPORTRANGE(""https://docs.google.com/spreadsheets/d/1yDAaXNsi4Mr5FtRQL4tbmSdIzhx6_m4wkOD7IG-k_eo/edit#gid=0"", ""Maths!M:N""), 2, FALSE)"),"Compare the properties of products of different pairs of irrational numbers.")</f>
        <v>Compare the properties of products of different pairs of irrational numbers.</v>
      </c>
      <c r="Q15" s="69" t="str">
        <f t="shared" si="4"/>
        <v>LU001191.005</v>
      </c>
      <c r="R15" s="69" t="str">
        <f ca="1">IFERROR(__xludf.DUMMYFUNCTION("VLOOKUP(Q15, IMPORTRANGE(""https://docs.google.com/spreadsheets/d/1yDAaXNsi4Mr5FtRQL4tbmSdIzhx6_m4wkOD7IG-k_eo/edit#gid=0"", ""Maths!M:N""), 2, FALSE)"),"Determine whether a given number could be the result of multiplying two irrational numbers.")</f>
        <v>Determine whether a given number could be the result of multiplying two irrational numbers.</v>
      </c>
      <c r="S15" s="69" t="str">
        <f t="shared" si="5"/>
        <v>LU001191.006</v>
      </c>
      <c r="T15" s="69" t="str">
        <f ca="1">IFERROR(__xludf.DUMMYFUNCTION("VLOOKUP(S15, IMPORTRANGE(""https://docs.google.com/spreadsheets/d/1yDAaXNsi4Mr5FtRQL4tbmSdIzhx6_m4wkOD7IG-k_eo/edit#gid=0"", ""Maths!M:N""), 2, FALSE)"),"Construct a problem where the product of two specific irrational numbers is rational, and explain the reasoning.")</f>
        <v>Construct a problem where the product of two specific irrational numbers is rational, and explain the reasoning.</v>
      </c>
      <c r="U15" s="11" t="str">
        <f ca="1">IFERROR(__xludf.DUMMYFUNCTION("ArrayFormula(VLOOKUP(G15, IMPORTRANGE(""https://docs.google.com/spreadsheets/d/1p7R4vtkWt5VOBim4ltsDG9KTzSjrtKXsMtQGXPHyND0/edit#gid=795171502"", ""'Filter 30_05_2024'!A1:M2000""), {2, 3, 4, 5,6,7,8,9,10,11,12,13}, 0))"),"#N/A")</f>
        <v>#N/A</v>
      </c>
      <c r="V15" s="11" t="str">
        <f ca="1">IFERROR(__xludf.DUMMYFUNCTION("""COMPUTED_VALUE"""),"#N/A")</f>
        <v>#N/A</v>
      </c>
      <c r="W15" s="11" t="str">
        <f ca="1">IFERROR(__xludf.DUMMYFUNCTION("""COMPUTED_VALUE"""),"#N/A")</f>
        <v>#N/A</v>
      </c>
      <c r="X15" s="11" t="str">
        <f ca="1">IFERROR(__xludf.DUMMYFUNCTION("""COMPUTED_VALUE"""),"#N/A")</f>
        <v>#N/A</v>
      </c>
      <c r="Y15" s="11" t="str">
        <f ca="1">IFERROR(__xludf.DUMMYFUNCTION("""COMPUTED_VALUE"""),"#N/A")</f>
        <v>#N/A</v>
      </c>
      <c r="Z15" s="12" t="str">
        <f ca="1">IFERROR(__xludf.DUMMYFUNCTION("""COMPUTED_VALUE"""),"#N/A")</f>
        <v>#N/A</v>
      </c>
      <c r="AA15" s="12" t="str">
        <f ca="1">IFERROR(__xludf.DUMMYFUNCTION("""COMPUTED_VALUE"""),"#N/A")</f>
        <v>#N/A</v>
      </c>
      <c r="AB15" s="12" t="str">
        <f ca="1">IFERROR(__xludf.DUMMYFUNCTION("""COMPUTED_VALUE"""),"#N/A")</f>
        <v>#N/A</v>
      </c>
      <c r="AC15" s="11" t="str">
        <f ca="1">IFERROR(__xludf.DUMMYFUNCTION("""COMPUTED_VALUE"""),"#N/A")</f>
        <v>#N/A</v>
      </c>
      <c r="AD15" s="12" t="str">
        <f ca="1">IFERROR(__xludf.DUMMYFUNCTION("""COMPUTED_VALUE"""),"#N/A")</f>
        <v>#N/A</v>
      </c>
      <c r="AE15" s="12" t="str">
        <f ca="1">IFERROR(__xludf.DUMMYFUNCTION("""COMPUTED_VALUE"""),"#N/A")</f>
        <v>#N/A</v>
      </c>
      <c r="AF15" s="12" t="str">
        <f ca="1">IFERROR(__xludf.DUMMYFUNCTION("""COMPUTED_VALUE"""),"#N/A")</f>
        <v>#N/A</v>
      </c>
      <c r="AG15" s="70" t="str">
        <f ca="1">IFERROR(__xludf.DUMMYFUNCTION("ArrayFormula(VLOOKUP(G15, IMPORTRANGE(""https://docs.google.com/spreadsheets/d/1Co934fvtviyaRiMsrIlT05Jaq7iiYq07aLvRr35KA48/edit?gid=173865642#gid=173865642"", ""'G9_Maths_Pri_LU'!G2:V2000""), {3, 4, 5, 6, 7, 8, 9, 10, 11, 12, 13, 14, 15, 16}, 0))"),"LU000210")</f>
        <v>LU000210</v>
      </c>
      <c r="AH15" s="70" t="str">
        <f ca="1">IFERROR(__xludf.DUMMYFUNCTION("""COMPUTED_VALUE"""),"Methods of prime factorisation")</f>
        <v>Methods of prime factorisation</v>
      </c>
      <c r="AI15" s="70" t="str">
        <f ca="1">IFERROR(__xludf.DUMMYFUNCTION("""COMPUTED_VALUE"""),"LU000647")</f>
        <v>LU000647</v>
      </c>
      <c r="AJ15" s="70" t="str">
        <f ca="1">IFERROR(__xludf.DUMMYFUNCTION("""COMPUTED_VALUE"""),"Definition of square root")</f>
        <v>Definition of square root</v>
      </c>
      <c r="AK15" s="70" t="str">
        <f ca="1">IFERROR(__xludf.DUMMYFUNCTION("""COMPUTED_VALUE"""),"LU001187")</f>
        <v>LU001187</v>
      </c>
      <c r="AL15" s="70" t="str">
        <f ca="1">IFERROR(__xludf.DUMMYFUNCTION("""COMPUTED_VALUE"""),"Multiplication of a non-zero rational with an irrational number")</f>
        <v>Multiplication of a non-zero rational with an irrational number</v>
      </c>
      <c r="AM15" s="13"/>
      <c r="AN15" s="13"/>
      <c r="AO15" s="13"/>
      <c r="AP15" s="13"/>
      <c r="AQ15" s="13"/>
      <c r="AR15" s="13"/>
      <c r="AS15" s="13"/>
      <c r="AT15" s="13"/>
    </row>
    <row r="16" spans="1:46">
      <c r="A16" s="8" t="s">
        <v>247</v>
      </c>
      <c r="B16" s="66" t="s">
        <v>47</v>
      </c>
      <c r="C16" s="66" t="s">
        <v>979</v>
      </c>
      <c r="D16" s="67" t="s">
        <v>732</v>
      </c>
      <c r="E16" s="67" t="s">
        <v>980</v>
      </c>
      <c r="F16" s="66" t="s">
        <v>1000</v>
      </c>
      <c r="G16" s="68" t="s">
        <v>1002</v>
      </c>
      <c r="H16" s="66" t="str">
        <f ca="1">IFERROR(__xludf.DUMMYFUNCTION("VLOOKUP(G16, IMPORTRANGE(""https://docs.google.com/spreadsheets/d/14deopnvwcrKtEGCKuYXdUHJbeLDZlkiSSWWT0g7x2pM/edit#gid=999382323"", ""LU List Maths (Filter)!A:B""), 2, FALSE)"),"Division of two irrational numbers")</f>
        <v>Division of two irrational numbers</v>
      </c>
      <c r="I16" s="69" t="str">
        <f t="shared" si="0"/>
        <v>LU001192.001</v>
      </c>
      <c r="J16" s="69" t="str">
        <f ca="1">IFERROR(__xludf.DUMMYFUNCTION("VLOOKUP(I16, IMPORTRANGE(""https://docs.google.com/spreadsheets/d/1yDAaXNsi4Mr5FtRQL4tbmSdIzhx6_m4wkOD7IG-k_eo/edit#gid=0"", ""Maths!M:N""), 2, FALSE)"),"Recall that the quotient of two irrational numbers is not necessarily irrational.")</f>
        <v>Recall that the quotient of two irrational numbers is not necessarily irrational.</v>
      </c>
      <c r="K16" s="69" t="str">
        <f t="shared" si="1"/>
        <v>LU001192.002</v>
      </c>
      <c r="L16" s="69" t="str">
        <f ca="1">IFERROR(__xludf.DUMMYFUNCTION("VLOOKUP(K16, IMPORTRANGE(""https://docs.google.com/spreadsheets/d/1yDAaXNsi4Mr5FtRQL4tbmSdIzhx6_m4wkOD7IG-k_eo/edit#gid=0"", ""Maths!M:N""), 2, FALSE)"),"Explain why the quotient of two irrational numbers can sometimes be rational.")</f>
        <v>Explain why the quotient of two irrational numbers can sometimes be rational.</v>
      </c>
      <c r="M16" s="69" t="str">
        <f t="shared" si="2"/>
        <v>LU001192.003</v>
      </c>
      <c r="N16" s="69" t="str">
        <f ca="1">IFERROR(__xludf.DUMMYFUNCTION("VLOOKUP(M16, IMPORTRANGE(""https://docs.google.com/spreadsheets/d/1yDAaXNsi4Mr5FtRQL4tbmSdIzhx6_m4wkOD7IG-k_eo/edit#gid=0"", ""Maths!M:N""), 2, FALSE)"),"Calculate the quotient of given pairs of irrational numbers and determine whether the result is rational or irrational.")</f>
        <v>Calculate the quotient of given pairs of irrational numbers and determine whether the result is rational or irrational.</v>
      </c>
      <c r="O16" s="69" t="str">
        <f t="shared" si="3"/>
        <v>LU001192.004</v>
      </c>
      <c r="P16" s="69" t="str">
        <f ca="1">IFERROR(__xludf.DUMMYFUNCTION("VLOOKUP(O16, IMPORTRANGE(""https://docs.google.com/spreadsheets/d/1yDAaXNsi4Mr5FtRQL4tbmSdIzhx6_m4wkOD7IG-k_eo/edit#gid=0"", ""Maths!M:N""), 2, FALSE)"),"Compare the properties of quotients of different pairs of irrational numbers.")</f>
        <v>Compare the properties of quotients of different pairs of irrational numbers.</v>
      </c>
      <c r="Q16" s="69" t="str">
        <f t="shared" si="4"/>
        <v>LU001192.005</v>
      </c>
      <c r="R16" s="69" t="str">
        <f ca="1">IFERROR(__xludf.DUMMYFUNCTION("VLOOKUP(Q16, IMPORTRANGE(""https://docs.google.com/spreadsheets/d/1yDAaXNsi4Mr5FtRQL4tbmSdIzhx6_m4wkOD7IG-k_eo/edit#gid=0"", ""Maths!M:N""), 2, FALSE)"),"Determine whether a given number could be the result of dividing two irrational numbers.")</f>
        <v>Determine whether a given number could be the result of dividing two irrational numbers.</v>
      </c>
      <c r="S16" s="69" t="str">
        <f t="shared" si="5"/>
        <v>LU001192.006</v>
      </c>
      <c r="T16" s="69" t="str">
        <f ca="1">IFERROR(__xludf.DUMMYFUNCTION("VLOOKUP(S16, IMPORTRANGE(""https://docs.google.com/spreadsheets/d/1yDAaXNsi4Mr5FtRQL4tbmSdIzhx6_m4wkOD7IG-k_eo/edit#gid=0"", ""Maths!M:N""), 2, FALSE)"),"Formulate a problem where the quotient of two specific irrational numbers is rational, and explain the solution.")</f>
        <v>Formulate a problem where the quotient of two specific irrational numbers is rational, and explain the solution.</v>
      </c>
      <c r="U16" s="11" t="str">
        <f ca="1">IFERROR(__xludf.DUMMYFUNCTION("ArrayFormula(VLOOKUP(G16, IMPORTRANGE(""https://docs.google.com/spreadsheets/d/1p7R4vtkWt5VOBim4ltsDG9KTzSjrtKXsMtQGXPHyND0/edit#gid=795171502"", ""'Filter 30_05_2024'!A1:M2000""), {2, 3, 4, 5,6,7,8,9,10,11,12,13}, 0))"),"#N/A")</f>
        <v>#N/A</v>
      </c>
      <c r="V16" s="11" t="str">
        <f ca="1">IFERROR(__xludf.DUMMYFUNCTION("""COMPUTED_VALUE"""),"#N/A")</f>
        <v>#N/A</v>
      </c>
      <c r="W16" s="11" t="str">
        <f ca="1">IFERROR(__xludf.DUMMYFUNCTION("""COMPUTED_VALUE"""),"#N/A")</f>
        <v>#N/A</v>
      </c>
      <c r="X16" s="11" t="str">
        <f ca="1">IFERROR(__xludf.DUMMYFUNCTION("""COMPUTED_VALUE"""),"#N/A")</f>
        <v>#N/A</v>
      </c>
      <c r="Y16" s="11" t="str">
        <f ca="1">IFERROR(__xludf.DUMMYFUNCTION("""COMPUTED_VALUE"""),"#N/A")</f>
        <v>#N/A</v>
      </c>
      <c r="Z16" s="12" t="str">
        <f ca="1">IFERROR(__xludf.DUMMYFUNCTION("""COMPUTED_VALUE"""),"#N/A")</f>
        <v>#N/A</v>
      </c>
      <c r="AA16" s="12" t="str">
        <f ca="1">IFERROR(__xludf.DUMMYFUNCTION("""COMPUTED_VALUE"""),"#N/A")</f>
        <v>#N/A</v>
      </c>
      <c r="AB16" s="12" t="str">
        <f ca="1">IFERROR(__xludf.DUMMYFUNCTION("""COMPUTED_VALUE"""),"#N/A")</f>
        <v>#N/A</v>
      </c>
      <c r="AC16" s="11" t="str">
        <f ca="1">IFERROR(__xludf.DUMMYFUNCTION("""COMPUTED_VALUE"""),"#N/A")</f>
        <v>#N/A</v>
      </c>
      <c r="AD16" s="12" t="str">
        <f ca="1">IFERROR(__xludf.DUMMYFUNCTION("""COMPUTED_VALUE"""),"#N/A")</f>
        <v>#N/A</v>
      </c>
      <c r="AE16" s="12" t="str">
        <f ca="1">IFERROR(__xludf.DUMMYFUNCTION("""COMPUTED_VALUE"""),"#N/A")</f>
        <v>#N/A</v>
      </c>
      <c r="AF16" s="12" t="str">
        <f ca="1">IFERROR(__xludf.DUMMYFUNCTION("""COMPUTED_VALUE"""),"#N/A")</f>
        <v>#N/A</v>
      </c>
      <c r="AG16" s="70" t="str">
        <f ca="1">IFERROR(__xludf.DUMMYFUNCTION("ArrayFormula(VLOOKUP(G16, IMPORTRANGE(""https://docs.google.com/spreadsheets/d/1Co934fvtviyaRiMsrIlT05Jaq7iiYq07aLvRr35KA48/edit?gid=173865642#gid=173865642"", ""'G9_Maths_Pri_LU'!G2:V2000""), {3, 4, 5, 6, 7, 8, 9, 10, 11, 12, 13, 14, 15, 16}, 0))"),"LU001191")</f>
        <v>LU001191</v>
      </c>
      <c r="AH16" s="70" t="str">
        <f ca="1">IFERROR(__xludf.DUMMYFUNCTION("""COMPUTED_VALUE"""),"Multiplication of two irrational numbers")</f>
        <v>Multiplication of two irrational numbers</v>
      </c>
      <c r="AI16" s="70" t="str">
        <f ca="1">IFERROR(__xludf.DUMMYFUNCTION("""COMPUTED_VALUE"""),"LU001188")</f>
        <v>LU001188</v>
      </c>
      <c r="AJ16" s="70" t="str">
        <f ca="1">IFERROR(__xludf.DUMMYFUNCTION("""COMPUTED_VALUE"""),"Quotient of a non-zero rational number with an irrational number")</f>
        <v>Quotient of a non-zero rational number with an irrational number</v>
      </c>
      <c r="AK16" s="70"/>
      <c r="AL16" s="70"/>
      <c r="AM16" s="13"/>
      <c r="AN16" s="13"/>
      <c r="AO16" s="13"/>
      <c r="AP16" s="13"/>
      <c r="AQ16" s="13"/>
      <c r="AR16" s="13"/>
      <c r="AS16" s="13"/>
      <c r="AT16" s="13"/>
    </row>
    <row r="17" spans="1:46">
      <c r="A17" s="8" t="s">
        <v>247</v>
      </c>
      <c r="B17" s="66" t="s">
        <v>47</v>
      </c>
      <c r="C17" s="66" t="s">
        <v>979</v>
      </c>
      <c r="D17" s="67" t="s">
        <v>732</v>
      </c>
      <c r="E17" s="67" t="s">
        <v>980</v>
      </c>
      <c r="F17" s="66" t="s">
        <v>1003</v>
      </c>
      <c r="G17" s="68" t="s">
        <v>1004</v>
      </c>
      <c r="H17" s="66" t="str">
        <f ca="1">IFERROR(__xludf.DUMMYFUNCTION("VLOOKUP(G17, IMPORTRANGE(""https://docs.google.com/spreadsheets/d/14deopnvwcrKtEGCKuYXdUHJbeLDZlkiSSWWT0g7x2pM/edit#gid=999382323"", ""LU List Maths (Filter)!A:B""), 2, FALSE)"),"Square root of a real number x, x&gt;0 [numerically, number line]")</f>
        <v>Square root of a real number x, x&gt;0 [numerically, number line]</v>
      </c>
      <c r="I17" s="69" t="str">
        <f t="shared" si="0"/>
        <v>LU001193.001</v>
      </c>
      <c r="J17" s="69" t="str">
        <f ca="1">IFERROR(__xludf.DUMMYFUNCTION("VLOOKUP(I17, IMPORTRANGE(""https://docs.google.com/spreadsheets/d/1yDAaXNsi4Mr5FtRQL4tbmSdIzhx6_m4wkOD7IG-k_eo/edit#gid=0"", ""Maths!M:N""), 2, FALSE)"),"Recall the notation and symbol used for the square root of a positive real number.")</f>
        <v>Recall the notation and symbol used for the square root of a positive real number.</v>
      </c>
      <c r="K17" s="69" t="str">
        <f t="shared" si="1"/>
        <v>LU001193.002</v>
      </c>
      <c r="L17" s="69" t="str">
        <f ca="1">IFERROR(__xludf.DUMMYFUNCTION("VLOOKUP(K17, IMPORTRANGE(""https://docs.google.com/spreadsheets/d/1yDAaXNsi4Mr5FtRQL4tbmSdIzhx6_m4wkOD7IG-k_eo/edit#gid=0"", ""Maths!M:N""), 2, FALSE)"),"Explain how the square root of a positive real number is represented on a number line.")</f>
        <v>Explain how the square root of a positive real number is represented on a number line.</v>
      </c>
      <c r="M17" s="69" t="str">
        <f t="shared" si="2"/>
        <v>LU001193.003</v>
      </c>
      <c r="N17" s="69" t="str">
        <f ca="1">IFERROR(__xludf.DUMMYFUNCTION("VLOOKUP(M17, IMPORTRANGE(""https://docs.google.com/spreadsheets/d/1yDAaXNsi4Mr5FtRQL4tbmSdIzhx6_m4wkOD7IG-k_eo/edit#gid=0"", ""Maths!M:N""), 2, FALSE)"),"Calculate the square root of positive real numbers and plot the results on a number line.")</f>
        <v>Calculate the square root of positive real numbers and plot the results on a number line.</v>
      </c>
      <c r="O17" s="69" t="str">
        <f t="shared" si="3"/>
        <v>LU001193.004</v>
      </c>
      <c r="P17" s="69" t="str">
        <f ca="1">IFERROR(__xludf.DUMMYFUNCTION("VLOOKUP(O17, IMPORTRANGE(""https://docs.google.com/spreadsheets/d/1yDAaXNsi4Mr5FtRQL4tbmSdIzhx6_m4wkOD7IG-k_eo/edit#gid=0"", ""Maths!M:N""), 2, FALSE)"),"Differentiate between perfect squares and non-perfect squares by their square roots on a number line.")</f>
        <v>Differentiate between perfect squares and non-perfect squares by their square roots on a number line.</v>
      </c>
      <c r="Q17" s="69" t="str">
        <f t="shared" si="4"/>
        <v>LU001193.005</v>
      </c>
      <c r="R17" s="69" t="str">
        <f ca="1">IFERROR(__xludf.DUMMYFUNCTION("VLOOKUP(Q17, IMPORTRANGE(""https://docs.google.com/spreadsheets/d/1yDAaXNsi4Mr5FtRQL4tbmSdIzhx6_m4wkOD7IG-k_eo/edit#gid=0"", ""Maths!M:N""), 2, FALSE)"),"Assess the approximation of square roots of non-perfect squares by locating them on a number line.")</f>
        <v>Assess the approximation of square roots of non-perfect squares by locating them on a number line.</v>
      </c>
      <c r="S17" s="69" t="str">
        <f t="shared" si="5"/>
        <v>LU001193.006</v>
      </c>
      <c r="T17" s="69" t="str">
        <f ca="1">IFERROR(__xludf.DUMMYFUNCTION("VLOOKUP(S17, IMPORTRANGE(""https://docs.google.com/spreadsheets/d/1yDAaXNsi4Mr5FtRQL4tbmSdIzhx6_m4wkOD7IG-k_eo/edit#gid=0"", ""Maths!M:N""), 2, FALSE)"),"Develop a visual method to demonstrate the concept of square roots using a number line, including perfect and non-perfect squares.")</f>
        <v>Develop a visual method to demonstrate the concept of square roots using a number line, including perfect and non-perfect squares.</v>
      </c>
      <c r="U17" s="11" t="str">
        <f ca="1">IFERROR(__xludf.DUMMYFUNCTION("ArrayFormula(VLOOKUP(G17, IMPORTRANGE(""https://docs.google.com/spreadsheets/d/1p7R4vtkWt5VOBim4ltsDG9KTzSjrtKXsMtQGXPHyND0/edit#gid=795171502"", ""'Filter 30_05_2024'!A1:M2000""), {2, 3, 4, 5,6,7,8,9,10,11,12,13}, 0))"),"#N/A")</f>
        <v>#N/A</v>
      </c>
      <c r="V17" s="11" t="str">
        <f ca="1">IFERROR(__xludf.DUMMYFUNCTION("""COMPUTED_VALUE"""),"#N/A")</f>
        <v>#N/A</v>
      </c>
      <c r="W17" s="11" t="str">
        <f ca="1">IFERROR(__xludf.DUMMYFUNCTION("""COMPUTED_VALUE"""),"#N/A")</f>
        <v>#N/A</v>
      </c>
      <c r="X17" s="11" t="str">
        <f ca="1">IFERROR(__xludf.DUMMYFUNCTION("""COMPUTED_VALUE"""),"#N/A")</f>
        <v>#N/A</v>
      </c>
      <c r="Y17" s="11" t="str">
        <f ca="1">IFERROR(__xludf.DUMMYFUNCTION("""COMPUTED_VALUE"""),"#N/A")</f>
        <v>#N/A</v>
      </c>
      <c r="Z17" s="12" t="str">
        <f ca="1">IFERROR(__xludf.DUMMYFUNCTION("""COMPUTED_VALUE"""),"#N/A")</f>
        <v>#N/A</v>
      </c>
      <c r="AA17" s="12" t="str">
        <f ca="1">IFERROR(__xludf.DUMMYFUNCTION("""COMPUTED_VALUE"""),"#N/A")</f>
        <v>#N/A</v>
      </c>
      <c r="AB17" s="12" t="str">
        <f ca="1">IFERROR(__xludf.DUMMYFUNCTION("""COMPUTED_VALUE"""),"#N/A")</f>
        <v>#N/A</v>
      </c>
      <c r="AC17" s="11" t="str">
        <f ca="1">IFERROR(__xludf.DUMMYFUNCTION("""COMPUTED_VALUE"""),"#N/A")</f>
        <v>#N/A</v>
      </c>
      <c r="AD17" s="12" t="str">
        <f ca="1">IFERROR(__xludf.DUMMYFUNCTION("""COMPUTED_VALUE"""),"#N/A")</f>
        <v>#N/A</v>
      </c>
      <c r="AE17" s="12" t="str">
        <f ca="1">IFERROR(__xludf.DUMMYFUNCTION("""COMPUTED_VALUE"""),"#N/A")</f>
        <v>#N/A</v>
      </c>
      <c r="AF17" s="12" t="str">
        <f ca="1">IFERROR(__xludf.DUMMYFUNCTION("""COMPUTED_VALUE"""),"#N/A")</f>
        <v>#N/A</v>
      </c>
      <c r="AG17" s="70" t="str">
        <f ca="1">IFERROR(__xludf.DUMMYFUNCTION("ArrayFormula(VLOOKUP(G17, IMPORTRANGE(""https://docs.google.com/spreadsheets/d/1Co934fvtviyaRiMsrIlT05Jaq7iiYq07aLvRr35KA48/edit?gid=173865642#gid=173865642"", ""'G9_Maths_Pri_LU'!G2:V2000""), {3, 4, 5, 6, 7, 8, 9, 10, 11, 12, 13, 14, 15, 16}, 0))"),"LU000434")</f>
        <v>LU000434</v>
      </c>
      <c r="AH17" s="70" t="str">
        <f ca="1">IFERROR(__xludf.DUMMYFUNCTION("""COMPUTED_VALUE"""),"Pythagoras property")</f>
        <v>Pythagoras property</v>
      </c>
      <c r="AI17" s="70" t="str">
        <f ca="1">IFERROR(__xludf.DUMMYFUNCTION("""COMPUTED_VALUE"""),"LU000649")</f>
        <v>LU000649</v>
      </c>
      <c r="AJ17" s="70" t="str">
        <f ca="1">IFERROR(__xludf.DUMMYFUNCTION("""COMPUTED_VALUE"""),"Square root of perfect square numbers through prime factorisation")</f>
        <v>Square root of perfect square numbers through prime factorisation</v>
      </c>
      <c r="AK17" s="70" t="str">
        <f ca="1">IFERROR(__xludf.DUMMYFUNCTION("""COMPUTED_VALUE"""),"LU001178")</f>
        <v>LU001178</v>
      </c>
      <c r="AL17" s="70" t="str">
        <f ca="1">IFERROR(__xludf.DUMMYFUNCTION("""COMPUTED_VALUE"""),"Introduction to real numbers [definition, denotation]")</f>
        <v>Introduction to real numbers [definition, denotation]</v>
      </c>
      <c r="AM17" s="13" t="str">
        <f ca="1">IFERROR(__xludf.DUMMYFUNCTION("""COMPUTED_VALUE"""),"LU000232")</f>
        <v>LU000232</v>
      </c>
      <c r="AN17" s="13" t="str">
        <f ca="1">IFERROR(__xludf.DUMMYFUNCTION("""COMPUTED_VALUE"""),"Elements of circle (Centre, radius, diameter)")</f>
        <v>Elements of circle (Centre, radius, diameter)</v>
      </c>
      <c r="AO17" s="13"/>
      <c r="AP17" s="13"/>
      <c r="AQ17" s="13"/>
      <c r="AR17" s="13"/>
      <c r="AS17" s="13"/>
      <c r="AT17" s="13"/>
    </row>
    <row r="18" spans="1:46">
      <c r="A18" s="8" t="s">
        <v>247</v>
      </c>
      <c r="B18" s="66" t="s">
        <v>47</v>
      </c>
      <c r="C18" s="66" t="s">
        <v>979</v>
      </c>
      <c r="D18" s="67" t="s">
        <v>732</v>
      </c>
      <c r="E18" s="67" t="s">
        <v>980</v>
      </c>
      <c r="F18" s="66" t="s">
        <v>1003</v>
      </c>
      <c r="G18" s="68" t="s">
        <v>1005</v>
      </c>
      <c r="H18" s="66" t="str">
        <f ca="1">IFERROR(__xludf.DUMMYFUNCTION("VLOOKUP(G18, IMPORTRANGE(""https://docs.google.com/spreadsheets/d/14deopnvwcrKtEGCKuYXdUHJbeLDZlkiSSWWT0g7x2pM/edit#gid=999382323"", ""LU List Maths (Filter)!A:B""), 2, FALSE)"),"Definition of nth root of a real number [definition, denotation, radical sign]")</f>
        <v>Definition of nth root of a real number [definition, denotation, radical sign]</v>
      </c>
      <c r="I18" s="69" t="str">
        <f t="shared" si="0"/>
        <v>LU001194.001</v>
      </c>
      <c r="J18" s="69" t="str">
        <f ca="1">IFERROR(__xludf.DUMMYFUNCTION("VLOOKUP(I18, IMPORTRANGE(""https://docs.google.com/spreadsheets/d/1yDAaXNsi4Mr5FtRQL4tbmSdIzhx6_m4wkOD7IG-k_eo/edit#gid=0"", ""Maths!M:N""), 2, FALSE)"),"State the definition of the nth root of a real number.")</f>
        <v>State the definition of the nth root of a real number.</v>
      </c>
      <c r="K18" s="69" t="str">
        <f t="shared" si="1"/>
        <v>LU001194.002</v>
      </c>
      <c r="L18" s="69" t="str">
        <f ca="1">IFERROR(__xludf.DUMMYFUNCTION("VLOOKUP(K18, IMPORTRANGE(""https://docs.google.com/spreadsheets/d/1yDAaXNsi4Mr5FtRQL4tbmSdIzhx6_m4wkOD7IG-k_eo/edit#gid=0"", ""Maths!M:N""), 2, FALSE)"),"Explain the notation and radical sign used for the nth root of a real number.")</f>
        <v>Explain the notation and radical sign used for the nth root of a real number.</v>
      </c>
      <c r="M18" s="69" t="str">
        <f t="shared" si="2"/>
        <v>LU001194.003</v>
      </c>
      <c r="N18" s="69" t="str">
        <f ca="1">IFERROR(__xludf.DUMMYFUNCTION("VLOOKUP(M18, IMPORTRANGE(""https://docs.google.com/spreadsheets/d/1yDAaXNsi4Mr5FtRQL4tbmSdIzhx6_m4wkOD7IG-k_eo/edit#gid=0"", ""Maths!M:N""), 2, FALSE)"),"Calculate the nth root of given real numbers using the radical sign.")</f>
        <v>Calculate the nth root of given real numbers using the radical sign.</v>
      </c>
      <c r="O18" s="69" t="str">
        <f t="shared" si="3"/>
        <v>LU001194.004</v>
      </c>
      <c r="P18" s="69" t="str">
        <f ca="1">IFERROR(__xludf.DUMMYFUNCTION("VLOOKUP(O18, IMPORTRANGE(""https://docs.google.com/spreadsheets/d/1yDAaXNsi4Mr5FtRQL4tbmSdIzhx6_m4wkOD7IG-k_eo/edit#gid=0"", ""Maths!M:N""), 2, FALSE)"),"Differentiate between the square root, cube root, and higher-order roots in terms of notation and value.")</f>
        <v>Differentiate between the square root, cube root, and higher-order roots in terms of notation and value.</v>
      </c>
      <c r="Q18" s="69" t="str">
        <f t="shared" si="4"/>
        <v>LU001194.005</v>
      </c>
      <c r="R18" s="69" t="str">
        <f ca="1">IFERROR(__xludf.DUMMYFUNCTION("VLOOKUP(Q18, IMPORTRANGE(""https://docs.google.com/spreadsheets/d/1yDAaXNsi4Mr5FtRQL4tbmSdIzhx6_m4wkOD7IG-k_eo/edit#gid=0"", ""Maths!M:N""), 2, FALSE)"),"Assess the accuracy of calculating the nth root using a calculator or other computational tools.")</f>
        <v>Assess the accuracy of calculating the nth root using a calculator or other computational tools.</v>
      </c>
      <c r="S18" s="69" t="str">
        <f t="shared" si="5"/>
        <v>LU001194.006</v>
      </c>
      <c r="T18" s="69" t="str">
        <f ca="1">IFERROR(__xludf.DUMMYFUNCTION("VLOOKUP(S18, IMPORTRANGE(""https://docs.google.com/spreadsheets/d/1yDAaXNsi4Mr5FtRQL4tbmSdIzhx6_m4wkOD7IG-k_eo/edit#gid=0"", ""Maths!M:N""), 2, FALSE)"),"Develop a visual or digital representation to illustrate the concept of nth roots and the use of the radical sign.")</f>
        <v>Develop a visual or digital representation to illustrate the concept of nth roots and the use of the radical sign.</v>
      </c>
      <c r="U18" s="11" t="str">
        <f ca="1">IFERROR(__xludf.DUMMYFUNCTION("ArrayFormula(VLOOKUP(G18, IMPORTRANGE(""https://docs.google.com/spreadsheets/d/1p7R4vtkWt5VOBim4ltsDG9KTzSjrtKXsMtQGXPHyND0/edit#gid=795171502"", ""'Filter 30_05_2024'!A1:M2000""), {2, 3, 4, 5,6,7,8,9,10,11,12,13}, 0))"),"#N/A")</f>
        <v>#N/A</v>
      </c>
      <c r="V18" s="11" t="str">
        <f ca="1">IFERROR(__xludf.DUMMYFUNCTION("""COMPUTED_VALUE"""),"#N/A")</f>
        <v>#N/A</v>
      </c>
      <c r="W18" s="11" t="str">
        <f ca="1">IFERROR(__xludf.DUMMYFUNCTION("""COMPUTED_VALUE"""),"#N/A")</f>
        <v>#N/A</v>
      </c>
      <c r="X18" s="11" t="str">
        <f ca="1">IFERROR(__xludf.DUMMYFUNCTION("""COMPUTED_VALUE"""),"#N/A")</f>
        <v>#N/A</v>
      </c>
      <c r="Y18" s="11" t="str">
        <f ca="1">IFERROR(__xludf.DUMMYFUNCTION("""COMPUTED_VALUE"""),"#N/A")</f>
        <v>#N/A</v>
      </c>
      <c r="Z18" s="12" t="str">
        <f ca="1">IFERROR(__xludf.DUMMYFUNCTION("""COMPUTED_VALUE"""),"#N/A")</f>
        <v>#N/A</v>
      </c>
      <c r="AA18" s="12" t="str">
        <f ca="1">IFERROR(__xludf.DUMMYFUNCTION("""COMPUTED_VALUE"""),"#N/A")</f>
        <v>#N/A</v>
      </c>
      <c r="AB18" s="12" t="str">
        <f ca="1">IFERROR(__xludf.DUMMYFUNCTION("""COMPUTED_VALUE"""),"#N/A")</f>
        <v>#N/A</v>
      </c>
      <c r="AC18" s="11" t="str">
        <f ca="1">IFERROR(__xludf.DUMMYFUNCTION("""COMPUTED_VALUE"""),"#N/A")</f>
        <v>#N/A</v>
      </c>
      <c r="AD18" s="12" t="str">
        <f ca="1">IFERROR(__xludf.DUMMYFUNCTION("""COMPUTED_VALUE"""),"#N/A")</f>
        <v>#N/A</v>
      </c>
      <c r="AE18" s="12" t="str">
        <f ca="1">IFERROR(__xludf.DUMMYFUNCTION("""COMPUTED_VALUE"""),"#N/A")</f>
        <v>#N/A</v>
      </c>
      <c r="AF18" s="12" t="str">
        <f ca="1">IFERROR(__xludf.DUMMYFUNCTION("""COMPUTED_VALUE"""),"#N/A")</f>
        <v>#N/A</v>
      </c>
      <c r="AG18" s="70" t="str">
        <f ca="1">IFERROR(__xludf.DUMMYFUNCTION("ArrayFormula(VLOOKUP(G18, IMPORTRANGE(""https://docs.google.com/spreadsheets/d/1Co934fvtviyaRiMsrIlT05Jaq7iiYq07aLvRr35KA48/edit?gid=173865642#gid=173865642"", ""'G9_Maths_Pri_LU'!G2:V2000""), {3, 4, 5, 6, 7, 8, 9, 10, 11, 12, 13, 14, 15, 16}, 0))"),"LU001193")</f>
        <v>LU001193</v>
      </c>
      <c r="AH18" s="70" t="str">
        <f ca="1">IFERROR(__xludf.DUMMYFUNCTION("""COMPUTED_VALUE"""),"Square root of a real number x, x&gt;0 [numerically, number line]")</f>
        <v>Square root of a real number x, x&gt;0 [numerically, number line]</v>
      </c>
      <c r="AI18" s="70"/>
      <c r="AJ18" s="70"/>
      <c r="AK18" s="70"/>
      <c r="AL18" s="70"/>
      <c r="AM18" s="13"/>
      <c r="AN18" s="13"/>
      <c r="AO18" s="13"/>
      <c r="AP18" s="13"/>
      <c r="AQ18" s="13"/>
      <c r="AR18" s="13"/>
      <c r="AS18" s="13"/>
      <c r="AT18" s="13"/>
    </row>
    <row r="19" spans="1:46">
      <c r="A19" s="8" t="s">
        <v>247</v>
      </c>
      <c r="B19" s="66" t="s">
        <v>47</v>
      </c>
      <c r="C19" s="66" t="s">
        <v>979</v>
      </c>
      <c r="D19" s="67" t="s">
        <v>732</v>
      </c>
      <c r="E19" s="67" t="s">
        <v>980</v>
      </c>
      <c r="F19" s="66" t="s">
        <v>1006</v>
      </c>
      <c r="G19" s="68" t="s">
        <v>1007</v>
      </c>
      <c r="H19" s="66" t="str">
        <f ca="1">IFERROR(__xludf.DUMMYFUNCTION("VLOOKUP(G19, IMPORTRANGE(""https://docs.google.com/spreadsheets/d/14deopnvwcrKtEGCKuYXdUHJbeLDZlkiSSWWT0g7x2pM/edit#gid=999382323"", ""LU List Maths (Filter)!A:B""), 2, FALSE)"),"Identity related to square root of product: √ab, a and b positive real number")</f>
        <v>Identity related to square root of product: √ab, a and b positive real number</v>
      </c>
      <c r="I19" s="69" t="str">
        <f t="shared" si="0"/>
        <v>LU001195.001</v>
      </c>
      <c r="J19" s="69" t="str">
        <f ca="1">IFERROR(__xludf.DUMMYFUNCTION("VLOOKUP(I19, IMPORTRANGE(""https://docs.google.com/spreadsheets/d/1yDAaXNsi4Mr5FtRQL4tbmSdIzhx6_m4wkOD7IG-k_eo/edit#gid=0"", ""Maths!M:N""), 2, FALSE)"),"Recall the identity √ab=√a√b for positive real numbers a and b.")</f>
        <v>Recall the identity √ab=√a√b for positive real numbers a and b.</v>
      </c>
      <c r="K19" s="69" t="str">
        <f t="shared" si="1"/>
        <v>LU001195.002</v>
      </c>
      <c r="L19" s="69" t="str">
        <f ca="1">IFERROR(__xludf.DUMMYFUNCTION("VLOOKUP(K19, IMPORTRANGE(""https://docs.google.com/spreadsheets/d/1yDAaXNsi4Mr5FtRQL4tbmSdIzhx6_m4wkOD7IG-k_eo/edit#gid=0"", ""Maths!M:N""), 2, FALSE)"),"Explain why the identity √ab=√a√b holds for positive real numbers a and b.")</f>
        <v>Explain why the identity √ab=√a√b holds for positive real numbers a and b.</v>
      </c>
      <c r="M19" s="69" t="str">
        <f t="shared" si="2"/>
        <v>LU001195.003</v>
      </c>
      <c r="N19" s="69" t="str">
        <f ca="1">IFERROR(__xludf.DUMMYFUNCTION("VLOOKUP(M19, IMPORTRANGE(""https://docs.google.com/spreadsheets/d/1yDAaXNsi4Mr5FtRQL4tbmSdIzhx6_m4wkOD7IG-k_eo/edit#gid=0"", ""Maths!M:N""), 2, FALSE)"),"Use the identity √ab=√a√b to simplify square roots in different expressions.")</f>
        <v>Use the identity √ab=√a√b to simplify square roots in different expressions.</v>
      </c>
      <c r="O19" s="69" t="str">
        <f t="shared" si="3"/>
        <v>LU001195.004</v>
      </c>
      <c r="P19" s="69" t="str">
        <f ca="1">IFERROR(__xludf.DUMMYFUNCTION("VLOOKUP(O19, IMPORTRANGE(""https://docs.google.com/spreadsheets/d/1yDAaXNsi4Mr5FtRQL4tbmSdIzhx6_m4wkOD7IG-k_eo/edit#gid=0"", ""Maths!M:N""), 2, FALSE)"),"Compare the results of calculating √ab directly and using the identity √ab=√a√b to verify the identity.")</f>
        <v>Compare the results of calculating √ab directly and using the identity √ab=√a√b to verify the identity.</v>
      </c>
      <c r="Q19" s="69" t="str">
        <f t="shared" si="4"/>
        <v>LU001195.005</v>
      </c>
      <c r="R19" s="69" t="str">
        <f ca="1">IFERROR(__xludf.DUMMYFUNCTION("VLOOKUP(Q19, IMPORTRANGE(""https://docs.google.com/spreadsheets/d/1yDAaXNsi4Mr5FtRQL4tbmSdIzhx6_m4wkOD7IG-k_eo/edit#gid=0"", ""Maths!M:N""), 2, FALSE)"),"Assess the effectiveness of using the identity √ab=√a√b in solving complex mathematical problems.")</f>
        <v>Assess the effectiveness of using the identity √ab=√a√b in solving complex mathematical problems.</v>
      </c>
      <c r="S19" s="69" t="str">
        <f t="shared" si="5"/>
        <v>LU001195.006</v>
      </c>
      <c r="T19" s="69" t="str">
        <f ca="1">IFERROR(__xludf.DUMMYFUNCTION("VLOOKUP(S19, IMPORTRANGE(""https://docs.google.com/spreadsheets/d/1yDAaXNsi4Mr5FtRQL4tbmSdIzhx6_m4wkOD7IG-k_eo/edit#gid=0"", ""Maths!M:N""), 2, FALSE)"),"Develop a set of problems that require the use of the identity √ab=√a√b and solve them.")</f>
        <v>Develop a set of problems that require the use of the identity √ab=√a√b and solve them.</v>
      </c>
      <c r="U19" s="11" t="str">
        <f ca="1">IFERROR(__xludf.DUMMYFUNCTION("ArrayFormula(VLOOKUP(G19, IMPORTRANGE(""https://docs.google.com/spreadsheets/d/1p7R4vtkWt5VOBim4ltsDG9KTzSjrtKXsMtQGXPHyND0/edit#gid=795171502"", ""'Filter 30_05_2024'!A1:M2000""), {2, 3, 4, 5,6,7,8,9,10,11,12,13}, 0))"),"#N/A")</f>
        <v>#N/A</v>
      </c>
      <c r="V19" s="11" t="str">
        <f ca="1">IFERROR(__xludf.DUMMYFUNCTION("""COMPUTED_VALUE"""),"#N/A")</f>
        <v>#N/A</v>
      </c>
      <c r="W19" s="11" t="str">
        <f ca="1">IFERROR(__xludf.DUMMYFUNCTION("""COMPUTED_VALUE"""),"#N/A")</f>
        <v>#N/A</v>
      </c>
      <c r="X19" s="11" t="str">
        <f ca="1">IFERROR(__xludf.DUMMYFUNCTION("""COMPUTED_VALUE"""),"#N/A")</f>
        <v>#N/A</v>
      </c>
      <c r="Y19" s="11" t="str">
        <f ca="1">IFERROR(__xludf.DUMMYFUNCTION("""COMPUTED_VALUE"""),"#N/A")</f>
        <v>#N/A</v>
      </c>
      <c r="Z19" s="12" t="str">
        <f ca="1">IFERROR(__xludf.DUMMYFUNCTION("""COMPUTED_VALUE"""),"#N/A")</f>
        <v>#N/A</v>
      </c>
      <c r="AA19" s="12" t="str">
        <f ca="1">IFERROR(__xludf.DUMMYFUNCTION("""COMPUTED_VALUE"""),"#N/A")</f>
        <v>#N/A</v>
      </c>
      <c r="AB19" s="12" t="str">
        <f ca="1">IFERROR(__xludf.DUMMYFUNCTION("""COMPUTED_VALUE"""),"#N/A")</f>
        <v>#N/A</v>
      </c>
      <c r="AC19" s="11" t="str">
        <f ca="1">IFERROR(__xludf.DUMMYFUNCTION("""COMPUTED_VALUE"""),"#N/A")</f>
        <v>#N/A</v>
      </c>
      <c r="AD19" s="12" t="str">
        <f ca="1">IFERROR(__xludf.DUMMYFUNCTION("""COMPUTED_VALUE"""),"#N/A")</f>
        <v>#N/A</v>
      </c>
      <c r="AE19" s="12" t="str">
        <f ca="1">IFERROR(__xludf.DUMMYFUNCTION("""COMPUTED_VALUE"""),"#N/A")</f>
        <v>#N/A</v>
      </c>
      <c r="AF19" s="12" t="str">
        <f ca="1">IFERROR(__xludf.DUMMYFUNCTION("""COMPUTED_VALUE"""),"#N/A")</f>
        <v>#N/A</v>
      </c>
      <c r="AG19" s="70" t="str">
        <f ca="1">IFERROR(__xludf.DUMMYFUNCTION("ArrayFormula(VLOOKUP(G19, IMPORTRANGE(""https://docs.google.com/spreadsheets/d/1Co934fvtviyaRiMsrIlT05Jaq7iiYq07aLvRr35KA48/edit?gid=173865642#gid=173865642"", ""'G9_Maths_Pri_LU'!G2:V2000""), {3, 4, 5, 6, 7, 8, 9, 10, 11, 12, 13, 14, 15, 16}, 0))"),"LU001191")</f>
        <v>LU001191</v>
      </c>
      <c r="AH19" s="70" t="str">
        <f ca="1">IFERROR(__xludf.DUMMYFUNCTION("""COMPUTED_VALUE"""),"Multiplication of two irrational numbers")</f>
        <v>Multiplication of two irrational numbers</v>
      </c>
      <c r="AI19" s="70" t="str">
        <f ca="1">IFERROR(__xludf.DUMMYFUNCTION("""COMPUTED_VALUE"""),"LU001193")</f>
        <v>LU001193</v>
      </c>
      <c r="AJ19" s="70" t="str">
        <f ca="1">IFERROR(__xludf.DUMMYFUNCTION("""COMPUTED_VALUE"""),"Square root of a real number x, x&gt;0 [numerically, number line]")</f>
        <v>Square root of a real number x, x&gt;0 [numerically, number line]</v>
      </c>
      <c r="AK19" s="70"/>
      <c r="AL19" s="70"/>
      <c r="AM19" s="13"/>
      <c r="AN19" s="13"/>
      <c r="AO19" s="13"/>
      <c r="AP19" s="13"/>
      <c r="AQ19" s="13"/>
      <c r="AR19" s="13"/>
      <c r="AS19" s="13"/>
      <c r="AT19" s="13"/>
    </row>
    <row r="20" spans="1:46">
      <c r="A20" s="8" t="s">
        <v>247</v>
      </c>
      <c r="B20" s="66" t="s">
        <v>47</v>
      </c>
      <c r="C20" s="66" t="s">
        <v>979</v>
      </c>
      <c r="D20" s="67" t="s">
        <v>732</v>
      </c>
      <c r="E20" s="67" t="s">
        <v>980</v>
      </c>
      <c r="F20" s="66" t="s">
        <v>1006</v>
      </c>
      <c r="G20" s="68" t="s">
        <v>1008</v>
      </c>
      <c r="H20" s="66" t="str">
        <f ca="1">IFERROR(__xludf.DUMMYFUNCTION("VLOOKUP(G20, IMPORTRANGE(""https://docs.google.com/spreadsheets/d/14deopnvwcrKtEGCKuYXdUHJbeLDZlkiSSWWT0g7x2pM/edit#gid=999382323"", ""LU List Maths (Filter)!A:B""), 2, FALSE)"),"Identity related to square root of quotient: √a/b, a and b positive real number")</f>
        <v>Identity related to square root of quotient: √a/b, a and b positive real number</v>
      </c>
      <c r="I20" s="69" t="str">
        <f t="shared" si="0"/>
        <v>LU001196.001</v>
      </c>
      <c r="J20" s="69" t="str">
        <f ca="1">IFERROR(__xludf.DUMMYFUNCTION("VLOOKUP(I20, IMPORTRANGE(""https://docs.google.com/spreadsheets/d/1yDAaXNsi4Mr5FtRQL4tbmSdIzhx6_m4wkOD7IG-k_eo/edit#gid=0"", ""Maths!M:N""), 2, FALSE)"),"Recall the identity √a/b=√a/√b for positive real numbers a and b.")</f>
        <v>Recall the identity √a/b=√a/√b for positive real numbers a and b.</v>
      </c>
      <c r="K20" s="69" t="str">
        <f t="shared" si="1"/>
        <v>LU001196.002</v>
      </c>
      <c r="L20" s="69" t="str">
        <f ca="1">IFERROR(__xludf.DUMMYFUNCTION("VLOOKUP(K20, IMPORTRANGE(""https://docs.google.com/spreadsheets/d/1yDAaXNsi4Mr5FtRQL4tbmSdIzhx6_m4wkOD7IG-k_eo/edit#gid=0"", ""Maths!M:N""), 2, FALSE)"),"Explain why the identity √a/b=√a/√b holds for positive real numbers a and b.")</f>
        <v>Explain why the identity √a/b=√a/√b holds for positive real numbers a and b.</v>
      </c>
      <c r="M20" s="69" t="str">
        <f t="shared" si="2"/>
        <v>LU001196.003</v>
      </c>
      <c r="N20" s="69" t="str">
        <f ca="1">IFERROR(__xludf.DUMMYFUNCTION("VLOOKUP(M20, IMPORTRANGE(""https://docs.google.com/spreadsheets/d/1yDAaXNsi4Mr5FtRQL4tbmSdIzhx6_m4wkOD7IG-k_eo/edit#gid=0"", ""Maths!M:N""), 2, FALSE)"),"Use the identity √a/b=√a/√b to simplify expressions involving square roots of quotients.")</f>
        <v>Use the identity √a/b=√a/√b to simplify expressions involving square roots of quotients.</v>
      </c>
      <c r="O20" s="69" t="str">
        <f t="shared" si="3"/>
        <v>LU001196.004</v>
      </c>
      <c r="P20" s="69" t="str">
        <f ca="1">IFERROR(__xludf.DUMMYFUNCTION("VLOOKUP(O20, IMPORTRANGE(""https://docs.google.com/spreadsheets/d/1yDAaXNsi4Mr5FtRQL4tbmSdIzhx6_m4wkOD7IG-k_eo/edit#gid=0"", ""Maths!M:N""), 2, FALSE)"),"Compare the results of calculating √a/b directly and using the identity √a/b=√a/√b to verify the identity.")</f>
        <v>Compare the results of calculating √a/b directly and using the identity √a/b=√a/√b to verify the identity.</v>
      </c>
      <c r="Q20" s="69" t="str">
        <f t="shared" si="4"/>
        <v>LU001196.005</v>
      </c>
      <c r="R20" s="69" t="str">
        <f ca="1">IFERROR(__xludf.DUMMYFUNCTION("VLOOKUP(Q20, IMPORTRANGE(""https://docs.google.com/spreadsheets/d/1yDAaXNsi4Mr5FtRQL4tbmSdIzhx6_m4wkOD7IG-k_eo/edit#gid=0"", ""Maths!M:N""), 2, FALSE)"),"Assess the effectiveness of using the identity √a/b=√a/√b in solving complex mathematical problems.")</f>
        <v>Assess the effectiveness of using the identity √a/b=√a/√b in solving complex mathematical problems.</v>
      </c>
      <c r="S20" s="69" t="str">
        <f t="shared" si="5"/>
        <v>LU001196.006</v>
      </c>
      <c r="T20" s="69" t="str">
        <f ca="1">IFERROR(__xludf.DUMMYFUNCTION("VLOOKUP(S20, IMPORTRANGE(""https://docs.google.com/spreadsheets/d/1yDAaXNsi4Mr5FtRQL4tbmSdIzhx6_m4wkOD7IG-k_eo/edit#gid=0"", ""Maths!M:N""), 2, FALSE)"),"Develop a set of problems that require the use of the identity √a/b=√a/√b and solve them.")</f>
        <v>Develop a set of problems that require the use of the identity √a/b=√a/√b and solve them.</v>
      </c>
      <c r="U20" s="11" t="str">
        <f ca="1">IFERROR(__xludf.DUMMYFUNCTION("ArrayFormula(VLOOKUP(G20, IMPORTRANGE(""https://docs.google.com/spreadsheets/d/1p7R4vtkWt5VOBim4ltsDG9KTzSjrtKXsMtQGXPHyND0/edit#gid=795171502"", ""'Filter 30_05_2024'!A1:M2000""), {2, 3, 4, 5,6,7,8,9,10,11,12,13}, 0))"),"#N/A")</f>
        <v>#N/A</v>
      </c>
      <c r="V20" s="11" t="str">
        <f ca="1">IFERROR(__xludf.DUMMYFUNCTION("""COMPUTED_VALUE"""),"#N/A")</f>
        <v>#N/A</v>
      </c>
      <c r="W20" s="11" t="str">
        <f ca="1">IFERROR(__xludf.DUMMYFUNCTION("""COMPUTED_VALUE"""),"#N/A")</f>
        <v>#N/A</v>
      </c>
      <c r="X20" s="11" t="str">
        <f ca="1">IFERROR(__xludf.DUMMYFUNCTION("""COMPUTED_VALUE"""),"#N/A")</f>
        <v>#N/A</v>
      </c>
      <c r="Y20" s="11" t="str">
        <f ca="1">IFERROR(__xludf.DUMMYFUNCTION("""COMPUTED_VALUE"""),"#N/A")</f>
        <v>#N/A</v>
      </c>
      <c r="Z20" s="12" t="str">
        <f ca="1">IFERROR(__xludf.DUMMYFUNCTION("""COMPUTED_VALUE"""),"#N/A")</f>
        <v>#N/A</v>
      </c>
      <c r="AA20" s="12" t="str">
        <f ca="1">IFERROR(__xludf.DUMMYFUNCTION("""COMPUTED_VALUE"""),"#N/A")</f>
        <v>#N/A</v>
      </c>
      <c r="AB20" s="12" t="str">
        <f ca="1">IFERROR(__xludf.DUMMYFUNCTION("""COMPUTED_VALUE"""),"#N/A")</f>
        <v>#N/A</v>
      </c>
      <c r="AC20" s="11" t="str">
        <f ca="1">IFERROR(__xludf.DUMMYFUNCTION("""COMPUTED_VALUE"""),"#N/A")</f>
        <v>#N/A</v>
      </c>
      <c r="AD20" s="12" t="str">
        <f ca="1">IFERROR(__xludf.DUMMYFUNCTION("""COMPUTED_VALUE"""),"#N/A")</f>
        <v>#N/A</v>
      </c>
      <c r="AE20" s="12" t="str">
        <f ca="1">IFERROR(__xludf.DUMMYFUNCTION("""COMPUTED_VALUE"""),"#N/A")</f>
        <v>#N/A</v>
      </c>
      <c r="AF20" s="12" t="str">
        <f ca="1">IFERROR(__xludf.DUMMYFUNCTION("""COMPUTED_VALUE"""),"#N/A")</f>
        <v>#N/A</v>
      </c>
      <c r="AG20" s="70" t="str">
        <f ca="1">IFERROR(__xludf.DUMMYFUNCTION("ArrayFormula(VLOOKUP(G20, IMPORTRANGE(""https://docs.google.com/spreadsheets/d/1Co934fvtviyaRiMsrIlT05Jaq7iiYq07aLvRr35KA48/edit?gid=173865642#gid=173865642"", ""'G9_Maths_Pri_LU'!G2:V2000""), {3, 4, 5, 6, 7, 8, 9, 10, 11, 12, 13, 14, 15, 16}, 0))"),"LU001192")</f>
        <v>LU001192</v>
      </c>
      <c r="AH20" s="70" t="str">
        <f ca="1">IFERROR(__xludf.DUMMYFUNCTION("""COMPUTED_VALUE"""),"Division of two irrational numbers")</f>
        <v>Division of two irrational numbers</v>
      </c>
      <c r="AI20" s="70" t="str">
        <f ca="1">IFERROR(__xludf.DUMMYFUNCTION("""COMPUTED_VALUE"""),"LU001193")</f>
        <v>LU001193</v>
      </c>
      <c r="AJ20" s="70" t="str">
        <f ca="1">IFERROR(__xludf.DUMMYFUNCTION("""COMPUTED_VALUE"""),"Square root of a real number x, x&gt;0 [numerically, number line]")</f>
        <v>Square root of a real number x, x&gt;0 [numerically, number line]</v>
      </c>
      <c r="AK20" s="70"/>
      <c r="AL20" s="70"/>
      <c r="AM20" s="13"/>
      <c r="AN20" s="13"/>
      <c r="AO20" s="13"/>
      <c r="AP20" s="13"/>
      <c r="AQ20" s="13"/>
      <c r="AR20" s="13"/>
      <c r="AS20" s="13"/>
      <c r="AT20" s="13"/>
    </row>
    <row r="21" spans="1:46">
      <c r="A21" s="8" t="s">
        <v>247</v>
      </c>
      <c r="B21" s="66" t="s">
        <v>47</v>
      </c>
      <c r="C21" s="66" t="s">
        <v>979</v>
      </c>
      <c r="D21" s="67" t="s">
        <v>732</v>
      </c>
      <c r="E21" s="67" t="s">
        <v>980</v>
      </c>
      <c r="F21" s="66" t="s">
        <v>1009</v>
      </c>
      <c r="G21" s="68" t="s">
        <v>1010</v>
      </c>
      <c r="H21" s="66" t="str">
        <f ca="1">IFERROR(__xludf.DUMMYFUNCTION("VLOOKUP(G21, IMPORTRANGE(""https://docs.google.com/spreadsheets/d/14deopnvwcrKtEGCKuYXdUHJbeLDZlkiSSWWT0g7x2pM/edit#gid=999382323"", ""LU List Maths (Filter)!A:B""), 2, FALSE)"),"Identity (√a + √b)(√a - √b) for positive real numbers a and b")</f>
        <v>Identity (√a + √b)(√a - √b) for positive real numbers a and b</v>
      </c>
      <c r="I21" s="69" t="str">
        <f t="shared" si="0"/>
        <v>LU001197.001</v>
      </c>
      <c r="J21" s="69" t="str">
        <f ca="1">IFERROR(__xludf.DUMMYFUNCTION("VLOOKUP(I21, IMPORTRANGE(""https://docs.google.com/spreadsheets/d/1yDAaXNsi4Mr5FtRQL4tbmSdIzhx6_m4wkOD7IG-k_eo/edit#gid=0"", ""Maths!M:N""), 2, FALSE)"),"Recall the identity (√a + √b)(√a - √b) = a - b for positive real numbers a and b.")</f>
        <v>Recall the identity (√a + √b)(√a - √b) = a - b for positive real numbers a and b.</v>
      </c>
      <c r="K21" s="69" t="str">
        <f t="shared" si="1"/>
        <v>LU001197.002</v>
      </c>
      <c r="L21" s="69" t="str">
        <f ca="1">IFERROR(__xludf.DUMMYFUNCTION("VLOOKUP(K21, IMPORTRANGE(""https://docs.google.com/spreadsheets/d/1yDAaXNsi4Mr5FtRQL4tbmSdIzhx6_m4wkOD7IG-k_eo/edit#gid=0"", ""Maths!M:N""), 2, FALSE)"),"Explain why the identity (√a + √b)(√a - √b) = a - b holds for positive real numbers a and b.")</f>
        <v>Explain why the identity (√a + √b)(√a - √b) = a - b holds for positive real numbers a and b.</v>
      </c>
      <c r="M21" s="69" t="str">
        <f t="shared" si="2"/>
        <v>LU001197.003</v>
      </c>
      <c r="N21" s="69" t="str">
        <f ca="1">IFERROR(__xludf.DUMMYFUNCTION("VLOOKUP(M21, IMPORTRANGE(""https://docs.google.com/spreadsheets/d/1yDAaXNsi4Mr5FtRQL4tbmSdIzhx6_m4wkOD7IG-k_eo/edit#gid=0"", ""Maths!M:N""), 2, FALSE)"),"Use the identity (√a + √b)(√a - √b) = a - b to simplify expressions.")</f>
        <v>Use the identity (√a + √b)(√a - √b) = a - b to simplify expressions.</v>
      </c>
      <c r="O21" s="69" t="str">
        <f t="shared" si="3"/>
        <v>LU001197.004</v>
      </c>
      <c r="P21" s="69" t="str">
        <f ca="1">IFERROR(__xludf.DUMMYFUNCTION("VLOOKUP(O21, IMPORTRANGE(""https://docs.google.com/spreadsheets/d/1yDAaXNsi4Mr5FtRQL4tbmSdIzhx6_m4wkOD7IG-k_eo/edit#gid=0"", ""Maths!M:N""), 2, FALSE)"),"Compare the results of expanding (√a + √b)(√a - √b) directly and using the identity a - b to verify the identity.")</f>
        <v>Compare the results of expanding (√a + √b)(√a - √b) directly and using the identity a - b to verify the identity.</v>
      </c>
      <c r="Q21" s="69" t="str">
        <f t="shared" si="4"/>
        <v>LU001197.005</v>
      </c>
      <c r="R21" s="69" t="str">
        <f ca="1">IFERROR(__xludf.DUMMYFUNCTION("VLOOKUP(Q21, IMPORTRANGE(""https://docs.google.com/spreadsheets/d/1yDAaXNsi4Mr5FtRQL4tbmSdIzhx6_m4wkOD7IG-k_eo/edit#gid=0"", ""Maths!M:N""), 2, FALSE)"),"Assess the usefulness of the identity (√a + √b)(√a - √b) = a - b in solving complex mathematical problems.")</f>
        <v>Assess the usefulness of the identity (√a + √b)(√a - √b) = a - b in solving complex mathematical problems.</v>
      </c>
      <c r="S21" s="69" t="str">
        <f t="shared" si="5"/>
        <v>LU001197.006</v>
      </c>
      <c r="T21" s="69" t="str">
        <f ca="1">IFERROR(__xludf.DUMMYFUNCTION("VLOOKUP(S21, IMPORTRANGE(""https://docs.google.com/spreadsheets/d/1yDAaXNsi4Mr5FtRQL4tbmSdIzhx6_m4wkOD7IG-k_eo/edit#gid=0"", ""Maths!M:N""), 2, FALSE)"),"Develop a set of problems that require the use of the identity (√a + √b)(√a - √b) = a - b and solve them.")</f>
        <v>Develop a set of problems that require the use of the identity (√a + √b)(√a - √b) = a - b and solve them.</v>
      </c>
      <c r="U21" s="11" t="str">
        <f ca="1">IFERROR(__xludf.DUMMYFUNCTION("ArrayFormula(VLOOKUP(G21, IMPORTRANGE(""https://docs.google.com/spreadsheets/d/1p7R4vtkWt5VOBim4ltsDG9KTzSjrtKXsMtQGXPHyND0/edit#gid=795171502"", ""'Filter 30_05_2024'!A1:M2000""), {2, 3, 4, 5,6,7,8,9,10,11,12,13}, 0))"),"#N/A")</f>
        <v>#N/A</v>
      </c>
      <c r="V21" s="11" t="str">
        <f ca="1">IFERROR(__xludf.DUMMYFUNCTION("""COMPUTED_VALUE"""),"#N/A")</f>
        <v>#N/A</v>
      </c>
      <c r="W21" s="11" t="str">
        <f ca="1">IFERROR(__xludf.DUMMYFUNCTION("""COMPUTED_VALUE"""),"#N/A")</f>
        <v>#N/A</v>
      </c>
      <c r="X21" s="11" t="str">
        <f ca="1">IFERROR(__xludf.DUMMYFUNCTION("""COMPUTED_VALUE"""),"#N/A")</f>
        <v>#N/A</v>
      </c>
      <c r="Y21" s="11" t="str">
        <f ca="1">IFERROR(__xludf.DUMMYFUNCTION("""COMPUTED_VALUE"""),"#N/A")</f>
        <v>#N/A</v>
      </c>
      <c r="Z21" s="12" t="str">
        <f ca="1">IFERROR(__xludf.DUMMYFUNCTION("""COMPUTED_VALUE"""),"#N/A")</f>
        <v>#N/A</v>
      </c>
      <c r="AA21" s="12" t="str">
        <f ca="1">IFERROR(__xludf.DUMMYFUNCTION("""COMPUTED_VALUE"""),"#N/A")</f>
        <v>#N/A</v>
      </c>
      <c r="AB21" s="12" t="str">
        <f ca="1">IFERROR(__xludf.DUMMYFUNCTION("""COMPUTED_VALUE"""),"#N/A")</f>
        <v>#N/A</v>
      </c>
      <c r="AC21" s="11" t="str">
        <f ca="1">IFERROR(__xludf.DUMMYFUNCTION("""COMPUTED_VALUE"""),"#N/A")</f>
        <v>#N/A</v>
      </c>
      <c r="AD21" s="12" t="str">
        <f ca="1">IFERROR(__xludf.DUMMYFUNCTION("""COMPUTED_VALUE"""),"#N/A")</f>
        <v>#N/A</v>
      </c>
      <c r="AE21" s="12" t="str">
        <f ca="1">IFERROR(__xludf.DUMMYFUNCTION("""COMPUTED_VALUE"""),"#N/A")</f>
        <v>#N/A</v>
      </c>
      <c r="AF21" s="12" t="str">
        <f ca="1">IFERROR(__xludf.DUMMYFUNCTION("""COMPUTED_VALUE"""),"#N/A")</f>
        <v>#N/A</v>
      </c>
      <c r="AG21" s="70" t="str">
        <f ca="1">IFERROR(__xludf.DUMMYFUNCTION("ArrayFormula(VLOOKUP(G21, IMPORTRANGE(""https://docs.google.com/spreadsheets/d/1Co934fvtviyaRiMsrIlT05Jaq7iiYq07aLvRr35KA48/edit?gid=173865642#gid=173865642"", ""'G9_Maths_Pri_LU'!G2:V2000""), {3, 4, 5, 6, 7, 8, 9, 10, 11, 12, 13, 14, 15, 16}, 0))"),"LU000703")</f>
        <v>LU000703</v>
      </c>
      <c r="AH21" s="70" t="str">
        <f ca="1">IFERROR(__xludf.DUMMYFUNCTION("""COMPUTED_VALUE"""),"Algebraic identity for (a+b)(a-b)")</f>
        <v>Algebraic identity for (a+b)(a-b)</v>
      </c>
      <c r="AI21" s="70" t="str">
        <f ca="1">IFERROR(__xludf.DUMMYFUNCTION("""COMPUTED_VALUE"""),"LU001195")</f>
        <v>LU001195</v>
      </c>
      <c r="AJ21" s="70" t="str">
        <f ca="1">IFERROR(__xludf.DUMMYFUNCTION("""COMPUTED_VALUE"""),"Identity related to square root of product: √ab, a and b positive real number")</f>
        <v>Identity related to square root of product: √ab, a and b positive real number</v>
      </c>
      <c r="AK21" s="70"/>
      <c r="AL21" s="70"/>
      <c r="AM21" s="13"/>
      <c r="AN21" s="13"/>
      <c r="AO21" s="13"/>
      <c r="AP21" s="13"/>
      <c r="AQ21" s="13"/>
      <c r="AR21" s="13"/>
      <c r="AS21" s="13"/>
      <c r="AT21" s="13"/>
    </row>
    <row r="22" spans="1:46">
      <c r="A22" s="8" t="s">
        <v>247</v>
      </c>
      <c r="B22" s="66" t="s">
        <v>47</v>
      </c>
      <c r="C22" s="66" t="s">
        <v>979</v>
      </c>
      <c r="D22" s="67" t="s">
        <v>732</v>
      </c>
      <c r="E22" s="67" t="s">
        <v>980</v>
      </c>
      <c r="F22" s="66" t="s">
        <v>1009</v>
      </c>
      <c r="G22" s="68" t="s">
        <v>1011</v>
      </c>
      <c r="H22" s="66" t="str">
        <f ca="1">IFERROR(__xludf.DUMMYFUNCTION("VLOOKUP(G22, IMPORTRANGE(""https://docs.google.com/spreadsheets/d/14deopnvwcrKtEGCKuYXdUHJbeLDZlkiSSWWT0g7x2pM/edit#gid=999382323"", ""LU List Maths (Filter)!A:B""), 2, FALSE)"),"Identity (a + √b)(a - √b) for positive real numbers a and b")</f>
        <v>Identity (a + √b)(a - √b) for positive real numbers a and b</v>
      </c>
      <c r="I22" s="69" t="str">
        <f t="shared" si="0"/>
        <v>LU001198.001</v>
      </c>
      <c r="J22" s="69" t="str">
        <f ca="1">IFERROR(__xludf.DUMMYFUNCTION("VLOOKUP(I22, IMPORTRANGE(""https://docs.google.com/spreadsheets/d/1yDAaXNsi4Mr5FtRQL4tbmSdIzhx6_m4wkOD7IG-k_eo/edit#gid=0"", ""Maths!M:N""), 2, FALSE)"),"Recall the identity (a + √b)(a - √b)=a^2 - b for positive real numbers 𝑎 and 𝑏")</f>
        <v>Recall the identity (a + √b)(a - √b)=a^2 - b for positive real numbers 𝑎 and 𝑏</v>
      </c>
      <c r="K22" s="69" t="str">
        <f t="shared" si="1"/>
        <v>LU001198.002</v>
      </c>
      <c r="L22" s="69" t="str">
        <f ca="1">IFERROR(__xludf.DUMMYFUNCTION("VLOOKUP(K22, IMPORTRANGE(""https://docs.google.com/spreadsheets/d/1yDAaXNsi4Mr5FtRQL4tbmSdIzhx6_m4wkOD7IG-k_eo/edit#gid=0"", ""Maths!M:N""), 2, FALSE)"),"Explain why the identity (a + √b)(a - √b)=a^2 - b holds for positive real numbers a and b")</f>
        <v>Explain why the identity (a + √b)(a - √b)=a^2 - b holds for positive real numbers a and b</v>
      </c>
      <c r="M22" s="69" t="str">
        <f t="shared" si="2"/>
        <v>LU001198.003</v>
      </c>
      <c r="N22" s="69" t="str">
        <f ca="1">IFERROR(__xludf.DUMMYFUNCTION("VLOOKUP(M22, IMPORTRANGE(""https://docs.google.com/spreadsheets/d/1yDAaXNsi4Mr5FtRQL4tbmSdIzhx6_m4wkOD7IG-k_eo/edit#gid=0"", ""Maths!M:N""), 2, FALSE)"),"Use the identity (a + √b)(a - √b)=a^2 - b to simplify expressions")</f>
        <v>Use the identity (a + √b)(a - √b)=a^2 - b to simplify expressions</v>
      </c>
      <c r="O22" s="69" t="str">
        <f t="shared" si="3"/>
        <v>LU001198.004</v>
      </c>
      <c r="P22" s="69" t="str">
        <f ca="1">IFERROR(__xludf.DUMMYFUNCTION("VLOOKUP(O22, IMPORTRANGE(""https://docs.google.com/spreadsheets/d/1yDAaXNsi4Mr5FtRQL4tbmSdIzhx6_m4wkOD7IG-k_eo/edit#gid=0"", ""Maths!M:N""), 2, FALSE)"),"Compare the results of expanding (a + √b)(a - √b) directly and using the identity a^2 - b to verify the identity.")</f>
        <v>Compare the results of expanding (a + √b)(a - √b) directly and using the identity a^2 - b to verify the identity.</v>
      </c>
      <c r="Q22" s="69" t="str">
        <f t="shared" si="4"/>
        <v>LU001198.005</v>
      </c>
      <c r="R22" s="69" t="str">
        <f ca="1">IFERROR(__xludf.DUMMYFUNCTION("VLOOKUP(Q22, IMPORTRANGE(""https://docs.google.com/spreadsheets/d/1yDAaXNsi4Mr5FtRQL4tbmSdIzhx6_m4wkOD7IG-k_eo/edit#gid=0"", ""Maths!M:N""), 2, FALSE)"),"Assess the usefulness of the identity (a + √b)(a - √b)=a^2 - b in solving complex mathematical problems.")</f>
        <v>Assess the usefulness of the identity (a + √b)(a - √b)=a^2 - b in solving complex mathematical problems.</v>
      </c>
      <c r="S22" s="69" t="str">
        <f t="shared" si="5"/>
        <v>LU001198.006</v>
      </c>
      <c r="T22" s="69" t="str">
        <f ca="1">IFERROR(__xludf.DUMMYFUNCTION("VLOOKUP(S22, IMPORTRANGE(""https://docs.google.com/spreadsheets/d/1yDAaXNsi4Mr5FtRQL4tbmSdIzhx6_m4wkOD7IG-k_eo/edit#gid=0"", ""Maths!M:N""), 2, FALSE)"),"Develop a set of problems that require the use of the identity (a + √b)(a - √b)=a^2 - b and solve them.")</f>
        <v>Develop a set of problems that require the use of the identity (a + √b)(a - √b)=a^2 - b and solve them.</v>
      </c>
      <c r="U22" s="11" t="str">
        <f ca="1">IFERROR(__xludf.DUMMYFUNCTION("ArrayFormula(VLOOKUP(G22, IMPORTRANGE(""https://docs.google.com/spreadsheets/d/1p7R4vtkWt5VOBim4ltsDG9KTzSjrtKXsMtQGXPHyND0/edit#gid=795171502"", ""'Filter 30_05_2024'!A1:M2000""), {2, 3, 4, 5,6,7,8,9,10,11,12,13}, 0))"),"#N/A")</f>
        <v>#N/A</v>
      </c>
      <c r="V22" s="11" t="str">
        <f ca="1">IFERROR(__xludf.DUMMYFUNCTION("""COMPUTED_VALUE"""),"#N/A")</f>
        <v>#N/A</v>
      </c>
      <c r="W22" s="11" t="str">
        <f ca="1">IFERROR(__xludf.DUMMYFUNCTION("""COMPUTED_VALUE"""),"#N/A")</f>
        <v>#N/A</v>
      </c>
      <c r="X22" s="11" t="str">
        <f ca="1">IFERROR(__xludf.DUMMYFUNCTION("""COMPUTED_VALUE"""),"#N/A")</f>
        <v>#N/A</v>
      </c>
      <c r="Y22" s="11" t="str">
        <f ca="1">IFERROR(__xludf.DUMMYFUNCTION("""COMPUTED_VALUE"""),"#N/A")</f>
        <v>#N/A</v>
      </c>
      <c r="Z22" s="12" t="str">
        <f ca="1">IFERROR(__xludf.DUMMYFUNCTION("""COMPUTED_VALUE"""),"#N/A")</f>
        <v>#N/A</v>
      </c>
      <c r="AA22" s="12" t="str">
        <f ca="1">IFERROR(__xludf.DUMMYFUNCTION("""COMPUTED_VALUE"""),"#N/A")</f>
        <v>#N/A</v>
      </c>
      <c r="AB22" s="12" t="str">
        <f ca="1">IFERROR(__xludf.DUMMYFUNCTION("""COMPUTED_VALUE"""),"#N/A")</f>
        <v>#N/A</v>
      </c>
      <c r="AC22" s="11" t="str">
        <f ca="1">IFERROR(__xludf.DUMMYFUNCTION("""COMPUTED_VALUE"""),"#N/A")</f>
        <v>#N/A</v>
      </c>
      <c r="AD22" s="12" t="str">
        <f ca="1">IFERROR(__xludf.DUMMYFUNCTION("""COMPUTED_VALUE"""),"#N/A")</f>
        <v>#N/A</v>
      </c>
      <c r="AE22" s="12" t="str">
        <f ca="1">IFERROR(__xludf.DUMMYFUNCTION("""COMPUTED_VALUE"""),"#N/A")</f>
        <v>#N/A</v>
      </c>
      <c r="AF22" s="12" t="str">
        <f ca="1">IFERROR(__xludf.DUMMYFUNCTION("""COMPUTED_VALUE"""),"#N/A")</f>
        <v>#N/A</v>
      </c>
      <c r="AG22" s="70" t="str">
        <f ca="1">IFERROR(__xludf.DUMMYFUNCTION("ArrayFormula(VLOOKUP(G22, IMPORTRANGE(""https://docs.google.com/spreadsheets/d/1Co934fvtviyaRiMsrIlT05Jaq7iiYq07aLvRr35KA48/edit?gid=173865642#gid=173865642"", ""'G9_Maths_Pri_LU'!G2:V2000""), {3, 4, 5, 6, 7, 8, 9, 10, 11, 12, 13, 14, 15, 16}, 0))"),"LU000703")</f>
        <v>LU000703</v>
      </c>
      <c r="AH22" s="70" t="str">
        <f ca="1">IFERROR(__xludf.DUMMYFUNCTION("""COMPUTED_VALUE"""),"Algebraic identity for (a+b)(a-b)")</f>
        <v>Algebraic identity for (a+b)(a-b)</v>
      </c>
      <c r="AI22" s="70" t="str">
        <f ca="1">IFERROR(__xludf.DUMMYFUNCTION("""COMPUTED_VALUE"""),"LU001195")</f>
        <v>LU001195</v>
      </c>
      <c r="AJ22" s="70" t="str">
        <f ca="1">IFERROR(__xludf.DUMMYFUNCTION("""COMPUTED_VALUE"""),"Identity related to square root of product: √ab, a and b positive real number")</f>
        <v>Identity related to square root of product: √ab, a and b positive real number</v>
      </c>
      <c r="AK22" s="70" t="str">
        <f ca="1">IFERROR(__xludf.DUMMYFUNCTION("""COMPUTED_VALUE"""),"LU001187")</f>
        <v>LU001187</v>
      </c>
      <c r="AL22" s="70" t="str">
        <f ca="1">IFERROR(__xludf.DUMMYFUNCTION("""COMPUTED_VALUE"""),"Multiplication of a non-zero rational with an irrational number")</f>
        <v>Multiplication of a non-zero rational with an irrational number</v>
      </c>
      <c r="AM22" s="13"/>
      <c r="AN22" s="13"/>
      <c r="AO22" s="13"/>
      <c r="AP22" s="13"/>
      <c r="AQ22" s="13"/>
      <c r="AR22" s="13"/>
      <c r="AS22" s="13"/>
      <c r="AT22" s="13"/>
    </row>
    <row r="23" spans="1:46">
      <c r="A23" s="8" t="s">
        <v>247</v>
      </c>
      <c r="B23" s="66" t="s">
        <v>47</v>
      </c>
      <c r="C23" s="66" t="s">
        <v>979</v>
      </c>
      <c r="D23" s="67" t="s">
        <v>732</v>
      </c>
      <c r="E23" s="67" t="s">
        <v>980</v>
      </c>
      <c r="F23" s="66" t="s">
        <v>1012</v>
      </c>
      <c r="G23" s="68" t="s">
        <v>1013</v>
      </c>
      <c r="H23" s="66" t="str">
        <f ca="1">IFERROR(__xludf.DUMMYFUNCTION("VLOOKUP(G23, IMPORTRANGE(""https://docs.google.com/spreadsheets/d/14deopnvwcrKtEGCKuYXdUHJbeLDZlkiSSWWT0g7x2pM/edit#gid=999382323"", ""LU List Maths (Filter)!A:B""), 2, FALSE)"),"Identity (√a + √b)(√c + √b) for positive real numbers a, b, c, and d")</f>
        <v>Identity (√a + √b)(√c + √b) for positive real numbers a, b, c, and d</v>
      </c>
      <c r="I23" s="69" t="str">
        <f t="shared" si="0"/>
        <v>LU001199.001</v>
      </c>
      <c r="J23" s="69" t="str">
        <f ca="1">IFERROR(__xludf.DUMMYFUNCTION("VLOOKUP(I23, IMPORTRANGE(""https://docs.google.com/spreadsheets/d/1yDAaXNsi4Mr5FtRQL4tbmSdIzhx6_m4wkOD7IG-k_eo/edit#gid=0"", ""Maths!M:N""), 2, FALSE)"),"Recall the identity (√a+√b)(√c+√d)=√ac+√ad+√bc+√bd for positive real numbers a, b, c and d")</f>
        <v>Recall the identity (√a+√b)(√c+√d)=√ac+√ad+√bc+√bd for positive real numbers a, b, c and d</v>
      </c>
      <c r="K23" s="69" t="str">
        <f t="shared" si="1"/>
        <v>LU001199.002</v>
      </c>
      <c r="L23" s="69" t="str">
        <f ca="1">IFERROR(__xludf.DUMMYFUNCTION("VLOOKUP(K23, IMPORTRANGE(""https://docs.google.com/spreadsheets/d/1yDAaXNsi4Mr5FtRQL4tbmSdIzhx6_m4wkOD7IG-k_eo/edit#gid=0"", ""Maths!M:N""), 2, FALSE)"),"Explain why the identity (√a+√b)(√c+√d)=√ac+√ad+√bc+√bd holds for positive real numbers a, b, c and d")</f>
        <v>Explain why the identity (√a+√b)(√c+√d)=√ac+√ad+√bc+√bd holds for positive real numbers a, b, c and d</v>
      </c>
      <c r="M23" s="69" t="str">
        <f t="shared" si="2"/>
        <v>LU001199.003</v>
      </c>
      <c r="N23" s="69" t="str">
        <f ca="1">IFERROR(__xludf.DUMMYFUNCTION("VLOOKUP(M23, IMPORTRANGE(""https://docs.google.com/spreadsheets/d/1yDAaXNsi4Mr5FtRQL4tbmSdIzhx6_m4wkOD7IG-k_eo/edit#gid=0"", ""Maths!M:N""), 2, FALSE)"),"Use the identity (√a+√b)(√c+√d)=√ac+√ad+√bc+√bd to simplify expressions")</f>
        <v>Use the identity (√a+√b)(√c+√d)=√ac+√ad+√bc+√bd to simplify expressions</v>
      </c>
      <c r="O23" s="69" t="str">
        <f t="shared" si="3"/>
        <v>LU001199.004</v>
      </c>
      <c r="P23" s="69" t="str">
        <f ca="1">IFERROR(__xludf.DUMMYFUNCTION("VLOOKUP(O23, IMPORTRANGE(""https://docs.google.com/spreadsheets/d/1yDAaXNsi4Mr5FtRQL4tbmSdIzhx6_m4wkOD7IG-k_eo/edit#gid=0"", ""Maths!M:N""), 2, FALSE)"),"Compare the results of expanding (√a+√b)(√c+√d) directly and using the identity √ac+√ad+√bc+√bd to verify the identity.")</f>
        <v>Compare the results of expanding (√a+√b)(√c+√d) directly and using the identity √ac+√ad+√bc+√bd to verify the identity.</v>
      </c>
      <c r="Q23" s="69" t="str">
        <f t="shared" si="4"/>
        <v>LU001199.005</v>
      </c>
      <c r="R23" s="69" t="str">
        <f ca="1">IFERROR(__xludf.DUMMYFUNCTION("VLOOKUP(Q23, IMPORTRANGE(""https://docs.google.com/spreadsheets/d/1yDAaXNsi4Mr5FtRQL4tbmSdIzhx6_m4wkOD7IG-k_eo/edit#gid=0"", ""Maths!M:N""), 2, FALSE)"),"Assess the usefulness of the identity (√a+√b)(√c+√d)=√ac+√ad+√bc+√bd in solving complex mathematical problems.")</f>
        <v>Assess the usefulness of the identity (√a+√b)(√c+√d)=√ac+√ad+√bc+√bd in solving complex mathematical problems.</v>
      </c>
      <c r="S23" s="69" t="str">
        <f t="shared" si="5"/>
        <v>LU001199.006</v>
      </c>
      <c r="T23" s="69" t="str">
        <f ca="1">IFERROR(__xludf.DUMMYFUNCTION("VLOOKUP(S23, IMPORTRANGE(""https://docs.google.com/spreadsheets/d/1yDAaXNsi4Mr5FtRQL4tbmSdIzhx6_m4wkOD7IG-k_eo/edit#gid=0"", ""Maths!M:N""), 2, FALSE)"),"Develop a set of problems that require the use of the identity (√a+√b)(√c+√d)=√ac+√ad+√bc+√bd and solve them.")</f>
        <v>Develop a set of problems that require the use of the identity (√a+√b)(√c+√d)=√ac+√ad+√bc+√bd and solve them.</v>
      </c>
      <c r="U23" s="11" t="str">
        <f ca="1">IFERROR(__xludf.DUMMYFUNCTION("ArrayFormula(VLOOKUP(G23, IMPORTRANGE(""https://docs.google.com/spreadsheets/d/1p7R4vtkWt5VOBim4ltsDG9KTzSjrtKXsMtQGXPHyND0/edit#gid=795171502"", ""'Filter 30_05_2024'!A1:M2000""), {2, 3, 4, 5,6,7,8,9,10,11,12,13}, 0))"),"#N/A")</f>
        <v>#N/A</v>
      </c>
      <c r="V23" s="11" t="str">
        <f ca="1">IFERROR(__xludf.DUMMYFUNCTION("""COMPUTED_VALUE"""),"#N/A")</f>
        <v>#N/A</v>
      </c>
      <c r="W23" s="11" t="str">
        <f ca="1">IFERROR(__xludf.DUMMYFUNCTION("""COMPUTED_VALUE"""),"#N/A")</f>
        <v>#N/A</v>
      </c>
      <c r="X23" s="11" t="str">
        <f ca="1">IFERROR(__xludf.DUMMYFUNCTION("""COMPUTED_VALUE"""),"#N/A")</f>
        <v>#N/A</v>
      </c>
      <c r="Y23" s="11" t="str">
        <f ca="1">IFERROR(__xludf.DUMMYFUNCTION("""COMPUTED_VALUE"""),"#N/A")</f>
        <v>#N/A</v>
      </c>
      <c r="Z23" s="12" t="str">
        <f ca="1">IFERROR(__xludf.DUMMYFUNCTION("""COMPUTED_VALUE"""),"#N/A")</f>
        <v>#N/A</v>
      </c>
      <c r="AA23" s="12" t="str">
        <f ca="1">IFERROR(__xludf.DUMMYFUNCTION("""COMPUTED_VALUE"""),"#N/A")</f>
        <v>#N/A</v>
      </c>
      <c r="AB23" s="12" t="str">
        <f ca="1">IFERROR(__xludf.DUMMYFUNCTION("""COMPUTED_VALUE"""),"#N/A")</f>
        <v>#N/A</v>
      </c>
      <c r="AC23" s="11" t="str">
        <f ca="1">IFERROR(__xludf.DUMMYFUNCTION("""COMPUTED_VALUE"""),"#N/A")</f>
        <v>#N/A</v>
      </c>
      <c r="AD23" s="12" t="str">
        <f ca="1">IFERROR(__xludf.DUMMYFUNCTION("""COMPUTED_VALUE"""),"#N/A")</f>
        <v>#N/A</v>
      </c>
      <c r="AE23" s="12" t="str">
        <f ca="1">IFERROR(__xludf.DUMMYFUNCTION("""COMPUTED_VALUE"""),"#N/A")</f>
        <v>#N/A</v>
      </c>
      <c r="AF23" s="12" t="str">
        <f ca="1">IFERROR(__xludf.DUMMYFUNCTION("""COMPUTED_VALUE"""),"#N/A")</f>
        <v>#N/A</v>
      </c>
      <c r="AG23" s="70" t="str">
        <f ca="1">IFERROR(__xludf.DUMMYFUNCTION("ArrayFormula(VLOOKUP(G23, IMPORTRANGE(""https://docs.google.com/spreadsheets/d/1Co934fvtviyaRiMsrIlT05Jaq7iiYq07aLvRr35KA48/edit?gid=173865642#gid=173865642"", ""'G9_Maths_Pri_LU'!G2:V2000""), {3, 4, 5, 6, 7, 8, 9, 10, 11, 12, 13, 14, 15, 16}, 0))"),"LU001195")</f>
        <v>LU001195</v>
      </c>
      <c r="AH23" s="70" t="str">
        <f ca="1">IFERROR(__xludf.DUMMYFUNCTION("""COMPUTED_VALUE"""),"Identity related to square root of product: √ab, a and b positive real number")</f>
        <v>Identity related to square root of product: √ab, a and b positive real number</v>
      </c>
      <c r="AI23" s="70"/>
      <c r="AJ23" s="70"/>
      <c r="AK23" s="70"/>
      <c r="AL23" s="70"/>
      <c r="AM23" s="13"/>
      <c r="AN23" s="13"/>
      <c r="AO23" s="13"/>
      <c r="AP23" s="13"/>
      <c r="AQ23" s="13"/>
      <c r="AR23" s="13"/>
      <c r="AS23" s="13"/>
      <c r="AT23" s="13"/>
    </row>
    <row r="24" spans="1:46">
      <c r="A24" s="8" t="s">
        <v>247</v>
      </c>
      <c r="B24" s="66" t="s">
        <v>47</v>
      </c>
      <c r="C24" s="66" t="s">
        <v>979</v>
      </c>
      <c r="D24" s="67" t="s">
        <v>732</v>
      </c>
      <c r="E24" s="67" t="s">
        <v>980</v>
      </c>
      <c r="F24" s="66" t="s">
        <v>1012</v>
      </c>
      <c r="G24" s="68" t="s">
        <v>1014</v>
      </c>
      <c r="H24" s="66" t="str">
        <f ca="1">IFERROR(__xludf.DUMMYFUNCTION("VLOOKUP(G24, IMPORTRANGE(""https://docs.google.com/spreadsheets/d/14deopnvwcrKtEGCKuYXdUHJbeLDZlkiSSWWT0g7x2pM/edit#gid=999382323"", ""LU List Maths (Filter)!A:B""), 2, FALSE)"),"Identity (√a + √b)^2 for positive real numbers a and b")</f>
        <v>Identity (√a + √b)^2 for positive real numbers a and b</v>
      </c>
      <c r="I24" s="69" t="str">
        <f t="shared" si="0"/>
        <v>LU001200.001</v>
      </c>
      <c r="J24" s="69" t="str">
        <f ca="1">IFERROR(__xludf.DUMMYFUNCTION("VLOOKUP(I24, IMPORTRANGE(""https://docs.google.com/spreadsheets/d/1yDAaXNsi4Mr5FtRQL4tbmSdIzhx6_m4wkOD7IG-k_eo/edit#gid=0"", ""Maths!M:N""), 2, FALSE)"),"Recall the identity (√a + √b)^2=a+b+2√ab for positive real numbers a and b")</f>
        <v>Recall the identity (√a + √b)^2=a+b+2√ab for positive real numbers a and b</v>
      </c>
      <c r="K24" s="69" t="str">
        <f t="shared" si="1"/>
        <v>LU001200.002</v>
      </c>
      <c r="L24" s="69" t="str">
        <f ca="1">IFERROR(__xludf.DUMMYFUNCTION("VLOOKUP(K24, IMPORTRANGE(""https://docs.google.com/spreadsheets/d/1yDAaXNsi4Mr5FtRQL4tbmSdIzhx6_m4wkOD7IG-k_eo/edit#gid=0"", ""Maths!M:N""), 2, FALSE)"),"Explain why the identity (√a + √b)^2=a+b+2√ab holds for positive real numbers a and b")</f>
        <v>Explain why the identity (√a + √b)^2=a+b+2√ab holds for positive real numbers a and b</v>
      </c>
      <c r="M24" s="69" t="str">
        <f t="shared" si="2"/>
        <v>LU001200.003</v>
      </c>
      <c r="N24" s="69" t="str">
        <f ca="1">IFERROR(__xludf.DUMMYFUNCTION("VLOOKUP(M24, IMPORTRANGE(""https://docs.google.com/spreadsheets/d/1yDAaXNsi4Mr5FtRQL4tbmSdIzhx6_m4wkOD7IG-k_eo/edit#gid=0"", ""Maths!M:N""), 2, FALSE)"),"Use the identity (√a + √b)^2=a+b+2√ab to simplify expressions")</f>
        <v>Use the identity (√a + √b)^2=a+b+2√ab to simplify expressions</v>
      </c>
      <c r="O24" s="69" t="str">
        <f t="shared" si="3"/>
        <v>LU001200.004</v>
      </c>
      <c r="P24" s="69" t="str">
        <f ca="1">IFERROR(__xludf.DUMMYFUNCTION("VLOOKUP(O24, IMPORTRANGE(""https://docs.google.com/spreadsheets/d/1yDAaXNsi4Mr5FtRQL4tbmSdIzhx6_m4wkOD7IG-k_eo/edit#gid=0"", ""Maths!M:N""), 2, FALSE)"),"Compare the results of expanding (√a + √b)^2 directly and using the identity a+b+2√ab to verify the identity.")</f>
        <v>Compare the results of expanding (√a + √b)^2 directly and using the identity a+b+2√ab to verify the identity.</v>
      </c>
      <c r="Q24" s="69" t="str">
        <f t="shared" si="4"/>
        <v>LU001200.005</v>
      </c>
      <c r="R24" s="69" t="str">
        <f ca="1">IFERROR(__xludf.DUMMYFUNCTION("VLOOKUP(Q24, IMPORTRANGE(""https://docs.google.com/spreadsheets/d/1yDAaXNsi4Mr5FtRQL4tbmSdIzhx6_m4wkOD7IG-k_eo/edit#gid=0"", ""Maths!M:N""), 2, FALSE)"),"Assess the usefulness of the identity (√a + √b)^2=a+b+2√ab in solving complex mathematical problems.")</f>
        <v>Assess the usefulness of the identity (√a + √b)^2=a+b+2√ab in solving complex mathematical problems.</v>
      </c>
      <c r="S24" s="69" t="str">
        <f t="shared" si="5"/>
        <v>LU001200.006</v>
      </c>
      <c r="T24" s="69" t="str">
        <f ca="1">IFERROR(__xludf.DUMMYFUNCTION("VLOOKUP(S24, IMPORTRANGE(""https://docs.google.com/spreadsheets/d/1yDAaXNsi4Mr5FtRQL4tbmSdIzhx6_m4wkOD7IG-k_eo/edit#gid=0"", ""Maths!M:N""), 2, FALSE)"),"Develop a set of problems that require the use of the identity (√a + √b)^2=a+b+2√ab and solve them.")</f>
        <v>Develop a set of problems that require the use of the identity (√a + √b)^2=a+b+2√ab and solve them.</v>
      </c>
      <c r="U24" s="11" t="str">
        <f ca="1">IFERROR(__xludf.DUMMYFUNCTION("ArrayFormula(VLOOKUP(G24, IMPORTRANGE(""https://docs.google.com/spreadsheets/d/1p7R4vtkWt5VOBim4ltsDG9KTzSjrtKXsMtQGXPHyND0/edit#gid=795171502"", ""'Filter 30_05_2024'!A1:M2000""), {2, 3, 4, 5,6,7,8,9,10,11,12,13}, 0))"),"#N/A")</f>
        <v>#N/A</v>
      </c>
      <c r="V24" s="11" t="str">
        <f ca="1">IFERROR(__xludf.DUMMYFUNCTION("""COMPUTED_VALUE"""),"#N/A")</f>
        <v>#N/A</v>
      </c>
      <c r="W24" s="11" t="str">
        <f ca="1">IFERROR(__xludf.DUMMYFUNCTION("""COMPUTED_VALUE"""),"#N/A")</f>
        <v>#N/A</v>
      </c>
      <c r="X24" s="11" t="str">
        <f ca="1">IFERROR(__xludf.DUMMYFUNCTION("""COMPUTED_VALUE"""),"#N/A")</f>
        <v>#N/A</v>
      </c>
      <c r="Y24" s="11" t="str">
        <f ca="1">IFERROR(__xludf.DUMMYFUNCTION("""COMPUTED_VALUE"""),"#N/A")</f>
        <v>#N/A</v>
      </c>
      <c r="Z24" s="12" t="str">
        <f ca="1">IFERROR(__xludf.DUMMYFUNCTION("""COMPUTED_VALUE"""),"#N/A")</f>
        <v>#N/A</v>
      </c>
      <c r="AA24" s="12" t="str">
        <f ca="1">IFERROR(__xludf.DUMMYFUNCTION("""COMPUTED_VALUE"""),"#N/A")</f>
        <v>#N/A</v>
      </c>
      <c r="AB24" s="12" t="str">
        <f ca="1">IFERROR(__xludf.DUMMYFUNCTION("""COMPUTED_VALUE"""),"#N/A")</f>
        <v>#N/A</v>
      </c>
      <c r="AC24" s="11" t="str">
        <f ca="1">IFERROR(__xludf.DUMMYFUNCTION("""COMPUTED_VALUE"""),"#N/A")</f>
        <v>#N/A</v>
      </c>
      <c r="AD24" s="12" t="str">
        <f ca="1">IFERROR(__xludf.DUMMYFUNCTION("""COMPUTED_VALUE"""),"#N/A")</f>
        <v>#N/A</v>
      </c>
      <c r="AE24" s="12" t="str">
        <f ca="1">IFERROR(__xludf.DUMMYFUNCTION("""COMPUTED_VALUE"""),"#N/A")</f>
        <v>#N/A</v>
      </c>
      <c r="AF24" s="12" t="str">
        <f ca="1">IFERROR(__xludf.DUMMYFUNCTION("""COMPUTED_VALUE"""),"#N/A")</f>
        <v>#N/A</v>
      </c>
      <c r="AG24" s="70" t="str">
        <f ca="1">IFERROR(__xludf.DUMMYFUNCTION("ArrayFormula(VLOOKUP(G24, IMPORTRANGE(""https://docs.google.com/spreadsheets/d/1Co934fvtviyaRiMsrIlT05Jaq7iiYq07aLvRr35KA48/edit?gid=173865642#gid=173865642"", ""'G9_Maths_Pri_LU'!G2:V2000""), {3, 4, 5, 6, 7, 8, 9, 10, 11, 12, 13, 14, 15, 16}, 0))"),"LU000705")</f>
        <v>LU000705</v>
      </c>
      <c r="AH24" s="70" t="str">
        <f ca="1">IFERROR(__xludf.DUMMYFUNCTION("""COMPUTED_VALUE"""),"Algebraic identity for (a+b)^2")</f>
        <v>Algebraic identity for (a+b)^2</v>
      </c>
      <c r="AI24" s="70" t="str">
        <f ca="1">IFERROR(__xludf.DUMMYFUNCTION("""COMPUTED_VALUE"""),"LU001049")</f>
        <v>LU001049</v>
      </c>
      <c r="AJ24" s="70" t="str">
        <f ca="1">IFERROR(__xludf.DUMMYFUNCTION("""COMPUTED_VALUE"""),"Express square root of a whole number in exponential form")</f>
        <v>Express square root of a whole number in exponential form</v>
      </c>
      <c r="AK24" s="70" t="str">
        <f ca="1">IFERROR(__xludf.DUMMYFUNCTION("""COMPUTED_VALUE"""),"LU001195")</f>
        <v>LU001195</v>
      </c>
      <c r="AL24" s="70" t="str">
        <f ca="1">IFERROR(__xludf.DUMMYFUNCTION("""COMPUTED_VALUE"""),"Identity related to square root of product: √ab, a and b positive real number")</f>
        <v>Identity related to square root of product: √ab, a and b positive real number</v>
      </c>
      <c r="AM24" s="13"/>
      <c r="AN24" s="13"/>
      <c r="AO24" s="13"/>
      <c r="AP24" s="13"/>
      <c r="AQ24" s="13"/>
      <c r="AR24" s="13"/>
      <c r="AS24" s="13"/>
      <c r="AT24" s="13"/>
    </row>
    <row r="25" spans="1:46">
      <c r="A25" s="8" t="s">
        <v>247</v>
      </c>
      <c r="B25" s="66" t="s">
        <v>47</v>
      </c>
      <c r="C25" s="66" t="s">
        <v>979</v>
      </c>
      <c r="D25" s="67" t="s">
        <v>732</v>
      </c>
      <c r="E25" s="67" t="s">
        <v>980</v>
      </c>
      <c r="F25" s="66" t="s">
        <v>1015</v>
      </c>
      <c r="G25" s="68" t="s">
        <v>1016</v>
      </c>
      <c r="H25" s="66" t="str">
        <f ca="1">IFERROR(__xludf.DUMMYFUNCTION("VLOOKUP(G25, IMPORTRANGE(""https://docs.google.com/spreadsheets/d/14deopnvwcrKtEGCKuYXdUHJbeLDZlkiSSWWT0g7x2pM/edit#gid=999382323"", ""LU List Maths (Filter)!A:B""), 2, FALSE)"),"Identities related to square roots for positive real numbers")</f>
        <v>Identities related to square roots for positive real numbers</v>
      </c>
      <c r="I25" s="69" t="str">
        <f t="shared" si="0"/>
        <v>LU001201.001</v>
      </c>
      <c r="J25" s="69" t="str">
        <f ca="1">IFERROR(__xludf.DUMMYFUNCTION("VLOOKUP(I25, IMPORTRANGE(""https://docs.google.com/spreadsheets/d/1yDAaXNsi4Mr5FtRQL4tbmSdIzhx6_m4wkOD7IG-k_eo/edit#gid=0"", ""Maths!M:N""), 2, FALSE)"),"Recall the identities involving square roots for positive real numbers.")</f>
        <v>Recall the identities involving square roots for positive real numbers.</v>
      </c>
      <c r="K25" s="69" t="str">
        <f t="shared" si="1"/>
        <v>LU001201.002</v>
      </c>
      <c r="L25" s="69" t="str">
        <f ca="1">IFERROR(__xludf.DUMMYFUNCTION("VLOOKUP(K25, IMPORTRANGE(""https://docs.google.com/spreadsheets/d/1yDAaXNsi4Mr5FtRQL4tbmSdIzhx6_m4wkOD7IG-k_eo/edit#gid=0"", ""Maths!M:N""), 2, FALSE)"),"Explain why the identities (√a + √b)^2, (√a + √b)(√c+√b), (a + √b)(a - √b), (√a + √b)(√a - √b), √a/b and √ab​ hold true for positive real numbers.")</f>
        <v>Explain why the identities (√a + √b)^2, (√a + √b)(√c+√b), (a + √b)(a - √b), (√a + √b)(√a - √b), √a/b and √ab​ hold true for positive real numbers.</v>
      </c>
      <c r="M25" s="69" t="str">
        <f t="shared" si="2"/>
        <v>LU001201.003</v>
      </c>
      <c r="N25" s="69" t="str">
        <f ca="1">IFERROR(__xludf.DUMMYFUNCTION("VLOOKUP(M25, IMPORTRANGE(""https://docs.google.com/spreadsheets/d/1yDAaXNsi4Mr5FtRQL4tbmSdIzhx6_m4wkOD7IG-k_eo/edit#gid=0"", ""Maths!M:N""), 2, FALSE)"),"Use multiple identities involving square roots to simplify expressions.")</f>
        <v>Use multiple identities involving square roots to simplify expressions.</v>
      </c>
      <c r="O25" s="69" t="str">
        <f t="shared" si="3"/>
        <v>LU001201.004</v>
      </c>
      <c r="P25" s="69" t="str">
        <f ca="1">IFERROR(__xludf.DUMMYFUNCTION("VLOOKUP(O25, IMPORTRANGE(""https://docs.google.com/spreadsheets/d/1yDAaXNsi4Mr5FtRQL4tbmSdIzhx6_m4wkOD7IG-k_eo/edit#gid=0"", ""Maths!M:N""), 2, FALSE)"),"Differentiate between correct and incorrect applications of square root identities in solving mathematical problems.")</f>
        <v>Differentiate between correct and incorrect applications of square root identities in solving mathematical problems.</v>
      </c>
      <c r="Q25" s="69" t="str">
        <f t="shared" si="4"/>
        <v>LU001201.005</v>
      </c>
      <c r="R25" s="69" t="str">
        <f ca="1">IFERROR(__xludf.DUMMYFUNCTION("VLOOKUP(Q25, IMPORTRANGE(""https://docs.google.com/spreadsheets/d/1yDAaXNsi4Mr5FtRQL4tbmSdIzhx6_m4wkOD7IG-k_eo/edit#gid=0"", ""Maths!M:N""), 2, FALSE)"),"Assess the effectiveness of using square root identities in solving complex expressions.")</f>
        <v>Assess the effectiveness of using square root identities in solving complex expressions.</v>
      </c>
      <c r="S25" s="69" t="str">
        <f t="shared" si="5"/>
        <v>LU001201.006</v>
      </c>
      <c r="T25" s="69" t="str">
        <f ca="1">IFERROR(__xludf.DUMMYFUNCTION("VLOOKUP(S25, IMPORTRANGE(""https://docs.google.com/spreadsheets/d/1yDAaXNsi4Mr5FtRQL4tbmSdIzhx6_m4wkOD7IG-k_eo/edit#gid=0"", ""Maths!M:N""), 2, FALSE)"),"Formulate a set of problems that require the use of square root identities and solve them, demonstrating step-by-step solutions.")</f>
        <v>Formulate a set of problems that require the use of square root identities and solve them, demonstrating step-by-step solutions.</v>
      </c>
      <c r="U25" s="11" t="str">
        <f ca="1">IFERROR(__xludf.DUMMYFUNCTION("ArrayFormula(VLOOKUP(G25, IMPORTRANGE(""https://docs.google.com/spreadsheets/d/1p7R4vtkWt5VOBim4ltsDG9KTzSjrtKXsMtQGXPHyND0/edit#gid=795171502"", ""'Filter 30_05_2024'!A1:M2000""), {2, 3, 4, 5,6,7,8,9,10,11,12,13}, 0))"),"#N/A")</f>
        <v>#N/A</v>
      </c>
      <c r="V25" s="11" t="str">
        <f ca="1">IFERROR(__xludf.DUMMYFUNCTION("""COMPUTED_VALUE"""),"#N/A")</f>
        <v>#N/A</v>
      </c>
      <c r="W25" s="11" t="str">
        <f ca="1">IFERROR(__xludf.DUMMYFUNCTION("""COMPUTED_VALUE"""),"#N/A")</f>
        <v>#N/A</v>
      </c>
      <c r="X25" s="11" t="str">
        <f ca="1">IFERROR(__xludf.DUMMYFUNCTION("""COMPUTED_VALUE"""),"#N/A")</f>
        <v>#N/A</v>
      </c>
      <c r="Y25" s="11" t="str">
        <f ca="1">IFERROR(__xludf.DUMMYFUNCTION("""COMPUTED_VALUE"""),"#N/A")</f>
        <v>#N/A</v>
      </c>
      <c r="Z25" s="12" t="str">
        <f ca="1">IFERROR(__xludf.DUMMYFUNCTION("""COMPUTED_VALUE"""),"#N/A")</f>
        <v>#N/A</v>
      </c>
      <c r="AA25" s="12" t="str">
        <f ca="1">IFERROR(__xludf.DUMMYFUNCTION("""COMPUTED_VALUE"""),"#N/A")</f>
        <v>#N/A</v>
      </c>
      <c r="AB25" s="12" t="str">
        <f ca="1">IFERROR(__xludf.DUMMYFUNCTION("""COMPUTED_VALUE"""),"#N/A")</f>
        <v>#N/A</v>
      </c>
      <c r="AC25" s="11" t="str">
        <f ca="1">IFERROR(__xludf.DUMMYFUNCTION("""COMPUTED_VALUE"""),"#N/A")</f>
        <v>#N/A</v>
      </c>
      <c r="AD25" s="12" t="str">
        <f ca="1">IFERROR(__xludf.DUMMYFUNCTION("""COMPUTED_VALUE"""),"#N/A")</f>
        <v>#N/A</v>
      </c>
      <c r="AE25" s="12" t="str">
        <f ca="1">IFERROR(__xludf.DUMMYFUNCTION("""COMPUTED_VALUE"""),"#N/A")</f>
        <v>#N/A</v>
      </c>
      <c r="AF25" s="12" t="str">
        <f ca="1">IFERROR(__xludf.DUMMYFUNCTION("""COMPUTED_VALUE"""),"#N/A")</f>
        <v>#N/A</v>
      </c>
      <c r="AG25" s="70" t="str">
        <f ca="1">IFERROR(__xludf.DUMMYFUNCTION("ArrayFormula(VLOOKUP(G25, IMPORTRANGE(""https://docs.google.com/spreadsheets/d/1Co934fvtviyaRiMsrIlT05Jaq7iiYq07aLvRr35KA48/edit?gid=173865642#gid=173865642"", ""'G9_Maths_Pri_LU'!G2:V2000""), {3, 4, 5, 6, 7, 8, 9, 10, 11, 12, 13, 14, 15, 16}, 0))"),"LU000649")</f>
        <v>LU000649</v>
      </c>
      <c r="AH25" s="70" t="str">
        <f ca="1">IFERROR(__xludf.DUMMYFUNCTION("""COMPUTED_VALUE"""),"Square root of perfect square numbers through prime factorisation")</f>
        <v>Square root of perfect square numbers through prime factorisation</v>
      </c>
      <c r="AI25" s="70" t="str">
        <f ca="1">IFERROR(__xludf.DUMMYFUNCTION("""COMPUTED_VALUE"""),"LU001178")</f>
        <v>LU001178</v>
      </c>
      <c r="AJ25" s="70" t="str">
        <f ca="1">IFERROR(__xludf.DUMMYFUNCTION("""COMPUTED_VALUE"""),"Introduction to real numbers [definition, denotation]")</f>
        <v>Introduction to real numbers [definition, denotation]</v>
      </c>
      <c r="AK25" s="70"/>
      <c r="AL25" s="70"/>
      <c r="AM25" s="13"/>
      <c r="AN25" s="13"/>
      <c r="AO25" s="13"/>
      <c r="AP25" s="13"/>
      <c r="AQ25" s="13"/>
      <c r="AR25" s="13"/>
      <c r="AS25" s="13"/>
      <c r="AT25" s="13"/>
    </row>
    <row r="26" spans="1:46">
      <c r="A26" s="8" t="s">
        <v>247</v>
      </c>
      <c r="B26" s="66" t="s">
        <v>47</v>
      </c>
      <c r="C26" s="66" t="s">
        <v>979</v>
      </c>
      <c r="D26" s="67" t="s">
        <v>732</v>
      </c>
      <c r="E26" s="67" t="s">
        <v>980</v>
      </c>
      <c r="F26" s="66" t="s">
        <v>1017</v>
      </c>
      <c r="G26" s="68" t="s">
        <v>1018</v>
      </c>
      <c r="H26" s="66" t="str">
        <f ca="1">IFERROR(__xludf.DUMMYFUNCTION("VLOOKUP(G26, IMPORTRANGE(""https://docs.google.com/spreadsheets/d/14deopnvwcrKtEGCKuYXdUHJbeLDZlkiSSWWT0g7x2pM/edit#gid=999382323"", ""LU List Maths (Filter)!A:B""), 2, FALSE)"),"Rationalisation of denominator (radical in denominator): 1/c√a±b where a is positive integer, and b and c are any integers")</f>
        <v>Rationalisation of denominator (radical in denominator): 1/c√a±b where a is positive integer, and b and c are any integers</v>
      </c>
      <c r="I26" s="69" t="str">
        <f t="shared" si="0"/>
        <v>LU001202.001</v>
      </c>
      <c r="J26" s="69" t="str">
        <f ca="1">IFERROR(__xludf.DUMMYFUNCTION("VLOOKUP(I26, IMPORTRANGE(""https://docs.google.com/spreadsheets/d/1yDAaXNsi4Mr5FtRQL4tbmSdIzhx6_m4wkOD7IG-k_eo/edit#gid=0"", ""Maths!M:N""), 2, FALSE)"),"Recall the steps involved in rationalising the denominator of an expression of type 1/c√a±b containing a radical.")</f>
        <v>Recall the steps involved in rationalising the denominator of an expression of type 1/c√a±b containing a radical.</v>
      </c>
      <c r="K26" s="69" t="str">
        <f t="shared" si="1"/>
        <v>LU001202.002</v>
      </c>
      <c r="L26" s="69" t="str">
        <f ca="1">IFERROR(__xludf.DUMMYFUNCTION("VLOOKUP(K26, IMPORTRANGE(""https://docs.google.com/spreadsheets/d/1yDAaXNsi4Mr5FtRQL4tbmSdIzhx6_m4wkOD7IG-k_eo/edit#gid=0"", ""Maths!M:N""), 2, FALSE)"),"Explain the purpose and method of rationalising the denominator in expressions like 1/c√a±b.")</f>
        <v>Explain the purpose and method of rationalising the denominator in expressions like 1/c√a±b.</v>
      </c>
      <c r="M26" s="69" t="str">
        <f t="shared" si="2"/>
        <v>LU001202.003</v>
      </c>
      <c r="N26" s="69" t="str">
        <f ca="1">IFERROR(__xludf.DUMMYFUNCTION("VLOOKUP(M26, IMPORTRANGE(""https://docs.google.com/spreadsheets/d/1yDAaXNsi4Mr5FtRQL4tbmSdIzhx6_m4wkOD7IG-k_eo/edit#gid=0"", ""Maths!M:N""), 2, FALSE)"),"Use appropriate techniques to rationalise the denominator of expressions such as 1/c√a±b.")</f>
        <v>Use appropriate techniques to rationalise the denominator of expressions such as 1/c√a±b.</v>
      </c>
      <c r="O26" s="69" t="str">
        <f t="shared" si="3"/>
        <v>LU001202.004</v>
      </c>
      <c r="P26" s="69" t="str">
        <f ca="1">IFERROR(__xludf.DUMMYFUNCTION("VLOOKUP(O26, IMPORTRANGE(""https://docs.google.com/spreadsheets/d/1yDAaXNsi4Mr5FtRQL4tbmSdIzhx6_m4wkOD7IG-k_eo/edit#gid=0"", ""Maths!M:N""), 2, FALSE)"),"Identify errors in rationalising the denominator of given expressions of type 1/c√a±b and correct them.")</f>
        <v>Identify errors in rationalising the denominator of given expressions of type 1/c√a±b and correct them.</v>
      </c>
      <c r="Q26" s="69" t="str">
        <f t="shared" si="4"/>
        <v>LU001202.005</v>
      </c>
      <c r="R26" s="69" t="str">
        <f ca="1">IFERROR(__xludf.DUMMYFUNCTION("VLOOKUP(Q26, IMPORTRANGE(""https://docs.google.com/spreadsheets/d/1yDAaXNsi4Mr5FtRQL4tbmSdIzhx6_m4wkOD7IG-k_eo/edit#gid=0"", ""Maths!M:N""), 2, FALSE)"),"Assess the effectiveness of rationalising the denominator in simplifying complex mathematical expression of type 1/c√a±b.")</f>
        <v>Assess the effectiveness of rationalising the denominator in simplifying complex mathematical expression of type 1/c√a±b.</v>
      </c>
      <c r="S26" s="69" t="str">
        <f t="shared" si="5"/>
        <v>LU001202.006</v>
      </c>
      <c r="T26" s="69" t="str">
        <f ca="1">IFERROR(__xludf.DUMMYFUNCTION("VLOOKUP(S26, IMPORTRANGE(""https://docs.google.com/spreadsheets/d/1yDAaXNsi4Mr5FtRQL4tbmSdIzhx6_m4wkOD7IG-k_eo/edit#gid=0"", ""Maths!M:N""), 2, FALSE)"),"Develop a set of problems that involve rationalising the denominator of expression of type 1/c√a±b containing radicals and solve them.")</f>
        <v>Develop a set of problems that involve rationalising the denominator of expression of type 1/c√a±b containing radicals and solve them.</v>
      </c>
      <c r="U26" s="11" t="str">
        <f ca="1">IFERROR(__xludf.DUMMYFUNCTION("ArrayFormula(VLOOKUP(G26, IMPORTRANGE(""https://docs.google.com/spreadsheets/d/1p7R4vtkWt5VOBim4ltsDG9KTzSjrtKXsMtQGXPHyND0/edit#gid=795171502"", ""'Filter 30_05_2024'!A1:M2000""), {2, 3, 4, 5,6,7,8,9,10,11,12,13}, 0))"),"#N/A")</f>
        <v>#N/A</v>
      </c>
      <c r="V26" s="11" t="str">
        <f ca="1">IFERROR(__xludf.DUMMYFUNCTION("""COMPUTED_VALUE"""),"#N/A")</f>
        <v>#N/A</v>
      </c>
      <c r="W26" s="11" t="str">
        <f ca="1">IFERROR(__xludf.DUMMYFUNCTION("""COMPUTED_VALUE"""),"#N/A")</f>
        <v>#N/A</v>
      </c>
      <c r="X26" s="11" t="str">
        <f ca="1">IFERROR(__xludf.DUMMYFUNCTION("""COMPUTED_VALUE"""),"#N/A")</f>
        <v>#N/A</v>
      </c>
      <c r="Y26" s="11" t="str">
        <f ca="1">IFERROR(__xludf.DUMMYFUNCTION("""COMPUTED_VALUE"""),"#N/A")</f>
        <v>#N/A</v>
      </c>
      <c r="Z26" s="12" t="str">
        <f ca="1">IFERROR(__xludf.DUMMYFUNCTION("""COMPUTED_VALUE"""),"#N/A")</f>
        <v>#N/A</v>
      </c>
      <c r="AA26" s="12" t="str">
        <f ca="1">IFERROR(__xludf.DUMMYFUNCTION("""COMPUTED_VALUE"""),"#N/A")</f>
        <v>#N/A</v>
      </c>
      <c r="AB26" s="12" t="str">
        <f ca="1">IFERROR(__xludf.DUMMYFUNCTION("""COMPUTED_VALUE"""),"#N/A")</f>
        <v>#N/A</v>
      </c>
      <c r="AC26" s="11" t="str">
        <f ca="1">IFERROR(__xludf.DUMMYFUNCTION("""COMPUTED_VALUE"""),"#N/A")</f>
        <v>#N/A</v>
      </c>
      <c r="AD26" s="12" t="str">
        <f ca="1">IFERROR(__xludf.DUMMYFUNCTION("""COMPUTED_VALUE"""),"#N/A")</f>
        <v>#N/A</v>
      </c>
      <c r="AE26" s="12" t="str">
        <f ca="1">IFERROR(__xludf.DUMMYFUNCTION("""COMPUTED_VALUE"""),"#N/A")</f>
        <v>#N/A</v>
      </c>
      <c r="AF26" s="12" t="str">
        <f ca="1">IFERROR(__xludf.DUMMYFUNCTION("""COMPUTED_VALUE"""),"#N/A")</f>
        <v>#N/A</v>
      </c>
      <c r="AG26" s="70" t="str">
        <f ca="1">IFERROR(__xludf.DUMMYFUNCTION("ArrayFormula(VLOOKUP(G26, IMPORTRANGE(""https://docs.google.com/spreadsheets/d/1Co934fvtviyaRiMsrIlT05Jaq7iiYq07aLvRr35KA48/edit?gid=173865642#gid=173865642"", ""'G9_Maths_Pri_LU'!G2:V2000""), {3, 4, 5, 6, 7, 8, 9, 10, 11, 12, 13, 14, 15, 16}, 0))"),"LU001198")</f>
        <v>LU001198</v>
      </c>
      <c r="AH26" s="70" t="str">
        <f ca="1">IFERROR(__xludf.DUMMYFUNCTION("""COMPUTED_VALUE"""),"Identity (a + √b)(a - √b) for positive real numbers a and b")</f>
        <v>Identity (a + √b)(a - √b) for positive real numbers a and b</v>
      </c>
      <c r="AI26" s="70" t="str">
        <f ca="1">IFERROR(__xludf.DUMMYFUNCTION("""COMPUTED_VALUE"""),"LU000649")</f>
        <v>LU000649</v>
      </c>
      <c r="AJ26" s="70" t="str">
        <f ca="1">IFERROR(__xludf.DUMMYFUNCTION("""COMPUTED_VALUE"""),"Square root of perfect square numbers through prime factorisation")</f>
        <v>Square root of perfect square numbers through prime factorisation</v>
      </c>
      <c r="AK26" s="70"/>
      <c r="AL26" s="70"/>
      <c r="AM26" s="13"/>
      <c r="AN26" s="13"/>
      <c r="AO26" s="13"/>
      <c r="AP26" s="13"/>
      <c r="AQ26" s="13"/>
      <c r="AR26" s="13"/>
      <c r="AS26" s="13"/>
      <c r="AT26" s="13"/>
    </row>
    <row r="27" spans="1:46">
      <c r="A27" s="8" t="s">
        <v>247</v>
      </c>
      <c r="B27" s="66" t="s">
        <v>47</v>
      </c>
      <c r="C27" s="66" t="s">
        <v>979</v>
      </c>
      <c r="D27" s="67" t="s">
        <v>732</v>
      </c>
      <c r="E27" s="67" t="s">
        <v>980</v>
      </c>
      <c r="F27" s="66" t="s">
        <v>1017</v>
      </c>
      <c r="G27" s="68" t="s">
        <v>1019</v>
      </c>
      <c r="H27" s="66" t="str">
        <f ca="1">IFERROR(__xludf.DUMMYFUNCTION("VLOOKUP(G27, IMPORTRANGE(""https://docs.google.com/spreadsheets/d/14deopnvwcrKtEGCKuYXdUHJbeLDZlkiSSWWT0g7x2pM/edit#gid=999382323"", ""LU List Maths (Filter)!A:B""), 2, FALSE)"),"Rationalisation of denominator (radical in denominator): 1/√a+√b where a and b are positive integers")</f>
        <v>Rationalisation of denominator (radical in denominator): 1/√a+√b where a and b are positive integers</v>
      </c>
      <c r="I27" s="69" t="str">
        <f t="shared" si="0"/>
        <v>LU001203.001</v>
      </c>
      <c r="J27" s="69" t="str">
        <f ca="1">IFERROR(__xludf.DUMMYFUNCTION("VLOOKUP(I27, IMPORTRANGE(""https://docs.google.com/spreadsheets/d/1yDAaXNsi4Mr5FtRQL4tbmSdIzhx6_m4wkOD7IG-k_eo/edit#gid=0"", ""Maths!M:N""), 2, FALSE)"),"Recall the steps involved in rationalising the denominator of an expression of type 1/√a+√b containing a radical.")</f>
        <v>Recall the steps involved in rationalising the denominator of an expression of type 1/√a+√b containing a radical.</v>
      </c>
      <c r="K27" s="69" t="str">
        <f t="shared" si="1"/>
        <v>LU001203.002</v>
      </c>
      <c r="L27" s="69" t="str">
        <f ca="1">IFERROR(__xludf.DUMMYFUNCTION("VLOOKUP(K27, IMPORTRANGE(""https://docs.google.com/spreadsheets/d/1yDAaXNsi4Mr5FtRQL4tbmSdIzhx6_m4wkOD7IG-k_eo/edit#gid=0"", ""Maths!M:N""), 2, FALSE)"),"Explain the purpose and method of rationalising the denominator in expressions like 1/√a+√b.")</f>
        <v>Explain the purpose and method of rationalising the denominator in expressions like 1/√a+√b.</v>
      </c>
      <c r="M27" s="69" t="str">
        <f t="shared" si="2"/>
        <v>LU001203.003</v>
      </c>
      <c r="N27" s="69" t="str">
        <f ca="1">IFERROR(__xludf.DUMMYFUNCTION("VLOOKUP(M27, IMPORTRANGE(""https://docs.google.com/spreadsheets/d/1yDAaXNsi4Mr5FtRQL4tbmSdIzhx6_m4wkOD7IG-k_eo/edit#gid=0"", ""Maths!M:N""), 2, FALSE)"),"Use appropriate techniques to rationalise the denominator of expressions such as 1/√a+√b.")</f>
        <v>Use appropriate techniques to rationalise the denominator of expressions such as 1/√a+√b.</v>
      </c>
      <c r="O27" s="69" t="str">
        <f t="shared" si="3"/>
        <v>LU001203.004</v>
      </c>
      <c r="P27" s="69" t="str">
        <f ca="1">IFERROR(__xludf.DUMMYFUNCTION("VLOOKUP(O27, IMPORTRANGE(""https://docs.google.com/spreadsheets/d/1yDAaXNsi4Mr5FtRQL4tbmSdIzhx6_m4wkOD7IG-k_eo/edit#gid=0"", ""Maths!M:N""), 2, FALSE)"),"Identify errors in rationalising the denominator of given expressions of type 1/√a+√b and correct them.")</f>
        <v>Identify errors in rationalising the denominator of given expressions of type 1/√a+√b and correct them.</v>
      </c>
      <c r="Q27" s="69" t="str">
        <f t="shared" si="4"/>
        <v>LU001203.005</v>
      </c>
      <c r="R27" s="69" t="str">
        <f ca="1">IFERROR(__xludf.DUMMYFUNCTION("VLOOKUP(Q27, IMPORTRANGE(""https://docs.google.com/spreadsheets/d/1yDAaXNsi4Mr5FtRQL4tbmSdIzhx6_m4wkOD7IG-k_eo/edit#gid=0"", ""Maths!M:N""), 2, FALSE)"),"Assess the effectiveness of rationalising the denominator in simplifying complex mathematical expression of type 1/√a+√b.")</f>
        <v>Assess the effectiveness of rationalising the denominator in simplifying complex mathematical expression of type 1/√a+√b.</v>
      </c>
      <c r="S27" s="69" t="str">
        <f t="shared" si="5"/>
        <v>LU001203.006</v>
      </c>
      <c r="T27" s="69" t="str">
        <f ca="1">IFERROR(__xludf.DUMMYFUNCTION("VLOOKUP(S27, IMPORTRANGE(""https://docs.google.com/spreadsheets/d/1yDAaXNsi4Mr5FtRQL4tbmSdIzhx6_m4wkOD7IG-k_eo/edit#gid=0"", ""Maths!M:N""), 2, FALSE)"),"Develop a set of problems that involve rationalising the denominator of expression of type 1/√a+√b containing radicals and solve them.")</f>
        <v>Develop a set of problems that involve rationalising the denominator of expression of type 1/√a+√b containing radicals and solve them.</v>
      </c>
      <c r="U27" s="11" t="str">
        <f ca="1">IFERROR(__xludf.DUMMYFUNCTION("ArrayFormula(VLOOKUP(G27, IMPORTRANGE(""https://docs.google.com/spreadsheets/d/1p7R4vtkWt5VOBim4ltsDG9KTzSjrtKXsMtQGXPHyND0/edit#gid=795171502"", ""'Filter 30_05_2024'!A1:M2000""), {2, 3, 4, 5,6,7,8,9,10,11,12,13}, 0))"),"#N/A")</f>
        <v>#N/A</v>
      </c>
      <c r="V27" s="11" t="str">
        <f ca="1">IFERROR(__xludf.DUMMYFUNCTION("""COMPUTED_VALUE"""),"#N/A")</f>
        <v>#N/A</v>
      </c>
      <c r="W27" s="11" t="str">
        <f ca="1">IFERROR(__xludf.DUMMYFUNCTION("""COMPUTED_VALUE"""),"#N/A")</f>
        <v>#N/A</v>
      </c>
      <c r="X27" s="11" t="str">
        <f ca="1">IFERROR(__xludf.DUMMYFUNCTION("""COMPUTED_VALUE"""),"#N/A")</f>
        <v>#N/A</v>
      </c>
      <c r="Y27" s="11" t="str">
        <f ca="1">IFERROR(__xludf.DUMMYFUNCTION("""COMPUTED_VALUE"""),"#N/A")</f>
        <v>#N/A</v>
      </c>
      <c r="Z27" s="12" t="str">
        <f ca="1">IFERROR(__xludf.DUMMYFUNCTION("""COMPUTED_VALUE"""),"#N/A")</f>
        <v>#N/A</v>
      </c>
      <c r="AA27" s="12" t="str">
        <f ca="1">IFERROR(__xludf.DUMMYFUNCTION("""COMPUTED_VALUE"""),"#N/A")</f>
        <v>#N/A</v>
      </c>
      <c r="AB27" s="12" t="str">
        <f ca="1">IFERROR(__xludf.DUMMYFUNCTION("""COMPUTED_VALUE"""),"#N/A")</f>
        <v>#N/A</v>
      </c>
      <c r="AC27" s="11" t="str">
        <f ca="1">IFERROR(__xludf.DUMMYFUNCTION("""COMPUTED_VALUE"""),"#N/A")</f>
        <v>#N/A</v>
      </c>
      <c r="AD27" s="12" t="str">
        <f ca="1">IFERROR(__xludf.DUMMYFUNCTION("""COMPUTED_VALUE"""),"#N/A")</f>
        <v>#N/A</v>
      </c>
      <c r="AE27" s="12" t="str">
        <f ca="1">IFERROR(__xludf.DUMMYFUNCTION("""COMPUTED_VALUE"""),"#N/A")</f>
        <v>#N/A</v>
      </c>
      <c r="AF27" s="12" t="str">
        <f ca="1">IFERROR(__xludf.DUMMYFUNCTION("""COMPUTED_VALUE"""),"#N/A")</f>
        <v>#N/A</v>
      </c>
      <c r="AG27" s="70" t="str">
        <f ca="1">IFERROR(__xludf.DUMMYFUNCTION("ArrayFormula(VLOOKUP(G27, IMPORTRANGE(""https://docs.google.com/spreadsheets/d/1Co934fvtviyaRiMsrIlT05Jaq7iiYq07aLvRr35KA48/edit?gid=173865642#gid=173865642"", ""'G9_Maths_Pri_LU'!G2:V2000""), {3, 4, 5, 6, 7, 8, 9, 10, 11, 12, 13, 14, 15, 16}, 0))"),"LU001197")</f>
        <v>LU001197</v>
      </c>
      <c r="AH27" s="70" t="str">
        <f ca="1">IFERROR(__xludf.DUMMYFUNCTION("""COMPUTED_VALUE"""),"Identity (√a + √b)(√a - √b) for positive real numbers a and b")</f>
        <v>Identity (√a + √b)(√a - √b) for positive real numbers a and b</v>
      </c>
      <c r="AI27" s="70" t="str">
        <f ca="1">IFERROR(__xludf.DUMMYFUNCTION("""COMPUTED_VALUE"""),"LU000649")</f>
        <v>LU000649</v>
      </c>
      <c r="AJ27" s="70" t="str">
        <f ca="1">IFERROR(__xludf.DUMMYFUNCTION("""COMPUTED_VALUE"""),"Square root of perfect square numbers through prime factorisation")</f>
        <v>Square root of perfect square numbers through prime factorisation</v>
      </c>
      <c r="AK27" s="70"/>
      <c r="AL27" s="70"/>
      <c r="AM27" s="13"/>
      <c r="AN27" s="13"/>
      <c r="AO27" s="13"/>
      <c r="AP27" s="13"/>
      <c r="AQ27" s="13"/>
      <c r="AR27" s="13"/>
      <c r="AS27" s="13"/>
      <c r="AT27" s="13"/>
    </row>
    <row r="28" spans="1:46">
      <c r="A28" s="8" t="s">
        <v>247</v>
      </c>
      <c r="B28" s="66" t="s">
        <v>47</v>
      </c>
      <c r="C28" s="66" t="s">
        <v>979</v>
      </c>
      <c r="D28" s="67" t="s">
        <v>732</v>
      </c>
      <c r="E28" s="67" t="s">
        <v>980</v>
      </c>
      <c r="F28" s="66" t="s">
        <v>1017</v>
      </c>
      <c r="G28" s="68" t="s">
        <v>1020</v>
      </c>
      <c r="H28" s="66" t="str">
        <f ca="1">IFERROR(__xludf.DUMMYFUNCTION("VLOOKUP(G28, IMPORTRANGE(""https://docs.google.com/spreadsheets/d/14deopnvwcrKtEGCKuYXdUHJbeLDZlkiSSWWT0g7x2pM/edit#gid=999382323"", ""LU List Maths (Filter)!A:B""), 2, FALSE)"),"Rationalisation of denominator (radical in denominator): 1/√a-√b where a and b are positive integers")</f>
        <v>Rationalisation of denominator (radical in denominator): 1/√a-√b where a and b are positive integers</v>
      </c>
      <c r="I28" s="69" t="str">
        <f t="shared" si="0"/>
        <v>LU001204.001</v>
      </c>
      <c r="J28" s="69" t="str">
        <f ca="1">IFERROR(__xludf.DUMMYFUNCTION("VLOOKUP(I28, IMPORTRANGE(""https://docs.google.com/spreadsheets/d/1yDAaXNsi4Mr5FtRQL4tbmSdIzhx6_m4wkOD7IG-k_eo/edit#gid=0"", ""Maths!M:N""), 2, FALSE)"),"Recall the steps involved in rationalising the denominator of an expression of type 1/√a-√b containing a radical.")</f>
        <v>Recall the steps involved in rationalising the denominator of an expression of type 1/√a-√b containing a radical.</v>
      </c>
      <c r="K28" s="69" t="str">
        <f t="shared" si="1"/>
        <v>LU001204.002</v>
      </c>
      <c r="L28" s="69" t="str">
        <f ca="1">IFERROR(__xludf.DUMMYFUNCTION("VLOOKUP(K28, IMPORTRANGE(""https://docs.google.com/spreadsheets/d/1yDAaXNsi4Mr5FtRQL4tbmSdIzhx6_m4wkOD7IG-k_eo/edit#gid=0"", ""Maths!M:N""), 2, FALSE)"),"Explain the purpose and method of rationalising the denominator in expressions like 1/√a-√b.")</f>
        <v>Explain the purpose and method of rationalising the denominator in expressions like 1/√a-√b.</v>
      </c>
      <c r="M28" s="69" t="str">
        <f t="shared" si="2"/>
        <v>LU001204.003</v>
      </c>
      <c r="N28" s="69" t="str">
        <f ca="1">IFERROR(__xludf.DUMMYFUNCTION("VLOOKUP(M28, IMPORTRANGE(""https://docs.google.com/spreadsheets/d/1yDAaXNsi4Mr5FtRQL4tbmSdIzhx6_m4wkOD7IG-k_eo/edit#gid=0"", ""Maths!M:N""), 2, FALSE)"),"Use appropriate techniques to rationalise the denominator of expressions such as 1/√a-√b.")</f>
        <v>Use appropriate techniques to rationalise the denominator of expressions such as 1/√a-√b.</v>
      </c>
      <c r="O28" s="69" t="str">
        <f t="shared" si="3"/>
        <v>LU001204.004</v>
      </c>
      <c r="P28" s="69" t="str">
        <f ca="1">IFERROR(__xludf.DUMMYFUNCTION("VLOOKUP(O28, IMPORTRANGE(""https://docs.google.com/spreadsheets/d/1yDAaXNsi4Mr5FtRQL4tbmSdIzhx6_m4wkOD7IG-k_eo/edit#gid=0"", ""Maths!M:N""), 2, FALSE)"),"Identify errors in rationalising the denominator of given expressions of type 1/√a-√b and correct them.")</f>
        <v>Identify errors in rationalising the denominator of given expressions of type 1/√a-√b and correct them.</v>
      </c>
      <c r="Q28" s="69" t="str">
        <f t="shared" si="4"/>
        <v>LU001204.005</v>
      </c>
      <c r="R28" s="69" t="str">
        <f ca="1">IFERROR(__xludf.DUMMYFUNCTION("VLOOKUP(Q28, IMPORTRANGE(""https://docs.google.com/spreadsheets/d/1yDAaXNsi4Mr5FtRQL4tbmSdIzhx6_m4wkOD7IG-k_eo/edit#gid=0"", ""Maths!M:N""), 2, FALSE)"),"Assess the effectiveness of rationalising the denominator in simplifying complex mathematical expression of type 1/√a-√b.")</f>
        <v>Assess the effectiveness of rationalising the denominator in simplifying complex mathematical expression of type 1/√a-√b.</v>
      </c>
      <c r="S28" s="69" t="str">
        <f t="shared" si="5"/>
        <v>LU001204.006</v>
      </c>
      <c r="T28" s="69" t="str">
        <f ca="1">IFERROR(__xludf.DUMMYFUNCTION("VLOOKUP(S28, IMPORTRANGE(""https://docs.google.com/spreadsheets/d/1yDAaXNsi4Mr5FtRQL4tbmSdIzhx6_m4wkOD7IG-k_eo/edit#gid=0"", ""Maths!M:N""), 2, FALSE)"),"Develop a set of problems that involve rationalising the denominator of expression of type 1/√a-√b containing radicals and solve them.")</f>
        <v>Develop a set of problems that involve rationalising the denominator of expression of type 1/√a-√b containing radicals and solve them.</v>
      </c>
      <c r="U28" s="11" t="str">
        <f ca="1">IFERROR(__xludf.DUMMYFUNCTION("ArrayFormula(VLOOKUP(G28, IMPORTRANGE(""https://docs.google.com/spreadsheets/d/1p7R4vtkWt5VOBim4ltsDG9KTzSjrtKXsMtQGXPHyND0/edit#gid=795171502"", ""'Filter 30_05_2024'!A1:M2000""), {2, 3, 4, 5,6,7,8,9,10,11,12,13}, 0))"),"#N/A")</f>
        <v>#N/A</v>
      </c>
      <c r="V28" s="11" t="str">
        <f ca="1">IFERROR(__xludf.DUMMYFUNCTION("""COMPUTED_VALUE"""),"#N/A")</f>
        <v>#N/A</v>
      </c>
      <c r="W28" s="11" t="str">
        <f ca="1">IFERROR(__xludf.DUMMYFUNCTION("""COMPUTED_VALUE"""),"#N/A")</f>
        <v>#N/A</v>
      </c>
      <c r="X28" s="11" t="str">
        <f ca="1">IFERROR(__xludf.DUMMYFUNCTION("""COMPUTED_VALUE"""),"#N/A")</f>
        <v>#N/A</v>
      </c>
      <c r="Y28" s="11" t="str">
        <f ca="1">IFERROR(__xludf.DUMMYFUNCTION("""COMPUTED_VALUE"""),"#N/A")</f>
        <v>#N/A</v>
      </c>
      <c r="Z28" s="12" t="str">
        <f ca="1">IFERROR(__xludf.DUMMYFUNCTION("""COMPUTED_VALUE"""),"#N/A")</f>
        <v>#N/A</v>
      </c>
      <c r="AA28" s="12" t="str">
        <f ca="1">IFERROR(__xludf.DUMMYFUNCTION("""COMPUTED_VALUE"""),"#N/A")</f>
        <v>#N/A</v>
      </c>
      <c r="AB28" s="12" t="str">
        <f ca="1">IFERROR(__xludf.DUMMYFUNCTION("""COMPUTED_VALUE"""),"#N/A")</f>
        <v>#N/A</v>
      </c>
      <c r="AC28" s="11" t="str">
        <f ca="1">IFERROR(__xludf.DUMMYFUNCTION("""COMPUTED_VALUE"""),"#N/A")</f>
        <v>#N/A</v>
      </c>
      <c r="AD28" s="12" t="str">
        <f ca="1">IFERROR(__xludf.DUMMYFUNCTION("""COMPUTED_VALUE"""),"#N/A")</f>
        <v>#N/A</v>
      </c>
      <c r="AE28" s="12" t="str">
        <f ca="1">IFERROR(__xludf.DUMMYFUNCTION("""COMPUTED_VALUE"""),"#N/A")</f>
        <v>#N/A</v>
      </c>
      <c r="AF28" s="12" t="str">
        <f ca="1">IFERROR(__xludf.DUMMYFUNCTION("""COMPUTED_VALUE"""),"#N/A")</f>
        <v>#N/A</v>
      </c>
      <c r="AG28" s="70" t="str">
        <f ca="1">IFERROR(__xludf.DUMMYFUNCTION("ArrayFormula(VLOOKUP(G28, IMPORTRANGE(""https://docs.google.com/spreadsheets/d/1Co934fvtviyaRiMsrIlT05Jaq7iiYq07aLvRr35KA48/edit?gid=173865642#gid=173865642"", ""'G9_Maths_Pri_LU'!G2:V2000""), {3, 4, 5, 6, 7, 8, 9, 10, 11, 12, 13, 14, 15, 16}, 0))"),"LU001197")</f>
        <v>LU001197</v>
      </c>
      <c r="AH28" s="70" t="str">
        <f ca="1">IFERROR(__xludf.DUMMYFUNCTION("""COMPUTED_VALUE"""),"Identity (√a + √b)(√a - √b) for positive real numbers a and b")</f>
        <v>Identity (√a + √b)(√a - √b) for positive real numbers a and b</v>
      </c>
      <c r="AI28" s="70" t="str">
        <f ca="1">IFERROR(__xludf.DUMMYFUNCTION("""COMPUTED_VALUE"""),"LU000649")</f>
        <v>LU000649</v>
      </c>
      <c r="AJ28" s="70" t="str">
        <f ca="1">IFERROR(__xludf.DUMMYFUNCTION("""COMPUTED_VALUE"""),"Square root of perfect square numbers through prime factorisation")</f>
        <v>Square root of perfect square numbers through prime factorisation</v>
      </c>
      <c r="AK28" s="70"/>
      <c r="AL28" s="70"/>
      <c r="AM28" s="13"/>
      <c r="AN28" s="13"/>
      <c r="AO28" s="13"/>
      <c r="AP28" s="13"/>
      <c r="AQ28" s="13"/>
      <c r="AR28" s="13"/>
      <c r="AS28" s="13"/>
      <c r="AT28" s="13"/>
    </row>
    <row r="29" spans="1:46">
      <c r="A29" s="8" t="s">
        <v>247</v>
      </c>
      <c r="B29" s="66" t="s">
        <v>47</v>
      </c>
      <c r="C29" s="66" t="s">
        <v>979</v>
      </c>
      <c r="D29" s="67" t="s">
        <v>732</v>
      </c>
      <c r="E29" s="67" t="s">
        <v>980</v>
      </c>
      <c r="F29" s="71" t="s">
        <v>1021</v>
      </c>
      <c r="G29" s="68" t="s">
        <v>1022</v>
      </c>
      <c r="H29" s="66" t="str">
        <f ca="1">IFERROR(__xludf.DUMMYFUNCTION("VLOOKUP(G29, IMPORTRANGE(""https://docs.google.com/spreadsheets/d/14deopnvwcrKtEGCKuYXdUHJbeLDZlkiSSWWT0g7x2pM/edit#gid=999382323"", ""LU List Maths (Filter)!A:B""), 2, FALSE)"),"Law of power of a power for non-zero real bases with rational exponents")</f>
        <v>Law of power of a power for non-zero real bases with rational exponents</v>
      </c>
      <c r="I29" s="69" t="str">
        <f t="shared" si="0"/>
        <v>LU001205.001</v>
      </c>
      <c r="J29" s="69" t="str">
        <f ca="1">IFERROR(__xludf.DUMMYFUNCTION("VLOOKUP(I29, IMPORTRANGE(""https://docs.google.com/spreadsheets/d/1yDAaXNsi4Mr5FtRQL4tbmSdIzhx6_m4wkOD7IG-k_eo/edit#gid=0"", ""Maths!M:N""), 2, FALSE)"),"Define the law of power of a power for non-zero real bases with rational exponents.")</f>
        <v>Define the law of power of a power for non-zero real bases with rational exponents.</v>
      </c>
      <c r="K29" s="69" t="str">
        <f t="shared" si="1"/>
        <v>LU001205.002</v>
      </c>
      <c r="L29" s="69" t="str">
        <f ca="1">IFERROR(__xludf.DUMMYFUNCTION("VLOOKUP(K29, IMPORTRANGE(""https://docs.google.com/spreadsheets/d/1yDAaXNsi4Mr5FtRQL4tbmSdIzhx6_m4wkOD7IG-k_eo/edit#gid=0"", ""Maths!M:N""), 2, FALSE)"),"Explain how the law of power of a power applies to non-zero real bases with rational exponents.")</f>
        <v>Explain how the law of power of a power applies to non-zero real bases with rational exponents.</v>
      </c>
      <c r="M29" s="69" t="str">
        <f t="shared" si="2"/>
        <v>LU001205.003</v>
      </c>
      <c r="N29" s="69" t="str">
        <f ca="1">IFERROR(__xludf.DUMMYFUNCTION("VLOOKUP(M29, IMPORTRANGE(""https://docs.google.com/spreadsheets/d/1yDAaXNsi4Mr5FtRQL4tbmSdIzhx6_m4wkOD7IG-k_eo/edit#gid=0"", ""Maths!M:N""), 2, FALSE)"),"Use the law of power of a power to simplify expressions with non-zero real bases and rational exponents.")</f>
        <v>Use the law of power of a power to simplify expressions with non-zero real bases and rational exponents.</v>
      </c>
      <c r="O29" s="69" t="str">
        <f t="shared" si="3"/>
        <v>LU001205.004</v>
      </c>
      <c r="P29" s="69" t="str">
        <f ca="1">IFERROR(__xludf.DUMMYFUNCTION("VLOOKUP(O29, IMPORTRANGE(""https://docs.google.com/spreadsheets/d/1yDAaXNsi4Mr5FtRQL4tbmSdIzhx6_m4wkOD7IG-k_eo/edit#gid=0"", ""Maths!M:N""), 2, FALSE)"),"Differentiate between expressions using the law of power of a power and other exponent laws.")</f>
        <v>Differentiate between expressions using the law of power of a power and other exponent laws.</v>
      </c>
      <c r="Q29" s="69" t="str">
        <f t="shared" si="4"/>
        <v>LU001205.005</v>
      </c>
      <c r="R29" s="69" t="str">
        <f ca="1">IFERROR(__xludf.DUMMYFUNCTION("VLOOKUP(Q29, IMPORTRANGE(""https://docs.google.com/spreadsheets/d/1yDAaXNsi4Mr5FtRQL4tbmSdIzhx6_m4wkOD7IG-k_eo/edit#gid=0"", ""Maths!M:N""), 2, FALSE)"),"Assess the correctness of simplifications using the law of power of a power for non-zero real bases and rational exponents.")</f>
        <v>Assess the correctness of simplifications using the law of power of a power for non-zero real bases and rational exponents.</v>
      </c>
      <c r="S29" s="69" t="str">
        <f t="shared" si="5"/>
        <v>LU001205.006</v>
      </c>
      <c r="T29" s="69" t="str">
        <f ca="1">IFERROR(__xludf.DUMMYFUNCTION("VLOOKUP(S29, IMPORTRANGE(""https://docs.google.com/spreadsheets/d/1yDAaXNsi4Mr5FtRQL4tbmSdIzhx6_m4wkOD7IG-k_eo/edit#gid=0"", ""Maths!M:N""), 2, FALSE)"),"Develop complex mathematical expressions using the law of power of a power for non-zero real bases and rational exponents.")</f>
        <v>Develop complex mathematical expressions using the law of power of a power for non-zero real bases and rational exponents.</v>
      </c>
      <c r="U29" s="11" t="str">
        <f ca="1">IFERROR(__xludf.DUMMYFUNCTION("ArrayFormula(VLOOKUP(G29, IMPORTRANGE(""https://docs.google.com/spreadsheets/d/1p7R4vtkWt5VOBim4ltsDG9KTzSjrtKXsMtQGXPHyND0/edit#gid=795171502"", ""'Filter 30_05_2024'!A1:M2000""), {2, 3, 4, 5,6,7,8,9,10,11,12,13}, 0))"),"#N/A")</f>
        <v>#N/A</v>
      </c>
      <c r="V29" s="11" t="str">
        <f ca="1">IFERROR(__xludf.DUMMYFUNCTION("""COMPUTED_VALUE"""),"#N/A")</f>
        <v>#N/A</v>
      </c>
      <c r="W29" s="11" t="str">
        <f ca="1">IFERROR(__xludf.DUMMYFUNCTION("""COMPUTED_VALUE"""),"#N/A")</f>
        <v>#N/A</v>
      </c>
      <c r="X29" s="11" t="str">
        <f ca="1">IFERROR(__xludf.DUMMYFUNCTION("""COMPUTED_VALUE"""),"#N/A")</f>
        <v>#N/A</v>
      </c>
      <c r="Y29" s="11" t="str">
        <f ca="1">IFERROR(__xludf.DUMMYFUNCTION("""COMPUTED_VALUE"""),"#N/A")</f>
        <v>#N/A</v>
      </c>
      <c r="Z29" s="12" t="str">
        <f ca="1">IFERROR(__xludf.DUMMYFUNCTION("""COMPUTED_VALUE"""),"#N/A")</f>
        <v>#N/A</v>
      </c>
      <c r="AA29" s="12" t="str">
        <f ca="1">IFERROR(__xludf.DUMMYFUNCTION("""COMPUTED_VALUE"""),"#N/A")</f>
        <v>#N/A</v>
      </c>
      <c r="AB29" s="12" t="str">
        <f ca="1">IFERROR(__xludf.DUMMYFUNCTION("""COMPUTED_VALUE"""),"#N/A")</f>
        <v>#N/A</v>
      </c>
      <c r="AC29" s="11" t="str">
        <f ca="1">IFERROR(__xludf.DUMMYFUNCTION("""COMPUTED_VALUE"""),"#N/A")</f>
        <v>#N/A</v>
      </c>
      <c r="AD29" s="12" t="str">
        <f ca="1">IFERROR(__xludf.DUMMYFUNCTION("""COMPUTED_VALUE"""),"#N/A")</f>
        <v>#N/A</v>
      </c>
      <c r="AE29" s="12" t="str">
        <f ca="1">IFERROR(__xludf.DUMMYFUNCTION("""COMPUTED_VALUE"""),"#N/A")</f>
        <v>#N/A</v>
      </c>
      <c r="AF29" s="12" t="str">
        <f ca="1">IFERROR(__xludf.DUMMYFUNCTION("""COMPUTED_VALUE"""),"#N/A")</f>
        <v>#N/A</v>
      </c>
      <c r="AG29" s="70" t="str">
        <f ca="1">IFERROR(__xludf.DUMMYFUNCTION("ArrayFormula(VLOOKUP(G29, IMPORTRANGE(""https://docs.google.com/spreadsheets/d/1Co934fvtviyaRiMsrIlT05Jaq7iiYq07aLvRr35KA48/edit?gid=173865642#gid=173865642"", ""'G9_Maths_Pri_LU'!G2:V2000""), {3, 4, 5, 6, 7, 8, 9, 10, 11, 12, 13, 14, 15, 16}, 0))"),"LU000528")</f>
        <v>LU000528</v>
      </c>
      <c r="AH29" s="70" t="str">
        <f ca="1">IFERROR(__xludf.DUMMYFUNCTION("""COMPUTED_VALUE"""),"Law of power of a power for rational numbers")</f>
        <v>Law of power of a power for rational numbers</v>
      </c>
      <c r="AI29" s="70" t="str">
        <f ca="1">IFERROR(__xludf.DUMMYFUNCTION("""COMPUTED_VALUE"""),"LU000517")</f>
        <v>LU000517</v>
      </c>
      <c r="AJ29" s="70" t="str">
        <f ca="1">IFERROR(__xludf.DUMMYFUNCTION("""COMPUTED_VALUE"""),"Definition of exponent of a number")</f>
        <v>Definition of exponent of a number</v>
      </c>
      <c r="AK29" s="70" t="str">
        <f ca="1">IFERROR(__xludf.DUMMYFUNCTION("""COMPUTED_VALUE"""),"LU000518")</f>
        <v>LU000518</v>
      </c>
      <c r="AL29" s="70" t="str">
        <f ca="1">IFERROR(__xludf.DUMMYFUNCTION("""COMPUTED_VALUE"""),"Definition of base of a number")</f>
        <v>Definition of base of a number</v>
      </c>
      <c r="AM29" s="13"/>
      <c r="AN29" s="13"/>
      <c r="AO29" s="13"/>
      <c r="AP29" s="13"/>
      <c r="AQ29" s="13"/>
      <c r="AR29" s="13"/>
      <c r="AS29" s="13"/>
      <c r="AT29" s="13"/>
    </row>
    <row r="30" spans="1:46">
      <c r="A30" s="8" t="s">
        <v>247</v>
      </c>
      <c r="B30" s="66" t="s">
        <v>47</v>
      </c>
      <c r="C30" s="66" t="s">
        <v>979</v>
      </c>
      <c r="D30" s="67" t="s">
        <v>732</v>
      </c>
      <c r="E30" s="67" t="s">
        <v>980</v>
      </c>
      <c r="F30" s="71" t="s">
        <v>1021</v>
      </c>
      <c r="G30" s="68" t="s">
        <v>1023</v>
      </c>
      <c r="H30" s="66" t="str">
        <f ca="1">IFERROR(__xludf.DUMMYFUNCTION("VLOOKUP(G30, IMPORTRANGE(""https://docs.google.com/spreadsheets/d/14deopnvwcrKtEGCKuYXdUHJbeLDZlkiSSWWT0g7x2pM/edit#gid=999382323"", ""LU List Maths (Filter)!A:B""), 2, FALSE)"),"Law of product of power for non-zero real bases with rational exponents")</f>
        <v>Law of product of power for non-zero real bases with rational exponents</v>
      </c>
      <c r="I30" s="69" t="str">
        <f t="shared" si="0"/>
        <v>LU001206.001</v>
      </c>
      <c r="J30" s="69" t="str">
        <f ca="1">IFERROR(__xludf.DUMMYFUNCTION("VLOOKUP(I30, IMPORTRANGE(""https://docs.google.com/spreadsheets/d/1yDAaXNsi4Mr5FtRQL4tbmSdIzhx6_m4wkOD7IG-k_eo/edit#gid=0"", ""Maths!M:N""), 2, FALSE)"),"Define the law of product of power for non-zero real bases with rational exponents.")</f>
        <v>Define the law of product of power for non-zero real bases with rational exponents.</v>
      </c>
      <c r="K30" s="69" t="str">
        <f t="shared" si="1"/>
        <v>LU001206.002</v>
      </c>
      <c r="L30" s="69" t="str">
        <f ca="1">IFERROR(__xludf.DUMMYFUNCTION("VLOOKUP(K30, IMPORTRANGE(""https://docs.google.com/spreadsheets/d/1yDAaXNsi4Mr5FtRQL4tbmSdIzhx6_m4wkOD7IG-k_eo/edit#gid=0"", ""Maths!M:N""), 2, FALSE)"),"Explain the application of the law of product of power with rational exponents.")</f>
        <v>Explain the application of the law of product of power with rational exponents.</v>
      </c>
      <c r="M30" s="69" t="str">
        <f t="shared" si="2"/>
        <v>LU001206.003</v>
      </c>
      <c r="N30" s="69" t="str">
        <f ca="1">IFERROR(__xludf.DUMMYFUNCTION("VLOOKUP(M30, IMPORTRANGE(""https://docs.google.com/spreadsheets/d/1yDAaXNsi4Mr5FtRQL4tbmSdIzhx6_m4wkOD7IG-k_eo/edit#gid=0"", ""Maths!M:N""), 2, FALSE)"),"Use the law of product of power to simplify expressions with non-zero real bases and rational exponents.")</f>
        <v>Use the law of product of power to simplify expressions with non-zero real bases and rational exponents.</v>
      </c>
      <c r="O30" s="69" t="str">
        <f t="shared" si="3"/>
        <v>LU001206.004</v>
      </c>
      <c r="P30" s="69" t="str">
        <f ca="1">IFERROR(__xludf.DUMMYFUNCTION("VLOOKUP(O30, IMPORTRANGE(""https://docs.google.com/spreadsheets/d/1yDAaXNsi4Mr5FtRQL4tbmSdIzhx6_m4wkOD7IG-k_eo/edit#gid=0"", ""Maths!M:N""), 2, FALSE)"),"Differentiate between expressions simplified using the law of product of power for non-zero real bases with rational exponents and other exponent laws.")</f>
        <v>Differentiate between expressions simplified using the law of product of power for non-zero real bases with rational exponents and other exponent laws.</v>
      </c>
      <c r="Q30" s="69" t="str">
        <f t="shared" si="4"/>
        <v>LU001206.005</v>
      </c>
      <c r="R30" s="69" t="str">
        <f ca="1">IFERROR(__xludf.DUMMYFUNCTION("VLOOKUP(Q30, IMPORTRANGE(""https://docs.google.com/spreadsheets/d/1yDAaXNsi4Mr5FtRQL4tbmSdIzhx6_m4wkOD7IG-k_eo/edit#gid=0"", ""Maths!M:N""), 2, FALSE)"),"Evaluate the correctness of simplifications using the law of product of power for non-zero real bases.")</f>
        <v>Evaluate the correctness of simplifications using the law of product of power for non-zero real bases.</v>
      </c>
      <c r="S30" s="69" t="str">
        <f t="shared" si="5"/>
        <v>LU001206.006</v>
      </c>
      <c r="T30" s="69" t="str">
        <f ca="1">IFERROR(__xludf.DUMMYFUNCTION("VLOOKUP(S30, IMPORTRANGE(""https://docs.google.com/spreadsheets/d/1yDAaXNsi4Mr5FtRQL4tbmSdIzhx6_m4wkOD7IG-k_eo/edit#gid=0"", ""Maths!M:N""), 2, FALSE)"),"Construct complex mathematical expressions using the law of product of power with non-zero real bases and rational exponents.")</f>
        <v>Construct complex mathematical expressions using the law of product of power with non-zero real bases and rational exponents.</v>
      </c>
      <c r="U30" s="11" t="str">
        <f ca="1">IFERROR(__xludf.DUMMYFUNCTION("ArrayFormula(VLOOKUP(G30, IMPORTRANGE(""https://docs.google.com/spreadsheets/d/1p7R4vtkWt5VOBim4ltsDG9KTzSjrtKXsMtQGXPHyND0/edit#gid=795171502"", ""'Filter 30_05_2024'!A1:M2000""), {2, 3, 4, 5,6,7,8,9,10,11,12,13}, 0))"),"#N/A")</f>
        <v>#N/A</v>
      </c>
      <c r="V30" s="11" t="str">
        <f ca="1">IFERROR(__xludf.DUMMYFUNCTION("""COMPUTED_VALUE"""),"#N/A")</f>
        <v>#N/A</v>
      </c>
      <c r="W30" s="11" t="str">
        <f ca="1">IFERROR(__xludf.DUMMYFUNCTION("""COMPUTED_VALUE"""),"#N/A")</f>
        <v>#N/A</v>
      </c>
      <c r="X30" s="11" t="str">
        <f ca="1">IFERROR(__xludf.DUMMYFUNCTION("""COMPUTED_VALUE"""),"#N/A")</f>
        <v>#N/A</v>
      </c>
      <c r="Y30" s="11" t="str">
        <f ca="1">IFERROR(__xludf.DUMMYFUNCTION("""COMPUTED_VALUE"""),"#N/A")</f>
        <v>#N/A</v>
      </c>
      <c r="Z30" s="12" t="str">
        <f ca="1">IFERROR(__xludf.DUMMYFUNCTION("""COMPUTED_VALUE"""),"#N/A")</f>
        <v>#N/A</v>
      </c>
      <c r="AA30" s="12" t="str">
        <f ca="1">IFERROR(__xludf.DUMMYFUNCTION("""COMPUTED_VALUE"""),"#N/A")</f>
        <v>#N/A</v>
      </c>
      <c r="AB30" s="12" t="str">
        <f ca="1">IFERROR(__xludf.DUMMYFUNCTION("""COMPUTED_VALUE"""),"#N/A")</f>
        <v>#N/A</v>
      </c>
      <c r="AC30" s="11" t="str">
        <f ca="1">IFERROR(__xludf.DUMMYFUNCTION("""COMPUTED_VALUE"""),"#N/A")</f>
        <v>#N/A</v>
      </c>
      <c r="AD30" s="12" t="str">
        <f ca="1">IFERROR(__xludf.DUMMYFUNCTION("""COMPUTED_VALUE"""),"#N/A")</f>
        <v>#N/A</v>
      </c>
      <c r="AE30" s="12" t="str">
        <f ca="1">IFERROR(__xludf.DUMMYFUNCTION("""COMPUTED_VALUE"""),"#N/A")</f>
        <v>#N/A</v>
      </c>
      <c r="AF30" s="12" t="str">
        <f ca="1">IFERROR(__xludf.DUMMYFUNCTION("""COMPUTED_VALUE"""),"#N/A")</f>
        <v>#N/A</v>
      </c>
      <c r="AG30" s="70" t="str">
        <f ca="1">IFERROR(__xludf.DUMMYFUNCTION("ArrayFormula(VLOOKUP(G30, IMPORTRANGE(""https://docs.google.com/spreadsheets/d/1Co934fvtviyaRiMsrIlT05Jaq7iiYq07aLvRr35KA48/edit?gid=173865642#gid=173865642"", ""'G9_Maths_Pri_LU'!G2:V2000""), {3, 4, 5, 6, 7, 8, 9, 10, 11, 12, 13, 14, 15, 16}, 0))"),"LU000522")</f>
        <v>LU000522</v>
      </c>
      <c r="AH30" s="70" t="str">
        <f ca="1">IFERROR(__xludf.DUMMYFUNCTION("""COMPUTED_VALUE"""),"Law of product of power with the same base for rational numbers")</f>
        <v>Law of product of power with the same base for rational numbers</v>
      </c>
      <c r="AI30" s="70" t="str">
        <f ca="1">IFERROR(__xludf.DUMMYFUNCTION("""COMPUTED_VALUE"""),"LU000517")</f>
        <v>LU000517</v>
      </c>
      <c r="AJ30" s="70" t="str">
        <f ca="1">IFERROR(__xludf.DUMMYFUNCTION("""COMPUTED_VALUE"""),"Definition of exponent of a number")</f>
        <v>Definition of exponent of a number</v>
      </c>
      <c r="AK30" s="70" t="str">
        <f ca="1">IFERROR(__xludf.DUMMYFUNCTION("""COMPUTED_VALUE"""),"LU000518")</f>
        <v>LU000518</v>
      </c>
      <c r="AL30" s="70" t="str">
        <f ca="1">IFERROR(__xludf.DUMMYFUNCTION("""COMPUTED_VALUE"""),"Definition of base of a number")</f>
        <v>Definition of base of a number</v>
      </c>
      <c r="AM30" s="13"/>
      <c r="AN30" s="13"/>
      <c r="AO30" s="13"/>
      <c r="AP30" s="13"/>
      <c r="AQ30" s="13"/>
      <c r="AR30" s="13"/>
      <c r="AS30" s="13"/>
      <c r="AT30" s="13"/>
    </row>
    <row r="31" spans="1:46">
      <c r="A31" s="8" t="s">
        <v>247</v>
      </c>
      <c r="B31" s="66" t="s">
        <v>47</v>
      </c>
      <c r="C31" s="66" t="s">
        <v>979</v>
      </c>
      <c r="D31" s="67" t="s">
        <v>732</v>
      </c>
      <c r="E31" s="67" t="s">
        <v>980</v>
      </c>
      <c r="F31" s="71" t="s">
        <v>1024</v>
      </c>
      <c r="G31" s="68" t="s">
        <v>1025</v>
      </c>
      <c r="H31" s="66" t="str">
        <f ca="1">IFERROR(__xludf.DUMMYFUNCTION("VLOOKUP(G31, IMPORTRANGE(""https://docs.google.com/spreadsheets/d/14deopnvwcrKtEGCKuYXdUHJbeLDZlkiSSWWT0g7x2pM/edit#gid=999382323"", ""LU List Maths (Filter)!A:B""), 2, FALSE)"),"Law of quotient of power for non-zero real bases with rational exponents")</f>
        <v>Law of quotient of power for non-zero real bases with rational exponents</v>
      </c>
      <c r="I31" s="69" t="str">
        <f t="shared" si="0"/>
        <v>LU001207.001</v>
      </c>
      <c r="J31" s="69" t="str">
        <f ca="1">IFERROR(__xludf.DUMMYFUNCTION("VLOOKUP(I31, IMPORTRANGE(""https://docs.google.com/spreadsheets/d/1yDAaXNsi4Mr5FtRQL4tbmSdIzhx6_m4wkOD7IG-k_eo/edit#gid=0"", ""Maths!M:N""), 2, FALSE)"),"Define the law of quotient of power for non-zero real bases with rational exponents.")</f>
        <v>Define the law of quotient of power for non-zero real bases with rational exponents.</v>
      </c>
      <c r="K31" s="69" t="str">
        <f t="shared" si="1"/>
        <v>LU001207.002</v>
      </c>
      <c r="L31" s="69" t="str">
        <f ca="1">IFERROR(__xludf.DUMMYFUNCTION("VLOOKUP(K31, IMPORTRANGE(""https://docs.google.com/spreadsheets/d/1yDAaXNsi4Mr5FtRQL4tbmSdIzhx6_m4wkOD7IG-k_eo/edit#gid=0"", ""Maths!M:N""), 2, FALSE)"),"Explain how the law of quotient of power applies to non-zero real bases with rational exponents.")</f>
        <v>Explain how the law of quotient of power applies to non-zero real bases with rational exponents.</v>
      </c>
      <c r="M31" s="69" t="str">
        <f t="shared" si="2"/>
        <v>LU001207.003</v>
      </c>
      <c r="N31" s="69" t="str">
        <f ca="1">IFERROR(__xludf.DUMMYFUNCTION("VLOOKUP(M31, IMPORTRANGE(""https://docs.google.com/spreadsheets/d/1yDAaXNsi4Mr5FtRQL4tbmSdIzhx6_m4wkOD7IG-k_eo/edit#gid=0"", ""Maths!M:N""), 2, FALSE)"),"Use the law of quotient of power to simplify expressions with non-zero real bases and rational exponents.")</f>
        <v>Use the law of quotient of power to simplify expressions with non-zero real bases and rational exponents.</v>
      </c>
      <c r="O31" s="69" t="str">
        <f t="shared" si="3"/>
        <v>LU001207.004</v>
      </c>
      <c r="P31" s="69" t="str">
        <f ca="1">IFERROR(__xludf.DUMMYFUNCTION("VLOOKUP(O31, IMPORTRANGE(""https://docs.google.com/spreadsheets/d/1yDAaXNsi4Mr5FtRQL4tbmSdIzhx6_m4wkOD7IG-k_eo/edit#gid=0"", ""Maths!M:N""), 2, FALSE)"),"Differentiate between expressions using the law of quotient of power for non-zero real bases with rational exponents and other exponent laws.")</f>
        <v>Differentiate between expressions using the law of quotient of power for non-zero real bases with rational exponents and other exponent laws.</v>
      </c>
      <c r="Q31" s="69" t="str">
        <f t="shared" si="4"/>
        <v>LU001207.005</v>
      </c>
      <c r="R31" s="69" t="str">
        <f ca="1">IFERROR(__xludf.DUMMYFUNCTION("VLOOKUP(Q31, IMPORTRANGE(""https://docs.google.com/spreadsheets/d/1yDAaXNsi4Mr5FtRQL4tbmSdIzhx6_m4wkOD7IG-k_eo/edit#gid=0"", ""Maths!M:N""), 2, FALSE)"),"Assess the correctness of simplifications using the law of quotient of power for non-zero real bases.")</f>
        <v>Assess the correctness of simplifications using the law of quotient of power for non-zero real bases.</v>
      </c>
      <c r="S31" s="69" t="str">
        <f t="shared" si="5"/>
        <v>LU001207.006</v>
      </c>
      <c r="T31" s="69" t="str">
        <f ca="1">IFERROR(__xludf.DUMMYFUNCTION("VLOOKUP(S31, IMPORTRANGE(""https://docs.google.com/spreadsheets/d/1yDAaXNsi4Mr5FtRQL4tbmSdIzhx6_m4wkOD7IG-k_eo/edit#gid=0"", ""Maths!M:N""), 2, FALSE)"),"Formulate complex expressions using the law of quotient of power for non-zero real bases and rational exponents.")</f>
        <v>Formulate complex expressions using the law of quotient of power for non-zero real bases and rational exponents.</v>
      </c>
      <c r="U31" s="11" t="str">
        <f ca="1">IFERROR(__xludf.DUMMYFUNCTION("ArrayFormula(VLOOKUP(G31, IMPORTRANGE(""https://docs.google.com/spreadsheets/d/1p7R4vtkWt5VOBim4ltsDG9KTzSjrtKXsMtQGXPHyND0/edit#gid=795171502"", ""'Filter 30_05_2024'!A1:M2000""), {2, 3, 4, 5,6,7,8,9,10,11,12,13}, 0))"),"#N/A")</f>
        <v>#N/A</v>
      </c>
      <c r="V31" s="11" t="str">
        <f ca="1">IFERROR(__xludf.DUMMYFUNCTION("""COMPUTED_VALUE"""),"#N/A")</f>
        <v>#N/A</v>
      </c>
      <c r="W31" s="11" t="str">
        <f ca="1">IFERROR(__xludf.DUMMYFUNCTION("""COMPUTED_VALUE"""),"#N/A")</f>
        <v>#N/A</v>
      </c>
      <c r="X31" s="11" t="str">
        <f ca="1">IFERROR(__xludf.DUMMYFUNCTION("""COMPUTED_VALUE"""),"#N/A")</f>
        <v>#N/A</v>
      </c>
      <c r="Y31" s="11" t="str">
        <f ca="1">IFERROR(__xludf.DUMMYFUNCTION("""COMPUTED_VALUE"""),"#N/A")</f>
        <v>#N/A</v>
      </c>
      <c r="Z31" s="12" t="str">
        <f ca="1">IFERROR(__xludf.DUMMYFUNCTION("""COMPUTED_VALUE"""),"#N/A")</f>
        <v>#N/A</v>
      </c>
      <c r="AA31" s="12" t="str">
        <f ca="1">IFERROR(__xludf.DUMMYFUNCTION("""COMPUTED_VALUE"""),"#N/A")</f>
        <v>#N/A</v>
      </c>
      <c r="AB31" s="12" t="str">
        <f ca="1">IFERROR(__xludf.DUMMYFUNCTION("""COMPUTED_VALUE"""),"#N/A")</f>
        <v>#N/A</v>
      </c>
      <c r="AC31" s="11" t="str">
        <f ca="1">IFERROR(__xludf.DUMMYFUNCTION("""COMPUTED_VALUE"""),"#N/A")</f>
        <v>#N/A</v>
      </c>
      <c r="AD31" s="12" t="str">
        <f ca="1">IFERROR(__xludf.DUMMYFUNCTION("""COMPUTED_VALUE"""),"#N/A")</f>
        <v>#N/A</v>
      </c>
      <c r="AE31" s="12" t="str">
        <f ca="1">IFERROR(__xludf.DUMMYFUNCTION("""COMPUTED_VALUE"""),"#N/A")</f>
        <v>#N/A</v>
      </c>
      <c r="AF31" s="12" t="str">
        <f ca="1">IFERROR(__xludf.DUMMYFUNCTION("""COMPUTED_VALUE"""),"#N/A")</f>
        <v>#N/A</v>
      </c>
      <c r="AG31" s="70" t="str">
        <f ca="1">IFERROR(__xludf.DUMMYFUNCTION("ArrayFormula(VLOOKUP(G31, IMPORTRANGE(""https://docs.google.com/spreadsheets/d/1Co934fvtviyaRiMsrIlT05Jaq7iiYq07aLvRr35KA48/edit?gid=173865642#gid=173865642"", ""'G9_Maths_Pri_LU'!G2:V2000""), {3, 4, 5, 6, 7, 8, 9, 10, 11, 12, 13, 14, 15, 16}, 0))"),"LU000525")</f>
        <v>LU000525</v>
      </c>
      <c r="AH31" s="70" t="str">
        <f ca="1">IFERROR(__xludf.DUMMYFUNCTION("""COMPUTED_VALUE"""),"Law of quotient of power with the same base for rational numbers")</f>
        <v>Law of quotient of power with the same base for rational numbers</v>
      </c>
      <c r="AI31" s="70" t="str">
        <f ca="1">IFERROR(__xludf.DUMMYFUNCTION("""COMPUTED_VALUE"""),"LU000517")</f>
        <v>LU000517</v>
      </c>
      <c r="AJ31" s="70" t="str">
        <f ca="1">IFERROR(__xludf.DUMMYFUNCTION("""COMPUTED_VALUE"""),"Definition of exponent of a number")</f>
        <v>Definition of exponent of a number</v>
      </c>
      <c r="AK31" s="70" t="str">
        <f ca="1">IFERROR(__xludf.DUMMYFUNCTION("""COMPUTED_VALUE"""),"LU000518")</f>
        <v>LU000518</v>
      </c>
      <c r="AL31" s="70" t="str">
        <f ca="1">IFERROR(__xludf.DUMMYFUNCTION("""COMPUTED_VALUE"""),"Definition of base of a number")</f>
        <v>Definition of base of a number</v>
      </c>
      <c r="AM31" s="13"/>
      <c r="AN31" s="13"/>
      <c r="AO31" s="13"/>
      <c r="AP31" s="13"/>
      <c r="AQ31" s="13"/>
      <c r="AR31" s="13"/>
      <c r="AS31" s="13"/>
      <c r="AT31" s="13"/>
    </row>
    <row r="32" spans="1:46">
      <c r="A32" s="8" t="s">
        <v>247</v>
      </c>
      <c r="B32" s="66" t="s">
        <v>47</v>
      </c>
      <c r="C32" s="66" t="s">
        <v>979</v>
      </c>
      <c r="D32" s="67" t="s">
        <v>732</v>
      </c>
      <c r="E32" s="67" t="s">
        <v>980</v>
      </c>
      <c r="F32" s="71" t="s">
        <v>1024</v>
      </c>
      <c r="G32" s="68" t="s">
        <v>1026</v>
      </c>
      <c r="H32" s="66" t="str">
        <f ca="1">IFERROR(__xludf.DUMMYFUNCTION("VLOOKUP(G32, IMPORTRANGE(""https://docs.google.com/spreadsheets/d/14deopnvwcrKtEGCKuYXdUHJbeLDZlkiSSWWT0g7x2pM/edit#gid=999382323"", ""LU List Maths (Filter)!A:B""), 2, FALSE)"),"Law of power of product for non-zero real bases with rational exponents")</f>
        <v>Law of power of product for non-zero real bases with rational exponents</v>
      </c>
      <c r="I32" s="69" t="str">
        <f t="shared" si="0"/>
        <v>LU001208.001</v>
      </c>
      <c r="J32" s="69" t="str">
        <f ca="1">IFERROR(__xludf.DUMMYFUNCTION("VLOOKUP(I32, IMPORTRANGE(""https://docs.google.com/spreadsheets/d/1yDAaXNsi4Mr5FtRQL4tbmSdIzhx6_m4wkOD7IG-k_eo/edit#gid=0"", ""Maths!M:N""), 2, FALSE)"),"Define the law of power of a product for non-zero real bases with rational exponents.")</f>
        <v>Define the law of power of a product for non-zero real bases with rational exponents.</v>
      </c>
      <c r="K32" s="69" t="str">
        <f t="shared" si="1"/>
        <v>LU001208.002</v>
      </c>
      <c r="L32" s="69" t="str">
        <f ca="1">IFERROR(__xludf.DUMMYFUNCTION("VLOOKUP(K32, IMPORTRANGE(""https://docs.google.com/spreadsheets/d/1yDAaXNsi4Mr5FtRQL4tbmSdIzhx6_m4wkOD7IG-k_eo/edit#gid=0"", ""Maths!M:N""), 2, FALSE)"),"Explain how the law of power of a product applies to non-zero real bases with rational exponents.")</f>
        <v>Explain how the law of power of a product applies to non-zero real bases with rational exponents.</v>
      </c>
      <c r="M32" s="69" t="str">
        <f t="shared" si="2"/>
        <v>LU001208.003</v>
      </c>
      <c r="N32" s="69" t="str">
        <f ca="1">IFERROR(__xludf.DUMMYFUNCTION("VLOOKUP(M32, IMPORTRANGE(""https://docs.google.com/spreadsheets/d/1yDAaXNsi4Mr5FtRQL4tbmSdIzhx6_m4wkOD7IG-k_eo/edit#gid=0"", ""Maths!M:N""), 2, FALSE)"),"Use the law of power of a product to simplify expressions involving non-zero real bases and rational exponents.")</f>
        <v>Use the law of power of a product to simplify expressions involving non-zero real bases and rational exponents.</v>
      </c>
      <c r="O32" s="69" t="str">
        <f t="shared" si="3"/>
        <v>LU001208.004</v>
      </c>
      <c r="P32" s="69" t="str">
        <f ca="1">IFERROR(__xludf.DUMMYFUNCTION("VLOOKUP(O32, IMPORTRANGE(""https://docs.google.com/spreadsheets/d/1yDAaXNsi4Mr5FtRQL4tbmSdIzhx6_m4wkOD7IG-k_eo/edit#gid=0"", ""Maths!M:N""), 2, FALSE)"),"Compare expressions simplified using the law of power of a product for non-zero real bases with those simplified using other exponent laws.")</f>
        <v>Compare expressions simplified using the law of power of a product for non-zero real bases with those simplified using other exponent laws.</v>
      </c>
      <c r="Q32" s="69" t="str">
        <f t="shared" si="4"/>
        <v>LU001208.005</v>
      </c>
      <c r="R32" s="69" t="str">
        <f ca="1">IFERROR(__xludf.DUMMYFUNCTION("VLOOKUP(Q32, IMPORTRANGE(""https://docs.google.com/spreadsheets/d/1yDAaXNsi4Mr5FtRQL4tbmSdIzhx6_m4wkOD7IG-k_eo/edit#gid=0"", ""Maths!M:N""), 2, FALSE)"),"Judge the accuracy of simplifications using the law of power of a product for non-zero real bases with rational exponents.")</f>
        <v>Judge the accuracy of simplifications using the law of power of a product for non-zero real bases with rational exponents.</v>
      </c>
      <c r="S32" s="69" t="str">
        <f t="shared" si="5"/>
        <v>LU001208.006</v>
      </c>
      <c r="T32" s="69" t="str">
        <f ca="1">IFERROR(__xludf.DUMMYFUNCTION("VLOOKUP(S32, IMPORTRANGE(""https://docs.google.com/spreadsheets/d/1yDAaXNsi4Mr5FtRQL4tbmSdIzhx6_m4wkOD7IG-k_eo/edit#gid=0"", ""Maths!M:N""), 2, FALSE)"),"Develop complex expressions using the law of power of a product with non-zero real bases and rational exponents.")</f>
        <v>Develop complex expressions using the law of power of a product with non-zero real bases and rational exponents.</v>
      </c>
      <c r="U32" s="11" t="str">
        <f ca="1">IFERROR(__xludf.DUMMYFUNCTION("ArrayFormula(VLOOKUP(G32, IMPORTRANGE(""https://docs.google.com/spreadsheets/d/1p7R4vtkWt5VOBim4ltsDG9KTzSjrtKXsMtQGXPHyND0/edit#gid=795171502"", ""'Filter 30_05_2024'!A1:M2000""), {2, 3, 4, 5,6,7,8,9,10,11,12,13}, 0))"),"#N/A")</f>
        <v>#N/A</v>
      </c>
      <c r="V32" s="11" t="str">
        <f ca="1">IFERROR(__xludf.DUMMYFUNCTION("""COMPUTED_VALUE"""),"#N/A")</f>
        <v>#N/A</v>
      </c>
      <c r="W32" s="11" t="str">
        <f ca="1">IFERROR(__xludf.DUMMYFUNCTION("""COMPUTED_VALUE"""),"#N/A")</f>
        <v>#N/A</v>
      </c>
      <c r="X32" s="11" t="str">
        <f ca="1">IFERROR(__xludf.DUMMYFUNCTION("""COMPUTED_VALUE"""),"#N/A")</f>
        <v>#N/A</v>
      </c>
      <c r="Y32" s="11" t="str">
        <f ca="1">IFERROR(__xludf.DUMMYFUNCTION("""COMPUTED_VALUE"""),"#N/A")</f>
        <v>#N/A</v>
      </c>
      <c r="Z32" s="12" t="str">
        <f ca="1">IFERROR(__xludf.DUMMYFUNCTION("""COMPUTED_VALUE"""),"#N/A")</f>
        <v>#N/A</v>
      </c>
      <c r="AA32" s="12" t="str">
        <f ca="1">IFERROR(__xludf.DUMMYFUNCTION("""COMPUTED_VALUE"""),"#N/A")</f>
        <v>#N/A</v>
      </c>
      <c r="AB32" s="12" t="str">
        <f ca="1">IFERROR(__xludf.DUMMYFUNCTION("""COMPUTED_VALUE"""),"#N/A")</f>
        <v>#N/A</v>
      </c>
      <c r="AC32" s="11" t="str">
        <f ca="1">IFERROR(__xludf.DUMMYFUNCTION("""COMPUTED_VALUE"""),"#N/A")</f>
        <v>#N/A</v>
      </c>
      <c r="AD32" s="12" t="str">
        <f ca="1">IFERROR(__xludf.DUMMYFUNCTION("""COMPUTED_VALUE"""),"#N/A")</f>
        <v>#N/A</v>
      </c>
      <c r="AE32" s="12" t="str">
        <f ca="1">IFERROR(__xludf.DUMMYFUNCTION("""COMPUTED_VALUE"""),"#N/A")</f>
        <v>#N/A</v>
      </c>
      <c r="AF32" s="12" t="str">
        <f ca="1">IFERROR(__xludf.DUMMYFUNCTION("""COMPUTED_VALUE"""),"#N/A")</f>
        <v>#N/A</v>
      </c>
      <c r="AG32" s="70" t="str">
        <f ca="1">IFERROR(__xludf.DUMMYFUNCTION("ArrayFormula(VLOOKUP(G32, IMPORTRANGE(""https://docs.google.com/spreadsheets/d/1Co934fvtviyaRiMsrIlT05Jaq7iiYq07aLvRr35KA48/edit?gid=173865642#gid=173865642"", ""'G9_Maths_Pri_LU'!G2:V2000""), {3, 4, 5, 6, 7, 8, 9, 10, 11, 12, 13, 14, 15, 16}, 0))"),"LU000517")</f>
        <v>LU000517</v>
      </c>
      <c r="AH32" s="70" t="str">
        <f ca="1">IFERROR(__xludf.DUMMYFUNCTION("""COMPUTED_VALUE"""),"Definition of exponent of a number")</f>
        <v>Definition of exponent of a number</v>
      </c>
      <c r="AI32" s="70" t="str">
        <f ca="1">IFERROR(__xludf.DUMMYFUNCTION("""COMPUTED_VALUE"""),"LU000518")</f>
        <v>LU000518</v>
      </c>
      <c r="AJ32" s="70" t="str">
        <f ca="1">IFERROR(__xludf.DUMMYFUNCTION("""COMPUTED_VALUE"""),"Definition of base of a number")</f>
        <v>Definition of base of a number</v>
      </c>
      <c r="AK32" s="70"/>
      <c r="AL32" s="70"/>
      <c r="AM32" s="13"/>
      <c r="AN32" s="13"/>
      <c r="AO32" s="13"/>
      <c r="AP32" s="13"/>
      <c r="AQ32" s="13"/>
      <c r="AR32" s="13"/>
      <c r="AS32" s="13"/>
      <c r="AT32" s="13"/>
    </row>
    <row r="33" spans="1:46">
      <c r="A33" s="8" t="s">
        <v>247</v>
      </c>
      <c r="B33" s="66" t="s">
        <v>47</v>
      </c>
      <c r="C33" s="66" t="s">
        <v>979</v>
      </c>
      <c r="D33" s="67" t="s">
        <v>732</v>
      </c>
      <c r="E33" s="67" t="s">
        <v>1027</v>
      </c>
      <c r="F33" s="66" t="s">
        <v>1028</v>
      </c>
      <c r="G33" s="68" t="s">
        <v>1029</v>
      </c>
      <c r="H33" s="71" t="str">
        <f ca="1">IFERROR(__xludf.DUMMYFUNCTION("VLOOKUP(G33, IMPORTRANGE(""https://docs.google.com/spreadsheets/d/14deopnvwcrKtEGCKuYXdUHJbeLDZlkiSSWWT0g7x2pM/edit#gid=999382323"", ""LU List Maths (Filter)!A:B""), 2, FALSE)"),"Definition of a polynomial")</f>
        <v>Definition of a polynomial</v>
      </c>
      <c r="I33" s="69" t="str">
        <f t="shared" si="0"/>
        <v>LU000509.001</v>
      </c>
      <c r="J33" s="69" t="str">
        <f ca="1">IFERROR(__xludf.DUMMYFUNCTION("VLOOKUP(I33, IMPORTRANGE(""https://docs.google.com/spreadsheets/d/1yDAaXNsi4Mr5FtRQL4tbmSdIzhx6_m4wkOD7IG-k_eo/edit#gid=0"", ""Maths!M:N""), 2, FALSE)"),"Define a polynomial.")</f>
        <v>Define a polynomial.</v>
      </c>
      <c r="K33" s="69" t="str">
        <f t="shared" si="1"/>
        <v>LU000509.002</v>
      </c>
      <c r="L33" s="69" t="str">
        <f ca="1">IFERROR(__xludf.DUMMYFUNCTION("VLOOKUP(K33, IMPORTRANGE(""https://docs.google.com/spreadsheets/d/1yDAaXNsi4Mr5FtRQL4tbmSdIzhx6_m4wkOD7IG-k_eo/edit#gid=0"", ""Maths!M:N""), 2, FALSE)"),"Explain the concept of a polynomial and identify its components such as variables, constants, and exponents.")</f>
        <v>Explain the concept of a polynomial and identify its components such as variables, constants, and exponents.</v>
      </c>
      <c r="M33" s="69" t="str">
        <f t="shared" si="2"/>
        <v>LU000509.003</v>
      </c>
      <c r="N33" s="69" t="str">
        <f ca="1">IFERROR(__xludf.DUMMYFUNCTION("VLOOKUP(M33, IMPORTRANGE(""https://docs.google.com/spreadsheets/d/1yDAaXNsi4Mr5FtRQL4tbmSdIzhx6_m4wkOD7IG-k_eo/edit#gid=0"", ""Maths!M:N""), 2, FALSE)"),"Apply the definition of a polynomial to determine whether a given expression is a polynomial or not.")</f>
        <v>Apply the definition of a polynomial to determine whether a given expression is a polynomial or not.</v>
      </c>
      <c r="O33" s="69" t="str">
        <f t="shared" si="3"/>
        <v>LU000509.004</v>
      </c>
      <c r="P33" s="69" t="str">
        <f ca="1">IFERROR(__xludf.DUMMYFUNCTION("VLOOKUP(O33, IMPORTRANGE(""https://docs.google.com/spreadsheets/d/1yDAaXNsi4Mr5FtRQL4tbmSdIzhx6_m4wkOD7IG-k_eo/edit#gid=0"", ""Maths!M:N""), 2, FALSE)"),"#N/A")</f>
        <v>#N/A</v>
      </c>
      <c r="Q33" s="69" t="str">
        <f t="shared" si="4"/>
        <v>LU000509.005</v>
      </c>
      <c r="R33" s="69" t="str">
        <f ca="1">IFERROR(__xludf.DUMMYFUNCTION("VLOOKUP(Q33, IMPORTRANGE(""https://docs.google.com/spreadsheets/d/1yDAaXNsi4Mr5FtRQL4tbmSdIzhx6_m4wkOD7IG-k_eo/edit#gid=0"", ""Maths!M:N""), 2, FALSE)"),"Evaluate the validity of statements about polynomials and differentiate them from non-polynomial expressions.")</f>
        <v>Evaluate the validity of statements about polynomials and differentiate them from non-polynomial expressions.</v>
      </c>
      <c r="S33" s="69" t="str">
        <f t="shared" si="5"/>
        <v>LU000509.006</v>
      </c>
      <c r="T33" s="69" t="str">
        <f ca="1">IFERROR(__xludf.DUMMYFUNCTION("VLOOKUP(S33, IMPORTRANGE(""https://docs.google.com/spreadsheets/d/1yDAaXNsi4Mr5FtRQL4tbmSdIzhx6_m4wkOD7IG-k_eo/edit#gid=0"", ""Maths!M:N""), 2, FALSE)"),"#N/A")</f>
        <v>#N/A</v>
      </c>
      <c r="U33" s="11">
        <f ca="1">IFERROR(__xludf.DUMMYFUNCTION("ArrayFormula(VLOOKUP(G33, IMPORTRANGE(""https://docs.google.com/spreadsheets/d/1p7R4vtkWt5VOBim4ltsDG9KTzSjrtKXsMtQGXPHyND0/edit#gid=795171502"", ""'Filter 30_05_2024'!A1:M2000""), {2, 3, 4, 5,6,7,8,9,10,11,12,13}, 0))"),4)</f>
        <v>4</v>
      </c>
      <c r="V33" s="11">
        <f ca="1">IFERROR(__xludf.DUMMYFUNCTION("""COMPUTED_VALUE"""),6)</f>
        <v>6</v>
      </c>
      <c r="W33" s="11">
        <f ca="1">IFERROR(__xludf.DUMMYFUNCTION("""COMPUTED_VALUE"""),2)</f>
        <v>2</v>
      </c>
      <c r="X33" s="11">
        <f ca="1">IFERROR(__xludf.DUMMYFUNCTION("""COMPUTED_VALUE"""),12)</f>
        <v>12</v>
      </c>
      <c r="Y33" s="11">
        <f ca="1">IFERROR(__xludf.DUMMYFUNCTION("""COMPUTED_VALUE"""),4)</f>
        <v>4</v>
      </c>
      <c r="Z33" s="12">
        <f ca="1">IFERROR(__xludf.DUMMYFUNCTION("""COMPUTED_VALUE"""),3)</f>
        <v>3</v>
      </c>
      <c r="AA33" s="12">
        <f ca="1">IFERROR(__xludf.DUMMYFUNCTION("""COMPUTED_VALUE"""),1)</f>
        <v>1</v>
      </c>
      <c r="AB33" s="12">
        <f ca="1">IFERROR(__xludf.DUMMYFUNCTION("""COMPUTED_VALUE"""),8)</f>
        <v>8</v>
      </c>
      <c r="AC33" s="11"/>
      <c r="AD33" s="12"/>
      <c r="AE33" s="12"/>
      <c r="AF33" s="12"/>
      <c r="AG33" s="70" t="str">
        <f ca="1">IFERROR(__xludf.DUMMYFUNCTION("ArrayFormula(VLOOKUP(G33, IMPORTRANGE(""https://docs.google.com/spreadsheets/d/1Co934fvtviyaRiMsrIlT05Jaq7iiYq07aLvRr35KA48/edit?gid=173865642#gid=173865642"", ""'G9_Maths_Pri_LU'!G2:V2000""), {3, 4, 5, 6, 7, 8, 9, 10, 11, 12, 13, 14, 15, 16}, 0))"),"LU000517")</f>
        <v>LU000517</v>
      </c>
      <c r="AH33" s="70" t="str">
        <f ca="1">IFERROR(__xludf.DUMMYFUNCTION("""COMPUTED_VALUE"""),"Definition of exponent of a number")</f>
        <v>Definition of exponent of a number</v>
      </c>
      <c r="AI33" s="70" t="str">
        <f ca="1">IFERROR(__xludf.DUMMYFUNCTION("""COMPUTED_VALUE"""),"LU000518")</f>
        <v>LU000518</v>
      </c>
      <c r="AJ33" s="70" t="str">
        <f ca="1">IFERROR(__xludf.DUMMYFUNCTION("""COMPUTED_VALUE"""),"Definition of base of a number")</f>
        <v>Definition of base of a number</v>
      </c>
      <c r="AK33" s="70" t="str">
        <f ca="1">IFERROR(__xludf.DUMMYFUNCTION("""COMPUTED_VALUE"""),"LU000508")</f>
        <v>LU000508</v>
      </c>
      <c r="AL33" s="70" t="str">
        <f ca="1">IFERROR(__xludf.DUMMYFUNCTION("""COMPUTED_VALUE"""),"Definition of like and unlike terms of algebraic expression")</f>
        <v>Definition of like and unlike terms of algebraic expression</v>
      </c>
      <c r="AM33" s="13" t="str">
        <f ca="1">IFERROR(__xludf.DUMMYFUNCTION("""COMPUTED_VALUE"""),"LU000505")</f>
        <v>LU000505</v>
      </c>
      <c r="AN33" s="13" t="str">
        <f ca="1">IFERROR(__xludf.DUMMYFUNCTION("""COMPUTED_VALUE"""),"Definition of a term of an algebraic expression")</f>
        <v>Definition of a term of an algebraic expression</v>
      </c>
      <c r="AO33" s="13"/>
      <c r="AP33" s="13"/>
      <c r="AQ33" s="13"/>
      <c r="AR33" s="13"/>
      <c r="AS33" s="13"/>
      <c r="AT33" s="13"/>
    </row>
    <row r="34" spans="1:46">
      <c r="A34" s="8" t="s">
        <v>247</v>
      </c>
      <c r="B34" s="66" t="s">
        <v>47</v>
      </c>
      <c r="C34" s="66" t="s">
        <v>979</v>
      </c>
      <c r="D34" s="67" t="s">
        <v>732</v>
      </c>
      <c r="E34" s="67" t="s">
        <v>1027</v>
      </c>
      <c r="F34" s="66" t="s">
        <v>1030</v>
      </c>
      <c r="G34" s="68" t="s">
        <v>1031</v>
      </c>
      <c r="H34" s="71" t="str">
        <f ca="1">IFERROR(__xludf.DUMMYFUNCTION("VLOOKUP(G34, IMPORTRANGE(""https://docs.google.com/spreadsheets/d/14deopnvwcrKtEGCKuYXdUHJbeLDZlkiSSWWT0g7x2pM/edit#gid=999382323"", ""LU List Maths (Filter)!A:B""), 2, FALSE)"),"Definition of constant polynomial")</f>
        <v>Definition of constant polynomial</v>
      </c>
      <c r="I34" s="69" t="str">
        <f t="shared" si="0"/>
        <v>LU000713.001</v>
      </c>
      <c r="J34" s="69" t="str">
        <f ca="1">IFERROR(__xludf.DUMMYFUNCTION("VLOOKUP(I34, IMPORTRANGE(""https://docs.google.com/spreadsheets/d/1yDAaXNsi4Mr5FtRQL4tbmSdIzhx6_m4wkOD7IG-k_eo/edit#gid=0"", ""Maths!M:N""), 2, FALSE)"),"State the definition of a constant polynomial.")</f>
        <v>State the definition of a constant polynomial.</v>
      </c>
      <c r="K34" s="69" t="str">
        <f t="shared" si="1"/>
        <v>LU000713.002</v>
      </c>
      <c r="L34" s="69" t="str">
        <f ca="1">IFERROR(__xludf.DUMMYFUNCTION("VLOOKUP(K34, IMPORTRANGE(""https://docs.google.com/spreadsheets/d/1yDAaXNsi4Mr5FtRQL4tbmSdIzhx6_m4wkOD7IG-k_eo/edit#gid=0"", ""Maths!M:N""), 2, FALSE)"),"Explain the characteristics of a constant polynomial and its significance.")</f>
        <v>Explain the characteristics of a constant polynomial and its significance.</v>
      </c>
      <c r="M34" s="69" t="str">
        <f t="shared" si="2"/>
        <v>LU000713.003</v>
      </c>
      <c r="N34" s="69" t="str">
        <f ca="1">IFERROR(__xludf.DUMMYFUNCTION("VLOOKUP(M34, IMPORTRANGE(""https://docs.google.com/spreadsheets/d/1yDAaXNsi4Mr5FtRQL4tbmSdIzhx6_m4wkOD7IG-k_eo/edit#gid=0"", ""Maths!M:N""), 2, FALSE)"),"Apply the knowledge of constant polynomials to identify examples of such polynomials.")</f>
        <v>Apply the knowledge of constant polynomials to identify examples of such polynomials.</v>
      </c>
      <c r="O34" s="69" t="str">
        <f t="shared" si="3"/>
        <v>LU000713.004</v>
      </c>
      <c r="P34" s="69" t="str">
        <f ca="1">IFERROR(__xludf.DUMMYFUNCTION("VLOOKUP(O34, IMPORTRANGE(""https://docs.google.com/spreadsheets/d/1yDAaXNsi4Mr5FtRQL4tbmSdIzhx6_m4wkOD7IG-k_eo/edit#gid=0"", ""Maths!M:N""), 2, FALSE)"),"Examine various polynomial expressions and classify them as either constant or non-constant polynomials.")</f>
        <v>Examine various polynomial expressions and classify them as either constant or non-constant polynomials.</v>
      </c>
      <c r="Q34" s="69" t="str">
        <f t="shared" si="4"/>
        <v>LU000713.005</v>
      </c>
      <c r="R34" s="69" t="str">
        <f ca="1">IFERROR(__xludf.DUMMYFUNCTION("VLOOKUP(Q34, IMPORTRANGE(""https://docs.google.com/spreadsheets/d/1yDAaXNsi4Mr5FtRQL4tbmSdIzhx6_m4wkOD7IG-k_eo/edit#gid=0"", ""Maths!M:N""), 2, FALSE)"),"Evaluate the degree of a constant polynomial and its implications.")</f>
        <v>Evaluate the degree of a constant polynomial and its implications.</v>
      </c>
      <c r="S34" s="69" t="str">
        <f t="shared" si="5"/>
        <v>LU000713.006</v>
      </c>
      <c r="T34" s="69" t="str">
        <f ca="1">IFERROR(__xludf.DUMMYFUNCTION("VLOOKUP(S34, IMPORTRANGE(""https://docs.google.com/spreadsheets/d/1yDAaXNsi4Mr5FtRQL4tbmSdIzhx6_m4wkOD7IG-k_eo/edit#gid=0"", ""Maths!M:N""), 2, FALSE)"),"#N/A")</f>
        <v>#N/A</v>
      </c>
      <c r="U34" s="11" t="str">
        <f ca="1">IFERROR(__xludf.DUMMYFUNCTION("ArrayFormula(VLOOKUP(G34, IMPORTRANGE(""https://docs.google.com/spreadsheets/d/1p7R4vtkWt5VOBim4ltsDG9KTzSjrtKXsMtQGXPHyND0/edit#gid=795171502"", ""'Filter 30_05_2024'!A1:M2000""), {2, 3, 4, 5,6,7,8,9,10,11,12,13}, 0))"),"#N/A")</f>
        <v>#N/A</v>
      </c>
      <c r="V34" s="11" t="str">
        <f ca="1">IFERROR(__xludf.DUMMYFUNCTION("""COMPUTED_VALUE"""),"#N/A")</f>
        <v>#N/A</v>
      </c>
      <c r="W34" s="11" t="str">
        <f ca="1">IFERROR(__xludf.DUMMYFUNCTION("""COMPUTED_VALUE"""),"#N/A")</f>
        <v>#N/A</v>
      </c>
      <c r="X34" s="11" t="str">
        <f ca="1">IFERROR(__xludf.DUMMYFUNCTION("""COMPUTED_VALUE"""),"#N/A")</f>
        <v>#N/A</v>
      </c>
      <c r="Y34" s="11" t="str">
        <f ca="1">IFERROR(__xludf.DUMMYFUNCTION("""COMPUTED_VALUE"""),"#N/A")</f>
        <v>#N/A</v>
      </c>
      <c r="Z34" s="12" t="str">
        <f ca="1">IFERROR(__xludf.DUMMYFUNCTION("""COMPUTED_VALUE"""),"#N/A")</f>
        <v>#N/A</v>
      </c>
      <c r="AA34" s="12" t="str">
        <f ca="1">IFERROR(__xludf.DUMMYFUNCTION("""COMPUTED_VALUE"""),"#N/A")</f>
        <v>#N/A</v>
      </c>
      <c r="AB34" s="12" t="str">
        <f ca="1">IFERROR(__xludf.DUMMYFUNCTION("""COMPUTED_VALUE"""),"#N/A")</f>
        <v>#N/A</v>
      </c>
      <c r="AC34" s="11" t="str">
        <f ca="1">IFERROR(__xludf.DUMMYFUNCTION("""COMPUTED_VALUE"""),"#N/A")</f>
        <v>#N/A</v>
      </c>
      <c r="AD34" s="12" t="str">
        <f ca="1">IFERROR(__xludf.DUMMYFUNCTION("""COMPUTED_VALUE"""),"#N/A")</f>
        <v>#N/A</v>
      </c>
      <c r="AE34" s="12" t="str">
        <f ca="1">IFERROR(__xludf.DUMMYFUNCTION("""COMPUTED_VALUE"""),"#N/A")</f>
        <v>#N/A</v>
      </c>
      <c r="AF34" s="12" t="str">
        <f ca="1">IFERROR(__xludf.DUMMYFUNCTION("""COMPUTED_VALUE"""),"#N/A")</f>
        <v>#N/A</v>
      </c>
      <c r="AG34" s="70" t="str">
        <f ca="1">IFERROR(__xludf.DUMMYFUNCTION("ArrayFormula(VLOOKUP(G34, IMPORTRANGE(""https://docs.google.com/spreadsheets/d/1Co934fvtviyaRiMsrIlT05Jaq7iiYq07aLvRr35KA48/edit?gid=173865642#gid=173865642"", ""'G9_Maths_Pri_LU'!G2:V2000""), {3, 4, 5, 6, 7, 8, 9, 10, 11, 12, 13, 14, 15, 16}, 0))"),"LU000509")</f>
        <v>LU000509</v>
      </c>
      <c r="AH34" s="70" t="str">
        <f ca="1">IFERROR(__xludf.DUMMYFUNCTION("""COMPUTED_VALUE"""),"Definition of a polynomial")</f>
        <v>Definition of a polynomial</v>
      </c>
      <c r="AI34" s="70" t="str">
        <f ca="1">IFERROR(__xludf.DUMMYFUNCTION("""COMPUTED_VALUE"""),"LU000330")</f>
        <v>LU000330</v>
      </c>
      <c r="AJ34" s="70" t="str">
        <f ca="1">IFERROR(__xludf.DUMMYFUNCTION("""COMPUTED_VALUE"""),"Definition of variable and constant")</f>
        <v>Definition of variable and constant</v>
      </c>
      <c r="AK34" s="70" t="str">
        <f ca="1">IFERROR(__xludf.DUMMYFUNCTION("""COMPUTED_VALUE"""),"LU000517")</f>
        <v>LU000517</v>
      </c>
      <c r="AL34" s="70" t="str">
        <f ca="1">IFERROR(__xludf.DUMMYFUNCTION("""COMPUTED_VALUE"""),"Definition of exponent of a number")</f>
        <v>Definition of exponent of a number</v>
      </c>
      <c r="AM34" s="13"/>
      <c r="AN34" s="13"/>
      <c r="AO34" s="13"/>
      <c r="AP34" s="13"/>
      <c r="AQ34" s="13"/>
      <c r="AR34" s="13"/>
      <c r="AS34" s="13"/>
      <c r="AT34" s="13"/>
    </row>
    <row r="35" spans="1:46">
      <c r="A35" s="8" t="s">
        <v>247</v>
      </c>
      <c r="B35" s="66" t="s">
        <v>47</v>
      </c>
      <c r="C35" s="66" t="s">
        <v>979</v>
      </c>
      <c r="D35" s="67" t="s">
        <v>732</v>
      </c>
      <c r="E35" s="67" t="s">
        <v>1027</v>
      </c>
      <c r="F35" s="66" t="s">
        <v>1030</v>
      </c>
      <c r="G35" s="68" t="s">
        <v>1032</v>
      </c>
      <c r="H35" s="71" t="str">
        <f ca="1">IFERROR(__xludf.DUMMYFUNCTION("VLOOKUP(G35, IMPORTRANGE(""https://docs.google.com/spreadsheets/d/14deopnvwcrKtEGCKuYXdUHJbeLDZlkiSSWWT0g7x2pM/edit#gid=999382323"", ""LU List Maths (Filter)!A:B""), 2, FALSE)"),"Definition of zero polynomial")</f>
        <v>Definition of zero polynomial</v>
      </c>
      <c r="I35" s="69" t="str">
        <f t="shared" si="0"/>
        <v>LU001262.001</v>
      </c>
      <c r="J35" s="69" t="str">
        <f ca="1">IFERROR(__xludf.DUMMYFUNCTION("VLOOKUP(I35, IMPORTRANGE(""https://docs.google.com/spreadsheets/d/1yDAaXNsi4Mr5FtRQL4tbmSdIzhx6_m4wkOD7IG-k_eo/edit#gid=0"", ""Maths!M:N""), 2, FALSE)"),"Define a zero polynomial.")</f>
        <v>Define a zero polynomial.</v>
      </c>
      <c r="K35" s="69" t="str">
        <f t="shared" si="1"/>
        <v>LU001262.002</v>
      </c>
      <c r="L35" s="69" t="str">
        <f ca="1">IFERROR(__xludf.DUMMYFUNCTION("VLOOKUP(K35, IMPORTRANGE(""https://docs.google.com/spreadsheets/d/1yDAaXNsi4Mr5FtRQL4tbmSdIzhx6_m4wkOD7IG-k_eo/edit#gid=0"", ""Maths!M:N""), 2, FALSE)"),"Explain why the degree of the zero polynomial is undefined.")</f>
        <v>Explain why the degree of the zero polynomial is undefined.</v>
      </c>
      <c r="M35" s="69" t="str">
        <f t="shared" si="2"/>
        <v>LU001262.003</v>
      </c>
      <c r="N35" s="69" t="str">
        <f ca="1">IFERROR(__xludf.DUMMYFUNCTION("VLOOKUP(M35, IMPORTRANGE(""https://docs.google.com/spreadsheets/d/1yDAaXNsi4Mr5FtRQL4tbmSdIzhx6_m4wkOD7IG-k_eo/edit#gid=0"", ""Maths!M:N""), 2, FALSE)"),"Identify a zero polynomial from a set of given polynomials.")</f>
        <v>Identify a zero polynomial from a set of given polynomials.</v>
      </c>
      <c r="O35" s="69" t="str">
        <f t="shared" si="3"/>
        <v>LU001262.004</v>
      </c>
      <c r="P35" s="69" t="str">
        <f ca="1">IFERROR(__xludf.DUMMYFUNCTION("VLOOKUP(O35, IMPORTRANGE(""https://docs.google.com/spreadsheets/d/1yDAaXNsi4Mr5FtRQL4tbmSdIzhx6_m4wkOD7IG-k_eo/edit#gid=0"", ""Maths!M:N""), 2, FALSE)"),"Differentiate between a zero polynomial and a polynomial with a zero constant term.")</f>
        <v>Differentiate between a zero polynomial and a polynomial with a zero constant term.</v>
      </c>
      <c r="Q35" s="69" t="str">
        <f t="shared" si="4"/>
        <v>LU001262.005</v>
      </c>
      <c r="R35" s="69" t="str">
        <f ca="1">IFERROR(__xludf.DUMMYFUNCTION("VLOOKUP(Q35, IMPORTRANGE(""https://docs.google.com/spreadsheets/d/1yDAaXNsi4Mr5FtRQL4tbmSdIzhx6_m4wkOD7IG-k_eo/edit#gid=0"", ""Maths!M:N""), 2, FALSE)"),"Assess the importance of the zero polynomial in polynomial operations.")</f>
        <v>Assess the importance of the zero polynomial in polynomial operations.</v>
      </c>
      <c r="S35" s="69" t="str">
        <f t="shared" si="5"/>
        <v>LU001262.006</v>
      </c>
      <c r="T35" s="69" t="str">
        <f ca="1">IFERROR(__xludf.DUMMYFUNCTION("VLOOKUP(S35, IMPORTRANGE(""https://docs.google.com/spreadsheets/d/1yDAaXNsi4Mr5FtRQL4tbmSdIzhx6_m4wkOD7IG-k_eo/edit#gid=0"", ""Maths!M:N""), 2, FALSE)"),"Formulate a mathematical problem where identifying a zero polynomial is crucial to the solution.")</f>
        <v>Formulate a mathematical problem where identifying a zero polynomial is crucial to the solution.</v>
      </c>
      <c r="U35" s="11" t="str">
        <f ca="1">IFERROR(__xludf.DUMMYFUNCTION("ArrayFormula(VLOOKUP(G35, IMPORTRANGE(""https://docs.google.com/spreadsheets/d/1p7R4vtkWt5VOBim4ltsDG9KTzSjrtKXsMtQGXPHyND0/edit#gid=795171502"", ""'Filter 30_05_2024'!A1:M2000""), {2, 3, 4, 5,6,7,8,9,10,11,12,13}, 0))"),"#N/A")</f>
        <v>#N/A</v>
      </c>
      <c r="V35" s="11" t="str">
        <f ca="1">IFERROR(__xludf.DUMMYFUNCTION("""COMPUTED_VALUE"""),"#N/A")</f>
        <v>#N/A</v>
      </c>
      <c r="W35" s="11" t="str">
        <f ca="1">IFERROR(__xludf.DUMMYFUNCTION("""COMPUTED_VALUE"""),"#N/A")</f>
        <v>#N/A</v>
      </c>
      <c r="X35" s="11" t="str">
        <f ca="1">IFERROR(__xludf.DUMMYFUNCTION("""COMPUTED_VALUE"""),"#N/A")</f>
        <v>#N/A</v>
      </c>
      <c r="Y35" s="11" t="str">
        <f ca="1">IFERROR(__xludf.DUMMYFUNCTION("""COMPUTED_VALUE"""),"#N/A")</f>
        <v>#N/A</v>
      </c>
      <c r="Z35" s="12" t="str">
        <f ca="1">IFERROR(__xludf.DUMMYFUNCTION("""COMPUTED_VALUE"""),"#N/A")</f>
        <v>#N/A</v>
      </c>
      <c r="AA35" s="12" t="str">
        <f ca="1">IFERROR(__xludf.DUMMYFUNCTION("""COMPUTED_VALUE"""),"#N/A")</f>
        <v>#N/A</v>
      </c>
      <c r="AB35" s="12" t="str">
        <f ca="1">IFERROR(__xludf.DUMMYFUNCTION("""COMPUTED_VALUE"""),"#N/A")</f>
        <v>#N/A</v>
      </c>
      <c r="AC35" s="11" t="str">
        <f ca="1">IFERROR(__xludf.DUMMYFUNCTION("""COMPUTED_VALUE"""),"#N/A")</f>
        <v>#N/A</v>
      </c>
      <c r="AD35" s="12" t="str">
        <f ca="1">IFERROR(__xludf.DUMMYFUNCTION("""COMPUTED_VALUE"""),"#N/A")</f>
        <v>#N/A</v>
      </c>
      <c r="AE35" s="12" t="str">
        <f ca="1">IFERROR(__xludf.DUMMYFUNCTION("""COMPUTED_VALUE"""),"#N/A")</f>
        <v>#N/A</v>
      </c>
      <c r="AF35" s="12" t="str">
        <f ca="1">IFERROR(__xludf.DUMMYFUNCTION("""COMPUTED_VALUE"""),"#N/A")</f>
        <v>#N/A</v>
      </c>
      <c r="AG35" s="70" t="str">
        <f ca="1">IFERROR(__xludf.DUMMYFUNCTION("ArrayFormula(VLOOKUP(G35, IMPORTRANGE(""https://docs.google.com/spreadsheets/d/1Co934fvtviyaRiMsrIlT05Jaq7iiYq07aLvRr35KA48/edit?gid=173865642#gid=173865642"", ""'G9_Maths_Pri_LU'!G2:V2000""), {3, 4, 5, 6, 7, 8, 9, 10, 11, 12, 13, 14, 15, 16}, 0))"),"LU000509")</f>
        <v>LU000509</v>
      </c>
      <c r="AH35" s="70" t="str">
        <f ca="1">IFERROR(__xludf.DUMMYFUNCTION("""COMPUTED_VALUE"""),"Definition of a polynomial")</f>
        <v>Definition of a polynomial</v>
      </c>
      <c r="AI35" s="70" t="str">
        <f ca="1">IFERROR(__xludf.DUMMYFUNCTION("""COMPUTED_VALUE"""),"LU000330")</f>
        <v>LU000330</v>
      </c>
      <c r="AJ35" s="70" t="str">
        <f ca="1">IFERROR(__xludf.DUMMYFUNCTION("""COMPUTED_VALUE"""),"Definition of variable and constant")</f>
        <v>Definition of variable and constant</v>
      </c>
      <c r="AK35" s="70"/>
      <c r="AL35" s="70"/>
      <c r="AM35" s="13"/>
      <c r="AN35" s="13"/>
      <c r="AO35" s="13"/>
      <c r="AP35" s="13"/>
      <c r="AQ35" s="13"/>
      <c r="AR35" s="13"/>
      <c r="AS35" s="13"/>
      <c r="AT35" s="13"/>
    </row>
    <row r="36" spans="1:46">
      <c r="A36" s="8" t="s">
        <v>247</v>
      </c>
      <c r="B36" s="66" t="s">
        <v>47</v>
      </c>
      <c r="C36" s="66" t="s">
        <v>979</v>
      </c>
      <c r="D36" s="67" t="s">
        <v>732</v>
      </c>
      <c r="E36" s="67" t="s">
        <v>1027</v>
      </c>
      <c r="F36" s="66" t="s">
        <v>1030</v>
      </c>
      <c r="G36" s="68" t="s">
        <v>1033</v>
      </c>
      <c r="H36" s="71" t="str">
        <f ca="1">IFERROR(__xludf.DUMMYFUNCTION("VLOOKUP(G36, IMPORTRANGE(""https://docs.google.com/spreadsheets/d/14deopnvwcrKtEGCKuYXdUHJbeLDZlkiSSWWT0g7x2pM/edit#gid=999382323"", ""LU List Maths (Filter)!A:B""), 2, FALSE)"),"Definition of degree of polynomial")</f>
        <v>Definition of degree of polynomial</v>
      </c>
      <c r="I36" s="69" t="str">
        <f t="shared" si="0"/>
        <v>LU000712.001</v>
      </c>
      <c r="J36" s="69" t="str">
        <f ca="1">IFERROR(__xludf.DUMMYFUNCTION("VLOOKUP(I36, IMPORTRANGE(""https://docs.google.com/spreadsheets/d/1yDAaXNsi4Mr5FtRQL4tbmSdIzhx6_m4wkOD7IG-k_eo/edit#gid=0"", ""Maths!M:N""), 2, FALSE)"),"Define the degree of a polynomial.")</f>
        <v>Define the degree of a polynomial.</v>
      </c>
      <c r="K36" s="69" t="str">
        <f t="shared" si="1"/>
        <v>LU000712.002</v>
      </c>
      <c r="L36" s="69" t="str">
        <f ca="1">IFERROR(__xludf.DUMMYFUNCTION("VLOOKUP(K36, IMPORTRANGE(""https://docs.google.com/spreadsheets/d/1yDAaXNsi4Mr5FtRQL4tbmSdIzhx6_m4wkOD7IG-k_eo/edit#gid=0"", ""Maths!M:N""), 2, FALSE)"),"State the degree of a polynomial in one variable.")</f>
        <v>State the degree of a polynomial in one variable.</v>
      </c>
      <c r="M36" s="69" t="str">
        <f t="shared" si="2"/>
        <v>LU000712.003</v>
      </c>
      <c r="N36" s="69" t="str">
        <f ca="1">IFERROR(__xludf.DUMMYFUNCTION("VLOOKUP(M36, IMPORTRANGE(""https://docs.google.com/spreadsheets/d/1yDAaXNsi4Mr5FtRQL4tbmSdIzhx6_m4wkOD7IG-k_eo/edit#gid=0"", ""Maths!M:N""), 2, FALSE)"),"Classify polynomials as linear, quadratic, cubic and quartic/biquadratic")</f>
        <v>Classify polynomials as linear, quadratic, cubic and quartic/biquadratic</v>
      </c>
      <c r="O36" s="69" t="str">
        <f t="shared" si="3"/>
        <v>LU000712.004</v>
      </c>
      <c r="P36" s="69" t="str">
        <f ca="1">IFERROR(__xludf.DUMMYFUNCTION("VLOOKUP(O36, IMPORTRANGE(""https://docs.google.com/spreadsheets/d/1yDAaXNsi4Mr5FtRQL4tbmSdIzhx6_m4wkOD7IG-k_eo/edit#gid=0"", ""Maths!M:N""), 2, FALSE)"),"Compare and contrast the degrees of two different polynomials.")</f>
        <v>Compare and contrast the degrees of two different polynomials.</v>
      </c>
      <c r="Q36" s="69" t="str">
        <f t="shared" si="4"/>
        <v>LU000712.005</v>
      </c>
      <c r="R36" s="69" t="str">
        <f ca="1">IFERROR(__xludf.DUMMYFUNCTION("VLOOKUP(Q36, IMPORTRANGE(""https://docs.google.com/spreadsheets/d/1yDAaXNsi4Mr5FtRQL4tbmSdIzhx6_m4wkOD7IG-k_eo/edit#gid=0"", ""Maths!M:N""), 2, FALSE)"),"Analyze a mathematical scenario involving a polynomial and determine the degree of the polynomial involved.")</f>
        <v>Analyze a mathematical scenario involving a polynomial and determine the degree of the polynomial involved.</v>
      </c>
      <c r="S36" s="69" t="str">
        <f t="shared" si="5"/>
        <v>LU000712.006</v>
      </c>
      <c r="T36" s="69" t="str">
        <f ca="1">IFERROR(__xludf.DUMMYFUNCTION("VLOOKUP(S36, IMPORTRANGE(""https://docs.google.com/spreadsheets/d/1yDAaXNsi4Mr5FtRQL4tbmSdIzhx6_m4wkOD7IG-k_eo/edit#gid=0"", ""Maths!M:N""), 2, FALSE)"),"Create a mathematical problem that involves finding the degree of a polynomial and then solve it.")</f>
        <v>Create a mathematical problem that involves finding the degree of a polynomial and then solve it.</v>
      </c>
      <c r="U36" s="11">
        <f ca="1">IFERROR(__xludf.DUMMYFUNCTION("ArrayFormula(VLOOKUP(G36, IMPORTRANGE(""https://docs.google.com/spreadsheets/d/1p7R4vtkWt5VOBim4ltsDG9KTzSjrtKXsMtQGXPHyND0/edit#gid=795171502"", ""'Filter 30_05_2024'!A1:M2000""), {2, 3, 4, 5,6,7,8,9,10,11,12,13}, 0))"),5)</f>
        <v>5</v>
      </c>
      <c r="V36" s="11">
        <f ca="1">IFERROR(__xludf.DUMMYFUNCTION("""COMPUTED_VALUE"""),6)</f>
        <v>6</v>
      </c>
      <c r="W36" s="11">
        <f ca="1">IFERROR(__xludf.DUMMYFUNCTION("""COMPUTED_VALUE"""),2)</f>
        <v>2</v>
      </c>
      <c r="X36" s="11">
        <f ca="1">IFERROR(__xludf.DUMMYFUNCTION("""COMPUTED_VALUE"""),13)</f>
        <v>13</v>
      </c>
      <c r="Y36" s="11">
        <f ca="1">IFERROR(__xludf.DUMMYFUNCTION("""COMPUTED_VALUE"""),4)</f>
        <v>4</v>
      </c>
      <c r="Z36" s="12">
        <f ca="1">IFERROR(__xludf.DUMMYFUNCTION("""COMPUTED_VALUE"""),3)</f>
        <v>3</v>
      </c>
      <c r="AA36" s="12">
        <f ca="1">IFERROR(__xludf.DUMMYFUNCTION("""COMPUTED_VALUE"""),1)</f>
        <v>1</v>
      </c>
      <c r="AB36" s="12">
        <f ca="1">IFERROR(__xludf.DUMMYFUNCTION("""COMPUTED_VALUE"""),8)</f>
        <v>8</v>
      </c>
      <c r="AC36" s="11"/>
      <c r="AD36" s="12"/>
      <c r="AE36" s="12"/>
      <c r="AF36" s="12"/>
      <c r="AG36" s="70" t="str">
        <f ca="1">IFERROR(__xludf.DUMMYFUNCTION("ArrayFormula(VLOOKUP(G36, IMPORTRANGE(""https://docs.google.com/spreadsheets/d/1Co934fvtviyaRiMsrIlT05Jaq7iiYq07aLvRr35KA48/edit?gid=173865642#gid=173865642"", ""'G9_Maths_Pri_LU'!G2:V2000""), {3, 4, 5, 6, 7, 8, 9, 10, 11, 12, 13, 14, 15, 16}, 0))"),"LU000517")</f>
        <v>LU000517</v>
      </c>
      <c r="AH36" s="70" t="str">
        <f ca="1">IFERROR(__xludf.DUMMYFUNCTION("""COMPUTED_VALUE"""),"Definition of exponent of a number")</f>
        <v>Definition of exponent of a number</v>
      </c>
      <c r="AI36" s="70" t="str">
        <f ca="1">IFERROR(__xludf.DUMMYFUNCTION("""COMPUTED_VALUE"""),"LU000509")</f>
        <v>LU000509</v>
      </c>
      <c r="AJ36" s="70" t="str">
        <f ca="1">IFERROR(__xludf.DUMMYFUNCTION("""COMPUTED_VALUE"""),"Definition of a polynomial")</f>
        <v>Definition of a polynomial</v>
      </c>
      <c r="AK36" s="70" t="str">
        <f ca="1">IFERROR(__xludf.DUMMYFUNCTION("""COMPUTED_VALUE"""),"LU000330")</f>
        <v>LU000330</v>
      </c>
      <c r="AL36" s="70" t="str">
        <f ca="1">IFERROR(__xludf.DUMMYFUNCTION("""COMPUTED_VALUE"""),"Definition of variable and constant")</f>
        <v>Definition of variable and constant</v>
      </c>
      <c r="AM36" s="13"/>
      <c r="AN36" s="13"/>
      <c r="AO36" s="13"/>
      <c r="AP36" s="13"/>
      <c r="AQ36" s="13"/>
      <c r="AR36" s="13"/>
      <c r="AS36" s="13"/>
      <c r="AT36" s="13"/>
    </row>
    <row r="37" spans="1:46">
      <c r="A37" s="8" t="s">
        <v>247</v>
      </c>
      <c r="B37" s="66" t="s">
        <v>47</v>
      </c>
      <c r="C37" s="66" t="s">
        <v>979</v>
      </c>
      <c r="D37" s="67" t="s">
        <v>732</v>
      </c>
      <c r="E37" s="67" t="s">
        <v>1027</v>
      </c>
      <c r="F37" s="66" t="s">
        <v>1034</v>
      </c>
      <c r="G37" s="68" t="s">
        <v>1035</v>
      </c>
      <c r="H37" s="71" t="str">
        <f ca="1">IFERROR(__xludf.DUMMYFUNCTION("VLOOKUP(G37, IMPORTRANGE(""https://docs.google.com/spreadsheets/d/14deopnvwcrKtEGCKuYXdUHJbeLDZlkiSSWWT0g7x2pM/edit#gid=999382323"", ""LU List Maths (Filter)!A:B""), 2, FALSE)"),"Definition of linear polynomial")</f>
        <v>Definition of linear polynomial</v>
      </c>
      <c r="I37" s="69" t="str">
        <f t="shared" si="0"/>
        <v>LU000763.001</v>
      </c>
      <c r="J37" s="69" t="str">
        <f ca="1">IFERROR(__xludf.DUMMYFUNCTION("VLOOKUP(I37, IMPORTRANGE(""https://docs.google.com/spreadsheets/d/1yDAaXNsi4Mr5FtRQL4tbmSdIzhx6_m4wkOD7IG-k_eo/edit#gid=0"", ""Maths!M:N""), 2, FALSE)"),"State the definition of a linear polynomial.")</f>
        <v>State the definition of a linear polynomial.</v>
      </c>
      <c r="K37" s="69" t="str">
        <f t="shared" si="1"/>
        <v>LU000763.002</v>
      </c>
      <c r="L37" s="69" t="str">
        <f ca="1">IFERROR(__xludf.DUMMYFUNCTION("VLOOKUP(K37, IMPORTRANGE(""https://docs.google.com/spreadsheets/d/1yDAaXNsi4Mr5FtRQL4tbmSdIzhx6_m4wkOD7IG-k_eo/edit#gid=0"", ""Maths!M:N""), 2, FALSE)"),"Explain the characteristics and properties of linear polynomials.")</f>
        <v>Explain the characteristics and properties of linear polynomials.</v>
      </c>
      <c r="M37" s="69" t="str">
        <f t="shared" si="2"/>
        <v>LU000763.003</v>
      </c>
      <c r="N37" s="69" t="str">
        <f ca="1">IFERROR(__xludf.DUMMYFUNCTION("VLOOKUP(M37, IMPORTRANGE(""https://docs.google.com/spreadsheets/d/1yDAaXNsi4Mr5FtRQL4tbmSdIzhx6_m4wkOD7IG-k_eo/edit#gid=0"", ""Maths!M:N""), 2, FALSE)"),"Apply the knowledge of linear polynomials to identify examples in real-world contexts.")</f>
        <v>Apply the knowledge of linear polynomials to identify examples in real-world contexts.</v>
      </c>
      <c r="O37" s="69" t="str">
        <f t="shared" si="3"/>
        <v>LU000763.004</v>
      </c>
      <c r="P37" s="69" t="str">
        <f ca="1">IFERROR(__xludf.DUMMYFUNCTION("VLOOKUP(O37, IMPORTRANGE(""https://docs.google.com/spreadsheets/d/1yDAaXNsi4Mr5FtRQL4tbmSdIzhx6_m4wkOD7IG-k_eo/edit#gid=0"", ""Maths!M:N""), 2, FALSE)"),"Analyse linear polynomial expressions to determine their properties and degree.")</f>
        <v>Analyse linear polynomial expressions to determine their properties and degree.</v>
      </c>
      <c r="Q37" s="69" t="str">
        <f t="shared" si="4"/>
        <v>LU000763.005</v>
      </c>
      <c r="R37" s="69" t="str">
        <f ca="1">IFERROR(__xludf.DUMMYFUNCTION("VLOOKUP(Q37, IMPORTRANGE(""https://docs.google.com/spreadsheets/d/1yDAaXNsi4Mr5FtRQL4tbmSdIzhx6_m4wkOD7IG-k_eo/edit#gid=0"", ""Maths!M:N""), 2, FALSE)"),"Assess whether a given equation represents a linear polynomial or not.")</f>
        <v>Assess whether a given equation represents a linear polynomial or not.</v>
      </c>
      <c r="S37" s="69" t="str">
        <f t="shared" si="5"/>
        <v>LU000763.006</v>
      </c>
      <c r="T37" s="69" t="str">
        <f ca="1">IFERROR(__xludf.DUMMYFUNCTION("VLOOKUP(S37, IMPORTRANGE(""https://docs.google.com/spreadsheets/d/1yDAaXNsi4Mr5FtRQL4tbmSdIzhx6_m4wkOD7IG-k_eo/edit#gid=0"", ""Maths!M:N""), 2, FALSE)"),"Create original linear polynomial expressions and provide explanations for their characteristics.")</f>
        <v>Create original linear polynomial expressions and provide explanations for their characteristics.</v>
      </c>
      <c r="U37" s="11" t="str">
        <f ca="1">IFERROR(__xludf.DUMMYFUNCTION("ArrayFormula(VLOOKUP(G37, IMPORTRANGE(""https://docs.google.com/spreadsheets/d/1p7R4vtkWt5VOBim4ltsDG9KTzSjrtKXsMtQGXPHyND0/edit#gid=795171502"", ""'Filter 30_05_2024'!A1:M2000""), {2, 3, 4, 5,6,7,8,9,10,11,12,13}, 0))"),"#N/A")</f>
        <v>#N/A</v>
      </c>
      <c r="V37" s="11" t="str">
        <f ca="1">IFERROR(__xludf.DUMMYFUNCTION("""COMPUTED_VALUE"""),"#N/A")</f>
        <v>#N/A</v>
      </c>
      <c r="W37" s="11" t="str">
        <f ca="1">IFERROR(__xludf.DUMMYFUNCTION("""COMPUTED_VALUE"""),"#N/A")</f>
        <v>#N/A</v>
      </c>
      <c r="X37" s="11" t="str">
        <f ca="1">IFERROR(__xludf.DUMMYFUNCTION("""COMPUTED_VALUE"""),"#N/A")</f>
        <v>#N/A</v>
      </c>
      <c r="Y37" s="11" t="str">
        <f ca="1">IFERROR(__xludf.DUMMYFUNCTION("""COMPUTED_VALUE"""),"#N/A")</f>
        <v>#N/A</v>
      </c>
      <c r="Z37" s="12" t="str">
        <f ca="1">IFERROR(__xludf.DUMMYFUNCTION("""COMPUTED_VALUE"""),"#N/A")</f>
        <v>#N/A</v>
      </c>
      <c r="AA37" s="12" t="str">
        <f ca="1">IFERROR(__xludf.DUMMYFUNCTION("""COMPUTED_VALUE"""),"#N/A")</f>
        <v>#N/A</v>
      </c>
      <c r="AB37" s="12" t="str">
        <f ca="1">IFERROR(__xludf.DUMMYFUNCTION("""COMPUTED_VALUE"""),"#N/A")</f>
        <v>#N/A</v>
      </c>
      <c r="AC37" s="11" t="str">
        <f ca="1">IFERROR(__xludf.DUMMYFUNCTION("""COMPUTED_VALUE"""),"#N/A")</f>
        <v>#N/A</v>
      </c>
      <c r="AD37" s="12" t="str">
        <f ca="1">IFERROR(__xludf.DUMMYFUNCTION("""COMPUTED_VALUE"""),"#N/A")</f>
        <v>#N/A</v>
      </c>
      <c r="AE37" s="12" t="str">
        <f ca="1">IFERROR(__xludf.DUMMYFUNCTION("""COMPUTED_VALUE"""),"#N/A")</f>
        <v>#N/A</v>
      </c>
      <c r="AF37" s="12" t="str">
        <f ca="1">IFERROR(__xludf.DUMMYFUNCTION("""COMPUTED_VALUE"""),"#N/A")</f>
        <v>#N/A</v>
      </c>
      <c r="AG37" s="70" t="str">
        <f ca="1">IFERROR(__xludf.DUMMYFUNCTION("ArrayFormula(VLOOKUP(G37, IMPORTRANGE(""https://docs.google.com/spreadsheets/d/1Co934fvtviyaRiMsrIlT05Jaq7iiYq07aLvRr35KA48/edit?gid=173865642#gid=173865642"", ""'G9_Maths_Pri_LU'!G2:V2000""), {3, 4, 5, 6, 7, 8, 9, 10, 11, 12, 13, 14, 15, 16}, 0))"),"LU000712")</f>
        <v>LU000712</v>
      </c>
      <c r="AH37" s="70" t="str">
        <f ca="1">IFERROR(__xludf.DUMMYFUNCTION("""COMPUTED_VALUE"""),"Definition of degree of polynomial")</f>
        <v>Definition of degree of polynomial</v>
      </c>
      <c r="AI37" s="70" t="str">
        <f ca="1">IFERROR(__xludf.DUMMYFUNCTION("""COMPUTED_VALUE"""),"LU000509")</f>
        <v>LU000509</v>
      </c>
      <c r="AJ37" s="70" t="str">
        <f ca="1">IFERROR(__xludf.DUMMYFUNCTION("""COMPUTED_VALUE"""),"Definition of a polynomial")</f>
        <v>Definition of a polynomial</v>
      </c>
      <c r="AK37" s="70"/>
      <c r="AL37" s="70"/>
      <c r="AM37" s="13"/>
      <c r="AN37" s="13"/>
      <c r="AO37" s="13"/>
      <c r="AP37" s="13"/>
      <c r="AQ37" s="13"/>
      <c r="AR37" s="13"/>
      <c r="AS37" s="13"/>
      <c r="AT37" s="13"/>
    </row>
    <row r="38" spans="1:46">
      <c r="A38" s="8" t="s">
        <v>247</v>
      </c>
      <c r="B38" s="66" t="s">
        <v>47</v>
      </c>
      <c r="C38" s="66" t="s">
        <v>979</v>
      </c>
      <c r="D38" s="67" t="s">
        <v>732</v>
      </c>
      <c r="E38" s="67" t="s">
        <v>1027</v>
      </c>
      <c r="F38" s="66" t="s">
        <v>1034</v>
      </c>
      <c r="G38" s="68" t="s">
        <v>1036</v>
      </c>
      <c r="H38" s="71" t="str">
        <f ca="1">IFERROR(__xludf.DUMMYFUNCTION("VLOOKUP(G38, IMPORTRANGE(""https://docs.google.com/spreadsheets/d/14deopnvwcrKtEGCKuYXdUHJbeLDZlkiSSWWT0g7x2pM/edit#gid=999382323"", ""LU List Maths (Filter)!A:B""), 2, FALSE)"),"Definition of quadratic polynomial")</f>
        <v>Definition of quadratic polynomial</v>
      </c>
      <c r="I38" s="69" t="str">
        <f t="shared" si="0"/>
        <v>LU000762.001</v>
      </c>
      <c r="J38" s="69" t="str">
        <f ca="1">IFERROR(__xludf.DUMMYFUNCTION("VLOOKUP(I38, IMPORTRANGE(""https://docs.google.com/spreadsheets/d/1yDAaXNsi4Mr5FtRQL4tbmSdIzhx6_m4wkOD7IG-k_eo/edit#gid=0"", ""Maths!M:N""), 2, FALSE)"),"State the definition of a quadratic polynomial and its general form.")</f>
        <v>State the definition of a quadratic polynomial and its general form.</v>
      </c>
      <c r="K38" s="69" t="str">
        <f t="shared" si="1"/>
        <v>LU000762.002</v>
      </c>
      <c r="L38" s="69" t="str">
        <f ca="1">IFERROR(__xludf.DUMMYFUNCTION("VLOOKUP(K38, IMPORTRANGE(""https://docs.google.com/spreadsheets/d/1yDAaXNsi4Mr5FtRQL4tbmSdIzhx6_m4wkOD7IG-k_eo/edit#gid=0"", ""Maths!M:N""), 2, FALSE)"),"Explain the characteristics and properties of quadratic polynomials.")</f>
        <v>Explain the characteristics and properties of quadratic polynomials.</v>
      </c>
      <c r="M38" s="69" t="str">
        <f t="shared" si="2"/>
        <v>LU000762.003</v>
      </c>
      <c r="N38" s="69" t="str">
        <f ca="1">IFERROR(__xludf.DUMMYFUNCTION("VLOOKUP(M38, IMPORTRANGE(""https://docs.google.com/spreadsheets/d/1yDAaXNsi4Mr5FtRQL4tbmSdIzhx6_m4wkOD7IG-k_eo/edit#gid=0"", ""Maths!M:N""), 2, FALSE)"),"Apply the knowledge of quadratic polynomials to identify examples in real-world contexts.")</f>
        <v>Apply the knowledge of quadratic polynomials to identify examples in real-world contexts.</v>
      </c>
      <c r="O38" s="69" t="str">
        <f t="shared" si="3"/>
        <v>LU000762.004</v>
      </c>
      <c r="P38" s="69" t="str">
        <f ca="1">IFERROR(__xludf.DUMMYFUNCTION("VLOOKUP(O38, IMPORTRANGE(""https://docs.google.com/spreadsheets/d/1yDAaXNsi4Mr5FtRQL4tbmSdIzhx6_m4wkOD7IG-k_eo/edit#gid=0"", ""Maths!M:N""), 2, FALSE)"),"Examine quadratic expressions and determine whether they meet the criteria of a quadratic polynomial.")</f>
        <v>Examine quadratic expressions and determine whether they meet the criteria of a quadratic polynomial.</v>
      </c>
      <c r="Q38" s="69" t="str">
        <f t="shared" si="4"/>
        <v>LU000762.005</v>
      </c>
      <c r="R38" s="69" t="str">
        <f ca="1">IFERROR(__xludf.DUMMYFUNCTION("VLOOKUP(Q38, IMPORTRANGE(""https://docs.google.com/spreadsheets/d/1yDAaXNsi4Mr5FtRQL4tbmSdIzhx6_m4wkOD7IG-k_eo/edit#gid=0"", ""Maths!M:N""), 2, FALSE)"),"Assess whether a given equation represents a quadratic polynomial or not.")</f>
        <v>Assess whether a given equation represents a quadratic polynomial or not.</v>
      </c>
      <c r="S38" s="69" t="str">
        <f t="shared" si="5"/>
        <v>LU000762.006</v>
      </c>
      <c r="T38" s="69" t="str">
        <f ca="1">IFERROR(__xludf.DUMMYFUNCTION("VLOOKUP(S38, IMPORTRANGE(""https://docs.google.com/spreadsheets/d/1yDAaXNsi4Mr5FtRQL4tbmSdIzhx6_m4wkOD7IG-k_eo/edit#gid=0"", ""Maths!M:N""), 2, FALSE)"),"Create original quadratic polynomial expressions and provide explanations for their characteristics.")</f>
        <v>Create original quadratic polynomial expressions and provide explanations for their characteristics.</v>
      </c>
      <c r="U38" s="11" t="str">
        <f ca="1">IFERROR(__xludf.DUMMYFUNCTION("ArrayFormula(VLOOKUP(G38, IMPORTRANGE(""https://docs.google.com/spreadsheets/d/1p7R4vtkWt5VOBim4ltsDG9KTzSjrtKXsMtQGXPHyND0/edit#gid=795171502"", ""'Filter 30_05_2024'!A1:M2000""), {2, 3, 4, 5,6,7,8,9,10,11,12,13}, 0))"),"#N/A")</f>
        <v>#N/A</v>
      </c>
      <c r="V38" s="11" t="str">
        <f ca="1">IFERROR(__xludf.DUMMYFUNCTION("""COMPUTED_VALUE"""),"#N/A")</f>
        <v>#N/A</v>
      </c>
      <c r="W38" s="11" t="str">
        <f ca="1">IFERROR(__xludf.DUMMYFUNCTION("""COMPUTED_VALUE"""),"#N/A")</f>
        <v>#N/A</v>
      </c>
      <c r="X38" s="11" t="str">
        <f ca="1">IFERROR(__xludf.DUMMYFUNCTION("""COMPUTED_VALUE"""),"#N/A")</f>
        <v>#N/A</v>
      </c>
      <c r="Y38" s="11" t="str">
        <f ca="1">IFERROR(__xludf.DUMMYFUNCTION("""COMPUTED_VALUE"""),"#N/A")</f>
        <v>#N/A</v>
      </c>
      <c r="Z38" s="12" t="str">
        <f ca="1">IFERROR(__xludf.DUMMYFUNCTION("""COMPUTED_VALUE"""),"#N/A")</f>
        <v>#N/A</v>
      </c>
      <c r="AA38" s="12" t="str">
        <f ca="1">IFERROR(__xludf.DUMMYFUNCTION("""COMPUTED_VALUE"""),"#N/A")</f>
        <v>#N/A</v>
      </c>
      <c r="AB38" s="12" t="str">
        <f ca="1">IFERROR(__xludf.DUMMYFUNCTION("""COMPUTED_VALUE"""),"#N/A")</f>
        <v>#N/A</v>
      </c>
      <c r="AC38" s="11" t="str">
        <f ca="1">IFERROR(__xludf.DUMMYFUNCTION("""COMPUTED_VALUE"""),"#N/A")</f>
        <v>#N/A</v>
      </c>
      <c r="AD38" s="12" t="str">
        <f ca="1">IFERROR(__xludf.DUMMYFUNCTION("""COMPUTED_VALUE"""),"#N/A")</f>
        <v>#N/A</v>
      </c>
      <c r="AE38" s="12" t="str">
        <f ca="1">IFERROR(__xludf.DUMMYFUNCTION("""COMPUTED_VALUE"""),"#N/A")</f>
        <v>#N/A</v>
      </c>
      <c r="AF38" s="12" t="str">
        <f ca="1">IFERROR(__xludf.DUMMYFUNCTION("""COMPUTED_VALUE"""),"#N/A")</f>
        <v>#N/A</v>
      </c>
      <c r="AG38" s="70" t="str">
        <f ca="1">IFERROR(__xludf.DUMMYFUNCTION("ArrayFormula(VLOOKUP(G38, IMPORTRANGE(""https://docs.google.com/spreadsheets/d/1Co934fvtviyaRiMsrIlT05Jaq7iiYq07aLvRr35KA48/edit?gid=173865642#gid=173865642"", ""'G9_Maths_Pri_LU'!G2:V2000""), {3, 4, 5, 6, 7, 8, 9, 10, 11, 12, 13, 14, 15, 16}, 0))"),"LU000712")</f>
        <v>LU000712</v>
      </c>
      <c r="AH38" s="70" t="str">
        <f ca="1">IFERROR(__xludf.DUMMYFUNCTION("""COMPUTED_VALUE"""),"Definition of degree of polynomial")</f>
        <v>Definition of degree of polynomial</v>
      </c>
      <c r="AI38" s="70" t="str">
        <f ca="1">IFERROR(__xludf.DUMMYFUNCTION("""COMPUTED_VALUE"""),"LU000763")</f>
        <v>LU000763</v>
      </c>
      <c r="AJ38" s="70" t="str">
        <f ca="1">IFERROR(__xludf.DUMMYFUNCTION("""COMPUTED_VALUE"""),"Definition of linear polynomial")</f>
        <v>Definition of linear polynomial</v>
      </c>
      <c r="AK38" s="70"/>
      <c r="AL38" s="70"/>
      <c r="AM38" s="13"/>
      <c r="AN38" s="13"/>
      <c r="AO38" s="13"/>
      <c r="AP38" s="13"/>
      <c r="AQ38" s="13"/>
      <c r="AR38" s="13"/>
      <c r="AS38" s="13"/>
      <c r="AT38" s="13"/>
    </row>
    <row r="39" spans="1:46">
      <c r="A39" s="8" t="s">
        <v>247</v>
      </c>
      <c r="B39" s="66" t="s">
        <v>47</v>
      </c>
      <c r="C39" s="66" t="s">
        <v>979</v>
      </c>
      <c r="D39" s="67" t="s">
        <v>732</v>
      </c>
      <c r="E39" s="67" t="s">
        <v>1027</v>
      </c>
      <c r="F39" s="66" t="s">
        <v>1034</v>
      </c>
      <c r="G39" s="68" t="s">
        <v>1037</v>
      </c>
      <c r="H39" s="71" t="str">
        <f ca="1">IFERROR(__xludf.DUMMYFUNCTION("VLOOKUP(G39, IMPORTRANGE(""https://docs.google.com/spreadsheets/d/14deopnvwcrKtEGCKuYXdUHJbeLDZlkiSSWWT0g7x2pM/edit#gid=999382323"", ""LU List Maths (Filter)!A:B""), 2, FALSE)"),"Definition of cubic polynomial")</f>
        <v>Definition of cubic polynomial</v>
      </c>
      <c r="I39" s="69" t="str">
        <f t="shared" si="0"/>
        <v>LU000764.001</v>
      </c>
      <c r="J39" s="69" t="str">
        <f ca="1">IFERROR(__xludf.DUMMYFUNCTION("VLOOKUP(I39, IMPORTRANGE(""https://docs.google.com/spreadsheets/d/1yDAaXNsi4Mr5FtRQL4tbmSdIzhx6_m4wkOD7IG-k_eo/edit#gid=0"", ""Maths!M:N""), 2, FALSE)"),"State the definition of a cubic polynomial.")</f>
        <v>State the definition of a cubic polynomial.</v>
      </c>
      <c r="K39" s="69" t="str">
        <f t="shared" si="1"/>
        <v>LU000764.002</v>
      </c>
      <c r="L39" s="69" t="str">
        <f ca="1">IFERROR(__xludf.DUMMYFUNCTION("VLOOKUP(K39, IMPORTRANGE(""https://docs.google.com/spreadsheets/d/1yDAaXNsi4Mr5FtRQL4tbmSdIzhx6_m4wkOD7IG-k_eo/edit#gid=0"", ""Maths!M:N""), 2, FALSE)"),"Describe the key features of a cubic polynomial, including its degree and the number of terms it contains.")</f>
        <v>Describe the key features of a cubic polynomial, including its degree and the number of terms it contains.</v>
      </c>
      <c r="M39" s="69" t="str">
        <f t="shared" si="2"/>
        <v>LU000764.003</v>
      </c>
      <c r="N39" s="69" t="str">
        <f ca="1">IFERROR(__xludf.DUMMYFUNCTION("VLOOKUP(M39, IMPORTRANGE(""https://docs.google.com/spreadsheets/d/1yDAaXNsi4Mr5FtRQL4tbmSdIzhx6_m4wkOD7IG-k_eo/edit#gid=0"", ""Maths!M:N""), 2, FALSE)"),"Identify cubic polynomial expressions from a set of given expressions.")</f>
        <v>Identify cubic polynomial expressions from a set of given expressions.</v>
      </c>
      <c r="O39" s="69" t="str">
        <f t="shared" si="3"/>
        <v>LU000764.004</v>
      </c>
      <c r="P39" s="69" t="str">
        <f ca="1">IFERROR(__xludf.DUMMYFUNCTION("VLOOKUP(O39, IMPORTRANGE(""https://docs.google.com/spreadsheets/d/1yDAaXNsi4Mr5FtRQL4tbmSdIzhx6_m4wkOD7IG-k_eo/edit#gid=0"", ""Maths!M:N""), 2, FALSE)"),"Examine a cubic polynomial expression and identify its highest degree term, coefficients, and constant term.")</f>
        <v>Examine a cubic polynomial expression and identify its highest degree term, coefficients, and constant term.</v>
      </c>
      <c r="Q39" s="69" t="str">
        <f t="shared" si="4"/>
        <v>LU000764.005</v>
      </c>
      <c r="R39" s="69" t="str">
        <f ca="1">IFERROR(__xludf.DUMMYFUNCTION("VLOOKUP(Q39, IMPORTRANGE(""https://docs.google.com/spreadsheets/d/1yDAaXNsi4Mr5FtRQL4tbmSdIzhx6_m4wkOD7IG-k_eo/edit#gid=0"", ""Maths!M:N""), 2, FALSE)"),"Assess whether a given equation represents a cubic polynomial or not.")</f>
        <v>Assess whether a given equation represents a cubic polynomial or not.</v>
      </c>
      <c r="S39" s="69" t="str">
        <f t="shared" si="5"/>
        <v>LU000764.006</v>
      </c>
      <c r="T39" s="69" t="str">
        <f ca="1">IFERROR(__xludf.DUMMYFUNCTION("VLOOKUP(S39, IMPORTRANGE(""https://docs.google.com/spreadsheets/d/1yDAaXNsi4Mr5FtRQL4tbmSdIzhx6_m4wkOD7IG-k_eo/edit#gid=0"", ""Maths!M:N""), 2, FALSE)"),"Create original cubic polynomial expressions, ensuring proper degree and coefficients.")</f>
        <v>Create original cubic polynomial expressions, ensuring proper degree and coefficients.</v>
      </c>
      <c r="U39" s="11" t="str">
        <f ca="1">IFERROR(__xludf.DUMMYFUNCTION("ArrayFormula(VLOOKUP(G39, IMPORTRANGE(""https://docs.google.com/spreadsheets/d/1p7R4vtkWt5VOBim4ltsDG9KTzSjrtKXsMtQGXPHyND0/edit#gid=795171502"", ""'Filter 30_05_2024'!A1:M2000""), {2, 3, 4, 5,6,7,8,9,10,11,12,13}, 0))"),"#N/A")</f>
        <v>#N/A</v>
      </c>
      <c r="V39" s="11" t="str">
        <f ca="1">IFERROR(__xludf.DUMMYFUNCTION("""COMPUTED_VALUE"""),"#N/A")</f>
        <v>#N/A</v>
      </c>
      <c r="W39" s="11" t="str">
        <f ca="1">IFERROR(__xludf.DUMMYFUNCTION("""COMPUTED_VALUE"""),"#N/A")</f>
        <v>#N/A</v>
      </c>
      <c r="X39" s="11" t="str">
        <f ca="1">IFERROR(__xludf.DUMMYFUNCTION("""COMPUTED_VALUE"""),"#N/A")</f>
        <v>#N/A</v>
      </c>
      <c r="Y39" s="11" t="str">
        <f ca="1">IFERROR(__xludf.DUMMYFUNCTION("""COMPUTED_VALUE"""),"#N/A")</f>
        <v>#N/A</v>
      </c>
      <c r="Z39" s="12" t="str">
        <f ca="1">IFERROR(__xludf.DUMMYFUNCTION("""COMPUTED_VALUE"""),"#N/A")</f>
        <v>#N/A</v>
      </c>
      <c r="AA39" s="12" t="str">
        <f ca="1">IFERROR(__xludf.DUMMYFUNCTION("""COMPUTED_VALUE"""),"#N/A")</f>
        <v>#N/A</v>
      </c>
      <c r="AB39" s="12" t="str">
        <f ca="1">IFERROR(__xludf.DUMMYFUNCTION("""COMPUTED_VALUE"""),"#N/A")</f>
        <v>#N/A</v>
      </c>
      <c r="AC39" s="11" t="str">
        <f ca="1">IFERROR(__xludf.DUMMYFUNCTION("""COMPUTED_VALUE"""),"#N/A")</f>
        <v>#N/A</v>
      </c>
      <c r="AD39" s="12" t="str">
        <f ca="1">IFERROR(__xludf.DUMMYFUNCTION("""COMPUTED_VALUE"""),"#N/A")</f>
        <v>#N/A</v>
      </c>
      <c r="AE39" s="12" t="str">
        <f ca="1">IFERROR(__xludf.DUMMYFUNCTION("""COMPUTED_VALUE"""),"#N/A")</f>
        <v>#N/A</v>
      </c>
      <c r="AF39" s="12" t="str">
        <f ca="1">IFERROR(__xludf.DUMMYFUNCTION("""COMPUTED_VALUE"""),"#N/A")</f>
        <v>#N/A</v>
      </c>
      <c r="AG39" s="70" t="str">
        <f ca="1">IFERROR(__xludf.DUMMYFUNCTION("ArrayFormula(VLOOKUP(G39, IMPORTRANGE(""https://docs.google.com/spreadsheets/d/1Co934fvtviyaRiMsrIlT05Jaq7iiYq07aLvRr35KA48/edit?gid=173865642#gid=173865642"", ""'G9_Maths_Pri_LU'!G2:V2000""), {3, 4, 5, 6, 7, 8, 9, 10, 11, 12, 13, 14, 15, 16}, 0))"),"LU000712")</f>
        <v>LU000712</v>
      </c>
      <c r="AH39" s="70" t="str">
        <f ca="1">IFERROR(__xludf.DUMMYFUNCTION("""COMPUTED_VALUE"""),"Definition of degree of polynomial")</f>
        <v>Definition of degree of polynomial</v>
      </c>
      <c r="AI39" s="70" t="str">
        <f ca="1">IFERROR(__xludf.DUMMYFUNCTION("""COMPUTED_VALUE"""),"LU000762")</f>
        <v>LU000762</v>
      </c>
      <c r="AJ39" s="70" t="str">
        <f ca="1">IFERROR(__xludf.DUMMYFUNCTION("""COMPUTED_VALUE"""),"Definition of quadratic polynomial")</f>
        <v>Definition of quadratic polynomial</v>
      </c>
      <c r="AK39" s="70"/>
      <c r="AL39" s="70"/>
      <c r="AM39" s="13"/>
      <c r="AN39" s="13"/>
      <c r="AO39" s="13"/>
      <c r="AP39" s="13"/>
      <c r="AQ39" s="13"/>
      <c r="AR39" s="13"/>
      <c r="AS39" s="13"/>
      <c r="AT39" s="13"/>
    </row>
    <row r="40" spans="1:46">
      <c r="A40" s="8" t="s">
        <v>247</v>
      </c>
      <c r="B40" s="66" t="s">
        <v>47</v>
      </c>
      <c r="C40" s="66" t="s">
        <v>979</v>
      </c>
      <c r="D40" s="67" t="s">
        <v>732</v>
      </c>
      <c r="E40" s="67" t="s">
        <v>1027</v>
      </c>
      <c r="F40" s="66" t="s">
        <v>1038</v>
      </c>
      <c r="G40" s="68" t="s">
        <v>1039</v>
      </c>
      <c r="H40" s="66" t="str">
        <f ca="1">IFERROR(__xludf.DUMMYFUNCTION("VLOOKUP(G40, IMPORTRANGE(""https://docs.google.com/spreadsheets/d/14deopnvwcrKtEGCKuYXdUHJbeLDZlkiSSWWT0g7x2pM/edit#gid=999382323"", ""LU List Maths (Filter)!A:B""), 2, FALSE)"),"Definition and general form of a polynomial in one variable")</f>
        <v>Definition and general form of a polynomial in one variable</v>
      </c>
      <c r="I40" s="69" t="str">
        <f t="shared" si="0"/>
        <v>LU001263.001</v>
      </c>
      <c r="J40" s="69" t="str">
        <f ca="1">IFERROR(__xludf.DUMMYFUNCTION("VLOOKUP(I40, IMPORTRANGE(""https://docs.google.com/spreadsheets/d/1yDAaXNsi4Mr5FtRQL4tbmSdIzhx6_m4wkOD7IG-k_eo/edit#gid=0"", ""Maths!M:N""), 2, FALSE)"),"Define a polynomial in one variable.")</f>
        <v>Define a polynomial in one variable.</v>
      </c>
      <c r="K40" s="69" t="str">
        <f t="shared" si="1"/>
        <v>LU001263.002</v>
      </c>
      <c r="L40" s="69" t="str">
        <f ca="1">IFERROR(__xludf.DUMMYFUNCTION("VLOOKUP(K40, IMPORTRANGE(""https://docs.google.com/spreadsheets/d/1yDAaXNsi4Mr5FtRQL4tbmSdIzhx6_m4wkOD7IG-k_eo/edit#gid=0"", ""Maths!M:N""), 2, FALSE)"),"Describe the general form of a polynomial in one variable.")</f>
        <v>Describe the general form of a polynomial in one variable.</v>
      </c>
      <c r="M40" s="69" t="str">
        <f t="shared" si="2"/>
        <v>LU001263.003</v>
      </c>
      <c r="N40" s="69" t="str">
        <f ca="1">IFERROR(__xludf.DUMMYFUNCTION("VLOOKUP(M40, IMPORTRANGE(""https://docs.google.com/spreadsheets/d/1yDAaXNsi4Mr5FtRQL4tbmSdIzhx6_m4wkOD7IG-k_eo/edit#gid=0"", ""Maths!M:N""), 2, FALSE)"),"Write a polynomial in one variable with given specific values for the coefficients and degree.")</f>
        <v>Write a polynomial in one variable with given specific values for the coefficients and degree.</v>
      </c>
      <c r="O40" s="69" t="str">
        <f t="shared" si="3"/>
        <v>LU001263.004</v>
      </c>
      <c r="P40" s="69" t="str">
        <f ca="1">IFERROR(__xludf.DUMMYFUNCTION("VLOOKUP(O40, IMPORTRANGE(""https://docs.google.com/spreadsheets/d/1yDAaXNsi4Mr5FtRQL4tbmSdIzhx6_m4wkOD7IG-k_eo/edit#gid=0"", ""Maths!M:N""), 2, FALSE)"),"Identify the degree, leading coefficient, and constant term of a given polynomial.")</f>
        <v>Identify the degree, leading coefficient, and constant term of a given polynomial.</v>
      </c>
      <c r="Q40" s="69" t="str">
        <f t="shared" si="4"/>
        <v>LU001263.005</v>
      </c>
      <c r="R40" s="69" t="str">
        <f ca="1">IFERROR(__xludf.DUMMYFUNCTION("VLOOKUP(Q40, IMPORTRANGE(""https://docs.google.com/spreadsheets/d/1yDAaXNsi4Mr5FtRQL4tbmSdIzhx6_m4wkOD7IG-k_eo/edit#gid=0"", ""Maths!M:N""), 2, FALSE)"),"Compare different polynomials to determine if they are equivalent based on their coefficients and degrees.")</f>
        <v>Compare different polynomials to determine if they are equivalent based on their coefficients and degrees.</v>
      </c>
      <c r="S40" s="69" t="str">
        <f t="shared" si="5"/>
        <v>LU001263.006</v>
      </c>
      <c r="T40" s="69" t="str">
        <f ca="1">IFERROR(__xludf.DUMMYFUNCTION("VLOOKUP(S40, IMPORTRANGE(""https://docs.google.com/spreadsheets/d/1yDAaXNsi4Mr5FtRQL4tbmSdIzhx6_m4wkOD7IG-k_eo/edit#gid=0"", ""Maths!M:N""), 2, FALSE)"),"Formulate a polynomial to represent a real-life scenario.")</f>
        <v>Formulate a polynomial to represent a real-life scenario.</v>
      </c>
      <c r="U40" s="11" t="str">
        <f ca="1">IFERROR(__xludf.DUMMYFUNCTION("ArrayFormula(VLOOKUP(G40, IMPORTRANGE(""https://docs.google.com/spreadsheets/d/1p7R4vtkWt5VOBim4ltsDG9KTzSjrtKXsMtQGXPHyND0/edit#gid=795171502"", ""'Filter 30_05_2024'!A1:M2000""), {2, 3, 4, 5,6,7,8,9,10,11,12,13}, 0))"),"#N/A")</f>
        <v>#N/A</v>
      </c>
      <c r="V40" s="11" t="str">
        <f ca="1">IFERROR(__xludf.DUMMYFUNCTION("""COMPUTED_VALUE"""),"#N/A")</f>
        <v>#N/A</v>
      </c>
      <c r="W40" s="11" t="str">
        <f ca="1">IFERROR(__xludf.DUMMYFUNCTION("""COMPUTED_VALUE"""),"#N/A")</f>
        <v>#N/A</v>
      </c>
      <c r="X40" s="11" t="str">
        <f ca="1">IFERROR(__xludf.DUMMYFUNCTION("""COMPUTED_VALUE"""),"#N/A")</f>
        <v>#N/A</v>
      </c>
      <c r="Y40" s="11" t="str">
        <f ca="1">IFERROR(__xludf.DUMMYFUNCTION("""COMPUTED_VALUE"""),"#N/A")</f>
        <v>#N/A</v>
      </c>
      <c r="Z40" s="12" t="str">
        <f ca="1">IFERROR(__xludf.DUMMYFUNCTION("""COMPUTED_VALUE"""),"#N/A")</f>
        <v>#N/A</v>
      </c>
      <c r="AA40" s="12" t="str">
        <f ca="1">IFERROR(__xludf.DUMMYFUNCTION("""COMPUTED_VALUE"""),"#N/A")</f>
        <v>#N/A</v>
      </c>
      <c r="AB40" s="12" t="str">
        <f ca="1">IFERROR(__xludf.DUMMYFUNCTION("""COMPUTED_VALUE"""),"#N/A")</f>
        <v>#N/A</v>
      </c>
      <c r="AC40" s="11" t="str">
        <f ca="1">IFERROR(__xludf.DUMMYFUNCTION("""COMPUTED_VALUE"""),"#N/A")</f>
        <v>#N/A</v>
      </c>
      <c r="AD40" s="12" t="str">
        <f ca="1">IFERROR(__xludf.DUMMYFUNCTION("""COMPUTED_VALUE"""),"#N/A")</f>
        <v>#N/A</v>
      </c>
      <c r="AE40" s="12" t="str">
        <f ca="1">IFERROR(__xludf.DUMMYFUNCTION("""COMPUTED_VALUE"""),"#N/A")</f>
        <v>#N/A</v>
      </c>
      <c r="AF40" s="12" t="str">
        <f ca="1">IFERROR(__xludf.DUMMYFUNCTION("""COMPUTED_VALUE"""),"#N/A")</f>
        <v>#N/A</v>
      </c>
      <c r="AG40" s="70" t="str">
        <f ca="1">IFERROR(__xludf.DUMMYFUNCTION("ArrayFormula(VLOOKUP(G40, IMPORTRANGE(""https://docs.google.com/spreadsheets/d/1Co934fvtviyaRiMsrIlT05Jaq7iiYq07aLvRr35KA48/edit?gid=173865642#gid=173865642"", ""'G9_Maths_Pri_LU'!G2:V2000""), {3, 4, 5, 6, 7, 8, 9, 10, 11, 12, 13, 14, 15, 16}, 0))"),"LU000509")</f>
        <v>LU000509</v>
      </c>
      <c r="AH40" s="70" t="str">
        <f ca="1">IFERROR(__xludf.DUMMYFUNCTION("""COMPUTED_VALUE"""),"Definition of a polynomial")</f>
        <v>Definition of a polynomial</v>
      </c>
      <c r="AI40" s="70" t="str">
        <f ca="1">IFERROR(__xludf.DUMMYFUNCTION("""COMPUTED_VALUE"""),"LU000517")</f>
        <v>LU000517</v>
      </c>
      <c r="AJ40" s="70" t="str">
        <f ca="1">IFERROR(__xludf.DUMMYFUNCTION("""COMPUTED_VALUE"""),"Definition of exponent of a number")</f>
        <v>Definition of exponent of a number</v>
      </c>
      <c r="AK40" s="70"/>
      <c r="AL40" s="70"/>
      <c r="AM40" s="13"/>
      <c r="AN40" s="13"/>
      <c r="AO40" s="13"/>
      <c r="AP40" s="13"/>
      <c r="AQ40" s="13"/>
      <c r="AR40" s="13"/>
      <c r="AS40" s="13"/>
      <c r="AT40" s="13"/>
    </row>
    <row r="41" spans="1:46">
      <c r="A41" s="8" t="s">
        <v>247</v>
      </c>
      <c r="B41" s="66" t="s">
        <v>47</v>
      </c>
      <c r="C41" s="66" t="s">
        <v>979</v>
      </c>
      <c r="D41" s="67" t="s">
        <v>732</v>
      </c>
      <c r="E41" s="67" t="s">
        <v>1027</v>
      </c>
      <c r="F41" s="66" t="s">
        <v>1038</v>
      </c>
      <c r="G41" s="68" t="s">
        <v>1040</v>
      </c>
      <c r="H41" s="66" t="str">
        <f ca="1">IFERROR(__xludf.DUMMYFUNCTION("VLOOKUP(G41, IMPORTRANGE(""https://docs.google.com/spreadsheets/d/14deopnvwcrKtEGCKuYXdUHJbeLDZlkiSSWWT0g7x2pM/edit#gid=999382323"", ""LU List Maths (Filter)!A:B""), 2, FALSE)"),"Value(s) of a polynomial in one variable at given value(s) of the variable")</f>
        <v>Value(s) of a polynomial in one variable at given value(s) of the variable</v>
      </c>
      <c r="I41" s="69" t="str">
        <f t="shared" si="0"/>
        <v>LU001264.001</v>
      </c>
      <c r="J41" s="69" t="str">
        <f ca="1">IFERROR(__xludf.DUMMYFUNCTION("VLOOKUP(I41, IMPORTRANGE(""https://docs.google.com/spreadsheets/d/1yDAaXNsi4Mr5FtRQL4tbmSdIzhx6_m4wkOD7IG-k_eo/edit#gid=0"", ""Maths!M:N""), 2, FALSE)"),"Define the value of a polynomial at a given value of the variable.")</f>
        <v>Define the value of a polynomial at a given value of the variable.</v>
      </c>
      <c r="K41" s="69" t="str">
        <f t="shared" si="1"/>
        <v>LU001264.002</v>
      </c>
      <c r="L41" s="69" t="str">
        <f ca="1">IFERROR(__xludf.DUMMYFUNCTION("VLOOKUP(K41, IMPORTRANGE(""https://docs.google.com/spreadsheets/d/1yDAaXNsi4Mr5FtRQL4tbmSdIzhx6_m4wkOD7IG-k_eo/edit#gid=0"", ""Maths!M:N""), 2, FALSE)"),"Explain the process of evaluating a polynomial at a specific value.")</f>
        <v>Explain the process of evaluating a polynomial at a specific value.</v>
      </c>
      <c r="M41" s="69" t="str">
        <f t="shared" si="2"/>
        <v>LU001264.003</v>
      </c>
      <c r="N41" s="69" t="str">
        <f ca="1">IFERROR(__xludf.DUMMYFUNCTION("VLOOKUP(M41, IMPORTRANGE(""https://docs.google.com/spreadsheets/d/1yDAaXNsi4Mr5FtRQL4tbmSdIzhx6_m4wkOD7IG-k_eo/edit#gid=0"", ""Maths!M:N""), 2, FALSE)"),"Calculate the value of a polynomial at given values of the variable.")</f>
        <v>Calculate the value of a polynomial at given values of the variable.</v>
      </c>
      <c r="O41" s="69" t="str">
        <f t="shared" si="3"/>
        <v>LU001264.004</v>
      </c>
      <c r="P41" s="69" t="str">
        <f ca="1">IFERROR(__xludf.DUMMYFUNCTION("VLOOKUP(O41, IMPORTRANGE(""https://docs.google.com/spreadsheets/d/1yDAaXNsi4Mr5FtRQL4tbmSdIzhx6_m4wkOD7IG-k_eo/edit#gid=0"", ""Maths!M:N""), 2, FALSE)"),"Determine the effect of changing the value of the variable on the value of the polynomial.")</f>
        <v>Determine the effect of changing the value of the variable on the value of the polynomial.</v>
      </c>
      <c r="Q41" s="69" t="str">
        <f t="shared" si="4"/>
        <v>LU001264.005</v>
      </c>
      <c r="R41" s="69" t="str">
        <f ca="1">IFERROR(__xludf.DUMMYFUNCTION("VLOOKUP(Q41, IMPORTRANGE(""https://docs.google.com/spreadsheets/d/1yDAaXNsi4Mr5FtRQL4tbmSdIzhx6_m4wkOD7IG-k_eo/edit#gid=0"", ""Maths!M:N""), 2, FALSE)"),"Verify the correctness of the polynomial's value at given values of the variable.")</f>
        <v>Verify the correctness of the polynomial's value at given values of the variable.</v>
      </c>
      <c r="S41" s="69" t="str">
        <f t="shared" si="5"/>
        <v>LU001264.006</v>
      </c>
      <c r="T41" s="69" t="str">
        <f ca="1">IFERROR(__xludf.DUMMYFUNCTION("VLOOKUP(S41, IMPORTRANGE(""https://docs.google.com/spreadsheets/d/1yDAaXNsi4Mr5FtRQL4tbmSdIzhx6_m4wkOD7IG-k_eo/edit#gid=0"", ""Maths!M:N""), 2, FALSE)"),"Formulate a problem that involves finding the value of a polynomial at given values of the variable.")</f>
        <v>Formulate a problem that involves finding the value of a polynomial at given values of the variable.</v>
      </c>
      <c r="U41" s="11" t="str">
        <f ca="1">IFERROR(__xludf.DUMMYFUNCTION("ArrayFormula(VLOOKUP(G41, IMPORTRANGE(""https://docs.google.com/spreadsheets/d/1p7R4vtkWt5VOBim4ltsDG9KTzSjrtKXsMtQGXPHyND0/edit#gid=795171502"", ""'Filter 30_05_2024'!A1:M2000""), {2, 3, 4, 5,6,7,8,9,10,11,12,13}, 0))"),"#N/A")</f>
        <v>#N/A</v>
      </c>
      <c r="V41" s="11" t="str">
        <f ca="1">IFERROR(__xludf.DUMMYFUNCTION("""COMPUTED_VALUE"""),"#N/A")</f>
        <v>#N/A</v>
      </c>
      <c r="W41" s="11" t="str">
        <f ca="1">IFERROR(__xludf.DUMMYFUNCTION("""COMPUTED_VALUE"""),"#N/A")</f>
        <v>#N/A</v>
      </c>
      <c r="X41" s="11" t="str">
        <f ca="1">IFERROR(__xludf.DUMMYFUNCTION("""COMPUTED_VALUE"""),"#N/A")</f>
        <v>#N/A</v>
      </c>
      <c r="Y41" s="11" t="str">
        <f ca="1">IFERROR(__xludf.DUMMYFUNCTION("""COMPUTED_VALUE"""),"#N/A")</f>
        <v>#N/A</v>
      </c>
      <c r="Z41" s="12" t="str">
        <f ca="1">IFERROR(__xludf.DUMMYFUNCTION("""COMPUTED_VALUE"""),"#N/A")</f>
        <v>#N/A</v>
      </c>
      <c r="AA41" s="12" t="str">
        <f ca="1">IFERROR(__xludf.DUMMYFUNCTION("""COMPUTED_VALUE"""),"#N/A")</f>
        <v>#N/A</v>
      </c>
      <c r="AB41" s="12" t="str">
        <f ca="1">IFERROR(__xludf.DUMMYFUNCTION("""COMPUTED_VALUE"""),"#N/A")</f>
        <v>#N/A</v>
      </c>
      <c r="AC41" s="11" t="str">
        <f ca="1">IFERROR(__xludf.DUMMYFUNCTION("""COMPUTED_VALUE"""),"#N/A")</f>
        <v>#N/A</v>
      </c>
      <c r="AD41" s="12" t="str">
        <f ca="1">IFERROR(__xludf.DUMMYFUNCTION("""COMPUTED_VALUE"""),"#N/A")</f>
        <v>#N/A</v>
      </c>
      <c r="AE41" s="12" t="str">
        <f ca="1">IFERROR(__xludf.DUMMYFUNCTION("""COMPUTED_VALUE"""),"#N/A")</f>
        <v>#N/A</v>
      </c>
      <c r="AF41" s="12" t="str">
        <f ca="1">IFERROR(__xludf.DUMMYFUNCTION("""COMPUTED_VALUE"""),"#N/A")</f>
        <v>#N/A</v>
      </c>
      <c r="AG41" s="70" t="str">
        <f ca="1">IFERROR(__xludf.DUMMYFUNCTION("ArrayFormula(VLOOKUP(G41, IMPORTRANGE(""https://docs.google.com/spreadsheets/d/1Co934fvtviyaRiMsrIlT05Jaq7iiYq07aLvRr35KA48/edit?gid=173865642#gid=173865642"", ""'G9_Maths_Pri_LU'!G2:V2000""), {3, 4, 5, 6, 7, 8, 9, 10, 11, 12, 13, 14, 15, 16}, 0))"),"LU000514")</f>
        <v>LU000514</v>
      </c>
      <c r="AH41" s="70" t="str">
        <f ca="1">IFERROR(__xludf.DUMMYFUNCTION("""COMPUTED_VALUE"""),"Evaluation of algebraic expressions")</f>
        <v>Evaluation of algebraic expressions</v>
      </c>
      <c r="AI41" s="70" t="str">
        <f ca="1">IFERROR(__xludf.DUMMYFUNCTION("""COMPUTED_VALUE"""),"LU001263")</f>
        <v>LU001263</v>
      </c>
      <c r="AJ41" s="70" t="str">
        <f ca="1">IFERROR(__xludf.DUMMYFUNCTION("""COMPUTED_VALUE"""),"Definition and general form of a polynomial in one variable")</f>
        <v>Definition and general form of a polynomial in one variable</v>
      </c>
      <c r="AK41" s="70" t="str">
        <f ca="1">IFERROR(__xludf.DUMMYFUNCTION("""COMPUTED_VALUE"""),"LU000330")</f>
        <v>LU000330</v>
      </c>
      <c r="AL41" s="70" t="str">
        <f ca="1">IFERROR(__xludf.DUMMYFUNCTION("""COMPUTED_VALUE"""),"Definition of variable and constant")</f>
        <v>Definition of variable and constant</v>
      </c>
      <c r="AM41" s="13"/>
      <c r="AN41" s="13"/>
      <c r="AO41" s="13"/>
      <c r="AP41" s="13"/>
      <c r="AQ41" s="13"/>
      <c r="AR41" s="13"/>
      <c r="AS41" s="13"/>
      <c r="AT41" s="13"/>
    </row>
    <row r="42" spans="1:46">
      <c r="A42" s="8" t="s">
        <v>247</v>
      </c>
      <c r="B42" s="66" t="s">
        <v>47</v>
      </c>
      <c r="C42" s="66" t="s">
        <v>979</v>
      </c>
      <c r="D42" s="67" t="s">
        <v>732</v>
      </c>
      <c r="E42" s="67" t="s">
        <v>1027</v>
      </c>
      <c r="F42" s="66" t="s">
        <v>1041</v>
      </c>
      <c r="G42" s="68" t="s">
        <v>1042</v>
      </c>
      <c r="H42" s="66" t="str">
        <f ca="1">IFERROR(__xludf.DUMMYFUNCTION("VLOOKUP(G42, IMPORTRANGE(""https://docs.google.com/spreadsheets/d/14deopnvwcrKtEGCKuYXdUHJbeLDZlkiSSWWT0g7x2pM/edit#gid=999382323"", ""LU List Maths (Filter)!A:B""), 2, FALSE)"),"Zeroes of a polynomial p(x)")</f>
        <v>Zeroes of a polynomial p(x)</v>
      </c>
      <c r="I42" s="69" t="str">
        <f t="shared" si="0"/>
        <v>LU001265.001</v>
      </c>
      <c r="J42" s="69" t="str">
        <f ca="1">IFERROR(__xludf.DUMMYFUNCTION("VLOOKUP(I42, IMPORTRANGE(""https://docs.google.com/spreadsheets/d/1yDAaXNsi4Mr5FtRQL4tbmSdIzhx6_m4wkOD7IG-k_eo/edit#gid=0"", ""Maths!M:N""), 2, FALSE)"),"Define the zero of a polynomial.")</f>
        <v>Define the zero of a polynomial.</v>
      </c>
      <c r="K42" s="69" t="str">
        <f t="shared" si="1"/>
        <v>LU001265.002</v>
      </c>
      <c r="L42" s="69" t="str">
        <f ca="1">IFERROR(__xludf.DUMMYFUNCTION("VLOOKUP(K42, IMPORTRANGE(""https://docs.google.com/spreadsheets/d/1yDAaXNsi4Mr5FtRQL4tbmSdIzhx6_m4wkOD7IG-k_eo/edit#gid=0"", ""Maths!M:N""), 2, FALSE)"),"Explain the process of finding the zeroes of a polynomial.")</f>
        <v>Explain the process of finding the zeroes of a polynomial.</v>
      </c>
      <c r="M42" s="69" t="str">
        <f t="shared" si="2"/>
        <v>LU001265.003</v>
      </c>
      <c r="N42" s="69" t="str">
        <f ca="1">IFERROR(__xludf.DUMMYFUNCTION("VLOOKUP(M42, IMPORTRANGE(""https://docs.google.com/spreadsheets/d/1yDAaXNsi4Mr5FtRQL4tbmSdIzhx6_m4wkOD7IG-k_eo/edit#gid=0"", ""Maths!M:N""), 2, FALSE)"),"Identify the zeroes of a given polynomial.")</f>
        <v>Identify the zeroes of a given polynomial.</v>
      </c>
      <c r="O42" s="69" t="str">
        <f t="shared" si="3"/>
        <v>LU001265.004</v>
      </c>
      <c r="P42" s="69" t="str">
        <f ca="1">IFERROR(__xludf.DUMMYFUNCTION("VLOOKUP(O42, IMPORTRANGE(""https://docs.google.com/spreadsheets/d/1yDAaXNsi4Mr5FtRQL4tbmSdIzhx6_m4wkOD7IG-k_eo/edit#gid=0"", ""Maths!M:N""), 2, FALSE)"),"Analyse and differentiate between zeroes of different types of polynomials.")</f>
        <v>Analyse and differentiate between zeroes of different types of polynomials.</v>
      </c>
      <c r="Q42" s="69" t="str">
        <f t="shared" si="4"/>
        <v>LU001265.005</v>
      </c>
      <c r="R42" s="69" t="str">
        <f ca="1">IFERROR(__xludf.DUMMYFUNCTION("VLOOKUP(Q42, IMPORTRANGE(""https://docs.google.com/spreadsheets/d/1yDAaXNsi4Mr5FtRQL4tbmSdIzhx6_m4wkOD7IG-k_eo/edit#gid=0"", ""Maths!M:N""), 2, FALSE)"),"Verify the zeroes of a polynomial by substituting them back into the polynomial.")</f>
        <v>Verify the zeroes of a polynomial by substituting them back into the polynomial.</v>
      </c>
      <c r="S42" s="69" t="str">
        <f t="shared" si="5"/>
        <v>LU001265.006</v>
      </c>
      <c r="T42" s="69" t="str">
        <f ca="1">IFERROR(__xludf.DUMMYFUNCTION("VLOOKUP(S42, IMPORTRANGE(""https://docs.google.com/spreadsheets/d/1yDAaXNsi4Mr5FtRQL4tbmSdIzhx6_m4wkOD7IG-k_eo/edit#gid=0"", ""Maths!M:N""), 2, FALSE)"),"Construct a polynomial given its zeroes and verify the construction.")</f>
        <v>Construct a polynomial given its zeroes and verify the construction.</v>
      </c>
      <c r="U42" s="11" t="str">
        <f ca="1">IFERROR(__xludf.DUMMYFUNCTION("ArrayFormula(VLOOKUP(G42, IMPORTRANGE(""https://docs.google.com/spreadsheets/d/1p7R4vtkWt5VOBim4ltsDG9KTzSjrtKXsMtQGXPHyND0/edit#gid=795171502"", ""'Filter 30_05_2024'!A1:M2000""), {2, 3, 4, 5,6,7,8,9,10,11,12,13}, 0))"),"#N/A")</f>
        <v>#N/A</v>
      </c>
      <c r="V42" s="11" t="str">
        <f ca="1">IFERROR(__xludf.DUMMYFUNCTION("""COMPUTED_VALUE"""),"#N/A")</f>
        <v>#N/A</v>
      </c>
      <c r="W42" s="11" t="str">
        <f ca="1">IFERROR(__xludf.DUMMYFUNCTION("""COMPUTED_VALUE"""),"#N/A")</f>
        <v>#N/A</v>
      </c>
      <c r="X42" s="11" t="str">
        <f ca="1">IFERROR(__xludf.DUMMYFUNCTION("""COMPUTED_VALUE"""),"#N/A")</f>
        <v>#N/A</v>
      </c>
      <c r="Y42" s="11" t="str">
        <f ca="1">IFERROR(__xludf.DUMMYFUNCTION("""COMPUTED_VALUE"""),"#N/A")</f>
        <v>#N/A</v>
      </c>
      <c r="Z42" s="12" t="str">
        <f ca="1">IFERROR(__xludf.DUMMYFUNCTION("""COMPUTED_VALUE"""),"#N/A")</f>
        <v>#N/A</v>
      </c>
      <c r="AA42" s="12" t="str">
        <f ca="1">IFERROR(__xludf.DUMMYFUNCTION("""COMPUTED_VALUE"""),"#N/A")</f>
        <v>#N/A</v>
      </c>
      <c r="AB42" s="12" t="str">
        <f ca="1">IFERROR(__xludf.DUMMYFUNCTION("""COMPUTED_VALUE"""),"#N/A")</f>
        <v>#N/A</v>
      </c>
      <c r="AC42" s="11" t="str">
        <f ca="1">IFERROR(__xludf.DUMMYFUNCTION("""COMPUTED_VALUE"""),"#N/A")</f>
        <v>#N/A</v>
      </c>
      <c r="AD42" s="12" t="str">
        <f ca="1">IFERROR(__xludf.DUMMYFUNCTION("""COMPUTED_VALUE"""),"#N/A")</f>
        <v>#N/A</v>
      </c>
      <c r="AE42" s="12" t="str">
        <f ca="1">IFERROR(__xludf.DUMMYFUNCTION("""COMPUTED_VALUE"""),"#N/A")</f>
        <v>#N/A</v>
      </c>
      <c r="AF42" s="12" t="str">
        <f ca="1">IFERROR(__xludf.DUMMYFUNCTION("""COMPUTED_VALUE"""),"#N/A")</f>
        <v>#N/A</v>
      </c>
      <c r="AG42" s="70" t="str">
        <f ca="1">IFERROR(__xludf.DUMMYFUNCTION("ArrayFormula(VLOOKUP(G42, IMPORTRANGE(""https://docs.google.com/spreadsheets/d/1Co934fvtviyaRiMsrIlT05Jaq7iiYq07aLvRr35KA48/edit?gid=173865642#gid=173865642"", ""'G9_Maths_Pri_LU'!G2:V2000""), {3, 4, 5, 6, 7, 8, 9, 10, 11, 12, 13, 14, 15, 16}, 0))"),"LU000589")</f>
        <v>LU000589</v>
      </c>
      <c r="AH42" s="70" t="str">
        <f ca="1">IFERROR(__xludf.DUMMYFUNCTION("""COMPUTED_VALUE"""),"Definition of root of a linear equation in one variable")</f>
        <v>Definition of root of a linear equation in one variable</v>
      </c>
      <c r="AI42" s="70" t="str">
        <f ca="1">IFERROR(__xludf.DUMMYFUNCTION("""COMPUTED_VALUE"""),"LU001264")</f>
        <v>LU001264</v>
      </c>
      <c r="AJ42" s="70" t="str">
        <f ca="1">IFERROR(__xludf.DUMMYFUNCTION("""COMPUTED_VALUE"""),"Value(s) of a polynomial in one variable at given value(s) of the variable")</f>
        <v>Value(s) of a polynomial in one variable at given value(s) of the variable</v>
      </c>
      <c r="AK42" s="70"/>
      <c r="AL42" s="70"/>
      <c r="AM42" s="13"/>
      <c r="AN42" s="13"/>
      <c r="AO42" s="13"/>
      <c r="AP42" s="13"/>
      <c r="AQ42" s="13"/>
      <c r="AR42" s="13"/>
      <c r="AS42" s="13"/>
      <c r="AT42" s="13"/>
    </row>
    <row r="43" spans="1:46">
      <c r="A43" s="8" t="s">
        <v>247</v>
      </c>
      <c r="B43" s="66" t="s">
        <v>47</v>
      </c>
      <c r="C43" s="66" t="s">
        <v>979</v>
      </c>
      <c r="D43" s="67" t="s">
        <v>732</v>
      </c>
      <c r="E43" s="67" t="s">
        <v>1027</v>
      </c>
      <c r="F43" s="66" t="s">
        <v>1043</v>
      </c>
      <c r="G43" s="68" t="s">
        <v>1044</v>
      </c>
      <c r="H43" s="66" t="str">
        <f ca="1">IFERROR(__xludf.DUMMYFUNCTION("VLOOKUP(G43, IMPORTRANGE(""https://docs.google.com/spreadsheets/d/14deopnvwcrKtEGCKuYXdUHJbeLDZlkiSSWWT0g7x2pM/edit#gid=999382323"", ""LU List Maths (Filter)!A:B""), 2, FALSE)"),"Factor Theorem")</f>
        <v>Factor Theorem</v>
      </c>
      <c r="I43" s="69" t="str">
        <f t="shared" si="0"/>
        <v>LU001267.001</v>
      </c>
      <c r="J43" s="69" t="str">
        <f ca="1">IFERROR(__xludf.DUMMYFUNCTION("VLOOKUP(I43, IMPORTRANGE(""https://docs.google.com/spreadsheets/d/1yDAaXNsi4Mr5FtRQL4tbmSdIzhx6_m4wkOD7IG-k_eo/edit#gid=0"", ""Maths!M:N""), 2, FALSE)"),"Recall and state the theorem, including its assumptions and components.")</f>
        <v>Recall and state the theorem, including its assumptions and components.</v>
      </c>
      <c r="K43" s="69" t="str">
        <f t="shared" si="1"/>
        <v>LU001267.002</v>
      </c>
      <c r="L43" s="69" t="str">
        <f ca="1">IFERROR(__xludf.DUMMYFUNCTION("VLOOKUP(K43, IMPORTRANGE(""https://docs.google.com/spreadsheets/d/1yDAaXNsi4Mr5FtRQL4tbmSdIzhx6_m4wkOD7IG-k_eo/edit#gid=0"", ""Maths!M:N""), 2, FALSE)"),"Describe the steps involved in proving the theorem.")</f>
        <v>Describe the steps involved in proving the theorem.</v>
      </c>
      <c r="M43" s="69" t="str">
        <f t="shared" si="2"/>
        <v>LU001267.003</v>
      </c>
      <c r="N43" s="69" t="str">
        <f ca="1">IFERROR(__xludf.DUMMYFUNCTION("VLOOKUP(M43, IMPORTRANGE(""https://docs.google.com/spreadsheets/d/1yDAaXNsi4Mr5FtRQL4tbmSdIzhx6_m4wkOD7IG-k_eo/edit#gid=0"", ""Maths!M:N""), 2, FALSE)"),"Use the theorem to solve various mathematical problems.")</f>
        <v>Use the theorem to solve various mathematical problems.</v>
      </c>
      <c r="O43" s="69" t="str">
        <f t="shared" si="3"/>
        <v>LU001267.004</v>
      </c>
      <c r="P43" s="69" t="str">
        <f ca="1">IFERROR(__xludf.DUMMYFUNCTION("VLOOKUP(O43, IMPORTRANGE(""https://docs.google.com/spreadsheets/d/1yDAaXNsi4Mr5FtRQL4tbmSdIzhx6_m4wkOD7IG-k_eo/edit#gid=0"", ""Maths!M:N""), 2, FALSE)"),"Break down the proof of the theorem into individual steps with explanations, check the correctness of each step and its explanation.")</f>
        <v>Break down the proof of the theorem into individual steps with explanations, check the correctness of each step and its explanation.</v>
      </c>
      <c r="Q43" s="69" t="str">
        <f t="shared" si="4"/>
        <v>LU001267.005</v>
      </c>
      <c r="R43" s="69" t="str">
        <f ca="1">IFERROR(__xludf.DUMMYFUNCTION("VLOOKUP(Q43, IMPORTRANGE(""https://docs.google.com/spreadsheets/d/1yDAaXNsi4Mr5FtRQL4tbmSdIzhx6_m4wkOD7IG-k_eo/edit#gid=0"", ""Maths!M:N""), 2, FALSE)"),"Critique the theorem by comparing it to related theorems or methods, discussing its strengths, limitations, and overall significance.")</f>
        <v>Critique the theorem by comparing it to related theorems or methods, discussing its strengths, limitations, and overall significance.</v>
      </c>
      <c r="S43" s="69" t="str">
        <f t="shared" si="5"/>
        <v>LU001267.006</v>
      </c>
      <c r="T43" s="69" t="str">
        <f ca="1">IFERROR(__xludf.DUMMYFUNCTION("VLOOKUP(S43, IMPORTRANGE(""https://docs.google.com/spreadsheets/d/1yDAaXNsi4Mr5FtRQL4tbmSdIzhx6_m4wkOD7IG-k_eo/edit#gid=0"", ""Maths!M:N""), 2, FALSE)"),"Construct a polynomial and demonstrate the process of factorising it using the Factor Theorem.")</f>
        <v>Construct a polynomial and demonstrate the process of factorising it using the Factor Theorem.</v>
      </c>
      <c r="U43" s="11" t="str">
        <f ca="1">IFERROR(__xludf.DUMMYFUNCTION("ArrayFormula(VLOOKUP(G43, IMPORTRANGE(""https://docs.google.com/spreadsheets/d/1p7R4vtkWt5VOBim4ltsDG9KTzSjrtKXsMtQGXPHyND0/edit#gid=795171502"", ""'Filter 30_05_2024'!A1:M2000""), {2, 3, 4, 5,6,7,8,9,10,11,12,13}, 0))"),"#N/A")</f>
        <v>#N/A</v>
      </c>
      <c r="V43" s="11" t="str">
        <f ca="1">IFERROR(__xludf.DUMMYFUNCTION("""COMPUTED_VALUE"""),"#N/A")</f>
        <v>#N/A</v>
      </c>
      <c r="W43" s="11" t="str">
        <f ca="1">IFERROR(__xludf.DUMMYFUNCTION("""COMPUTED_VALUE"""),"#N/A")</f>
        <v>#N/A</v>
      </c>
      <c r="X43" s="11" t="str">
        <f ca="1">IFERROR(__xludf.DUMMYFUNCTION("""COMPUTED_VALUE"""),"#N/A")</f>
        <v>#N/A</v>
      </c>
      <c r="Y43" s="11" t="str">
        <f ca="1">IFERROR(__xludf.DUMMYFUNCTION("""COMPUTED_VALUE"""),"#N/A")</f>
        <v>#N/A</v>
      </c>
      <c r="Z43" s="12" t="str">
        <f ca="1">IFERROR(__xludf.DUMMYFUNCTION("""COMPUTED_VALUE"""),"#N/A")</f>
        <v>#N/A</v>
      </c>
      <c r="AA43" s="12" t="str">
        <f ca="1">IFERROR(__xludf.DUMMYFUNCTION("""COMPUTED_VALUE"""),"#N/A")</f>
        <v>#N/A</v>
      </c>
      <c r="AB43" s="12" t="str">
        <f ca="1">IFERROR(__xludf.DUMMYFUNCTION("""COMPUTED_VALUE"""),"#N/A")</f>
        <v>#N/A</v>
      </c>
      <c r="AC43" s="11" t="str">
        <f ca="1">IFERROR(__xludf.DUMMYFUNCTION("""COMPUTED_VALUE"""),"#N/A")</f>
        <v>#N/A</v>
      </c>
      <c r="AD43" s="12" t="str">
        <f ca="1">IFERROR(__xludf.DUMMYFUNCTION("""COMPUTED_VALUE"""),"#N/A")</f>
        <v>#N/A</v>
      </c>
      <c r="AE43" s="12" t="str">
        <f ca="1">IFERROR(__xludf.DUMMYFUNCTION("""COMPUTED_VALUE"""),"#N/A")</f>
        <v>#N/A</v>
      </c>
      <c r="AF43" s="12" t="str">
        <f ca="1">IFERROR(__xludf.DUMMYFUNCTION("""COMPUTED_VALUE"""),"#N/A")</f>
        <v>#N/A</v>
      </c>
      <c r="AG43" s="70" t="str">
        <f ca="1">IFERROR(__xludf.DUMMYFUNCTION("ArrayFormula(VLOOKUP(G43, IMPORTRANGE(""https://docs.google.com/spreadsheets/d/1Co934fvtviyaRiMsrIlT05Jaq7iiYq07aLvRr35KA48/edit?gid=173865642#gid=173865642"", ""'G9_Maths_Pri_LU'!G2:V2000""), {3, 4, 5, 6, 7, 8, 9, 10, 11, 12, 13, 14, 15, 16}, 0))"),"LU001265")</f>
        <v>LU001265</v>
      </c>
      <c r="AH43" s="70" t="str">
        <f ca="1">IFERROR(__xludf.DUMMYFUNCTION("""COMPUTED_VALUE"""),"Zeroes of a polynomial p(x)")</f>
        <v>Zeroes of a polynomial p(x)</v>
      </c>
      <c r="AI43" s="70" t="str">
        <f ca="1">IFERROR(__xludf.DUMMYFUNCTION("""COMPUTED_VALUE"""),"LU001264")</f>
        <v>LU001264</v>
      </c>
      <c r="AJ43" s="70" t="str">
        <f ca="1">IFERROR(__xludf.DUMMYFUNCTION("""COMPUTED_VALUE"""),"Value(s) of a polynomial in one variable at given value(s) of the variable")</f>
        <v>Value(s) of a polynomial in one variable at given value(s) of the variable</v>
      </c>
      <c r="AK43" s="70" t="str">
        <f ca="1">IFERROR(__xludf.DUMMYFUNCTION("""COMPUTED_VALUE"""),"LU000760")</f>
        <v>LU000760</v>
      </c>
      <c r="AL43" s="70" t="str">
        <f ca="1">IFERROR(__xludf.DUMMYFUNCTION("""COMPUTED_VALUE"""),"Factorisation of algebraic expressions using identities")</f>
        <v>Factorisation of algebraic expressions using identities</v>
      </c>
      <c r="AM43" s="13"/>
      <c r="AN43" s="13"/>
      <c r="AO43" s="13"/>
      <c r="AP43" s="13"/>
      <c r="AQ43" s="13"/>
      <c r="AR43" s="13"/>
      <c r="AS43" s="13"/>
      <c r="AT43" s="13"/>
    </row>
    <row r="44" spans="1:46">
      <c r="A44" s="8" t="s">
        <v>247</v>
      </c>
      <c r="B44" s="66" t="s">
        <v>47</v>
      </c>
      <c r="C44" s="66" t="s">
        <v>979</v>
      </c>
      <c r="D44" s="67" t="s">
        <v>732</v>
      </c>
      <c r="E44" s="67" t="s">
        <v>1027</v>
      </c>
      <c r="F44" s="66" t="s">
        <v>1043</v>
      </c>
      <c r="G44" s="68" t="s">
        <v>1045</v>
      </c>
      <c r="H44" s="66" t="str">
        <f ca="1">IFERROR(__xludf.DUMMYFUNCTION("VLOOKUP(G44, IMPORTRANGE(""https://docs.google.com/spreadsheets/d/14deopnvwcrKtEGCKuYXdUHJbeLDZlkiSSWWT0g7x2pM/edit#gid=999382323"", ""LU List Maths (Filter)!A:B""), 2, FALSE)"),"Factorisation of the quadratic polynomial by splitting the middle term")</f>
        <v>Factorisation of the quadratic polynomial by splitting the middle term</v>
      </c>
      <c r="I44" s="69" t="str">
        <f t="shared" si="0"/>
        <v>LU001268.001</v>
      </c>
      <c r="J44" s="69" t="str">
        <f ca="1">IFERROR(__xludf.DUMMYFUNCTION("VLOOKUP(I44, IMPORTRANGE(""https://docs.google.com/spreadsheets/d/1yDAaXNsi4Mr5FtRQL4tbmSdIzhx6_m4wkOD7IG-k_eo/edit#gid=0"", ""Maths!M:N""), 2, FALSE)"),"Recall the steps to factorise a quadratic polynomial by splitting the middle term.")</f>
        <v>Recall the steps to factorise a quadratic polynomial by splitting the middle term.</v>
      </c>
      <c r="K44" s="69" t="str">
        <f t="shared" si="1"/>
        <v>LU001268.002</v>
      </c>
      <c r="L44" s="69" t="str">
        <f ca="1">IFERROR(__xludf.DUMMYFUNCTION("VLOOKUP(K44, IMPORTRANGE(""https://docs.google.com/spreadsheets/d/1yDAaXNsi4Mr5FtRQL4tbmSdIzhx6_m4wkOD7IG-k_eo/edit#gid=0"", ""Maths!M:N""), 2, FALSE)"),"Explain how the middle term of a quadratic polynomial is split to facilitate factorisation.")</f>
        <v>Explain how the middle term of a quadratic polynomial is split to facilitate factorisation.</v>
      </c>
      <c r="M44" s="69" t="str">
        <f t="shared" si="2"/>
        <v>LU001268.003</v>
      </c>
      <c r="N44" s="69" t="str">
        <f ca="1">IFERROR(__xludf.DUMMYFUNCTION("VLOOKUP(M44, IMPORTRANGE(""https://docs.google.com/spreadsheets/d/1yDAaXNsi4Mr5FtRQL4tbmSdIzhx6_m4wkOD7IG-k_eo/edit#gid=0"", ""Maths!M:N""), 2, FALSE)"),"Factorise a given quadratic polynomial by splitting the middle term.")</f>
        <v>Factorise a given quadratic polynomial by splitting the middle term.</v>
      </c>
      <c r="O44" s="69" t="str">
        <f t="shared" si="3"/>
        <v>LU001268.004</v>
      </c>
      <c r="P44" s="69" t="str">
        <f ca="1">IFERROR(__xludf.DUMMYFUNCTION("VLOOKUP(O44, IMPORTRANGE(""https://docs.google.com/spreadsheets/d/1yDAaXNsi4Mr5FtRQL4tbmSdIzhx6_m4wkOD7IG-k_eo/edit#gid=0"", ""Maths!M:N""), 2, FALSE)"),"Break down the process of comparing coefficients when splitting the middle term of a quadratic polynomial.")</f>
        <v>Break down the process of comparing coefficients when splitting the middle term of a quadratic polynomial.</v>
      </c>
      <c r="Q44" s="69" t="str">
        <f t="shared" si="4"/>
        <v>LU001268.005</v>
      </c>
      <c r="R44" s="69" t="str">
        <f ca="1">IFERROR(__xludf.DUMMYFUNCTION("VLOOKUP(Q44, IMPORTRANGE(""https://docs.google.com/spreadsheets/d/1yDAaXNsi4Mr5FtRQL4tbmSdIzhx6_m4wkOD7IG-k_eo/edit#gid=0"", ""Maths!M:N""), 2, FALSE)"),"Assess the effectiveness of splitting the middle term in simplifying quadratic polynomial factorisation.")</f>
        <v>Assess the effectiveness of splitting the middle term in simplifying quadratic polynomial factorisation.</v>
      </c>
      <c r="S44" s="69" t="str">
        <f t="shared" si="5"/>
        <v>LU001268.006</v>
      </c>
      <c r="T44" s="69" t="str">
        <f ca="1">IFERROR(__xludf.DUMMYFUNCTION("VLOOKUP(S44, IMPORTRANGE(""https://docs.google.com/spreadsheets/d/1yDAaXNsi4Mr5FtRQL4tbmSdIzhx6_m4wkOD7IG-k_eo/edit#gid=0"", ""Maths!M:N""), 2, FALSE)"),"Create a quadratic polynomial problem and solve it by splitting the middle term.")</f>
        <v>Create a quadratic polynomial problem and solve it by splitting the middle term.</v>
      </c>
      <c r="U44" s="11" t="str">
        <f ca="1">IFERROR(__xludf.DUMMYFUNCTION("ArrayFormula(VLOOKUP(G44, IMPORTRANGE(""https://docs.google.com/spreadsheets/d/1p7R4vtkWt5VOBim4ltsDG9KTzSjrtKXsMtQGXPHyND0/edit#gid=795171502"", ""'Filter 30_05_2024'!A1:M2000""), {2, 3, 4, 5,6,7,8,9,10,11,12,13}, 0))"),"#N/A")</f>
        <v>#N/A</v>
      </c>
      <c r="V44" s="11" t="str">
        <f ca="1">IFERROR(__xludf.DUMMYFUNCTION("""COMPUTED_VALUE"""),"#N/A")</f>
        <v>#N/A</v>
      </c>
      <c r="W44" s="11" t="str">
        <f ca="1">IFERROR(__xludf.DUMMYFUNCTION("""COMPUTED_VALUE"""),"#N/A")</f>
        <v>#N/A</v>
      </c>
      <c r="X44" s="11" t="str">
        <f ca="1">IFERROR(__xludf.DUMMYFUNCTION("""COMPUTED_VALUE"""),"#N/A")</f>
        <v>#N/A</v>
      </c>
      <c r="Y44" s="11" t="str">
        <f ca="1">IFERROR(__xludf.DUMMYFUNCTION("""COMPUTED_VALUE"""),"#N/A")</f>
        <v>#N/A</v>
      </c>
      <c r="Z44" s="12" t="str">
        <f ca="1">IFERROR(__xludf.DUMMYFUNCTION("""COMPUTED_VALUE"""),"#N/A")</f>
        <v>#N/A</v>
      </c>
      <c r="AA44" s="12" t="str">
        <f ca="1">IFERROR(__xludf.DUMMYFUNCTION("""COMPUTED_VALUE"""),"#N/A")</f>
        <v>#N/A</v>
      </c>
      <c r="AB44" s="12" t="str">
        <f ca="1">IFERROR(__xludf.DUMMYFUNCTION("""COMPUTED_VALUE"""),"#N/A")</f>
        <v>#N/A</v>
      </c>
      <c r="AC44" s="11" t="str">
        <f ca="1">IFERROR(__xludf.DUMMYFUNCTION("""COMPUTED_VALUE"""),"#N/A")</f>
        <v>#N/A</v>
      </c>
      <c r="AD44" s="12" t="str">
        <f ca="1">IFERROR(__xludf.DUMMYFUNCTION("""COMPUTED_VALUE"""),"#N/A")</f>
        <v>#N/A</v>
      </c>
      <c r="AE44" s="12" t="str">
        <f ca="1">IFERROR(__xludf.DUMMYFUNCTION("""COMPUTED_VALUE"""),"#N/A")</f>
        <v>#N/A</v>
      </c>
      <c r="AF44" s="12" t="str">
        <f ca="1">IFERROR(__xludf.DUMMYFUNCTION("""COMPUTED_VALUE"""),"#N/A")</f>
        <v>#N/A</v>
      </c>
      <c r="AG44" s="70" t="str">
        <f ca="1">IFERROR(__xludf.DUMMYFUNCTION("ArrayFormula(VLOOKUP(G44, IMPORTRANGE(""https://docs.google.com/spreadsheets/d/1Co934fvtviyaRiMsrIlT05Jaq7iiYq07aLvRr35KA48/edit?gid=173865642#gid=173865642"", ""'G9_Maths_Pri_LU'!G2:V2000""), {3, 4, 5, 6, 7, 8, 9, 10, 11, 12, 13, 14, 15, 16}, 0))"),"LU000762")</f>
        <v>LU000762</v>
      </c>
      <c r="AH44" s="70" t="str">
        <f ca="1">IFERROR(__xludf.DUMMYFUNCTION("""COMPUTED_VALUE"""),"Definition of quadratic polynomial")</f>
        <v>Definition of quadratic polynomial</v>
      </c>
      <c r="AI44" s="70" t="str">
        <f ca="1">IFERROR(__xludf.DUMMYFUNCTION("""COMPUTED_VALUE"""),"LU000700")</f>
        <v>LU000700</v>
      </c>
      <c r="AJ44" s="70" t="str">
        <f ca="1">IFERROR(__xludf.DUMMYFUNCTION("""COMPUTED_VALUE"""),"Multiplication of binomial by binomial")</f>
        <v>Multiplication of binomial by binomial</v>
      </c>
      <c r="AK44" s="70"/>
      <c r="AL44" s="70"/>
      <c r="AM44" s="13"/>
      <c r="AN44" s="13"/>
      <c r="AO44" s="13"/>
      <c r="AP44" s="13"/>
      <c r="AQ44" s="13"/>
      <c r="AR44" s="13"/>
      <c r="AS44" s="13"/>
      <c r="AT44" s="13"/>
    </row>
    <row r="45" spans="1:46">
      <c r="A45" s="8" t="s">
        <v>247</v>
      </c>
      <c r="B45" s="66" t="s">
        <v>47</v>
      </c>
      <c r="C45" s="66" t="s">
        <v>979</v>
      </c>
      <c r="D45" s="67" t="s">
        <v>732</v>
      </c>
      <c r="E45" s="67" t="s">
        <v>1027</v>
      </c>
      <c r="F45" s="66" t="s">
        <v>1046</v>
      </c>
      <c r="G45" s="68" t="s">
        <v>1047</v>
      </c>
      <c r="H45" s="66" t="str">
        <f ca="1">IFERROR(__xludf.DUMMYFUNCTION("VLOOKUP(G45, IMPORTRANGE(""https://docs.google.com/spreadsheets/d/14deopnvwcrKtEGCKuYXdUHJbeLDZlkiSSWWT0g7x2pM/edit#gid=999382323"", ""LU List Maths (Filter)!A:B""), 2, FALSE)"),"Factorisation of the quadratic polynomial by using the factor theorem")</f>
        <v>Factorisation of the quadratic polynomial by using the factor theorem</v>
      </c>
      <c r="I45" s="69" t="str">
        <f t="shared" si="0"/>
        <v>LU001269.001</v>
      </c>
      <c r="J45" s="69" t="str">
        <f ca="1">IFERROR(__xludf.DUMMYFUNCTION("VLOOKUP(I45, IMPORTRANGE(""https://docs.google.com/spreadsheets/d/1yDAaXNsi4Mr5FtRQL4tbmSdIzhx6_m4wkOD7IG-k_eo/edit#gid=0"", ""Maths!M:N""), 2, FALSE)"),"List the factors of the constant term in a quadratic polynomial.")</f>
        <v>List the factors of the constant term in a quadratic polynomial.</v>
      </c>
      <c r="K45" s="69" t="str">
        <f t="shared" si="1"/>
        <v>LU001269.002</v>
      </c>
      <c r="L45" s="69" t="str">
        <f ca="1">IFERROR(__xludf.DUMMYFUNCTION("VLOOKUP(K45, IMPORTRANGE(""https://docs.google.com/spreadsheets/d/1yDAaXNsi4Mr5FtRQL4tbmSdIzhx6_m4wkOD7IG-k_eo/edit#gid=0"", ""Maths!M:N""), 2, FALSE)"),"Describe the relationship between the factors of the constant term, the zeroes of the quadratic polynomial, and the sum of the coefficients of the variable with power 1.")</f>
        <v>Describe the relationship between the factors of the constant term, the zeroes of the quadratic polynomial, and the sum of the coefficients of the variable with power 1.</v>
      </c>
      <c r="M45" s="69" t="str">
        <f t="shared" si="2"/>
        <v>LU001269.003</v>
      </c>
      <c r="N45" s="69" t="str">
        <f ca="1">IFERROR(__xludf.DUMMYFUNCTION("VLOOKUP(M45, IMPORTRANGE(""https://docs.google.com/spreadsheets/d/1yDAaXNsi4Mr5FtRQL4tbmSdIzhx6_m4wkOD7IG-k_eo/edit#gid=0"", ""Maths!M:N""), 2, FALSE)"),"Factorise a given quadratic polynomial using the Factor Theorem.")</f>
        <v>Factorise a given quadratic polynomial using the Factor Theorem.</v>
      </c>
      <c r="O45" s="69" t="str">
        <f t="shared" si="3"/>
        <v>LU001269.004</v>
      </c>
      <c r="P45" s="69" t="str">
        <f ca="1">IFERROR(__xludf.DUMMYFUNCTION("VLOOKUP(O45, IMPORTRANGE(""https://docs.google.com/spreadsheets/d/1yDAaXNsi4Mr5FtRQL4tbmSdIzhx6_m4wkOD7IG-k_eo/edit#gid=0"", ""Maths!M:N""), 2, FALSE)"),"Analyse the proof of the Factor Theorem and its application in factorising quadratic polynomial.")</f>
        <v>Analyse the proof of the Factor Theorem and its application in factorising quadratic polynomial.</v>
      </c>
      <c r="Q45" s="69" t="str">
        <f t="shared" si="4"/>
        <v>LU001269.005</v>
      </c>
      <c r="R45" s="69" t="str">
        <f ca="1">IFERROR(__xludf.DUMMYFUNCTION("VLOOKUP(Q45, IMPORTRANGE(""https://docs.google.com/spreadsheets/d/1yDAaXNsi4Mr5FtRQL4tbmSdIzhx6_m4wkOD7IG-k_eo/edit#gid=0"", ""Maths!M:N""), 2, FALSE)"),"Assess the correctness of factorisation by verifying the zeroes of the quadratic polynomial.")</f>
        <v>Assess the correctness of factorisation by verifying the zeroes of the quadratic polynomial.</v>
      </c>
      <c r="S45" s="69" t="str">
        <f t="shared" si="5"/>
        <v>LU001269.006</v>
      </c>
      <c r="T45" s="69" t="str">
        <f ca="1">IFERROR(__xludf.DUMMYFUNCTION("VLOOKUP(S45, IMPORTRANGE(""https://docs.google.com/spreadsheets/d/1yDAaXNsi4Mr5FtRQL4tbmSdIzhx6_m4wkOD7IG-k_eo/edit#gid=0"", ""Maths!M:N""), 2, FALSE)"),"Formulate a new quadratic polynomial and demonstrate its factorisation using the Factor Theorem.")</f>
        <v>Formulate a new quadratic polynomial and demonstrate its factorisation using the Factor Theorem.</v>
      </c>
      <c r="U45" s="11" t="str">
        <f ca="1">IFERROR(__xludf.DUMMYFUNCTION("ArrayFormula(VLOOKUP(G45, IMPORTRANGE(""https://docs.google.com/spreadsheets/d/1p7R4vtkWt5VOBim4ltsDG9KTzSjrtKXsMtQGXPHyND0/edit#gid=795171502"", ""'Filter 30_05_2024'!A1:M2000""), {2, 3, 4, 5,6,7,8,9,10,11,12,13}, 0))"),"#N/A")</f>
        <v>#N/A</v>
      </c>
      <c r="V45" s="11" t="str">
        <f ca="1">IFERROR(__xludf.DUMMYFUNCTION("""COMPUTED_VALUE"""),"#N/A")</f>
        <v>#N/A</v>
      </c>
      <c r="W45" s="11" t="str">
        <f ca="1">IFERROR(__xludf.DUMMYFUNCTION("""COMPUTED_VALUE"""),"#N/A")</f>
        <v>#N/A</v>
      </c>
      <c r="X45" s="11" t="str">
        <f ca="1">IFERROR(__xludf.DUMMYFUNCTION("""COMPUTED_VALUE"""),"#N/A")</f>
        <v>#N/A</v>
      </c>
      <c r="Y45" s="11" t="str">
        <f ca="1">IFERROR(__xludf.DUMMYFUNCTION("""COMPUTED_VALUE"""),"#N/A")</f>
        <v>#N/A</v>
      </c>
      <c r="Z45" s="12" t="str">
        <f ca="1">IFERROR(__xludf.DUMMYFUNCTION("""COMPUTED_VALUE"""),"#N/A")</f>
        <v>#N/A</v>
      </c>
      <c r="AA45" s="12" t="str">
        <f ca="1">IFERROR(__xludf.DUMMYFUNCTION("""COMPUTED_VALUE"""),"#N/A")</f>
        <v>#N/A</v>
      </c>
      <c r="AB45" s="12" t="str">
        <f ca="1">IFERROR(__xludf.DUMMYFUNCTION("""COMPUTED_VALUE"""),"#N/A")</f>
        <v>#N/A</v>
      </c>
      <c r="AC45" s="11" t="str">
        <f ca="1">IFERROR(__xludf.DUMMYFUNCTION("""COMPUTED_VALUE"""),"#N/A")</f>
        <v>#N/A</v>
      </c>
      <c r="AD45" s="12" t="str">
        <f ca="1">IFERROR(__xludf.DUMMYFUNCTION("""COMPUTED_VALUE"""),"#N/A")</f>
        <v>#N/A</v>
      </c>
      <c r="AE45" s="12" t="str">
        <f ca="1">IFERROR(__xludf.DUMMYFUNCTION("""COMPUTED_VALUE"""),"#N/A")</f>
        <v>#N/A</v>
      </c>
      <c r="AF45" s="12" t="str">
        <f ca="1">IFERROR(__xludf.DUMMYFUNCTION("""COMPUTED_VALUE"""),"#N/A")</f>
        <v>#N/A</v>
      </c>
      <c r="AG45" s="70" t="str">
        <f ca="1">IFERROR(__xludf.DUMMYFUNCTION("ArrayFormula(VLOOKUP(G45, IMPORTRANGE(""https://docs.google.com/spreadsheets/d/1Co934fvtviyaRiMsrIlT05Jaq7iiYq07aLvRr35KA48/edit?gid=173865642#gid=173865642"", ""'G9_Maths_Pri_LU'!G2:V2000""), {3, 4, 5, 6, 7, 8, 9, 10, 11, 12, 13, 14, 15, 16}, 0))"),"LU001267")</f>
        <v>LU001267</v>
      </c>
      <c r="AH45" s="70" t="str">
        <f ca="1">IFERROR(__xludf.DUMMYFUNCTION("""COMPUTED_VALUE"""),"Factor Theorem")</f>
        <v>Factor Theorem</v>
      </c>
      <c r="AI45" s="70" t="str">
        <f ca="1">IFERROR(__xludf.DUMMYFUNCTION("""COMPUTED_VALUE"""),"LU000762")</f>
        <v>LU000762</v>
      </c>
      <c r="AJ45" s="70" t="str">
        <f ca="1">IFERROR(__xludf.DUMMYFUNCTION("""COMPUTED_VALUE"""),"Definition of quadratic polynomial")</f>
        <v>Definition of quadratic polynomial</v>
      </c>
      <c r="AK45" s="70"/>
      <c r="AL45" s="70"/>
      <c r="AM45" s="13"/>
      <c r="AN45" s="13"/>
      <c r="AO45" s="13"/>
      <c r="AP45" s="13"/>
      <c r="AQ45" s="13"/>
      <c r="AR45" s="13"/>
      <c r="AS45" s="13"/>
      <c r="AT45" s="13"/>
    </row>
    <row r="46" spans="1:46">
      <c r="A46" s="8" t="s">
        <v>247</v>
      </c>
      <c r="B46" s="66" t="s">
        <v>47</v>
      </c>
      <c r="C46" s="66" t="s">
        <v>979</v>
      </c>
      <c r="D46" s="67" t="s">
        <v>732</v>
      </c>
      <c r="E46" s="67" t="s">
        <v>1027</v>
      </c>
      <c r="F46" s="66" t="s">
        <v>1046</v>
      </c>
      <c r="G46" s="68" t="s">
        <v>1048</v>
      </c>
      <c r="H46" s="66" t="str">
        <f ca="1">IFERROR(__xludf.DUMMYFUNCTION("VLOOKUP(G46, IMPORTRANGE(""https://docs.google.com/spreadsheets/d/14deopnvwcrKtEGCKuYXdUHJbeLDZlkiSSWWT0g7x2pM/edit#gid=999382323"", ""LU List Maths (Filter)!A:B""), 2, FALSE)"),"Factorisation of the cubic polynomial")</f>
        <v>Factorisation of the cubic polynomial</v>
      </c>
      <c r="I46" s="69" t="str">
        <f t="shared" si="0"/>
        <v>LU001270.001</v>
      </c>
      <c r="J46" s="69" t="str">
        <f ca="1">IFERROR(__xludf.DUMMYFUNCTION("VLOOKUP(I46, IMPORTRANGE(""https://docs.google.com/spreadsheets/d/1yDAaXNsi4Mr5FtRQL4tbmSdIzhx6_m4wkOD7IG-k_eo/edit#gid=0"", ""Maths!M:N""), 2, FALSE)"),"Recall the steps to identify a factor of a cubic polynomial by trial and error.")</f>
        <v>Recall the steps to identify a factor of a cubic polynomial by trial and error.</v>
      </c>
      <c r="K46" s="69" t="str">
        <f t="shared" si="1"/>
        <v>LU001270.002</v>
      </c>
      <c r="L46" s="69" t="str">
        <f ca="1">IFERROR(__xludf.DUMMYFUNCTION("VLOOKUP(K46, IMPORTRANGE(""https://docs.google.com/spreadsheets/d/1yDAaXNsi4Mr5FtRQL4tbmSdIzhx6_m4wkOD7IG-k_eo/edit#gid=0"", ""Maths!M:N""), 2, FALSE)"),"Explain the steps to factorize a cubic polynomial by identifying a factor, splitting the middle term, or using the Factor Theorem.")</f>
        <v>Explain the steps to factorize a cubic polynomial by identifying a factor, splitting the middle term, or using the Factor Theorem.</v>
      </c>
      <c r="M46" s="69" t="str">
        <f t="shared" si="2"/>
        <v>LU001270.003</v>
      </c>
      <c r="N46" s="69" t="str">
        <f ca="1">IFERROR(__xludf.DUMMYFUNCTION("VLOOKUP(M46, IMPORTRANGE(""https://docs.google.com/spreadsheets/d/1yDAaXNsi4Mr5FtRQL4tbmSdIzhx6_m4wkOD7IG-k_eo/edit#gid=0"", ""Maths!M:N""), 2, FALSE)"),"Apply the factor theorem to determine the factors of cubic polynomials.")</f>
        <v>Apply the factor theorem to determine the factors of cubic polynomials.</v>
      </c>
      <c r="O46" s="69" t="str">
        <f t="shared" si="3"/>
        <v>LU001270.004</v>
      </c>
      <c r="P46" s="69" t="str">
        <f ca="1">IFERROR(__xludf.DUMMYFUNCTION("VLOOKUP(O46, IMPORTRANGE(""https://docs.google.com/spreadsheets/d/1yDAaXNsi4Mr5FtRQL4tbmSdIzhx6_m4wkOD7IG-k_eo/edit#gid=0"", ""Maths!M:N""), 2, FALSE)"),"Analyse the steps involved in factorizing cubic polynomials using the factor theorem and splitting the middle term.")</f>
        <v>Analyse the steps involved in factorizing cubic polynomials using the factor theorem and splitting the middle term.</v>
      </c>
      <c r="Q46" s="69" t="str">
        <f t="shared" si="4"/>
        <v>LU001270.005</v>
      </c>
      <c r="R46" s="69" t="str">
        <f ca="1">IFERROR(__xludf.DUMMYFUNCTION("VLOOKUP(Q46, IMPORTRANGE(""https://docs.google.com/spreadsheets/d/1yDAaXNsi4Mr5FtRQL4tbmSdIzhx6_m4wkOD7IG-k_eo/edit#gid=0"", ""Maths!M:N""), 2, FALSE)"),"Evaluate the accuracy of different factorization methods for cubic polynomials.")</f>
        <v>Evaluate the accuracy of different factorization methods for cubic polynomials.</v>
      </c>
      <c r="S46" s="69" t="str">
        <f t="shared" si="5"/>
        <v>LU001270.006</v>
      </c>
      <c r="T46" s="69" t="str">
        <f ca="1">IFERROR(__xludf.DUMMYFUNCTION("VLOOKUP(S46, IMPORTRANGE(""https://docs.google.com/spreadsheets/d/1yDAaXNsi4Mr5FtRQL4tbmSdIzhx6_m4wkOD7IG-k_eo/edit#gid=0"", ""Maths!M:N""), 2, FALSE)"),"Develop a step-by-step method for factorizing any given cubic polynomial, incorporating both the factor theorem and middle term splitting techniques.")</f>
        <v>Develop a step-by-step method for factorizing any given cubic polynomial, incorporating both the factor theorem and middle term splitting techniques.</v>
      </c>
      <c r="U46" s="11" t="str">
        <f ca="1">IFERROR(__xludf.DUMMYFUNCTION("ArrayFormula(VLOOKUP(G46, IMPORTRANGE(""https://docs.google.com/spreadsheets/d/1p7R4vtkWt5VOBim4ltsDG9KTzSjrtKXsMtQGXPHyND0/edit#gid=795171502"", ""'Filter 30_05_2024'!A1:M2000""), {2, 3, 4, 5,6,7,8,9,10,11,12,13}, 0))"),"#N/A")</f>
        <v>#N/A</v>
      </c>
      <c r="V46" s="11" t="str">
        <f ca="1">IFERROR(__xludf.DUMMYFUNCTION("""COMPUTED_VALUE"""),"#N/A")</f>
        <v>#N/A</v>
      </c>
      <c r="W46" s="11" t="str">
        <f ca="1">IFERROR(__xludf.DUMMYFUNCTION("""COMPUTED_VALUE"""),"#N/A")</f>
        <v>#N/A</v>
      </c>
      <c r="X46" s="11" t="str">
        <f ca="1">IFERROR(__xludf.DUMMYFUNCTION("""COMPUTED_VALUE"""),"#N/A")</f>
        <v>#N/A</v>
      </c>
      <c r="Y46" s="11" t="str">
        <f ca="1">IFERROR(__xludf.DUMMYFUNCTION("""COMPUTED_VALUE"""),"#N/A")</f>
        <v>#N/A</v>
      </c>
      <c r="Z46" s="12" t="str">
        <f ca="1">IFERROR(__xludf.DUMMYFUNCTION("""COMPUTED_VALUE"""),"#N/A")</f>
        <v>#N/A</v>
      </c>
      <c r="AA46" s="12" t="str">
        <f ca="1">IFERROR(__xludf.DUMMYFUNCTION("""COMPUTED_VALUE"""),"#N/A")</f>
        <v>#N/A</v>
      </c>
      <c r="AB46" s="12" t="str">
        <f ca="1">IFERROR(__xludf.DUMMYFUNCTION("""COMPUTED_VALUE"""),"#N/A")</f>
        <v>#N/A</v>
      </c>
      <c r="AC46" s="11" t="str">
        <f ca="1">IFERROR(__xludf.DUMMYFUNCTION("""COMPUTED_VALUE"""),"#N/A")</f>
        <v>#N/A</v>
      </c>
      <c r="AD46" s="12" t="str">
        <f ca="1">IFERROR(__xludf.DUMMYFUNCTION("""COMPUTED_VALUE"""),"#N/A")</f>
        <v>#N/A</v>
      </c>
      <c r="AE46" s="12" t="str">
        <f ca="1">IFERROR(__xludf.DUMMYFUNCTION("""COMPUTED_VALUE"""),"#N/A")</f>
        <v>#N/A</v>
      </c>
      <c r="AF46" s="12" t="str">
        <f ca="1">IFERROR(__xludf.DUMMYFUNCTION("""COMPUTED_VALUE"""),"#N/A")</f>
        <v>#N/A</v>
      </c>
      <c r="AG46" s="70" t="str">
        <f ca="1">IFERROR(__xludf.DUMMYFUNCTION("ArrayFormula(VLOOKUP(G46, IMPORTRANGE(""https://docs.google.com/spreadsheets/d/1Co934fvtviyaRiMsrIlT05Jaq7iiYq07aLvRr35KA48/edit?gid=173865642#gid=173865642"", ""'G9_Maths_Pri_LU'!G2:V2000""), {3, 4, 5, 6, 7, 8, 9, 10, 11, 12, 13, 14, 15, 16}, 0))"),"LU001267")</f>
        <v>LU001267</v>
      </c>
      <c r="AH46" s="70" t="str">
        <f ca="1">IFERROR(__xludf.DUMMYFUNCTION("""COMPUTED_VALUE"""),"Factor Theorem")</f>
        <v>Factor Theorem</v>
      </c>
      <c r="AI46" s="70" t="str">
        <f ca="1">IFERROR(__xludf.DUMMYFUNCTION("""COMPUTED_VALUE"""),"LU001268")</f>
        <v>LU001268</v>
      </c>
      <c r="AJ46" s="70" t="str">
        <f ca="1">IFERROR(__xludf.DUMMYFUNCTION("""COMPUTED_VALUE"""),"Factorisation of the quadratic polynomial by splitting the middle term")</f>
        <v>Factorisation of the quadratic polynomial by splitting the middle term</v>
      </c>
      <c r="AK46" s="70" t="str">
        <f ca="1">IFERROR(__xludf.DUMMYFUNCTION("""COMPUTED_VALUE"""),"LU001269")</f>
        <v>LU001269</v>
      </c>
      <c r="AL46" s="70" t="str">
        <f ca="1">IFERROR(__xludf.DUMMYFUNCTION("""COMPUTED_VALUE"""),"Factorisation of the quadratic polynomial by using the factor theorem")</f>
        <v>Factorisation of the quadratic polynomial by using the factor theorem</v>
      </c>
      <c r="AM46" s="13" t="str">
        <f ca="1">IFERROR(__xludf.DUMMYFUNCTION("""COMPUTED_VALUE"""),"LU000764")</f>
        <v>LU000764</v>
      </c>
      <c r="AN46" s="13" t="str">
        <f ca="1">IFERROR(__xludf.DUMMYFUNCTION("""COMPUTED_VALUE"""),"Definition of cubic polynomial")</f>
        <v>Definition of cubic polynomial</v>
      </c>
      <c r="AO46" s="13"/>
      <c r="AP46" s="13"/>
      <c r="AQ46" s="13"/>
      <c r="AR46" s="13"/>
      <c r="AS46" s="13"/>
      <c r="AT46" s="13"/>
    </row>
    <row r="47" spans="1:46">
      <c r="A47" s="8" t="s">
        <v>247</v>
      </c>
      <c r="B47" s="66" t="s">
        <v>47</v>
      </c>
      <c r="C47" s="66" t="s">
        <v>979</v>
      </c>
      <c r="D47" s="67" t="s">
        <v>732</v>
      </c>
      <c r="E47" s="67" t="s">
        <v>1027</v>
      </c>
      <c r="F47" s="66" t="s">
        <v>1049</v>
      </c>
      <c r="G47" s="68" t="s">
        <v>1050</v>
      </c>
      <c r="H47" s="66" t="str">
        <f ca="1">IFERROR(__xludf.DUMMYFUNCTION("VLOOKUP(G47, IMPORTRANGE(""https://docs.google.com/spreadsheets/d/14deopnvwcrKtEGCKuYXdUHJbeLDZlkiSSWWT0g7x2pM/edit#gid=999382323"", ""LU List Maths (Filter)!A:B""), 2, FALSE)"),"Algebraic identity for (a+b+c)^2")</f>
        <v>Algebraic identity for (a+b+c)^2</v>
      </c>
      <c r="I47" s="69" t="str">
        <f t="shared" si="0"/>
        <v>LU000707.001</v>
      </c>
      <c r="J47" s="69" t="str">
        <f ca="1">IFERROR(__xludf.DUMMYFUNCTION("VLOOKUP(I47, IMPORTRANGE(""https://docs.google.com/spreadsheets/d/1yDAaXNsi4Mr5FtRQL4tbmSdIzhx6_m4wkOD7IG-k_eo/edit#gid=0"", ""Maths!M:N""), 2, FALSE)"),"State the algebraic identity for (a+b+c)^2 and explain its importance in algebraic expressions.")</f>
        <v>State the algebraic identity for (a+b+c)^2 and explain its importance in algebraic expressions.</v>
      </c>
      <c r="K47" s="69" t="str">
        <f t="shared" si="1"/>
        <v>LU000707.002</v>
      </c>
      <c r="L47" s="69" t="str">
        <f ca="1">IFERROR(__xludf.DUMMYFUNCTION("VLOOKUP(K47, IMPORTRANGE(""https://docs.google.com/spreadsheets/d/1yDAaXNsi4Mr5FtRQL4tbmSdIzhx6_m4wkOD7IG-k_eo/edit#gid=0"", ""Maths!M:N""), 2, FALSE)"),"Describe the meaning of the algebraic identity (a+b+c)^2 and provide a numerical example showcasing its use in polynomial expansion.")</f>
        <v>Describe the meaning of the algebraic identity (a+b+c)^2 and provide a numerical example showcasing its use in polynomial expansion.</v>
      </c>
      <c r="M47" s="69" t="str">
        <f t="shared" si="2"/>
        <v>LU000707.003</v>
      </c>
      <c r="N47" s="69" t="str">
        <f ca="1">IFERROR(__xludf.DUMMYFUNCTION("VLOOKUP(M47, IMPORTRANGE(""https://docs.google.com/spreadsheets/d/1yDAaXNsi4Mr5FtRQL4tbmSdIzhx6_m4wkOD7IG-k_eo/edit#gid=0"", ""Maths!M:N""), 2, FALSE)"),"Utilize the algebraic identity (a+b+c)^2 to expand expressions (like (4x+3y+z)^2) and find the solution.")</f>
        <v>Utilize the algebraic identity (a+b+c)^2 to expand expressions (like (4x+3y+z)^2) and find the solution.</v>
      </c>
      <c r="O47" s="69" t="str">
        <f t="shared" si="3"/>
        <v>LU000707.004</v>
      </c>
      <c r="P47" s="69" t="str">
        <f ca="1">IFERROR(__xludf.DUMMYFUNCTION("VLOOKUP(O47, IMPORTRANGE(""https://docs.google.com/spreadsheets/d/1yDAaXNsi4Mr5FtRQL4tbmSdIzhx6_m4wkOD7IG-k_eo/edit#gid=0"", ""Maths!M:N""), 2, FALSE)"),"Analyse complex binomial expressions and determine when and how to apply the algebraic identity (a+b+c)^2 for expansion and simplification.")</f>
        <v>Analyse complex binomial expressions and determine when and how to apply the algebraic identity (a+b+c)^2 for expansion and simplification.</v>
      </c>
      <c r="Q47" s="69" t="str">
        <f t="shared" si="4"/>
        <v>LU000707.005</v>
      </c>
      <c r="R47" s="69" t="str">
        <f ca="1">IFERROR(__xludf.DUMMYFUNCTION("VLOOKUP(Q47, IMPORTRANGE(""https://docs.google.com/spreadsheets/d/1yDAaXNsi4Mr5FtRQL4tbmSdIzhx6_m4wkOD7IG-k_eo/edit#gid=0"", ""Maths!M:N""), 2, FALSE)"),"Assess the precision and effectiveness of applying the algebraic identity (a+b+c)^2 to expand expressions in various mathematical contexts.")</f>
        <v>Assess the precision and effectiveness of applying the algebraic identity (a+b+c)^2 to expand expressions in various mathematical contexts.</v>
      </c>
      <c r="S47" s="69" t="str">
        <f t="shared" si="5"/>
        <v>LU000707.006</v>
      </c>
      <c r="T47" s="69" t="str">
        <f ca="1">IFERROR(__xludf.DUMMYFUNCTION("VLOOKUP(S47, IMPORTRANGE(""https://docs.google.com/spreadsheets/d/1yDAaXNsi4Mr5FtRQL4tbmSdIzhx6_m4wkOD7IG-k_eo/edit#gid=0"", ""Maths!M:N""), 2, FALSE)"),"Design original mathematical problems or scenarios where the algebraic identity (a+b+c)^2 is a critical component to apply this identity creatively in problem-solving.")</f>
        <v>Design original mathematical problems or scenarios where the algebraic identity (a+b+c)^2 is a critical component to apply this identity creatively in problem-solving.</v>
      </c>
      <c r="U47" s="11" t="str">
        <f ca="1">IFERROR(__xludf.DUMMYFUNCTION("ArrayFormula(VLOOKUP(G47, IMPORTRANGE(""https://docs.google.com/spreadsheets/d/1p7R4vtkWt5VOBim4ltsDG9KTzSjrtKXsMtQGXPHyND0/edit#gid=795171502"", ""'Filter 30_05_2024'!A1:M2000""), {2, 3, 4, 5,6,7,8,9,10,11,12,13}, 0))"),"#N/A")</f>
        <v>#N/A</v>
      </c>
      <c r="V47" s="11" t="str">
        <f ca="1">IFERROR(__xludf.DUMMYFUNCTION("""COMPUTED_VALUE"""),"#N/A")</f>
        <v>#N/A</v>
      </c>
      <c r="W47" s="11" t="str">
        <f ca="1">IFERROR(__xludf.DUMMYFUNCTION("""COMPUTED_VALUE"""),"#N/A")</f>
        <v>#N/A</v>
      </c>
      <c r="X47" s="11" t="str">
        <f ca="1">IFERROR(__xludf.DUMMYFUNCTION("""COMPUTED_VALUE"""),"#N/A")</f>
        <v>#N/A</v>
      </c>
      <c r="Y47" s="11" t="str">
        <f ca="1">IFERROR(__xludf.DUMMYFUNCTION("""COMPUTED_VALUE"""),"#N/A")</f>
        <v>#N/A</v>
      </c>
      <c r="Z47" s="12" t="str">
        <f ca="1">IFERROR(__xludf.DUMMYFUNCTION("""COMPUTED_VALUE"""),"#N/A")</f>
        <v>#N/A</v>
      </c>
      <c r="AA47" s="12" t="str">
        <f ca="1">IFERROR(__xludf.DUMMYFUNCTION("""COMPUTED_VALUE"""),"#N/A")</f>
        <v>#N/A</v>
      </c>
      <c r="AB47" s="12" t="str">
        <f ca="1">IFERROR(__xludf.DUMMYFUNCTION("""COMPUTED_VALUE"""),"#N/A")</f>
        <v>#N/A</v>
      </c>
      <c r="AC47" s="11" t="str">
        <f ca="1">IFERROR(__xludf.DUMMYFUNCTION("""COMPUTED_VALUE"""),"#N/A")</f>
        <v>#N/A</v>
      </c>
      <c r="AD47" s="12" t="str">
        <f ca="1">IFERROR(__xludf.DUMMYFUNCTION("""COMPUTED_VALUE"""),"#N/A")</f>
        <v>#N/A</v>
      </c>
      <c r="AE47" s="12" t="str">
        <f ca="1">IFERROR(__xludf.DUMMYFUNCTION("""COMPUTED_VALUE"""),"#N/A")</f>
        <v>#N/A</v>
      </c>
      <c r="AF47" s="12" t="str">
        <f ca="1">IFERROR(__xludf.DUMMYFUNCTION("""COMPUTED_VALUE"""),"#N/A")</f>
        <v>#N/A</v>
      </c>
      <c r="AG47" s="70" t="str">
        <f ca="1">IFERROR(__xludf.DUMMYFUNCTION("ArrayFormula(VLOOKUP(G47, IMPORTRANGE(""https://docs.google.com/spreadsheets/d/1Co934fvtviyaRiMsrIlT05Jaq7iiYq07aLvRr35KA48/edit?gid=173865642#gid=173865642"", ""'G9_Maths_Pri_LU'!G2:V2000""), {3, 4, 5, 6, 7, 8, 9, 10, 11, 12, 13, 14, 15, 16}, 0))"),"LU000699")</f>
        <v>LU000699</v>
      </c>
      <c r="AH47" s="70" t="str">
        <f ca="1">IFERROR(__xludf.DUMMYFUNCTION("""COMPUTED_VALUE"""),"Multiplication of polynomial by polynomial")</f>
        <v>Multiplication of polynomial by polynomial</v>
      </c>
      <c r="AI47" s="70" t="str">
        <f ca="1">IFERROR(__xludf.DUMMYFUNCTION("""COMPUTED_VALUE"""),"LU000702")</f>
        <v>LU000702</v>
      </c>
      <c r="AJ47" s="70" t="str">
        <f ca="1">IFERROR(__xludf.DUMMYFUNCTION("""COMPUTED_VALUE"""),"Definition of algebraic identity")</f>
        <v>Definition of algebraic identity</v>
      </c>
      <c r="AK47" s="70"/>
      <c r="AL47" s="70"/>
      <c r="AM47" s="13"/>
      <c r="AN47" s="13"/>
      <c r="AO47" s="13"/>
      <c r="AP47" s="13"/>
      <c r="AQ47" s="13"/>
      <c r="AR47" s="13"/>
      <c r="AS47" s="13"/>
      <c r="AT47" s="13"/>
    </row>
    <row r="48" spans="1:46">
      <c r="A48" s="8" t="s">
        <v>247</v>
      </c>
      <c r="B48" s="66" t="s">
        <v>47</v>
      </c>
      <c r="C48" s="66" t="s">
        <v>979</v>
      </c>
      <c r="D48" s="67" t="s">
        <v>732</v>
      </c>
      <c r="E48" s="67" t="s">
        <v>1027</v>
      </c>
      <c r="F48" s="66" t="s">
        <v>1049</v>
      </c>
      <c r="G48" s="68" t="s">
        <v>1051</v>
      </c>
      <c r="H48" s="66" t="str">
        <f ca="1">IFERROR(__xludf.DUMMYFUNCTION("VLOOKUP(G48, IMPORTRANGE(""https://docs.google.com/spreadsheets/d/14deopnvwcrKtEGCKuYXdUHJbeLDZlkiSSWWT0g7x2pM/edit#gid=999382323"", ""LU List Maths (Filter)!A:B""), 2, FALSE)"),"Factorisation of algebraic expressions using identity (a + b + c)^2")</f>
        <v>Factorisation of algebraic expressions using identity (a + b + c)^2</v>
      </c>
      <c r="I48" s="69" t="str">
        <f t="shared" si="0"/>
        <v>LU000912.001</v>
      </c>
      <c r="J48" s="69" t="str">
        <f ca="1">IFERROR(__xludf.DUMMYFUNCTION("VLOOKUP(I48, IMPORTRANGE(""https://docs.google.com/spreadsheets/d/1yDAaXNsi4Mr5FtRQL4tbmSdIzhx6_m4wkOD7IG-k_eo/edit#gid=0"", ""Maths!M:N""), 2, FALSE)"),"State the formula for the identity (a + b + c)^2.")</f>
        <v>State the formula for the identity (a + b + c)^2.</v>
      </c>
      <c r="K48" s="69" t="str">
        <f t="shared" si="1"/>
        <v>LU000912.002</v>
      </c>
      <c r="L48" s="69" t="str">
        <f ca="1">IFERROR(__xludf.DUMMYFUNCTION("VLOOKUP(K48, IMPORTRANGE(""https://docs.google.com/spreadsheets/d/1yDAaXNsi4Mr5FtRQL4tbmSdIzhx6_m4wkOD7IG-k_eo/edit#gid=0"", ""Maths!M:N""), 2, FALSE)"),"Describe the role of each term (a^2, b^2, c^2, 2ab, 2bc and 2ac) in the expansion of (a + b + c)^2.")</f>
        <v>Describe the role of each term (a^2, b^2, c^2, 2ab, 2bc and 2ac) in the expansion of (a + b + c)^2.</v>
      </c>
      <c r="M48" s="69" t="str">
        <f t="shared" si="2"/>
        <v>LU000912.003</v>
      </c>
      <c r="N48" s="69" t="str">
        <f ca="1">IFERROR(__xludf.DUMMYFUNCTION("VLOOKUP(M48, IMPORTRANGE(""https://docs.google.com/spreadsheets/d/1yDAaXNsi4Mr5FtRQL4tbmSdIzhx6_m4wkOD7IG-k_eo/edit#gid=0"", ""Maths!M:N""), 2, FALSE)"),"Apply the identity (a + b + c)^2 to factorise algebraic expressions.")</f>
        <v>Apply the identity (a + b + c)^2 to factorise algebraic expressions.</v>
      </c>
      <c r="O48" s="69" t="str">
        <f t="shared" si="3"/>
        <v>LU000912.004</v>
      </c>
      <c r="P48" s="69" t="str">
        <f ca="1">IFERROR(__xludf.DUMMYFUNCTION("VLOOKUP(O48, IMPORTRANGE(""https://docs.google.com/spreadsheets/d/1yDAaXNsi4Mr5FtRQL4tbmSdIzhx6_m4wkOD7IG-k_eo/edit#gid=0"", ""Maths!M:N""), 2, FALSE)"),"Determine when it's more efficient to use (a + b + c)^2 compared to other factorisation methods for a given expression.")</f>
        <v>Determine when it's more efficient to use (a + b + c)^2 compared to other factorisation methods for a given expression.</v>
      </c>
      <c r="Q48" s="69" t="str">
        <f t="shared" si="4"/>
        <v>LU000912.005</v>
      </c>
      <c r="R48" s="69" t="str">
        <f ca="1">IFERROR(__xludf.DUMMYFUNCTION("VLOOKUP(Q48, IMPORTRANGE(""https://docs.google.com/spreadsheets/d/1yDAaXNsi4Mr5FtRQL4tbmSdIzhx6_m4wkOD7IG-k_eo/edit#gid=0"", ""Maths!M:N""), 2, FALSE)"),"Critically assess factorisation of an expression using (a + b + c)^2, highlighting any errors or improvements.")</f>
        <v>Critically assess factorisation of an expression using (a + b + c)^2, highlighting any errors or improvements.</v>
      </c>
      <c r="S48" s="69" t="str">
        <f t="shared" si="5"/>
        <v>LU000912.006</v>
      </c>
      <c r="T48" s="69" t="str">
        <f ca="1">IFERROR(__xludf.DUMMYFUNCTION("VLOOKUP(S48, IMPORTRANGE(""https://docs.google.com/spreadsheets/d/1yDAaXNsi4Mr5FtRQL4tbmSdIzhx6_m4wkOD7IG-k_eo/edit#gid=0"", ""Maths!M:N""), 2, FALSE)"),"Design a unique algebraic expression and then factorise it using the (a + b + c)^2 identity to simplify.")</f>
        <v>Design a unique algebraic expression and then factorise it using the (a + b + c)^2 identity to simplify.</v>
      </c>
      <c r="U48" s="11" t="str">
        <f ca="1">IFERROR(__xludf.DUMMYFUNCTION("ArrayFormula(VLOOKUP(G48, IMPORTRANGE(""https://docs.google.com/spreadsheets/d/1p7R4vtkWt5VOBim4ltsDG9KTzSjrtKXsMtQGXPHyND0/edit#gid=795171502"", ""'Filter 30_05_2024'!A1:M2000""), {2, 3, 4, 5,6,7,8,9,10,11,12,13}, 0))"),"#N/A")</f>
        <v>#N/A</v>
      </c>
      <c r="V48" s="11" t="str">
        <f ca="1">IFERROR(__xludf.DUMMYFUNCTION("""COMPUTED_VALUE"""),"#N/A")</f>
        <v>#N/A</v>
      </c>
      <c r="W48" s="11" t="str">
        <f ca="1">IFERROR(__xludf.DUMMYFUNCTION("""COMPUTED_VALUE"""),"#N/A")</f>
        <v>#N/A</v>
      </c>
      <c r="X48" s="11" t="str">
        <f ca="1">IFERROR(__xludf.DUMMYFUNCTION("""COMPUTED_VALUE"""),"#N/A")</f>
        <v>#N/A</v>
      </c>
      <c r="Y48" s="11" t="str">
        <f ca="1">IFERROR(__xludf.DUMMYFUNCTION("""COMPUTED_VALUE"""),"#N/A")</f>
        <v>#N/A</v>
      </c>
      <c r="Z48" s="12" t="str">
        <f ca="1">IFERROR(__xludf.DUMMYFUNCTION("""COMPUTED_VALUE"""),"#N/A")</f>
        <v>#N/A</v>
      </c>
      <c r="AA48" s="12" t="str">
        <f ca="1">IFERROR(__xludf.DUMMYFUNCTION("""COMPUTED_VALUE"""),"#N/A")</f>
        <v>#N/A</v>
      </c>
      <c r="AB48" s="12" t="str">
        <f ca="1">IFERROR(__xludf.DUMMYFUNCTION("""COMPUTED_VALUE"""),"#N/A")</f>
        <v>#N/A</v>
      </c>
      <c r="AC48" s="11" t="str">
        <f ca="1">IFERROR(__xludf.DUMMYFUNCTION("""COMPUTED_VALUE"""),"#N/A")</f>
        <v>#N/A</v>
      </c>
      <c r="AD48" s="12" t="str">
        <f ca="1">IFERROR(__xludf.DUMMYFUNCTION("""COMPUTED_VALUE"""),"#N/A")</f>
        <v>#N/A</v>
      </c>
      <c r="AE48" s="12" t="str">
        <f ca="1">IFERROR(__xludf.DUMMYFUNCTION("""COMPUTED_VALUE"""),"#N/A")</f>
        <v>#N/A</v>
      </c>
      <c r="AF48" s="12" t="str">
        <f ca="1">IFERROR(__xludf.DUMMYFUNCTION("""COMPUTED_VALUE"""),"#N/A")</f>
        <v>#N/A</v>
      </c>
      <c r="AG48" s="70" t="str">
        <f ca="1">IFERROR(__xludf.DUMMYFUNCTION("ArrayFormula(VLOOKUP(G48, IMPORTRANGE(""https://docs.google.com/spreadsheets/d/1Co934fvtviyaRiMsrIlT05Jaq7iiYq07aLvRr35KA48/edit?gid=173865642#gid=173865642"", ""'G9_Maths_Pri_LU'!G2:V2000""), {3, 4, 5, 6, 7, 8, 9, 10, 11, 12, 13, 14, 15, 16}, 0))"),"LU000707")</f>
        <v>LU000707</v>
      </c>
      <c r="AH48" s="70" t="str">
        <f ca="1">IFERROR(__xludf.DUMMYFUNCTION("""COMPUTED_VALUE"""),"Algebraic identity for (a+b+c)^2")</f>
        <v>Algebraic identity for (a+b+c)^2</v>
      </c>
      <c r="AI48" s="70" t="str">
        <f ca="1">IFERROR(__xludf.DUMMYFUNCTION("""COMPUTED_VALUE"""),"LU001267")</f>
        <v>LU001267</v>
      </c>
      <c r="AJ48" s="70" t="str">
        <f ca="1">IFERROR(__xludf.DUMMYFUNCTION("""COMPUTED_VALUE"""),"Factor Theorem")</f>
        <v>Factor Theorem</v>
      </c>
      <c r="AK48" s="70"/>
      <c r="AL48" s="70"/>
      <c r="AM48" s="13"/>
      <c r="AN48" s="13"/>
      <c r="AO48" s="13"/>
      <c r="AP48" s="13"/>
      <c r="AQ48" s="13"/>
      <c r="AR48" s="13"/>
      <c r="AS48" s="13"/>
      <c r="AT48" s="13"/>
    </row>
    <row r="49" spans="1:46">
      <c r="A49" s="8" t="s">
        <v>247</v>
      </c>
      <c r="B49" s="66" t="s">
        <v>47</v>
      </c>
      <c r="C49" s="66" t="s">
        <v>979</v>
      </c>
      <c r="D49" s="67" t="s">
        <v>732</v>
      </c>
      <c r="E49" s="67" t="s">
        <v>1027</v>
      </c>
      <c r="F49" s="66" t="s">
        <v>1052</v>
      </c>
      <c r="G49" s="68" t="s">
        <v>1053</v>
      </c>
      <c r="H49" s="66" t="str">
        <f ca="1">IFERROR(__xludf.DUMMYFUNCTION("VLOOKUP(G49, IMPORTRANGE(""https://docs.google.com/spreadsheets/d/14deopnvwcrKtEGCKuYXdUHJbeLDZlkiSSWWT0g7x2pM/edit#gid=999382323"", ""LU List Maths (Filter)!A:B""), 2, FALSE)"),"Algebraic identity for (a+b)^3")</f>
        <v>Algebraic identity for (a+b)^3</v>
      </c>
      <c r="I49" s="69" t="str">
        <f t="shared" si="0"/>
        <v>LU001271.001</v>
      </c>
      <c r="J49" s="69" t="str">
        <f ca="1">IFERROR(__xludf.DUMMYFUNCTION("VLOOKUP(I49, IMPORTRANGE(""https://docs.google.com/spreadsheets/d/1yDAaXNsi4Mr5FtRQL4tbmSdIzhx6_m4wkOD7IG-k_eo/edit#gid=0"", ""Maths!M:N""), 2, FALSE)"),"Recall the algebraic identity for (a+b)^3.")</f>
        <v>Recall the algebraic identity for (a+b)^3.</v>
      </c>
      <c r="K49" s="69" t="str">
        <f t="shared" si="1"/>
        <v>LU001271.002</v>
      </c>
      <c r="L49" s="69" t="str">
        <f ca="1">IFERROR(__xludf.DUMMYFUNCTION("VLOOKUP(K49, IMPORTRANGE(""https://docs.google.com/spreadsheets/d/1yDAaXNsi4Mr5FtRQL4tbmSdIzhx6_m4wkOD7IG-k_eo/edit#gid=0"", ""Maths!M:N""), 2, FALSE)"),"Explain the derivation of the identity (a+b)^3 = (a^3) + 3(a^2)b + (3ab^2) + (b^3).")</f>
        <v>Explain the derivation of the identity (a+b)^3 = (a^3) + 3(a^2)b + (3ab^2) + (b^3).</v>
      </c>
      <c r="M49" s="69" t="str">
        <f t="shared" si="2"/>
        <v>LU001271.003</v>
      </c>
      <c r="N49" s="69" t="str">
        <f ca="1">IFERROR(__xludf.DUMMYFUNCTION("VLOOKUP(M49, IMPORTRANGE(""https://docs.google.com/spreadsheets/d/1yDAaXNsi4Mr5FtRQL4tbmSdIzhx6_m4wkOD7IG-k_eo/edit#gid=0"", ""Maths!M:N""), 2, FALSE)"),"Apply the identity (a+b)^3 to simplify expressions or to find the cube of numbers.")</f>
        <v>Apply the identity (a+b)^3 to simplify expressions or to find the cube of numbers.</v>
      </c>
      <c r="O49" s="69" t="str">
        <f t="shared" si="3"/>
        <v>LU001271.004</v>
      </c>
      <c r="P49" s="69" t="str">
        <f ca="1">IFERROR(__xludf.DUMMYFUNCTION("VLOOKUP(O49, IMPORTRANGE(""https://docs.google.com/spreadsheets/d/1yDAaXNsi4Mr5FtRQL4tbmSdIzhx6_m4wkOD7IG-k_eo/edit#gid=0"", ""Maths!M:N""), 2, FALSE)"),"Analyse polynomial expressions to identify where the identity (a+b)^3 can be applied.")</f>
        <v>Analyse polynomial expressions to identify where the identity (a+b)^3 can be applied.</v>
      </c>
      <c r="Q49" s="69" t="str">
        <f t="shared" si="4"/>
        <v>LU001271.005</v>
      </c>
      <c r="R49" s="69" t="str">
        <f ca="1">IFERROR(__xludf.DUMMYFUNCTION("VLOOKUP(Q49, IMPORTRANGE(""https://docs.google.com/spreadsheets/d/1yDAaXNsi4Mr5FtRQL4tbmSdIzhx6_m4wkOD7IG-k_eo/edit#gid=0"", ""Maths!M:N""), 2, FALSE)"),"Evaluate the effectiveness of using (a+b)^3 identity in solving polynomial equations.")</f>
        <v>Evaluate the effectiveness of using (a+b)^3 identity in solving polynomial equations.</v>
      </c>
      <c r="S49" s="69" t="str">
        <f t="shared" si="5"/>
        <v>LU001271.006</v>
      </c>
      <c r="T49" s="69" t="str">
        <f ca="1">IFERROR(__xludf.DUMMYFUNCTION("VLOOKUP(S49, IMPORTRANGE(""https://docs.google.com/spreadsheets/d/1yDAaXNsi4Mr5FtRQL4tbmSdIzhx6_m4wkOD7IG-k_eo/edit#gid=0"", ""Maths!M:N""), 2, FALSE)"),"Create polynomial problems that require the use of (a+b)^3 for simplification.")</f>
        <v>Create polynomial problems that require the use of (a+b)^3 for simplification.</v>
      </c>
      <c r="U49" s="11" t="str">
        <f ca="1">IFERROR(__xludf.DUMMYFUNCTION("ArrayFormula(VLOOKUP(G49, IMPORTRANGE(""https://docs.google.com/spreadsheets/d/1p7R4vtkWt5VOBim4ltsDG9KTzSjrtKXsMtQGXPHyND0/edit#gid=795171502"", ""'Filter 30_05_2024'!A1:M2000""), {2, 3, 4, 5,6,7,8,9,10,11,12,13}, 0))"),"#N/A")</f>
        <v>#N/A</v>
      </c>
      <c r="V49" s="11" t="str">
        <f ca="1">IFERROR(__xludf.DUMMYFUNCTION("""COMPUTED_VALUE"""),"#N/A")</f>
        <v>#N/A</v>
      </c>
      <c r="W49" s="11" t="str">
        <f ca="1">IFERROR(__xludf.DUMMYFUNCTION("""COMPUTED_VALUE"""),"#N/A")</f>
        <v>#N/A</v>
      </c>
      <c r="X49" s="11" t="str">
        <f ca="1">IFERROR(__xludf.DUMMYFUNCTION("""COMPUTED_VALUE"""),"#N/A")</f>
        <v>#N/A</v>
      </c>
      <c r="Y49" s="11" t="str">
        <f ca="1">IFERROR(__xludf.DUMMYFUNCTION("""COMPUTED_VALUE"""),"#N/A")</f>
        <v>#N/A</v>
      </c>
      <c r="Z49" s="12" t="str">
        <f ca="1">IFERROR(__xludf.DUMMYFUNCTION("""COMPUTED_VALUE"""),"#N/A")</f>
        <v>#N/A</v>
      </c>
      <c r="AA49" s="12" t="str">
        <f ca="1">IFERROR(__xludf.DUMMYFUNCTION("""COMPUTED_VALUE"""),"#N/A")</f>
        <v>#N/A</v>
      </c>
      <c r="AB49" s="12" t="str">
        <f ca="1">IFERROR(__xludf.DUMMYFUNCTION("""COMPUTED_VALUE"""),"#N/A")</f>
        <v>#N/A</v>
      </c>
      <c r="AC49" s="11" t="str">
        <f ca="1">IFERROR(__xludf.DUMMYFUNCTION("""COMPUTED_VALUE"""),"#N/A")</f>
        <v>#N/A</v>
      </c>
      <c r="AD49" s="12" t="str">
        <f ca="1">IFERROR(__xludf.DUMMYFUNCTION("""COMPUTED_VALUE"""),"#N/A")</f>
        <v>#N/A</v>
      </c>
      <c r="AE49" s="12" t="str">
        <f ca="1">IFERROR(__xludf.DUMMYFUNCTION("""COMPUTED_VALUE"""),"#N/A")</f>
        <v>#N/A</v>
      </c>
      <c r="AF49" s="12" t="str">
        <f ca="1">IFERROR(__xludf.DUMMYFUNCTION("""COMPUTED_VALUE"""),"#N/A")</f>
        <v>#N/A</v>
      </c>
      <c r="AG49" s="70" t="str">
        <f ca="1">IFERROR(__xludf.DUMMYFUNCTION("ArrayFormula(VLOOKUP(G49, IMPORTRANGE(""https://docs.google.com/spreadsheets/d/1Co934fvtviyaRiMsrIlT05Jaq7iiYq07aLvRr35KA48/edit?gid=173865642#gid=173865642"", ""'G9_Maths_Pri_LU'!G2:V2000""), {3, 4, 5, 6, 7, 8, 9, 10, 11, 12, 13, 14, 15, 16}, 0))"),"LU000705")</f>
        <v>LU000705</v>
      </c>
      <c r="AH49" s="70" t="str">
        <f ca="1">IFERROR(__xludf.DUMMYFUNCTION("""COMPUTED_VALUE"""),"Algebraic identity for (a+b)^2")</f>
        <v>Algebraic identity for (a+b)^2</v>
      </c>
      <c r="AI49" s="70" t="str">
        <f ca="1">IFERROR(__xludf.DUMMYFUNCTION("""COMPUTED_VALUE"""),"LU000661")</f>
        <v>LU000661</v>
      </c>
      <c r="AJ49" s="70" t="str">
        <f ca="1">IFERROR(__xludf.DUMMYFUNCTION("""COMPUTED_VALUE"""),"Properties of cube of a number")</f>
        <v>Properties of cube of a number</v>
      </c>
      <c r="AK49" s="70"/>
      <c r="AL49" s="70"/>
      <c r="AM49" s="13"/>
      <c r="AN49" s="13"/>
      <c r="AO49" s="13"/>
      <c r="AP49" s="13"/>
      <c r="AQ49" s="13"/>
      <c r="AR49" s="13"/>
      <c r="AS49" s="13"/>
      <c r="AT49" s="13"/>
    </row>
    <row r="50" spans="1:46">
      <c r="A50" s="8" t="s">
        <v>247</v>
      </c>
      <c r="B50" s="66" t="s">
        <v>47</v>
      </c>
      <c r="C50" s="66" t="s">
        <v>979</v>
      </c>
      <c r="D50" s="67" t="s">
        <v>732</v>
      </c>
      <c r="E50" s="67" t="s">
        <v>1027</v>
      </c>
      <c r="F50" s="66" t="s">
        <v>1052</v>
      </c>
      <c r="G50" s="68" t="s">
        <v>1054</v>
      </c>
      <c r="H50" s="66" t="str">
        <f ca="1">IFERROR(__xludf.DUMMYFUNCTION("VLOOKUP(G50, IMPORTRANGE(""https://docs.google.com/spreadsheets/d/14deopnvwcrKtEGCKuYXdUHJbeLDZlkiSSWWT0g7x2pM/edit#gid=999382323"", ""LU List Maths (Filter)!A:B""), 2, FALSE)"),"Factorisation of algebraic expressions using identity (a+b)^3")</f>
        <v>Factorisation of algebraic expressions using identity (a+b)^3</v>
      </c>
      <c r="I50" s="69" t="str">
        <f t="shared" si="0"/>
        <v>LU001273.001</v>
      </c>
      <c r="J50" s="69" t="str">
        <f ca="1">IFERROR(__xludf.DUMMYFUNCTION("VLOOKUP(I50, IMPORTRANGE(""https://docs.google.com/spreadsheets/d/1yDAaXNsi4Mr5FtRQL4tbmSdIzhx6_m4wkOD7IG-k_eo/edit#gid=0"", ""Maths!M:N""), 2, FALSE)"),"Identify the algebraic identity (a+b)^3 and its expanded form.")</f>
        <v>Identify the algebraic identity (a+b)^3 and its expanded form.</v>
      </c>
      <c r="K50" s="69" t="str">
        <f t="shared" si="1"/>
        <v>LU001273.002</v>
      </c>
      <c r="L50" s="69" t="str">
        <f ca="1">IFERROR(__xludf.DUMMYFUNCTION("VLOOKUP(K50, IMPORTRANGE(""https://docs.google.com/spreadsheets/d/1yDAaXNsi4Mr5FtRQL4tbmSdIzhx6_m4wkOD7IG-k_eo/edit#gid=0"", ""Maths!M:N""), 2, FALSE)"),"Explain the process of factorizing expressions using the identity (a+b)^3.")</f>
        <v>Explain the process of factorizing expressions using the identity (a+b)^3.</v>
      </c>
      <c r="M50" s="69" t="str">
        <f t="shared" si="2"/>
        <v>LU001273.003</v>
      </c>
      <c r="N50" s="69" t="str">
        <f ca="1">IFERROR(__xludf.DUMMYFUNCTION("VLOOKUP(M50, IMPORTRANGE(""https://docs.google.com/spreadsheets/d/1yDAaXNsi4Mr5FtRQL4tbmSdIzhx6_m4wkOD7IG-k_eo/edit#gid=0"", ""Maths!M:N""), 2, FALSE)"),"Use the identity (a+b)^3 to factorize given algebraic expressions ")</f>
        <v xml:space="preserve">Use the identity (a+b)^3 to factorize given algebraic expressions </v>
      </c>
      <c r="O50" s="69" t="str">
        <f t="shared" si="3"/>
        <v>LU001273.004</v>
      </c>
      <c r="P50" s="69" t="str">
        <f ca="1">IFERROR(__xludf.DUMMYFUNCTION("VLOOKUP(O50, IMPORTRANGE(""https://docs.google.com/spreadsheets/d/1yDAaXNsi4Mr5FtRQL4tbmSdIzhx6_m4wkOD7IG-k_eo/edit#gid=0"", ""Maths!M:N""), 2, FALSE)"),"Differentiate between expressions that can be factorized using (a+b)^3 and those that cannot.")</f>
        <v>Differentiate between expressions that can be factorized using (a+b)^3 and those that cannot.</v>
      </c>
      <c r="Q50" s="69" t="str">
        <f t="shared" si="4"/>
        <v>LU001273.005</v>
      </c>
      <c r="R50" s="69" t="str">
        <f ca="1">IFERROR(__xludf.DUMMYFUNCTION("VLOOKUP(Q50, IMPORTRANGE(""https://docs.google.com/spreadsheets/d/1yDAaXNsi4Mr5FtRQL4tbmSdIzhx6_m4wkOD7IG-k_eo/edit#gid=0"", ""Maths!M:N""), 2, FALSE)"),"Assess the accuracy of factorization in given algebraic expressions using (a+b)^3.")</f>
        <v>Assess the accuracy of factorization in given algebraic expressions using (a+b)^3.</v>
      </c>
      <c r="S50" s="69" t="str">
        <f t="shared" si="5"/>
        <v>LU001273.006</v>
      </c>
      <c r="T50" s="69" t="str">
        <f ca="1">IFERROR(__xludf.DUMMYFUNCTION("VLOOKUP(S50, IMPORTRANGE(""https://docs.google.com/spreadsheets/d/1yDAaXNsi4Mr5FtRQL4tbmSdIzhx6_m4wkOD7IG-k_eo/edit#gid=0"", ""Maths!M:N""), 2, FALSE)"),"Create complex algebraic expressions and demonstrate their factorization using (a+b)^3.")</f>
        <v>Create complex algebraic expressions and demonstrate their factorization using (a+b)^3.</v>
      </c>
      <c r="U50" s="11" t="str">
        <f ca="1">IFERROR(__xludf.DUMMYFUNCTION("ArrayFormula(VLOOKUP(G50, IMPORTRANGE(""https://docs.google.com/spreadsheets/d/1p7R4vtkWt5VOBim4ltsDG9KTzSjrtKXsMtQGXPHyND0/edit#gid=795171502"", ""'Filter 30_05_2024'!A1:M2000""), {2, 3, 4, 5,6,7,8,9,10,11,12,13}, 0))"),"#N/A")</f>
        <v>#N/A</v>
      </c>
      <c r="V50" s="11" t="str">
        <f ca="1">IFERROR(__xludf.DUMMYFUNCTION("""COMPUTED_VALUE"""),"#N/A")</f>
        <v>#N/A</v>
      </c>
      <c r="W50" s="11" t="str">
        <f ca="1">IFERROR(__xludf.DUMMYFUNCTION("""COMPUTED_VALUE"""),"#N/A")</f>
        <v>#N/A</v>
      </c>
      <c r="X50" s="11" t="str">
        <f ca="1">IFERROR(__xludf.DUMMYFUNCTION("""COMPUTED_VALUE"""),"#N/A")</f>
        <v>#N/A</v>
      </c>
      <c r="Y50" s="11" t="str">
        <f ca="1">IFERROR(__xludf.DUMMYFUNCTION("""COMPUTED_VALUE"""),"#N/A")</f>
        <v>#N/A</v>
      </c>
      <c r="Z50" s="12" t="str">
        <f ca="1">IFERROR(__xludf.DUMMYFUNCTION("""COMPUTED_VALUE"""),"#N/A")</f>
        <v>#N/A</v>
      </c>
      <c r="AA50" s="12" t="str">
        <f ca="1">IFERROR(__xludf.DUMMYFUNCTION("""COMPUTED_VALUE"""),"#N/A")</f>
        <v>#N/A</v>
      </c>
      <c r="AB50" s="12" t="str">
        <f ca="1">IFERROR(__xludf.DUMMYFUNCTION("""COMPUTED_VALUE"""),"#N/A")</f>
        <v>#N/A</v>
      </c>
      <c r="AC50" s="11" t="str">
        <f ca="1">IFERROR(__xludf.DUMMYFUNCTION("""COMPUTED_VALUE"""),"#N/A")</f>
        <v>#N/A</v>
      </c>
      <c r="AD50" s="12" t="str">
        <f ca="1">IFERROR(__xludf.DUMMYFUNCTION("""COMPUTED_VALUE"""),"#N/A")</f>
        <v>#N/A</v>
      </c>
      <c r="AE50" s="12" t="str">
        <f ca="1">IFERROR(__xludf.DUMMYFUNCTION("""COMPUTED_VALUE"""),"#N/A")</f>
        <v>#N/A</v>
      </c>
      <c r="AF50" s="12" t="str">
        <f ca="1">IFERROR(__xludf.DUMMYFUNCTION("""COMPUTED_VALUE"""),"#N/A")</f>
        <v>#N/A</v>
      </c>
      <c r="AG50" s="70" t="str">
        <f ca="1">IFERROR(__xludf.DUMMYFUNCTION("ArrayFormula(VLOOKUP(G50, IMPORTRANGE(""https://docs.google.com/spreadsheets/d/1Co934fvtviyaRiMsrIlT05Jaq7iiYq07aLvRr35KA48/edit?gid=173865642#gid=173865642"", ""'G9_Maths_Pri_LU'!G2:V2000""), {3, 4, 5, 6, 7, 8, 9, 10, 11, 12, 13, 14, 15, 16}, 0))"),"LU001271")</f>
        <v>LU001271</v>
      </c>
      <c r="AH50" s="70" t="str">
        <f ca="1">IFERROR(__xludf.DUMMYFUNCTION("""COMPUTED_VALUE"""),"Algebraic identity for (a+b)^3")</f>
        <v>Algebraic identity for (a+b)^3</v>
      </c>
      <c r="AI50" s="70" t="str">
        <f ca="1">IFERROR(__xludf.DUMMYFUNCTION("""COMPUTED_VALUE"""),"LU000760")</f>
        <v>LU000760</v>
      </c>
      <c r="AJ50" s="70" t="str">
        <f ca="1">IFERROR(__xludf.DUMMYFUNCTION("""COMPUTED_VALUE"""),"Factorisation of algebraic expressions using identities")</f>
        <v>Factorisation of algebraic expressions using identities</v>
      </c>
      <c r="AK50" s="70"/>
      <c r="AL50" s="70"/>
      <c r="AM50" s="13"/>
      <c r="AN50" s="13"/>
      <c r="AO50" s="13"/>
      <c r="AP50" s="13"/>
      <c r="AQ50" s="13"/>
      <c r="AR50" s="13"/>
      <c r="AS50" s="13"/>
      <c r="AT50" s="13"/>
    </row>
    <row r="51" spans="1:46">
      <c r="A51" s="8" t="s">
        <v>247</v>
      </c>
      <c r="B51" s="66" t="s">
        <v>47</v>
      </c>
      <c r="C51" s="66" t="s">
        <v>979</v>
      </c>
      <c r="D51" s="67" t="s">
        <v>732</v>
      </c>
      <c r="E51" s="67" t="s">
        <v>1027</v>
      </c>
      <c r="F51" s="66" t="s">
        <v>1055</v>
      </c>
      <c r="G51" s="68" t="s">
        <v>1056</v>
      </c>
      <c r="H51" s="66" t="str">
        <f ca="1">IFERROR(__xludf.DUMMYFUNCTION("VLOOKUP(G51, IMPORTRANGE(""https://docs.google.com/spreadsheets/d/14deopnvwcrKtEGCKuYXdUHJbeLDZlkiSSWWT0g7x2pM/edit#gid=999382323"", ""LU List Maths (Filter)!A:B""), 2, FALSE)"),"Algebraic identity for (a-b)^3")</f>
        <v>Algebraic identity for (a-b)^3</v>
      </c>
      <c r="I51" s="69" t="str">
        <f t="shared" si="0"/>
        <v>LU001272.001</v>
      </c>
      <c r="J51" s="69" t="str">
        <f ca="1">IFERROR(__xludf.DUMMYFUNCTION("VLOOKUP(I51, IMPORTRANGE(""https://docs.google.com/spreadsheets/d/1yDAaXNsi4Mr5FtRQL4tbmSdIzhx6_m4wkOD7IG-k_eo/edit#gid=0"", ""Maths!M:N""), 2, FALSE)"),"Recall the algebraic identity for (a-b)^3.")</f>
        <v>Recall the algebraic identity for (a-b)^3.</v>
      </c>
      <c r="K51" s="69" t="str">
        <f t="shared" si="1"/>
        <v>LU001272.002</v>
      </c>
      <c r="L51" s="69" t="str">
        <f ca="1">IFERROR(__xludf.DUMMYFUNCTION("VLOOKUP(K51, IMPORTRANGE(""https://docs.google.com/spreadsheets/d/1yDAaXNsi4Mr5FtRQL4tbmSdIzhx6_m4wkOD7IG-k_eo/edit#gid=0"", ""Maths!M:N""), 2, FALSE)"),"Explain the derivation of the identity (a-b)^3 = (a^3) - 3(a^2)b + (3ab^2) - (b^3).")</f>
        <v>Explain the derivation of the identity (a-b)^3 = (a^3) - 3(a^2)b + (3ab^2) - (b^3).</v>
      </c>
      <c r="M51" s="69" t="str">
        <f t="shared" si="2"/>
        <v>LU001272.003</v>
      </c>
      <c r="N51" s="69" t="str">
        <f ca="1">IFERROR(__xludf.DUMMYFUNCTION("VLOOKUP(M51, IMPORTRANGE(""https://docs.google.com/spreadsheets/d/1yDAaXNsi4Mr5FtRQL4tbmSdIzhx6_m4wkOD7IG-k_eo/edit#gid=0"", ""Maths!M:N""), 2, FALSE)"),"Apply the identity (a-b)^3 to simplify expressions or to find the cube of numbers.")</f>
        <v>Apply the identity (a-b)^3 to simplify expressions or to find the cube of numbers.</v>
      </c>
      <c r="O51" s="69" t="str">
        <f t="shared" si="3"/>
        <v>LU001272.004</v>
      </c>
      <c r="P51" s="69" t="str">
        <f ca="1">IFERROR(__xludf.DUMMYFUNCTION("VLOOKUP(O51, IMPORTRANGE(""https://docs.google.com/spreadsheets/d/1yDAaXNsi4Mr5FtRQL4tbmSdIzhx6_m4wkOD7IG-k_eo/edit#gid=0"", ""Maths!M:N""), 2, FALSE)"),"Analyse polynomial expressions to identify where the identity (a-b)^3 can be applied.")</f>
        <v>Analyse polynomial expressions to identify where the identity (a-b)^3 can be applied.</v>
      </c>
      <c r="Q51" s="69" t="str">
        <f t="shared" si="4"/>
        <v>LU001272.005</v>
      </c>
      <c r="R51" s="69" t="str">
        <f ca="1">IFERROR(__xludf.DUMMYFUNCTION("VLOOKUP(Q51, IMPORTRANGE(""https://docs.google.com/spreadsheets/d/1yDAaXNsi4Mr5FtRQL4tbmSdIzhx6_m4wkOD7IG-k_eo/edit#gid=0"", ""Maths!M:N""), 2, FALSE)"),"Evaluate the effectiveness of using (a-b)^3 identity in solving polynomial equations.")</f>
        <v>Evaluate the effectiveness of using (a-b)^3 identity in solving polynomial equations.</v>
      </c>
      <c r="S51" s="69" t="str">
        <f t="shared" si="5"/>
        <v>LU001272.006</v>
      </c>
      <c r="T51" s="69" t="str">
        <f ca="1">IFERROR(__xludf.DUMMYFUNCTION("VLOOKUP(S51, IMPORTRANGE(""https://docs.google.com/spreadsheets/d/1yDAaXNsi4Mr5FtRQL4tbmSdIzhx6_m4wkOD7IG-k_eo/edit#gid=0"", ""Maths!M:N""), 2, FALSE)"),"Create polynomial problems that require the use of (a-b)^3 for simplification.")</f>
        <v>Create polynomial problems that require the use of (a-b)^3 for simplification.</v>
      </c>
      <c r="U51" s="11" t="str">
        <f ca="1">IFERROR(__xludf.DUMMYFUNCTION("ArrayFormula(VLOOKUP(G51, IMPORTRANGE(""https://docs.google.com/spreadsheets/d/1p7R4vtkWt5VOBim4ltsDG9KTzSjrtKXsMtQGXPHyND0/edit#gid=795171502"", ""'Filter 30_05_2024'!A1:M2000""), {2, 3, 4, 5,6,7,8,9,10,11,12,13}, 0))"),"#N/A")</f>
        <v>#N/A</v>
      </c>
      <c r="V51" s="11" t="str">
        <f ca="1">IFERROR(__xludf.DUMMYFUNCTION("""COMPUTED_VALUE"""),"#N/A")</f>
        <v>#N/A</v>
      </c>
      <c r="W51" s="11" t="str">
        <f ca="1">IFERROR(__xludf.DUMMYFUNCTION("""COMPUTED_VALUE"""),"#N/A")</f>
        <v>#N/A</v>
      </c>
      <c r="X51" s="11" t="str">
        <f ca="1">IFERROR(__xludf.DUMMYFUNCTION("""COMPUTED_VALUE"""),"#N/A")</f>
        <v>#N/A</v>
      </c>
      <c r="Y51" s="11" t="str">
        <f ca="1">IFERROR(__xludf.DUMMYFUNCTION("""COMPUTED_VALUE"""),"#N/A")</f>
        <v>#N/A</v>
      </c>
      <c r="Z51" s="12" t="str">
        <f ca="1">IFERROR(__xludf.DUMMYFUNCTION("""COMPUTED_VALUE"""),"#N/A")</f>
        <v>#N/A</v>
      </c>
      <c r="AA51" s="12" t="str">
        <f ca="1">IFERROR(__xludf.DUMMYFUNCTION("""COMPUTED_VALUE"""),"#N/A")</f>
        <v>#N/A</v>
      </c>
      <c r="AB51" s="12" t="str">
        <f ca="1">IFERROR(__xludf.DUMMYFUNCTION("""COMPUTED_VALUE"""),"#N/A")</f>
        <v>#N/A</v>
      </c>
      <c r="AC51" s="11" t="str">
        <f ca="1">IFERROR(__xludf.DUMMYFUNCTION("""COMPUTED_VALUE"""),"#N/A")</f>
        <v>#N/A</v>
      </c>
      <c r="AD51" s="12" t="str">
        <f ca="1">IFERROR(__xludf.DUMMYFUNCTION("""COMPUTED_VALUE"""),"#N/A")</f>
        <v>#N/A</v>
      </c>
      <c r="AE51" s="12" t="str">
        <f ca="1">IFERROR(__xludf.DUMMYFUNCTION("""COMPUTED_VALUE"""),"#N/A")</f>
        <v>#N/A</v>
      </c>
      <c r="AF51" s="12" t="str">
        <f ca="1">IFERROR(__xludf.DUMMYFUNCTION("""COMPUTED_VALUE"""),"#N/A")</f>
        <v>#N/A</v>
      </c>
      <c r="AG51" s="70" t="str">
        <f ca="1">IFERROR(__xludf.DUMMYFUNCTION("ArrayFormula(VLOOKUP(G51, IMPORTRANGE(""https://docs.google.com/spreadsheets/d/1Co934fvtviyaRiMsrIlT05Jaq7iiYq07aLvRr35KA48/edit?gid=173865642#gid=173865642"", ""'G9_Maths_Pri_LU'!G2:V2000""), {3, 4, 5, 6, 7, 8, 9, 10, 11, 12, 13, 14, 15, 16}, 0))"),"LU001271")</f>
        <v>LU001271</v>
      </c>
      <c r="AH51" s="70" t="str">
        <f ca="1">IFERROR(__xludf.DUMMYFUNCTION("""COMPUTED_VALUE"""),"Algebraic identity for (a+b)^3")</f>
        <v>Algebraic identity for (a+b)^3</v>
      </c>
      <c r="AI51" s="70" t="str">
        <f ca="1">IFERROR(__xludf.DUMMYFUNCTION("""COMPUTED_VALUE"""),"LU000704")</f>
        <v>LU000704</v>
      </c>
      <c r="AJ51" s="70" t="str">
        <f ca="1">IFERROR(__xludf.DUMMYFUNCTION("""COMPUTED_VALUE"""),"Algebraic identity for (a-b)^2")</f>
        <v>Algebraic identity for (a-b)^2</v>
      </c>
      <c r="AK51" s="70" t="str">
        <f ca="1">IFERROR(__xludf.DUMMYFUNCTION("""COMPUTED_VALUE"""),"LU000661")</f>
        <v>LU000661</v>
      </c>
      <c r="AL51" s="70" t="str">
        <f ca="1">IFERROR(__xludf.DUMMYFUNCTION("""COMPUTED_VALUE"""),"Properties of cube of a number")</f>
        <v>Properties of cube of a number</v>
      </c>
      <c r="AM51" s="13"/>
      <c r="AN51" s="13"/>
      <c r="AO51" s="13"/>
      <c r="AP51" s="13"/>
      <c r="AQ51" s="13"/>
      <c r="AR51" s="13"/>
      <c r="AS51" s="13"/>
      <c r="AT51" s="13"/>
    </row>
    <row r="52" spans="1:46">
      <c r="A52" s="8" t="s">
        <v>247</v>
      </c>
      <c r="B52" s="66" t="s">
        <v>47</v>
      </c>
      <c r="C52" s="66" t="s">
        <v>979</v>
      </c>
      <c r="D52" s="67" t="s">
        <v>732</v>
      </c>
      <c r="E52" s="67" t="s">
        <v>1027</v>
      </c>
      <c r="F52" s="66" t="s">
        <v>1055</v>
      </c>
      <c r="G52" s="68" t="s">
        <v>1057</v>
      </c>
      <c r="H52" s="66" t="str">
        <f ca="1">IFERROR(__xludf.DUMMYFUNCTION("VLOOKUP(G52, IMPORTRANGE(""https://docs.google.com/spreadsheets/d/14deopnvwcrKtEGCKuYXdUHJbeLDZlkiSSWWT0g7x2pM/edit#gid=999382323"", ""LU List Maths (Filter)!A:B""), 2, FALSE)"),"Factorisation of algebraic expressions using identity (a-b)^3")</f>
        <v>Factorisation of algebraic expressions using identity (a-b)^3</v>
      </c>
      <c r="I52" s="69" t="str">
        <f t="shared" si="0"/>
        <v>LU001274.001</v>
      </c>
      <c r="J52" s="69" t="str">
        <f ca="1">IFERROR(__xludf.DUMMYFUNCTION("VLOOKUP(I52, IMPORTRANGE(""https://docs.google.com/spreadsheets/d/1yDAaXNsi4Mr5FtRQL4tbmSdIzhx6_m4wkOD7IG-k_eo/edit#gid=0"", ""Maths!M:N""), 2, FALSE)"),"Identify the algebraic identity (a-b)^3 and its expanded form.")</f>
        <v>Identify the algebraic identity (a-b)^3 and its expanded form.</v>
      </c>
      <c r="K52" s="69" t="str">
        <f t="shared" si="1"/>
        <v>LU001274.002</v>
      </c>
      <c r="L52" s="69" t="str">
        <f ca="1">IFERROR(__xludf.DUMMYFUNCTION("VLOOKUP(K52, IMPORTRANGE(""https://docs.google.com/spreadsheets/d/1yDAaXNsi4Mr5FtRQL4tbmSdIzhx6_m4wkOD7IG-k_eo/edit#gid=0"", ""Maths!M:N""), 2, FALSE)"),"Explain the process of factorizing expressions using the identity (a-b)^3.")</f>
        <v>Explain the process of factorizing expressions using the identity (a-b)^3.</v>
      </c>
      <c r="M52" s="69" t="str">
        <f t="shared" si="2"/>
        <v>LU001274.003</v>
      </c>
      <c r="N52" s="69" t="str">
        <f ca="1">IFERROR(__xludf.DUMMYFUNCTION("VLOOKUP(M52, IMPORTRANGE(""https://docs.google.com/spreadsheets/d/1yDAaXNsi4Mr5FtRQL4tbmSdIzhx6_m4wkOD7IG-k_eo/edit#gid=0"", ""Maths!M:N""), 2, FALSE)"),"Use the identity (a-b)^3 to factorize given algebraic expressions ")</f>
        <v xml:space="preserve">Use the identity (a-b)^3 to factorize given algebraic expressions </v>
      </c>
      <c r="O52" s="69" t="str">
        <f t="shared" si="3"/>
        <v>LU001274.004</v>
      </c>
      <c r="P52" s="69" t="str">
        <f ca="1">IFERROR(__xludf.DUMMYFUNCTION("VLOOKUP(O52, IMPORTRANGE(""https://docs.google.com/spreadsheets/d/1yDAaXNsi4Mr5FtRQL4tbmSdIzhx6_m4wkOD7IG-k_eo/edit#gid=0"", ""Maths!M:N""), 2, FALSE)"),"Differentiate between expressions that can be factorized using (a-b)^3 and those that cannot.")</f>
        <v>Differentiate between expressions that can be factorized using (a-b)^3 and those that cannot.</v>
      </c>
      <c r="Q52" s="69" t="str">
        <f t="shared" si="4"/>
        <v>LU001274.005</v>
      </c>
      <c r="R52" s="69" t="str">
        <f ca="1">IFERROR(__xludf.DUMMYFUNCTION("VLOOKUP(Q52, IMPORTRANGE(""https://docs.google.com/spreadsheets/d/1yDAaXNsi4Mr5FtRQL4tbmSdIzhx6_m4wkOD7IG-k_eo/edit#gid=0"", ""Maths!M:N""), 2, FALSE)"),"Assess the accuracy of factorization in given algebraic expressions using (a-b)^3.")</f>
        <v>Assess the accuracy of factorization in given algebraic expressions using (a-b)^3.</v>
      </c>
      <c r="S52" s="69" t="str">
        <f t="shared" si="5"/>
        <v>LU001274.006</v>
      </c>
      <c r="T52" s="69" t="str">
        <f ca="1">IFERROR(__xludf.DUMMYFUNCTION("VLOOKUP(S52, IMPORTRANGE(""https://docs.google.com/spreadsheets/d/1yDAaXNsi4Mr5FtRQL4tbmSdIzhx6_m4wkOD7IG-k_eo/edit#gid=0"", ""Maths!M:N""), 2, FALSE)"),"Create complex algebraic expressions and demonstrate their factorization using (a-b)^3.")</f>
        <v>Create complex algebraic expressions and demonstrate their factorization using (a-b)^3.</v>
      </c>
      <c r="U52" s="11" t="str">
        <f ca="1">IFERROR(__xludf.DUMMYFUNCTION("ArrayFormula(VLOOKUP(G52, IMPORTRANGE(""https://docs.google.com/spreadsheets/d/1p7R4vtkWt5VOBim4ltsDG9KTzSjrtKXsMtQGXPHyND0/edit#gid=795171502"", ""'Filter 30_05_2024'!A1:M2000""), {2, 3, 4, 5,6,7,8,9,10,11,12,13}, 0))"),"#N/A")</f>
        <v>#N/A</v>
      </c>
      <c r="V52" s="11" t="str">
        <f ca="1">IFERROR(__xludf.DUMMYFUNCTION("""COMPUTED_VALUE"""),"#N/A")</f>
        <v>#N/A</v>
      </c>
      <c r="W52" s="11" t="str">
        <f ca="1">IFERROR(__xludf.DUMMYFUNCTION("""COMPUTED_VALUE"""),"#N/A")</f>
        <v>#N/A</v>
      </c>
      <c r="X52" s="11" t="str">
        <f ca="1">IFERROR(__xludf.DUMMYFUNCTION("""COMPUTED_VALUE"""),"#N/A")</f>
        <v>#N/A</v>
      </c>
      <c r="Y52" s="11" t="str">
        <f ca="1">IFERROR(__xludf.DUMMYFUNCTION("""COMPUTED_VALUE"""),"#N/A")</f>
        <v>#N/A</v>
      </c>
      <c r="Z52" s="12" t="str">
        <f ca="1">IFERROR(__xludf.DUMMYFUNCTION("""COMPUTED_VALUE"""),"#N/A")</f>
        <v>#N/A</v>
      </c>
      <c r="AA52" s="12" t="str">
        <f ca="1">IFERROR(__xludf.DUMMYFUNCTION("""COMPUTED_VALUE"""),"#N/A")</f>
        <v>#N/A</v>
      </c>
      <c r="AB52" s="12" t="str">
        <f ca="1">IFERROR(__xludf.DUMMYFUNCTION("""COMPUTED_VALUE"""),"#N/A")</f>
        <v>#N/A</v>
      </c>
      <c r="AC52" s="11" t="str">
        <f ca="1">IFERROR(__xludf.DUMMYFUNCTION("""COMPUTED_VALUE"""),"#N/A")</f>
        <v>#N/A</v>
      </c>
      <c r="AD52" s="12" t="str">
        <f ca="1">IFERROR(__xludf.DUMMYFUNCTION("""COMPUTED_VALUE"""),"#N/A")</f>
        <v>#N/A</v>
      </c>
      <c r="AE52" s="12" t="str">
        <f ca="1">IFERROR(__xludf.DUMMYFUNCTION("""COMPUTED_VALUE"""),"#N/A")</f>
        <v>#N/A</v>
      </c>
      <c r="AF52" s="12" t="str">
        <f ca="1">IFERROR(__xludf.DUMMYFUNCTION("""COMPUTED_VALUE"""),"#N/A")</f>
        <v>#N/A</v>
      </c>
      <c r="AG52" s="70" t="str">
        <f ca="1">IFERROR(__xludf.DUMMYFUNCTION("ArrayFormula(VLOOKUP(G52, IMPORTRANGE(""https://docs.google.com/spreadsheets/d/1Co934fvtviyaRiMsrIlT05Jaq7iiYq07aLvRr35KA48/edit?gid=173865642#gid=173865642"", ""'G9_Maths_Pri_LU'!G2:V2000""), {3, 4, 5, 6, 7, 8, 9, 10, 11, 12, 13, 14, 15, 16}, 0))"),"LU001272")</f>
        <v>LU001272</v>
      </c>
      <c r="AH52" s="70" t="str">
        <f ca="1">IFERROR(__xludf.DUMMYFUNCTION("""COMPUTED_VALUE"""),"Algebraic identity for (a-b)^3")</f>
        <v>Algebraic identity for (a-b)^3</v>
      </c>
      <c r="AI52" s="70" t="str">
        <f ca="1">IFERROR(__xludf.DUMMYFUNCTION("""COMPUTED_VALUE"""),"LU000760")</f>
        <v>LU000760</v>
      </c>
      <c r="AJ52" s="70" t="str">
        <f ca="1">IFERROR(__xludf.DUMMYFUNCTION("""COMPUTED_VALUE"""),"Factorisation of algebraic expressions using identities")</f>
        <v>Factorisation of algebraic expressions using identities</v>
      </c>
      <c r="AK52" s="70"/>
      <c r="AL52" s="70"/>
      <c r="AM52" s="13"/>
      <c r="AN52" s="13"/>
      <c r="AO52" s="13"/>
      <c r="AP52" s="13"/>
      <c r="AQ52" s="13"/>
      <c r="AR52" s="13"/>
      <c r="AS52" s="13"/>
      <c r="AT52" s="13"/>
    </row>
    <row r="53" spans="1:46">
      <c r="A53" s="8" t="s">
        <v>247</v>
      </c>
      <c r="B53" s="66" t="s">
        <v>47</v>
      </c>
      <c r="C53" s="66" t="s">
        <v>979</v>
      </c>
      <c r="D53" s="67" t="s">
        <v>732</v>
      </c>
      <c r="E53" s="67" t="s">
        <v>1027</v>
      </c>
      <c r="F53" s="66" t="s">
        <v>1058</v>
      </c>
      <c r="G53" s="68" t="s">
        <v>1059</v>
      </c>
      <c r="H53" s="66" t="str">
        <f ca="1">IFERROR(__xludf.DUMMYFUNCTION("VLOOKUP(G53, IMPORTRANGE(""https://docs.google.com/spreadsheets/d/14deopnvwcrKtEGCKuYXdUHJbeLDZlkiSSWWT0g7x2pM/edit#gid=999382323"", ""LU List Maths (Filter)!A:B""), 2, FALSE)"),"Algebraic identity for (a^3)+(b^3)+(c^3)-3abc ")</f>
        <v xml:space="preserve">Algebraic identity for (a^3)+(b^3)+(c^3)-3abc </v>
      </c>
      <c r="I53" s="69" t="str">
        <f t="shared" si="0"/>
        <v>LU001275.001</v>
      </c>
      <c r="J53" s="69" t="str">
        <f ca="1">IFERROR(__xludf.DUMMYFUNCTION("VLOOKUP(I53, IMPORTRANGE(""https://docs.google.com/spreadsheets/d/1yDAaXNsi4Mr5FtRQL4tbmSdIzhx6_m4wkOD7IG-k_eo/edit#gid=0"", ""Maths!M:N""), 2, FALSE)"),"Recall the algebraic identity for (a^3)+(b^3)+(c^3)-3abc.")</f>
        <v>Recall the algebraic identity for (a^3)+(b^3)+(c^3)-3abc.</v>
      </c>
      <c r="K53" s="69" t="str">
        <f t="shared" si="1"/>
        <v>LU001275.002</v>
      </c>
      <c r="L53" s="69" t="str">
        <f ca="1">IFERROR(__xludf.DUMMYFUNCTION("VLOOKUP(K53, IMPORTRANGE(""https://docs.google.com/spreadsheets/d/1yDAaXNsi4Mr5FtRQL4tbmSdIzhx6_m4wkOD7IG-k_eo/edit#gid=0"", ""Maths!M:N""), 2, FALSE)"),"Explain the derivation of the identity (a^3)+(b^3)+(c^3)-3abc =(a+b+c)[(a^2)+(b^2)+(c^2) - ab - bc - ca].")</f>
        <v>Explain the derivation of the identity (a^3)+(b^3)+(c^3)-3abc =(a+b+c)[(a^2)+(b^2)+(c^2) - ab - bc - ca].</v>
      </c>
      <c r="M53" s="69" t="str">
        <f t="shared" si="2"/>
        <v>LU001275.003</v>
      </c>
      <c r="N53" s="69" t="str">
        <f ca="1">IFERROR(__xludf.DUMMYFUNCTION("VLOOKUP(M53, IMPORTRANGE(""https://docs.google.com/spreadsheets/d/1yDAaXNsi4Mr5FtRQL4tbmSdIzhx6_m4wkOD7IG-k_eo/edit#gid=0"", ""Maths!M:N""), 2, FALSE)"),"Apply the identity (a^3)+(b^3)+(c^3)-3abc to simplify expressions.")</f>
        <v>Apply the identity (a^3)+(b^3)+(c^3)-3abc to simplify expressions.</v>
      </c>
      <c r="O53" s="69" t="str">
        <f t="shared" si="3"/>
        <v>LU001275.004</v>
      </c>
      <c r="P53" s="69" t="str">
        <f ca="1">IFERROR(__xludf.DUMMYFUNCTION("VLOOKUP(O53, IMPORTRANGE(""https://docs.google.com/spreadsheets/d/1yDAaXNsi4Mr5FtRQL4tbmSdIzhx6_m4wkOD7IG-k_eo/edit#gid=0"", ""Maths!M:N""), 2, FALSE)"),"Analyse polynomial expressions to identify where the identity (a^3)+(b^3)+(c^3)-3abc can be applied.")</f>
        <v>Analyse polynomial expressions to identify where the identity (a^3)+(b^3)+(c^3)-3abc can be applied.</v>
      </c>
      <c r="Q53" s="69" t="str">
        <f t="shared" si="4"/>
        <v>LU001275.005</v>
      </c>
      <c r="R53" s="69" t="str">
        <f ca="1">IFERROR(__xludf.DUMMYFUNCTION("VLOOKUP(Q53, IMPORTRANGE(""https://docs.google.com/spreadsheets/d/1yDAaXNsi4Mr5FtRQL4tbmSdIzhx6_m4wkOD7IG-k_eo/edit#gid=0"", ""Maths!M:N""), 2, FALSE)"),"Evaluate the effectiveness of using (a^3)+(b^3)+(c^3)-3abc identity in solving polynomial equations.")</f>
        <v>Evaluate the effectiveness of using (a^3)+(b^3)+(c^3)-3abc identity in solving polynomial equations.</v>
      </c>
      <c r="S53" s="69" t="str">
        <f t="shared" si="5"/>
        <v>LU001275.006</v>
      </c>
      <c r="T53" s="69" t="str">
        <f ca="1">IFERROR(__xludf.DUMMYFUNCTION("VLOOKUP(S53, IMPORTRANGE(""https://docs.google.com/spreadsheets/d/1yDAaXNsi4Mr5FtRQL4tbmSdIzhx6_m4wkOD7IG-k_eo/edit#gid=0"", ""Maths!M:N""), 2, FALSE)"),"Create polynomial problems that require the use of (a^3)+(b^3)+(c^3)-3abc for simplification.")</f>
        <v>Create polynomial problems that require the use of (a^3)+(b^3)+(c^3)-3abc for simplification.</v>
      </c>
      <c r="U53" s="11" t="str">
        <f ca="1">IFERROR(__xludf.DUMMYFUNCTION("ArrayFormula(VLOOKUP(G53, IMPORTRANGE(""https://docs.google.com/spreadsheets/d/1p7R4vtkWt5VOBim4ltsDG9KTzSjrtKXsMtQGXPHyND0/edit#gid=795171502"", ""'Filter 30_05_2024'!A1:M2000""), {2, 3, 4, 5,6,7,8,9,10,11,12,13}, 0))"),"#N/A")</f>
        <v>#N/A</v>
      </c>
      <c r="V53" s="11" t="str">
        <f ca="1">IFERROR(__xludf.DUMMYFUNCTION("""COMPUTED_VALUE"""),"#N/A")</f>
        <v>#N/A</v>
      </c>
      <c r="W53" s="11" t="str">
        <f ca="1">IFERROR(__xludf.DUMMYFUNCTION("""COMPUTED_VALUE"""),"#N/A")</f>
        <v>#N/A</v>
      </c>
      <c r="X53" s="11" t="str">
        <f ca="1">IFERROR(__xludf.DUMMYFUNCTION("""COMPUTED_VALUE"""),"#N/A")</f>
        <v>#N/A</v>
      </c>
      <c r="Y53" s="11" t="str">
        <f ca="1">IFERROR(__xludf.DUMMYFUNCTION("""COMPUTED_VALUE"""),"#N/A")</f>
        <v>#N/A</v>
      </c>
      <c r="Z53" s="12" t="str">
        <f ca="1">IFERROR(__xludf.DUMMYFUNCTION("""COMPUTED_VALUE"""),"#N/A")</f>
        <v>#N/A</v>
      </c>
      <c r="AA53" s="12" t="str">
        <f ca="1">IFERROR(__xludf.DUMMYFUNCTION("""COMPUTED_VALUE"""),"#N/A")</f>
        <v>#N/A</v>
      </c>
      <c r="AB53" s="12" t="str">
        <f ca="1">IFERROR(__xludf.DUMMYFUNCTION("""COMPUTED_VALUE"""),"#N/A")</f>
        <v>#N/A</v>
      </c>
      <c r="AC53" s="11" t="str">
        <f ca="1">IFERROR(__xludf.DUMMYFUNCTION("""COMPUTED_VALUE"""),"#N/A")</f>
        <v>#N/A</v>
      </c>
      <c r="AD53" s="12" t="str">
        <f ca="1">IFERROR(__xludf.DUMMYFUNCTION("""COMPUTED_VALUE"""),"#N/A")</f>
        <v>#N/A</v>
      </c>
      <c r="AE53" s="12" t="str">
        <f ca="1">IFERROR(__xludf.DUMMYFUNCTION("""COMPUTED_VALUE"""),"#N/A")</f>
        <v>#N/A</v>
      </c>
      <c r="AF53" s="12" t="str">
        <f ca="1">IFERROR(__xludf.DUMMYFUNCTION("""COMPUTED_VALUE"""),"#N/A")</f>
        <v>#N/A</v>
      </c>
      <c r="AG53" s="70" t="str">
        <f ca="1">IFERROR(__xludf.DUMMYFUNCTION("ArrayFormula(VLOOKUP(G53, IMPORTRANGE(""https://docs.google.com/spreadsheets/d/1Co934fvtviyaRiMsrIlT05Jaq7iiYq07aLvRr35KA48/edit?gid=173865642#gid=173865642"", ""'G9_Maths_Pri_LU'!G2:V2000""), {3, 4, 5, 6, 7, 8, 9, 10, 11, 12, 13, 14, 15, 16}, 0))"),"LU000699")</f>
        <v>LU000699</v>
      </c>
      <c r="AH53" s="70" t="str">
        <f ca="1">IFERROR(__xludf.DUMMYFUNCTION("""COMPUTED_VALUE"""),"Multiplication of polynomial by polynomial")</f>
        <v>Multiplication of polynomial by polynomial</v>
      </c>
      <c r="AI53" s="70" t="str">
        <f ca="1">IFERROR(__xludf.DUMMYFUNCTION("""COMPUTED_VALUE"""),"LU000694")</f>
        <v>LU000694</v>
      </c>
      <c r="AJ53" s="70" t="str">
        <f ca="1">IFERROR(__xludf.DUMMYFUNCTION("""COMPUTED_VALUE"""),"Multiplication of monomial by monomial")</f>
        <v>Multiplication of monomial by monomial</v>
      </c>
      <c r="AK53" s="70" t="str">
        <f ca="1">IFERROR(__xludf.DUMMYFUNCTION("""COMPUTED_VALUE"""),"LU000661")</f>
        <v>LU000661</v>
      </c>
      <c r="AL53" s="70" t="str">
        <f ca="1">IFERROR(__xludf.DUMMYFUNCTION("""COMPUTED_VALUE"""),"Properties of cube of a number")</f>
        <v>Properties of cube of a number</v>
      </c>
      <c r="AM53" s="13"/>
      <c r="AN53" s="13"/>
      <c r="AO53" s="13"/>
      <c r="AP53" s="13"/>
      <c r="AQ53" s="13"/>
      <c r="AR53" s="13"/>
      <c r="AS53" s="13"/>
      <c r="AT53" s="13"/>
    </row>
    <row r="54" spans="1:46">
      <c r="A54" s="8" t="s">
        <v>247</v>
      </c>
      <c r="B54" s="66" t="s">
        <v>47</v>
      </c>
      <c r="C54" s="66" t="s">
        <v>979</v>
      </c>
      <c r="D54" s="67" t="s">
        <v>732</v>
      </c>
      <c r="E54" s="67" t="s">
        <v>1027</v>
      </c>
      <c r="F54" s="66" t="s">
        <v>1058</v>
      </c>
      <c r="G54" s="68" t="s">
        <v>1060</v>
      </c>
      <c r="H54" s="66" t="str">
        <f ca="1">IFERROR(__xludf.DUMMYFUNCTION("VLOOKUP(G54, IMPORTRANGE(""https://docs.google.com/spreadsheets/d/14deopnvwcrKtEGCKuYXdUHJbeLDZlkiSSWWT0g7x2pM/edit#gid=999382323"", ""LU List Maths (Filter)!A:B""), 2, FALSE)"),"Factorisation of algebraic expressions using identity (a^3)+(b^3)+(c^3)-3abc ")</f>
        <v xml:space="preserve">Factorisation of algebraic expressions using identity (a^3)+(b^3)+(c^3)-3abc </v>
      </c>
      <c r="I54" s="69" t="str">
        <f t="shared" si="0"/>
        <v>LU001276.001</v>
      </c>
      <c r="J54" s="69" t="str">
        <f ca="1">IFERROR(__xludf.DUMMYFUNCTION("VLOOKUP(I54, IMPORTRANGE(""https://docs.google.com/spreadsheets/d/1yDAaXNsi4Mr5FtRQL4tbmSdIzhx6_m4wkOD7IG-k_eo/edit#gid=0"", ""Maths!M:N""), 2, FALSE)"),"Identify the algebraic identity (a^3)+(b^3)+(c^3)-3abc and its expanded form.")</f>
        <v>Identify the algebraic identity (a^3)+(b^3)+(c^3)-3abc and its expanded form.</v>
      </c>
      <c r="K54" s="69" t="str">
        <f t="shared" si="1"/>
        <v>LU001276.002</v>
      </c>
      <c r="L54" s="69" t="str">
        <f ca="1">IFERROR(__xludf.DUMMYFUNCTION("VLOOKUP(K54, IMPORTRANGE(""https://docs.google.com/spreadsheets/d/1yDAaXNsi4Mr5FtRQL4tbmSdIzhx6_m4wkOD7IG-k_eo/edit#gid=0"", ""Maths!M:N""), 2, FALSE)"),"Explain the process of factorizing expressions using the identity (a^3)+(b^3)+(c^3)-3abc.")</f>
        <v>Explain the process of factorizing expressions using the identity (a^3)+(b^3)+(c^3)-3abc.</v>
      </c>
      <c r="M54" s="69" t="str">
        <f t="shared" si="2"/>
        <v>LU001276.003</v>
      </c>
      <c r="N54" s="69" t="str">
        <f ca="1">IFERROR(__xludf.DUMMYFUNCTION("VLOOKUP(M54, IMPORTRANGE(""https://docs.google.com/spreadsheets/d/1yDAaXNsi4Mr5FtRQL4tbmSdIzhx6_m4wkOD7IG-k_eo/edit#gid=0"", ""Maths!M:N""), 2, FALSE)"),"Use the identity (a^3)+(b^3)+(c^3)-3abc to factorize given algebraic expressions ")</f>
        <v xml:space="preserve">Use the identity (a^3)+(b^3)+(c^3)-3abc to factorize given algebraic expressions </v>
      </c>
      <c r="O54" s="69" t="str">
        <f t="shared" si="3"/>
        <v>LU001276.004</v>
      </c>
      <c r="P54" s="69" t="str">
        <f ca="1">IFERROR(__xludf.DUMMYFUNCTION("VLOOKUP(O54, IMPORTRANGE(""https://docs.google.com/spreadsheets/d/1yDAaXNsi4Mr5FtRQL4tbmSdIzhx6_m4wkOD7IG-k_eo/edit#gid=0"", ""Maths!M:N""), 2, FALSE)"),"Differentiate between expressions that can be factorized using (a^3)+(b^3)+(c^3)-3abc and those that cannot.")</f>
        <v>Differentiate between expressions that can be factorized using (a^3)+(b^3)+(c^3)-3abc and those that cannot.</v>
      </c>
      <c r="Q54" s="69" t="str">
        <f t="shared" si="4"/>
        <v>LU001276.005</v>
      </c>
      <c r="R54" s="69" t="str">
        <f ca="1">IFERROR(__xludf.DUMMYFUNCTION("VLOOKUP(Q54, IMPORTRANGE(""https://docs.google.com/spreadsheets/d/1yDAaXNsi4Mr5FtRQL4tbmSdIzhx6_m4wkOD7IG-k_eo/edit#gid=0"", ""Maths!M:N""), 2, FALSE)"),"Assess the accuracy of factorization in given algebraic expressions using (a^3)+(b^3)+(c^3)-3abc.")</f>
        <v>Assess the accuracy of factorization in given algebraic expressions using (a^3)+(b^3)+(c^3)-3abc.</v>
      </c>
      <c r="S54" s="69" t="str">
        <f t="shared" si="5"/>
        <v>LU001276.006</v>
      </c>
      <c r="T54" s="69" t="str">
        <f ca="1">IFERROR(__xludf.DUMMYFUNCTION("VLOOKUP(S54, IMPORTRANGE(""https://docs.google.com/spreadsheets/d/1yDAaXNsi4Mr5FtRQL4tbmSdIzhx6_m4wkOD7IG-k_eo/edit#gid=0"", ""Maths!M:N""), 2, FALSE)"),"Create complex algebraic expressions and demonstrate their factorization using (a^3)+(b^3)+(c^3)-3abc.")</f>
        <v>Create complex algebraic expressions and demonstrate their factorization using (a^3)+(b^3)+(c^3)-3abc.</v>
      </c>
      <c r="U54" s="11" t="str">
        <f ca="1">IFERROR(__xludf.DUMMYFUNCTION("ArrayFormula(VLOOKUP(G54, IMPORTRANGE(""https://docs.google.com/spreadsheets/d/1p7R4vtkWt5VOBim4ltsDG9KTzSjrtKXsMtQGXPHyND0/edit#gid=795171502"", ""'Filter 30_05_2024'!A1:M2000""), {2, 3, 4, 5,6,7,8,9,10,11,12,13}, 0))"),"#N/A")</f>
        <v>#N/A</v>
      </c>
      <c r="V54" s="11" t="str">
        <f ca="1">IFERROR(__xludf.DUMMYFUNCTION("""COMPUTED_VALUE"""),"#N/A")</f>
        <v>#N/A</v>
      </c>
      <c r="W54" s="11" t="str">
        <f ca="1">IFERROR(__xludf.DUMMYFUNCTION("""COMPUTED_VALUE"""),"#N/A")</f>
        <v>#N/A</v>
      </c>
      <c r="X54" s="11" t="str">
        <f ca="1">IFERROR(__xludf.DUMMYFUNCTION("""COMPUTED_VALUE"""),"#N/A")</f>
        <v>#N/A</v>
      </c>
      <c r="Y54" s="11" t="str">
        <f ca="1">IFERROR(__xludf.DUMMYFUNCTION("""COMPUTED_VALUE"""),"#N/A")</f>
        <v>#N/A</v>
      </c>
      <c r="Z54" s="12" t="str">
        <f ca="1">IFERROR(__xludf.DUMMYFUNCTION("""COMPUTED_VALUE"""),"#N/A")</f>
        <v>#N/A</v>
      </c>
      <c r="AA54" s="12" t="str">
        <f ca="1">IFERROR(__xludf.DUMMYFUNCTION("""COMPUTED_VALUE"""),"#N/A")</f>
        <v>#N/A</v>
      </c>
      <c r="AB54" s="12" t="str">
        <f ca="1">IFERROR(__xludf.DUMMYFUNCTION("""COMPUTED_VALUE"""),"#N/A")</f>
        <v>#N/A</v>
      </c>
      <c r="AC54" s="11" t="str">
        <f ca="1">IFERROR(__xludf.DUMMYFUNCTION("""COMPUTED_VALUE"""),"#N/A")</f>
        <v>#N/A</v>
      </c>
      <c r="AD54" s="12" t="str">
        <f ca="1">IFERROR(__xludf.DUMMYFUNCTION("""COMPUTED_VALUE"""),"#N/A")</f>
        <v>#N/A</v>
      </c>
      <c r="AE54" s="12" t="str">
        <f ca="1">IFERROR(__xludf.DUMMYFUNCTION("""COMPUTED_VALUE"""),"#N/A")</f>
        <v>#N/A</v>
      </c>
      <c r="AF54" s="12" t="str">
        <f ca="1">IFERROR(__xludf.DUMMYFUNCTION("""COMPUTED_VALUE"""),"#N/A")</f>
        <v>#N/A</v>
      </c>
      <c r="AG54" s="70" t="str">
        <f ca="1">IFERROR(__xludf.DUMMYFUNCTION("ArrayFormula(VLOOKUP(G54, IMPORTRANGE(""https://docs.google.com/spreadsheets/d/1Co934fvtviyaRiMsrIlT05Jaq7iiYq07aLvRr35KA48/edit?gid=173865642#gid=173865642"", ""'G9_Maths_Pri_LU'!G2:V2000""), {3, 4, 5, 6, 7, 8, 9, 10, 11, 12, 13, 14, 15, 16}, 0))"),"LU001275")</f>
        <v>LU001275</v>
      </c>
      <c r="AH54" s="70" t="str">
        <f ca="1">IFERROR(__xludf.DUMMYFUNCTION("""COMPUTED_VALUE"""),"Algebraic identity for (a^3)+(b^3)+(c^3)-3abc ")</f>
        <v xml:space="preserve">Algebraic identity for (a^3)+(b^3)+(c^3)-3abc </v>
      </c>
      <c r="AI54" s="70" t="str">
        <f ca="1">IFERROR(__xludf.DUMMYFUNCTION("""COMPUTED_VALUE"""),"LU000760")</f>
        <v>LU000760</v>
      </c>
      <c r="AJ54" s="70" t="str">
        <f ca="1">IFERROR(__xludf.DUMMYFUNCTION("""COMPUTED_VALUE"""),"Factorisation of algebraic expressions using identities")</f>
        <v>Factorisation of algebraic expressions using identities</v>
      </c>
      <c r="AK54" s="70"/>
      <c r="AL54" s="70"/>
      <c r="AM54" s="13"/>
      <c r="AN54" s="13"/>
      <c r="AO54" s="13"/>
      <c r="AP54" s="13"/>
      <c r="AQ54" s="13"/>
      <c r="AR54" s="13"/>
      <c r="AS54" s="13"/>
      <c r="AT54" s="13"/>
    </row>
    <row r="55" spans="1:46">
      <c r="A55" s="8" t="s">
        <v>247</v>
      </c>
      <c r="B55" s="66" t="s">
        <v>47</v>
      </c>
      <c r="C55" s="66" t="s">
        <v>979</v>
      </c>
      <c r="D55" s="67" t="s">
        <v>732</v>
      </c>
      <c r="E55" s="67" t="s">
        <v>1061</v>
      </c>
      <c r="F55" s="66" t="s">
        <v>1062</v>
      </c>
      <c r="G55" s="68" t="s">
        <v>1063</v>
      </c>
      <c r="H55" s="72" t="str">
        <f ca="1">IFERROR(__xludf.DUMMYFUNCTION("VLOOKUP(G55, IMPORTRANGE(""https://docs.google.com/spreadsheets/d/14deopnvwcrKtEGCKuYXdUHJbeLDZlkiSSWWT0g7x2pM/edit#gid=999382323"", ""LU List Maths (Filter)!A:B""), 2, FALSE)"),"Position of a point on a plane")</f>
        <v>Position of a point on a plane</v>
      </c>
      <c r="I55" s="69" t="str">
        <f t="shared" si="0"/>
        <v>LU000774.001</v>
      </c>
      <c r="J55" s="69" t="str">
        <f ca="1">IFERROR(__xludf.DUMMYFUNCTION("VLOOKUP(I55, IMPORTRANGE(""https://docs.google.com/spreadsheets/d/1yDAaXNsi4Mr5FtRQL4tbmSdIzhx6_m4wkOD7IG-k_eo/edit#gid=0"", ""Maths!M:N""), 2, FALSE)"),"State the significance of the coordinates in determining the position of a point on the cartesian plane.")</f>
        <v>State the significance of the coordinates in determining the position of a point on the cartesian plane.</v>
      </c>
      <c r="K55" s="69" t="str">
        <f t="shared" si="1"/>
        <v>LU000774.002</v>
      </c>
      <c r="L55" s="69" t="str">
        <f ca="1">IFERROR(__xludf.DUMMYFUNCTION("VLOOKUP(K55, IMPORTRANGE(""https://docs.google.com/spreadsheets/d/1yDAaXNsi4Mr5FtRQL4tbmSdIzhx6_m4wkOD7IG-k_eo/edit#gid=0"", ""Maths!M:N""), 2, FALSE)"),"Explain the concept that the order of numerical values matters when describing the position of a point on a plane.")</f>
        <v>Explain the concept that the order of numerical values matters when describing the position of a point on a plane.</v>
      </c>
      <c r="M55" s="69" t="str">
        <f t="shared" si="2"/>
        <v>LU000774.003</v>
      </c>
      <c r="N55" s="69" t="str">
        <f ca="1">IFERROR(__xludf.DUMMYFUNCTION("VLOOKUP(M55, IMPORTRANGE(""https://docs.google.com/spreadsheets/d/1yDAaXNsi4Mr5FtRQL4tbmSdIzhx6_m4wkOD7IG-k_eo/edit#gid=0"", ""Maths!M:N""), 2, FALSE)"),"Use distance measurements from reference points or edges to describe where a point is located on a plane.")</f>
        <v>Use distance measurements from reference points or edges to describe where a point is located on a plane.</v>
      </c>
      <c r="O55" s="69" t="str">
        <f t="shared" si="3"/>
        <v>LU000774.004</v>
      </c>
      <c r="P55" s="69" t="str">
        <f ca="1">IFERROR(__xludf.DUMMYFUNCTION("VLOOKUP(O55, IMPORTRANGE(""https://docs.google.com/spreadsheets/d/1yDAaXNsi4Mr5FtRQL4tbmSdIzhx6_m4wkOD7IG-k_eo/edit#gid=0"", ""Maths!M:N""), 2, FALSE)"),"Analyze and compare different ways of describing the position of a point on a plane to determine if they convey the same information.")</f>
        <v>Analyze and compare different ways of describing the position of a point on a plane to determine if they convey the same information.</v>
      </c>
      <c r="Q55" s="69" t="str">
        <f t="shared" si="4"/>
        <v>LU000774.005</v>
      </c>
      <c r="R55" s="69" t="str">
        <f ca="1">IFERROR(__xludf.DUMMYFUNCTION("VLOOKUP(Q55, IMPORTRANGE(""https://docs.google.com/spreadsheets/d/1yDAaXNsi4Mr5FtRQL4tbmSdIzhx6_m4wkOD7IG-k_eo/edit#gid=0"", ""Maths!M:N""), 2, FALSE)"),"Evaluate the effectiveness of describing a point's location on a plane using distance measurements from reference edges")</f>
        <v>Evaluate the effectiveness of describing a point's location on a plane using distance measurements from reference edges</v>
      </c>
      <c r="S55" s="69" t="str">
        <f t="shared" si="5"/>
        <v>LU000774.006</v>
      </c>
      <c r="T55" s="69" t="str">
        <f ca="1">IFERROR(__xludf.DUMMYFUNCTION("VLOOKUP(S55, IMPORTRANGE(""https://docs.google.com/spreadsheets/d/1yDAaXNsi4Mr5FtRQL4tbmSdIzhx6_m4wkOD7IG-k_eo/edit#gid=0"", ""Maths!M:N""), 2, FALSE)"),"Develop a novel method or visual representation for describing the position of a point on a plane without using traditional coordinate notation, aiming to enhance understanding for others.")</f>
        <v>Develop a novel method or visual representation for describing the position of a point on a plane without using traditional coordinate notation, aiming to enhance understanding for others.</v>
      </c>
      <c r="U55" s="11" t="str">
        <f ca="1">IFERROR(__xludf.DUMMYFUNCTION("ArrayFormula(VLOOKUP(G55, IMPORTRANGE(""https://docs.google.com/spreadsheets/d/1p7R4vtkWt5VOBim4ltsDG9KTzSjrtKXsMtQGXPHyND0/edit#gid=795171502"", ""'Filter 30_05_2024'!A1:M2000""), {2, 3, 4, 5,6,7,8,9,10,11,12,13}, 0))"),"")</f>
        <v/>
      </c>
      <c r="V55" s="11"/>
      <c r="W55" s="11"/>
      <c r="X55" s="11"/>
      <c r="Y55" s="11">
        <f ca="1">IFERROR(__xludf.DUMMYFUNCTION("""COMPUTED_VALUE"""),4)</f>
        <v>4</v>
      </c>
      <c r="Z55" s="12">
        <f ca="1">IFERROR(__xludf.DUMMYFUNCTION("""COMPUTED_VALUE"""),3)</f>
        <v>3</v>
      </c>
      <c r="AA55" s="12">
        <f ca="1">IFERROR(__xludf.DUMMYFUNCTION("""COMPUTED_VALUE"""),1)</f>
        <v>1</v>
      </c>
      <c r="AB55" s="12">
        <f ca="1">IFERROR(__xludf.DUMMYFUNCTION("""COMPUTED_VALUE"""),8)</f>
        <v>8</v>
      </c>
      <c r="AC55" s="11"/>
      <c r="AD55" s="12"/>
      <c r="AE55" s="12"/>
      <c r="AF55" s="12"/>
      <c r="AG55" s="70" t="str">
        <f ca="1">IFERROR(__xludf.DUMMYFUNCTION("ArrayFormula(VLOOKUP(G55, IMPORTRANGE(""https://docs.google.com/spreadsheets/d/1Co934fvtviyaRiMsrIlT05Jaq7iiYq07aLvRr35KA48/edit?gid=173865642#gid=173865642"", ""'G9_Maths_Pri_LU'!G2:V2000""), {3, 4, 5, 6, 7, 8, 9, 10, 11, 12, 13, 14, 15, 16}, 0))"),"LU000218")</f>
        <v>LU000218</v>
      </c>
      <c r="AH55" s="70" t="str">
        <f ca="1">IFERROR(__xludf.DUMMYFUNCTION("""COMPUTED_VALUE"""),"Definition of point")</f>
        <v>Definition of point</v>
      </c>
      <c r="AI55" s="70"/>
      <c r="AJ55" s="70"/>
      <c r="AK55" s="70"/>
      <c r="AL55" s="70"/>
      <c r="AM55" s="13"/>
      <c r="AN55" s="13"/>
      <c r="AO55" s="13"/>
      <c r="AP55" s="13"/>
      <c r="AQ55" s="13"/>
      <c r="AR55" s="13"/>
      <c r="AS55" s="13"/>
      <c r="AT55" s="13"/>
    </row>
    <row r="56" spans="1:46">
      <c r="A56" s="8" t="s">
        <v>247</v>
      </c>
      <c r="B56" s="66" t="s">
        <v>47</v>
      </c>
      <c r="C56" s="66" t="s">
        <v>979</v>
      </c>
      <c r="D56" s="67" t="s">
        <v>732</v>
      </c>
      <c r="E56" s="67" t="s">
        <v>1061</v>
      </c>
      <c r="F56" s="66" t="s">
        <v>1062</v>
      </c>
      <c r="G56" s="68" t="s">
        <v>1064</v>
      </c>
      <c r="H56" s="72" t="str">
        <f ca="1">IFERROR(__xludf.DUMMYFUNCTION("VLOOKUP(G56, IMPORTRANGE(""https://docs.google.com/spreadsheets/d/14deopnvwcrKtEGCKuYXdUHJbeLDZlkiSSWWT0g7x2pM/edit#gid=999382323"", ""LU List Maths (Filter)!A:B""), 2, FALSE)"),"Definition of the cartesian plane and terms related to it (origin, coordinates, coordinate axes, quadrants)")</f>
        <v>Definition of the cartesian plane and terms related to it (origin, coordinates, coordinate axes, quadrants)</v>
      </c>
      <c r="I56" s="69" t="str">
        <f t="shared" si="0"/>
        <v>LU000782.001</v>
      </c>
      <c r="J56" s="69" t="str">
        <f ca="1">IFERROR(__xludf.DUMMYFUNCTION("VLOOKUP(I56, IMPORTRANGE(""https://docs.google.com/spreadsheets/d/1yDAaXNsi4Mr5FtRQL4tbmSdIzhx6_m4wkOD7IG-k_eo/edit#gid=0"", ""Maths!M:N""), 2, FALSE)"),"Recall the definition of the Cartesian plane and identify its key elements, including the origin, coordinates, and coordinate axes.")</f>
        <v>Recall the definition of the Cartesian plane and identify its key elements, including the origin, coordinates, and coordinate axes.</v>
      </c>
      <c r="K56" s="69" t="str">
        <f t="shared" si="1"/>
        <v>LU000782.002</v>
      </c>
      <c r="L56" s="69" t="str">
        <f ca="1">IFERROR(__xludf.DUMMYFUNCTION("VLOOKUP(K56, IMPORTRANGE(""https://docs.google.com/spreadsheets/d/1yDAaXNsi4Mr5FtRQL4tbmSdIzhx6_m4wkOD7IG-k_eo/edit#gid=0"", ""Maths!M:N""), 2, FALSE)"),"Explain the concept of the Cartesian plane and describe the roles of the origin, coordinates, and coordinate axes.")</f>
        <v>Explain the concept of the Cartesian plane and describe the roles of the origin, coordinates, and coordinate axes.</v>
      </c>
      <c r="M56" s="69" t="str">
        <f t="shared" si="2"/>
        <v>LU000782.003</v>
      </c>
      <c r="N56" s="69" t="str">
        <f ca="1">IFERROR(__xludf.DUMMYFUNCTION("VLOOKUP(M56, IMPORTRANGE(""https://docs.google.com/spreadsheets/d/1yDAaXNsi4Mr5FtRQL4tbmSdIzhx6_m4wkOD7IG-k_eo/edit#gid=0"", ""Maths!M:N""), 2, FALSE)"),"Demonstrate the ability to identify and label the ""origin"" and ""coordinate axes"" accurately on a provided Cartesian plane.")</f>
        <v>Demonstrate the ability to identify and label the "origin" and "coordinate axes" accurately on a provided Cartesian plane.</v>
      </c>
      <c r="O56" s="69" t="str">
        <f t="shared" si="3"/>
        <v>LU000782.004</v>
      </c>
      <c r="P56" s="69" t="str">
        <f ca="1">IFERROR(__xludf.DUMMYFUNCTION("VLOOKUP(O56, IMPORTRANGE(""https://docs.google.com/spreadsheets/d/1yDAaXNsi4Mr5FtRQL4tbmSdIzhx6_m4wkOD7IG-k_eo/edit#gid=0"", ""Maths!M:N""), 2, FALSE)"),"Analyze the role of the ""origin"" and ""coordinate axes"" in creating a reference framework for locating points in two-dimensional space.")</f>
        <v>Analyze the role of the "origin" and "coordinate axes" in creating a reference framework for locating points in two-dimensional space.</v>
      </c>
      <c r="Q56" s="69" t="str">
        <f t="shared" si="4"/>
        <v>LU000782.005</v>
      </c>
      <c r="R56" s="69" t="str">
        <f ca="1">IFERROR(__xludf.DUMMYFUNCTION("VLOOKUP(Q56, IMPORTRANGE(""https://docs.google.com/spreadsheets/d/1yDAaXNsi4Mr5FtRQL4tbmSdIzhx6_m4wkOD7IG-k_eo/edit#gid=0"", ""Maths!M:N""), 2, FALSE)"),"Assess the importance of correctly defining and understanding the ""origin"" and ""coordinate axes"" when interpreting and analyzing graphical representations.")</f>
        <v>Assess the importance of correctly defining and understanding the "origin" and "coordinate axes" when interpreting and analyzing graphical representations.</v>
      </c>
      <c r="S56" s="69" t="str">
        <f t="shared" si="5"/>
        <v>LU000782.006</v>
      </c>
      <c r="T56" s="69" t="str">
        <f ca="1">IFERROR(__xludf.DUMMYFUNCTION("VLOOKUP(S56, IMPORTRANGE(""https://docs.google.com/spreadsheets/d/1yDAaXNsi4Mr5FtRQL4tbmSdIzhx6_m4wkOD7IG-k_eo/edit#gid=0"", ""Maths!M:N""), 2, FALSE)"),"Develop an original visual representation or diagram that illustrates the concept of the ""origin"" and ""coordinate axes"" within the context of the Cartesian plane.")</f>
        <v>Develop an original visual representation or diagram that illustrates the concept of the "origin" and "coordinate axes" within the context of the Cartesian plane.</v>
      </c>
      <c r="U56" s="11" t="str">
        <f ca="1">IFERROR(__xludf.DUMMYFUNCTION("ArrayFormula(VLOOKUP(G56, IMPORTRANGE(""https://docs.google.com/spreadsheets/d/1p7R4vtkWt5VOBim4ltsDG9KTzSjrtKXsMtQGXPHyND0/edit#gid=795171502"", ""'Filter 30_05_2024'!A1:M2000""), {2, 3, 4, 5,6,7,8,9,10,11,12,13}, 0))"),"")</f>
        <v/>
      </c>
      <c r="V56" s="11"/>
      <c r="W56" s="11"/>
      <c r="X56" s="11"/>
      <c r="Y56" s="11">
        <f ca="1">IFERROR(__xludf.DUMMYFUNCTION("""COMPUTED_VALUE"""),4)</f>
        <v>4</v>
      </c>
      <c r="Z56" s="12">
        <f ca="1">IFERROR(__xludf.DUMMYFUNCTION("""COMPUTED_VALUE"""),3)</f>
        <v>3</v>
      </c>
      <c r="AA56" s="12">
        <f ca="1">IFERROR(__xludf.DUMMYFUNCTION("""COMPUTED_VALUE"""),1)</f>
        <v>1</v>
      </c>
      <c r="AB56" s="12">
        <f ca="1">IFERROR(__xludf.DUMMYFUNCTION("""COMPUTED_VALUE"""),8)</f>
        <v>8</v>
      </c>
      <c r="AC56" s="11"/>
      <c r="AD56" s="12"/>
      <c r="AE56" s="12"/>
      <c r="AF56" s="12"/>
      <c r="AG56" s="70" t="str">
        <f ca="1">IFERROR(__xludf.DUMMYFUNCTION("ArrayFormula(VLOOKUP(G56, IMPORTRANGE(""https://docs.google.com/spreadsheets/d/1Co934fvtviyaRiMsrIlT05Jaq7iiYq07aLvRr35KA48/edit?gid=173865642#gid=173865642"", ""'G9_Maths_Pri_LU'!G2:V2000""), {3, 4, 5, 6, 7, 8, 9, 10, 11, 12, 13, 14, 15, 16}, 0))"),"LU000776")</f>
        <v>LU000776</v>
      </c>
      <c r="AH56" s="70" t="str">
        <f ca="1">IFERROR(__xludf.DUMMYFUNCTION("""COMPUTED_VALUE"""),"Coordinates of a point on a graph")</f>
        <v>Coordinates of a point on a graph</v>
      </c>
      <c r="AI56" s="70" t="str">
        <f ca="1">IFERROR(__xludf.DUMMYFUNCTION("""COMPUTED_VALUE"""),"LU000774")</f>
        <v>LU000774</v>
      </c>
      <c r="AJ56" s="70" t="str">
        <f ca="1">IFERROR(__xludf.DUMMYFUNCTION("""COMPUTED_VALUE"""),"Position of a point on a plane")</f>
        <v>Position of a point on a plane</v>
      </c>
      <c r="AK56" s="70"/>
      <c r="AL56" s="70"/>
      <c r="AM56" s="13"/>
      <c r="AN56" s="13"/>
      <c r="AO56" s="13"/>
      <c r="AP56" s="13"/>
      <c r="AQ56" s="13"/>
      <c r="AR56" s="13"/>
      <c r="AS56" s="13"/>
      <c r="AT56" s="13"/>
    </row>
    <row r="57" spans="1:46">
      <c r="A57" s="8" t="s">
        <v>247</v>
      </c>
      <c r="B57" s="66" t="s">
        <v>47</v>
      </c>
      <c r="C57" s="66" t="s">
        <v>979</v>
      </c>
      <c r="D57" s="67" t="s">
        <v>732</v>
      </c>
      <c r="E57" s="67" t="s">
        <v>1061</v>
      </c>
      <c r="F57" s="66" t="s">
        <v>1065</v>
      </c>
      <c r="G57" s="68" t="s">
        <v>1066</v>
      </c>
      <c r="H57" s="72" t="str">
        <f ca="1">IFERROR(__xludf.DUMMYFUNCTION("VLOOKUP(G57, IMPORTRANGE(""https://docs.google.com/spreadsheets/d/14deopnvwcrKtEGCKuYXdUHJbeLDZlkiSSWWT0g7x2pM/edit#gid=999382323"", ""LU List Maths (Filter)!A:B""), 2, FALSE)"),"Co-ordinates of point located in the first quadrant")</f>
        <v>Co-ordinates of point located in the first quadrant</v>
      </c>
      <c r="I57" s="69" t="str">
        <f t="shared" si="0"/>
        <v>LU001129.001</v>
      </c>
      <c r="J57" s="69" t="str">
        <f ca="1">IFERROR(__xludf.DUMMYFUNCTION("VLOOKUP(I57, IMPORTRANGE(""https://docs.google.com/spreadsheets/d/1yDAaXNsi4Mr5FtRQL4tbmSdIzhx6_m4wkOD7IG-k_eo/edit#gid=0"", ""Maths!M:N""), 2, FALSE)"),"Recall the properties of coordinates in the first quadrant.")</f>
        <v>Recall the properties of coordinates in the first quadrant.</v>
      </c>
      <c r="K57" s="69" t="str">
        <f t="shared" si="1"/>
        <v>LU001129.002</v>
      </c>
      <c r="L57" s="69" t="str">
        <f ca="1">IFERROR(__xludf.DUMMYFUNCTION("VLOOKUP(K57, IMPORTRANGE(""https://docs.google.com/spreadsheets/d/1yDAaXNsi4Mr5FtRQL4tbmSdIzhx6_m4wkOD7IG-k_eo/edit#gid=0"", ""Maths!M:N""), 2, FALSE)"),"Explain why the coordinates in the first quadrant have specific signs.")</f>
        <v>Explain why the coordinates in the first quadrant have specific signs.</v>
      </c>
      <c r="M57" s="69" t="str">
        <f t="shared" si="2"/>
        <v>LU001129.003</v>
      </c>
      <c r="N57" s="69" t="str">
        <f ca="1">IFERROR(__xludf.DUMMYFUNCTION("VLOOKUP(M57, IMPORTRANGE(""https://docs.google.com/spreadsheets/d/1yDAaXNsi4Mr5FtRQL4tbmSdIzhx6_m4wkOD7IG-k_eo/edit#gid=0"", ""Maths!M:N""), 2, FALSE)"),"Plot points accurately in the first quadrant of a Cartesian plane.")</f>
        <v>Plot points accurately in the first quadrant of a Cartesian plane.</v>
      </c>
      <c r="O57" s="69" t="str">
        <f t="shared" si="3"/>
        <v>LU001129.004</v>
      </c>
      <c r="P57" s="69" t="str">
        <f ca="1">IFERROR(__xludf.DUMMYFUNCTION("VLOOKUP(O57, IMPORTRANGE(""https://docs.google.com/spreadsheets/d/1yDAaXNsi4Mr5FtRQL4tbmSdIzhx6_m4wkOD7IG-k_eo/edit#gid=0"", ""Maths!M:N""), 2, FALSE)"),"Compare and contrast points located in the first quadrant with those in other quadrants.")</f>
        <v>Compare and contrast points located in the first quadrant with those in other quadrants.</v>
      </c>
      <c r="Q57" s="69" t="str">
        <f t="shared" si="4"/>
        <v>LU001129.005</v>
      </c>
      <c r="R57" s="69" t="str">
        <f ca="1">IFERROR(__xludf.DUMMYFUNCTION("VLOOKUP(Q57, IMPORTRANGE(""https://docs.google.com/spreadsheets/d/1yDAaXNsi4Mr5FtRQL4tbmSdIzhx6_m4wkOD7IG-k_eo/edit#gid=0"", ""Maths!M:N""), 2, FALSE)"),"Assess the correctness of given coordinates in the first quadrant and correct errors if any.")</f>
        <v>Assess the correctness of given coordinates in the first quadrant and correct errors if any.</v>
      </c>
      <c r="S57" s="69" t="str">
        <f t="shared" si="5"/>
        <v>LU001129.006</v>
      </c>
      <c r="T57" s="69" t="str">
        <f ca="1">IFERROR(__xludf.DUMMYFUNCTION("VLOOKUP(S57, IMPORTRANGE(""https://docs.google.com/spreadsheets/d/1yDAaXNsi4Mr5FtRQL4tbmSdIzhx6_m4wkOD7IG-k_eo/edit#gid=0"", ""Maths!M:N""), 2, FALSE)"),"Construct a real-life scenario that involves determining coordinates in the first quadrant.")</f>
        <v>Construct a real-life scenario that involves determining coordinates in the first quadrant.</v>
      </c>
      <c r="U57" s="11" t="str">
        <f ca="1">IFERROR(__xludf.DUMMYFUNCTION("ArrayFormula(VLOOKUP(G57, IMPORTRANGE(""https://docs.google.com/spreadsheets/d/1p7R4vtkWt5VOBim4ltsDG9KTzSjrtKXsMtQGXPHyND0/edit#gid=795171502"", ""'Filter 30_05_2024'!A1:M2000""), {2, 3, 4, 5,6,7,8,9,10,11,12,13}, 0))"),"#N/A")</f>
        <v>#N/A</v>
      </c>
      <c r="V57" s="11" t="str">
        <f ca="1">IFERROR(__xludf.DUMMYFUNCTION("""COMPUTED_VALUE"""),"#N/A")</f>
        <v>#N/A</v>
      </c>
      <c r="W57" s="11" t="str">
        <f ca="1">IFERROR(__xludf.DUMMYFUNCTION("""COMPUTED_VALUE"""),"#N/A")</f>
        <v>#N/A</v>
      </c>
      <c r="X57" s="11" t="str">
        <f ca="1">IFERROR(__xludf.DUMMYFUNCTION("""COMPUTED_VALUE"""),"#N/A")</f>
        <v>#N/A</v>
      </c>
      <c r="Y57" s="11" t="str">
        <f ca="1">IFERROR(__xludf.DUMMYFUNCTION("""COMPUTED_VALUE"""),"#N/A")</f>
        <v>#N/A</v>
      </c>
      <c r="Z57" s="12" t="str">
        <f ca="1">IFERROR(__xludf.DUMMYFUNCTION("""COMPUTED_VALUE"""),"#N/A")</f>
        <v>#N/A</v>
      </c>
      <c r="AA57" s="12" t="str">
        <f ca="1">IFERROR(__xludf.DUMMYFUNCTION("""COMPUTED_VALUE"""),"#N/A")</f>
        <v>#N/A</v>
      </c>
      <c r="AB57" s="12" t="str">
        <f ca="1">IFERROR(__xludf.DUMMYFUNCTION("""COMPUTED_VALUE"""),"#N/A")</f>
        <v>#N/A</v>
      </c>
      <c r="AC57" s="11" t="str">
        <f ca="1">IFERROR(__xludf.DUMMYFUNCTION("""COMPUTED_VALUE"""),"#N/A")</f>
        <v>#N/A</v>
      </c>
      <c r="AD57" s="12" t="str">
        <f ca="1">IFERROR(__xludf.DUMMYFUNCTION("""COMPUTED_VALUE"""),"#N/A")</f>
        <v>#N/A</v>
      </c>
      <c r="AE57" s="12" t="str">
        <f ca="1">IFERROR(__xludf.DUMMYFUNCTION("""COMPUTED_VALUE"""),"#N/A")</f>
        <v>#N/A</v>
      </c>
      <c r="AF57" s="12" t="str">
        <f ca="1">IFERROR(__xludf.DUMMYFUNCTION("""COMPUTED_VALUE"""),"#N/A")</f>
        <v>#N/A</v>
      </c>
      <c r="AG57" s="70" t="str">
        <f ca="1">IFERROR(__xludf.DUMMYFUNCTION("ArrayFormula(VLOOKUP(G57, IMPORTRANGE(""https://docs.google.com/spreadsheets/d/1Co934fvtviyaRiMsrIlT05Jaq7iiYq07aLvRr35KA48/edit?gid=173865642#gid=173865642"", ""'G9_Maths_Pri_LU'!G2:V2000""), {3, 4, 5, 6, 7, 8, 9, 10, 11, 12, 13, 14, 15, 16}, 0))"),"LU000782")</f>
        <v>LU000782</v>
      </c>
      <c r="AH57" s="70" t="str">
        <f ca="1">IFERROR(__xludf.DUMMYFUNCTION("""COMPUTED_VALUE"""),"Definition of the cartesian plane and terms related to it (origin, coordinates, coordinate axes, quadrants)")</f>
        <v>Definition of the cartesian plane and terms related to it (origin, coordinates, coordinate axes, quadrants)</v>
      </c>
      <c r="AI57" s="70"/>
      <c r="AJ57" s="70"/>
      <c r="AK57" s="70"/>
      <c r="AL57" s="70"/>
      <c r="AM57" s="13"/>
      <c r="AN57" s="13"/>
      <c r="AO57" s="13"/>
      <c r="AP57" s="13"/>
      <c r="AQ57" s="13"/>
      <c r="AR57" s="13"/>
      <c r="AS57" s="13"/>
      <c r="AT57" s="13"/>
    </row>
    <row r="58" spans="1:46">
      <c r="A58" s="8" t="s">
        <v>247</v>
      </c>
      <c r="B58" s="66" t="s">
        <v>47</v>
      </c>
      <c r="C58" s="66" t="s">
        <v>979</v>
      </c>
      <c r="D58" s="67" t="s">
        <v>732</v>
      </c>
      <c r="E58" s="67" t="s">
        <v>1061</v>
      </c>
      <c r="F58" s="66" t="s">
        <v>1065</v>
      </c>
      <c r="G58" s="68" t="s">
        <v>1067</v>
      </c>
      <c r="H58" s="72" t="str">
        <f ca="1">IFERROR(__xludf.DUMMYFUNCTION("VLOOKUP(G58, IMPORTRANGE(""https://docs.google.com/spreadsheets/d/14deopnvwcrKtEGCKuYXdUHJbeLDZlkiSSWWT0g7x2pM/edit#gid=999382323"", ""LU List Maths (Filter)!A:B""), 2, FALSE)"),"Co-ordinates of point located in the second quadrant")</f>
        <v>Co-ordinates of point located in the second quadrant</v>
      </c>
      <c r="I58" s="69" t="str">
        <f t="shared" si="0"/>
        <v>LU001130.001</v>
      </c>
      <c r="J58" s="69" t="str">
        <f ca="1">IFERROR(__xludf.DUMMYFUNCTION("VLOOKUP(I58, IMPORTRANGE(""https://docs.google.com/spreadsheets/d/1yDAaXNsi4Mr5FtRQL4tbmSdIzhx6_m4wkOD7IG-k_eo/edit#gid=0"", ""Maths!M:N""), 2, FALSE)"),"Recall the properties of coordinates in the second quadrant.")</f>
        <v>Recall the properties of coordinates in the second quadrant.</v>
      </c>
      <c r="K58" s="69" t="str">
        <f t="shared" si="1"/>
        <v>LU001130.002</v>
      </c>
      <c r="L58" s="69" t="str">
        <f ca="1">IFERROR(__xludf.DUMMYFUNCTION("VLOOKUP(K58, IMPORTRANGE(""https://docs.google.com/spreadsheets/d/1yDAaXNsi4Mr5FtRQL4tbmSdIzhx6_m4wkOD7IG-k_eo/edit#gid=0"", ""Maths!M:N""), 2, FALSE)"),"Explain why the coordinates in the second quadrant have specific signs.")</f>
        <v>Explain why the coordinates in the second quadrant have specific signs.</v>
      </c>
      <c r="M58" s="69" t="str">
        <f t="shared" si="2"/>
        <v>LU001130.003</v>
      </c>
      <c r="N58" s="69" t="str">
        <f ca="1">IFERROR(__xludf.DUMMYFUNCTION("VLOOKUP(M58, IMPORTRANGE(""https://docs.google.com/spreadsheets/d/1yDAaXNsi4Mr5FtRQL4tbmSdIzhx6_m4wkOD7IG-k_eo/edit#gid=0"", ""Maths!M:N""), 2, FALSE)"),"Plot points accurately in the second quadrant of a Cartesian plane.")</f>
        <v>Plot points accurately in the second quadrant of a Cartesian plane.</v>
      </c>
      <c r="O58" s="69" t="str">
        <f t="shared" si="3"/>
        <v>LU001130.004</v>
      </c>
      <c r="P58" s="69" t="str">
        <f ca="1">IFERROR(__xludf.DUMMYFUNCTION("VLOOKUP(O58, IMPORTRANGE(""https://docs.google.com/spreadsheets/d/1yDAaXNsi4Mr5FtRQL4tbmSdIzhx6_m4wkOD7IG-k_eo/edit#gid=0"", ""Maths!M:N""), 2, FALSE)"),"Compare and contrast points located in the second quadrant with those in other quadrants.")</f>
        <v>Compare and contrast points located in the second quadrant with those in other quadrants.</v>
      </c>
      <c r="Q58" s="69" t="str">
        <f t="shared" si="4"/>
        <v>LU001130.005</v>
      </c>
      <c r="R58" s="69" t="str">
        <f ca="1">IFERROR(__xludf.DUMMYFUNCTION("VLOOKUP(Q58, IMPORTRANGE(""https://docs.google.com/spreadsheets/d/1yDAaXNsi4Mr5FtRQL4tbmSdIzhx6_m4wkOD7IG-k_eo/edit#gid=0"", ""Maths!M:N""), 2, FALSE)"),"Assess the correctness of given coordinates in the second quadrant and correct errors if any.")</f>
        <v>Assess the correctness of given coordinates in the second quadrant and correct errors if any.</v>
      </c>
      <c r="S58" s="69" t="str">
        <f t="shared" si="5"/>
        <v>LU001130.006</v>
      </c>
      <c r="T58" s="69" t="str">
        <f ca="1">IFERROR(__xludf.DUMMYFUNCTION("VLOOKUP(S58, IMPORTRANGE(""https://docs.google.com/spreadsheets/d/1yDAaXNsi4Mr5FtRQL4tbmSdIzhx6_m4wkOD7IG-k_eo/edit#gid=0"", ""Maths!M:N""), 2, FALSE)"),"Construct a real-life scenario that involves determining coordinates in the second quadrant.")</f>
        <v>Construct a real-life scenario that involves determining coordinates in the second quadrant.</v>
      </c>
      <c r="U58" s="11" t="str">
        <f ca="1">IFERROR(__xludf.DUMMYFUNCTION("ArrayFormula(VLOOKUP(G58, IMPORTRANGE(""https://docs.google.com/spreadsheets/d/1p7R4vtkWt5VOBim4ltsDG9KTzSjrtKXsMtQGXPHyND0/edit#gid=795171502"", ""'Filter 30_05_2024'!A1:M2000""), {2, 3, 4, 5,6,7,8,9,10,11,12,13}, 0))"),"#N/A")</f>
        <v>#N/A</v>
      </c>
      <c r="V58" s="11" t="str">
        <f ca="1">IFERROR(__xludf.DUMMYFUNCTION("""COMPUTED_VALUE"""),"#N/A")</f>
        <v>#N/A</v>
      </c>
      <c r="W58" s="11" t="str">
        <f ca="1">IFERROR(__xludf.DUMMYFUNCTION("""COMPUTED_VALUE"""),"#N/A")</f>
        <v>#N/A</v>
      </c>
      <c r="X58" s="11" t="str">
        <f ca="1">IFERROR(__xludf.DUMMYFUNCTION("""COMPUTED_VALUE"""),"#N/A")</f>
        <v>#N/A</v>
      </c>
      <c r="Y58" s="11" t="str">
        <f ca="1">IFERROR(__xludf.DUMMYFUNCTION("""COMPUTED_VALUE"""),"#N/A")</f>
        <v>#N/A</v>
      </c>
      <c r="Z58" s="12" t="str">
        <f ca="1">IFERROR(__xludf.DUMMYFUNCTION("""COMPUTED_VALUE"""),"#N/A")</f>
        <v>#N/A</v>
      </c>
      <c r="AA58" s="12" t="str">
        <f ca="1">IFERROR(__xludf.DUMMYFUNCTION("""COMPUTED_VALUE"""),"#N/A")</f>
        <v>#N/A</v>
      </c>
      <c r="AB58" s="12" t="str">
        <f ca="1">IFERROR(__xludf.DUMMYFUNCTION("""COMPUTED_VALUE"""),"#N/A")</f>
        <v>#N/A</v>
      </c>
      <c r="AC58" s="11" t="str">
        <f ca="1">IFERROR(__xludf.DUMMYFUNCTION("""COMPUTED_VALUE"""),"#N/A")</f>
        <v>#N/A</v>
      </c>
      <c r="AD58" s="12" t="str">
        <f ca="1">IFERROR(__xludf.DUMMYFUNCTION("""COMPUTED_VALUE"""),"#N/A")</f>
        <v>#N/A</v>
      </c>
      <c r="AE58" s="12" t="str">
        <f ca="1">IFERROR(__xludf.DUMMYFUNCTION("""COMPUTED_VALUE"""),"#N/A")</f>
        <v>#N/A</v>
      </c>
      <c r="AF58" s="12" t="str">
        <f ca="1">IFERROR(__xludf.DUMMYFUNCTION("""COMPUTED_VALUE"""),"#N/A")</f>
        <v>#N/A</v>
      </c>
      <c r="AG58" s="70" t="str">
        <f ca="1">IFERROR(__xludf.DUMMYFUNCTION("ArrayFormula(VLOOKUP(G58, IMPORTRANGE(""https://docs.google.com/spreadsheets/d/1Co934fvtviyaRiMsrIlT05Jaq7iiYq07aLvRr35KA48/edit?gid=173865642#gid=173865642"", ""'G9_Maths_Pri_LU'!G2:V2000""), {3, 4, 5, 6, 7, 8, 9, 10, 11, 12, 13, 14, 15, 16}, 0))"),"LU001129")</f>
        <v>LU001129</v>
      </c>
      <c r="AH58" s="70" t="str">
        <f ca="1">IFERROR(__xludf.DUMMYFUNCTION("""COMPUTED_VALUE"""),"Co-ordinates of point located in the first quadrant")</f>
        <v>Co-ordinates of point located in the first quadrant</v>
      </c>
      <c r="AI58" s="70" t="str">
        <f ca="1">IFERROR(__xludf.DUMMYFUNCTION("""COMPUTED_VALUE"""),"LU000782")</f>
        <v>LU000782</v>
      </c>
      <c r="AJ58" s="70" t="str">
        <f ca="1">IFERROR(__xludf.DUMMYFUNCTION("""COMPUTED_VALUE"""),"Definition of the cartesian plane and terms related to it (origin, coordinates, coordinate axes, quadrants)")</f>
        <v>Definition of the cartesian plane and terms related to it (origin, coordinates, coordinate axes, quadrants)</v>
      </c>
      <c r="AK58" s="70"/>
      <c r="AL58" s="70"/>
      <c r="AM58" s="13"/>
      <c r="AN58" s="13"/>
      <c r="AO58" s="13"/>
      <c r="AP58" s="13"/>
      <c r="AQ58" s="13"/>
      <c r="AR58" s="13"/>
      <c r="AS58" s="13"/>
      <c r="AT58" s="13"/>
    </row>
    <row r="59" spans="1:46">
      <c r="A59" s="8" t="s">
        <v>247</v>
      </c>
      <c r="B59" s="66" t="s">
        <v>47</v>
      </c>
      <c r="C59" s="66" t="s">
        <v>979</v>
      </c>
      <c r="D59" s="67" t="s">
        <v>732</v>
      </c>
      <c r="E59" s="67" t="s">
        <v>1061</v>
      </c>
      <c r="F59" s="66" t="s">
        <v>1068</v>
      </c>
      <c r="G59" s="68" t="s">
        <v>1069</v>
      </c>
      <c r="H59" s="72" t="str">
        <f ca="1">IFERROR(__xludf.DUMMYFUNCTION("VLOOKUP(G59, IMPORTRANGE(""https://docs.google.com/spreadsheets/d/14deopnvwcrKtEGCKuYXdUHJbeLDZlkiSSWWT0g7x2pM/edit#gid=999382323"", ""LU List Maths (Filter)!A:B""), 2, FALSE)"),"Co-ordinates of point located in the third quadrant")</f>
        <v>Co-ordinates of point located in the third quadrant</v>
      </c>
      <c r="I59" s="69" t="str">
        <f t="shared" si="0"/>
        <v>LU001131.001</v>
      </c>
      <c r="J59" s="69" t="str">
        <f ca="1">IFERROR(__xludf.DUMMYFUNCTION("VLOOKUP(I59, IMPORTRANGE(""https://docs.google.com/spreadsheets/d/1yDAaXNsi4Mr5FtRQL4tbmSdIzhx6_m4wkOD7IG-k_eo/edit#gid=0"", ""Maths!M:N""), 2, FALSE)"),"Recall the properties of coordinates in the third quadrant.")</f>
        <v>Recall the properties of coordinates in the third quadrant.</v>
      </c>
      <c r="K59" s="69" t="str">
        <f t="shared" si="1"/>
        <v>LU001131.002</v>
      </c>
      <c r="L59" s="69" t="str">
        <f ca="1">IFERROR(__xludf.DUMMYFUNCTION("VLOOKUP(K59, IMPORTRANGE(""https://docs.google.com/spreadsheets/d/1yDAaXNsi4Mr5FtRQL4tbmSdIzhx6_m4wkOD7IG-k_eo/edit#gid=0"", ""Maths!M:N""), 2, FALSE)"),"Explain why the coordinates in the third quadrant have specific signs.")</f>
        <v>Explain why the coordinates in the third quadrant have specific signs.</v>
      </c>
      <c r="M59" s="69" t="str">
        <f t="shared" si="2"/>
        <v>LU001131.003</v>
      </c>
      <c r="N59" s="69" t="str">
        <f ca="1">IFERROR(__xludf.DUMMYFUNCTION("VLOOKUP(M59, IMPORTRANGE(""https://docs.google.com/spreadsheets/d/1yDAaXNsi4Mr5FtRQL4tbmSdIzhx6_m4wkOD7IG-k_eo/edit#gid=0"", ""Maths!M:N""), 2, FALSE)"),"Plot points accurately in the third quadrant of a Cartesian plane.")</f>
        <v>Plot points accurately in the third quadrant of a Cartesian plane.</v>
      </c>
      <c r="O59" s="69" t="str">
        <f t="shared" si="3"/>
        <v>LU001131.004</v>
      </c>
      <c r="P59" s="69" t="str">
        <f ca="1">IFERROR(__xludf.DUMMYFUNCTION("VLOOKUP(O59, IMPORTRANGE(""https://docs.google.com/spreadsheets/d/1yDAaXNsi4Mr5FtRQL4tbmSdIzhx6_m4wkOD7IG-k_eo/edit#gid=0"", ""Maths!M:N""), 2, FALSE)"),"Compare and contrast points located in the third quadrant with those in other quadrants.")</f>
        <v>Compare and contrast points located in the third quadrant with those in other quadrants.</v>
      </c>
      <c r="Q59" s="69" t="str">
        <f t="shared" si="4"/>
        <v>LU001131.005</v>
      </c>
      <c r="R59" s="69" t="str">
        <f ca="1">IFERROR(__xludf.DUMMYFUNCTION("VLOOKUP(Q59, IMPORTRANGE(""https://docs.google.com/spreadsheets/d/1yDAaXNsi4Mr5FtRQL4tbmSdIzhx6_m4wkOD7IG-k_eo/edit#gid=0"", ""Maths!M:N""), 2, FALSE)"),"Assess the correctness of given coordinates in the third quadrant and correct errors if any.")</f>
        <v>Assess the correctness of given coordinates in the third quadrant and correct errors if any.</v>
      </c>
      <c r="S59" s="69" t="str">
        <f t="shared" si="5"/>
        <v>LU001131.006</v>
      </c>
      <c r="T59" s="69" t="str">
        <f ca="1">IFERROR(__xludf.DUMMYFUNCTION("VLOOKUP(S59, IMPORTRANGE(""https://docs.google.com/spreadsheets/d/1yDAaXNsi4Mr5FtRQL4tbmSdIzhx6_m4wkOD7IG-k_eo/edit#gid=0"", ""Maths!M:N""), 2, FALSE)"),"Construct a real-life scenario that involves determining coordinates in the third quadrant.")</f>
        <v>Construct a real-life scenario that involves determining coordinates in the third quadrant.</v>
      </c>
      <c r="U59" s="11" t="str">
        <f ca="1">IFERROR(__xludf.DUMMYFUNCTION("ArrayFormula(VLOOKUP(G59, IMPORTRANGE(""https://docs.google.com/spreadsheets/d/1p7R4vtkWt5VOBim4ltsDG9KTzSjrtKXsMtQGXPHyND0/edit#gid=795171502"", ""'Filter 30_05_2024'!A1:M2000""), {2, 3, 4, 5,6,7,8,9,10,11,12,13}, 0))"),"#N/A")</f>
        <v>#N/A</v>
      </c>
      <c r="V59" s="11" t="str">
        <f ca="1">IFERROR(__xludf.DUMMYFUNCTION("""COMPUTED_VALUE"""),"#N/A")</f>
        <v>#N/A</v>
      </c>
      <c r="W59" s="11" t="str">
        <f ca="1">IFERROR(__xludf.DUMMYFUNCTION("""COMPUTED_VALUE"""),"#N/A")</f>
        <v>#N/A</v>
      </c>
      <c r="X59" s="11" t="str">
        <f ca="1">IFERROR(__xludf.DUMMYFUNCTION("""COMPUTED_VALUE"""),"#N/A")</f>
        <v>#N/A</v>
      </c>
      <c r="Y59" s="11" t="str">
        <f ca="1">IFERROR(__xludf.DUMMYFUNCTION("""COMPUTED_VALUE"""),"#N/A")</f>
        <v>#N/A</v>
      </c>
      <c r="Z59" s="12" t="str">
        <f ca="1">IFERROR(__xludf.DUMMYFUNCTION("""COMPUTED_VALUE"""),"#N/A")</f>
        <v>#N/A</v>
      </c>
      <c r="AA59" s="12" t="str">
        <f ca="1">IFERROR(__xludf.DUMMYFUNCTION("""COMPUTED_VALUE"""),"#N/A")</f>
        <v>#N/A</v>
      </c>
      <c r="AB59" s="12" t="str">
        <f ca="1">IFERROR(__xludf.DUMMYFUNCTION("""COMPUTED_VALUE"""),"#N/A")</f>
        <v>#N/A</v>
      </c>
      <c r="AC59" s="11" t="str">
        <f ca="1">IFERROR(__xludf.DUMMYFUNCTION("""COMPUTED_VALUE"""),"#N/A")</f>
        <v>#N/A</v>
      </c>
      <c r="AD59" s="12" t="str">
        <f ca="1">IFERROR(__xludf.DUMMYFUNCTION("""COMPUTED_VALUE"""),"#N/A")</f>
        <v>#N/A</v>
      </c>
      <c r="AE59" s="12" t="str">
        <f ca="1">IFERROR(__xludf.DUMMYFUNCTION("""COMPUTED_VALUE"""),"#N/A")</f>
        <v>#N/A</v>
      </c>
      <c r="AF59" s="12" t="str">
        <f ca="1">IFERROR(__xludf.DUMMYFUNCTION("""COMPUTED_VALUE"""),"#N/A")</f>
        <v>#N/A</v>
      </c>
      <c r="AG59" s="70" t="str">
        <f ca="1">IFERROR(__xludf.DUMMYFUNCTION("ArrayFormula(VLOOKUP(G59, IMPORTRANGE(""https://docs.google.com/spreadsheets/d/1Co934fvtviyaRiMsrIlT05Jaq7iiYq07aLvRr35KA48/edit?gid=173865642#gid=173865642"", ""'G9_Maths_Pri_LU'!G2:V2000""), {3, 4, 5, 6, 7, 8, 9, 10, 11, 12, 13, 14, 15, 16}, 0))"),"LU001130")</f>
        <v>LU001130</v>
      </c>
      <c r="AH59" s="70" t="str">
        <f ca="1">IFERROR(__xludf.DUMMYFUNCTION("""COMPUTED_VALUE"""),"Co-ordinates of point located in the second quadrant")</f>
        <v>Co-ordinates of point located in the second quadrant</v>
      </c>
      <c r="AI59" s="70" t="str">
        <f ca="1">IFERROR(__xludf.DUMMYFUNCTION("""COMPUTED_VALUE"""),"LU001129")</f>
        <v>LU001129</v>
      </c>
      <c r="AJ59" s="70" t="str">
        <f ca="1">IFERROR(__xludf.DUMMYFUNCTION("""COMPUTED_VALUE"""),"Co-ordinates of point located in the first quadrant")</f>
        <v>Co-ordinates of point located in the first quadrant</v>
      </c>
      <c r="AK59" s="70"/>
      <c r="AL59" s="70"/>
      <c r="AM59" s="13"/>
      <c r="AN59" s="13"/>
      <c r="AO59" s="13"/>
      <c r="AP59" s="13"/>
      <c r="AQ59" s="13"/>
      <c r="AR59" s="13"/>
      <c r="AS59" s="13"/>
      <c r="AT59" s="13"/>
    </row>
    <row r="60" spans="1:46">
      <c r="A60" s="8" t="s">
        <v>247</v>
      </c>
      <c r="B60" s="66" t="s">
        <v>47</v>
      </c>
      <c r="C60" s="66" t="s">
        <v>979</v>
      </c>
      <c r="D60" s="67" t="s">
        <v>732</v>
      </c>
      <c r="E60" s="67" t="s">
        <v>1061</v>
      </c>
      <c r="F60" s="66" t="s">
        <v>1068</v>
      </c>
      <c r="G60" s="68" t="s">
        <v>1070</v>
      </c>
      <c r="H60" s="72" t="str">
        <f ca="1">IFERROR(__xludf.DUMMYFUNCTION("VLOOKUP(G60, IMPORTRANGE(""https://docs.google.com/spreadsheets/d/14deopnvwcrKtEGCKuYXdUHJbeLDZlkiSSWWT0g7x2pM/edit#gid=999382323"", ""LU List Maths (Filter)!A:B""), 2, FALSE)"),"Co-ordinates of point located in the fourth quadrant")</f>
        <v>Co-ordinates of point located in the fourth quadrant</v>
      </c>
      <c r="I60" s="69" t="str">
        <f t="shared" si="0"/>
        <v>LU001132.001</v>
      </c>
      <c r="J60" s="69" t="str">
        <f ca="1">IFERROR(__xludf.DUMMYFUNCTION("VLOOKUP(I60, IMPORTRANGE(""https://docs.google.com/spreadsheets/d/1yDAaXNsi4Mr5FtRQL4tbmSdIzhx6_m4wkOD7IG-k_eo/edit#gid=0"", ""Maths!M:N""), 2, FALSE)"),"Recall the properties of coordinates in the fourth quadrant.")</f>
        <v>Recall the properties of coordinates in the fourth quadrant.</v>
      </c>
      <c r="K60" s="69" t="str">
        <f t="shared" si="1"/>
        <v>LU001132.002</v>
      </c>
      <c r="L60" s="69" t="str">
        <f ca="1">IFERROR(__xludf.DUMMYFUNCTION("VLOOKUP(K60, IMPORTRANGE(""https://docs.google.com/spreadsheets/d/1yDAaXNsi4Mr5FtRQL4tbmSdIzhx6_m4wkOD7IG-k_eo/edit#gid=0"", ""Maths!M:N""), 2, FALSE)"),"Explain why the coordinates in the fourth quadrant have specific signs.")</f>
        <v>Explain why the coordinates in the fourth quadrant have specific signs.</v>
      </c>
      <c r="M60" s="69" t="str">
        <f t="shared" si="2"/>
        <v>LU001132.003</v>
      </c>
      <c r="N60" s="69" t="str">
        <f ca="1">IFERROR(__xludf.DUMMYFUNCTION("VLOOKUP(M60, IMPORTRANGE(""https://docs.google.com/spreadsheets/d/1yDAaXNsi4Mr5FtRQL4tbmSdIzhx6_m4wkOD7IG-k_eo/edit#gid=0"", ""Maths!M:N""), 2, FALSE)"),"Plot points accurately in the fourth quadrant of a Cartesian plane.")</f>
        <v>Plot points accurately in the fourth quadrant of a Cartesian plane.</v>
      </c>
      <c r="O60" s="69" t="str">
        <f t="shared" si="3"/>
        <v>LU001132.004</v>
      </c>
      <c r="P60" s="69" t="str">
        <f ca="1">IFERROR(__xludf.DUMMYFUNCTION("VLOOKUP(O60, IMPORTRANGE(""https://docs.google.com/spreadsheets/d/1yDAaXNsi4Mr5FtRQL4tbmSdIzhx6_m4wkOD7IG-k_eo/edit#gid=0"", ""Maths!M:N""), 2, FALSE)"),"Compare and contrast points located in the fourth quadrant with those in other quadrants.")</f>
        <v>Compare and contrast points located in the fourth quadrant with those in other quadrants.</v>
      </c>
      <c r="Q60" s="69" t="str">
        <f t="shared" si="4"/>
        <v>LU001132.005</v>
      </c>
      <c r="R60" s="69" t="str">
        <f ca="1">IFERROR(__xludf.DUMMYFUNCTION("VLOOKUP(Q60, IMPORTRANGE(""https://docs.google.com/spreadsheets/d/1yDAaXNsi4Mr5FtRQL4tbmSdIzhx6_m4wkOD7IG-k_eo/edit#gid=0"", ""Maths!M:N""), 2, FALSE)"),"Assess the correctness of given coordinates in the fourth quadrant and correct errors if any.")</f>
        <v>Assess the correctness of given coordinates in the fourth quadrant and correct errors if any.</v>
      </c>
      <c r="S60" s="69" t="str">
        <f t="shared" si="5"/>
        <v>LU001132.006</v>
      </c>
      <c r="T60" s="69" t="str">
        <f ca="1">IFERROR(__xludf.DUMMYFUNCTION("VLOOKUP(S60, IMPORTRANGE(""https://docs.google.com/spreadsheets/d/1yDAaXNsi4Mr5FtRQL4tbmSdIzhx6_m4wkOD7IG-k_eo/edit#gid=0"", ""Maths!M:N""), 2, FALSE)"),"Construct a real-life scenario that involves determining coordinates in the fourth quadrant.")</f>
        <v>Construct a real-life scenario that involves determining coordinates in the fourth quadrant.</v>
      </c>
      <c r="U60" s="11" t="str">
        <f ca="1">IFERROR(__xludf.DUMMYFUNCTION("ArrayFormula(VLOOKUP(G60, IMPORTRANGE(""https://docs.google.com/spreadsheets/d/1p7R4vtkWt5VOBim4ltsDG9KTzSjrtKXsMtQGXPHyND0/edit#gid=795171502"", ""'Filter 30_05_2024'!A1:M2000""), {2, 3, 4, 5,6,7,8,9,10,11,12,13}, 0))"),"#N/A")</f>
        <v>#N/A</v>
      </c>
      <c r="V60" s="11" t="str">
        <f ca="1">IFERROR(__xludf.DUMMYFUNCTION("""COMPUTED_VALUE"""),"#N/A")</f>
        <v>#N/A</v>
      </c>
      <c r="W60" s="11" t="str">
        <f ca="1">IFERROR(__xludf.DUMMYFUNCTION("""COMPUTED_VALUE"""),"#N/A")</f>
        <v>#N/A</v>
      </c>
      <c r="X60" s="11" t="str">
        <f ca="1">IFERROR(__xludf.DUMMYFUNCTION("""COMPUTED_VALUE"""),"#N/A")</f>
        <v>#N/A</v>
      </c>
      <c r="Y60" s="11" t="str">
        <f ca="1">IFERROR(__xludf.DUMMYFUNCTION("""COMPUTED_VALUE"""),"#N/A")</f>
        <v>#N/A</v>
      </c>
      <c r="Z60" s="12" t="str">
        <f ca="1">IFERROR(__xludf.DUMMYFUNCTION("""COMPUTED_VALUE"""),"#N/A")</f>
        <v>#N/A</v>
      </c>
      <c r="AA60" s="12" t="str">
        <f ca="1">IFERROR(__xludf.DUMMYFUNCTION("""COMPUTED_VALUE"""),"#N/A")</f>
        <v>#N/A</v>
      </c>
      <c r="AB60" s="12" t="str">
        <f ca="1">IFERROR(__xludf.DUMMYFUNCTION("""COMPUTED_VALUE"""),"#N/A")</f>
        <v>#N/A</v>
      </c>
      <c r="AC60" s="11" t="str">
        <f ca="1">IFERROR(__xludf.DUMMYFUNCTION("""COMPUTED_VALUE"""),"#N/A")</f>
        <v>#N/A</v>
      </c>
      <c r="AD60" s="12" t="str">
        <f ca="1">IFERROR(__xludf.DUMMYFUNCTION("""COMPUTED_VALUE"""),"#N/A")</f>
        <v>#N/A</v>
      </c>
      <c r="AE60" s="12" t="str">
        <f ca="1">IFERROR(__xludf.DUMMYFUNCTION("""COMPUTED_VALUE"""),"#N/A")</f>
        <v>#N/A</v>
      </c>
      <c r="AF60" s="12" t="str">
        <f ca="1">IFERROR(__xludf.DUMMYFUNCTION("""COMPUTED_VALUE"""),"#N/A")</f>
        <v>#N/A</v>
      </c>
      <c r="AG60" s="70" t="str">
        <f ca="1">IFERROR(__xludf.DUMMYFUNCTION("ArrayFormula(VLOOKUP(G60, IMPORTRANGE(""https://docs.google.com/spreadsheets/d/1Co934fvtviyaRiMsrIlT05Jaq7iiYq07aLvRr35KA48/edit?gid=173865642#gid=173865642"", ""'G9_Maths_Pri_LU'!G2:V2000""), {3, 4, 5, 6, 7, 8, 9, 10, 11, 12, 13, 14, 15, 16}, 0))"),"LU001131")</f>
        <v>LU001131</v>
      </c>
      <c r="AH60" s="70" t="str">
        <f ca="1">IFERROR(__xludf.DUMMYFUNCTION("""COMPUTED_VALUE"""),"Co-ordinates of point located in the third quadrant")</f>
        <v>Co-ordinates of point located in the third quadrant</v>
      </c>
      <c r="AI60" s="70" t="str">
        <f ca="1">IFERROR(__xludf.DUMMYFUNCTION("""COMPUTED_VALUE"""),"LU001130")</f>
        <v>LU001130</v>
      </c>
      <c r="AJ60" s="70" t="str">
        <f ca="1">IFERROR(__xludf.DUMMYFUNCTION("""COMPUTED_VALUE"""),"Co-ordinates of point located in the second quadrant")</f>
        <v>Co-ordinates of point located in the second quadrant</v>
      </c>
      <c r="AK60" s="70"/>
      <c r="AL60" s="70"/>
      <c r="AM60" s="13"/>
      <c r="AN60" s="13"/>
      <c r="AO60" s="13"/>
      <c r="AP60" s="13"/>
      <c r="AQ60" s="13"/>
      <c r="AR60" s="13"/>
      <c r="AS60" s="13"/>
      <c r="AT60" s="13"/>
    </row>
    <row r="61" spans="1:46">
      <c r="A61" s="8" t="s">
        <v>247</v>
      </c>
      <c r="B61" s="66" t="s">
        <v>47</v>
      </c>
      <c r="C61" s="66" t="s">
        <v>979</v>
      </c>
      <c r="D61" s="67" t="s">
        <v>732</v>
      </c>
      <c r="E61" s="67" t="s">
        <v>1061</v>
      </c>
      <c r="F61" s="66" t="s">
        <v>1071</v>
      </c>
      <c r="G61" s="68" t="s">
        <v>1072</v>
      </c>
      <c r="H61" s="71" t="str">
        <f ca="1">IFERROR(__xludf.DUMMYFUNCTION("VLOOKUP(G61, IMPORTRANGE(""https://docs.google.com/spreadsheets/d/14deopnvwcrKtEGCKuYXdUHJbeLDZlkiSSWWT0g7x2pM/edit#gid=999382323"", ""LU List Maths (Filter)!A:B""), 2, FALSE)"),"Co-ordinates of point located on the axes")</f>
        <v>Co-ordinates of point located on the axes</v>
      </c>
      <c r="I61" s="69" t="str">
        <f t="shared" si="0"/>
        <v>LU001277.001</v>
      </c>
      <c r="J61" s="69" t="str">
        <f ca="1">IFERROR(__xludf.DUMMYFUNCTION("VLOOKUP(I61, IMPORTRANGE(""https://docs.google.com/spreadsheets/d/1yDAaXNsi4Mr5FtRQL4tbmSdIzhx6_m4wkOD7IG-k_eo/edit#gid=0"", ""Maths!M:N""), 2, FALSE)"),"Define the terms abscissa and ordinate as they relate to coordinates on the x-axis and y-axis.")</f>
        <v>Define the terms abscissa and ordinate as they relate to coordinates on the x-axis and y-axis.</v>
      </c>
      <c r="K61" s="69" t="str">
        <f t="shared" si="1"/>
        <v>LU001277.002</v>
      </c>
      <c r="L61" s="69" t="str">
        <f ca="1">IFERROR(__xludf.DUMMYFUNCTION("VLOOKUP(K61, IMPORTRANGE(""https://docs.google.com/spreadsheets/d/1yDAaXNsi4Mr5FtRQL4tbmSdIzhx6_m4wkOD7IG-k_eo/edit#gid=0"", ""Maths!M:N""), 2, FALSE)"),"Explain how to identify points on the x-axis and y-axis given their coordinates.")</f>
        <v>Explain how to identify points on the x-axis and y-axis given their coordinates.</v>
      </c>
      <c r="M61" s="69" t="str">
        <f t="shared" si="2"/>
        <v>LU001277.003</v>
      </c>
      <c r="N61" s="69" t="str">
        <f ca="1">IFERROR(__xludf.DUMMYFUNCTION("VLOOKUP(M61, IMPORTRANGE(""https://docs.google.com/spreadsheets/d/1yDAaXNsi4Mr5FtRQL4tbmSdIzhx6_m4wkOD7IG-k_eo/edit#gid=0"", ""Maths!M:N""), 2, FALSE)"),"Determine the coordinates of points given their positions on the x-axis and y-axis.")</f>
        <v>Determine the coordinates of points given their positions on the x-axis and y-axis.</v>
      </c>
      <c r="O61" s="69" t="str">
        <f t="shared" si="3"/>
        <v>LU001277.004</v>
      </c>
      <c r="P61" s="69" t="str">
        <f ca="1">IFERROR(__xludf.DUMMYFUNCTION("VLOOKUP(O61, IMPORTRANGE(""https://docs.google.com/spreadsheets/d/1yDAaXNsi4Mr5FtRQL4tbmSdIzhx6_m4wkOD7IG-k_eo/edit#gid=0"", ""Maths!M:N""), 2, FALSE)"),"Differentiate between the coordinates of points on the x-axis and y-axis.")</f>
        <v>Differentiate between the coordinates of points on the x-axis and y-axis.</v>
      </c>
      <c r="Q61" s="69" t="str">
        <f t="shared" si="4"/>
        <v>LU001277.005</v>
      </c>
      <c r="R61" s="69" t="str">
        <f ca="1">IFERROR(__xludf.DUMMYFUNCTION("VLOOKUP(Q61, IMPORTRANGE(""https://docs.google.com/spreadsheets/d/1yDAaXNsi4Mr5FtRQL4tbmSdIzhx6_m4wkOD7IG-k_eo/edit#gid=0"", ""Maths!M:N""), 2, FALSE)"),"Assess the accuracy of given coordinates for points on the x-axis and y-axis.")</f>
        <v>Assess the accuracy of given coordinates for points on the x-axis and y-axis.</v>
      </c>
      <c r="S61" s="69" t="str">
        <f t="shared" si="5"/>
        <v>LU001277.006</v>
      </c>
      <c r="T61" s="69" t="str">
        <f ca="1">IFERROR(__xludf.DUMMYFUNCTION("VLOOKUP(S61, IMPORTRANGE(""https://docs.google.com/spreadsheets/d/1yDAaXNsi4Mr5FtRQL4tbmSdIzhx6_m4wkOD7IG-k_eo/edit#gid=0"", ""Maths!M:N""), 2, FALSE)"),"Create a set of coordinates for points on both the x-axis and y-axis for a given real-life scenario.")</f>
        <v>Create a set of coordinates for points on both the x-axis and y-axis for a given real-life scenario.</v>
      </c>
      <c r="U61" s="11" t="str">
        <f ca="1">IFERROR(__xludf.DUMMYFUNCTION("ArrayFormula(VLOOKUP(G61, IMPORTRANGE(""https://docs.google.com/spreadsheets/d/1p7R4vtkWt5VOBim4ltsDG9KTzSjrtKXsMtQGXPHyND0/edit#gid=795171502"", ""'Filter 30_05_2024'!A1:M2000""), {2, 3, 4, 5,6,7,8,9,10,11,12,13}, 0))"),"#N/A")</f>
        <v>#N/A</v>
      </c>
      <c r="V61" s="11" t="str">
        <f ca="1">IFERROR(__xludf.DUMMYFUNCTION("""COMPUTED_VALUE"""),"#N/A")</f>
        <v>#N/A</v>
      </c>
      <c r="W61" s="11" t="str">
        <f ca="1">IFERROR(__xludf.DUMMYFUNCTION("""COMPUTED_VALUE"""),"#N/A")</f>
        <v>#N/A</v>
      </c>
      <c r="X61" s="11" t="str">
        <f ca="1">IFERROR(__xludf.DUMMYFUNCTION("""COMPUTED_VALUE"""),"#N/A")</f>
        <v>#N/A</v>
      </c>
      <c r="Y61" s="11" t="str">
        <f ca="1">IFERROR(__xludf.DUMMYFUNCTION("""COMPUTED_VALUE"""),"#N/A")</f>
        <v>#N/A</v>
      </c>
      <c r="Z61" s="12" t="str">
        <f ca="1">IFERROR(__xludf.DUMMYFUNCTION("""COMPUTED_VALUE"""),"#N/A")</f>
        <v>#N/A</v>
      </c>
      <c r="AA61" s="12" t="str">
        <f ca="1">IFERROR(__xludf.DUMMYFUNCTION("""COMPUTED_VALUE"""),"#N/A")</f>
        <v>#N/A</v>
      </c>
      <c r="AB61" s="12" t="str">
        <f ca="1">IFERROR(__xludf.DUMMYFUNCTION("""COMPUTED_VALUE"""),"#N/A")</f>
        <v>#N/A</v>
      </c>
      <c r="AC61" s="11" t="str">
        <f ca="1">IFERROR(__xludf.DUMMYFUNCTION("""COMPUTED_VALUE"""),"#N/A")</f>
        <v>#N/A</v>
      </c>
      <c r="AD61" s="12" t="str">
        <f ca="1">IFERROR(__xludf.DUMMYFUNCTION("""COMPUTED_VALUE"""),"#N/A")</f>
        <v>#N/A</v>
      </c>
      <c r="AE61" s="12" t="str">
        <f ca="1">IFERROR(__xludf.DUMMYFUNCTION("""COMPUTED_VALUE"""),"#N/A")</f>
        <v>#N/A</v>
      </c>
      <c r="AF61" s="12" t="str">
        <f ca="1">IFERROR(__xludf.DUMMYFUNCTION("""COMPUTED_VALUE"""),"#N/A")</f>
        <v>#N/A</v>
      </c>
      <c r="AG61" s="70" t="str">
        <f ca="1">IFERROR(__xludf.DUMMYFUNCTION("ArrayFormula(VLOOKUP(G61, IMPORTRANGE(""https://docs.google.com/spreadsheets/d/1Co934fvtviyaRiMsrIlT05Jaq7iiYq07aLvRr35KA48/edit?gid=173865642#gid=173865642"", ""'G9_Maths_Pri_LU'!G2:V2000""), {3, 4, 5, 6, 7, 8, 9, 10, 11, 12, 13, 14, 15, 16}, 0))"),"LU000782")</f>
        <v>LU000782</v>
      </c>
      <c r="AH61" s="70" t="str">
        <f ca="1">IFERROR(__xludf.DUMMYFUNCTION("""COMPUTED_VALUE"""),"Definition of the cartesian plane and terms related to it (origin, coordinates, coordinate axes, quadrants)")</f>
        <v>Definition of the cartesian plane and terms related to it (origin, coordinates, coordinate axes, quadrants)</v>
      </c>
      <c r="AI61" s="70" t="str">
        <f ca="1">IFERROR(__xludf.DUMMYFUNCTION("""COMPUTED_VALUE"""),"LU000774")</f>
        <v>LU000774</v>
      </c>
      <c r="AJ61" s="70" t="str">
        <f ca="1">IFERROR(__xludf.DUMMYFUNCTION("""COMPUTED_VALUE"""),"Position of a point on a plane")</f>
        <v>Position of a point on a plane</v>
      </c>
      <c r="AK61" s="70"/>
      <c r="AL61" s="70"/>
      <c r="AM61" s="13"/>
      <c r="AN61" s="13"/>
      <c r="AO61" s="13"/>
      <c r="AP61" s="13"/>
      <c r="AQ61" s="13"/>
      <c r="AR61" s="13"/>
      <c r="AS61" s="13"/>
      <c r="AT61" s="13"/>
    </row>
    <row r="62" spans="1:46">
      <c r="A62" s="8" t="s">
        <v>247</v>
      </c>
      <c r="B62" s="66" t="s">
        <v>47</v>
      </c>
      <c r="C62" s="66" t="s">
        <v>979</v>
      </c>
      <c r="D62" s="67" t="s">
        <v>732</v>
      </c>
      <c r="E62" s="73" t="s">
        <v>1073</v>
      </c>
      <c r="F62" s="66" t="s">
        <v>1074</v>
      </c>
      <c r="G62" s="68" t="s">
        <v>1075</v>
      </c>
      <c r="H62" s="71" t="str">
        <f ca="1">IFERROR(__xludf.DUMMYFUNCTION("VLOOKUP(G62, IMPORTRANGE(""https://docs.google.com/spreadsheets/d/14deopnvwcrKtEGCKuYXdUHJbeLDZlkiSSWWT0g7x2pM/edit#gid=999382323"", ""LU List Maths (Filter)!A:B""), 2, FALSE)"),"Introduction to linear equation in two variables [definition, linear equation in form ax+by+c=0 where a, b, c are real numbers and a and b are non-zero] ")</f>
        <v xml:space="preserve">Introduction to linear equation in two variables [definition, linear equation in form ax+by+c=0 where a, b, c are real numbers and a and b are non-zero] </v>
      </c>
      <c r="I62" s="69" t="str">
        <f t="shared" si="0"/>
        <v>LU001222.001</v>
      </c>
      <c r="J62" s="69" t="str">
        <f ca="1">IFERROR(__xludf.DUMMYFUNCTION("VLOOKUP(I62, IMPORTRANGE(""https://docs.google.com/spreadsheets/d/1yDAaXNsi4Mr5FtRQL4tbmSdIzhx6_m4wkOD7IG-k_eo/edit#gid=0"", ""Maths!M:N""), 2, FALSE)"),"Define a linear equation in two variables.")</f>
        <v>Define a linear equation in two variables.</v>
      </c>
      <c r="K62" s="69" t="str">
        <f t="shared" si="1"/>
        <v>LU001222.002</v>
      </c>
      <c r="L62" s="69" t="str">
        <f ca="1">IFERROR(__xludf.DUMMYFUNCTION("VLOOKUP(K62, IMPORTRANGE(""https://docs.google.com/spreadsheets/d/1yDAaXNsi4Mr5FtRQL4tbmSdIzhx6_m4wkOD7IG-k_eo/edit#gid=0"", ""Maths!M:N""), 2, FALSE)"),"Explain the general form of a linear equation ax+by+c=0 where a,b,c are real numbers and a and b are non-zero.")</f>
        <v>Explain the general form of a linear equation ax+by+c=0 where a,b,c are real numbers and a and b are non-zero.</v>
      </c>
      <c r="M62" s="69" t="str">
        <f t="shared" si="2"/>
        <v>LU001222.003</v>
      </c>
      <c r="N62" s="69" t="str">
        <f ca="1">IFERROR(__xludf.DUMMYFUNCTION("VLOOKUP(M62, IMPORTRANGE(""https://docs.google.com/spreadsheets/d/1yDAaXNsi4Mr5FtRQL4tbmSdIzhx6_m4wkOD7IG-k_eo/edit#gid=0"", ""Maths!M:N""), 2, FALSE)"),"Identify linear equations in two variables from a list of equations.")</f>
        <v>Identify linear equations in two variables from a list of equations.</v>
      </c>
      <c r="O62" s="69" t="str">
        <f t="shared" si="3"/>
        <v>LU001222.004</v>
      </c>
      <c r="P62" s="69" t="str">
        <f ca="1">IFERROR(__xludf.DUMMYFUNCTION("VLOOKUP(O62, IMPORTRANGE(""https://docs.google.com/spreadsheets/d/1yDAaXNsi4Mr5FtRQL4tbmSdIzhx6_m4wkOD7IG-k_eo/edit#gid=0"", ""Maths!M:N""), 2, FALSE)"),"Distinguish between linear and non-linear equations in two variables.")</f>
        <v>Distinguish between linear and non-linear equations in two variables.</v>
      </c>
      <c r="Q62" s="69" t="str">
        <f t="shared" si="4"/>
        <v>LU001222.005</v>
      </c>
      <c r="R62" s="69" t="str">
        <f ca="1">IFERROR(__xludf.DUMMYFUNCTION("VLOOKUP(Q62, IMPORTRANGE(""https://docs.google.com/spreadsheets/d/1yDAaXNsi4Mr5FtRQL4tbmSdIzhx6_m4wkOD7IG-k_eo/edit#gid=0"", ""Maths!M:N""), 2, FALSE)"),"Assess whether a given equation fits the standard form of a linear equation in two variables.")</f>
        <v>Assess whether a given equation fits the standard form of a linear equation in two variables.</v>
      </c>
      <c r="S62" s="69" t="str">
        <f t="shared" si="5"/>
        <v>LU001222.006</v>
      </c>
      <c r="T62" s="69" t="str">
        <f ca="1">IFERROR(__xludf.DUMMYFUNCTION("VLOOKUP(S62, IMPORTRANGE(""https://docs.google.com/spreadsheets/d/1yDAaXNsi4Mr5FtRQL4tbmSdIzhx6_m4wkOD7IG-k_eo/edit#gid=0"", ""Maths!M:N""), 2, FALSE)"),"Formulate real-life situations that can be expressed as linear equations in two variables.")</f>
        <v>Formulate real-life situations that can be expressed as linear equations in two variables.</v>
      </c>
      <c r="U62" s="11" t="str">
        <f ca="1">IFERROR(__xludf.DUMMYFUNCTION("ArrayFormula(VLOOKUP(G62, IMPORTRANGE(""https://docs.google.com/spreadsheets/d/1p7R4vtkWt5VOBim4ltsDG9KTzSjrtKXsMtQGXPHyND0/edit#gid=795171502"", ""'Filter 30_05_2024'!A1:M2000""), {2, 3, 4, 5,6,7,8,9,10,11,12,13}, 0))"),"#N/A")</f>
        <v>#N/A</v>
      </c>
      <c r="V62" s="11" t="str">
        <f ca="1">IFERROR(__xludf.DUMMYFUNCTION("""COMPUTED_VALUE"""),"#N/A")</f>
        <v>#N/A</v>
      </c>
      <c r="W62" s="11" t="str">
        <f ca="1">IFERROR(__xludf.DUMMYFUNCTION("""COMPUTED_VALUE"""),"#N/A")</f>
        <v>#N/A</v>
      </c>
      <c r="X62" s="11" t="str">
        <f ca="1">IFERROR(__xludf.DUMMYFUNCTION("""COMPUTED_VALUE"""),"#N/A")</f>
        <v>#N/A</v>
      </c>
      <c r="Y62" s="11" t="str">
        <f ca="1">IFERROR(__xludf.DUMMYFUNCTION("""COMPUTED_VALUE"""),"#N/A")</f>
        <v>#N/A</v>
      </c>
      <c r="Z62" s="12" t="str">
        <f ca="1">IFERROR(__xludf.DUMMYFUNCTION("""COMPUTED_VALUE"""),"#N/A")</f>
        <v>#N/A</v>
      </c>
      <c r="AA62" s="12" t="str">
        <f ca="1">IFERROR(__xludf.DUMMYFUNCTION("""COMPUTED_VALUE"""),"#N/A")</f>
        <v>#N/A</v>
      </c>
      <c r="AB62" s="12" t="str">
        <f ca="1">IFERROR(__xludf.DUMMYFUNCTION("""COMPUTED_VALUE"""),"#N/A")</f>
        <v>#N/A</v>
      </c>
      <c r="AC62" s="11" t="str">
        <f ca="1">IFERROR(__xludf.DUMMYFUNCTION("""COMPUTED_VALUE"""),"#N/A")</f>
        <v>#N/A</v>
      </c>
      <c r="AD62" s="12" t="str">
        <f ca="1">IFERROR(__xludf.DUMMYFUNCTION("""COMPUTED_VALUE"""),"#N/A")</f>
        <v>#N/A</v>
      </c>
      <c r="AE62" s="12" t="str">
        <f ca="1">IFERROR(__xludf.DUMMYFUNCTION("""COMPUTED_VALUE"""),"#N/A")</f>
        <v>#N/A</v>
      </c>
      <c r="AF62" s="12" t="str">
        <f ca="1">IFERROR(__xludf.DUMMYFUNCTION("""COMPUTED_VALUE"""),"#N/A")</f>
        <v>#N/A</v>
      </c>
      <c r="AG62" s="70" t="str">
        <f ca="1">IFERROR(__xludf.DUMMYFUNCTION("ArrayFormula(VLOOKUP(G62, IMPORTRANGE(""https://docs.google.com/spreadsheets/d/1Co934fvtviyaRiMsrIlT05Jaq7iiYq07aLvRr35KA48/edit?gid=173865642#gid=173865642"", ""'G9_Maths_Pri_LU'!G2:V2000""), {3, 4, 5, 6, 7, 8, 9, 10, 11, 12, 13, 14, 15, 16}, 0))"),"LU000582")</f>
        <v>LU000582</v>
      </c>
      <c r="AH62" s="70" t="str">
        <f ca="1">IFERROR(__xludf.DUMMYFUNCTION("""COMPUTED_VALUE"""),"Definition of linear equation in one variable")</f>
        <v>Definition of linear equation in one variable</v>
      </c>
      <c r="AI62" s="70" t="str">
        <f ca="1">IFERROR(__xludf.DUMMYFUNCTION("""COMPUTED_VALUE"""),"LU000586")</f>
        <v>LU000586</v>
      </c>
      <c r="AJ62" s="70" t="str">
        <f ca="1">IFERROR(__xludf.DUMMYFUNCTION("""COMPUTED_VALUE"""),"Definition of algebraic equation")</f>
        <v>Definition of algebraic equation</v>
      </c>
      <c r="AK62" s="70"/>
      <c r="AL62" s="70"/>
      <c r="AM62" s="13"/>
      <c r="AN62" s="13"/>
      <c r="AO62" s="13"/>
      <c r="AP62" s="13"/>
      <c r="AQ62" s="13"/>
      <c r="AR62" s="13"/>
      <c r="AS62" s="13"/>
      <c r="AT62" s="13"/>
    </row>
    <row r="63" spans="1:46">
      <c r="A63" s="8" t="s">
        <v>247</v>
      </c>
      <c r="B63" s="66" t="s">
        <v>47</v>
      </c>
      <c r="C63" s="66" t="s">
        <v>979</v>
      </c>
      <c r="D63" s="67" t="s">
        <v>732</v>
      </c>
      <c r="E63" s="73" t="s">
        <v>1073</v>
      </c>
      <c r="F63" s="66" t="s">
        <v>1076</v>
      </c>
      <c r="G63" s="68" t="s">
        <v>1077</v>
      </c>
      <c r="H63" s="71" t="str">
        <f ca="1">IFERROR(__xludf.DUMMYFUNCTION("VLOOKUP(G63, IMPORTRANGE(""https://docs.google.com/spreadsheets/d/14deopnvwcrKtEGCKuYXdUHJbeLDZlkiSSWWT0g7x2pM/edit#gid=999382323"", ""LU List Maths (Filter)!A:B""), 2, FALSE)"),"Conversion of a statement/real life situation into a linear equation involving two variables.")</f>
        <v>Conversion of a statement/real life situation into a linear equation involving two variables.</v>
      </c>
      <c r="I63" s="69" t="str">
        <f t="shared" si="0"/>
        <v>LU001223.001</v>
      </c>
      <c r="J63" s="69" t="str">
        <f ca="1">IFERROR(__xludf.DUMMYFUNCTION("VLOOKUP(I63, IMPORTRANGE(""https://docs.google.com/spreadsheets/d/1yDAaXNsi4Mr5FtRQL4tbmSdIzhx6_m4wkOD7IG-k_eo/edit#gid=0"", ""Maths!M:N""), 2, FALSE)"),"Identify the coefficients and constants in a given linear equation ax+by+c=0.")</f>
        <v>Identify the coefficients and constants in a given linear equation ax+by+c=0.</v>
      </c>
      <c r="K63" s="69" t="str">
        <f t="shared" si="1"/>
        <v>LU001223.002</v>
      </c>
      <c r="L63" s="69" t="str">
        <f ca="1">IFERROR(__xludf.DUMMYFUNCTION("VLOOKUP(K63, IMPORTRANGE(""https://docs.google.com/spreadsheets/d/1yDAaXNsi4Mr5FtRQL4tbmSdIzhx6_m4wkOD7IG-k_eo/edit#gid=0"", ""Maths!M:N""), 2, FALSE)"),"Explain the process of forming a linear equation from a real-life statement.")</f>
        <v>Explain the process of forming a linear equation from a real-life statement.</v>
      </c>
      <c r="M63" s="69" t="str">
        <f t="shared" si="2"/>
        <v>LU001223.003</v>
      </c>
      <c r="N63" s="69" t="str">
        <f ca="1">IFERROR(__xludf.DUMMYFUNCTION("VLOOKUP(M63, IMPORTRANGE(""https://docs.google.com/spreadsheets/d/1yDAaXNsi4Mr5FtRQL4tbmSdIzhx6_m4wkOD7IG-k_eo/edit#gid=0"", ""Maths!M:N""), 2, FALSE)"),"Convert given real-life situations into linear equations involving two variables.")</f>
        <v>Convert given real-life situations into linear equations involving two variables.</v>
      </c>
      <c r="O63" s="69" t="str">
        <f t="shared" si="3"/>
        <v>LU001223.004</v>
      </c>
      <c r="P63" s="69" t="str">
        <f ca="1">IFERROR(__xludf.DUMMYFUNCTION("VLOOKUP(O63, IMPORTRANGE(""https://docs.google.com/spreadsheets/d/1yDAaXNsi4Mr5FtRQL4tbmSdIzhx6_m4wkOD7IG-k_eo/edit#gid=0"", ""Maths!M:N""), 2, FALSE)"),"Differentiate between statements that can and cannot be converted into linear equations.")</f>
        <v>Differentiate between statements that can and cannot be converted into linear equations.</v>
      </c>
      <c r="Q63" s="69" t="str">
        <f t="shared" si="4"/>
        <v>LU001223.005</v>
      </c>
      <c r="R63" s="69" t="str">
        <f ca="1">IFERROR(__xludf.DUMMYFUNCTION("VLOOKUP(Q63, IMPORTRANGE(""https://docs.google.com/spreadsheets/d/1yDAaXNsi4Mr5FtRQL4tbmSdIzhx6_m4wkOD7IG-k_eo/edit#gid=0"", ""Maths!M:N""), 2, FALSE)"),"Assess the accuracy of linear equations formed from real-life situations.")</f>
        <v>Assess the accuracy of linear equations formed from real-life situations.</v>
      </c>
      <c r="S63" s="69" t="str">
        <f t="shared" si="5"/>
        <v>LU001223.006</v>
      </c>
      <c r="T63" s="69" t="str">
        <f ca="1">IFERROR(__xludf.DUMMYFUNCTION("VLOOKUP(S63, IMPORTRANGE(""https://docs.google.com/spreadsheets/d/1yDAaXNsi4Mr5FtRQL4tbmSdIzhx6_m4wkOD7IG-k_eo/edit#gid=0"", ""Maths!M:N""), 2, FALSE)"),"Formulate new real-life scenarios and express them as linear equations in two variables.")</f>
        <v>Formulate new real-life scenarios and express them as linear equations in two variables.</v>
      </c>
      <c r="U63" s="11" t="str">
        <f ca="1">IFERROR(__xludf.DUMMYFUNCTION("ArrayFormula(VLOOKUP(G63, IMPORTRANGE(""https://docs.google.com/spreadsheets/d/1p7R4vtkWt5VOBim4ltsDG9KTzSjrtKXsMtQGXPHyND0/edit#gid=795171502"", ""'Filter 30_05_2024'!A1:M2000""), {2, 3, 4, 5,6,7,8,9,10,11,12,13}, 0))"),"#N/A")</f>
        <v>#N/A</v>
      </c>
      <c r="V63" s="11" t="str">
        <f ca="1">IFERROR(__xludf.DUMMYFUNCTION("""COMPUTED_VALUE"""),"#N/A")</f>
        <v>#N/A</v>
      </c>
      <c r="W63" s="11" t="str">
        <f ca="1">IFERROR(__xludf.DUMMYFUNCTION("""COMPUTED_VALUE"""),"#N/A")</f>
        <v>#N/A</v>
      </c>
      <c r="X63" s="11" t="str">
        <f ca="1">IFERROR(__xludf.DUMMYFUNCTION("""COMPUTED_VALUE"""),"#N/A")</f>
        <v>#N/A</v>
      </c>
      <c r="Y63" s="11" t="str">
        <f ca="1">IFERROR(__xludf.DUMMYFUNCTION("""COMPUTED_VALUE"""),"#N/A")</f>
        <v>#N/A</v>
      </c>
      <c r="Z63" s="12" t="str">
        <f ca="1">IFERROR(__xludf.DUMMYFUNCTION("""COMPUTED_VALUE"""),"#N/A")</f>
        <v>#N/A</v>
      </c>
      <c r="AA63" s="12" t="str">
        <f ca="1">IFERROR(__xludf.DUMMYFUNCTION("""COMPUTED_VALUE"""),"#N/A")</f>
        <v>#N/A</v>
      </c>
      <c r="AB63" s="12" t="str">
        <f ca="1">IFERROR(__xludf.DUMMYFUNCTION("""COMPUTED_VALUE"""),"#N/A")</f>
        <v>#N/A</v>
      </c>
      <c r="AC63" s="11" t="str">
        <f ca="1">IFERROR(__xludf.DUMMYFUNCTION("""COMPUTED_VALUE"""),"#N/A")</f>
        <v>#N/A</v>
      </c>
      <c r="AD63" s="12" t="str">
        <f ca="1">IFERROR(__xludf.DUMMYFUNCTION("""COMPUTED_VALUE"""),"#N/A")</f>
        <v>#N/A</v>
      </c>
      <c r="AE63" s="12" t="str">
        <f ca="1">IFERROR(__xludf.DUMMYFUNCTION("""COMPUTED_VALUE"""),"#N/A")</f>
        <v>#N/A</v>
      </c>
      <c r="AF63" s="12" t="str">
        <f ca="1">IFERROR(__xludf.DUMMYFUNCTION("""COMPUTED_VALUE"""),"#N/A")</f>
        <v>#N/A</v>
      </c>
      <c r="AG63" s="70" t="str">
        <f ca="1">IFERROR(__xludf.DUMMYFUNCTION("ArrayFormula(VLOOKUP(G63, IMPORTRANGE(""https://docs.google.com/spreadsheets/d/1Co934fvtviyaRiMsrIlT05Jaq7iiYq07aLvRr35KA48/edit?gid=173865642#gid=173865642"", ""'G9_Maths_Pri_LU'!G2:V2000""), {3, 4, 5, 6, 7, 8, 9, 10, 11, 12, 13, 14, 15, 16}, 0))"),"LU001222")</f>
        <v>LU001222</v>
      </c>
      <c r="AH63" s="70" t="str">
        <f ca="1">IFERROR(__xludf.DUMMYFUNCTION("""COMPUTED_VALUE"""),"Introduction to linear equation in two variables [definition, linear equation in form ax+by+c=0 where a, b, c are real numbers and a and b are non-zero] ")</f>
        <v xml:space="preserve">Introduction to linear equation in two variables [definition, linear equation in form ax+by+c=0 where a, b, c are real numbers and a and b are non-zero] </v>
      </c>
      <c r="AI63" s="70" t="str">
        <f ca="1">IFERROR(__xludf.DUMMYFUNCTION("""COMPUTED_VALUE"""),"LU000405")</f>
        <v>LU000405</v>
      </c>
      <c r="AJ63" s="70" t="str">
        <f ca="1">IFERROR(__xludf.DUMMYFUNCTION("""COMPUTED_VALUE"""),"Conversion of statements into simple equations")</f>
        <v>Conversion of statements into simple equations</v>
      </c>
      <c r="AK63" s="70"/>
      <c r="AL63" s="70"/>
      <c r="AM63" s="13"/>
      <c r="AN63" s="13"/>
      <c r="AO63" s="13"/>
      <c r="AP63" s="13"/>
      <c r="AQ63" s="13"/>
      <c r="AR63" s="13"/>
      <c r="AS63" s="13"/>
      <c r="AT63" s="13"/>
    </row>
    <row r="64" spans="1:46">
      <c r="A64" s="8" t="s">
        <v>247</v>
      </c>
      <c r="B64" s="66" t="s">
        <v>47</v>
      </c>
      <c r="C64" s="66" t="s">
        <v>979</v>
      </c>
      <c r="D64" s="67" t="s">
        <v>732</v>
      </c>
      <c r="E64" s="73" t="s">
        <v>1073</v>
      </c>
      <c r="F64" s="66" t="s">
        <v>1078</v>
      </c>
      <c r="G64" s="68" t="s">
        <v>1079</v>
      </c>
      <c r="H64" s="71" t="str">
        <f ca="1">IFERROR(__xludf.DUMMYFUNCTION("VLOOKUP(G64, IMPORTRANGE(""https://docs.google.com/spreadsheets/d/14deopnvwcrKtEGCKuYXdUHJbeLDZlkiSSWWT0g7x2pM/edit#gid=999382323"", ""LU List Maths (Filter)!A:B""), 2, FALSE)"),"Solution set of linear equation in two variables [representation as ordered pair, infinite solutions]")</f>
        <v>Solution set of linear equation in two variables [representation as ordered pair, infinite solutions]</v>
      </c>
      <c r="I64" s="69" t="str">
        <f t="shared" si="0"/>
        <v>LU001224.001</v>
      </c>
      <c r="J64" s="69" t="str">
        <f ca="1">IFERROR(__xludf.DUMMYFUNCTION("VLOOKUP(I64, IMPORTRANGE(""https://docs.google.com/spreadsheets/d/1yDAaXNsi4Mr5FtRQL4tbmSdIzhx6_m4wkOD7IG-k_eo/edit#gid=0"", ""Maths!M:N""), 2, FALSE)"),"Identify the general solution of a linear equation in two variables.")</f>
        <v>Identify the general solution of a linear equation in two variables.</v>
      </c>
      <c r="K64" s="69" t="str">
        <f t="shared" si="1"/>
        <v>LU001224.002</v>
      </c>
      <c r="L64" s="69" t="str">
        <f ca="1">IFERROR(__xludf.DUMMYFUNCTION("VLOOKUP(K64, IMPORTRANGE(""https://docs.google.com/spreadsheets/d/1yDAaXNsi4Mr5FtRQL4tbmSdIzhx6_m4wkOD7IG-k_eo/edit#gid=0"", ""Maths!M:N""), 2, FALSE)"),"Explain why linear equations in two variables have infinite solutions.")</f>
        <v>Explain why linear equations in two variables have infinite solutions.</v>
      </c>
      <c r="M64" s="69" t="str">
        <f t="shared" si="2"/>
        <v>LU001224.003</v>
      </c>
      <c r="N64" s="69" t="str">
        <f ca="1">IFERROR(__xludf.DUMMYFUNCTION("VLOOKUP(M64, IMPORTRANGE(""https://docs.google.com/spreadsheets/d/1yDAaXNsi4Mr5FtRQL4tbmSdIzhx6_m4wkOD7IG-k_eo/edit#gid=0"", ""Maths!M:N""), 2, FALSE)"),"Determine if a given ordered pair is a solution of a linear equation in two variables.")</f>
        <v>Determine if a given ordered pair is a solution of a linear equation in two variables.</v>
      </c>
      <c r="O64" s="69" t="str">
        <f t="shared" si="3"/>
        <v>LU001224.004</v>
      </c>
      <c r="P64" s="69" t="str">
        <f ca="1">IFERROR(__xludf.DUMMYFUNCTION("VLOOKUP(O64, IMPORTRANGE(""https://docs.google.com/spreadsheets/d/1yDAaXNsi4Mr5FtRQL4tbmSdIzhx6_m4wkOD7IG-k_eo/edit#gid=0"", ""Maths!M:N""), 2, FALSE)"),"Compare the graphical representation of linear equations to interpret their solution sets.")</f>
        <v>Compare the graphical representation of linear equations to interpret their solution sets.</v>
      </c>
      <c r="Q64" s="69" t="str">
        <f t="shared" si="4"/>
        <v>LU001224.005</v>
      </c>
      <c r="R64" s="69" t="str">
        <f ca="1">IFERROR(__xludf.DUMMYFUNCTION("VLOOKUP(Q64, IMPORTRANGE(""https://docs.google.com/spreadsheets/d/1yDAaXNsi4Mr5FtRQL4tbmSdIzhx6_m4wkOD7IG-k_eo/edit#gid=0"", ""Maths!M:N""), 2, FALSE)"),"Assess whether a set of ordered pairs is a solution set for a given linear equation.")</f>
        <v>Assess whether a set of ordered pairs is a solution set for a given linear equation.</v>
      </c>
      <c r="S64" s="69" t="str">
        <f t="shared" si="5"/>
        <v>LU001224.006</v>
      </c>
      <c r="T64" s="69" t="str">
        <f ca="1">IFERROR(__xludf.DUMMYFUNCTION("VLOOKUP(S64, IMPORTRANGE(""https://docs.google.com/spreadsheets/d/1yDAaXNsi4Mr5FtRQL4tbmSdIzhx6_m4wkOD7IG-k_eo/edit#gid=0"", ""Maths!M:N""), 2, FALSE)"),"Formulate a linear equation in two variables given a set of solutions.")</f>
        <v>Formulate a linear equation in two variables given a set of solutions.</v>
      </c>
      <c r="U64" s="11" t="str">
        <f ca="1">IFERROR(__xludf.DUMMYFUNCTION("ArrayFormula(VLOOKUP(G64, IMPORTRANGE(""https://docs.google.com/spreadsheets/d/1p7R4vtkWt5VOBim4ltsDG9KTzSjrtKXsMtQGXPHyND0/edit#gid=795171502"", ""'Filter 30_05_2024'!A1:M2000""), {2, 3, 4, 5,6,7,8,9,10,11,12,13}, 0))"),"#N/A")</f>
        <v>#N/A</v>
      </c>
      <c r="V64" s="11" t="str">
        <f ca="1">IFERROR(__xludf.DUMMYFUNCTION("""COMPUTED_VALUE"""),"#N/A")</f>
        <v>#N/A</v>
      </c>
      <c r="W64" s="11" t="str">
        <f ca="1">IFERROR(__xludf.DUMMYFUNCTION("""COMPUTED_VALUE"""),"#N/A")</f>
        <v>#N/A</v>
      </c>
      <c r="X64" s="11" t="str">
        <f ca="1">IFERROR(__xludf.DUMMYFUNCTION("""COMPUTED_VALUE"""),"#N/A")</f>
        <v>#N/A</v>
      </c>
      <c r="Y64" s="11" t="str">
        <f ca="1">IFERROR(__xludf.DUMMYFUNCTION("""COMPUTED_VALUE"""),"#N/A")</f>
        <v>#N/A</v>
      </c>
      <c r="Z64" s="12" t="str">
        <f ca="1">IFERROR(__xludf.DUMMYFUNCTION("""COMPUTED_VALUE"""),"#N/A")</f>
        <v>#N/A</v>
      </c>
      <c r="AA64" s="12" t="str">
        <f ca="1">IFERROR(__xludf.DUMMYFUNCTION("""COMPUTED_VALUE"""),"#N/A")</f>
        <v>#N/A</v>
      </c>
      <c r="AB64" s="12" t="str">
        <f ca="1">IFERROR(__xludf.DUMMYFUNCTION("""COMPUTED_VALUE"""),"#N/A")</f>
        <v>#N/A</v>
      </c>
      <c r="AC64" s="11" t="str">
        <f ca="1">IFERROR(__xludf.DUMMYFUNCTION("""COMPUTED_VALUE"""),"#N/A")</f>
        <v>#N/A</v>
      </c>
      <c r="AD64" s="12" t="str">
        <f ca="1">IFERROR(__xludf.DUMMYFUNCTION("""COMPUTED_VALUE"""),"#N/A")</f>
        <v>#N/A</v>
      </c>
      <c r="AE64" s="12" t="str">
        <f ca="1">IFERROR(__xludf.DUMMYFUNCTION("""COMPUTED_VALUE"""),"#N/A")</f>
        <v>#N/A</v>
      </c>
      <c r="AF64" s="12" t="str">
        <f ca="1">IFERROR(__xludf.DUMMYFUNCTION("""COMPUTED_VALUE"""),"#N/A")</f>
        <v>#N/A</v>
      </c>
      <c r="AG64" s="70" t="str">
        <f ca="1">IFERROR(__xludf.DUMMYFUNCTION("ArrayFormula(VLOOKUP(G64, IMPORTRANGE(""https://docs.google.com/spreadsheets/d/1Co934fvtviyaRiMsrIlT05Jaq7iiYq07aLvRr35KA48/edit?gid=173865642#gid=173865642"", ""'G9_Maths_Pri_LU'!G2:V2000""), {3, 4, 5, 6, 7, 8, 9, 10, 11, 12, 13, 14, 15, 16}, 0))"),"LU001223")</f>
        <v>LU001223</v>
      </c>
      <c r="AH64" s="70" t="str">
        <f ca="1">IFERROR(__xludf.DUMMYFUNCTION("""COMPUTED_VALUE"""),"Conversion of a statement/real life situation into a linear equation involving two variables.")</f>
        <v>Conversion of a statement/real life situation into a linear equation involving two variables.</v>
      </c>
      <c r="AI64" s="70" t="str">
        <f ca="1">IFERROR(__xludf.DUMMYFUNCTION("""COMPUTED_VALUE"""),"LU000336")</f>
        <v>LU000336</v>
      </c>
      <c r="AJ64" s="70" t="str">
        <f ca="1">IFERROR(__xludf.DUMMYFUNCTION("""COMPUTED_VALUE"""),"Define a solution of an equation")</f>
        <v>Define a solution of an equation</v>
      </c>
      <c r="AK64" s="70"/>
      <c r="AL64" s="70"/>
      <c r="AM64" s="13"/>
      <c r="AN64" s="13"/>
      <c r="AO64" s="13"/>
      <c r="AP64" s="13"/>
      <c r="AQ64" s="13"/>
      <c r="AR64" s="13"/>
      <c r="AS64" s="13"/>
      <c r="AT64" s="13"/>
    </row>
    <row r="65" spans="1:46">
      <c r="A65" s="8" t="s">
        <v>247</v>
      </c>
      <c r="B65" s="66" t="s">
        <v>47</v>
      </c>
      <c r="C65" s="66" t="s">
        <v>979</v>
      </c>
      <c r="D65" s="67" t="s">
        <v>732</v>
      </c>
      <c r="E65" s="66" t="s">
        <v>1080</v>
      </c>
      <c r="F65" s="66" t="s">
        <v>1081</v>
      </c>
      <c r="G65" s="68" t="s">
        <v>1082</v>
      </c>
      <c r="H65" s="71" t="str">
        <f ca="1">IFERROR(__xludf.DUMMYFUNCTION("VLOOKUP(G65, IMPORTRANGE(""https://docs.google.com/spreadsheets/d/14deopnvwcrKtEGCKuYXdUHJbeLDZlkiSSWWT0g7x2pM/edit#gid=999382323"", ""LU List Maths (Filter)!A:B""), 2, FALSE)"),"Introduction to Euclid's definitions (a point, a line, a plane/surface)")</f>
        <v>Introduction to Euclid's definitions (a point, a line, a plane/surface)</v>
      </c>
      <c r="I65" s="69" t="str">
        <f t="shared" si="0"/>
        <v>LU001230.001</v>
      </c>
      <c r="J65" s="69" t="str">
        <f ca="1">IFERROR(__xludf.DUMMYFUNCTION("VLOOKUP(I65, IMPORTRANGE(""https://docs.google.com/spreadsheets/d/1yDAaXNsi4Mr5FtRQL4tbmSdIzhx6_m4wkOD7IG-k_eo/edit#gid=0"", ""Maths!M:N""), 2, FALSE)"),"State Euclid's definitions of a point, a line, and a plane/surface.")</f>
        <v>State Euclid's definitions of a point, a line, and a plane/surface.</v>
      </c>
      <c r="K65" s="69" t="str">
        <f t="shared" si="1"/>
        <v>LU001230.002</v>
      </c>
      <c r="L65" s="69" t="str">
        <f ca="1">IFERROR(__xludf.DUMMYFUNCTION("VLOOKUP(K65, IMPORTRANGE(""https://docs.google.com/spreadsheets/d/1yDAaXNsi4Mr5FtRQL4tbmSdIzhx6_m4wkOD7IG-k_eo/edit#gid=0"", ""Maths!M:N""), 2, FALSE)"),"Describe the relationship between points, lines, and planes as defined by Euclid.")</f>
        <v>Describe the relationship between points, lines, and planes as defined by Euclid.</v>
      </c>
      <c r="M65" s="69" t="str">
        <f t="shared" si="2"/>
        <v>LU001230.003</v>
      </c>
      <c r="N65" s="69" t="str">
        <f ca="1">IFERROR(__xludf.DUMMYFUNCTION("VLOOKUP(M65, IMPORTRANGE(""https://docs.google.com/spreadsheets/d/1yDAaXNsi4Mr5FtRQL4tbmSdIzhx6_m4wkOD7IG-k_eo/edit#gid=0"", ""Maths!M:N""), 2, FALSE)"),"Apply Euclid's definitions to identify points, lines, and planes in real-world objects.")</f>
        <v>Apply Euclid's definitions to identify points, lines, and planes in real-world objects.</v>
      </c>
      <c r="O65" s="69" t="str">
        <f t="shared" si="3"/>
        <v>LU001230.004</v>
      </c>
      <c r="P65" s="69" t="str">
        <f ca="1">IFERROR(__xludf.DUMMYFUNCTION("VLOOKUP(O65, IMPORTRANGE(""https://docs.google.com/spreadsheets/d/1yDAaXNsi4Mr5FtRQL4tbmSdIzhx6_m4wkOD7IG-k_eo/edit#gid=0"", ""Maths!M:N""), 2, FALSE)"),"Compare Euclid’s definitions of geometric terms with modern definitions.")</f>
        <v>Compare Euclid’s definitions of geometric terms with modern definitions.</v>
      </c>
      <c r="Q65" s="69" t="str">
        <f t="shared" si="4"/>
        <v>LU001230.005</v>
      </c>
      <c r="R65" s="69" t="str">
        <f ca="1">IFERROR(__xludf.DUMMYFUNCTION("VLOOKUP(Q65, IMPORTRANGE(""https://docs.google.com/spreadsheets/d/1yDAaXNsi4Mr5FtRQL4tbmSdIzhx6_m4wkOD7IG-k_eo/edit#gid=0"", ""Maths!M:N""), 2, FALSE)"),"Assess the limitations of Euclid's definitions and their impact on the development of geometry.")</f>
        <v>Assess the limitations of Euclid's definitions and their impact on the development of geometry.</v>
      </c>
      <c r="S65" s="69" t="str">
        <f t="shared" si="5"/>
        <v>LU001230.006</v>
      </c>
      <c r="T65" s="69" t="str">
        <f ca="1">IFERROR(__xludf.DUMMYFUNCTION("VLOOKUP(S65, IMPORTRANGE(""https://docs.google.com/spreadsheets/d/1yDAaXNsi4Mr5FtRQL4tbmSdIzhx6_m4wkOD7IG-k_eo/edit#gid=0"", ""Maths!M:N""), 2, FALSE)"),"Create a visual representation that demonstrates Euclid's definitions of a point, a line, and a plane in a real-world context.")</f>
        <v>Create a visual representation that demonstrates Euclid's definitions of a point, a line, and a plane in a real-world context.</v>
      </c>
      <c r="U65" s="11" t="str">
        <f ca="1">IFERROR(__xludf.DUMMYFUNCTION("ArrayFormula(VLOOKUP(G65, IMPORTRANGE(""https://docs.google.com/spreadsheets/d/1p7R4vtkWt5VOBim4ltsDG9KTzSjrtKXsMtQGXPHyND0/edit#gid=795171502"", ""'Filter 30_05_2024'!A1:M2000""), {2, 3, 4, 5,6,7,8,9,10,11,12,13}, 0))"),"#N/A")</f>
        <v>#N/A</v>
      </c>
      <c r="V65" s="11" t="str">
        <f ca="1">IFERROR(__xludf.DUMMYFUNCTION("""COMPUTED_VALUE"""),"#N/A")</f>
        <v>#N/A</v>
      </c>
      <c r="W65" s="11" t="str">
        <f ca="1">IFERROR(__xludf.DUMMYFUNCTION("""COMPUTED_VALUE"""),"#N/A")</f>
        <v>#N/A</v>
      </c>
      <c r="X65" s="11" t="str">
        <f ca="1">IFERROR(__xludf.DUMMYFUNCTION("""COMPUTED_VALUE"""),"#N/A")</f>
        <v>#N/A</v>
      </c>
      <c r="Y65" s="11" t="str">
        <f ca="1">IFERROR(__xludf.DUMMYFUNCTION("""COMPUTED_VALUE"""),"#N/A")</f>
        <v>#N/A</v>
      </c>
      <c r="Z65" s="12" t="str">
        <f ca="1">IFERROR(__xludf.DUMMYFUNCTION("""COMPUTED_VALUE"""),"#N/A")</f>
        <v>#N/A</v>
      </c>
      <c r="AA65" s="12" t="str">
        <f ca="1">IFERROR(__xludf.DUMMYFUNCTION("""COMPUTED_VALUE"""),"#N/A")</f>
        <v>#N/A</v>
      </c>
      <c r="AB65" s="12" t="str">
        <f ca="1">IFERROR(__xludf.DUMMYFUNCTION("""COMPUTED_VALUE"""),"#N/A")</f>
        <v>#N/A</v>
      </c>
      <c r="AC65" s="11" t="str">
        <f ca="1">IFERROR(__xludf.DUMMYFUNCTION("""COMPUTED_VALUE"""),"#N/A")</f>
        <v>#N/A</v>
      </c>
      <c r="AD65" s="12" t="str">
        <f ca="1">IFERROR(__xludf.DUMMYFUNCTION("""COMPUTED_VALUE"""),"#N/A")</f>
        <v>#N/A</v>
      </c>
      <c r="AE65" s="12" t="str">
        <f ca="1">IFERROR(__xludf.DUMMYFUNCTION("""COMPUTED_VALUE"""),"#N/A")</f>
        <v>#N/A</v>
      </c>
      <c r="AF65" s="12" t="str">
        <f ca="1">IFERROR(__xludf.DUMMYFUNCTION("""COMPUTED_VALUE"""),"#N/A")</f>
        <v>#N/A</v>
      </c>
      <c r="AG65" s="70" t="str">
        <f ca="1">IFERROR(__xludf.DUMMYFUNCTION("ArrayFormula(VLOOKUP(G65, IMPORTRANGE(""https://docs.google.com/spreadsheets/d/1Co934fvtviyaRiMsrIlT05Jaq7iiYq07aLvRr35KA48/edit?gid=173865642#gid=173865642"", ""'G9_Maths_Pri_LU'!G2:V2000""), {3, 4, 5, 6, 7, 8, 9, 10, 11, 12, 13, 14, 15, 16}, 0))"),"LU000218")</f>
        <v>LU000218</v>
      </c>
      <c r="AH65" s="70" t="str">
        <f ca="1">IFERROR(__xludf.DUMMYFUNCTION("""COMPUTED_VALUE"""),"Definition of point")</f>
        <v>Definition of point</v>
      </c>
      <c r="AI65" s="70" t="str">
        <f ca="1">IFERROR(__xludf.DUMMYFUNCTION("""COMPUTED_VALUE"""),"LU000220")</f>
        <v>LU000220</v>
      </c>
      <c r="AJ65" s="70" t="str">
        <f ca="1">IFERROR(__xludf.DUMMYFUNCTION("""COMPUTED_VALUE"""),"Definition of line")</f>
        <v>Definition of line</v>
      </c>
      <c r="AK65" s="70"/>
      <c r="AL65" s="70"/>
      <c r="AM65" s="13"/>
      <c r="AN65" s="13"/>
      <c r="AO65" s="13"/>
      <c r="AP65" s="13"/>
      <c r="AQ65" s="13"/>
      <c r="AR65" s="13"/>
      <c r="AS65" s="13"/>
      <c r="AT65" s="13"/>
    </row>
    <row r="66" spans="1:46">
      <c r="A66" s="8" t="s">
        <v>247</v>
      </c>
      <c r="B66" s="66" t="s">
        <v>47</v>
      </c>
      <c r="C66" s="66" t="s">
        <v>979</v>
      </c>
      <c r="D66" s="67" t="s">
        <v>732</v>
      </c>
      <c r="E66" s="66" t="s">
        <v>1080</v>
      </c>
      <c r="F66" s="66" t="s">
        <v>1083</v>
      </c>
      <c r="G66" s="68" t="s">
        <v>1084</v>
      </c>
      <c r="H66" s="71" t="str">
        <f ca="1">IFERROR(__xludf.DUMMYFUNCTION("VLOOKUP(G66, IMPORTRANGE(""https://docs.google.com/spreadsheets/d/14deopnvwcrKtEGCKuYXdUHJbeLDZlkiSSWWT0g7x2pM/edit#gid=999382323"", ""LU List Maths (Filter)!A:B""), 2, FALSE)"),"Euclid's seven axioms")</f>
        <v>Euclid's seven axioms</v>
      </c>
      <c r="I66" s="69" t="str">
        <f t="shared" si="0"/>
        <v>LU001231.001</v>
      </c>
      <c r="J66" s="69" t="str">
        <f ca="1">IFERROR(__xludf.DUMMYFUNCTION("VLOOKUP(I66, IMPORTRANGE(""https://docs.google.com/spreadsheets/d/1yDAaXNsi4Mr5FtRQL4tbmSdIzhx6_m4wkOD7IG-k_eo/edit#gid=0"", ""Maths!M:N""), 2, FALSE)"),"State and identify each of Euclid’s axioms and their numerical order in the list.")</f>
        <v>State and identify each of Euclid’s axioms and their numerical order in the list.</v>
      </c>
      <c r="K66" s="69" t="str">
        <f t="shared" si="1"/>
        <v>LU001231.002</v>
      </c>
      <c r="L66" s="69" t="str">
        <f ca="1">IFERROR(__xludf.DUMMYFUNCTION("VLOOKUP(K66, IMPORTRANGE(""https://docs.google.com/spreadsheets/d/1yDAaXNsi4Mr5FtRQL4tbmSdIzhx6_m4wkOD7IG-k_eo/edit#gid=0"", ""Maths!M:N""), 2, FALSE)"),"Describe the significance of Euclid’s axioms in the foundation of geometry.")</f>
        <v>Describe the significance of Euclid’s axioms in the foundation of geometry.</v>
      </c>
      <c r="M66" s="69" t="str">
        <f t="shared" si="2"/>
        <v>LU001231.003</v>
      </c>
      <c r="N66" s="69" t="str">
        <f ca="1">IFERROR(__xludf.DUMMYFUNCTION("VLOOKUP(M66, IMPORTRANGE(""https://docs.google.com/spreadsheets/d/1yDAaXNsi4Mr5FtRQL4tbmSdIzhx6_m4wkOD7IG-k_eo/edit#gid=0"", ""Maths!M:N""), 2, FALSE)"),"Demonstrate the use of Euclid's axioms in proving simple geometric propositions.")</f>
        <v>Demonstrate the use of Euclid's axioms in proving simple geometric propositions.</v>
      </c>
      <c r="O66" s="69" t="str">
        <f t="shared" si="3"/>
        <v>LU001231.004</v>
      </c>
      <c r="P66" s="69" t="str">
        <f ca="1">IFERROR(__xludf.DUMMYFUNCTION("VLOOKUP(O66, IMPORTRANGE(""https://docs.google.com/spreadsheets/d/1yDAaXNsi4Mr5FtRQL4tbmSdIzhx6_m4wkOD7IG-k_eo/edit#gid=0"", ""Maths!M:N""), 2, FALSE)"),"Compare Euclid's axioms to modern geometric principles and identify similarities and differences.")</f>
        <v>Compare Euclid's axioms to modern geometric principles and identify similarities and differences.</v>
      </c>
      <c r="Q66" s="69" t="str">
        <f t="shared" si="4"/>
        <v>LU001231.005</v>
      </c>
      <c r="R66" s="69" t="str">
        <f ca="1">IFERROR(__xludf.DUMMYFUNCTION("VLOOKUP(Q66, IMPORTRANGE(""https://docs.google.com/spreadsheets/d/1yDAaXNsi4Mr5FtRQL4tbmSdIzhx6_m4wkOD7IG-k_eo/edit#gid=0"", ""Maths!M:N""), 2, FALSE)"),"Assess the applicability of Euclid's axioms in solving complex geometric problems.")</f>
        <v>Assess the applicability of Euclid's axioms in solving complex geometric problems.</v>
      </c>
      <c r="S66" s="69" t="str">
        <f t="shared" si="5"/>
        <v>LU001231.006</v>
      </c>
      <c r="T66" s="69" t="str">
        <f ca="1">IFERROR(__xludf.DUMMYFUNCTION("VLOOKUP(S66, IMPORTRANGE(""https://docs.google.com/spreadsheets/d/1yDAaXNsi4Mr5FtRQL4tbmSdIzhx6_m4wkOD7IG-k_eo/edit#gid=0"", ""Maths!M:N""), 2, FALSE)"),"Create diagrams and illustrations to visually represent each of Euclid's axioms and their applications.")</f>
        <v>Create diagrams and illustrations to visually represent each of Euclid's axioms and their applications.</v>
      </c>
      <c r="U66" s="11" t="str">
        <f ca="1">IFERROR(__xludf.DUMMYFUNCTION("ArrayFormula(VLOOKUP(G66, IMPORTRANGE(""https://docs.google.com/spreadsheets/d/1p7R4vtkWt5VOBim4ltsDG9KTzSjrtKXsMtQGXPHyND0/edit#gid=795171502"", ""'Filter 30_05_2024'!A1:M2000""), {2, 3, 4, 5,6,7,8,9,10,11,12,13}, 0))"),"#N/A")</f>
        <v>#N/A</v>
      </c>
      <c r="V66" s="11" t="str">
        <f ca="1">IFERROR(__xludf.DUMMYFUNCTION("""COMPUTED_VALUE"""),"#N/A")</f>
        <v>#N/A</v>
      </c>
      <c r="W66" s="11" t="str">
        <f ca="1">IFERROR(__xludf.DUMMYFUNCTION("""COMPUTED_VALUE"""),"#N/A")</f>
        <v>#N/A</v>
      </c>
      <c r="X66" s="11" t="str">
        <f ca="1">IFERROR(__xludf.DUMMYFUNCTION("""COMPUTED_VALUE"""),"#N/A")</f>
        <v>#N/A</v>
      </c>
      <c r="Y66" s="11" t="str">
        <f ca="1">IFERROR(__xludf.DUMMYFUNCTION("""COMPUTED_VALUE"""),"#N/A")</f>
        <v>#N/A</v>
      </c>
      <c r="Z66" s="12" t="str">
        <f ca="1">IFERROR(__xludf.DUMMYFUNCTION("""COMPUTED_VALUE"""),"#N/A")</f>
        <v>#N/A</v>
      </c>
      <c r="AA66" s="12" t="str">
        <f ca="1">IFERROR(__xludf.DUMMYFUNCTION("""COMPUTED_VALUE"""),"#N/A")</f>
        <v>#N/A</v>
      </c>
      <c r="AB66" s="12" t="str">
        <f ca="1">IFERROR(__xludf.DUMMYFUNCTION("""COMPUTED_VALUE"""),"#N/A")</f>
        <v>#N/A</v>
      </c>
      <c r="AC66" s="11" t="str">
        <f ca="1">IFERROR(__xludf.DUMMYFUNCTION("""COMPUTED_VALUE"""),"#N/A")</f>
        <v>#N/A</v>
      </c>
      <c r="AD66" s="12" t="str">
        <f ca="1">IFERROR(__xludf.DUMMYFUNCTION("""COMPUTED_VALUE"""),"#N/A")</f>
        <v>#N/A</v>
      </c>
      <c r="AE66" s="12" t="str">
        <f ca="1">IFERROR(__xludf.DUMMYFUNCTION("""COMPUTED_VALUE"""),"#N/A")</f>
        <v>#N/A</v>
      </c>
      <c r="AF66" s="12" t="str">
        <f ca="1">IFERROR(__xludf.DUMMYFUNCTION("""COMPUTED_VALUE"""),"#N/A")</f>
        <v>#N/A</v>
      </c>
      <c r="AG66" s="70" t="str">
        <f ca="1">IFERROR(__xludf.DUMMYFUNCTION("ArrayFormula(VLOOKUP(G66, IMPORTRANGE(""https://docs.google.com/spreadsheets/d/1Co934fvtviyaRiMsrIlT05Jaq7iiYq07aLvRr35KA48/edit?gid=173865642#gid=173865642"", ""'G9_Maths_Pri_LU'!G2:V2000""), {3, 4, 5, 6, 7, 8, 9, 10, 11, 12, 13, 14, 15, 16}, 0))"),"")</f>
        <v/>
      </c>
      <c r="AH66" s="70"/>
      <c r="AI66" s="70"/>
      <c r="AJ66" s="70"/>
      <c r="AK66" s="70"/>
      <c r="AL66" s="70"/>
      <c r="AM66" s="13"/>
      <c r="AN66" s="13"/>
      <c r="AO66" s="13"/>
      <c r="AP66" s="13"/>
      <c r="AQ66" s="13"/>
      <c r="AR66" s="13"/>
      <c r="AS66" s="13"/>
      <c r="AT66" s="13"/>
    </row>
    <row r="67" spans="1:46">
      <c r="A67" s="8" t="s">
        <v>247</v>
      </c>
      <c r="B67" s="66" t="s">
        <v>47</v>
      </c>
      <c r="C67" s="66" t="s">
        <v>979</v>
      </c>
      <c r="D67" s="67" t="s">
        <v>732</v>
      </c>
      <c r="E67" s="66" t="s">
        <v>1080</v>
      </c>
      <c r="F67" s="66" t="s">
        <v>1085</v>
      </c>
      <c r="G67" s="68" t="s">
        <v>1086</v>
      </c>
      <c r="H67" s="71" t="str">
        <f ca="1">IFERROR(__xludf.DUMMYFUNCTION("VLOOKUP(G67, IMPORTRANGE(""https://docs.google.com/spreadsheets/d/14deopnvwcrKtEGCKuYXdUHJbeLDZlkiSSWWT0g7x2pM/edit#gid=999382323"", ""LU List Maths (Filter)!A:B""), 2, FALSE)"),"Euclid's five postulates")</f>
        <v>Euclid's five postulates</v>
      </c>
      <c r="I67" s="69" t="str">
        <f t="shared" si="0"/>
        <v>LU001232.001</v>
      </c>
      <c r="J67" s="69" t="str">
        <f ca="1">IFERROR(__xludf.DUMMYFUNCTION("VLOOKUP(I67, IMPORTRANGE(""https://docs.google.com/spreadsheets/d/1yDAaXNsi4Mr5FtRQL4tbmSdIzhx6_m4wkOD7IG-k_eo/edit#gid=0"", ""Maths!M:N""), 2, FALSE)"),"State and identify each of Euclid’s five postulates and their numerical order in the list.")</f>
        <v>State and identify each of Euclid’s five postulates and their numerical order in the list.</v>
      </c>
      <c r="K67" s="69" t="str">
        <f t="shared" si="1"/>
        <v>LU001232.002</v>
      </c>
      <c r="L67" s="69" t="str">
        <f ca="1">IFERROR(__xludf.DUMMYFUNCTION("VLOOKUP(K67, IMPORTRANGE(""https://docs.google.com/spreadsheets/d/1yDAaXNsi4Mr5FtRQL4tbmSdIzhx6_m4wkOD7IG-k_eo/edit#gid=0"", ""Maths!M:N""), 2, FALSE)"),"State and identify each of Euclid’s axioms and their numerical order in the list.")</f>
        <v>State and identify each of Euclid’s axioms and their numerical order in the list.</v>
      </c>
      <c r="M67" s="69" t="str">
        <f t="shared" si="2"/>
        <v>LU001232.003</v>
      </c>
      <c r="N67" s="69" t="str">
        <f ca="1">IFERROR(__xludf.DUMMYFUNCTION("VLOOKUP(M67, IMPORTRANGE(""https://docs.google.com/spreadsheets/d/1yDAaXNsi4Mr5FtRQL4tbmSdIzhx6_m4wkOD7IG-k_eo/edit#gid=0"", ""Maths!M:N""), 2, FALSE)"),"Demonstrate the use of Euclid's postulates in solving basic geometric problems.")</f>
        <v>Demonstrate the use of Euclid's postulates in solving basic geometric problems.</v>
      </c>
      <c r="O67" s="69" t="str">
        <f t="shared" si="3"/>
        <v>LU001232.004</v>
      </c>
      <c r="P67" s="69" t="str">
        <f ca="1">IFERROR(__xludf.DUMMYFUNCTION("VLOOKUP(O67, IMPORTRANGE(""https://docs.google.com/spreadsheets/d/1yDAaXNsi4Mr5FtRQL4tbmSdIzhx6_m4wkOD7IG-k_eo/edit#gid=0"", ""Maths!M:N""), 2, FALSE)"),"Compare Euclid's postulates with modern geometric axioms.")</f>
        <v>Compare Euclid's postulates with modern geometric axioms.</v>
      </c>
      <c r="Q67" s="69" t="str">
        <f t="shared" si="4"/>
        <v>LU001232.005</v>
      </c>
      <c r="R67" s="69" t="str">
        <f ca="1">IFERROR(__xludf.DUMMYFUNCTION("VLOOKUP(Q67, IMPORTRANGE(""https://docs.google.com/spreadsheets/d/1yDAaXNsi4Mr5FtRQL4tbmSdIzhx6_m4wkOD7IG-k_eo/edit#gid=0"", ""Maths!M:N""), 2, FALSE)"),"Evaluate the importance of Euclid's fifth postulate in the context of non-Euclidean geometry.")</f>
        <v>Evaluate the importance of Euclid's fifth postulate in the context of non-Euclidean geometry.</v>
      </c>
      <c r="S67" s="69" t="str">
        <f t="shared" si="5"/>
        <v>LU001232.006</v>
      </c>
      <c r="T67" s="69" t="str">
        <f ca="1">IFERROR(__xludf.DUMMYFUNCTION("VLOOKUP(S67, IMPORTRANGE(""https://docs.google.com/spreadsheets/d/1yDAaXNsi4Mr5FtRQL4tbmSdIzhx6_m4wkOD7IG-k_eo/edit#gid=0"", ""Maths!M:N""), 2, FALSE)"),"Create geometric constructions that exemplify each of Euclid's five postulates.")</f>
        <v>Create geometric constructions that exemplify each of Euclid's five postulates.</v>
      </c>
      <c r="U67" s="11" t="str">
        <f ca="1">IFERROR(__xludf.DUMMYFUNCTION("ArrayFormula(VLOOKUP(G67, IMPORTRANGE(""https://docs.google.com/spreadsheets/d/1p7R4vtkWt5VOBim4ltsDG9KTzSjrtKXsMtQGXPHyND0/edit#gid=795171502"", ""'Filter 30_05_2024'!A1:M2000""), {2, 3, 4, 5,6,7,8,9,10,11,12,13}, 0))"),"#N/A")</f>
        <v>#N/A</v>
      </c>
      <c r="V67" s="11" t="str">
        <f ca="1">IFERROR(__xludf.DUMMYFUNCTION("""COMPUTED_VALUE"""),"#N/A")</f>
        <v>#N/A</v>
      </c>
      <c r="W67" s="11" t="str">
        <f ca="1">IFERROR(__xludf.DUMMYFUNCTION("""COMPUTED_VALUE"""),"#N/A")</f>
        <v>#N/A</v>
      </c>
      <c r="X67" s="11" t="str">
        <f ca="1">IFERROR(__xludf.DUMMYFUNCTION("""COMPUTED_VALUE"""),"#N/A")</f>
        <v>#N/A</v>
      </c>
      <c r="Y67" s="11" t="str">
        <f ca="1">IFERROR(__xludf.DUMMYFUNCTION("""COMPUTED_VALUE"""),"#N/A")</f>
        <v>#N/A</v>
      </c>
      <c r="Z67" s="12" t="str">
        <f ca="1">IFERROR(__xludf.DUMMYFUNCTION("""COMPUTED_VALUE"""),"#N/A")</f>
        <v>#N/A</v>
      </c>
      <c r="AA67" s="12" t="str">
        <f ca="1">IFERROR(__xludf.DUMMYFUNCTION("""COMPUTED_VALUE"""),"#N/A")</f>
        <v>#N/A</v>
      </c>
      <c r="AB67" s="12" t="str">
        <f ca="1">IFERROR(__xludf.DUMMYFUNCTION("""COMPUTED_VALUE"""),"#N/A")</f>
        <v>#N/A</v>
      </c>
      <c r="AC67" s="11" t="str">
        <f ca="1">IFERROR(__xludf.DUMMYFUNCTION("""COMPUTED_VALUE"""),"#N/A")</f>
        <v>#N/A</v>
      </c>
      <c r="AD67" s="12" t="str">
        <f ca="1">IFERROR(__xludf.DUMMYFUNCTION("""COMPUTED_VALUE"""),"#N/A")</f>
        <v>#N/A</v>
      </c>
      <c r="AE67" s="12" t="str">
        <f ca="1">IFERROR(__xludf.DUMMYFUNCTION("""COMPUTED_VALUE"""),"#N/A")</f>
        <v>#N/A</v>
      </c>
      <c r="AF67" s="12" t="str">
        <f ca="1">IFERROR(__xludf.DUMMYFUNCTION("""COMPUTED_VALUE"""),"#N/A")</f>
        <v>#N/A</v>
      </c>
      <c r="AG67" s="70" t="str">
        <f ca="1">IFERROR(__xludf.DUMMYFUNCTION("ArrayFormula(VLOOKUP(G67, IMPORTRANGE(""https://docs.google.com/spreadsheets/d/1Co934fvtviyaRiMsrIlT05Jaq7iiYq07aLvRr35KA48/edit?gid=173865642#gid=173865642"", ""'G9_Maths_Pri_LU'!G2:V2000""), {3, 4, 5, 6, 7, 8, 9, 10, 11, 12, 13, 14, 15, 16}, 0))"),"LU000220")</f>
        <v>LU000220</v>
      </c>
      <c r="AH67" s="70" t="str">
        <f ca="1">IFERROR(__xludf.DUMMYFUNCTION("""COMPUTED_VALUE"""),"Definition of line")</f>
        <v>Definition of line</v>
      </c>
      <c r="AI67" s="70" t="str">
        <f ca="1">IFERROR(__xludf.DUMMYFUNCTION("""COMPUTED_VALUE"""),"LU000219")</f>
        <v>LU000219</v>
      </c>
      <c r="AJ67" s="70" t="str">
        <f ca="1">IFERROR(__xludf.DUMMYFUNCTION("""COMPUTED_VALUE"""),"Definition of line segment")</f>
        <v>Definition of line segment</v>
      </c>
      <c r="AK67" s="70" t="str">
        <f ca="1">IFERROR(__xludf.DUMMYFUNCTION("""COMPUTED_VALUE"""),"LU000807")</f>
        <v>LU000807</v>
      </c>
      <c r="AL67" s="70" t="str">
        <f ca="1">IFERROR(__xludf.DUMMYFUNCTION("""COMPUTED_VALUE"""),"Construction of a circle with a given radius")</f>
        <v>Construction of a circle with a given radius</v>
      </c>
      <c r="AM67" s="13" t="str">
        <f ca="1">IFERROR(__xludf.DUMMYFUNCTION("""COMPUTED_VALUE"""),"LU000017")</f>
        <v>LU000017</v>
      </c>
      <c r="AN67" s="13" t="str">
        <f ca="1">IFERROR(__xludf.DUMMYFUNCTION("""COMPUTED_VALUE"""),"Definition of a right angle")</f>
        <v>Definition of a right angle</v>
      </c>
      <c r="AO67" s="13"/>
      <c r="AP67" s="13"/>
      <c r="AQ67" s="13"/>
      <c r="AR67" s="13"/>
      <c r="AS67" s="13"/>
      <c r="AT67" s="13"/>
    </row>
    <row r="68" spans="1:46">
      <c r="A68" s="8" t="s">
        <v>247</v>
      </c>
      <c r="B68" s="66" t="s">
        <v>47</v>
      </c>
      <c r="C68" s="66" t="s">
        <v>979</v>
      </c>
      <c r="D68" s="67" t="s">
        <v>732</v>
      </c>
      <c r="E68" s="67" t="s">
        <v>58</v>
      </c>
      <c r="F68" s="66" t="s">
        <v>1087</v>
      </c>
      <c r="G68" s="68" t="s">
        <v>1088</v>
      </c>
      <c r="H68" s="71" t="str">
        <f ca="1">IFERROR(__xludf.DUMMYFUNCTION("VLOOKUP(G68, IMPORTRANGE(""https://docs.google.com/spreadsheets/d/14deopnvwcrKtEGCKuYXdUHJbeLDZlkiSSWWT0g7x2pM/edit#gid=999382323"", ""LU List Maths (Filter)!A:B""), 2, FALSE)"),"Definition of angle bisector ")</f>
        <v xml:space="preserve">Definition of angle bisector </v>
      </c>
      <c r="I68" s="69" t="str">
        <f t="shared" si="0"/>
        <v>LU001278.001</v>
      </c>
      <c r="J68" s="69" t="str">
        <f ca="1">IFERROR(__xludf.DUMMYFUNCTION("VLOOKUP(I68, IMPORTRANGE(""https://docs.google.com/spreadsheets/d/1yDAaXNsi4Mr5FtRQL4tbmSdIzhx6_m4wkOD7IG-k_eo/edit#gid=0"", ""Maths!M:N""), 2, FALSE)"),"Define an angle bisector in a geometric context.")</f>
        <v>Define an angle bisector in a geometric context.</v>
      </c>
      <c r="K68" s="69" t="str">
        <f t="shared" si="1"/>
        <v>LU001278.002</v>
      </c>
      <c r="L68" s="69" t="str">
        <f ca="1">IFERROR(__xludf.DUMMYFUNCTION("VLOOKUP(K68, IMPORTRANGE(""https://docs.google.com/spreadsheets/d/1yDAaXNsi4Mr5FtRQL4tbmSdIzhx6_m4wkOD7IG-k_eo/edit#gid=0"", ""Maths!M:N""), 2, FALSE)"),"Explain how an angle bisector divides an angle into two equal parts.")</f>
        <v>Explain how an angle bisector divides an angle into two equal parts.</v>
      </c>
      <c r="M68" s="69" t="str">
        <f t="shared" si="2"/>
        <v>LU001278.003</v>
      </c>
      <c r="N68" s="69" t="str">
        <f ca="1">IFERROR(__xludf.DUMMYFUNCTION("VLOOKUP(M68, IMPORTRANGE(""https://docs.google.com/spreadsheets/d/1yDAaXNsi4Mr5FtRQL4tbmSdIzhx6_m4wkOD7IG-k_eo/edit#gid=0"", ""Maths!M:N""), 2, FALSE)"),"Use the concept of angle bisector to solve geometric problems.")</f>
        <v>Use the concept of angle bisector to solve geometric problems.</v>
      </c>
      <c r="O68" s="69" t="str">
        <f t="shared" si="3"/>
        <v>LU001278.004</v>
      </c>
      <c r="P68" s="69" t="str">
        <f ca="1">IFERROR(__xludf.DUMMYFUNCTION("VLOOKUP(O68, IMPORTRANGE(""https://docs.google.com/spreadsheets/d/1yDAaXNsi4Mr5FtRQL4tbmSdIzhx6_m4wkOD7IG-k_eo/edit#gid=0"", ""Maths!M:N""), 2, FALSE)"),"Differentiate between angle bisectors and other types of lines or rays in geometric figures.")</f>
        <v>Differentiate between angle bisectors and other types of lines or rays in geometric figures.</v>
      </c>
      <c r="Q68" s="69" t="str">
        <f t="shared" si="4"/>
        <v>LU001278.005</v>
      </c>
      <c r="R68" s="69" t="str">
        <f ca="1">IFERROR(__xludf.DUMMYFUNCTION("VLOOKUP(Q68, IMPORTRANGE(""https://docs.google.com/spreadsheets/d/1yDAaXNsi4Mr5FtRQL4tbmSdIzhx6_m4wkOD7IG-k_eo/edit#gid=0"", ""Maths!M:N""), 2, FALSE)"),"Assess the correctness of an angle bisector construction.")</f>
        <v>Assess the correctness of an angle bisector construction.</v>
      </c>
      <c r="S68" s="69" t="str">
        <f t="shared" si="5"/>
        <v>LU001278.006</v>
      </c>
      <c r="T68" s="69" t="str">
        <f ca="1">IFERROR(__xludf.DUMMYFUNCTION("VLOOKUP(S68, IMPORTRANGE(""https://docs.google.com/spreadsheets/d/1yDAaXNsi4Mr5FtRQL4tbmSdIzhx6_m4wkOD7IG-k_eo/edit#gid=0"", ""Maths!M:N""), 2, FALSE)"),"Design a method to verify the bisector of an angle using geometric tools.")</f>
        <v>Design a method to verify the bisector of an angle using geometric tools.</v>
      </c>
      <c r="U68" s="11" t="str">
        <f ca="1">IFERROR(__xludf.DUMMYFUNCTION("ArrayFormula(VLOOKUP(G68, IMPORTRANGE(""https://docs.google.com/spreadsheets/d/1p7R4vtkWt5VOBim4ltsDG9KTzSjrtKXsMtQGXPHyND0/edit#gid=795171502"", ""'Filter 30_05_2024'!A1:M2000""), {2, 3, 4, 5,6,7,8,9,10,11,12,13}, 0))"),"#N/A")</f>
        <v>#N/A</v>
      </c>
      <c r="V68" s="11" t="str">
        <f ca="1">IFERROR(__xludf.DUMMYFUNCTION("""COMPUTED_VALUE"""),"#N/A")</f>
        <v>#N/A</v>
      </c>
      <c r="W68" s="11" t="str">
        <f ca="1">IFERROR(__xludf.DUMMYFUNCTION("""COMPUTED_VALUE"""),"#N/A")</f>
        <v>#N/A</v>
      </c>
      <c r="X68" s="11" t="str">
        <f ca="1">IFERROR(__xludf.DUMMYFUNCTION("""COMPUTED_VALUE"""),"#N/A")</f>
        <v>#N/A</v>
      </c>
      <c r="Y68" s="11" t="str">
        <f ca="1">IFERROR(__xludf.DUMMYFUNCTION("""COMPUTED_VALUE"""),"#N/A")</f>
        <v>#N/A</v>
      </c>
      <c r="Z68" s="12" t="str">
        <f ca="1">IFERROR(__xludf.DUMMYFUNCTION("""COMPUTED_VALUE"""),"#N/A")</f>
        <v>#N/A</v>
      </c>
      <c r="AA68" s="12" t="str">
        <f ca="1">IFERROR(__xludf.DUMMYFUNCTION("""COMPUTED_VALUE"""),"#N/A")</f>
        <v>#N/A</v>
      </c>
      <c r="AB68" s="12" t="str">
        <f ca="1">IFERROR(__xludf.DUMMYFUNCTION("""COMPUTED_VALUE"""),"#N/A")</f>
        <v>#N/A</v>
      </c>
      <c r="AC68" s="11" t="str">
        <f ca="1">IFERROR(__xludf.DUMMYFUNCTION("""COMPUTED_VALUE"""),"#N/A")</f>
        <v>#N/A</v>
      </c>
      <c r="AD68" s="12" t="str">
        <f ca="1">IFERROR(__xludf.DUMMYFUNCTION("""COMPUTED_VALUE"""),"#N/A")</f>
        <v>#N/A</v>
      </c>
      <c r="AE68" s="12" t="str">
        <f ca="1">IFERROR(__xludf.DUMMYFUNCTION("""COMPUTED_VALUE"""),"#N/A")</f>
        <v>#N/A</v>
      </c>
      <c r="AF68" s="12" t="str">
        <f ca="1">IFERROR(__xludf.DUMMYFUNCTION("""COMPUTED_VALUE"""),"#N/A")</f>
        <v>#N/A</v>
      </c>
      <c r="AG68" s="70" t="str">
        <f ca="1">IFERROR(__xludf.DUMMYFUNCTION("ArrayFormula(VLOOKUP(G68, IMPORTRANGE(""https://docs.google.com/spreadsheets/d/1Co934fvtviyaRiMsrIlT05Jaq7iiYq07aLvRr35KA48/edit?gid=173865642#gid=173865642"", ""'G9_Maths_Pri_LU'!G2:V2000""), {3, 4, 5, 6, 7, 8, 9, 10, 11, 12, 13, 14, 15, 16}, 0))"),"LU000014")</f>
        <v>LU000014</v>
      </c>
      <c r="AH68" s="70" t="str">
        <f ca="1">IFERROR(__xludf.DUMMYFUNCTION("""COMPUTED_VALUE"""),"Definition of an angle")</f>
        <v>Definition of an angle</v>
      </c>
      <c r="AI68" s="70" t="str">
        <f ca="1">IFERROR(__xludf.DUMMYFUNCTION("""COMPUTED_VALUE"""),"LU000228")</f>
        <v>LU000228</v>
      </c>
      <c r="AJ68" s="70" t="str">
        <f ca="1">IFERROR(__xludf.DUMMYFUNCTION("""COMPUTED_VALUE"""),"Parts of an angle")</f>
        <v>Parts of an angle</v>
      </c>
      <c r="AK68" s="70" t="str">
        <f ca="1">IFERROR(__xludf.DUMMYFUNCTION("""COMPUTED_VALUE"""),"LU000223")</f>
        <v>LU000223</v>
      </c>
      <c r="AL68" s="70" t="str">
        <f ca="1">IFERROR(__xludf.DUMMYFUNCTION("""COMPUTED_VALUE"""),"Definition of ray")</f>
        <v>Definition of ray</v>
      </c>
      <c r="AM68" s="13"/>
      <c r="AN68" s="13"/>
      <c r="AO68" s="13"/>
      <c r="AP68" s="13"/>
      <c r="AQ68" s="13"/>
      <c r="AR68" s="13"/>
      <c r="AS68" s="13"/>
      <c r="AT68" s="13"/>
    </row>
    <row r="69" spans="1:46">
      <c r="A69" s="8" t="s">
        <v>247</v>
      </c>
      <c r="B69" s="66" t="s">
        <v>47</v>
      </c>
      <c r="C69" s="66" t="s">
        <v>979</v>
      </c>
      <c r="D69" s="67" t="s">
        <v>732</v>
      </c>
      <c r="E69" s="67" t="s">
        <v>58</v>
      </c>
      <c r="F69" s="66" t="s">
        <v>1087</v>
      </c>
      <c r="G69" s="68" t="s">
        <v>1089</v>
      </c>
      <c r="H69" s="71" t="str">
        <f ca="1">IFERROR(__xludf.DUMMYFUNCTION("VLOOKUP(G69, IMPORTRANGE(""https://docs.google.com/spreadsheets/d/14deopnvwcrKtEGCKuYXdUHJbeLDZlkiSSWWT0g7x2pM/edit#gid=999382323"", ""LU List Maths (Filter)!A:B""), 2, FALSE)"),"Linear pair axiom")</f>
        <v>Linear pair axiom</v>
      </c>
      <c r="I69" s="69" t="str">
        <f t="shared" si="0"/>
        <v>LU001279.001</v>
      </c>
      <c r="J69" s="69" t="str">
        <f ca="1">IFERROR(__xludf.DUMMYFUNCTION("VLOOKUP(I69, IMPORTRANGE(""https://docs.google.com/spreadsheets/d/1yDAaXNsi4Mr5FtRQL4tbmSdIzhx6_m4wkOD7IG-k_eo/edit#gid=0"", ""Maths!M:N""), 2, FALSE)"),"Recall that if a ray stands on a line, the sum of the adjacent angles is 180°.")</f>
        <v>Recall that if a ray stands on a line, the sum of the adjacent angles is 180°.</v>
      </c>
      <c r="K69" s="69" t="str">
        <f t="shared" si="1"/>
        <v>LU001279.002</v>
      </c>
      <c r="L69" s="69" t="str">
        <f ca="1">IFERROR(__xludf.DUMMYFUNCTION("VLOOKUP(K69, IMPORTRANGE(""https://docs.google.com/spreadsheets/d/1yDAaXNsi4Mr5FtRQL4tbmSdIzhx6_m4wkOD7IG-k_eo/edit#gid=0"", ""Maths!M:N""), 2, FALSE)"),"Describe the Linear Pair Axiom and its converse.")</f>
        <v>Describe the Linear Pair Axiom and its converse.</v>
      </c>
      <c r="M69" s="69" t="str">
        <f t="shared" si="2"/>
        <v>LU001279.003</v>
      </c>
      <c r="N69" s="69" t="str">
        <f ca="1">IFERROR(__xludf.DUMMYFUNCTION("VLOOKUP(M69, IMPORTRANGE(""https://docs.google.com/spreadsheets/d/1yDAaXNsi4Mr5FtRQL4tbmSdIzhx6_m4wkOD7IG-k_eo/edit#gid=0"", ""Maths!M:N""), 2, FALSE)"),"Use the Linear Pair Axiom to solve geometric problems involving adjacent angles.")</f>
        <v>Use the Linear Pair Axiom to solve geometric problems involving adjacent angles.</v>
      </c>
      <c r="O69" s="69" t="str">
        <f t="shared" si="3"/>
        <v>LU001279.004</v>
      </c>
      <c r="P69" s="69" t="str">
        <f ca="1">IFERROR(__xludf.DUMMYFUNCTION("VLOOKUP(O69, IMPORTRANGE(""https://docs.google.com/spreadsheets/d/1yDAaXNsi4Mr5FtRQL4tbmSdIzhx6_m4wkOD7IG-k_eo/edit#gid=0"", ""Maths!M:N""), 2, FALSE)"),"Compare and contrast the Linear Pair Axiom with other angle properties.")</f>
        <v>Compare and contrast the Linear Pair Axiom with other angle properties.</v>
      </c>
      <c r="Q69" s="69" t="str">
        <f t="shared" si="4"/>
        <v>LU001279.005</v>
      </c>
      <c r="R69" s="69" t="str">
        <f ca="1">IFERROR(__xludf.DUMMYFUNCTION("VLOOKUP(Q69, IMPORTRANGE(""https://docs.google.com/spreadsheets/d/1yDAaXNsi4Mr5FtRQL4tbmSdIzhx6_m4wkOD7IG-k_eo/edit#gid=0"", ""Maths!M:N""), 2, FALSE)"),"Assess the validity of a geometric proof involving the Linear Pair Axiom.")</f>
        <v>Assess the validity of a geometric proof involving the Linear Pair Axiom.</v>
      </c>
      <c r="S69" s="69" t="str">
        <f t="shared" si="5"/>
        <v>LU001279.006</v>
      </c>
      <c r="T69" s="69" t="str">
        <f ca="1">IFERROR(__xludf.DUMMYFUNCTION("VLOOKUP(S69, IMPORTRANGE(""https://docs.google.com/spreadsheets/d/1yDAaXNsi4Mr5FtRQL4tbmSdIzhx6_m4wkOD7IG-k_eo/edit#gid=0"", ""Maths!M:N""), 2, FALSE)"),"Develop a geometric proof to demonstrate the Linear Pair Axiom.")</f>
        <v>Develop a geometric proof to demonstrate the Linear Pair Axiom.</v>
      </c>
      <c r="U69" s="11" t="str">
        <f ca="1">IFERROR(__xludf.DUMMYFUNCTION("ArrayFormula(VLOOKUP(G69, IMPORTRANGE(""https://docs.google.com/spreadsheets/d/1p7R4vtkWt5VOBim4ltsDG9KTzSjrtKXsMtQGXPHyND0/edit#gid=795171502"", ""'Filter 30_05_2024'!A1:M2000""), {2, 3, 4, 5,6,7,8,9,10,11,12,13}, 0))"),"#N/A")</f>
        <v>#N/A</v>
      </c>
      <c r="V69" s="11" t="str">
        <f ca="1">IFERROR(__xludf.DUMMYFUNCTION("""COMPUTED_VALUE"""),"#N/A")</f>
        <v>#N/A</v>
      </c>
      <c r="W69" s="11" t="str">
        <f ca="1">IFERROR(__xludf.DUMMYFUNCTION("""COMPUTED_VALUE"""),"#N/A")</f>
        <v>#N/A</v>
      </c>
      <c r="X69" s="11" t="str">
        <f ca="1">IFERROR(__xludf.DUMMYFUNCTION("""COMPUTED_VALUE"""),"#N/A")</f>
        <v>#N/A</v>
      </c>
      <c r="Y69" s="11" t="str">
        <f ca="1">IFERROR(__xludf.DUMMYFUNCTION("""COMPUTED_VALUE"""),"#N/A")</f>
        <v>#N/A</v>
      </c>
      <c r="Z69" s="12" t="str">
        <f ca="1">IFERROR(__xludf.DUMMYFUNCTION("""COMPUTED_VALUE"""),"#N/A")</f>
        <v>#N/A</v>
      </c>
      <c r="AA69" s="12" t="str">
        <f ca="1">IFERROR(__xludf.DUMMYFUNCTION("""COMPUTED_VALUE"""),"#N/A")</f>
        <v>#N/A</v>
      </c>
      <c r="AB69" s="12" t="str">
        <f ca="1">IFERROR(__xludf.DUMMYFUNCTION("""COMPUTED_VALUE"""),"#N/A")</f>
        <v>#N/A</v>
      </c>
      <c r="AC69" s="11" t="str">
        <f ca="1">IFERROR(__xludf.DUMMYFUNCTION("""COMPUTED_VALUE"""),"#N/A")</f>
        <v>#N/A</v>
      </c>
      <c r="AD69" s="12" t="str">
        <f ca="1">IFERROR(__xludf.DUMMYFUNCTION("""COMPUTED_VALUE"""),"#N/A")</f>
        <v>#N/A</v>
      </c>
      <c r="AE69" s="12" t="str">
        <f ca="1">IFERROR(__xludf.DUMMYFUNCTION("""COMPUTED_VALUE"""),"#N/A")</f>
        <v>#N/A</v>
      </c>
      <c r="AF69" s="12" t="str">
        <f ca="1">IFERROR(__xludf.DUMMYFUNCTION("""COMPUTED_VALUE"""),"#N/A")</f>
        <v>#N/A</v>
      </c>
      <c r="AG69" s="70" t="str">
        <f ca="1">IFERROR(__xludf.DUMMYFUNCTION("ArrayFormula(VLOOKUP(G69, IMPORTRANGE(""https://docs.google.com/spreadsheets/d/1Co934fvtviyaRiMsrIlT05Jaq7iiYq07aLvRr35KA48/edit?gid=173865642#gid=173865642"", ""'G9_Maths_Pri_LU'!G2:V2000""), {3, 4, 5, 6, 7, 8, 9, 10, 11, 12, 13, 14, 15, 16}, 0))"),"LU000416")</f>
        <v>LU000416</v>
      </c>
      <c r="AH69" s="70" t="str">
        <f ca="1">IFERROR(__xludf.DUMMYFUNCTION("""COMPUTED_VALUE"""),"Definition of adjacent angles")</f>
        <v>Definition of adjacent angles</v>
      </c>
      <c r="AI69" s="70" t="str">
        <f ca="1">IFERROR(__xludf.DUMMYFUNCTION("""COMPUTED_VALUE"""),"LU000259")</f>
        <v>LU000259</v>
      </c>
      <c r="AJ69" s="70" t="str">
        <f ca="1">IFERROR(__xludf.DUMMYFUNCTION("""COMPUTED_VALUE"""),"Definition of a straight angle")</f>
        <v>Definition of a straight angle</v>
      </c>
      <c r="AK69" s="70" t="str">
        <f ca="1">IFERROR(__xludf.DUMMYFUNCTION("""COMPUTED_VALUE"""),"LU000415")</f>
        <v>LU000415</v>
      </c>
      <c r="AL69" s="70" t="str">
        <f ca="1">IFERROR(__xludf.DUMMYFUNCTION("""COMPUTED_VALUE"""),"Definition of supplementary angles")</f>
        <v>Definition of supplementary angles</v>
      </c>
      <c r="AM69" s="13"/>
      <c r="AN69" s="13"/>
      <c r="AO69" s="13"/>
      <c r="AP69" s="13"/>
      <c r="AQ69" s="13"/>
      <c r="AR69" s="13"/>
      <c r="AS69" s="13"/>
      <c r="AT69" s="13"/>
    </row>
    <row r="70" spans="1:46">
      <c r="A70" s="8" t="s">
        <v>247</v>
      </c>
      <c r="B70" s="66" t="s">
        <v>47</v>
      </c>
      <c r="C70" s="66" t="s">
        <v>979</v>
      </c>
      <c r="D70" s="67" t="s">
        <v>732</v>
      </c>
      <c r="E70" s="67" t="s">
        <v>58</v>
      </c>
      <c r="F70" s="66" t="s">
        <v>1090</v>
      </c>
      <c r="G70" s="68" t="s">
        <v>1091</v>
      </c>
      <c r="H70" s="71" t="str">
        <f ca="1">IFERROR(__xludf.DUMMYFUNCTION("VLOOKUP(G70, IMPORTRANGE(""https://docs.google.com/spreadsheets/d/14deopnvwcrKtEGCKuYXdUHJbeLDZlkiSSWWT0g7x2pM/edit#gid=999382323"", ""LU List Maths (Filter)!A:B""), 2, FALSE)"),"Theorem: If two lines intersect each other, then the vertically opposite angles are equal.")</f>
        <v>Theorem: If two lines intersect each other, then the vertically opposite angles are equal.</v>
      </c>
      <c r="I70" s="69" t="str">
        <f t="shared" si="0"/>
        <v>LU001280.001</v>
      </c>
      <c r="J70" s="69" t="str">
        <f ca="1">IFERROR(__xludf.DUMMYFUNCTION("VLOOKUP(I70, IMPORTRANGE(""https://docs.google.com/spreadsheets/d/1yDAaXNsi4Mr5FtRQL4tbmSdIzhx6_m4wkOD7IG-k_eo/edit#gid=0"", ""Maths!M:N""), 2, FALSE)"),"Recall and state the theorem, including its assumptions and components.")</f>
        <v>Recall and state the theorem, including its assumptions and components.</v>
      </c>
      <c r="K70" s="69" t="str">
        <f t="shared" si="1"/>
        <v>LU001280.002</v>
      </c>
      <c r="L70" s="69" t="str">
        <f ca="1">IFERROR(__xludf.DUMMYFUNCTION("VLOOKUP(K70, IMPORTRANGE(""https://docs.google.com/spreadsheets/d/1yDAaXNsi4Mr5FtRQL4tbmSdIzhx6_m4wkOD7IG-k_eo/edit#gid=0"", ""Maths!M:N""), 2, FALSE)"),"Describe the steps involved in proving the theorem.")</f>
        <v>Describe the steps involved in proving the theorem.</v>
      </c>
      <c r="M70" s="69" t="str">
        <f t="shared" si="2"/>
        <v>LU001280.003</v>
      </c>
      <c r="N70" s="69" t="str">
        <f ca="1">IFERROR(__xludf.DUMMYFUNCTION("VLOOKUP(M70, IMPORTRANGE(""https://docs.google.com/spreadsheets/d/1yDAaXNsi4Mr5FtRQL4tbmSdIzhx6_m4wkOD7IG-k_eo/edit#gid=0"", ""Maths!M:N""), 2, FALSE)"),"Use the theorem to solve various mathematical problems.")</f>
        <v>Use the theorem to solve various mathematical problems.</v>
      </c>
      <c r="O70" s="69" t="str">
        <f t="shared" si="3"/>
        <v>LU001280.004</v>
      </c>
      <c r="P70" s="69" t="str">
        <f ca="1">IFERROR(__xludf.DUMMYFUNCTION("VLOOKUP(O70, IMPORTRANGE(""https://docs.google.com/spreadsheets/d/1yDAaXNsi4Mr5FtRQL4tbmSdIzhx6_m4wkOD7IG-k_eo/edit#gid=0"", ""Maths!M:N""), 2, FALSE)"),"Break down the proof of the theorem into individual steps with explanations, check the correctness of each step and its explanation.")</f>
        <v>Break down the proof of the theorem into individual steps with explanations, check the correctness of each step and its explanation.</v>
      </c>
      <c r="Q70" s="69" t="str">
        <f t="shared" si="4"/>
        <v>LU001280.005</v>
      </c>
      <c r="R70" s="69" t="str">
        <f ca="1">IFERROR(__xludf.DUMMYFUNCTION("VLOOKUP(Q70, IMPORTRANGE(""https://docs.google.com/spreadsheets/d/1yDAaXNsi4Mr5FtRQL4tbmSdIzhx6_m4wkOD7IG-k_eo/edit#gid=0"", ""Maths!M:N""), 2, FALSE)"),"Critique the theorem by comparing it to related theorems or methods, discussing its strengths, limitations, and overall significance.")</f>
        <v>Critique the theorem by comparing it to related theorems or methods, discussing its strengths, limitations, and overall significance.</v>
      </c>
      <c r="S70" s="69" t="str">
        <f t="shared" si="5"/>
        <v>LU001280.006</v>
      </c>
      <c r="T70" s="69" t="str">
        <f ca="1">IFERROR(__xludf.DUMMYFUNCTION("VLOOKUP(S70, IMPORTRANGE(""https://docs.google.com/spreadsheets/d/1yDAaXNsi4Mr5FtRQL4tbmSdIzhx6_m4wkOD7IG-k_eo/edit#gid=0"", ""Maths!M:N""), 2, FALSE)"),"Develop a method to prove that vertically opposite angles are equal using different axioms.")</f>
        <v>Develop a method to prove that vertically opposite angles are equal using different axioms.</v>
      </c>
      <c r="U70" s="11" t="str">
        <f ca="1">IFERROR(__xludf.DUMMYFUNCTION("ArrayFormula(VLOOKUP(G70, IMPORTRANGE(""https://docs.google.com/spreadsheets/d/1p7R4vtkWt5VOBim4ltsDG9KTzSjrtKXsMtQGXPHyND0/edit#gid=795171502"", ""'Filter 30_05_2024'!A1:M2000""), {2, 3, 4, 5,6,7,8,9,10,11,12,13}, 0))"),"#N/A")</f>
        <v>#N/A</v>
      </c>
      <c r="V70" s="11" t="str">
        <f ca="1">IFERROR(__xludf.DUMMYFUNCTION("""COMPUTED_VALUE"""),"#N/A")</f>
        <v>#N/A</v>
      </c>
      <c r="W70" s="11" t="str">
        <f ca="1">IFERROR(__xludf.DUMMYFUNCTION("""COMPUTED_VALUE"""),"#N/A")</f>
        <v>#N/A</v>
      </c>
      <c r="X70" s="11" t="str">
        <f ca="1">IFERROR(__xludf.DUMMYFUNCTION("""COMPUTED_VALUE"""),"#N/A")</f>
        <v>#N/A</v>
      </c>
      <c r="Y70" s="11" t="str">
        <f ca="1">IFERROR(__xludf.DUMMYFUNCTION("""COMPUTED_VALUE"""),"#N/A")</f>
        <v>#N/A</v>
      </c>
      <c r="Z70" s="12" t="str">
        <f ca="1">IFERROR(__xludf.DUMMYFUNCTION("""COMPUTED_VALUE"""),"#N/A")</f>
        <v>#N/A</v>
      </c>
      <c r="AA70" s="12" t="str">
        <f ca="1">IFERROR(__xludf.DUMMYFUNCTION("""COMPUTED_VALUE"""),"#N/A")</f>
        <v>#N/A</v>
      </c>
      <c r="AB70" s="12" t="str">
        <f ca="1">IFERROR(__xludf.DUMMYFUNCTION("""COMPUTED_VALUE"""),"#N/A")</f>
        <v>#N/A</v>
      </c>
      <c r="AC70" s="11" t="str">
        <f ca="1">IFERROR(__xludf.DUMMYFUNCTION("""COMPUTED_VALUE"""),"#N/A")</f>
        <v>#N/A</v>
      </c>
      <c r="AD70" s="12" t="str">
        <f ca="1">IFERROR(__xludf.DUMMYFUNCTION("""COMPUTED_VALUE"""),"#N/A")</f>
        <v>#N/A</v>
      </c>
      <c r="AE70" s="12" t="str">
        <f ca="1">IFERROR(__xludf.DUMMYFUNCTION("""COMPUTED_VALUE"""),"#N/A")</f>
        <v>#N/A</v>
      </c>
      <c r="AF70" s="12" t="str">
        <f ca="1">IFERROR(__xludf.DUMMYFUNCTION("""COMPUTED_VALUE"""),"#N/A")</f>
        <v>#N/A</v>
      </c>
      <c r="AG70" s="70" t="str">
        <f ca="1">IFERROR(__xludf.DUMMYFUNCTION("ArrayFormula(VLOOKUP(G70, IMPORTRANGE(""https://docs.google.com/spreadsheets/d/1Co934fvtviyaRiMsrIlT05Jaq7iiYq07aLvRr35KA48/edit?gid=173865642#gid=173865642"", ""'G9_Maths_Pri_LU'!G2:V2000""), {3, 4, 5, 6, 7, 8, 9, 10, 11, 12, 13, 14, 15, 16}, 0))"),"LU000418")</f>
        <v>LU000418</v>
      </c>
      <c r="AH70" s="70" t="str">
        <f ca="1">IFERROR(__xludf.DUMMYFUNCTION("""COMPUTED_VALUE"""),"Definition of vertically opposite angles")</f>
        <v>Definition of vertically opposite angles</v>
      </c>
      <c r="AI70" s="70" t="str">
        <f ca="1">IFERROR(__xludf.DUMMYFUNCTION("""COMPUTED_VALUE"""),"LU000221")</f>
        <v>LU000221</v>
      </c>
      <c r="AJ70" s="70" t="str">
        <f ca="1">IFERROR(__xludf.DUMMYFUNCTION("""COMPUTED_VALUE"""),"Definition and identification of intersecting lines")</f>
        <v>Definition and identification of intersecting lines</v>
      </c>
      <c r="AK70" s="70"/>
      <c r="AL70" s="70"/>
      <c r="AM70" s="13"/>
      <c r="AN70" s="13"/>
      <c r="AO70" s="13"/>
      <c r="AP70" s="13"/>
      <c r="AQ70" s="13"/>
      <c r="AR70" s="13"/>
      <c r="AS70" s="13"/>
      <c r="AT70" s="13"/>
    </row>
    <row r="71" spans="1:46">
      <c r="A71" s="8" t="s">
        <v>247</v>
      </c>
      <c r="B71" s="66" t="s">
        <v>47</v>
      </c>
      <c r="C71" s="66" t="s">
        <v>979</v>
      </c>
      <c r="D71" s="67" t="s">
        <v>732</v>
      </c>
      <c r="E71" s="67" t="s">
        <v>58</v>
      </c>
      <c r="F71" s="8" t="s">
        <v>1092</v>
      </c>
      <c r="G71" s="68" t="s">
        <v>1093</v>
      </c>
      <c r="H71" s="71" t="str">
        <f ca="1">IFERROR(__xludf.DUMMYFUNCTION("VLOOKUP(G71, IMPORTRANGE(""https://docs.google.com/spreadsheets/d/14deopnvwcrKtEGCKuYXdUHJbeLDZlkiSSWWT0g7x2pM/edit#gid=999382323"", ""LU List Maths (Filter)!A:B""), 2, FALSE)"),"Theorem: Lines which are parallel to the same line are parallel to each other.")</f>
        <v>Theorem: Lines which are parallel to the same line are parallel to each other.</v>
      </c>
      <c r="I71" s="69" t="str">
        <f t="shared" si="0"/>
        <v>LU001286.001</v>
      </c>
      <c r="J71" s="69" t="str">
        <f ca="1">IFERROR(__xludf.DUMMYFUNCTION("VLOOKUP(I71, IMPORTRANGE(""https://docs.google.com/spreadsheets/d/1yDAaXNsi4Mr5FtRQL4tbmSdIzhx6_m4wkOD7IG-k_eo/edit#gid=0"", ""Maths!M:N""), 2, FALSE)"),"Recall and state the theorem, including its assumptions and components.")</f>
        <v>Recall and state the theorem, including its assumptions and components.</v>
      </c>
      <c r="K71" s="69" t="str">
        <f t="shared" si="1"/>
        <v>LU001286.002</v>
      </c>
      <c r="L71" s="69" t="str">
        <f ca="1">IFERROR(__xludf.DUMMYFUNCTION("VLOOKUP(K71, IMPORTRANGE(""https://docs.google.com/spreadsheets/d/1yDAaXNsi4Mr5FtRQL4tbmSdIzhx6_m4wkOD7IG-k_eo/edit#gid=0"", ""Maths!M:N""), 2, FALSE)"),"Describe the steps involved in proving the theorem.")</f>
        <v>Describe the steps involved in proving the theorem.</v>
      </c>
      <c r="M71" s="69" t="str">
        <f t="shared" si="2"/>
        <v>LU001286.003</v>
      </c>
      <c r="N71" s="69" t="str">
        <f ca="1">IFERROR(__xludf.DUMMYFUNCTION("VLOOKUP(M71, IMPORTRANGE(""https://docs.google.com/spreadsheets/d/1yDAaXNsi4Mr5FtRQL4tbmSdIzhx6_m4wkOD7IG-k_eo/edit#gid=0"", ""Maths!M:N""), 2, FALSE)"),"Use the theorem to solve various mathematical problems.")</f>
        <v>Use the theorem to solve various mathematical problems.</v>
      </c>
      <c r="O71" s="69" t="str">
        <f t="shared" si="3"/>
        <v>LU001286.004</v>
      </c>
      <c r="P71" s="69" t="str">
        <f ca="1">IFERROR(__xludf.DUMMYFUNCTION("VLOOKUP(O71, IMPORTRANGE(""https://docs.google.com/spreadsheets/d/1yDAaXNsi4Mr5FtRQL4tbmSdIzhx6_m4wkOD7IG-k_eo/edit#gid=0"", ""Maths!M:N""), 2, FALSE)"),"Break down the proof of the theorem into individual steps with explanations, check the correctness of each step and its explanation.")</f>
        <v>Break down the proof of the theorem into individual steps with explanations, check the correctness of each step and its explanation.</v>
      </c>
      <c r="Q71" s="69" t="str">
        <f t="shared" si="4"/>
        <v>LU001286.005</v>
      </c>
      <c r="R71" s="69" t="str">
        <f ca="1">IFERROR(__xludf.DUMMYFUNCTION("VLOOKUP(Q71, IMPORTRANGE(""https://docs.google.com/spreadsheets/d/1yDAaXNsi4Mr5FtRQL4tbmSdIzhx6_m4wkOD7IG-k_eo/edit#gid=0"", ""Maths!M:N""), 2, FALSE)"),"Critique the theorem by comparing it to related theorems or methods, discussing its strengths, limitations, and overall significance.")</f>
        <v>Critique the theorem by comparing it to related theorems or methods, discussing its strengths, limitations, and overall significance.</v>
      </c>
      <c r="S71" s="69" t="str">
        <f t="shared" si="5"/>
        <v>LU001286.006</v>
      </c>
      <c r="T71" s="69" t="str">
        <f ca="1">IFERROR(__xludf.DUMMYFUNCTION("VLOOKUP(S71, IMPORTRANGE(""https://docs.google.com/spreadsheets/d/1yDAaXNsi4Mr5FtRQL4tbmSdIzhx6_m4wkOD7IG-k_eo/edit#gid=0"", ""Maths!M:N""), 2, FALSE)"),"Create a geometric proof that demonstrates lines parallel to the same line are parallel using a different method.")</f>
        <v>Create a geometric proof that demonstrates lines parallel to the same line are parallel using a different method.</v>
      </c>
      <c r="U71" s="11" t="str">
        <f ca="1">IFERROR(__xludf.DUMMYFUNCTION("ArrayFormula(VLOOKUP(G71, IMPORTRANGE(""https://docs.google.com/spreadsheets/d/1p7R4vtkWt5VOBim4ltsDG9KTzSjrtKXsMtQGXPHyND0/edit#gid=795171502"", ""'Filter 30_05_2024'!A1:M2000""), {2, 3, 4, 5,6,7,8,9,10,11,12,13}, 0))"),"#N/A")</f>
        <v>#N/A</v>
      </c>
      <c r="V71" s="11" t="str">
        <f ca="1">IFERROR(__xludf.DUMMYFUNCTION("""COMPUTED_VALUE"""),"#N/A")</f>
        <v>#N/A</v>
      </c>
      <c r="W71" s="11" t="str">
        <f ca="1">IFERROR(__xludf.DUMMYFUNCTION("""COMPUTED_VALUE"""),"#N/A")</f>
        <v>#N/A</v>
      </c>
      <c r="X71" s="11" t="str">
        <f ca="1">IFERROR(__xludf.DUMMYFUNCTION("""COMPUTED_VALUE"""),"#N/A")</f>
        <v>#N/A</v>
      </c>
      <c r="Y71" s="11" t="str">
        <f ca="1">IFERROR(__xludf.DUMMYFUNCTION("""COMPUTED_VALUE"""),"#N/A")</f>
        <v>#N/A</v>
      </c>
      <c r="Z71" s="12" t="str">
        <f ca="1">IFERROR(__xludf.DUMMYFUNCTION("""COMPUTED_VALUE"""),"#N/A")</f>
        <v>#N/A</v>
      </c>
      <c r="AA71" s="12" t="str">
        <f ca="1">IFERROR(__xludf.DUMMYFUNCTION("""COMPUTED_VALUE"""),"#N/A")</f>
        <v>#N/A</v>
      </c>
      <c r="AB71" s="12" t="str">
        <f ca="1">IFERROR(__xludf.DUMMYFUNCTION("""COMPUTED_VALUE"""),"#N/A")</f>
        <v>#N/A</v>
      </c>
      <c r="AC71" s="11" t="str">
        <f ca="1">IFERROR(__xludf.DUMMYFUNCTION("""COMPUTED_VALUE"""),"#N/A")</f>
        <v>#N/A</v>
      </c>
      <c r="AD71" s="12" t="str">
        <f ca="1">IFERROR(__xludf.DUMMYFUNCTION("""COMPUTED_VALUE"""),"#N/A")</f>
        <v>#N/A</v>
      </c>
      <c r="AE71" s="12" t="str">
        <f ca="1">IFERROR(__xludf.DUMMYFUNCTION("""COMPUTED_VALUE"""),"#N/A")</f>
        <v>#N/A</v>
      </c>
      <c r="AF71" s="12" t="str">
        <f ca="1">IFERROR(__xludf.DUMMYFUNCTION("""COMPUTED_VALUE"""),"#N/A")</f>
        <v>#N/A</v>
      </c>
      <c r="AG71" s="70" t="str">
        <f ca="1">IFERROR(__xludf.DUMMYFUNCTION("ArrayFormula(VLOOKUP(G71, IMPORTRANGE(""https://docs.google.com/spreadsheets/d/1Co934fvtviyaRiMsrIlT05Jaq7iiYq07aLvRr35KA48/edit?gid=173865642#gid=173865642"", ""'G9_Maths_Pri_LU'!G2:V2000""), {3, 4, 5, 6, 7, 8, 9, 10, 11, 12, 13, 14, 15, 16}, 0))"),"LU000422")</f>
        <v>LU000422</v>
      </c>
      <c r="AH71" s="70" t="str">
        <f ca="1">IFERROR(__xludf.DUMMYFUNCTION("""COMPUTED_VALUE"""),"Check for lines parallel to a given line")</f>
        <v>Check for lines parallel to a given line</v>
      </c>
      <c r="AI71" s="70" t="str">
        <f ca="1">IFERROR(__xludf.DUMMYFUNCTION("""COMPUTED_VALUE"""),"LU000222")</f>
        <v>LU000222</v>
      </c>
      <c r="AJ71" s="70" t="str">
        <f ca="1">IFERROR(__xludf.DUMMYFUNCTION("""COMPUTED_VALUE"""),"Definition and identification of parallel lines")</f>
        <v>Definition and identification of parallel lines</v>
      </c>
      <c r="AK71" s="70" t="str">
        <f ca="1">IFERROR(__xludf.DUMMYFUNCTION("""COMPUTED_VALUE"""),"LU001024")</f>
        <v>LU001024</v>
      </c>
      <c r="AL71" s="70" t="str">
        <f ca="1">IFERROR(__xludf.DUMMYFUNCTION("""COMPUTED_VALUE"""),"Angles made by transversal - Corresponding angles")</f>
        <v>Angles made by transversal - Corresponding angles</v>
      </c>
      <c r="AM71" s="13"/>
      <c r="AN71" s="13"/>
      <c r="AO71" s="13"/>
      <c r="AP71" s="13"/>
      <c r="AQ71" s="13"/>
      <c r="AR71" s="13"/>
      <c r="AS71" s="13"/>
      <c r="AT71" s="13"/>
    </row>
    <row r="72" spans="1:46">
      <c r="A72" s="8" t="s">
        <v>247</v>
      </c>
      <c r="B72" s="66" t="s">
        <v>47</v>
      </c>
      <c r="C72" s="66" t="s">
        <v>979</v>
      </c>
      <c r="D72" s="67" t="s">
        <v>732</v>
      </c>
      <c r="E72" s="67" t="s">
        <v>1094</v>
      </c>
      <c r="F72" s="66" t="s">
        <v>1095</v>
      </c>
      <c r="G72" s="68" t="s">
        <v>1096</v>
      </c>
      <c r="H72" s="74" t="str">
        <f ca="1">IFERROR(__xludf.DUMMYFUNCTION("VLOOKUP(G72, IMPORTRANGE(""https://docs.google.com/spreadsheets/d/14deopnvwcrKtEGCKuYXdUHJbeLDZlkiSSWWT0g7x2pM/edit#gid=999382323"", ""LU List Maths (Filter)!A:B""), 2, FALSE)"),"Definition of congruence")</f>
        <v>Definition of congruence</v>
      </c>
      <c r="I72" s="69" t="str">
        <f t="shared" si="0"/>
        <v>LU000831.001</v>
      </c>
      <c r="J72" s="69" t="str">
        <f ca="1">IFERROR(__xludf.DUMMYFUNCTION("VLOOKUP(I72, IMPORTRANGE(""https://docs.google.com/spreadsheets/d/1yDAaXNsi4Mr5FtRQL4tbmSdIzhx6_m4wkOD7IG-k_eo/edit#gid=0"", ""Maths!M:N""), 2, FALSE)"),"Recall the definition of congruence in geometry.")</f>
        <v>Recall the definition of congruence in geometry.</v>
      </c>
      <c r="K72" s="69" t="str">
        <f t="shared" si="1"/>
        <v>LU000831.002</v>
      </c>
      <c r="L72" s="69" t="str">
        <f ca="1">IFERROR(__xludf.DUMMYFUNCTION("VLOOKUP(K72, IMPORTRANGE(""https://docs.google.com/spreadsheets/d/1yDAaXNsi4Mr5FtRQL4tbmSdIzhx6_m4wkOD7IG-k_eo/edit#gid=0"", ""Maths!M:N""), 2, FALSE)"),"Comprehend the concept of congruence in geometric figures.")</f>
        <v>Comprehend the concept of congruence in geometric figures.</v>
      </c>
      <c r="M72" s="69" t="str">
        <f t="shared" si="2"/>
        <v>LU000831.003</v>
      </c>
      <c r="N72" s="69" t="str">
        <f ca="1">IFERROR(__xludf.DUMMYFUNCTION("VLOOKUP(M72, IMPORTRANGE(""https://docs.google.com/spreadsheets/d/1yDAaXNsi4Mr5FtRQL4tbmSdIzhx6_m4wkOD7IG-k_eo/edit#gid=0"", ""Maths!M:N""), 2, FALSE)"),"Apply the definition of congruence to identify congruent shapes in different geometric contexts.")</f>
        <v>Apply the definition of congruence to identify congruent shapes in different geometric contexts.</v>
      </c>
      <c r="O72" s="69" t="str">
        <f t="shared" si="3"/>
        <v>LU000831.004</v>
      </c>
      <c r="P72" s="69" t="str">
        <f ca="1">IFERROR(__xludf.DUMMYFUNCTION("VLOOKUP(O72, IMPORTRANGE(""https://docs.google.com/spreadsheets/d/1yDAaXNsi4Mr5FtRQL4tbmSdIzhx6_m4wkOD7IG-k_eo/edit#gid=0"", ""Maths!M:N""), 2, FALSE)"),"Analyse various geometric shapes to determine if they exhibit congruence based on the defined criteria.")</f>
        <v>Analyse various geometric shapes to determine if they exhibit congruence based on the defined criteria.</v>
      </c>
      <c r="Q72" s="69" t="str">
        <f t="shared" si="4"/>
        <v>LU000831.005</v>
      </c>
      <c r="R72" s="69" t="str">
        <f ca="1">IFERROR(__xludf.DUMMYFUNCTION("VLOOKUP(Q72, IMPORTRANGE(""https://docs.google.com/spreadsheets/d/1yDAaXNsi4Mr5FtRQL4tbmSdIzhx6_m4wkOD7IG-k_eo/edit#gid=0"", ""Maths!M:N""), 2, FALSE)"),"Evaluate given geometric configurations to ascertain if they meet the conditions for congruence.")</f>
        <v>Evaluate given geometric configurations to ascertain if they meet the conditions for congruence.</v>
      </c>
      <c r="S72" s="69" t="str">
        <f t="shared" si="5"/>
        <v>LU000831.006</v>
      </c>
      <c r="T72" s="69" t="str">
        <f ca="1">IFERROR(__xludf.DUMMYFUNCTION("VLOOKUP(S72, IMPORTRANGE(""https://docs.google.com/spreadsheets/d/1yDAaXNsi4Mr5FtRQL4tbmSdIzhx6_m4wkOD7IG-k_eo/edit#gid=0"", ""Maths!M:N""), 2, FALSE)"),"Create visual representations or diagrams that illustrate congruence in geometric figures.")</f>
        <v>Create visual representations or diagrams that illustrate congruence in geometric figures.</v>
      </c>
      <c r="U72" s="11" t="str">
        <f ca="1">IFERROR(__xludf.DUMMYFUNCTION("ArrayFormula(VLOOKUP(G72, IMPORTRANGE(""https://docs.google.com/spreadsheets/d/1p7R4vtkWt5VOBim4ltsDG9KTzSjrtKXsMtQGXPHyND0/edit#gid=795171502"", ""'Filter 30_05_2024'!A1:M2000""), {2, 3, 4, 5,6,7,8,9,10,11,12,13}, 0))"),"#N/A")</f>
        <v>#N/A</v>
      </c>
      <c r="V72" s="11" t="str">
        <f ca="1">IFERROR(__xludf.DUMMYFUNCTION("""COMPUTED_VALUE"""),"#N/A")</f>
        <v>#N/A</v>
      </c>
      <c r="W72" s="11" t="str">
        <f ca="1">IFERROR(__xludf.DUMMYFUNCTION("""COMPUTED_VALUE"""),"#N/A")</f>
        <v>#N/A</v>
      </c>
      <c r="X72" s="11" t="str">
        <f ca="1">IFERROR(__xludf.DUMMYFUNCTION("""COMPUTED_VALUE"""),"#N/A")</f>
        <v>#N/A</v>
      </c>
      <c r="Y72" s="11" t="str">
        <f ca="1">IFERROR(__xludf.DUMMYFUNCTION("""COMPUTED_VALUE"""),"#N/A")</f>
        <v>#N/A</v>
      </c>
      <c r="Z72" s="12" t="str">
        <f ca="1">IFERROR(__xludf.DUMMYFUNCTION("""COMPUTED_VALUE"""),"#N/A")</f>
        <v>#N/A</v>
      </c>
      <c r="AA72" s="12" t="str">
        <f ca="1">IFERROR(__xludf.DUMMYFUNCTION("""COMPUTED_VALUE"""),"#N/A")</f>
        <v>#N/A</v>
      </c>
      <c r="AB72" s="12" t="str">
        <f ca="1">IFERROR(__xludf.DUMMYFUNCTION("""COMPUTED_VALUE"""),"#N/A")</f>
        <v>#N/A</v>
      </c>
      <c r="AC72" s="11" t="str">
        <f ca="1">IFERROR(__xludf.DUMMYFUNCTION("""COMPUTED_VALUE"""),"#N/A")</f>
        <v>#N/A</v>
      </c>
      <c r="AD72" s="12" t="str">
        <f ca="1">IFERROR(__xludf.DUMMYFUNCTION("""COMPUTED_VALUE"""),"#N/A")</f>
        <v>#N/A</v>
      </c>
      <c r="AE72" s="12" t="str">
        <f ca="1">IFERROR(__xludf.DUMMYFUNCTION("""COMPUTED_VALUE"""),"#N/A")</f>
        <v>#N/A</v>
      </c>
      <c r="AF72" s="12" t="str">
        <f ca="1">IFERROR(__xludf.DUMMYFUNCTION("""COMPUTED_VALUE"""),"#N/A")</f>
        <v>#N/A</v>
      </c>
      <c r="AG72" s="70" t="str">
        <f ca="1">IFERROR(__xludf.DUMMYFUNCTION("ArrayFormula(VLOOKUP(G72, IMPORTRANGE(""https://docs.google.com/spreadsheets/d/1Co934fvtviyaRiMsrIlT05Jaq7iiYq07aLvRr35KA48/edit?gid=173865642#gid=173865642"", ""'G9_Maths_Pri_LU'!G2:V2000""), {3, 4, 5, 6, 7, 8, 9, 10, 11, 12, 13, 14, 15, 16}, 0))"),"LU000007")</f>
        <v>LU000007</v>
      </c>
      <c r="AH72" s="70" t="str">
        <f ca="1">IFERROR(__xludf.DUMMYFUNCTION("""COMPUTED_VALUE"""),"Comparison of sizes of an object")</f>
        <v>Comparison of sizes of an object</v>
      </c>
      <c r="AI72" s="70"/>
      <c r="AJ72" s="70"/>
      <c r="AK72" s="70"/>
      <c r="AL72" s="70"/>
      <c r="AM72" s="13"/>
      <c r="AN72" s="13"/>
      <c r="AO72" s="13"/>
      <c r="AP72" s="13"/>
      <c r="AQ72" s="13"/>
      <c r="AR72" s="13"/>
      <c r="AS72" s="13"/>
      <c r="AT72" s="13"/>
    </row>
    <row r="73" spans="1:46">
      <c r="A73" s="8" t="s">
        <v>247</v>
      </c>
      <c r="B73" s="66" t="s">
        <v>47</v>
      </c>
      <c r="C73" s="66" t="s">
        <v>979</v>
      </c>
      <c r="D73" s="67" t="s">
        <v>732</v>
      </c>
      <c r="E73" s="67" t="s">
        <v>1094</v>
      </c>
      <c r="F73" s="66" t="s">
        <v>1095</v>
      </c>
      <c r="G73" s="68" t="s">
        <v>1097</v>
      </c>
      <c r="H73" s="74" t="str">
        <f ca="1">IFERROR(__xludf.DUMMYFUNCTION("VLOOKUP(G73, IMPORTRANGE(""https://docs.google.com/spreadsheets/d/14deopnvwcrKtEGCKuYXdUHJbeLDZlkiSSWWT0g7x2pM/edit#gid=999382323"", ""LU List Maths (Filter)!A:B""), 2, FALSE)"),"Congruence of plane figures by the method of superposition")</f>
        <v>Congruence of plane figures by the method of superposition</v>
      </c>
      <c r="I73" s="69" t="str">
        <f t="shared" si="0"/>
        <v>LU000832.001</v>
      </c>
      <c r="J73" s="69" t="str">
        <f ca="1">IFERROR(__xludf.DUMMYFUNCTION("VLOOKUP(I73, IMPORTRANGE(""https://docs.google.com/spreadsheets/d/1yDAaXNsi4Mr5FtRQL4tbmSdIzhx6_m4wkOD7IG-k_eo/edit#gid=0"", ""Maths!M:N""), 2, FALSE)"),"Recall the definition and key steps of the method of superposition for congruence.")</f>
        <v>Recall the definition and key steps of the method of superposition for congruence.</v>
      </c>
      <c r="K73" s="69" t="str">
        <f t="shared" si="1"/>
        <v>LU000832.002</v>
      </c>
      <c r="L73" s="69" t="str">
        <f ca="1">IFERROR(__xludf.DUMMYFUNCTION("VLOOKUP(K73, IMPORTRANGE(""https://docs.google.com/spreadsheets/d/1yDAaXNsi4Mr5FtRQL4tbmSdIzhx6_m4wkOD7IG-k_eo/edit#gid=0"", ""Maths!M:N""), 2, FALSE)"),"Explain how the method of superposition is used to determine congruence in plane figures.")</f>
        <v>Explain how the method of superposition is used to determine congruence in plane figures.</v>
      </c>
      <c r="M73" s="69" t="str">
        <f t="shared" si="2"/>
        <v>LU000832.003</v>
      </c>
      <c r="N73" s="69" t="str">
        <f ca="1">IFERROR(__xludf.DUMMYFUNCTION("VLOOKUP(M73, IMPORTRANGE(""https://docs.google.com/spreadsheets/d/1yDAaXNsi4Mr5FtRQL4tbmSdIzhx6_m4wkOD7IG-k_eo/edit#gid=0"", ""Maths!M:N""), 2, FALSE)"),"Apply the method of superposition to verify congruence in different pairs of plane figures.")</f>
        <v>Apply the method of superposition to verify congruence in different pairs of plane figures.</v>
      </c>
      <c r="O73" s="69" t="str">
        <f t="shared" si="3"/>
        <v>LU000832.004</v>
      </c>
      <c r="P73" s="69" t="str">
        <f ca="1">IFERROR(__xludf.DUMMYFUNCTION("VLOOKUP(O73, IMPORTRANGE(""https://docs.google.com/spreadsheets/d/1yDAaXNsi4Mr5FtRQL4tbmSdIzhx6_m4wkOD7IG-k_eo/edit#gid=0"", ""Maths!M:N""), 2, FALSE)"),"Analyse given plane figures to determine if they are congruent using the method of superposition.")</f>
        <v>Analyse given plane figures to determine if they are congruent using the method of superposition.</v>
      </c>
      <c r="Q73" s="69" t="str">
        <f t="shared" si="4"/>
        <v>LU000832.005</v>
      </c>
      <c r="R73" s="69" t="str">
        <f ca="1">IFERROR(__xludf.DUMMYFUNCTION("VLOOKUP(Q73, IMPORTRANGE(""https://docs.google.com/spreadsheets/d/1yDAaXNsi4Mr5FtRQL4tbmSdIzhx6_m4wkOD7IG-k_eo/edit#gid=0"", ""Maths!M:N""), 2, FALSE)"),"Evaluate the effectiveness of the method of superposition in establishing congruence between plane figures.")</f>
        <v>Evaluate the effectiveness of the method of superposition in establishing congruence between plane figures.</v>
      </c>
      <c r="S73" s="69" t="str">
        <f t="shared" si="5"/>
        <v>LU000832.006</v>
      </c>
      <c r="T73" s="69" t="str">
        <f ca="1">IFERROR(__xludf.DUMMYFUNCTION("VLOOKUP(S73, IMPORTRANGE(""https://docs.google.com/spreadsheets/d/1yDAaXNsi4Mr5FtRQL4tbmSdIzhx6_m4wkOD7IG-k_eo/edit#gid=0"", ""Maths!M:N""), 2, FALSE)"),"Create visual representations or diagrams illustrating the process of superposition for congruence.")</f>
        <v>Create visual representations or diagrams illustrating the process of superposition for congruence.</v>
      </c>
      <c r="U73" s="11" t="str">
        <f ca="1">IFERROR(__xludf.DUMMYFUNCTION("ArrayFormula(VLOOKUP(G73, IMPORTRANGE(""https://docs.google.com/spreadsheets/d/1p7R4vtkWt5VOBim4ltsDG9KTzSjrtKXsMtQGXPHyND0/edit#gid=795171502"", ""'Filter 30_05_2024'!A1:M2000""), {2, 3, 4, 5,6,7,8,9,10,11,12,13}, 0))"),"#N/A")</f>
        <v>#N/A</v>
      </c>
      <c r="V73" s="11" t="str">
        <f ca="1">IFERROR(__xludf.DUMMYFUNCTION("""COMPUTED_VALUE"""),"#N/A")</f>
        <v>#N/A</v>
      </c>
      <c r="W73" s="11" t="str">
        <f ca="1">IFERROR(__xludf.DUMMYFUNCTION("""COMPUTED_VALUE"""),"#N/A")</f>
        <v>#N/A</v>
      </c>
      <c r="X73" s="11" t="str">
        <f ca="1">IFERROR(__xludf.DUMMYFUNCTION("""COMPUTED_VALUE"""),"#N/A")</f>
        <v>#N/A</v>
      </c>
      <c r="Y73" s="11" t="str">
        <f ca="1">IFERROR(__xludf.DUMMYFUNCTION("""COMPUTED_VALUE"""),"#N/A")</f>
        <v>#N/A</v>
      </c>
      <c r="Z73" s="12" t="str">
        <f ca="1">IFERROR(__xludf.DUMMYFUNCTION("""COMPUTED_VALUE"""),"#N/A")</f>
        <v>#N/A</v>
      </c>
      <c r="AA73" s="12" t="str">
        <f ca="1">IFERROR(__xludf.DUMMYFUNCTION("""COMPUTED_VALUE"""),"#N/A")</f>
        <v>#N/A</v>
      </c>
      <c r="AB73" s="12" t="str">
        <f ca="1">IFERROR(__xludf.DUMMYFUNCTION("""COMPUTED_VALUE"""),"#N/A")</f>
        <v>#N/A</v>
      </c>
      <c r="AC73" s="11" t="str">
        <f ca="1">IFERROR(__xludf.DUMMYFUNCTION("""COMPUTED_VALUE"""),"#N/A")</f>
        <v>#N/A</v>
      </c>
      <c r="AD73" s="12" t="str">
        <f ca="1">IFERROR(__xludf.DUMMYFUNCTION("""COMPUTED_VALUE"""),"#N/A")</f>
        <v>#N/A</v>
      </c>
      <c r="AE73" s="12" t="str">
        <f ca="1">IFERROR(__xludf.DUMMYFUNCTION("""COMPUTED_VALUE"""),"#N/A")</f>
        <v>#N/A</v>
      </c>
      <c r="AF73" s="12" t="str">
        <f ca="1">IFERROR(__xludf.DUMMYFUNCTION("""COMPUTED_VALUE"""),"#N/A")</f>
        <v>#N/A</v>
      </c>
      <c r="AG73" s="70" t="str">
        <f ca="1">IFERROR(__xludf.DUMMYFUNCTION("ArrayFormula(VLOOKUP(G73, IMPORTRANGE(""https://docs.google.com/spreadsheets/d/1Co934fvtviyaRiMsrIlT05Jaq7iiYq07aLvRr35KA48/edit?gid=173865642#gid=173865642"", ""'G9_Maths_Pri_LU'!G2:V2000""), {3, 4, 5, 6, 7, 8, 9, 10, 11, 12, 13, 14, 15, 16}, 0))"),"LU000831")</f>
        <v>LU000831</v>
      </c>
      <c r="AH73" s="70" t="str">
        <f ca="1">IFERROR(__xludf.DUMMYFUNCTION("""COMPUTED_VALUE"""),"Definition of congruence")</f>
        <v>Definition of congruence</v>
      </c>
      <c r="AI73" s="70"/>
      <c r="AJ73" s="70"/>
      <c r="AK73" s="70"/>
      <c r="AL73" s="70"/>
      <c r="AM73" s="13"/>
      <c r="AN73" s="13"/>
      <c r="AO73" s="13"/>
      <c r="AP73" s="13"/>
      <c r="AQ73" s="13"/>
      <c r="AR73" s="13"/>
      <c r="AS73" s="13"/>
      <c r="AT73" s="13"/>
    </row>
    <row r="74" spans="1:46">
      <c r="A74" s="8" t="s">
        <v>247</v>
      </c>
      <c r="B74" s="66" t="s">
        <v>47</v>
      </c>
      <c r="C74" s="66" t="s">
        <v>979</v>
      </c>
      <c r="D74" s="67" t="s">
        <v>732</v>
      </c>
      <c r="E74" s="67" t="s">
        <v>1094</v>
      </c>
      <c r="F74" s="66" t="s">
        <v>1095</v>
      </c>
      <c r="G74" s="68" t="s">
        <v>1098</v>
      </c>
      <c r="H74" s="71" t="str">
        <f ca="1">IFERROR(__xludf.DUMMYFUNCTION("VLOOKUP(G74, IMPORTRANGE(""https://docs.google.com/spreadsheets/d/14deopnvwcrKtEGCKuYXdUHJbeLDZlkiSSWWT0g7x2pM/edit#gid=999382323"", ""LU List Maths (Filter)!A:B""), 2, FALSE)"),"Corresponding parts (sides, angles, vertices) of congruent triangles")</f>
        <v>Corresponding parts (sides, angles, vertices) of congruent triangles</v>
      </c>
      <c r="I74" s="69" t="str">
        <f t="shared" si="0"/>
        <v>LU001234.001</v>
      </c>
      <c r="J74" s="69" t="str">
        <f ca="1">IFERROR(__xludf.DUMMYFUNCTION("VLOOKUP(I74, IMPORTRANGE(""https://docs.google.com/spreadsheets/d/1yDAaXNsi4Mr5FtRQL4tbmSdIzhx6_m4wkOD7IG-k_eo/edit#gid=0"", ""Maths!M:N""), 2, FALSE)"),"Identify the corresponding parts of congruent triangles (sides, angles, vertices).")</f>
        <v>Identify the corresponding parts of congruent triangles (sides, angles, vertices).</v>
      </c>
      <c r="K74" s="69" t="str">
        <f t="shared" si="1"/>
        <v>LU001234.002</v>
      </c>
      <c r="L74" s="69" t="str">
        <f ca="1">IFERROR(__xludf.DUMMYFUNCTION("VLOOKUP(K74, IMPORTRANGE(""https://docs.google.com/spreadsheets/d/1yDAaXNsi4Mr5FtRQL4tbmSdIzhx6_m4wkOD7IG-k_eo/edit#gid=0"", ""Maths!M:N""), 2, FALSE)"),"Describe how corresponding parts of congruent triangles are equal.")</f>
        <v>Describe how corresponding parts of congruent triangles are equal.</v>
      </c>
      <c r="M74" s="69" t="str">
        <f t="shared" si="2"/>
        <v>LU001234.003</v>
      </c>
      <c r="N74" s="69" t="str">
        <f ca="1">IFERROR(__xludf.DUMMYFUNCTION("VLOOKUP(M74, IMPORTRANGE(""https://docs.google.com/spreadsheets/d/1yDAaXNsi4Mr5FtRQL4tbmSdIzhx6_m4wkOD7IG-k_eo/edit#gid=0"", ""Maths!M:N""), 2, FALSE)"),"Use the concept of corresponding parts to solve geometric problems involving congruent triangles.")</f>
        <v>Use the concept of corresponding parts to solve geometric problems involving congruent triangles.</v>
      </c>
      <c r="O74" s="69" t="str">
        <f t="shared" si="3"/>
        <v>LU001234.004</v>
      </c>
      <c r="P74" s="69" t="str">
        <f ca="1">IFERROR(__xludf.DUMMYFUNCTION("VLOOKUP(O74, IMPORTRANGE(""https://docs.google.com/spreadsheets/d/1yDAaXNsi4Mr5FtRQL4tbmSdIzhx6_m4wkOD7IG-k_eo/edit#gid=0"", ""Maths!M:N""), 2, FALSE)"),"Distinguish between congruent and non-congruent triangles based on their corresponding parts.")</f>
        <v>Distinguish between congruent and non-congruent triangles based on their corresponding parts.</v>
      </c>
      <c r="Q74" s="69" t="str">
        <f t="shared" si="4"/>
        <v>LU001234.005</v>
      </c>
      <c r="R74" s="69" t="str">
        <f ca="1">IFERROR(__xludf.DUMMYFUNCTION("VLOOKUP(Q74, IMPORTRANGE(""https://docs.google.com/spreadsheets/d/1yDAaXNsi4Mr5FtRQL4tbmSdIzhx6_m4wkOD7IG-k_eo/edit#gid=0"", ""Maths!M:N""), 2, FALSE)"),"Assess the validity of statements about congruent triangles using the concept of corresponding parts.")</f>
        <v>Assess the validity of statements about congruent triangles using the concept of corresponding parts.</v>
      </c>
      <c r="S74" s="69" t="str">
        <f t="shared" si="5"/>
        <v>LU001234.006</v>
      </c>
      <c r="T74" s="69" t="str">
        <f ca="1">IFERROR(__xludf.DUMMYFUNCTION("VLOOKUP(S74, IMPORTRANGE(""https://docs.google.com/spreadsheets/d/1yDAaXNsi4Mr5FtRQL4tbmSdIzhx6_m4wkOD7IG-k_eo/edit#gid=0"", ""Maths!M:N""), 2, FALSE)"),"Design a geometric proof that uses the equality of corresponding parts to show triangle congruence.")</f>
        <v>Design a geometric proof that uses the equality of corresponding parts to show triangle congruence.</v>
      </c>
      <c r="U74" s="11" t="str">
        <f ca="1">IFERROR(__xludf.DUMMYFUNCTION("ArrayFormula(VLOOKUP(G74, IMPORTRANGE(""https://docs.google.com/spreadsheets/d/1p7R4vtkWt5VOBim4ltsDG9KTzSjrtKXsMtQGXPHyND0/edit#gid=795171502"", ""'Filter 30_05_2024'!A1:M2000""), {2, 3, 4, 5,6,7,8,9,10,11,12,13}, 0))"),"#N/A")</f>
        <v>#N/A</v>
      </c>
      <c r="V74" s="11" t="str">
        <f ca="1">IFERROR(__xludf.DUMMYFUNCTION("""COMPUTED_VALUE"""),"#N/A")</f>
        <v>#N/A</v>
      </c>
      <c r="W74" s="11" t="str">
        <f ca="1">IFERROR(__xludf.DUMMYFUNCTION("""COMPUTED_VALUE"""),"#N/A")</f>
        <v>#N/A</v>
      </c>
      <c r="X74" s="11" t="str">
        <f ca="1">IFERROR(__xludf.DUMMYFUNCTION("""COMPUTED_VALUE"""),"#N/A")</f>
        <v>#N/A</v>
      </c>
      <c r="Y74" s="11" t="str">
        <f ca="1">IFERROR(__xludf.DUMMYFUNCTION("""COMPUTED_VALUE"""),"#N/A")</f>
        <v>#N/A</v>
      </c>
      <c r="Z74" s="12" t="str">
        <f ca="1">IFERROR(__xludf.DUMMYFUNCTION("""COMPUTED_VALUE"""),"#N/A")</f>
        <v>#N/A</v>
      </c>
      <c r="AA74" s="12" t="str">
        <f ca="1">IFERROR(__xludf.DUMMYFUNCTION("""COMPUTED_VALUE"""),"#N/A")</f>
        <v>#N/A</v>
      </c>
      <c r="AB74" s="12" t="str">
        <f ca="1">IFERROR(__xludf.DUMMYFUNCTION("""COMPUTED_VALUE"""),"#N/A")</f>
        <v>#N/A</v>
      </c>
      <c r="AC74" s="11" t="str">
        <f ca="1">IFERROR(__xludf.DUMMYFUNCTION("""COMPUTED_VALUE"""),"#N/A")</f>
        <v>#N/A</v>
      </c>
      <c r="AD74" s="12" t="str">
        <f ca="1">IFERROR(__xludf.DUMMYFUNCTION("""COMPUTED_VALUE"""),"#N/A")</f>
        <v>#N/A</v>
      </c>
      <c r="AE74" s="12" t="str">
        <f ca="1">IFERROR(__xludf.DUMMYFUNCTION("""COMPUTED_VALUE"""),"#N/A")</f>
        <v>#N/A</v>
      </c>
      <c r="AF74" s="12" t="str">
        <f ca="1">IFERROR(__xludf.DUMMYFUNCTION("""COMPUTED_VALUE"""),"#N/A")</f>
        <v>#N/A</v>
      </c>
      <c r="AG74" s="70" t="str">
        <f ca="1">IFERROR(__xludf.DUMMYFUNCTION("ArrayFormula(VLOOKUP(G74, IMPORTRANGE(""https://docs.google.com/spreadsheets/d/1Co934fvtviyaRiMsrIlT05Jaq7iiYq07aLvRr35KA48/edit?gid=173865642#gid=173865642"", ""'G9_Maths_Pri_LU'!G2:V2000""), {3, 4, 5, 6, 7, 8, 9, 10, 11, 12, 13, 14, 15, 16}, 0))"),"LU000229")</f>
        <v>LU000229</v>
      </c>
      <c r="AH74" s="70" t="str">
        <f ca="1">IFERROR(__xludf.DUMMYFUNCTION("""COMPUTED_VALUE"""),"Lexical explanation of triangle")</f>
        <v>Lexical explanation of triangle</v>
      </c>
      <c r="AI74" s="70" t="str">
        <f ca="1">IFERROR(__xludf.DUMMYFUNCTION("""COMPUTED_VALUE"""),"LU000831")</f>
        <v>LU000831</v>
      </c>
      <c r="AJ74" s="70" t="str">
        <f ca="1">IFERROR(__xludf.DUMMYFUNCTION("""COMPUTED_VALUE"""),"Definition of congruence")</f>
        <v>Definition of congruence</v>
      </c>
      <c r="AK74" s="70" t="str">
        <f ca="1">IFERROR(__xludf.DUMMYFUNCTION("""COMPUTED_VALUE"""),"LU000227")</f>
        <v>LU000227</v>
      </c>
      <c r="AL74" s="70" t="str">
        <f ca="1">IFERROR(__xludf.DUMMYFUNCTION("""COMPUTED_VALUE"""),"Definition and elements of a polygon")</f>
        <v>Definition and elements of a polygon</v>
      </c>
      <c r="AM74" s="13"/>
      <c r="AN74" s="13"/>
      <c r="AO74" s="13"/>
      <c r="AP74" s="13"/>
      <c r="AQ74" s="13"/>
      <c r="AR74" s="13"/>
      <c r="AS74" s="13"/>
      <c r="AT74" s="13"/>
    </row>
    <row r="75" spans="1:46">
      <c r="A75" s="8" t="s">
        <v>247</v>
      </c>
      <c r="B75" s="66" t="s">
        <v>47</v>
      </c>
      <c r="C75" s="66" t="s">
        <v>979</v>
      </c>
      <c r="D75" s="67" t="s">
        <v>732</v>
      </c>
      <c r="E75" s="67" t="s">
        <v>1094</v>
      </c>
      <c r="F75" s="66" t="s">
        <v>1099</v>
      </c>
      <c r="G75" s="68" t="s">
        <v>1100</v>
      </c>
      <c r="H75" s="71" t="str">
        <f ca="1">IFERROR(__xludf.DUMMYFUNCTION("VLOOKUP(G75, IMPORTRANGE(""https://docs.google.com/spreadsheets/d/14deopnvwcrKtEGCKuYXdUHJbeLDZlkiSSWWT0g7x2pM/edit#gid=999382323"", ""LU List Maths (Filter)!A:B""), 2, FALSE)"),"Axiom for SAS congruence rule")</f>
        <v>Axiom for SAS congruence rule</v>
      </c>
      <c r="I75" s="69" t="str">
        <f t="shared" si="0"/>
        <v>LU001235.001</v>
      </c>
      <c r="J75" s="69" t="str">
        <f ca="1">IFERROR(__xludf.DUMMYFUNCTION("VLOOKUP(I75, IMPORTRANGE(""https://docs.google.com/spreadsheets/d/1yDAaXNsi4Mr5FtRQL4tbmSdIzhx6_m4wkOD7IG-k_eo/edit#gid=0"", ""Maths!M:N""), 2, FALSE)"),"State the SAS (Side-Angle-Side) congruence rule")</f>
        <v>State the SAS (Side-Angle-Side) congruence rule</v>
      </c>
      <c r="K75" s="69" t="str">
        <f t="shared" si="1"/>
        <v>LU001235.002</v>
      </c>
      <c r="L75" s="69" t="str">
        <f ca="1">IFERROR(__xludf.DUMMYFUNCTION("VLOOKUP(K75, IMPORTRANGE(""https://docs.google.com/spreadsheets/d/1yDAaXNsi4Mr5FtRQL4tbmSdIzhx6_m4wkOD7IG-k_eo/edit#gid=0"", ""Maths!M:N""), 2, FALSE)"),"Describe a scenario where two triangles are congruent by SAS.")</f>
        <v>Describe a scenario where two triangles are congruent by SAS.</v>
      </c>
      <c r="M75" s="69" t="str">
        <f t="shared" si="2"/>
        <v>LU001235.003</v>
      </c>
      <c r="N75" s="69" t="str">
        <f ca="1">IFERROR(__xludf.DUMMYFUNCTION("VLOOKUP(M75, IMPORTRANGE(""https://docs.google.com/spreadsheets/d/1yDAaXNsi4Mr5FtRQL4tbmSdIzhx6_m4wkOD7IG-k_eo/edit#gid=0"", ""Maths!M:N""), 2, FALSE)"),"Use the SAS rule to determine if two triangles are congruent given the measurements of sides and included angle.")</f>
        <v>Use the SAS rule to determine if two triangles are congruent given the measurements of sides and included angle.</v>
      </c>
      <c r="O75" s="69" t="str">
        <f t="shared" si="3"/>
        <v>LU001235.004</v>
      </c>
      <c r="P75" s="69" t="str">
        <f ca="1">IFERROR(__xludf.DUMMYFUNCTION("VLOOKUP(O75, IMPORTRANGE(""https://docs.google.com/spreadsheets/d/1yDAaXNsi4Mr5FtRQL4tbmSdIzhx6_m4wkOD7IG-k_eo/edit#gid=0"", ""Maths!M:N""), 2, FALSE)"),"Analyse the given triangles to determine if they meet the criteria for SAS congruence.")</f>
        <v>Analyse the given triangles to determine if they meet the criteria for SAS congruence.</v>
      </c>
      <c r="Q75" s="69" t="str">
        <f t="shared" si="4"/>
        <v>LU001235.005</v>
      </c>
      <c r="R75" s="69" t="str">
        <f ca="1">IFERROR(__xludf.DUMMYFUNCTION("VLOOKUP(Q75, IMPORTRANGE(""https://docs.google.com/spreadsheets/d/1yDAaXNsi4Mr5FtRQL4tbmSdIzhx6_m4wkOD7IG-k_eo/edit#gid=0"", ""Maths!M:N""), 2, FALSE)"),"Evaluate the correctness of a proof that uses the SAS congruence rule to show triangle congruence.")</f>
        <v>Evaluate the correctness of a proof that uses the SAS congruence rule to show triangle congruence.</v>
      </c>
      <c r="S75" s="69" t="str">
        <f t="shared" si="5"/>
        <v>LU001235.006</v>
      </c>
      <c r="T75" s="69" t="str">
        <f ca="1">IFERROR(__xludf.DUMMYFUNCTION("VLOOKUP(S75, IMPORTRANGE(""https://docs.google.com/spreadsheets/d/1yDAaXNsi4Mr5FtRQL4tbmSdIzhx6_m4wkOD7IG-k_eo/edit#gid=0"", ""Maths!M:N""), 2, FALSE)"),"Create a geometric problem that requires the use of the SAS congruence rule for its solution.")</f>
        <v>Create a geometric problem that requires the use of the SAS congruence rule for its solution.</v>
      </c>
      <c r="U75" s="11" t="str">
        <f ca="1">IFERROR(__xludf.DUMMYFUNCTION("ArrayFormula(VLOOKUP(G75, IMPORTRANGE(""https://docs.google.com/spreadsheets/d/1p7R4vtkWt5VOBim4ltsDG9KTzSjrtKXsMtQGXPHyND0/edit#gid=795171502"", ""'Filter 30_05_2024'!A1:M2000""), {2, 3, 4, 5,6,7,8,9,10,11,12,13}, 0))"),"#N/A")</f>
        <v>#N/A</v>
      </c>
      <c r="V75" s="11" t="str">
        <f ca="1">IFERROR(__xludf.DUMMYFUNCTION("""COMPUTED_VALUE"""),"#N/A")</f>
        <v>#N/A</v>
      </c>
      <c r="W75" s="11" t="str">
        <f ca="1">IFERROR(__xludf.DUMMYFUNCTION("""COMPUTED_VALUE"""),"#N/A")</f>
        <v>#N/A</v>
      </c>
      <c r="X75" s="11" t="str">
        <f ca="1">IFERROR(__xludf.DUMMYFUNCTION("""COMPUTED_VALUE"""),"#N/A")</f>
        <v>#N/A</v>
      </c>
      <c r="Y75" s="11" t="str">
        <f ca="1">IFERROR(__xludf.DUMMYFUNCTION("""COMPUTED_VALUE"""),"#N/A")</f>
        <v>#N/A</v>
      </c>
      <c r="Z75" s="12" t="str">
        <f ca="1">IFERROR(__xludf.DUMMYFUNCTION("""COMPUTED_VALUE"""),"#N/A")</f>
        <v>#N/A</v>
      </c>
      <c r="AA75" s="12" t="str">
        <f ca="1">IFERROR(__xludf.DUMMYFUNCTION("""COMPUTED_VALUE"""),"#N/A")</f>
        <v>#N/A</v>
      </c>
      <c r="AB75" s="12" t="str">
        <f ca="1">IFERROR(__xludf.DUMMYFUNCTION("""COMPUTED_VALUE"""),"#N/A")</f>
        <v>#N/A</v>
      </c>
      <c r="AC75" s="11" t="str">
        <f ca="1">IFERROR(__xludf.DUMMYFUNCTION("""COMPUTED_VALUE"""),"#N/A")</f>
        <v>#N/A</v>
      </c>
      <c r="AD75" s="12" t="str">
        <f ca="1">IFERROR(__xludf.DUMMYFUNCTION("""COMPUTED_VALUE"""),"#N/A")</f>
        <v>#N/A</v>
      </c>
      <c r="AE75" s="12" t="str">
        <f ca="1">IFERROR(__xludf.DUMMYFUNCTION("""COMPUTED_VALUE"""),"#N/A")</f>
        <v>#N/A</v>
      </c>
      <c r="AF75" s="12" t="str">
        <f ca="1">IFERROR(__xludf.DUMMYFUNCTION("""COMPUTED_VALUE"""),"#N/A")</f>
        <v>#N/A</v>
      </c>
      <c r="AG75" s="70" t="str">
        <f ca="1">IFERROR(__xludf.DUMMYFUNCTION("ArrayFormula(VLOOKUP(G75, IMPORTRANGE(""https://docs.google.com/spreadsheets/d/1Co934fvtviyaRiMsrIlT05Jaq7iiYq07aLvRr35KA48/edit?gid=173865642#gid=173865642"", ""'G9_Maths_Pri_LU'!G2:V2000""), {3, 4, 5, 6, 7, 8, 9, 10, 11, 12, 13, 14, 15, 16}, 0))"),"LU001234")</f>
        <v>LU001234</v>
      </c>
      <c r="AH75" s="70" t="str">
        <f ca="1">IFERROR(__xludf.DUMMYFUNCTION("""COMPUTED_VALUE"""),"Corresponding parts (sides, angles, vertices) of congruent triangles")</f>
        <v>Corresponding parts (sides, angles, vertices) of congruent triangles</v>
      </c>
      <c r="AI75" s="70" t="str">
        <f ca="1">IFERROR(__xludf.DUMMYFUNCTION("""COMPUTED_VALUE"""),"LU000831")</f>
        <v>LU000831</v>
      </c>
      <c r="AJ75" s="70" t="str">
        <f ca="1">IFERROR(__xludf.DUMMYFUNCTION("""COMPUTED_VALUE"""),"Definition of congruence")</f>
        <v>Definition of congruence</v>
      </c>
      <c r="AK75" s="70"/>
      <c r="AL75" s="70"/>
      <c r="AM75" s="13"/>
      <c r="AN75" s="13"/>
      <c r="AO75" s="13"/>
      <c r="AP75" s="13"/>
      <c r="AQ75" s="13"/>
      <c r="AR75" s="13"/>
      <c r="AS75" s="13"/>
      <c r="AT75" s="13"/>
    </row>
    <row r="76" spans="1:46">
      <c r="A76" s="8" t="s">
        <v>247</v>
      </c>
      <c r="B76" s="66" t="s">
        <v>47</v>
      </c>
      <c r="C76" s="66" t="s">
        <v>979</v>
      </c>
      <c r="D76" s="67" t="s">
        <v>732</v>
      </c>
      <c r="E76" s="67" t="s">
        <v>1094</v>
      </c>
      <c r="F76" s="66" t="s">
        <v>1099</v>
      </c>
      <c r="G76" s="68" t="s">
        <v>1101</v>
      </c>
      <c r="H76" s="71" t="str">
        <f ca="1">IFERROR(__xludf.DUMMYFUNCTION("VLOOKUP(G76, IMPORTRANGE(""https://docs.google.com/spreadsheets/d/14deopnvwcrKtEGCKuYXdUHJbeLDZlkiSSWWT0g7x2pM/edit#gid=999382323"", ""LU List Maths (Filter)!A:B""), 2, FALSE)"),"Theorem for ASA congruence rule")</f>
        <v>Theorem for ASA congruence rule</v>
      </c>
      <c r="I76" s="69" t="str">
        <f t="shared" si="0"/>
        <v>LU001236.001</v>
      </c>
      <c r="J76" s="69" t="str">
        <f ca="1">IFERROR(__xludf.DUMMYFUNCTION("VLOOKUP(I76, IMPORTRANGE(""https://docs.google.com/spreadsheets/d/1yDAaXNsi4Mr5FtRQL4tbmSdIzhx6_m4wkOD7IG-k_eo/edit#gid=0"", ""Maths!M:N""), 2, FALSE)"),"State the ASA (Angle-Side-Angle) congruence rule.")</f>
        <v>State the ASA (Angle-Side-Angle) congruence rule.</v>
      </c>
      <c r="K76" s="69" t="str">
        <f t="shared" si="1"/>
        <v>LU001236.002</v>
      </c>
      <c r="L76" s="69" t="str">
        <f ca="1">IFERROR(__xludf.DUMMYFUNCTION("VLOOKUP(K76, IMPORTRANGE(""https://docs.google.com/spreadsheets/d/1yDAaXNsi4Mr5FtRQL4tbmSdIzhx6_m4wkOD7IG-k_eo/edit#gid=0"", ""Maths!M:N""), 2, FALSE)"),"Describe a scenario where two triangles are congruent by ASA.")</f>
        <v>Describe a scenario where two triangles are congruent by ASA.</v>
      </c>
      <c r="M76" s="69" t="str">
        <f t="shared" si="2"/>
        <v>LU001236.003</v>
      </c>
      <c r="N76" s="69" t="str">
        <f ca="1">IFERROR(__xludf.DUMMYFUNCTION("VLOOKUP(M76, IMPORTRANGE(""https://docs.google.com/spreadsheets/d/1yDAaXNsi4Mr5FtRQL4tbmSdIzhx6_m4wkOD7IG-k_eo/edit#gid=0"", ""Maths!M:N""), 2, FALSE)"),"Use the ASA rule to determine if two triangles are congruent given the measurements of angles and included side.")</f>
        <v>Use the ASA rule to determine if two triangles are congruent given the measurements of angles and included side.</v>
      </c>
      <c r="O76" s="69" t="str">
        <f t="shared" si="3"/>
        <v>LU001236.004</v>
      </c>
      <c r="P76" s="69" t="str">
        <f ca="1">IFERROR(__xludf.DUMMYFUNCTION("VLOOKUP(O76, IMPORTRANGE(""https://docs.google.com/spreadsheets/d/1yDAaXNsi4Mr5FtRQL4tbmSdIzhx6_m4wkOD7IG-k_eo/edit#gid=0"", ""Maths!M:N""), 2, FALSE)"),"Analyse pairs of triangles to determine if they satisfy the ASA congruence rule.")</f>
        <v>Analyse pairs of triangles to determine if they satisfy the ASA congruence rule.</v>
      </c>
      <c r="Q76" s="69" t="str">
        <f t="shared" si="4"/>
        <v>LU001236.005</v>
      </c>
      <c r="R76" s="69" t="str">
        <f ca="1">IFERROR(__xludf.DUMMYFUNCTION("VLOOKUP(Q76, IMPORTRANGE(""https://docs.google.com/spreadsheets/d/1yDAaXNsi4Mr5FtRQL4tbmSdIzhx6_m4wkOD7IG-k_eo/edit#gid=0"", ""Maths!M:N""), 2, FALSE)"),"Evaluate a geometric proof that uses the ASA rule to establish triangle congruence.")</f>
        <v>Evaluate a geometric proof that uses the ASA rule to establish triangle congruence.</v>
      </c>
      <c r="S76" s="69" t="str">
        <f t="shared" si="5"/>
        <v>LU001236.006</v>
      </c>
      <c r="T76" s="69" t="str">
        <f ca="1">IFERROR(__xludf.DUMMYFUNCTION("VLOOKUP(S76, IMPORTRANGE(""https://docs.google.com/spreadsheets/d/1yDAaXNsi4Mr5FtRQL4tbmSdIzhx6_m4wkOD7IG-k_eo/edit#gid=0"", ""Maths!M:N""), 2, FALSE)"),"Create a geometric problem that requires using the ASA rule to prove congruence.")</f>
        <v>Create a geometric problem that requires using the ASA rule to prove congruence.</v>
      </c>
      <c r="U76" s="11" t="str">
        <f ca="1">IFERROR(__xludf.DUMMYFUNCTION("ArrayFormula(VLOOKUP(G76, IMPORTRANGE(""https://docs.google.com/spreadsheets/d/1p7R4vtkWt5VOBim4ltsDG9KTzSjrtKXsMtQGXPHyND0/edit#gid=795171502"", ""'Filter 30_05_2024'!A1:M2000""), {2, 3, 4, 5,6,7,8,9,10,11,12,13}, 0))"),"#N/A")</f>
        <v>#N/A</v>
      </c>
      <c r="V76" s="11" t="str">
        <f ca="1">IFERROR(__xludf.DUMMYFUNCTION("""COMPUTED_VALUE"""),"#N/A")</f>
        <v>#N/A</v>
      </c>
      <c r="W76" s="11" t="str">
        <f ca="1">IFERROR(__xludf.DUMMYFUNCTION("""COMPUTED_VALUE"""),"#N/A")</f>
        <v>#N/A</v>
      </c>
      <c r="X76" s="11" t="str">
        <f ca="1">IFERROR(__xludf.DUMMYFUNCTION("""COMPUTED_VALUE"""),"#N/A")</f>
        <v>#N/A</v>
      </c>
      <c r="Y76" s="11" t="str">
        <f ca="1">IFERROR(__xludf.DUMMYFUNCTION("""COMPUTED_VALUE"""),"#N/A")</f>
        <v>#N/A</v>
      </c>
      <c r="Z76" s="12" t="str">
        <f ca="1">IFERROR(__xludf.DUMMYFUNCTION("""COMPUTED_VALUE"""),"#N/A")</f>
        <v>#N/A</v>
      </c>
      <c r="AA76" s="12" t="str">
        <f ca="1">IFERROR(__xludf.DUMMYFUNCTION("""COMPUTED_VALUE"""),"#N/A")</f>
        <v>#N/A</v>
      </c>
      <c r="AB76" s="12" t="str">
        <f ca="1">IFERROR(__xludf.DUMMYFUNCTION("""COMPUTED_VALUE"""),"#N/A")</f>
        <v>#N/A</v>
      </c>
      <c r="AC76" s="11" t="str">
        <f ca="1">IFERROR(__xludf.DUMMYFUNCTION("""COMPUTED_VALUE"""),"#N/A")</f>
        <v>#N/A</v>
      </c>
      <c r="AD76" s="12" t="str">
        <f ca="1">IFERROR(__xludf.DUMMYFUNCTION("""COMPUTED_VALUE"""),"#N/A")</f>
        <v>#N/A</v>
      </c>
      <c r="AE76" s="12" t="str">
        <f ca="1">IFERROR(__xludf.DUMMYFUNCTION("""COMPUTED_VALUE"""),"#N/A")</f>
        <v>#N/A</v>
      </c>
      <c r="AF76" s="12" t="str">
        <f ca="1">IFERROR(__xludf.DUMMYFUNCTION("""COMPUTED_VALUE"""),"#N/A")</f>
        <v>#N/A</v>
      </c>
      <c r="AG76" s="70" t="str">
        <f ca="1">IFERROR(__xludf.DUMMYFUNCTION("ArrayFormula(VLOOKUP(G76, IMPORTRANGE(""https://docs.google.com/spreadsheets/d/1Co934fvtviyaRiMsrIlT05Jaq7iiYq07aLvRr35KA48/edit?gid=173865642#gid=173865642"", ""'G9_Maths_Pri_LU'!G2:V2000""), {3, 4, 5, 6, 7, 8, 9, 10, 11, 12, 13, 14, 15, 16}, 0))"),"LU001234")</f>
        <v>LU001234</v>
      </c>
      <c r="AH76" s="70" t="str">
        <f ca="1">IFERROR(__xludf.DUMMYFUNCTION("""COMPUTED_VALUE"""),"Corresponding parts (sides, angles, vertices) of congruent triangles")</f>
        <v>Corresponding parts (sides, angles, vertices) of congruent triangles</v>
      </c>
      <c r="AI76" s="70" t="str">
        <f ca="1">IFERROR(__xludf.DUMMYFUNCTION("""COMPUTED_VALUE"""),"LU000831")</f>
        <v>LU000831</v>
      </c>
      <c r="AJ76" s="70" t="str">
        <f ca="1">IFERROR(__xludf.DUMMYFUNCTION("""COMPUTED_VALUE"""),"Definition of congruence")</f>
        <v>Definition of congruence</v>
      </c>
      <c r="AK76" s="70"/>
      <c r="AL76" s="70"/>
      <c r="AM76" s="13"/>
      <c r="AN76" s="13"/>
      <c r="AO76" s="13"/>
      <c r="AP76" s="13"/>
      <c r="AQ76" s="13"/>
      <c r="AR76" s="13"/>
      <c r="AS76" s="13"/>
      <c r="AT76" s="13"/>
    </row>
    <row r="77" spans="1:46">
      <c r="A77" s="8" t="s">
        <v>247</v>
      </c>
      <c r="B77" s="66" t="s">
        <v>47</v>
      </c>
      <c r="C77" s="66" t="s">
        <v>979</v>
      </c>
      <c r="D77" s="67" t="s">
        <v>732</v>
      </c>
      <c r="E77" s="67" t="s">
        <v>1094</v>
      </c>
      <c r="F77" s="66" t="s">
        <v>1102</v>
      </c>
      <c r="G77" s="68" t="s">
        <v>1103</v>
      </c>
      <c r="H77" s="71" t="str">
        <f ca="1">IFERROR(__xludf.DUMMYFUNCTION("VLOOKUP(G77, IMPORTRANGE(""https://docs.google.com/spreadsheets/d/14deopnvwcrKtEGCKuYXdUHJbeLDZlkiSSWWT0g7x2pM/edit#gid=999382323"", ""LU List Maths (Filter)!A:B""), 2, FALSE)"),"Theorem: Angles opposite to equal sides of an isosceles triangle are equal")</f>
        <v>Theorem: Angles opposite to equal sides of an isosceles triangle are equal</v>
      </c>
      <c r="I77" s="69" t="str">
        <f t="shared" si="0"/>
        <v>LU001237.001</v>
      </c>
      <c r="J77" s="69" t="str">
        <f ca="1">IFERROR(__xludf.DUMMYFUNCTION("VLOOKUP(I77, IMPORTRANGE(""https://docs.google.com/spreadsheets/d/1yDAaXNsi4Mr5FtRQL4tbmSdIzhx6_m4wkOD7IG-k_eo/edit#gid=0"", ""Maths!M:N""), 2, FALSE)"),"State the theorem that angles opposite to equal sides in an isosceles triangle are equal.")</f>
        <v>State the theorem that angles opposite to equal sides in an isosceles triangle are equal.</v>
      </c>
      <c r="K77" s="69" t="str">
        <f t="shared" si="1"/>
        <v>LU001237.002</v>
      </c>
      <c r="L77" s="69" t="str">
        <f ca="1">IFERROR(__xludf.DUMMYFUNCTION("VLOOKUP(K77, IMPORTRANGE(""https://docs.google.com/spreadsheets/d/1yDAaXNsi4Mr5FtRQL4tbmSdIzhx6_m4wkOD7IG-k_eo/edit#gid=0"", ""Maths!M:N""), 2, FALSE)"),"Describe the steps involved in proving the theorem")</f>
        <v>Describe the steps involved in proving the theorem</v>
      </c>
      <c r="M77" s="69" t="str">
        <f t="shared" si="2"/>
        <v>LU001237.003</v>
      </c>
      <c r="N77" s="69" t="str">
        <f ca="1">IFERROR(__xludf.DUMMYFUNCTION("VLOOKUP(M77, IMPORTRANGE(""https://docs.google.com/spreadsheets/d/1yDAaXNsi4Mr5FtRQL4tbmSdIzhx6_m4wkOD7IG-k_eo/edit#gid=0"", ""Maths!M:N""), 2, FALSE)"),"Solve problems involving isosceles triangles by applying the theorem.")</f>
        <v>Solve problems involving isosceles triangles by applying the theorem.</v>
      </c>
      <c r="O77" s="69" t="str">
        <f t="shared" si="3"/>
        <v>LU001237.004</v>
      </c>
      <c r="P77" s="69" t="str">
        <f ca="1">IFERROR(__xludf.DUMMYFUNCTION("VLOOKUP(O77, IMPORTRANGE(""https://docs.google.com/spreadsheets/d/1yDAaXNsi4Mr5FtRQL4tbmSdIzhx6_m4wkOD7IG-k_eo/edit#gid=0"", ""Maths!M:N""), 2, FALSE)"),"Break down the proof of the theorem into individual steps with explanations, check the correctness of each step and its explanation.")</f>
        <v>Break down the proof of the theorem into individual steps with explanations, check the correctness of each step and its explanation.</v>
      </c>
      <c r="Q77" s="69" t="str">
        <f t="shared" si="4"/>
        <v>LU001237.005</v>
      </c>
      <c r="R77" s="69" t="str">
        <f ca="1">IFERROR(__xludf.DUMMYFUNCTION("VLOOKUP(Q77, IMPORTRANGE(""https://docs.google.com/spreadsheets/d/1yDAaXNsi4Mr5FtRQL4tbmSdIzhx6_m4wkOD7IG-k_eo/edit#gid=0"", ""Maths!M:N""), 2, FALSE)"),"Assess the correctness of statements about angles in isosceles triangles using the theorem.")</f>
        <v>Assess the correctness of statements about angles in isosceles triangles using the theorem.</v>
      </c>
      <c r="S77" s="69" t="str">
        <f t="shared" si="5"/>
        <v>LU001237.006</v>
      </c>
      <c r="T77" s="69" t="str">
        <f ca="1">IFERROR(__xludf.DUMMYFUNCTION("VLOOKUP(S77, IMPORTRANGE(""https://docs.google.com/spreadsheets/d/1yDAaXNsi4Mr5FtRQL4tbmSdIzhx6_m4wkOD7IG-k_eo/edit#gid=0"", ""Maths!M:N""), 2, FALSE)"),"Create a geometric problem that involves proving angles in an isosceles triangle are equal using the theorem.")</f>
        <v>Create a geometric problem that involves proving angles in an isosceles triangle are equal using the theorem.</v>
      </c>
      <c r="U77" s="11" t="str">
        <f ca="1">IFERROR(__xludf.DUMMYFUNCTION("ArrayFormula(VLOOKUP(G77, IMPORTRANGE(""https://docs.google.com/spreadsheets/d/1p7R4vtkWt5VOBim4ltsDG9KTzSjrtKXsMtQGXPHyND0/edit#gid=795171502"", ""'Filter 30_05_2024'!A1:M2000""), {2, 3, 4, 5,6,7,8,9,10,11,12,13}, 0))"),"#N/A")</f>
        <v>#N/A</v>
      </c>
      <c r="V77" s="11" t="str">
        <f ca="1">IFERROR(__xludf.DUMMYFUNCTION("""COMPUTED_VALUE"""),"#N/A")</f>
        <v>#N/A</v>
      </c>
      <c r="W77" s="11" t="str">
        <f ca="1">IFERROR(__xludf.DUMMYFUNCTION("""COMPUTED_VALUE"""),"#N/A")</f>
        <v>#N/A</v>
      </c>
      <c r="X77" s="11" t="str">
        <f ca="1">IFERROR(__xludf.DUMMYFUNCTION("""COMPUTED_VALUE"""),"#N/A")</f>
        <v>#N/A</v>
      </c>
      <c r="Y77" s="11" t="str">
        <f ca="1">IFERROR(__xludf.DUMMYFUNCTION("""COMPUTED_VALUE"""),"#N/A")</f>
        <v>#N/A</v>
      </c>
      <c r="Z77" s="12" t="str">
        <f ca="1">IFERROR(__xludf.DUMMYFUNCTION("""COMPUTED_VALUE"""),"#N/A")</f>
        <v>#N/A</v>
      </c>
      <c r="AA77" s="12" t="str">
        <f ca="1">IFERROR(__xludf.DUMMYFUNCTION("""COMPUTED_VALUE"""),"#N/A")</f>
        <v>#N/A</v>
      </c>
      <c r="AB77" s="12" t="str">
        <f ca="1">IFERROR(__xludf.DUMMYFUNCTION("""COMPUTED_VALUE"""),"#N/A")</f>
        <v>#N/A</v>
      </c>
      <c r="AC77" s="11" t="str">
        <f ca="1">IFERROR(__xludf.DUMMYFUNCTION("""COMPUTED_VALUE"""),"#N/A")</f>
        <v>#N/A</v>
      </c>
      <c r="AD77" s="12" t="str">
        <f ca="1">IFERROR(__xludf.DUMMYFUNCTION("""COMPUTED_VALUE"""),"#N/A")</f>
        <v>#N/A</v>
      </c>
      <c r="AE77" s="12" t="str">
        <f ca="1">IFERROR(__xludf.DUMMYFUNCTION("""COMPUTED_VALUE"""),"#N/A")</f>
        <v>#N/A</v>
      </c>
      <c r="AF77" s="12" t="str">
        <f ca="1">IFERROR(__xludf.DUMMYFUNCTION("""COMPUTED_VALUE"""),"#N/A")</f>
        <v>#N/A</v>
      </c>
      <c r="AG77" s="70" t="str">
        <f ca="1">IFERROR(__xludf.DUMMYFUNCTION("ArrayFormula(VLOOKUP(G77, IMPORTRANGE(""https://docs.google.com/spreadsheets/d/1Co934fvtviyaRiMsrIlT05Jaq7iiYq07aLvRr35KA48/edit?gid=173865642#gid=173865642"", ""'G9_Maths_Pri_LU'!G2:V2000""), {3, 4, 5, 6, 7, 8, 9, 10, 11, 12, 13, 14, 15, 16}, 0))"),"LU001235")</f>
        <v>LU001235</v>
      </c>
      <c r="AH77" s="70" t="str">
        <f ca="1">IFERROR(__xludf.DUMMYFUNCTION("""COMPUTED_VALUE"""),"Axiom for SAS congruence rule")</f>
        <v>Axiom for SAS congruence rule</v>
      </c>
      <c r="AI77" s="70" t="str">
        <f ca="1">IFERROR(__xludf.DUMMYFUNCTION("""COMPUTED_VALUE"""),"LU000263")</f>
        <v>LU000263</v>
      </c>
      <c r="AJ77" s="70" t="str">
        <f ca="1">IFERROR(__xludf.DUMMYFUNCTION("""COMPUTED_VALUE"""),"Definition of an isosceles triangle")</f>
        <v>Definition of an isosceles triangle</v>
      </c>
      <c r="AK77" s="70" t="str">
        <f ca="1">IFERROR(__xludf.DUMMYFUNCTION("""COMPUTED_VALUE"""),"LU000427")</f>
        <v>LU000427</v>
      </c>
      <c r="AL77" s="70" t="str">
        <f ca="1">IFERROR(__xludf.DUMMYFUNCTION("""COMPUTED_VALUE"""),"Properties of an isosceles triangle")</f>
        <v>Properties of an isosceles triangle</v>
      </c>
      <c r="AM77" s="13"/>
      <c r="AN77" s="13"/>
      <c r="AO77" s="13"/>
      <c r="AP77" s="13"/>
      <c r="AQ77" s="13"/>
      <c r="AR77" s="13"/>
      <c r="AS77" s="13"/>
      <c r="AT77" s="13"/>
    </row>
    <row r="78" spans="1:46">
      <c r="A78" s="8" t="s">
        <v>247</v>
      </c>
      <c r="B78" s="66" t="s">
        <v>47</v>
      </c>
      <c r="C78" s="66" t="s">
        <v>979</v>
      </c>
      <c r="D78" s="67" t="s">
        <v>732</v>
      </c>
      <c r="E78" s="67" t="s">
        <v>1094</v>
      </c>
      <c r="F78" s="66" t="s">
        <v>1102</v>
      </c>
      <c r="G78" s="68" t="s">
        <v>1104</v>
      </c>
      <c r="H78" s="71" t="str">
        <f ca="1">IFERROR(__xludf.DUMMYFUNCTION("VLOOKUP(G78, IMPORTRANGE(""https://docs.google.com/spreadsheets/d/14deopnvwcrKtEGCKuYXdUHJbeLDZlkiSSWWT0g7x2pM/edit#gid=999382323"", ""LU List Maths (Filter)!A:B""), 2, FALSE)"),"Theorem: The sides opposite to equal angles of a triangle are equal")</f>
        <v>Theorem: The sides opposite to equal angles of a triangle are equal</v>
      </c>
      <c r="I78" s="69" t="str">
        <f t="shared" si="0"/>
        <v>LU001238.001</v>
      </c>
      <c r="J78" s="69" t="str">
        <f ca="1">IFERROR(__xludf.DUMMYFUNCTION("VLOOKUP(I78, IMPORTRANGE(""https://docs.google.com/spreadsheets/d/1yDAaXNsi4Mr5FtRQL4tbmSdIzhx6_m4wkOD7IG-k_eo/edit#gid=0"", ""Maths!M:N""), 2, FALSE)"),"State the theorem that sides opposite to equal angles in a triangle are equal.")</f>
        <v>State the theorem that sides opposite to equal angles in a triangle are equal.</v>
      </c>
      <c r="K78" s="69" t="str">
        <f t="shared" si="1"/>
        <v>LU001238.002</v>
      </c>
      <c r="L78" s="69" t="str">
        <f ca="1">IFERROR(__xludf.DUMMYFUNCTION("VLOOKUP(K78, IMPORTRANGE(""https://docs.google.com/spreadsheets/d/1yDAaXNsi4Mr5FtRQL4tbmSdIzhx6_m4wkOD7IG-k_eo/edit#gid=0"", ""Maths!M:N""), 2, FALSE)"),"Describe the steps involved in proving the theorem")</f>
        <v>Describe the steps involved in proving the theorem</v>
      </c>
      <c r="M78" s="69" t="str">
        <f t="shared" si="2"/>
        <v>LU001238.003</v>
      </c>
      <c r="N78" s="69" t="str">
        <f ca="1">IFERROR(__xludf.DUMMYFUNCTION("VLOOKUP(M78, IMPORTRANGE(""https://docs.google.com/spreadsheets/d/1yDAaXNsi4Mr5FtRQL4tbmSdIzhx6_m4wkOD7IG-k_eo/edit#gid=0"", ""Maths!M:N""), 2, FALSE)"),"Solve problems involving triangles by applying the theorem about sides opposite to equal angles.")</f>
        <v>Solve problems involving triangles by applying the theorem about sides opposite to equal angles.</v>
      </c>
      <c r="O78" s="69" t="str">
        <f t="shared" si="3"/>
        <v>LU001238.004</v>
      </c>
      <c r="P78" s="69" t="str">
        <f ca="1">IFERROR(__xludf.DUMMYFUNCTION("VLOOKUP(O78, IMPORTRANGE(""https://docs.google.com/spreadsheets/d/1yDAaXNsi4Mr5FtRQL4tbmSdIzhx6_m4wkOD7IG-k_eo/edit#gid=0"", ""Maths!M:N""), 2, FALSE)"),"Break down the proof of the theorem into individual steps with explanations, check the correctness of each step and its explanation.")</f>
        <v>Break down the proof of the theorem into individual steps with explanations, check the correctness of each step and its explanation.</v>
      </c>
      <c r="Q78" s="69" t="str">
        <f t="shared" si="4"/>
        <v>LU001238.005</v>
      </c>
      <c r="R78" s="69" t="str">
        <f ca="1">IFERROR(__xludf.DUMMYFUNCTION("VLOOKUP(Q78, IMPORTRANGE(""https://docs.google.com/spreadsheets/d/1yDAaXNsi4Mr5FtRQL4tbmSdIzhx6_m4wkOD7IG-k_eo/edit#gid=0"", ""Maths!M:N""), 2, FALSE)"),"Evaluate a geometric proof that uses this theorem to show the equality of sides in triangles.")</f>
        <v>Evaluate a geometric proof that uses this theorem to show the equality of sides in triangles.</v>
      </c>
      <c r="S78" s="69" t="str">
        <f t="shared" si="5"/>
        <v>LU001238.006</v>
      </c>
      <c r="T78" s="69" t="str">
        <f ca="1">IFERROR(__xludf.DUMMYFUNCTION("VLOOKUP(S78, IMPORTRANGE(""https://docs.google.com/spreadsheets/d/1yDAaXNsi4Mr5FtRQL4tbmSdIzhx6_m4wkOD7IG-k_eo/edit#gid=0"", ""Maths!M:N""), 2, FALSE)"),"Create a geometric problem that involves proving sides in a triangle are equal using the theorem.")</f>
        <v>Create a geometric problem that involves proving sides in a triangle are equal using the theorem.</v>
      </c>
      <c r="U78" s="11" t="str">
        <f ca="1">IFERROR(__xludf.DUMMYFUNCTION("ArrayFormula(VLOOKUP(G78, IMPORTRANGE(""https://docs.google.com/spreadsheets/d/1p7R4vtkWt5VOBim4ltsDG9KTzSjrtKXsMtQGXPHyND0/edit#gid=795171502"", ""'Filter 30_05_2024'!A1:M2000""), {2, 3, 4, 5,6,7,8,9,10,11,12,13}, 0))"),"#N/A")</f>
        <v>#N/A</v>
      </c>
      <c r="V78" s="11" t="str">
        <f ca="1">IFERROR(__xludf.DUMMYFUNCTION("""COMPUTED_VALUE"""),"#N/A")</f>
        <v>#N/A</v>
      </c>
      <c r="W78" s="11" t="str">
        <f ca="1">IFERROR(__xludf.DUMMYFUNCTION("""COMPUTED_VALUE"""),"#N/A")</f>
        <v>#N/A</v>
      </c>
      <c r="X78" s="11" t="str">
        <f ca="1">IFERROR(__xludf.DUMMYFUNCTION("""COMPUTED_VALUE"""),"#N/A")</f>
        <v>#N/A</v>
      </c>
      <c r="Y78" s="11" t="str">
        <f ca="1">IFERROR(__xludf.DUMMYFUNCTION("""COMPUTED_VALUE"""),"#N/A")</f>
        <v>#N/A</v>
      </c>
      <c r="Z78" s="12" t="str">
        <f ca="1">IFERROR(__xludf.DUMMYFUNCTION("""COMPUTED_VALUE"""),"#N/A")</f>
        <v>#N/A</v>
      </c>
      <c r="AA78" s="12" t="str">
        <f ca="1">IFERROR(__xludf.DUMMYFUNCTION("""COMPUTED_VALUE"""),"#N/A")</f>
        <v>#N/A</v>
      </c>
      <c r="AB78" s="12" t="str">
        <f ca="1">IFERROR(__xludf.DUMMYFUNCTION("""COMPUTED_VALUE"""),"#N/A")</f>
        <v>#N/A</v>
      </c>
      <c r="AC78" s="11" t="str">
        <f ca="1">IFERROR(__xludf.DUMMYFUNCTION("""COMPUTED_VALUE"""),"#N/A")</f>
        <v>#N/A</v>
      </c>
      <c r="AD78" s="12" t="str">
        <f ca="1">IFERROR(__xludf.DUMMYFUNCTION("""COMPUTED_VALUE"""),"#N/A")</f>
        <v>#N/A</v>
      </c>
      <c r="AE78" s="12" t="str">
        <f ca="1">IFERROR(__xludf.DUMMYFUNCTION("""COMPUTED_VALUE"""),"#N/A")</f>
        <v>#N/A</v>
      </c>
      <c r="AF78" s="12" t="str">
        <f ca="1">IFERROR(__xludf.DUMMYFUNCTION("""COMPUTED_VALUE"""),"#N/A")</f>
        <v>#N/A</v>
      </c>
      <c r="AG78" s="70" t="str">
        <f ca="1">IFERROR(__xludf.DUMMYFUNCTION("ArrayFormula(VLOOKUP(G78, IMPORTRANGE(""https://docs.google.com/spreadsheets/d/1Co934fvtviyaRiMsrIlT05Jaq7iiYq07aLvRr35KA48/edit?gid=173865642#gid=173865642"", ""'G9_Maths_Pri_LU'!G2:V2000""), {3, 4, 5, 6, 7, 8, 9, 10, 11, 12, 13, 14, 15, 16}, 0))"),"LU001237")</f>
        <v>LU001237</v>
      </c>
      <c r="AH78" s="70" t="str">
        <f ca="1">IFERROR(__xludf.DUMMYFUNCTION("""COMPUTED_VALUE"""),"Theorem: Angles opposite to equal sides of an isosceles triangle are equal")</f>
        <v>Theorem: Angles opposite to equal sides of an isosceles triangle are equal</v>
      </c>
      <c r="AI78" s="70" t="str">
        <f ca="1">IFERROR(__xludf.DUMMYFUNCTION("""COMPUTED_VALUE"""),"LU001236")</f>
        <v>LU001236</v>
      </c>
      <c r="AJ78" s="70" t="str">
        <f ca="1">IFERROR(__xludf.DUMMYFUNCTION("""COMPUTED_VALUE"""),"Theorem for ASA congruence rule")</f>
        <v>Theorem for ASA congruence rule</v>
      </c>
      <c r="AK78" s="70"/>
      <c r="AL78" s="70"/>
      <c r="AM78" s="13"/>
      <c r="AN78" s="13"/>
      <c r="AO78" s="13"/>
      <c r="AP78" s="13"/>
      <c r="AQ78" s="13"/>
      <c r="AR78" s="13"/>
      <c r="AS78" s="13"/>
      <c r="AT78" s="13"/>
    </row>
    <row r="79" spans="1:46">
      <c r="A79" s="8" t="s">
        <v>247</v>
      </c>
      <c r="B79" s="66" t="s">
        <v>47</v>
      </c>
      <c r="C79" s="66" t="s">
        <v>979</v>
      </c>
      <c r="D79" s="67" t="s">
        <v>732</v>
      </c>
      <c r="E79" s="67" t="s">
        <v>1094</v>
      </c>
      <c r="F79" s="66" t="s">
        <v>1105</v>
      </c>
      <c r="G79" s="68" t="s">
        <v>1106</v>
      </c>
      <c r="H79" s="71" t="str">
        <f ca="1">IFERROR(__xludf.DUMMYFUNCTION("VLOOKUP(G79, IMPORTRANGE(""https://docs.google.com/spreadsheets/d/14deopnvwcrKtEGCKuYXdUHJbeLDZlkiSSWWT0g7x2pM/edit#gid=999382323"", ""LU List Maths (Filter)!A:B""), 2, FALSE)"),"Theorem for SSS congruence rule")</f>
        <v>Theorem for SSS congruence rule</v>
      </c>
      <c r="I79" s="69" t="str">
        <f t="shared" si="0"/>
        <v>LU001239.001</v>
      </c>
      <c r="J79" s="69" t="str">
        <f ca="1">IFERROR(__xludf.DUMMYFUNCTION("VLOOKUP(I79, IMPORTRANGE(""https://docs.google.com/spreadsheets/d/1yDAaXNsi4Mr5FtRQL4tbmSdIzhx6_m4wkOD7IG-k_eo/edit#gid=0"", ""Maths!M:N""), 2, FALSE)"),"State the SSS (Side-Side-Side) congruence rule.")</f>
        <v>State the SSS (Side-Side-Side) congruence rule.</v>
      </c>
      <c r="K79" s="69" t="str">
        <f t="shared" si="1"/>
        <v>LU001239.002</v>
      </c>
      <c r="L79" s="69" t="str">
        <f ca="1">IFERROR(__xludf.DUMMYFUNCTION("VLOOKUP(K79, IMPORTRANGE(""https://docs.google.com/spreadsheets/d/1yDAaXNsi4Mr5FtRQL4tbmSdIzhx6_m4wkOD7IG-k_eo/edit#gid=0"", ""Maths!M:N""), 2, FALSE)"),"Describe the steps involved in proving the theorem")</f>
        <v>Describe the steps involved in proving the theorem</v>
      </c>
      <c r="M79" s="69" t="str">
        <f t="shared" si="2"/>
        <v>LU001239.003</v>
      </c>
      <c r="N79" s="69" t="str">
        <f ca="1">IFERROR(__xludf.DUMMYFUNCTION("VLOOKUP(M79, IMPORTRANGE(""https://docs.google.com/spreadsheets/d/1yDAaXNsi4Mr5FtRQL4tbmSdIzhx6_m4wkOD7IG-k_eo/edit#gid=0"", ""Maths!M:N""), 2, FALSE)"),"Use the SSS rule to determine if two triangles are congruent given the measurements of sides.")</f>
        <v>Use the SSS rule to determine if two triangles are congruent given the measurements of sides.</v>
      </c>
      <c r="O79" s="69" t="str">
        <f t="shared" si="3"/>
        <v>LU001239.004</v>
      </c>
      <c r="P79" s="69" t="str">
        <f ca="1">IFERROR(__xludf.DUMMYFUNCTION("VLOOKUP(O79, IMPORTRANGE(""https://docs.google.com/spreadsheets/d/1yDAaXNsi4Mr5FtRQL4tbmSdIzhx6_m4wkOD7IG-k_eo/edit#gid=0"", ""Maths!M:N""), 2, FALSE)"),"Break down the proof of the theorem into individual steps with explanations, check the correctness of each step and its explanation.")</f>
        <v>Break down the proof of the theorem into individual steps with explanations, check the correctness of each step and its explanation.</v>
      </c>
      <c r="Q79" s="69" t="str">
        <f t="shared" si="4"/>
        <v>LU001239.005</v>
      </c>
      <c r="R79" s="69" t="str">
        <f ca="1">IFERROR(__xludf.DUMMYFUNCTION("VLOOKUP(Q79, IMPORTRANGE(""https://docs.google.com/spreadsheets/d/1yDAaXNsi4Mr5FtRQL4tbmSdIzhx6_m4wkOD7IG-k_eo/edit#gid=0"", ""Maths!M:N""), 2, FALSE)"),"Assess the correctness of statements about triangle congruence using the SSS rule.")</f>
        <v>Assess the correctness of statements about triangle congruence using the SSS rule.</v>
      </c>
      <c r="S79" s="69" t="str">
        <f t="shared" si="5"/>
        <v>LU001239.006</v>
      </c>
      <c r="T79" s="69" t="str">
        <f ca="1">IFERROR(__xludf.DUMMYFUNCTION("VLOOKUP(S79, IMPORTRANGE(""https://docs.google.com/spreadsheets/d/1yDAaXNsi4Mr5FtRQL4tbmSdIzhx6_m4wkOD7IG-k_eo/edit#gid=0"", ""Maths!M:N""), 2, FALSE)"),"Create a geometric problem that requires using the SSS rule to prove congruence")</f>
        <v>Create a geometric problem that requires using the SSS rule to prove congruence</v>
      </c>
      <c r="U79" s="11" t="str">
        <f ca="1">IFERROR(__xludf.DUMMYFUNCTION("ArrayFormula(VLOOKUP(G79, IMPORTRANGE(""https://docs.google.com/spreadsheets/d/1p7R4vtkWt5VOBim4ltsDG9KTzSjrtKXsMtQGXPHyND0/edit#gid=795171502"", ""'Filter 30_05_2024'!A1:M2000""), {2, 3, 4, 5,6,7,8,9,10,11,12,13}, 0))"),"#N/A")</f>
        <v>#N/A</v>
      </c>
      <c r="V79" s="11" t="str">
        <f ca="1">IFERROR(__xludf.DUMMYFUNCTION("""COMPUTED_VALUE"""),"#N/A")</f>
        <v>#N/A</v>
      </c>
      <c r="W79" s="11" t="str">
        <f ca="1">IFERROR(__xludf.DUMMYFUNCTION("""COMPUTED_VALUE"""),"#N/A")</f>
        <v>#N/A</v>
      </c>
      <c r="X79" s="11" t="str">
        <f ca="1">IFERROR(__xludf.DUMMYFUNCTION("""COMPUTED_VALUE"""),"#N/A")</f>
        <v>#N/A</v>
      </c>
      <c r="Y79" s="11" t="str">
        <f ca="1">IFERROR(__xludf.DUMMYFUNCTION("""COMPUTED_VALUE"""),"#N/A")</f>
        <v>#N/A</v>
      </c>
      <c r="Z79" s="12" t="str">
        <f ca="1">IFERROR(__xludf.DUMMYFUNCTION("""COMPUTED_VALUE"""),"#N/A")</f>
        <v>#N/A</v>
      </c>
      <c r="AA79" s="12" t="str">
        <f ca="1">IFERROR(__xludf.DUMMYFUNCTION("""COMPUTED_VALUE"""),"#N/A")</f>
        <v>#N/A</v>
      </c>
      <c r="AB79" s="12" t="str">
        <f ca="1">IFERROR(__xludf.DUMMYFUNCTION("""COMPUTED_VALUE"""),"#N/A")</f>
        <v>#N/A</v>
      </c>
      <c r="AC79" s="11" t="str">
        <f ca="1">IFERROR(__xludf.DUMMYFUNCTION("""COMPUTED_VALUE"""),"#N/A")</f>
        <v>#N/A</v>
      </c>
      <c r="AD79" s="12" t="str">
        <f ca="1">IFERROR(__xludf.DUMMYFUNCTION("""COMPUTED_VALUE"""),"#N/A")</f>
        <v>#N/A</v>
      </c>
      <c r="AE79" s="12" t="str">
        <f ca="1">IFERROR(__xludf.DUMMYFUNCTION("""COMPUTED_VALUE"""),"#N/A")</f>
        <v>#N/A</v>
      </c>
      <c r="AF79" s="12" t="str">
        <f ca="1">IFERROR(__xludf.DUMMYFUNCTION("""COMPUTED_VALUE"""),"#N/A")</f>
        <v>#N/A</v>
      </c>
      <c r="AG79" s="70" t="str">
        <f ca="1">IFERROR(__xludf.DUMMYFUNCTION("ArrayFormula(VLOOKUP(G79, IMPORTRANGE(""https://docs.google.com/spreadsheets/d/1Co934fvtviyaRiMsrIlT05Jaq7iiYq07aLvRr35KA48/edit?gid=173865642#gid=173865642"", ""'G9_Maths_Pri_LU'!G2:V2000""), {3, 4, 5, 6, 7, 8, 9, 10, 11, 12, 13, 14, 15, 16}, 0))"),"LU001234")</f>
        <v>LU001234</v>
      </c>
      <c r="AH79" s="70" t="str">
        <f ca="1">IFERROR(__xludf.DUMMYFUNCTION("""COMPUTED_VALUE"""),"Corresponding parts (sides, angles, vertices) of congruent triangles")</f>
        <v>Corresponding parts (sides, angles, vertices) of congruent triangles</v>
      </c>
      <c r="AI79" s="70" t="str">
        <f ca="1">IFERROR(__xludf.DUMMYFUNCTION("""COMPUTED_VALUE"""),"LU000831")</f>
        <v>LU000831</v>
      </c>
      <c r="AJ79" s="70" t="str">
        <f ca="1">IFERROR(__xludf.DUMMYFUNCTION("""COMPUTED_VALUE"""),"Definition of congruence")</f>
        <v>Definition of congruence</v>
      </c>
      <c r="AK79" s="70"/>
      <c r="AL79" s="70"/>
      <c r="AM79" s="13"/>
      <c r="AN79" s="13"/>
      <c r="AO79" s="13"/>
      <c r="AP79" s="13"/>
      <c r="AQ79" s="13"/>
      <c r="AR79" s="13"/>
      <c r="AS79" s="13"/>
      <c r="AT79" s="13"/>
    </row>
    <row r="80" spans="1:46">
      <c r="A80" s="8" t="s">
        <v>247</v>
      </c>
      <c r="B80" s="66" t="s">
        <v>47</v>
      </c>
      <c r="C80" s="66" t="s">
        <v>979</v>
      </c>
      <c r="D80" s="67" t="s">
        <v>732</v>
      </c>
      <c r="E80" s="67" t="s">
        <v>1094</v>
      </c>
      <c r="F80" s="66" t="s">
        <v>1105</v>
      </c>
      <c r="G80" s="68" t="s">
        <v>1107</v>
      </c>
      <c r="H80" s="71" t="str">
        <f ca="1">IFERROR(__xludf.DUMMYFUNCTION("VLOOKUP(G80, IMPORTRANGE(""https://docs.google.com/spreadsheets/d/14deopnvwcrKtEGCKuYXdUHJbeLDZlkiSSWWT0g7x2pM/edit#gid=999382323"", ""LU List Maths (Filter)!A:B""), 2, FALSE)"),"Theorem for RHS congruence rule")</f>
        <v>Theorem for RHS congruence rule</v>
      </c>
      <c r="I80" s="69" t="str">
        <f t="shared" si="0"/>
        <v>LU001240.001</v>
      </c>
      <c r="J80" s="69" t="str">
        <f ca="1">IFERROR(__xludf.DUMMYFUNCTION("VLOOKUP(I80, IMPORTRANGE(""https://docs.google.com/spreadsheets/d/1yDAaXNsi4Mr5FtRQL4tbmSdIzhx6_m4wkOD7IG-k_eo/edit#gid=0"", ""Maths!M:N""), 2, FALSE)"),"State the RHS (Right angle-Hypotenuse-Side) congruence rule.")</f>
        <v>State the RHS (Right angle-Hypotenuse-Side) congruence rule.</v>
      </c>
      <c r="K80" s="69" t="str">
        <f t="shared" si="1"/>
        <v>LU001240.002</v>
      </c>
      <c r="L80" s="69" t="str">
        <f ca="1">IFERROR(__xludf.DUMMYFUNCTION("VLOOKUP(K80, IMPORTRANGE(""https://docs.google.com/spreadsheets/d/1yDAaXNsi4Mr5FtRQL4tbmSdIzhx6_m4wkOD7IG-k_eo/edit#gid=0"", ""Maths!M:N""), 2, FALSE)"),"Describe the steps involved in proving the theorem")</f>
        <v>Describe the steps involved in proving the theorem</v>
      </c>
      <c r="M80" s="69" t="str">
        <f t="shared" si="2"/>
        <v>LU001240.003</v>
      </c>
      <c r="N80" s="69" t="str">
        <f ca="1">IFERROR(__xludf.DUMMYFUNCTION("VLOOKUP(M80, IMPORTRANGE(""https://docs.google.com/spreadsheets/d/1yDAaXNsi4Mr5FtRQL4tbmSdIzhx6_m4wkOD7IG-k_eo/edit#gid=0"", ""Maths!M:N""), 2, FALSE)"),"Use the RHS rule to determine if two triangles are congruent given the measurements of sides and angle.")</f>
        <v>Use the RHS rule to determine if two triangles are congruent given the measurements of sides and angle.</v>
      </c>
      <c r="O80" s="69" t="str">
        <f t="shared" si="3"/>
        <v>LU001240.004</v>
      </c>
      <c r="P80" s="69" t="str">
        <f ca="1">IFERROR(__xludf.DUMMYFUNCTION("VLOOKUP(O80, IMPORTRANGE(""https://docs.google.com/spreadsheets/d/1yDAaXNsi4Mr5FtRQL4tbmSdIzhx6_m4wkOD7IG-k_eo/edit#gid=0"", ""Maths!M:N""), 2, FALSE)"),"Break down the proof of the theorem into individual steps with explanations, check the correctness of each step and its explanation.")</f>
        <v>Break down the proof of the theorem into individual steps with explanations, check the correctness of each step and its explanation.</v>
      </c>
      <c r="Q80" s="69" t="str">
        <f t="shared" si="4"/>
        <v>LU001240.005</v>
      </c>
      <c r="R80" s="69" t="str">
        <f ca="1">IFERROR(__xludf.DUMMYFUNCTION("VLOOKUP(Q80, IMPORTRANGE(""https://docs.google.com/spreadsheets/d/1yDAaXNsi4Mr5FtRQL4tbmSdIzhx6_m4wkOD7IG-k_eo/edit#gid=0"", ""Maths!M:N""), 2, FALSE)"),"Assess the correctness of statements about the congruence of right triangles using the RHS rule.")</f>
        <v>Assess the correctness of statements about the congruence of right triangles using the RHS rule.</v>
      </c>
      <c r="S80" s="69" t="str">
        <f t="shared" si="5"/>
        <v>LU001240.006</v>
      </c>
      <c r="T80" s="69" t="str">
        <f ca="1">IFERROR(__xludf.DUMMYFUNCTION("VLOOKUP(S80, IMPORTRANGE(""https://docs.google.com/spreadsheets/d/1yDAaXNsi4Mr5FtRQL4tbmSdIzhx6_m4wkOD7IG-k_eo/edit#gid=0"", ""Maths!M:N""), 2, FALSE)"),"Create a geometric problem that requires using the RHS rule to prove congruence.")</f>
        <v>Create a geometric problem that requires using the RHS rule to prove congruence.</v>
      </c>
      <c r="U80" s="11" t="str">
        <f ca="1">IFERROR(__xludf.DUMMYFUNCTION("ArrayFormula(VLOOKUP(G80, IMPORTRANGE(""https://docs.google.com/spreadsheets/d/1p7R4vtkWt5VOBim4ltsDG9KTzSjrtKXsMtQGXPHyND0/edit#gid=795171502"", ""'Filter 30_05_2024'!A1:M2000""), {2, 3, 4, 5,6,7,8,9,10,11,12,13}, 0))"),"#N/A")</f>
        <v>#N/A</v>
      </c>
      <c r="V80" s="11" t="str">
        <f ca="1">IFERROR(__xludf.DUMMYFUNCTION("""COMPUTED_VALUE"""),"#N/A")</f>
        <v>#N/A</v>
      </c>
      <c r="W80" s="11" t="str">
        <f ca="1">IFERROR(__xludf.DUMMYFUNCTION("""COMPUTED_VALUE"""),"#N/A")</f>
        <v>#N/A</v>
      </c>
      <c r="X80" s="11" t="str">
        <f ca="1">IFERROR(__xludf.DUMMYFUNCTION("""COMPUTED_VALUE"""),"#N/A")</f>
        <v>#N/A</v>
      </c>
      <c r="Y80" s="11" t="str">
        <f ca="1">IFERROR(__xludf.DUMMYFUNCTION("""COMPUTED_VALUE"""),"#N/A")</f>
        <v>#N/A</v>
      </c>
      <c r="Z80" s="12" t="str">
        <f ca="1">IFERROR(__xludf.DUMMYFUNCTION("""COMPUTED_VALUE"""),"#N/A")</f>
        <v>#N/A</v>
      </c>
      <c r="AA80" s="12" t="str">
        <f ca="1">IFERROR(__xludf.DUMMYFUNCTION("""COMPUTED_VALUE"""),"#N/A")</f>
        <v>#N/A</v>
      </c>
      <c r="AB80" s="12" t="str">
        <f ca="1">IFERROR(__xludf.DUMMYFUNCTION("""COMPUTED_VALUE"""),"#N/A")</f>
        <v>#N/A</v>
      </c>
      <c r="AC80" s="11" t="str">
        <f ca="1">IFERROR(__xludf.DUMMYFUNCTION("""COMPUTED_VALUE"""),"#N/A")</f>
        <v>#N/A</v>
      </c>
      <c r="AD80" s="12" t="str">
        <f ca="1">IFERROR(__xludf.DUMMYFUNCTION("""COMPUTED_VALUE"""),"#N/A")</f>
        <v>#N/A</v>
      </c>
      <c r="AE80" s="12" t="str">
        <f ca="1">IFERROR(__xludf.DUMMYFUNCTION("""COMPUTED_VALUE"""),"#N/A")</f>
        <v>#N/A</v>
      </c>
      <c r="AF80" s="12" t="str">
        <f ca="1">IFERROR(__xludf.DUMMYFUNCTION("""COMPUTED_VALUE"""),"#N/A")</f>
        <v>#N/A</v>
      </c>
      <c r="AG80" s="70" t="str">
        <f ca="1">IFERROR(__xludf.DUMMYFUNCTION("ArrayFormula(VLOOKUP(G80, IMPORTRANGE(""https://docs.google.com/spreadsheets/d/1Co934fvtviyaRiMsrIlT05Jaq7iiYq07aLvRr35KA48/edit?gid=173865642#gid=173865642"", ""'G9_Maths_Pri_LU'!G2:V2000""), {3, 4, 5, 6, 7, 8, 9, 10, 11, 12, 13, 14, 15, 16}, 0))"),"LU001234")</f>
        <v>LU001234</v>
      </c>
      <c r="AH80" s="70" t="str">
        <f ca="1">IFERROR(__xludf.DUMMYFUNCTION("""COMPUTED_VALUE"""),"Corresponding parts (sides, angles, vertices) of congruent triangles")</f>
        <v>Corresponding parts (sides, angles, vertices) of congruent triangles</v>
      </c>
      <c r="AI80" s="70" t="str">
        <f ca="1">IFERROR(__xludf.DUMMYFUNCTION("""COMPUTED_VALUE"""),"LU000433")</f>
        <v>LU000433</v>
      </c>
      <c r="AJ80" s="70" t="str">
        <f ca="1">IFERROR(__xludf.DUMMYFUNCTION("""COMPUTED_VALUE"""),"Parts of a right-angled triangle")</f>
        <v>Parts of a right-angled triangle</v>
      </c>
      <c r="AK80" s="70"/>
      <c r="AL80" s="70"/>
      <c r="AM80" s="13"/>
      <c r="AN80" s="13"/>
      <c r="AO80" s="13"/>
      <c r="AP80" s="13"/>
      <c r="AQ80" s="13"/>
      <c r="AR80" s="13"/>
      <c r="AS80" s="13"/>
      <c r="AT80" s="13"/>
    </row>
    <row r="81" spans="1:46">
      <c r="A81" s="8" t="s">
        <v>247</v>
      </c>
      <c r="B81" s="66" t="s">
        <v>47</v>
      </c>
      <c r="C81" s="66" t="s">
        <v>979</v>
      </c>
      <c r="D81" s="67" t="s">
        <v>732</v>
      </c>
      <c r="E81" s="67" t="s">
        <v>1108</v>
      </c>
      <c r="F81" s="66" t="s">
        <v>1109</v>
      </c>
      <c r="G81" s="68" t="s">
        <v>1110</v>
      </c>
      <c r="H81" s="71" t="str">
        <f ca="1">IFERROR(__xludf.DUMMYFUNCTION("VLOOKUP(G81, IMPORTRANGE(""https://docs.google.com/spreadsheets/d/14deopnvwcrKtEGCKuYXdUHJbeLDZlkiSSWWT0g7x2pM/edit#gid=999382323"", ""LU List Maths (Filter)!A:B""), 2, FALSE)"),"Theorem: A diagonal of a parallelogram divides it into two congruent triangles.")</f>
        <v>Theorem: A diagonal of a parallelogram divides it into two congruent triangles.</v>
      </c>
      <c r="I81" s="69" t="str">
        <f t="shared" si="0"/>
        <v>LU001308.001</v>
      </c>
      <c r="J81" s="69" t="str">
        <f ca="1">IFERROR(__xludf.DUMMYFUNCTION("VLOOKUP(I81, IMPORTRANGE(""https://docs.google.com/spreadsheets/d/1yDAaXNsi4Mr5FtRQL4tbmSdIzhx6_m4wkOD7IG-k_eo/edit#gid=0"", ""Maths!M:N""), 2, FALSE)"),"Recall and state the theorem, including its assumptions and components.")</f>
        <v>Recall and state the theorem, including its assumptions and components.</v>
      </c>
      <c r="K81" s="69" t="str">
        <f t="shared" si="1"/>
        <v>LU001308.002</v>
      </c>
      <c r="L81" s="69" t="str">
        <f ca="1">IFERROR(__xludf.DUMMYFUNCTION("VLOOKUP(K81, IMPORTRANGE(""https://docs.google.com/spreadsheets/d/1yDAaXNsi4Mr5FtRQL4tbmSdIzhx6_m4wkOD7IG-k_eo/edit#gid=0"", ""Maths!M:N""), 2, FALSE)"),"Describe the steps involved in proving the theorem.")</f>
        <v>Describe the steps involved in proving the theorem.</v>
      </c>
      <c r="M81" s="69" t="str">
        <f t="shared" si="2"/>
        <v>LU001308.003</v>
      </c>
      <c r="N81" s="69" t="str">
        <f ca="1">IFERROR(__xludf.DUMMYFUNCTION("VLOOKUP(M81, IMPORTRANGE(""https://docs.google.com/spreadsheets/d/1yDAaXNsi4Mr5FtRQL4tbmSdIzhx6_m4wkOD7IG-k_eo/edit#gid=0"", ""Maths!M:N""), 2, FALSE)"),"Use the theorem to solve various mathematical problems.")</f>
        <v>Use the theorem to solve various mathematical problems.</v>
      </c>
      <c r="O81" s="69" t="str">
        <f t="shared" si="3"/>
        <v>LU001308.004</v>
      </c>
      <c r="P81" s="69" t="str">
        <f ca="1">IFERROR(__xludf.DUMMYFUNCTION("VLOOKUP(O81, IMPORTRANGE(""https://docs.google.com/spreadsheets/d/1yDAaXNsi4Mr5FtRQL4tbmSdIzhx6_m4wkOD7IG-k_eo/edit#gid=0"", ""Maths!M:N""), 2, FALSE)"),"Break down the proof of the theorem into individual steps with explanations, check the correctness of each step and its explanation.")</f>
        <v>Break down the proof of the theorem into individual steps with explanations, check the correctness of each step and its explanation.</v>
      </c>
      <c r="Q81" s="69" t="str">
        <f t="shared" si="4"/>
        <v>LU001308.005</v>
      </c>
      <c r="R81" s="69" t="str">
        <f ca="1">IFERROR(__xludf.DUMMYFUNCTION("VLOOKUP(Q81, IMPORTRANGE(""https://docs.google.com/spreadsheets/d/1yDAaXNsi4Mr5FtRQL4tbmSdIzhx6_m4wkOD7IG-k_eo/edit#gid=0"", ""Maths!M:N""), 2, FALSE)"),"Critique the theorem by comparing it to related theorems or methods, discussing its strengths, limitations, and overall significance.")</f>
        <v>Critique the theorem by comparing it to related theorems or methods, discussing its strengths, limitations, and overall significance.</v>
      </c>
      <c r="S81" s="69" t="str">
        <f t="shared" si="5"/>
        <v>LU001308.006</v>
      </c>
      <c r="T81" s="69" t="str">
        <f ca="1">IFERROR(__xludf.DUMMYFUNCTION("VLOOKUP(S81, IMPORTRANGE(""https://docs.google.com/spreadsheets/d/1yDAaXNsi4Mr5FtRQL4tbmSdIzhx6_m4wkOD7IG-k_eo/edit#gid=0"", ""Maths!M:N""), 2, FALSE)"),"Develop a geometric proof demonstrating that a diagonal divides a parallelogram into two congruent triangles.")</f>
        <v>Develop a geometric proof demonstrating that a diagonal divides a parallelogram into two congruent triangles.</v>
      </c>
      <c r="U81" s="11" t="str">
        <f ca="1">IFERROR(__xludf.DUMMYFUNCTION("ArrayFormula(VLOOKUP(G81, IMPORTRANGE(""https://docs.google.com/spreadsheets/d/1p7R4vtkWt5VOBim4ltsDG9KTzSjrtKXsMtQGXPHyND0/edit#gid=795171502"", ""'Filter 30_05_2024'!A1:M2000""), {2, 3, 4, 5,6,7,8,9,10,11,12,13}, 0))"),"#N/A")</f>
        <v>#N/A</v>
      </c>
      <c r="V81" s="11" t="str">
        <f ca="1">IFERROR(__xludf.DUMMYFUNCTION("""COMPUTED_VALUE"""),"#N/A")</f>
        <v>#N/A</v>
      </c>
      <c r="W81" s="11" t="str">
        <f ca="1">IFERROR(__xludf.DUMMYFUNCTION("""COMPUTED_VALUE"""),"#N/A")</f>
        <v>#N/A</v>
      </c>
      <c r="X81" s="11" t="str">
        <f ca="1">IFERROR(__xludf.DUMMYFUNCTION("""COMPUTED_VALUE"""),"#N/A")</f>
        <v>#N/A</v>
      </c>
      <c r="Y81" s="11" t="str">
        <f ca="1">IFERROR(__xludf.DUMMYFUNCTION("""COMPUTED_VALUE"""),"#N/A")</f>
        <v>#N/A</v>
      </c>
      <c r="Z81" s="12" t="str">
        <f ca="1">IFERROR(__xludf.DUMMYFUNCTION("""COMPUTED_VALUE"""),"#N/A")</f>
        <v>#N/A</v>
      </c>
      <c r="AA81" s="12" t="str">
        <f ca="1">IFERROR(__xludf.DUMMYFUNCTION("""COMPUTED_VALUE"""),"#N/A")</f>
        <v>#N/A</v>
      </c>
      <c r="AB81" s="12" t="str">
        <f ca="1">IFERROR(__xludf.DUMMYFUNCTION("""COMPUTED_VALUE"""),"#N/A")</f>
        <v>#N/A</v>
      </c>
      <c r="AC81" s="11" t="str">
        <f ca="1">IFERROR(__xludf.DUMMYFUNCTION("""COMPUTED_VALUE"""),"#N/A")</f>
        <v>#N/A</v>
      </c>
      <c r="AD81" s="12" t="str">
        <f ca="1">IFERROR(__xludf.DUMMYFUNCTION("""COMPUTED_VALUE"""),"#N/A")</f>
        <v>#N/A</v>
      </c>
      <c r="AE81" s="12" t="str">
        <f ca="1">IFERROR(__xludf.DUMMYFUNCTION("""COMPUTED_VALUE"""),"#N/A")</f>
        <v>#N/A</v>
      </c>
      <c r="AF81" s="12" t="str">
        <f ca="1">IFERROR(__xludf.DUMMYFUNCTION("""COMPUTED_VALUE"""),"#N/A")</f>
        <v>#N/A</v>
      </c>
      <c r="AG81" s="70" t="str">
        <f ca="1">IFERROR(__xludf.DUMMYFUNCTION("ArrayFormula(VLOOKUP(G81, IMPORTRANGE(""https://docs.google.com/spreadsheets/d/1Co934fvtviyaRiMsrIlT05Jaq7iiYq07aLvRr35KA48/edit?gid=173865642#gid=173865642"", ""'G9_Maths_Pri_LU'!G2:V2000""), {3, 4, 5, 6, 7, 8, 9, 10, 11, 12, 13, 14, 15, 16}, 0))"),"LU001236")</f>
        <v>LU001236</v>
      </c>
      <c r="AH81" s="70" t="str">
        <f ca="1">IFERROR(__xludf.DUMMYFUNCTION("""COMPUTED_VALUE"""),"Theorem for ASA congruence rule")</f>
        <v>Theorem for ASA congruence rule</v>
      </c>
      <c r="AI81" s="70" t="str">
        <f ca="1">IFERROR(__xludf.DUMMYFUNCTION("""COMPUTED_VALUE"""),"LU000595")</f>
        <v>LU000595</v>
      </c>
      <c r="AJ81" s="70" t="str">
        <f ca="1">IFERROR(__xludf.DUMMYFUNCTION("""COMPUTED_VALUE"""),"Definition of parallelogram")</f>
        <v>Definition of parallelogram</v>
      </c>
      <c r="AK81" s="70"/>
      <c r="AL81" s="70"/>
      <c r="AM81" s="13"/>
      <c r="AN81" s="13"/>
      <c r="AO81" s="13"/>
      <c r="AP81" s="13"/>
      <c r="AQ81" s="13"/>
      <c r="AR81" s="13"/>
      <c r="AS81" s="13"/>
      <c r="AT81" s="13"/>
    </row>
    <row r="82" spans="1:46">
      <c r="A82" s="8" t="s">
        <v>247</v>
      </c>
      <c r="B82" s="66" t="s">
        <v>47</v>
      </c>
      <c r="C82" s="66" t="s">
        <v>979</v>
      </c>
      <c r="D82" s="67" t="s">
        <v>732</v>
      </c>
      <c r="E82" s="67" t="s">
        <v>1108</v>
      </c>
      <c r="F82" s="66" t="s">
        <v>1109</v>
      </c>
      <c r="G82" s="68" t="s">
        <v>1111</v>
      </c>
      <c r="H82" s="71" t="str">
        <f ca="1">IFERROR(__xludf.DUMMYFUNCTION("VLOOKUP(G82, IMPORTRANGE(""https://docs.google.com/spreadsheets/d/14deopnvwcrKtEGCKuYXdUHJbeLDZlkiSSWWT0g7x2pM/edit#gid=999382323"", ""LU List Maths (Filter)!A:B""), 2, FALSE)"),"Theorem: In a parallelogram, opposite sides are equal.")</f>
        <v>Theorem: In a parallelogram, opposite sides are equal.</v>
      </c>
      <c r="I82" s="69" t="str">
        <f t="shared" si="0"/>
        <v>LU001309.001</v>
      </c>
      <c r="J82" s="69" t="str">
        <f ca="1">IFERROR(__xludf.DUMMYFUNCTION("VLOOKUP(I82, IMPORTRANGE(""https://docs.google.com/spreadsheets/d/1yDAaXNsi4Mr5FtRQL4tbmSdIzhx6_m4wkOD7IG-k_eo/edit#gid=0"", ""Maths!M:N""), 2, FALSE)"),"Recall and state the theorem, including its assumptions and components.")</f>
        <v>Recall and state the theorem, including its assumptions and components.</v>
      </c>
      <c r="K82" s="69" t="str">
        <f t="shared" si="1"/>
        <v>LU001309.002</v>
      </c>
      <c r="L82" s="69" t="str">
        <f ca="1">IFERROR(__xludf.DUMMYFUNCTION("VLOOKUP(K82, IMPORTRANGE(""https://docs.google.com/spreadsheets/d/1yDAaXNsi4Mr5FtRQL4tbmSdIzhx6_m4wkOD7IG-k_eo/edit#gid=0"", ""Maths!M:N""), 2, FALSE)"),"Describe the steps involved in proving the theorem.")</f>
        <v>Describe the steps involved in proving the theorem.</v>
      </c>
      <c r="M82" s="69" t="str">
        <f t="shared" si="2"/>
        <v>LU001309.003</v>
      </c>
      <c r="N82" s="69" t="str">
        <f ca="1">IFERROR(__xludf.DUMMYFUNCTION("VLOOKUP(M82, IMPORTRANGE(""https://docs.google.com/spreadsheets/d/1yDAaXNsi4Mr5FtRQL4tbmSdIzhx6_m4wkOD7IG-k_eo/edit#gid=0"", ""Maths!M:N""), 2, FALSE)"),"Use the theorem to solve various mathematical problems.")</f>
        <v>Use the theorem to solve various mathematical problems.</v>
      </c>
      <c r="O82" s="69" t="str">
        <f t="shared" si="3"/>
        <v>LU001309.004</v>
      </c>
      <c r="P82" s="69" t="str">
        <f ca="1">IFERROR(__xludf.DUMMYFUNCTION("VLOOKUP(O82, IMPORTRANGE(""https://docs.google.com/spreadsheets/d/1yDAaXNsi4Mr5FtRQL4tbmSdIzhx6_m4wkOD7IG-k_eo/edit#gid=0"", ""Maths!M:N""), 2, FALSE)"),"Break down the proof of the theorem into individual steps with explanations, check the correctness of each step and its explanation.")</f>
        <v>Break down the proof of the theorem into individual steps with explanations, check the correctness of each step and its explanation.</v>
      </c>
      <c r="Q82" s="69" t="str">
        <f t="shared" si="4"/>
        <v>LU001309.005</v>
      </c>
      <c r="R82" s="69" t="str">
        <f ca="1">IFERROR(__xludf.DUMMYFUNCTION("VLOOKUP(Q82, IMPORTRANGE(""https://docs.google.com/spreadsheets/d/1yDAaXNsi4Mr5FtRQL4tbmSdIzhx6_m4wkOD7IG-k_eo/edit#gid=0"", ""Maths!M:N""), 2, FALSE)"),"Critique the theorem by comparing it to related theorems or methods, discussing its strengths, limitations, and overall significance.")</f>
        <v>Critique the theorem by comparing it to related theorems or methods, discussing its strengths, limitations, and overall significance.</v>
      </c>
      <c r="S82" s="69" t="str">
        <f t="shared" si="5"/>
        <v>LU001309.006</v>
      </c>
      <c r="T82" s="69" t="str">
        <f ca="1">IFERROR(__xludf.DUMMYFUNCTION("VLOOKUP(S82, IMPORTRANGE(""https://docs.google.com/spreadsheets/d/1yDAaXNsi4Mr5FtRQL4tbmSdIzhx6_m4wkOD7IG-k_eo/edit#gid=0"", ""Maths!M:N""), 2, FALSE)"),"Formulate a geometric proof to show that opposite sides of a parallelogram are equal.")</f>
        <v>Formulate a geometric proof to show that opposite sides of a parallelogram are equal.</v>
      </c>
      <c r="U82" s="11" t="str">
        <f ca="1">IFERROR(__xludf.DUMMYFUNCTION("ArrayFormula(VLOOKUP(G82, IMPORTRANGE(""https://docs.google.com/spreadsheets/d/1p7R4vtkWt5VOBim4ltsDG9KTzSjrtKXsMtQGXPHyND0/edit#gid=795171502"", ""'Filter 30_05_2024'!A1:M2000""), {2, 3, 4, 5,6,7,8,9,10,11,12,13}, 0))"),"#N/A")</f>
        <v>#N/A</v>
      </c>
      <c r="V82" s="11" t="str">
        <f ca="1">IFERROR(__xludf.DUMMYFUNCTION("""COMPUTED_VALUE"""),"#N/A")</f>
        <v>#N/A</v>
      </c>
      <c r="W82" s="11" t="str">
        <f ca="1">IFERROR(__xludf.DUMMYFUNCTION("""COMPUTED_VALUE"""),"#N/A")</f>
        <v>#N/A</v>
      </c>
      <c r="X82" s="11" t="str">
        <f ca="1">IFERROR(__xludf.DUMMYFUNCTION("""COMPUTED_VALUE"""),"#N/A")</f>
        <v>#N/A</v>
      </c>
      <c r="Y82" s="11" t="str">
        <f ca="1">IFERROR(__xludf.DUMMYFUNCTION("""COMPUTED_VALUE"""),"#N/A")</f>
        <v>#N/A</v>
      </c>
      <c r="Z82" s="12" t="str">
        <f ca="1">IFERROR(__xludf.DUMMYFUNCTION("""COMPUTED_VALUE"""),"#N/A")</f>
        <v>#N/A</v>
      </c>
      <c r="AA82" s="12" t="str">
        <f ca="1">IFERROR(__xludf.DUMMYFUNCTION("""COMPUTED_VALUE"""),"#N/A")</f>
        <v>#N/A</v>
      </c>
      <c r="AB82" s="12" t="str">
        <f ca="1">IFERROR(__xludf.DUMMYFUNCTION("""COMPUTED_VALUE"""),"#N/A")</f>
        <v>#N/A</v>
      </c>
      <c r="AC82" s="11" t="str">
        <f ca="1">IFERROR(__xludf.DUMMYFUNCTION("""COMPUTED_VALUE"""),"#N/A")</f>
        <v>#N/A</v>
      </c>
      <c r="AD82" s="12" t="str">
        <f ca="1">IFERROR(__xludf.DUMMYFUNCTION("""COMPUTED_VALUE"""),"#N/A")</f>
        <v>#N/A</v>
      </c>
      <c r="AE82" s="12" t="str">
        <f ca="1">IFERROR(__xludf.DUMMYFUNCTION("""COMPUTED_VALUE"""),"#N/A")</f>
        <v>#N/A</v>
      </c>
      <c r="AF82" s="12" t="str">
        <f ca="1">IFERROR(__xludf.DUMMYFUNCTION("""COMPUTED_VALUE"""),"#N/A")</f>
        <v>#N/A</v>
      </c>
      <c r="AG82" s="70" t="str">
        <f ca="1">IFERROR(__xludf.DUMMYFUNCTION("ArrayFormula(VLOOKUP(G82, IMPORTRANGE(""https://docs.google.com/spreadsheets/d/1Co934fvtviyaRiMsrIlT05Jaq7iiYq07aLvRr35KA48/edit?gid=173865642#gid=173865642"", ""'G9_Maths_Pri_LU'!G2:V2000""), {3, 4, 5, 6, 7, 8, 9, 10, 11, 12, 13, 14, 15, 16}, 0))"),"LU001308")</f>
        <v>LU001308</v>
      </c>
      <c r="AH82" s="70" t="str">
        <f ca="1">IFERROR(__xludf.DUMMYFUNCTION("""COMPUTED_VALUE"""),"Theorem: A diagonal of a parallelogram divides it into two congruent triangles.")</f>
        <v>Theorem: A diagonal of a parallelogram divides it into two congruent triangles.</v>
      </c>
      <c r="AI82" s="70" t="str">
        <f ca="1">IFERROR(__xludf.DUMMYFUNCTION("""COMPUTED_VALUE"""),"LU001236")</f>
        <v>LU001236</v>
      </c>
      <c r="AJ82" s="70" t="str">
        <f ca="1">IFERROR(__xludf.DUMMYFUNCTION("""COMPUTED_VALUE"""),"Theorem for ASA congruence rule")</f>
        <v>Theorem for ASA congruence rule</v>
      </c>
      <c r="AK82" s="70"/>
      <c r="AL82" s="70"/>
      <c r="AM82" s="13"/>
      <c r="AN82" s="13"/>
      <c r="AO82" s="13"/>
      <c r="AP82" s="13"/>
      <c r="AQ82" s="13"/>
      <c r="AR82" s="13"/>
      <c r="AS82" s="13"/>
      <c r="AT82" s="13"/>
    </row>
    <row r="83" spans="1:46">
      <c r="A83" s="8" t="s">
        <v>247</v>
      </c>
      <c r="B83" s="66" t="s">
        <v>47</v>
      </c>
      <c r="C83" s="66" t="s">
        <v>979</v>
      </c>
      <c r="D83" s="67" t="s">
        <v>732</v>
      </c>
      <c r="E83" s="67" t="s">
        <v>1108</v>
      </c>
      <c r="F83" s="66" t="s">
        <v>1112</v>
      </c>
      <c r="G83" s="68" t="s">
        <v>1113</v>
      </c>
      <c r="H83" s="71" t="str">
        <f ca="1">IFERROR(__xludf.DUMMYFUNCTION("VLOOKUP(G83, IMPORTRANGE(""https://docs.google.com/spreadsheets/d/14deopnvwcrKtEGCKuYXdUHJbeLDZlkiSSWWT0g7x2pM/edit#gid=999382323"", ""LU List Maths (Filter)!A:B""), 2, FALSE)"),"Theorem: If each pair of opposite sides of a quadrilateral is equal, then it is a parallelogram.")</f>
        <v>Theorem: If each pair of opposite sides of a quadrilateral is equal, then it is a parallelogram.</v>
      </c>
      <c r="I83" s="69" t="str">
        <f t="shared" si="0"/>
        <v>LU001310.001</v>
      </c>
      <c r="J83" s="69" t="str">
        <f ca="1">IFERROR(__xludf.DUMMYFUNCTION("VLOOKUP(I83, IMPORTRANGE(""https://docs.google.com/spreadsheets/d/1yDAaXNsi4Mr5FtRQL4tbmSdIzhx6_m4wkOD7IG-k_eo/edit#gid=0"", ""Maths!M:N""), 2, FALSE)"),"Recall and state the theorem, including its assumptions and components.")</f>
        <v>Recall and state the theorem, including its assumptions and components.</v>
      </c>
      <c r="K83" s="69" t="str">
        <f t="shared" si="1"/>
        <v>LU001310.002</v>
      </c>
      <c r="L83" s="69" t="str">
        <f ca="1">IFERROR(__xludf.DUMMYFUNCTION("VLOOKUP(K83, IMPORTRANGE(""https://docs.google.com/spreadsheets/d/1yDAaXNsi4Mr5FtRQL4tbmSdIzhx6_m4wkOD7IG-k_eo/edit#gid=0"", ""Maths!M:N""), 2, FALSE)"),"Describe the steps involved in proving the theorem.")</f>
        <v>Describe the steps involved in proving the theorem.</v>
      </c>
      <c r="M83" s="69" t="str">
        <f t="shared" si="2"/>
        <v>LU001310.003</v>
      </c>
      <c r="N83" s="69" t="str">
        <f ca="1">IFERROR(__xludf.DUMMYFUNCTION("VLOOKUP(M83, IMPORTRANGE(""https://docs.google.com/spreadsheets/d/1yDAaXNsi4Mr5FtRQL4tbmSdIzhx6_m4wkOD7IG-k_eo/edit#gid=0"", ""Maths!M:N""), 2, FALSE)"),"Use the theorem to solve various mathematical problems.")</f>
        <v>Use the theorem to solve various mathematical problems.</v>
      </c>
      <c r="O83" s="69" t="str">
        <f t="shared" si="3"/>
        <v>LU001310.004</v>
      </c>
      <c r="P83" s="69" t="str">
        <f ca="1">IFERROR(__xludf.DUMMYFUNCTION("VLOOKUP(O83, IMPORTRANGE(""https://docs.google.com/spreadsheets/d/1yDAaXNsi4Mr5FtRQL4tbmSdIzhx6_m4wkOD7IG-k_eo/edit#gid=0"", ""Maths!M:N""), 2, FALSE)"),"Break down the proof of the theorem into individual steps with explanations, check the correctness of each step and its explanation.")</f>
        <v>Break down the proof of the theorem into individual steps with explanations, check the correctness of each step and its explanation.</v>
      </c>
      <c r="Q83" s="69" t="str">
        <f t="shared" si="4"/>
        <v>LU001310.005</v>
      </c>
      <c r="R83" s="69" t="str">
        <f ca="1">IFERROR(__xludf.DUMMYFUNCTION("VLOOKUP(Q83, IMPORTRANGE(""https://docs.google.com/spreadsheets/d/1yDAaXNsi4Mr5FtRQL4tbmSdIzhx6_m4wkOD7IG-k_eo/edit#gid=0"", ""Maths!M:N""), 2, FALSE)"),"Critique the theorem by comparing it to related theorems or methods, discussing its strengths, limitations, and overall significance.")</f>
        <v>Critique the theorem by comparing it to related theorems or methods, discussing its strengths, limitations, and overall significance.</v>
      </c>
      <c r="S83" s="69" t="str">
        <f t="shared" si="5"/>
        <v>LU001310.006</v>
      </c>
      <c r="T83" s="69" t="str">
        <f ca="1">IFERROR(__xludf.DUMMYFUNCTION("VLOOKUP(S83, IMPORTRANGE(""https://docs.google.com/spreadsheets/d/1yDAaXNsi4Mr5FtRQL4tbmSdIzhx6_m4wkOD7IG-k_eo/edit#gid=0"", ""Maths!M:N""), 2, FALSE)"),"Formulate a proof to show that a quadrilateral with equal opposite sides is a parallelogram.")</f>
        <v>Formulate a proof to show that a quadrilateral with equal opposite sides is a parallelogram.</v>
      </c>
      <c r="U83" s="11" t="str">
        <f ca="1">IFERROR(__xludf.DUMMYFUNCTION("ArrayFormula(VLOOKUP(G83, IMPORTRANGE(""https://docs.google.com/spreadsheets/d/1p7R4vtkWt5VOBim4ltsDG9KTzSjrtKXsMtQGXPHyND0/edit#gid=795171502"", ""'Filter 30_05_2024'!A1:M2000""), {2, 3, 4, 5,6,7,8,9,10,11,12,13}, 0))"),"#N/A")</f>
        <v>#N/A</v>
      </c>
      <c r="V83" s="11" t="str">
        <f ca="1">IFERROR(__xludf.DUMMYFUNCTION("""COMPUTED_VALUE"""),"#N/A")</f>
        <v>#N/A</v>
      </c>
      <c r="W83" s="11" t="str">
        <f ca="1">IFERROR(__xludf.DUMMYFUNCTION("""COMPUTED_VALUE"""),"#N/A")</f>
        <v>#N/A</v>
      </c>
      <c r="X83" s="11" t="str">
        <f ca="1">IFERROR(__xludf.DUMMYFUNCTION("""COMPUTED_VALUE"""),"#N/A")</f>
        <v>#N/A</v>
      </c>
      <c r="Y83" s="11" t="str">
        <f ca="1">IFERROR(__xludf.DUMMYFUNCTION("""COMPUTED_VALUE"""),"#N/A")</f>
        <v>#N/A</v>
      </c>
      <c r="Z83" s="12" t="str">
        <f ca="1">IFERROR(__xludf.DUMMYFUNCTION("""COMPUTED_VALUE"""),"#N/A")</f>
        <v>#N/A</v>
      </c>
      <c r="AA83" s="12" t="str">
        <f ca="1">IFERROR(__xludf.DUMMYFUNCTION("""COMPUTED_VALUE"""),"#N/A")</f>
        <v>#N/A</v>
      </c>
      <c r="AB83" s="12" t="str">
        <f ca="1">IFERROR(__xludf.DUMMYFUNCTION("""COMPUTED_VALUE"""),"#N/A")</f>
        <v>#N/A</v>
      </c>
      <c r="AC83" s="11" t="str">
        <f ca="1">IFERROR(__xludf.DUMMYFUNCTION("""COMPUTED_VALUE"""),"#N/A")</f>
        <v>#N/A</v>
      </c>
      <c r="AD83" s="12" t="str">
        <f ca="1">IFERROR(__xludf.DUMMYFUNCTION("""COMPUTED_VALUE"""),"#N/A")</f>
        <v>#N/A</v>
      </c>
      <c r="AE83" s="12" t="str">
        <f ca="1">IFERROR(__xludf.DUMMYFUNCTION("""COMPUTED_VALUE"""),"#N/A")</f>
        <v>#N/A</v>
      </c>
      <c r="AF83" s="12" t="str">
        <f ca="1">IFERROR(__xludf.DUMMYFUNCTION("""COMPUTED_VALUE"""),"#N/A")</f>
        <v>#N/A</v>
      </c>
      <c r="AG83" s="70" t="str">
        <f ca="1">IFERROR(__xludf.DUMMYFUNCTION("ArrayFormula(VLOOKUP(G83, IMPORTRANGE(""https://docs.google.com/spreadsheets/d/1Co934fvtviyaRiMsrIlT05Jaq7iiYq07aLvRr35KA48/edit?gid=173865642#gid=173865642"", ""'G9_Maths_Pri_LU'!G2:V2000""), {3, 4, 5, 6, 7, 8, 9, 10, 11, 12, 13, 14, 15, 16}, 0))"),"LU001239")</f>
        <v>LU001239</v>
      </c>
      <c r="AH83" s="70" t="str">
        <f ca="1">IFERROR(__xludf.DUMMYFUNCTION("""COMPUTED_VALUE"""),"Theorem for SSS congruence rule")</f>
        <v>Theorem for SSS congruence rule</v>
      </c>
      <c r="AI83" s="70" t="str">
        <f ca="1">IFERROR(__xludf.DUMMYFUNCTION("""COMPUTED_VALUE"""),"LU000595")</f>
        <v>LU000595</v>
      </c>
      <c r="AJ83" s="70" t="str">
        <f ca="1">IFERROR(__xludf.DUMMYFUNCTION("""COMPUTED_VALUE"""),"Definition of parallelogram")</f>
        <v>Definition of parallelogram</v>
      </c>
      <c r="AK83" s="70"/>
      <c r="AL83" s="70"/>
      <c r="AM83" s="13"/>
      <c r="AN83" s="13"/>
      <c r="AO83" s="13"/>
      <c r="AP83" s="13"/>
      <c r="AQ83" s="13"/>
      <c r="AR83" s="13"/>
      <c r="AS83" s="13"/>
      <c r="AT83" s="13"/>
    </row>
    <row r="84" spans="1:46">
      <c r="A84" s="8" t="s">
        <v>247</v>
      </c>
      <c r="B84" s="66" t="s">
        <v>47</v>
      </c>
      <c r="C84" s="66" t="s">
        <v>979</v>
      </c>
      <c r="D84" s="67" t="s">
        <v>732</v>
      </c>
      <c r="E84" s="67" t="s">
        <v>1108</v>
      </c>
      <c r="F84" s="66" t="s">
        <v>1112</v>
      </c>
      <c r="G84" s="68" t="s">
        <v>1114</v>
      </c>
      <c r="H84" s="71" t="str">
        <f ca="1">IFERROR(__xludf.DUMMYFUNCTION("VLOOKUP(G84, IMPORTRANGE(""https://docs.google.com/spreadsheets/d/14deopnvwcrKtEGCKuYXdUHJbeLDZlkiSSWWT0g7x2pM/edit#gid=999382323"", ""LU List Maths (Filter)!A:B""), 2, FALSE)"),"Theorem: In a parallelogram, opposite angles are equal.")</f>
        <v>Theorem: In a parallelogram, opposite angles are equal.</v>
      </c>
      <c r="I84" s="69" t="str">
        <f t="shared" si="0"/>
        <v>LU001311.001</v>
      </c>
      <c r="J84" s="69" t="str">
        <f ca="1">IFERROR(__xludf.DUMMYFUNCTION("VLOOKUP(I84, IMPORTRANGE(""https://docs.google.com/spreadsheets/d/1yDAaXNsi4Mr5FtRQL4tbmSdIzhx6_m4wkOD7IG-k_eo/edit#gid=0"", ""Maths!M:N""), 2, FALSE)"),"Recall and state the theorem, including its assumptions and components.")</f>
        <v>Recall and state the theorem, including its assumptions and components.</v>
      </c>
      <c r="K84" s="69" t="str">
        <f t="shared" si="1"/>
        <v>LU001311.002</v>
      </c>
      <c r="L84" s="69" t="str">
        <f ca="1">IFERROR(__xludf.DUMMYFUNCTION("VLOOKUP(K84, IMPORTRANGE(""https://docs.google.com/spreadsheets/d/1yDAaXNsi4Mr5FtRQL4tbmSdIzhx6_m4wkOD7IG-k_eo/edit#gid=0"", ""Maths!M:N""), 2, FALSE)"),"Describe the steps involved in proving the theorem.")</f>
        <v>Describe the steps involved in proving the theorem.</v>
      </c>
      <c r="M84" s="69" t="str">
        <f t="shared" si="2"/>
        <v>LU001311.003</v>
      </c>
      <c r="N84" s="69" t="str">
        <f ca="1">IFERROR(__xludf.DUMMYFUNCTION("VLOOKUP(M84, IMPORTRANGE(""https://docs.google.com/spreadsheets/d/1yDAaXNsi4Mr5FtRQL4tbmSdIzhx6_m4wkOD7IG-k_eo/edit#gid=0"", ""Maths!M:N""), 2, FALSE)"),"Use the theorem to solve various mathematical problems.")</f>
        <v>Use the theorem to solve various mathematical problems.</v>
      </c>
      <c r="O84" s="69" t="str">
        <f t="shared" si="3"/>
        <v>LU001311.004</v>
      </c>
      <c r="P84" s="69" t="str">
        <f ca="1">IFERROR(__xludf.DUMMYFUNCTION("VLOOKUP(O84, IMPORTRANGE(""https://docs.google.com/spreadsheets/d/1yDAaXNsi4Mr5FtRQL4tbmSdIzhx6_m4wkOD7IG-k_eo/edit#gid=0"", ""Maths!M:N""), 2, FALSE)"),"Break down the proof of the theorem into individual steps with explanations, check the correctness of each step and its explanation.")</f>
        <v>Break down the proof of the theorem into individual steps with explanations, check the correctness of each step and its explanation.</v>
      </c>
      <c r="Q84" s="69" t="str">
        <f t="shared" si="4"/>
        <v>LU001311.005</v>
      </c>
      <c r="R84" s="69" t="str">
        <f ca="1">IFERROR(__xludf.DUMMYFUNCTION("VLOOKUP(Q84, IMPORTRANGE(""https://docs.google.com/spreadsheets/d/1yDAaXNsi4Mr5FtRQL4tbmSdIzhx6_m4wkOD7IG-k_eo/edit#gid=0"", ""Maths!M:N""), 2, FALSE)"),"Critique the theorem by comparing it to related theorems or methods, discussing its strengths, limitations, and overall significance.")</f>
        <v>Critique the theorem by comparing it to related theorems or methods, discussing its strengths, limitations, and overall significance.</v>
      </c>
      <c r="S84" s="69" t="str">
        <f t="shared" si="5"/>
        <v>LU001311.006</v>
      </c>
      <c r="T84" s="69" t="str">
        <f ca="1">IFERROR(__xludf.DUMMYFUNCTION("VLOOKUP(S84, IMPORTRANGE(""https://docs.google.com/spreadsheets/d/1yDAaXNsi4Mr5FtRQL4tbmSdIzhx6_m4wkOD7IG-k_eo/edit#gid=0"", ""Maths!M:N""), 2, FALSE)"),"Develop a geometric proof to show that opposite angles of a parallelogram are equal.")</f>
        <v>Develop a geometric proof to show that opposite angles of a parallelogram are equal.</v>
      </c>
      <c r="U84" s="11" t="str">
        <f ca="1">IFERROR(__xludf.DUMMYFUNCTION("ArrayFormula(VLOOKUP(G84, IMPORTRANGE(""https://docs.google.com/spreadsheets/d/1p7R4vtkWt5VOBim4ltsDG9KTzSjrtKXsMtQGXPHyND0/edit#gid=795171502"", ""'Filter 30_05_2024'!A1:M2000""), {2, 3, 4, 5,6,7,8,9,10,11,12,13}, 0))"),"#N/A")</f>
        <v>#N/A</v>
      </c>
      <c r="V84" s="11" t="str">
        <f ca="1">IFERROR(__xludf.DUMMYFUNCTION("""COMPUTED_VALUE"""),"#N/A")</f>
        <v>#N/A</v>
      </c>
      <c r="W84" s="11" t="str">
        <f ca="1">IFERROR(__xludf.DUMMYFUNCTION("""COMPUTED_VALUE"""),"#N/A")</f>
        <v>#N/A</v>
      </c>
      <c r="X84" s="11" t="str">
        <f ca="1">IFERROR(__xludf.DUMMYFUNCTION("""COMPUTED_VALUE"""),"#N/A")</f>
        <v>#N/A</v>
      </c>
      <c r="Y84" s="11" t="str">
        <f ca="1">IFERROR(__xludf.DUMMYFUNCTION("""COMPUTED_VALUE"""),"#N/A")</f>
        <v>#N/A</v>
      </c>
      <c r="Z84" s="12" t="str">
        <f ca="1">IFERROR(__xludf.DUMMYFUNCTION("""COMPUTED_VALUE"""),"#N/A")</f>
        <v>#N/A</v>
      </c>
      <c r="AA84" s="12" t="str">
        <f ca="1">IFERROR(__xludf.DUMMYFUNCTION("""COMPUTED_VALUE"""),"#N/A")</f>
        <v>#N/A</v>
      </c>
      <c r="AB84" s="12" t="str">
        <f ca="1">IFERROR(__xludf.DUMMYFUNCTION("""COMPUTED_VALUE"""),"#N/A")</f>
        <v>#N/A</v>
      </c>
      <c r="AC84" s="11" t="str">
        <f ca="1">IFERROR(__xludf.DUMMYFUNCTION("""COMPUTED_VALUE"""),"#N/A")</f>
        <v>#N/A</v>
      </c>
      <c r="AD84" s="12" t="str">
        <f ca="1">IFERROR(__xludf.DUMMYFUNCTION("""COMPUTED_VALUE"""),"#N/A")</f>
        <v>#N/A</v>
      </c>
      <c r="AE84" s="12" t="str">
        <f ca="1">IFERROR(__xludf.DUMMYFUNCTION("""COMPUTED_VALUE"""),"#N/A")</f>
        <v>#N/A</v>
      </c>
      <c r="AF84" s="12" t="str">
        <f ca="1">IFERROR(__xludf.DUMMYFUNCTION("""COMPUTED_VALUE"""),"#N/A")</f>
        <v>#N/A</v>
      </c>
      <c r="AG84" s="70" t="str">
        <f ca="1">IFERROR(__xludf.DUMMYFUNCTION("ArrayFormula(VLOOKUP(G84, IMPORTRANGE(""https://docs.google.com/spreadsheets/d/1Co934fvtviyaRiMsrIlT05Jaq7iiYq07aLvRr35KA48/edit?gid=173865642#gid=173865642"", ""'G9_Maths_Pri_LU'!G2:V2000""), {3, 4, 5, 6, 7, 8, 9, 10, 11, 12, 13, 14, 15, 16}, 0))"),"LU001022")</f>
        <v>LU001022</v>
      </c>
      <c r="AH84" s="70" t="str">
        <f ca="1">IFERROR(__xludf.DUMMYFUNCTION("""COMPUTED_VALUE"""),"Angles made by transversal - Alternate interior angles")</f>
        <v>Angles made by transversal - Alternate interior angles</v>
      </c>
      <c r="AI84" s="70" t="str">
        <f ca="1">IFERROR(__xludf.DUMMYFUNCTION("""COMPUTED_VALUE"""),"LU001239")</f>
        <v>LU001239</v>
      </c>
      <c r="AJ84" s="70" t="str">
        <f ca="1">IFERROR(__xludf.DUMMYFUNCTION("""COMPUTED_VALUE"""),"Theorem for SSS congruence rule")</f>
        <v>Theorem for SSS congruence rule</v>
      </c>
      <c r="AK84" s="70" t="str">
        <f ca="1">IFERROR(__xludf.DUMMYFUNCTION("""COMPUTED_VALUE"""),"LU000595")</f>
        <v>LU000595</v>
      </c>
      <c r="AL84" s="70" t="str">
        <f ca="1">IFERROR(__xludf.DUMMYFUNCTION("""COMPUTED_VALUE"""),"Definition of parallelogram")</f>
        <v>Definition of parallelogram</v>
      </c>
      <c r="AM84" s="13"/>
      <c r="AN84" s="13"/>
      <c r="AO84" s="13"/>
      <c r="AP84" s="13"/>
      <c r="AQ84" s="13"/>
      <c r="AR84" s="13"/>
      <c r="AS84" s="13"/>
      <c r="AT84" s="13"/>
    </row>
    <row r="85" spans="1:46">
      <c r="A85" s="8" t="s">
        <v>247</v>
      </c>
      <c r="B85" s="66" t="s">
        <v>47</v>
      </c>
      <c r="C85" s="66" t="s">
        <v>979</v>
      </c>
      <c r="D85" s="67" t="s">
        <v>732</v>
      </c>
      <c r="E85" s="67" t="s">
        <v>1108</v>
      </c>
      <c r="F85" s="66" t="s">
        <v>1112</v>
      </c>
      <c r="G85" s="68" t="s">
        <v>1115</v>
      </c>
      <c r="H85" s="71" t="str">
        <f ca="1">IFERROR(__xludf.DUMMYFUNCTION("VLOOKUP(G85, IMPORTRANGE(""https://docs.google.com/spreadsheets/d/14deopnvwcrKtEGCKuYXdUHJbeLDZlkiSSWWT0g7x2pM/edit#gid=999382323"", ""LU List Maths (Filter)!A:B""), 2, FALSE)"),"Theorem: If in a quadrilateral, each pair of opposite angles is equal, then it is a parallelogram.")</f>
        <v>Theorem: If in a quadrilateral, each pair of opposite angles is equal, then it is a parallelogram.</v>
      </c>
      <c r="I85" s="69" t="str">
        <f t="shared" si="0"/>
        <v>LU001312.001</v>
      </c>
      <c r="J85" s="69" t="str">
        <f ca="1">IFERROR(__xludf.DUMMYFUNCTION("VLOOKUP(I85, IMPORTRANGE(""https://docs.google.com/spreadsheets/d/1yDAaXNsi4Mr5FtRQL4tbmSdIzhx6_m4wkOD7IG-k_eo/edit#gid=0"", ""Maths!M:N""), 2, FALSE)"),"Recall and state the theorem, including its assumptions and components.")</f>
        <v>Recall and state the theorem, including its assumptions and components.</v>
      </c>
      <c r="K85" s="69" t="str">
        <f t="shared" si="1"/>
        <v>LU001312.002</v>
      </c>
      <c r="L85" s="69" t="str">
        <f ca="1">IFERROR(__xludf.DUMMYFUNCTION("VLOOKUP(K85, IMPORTRANGE(""https://docs.google.com/spreadsheets/d/1yDAaXNsi4Mr5FtRQL4tbmSdIzhx6_m4wkOD7IG-k_eo/edit#gid=0"", ""Maths!M:N""), 2, FALSE)"),"Describe the steps involved in proving the theorem.")</f>
        <v>Describe the steps involved in proving the theorem.</v>
      </c>
      <c r="M85" s="69" t="str">
        <f t="shared" si="2"/>
        <v>LU001312.003</v>
      </c>
      <c r="N85" s="69" t="str">
        <f ca="1">IFERROR(__xludf.DUMMYFUNCTION("VLOOKUP(M85, IMPORTRANGE(""https://docs.google.com/spreadsheets/d/1yDAaXNsi4Mr5FtRQL4tbmSdIzhx6_m4wkOD7IG-k_eo/edit#gid=0"", ""Maths!M:N""), 2, FALSE)"),"Use the theorem to solve various mathematical problems.")</f>
        <v>Use the theorem to solve various mathematical problems.</v>
      </c>
      <c r="O85" s="69" t="str">
        <f t="shared" si="3"/>
        <v>LU001312.004</v>
      </c>
      <c r="P85" s="69" t="str">
        <f ca="1">IFERROR(__xludf.DUMMYFUNCTION("VLOOKUP(O85, IMPORTRANGE(""https://docs.google.com/spreadsheets/d/1yDAaXNsi4Mr5FtRQL4tbmSdIzhx6_m4wkOD7IG-k_eo/edit#gid=0"", ""Maths!M:N""), 2, FALSE)"),"Break down the proof of the theorem into individual steps with explanations, check the correctness of each step and its explanation.")</f>
        <v>Break down the proof of the theorem into individual steps with explanations, check the correctness of each step and its explanation.</v>
      </c>
      <c r="Q85" s="69" t="str">
        <f t="shared" si="4"/>
        <v>LU001312.005</v>
      </c>
      <c r="R85" s="69" t="str">
        <f ca="1">IFERROR(__xludf.DUMMYFUNCTION("VLOOKUP(Q85, IMPORTRANGE(""https://docs.google.com/spreadsheets/d/1yDAaXNsi4Mr5FtRQL4tbmSdIzhx6_m4wkOD7IG-k_eo/edit#gid=0"", ""Maths!M:N""), 2, FALSE)"),"Critique the theorem by comparing it to related theorems or methods, discussing its strengths, limitations, and overall significance.")</f>
        <v>Critique the theorem by comparing it to related theorems or methods, discussing its strengths, limitations, and overall significance.</v>
      </c>
      <c r="S85" s="69" t="str">
        <f t="shared" si="5"/>
        <v>LU001312.006</v>
      </c>
      <c r="T85" s="69" t="str">
        <f ca="1">IFERROR(__xludf.DUMMYFUNCTION("VLOOKUP(S85, IMPORTRANGE(""https://docs.google.com/spreadsheets/d/1yDAaXNsi4Mr5FtRQL4tbmSdIzhx6_m4wkOD7IG-k_eo/edit#gid=0"", ""Maths!M:N""), 2, FALSE)"),"Construct a proof to show that a quadrilateral with equal opposite angles is a parallelogram.")</f>
        <v>Construct a proof to show that a quadrilateral with equal opposite angles is a parallelogram.</v>
      </c>
      <c r="U85" s="11" t="str">
        <f ca="1">IFERROR(__xludf.DUMMYFUNCTION("ArrayFormula(VLOOKUP(G85, IMPORTRANGE(""https://docs.google.com/spreadsheets/d/1p7R4vtkWt5VOBim4ltsDG9KTzSjrtKXsMtQGXPHyND0/edit#gid=795171502"", ""'Filter 30_05_2024'!A1:M2000""), {2, 3, 4, 5,6,7,8,9,10,11,12,13}, 0))"),"#N/A")</f>
        <v>#N/A</v>
      </c>
      <c r="V85" s="11" t="str">
        <f ca="1">IFERROR(__xludf.DUMMYFUNCTION("""COMPUTED_VALUE"""),"#N/A")</f>
        <v>#N/A</v>
      </c>
      <c r="W85" s="11" t="str">
        <f ca="1">IFERROR(__xludf.DUMMYFUNCTION("""COMPUTED_VALUE"""),"#N/A")</f>
        <v>#N/A</v>
      </c>
      <c r="X85" s="11" t="str">
        <f ca="1">IFERROR(__xludf.DUMMYFUNCTION("""COMPUTED_VALUE"""),"#N/A")</f>
        <v>#N/A</v>
      </c>
      <c r="Y85" s="11" t="str">
        <f ca="1">IFERROR(__xludf.DUMMYFUNCTION("""COMPUTED_VALUE"""),"#N/A")</f>
        <v>#N/A</v>
      </c>
      <c r="Z85" s="12" t="str">
        <f ca="1">IFERROR(__xludf.DUMMYFUNCTION("""COMPUTED_VALUE"""),"#N/A")</f>
        <v>#N/A</v>
      </c>
      <c r="AA85" s="12" t="str">
        <f ca="1">IFERROR(__xludf.DUMMYFUNCTION("""COMPUTED_VALUE"""),"#N/A")</f>
        <v>#N/A</v>
      </c>
      <c r="AB85" s="12" t="str">
        <f ca="1">IFERROR(__xludf.DUMMYFUNCTION("""COMPUTED_VALUE"""),"#N/A")</f>
        <v>#N/A</v>
      </c>
      <c r="AC85" s="11" t="str">
        <f ca="1">IFERROR(__xludf.DUMMYFUNCTION("""COMPUTED_VALUE"""),"#N/A")</f>
        <v>#N/A</v>
      </c>
      <c r="AD85" s="12" t="str">
        <f ca="1">IFERROR(__xludf.DUMMYFUNCTION("""COMPUTED_VALUE"""),"#N/A")</f>
        <v>#N/A</v>
      </c>
      <c r="AE85" s="12" t="str">
        <f ca="1">IFERROR(__xludf.DUMMYFUNCTION("""COMPUTED_VALUE"""),"#N/A")</f>
        <v>#N/A</v>
      </c>
      <c r="AF85" s="12" t="str">
        <f ca="1">IFERROR(__xludf.DUMMYFUNCTION("""COMPUTED_VALUE"""),"#N/A")</f>
        <v>#N/A</v>
      </c>
      <c r="AG85" s="70" t="str">
        <f ca="1">IFERROR(__xludf.DUMMYFUNCTION("ArrayFormula(VLOOKUP(G85, IMPORTRANGE(""https://docs.google.com/spreadsheets/d/1Co934fvtviyaRiMsrIlT05Jaq7iiYq07aLvRr35KA48/edit?gid=173865642#gid=173865642"", ""'G9_Maths_Pri_LU'!G2:V2000""), {3, 4, 5, 6, 7, 8, 9, 10, 11, 12, 13, 14, 15, 16}, 0))"),"LU000592")</f>
        <v>LU000592</v>
      </c>
      <c r="AH85" s="70" t="str">
        <f ca="1">IFERROR(__xludf.DUMMYFUNCTION("""COMPUTED_VALUE"""),"Angle sum property of a quadrilateral")</f>
        <v>Angle sum property of a quadrilateral</v>
      </c>
      <c r="AI85" s="70" t="str">
        <f ca="1">IFERROR(__xludf.DUMMYFUNCTION("""COMPUTED_VALUE"""),"LU001025")</f>
        <v>LU001025</v>
      </c>
      <c r="AJ85" s="70" t="str">
        <f ca="1">IFERROR(__xludf.DUMMYFUNCTION("""COMPUTED_VALUE"""),"Angles made by transversal - Interior angles on the same side of the transversal")</f>
        <v>Angles made by transversal - Interior angles on the same side of the transversal</v>
      </c>
      <c r="AK85" s="70" t="str">
        <f ca="1">IFERROR(__xludf.DUMMYFUNCTION("""COMPUTED_VALUE"""),"LU000595")</f>
        <v>LU000595</v>
      </c>
      <c r="AL85" s="70" t="str">
        <f ca="1">IFERROR(__xludf.DUMMYFUNCTION("""COMPUTED_VALUE"""),"Definition of parallelogram")</f>
        <v>Definition of parallelogram</v>
      </c>
      <c r="AM85" s="13"/>
      <c r="AN85" s="13"/>
      <c r="AO85" s="13"/>
      <c r="AP85" s="13"/>
      <c r="AQ85" s="13"/>
      <c r="AR85" s="13"/>
      <c r="AS85" s="13"/>
      <c r="AT85" s="13"/>
    </row>
    <row r="86" spans="1:46">
      <c r="A86" s="8" t="s">
        <v>247</v>
      </c>
      <c r="B86" s="66" t="s">
        <v>47</v>
      </c>
      <c r="C86" s="66" t="s">
        <v>979</v>
      </c>
      <c r="D86" s="67" t="s">
        <v>732</v>
      </c>
      <c r="E86" s="67" t="s">
        <v>1108</v>
      </c>
      <c r="F86" s="66" t="s">
        <v>1116</v>
      </c>
      <c r="G86" s="68" t="s">
        <v>1117</v>
      </c>
      <c r="H86" s="71" t="str">
        <f ca="1">IFERROR(__xludf.DUMMYFUNCTION("VLOOKUP(G86, IMPORTRANGE(""https://docs.google.com/spreadsheets/d/14deopnvwcrKtEGCKuYXdUHJbeLDZlkiSSWWT0g7x2pM/edit#gid=999382323"", ""LU List Maths (Filter)!A:B""), 2, FALSE)"),"Theorem: The diagonals of a parallelogram bisect each other.")</f>
        <v>Theorem: The diagonals of a parallelogram bisect each other.</v>
      </c>
      <c r="I86" s="69" t="str">
        <f t="shared" si="0"/>
        <v>LU001313.001</v>
      </c>
      <c r="J86" s="69" t="str">
        <f ca="1">IFERROR(__xludf.DUMMYFUNCTION("VLOOKUP(I86, IMPORTRANGE(""https://docs.google.com/spreadsheets/d/1yDAaXNsi4Mr5FtRQL4tbmSdIzhx6_m4wkOD7IG-k_eo/edit#gid=0"", ""Maths!M:N""), 2, FALSE)"),"Recall and state the theorem, including its assumptions and components.")</f>
        <v>Recall and state the theorem, including its assumptions and components.</v>
      </c>
      <c r="K86" s="69" t="str">
        <f t="shared" si="1"/>
        <v>LU001313.002</v>
      </c>
      <c r="L86" s="69" t="str">
        <f ca="1">IFERROR(__xludf.DUMMYFUNCTION("VLOOKUP(K86, IMPORTRANGE(""https://docs.google.com/spreadsheets/d/1yDAaXNsi4Mr5FtRQL4tbmSdIzhx6_m4wkOD7IG-k_eo/edit#gid=0"", ""Maths!M:N""), 2, FALSE)"),"Describe the steps involved in proving the theorem.")</f>
        <v>Describe the steps involved in proving the theorem.</v>
      </c>
      <c r="M86" s="69" t="str">
        <f t="shared" si="2"/>
        <v>LU001313.003</v>
      </c>
      <c r="N86" s="69" t="str">
        <f ca="1">IFERROR(__xludf.DUMMYFUNCTION("VLOOKUP(M86, IMPORTRANGE(""https://docs.google.com/spreadsheets/d/1yDAaXNsi4Mr5FtRQL4tbmSdIzhx6_m4wkOD7IG-k_eo/edit#gid=0"", ""Maths!M:N""), 2, FALSE)"),"Use the theorem to solve various mathematical problems.")</f>
        <v>Use the theorem to solve various mathematical problems.</v>
      </c>
      <c r="O86" s="69" t="str">
        <f t="shared" si="3"/>
        <v>LU001313.004</v>
      </c>
      <c r="P86" s="69" t="str">
        <f ca="1">IFERROR(__xludf.DUMMYFUNCTION("VLOOKUP(O86, IMPORTRANGE(""https://docs.google.com/spreadsheets/d/1yDAaXNsi4Mr5FtRQL4tbmSdIzhx6_m4wkOD7IG-k_eo/edit#gid=0"", ""Maths!M:N""), 2, FALSE)"),"Break down the proof of the theorem into individual steps with explanations, check the correctness of each step and its explanation.")</f>
        <v>Break down the proof of the theorem into individual steps with explanations, check the correctness of each step and its explanation.</v>
      </c>
      <c r="Q86" s="69" t="str">
        <f t="shared" si="4"/>
        <v>LU001313.005</v>
      </c>
      <c r="R86" s="69" t="str">
        <f ca="1">IFERROR(__xludf.DUMMYFUNCTION("VLOOKUP(Q86, IMPORTRANGE(""https://docs.google.com/spreadsheets/d/1yDAaXNsi4Mr5FtRQL4tbmSdIzhx6_m4wkOD7IG-k_eo/edit#gid=0"", ""Maths!M:N""), 2, FALSE)"),"Critique the theorem by comparing it to related theorems or methods, discussing its strengths, limitations, and overall significance.")</f>
        <v>Critique the theorem by comparing it to related theorems or methods, discussing its strengths, limitations, and overall significance.</v>
      </c>
      <c r="S86" s="69" t="str">
        <f t="shared" si="5"/>
        <v>LU001313.006</v>
      </c>
      <c r="T86" s="69" t="str">
        <f ca="1">IFERROR(__xludf.DUMMYFUNCTION("VLOOKUP(S86, IMPORTRANGE(""https://docs.google.com/spreadsheets/d/1yDAaXNsi4Mr5FtRQL4tbmSdIzhx6_m4wkOD7IG-k_eo/edit#gid=0"", ""Maths!M:N""), 2, FALSE)"),"Develop a geometric proof to demonstrate that the diagonals of a parallelogram bisect each other.")</f>
        <v>Develop a geometric proof to demonstrate that the diagonals of a parallelogram bisect each other.</v>
      </c>
      <c r="U86" s="11" t="str">
        <f ca="1">IFERROR(__xludf.DUMMYFUNCTION("ArrayFormula(VLOOKUP(G86, IMPORTRANGE(""https://docs.google.com/spreadsheets/d/1p7R4vtkWt5VOBim4ltsDG9KTzSjrtKXsMtQGXPHyND0/edit#gid=795171502"", ""'Filter 30_05_2024'!A1:M2000""), {2, 3, 4, 5,6,7,8,9,10,11,12,13}, 0))"),"#N/A")</f>
        <v>#N/A</v>
      </c>
      <c r="V86" s="11" t="str">
        <f ca="1">IFERROR(__xludf.DUMMYFUNCTION("""COMPUTED_VALUE"""),"#N/A")</f>
        <v>#N/A</v>
      </c>
      <c r="W86" s="11" t="str">
        <f ca="1">IFERROR(__xludf.DUMMYFUNCTION("""COMPUTED_VALUE"""),"#N/A")</f>
        <v>#N/A</v>
      </c>
      <c r="X86" s="11" t="str">
        <f ca="1">IFERROR(__xludf.DUMMYFUNCTION("""COMPUTED_VALUE"""),"#N/A")</f>
        <v>#N/A</v>
      </c>
      <c r="Y86" s="11" t="str">
        <f ca="1">IFERROR(__xludf.DUMMYFUNCTION("""COMPUTED_VALUE"""),"#N/A")</f>
        <v>#N/A</v>
      </c>
      <c r="Z86" s="12" t="str">
        <f ca="1">IFERROR(__xludf.DUMMYFUNCTION("""COMPUTED_VALUE"""),"#N/A")</f>
        <v>#N/A</v>
      </c>
      <c r="AA86" s="12" t="str">
        <f ca="1">IFERROR(__xludf.DUMMYFUNCTION("""COMPUTED_VALUE"""),"#N/A")</f>
        <v>#N/A</v>
      </c>
      <c r="AB86" s="12" t="str">
        <f ca="1">IFERROR(__xludf.DUMMYFUNCTION("""COMPUTED_VALUE"""),"#N/A")</f>
        <v>#N/A</v>
      </c>
      <c r="AC86" s="11" t="str">
        <f ca="1">IFERROR(__xludf.DUMMYFUNCTION("""COMPUTED_VALUE"""),"#N/A")</f>
        <v>#N/A</v>
      </c>
      <c r="AD86" s="12" t="str">
        <f ca="1">IFERROR(__xludf.DUMMYFUNCTION("""COMPUTED_VALUE"""),"#N/A")</f>
        <v>#N/A</v>
      </c>
      <c r="AE86" s="12" t="str">
        <f ca="1">IFERROR(__xludf.DUMMYFUNCTION("""COMPUTED_VALUE"""),"#N/A")</f>
        <v>#N/A</v>
      </c>
      <c r="AF86" s="12" t="str">
        <f ca="1">IFERROR(__xludf.DUMMYFUNCTION("""COMPUTED_VALUE"""),"#N/A")</f>
        <v>#N/A</v>
      </c>
      <c r="AG86" s="70" t="str">
        <f ca="1">IFERROR(__xludf.DUMMYFUNCTION("ArrayFormula(VLOOKUP(G86, IMPORTRANGE(""https://docs.google.com/spreadsheets/d/1Co934fvtviyaRiMsrIlT05Jaq7iiYq07aLvRr35KA48/edit?gid=173865642#gid=173865642"", ""'G9_Maths_Pri_LU'!G2:V2000""), {3, 4, 5, 6, 7, 8, 9, 10, 11, 12, 13, 14, 15, 16}, 0))"),"LU001236")</f>
        <v>LU001236</v>
      </c>
      <c r="AH86" s="70" t="str">
        <f ca="1">IFERROR(__xludf.DUMMYFUNCTION("""COMPUTED_VALUE"""),"Theorem for ASA congruence rule")</f>
        <v>Theorem for ASA congruence rule</v>
      </c>
      <c r="AI86" s="70" t="str">
        <f ca="1">IFERROR(__xludf.DUMMYFUNCTION("""COMPUTED_VALUE"""),"LU000600")</f>
        <v>LU000600</v>
      </c>
      <c r="AJ86" s="70" t="str">
        <f ca="1">IFERROR(__xludf.DUMMYFUNCTION("""COMPUTED_VALUE"""),"Properties of a parallelogram (related to its angles, sides and diagonals)")</f>
        <v>Properties of a parallelogram (related to its angles, sides and diagonals)</v>
      </c>
      <c r="AK86" s="70"/>
      <c r="AL86" s="70"/>
      <c r="AM86" s="13"/>
      <c r="AN86" s="13"/>
      <c r="AO86" s="13"/>
      <c r="AP86" s="13"/>
      <c r="AQ86" s="13"/>
      <c r="AR86" s="13"/>
      <c r="AS86" s="13"/>
      <c r="AT86" s="13"/>
    </row>
    <row r="87" spans="1:46">
      <c r="A87" s="8" t="s">
        <v>247</v>
      </c>
      <c r="B87" s="66" t="s">
        <v>47</v>
      </c>
      <c r="C87" s="66" t="s">
        <v>979</v>
      </c>
      <c r="D87" s="67" t="s">
        <v>732</v>
      </c>
      <c r="E87" s="67" t="s">
        <v>1108</v>
      </c>
      <c r="F87" s="66" t="s">
        <v>1116</v>
      </c>
      <c r="G87" s="68" t="s">
        <v>1118</v>
      </c>
      <c r="H87" s="71" t="str">
        <f ca="1">IFERROR(__xludf.DUMMYFUNCTION("VLOOKUP(G87, IMPORTRANGE(""https://docs.google.com/spreadsheets/d/14deopnvwcrKtEGCKuYXdUHJbeLDZlkiSSWWT0g7x2pM/edit#gid=999382323"", ""LU List Maths (Filter)!A:B""), 2, FALSE)"),"Theorem: If the diagonals of a quadrilateral bisect each other, then it is a parallelogram.")</f>
        <v>Theorem: If the diagonals of a quadrilateral bisect each other, then it is a parallelogram.</v>
      </c>
      <c r="I87" s="69" t="str">
        <f t="shared" si="0"/>
        <v>LU001314.001</v>
      </c>
      <c r="J87" s="69" t="str">
        <f ca="1">IFERROR(__xludf.DUMMYFUNCTION("VLOOKUP(I87, IMPORTRANGE(""https://docs.google.com/spreadsheets/d/1yDAaXNsi4Mr5FtRQL4tbmSdIzhx6_m4wkOD7IG-k_eo/edit#gid=0"", ""Maths!M:N""), 2, FALSE)"),"Recall and state the theorem, including its assumptions and components.")</f>
        <v>Recall and state the theorem, including its assumptions and components.</v>
      </c>
      <c r="K87" s="69" t="str">
        <f t="shared" si="1"/>
        <v>LU001314.002</v>
      </c>
      <c r="L87" s="69" t="str">
        <f ca="1">IFERROR(__xludf.DUMMYFUNCTION("VLOOKUP(K87, IMPORTRANGE(""https://docs.google.com/spreadsheets/d/1yDAaXNsi4Mr5FtRQL4tbmSdIzhx6_m4wkOD7IG-k_eo/edit#gid=0"", ""Maths!M:N""), 2, FALSE)"),"Describe the steps involved in proving the theorem.")</f>
        <v>Describe the steps involved in proving the theorem.</v>
      </c>
      <c r="M87" s="69" t="str">
        <f t="shared" si="2"/>
        <v>LU001314.003</v>
      </c>
      <c r="N87" s="69" t="str">
        <f ca="1">IFERROR(__xludf.DUMMYFUNCTION("VLOOKUP(M87, IMPORTRANGE(""https://docs.google.com/spreadsheets/d/1yDAaXNsi4Mr5FtRQL4tbmSdIzhx6_m4wkOD7IG-k_eo/edit#gid=0"", ""Maths!M:N""), 2, FALSE)"),"Use the theorem to solve various mathematical problems.")</f>
        <v>Use the theorem to solve various mathematical problems.</v>
      </c>
      <c r="O87" s="69" t="str">
        <f t="shared" si="3"/>
        <v>LU001314.004</v>
      </c>
      <c r="P87" s="69" t="str">
        <f ca="1">IFERROR(__xludf.DUMMYFUNCTION("VLOOKUP(O87, IMPORTRANGE(""https://docs.google.com/spreadsheets/d/1yDAaXNsi4Mr5FtRQL4tbmSdIzhx6_m4wkOD7IG-k_eo/edit#gid=0"", ""Maths!M:N""), 2, FALSE)"),"Break down the proof of the theorem into individual steps with explanations, check the correctness of each step and its explanation.")</f>
        <v>Break down the proof of the theorem into individual steps with explanations, check the correctness of each step and its explanation.</v>
      </c>
      <c r="Q87" s="69" t="str">
        <f t="shared" si="4"/>
        <v>LU001314.005</v>
      </c>
      <c r="R87" s="69" t="str">
        <f ca="1">IFERROR(__xludf.DUMMYFUNCTION("VLOOKUP(Q87, IMPORTRANGE(""https://docs.google.com/spreadsheets/d/1yDAaXNsi4Mr5FtRQL4tbmSdIzhx6_m4wkOD7IG-k_eo/edit#gid=0"", ""Maths!M:N""), 2, FALSE)"),"Critique the theorem by comparing it to related theorems or methods, discussing its strengths, limitations, and overall significance.")</f>
        <v>Critique the theorem by comparing it to related theorems or methods, discussing its strengths, limitations, and overall significance.</v>
      </c>
      <c r="S87" s="69" t="str">
        <f t="shared" si="5"/>
        <v>LU001314.006</v>
      </c>
      <c r="T87" s="69" t="str">
        <f ca="1">IFERROR(__xludf.DUMMYFUNCTION("VLOOKUP(S87, IMPORTRANGE(""https://docs.google.com/spreadsheets/d/1yDAaXNsi4Mr5FtRQL4tbmSdIzhx6_m4wkOD7IG-k_eo/edit#gid=0"", ""Maths!M:N""), 2, FALSE)"),"Construct a proof to show that a quadrilateral with diagonals that bisect each other is a parallelogram.")</f>
        <v>Construct a proof to show that a quadrilateral with diagonals that bisect each other is a parallelogram.</v>
      </c>
      <c r="U87" s="11" t="str">
        <f ca="1">IFERROR(__xludf.DUMMYFUNCTION("ArrayFormula(VLOOKUP(G87, IMPORTRANGE(""https://docs.google.com/spreadsheets/d/1p7R4vtkWt5VOBim4ltsDG9KTzSjrtKXsMtQGXPHyND0/edit#gid=795171502"", ""'Filter 30_05_2024'!A1:M2000""), {2, 3, 4, 5,6,7,8,9,10,11,12,13}, 0))"),"#N/A")</f>
        <v>#N/A</v>
      </c>
      <c r="V87" s="11" t="str">
        <f ca="1">IFERROR(__xludf.DUMMYFUNCTION("""COMPUTED_VALUE"""),"#N/A")</f>
        <v>#N/A</v>
      </c>
      <c r="W87" s="11" t="str">
        <f ca="1">IFERROR(__xludf.DUMMYFUNCTION("""COMPUTED_VALUE"""),"#N/A")</f>
        <v>#N/A</v>
      </c>
      <c r="X87" s="11" t="str">
        <f ca="1">IFERROR(__xludf.DUMMYFUNCTION("""COMPUTED_VALUE"""),"#N/A")</f>
        <v>#N/A</v>
      </c>
      <c r="Y87" s="11" t="str">
        <f ca="1">IFERROR(__xludf.DUMMYFUNCTION("""COMPUTED_VALUE"""),"#N/A")</f>
        <v>#N/A</v>
      </c>
      <c r="Z87" s="12" t="str">
        <f ca="1">IFERROR(__xludf.DUMMYFUNCTION("""COMPUTED_VALUE"""),"#N/A")</f>
        <v>#N/A</v>
      </c>
      <c r="AA87" s="12" t="str">
        <f ca="1">IFERROR(__xludf.DUMMYFUNCTION("""COMPUTED_VALUE"""),"#N/A")</f>
        <v>#N/A</v>
      </c>
      <c r="AB87" s="12" t="str">
        <f ca="1">IFERROR(__xludf.DUMMYFUNCTION("""COMPUTED_VALUE"""),"#N/A")</f>
        <v>#N/A</v>
      </c>
      <c r="AC87" s="11" t="str">
        <f ca="1">IFERROR(__xludf.DUMMYFUNCTION("""COMPUTED_VALUE"""),"#N/A")</f>
        <v>#N/A</v>
      </c>
      <c r="AD87" s="12" t="str">
        <f ca="1">IFERROR(__xludf.DUMMYFUNCTION("""COMPUTED_VALUE"""),"#N/A")</f>
        <v>#N/A</v>
      </c>
      <c r="AE87" s="12" t="str">
        <f ca="1">IFERROR(__xludf.DUMMYFUNCTION("""COMPUTED_VALUE"""),"#N/A")</f>
        <v>#N/A</v>
      </c>
      <c r="AF87" s="12" t="str">
        <f ca="1">IFERROR(__xludf.DUMMYFUNCTION("""COMPUTED_VALUE"""),"#N/A")</f>
        <v>#N/A</v>
      </c>
      <c r="AG87" s="70" t="str">
        <f ca="1">IFERROR(__xludf.DUMMYFUNCTION("ArrayFormula(VLOOKUP(G87, IMPORTRANGE(""https://docs.google.com/spreadsheets/d/1Co934fvtviyaRiMsrIlT05Jaq7iiYq07aLvRr35KA48/edit?gid=173865642#gid=173865642"", ""'G9_Maths_Pri_LU'!G2:V2000""), {3, 4, 5, 6, 7, 8, 9, 10, 11, 12, 13, 14, 15, 16}, 0))"),"LU000418")</f>
        <v>LU000418</v>
      </c>
      <c r="AH87" s="70" t="str">
        <f ca="1">IFERROR(__xludf.DUMMYFUNCTION("""COMPUTED_VALUE"""),"Definition of vertically opposite angles")</f>
        <v>Definition of vertically opposite angles</v>
      </c>
      <c r="AI87" s="70" t="str">
        <f ca="1">IFERROR(__xludf.DUMMYFUNCTION("""COMPUTED_VALUE"""),"LU001235")</f>
        <v>LU001235</v>
      </c>
      <c r="AJ87" s="70" t="str">
        <f ca="1">IFERROR(__xludf.DUMMYFUNCTION("""COMPUTED_VALUE"""),"Axiom for SAS congruence rule")</f>
        <v>Axiom for SAS congruence rule</v>
      </c>
      <c r="AK87" s="70"/>
      <c r="AL87" s="70"/>
      <c r="AM87" s="13"/>
      <c r="AN87" s="13"/>
      <c r="AO87" s="13"/>
      <c r="AP87" s="13"/>
      <c r="AQ87" s="13"/>
      <c r="AR87" s="13"/>
      <c r="AS87" s="13"/>
      <c r="AT87" s="13"/>
    </row>
    <row r="88" spans="1:46">
      <c r="A88" s="8" t="s">
        <v>247</v>
      </c>
      <c r="B88" s="66" t="s">
        <v>47</v>
      </c>
      <c r="C88" s="66" t="s">
        <v>979</v>
      </c>
      <c r="D88" s="67" t="s">
        <v>732</v>
      </c>
      <c r="E88" s="67" t="s">
        <v>1108</v>
      </c>
      <c r="F88" s="66" t="s">
        <v>1119</v>
      </c>
      <c r="G88" s="68" t="s">
        <v>1120</v>
      </c>
      <c r="H88" s="71" t="str">
        <f ca="1">IFERROR(__xludf.DUMMYFUNCTION("VLOOKUP(G88, IMPORTRANGE(""https://docs.google.com/spreadsheets/d/14deopnvwcrKtEGCKuYXdUHJbeLDZlkiSSWWT0g7x2pM/edit#gid=999382323"", ""LU List Maths (Filter)!A:B""), 2, FALSE)"),"Mid-point Theorem: The line segment joining the mid-points of two sides of a triangle is parallel to the third side.")</f>
        <v>Mid-point Theorem: The line segment joining the mid-points of two sides of a triangle is parallel to the third side.</v>
      </c>
      <c r="I88" s="69" t="str">
        <f t="shared" si="0"/>
        <v>LU001316.001</v>
      </c>
      <c r="J88" s="69" t="str">
        <f ca="1">IFERROR(__xludf.DUMMYFUNCTION("VLOOKUP(I88, IMPORTRANGE(""https://docs.google.com/spreadsheets/d/1yDAaXNsi4Mr5FtRQL4tbmSdIzhx6_m4wkOD7IG-k_eo/edit#gid=0"", ""Maths!M:N""), 2, FALSE)"),"Recall and state the theorem, including its assumptions and components.")</f>
        <v>Recall and state the theorem, including its assumptions and components.</v>
      </c>
      <c r="K88" s="69" t="str">
        <f t="shared" si="1"/>
        <v>LU001316.002</v>
      </c>
      <c r="L88" s="69" t="str">
        <f ca="1">IFERROR(__xludf.DUMMYFUNCTION("VLOOKUP(K88, IMPORTRANGE(""https://docs.google.com/spreadsheets/d/1yDAaXNsi4Mr5FtRQL4tbmSdIzhx6_m4wkOD7IG-k_eo/edit#gid=0"", ""Maths!M:N""), 2, FALSE)"),"Describe the steps involved in proving the theorem.")</f>
        <v>Describe the steps involved in proving the theorem.</v>
      </c>
      <c r="M88" s="69" t="str">
        <f t="shared" si="2"/>
        <v>LU001316.003</v>
      </c>
      <c r="N88" s="69" t="str">
        <f ca="1">IFERROR(__xludf.DUMMYFUNCTION("VLOOKUP(M88, IMPORTRANGE(""https://docs.google.com/spreadsheets/d/1yDAaXNsi4Mr5FtRQL4tbmSdIzhx6_m4wkOD7IG-k_eo/edit#gid=0"", ""Maths!M:N""), 2, FALSE)"),"Use the theorem to solve various mathematical problems.")</f>
        <v>Use the theorem to solve various mathematical problems.</v>
      </c>
      <c r="O88" s="69" t="str">
        <f t="shared" si="3"/>
        <v>LU001316.004</v>
      </c>
      <c r="P88" s="69" t="str">
        <f ca="1">IFERROR(__xludf.DUMMYFUNCTION("VLOOKUP(O88, IMPORTRANGE(""https://docs.google.com/spreadsheets/d/1yDAaXNsi4Mr5FtRQL4tbmSdIzhx6_m4wkOD7IG-k_eo/edit#gid=0"", ""Maths!M:N""), 2, FALSE)"),"Break down the proof of the theorem into individual steps with explanations, check the correctness of each step and its explanation.")</f>
        <v>Break down the proof of the theorem into individual steps with explanations, check the correctness of each step and its explanation.</v>
      </c>
      <c r="Q88" s="69" t="str">
        <f t="shared" si="4"/>
        <v>LU001316.005</v>
      </c>
      <c r="R88" s="69" t="str">
        <f ca="1">IFERROR(__xludf.DUMMYFUNCTION("VLOOKUP(Q88, IMPORTRANGE(""https://docs.google.com/spreadsheets/d/1yDAaXNsi4Mr5FtRQL4tbmSdIzhx6_m4wkOD7IG-k_eo/edit#gid=0"", ""Maths!M:N""), 2, FALSE)"),"Critique the theorem by comparing it to related theorems or methods, discussing its strengths, limitations, and overall significance.")</f>
        <v>Critique the theorem by comparing it to related theorems or methods, discussing its strengths, limitations, and overall significance.</v>
      </c>
      <c r="S88" s="69" t="str">
        <f t="shared" si="5"/>
        <v>LU001316.006</v>
      </c>
      <c r="T88" s="69" t="str">
        <f ca="1">IFERROR(__xludf.DUMMYFUNCTION("VLOOKUP(S88, IMPORTRANGE(""https://docs.google.com/spreadsheets/d/1yDAaXNsi4Mr5FtRQL4tbmSdIzhx6_m4wkOD7IG-k_eo/edit#gid=0"", ""Maths!M:N""), 2, FALSE)"),"Construct a proof to demonstrate the Mid-point Theorem for triangles.")</f>
        <v>Construct a proof to demonstrate the Mid-point Theorem for triangles.</v>
      </c>
      <c r="U88" s="11" t="str">
        <f ca="1">IFERROR(__xludf.DUMMYFUNCTION("ArrayFormula(VLOOKUP(G88, IMPORTRANGE(""https://docs.google.com/spreadsheets/d/1p7R4vtkWt5VOBim4ltsDG9KTzSjrtKXsMtQGXPHyND0/edit#gid=795171502"", ""'Filter 30_05_2024'!A1:M2000""), {2, 3, 4, 5,6,7,8,9,10,11,12,13}, 0))"),"#N/A")</f>
        <v>#N/A</v>
      </c>
      <c r="V88" s="11" t="str">
        <f ca="1">IFERROR(__xludf.DUMMYFUNCTION("""COMPUTED_VALUE"""),"#N/A")</f>
        <v>#N/A</v>
      </c>
      <c r="W88" s="11" t="str">
        <f ca="1">IFERROR(__xludf.DUMMYFUNCTION("""COMPUTED_VALUE"""),"#N/A")</f>
        <v>#N/A</v>
      </c>
      <c r="X88" s="11" t="str">
        <f ca="1">IFERROR(__xludf.DUMMYFUNCTION("""COMPUTED_VALUE"""),"#N/A")</f>
        <v>#N/A</v>
      </c>
      <c r="Y88" s="11" t="str">
        <f ca="1">IFERROR(__xludf.DUMMYFUNCTION("""COMPUTED_VALUE"""),"#N/A")</f>
        <v>#N/A</v>
      </c>
      <c r="Z88" s="12" t="str">
        <f ca="1">IFERROR(__xludf.DUMMYFUNCTION("""COMPUTED_VALUE"""),"#N/A")</f>
        <v>#N/A</v>
      </c>
      <c r="AA88" s="12" t="str">
        <f ca="1">IFERROR(__xludf.DUMMYFUNCTION("""COMPUTED_VALUE"""),"#N/A")</f>
        <v>#N/A</v>
      </c>
      <c r="AB88" s="12" t="str">
        <f ca="1">IFERROR(__xludf.DUMMYFUNCTION("""COMPUTED_VALUE"""),"#N/A")</f>
        <v>#N/A</v>
      </c>
      <c r="AC88" s="11" t="str">
        <f ca="1">IFERROR(__xludf.DUMMYFUNCTION("""COMPUTED_VALUE"""),"#N/A")</f>
        <v>#N/A</v>
      </c>
      <c r="AD88" s="12" t="str">
        <f ca="1">IFERROR(__xludf.DUMMYFUNCTION("""COMPUTED_VALUE"""),"#N/A")</f>
        <v>#N/A</v>
      </c>
      <c r="AE88" s="12" t="str">
        <f ca="1">IFERROR(__xludf.DUMMYFUNCTION("""COMPUTED_VALUE"""),"#N/A")</f>
        <v>#N/A</v>
      </c>
      <c r="AF88" s="12" t="str">
        <f ca="1">IFERROR(__xludf.DUMMYFUNCTION("""COMPUTED_VALUE"""),"#N/A")</f>
        <v>#N/A</v>
      </c>
      <c r="AG88" s="70" t="str">
        <f ca="1">IFERROR(__xludf.DUMMYFUNCTION("ArrayFormula(VLOOKUP(G88, IMPORTRANGE(""https://docs.google.com/spreadsheets/d/1Co934fvtviyaRiMsrIlT05Jaq7iiYq07aLvRr35KA48/edit?gid=173865642#gid=173865642"", ""'G9_Maths_Pri_LU'!G2:V2000""), {3, 4, 5, 6, 7, 8, 9, 10, 11, 12, 13, 14, 15, 16}, 0))"),"LU001236")</f>
        <v>LU001236</v>
      </c>
      <c r="AH88" s="70" t="str">
        <f ca="1">IFERROR(__xludf.DUMMYFUNCTION("""COMPUTED_VALUE"""),"Theorem for ASA congruence rule")</f>
        <v>Theorem for ASA congruence rule</v>
      </c>
      <c r="AI88" s="70" t="str">
        <f ca="1">IFERROR(__xludf.DUMMYFUNCTION("""COMPUTED_VALUE"""),"LU001022")</f>
        <v>LU001022</v>
      </c>
      <c r="AJ88" s="70" t="str">
        <f ca="1">IFERROR(__xludf.DUMMYFUNCTION("""COMPUTED_VALUE"""),"Angles made by transversal - Alternate interior angles")</f>
        <v>Angles made by transversal - Alternate interior angles</v>
      </c>
      <c r="AK88" s="70"/>
      <c r="AL88" s="70"/>
      <c r="AM88" s="13"/>
      <c r="AN88" s="13"/>
      <c r="AO88" s="13"/>
      <c r="AP88" s="13"/>
      <c r="AQ88" s="13"/>
      <c r="AR88" s="13"/>
      <c r="AS88" s="13"/>
      <c r="AT88" s="13"/>
    </row>
    <row r="89" spans="1:46">
      <c r="A89" s="8" t="s">
        <v>247</v>
      </c>
      <c r="B89" s="66" t="s">
        <v>47</v>
      </c>
      <c r="C89" s="66" t="s">
        <v>979</v>
      </c>
      <c r="D89" s="67" t="s">
        <v>732</v>
      </c>
      <c r="E89" s="67" t="s">
        <v>1108</v>
      </c>
      <c r="F89" s="66" t="s">
        <v>1119</v>
      </c>
      <c r="G89" s="68" t="s">
        <v>1121</v>
      </c>
      <c r="H89" s="71" t="str">
        <f ca="1">IFERROR(__xludf.DUMMYFUNCTION("VLOOKUP(G89, IMPORTRANGE(""https://docs.google.com/spreadsheets/d/14deopnvwcrKtEGCKuYXdUHJbeLDZlkiSSWWT0g7x2pM/edit#gid=999382323"", ""LU List Maths (Filter)!A:B""), 2, FALSE)"),"Converse of Mid-point Theorem: The line drawn through the mid-point of one side of a triangle, parallel to another side bisects the third side.")</f>
        <v>Converse of Mid-point Theorem: The line drawn through the mid-point of one side of a triangle, parallel to another side bisects the third side.</v>
      </c>
      <c r="I89" s="69" t="str">
        <f t="shared" si="0"/>
        <v>LU001317.001</v>
      </c>
      <c r="J89" s="69" t="str">
        <f ca="1">IFERROR(__xludf.DUMMYFUNCTION("VLOOKUP(I89, IMPORTRANGE(""https://docs.google.com/spreadsheets/d/1yDAaXNsi4Mr5FtRQL4tbmSdIzhx6_m4wkOD7IG-k_eo/edit#gid=0"", ""Maths!M:N""), 2, FALSE)"),"Recall and state the theorem, including its assumptions and components.")</f>
        <v>Recall and state the theorem, including its assumptions and components.</v>
      </c>
      <c r="K89" s="69" t="str">
        <f t="shared" si="1"/>
        <v>LU001317.002</v>
      </c>
      <c r="L89" s="69" t="str">
        <f ca="1">IFERROR(__xludf.DUMMYFUNCTION("VLOOKUP(K89, IMPORTRANGE(""https://docs.google.com/spreadsheets/d/1yDAaXNsi4Mr5FtRQL4tbmSdIzhx6_m4wkOD7IG-k_eo/edit#gid=0"", ""Maths!M:N""), 2, FALSE)"),"Describe the steps involved in proving the theorem.")</f>
        <v>Describe the steps involved in proving the theorem.</v>
      </c>
      <c r="M89" s="69" t="str">
        <f t="shared" si="2"/>
        <v>LU001317.003</v>
      </c>
      <c r="N89" s="69" t="str">
        <f ca="1">IFERROR(__xludf.DUMMYFUNCTION("VLOOKUP(M89, IMPORTRANGE(""https://docs.google.com/spreadsheets/d/1yDAaXNsi4Mr5FtRQL4tbmSdIzhx6_m4wkOD7IG-k_eo/edit#gid=0"", ""Maths!M:N""), 2, FALSE)"),"Use the theorem to solve various mathematical problems.")</f>
        <v>Use the theorem to solve various mathematical problems.</v>
      </c>
      <c r="O89" s="69" t="str">
        <f t="shared" si="3"/>
        <v>LU001317.004</v>
      </c>
      <c r="P89" s="69" t="str">
        <f ca="1">IFERROR(__xludf.DUMMYFUNCTION("VLOOKUP(O89, IMPORTRANGE(""https://docs.google.com/spreadsheets/d/1yDAaXNsi4Mr5FtRQL4tbmSdIzhx6_m4wkOD7IG-k_eo/edit#gid=0"", ""Maths!M:N""), 2, FALSE)"),"Break down the proof of the theorem into individual steps with explanations, check the correctness of each step and its explanation.")</f>
        <v>Break down the proof of the theorem into individual steps with explanations, check the correctness of each step and its explanation.</v>
      </c>
      <c r="Q89" s="69" t="str">
        <f t="shared" si="4"/>
        <v>LU001317.005</v>
      </c>
      <c r="R89" s="69" t="str">
        <f ca="1">IFERROR(__xludf.DUMMYFUNCTION("VLOOKUP(Q89, IMPORTRANGE(""https://docs.google.com/spreadsheets/d/1yDAaXNsi4Mr5FtRQL4tbmSdIzhx6_m4wkOD7IG-k_eo/edit#gid=0"", ""Maths!M:N""), 2, FALSE)"),"Critique the theorem by comparing it to related theorems or methods, discussing its strengths, limitations, and overall significance.")</f>
        <v>Critique the theorem by comparing it to related theorems or methods, discussing its strengths, limitations, and overall significance.</v>
      </c>
      <c r="S89" s="69" t="str">
        <f t="shared" si="5"/>
        <v>LU001317.006</v>
      </c>
      <c r="T89" s="69" t="str">
        <f ca="1">IFERROR(__xludf.DUMMYFUNCTION("VLOOKUP(S89, IMPORTRANGE(""https://docs.google.com/spreadsheets/d/1yDAaXNsi4Mr5FtRQL4tbmSdIzhx6_m4wkOD7IG-k_eo/edit#gid=0"", ""Maths!M:N""), 2, FALSE)"),"Develop a proof to demonstrate the Converse of the Mid-point Theorem for triangles.")</f>
        <v>Develop a proof to demonstrate the Converse of the Mid-point Theorem for triangles.</v>
      </c>
      <c r="U89" s="11" t="str">
        <f ca="1">IFERROR(__xludf.DUMMYFUNCTION("ArrayFormula(VLOOKUP(G89, IMPORTRANGE(""https://docs.google.com/spreadsheets/d/1p7R4vtkWt5VOBim4ltsDG9KTzSjrtKXsMtQGXPHyND0/edit#gid=795171502"", ""'Filter 30_05_2024'!A1:M2000""), {2, 3, 4, 5,6,7,8,9,10,11,12,13}, 0))"),"#N/A")</f>
        <v>#N/A</v>
      </c>
      <c r="V89" s="11" t="str">
        <f ca="1">IFERROR(__xludf.DUMMYFUNCTION("""COMPUTED_VALUE"""),"#N/A")</f>
        <v>#N/A</v>
      </c>
      <c r="W89" s="11" t="str">
        <f ca="1">IFERROR(__xludf.DUMMYFUNCTION("""COMPUTED_VALUE"""),"#N/A")</f>
        <v>#N/A</v>
      </c>
      <c r="X89" s="11" t="str">
        <f ca="1">IFERROR(__xludf.DUMMYFUNCTION("""COMPUTED_VALUE"""),"#N/A")</f>
        <v>#N/A</v>
      </c>
      <c r="Y89" s="11" t="str">
        <f ca="1">IFERROR(__xludf.DUMMYFUNCTION("""COMPUTED_VALUE"""),"#N/A")</f>
        <v>#N/A</v>
      </c>
      <c r="Z89" s="12" t="str">
        <f ca="1">IFERROR(__xludf.DUMMYFUNCTION("""COMPUTED_VALUE"""),"#N/A")</f>
        <v>#N/A</v>
      </c>
      <c r="AA89" s="12" t="str">
        <f ca="1">IFERROR(__xludf.DUMMYFUNCTION("""COMPUTED_VALUE"""),"#N/A")</f>
        <v>#N/A</v>
      </c>
      <c r="AB89" s="12" t="str">
        <f ca="1">IFERROR(__xludf.DUMMYFUNCTION("""COMPUTED_VALUE"""),"#N/A")</f>
        <v>#N/A</v>
      </c>
      <c r="AC89" s="11" t="str">
        <f ca="1">IFERROR(__xludf.DUMMYFUNCTION("""COMPUTED_VALUE"""),"#N/A")</f>
        <v>#N/A</v>
      </c>
      <c r="AD89" s="12" t="str">
        <f ca="1">IFERROR(__xludf.DUMMYFUNCTION("""COMPUTED_VALUE"""),"#N/A")</f>
        <v>#N/A</v>
      </c>
      <c r="AE89" s="12" t="str">
        <f ca="1">IFERROR(__xludf.DUMMYFUNCTION("""COMPUTED_VALUE"""),"#N/A")</f>
        <v>#N/A</v>
      </c>
      <c r="AF89" s="12" t="str">
        <f ca="1">IFERROR(__xludf.DUMMYFUNCTION("""COMPUTED_VALUE"""),"#N/A")</f>
        <v>#N/A</v>
      </c>
      <c r="AG89" s="70" t="str">
        <f ca="1">IFERROR(__xludf.DUMMYFUNCTION("ArrayFormula(VLOOKUP(G89, IMPORTRANGE(""https://docs.google.com/spreadsheets/d/1Co934fvtviyaRiMsrIlT05Jaq7iiYq07aLvRr35KA48/edit?gid=173865642#gid=173865642"", ""'G9_Maths_Pri_LU'!G2:V2000""), {3, 4, 5, 6, 7, 8, 9, 10, 11, 12, 13, 14, 15, 16}, 0))"),"LU001316")</f>
        <v>LU001316</v>
      </c>
      <c r="AH89" s="70" t="str">
        <f ca="1">IFERROR(__xludf.DUMMYFUNCTION("""COMPUTED_VALUE"""),"Mid-point Theorem: The line segment joining the mid-points of two sides of a triangle is parallel to the third side.")</f>
        <v>Mid-point Theorem: The line segment joining the mid-points of two sides of a triangle is parallel to the third side.</v>
      </c>
      <c r="AI89" s="70" t="str">
        <f ca="1">IFERROR(__xludf.DUMMYFUNCTION("""COMPUTED_VALUE"""),"LU000843")</f>
        <v>LU000843</v>
      </c>
      <c r="AJ89" s="70" t="str">
        <f ca="1">IFERROR(__xludf.DUMMYFUNCTION("""COMPUTED_VALUE"""),"Congruence of triangles by AAS criteria")</f>
        <v>Congruence of triangles by AAS criteria</v>
      </c>
      <c r="AK89" s="70"/>
      <c r="AL89" s="70"/>
      <c r="AM89" s="13"/>
      <c r="AN89" s="13"/>
      <c r="AO89" s="13"/>
      <c r="AP89" s="13"/>
      <c r="AQ89" s="13"/>
      <c r="AR89" s="13"/>
      <c r="AS89" s="13"/>
      <c r="AT89" s="13"/>
    </row>
    <row r="90" spans="1:46">
      <c r="A90" s="8" t="s">
        <v>247</v>
      </c>
      <c r="B90" s="66" t="s">
        <v>47</v>
      </c>
      <c r="C90" s="66" t="s">
        <v>979</v>
      </c>
      <c r="D90" s="67" t="s">
        <v>732</v>
      </c>
      <c r="E90" s="67" t="s">
        <v>1122</v>
      </c>
      <c r="F90" s="66" t="s">
        <v>1123</v>
      </c>
      <c r="G90" s="68" t="s">
        <v>1124</v>
      </c>
      <c r="H90" s="71" t="str">
        <f ca="1">IFERROR(__xludf.DUMMYFUNCTION("VLOOKUP(G90, IMPORTRANGE(""https://docs.google.com/spreadsheets/d/14deopnvwcrKtEGCKuYXdUHJbeLDZlkiSSWWT0g7x2pM/edit#gid=999382323"", ""LU List Maths (Filter)!A:B""), 2, FALSE)"),"Theorem: Equal chords of a circle subtend equal angles at the centre.")</f>
        <v>Theorem: Equal chords of a circle subtend equal angles at the centre.</v>
      </c>
      <c r="I90" s="69" t="str">
        <f t="shared" si="0"/>
        <v>LU001287.001</v>
      </c>
      <c r="J90" s="69" t="str">
        <f ca="1">IFERROR(__xludf.DUMMYFUNCTION("VLOOKUP(I90, IMPORTRANGE(""https://docs.google.com/spreadsheets/d/1yDAaXNsi4Mr5FtRQL4tbmSdIzhx6_m4wkOD7IG-k_eo/edit#gid=0"", ""Maths!M:N""), 2, FALSE)"),"Recall and state the theorem, including its assumptions and components.")</f>
        <v>Recall and state the theorem, including its assumptions and components.</v>
      </c>
      <c r="K90" s="69" t="str">
        <f t="shared" si="1"/>
        <v>LU001287.002</v>
      </c>
      <c r="L90" s="69" t="str">
        <f ca="1">IFERROR(__xludf.DUMMYFUNCTION("VLOOKUP(K90, IMPORTRANGE(""https://docs.google.com/spreadsheets/d/1yDAaXNsi4Mr5FtRQL4tbmSdIzhx6_m4wkOD7IG-k_eo/edit#gid=0"", ""Maths!M:N""), 2, FALSE)"),"Describe the steps involved in proving the theorem.")</f>
        <v>Describe the steps involved in proving the theorem.</v>
      </c>
      <c r="M90" s="69" t="str">
        <f t="shared" si="2"/>
        <v>LU001287.003</v>
      </c>
      <c r="N90" s="69" t="str">
        <f ca="1">IFERROR(__xludf.DUMMYFUNCTION("VLOOKUP(M90, IMPORTRANGE(""https://docs.google.com/spreadsheets/d/1yDAaXNsi4Mr5FtRQL4tbmSdIzhx6_m4wkOD7IG-k_eo/edit#gid=0"", ""Maths!M:N""), 2, FALSE)"),"Use the theorem to solve various mathematical problems.")</f>
        <v>Use the theorem to solve various mathematical problems.</v>
      </c>
      <c r="O90" s="69" t="str">
        <f t="shared" si="3"/>
        <v>LU001287.004</v>
      </c>
      <c r="P90" s="69" t="str">
        <f ca="1">IFERROR(__xludf.DUMMYFUNCTION("VLOOKUP(O90, IMPORTRANGE(""https://docs.google.com/spreadsheets/d/1yDAaXNsi4Mr5FtRQL4tbmSdIzhx6_m4wkOD7IG-k_eo/edit#gid=0"", ""Maths!M:N""), 2, FALSE)"),"Break down the proof of the theorem into individual steps with explanations, check the correctness of each step and its explanation.")</f>
        <v>Break down the proof of the theorem into individual steps with explanations, check the correctness of each step and its explanation.</v>
      </c>
      <c r="Q90" s="69" t="str">
        <f t="shared" si="4"/>
        <v>LU001287.005</v>
      </c>
      <c r="R90" s="69" t="str">
        <f ca="1">IFERROR(__xludf.DUMMYFUNCTION("VLOOKUP(Q90, IMPORTRANGE(""https://docs.google.com/spreadsheets/d/1yDAaXNsi4Mr5FtRQL4tbmSdIzhx6_m4wkOD7IG-k_eo/edit#gid=0"", ""Maths!M:N""), 2, FALSE)"),"Critique the theorem by comparing it to related theorems or methods, discussing its strengths, limitations, and overall significance.")</f>
        <v>Critique the theorem by comparing it to related theorems or methods, discussing its strengths, limitations, and overall significance.</v>
      </c>
      <c r="S90" s="69" t="str">
        <f t="shared" si="5"/>
        <v>LU001287.006</v>
      </c>
      <c r="T90" s="69" t="str">
        <f ca="1">IFERROR(__xludf.DUMMYFUNCTION("VLOOKUP(S90, IMPORTRANGE(""https://docs.google.com/spreadsheets/d/1yDAaXNsi4Mr5FtRQL4tbmSdIzhx6_m4wkOD7IG-k_eo/edit#gid=0"", ""Maths!M:N""), 2, FALSE)"),"Design a real-world problem involving equal chords subtending equal angles and solve it.")</f>
        <v>Design a real-world problem involving equal chords subtending equal angles and solve it.</v>
      </c>
      <c r="U90" s="11" t="str">
        <f ca="1">IFERROR(__xludf.DUMMYFUNCTION("ArrayFormula(VLOOKUP(G90, IMPORTRANGE(""https://docs.google.com/spreadsheets/d/1p7R4vtkWt5VOBim4ltsDG9KTzSjrtKXsMtQGXPHyND0/edit#gid=795171502"", ""'Filter 30_05_2024'!A1:M2000""), {2, 3, 4, 5,6,7,8,9,10,11,12,13}, 0))"),"#N/A")</f>
        <v>#N/A</v>
      </c>
      <c r="V90" s="11" t="str">
        <f ca="1">IFERROR(__xludf.DUMMYFUNCTION("""COMPUTED_VALUE"""),"#N/A")</f>
        <v>#N/A</v>
      </c>
      <c r="W90" s="11" t="str">
        <f ca="1">IFERROR(__xludf.DUMMYFUNCTION("""COMPUTED_VALUE"""),"#N/A")</f>
        <v>#N/A</v>
      </c>
      <c r="X90" s="11" t="str">
        <f ca="1">IFERROR(__xludf.DUMMYFUNCTION("""COMPUTED_VALUE"""),"#N/A")</f>
        <v>#N/A</v>
      </c>
      <c r="Y90" s="11" t="str">
        <f ca="1">IFERROR(__xludf.DUMMYFUNCTION("""COMPUTED_VALUE"""),"#N/A")</f>
        <v>#N/A</v>
      </c>
      <c r="Z90" s="12" t="str">
        <f ca="1">IFERROR(__xludf.DUMMYFUNCTION("""COMPUTED_VALUE"""),"#N/A")</f>
        <v>#N/A</v>
      </c>
      <c r="AA90" s="12" t="str">
        <f ca="1">IFERROR(__xludf.DUMMYFUNCTION("""COMPUTED_VALUE"""),"#N/A")</f>
        <v>#N/A</v>
      </c>
      <c r="AB90" s="12" t="str">
        <f ca="1">IFERROR(__xludf.DUMMYFUNCTION("""COMPUTED_VALUE"""),"#N/A")</f>
        <v>#N/A</v>
      </c>
      <c r="AC90" s="11" t="str">
        <f ca="1">IFERROR(__xludf.DUMMYFUNCTION("""COMPUTED_VALUE"""),"#N/A")</f>
        <v>#N/A</v>
      </c>
      <c r="AD90" s="12" t="str">
        <f ca="1">IFERROR(__xludf.DUMMYFUNCTION("""COMPUTED_VALUE"""),"#N/A")</f>
        <v>#N/A</v>
      </c>
      <c r="AE90" s="12" t="str">
        <f ca="1">IFERROR(__xludf.DUMMYFUNCTION("""COMPUTED_VALUE"""),"#N/A")</f>
        <v>#N/A</v>
      </c>
      <c r="AF90" s="12" t="str">
        <f ca="1">IFERROR(__xludf.DUMMYFUNCTION("""COMPUTED_VALUE"""),"#N/A")</f>
        <v>#N/A</v>
      </c>
      <c r="AG90" s="70" t="str">
        <f ca="1">IFERROR(__xludf.DUMMYFUNCTION("ArrayFormula(VLOOKUP(G90, IMPORTRANGE(""https://docs.google.com/spreadsheets/d/1Co934fvtviyaRiMsrIlT05Jaq7iiYq07aLvRr35KA48/edit?gid=173865642#gid=173865642"", ""'G9_Maths_Pri_LU'!G2:V2000""), {3, 4, 5, 6, 7, 8, 9, 10, 11, 12, 13, 14, 15, 16}, 0))"),"LU001239")</f>
        <v>LU001239</v>
      </c>
      <c r="AH90" s="70" t="str">
        <f ca="1">IFERROR(__xludf.DUMMYFUNCTION("""COMPUTED_VALUE"""),"Theorem for SSS congruence rule")</f>
        <v>Theorem for SSS congruence rule</v>
      </c>
      <c r="AI90" s="70" t="str">
        <f ca="1">IFERROR(__xludf.DUMMYFUNCTION("""COMPUTED_VALUE"""),"LU000232")</f>
        <v>LU000232</v>
      </c>
      <c r="AJ90" s="70" t="str">
        <f ca="1">IFERROR(__xludf.DUMMYFUNCTION("""COMPUTED_VALUE"""),"Elements of circle (Centre, radius, diameter)")</f>
        <v>Elements of circle (Centre, radius, diameter)</v>
      </c>
      <c r="AK90" s="70"/>
      <c r="AL90" s="70"/>
      <c r="AM90" s="13"/>
      <c r="AN90" s="13"/>
      <c r="AO90" s="13"/>
      <c r="AP90" s="13"/>
      <c r="AQ90" s="13"/>
      <c r="AR90" s="13"/>
      <c r="AS90" s="13"/>
      <c r="AT90" s="13"/>
    </row>
    <row r="91" spans="1:46">
      <c r="A91" s="8" t="s">
        <v>247</v>
      </c>
      <c r="B91" s="66" t="s">
        <v>47</v>
      </c>
      <c r="C91" s="66" t="s">
        <v>979</v>
      </c>
      <c r="D91" s="67" t="s">
        <v>732</v>
      </c>
      <c r="E91" s="67" t="s">
        <v>1122</v>
      </c>
      <c r="F91" s="66" t="s">
        <v>1123</v>
      </c>
      <c r="G91" s="68" t="s">
        <v>1125</v>
      </c>
      <c r="H91" s="71" t="str">
        <f ca="1">IFERROR(__xludf.DUMMYFUNCTION("VLOOKUP(G91, IMPORTRANGE(""https://docs.google.com/spreadsheets/d/14deopnvwcrKtEGCKuYXdUHJbeLDZlkiSSWWT0g7x2pM/edit#gid=999382323"", ""LU List Maths (Filter)!A:B""), 2, FALSE)"),"Theorem: If the angles subtended by the chords of a circle at the centre are equal, then the chords are equal.")</f>
        <v>Theorem: If the angles subtended by the chords of a circle at the centre are equal, then the chords are equal.</v>
      </c>
      <c r="I91" s="69" t="str">
        <f t="shared" si="0"/>
        <v>LU001288.001</v>
      </c>
      <c r="J91" s="69" t="str">
        <f ca="1">IFERROR(__xludf.DUMMYFUNCTION("VLOOKUP(I91, IMPORTRANGE(""https://docs.google.com/spreadsheets/d/1yDAaXNsi4Mr5FtRQL4tbmSdIzhx6_m4wkOD7IG-k_eo/edit#gid=0"", ""Maths!M:N""), 2, FALSE)"),"Recall and state the theorem, including its assumptions and components.")</f>
        <v>Recall and state the theorem, including its assumptions and components.</v>
      </c>
      <c r="K91" s="69" t="str">
        <f t="shared" si="1"/>
        <v>LU001288.002</v>
      </c>
      <c r="L91" s="69" t="str">
        <f ca="1">IFERROR(__xludf.DUMMYFUNCTION("VLOOKUP(K91, IMPORTRANGE(""https://docs.google.com/spreadsheets/d/1yDAaXNsi4Mr5FtRQL4tbmSdIzhx6_m4wkOD7IG-k_eo/edit#gid=0"", ""Maths!M:N""), 2, FALSE)"),"Describe the steps involved in proving the theorem.")</f>
        <v>Describe the steps involved in proving the theorem.</v>
      </c>
      <c r="M91" s="69" t="str">
        <f t="shared" si="2"/>
        <v>LU001288.003</v>
      </c>
      <c r="N91" s="69" t="str">
        <f ca="1">IFERROR(__xludf.DUMMYFUNCTION("VLOOKUP(M91, IMPORTRANGE(""https://docs.google.com/spreadsheets/d/1yDAaXNsi4Mr5FtRQL4tbmSdIzhx6_m4wkOD7IG-k_eo/edit#gid=0"", ""Maths!M:N""), 2, FALSE)"),"Use the theorem to solve various mathematical problems.")</f>
        <v>Use the theorem to solve various mathematical problems.</v>
      </c>
      <c r="O91" s="69" t="str">
        <f t="shared" si="3"/>
        <v>LU001288.004</v>
      </c>
      <c r="P91" s="69" t="str">
        <f ca="1">IFERROR(__xludf.DUMMYFUNCTION("VLOOKUP(O91, IMPORTRANGE(""https://docs.google.com/spreadsheets/d/1yDAaXNsi4Mr5FtRQL4tbmSdIzhx6_m4wkOD7IG-k_eo/edit#gid=0"", ""Maths!M:N""), 2, FALSE)"),"Break down the proof of the theorem into individual steps with explanations, check the correctness of each step and its explanation.")</f>
        <v>Break down the proof of the theorem into individual steps with explanations, check the correctness of each step and its explanation.</v>
      </c>
      <c r="Q91" s="69" t="str">
        <f t="shared" si="4"/>
        <v>LU001288.005</v>
      </c>
      <c r="R91" s="69" t="str">
        <f ca="1">IFERROR(__xludf.DUMMYFUNCTION("VLOOKUP(Q91, IMPORTRANGE(""https://docs.google.com/spreadsheets/d/1yDAaXNsi4Mr5FtRQL4tbmSdIzhx6_m4wkOD7IG-k_eo/edit#gid=0"", ""Maths!M:N""), 2, FALSE)"),"Critique the theorem by comparing it to related theorems or methods, discussing its strengths, limitations, and overall significance.")</f>
        <v>Critique the theorem by comparing it to related theorems or methods, discussing its strengths, limitations, and overall significance.</v>
      </c>
      <c r="S91" s="69" t="str">
        <f t="shared" si="5"/>
        <v>LU001288.006</v>
      </c>
      <c r="T91" s="69" t="str">
        <f ca="1">IFERROR(__xludf.DUMMYFUNCTION("VLOOKUP(S91, IMPORTRANGE(""https://docs.google.com/spreadsheets/d/1yDAaXNsi4Mr5FtRQL4tbmSdIzhx6_m4wkOD7IG-k_eo/edit#gid=0"", ""Maths!M:N""), 2, FALSE)"),"Formulate a proof to show that equal subtended angles lead to equal chords.")</f>
        <v>Formulate a proof to show that equal subtended angles lead to equal chords.</v>
      </c>
      <c r="U91" s="11" t="str">
        <f ca="1">IFERROR(__xludf.DUMMYFUNCTION("ArrayFormula(VLOOKUP(G91, IMPORTRANGE(""https://docs.google.com/spreadsheets/d/1p7R4vtkWt5VOBim4ltsDG9KTzSjrtKXsMtQGXPHyND0/edit#gid=795171502"", ""'Filter 30_05_2024'!A1:M2000""), {2, 3, 4, 5,6,7,8,9,10,11,12,13}, 0))"),"#N/A")</f>
        <v>#N/A</v>
      </c>
      <c r="V91" s="11" t="str">
        <f ca="1">IFERROR(__xludf.DUMMYFUNCTION("""COMPUTED_VALUE"""),"#N/A")</f>
        <v>#N/A</v>
      </c>
      <c r="W91" s="11" t="str">
        <f ca="1">IFERROR(__xludf.DUMMYFUNCTION("""COMPUTED_VALUE"""),"#N/A")</f>
        <v>#N/A</v>
      </c>
      <c r="X91" s="11" t="str">
        <f ca="1">IFERROR(__xludf.DUMMYFUNCTION("""COMPUTED_VALUE"""),"#N/A")</f>
        <v>#N/A</v>
      </c>
      <c r="Y91" s="11" t="str">
        <f ca="1">IFERROR(__xludf.DUMMYFUNCTION("""COMPUTED_VALUE"""),"#N/A")</f>
        <v>#N/A</v>
      </c>
      <c r="Z91" s="12" t="str">
        <f ca="1">IFERROR(__xludf.DUMMYFUNCTION("""COMPUTED_VALUE"""),"#N/A")</f>
        <v>#N/A</v>
      </c>
      <c r="AA91" s="12" t="str">
        <f ca="1">IFERROR(__xludf.DUMMYFUNCTION("""COMPUTED_VALUE"""),"#N/A")</f>
        <v>#N/A</v>
      </c>
      <c r="AB91" s="12" t="str">
        <f ca="1">IFERROR(__xludf.DUMMYFUNCTION("""COMPUTED_VALUE"""),"#N/A")</f>
        <v>#N/A</v>
      </c>
      <c r="AC91" s="11" t="str">
        <f ca="1">IFERROR(__xludf.DUMMYFUNCTION("""COMPUTED_VALUE"""),"#N/A")</f>
        <v>#N/A</v>
      </c>
      <c r="AD91" s="12" t="str">
        <f ca="1">IFERROR(__xludf.DUMMYFUNCTION("""COMPUTED_VALUE"""),"#N/A")</f>
        <v>#N/A</v>
      </c>
      <c r="AE91" s="12" t="str">
        <f ca="1">IFERROR(__xludf.DUMMYFUNCTION("""COMPUTED_VALUE"""),"#N/A")</f>
        <v>#N/A</v>
      </c>
      <c r="AF91" s="12" t="str">
        <f ca="1">IFERROR(__xludf.DUMMYFUNCTION("""COMPUTED_VALUE"""),"#N/A")</f>
        <v>#N/A</v>
      </c>
      <c r="AG91" s="70" t="str">
        <f ca="1">IFERROR(__xludf.DUMMYFUNCTION("ArrayFormula(VLOOKUP(G91, IMPORTRANGE(""https://docs.google.com/spreadsheets/d/1Co934fvtviyaRiMsrIlT05Jaq7iiYq07aLvRr35KA48/edit?gid=173865642#gid=173865642"", ""'G9_Maths_Pri_LU'!G2:V2000""), {3, 4, 5, 6, 7, 8, 9, 10, 11, 12, 13, 14, 15, 16}, 0))"),"LU001235")</f>
        <v>LU001235</v>
      </c>
      <c r="AH91" s="70" t="str">
        <f ca="1">IFERROR(__xludf.DUMMYFUNCTION("""COMPUTED_VALUE"""),"Axiom for SAS congruence rule")</f>
        <v>Axiom for SAS congruence rule</v>
      </c>
      <c r="AI91" s="70" t="str">
        <f ca="1">IFERROR(__xludf.DUMMYFUNCTION("""COMPUTED_VALUE"""),"LU001093")</f>
        <v>LU001093</v>
      </c>
      <c r="AJ91" s="70" t="str">
        <f ca="1">IFERROR(__xludf.DUMMYFUNCTION("""COMPUTED_VALUE"""),"Elements of a circle (arc, chord, secant)")</f>
        <v>Elements of a circle (arc, chord, secant)</v>
      </c>
      <c r="AK91" s="70"/>
      <c r="AL91" s="70"/>
      <c r="AM91" s="13"/>
      <c r="AN91" s="13"/>
      <c r="AO91" s="13"/>
      <c r="AP91" s="13"/>
      <c r="AQ91" s="13"/>
      <c r="AR91" s="13"/>
      <c r="AS91" s="13"/>
      <c r="AT91" s="13"/>
    </row>
    <row r="92" spans="1:46">
      <c r="A92" s="8" t="s">
        <v>247</v>
      </c>
      <c r="B92" s="66" t="s">
        <v>47</v>
      </c>
      <c r="C92" s="66" t="s">
        <v>979</v>
      </c>
      <c r="D92" s="67" t="s">
        <v>732</v>
      </c>
      <c r="E92" s="67" t="s">
        <v>1122</v>
      </c>
      <c r="F92" s="66" t="s">
        <v>1126</v>
      </c>
      <c r="G92" s="68" t="s">
        <v>1127</v>
      </c>
      <c r="H92" s="71" t="str">
        <f ca="1">IFERROR(__xludf.DUMMYFUNCTION("VLOOKUP(G92, IMPORTRANGE(""https://docs.google.com/spreadsheets/d/14deopnvwcrKtEGCKuYXdUHJbeLDZlkiSSWWT0g7x2pM/edit#gid=999382323"", ""LU List Maths (Filter)!A:B""), 2, FALSE)"),"Theorem: The perpendicular from the centre of a circle to a chord bisects the chord.")</f>
        <v>Theorem: The perpendicular from the centre of a circle to a chord bisects the chord.</v>
      </c>
      <c r="I92" s="69" t="str">
        <f t="shared" si="0"/>
        <v>LU001289.001</v>
      </c>
      <c r="J92" s="69" t="str">
        <f ca="1">IFERROR(__xludf.DUMMYFUNCTION("VLOOKUP(I92, IMPORTRANGE(""https://docs.google.com/spreadsheets/d/1yDAaXNsi4Mr5FtRQL4tbmSdIzhx6_m4wkOD7IG-k_eo/edit#gid=0"", ""Maths!M:N""), 2, FALSE)"),"Recall and state the theorem, including its assumptions and components.")</f>
        <v>Recall and state the theorem, including its assumptions and components.</v>
      </c>
      <c r="K92" s="69" t="str">
        <f t="shared" si="1"/>
        <v>LU001289.002</v>
      </c>
      <c r="L92" s="69" t="str">
        <f ca="1">IFERROR(__xludf.DUMMYFUNCTION("VLOOKUP(K92, IMPORTRANGE(""https://docs.google.com/spreadsheets/d/1yDAaXNsi4Mr5FtRQL4tbmSdIzhx6_m4wkOD7IG-k_eo/edit#gid=0"", ""Maths!M:N""), 2, FALSE)"),"Describe the steps involved in proving the theorem.")</f>
        <v>Describe the steps involved in proving the theorem.</v>
      </c>
      <c r="M92" s="69" t="str">
        <f t="shared" si="2"/>
        <v>LU001289.003</v>
      </c>
      <c r="N92" s="69" t="str">
        <f ca="1">IFERROR(__xludf.DUMMYFUNCTION("VLOOKUP(M92, IMPORTRANGE(""https://docs.google.com/spreadsheets/d/1yDAaXNsi4Mr5FtRQL4tbmSdIzhx6_m4wkOD7IG-k_eo/edit#gid=0"", ""Maths!M:N""), 2, FALSE)"),"Use the theorem to solve various mathematical problems.")</f>
        <v>Use the theorem to solve various mathematical problems.</v>
      </c>
      <c r="O92" s="69" t="str">
        <f t="shared" si="3"/>
        <v>LU001289.004</v>
      </c>
      <c r="P92" s="69" t="str">
        <f ca="1">IFERROR(__xludf.DUMMYFUNCTION("VLOOKUP(O92, IMPORTRANGE(""https://docs.google.com/spreadsheets/d/1yDAaXNsi4Mr5FtRQL4tbmSdIzhx6_m4wkOD7IG-k_eo/edit#gid=0"", ""Maths!M:N""), 2, FALSE)"),"Break down the proof of the theorem into individual steps with explanations, check the correctness of each step and its explanation.")</f>
        <v>Break down the proof of the theorem into individual steps with explanations, check the correctness of each step and its explanation.</v>
      </c>
      <c r="Q92" s="69" t="str">
        <f t="shared" si="4"/>
        <v>LU001289.005</v>
      </c>
      <c r="R92" s="69" t="str">
        <f ca="1">IFERROR(__xludf.DUMMYFUNCTION("VLOOKUP(Q92, IMPORTRANGE(""https://docs.google.com/spreadsheets/d/1yDAaXNsi4Mr5FtRQL4tbmSdIzhx6_m4wkOD7IG-k_eo/edit#gid=0"", ""Maths!M:N""), 2, FALSE)"),"Critique the theorem by comparing it to related theorems or methods, discussing its strengths, limitations, and overall significance.")</f>
        <v>Critique the theorem by comparing it to related theorems or methods, discussing its strengths, limitations, and overall significance.</v>
      </c>
      <c r="S92" s="69" t="str">
        <f t="shared" si="5"/>
        <v>LU001289.006</v>
      </c>
      <c r="T92" s="69" t="str">
        <f ca="1">IFERROR(__xludf.DUMMYFUNCTION("VLOOKUP(S92, IMPORTRANGE(""https://docs.google.com/spreadsheets/d/1yDAaXNsi4Mr5FtRQL4tbmSdIzhx6_m4wkOD7IG-k_eo/edit#gid=0"", ""Maths!M:N""), 2, FALSE)"),"Construct a geometric problem involving a perpendicular bisector and solve it.")</f>
        <v>Construct a geometric problem involving a perpendicular bisector and solve it.</v>
      </c>
      <c r="U92" s="11" t="str">
        <f ca="1">IFERROR(__xludf.DUMMYFUNCTION("ArrayFormula(VLOOKUP(G92, IMPORTRANGE(""https://docs.google.com/spreadsheets/d/1p7R4vtkWt5VOBim4ltsDG9KTzSjrtKXsMtQGXPHyND0/edit#gid=795171502"", ""'Filter 30_05_2024'!A1:M2000""), {2, 3, 4, 5,6,7,8,9,10,11,12,13}, 0))"),"#N/A")</f>
        <v>#N/A</v>
      </c>
      <c r="V92" s="11" t="str">
        <f ca="1">IFERROR(__xludf.DUMMYFUNCTION("""COMPUTED_VALUE"""),"#N/A")</f>
        <v>#N/A</v>
      </c>
      <c r="W92" s="11" t="str">
        <f ca="1">IFERROR(__xludf.DUMMYFUNCTION("""COMPUTED_VALUE"""),"#N/A")</f>
        <v>#N/A</v>
      </c>
      <c r="X92" s="11" t="str">
        <f ca="1">IFERROR(__xludf.DUMMYFUNCTION("""COMPUTED_VALUE"""),"#N/A")</f>
        <v>#N/A</v>
      </c>
      <c r="Y92" s="11" t="str">
        <f ca="1">IFERROR(__xludf.DUMMYFUNCTION("""COMPUTED_VALUE"""),"#N/A")</f>
        <v>#N/A</v>
      </c>
      <c r="Z92" s="12" t="str">
        <f ca="1">IFERROR(__xludf.DUMMYFUNCTION("""COMPUTED_VALUE"""),"#N/A")</f>
        <v>#N/A</v>
      </c>
      <c r="AA92" s="12" t="str">
        <f ca="1">IFERROR(__xludf.DUMMYFUNCTION("""COMPUTED_VALUE"""),"#N/A")</f>
        <v>#N/A</v>
      </c>
      <c r="AB92" s="12" t="str">
        <f ca="1">IFERROR(__xludf.DUMMYFUNCTION("""COMPUTED_VALUE"""),"#N/A")</f>
        <v>#N/A</v>
      </c>
      <c r="AC92" s="11" t="str">
        <f ca="1">IFERROR(__xludf.DUMMYFUNCTION("""COMPUTED_VALUE"""),"#N/A")</f>
        <v>#N/A</v>
      </c>
      <c r="AD92" s="12" t="str">
        <f ca="1">IFERROR(__xludf.DUMMYFUNCTION("""COMPUTED_VALUE"""),"#N/A")</f>
        <v>#N/A</v>
      </c>
      <c r="AE92" s="12" t="str">
        <f ca="1">IFERROR(__xludf.DUMMYFUNCTION("""COMPUTED_VALUE"""),"#N/A")</f>
        <v>#N/A</v>
      </c>
      <c r="AF92" s="12" t="str">
        <f ca="1">IFERROR(__xludf.DUMMYFUNCTION("""COMPUTED_VALUE"""),"#N/A")</f>
        <v>#N/A</v>
      </c>
      <c r="AG92" s="70" t="str">
        <f ca="1">IFERROR(__xludf.DUMMYFUNCTION("ArrayFormula(VLOOKUP(G92, IMPORTRANGE(""https://docs.google.com/spreadsheets/d/1Co934fvtviyaRiMsrIlT05Jaq7iiYq07aLvRr35KA48/edit?gid=173865642#gid=173865642"", ""'G9_Maths_Pri_LU'!G2:V2000""), {3, 4, 5, 6, 7, 8, 9, 10, 11, 12, 13, 14, 15, 16}, 0))"),"LU001240")</f>
        <v>LU001240</v>
      </c>
      <c r="AH92" s="70" t="str">
        <f ca="1">IFERROR(__xludf.DUMMYFUNCTION("""COMPUTED_VALUE"""),"Theorem for RHS congruence rule")</f>
        <v>Theorem for RHS congruence rule</v>
      </c>
      <c r="AI92" s="70" t="str">
        <f ca="1">IFERROR(__xludf.DUMMYFUNCTION("""COMPUTED_VALUE"""),"LU000250")</f>
        <v>LU000250</v>
      </c>
      <c r="AJ92" s="70" t="str">
        <f ca="1">IFERROR(__xludf.DUMMYFUNCTION("""COMPUTED_VALUE"""),"Definition of a perpendicular bisector")</f>
        <v>Definition of a perpendicular bisector</v>
      </c>
      <c r="AK92" s="70" t="str">
        <f ca="1">IFERROR(__xludf.DUMMYFUNCTION("""COMPUTED_VALUE"""),"LU001093")</f>
        <v>LU001093</v>
      </c>
      <c r="AL92" s="70" t="str">
        <f ca="1">IFERROR(__xludf.DUMMYFUNCTION("""COMPUTED_VALUE"""),"Elements of a circle (arc, chord, secant)")</f>
        <v>Elements of a circle (arc, chord, secant)</v>
      </c>
      <c r="AM92" s="13"/>
      <c r="AN92" s="13"/>
      <c r="AO92" s="13"/>
      <c r="AP92" s="13"/>
      <c r="AQ92" s="13"/>
      <c r="AR92" s="13"/>
      <c r="AS92" s="13"/>
      <c r="AT92" s="13"/>
    </row>
    <row r="93" spans="1:46">
      <c r="A93" s="8" t="s">
        <v>247</v>
      </c>
      <c r="B93" s="66" t="s">
        <v>47</v>
      </c>
      <c r="C93" s="66" t="s">
        <v>979</v>
      </c>
      <c r="D93" s="67" t="s">
        <v>732</v>
      </c>
      <c r="E93" s="67" t="s">
        <v>1122</v>
      </c>
      <c r="F93" s="66" t="s">
        <v>1126</v>
      </c>
      <c r="G93" s="68" t="s">
        <v>1128</v>
      </c>
      <c r="H93" s="71" t="str">
        <f ca="1">IFERROR(__xludf.DUMMYFUNCTION("VLOOKUP(G93, IMPORTRANGE(""https://docs.google.com/spreadsheets/d/14deopnvwcrKtEGCKuYXdUHJbeLDZlkiSSWWT0g7x2pM/edit#gid=999382323"", ""LU List Maths (Filter)!A:B""), 2, FALSE)"),"Theorem: The line drawn through the centre of a circle to bisect a chord is perpendicular to the chord.")</f>
        <v>Theorem: The line drawn through the centre of a circle to bisect a chord is perpendicular to the chord.</v>
      </c>
      <c r="I93" s="69" t="str">
        <f t="shared" si="0"/>
        <v>LU001290.001</v>
      </c>
      <c r="J93" s="69" t="str">
        <f ca="1">IFERROR(__xludf.DUMMYFUNCTION("VLOOKUP(I93, IMPORTRANGE(""https://docs.google.com/spreadsheets/d/1yDAaXNsi4Mr5FtRQL4tbmSdIzhx6_m4wkOD7IG-k_eo/edit#gid=0"", ""Maths!M:N""), 2, FALSE)"),"Recall and state the theorem, including its assumptions and components.")</f>
        <v>Recall and state the theorem, including its assumptions and components.</v>
      </c>
      <c r="K93" s="69" t="str">
        <f t="shared" si="1"/>
        <v>LU001290.002</v>
      </c>
      <c r="L93" s="69" t="str">
        <f ca="1">IFERROR(__xludf.DUMMYFUNCTION("VLOOKUP(K93, IMPORTRANGE(""https://docs.google.com/spreadsheets/d/1yDAaXNsi4Mr5FtRQL4tbmSdIzhx6_m4wkOD7IG-k_eo/edit#gid=0"", ""Maths!M:N""), 2, FALSE)"),"Describe the steps involved in proving the theorem.")</f>
        <v>Describe the steps involved in proving the theorem.</v>
      </c>
      <c r="M93" s="69" t="str">
        <f t="shared" si="2"/>
        <v>LU001290.003</v>
      </c>
      <c r="N93" s="69" t="str">
        <f ca="1">IFERROR(__xludf.DUMMYFUNCTION("VLOOKUP(M93, IMPORTRANGE(""https://docs.google.com/spreadsheets/d/1yDAaXNsi4Mr5FtRQL4tbmSdIzhx6_m4wkOD7IG-k_eo/edit#gid=0"", ""Maths!M:N""), 2, FALSE)"),"Use the theorem to solve various mathematical problems.")</f>
        <v>Use the theorem to solve various mathematical problems.</v>
      </c>
      <c r="O93" s="69" t="str">
        <f t="shared" si="3"/>
        <v>LU001290.004</v>
      </c>
      <c r="P93" s="69" t="str">
        <f ca="1">IFERROR(__xludf.DUMMYFUNCTION("VLOOKUP(O93, IMPORTRANGE(""https://docs.google.com/spreadsheets/d/1yDAaXNsi4Mr5FtRQL4tbmSdIzhx6_m4wkOD7IG-k_eo/edit#gid=0"", ""Maths!M:N""), 2, FALSE)"),"Break down the proof of the theorem into individual steps with explanations, check the correctness of each step and its explanation.")</f>
        <v>Break down the proof of the theorem into individual steps with explanations, check the correctness of each step and its explanation.</v>
      </c>
      <c r="Q93" s="69" t="str">
        <f t="shared" si="4"/>
        <v>LU001290.005</v>
      </c>
      <c r="R93" s="69" t="str">
        <f ca="1">IFERROR(__xludf.DUMMYFUNCTION("VLOOKUP(Q93, IMPORTRANGE(""https://docs.google.com/spreadsheets/d/1yDAaXNsi4Mr5FtRQL4tbmSdIzhx6_m4wkOD7IG-k_eo/edit#gid=0"", ""Maths!M:N""), 2, FALSE)"),"Critique the theorem by comparing it to related theorems or methods, discussing its strengths, limitations, and overall significance.")</f>
        <v>Critique the theorem by comparing it to related theorems or methods, discussing its strengths, limitations, and overall significance.</v>
      </c>
      <c r="S93" s="69" t="str">
        <f t="shared" si="5"/>
        <v>LU001290.006</v>
      </c>
      <c r="T93" s="69" t="str">
        <f ca="1">IFERROR(__xludf.DUMMYFUNCTION("VLOOKUP(S93, IMPORTRANGE(""https://docs.google.com/spreadsheets/d/1yDAaXNsi4Mr5FtRQL4tbmSdIzhx6_m4wkOD7IG-k_eo/edit#gid=0"", ""Maths!M:N""), 2, FALSE)"),"Create a diagram to demonstrate the bisecting perpendicular line theorem.")</f>
        <v>Create a diagram to demonstrate the bisecting perpendicular line theorem.</v>
      </c>
      <c r="U93" s="11" t="str">
        <f ca="1">IFERROR(__xludf.DUMMYFUNCTION("ArrayFormula(VLOOKUP(G93, IMPORTRANGE(""https://docs.google.com/spreadsheets/d/1p7R4vtkWt5VOBim4ltsDG9KTzSjrtKXsMtQGXPHyND0/edit#gid=795171502"", ""'Filter 30_05_2024'!A1:M2000""), {2, 3, 4, 5,6,7,8,9,10,11,12,13}, 0))"),"#N/A")</f>
        <v>#N/A</v>
      </c>
      <c r="V93" s="11" t="str">
        <f ca="1">IFERROR(__xludf.DUMMYFUNCTION("""COMPUTED_VALUE"""),"#N/A")</f>
        <v>#N/A</v>
      </c>
      <c r="W93" s="11" t="str">
        <f ca="1">IFERROR(__xludf.DUMMYFUNCTION("""COMPUTED_VALUE"""),"#N/A")</f>
        <v>#N/A</v>
      </c>
      <c r="X93" s="11" t="str">
        <f ca="1">IFERROR(__xludf.DUMMYFUNCTION("""COMPUTED_VALUE"""),"#N/A")</f>
        <v>#N/A</v>
      </c>
      <c r="Y93" s="11" t="str">
        <f ca="1">IFERROR(__xludf.DUMMYFUNCTION("""COMPUTED_VALUE"""),"#N/A")</f>
        <v>#N/A</v>
      </c>
      <c r="Z93" s="12" t="str">
        <f ca="1">IFERROR(__xludf.DUMMYFUNCTION("""COMPUTED_VALUE"""),"#N/A")</f>
        <v>#N/A</v>
      </c>
      <c r="AA93" s="12" t="str">
        <f ca="1">IFERROR(__xludf.DUMMYFUNCTION("""COMPUTED_VALUE"""),"#N/A")</f>
        <v>#N/A</v>
      </c>
      <c r="AB93" s="12" t="str">
        <f ca="1">IFERROR(__xludf.DUMMYFUNCTION("""COMPUTED_VALUE"""),"#N/A")</f>
        <v>#N/A</v>
      </c>
      <c r="AC93" s="11" t="str">
        <f ca="1">IFERROR(__xludf.DUMMYFUNCTION("""COMPUTED_VALUE"""),"#N/A")</f>
        <v>#N/A</v>
      </c>
      <c r="AD93" s="12" t="str">
        <f ca="1">IFERROR(__xludf.DUMMYFUNCTION("""COMPUTED_VALUE"""),"#N/A")</f>
        <v>#N/A</v>
      </c>
      <c r="AE93" s="12" t="str">
        <f ca="1">IFERROR(__xludf.DUMMYFUNCTION("""COMPUTED_VALUE"""),"#N/A")</f>
        <v>#N/A</v>
      </c>
      <c r="AF93" s="12" t="str">
        <f ca="1">IFERROR(__xludf.DUMMYFUNCTION("""COMPUTED_VALUE"""),"#N/A")</f>
        <v>#N/A</v>
      </c>
      <c r="AG93" s="70" t="str">
        <f ca="1">IFERROR(__xludf.DUMMYFUNCTION("ArrayFormula(VLOOKUP(G93, IMPORTRANGE(""https://docs.google.com/spreadsheets/d/1Co934fvtviyaRiMsrIlT05Jaq7iiYq07aLvRr35KA48/edit?gid=173865642#gid=173865642"", ""'G9_Maths_Pri_LU'!G2:V2000""), {3, 4, 5, 6, 7, 8, 9, 10, 11, 12, 13, 14, 15, 16}, 0))"),"LU001240")</f>
        <v>LU001240</v>
      </c>
      <c r="AH93" s="70" t="str">
        <f ca="1">IFERROR(__xludf.DUMMYFUNCTION("""COMPUTED_VALUE"""),"Theorem for RHS congruence rule")</f>
        <v>Theorem for RHS congruence rule</v>
      </c>
      <c r="AI93" s="70" t="str">
        <f ca="1">IFERROR(__xludf.DUMMYFUNCTION("""COMPUTED_VALUE"""),"LU000250")</f>
        <v>LU000250</v>
      </c>
      <c r="AJ93" s="70" t="str">
        <f ca="1">IFERROR(__xludf.DUMMYFUNCTION("""COMPUTED_VALUE"""),"Definition of a perpendicular bisector")</f>
        <v>Definition of a perpendicular bisector</v>
      </c>
      <c r="AK93" s="70" t="str">
        <f ca="1">IFERROR(__xludf.DUMMYFUNCTION("""COMPUTED_VALUE"""),"LU001093")</f>
        <v>LU001093</v>
      </c>
      <c r="AL93" s="70" t="str">
        <f ca="1">IFERROR(__xludf.DUMMYFUNCTION("""COMPUTED_VALUE"""),"Elements of a circle (arc, chord, secant)")</f>
        <v>Elements of a circle (arc, chord, secant)</v>
      </c>
      <c r="AM93" s="13"/>
      <c r="AN93" s="13"/>
      <c r="AO93" s="13"/>
      <c r="AP93" s="13"/>
      <c r="AQ93" s="13"/>
      <c r="AR93" s="13"/>
      <c r="AS93" s="13"/>
      <c r="AT93" s="13"/>
    </row>
    <row r="94" spans="1:46">
      <c r="A94" s="8" t="s">
        <v>247</v>
      </c>
      <c r="B94" s="66" t="s">
        <v>47</v>
      </c>
      <c r="C94" s="66" t="s">
        <v>979</v>
      </c>
      <c r="D94" s="67" t="s">
        <v>732</v>
      </c>
      <c r="E94" s="67" t="s">
        <v>1122</v>
      </c>
      <c r="F94" s="66" t="s">
        <v>1129</v>
      </c>
      <c r="G94" s="68" t="s">
        <v>1130</v>
      </c>
      <c r="H94" s="71" t="str">
        <f ca="1">IFERROR(__xludf.DUMMYFUNCTION("VLOOKUP(G94, IMPORTRANGE(""https://docs.google.com/spreadsheets/d/14deopnvwcrKtEGCKuYXdUHJbeLDZlkiSSWWT0g7x2pM/edit#gid=999382323"", ""LU List Maths (Filter)!A:B""), 2, FALSE)"),"Distance of a line from a point")</f>
        <v>Distance of a line from a point</v>
      </c>
      <c r="I94" s="69" t="str">
        <f t="shared" si="0"/>
        <v>LU001296.001</v>
      </c>
      <c r="J94" s="69" t="str">
        <f ca="1">IFERROR(__xludf.DUMMYFUNCTION("VLOOKUP(I94, IMPORTRANGE(""https://docs.google.com/spreadsheets/d/1yDAaXNsi4Mr5FtRQL4tbmSdIzhx6_m4wkOD7IG-k_eo/edit#gid=0"", ""Maths!M:N""), 2, FALSE)"),"Recall that the distance from a point to a line is the length of the perpendicular segment from the point to the line.")</f>
        <v>Recall that the distance from a point to a line is the length of the perpendicular segment from the point to the line.</v>
      </c>
      <c r="K94" s="69" t="str">
        <f t="shared" si="1"/>
        <v>LU001296.002</v>
      </c>
      <c r="L94" s="69" t="str">
        <f ca="1">IFERROR(__xludf.DUMMYFUNCTION("VLOOKUP(K94, IMPORTRANGE(""https://docs.google.com/spreadsheets/d/1yDAaXNsi4Mr5FtRQL4tbmSdIzhx6_m4wkOD7IG-k_eo/edit#gid=0"", ""Maths!M:N""), 2, FALSE)"),"Explain why the perpendicular segment from a point to a line represents the shortest distance.")</f>
        <v>Explain why the perpendicular segment from a point to a line represents the shortest distance.</v>
      </c>
      <c r="M94" s="69" t="str">
        <f t="shared" si="2"/>
        <v>LU001296.003</v>
      </c>
      <c r="N94" s="69" t="str">
        <f ca="1">IFERROR(__xludf.DUMMYFUNCTION("VLOOKUP(M94, IMPORTRANGE(""https://docs.google.com/spreadsheets/d/1yDAaXNsi4Mr5FtRQL4tbmSdIzhx6_m4wkOD7IG-k_eo/edit#gid=0"", ""Maths!M:N""), 2, FALSE)"),"Construct the perpendicular segment from a given point to a line and measure its length.")</f>
        <v>Construct the perpendicular segment from a given point to a line and measure its length.</v>
      </c>
      <c r="O94" s="69" t="str">
        <f t="shared" si="3"/>
        <v>LU001296.004</v>
      </c>
      <c r="P94" s="69" t="str">
        <f ca="1">IFERROR(__xludf.DUMMYFUNCTION("VLOOKUP(O94, IMPORTRANGE(""https://docs.google.com/spreadsheets/d/1yDAaXNsi4Mr5FtRQL4tbmSdIzhx6_m4wkOD7IG-k_eo/edit#gid=0"", ""Maths!M:N""), 2, FALSE)"),"Analyse different line segments from a point to a line to determine which is the shortest.")</f>
        <v>Analyse different line segments from a point to a line to determine which is the shortest.</v>
      </c>
      <c r="Q94" s="69" t="str">
        <f t="shared" si="4"/>
        <v>LU001296.005</v>
      </c>
      <c r="R94" s="69" t="str">
        <f ca="1">IFERROR(__xludf.DUMMYFUNCTION("VLOOKUP(Q94, IMPORTRANGE(""https://docs.google.com/spreadsheets/d/1yDAaXNsi4Mr5FtRQL4tbmSdIzhx6_m4wkOD7IG-k_eo/edit#gid=0"", ""Maths!M:N""), 2, FALSE)"),"Assess the method used to determine the distance from a point to a line in different geometric problems.")</f>
        <v>Assess the method used to determine the distance from a point to a line in different geometric problems.</v>
      </c>
      <c r="S94" s="69" t="str">
        <f t="shared" si="5"/>
        <v>LU001296.006</v>
      </c>
      <c r="T94" s="69" t="str">
        <f ca="1">IFERROR(__xludf.DUMMYFUNCTION("VLOOKUP(S94, IMPORTRANGE(""https://docs.google.com/spreadsheets/d/1yDAaXNsi4Mr5FtRQL4tbmSdIzhx6_m4wkOD7IG-k_eo/edit#gid=0"", ""Maths!M:N""), 2, FALSE)"),"Create a geometric problem involving multiple points and lines, requiring the construction of perpendiculars to find distances.")</f>
        <v>Create a geometric problem involving multiple points and lines, requiring the construction of perpendiculars to find distances.</v>
      </c>
      <c r="U94" s="11" t="str">
        <f ca="1">IFERROR(__xludf.DUMMYFUNCTION("ArrayFormula(VLOOKUP(G94, IMPORTRANGE(""https://docs.google.com/spreadsheets/d/1p7R4vtkWt5VOBim4ltsDG9KTzSjrtKXsMtQGXPHyND0/edit#gid=795171502"", ""'Filter 30_05_2024'!A1:M2000""), {2, 3, 4, 5,6,7,8,9,10,11,12,13}, 0))"),"#N/A")</f>
        <v>#N/A</v>
      </c>
      <c r="V94" s="11" t="str">
        <f ca="1">IFERROR(__xludf.DUMMYFUNCTION("""COMPUTED_VALUE"""),"#N/A")</f>
        <v>#N/A</v>
      </c>
      <c r="W94" s="11" t="str">
        <f ca="1">IFERROR(__xludf.DUMMYFUNCTION("""COMPUTED_VALUE"""),"#N/A")</f>
        <v>#N/A</v>
      </c>
      <c r="X94" s="11" t="str">
        <f ca="1">IFERROR(__xludf.DUMMYFUNCTION("""COMPUTED_VALUE"""),"#N/A")</f>
        <v>#N/A</v>
      </c>
      <c r="Y94" s="11" t="str">
        <f ca="1">IFERROR(__xludf.DUMMYFUNCTION("""COMPUTED_VALUE"""),"#N/A")</f>
        <v>#N/A</v>
      </c>
      <c r="Z94" s="12" t="str">
        <f ca="1">IFERROR(__xludf.DUMMYFUNCTION("""COMPUTED_VALUE"""),"#N/A")</f>
        <v>#N/A</v>
      </c>
      <c r="AA94" s="12" t="str">
        <f ca="1">IFERROR(__xludf.DUMMYFUNCTION("""COMPUTED_VALUE"""),"#N/A")</f>
        <v>#N/A</v>
      </c>
      <c r="AB94" s="12" t="str">
        <f ca="1">IFERROR(__xludf.DUMMYFUNCTION("""COMPUTED_VALUE"""),"#N/A")</f>
        <v>#N/A</v>
      </c>
      <c r="AC94" s="11" t="str">
        <f ca="1">IFERROR(__xludf.DUMMYFUNCTION("""COMPUTED_VALUE"""),"#N/A")</f>
        <v>#N/A</v>
      </c>
      <c r="AD94" s="12" t="str">
        <f ca="1">IFERROR(__xludf.DUMMYFUNCTION("""COMPUTED_VALUE"""),"#N/A")</f>
        <v>#N/A</v>
      </c>
      <c r="AE94" s="12" t="str">
        <f ca="1">IFERROR(__xludf.DUMMYFUNCTION("""COMPUTED_VALUE"""),"#N/A")</f>
        <v>#N/A</v>
      </c>
      <c r="AF94" s="12" t="str">
        <f ca="1">IFERROR(__xludf.DUMMYFUNCTION("""COMPUTED_VALUE"""),"#N/A")</f>
        <v>#N/A</v>
      </c>
      <c r="AG94" s="70" t="str">
        <f ca="1">IFERROR(__xludf.DUMMYFUNCTION("ArrayFormula(VLOOKUP(G94, IMPORTRANGE(""https://docs.google.com/spreadsheets/d/1Co934fvtviyaRiMsrIlT05Jaq7iiYq07aLvRr35KA48/edit?gid=173865642#gid=173865642"", ""'G9_Maths_Pri_LU'!G2:V2000""), {3, 4, 5, 6, 7, 8, 9, 10, 11, 12, 13, 14, 15, 16}, 0))"),"LU000812")</f>
        <v>LU000812</v>
      </c>
      <c r="AH94" s="70" t="str">
        <f ca="1">IFERROR(__xludf.DUMMYFUNCTION("""COMPUTED_VALUE"""),"Construction of a perpendicular line to another line through a point on it using a ruler and a compass")</f>
        <v>Construction of a perpendicular line to another line through a point on it using a ruler and a compass</v>
      </c>
      <c r="AI94" s="70" t="str">
        <f ca="1">IFERROR(__xludf.DUMMYFUNCTION("""COMPUTED_VALUE"""),"LU000970")</f>
        <v>LU000970</v>
      </c>
      <c r="AJ94" s="70" t="str">
        <f ca="1">IFERROR(__xludf.DUMMYFUNCTION("""COMPUTED_VALUE"""),"Measurement of length of line segments using ruler")</f>
        <v>Measurement of length of line segments using ruler</v>
      </c>
      <c r="AK94" s="70"/>
      <c r="AL94" s="70"/>
      <c r="AM94" s="13"/>
      <c r="AN94" s="13"/>
      <c r="AO94" s="13"/>
      <c r="AP94" s="13"/>
      <c r="AQ94" s="13"/>
      <c r="AR94" s="13"/>
      <c r="AS94" s="13"/>
      <c r="AT94" s="13"/>
    </row>
    <row r="95" spans="1:46">
      <c r="A95" s="8" t="s">
        <v>247</v>
      </c>
      <c r="B95" s="66" t="s">
        <v>47</v>
      </c>
      <c r="C95" s="66" t="s">
        <v>979</v>
      </c>
      <c r="D95" s="67" t="s">
        <v>732</v>
      </c>
      <c r="E95" s="67" t="s">
        <v>1122</v>
      </c>
      <c r="F95" s="66" t="s">
        <v>1129</v>
      </c>
      <c r="G95" s="68" t="s">
        <v>1131</v>
      </c>
      <c r="H95" s="71" t="str">
        <f ca="1">IFERROR(__xludf.DUMMYFUNCTION("VLOOKUP(G95, IMPORTRANGE(""https://docs.google.com/spreadsheets/d/14deopnvwcrKtEGCKuYXdUHJbeLDZlkiSSWWT0g7x2pM/edit#gid=999382323"", ""LU List Maths (Filter)!A:B""), 2, FALSE)"),"Theorem: Equal chords of a circle (or of congruent circles) are equidistant from the centre (or centres).")</f>
        <v>Theorem: Equal chords of a circle (or of congruent circles) are equidistant from the centre (or centres).</v>
      </c>
      <c r="I95" s="69" t="str">
        <f t="shared" si="0"/>
        <v>LU001297.001</v>
      </c>
      <c r="J95" s="69" t="str">
        <f ca="1">IFERROR(__xludf.DUMMYFUNCTION("VLOOKUP(I95, IMPORTRANGE(""https://docs.google.com/spreadsheets/d/1yDAaXNsi4Mr5FtRQL4tbmSdIzhx6_m4wkOD7IG-k_eo/edit#gid=0"", ""Maths!M:N""), 2, FALSE)"),"Recall and state the theorem, including its assumptions and components.")</f>
        <v>Recall and state the theorem, including its assumptions and components.</v>
      </c>
      <c r="K95" s="69" t="str">
        <f t="shared" si="1"/>
        <v>LU001297.002</v>
      </c>
      <c r="L95" s="69" t="str">
        <f ca="1">IFERROR(__xludf.DUMMYFUNCTION("VLOOKUP(K95, IMPORTRANGE(""https://docs.google.com/spreadsheets/d/1yDAaXNsi4Mr5FtRQL4tbmSdIzhx6_m4wkOD7IG-k_eo/edit#gid=0"", ""Maths!M:N""), 2, FALSE)"),"Describe the steps involved in proving the theorem.")</f>
        <v>Describe the steps involved in proving the theorem.</v>
      </c>
      <c r="M95" s="69" t="str">
        <f t="shared" si="2"/>
        <v>LU001297.003</v>
      </c>
      <c r="N95" s="69" t="str">
        <f ca="1">IFERROR(__xludf.DUMMYFUNCTION("VLOOKUP(M95, IMPORTRANGE(""https://docs.google.com/spreadsheets/d/1yDAaXNsi4Mr5FtRQL4tbmSdIzhx6_m4wkOD7IG-k_eo/edit#gid=0"", ""Maths!M:N""), 2, FALSE)"),"Use the theorem to solve various mathematical problems.")</f>
        <v>Use the theorem to solve various mathematical problems.</v>
      </c>
      <c r="O95" s="69" t="str">
        <f t="shared" si="3"/>
        <v>LU001297.004</v>
      </c>
      <c r="P95" s="69" t="str">
        <f ca="1">IFERROR(__xludf.DUMMYFUNCTION("VLOOKUP(O95, IMPORTRANGE(""https://docs.google.com/spreadsheets/d/1yDAaXNsi4Mr5FtRQL4tbmSdIzhx6_m4wkOD7IG-k_eo/edit#gid=0"", ""Maths!M:N""), 2, FALSE)"),"Break down the proof of the theorem into individual steps with explanations, check the correctness of each step and its explanation.")</f>
        <v>Break down the proof of the theorem into individual steps with explanations, check the correctness of each step and its explanation.</v>
      </c>
      <c r="Q95" s="69" t="str">
        <f t="shared" si="4"/>
        <v>LU001297.005</v>
      </c>
      <c r="R95" s="69" t="str">
        <f ca="1">IFERROR(__xludf.DUMMYFUNCTION("VLOOKUP(Q95, IMPORTRANGE(""https://docs.google.com/spreadsheets/d/1yDAaXNsi4Mr5FtRQL4tbmSdIzhx6_m4wkOD7IG-k_eo/edit#gid=0"", ""Maths!M:N""), 2, FALSE)"),"Critique the theorem by comparing it to related theorems or methods, discussing its strengths, limitations, and overall significance.")</f>
        <v>Critique the theorem by comparing it to related theorems or methods, discussing its strengths, limitations, and overall significance.</v>
      </c>
      <c r="S95" s="69" t="str">
        <f t="shared" si="5"/>
        <v>LU001297.006</v>
      </c>
      <c r="T95" s="69" t="str">
        <f ca="1">IFERROR(__xludf.DUMMYFUNCTION("VLOOKUP(S95, IMPORTRANGE(""https://docs.google.com/spreadsheets/d/1yDAaXNsi4Mr5FtRQL4tbmSdIzhx6_m4wkOD7IG-k_eo/edit#gid=0"", ""Maths!M:N""), 2, FALSE)"),"Design a geometric proof to show that equal chords are equidistant from the centre.")</f>
        <v>Design a geometric proof to show that equal chords are equidistant from the centre.</v>
      </c>
      <c r="U95" s="11" t="str">
        <f ca="1">IFERROR(__xludf.DUMMYFUNCTION("ArrayFormula(VLOOKUP(G95, IMPORTRANGE(""https://docs.google.com/spreadsheets/d/1p7R4vtkWt5VOBim4ltsDG9KTzSjrtKXsMtQGXPHyND0/edit#gid=795171502"", ""'Filter 30_05_2024'!A1:M2000""), {2, 3, 4, 5,6,7,8,9,10,11,12,13}, 0))"),"#N/A")</f>
        <v>#N/A</v>
      </c>
      <c r="V95" s="11" t="str">
        <f ca="1">IFERROR(__xludf.DUMMYFUNCTION("""COMPUTED_VALUE"""),"#N/A")</f>
        <v>#N/A</v>
      </c>
      <c r="W95" s="11" t="str">
        <f ca="1">IFERROR(__xludf.DUMMYFUNCTION("""COMPUTED_VALUE"""),"#N/A")</f>
        <v>#N/A</v>
      </c>
      <c r="X95" s="11" t="str">
        <f ca="1">IFERROR(__xludf.DUMMYFUNCTION("""COMPUTED_VALUE"""),"#N/A")</f>
        <v>#N/A</v>
      </c>
      <c r="Y95" s="11" t="str">
        <f ca="1">IFERROR(__xludf.DUMMYFUNCTION("""COMPUTED_VALUE"""),"#N/A")</f>
        <v>#N/A</v>
      </c>
      <c r="Z95" s="12" t="str">
        <f ca="1">IFERROR(__xludf.DUMMYFUNCTION("""COMPUTED_VALUE"""),"#N/A")</f>
        <v>#N/A</v>
      </c>
      <c r="AA95" s="12" t="str">
        <f ca="1">IFERROR(__xludf.DUMMYFUNCTION("""COMPUTED_VALUE"""),"#N/A")</f>
        <v>#N/A</v>
      </c>
      <c r="AB95" s="12" t="str">
        <f ca="1">IFERROR(__xludf.DUMMYFUNCTION("""COMPUTED_VALUE"""),"#N/A")</f>
        <v>#N/A</v>
      </c>
      <c r="AC95" s="11" t="str">
        <f ca="1">IFERROR(__xludf.DUMMYFUNCTION("""COMPUTED_VALUE"""),"#N/A")</f>
        <v>#N/A</v>
      </c>
      <c r="AD95" s="12" t="str">
        <f ca="1">IFERROR(__xludf.DUMMYFUNCTION("""COMPUTED_VALUE"""),"#N/A")</f>
        <v>#N/A</v>
      </c>
      <c r="AE95" s="12" t="str">
        <f ca="1">IFERROR(__xludf.DUMMYFUNCTION("""COMPUTED_VALUE"""),"#N/A")</f>
        <v>#N/A</v>
      </c>
      <c r="AF95" s="12" t="str">
        <f ca="1">IFERROR(__xludf.DUMMYFUNCTION("""COMPUTED_VALUE"""),"#N/A")</f>
        <v>#N/A</v>
      </c>
      <c r="AG95" s="70" t="str">
        <f ca="1">IFERROR(__xludf.DUMMYFUNCTION("ArrayFormula(VLOOKUP(G95, IMPORTRANGE(""https://docs.google.com/spreadsheets/d/1Co934fvtviyaRiMsrIlT05Jaq7iiYq07aLvRr35KA48/edit?gid=173865642#gid=173865642"", ""'G9_Maths_Pri_LU'!G2:V2000""), {3, 4, 5, 6, 7, 8, 9, 10, 11, 12, 13, 14, 15, 16}, 0))"),"LU001240")</f>
        <v>LU001240</v>
      </c>
      <c r="AH95" s="70" t="str">
        <f ca="1">IFERROR(__xludf.DUMMYFUNCTION("""COMPUTED_VALUE"""),"Theorem for RHS congruence rule")</f>
        <v>Theorem for RHS congruence rule</v>
      </c>
      <c r="AI95" s="70" t="str">
        <f ca="1">IFERROR(__xludf.DUMMYFUNCTION("""COMPUTED_VALUE"""),"LU000250")</f>
        <v>LU000250</v>
      </c>
      <c r="AJ95" s="70" t="str">
        <f ca="1">IFERROR(__xludf.DUMMYFUNCTION("""COMPUTED_VALUE"""),"Definition of a perpendicular bisector")</f>
        <v>Definition of a perpendicular bisector</v>
      </c>
      <c r="AK95" s="70" t="str">
        <f ca="1">IFERROR(__xludf.DUMMYFUNCTION("""COMPUTED_VALUE"""),"LU001093")</f>
        <v>LU001093</v>
      </c>
      <c r="AL95" s="70" t="str">
        <f ca="1">IFERROR(__xludf.DUMMYFUNCTION("""COMPUTED_VALUE"""),"Elements of a circle (arc, chord, secant)")</f>
        <v>Elements of a circle (arc, chord, secant)</v>
      </c>
      <c r="AM95" s="13"/>
      <c r="AN95" s="13"/>
      <c r="AO95" s="13"/>
      <c r="AP95" s="13"/>
      <c r="AQ95" s="13"/>
      <c r="AR95" s="13"/>
      <c r="AS95" s="13"/>
      <c r="AT95" s="13"/>
    </row>
    <row r="96" spans="1:46">
      <c r="A96" s="8" t="s">
        <v>247</v>
      </c>
      <c r="B96" s="66" t="s">
        <v>47</v>
      </c>
      <c r="C96" s="66" t="s">
        <v>979</v>
      </c>
      <c r="D96" s="67" t="s">
        <v>732</v>
      </c>
      <c r="E96" s="67" t="s">
        <v>1122</v>
      </c>
      <c r="F96" s="8" t="s">
        <v>1129</v>
      </c>
      <c r="G96" s="68" t="s">
        <v>1132</v>
      </c>
      <c r="H96" s="71" t="str">
        <f ca="1">IFERROR(__xludf.DUMMYFUNCTION("VLOOKUP(G96, IMPORTRANGE(""https://docs.google.com/spreadsheets/d/14deopnvwcrKtEGCKuYXdUHJbeLDZlkiSSWWT0g7x2pM/edit#gid=999382323"", ""LU List Maths (Filter)!A:B""), 2, FALSE)"),"Theorem: Chords equidistant from the centre of a circle are equal in length.")</f>
        <v>Theorem: Chords equidistant from the centre of a circle are equal in length.</v>
      </c>
      <c r="I96" s="69" t="str">
        <f t="shared" si="0"/>
        <v>LU001298.001</v>
      </c>
      <c r="J96" s="69" t="str">
        <f ca="1">IFERROR(__xludf.DUMMYFUNCTION("VLOOKUP(I96, IMPORTRANGE(""https://docs.google.com/spreadsheets/d/1yDAaXNsi4Mr5FtRQL4tbmSdIzhx6_m4wkOD7IG-k_eo/edit#gid=0"", ""Maths!M:N""), 2, FALSE)"),"Recall and state the theorem, including its assumptions and components.")</f>
        <v>Recall and state the theorem, including its assumptions and components.</v>
      </c>
      <c r="K96" s="69" t="str">
        <f t="shared" si="1"/>
        <v>LU001298.002</v>
      </c>
      <c r="L96" s="69" t="str">
        <f ca="1">IFERROR(__xludf.DUMMYFUNCTION("VLOOKUP(K96, IMPORTRANGE(""https://docs.google.com/spreadsheets/d/1yDAaXNsi4Mr5FtRQL4tbmSdIzhx6_m4wkOD7IG-k_eo/edit#gid=0"", ""Maths!M:N""), 2, FALSE)"),"Describe the steps involved in proving the theorem.")</f>
        <v>Describe the steps involved in proving the theorem.</v>
      </c>
      <c r="M96" s="69" t="str">
        <f t="shared" si="2"/>
        <v>LU001298.003</v>
      </c>
      <c r="N96" s="69" t="str">
        <f ca="1">IFERROR(__xludf.DUMMYFUNCTION("VLOOKUP(M96, IMPORTRANGE(""https://docs.google.com/spreadsheets/d/1yDAaXNsi4Mr5FtRQL4tbmSdIzhx6_m4wkOD7IG-k_eo/edit#gid=0"", ""Maths!M:N""), 2, FALSE)"),"Use the theorem to solve various mathematical problems.")</f>
        <v>Use the theorem to solve various mathematical problems.</v>
      </c>
      <c r="O96" s="69" t="str">
        <f t="shared" si="3"/>
        <v>LU001298.004</v>
      </c>
      <c r="P96" s="69" t="str">
        <f ca="1">IFERROR(__xludf.DUMMYFUNCTION("VLOOKUP(O96, IMPORTRANGE(""https://docs.google.com/spreadsheets/d/1yDAaXNsi4Mr5FtRQL4tbmSdIzhx6_m4wkOD7IG-k_eo/edit#gid=0"", ""Maths!M:N""), 2, FALSE)"),"Break down the proof of the theorem into individual steps with explanations, check the correctness of each step and its explanation.")</f>
        <v>Break down the proof of the theorem into individual steps with explanations, check the correctness of each step and its explanation.</v>
      </c>
      <c r="Q96" s="69" t="str">
        <f t="shared" si="4"/>
        <v>LU001298.005</v>
      </c>
      <c r="R96" s="69" t="str">
        <f ca="1">IFERROR(__xludf.DUMMYFUNCTION("VLOOKUP(Q96, IMPORTRANGE(""https://docs.google.com/spreadsheets/d/1yDAaXNsi4Mr5FtRQL4tbmSdIzhx6_m4wkOD7IG-k_eo/edit#gid=0"", ""Maths!M:N""), 2, FALSE)"),"Critique the theorem by comparing it to related theorems or methods, discussing its strengths, limitations, and overall significance.")</f>
        <v>Critique the theorem by comparing it to related theorems or methods, discussing its strengths, limitations, and overall significance.</v>
      </c>
      <c r="S96" s="69" t="str">
        <f t="shared" si="5"/>
        <v>LU001298.006</v>
      </c>
      <c r="T96" s="69" t="str">
        <f ca="1">IFERROR(__xludf.DUMMYFUNCTION("VLOOKUP(S96, IMPORTRANGE(""https://docs.google.com/spreadsheets/d/1yDAaXNsi4Mr5FtRQL4tbmSdIzhx6_m4wkOD7IG-k_eo/edit#gid=0"", ""Maths!M:N""), 2, FALSE)"),"Construct a problem involving equidistant chords and solve it.")</f>
        <v>Construct a problem involving equidistant chords and solve it.</v>
      </c>
      <c r="U96" s="11" t="str">
        <f ca="1">IFERROR(__xludf.DUMMYFUNCTION("ArrayFormula(VLOOKUP(G96, IMPORTRANGE(""https://docs.google.com/spreadsheets/d/1p7R4vtkWt5VOBim4ltsDG9KTzSjrtKXsMtQGXPHyND0/edit#gid=795171502"", ""'Filter 30_05_2024'!A1:M2000""), {2, 3, 4, 5,6,7,8,9,10,11,12,13}, 0))"),"#N/A")</f>
        <v>#N/A</v>
      </c>
      <c r="V96" s="11" t="str">
        <f ca="1">IFERROR(__xludf.DUMMYFUNCTION("""COMPUTED_VALUE"""),"#N/A")</f>
        <v>#N/A</v>
      </c>
      <c r="W96" s="11" t="str">
        <f ca="1">IFERROR(__xludf.DUMMYFUNCTION("""COMPUTED_VALUE"""),"#N/A")</f>
        <v>#N/A</v>
      </c>
      <c r="X96" s="11" t="str">
        <f ca="1">IFERROR(__xludf.DUMMYFUNCTION("""COMPUTED_VALUE"""),"#N/A")</f>
        <v>#N/A</v>
      </c>
      <c r="Y96" s="11" t="str">
        <f ca="1">IFERROR(__xludf.DUMMYFUNCTION("""COMPUTED_VALUE"""),"#N/A")</f>
        <v>#N/A</v>
      </c>
      <c r="Z96" s="12" t="str">
        <f ca="1">IFERROR(__xludf.DUMMYFUNCTION("""COMPUTED_VALUE"""),"#N/A")</f>
        <v>#N/A</v>
      </c>
      <c r="AA96" s="12" t="str">
        <f ca="1">IFERROR(__xludf.DUMMYFUNCTION("""COMPUTED_VALUE"""),"#N/A")</f>
        <v>#N/A</v>
      </c>
      <c r="AB96" s="12" t="str">
        <f ca="1">IFERROR(__xludf.DUMMYFUNCTION("""COMPUTED_VALUE"""),"#N/A")</f>
        <v>#N/A</v>
      </c>
      <c r="AC96" s="11" t="str">
        <f ca="1">IFERROR(__xludf.DUMMYFUNCTION("""COMPUTED_VALUE"""),"#N/A")</f>
        <v>#N/A</v>
      </c>
      <c r="AD96" s="12" t="str">
        <f ca="1">IFERROR(__xludf.DUMMYFUNCTION("""COMPUTED_VALUE"""),"#N/A")</f>
        <v>#N/A</v>
      </c>
      <c r="AE96" s="12" t="str">
        <f ca="1">IFERROR(__xludf.DUMMYFUNCTION("""COMPUTED_VALUE"""),"#N/A")</f>
        <v>#N/A</v>
      </c>
      <c r="AF96" s="12" t="str">
        <f ca="1">IFERROR(__xludf.DUMMYFUNCTION("""COMPUTED_VALUE"""),"#N/A")</f>
        <v>#N/A</v>
      </c>
      <c r="AG96" s="70" t="str">
        <f ca="1">IFERROR(__xludf.DUMMYFUNCTION("ArrayFormula(VLOOKUP(G96, IMPORTRANGE(""https://docs.google.com/spreadsheets/d/1Co934fvtviyaRiMsrIlT05Jaq7iiYq07aLvRr35KA48/edit?gid=173865642#gid=173865642"", ""'G9_Maths_Pri_LU'!G2:V2000""), {3, 4, 5, 6, 7, 8, 9, 10, 11, 12, 13, 14, 15, 16}, 0))"),"LU001240")</f>
        <v>LU001240</v>
      </c>
      <c r="AH96" s="70" t="str">
        <f ca="1">IFERROR(__xludf.DUMMYFUNCTION("""COMPUTED_VALUE"""),"Theorem for RHS congruence rule")</f>
        <v>Theorem for RHS congruence rule</v>
      </c>
      <c r="AI96" s="70" t="str">
        <f ca="1">IFERROR(__xludf.DUMMYFUNCTION("""COMPUTED_VALUE"""),"LU000250")</f>
        <v>LU000250</v>
      </c>
      <c r="AJ96" s="70" t="str">
        <f ca="1">IFERROR(__xludf.DUMMYFUNCTION("""COMPUTED_VALUE"""),"Definition of a perpendicular bisector")</f>
        <v>Definition of a perpendicular bisector</v>
      </c>
      <c r="AK96" s="70" t="str">
        <f ca="1">IFERROR(__xludf.DUMMYFUNCTION("""COMPUTED_VALUE"""),"LU001093")</f>
        <v>LU001093</v>
      </c>
      <c r="AL96" s="70" t="str">
        <f ca="1">IFERROR(__xludf.DUMMYFUNCTION("""COMPUTED_VALUE"""),"Elements of a circle (arc, chord, secant)")</f>
        <v>Elements of a circle (arc, chord, secant)</v>
      </c>
      <c r="AM96" s="13"/>
      <c r="AN96" s="13"/>
      <c r="AO96" s="13"/>
      <c r="AP96" s="13"/>
      <c r="AQ96" s="13"/>
      <c r="AR96" s="13"/>
      <c r="AS96" s="13"/>
      <c r="AT96" s="13"/>
    </row>
    <row r="97" spans="1:46">
      <c r="A97" s="8" t="s">
        <v>247</v>
      </c>
      <c r="B97" s="66" t="s">
        <v>47</v>
      </c>
      <c r="C97" s="66" t="s">
        <v>979</v>
      </c>
      <c r="D97" s="67" t="s">
        <v>732</v>
      </c>
      <c r="E97" s="67" t="s">
        <v>1122</v>
      </c>
      <c r="F97" s="66" t="s">
        <v>1133</v>
      </c>
      <c r="G97" s="68" t="s">
        <v>1134</v>
      </c>
      <c r="H97" s="71" t="str">
        <f ca="1">IFERROR(__xludf.DUMMYFUNCTION("VLOOKUP(G97, IMPORTRANGE(""https://docs.google.com/spreadsheets/d/14deopnvwcrKtEGCKuYXdUHJbeLDZlkiSSWWT0g7x2pM/edit#gid=999382323"", ""LU List Maths (Filter)!A:B""), 2, FALSE)"),"Relationship between chords and arcs in circles")</f>
        <v>Relationship between chords and arcs in circles</v>
      </c>
      <c r="I97" s="69" t="str">
        <f t="shared" si="0"/>
        <v>LU001299.001</v>
      </c>
      <c r="J97" s="69" t="str">
        <f ca="1">IFERROR(__xludf.DUMMYFUNCTION("VLOOKUP(I97, IMPORTRANGE(""https://docs.google.com/spreadsheets/d/1yDAaXNsi4Mr5FtRQL4tbmSdIzhx6_m4wkOD7IG-k_eo/edit#gid=0"", ""Maths!M:N""), 2, FALSE)"),"Recall that equal chords in a circle create congruent arcs and vice versa.")</f>
        <v>Recall that equal chords in a circle create congruent arcs and vice versa.</v>
      </c>
      <c r="K97" s="69" t="str">
        <f t="shared" si="1"/>
        <v>LU001299.002</v>
      </c>
      <c r="L97" s="69" t="str">
        <f ca="1">IFERROR(__xludf.DUMMYFUNCTION("VLOOKUP(K97, IMPORTRANGE(""https://docs.google.com/spreadsheets/d/1yDAaXNsi4Mr5FtRQL4tbmSdIzhx6_m4wkOD7IG-k_eo/edit#gid=0"", ""Maths!M:N""), 2, FALSE)"),"Explain how equal chords and congruent arcs are related to the angles they subtend at the centre.")</f>
        <v>Explain how equal chords and congruent arcs are related to the angles they subtend at the centre.</v>
      </c>
      <c r="M97" s="69" t="str">
        <f t="shared" si="2"/>
        <v>LU001299.003</v>
      </c>
      <c r="N97" s="69" t="str">
        <f ca="1">IFERROR(__xludf.DUMMYFUNCTION("VLOOKUP(M97, IMPORTRANGE(""https://docs.google.com/spreadsheets/d/1yDAaXNsi4Mr5FtRQL4tbmSdIzhx6_m4wkOD7IG-k_eo/edit#gid=0"", ""Maths!M:N""), 2, FALSE)"),"Use the properties of chords and arcs to determine unknown measures in circle-related problems.")</f>
        <v>Use the properties of chords and arcs to determine unknown measures in circle-related problems.</v>
      </c>
      <c r="O97" s="69" t="str">
        <f t="shared" si="3"/>
        <v>LU001299.004</v>
      </c>
      <c r="P97" s="69" t="str">
        <f ca="1">IFERROR(__xludf.DUMMYFUNCTION("VLOOKUP(O97, IMPORTRANGE(""https://docs.google.com/spreadsheets/d/1yDAaXNsi4Mr5FtRQL4tbmSdIzhx6_m4wkOD7IG-k_eo/edit#gid=0"", ""Maths!M:N""), 2, FALSE)"),"Differentiate between various scenarios involving equal chords, congruent arcs, and their subtended angles.")</f>
        <v>Differentiate between various scenarios involving equal chords, congruent arcs, and their subtended angles.</v>
      </c>
      <c r="Q97" s="69" t="str">
        <f t="shared" si="4"/>
        <v>LU001299.005</v>
      </c>
      <c r="R97" s="69" t="str">
        <f ca="1">IFERROR(__xludf.DUMMYFUNCTION("VLOOKUP(Q97, IMPORTRANGE(""https://docs.google.com/spreadsheets/d/1yDAaXNsi4Mr5FtRQL4tbmSdIzhx6_m4wkOD7IG-k_eo/edit#gid=0"", ""Maths!M:N""), 2, FALSE)"),"Assess the correctness of geometric constructions involving equal chords and congruent arcs.")</f>
        <v>Assess the correctness of geometric constructions involving equal chords and congruent arcs.</v>
      </c>
      <c r="S97" s="69" t="str">
        <f t="shared" si="5"/>
        <v>LU001299.006</v>
      </c>
      <c r="T97" s="69" t="str">
        <f ca="1">IFERROR(__xludf.DUMMYFUNCTION("VLOOKUP(S97, IMPORTRANGE(""https://docs.google.com/spreadsheets/d/1yDAaXNsi4Mr5FtRQL4tbmSdIzhx6_m4wkOD7IG-k_eo/edit#gid=0"", ""Maths!M:N""), 2, FALSE)"),"Construct a geometric proof demonstrating that congruent arcs subtend equal angles and solve a related problem.")</f>
        <v>Construct a geometric proof demonstrating that congruent arcs subtend equal angles and solve a related problem.</v>
      </c>
      <c r="U97" s="11" t="str">
        <f ca="1">IFERROR(__xludf.DUMMYFUNCTION("ArrayFormula(VLOOKUP(G97, IMPORTRANGE(""https://docs.google.com/spreadsheets/d/1p7R4vtkWt5VOBim4ltsDG9KTzSjrtKXsMtQGXPHyND0/edit#gid=795171502"", ""'Filter 30_05_2024'!A1:M2000""), {2, 3, 4, 5,6,7,8,9,10,11,12,13}, 0))"),"#N/A")</f>
        <v>#N/A</v>
      </c>
      <c r="V97" s="11" t="str">
        <f ca="1">IFERROR(__xludf.DUMMYFUNCTION("""COMPUTED_VALUE"""),"#N/A")</f>
        <v>#N/A</v>
      </c>
      <c r="W97" s="11" t="str">
        <f ca="1">IFERROR(__xludf.DUMMYFUNCTION("""COMPUTED_VALUE"""),"#N/A")</f>
        <v>#N/A</v>
      </c>
      <c r="X97" s="11" t="str">
        <f ca="1">IFERROR(__xludf.DUMMYFUNCTION("""COMPUTED_VALUE"""),"#N/A")</f>
        <v>#N/A</v>
      </c>
      <c r="Y97" s="11" t="str">
        <f ca="1">IFERROR(__xludf.DUMMYFUNCTION("""COMPUTED_VALUE"""),"#N/A")</f>
        <v>#N/A</v>
      </c>
      <c r="Z97" s="12" t="str">
        <f ca="1">IFERROR(__xludf.DUMMYFUNCTION("""COMPUTED_VALUE"""),"#N/A")</f>
        <v>#N/A</v>
      </c>
      <c r="AA97" s="12" t="str">
        <f ca="1">IFERROR(__xludf.DUMMYFUNCTION("""COMPUTED_VALUE"""),"#N/A")</f>
        <v>#N/A</v>
      </c>
      <c r="AB97" s="12" t="str">
        <f ca="1">IFERROR(__xludf.DUMMYFUNCTION("""COMPUTED_VALUE"""),"#N/A")</f>
        <v>#N/A</v>
      </c>
      <c r="AC97" s="11" t="str">
        <f ca="1">IFERROR(__xludf.DUMMYFUNCTION("""COMPUTED_VALUE"""),"#N/A")</f>
        <v>#N/A</v>
      </c>
      <c r="AD97" s="12" t="str">
        <f ca="1">IFERROR(__xludf.DUMMYFUNCTION("""COMPUTED_VALUE"""),"#N/A")</f>
        <v>#N/A</v>
      </c>
      <c r="AE97" s="12" t="str">
        <f ca="1">IFERROR(__xludf.DUMMYFUNCTION("""COMPUTED_VALUE"""),"#N/A")</f>
        <v>#N/A</v>
      </c>
      <c r="AF97" s="12" t="str">
        <f ca="1">IFERROR(__xludf.DUMMYFUNCTION("""COMPUTED_VALUE"""),"#N/A")</f>
        <v>#N/A</v>
      </c>
      <c r="AG97" s="70" t="str">
        <f ca="1">IFERROR(__xludf.DUMMYFUNCTION("ArrayFormula(VLOOKUP(G97, IMPORTRANGE(""https://docs.google.com/spreadsheets/d/1Co934fvtviyaRiMsrIlT05Jaq7iiYq07aLvRr35KA48/edit?gid=173865642#gid=173865642"", ""'G9_Maths_Pri_LU'!G2:V2000""), {3, 4, 5, 6, 7, 8, 9, 10, 11, 12, 13, 14, 15, 16}, 0))"),"LU001093")</f>
        <v>LU001093</v>
      </c>
      <c r="AH97" s="70" t="str">
        <f ca="1">IFERROR(__xludf.DUMMYFUNCTION("""COMPUTED_VALUE"""),"Elements of a circle (arc, chord, secant)")</f>
        <v>Elements of a circle (arc, chord, secant)</v>
      </c>
      <c r="AI97" s="70"/>
      <c r="AJ97" s="70"/>
      <c r="AK97" s="70"/>
      <c r="AL97" s="70"/>
      <c r="AM97" s="13"/>
      <c r="AN97" s="13"/>
      <c r="AO97" s="13"/>
      <c r="AP97" s="13"/>
      <c r="AQ97" s="13"/>
      <c r="AR97" s="13"/>
      <c r="AS97" s="13"/>
      <c r="AT97" s="13"/>
    </row>
    <row r="98" spans="1:46">
      <c r="A98" s="8" t="s">
        <v>247</v>
      </c>
      <c r="B98" s="66" t="s">
        <v>47</v>
      </c>
      <c r="C98" s="66" t="s">
        <v>979</v>
      </c>
      <c r="D98" s="67" t="s">
        <v>732</v>
      </c>
      <c r="E98" s="67" t="s">
        <v>1122</v>
      </c>
      <c r="F98" s="66" t="s">
        <v>1133</v>
      </c>
      <c r="G98" s="68" t="s">
        <v>1135</v>
      </c>
      <c r="H98" s="71" t="str">
        <f ca="1">IFERROR(__xludf.DUMMYFUNCTION("VLOOKUP(G98, IMPORTRANGE(""https://docs.google.com/spreadsheets/d/14deopnvwcrKtEGCKuYXdUHJbeLDZlkiSSWWT0g7x2pM/edit#gid=999382323"", ""LU List Maths (Filter)!A:B""), 2, FALSE)"),"Theorem: The angle subtended by an arc at the centre is double the angle subtended by it at any point on the remaining part of the circle.")</f>
        <v>Theorem: The angle subtended by an arc at the centre is double the angle subtended by it at any point on the remaining part of the circle.</v>
      </c>
      <c r="I98" s="69" t="str">
        <f t="shared" si="0"/>
        <v>LU001300.001</v>
      </c>
      <c r="J98" s="69" t="str">
        <f ca="1">IFERROR(__xludf.DUMMYFUNCTION("VLOOKUP(I98, IMPORTRANGE(""https://docs.google.com/spreadsheets/d/1yDAaXNsi4Mr5FtRQL4tbmSdIzhx6_m4wkOD7IG-k_eo/edit#gid=0"", ""Maths!M:N""), 2, FALSE)"),"Recall and state the theorem, including its assumptions and components.")</f>
        <v>Recall and state the theorem, including its assumptions and components.</v>
      </c>
      <c r="K98" s="69" t="str">
        <f t="shared" si="1"/>
        <v>LU001300.002</v>
      </c>
      <c r="L98" s="69" t="str">
        <f ca="1">IFERROR(__xludf.DUMMYFUNCTION("VLOOKUP(K98, IMPORTRANGE(""https://docs.google.com/spreadsheets/d/1yDAaXNsi4Mr5FtRQL4tbmSdIzhx6_m4wkOD7IG-k_eo/edit#gid=0"", ""Maths!M:N""), 2, FALSE)"),"Describe the steps involved in proving the theorem.")</f>
        <v>Describe the steps involved in proving the theorem.</v>
      </c>
      <c r="M98" s="69" t="str">
        <f t="shared" si="2"/>
        <v>LU001300.003</v>
      </c>
      <c r="N98" s="69" t="str">
        <f ca="1">IFERROR(__xludf.DUMMYFUNCTION("VLOOKUP(M98, IMPORTRANGE(""https://docs.google.com/spreadsheets/d/1yDAaXNsi4Mr5FtRQL4tbmSdIzhx6_m4wkOD7IG-k_eo/edit#gid=0"", ""Maths!M:N""), 2, FALSE)"),"Use the theorem to solve various mathematical problems.")</f>
        <v>Use the theorem to solve various mathematical problems.</v>
      </c>
      <c r="O98" s="69" t="str">
        <f t="shared" si="3"/>
        <v>LU001300.004</v>
      </c>
      <c r="P98" s="69" t="str">
        <f ca="1">IFERROR(__xludf.DUMMYFUNCTION("VLOOKUP(O98, IMPORTRANGE(""https://docs.google.com/spreadsheets/d/1yDAaXNsi4Mr5FtRQL4tbmSdIzhx6_m4wkOD7IG-k_eo/edit#gid=0"", ""Maths!M:N""), 2, FALSE)"),"Break down the proof of the theorem into individual steps with explanations, check the correctness of each step and its explanation.")</f>
        <v>Break down the proof of the theorem into individual steps with explanations, check the correctness of each step and its explanation.</v>
      </c>
      <c r="Q98" s="69" t="str">
        <f t="shared" si="4"/>
        <v>LU001300.005</v>
      </c>
      <c r="R98" s="69" t="str">
        <f ca="1">IFERROR(__xludf.DUMMYFUNCTION("VLOOKUP(Q98, IMPORTRANGE(""https://docs.google.com/spreadsheets/d/1yDAaXNsi4Mr5FtRQL4tbmSdIzhx6_m4wkOD7IG-k_eo/edit#gid=0"", ""Maths!M:N""), 2, FALSE)"),"Critique the theorem by comparing it to related theorems or methods, discussing its strengths, limitations, and overall significance.")</f>
        <v>Critique the theorem by comparing it to related theorems or methods, discussing its strengths, limitations, and overall significance.</v>
      </c>
      <c r="S98" s="69" t="str">
        <f t="shared" si="5"/>
        <v>LU001300.006</v>
      </c>
      <c r="T98" s="69" t="str">
        <f ca="1">IFERROR(__xludf.DUMMYFUNCTION("VLOOKUP(S98, IMPORTRANGE(""https://docs.google.com/spreadsheets/d/1yDAaXNsi4Mr5FtRQL4tbmSdIzhx6_m4wkOD7IG-k_eo/edit#gid=0"", ""Maths!M:N""), 2, FALSE)"),"Construct a proof to demonstrate the theorem about angles subtended by arcs.")</f>
        <v>Construct a proof to demonstrate the theorem about angles subtended by arcs.</v>
      </c>
      <c r="U98" s="11" t="str">
        <f ca="1">IFERROR(__xludf.DUMMYFUNCTION("ArrayFormula(VLOOKUP(G98, IMPORTRANGE(""https://docs.google.com/spreadsheets/d/1p7R4vtkWt5VOBim4ltsDG9KTzSjrtKXsMtQGXPHyND0/edit#gid=795171502"", ""'Filter 30_05_2024'!A1:M2000""), {2, 3, 4, 5,6,7,8,9,10,11,12,13}, 0))"),"#N/A")</f>
        <v>#N/A</v>
      </c>
      <c r="V98" s="11" t="str">
        <f ca="1">IFERROR(__xludf.DUMMYFUNCTION("""COMPUTED_VALUE"""),"#N/A")</f>
        <v>#N/A</v>
      </c>
      <c r="W98" s="11" t="str">
        <f ca="1">IFERROR(__xludf.DUMMYFUNCTION("""COMPUTED_VALUE"""),"#N/A")</f>
        <v>#N/A</v>
      </c>
      <c r="X98" s="11" t="str">
        <f ca="1">IFERROR(__xludf.DUMMYFUNCTION("""COMPUTED_VALUE"""),"#N/A")</f>
        <v>#N/A</v>
      </c>
      <c r="Y98" s="11" t="str">
        <f ca="1">IFERROR(__xludf.DUMMYFUNCTION("""COMPUTED_VALUE"""),"#N/A")</f>
        <v>#N/A</v>
      </c>
      <c r="Z98" s="12" t="str">
        <f ca="1">IFERROR(__xludf.DUMMYFUNCTION("""COMPUTED_VALUE"""),"#N/A")</f>
        <v>#N/A</v>
      </c>
      <c r="AA98" s="12" t="str">
        <f ca="1">IFERROR(__xludf.DUMMYFUNCTION("""COMPUTED_VALUE"""),"#N/A")</f>
        <v>#N/A</v>
      </c>
      <c r="AB98" s="12" t="str">
        <f ca="1">IFERROR(__xludf.DUMMYFUNCTION("""COMPUTED_VALUE"""),"#N/A")</f>
        <v>#N/A</v>
      </c>
      <c r="AC98" s="11" t="str">
        <f ca="1">IFERROR(__xludf.DUMMYFUNCTION("""COMPUTED_VALUE"""),"#N/A")</f>
        <v>#N/A</v>
      </c>
      <c r="AD98" s="12" t="str">
        <f ca="1">IFERROR(__xludf.DUMMYFUNCTION("""COMPUTED_VALUE"""),"#N/A")</f>
        <v>#N/A</v>
      </c>
      <c r="AE98" s="12" t="str">
        <f ca="1">IFERROR(__xludf.DUMMYFUNCTION("""COMPUTED_VALUE"""),"#N/A")</f>
        <v>#N/A</v>
      </c>
      <c r="AF98" s="12" t="str">
        <f ca="1">IFERROR(__xludf.DUMMYFUNCTION("""COMPUTED_VALUE"""),"#N/A")</f>
        <v>#N/A</v>
      </c>
      <c r="AG98" s="70" t="str">
        <f ca="1">IFERROR(__xludf.DUMMYFUNCTION("ArrayFormula(VLOOKUP(G98, IMPORTRANGE(""https://docs.google.com/spreadsheets/d/1Co934fvtviyaRiMsrIlT05Jaq7iiYq07aLvRr35KA48/edit?gid=173865642#gid=173865642"", ""'G9_Maths_Pri_LU'!G2:V2000""), {3, 4, 5, 6, 7, 8, 9, 10, 11, 12, 13, 14, 15, 16}, 0))"),"LU000429")</f>
        <v>LU000429</v>
      </c>
      <c r="AH98" s="70" t="str">
        <f ca="1">IFERROR(__xludf.DUMMYFUNCTION("""COMPUTED_VALUE"""),"Exterior angle property of a triangle")</f>
        <v>Exterior angle property of a triangle</v>
      </c>
      <c r="AI98" s="70" t="str">
        <f ca="1">IFERROR(__xludf.DUMMYFUNCTION("""COMPUTED_VALUE"""),"LU000427")</f>
        <v>LU000427</v>
      </c>
      <c r="AJ98" s="70" t="str">
        <f ca="1">IFERROR(__xludf.DUMMYFUNCTION("""COMPUTED_VALUE"""),"Properties of an isosceles triangle")</f>
        <v>Properties of an isosceles triangle</v>
      </c>
      <c r="AK98" s="70"/>
      <c r="AL98" s="70"/>
      <c r="AM98" s="13"/>
      <c r="AN98" s="13"/>
      <c r="AO98" s="13"/>
      <c r="AP98" s="13"/>
      <c r="AQ98" s="13"/>
      <c r="AR98" s="13"/>
      <c r="AS98" s="13"/>
      <c r="AT98" s="13"/>
    </row>
    <row r="99" spans="1:46">
      <c r="A99" s="8" t="s">
        <v>247</v>
      </c>
      <c r="B99" s="66" t="s">
        <v>47</v>
      </c>
      <c r="C99" s="66" t="s">
        <v>979</v>
      </c>
      <c r="D99" s="67" t="s">
        <v>732</v>
      </c>
      <c r="E99" s="67" t="s">
        <v>1122</v>
      </c>
      <c r="F99" s="66" t="s">
        <v>1136</v>
      </c>
      <c r="G99" s="68" t="s">
        <v>1137</v>
      </c>
      <c r="H99" s="71" t="str">
        <f ca="1">IFERROR(__xludf.DUMMYFUNCTION("VLOOKUP(G99, IMPORTRANGE(""https://docs.google.com/spreadsheets/d/14deopnvwcrKtEGCKuYXdUHJbeLDZlkiSSWWT0g7x2pM/edit#gid=999382323"", ""LU List Maths (Filter)!A:B""), 2, FALSE)"),"Theorem: Angles in the same segment of a circle are equal.")</f>
        <v>Theorem: Angles in the same segment of a circle are equal.</v>
      </c>
      <c r="I99" s="69" t="str">
        <f t="shared" si="0"/>
        <v>LU001301.001</v>
      </c>
      <c r="J99" s="69" t="str">
        <f ca="1">IFERROR(__xludf.DUMMYFUNCTION("VLOOKUP(I99, IMPORTRANGE(""https://docs.google.com/spreadsheets/d/1yDAaXNsi4Mr5FtRQL4tbmSdIzhx6_m4wkOD7IG-k_eo/edit#gid=0"", ""Maths!M:N""), 2, FALSE)"),"Recall and state the theorem, including its assumptions and components.")</f>
        <v>Recall and state the theorem, including its assumptions and components.</v>
      </c>
      <c r="K99" s="69" t="str">
        <f t="shared" si="1"/>
        <v>LU001301.002</v>
      </c>
      <c r="L99" s="69" t="str">
        <f ca="1">IFERROR(__xludf.DUMMYFUNCTION("VLOOKUP(K99, IMPORTRANGE(""https://docs.google.com/spreadsheets/d/1yDAaXNsi4Mr5FtRQL4tbmSdIzhx6_m4wkOD7IG-k_eo/edit#gid=0"", ""Maths!M:N""), 2, FALSE)"),"Describe the steps involved in proving the theorem.")</f>
        <v>Describe the steps involved in proving the theorem.</v>
      </c>
      <c r="M99" s="69" t="str">
        <f t="shared" si="2"/>
        <v>LU001301.003</v>
      </c>
      <c r="N99" s="69" t="str">
        <f ca="1">IFERROR(__xludf.DUMMYFUNCTION("VLOOKUP(M99, IMPORTRANGE(""https://docs.google.com/spreadsheets/d/1yDAaXNsi4Mr5FtRQL4tbmSdIzhx6_m4wkOD7IG-k_eo/edit#gid=0"", ""Maths!M:N""), 2, FALSE)"),"Use the theorem to solve various mathematical problems.")</f>
        <v>Use the theorem to solve various mathematical problems.</v>
      </c>
      <c r="O99" s="69" t="str">
        <f t="shared" si="3"/>
        <v>LU001301.004</v>
      </c>
      <c r="P99" s="69" t="str">
        <f ca="1">IFERROR(__xludf.DUMMYFUNCTION("VLOOKUP(O99, IMPORTRANGE(""https://docs.google.com/spreadsheets/d/1yDAaXNsi4Mr5FtRQL4tbmSdIzhx6_m4wkOD7IG-k_eo/edit#gid=0"", ""Maths!M:N""), 2, FALSE)"),"Break down the proof of the theorem into individual steps with explanations, check the correctness of each step and its explanation.")</f>
        <v>Break down the proof of the theorem into individual steps with explanations, check the correctness of each step and its explanation.</v>
      </c>
      <c r="Q99" s="69" t="str">
        <f t="shared" si="4"/>
        <v>LU001301.005</v>
      </c>
      <c r="R99" s="69" t="str">
        <f ca="1">IFERROR(__xludf.DUMMYFUNCTION("VLOOKUP(Q99, IMPORTRANGE(""https://docs.google.com/spreadsheets/d/1yDAaXNsi4Mr5FtRQL4tbmSdIzhx6_m4wkOD7IG-k_eo/edit#gid=0"", ""Maths!M:N""), 2, FALSE)"),"Critique the theorem by comparing it to related theorems or methods, discussing its strengths, limitations, and overall significance.")</f>
        <v>Critique the theorem by comparing it to related theorems or methods, discussing its strengths, limitations, and overall significance.</v>
      </c>
      <c r="S99" s="69" t="str">
        <f t="shared" si="5"/>
        <v>LU001301.006</v>
      </c>
      <c r="T99" s="69" t="str">
        <f ca="1">IFERROR(__xludf.DUMMYFUNCTION("VLOOKUP(S99, IMPORTRANGE(""https://docs.google.com/spreadsheets/d/1yDAaXNsi4Mr5FtRQL4tbmSdIzhx6_m4wkOD7IG-k_eo/edit#gid=0"", ""Maths!M:N""), 2, FALSE)"),"Design a geometric problem that uses the theorem about angles in the same segment and solve it.")</f>
        <v>Design a geometric problem that uses the theorem about angles in the same segment and solve it.</v>
      </c>
      <c r="U99" s="11" t="str">
        <f ca="1">IFERROR(__xludf.DUMMYFUNCTION("ArrayFormula(VLOOKUP(G99, IMPORTRANGE(""https://docs.google.com/spreadsheets/d/1p7R4vtkWt5VOBim4ltsDG9KTzSjrtKXsMtQGXPHyND0/edit#gid=795171502"", ""'Filter 30_05_2024'!A1:M2000""), {2, 3, 4, 5,6,7,8,9,10,11,12,13}, 0))"),"#N/A")</f>
        <v>#N/A</v>
      </c>
      <c r="V99" s="11" t="str">
        <f ca="1">IFERROR(__xludf.DUMMYFUNCTION("""COMPUTED_VALUE"""),"#N/A")</f>
        <v>#N/A</v>
      </c>
      <c r="W99" s="11" t="str">
        <f ca="1">IFERROR(__xludf.DUMMYFUNCTION("""COMPUTED_VALUE"""),"#N/A")</f>
        <v>#N/A</v>
      </c>
      <c r="X99" s="11" t="str">
        <f ca="1">IFERROR(__xludf.DUMMYFUNCTION("""COMPUTED_VALUE"""),"#N/A")</f>
        <v>#N/A</v>
      </c>
      <c r="Y99" s="11" t="str">
        <f ca="1">IFERROR(__xludf.DUMMYFUNCTION("""COMPUTED_VALUE"""),"#N/A")</f>
        <v>#N/A</v>
      </c>
      <c r="Z99" s="12" t="str">
        <f ca="1">IFERROR(__xludf.DUMMYFUNCTION("""COMPUTED_VALUE"""),"#N/A")</f>
        <v>#N/A</v>
      </c>
      <c r="AA99" s="12" t="str">
        <f ca="1">IFERROR(__xludf.DUMMYFUNCTION("""COMPUTED_VALUE"""),"#N/A")</f>
        <v>#N/A</v>
      </c>
      <c r="AB99" s="12" t="str">
        <f ca="1">IFERROR(__xludf.DUMMYFUNCTION("""COMPUTED_VALUE"""),"#N/A")</f>
        <v>#N/A</v>
      </c>
      <c r="AC99" s="11" t="str">
        <f ca="1">IFERROR(__xludf.DUMMYFUNCTION("""COMPUTED_VALUE"""),"#N/A")</f>
        <v>#N/A</v>
      </c>
      <c r="AD99" s="12" t="str">
        <f ca="1">IFERROR(__xludf.DUMMYFUNCTION("""COMPUTED_VALUE"""),"#N/A")</f>
        <v>#N/A</v>
      </c>
      <c r="AE99" s="12" t="str">
        <f ca="1">IFERROR(__xludf.DUMMYFUNCTION("""COMPUTED_VALUE"""),"#N/A")</f>
        <v>#N/A</v>
      </c>
      <c r="AF99" s="12" t="str">
        <f ca="1">IFERROR(__xludf.DUMMYFUNCTION("""COMPUTED_VALUE"""),"#N/A")</f>
        <v>#N/A</v>
      </c>
      <c r="AG99" s="70" t="str">
        <f ca="1">IFERROR(__xludf.DUMMYFUNCTION("ArrayFormula(VLOOKUP(G99, IMPORTRANGE(""https://docs.google.com/spreadsheets/d/1Co934fvtviyaRiMsrIlT05Jaq7iiYq07aLvRr35KA48/edit?gid=173865642#gid=173865642"", ""'G9_Maths_Pri_LU'!G2:V2000""), {3, 4, 5, 6, 7, 8, 9, 10, 11, 12, 13, 14, 15, 16}, 0))"),"LU000967")</f>
        <v>LU000967</v>
      </c>
      <c r="AH99" s="70" t="str">
        <f ca="1">IFERROR(__xludf.DUMMYFUNCTION("""COMPUTED_VALUE"""),"Segment of a circle")</f>
        <v>Segment of a circle</v>
      </c>
      <c r="AI99" s="70" t="str">
        <f ca="1">IFERROR(__xludf.DUMMYFUNCTION("""COMPUTED_VALUE"""),"LU001299")</f>
        <v>LU001299</v>
      </c>
      <c r="AJ99" s="70" t="str">
        <f ca="1">IFERROR(__xludf.DUMMYFUNCTION("""COMPUTED_VALUE"""),"Relationship between chords and arcs in circles")</f>
        <v>Relationship between chords and arcs in circles</v>
      </c>
      <c r="AK99" s="70"/>
      <c r="AL99" s="70"/>
      <c r="AM99" s="13"/>
      <c r="AN99" s="13"/>
      <c r="AO99" s="13"/>
      <c r="AP99" s="13"/>
      <c r="AQ99" s="13"/>
      <c r="AR99" s="13"/>
      <c r="AS99" s="13"/>
      <c r="AT99" s="13"/>
    </row>
    <row r="100" spans="1:46">
      <c r="A100" s="8" t="s">
        <v>247</v>
      </c>
      <c r="B100" s="66" t="s">
        <v>47</v>
      </c>
      <c r="C100" s="66" t="s">
        <v>979</v>
      </c>
      <c r="D100" s="67" t="s">
        <v>732</v>
      </c>
      <c r="E100" s="67" t="s">
        <v>1122</v>
      </c>
      <c r="F100" s="66" t="s">
        <v>1136</v>
      </c>
      <c r="G100" s="68" t="s">
        <v>1138</v>
      </c>
      <c r="H100" s="71" t="str">
        <f ca="1">IFERROR(__xludf.DUMMYFUNCTION("VLOOKUP(G100, IMPORTRANGE(""https://docs.google.com/spreadsheets/d/14deopnvwcrKtEGCKuYXdUHJbeLDZlkiSSWWT0g7x2pM/edit#gid=999382323"", ""LU List Maths (Filter)!A:B""), 2, FALSE)"),"Angle in a semicircle is a right angle.")</f>
        <v>Angle in a semicircle is a right angle.</v>
      </c>
      <c r="I100" s="69" t="str">
        <f t="shared" si="0"/>
        <v>LU001302.001</v>
      </c>
      <c r="J100" s="69" t="str">
        <f ca="1">IFERROR(__xludf.DUMMYFUNCTION("VLOOKUP(I100, IMPORTRANGE(""https://docs.google.com/spreadsheets/d/1yDAaXNsi4Mr5FtRQL4tbmSdIzhx6_m4wkOD7IG-k_eo/edit#gid=0"", ""Maths!M:N""), 2, FALSE)"),"Recall that the angle formed in a semicircle is always a right angle.")</f>
        <v>Recall that the angle formed in a semicircle is always a right angle.</v>
      </c>
      <c r="K100" s="69" t="str">
        <f t="shared" si="1"/>
        <v>LU001302.002</v>
      </c>
      <c r="L100" s="69" t="str">
        <f ca="1">IFERROR(__xludf.DUMMYFUNCTION("VLOOKUP(K100, IMPORTRANGE(""https://docs.google.com/spreadsheets/d/1yDAaXNsi4Mr5FtRQL4tbmSdIzhx6_m4wkOD7IG-k_eo/edit#gid=0"", ""Maths!M:N""), 2, FALSE)"),"Explain why the angle in a semicircle is a right angle using geometric principles.")</f>
        <v>Explain why the angle in a semicircle is a right angle using geometric principles.</v>
      </c>
      <c r="M100" s="69" t="str">
        <f t="shared" si="2"/>
        <v>LU001302.003</v>
      </c>
      <c r="N100" s="69" t="str">
        <f ca="1">IFERROR(__xludf.DUMMYFUNCTION("VLOOKUP(M100, IMPORTRANGE(""https://docs.google.com/spreadsheets/d/1yDAaXNsi4Mr5FtRQL4tbmSdIzhx6_m4wkOD7IG-k_eo/edit#gid=0"", ""Maths!M:N""), 2, FALSE)"),"Use the property 'angle in a semicircle is a right angle.' to identify right angles in various geometric problems involving semicircles.")</f>
        <v>Use the property 'angle in a semicircle is a right angle.' to identify right angles in various geometric problems involving semicircles.</v>
      </c>
      <c r="O100" s="69" t="str">
        <f t="shared" si="3"/>
        <v>LU001302.004</v>
      </c>
      <c r="P100" s="69" t="str">
        <f ca="1">IFERROR(__xludf.DUMMYFUNCTION("VLOOKUP(O100, IMPORTRANGE(""https://docs.google.com/spreadsheets/d/1yDAaXNsi4Mr5FtRQL4tbmSdIzhx6_m4wkOD7IG-k_eo/edit#gid=0"", ""Maths!M:N""), 2, FALSE)"),"Analyse the geometric proof that demonstrates an angle in a semicircle is a right angle.")</f>
        <v>Analyse the geometric proof that demonstrates an angle in a semicircle is a right angle.</v>
      </c>
      <c r="Q100" s="69" t="str">
        <f t="shared" si="4"/>
        <v>LU001302.005</v>
      </c>
      <c r="R100" s="69" t="str">
        <f ca="1">IFERROR(__xludf.DUMMYFUNCTION("VLOOKUP(Q100, IMPORTRANGE(""https://docs.google.com/spreadsheets/d/1yDAaXNsi4Mr5FtRQL4tbmSdIzhx6_m4wkOD7IG-k_eo/edit#gid=0"", ""Maths!M:N""), 2, FALSE)"),"Evaluate the correctness of geometric proofs that show an angle in a semicircle is a right angle.")</f>
        <v>Evaluate the correctness of geometric proofs that show an angle in a semicircle is a right angle.</v>
      </c>
      <c r="S100" s="69" t="str">
        <f t="shared" si="5"/>
        <v>LU001302.006</v>
      </c>
      <c r="T100" s="69" t="str">
        <f ca="1">IFERROR(__xludf.DUMMYFUNCTION("VLOOKUP(S100, IMPORTRANGE(""https://docs.google.com/spreadsheets/d/1yDAaXNsi4Mr5FtRQL4tbmSdIzhx6_m4wkOD7IG-k_eo/edit#gid=0"", ""Maths!M:N""), 2, FALSE)"),"Design a geometric construction that demonstrates the right angle property of a semicircle and solve related problems.")</f>
        <v>Design a geometric construction that demonstrates the right angle property of a semicircle and solve related problems.</v>
      </c>
      <c r="U100" s="11" t="str">
        <f ca="1">IFERROR(__xludf.DUMMYFUNCTION("ArrayFormula(VLOOKUP(G100, IMPORTRANGE(""https://docs.google.com/spreadsheets/d/1p7R4vtkWt5VOBim4ltsDG9KTzSjrtKXsMtQGXPHyND0/edit#gid=795171502"", ""'Filter 30_05_2024'!A1:M2000""), {2, 3, 4, 5,6,7,8,9,10,11,12,13}, 0))"),"#N/A")</f>
        <v>#N/A</v>
      </c>
      <c r="V100" s="11" t="str">
        <f ca="1">IFERROR(__xludf.DUMMYFUNCTION("""COMPUTED_VALUE"""),"#N/A")</f>
        <v>#N/A</v>
      </c>
      <c r="W100" s="11" t="str">
        <f ca="1">IFERROR(__xludf.DUMMYFUNCTION("""COMPUTED_VALUE"""),"#N/A")</f>
        <v>#N/A</v>
      </c>
      <c r="X100" s="11" t="str">
        <f ca="1">IFERROR(__xludf.DUMMYFUNCTION("""COMPUTED_VALUE"""),"#N/A")</f>
        <v>#N/A</v>
      </c>
      <c r="Y100" s="11" t="str">
        <f ca="1">IFERROR(__xludf.DUMMYFUNCTION("""COMPUTED_VALUE"""),"#N/A")</f>
        <v>#N/A</v>
      </c>
      <c r="Z100" s="12" t="str">
        <f ca="1">IFERROR(__xludf.DUMMYFUNCTION("""COMPUTED_VALUE"""),"#N/A")</f>
        <v>#N/A</v>
      </c>
      <c r="AA100" s="12" t="str">
        <f ca="1">IFERROR(__xludf.DUMMYFUNCTION("""COMPUTED_VALUE"""),"#N/A")</f>
        <v>#N/A</v>
      </c>
      <c r="AB100" s="12" t="str">
        <f ca="1">IFERROR(__xludf.DUMMYFUNCTION("""COMPUTED_VALUE"""),"#N/A")</f>
        <v>#N/A</v>
      </c>
      <c r="AC100" s="11" t="str">
        <f ca="1">IFERROR(__xludf.DUMMYFUNCTION("""COMPUTED_VALUE"""),"#N/A")</f>
        <v>#N/A</v>
      </c>
      <c r="AD100" s="12" t="str">
        <f ca="1">IFERROR(__xludf.DUMMYFUNCTION("""COMPUTED_VALUE"""),"#N/A")</f>
        <v>#N/A</v>
      </c>
      <c r="AE100" s="12" t="str">
        <f ca="1">IFERROR(__xludf.DUMMYFUNCTION("""COMPUTED_VALUE"""),"#N/A")</f>
        <v>#N/A</v>
      </c>
      <c r="AF100" s="12" t="str">
        <f ca="1">IFERROR(__xludf.DUMMYFUNCTION("""COMPUTED_VALUE"""),"#N/A")</f>
        <v>#N/A</v>
      </c>
      <c r="AG100" s="70" t="str">
        <f ca="1">IFERROR(__xludf.DUMMYFUNCTION("ArrayFormula(VLOOKUP(G100, IMPORTRANGE(""https://docs.google.com/spreadsheets/d/1Co934fvtviyaRiMsrIlT05Jaq7iiYq07aLvRr35KA48/edit?gid=173865642#gid=173865642"", ""'G9_Maths_Pri_LU'!G2:V2000""), {3, 4, 5, 6, 7, 8, 9, 10, 11, 12, 13, 14, 15, 16}, 0))"),"LU001300")</f>
        <v>LU001300</v>
      </c>
      <c r="AH100" s="70" t="str">
        <f ca="1">IFERROR(__xludf.DUMMYFUNCTION("""COMPUTED_VALUE"""),"Theorem: The angle subtended by an arc at the centre is double the angle subtended by it at any point on the remaining part of the circle.")</f>
        <v>Theorem: The angle subtended by an arc at the centre is double the angle subtended by it at any point on the remaining part of the circle.</v>
      </c>
      <c r="AI100" s="70" t="str">
        <f ca="1">IFERROR(__xludf.DUMMYFUNCTION("""COMPUTED_VALUE"""),"LU001094")</f>
        <v>LU001094</v>
      </c>
      <c r="AJ100" s="70" t="str">
        <f ca="1">IFERROR(__xludf.DUMMYFUNCTION("""COMPUTED_VALUE"""),"Definition of a semicircle")</f>
        <v>Definition of a semicircle</v>
      </c>
      <c r="AK100" s="70" t="str">
        <f ca="1">IFERROR(__xludf.DUMMYFUNCTION("""COMPUTED_VALUE"""),"LU000017")</f>
        <v>LU000017</v>
      </c>
      <c r="AL100" s="70" t="str">
        <f ca="1">IFERROR(__xludf.DUMMYFUNCTION("""COMPUTED_VALUE"""),"Definition of a right angle")</f>
        <v>Definition of a right angle</v>
      </c>
      <c r="AM100" s="13"/>
      <c r="AN100" s="13"/>
      <c r="AO100" s="13"/>
      <c r="AP100" s="13"/>
      <c r="AQ100" s="13"/>
      <c r="AR100" s="13"/>
      <c r="AS100" s="13"/>
      <c r="AT100" s="13"/>
    </row>
    <row r="101" spans="1:46">
      <c r="A101" s="8" t="s">
        <v>247</v>
      </c>
      <c r="B101" s="66" t="s">
        <v>47</v>
      </c>
      <c r="C101" s="66" t="s">
        <v>979</v>
      </c>
      <c r="D101" s="67" t="s">
        <v>732</v>
      </c>
      <c r="E101" s="67" t="s">
        <v>1122</v>
      </c>
      <c r="F101" s="75" t="s">
        <v>1139</v>
      </c>
      <c r="G101" s="68" t="s">
        <v>1140</v>
      </c>
      <c r="H101" s="71" t="str">
        <f ca="1">IFERROR(__xludf.DUMMYFUNCTION("VLOOKUP(G101, IMPORTRANGE(""https://docs.google.com/spreadsheets/d/14deopnvwcrKtEGCKuYXdUHJbeLDZlkiSSWWT0g7x2pM/edit#gid=999382323"", ""LU List Maths (Filter)!A:B""), 2, FALSE)"),"Theorem: If a line segment joining two points subtends equal angles at two other points lying on the same side of the line containing the line segment, the four points lie on a circle (i.e. they are concyclic)")</f>
        <v>Theorem: If a line segment joining two points subtends equal angles at two other points lying on the same side of the line containing the line segment, the four points lie on a circle (i.e. they are concyclic)</v>
      </c>
      <c r="I101" s="69" t="str">
        <f t="shared" si="0"/>
        <v>LU001303.001</v>
      </c>
      <c r="J101" s="69" t="str">
        <f ca="1">IFERROR(__xludf.DUMMYFUNCTION("VLOOKUP(I101, IMPORTRANGE(""https://docs.google.com/spreadsheets/d/1yDAaXNsi4Mr5FtRQL4tbmSdIzhx6_m4wkOD7IG-k_eo/edit#gid=0"", ""Maths!M:N""), 2, FALSE)"),"Recall and state the theorem, including its assumptions and components.")</f>
        <v>Recall and state the theorem, including its assumptions and components.</v>
      </c>
      <c r="K101" s="69" t="str">
        <f t="shared" si="1"/>
        <v>LU001303.002</v>
      </c>
      <c r="L101" s="69" t="str">
        <f ca="1">IFERROR(__xludf.DUMMYFUNCTION("VLOOKUP(K101, IMPORTRANGE(""https://docs.google.com/spreadsheets/d/1yDAaXNsi4Mr5FtRQL4tbmSdIzhx6_m4wkOD7IG-k_eo/edit#gid=0"", ""Maths!M:N""), 2, FALSE)"),"Describe the steps involved in proving the theorem.")</f>
        <v>Describe the steps involved in proving the theorem.</v>
      </c>
      <c r="M101" s="69" t="str">
        <f t="shared" si="2"/>
        <v>LU001303.003</v>
      </c>
      <c r="N101" s="69" t="str">
        <f ca="1">IFERROR(__xludf.DUMMYFUNCTION("VLOOKUP(M101, IMPORTRANGE(""https://docs.google.com/spreadsheets/d/1yDAaXNsi4Mr5FtRQL4tbmSdIzhx6_m4wkOD7IG-k_eo/edit#gid=0"", ""Maths!M:N""), 2, FALSE)"),"Use the theorem to solve various mathematical problems.")</f>
        <v>Use the theorem to solve various mathematical problems.</v>
      </c>
      <c r="O101" s="69" t="str">
        <f t="shared" si="3"/>
        <v>LU001303.004</v>
      </c>
      <c r="P101" s="69" t="str">
        <f ca="1">IFERROR(__xludf.DUMMYFUNCTION("VLOOKUP(O101, IMPORTRANGE(""https://docs.google.com/spreadsheets/d/1yDAaXNsi4Mr5FtRQL4tbmSdIzhx6_m4wkOD7IG-k_eo/edit#gid=0"", ""Maths!M:N""), 2, FALSE)"),"Break down the proof of the theorem into individual steps with explanations, check the correctness of each step and its explanation.")</f>
        <v>Break down the proof of the theorem into individual steps with explanations, check the correctness of each step and its explanation.</v>
      </c>
      <c r="Q101" s="69" t="str">
        <f t="shared" si="4"/>
        <v>LU001303.005</v>
      </c>
      <c r="R101" s="69" t="str">
        <f ca="1">IFERROR(__xludf.DUMMYFUNCTION("VLOOKUP(Q101, IMPORTRANGE(""https://docs.google.com/spreadsheets/d/1yDAaXNsi4Mr5FtRQL4tbmSdIzhx6_m4wkOD7IG-k_eo/edit#gid=0"", ""Maths!M:N""), 2, FALSE)"),"Critique the theorem by comparing it to related theorems or methods, discussing its strengths, limitations, and overall significance.")</f>
        <v>Critique the theorem by comparing it to related theorems or methods, discussing its strengths, limitations, and overall significance.</v>
      </c>
      <c r="S101" s="69" t="str">
        <f t="shared" si="5"/>
        <v>LU001303.006</v>
      </c>
      <c r="T101" s="69" t="str">
        <f ca="1">IFERROR(__xludf.DUMMYFUNCTION("VLOOKUP(S101, IMPORTRANGE(""https://docs.google.com/spreadsheets/d/1yDAaXNsi4Mr5FtRQL4tbmSdIzhx6_m4wkOD7IG-k_eo/edit#gid=0"", ""Maths!M:N""), 2, FALSE)"),"Design a problem involving concyclic points and solve it using the theorem.")</f>
        <v>Design a problem involving concyclic points and solve it using the theorem.</v>
      </c>
      <c r="U101" s="11" t="str">
        <f ca="1">IFERROR(__xludf.DUMMYFUNCTION("ArrayFormula(VLOOKUP(G101, IMPORTRANGE(""https://docs.google.com/spreadsheets/d/1p7R4vtkWt5VOBim4ltsDG9KTzSjrtKXsMtQGXPHyND0/edit#gid=795171502"", ""'Filter 30_05_2024'!A1:M2000""), {2, 3, 4, 5,6,7,8,9,10,11,12,13}, 0))"),"#N/A")</f>
        <v>#N/A</v>
      </c>
      <c r="V101" s="11" t="str">
        <f ca="1">IFERROR(__xludf.DUMMYFUNCTION("""COMPUTED_VALUE"""),"#N/A")</f>
        <v>#N/A</v>
      </c>
      <c r="W101" s="11" t="str">
        <f ca="1">IFERROR(__xludf.DUMMYFUNCTION("""COMPUTED_VALUE"""),"#N/A")</f>
        <v>#N/A</v>
      </c>
      <c r="X101" s="11" t="str">
        <f ca="1">IFERROR(__xludf.DUMMYFUNCTION("""COMPUTED_VALUE"""),"#N/A")</f>
        <v>#N/A</v>
      </c>
      <c r="Y101" s="11" t="str">
        <f ca="1">IFERROR(__xludf.DUMMYFUNCTION("""COMPUTED_VALUE"""),"#N/A")</f>
        <v>#N/A</v>
      </c>
      <c r="Z101" s="12" t="str">
        <f ca="1">IFERROR(__xludf.DUMMYFUNCTION("""COMPUTED_VALUE"""),"#N/A")</f>
        <v>#N/A</v>
      </c>
      <c r="AA101" s="12" t="str">
        <f ca="1">IFERROR(__xludf.DUMMYFUNCTION("""COMPUTED_VALUE"""),"#N/A")</f>
        <v>#N/A</v>
      </c>
      <c r="AB101" s="12" t="str">
        <f ca="1">IFERROR(__xludf.DUMMYFUNCTION("""COMPUTED_VALUE"""),"#N/A")</f>
        <v>#N/A</v>
      </c>
      <c r="AC101" s="11" t="str">
        <f ca="1">IFERROR(__xludf.DUMMYFUNCTION("""COMPUTED_VALUE"""),"#N/A")</f>
        <v>#N/A</v>
      </c>
      <c r="AD101" s="12" t="str">
        <f ca="1">IFERROR(__xludf.DUMMYFUNCTION("""COMPUTED_VALUE"""),"#N/A")</f>
        <v>#N/A</v>
      </c>
      <c r="AE101" s="12" t="str">
        <f ca="1">IFERROR(__xludf.DUMMYFUNCTION("""COMPUTED_VALUE"""),"#N/A")</f>
        <v>#N/A</v>
      </c>
      <c r="AF101" s="12" t="str">
        <f ca="1">IFERROR(__xludf.DUMMYFUNCTION("""COMPUTED_VALUE"""),"#N/A")</f>
        <v>#N/A</v>
      </c>
      <c r="AG101" s="70" t="str">
        <f ca="1">IFERROR(__xludf.DUMMYFUNCTION("ArrayFormula(VLOOKUP(G101, IMPORTRANGE(""https://docs.google.com/spreadsheets/d/1Co934fvtviyaRiMsrIlT05Jaq7iiYq07aLvRr35KA48/edit?gid=173865642#gid=173865642"", ""'G9_Maths_Pri_LU'!G2:V2000""), {3, 4, 5, 6, 7, 8, 9, 10, 11, 12, 13, 14, 15, 16}, 0))"),"LU001301")</f>
        <v>LU001301</v>
      </c>
      <c r="AH101" s="70" t="str">
        <f ca="1">IFERROR(__xludf.DUMMYFUNCTION("""COMPUTED_VALUE"""),"Theorem: Angles in the same segment of a circle are equal.")</f>
        <v>Theorem: Angles in the same segment of a circle are equal.</v>
      </c>
      <c r="AI101" s="70" t="str">
        <f ca="1">IFERROR(__xludf.DUMMYFUNCTION("""COMPUTED_VALUE"""),"LU001302")</f>
        <v>LU001302</v>
      </c>
      <c r="AJ101" s="70" t="str">
        <f ca="1">IFERROR(__xludf.DUMMYFUNCTION("""COMPUTED_VALUE"""),"Angle in a semicircle is a right angle.")</f>
        <v>Angle in a semicircle is a right angle.</v>
      </c>
      <c r="AK101" s="70"/>
      <c r="AL101" s="70"/>
      <c r="AM101" s="13"/>
      <c r="AN101" s="13"/>
      <c r="AO101" s="13"/>
      <c r="AP101" s="13"/>
      <c r="AQ101" s="13"/>
      <c r="AR101" s="13"/>
      <c r="AS101" s="13"/>
      <c r="AT101" s="13"/>
    </row>
    <row r="102" spans="1:46">
      <c r="A102" s="8" t="s">
        <v>247</v>
      </c>
      <c r="B102" s="66" t="s">
        <v>47</v>
      </c>
      <c r="C102" s="66" t="s">
        <v>979</v>
      </c>
      <c r="D102" s="67" t="s">
        <v>732</v>
      </c>
      <c r="E102" s="67" t="s">
        <v>1122</v>
      </c>
      <c r="F102" s="75" t="s">
        <v>1139</v>
      </c>
      <c r="G102" s="76" t="s">
        <v>1141</v>
      </c>
      <c r="H102" s="71" t="str">
        <f ca="1">IFERROR(__xludf.DUMMYFUNCTION("VLOOKUP(G102, IMPORTRANGE(""https://docs.google.com/spreadsheets/d/14deopnvwcrKtEGCKuYXdUHJbeLDZlkiSSWWT0g7x2pM/edit#gid=999382323"", ""LU List Maths (Filter)!A:B""), 2, FALSE)"),"Definition of cyclic quadrilaterals")</f>
        <v>Definition of cyclic quadrilaterals</v>
      </c>
      <c r="I102" s="69" t="str">
        <f t="shared" si="0"/>
        <v>LU001304.001</v>
      </c>
      <c r="J102" s="69" t="str">
        <f ca="1">IFERROR(__xludf.DUMMYFUNCTION("VLOOKUP(I102, IMPORTRANGE(""https://docs.google.com/spreadsheets/d/1yDAaXNsi4Mr5FtRQL4tbmSdIzhx6_m4wkOD7IG-k_eo/edit#gid=0"", ""Maths!M:N""), 2, FALSE)"),"Recall the definition of a cyclic quadrilateral.")</f>
        <v>Recall the definition of a cyclic quadrilateral.</v>
      </c>
      <c r="K102" s="69" t="str">
        <f t="shared" si="1"/>
        <v>LU001304.002</v>
      </c>
      <c r="L102" s="69" t="str">
        <f ca="1">IFERROR(__xludf.DUMMYFUNCTION("VLOOKUP(K102, IMPORTRANGE(""https://docs.google.com/spreadsheets/d/1yDAaXNsi4Mr5FtRQL4tbmSdIzhx6_m4wkOD7IG-k_eo/edit#gid=0"", ""Maths!M:N""), 2, FALSE)"),"Explain the properties that characterize a cyclic quadrilateral.")</f>
        <v>Explain the properties that characterize a cyclic quadrilateral.</v>
      </c>
      <c r="M102" s="69" t="str">
        <f t="shared" si="2"/>
        <v>LU001304.003</v>
      </c>
      <c r="N102" s="69" t="str">
        <f ca="1">IFERROR(__xludf.DUMMYFUNCTION("VLOOKUP(M102, IMPORTRANGE(""https://docs.google.com/spreadsheets/d/1yDAaXNsi4Mr5FtRQL4tbmSdIzhx6_m4wkOD7IG-k_eo/edit#gid=0"", ""Maths!M:N""), 2, FALSE)"),"Identify and draw cyclic quadrilaterals in various geometric diagrams.")</f>
        <v>Identify and draw cyclic quadrilaterals in various geometric diagrams.</v>
      </c>
      <c r="O102" s="69" t="str">
        <f t="shared" si="3"/>
        <v>LU001304.004</v>
      </c>
      <c r="P102" s="69" t="str">
        <f ca="1">IFERROR(__xludf.DUMMYFUNCTION("VLOOKUP(O102, IMPORTRANGE(""https://docs.google.com/spreadsheets/d/1yDAaXNsi4Mr5FtRQL4tbmSdIzhx6_m4wkOD7IG-k_eo/edit#gid=0"", ""Maths!M:N""), 2, FALSE)"),"Analyse the conditions that make a quadrilateral cyclic.")</f>
        <v>Analyse the conditions that make a quadrilateral cyclic.</v>
      </c>
      <c r="Q102" s="69" t="str">
        <f t="shared" si="4"/>
        <v>LU001304.005</v>
      </c>
      <c r="R102" s="69" t="str">
        <f ca="1">IFERROR(__xludf.DUMMYFUNCTION("VLOOKUP(Q102, IMPORTRANGE(""https://docs.google.com/spreadsheets/d/1yDAaXNsi4Mr5FtRQL4tbmSdIzhx6_m4wkOD7IG-k_eo/edit#gid=0"", ""Maths!M:N""), 2, FALSE)"),"Evaluate the conditions under which a quadrilateral can be classified as cyclic.")</f>
        <v>Evaluate the conditions under which a quadrilateral can be classified as cyclic.</v>
      </c>
      <c r="S102" s="69" t="str">
        <f t="shared" si="5"/>
        <v>LU001304.006</v>
      </c>
      <c r="T102" s="69" t="str">
        <f ca="1">IFERROR(__xludf.DUMMYFUNCTION("VLOOKUP(S102, IMPORTRANGE(""https://docs.google.com/spreadsheets/d/1yDAaXNsi4Mr5FtRQL4tbmSdIzhx6_m4wkOD7IG-k_eo/edit#gid=0"", ""Maths!M:N""), 2, FALSE)"),"Construct a geometric problem involving cyclic quadrilaterals and solve it.")</f>
        <v>Construct a geometric problem involving cyclic quadrilaterals and solve it.</v>
      </c>
      <c r="U102" s="11" t="str">
        <f ca="1">IFERROR(__xludf.DUMMYFUNCTION("ArrayFormula(VLOOKUP(G102, IMPORTRANGE(""https://docs.google.com/spreadsheets/d/1p7R4vtkWt5VOBim4ltsDG9KTzSjrtKXsMtQGXPHyND0/edit#gid=795171502"", ""'Filter 30_05_2024'!A1:M2000""), {2, 3, 4, 5,6,7,8,9,10,11,12,13}, 0))"),"#N/A")</f>
        <v>#N/A</v>
      </c>
      <c r="V102" s="11" t="str">
        <f ca="1">IFERROR(__xludf.DUMMYFUNCTION("""COMPUTED_VALUE"""),"#N/A")</f>
        <v>#N/A</v>
      </c>
      <c r="W102" s="11" t="str">
        <f ca="1">IFERROR(__xludf.DUMMYFUNCTION("""COMPUTED_VALUE"""),"#N/A")</f>
        <v>#N/A</v>
      </c>
      <c r="X102" s="11" t="str">
        <f ca="1">IFERROR(__xludf.DUMMYFUNCTION("""COMPUTED_VALUE"""),"#N/A")</f>
        <v>#N/A</v>
      </c>
      <c r="Y102" s="11" t="str">
        <f ca="1">IFERROR(__xludf.DUMMYFUNCTION("""COMPUTED_VALUE"""),"#N/A")</f>
        <v>#N/A</v>
      </c>
      <c r="Z102" s="12" t="str">
        <f ca="1">IFERROR(__xludf.DUMMYFUNCTION("""COMPUTED_VALUE"""),"#N/A")</f>
        <v>#N/A</v>
      </c>
      <c r="AA102" s="12" t="str">
        <f ca="1">IFERROR(__xludf.DUMMYFUNCTION("""COMPUTED_VALUE"""),"#N/A")</f>
        <v>#N/A</v>
      </c>
      <c r="AB102" s="12" t="str">
        <f ca="1">IFERROR(__xludf.DUMMYFUNCTION("""COMPUTED_VALUE"""),"#N/A")</f>
        <v>#N/A</v>
      </c>
      <c r="AC102" s="11" t="str">
        <f ca="1">IFERROR(__xludf.DUMMYFUNCTION("""COMPUTED_VALUE"""),"#N/A")</f>
        <v>#N/A</v>
      </c>
      <c r="AD102" s="12" t="str">
        <f ca="1">IFERROR(__xludf.DUMMYFUNCTION("""COMPUTED_VALUE"""),"#N/A")</f>
        <v>#N/A</v>
      </c>
      <c r="AE102" s="12" t="str">
        <f ca="1">IFERROR(__xludf.DUMMYFUNCTION("""COMPUTED_VALUE"""),"#N/A")</f>
        <v>#N/A</v>
      </c>
      <c r="AF102" s="12" t="str">
        <f ca="1">IFERROR(__xludf.DUMMYFUNCTION("""COMPUTED_VALUE"""),"#N/A")</f>
        <v>#N/A</v>
      </c>
      <c r="AG102" s="70" t="str">
        <f ca="1">IFERROR(__xludf.DUMMYFUNCTION("ArrayFormula(VLOOKUP(G102, IMPORTRANGE(""https://docs.google.com/spreadsheets/d/1Co934fvtviyaRiMsrIlT05Jaq7iiYq07aLvRr35KA48/edit?gid=173865642#gid=173865642"", ""'G9_Maths_Pri_LU'!G2:V2000""), {3, 4, 5, 6, 7, 8, 9, 10, 11, 12, 13, 14, 15, 16}, 0))"),"LU000230")</f>
        <v>LU000230</v>
      </c>
      <c r="AH102" s="70" t="str">
        <f ca="1">IFERROR(__xludf.DUMMYFUNCTION("""COMPUTED_VALUE"""),"Lexical explanation of quadrilateral")</f>
        <v>Lexical explanation of quadrilateral</v>
      </c>
      <c r="AI102" s="70" t="str">
        <f ca="1">IFERROR(__xludf.DUMMYFUNCTION("""COMPUTED_VALUE"""),"LU000231")</f>
        <v>LU000231</v>
      </c>
      <c r="AJ102" s="70" t="str">
        <f ca="1">IFERROR(__xludf.DUMMYFUNCTION("""COMPUTED_VALUE"""),"Definition of circle")</f>
        <v>Definition of circle</v>
      </c>
      <c r="AK102" s="70"/>
      <c r="AL102" s="70"/>
      <c r="AM102" s="13"/>
      <c r="AN102" s="13"/>
      <c r="AO102" s="13"/>
      <c r="AP102" s="13"/>
      <c r="AQ102" s="13"/>
      <c r="AR102" s="13"/>
      <c r="AS102" s="13"/>
      <c r="AT102" s="13"/>
    </row>
    <row r="103" spans="1:46">
      <c r="A103" s="8" t="s">
        <v>247</v>
      </c>
      <c r="B103" s="66" t="s">
        <v>47</v>
      </c>
      <c r="C103" s="66" t="s">
        <v>979</v>
      </c>
      <c r="D103" s="67" t="s">
        <v>732</v>
      </c>
      <c r="E103" s="67" t="s">
        <v>1122</v>
      </c>
      <c r="F103" s="75" t="s">
        <v>1142</v>
      </c>
      <c r="G103" s="68" t="s">
        <v>1143</v>
      </c>
      <c r="H103" s="71" t="str">
        <f ca="1">IFERROR(__xludf.DUMMYFUNCTION("VLOOKUP(G103, IMPORTRANGE(""https://docs.google.com/spreadsheets/d/14deopnvwcrKtEGCKuYXdUHJbeLDZlkiSSWWT0g7x2pM/edit#gid=999382323"", ""LU List Maths (Filter)!A:B""), 2, FALSE)"),"Theorem: The sum of either pair of opposite angles of a cyclic quadrilateral is 180º.")</f>
        <v>Theorem: The sum of either pair of opposite angles of a cyclic quadrilateral is 180º.</v>
      </c>
      <c r="I103" s="69" t="str">
        <f t="shared" si="0"/>
        <v>LU001305.001</v>
      </c>
      <c r="J103" s="69" t="str">
        <f ca="1">IFERROR(__xludf.DUMMYFUNCTION("VLOOKUP(I103, IMPORTRANGE(""https://docs.google.com/spreadsheets/d/1yDAaXNsi4Mr5FtRQL4tbmSdIzhx6_m4wkOD7IG-k_eo/edit#gid=0"", ""Maths!M:N""), 2, FALSE)"),"Recall and state the theorem, including its assumptions and components.")</f>
        <v>Recall and state the theorem, including its assumptions and components.</v>
      </c>
      <c r="K103" s="69" t="str">
        <f t="shared" si="1"/>
        <v>LU001305.002</v>
      </c>
      <c r="L103" s="69" t="str">
        <f ca="1">IFERROR(__xludf.DUMMYFUNCTION("VLOOKUP(K103, IMPORTRANGE(""https://docs.google.com/spreadsheets/d/1yDAaXNsi4Mr5FtRQL4tbmSdIzhx6_m4wkOD7IG-k_eo/edit#gid=0"", ""Maths!M:N""), 2, FALSE)"),"Describe the steps involved in proving the theorem.")</f>
        <v>Describe the steps involved in proving the theorem.</v>
      </c>
      <c r="M103" s="69" t="str">
        <f t="shared" si="2"/>
        <v>LU001305.003</v>
      </c>
      <c r="N103" s="69" t="str">
        <f ca="1">IFERROR(__xludf.DUMMYFUNCTION("VLOOKUP(M103, IMPORTRANGE(""https://docs.google.com/spreadsheets/d/1yDAaXNsi4Mr5FtRQL4tbmSdIzhx6_m4wkOD7IG-k_eo/edit#gid=0"", ""Maths!M:N""), 2, FALSE)"),"Use the theorem to solve various mathematical problems.")</f>
        <v>Use the theorem to solve various mathematical problems.</v>
      </c>
      <c r="O103" s="69" t="str">
        <f t="shared" si="3"/>
        <v>LU001305.004</v>
      </c>
      <c r="P103" s="69" t="str">
        <f ca="1">IFERROR(__xludf.DUMMYFUNCTION("VLOOKUP(O103, IMPORTRANGE(""https://docs.google.com/spreadsheets/d/1yDAaXNsi4Mr5FtRQL4tbmSdIzhx6_m4wkOD7IG-k_eo/edit#gid=0"", ""Maths!M:N""), 2, FALSE)"),"Break down the proof of the theorem into individual steps with explanations, check the correctness of each step and its explanation.")</f>
        <v>Break down the proof of the theorem into individual steps with explanations, check the correctness of each step and its explanation.</v>
      </c>
      <c r="Q103" s="69" t="str">
        <f t="shared" si="4"/>
        <v>LU001305.005</v>
      </c>
      <c r="R103" s="69" t="str">
        <f ca="1">IFERROR(__xludf.DUMMYFUNCTION("VLOOKUP(Q103, IMPORTRANGE(""https://docs.google.com/spreadsheets/d/1yDAaXNsi4Mr5FtRQL4tbmSdIzhx6_m4wkOD7IG-k_eo/edit#gid=0"", ""Maths!M:N""), 2, FALSE)"),"Critique the theorem by comparing it to related theorems or methods, discussing its strengths, limitations, and overall significance.")</f>
        <v>Critique the theorem by comparing it to related theorems or methods, discussing its strengths, limitations, and overall significance.</v>
      </c>
      <c r="S103" s="69" t="str">
        <f t="shared" si="5"/>
        <v>LU001305.006</v>
      </c>
      <c r="T103" s="69" t="str">
        <f ca="1">IFERROR(__xludf.DUMMYFUNCTION("VLOOKUP(S103, IMPORTRANGE(""https://docs.google.com/spreadsheets/d/1yDAaXNsi4Mr5FtRQL4tbmSdIzhx6_m4wkOD7IG-k_eo/edit#gid=0"", ""Maths!M:N""), 2, FALSE)"),"Construct a geometric problem involving a cyclic quadrilateral and solve it.")</f>
        <v>Construct a geometric problem involving a cyclic quadrilateral and solve it.</v>
      </c>
      <c r="U103" s="11" t="str">
        <f ca="1">IFERROR(__xludf.DUMMYFUNCTION("ArrayFormula(VLOOKUP(G103, IMPORTRANGE(""https://docs.google.com/spreadsheets/d/1p7R4vtkWt5VOBim4ltsDG9KTzSjrtKXsMtQGXPHyND0/edit#gid=795171502"", ""'Filter 30_05_2024'!A1:M2000""), {2, 3, 4, 5,6,7,8,9,10,11,12,13}, 0))"),"#N/A")</f>
        <v>#N/A</v>
      </c>
      <c r="V103" s="11" t="str">
        <f ca="1">IFERROR(__xludf.DUMMYFUNCTION("""COMPUTED_VALUE"""),"#N/A")</f>
        <v>#N/A</v>
      </c>
      <c r="W103" s="11" t="str">
        <f ca="1">IFERROR(__xludf.DUMMYFUNCTION("""COMPUTED_VALUE"""),"#N/A")</f>
        <v>#N/A</v>
      </c>
      <c r="X103" s="11" t="str">
        <f ca="1">IFERROR(__xludf.DUMMYFUNCTION("""COMPUTED_VALUE"""),"#N/A")</f>
        <v>#N/A</v>
      </c>
      <c r="Y103" s="11" t="str">
        <f ca="1">IFERROR(__xludf.DUMMYFUNCTION("""COMPUTED_VALUE"""),"#N/A")</f>
        <v>#N/A</v>
      </c>
      <c r="Z103" s="12" t="str">
        <f ca="1">IFERROR(__xludf.DUMMYFUNCTION("""COMPUTED_VALUE"""),"#N/A")</f>
        <v>#N/A</v>
      </c>
      <c r="AA103" s="12" t="str">
        <f ca="1">IFERROR(__xludf.DUMMYFUNCTION("""COMPUTED_VALUE"""),"#N/A")</f>
        <v>#N/A</v>
      </c>
      <c r="AB103" s="12" t="str">
        <f ca="1">IFERROR(__xludf.DUMMYFUNCTION("""COMPUTED_VALUE"""),"#N/A")</f>
        <v>#N/A</v>
      </c>
      <c r="AC103" s="11" t="str">
        <f ca="1">IFERROR(__xludf.DUMMYFUNCTION("""COMPUTED_VALUE"""),"#N/A")</f>
        <v>#N/A</v>
      </c>
      <c r="AD103" s="12" t="str">
        <f ca="1">IFERROR(__xludf.DUMMYFUNCTION("""COMPUTED_VALUE"""),"#N/A")</f>
        <v>#N/A</v>
      </c>
      <c r="AE103" s="12" t="str">
        <f ca="1">IFERROR(__xludf.DUMMYFUNCTION("""COMPUTED_VALUE"""),"#N/A")</f>
        <v>#N/A</v>
      </c>
      <c r="AF103" s="12" t="str">
        <f ca="1">IFERROR(__xludf.DUMMYFUNCTION("""COMPUTED_VALUE"""),"#N/A")</f>
        <v>#N/A</v>
      </c>
      <c r="AG103" s="70" t="str">
        <f ca="1">IFERROR(__xludf.DUMMYFUNCTION("ArrayFormula(VLOOKUP(G103, IMPORTRANGE(""https://docs.google.com/spreadsheets/d/1Co934fvtviyaRiMsrIlT05Jaq7iiYq07aLvRr35KA48/edit?gid=173865642#gid=173865642"", ""'G9_Maths_Pri_LU'!G2:V2000""), {3, 4, 5, 6, 7, 8, 9, 10, 11, 12, 13, 14, 15, 16}, 0))"),"LU001304")</f>
        <v>LU001304</v>
      </c>
      <c r="AH103" s="70" t="str">
        <f ca="1">IFERROR(__xludf.DUMMYFUNCTION("""COMPUTED_VALUE"""),"Definition of cyclic quadrilaterals")</f>
        <v>Definition of cyclic quadrilaterals</v>
      </c>
      <c r="AI103" s="70" t="str">
        <f ca="1">IFERROR(__xludf.DUMMYFUNCTION("""COMPUTED_VALUE"""),"LU000592")</f>
        <v>LU000592</v>
      </c>
      <c r="AJ103" s="70" t="str">
        <f ca="1">IFERROR(__xludf.DUMMYFUNCTION("""COMPUTED_VALUE"""),"Angle sum property of a quadrilateral")</f>
        <v>Angle sum property of a quadrilateral</v>
      </c>
      <c r="AK103" s="70"/>
      <c r="AL103" s="70"/>
      <c r="AM103" s="13"/>
      <c r="AN103" s="13"/>
      <c r="AO103" s="13"/>
      <c r="AP103" s="13"/>
      <c r="AQ103" s="13"/>
      <c r="AR103" s="13"/>
      <c r="AS103" s="13"/>
      <c r="AT103" s="13"/>
    </row>
    <row r="104" spans="1:46">
      <c r="A104" s="8" t="s">
        <v>247</v>
      </c>
      <c r="B104" s="66" t="s">
        <v>47</v>
      </c>
      <c r="C104" s="66" t="s">
        <v>979</v>
      </c>
      <c r="D104" s="67" t="s">
        <v>732</v>
      </c>
      <c r="E104" s="67" t="s">
        <v>1122</v>
      </c>
      <c r="F104" s="75" t="s">
        <v>1142</v>
      </c>
      <c r="G104" s="68" t="s">
        <v>1144</v>
      </c>
      <c r="H104" s="71" t="str">
        <f ca="1">IFERROR(__xludf.DUMMYFUNCTION("VLOOKUP(G104, IMPORTRANGE(""https://docs.google.com/spreadsheets/d/14deopnvwcrKtEGCKuYXdUHJbeLDZlkiSSWWT0g7x2pM/edit#gid=999382323"", ""LU List Maths (Filter)!A:B""), 2, FALSE)"),"Theorem: If the sum of a pair of opposite angles of a quadrilateral is 180º, the quadrilateral is cyclic.")</f>
        <v>Theorem: If the sum of a pair of opposite angles of a quadrilateral is 180º, the quadrilateral is cyclic.</v>
      </c>
      <c r="I104" s="69" t="str">
        <f t="shared" si="0"/>
        <v>LU001306.001</v>
      </c>
      <c r="J104" s="69" t="str">
        <f ca="1">IFERROR(__xludf.DUMMYFUNCTION("VLOOKUP(I104, IMPORTRANGE(""https://docs.google.com/spreadsheets/d/1yDAaXNsi4Mr5FtRQL4tbmSdIzhx6_m4wkOD7IG-k_eo/edit#gid=0"", ""Maths!M:N""), 2, FALSE)"),"Recall and state the theorem, including its assumptions and components.")</f>
        <v>Recall and state the theorem, including its assumptions and components.</v>
      </c>
      <c r="K104" s="69" t="str">
        <f t="shared" si="1"/>
        <v>LU001306.002</v>
      </c>
      <c r="L104" s="69" t="str">
        <f ca="1">IFERROR(__xludf.DUMMYFUNCTION("VLOOKUP(K104, IMPORTRANGE(""https://docs.google.com/spreadsheets/d/1yDAaXNsi4Mr5FtRQL4tbmSdIzhx6_m4wkOD7IG-k_eo/edit#gid=0"", ""Maths!M:N""), 2, FALSE)"),"Describe the steps involved in proving the theorem.")</f>
        <v>Describe the steps involved in proving the theorem.</v>
      </c>
      <c r="M104" s="69" t="str">
        <f t="shared" si="2"/>
        <v>LU001306.003</v>
      </c>
      <c r="N104" s="69" t="str">
        <f ca="1">IFERROR(__xludf.DUMMYFUNCTION("VLOOKUP(M104, IMPORTRANGE(""https://docs.google.com/spreadsheets/d/1yDAaXNsi4Mr5FtRQL4tbmSdIzhx6_m4wkOD7IG-k_eo/edit#gid=0"", ""Maths!M:N""), 2, FALSE)"),"Use the theorem to solve various mathematical problems.")</f>
        <v>Use the theorem to solve various mathematical problems.</v>
      </c>
      <c r="O104" s="69" t="str">
        <f t="shared" si="3"/>
        <v>LU001306.004</v>
      </c>
      <c r="P104" s="69" t="str">
        <f ca="1">IFERROR(__xludf.DUMMYFUNCTION("VLOOKUP(O104, IMPORTRANGE(""https://docs.google.com/spreadsheets/d/1yDAaXNsi4Mr5FtRQL4tbmSdIzhx6_m4wkOD7IG-k_eo/edit#gid=0"", ""Maths!M:N""), 2, FALSE)"),"Break down the proof of the theorem into individual steps with explanations, check the correctness of each step and its explanation.")</f>
        <v>Break down the proof of the theorem into individual steps with explanations, check the correctness of each step and its explanation.</v>
      </c>
      <c r="Q104" s="69" t="str">
        <f t="shared" si="4"/>
        <v>LU001306.005</v>
      </c>
      <c r="R104" s="69" t="str">
        <f ca="1">IFERROR(__xludf.DUMMYFUNCTION("VLOOKUP(Q104, IMPORTRANGE(""https://docs.google.com/spreadsheets/d/1yDAaXNsi4Mr5FtRQL4tbmSdIzhx6_m4wkOD7IG-k_eo/edit#gid=0"", ""Maths!M:N""), 2, FALSE)"),"Critique the theorem by comparing it to related theorems or methods, discussing its strengths, limitations, and overall significance.")</f>
        <v>Critique the theorem by comparing it to related theorems or methods, discussing its strengths, limitations, and overall significance.</v>
      </c>
      <c r="S104" s="69" t="str">
        <f t="shared" si="5"/>
        <v>LU001306.006</v>
      </c>
      <c r="T104" s="69" t="str">
        <f ca="1">IFERROR(__xludf.DUMMYFUNCTION("VLOOKUP(S104, IMPORTRANGE(""https://docs.google.com/spreadsheets/d/1yDAaXNsi4Mr5FtRQL4tbmSdIzhx6_m4wkOD7IG-k_eo/edit#gid=0"", ""Maths!M:N""), 2, FALSE)"),"Create a problem involving the sum of opposite angles in cyclic quadrilaterals and solve it.")</f>
        <v>Create a problem involving the sum of opposite angles in cyclic quadrilaterals and solve it.</v>
      </c>
      <c r="U104" s="11" t="str">
        <f ca="1">IFERROR(__xludf.DUMMYFUNCTION("ArrayFormula(VLOOKUP(G104, IMPORTRANGE(""https://docs.google.com/spreadsheets/d/1p7R4vtkWt5VOBim4ltsDG9KTzSjrtKXsMtQGXPHyND0/edit#gid=795171502"", ""'Filter 30_05_2024'!A1:M2000""), {2, 3, 4, 5,6,7,8,9,10,11,12,13}, 0))"),"#N/A")</f>
        <v>#N/A</v>
      </c>
      <c r="V104" s="11" t="str">
        <f ca="1">IFERROR(__xludf.DUMMYFUNCTION("""COMPUTED_VALUE"""),"#N/A")</f>
        <v>#N/A</v>
      </c>
      <c r="W104" s="11" t="str">
        <f ca="1">IFERROR(__xludf.DUMMYFUNCTION("""COMPUTED_VALUE"""),"#N/A")</f>
        <v>#N/A</v>
      </c>
      <c r="X104" s="11" t="str">
        <f ca="1">IFERROR(__xludf.DUMMYFUNCTION("""COMPUTED_VALUE"""),"#N/A")</f>
        <v>#N/A</v>
      </c>
      <c r="Y104" s="11" t="str">
        <f ca="1">IFERROR(__xludf.DUMMYFUNCTION("""COMPUTED_VALUE"""),"#N/A")</f>
        <v>#N/A</v>
      </c>
      <c r="Z104" s="12" t="str">
        <f ca="1">IFERROR(__xludf.DUMMYFUNCTION("""COMPUTED_VALUE"""),"#N/A")</f>
        <v>#N/A</v>
      </c>
      <c r="AA104" s="12" t="str">
        <f ca="1">IFERROR(__xludf.DUMMYFUNCTION("""COMPUTED_VALUE"""),"#N/A")</f>
        <v>#N/A</v>
      </c>
      <c r="AB104" s="12" t="str">
        <f ca="1">IFERROR(__xludf.DUMMYFUNCTION("""COMPUTED_VALUE"""),"#N/A")</f>
        <v>#N/A</v>
      </c>
      <c r="AC104" s="11" t="str">
        <f ca="1">IFERROR(__xludf.DUMMYFUNCTION("""COMPUTED_VALUE"""),"#N/A")</f>
        <v>#N/A</v>
      </c>
      <c r="AD104" s="12" t="str">
        <f ca="1">IFERROR(__xludf.DUMMYFUNCTION("""COMPUTED_VALUE"""),"#N/A")</f>
        <v>#N/A</v>
      </c>
      <c r="AE104" s="12" t="str">
        <f ca="1">IFERROR(__xludf.DUMMYFUNCTION("""COMPUTED_VALUE"""),"#N/A")</f>
        <v>#N/A</v>
      </c>
      <c r="AF104" s="12" t="str">
        <f ca="1">IFERROR(__xludf.DUMMYFUNCTION("""COMPUTED_VALUE"""),"#N/A")</f>
        <v>#N/A</v>
      </c>
      <c r="AG104" s="70" t="str">
        <f ca="1">IFERROR(__xludf.DUMMYFUNCTION("ArrayFormula(VLOOKUP(G104, IMPORTRANGE(""https://docs.google.com/spreadsheets/d/1Co934fvtviyaRiMsrIlT05Jaq7iiYq07aLvRr35KA48/edit?gid=173865642#gid=173865642"", ""'G9_Maths_Pri_LU'!G2:V2000""), {3, 4, 5, 6, 7, 8, 9, 10, 11, 12, 13, 14, 15, 16}, 0))"),"LU001304")</f>
        <v>LU001304</v>
      </c>
      <c r="AH104" s="70" t="str">
        <f ca="1">IFERROR(__xludf.DUMMYFUNCTION("""COMPUTED_VALUE"""),"Definition of cyclic quadrilaterals")</f>
        <v>Definition of cyclic quadrilaterals</v>
      </c>
      <c r="AI104" s="70" t="str">
        <f ca="1">IFERROR(__xludf.DUMMYFUNCTION("""COMPUTED_VALUE"""),"LU000592")</f>
        <v>LU000592</v>
      </c>
      <c r="AJ104" s="70" t="str">
        <f ca="1">IFERROR(__xludf.DUMMYFUNCTION("""COMPUTED_VALUE"""),"Angle sum property of a quadrilateral")</f>
        <v>Angle sum property of a quadrilateral</v>
      </c>
      <c r="AK104" s="70"/>
      <c r="AL104" s="70"/>
      <c r="AM104" s="13"/>
      <c r="AN104" s="13"/>
      <c r="AO104" s="13"/>
      <c r="AP104" s="13"/>
      <c r="AQ104" s="13"/>
      <c r="AR104" s="13"/>
      <c r="AS104" s="13"/>
      <c r="AT104" s="13"/>
    </row>
    <row r="105" spans="1:46">
      <c r="A105" s="8" t="s">
        <v>247</v>
      </c>
      <c r="B105" s="66" t="s">
        <v>47</v>
      </c>
      <c r="C105" s="66" t="s">
        <v>979</v>
      </c>
      <c r="D105" s="67" t="s">
        <v>732</v>
      </c>
      <c r="E105" s="67" t="s">
        <v>1145</v>
      </c>
      <c r="F105" s="66" t="s">
        <v>1146</v>
      </c>
      <c r="G105" s="67" t="s">
        <v>1147</v>
      </c>
      <c r="H105" s="71" t="str">
        <f ca="1">IFERROR(__xludf.DUMMYFUNCTION("VLOOKUP(G105, IMPORTRANGE(""https://docs.google.com/spreadsheets/d/14deopnvwcrKtEGCKuYXdUHJbeLDZlkiSSWWT0g7x2pM/edit#gid=999382323"", ""LU List Maths (Filter)!A:B""), 2, FALSE)"),"Area of a triangle using Heron's (Hero's) formula")</f>
        <v>Area of a triangle using Heron's (Hero's) formula</v>
      </c>
      <c r="I105" s="69" t="str">
        <f t="shared" si="0"/>
        <v>LU001150.001</v>
      </c>
      <c r="J105" s="69" t="str">
        <f ca="1">IFERROR(__xludf.DUMMYFUNCTION("VLOOKUP(I105, IMPORTRANGE(""https://docs.google.com/spreadsheets/d/1yDAaXNsi4Mr5FtRQL4tbmSdIzhx6_m4wkOD7IG-k_eo/edit#gid=0"", ""Maths!M:N""), 2, FALSE)"),"Recall the statement of Hero's formula for calculating the area of a triangle.")</f>
        <v>Recall the statement of Hero's formula for calculating the area of a triangle.</v>
      </c>
      <c r="K105" s="69" t="str">
        <f t="shared" si="1"/>
        <v>LU001150.002</v>
      </c>
      <c r="L105" s="69" t="str">
        <f ca="1">IFERROR(__xludf.DUMMYFUNCTION("VLOOKUP(K105, IMPORTRANGE(""https://docs.google.com/spreadsheets/d/1yDAaXNsi4Mr5FtRQL4tbmSdIzhx6_m4wkOD7IG-k_eo/edit#gid=0"", ""Maths!M:N""), 2, FALSE)"),"Explain the steps involved in applying Hero's formula to find the area of a triangle.")</f>
        <v>Explain the steps involved in applying Hero's formula to find the area of a triangle.</v>
      </c>
      <c r="M105" s="69" t="str">
        <f t="shared" si="2"/>
        <v>LU001150.003</v>
      </c>
      <c r="N105" s="69" t="str">
        <f ca="1">IFERROR(__xludf.DUMMYFUNCTION("VLOOKUP(M105, IMPORTRANGE(""https://docs.google.com/spreadsheets/d/1yDAaXNsi4Mr5FtRQL4tbmSdIzhx6_m4wkOD7IG-k_eo/edit#gid=0"", ""Maths!M:N""), 2, FALSE)"),"Calculate the area of a triangle using Hero's formula, given the lengths of its sides.")</f>
        <v>Calculate the area of a triangle using Hero's formula, given the lengths of its sides.</v>
      </c>
      <c r="O105" s="69" t="str">
        <f t="shared" si="3"/>
        <v>LU001150.004</v>
      </c>
      <c r="P105" s="69" t="str">
        <f ca="1">IFERROR(__xludf.DUMMYFUNCTION("VLOOKUP(O105, IMPORTRANGE(""https://docs.google.com/spreadsheets/d/1yDAaXNsi4Mr5FtRQL4tbmSdIzhx6_m4wkOD7IG-k_eo/edit#gid=0"", ""Maths!M:N""), 2, FALSE)"),"Analyse the applicability of Hero's formula in different types of triangles by calculating their areas.")</f>
        <v>Analyse the applicability of Hero's formula in different types of triangles by calculating their areas.</v>
      </c>
      <c r="Q105" s="69" t="str">
        <f t="shared" si="4"/>
        <v>LU001150.005</v>
      </c>
      <c r="R105" s="69" t="str">
        <f ca="1">IFERROR(__xludf.DUMMYFUNCTION("VLOOKUP(Q105, IMPORTRANGE(""https://docs.google.com/spreadsheets/d/1yDAaXNsi4Mr5FtRQL4tbmSdIzhx6_m4wkOD7IG-k_eo/edit#gid=0"", ""Maths!M:N""), 2, FALSE)"),"Evaluate the impact of measurement accuracy on the area calculated using Hero's formula.")</f>
        <v>Evaluate the impact of measurement accuracy on the area calculated using Hero's formula.</v>
      </c>
      <c r="S105" s="69" t="str">
        <f t="shared" si="5"/>
        <v>LU001150.006</v>
      </c>
      <c r="T105" s="69" t="str">
        <f ca="1">IFERROR(__xludf.DUMMYFUNCTION("VLOOKUP(S105, IMPORTRANGE(""https://docs.google.com/spreadsheets/d/1yDAaXNsi4Mr5FtRQL4tbmSdIzhx6_m4wkOD7IG-k_eo/edit#gid=0"", ""Maths!M:N""), 2, FALSE)"),"Design a task that involves using Hero's formula to solve a real-world problem, such as determining the area of land parcels with irregular triangular shapes.")</f>
        <v>Design a task that involves using Hero's formula to solve a real-world problem, such as determining the area of land parcels with irregular triangular shapes.</v>
      </c>
      <c r="U105" s="11" t="str">
        <f ca="1">IFERROR(__xludf.DUMMYFUNCTION("ArrayFormula(VLOOKUP(G105, IMPORTRANGE(""https://docs.google.com/spreadsheets/d/1p7R4vtkWt5VOBim4ltsDG9KTzSjrtKXsMtQGXPHyND0/edit#gid=795171502"", ""'Filter 30_05_2024'!A1:M2000""), {2, 3, 4, 5,6,7,8,9,10,11,12,13}, 0))"),"#N/A")</f>
        <v>#N/A</v>
      </c>
      <c r="V105" s="11" t="str">
        <f ca="1">IFERROR(__xludf.DUMMYFUNCTION("""COMPUTED_VALUE"""),"#N/A")</f>
        <v>#N/A</v>
      </c>
      <c r="W105" s="11" t="str">
        <f ca="1">IFERROR(__xludf.DUMMYFUNCTION("""COMPUTED_VALUE"""),"#N/A")</f>
        <v>#N/A</v>
      </c>
      <c r="X105" s="11" t="str">
        <f ca="1">IFERROR(__xludf.DUMMYFUNCTION("""COMPUTED_VALUE"""),"#N/A")</f>
        <v>#N/A</v>
      </c>
      <c r="Y105" s="11" t="str">
        <f ca="1">IFERROR(__xludf.DUMMYFUNCTION("""COMPUTED_VALUE"""),"#N/A")</f>
        <v>#N/A</v>
      </c>
      <c r="Z105" s="12" t="str">
        <f ca="1">IFERROR(__xludf.DUMMYFUNCTION("""COMPUTED_VALUE"""),"#N/A")</f>
        <v>#N/A</v>
      </c>
      <c r="AA105" s="12" t="str">
        <f ca="1">IFERROR(__xludf.DUMMYFUNCTION("""COMPUTED_VALUE"""),"#N/A")</f>
        <v>#N/A</v>
      </c>
      <c r="AB105" s="12" t="str">
        <f ca="1">IFERROR(__xludf.DUMMYFUNCTION("""COMPUTED_VALUE"""),"#N/A")</f>
        <v>#N/A</v>
      </c>
      <c r="AC105" s="11" t="str">
        <f ca="1">IFERROR(__xludf.DUMMYFUNCTION("""COMPUTED_VALUE"""),"#N/A")</f>
        <v>#N/A</v>
      </c>
      <c r="AD105" s="12" t="str">
        <f ca="1">IFERROR(__xludf.DUMMYFUNCTION("""COMPUTED_VALUE"""),"#N/A")</f>
        <v>#N/A</v>
      </c>
      <c r="AE105" s="12" t="str">
        <f ca="1">IFERROR(__xludf.DUMMYFUNCTION("""COMPUTED_VALUE"""),"#N/A")</f>
        <v>#N/A</v>
      </c>
      <c r="AF105" s="12" t="str">
        <f ca="1">IFERROR(__xludf.DUMMYFUNCTION("""COMPUTED_VALUE"""),"#N/A")</f>
        <v>#N/A</v>
      </c>
      <c r="AG105" s="70" t="str">
        <f ca="1">IFERROR(__xludf.DUMMYFUNCTION("ArrayFormula(VLOOKUP(G105, IMPORTRANGE(""https://docs.google.com/spreadsheets/d/1Co934fvtviyaRiMsrIlT05Jaq7iiYq07aLvRr35KA48/edit?gid=173865642#gid=173865642"", ""'G9_Maths_Pri_LU'!G2:V2000""), {3, 4, 5, 6, 7, 8, 9, 10, 11, 12, 13, 14, 15, 16}, 0))"),"LU001168")</f>
        <v>LU001168</v>
      </c>
      <c r="AH105" s="70" t="str">
        <f ca="1">IFERROR(__xludf.DUMMYFUNCTION("""COMPUTED_VALUE"""),"Square root of products")</f>
        <v>Square root of products</v>
      </c>
      <c r="AI105" s="70" t="str">
        <f ca="1">IFERROR(__xludf.DUMMYFUNCTION("""COMPUTED_VALUE"""),"LU000323")</f>
        <v>LU000323</v>
      </c>
      <c r="AJ105" s="70" t="str">
        <f ca="1">IFERROR(__xludf.DUMMYFUNCTION("""COMPUTED_VALUE"""),"Perimeter of closed figures")</f>
        <v>Perimeter of closed figures</v>
      </c>
      <c r="AK105" s="70"/>
      <c r="AL105" s="70"/>
      <c r="AM105" s="13"/>
      <c r="AN105" s="13"/>
      <c r="AO105" s="13"/>
      <c r="AP105" s="13"/>
      <c r="AQ105" s="13"/>
      <c r="AR105" s="13"/>
      <c r="AS105" s="13"/>
      <c r="AT105" s="13"/>
    </row>
    <row r="106" spans="1:46">
      <c r="A106" s="8" t="s">
        <v>247</v>
      </c>
      <c r="B106" s="66" t="s">
        <v>47</v>
      </c>
      <c r="C106" s="66" t="s">
        <v>979</v>
      </c>
      <c r="D106" s="67" t="s">
        <v>732</v>
      </c>
      <c r="E106" s="67" t="s">
        <v>1148</v>
      </c>
      <c r="F106" s="66" t="s">
        <v>1149</v>
      </c>
      <c r="G106" s="68" t="s">
        <v>1150</v>
      </c>
      <c r="H106" s="71" t="str">
        <f ca="1">IFERROR(__xludf.DUMMYFUNCTION("VLOOKUP(G106, IMPORTRANGE(""https://docs.google.com/spreadsheets/d/14deopnvwcrKtEGCKuYXdUHJbeLDZlkiSSWWT0g7x2pM/edit#gid=999382323"", ""LU List Maths (Filter)!A:B""), 2, FALSE)"),"Curved surface area of a right circular cone")</f>
        <v>Curved surface area of a right circular cone</v>
      </c>
      <c r="I106" s="69" t="str">
        <f t="shared" si="0"/>
        <v>LU001249.001</v>
      </c>
      <c r="J106" s="69" t="str">
        <f ca="1">IFERROR(__xludf.DUMMYFUNCTION("VLOOKUP(I106, IMPORTRANGE(""https://docs.google.com/spreadsheets/d/1yDAaXNsi4Mr5FtRQL4tbmSdIzhx6_m4wkOD7IG-k_eo/edit#gid=0"", ""Maths!M:N""), 2, FALSE)"),"State the formula for the curved surface area of a right circular cone.")</f>
        <v>State the formula for the curved surface area of a right circular cone.</v>
      </c>
      <c r="K106" s="69" t="str">
        <f t="shared" si="1"/>
        <v>LU001249.002</v>
      </c>
      <c r="L106" s="69" t="str">
        <f ca="1">IFERROR(__xludf.DUMMYFUNCTION("VLOOKUP(K106, IMPORTRANGE(""https://docs.google.com/spreadsheets/d/1yDAaXNsi4Mr5FtRQL4tbmSdIzhx6_m4wkOD7IG-k_eo/edit#gid=0"", ""Maths!M:N""), 2, FALSE)"),"Derive the formula for the curved surface area of a right circular cone.")</f>
        <v>Derive the formula for the curved surface area of a right circular cone.</v>
      </c>
      <c r="M106" s="69" t="str">
        <f t="shared" si="2"/>
        <v>LU001249.003</v>
      </c>
      <c r="N106" s="69" t="str">
        <f ca="1">IFERROR(__xludf.DUMMYFUNCTION("VLOOKUP(M106, IMPORTRANGE(""https://docs.google.com/spreadsheets/d/1yDAaXNsi4Mr5FtRQL4tbmSdIzhx6_m4wkOD7IG-k_eo/edit#gid=0"", ""Maths!M:N""), 2, FALSE)"),"Solve problems involving the curved surface area of right circular cones using given dimensions.")</f>
        <v>Solve problems involving the curved surface area of right circular cones using given dimensions.</v>
      </c>
      <c r="O106" s="69" t="str">
        <f t="shared" si="3"/>
        <v>LU001249.004</v>
      </c>
      <c r="P106" s="69" t="str">
        <f ca="1">IFERROR(__xludf.DUMMYFUNCTION("VLOOKUP(O106, IMPORTRANGE(""https://docs.google.com/spreadsheets/d/1yDAaXNsi4Mr5FtRQL4tbmSdIzhx6_m4wkOD7IG-k_eo/edit#gid=0"", ""Maths!M:N""), 2, FALSE)"),"Compare the curved surface areas of right circular cones with different radii and slant heights.")</f>
        <v>Compare the curved surface areas of right circular cones with different radii and slant heights.</v>
      </c>
      <c r="Q106" s="69" t="str">
        <f t="shared" si="4"/>
        <v>LU001249.005</v>
      </c>
      <c r="R106" s="69" t="str">
        <f ca="1">IFERROR(__xludf.DUMMYFUNCTION("VLOOKUP(Q106, IMPORTRANGE(""https://docs.google.com/spreadsheets/d/1yDAaXNsi4Mr5FtRQL4tbmSdIzhx6_m4wkOD7IG-k_eo/edit#gid=0"", ""Maths!M:N""), 2, FALSE)"),"Evaluate the correctness of curved surface area calculations for given right circular cones.")</f>
        <v>Evaluate the correctness of curved surface area calculations for given right circular cones.</v>
      </c>
      <c r="S106" s="69" t="str">
        <f t="shared" si="5"/>
        <v>LU001249.006</v>
      </c>
      <c r="T106" s="69" t="str">
        <f ca="1">IFERROR(__xludf.DUMMYFUNCTION("VLOOKUP(S106, IMPORTRANGE(""https://docs.google.com/spreadsheets/d/1yDAaXNsi4Mr5FtRQL4tbmSdIzhx6_m4wkOD7IG-k_eo/edit#gid=0"", ""Maths!M:N""), 2, FALSE)"),"Design a real-world application problem that requires calculating the curved surface area of a right circular cone and solve it.")</f>
        <v>Design a real-world application problem that requires calculating the curved surface area of a right circular cone and solve it.</v>
      </c>
      <c r="U106" s="11" t="str">
        <f ca="1">IFERROR(__xludf.DUMMYFUNCTION("ArrayFormula(VLOOKUP(G106, IMPORTRANGE(""https://docs.google.com/spreadsheets/d/1p7R4vtkWt5VOBim4ltsDG9KTzSjrtKXsMtQGXPHyND0/edit#gid=795171502"", ""'Filter 30_05_2024'!A1:M2000""), {2, 3, 4, 5,6,7,8,9,10,11,12,13}, 0))"),"#N/A")</f>
        <v>#N/A</v>
      </c>
      <c r="V106" s="11" t="str">
        <f ca="1">IFERROR(__xludf.DUMMYFUNCTION("""COMPUTED_VALUE"""),"#N/A")</f>
        <v>#N/A</v>
      </c>
      <c r="W106" s="11" t="str">
        <f ca="1">IFERROR(__xludf.DUMMYFUNCTION("""COMPUTED_VALUE"""),"#N/A")</f>
        <v>#N/A</v>
      </c>
      <c r="X106" s="11" t="str">
        <f ca="1">IFERROR(__xludf.DUMMYFUNCTION("""COMPUTED_VALUE"""),"#N/A")</f>
        <v>#N/A</v>
      </c>
      <c r="Y106" s="11" t="str">
        <f ca="1">IFERROR(__xludf.DUMMYFUNCTION("""COMPUTED_VALUE"""),"#N/A")</f>
        <v>#N/A</v>
      </c>
      <c r="Z106" s="12" t="str">
        <f ca="1">IFERROR(__xludf.DUMMYFUNCTION("""COMPUTED_VALUE"""),"#N/A")</f>
        <v>#N/A</v>
      </c>
      <c r="AA106" s="12" t="str">
        <f ca="1">IFERROR(__xludf.DUMMYFUNCTION("""COMPUTED_VALUE"""),"#N/A")</f>
        <v>#N/A</v>
      </c>
      <c r="AB106" s="12" t="str">
        <f ca="1">IFERROR(__xludf.DUMMYFUNCTION("""COMPUTED_VALUE"""),"#N/A")</f>
        <v>#N/A</v>
      </c>
      <c r="AC106" s="11" t="str">
        <f ca="1">IFERROR(__xludf.DUMMYFUNCTION("""COMPUTED_VALUE"""),"#N/A")</f>
        <v>#N/A</v>
      </c>
      <c r="AD106" s="12" t="str">
        <f ca="1">IFERROR(__xludf.DUMMYFUNCTION("""COMPUTED_VALUE"""),"#N/A")</f>
        <v>#N/A</v>
      </c>
      <c r="AE106" s="12" t="str">
        <f ca="1">IFERROR(__xludf.DUMMYFUNCTION("""COMPUTED_VALUE"""),"#N/A")</f>
        <v>#N/A</v>
      </c>
      <c r="AF106" s="12" t="str">
        <f ca="1">IFERROR(__xludf.DUMMYFUNCTION("""COMPUTED_VALUE"""),"#N/A")</f>
        <v>#N/A</v>
      </c>
      <c r="AG106" s="70" t="str">
        <f ca="1">IFERROR(__xludf.DUMMYFUNCTION("ArrayFormula(VLOOKUP(G106, IMPORTRANGE(""https://docs.google.com/spreadsheets/d/1Co934fvtviyaRiMsrIlT05Jaq7iiYq07aLvRr35KA48/edit?gid=173865642#gid=173865642"", ""'G9_Maths_Pri_LU'!G2:V2000""), {3, 4, 5, 6, 7, 8, 9, 10, 11, 12, 13, 14, 15, 16}, 0))"),"LU001248")</f>
        <v>LU001248</v>
      </c>
      <c r="AH106" s="70" t="str">
        <f ca="1">IFERROR(__xludf.DUMMYFUNCTION("""COMPUTED_VALUE"""),"Lexical explanation of three dimensional shapes-right circular cone")</f>
        <v>Lexical explanation of three dimensional shapes-right circular cone</v>
      </c>
      <c r="AI106" s="70" t="str">
        <f ca="1">IFERROR(__xludf.DUMMYFUNCTION("""COMPUTED_VALUE"""),"LU000492")</f>
        <v>LU000492</v>
      </c>
      <c r="AJ106" s="70" t="str">
        <f ca="1">IFERROR(__xludf.DUMMYFUNCTION("""COMPUTED_VALUE"""),"Area of a triangle using the formula")</f>
        <v>Area of a triangle using the formula</v>
      </c>
      <c r="AK106" s="70" t="str">
        <f ca="1">IFERROR(__xludf.DUMMYFUNCTION("""COMPUTED_VALUE"""),"LU000494")</f>
        <v>LU000494</v>
      </c>
      <c r="AL106" s="70" t="str">
        <f ca="1">IFERROR(__xludf.DUMMYFUNCTION("""COMPUTED_VALUE"""),"Circumference of a circle")</f>
        <v>Circumference of a circle</v>
      </c>
      <c r="AM106" s="13"/>
      <c r="AN106" s="13"/>
      <c r="AO106" s="13"/>
      <c r="AP106" s="13"/>
      <c r="AQ106" s="13"/>
      <c r="AR106" s="13"/>
      <c r="AS106" s="13"/>
      <c r="AT106" s="13"/>
    </row>
    <row r="107" spans="1:46">
      <c r="A107" s="8" t="s">
        <v>247</v>
      </c>
      <c r="B107" s="66" t="s">
        <v>47</v>
      </c>
      <c r="C107" s="66" t="s">
        <v>979</v>
      </c>
      <c r="D107" s="67" t="s">
        <v>732</v>
      </c>
      <c r="E107" s="67" t="s">
        <v>1148</v>
      </c>
      <c r="F107" s="66" t="s">
        <v>1149</v>
      </c>
      <c r="G107" s="68" t="s">
        <v>1151</v>
      </c>
      <c r="H107" s="71" t="str">
        <f ca="1">IFERROR(__xludf.DUMMYFUNCTION("VLOOKUP(G107, IMPORTRANGE(""https://docs.google.com/spreadsheets/d/14deopnvwcrKtEGCKuYXdUHJbeLDZlkiSSWWT0g7x2pM/edit#gid=999382323"", ""LU List Maths (Filter)!A:B""), 2, FALSE)"),"Total surface area of a right circular cone")</f>
        <v>Total surface area of a right circular cone</v>
      </c>
      <c r="I107" s="69" t="str">
        <f t="shared" si="0"/>
        <v>LU001250.001</v>
      </c>
      <c r="J107" s="69" t="str">
        <f ca="1">IFERROR(__xludf.DUMMYFUNCTION("VLOOKUP(I107, IMPORTRANGE(""https://docs.google.com/spreadsheets/d/1yDAaXNsi4Mr5FtRQL4tbmSdIzhx6_m4wkOD7IG-k_eo/edit#gid=0"", ""Maths!M:N""), 2, FALSE)"),"State the formula for the total surface area of a right circular cone.")</f>
        <v>State the formula for the total surface area of a right circular cone.</v>
      </c>
      <c r="K107" s="69" t="str">
        <f t="shared" si="1"/>
        <v>LU001250.002</v>
      </c>
      <c r="L107" s="69" t="str">
        <f ca="1">IFERROR(__xludf.DUMMYFUNCTION("VLOOKUP(K107, IMPORTRANGE(""https://docs.google.com/spreadsheets/d/1yDAaXNsi4Mr5FtRQL4tbmSdIzhx6_m4wkOD7IG-k_eo/edit#gid=0"", ""Maths!M:N""), 2, FALSE)"),"Derive the formula for the total surface area of a right circular cone.")</f>
        <v>Derive the formula for the total surface area of a right circular cone.</v>
      </c>
      <c r="M107" s="69" t="str">
        <f t="shared" si="2"/>
        <v>LU001250.003</v>
      </c>
      <c r="N107" s="69" t="str">
        <f ca="1">IFERROR(__xludf.DUMMYFUNCTION("VLOOKUP(M107, IMPORTRANGE(""https://docs.google.com/spreadsheets/d/1yDAaXNsi4Mr5FtRQL4tbmSdIzhx6_m4wkOD7IG-k_eo/edit#gid=0"", ""Maths!M:N""), 2, FALSE)"),"Solve problems involving the total surface area of right circular cones using given dimensions.")</f>
        <v>Solve problems involving the total surface area of right circular cones using given dimensions.</v>
      </c>
      <c r="O107" s="69" t="str">
        <f t="shared" si="3"/>
        <v>LU001250.004</v>
      </c>
      <c r="P107" s="69" t="str">
        <f ca="1">IFERROR(__xludf.DUMMYFUNCTION("VLOOKUP(O107, IMPORTRANGE(""https://docs.google.com/spreadsheets/d/1yDAaXNsi4Mr5FtRQL4tbmSdIzhx6_m4wkOD7IG-k_eo/edit#gid=0"", ""Maths!M:N""), 2, FALSE)"),"Compare the total surface areas of right circular cones with different radii and slant heights.")</f>
        <v>Compare the total surface areas of right circular cones with different radii and slant heights.</v>
      </c>
      <c r="Q107" s="69" t="str">
        <f t="shared" si="4"/>
        <v>LU001250.005</v>
      </c>
      <c r="R107" s="69" t="str">
        <f ca="1">IFERROR(__xludf.DUMMYFUNCTION("VLOOKUP(Q107, IMPORTRANGE(""https://docs.google.com/spreadsheets/d/1yDAaXNsi4Mr5FtRQL4tbmSdIzhx6_m4wkOD7IG-k_eo/edit#gid=0"", ""Maths!M:N""), 2, FALSE)"),"Evaluate the correctness of total surface area calculations for given right circular cones.")</f>
        <v>Evaluate the correctness of total surface area calculations for given right circular cones.</v>
      </c>
      <c r="S107" s="69" t="str">
        <f t="shared" si="5"/>
        <v>LU001250.006</v>
      </c>
      <c r="T107" s="69" t="str">
        <f ca="1">IFERROR(__xludf.DUMMYFUNCTION("VLOOKUP(S107, IMPORTRANGE(""https://docs.google.com/spreadsheets/d/1yDAaXNsi4Mr5FtRQL4tbmSdIzhx6_m4wkOD7IG-k_eo/edit#gid=0"", ""Maths!M:N""), 2, FALSE)"),"Design a real-world application problem that requires calculating the total surface area of a right circular cone and solve it.")</f>
        <v>Design a real-world application problem that requires calculating the total surface area of a right circular cone and solve it.</v>
      </c>
      <c r="U107" s="11" t="str">
        <f ca="1">IFERROR(__xludf.DUMMYFUNCTION("ArrayFormula(VLOOKUP(G107, IMPORTRANGE(""https://docs.google.com/spreadsheets/d/1p7R4vtkWt5VOBim4ltsDG9KTzSjrtKXsMtQGXPHyND0/edit#gid=795171502"", ""'Filter 30_05_2024'!A1:M2000""), {2, 3, 4, 5,6,7,8,9,10,11,12,13}, 0))"),"#N/A")</f>
        <v>#N/A</v>
      </c>
      <c r="V107" s="11" t="str">
        <f ca="1">IFERROR(__xludf.DUMMYFUNCTION("""COMPUTED_VALUE"""),"#N/A")</f>
        <v>#N/A</v>
      </c>
      <c r="W107" s="11" t="str">
        <f ca="1">IFERROR(__xludf.DUMMYFUNCTION("""COMPUTED_VALUE"""),"#N/A")</f>
        <v>#N/A</v>
      </c>
      <c r="X107" s="11" t="str">
        <f ca="1">IFERROR(__xludf.DUMMYFUNCTION("""COMPUTED_VALUE"""),"#N/A")</f>
        <v>#N/A</v>
      </c>
      <c r="Y107" s="11" t="str">
        <f ca="1">IFERROR(__xludf.DUMMYFUNCTION("""COMPUTED_VALUE"""),"#N/A")</f>
        <v>#N/A</v>
      </c>
      <c r="Z107" s="12" t="str">
        <f ca="1">IFERROR(__xludf.DUMMYFUNCTION("""COMPUTED_VALUE"""),"#N/A")</f>
        <v>#N/A</v>
      </c>
      <c r="AA107" s="12" t="str">
        <f ca="1">IFERROR(__xludf.DUMMYFUNCTION("""COMPUTED_VALUE"""),"#N/A")</f>
        <v>#N/A</v>
      </c>
      <c r="AB107" s="12" t="str">
        <f ca="1">IFERROR(__xludf.DUMMYFUNCTION("""COMPUTED_VALUE"""),"#N/A")</f>
        <v>#N/A</v>
      </c>
      <c r="AC107" s="11" t="str">
        <f ca="1">IFERROR(__xludf.DUMMYFUNCTION("""COMPUTED_VALUE"""),"#N/A")</f>
        <v>#N/A</v>
      </c>
      <c r="AD107" s="12" t="str">
        <f ca="1">IFERROR(__xludf.DUMMYFUNCTION("""COMPUTED_VALUE"""),"#N/A")</f>
        <v>#N/A</v>
      </c>
      <c r="AE107" s="12" t="str">
        <f ca="1">IFERROR(__xludf.DUMMYFUNCTION("""COMPUTED_VALUE"""),"#N/A")</f>
        <v>#N/A</v>
      </c>
      <c r="AF107" s="12" t="str">
        <f ca="1">IFERROR(__xludf.DUMMYFUNCTION("""COMPUTED_VALUE"""),"#N/A")</f>
        <v>#N/A</v>
      </c>
      <c r="AG107" s="70" t="str">
        <f ca="1">IFERROR(__xludf.DUMMYFUNCTION("ArrayFormula(VLOOKUP(G107, IMPORTRANGE(""https://docs.google.com/spreadsheets/d/1Co934fvtviyaRiMsrIlT05Jaq7iiYq07aLvRr35KA48/edit?gid=173865642#gid=173865642"", ""'G9_Maths_Pri_LU'!G2:V2000""), {3, 4, 5, 6, 7, 8, 9, 10, 11, 12, 13, 14, 15, 16}, 0))"),"LU001249")</f>
        <v>LU001249</v>
      </c>
      <c r="AH107" s="70" t="str">
        <f ca="1">IFERROR(__xludf.DUMMYFUNCTION("""COMPUTED_VALUE"""),"Curved surface area of a right circular cone")</f>
        <v>Curved surface area of a right circular cone</v>
      </c>
      <c r="AI107" s="70" t="str">
        <f ca="1">IFERROR(__xludf.DUMMYFUNCTION("""COMPUTED_VALUE"""),"LU000495")</f>
        <v>LU000495</v>
      </c>
      <c r="AJ107" s="70" t="str">
        <f ca="1">IFERROR(__xludf.DUMMYFUNCTION("""COMPUTED_VALUE"""),"Area of a circle")</f>
        <v>Area of a circle</v>
      </c>
      <c r="AK107" s="70"/>
      <c r="AL107" s="70"/>
      <c r="AM107" s="13"/>
      <c r="AN107" s="13"/>
      <c r="AO107" s="13"/>
      <c r="AP107" s="13"/>
      <c r="AQ107" s="13"/>
      <c r="AR107" s="13"/>
      <c r="AS107" s="13"/>
      <c r="AT107" s="13"/>
    </row>
    <row r="108" spans="1:46">
      <c r="A108" s="8" t="s">
        <v>247</v>
      </c>
      <c r="B108" s="66" t="s">
        <v>47</v>
      </c>
      <c r="C108" s="66" t="s">
        <v>979</v>
      </c>
      <c r="D108" s="67" t="s">
        <v>732</v>
      </c>
      <c r="E108" s="67" t="s">
        <v>1148</v>
      </c>
      <c r="F108" s="66" t="s">
        <v>1152</v>
      </c>
      <c r="G108" s="68" t="s">
        <v>1153</v>
      </c>
      <c r="H108" s="71" t="str">
        <f ca="1">IFERROR(__xludf.DUMMYFUNCTION("VLOOKUP(G108, IMPORTRANGE(""https://docs.google.com/spreadsheets/d/14deopnvwcrKtEGCKuYXdUHJbeLDZlkiSSWWT0g7x2pM/edit#gid=999382323"", ""LU List Maths (Filter)!A:B""), 2, FALSE)"),"Surface area of a sphere")</f>
        <v>Surface area of a sphere</v>
      </c>
      <c r="I108" s="69" t="str">
        <f t="shared" si="0"/>
        <v>LU001251.001</v>
      </c>
      <c r="J108" s="69" t="str">
        <f ca="1">IFERROR(__xludf.DUMMYFUNCTION("VLOOKUP(I108, IMPORTRANGE(""https://docs.google.com/spreadsheets/d/1yDAaXNsi4Mr5FtRQL4tbmSdIzhx6_m4wkOD7IG-k_eo/edit#gid=0"", ""Maths!M:N""), 2, FALSE)"),"State the formula for the surface area of a sphere.")</f>
        <v>State the formula for the surface area of a sphere.</v>
      </c>
      <c r="K108" s="69" t="str">
        <f t="shared" si="1"/>
        <v>LU001251.002</v>
      </c>
      <c r="L108" s="69" t="str">
        <f ca="1">IFERROR(__xludf.DUMMYFUNCTION("VLOOKUP(K108, IMPORTRANGE(""https://docs.google.com/spreadsheets/d/1yDAaXNsi4Mr5FtRQL4tbmSdIzhx6_m4wkOD7IG-k_eo/edit#gid=0"", ""Maths!M:N""), 2, FALSE)"),"Derive the formula for the surface area of a sphere.")</f>
        <v>Derive the formula for the surface area of a sphere.</v>
      </c>
      <c r="M108" s="69" t="str">
        <f t="shared" si="2"/>
        <v>LU001251.003</v>
      </c>
      <c r="N108" s="69" t="str">
        <f ca="1">IFERROR(__xludf.DUMMYFUNCTION("VLOOKUP(M108, IMPORTRANGE(""https://docs.google.com/spreadsheets/d/1yDAaXNsi4Mr5FtRQL4tbmSdIzhx6_m4wkOD7IG-k_eo/edit#gid=0"", ""Maths!M:N""), 2, FALSE)"),"Solve problems involving the surface area of a sphere using given dimensions.")</f>
        <v>Solve problems involving the surface area of a sphere using given dimensions.</v>
      </c>
      <c r="O108" s="69" t="str">
        <f t="shared" si="3"/>
        <v>LU001251.004</v>
      </c>
      <c r="P108" s="69" t="str">
        <f ca="1">IFERROR(__xludf.DUMMYFUNCTION("VLOOKUP(O108, IMPORTRANGE(""https://docs.google.com/spreadsheets/d/1yDAaXNsi4Mr5FtRQL4tbmSdIzhx6_m4wkOD7IG-k_eo/edit#gid=0"", ""Maths!M:N""), 2, FALSE)"),"Analyse the effect of changing the radius on the surface area of a sphere.")</f>
        <v>Analyse the effect of changing the radius on the surface area of a sphere.</v>
      </c>
      <c r="Q108" s="69" t="str">
        <f t="shared" si="4"/>
        <v>LU001251.005</v>
      </c>
      <c r="R108" s="69" t="str">
        <f ca="1">IFERROR(__xludf.DUMMYFUNCTION("VLOOKUP(Q108, IMPORTRANGE(""https://docs.google.com/spreadsheets/d/1yDAaXNsi4Mr5FtRQL4tbmSdIzhx6_m4wkOD7IG-k_eo/edit#gid=0"", ""Maths!M:N""), 2, FALSE)"),"Evaluate the correctness of surface area calculations for given spheres.")</f>
        <v>Evaluate the correctness of surface area calculations for given spheres.</v>
      </c>
      <c r="S108" s="69" t="str">
        <f t="shared" si="5"/>
        <v>LU001251.006</v>
      </c>
      <c r="T108" s="69" t="str">
        <f ca="1">IFERROR(__xludf.DUMMYFUNCTION("VLOOKUP(S108, IMPORTRANGE(""https://docs.google.com/spreadsheets/d/1yDAaXNsi4Mr5FtRQL4tbmSdIzhx6_m4wkOD7IG-k_eo/edit#gid=0"", ""Maths!M:N""), 2, FALSE)"),"Create a geometric problem involving finding the surface area of a sphere with given dimensions.")</f>
        <v>Create a geometric problem involving finding the surface area of a sphere with given dimensions.</v>
      </c>
      <c r="U108" s="11" t="str">
        <f ca="1">IFERROR(__xludf.DUMMYFUNCTION("ArrayFormula(VLOOKUP(G108, IMPORTRANGE(""https://docs.google.com/spreadsheets/d/1p7R4vtkWt5VOBim4ltsDG9KTzSjrtKXsMtQGXPHyND0/edit#gid=795171502"", ""'Filter 30_05_2024'!A1:M2000""), {2, 3, 4, 5,6,7,8,9,10,11,12,13}, 0))"),"#N/A")</f>
        <v>#N/A</v>
      </c>
      <c r="V108" s="11" t="str">
        <f ca="1">IFERROR(__xludf.DUMMYFUNCTION("""COMPUTED_VALUE"""),"#N/A")</f>
        <v>#N/A</v>
      </c>
      <c r="W108" s="11" t="str">
        <f ca="1">IFERROR(__xludf.DUMMYFUNCTION("""COMPUTED_VALUE"""),"#N/A")</f>
        <v>#N/A</v>
      </c>
      <c r="X108" s="11" t="str">
        <f ca="1">IFERROR(__xludf.DUMMYFUNCTION("""COMPUTED_VALUE"""),"#N/A")</f>
        <v>#N/A</v>
      </c>
      <c r="Y108" s="11" t="str">
        <f ca="1">IFERROR(__xludf.DUMMYFUNCTION("""COMPUTED_VALUE"""),"#N/A")</f>
        <v>#N/A</v>
      </c>
      <c r="Z108" s="12" t="str">
        <f ca="1">IFERROR(__xludf.DUMMYFUNCTION("""COMPUTED_VALUE"""),"#N/A")</f>
        <v>#N/A</v>
      </c>
      <c r="AA108" s="12" t="str">
        <f ca="1">IFERROR(__xludf.DUMMYFUNCTION("""COMPUTED_VALUE"""),"#N/A")</f>
        <v>#N/A</v>
      </c>
      <c r="AB108" s="12" t="str">
        <f ca="1">IFERROR(__xludf.DUMMYFUNCTION("""COMPUTED_VALUE"""),"#N/A")</f>
        <v>#N/A</v>
      </c>
      <c r="AC108" s="11" t="str">
        <f ca="1">IFERROR(__xludf.DUMMYFUNCTION("""COMPUTED_VALUE"""),"#N/A")</f>
        <v>#N/A</v>
      </c>
      <c r="AD108" s="12" t="str">
        <f ca="1">IFERROR(__xludf.DUMMYFUNCTION("""COMPUTED_VALUE"""),"#N/A")</f>
        <v>#N/A</v>
      </c>
      <c r="AE108" s="12" t="str">
        <f ca="1">IFERROR(__xludf.DUMMYFUNCTION("""COMPUTED_VALUE"""),"#N/A")</f>
        <v>#N/A</v>
      </c>
      <c r="AF108" s="12" t="str">
        <f ca="1">IFERROR(__xludf.DUMMYFUNCTION("""COMPUTED_VALUE"""),"#N/A")</f>
        <v>#N/A</v>
      </c>
      <c r="AG108" s="70" t="str">
        <f ca="1">IFERROR(__xludf.DUMMYFUNCTION("ArrayFormula(VLOOKUP(G108, IMPORTRANGE(""https://docs.google.com/spreadsheets/d/1Co934fvtviyaRiMsrIlT05Jaq7iiYq07aLvRr35KA48/edit?gid=173865642#gid=173865642"", ""'G9_Maths_Pri_LU'!G2:V2000""), {3, 4, 5, 6, 7, 8, 9, 10, 11, 12, 13, 14, 15, 16}, 0))"),"LU000252")</f>
        <v>LU000252</v>
      </c>
      <c r="AH108" s="70" t="str">
        <f ca="1">IFERROR(__xludf.DUMMYFUNCTION("""COMPUTED_VALUE"""),"Lexical explanation of three dimensional shapes-spheres")</f>
        <v>Lexical explanation of three dimensional shapes-spheres</v>
      </c>
      <c r="AI108" s="70" t="str">
        <f ca="1">IFERROR(__xludf.DUMMYFUNCTION("""COMPUTED_VALUE"""),"LU000495")</f>
        <v>LU000495</v>
      </c>
      <c r="AJ108" s="70" t="str">
        <f ca="1">IFERROR(__xludf.DUMMYFUNCTION("""COMPUTED_VALUE"""),"Area of a circle")</f>
        <v>Area of a circle</v>
      </c>
      <c r="AK108" s="70"/>
      <c r="AL108" s="70"/>
      <c r="AM108" s="13"/>
      <c r="AN108" s="13"/>
      <c r="AO108" s="13"/>
      <c r="AP108" s="13"/>
      <c r="AQ108" s="13"/>
      <c r="AR108" s="13"/>
      <c r="AS108" s="13"/>
      <c r="AT108" s="13"/>
    </row>
    <row r="109" spans="1:46">
      <c r="A109" s="8" t="s">
        <v>247</v>
      </c>
      <c r="B109" s="66" t="s">
        <v>47</v>
      </c>
      <c r="C109" s="66" t="s">
        <v>979</v>
      </c>
      <c r="D109" s="67" t="s">
        <v>732</v>
      </c>
      <c r="E109" s="67" t="s">
        <v>1148</v>
      </c>
      <c r="F109" s="66" t="s">
        <v>1154</v>
      </c>
      <c r="G109" s="68" t="s">
        <v>1155</v>
      </c>
      <c r="H109" s="71" t="str">
        <f ca="1">IFERROR(__xludf.DUMMYFUNCTION("VLOOKUP(G109, IMPORTRANGE(""https://docs.google.com/spreadsheets/d/14deopnvwcrKtEGCKuYXdUHJbeLDZlkiSSWWT0g7x2pM/edit#gid=999382323"", ""LU List Maths (Filter)!A:B""), 2, FALSE)"),"Curved surface area of a hemisphere")</f>
        <v>Curved surface area of a hemisphere</v>
      </c>
      <c r="I109" s="69" t="str">
        <f t="shared" si="0"/>
        <v>LU001253.001</v>
      </c>
      <c r="J109" s="69" t="str">
        <f ca="1">IFERROR(__xludf.DUMMYFUNCTION("VLOOKUP(I109, IMPORTRANGE(""https://docs.google.com/spreadsheets/d/1yDAaXNsi4Mr5FtRQL4tbmSdIzhx6_m4wkOD7IG-k_eo/edit#gid=0"", ""Maths!M:N""), 2, FALSE)"),"Write the formula for calculating the curved surface area of a hemisphere.")</f>
        <v>Write the formula for calculating the curved surface area of a hemisphere.</v>
      </c>
      <c r="K109" s="69" t="str">
        <f t="shared" si="1"/>
        <v>LU001253.002</v>
      </c>
      <c r="L109" s="69" t="str">
        <f ca="1">IFERROR(__xludf.DUMMYFUNCTION("VLOOKUP(K109, IMPORTRANGE(""https://docs.google.com/spreadsheets/d/1yDAaXNsi4Mr5FtRQL4tbmSdIzhx6_m4wkOD7IG-k_eo/edit#gid=0"", ""Maths!M:N""), 2, FALSE)"),"Derive the formula for the curved surface area of a hemisphere.")</f>
        <v>Derive the formula for the curved surface area of a hemisphere.</v>
      </c>
      <c r="M109" s="69" t="str">
        <f t="shared" si="2"/>
        <v>LU001253.003</v>
      </c>
      <c r="N109" s="69" t="str">
        <f ca="1">IFERROR(__xludf.DUMMYFUNCTION("VLOOKUP(M109, IMPORTRANGE(""https://docs.google.com/spreadsheets/d/1yDAaXNsi4Mr5FtRQL4tbmSdIzhx6_m4wkOD7IG-k_eo/edit#gid=0"", ""Maths!M:N""), 2, FALSE)"),"Use the formula to solve problems involving the curved surface area of a hemisphere in real-life contexts.")</f>
        <v>Use the formula to solve problems involving the curved surface area of a hemisphere in real-life contexts.</v>
      </c>
      <c r="O109" s="69" t="str">
        <f t="shared" si="3"/>
        <v>LU001253.004</v>
      </c>
      <c r="P109" s="69" t="str">
        <f ca="1">IFERROR(__xludf.DUMMYFUNCTION("VLOOKUP(O109, IMPORTRANGE(""https://docs.google.com/spreadsheets/d/1yDAaXNsi4Mr5FtRQL4tbmSdIzhx6_m4wkOD7IG-k_eo/edit#gid=0"", ""Maths!M:N""), 2, FALSE)"),"Compare the curved surface areas of hemisphere with different radii.")</f>
        <v>Compare the curved surface areas of hemisphere with different radii.</v>
      </c>
      <c r="Q109" s="69" t="str">
        <f t="shared" si="4"/>
        <v>LU001253.005</v>
      </c>
      <c r="R109" s="69" t="str">
        <f ca="1">IFERROR(__xludf.DUMMYFUNCTION("VLOOKUP(Q109, IMPORTRANGE(""https://docs.google.com/spreadsheets/d/1yDAaXNsi4Mr5FtRQL4tbmSdIzhx6_m4wkOD7IG-k_eo/edit#gid=0"", ""Maths!M:N""), 2, FALSE)"),"Evaluate the correctness of curved surface area calculations for given hemisphere.")</f>
        <v>Evaluate the correctness of curved surface area calculations for given hemisphere.</v>
      </c>
      <c r="S109" s="69" t="str">
        <f t="shared" si="5"/>
        <v>LU001253.006</v>
      </c>
      <c r="T109" s="69" t="str">
        <f ca="1">IFERROR(__xludf.DUMMYFUNCTION("VLOOKUP(S109, IMPORTRANGE(""https://docs.google.com/spreadsheets/d/1yDAaXNsi4Mr5FtRQL4tbmSdIzhx6_m4wkOD7IG-k_eo/edit#gid=0"", ""Maths!M:N""), 2, FALSE)"),"Design a real-world application problem that requires calculating the curved surface area of a hemisphere and solve it.")</f>
        <v>Design a real-world application problem that requires calculating the curved surface area of a hemisphere and solve it.</v>
      </c>
      <c r="U109" s="11" t="str">
        <f ca="1">IFERROR(__xludf.DUMMYFUNCTION("ArrayFormula(VLOOKUP(G109, IMPORTRANGE(""https://docs.google.com/spreadsheets/d/1p7R4vtkWt5VOBim4ltsDG9KTzSjrtKXsMtQGXPHyND0/edit#gid=795171502"", ""'Filter 30_05_2024'!A1:M2000""), {2, 3, 4, 5,6,7,8,9,10,11,12,13}, 0))"),"#N/A")</f>
        <v>#N/A</v>
      </c>
      <c r="V109" s="11" t="str">
        <f ca="1">IFERROR(__xludf.DUMMYFUNCTION("""COMPUTED_VALUE"""),"#N/A")</f>
        <v>#N/A</v>
      </c>
      <c r="W109" s="11" t="str">
        <f ca="1">IFERROR(__xludf.DUMMYFUNCTION("""COMPUTED_VALUE"""),"#N/A")</f>
        <v>#N/A</v>
      </c>
      <c r="X109" s="11" t="str">
        <f ca="1">IFERROR(__xludf.DUMMYFUNCTION("""COMPUTED_VALUE"""),"#N/A")</f>
        <v>#N/A</v>
      </c>
      <c r="Y109" s="11" t="str">
        <f ca="1">IFERROR(__xludf.DUMMYFUNCTION("""COMPUTED_VALUE"""),"#N/A")</f>
        <v>#N/A</v>
      </c>
      <c r="Z109" s="12" t="str">
        <f ca="1">IFERROR(__xludf.DUMMYFUNCTION("""COMPUTED_VALUE"""),"#N/A")</f>
        <v>#N/A</v>
      </c>
      <c r="AA109" s="12" t="str">
        <f ca="1">IFERROR(__xludf.DUMMYFUNCTION("""COMPUTED_VALUE"""),"#N/A")</f>
        <v>#N/A</v>
      </c>
      <c r="AB109" s="12" t="str">
        <f ca="1">IFERROR(__xludf.DUMMYFUNCTION("""COMPUTED_VALUE"""),"#N/A")</f>
        <v>#N/A</v>
      </c>
      <c r="AC109" s="11" t="str">
        <f ca="1">IFERROR(__xludf.DUMMYFUNCTION("""COMPUTED_VALUE"""),"#N/A")</f>
        <v>#N/A</v>
      </c>
      <c r="AD109" s="12" t="str">
        <f ca="1">IFERROR(__xludf.DUMMYFUNCTION("""COMPUTED_VALUE"""),"#N/A")</f>
        <v>#N/A</v>
      </c>
      <c r="AE109" s="12" t="str">
        <f ca="1">IFERROR(__xludf.DUMMYFUNCTION("""COMPUTED_VALUE"""),"#N/A")</f>
        <v>#N/A</v>
      </c>
      <c r="AF109" s="12" t="str">
        <f ca="1">IFERROR(__xludf.DUMMYFUNCTION("""COMPUTED_VALUE"""),"#N/A")</f>
        <v>#N/A</v>
      </c>
      <c r="AG109" s="70" t="str">
        <f ca="1">IFERROR(__xludf.DUMMYFUNCTION("ArrayFormula(VLOOKUP(G109, IMPORTRANGE(""https://docs.google.com/spreadsheets/d/1Co934fvtviyaRiMsrIlT05Jaq7iiYq07aLvRr35KA48/edit?gid=173865642#gid=173865642"", ""'G9_Maths_Pri_LU'!G2:V2000""), {3, 4, 5, 6, 7, 8, 9, 10, 11, 12, 13, 14, 15, 16}, 0))"),"LU001252")</f>
        <v>LU001252</v>
      </c>
      <c r="AH109" s="70" t="str">
        <f ca="1">IFERROR(__xludf.DUMMYFUNCTION("""COMPUTED_VALUE"""),"Lexical explanation of three dimensional shapes-hemisphere")</f>
        <v>Lexical explanation of three dimensional shapes-hemisphere</v>
      </c>
      <c r="AI109" s="70" t="str">
        <f ca="1">IFERROR(__xludf.DUMMYFUNCTION("""COMPUTED_VALUE"""),"LU001251")</f>
        <v>LU001251</v>
      </c>
      <c r="AJ109" s="70" t="str">
        <f ca="1">IFERROR(__xludf.DUMMYFUNCTION("""COMPUTED_VALUE"""),"Surface area of a sphere")</f>
        <v>Surface area of a sphere</v>
      </c>
      <c r="AK109" s="70"/>
      <c r="AL109" s="70"/>
      <c r="AM109" s="13"/>
      <c r="AN109" s="13"/>
      <c r="AO109" s="13"/>
      <c r="AP109" s="13"/>
      <c r="AQ109" s="13"/>
      <c r="AR109" s="13"/>
      <c r="AS109" s="13"/>
      <c r="AT109" s="13"/>
    </row>
    <row r="110" spans="1:46">
      <c r="A110" s="8" t="s">
        <v>247</v>
      </c>
      <c r="B110" s="66" t="s">
        <v>47</v>
      </c>
      <c r="C110" s="66" t="s">
        <v>979</v>
      </c>
      <c r="D110" s="67" t="s">
        <v>732</v>
      </c>
      <c r="E110" s="67" t="s">
        <v>1148</v>
      </c>
      <c r="F110" s="66" t="s">
        <v>1154</v>
      </c>
      <c r="G110" s="68" t="s">
        <v>1156</v>
      </c>
      <c r="H110" s="71" t="str">
        <f ca="1">IFERROR(__xludf.DUMMYFUNCTION("VLOOKUP(G110, IMPORTRANGE(""https://docs.google.com/spreadsheets/d/14deopnvwcrKtEGCKuYXdUHJbeLDZlkiSSWWT0g7x2pM/edit#gid=999382323"", ""LU List Maths (Filter)!A:B""), 2, FALSE)"),"Total surface area of a hemisphere")</f>
        <v>Total surface area of a hemisphere</v>
      </c>
      <c r="I110" s="69" t="str">
        <f t="shared" si="0"/>
        <v>LU001254.001</v>
      </c>
      <c r="J110" s="69" t="str">
        <f ca="1">IFERROR(__xludf.DUMMYFUNCTION("VLOOKUP(I110, IMPORTRANGE(""https://docs.google.com/spreadsheets/d/1yDAaXNsi4Mr5FtRQL4tbmSdIzhx6_m4wkOD7IG-k_eo/edit#gid=0"", ""Maths!M:N""), 2, FALSE)"),"Write the formula for calculating the total surface area of a hemisphere.")</f>
        <v>Write the formula for calculating the total surface area of a hemisphere.</v>
      </c>
      <c r="K110" s="69" t="str">
        <f t="shared" si="1"/>
        <v>LU001254.002</v>
      </c>
      <c r="L110" s="69" t="str">
        <f ca="1">IFERROR(__xludf.DUMMYFUNCTION("VLOOKUP(K110, IMPORTRANGE(""https://docs.google.com/spreadsheets/d/1yDAaXNsi4Mr5FtRQL4tbmSdIzhx6_m4wkOD7IG-k_eo/edit#gid=0"", ""Maths!M:N""), 2, FALSE)"),"Derive the formula for the total surface area of a hemisphere.")</f>
        <v>Derive the formula for the total surface area of a hemisphere.</v>
      </c>
      <c r="M110" s="69" t="str">
        <f t="shared" si="2"/>
        <v>LU001254.003</v>
      </c>
      <c r="N110" s="69" t="str">
        <f ca="1">IFERROR(__xludf.DUMMYFUNCTION("VLOOKUP(M110, IMPORTRANGE(""https://docs.google.com/spreadsheets/d/1yDAaXNsi4Mr5FtRQL4tbmSdIzhx6_m4wkOD7IG-k_eo/edit#gid=0"", ""Maths!M:N""), 2, FALSE)"),"Use the formula to solve problems involving the total surface area of a hemisphere in real-life contexts.")</f>
        <v>Use the formula to solve problems involving the total surface area of a hemisphere in real-life contexts.</v>
      </c>
      <c r="O110" s="69" t="str">
        <f t="shared" si="3"/>
        <v>LU001254.004</v>
      </c>
      <c r="P110" s="69" t="str">
        <f ca="1">IFERROR(__xludf.DUMMYFUNCTION("VLOOKUP(O110, IMPORTRANGE(""https://docs.google.com/spreadsheets/d/1yDAaXNsi4Mr5FtRQL4tbmSdIzhx6_m4wkOD7IG-k_eo/edit#gid=0"", ""Maths!M:N""), 2, FALSE)"),"Compare the total surface area of hemisphere with different radii.")</f>
        <v>Compare the total surface area of hemisphere with different radii.</v>
      </c>
      <c r="Q110" s="69" t="str">
        <f t="shared" si="4"/>
        <v>LU001254.005</v>
      </c>
      <c r="R110" s="69" t="str">
        <f ca="1">IFERROR(__xludf.DUMMYFUNCTION("VLOOKUP(Q110, IMPORTRANGE(""https://docs.google.com/spreadsheets/d/1yDAaXNsi4Mr5FtRQL4tbmSdIzhx6_m4wkOD7IG-k_eo/edit#gid=0"", ""Maths!M:N""), 2, FALSE)"),"Evaluate the correctness of total surface area calculations for given hemisphere.")</f>
        <v>Evaluate the correctness of total surface area calculations for given hemisphere.</v>
      </c>
      <c r="S110" s="69" t="str">
        <f t="shared" si="5"/>
        <v>LU001254.006</v>
      </c>
      <c r="T110" s="69" t="str">
        <f ca="1">IFERROR(__xludf.DUMMYFUNCTION("VLOOKUP(S110, IMPORTRANGE(""https://docs.google.com/spreadsheets/d/1yDAaXNsi4Mr5FtRQL4tbmSdIzhx6_m4wkOD7IG-k_eo/edit#gid=0"", ""Maths!M:N""), 2, FALSE)"),"Design a real-world application problem that requires calculating the total surface area of a hemisphere and solve it.")</f>
        <v>Design a real-world application problem that requires calculating the total surface area of a hemisphere and solve it.</v>
      </c>
      <c r="U110" s="11" t="str">
        <f ca="1">IFERROR(__xludf.DUMMYFUNCTION("ArrayFormula(VLOOKUP(G110, IMPORTRANGE(""https://docs.google.com/spreadsheets/d/1p7R4vtkWt5VOBim4ltsDG9KTzSjrtKXsMtQGXPHyND0/edit#gid=795171502"", ""'Filter 30_05_2024'!A1:M2000""), {2, 3, 4, 5,6,7,8,9,10,11,12,13}, 0))"),"#N/A")</f>
        <v>#N/A</v>
      </c>
      <c r="V110" s="11" t="str">
        <f ca="1">IFERROR(__xludf.DUMMYFUNCTION("""COMPUTED_VALUE"""),"#N/A")</f>
        <v>#N/A</v>
      </c>
      <c r="W110" s="11" t="str">
        <f ca="1">IFERROR(__xludf.DUMMYFUNCTION("""COMPUTED_VALUE"""),"#N/A")</f>
        <v>#N/A</v>
      </c>
      <c r="X110" s="11" t="str">
        <f ca="1">IFERROR(__xludf.DUMMYFUNCTION("""COMPUTED_VALUE"""),"#N/A")</f>
        <v>#N/A</v>
      </c>
      <c r="Y110" s="11" t="str">
        <f ca="1">IFERROR(__xludf.DUMMYFUNCTION("""COMPUTED_VALUE"""),"#N/A")</f>
        <v>#N/A</v>
      </c>
      <c r="Z110" s="12" t="str">
        <f ca="1">IFERROR(__xludf.DUMMYFUNCTION("""COMPUTED_VALUE"""),"#N/A")</f>
        <v>#N/A</v>
      </c>
      <c r="AA110" s="12" t="str">
        <f ca="1">IFERROR(__xludf.DUMMYFUNCTION("""COMPUTED_VALUE"""),"#N/A")</f>
        <v>#N/A</v>
      </c>
      <c r="AB110" s="12" t="str">
        <f ca="1">IFERROR(__xludf.DUMMYFUNCTION("""COMPUTED_VALUE"""),"#N/A")</f>
        <v>#N/A</v>
      </c>
      <c r="AC110" s="11" t="str">
        <f ca="1">IFERROR(__xludf.DUMMYFUNCTION("""COMPUTED_VALUE"""),"#N/A")</f>
        <v>#N/A</v>
      </c>
      <c r="AD110" s="12" t="str">
        <f ca="1">IFERROR(__xludf.DUMMYFUNCTION("""COMPUTED_VALUE"""),"#N/A")</f>
        <v>#N/A</v>
      </c>
      <c r="AE110" s="12" t="str">
        <f ca="1">IFERROR(__xludf.DUMMYFUNCTION("""COMPUTED_VALUE"""),"#N/A")</f>
        <v>#N/A</v>
      </c>
      <c r="AF110" s="12" t="str">
        <f ca="1">IFERROR(__xludf.DUMMYFUNCTION("""COMPUTED_VALUE"""),"#N/A")</f>
        <v>#N/A</v>
      </c>
      <c r="AG110" s="70" t="str">
        <f ca="1">IFERROR(__xludf.DUMMYFUNCTION("ArrayFormula(VLOOKUP(G110, IMPORTRANGE(""https://docs.google.com/spreadsheets/d/1Co934fvtviyaRiMsrIlT05Jaq7iiYq07aLvRr35KA48/edit?gid=173865642#gid=173865642"", ""'G9_Maths_Pri_LU'!G2:V2000""), {3, 4, 5, 6, 7, 8, 9, 10, 11, 12, 13, 14, 15, 16}, 0))"),"LU001253")</f>
        <v>LU001253</v>
      </c>
      <c r="AH110" s="70" t="str">
        <f ca="1">IFERROR(__xludf.DUMMYFUNCTION("""COMPUTED_VALUE"""),"Curved surface area of a hemisphere")</f>
        <v>Curved surface area of a hemisphere</v>
      </c>
      <c r="AI110" s="70"/>
      <c r="AJ110" s="70"/>
      <c r="AK110" s="70"/>
      <c r="AL110" s="70"/>
      <c r="AM110" s="13"/>
      <c r="AN110" s="13"/>
      <c r="AO110" s="13"/>
      <c r="AP110" s="13"/>
      <c r="AQ110" s="13"/>
      <c r="AR110" s="13"/>
      <c r="AS110" s="13"/>
      <c r="AT110" s="13"/>
    </row>
    <row r="111" spans="1:46">
      <c r="A111" s="8" t="s">
        <v>247</v>
      </c>
      <c r="B111" s="66" t="s">
        <v>47</v>
      </c>
      <c r="C111" s="66" t="s">
        <v>979</v>
      </c>
      <c r="D111" s="67" t="s">
        <v>732</v>
      </c>
      <c r="E111" s="67" t="s">
        <v>1148</v>
      </c>
      <c r="F111" s="66" t="s">
        <v>1157</v>
      </c>
      <c r="G111" s="68" t="s">
        <v>1158</v>
      </c>
      <c r="H111" s="71" t="str">
        <f ca="1">IFERROR(__xludf.DUMMYFUNCTION("VLOOKUP(G111, IMPORTRANGE(""https://docs.google.com/spreadsheets/d/14deopnvwcrKtEGCKuYXdUHJbeLDZlkiSSWWT0g7x2pM/edit#gid=999382323"", ""LU List Maths (Filter)!A:B""), 2, FALSE)"),"Volume of a sphere")</f>
        <v>Volume of a sphere</v>
      </c>
      <c r="I111" s="69" t="str">
        <f t="shared" si="0"/>
        <v>LU001255.001</v>
      </c>
      <c r="J111" s="69" t="str">
        <f ca="1">IFERROR(__xludf.DUMMYFUNCTION("VLOOKUP(I111, IMPORTRANGE(""https://docs.google.com/spreadsheets/d/1yDAaXNsi4Mr5FtRQL4tbmSdIzhx6_m4wkOD7IG-k_eo/edit#gid=0"", ""Maths!M:N""), 2, FALSE)"),"State the formula for the volume of a sphere.")</f>
        <v>State the formula for the volume of a sphere.</v>
      </c>
      <c r="K111" s="69" t="str">
        <f t="shared" si="1"/>
        <v>LU001255.002</v>
      </c>
      <c r="L111" s="69" t="str">
        <f ca="1">IFERROR(__xludf.DUMMYFUNCTION("VLOOKUP(K111, IMPORTRANGE(""https://docs.google.com/spreadsheets/d/1yDAaXNsi4Mr5FtRQL4tbmSdIzhx6_m4wkOD7IG-k_eo/edit#gid=0"", ""Maths!M:N""), 2, FALSE)"),"Derive the formula for the volume of a sphere.")</f>
        <v>Derive the formula for the volume of a sphere.</v>
      </c>
      <c r="M111" s="69" t="str">
        <f t="shared" si="2"/>
        <v>LU001255.003</v>
      </c>
      <c r="N111" s="69" t="str">
        <f ca="1">IFERROR(__xludf.DUMMYFUNCTION("VLOOKUP(M111, IMPORTRANGE(""https://docs.google.com/spreadsheets/d/1yDAaXNsi4Mr5FtRQL4tbmSdIzhx6_m4wkOD7IG-k_eo/edit#gid=0"", ""Maths!M:N""), 2, FALSE)"),"Calculate the volume of a sphere with a given radius using the formula.")</f>
        <v>Calculate the volume of a sphere with a given radius using the formula.</v>
      </c>
      <c r="O111" s="69" t="str">
        <f t="shared" si="3"/>
        <v>LU001255.004</v>
      </c>
      <c r="P111" s="69" t="str">
        <f ca="1">IFERROR(__xludf.DUMMYFUNCTION("VLOOKUP(O111, IMPORTRANGE(""https://docs.google.com/spreadsheets/d/1yDAaXNsi4Mr5FtRQL4tbmSdIzhx6_m4wkOD7IG-k_eo/edit#gid=0"", ""Maths!M:N""), 2, FALSE)"),"Analyse the relationship between the radius and the volume of a sphere.")</f>
        <v>Analyse the relationship between the radius and the volume of a sphere.</v>
      </c>
      <c r="Q111" s="69" t="str">
        <f t="shared" si="4"/>
        <v>LU001255.005</v>
      </c>
      <c r="R111" s="69" t="str">
        <f ca="1">IFERROR(__xludf.DUMMYFUNCTION("VLOOKUP(Q111, IMPORTRANGE(""https://docs.google.com/spreadsheets/d/1yDAaXNsi4Mr5FtRQL4tbmSdIzhx6_m4wkOD7IG-k_eo/edit#gid=0"", ""Maths!M:N""), 2, FALSE)"),"Assess the impact of measurement errors on the volume calculation of a sphere.")</f>
        <v>Assess the impact of measurement errors on the volume calculation of a sphere.</v>
      </c>
      <c r="S111" s="69" t="str">
        <f t="shared" si="5"/>
        <v>LU001255.006</v>
      </c>
      <c r="T111" s="69" t="str">
        <f ca="1">IFERROR(__xludf.DUMMYFUNCTION("VLOOKUP(S111, IMPORTRANGE(""https://docs.google.com/spreadsheets/d/1yDAaXNsi4Mr5FtRQL4tbmSdIzhx6_m4wkOD7IG-k_eo/edit#gid=0"", ""Maths!M:N""), 2, FALSE)"),"Develop a real-life problem that requires calculating the volume of a sphere.")</f>
        <v>Develop a real-life problem that requires calculating the volume of a sphere.</v>
      </c>
      <c r="U111" s="11" t="str">
        <f ca="1">IFERROR(__xludf.DUMMYFUNCTION("ArrayFormula(VLOOKUP(G111, IMPORTRANGE(""https://docs.google.com/spreadsheets/d/1p7R4vtkWt5VOBim4ltsDG9KTzSjrtKXsMtQGXPHyND0/edit#gid=795171502"", ""'Filter 30_05_2024'!A1:M2000""), {2, 3, 4, 5,6,7,8,9,10,11,12,13}, 0))"),"#N/A")</f>
        <v>#N/A</v>
      </c>
      <c r="V111" s="11" t="str">
        <f ca="1">IFERROR(__xludf.DUMMYFUNCTION("""COMPUTED_VALUE"""),"#N/A")</f>
        <v>#N/A</v>
      </c>
      <c r="W111" s="11" t="str">
        <f ca="1">IFERROR(__xludf.DUMMYFUNCTION("""COMPUTED_VALUE"""),"#N/A")</f>
        <v>#N/A</v>
      </c>
      <c r="X111" s="11" t="str">
        <f ca="1">IFERROR(__xludf.DUMMYFUNCTION("""COMPUTED_VALUE"""),"#N/A")</f>
        <v>#N/A</v>
      </c>
      <c r="Y111" s="11" t="str">
        <f ca="1">IFERROR(__xludf.DUMMYFUNCTION("""COMPUTED_VALUE"""),"#N/A")</f>
        <v>#N/A</v>
      </c>
      <c r="Z111" s="12" t="str">
        <f ca="1">IFERROR(__xludf.DUMMYFUNCTION("""COMPUTED_VALUE"""),"#N/A")</f>
        <v>#N/A</v>
      </c>
      <c r="AA111" s="12" t="str">
        <f ca="1">IFERROR(__xludf.DUMMYFUNCTION("""COMPUTED_VALUE"""),"#N/A")</f>
        <v>#N/A</v>
      </c>
      <c r="AB111" s="12" t="str">
        <f ca="1">IFERROR(__xludf.DUMMYFUNCTION("""COMPUTED_VALUE"""),"#N/A")</f>
        <v>#N/A</v>
      </c>
      <c r="AC111" s="11" t="str">
        <f ca="1">IFERROR(__xludf.DUMMYFUNCTION("""COMPUTED_VALUE"""),"#N/A")</f>
        <v>#N/A</v>
      </c>
      <c r="AD111" s="12" t="str">
        <f ca="1">IFERROR(__xludf.DUMMYFUNCTION("""COMPUTED_VALUE"""),"#N/A")</f>
        <v>#N/A</v>
      </c>
      <c r="AE111" s="12" t="str">
        <f ca="1">IFERROR(__xludf.DUMMYFUNCTION("""COMPUTED_VALUE"""),"#N/A")</f>
        <v>#N/A</v>
      </c>
      <c r="AF111" s="12" t="str">
        <f ca="1">IFERROR(__xludf.DUMMYFUNCTION("""COMPUTED_VALUE"""),"#N/A")</f>
        <v>#N/A</v>
      </c>
      <c r="AG111" s="70" t="str">
        <f ca="1">IFERROR(__xludf.DUMMYFUNCTION("ArrayFormula(VLOOKUP(G111, IMPORTRANGE(""https://docs.google.com/spreadsheets/d/1Co934fvtviyaRiMsrIlT05Jaq7iiYq07aLvRr35KA48/edit?gid=173865642#gid=173865642"", ""'G9_Maths_Pri_LU'!G2:V2000""), {3, 4, 5, 6, 7, 8, 9, 10, 11, 12, 13, 14, 15, 16}, 0))"),"LU000252")</f>
        <v>LU000252</v>
      </c>
      <c r="AH111" s="70" t="str">
        <f ca="1">IFERROR(__xludf.DUMMYFUNCTION("""COMPUTED_VALUE"""),"Lexical explanation of three dimensional shapes-spheres")</f>
        <v>Lexical explanation of three dimensional shapes-spheres</v>
      </c>
      <c r="AI111" s="70"/>
      <c r="AJ111" s="70"/>
      <c r="AK111" s="70"/>
      <c r="AL111" s="70"/>
      <c r="AM111" s="13"/>
      <c r="AN111" s="13"/>
      <c r="AO111" s="13"/>
      <c r="AP111" s="13"/>
      <c r="AQ111" s="13"/>
      <c r="AR111" s="13"/>
      <c r="AS111" s="13"/>
      <c r="AT111" s="13"/>
    </row>
    <row r="112" spans="1:46">
      <c r="A112" s="8" t="s">
        <v>247</v>
      </c>
      <c r="B112" s="66" t="s">
        <v>47</v>
      </c>
      <c r="C112" s="66" t="s">
        <v>979</v>
      </c>
      <c r="D112" s="67" t="s">
        <v>732</v>
      </c>
      <c r="E112" s="67" t="s">
        <v>1148</v>
      </c>
      <c r="F112" s="66" t="s">
        <v>1157</v>
      </c>
      <c r="G112" s="68" t="s">
        <v>1159</v>
      </c>
      <c r="H112" s="71" t="str">
        <f ca="1">IFERROR(__xludf.DUMMYFUNCTION("VLOOKUP(G112, IMPORTRANGE(""https://docs.google.com/spreadsheets/d/14deopnvwcrKtEGCKuYXdUHJbeLDZlkiSSWWT0g7x2pM/edit#gid=999382323"", ""LU List Maths (Filter)!A:B""), 2, FALSE)"),"Volume of a hemisphere")</f>
        <v>Volume of a hemisphere</v>
      </c>
      <c r="I112" s="69" t="str">
        <f t="shared" si="0"/>
        <v>LU001256.001</v>
      </c>
      <c r="J112" s="69" t="str">
        <f ca="1">IFERROR(__xludf.DUMMYFUNCTION("VLOOKUP(I112, IMPORTRANGE(""https://docs.google.com/spreadsheets/d/1yDAaXNsi4Mr5FtRQL4tbmSdIzhx6_m4wkOD7IG-k_eo/edit#gid=0"", ""Maths!M:N""), 2, FALSE)"),"State the formula for the volume of a hemisphere.")</f>
        <v>State the formula for the volume of a hemisphere.</v>
      </c>
      <c r="K112" s="69" t="str">
        <f t="shared" si="1"/>
        <v>LU001256.002</v>
      </c>
      <c r="L112" s="69" t="str">
        <f ca="1">IFERROR(__xludf.DUMMYFUNCTION("VLOOKUP(K112, IMPORTRANGE(""https://docs.google.com/spreadsheets/d/1yDAaXNsi4Mr5FtRQL4tbmSdIzhx6_m4wkOD7IG-k_eo/edit#gid=0"", ""Maths!M:N""), 2, FALSE)"),"Derive the formula for the volume of a hemisphere.")</f>
        <v>Derive the formula for the volume of a hemisphere.</v>
      </c>
      <c r="M112" s="69" t="str">
        <f t="shared" si="2"/>
        <v>LU001256.003</v>
      </c>
      <c r="N112" s="69" t="str">
        <f ca="1">IFERROR(__xludf.DUMMYFUNCTION("VLOOKUP(M112, IMPORTRANGE(""https://docs.google.com/spreadsheets/d/1yDAaXNsi4Mr5FtRQL4tbmSdIzhx6_m4wkOD7IG-k_eo/edit#gid=0"", ""Maths!M:N""), 2, FALSE)"),"Calculate the volume of a hemisphere with a given radius using the formula.")</f>
        <v>Calculate the volume of a hemisphere with a given radius using the formula.</v>
      </c>
      <c r="O112" s="69" t="str">
        <f t="shared" si="3"/>
        <v>LU001256.004</v>
      </c>
      <c r="P112" s="69" t="str">
        <f ca="1">IFERROR(__xludf.DUMMYFUNCTION("VLOOKUP(O112, IMPORTRANGE(""https://docs.google.com/spreadsheets/d/1yDAaXNsi4Mr5FtRQL4tbmSdIzhx6_m4wkOD7IG-k_eo/edit#gid=0"", ""Maths!M:N""), 2, FALSE)"),"Analyse the relationship between the radius and the volume of a hemisphere.")</f>
        <v>Analyse the relationship between the radius and the volume of a hemisphere.</v>
      </c>
      <c r="Q112" s="69" t="str">
        <f t="shared" si="4"/>
        <v>LU001256.005</v>
      </c>
      <c r="R112" s="69" t="str">
        <f ca="1">IFERROR(__xludf.DUMMYFUNCTION("VLOOKUP(Q112, IMPORTRANGE(""https://docs.google.com/spreadsheets/d/1yDAaXNsi4Mr5FtRQL4tbmSdIzhx6_m4wkOD7IG-k_eo/edit#gid=0"", ""Maths!M:N""), 2, FALSE)"),"Assess the impact of measurement errors on the volume calculation of a hemisphere.")</f>
        <v>Assess the impact of measurement errors on the volume calculation of a hemisphere.</v>
      </c>
      <c r="S112" s="69" t="str">
        <f t="shared" si="5"/>
        <v>LU001256.006</v>
      </c>
      <c r="T112" s="69" t="str">
        <f ca="1">IFERROR(__xludf.DUMMYFUNCTION("VLOOKUP(S112, IMPORTRANGE(""https://docs.google.com/spreadsheets/d/1yDAaXNsi4Mr5FtRQL4tbmSdIzhx6_m4wkOD7IG-k_eo/edit#gid=0"", ""Maths!M:N""), 2, FALSE)"),"Develop a real-life problem that requires calculating the volume of a hemisphere.")</f>
        <v>Develop a real-life problem that requires calculating the volume of a hemisphere.</v>
      </c>
      <c r="U112" s="11" t="str">
        <f ca="1">IFERROR(__xludf.DUMMYFUNCTION("ArrayFormula(VLOOKUP(G112, IMPORTRANGE(""https://docs.google.com/spreadsheets/d/1p7R4vtkWt5VOBim4ltsDG9KTzSjrtKXsMtQGXPHyND0/edit#gid=795171502"", ""'Filter 30_05_2024'!A1:M2000""), {2, 3, 4, 5,6,7,8,9,10,11,12,13}, 0))"),"#N/A")</f>
        <v>#N/A</v>
      </c>
      <c r="V112" s="11" t="str">
        <f ca="1">IFERROR(__xludf.DUMMYFUNCTION("""COMPUTED_VALUE"""),"#N/A")</f>
        <v>#N/A</v>
      </c>
      <c r="W112" s="11" t="str">
        <f ca="1">IFERROR(__xludf.DUMMYFUNCTION("""COMPUTED_VALUE"""),"#N/A")</f>
        <v>#N/A</v>
      </c>
      <c r="X112" s="11" t="str">
        <f ca="1">IFERROR(__xludf.DUMMYFUNCTION("""COMPUTED_VALUE"""),"#N/A")</f>
        <v>#N/A</v>
      </c>
      <c r="Y112" s="11" t="str">
        <f ca="1">IFERROR(__xludf.DUMMYFUNCTION("""COMPUTED_VALUE"""),"#N/A")</f>
        <v>#N/A</v>
      </c>
      <c r="Z112" s="12" t="str">
        <f ca="1">IFERROR(__xludf.DUMMYFUNCTION("""COMPUTED_VALUE"""),"#N/A")</f>
        <v>#N/A</v>
      </c>
      <c r="AA112" s="12" t="str">
        <f ca="1">IFERROR(__xludf.DUMMYFUNCTION("""COMPUTED_VALUE"""),"#N/A")</f>
        <v>#N/A</v>
      </c>
      <c r="AB112" s="12" t="str">
        <f ca="1">IFERROR(__xludf.DUMMYFUNCTION("""COMPUTED_VALUE"""),"#N/A")</f>
        <v>#N/A</v>
      </c>
      <c r="AC112" s="11" t="str">
        <f ca="1">IFERROR(__xludf.DUMMYFUNCTION("""COMPUTED_VALUE"""),"#N/A")</f>
        <v>#N/A</v>
      </c>
      <c r="AD112" s="12" t="str">
        <f ca="1">IFERROR(__xludf.DUMMYFUNCTION("""COMPUTED_VALUE"""),"#N/A")</f>
        <v>#N/A</v>
      </c>
      <c r="AE112" s="12" t="str">
        <f ca="1">IFERROR(__xludf.DUMMYFUNCTION("""COMPUTED_VALUE"""),"#N/A")</f>
        <v>#N/A</v>
      </c>
      <c r="AF112" s="12" t="str">
        <f ca="1">IFERROR(__xludf.DUMMYFUNCTION("""COMPUTED_VALUE"""),"#N/A")</f>
        <v>#N/A</v>
      </c>
      <c r="AG112" s="70" t="str">
        <f ca="1">IFERROR(__xludf.DUMMYFUNCTION("ArrayFormula(VLOOKUP(G112, IMPORTRANGE(""https://docs.google.com/spreadsheets/d/1Co934fvtviyaRiMsrIlT05Jaq7iiYq07aLvRr35KA48/edit?gid=173865642#gid=173865642"", ""'G9_Maths_Pri_LU'!G2:V2000""), {3, 4, 5, 6, 7, 8, 9, 10, 11, 12, 13, 14, 15, 16}, 0))"),"LU001255")</f>
        <v>LU001255</v>
      </c>
      <c r="AH112" s="70" t="str">
        <f ca="1">IFERROR(__xludf.DUMMYFUNCTION("""COMPUTED_VALUE"""),"Volume of a sphere")</f>
        <v>Volume of a sphere</v>
      </c>
      <c r="AI112" s="70" t="str">
        <f ca="1">IFERROR(__xludf.DUMMYFUNCTION("""COMPUTED_VALUE"""),"LU001252")</f>
        <v>LU001252</v>
      </c>
      <c r="AJ112" s="70" t="str">
        <f ca="1">IFERROR(__xludf.DUMMYFUNCTION("""COMPUTED_VALUE"""),"Lexical explanation of three dimensional shapes-hemisphere")</f>
        <v>Lexical explanation of three dimensional shapes-hemisphere</v>
      </c>
      <c r="AK112" s="70"/>
      <c r="AL112" s="70"/>
      <c r="AM112" s="13"/>
      <c r="AN112" s="13"/>
      <c r="AO112" s="13"/>
      <c r="AP112" s="13"/>
      <c r="AQ112" s="13"/>
      <c r="AR112" s="13"/>
      <c r="AS112" s="13"/>
      <c r="AT112" s="13"/>
    </row>
    <row r="113" spans="1:46">
      <c r="A113" s="8" t="s">
        <v>247</v>
      </c>
      <c r="B113" s="66" t="s">
        <v>47</v>
      </c>
      <c r="C113" s="66" t="s">
        <v>979</v>
      </c>
      <c r="D113" s="67" t="s">
        <v>732</v>
      </c>
      <c r="E113" s="67" t="s">
        <v>1148</v>
      </c>
      <c r="F113" s="66" t="s">
        <v>1160</v>
      </c>
      <c r="G113" s="68" t="s">
        <v>1161</v>
      </c>
      <c r="H113" s="71" t="str">
        <f ca="1">IFERROR(__xludf.DUMMYFUNCTION("VLOOKUP(G113, IMPORTRANGE(""https://docs.google.com/spreadsheets/d/14deopnvwcrKtEGCKuYXdUHJbeLDZlkiSSWWT0g7x2pM/edit#gid=999382323"", ""LU List Maths (Filter)!A:B""), 2, FALSE)"),"Volume of a right circular cone")</f>
        <v>Volume of a right circular cone</v>
      </c>
      <c r="I113" s="69" t="str">
        <f t="shared" si="0"/>
        <v>LU001257.001</v>
      </c>
      <c r="J113" s="69" t="str">
        <f ca="1">IFERROR(__xludf.DUMMYFUNCTION("VLOOKUP(I113, IMPORTRANGE(""https://docs.google.com/spreadsheets/d/1yDAaXNsi4Mr5FtRQL4tbmSdIzhx6_m4wkOD7IG-k_eo/edit#gid=0"", ""Maths!M:N""), 2, FALSE)"),"State the formula for the volume of a right circular cone.")</f>
        <v>State the formula for the volume of a right circular cone.</v>
      </c>
      <c r="K113" s="69" t="str">
        <f t="shared" si="1"/>
        <v>LU001257.002</v>
      </c>
      <c r="L113" s="69" t="str">
        <f ca="1">IFERROR(__xludf.DUMMYFUNCTION("VLOOKUP(K113, IMPORTRANGE(""https://docs.google.com/spreadsheets/d/1yDAaXNsi4Mr5FtRQL4tbmSdIzhx6_m4wkOD7IG-k_eo/edit#gid=0"", ""Maths!M:N""), 2, FALSE)"),"Derive the formula for the volume of a right circular cone.")</f>
        <v>Derive the formula for the volume of a right circular cone.</v>
      </c>
      <c r="M113" s="69" t="str">
        <f t="shared" si="2"/>
        <v>LU001257.003</v>
      </c>
      <c r="N113" s="69" t="str">
        <f ca="1">IFERROR(__xludf.DUMMYFUNCTION("VLOOKUP(M113, IMPORTRANGE(""https://docs.google.com/spreadsheets/d/1yDAaXNsi4Mr5FtRQL4tbmSdIzhx6_m4wkOD7IG-k_eo/edit#gid=0"", ""Maths!M:N""), 2, FALSE)"),"Calculate the volume of a right circular cone with a given radius and height using the formula.")</f>
        <v>Calculate the volume of a right circular cone with a given radius and height using the formula.</v>
      </c>
      <c r="O113" s="69" t="str">
        <f t="shared" si="3"/>
        <v>LU001257.004</v>
      </c>
      <c r="P113" s="69" t="str">
        <f ca="1">IFERROR(__xludf.DUMMYFUNCTION("VLOOKUP(O113, IMPORTRANGE(""https://docs.google.com/spreadsheets/d/1yDAaXNsi4Mr5FtRQL4tbmSdIzhx6_m4wkOD7IG-k_eo/edit#gid=0"", ""Maths!M:N""), 2, FALSE)"),"Analyse the relationship between the radius and height and the volume of a right circular cone.")</f>
        <v>Analyse the relationship between the radius and height and the volume of a right circular cone.</v>
      </c>
      <c r="Q113" s="69" t="str">
        <f t="shared" si="4"/>
        <v>LU001257.005</v>
      </c>
      <c r="R113" s="69" t="str">
        <f ca="1">IFERROR(__xludf.DUMMYFUNCTION("VLOOKUP(Q113, IMPORTRANGE(""https://docs.google.com/spreadsheets/d/1yDAaXNsi4Mr5FtRQL4tbmSdIzhx6_m4wkOD7IG-k_eo/edit#gid=0"", ""Maths!M:N""), 2, FALSE)"),"Assess the impact of measurement errors on the volume calculation of a right circular cone.")</f>
        <v>Assess the impact of measurement errors on the volume calculation of a right circular cone.</v>
      </c>
      <c r="S113" s="69" t="str">
        <f t="shared" si="5"/>
        <v>LU001257.006</v>
      </c>
      <c r="T113" s="69" t="str">
        <f ca="1">IFERROR(__xludf.DUMMYFUNCTION("VLOOKUP(S113, IMPORTRANGE(""https://docs.google.com/spreadsheets/d/1yDAaXNsi4Mr5FtRQL4tbmSdIzhx6_m4wkOD7IG-k_eo/edit#gid=0"", ""Maths!M:N""), 2, FALSE)"),"Develop a real-life problem that requires calculating the volume of a right circular cone.")</f>
        <v>Develop a real-life problem that requires calculating the volume of a right circular cone.</v>
      </c>
      <c r="U113" s="11" t="str">
        <f ca="1">IFERROR(__xludf.DUMMYFUNCTION("ArrayFormula(VLOOKUP(G113, IMPORTRANGE(""https://docs.google.com/spreadsheets/d/1p7R4vtkWt5VOBim4ltsDG9KTzSjrtKXsMtQGXPHyND0/edit#gid=795171502"", ""'Filter 30_05_2024'!A1:M2000""), {2, 3, 4, 5,6,7,8,9,10,11,12,13}, 0))"),"#N/A")</f>
        <v>#N/A</v>
      </c>
      <c r="V113" s="11" t="str">
        <f ca="1">IFERROR(__xludf.DUMMYFUNCTION("""COMPUTED_VALUE"""),"#N/A")</f>
        <v>#N/A</v>
      </c>
      <c r="W113" s="11" t="str">
        <f ca="1">IFERROR(__xludf.DUMMYFUNCTION("""COMPUTED_VALUE"""),"#N/A")</f>
        <v>#N/A</v>
      </c>
      <c r="X113" s="11" t="str">
        <f ca="1">IFERROR(__xludf.DUMMYFUNCTION("""COMPUTED_VALUE"""),"#N/A")</f>
        <v>#N/A</v>
      </c>
      <c r="Y113" s="11" t="str">
        <f ca="1">IFERROR(__xludf.DUMMYFUNCTION("""COMPUTED_VALUE"""),"#N/A")</f>
        <v>#N/A</v>
      </c>
      <c r="Z113" s="12" t="str">
        <f ca="1">IFERROR(__xludf.DUMMYFUNCTION("""COMPUTED_VALUE"""),"#N/A")</f>
        <v>#N/A</v>
      </c>
      <c r="AA113" s="12" t="str">
        <f ca="1">IFERROR(__xludf.DUMMYFUNCTION("""COMPUTED_VALUE"""),"#N/A")</f>
        <v>#N/A</v>
      </c>
      <c r="AB113" s="12" t="str">
        <f ca="1">IFERROR(__xludf.DUMMYFUNCTION("""COMPUTED_VALUE"""),"#N/A")</f>
        <v>#N/A</v>
      </c>
      <c r="AC113" s="11" t="str">
        <f ca="1">IFERROR(__xludf.DUMMYFUNCTION("""COMPUTED_VALUE"""),"#N/A")</f>
        <v>#N/A</v>
      </c>
      <c r="AD113" s="12" t="str">
        <f ca="1">IFERROR(__xludf.DUMMYFUNCTION("""COMPUTED_VALUE"""),"#N/A")</f>
        <v>#N/A</v>
      </c>
      <c r="AE113" s="12" t="str">
        <f ca="1">IFERROR(__xludf.DUMMYFUNCTION("""COMPUTED_VALUE"""),"#N/A")</f>
        <v>#N/A</v>
      </c>
      <c r="AF113" s="12" t="str">
        <f ca="1">IFERROR(__xludf.DUMMYFUNCTION("""COMPUTED_VALUE"""),"#N/A")</f>
        <v>#N/A</v>
      </c>
      <c r="AG113" s="70" t="str">
        <f ca="1">IFERROR(__xludf.DUMMYFUNCTION("ArrayFormula(VLOOKUP(G113, IMPORTRANGE(""https://docs.google.com/spreadsheets/d/1Co934fvtviyaRiMsrIlT05Jaq7iiYq07aLvRr35KA48/edit?gid=173865642#gid=173865642"", ""'G9_Maths_Pri_LU'!G2:V2000""), {3, 4, 5, 6, 7, 8, 9, 10, 11, 12, 13, 14, 15, 16}, 0))"),"LU000726")</f>
        <v>LU000726</v>
      </c>
      <c r="AH113" s="70" t="str">
        <f ca="1">IFERROR(__xludf.DUMMYFUNCTION("""COMPUTED_VALUE"""),"Volume of a right circular cylinder")</f>
        <v>Volume of a right circular cylinder</v>
      </c>
      <c r="AI113" s="70" t="str">
        <f ca="1">IFERROR(__xludf.DUMMYFUNCTION("""COMPUTED_VALUE"""),"LU001248")</f>
        <v>LU001248</v>
      </c>
      <c r="AJ113" s="70" t="str">
        <f ca="1">IFERROR(__xludf.DUMMYFUNCTION("""COMPUTED_VALUE"""),"Lexical explanation of three dimensional shapes-right circular cone")</f>
        <v>Lexical explanation of three dimensional shapes-right circular cone</v>
      </c>
      <c r="AK113" s="70" t="str">
        <f ca="1">IFERROR(__xludf.DUMMYFUNCTION("""COMPUTED_VALUE"""),"LU000078")</f>
        <v>LU000078</v>
      </c>
      <c r="AL113" s="70" t="str">
        <f ca="1">IFERROR(__xludf.DUMMYFUNCTION("""COMPUTED_VALUE"""),"Definition of 3D shapes")</f>
        <v>Definition of 3D shapes</v>
      </c>
      <c r="AM113" s="13"/>
      <c r="AN113" s="13"/>
      <c r="AO113" s="13"/>
      <c r="AP113" s="13"/>
      <c r="AQ113" s="13"/>
      <c r="AR113" s="13"/>
      <c r="AS113" s="13"/>
      <c r="AT113" s="13"/>
    </row>
    <row r="114" spans="1:46">
      <c r="A114" s="8" t="s">
        <v>247</v>
      </c>
      <c r="B114" s="66" t="s">
        <v>47</v>
      </c>
      <c r="C114" s="66" t="s">
        <v>979</v>
      </c>
      <c r="D114" s="67" t="s">
        <v>732</v>
      </c>
      <c r="E114" s="67" t="s">
        <v>1162</v>
      </c>
      <c r="F114" s="66" t="s">
        <v>1163</v>
      </c>
      <c r="G114" s="68" t="s">
        <v>1164</v>
      </c>
      <c r="H114" s="71" t="str">
        <f ca="1">IFERROR(__xludf.DUMMYFUNCTION("VLOOKUP(G114, IMPORTRANGE(""https://docs.google.com/spreadsheets/d/14deopnvwcrKtEGCKuYXdUHJbeLDZlkiSSWWT0g7x2pM/edit#gid=999382323"", ""LU List Maths (Filter)!A:B""), 2, FALSE)"),"Interpretation of histogram")</f>
        <v>Interpretation of histogram</v>
      </c>
      <c r="I114" s="69" t="str">
        <f t="shared" si="0"/>
        <v>LU000634.001</v>
      </c>
      <c r="J114" s="69" t="str">
        <f ca="1">IFERROR(__xludf.DUMMYFUNCTION("VLOOKUP(I114, IMPORTRANGE(""https://docs.google.com/spreadsheets/d/1yDAaXNsi4Mr5FtRQL4tbmSdIzhx6_m4wkOD7IG-k_eo/edit#gid=0"", ""Maths!M:N""), 2, FALSE)"),"Recognize the key elements of a histogram, including bars representing data intervals and their respective frequencies.")</f>
        <v>Recognize the key elements of a histogram, including bars representing data intervals and their respective frequencies.</v>
      </c>
      <c r="K114" s="69" t="str">
        <f t="shared" si="1"/>
        <v>LU000634.002</v>
      </c>
      <c r="L114" s="69" t="str">
        <f ca="1">IFERROR(__xludf.DUMMYFUNCTION("VLOOKUP(K114, IMPORTRANGE(""https://docs.google.com/spreadsheets/d/1yDAaXNsi4Mr5FtRQL4tbmSdIzhx6_m4wkOD7IG-k_eo/edit#gid=0"", ""Maths!M:N""), 2, FALSE)"),"#N/A")</f>
        <v>#N/A</v>
      </c>
      <c r="M114" s="69" t="str">
        <f t="shared" si="2"/>
        <v>LU000634.003</v>
      </c>
      <c r="N114" s="69" t="str">
        <f ca="1">IFERROR(__xludf.DUMMYFUNCTION("VLOOKUP(M114, IMPORTRANGE(""https://docs.google.com/spreadsheets/d/1yDAaXNsi4Mr5FtRQL4tbmSdIzhx6_m4wkOD7IG-k_eo/edit#gid=0"", ""Maths!M:N""), 2, FALSE)"),"Apply knowledge of histograms to interpret and analyze a given histogram")</f>
        <v>Apply knowledge of histograms to interpret and analyze a given histogram</v>
      </c>
      <c r="O114" s="69" t="str">
        <f t="shared" si="3"/>
        <v>LU000634.004</v>
      </c>
      <c r="P114" s="69" t="str">
        <f ca="1">IFERROR(__xludf.DUMMYFUNCTION("VLOOKUP(O114, IMPORTRANGE(""https://docs.google.com/spreadsheets/d/1yDAaXNsi4Mr5FtRQL4tbmSdIzhx6_m4wkOD7IG-k_eo/edit#gid=0"", ""Maths!M:N""), 2, FALSE)"),"Analyze a histogram to extract meaningful insights about the data's distribution")</f>
        <v>Analyze a histogram to extract meaningful insights about the data's distribution</v>
      </c>
      <c r="Q114" s="69" t="str">
        <f t="shared" si="4"/>
        <v>LU000634.005</v>
      </c>
      <c r="R114" s="69" t="str">
        <f ca="1">IFERROR(__xludf.DUMMYFUNCTION("VLOOKUP(Q114, IMPORTRANGE(""https://docs.google.com/spreadsheets/d/1yDAaXNsi4Mr5FtRQL4tbmSdIzhx6_m4wkOD7IG-k_eo/edit#gid=0"", ""Maths!M:N""), 2, FALSE)"),"#N/A")</f>
        <v>#N/A</v>
      </c>
      <c r="S114" s="69" t="str">
        <f t="shared" si="5"/>
        <v>LU000634.006</v>
      </c>
      <c r="T114" s="69" t="str">
        <f ca="1">IFERROR(__xludf.DUMMYFUNCTION("VLOOKUP(S114, IMPORTRANGE(""https://docs.google.com/spreadsheets/d/1yDAaXNsi4Mr5FtRQL4tbmSdIzhx6_m4wkOD7IG-k_eo/edit#gid=0"", ""Maths!M:N""), 2, FALSE)"),"#N/A")</f>
        <v>#N/A</v>
      </c>
      <c r="U114" s="11" t="str">
        <f ca="1">IFERROR(__xludf.DUMMYFUNCTION("ArrayFormula(VLOOKUP(G114, IMPORTRANGE(""https://docs.google.com/spreadsheets/d/1p7R4vtkWt5VOBim4ltsDG9KTzSjrtKXsMtQGXPHyND0/edit#gid=795171502"", ""'Filter 30_05_2024'!A1:M2000""), {2, 3, 4, 5,6,7,8,9,10,11,12,13}, 0))"),"#N/A")</f>
        <v>#N/A</v>
      </c>
      <c r="V114" s="11" t="str">
        <f ca="1">IFERROR(__xludf.DUMMYFUNCTION("""COMPUTED_VALUE"""),"#N/A")</f>
        <v>#N/A</v>
      </c>
      <c r="W114" s="11" t="str">
        <f ca="1">IFERROR(__xludf.DUMMYFUNCTION("""COMPUTED_VALUE"""),"#N/A")</f>
        <v>#N/A</v>
      </c>
      <c r="X114" s="11" t="str">
        <f ca="1">IFERROR(__xludf.DUMMYFUNCTION("""COMPUTED_VALUE"""),"#N/A")</f>
        <v>#N/A</v>
      </c>
      <c r="Y114" s="11" t="str">
        <f ca="1">IFERROR(__xludf.DUMMYFUNCTION("""COMPUTED_VALUE"""),"#N/A")</f>
        <v>#N/A</v>
      </c>
      <c r="Z114" s="12" t="str">
        <f ca="1">IFERROR(__xludf.DUMMYFUNCTION("""COMPUTED_VALUE"""),"#N/A")</f>
        <v>#N/A</v>
      </c>
      <c r="AA114" s="12" t="str">
        <f ca="1">IFERROR(__xludf.DUMMYFUNCTION("""COMPUTED_VALUE"""),"#N/A")</f>
        <v>#N/A</v>
      </c>
      <c r="AB114" s="12" t="str">
        <f ca="1">IFERROR(__xludf.DUMMYFUNCTION("""COMPUTED_VALUE"""),"#N/A")</f>
        <v>#N/A</v>
      </c>
      <c r="AC114" s="11" t="str">
        <f ca="1">IFERROR(__xludf.DUMMYFUNCTION("""COMPUTED_VALUE"""),"#N/A")</f>
        <v>#N/A</v>
      </c>
      <c r="AD114" s="12" t="str">
        <f ca="1">IFERROR(__xludf.DUMMYFUNCTION("""COMPUTED_VALUE"""),"#N/A")</f>
        <v>#N/A</v>
      </c>
      <c r="AE114" s="12" t="str">
        <f ca="1">IFERROR(__xludf.DUMMYFUNCTION("""COMPUTED_VALUE"""),"#N/A")</f>
        <v>#N/A</v>
      </c>
      <c r="AF114" s="12" t="str">
        <f ca="1">IFERROR(__xludf.DUMMYFUNCTION("""COMPUTED_VALUE"""),"#N/A")</f>
        <v>#N/A</v>
      </c>
      <c r="AG114" s="70" t="str">
        <f ca="1">IFERROR(__xludf.DUMMYFUNCTION("ArrayFormula(VLOOKUP(G114, IMPORTRANGE(""https://docs.google.com/spreadsheets/d/1Co934fvtviyaRiMsrIlT05Jaq7iiYq07aLvRr35KA48/edit?gid=173865642#gid=173865642"", ""'G9_Maths_Pri_LU'!G2:V2000""), {3, 4, 5, 6, 7, 8, 9, 10, 11, 12, 13, 14, 15, 16}, 0))"),"LU000620")</f>
        <v>LU000620</v>
      </c>
      <c r="AH114" s="70" t="str">
        <f ca="1">IFERROR(__xludf.DUMMYFUNCTION("""COMPUTED_VALUE"""),"Definition of histogram")</f>
        <v>Definition of histogram</v>
      </c>
      <c r="AI114" s="70" t="str">
        <f ca="1">IFERROR(__xludf.DUMMYFUNCTION("""COMPUTED_VALUE"""),"LU000317")</f>
        <v>LU000317</v>
      </c>
      <c r="AJ114" s="70" t="str">
        <f ca="1">IFERROR(__xludf.DUMMYFUNCTION("""COMPUTED_VALUE"""),"Interpretation of bar graphs (horizontal and vertical)")</f>
        <v>Interpretation of bar graphs (horizontal and vertical)</v>
      </c>
      <c r="AK114" s="70"/>
      <c r="AL114" s="70"/>
      <c r="AM114" s="13"/>
      <c r="AN114" s="13"/>
      <c r="AO114" s="13"/>
      <c r="AP114" s="13"/>
      <c r="AQ114" s="13"/>
      <c r="AR114" s="13"/>
      <c r="AS114" s="13"/>
      <c r="AT114" s="13"/>
    </row>
    <row r="115" spans="1:46">
      <c r="A115" s="8" t="s">
        <v>247</v>
      </c>
      <c r="B115" s="66" t="s">
        <v>47</v>
      </c>
      <c r="C115" s="66" t="s">
        <v>979</v>
      </c>
      <c r="D115" s="67" t="s">
        <v>732</v>
      </c>
      <c r="E115" s="67" t="s">
        <v>1162</v>
      </c>
      <c r="F115" s="66" t="s">
        <v>1163</v>
      </c>
      <c r="G115" s="68" t="s">
        <v>1165</v>
      </c>
      <c r="H115" s="71" t="str">
        <f ca="1">IFERROR(__xludf.DUMMYFUNCTION("VLOOKUP(G115, IMPORTRANGE(""https://docs.google.com/spreadsheets/d/14deopnvwcrKtEGCKuYXdUHJbeLDZlkiSSWWT0g7x2pM/edit#gid=999382323"", ""LU List Maths (Filter)!A:B""), 2, FALSE)"),"Construction of histogram")</f>
        <v>Construction of histogram</v>
      </c>
      <c r="I115" s="69" t="str">
        <f t="shared" si="0"/>
        <v>LU000635.001</v>
      </c>
      <c r="J115" s="69" t="str">
        <f ca="1">IFERROR(__xludf.DUMMYFUNCTION("VLOOKUP(I115, IMPORTRANGE(""https://docs.google.com/spreadsheets/d/1yDAaXNsi4Mr5FtRQL4tbmSdIzhx6_m4wkOD7IG-k_eo/edit#gid=0"", ""Maths!M:N""), 2, FALSE)"),"Recognize the essential components required for constructing a histogram")</f>
        <v>Recognize the essential components required for constructing a histogram</v>
      </c>
      <c r="K115" s="69" t="str">
        <f t="shared" si="1"/>
        <v>LU000635.002</v>
      </c>
      <c r="L115" s="69" t="str">
        <f ca="1">IFERROR(__xludf.DUMMYFUNCTION("VLOOKUP(K115, IMPORTRANGE(""https://docs.google.com/spreadsheets/d/1yDAaXNsi4Mr5FtRQL4tbmSdIzhx6_m4wkOD7IG-k_eo/edit#gid=0"", ""Maths!M:N""), 2, FALSE)"),"Explain the purpose of constructing a histogram as a graphical tool for visualizing the distribution and frequency of data within intervals")</f>
        <v>Explain the purpose of constructing a histogram as a graphical tool for visualizing the distribution and frequency of data within intervals</v>
      </c>
      <c r="M115" s="69" t="str">
        <f t="shared" si="2"/>
        <v>LU000635.003</v>
      </c>
      <c r="N115" s="69" t="str">
        <f ca="1">IFERROR(__xludf.DUMMYFUNCTION("VLOOKUP(M115, IMPORTRANGE(""https://docs.google.com/spreadsheets/d/1yDAaXNsi4Mr5FtRQL4tbmSdIzhx6_m4wkOD7IG-k_eo/edit#gid=0"", ""Maths!M:N""), 2, FALSE)"),"Apply knowledge of histogram construction to accurately create a histogram from a given dataset")</f>
        <v>Apply knowledge of histogram construction to accurately create a histogram from a given dataset</v>
      </c>
      <c r="O115" s="69" t="str">
        <f t="shared" si="3"/>
        <v>LU000635.004</v>
      </c>
      <c r="P115" s="69" t="str">
        <f ca="1">IFERROR(__xludf.DUMMYFUNCTION("VLOOKUP(O115, IMPORTRANGE(""https://docs.google.com/spreadsheets/d/1yDAaXNsi4Mr5FtRQL4tbmSdIzhx6_m4wkOD7IG-k_eo/edit#gid=0"", ""Maths!M:N""), 2, FALSE)"),"Analyze the dataset to determine suitable intervals and construct a histogram that effectively represents the data's distribution")</f>
        <v>Analyze the dataset to determine suitable intervals and construct a histogram that effectively represents the data's distribution</v>
      </c>
      <c r="Q115" s="69" t="str">
        <f t="shared" si="4"/>
        <v>LU000635.005</v>
      </c>
      <c r="R115" s="69" t="str">
        <f ca="1">IFERROR(__xludf.DUMMYFUNCTION("VLOOKUP(Q115, IMPORTRANGE(""https://docs.google.com/spreadsheets/d/1yDAaXNsi4Mr5FtRQL4tbmSdIzhx6_m4wkOD7IG-k_eo/edit#gid=0"", ""Maths!M:N""), 2, FALSE)"),"Evaluate the effectiveness of the constructed histogram in representing data")</f>
        <v>Evaluate the effectiveness of the constructed histogram in representing data</v>
      </c>
      <c r="S115" s="69" t="str">
        <f t="shared" si="5"/>
        <v>LU000635.006</v>
      </c>
      <c r="T115" s="69" t="str">
        <f ca="1">IFERROR(__xludf.DUMMYFUNCTION("VLOOKUP(S115, IMPORTRANGE(""https://docs.google.com/spreadsheets/d/1yDAaXNsi4Mr5FtRQL4tbmSdIzhx6_m4wkOD7IG-k_eo/edit#gid=0"", ""Maths!M:N""), 2, FALSE)"),"Create a histogram using a provided dataset, ensuring that it accurately represents the data's distribution")</f>
        <v>Create a histogram using a provided dataset, ensuring that it accurately represents the data's distribution</v>
      </c>
      <c r="U115" s="11" t="str">
        <f ca="1">IFERROR(__xludf.DUMMYFUNCTION("ArrayFormula(VLOOKUP(G115, IMPORTRANGE(""https://docs.google.com/spreadsheets/d/1p7R4vtkWt5VOBim4ltsDG9KTzSjrtKXsMtQGXPHyND0/edit#gid=795171502"", ""'Filter 30_05_2024'!A1:M2000""), {2, 3, 4, 5,6,7,8,9,10,11,12,13}, 0))"),"#N/A")</f>
        <v>#N/A</v>
      </c>
      <c r="V115" s="11" t="str">
        <f ca="1">IFERROR(__xludf.DUMMYFUNCTION("""COMPUTED_VALUE"""),"#N/A")</f>
        <v>#N/A</v>
      </c>
      <c r="W115" s="11" t="str">
        <f ca="1">IFERROR(__xludf.DUMMYFUNCTION("""COMPUTED_VALUE"""),"#N/A")</f>
        <v>#N/A</v>
      </c>
      <c r="X115" s="11" t="str">
        <f ca="1">IFERROR(__xludf.DUMMYFUNCTION("""COMPUTED_VALUE"""),"#N/A")</f>
        <v>#N/A</v>
      </c>
      <c r="Y115" s="11" t="str">
        <f ca="1">IFERROR(__xludf.DUMMYFUNCTION("""COMPUTED_VALUE"""),"#N/A")</f>
        <v>#N/A</v>
      </c>
      <c r="Z115" s="12" t="str">
        <f ca="1">IFERROR(__xludf.DUMMYFUNCTION("""COMPUTED_VALUE"""),"#N/A")</f>
        <v>#N/A</v>
      </c>
      <c r="AA115" s="12" t="str">
        <f ca="1">IFERROR(__xludf.DUMMYFUNCTION("""COMPUTED_VALUE"""),"#N/A")</f>
        <v>#N/A</v>
      </c>
      <c r="AB115" s="12" t="str">
        <f ca="1">IFERROR(__xludf.DUMMYFUNCTION("""COMPUTED_VALUE"""),"#N/A")</f>
        <v>#N/A</v>
      </c>
      <c r="AC115" s="11" t="str">
        <f ca="1">IFERROR(__xludf.DUMMYFUNCTION("""COMPUTED_VALUE"""),"#N/A")</f>
        <v>#N/A</v>
      </c>
      <c r="AD115" s="12" t="str">
        <f ca="1">IFERROR(__xludf.DUMMYFUNCTION("""COMPUTED_VALUE"""),"#N/A")</f>
        <v>#N/A</v>
      </c>
      <c r="AE115" s="12" t="str">
        <f ca="1">IFERROR(__xludf.DUMMYFUNCTION("""COMPUTED_VALUE"""),"#N/A")</f>
        <v>#N/A</v>
      </c>
      <c r="AF115" s="12" t="str">
        <f ca="1">IFERROR(__xludf.DUMMYFUNCTION("""COMPUTED_VALUE"""),"#N/A")</f>
        <v>#N/A</v>
      </c>
      <c r="AG115" s="70" t="str">
        <f ca="1">IFERROR(__xludf.DUMMYFUNCTION("ArrayFormula(VLOOKUP(G115, IMPORTRANGE(""https://docs.google.com/spreadsheets/d/1Co934fvtviyaRiMsrIlT05Jaq7iiYq07aLvRr35KA48/edit?gid=173865642#gid=173865642"", ""'G9_Maths_Pri_LU'!G2:V2000""), {3, 4, 5, 6, 7, 8, 9, 10, 11, 12, 13, 14, 15, 16}, 0))"),"LU000634")</f>
        <v>LU000634</v>
      </c>
      <c r="AH115" s="70" t="str">
        <f ca="1">IFERROR(__xludf.DUMMYFUNCTION("""COMPUTED_VALUE"""),"Interpretation of histogram")</f>
        <v>Interpretation of histogram</v>
      </c>
      <c r="AI115" s="70" t="str">
        <f ca="1">IFERROR(__xludf.DUMMYFUNCTION("""COMPUTED_VALUE"""),"LU000318")</f>
        <v>LU000318</v>
      </c>
      <c r="AJ115" s="70" t="str">
        <f ca="1">IFERROR(__xludf.DUMMYFUNCTION("""COMPUTED_VALUE"""),"Construction of bar graphs (horizontal and vertical)")</f>
        <v>Construction of bar graphs (horizontal and vertical)</v>
      </c>
      <c r="AK115" s="70" t="str">
        <f ca="1">IFERROR(__xludf.DUMMYFUNCTION("""COMPUTED_VALUE"""),"LU000630")</f>
        <v>LU000630</v>
      </c>
      <c r="AL115" s="70" t="str">
        <f ca="1">IFERROR(__xludf.DUMMYFUNCTION("""COMPUTED_VALUE"""),"Construction of grouped frequency distribution table")</f>
        <v>Construction of grouped frequency distribution table</v>
      </c>
      <c r="AM115" s="13"/>
      <c r="AN115" s="13"/>
      <c r="AO115" s="13"/>
      <c r="AP115" s="13"/>
      <c r="AQ115" s="13"/>
      <c r="AR115" s="13"/>
      <c r="AS115" s="13"/>
      <c r="AT115" s="13"/>
    </row>
    <row r="116" spans="1:46">
      <c r="A116" s="8" t="s">
        <v>247</v>
      </c>
      <c r="B116" s="66" t="s">
        <v>47</v>
      </c>
      <c r="C116" s="66" t="s">
        <v>979</v>
      </c>
      <c r="D116" s="67" t="s">
        <v>732</v>
      </c>
      <c r="E116" s="67" t="s">
        <v>1162</v>
      </c>
      <c r="F116" s="66" t="s">
        <v>1166</v>
      </c>
      <c r="G116" s="68" t="s">
        <v>1167</v>
      </c>
      <c r="H116" s="71" t="str">
        <f ca="1">IFERROR(__xludf.DUMMYFUNCTION("VLOOKUP(G116, IMPORTRANGE(""https://docs.google.com/spreadsheets/d/14deopnvwcrKtEGCKuYXdUHJbeLDZlkiSSWWT0g7x2pM/edit#gid=999382323"", ""LU List Maths (Filter)!A:B""), 2, FALSE)"),"Interpretation of frequency polygon")</f>
        <v>Interpretation of frequency polygon</v>
      </c>
      <c r="I116" s="69" t="str">
        <f t="shared" si="0"/>
        <v>LU001322.001</v>
      </c>
      <c r="J116" s="69" t="str">
        <f ca="1">IFERROR(__xludf.DUMMYFUNCTION("VLOOKUP(I116, IMPORTRANGE(""https://docs.google.com/spreadsheets/d/1yDAaXNsi4Mr5FtRQL4tbmSdIzhx6_m4wkOD7IG-k_eo/edit#gid=0"", ""Maths!M:N""), 2, FALSE)"),"Identify the axes and labels in a frequency polygon.")</f>
        <v>Identify the axes and labels in a frequency polygon.</v>
      </c>
      <c r="K116" s="69" t="str">
        <f t="shared" si="1"/>
        <v>LU001322.002</v>
      </c>
      <c r="L116" s="69" t="str">
        <f ca="1">IFERROR(__xludf.DUMMYFUNCTION("VLOOKUP(K116, IMPORTRANGE(""https://docs.google.com/spreadsheets/d/1yDAaXNsi4Mr5FtRQL4tbmSdIzhx6_m4wkOD7IG-k_eo/edit#gid=0"", ""Maths!M:N""), 2, FALSE)"),"Explain the significance of different sections in a frequency polygon.")</f>
        <v>Explain the significance of different sections in a frequency polygon.</v>
      </c>
      <c r="M116" s="69" t="str">
        <f t="shared" si="2"/>
        <v>LU001322.003</v>
      </c>
      <c r="N116" s="69" t="str">
        <f ca="1">IFERROR(__xludf.DUMMYFUNCTION("VLOOKUP(M116, IMPORTRANGE(""https://docs.google.com/spreadsheets/d/1yDAaXNsi4Mr5FtRQL4tbmSdIzhx6_m4wkOD7IG-k_eo/edit#gid=0"", ""Maths!M:N""), 2, FALSE)"),"Interpret a given frequency polygon to determine data trends.")</f>
        <v>Interpret a given frequency polygon to determine data trends.</v>
      </c>
      <c r="O116" s="69" t="str">
        <f t="shared" si="3"/>
        <v>LU001322.004</v>
      </c>
      <c r="P116" s="69" t="str">
        <f ca="1">IFERROR(__xludf.DUMMYFUNCTION("VLOOKUP(O116, IMPORTRANGE(""https://docs.google.com/spreadsheets/d/1yDAaXNsi4Mr5FtRQL4tbmSdIzhx6_m4wkOD7IG-k_eo/edit#gid=0"", ""Maths!M:N""), 2, FALSE)"),"Analyze the shape of a frequency polygon to identify data patterns.")</f>
        <v>Analyze the shape of a frequency polygon to identify data patterns.</v>
      </c>
      <c r="Q116" s="69" t="str">
        <f t="shared" si="4"/>
        <v>LU001322.005</v>
      </c>
      <c r="R116" s="69" t="str">
        <f ca="1">IFERROR(__xludf.DUMMYFUNCTION("VLOOKUP(Q116, IMPORTRANGE(""https://docs.google.com/spreadsheets/d/1yDAaXNsi4Mr5FtRQL4tbmSdIzhx6_m4wkOD7IG-k_eo/edit#gid=0"", ""Maths!M:N""), 2, FALSE)"),"Evaluate the effectiveness of a frequency polygon in representing data.")</f>
        <v>Evaluate the effectiveness of a frequency polygon in representing data.</v>
      </c>
      <c r="S116" s="69" t="str">
        <f t="shared" si="5"/>
        <v>LU001322.006</v>
      </c>
      <c r="T116" s="69" t="str">
        <f ca="1">IFERROR(__xludf.DUMMYFUNCTION("VLOOKUP(S116, IMPORTRANGE(""https://docs.google.com/spreadsheets/d/1yDAaXNsi4Mr5FtRQL4tbmSdIzhx6_m4wkOD7IG-k_eo/edit#gid=0"", ""Maths!M:N""), 2, FALSE)"),"Develop insights and conclusions based on a given frequency polygon.")</f>
        <v>Develop insights and conclusions based on a given frequency polygon.</v>
      </c>
      <c r="U116" s="11" t="str">
        <f ca="1">IFERROR(__xludf.DUMMYFUNCTION("ArrayFormula(VLOOKUP(G116, IMPORTRANGE(""https://docs.google.com/spreadsheets/d/1p7R4vtkWt5VOBim4ltsDG9KTzSjrtKXsMtQGXPHyND0/edit#gid=795171502"", ""'Filter 30_05_2024'!A1:M2000""), {2, 3, 4, 5,6,7,8,9,10,11,12,13}, 0))"),"#N/A")</f>
        <v>#N/A</v>
      </c>
      <c r="V116" s="11" t="str">
        <f ca="1">IFERROR(__xludf.DUMMYFUNCTION("""COMPUTED_VALUE"""),"#N/A")</f>
        <v>#N/A</v>
      </c>
      <c r="W116" s="11" t="str">
        <f ca="1">IFERROR(__xludf.DUMMYFUNCTION("""COMPUTED_VALUE"""),"#N/A")</f>
        <v>#N/A</v>
      </c>
      <c r="X116" s="11" t="str">
        <f ca="1">IFERROR(__xludf.DUMMYFUNCTION("""COMPUTED_VALUE"""),"#N/A")</f>
        <v>#N/A</v>
      </c>
      <c r="Y116" s="11" t="str">
        <f ca="1">IFERROR(__xludf.DUMMYFUNCTION("""COMPUTED_VALUE"""),"#N/A")</f>
        <v>#N/A</v>
      </c>
      <c r="Z116" s="12" t="str">
        <f ca="1">IFERROR(__xludf.DUMMYFUNCTION("""COMPUTED_VALUE"""),"#N/A")</f>
        <v>#N/A</v>
      </c>
      <c r="AA116" s="12" t="str">
        <f ca="1">IFERROR(__xludf.DUMMYFUNCTION("""COMPUTED_VALUE"""),"#N/A")</f>
        <v>#N/A</v>
      </c>
      <c r="AB116" s="12" t="str">
        <f ca="1">IFERROR(__xludf.DUMMYFUNCTION("""COMPUTED_VALUE"""),"#N/A")</f>
        <v>#N/A</v>
      </c>
      <c r="AC116" s="11" t="str">
        <f ca="1">IFERROR(__xludf.DUMMYFUNCTION("""COMPUTED_VALUE"""),"#N/A")</f>
        <v>#N/A</v>
      </c>
      <c r="AD116" s="12" t="str">
        <f ca="1">IFERROR(__xludf.DUMMYFUNCTION("""COMPUTED_VALUE"""),"#N/A")</f>
        <v>#N/A</v>
      </c>
      <c r="AE116" s="12" t="str">
        <f ca="1">IFERROR(__xludf.DUMMYFUNCTION("""COMPUTED_VALUE"""),"#N/A")</f>
        <v>#N/A</v>
      </c>
      <c r="AF116" s="12" t="str">
        <f ca="1">IFERROR(__xludf.DUMMYFUNCTION("""COMPUTED_VALUE"""),"#N/A")</f>
        <v>#N/A</v>
      </c>
      <c r="AG116" s="70" t="str">
        <f ca="1">IFERROR(__xludf.DUMMYFUNCTION("ArrayFormula(VLOOKUP(G116, IMPORTRANGE(""https://docs.google.com/spreadsheets/d/1Co934fvtviyaRiMsrIlT05Jaq7iiYq07aLvRr35KA48/edit?gid=173865642#gid=173865642"", ""'G9_Maths_Pri_LU'!G2:V2000""), {3, 4, 5, 6, 7, 8, 9, 10, 11, 12, 13, 14, 15, 16}, 0))"),"LU001321")</f>
        <v>LU001321</v>
      </c>
      <c r="AH116" s="70" t="str">
        <f ca="1">IFERROR(__xludf.DUMMYFUNCTION("""COMPUTED_VALUE"""),"Definition of frequency polygon")</f>
        <v>Definition of frequency polygon</v>
      </c>
      <c r="AI116" s="70" t="str">
        <f ca="1">IFERROR(__xludf.DUMMYFUNCTION("""COMPUTED_VALUE""")," ")</f>
        <v xml:space="preserve"> </v>
      </c>
      <c r="AJ116" s="70"/>
      <c r="AK116" s="70"/>
      <c r="AL116" s="70"/>
      <c r="AM116" s="13"/>
      <c r="AN116" s="13"/>
      <c r="AO116" s="13"/>
      <c r="AP116" s="13"/>
      <c r="AQ116" s="13"/>
      <c r="AR116" s="13"/>
      <c r="AS116" s="13"/>
      <c r="AT116" s="13"/>
    </row>
    <row r="117" spans="1:46">
      <c r="A117" s="8" t="s">
        <v>247</v>
      </c>
      <c r="B117" s="66" t="s">
        <v>47</v>
      </c>
      <c r="C117" s="66" t="s">
        <v>979</v>
      </c>
      <c r="D117" s="67" t="s">
        <v>732</v>
      </c>
      <c r="E117" s="67" t="s">
        <v>1162</v>
      </c>
      <c r="F117" s="66" t="s">
        <v>1166</v>
      </c>
      <c r="G117" s="68" t="s">
        <v>1168</v>
      </c>
      <c r="H117" s="71" t="str">
        <f ca="1">IFERROR(__xludf.DUMMYFUNCTION("VLOOKUP(G117, IMPORTRANGE(""https://docs.google.com/spreadsheets/d/14deopnvwcrKtEGCKuYXdUHJbeLDZlkiSSWWT0g7x2pM/edit#gid=999382323"", ""LU List Maths (Filter)!A:B""), 2, FALSE)"),"Construction of frequency polygon")</f>
        <v>Construction of frequency polygon</v>
      </c>
      <c r="I117" s="69" t="str">
        <f t="shared" si="0"/>
        <v>LU001323.001</v>
      </c>
      <c r="J117" s="69" t="str">
        <f ca="1">IFERROR(__xludf.DUMMYFUNCTION("VLOOKUP(I117, IMPORTRANGE(""https://docs.google.com/spreadsheets/d/1yDAaXNsi4Mr5FtRQL4tbmSdIzhx6_m4wkOD7IG-k_eo/edit#gid=0"", ""Maths!M:N""), 2, FALSE)"),"List the steps required to construct a frequency polygon.")</f>
        <v>List the steps required to construct a frequency polygon.</v>
      </c>
      <c r="K117" s="69" t="str">
        <f t="shared" si="1"/>
        <v>LU001323.002</v>
      </c>
      <c r="L117" s="69" t="str">
        <f ca="1">IFERROR(__xludf.DUMMYFUNCTION("VLOOKUP(K117, IMPORTRANGE(""https://docs.google.com/spreadsheets/d/1yDAaXNsi4Mr5FtRQL4tbmSdIzhx6_m4wkOD7IG-k_eo/edit#gid=0"", ""Maths!M:N""), 2, FALSE)"),"Explain the method of plotting midpoints for constructing a frequency polygon.")</f>
        <v>Explain the method of plotting midpoints for constructing a frequency polygon.</v>
      </c>
      <c r="M117" s="69" t="str">
        <f t="shared" si="2"/>
        <v>LU001323.003</v>
      </c>
      <c r="N117" s="69" t="str">
        <f ca="1">IFERROR(__xludf.DUMMYFUNCTION("VLOOKUP(M117, IMPORTRANGE(""https://docs.google.com/spreadsheets/d/1yDAaXNsi4Mr5FtRQL4tbmSdIzhx6_m4wkOD7IG-k_eo/edit#gid=0"", ""Maths!M:N""), 2, FALSE)"),"Construct a frequency polygon from a given set of data.")</f>
        <v>Construct a frequency polygon from a given set of data.</v>
      </c>
      <c r="O117" s="69" t="str">
        <f t="shared" si="3"/>
        <v>LU001323.004</v>
      </c>
      <c r="P117" s="69" t="str">
        <f ca="1">IFERROR(__xludf.DUMMYFUNCTION("VLOOKUP(O117, IMPORTRANGE(""https://docs.google.com/spreadsheets/d/1yDAaXNsi4Mr5FtRQL4tbmSdIzhx6_m4wkOD7IG-k_eo/edit#gid=0"", ""Maths!M:N""), 2, FALSE)"),"Analyze the differences between frequency polygons constructed from different datasets.")</f>
        <v>Analyze the differences between frequency polygons constructed from different datasets.</v>
      </c>
      <c r="Q117" s="69" t="str">
        <f t="shared" si="4"/>
        <v>LU001323.005</v>
      </c>
      <c r="R117" s="69" t="str">
        <f ca="1">IFERROR(__xludf.DUMMYFUNCTION("VLOOKUP(Q117, IMPORTRANGE(""https://docs.google.com/spreadsheets/d/1yDAaXNsi4Mr5FtRQL4tbmSdIzhx6_m4wkOD7IG-k_eo/edit#gid=0"", ""Maths!M:N""), 2, FALSE)"),"Evaluate the accuracy of a frequency polygon in representing the underlying data.")</f>
        <v>Evaluate the accuracy of a frequency polygon in representing the underlying data.</v>
      </c>
      <c r="S117" s="69" t="str">
        <f t="shared" si="5"/>
        <v>LU001323.006</v>
      </c>
      <c r="T117" s="69" t="str">
        <f ca="1">IFERROR(__xludf.DUMMYFUNCTION("VLOOKUP(S117, IMPORTRANGE(""https://docs.google.com/spreadsheets/d/1yDAaXNsi4Mr5FtRQL4tbmSdIzhx6_m4wkOD7IG-k_eo/edit#gid=0"", ""Maths!M:N""), 2, FALSE)"),"Design a frequency polygon from raw data and justify the choice of class intervals.")</f>
        <v>Design a frequency polygon from raw data and justify the choice of class intervals.</v>
      </c>
      <c r="U117" s="11" t="str">
        <f ca="1">IFERROR(__xludf.DUMMYFUNCTION("ArrayFormula(VLOOKUP(G117, IMPORTRANGE(""https://docs.google.com/spreadsheets/d/1p7R4vtkWt5VOBim4ltsDG9KTzSjrtKXsMtQGXPHyND0/edit#gid=795171502"", ""'Filter 30_05_2024'!A1:M2000""), {2, 3, 4, 5,6,7,8,9,10,11,12,13}, 0))"),"#N/A")</f>
        <v>#N/A</v>
      </c>
      <c r="V117" s="11" t="str">
        <f ca="1">IFERROR(__xludf.DUMMYFUNCTION("""COMPUTED_VALUE"""),"#N/A")</f>
        <v>#N/A</v>
      </c>
      <c r="W117" s="11" t="str">
        <f ca="1">IFERROR(__xludf.DUMMYFUNCTION("""COMPUTED_VALUE"""),"#N/A")</f>
        <v>#N/A</v>
      </c>
      <c r="X117" s="11" t="str">
        <f ca="1">IFERROR(__xludf.DUMMYFUNCTION("""COMPUTED_VALUE"""),"#N/A")</f>
        <v>#N/A</v>
      </c>
      <c r="Y117" s="11" t="str">
        <f ca="1">IFERROR(__xludf.DUMMYFUNCTION("""COMPUTED_VALUE"""),"#N/A")</f>
        <v>#N/A</v>
      </c>
      <c r="Z117" s="12" t="str">
        <f ca="1">IFERROR(__xludf.DUMMYFUNCTION("""COMPUTED_VALUE"""),"#N/A")</f>
        <v>#N/A</v>
      </c>
      <c r="AA117" s="12" t="str">
        <f ca="1">IFERROR(__xludf.DUMMYFUNCTION("""COMPUTED_VALUE"""),"#N/A")</f>
        <v>#N/A</v>
      </c>
      <c r="AB117" s="12" t="str">
        <f ca="1">IFERROR(__xludf.DUMMYFUNCTION("""COMPUTED_VALUE"""),"#N/A")</f>
        <v>#N/A</v>
      </c>
      <c r="AC117" s="11" t="str">
        <f ca="1">IFERROR(__xludf.DUMMYFUNCTION("""COMPUTED_VALUE"""),"#N/A")</f>
        <v>#N/A</v>
      </c>
      <c r="AD117" s="12" t="str">
        <f ca="1">IFERROR(__xludf.DUMMYFUNCTION("""COMPUTED_VALUE"""),"#N/A")</f>
        <v>#N/A</v>
      </c>
      <c r="AE117" s="12" t="str">
        <f ca="1">IFERROR(__xludf.DUMMYFUNCTION("""COMPUTED_VALUE"""),"#N/A")</f>
        <v>#N/A</v>
      </c>
      <c r="AF117" s="12" t="str">
        <f ca="1">IFERROR(__xludf.DUMMYFUNCTION("""COMPUTED_VALUE"""),"#N/A")</f>
        <v>#N/A</v>
      </c>
      <c r="AG117" s="70" t="str">
        <f ca="1">IFERROR(__xludf.DUMMYFUNCTION("ArrayFormula(VLOOKUP(G117, IMPORTRANGE(""https://docs.google.com/spreadsheets/d/1Co934fvtviyaRiMsrIlT05Jaq7iiYq07aLvRr35KA48/edit?gid=173865642#gid=173865642"", ""'G9_Maths_Pri_LU'!G2:V2000""), {3, 4, 5, 6, 7, 8, 9, 10, 11, 12, 13, 14, 15, 16}, 0))"),"LU001322")</f>
        <v>LU001322</v>
      </c>
      <c r="AH117" s="70" t="str">
        <f ca="1">IFERROR(__xludf.DUMMYFUNCTION("""COMPUTED_VALUE"""),"Interpretation of frequency polygon")</f>
        <v>Interpretation of frequency polygon</v>
      </c>
      <c r="AI117" s="70" t="str">
        <f ca="1">IFERROR(__xludf.DUMMYFUNCTION("""COMPUTED_VALUE"""),"LU001321")</f>
        <v>LU001321</v>
      </c>
      <c r="AJ117" s="70" t="str">
        <f ca="1">IFERROR(__xludf.DUMMYFUNCTION("""COMPUTED_VALUE"""),"Definition of frequency polygon")</f>
        <v>Definition of frequency polygon</v>
      </c>
      <c r="AK117" s="70"/>
      <c r="AL117" s="70"/>
      <c r="AM117" s="13"/>
      <c r="AN117" s="13"/>
      <c r="AO117" s="13"/>
      <c r="AP117" s="13"/>
      <c r="AQ117" s="13"/>
      <c r="AR117" s="13"/>
      <c r="AS117" s="13"/>
      <c r="AT117" s="13"/>
    </row>
    <row r="118" spans="1:46">
      <c r="A118" s="8" t="s">
        <v>247</v>
      </c>
      <c r="B118" s="66" t="s">
        <v>47</v>
      </c>
      <c r="C118" s="66" t="s">
        <v>979</v>
      </c>
      <c r="D118" s="67" t="s">
        <v>732</v>
      </c>
      <c r="E118" s="67" t="s">
        <v>1162</v>
      </c>
      <c r="F118" s="66" t="s">
        <v>1169</v>
      </c>
      <c r="G118" s="68" t="s">
        <v>1170</v>
      </c>
      <c r="H118" s="71" t="str">
        <f ca="1">IFERROR(__xludf.DUMMYFUNCTION("VLOOKUP(G118, IMPORTRANGE(""https://docs.google.com/spreadsheets/d/14deopnvwcrKtEGCKuYXdUHJbeLDZlkiSSWWT0g7x2pM/edit#gid=999382323"", ""LU List Maths (Filter)!A:B""), 2, FALSE)"),"Interpretation of two frequency polygons on the same graph")</f>
        <v>Interpretation of two frequency polygons on the same graph</v>
      </c>
      <c r="I118" s="69" t="str">
        <f t="shared" si="0"/>
        <v>LU001326.001</v>
      </c>
      <c r="J118" s="69" t="str">
        <f ca="1">IFERROR(__xludf.DUMMYFUNCTION("VLOOKUP(I118, IMPORTRANGE(""https://docs.google.com/spreadsheets/d/1yDAaXNsi4Mr5FtRQL4tbmSdIzhx6_m4wkOD7IG-k_eo/edit#gid=0"", ""Maths!M:N""), 2, FALSE)"),"Identify the key elements and axes of two frequency polygons on the same graph.")</f>
        <v>Identify the key elements and axes of two frequency polygons on the same graph.</v>
      </c>
      <c r="K118" s="69" t="str">
        <f t="shared" si="1"/>
        <v>LU001326.002</v>
      </c>
      <c r="L118" s="69" t="str">
        <f ca="1">IFERROR(__xludf.DUMMYFUNCTION("VLOOKUP(K118, IMPORTRANGE(""https://docs.google.com/spreadsheets/d/1yDAaXNsi4Mr5FtRQL4tbmSdIzhx6_m4wkOD7IG-k_eo/edit#gid=0"", ""Maths!M:N""), 2, FALSE)"),"Explain the significance of comparing two frequency polygons on the same graph.")</f>
        <v>Explain the significance of comparing two frequency polygons on the same graph.</v>
      </c>
      <c r="M118" s="69" t="str">
        <f t="shared" si="2"/>
        <v>LU001326.003</v>
      </c>
      <c r="N118" s="69" t="str">
        <f ca="1">IFERROR(__xludf.DUMMYFUNCTION("VLOOKUP(M118, IMPORTRANGE(""https://docs.google.com/spreadsheets/d/1yDAaXNsi4Mr5FtRQL4tbmSdIzhx6_m4wkOD7IG-k_eo/edit#gid=0"", ""Maths!M:N""), 2, FALSE)"),"Interpret the similarities and differences between two frequency polygons on the same graph.")</f>
        <v>Interpret the similarities and differences between two frequency polygons on the same graph.</v>
      </c>
      <c r="O118" s="69" t="str">
        <f t="shared" si="3"/>
        <v>LU001326.004</v>
      </c>
      <c r="P118" s="69" t="str">
        <f ca="1">IFERROR(__xludf.DUMMYFUNCTION("VLOOKUP(O118, IMPORTRANGE(""https://docs.google.com/spreadsheets/d/1yDAaXNsi4Mr5FtRQL4tbmSdIzhx6_m4wkOD7IG-k_eo/edit#gid=0"", ""Maths!M:N""), 2, FALSE)"),"Analyze the data trends shown by two frequency polygons on the same graph.")</f>
        <v>Analyze the data trends shown by two frequency polygons on the same graph.</v>
      </c>
      <c r="Q118" s="69" t="str">
        <f t="shared" si="4"/>
        <v>LU001326.005</v>
      </c>
      <c r="R118" s="69" t="str">
        <f ca="1">IFERROR(__xludf.DUMMYFUNCTION("VLOOKUP(Q118, IMPORTRANGE(""https://docs.google.com/spreadsheets/d/1yDAaXNsi4Mr5FtRQL4tbmSdIzhx6_m4wkOD7IG-k_eo/edit#gid=0"", ""Maths!M:N""), 2, FALSE)"),"Evaluate the effectiveness of using two frequency polygons to compare datasets.")</f>
        <v>Evaluate the effectiveness of using two frequency polygons to compare datasets.</v>
      </c>
      <c r="S118" s="69" t="str">
        <f t="shared" si="5"/>
        <v>LU001326.006</v>
      </c>
      <c r="T118" s="69" t="str">
        <f ca="1">IFERROR(__xludf.DUMMYFUNCTION("VLOOKUP(S118, IMPORTRANGE(""https://docs.google.com/spreadsheets/d/1yDAaXNsi4Mr5FtRQL4tbmSdIzhx6_m4wkOD7IG-k_eo/edit#gid=0"", ""Maths!M:N""), 2, FALSE)"),"Generate insights and conclusions by comparing two frequency polygons on the same graph.")</f>
        <v>Generate insights and conclusions by comparing two frequency polygons on the same graph.</v>
      </c>
      <c r="U118" s="11" t="str">
        <f ca="1">IFERROR(__xludf.DUMMYFUNCTION("ArrayFormula(VLOOKUP(G118, IMPORTRANGE(""https://docs.google.com/spreadsheets/d/1p7R4vtkWt5VOBim4ltsDG9KTzSjrtKXsMtQGXPHyND0/edit#gid=795171502"", ""'Filter 30_05_2024'!A1:M2000""), {2, 3, 4, 5,6,7,8,9,10,11,12,13}, 0))"),"#N/A")</f>
        <v>#N/A</v>
      </c>
      <c r="V118" s="11" t="str">
        <f ca="1">IFERROR(__xludf.DUMMYFUNCTION("""COMPUTED_VALUE"""),"#N/A")</f>
        <v>#N/A</v>
      </c>
      <c r="W118" s="11" t="str">
        <f ca="1">IFERROR(__xludf.DUMMYFUNCTION("""COMPUTED_VALUE"""),"#N/A")</f>
        <v>#N/A</v>
      </c>
      <c r="X118" s="11" t="str">
        <f ca="1">IFERROR(__xludf.DUMMYFUNCTION("""COMPUTED_VALUE"""),"#N/A")</f>
        <v>#N/A</v>
      </c>
      <c r="Y118" s="11" t="str">
        <f ca="1">IFERROR(__xludf.DUMMYFUNCTION("""COMPUTED_VALUE"""),"#N/A")</f>
        <v>#N/A</v>
      </c>
      <c r="Z118" s="12" t="str">
        <f ca="1">IFERROR(__xludf.DUMMYFUNCTION("""COMPUTED_VALUE"""),"#N/A")</f>
        <v>#N/A</v>
      </c>
      <c r="AA118" s="12" t="str">
        <f ca="1">IFERROR(__xludf.DUMMYFUNCTION("""COMPUTED_VALUE"""),"#N/A")</f>
        <v>#N/A</v>
      </c>
      <c r="AB118" s="12" t="str">
        <f ca="1">IFERROR(__xludf.DUMMYFUNCTION("""COMPUTED_VALUE"""),"#N/A")</f>
        <v>#N/A</v>
      </c>
      <c r="AC118" s="11" t="str">
        <f ca="1">IFERROR(__xludf.DUMMYFUNCTION("""COMPUTED_VALUE"""),"#N/A")</f>
        <v>#N/A</v>
      </c>
      <c r="AD118" s="12" t="str">
        <f ca="1">IFERROR(__xludf.DUMMYFUNCTION("""COMPUTED_VALUE"""),"#N/A")</f>
        <v>#N/A</v>
      </c>
      <c r="AE118" s="12" t="str">
        <f ca="1">IFERROR(__xludf.DUMMYFUNCTION("""COMPUTED_VALUE"""),"#N/A")</f>
        <v>#N/A</v>
      </c>
      <c r="AF118" s="12" t="str">
        <f ca="1">IFERROR(__xludf.DUMMYFUNCTION("""COMPUTED_VALUE"""),"#N/A")</f>
        <v>#N/A</v>
      </c>
      <c r="AG118" s="70" t="str">
        <f ca="1">IFERROR(__xludf.DUMMYFUNCTION("ArrayFormula(VLOOKUP(G118, IMPORTRANGE(""https://docs.google.com/spreadsheets/d/1Co934fvtviyaRiMsrIlT05Jaq7iiYq07aLvRr35KA48/edit?gid=173865642#gid=173865642"", ""'G9_Maths_Pri_LU'!G2:V2000""), {3, 4, 5, 6, 7, 8, 9, 10, 11, 12, 13, 14, 15, 16}, 0))"),"LU001322")</f>
        <v>LU001322</v>
      </c>
      <c r="AH118" s="70" t="str">
        <f ca="1">IFERROR(__xludf.DUMMYFUNCTION("""COMPUTED_VALUE"""),"Interpretation of frequency polygon")</f>
        <v>Interpretation of frequency polygon</v>
      </c>
      <c r="AI118" s="70"/>
      <c r="AJ118" s="70"/>
      <c r="AK118" s="70"/>
      <c r="AL118" s="70"/>
      <c r="AM118" s="13"/>
      <c r="AN118" s="13"/>
      <c r="AO118" s="13"/>
      <c r="AP118" s="13"/>
      <c r="AQ118" s="13"/>
      <c r="AR118" s="13"/>
      <c r="AS118" s="13"/>
      <c r="AT118" s="13"/>
    </row>
    <row r="119" spans="1:46">
      <c r="A119" s="8" t="s">
        <v>247</v>
      </c>
      <c r="B119" s="66" t="s">
        <v>47</v>
      </c>
      <c r="C119" s="66" t="s">
        <v>979</v>
      </c>
      <c r="D119" s="67" t="s">
        <v>732</v>
      </c>
      <c r="E119" s="67" t="s">
        <v>1162</v>
      </c>
      <c r="F119" s="66" t="s">
        <v>1169</v>
      </c>
      <c r="G119" s="68" t="s">
        <v>1171</v>
      </c>
      <c r="H119" s="71" t="str">
        <f ca="1">IFERROR(__xludf.DUMMYFUNCTION("VLOOKUP(G119, IMPORTRANGE(""https://docs.google.com/spreadsheets/d/14deopnvwcrKtEGCKuYXdUHJbeLDZlkiSSWWT0g7x2pM/edit#gid=999382323"", ""LU List Maths (Filter)!A:B""), 2, FALSE)"),"Construction of two frequency polygons on the same graph")</f>
        <v>Construction of two frequency polygons on the same graph</v>
      </c>
      <c r="I119" s="69" t="str">
        <f t="shared" si="0"/>
        <v>LU001327.001</v>
      </c>
      <c r="J119" s="69" t="str">
        <f ca="1">IFERROR(__xludf.DUMMYFUNCTION("VLOOKUP(I119, IMPORTRANGE(""https://docs.google.com/spreadsheets/d/1yDAaXNsi4Mr5FtRQL4tbmSdIzhx6_m4wkOD7IG-k_eo/edit#gid=0"", ""Maths!M:N""), 2, FALSE)"),"Recall the steps for constructing two frequency polygon on the same graph.")</f>
        <v>Recall the steps for constructing two frequency polygon on the same graph.</v>
      </c>
      <c r="K119" s="69" t="str">
        <f t="shared" si="1"/>
        <v>LU001327.002</v>
      </c>
      <c r="L119" s="69" t="str">
        <f ca="1">IFERROR(__xludf.DUMMYFUNCTION("VLOOKUP(K119, IMPORTRANGE(""https://docs.google.com/spreadsheets/d/1yDAaXNsi4Mr5FtRQL4tbmSdIzhx6_m4wkOD7IG-k_eo/edit#gid=0"", ""Maths!M:N""), 2, FALSE)"),"Explain the process of plotting two frequency polygons on the same graph.")</f>
        <v>Explain the process of plotting two frequency polygons on the same graph.</v>
      </c>
      <c r="M119" s="69" t="str">
        <f t="shared" si="2"/>
        <v>LU001327.003</v>
      </c>
      <c r="N119" s="69" t="str">
        <f ca="1">IFERROR(__xludf.DUMMYFUNCTION("VLOOKUP(M119, IMPORTRANGE(""https://docs.google.com/spreadsheets/d/1yDAaXNsi4Mr5FtRQL4tbmSdIzhx6_m4wkOD7IG-k_eo/edit#gid=0"", ""Maths!M:N""), 2, FALSE)"),"Construct two frequency polygons on the same graph using given datasets.")</f>
        <v>Construct two frequency polygons on the same graph using given datasets.</v>
      </c>
      <c r="O119" s="69" t="str">
        <f t="shared" si="3"/>
        <v>LU001327.004</v>
      </c>
      <c r="P119" s="69" t="str">
        <f ca="1">IFERROR(__xludf.DUMMYFUNCTION("VLOOKUP(O119, IMPORTRANGE(""https://docs.google.com/spreadsheets/d/1yDAaXNsi4Mr5FtRQL4tbmSdIzhx6_m4wkOD7IG-k_eo/edit#gid=0"", ""Maths!M:N""), 2, FALSE)"),"Compare the visual representation of two datasets using frequency polygons on the same graph.")</f>
        <v>Compare the visual representation of two datasets using frequency polygons on the same graph.</v>
      </c>
      <c r="Q119" s="69" t="str">
        <f t="shared" si="4"/>
        <v>LU001327.005</v>
      </c>
      <c r="R119" s="69" t="str">
        <f ca="1">IFERROR(__xludf.DUMMYFUNCTION("VLOOKUP(Q119, IMPORTRANGE(""https://docs.google.com/spreadsheets/d/1yDAaXNsi4Mr5FtRQL4tbmSdIzhx6_m4wkOD7IG-k_eo/edit#gid=0"", ""Maths!M:N""), 2, FALSE)"),"Evaluate the accuracy and clarity of two frequency polygons on the same graph.")</f>
        <v>Evaluate the accuracy and clarity of two frequency polygons on the same graph.</v>
      </c>
      <c r="S119" s="69" t="str">
        <f t="shared" si="5"/>
        <v>LU001327.006</v>
      </c>
      <c r="T119" s="69" t="str">
        <f ca="1">IFERROR(__xludf.DUMMYFUNCTION("VLOOKUP(S119, IMPORTRANGE(""https://docs.google.com/spreadsheets/d/1yDAaXNsi4Mr5FtRQL4tbmSdIzhx6_m4wkOD7IG-k_eo/edit#gid=0"", ""Maths!M:N""), 2, FALSE)"),"Design a graph with two frequency polygons from raw data and justify the choice of intervals.")</f>
        <v>Design a graph with two frequency polygons from raw data and justify the choice of intervals.</v>
      </c>
      <c r="U119" s="11" t="str">
        <f ca="1">IFERROR(__xludf.DUMMYFUNCTION("ArrayFormula(VLOOKUP(G119, IMPORTRANGE(""https://docs.google.com/spreadsheets/d/1p7R4vtkWt5VOBim4ltsDG9KTzSjrtKXsMtQGXPHyND0/edit#gid=795171502"", ""'Filter 30_05_2024'!A1:M2000""), {2, 3, 4, 5,6,7,8,9,10,11,12,13}, 0))"),"#N/A")</f>
        <v>#N/A</v>
      </c>
      <c r="V119" s="11" t="str">
        <f ca="1">IFERROR(__xludf.DUMMYFUNCTION("""COMPUTED_VALUE"""),"#N/A")</f>
        <v>#N/A</v>
      </c>
      <c r="W119" s="11" t="str">
        <f ca="1">IFERROR(__xludf.DUMMYFUNCTION("""COMPUTED_VALUE"""),"#N/A")</f>
        <v>#N/A</v>
      </c>
      <c r="X119" s="11" t="str">
        <f ca="1">IFERROR(__xludf.DUMMYFUNCTION("""COMPUTED_VALUE"""),"#N/A")</f>
        <v>#N/A</v>
      </c>
      <c r="Y119" s="11" t="str">
        <f ca="1">IFERROR(__xludf.DUMMYFUNCTION("""COMPUTED_VALUE"""),"#N/A")</f>
        <v>#N/A</v>
      </c>
      <c r="Z119" s="12" t="str">
        <f ca="1">IFERROR(__xludf.DUMMYFUNCTION("""COMPUTED_VALUE"""),"#N/A")</f>
        <v>#N/A</v>
      </c>
      <c r="AA119" s="12" t="str">
        <f ca="1">IFERROR(__xludf.DUMMYFUNCTION("""COMPUTED_VALUE"""),"#N/A")</f>
        <v>#N/A</v>
      </c>
      <c r="AB119" s="12" t="str">
        <f ca="1">IFERROR(__xludf.DUMMYFUNCTION("""COMPUTED_VALUE"""),"#N/A")</f>
        <v>#N/A</v>
      </c>
      <c r="AC119" s="11" t="str">
        <f ca="1">IFERROR(__xludf.DUMMYFUNCTION("""COMPUTED_VALUE"""),"#N/A")</f>
        <v>#N/A</v>
      </c>
      <c r="AD119" s="12" t="str">
        <f ca="1">IFERROR(__xludf.DUMMYFUNCTION("""COMPUTED_VALUE"""),"#N/A")</f>
        <v>#N/A</v>
      </c>
      <c r="AE119" s="12" t="str">
        <f ca="1">IFERROR(__xludf.DUMMYFUNCTION("""COMPUTED_VALUE"""),"#N/A")</f>
        <v>#N/A</v>
      </c>
      <c r="AF119" s="12" t="str">
        <f ca="1">IFERROR(__xludf.DUMMYFUNCTION("""COMPUTED_VALUE"""),"#N/A")</f>
        <v>#N/A</v>
      </c>
      <c r="AG119" s="70" t="str">
        <f ca="1">IFERROR(__xludf.DUMMYFUNCTION("ArrayFormula(VLOOKUP(G119, IMPORTRANGE(""https://docs.google.com/spreadsheets/d/1Co934fvtviyaRiMsrIlT05Jaq7iiYq07aLvRr35KA48/edit?gid=173865642#gid=173865642"", ""'G9_Maths_Pri_LU'!G2:V2000""), {3, 4, 5, 6, 7, 8, 9, 10, 11, 12, 13, 14, 15, 16}, 0))"),"LU001326")</f>
        <v>LU001326</v>
      </c>
      <c r="AH119" s="70" t="str">
        <f ca="1">IFERROR(__xludf.DUMMYFUNCTION("""COMPUTED_VALUE"""),"Interpretation of two frequency polygons on the same graph")</f>
        <v>Interpretation of two frequency polygons on the same graph</v>
      </c>
      <c r="AI119" s="70"/>
      <c r="AJ119" s="70"/>
      <c r="AK119" s="70"/>
      <c r="AL119" s="70"/>
      <c r="AM119" s="13"/>
      <c r="AN119" s="13"/>
      <c r="AO119" s="13"/>
      <c r="AP119" s="13"/>
      <c r="AQ119" s="13"/>
      <c r="AR119" s="13"/>
      <c r="AS119" s="13"/>
      <c r="AT119" s="13"/>
    </row>
    <row r="120" spans="1:46">
      <c r="A120" s="8"/>
      <c r="B120" s="8"/>
      <c r="C120" s="8"/>
      <c r="F120" s="8"/>
      <c r="I120" s="10"/>
      <c r="J120" s="10"/>
      <c r="K120" s="10"/>
      <c r="L120" s="10"/>
      <c r="M120" s="10"/>
      <c r="N120" s="10"/>
      <c r="O120" s="10"/>
      <c r="P120" s="10"/>
      <c r="Q120" s="10"/>
      <c r="R120" s="10"/>
      <c r="S120" s="10"/>
      <c r="T120" s="10"/>
      <c r="U120" s="11"/>
      <c r="V120" s="11"/>
      <c r="W120" s="11"/>
      <c r="X120" s="11"/>
      <c r="Y120" s="11"/>
      <c r="Z120" s="12"/>
      <c r="AA120" s="12"/>
      <c r="AB120" s="12"/>
      <c r="AC120" s="11"/>
      <c r="AD120" s="12"/>
      <c r="AE120" s="12"/>
      <c r="AF120" s="12"/>
      <c r="AG120" s="70"/>
      <c r="AH120" s="70"/>
      <c r="AI120" s="70"/>
      <c r="AJ120" s="70"/>
      <c r="AK120" s="70"/>
      <c r="AL120" s="70"/>
    </row>
    <row r="121" spans="1:46">
      <c r="A121" s="8"/>
      <c r="B121" s="8"/>
      <c r="C121" s="8"/>
      <c r="F121" s="8"/>
      <c r="I121" s="10"/>
      <c r="J121" s="10"/>
      <c r="K121" s="10"/>
      <c r="L121" s="10"/>
      <c r="M121" s="10"/>
      <c r="N121" s="10"/>
      <c r="O121" s="10"/>
      <c r="P121" s="10"/>
      <c r="Q121" s="10"/>
      <c r="R121" s="10"/>
      <c r="S121" s="10"/>
      <c r="T121" s="10"/>
      <c r="U121" s="11"/>
      <c r="V121" s="11"/>
      <c r="W121" s="11"/>
      <c r="X121" s="11"/>
      <c r="Y121" s="11"/>
      <c r="Z121" s="12"/>
      <c r="AA121" s="12"/>
      <c r="AB121" s="12"/>
      <c r="AC121" s="11"/>
      <c r="AD121" s="12"/>
      <c r="AE121" s="12"/>
      <c r="AF121" s="12"/>
      <c r="AG121" s="70"/>
      <c r="AH121" s="70"/>
      <c r="AI121" s="70"/>
      <c r="AJ121" s="70"/>
      <c r="AK121" s="70"/>
      <c r="AL121" s="70"/>
    </row>
    <row r="122" spans="1:46">
      <c r="A122" s="8"/>
      <c r="B122" s="8"/>
      <c r="C122" s="8"/>
      <c r="F122" s="8"/>
      <c r="I122" s="10"/>
      <c r="J122" s="10"/>
      <c r="K122" s="10"/>
      <c r="L122" s="10"/>
      <c r="M122" s="10"/>
      <c r="N122" s="10"/>
      <c r="O122" s="10"/>
      <c r="P122" s="10"/>
      <c r="Q122" s="10"/>
      <c r="R122" s="10"/>
      <c r="S122" s="10"/>
      <c r="T122" s="10"/>
      <c r="U122" s="11"/>
      <c r="V122" s="11"/>
      <c r="W122" s="11"/>
      <c r="X122" s="11"/>
      <c r="Y122" s="11"/>
      <c r="Z122" s="12"/>
      <c r="AA122" s="12"/>
      <c r="AB122" s="12"/>
      <c r="AC122" s="11"/>
      <c r="AD122" s="12"/>
      <c r="AE122" s="12"/>
      <c r="AF122" s="12"/>
      <c r="AG122" s="70"/>
      <c r="AH122" s="70"/>
      <c r="AI122" s="70"/>
      <c r="AJ122" s="70"/>
      <c r="AK122" s="70"/>
      <c r="AL122" s="70"/>
    </row>
    <row r="123" spans="1:46">
      <c r="A123" s="8"/>
      <c r="B123" s="8"/>
      <c r="C123" s="8"/>
      <c r="F123" s="8"/>
      <c r="I123" s="10"/>
      <c r="J123" s="10"/>
      <c r="K123" s="10"/>
      <c r="L123" s="10"/>
      <c r="M123" s="10"/>
      <c r="N123" s="10"/>
      <c r="O123" s="10"/>
      <c r="P123" s="10"/>
      <c r="Q123" s="10"/>
      <c r="R123" s="10"/>
      <c r="S123" s="10"/>
      <c r="T123" s="10"/>
      <c r="U123" s="11"/>
      <c r="V123" s="11"/>
      <c r="W123" s="11"/>
      <c r="X123" s="11"/>
      <c r="Y123" s="11"/>
      <c r="Z123" s="12"/>
      <c r="AA123" s="12"/>
      <c r="AB123" s="12"/>
      <c r="AC123" s="11"/>
      <c r="AD123" s="12"/>
      <c r="AE123" s="12"/>
      <c r="AF123" s="12"/>
      <c r="AG123" s="70"/>
      <c r="AH123" s="70"/>
      <c r="AI123" s="70"/>
      <c r="AJ123" s="70"/>
      <c r="AK123" s="70"/>
      <c r="AL123" s="70"/>
    </row>
    <row r="124" spans="1:46">
      <c r="A124" s="8"/>
      <c r="B124" s="8"/>
      <c r="C124" s="8"/>
      <c r="F124" s="8"/>
      <c r="I124" s="10"/>
      <c r="J124" s="10"/>
      <c r="K124" s="10"/>
      <c r="L124" s="10"/>
      <c r="M124" s="10"/>
      <c r="N124" s="10"/>
      <c r="O124" s="10"/>
      <c r="P124" s="10"/>
      <c r="Q124" s="10"/>
      <c r="R124" s="10"/>
      <c r="S124" s="10"/>
      <c r="T124" s="10"/>
      <c r="U124" s="11"/>
      <c r="V124" s="11"/>
      <c r="W124" s="11"/>
      <c r="X124" s="11"/>
      <c r="Y124" s="11"/>
      <c r="Z124" s="12"/>
      <c r="AA124" s="12"/>
      <c r="AB124" s="12"/>
      <c r="AC124" s="11"/>
      <c r="AD124" s="12"/>
      <c r="AE124" s="12"/>
      <c r="AF124" s="12"/>
      <c r="AG124" s="70"/>
      <c r="AH124" s="70"/>
      <c r="AI124" s="70"/>
      <c r="AJ124" s="70"/>
      <c r="AK124" s="70"/>
      <c r="AL124" s="70"/>
    </row>
    <row r="125" spans="1:46">
      <c r="F125" s="8"/>
      <c r="I125" s="10"/>
      <c r="J125" s="10"/>
      <c r="K125" s="10"/>
      <c r="L125" s="10"/>
      <c r="M125" s="10"/>
      <c r="N125" s="10"/>
      <c r="O125" s="10"/>
      <c r="P125" s="10"/>
      <c r="Q125" s="10"/>
      <c r="R125" s="10"/>
      <c r="S125" s="10"/>
      <c r="T125" s="10"/>
      <c r="U125" s="11"/>
      <c r="V125" s="11"/>
      <c r="W125" s="11"/>
      <c r="X125" s="11"/>
      <c r="Y125" s="11"/>
      <c r="Z125" s="12"/>
      <c r="AA125" s="12"/>
      <c r="AB125" s="12"/>
      <c r="AC125" s="11"/>
      <c r="AD125" s="12"/>
      <c r="AE125" s="12"/>
      <c r="AF125" s="12"/>
      <c r="AG125" s="70"/>
      <c r="AH125" s="70"/>
      <c r="AI125" s="70"/>
      <c r="AJ125" s="70"/>
      <c r="AK125" s="70"/>
      <c r="AL125" s="70"/>
    </row>
    <row r="126" spans="1:46">
      <c r="F126" s="8"/>
      <c r="I126" s="10"/>
      <c r="J126" s="10"/>
      <c r="K126" s="10"/>
      <c r="L126" s="10"/>
      <c r="M126" s="10"/>
      <c r="N126" s="10"/>
      <c r="O126" s="10"/>
      <c r="P126" s="10"/>
      <c r="Q126" s="10"/>
      <c r="R126" s="10"/>
      <c r="S126" s="10"/>
      <c r="T126" s="10"/>
      <c r="U126" s="11"/>
      <c r="V126" s="11"/>
      <c r="W126" s="11"/>
      <c r="X126" s="11"/>
      <c r="Y126" s="11"/>
      <c r="Z126" s="12"/>
      <c r="AA126" s="12"/>
      <c r="AB126" s="12"/>
      <c r="AC126" s="11"/>
      <c r="AD126" s="12"/>
      <c r="AE126" s="12"/>
      <c r="AF126" s="12"/>
      <c r="AG126" s="70"/>
      <c r="AH126" s="70"/>
      <c r="AI126" s="70"/>
      <c r="AJ126" s="70"/>
      <c r="AK126" s="70"/>
      <c r="AL126" s="70"/>
    </row>
    <row r="127" spans="1:46">
      <c r="F127" s="8"/>
      <c r="U127" s="11"/>
      <c r="V127" s="11"/>
      <c r="W127" s="11"/>
      <c r="X127" s="11"/>
      <c r="Y127" s="11"/>
      <c r="Z127" s="12"/>
      <c r="AA127" s="12"/>
      <c r="AB127" s="12"/>
      <c r="AC127" s="11"/>
      <c r="AD127" s="12"/>
      <c r="AE127" s="12"/>
      <c r="AF127" s="12"/>
      <c r="AG127" s="70"/>
      <c r="AH127" s="70"/>
      <c r="AI127" s="70"/>
      <c r="AJ127" s="70"/>
      <c r="AK127" s="70"/>
      <c r="AL127" s="70"/>
    </row>
    <row r="128" spans="1:46">
      <c r="F128" s="8"/>
      <c r="U128" s="11"/>
      <c r="V128" s="11"/>
      <c r="W128" s="11"/>
      <c r="X128" s="11"/>
      <c r="Y128" s="11"/>
      <c r="Z128" s="12"/>
      <c r="AA128" s="12"/>
      <c r="AB128" s="12"/>
      <c r="AC128" s="11"/>
      <c r="AD128" s="12"/>
      <c r="AE128" s="12"/>
      <c r="AF128" s="12"/>
      <c r="AG128" s="70"/>
      <c r="AH128" s="70"/>
      <c r="AI128" s="70"/>
      <c r="AJ128" s="70"/>
      <c r="AK128" s="70"/>
      <c r="AL128" s="70"/>
    </row>
    <row r="129" spans="6:38">
      <c r="F129" s="8"/>
      <c r="U129" s="11"/>
      <c r="V129" s="11"/>
      <c r="W129" s="11"/>
      <c r="X129" s="11"/>
      <c r="Y129" s="11"/>
      <c r="Z129" s="12"/>
      <c r="AA129" s="12"/>
      <c r="AB129" s="12"/>
      <c r="AC129" s="11"/>
      <c r="AD129" s="12"/>
      <c r="AE129" s="12"/>
      <c r="AF129" s="12"/>
      <c r="AG129" s="70"/>
      <c r="AH129" s="70"/>
      <c r="AI129" s="70"/>
      <c r="AJ129" s="70"/>
      <c r="AK129" s="70"/>
      <c r="AL129" s="70"/>
    </row>
    <row r="130" spans="6:38">
      <c r="F130" s="8"/>
      <c r="U130" s="11"/>
      <c r="V130" s="11"/>
      <c r="W130" s="11"/>
      <c r="X130" s="11"/>
      <c r="Y130" s="11"/>
      <c r="Z130" s="12"/>
      <c r="AA130" s="12"/>
      <c r="AB130" s="12"/>
      <c r="AC130" s="11"/>
      <c r="AD130" s="12"/>
      <c r="AE130" s="12"/>
      <c r="AF130" s="12"/>
      <c r="AG130" s="70"/>
      <c r="AH130" s="70"/>
      <c r="AI130" s="70"/>
      <c r="AJ130" s="70"/>
      <c r="AK130" s="70"/>
      <c r="AL130" s="70"/>
    </row>
    <row r="131" spans="6:38">
      <c r="F131" s="8"/>
      <c r="U131" s="11"/>
      <c r="V131" s="11"/>
      <c r="W131" s="11"/>
      <c r="X131" s="11"/>
      <c r="Y131" s="11"/>
      <c r="Z131" s="12"/>
      <c r="AA131" s="12"/>
      <c r="AB131" s="12"/>
      <c r="AC131" s="11"/>
      <c r="AD131" s="12"/>
      <c r="AE131" s="12"/>
      <c r="AF131" s="12"/>
      <c r="AG131" s="70"/>
      <c r="AH131" s="70"/>
      <c r="AI131" s="70"/>
      <c r="AJ131" s="70"/>
      <c r="AK131" s="70"/>
      <c r="AL131" s="70"/>
    </row>
    <row r="132" spans="6:38">
      <c r="F132" s="8"/>
      <c r="U132" s="11"/>
      <c r="V132" s="11"/>
      <c r="W132" s="11"/>
      <c r="X132" s="11"/>
      <c r="Y132" s="11"/>
      <c r="Z132" s="12"/>
      <c r="AA132" s="12"/>
      <c r="AB132" s="12"/>
      <c r="AC132" s="11"/>
      <c r="AD132" s="12"/>
      <c r="AE132" s="12"/>
      <c r="AF132" s="12"/>
      <c r="AG132" s="70"/>
      <c r="AH132" s="70"/>
      <c r="AI132" s="70"/>
      <c r="AJ132" s="70"/>
      <c r="AK132" s="70"/>
      <c r="AL132" s="70"/>
    </row>
    <row r="133" spans="6:38">
      <c r="F133" s="8"/>
      <c r="U133" s="11"/>
      <c r="V133" s="11"/>
      <c r="W133" s="11"/>
      <c r="X133" s="11"/>
      <c r="Y133" s="11"/>
      <c r="Z133" s="12"/>
      <c r="AA133" s="12"/>
      <c r="AB133" s="12"/>
      <c r="AC133" s="11"/>
      <c r="AD133" s="12"/>
      <c r="AE133" s="12"/>
      <c r="AF133" s="12"/>
      <c r="AG133" s="70"/>
      <c r="AH133" s="70"/>
      <c r="AI133" s="70"/>
      <c r="AJ133" s="70"/>
      <c r="AK133" s="70"/>
      <c r="AL133" s="70"/>
    </row>
    <row r="134" spans="6:38">
      <c r="F134" s="8"/>
      <c r="U134" s="11"/>
      <c r="V134" s="11"/>
      <c r="W134" s="11"/>
      <c r="X134" s="11"/>
      <c r="Y134" s="11"/>
      <c r="Z134" s="12"/>
      <c r="AA134" s="12"/>
      <c r="AB134" s="12"/>
      <c r="AC134" s="11"/>
      <c r="AD134" s="12"/>
      <c r="AE134" s="12"/>
      <c r="AF134" s="12"/>
      <c r="AG134" s="70"/>
      <c r="AH134" s="70"/>
      <c r="AI134" s="70"/>
      <c r="AJ134" s="70"/>
      <c r="AK134" s="70"/>
      <c r="AL134" s="70"/>
    </row>
    <row r="135" spans="6:38">
      <c r="F135" s="8"/>
      <c r="U135" s="11"/>
      <c r="V135" s="11"/>
      <c r="W135" s="11"/>
      <c r="X135" s="11"/>
      <c r="Y135" s="11"/>
      <c r="Z135" s="12"/>
      <c r="AA135" s="12"/>
      <c r="AB135" s="12"/>
      <c r="AC135" s="11"/>
      <c r="AD135" s="12"/>
      <c r="AE135" s="12"/>
      <c r="AF135" s="12"/>
      <c r="AG135" s="70"/>
      <c r="AH135" s="70"/>
      <c r="AI135" s="70"/>
      <c r="AJ135" s="70"/>
      <c r="AK135" s="70"/>
      <c r="AL135" s="70"/>
    </row>
    <row r="136" spans="6:38">
      <c r="F136" s="8"/>
      <c r="U136" s="11"/>
      <c r="V136" s="11"/>
      <c r="W136" s="11"/>
      <c r="X136" s="11"/>
      <c r="Y136" s="11"/>
      <c r="Z136" s="12"/>
      <c r="AA136" s="12"/>
      <c r="AB136" s="12"/>
      <c r="AC136" s="11"/>
      <c r="AD136" s="12"/>
      <c r="AE136" s="12"/>
      <c r="AF136" s="12"/>
      <c r="AG136" s="70"/>
      <c r="AH136" s="70"/>
      <c r="AI136" s="70"/>
      <c r="AJ136" s="70"/>
      <c r="AK136" s="70"/>
      <c r="AL136" s="70"/>
    </row>
    <row r="137" spans="6:38">
      <c r="F137" s="8"/>
      <c r="AG137" s="70"/>
      <c r="AH137" s="70"/>
      <c r="AI137" s="70"/>
      <c r="AJ137" s="70"/>
      <c r="AK137" s="70"/>
      <c r="AL137" s="70"/>
    </row>
    <row r="138" spans="6:38">
      <c r="F138" s="8"/>
      <c r="AG138" s="70"/>
      <c r="AH138" s="70"/>
      <c r="AI138" s="70"/>
      <c r="AJ138" s="70"/>
      <c r="AK138" s="70"/>
      <c r="AL138" s="70"/>
    </row>
    <row r="139" spans="6:38">
      <c r="F139" s="8"/>
      <c r="AG139" s="70"/>
      <c r="AH139" s="70"/>
      <c r="AI139" s="70"/>
      <c r="AJ139" s="70"/>
      <c r="AK139" s="70"/>
      <c r="AL139" s="70"/>
    </row>
    <row r="140" spans="6:38">
      <c r="F140" s="8"/>
      <c r="AG140" s="70"/>
      <c r="AH140" s="70"/>
      <c r="AI140" s="70"/>
      <c r="AJ140" s="70"/>
      <c r="AK140" s="70"/>
      <c r="AL140" s="70"/>
    </row>
    <row r="141" spans="6:38">
      <c r="F141" s="8"/>
      <c r="AG141" s="70"/>
      <c r="AH141" s="70"/>
      <c r="AI141" s="70"/>
      <c r="AJ141" s="70"/>
      <c r="AK141" s="70"/>
      <c r="AL141" s="70"/>
    </row>
    <row r="142" spans="6:38">
      <c r="F142" s="8"/>
      <c r="AG142" s="70"/>
      <c r="AH142" s="70"/>
      <c r="AI142" s="70"/>
      <c r="AJ142" s="70"/>
      <c r="AK142" s="70"/>
      <c r="AL142" s="70"/>
    </row>
    <row r="143" spans="6:38">
      <c r="F143" s="8"/>
      <c r="AG143" s="70"/>
      <c r="AH143" s="70"/>
      <c r="AI143" s="70"/>
      <c r="AJ143" s="70"/>
      <c r="AK143" s="70"/>
      <c r="AL143" s="70"/>
    </row>
    <row r="144" spans="6:38">
      <c r="F144" s="8"/>
      <c r="AG144" s="70"/>
      <c r="AH144" s="70"/>
      <c r="AI144" s="70"/>
      <c r="AJ144" s="70"/>
      <c r="AK144" s="70"/>
      <c r="AL144" s="70"/>
    </row>
    <row r="145" spans="6:38">
      <c r="F145" s="8"/>
      <c r="AG145" s="70"/>
      <c r="AH145" s="70"/>
      <c r="AI145" s="70"/>
      <c r="AJ145" s="70"/>
      <c r="AK145" s="70"/>
      <c r="AL145" s="70"/>
    </row>
    <row r="146" spans="6:38">
      <c r="F146" s="8"/>
      <c r="AG146" s="70"/>
      <c r="AH146" s="70"/>
      <c r="AI146" s="70"/>
      <c r="AJ146" s="70"/>
      <c r="AK146" s="70"/>
      <c r="AL146" s="70"/>
    </row>
    <row r="147" spans="6:38">
      <c r="F147" s="8"/>
      <c r="AG147" s="70"/>
      <c r="AH147" s="70"/>
      <c r="AI147" s="70"/>
      <c r="AJ147" s="70"/>
      <c r="AK147" s="70"/>
      <c r="AL147" s="70"/>
    </row>
    <row r="148" spans="6:38">
      <c r="F148" s="8"/>
      <c r="AG148" s="70"/>
      <c r="AH148" s="70"/>
      <c r="AI148" s="70"/>
      <c r="AJ148" s="70"/>
      <c r="AK148" s="70"/>
      <c r="AL148" s="70"/>
    </row>
    <row r="149" spans="6:38">
      <c r="F149" s="8"/>
      <c r="AG149" s="70"/>
      <c r="AH149" s="70"/>
      <c r="AI149" s="70"/>
      <c r="AJ149" s="70"/>
      <c r="AK149" s="70"/>
      <c r="AL149" s="70"/>
    </row>
    <row r="150" spans="6:38">
      <c r="F150" s="8"/>
      <c r="AG150" s="70"/>
      <c r="AH150" s="70"/>
      <c r="AI150" s="70"/>
      <c r="AJ150" s="70"/>
      <c r="AK150" s="70"/>
      <c r="AL150" s="70"/>
    </row>
    <row r="151" spans="6:38">
      <c r="F151" s="8"/>
      <c r="AG151" s="70"/>
      <c r="AH151" s="70"/>
      <c r="AI151" s="70"/>
      <c r="AJ151" s="70"/>
      <c r="AK151" s="70"/>
      <c r="AL151" s="70"/>
    </row>
    <row r="152" spans="6:38">
      <c r="F152" s="8"/>
      <c r="AG152" s="70"/>
      <c r="AH152" s="70"/>
      <c r="AI152" s="70"/>
      <c r="AJ152" s="70"/>
      <c r="AK152" s="70"/>
      <c r="AL152" s="70"/>
    </row>
    <row r="153" spans="6:38">
      <c r="F153" s="8"/>
      <c r="AG153" s="70"/>
      <c r="AH153" s="70"/>
      <c r="AI153" s="70"/>
      <c r="AJ153" s="70"/>
      <c r="AK153" s="70"/>
      <c r="AL153" s="70"/>
    </row>
    <row r="154" spans="6:38">
      <c r="F154" s="8"/>
      <c r="AG154" s="70"/>
      <c r="AH154" s="70"/>
      <c r="AI154" s="70"/>
      <c r="AJ154" s="70"/>
      <c r="AK154" s="70"/>
      <c r="AL154" s="70"/>
    </row>
    <row r="155" spans="6:38">
      <c r="F155" s="8"/>
      <c r="AG155" s="70"/>
      <c r="AH155" s="70"/>
      <c r="AI155" s="70"/>
      <c r="AJ155" s="70"/>
      <c r="AK155" s="70"/>
      <c r="AL155" s="70"/>
    </row>
    <row r="156" spans="6:38">
      <c r="F156" s="8"/>
      <c r="AG156" s="70"/>
      <c r="AH156" s="70"/>
      <c r="AI156" s="70"/>
      <c r="AJ156" s="70"/>
      <c r="AK156" s="70"/>
      <c r="AL156" s="70"/>
    </row>
    <row r="157" spans="6:38">
      <c r="F157" s="8"/>
      <c r="AG157" s="70"/>
      <c r="AH157" s="70"/>
      <c r="AI157" s="70"/>
      <c r="AJ157" s="70"/>
      <c r="AK157" s="70"/>
      <c r="AL157" s="70"/>
    </row>
    <row r="158" spans="6:38">
      <c r="F158" s="8"/>
      <c r="AG158" s="70"/>
      <c r="AH158" s="70"/>
      <c r="AI158" s="70"/>
      <c r="AJ158" s="70"/>
      <c r="AK158" s="70"/>
      <c r="AL158" s="70"/>
    </row>
    <row r="159" spans="6:38">
      <c r="F159" s="8"/>
      <c r="AG159" s="70"/>
      <c r="AH159" s="70"/>
      <c r="AI159" s="70"/>
      <c r="AJ159" s="70"/>
      <c r="AK159" s="70"/>
      <c r="AL159" s="70"/>
    </row>
    <row r="160" spans="6:38">
      <c r="F160" s="8"/>
      <c r="AG160" s="70"/>
      <c r="AH160" s="70"/>
      <c r="AI160" s="70"/>
      <c r="AJ160" s="70"/>
      <c r="AK160" s="70"/>
      <c r="AL160" s="70"/>
    </row>
    <row r="161" spans="6:38">
      <c r="F161" s="8"/>
      <c r="AG161" s="70"/>
      <c r="AH161" s="70"/>
      <c r="AI161" s="70"/>
      <c r="AJ161" s="70"/>
      <c r="AK161" s="70"/>
      <c r="AL161" s="70"/>
    </row>
    <row r="162" spans="6:38">
      <c r="F162" s="8"/>
      <c r="AG162" s="70"/>
      <c r="AH162" s="70"/>
      <c r="AI162" s="70"/>
      <c r="AJ162" s="70"/>
      <c r="AK162" s="70"/>
      <c r="AL162" s="70"/>
    </row>
    <row r="163" spans="6:38">
      <c r="F163" s="8"/>
      <c r="AG163" s="70"/>
      <c r="AH163" s="70"/>
      <c r="AI163" s="70"/>
      <c r="AJ163" s="70"/>
      <c r="AK163" s="70"/>
      <c r="AL163" s="70"/>
    </row>
    <row r="164" spans="6:38">
      <c r="F164" s="8"/>
      <c r="AG164" s="70"/>
      <c r="AH164" s="70"/>
      <c r="AI164" s="70"/>
      <c r="AJ164" s="70"/>
      <c r="AK164" s="70"/>
      <c r="AL164" s="70"/>
    </row>
    <row r="165" spans="6:38">
      <c r="F165" s="8"/>
      <c r="AG165" s="70"/>
      <c r="AH165" s="70"/>
      <c r="AI165" s="70"/>
      <c r="AJ165" s="70"/>
      <c r="AK165" s="70"/>
      <c r="AL165" s="70"/>
    </row>
    <row r="166" spans="6:38">
      <c r="F166" s="8"/>
      <c r="AG166" s="70"/>
      <c r="AH166" s="70"/>
      <c r="AI166" s="70"/>
      <c r="AJ166" s="70"/>
      <c r="AK166" s="70"/>
      <c r="AL166" s="70"/>
    </row>
    <row r="167" spans="6:38">
      <c r="F167" s="8"/>
      <c r="AG167" s="70"/>
      <c r="AH167" s="70"/>
      <c r="AI167" s="70"/>
      <c r="AJ167" s="70"/>
      <c r="AK167" s="70"/>
      <c r="AL167" s="70"/>
    </row>
    <row r="168" spans="6:38">
      <c r="F168" s="8"/>
      <c r="AG168" s="70"/>
      <c r="AH168" s="70"/>
      <c r="AI168" s="70"/>
      <c r="AJ168" s="70"/>
      <c r="AK168" s="70"/>
      <c r="AL168" s="70"/>
    </row>
    <row r="169" spans="6:38">
      <c r="F169" s="8"/>
      <c r="AG169" s="70"/>
      <c r="AH169" s="70"/>
      <c r="AI169" s="70"/>
      <c r="AJ169" s="70"/>
      <c r="AK169" s="70"/>
      <c r="AL169" s="70"/>
    </row>
    <row r="170" spans="6:38">
      <c r="F170" s="8"/>
      <c r="AG170" s="70"/>
      <c r="AH170" s="70"/>
      <c r="AI170" s="70"/>
      <c r="AJ170" s="70"/>
      <c r="AK170" s="70"/>
      <c r="AL170" s="70"/>
    </row>
    <row r="171" spans="6:38">
      <c r="F171" s="8"/>
      <c r="AG171" s="70"/>
      <c r="AH171" s="70"/>
      <c r="AI171" s="70"/>
      <c r="AJ171" s="70"/>
      <c r="AK171" s="70"/>
      <c r="AL171" s="70"/>
    </row>
    <row r="172" spans="6:38">
      <c r="F172" s="8"/>
      <c r="AG172" s="70"/>
      <c r="AH172" s="70"/>
      <c r="AI172" s="70"/>
      <c r="AJ172" s="70"/>
      <c r="AK172" s="70"/>
      <c r="AL172" s="70"/>
    </row>
    <row r="173" spans="6:38">
      <c r="F173" s="8"/>
      <c r="AG173" s="70"/>
      <c r="AH173" s="70"/>
      <c r="AI173" s="70"/>
      <c r="AJ173" s="70"/>
      <c r="AK173" s="70"/>
      <c r="AL173" s="70"/>
    </row>
    <row r="174" spans="6:38">
      <c r="F174" s="8"/>
      <c r="AG174" s="70"/>
      <c r="AH174" s="70"/>
      <c r="AI174" s="70"/>
      <c r="AJ174" s="70"/>
      <c r="AK174" s="70"/>
      <c r="AL174" s="70"/>
    </row>
    <row r="175" spans="6:38">
      <c r="F175" s="8"/>
      <c r="AG175" s="70"/>
      <c r="AH175" s="70"/>
      <c r="AI175" s="70"/>
      <c r="AJ175" s="70"/>
      <c r="AK175" s="70"/>
      <c r="AL175" s="70"/>
    </row>
    <row r="176" spans="6:38">
      <c r="F176" s="8"/>
      <c r="AG176" s="70"/>
      <c r="AH176" s="70"/>
      <c r="AI176" s="70"/>
      <c r="AJ176" s="70"/>
      <c r="AK176" s="70"/>
      <c r="AL176" s="70"/>
    </row>
    <row r="177" spans="6:38">
      <c r="F177" s="8"/>
      <c r="AG177" s="70"/>
      <c r="AH177" s="70"/>
      <c r="AI177" s="70"/>
      <c r="AJ177" s="70"/>
      <c r="AK177" s="70"/>
      <c r="AL177" s="70"/>
    </row>
    <row r="178" spans="6:38">
      <c r="F178" s="8"/>
      <c r="AG178" s="70"/>
      <c r="AH178" s="70"/>
      <c r="AI178" s="70"/>
      <c r="AJ178" s="70"/>
      <c r="AK178" s="70"/>
      <c r="AL178" s="70"/>
    </row>
    <row r="179" spans="6:38">
      <c r="F179" s="8"/>
      <c r="AG179" s="70"/>
      <c r="AH179" s="70"/>
      <c r="AI179" s="70"/>
      <c r="AJ179" s="70"/>
      <c r="AK179" s="70"/>
      <c r="AL179" s="70"/>
    </row>
    <row r="180" spans="6:38">
      <c r="F180" s="8"/>
      <c r="AG180" s="70"/>
      <c r="AH180" s="70"/>
      <c r="AI180" s="70"/>
      <c r="AJ180" s="70"/>
      <c r="AK180" s="70"/>
      <c r="AL180" s="70"/>
    </row>
    <row r="181" spans="6:38">
      <c r="F181" s="8"/>
      <c r="AG181" s="70"/>
      <c r="AH181" s="70"/>
      <c r="AI181" s="70"/>
      <c r="AJ181" s="70"/>
      <c r="AK181" s="70"/>
      <c r="AL181" s="70"/>
    </row>
    <row r="182" spans="6:38">
      <c r="F182" s="8"/>
      <c r="AG182" s="70"/>
      <c r="AH182" s="70"/>
      <c r="AI182" s="70"/>
      <c r="AJ182" s="70"/>
      <c r="AK182" s="70"/>
      <c r="AL182" s="70"/>
    </row>
    <row r="183" spans="6:38">
      <c r="F183" s="8"/>
      <c r="AG183" s="70"/>
      <c r="AH183" s="70"/>
      <c r="AI183" s="70"/>
      <c r="AJ183" s="70"/>
      <c r="AK183" s="70"/>
      <c r="AL183" s="70"/>
    </row>
    <row r="184" spans="6:38">
      <c r="F184" s="8"/>
      <c r="AG184" s="70"/>
      <c r="AH184" s="70"/>
      <c r="AI184" s="70"/>
      <c r="AJ184" s="70"/>
      <c r="AK184" s="70"/>
      <c r="AL184" s="70"/>
    </row>
    <row r="185" spans="6:38">
      <c r="F185" s="8"/>
      <c r="AG185" s="70"/>
      <c r="AH185" s="70"/>
      <c r="AI185" s="70"/>
      <c r="AJ185" s="70"/>
      <c r="AK185" s="70"/>
      <c r="AL185" s="70"/>
    </row>
    <row r="186" spans="6:38">
      <c r="F186" s="8"/>
      <c r="AG186" s="70"/>
      <c r="AH186" s="70"/>
      <c r="AI186" s="70"/>
      <c r="AJ186" s="70"/>
      <c r="AK186" s="70"/>
      <c r="AL186" s="70"/>
    </row>
    <row r="187" spans="6:38">
      <c r="F187" s="8"/>
      <c r="AG187" s="70"/>
      <c r="AH187" s="70"/>
      <c r="AI187" s="70"/>
      <c r="AJ187" s="70"/>
      <c r="AK187" s="70"/>
      <c r="AL187" s="70"/>
    </row>
    <row r="188" spans="6:38">
      <c r="F188" s="8"/>
      <c r="AG188" s="70"/>
      <c r="AH188" s="70"/>
      <c r="AI188" s="70"/>
      <c r="AJ188" s="70"/>
      <c r="AK188" s="70"/>
      <c r="AL188" s="70"/>
    </row>
    <row r="189" spans="6:38">
      <c r="F189" s="8"/>
      <c r="AG189" s="70"/>
      <c r="AH189" s="70"/>
      <c r="AI189" s="70"/>
      <c r="AJ189" s="70"/>
      <c r="AK189" s="70"/>
      <c r="AL189" s="70"/>
    </row>
    <row r="190" spans="6:38">
      <c r="F190" s="8"/>
      <c r="AG190" s="70"/>
      <c r="AH190" s="70"/>
      <c r="AI190" s="70"/>
      <c r="AJ190" s="70"/>
      <c r="AK190" s="70"/>
      <c r="AL190" s="70"/>
    </row>
    <row r="191" spans="6:38">
      <c r="F191" s="8"/>
      <c r="AG191" s="70"/>
      <c r="AH191" s="70"/>
      <c r="AI191" s="70"/>
      <c r="AJ191" s="70"/>
      <c r="AK191" s="70"/>
      <c r="AL191" s="70"/>
    </row>
    <row r="192" spans="6:38">
      <c r="F192" s="8"/>
      <c r="AG192" s="70"/>
      <c r="AH192" s="70"/>
      <c r="AI192" s="70"/>
      <c r="AJ192" s="70"/>
      <c r="AK192" s="70"/>
      <c r="AL192" s="70"/>
    </row>
    <row r="193" spans="6:38">
      <c r="F193" s="8"/>
      <c r="AG193" s="70"/>
      <c r="AH193" s="70"/>
      <c r="AI193" s="70"/>
      <c r="AJ193" s="70"/>
      <c r="AK193" s="70"/>
      <c r="AL193" s="70"/>
    </row>
    <row r="194" spans="6:38">
      <c r="F194" s="8"/>
      <c r="AG194" s="70"/>
      <c r="AH194" s="70"/>
      <c r="AI194" s="70"/>
      <c r="AJ194" s="70"/>
      <c r="AK194" s="70"/>
      <c r="AL194" s="70"/>
    </row>
    <row r="195" spans="6:38">
      <c r="F195" s="8"/>
      <c r="AG195" s="70"/>
      <c r="AH195" s="70"/>
      <c r="AI195" s="70"/>
      <c r="AJ195" s="70"/>
      <c r="AK195" s="70"/>
      <c r="AL195" s="70"/>
    </row>
    <row r="196" spans="6:38">
      <c r="F196" s="8"/>
      <c r="AG196" s="70"/>
      <c r="AH196" s="70"/>
      <c r="AI196" s="70"/>
      <c r="AJ196" s="70"/>
      <c r="AK196" s="70"/>
      <c r="AL196" s="70"/>
    </row>
    <row r="197" spans="6:38">
      <c r="F197" s="8"/>
      <c r="AG197" s="70"/>
      <c r="AH197" s="70"/>
      <c r="AI197" s="70"/>
      <c r="AJ197" s="70"/>
      <c r="AK197" s="70"/>
      <c r="AL197" s="70"/>
    </row>
    <row r="198" spans="6:38">
      <c r="F198" s="8"/>
      <c r="AG198" s="70"/>
      <c r="AH198" s="70"/>
      <c r="AI198" s="70"/>
      <c r="AJ198" s="70"/>
      <c r="AK198" s="70"/>
      <c r="AL198" s="70"/>
    </row>
    <row r="199" spans="6:38">
      <c r="F199" s="8"/>
      <c r="AG199" s="70"/>
      <c r="AH199" s="70"/>
      <c r="AI199" s="70"/>
      <c r="AJ199" s="70"/>
      <c r="AK199" s="70"/>
      <c r="AL199" s="70"/>
    </row>
    <row r="200" spans="6:38">
      <c r="F200" s="8"/>
      <c r="AG200" s="70"/>
      <c r="AH200" s="70"/>
      <c r="AI200" s="70"/>
      <c r="AJ200" s="70"/>
      <c r="AK200" s="70"/>
      <c r="AL200" s="70"/>
    </row>
    <row r="201" spans="6:38">
      <c r="F201" s="8"/>
      <c r="AG201" s="70"/>
      <c r="AH201" s="70"/>
      <c r="AI201" s="70"/>
      <c r="AJ201" s="70"/>
      <c r="AK201" s="70"/>
      <c r="AL201" s="70"/>
    </row>
    <row r="202" spans="6:38">
      <c r="F202" s="8"/>
      <c r="AG202" s="70"/>
      <c r="AH202" s="70"/>
      <c r="AI202" s="70"/>
      <c r="AJ202" s="70"/>
      <c r="AK202" s="70"/>
      <c r="AL202" s="70"/>
    </row>
    <row r="203" spans="6:38">
      <c r="F203" s="8"/>
      <c r="AG203" s="70"/>
      <c r="AH203" s="70"/>
      <c r="AI203" s="70"/>
      <c r="AJ203" s="70"/>
      <c r="AK203" s="70"/>
      <c r="AL203" s="70"/>
    </row>
    <row r="204" spans="6:38">
      <c r="F204" s="8"/>
      <c r="AG204" s="70"/>
      <c r="AH204" s="70"/>
      <c r="AI204" s="70"/>
      <c r="AJ204" s="70"/>
      <c r="AK204" s="70"/>
      <c r="AL204" s="70"/>
    </row>
    <row r="205" spans="6:38">
      <c r="F205" s="8"/>
      <c r="AG205" s="70"/>
      <c r="AH205" s="70"/>
      <c r="AI205" s="70"/>
      <c r="AJ205" s="70"/>
      <c r="AK205" s="70"/>
      <c r="AL205" s="70"/>
    </row>
    <row r="206" spans="6:38">
      <c r="F206" s="8"/>
      <c r="AG206" s="70"/>
      <c r="AH206" s="70"/>
      <c r="AI206" s="70"/>
      <c r="AJ206" s="70"/>
      <c r="AK206" s="70"/>
      <c r="AL206" s="70"/>
    </row>
    <row r="207" spans="6:38">
      <c r="F207" s="8"/>
      <c r="AG207" s="70"/>
      <c r="AH207" s="70"/>
      <c r="AI207" s="70"/>
      <c r="AJ207" s="70"/>
      <c r="AK207" s="70"/>
      <c r="AL207" s="70"/>
    </row>
    <row r="208" spans="6:38">
      <c r="F208" s="8"/>
      <c r="AG208" s="70"/>
      <c r="AH208" s="70"/>
      <c r="AI208" s="70"/>
      <c r="AJ208" s="70"/>
      <c r="AK208" s="70"/>
      <c r="AL208" s="70"/>
    </row>
    <row r="209" spans="6:38">
      <c r="F209" s="8"/>
      <c r="AG209" s="70"/>
      <c r="AH209" s="70"/>
      <c r="AI209" s="70"/>
      <c r="AJ209" s="70"/>
      <c r="AK209" s="70"/>
      <c r="AL209" s="70"/>
    </row>
    <row r="210" spans="6:38">
      <c r="F210" s="8"/>
      <c r="AG210" s="70"/>
      <c r="AH210" s="70"/>
      <c r="AI210" s="70"/>
      <c r="AJ210" s="70"/>
      <c r="AK210" s="70"/>
      <c r="AL210" s="70"/>
    </row>
    <row r="211" spans="6:38">
      <c r="F211" s="8"/>
      <c r="AG211" s="70"/>
      <c r="AH211" s="70"/>
      <c r="AI211" s="70"/>
      <c r="AJ211" s="70"/>
      <c r="AK211" s="70"/>
      <c r="AL211" s="70"/>
    </row>
    <row r="212" spans="6:38">
      <c r="F212" s="8"/>
      <c r="AG212" s="70"/>
      <c r="AH212" s="70"/>
      <c r="AI212" s="70"/>
      <c r="AJ212" s="70"/>
      <c r="AK212" s="70"/>
      <c r="AL212" s="70"/>
    </row>
    <row r="213" spans="6:38">
      <c r="F213" s="8"/>
      <c r="AG213" s="70"/>
      <c r="AH213" s="70"/>
      <c r="AI213" s="70"/>
      <c r="AJ213" s="70"/>
      <c r="AK213" s="70"/>
      <c r="AL213" s="70"/>
    </row>
    <row r="214" spans="6:38">
      <c r="F214" s="8"/>
      <c r="AG214" s="70"/>
      <c r="AH214" s="70"/>
      <c r="AI214" s="70"/>
      <c r="AJ214" s="70"/>
      <c r="AK214" s="70"/>
      <c r="AL214" s="70"/>
    </row>
    <row r="215" spans="6:38">
      <c r="F215" s="8"/>
      <c r="AG215" s="70"/>
      <c r="AH215" s="70"/>
      <c r="AI215" s="70"/>
      <c r="AJ215" s="70"/>
      <c r="AK215" s="70"/>
      <c r="AL215" s="70"/>
    </row>
    <row r="216" spans="6:38">
      <c r="F216" s="8"/>
      <c r="AG216" s="70"/>
      <c r="AH216" s="70"/>
      <c r="AI216" s="70"/>
      <c r="AJ216" s="70"/>
      <c r="AK216" s="70"/>
      <c r="AL216" s="70"/>
    </row>
    <row r="217" spans="6:38">
      <c r="F217" s="8"/>
      <c r="AG217" s="70"/>
      <c r="AH217" s="70"/>
      <c r="AI217" s="70"/>
      <c r="AJ217" s="70"/>
      <c r="AK217" s="70"/>
      <c r="AL217" s="70"/>
    </row>
    <row r="218" spans="6:38">
      <c r="F218" s="8"/>
      <c r="AG218" s="70"/>
      <c r="AH218" s="70"/>
      <c r="AI218" s="70"/>
      <c r="AJ218" s="70"/>
      <c r="AK218" s="70"/>
      <c r="AL218" s="70"/>
    </row>
    <row r="219" spans="6:38">
      <c r="F219" s="8"/>
      <c r="AG219" s="70"/>
      <c r="AH219" s="70"/>
      <c r="AI219" s="70"/>
      <c r="AJ219" s="70"/>
      <c r="AK219" s="70"/>
      <c r="AL219" s="70"/>
    </row>
    <row r="220" spans="6:38">
      <c r="F220" s="8"/>
      <c r="AG220" s="70"/>
      <c r="AH220" s="70"/>
      <c r="AI220" s="70"/>
      <c r="AJ220" s="70"/>
      <c r="AK220" s="70"/>
      <c r="AL220" s="70"/>
    </row>
    <row r="221" spans="6:38">
      <c r="F221" s="8"/>
      <c r="AG221" s="70"/>
      <c r="AH221" s="70"/>
      <c r="AI221" s="70"/>
      <c r="AJ221" s="70"/>
      <c r="AK221" s="70"/>
      <c r="AL221" s="70"/>
    </row>
    <row r="222" spans="6:38">
      <c r="F222" s="8"/>
      <c r="AG222" s="70"/>
      <c r="AH222" s="70"/>
      <c r="AI222" s="70"/>
      <c r="AJ222" s="70"/>
      <c r="AK222" s="70"/>
      <c r="AL222" s="70"/>
    </row>
    <row r="223" spans="6:38">
      <c r="F223" s="8"/>
      <c r="AG223" s="70"/>
      <c r="AH223" s="70"/>
      <c r="AI223" s="70"/>
      <c r="AJ223" s="70"/>
      <c r="AK223" s="70"/>
      <c r="AL223" s="70"/>
    </row>
    <row r="224" spans="6:38">
      <c r="F224" s="8"/>
      <c r="AG224" s="70"/>
      <c r="AH224" s="70"/>
      <c r="AI224" s="70"/>
      <c r="AJ224" s="70"/>
      <c r="AK224" s="70"/>
      <c r="AL224" s="70"/>
    </row>
    <row r="225" spans="6:38">
      <c r="F225" s="8"/>
      <c r="AG225" s="70"/>
      <c r="AH225" s="70"/>
      <c r="AI225" s="70"/>
      <c r="AJ225" s="70"/>
      <c r="AK225" s="70"/>
      <c r="AL225" s="70"/>
    </row>
    <row r="226" spans="6:38">
      <c r="F226" s="8"/>
      <c r="AG226" s="70"/>
      <c r="AH226" s="70"/>
      <c r="AI226" s="70"/>
      <c r="AJ226" s="70"/>
      <c r="AK226" s="70"/>
      <c r="AL226" s="70"/>
    </row>
    <row r="227" spans="6:38">
      <c r="F227" s="8"/>
      <c r="AG227" s="70"/>
      <c r="AH227" s="70"/>
      <c r="AI227" s="70"/>
      <c r="AJ227" s="70"/>
      <c r="AK227" s="70"/>
      <c r="AL227" s="70"/>
    </row>
    <row r="228" spans="6:38">
      <c r="F228" s="8"/>
      <c r="AG228" s="70"/>
      <c r="AH228" s="70"/>
      <c r="AI228" s="70"/>
      <c r="AJ228" s="70"/>
      <c r="AK228" s="70"/>
      <c r="AL228" s="70"/>
    </row>
    <row r="229" spans="6:38">
      <c r="F229" s="8"/>
      <c r="AG229" s="70"/>
      <c r="AH229" s="70"/>
      <c r="AI229" s="70"/>
      <c r="AJ229" s="70"/>
      <c r="AK229" s="70"/>
      <c r="AL229" s="70"/>
    </row>
    <row r="230" spans="6:38">
      <c r="F230" s="8"/>
      <c r="AG230" s="70"/>
      <c r="AH230" s="70"/>
      <c r="AI230" s="70"/>
      <c r="AJ230" s="70"/>
      <c r="AK230" s="70"/>
      <c r="AL230" s="70"/>
    </row>
    <row r="231" spans="6:38">
      <c r="F231" s="8"/>
      <c r="AG231" s="70"/>
      <c r="AH231" s="70"/>
      <c r="AI231" s="70"/>
      <c r="AJ231" s="70"/>
      <c r="AK231" s="70"/>
      <c r="AL231" s="70"/>
    </row>
    <row r="232" spans="6:38">
      <c r="F232" s="8"/>
      <c r="AG232" s="70"/>
      <c r="AH232" s="70"/>
      <c r="AI232" s="70"/>
      <c r="AJ232" s="70"/>
      <c r="AK232" s="70"/>
      <c r="AL232" s="70"/>
    </row>
    <row r="233" spans="6:38">
      <c r="F233" s="8"/>
      <c r="AG233" s="70"/>
      <c r="AH233" s="70"/>
      <c r="AI233" s="70"/>
      <c r="AJ233" s="70"/>
      <c r="AK233" s="70"/>
      <c r="AL233" s="70"/>
    </row>
    <row r="234" spans="6:38">
      <c r="F234" s="8"/>
      <c r="AG234" s="70"/>
      <c r="AH234" s="70"/>
      <c r="AI234" s="70"/>
      <c r="AJ234" s="70"/>
      <c r="AK234" s="70"/>
      <c r="AL234" s="70"/>
    </row>
    <row r="235" spans="6:38">
      <c r="F235" s="8"/>
      <c r="AG235" s="70"/>
      <c r="AH235" s="70"/>
      <c r="AI235" s="70"/>
      <c r="AJ235" s="70"/>
      <c r="AK235" s="70"/>
      <c r="AL235" s="70"/>
    </row>
    <row r="236" spans="6:38">
      <c r="F236" s="8"/>
      <c r="AG236" s="70"/>
      <c r="AH236" s="70"/>
      <c r="AI236" s="70"/>
      <c r="AJ236" s="70"/>
      <c r="AK236" s="70"/>
      <c r="AL236" s="70"/>
    </row>
    <row r="237" spans="6:38">
      <c r="F237" s="8"/>
      <c r="AG237" s="70"/>
      <c r="AH237" s="70"/>
      <c r="AI237" s="70"/>
      <c r="AJ237" s="70"/>
      <c r="AK237" s="70"/>
      <c r="AL237" s="70"/>
    </row>
    <row r="238" spans="6:38">
      <c r="F238" s="8"/>
      <c r="AG238" s="70"/>
      <c r="AH238" s="70"/>
      <c r="AI238" s="70"/>
      <c r="AJ238" s="70"/>
      <c r="AK238" s="70"/>
      <c r="AL238" s="70"/>
    </row>
    <row r="239" spans="6:38">
      <c r="F239" s="8"/>
      <c r="AG239" s="70"/>
      <c r="AH239" s="70"/>
      <c r="AI239" s="70"/>
      <c r="AJ239" s="70"/>
      <c r="AK239" s="70"/>
      <c r="AL239" s="70"/>
    </row>
    <row r="240" spans="6:38">
      <c r="F240" s="8"/>
      <c r="AG240" s="70"/>
      <c r="AH240" s="70"/>
      <c r="AI240" s="70"/>
      <c r="AJ240" s="70"/>
      <c r="AK240" s="70"/>
      <c r="AL240" s="70"/>
    </row>
    <row r="241" spans="6:38">
      <c r="F241" s="8"/>
      <c r="AG241" s="70"/>
      <c r="AH241" s="70"/>
      <c r="AI241" s="70"/>
      <c r="AJ241" s="70"/>
      <c r="AK241" s="70"/>
      <c r="AL241" s="70"/>
    </row>
    <row r="242" spans="6:38">
      <c r="F242" s="8"/>
      <c r="AG242" s="70"/>
      <c r="AH242" s="70"/>
      <c r="AI242" s="70"/>
      <c r="AJ242" s="70"/>
      <c r="AK242" s="70"/>
      <c r="AL242" s="70"/>
    </row>
    <row r="243" spans="6:38">
      <c r="F243" s="8"/>
      <c r="AG243" s="70"/>
      <c r="AH243" s="70"/>
      <c r="AI243" s="70"/>
      <c r="AJ243" s="70"/>
      <c r="AK243" s="70"/>
      <c r="AL243" s="70"/>
    </row>
    <row r="244" spans="6:38">
      <c r="F244" s="8"/>
      <c r="AG244" s="70"/>
      <c r="AH244" s="70"/>
      <c r="AI244" s="70"/>
      <c r="AJ244" s="70"/>
      <c r="AK244" s="70"/>
      <c r="AL244" s="70"/>
    </row>
    <row r="245" spans="6:38">
      <c r="F245" s="8"/>
      <c r="AG245" s="70"/>
      <c r="AH245" s="70"/>
      <c r="AI245" s="70"/>
      <c r="AJ245" s="70"/>
      <c r="AK245" s="70"/>
      <c r="AL245" s="70"/>
    </row>
    <row r="246" spans="6:38">
      <c r="F246" s="8"/>
      <c r="AG246" s="70"/>
      <c r="AH246" s="70"/>
      <c r="AI246" s="70"/>
      <c r="AJ246" s="70"/>
      <c r="AK246" s="70"/>
      <c r="AL246" s="70"/>
    </row>
    <row r="247" spans="6:38">
      <c r="F247" s="8"/>
      <c r="AG247" s="70"/>
      <c r="AH247" s="70"/>
      <c r="AI247" s="70"/>
      <c r="AJ247" s="70"/>
      <c r="AK247" s="70"/>
      <c r="AL247" s="70"/>
    </row>
    <row r="248" spans="6:38">
      <c r="F248" s="8"/>
      <c r="AG248" s="70"/>
      <c r="AH248" s="70"/>
      <c r="AI248" s="70"/>
      <c r="AJ248" s="70"/>
      <c r="AK248" s="70"/>
      <c r="AL248" s="70"/>
    </row>
    <row r="249" spans="6:38">
      <c r="F249" s="8"/>
      <c r="AG249" s="70"/>
      <c r="AH249" s="70"/>
      <c r="AI249" s="70"/>
      <c r="AJ249" s="70"/>
      <c r="AK249" s="70"/>
      <c r="AL249" s="70"/>
    </row>
    <row r="250" spans="6:38">
      <c r="F250" s="8"/>
      <c r="AG250" s="70"/>
      <c r="AH250" s="70"/>
      <c r="AI250" s="70"/>
      <c r="AJ250" s="70"/>
      <c r="AK250" s="70"/>
      <c r="AL250" s="70"/>
    </row>
    <row r="251" spans="6:38">
      <c r="F251" s="8"/>
      <c r="AG251" s="70"/>
      <c r="AH251" s="70"/>
      <c r="AI251" s="70"/>
      <c r="AJ251" s="70"/>
      <c r="AK251" s="70"/>
      <c r="AL251" s="70"/>
    </row>
    <row r="252" spans="6:38">
      <c r="F252" s="8"/>
      <c r="AG252" s="70"/>
      <c r="AH252" s="70"/>
      <c r="AI252" s="70"/>
      <c r="AJ252" s="70"/>
      <c r="AK252" s="70"/>
      <c r="AL252" s="70"/>
    </row>
    <row r="253" spans="6:38">
      <c r="F253" s="8"/>
      <c r="AG253" s="70"/>
      <c r="AH253" s="70"/>
      <c r="AI253" s="70"/>
      <c r="AJ253" s="70"/>
      <c r="AK253" s="70"/>
      <c r="AL253" s="70"/>
    </row>
    <row r="254" spans="6:38">
      <c r="F254" s="8"/>
      <c r="AG254" s="70"/>
      <c r="AH254" s="70"/>
      <c r="AI254" s="70"/>
      <c r="AJ254" s="70"/>
      <c r="AK254" s="70"/>
      <c r="AL254" s="70"/>
    </row>
    <row r="255" spans="6:38">
      <c r="F255" s="8"/>
      <c r="AG255" s="70"/>
      <c r="AH255" s="70"/>
      <c r="AI255" s="70"/>
      <c r="AJ255" s="70"/>
      <c r="AK255" s="70"/>
      <c r="AL255" s="70"/>
    </row>
    <row r="256" spans="6:38">
      <c r="F256" s="8"/>
      <c r="AG256" s="70"/>
      <c r="AH256" s="70"/>
      <c r="AI256" s="70"/>
      <c r="AJ256" s="70"/>
      <c r="AK256" s="70"/>
      <c r="AL256" s="70"/>
    </row>
    <row r="257" spans="6:38">
      <c r="F257" s="8"/>
      <c r="AG257" s="70"/>
      <c r="AH257" s="70"/>
      <c r="AI257" s="70"/>
      <c r="AJ257" s="70"/>
      <c r="AK257" s="70"/>
      <c r="AL257" s="70"/>
    </row>
    <row r="258" spans="6:38">
      <c r="F258" s="8"/>
      <c r="AG258" s="70"/>
      <c r="AH258" s="70"/>
      <c r="AI258" s="70"/>
      <c r="AJ258" s="70"/>
      <c r="AK258" s="70"/>
      <c r="AL258" s="70"/>
    </row>
    <row r="259" spans="6:38">
      <c r="F259" s="8"/>
      <c r="AG259" s="70"/>
      <c r="AH259" s="70"/>
      <c r="AI259" s="70"/>
      <c r="AJ259" s="70"/>
      <c r="AK259" s="70"/>
      <c r="AL259" s="70"/>
    </row>
    <row r="260" spans="6:38">
      <c r="F260" s="8"/>
      <c r="AG260" s="70"/>
      <c r="AH260" s="70"/>
      <c r="AI260" s="70"/>
      <c r="AJ260" s="70"/>
      <c r="AK260" s="70"/>
      <c r="AL260" s="70"/>
    </row>
    <row r="261" spans="6:38">
      <c r="F261" s="8"/>
      <c r="AG261" s="70"/>
      <c r="AH261" s="70"/>
      <c r="AI261" s="70"/>
      <c r="AJ261" s="70"/>
      <c r="AK261" s="70"/>
      <c r="AL261" s="70"/>
    </row>
    <row r="262" spans="6:38">
      <c r="F262" s="8"/>
      <c r="AG262" s="70"/>
      <c r="AH262" s="70"/>
      <c r="AI262" s="70"/>
      <c r="AJ262" s="70"/>
      <c r="AK262" s="70"/>
      <c r="AL262" s="70"/>
    </row>
    <row r="263" spans="6:38">
      <c r="F263" s="8"/>
      <c r="AG263" s="70"/>
      <c r="AH263" s="70"/>
      <c r="AI263" s="70"/>
      <c r="AJ263" s="70"/>
      <c r="AK263" s="70"/>
      <c r="AL263" s="70"/>
    </row>
    <row r="264" spans="6:38">
      <c r="F264" s="8"/>
      <c r="AG264" s="70"/>
      <c r="AH264" s="70"/>
      <c r="AI264" s="70"/>
      <c r="AJ264" s="70"/>
      <c r="AK264" s="70"/>
      <c r="AL264" s="70"/>
    </row>
    <row r="265" spans="6:38">
      <c r="F265" s="8"/>
      <c r="AG265" s="70"/>
      <c r="AH265" s="70"/>
      <c r="AI265" s="70"/>
      <c r="AJ265" s="70"/>
      <c r="AK265" s="70"/>
      <c r="AL265" s="70"/>
    </row>
    <row r="266" spans="6:38">
      <c r="F266" s="8"/>
      <c r="AG266" s="70"/>
      <c r="AH266" s="70"/>
      <c r="AI266" s="70"/>
      <c r="AJ266" s="70"/>
      <c r="AK266" s="70"/>
      <c r="AL266" s="70"/>
    </row>
    <row r="267" spans="6:38">
      <c r="F267" s="8"/>
      <c r="AG267" s="70"/>
      <c r="AH267" s="70"/>
      <c r="AI267" s="70"/>
      <c r="AJ267" s="70"/>
      <c r="AK267" s="70"/>
      <c r="AL267" s="70"/>
    </row>
    <row r="268" spans="6:38">
      <c r="F268" s="8"/>
      <c r="AG268" s="70"/>
      <c r="AH268" s="70"/>
      <c r="AI268" s="70"/>
      <c r="AJ268" s="70"/>
      <c r="AK268" s="70"/>
      <c r="AL268" s="70"/>
    </row>
    <row r="269" spans="6:38">
      <c r="F269" s="8"/>
      <c r="AG269" s="70"/>
      <c r="AH269" s="70"/>
      <c r="AI269" s="70"/>
      <c r="AJ269" s="70"/>
      <c r="AK269" s="70"/>
      <c r="AL269" s="70"/>
    </row>
    <row r="270" spans="6:38">
      <c r="F270" s="8"/>
      <c r="AG270" s="70"/>
      <c r="AH270" s="70"/>
      <c r="AI270" s="70"/>
      <c r="AJ270" s="70"/>
      <c r="AK270" s="70"/>
      <c r="AL270" s="70"/>
    </row>
    <row r="271" spans="6:38">
      <c r="F271" s="8"/>
      <c r="AG271" s="70"/>
      <c r="AH271" s="70"/>
      <c r="AI271" s="70"/>
      <c r="AJ271" s="70"/>
      <c r="AK271" s="70"/>
      <c r="AL271" s="70"/>
    </row>
    <row r="272" spans="6:38">
      <c r="F272" s="8"/>
      <c r="AG272" s="70"/>
      <c r="AH272" s="70"/>
      <c r="AI272" s="70"/>
      <c r="AJ272" s="70"/>
      <c r="AK272" s="70"/>
      <c r="AL272" s="70"/>
    </row>
    <row r="273" spans="6:38">
      <c r="F273" s="8"/>
      <c r="AG273" s="70"/>
      <c r="AH273" s="70"/>
      <c r="AI273" s="70"/>
      <c r="AJ273" s="70"/>
      <c r="AK273" s="70"/>
      <c r="AL273" s="70"/>
    </row>
    <row r="274" spans="6:38">
      <c r="F274" s="8"/>
      <c r="AG274" s="70"/>
      <c r="AH274" s="70"/>
      <c r="AI274" s="70"/>
      <c r="AJ274" s="70"/>
      <c r="AK274" s="70"/>
      <c r="AL274" s="70"/>
    </row>
    <row r="275" spans="6:38">
      <c r="F275" s="8"/>
      <c r="AG275" s="70"/>
      <c r="AH275" s="70"/>
      <c r="AI275" s="70"/>
      <c r="AJ275" s="70"/>
      <c r="AK275" s="70"/>
      <c r="AL275" s="70"/>
    </row>
    <row r="276" spans="6:38">
      <c r="F276" s="8"/>
      <c r="AG276" s="70"/>
      <c r="AH276" s="70"/>
      <c r="AI276" s="70"/>
      <c r="AJ276" s="70"/>
      <c r="AK276" s="70"/>
      <c r="AL276" s="70"/>
    </row>
    <row r="277" spans="6:38">
      <c r="F277" s="8"/>
      <c r="AG277" s="70"/>
      <c r="AH277" s="70"/>
      <c r="AI277" s="70"/>
      <c r="AJ277" s="70"/>
      <c r="AK277" s="70"/>
      <c r="AL277" s="70"/>
    </row>
    <row r="278" spans="6:38">
      <c r="F278" s="8"/>
      <c r="AG278" s="70"/>
      <c r="AH278" s="70"/>
      <c r="AI278" s="70"/>
      <c r="AJ278" s="70"/>
      <c r="AK278" s="70"/>
      <c r="AL278" s="70"/>
    </row>
    <row r="279" spans="6:38">
      <c r="F279" s="8"/>
      <c r="AG279" s="70"/>
      <c r="AH279" s="70"/>
      <c r="AI279" s="70"/>
      <c r="AJ279" s="70"/>
      <c r="AK279" s="70"/>
      <c r="AL279" s="70"/>
    </row>
    <row r="280" spans="6:38">
      <c r="F280" s="8"/>
      <c r="AG280" s="70"/>
      <c r="AH280" s="70"/>
      <c r="AI280" s="70"/>
      <c r="AJ280" s="70"/>
      <c r="AK280" s="70"/>
      <c r="AL280" s="70"/>
    </row>
    <row r="281" spans="6:38">
      <c r="F281" s="8"/>
      <c r="AG281" s="70"/>
      <c r="AH281" s="70"/>
      <c r="AI281" s="70"/>
      <c r="AJ281" s="70"/>
      <c r="AK281" s="70"/>
      <c r="AL281" s="70"/>
    </row>
    <row r="282" spans="6:38">
      <c r="F282" s="8"/>
      <c r="AG282" s="70"/>
      <c r="AH282" s="70"/>
      <c r="AI282" s="70"/>
      <c r="AJ282" s="70"/>
      <c r="AK282" s="70"/>
      <c r="AL282" s="70"/>
    </row>
    <row r="283" spans="6:38">
      <c r="F283" s="8"/>
      <c r="AG283" s="70"/>
      <c r="AH283" s="70"/>
      <c r="AI283" s="70"/>
      <c r="AJ283" s="70"/>
      <c r="AK283" s="70"/>
      <c r="AL283" s="70"/>
    </row>
    <row r="284" spans="6:38">
      <c r="F284" s="8"/>
      <c r="AG284" s="70"/>
      <c r="AH284" s="70"/>
      <c r="AI284" s="70"/>
      <c r="AJ284" s="70"/>
      <c r="AK284" s="70"/>
      <c r="AL284" s="70"/>
    </row>
    <row r="285" spans="6:38">
      <c r="F285" s="8"/>
      <c r="AG285" s="70"/>
      <c r="AH285" s="70"/>
      <c r="AI285" s="70"/>
      <c r="AJ285" s="70"/>
      <c r="AK285" s="70"/>
      <c r="AL285" s="70"/>
    </row>
    <row r="286" spans="6:38">
      <c r="F286" s="8"/>
      <c r="AG286" s="70"/>
      <c r="AH286" s="70"/>
      <c r="AI286" s="70"/>
      <c r="AJ286" s="70"/>
      <c r="AK286" s="70"/>
      <c r="AL286" s="70"/>
    </row>
    <row r="287" spans="6:38">
      <c r="F287" s="8"/>
      <c r="AG287" s="70"/>
      <c r="AH287" s="70"/>
      <c r="AI287" s="70"/>
      <c r="AJ287" s="70"/>
      <c r="AK287" s="70"/>
      <c r="AL287" s="70"/>
    </row>
    <row r="288" spans="6:38">
      <c r="F288" s="8"/>
      <c r="AG288" s="70"/>
      <c r="AH288" s="70"/>
      <c r="AI288" s="70"/>
      <c r="AJ288" s="70"/>
      <c r="AK288" s="70"/>
      <c r="AL288" s="70"/>
    </row>
    <row r="289" spans="6:38">
      <c r="F289" s="8"/>
      <c r="AG289" s="70"/>
      <c r="AH289" s="70"/>
      <c r="AI289" s="70"/>
      <c r="AJ289" s="70"/>
      <c r="AK289" s="70"/>
      <c r="AL289" s="70"/>
    </row>
    <row r="290" spans="6:38">
      <c r="F290" s="8"/>
      <c r="AG290" s="70"/>
      <c r="AH290" s="70"/>
      <c r="AI290" s="70"/>
      <c r="AJ290" s="70"/>
      <c r="AK290" s="70"/>
      <c r="AL290" s="70"/>
    </row>
    <row r="291" spans="6:38">
      <c r="F291" s="8"/>
      <c r="AG291" s="70"/>
      <c r="AH291" s="70"/>
      <c r="AI291" s="70"/>
      <c r="AJ291" s="70"/>
      <c r="AK291" s="70"/>
      <c r="AL291" s="70"/>
    </row>
    <row r="292" spans="6:38">
      <c r="F292" s="8"/>
      <c r="AG292" s="70"/>
      <c r="AH292" s="70"/>
      <c r="AI292" s="70"/>
      <c r="AJ292" s="70"/>
      <c r="AK292" s="70"/>
      <c r="AL292" s="70"/>
    </row>
    <row r="293" spans="6:38">
      <c r="F293" s="8"/>
      <c r="AG293" s="70"/>
      <c r="AH293" s="70"/>
      <c r="AI293" s="70"/>
      <c r="AJ293" s="70"/>
      <c r="AK293" s="70"/>
      <c r="AL293" s="70"/>
    </row>
    <row r="294" spans="6:38">
      <c r="F294" s="8"/>
      <c r="AG294" s="70"/>
      <c r="AH294" s="70"/>
      <c r="AI294" s="70"/>
      <c r="AJ294" s="70"/>
      <c r="AK294" s="70"/>
      <c r="AL294" s="70"/>
    </row>
    <row r="295" spans="6:38">
      <c r="F295" s="8"/>
      <c r="AG295" s="70"/>
      <c r="AH295" s="70"/>
      <c r="AI295" s="70"/>
      <c r="AJ295" s="70"/>
      <c r="AK295" s="70"/>
      <c r="AL295" s="70"/>
    </row>
    <row r="296" spans="6:38">
      <c r="F296" s="8"/>
      <c r="AG296" s="70"/>
      <c r="AH296" s="70"/>
      <c r="AI296" s="70"/>
      <c r="AJ296" s="70"/>
      <c r="AK296" s="70"/>
      <c r="AL296" s="70"/>
    </row>
    <row r="297" spans="6:38">
      <c r="F297" s="8"/>
      <c r="AG297" s="70"/>
      <c r="AH297" s="70"/>
      <c r="AI297" s="70"/>
      <c r="AJ297" s="70"/>
      <c r="AK297" s="70"/>
      <c r="AL297" s="70"/>
    </row>
    <row r="298" spans="6:38">
      <c r="F298" s="8"/>
      <c r="AG298" s="70"/>
      <c r="AH298" s="70"/>
      <c r="AI298" s="70"/>
      <c r="AJ298" s="70"/>
      <c r="AK298" s="70"/>
      <c r="AL298" s="70"/>
    </row>
    <row r="299" spans="6:38">
      <c r="F299" s="8"/>
      <c r="AG299" s="70"/>
      <c r="AH299" s="70"/>
      <c r="AI299" s="70"/>
      <c r="AJ299" s="70"/>
      <c r="AK299" s="70"/>
      <c r="AL299" s="70"/>
    </row>
    <row r="300" spans="6:38">
      <c r="F300" s="8"/>
      <c r="AG300" s="70"/>
      <c r="AH300" s="70"/>
      <c r="AI300" s="70"/>
      <c r="AJ300" s="70"/>
      <c r="AK300" s="70"/>
      <c r="AL300" s="70"/>
    </row>
    <row r="301" spans="6:38">
      <c r="F301" s="8"/>
      <c r="AG301" s="70"/>
      <c r="AH301" s="70"/>
      <c r="AI301" s="70"/>
      <c r="AJ301" s="70"/>
      <c r="AK301" s="70"/>
      <c r="AL301" s="70"/>
    </row>
    <row r="302" spans="6:38">
      <c r="F302" s="8"/>
      <c r="AG302" s="70"/>
      <c r="AH302" s="70"/>
      <c r="AI302" s="70"/>
      <c r="AJ302" s="70"/>
      <c r="AK302" s="70"/>
      <c r="AL302" s="70"/>
    </row>
    <row r="303" spans="6:38">
      <c r="F303" s="8"/>
      <c r="AG303" s="70"/>
      <c r="AH303" s="70"/>
      <c r="AI303" s="70"/>
      <c r="AJ303" s="70"/>
      <c r="AK303" s="70"/>
      <c r="AL303" s="70"/>
    </row>
    <row r="304" spans="6:38">
      <c r="F304" s="8"/>
      <c r="AG304" s="70"/>
      <c r="AH304" s="70"/>
      <c r="AI304" s="70"/>
      <c r="AJ304" s="70"/>
      <c r="AK304" s="70"/>
      <c r="AL304" s="70"/>
    </row>
    <row r="305" spans="6:38">
      <c r="F305" s="8"/>
      <c r="AG305" s="70"/>
      <c r="AH305" s="70"/>
      <c r="AI305" s="70"/>
      <c r="AJ305" s="70"/>
      <c r="AK305" s="70"/>
      <c r="AL305" s="70"/>
    </row>
    <row r="306" spans="6:38">
      <c r="F306" s="8"/>
      <c r="AG306" s="70"/>
      <c r="AH306" s="70"/>
      <c r="AI306" s="70"/>
      <c r="AJ306" s="70"/>
      <c r="AK306" s="70"/>
      <c r="AL306" s="70"/>
    </row>
    <row r="307" spans="6:38">
      <c r="F307" s="8"/>
      <c r="AG307" s="70"/>
      <c r="AH307" s="70"/>
      <c r="AI307" s="70"/>
      <c r="AJ307" s="70"/>
      <c r="AK307" s="70"/>
      <c r="AL307" s="70"/>
    </row>
    <row r="308" spans="6:38">
      <c r="F308" s="8"/>
      <c r="AG308" s="70"/>
      <c r="AH308" s="70"/>
      <c r="AI308" s="70"/>
      <c r="AJ308" s="70"/>
      <c r="AK308" s="70"/>
      <c r="AL308" s="70"/>
    </row>
    <row r="309" spans="6:38">
      <c r="F309" s="8"/>
      <c r="AG309" s="70"/>
      <c r="AH309" s="70"/>
      <c r="AI309" s="70"/>
      <c r="AJ309" s="70"/>
      <c r="AK309" s="70"/>
      <c r="AL309" s="70"/>
    </row>
    <row r="310" spans="6:38">
      <c r="F310" s="8"/>
      <c r="AG310" s="70"/>
      <c r="AH310" s="70"/>
      <c r="AI310" s="70"/>
      <c r="AJ310" s="70"/>
      <c r="AK310" s="70"/>
      <c r="AL310" s="70"/>
    </row>
    <row r="311" spans="6:38">
      <c r="F311" s="8"/>
      <c r="AG311" s="70"/>
      <c r="AH311" s="70"/>
      <c r="AI311" s="70"/>
      <c r="AJ311" s="70"/>
      <c r="AK311" s="70"/>
      <c r="AL311" s="70"/>
    </row>
    <row r="312" spans="6:38">
      <c r="F312" s="8"/>
      <c r="AG312" s="70"/>
      <c r="AH312" s="70"/>
      <c r="AI312" s="70"/>
      <c r="AJ312" s="70"/>
      <c r="AK312" s="70"/>
      <c r="AL312" s="70"/>
    </row>
    <row r="313" spans="6:38">
      <c r="F313" s="8"/>
      <c r="AG313" s="70"/>
      <c r="AH313" s="70"/>
      <c r="AI313" s="70"/>
      <c r="AJ313" s="70"/>
      <c r="AK313" s="70"/>
      <c r="AL313" s="70"/>
    </row>
    <row r="314" spans="6:38">
      <c r="F314" s="8"/>
      <c r="AG314" s="70"/>
      <c r="AH314" s="70"/>
      <c r="AI314" s="70"/>
      <c r="AJ314" s="70"/>
      <c r="AK314" s="70"/>
      <c r="AL314" s="70"/>
    </row>
    <row r="315" spans="6:38">
      <c r="F315" s="8"/>
      <c r="AG315" s="70"/>
      <c r="AH315" s="70"/>
      <c r="AI315" s="70"/>
      <c r="AJ315" s="70"/>
      <c r="AK315" s="70"/>
      <c r="AL315" s="70"/>
    </row>
    <row r="316" spans="6:38">
      <c r="F316" s="8"/>
      <c r="AG316" s="70"/>
      <c r="AH316" s="70"/>
      <c r="AI316" s="70"/>
      <c r="AJ316" s="70"/>
      <c r="AK316" s="70"/>
      <c r="AL316" s="70"/>
    </row>
    <row r="317" spans="6:38">
      <c r="F317" s="8"/>
      <c r="AG317" s="70"/>
      <c r="AH317" s="70"/>
      <c r="AI317" s="70"/>
      <c r="AJ317" s="70"/>
      <c r="AK317" s="70"/>
      <c r="AL317" s="70"/>
    </row>
    <row r="318" spans="6:38">
      <c r="F318" s="8"/>
      <c r="AG318" s="70"/>
      <c r="AH318" s="70"/>
      <c r="AI318" s="70"/>
      <c r="AJ318" s="70"/>
      <c r="AK318" s="70"/>
      <c r="AL318" s="70"/>
    </row>
    <row r="319" spans="6:38">
      <c r="F319" s="8"/>
      <c r="AG319" s="70"/>
      <c r="AH319" s="70"/>
      <c r="AI319" s="70"/>
      <c r="AJ319" s="70"/>
      <c r="AK319" s="70"/>
      <c r="AL319" s="70"/>
    </row>
    <row r="320" spans="6:38">
      <c r="F320" s="8"/>
      <c r="AG320" s="70"/>
      <c r="AH320" s="70"/>
      <c r="AI320" s="70"/>
      <c r="AJ320" s="70"/>
      <c r="AK320" s="70"/>
      <c r="AL320" s="70"/>
    </row>
    <row r="321" spans="6:38">
      <c r="F321" s="8"/>
      <c r="AG321" s="70"/>
      <c r="AH321" s="70"/>
      <c r="AI321" s="70"/>
      <c r="AJ321" s="70"/>
      <c r="AK321" s="70"/>
      <c r="AL321" s="70"/>
    </row>
    <row r="322" spans="6:38">
      <c r="F322" s="8"/>
      <c r="AG322" s="70"/>
      <c r="AH322" s="70"/>
      <c r="AI322" s="70"/>
      <c r="AJ322" s="70"/>
      <c r="AK322" s="70"/>
      <c r="AL322" s="70"/>
    </row>
    <row r="323" spans="6:38">
      <c r="F323" s="8"/>
      <c r="AG323" s="70"/>
      <c r="AH323" s="70"/>
      <c r="AI323" s="70"/>
      <c r="AJ323" s="70"/>
      <c r="AK323" s="70"/>
      <c r="AL323" s="70"/>
    </row>
    <row r="324" spans="6:38">
      <c r="F324" s="8"/>
      <c r="AG324" s="70"/>
      <c r="AH324" s="70"/>
      <c r="AI324" s="70"/>
      <c r="AJ324" s="70"/>
      <c r="AK324" s="70"/>
      <c r="AL324" s="70"/>
    </row>
    <row r="325" spans="6:38">
      <c r="F325" s="8"/>
      <c r="AG325" s="70"/>
      <c r="AH325" s="70"/>
      <c r="AI325" s="70"/>
      <c r="AJ325" s="70"/>
      <c r="AK325" s="70"/>
      <c r="AL325" s="70"/>
    </row>
    <row r="326" spans="6:38">
      <c r="F326" s="8"/>
      <c r="AG326" s="70"/>
      <c r="AH326" s="70"/>
      <c r="AI326" s="70"/>
      <c r="AJ326" s="70"/>
      <c r="AK326" s="70"/>
      <c r="AL326" s="70"/>
    </row>
    <row r="327" spans="6:38">
      <c r="F327" s="8"/>
      <c r="AG327" s="70"/>
      <c r="AH327" s="70"/>
      <c r="AI327" s="70"/>
      <c r="AJ327" s="70"/>
      <c r="AK327" s="70"/>
      <c r="AL327" s="70"/>
    </row>
    <row r="328" spans="6:38">
      <c r="F328" s="8"/>
      <c r="AG328" s="70"/>
      <c r="AH328" s="70"/>
      <c r="AI328" s="70"/>
      <c r="AJ328" s="70"/>
      <c r="AK328" s="70"/>
      <c r="AL328" s="70"/>
    </row>
    <row r="329" spans="6:38">
      <c r="F329" s="8"/>
      <c r="AG329" s="70"/>
      <c r="AH329" s="70"/>
      <c r="AI329" s="70"/>
      <c r="AJ329" s="70"/>
      <c r="AK329" s="70"/>
      <c r="AL329" s="70"/>
    </row>
    <row r="330" spans="6:38">
      <c r="F330" s="8"/>
      <c r="AG330" s="70"/>
      <c r="AH330" s="70"/>
      <c r="AI330" s="70"/>
      <c r="AJ330" s="70"/>
      <c r="AK330" s="70"/>
      <c r="AL330" s="70"/>
    </row>
    <row r="331" spans="6:38">
      <c r="F331" s="8"/>
      <c r="AG331" s="70"/>
      <c r="AH331" s="70"/>
      <c r="AI331" s="70"/>
      <c r="AJ331" s="70"/>
      <c r="AK331" s="70"/>
      <c r="AL331" s="70"/>
    </row>
    <row r="332" spans="6:38">
      <c r="F332" s="8"/>
      <c r="AG332" s="70"/>
      <c r="AH332" s="70"/>
      <c r="AI332" s="70"/>
      <c r="AJ332" s="70"/>
      <c r="AK332" s="70"/>
      <c r="AL332" s="70"/>
    </row>
    <row r="333" spans="6:38">
      <c r="F333" s="8"/>
      <c r="AG333" s="70"/>
      <c r="AH333" s="70"/>
      <c r="AI333" s="70"/>
      <c r="AJ333" s="70"/>
      <c r="AK333" s="70"/>
      <c r="AL333" s="70"/>
    </row>
    <row r="334" spans="6:38">
      <c r="F334" s="8"/>
      <c r="AG334" s="70"/>
      <c r="AH334" s="70"/>
      <c r="AI334" s="70"/>
      <c r="AJ334" s="70"/>
      <c r="AK334" s="70"/>
      <c r="AL334" s="70"/>
    </row>
    <row r="335" spans="6:38">
      <c r="F335" s="8"/>
      <c r="AG335" s="70"/>
      <c r="AH335" s="70"/>
      <c r="AI335" s="70"/>
      <c r="AJ335" s="70"/>
      <c r="AK335" s="70"/>
      <c r="AL335" s="70"/>
    </row>
    <row r="336" spans="6:38">
      <c r="F336" s="8"/>
      <c r="AG336" s="70"/>
      <c r="AH336" s="70"/>
      <c r="AI336" s="70"/>
      <c r="AJ336" s="70"/>
      <c r="AK336" s="70"/>
      <c r="AL336" s="70"/>
    </row>
    <row r="337" spans="6:38">
      <c r="F337" s="8"/>
      <c r="AG337" s="70"/>
      <c r="AH337" s="70"/>
      <c r="AI337" s="70"/>
      <c r="AJ337" s="70"/>
      <c r="AK337" s="70"/>
      <c r="AL337" s="70"/>
    </row>
    <row r="338" spans="6:38">
      <c r="F338" s="8"/>
      <c r="AG338" s="70"/>
      <c r="AH338" s="70"/>
      <c r="AI338" s="70"/>
      <c r="AJ338" s="70"/>
      <c r="AK338" s="70"/>
      <c r="AL338" s="70"/>
    </row>
    <row r="339" spans="6:38">
      <c r="F339" s="8"/>
      <c r="AG339" s="70"/>
      <c r="AH339" s="70"/>
      <c r="AI339" s="70"/>
      <c r="AJ339" s="70"/>
      <c r="AK339" s="70"/>
      <c r="AL339" s="70"/>
    </row>
    <row r="340" spans="6:38">
      <c r="F340" s="8"/>
      <c r="AG340" s="70"/>
      <c r="AH340" s="70"/>
      <c r="AI340" s="70"/>
      <c r="AJ340" s="70"/>
      <c r="AK340" s="70"/>
      <c r="AL340" s="70"/>
    </row>
    <row r="341" spans="6:38">
      <c r="F341" s="8"/>
      <c r="AG341" s="70"/>
      <c r="AH341" s="70"/>
      <c r="AI341" s="70"/>
      <c r="AJ341" s="70"/>
      <c r="AK341" s="70"/>
      <c r="AL341" s="70"/>
    </row>
    <row r="342" spans="6:38">
      <c r="F342" s="8"/>
      <c r="AG342" s="70"/>
      <c r="AH342" s="70"/>
      <c r="AI342" s="70"/>
      <c r="AJ342" s="70"/>
      <c r="AK342" s="70"/>
      <c r="AL342" s="70"/>
    </row>
    <row r="343" spans="6:38">
      <c r="F343" s="8"/>
      <c r="AG343" s="70"/>
      <c r="AH343" s="70"/>
      <c r="AI343" s="70"/>
      <c r="AJ343" s="70"/>
      <c r="AK343" s="70"/>
      <c r="AL343" s="70"/>
    </row>
    <row r="344" spans="6:38">
      <c r="F344" s="8"/>
      <c r="AG344" s="70"/>
      <c r="AH344" s="70"/>
      <c r="AI344" s="70"/>
      <c r="AJ344" s="70"/>
      <c r="AK344" s="70"/>
      <c r="AL344" s="70"/>
    </row>
    <row r="345" spans="6:38">
      <c r="F345" s="8"/>
      <c r="AG345" s="70"/>
      <c r="AH345" s="70"/>
      <c r="AI345" s="70"/>
      <c r="AJ345" s="70"/>
      <c r="AK345" s="70"/>
      <c r="AL345" s="70"/>
    </row>
    <row r="346" spans="6:38">
      <c r="F346" s="8"/>
      <c r="AG346" s="70"/>
      <c r="AH346" s="70"/>
      <c r="AI346" s="70"/>
      <c r="AJ346" s="70"/>
      <c r="AK346" s="70"/>
      <c r="AL346" s="70"/>
    </row>
    <row r="347" spans="6:38">
      <c r="F347" s="8"/>
      <c r="AG347" s="70"/>
      <c r="AH347" s="70"/>
      <c r="AI347" s="70"/>
      <c r="AJ347" s="70"/>
      <c r="AK347" s="70"/>
      <c r="AL347" s="70"/>
    </row>
    <row r="348" spans="6:38">
      <c r="F348" s="8"/>
      <c r="AG348" s="70"/>
      <c r="AH348" s="70"/>
      <c r="AI348" s="70"/>
      <c r="AJ348" s="70"/>
      <c r="AK348" s="70"/>
      <c r="AL348" s="70"/>
    </row>
    <row r="349" spans="6:38">
      <c r="F349" s="8"/>
      <c r="AG349" s="70"/>
      <c r="AH349" s="70"/>
      <c r="AI349" s="70"/>
      <c r="AJ349" s="70"/>
      <c r="AK349" s="70"/>
      <c r="AL349" s="70"/>
    </row>
    <row r="350" spans="6:38">
      <c r="F350" s="8"/>
      <c r="AG350" s="70"/>
      <c r="AH350" s="70"/>
      <c r="AI350" s="70"/>
      <c r="AJ350" s="70"/>
      <c r="AK350" s="70"/>
      <c r="AL350" s="70"/>
    </row>
    <row r="351" spans="6:38">
      <c r="F351" s="8"/>
      <c r="AG351" s="70"/>
      <c r="AH351" s="70"/>
      <c r="AI351" s="70"/>
      <c r="AJ351" s="70"/>
      <c r="AK351" s="70"/>
      <c r="AL351" s="70"/>
    </row>
    <row r="352" spans="6:38">
      <c r="F352" s="8"/>
      <c r="AG352" s="70"/>
      <c r="AH352" s="70"/>
      <c r="AI352" s="70"/>
      <c r="AJ352" s="70"/>
      <c r="AK352" s="70"/>
      <c r="AL352" s="70"/>
    </row>
    <row r="353" spans="6:38">
      <c r="F353" s="8"/>
      <c r="AG353" s="70"/>
      <c r="AH353" s="70"/>
      <c r="AI353" s="70"/>
      <c r="AJ353" s="70"/>
      <c r="AK353" s="70"/>
      <c r="AL353" s="70"/>
    </row>
    <row r="354" spans="6:38">
      <c r="F354" s="8"/>
      <c r="AG354" s="70"/>
      <c r="AH354" s="70"/>
      <c r="AI354" s="70"/>
      <c r="AJ354" s="70"/>
      <c r="AK354" s="70"/>
      <c r="AL354" s="70"/>
    </row>
    <row r="355" spans="6:38">
      <c r="F355" s="8"/>
      <c r="AG355" s="70"/>
      <c r="AH355" s="70"/>
      <c r="AI355" s="70"/>
      <c r="AJ355" s="70"/>
      <c r="AK355" s="70"/>
      <c r="AL355" s="70"/>
    </row>
    <row r="356" spans="6:38">
      <c r="F356" s="8"/>
      <c r="AG356" s="70"/>
      <c r="AH356" s="70"/>
      <c r="AI356" s="70"/>
      <c r="AJ356" s="70"/>
      <c r="AK356" s="70"/>
      <c r="AL356" s="70"/>
    </row>
    <row r="357" spans="6:38">
      <c r="F357" s="8"/>
      <c r="AG357" s="70"/>
      <c r="AH357" s="70"/>
      <c r="AI357" s="70"/>
      <c r="AJ357" s="70"/>
      <c r="AK357" s="70"/>
      <c r="AL357" s="70"/>
    </row>
    <row r="358" spans="6:38">
      <c r="F358" s="8"/>
      <c r="AG358" s="70"/>
      <c r="AH358" s="70"/>
      <c r="AI358" s="70"/>
      <c r="AJ358" s="70"/>
      <c r="AK358" s="70"/>
      <c r="AL358" s="70"/>
    </row>
    <row r="359" spans="6:38">
      <c r="F359" s="8"/>
      <c r="AG359" s="70"/>
      <c r="AH359" s="70"/>
      <c r="AI359" s="70"/>
      <c r="AJ359" s="70"/>
      <c r="AK359" s="70"/>
      <c r="AL359" s="70"/>
    </row>
    <row r="360" spans="6:38">
      <c r="F360" s="8"/>
      <c r="AG360" s="70"/>
      <c r="AH360" s="70"/>
      <c r="AI360" s="70"/>
      <c r="AJ360" s="70"/>
      <c r="AK360" s="70"/>
      <c r="AL360" s="70"/>
    </row>
    <row r="361" spans="6:38">
      <c r="F361" s="8"/>
      <c r="AG361" s="70"/>
      <c r="AH361" s="70"/>
      <c r="AI361" s="70"/>
      <c r="AJ361" s="70"/>
      <c r="AK361" s="70"/>
      <c r="AL361" s="70"/>
    </row>
    <row r="362" spans="6:38">
      <c r="F362" s="8"/>
      <c r="AG362" s="70"/>
      <c r="AH362" s="70"/>
      <c r="AI362" s="70"/>
      <c r="AJ362" s="70"/>
      <c r="AK362" s="70"/>
      <c r="AL362" s="70"/>
    </row>
    <row r="363" spans="6:38">
      <c r="F363" s="8"/>
      <c r="AG363" s="70"/>
      <c r="AH363" s="70"/>
      <c r="AI363" s="70"/>
      <c r="AJ363" s="70"/>
      <c r="AK363" s="70"/>
      <c r="AL363" s="70"/>
    </row>
    <row r="364" spans="6:38">
      <c r="F364" s="8"/>
      <c r="AG364" s="70"/>
      <c r="AH364" s="70"/>
      <c r="AI364" s="70"/>
      <c r="AJ364" s="70"/>
      <c r="AK364" s="70"/>
      <c r="AL364" s="70"/>
    </row>
    <row r="365" spans="6:38">
      <c r="F365" s="8"/>
      <c r="AG365" s="70"/>
      <c r="AH365" s="70"/>
      <c r="AI365" s="70"/>
      <c r="AJ365" s="70"/>
      <c r="AK365" s="70"/>
      <c r="AL365" s="70"/>
    </row>
    <row r="366" spans="6:38">
      <c r="F366" s="8"/>
      <c r="AG366" s="70"/>
      <c r="AH366" s="70"/>
      <c r="AI366" s="70"/>
      <c r="AJ366" s="70"/>
      <c r="AK366" s="70"/>
      <c r="AL366" s="70"/>
    </row>
    <row r="367" spans="6:38">
      <c r="F367" s="8"/>
      <c r="AG367" s="70"/>
      <c r="AH367" s="70"/>
      <c r="AI367" s="70"/>
      <c r="AJ367" s="70"/>
      <c r="AK367" s="70"/>
      <c r="AL367" s="70"/>
    </row>
    <row r="368" spans="6:38">
      <c r="F368" s="8"/>
      <c r="AG368" s="70"/>
      <c r="AH368" s="70"/>
      <c r="AI368" s="70"/>
      <c r="AJ368" s="70"/>
      <c r="AK368" s="70"/>
      <c r="AL368" s="70"/>
    </row>
    <row r="369" spans="6:38">
      <c r="F369" s="8"/>
      <c r="AG369" s="70"/>
      <c r="AH369" s="70"/>
      <c r="AI369" s="70"/>
      <c r="AJ369" s="70"/>
      <c r="AK369" s="70"/>
      <c r="AL369" s="70"/>
    </row>
    <row r="370" spans="6:38">
      <c r="F370" s="8"/>
      <c r="AG370" s="70"/>
      <c r="AH370" s="70"/>
      <c r="AI370" s="70"/>
      <c r="AJ370" s="70"/>
      <c r="AK370" s="70"/>
      <c r="AL370" s="70"/>
    </row>
    <row r="371" spans="6:38">
      <c r="F371" s="8"/>
      <c r="AG371" s="70"/>
      <c r="AH371" s="70"/>
      <c r="AI371" s="70"/>
      <c r="AJ371" s="70"/>
      <c r="AK371" s="70"/>
      <c r="AL371" s="70"/>
    </row>
    <row r="372" spans="6:38">
      <c r="F372" s="8"/>
      <c r="AG372" s="70"/>
      <c r="AH372" s="70"/>
      <c r="AI372" s="70"/>
      <c r="AJ372" s="70"/>
      <c r="AK372" s="70"/>
      <c r="AL372" s="70"/>
    </row>
    <row r="373" spans="6:38">
      <c r="F373" s="8"/>
      <c r="AG373" s="70"/>
      <c r="AH373" s="70"/>
      <c r="AI373" s="70"/>
      <c r="AJ373" s="70"/>
      <c r="AK373" s="70"/>
      <c r="AL373" s="70"/>
    </row>
    <row r="374" spans="6:38">
      <c r="F374" s="8"/>
      <c r="AG374" s="70"/>
      <c r="AH374" s="70"/>
      <c r="AI374" s="70"/>
      <c r="AJ374" s="70"/>
      <c r="AK374" s="70"/>
      <c r="AL374" s="70"/>
    </row>
    <row r="375" spans="6:38">
      <c r="F375" s="8"/>
      <c r="AG375" s="70"/>
      <c r="AH375" s="70"/>
      <c r="AI375" s="70"/>
      <c r="AJ375" s="70"/>
      <c r="AK375" s="70"/>
      <c r="AL375" s="70"/>
    </row>
    <row r="376" spans="6:38">
      <c r="F376" s="8"/>
      <c r="AG376" s="70"/>
      <c r="AH376" s="70"/>
      <c r="AI376" s="70"/>
      <c r="AJ376" s="70"/>
      <c r="AK376" s="70"/>
      <c r="AL376" s="70"/>
    </row>
    <row r="377" spans="6:38">
      <c r="F377" s="8"/>
      <c r="AG377" s="70"/>
      <c r="AH377" s="70"/>
      <c r="AI377" s="70"/>
      <c r="AJ377" s="70"/>
      <c r="AK377" s="70"/>
      <c r="AL377" s="70"/>
    </row>
    <row r="378" spans="6:38">
      <c r="F378" s="8"/>
      <c r="AG378" s="70"/>
      <c r="AH378" s="70"/>
      <c r="AI378" s="70"/>
      <c r="AJ378" s="70"/>
      <c r="AK378" s="70"/>
      <c r="AL378" s="70"/>
    </row>
    <row r="379" spans="6:38">
      <c r="F379" s="8"/>
      <c r="AG379" s="70"/>
      <c r="AH379" s="70"/>
      <c r="AI379" s="70"/>
      <c r="AJ379" s="70"/>
      <c r="AK379" s="70"/>
      <c r="AL379" s="70"/>
    </row>
    <row r="380" spans="6:38">
      <c r="F380" s="8"/>
      <c r="AG380" s="70"/>
      <c r="AH380" s="70"/>
      <c r="AI380" s="70"/>
      <c r="AJ380" s="70"/>
      <c r="AK380" s="70"/>
      <c r="AL380" s="70"/>
    </row>
    <row r="381" spans="6:38">
      <c r="F381" s="8"/>
      <c r="AG381" s="70"/>
      <c r="AH381" s="70"/>
      <c r="AI381" s="70"/>
      <c r="AJ381" s="70"/>
      <c r="AK381" s="70"/>
      <c r="AL381" s="70"/>
    </row>
    <row r="382" spans="6:38">
      <c r="F382" s="8"/>
      <c r="AG382" s="70"/>
      <c r="AH382" s="70"/>
      <c r="AI382" s="70"/>
      <c r="AJ382" s="70"/>
      <c r="AK382" s="70"/>
      <c r="AL382" s="70"/>
    </row>
    <row r="383" spans="6:38">
      <c r="F383" s="8"/>
      <c r="AG383" s="70"/>
      <c r="AH383" s="70"/>
      <c r="AI383" s="70"/>
      <c r="AJ383" s="70"/>
      <c r="AK383" s="70"/>
      <c r="AL383" s="70"/>
    </row>
    <row r="384" spans="6:38">
      <c r="F384" s="8"/>
      <c r="AG384" s="70"/>
      <c r="AH384" s="70"/>
      <c r="AI384" s="70"/>
      <c r="AJ384" s="70"/>
      <c r="AK384" s="70"/>
      <c r="AL384" s="70"/>
    </row>
    <row r="385" spans="6:38">
      <c r="F385" s="8"/>
      <c r="AG385" s="70"/>
      <c r="AH385" s="70"/>
      <c r="AI385" s="70"/>
      <c r="AJ385" s="70"/>
      <c r="AK385" s="70"/>
      <c r="AL385" s="70"/>
    </row>
    <row r="386" spans="6:38">
      <c r="F386" s="8"/>
      <c r="AG386" s="70"/>
      <c r="AH386" s="70"/>
      <c r="AI386" s="70"/>
      <c r="AJ386" s="70"/>
      <c r="AK386" s="70"/>
      <c r="AL386" s="70"/>
    </row>
    <row r="387" spans="6:38">
      <c r="F387" s="8"/>
      <c r="AG387" s="70"/>
      <c r="AH387" s="70"/>
      <c r="AI387" s="70"/>
      <c r="AJ387" s="70"/>
      <c r="AK387" s="70"/>
      <c r="AL387" s="70"/>
    </row>
    <row r="388" spans="6:38">
      <c r="F388" s="8"/>
      <c r="AG388" s="70"/>
      <c r="AH388" s="70"/>
      <c r="AI388" s="70"/>
      <c r="AJ388" s="70"/>
      <c r="AK388" s="70"/>
      <c r="AL388" s="70"/>
    </row>
    <row r="389" spans="6:38">
      <c r="F389" s="8"/>
      <c r="AG389" s="70"/>
      <c r="AH389" s="70"/>
      <c r="AI389" s="70"/>
      <c r="AJ389" s="70"/>
      <c r="AK389" s="70"/>
      <c r="AL389" s="70"/>
    </row>
    <row r="390" spans="6:38">
      <c r="F390" s="8"/>
      <c r="AG390" s="70"/>
      <c r="AH390" s="70"/>
      <c r="AI390" s="70"/>
      <c r="AJ390" s="70"/>
      <c r="AK390" s="70"/>
      <c r="AL390" s="70"/>
    </row>
    <row r="391" spans="6:38">
      <c r="F391" s="8"/>
      <c r="AG391" s="70"/>
      <c r="AH391" s="70"/>
      <c r="AI391" s="70"/>
      <c r="AJ391" s="70"/>
      <c r="AK391" s="70"/>
      <c r="AL391" s="70"/>
    </row>
    <row r="392" spans="6:38">
      <c r="F392" s="8"/>
      <c r="AG392" s="70"/>
      <c r="AH392" s="70"/>
      <c r="AI392" s="70"/>
      <c r="AJ392" s="70"/>
      <c r="AK392" s="70"/>
      <c r="AL392" s="70"/>
    </row>
    <row r="393" spans="6:38">
      <c r="F393" s="8"/>
      <c r="AG393" s="70"/>
      <c r="AH393" s="70"/>
      <c r="AI393" s="70"/>
      <c r="AJ393" s="70"/>
      <c r="AK393" s="70"/>
      <c r="AL393" s="70"/>
    </row>
    <row r="394" spans="6:38">
      <c r="F394" s="8"/>
      <c r="AG394" s="70"/>
      <c r="AH394" s="70"/>
      <c r="AI394" s="70"/>
      <c r="AJ394" s="70"/>
      <c r="AK394" s="70"/>
      <c r="AL394" s="70"/>
    </row>
    <row r="395" spans="6:38">
      <c r="F395" s="8"/>
      <c r="AG395" s="70"/>
      <c r="AH395" s="70"/>
      <c r="AI395" s="70"/>
      <c r="AJ395" s="70"/>
      <c r="AK395" s="70"/>
      <c r="AL395" s="70"/>
    </row>
    <row r="396" spans="6:38">
      <c r="F396" s="8"/>
      <c r="AG396" s="70"/>
      <c r="AH396" s="70"/>
      <c r="AI396" s="70"/>
      <c r="AJ396" s="70"/>
      <c r="AK396" s="70"/>
      <c r="AL396" s="70"/>
    </row>
    <row r="397" spans="6:38">
      <c r="F397" s="8"/>
      <c r="AG397" s="70"/>
      <c r="AH397" s="70"/>
      <c r="AI397" s="70"/>
      <c r="AJ397" s="70"/>
      <c r="AK397" s="70"/>
      <c r="AL397" s="70"/>
    </row>
    <row r="398" spans="6:38">
      <c r="F398" s="8"/>
      <c r="AG398" s="70"/>
      <c r="AH398" s="70"/>
      <c r="AI398" s="70"/>
      <c r="AJ398" s="70"/>
      <c r="AK398" s="70"/>
      <c r="AL398" s="70"/>
    </row>
    <row r="399" spans="6:38">
      <c r="F399" s="8"/>
      <c r="AG399" s="70"/>
      <c r="AH399" s="70"/>
      <c r="AI399" s="70"/>
      <c r="AJ399" s="70"/>
      <c r="AK399" s="70"/>
      <c r="AL399" s="70"/>
    </row>
    <row r="400" spans="6:38">
      <c r="F400" s="8"/>
      <c r="AG400" s="70"/>
      <c r="AH400" s="70"/>
      <c r="AI400" s="70"/>
      <c r="AJ400" s="70"/>
      <c r="AK400" s="70"/>
      <c r="AL400" s="70"/>
    </row>
    <row r="401" spans="6:38">
      <c r="F401" s="8"/>
      <c r="AG401" s="70"/>
      <c r="AH401" s="70"/>
      <c r="AI401" s="70"/>
      <c r="AJ401" s="70"/>
      <c r="AK401" s="70"/>
      <c r="AL401" s="70"/>
    </row>
    <row r="402" spans="6:38">
      <c r="F402" s="8"/>
      <c r="AG402" s="70"/>
      <c r="AH402" s="70"/>
      <c r="AI402" s="70"/>
      <c r="AJ402" s="70"/>
      <c r="AK402" s="70"/>
      <c r="AL402" s="70"/>
    </row>
    <row r="403" spans="6:38">
      <c r="F403" s="8"/>
      <c r="AG403" s="70"/>
      <c r="AH403" s="70"/>
      <c r="AI403" s="70"/>
      <c r="AJ403" s="70"/>
      <c r="AK403" s="70"/>
      <c r="AL403" s="70"/>
    </row>
    <row r="404" spans="6:38">
      <c r="F404" s="8"/>
      <c r="AG404" s="70"/>
      <c r="AH404" s="70"/>
      <c r="AI404" s="70"/>
      <c r="AJ404" s="70"/>
      <c r="AK404" s="70"/>
      <c r="AL404" s="70"/>
    </row>
    <row r="405" spans="6:38">
      <c r="F405" s="8"/>
      <c r="AG405" s="70"/>
      <c r="AH405" s="70"/>
      <c r="AI405" s="70"/>
      <c r="AJ405" s="70"/>
      <c r="AK405" s="70"/>
      <c r="AL405" s="70"/>
    </row>
    <row r="406" spans="6:38">
      <c r="F406" s="8"/>
      <c r="AG406" s="70"/>
      <c r="AH406" s="70"/>
      <c r="AI406" s="70"/>
      <c r="AJ406" s="70"/>
      <c r="AK406" s="70"/>
      <c r="AL406" s="70"/>
    </row>
    <row r="407" spans="6:38">
      <c r="F407" s="8"/>
      <c r="AG407" s="70"/>
      <c r="AH407" s="70"/>
      <c r="AI407" s="70"/>
      <c r="AJ407" s="70"/>
      <c r="AK407" s="70"/>
      <c r="AL407" s="70"/>
    </row>
    <row r="408" spans="6:38">
      <c r="F408" s="8"/>
      <c r="AG408" s="70"/>
      <c r="AH408" s="70"/>
      <c r="AI408" s="70"/>
      <c r="AJ408" s="70"/>
      <c r="AK408" s="70"/>
      <c r="AL408" s="70"/>
    </row>
    <row r="409" spans="6:38">
      <c r="F409" s="8"/>
      <c r="AG409" s="70"/>
      <c r="AH409" s="70"/>
      <c r="AI409" s="70"/>
      <c r="AJ409" s="70"/>
      <c r="AK409" s="70"/>
      <c r="AL409" s="70"/>
    </row>
    <row r="410" spans="6:38">
      <c r="F410" s="8"/>
      <c r="AG410" s="70"/>
      <c r="AH410" s="70"/>
      <c r="AI410" s="70"/>
      <c r="AJ410" s="70"/>
      <c r="AK410" s="70"/>
      <c r="AL410" s="70"/>
    </row>
    <row r="411" spans="6:38">
      <c r="F411" s="8"/>
      <c r="AG411" s="70"/>
      <c r="AH411" s="70"/>
      <c r="AI411" s="70"/>
      <c r="AJ411" s="70"/>
      <c r="AK411" s="70"/>
      <c r="AL411" s="70"/>
    </row>
    <row r="412" spans="6:38">
      <c r="F412" s="8"/>
      <c r="AG412" s="70"/>
      <c r="AH412" s="70"/>
      <c r="AI412" s="70"/>
      <c r="AJ412" s="70"/>
      <c r="AK412" s="70"/>
      <c r="AL412" s="70"/>
    </row>
    <row r="413" spans="6:38">
      <c r="F413" s="8"/>
      <c r="AG413" s="70"/>
      <c r="AH413" s="70"/>
      <c r="AI413" s="70"/>
      <c r="AJ413" s="70"/>
      <c r="AK413" s="70"/>
      <c r="AL413" s="70"/>
    </row>
    <row r="414" spans="6:38">
      <c r="F414" s="8"/>
      <c r="AG414" s="70"/>
      <c r="AH414" s="70"/>
      <c r="AI414" s="70"/>
      <c r="AJ414" s="70"/>
      <c r="AK414" s="70"/>
      <c r="AL414" s="70"/>
    </row>
    <row r="415" spans="6:38">
      <c r="F415" s="8"/>
      <c r="AG415" s="70"/>
      <c r="AH415" s="70"/>
      <c r="AI415" s="70"/>
      <c r="AJ415" s="70"/>
      <c r="AK415" s="70"/>
      <c r="AL415" s="70"/>
    </row>
    <row r="416" spans="6:38">
      <c r="F416" s="8"/>
      <c r="AG416" s="70"/>
      <c r="AH416" s="70"/>
      <c r="AI416" s="70"/>
      <c r="AJ416" s="70"/>
      <c r="AK416" s="70"/>
      <c r="AL416" s="70"/>
    </row>
    <row r="417" spans="6:38">
      <c r="F417" s="8"/>
      <c r="AG417" s="70"/>
      <c r="AH417" s="70"/>
      <c r="AI417" s="70"/>
      <c r="AJ417" s="70"/>
      <c r="AK417" s="70"/>
      <c r="AL417" s="70"/>
    </row>
    <row r="418" spans="6:38">
      <c r="F418" s="8"/>
      <c r="AG418" s="70"/>
      <c r="AH418" s="70"/>
      <c r="AI418" s="70"/>
      <c r="AJ418" s="70"/>
      <c r="AK418" s="70"/>
      <c r="AL418" s="70"/>
    </row>
    <row r="419" spans="6:38">
      <c r="F419" s="8"/>
      <c r="AG419" s="70"/>
      <c r="AH419" s="70"/>
      <c r="AI419" s="70"/>
      <c r="AJ419" s="70"/>
      <c r="AK419" s="70"/>
      <c r="AL419" s="70"/>
    </row>
    <row r="420" spans="6:38">
      <c r="F420" s="8"/>
      <c r="AG420" s="70"/>
      <c r="AH420" s="70"/>
      <c r="AI420" s="70"/>
      <c r="AJ420" s="70"/>
      <c r="AK420" s="70"/>
      <c r="AL420" s="70"/>
    </row>
    <row r="421" spans="6:38">
      <c r="F421" s="8"/>
      <c r="AG421" s="70"/>
      <c r="AH421" s="70"/>
      <c r="AI421" s="70"/>
      <c r="AJ421" s="70"/>
      <c r="AK421" s="70"/>
      <c r="AL421" s="70"/>
    </row>
    <row r="422" spans="6:38">
      <c r="F422" s="8"/>
      <c r="AG422" s="70"/>
      <c r="AH422" s="70"/>
      <c r="AI422" s="70"/>
      <c r="AJ422" s="70"/>
      <c r="AK422" s="70"/>
      <c r="AL422" s="70"/>
    </row>
    <row r="423" spans="6:38">
      <c r="F423" s="8"/>
      <c r="AG423" s="70"/>
      <c r="AH423" s="70"/>
      <c r="AI423" s="70"/>
      <c r="AJ423" s="70"/>
      <c r="AK423" s="70"/>
      <c r="AL423" s="70"/>
    </row>
    <row r="424" spans="6:38">
      <c r="F424" s="8"/>
      <c r="AG424" s="70"/>
      <c r="AH424" s="70"/>
      <c r="AI424" s="70"/>
      <c r="AJ424" s="70"/>
      <c r="AK424" s="70"/>
      <c r="AL424" s="70"/>
    </row>
    <row r="425" spans="6:38">
      <c r="F425" s="8"/>
      <c r="AG425" s="70"/>
      <c r="AH425" s="70"/>
      <c r="AI425" s="70"/>
      <c r="AJ425" s="70"/>
      <c r="AK425" s="70"/>
      <c r="AL425" s="70"/>
    </row>
    <row r="426" spans="6:38">
      <c r="F426" s="8"/>
      <c r="AG426" s="70"/>
      <c r="AH426" s="70"/>
      <c r="AI426" s="70"/>
      <c r="AJ426" s="70"/>
      <c r="AK426" s="70"/>
      <c r="AL426" s="70"/>
    </row>
    <row r="427" spans="6:38">
      <c r="F427" s="8"/>
      <c r="AG427" s="70"/>
      <c r="AH427" s="70"/>
      <c r="AI427" s="70"/>
      <c r="AJ427" s="70"/>
      <c r="AK427" s="70"/>
      <c r="AL427" s="70"/>
    </row>
    <row r="428" spans="6:38">
      <c r="F428" s="8"/>
      <c r="AG428" s="70"/>
      <c r="AH428" s="70"/>
      <c r="AI428" s="70"/>
      <c r="AJ428" s="70"/>
      <c r="AK428" s="70"/>
      <c r="AL428" s="70"/>
    </row>
    <row r="429" spans="6:38">
      <c r="F429" s="8"/>
      <c r="AG429" s="70"/>
      <c r="AH429" s="70"/>
      <c r="AI429" s="70"/>
      <c r="AJ429" s="70"/>
      <c r="AK429" s="70"/>
      <c r="AL429" s="70"/>
    </row>
    <row r="430" spans="6:38">
      <c r="F430" s="8"/>
      <c r="AG430" s="70"/>
      <c r="AH430" s="70"/>
      <c r="AI430" s="70"/>
      <c r="AJ430" s="70"/>
      <c r="AK430" s="70"/>
      <c r="AL430" s="70"/>
    </row>
    <row r="431" spans="6:38">
      <c r="F431" s="8"/>
      <c r="AG431" s="70"/>
      <c r="AH431" s="70"/>
      <c r="AI431" s="70"/>
      <c r="AJ431" s="70"/>
      <c r="AK431" s="70"/>
      <c r="AL431" s="70"/>
    </row>
    <row r="432" spans="6:38">
      <c r="F432" s="8"/>
      <c r="AG432" s="70"/>
      <c r="AH432" s="70"/>
      <c r="AI432" s="70"/>
      <c r="AJ432" s="70"/>
      <c r="AK432" s="70"/>
      <c r="AL432" s="70"/>
    </row>
    <row r="433" spans="6:38">
      <c r="F433" s="8"/>
      <c r="AG433" s="70"/>
      <c r="AH433" s="70"/>
      <c r="AI433" s="70"/>
      <c r="AJ433" s="70"/>
      <c r="AK433" s="70"/>
      <c r="AL433" s="70"/>
    </row>
    <row r="434" spans="6:38">
      <c r="F434" s="8"/>
      <c r="AG434" s="70"/>
      <c r="AH434" s="70"/>
      <c r="AI434" s="70"/>
      <c r="AJ434" s="70"/>
      <c r="AK434" s="70"/>
      <c r="AL434" s="70"/>
    </row>
    <row r="435" spans="6:38">
      <c r="F435" s="8"/>
      <c r="AG435" s="70"/>
      <c r="AH435" s="70"/>
      <c r="AI435" s="70"/>
      <c r="AJ435" s="70"/>
      <c r="AK435" s="70"/>
      <c r="AL435" s="70"/>
    </row>
    <row r="436" spans="6:38">
      <c r="F436" s="8"/>
      <c r="AG436" s="70"/>
      <c r="AH436" s="70"/>
      <c r="AI436" s="70"/>
      <c r="AJ436" s="70"/>
      <c r="AK436" s="70"/>
      <c r="AL436" s="70"/>
    </row>
    <row r="437" spans="6:38">
      <c r="F437" s="8"/>
      <c r="AG437" s="70"/>
      <c r="AH437" s="70"/>
      <c r="AI437" s="70"/>
      <c r="AJ437" s="70"/>
      <c r="AK437" s="70"/>
      <c r="AL437" s="70"/>
    </row>
    <row r="438" spans="6:38">
      <c r="F438" s="8"/>
      <c r="AG438" s="70"/>
      <c r="AH438" s="70"/>
      <c r="AI438" s="70"/>
      <c r="AJ438" s="70"/>
      <c r="AK438" s="70"/>
      <c r="AL438" s="70"/>
    </row>
    <row r="439" spans="6:38">
      <c r="F439" s="8"/>
      <c r="AG439" s="70"/>
      <c r="AH439" s="70"/>
      <c r="AI439" s="70"/>
      <c r="AJ439" s="70"/>
      <c r="AK439" s="70"/>
      <c r="AL439" s="70"/>
    </row>
    <row r="440" spans="6:38">
      <c r="F440" s="8"/>
      <c r="AG440" s="70"/>
      <c r="AH440" s="70"/>
      <c r="AI440" s="70"/>
      <c r="AJ440" s="70"/>
      <c r="AK440" s="70"/>
      <c r="AL440" s="70"/>
    </row>
    <row r="441" spans="6:38">
      <c r="F441" s="8"/>
      <c r="AG441" s="70"/>
      <c r="AH441" s="70"/>
      <c r="AI441" s="70"/>
      <c r="AJ441" s="70"/>
      <c r="AK441" s="70"/>
      <c r="AL441" s="70"/>
    </row>
    <row r="442" spans="6:38">
      <c r="F442" s="8"/>
      <c r="AG442" s="70"/>
      <c r="AH442" s="70"/>
      <c r="AI442" s="70"/>
      <c r="AJ442" s="70"/>
      <c r="AK442" s="70"/>
      <c r="AL442" s="70"/>
    </row>
    <row r="443" spans="6:38">
      <c r="F443" s="8"/>
      <c r="AG443" s="70"/>
      <c r="AH443" s="70"/>
      <c r="AI443" s="70"/>
      <c r="AJ443" s="70"/>
      <c r="AK443" s="70"/>
      <c r="AL443" s="70"/>
    </row>
    <row r="444" spans="6:38">
      <c r="F444" s="8"/>
      <c r="AG444" s="70"/>
      <c r="AH444" s="70"/>
      <c r="AI444" s="70"/>
      <c r="AJ444" s="70"/>
      <c r="AK444" s="70"/>
      <c r="AL444" s="70"/>
    </row>
    <row r="445" spans="6:38">
      <c r="F445" s="8"/>
      <c r="AG445" s="70"/>
      <c r="AH445" s="70"/>
      <c r="AI445" s="70"/>
      <c r="AJ445" s="70"/>
      <c r="AK445" s="70"/>
      <c r="AL445" s="70"/>
    </row>
    <row r="446" spans="6:38">
      <c r="F446" s="8"/>
      <c r="AG446" s="70"/>
      <c r="AH446" s="70"/>
      <c r="AI446" s="70"/>
      <c r="AJ446" s="70"/>
      <c r="AK446" s="70"/>
      <c r="AL446" s="70"/>
    </row>
    <row r="447" spans="6:38">
      <c r="F447" s="8"/>
      <c r="AG447" s="70"/>
      <c r="AH447" s="70"/>
      <c r="AI447" s="70"/>
      <c r="AJ447" s="70"/>
      <c r="AK447" s="70"/>
      <c r="AL447" s="70"/>
    </row>
    <row r="448" spans="6:38">
      <c r="F448" s="8"/>
      <c r="AG448" s="70"/>
      <c r="AH448" s="70"/>
      <c r="AI448" s="70"/>
      <c r="AJ448" s="70"/>
      <c r="AK448" s="70"/>
      <c r="AL448" s="70"/>
    </row>
    <row r="449" spans="6:38">
      <c r="F449" s="8"/>
      <c r="AG449" s="70"/>
      <c r="AH449" s="70"/>
      <c r="AI449" s="70"/>
      <c r="AJ449" s="70"/>
      <c r="AK449" s="70"/>
      <c r="AL449" s="70"/>
    </row>
    <row r="450" spans="6:38">
      <c r="F450" s="8"/>
      <c r="AG450" s="70"/>
      <c r="AH450" s="70"/>
      <c r="AI450" s="70"/>
      <c r="AJ450" s="70"/>
      <c r="AK450" s="70"/>
      <c r="AL450" s="70"/>
    </row>
    <row r="451" spans="6:38">
      <c r="F451" s="8"/>
      <c r="AG451" s="70"/>
      <c r="AH451" s="70"/>
      <c r="AI451" s="70"/>
      <c r="AJ451" s="70"/>
      <c r="AK451" s="70"/>
      <c r="AL451" s="70"/>
    </row>
    <row r="452" spans="6:38">
      <c r="F452" s="8"/>
      <c r="AG452" s="70"/>
      <c r="AH452" s="70"/>
      <c r="AI452" s="70"/>
      <c r="AJ452" s="70"/>
      <c r="AK452" s="70"/>
      <c r="AL452" s="70"/>
    </row>
    <row r="453" spans="6:38">
      <c r="F453" s="8"/>
      <c r="AG453" s="70"/>
      <c r="AH453" s="70"/>
      <c r="AI453" s="70"/>
      <c r="AJ453" s="70"/>
      <c r="AK453" s="70"/>
      <c r="AL453" s="70"/>
    </row>
    <row r="454" spans="6:38">
      <c r="F454" s="8"/>
      <c r="AG454" s="70"/>
      <c r="AH454" s="70"/>
      <c r="AI454" s="70"/>
      <c r="AJ454" s="70"/>
      <c r="AK454" s="70"/>
      <c r="AL454" s="70"/>
    </row>
    <row r="455" spans="6:38">
      <c r="F455" s="8"/>
      <c r="AG455" s="70"/>
      <c r="AH455" s="70"/>
      <c r="AI455" s="70"/>
      <c r="AJ455" s="70"/>
      <c r="AK455" s="70"/>
      <c r="AL455" s="70"/>
    </row>
    <row r="456" spans="6:38">
      <c r="F456" s="8"/>
      <c r="AG456" s="70"/>
      <c r="AH456" s="70"/>
      <c r="AI456" s="70"/>
      <c r="AJ456" s="70"/>
      <c r="AK456" s="70"/>
      <c r="AL456" s="70"/>
    </row>
    <row r="457" spans="6:38">
      <c r="F457" s="8"/>
      <c r="AG457" s="70"/>
      <c r="AH457" s="70"/>
      <c r="AI457" s="70"/>
      <c r="AJ457" s="70"/>
      <c r="AK457" s="70"/>
      <c r="AL457" s="70"/>
    </row>
    <row r="458" spans="6:38">
      <c r="F458" s="8"/>
      <c r="AG458" s="70"/>
      <c r="AH458" s="70"/>
      <c r="AI458" s="70"/>
      <c r="AJ458" s="70"/>
      <c r="AK458" s="70"/>
      <c r="AL458" s="70"/>
    </row>
    <row r="459" spans="6:38">
      <c r="F459" s="8"/>
      <c r="AG459" s="70"/>
      <c r="AH459" s="70"/>
      <c r="AI459" s="70"/>
      <c r="AJ459" s="70"/>
      <c r="AK459" s="70"/>
      <c r="AL459" s="70"/>
    </row>
    <row r="460" spans="6:38">
      <c r="F460" s="8"/>
      <c r="AG460" s="70"/>
      <c r="AH460" s="70"/>
      <c r="AI460" s="70"/>
      <c r="AJ460" s="70"/>
      <c r="AK460" s="70"/>
      <c r="AL460" s="70"/>
    </row>
    <row r="461" spans="6:38">
      <c r="F461" s="8"/>
      <c r="AG461" s="70"/>
      <c r="AH461" s="70"/>
      <c r="AI461" s="70"/>
      <c r="AJ461" s="70"/>
      <c r="AK461" s="70"/>
      <c r="AL461" s="70"/>
    </row>
    <row r="462" spans="6:38">
      <c r="F462" s="8"/>
      <c r="AG462" s="70"/>
      <c r="AH462" s="70"/>
      <c r="AI462" s="70"/>
      <c r="AJ462" s="70"/>
      <c r="AK462" s="70"/>
      <c r="AL462" s="70"/>
    </row>
    <row r="463" spans="6:38">
      <c r="F463" s="8"/>
      <c r="AG463" s="70"/>
      <c r="AH463" s="70"/>
      <c r="AI463" s="70"/>
      <c r="AJ463" s="70"/>
      <c r="AK463" s="70"/>
      <c r="AL463" s="70"/>
    </row>
    <row r="464" spans="6:38">
      <c r="F464" s="8"/>
      <c r="AG464" s="70"/>
      <c r="AH464" s="70"/>
      <c r="AI464" s="70"/>
      <c r="AJ464" s="70"/>
      <c r="AK464" s="70"/>
      <c r="AL464" s="70"/>
    </row>
    <row r="465" spans="6:38">
      <c r="F465" s="8"/>
      <c r="AG465" s="70"/>
      <c r="AH465" s="70"/>
      <c r="AI465" s="70"/>
      <c r="AJ465" s="70"/>
      <c r="AK465" s="70"/>
      <c r="AL465" s="70"/>
    </row>
    <row r="466" spans="6:38">
      <c r="F466" s="8"/>
      <c r="AG466" s="70"/>
      <c r="AH466" s="70"/>
      <c r="AI466" s="70"/>
      <c r="AJ466" s="70"/>
      <c r="AK466" s="70"/>
      <c r="AL466" s="70"/>
    </row>
    <row r="467" spans="6:38">
      <c r="F467" s="8"/>
      <c r="AG467" s="70"/>
      <c r="AH467" s="70"/>
      <c r="AI467" s="70"/>
      <c r="AJ467" s="70"/>
      <c r="AK467" s="70"/>
      <c r="AL467" s="70"/>
    </row>
    <row r="468" spans="6:38">
      <c r="F468" s="8"/>
      <c r="AG468" s="70"/>
      <c r="AH468" s="70"/>
      <c r="AI468" s="70"/>
      <c r="AJ468" s="70"/>
      <c r="AK468" s="70"/>
      <c r="AL468" s="70"/>
    </row>
    <row r="469" spans="6:38">
      <c r="F469" s="8"/>
      <c r="AG469" s="70"/>
      <c r="AH469" s="70"/>
      <c r="AI469" s="70"/>
      <c r="AJ469" s="70"/>
      <c r="AK469" s="70"/>
      <c r="AL469" s="70"/>
    </row>
    <row r="470" spans="6:38">
      <c r="F470" s="8"/>
      <c r="AG470" s="70"/>
      <c r="AH470" s="70"/>
      <c r="AI470" s="70"/>
      <c r="AJ470" s="70"/>
      <c r="AK470" s="70"/>
      <c r="AL470" s="70"/>
    </row>
    <row r="471" spans="6:38">
      <c r="F471" s="8"/>
      <c r="AG471" s="70"/>
      <c r="AH471" s="70"/>
      <c r="AI471" s="70"/>
      <c r="AJ471" s="70"/>
      <c r="AK471" s="70"/>
      <c r="AL471" s="70"/>
    </row>
    <row r="472" spans="6:38">
      <c r="F472" s="8"/>
      <c r="AG472" s="70"/>
      <c r="AH472" s="70"/>
      <c r="AI472" s="70"/>
      <c r="AJ472" s="70"/>
      <c r="AK472" s="70"/>
      <c r="AL472" s="70"/>
    </row>
    <row r="473" spans="6:38">
      <c r="F473" s="8"/>
      <c r="AG473" s="70"/>
      <c r="AH473" s="70"/>
      <c r="AI473" s="70"/>
      <c r="AJ473" s="70"/>
      <c r="AK473" s="70"/>
      <c r="AL473" s="70"/>
    </row>
    <row r="474" spans="6:38">
      <c r="F474" s="8"/>
      <c r="AG474" s="70"/>
      <c r="AH474" s="70"/>
      <c r="AI474" s="70"/>
      <c r="AJ474" s="70"/>
      <c r="AK474" s="70"/>
      <c r="AL474" s="70"/>
    </row>
    <row r="475" spans="6:38">
      <c r="F475" s="8"/>
      <c r="AG475" s="70"/>
      <c r="AH475" s="70"/>
      <c r="AI475" s="70"/>
      <c r="AJ475" s="70"/>
      <c r="AK475" s="70"/>
      <c r="AL475" s="70"/>
    </row>
    <row r="476" spans="6:38">
      <c r="F476" s="8"/>
      <c r="AG476" s="70"/>
      <c r="AH476" s="70"/>
      <c r="AI476" s="70"/>
      <c r="AJ476" s="70"/>
      <c r="AK476" s="70"/>
      <c r="AL476" s="70"/>
    </row>
    <row r="477" spans="6:38">
      <c r="F477" s="8"/>
      <c r="AG477" s="70"/>
      <c r="AH477" s="70"/>
      <c r="AI477" s="70"/>
      <c r="AJ477" s="70"/>
      <c r="AK477" s="70"/>
      <c r="AL477" s="70"/>
    </row>
    <row r="478" spans="6:38">
      <c r="F478" s="8"/>
      <c r="AG478" s="70"/>
      <c r="AH478" s="70"/>
      <c r="AI478" s="70"/>
      <c r="AJ478" s="70"/>
      <c r="AK478" s="70"/>
      <c r="AL478" s="70"/>
    </row>
    <row r="479" spans="6:38">
      <c r="F479" s="8"/>
      <c r="AG479" s="70"/>
      <c r="AH479" s="70"/>
      <c r="AI479" s="70"/>
      <c r="AJ479" s="70"/>
      <c r="AK479" s="70"/>
      <c r="AL479" s="70"/>
    </row>
    <row r="480" spans="6:38">
      <c r="F480" s="8"/>
      <c r="AG480" s="70"/>
      <c r="AH480" s="70"/>
      <c r="AI480" s="70"/>
      <c r="AJ480" s="70"/>
      <c r="AK480" s="70"/>
      <c r="AL480" s="70"/>
    </row>
    <row r="481" spans="6:38">
      <c r="F481" s="8"/>
      <c r="AG481" s="70"/>
      <c r="AH481" s="70"/>
      <c r="AI481" s="70"/>
      <c r="AJ481" s="70"/>
      <c r="AK481" s="70"/>
      <c r="AL481" s="70"/>
    </row>
    <row r="482" spans="6:38">
      <c r="F482" s="8"/>
      <c r="AG482" s="70"/>
      <c r="AH482" s="70"/>
      <c r="AI482" s="70"/>
      <c r="AJ482" s="70"/>
      <c r="AK482" s="70"/>
      <c r="AL482" s="70"/>
    </row>
    <row r="483" spans="6:38">
      <c r="F483" s="8"/>
      <c r="AG483" s="70"/>
      <c r="AH483" s="70"/>
      <c r="AI483" s="70"/>
      <c r="AJ483" s="70"/>
      <c r="AK483" s="70"/>
      <c r="AL483" s="70"/>
    </row>
    <row r="484" spans="6:38">
      <c r="F484" s="8"/>
      <c r="AG484" s="70"/>
      <c r="AH484" s="70"/>
      <c r="AI484" s="70"/>
      <c r="AJ484" s="70"/>
      <c r="AK484" s="70"/>
      <c r="AL484" s="70"/>
    </row>
    <row r="485" spans="6:38">
      <c r="F485" s="8"/>
      <c r="AG485" s="70"/>
      <c r="AH485" s="70"/>
      <c r="AI485" s="70"/>
      <c r="AJ485" s="70"/>
      <c r="AK485" s="70"/>
      <c r="AL485" s="70"/>
    </row>
    <row r="486" spans="6:38">
      <c r="F486" s="8"/>
      <c r="AG486" s="70"/>
      <c r="AH486" s="70"/>
      <c r="AI486" s="70"/>
      <c r="AJ486" s="70"/>
      <c r="AK486" s="70"/>
      <c r="AL486" s="70"/>
    </row>
    <row r="487" spans="6:38">
      <c r="F487" s="8"/>
      <c r="AG487" s="70"/>
      <c r="AH487" s="70"/>
      <c r="AI487" s="70"/>
      <c r="AJ487" s="70"/>
      <c r="AK487" s="70"/>
      <c r="AL487" s="70"/>
    </row>
    <row r="488" spans="6:38">
      <c r="F488" s="8"/>
      <c r="AG488" s="70"/>
      <c r="AH488" s="70"/>
      <c r="AI488" s="70"/>
      <c r="AJ488" s="70"/>
      <c r="AK488" s="70"/>
      <c r="AL488" s="70"/>
    </row>
    <row r="489" spans="6:38">
      <c r="F489" s="8"/>
      <c r="AG489" s="70"/>
      <c r="AH489" s="70"/>
      <c r="AI489" s="70"/>
      <c r="AJ489" s="70"/>
      <c r="AK489" s="70"/>
      <c r="AL489" s="70"/>
    </row>
    <row r="490" spans="6:38">
      <c r="F490" s="8"/>
      <c r="AG490" s="70"/>
      <c r="AH490" s="70"/>
      <c r="AI490" s="70"/>
      <c r="AJ490" s="70"/>
      <c r="AK490" s="70"/>
      <c r="AL490" s="70"/>
    </row>
    <row r="491" spans="6:38">
      <c r="F491" s="8"/>
      <c r="AG491" s="70"/>
      <c r="AH491" s="70"/>
      <c r="AI491" s="70"/>
      <c r="AJ491" s="70"/>
      <c r="AK491" s="70"/>
      <c r="AL491" s="70"/>
    </row>
    <row r="492" spans="6:38">
      <c r="F492" s="8"/>
      <c r="AG492" s="70"/>
      <c r="AH492" s="70"/>
      <c r="AI492" s="70"/>
      <c r="AJ492" s="70"/>
      <c r="AK492" s="70"/>
      <c r="AL492" s="70"/>
    </row>
    <row r="493" spans="6:38">
      <c r="F493" s="8"/>
      <c r="AG493" s="70"/>
      <c r="AH493" s="70"/>
      <c r="AI493" s="70"/>
      <c r="AJ493" s="70"/>
      <c r="AK493" s="70"/>
      <c r="AL493" s="70"/>
    </row>
    <row r="494" spans="6:38">
      <c r="F494" s="8"/>
      <c r="AG494" s="70"/>
      <c r="AH494" s="70"/>
      <c r="AI494" s="70"/>
      <c r="AJ494" s="70"/>
      <c r="AK494" s="70"/>
      <c r="AL494" s="70"/>
    </row>
    <row r="495" spans="6:38">
      <c r="F495" s="8"/>
      <c r="AG495" s="70"/>
      <c r="AH495" s="70"/>
      <c r="AI495" s="70"/>
      <c r="AJ495" s="70"/>
      <c r="AK495" s="70"/>
      <c r="AL495" s="70"/>
    </row>
    <row r="496" spans="6:38">
      <c r="F496" s="8"/>
      <c r="AG496" s="70"/>
      <c r="AH496" s="70"/>
      <c r="AI496" s="70"/>
      <c r="AJ496" s="70"/>
      <c r="AK496" s="70"/>
      <c r="AL496" s="70"/>
    </row>
    <row r="497" spans="6:38">
      <c r="F497" s="8"/>
      <c r="AG497" s="70"/>
      <c r="AH497" s="70"/>
      <c r="AI497" s="70"/>
      <c r="AJ497" s="70"/>
      <c r="AK497" s="70"/>
      <c r="AL497" s="70"/>
    </row>
    <row r="498" spans="6:38">
      <c r="F498" s="8"/>
      <c r="AG498" s="70"/>
      <c r="AH498" s="70"/>
      <c r="AI498" s="70"/>
      <c r="AJ498" s="70"/>
      <c r="AK498" s="70"/>
      <c r="AL498" s="70"/>
    </row>
    <row r="499" spans="6:38">
      <c r="F499" s="8"/>
      <c r="AG499" s="70"/>
      <c r="AH499" s="70"/>
      <c r="AI499" s="70"/>
      <c r="AJ499" s="70"/>
      <c r="AK499" s="70"/>
      <c r="AL499" s="70"/>
    </row>
    <row r="500" spans="6:38">
      <c r="F500" s="8"/>
      <c r="AG500" s="70"/>
      <c r="AH500" s="70"/>
      <c r="AI500" s="70"/>
      <c r="AJ500" s="70"/>
      <c r="AK500" s="70"/>
      <c r="AL500" s="70"/>
    </row>
    <row r="501" spans="6:38">
      <c r="F501" s="8"/>
      <c r="AG501" s="70"/>
      <c r="AH501" s="70"/>
      <c r="AI501" s="70"/>
      <c r="AJ501" s="70"/>
      <c r="AK501" s="70"/>
      <c r="AL501" s="70"/>
    </row>
    <row r="502" spans="6:38">
      <c r="F502" s="8"/>
      <c r="AG502" s="70"/>
      <c r="AH502" s="70"/>
      <c r="AI502" s="70"/>
      <c r="AJ502" s="70"/>
      <c r="AK502" s="70"/>
      <c r="AL502" s="70"/>
    </row>
    <row r="503" spans="6:38">
      <c r="F503" s="8"/>
      <c r="AG503" s="70"/>
      <c r="AH503" s="70"/>
      <c r="AI503" s="70"/>
      <c r="AJ503" s="70"/>
      <c r="AK503" s="70"/>
      <c r="AL503" s="70"/>
    </row>
    <row r="504" spans="6:38">
      <c r="F504" s="8"/>
      <c r="AG504" s="70"/>
      <c r="AH504" s="70"/>
      <c r="AI504" s="70"/>
      <c r="AJ504" s="70"/>
      <c r="AK504" s="70"/>
      <c r="AL504" s="70"/>
    </row>
    <row r="505" spans="6:38">
      <c r="F505" s="8"/>
      <c r="AG505" s="70"/>
      <c r="AH505" s="70"/>
      <c r="AI505" s="70"/>
      <c r="AJ505" s="70"/>
      <c r="AK505" s="70"/>
      <c r="AL505" s="70"/>
    </row>
    <row r="506" spans="6:38">
      <c r="F506" s="8"/>
      <c r="AG506" s="70"/>
      <c r="AH506" s="70"/>
      <c r="AI506" s="70"/>
      <c r="AJ506" s="70"/>
      <c r="AK506" s="70"/>
      <c r="AL506" s="70"/>
    </row>
    <row r="507" spans="6:38">
      <c r="F507" s="8"/>
      <c r="AG507" s="70"/>
      <c r="AH507" s="70"/>
      <c r="AI507" s="70"/>
      <c r="AJ507" s="70"/>
      <c r="AK507" s="70"/>
      <c r="AL507" s="70"/>
    </row>
    <row r="508" spans="6:38">
      <c r="F508" s="8"/>
      <c r="AG508" s="70"/>
      <c r="AH508" s="70"/>
      <c r="AI508" s="70"/>
      <c r="AJ508" s="70"/>
      <c r="AK508" s="70"/>
      <c r="AL508" s="70"/>
    </row>
    <row r="509" spans="6:38">
      <c r="F509" s="8"/>
      <c r="AG509" s="70"/>
      <c r="AH509" s="70"/>
      <c r="AI509" s="70"/>
      <c r="AJ509" s="70"/>
      <c r="AK509" s="70"/>
      <c r="AL509" s="70"/>
    </row>
    <row r="510" spans="6:38">
      <c r="F510" s="8"/>
      <c r="AG510" s="70"/>
      <c r="AH510" s="70"/>
      <c r="AI510" s="70"/>
      <c r="AJ510" s="70"/>
      <c r="AK510" s="70"/>
      <c r="AL510" s="70"/>
    </row>
    <row r="511" spans="6:38">
      <c r="F511" s="8"/>
      <c r="AG511" s="70"/>
      <c r="AH511" s="70"/>
      <c r="AI511" s="70"/>
      <c r="AJ511" s="70"/>
      <c r="AK511" s="70"/>
      <c r="AL511" s="70"/>
    </row>
    <row r="512" spans="6:38">
      <c r="F512" s="8"/>
      <c r="AG512" s="70"/>
      <c r="AH512" s="70"/>
      <c r="AI512" s="70"/>
      <c r="AJ512" s="70"/>
      <c r="AK512" s="70"/>
      <c r="AL512" s="70"/>
    </row>
    <row r="513" spans="6:38">
      <c r="F513" s="8"/>
      <c r="AG513" s="70"/>
      <c r="AH513" s="70"/>
      <c r="AI513" s="70"/>
      <c r="AJ513" s="70"/>
      <c r="AK513" s="70"/>
      <c r="AL513" s="70"/>
    </row>
    <row r="514" spans="6:38">
      <c r="F514" s="8"/>
      <c r="AG514" s="70"/>
      <c r="AH514" s="70"/>
      <c r="AI514" s="70"/>
      <c r="AJ514" s="70"/>
      <c r="AK514" s="70"/>
      <c r="AL514" s="70"/>
    </row>
    <row r="515" spans="6:38">
      <c r="F515" s="8"/>
      <c r="AG515" s="70"/>
      <c r="AH515" s="70"/>
      <c r="AI515" s="70"/>
      <c r="AJ515" s="70"/>
      <c r="AK515" s="70"/>
      <c r="AL515" s="70"/>
    </row>
    <row r="516" spans="6:38">
      <c r="F516" s="8"/>
      <c r="AG516" s="70"/>
      <c r="AH516" s="70"/>
      <c r="AI516" s="70"/>
      <c r="AJ516" s="70"/>
      <c r="AK516" s="70"/>
      <c r="AL516" s="70"/>
    </row>
    <row r="517" spans="6:38">
      <c r="F517" s="8"/>
      <c r="AG517" s="70"/>
      <c r="AH517" s="70"/>
      <c r="AI517" s="70"/>
      <c r="AJ517" s="70"/>
      <c r="AK517" s="70"/>
      <c r="AL517" s="70"/>
    </row>
    <row r="518" spans="6:38">
      <c r="F518" s="8"/>
      <c r="AG518" s="70"/>
      <c r="AH518" s="70"/>
      <c r="AI518" s="70"/>
      <c r="AJ518" s="70"/>
      <c r="AK518" s="70"/>
      <c r="AL518" s="70"/>
    </row>
    <row r="519" spans="6:38">
      <c r="F519" s="8"/>
      <c r="AG519" s="70"/>
      <c r="AH519" s="70"/>
      <c r="AI519" s="70"/>
      <c r="AJ519" s="70"/>
      <c r="AK519" s="70"/>
      <c r="AL519" s="70"/>
    </row>
    <row r="520" spans="6:38">
      <c r="F520" s="8"/>
      <c r="AG520" s="70"/>
      <c r="AH520" s="70"/>
      <c r="AI520" s="70"/>
      <c r="AJ520" s="70"/>
      <c r="AK520" s="70"/>
      <c r="AL520" s="70"/>
    </row>
    <row r="521" spans="6:38">
      <c r="F521" s="8"/>
      <c r="AG521" s="70"/>
      <c r="AH521" s="70"/>
      <c r="AI521" s="70"/>
      <c r="AJ521" s="70"/>
      <c r="AK521" s="70"/>
      <c r="AL521" s="70"/>
    </row>
    <row r="522" spans="6:38">
      <c r="F522" s="8"/>
      <c r="AG522" s="70"/>
      <c r="AH522" s="70"/>
      <c r="AI522" s="70"/>
      <c r="AJ522" s="70"/>
      <c r="AK522" s="70"/>
      <c r="AL522" s="70"/>
    </row>
    <row r="523" spans="6:38">
      <c r="F523" s="8"/>
      <c r="AG523" s="70"/>
      <c r="AH523" s="70"/>
      <c r="AI523" s="70"/>
      <c r="AJ523" s="70"/>
      <c r="AK523" s="70"/>
      <c r="AL523" s="70"/>
    </row>
    <row r="524" spans="6:38">
      <c r="F524" s="8"/>
      <c r="AG524" s="70"/>
      <c r="AH524" s="70"/>
      <c r="AI524" s="70"/>
      <c r="AJ524" s="70"/>
      <c r="AK524" s="70"/>
      <c r="AL524" s="70"/>
    </row>
    <row r="525" spans="6:38">
      <c r="F525" s="8"/>
      <c r="AG525" s="70"/>
      <c r="AH525" s="70"/>
      <c r="AI525" s="70"/>
      <c r="AJ525" s="70"/>
      <c r="AK525" s="70"/>
      <c r="AL525" s="70"/>
    </row>
    <row r="526" spans="6:38">
      <c r="F526" s="8"/>
      <c r="AG526" s="70"/>
      <c r="AH526" s="70"/>
      <c r="AI526" s="70"/>
      <c r="AJ526" s="70"/>
      <c r="AK526" s="70"/>
      <c r="AL526" s="70"/>
    </row>
    <row r="527" spans="6:38">
      <c r="F527" s="8"/>
      <c r="AG527" s="70"/>
      <c r="AH527" s="70"/>
      <c r="AI527" s="70"/>
      <c r="AJ527" s="70"/>
      <c r="AK527" s="70"/>
      <c r="AL527" s="70"/>
    </row>
    <row r="528" spans="6:38">
      <c r="F528" s="8"/>
      <c r="AG528" s="70"/>
      <c r="AH528" s="70"/>
      <c r="AI528" s="70"/>
      <c r="AJ528" s="70"/>
      <c r="AK528" s="70"/>
      <c r="AL528" s="70"/>
    </row>
    <row r="529" spans="6:38">
      <c r="F529" s="8"/>
      <c r="AG529" s="70"/>
      <c r="AH529" s="70"/>
      <c r="AI529" s="70"/>
      <c r="AJ529" s="70"/>
      <c r="AK529" s="70"/>
      <c r="AL529" s="70"/>
    </row>
    <row r="530" spans="6:38">
      <c r="F530" s="8"/>
      <c r="AG530" s="70"/>
      <c r="AH530" s="70"/>
      <c r="AI530" s="70"/>
      <c r="AJ530" s="70"/>
      <c r="AK530" s="70"/>
      <c r="AL530" s="70"/>
    </row>
    <row r="531" spans="6:38">
      <c r="F531" s="8"/>
      <c r="AG531" s="70"/>
      <c r="AH531" s="70"/>
      <c r="AI531" s="70"/>
      <c r="AJ531" s="70"/>
      <c r="AK531" s="70"/>
      <c r="AL531" s="70"/>
    </row>
    <row r="532" spans="6:38">
      <c r="F532" s="8"/>
      <c r="AG532" s="70"/>
      <c r="AH532" s="70"/>
      <c r="AI532" s="70"/>
      <c r="AJ532" s="70"/>
      <c r="AK532" s="70"/>
      <c r="AL532" s="70"/>
    </row>
    <row r="533" spans="6:38">
      <c r="F533" s="8"/>
      <c r="AG533" s="70"/>
      <c r="AH533" s="70"/>
      <c r="AI533" s="70"/>
      <c r="AJ533" s="70"/>
      <c r="AK533" s="70"/>
      <c r="AL533" s="70"/>
    </row>
    <row r="534" spans="6:38">
      <c r="F534" s="8"/>
      <c r="AG534" s="70"/>
      <c r="AH534" s="70"/>
      <c r="AI534" s="70"/>
      <c r="AJ534" s="70"/>
      <c r="AK534" s="70"/>
      <c r="AL534" s="70"/>
    </row>
    <row r="535" spans="6:38">
      <c r="F535" s="8"/>
      <c r="AG535" s="70"/>
      <c r="AH535" s="70"/>
      <c r="AI535" s="70"/>
      <c r="AJ535" s="70"/>
      <c r="AK535" s="70"/>
      <c r="AL535" s="70"/>
    </row>
    <row r="536" spans="6:38">
      <c r="F536" s="8"/>
      <c r="AG536" s="70"/>
      <c r="AH536" s="70"/>
      <c r="AI536" s="70"/>
      <c r="AJ536" s="70"/>
      <c r="AK536" s="70"/>
      <c r="AL536" s="70"/>
    </row>
    <row r="537" spans="6:38">
      <c r="F537" s="8"/>
      <c r="AG537" s="70"/>
      <c r="AH537" s="70"/>
      <c r="AI537" s="70"/>
      <c r="AJ537" s="70"/>
      <c r="AK537" s="70"/>
      <c r="AL537" s="70"/>
    </row>
    <row r="538" spans="6:38">
      <c r="F538" s="8"/>
      <c r="AG538" s="70"/>
      <c r="AH538" s="70"/>
      <c r="AI538" s="70"/>
      <c r="AJ538" s="70"/>
      <c r="AK538" s="70"/>
      <c r="AL538" s="70"/>
    </row>
    <row r="539" spans="6:38">
      <c r="F539" s="8"/>
      <c r="AG539" s="70"/>
      <c r="AH539" s="70"/>
      <c r="AI539" s="70"/>
      <c r="AJ539" s="70"/>
      <c r="AK539" s="70"/>
      <c r="AL539" s="70"/>
    </row>
    <row r="540" spans="6:38">
      <c r="F540" s="8"/>
      <c r="AG540" s="70"/>
      <c r="AH540" s="70"/>
      <c r="AI540" s="70"/>
      <c r="AJ540" s="70"/>
      <c r="AK540" s="70"/>
      <c r="AL540" s="70"/>
    </row>
    <row r="541" spans="6:38">
      <c r="F541" s="8"/>
      <c r="AG541" s="70"/>
      <c r="AH541" s="70"/>
      <c r="AI541" s="70"/>
      <c r="AJ541" s="70"/>
      <c r="AK541" s="70"/>
      <c r="AL541" s="70"/>
    </row>
    <row r="542" spans="6:38">
      <c r="F542" s="8"/>
      <c r="AG542" s="70"/>
      <c r="AH542" s="70"/>
      <c r="AI542" s="70"/>
      <c r="AJ542" s="70"/>
      <c r="AK542" s="70"/>
      <c r="AL542" s="70"/>
    </row>
    <row r="543" spans="6:38">
      <c r="F543" s="8"/>
      <c r="AG543" s="70"/>
      <c r="AH543" s="70"/>
      <c r="AI543" s="70"/>
      <c r="AJ543" s="70"/>
      <c r="AK543" s="70"/>
      <c r="AL543" s="70"/>
    </row>
    <row r="544" spans="6:38">
      <c r="F544" s="8"/>
      <c r="AG544" s="70"/>
      <c r="AH544" s="70"/>
      <c r="AI544" s="70"/>
      <c r="AJ544" s="70"/>
      <c r="AK544" s="70"/>
      <c r="AL544" s="70"/>
    </row>
    <row r="545" spans="6:38">
      <c r="F545" s="8"/>
      <c r="AG545" s="70"/>
      <c r="AH545" s="70"/>
      <c r="AI545" s="70"/>
      <c r="AJ545" s="70"/>
      <c r="AK545" s="70"/>
      <c r="AL545" s="70"/>
    </row>
    <row r="546" spans="6:38">
      <c r="F546" s="8"/>
      <c r="AG546" s="70"/>
      <c r="AH546" s="70"/>
      <c r="AI546" s="70"/>
      <c r="AJ546" s="70"/>
      <c r="AK546" s="70"/>
      <c r="AL546" s="70"/>
    </row>
    <row r="547" spans="6:38">
      <c r="F547" s="8"/>
      <c r="AG547" s="70"/>
      <c r="AH547" s="70"/>
      <c r="AI547" s="70"/>
      <c r="AJ547" s="70"/>
      <c r="AK547" s="70"/>
      <c r="AL547" s="70"/>
    </row>
    <row r="548" spans="6:38">
      <c r="F548" s="8"/>
      <c r="AG548" s="70"/>
      <c r="AH548" s="70"/>
      <c r="AI548" s="70"/>
      <c r="AJ548" s="70"/>
      <c r="AK548" s="70"/>
      <c r="AL548" s="70"/>
    </row>
    <row r="549" spans="6:38">
      <c r="F549" s="8"/>
      <c r="AG549" s="70"/>
      <c r="AH549" s="70"/>
      <c r="AI549" s="70"/>
      <c r="AJ549" s="70"/>
      <c r="AK549" s="70"/>
      <c r="AL549" s="70"/>
    </row>
    <row r="550" spans="6:38">
      <c r="F550" s="8"/>
      <c r="AG550" s="70"/>
      <c r="AH550" s="70"/>
      <c r="AI550" s="70"/>
      <c r="AJ550" s="70"/>
      <c r="AK550" s="70"/>
      <c r="AL550" s="70"/>
    </row>
    <row r="551" spans="6:38">
      <c r="F551" s="8"/>
      <c r="AG551" s="70"/>
      <c r="AH551" s="70"/>
      <c r="AI551" s="70"/>
      <c r="AJ551" s="70"/>
      <c r="AK551" s="70"/>
      <c r="AL551" s="70"/>
    </row>
    <row r="552" spans="6:38">
      <c r="F552" s="8"/>
      <c r="AG552" s="70"/>
      <c r="AH552" s="70"/>
      <c r="AI552" s="70"/>
      <c r="AJ552" s="70"/>
      <c r="AK552" s="70"/>
      <c r="AL552" s="70"/>
    </row>
    <row r="553" spans="6:38">
      <c r="F553" s="8"/>
      <c r="AG553" s="70"/>
      <c r="AH553" s="70"/>
      <c r="AI553" s="70"/>
      <c r="AJ553" s="70"/>
      <c r="AK553" s="70"/>
      <c r="AL553" s="70"/>
    </row>
    <row r="554" spans="6:38">
      <c r="F554" s="8"/>
      <c r="AG554" s="70"/>
      <c r="AH554" s="70"/>
      <c r="AI554" s="70"/>
      <c r="AJ554" s="70"/>
      <c r="AK554" s="70"/>
      <c r="AL554" s="70"/>
    </row>
    <row r="555" spans="6:38">
      <c r="F555" s="8"/>
      <c r="AG555" s="70"/>
      <c r="AH555" s="70"/>
      <c r="AI555" s="70"/>
      <c r="AJ555" s="70"/>
      <c r="AK555" s="70"/>
      <c r="AL555" s="70"/>
    </row>
    <row r="556" spans="6:38">
      <c r="F556" s="8"/>
      <c r="AG556" s="70"/>
      <c r="AH556" s="70"/>
      <c r="AI556" s="70"/>
      <c r="AJ556" s="70"/>
      <c r="AK556" s="70"/>
      <c r="AL556" s="70"/>
    </row>
    <row r="557" spans="6:38">
      <c r="F557" s="8"/>
      <c r="AG557" s="70"/>
      <c r="AH557" s="70"/>
      <c r="AI557" s="70"/>
      <c r="AJ557" s="70"/>
      <c r="AK557" s="70"/>
      <c r="AL557" s="70"/>
    </row>
    <row r="558" spans="6:38">
      <c r="F558" s="8"/>
      <c r="AG558" s="70"/>
      <c r="AH558" s="70"/>
      <c r="AI558" s="70"/>
      <c r="AJ558" s="70"/>
      <c r="AK558" s="70"/>
      <c r="AL558" s="70"/>
    </row>
    <row r="559" spans="6:38">
      <c r="F559" s="8"/>
      <c r="AG559" s="70"/>
      <c r="AH559" s="70"/>
      <c r="AI559" s="70"/>
      <c r="AJ559" s="70"/>
      <c r="AK559" s="70"/>
      <c r="AL559" s="70"/>
    </row>
    <row r="560" spans="6:38">
      <c r="F560" s="8"/>
      <c r="AG560" s="70"/>
      <c r="AH560" s="70"/>
      <c r="AI560" s="70"/>
      <c r="AJ560" s="70"/>
      <c r="AK560" s="70"/>
      <c r="AL560" s="70"/>
    </row>
    <row r="561" spans="6:38">
      <c r="F561" s="8"/>
      <c r="AG561" s="70"/>
      <c r="AH561" s="70"/>
      <c r="AI561" s="70"/>
      <c r="AJ561" s="70"/>
      <c r="AK561" s="70"/>
      <c r="AL561" s="70"/>
    </row>
    <row r="562" spans="6:38">
      <c r="F562" s="8"/>
      <c r="AG562" s="70"/>
      <c r="AH562" s="70"/>
      <c r="AI562" s="70"/>
      <c r="AJ562" s="70"/>
      <c r="AK562" s="70"/>
      <c r="AL562" s="70"/>
    </row>
    <row r="563" spans="6:38">
      <c r="F563" s="8"/>
      <c r="AG563" s="70"/>
      <c r="AH563" s="70"/>
      <c r="AI563" s="70"/>
      <c r="AJ563" s="70"/>
      <c r="AK563" s="70"/>
      <c r="AL563" s="70"/>
    </row>
    <row r="564" spans="6:38">
      <c r="F564" s="8"/>
      <c r="AG564" s="70"/>
      <c r="AH564" s="70"/>
      <c r="AI564" s="70"/>
      <c r="AJ564" s="70"/>
      <c r="AK564" s="70"/>
      <c r="AL564" s="70"/>
    </row>
    <row r="565" spans="6:38">
      <c r="F565" s="8"/>
      <c r="AG565" s="70"/>
      <c r="AH565" s="70"/>
      <c r="AI565" s="70"/>
      <c r="AJ565" s="70"/>
      <c r="AK565" s="70"/>
      <c r="AL565" s="70"/>
    </row>
    <row r="566" spans="6:38">
      <c r="F566" s="8"/>
      <c r="AG566" s="70"/>
      <c r="AH566" s="70"/>
      <c r="AI566" s="70"/>
      <c r="AJ566" s="70"/>
      <c r="AK566" s="70"/>
      <c r="AL566" s="70"/>
    </row>
    <row r="567" spans="6:38">
      <c r="F567" s="8"/>
      <c r="AG567" s="70"/>
      <c r="AH567" s="70"/>
      <c r="AI567" s="70"/>
      <c r="AJ567" s="70"/>
      <c r="AK567" s="70"/>
      <c r="AL567" s="70"/>
    </row>
    <row r="568" spans="6:38">
      <c r="F568" s="8"/>
      <c r="AG568" s="70"/>
      <c r="AH568" s="70"/>
      <c r="AI568" s="70"/>
      <c r="AJ568" s="70"/>
      <c r="AK568" s="70"/>
      <c r="AL568" s="70"/>
    </row>
    <row r="569" spans="6:38">
      <c r="F569" s="8"/>
      <c r="AG569" s="70"/>
      <c r="AH569" s="70"/>
      <c r="AI569" s="70"/>
      <c r="AJ569" s="70"/>
      <c r="AK569" s="70"/>
      <c r="AL569" s="70"/>
    </row>
    <row r="570" spans="6:38">
      <c r="F570" s="8"/>
      <c r="AG570" s="70"/>
      <c r="AH570" s="70"/>
      <c r="AI570" s="70"/>
      <c r="AJ570" s="70"/>
      <c r="AK570" s="70"/>
      <c r="AL570" s="70"/>
    </row>
    <row r="571" spans="6:38">
      <c r="F571" s="8"/>
      <c r="AG571" s="70"/>
      <c r="AH571" s="70"/>
      <c r="AI571" s="70"/>
      <c r="AJ571" s="70"/>
      <c r="AK571" s="70"/>
      <c r="AL571" s="70"/>
    </row>
    <row r="572" spans="6:38">
      <c r="F572" s="8"/>
      <c r="AG572" s="70"/>
      <c r="AH572" s="70"/>
      <c r="AI572" s="70"/>
      <c r="AJ572" s="70"/>
      <c r="AK572" s="70"/>
      <c r="AL572" s="70"/>
    </row>
    <row r="573" spans="6:38">
      <c r="F573" s="8"/>
      <c r="AG573" s="70"/>
      <c r="AH573" s="70"/>
      <c r="AI573" s="70"/>
      <c r="AJ573" s="70"/>
      <c r="AK573" s="70"/>
      <c r="AL573" s="70"/>
    </row>
    <row r="574" spans="6:38">
      <c r="F574" s="8"/>
      <c r="AG574" s="70"/>
      <c r="AH574" s="70"/>
      <c r="AI574" s="70"/>
      <c r="AJ574" s="70"/>
      <c r="AK574" s="70"/>
      <c r="AL574" s="70"/>
    </row>
    <row r="575" spans="6:38">
      <c r="F575" s="8"/>
      <c r="AG575" s="70"/>
      <c r="AH575" s="70"/>
      <c r="AI575" s="70"/>
      <c r="AJ575" s="70"/>
      <c r="AK575" s="70"/>
      <c r="AL575" s="70"/>
    </row>
    <row r="576" spans="6:38">
      <c r="F576" s="8"/>
      <c r="AG576" s="70"/>
      <c r="AH576" s="70"/>
      <c r="AI576" s="70"/>
      <c r="AJ576" s="70"/>
      <c r="AK576" s="70"/>
      <c r="AL576" s="70"/>
    </row>
    <row r="577" spans="6:38">
      <c r="F577" s="8"/>
      <c r="AG577" s="70"/>
      <c r="AH577" s="70"/>
      <c r="AI577" s="70"/>
      <c r="AJ577" s="70"/>
      <c r="AK577" s="70"/>
      <c r="AL577" s="70"/>
    </row>
    <row r="578" spans="6:38">
      <c r="F578" s="8"/>
      <c r="AG578" s="70"/>
      <c r="AH578" s="70"/>
      <c r="AI578" s="70"/>
      <c r="AJ578" s="70"/>
      <c r="AK578" s="70"/>
      <c r="AL578" s="70"/>
    </row>
    <row r="579" spans="6:38">
      <c r="F579" s="8"/>
      <c r="AG579" s="70"/>
      <c r="AH579" s="70"/>
      <c r="AI579" s="70"/>
      <c r="AJ579" s="70"/>
      <c r="AK579" s="70"/>
      <c r="AL579" s="70"/>
    </row>
    <row r="580" spans="6:38">
      <c r="F580" s="8"/>
      <c r="AG580" s="70"/>
      <c r="AH580" s="70"/>
      <c r="AI580" s="70"/>
      <c r="AJ580" s="70"/>
      <c r="AK580" s="70"/>
      <c r="AL580" s="70"/>
    </row>
    <row r="581" spans="6:38">
      <c r="F581" s="8"/>
      <c r="AG581" s="70"/>
      <c r="AH581" s="70"/>
      <c r="AI581" s="70"/>
      <c r="AJ581" s="70"/>
      <c r="AK581" s="70"/>
      <c r="AL581" s="70"/>
    </row>
    <row r="582" spans="6:38">
      <c r="F582" s="8"/>
      <c r="AG582" s="70"/>
      <c r="AH582" s="70"/>
      <c r="AI582" s="70"/>
      <c r="AJ582" s="70"/>
      <c r="AK582" s="70"/>
      <c r="AL582" s="70"/>
    </row>
    <row r="583" spans="6:38">
      <c r="F583" s="8"/>
      <c r="AG583" s="70"/>
      <c r="AH583" s="70"/>
      <c r="AI583" s="70"/>
      <c r="AJ583" s="70"/>
      <c r="AK583" s="70"/>
      <c r="AL583" s="70"/>
    </row>
    <row r="584" spans="6:38">
      <c r="F584" s="8"/>
      <c r="AG584" s="70"/>
      <c r="AH584" s="70"/>
      <c r="AI584" s="70"/>
      <c r="AJ584" s="70"/>
      <c r="AK584" s="70"/>
      <c r="AL584" s="70"/>
    </row>
    <row r="585" spans="6:38">
      <c r="F585" s="8"/>
      <c r="AG585" s="70"/>
      <c r="AH585" s="70"/>
      <c r="AI585" s="70"/>
      <c r="AJ585" s="70"/>
      <c r="AK585" s="70"/>
      <c r="AL585" s="70"/>
    </row>
    <row r="586" spans="6:38">
      <c r="F586" s="8"/>
      <c r="AG586" s="70"/>
      <c r="AH586" s="70"/>
      <c r="AI586" s="70"/>
      <c r="AJ586" s="70"/>
      <c r="AK586" s="70"/>
      <c r="AL586" s="70"/>
    </row>
    <row r="587" spans="6:38">
      <c r="F587" s="8"/>
      <c r="AG587" s="70"/>
      <c r="AH587" s="70"/>
      <c r="AI587" s="70"/>
      <c r="AJ587" s="70"/>
      <c r="AK587" s="70"/>
      <c r="AL587" s="70"/>
    </row>
    <row r="588" spans="6:38">
      <c r="F588" s="8"/>
      <c r="AG588" s="70"/>
      <c r="AH588" s="70"/>
      <c r="AI588" s="70"/>
      <c r="AJ588" s="70"/>
      <c r="AK588" s="70"/>
      <c r="AL588" s="70"/>
    </row>
    <row r="589" spans="6:38">
      <c r="F589" s="8"/>
      <c r="AG589" s="70"/>
      <c r="AH589" s="70"/>
      <c r="AI589" s="70"/>
      <c r="AJ589" s="70"/>
      <c r="AK589" s="70"/>
      <c r="AL589" s="70"/>
    </row>
    <row r="590" spans="6:38">
      <c r="F590" s="8"/>
      <c r="AG590" s="70"/>
      <c r="AH590" s="70"/>
      <c r="AI590" s="70"/>
      <c r="AJ590" s="70"/>
      <c r="AK590" s="70"/>
      <c r="AL590" s="70"/>
    </row>
    <row r="591" spans="6:38">
      <c r="F591" s="8"/>
      <c r="AG591" s="70"/>
      <c r="AH591" s="70"/>
      <c r="AI591" s="70"/>
      <c r="AJ591" s="70"/>
      <c r="AK591" s="70"/>
      <c r="AL591" s="70"/>
    </row>
    <row r="592" spans="6:38">
      <c r="F592" s="8"/>
      <c r="AG592" s="70"/>
      <c r="AH592" s="70"/>
      <c r="AI592" s="70"/>
      <c r="AJ592" s="70"/>
      <c r="AK592" s="70"/>
      <c r="AL592" s="70"/>
    </row>
    <row r="593" spans="6:38">
      <c r="F593" s="8"/>
      <c r="AG593" s="70"/>
      <c r="AH593" s="70"/>
      <c r="AI593" s="70"/>
      <c r="AJ593" s="70"/>
      <c r="AK593" s="70"/>
      <c r="AL593" s="70"/>
    </row>
    <row r="594" spans="6:38">
      <c r="F594" s="8"/>
      <c r="AG594" s="70"/>
      <c r="AH594" s="70"/>
      <c r="AI594" s="70"/>
      <c r="AJ594" s="70"/>
      <c r="AK594" s="70"/>
      <c r="AL594" s="70"/>
    </row>
    <row r="595" spans="6:38">
      <c r="F595" s="8"/>
      <c r="AG595" s="70"/>
      <c r="AH595" s="70"/>
      <c r="AI595" s="70"/>
      <c r="AJ595" s="70"/>
      <c r="AK595" s="70"/>
      <c r="AL595" s="70"/>
    </row>
    <row r="596" spans="6:38">
      <c r="F596" s="8"/>
      <c r="AG596" s="70"/>
      <c r="AH596" s="70"/>
      <c r="AI596" s="70"/>
      <c r="AJ596" s="70"/>
      <c r="AK596" s="70"/>
      <c r="AL596" s="70"/>
    </row>
    <row r="597" spans="6:38">
      <c r="F597" s="8"/>
      <c r="AG597" s="70"/>
      <c r="AH597" s="70"/>
      <c r="AI597" s="70"/>
      <c r="AJ597" s="70"/>
      <c r="AK597" s="70"/>
      <c r="AL597" s="70"/>
    </row>
    <row r="598" spans="6:38">
      <c r="F598" s="8"/>
      <c r="AG598" s="70"/>
      <c r="AH598" s="70"/>
      <c r="AI598" s="70"/>
      <c r="AJ598" s="70"/>
      <c r="AK598" s="70"/>
      <c r="AL598" s="70"/>
    </row>
    <row r="599" spans="6:38">
      <c r="F599" s="8"/>
      <c r="AG599" s="70"/>
      <c r="AH599" s="70"/>
      <c r="AI599" s="70"/>
      <c r="AJ599" s="70"/>
      <c r="AK599" s="70"/>
      <c r="AL599" s="70"/>
    </row>
    <row r="600" spans="6:38">
      <c r="F600" s="8"/>
      <c r="AG600" s="70"/>
      <c r="AH600" s="70"/>
      <c r="AI600" s="70"/>
      <c r="AJ600" s="70"/>
      <c r="AK600" s="70"/>
      <c r="AL600" s="70"/>
    </row>
    <row r="601" spans="6:38">
      <c r="F601" s="8"/>
      <c r="AG601" s="70"/>
      <c r="AH601" s="70"/>
      <c r="AI601" s="70"/>
      <c r="AJ601" s="70"/>
      <c r="AK601" s="70"/>
      <c r="AL601" s="70"/>
    </row>
    <row r="602" spans="6:38">
      <c r="F602" s="8"/>
      <c r="AG602" s="70"/>
      <c r="AH602" s="70"/>
      <c r="AI602" s="70"/>
      <c r="AJ602" s="70"/>
      <c r="AK602" s="70"/>
      <c r="AL602" s="70"/>
    </row>
    <row r="603" spans="6:38">
      <c r="F603" s="8"/>
      <c r="AG603" s="70"/>
      <c r="AH603" s="70"/>
      <c r="AI603" s="70"/>
      <c r="AJ603" s="70"/>
      <c r="AK603" s="70"/>
      <c r="AL603" s="70"/>
    </row>
    <row r="604" spans="6:38">
      <c r="F604" s="8"/>
      <c r="AG604" s="70"/>
      <c r="AH604" s="70"/>
      <c r="AI604" s="70"/>
      <c r="AJ604" s="70"/>
      <c r="AK604" s="70"/>
      <c r="AL604" s="70"/>
    </row>
    <row r="605" spans="6:38">
      <c r="F605" s="8"/>
      <c r="AG605" s="70"/>
      <c r="AH605" s="70"/>
      <c r="AI605" s="70"/>
      <c r="AJ605" s="70"/>
      <c r="AK605" s="70"/>
      <c r="AL605" s="70"/>
    </row>
    <row r="606" spans="6:38">
      <c r="F606" s="8"/>
      <c r="AG606" s="70"/>
      <c r="AH606" s="70"/>
      <c r="AI606" s="70"/>
      <c r="AJ606" s="70"/>
      <c r="AK606" s="70"/>
      <c r="AL606" s="70"/>
    </row>
    <row r="607" spans="6:38">
      <c r="F607" s="8"/>
      <c r="AG607" s="70"/>
      <c r="AH607" s="70"/>
      <c r="AI607" s="70"/>
      <c r="AJ607" s="70"/>
      <c r="AK607" s="70"/>
      <c r="AL607" s="70"/>
    </row>
    <row r="608" spans="6:38">
      <c r="F608" s="8"/>
      <c r="AG608" s="70"/>
      <c r="AH608" s="70"/>
      <c r="AI608" s="70"/>
      <c r="AJ608" s="70"/>
      <c r="AK608" s="70"/>
      <c r="AL608" s="70"/>
    </row>
    <row r="609" spans="6:38">
      <c r="F609" s="8"/>
      <c r="AG609" s="70"/>
      <c r="AH609" s="70"/>
      <c r="AI609" s="70"/>
      <c r="AJ609" s="70"/>
      <c r="AK609" s="70"/>
      <c r="AL609" s="70"/>
    </row>
    <row r="610" spans="6:38">
      <c r="F610" s="8"/>
      <c r="AG610" s="70"/>
      <c r="AH610" s="70"/>
      <c r="AI610" s="70"/>
      <c r="AJ610" s="70"/>
      <c r="AK610" s="70"/>
      <c r="AL610" s="70"/>
    </row>
    <row r="611" spans="6:38">
      <c r="F611" s="8"/>
      <c r="AG611" s="70"/>
      <c r="AH611" s="70"/>
      <c r="AI611" s="70"/>
      <c r="AJ611" s="70"/>
      <c r="AK611" s="70"/>
      <c r="AL611" s="70"/>
    </row>
    <row r="612" spans="6:38">
      <c r="F612" s="8"/>
      <c r="AG612" s="70"/>
      <c r="AH612" s="70"/>
      <c r="AI612" s="70"/>
      <c r="AJ612" s="70"/>
      <c r="AK612" s="70"/>
      <c r="AL612" s="70"/>
    </row>
    <row r="613" spans="6:38">
      <c r="F613" s="8"/>
      <c r="AG613" s="70"/>
      <c r="AH613" s="70"/>
      <c r="AI613" s="70"/>
      <c r="AJ613" s="70"/>
      <c r="AK613" s="70"/>
      <c r="AL613" s="70"/>
    </row>
    <row r="614" spans="6:38">
      <c r="F614" s="8"/>
      <c r="AG614" s="70"/>
      <c r="AH614" s="70"/>
      <c r="AI614" s="70"/>
      <c r="AJ614" s="70"/>
      <c r="AK614" s="70"/>
      <c r="AL614" s="70"/>
    </row>
    <row r="615" spans="6:38">
      <c r="F615" s="8"/>
      <c r="AG615" s="70"/>
      <c r="AH615" s="70"/>
      <c r="AI615" s="70"/>
      <c r="AJ615" s="70"/>
      <c r="AK615" s="70"/>
      <c r="AL615" s="70"/>
    </row>
    <row r="616" spans="6:38">
      <c r="F616" s="8"/>
      <c r="AG616" s="70"/>
      <c r="AH616" s="70"/>
      <c r="AI616" s="70"/>
      <c r="AJ616" s="70"/>
      <c r="AK616" s="70"/>
      <c r="AL616" s="70"/>
    </row>
    <row r="617" spans="6:38">
      <c r="F617" s="8"/>
      <c r="AG617" s="70"/>
      <c r="AH617" s="70"/>
      <c r="AI617" s="70"/>
      <c r="AJ617" s="70"/>
      <c r="AK617" s="70"/>
      <c r="AL617" s="70"/>
    </row>
    <row r="618" spans="6:38">
      <c r="F618" s="8"/>
      <c r="AG618" s="70"/>
      <c r="AH618" s="70"/>
      <c r="AI618" s="70"/>
      <c r="AJ618" s="70"/>
      <c r="AK618" s="70"/>
      <c r="AL618" s="70"/>
    </row>
    <row r="619" spans="6:38">
      <c r="F619" s="8"/>
      <c r="AG619" s="70"/>
      <c r="AH619" s="70"/>
      <c r="AI619" s="70"/>
      <c r="AJ619" s="70"/>
      <c r="AK619" s="70"/>
      <c r="AL619" s="70"/>
    </row>
    <row r="620" spans="6:38">
      <c r="F620" s="8"/>
      <c r="AG620" s="70"/>
      <c r="AH620" s="70"/>
      <c r="AI620" s="70"/>
      <c r="AJ620" s="70"/>
      <c r="AK620" s="70"/>
      <c r="AL620" s="70"/>
    </row>
    <row r="621" spans="6:38">
      <c r="F621" s="8"/>
      <c r="AG621" s="70"/>
      <c r="AH621" s="70"/>
      <c r="AI621" s="70"/>
      <c r="AJ621" s="70"/>
      <c r="AK621" s="70"/>
      <c r="AL621" s="70"/>
    </row>
    <row r="622" spans="6:38">
      <c r="F622" s="8"/>
      <c r="AG622" s="70"/>
      <c r="AH622" s="70"/>
      <c r="AI622" s="70"/>
      <c r="AJ622" s="70"/>
      <c r="AK622" s="70"/>
      <c r="AL622" s="70"/>
    </row>
    <row r="623" spans="6:38">
      <c r="F623" s="8"/>
      <c r="AG623" s="70"/>
      <c r="AH623" s="70"/>
      <c r="AI623" s="70"/>
      <c r="AJ623" s="70"/>
      <c r="AK623" s="70"/>
      <c r="AL623" s="70"/>
    </row>
    <row r="624" spans="6:38">
      <c r="F624" s="8"/>
      <c r="AG624" s="70"/>
      <c r="AH624" s="70"/>
      <c r="AI624" s="70"/>
      <c r="AJ624" s="70"/>
      <c r="AK624" s="70"/>
      <c r="AL624" s="70"/>
    </row>
    <row r="625" spans="6:38">
      <c r="F625" s="8"/>
      <c r="AG625" s="70"/>
      <c r="AH625" s="70"/>
      <c r="AI625" s="70"/>
      <c r="AJ625" s="70"/>
      <c r="AK625" s="70"/>
      <c r="AL625" s="70"/>
    </row>
    <row r="626" spans="6:38">
      <c r="F626" s="8"/>
      <c r="AG626" s="70"/>
      <c r="AH626" s="70"/>
      <c r="AI626" s="70"/>
      <c r="AJ626" s="70"/>
      <c r="AK626" s="70"/>
      <c r="AL626" s="70"/>
    </row>
    <row r="627" spans="6:38">
      <c r="F627" s="8"/>
      <c r="AG627" s="70"/>
      <c r="AH627" s="70"/>
      <c r="AI627" s="70"/>
      <c r="AJ627" s="70"/>
      <c r="AK627" s="70"/>
      <c r="AL627" s="70"/>
    </row>
    <row r="628" spans="6:38">
      <c r="F628" s="8"/>
      <c r="AG628" s="70"/>
      <c r="AH628" s="70"/>
      <c r="AI628" s="70"/>
      <c r="AJ628" s="70"/>
      <c r="AK628" s="70"/>
      <c r="AL628" s="70"/>
    </row>
    <row r="629" spans="6:38">
      <c r="F629" s="8"/>
      <c r="AG629" s="70"/>
      <c r="AH629" s="70"/>
      <c r="AI629" s="70"/>
      <c r="AJ629" s="70"/>
      <c r="AK629" s="70"/>
      <c r="AL629" s="70"/>
    </row>
    <row r="630" spans="6:38">
      <c r="F630" s="8"/>
      <c r="AG630" s="70"/>
      <c r="AH630" s="70"/>
      <c r="AI630" s="70"/>
      <c r="AJ630" s="70"/>
      <c r="AK630" s="70"/>
      <c r="AL630" s="70"/>
    </row>
    <row r="631" spans="6:38">
      <c r="F631" s="8"/>
      <c r="AG631" s="70"/>
      <c r="AH631" s="70"/>
      <c r="AI631" s="70"/>
      <c r="AJ631" s="70"/>
      <c r="AK631" s="70"/>
      <c r="AL631" s="70"/>
    </row>
    <row r="632" spans="6:38">
      <c r="F632" s="8"/>
      <c r="AG632" s="70"/>
      <c r="AH632" s="70"/>
      <c r="AI632" s="70"/>
      <c r="AJ632" s="70"/>
      <c r="AK632" s="70"/>
      <c r="AL632" s="70"/>
    </row>
    <row r="633" spans="6:38">
      <c r="F633" s="8"/>
      <c r="AG633" s="70"/>
      <c r="AH633" s="70"/>
      <c r="AI633" s="70"/>
      <c r="AJ633" s="70"/>
      <c r="AK633" s="70"/>
      <c r="AL633" s="70"/>
    </row>
    <row r="634" spans="6:38">
      <c r="F634" s="8"/>
      <c r="AG634" s="70"/>
      <c r="AH634" s="70"/>
      <c r="AI634" s="70"/>
      <c r="AJ634" s="70"/>
      <c r="AK634" s="70"/>
      <c r="AL634" s="70"/>
    </row>
    <row r="635" spans="6:38">
      <c r="F635" s="8"/>
      <c r="AG635" s="70"/>
      <c r="AH635" s="70"/>
      <c r="AI635" s="70"/>
      <c r="AJ635" s="70"/>
      <c r="AK635" s="70"/>
      <c r="AL635" s="70"/>
    </row>
    <row r="636" spans="6:38">
      <c r="F636" s="8"/>
      <c r="AG636" s="70"/>
      <c r="AH636" s="70"/>
      <c r="AI636" s="70"/>
      <c r="AJ636" s="70"/>
      <c r="AK636" s="70"/>
      <c r="AL636" s="70"/>
    </row>
    <row r="637" spans="6:38">
      <c r="F637" s="8"/>
      <c r="AG637" s="70"/>
      <c r="AH637" s="70"/>
      <c r="AI637" s="70"/>
      <c r="AJ637" s="70"/>
      <c r="AK637" s="70"/>
      <c r="AL637" s="70"/>
    </row>
    <row r="638" spans="6:38">
      <c r="F638" s="8"/>
      <c r="AG638" s="70"/>
      <c r="AH638" s="70"/>
      <c r="AI638" s="70"/>
      <c r="AJ638" s="70"/>
      <c r="AK638" s="70"/>
      <c r="AL638" s="70"/>
    </row>
    <row r="639" spans="6:38">
      <c r="F639" s="8"/>
      <c r="AG639" s="70"/>
      <c r="AH639" s="70"/>
      <c r="AI639" s="70"/>
      <c r="AJ639" s="70"/>
      <c r="AK639" s="70"/>
      <c r="AL639" s="70"/>
    </row>
    <row r="640" spans="6:38">
      <c r="F640" s="8"/>
      <c r="AG640" s="70"/>
      <c r="AH640" s="70"/>
      <c r="AI640" s="70"/>
      <c r="AJ640" s="70"/>
      <c r="AK640" s="70"/>
      <c r="AL640" s="70"/>
    </row>
    <row r="641" spans="6:38">
      <c r="F641" s="8"/>
      <c r="AG641" s="70"/>
      <c r="AH641" s="70"/>
      <c r="AI641" s="70"/>
      <c r="AJ641" s="70"/>
      <c r="AK641" s="70"/>
      <c r="AL641" s="70"/>
    </row>
    <row r="642" spans="6:38">
      <c r="F642" s="8"/>
      <c r="AG642" s="70"/>
      <c r="AH642" s="70"/>
      <c r="AI642" s="70"/>
      <c r="AJ642" s="70"/>
      <c r="AK642" s="70"/>
      <c r="AL642" s="70"/>
    </row>
    <row r="643" spans="6:38">
      <c r="F643" s="8"/>
      <c r="AG643" s="70"/>
      <c r="AH643" s="70"/>
      <c r="AI643" s="70"/>
      <c r="AJ643" s="70"/>
      <c r="AK643" s="70"/>
      <c r="AL643" s="70"/>
    </row>
    <row r="644" spans="6:38">
      <c r="F644" s="8"/>
      <c r="AG644" s="70"/>
      <c r="AH644" s="70"/>
      <c r="AI644" s="70"/>
      <c r="AJ644" s="70"/>
      <c r="AK644" s="70"/>
      <c r="AL644" s="70"/>
    </row>
    <row r="645" spans="6:38">
      <c r="F645" s="8"/>
      <c r="AG645" s="70"/>
      <c r="AH645" s="70"/>
      <c r="AI645" s="70"/>
      <c r="AJ645" s="70"/>
      <c r="AK645" s="70"/>
      <c r="AL645" s="70"/>
    </row>
    <row r="646" spans="6:38">
      <c r="F646" s="8"/>
      <c r="AG646" s="70"/>
      <c r="AH646" s="70"/>
      <c r="AI646" s="70"/>
      <c r="AJ646" s="70"/>
      <c r="AK646" s="70"/>
      <c r="AL646" s="70"/>
    </row>
    <row r="647" spans="6:38">
      <c r="F647" s="8"/>
      <c r="AG647" s="70"/>
      <c r="AH647" s="70"/>
      <c r="AI647" s="70"/>
      <c r="AJ647" s="70"/>
      <c r="AK647" s="70"/>
      <c r="AL647" s="70"/>
    </row>
    <row r="648" spans="6:38">
      <c r="F648" s="8"/>
      <c r="AG648" s="70"/>
      <c r="AH648" s="70"/>
      <c r="AI648" s="70"/>
      <c r="AJ648" s="70"/>
      <c r="AK648" s="70"/>
      <c r="AL648" s="70"/>
    </row>
    <row r="649" spans="6:38">
      <c r="F649" s="8"/>
      <c r="AG649" s="70"/>
      <c r="AH649" s="70"/>
      <c r="AI649" s="70"/>
      <c r="AJ649" s="70"/>
      <c r="AK649" s="70"/>
      <c r="AL649" s="70"/>
    </row>
    <row r="650" spans="6:38">
      <c r="F650" s="8"/>
      <c r="AG650" s="70"/>
      <c r="AH650" s="70"/>
      <c r="AI650" s="70"/>
      <c r="AJ650" s="70"/>
      <c r="AK650" s="70"/>
      <c r="AL650" s="70"/>
    </row>
    <row r="651" spans="6:38">
      <c r="F651" s="8"/>
      <c r="AG651" s="70"/>
      <c r="AH651" s="70"/>
      <c r="AI651" s="70"/>
      <c r="AJ651" s="70"/>
      <c r="AK651" s="70"/>
      <c r="AL651" s="70"/>
    </row>
    <row r="652" spans="6:38">
      <c r="F652" s="8"/>
      <c r="AG652" s="70"/>
      <c r="AH652" s="70"/>
      <c r="AI652" s="70"/>
      <c r="AJ652" s="70"/>
      <c r="AK652" s="70"/>
      <c r="AL652" s="70"/>
    </row>
    <row r="653" spans="6:38">
      <c r="F653" s="8"/>
      <c r="AG653" s="70"/>
      <c r="AH653" s="70"/>
      <c r="AI653" s="70"/>
      <c r="AJ653" s="70"/>
      <c r="AK653" s="70"/>
      <c r="AL653" s="70"/>
    </row>
    <row r="654" spans="6:38">
      <c r="F654" s="8"/>
      <c r="AG654" s="70"/>
      <c r="AH654" s="70"/>
      <c r="AI654" s="70"/>
      <c r="AJ654" s="70"/>
      <c r="AK654" s="70"/>
      <c r="AL654" s="70"/>
    </row>
    <row r="655" spans="6:38">
      <c r="F655" s="8"/>
      <c r="AG655" s="70"/>
      <c r="AH655" s="70"/>
      <c r="AI655" s="70"/>
      <c r="AJ655" s="70"/>
      <c r="AK655" s="70"/>
      <c r="AL655" s="70"/>
    </row>
    <row r="656" spans="6:38">
      <c r="F656" s="8"/>
      <c r="AG656" s="70"/>
      <c r="AH656" s="70"/>
      <c r="AI656" s="70"/>
      <c r="AJ656" s="70"/>
      <c r="AK656" s="70"/>
      <c r="AL656" s="70"/>
    </row>
    <row r="657" spans="6:38">
      <c r="F657" s="8"/>
      <c r="AG657" s="70"/>
      <c r="AH657" s="70"/>
      <c r="AI657" s="70"/>
      <c r="AJ657" s="70"/>
      <c r="AK657" s="70"/>
      <c r="AL657" s="70"/>
    </row>
    <row r="658" spans="6:38">
      <c r="F658" s="8"/>
      <c r="AG658" s="70"/>
      <c r="AH658" s="70"/>
      <c r="AI658" s="70"/>
      <c r="AJ658" s="70"/>
      <c r="AK658" s="70"/>
      <c r="AL658" s="70"/>
    </row>
    <row r="659" spans="6:38">
      <c r="F659" s="8"/>
      <c r="AG659" s="70"/>
      <c r="AH659" s="70"/>
      <c r="AI659" s="70"/>
      <c r="AJ659" s="70"/>
      <c r="AK659" s="70"/>
      <c r="AL659" s="70"/>
    </row>
    <row r="660" spans="6:38">
      <c r="F660" s="8"/>
      <c r="AG660" s="70"/>
      <c r="AH660" s="70"/>
      <c r="AI660" s="70"/>
      <c r="AJ660" s="70"/>
      <c r="AK660" s="70"/>
      <c r="AL660" s="70"/>
    </row>
    <row r="661" spans="6:38">
      <c r="F661" s="8"/>
      <c r="AG661" s="70"/>
      <c r="AH661" s="70"/>
      <c r="AI661" s="70"/>
      <c r="AJ661" s="70"/>
      <c r="AK661" s="70"/>
      <c r="AL661" s="70"/>
    </row>
    <row r="662" spans="6:38">
      <c r="F662" s="8"/>
      <c r="AG662" s="70"/>
      <c r="AH662" s="70"/>
      <c r="AI662" s="70"/>
      <c r="AJ662" s="70"/>
      <c r="AK662" s="70"/>
      <c r="AL662" s="70"/>
    </row>
    <row r="663" spans="6:38">
      <c r="F663" s="8"/>
      <c r="AG663" s="70"/>
      <c r="AH663" s="70"/>
      <c r="AI663" s="70"/>
      <c r="AJ663" s="70"/>
      <c r="AK663" s="70"/>
      <c r="AL663" s="70"/>
    </row>
    <row r="664" spans="6:38">
      <c r="F664" s="8"/>
      <c r="AG664" s="70"/>
      <c r="AH664" s="70"/>
      <c r="AI664" s="70"/>
      <c r="AJ664" s="70"/>
      <c r="AK664" s="70"/>
      <c r="AL664" s="70"/>
    </row>
    <row r="665" spans="6:38">
      <c r="F665" s="8"/>
      <c r="AG665" s="70"/>
      <c r="AH665" s="70"/>
      <c r="AI665" s="70"/>
      <c r="AJ665" s="70"/>
      <c r="AK665" s="70"/>
      <c r="AL665" s="70"/>
    </row>
    <row r="666" spans="6:38">
      <c r="F666" s="8"/>
      <c r="AG666" s="70"/>
      <c r="AH666" s="70"/>
      <c r="AI666" s="70"/>
      <c r="AJ666" s="70"/>
      <c r="AK666" s="70"/>
      <c r="AL666" s="70"/>
    </row>
    <row r="667" spans="6:38">
      <c r="F667" s="8"/>
      <c r="AG667" s="70"/>
      <c r="AH667" s="70"/>
      <c r="AI667" s="70"/>
      <c r="AJ667" s="70"/>
      <c r="AK667" s="70"/>
      <c r="AL667" s="70"/>
    </row>
    <row r="668" spans="6:38">
      <c r="F668" s="8"/>
      <c r="AG668" s="70"/>
      <c r="AH668" s="70"/>
      <c r="AI668" s="70"/>
      <c r="AJ668" s="70"/>
      <c r="AK668" s="70"/>
      <c r="AL668" s="70"/>
    </row>
    <row r="669" spans="6:38">
      <c r="F669" s="8"/>
      <c r="AG669" s="70"/>
      <c r="AH669" s="70"/>
      <c r="AI669" s="70"/>
      <c r="AJ669" s="70"/>
      <c r="AK669" s="70"/>
      <c r="AL669" s="70"/>
    </row>
    <row r="670" spans="6:38">
      <c r="F670" s="8"/>
      <c r="AG670" s="70"/>
      <c r="AH670" s="70"/>
      <c r="AI670" s="70"/>
      <c r="AJ670" s="70"/>
      <c r="AK670" s="70"/>
      <c r="AL670" s="70"/>
    </row>
    <row r="671" spans="6:38">
      <c r="F671" s="8"/>
      <c r="AG671" s="70"/>
      <c r="AH671" s="70"/>
      <c r="AI671" s="70"/>
      <c r="AJ671" s="70"/>
      <c r="AK671" s="70"/>
      <c r="AL671" s="70"/>
    </row>
    <row r="672" spans="6:38">
      <c r="F672" s="8"/>
      <c r="AG672" s="70"/>
      <c r="AH672" s="70"/>
      <c r="AI672" s="70"/>
      <c r="AJ672" s="70"/>
      <c r="AK672" s="70"/>
      <c r="AL672" s="70"/>
    </row>
    <row r="673" spans="6:38">
      <c r="F673" s="8"/>
      <c r="AG673" s="70"/>
      <c r="AH673" s="70"/>
      <c r="AI673" s="70"/>
      <c r="AJ673" s="70"/>
      <c r="AK673" s="70"/>
      <c r="AL673" s="70"/>
    </row>
    <row r="674" spans="6:38">
      <c r="F674" s="8"/>
      <c r="AG674" s="70"/>
      <c r="AH674" s="70"/>
      <c r="AI674" s="70"/>
      <c r="AJ674" s="70"/>
      <c r="AK674" s="70"/>
      <c r="AL674" s="70"/>
    </row>
    <row r="675" spans="6:38">
      <c r="F675" s="8"/>
      <c r="AG675" s="70"/>
      <c r="AH675" s="70"/>
      <c r="AI675" s="70"/>
      <c r="AJ675" s="70"/>
      <c r="AK675" s="70"/>
      <c r="AL675" s="70"/>
    </row>
    <row r="676" spans="6:38">
      <c r="F676" s="8"/>
      <c r="AG676" s="70"/>
      <c r="AH676" s="70"/>
      <c r="AI676" s="70"/>
      <c r="AJ676" s="70"/>
      <c r="AK676" s="70"/>
      <c r="AL676" s="70"/>
    </row>
    <row r="677" spans="6:38">
      <c r="F677" s="8"/>
      <c r="AG677" s="70"/>
      <c r="AH677" s="70"/>
      <c r="AI677" s="70"/>
      <c r="AJ677" s="70"/>
      <c r="AK677" s="70"/>
      <c r="AL677" s="70"/>
    </row>
    <row r="678" spans="6:38">
      <c r="F678" s="8"/>
      <c r="AG678" s="70"/>
      <c r="AH678" s="70"/>
      <c r="AI678" s="70"/>
      <c r="AJ678" s="70"/>
      <c r="AK678" s="70"/>
      <c r="AL678" s="70"/>
    </row>
    <row r="679" spans="6:38">
      <c r="F679" s="8"/>
      <c r="AG679" s="70"/>
      <c r="AH679" s="70"/>
      <c r="AI679" s="70"/>
      <c r="AJ679" s="70"/>
      <c r="AK679" s="70"/>
      <c r="AL679" s="70"/>
    </row>
    <row r="680" spans="6:38">
      <c r="F680" s="8"/>
      <c r="AG680" s="70"/>
      <c r="AH680" s="70"/>
      <c r="AI680" s="70"/>
      <c r="AJ680" s="70"/>
      <c r="AK680" s="70"/>
      <c r="AL680" s="70"/>
    </row>
    <row r="681" spans="6:38">
      <c r="F681" s="8"/>
      <c r="AG681" s="70"/>
      <c r="AH681" s="70"/>
      <c r="AI681" s="70"/>
      <c r="AJ681" s="70"/>
      <c r="AK681" s="70"/>
      <c r="AL681" s="70"/>
    </row>
    <row r="682" spans="6:38">
      <c r="F682" s="8"/>
      <c r="AG682" s="70"/>
      <c r="AH682" s="70"/>
      <c r="AI682" s="70"/>
      <c r="AJ682" s="70"/>
      <c r="AK682" s="70"/>
      <c r="AL682" s="70"/>
    </row>
    <row r="683" spans="6:38">
      <c r="F683" s="8"/>
      <c r="AG683" s="70"/>
      <c r="AH683" s="70"/>
      <c r="AI683" s="70"/>
      <c r="AJ683" s="70"/>
      <c r="AK683" s="70"/>
      <c r="AL683" s="70"/>
    </row>
    <row r="684" spans="6:38">
      <c r="F684" s="8"/>
      <c r="AG684" s="70"/>
      <c r="AH684" s="70"/>
      <c r="AI684" s="70"/>
      <c r="AJ684" s="70"/>
      <c r="AK684" s="70"/>
      <c r="AL684" s="70"/>
    </row>
    <row r="685" spans="6:38">
      <c r="F685" s="8"/>
      <c r="AG685" s="70"/>
      <c r="AH685" s="70"/>
      <c r="AI685" s="70"/>
      <c r="AJ685" s="70"/>
      <c r="AK685" s="70"/>
      <c r="AL685" s="70"/>
    </row>
    <row r="686" spans="6:38">
      <c r="F686" s="8"/>
      <c r="AG686" s="70"/>
      <c r="AH686" s="70"/>
      <c r="AI686" s="70"/>
      <c r="AJ686" s="70"/>
      <c r="AK686" s="70"/>
      <c r="AL686" s="70"/>
    </row>
    <row r="687" spans="6:38">
      <c r="F687" s="8"/>
      <c r="AG687" s="70"/>
      <c r="AH687" s="70"/>
      <c r="AI687" s="70"/>
      <c r="AJ687" s="70"/>
      <c r="AK687" s="70"/>
      <c r="AL687" s="70"/>
    </row>
    <row r="688" spans="6:38">
      <c r="F688" s="8"/>
      <c r="AG688" s="70"/>
      <c r="AH688" s="70"/>
      <c r="AI688" s="70"/>
      <c r="AJ688" s="70"/>
      <c r="AK688" s="70"/>
      <c r="AL688" s="70"/>
    </row>
    <row r="689" spans="6:38">
      <c r="F689" s="8"/>
      <c r="AG689" s="70"/>
      <c r="AH689" s="70"/>
      <c r="AI689" s="70"/>
      <c r="AJ689" s="70"/>
      <c r="AK689" s="70"/>
      <c r="AL689" s="70"/>
    </row>
    <row r="690" spans="6:38">
      <c r="F690" s="8"/>
      <c r="AG690" s="70"/>
      <c r="AH690" s="70"/>
      <c r="AI690" s="70"/>
      <c r="AJ690" s="70"/>
      <c r="AK690" s="70"/>
      <c r="AL690" s="70"/>
    </row>
    <row r="691" spans="6:38">
      <c r="F691" s="8"/>
      <c r="AG691" s="70"/>
      <c r="AH691" s="70"/>
      <c r="AI691" s="70"/>
      <c r="AJ691" s="70"/>
      <c r="AK691" s="70"/>
      <c r="AL691" s="70"/>
    </row>
    <row r="692" spans="6:38">
      <c r="F692" s="8"/>
      <c r="AG692" s="70"/>
      <c r="AH692" s="70"/>
      <c r="AI692" s="70"/>
      <c r="AJ692" s="70"/>
      <c r="AK692" s="70"/>
      <c r="AL692" s="70"/>
    </row>
    <row r="693" spans="6:38">
      <c r="F693" s="8"/>
      <c r="AG693" s="70"/>
      <c r="AH693" s="70"/>
      <c r="AI693" s="70"/>
      <c r="AJ693" s="70"/>
      <c r="AK693" s="70"/>
      <c r="AL693" s="70"/>
    </row>
    <row r="694" spans="6:38">
      <c r="F694" s="8"/>
      <c r="AG694" s="70"/>
      <c r="AH694" s="70"/>
      <c r="AI694" s="70"/>
      <c r="AJ694" s="70"/>
      <c r="AK694" s="70"/>
      <c r="AL694" s="70"/>
    </row>
    <row r="695" spans="6:38">
      <c r="F695" s="8"/>
      <c r="AG695" s="70"/>
      <c r="AH695" s="70"/>
      <c r="AI695" s="70"/>
      <c r="AJ695" s="70"/>
      <c r="AK695" s="70"/>
      <c r="AL695" s="70"/>
    </row>
    <row r="696" spans="6:38">
      <c r="F696" s="8"/>
      <c r="AG696" s="70"/>
      <c r="AH696" s="70"/>
      <c r="AI696" s="70"/>
      <c r="AJ696" s="70"/>
      <c r="AK696" s="70"/>
      <c r="AL696" s="70"/>
    </row>
    <row r="697" spans="6:38">
      <c r="F697" s="8"/>
      <c r="AG697" s="70"/>
      <c r="AH697" s="70"/>
      <c r="AI697" s="70"/>
      <c r="AJ697" s="70"/>
      <c r="AK697" s="70"/>
      <c r="AL697" s="70"/>
    </row>
    <row r="698" spans="6:38">
      <c r="F698" s="8"/>
      <c r="AG698" s="70"/>
      <c r="AH698" s="70"/>
      <c r="AI698" s="70"/>
      <c r="AJ698" s="70"/>
      <c r="AK698" s="70"/>
      <c r="AL698" s="70"/>
    </row>
    <row r="699" spans="6:38">
      <c r="F699" s="8"/>
      <c r="AG699" s="70"/>
      <c r="AH699" s="70"/>
      <c r="AI699" s="70"/>
      <c r="AJ699" s="70"/>
      <c r="AK699" s="70"/>
      <c r="AL699" s="70"/>
    </row>
    <row r="700" spans="6:38">
      <c r="F700" s="8"/>
      <c r="AG700" s="70"/>
      <c r="AH700" s="70"/>
      <c r="AI700" s="70"/>
      <c r="AJ700" s="70"/>
      <c r="AK700" s="70"/>
      <c r="AL700" s="70"/>
    </row>
    <row r="701" spans="6:38">
      <c r="F701" s="8"/>
      <c r="AG701" s="70"/>
      <c r="AH701" s="70"/>
      <c r="AI701" s="70"/>
      <c r="AJ701" s="70"/>
      <c r="AK701" s="70"/>
      <c r="AL701" s="70"/>
    </row>
    <row r="702" spans="6:38">
      <c r="F702" s="8"/>
      <c r="AG702" s="70"/>
      <c r="AH702" s="70"/>
      <c r="AI702" s="70"/>
      <c r="AJ702" s="70"/>
      <c r="AK702" s="70"/>
      <c r="AL702" s="70"/>
    </row>
    <row r="703" spans="6:38">
      <c r="F703" s="8"/>
      <c r="AG703" s="70"/>
      <c r="AH703" s="70"/>
      <c r="AI703" s="70"/>
      <c r="AJ703" s="70"/>
      <c r="AK703" s="70"/>
      <c r="AL703" s="70"/>
    </row>
    <row r="704" spans="6:38">
      <c r="F704" s="8"/>
      <c r="AG704" s="70"/>
      <c r="AH704" s="70"/>
      <c r="AI704" s="70"/>
      <c r="AJ704" s="70"/>
      <c r="AK704" s="70"/>
      <c r="AL704" s="70"/>
    </row>
    <row r="705" spans="6:38">
      <c r="F705" s="8"/>
      <c r="AG705" s="70"/>
      <c r="AH705" s="70"/>
      <c r="AI705" s="70"/>
      <c r="AJ705" s="70"/>
      <c r="AK705" s="70"/>
      <c r="AL705" s="70"/>
    </row>
    <row r="706" spans="6:38">
      <c r="F706" s="8"/>
      <c r="AG706" s="70"/>
      <c r="AH706" s="70"/>
      <c r="AI706" s="70"/>
      <c r="AJ706" s="70"/>
      <c r="AK706" s="70"/>
      <c r="AL706" s="70"/>
    </row>
    <row r="707" spans="6:38">
      <c r="F707" s="8"/>
      <c r="AG707" s="70"/>
      <c r="AH707" s="70"/>
      <c r="AI707" s="70"/>
      <c r="AJ707" s="70"/>
      <c r="AK707" s="70"/>
      <c r="AL707" s="70"/>
    </row>
    <row r="708" spans="6:38">
      <c r="F708" s="8"/>
      <c r="AG708" s="70"/>
      <c r="AH708" s="70"/>
      <c r="AI708" s="70"/>
      <c r="AJ708" s="70"/>
      <c r="AK708" s="70"/>
      <c r="AL708" s="70"/>
    </row>
    <row r="709" spans="6:38">
      <c r="F709" s="8"/>
      <c r="AG709" s="70"/>
      <c r="AH709" s="70"/>
      <c r="AI709" s="70"/>
      <c r="AJ709" s="70"/>
      <c r="AK709" s="70"/>
      <c r="AL709" s="70"/>
    </row>
    <row r="710" spans="6:38">
      <c r="F710" s="8"/>
      <c r="AG710" s="70"/>
      <c r="AH710" s="70"/>
      <c r="AI710" s="70"/>
      <c r="AJ710" s="70"/>
      <c r="AK710" s="70"/>
      <c r="AL710" s="70"/>
    </row>
    <row r="711" spans="6:38">
      <c r="F711" s="8"/>
      <c r="AG711" s="70"/>
      <c r="AH711" s="70"/>
      <c r="AI711" s="70"/>
      <c r="AJ711" s="70"/>
      <c r="AK711" s="70"/>
      <c r="AL711" s="70"/>
    </row>
    <row r="712" spans="6:38">
      <c r="F712" s="8"/>
      <c r="AG712" s="70"/>
      <c r="AH712" s="70"/>
      <c r="AI712" s="70"/>
      <c r="AJ712" s="70"/>
      <c r="AK712" s="70"/>
      <c r="AL712" s="70"/>
    </row>
    <row r="713" spans="6:38">
      <c r="F713" s="8"/>
      <c r="AG713" s="70"/>
      <c r="AH713" s="70"/>
      <c r="AI713" s="70"/>
      <c r="AJ713" s="70"/>
      <c r="AK713" s="70"/>
      <c r="AL713" s="70"/>
    </row>
    <row r="714" spans="6:38">
      <c r="F714" s="8"/>
      <c r="AG714" s="70"/>
      <c r="AH714" s="70"/>
      <c r="AI714" s="70"/>
      <c r="AJ714" s="70"/>
      <c r="AK714" s="70"/>
      <c r="AL714" s="70"/>
    </row>
    <row r="715" spans="6:38">
      <c r="F715" s="8"/>
      <c r="AG715" s="70"/>
      <c r="AH715" s="70"/>
      <c r="AI715" s="70"/>
      <c r="AJ715" s="70"/>
      <c r="AK715" s="70"/>
      <c r="AL715" s="70"/>
    </row>
    <row r="716" spans="6:38">
      <c r="F716" s="8"/>
      <c r="AG716" s="70"/>
      <c r="AH716" s="70"/>
      <c r="AI716" s="70"/>
      <c r="AJ716" s="70"/>
      <c r="AK716" s="70"/>
      <c r="AL716" s="70"/>
    </row>
    <row r="717" spans="6:38">
      <c r="F717" s="8"/>
      <c r="AG717" s="70"/>
      <c r="AH717" s="70"/>
      <c r="AI717" s="70"/>
      <c r="AJ717" s="70"/>
      <c r="AK717" s="70"/>
      <c r="AL717" s="70"/>
    </row>
    <row r="718" spans="6:38">
      <c r="F718" s="8"/>
      <c r="AG718" s="70"/>
      <c r="AH718" s="70"/>
      <c r="AI718" s="70"/>
      <c r="AJ718" s="70"/>
      <c r="AK718" s="70"/>
      <c r="AL718" s="70"/>
    </row>
    <row r="719" spans="6:38">
      <c r="F719" s="8"/>
      <c r="AG719" s="70"/>
      <c r="AH719" s="70"/>
      <c r="AI719" s="70"/>
      <c r="AJ719" s="70"/>
      <c r="AK719" s="70"/>
      <c r="AL719" s="70"/>
    </row>
    <row r="720" spans="6:38">
      <c r="F720" s="8"/>
      <c r="AG720" s="70"/>
      <c r="AH720" s="70"/>
      <c r="AI720" s="70"/>
      <c r="AJ720" s="70"/>
      <c r="AK720" s="70"/>
      <c r="AL720" s="70"/>
    </row>
    <row r="721" spans="6:38">
      <c r="F721" s="8"/>
      <c r="AG721" s="70"/>
      <c r="AH721" s="70"/>
      <c r="AI721" s="70"/>
      <c r="AJ721" s="70"/>
      <c r="AK721" s="70"/>
      <c r="AL721" s="70"/>
    </row>
    <row r="722" spans="6:38">
      <c r="F722" s="8"/>
      <c r="AG722" s="70"/>
      <c r="AH722" s="70"/>
      <c r="AI722" s="70"/>
      <c r="AJ722" s="70"/>
      <c r="AK722" s="70"/>
      <c r="AL722" s="70"/>
    </row>
    <row r="723" spans="6:38">
      <c r="F723" s="8"/>
      <c r="AG723" s="70"/>
      <c r="AH723" s="70"/>
      <c r="AI723" s="70"/>
      <c r="AJ723" s="70"/>
      <c r="AK723" s="70"/>
      <c r="AL723" s="70"/>
    </row>
    <row r="724" spans="6:38">
      <c r="F724" s="8"/>
      <c r="AG724" s="70"/>
      <c r="AH724" s="70"/>
      <c r="AI724" s="70"/>
      <c r="AJ724" s="70"/>
      <c r="AK724" s="70"/>
      <c r="AL724" s="70"/>
    </row>
    <row r="725" spans="6:38">
      <c r="F725" s="8"/>
      <c r="AG725" s="70"/>
      <c r="AH725" s="70"/>
      <c r="AI725" s="70"/>
      <c r="AJ725" s="70"/>
      <c r="AK725" s="70"/>
      <c r="AL725" s="70"/>
    </row>
    <row r="726" spans="6:38">
      <c r="F726" s="8"/>
      <c r="AG726" s="70"/>
      <c r="AH726" s="70"/>
      <c r="AI726" s="70"/>
      <c r="AJ726" s="70"/>
      <c r="AK726" s="70"/>
      <c r="AL726" s="70"/>
    </row>
    <row r="727" spans="6:38">
      <c r="F727" s="8"/>
      <c r="AG727" s="70"/>
      <c r="AH727" s="70"/>
      <c r="AI727" s="70"/>
      <c r="AJ727" s="70"/>
      <c r="AK727" s="70"/>
      <c r="AL727" s="70"/>
    </row>
    <row r="728" spans="6:38">
      <c r="F728" s="8"/>
      <c r="AG728" s="70"/>
      <c r="AH728" s="70"/>
      <c r="AI728" s="70"/>
      <c r="AJ728" s="70"/>
      <c r="AK728" s="70"/>
      <c r="AL728" s="70"/>
    </row>
    <row r="729" spans="6:38">
      <c r="F729" s="8"/>
      <c r="AG729" s="70"/>
      <c r="AH729" s="70"/>
      <c r="AI729" s="70"/>
      <c r="AJ729" s="70"/>
      <c r="AK729" s="70"/>
      <c r="AL729" s="70"/>
    </row>
    <row r="730" spans="6:38">
      <c r="F730" s="8"/>
      <c r="AG730" s="70"/>
      <c r="AH730" s="70"/>
      <c r="AI730" s="70"/>
      <c r="AJ730" s="70"/>
      <c r="AK730" s="70"/>
      <c r="AL730" s="70"/>
    </row>
    <row r="731" spans="6:38">
      <c r="F731" s="8"/>
      <c r="AG731" s="70"/>
      <c r="AH731" s="70"/>
      <c r="AI731" s="70"/>
      <c r="AJ731" s="70"/>
      <c r="AK731" s="70"/>
      <c r="AL731" s="70"/>
    </row>
    <row r="732" spans="6:38">
      <c r="F732" s="8"/>
      <c r="AG732" s="70"/>
      <c r="AH732" s="70"/>
      <c r="AI732" s="70"/>
      <c r="AJ732" s="70"/>
      <c r="AK732" s="70"/>
      <c r="AL732" s="70"/>
    </row>
    <row r="733" spans="6:38">
      <c r="F733" s="8"/>
      <c r="AG733" s="70"/>
      <c r="AH733" s="70"/>
      <c r="AI733" s="70"/>
      <c r="AJ733" s="70"/>
      <c r="AK733" s="70"/>
      <c r="AL733" s="70"/>
    </row>
    <row r="734" spans="6:38">
      <c r="F734" s="8"/>
      <c r="AG734" s="70"/>
      <c r="AH734" s="70"/>
      <c r="AI734" s="70"/>
      <c r="AJ734" s="70"/>
      <c r="AK734" s="70"/>
      <c r="AL734" s="70"/>
    </row>
    <row r="735" spans="6:38">
      <c r="F735" s="8"/>
      <c r="AG735" s="70"/>
      <c r="AH735" s="70"/>
      <c r="AI735" s="70"/>
      <c r="AJ735" s="70"/>
      <c r="AK735" s="70"/>
      <c r="AL735" s="70"/>
    </row>
    <row r="736" spans="6:38">
      <c r="F736" s="8"/>
      <c r="AG736" s="70"/>
      <c r="AH736" s="70"/>
      <c r="AI736" s="70"/>
      <c r="AJ736" s="70"/>
      <c r="AK736" s="70"/>
      <c r="AL736" s="70"/>
    </row>
    <row r="737" spans="6:38">
      <c r="F737" s="8"/>
      <c r="AG737" s="70"/>
      <c r="AH737" s="70"/>
      <c r="AI737" s="70"/>
      <c r="AJ737" s="70"/>
      <c r="AK737" s="70"/>
      <c r="AL737" s="70"/>
    </row>
    <row r="738" spans="6:38">
      <c r="F738" s="8"/>
      <c r="AG738" s="70"/>
      <c r="AH738" s="70"/>
      <c r="AI738" s="70"/>
      <c r="AJ738" s="70"/>
      <c r="AK738" s="70"/>
      <c r="AL738" s="70"/>
    </row>
    <row r="739" spans="6:38">
      <c r="F739" s="8"/>
      <c r="AG739" s="70"/>
      <c r="AH739" s="70"/>
      <c r="AI739" s="70"/>
      <c r="AJ739" s="70"/>
      <c r="AK739" s="70"/>
      <c r="AL739" s="70"/>
    </row>
    <row r="740" spans="6:38">
      <c r="F740" s="8"/>
      <c r="AG740" s="70"/>
      <c r="AH740" s="70"/>
      <c r="AI740" s="70"/>
      <c r="AJ740" s="70"/>
      <c r="AK740" s="70"/>
      <c r="AL740" s="70"/>
    </row>
    <row r="741" spans="6:38">
      <c r="F741" s="8"/>
      <c r="AG741" s="70"/>
      <c r="AH741" s="70"/>
      <c r="AI741" s="70"/>
      <c r="AJ741" s="70"/>
      <c r="AK741" s="70"/>
      <c r="AL741" s="70"/>
    </row>
    <row r="742" spans="6:38">
      <c r="F742" s="8"/>
      <c r="AG742" s="70"/>
      <c r="AH742" s="70"/>
      <c r="AI742" s="70"/>
      <c r="AJ742" s="70"/>
      <c r="AK742" s="70"/>
      <c r="AL742" s="70"/>
    </row>
    <row r="743" spans="6:38">
      <c r="F743" s="8"/>
      <c r="AG743" s="70"/>
      <c r="AH743" s="70"/>
      <c r="AI743" s="70"/>
      <c r="AJ743" s="70"/>
      <c r="AK743" s="70"/>
      <c r="AL743" s="70"/>
    </row>
    <row r="744" spans="6:38">
      <c r="F744" s="8"/>
      <c r="AG744" s="70"/>
      <c r="AH744" s="70"/>
      <c r="AI744" s="70"/>
      <c r="AJ744" s="70"/>
      <c r="AK744" s="70"/>
      <c r="AL744" s="70"/>
    </row>
    <row r="745" spans="6:38">
      <c r="F745" s="8"/>
      <c r="AG745" s="70"/>
      <c r="AH745" s="70"/>
      <c r="AI745" s="70"/>
      <c r="AJ745" s="70"/>
      <c r="AK745" s="70"/>
      <c r="AL745" s="70"/>
    </row>
    <row r="746" spans="6:38">
      <c r="F746" s="8"/>
      <c r="AG746" s="70"/>
      <c r="AH746" s="70"/>
      <c r="AI746" s="70"/>
      <c r="AJ746" s="70"/>
      <c r="AK746" s="70"/>
      <c r="AL746" s="70"/>
    </row>
    <row r="747" spans="6:38">
      <c r="F747" s="8"/>
      <c r="AG747" s="70"/>
      <c r="AH747" s="70"/>
      <c r="AI747" s="70"/>
      <c r="AJ747" s="70"/>
      <c r="AK747" s="70"/>
      <c r="AL747" s="70"/>
    </row>
    <row r="748" spans="6:38">
      <c r="F748" s="8"/>
      <c r="AG748" s="70"/>
      <c r="AH748" s="70"/>
      <c r="AI748" s="70"/>
      <c r="AJ748" s="70"/>
      <c r="AK748" s="70"/>
      <c r="AL748" s="70"/>
    </row>
    <row r="749" spans="6:38">
      <c r="F749" s="8"/>
      <c r="AG749" s="70"/>
      <c r="AH749" s="70"/>
      <c r="AI749" s="70"/>
      <c r="AJ749" s="70"/>
      <c r="AK749" s="70"/>
      <c r="AL749" s="70"/>
    </row>
    <row r="750" spans="6:38">
      <c r="F750" s="8"/>
      <c r="AG750" s="70"/>
      <c r="AH750" s="70"/>
      <c r="AI750" s="70"/>
      <c r="AJ750" s="70"/>
      <c r="AK750" s="70"/>
      <c r="AL750" s="70"/>
    </row>
    <row r="751" spans="6:38">
      <c r="F751" s="8"/>
      <c r="AG751" s="70"/>
      <c r="AH751" s="70"/>
      <c r="AI751" s="70"/>
      <c r="AJ751" s="70"/>
      <c r="AK751" s="70"/>
      <c r="AL751" s="70"/>
    </row>
    <row r="752" spans="6:38">
      <c r="F752" s="8"/>
      <c r="AG752" s="70"/>
      <c r="AH752" s="70"/>
      <c r="AI752" s="70"/>
      <c r="AJ752" s="70"/>
      <c r="AK752" s="70"/>
      <c r="AL752" s="70"/>
    </row>
    <row r="753" spans="6:38">
      <c r="F753" s="8"/>
      <c r="AG753" s="70"/>
      <c r="AH753" s="70"/>
      <c r="AI753" s="70"/>
      <c r="AJ753" s="70"/>
      <c r="AK753" s="70"/>
      <c r="AL753" s="70"/>
    </row>
    <row r="754" spans="6:38">
      <c r="F754" s="8"/>
      <c r="AG754" s="70"/>
      <c r="AH754" s="70"/>
      <c r="AI754" s="70"/>
      <c r="AJ754" s="70"/>
      <c r="AK754" s="70"/>
      <c r="AL754" s="70"/>
    </row>
    <row r="755" spans="6:38">
      <c r="F755" s="8"/>
      <c r="AG755" s="70"/>
      <c r="AH755" s="70"/>
      <c r="AI755" s="70"/>
      <c r="AJ755" s="70"/>
      <c r="AK755" s="70"/>
      <c r="AL755" s="70"/>
    </row>
    <row r="756" spans="6:38">
      <c r="F756" s="8"/>
      <c r="AG756" s="70"/>
      <c r="AH756" s="70"/>
      <c r="AI756" s="70"/>
      <c r="AJ756" s="70"/>
      <c r="AK756" s="70"/>
      <c r="AL756" s="70"/>
    </row>
    <row r="757" spans="6:38">
      <c r="F757" s="8"/>
      <c r="AG757" s="70"/>
      <c r="AH757" s="70"/>
      <c r="AI757" s="70"/>
      <c r="AJ757" s="70"/>
      <c r="AK757" s="70"/>
      <c r="AL757" s="70"/>
    </row>
    <row r="758" spans="6:38">
      <c r="F758" s="8"/>
      <c r="AG758" s="70"/>
      <c r="AH758" s="70"/>
      <c r="AI758" s="70"/>
      <c r="AJ758" s="70"/>
      <c r="AK758" s="70"/>
      <c r="AL758" s="70"/>
    </row>
    <row r="759" spans="6:38">
      <c r="F759" s="8"/>
      <c r="AG759" s="70"/>
      <c r="AH759" s="70"/>
      <c r="AI759" s="70"/>
      <c r="AJ759" s="70"/>
      <c r="AK759" s="70"/>
      <c r="AL759" s="70"/>
    </row>
    <row r="760" spans="6:38">
      <c r="F760" s="8"/>
      <c r="AG760" s="70"/>
      <c r="AH760" s="70"/>
      <c r="AI760" s="70"/>
      <c r="AJ760" s="70"/>
      <c r="AK760" s="70"/>
      <c r="AL760" s="70"/>
    </row>
    <row r="761" spans="6:38">
      <c r="F761" s="8"/>
      <c r="AG761" s="70"/>
      <c r="AH761" s="70"/>
      <c r="AI761" s="70"/>
      <c r="AJ761" s="70"/>
      <c r="AK761" s="70"/>
      <c r="AL761" s="70"/>
    </row>
    <row r="762" spans="6:38">
      <c r="F762" s="8"/>
      <c r="AG762" s="70"/>
      <c r="AH762" s="70"/>
      <c r="AI762" s="70"/>
      <c r="AJ762" s="70"/>
      <c r="AK762" s="70"/>
      <c r="AL762" s="70"/>
    </row>
    <row r="763" spans="6:38">
      <c r="F763" s="8"/>
      <c r="AG763" s="70"/>
      <c r="AH763" s="70"/>
      <c r="AI763" s="70"/>
      <c r="AJ763" s="70"/>
      <c r="AK763" s="70"/>
      <c r="AL763" s="70"/>
    </row>
    <row r="764" spans="6:38">
      <c r="F764" s="8"/>
      <c r="AG764" s="70"/>
      <c r="AH764" s="70"/>
      <c r="AI764" s="70"/>
      <c r="AJ764" s="70"/>
      <c r="AK764" s="70"/>
      <c r="AL764" s="70"/>
    </row>
    <row r="765" spans="6:38">
      <c r="F765" s="8"/>
      <c r="AG765" s="70"/>
      <c r="AH765" s="70"/>
      <c r="AI765" s="70"/>
      <c r="AJ765" s="70"/>
      <c r="AK765" s="70"/>
      <c r="AL765" s="70"/>
    </row>
    <row r="766" spans="6:38">
      <c r="F766" s="8"/>
      <c r="AG766" s="70"/>
      <c r="AH766" s="70"/>
      <c r="AI766" s="70"/>
      <c r="AJ766" s="70"/>
      <c r="AK766" s="70"/>
      <c r="AL766" s="70"/>
    </row>
    <row r="767" spans="6:38">
      <c r="F767" s="8"/>
      <c r="AG767" s="70"/>
      <c r="AH767" s="70"/>
      <c r="AI767" s="70"/>
      <c r="AJ767" s="70"/>
      <c r="AK767" s="70"/>
      <c r="AL767" s="70"/>
    </row>
    <row r="768" spans="6:38">
      <c r="F768" s="8"/>
      <c r="AG768" s="70"/>
      <c r="AH768" s="70"/>
      <c r="AI768" s="70"/>
      <c r="AJ768" s="70"/>
      <c r="AK768" s="70"/>
      <c r="AL768" s="70"/>
    </row>
    <row r="769" spans="6:38">
      <c r="F769" s="8"/>
      <c r="AG769" s="70"/>
      <c r="AH769" s="70"/>
      <c r="AI769" s="70"/>
      <c r="AJ769" s="70"/>
      <c r="AK769" s="70"/>
      <c r="AL769" s="70"/>
    </row>
    <row r="770" spans="6:38">
      <c r="F770" s="8"/>
      <c r="AG770" s="70"/>
      <c r="AH770" s="70"/>
      <c r="AI770" s="70"/>
      <c r="AJ770" s="70"/>
      <c r="AK770" s="70"/>
      <c r="AL770" s="70"/>
    </row>
    <row r="771" spans="6:38">
      <c r="F771" s="8"/>
      <c r="AG771" s="70"/>
      <c r="AH771" s="70"/>
      <c r="AI771" s="70"/>
      <c r="AJ771" s="70"/>
      <c r="AK771" s="70"/>
      <c r="AL771" s="70"/>
    </row>
    <row r="772" spans="6:38">
      <c r="F772" s="8"/>
      <c r="AG772" s="70"/>
      <c r="AH772" s="70"/>
      <c r="AI772" s="70"/>
      <c r="AJ772" s="70"/>
      <c r="AK772" s="70"/>
      <c r="AL772" s="70"/>
    </row>
    <row r="773" spans="6:38">
      <c r="F773" s="8"/>
      <c r="AG773" s="70"/>
      <c r="AH773" s="70"/>
      <c r="AI773" s="70"/>
      <c r="AJ773" s="70"/>
      <c r="AK773" s="70"/>
      <c r="AL773" s="70"/>
    </row>
    <row r="774" spans="6:38">
      <c r="F774" s="8"/>
      <c r="AG774" s="70"/>
      <c r="AH774" s="70"/>
      <c r="AI774" s="70"/>
      <c r="AJ774" s="70"/>
      <c r="AK774" s="70"/>
      <c r="AL774" s="70"/>
    </row>
    <row r="775" spans="6:38">
      <c r="F775" s="8"/>
      <c r="AG775" s="70"/>
      <c r="AH775" s="70"/>
      <c r="AI775" s="70"/>
      <c r="AJ775" s="70"/>
      <c r="AK775" s="70"/>
      <c r="AL775" s="70"/>
    </row>
    <row r="776" spans="6:38">
      <c r="F776" s="8"/>
      <c r="AG776" s="70"/>
      <c r="AH776" s="70"/>
      <c r="AI776" s="70"/>
      <c r="AJ776" s="70"/>
      <c r="AK776" s="70"/>
      <c r="AL776" s="70"/>
    </row>
    <row r="777" spans="6:38">
      <c r="F777" s="8"/>
      <c r="AG777" s="70"/>
      <c r="AH777" s="70"/>
      <c r="AI777" s="70"/>
      <c r="AJ777" s="70"/>
      <c r="AK777" s="70"/>
      <c r="AL777" s="70"/>
    </row>
    <row r="778" spans="6:38">
      <c r="F778" s="8"/>
      <c r="AG778" s="70"/>
      <c r="AH778" s="70"/>
      <c r="AI778" s="70"/>
      <c r="AJ778" s="70"/>
      <c r="AK778" s="70"/>
      <c r="AL778" s="70"/>
    </row>
    <row r="779" spans="6:38">
      <c r="F779" s="8"/>
      <c r="AG779" s="70"/>
      <c r="AH779" s="70"/>
      <c r="AI779" s="70"/>
      <c r="AJ779" s="70"/>
      <c r="AK779" s="70"/>
      <c r="AL779" s="70"/>
    </row>
    <row r="780" spans="6:38">
      <c r="F780" s="8"/>
      <c r="AG780" s="70"/>
      <c r="AH780" s="70"/>
      <c r="AI780" s="70"/>
      <c r="AJ780" s="70"/>
      <c r="AK780" s="70"/>
      <c r="AL780" s="70"/>
    </row>
    <row r="781" spans="6:38">
      <c r="F781" s="8"/>
      <c r="AG781" s="70"/>
      <c r="AH781" s="70"/>
      <c r="AI781" s="70"/>
      <c r="AJ781" s="70"/>
      <c r="AK781" s="70"/>
      <c r="AL781" s="70"/>
    </row>
    <row r="782" spans="6:38">
      <c r="F782" s="8"/>
      <c r="AG782" s="70"/>
      <c r="AH782" s="70"/>
      <c r="AI782" s="70"/>
      <c r="AJ782" s="70"/>
      <c r="AK782" s="70"/>
      <c r="AL782" s="70"/>
    </row>
    <row r="783" spans="6:38">
      <c r="F783" s="8"/>
      <c r="AG783" s="70"/>
      <c r="AH783" s="70"/>
      <c r="AI783" s="70"/>
      <c r="AJ783" s="70"/>
      <c r="AK783" s="70"/>
      <c r="AL783" s="70"/>
    </row>
    <row r="784" spans="6:38">
      <c r="F784" s="8"/>
      <c r="AG784" s="70"/>
      <c r="AH784" s="70"/>
      <c r="AI784" s="70"/>
      <c r="AJ784" s="70"/>
      <c r="AK784" s="70"/>
      <c r="AL784" s="70"/>
    </row>
    <row r="785" spans="6:38">
      <c r="F785" s="8"/>
      <c r="AG785" s="70"/>
      <c r="AH785" s="70"/>
      <c r="AI785" s="70"/>
      <c r="AJ785" s="70"/>
      <c r="AK785" s="70"/>
      <c r="AL785" s="70"/>
    </row>
    <row r="786" spans="6:38">
      <c r="F786" s="8"/>
      <c r="AG786" s="70"/>
      <c r="AH786" s="70"/>
      <c r="AI786" s="70"/>
      <c r="AJ786" s="70"/>
      <c r="AK786" s="70"/>
      <c r="AL786" s="70"/>
    </row>
    <row r="787" spans="6:38">
      <c r="F787" s="8"/>
      <c r="AG787" s="70"/>
      <c r="AH787" s="70"/>
      <c r="AI787" s="70"/>
      <c r="AJ787" s="70"/>
      <c r="AK787" s="70"/>
      <c r="AL787" s="70"/>
    </row>
    <row r="788" spans="6:38">
      <c r="F788" s="8"/>
      <c r="AG788" s="70"/>
      <c r="AH788" s="70"/>
      <c r="AI788" s="70"/>
      <c r="AJ788" s="70"/>
      <c r="AK788" s="70"/>
      <c r="AL788" s="70"/>
    </row>
    <row r="789" spans="6:38">
      <c r="F789" s="8"/>
      <c r="AG789" s="70"/>
      <c r="AH789" s="70"/>
      <c r="AI789" s="70"/>
      <c r="AJ789" s="70"/>
      <c r="AK789" s="70"/>
      <c r="AL789" s="70"/>
    </row>
    <row r="790" spans="6:38">
      <c r="F790" s="8"/>
      <c r="AG790" s="70"/>
      <c r="AH790" s="70"/>
      <c r="AI790" s="70"/>
      <c r="AJ790" s="70"/>
      <c r="AK790" s="70"/>
      <c r="AL790" s="70"/>
    </row>
    <row r="791" spans="6:38">
      <c r="F791" s="8"/>
      <c r="AG791" s="70"/>
      <c r="AH791" s="70"/>
      <c r="AI791" s="70"/>
      <c r="AJ791" s="70"/>
      <c r="AK791" s="70"/>
      <c r="AL791" s="70"/>
    </row>
    <row r="792" spans="6:38">
      <c r="F792" s="8"/>
      <c r="AG792" s="70"/>
      <c r="AH792" s="70"/>
      <c r="AI792" s="70"/>
      <c r="AJ792" s="70"/>
      <c r="AK792" s="70"/>
      <c r="AL792" s="70"/>
    </row>
    <row r="793" spans="6:38">
      <c r="F793" s="8"/>
      <c r="AG793" s="70"/>
      <c r="AH793" s="70"/>
      <c r="AI793" s="70"/>
      <c r="AJ793" s="70"/>
      <c r="AK793" s="70"/>
      <c r="AL793" s="70"/>
    </row>
    <row r="794" spans="6:38">
      <c r="F794" s="8"/>
      <c r="AG794" s="70"/>
      <c r="AH794" s="70"/>
      <c r="AI794" s="70"/>
      <c r="AJ794" s="70"/>
      <c r="AK794" s="70"/>
      <c r="AL794" s="70"/>
    </row>
    <row r="795" spans="6:38">
      <c r="F795" s="8"/>
      <c r="AG795" s="70"/>
      <c r="AH795" s="70"/>
      <c r="AI795" s="70"/>
      <c r="AJ795" s="70"/>
      <c r="AK795" s="70"/>
      <c r="AL795" s="70"/>
    </row>
    <row r="796" spans="6:38">
      <c r="F796" s="8"/>
      <c r="AG796" s="70"/>
      <c r="AH796" s="70"/>
      <c r="AI796" s="70"/>
      <c r="AJ796" s="70"/>
      <c r="AK796" s="70"/>
      <c r="AL796" s="70"/>
    </row>
    <row r="797" spans="6:38">
      <c r="F797" s="8"/>
      <c r="AG797" s="70"/>
      <c r="AH797" s="70"/>
      <c r="AI797" s="70"/>
      <c r="AJ797" s="70"/>
      <c r="AK797" s="70"/>
      <c r="AL797" s="70"/>
    </row>
    <row r="798" spans="6:38">
      <c r="F798" s="8"/>
      <c r="AG798" s="70"/>
      <c r="AH798" s="70"/>
      <c r="AI798" s="70"/>
      <c r="AJ798" s="70"/>
      <c r="AK798" s="70"/>
      <c r="AL798" s="70"/>
    </row>
    <row r="799" spans="6:38">
      <c r="F799" s="8"/>
      <c r="AG799" s="70"/>
      <c r="AH799" s="70"/>
      <c r="AI799" s="70"/>
      <c r="AJ799" s="70"/>
      <c r="AK799" s="70"/>
      <c r="AL799" s="70"/>
    </row>
    <row r="800" spans="6:38">
      <c r="F800" s="8"/>
      <c r="AG800" s="70"/>
      <c r="AH800" s="70"/>
      <c r="AI800" s="70"/>
      <c r="AJ800" s="70"/>
      <c r="AK800" s="70"/>
      <c r="AL800" s="70"/>
    </row>
    <row r="801" spans="6:38">
      <c r="F801" s="8"/>
      <c r="AG801" s="70"/>
      <c r="AH801" s="70"/>
      <c r="AI801" s="70"/>
      <c r="AJ801" s="70"/>
      <c r="AK801" s="70"/>
      <c r="AL801" s="70"/>
    </row>
    <row r="802" spans="6:38">
      <c r="F802" s="8"/>
      <c r="AG802" s="70"/>
      <c r="AH802" s="70"/>
      <c r="AI802" s="70"/>
      <c r="AJ802" s="70"/>
      <c r="AK802" s="70"/>
      <c r="AL802" s="70"/>
    </row>
    <row r="803" spans="6:38">
      <c r="F803" s="8"/>
      <c r="AG803" s="70"/>
      <c r="AH803" s="70"/>
      <c r="AI803" s="70"/>
      <c r="AJ803" s="70"/>
      <c r="AK803" s="70"/>
      <c r="AL803" s="70"/>
    </row>
    <row r="804" spans="6:38">
      <c r="F804" s="8"/>
      <c r="AG804" s="70"/>
      <c r="AH804" s="70"/>
      <c r="AI804" s="70"/>
      <c r="AJ804" s="70"/>
      <c r="AK804" s="70"/>
      <c r="AL804" s="70"/>
    </row>
    <row r="805" spans="6:38">
      <c r="F805" s="8"/>
      <c r="AG805" s="70"/>
      <c r="AH805" s="70"/>
      <c r="AI805" s="70"/>
      <c r="AJ805" s="70"/>
      <c r="AK805" s="70"/>
      <c r="AL805" s="70"/>
    </row>
    <row r="806" spans="6:38">
      <c r="F806" s="8"/>
      <c r="AG806" s="70"/>
      <c r="AH806" s="70"/>
      <c r="AI806" s="70"/>
      <c r="AJ806" s="70"/>
      <c r="AK806" s="70"/>
      <c r="AL806" s="70"/>
    </row>
    <row r="807" spans="6:38">
      <c r="F807" s="8"/>
      <c r="AG807" s="70"/>
      <c r="AH807" s="70"/>
      <c r="AI807" s="70"/>
      <c r="AJ807" s="70"/>
      <c r="AK807" s="70"/>
      <c r="AL807" s="70"/>
    </row>
    <row r="808" spans="6:38">
      <c r="F808" s="8"/>
      <c r="AG808" s="70"/>
      <c r="AH808" s="70"/>
      <c r="AI808" s="70"/>
      <c r="AJ808" s="70"/>
      <c r="AK808" s="70"/>
      <c r="AL808" s="70"/>
    </row>
    <row r="809" spans="6:38">
      <c r="F809" s="8"/>
      <c r="AG809" s="70"/>
      <c r="AH809" s="70"/>
      <c r="AI809" s="70"/>
      <c r="AJ809" s="70"/>
      <c r="AK809" s="70"/>
      <c r="AL809" s="70"/>
    </row>
    <row r="810" spans="6:38">
      <c r="F810" s="8"/>
      <c r="AG810" s="70"/>
      <c r="AH810" s="70"/>
      <c r="AI810" s="70"/>
      <c r="AJ810" s="70"/>
      <c r="AK810" s="70"/>
      <c r="AL810" s="70"/>
    </row>
    <row r="811" spans="6:38">
      <c r="F811" s="8"/>
      <c r="AG811" s="70"/>
      <c r="AH811" s="70"/>
      <c r="AI811" s="70"/>
      <c r="AJ811" s="70"/>
      <c r="AK811" s="70"/>
      <c r="AL811" s="70"/>
    </row>
    <row r="812" spans="6:38">
      <c r="F812" s="8"/>
      <c r="AG812" s="70"/>
      <c r="AH812" s="70"/>
      <c r="AI812" s="70"/>
      <c r="AJ812" s="70"/>
      <c r="AK812" s="70"/>
      <c r="AL812" s="70"/>
    </row>
    <row r="813" spans="6:38">
      <c r="F813" s="8"/>
      <c r="AG813" s="70"/>
      <c r="AH813" s="70"/>
      <c r="AI813" s="70"/>
      <c r="AJ813" s="70"/>
      <c r="AK813" s="70"/>
      <c r="AL813" s="70"/>
    </row>
    <row r="814" spans="6:38">
      <c r="F814" s="8"/>
      <c r="AG814" s="70"/>
      <c r="AH814" s="70"/>
      <c r="AI814" s="70"/>
      <c r="AJ814" s="70"/>
      <c r="AK814" s="70"/>
      <c r="AL814" s="70"/>
    </row>
    <row r="815" spans="6:38">
      <c r="F815" s="8"/>
      <c r="AG815" s="70"/>
      <c r="AH815" s="70"/>
      <c r="AI815" s="70"/>
      <c r="AJ815" s="70"/>
      <c r="AK815" s="70"/>
      <c r="AL815" s="70"/>
    </row>
    <row r="816" spans="6:38">
      <c r="F816" s="8"/>
      <c r="AG816" s="70"/>
      <c r="AH816" s="70"/>
      <c r="AI816" s="70"/>
      <c r="AJ816" s="70"/>
      <c r="AK816" s="70"/>
      <c r="AL816" s="70"/>
    </row>
    <row r="817" spans="6:38">
      <c r="F817" s="8"/>
      <c r="AG817" s="70"/>
      <c r="AH817" s="70"/>
      <c r="AI817" s="70"/>
      <c r="AJ817" s="70"/>
      <c r="AK817" s="70"/>
      <c r="AL817" s="70"/>
    </row>
    <row r="818" spans="6:38">
      <c r="F818" s="8"/>
      <c r="AG818" s="70"/>
      <c r="AH818" s="70"/>
      <c r="AI818" s="70"/>
      <c r="AJ818" s="70"/>
      <c r="AK818" s="70"/>
      <c r="AL818" s="70"/>
    </row>
    <row r="819" spans="6:38">
      <c r="F819" s="8"/>
      <c r="AG819" s="70"/>
      <c r="AH819" s="70"/>
      <c r="AI819" s="70"/>
      <c r="AJ819" s="70"/>
      <c r="AK819" s="70"/>
      <c r="AL819" s="70"/>
    </row>
    <row r="820" spans="6:38">
      <c r="F820" s="8"/>
      <c r="AG820" s="70"/>
      <c r="AH820" s="70"/>
      <c r="AI820" s="70"/>
      <c r="AJ820" s="70"/>
      <c r="AK820" s="70"/>
      <c r="AL820" s="70"/>
    </row>
    <row r="821" spans="6:38">
      <c r="F821" s="8"/>
      <c r="AG821" s="70"/>
      <c r="AH821" s="70"/>
      <c r="AI821" s="70"/>
      <c r="AJ821" s="70"/>
      <c r="AK821" s="70"/>
      <c r="AL821" s="70"/>
    </row>
    <row r="822" spans="6:38">
      <c r="F822" s="8"/>
      <c r="AG822" s="70"/>
      <c r="AH822" s="70"/>
      <c r="AI822" s="70"/>
      <c r="AJ822" s="70"/>
      <c r="AK822" s="70"/>
      <c r="AL822" s="70"/>
    </row>
    <row r="823" spans="6:38">
      <c r="F823" s="8"/>
      <c r="AG823" s="70"/>
      <c r="AH823" s="70"/>
      <c r="AI823" s="70"/>
      <c r="AJ823" s="70"/>
      <c r="AK823" s="70"/>
      <c r="AL823" s="70"/>
    </row>
    <row r="824" spans="6:38">
      <c r="F824" s="8"/>
      <c r="AG824" s="70"/>
      <c r="AH824" s="70"/>
      <c r="AI824" s="70"/>
      <c r="AJ824" s="70"/>
      <c r="AK824" s="70"/>
      <c r="AL824" s="70"/>
    </row>
    <row r="825" spans="6:38">
      <c r="F825" s="8"/>
      <c r="AG825" s="70"/>
      <c r="AH825" s="70"/>
      <c r="AI825" s="70"/>
      <c r="AJ825" s="70"/>
      <c r="AK825" s="70"/>
      <c r="AL825" s="70"/>
    </row>
    <row r="826" spans="6:38">
      <c r="F826" s="8"/>
      <c r="AG826" s="70"/>
      <c r="AH826" s="70"/>
      <c r="AI826" s="70"/>
      <c r="AJ826" s="70"/>
      <c r="AK826" s="70"/>
      <c r="AL826" s="70"/>
    </row>
    <row r="827" spans="6:38">
      <c r="F827" s="8"/>
      <c r="AG827" s="70"/>
      <c r="AH827" s="70"/>
      <c r="AI827" s="70"/>
      <c r="AJ827" s="70"/>
      <c r="AK827" s="70"/>
      <c r="AL827" s="70"/>
    </row>
    <row r="828" spans="6:38">
      <c r="F828" s="8"/>
      <c r="AG828" s="70"/>
      <c r="AH828" s="70"/>
      <c r="AI828" s="70"/>
      <c r="AJ828" s="70"/>
      <c r="AK828" s="70"/>
      <c r="AL828" s="70"/>
    </row>
    <row r="829" spans="6:38">
      <c r="F829" s="8"/>
      <c r="AG829" s="70"/>
      <c r="AH829" s="70"/>
      <c r="AI829" s="70"/>
      <c r="AJ829" s="70"/>
      <c r="AK829" s="70"/>
      <c r="AL829" s="70"/>
    </row>
    <row r="830" spans="6:38">
      <c r="F830" s="8"/>
      <c r="AG830" s="70"/>
      <c r="AH830" s="70"/>
      <c r="AI830" s="70"/>
      <c r="AJ830" s="70"/>
      <c r="AK830" s="70"/>
      <c r="AL830" s="70"/>
    </row>
    <row r="831" spans="6:38">
      <c r="F831" s="8"/>
      <c r="AG831" s="70"/>
      <c r="AH831" s="70"/>
      <c r="AI831" s="70"/>
      <c r="AJ831" s="70"/>
      <c r="AK831" s="70"/>
      <c r="AL831" s="70"/>
    </row>
    <row r="832" spans="6:38">
      <c r="F832" s="8"/>
      <c r="AG832" s="70"/>
      <c r="AH832" s="70"/>
      <c r="AI832" s="70"/>
      <c r="AJ832" s="70"/>
      <c r="AK832" s="70"/>
      <c r="AL832" s="70"/>
    </row>
    <row r="833" spans="6:38">
      <c r="F833" s="8"/>
      <c r="AG833" s="70"/>
      <c r="AH833" s="70"/>
      <c r="AI833" s="70"/>
      <c r="AJ833" s="70"/>
      <c r="AK833" s="70"/>
      <c r="AL833" s="70"/>
    </row>
    <row r="834" spans="6:38">
      <c r="F834" s="8"/>
      <c r="AG834" s="70"/>
      <c r="AH834" s="70"/>
      <c r="AI834" s="70"/>
      <c r="AJ834" s="70"/>
      <c r="AK834" s="70"/>
      <c r="AL834" s="70"/>
    </row>
    <row r="835" spans="6:38">
      <c r="F835" s="8"/>
      <c r="AG835" s="70"/>
      <c r="AH835" s="70"/>
      <c r="AI835" s="70"/>
      <c r="AJ835" s="70"/>
      <c r="AK835" s="70"/>
      <c r="AL835" s="70"/>
    </row>
    <row r="836" spans="6:38">
      <c r="F836" s="8"/>
      <c r="AG836" s="70"/>
      <c r="AH836" s="70"/>
      <c r="AI836" s="70"/>
      <c r="AJ836" s="70"/>
      <c r="AK836" s="70"/>
      <c r="AL836" s="70"/>
    </row>
    <row r="837" spans="6:38">
      <c r="F837" s="8"/>
      <c r="AG837" s="70"/>
      <c r="AH837" s="70"/>
      <c r="AI837" s="70"/>
      <c r="AJ837" s="70"/>
      <c r="AK837" s="70"/>
      <c r="AL837" s="70"/>
    </row>
    <row r="838" spans="6:38">
      <c r="F838" s="8"/>
      <c r="AG838" s="70"/>
      <c r="AH838" s="70"/>
      <c r="AI838" s="70"/>
      <c r="AJ838" s="70"/>
      <c r="AK838" s="70"/>
      <c r="AL838" s="70"/>
    </row>
    <row r="839" spans="6:38">
      <c r="F839" s="8"/>
      <c r="AG839" s="70"/>
      <c r="AH839" s="70"/>
      <c r="AI839" s="70"/>
      <c r="AJ839" s="70"/>
      <c r="AK839" s="70"/>
      <c r="AL839" s="70"/>
    </row>
    <row r="840" spans="6:38">
      <c r="F840" s="8"/>
      <c r="AG840" s="70"/>
      <c r="AH840" s="70"/>
      <c r="AI840" s="70"/>
      <c r="AJ840" s="70"/>
      <c r="AK840" s="70"/>
      <c r="AL840" s="70"/>
    </row>
    <row r="841" spans="6:38">
      <c r="F841" s="8"/>
      <c r="AG841" s="70"/>
      <c r="AH841" s="70"/>
      <c r="AI841" s="70"/>
      <c r="AJ841" s="70"/>
      <c r="AK841" s="70"/>
      <c r="AL841" s="70"/>
    </row>
    <row r="842" spans="6:38">
      <c r="F842" s="8"/>
      <c r="AG842" s="70"/>
      <c r="AH842" s="70"/>
      <c r="AI842" s="70"/>
      <c r="AJ842" s="70"/>
      <c r="AK842" s="70"/>
      <c r="AL842" s="70"/>
    </row>
    <row r="843" spans="6:38">
      <c r="F843" s="8"/>
      <c r="AG843" s="70"/>
      <c r="AH843" s="70"/>
      <c r="AI843" s="70"/>
      <c r="AJ843" s="70"/>
      <c r="AK843" s="70"/>
      <c r="AL843" s="70"/>
    </row>
    <row r="844" spans="6:38">
      <c r="F844" s="8"/>
      <c r="AG844" s="70"/>
      <c r="AH844" s="70"/>
      <c r="AI844" s="70"/>
      <c r="AJ844" s="70"/>
      <c r="AK844" s="70"/>
      <c r="AL844" s="70"/>
    </row>
    <row r="845" spans="6:38">
      <c r="F845" s="8"/>
      <c r="AG845" s="70"/>
      <c r="AH845" s="70"/>
      <c r="AI845" s="70"/>
      <c r="AJ845" s="70"/>
      <c r="AK845" s="70"/>
      <c r="AL845" s="70"/>
    </row>
    <row r="846" spans="6:38">
      <c r="F846" s="8"/>
      <c r="AG846" s="70"/>
      <c r="AH846" s="70"/>
      <c r="AI846" s="70"/>
      <c r="AJ846" s="70"/>
      <c r="AK846" s="70"/>
      <c r="AL846" s="70"/>
    </row>
    <row r="847" spans="6:38">
      <c r="F847" s="8"/>
      <c r="AG847" s="70"/>
      <c r="AH847" s="70"/>
      <c r="AI847" s="70"/>
      <c r="AJ847" s="70"/>
      <c r="AK847" s="70"/>
      <c r="AL847" s="70"/>
    </row>
    <row r="848" spans="6:38">
      <c r="F848" s="8"/>
      <c r="AG848" s="70"/>
      <c r="AH848" s="70"/>
      <c r="AI848" s="70"/>
      <c r="AJ848" s="70"/>
      <c r="AK848" s="70"/>
      <c r="AL848" s="70"/>
    </row>
    <row r="849" spans="6:38">
      <c r="F849" s="8"/>
      <c r="AG849" s="70"/>
      <c r="AH849" s="70"/>
      <c r="AI849" s="70"/>
      <c r="AJ849" s="70"/>
      <c r="AK849" s="70"/>
      <c r="AL849" s="70"/>
    </row>
    <row r="850" spans="6:38">
      <c r="F850" s="8"/>
      <c r="AG850" s="70"/>
      <c r="AH850" s="70"/>
      <c r="AI850" s="70"/>
      <c r="AJ850" s="70"/>
      <c r="AK850" s="70"/>
      <c r="AL850" s="70"/>
    </row>
    <row r="851" spans="6:38">
      <c r="F851" s="8"/>
      <c r="AG851" s="70"/>
      <c r="AH851" s="70"/>
      <c r="AI851" s="70"/>
      <c r="AJ851" s="70"/>
      <c r="AK851" s="70"/>
      <c r="AL851" s="70"/>
    </row>
    <row r="852" spans="6:38">
      <c r="F852" s="8"/>
      <c r="AG852" s="70"/>
      <c r="AH852" s="70"/>
      <c r="AI852" s="70"/>
      <c r="AJ852" s="70"/>
      <c r="AK852" s="70"/>
      <c r="AL852" s="70"/>
    </row>
    <row r="853" spans="6:38">
      <c r="F853" s="8"/>
      <c r="AG853" s="70"/>
      <c r="AH853" s="70"/>
      <c r="AI853" s="70"/>
      <c r="AJ853" s="70"/>
      <c r="AK853" s="70"/>
      <c r="AL853" s="70"/>
    </row>
    <row r="854" spans="6:38">
      <c r="F854" s="8"/>
      <c r="AG854" s="70"/>
      <c r="AH854" s="70"/>
      <c r="AI854" s="70"/>
      <c r="AJ854" s="70"/>
      <c r="AK854" s="70"/>
      <c r="AL854" s="70"/>
    </row>
    <row r="855" spans="6:38">
      <c r="F855" s="8"/>
      <c r="AG855" s="70"/>
      <c r="AH855" s="70"/>
      <c r="AI855" s="70"/>
      <c r="AJ855" s="70"/>
      <c r="AK855" s="70"/>
      <c r="AL855" s="70"/>
    </row>
    <row r="856" spans="6:38">
      <c r="F856" s="8"/>
      <c r="AG856" s="70"/>
      <c r="AH856" s="70"/>
      <c r="AI856" s="70"/>
      <c r="AJ856" s="70"/>
      <c r="AK856" s="70"/>
      <c r="AL856" s="70"/>
    </row>
    <row r="857" spans="6:38">
      <c r="F857" s="8"/>
      <c r="AG857" s="70"/>
      <c r="AH857" s="70"/>
      <c r="AI857" s="70"/>
      <c r="AJ857" s="70"/>
      <c r="AK857" s="70"/>
      <c r="AL857" s="70"/>
    </row>
    <row r="858" spans="6:38">
      <c r="F858" s="8"/>
      <c r="AG858" s="70"/>
      <c r="AH858" s="70"/>
      <c r="AI858" s="70"/>
      <c r="AJ858" s="70"/>
      <c r="AK858" s="70"/>
      <c r="AL858" s="70"/>
    </row>
    <row r="859" spans="6:38">
      <c r="F859" s="8"/>
      <c r="AG859" s="70"/>
      <c r="AH859" s="70"/>
      <c r="AI859" s="70"/>
      <c r="AJ859" s="70"/>
      <c r="AK859" s="70"/>
      <c r="AL859" s="70"/>
    </row>
    <row r="860" spans="6:38">
      <c r="F860" s="8"/>
      <c r="AG860" s="70"/>
      <c r="AH860" s="70"/>
      <c r="AI860" s="70"/>
      <c r="AJ860" s="70"/>
      <c r="AK860" s="70"/>
      <c r="AL860" s="70"/>
    </row>
    <row r="861" spans="6:38">
      <c r="F861" s="8"/>
      <c r="AG861" s="70"/>
      <c r="AH861" s="70"/>
      <c r="AI861" s="70"/>
      <c r="AJ861" s="70"/>
      <c r="AK861" s="70"/>
      <c r="AL861" s="70"/>
    </row>
    <row r="862" spans="6:38">
      <c r="F862" s="8"/>
      <c r="AG862" s="70"/>
      <c r="AH862" s="70"/>
      <c r="AI862" s="70"/>
      <c r="AJ862" s="70"/>
      <c r="AK862" s="70"/>
      <c r="AL862" s="70"/>
    </row>
    <row r="863" spans="6:38">
      <c r="F863" s="8"/>
      <c r="AG863" s="70"/>
      <c r="AH863" s="70"/>
      <c r="AI863" s="70"/>
      <c r="AJ863" s="70"/>
      <c r="AK863" s="70"/>
      <c r="AL863" s="70"/>
    </row>
    <row r="864" spans="6:38">
      <c r="F864" s="8"/>
      <c r="AG864" s="70"/>
      <c r="AH864" s="70"/>
      <c r="AI864" s="70"/>
      <c r="AJ864" s="70"/>
      <c r="AK864" s="70"/>
      <c r="AL864" s="70"/>
    </row>
    <row r="865" spans="6:38">
      <c r="F865" s="8"/>
      <c r="AG865" s="70"/>
      <c r="AH865" s="70"/>
      <c r="AI865" s="70"/>
      <c r="AJ865" s="70"/>
      <c r="AK865" s="70"/>
      <c r="AL865" s="70"/>
    </row>
    <row r="866" spans="6:38">
      <c r="F866" s="8"/>
      <c r="AG866" s="70"/>
      <c r="AH866" s="70"/>
      <c r="AI866" s="70"/>
      <c r="AJ866" s="70"/>
      <c r="AK866" s="70"/>
      <c r="AL866" s="70"/>
    </row>
    <row r="867" spans="6:38">
      <c r="F867" s="8"/>
      <c r="AG867" s="70"/>
      <c r="AH867" s="70"/>
      <c r="AI867" s="70"/>
      <c r="AJ867" s="70"/>
      <c r="AK867" s="70"/>
      <c r="AL867" s="70"/>
    </row>
    <row r="868" spans="6:38">
      <c r="F868" s="8"/>
      <c r="AG868" s="70"/>
      <c r="AH868" s="70"/>
      <c r="AI868" s="70"/>
      <c r="AJ868" s="70"/>
      <c r="AK868" s="70"/>
      <c r="AL868" s="70"/>
    </row>
    <row r="869" spans="6:38">
      <c r="F869" s="8"/>
      <c r="AG869" s="70"/>
      <c r="AH869" s="70"/>
      <c r="AI869" s="70"/>
      <c r="AJ869" s="70"/>
      <c r="AK869" s="70"/>
      <c r="AL869" s="70"/>
    </row>
    <row r="870" spans="6:38">
      <c r="F870" s="8"/>
      <c r="AG870" s="70"/>
      <c r="AH870" s="70"/>
      <c r="AI870" s="70"/>
      <c r="AJ870" s="70"/>
      <c r="AK870" s="70"/>
      <c r="AL870" s="70"/>
    </row>
    <row r="871" spans="6:38">
      <c r="F871" s="8"/>
      <c r="AG871" s="70"/>
      <c r="AH871" s="70"/>
      <c r="AI871" s="70"/>
      <c r="AJ871" s="70"/>
      <c r="AK871" s="70"/>
      <c r="AL871" s="70"/>
    </row>
    <row r="872" spans="6:38">
      <c r="F872" s="8"/>
      <c r="AG872" s="70"/>
      <c r="AH872" s="70"/>
      <c r="AI872" s="70"/>
      <c r="AJ872" s="70"/>
      <c r="AK872" s="70"/>
      <c r="AL872" s="70"/>
    </row>
    <row r="873" spans="6:38">
      <c r="F873" s="8"/>
      <c r="AG873" s="70"/>
      <c r="AH873" s="70"/>
      <c r="AI873" s="70"/>
      <c r="AJ873" s="70"/>
      <c r="AK873" s="70"/>
      <c r="AL873" s="70"/>
    </row>
    <row r="874" spans="6:38">
      <c r="F874" s="8"/>
      <c r="AG874" s="70"/>
      <c r="AH874" s="70"/>
      <c r="AI874" s="70"/>
      <c r="AJ874" s="70"/>
      <c r="AK874" s="70"/>
      <c r="AL874" s="70"/>
    </row>
    <row r="875" spans="6:38">
      <c r="F875" s="8"/>
      <c r="AG875" s="70"/>
      <c r="AH875" s="70"/>
      <c r="AI875" s="70"/>
      <c r="AJ875" s="70"/>
      <c r="AK875" s="70"/>
      <c r="AL875" s="70"/>
    </row>
    <row r="876" spans="6:38">
      <c r="F876" s="8"/>
      <c r="AG876" s="70"/>
      <c r="AH876" s="70"/>
      <c r="AI876" s="70"/>
      <c r="AJ876" s="70"/>
      <c r="AK876" s="70"/>
      <c r="AL876" s="70"/>
    </row>
    <row r="877" spans="6:38">
      <c r="F877" s="8"/>
      <c r="AG877" s="70"/>
      <c r="AH877" s="70"/>
      <c r="AI877" s="70"/>
      <c r="AJ877" s="70"/>
      <c r="AK877" s="70"/>
      <c r="AL877" s="70"/>
    </row>
    <row r="878" spans="6:38">
      <c r="F878" s="8"/>
      <c r="AG878" s="70"/>
      <c r="AH878" s="70"/>
      <c r="AI878" s="70"/>
      <c r="AJ878" s="70"/>
      <c r="AK878" s="70"/>
      <c r="AL878" s="70"/>
    </row>
    <row r="879" spans="6:38">
      <c r="F879" s="8"/>
      <c r="AG879" s="70"/>
      <c r="AH879" s="70"/>
      <c r="AI879" s="70"/>
      <c r="AJ879" s="70"/>
      <c r="AK879" s="70"/>
      <c r="AL879" s="70"/>
    </row>
    <row r="880" spans="6:38">
      <c r="F880" s="8"/>
      <c r="AG880" s="70"/>
      <c r="AH880" s="70"/>
      <c r="AI880" s="70"/>
      <c r="AJ880" s="70"/>
      <c r="AK880" s="70"/>
      <c r="AL880" s="70"/>
    </row>
    <row r="881" spans="6:38">
      <c r="F881" s="8"/>
      <c r="AG881" s="70"/>
      <c r="AH881" s="70"/>
      <c r="AI881" s="70"/>
      <c r="AJ881" s="70"/>
      <c r="AK881" s="70"/>
      <c r="AL881" s="70"/>
    </row>
    <row r="882" spans="6:38">
      <c r="F882" s="8"/>
      <c r="AG882" s="70"/>
      <c r="AH882" s="70"/>
      <c r="AI882" s="70"/>
      <c r="AJ882" s="70"/>
      <c r="AK882" s="70"/>
      <c r="AL882" s="70"/>
    </row>
    <row r="883" spans="6:38">
      <c r="F883" s="8"/>
      <c r="AG883" s="70"/>
      <c r="AH883" s="70"/>
      <c r="AI883" s="70"/>
      <c r="AJ883" s="70"/>
      <c r="AK883" s="70"/>
      <c r="AL883" s="70"/>
    </row>
    <row r="884" spans="6:38">
      <c r="F884" s="8"/>
      <c r="AG884" s="70"/>
      <c r="AH884" s="70"/>
      <c r="AI884" s="70"/>
      <c r="AJ884" s="70"/>
      <c r="AK884" s="70"/>
      <c r="AL884" s="70"/>
    </row>
    <row r="885" spans="6:38">
      <c r="F885" s="8"/>
      <c r="AG885" s="70"/>
      <c r="AH885" s="70"/>
      <c r="AI885" s="70"/>
      <c r="AJ885" s="70"/>
      <c r="AK885" s="70"/>
      <c r="AL885" s="70"/>
    </row>
    <row r="886" spans="6:38">
      <c r="F886" s="8"/>
      <c r="AG886" s="70"/>
      <c r="AH886" s="70"/>
      <c r="AI886" s="70"/>
      <c r="AJ886" s="70"/>
      <c r="AK886" s="70"/>
      <c r="AL886" s="70"/>
    </row>
    <row r="887" spans="6:38">
      <c r="F887" s="8"/>
      <c r="AG887" s="70"/>
      <c r="AH887" s="70"/>
      <c r="AI887" s="70"/>
      <c r="AJ887" s="70"/>
      <c r="AK887" s="70"/>
      <c r="AL887" s="70"/>
    </row>
    <row r="888" spans="6:38">
      <c r="F888" s="8"/>
      <c r="AG888" s="70"/>
      <c r="AH888" s="70"/>
      <c r="AI888" s="70"/>
      <c r="AJ888" s="70"/>
      <c r="AK888" s="70"/>
      <c r="AL888" s="70"/>
    </row>
    <row r="889" spans="6:38">
      <c r="F889" s="8"/>
      <c r="AG889" s="70"/>
      <c r="AH889" s="70"/>
      <c r="AI889" s="70"/>
      <c r="AJ889" s="70"/>
      <c r="AK889" s="70"/>
      <c r="AL889" s="70"/>
    </row>
    <row r="890" spans="6:38">
      <c r="F890" s="8"/>
      <c r="AG890" s="70"/>
      <c r="AH890" s="70"/>
      <c r="AI890" s="70"/>
      <c r="AJ890" s="70"/>
      <c r="AK890" s="70"/>
      <c r="AL890" s="70"/>
    </row>
    <row r="891" spans="6:38">
      <c r="F891" s="8"/>
      <c r="AG891" s="70"/>
      <c r="AH891" s="70"/>
      <c r="AI891" s="70"/>
      <c r="AJ891" s="70"/>
      <c r="AK891" s="70"/>
      <c r="AL891" s="70"/>
    </row>
    <row r="892" spans="6:38">
      <c r="F892" s="8"/>
      <c r="AG892" s="70"/>
      <c r="AH892" s="70"/>
      <c r="AI892" s="70"/>
      <c r="AJ892" s="70"/>
      <c r="AK892" s="70"/>
      <c r="AL892" s="70"/>
    </row>
    <row r="893" spans="6:38">
      <c r="F893" s="8"/>
      <c r="AG893" s="70"/>
      <c r="AH893" s="70"/>
      <c r="AI893" s="70"/>
      <c r="AJ893" s="70"/>
      <c r="AK893" s="70"/>
      <c r="AL893" s="70"/>
    </row>
    <row r="894" spans="6:38">
      <c r="F894" s="8"/>
      <c r="AG894" s="70"/>
      <c r="AH894" s="70"/>
      <c r="AI894" s="70"/>
      <c r="AJ894" s="70"/>
      <c r="AK894" s="70"/>
      <c r="AL894" s="70"/>
    </row>
    <row r="895" spans="6:38">
      <c r="F895" s="8"/>
      <c r="AG895" s="70"/>
      <c r="AH895" s="70"/>
      <c r="AI895" s="70"/>
      <c r="AJ895" s="70"/>
      <c r="AK895" s="70"/>
      <c r="AL895" s="70"/>
    </row>
    <row r="896" spans="6:38">
      <c r="F896" s="8"/>
      <c r="AG896" s="70"/>
      <c r="AH896" s="70"/>
      <c r="AI896" s="70"/>
      <c r="AJ896" s="70"/>
      <c r="AK896" s="70"/>
      <c r="AL896" s="70"/>
    </row>
    <row r="897" spans="6:38">
      <c r="F897" s="8"/>
      <c r="AG897" s="70"/>
      <c r="AH897" s="70"/>
      <c r="AI897" s="70"/>
      <c r="AJ897" s="70"/>
      <c r="AK897" s="70"/>
      <c r="AL897" s="70"/>
    </row>
    <row r="898" spans="6:38">
      <c r="F898" s="8"/>
      <c r="AG898" s="70"/>
      <c r="AH898" s="70"/>
      <c r="AI898" s="70"/>
      <c r="AJ898" s="70"/>
      <c r="AK898" s="70"/>
      <c r="AL898" s="70"/>
    </row>
    <row r="899" spans="6:38">
      <c r="F899" s="8"/>
      <c r="AG899" s="70"/>
      <c r="AH899" s="70"/>
      <c r="AI899" s="70"/>
      <c r="AJ899" s="70"/>
      <c r="AK899" s="70"/>
      <c r="AL899" s="70"/>
    </row>
    <row r="900" spans="6:38">
      <c r="F900" s="8"/>
      <c r="AG900" s="70"/>
      <c r="AH900" s="70"/>
      <c r="AI900" s="70"/>
      <c r="AJ900" s="70"/>
      <c r="AK900" s="70"/>
      <c r="AL900" s="70"/>
    </row>
    <row r="901" spans="6:38">
      <c r="F901" s="8"/>
      <c r="AG901" s="70"/>
      <c r="AH901" s="70"/>
      <c r="AI901" s="70"/>
      <c r="AJ901" s="70"/>
      <c r="AK901" s="70"/>
      <c r="AL901" s="70"/>
    </row>
    <row r="902" spans="6:38">
      <c r="F902" s="8"/>
      <c r="AG902" s="70"/>
      <c r="AH902" s="70"/>
      <c r="AI902" s="70"/>
      <c r="AJ902" s="70"/>
      <c r="AK902" s="70"/>
      <c r="AL902" s="70"/>
    </row>
    <row r="903" spans="6:38">
      <c r="F903" s="8"/>
      <c r="AG903" s="70"/>
      <c r="AH903" s="70"/>
      <c r="AI903" s="70"/>
      <c r="AJ903" s="70"/>
      <c r="AK903" s="70"/>
      <c r="AL903" s="70"/>
    </row>
    <row r="904" spans="6:38">
      <c r="F904" s="8"/>
      <c r="AG904" s="70"/>
      <c r="AH904" s="70"/>
      <c r="AI904" s="70"/>
      <c r="AJ904" s="70"/>
      <c r="AK904" s="70"/>
      <c r="AL904" s="70"/>
    </row>
    <row r="905" spans="6:38">
      <c r="F905" s="8"/>
      <c r="AG905" s="70"/>
      <c r="AH905" s="70"/>
      <c r="AI905" s="70"/>
      <c r="AJ905" s="70"/>
      <c r="AK905" s="70"/>
      <c r="AL905" s="70"/>
    </row>
    <row r="906" spans="6:38">
      <c r="F906" s="8"/>
      <c r="AG906" s="70"/>
      <c r="AH906" s="70"/>
      <c r="AI906" s="70"/>
      <c r="AJ906" s="70"/>
      <c r="AK906" s="70"/>
      <c r="AL906" s="70"/>
    </row>
    <row r="907" spans="6:38">
      <c r="F907" s="8"/>
      <c r="AG907" s="70"/>
      <c r="AH907" s="70"/>
      <c r="AI907" s="70"/>
      <c r="AJ907" s="70"/>
      <c r="AK907" s="70"/>
      <c r="AL907" s="70"/>
    </row>
    <row r="908" spans="6:38">
      <c r="F908" s="8"/>
      <c r="AG908" s="70"/>
      <c r="AH908" s="70"/>
      <c r="AI908" s="70"/>
      <c r="AJ908" s="70"/>
      <c r="AK908" s="70"/>
      <c r="AL908" s="70"/>
    </row>
    <row r="909" spans="6:38">
      <c r="F909" s="8"/>
      <c r="AG909" s="70"/>
      <c r="AH909" s="70"/>
      <c r="AI909" s="70"/>
      <c r="AJ909" s="70"/>
      <c r="AK909" s="70"/>
      <c r="AL909" s="70"/>
    </row>
    <row r="910" spans="6:38">
      <c r="F910" s="8"/>
      <c r="AG910" s="70"/>
      <c r="AH910" s="70"/>
      <c r="AI910" s="70"/>
      <c r="AJ910" s="70"/>
      <c r="AK910" s="70"/>
      <c r="AL910" s="70"/>
    </row>
    <row r="911" spans="6:38">
      <c r="F911" s="8"/>
      <c r="AG911" s="70"/>
      <c r="AH911" s="70"/>
      <c r="AI911" s="70"/>
      <c r="AJ911" s="70"/>
      <c r="AK911" s="70"/>
      <c r="AL911" s="70"/>
    </row>
    <row r="912" spans="6:38">
      <c r="F912" s="8"/>
      <c r="AG912" s="70"/>
      <c r="AH912" s="70"/>
      <c r="AI912" s="70"/>
      <c r="AJ912" s="70"/>
      <c r="AK912" s="70"/>
      <c r="AL912" s="70"/>
    </row>
    <row r="913" spans="6:38">
      <c r="F913" s="8"/>
      <c r="AG913" s="70"/>
      <c r="AH913" s="70"/>
      <c r="AI913" s="70"/>
      <c r="AJ913" s="70"/>
      <c r="AK913" s="70"/>
      <c r="AL913" s="70"/>
    </row>
    <row r="914" spans="6:38">
      <c r="F914" s="8"/>
      <c r="AG914" s="70"/>
      <c r="AH914" s="70"/>
      <c r="AI914" s="70"/>
      <c r="AJ914" s="70"/>
      <c r="AK914" s="70"/>
      <c r="AL914" s="70"/>
    </row>
    <row r="915" spans="6:38">
      <c r="F915" s="8"/>
      <c r="AG915" s="70"/>
      <c r="AH915" s="70"/>
      <c r="AI915" s="70"/>
      <c r="AJ915" s="70"/>
      <c r="AK915" s="70"/>
      <c r="AL915" s="70"/>
    </row>
    <row r="916" spans="6:38">
      <c r="F916" s="8"/>
      <c r="AG916" s="70"/>
      <c r="AH916" s="70"/>
      <c r="AI916" s="70"/>
      <c r="AJ916" s="70"/>
      <c r="AK916" s="70"/>
      <c r="AL916" s="70"/>
    </row>
    <row r="917" spans="6:38">
      <c r="F917" s="8"/>
      <c r="AG917" s="70"/>
      <c r="AH917" s="70"/>
      <c r="AI917" s="70"/>
      <c r="AJ917" s="70"/>
      <c r="AK917" s="70"/>
      <c r="AL917" s="70"/>
    </row>
    <row r="918" spans="6:38">
      <c r="F918" s="8"/>
      <c r="AG918" s="70"/>
      <c r="AH918" s="70"/>
      <c r="AI918" s="70"/>
      <c r="AJ918" s="70"/>
      <c r="AK918" s="70"/>
      <c r="AL918" s="70"/>
    </row>
    <row r="919" spans="6:38">
      <c r="F919" s="8"/>
      <c r="AG919" s="70"/>
      <c r="AH919" s="70"/>
      <c r="AI919" s="70"/>
      <c r="AJ919" s="70"/>
      <c r="AK919" s="70"/>
      <c r="AL919" s="70"/>
    </row>
    <row r="920" spans="6:38">
      <c r="F920" s="8"/>
      <c r="AG920" s="70"/>
      <c r="AH920" s="70"/>
      <c r="AI920" s="70"/>
      <c r="AJ920" s="70"/>
      <c r="AK920" s="70"/>
      <c r="AL920" s="70"/>
    </row>
    <row r="921" spans="6:38">
      <c r="F921" s="8"/>
      <c r="AG921" s="70"/>
      <c r="AH921" s="70"/>
      <c r="AI921" s="70"/>
      <c r="AJ921" s="70"/>
      <c r="AK921" s="70"/>
      <c r="AL921" s="70"/>
    </row>
    <row r="922" spans="6:38">
      <c r="F922" s="8"/>
      <c r="AG922" s="70"/>
      <c r="AH922" s="70"/>
      <c r="AI922" s="70"/>
      <c r="AJ922" s="70"/>
      <c r="AK922" s="70"/>
      <c r="AL922" s="70"/>
    </row>
    <row r="923" spans="6:38">
      <c r="F923" s="8"/>
      <c r="AG923" s="70"/>
      <c r="AH923" s="70"/>
      <c r="AI923" s="70"/>
      <c r="AJ923" s="70"/>
      <c r="AK923" s="70"/>
      <c r="AL923" s="70"/>
    </row>
    <row r="924" spans="6:38">
      <c r="F924" s="8"/>
      <c r="AG924" s="70"/>
      <c r="AH924" s="70"/>
      <c r="AI924" s="70"/>
      <c r="AJ924" s="70"/>
      <c r="AK924" s="70"/>
      <c r="AL924" s="70"/>
    </row>
    <row r="925" spans="6:38">
      <c r="F925" s="8"/>
      <c r="AG925" s="70"/>
      <c r="AH925" s="70"/>
      <c r="AI925" s="70"/>
      <c r="AJ925" s="70"/>
      <c r="AK925" s="70"/>
      <c r="AL925" s="70"/>
    </row>
    <row r="926" spans="6:38">
      <c r="F926" s="8"/>
      <c r="AG926" s="70"/>
      <c r="AH926" s="70"/>
      <c r="AI926" s="70"/>
      <c r="AJ926" s="70"/>
      <c r="AK926" s="70"/>
      <c r="AL926" s="70"/>
    </row>
    <row r="927" spans="6:38">
      <c r="F927" s="8"/>
      <c r="AG927" s="70"/>
      <c r="AH927" s="70"/>
      <c r="AI927" s="70"/>
      <c r="AJ927" s="70"/>
      <c r="AK927" s="70"/>
      <c r="AL927" s="70"/>
    </row>
    <row r="928" spans="6:38">
      <c r="F928" s="8"/>
      <c r="AG928" s="70"/>
      <c r="AH928" s="70"/>
      <c r="AI928" s="70"/>
      <c r="AJ928" s="70"/>
      <c r="AK928" s="70"/>
      <c r="AL928" s="70"/>
    </row>
    <row r="929" spans="6:38">
      <c r="F929" s="8"/>
      <c r="AG929" s="70"/>
      <c r="AH929" s="70"/>
      <c r="AI929" s="70"/>
      <c r="AJ929" s="70"/>
      <c r="AK929" s="70"/>
      <c r="AL929" s="70"/>
    </row>
    <row r="930" spans="6:38">
      <c r="F930" s="8"/>
      <c r="AG930" s="70"/>
      <c r="AH930" s="70"/>
      <c r="AI930" s="70"/>
      <c r="AJ930" s="70"/>
      <c r="AK930" s="70"/>
      <c r="AL930" s="70"/>
    </row>
    <row r="931" spans="6:38">
      <c r="F931" s="8"/>
      <c r="AG931" s="70"/>
      <c r="AH931" s="70"/>
      <c r="AI931" s="70"/>
      <c r="AJ931" s="70"/>
      <c r="AK931" s="70"/>
      <c r="AL931" s="70"/>
    </row>
    <row r="932" spans="6:38">
      <c r="F932" s="8"/>
      <c r="AG932" s="70"/>
      <c r="AH932" s="70"/>
      <c r="AI932" s="70"/>
      <c r="AJ932" s="70"/>
      <c r="AK932" s="70"/>
      <c r="AL932" s="70"/>
    </row>
    <row r="933" spans="6:38">
      <c r="F933" s="8"/>
      <c r="AG933" s="70"/>
      <c r="AH933" s="70"/>
      <c r="AI933" s="70"/>
      <c r="AJ933" s="70"/>
      <c r="AK933" s="70"/>
      <c r="AL933" s="70"/>
    </row>
    <row r="934" spans="6:38">
      <c r="F934" s="8"/>
      <c r="AG934" s="70"/>
      <c r="AH934" s="70"/>
      <c r="AI934" s="70"/>
      <c r="AJ934" s="70"/>
      <c r="AK934" s="70"/>
      <c r="AL934" s="70"/>
    </row>
    <row r="935" spans="6:38">
      <c r="F935" s="8"/>
      <c r="AG935" s="70"/>
      <c r="AH935" s="70"/>
      <c r="AI935" s="70"/>
      <c r="AJ935" s="70"/>
      <c r="AK935" s="70"/>
      <c r="AL935" s="70"/>
    </row>
    <row r="936" spans="6:38">
      <c r="F936" s="8"/>
      <c r="AG936" s="70"/>
      <c r="AH936" s="70"/>
      <c r="AI936" s="70"/>
      <c r="AJ936" s="70"/>
      <c r="AK936" s="70"/>
      <c r="AL936" s="70"/>
    </row>
    <row r="937" spans="6:38">
      <c r="F937" s="8"/>
      <c r="AG937" s="70"/>
      <c r="AH937" s="70"/>
      <c r="AI937" s="70"/>
      <c r="AJ937" s="70"/>
      <c r="AK937" s="70"/>
      <c r="AL937" s="70"/>
    </row>
    <row r="938" spans="6:38">
      <c r="F938" s="8"/>
      <c r="AG938" s="70"/>
      <c r="AH938" s="70"/>
      <c r="AI938" s="70"/>
      <c r="AJ938" s="70"/>
      <c r="AK938" s="70"/>
      <c r="AL938" s="70"/>
    </row>
    <row r="939" spans="6:38">
      <c r="F939" s="8"/>
      <c r="AG939" s="70"/>
      <c r="AH939" s="70"/>
      <c r="AI939" s="70"/>
      <c r="AJ939" s="70"/>
      <c r="AK939" s="70"/>
      <c r="AL939" s="70"/>
    </row>
    <row r="940" spans="6:38">
      <c r="F940" s="8"/>
      <c r="AG940" s="70"/>
      <c r="AH940" s="70"/>
      <c r="AI940" s="70"/>
      <c r="AJ940" s="70"/>
      <c r="AK940" s="70"/>
      <c r="AL940" s="70"/>
    </row>
    <row r="941" spans="6:38">
      <c r="F941" s="8"/>
      <c r="AG941" s="70"/>
      <c r="AH941" s="70"/>
      <c r="AI941" s="70"/>
      <c r="AJ941" s="70"/>
      <c r="AK941" s="70"/>
      <c r="AL941" s="70"/>
    </row>
    <row r="942" spans="6:38">
      <c r="F942" s="8"/>
      <c r="AG942" s="70"/>
      <c r="AH942" s="70"/>
      <c r="AI942" s="70"/>
      <c r="AJ942" s="70"/>
      <c r="AK942" s="70"/>
      <c r="AL942" s="70"/>
    </row>
    <row r="943" spans="6:38">
      <c r="F943" s="8"/>
      <c r="AG943" s="70"/>
      <c r="AH943" s="70"/>
      <c r="AI943" s="70"/>
      <c r="AJ943" s="70"/>
      <c r="AK943" s="70"/>
      <c r="AL943" s="70"/>
    </row>
    <row r="944" spans="6:38">
      <c r="F944" s="8"/>
      <c r="AG944" s="70"/>
      <c r="AH944" s="70"/>
      <c r="AI944" s="70"/>
      <c r="AJ944" s="70"/>
      <c r="AK944" s="70"/>
      <c r="AL944" s="70"/>
    </row>
    <row r="945" spans="6:38">
      <c r="F945" s="8"/>
      <c r="AG945" s="70"/>
      <c r="AH945" s="70"/>
      <c r="AI945" s="70"/>
      <c r="AJ945" s="70"/>
      <c r="AK945" s="70"/>
      <c r="AL945" s="70"/>
    </row>
    <row r="946" spans="6:38">
      <c r="F946" s="8"/>
      <c r="AG946" s="70"/>
      <c r="AH946" s="70"/>
      <c r="AI946" s="70"/>
      <c r="AJ946" s="70"/>
      <c r="AK946" s="70"/>
      <c r="AL946" s="70"/>
    </row>
    <row r="947" spans="6:38">
      <c r="F947" s="8"/>
      <c r="AG947" s="70"/>
      <c r="AH947" s="70"/>
      <c r="AI947" s="70"/>
      <c r="AJ947" s="70"/>
      <c r="AK947" s="70"/>
      <c r="AL947" s="70"/>
    </row>
    <row r="948" spans="6:38">
      <c r="F948" s="8"/>
      <c r="AG948" s="70"/>
      <c r="AH948" s="70"/>
      <c r="AI948" s="70"/>
      <c r="AJ948" s="70"/>
      <c r="AK948" s="70"/>
      <c r="AL948" s="70"/>
    </row>
    <row r="949" spans="6:38">
      <c r="F949" s="8"/>
      <c r="AG949" s="70"/>
      <c r="AH949" s="70"/>
      <c r="AI949" s="70"/>
      <c r="AJ949" s="70"/>
      <c r="AK949" s="70"/>
      <c r="AL949" s="70"/>
    </row>
    <row r="950" spans="6:38">
      <c r="F950" s="8"/>
      <c r="AG950" s="70"/>
      <c r="AH950" s="70"/>
      <c r="AI950" s="70"/>
      <c r="AJ950" s="70"/>
      <c r="AK950" s="70"/>
      <c r="AL950" s="70"/>
    </row>
    <row r="951" spans="6:38">
      <c r="F951" s="8"/>
      <c r="AG951" s="70"/>
      <c r="AH951" s="70"/>
      <c r="AI951" s="70"/>
      <c r="AJ951" s="70"/>
      <c r="AK951" s="70"/>
      <c r="AL951" s="70"/>
    </row>
    <row r="952" spans="6:38">
      <c r="F952" s="8"/>
      <c r="AG952" s="70"/>
      <c r="AH952" s="70"/>
      <c r="AI952" s="70"/>
      <c r="AJ952" s="70"/>
      <c r="AK952" s="70"/>
      <c r="AL952" s="70"/>
    </row>
    <row r="953" spans="6:38">
      <c r="F953" s="8"/>
      <c r="AG953" s="70"/>
      <c r="AH953" s="70"/>
      <c r="AI953" s="70"/>
      <c r="AJ953" s="70"/>
      <c r="AK953" s="70"/>
      <c r="AL953" s="70"/>
    </row>
    <row r="954" spans="6:38">
      <c r="F954" s="8"/>
      <c r="AG954" s="70"/>
      <c r="AH954" s="70"/>
      <c r="AI954" s="70"/>
      <c r="AJ954" s="70"/>
      <c r="AK954" s="70"/>
      <c r="AL954" s="70"/>
    </row>
    <row r="955" spans="6:38">
      <c r="F955" s="8"/>
      <c r="AG955" s="70"/>
      <c r="AH955" s="70"/>
      <c r="AI955" s="70"/>
      <c r="AJ955" s="70"/>
      <c r="AK955" s="70"/>
      <c r="AL955" s="70"/>
    </row>
    <row r="956" spans="6:38">
      <c r="F956" s="8"/>
      <c r="AG956" s="70"/>
      <c r="AH956" s="70"/>
      <c r="AI956" s="70"/>
      <c r="AJ956" s="70"/>
      <c r="AK956" s="70"/>
      <c r="AL956" s="70"/>
    </row>
    <row r="957" spans="6:38">
      <c r="F957" s="8"/>
      <c r="AG957" s="70"/>
      <c r="AH957" s="70"/>
      <c r="AI957" s="70"/>
      <c r="AJ957" s="70"/>
      <c r="AK957" s="70"/>
      <c r="AL957" s="70"/>
    </row>
    <row r="958" spans="6:38">
      <c r="F958" s="8"/>
      <c r="AG958" s="70"/>
      <c r="AH958" s="70"/>
      <c r="AI958" s="70"/>
      <c r="AJ958" s="70"/>
      <c r="AK958" s="70"/>
      <c r="AL958" s="70"/>
    </row>
    <row r="959" spans="6:38">
      <c r="F959" s="8"/>
      <c r="AG959" s="70"/>
      <c r="AH959" s="70"/>
      <c r="AI959" s="70"/>
      <c r="AJ959" s="70"/>
      <c r="AK959" s="70"/>
      <c r="AL959" s="70"/>
    </row>
    <row r="960" spans="6:38">
      <c r="F960" s="8"/>
      <c r="AG960" s="70"/>
      <c r="AH960" s="70"/>
      <c r="AI960" s="70"/>
      <c r="AJ960" s="70"/>
      <c r="AK960" s="70"/>
      <c r="AL960" s="70"/>
    </row>
    <row r="961" spans="6:38">
      <c r="F961" s="8"/>
      <c r="AG961" s="70"/>
      <c r="AH961" s="70"/>
      <c r="AI961" s="70"/>
      <c r="AJ961" s="70"/>
      <c r="AK961" s="70"/>
      <c r="AL961" s="70"/>
    </row>
    <row r="962" spans="6:38">
      <c r="F962" s="8"/>
      <c r="AG962" s="70"/>
      <c r="AH962" s="70"/>
      <c r="AI962" s="70"/>
      <c r="AJ962" s="70"/>
      <c r="AK962" s="70"/>
      <c r="AL962" s="70"/>
    </row>
    <row r="963" spans="6:38">
      <c r="F963" s="8"/>
      <c r="AG963" s="70"/>
      <c r="AH963" s="70"/>
      <c r="AI963" s="70"/>
      <c r="AJ963" s="70"/>
      <c r="AK963" s="70"/>
      <c r="AL963" s="70"/>
    </row>
    <row r="964" spans="6:38">
      <c r="F964" s="8"/>
      <c r="AG964" s="70"/>
      <c r="AH964" s="70"/>
      <c r="AI964" s="70"/>
      <c r="AJ964" s="70"/>
      <c r="AK964" s="70"/>
      <c r="AL964" s="70"/>
    </row>
    <row r="965" spans="6:38">
      <c r="F965" s="8"/>
      <c r="AG965" s="70"/>
      <c r="AH965" s="70"/>
      <c r="AI965" s="70"/>
      <c r="AJ965" s="70"/>
      <c r="AK965" s="70"/>
      <c r="AL965" s="70"/>
    </row>
    <row r="966" spans="6:38">
      <c r="F966" s="8"/>
      <c r="AG966" s="70"/>
      <c r="AH966" s="70"/>
      <c r="AI966" s="70"/>
      <c r="AJ966" s="70"/>
      <c r="AK966" s="70"/>
      <c r="AL966" s="70"/>
    </row>
    <row r="967" spans="6:38">
      <c r="F967" s="8"/>
      <c r="AG967" s="70"/>
      <c r="AH967" s="70"/>
      <c r="AI967" s="70"/>
      <c r="AJ967" s="70"/>
      <c r="AK967" s="70"/>
      <c r="AL967" s="70"/>
    </row>
    <row r="968" spans="6:38">
      <c r="F968" s="8"/>
      <c r="AG968" s="70"/>
      <c r="AH968" s="70"/>
      <c r="AI968" s="70"/>
      <c r="AJ968" s="70"/>
      <c r="AK968" s="70"/>
      <c r="AL968" s="70"/>
    </row>
    <row r="969" spans="6:38">
      <c r="F969" s="8"/>
      <c r="AG969" s="70"/>
      <c r="AH969" s="70"/>
      <c r="AI969" s="70"/>
      <c r="AJ969" s="70"/>
      <c r="AK969" s="70"/>
      <c r="AL969" s="70"/>
    </row>
    <row r="970" spans="6:38">
      <c r="F970" s="8"/>
      <c r="AG970" s="70"/>
      <c r="AH970" s="70"/>
      <c r="AI970" s="70"/>
      <c r="AJ970" s="70"/>
      <c r="AK970" s="70"/>
      <c r="AL970" s="70"/>
    </row>
    <row r="971" spans="6:38">
      <c r="F971" s="8"/>
      <c r="AG971" s="70"/>
      <c r="AH971" s="70"/>
      <c r="AI971" s="70"/>
      <c r="AJ971" s="70"/>
      <c r="AK971" s="70"/>
      <c r="AL971" s="70"/>
    </row>
    <row r="972" spans="6:38">
      <c r="F972" s="8"/>
      <c r="AG972" s="70"/>
      <c r="AH972" s="70"/>
      <c r="AI972" s="70"/>
      <c r="AJ972" s="70"/>
      <c r="AK972" s="70"/>
      <c r="AL972" s="70"/>
    </row>
    <row r="973" spans="6:38">
      <c r="F973" s="8"/>
      <c r="AG973" s="70"/>
      <c r="AH973" s="70"/>
      <c r="AI973" s="70"/>
      <c r="AJ973" s="70"/>
      <c r="AK973" s="70"/>
      <c r="AL973" s="70"/>
    </row>
    <row r="974" spans="6:38">
      <c r="F974" s="8"/>
      <c r="AG974" s="70"/>
      <c r="AH974" s="70"/>
      <c r="AI974" s="70"/>
      <c r="AJ974" s="70"/>
      <c r="AK974" s="70"/>
      <c r="AL974" s="70"/>
    </row>
    <row r="975" spans="6:38">
      <c r="F975" s="8"/>
      <c r="AG975" s="70"/>
      <c r="AH975" s="70"/>
      <c r="AI975" s="70"/>
      <c r="AJ975" s="70"/>
      <c r="AK975" s="70"/>
      <c r="AL975" s="70"/>
    </row>
    <row r="976" spans="6:38">
      <c r="F976" s="8"/>
      <c r="AG976" s="70"/>
      <c r="AH976" s="70"/>
      <c r="AI976" s="70"/>
      <c r="AJ976" s="70"/>
      <c r="AK976" s="70"/>
      <c r="AL976" s="70"/>
    </row>
    <row r="977" spans="6:38">
      <c r="F977" s="8"/>
      <c r="AG977" s="70"/>
      <c r="AH977" s="70"/>
      <c r="AI977" s="70"/>
      <c r="AJ977" s="70"/>
      <c r="AK977" s="70"/>
      <c r="AL977" s="70"/>
    </row>
    <row r="978" spans="6:38">
      <c r="F978" s="8"/>
      <c r="AG978" s="70"/>
      <c r="AH978" s="70"/>
      <c r="AI978" s="70"/>
      <c r="AJ978" s="70"/>
      <c r="AK978" s="70"/>
      <c r="AL978" s="70"/>
    </row>
    <row r="979" spans="6:38">
      <c r="F979" s="8"/>
      <c r="AG979" s="70"/>
      <c r="AH979" s="70"/>
      <c r="AI979" s="70"/>
      <c r="AJ979" s="70"/>
      <c r="AK979" s="70"/>
      <c r="AL979" s="70"/>
    </row>
    <row r="980" spans="6:38">
      <c r="F980" s="8"/>
      <c r="AG980" s="70"/>
      <c r="AH980" s="70"/>
      <c r="AI980" s="70"/>
      <c r="AJ980" s="70"/>
      <c r="AK980" s="70"/>
      <c r="AL980" s="70"/>
    </row>
    <row r="981" spans="6:38">
      <c r="F981" s="8"/>
      <c r="AG981" s="70"/>
      <c r="AH981" s="70"/>
      <c r="AI981" s="70"/>
      <c r="AJ981" s="70"/>
      <c r="AK981" s="70"/>
      <c r="AL981" s="70"/>
    </row>
    <row r="982" spans="6:38">
      <c r="F982" s="8"/>
      <c r="AG982" s="70"/>
      <c r="AH982" s="70"/>
      <c r="AI982" s="70"/>
      <c r="AJ982" s="70"/>
      <c r="AK982" s="70"/>
      <c r="AL982" s="70"/>
    </row>
    <row r="983" spans="6:38">
      <c r="F983" s="8"/>
      <c r="AG983" s="70"/>
      <c r="AH983" s="70"/>
      <c r="AI983" s="70"/>
      <c r="AJ983" s="70"/>
      <c r="AK983" s="70"/>
      <c r="AL983" s="70"/>
    </row>
    <row r="984" spans="6:38">
      <c r="F984" s="8"/>
      <c r="AG984" s="70"/>
      <c r="AH984" s="70"/>
      <c r="AI984" s="70"/>
      <c r="AJ984" s="70"/>
      <c r="AK984" s="70"/>
      <c r="AL984" s="70"/>
    </row>
    <row r="985" spans="6:38">
      <c r="F985" s="8"/>
      <c r="AG985" s="70"/>
      <c r="AH985" s="70"/>
      <c r="AI985" s="70"/>
      <c r="AJ985" s="70"/>
      <c r="AK985" s="70"/>
      <c r="AL985" s="70"/>
    </row>
    <row r="986" spans="6:38">
      <c r="F986" s="8"/>
      <c r="AG986" s="70"/>
      <c r="AH986" s="70"/>
      <c r="AI986" s="70"/>
      <c r="AJ986" s="70"/>
      <c r="AK986" s="70"/>
      <c r="AL986" s="70"/>
    </row>
    <row r="987" spans="6:38">
      <c r="F987" s="8"/>
      <c r="AG987" s="70"/>
      <c r="AH987" s="70"/>
      <c r="AI987" s="70"/>
      <c r="AJ987" s="70"/>
      <c r="AK987" s="70"/>
      <c r="AL987" s="70"/>
    </row>
    <row r="988" spans="6:38">
      <c r="F988" s="8"/>
      <c r="AG988" s="70"/>
      <c r="AH988" s="70"/>
      <c r="AI988" s="70"/>
      <c r="AJ988" s="70"/>
      <c r="AK988" s="70"/>
      <c r="AL988" s="70"/>
    </row>
    <row r="989" spans="6:38">
      <c r="F989" s="8"/>
      <c r="AG989" s="70"/>
      <c r="AH989" s="70"/>
      <c r="AI989" s="70"/>
      <c r="AJ989" s="70"/>
      <c r="AK989" s="70"/>
      <c r="AL989" s="70"/>
    </row>
    <row r="990" spans="6:38">
      <c r="F990" s="8"/>
      <c r="AG990" s="70"/>
      <c r="AH990" s="70"/>
      <c r="AI990" s="70"/>
      <c r="AJ990" s="70"/>
      <c r="AK990" s="70"/>
      <c r="AL990" s="70"/>
    </row>
    <row r="991" spans="6:38">
      <c r="F991" s="8"/>
      <c r="AG991" s="70"/>
      <c r="AH991" s="70"/>
      <c r="AI991" s="70"/>
      <c r="AJ991" s="70"/>
      <c r="AK991" s="70"/>
      <c r="AL991" s="70"/>
    </row>
    <row r="992" spans="6:38">
      <c r="F992" s="8"/>
      <c r="AG992" s="70"/>
      <c r="AH992" s="70"/>
      <c r="AI992" s="70"/>
      <c r="AJ992" s="70"/>
      <c r="AK992" s="70"/>
      <c r="AL992" s="70"/>
    </row>
    <row r="993" spans="6:38">
      <c r="F993" s="8"/>
      <c r="AG993" s="70"/>
      <c r="AH993" s="70"/>
      <c r="AI993" s="70"/>
      <c r="AJ993" s="70"/>
      <c r="AK993" s="70"/>
      <c r="AL993" s="70"/>
    </row>
    <row r="994" spans="6:38">
      <c r="F994" s="8"/>
      <c r="AG994" s="70"/>
      <c r="AH994" s="70"/>
      <c r="AI994" s="70"/>
      <c r="AJ994" s="70"/>
      <c r="AK994" s="70"/>
      <c r="AL994" s="70"/>
    </row>
    <row r="995" spans="6:38">
      <c r="F995" s="8"/>
      <c r="AG995" s="70"/>
      <c r="AH995" s="70"/>
      <c r="AI995" s="70"/>
      <c r="AJ995" s="70"/>
      <c r="AK995" s="70"/>
      <c r="AL995" s="70"/>
    </row>
    <row r="996" spans="6:38">
      <c r="F996" s="8"/>
      <c r="AG996" s="70"/>
      <c r="AH996" s="70"/>
      <c r="AI996" s="70"/>
      <c r="AJ996" s="70"/>
      <c r="AK996" s="70"/>
      <c r="AL996" s="70"/>
    </row>
    <row r="997" spans="6:38">
      <c r="F997" s="8"/>
      <c r="AG997" s="70"/>
      <c r="AH997" s="70"/>
      <c r="AI997" s="70"/>
      <c r="AJ997" s="70"/>
      <c r="AK997" s="70"/>
      <c r="AL997" s="70"/>
    </row>
    <row r="998" spans="6:38">
      <c r="F998" s="8"/>
      <c r="AG998" s="70"/>
      <c r="AH998" s="70"/>
      <c r="AI998" s="70"/>
      <c r="AJ998" s="70"/>
      <c r="AK998" s="70"/>
      <c r="AL998" s="70"/>
    </row>
    <row r="999" spans="6:38">
      <c r="F999" s="8"/>
      <c r="AG999" s="70"/>
      <c r="AH999" s="70"/>
      <c r="AI999" s="70"/>
      <c r="AJ999" s="70"/>
      <c r="AK999" s="70"/>
      <c r="AL999" s="70"/>
    </row>
    <row r="1000" spans="6:38">
      <c r="F1000" s="8"/>
      <c r="AG1000" s="70"/>
      <c r="AH1000" s="70"/>
      <c r="AI1000" s="70"/>
      <c r="AJ1000" s="70"/>
      <c r="AK1000" s="70"/>
      <c r="AL1000" s="70"/>
    </row>
    <row r="1001" spans="6:38">
      <c r="F1001" s="8"/>
      <c r="AG1001" s="70"/>
      <c r="AH1001" s="70"/>
      <c r="AI1001" s="70"/>
      <c r="AJ1001" s="70"/>
      <c r="AK1001" s="70"/>
      <c r="AL1001" s="70"/>
    </row>
    <row r="1002" spans="6:38">
      <c r="F1002" s="8"/>
      <c r="AG1002" s="70"/>
      <c r="AH1002" s="70"/>
      <c r="AI1002" s="70"/>
      <c r="AJ1002" s="70"/>
      <c r="AK1002" s="70"/>
      <c r="AL1002" s="70"/>
    </row>
    <row r="1003" spans="6:38">
      <c r="F1003" s="8"/>
      <c r="AG1003" s="70"/>
      <c r="AH1003" s="70"/>
      <c r="AI1003" s="70"/>
      <c r="AJ1003" s="70"/>
      <c r="AK1003" s="70"/>
      <c r="AL1003" s="70"/>
    </row>
    <row r="1004" spans="6:38">
      <c r="F1004" s="8"/>
      <c r="AG1004" s="70"/>
      <c r="AH1004" s="70"/>
      <c r="AI1004" s="70"/>
      <c r="AJ1004" s="70"/>
      <c r="AK1004" s="70"/>
      <c r="AL1004" s="70"/>
    </row>
    <row r="1005" spans="6:38">
      <c r="F1005" s="8"/>
      <c r="AG1005" s="70"/>
      <c r="AH1005" s="70"/>
      <c r="AI1005" s="70"/>
      <c r="AJ1005" s="70"/>
      <c r="AK1005" s="70"/>
      <c r="AL1005" s="70"/>
    </row>
    <row r="1006" spans="6:38">
      <c r="F1006" s="8"/>
      <c r="AG1006" s="70"/>
      <c r="AH1006" s="70"/>
      <c r="AI1006" s="70"/>
      <c r="AJ1006" s="70"/>
      <c r="AK1006" s="70"/>
      <c r="AL1006" s="70"/>
    </row>
    <row r="1007" spans="6:38">
      <c r="F1007" s="8"/>
      <c r="AG1007" s="70"/>
      <c r="AH1007" s="70"/>
      <c r="AI1007" s="70"/>
      <c r="AJ1007" s="70"/>
      <c r="AK1007" s="70"/>
      <c r="AL1007" s="70"/>
    </row>
    <row r="1008" spans="6:38">
      <c r="F1008" s="8"/>
      <c r="AG1008" s="70"/>
      <c r="AH1008" s="70"/>
      <c r="AI1008" s="70"/>
      <c r="AJ1008" s="70"/>
      <c r="AK1008" s="70"/>
      <c r="AL1008" s="70"/>
    </row>
    <row r="1009" spans="6:38">
      <c r="F1009" s="8"/>
      <c r="AG1009" s="70"/>
      <c r="AH1009" s="70"/>
      <c r="AI1009" s="70"/>
      <c r="AJ1009" s="70"/>
      <c r="AK1009" s="70"/>
      <c r="AL1009" s="70"/>
    </row>
    <row r="1010" spans="6:38">
      <c r="F1010" s="8"/>
      <c r="AG1010" s="70"/>
      <c r="AH1010" s="70"/>
      <c r="AI1010" s="70"/>
      <c r="AJ1010" s="70"/>
      <c r="AK1010" s="70"/>
      <c r="AL1010" s="70"/>
    </row>
    <row r="1011" spans="6:38">
      <c r="F1011" s="8"/>
      <c r="AG1011" s="70"/>
      <c r="AH1011" s="70"/>
      <c r="AI1011" s="70"/>
      <c r="AJ1011" s="70"/>
      <c r="AK1011" s="70"/>
      <c r="AL1011" s="70"/>
    </row>
    <row r="1012" spans="6:38">
      <c r="F1012" s="8"/>
      <c r="AG1012" s="70"/>
      <c r="AH1012" s="70"/>
      <c r="AI1012" s="70"/>
      <c r="AJ1012" s="70"/>
      <c r="AK1012" s="70"/>
      <c r="AL1012" s="70"/>
    </row>
    <row r="1013" spans="6:38">
      <c r="F1013" s="8"/>
      <c r="AG1013" s="70"/>
      <c r="AH1013" s="70"/>
      <c r="AI1013" s="70"/>
      <c r="AJ1013" s="70"/>
      <c r="AK1013" s="70"/>
      <c r="AL1013" s="70"/>
    </row>
    <row r="1014" spans="6:38">
      <c r="F1014" s="8"/>
      <c r="AG1014" s="70"/>
      <c r="AH1014" s="70"/>
      <c r="AI1014" s="70"/>
      <c r="AJ1014" s="70"/>
      <c r="AK1014" s="70"/>
      <c r="AL1014" s="70"/>
    </row>
    <row r="1015" spans="6:38">
      <c r="F1015" s="8"/>
      <c r="AG1015" s="70"/>
      <c r="AH1015" s="70"/>
      <c r="AI1015" s="70"/>
      <c r="AJ1015" s="70"/>
      <c r="AK1015" s="70"/>
      <c r="AL1015" s="70"/>
    </row>
    <row r="1016" spans="6:38">
      <c r="F1016" s="8"/>
      <c r="AG1016" s="70"/>
      <c r="AH1016" s="70"/>
      <c r="AI1016" s="70"/>
      <c r="AJ1016" s="70"/>
      <c r="AK1016" s="70"/>
      <c r="AL1016" s="70"/>
    </row>
    <row r="1017" spans="6:38">
      <c r="F1017" s="8"/>
      <c r="AG1017" s="70"/>
      <c r="AH1017" s="70"/>
      <c r="AI1017" s="70"/>
      <c r="AJ1017" s="70"/>
      <c r="AK1017" s="70"/>
      <c r="AL1017" s="70"/>
    </row>
    <row r="1018" spans="6:38">
      <c r="F1018" s="8"/>
      <c r="AG1018" s="70"/>
      <c r="AH1018" s="70"/>
      <c r="AI1018" s="70"/>
      <c r="AJ1018" s="70"/>
      <c r="AK1018" s="70"/>
      <c r="AL1018" s="70"/>
    </row>
    <row r="1019" spans="6:38">
      <c r="F1019" s="8"/>
      <c r="AG1019" s="70"/>
      <c r="AH1019" s="70"/>
      <c r="AI1019" s="70"/>
      <c r="AJ1019" s="70"/>
      <c r="AK1019" s="70"/>
      <c r="AL1019" s="70"/>
    </row>
    <row r="1020" spans="6:38">
      <c r="F1020" s="8"/>
      <c r="AG1020" s="70"/>
      <c r="AH1020" s="70"/>
      <c r="AI1020" s="70"/>
      <c r="AJ1020" s="70"/>
      <c r="AK1020" s="70"/>
      <c r="AL1020" s="70"/>
    </row>
    <row r="1021" spans="6:38">
      <c r="F1021" s="8"/>
      <c r="AG1021" s="70"/>
      <c r="AH1021" s="70"/>
      <c r="AI1021" s="70"/>
      <c r="AJ1021" s="70"/>
      <c r="AK1021" s="70"/>
      <c r="AL1021" s="70"/>
    </row>
    <row r="1022" spans="6:38">
      <c r="F1022" s="8"/>
      <c r="AG1022" s="70"/>
      <c r="AH1022" s="70"/>
      <c r="AI1022" s="70"/>
      <c r="AJ1022" s="70"/>
      <c r="AK1022" s="70"/>
      <c r="AL1022" s="70"/>
    </row>
    <row r="1023" spans="6:38">
      <c r="F1023" s="8"/>
      <c r="AG1023" s="70"/>
      <c r="AH1023" s="70"/>
      <c r="AI1023" s="70"/>
      <c r="AJ1023" s="70"/>
      <c r="AK1023" s="70"/>
      <c r="AL1023" s="70"/>
    </row>
    <row r="1024" spans="6:38">
      <c r="F1024" s="8"/>
      <c r="AG1024" s="70"/>
      <c r="AH1024" s="70"/>
      <c r="AI1024" s="70"/>
      <c r="AJ1024" s="70"/>
      <c r="AK1024" s="70"/>
      <c r="AL1024" s="70"/>
    </row>
    <row r="1025" spans="6:38">
      <c r="F1025" s="8"/>
      <c r="AG1025" s="70"/>
      <c r="AH1025" s="70"/>
      <c r="AI1025" s="70"/>
      <c r="AJ1025" s="70"/>
      <c r="AK1025" s="70"/>
      <c r="AL1025" s="70"/>
    </row>
    <row r="1026" spans="6:38">
      <c r="F1026" s="8"/>
      <c r="AG1026" s="70"/>
      <c r="AH1026" s="70"/>
      <c r="AI1026" s="70"/>
      <c r="AJ1026" s="70"/>
      <c r="AK1026" s="70"/>
      <c r="AL1026" s="70"/>
    </row>
    <row r="1027" spans="6:38">
      <c r="F1027" s="8"/>
      <c r="AG1027" s="70"/>
      <c r="AH1027" s="70"/>
      <c r="AI1027" s="70"/>
      <c r="AJ1027" s="70"/>
      <c r="AK1027" s="70"/>
      <c r="AL1027" s="70"/>
    </row>
    <row r="1028" spans="6:38">
      <c r="F1028" s="8"/>
      <c r="AG1028" s="70"/>
      <c r="AH1028" s="70"/>
      <c r="AI1028" s="70"/>
      <c r="AJ1028" s="70"/>
      <c r="AK1028" s="70"/>
      <c r="AL1028" s="70"/>
    </row>
    <row r="1029" spans="6:38">
      <c r="F1029" s="8"/>
      <c r="AG1029" s="70"/>
      <c r="AH1029" s="70"/>
      <c r="AI1029" s="70"/>
      <c r="AJ1029" s="70"/>
      <c r="AK1029" s="70"/>
      <c r="AL1029" s="70"/>
    </row>
    <row r="1030" spans="6:38">
      <c r="F1030" s="8"/>
      <c r="AG1030" s="70"/>
      <c r="AH1030" s="70"/>
      <c r="AI1030" s="70"/>
      <c r="AJ1030" s="70"/>
      <c r="AK1030" s="70"/>
      <c r="AL1030" s="70"/>
    </row>
    <row r="1031" spans="6:38">
      <c r="F1031" s="8"/>
      <c r="AG1031" s="70"/>
      <c r="AH1031" s="70"/>
      <c r="AI1031" s="70"/>
      <c r="AJ1031" s="70"/>
      <c r="AK1031" s="70"/>
      <c r="AL1031" s="70"/>
    </row>
    <row r="1032" spans="6:38">
      <c r="F1032" s="8"/>
      <c r="AG1032" s="70"/>
      <c r="AH1032" s="70"/>
      <c r="AI1032" s="70"/>
      <c r="AJ1032" s="70"/>
      <c r="AK1032" s="70"/>
      <c r="AL1032" s="70"/>
    </row>
    <row r="1033" spans="6:38">
      <c r="F1033" s="8"/>
      <c r="AG1033" s="70"/>
      <c r="AH1033" s="70"/>
      <c r="AI1033" s="70"/>
      <c r="AJ1033" s="70"/>
      <c r="AK1033" s="70"/>
      <c r="AL1033" s="70"/>
    </row>
    <row r="1034" spans="6:38">
      <c r="F1034" s="8"/>
      <c r="AG1034" s="70"/>
      <c r="AH1034" s="70"/>
      <c r="AI1034" s="70"/>
      <c r="AJ1034" s="70"/>
      <c r="AK1034" s="70"/>
      <c r="AL1034" s="70"/>
    </row>
    <row r="1035" spans="6:38">
      <c r="F1035" s="8"/>
      <c r="AG1035" s="70"/>
      <c r="AH1035" s="70"/>
      <c r="AI1035" s="70"/>
      <c r="AJ1035" s="70"/>
      <c r="AK1035" s="70"/>
      <c r="AL1035" s="70"/>
    </row>
    <row r="1036" spans="6:38">
      <c r="F1036" s="8"/>
      <c r="AG1036" s="70"/>
      <c r="AH1036" s="70"/>
      <c r="AI1036" s="70"/>
      <c r="AJ1036" s="70"/>
      <c r="AK1036" s="70"/>
      <c r="AL1036" s="70"/>
    </row>
    <row r="1037" spans="6:38">
      <c r="F1037" s="8"/>
      <c r="AG1037" s="70"/>
      <c r="AH1037" s="70"/>
      <c r="AI1037" s="70"/>
      <c r="AJ1037" s="70"/>
      <c r="AK1037" s="70"/>
      <c r="AL1037" s="70"/>
    </row>
    <row r="1038" spans="6:38">
      <c r="F1038" s="8"/>
      <c r="AG1038" s="70"/>
      <c r="AH1038" s="70"/>
      <c r="AI1038" s="70"/>
      <c r="AJ1038" s="70"/>
      <c r="AK1038" s="70"/>
      <c r="AL1038" s="70"/>
    </row>
    <row r="1039" spans="6:38">
      <c r="F1039" s="8"/>
      <c r="AG1039" s="70"/>
      <c r="AH1039" s="70"/>
      <c r="AI1039" s="70"/>
      <c r="AJ1039" s="70"/>
      <c r="AK1039" s="70"/>
      <c r="AL1039" s="70"/>
    </row>
    <row r="1040" spans="6:38">
      <c r="F1040" s="8"/>
      <c r="AG1040" s="70"/>
      <c r="AH1040" s="70"/>
      <c r="AI1040" s="70"/>
      <c r="AJ1040" s="70"/>
      <c r="AK1040" s="70"/>
      <c r="AL1040" s="70"/>
    </row>
    <row r="1041" spans="6:38">
      <c r="F1041" s="8"/>
      <c r="AG1041" s="70"/>
      <c r="AH1041" s="70"/>
      <c r="AI1041" s="70"/>
      <c r="AJ1041" s="70"/>
      <c r="AK1041" s="70"/>
      <c r="AL1041" s="70"/>
    </row>
    <row r="1042" spans="6:38">
      <c r="F1042" s="8"/>
      <c r="AG1042" s="70"/>
      <c r="AH1042" s="70"/>
      <c r="AI1042" s="70"/>
      <c r="AJ1042" s="70"/>
      <c r="AK1042" s="70"/>
      <c r="AL1042" s="70"/>
    </row>
    <row r="1043" spans="6:38">
      <c r="F1043" s="8"/>
      <c r="AG1043" s="70"/>
      <c r="AH1043" s="70"/>
      <c r="AI1043" s="70"/>
      <c r="AJ1043" s="70"/>
      <c r="AK1043" s="70"/>
      <c r="AL1043" s="70"/>
    </row>
    <row r="1044" spans="6:38">
      <c r="F1044" s="8"/>
      <c r="AG1044" s="70"/>
      <c r="AH1044" s="70"/>
      <c r="AI1044" s="70"/>
      <c r="AJ1044" s="70"/>
      <c r="AK1044" s="70"/>
      <c r="AL1044" s="70"/>
    </row>
    <row r="1045" spans="6:38">
      <c r="F1045" s="8"/>
      <c r="AG1045" s="70"/>
      <c r="AH1045" s="70"/>
      <c r="AI1045" s="70"/>
      <c r="AJ1045" s="70"/>
      <c r="AK1045" s="70"/>
      <c r="AL1045" s="70"/>
    </row>
    <row r="1046" spans="6:38">
      <c r="F1046" s="8"/>
      <c r="AG1046" s="70"/>
      <c r="AH1046" s="70"/>
      <c r="AI1046" s="70"/>
      <c r="AJ1046" s="70"/>
      <c r="AK1046" s="70"/>
      <c r="AL1046" s="70"/>
    </row>
    <row r="1047" spans="6:38">
      <c r="F1047" s="8"/>
      <c r="AG1047" s="70"/>
      <c r="AH1047" s="70"/>
      <c r="AI1047" s="70"/>
      <c r="AJ1047" s="70"/>
      <c r="AK1047" s="70"/>
      <c r="AL1047" s="70"/>
    </row>
    <row r="1048" spans="6:38">
      <c r="F1048" s="8"/>
      <c r="AG1048" s="70"/>
      <c r="AH1048" s="70"/>
      <c r="AI1048" s="70"/>
      <c r="AJ1048" s="70"/>
      <c r="AK1048" s="70"/>
      <c r="AL1048" s="70"/>
    </row>
    <row r="1049" spans="6:38">
      <c r="F1049" s="8"/>
      <c r="AG1049" s="70"/>
      <c r="AH1049" s="70"/>
      <c r="AI1049" s="70"/>
      <c r="AJ1049" s="70"/>
      <c r="AK1049" s="70"/>
      <c r="AL1049" s="70"/>
    </row>
    <row r="1050" spans="6:38">
      <c r="F1050" s="8"/>
      <c r="AG1050" s="70"/>
      <c r="AH1050" s="70"/>
      <c r="AI1050" s="70"/>
      <c r="AJ1050" s="70"/>
      <c r="AK1050" s="70"/>
      <c r="AL1050" s="70"/>
    </row>
    <row r="1051" spans="6:38">
      <c r="F1051" s="8"/>
      <c r="AG1051" s="70"/>
      <c r="AH1051" s="70"/>
      <c r="AI1051" s="70"/>
      <c r="AJ1051" s="70"/>
      <c r="AK1051" s="70"/>
      <c r="AL1051" s="70"/>
    </row>
    <row r="1052" spans="6:38">
      <c r="F1052" s="8"/>
      <c r="AG1052" s="70"/>
      <c r="AH1052" s="70"/>
      <c r="AI1052" s="70"/>
      <c r="AJ1052" s="70"/>
      <c r="AK1052" s="70"/>
      <c r="AL1052" s="70"/>
    </row>
    <row r="1053" spans="6:38">
      <c r="F1053" s="8"/>
      <c r="AG1053" s="70"/>
      <c r="AH1053" s="70"/>
      <c r="AI1053" s="70"/>
      <c r="AJ1053" s="70"/>
      <c r="AK1053" s="70"/>
      <c r="AL1053" s="70"/>
    </row>
    <row r="1054" spans="6:38">
      <c r="F1054" s="8"/>
      <c r="AG1054" s="70"/>
      <c r="AH1054" s="70"/>
      <c r="AI1054" s="70"/>
      <c r="AJ1054" s="70"/>
      <c r="AK1054" s="70"/>
      <c r="AL1054" s="70"/>
    </row>
    <row r="1055" spans="6:38">
      <c r="F1055" s="8"/>
      <c r="AG1055" s="70"/>
      <c r="AH1055" s="70"/>
      <c r="AI1055" s="70"/>
      <c r="AJ1055" s="70"/>
      <c r="AK1055" s="70"/>
      <c r="AL1055" s="70"/>
    </row>
    <row r="1056" spans="6:38">
      <c r="F1056" s="8"/>
      <c r="AG1056" s="70"/>
      <c r="AH1056" s="70"/>
      <c r="AI1056" s="70"/>
      <c r="AJ1056" s="70"/>
      <c r="AK1056" s="70"/>
      <c r="AL1056" s="70"/>
    </row>
    <row r="1057" spans="6:38">
      <c r="F1057" s="8"/>
      <c r="AG1057" s="70"/>
      <c r="AH1057" s="70"/>
      <c r="AI1057" s="70"/>
      <c r="AJ1057" s="70"/>
      <c r="AK1057" s="70"/>
      <c r="AL1057" s="70"/>
    </row>
    <row r="1058" spans="6:38">
      <c r="F1058" s="8"/>
      <c r="AG1058" s="70"/>
      <c r="AH1058" s="70"/>
      <c r="AI1058" s="70"/>
      <c r="AJ1058" s="70"/>
      <c r="AK1058" s="70"/>
      <c r="AL1058" s="70"/>
    </row>
    <row r="1059" spans="6:38">
      <c r="F1059" s="8"/>
      <c r="AG1059" s="70"/>
      <c r="AH1059" s="70"/>
      <c r="AI1059" s="70"/>
      <c r="AJ1059" s="70"/>
      <c r="AK1059" s="70"/>
      <c r="AL1059" s="70"/>
    </row>
    <row r="1060" spans="6:38">
      <c r="F1060" s="8"/>
      <c r="AG1060" s="70"/>
      <c r="AH1060" s="70"/>
      <c r="AI1060" s="70"/>
      <c r="AJ1060" s="70"/>
      <c r="AK1060" s="70"/>
      <c r="AL1060" s="70"/>
    </row>
    <row r="1061" spans="6:38">
      <c r="F1061" s="8"/>
      <c r="AG1061" s="70"/>
      <c r="AH1061" s="70"/>
      <c r="AI1061" s="70"/>
      <c r="AJ1061" s="70"/>
      <c r="AK1061" s="70"/>
      <c r="AL1061" s="70"/>
    </row>
    <row r="1062" spans="6:38">
      <c r="F1062" s="8"/>
      <c r="AG1062" s="70"/>
      <c r="AH1062" s="70"/>
      <c r="AI1062" s="70"/>
      <c r="AJ1062" s="70"/>
      <c r="AK1062" s="70"/>
      <c r="AL1062" s="70"/>
    </row>
    <row r="1063" spans="6:38">
      <c r="F1063" s="8"/>
      <c r="AG1063" s="70"/>
      <c r="AH1063" s="70"/>
      <c r="AI1063" s="70"/>
      <c r="AJ1063" s="70"/>
      <c r="AK1063" s="70"/>
      <c r="AL1063" s="70"/>
    </row>
    <row r="1064" spans="6:38">
      <c r="F1064" s="8"/>
      <c r="AG1064" s="70"/>
      <c r="AH1064" s="70"/>
      <c r="AI1064" s="70"/>
      <c r="AJ1064" s="70"/>
      <c r="AK1064" s="70"/>
      <c r="AL1064" s="70"/>
    </row>
    <row r="1065" spans="6:38">
      <c r="F1065" s="8"/>
      <c r="AG1065" s="70"/>
      <c r="AH1065" s="70"/>
      <c r="AI1065" s="70"/>
      <c r="AJ1065" s="70"/>
      <c r="AK1065" s="70"/>
      <c r="AL1065" s="70"/>
    </row>
    <row r="1066" spans="6:38">
      <c r="F1066" s="8"/>
      <c r="AG1066" s="70"/>
      <c r="AH1066" s="70"/>
      <c r="AI1066" s="70"/>
      <c r="AJ1066" s="70"/>
      <c r="AK1066" s="70"/>
      <c r="AL1066" s="70"/>
    </row>
    <row r="1067" spans="6:38">
      <c r="F1067" s="8"/>
      <c r="AG1067" s="70"/>
      <c r="AH1067" s="70"/>
      <c r="AI1067" s="70"/>
      <c r="AJ1067" s="70"/>
      <c r="AK1067" s="70"/>
      <c r="AL1067" s="70"/>
    </row>
    <row r="1068" spans="6:38">
      <c r="F1068" s="8"/>
      <c r="AG1068" s="70"/>
      <c r="AH1068" s="70"/>
      <c r="AI1068" s="70"/>
      <c r="AJ1068" s="70"/>
      <c r="AK1068" s="70"/>
      <c r="AL1068" s="70"/>
    </row>
    <row r="1069" spans="6:38">
      <c r="F1069" s="8"/>
      <c r="AG1069" s="70"/>
      <c r="AH1069" s="70"/>
      <c r="AI1069" s="70"/>
      <c r="AJ1069" s="70"/>
      <c r="AK1069" s="70"/>
      <c r="AL1069" s="70"/>
    </row>
    <row r="1070" spans="6:38">
      <c r="F1070" s="8"/>
      <c r="AG1070" s="70"/>
      <c r="AH1070" s="70"/>
      <c r="AI1070" s="70"/>
      <c r="AJ1070" s="70"/>
      <c r="AK1070" s="70"/>
      <c r="AL1070" s="70"/>
    </row>
    <row r="1071" spans="6:38">
      <c r="F1071" s="8"/>
      <c r="AG1071" s="70"/>
      <c r="AH1071" s="70"/>
      <c r="AI1071" s="70"/>
      <c r="AJ1071" s="70"/>
      <c r="AK1071" s="70"/>
      <c r="AL1071" s="70"/>
    </row>
    <row r="1072" spans="6:38">
      <c r="F1072" s="8"/>
      <c r="AG1072" s="70"/>
      <c r="AH1072" s="70"/>
      <c r="AI1072" s="70"/>
      <c r="AJ1072" s="70"/>
      <c r="AK1072" s="70"/>
      <c r="AL1072" s="70"/>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AT929"/>
  <sheetViews>
    <sheetView tabSelected="1" workbookViewId="0">
      <pane ySplit="1" topLeftCell="A74" activePane="bottomLeft" state="frozen"/>
      <selection pane="bottomLeft" activeCell="E46" sqref="E46"/>
    </sheetView>
  </sheetViews>
  <sheetFormatPr defaultColWidth="12.6640625" defaultRowHeight="15.75" customHeight="1"/>
  <cols>
    <col min="1" max="1" width="15" customWidth="1"/>
    <col min="2" max="2" width="8.109375" customWidth="1"/>
    <col min="3" max="3" width="10.44140625" customWidth="1"/>
    <col min="4" max="4" width="10" customWidth="1"/>
    <col min="5" max="5" width="27.44140625" customWidth="1"/>
    <col min="6" max="6" width="32.21875" customWidth="1"/>
    <col min="7" max="7" width="12.44140625" customWidth="1"/>
    <col min="8" max="8" width="37" customWidth="1"/>
    <col min="9" max="9" width="16.109375" customWidth="1"/>
    <col min="10" max="10" width="22.77734375" customWidth="1"/>
    <col min="12" max="12" width="24.44140625" customWidth="1"/>
    <col min="14" max="14" width="27.77734375" customWidth="1"/>
    <col min="16" max="16" width="32.77734375" customWidth="1"/>
    <col min="18" max="18" width="30.21875" customWidth="1"/>
    <col min="20" max="20" width="25.109375" customWidth="1"/>
  </cols>
  <sheetData>
    <row r="1" spans="1:46" ht="27.6">
      <c r="A1" s="77" t="s">
        <v>0</v>
      </c>
      <c r="B1" s="77" t="s">
        <v>1</v>
      </c>
      <c r="C1" s="77" t="s">
        <v>2</v>
      </c>
      <c r="D1" s="77" t="s">
        <v>3</v>
      </c>
      <c r="E1" s="77" t="s">
        <v>4</v>
      </c>
      <c r="F1" s="78" t="s">
        <v>5</v>
      </c>
      <c r="G1" s="77" t="s">
        <v>6</v>
      </c>
      <c r="H1" s="77" t="s">
        <v>7</v>
      </c>
      <c r="I1" s="79" t="s">
        <v>8</v>
      </c>
      <c r="J1" s="64" t="s">
        <v>9</v>
      </c>
      <c r="K1" s="64" t="s">
        <v>10</v>
      </c>
      <c r="L1" s="64" t="s">
        <v>11</v>
      </c>
      <c r="M1" s="64" t="s">
        <v>12</v>
      </c>
      <c r="N1" s="64" t="s">
        <v>13</v>
      </c>
      <c r="O1" s="64" t="s">
        <v>14</v>
      </c>
      <c r="P1" s="64" t="s">
        <v>15</v>
      </c>
      <c r="Q1" s="64" t="s">
        <v>16</v>
      </c>
      <c r="R1" s="64" t="s">
        <v>17</v>
      </c>
      <c r="S1" s="64" t="s">
        <v>18</v>
      </c>
      <c r="T1" s="64" t="s">
        <v>19</v>
      </c>
      <c r="U1" s="33" t="s">
        <v>20</v>
      </c>
      <c r="V1" s="33" t="s">
        <v>21</v>
      </c>
      <c r="W1" s="33" t="s">
        <v>22</v>
      </c>
      <c r="X1" s="33" t="s">
        <v>23</v>
      </c>
      <c r="Y1" s="33" t="s">
        <v>24</v>
      </c>
      <c r="Z1" s="33" t="s">
        <v>25</v>
      </c>
      <c r="AA1" s="33" t="s">
        <v>26</v>
      </c>
      <c r="AB1" s="35" t="s">
        <v>27</v>
      </c>
      <c r="AC1" s="36" t="s">
        <v>28</v>
      </c>
      <c r="AD1" s="36" t="s">
        <v>29</v>
      </c>
      <c r="AE1" s="36" t="s">
        <v>30</v>
      </c>
      <c r="AF1" s="37" t="s">
        <v>31</v>
      </c>
      <c r="AG1" s="80" t="s">
        <v>32</v>
      </c>
      <c r="AH1" s="81" t="s">
        <v>33</v>
      </c>
      <c r="AI1" s="80" t="s">
        <v>34</v>
      </c>
      <c r="AJ1" s="81" t="s">
        <v>35</v>
      </c>
      <c r="AK1" s="80" t="s">
        <v>36</v>
      </c>
      <c r="AL1" s="81" t="s">
        <v>37</v>
      </c>
      <c r="AM1" s="80" t="s">
        <v>38</v>
      </c>
      <c r="AN1" s="81" t="s">
        <v>39</v>
      </c>
      <c r="AO1" s="6" t="s">
        <v>40</v>
      </c>
      <c r="AP1" s="7" t="s">
        <v>41</v>
      </c>
      <c r="AQ1" s="6" t="s">
        <v>42</v>
      </c>
      <c r="AR1" s="7" t="s">
        <v>43</v>
      </c>
      <c r="AS1" s="6" t="s">
        <v>44</v>
      </c>
      <c r="AT1" s="7" t="s">
        <v>45</v>
      </c>
    </row>
    <row r="2" spans="1:46" ht="27.6">
      <c r="A2" s="8" t="s">
        <v>247</v>
      </c>
      <c r="B2" s="82" t="s">
        <v>47</v>
      </c>
      <c r="C2" s="82" t="s">
        <v>1172</v>
      </c>
      <c r="D2" s="83" t="s">
        <v>732</v>
      </c>
      <c r="E2" s="82" t="s">
        <v>1173</v>
      </c>
      <c r="F2" s="82" t="s">
        <v>1174</v>
      </c>
      <c r="G2" s="84" t="s">
        <v>1175</v>
      </c>
      <c r="H2" s="85" t="s">
        <v>1176</v>
      </c>
      <c r="I2" s="68" t="str">
        <f t="shared" ref="I2:I87" si="0">G2 &amp; ".001"</f>
        <v>LU001424.001</v>
      </c>
      <c r="J2" s="69" t="str">
        <f ca="1">IFERROR(__xludf.DUMMYFUNCTION("VLOOKUP(I2, IMPORTRANGE(""https://docs.google.com/spreadsheets/d/1yDAaXNsi4Mr5FtRQL4tbmSdIzhx6_m4wkOD7IG-k_eo/edit#gid=0"", ""Maths!M:N""), 2, FALSE)"),"(LU001424.001); Default - Remember")</f>
        <v>(LU001424.001); Default - Remember</v>
      </c>
      <c r="K2" s="69" t="str">
        <f t="shared" ref="K2:K87" si="1">G2 &amp; ".002"</f>
        <v>LU001424.002</v>
      </c>
      <c r="L2" s="69" t="str">
        <f ca="1">IFERROR(__xludf.DUMMYFUNCTION("VLOOKUP(K2, IMPORTRANGE(""https://docs.google.com/spreadsheets/d/1yDAaXNsi4Mr5FtRQL4tbmSdIzhx6_m4wkOD7IG-k_eo/edit#gid=0"", ""Maths!M:N""), 2, FALSE)"),"(LU001424.002); Default - Understand")</f>
        <v>(LU001424.002); Default - Understand</v>
      </c>
      <c r="M2" s="69" t="str">
        <f t="shared" ref="M2:M87" si="2">G2 &amp; ".003"</f>
        <v>LU001424.003</v>
      </c>
      <c r="N2" s="69" t="str">
        <f ca="1">IFERROR(__xludf.DUMMYFUNCTION("VLOOKUP(M2, IMPORTRANGE(""https://docs.google.com/spreadsheets/d/1yDAaXNsi4Mr5FtRQL4tbmSdIzhx6_m4wkOD7IG-k_eo/edit#gid=0"", ""Maths!M:N""), 2, FALSE)"),"(LU001424.003); Default - Apply")</f>
        <v>(LU001424.003); Default - Apply</v>
      </c>
      <c r="O2" s="69" t="str">
        <f t="shared" ref="O2:O87" si="3">G2 &amp; ".004"</f>
        <v>LU001424.004</v>
      </c>
      <c r="P2" s="69" t="str">
        <f ca="1">IFERROR(__xludf.DUMMYFUNCTION("VLOOKUP(O2, IMPORTRANGE(""https://docs.google.com/spreadsheets/d/1yDAaXNsi4Mr5FtRQL4tbmSdIzhx6_m4wkOD7IG-k_eo/edit#gid=0"", ""Maths!M:N""), 2, FALSE)"),"(LU001424.004); Default - Analyse")</f>
        <v>(LU001424.004); Default - Analyse</v>
      </c>
      <c r="Q2" s="69" t="str">
        <f t="shared" ref="Q2:Q87" si="4">G2 &amp; ".005"</f>
        <v>LU001424.005</v>
      </c>
      <c r="R2" s="69" t="str">
        <f ca="1">IFERROR(__xludf.DUMMYFUNCTION("VLOOKUP(Q2, IMPORTRANGE(""https://docs.google.com/spreadsheets/d/1yDAaXNsi4Mr5FtRQL4tbmSdIzhx6_m4wkOD7IG-k_eo/edit#gid=0"", ""Maths!M:N""), 2, FALSE)"),"(LU001424.005); Default - Evaluate")</f>
        <v>(LU001424.005); Default - Evaluate</v>
      </c>
      <c r="S2" s="69" t="str">
        <f t="shared" ref="S2:S87" si="5">G2 &amp; ".006"</f>
        <v>LU001424.006</v>
      </c>
      <c r="T2" s="69" t="str">
        <f ca="1">IFERROR(__xludf.DUMMYFUNCTION("VLOOKUP(S2, IMPORTRANGE(""https://docs.google.com/spreadsheets/d/1yDAaXNsi4Mr5FtRQL4tbmSdIzhx6_m4wkOD7IG-k_eo/edit#gid=0"", ""Maths!M:N""), 2, FALSE)"),"(LU001424.006); Default - Create")</f>
        <v>(LU001424.006); Default - Create</v>
      </c>
      <c r="U2" s="11" t="str">
        <f ca="1">IFERROR(__xludf.DUMMYFUNCTION("ArrayFormula(VLOOKUP(G2, IMPORTRANGE(""https://docs.google.com/spreadsheets/d/1p7R4vtkWt5VOBim4ltsDG9KTzSjrtKXsMtQGXPHyND0/edit#gid=795171502"", ""'Filter 30_05_2024'!A1:M2000""), {2, 3, 4, 5,6,7,8,9,10,11,12,13}, 0))"),"#N/A")</f>
        <v>#N/A</v>
      </c>
      <c r="V2" s="11" t="str">
        <f ca="1">IFERROR(__xludf.DUMMYFUNCTION("""COMPUTED_VALUE"""),"#N/A")</f>
        <v>#N/A</v>
      </c>
      <c r="W2" s="11" t="str">
        <f ca="1">IFERROR(__xludf.DUMMYFUNCTION("""COMPUTED_VALUE"""),"#N/A")</f>
        <v>#N/A</v>
      </c>
      <c r="X2" s="11" t="str">
        <f ca="1">IFERROR(__xludf.DUMMYFUNCTION("""COMPUTED_VALUE"""),"#N/A")</f>
        <v>#N/A</v>
      </c>
      <c r="Y2" s="11" t="str">
        <f ca="1">IFERROR(__xludf.DUMMYFUNCTION("""COMPUTED_VALUE"""),"#N/A")</f>
        <v>#N/A</v>
      </c>
      <c r="Z2" s="12" t="str">
        <f ca="1">IFERROR(__xludf.DUMMYFUNCTION("""COMPUTED_VALUE"""),"#N/A")</f>
        <v>#N/A</v>
      </c>
      <c r="AA2" s="12" t="str">
        <f ca="1">IFERROR(__xludf.DUMMYFUNCTION("""COMPUTED_VALUE"""),"#N/A")</f>
        <v>#N/A</v>
      </c>
      <c r="AB2" s="12" t="str">
        <f ca="1">IFERROR(__xludf.DUMMYFUNCTION("""COMPUTED_VALUE"""),"#N/A")</f>
        <v>#N/A</v>
      </c>
      <c r="AC2" s="11" t="str">
        <f ca="1">IFERROR(__xludf.DUMMYFUNCTION("""COMPUTED_VALUE"""),"#N/A")</f>
        <v>#N/A</v>
      </c>
      <c r="AD2" s="12" t="str">
        <f ca="1">IFERROR(__xludf.DUMMYFUNCTION("""COMPUTED_VALUE"""),"#N/A")</f>
        <v>#N/A</v>
      </c>
      <c r="AE2" s="12" t="str">
        <f ca="1">IFERROR(__xludf.DUMMYFUNCTION("""COMPUTED_VALUE"""),"#N/A")</f>
        <v>#N/A</v>
      </c>
      <c r="AF2" s="12" t="str">
        <f ca="1">IFERROR(__xludf.DUMMYFUNCTION("""COMPUTED_VALUE"""),"#N/A")</f>
        <v>#N/A</v>
      </c>
      <c r="AG2" s="86" t="str">
        <f ca="1">IFERROR(__xludf.DUMMYFUNCTION("ArrayFormula(VLOOKUP(G2, IMPORTRANGE(""https://docs.google.com/spreadsheets/d/1Co934fvtviyaRiMsrIlT05Jaq7iiYq07aLvRr35KA48/edit?gid=173865642#gid=173865642"", ""'G10_Maths_Pri_LU'!G2:V2000""), {3, 4, 5, 6, 7, 8, 9, 10, 11, 12, 13, 14, 15, 16}, 0))"),"LU000210")</f>
        <v>LU000210</v>
      </c>
      <c r="AH2" s="83" t="str">
        <f ca="1">IFERROR(__xludf.DUMMYFUNCTION("""COMPUTED_VALUE"""),"Methods of prime factorisation")</f>
        <v>Methods of prime factorisation</v>
      </c>
      <c r="AI2" s="83" t="str">
        <f ca="1">IFERROR(__xludf.DUMMYFUNCTION("""COMPUTED_VALUE"""),"LU000196")</f>
        <v>LU000196</v>
      </c>
      <c r="AJ2" s="83" t="str">
        <f ca="1">IFERROR(__xludf.DUMMYFUNCTION("""COMPUTED_VALUE"""),"Composite number")</f>
        <v>Composite number</v>
      </c>
      <c r="AK2" s="83" t="str">
        <f ca="1">IFERROR(__xludf.DUMMYFUNCTION("""COMPUTED_VALUE"""),"LU000195")</f>
        <v>LU000195</v>
      </c>
      <c r="AL2" s="83" t="str">
        <f ca="1">IFERROR(__xludf.DUMMYFUNCTION("""COMPUTED_VALUE"""),"Prime number")</f>
        <v>Prime number</v>
      </c>
      <c r="AM2" s="83"/>
      <c r="AN2" s="83"/>
      <c r="AO2" s="83"/>
      <c r="AP2" s="83"/>
      <c r="AQ2" s="83"/>
      <c r="AR2" s="83"/>
      <c r="AS2" s="83"/>
      <c r="AT2" s="83"/>
    </row>
    <row r="3" spans="1:46" ht="92.4">
      <c r="A3" s="8" t="s">
        <v>247</v>
      </c>
      <c r="B3" s="82" t="s">
        <v>47</v>
      </c>
      <c r="C3" s="82" t="s">
        <v>1172</v>
      </c>
      <c r="D3" s="83" t="s">
        <v>732</v>
      </c>
      <c r="E3" s="82" t="s">
        <v>1173</v>
      </c>
      <c r="F3" s="82" t="s">
        <v>1174</v>
      </c>
      <c r="G3" s="87" t="s">
        <v>1177</v>
      </c>
      <c r="H3" s="88" t="s">
        <v>1178</v>
      </c>
      <c r="I3" s="68" t="str">
        <f t="shared" si="0"/>
        <v>LU000214.001</v>
      </c>
      <c r="J3" s="69" t="str">
        <f ca="1">IFERROR(__xludf.DUMMYFUNCTION("VLOOKUP(I3, IMPORTRANGE(""https://docs.google.com/spreadsheets/d/1yDAaXNsi4Mr5FtRQL4tbmSdIzhx6_m4wkOD7IG-k_eo/edit#gid=0"", ""Maths!M:N""), 2, FALSE)"),"(LU000214.001); Default - Remember")</f>
        <v>(LU000214.001); Default - Remember</v>
      </c>
      <c r="K3" s="69" t="str">
        <f t="shared" si="1"/>
        <v>LU000214.002</v>
      </c>
      <c r="L3" s="69" t="str">
        <f ca="1">IFERROR(__xludf.DUMMYFUNCTION("VLOOKUP(K3, IMPORTRANGE(""https://docs.google.com/spreadsheets/d/1yDAaXNsi4Mr5FtRQL4tbmSdIzhx6_m4wkOD7IG-k_eo/edit#gid=0"", ""Maths!M:N""), 2, FALSE)"),"Understand the relationship between LCM, HCF, and the product of two numbers,")</f>
        <v>Understand the relationship between LCM, HCF, and the product of two numbers,</v>
      </c>
      <c r="M3" s="69" t="str">
        <f t="shared" si="2"/>
        <v>LU000214.003</v>
      </c>
      <c r="N3" s="69" t="str">
        <f ca="1">IFERROR(__xludf.DUMMYFUNCTION("VLOOKUP(M3, IMPORTRANGE(""https://docs.google.com/spreadsheets/d/1yDAaXNsi4Mr5FtRQL4tbmSdIzhx6_m4wkOD7IG-k_eo/edit#gid=0"", ""Maths!M:N""), 2, FALSE)"),"Apply the relationship between LCM, HCF, and the product of numbers to solve problems")</f>
        <v>Apply the relationship between LCM, HCF, and the product of numbers to solve problems</v>
      </c>
      <c r="O3" s="69" t="str">
        <f t="shared" si="3"/>
        <v>LU000214.004</v>
      </c>
      <c r="P3" s="69" t="str">
        <f ca="1">IFERROR(__xludf.DUMMYFUNCTION("VLOOKUP(O3, IMPORTRANGE(""https://docs.google.com/spreadsheets/d/1yDAaXNsi4Mr5FtRQL4tbmSdIzhx6_m4wkOD7IG-k_eo/edit#gid=0"", ""Maths!M:N""), 2, FALSE)"),"")</f>
        <v/>
      </c>
      <c r="Q3" s="69" t="str">
        <f t="shared" si="4"/>
        <v>LU000214.005</v>
      </c>
      <c r="R3" s="69" t="str">
        <f ca="1">IFERROR(__xludf.DUMMYFUNCTION("VLOOKUP(Q3, IMPORTRANGE(""https://docs.google.com/spreadsheets/d/1yDAaXNsi4Mr5FtRQL4tbmSdIzhx6_m4wkOD7IG-k_eo/edit#gid=0"", ""Maths!M:N""), 2, FALSE)"),"Evaluate the usefulness of the relationship between LCM, HCF, and the product of numbers in simplifying calculations and solving problems involving divisibility.")</f>
        <v>Evaluate the usefulness of the relationship between LCM, HCF, and the product of numbers in simplifying calculations and solving problems involving divisibility.</v>
      </c>
      <c r="S3" s="69" t="str">
        <f t="shared" si="5"/>
        <v>LU000214.006</v>
      </c>
      <c r="T3" s="69" t="str">
        <f ca="1">IFERROR(__xludf.DUMMYFUNCTION("VLOOKUP(S3, IMPORTRANGE(""https://docs.google.com/spreadsheets/d/1yDAaXNsi4Mr5FtRQL4tbmSdIzhx6_m4wkOD7IG-k_eo/edit#gid=0"", ""Maths!M:N""), 2, FALSE)"),"Invent unique number sets and generate problems where the LCM, HCF, and product relationship is evident, showcasing an original application of the concept")</f>
        <v>Invent unique number sets and generate problems where the LCM, HCF, and product relationship is evident, showcasing an original application of the concept</v>
      </c>
      <c r="U3" s="11" t="str">
        <f ca="1">IFERROR(__xludf.DUMMYFUNCTION("ArrayFormula(VLOOKUP(G3, IMPORTRANGE(""https://docs.google.com/spreadsheets/d/1p7R4vtkWt5VOBim4ltsDG9KTzSjrtKXsMtQGXPHyND0/edit#gid=795171502"", ""'Filter 30_05_2024'!A1:M2000""), {2, 3, 4, 5,6,7,8,9,10,11,12,13}, 0))"),"")</f>
        <v/>
      </c>
      <c r="V3" s="11"/>
      <c r="W3" s="11"/>
      <c r="X3" s="11"/>
      <c r="Y3" s="11"/>
      <c r="Z3" s="12">
        <f ca="1">IFERROR(__xludf.DUMMYFUNCTION("""COMPUTED_VALUE"""),1)</f>
        <v>1</v>
      </c>
      <c r="AA3" s="12"/>
      <c r="AB3" s="12">
        <f ca="1">IFERROR(__xludf.DUMMYFUNCTION("""COMPUTED_VALUE"""),1)</f>
        <v>1</v>
      </c>
      <c r="AC3" s="11"/>
      <c r="AD3" s="12"/>
      <c r="AE3" s="12"/>
      <c r="AF3" s="12"/>
      <c r="AG3" s="86" t="str">
        <f ca="1">IFERROR(__xludf.DUMMYFUNCTION("ArrayFormula(VLOOKUP(G3, IMPORTRANGE(""https://docs.google.com/spreadsheets/d/1Co934fvtviyaRiMsrIlT05Jaq7iiYq07aLvRr35KA48/edit?gid=173865642#gid=173865642"", ""'G10_Maths_Pri_LU'!G2:V2000""), {3, 4, 5, 6, 7, 8, 9, 10, 11, 12, 13, 14, 15, 16}, 0))"),"LU000210")</f>
        <v>LU000210</v>
      </c>
      <c r="AH3" s="83" t="str">
        <f ca="1">IFERROR(__xludf.DUMMYFUNCTION("""COMPUTED_VALUE"""),"Methods of prime factorisation")</f>
        <v>Methods of prime factorisation</v>
      </c>
      <c r="AI3" s="83" t="str">
        <f ca="1">IFERROR(__xludf.DUMMYFUNCTION("""COMPUTED_VALUE"""),"LU000212")</f>
        <v>LU000212</v>
      </c>
      <c r="AJ3" s="83" t="str">
        <f ca="1">IFERROR(__xludf.DUMMYFUNCTION("""COMPUTED_VALUE"""),"Least Common Multiple (LCM) of the numbers")</f>
        <v>Least Common Multiple (LCM) of the numbers</v>
      </c>
      <c r="AK3" s="83" t="str">
        <f ca="1">IFERROR(__xludf.DUMMYFUNCTION("""COMPUTED_VALUE"""),"LU000211")</f>
        <v>LU000211</v>
      </c>
      <c r="AL3" s="83" t="str">
        <f ca="1">IFERROR(__xludf.DUMMYFUNCTION("""COMPUTED_VALUE"""),"Highest Common Factor (HCF) of the numbers")</f>
        <v>Highest Common Factor (HCF) of the numbers</v>
      </c>
      <c r="AM3" s="83"/>
      <c r="AN3" s="83"/>
      <c r="AO3" s="83"/>
      <c r="AP3" s="83"/>
      <c r="AQ3" s="83"/>
      <c r="AR3" s="83"/>
      <c r="AS3" s="83"/>
      <c r="AT3" s="83"/>
    </row>
    <row r="4" spans="1:46" ht="41.4">
      <c r="A4" s="8" t="s">
        <v>247</v>
      </c>
      <c r="B4" s="82" t="s">
        <v>47</v>
      </c>
      <c r="C4" s="82" t="s">
        <v>1172</v>
      </c>
      <c r="D4" s="83" t="s">
        <v>732</v>
      </c>
      <c r="E4" s="82" t="s">
        <v>1173</v>
      </c>
      <c r="F4" s="89" t="s">
        <v>1179</v>
      </c>
      <c r="G4" s="84" t="s">
        <v>1180</v>
      </c>
      <c r="H4" s="85" t="s">
        <v>1181</v>
      </c>
      <c r="I4" s="68" t="str">
        <f t="shared" si="0"/>
        <v>LU001425.001</v>
      </c>
      <c r="J4" s="69" t="str">
        <f ca="1">IFERROR(__xludf.DUMMYFUNCTION("VLOOKUP(I4, IMPORTRANGE(""https://docs.google.com/spreadsheets/d/1yDAaXNsi4Mr5FtRQL4tbmSdIzhx6_m4wkOD7IG-k_eo/edit#gid=0"", ""Maths!M:N""), 2, FALSE)"),"(LU001425.001); Default - Remember")</f>
        <v>(LU001425.001); Default - Remember</v>
      </c>
      <c r="K4" s="69" t="str">
        <f t="shared" si="1"/>
        <v>LU001425.002</v>
      </c>
      <c r="L4" s="69" t="str">
        <f ca="1">IFERROR(__xludf.DUMMYFUNCTION("VLOOKUP(K4, IMPORTRANGE(""https://docs.google.com/spreadsheets/d/1yDAaXNsi4Mr5FtRQL4tbmSdIzhx6_m4wkOD7IG-k_eo/edit#gid=0"", ""Maths!M:N""), 2, FALSE)"),"(LU001425.002); Default - Understand")</f>
        <v>(LU001425.002); Default - Understand</v>
      </c>
      <c r="M4" s="69" t="str">
        <f t="shared" si="2"/>
        <v>LU001425.003</v>
      </c>
      <c r="N4" s="69" t="str">
        <f ca="1">IFERROR(__xludf.DUMMYFUNCTION("VLOOKUP(M4, IMPORTRANGE(""https://docs.google.com/spreadsheets/d/1yDAaXNsi4Mr5FtRQL4tbmSdIzhx6_m4wkOD7IG-k_eo/edit#gid=0"", ""Maths!M:N""), 2, FALSE)"),"(LU001425.003); Default - Apply")</f>
        <v>(LU001425.003); Default - Apply</v>
      </c>
      <c r="O4" s="69" t="str">
        <f t="shared" si="3"/>
        <v>LU001425.004</v>
      </c>
      <c r="P4" s="69" t="str">
        <f ca="1">IFERROR(__xludf.DUMMYFUNCTION("VLOOKUP(O4, IMPORTRANGE(""https://docs.google.com/spreadsheets/d/1yDAaXNsi4Mr5FtRQL4tbmSdIzhx6_m4wkOD7IG-k_eo/edit#gid=0"", ""Maths!M:N""), 2, FALSE)"),"(LU001425.004); Default - Analyse")</f>
        <v>(LU001425.004); Default - Analyse</v>
      </c>
      <c r="Q4" s="69" t="str">
        <f t="shared" si="4"/>
        <v>LU001425.005</v>
      </c>
      <c r="R4" s="69" t="str">
        <f ca="1">IFERROR(__xludf.DUMMYFUNCTION("VLOOKUP(Q4, IMPORTRANGE(""https://docs.google.com/spreadsheets/d/1yDAaXNsi4Mr5FtRQL4tbmSdIzhx6_m4wkOD7IG-k_eo/edit#gid=0"", ""Maths!M:N""), 2, FALSE)"),"(LU001425.005); Default - Evaluate")</f>
        <v>(LU001425.005); Default - Evaluate</v>
      </c>
      <c r="S4" s="69" t="str">
        <f t="shared" si="5"/>
        <v>LU001425.006</v>
      </c>
      <c r="T4" s="69" t="str">
        <f ca="1">IFERROR(__xludf.DUMMYFUNCTION("VLOOKUP(S4, IMPORTRANGE(""https://docs.google.com/spreadsheets/d/1yDAaXNsi4Mr5FtRQL4tbmSdIzhx6_m4wkOD7IG-k_eo/edit#gid=0"", ""Maths!M:N""), 2, FALSE)"),"(LU001425.006); Default - Create")</f>
        <v>(LU001425.006); Default - Create</v>
      </c>
      <c r="U4" s="11" t="str">
        <f ca="1">IFERROR(__xludf.DUMMYFUNCTION("ArrayFormula(VLOOKUP(G4, IMPORTRANGE(""https://docs.google.com/spreadsheets/d/1p7R4vtkWt5VOBim4ltsDG9KTzSjrtKXsMtQGXPHyND0/edit#gid=795171502"", ""'Filter 30_05_2024'!A1:M2000""), {2, 3, 4, 5,6,7,8,9,10,11,12,13}, 0))"),"#N/A")</f>
        <v>#N/A</v>
      </c>
      <c r="V4" s="11" t="str">
        <f ca="1">IFERROR(__xludf.DUMMYFUNCTION("""COMPUTED_VALUE"""),"#N/A")</f>
        <v>#N/A</v>
      </c>
      <c r="W4" s="11" t="str">
        <f ca="1">IFERROR(__xludf.DUMMYFUNCTION("""COMPUTED_VALUE"""),"#N/A")</f>
        <v>#N/A</v>
      </c>
      <c r="X4" s="11" t="str">
        <f ca="1">IFERROR(__xludf.DUMMYFUNCTION("""COMPUTED_VALUE"""),"#N/A")</f>
        <v>#N/A</v>
      </c>
      <c r="Y4" s="11" t="str">
        <f ca="1">IFERROR(__xludf.DUMMYFUNCTION("""COMPUTED_VALUE"""),"#N/A")</f>
        <v>#N/A</v>
      </c>
      <c r="Z4" s="12" t="str">
        <f ca="1">IFERROR(__xludf.DUMMYFUNCTION("""COMPUTED_VALUE"""),"#N/A")</f>
        <v>#N/A</v>
      </c>
      <c r="AA4" s="12" t="str">
        <f ca="1">IFERROR(__xludf.DUMMYFUNCTION("""COMPUTED_VALUE"""),"#N/A")</f>
        <v>#N/A</v>
      </c>
      <c r="AB4" s="12" t="str">
        <f ca="1">IFERROR(__xludf.DUMMYFUNCTION("""COMPUTED_VALUE"""),"#N/A")</f>
        <v>#N/A</v>
      </c>
      <c r="AC4" s="11" t="str">
        <f ca="1">IFERROR(__xludf.DUMMYFUNCTION("""COMPUTED_VALUE"""),"#N/A")</f>
        <v>#N/A</v>
      </c>
      <c r="AD4" s="12" t="str">
        <f ca="1">IFERROR(__xludf.DUMMYFUNCTION("""COMPUTED_VALUE"""),"#N/A")</f>
        <v>#N/A</v>
      </c>
      <c r="AE4" s="12" t="str">
        <f ca="1">IFERROR(__xludf.DUMMYFUNCTION("""COMPUTED_VALUE"""),"#N/A")</f>
        <v>#N/A</v>
      </c>
      <c r="AF4" s="12" t="str">
        <f ca="1">IFERROR(__xludf.DUMMYFUNCTION("""COMPUTED_VALUE"""),"#N/A")</f>
        <v>#N/A</v>
      </c>
      <c r="AG4" s="86" t="str">
        <f ca="1">IFERROR(__xludf.DUMMYFUNCTION("ArrayFormula(VLOOKUP(G4, IMPORTRANGE(""https://docs.google.com/spreadsheets/d/1Co934fvtviyaRiMsrIlT05Jaq7iiYq07aLvRr35KA48/edit?gid=173865642#gid=173865642"", ""'G10_Maths_Pri_LU'!G2:V2000""), {3, 4, 5, 6, 7, 8, 9, 10, 11, 12, 13, 14, 15, 16}, 0))"),"LU001424")</f>
        <v>LU001424</v>
      </c>
      <c r="AH4" s="83" t="str">
        <f ca="1">IFERROR(__xludf.DUMMYFUNCTION("""COMPUTED_VALUE"""),"Theorem: Fundamental Theorem of Arithmetic")</f>
        <v>Theorem: Fundamental Theorem of Arithmetic</v>
      </c>
      <c r="AI4" s="83"/>
      <c r="AJ4" s="83"/>
      <c r="AK4" s="83"/>
      <c r="AL4" s="83"/>
      <c r="AM4" s="83"/>
      <c r="AN4" s="83"/>
      <c r="AO4" s="83"/>
      <c r="AP4" s="83"/>
      <c r="AQ4" s="83"/>
      <c r="AR4" s="83"/>
      <c r="AS4" s="83"/>
      <c r="AT4" s="83"/>
    </row>
    <row r="5" spans="1:46" ht="26.4">
      <c r="A5" s="8" t="s">
        <v>247</v>
      </c>
      <c r="B5" s="82" t="s">
        <v>47</v>
      </c>
      <c r="C5" s="82" t="s">
        <v>1172</v>
      </c>
      <c r="D5" s="83" t="s">
        <v>732</v>
      </c>
      <c r="E5" s="82" t="s">
        <v>1173</v>
      </c>
      <c r="F5" s="89" t="s">
        <v>1179</v>
      </c>
      <c r="G5" s="90" t="s">
        <v>1182</v>
      </c>
      <c r="H5" s="91" t="s">
        <v>1183</v>
      </c>
      <c r="I5" s="68" t="str">
        <f t="shared" si="0"/>
        <v>LU001426.001</v>
      </c>
      <c r="J5" s="69" t="str">
        <f ca="1">IFERROR(__xludf.DUMMYFUNCTION("VLOOKUP(I5, IMPORTRANGE(""https://docs.google.com/spreadsheets/d/1yDAaXNsi4Mr5FtRQL4tbmSdIzhx6_m4wkOD7IG-k_eo/edit#gid=0"", ""Maths!M:N""), 2, FALSE)"),"(LU001426.001); Default - Remember")</f>
        <v>(LU001426.001); Default - Remember</v>
      </c>
      <c r="K5" s="69" t="str">
        <f t="shared" si="1"/>
        <v>LU001426.002</v>
      </c>
      <c r="L5" s="69" t="str">
        <f ca="1">IFERROR(__xludf.DUMMYFUNCTION("VLOOKUP(K5, IMPORTRANGE(""https://docs.google.com/spreadsheets/d/1yDAaXNsi4Mr5FtRQL4tbmSdIzhx6_m4wkOD7IG-k_eo/edit#gid=0"", ""Maths!M:N""), 2, FALSE)"),"(LU001426.002); Default - Understand")</f>
        <v>(LU001426.002); Default - Understand</v>
      </c>
      <c r="M5" s="69" t="str">
        <f t="shared" si="2"/>
        <v>LU001426.003</v>
      </c>
      <c r="N5" s="69" t="str">
        <f ca="1">IFERROR(__xludf.DUMMYFUNCTION("VLOOKUP(M5, IMPORTRANGE(""https://docs.google.com/spreadsheets/d/1yDAaXNsi4Mr5FtRQL4tbmSdIzhx6_m4wkOD7IG-k_eo/edit#gid=0"", ""Maths!M:N""), 2, FALSE)"),"(LU001426.003); Default - Apply")</f>
        <v>(LU001426.003); Default - Apply</v>
      </c>
      <c r="O5" s="69" t="str">
        <f t="shared" si="3"/>
        <v>LU001426.004</v>
      </c>
      <c r="P5" s="69" t="str">
        <f ca="1">IFERROR(__xludf.DUMMYFUNCTION("VLOOKUP(O5, IMPORTRANGE(""https://docs.google.com/spreadsheets/d/1yDAaXNsi4Mr5FtRQL4tbmSdIzhx6_m4wkOD7IG-k_eo/edit#gid=0"", ""Maths!M:N""), 2, FALSE)"),"(LU001426.004); Default - Analyse")</f>
        <v>(LU001426.004); Default - Analyse</v>
      </c>
      <c r="Q5" s="69" t="str">
        <f t="shared" si="4"/>
        <v>LU001426.005</v>
      </c>
      <c r="R5" s="69" t="str">
        <f ca="1">IFERROR(__xludf.DUMMYFUNCTION("VLOOKUP(Q5, IMPORTRANGE(""https://docs.google.com/spreadsheets/d/1yDAaXNsi4Mr5FtRQL4tbmSdIzhx6_m4wkOD7IG-k_eo/edit#gid=0"", ""Maths!M:N""), 2, FALSE)"),"(LU001426.005); Default - Evaluate")</f>
        <v>(LU001426.005); Default - Evaluate</v>
      </c>
      <c r="S5" s="69" t="str">
        <f t="shared" si="5"/>
        <v>LU001426.006</v>
      </c>
      <c r="T5" s="69" t="str">
        <f ca="1">IFERROR(__xludf.DUMMYFUNCTION("VLOOKUP(S5, IMPORTRANGE(""https://docs.google.com/spreadsheets/d/1yDAaXNsi4Mr5FtRQL4tbmSdIzhx6_m4wkOD7IG-k_eo/edit#gid=0"", ""Maths!M:N""), 2, FALSE)"),"(LU001426.006); Default - Create")</f>
        <v>(LU001426.006); Default - Create</v>
      </c>
      <c r="U5" s="11" t="str">
        <f ca="1">IFERROR(__xludf.DUMMYFUNCTION("ArrayFormula(VLOOKUP(G5, IMPORTRANGE(""https://docs.google.com/spreadsheets/d/1p7R4vtkWt5VOBim4ltsDG9KTzSjrtKXsMtQGXPHyND0/edit#gid=795171502"", ""'Filter 30_05_2024'!A1:M2000""), {2, 3, 4, 5,6,7,8,9,10,11,12,13}, 0))"),"#N/A")</f>
        <v>#N/A</v>
      </c>
      <c r="V5" s="11" t="str">
        <f ca="1">IFERROR(__xludf.DUMMYFUNCTION("""COMPUTED_VALUE"""),"#N/A")</f>
        <v>#N/A</v>
      </c>
      <c r="W5" s="11" t="str">
        <f ca="1">IFERROR(__xludf.DUMMYFUNCTION("""COMPUTED_VALUE"""),"#N/A")</f>
        <v>#N/A</v>
      </c>
      <c r="X5" s="11" t="str">
        <f ca="1">IFERROR(__xludf.DUMMYFUNCTION("""COMPUTED_VALUE"""),"#N/A")</f>
        <v>#N/A</v>
      </c>
      <c r="Y5" s="11" t="str">
        <f ca="1">IFERROR(__xludf.DUMMYFUNCTION("""COMPUTED_VALUE"""),"#N/A")</f>
        <v>#N/A</v>
      </c>
      <c r="Z5" s="12" t="str">
        <f ca="1">IFERROR(__xludf.DUMMYFUNCTION("""COMPUTED_VALUE"""),"#N/A")</f>
        <v>#N/A</v>
      </c>
      <c r="AA5" s="12" t="str">
        <f ca="1">IFERROR(__xludf.DUMMYFUNCTION("""COMPUTED_VALUE"""),"#N/A")</f>
        <v>#N/A</v>
      </c>
      <c r="AB5" s="12" t="str">
        <f ca="1">IFERROR(__xludf.DUMMYFUNCTION("""COMPUTED_VALUE"""),"#N/A")</f>
        <v>#N/A</v>
      </c>
      <c r="AC5" s="11" t="str">
        <f ca="1">IFERROR(__xludf.DUMMYFUNCTION("""COMPUTED_VALUE"""),"#N/A")</f>
        <v>#N/A</v>
      </c>
      <c r="AD5" s="12" t="str">
        <f ca="1">IFERROR(__xludf.DUMMYFUNCTION("""COMPUTED_VALUE"""),"#N/A")</f>
        <v>#N/A</v>
      </c>
      <c r="AE5" s="12" t="str">
        <f ca="1">IFERROR(__xludf.DUMMYFUNCTION("""COMPUTED_VALUE"""),"#N/A")</f>
        <v>#N/A</v>
      </c>
      <c r="AF5" s="12" t="str">
        <f ca="1">IFERROR(__xludf.DUMMYFUNCTION("""COMPUTED_VALUE"""),"#N/A")</f>
        <v>#N/A</v>
      </c>
      <c r="AG5" s="86" t="str">
        <f ca="1">IFERROR(__xludf.DUMMYFUNCTION("ArrayFormula(VLOOKUP(G5, IMPORTRANGE(""https://docs.google.com/spreadsheets/d/1Co934fvtviyaRiMsrIlT05Jaq7iiYq07aLvRr35KA48/edit?gid=173865642#gid=173865642"", ""'G10_Maths_Pri_LU'!G2:V2000""), {3, 4, 5, 6, 7, 8, 9, 10, 11, 12, 13, 14, 15, 16}, 0))"),"LU001425")</f>
        <v>LU001425</v>
      </c>
      <c r="AH5" s="83" t="str">
        <f ca="1">IFERROR(__xludf.DUMMYFUNCTION("""COMPUTED_VALUE"""),"Theorem: Let p be a prime number. If p divides a^2, then p divides a, where a is a positive integer.")</f>
        <v>Theorem: Let p be a prime number. If p divides a^2, then p divides a, where a is a positive integer.</v>
      </c>
      <c r="AI5" s="83" t="str">
        <f ca="1">IFERROR(__xludf.DUMMYFUNCTION("""COMPUTED_VALUE"""),"LU001177")</f>
        <v>LU001177</v>
      </c>
      <c r="AJ5" s="83" t="str">
        <f ca="1">IFERROR(__xludf.DUMMYFUNCTION("""COMPUTED_VALUE"""),"Introduction to irrational numbers [definition, representation, characteristics, examples]")</f>
        <v>Introduction to irrational numbers [definition, representation, characteristics, examples]</v>
      </c>
      <c r="AK5" s="83" t="str">
        <f ca="1">IFERROR(__xludf.DUMMYFUNCTION("""COMPUTED_VALUE"""),"LU000209")</f>
        <v>LU000209</v>
      </c>
      <c r="AL5" s="83" t="str">
        <f ca="1">IFERROR(__xludf.DUMMYFUNCTION("""COMPUTED_VALUE"""),"Co-prime numbers")</f>
        <v>Co-prime numbers</v>
      </c>
      <c r="AM5" s="83"/>
      <c r="AN5" s="83"/>
      <c r="AO5" s="83"/>
      <c r="AP5" s="83"/>
      <c r="AQ5" s="83"/>
      <c r="AR5" s="83"/>
      <c r="AS5" s="83"/>
      <c r="AT5" s="83"/>
    </row>
    <row r="6" spans="1:46" ht="41.4">
      <c r="A6" s="8" t="s">
        <v>247</v>
      </c>
      <c r="B6" s="82" t="s">
        <v>47</v>
      </c>
      <c r="C6" s="82" t="s">
        <v>1172</v>
      </c>
      <c r="D6" s="83" t="s">
        <v>732</v>
      </c>
      <c r="E6" s="82" t="s">
        <v>1027</v>
      </c>
      <c r="F6" s="92" t="s">
        <v>1184</v>
      </c>
      <c r="G6" s="84" t="s">
        <v>1185</v>
      </c>
      <c r="H6" s="85" t="s">
        <v>1186</v>
      </c>
      <c r="I6" s="68" t="str">
        <f t="shared" si="0"/>
        <v>LU001431.001</v>
      </c>
      <c r="J6" s="69" t="str">
        <f ca="1">IFERROR(__xludf.DUMMYFUNCTION("VLOOKUP(I6, IMPORTRANGE(""https://docs.google.com/spreadsheets/d/1yDAaXNsi4Mr5FtRQL4tbmSdIzhx6_m4wkOD7IG-k_eo/edit#gid=0"", ""Maths!M:N""), 2, FALSE)"),"(LU001431.001); Default - Remember")</f>
        <v>(LU001431.001); Default - Remember</v>
      </c>
      <c r="K6" s="69" t="str">
        <f t="shared" si="1"/>
        <v>LU001431.002</v>
      </c>
      <c r="L6" s="69" t="str">
        <f ca="1">IFERROR(__xludf.DUMMYFUNCTION("VLOOKUP(K6, IMPORTRANGE(""https://docs.google.com/spreadsheets/d/1yDAaXNsi4Mr5FtRQL4tbmSdIzhx6_m4wkOD7IG-k_eo/edit#gid=0"", ""Maths!M:N""), 2, FALSE)"),"(LU001431.002); Default - Understand")</f>
        <v>(LU001431.002); Default - Understand</v>
      </c>
      <c r="M6" s="69" t="str">
        <f t="shared" si="2"/>
        <v>LU001431.003</v>
      </c>
      <c r="N6" s="69" t="str">
        <f ca="1">IFERROR(__xludf.DUMMYFUNCTION("VLOOKUP(M6, IMPORTRANGE(""https://docs.google.com/spreadsheets/d/1yDAaXNsi4Mr5FtRQL4tbmSdIzhx6_m4wkOD7IG-k_eo/edit#gid=0"", ""Maths!M:N""), 2, FALSE)"),"(LU001431.003); Default - Apply")</f>
        <v>(LU001431.003); Default - Apply</v>
      </c>
      <c r="O6" s="69" t="str">
        <f t="shared" si="3"/>
        <v>LU001431.004</v>
      </c>
      <c r="P6" s="69" t="str">
        <f ca="1">IFERROR(__xludf.DUMMYFUNCTION("VLOOKUP(O6, IMPORTRANGE(""https://docs.google.com/spreadsheets/d/1yDAaXNsi4Mr5FtRQL4tbmSdIzhx6_m4wkOD7IG-k_eo/edit#gid=0"", ""Maths!M:N""), 2, FALSE)"),"(LU001431.004); Default - Analyse")</f>
        <v>(LU001431.004); Default - Analyse</v>
      </c>
      <c r="Q6" s="69" t="str">
        <f t="shared" si="4"/>
        <v>LU001431.005</v>
      </c>
      <c r="R6" s="69" t="str">
        <f ca="1">IFERROR(__xludf.DUMMYFUNCTION("VLOOKUP(Q6, IMPORTRANGE(""https://docs.google.com/spreadsheets/d/1yDAaXNsi4Mr5FtRQL4tbmSdIzhx6_m4wkOD7IG-k_eo/edit#gid=0"", ""Maths!M:N""), 2, FALSE)"),"(LU001431.005); Default - Evaluate")</f>
        <v>(LU001431.005); Default - Evaluate</v>
      </c>
      <c r="S6" s="69" t="str">
        <f t="shared" si="5"/>
        <v>LU001431.006</v>
      </c>
      <c r="T6" s="69" t="str">
        <f ca="1">IFERROR(__xludf.DUMMYFUNCTION("VLOOKUP(S6, IMPORTRANGE(""https://docs.google.com/spreadsheets/d/1yDAaXNsi4Mr5FtRQL4tbmSdIzhx6_m4wkOD7IG-k_eo/edit#gid=0"", ""Maths!M:N""), 2, FALSE)"),"(LU001431.006); Default - Create")</f>
        <v>(LU001431.006); Default - Create</v>
      </c>
      <c r="U6" s="11" t="str">
        <f ca="1">IFERROR(__xludf.DUMMYFUNCTION("ArrayFormula(VLOOKUP(G6, IMPORTRANGE(""https://docs.google.com/spreadsheets/d/1p7R4vtkWt5VOBim4ltsDG9KTzSjrtKXsMtQGXPHyND0/edit#gid=795171502"", ""'Filter 30_05_2024'!A1:M2000""), {2, 3, 4, 5,6,7,8,9,10,11,12,13}, 0))"),"#N/A")</f>
        <v>#N/A</v>
      </c>
      <c r="V6" s="11" t="str">
        <f ca="1">IFERROR(__xludf.DUMMYFUNCTION("""COMPUTED_VALUE"""),"#N/A")</f>
        <v>#N/A</v>
      </c>
      <c r="W6" s="11" t="str">
        <f ca="1">IFERROR(__xludf.DUMMYFUNCTION("""COMPUTED_VALUE"""),"#N/A")</f>
        <v>#N/A</v>
      </c>
      <c r="X6" s="11" t="str">
        <f ca="1">IFERROR(__xludf.DUMMYFUNCTION("""COMPUTED_VALUE"""),"#N/A")</f>
        <v>#N/A</v>
      </c>
      <c r="Y6" s="11" t="str">
        <f ca="1">IFERROR(__xludf.DUMMYFUNCTION("""COMPUTED_VALUE"""),"#N/A")</f>
        <v>#N/A</v>
      </c>
      <c r="Z6" s="12" t="str">
        <f ca="1">IFERROR(__xludf.DUMMYFUNCTION("""COMPUTED_VALUE"""),"#N/A")</f>
        <v>#N/A</v>
      </c>
      <c r="AA6" s="12" t="str">
        <f ca="1">IFERROR(__xludf.DUMMYFUNCTION("""COMPUTED_VALUE"""),"#N/A")</f>
        <v>#N/A</v>
      </c>
      <c r="AB6" s="12" t="str">
        <f ca="1">IFERROR(__xludf.DUMMYFUNCTION("""COMPUTED_VALUE"""),"#N/A")</f>
        <v>#N/A</v>
      </c>
      <c r="AC6" s="11" t="str">
        <f ca="1">IFERROR(__xludf.DUMMYFUNCTION("""COMPUTED_VALUE"""),"#N/A")</f>
        <v>#N/A</v>
      </c>
      <c r="AD6" s="12" t="str">
        <f ca="1">IFERROR(__xludf.DUMMYFUNCTION("""COMPUTED_VALUE"""),"#N/A")</f>
        <v>#N/A</v>
      </c>
      <c r="AE6" s="12" t="str">
        <f ca="1">IFERROR(__xludf.DUMMYFUNCTION("""COMPUTED_VALUE"""),"#N/A")</f>
        <v>#N/A</v>
      </c>
      <c r="AF6" s="12" t="str">
        <f ca="1">IFERROR(__xludf.DUMMYFUNCTION("""COMPUTED_VALUE"""),"#N/A")</f>
        <v>#N/A</v>
      </c>
      <c r="AG6" s="86" t="str">
        <f ca="1">IFERROR(__xludf.DUMMYFUNCTION("ArrayFormula(VLOOKUP(G6, IMPORTRANGE(""https://docs.google.com/spreadsheets/d/1Co934fvtviyaRiMsrIlT05Jaq7iiYq07aLvRr35KA48/edit?gid=173865642#gid=173865642"", ""'G10_Maths_Pri_LU'!G2:V2000""), {3, 4, 5, 6, 7, 8, 9, 10, 11, 12, 13, 14, 15, 16}, 0))"),"LU001265")</f>
        <v>LU001265</v>
      </c>
      <c r="AH6" s="83" t="str">
        <f ca="1">IFERROR(__xludf.DUMMYFUNCTION("""COMPUTED_VALUE"""),"Zeroes of a polynomial p(x)")</f>
        <v>Zeroes of a polynomial p(x)</v>
      </c>
      <c r="AI6" s="83" t="str">
        <f ca="1">IFERROR(__xludf.DUMMYFUNCTION("""COMPUTED_VALUE"""),"LU000763")</f>
        <v>LU000763</v>
      </c>
      <c r="AJ6" s="83" t="str">
        <f ca="1">IFERROR(__xludf.DUMMYFUNCTION("""COMPUTED_VALUE"""),"Definition of linear polynomial")</f>
        <v>Definition of linear polynomial</v>
      </c>
      <c r="AK6" s="83"/>
      <c r="AL6" s="83"/>
      <c r="AM6" s="83"/>
      <c r="AN6" s="83"/>
      <c r="AO6" s="83"/>
      <c r="AP6" s="83"/>
      <c r="AQ6" s="83"/>
      <c r="AR6" s="83"/>
      <c r="AS6" s="83"/>
      <c r="AT6" s="83"/>
    </row>
    <row r="7" spans="1:46" ht="41.4">
      <c r="A7" s="8" t="s">
        <v>247</v>
      </c>
      <c r="B7" s="82" t="s">
        <v>47</v>
      </c>
      <c r="C7" s="82" t="s">
        <v>1172</v>
      </c>
      <c r="D7" s="83" t="s">
        <v>732</v>
      </c>
      <c r="E7" s="82" t="s">
        <v>1027</v>
      </c>
      <c r="F7" s="92" t="s">
        <v>1184</v>
      </c>
      <c r="G7" s="84" t="s">
        <v>1187</v>
      </c>
      <c r="H7" s="85" t="s">
        <v>1188</v>
      </c>
      <c r="I7" s="68" t="str">
        <f t="shared" si="0"/>
        <v>LU001433.001</v>
      </c>
      <c r="J7" s="69" t="str">
        <f ca="1">IFERROR(__xludf.DUMMYFUNCTION("VLOOKUP(I7, IMPORTRANGE(""https://docs.google.com/spreadsheets/d/1yDAaXNsi4Mr5FtRQL4tbmSdIzhx6_m4wkOD7IG-k_eo/edit#gid=0"", ""Maths!M:N""), 2, FALSE)"),"(LU001433.001); Default - Remember")</f>
        <v>(LU001433.001); Default - Remember</v>
      </c>
      <c r="K7" s="69" t="str">
        <f t="shared" si="1"/>
        <v>LU001433.002</v>
      </c>
      <c r="L7" s="69" t="str">
        <f ca="1">IFERROR(__xludf.DUMMYFUNCTION("VLOOKUP(K7, IMPORTRANGE(""https://docs.google.com/spreadsheets/d/1yDAaXNsi4Mr5FtRQL4tbmSdIzhx6_m4wkOD7IG-k_eo/edit#gid=0"", ""Maths!M:N""), 2, FALSE)"),"(LU001433.002); Default - Understand")</f>
        <v>(LU001433.002); Default - Understand</v>
      </c>
      <c r="M7" s="69" t="str">
        <f t="shared" si="2"/>
        <v>LU001433.003</v>
      </c>
      <c r="N7" s="69" t="str">
        <f ca="1">IFERROR(__xludf.DUMMYFUNCTION("VLOOKUP(M7, IMPORTRANGE(""https://docs.google.com/spreadsheets/d/1yDAaXNsi4Mr5FtRQL4tbmSdIzhx6_m4wkOD7IG-k_eo/edit#gid=0"", ""Maths!M:N""), 2, FALSE)"),"(LU001433.003); Default - Apply")</f>
        <v>(LU001433.003); Default - Apply</v>
      </c>
      <c r="O7" s="69" t="str">
        <f t="shared" si="3"/>
        <v>LU001433.004</v>
      </c>
      <c r="P7" s="69" t="str">
        <f ca="1">IFERROR(__xludf.DUMMYFUNCTION("VLOOKUP(O7, IMPORTRANGE(""https://docs.google.com/spreadsheets/d/1yDAaXNsi4Mr5FtRQL4tbmSdIzhx6_m4wkOD7IG-k_eo/edit#gid=0"", ""Maths!M:N""), 2, FALSE)"),"(LU001433.004); Default - Analyse")</f>
        <v>(LU001433.004); Default - Analyse</v>
      </c>
      <c r="Q7" s="69" t="str">
        <f t="shared" si="4"/>
        <v>LU001433.005</v>
      </c>
      <c r="R7" s="69" t="str">
        <f ca="1">IFERROR(__xludf.DUMMYFUNCTION("VLOOKUP(Q7, IMPORTRANGE(""https://docs.google.com/spreadsheets/d/1yDAaXNsi4Mr5FtRQL4tbmSdIzhx6_m4wkOD7IG-k_eo/edit#gid=0"", ""Maths!M:N""), 2, FALSE)"),"(LU001433.005); Default - Evaluate")</f>
        <v>(LU001433.005); Default - Evaluate</v>
      </c>
      <c r="S7" s="69" t="str">
        <f t="shared" si="5"/>
        <v>LU001433.006</v>
      </c>
      <c r="T7" s="69" t="str">
        <f ca="1">IFERROR(__xludf.DUMMYFUNCTION("VLOOKUP(S7, IMPORTRANGE(""https://docs.google.com/spreadsheets/d/1yDAaXNsi4Mr5FtRQL4tbmSdIzhx6_m4wkOD7IG-k_eo/edit#gid=0"", ""Maths!M:N""), 2, FALSE)"),"(LU001433.006); Default - Create")</f>
        <v>(LU001433.006); Default - Create</v>
      </c>
      <c r="U7" s="11" t="str">
        <f ca="1">IFERROR(__xludf.DUMMYFUNCTION("ArrayFormula(VLOOKUP(G7, IMPORTRANGE(""https://docs.google.com/spreadsheets/d/1p7R4vtkWt5VOBim4ltsDG9KTzSjrtKXsMtQGXPHyND0/edit#gid=795171502"", ""'Filter 30_05_2024'!A1:M2000""), {2, 3, 4, 5,6,7,8,9,10,11,12,13}, 0))"),"#N/A")</f>
        <v>#N/A</v>
      </c>
      <c r="V7" s="11" t="str">
        <f ca="1">IFERROR(__xludf.DUMMYFUNCTION("""COMPUTED_VALUE"""),"#N/A")</f>
        <v>#N/A</v>
      </c>
      <c r="W7" s="11" t="str">
        <f ca="1">IFERROR(__xludf.DUMMYFUNCTION("""COMPUTED_VALUE"""),"#N/A")</f>
        <v>#N/A</v>
      </c>
      <c r="X7" s="11" t="str">
        <f ca="1">IFERROR(__xludf.DUMMYFUNCTION("""COMPUTED_VALUE"""),"#N/A")</f>
        <v>#N/A</v>
      </c>
      <c r="Y7" s="11" t="str">
        <f ca="1">IFERROR(__xludf.DUMMYFUNCTION("""COMPUTED_VALUE"""),"#N/A")</f>
        <v>#N/A</v>
      </c>
      <c r="Z7" s="12" t="str">
        <f ca="1">IFERROR(__xludf.DUMMYFUNCTION("""COMPUTED_VALUE"""),"#N/A")</f>
        <v>#N/A</v>
      </c>
      <c r="AA7" s="12" t="str">
        <f ca="1">IFERROR(__xludf.DUMMYFUNCTION("""COMPUTED_VALUE"""),"#N/A")</f>
        <v>#N/A</v>
      </c>
      <c r="AB7" s="12" t="str">
        <f ca="1">IFERROR(__xludf.DUMMYFUNCTION("""COMPUTED_VALUE"""),"#N/A")</f>
        <v>#N/A</v>
      </c>
      <c r="AC7" s="11" t="str">
        <f ca="1">IFERROR(__xludf.DUMMYFUNCTION("""COMPUTED_VALUE"""),"#N/A")</f>
        <v>#N/A</v>
      </c>
      <c r="AD7" s="12" t="str">
        <f ca="1">IFERROR(__xludf.DUMMYFUNCTION("""COMPUTED_VALUE"""),"#N/A")</f>
        <v>#N/A</v>
      </c>
      <c r="AE7" s="12" t="str">
        <f ca="1">IFERROR(__xludf.DUMMYFUNCTION("""COMPUTED_VALUE"""),"#N/A")</f>
        <v>#N/A</v>
      </c>
      <c r="AF7" s="12" t="str">
        <f ca="1">IFERROR(__xludf.DUMMYFUNCTION("""COMPUTED_VALUE"""),"#N/A")</f>
        <v>#N/A</v>
      </c>
      <c r="AG7" s="86" t="str">
        <f ca="1">IFERROR(__xludf.DUMMYFUNCTION("ArrayFormula(VLOOKUP(G7, IMPORTRANGE(""https://docs.google.com/spreadsheets/d/1Co934fvtviyaRiMsrIlT05Jaq7iiYq07aLvRr35KA48/edit?gid=173865642#gid=173865642"", ""'G10_Maths_Pri_LU'!G2:V2000""), {3, 4, 5, 6, 7, 8, 9, 10, 11, 12, 13, 14, 15, 16}, 0))"),"LU001431")</f>
        <v>LU001431</v>
      </c>
      <c r="AH7" s="83" t="str">
        <f ca="1">IFERROR(__xludf.DUMMYFUNCTION("""COMPUTED_VALUE"""),"Geometrical meaning of zero of a linear polynomial")</f>
        <v>Geometrical meaning of zero of a linear polynomial</v>
      </c>
      <c r="AI7" s="83" t="str">
        <f ca="1">IFERROR(__xludf.DUMMYFUNCTION("""COMPUTED_VALUE"""),"LU000762")</f>
        <v>LU000762</v>
      </c>
      <c r="AJ7" s="83" t="str">
        <f ca="1">IFERROR(__xludf.DUMMYFUNCTION("""COMPUTED_VALUE"""),"Definition of quadratic polynomial")</f>
        <v>Definition of quadratic polynomial</v>
      </c>
      <c r="AK7" s="83"/>
      <c r="AL7" s="83"/>
      <c r="AM7" s="83"/>
      <c r="AN7" s="83"/>
      <c r="AO7" s="83"/>
      <c r="AP7" s="83"/>
      <c r="AQ7" s="83"/>
      <c r="AR7" s="83"/>
      <c r="AS7" s="83"/>
      <c r="AT7" s="83"/>
    </row>
    <row r="8" spans="1:46" ht="41.4">
      <c r="A8" s="8" t="s">
        <v>247</v>
      </c>
      <c r="B8" s="82" t="s">
        <v>47</v>
      </c>
      <c r="C8" s="82" t="s">
        <v>1172</v>
      </c>
      <c r="D8" s="83" t="s">
        <v>732</v>
      </c>
      <c r="E8" s="82" t="s">
        <v>1027</v>
      </c>
      <c r="F8" s="92" t="s">
        <v>1189</v>
      </c>
      <c r="G8" s="90" t="s">
        <v>1190</v>
      </c>
      <c r="H8" s="91" t="s">
        <v>1191</v>
      </c>
      <c r="I8" s="68" t="str">
        <f t="shared" si="0"/>
        <v>LU001434.001</v>
      </c>
      <c r="J8" s="69" t="str">
        <f ca="1">IFERROR(__xludf.DUMMYFUNCTION("VLOOKUP(I8, IMPORTRANGE(""https://docs.google.com/spreadsheets/d/1yDAaXNsi4Mr5FtRQL4tbmSdIzhx6_m4wkOD7IG-k_eo/edit#gid=0"", ""Maths!M:N""), 2, FALSE)"),"(LU001434.001); Default - Remember")</f>
        <v>(LU001434.001); Default - Remember</v>
      </c>
      <c r="K8" s="69" t="str">
        <f t="shared" si="1"/>
        <v>LU001434.002</v>
      </c>
      <c r="L8" s="69" t="str">
        <f ca="1">IFERROR(__xludf.DUMMYFUNCTION("VLOOKUP(K8, IMPORTRANGE(""https://docs.google.com/spreadsheets/d/1yDAaXNsi4Mr5FtRQL4tbmSdIzhx6_m4wkOD7IG-k_eo/edit#gid=0"", ""Maths!M:N""), 2, FALSE)"),"(LU001434.002); Default - Understand")</f>
        <v>(LU001434.002); Default - Understand</v>
      </c>
      <c r="M8" s="69" t="str">
        <f t="shared" si="2"/>
        <v>LU001434.003</v>
      </c>
      <c r="N8" s="69" t="str">
        <f ca="1">IFERROR(__xludf.DUMMYFUNCTION("VLOOKUP(M8, IMPORTRANGE(""https://docs.google.com/spreadsheets/d/1yDAaXNsi4Mr5FtRQL4tbmSdIzhx6_m4wkOD7IG-k_eo/edit#gid=0"", ""Maths!M:N""), 2, FALSE)"),"(LU001434.003); Default - Apply")</f>
        <v>(LU001434.003); Default - Apply</v>
      </c>
      <c r="O8" s="69" t="str">
        <f t="shared" si="3"/>
        <v>LU001434.004</v>
      </c>
      <c r="P8" s="69" t="str">
        <f ca="1">IFERROR(__xludf.DUMMYFUNCTION("VLOOKUP(O8, IMPORTRANGE(""https://docs.google.com/spreadsheets/d/1yDAaXNsi4Mr5FtRQL4tbmSdIzhx6_m4wkOD7IG-k_eo/edit#gid=0"", ""Maths!M:N""), 2, FALSE)"),"(LU001434.004); Default - Analyse")</f>
        <v>(LU001434.004); Default - Analyse</v>
      </c>
      <c r="Q8" s="69" t="str">
        <f t="shared" si="4"/>
        <v>LU001434.005</v>
      </c>
      <c r="R8" s="69" t="str">
        <f ca="1">IFERROR(__xludf.DUMMYFUNCTION("VLOOKUP(Q8, IMPORTRANGE(""https://docs.google.com/spreadsheets/d/1yDAaXNsi4Mr5FtRQL4tbmSdIzhx6_m4wkOD7IG-k_eo/edit#gid=0"", ""Maths!M:N""), 2, FALSE)"),"(LU001434.005); Default - Evaluate")</f>
        <v>(LU001434.005); Default - Evaluate</v>
      </c>
      <c r="S8" s="69" t="str">
        <f t="shared" si="5"/>
        <v>LU001434.006</v>
      </c>
      <c r="T8" s="69" t="str">
        <f ca="1">IFERROR(__xludf.DUMMYFUNCTION("VLOOKUP(S8, IMPORTRANGE(""https://docs.google.com/spreadsheets/d/1yDAaXNsi4Mr5FtRQL4tbmSdIzhx6_m4wkOD7IG-k_eo/edit#gid=0"", ""Maths!M:N""), 2, FALSE)"),"(LU001434.006); Default - Create")</f>
        <v>(LU001434.006); Default - Create</v>
      </c>
      <c r="U8" s="11" t="str">
        <f ca="1">IFERROR(__xludf.DUMMYFUNCTION("ArrayFormula(VLOOKUP(G8, IMPORTRANGE(""https://docs.google.com/spreadsheets/d/1p7R4vtkWt5VOBim4ltsDG9KTzSjrtKXsMtQGXPHyND0/edit#gid=795171502"", ""'Filter 30_05_2024'!A1:M2000""), {2, 3, 4, 5,6,7,8,9,10,11,12,13}, 0))"),"#N/A")</f>
        <v>#N/A</v>
      </c>
      <c r="V8" s="11" t="str">
        <f ca="1">IFERROR(__xludf.DUMMYFUNCTION("""COMPUTED_VALUE"""),"#N/A")</f>
        <v>#N/A</v>
      </c>
      <c r="W8" s="11" t="str">
        <f ca="1">IFERROR(__xludf.DUMMYFUNCTION("""COMPUTED_VALUE"""),"#N/A")</f>
        <v>#N/A</v>
      </c>
      <c r="X8" s="11" t="str">
        <f ca="1">IFERROR(__xludf.DUMMYFUNCTION("""COMPUTED_VALUE"""),"#N/A")</f>
        <v>#N/A</v>
      </c>
      <c r="Y8" s="11" t="str">
        <f ca="1">IFERROR(__xludf.DUMMYFUNCTION("""COMPUTED_VALUE"""),"#N/A")</f>
        <v>#N/A</v>
      </c>
      <c r="Z8" s="12" t="str">
        <f ca="1">IFERROR(__xludf.DUMMYFUNCTION("""COMPUTED_VALUE"""),"#N/A")</f>
        <v>#N/A</v>
      </c>
      <c r="AA8" s="12" t="str">
        <f ca="1">IFERROR(__xludf.DUMMYFUNCTION("""COMPUTED_VALUE"""),"#N/A")</f>
        <v>#N/A</v>
      </c>
      <c r="AB8" s="12" t="str">
        <f ca="1">IFERROR(__xludf.DUMMYFUNCTION("""COMPUTED_VALUE"""),"#N/A")</f>
        <v>#N/A</v>
      </c>
      <c r="AC8" s="11" t="str">
        <f ca="1">IFERROR(__xludf.DUMMYFUNCTION("""COMPUTED_VALUE"""),"#N/A")</f>
        <v>#N/A</v>
      </c>
      <c r="AD8" s="12" t="str">
        <f ca="1">IFERROR(__xludf.DUMMYFUNCTION("""COMPUTED_VALUE"""),"#N/A")</f>
        <v>#N/A</v>
      </c>
      <c r="AE8" s="12" t="str">
        <f ca="1">IFERROR(__xludf.DUMMYFUNCTION("""COMPUTED_VALUE"""),"#N/A")</f>
        <v>#N/A</v>
      </c>
      <c r="AF8" s="12" t="str">
        <f ca="1">IFERROR(__xludf.DUMMYFUNCTION("""COMPUTED_VALUE"""),"#N/A")</f>
        <v>#N/A</v>
      </c>
      <c r="AG8" s="86" t="str">
        <f ca="1">IFERROR(__xludf.DUMMYFUNCTION("ArrayFormula(VLOOKUP(G8, IMPORTRANGE(""https://docs.google.com/spreadsheets/d/1Co934fvtviyaRiMsrIlT05Jaq7iiYq07aLvRr35KA48/edit?gid=173865642#gid=173865642"", ""'G10_Maths_Pri_LU'!G2:V2000""), {3, 4, 5, 6, 7, 8, 9, 10, 11, 12, 13, 14, 15, 16}, 0))"),"LU001433")</f>
        <v>LU001433</v>
      </c>
      <c r="AH8" s="83" t="str">
        <f ca="1">IFERROR(__xludf.DUMMYFUNCTION("""COMPUTED_VALUE"""),"Geometrical meaning of the zeroes of a quadratic polynomial")</f>
        <v>Geometrical meaning of the zeroes of a quadratic polynomial</v>
      </c>
      <c r="AI8" s="83" t="str">
        <f ca="1">IFERROR(__xludf.DUMMYFUNCTION("""COMPUTED_VALUE"""),"LU000764")</f>
        <v>LU000764</v>
      </c>
      <c r="AJ8" s="83" t="str">
        <f ca="1">IFERROR(__xludf.DUMMYFUNCTION("""COMPUTED_VALUE"""),"Definition of cubic polynomial")</f>
        <v>Definition of cubic polynomial</v>
      </c>
      <c r="AK8" s="83"/>
      <c r="AL8" s="83"/>
      <c r="AM8" s="83"/>
      <c r="AN8" s="83"/>
      <c r="AO8" s="83"/>
      <c r="AP8" s="83"/>
      <c r="AQ8" s="83"/>
      <c r="AR8" s="83"/>
      <c r="AS8" s="83"/>
      <c r="AT8" s="83"/>
    </row>
    <row r="9" spans="1:46" ht="41.4">
      <c r="A9" s="8" t="s">
        <v>247</v>
      </c>
      <c r="B9" s="82" t="s">
        <v>47</v>
      </c>
      <c r="C9" s="82" t="s">
        <v>1172</v>
      </c>
      <c r="D9" s="83" t="s">
        <v>732</v>
      </c>
      <c r="E9" s="82" t="s">
        <v>1027</v>
      </c>
      <c r="F9" s="92" t="s">
        <v>1189</v>
      </c>
      <c r="G9" s="84" t="s">
        <v>1192</v>
      </c>
      <c r="H9" s="85" t="s">
        <v>1193</v>
      </c>
      <c r="I9" s="68" t="str">
        <f t="shared" si="0"/>
        <v>LU001435.001</v>
      </c>
      <c r="J9" s="69" t="str">
        <f ca="1">IFERROR(__xludf.DUMMYFUNCTION("VLOOKUP(I9, IMPORTRANGE(""https://docs.google.com/spreadsheets/d/1yDAaXNsi4Mr5FtRQL4tbmSdIzhx6_m4wkOD7IG-k_eo/edit#gid=0"", ""Maths!M:N""), 2, FALSE)"),"(LU001435.001); Default - Remember")</f>
        <v>(LU001435.001); Default - Remember</v>
      </c>
      <c r="K9" s="69" t="str">
        <f t="shared" si="1"/>
        <v>LU001435.002</v>
      </c>
      <c r="L9" s="69" t="str">
        <f ca="1">IFERROR(__xludf.DUMMYFUNCTION("VLOOKUP(K9, IMPORTRANGE(""https://docs.google.com/spreadsheets/d/1yDAaXNsi4Mr5FtRQL4tbmSdIzhx6_m4wkOD7IG-k_eo/edit#gid=0"", ""Maths!M:N""), 2, FALSE)"),"(LU001435.002); Default - Understand")</f>
        <v>(LU001435.002); Default - Understand</v>
      </c>
      <c r="M9" s="69" t="str">
        <f t="shared" si="2"/>
        <v>LU001435.003</v>
      </c>
      <c r="N9" s="69" t="str">
        <f ca="1">IFERROR(__xludf.DUMMYFUNCTION("VLOOKUP(M9, IMPORTRANGE(""https://docs.google.com/spreadsheets/d/1yDAaXNsi4Mr5FtRQL4tbmSdIzhx6_m4wkOD7IG-k_eo/edit#gid=0"", ""Maths!M:N""), 2, FALSE)"),"(LU001435.003); Default - Apply")</f>
        <v>(LU001435.003); Default - Apply</v>
      </c>
      <c r="O9" s="69" t="str">
        <f t="shared" si="3"/>
        <v>LU001435.004</v>
      </c>
      <c r="P9" s="69" t="str">
        <f ca="1">IFERROR(__xludf.DUMMYFUNCTION("VLOOKUP(O9, IMPORTRANGE(""https://docs.google.com/spreadsheets/d/1yDAaXNsi4Mr5FtRQL4tbmSdIzhx6_m4wkOD7IG-k_eo/edit#gid=0"", ""Maths!M:N""), 2, FALSE)"),"(LU001435.004); Default - Analyse")</f>
        <v>(LU001435.004); Default - Analyse</v>
      </c>
      <c r="Q9" s="69" t="str">
        <f t="shared" si="4"/>
        <v>LU001435.005</v>
      </c>
      <c r="R9" s="69" t="str">
        <f ca="1">IFERROR(__xludf.DUMMYFUNCTION("VLOOKUP(Q9, IMPORTRANGE(""https://docs.google.com/spreadsheets/d/1yDAaXNsi4Mr5FtRQL4tbmSdIzhx6_m4wkOD7IG-k_eo/edit#gid=0"", ""Maths!M:N""), 2, FALSE)"),"(LU001435.005); Default - Evaluate")</f>
        <v>(LU001435.005); Default - Evaluate</v>
      </c>
      <c r="S9" s="69" t="str">
        <f t="shared" si="5"/>
        <v>LU001435.006</v>
      </c>
      <c r="T9" s="69" t="str">
        <f ca="1">IFERROR(__xludf.DUMMYFUNCTION("VLOOKUP(S9, IMPORTRANGE(""https://docs.google.com/spreadsheets/d/1yDAaXNsi4Mr5FtRQL4tbmSdIzhx6_m4wkOD7IG-k_eo/edit#gid=0"", ""Maths!M:N""), 2, FALSE)"),"(LU001435.006); Default - Create")</f>
        <v>(LU001435.006); Default - Create</v>
      </c>
      <c r="U9" s="11" t="str">
        <f ca="1">IFERROR(__xludf.DUMMYFUNCTION("ArrayFormula(VLOOKUP(G9, IMPORTRANGE(""https://docs.google.com/spreadsheets/d/1p7R4vtkWt5VOBim4ltsDG9KTzSjrtKXsMtQGXPHyND0/edit#gid=795171502"", ""'Filter 30_05_2024'!A1:M2000""), {2, 3, 4, 5,6,7,8,9,10,11,12,13}, 0))"),"#N/A")</f>
        <v>#N/A</v>
      </c>
      <c r="V9" s="11" t="str">
        <f ca="1">IFERROR(__xludf.DUMMYFUNCTION("""COMPUTED_VALUE"""),"#N/A")</f>
        <v>#N/A</v>
      </c>
      <c r="W9" s="11" t="str">
        <f ca="1">IFERROR(__xludf.DUMMYFUNCTION("""COMPUTED_VALUE"""),"#N/A")</f>
        <v>#N/A</v>
      </c>
      <c r="X9" s="11" t="str">
        <f ca="1">IFERROR(__xludf.DUMMYFUNCTION("""COMPUTED_VALUE"""),"#N/A")</f>
        <v>#N/A</v>
      </c>
      <c r="Y9" s="11" t="str">
        <f ca="1">IFERROR(__xludf.DUMMYFUNCTION("""COMPUTED_VALUE"""),"#N/A")</f>
        <v>#N/A</v>
      </c>
      <c r="Z9" s="12" t="str">
        <f ca="1">IFERROR(__xludf.DUMMYFUNCTION("""COMPUTED_VALUE"""),"#N/A")</f>
        <v>#N/A</v>
      </c>
      <c r="AA9" s="12" t="str">
        <f ca="1">IFERROR(__xludf.DUMMYFUNCTION("""COMPUTED_VALUE"""),"#N/A")</f>
        <v>#N/A</v>
      </c>
      <c r="AB9" s="12" t="str">
        <f ca="1">IFERROR(__xludf.DUMMYFUNCTION("""COMPUTED_VALUE"""),"#N/A")</f>
        <v>#N/A</v>
      </c>
      <c r="AC9" s="11" t="str">
        <f ca="1">IFERROR(__xludf.DUMMYFUNCTION("""COMPUTED_VALUE"""),"#N/A")</f>
        <v>#N/A</v>
      </c>
      <c r="AD9" s="12" t="str">
        <f ca="1">IFERROR(__xludf.DUMMYFUNCTION("""COMPUTED_VALUE"""),"#N/A")</f>
        <v>#N/A</v>
      </c>
      <c r="AE9" s="12" t="str">
        <f ca="1">IFERROR(__xludf.DUMMYFUNCTION("""COMPUTED_VALUE"""),"#N/A")</f>
        <v>#N/A</v>
      </c>
      <c r="AF9" s="12" t="str">
        <f ca="1">IFERROR(__xludf.DUMMYFUNCTION("""COMPUTED_VALUE"""),"#N/A")</f>
        <v>#N/A</v>
      </c>
      <c r="AG9" s="86" t="str">
        <f ca="1">IFERROR(__xludf.DUMMYFUNCTION("ArrayFormula(VLOOKUP(G9, IMPORTRANGE(""https://docs.google.com/spreadsheets/d/1Co934fvtviyaRiMsrIlT05Jaq7iiYq07aLvRr35KA48/edit?gid=173865642#gid=173865642"", ""'G10_Maths_Pri_LU'!G2:V2000""), {3, 4, 5, 6, 7, 8, 9, 10, 11, 12, 13, 14, 15, 16}, 0))"),"LU001434")</f>
        <v>LU001434</v>
      </c>
      <c r="AH9" s="83" t="str">
        <f ca="1">IFERROR(__xludf.DUMMYFUNCTION("""COMPUTED_VALUE"""),"Geometrical meaning of the zeroes of a cubic polynomial")</f>
        <v>Geometrical meaning of the zeroes of a cubic polynomial</v>
      </c>
      <c r="AI9" s="83" t="str">
        <f ca="1">IFERROR(__xludf.DUMMYFUNCTION("""COMPUTED_VALUE"""),"LU001263")</f>
        <v>LU001263</v>
      </c>
      <c r="AJ9" s="83" t="str">
        <f ca="1">IFERROR(__xludf.DUMMYFUNCTION("""COMPUTED_VALUE"""),"Definition and general form of a polynomial in one variable")</f>
        <v>Definition and general form of a polynomial in one variable</v>
      </c>
      <c r="AK9" s="83"/>
      <c r="AL9" s="83"/>
      <c r="AM9" s="83"/>
      <c r="AN9" s="83"/>
      <c r="AO9" s="83"/>
      <c r="AP9" s="83"/>
      <c r="AQ9" s="83"/>
      <c r="AR9" s="83"/>
      <c r="AS9" s="83"/>
      <c r="AT9" s="83"/>
    </row>
    <row r="10" spans="1:46" ht="27.6">
      <c r="A10" s="8" t="s">
        <v>247</v>
      </c>
      <c r="B10" s="82" t="s">
        <v>47</v>
      </c>
      <c r="C10" s="82" t="s">
        <v>1172</v>
      </c>
      <c r="D10" s="83" t="s">
        <v>732</v>
      </c>
      <c r="E10" s="82" t="s">
        <v>1027</v>
      </c>
      <c r="F10" s="93" t="s">
        <v>1194</v>
      </c>
      <c r="G10" s="90" t="s">
        <v>1195</v>
      </c>
      <c r="H10" s="91" t="s">
        <v>1196</v>
      </c>
      <c r="I10" s="68" t="str">
        <f t="shared" si="0"/>
        <v>LU001430.001</v>
      </c>
      <c r="J10" s="69" t="str">
        <f ca="1">IFERROR(__xludf.DUMMYFUNCTION("VLOOKUP(I10, IMPORTRANGE(""https://docs.google.com/spreadsheets/d/1yDAaXNsi4Mr5FtRQL4tbmSdIzhx6_m4wkOD7IG-k_eo/edit#gid=0"", ""Maths!M:N""), 2, FALSE)"),"(LU001430.001); Default - Remember")</f>
        <v>(LU001430.001); Default - Remember</v>
      </c>
      <c r="K10" s="69" t="str">
        <f t="shared" si="1"/>
        <v>LU001430.002</v>
      </c>
      <c r="L10" s="69" t="str">
        <f ca="1">IFERROR(__xludf.DUMMYFUNCTION("VLOOKUP(K10, IMPORTRANGE(""https://docs.google.com/spreadsheets/d/1yDAaXNsi4Mr5FtRQL4tbmSdIzhx6_m4wkOD7IG-k_eo/edit#gid=0"", ""Maths!M:N""), 2, FALSE)"),"(LU001430.002); Default - Understand")</f>
        <v>(LU001430.002); Default - Understand</v>
      </c>
      <c r="M10" s="69" t="str">
        <f t="shared" si="2"/>
        <v>LU001430.003</v>
      </c>
      <c r="N10" s="69" t="str">
        <f ca="1">IFERROR(__xludf.DUMMYFUNCTION("VLOOKUP(M10, IMPORTRANGE(""https://docs.google.com/spreadsheets/d/1yDAaXNsi4Mr5FtRQL4tbmSdIzhx6_m4wkOD7IG-k_eo/edit#gid=0"", ""Maths!M:N""), 2, FALSE)"),"(LU001430.003); Default - Apply")</f>
        <v>(LU001430.003); Default - Apply</v>
      </c>
      <c r="O10" s="69" t="str">
        <f t="shared" si="3"/>
        <v>LU001430.004</v>
      </c>
      <c r="P10" s="69" t="str">
        <f ca="1">IFERROR(__xludf.DUMMYFUNCTION("VLOOKUP(O10, IMPORTRANGE(""https://docs.google.com/spreadsheets/d/1yDAaXNsi4Mr5FtRQL4tbmSdIzhx6_m4wkOD7IG-k_eo/edit#gid=0"", ""Maths!M:N""), 2, FALSE)"),"(LU001430.004); Default - Analyse")</f>
        <v>(LU001430.004); Default - Analyse</v>
      </c>
      <c r="Q10" s="69" t="str">
        <f t="shared" si="4"/>
        <v>LU001430.005</v>
      </c>
      <c r="R10" s="69" t="str">
        <f ca="1">IFERROR(__xludf.DUMMYFUNCTION("VLOOKUP(Q10, IMPORTRANGE(""https://docs.google.com/spreadsheets/d/1yDAaXNsi4Mr5FtRQL4tbmSdIzhx6_m4wkOD7IG-k_eo/edit#gid=0"", ""Maths!M:N""), 2, FALSE)"),"(LU001430.005); Default - Evaluate")</f>
        <v>(LU001430.005); Default - Evaluate</v>
      </c>
      <c r="S10" s="69" t="str">
        <f t="shared" si="5"/>
        <v>LU001430.006</v>
      </c>
      <c r="T10" s="69" t="str">
        <f ca="1">IFERROR(__xludf.DUMMYFUNCTION("VLOOKUP(S10, IMPORTRANGE(""https://docs.google.com/spreadsheets/d/1yDAaXNsi4Mr5FtRQL4tbmSdIzhx6_m4wkOD7IG-k_eo/edit#gid=0"", ""Maths!M:N""), 2, FALSE)"),"(LU001430.006); Default - Create")</f>
        <v>(LU001430.006); Default - Create</v>
      </c>
      <c r="U10" s="11" t="str">
        <f ca="1">IFERROR(__xludf.DUMMYFUNCTION("ArrayFormula(VLOOKUP(G10, IMPORTRANGE(""https://docs.google.com/spreadsheets/d/1p7R4vtkWt5VOBim4ltsDG9KTzSjrtKXsMtQGXPHyND0/edit#gid=795171502"", ""'Filter 30_05_2024'!A1:M2000""), {2, 3, 4, 5,6,7,8,9,10,11,12,13}, 0))"),"#N/A")</f>
        <v>#N/A</v>
      </c>
      <c r="V10" s="11" t="str">
        <f ca="1">IFERROR(__xludf.DUMMYFUNCTION("""COMPUTED_VALUE"""),"#N/A")</f>
        <v>#N/A</v>
      </c>
      <c r="W10" s="11" t="str">
        <f ca="1">IFERROR(__xludf.DUMMYFUNCTION("""COMPUTED_VALUE"""),"#N/A")</f>
        <v>#N/A</v>
      </c>
      <c r="X10" s="11" t="str">
        <f ca="1">IFERROR(__xludf.DUMMYFUNCTION("""COMPUTED_VALUE"""),"#N/A")</f>
        <v>#N/A</v>
      </c>
      <c r="Y10" s="11" t="str">
        <f ca="1">IFERROR(__xludf.DUMMYFUNCTION("""COMPUTED_VALUE"""),"#N/A")</f>
        <v>#N/A</v>
      </c>
      <c r="Z10" s="12" t="str">
        <f ca="1">IFERROR(__xludf.DUMMYFUNCTION("""COMPUTED_VALUE"""),"#N/A")</f>
        <v>#N/A</v>
      </c>
      <c r="AA10" s="12" t="str">
        <f ca="1">IFERROR(__xludf.DUMMYFUNCTION("""COMPUTED_VALUE"""),"#N/A")</f>
        <v>#N/A</v>
      </c>
      <c r="AB10" s="12" t="str">
        <f ca="1">IFERROR(__xludf.DUMMYFUNCTION("""COMPUTED_VALUE"""),"#N/A")</f>
        <v>#N/A</v>
      </c>
      <c r="AC10" s="11" t="str">
        <f ca="1">IFERROR(__xludf.DUMMYFUNCTION("""COMPUTED_VALUE"""),"#N/A")</f>
        <v>#N/A</v>
      </c>
      <c r="AD10" s="12" t="str">
        <f ca="1">IFERROR(__xludf.DUMMYFUNCTION("""COMPUTED_VALUE"""),"#N/A")</f>
        <v>#N/A</v>
      </c>
      <c r="AE10" s="12" t="str">
        <f ca="1">IFERROR(__xludf.DUMMYFUNCTION("""COMPUTED_VALUE"""),"#N/A")</f>
        <v>#N/A</v>
      </c>
      <c r="AF10" s="12" t="str">
        <f ca="1">IFERROR(__xludf.DUMMYFUNCTION("""COMPUTED_VALUE"""),"#N/A")</f>
        <v>#N/A</v>
      </c>
      <c r="AG10" s="86" t="str">
        <f ca="1">IFERROR(__xludf.DUMMYFUNCTION("ArrayFormula(VLOOKUP(G10, IMPORTRANGE(""https://docs.google.com/spreadsheets/d/1Co934fvtviyaRiMsrIlT05Jaq7iiYq07aLvRr35KA48/edit?gid=173865642#gid=173865642"", ""'G10_Maths_Pri_LU'!G2:V2000""), {3, 4, 5, 6, 7, 8, 9, 10, 11, 12, 13, 14, 15, 16}, 0))"),"LU001265")</f>
        <v>LU001265</v>
      </c>
      <c r="AH10" s="83" t="str">
        <f ca="1">IFERROR(__xludf.DUMMYFUNCTION("""COMPUTED_VALUE"""),"Zeroes of a polynomial p(x)")</f>
        <v>Zeroes of a polynomial p(x)</v>
      </c>
      <c r="AI10" s="83" t="str">
        <f ca="1">IFERROR(__xludf.DUMMYFUNCTION("""COMPUTED_VALUE"""),"LU000763")</f>
        <v>LU000763</v>
      </c>
      <c r="AJ10" s="83" t="str">
        <f ca="1">IFERROR(__xludf.DUMMYFUNCTION("""COMPUTED_VALUE"""),"Definition of linear polynomial")</f>
        <v>Definition of linear polynomial</v>
      </c>
      <c r="AK10" s="83" t="str">
        <f ca="1">IFERROR(__xludf.DUMMYFUNCTION("""COMPUTED_VALUE"""),"LU000507")</f>
        <v>LU000507</v>
      </c>
      <c r="AL10" s="83" t="str">
        <f ca="1">IFERROR(__xludf.DUMMYFUNCTION("""COMPUTED_VALUE"""),"Definition of the coefficient of a term")</f>
        <v>Definition of the coefficient of a term</v>
      </c>
      <c r="AM10" s="83"/>
      <c r="AN10" s="83"/>
      <c r="AO10" s="83"/>
      <c r="AP10" s="83"/>
      <c r="AQ10" s="83"/>
      <c r="AR10" s="83"/>
      <c r="AS10" s="83"/>
      <c r="AT10" s="83"/>
    </row>
    <row r="11" spans="1:46" ht="27.6">
      <c r="A11" s="8" t="s">
        <v>247</v>
      </c>
      <c r="B11" s="82" t="s">
        <v>47</v>
      </c>
      <c r="C11" s="82" t="s">
        <v>1172</v>
      </c>
      <c r="D11" s="83" t="s">
        <v>732</v>
      </c>
      <c r="E11" s="82" t="s">
        <v>1027</v>
      </c>
      <c r="F11" s="93" t="s">
        <v>1194</v>
      </c>
      <c r="G11" s="90" t="s">
        <v>1197</v>
      </c>
      <c r="H11" s="91" t="s">
        <v>1198</v>
      </c>
      <c r="I11" s="68" t="str">
        <f t="shared" si="0"/>
        <v>LU001436.001</v>
      </c>
      <c r="J11" s="69" t="str">
        <f ca="1">IFERROR(__xludf.DUMMYFUNCTION("VLOOKUP(I11, IMPORTRANGE(""https://docs.google.com/spreadsheets/d/1yDAaXNsi4Mr5FtRQL4tbmSdIzhx6_m4wkOD7IG-k_eo/edit#gid=0"", ""Maths!M:N""), 2, FALSE)"),"(LU001436.001); Default - Remember")</f>
        <v>(LU001436.001); Default - Remember</v>
      </c>
      <c r="K11" s="69" t="str">
        <f t="shared" si="1"/>
        <v>LU001436.002</v>
      </c>
      <c r="L11" s="69" t="str">
        <f ca="1">IFERROR(__xludf.DUMMYFUNCTION("VLOOKUP(K11, IMPORTRANGE(""https://docs.google.com/spreadsheets/d/1yDAaXNsi4Mr5FtRQL4tbmSdIzhx6_m4wkOD7IG-k_eo/edit#gid=0"", ""Maths!M:N""), 2, FALSE)"),"(LU001436.002); Default - Understand")</f>
        <v>(LU001436.002); Default - Understand</v>
      </c>
      <c r="M11" s="69" t="str">
        <f t="shared" si="2"/>
        <v>LU001436.003</v>
      </c>
      <c r="N11" s="69" t="str">
        <f ca="1">IFERROR(__xludf.DUMMYFUNCTION("VLOOKUP(M11, IMPORTRANGE(""https://docs.google.com/spreadsheets/d/1yDAaXNsi4Mr5FtRQL4tbmSdIzhx6_m4wkOD7IG-k_eo/edit#gid=0"", ""Maths!M:N""), 2, FALSE)"),"(LU001436.003); Default - Apply")</f>
        <v>(LU001436.003); Default - Apply</v>
      </c>
      <c r="O11" s="69" t="str">
        <f t="shared" si="3"/>
        <v>LU001436.004</v>
      </c>
      <c r="P11" s="69" t="str">
        <f ca="1">IFERROR(__xludf.DUMMYFUNCTION("VLOOKUP(O11, IMPORTRANGE(""https://docs.google.com/spreadsheets/d/1yDAaXNsi4Mr5FtRQL4tbmSdIzhx6_m4wkOD7IG-k_eo/edit#gid=0"", ""Maths!M:N""), 2, FALSE)"),"(LU001436.004); Default - Analyse")</f>
        <v>(LU001436.004); Default - Analyse</v>
      </c>
      <c r="Q11" s="69" t="str">
        <f t="shared" si="4"/>
        <v>LU001436.005</v>
      </c>
      <c r="R11" s="69" t="str">
        <f ca="1">IFERROR(__xludf.DUMMYFUNCTION("VLOOKUP(Q11, IMPORTRANGE(""https://docs.google.com/spreadsheets/d/1yDAaXNsi4Mr5FtRQL4tbmSdIzhx6_m4wkOD7IG-k_eo/edit#gid=0"", ""Maths!M:N""), 2, FALSE)"),"(LU001436.005); Default - Evaluate")</f>
        <v>(LU001436.005); Default - Evaluate</v>
      </c>
      <c r="S11" s="69" t="str">
        <f t="shared" si="5"/>
        <v>LU001436.006</v>
      </c>
      <c r="T11" s="69" t="str">
        <f ca="1">IFERROR(__xludf.DUMMYFUNCTION("VLOOKUP(S11, IMPORTRANGE(""https://docs.google.com/spreadsheets/d/1yDAaXNsi4Mr5FtRQL4tbmSdIzhx6_m4wkOD7IG-k_eo/edit#gid=0"", ""Maths!M:N""), 2, FALSE)"),"(LU001436.006); Default - Create")</f>
        <v>(LU001436.006); Default - Create</v>
      </c>
      <c r="U11" s="11" t="str">
        <f ca="1">IFERROR(__xludf.DUMMYFUNCTION("ArrayFormula(VLOOKUP(G11, IMPORTRANGE(""https://docs.google.com/spreadsheets/d/1p7R4vtkWt5VOBim4ltsDG9KTzSjrtKXsMtQGXPHyND0/edit#gid=795171502"", ""'Filter 30_05_2024'!A1:M2000""), {2, 3, 4, 5,6,7,8,9,10,11,12,13}, 0))"),"#N/A")</f>
        <v>#N/A</v>
      </c>
      <c r="V11" s="11" t="str">
        <f ca="1">IFERROR(__xludf.DUMMYFUNCTION("""COMPUTED_VALUE"""),"#N/A")</f>
        <v>#N/A</v>
      </c>
      <c r="W11" s="11" t="str">
        <f ca="1">IFERROR(__xludf.DUMMYFUNCTION("""COMPUTED_VALUE"""),"#N/A")</f>
        <v>#N/A</v>
      </c>
      <c r="X11" s="11" t="str">
        <f ca="1">IFERROR(__xludf.DUMMYFUNCTION("""COMPUTED_VALUE"""),"#N/A")</f>
        <v>#N/A</v>
      </c>
      <c r="Y11" s="11" t="str">
        <f ca="1">IFERROR(__xludf.DUMMYFUNCTION("""COMPUTED_VALUE"""),"#N/A")</f>
        <v>#N/A</v>
      </c>
      <c r="Z11" s="12" t="str">
        <f ca="1">IFERROR(__xludf.DUMMYFUNCTION("""COMPUTED_VALUE"""),"#N/A")</f>
        <v>#N/A</v>
      </c>
      <c r="AA11" s="12" t="str">
        <f ca="1">IFERROR(__xludf.DUMMYFUNCTION("""COMPUTED_VALUE"""),"#N/A")</f>
        <v>#N/A</v>
      </c>
      <c r="AB11" s="12" t="str">
        <f ca="1">IFERROR(__xludf.DUMMYFUNCTION("""COMPUTED_VALUE"""),"#N/A")</f>
        <v>#N/A</v>
      </c>
      <c r="AC11" s="11" t="str">
        <f ca="1">IFERROR(__xludf.DUMMYFUNCTION("""COMPUTED_VALUE"""),"#N/A")</f>
        <v>#N/A</v>
      </c>
      <c r="AD11" s="12" t="str">
        <f ca="1">IFERROR(__xludf.DUMMYFUNCTION("""COMPUTED_VALUE"""),"#N/A")</f>
        <v>#N/A</v>
      </c>
      <c r="AE11" s="12" t="str">
        <f ca="1">IFERROR(__xludf.DUMMYFUNCTION("""COMPUTED_VALUE"""),"#N/A")</f>
        <v>#N/A</v>
      </c>
      <c r="AF11" s="12" t="str">
        <f ca="1">IFERROR(__xludf.DUMMYFUNCTION("""COMPUTED_VALUE"""),"#N/A")</f>
        <v>#N/A</v>
      </c>
      <c r="AG11" s="86" t="str">
        <f ca="1">IFERROR(__xludf.DUMMYFUNCTION("ArrayFormula(VLOOKUP(G11, IMPORTRANGE(""https://docs.google.com/spreadsheets/d/1Co934fvtviyaRiMsrIlT05Jaq7iiYq07aLvRr35KA48/edit?gid=173865642#gid=173865642"", ""'G10_Maths_Pri_LU'!G2:V2000""), {3, 4, 5, 6, 7, 8, 9, 10, 11, 12, 13, 14, 15, 16}, 0))"),"LU001430")</f>
        <v>LU001430</v>
      </c>
      <c r="AH11" s="83" t="str">
        <f ca="1">IFERROR(__xludf.DUMMYFUNCTION("""COMPUTED_VALUE"""),"Relationship between zero and coefficients of a linear polynomial")</f>
        <v>Relationship between zero and coefficients of a linear polynomial</v>
      </c>
      <c r="AI11" s="83" t="str">
        <f ca="1">IFERROR(__xludf.DUMMYFUNCTION("""COMPUTED_VALUE"""),"LU001268")</f>
        <v>LU001268</v>
      </c>
      <c r="AJ11" s="83" t="str">
        <f ca="1">IFERROR(__xludf.DUMMYFUNCTION("""COMPUTED_VALUE"""),"Factorisation of the quadratic polynomial by splitting the middle term")</f>
        <v>Factorisation of the quadratic polynomial by splitting the middle term</v>
      </c>
      <c r="AK11" s="83"/>
      <c r="AL11" s="83"/>
      <c r="AM11" s="83"/>
      <c r="AN11" s="83"/>
      <c r="AO11" s="83"/>
      <c r="AP11" s="83"/>
      <c r="AQ11" s="83"/>
      <c r="AR11" s="83"/>
      <c r="AS11" s="83"/>
      <c r="AT11" s="83"/>
    </row>
    <row r="12" spans="1:46" ht="27.6">
      <c r="A12" s="8" t="s">
        <v>247</v>
      </c>
      <c r="B12" s="82" t="s">
        <v>47</v>
      </c>
      <c r="C12" s="82" t="s">
        <v>1172</v>
      </c>
      <c r="D12" s="83" t="s">
        <v>732</v>
      </c>
      <c r="E12" s="82" t="s">
        <v>1027</v>
      </c>
      <c r="F12" s="93" t="s">
        <v>1194</v>
      </c>
      <c r="G12" s="90" t="s">
        <v>1199</v>
      </c>
      <c r="H12" s="91" t="s">
        <v>1200</v>
      </c>
      <c r="I12" s="68" t="str">
        <f t="shared" si="0"/>
        <v>LU001438.001</v>
      </c>
      <c r="J12" s="69" t="str">
        <f ca="1">IFERROR(__xludf.DUMMYFUNCTION("VLOOKUP(I12, IMPORTRANGE(""https://docs.google.com/spreadsheets/d/1yDAaXNsi4Mr5FtRQL4tbmSdIzhx6_m4wkOD7IG-k_eo/edit#gid=0"", ""Maths!M:N""), 2, FALSE)"),"(LU001438.001); Default - Remember")</f>
        <v>(LU001438.001); Default - Remember</v>
      </c>
      <c r="K12" s="69" t="str">
        <f t="shared" si="1"/>
        <v>LU001438.002</v>
      </c>
      <c r="L12" s="69" t="str">
        <f ca="1">IFERROR(__xludf.DUMMYFUNCTION("VLOOKUP(K12, IMPORTRANGE(""https://docs.google.com/spreadsheets/d/1yDAaXNsi4Mr5FtRQL4tbmSdIzhx6_m4wkOD7IG-k_eo/edit#gid=0"", ""Maths!M:N""), 2, FALSE)"),"(LU001438.002); Default - Understand")</f>
        <v>(LU001438.002); Default - Understand</v>
      </c>
      <c r="M12" s="69" t="str">
        <f t="shared" si="2"/>
        <v>LU001438.003</v>
      </c>
      <c r="N12" s="69" t="str">
        <f ca="1">IFERROR(__xludf.DUMMYFUNCTION("VLOOKUP(M12, IMPORTRANGE(""https://docs.google.com/spreadsheets/d/1yDAaXNsi4Mr5FtRQL4tbmSdIzhx6_m4wkOD7IG-k_eo/edit#gid=0"", ""Maths!M:N""), 2, FALSE)"),"(LU001438.003); Default - Apply")</f>
        <v>(LU001438.003); Default - Apply</v>
      </c>
      <c r="O12" s="69" t="str">
        <f t="shared" si="3"/>
        <v>LU001438.004</v>
      </c>
      <c r="P12" s="69" t="str">
        <f ca="1">IFERROR(__xludf.DUMMYFUNCTION("VLOOKUP(O12, IMPORTRANGE(""https://docs.google.com/spreadsheets/d/1yDAaXNsi4Mr5FtRQL4tbmSdIzhx6_m4wkOD7IG-k_eo/edit#gid=0"", ""Maths!M:N""), 2, FALSE)"),"(LU001438.004); Default - Analyse")</f>
        <v>(LU001438.004); Default - Analyse</v>
      </c>
      <c r="Q12" s="69" t="str">
        <f t="shared" si="4"/>
        <v>LU001438.005</v>
      </c>
      <c r="R12" s="69" t="str">
        <f ca="1">IFERROR(__xludf.DUMMYFUNCTION("VLOOKUP(Q12, IMPORTRANGE(""https://docs.google.com/spreadsheets/d/1yDAaXNsi4Mr5FtRQL4tbmSdIzhx6_m4wkOD7IG-k_eo/edit#gid=0"", ""Maths!M:N""), 2, FALSE)"),"(LU001438.005); Default - Evaluate")</f>
        <v>(LU001438.005); Default - Evaluate</v>
      </c>
      <c r="S12" s="69" t="str">
        <f t="shared" si="5"/>
        <v>LU001438.006</v>
      </c>
      <c r="T12" s="69" t="str">
        <f ca="1">IFERROR(__xludf.DUMMYFUNCTION("VLOOKUP(S12, IMPORTRANGE(""https://docs.google.com/spreadsheets/d/1yDAaXNsi4Mr5FtRQL4tbmSdIzhx6_m4wkOD7IG-k_eo/edit#gid=0"", ""Maths!M:N""), 2, FALSE)"),"(LU001438.006); Default - Create")</f>
        <v>(LU001438.006); Default - Create</v>
      </c>
      <c r="U12" s="11" t="str">
        <f ca="1">IFERROR(__xludf.DUMMYFUNCTION("ArrayFormula(VLOOKUP(G12, IMPORTRANGE(""https://docs.google.com/spreadsheets/d/1p7R4vtkWt5VOBim4ltsDG9KTzSjrtKXsMtQGXPHyND0/edit#gid=795171502"", ""'Filter 30_05_2024'!A1:M2000""), {2, 3, 4, 5,6,7,8,9,10,11,12,13}, 0))"),"#N/A")</f>
        <v>#N/A</v>
      </c>
      <c r="V12" s="11" t="str">
        <f ca="1">IFERROR(__xludf.DUMMYFUNCTION("""COMPUTED_VALUE"""),"#N/A")</f>
        <v>#N/A</v>
      </c>
      <c r="W12" s="11" t="str">
        <f ca="1">IFERROR(__xludf.DUMMYFUNCTION("""COMPUTED_VALUE"""),"#N/A")</f>
        <v>#N/A</v>
      </c>
      <c r="X12" s="11" t="str">
        <f ca="1">IFERROR(__xludf.DUMMYFUNCTION("""COMPUTED_VALUE"""),"#N/A")</f>
        <v>#N/A</v>
      </c>
      <c r="Y12" s="11" t="str">
        <f ca="1">IFERROR(__xludf.DUMMYFUNCTION("""COMPUTED_VALUE"""),"#N/A")</f>
        <v>#N/A</v>
      </c>
      <c r="Z12" s="12" t="str">
        <f ca="1">IFERROR(__xludf.DUMMYFUNCTION("""COMPUTED_VALUE"""),"#N/A")</f>
        <v>#N/A</v>
      </c>
      <c r="AA12" s="12" t="str">
        <f ca="1">IFERROR(__xludf.DUMMYFUNCTION("""COMPUTED_VALUE"""),"#N/A")</f>
        <v>#N/A</v>
      </c>
      <c r="AB12" s="12" t="str">
        <f ca="1">IFERROR(__xludf.DUMMYFUNCTION("""COMPUTED_VALUE"""),"#N/A")</f>
        <v>#N/A</v>
      </c>
      <c r="AC12" s="11" t="str">
        <f ca="1">IFERROR(__xludf.DUMMYFUNCTION("""COMPUTED_VALUE"""),"#N/A")</f>
        <v>#N/A</v>
      </c>
      <c r="AD12" s="12" t="str">
        <f ca="1">IFERROR(__xludf.DUMMYFUNCTION("""COMPUTED_VALUE"""),"#N/A")</f>
        <v>#N/A</v>
      </c>
      <c r="AE12" s="12" t="str">
        <f ca="1">IFERROR(__xludf.DUMMYFUNCTION("""COMPUTED_VALUE"""),"#N/A")</f>
        <v>#N/A</v>
      </c>
      <c r="AF12" s="12" t="str">
        <f ca="1">IFERROR(__xludf.DUMMYFUNCTION("""COMPUTED_VALUE"""),"#N/A")</f>
        <v>#N/A</v>
      </c>
      <c r="AG12" s="86" t="str">
        <f ca="1">IFERROR(__xludf.DUMMYFUNCTION("ArrayFormula(VLOOKUP(G12, IMPORTRANGE(""https://docs.google.com/spreadsheets/d/1Co934fvtviyaRiMsrIlT05Jaq7iiYq07aLvRr35KA48/edit?gid=173865642#gid=173865642"", ""'G10_Maths_Pri_LU'!G2:V2000""), {3, 4, 5, 6, 7, 8, 9, 10, 11, 12, 13, 14, 15, 16}, 0))"),"LU001436")</f>
        <v>LU001436</v>
      </c>
      <c r="AH12" s="83" t="str">
        <f ca="1">IFERROR(__xludf.DUMMYFUNCTION("""COMPUTED_VALUE"""),"Relationship between zeroes and coefficients of a quadratic polynomial")</f>
        <v>Relationship between zeroes and coefficients of a quadratic polynomial</v>
      </c>
      <c r="AI12" s="83" t="str">
        <f ca="1">IFERROR(__xludf.DUMMYFUNCTION("""COMPUTED_VALUE"""),"LU001270")</f>
        <v>LU001270</v>
      </c>
      <c r="AJ12" s="83" t="str">
        <f ca="1">IFERROR(__xludf.DUMMYFUNCTION("""COMPUTED_VALUE"""),"Factorisation of the cubic polynomial")</f>
        <v>Factorisation of the cubic polynomial</v>
      </c>
      <c r="AK12" s="83" t="str">
        <f ca="1">IFERROR(__xludf.DUMMYFUNCTION("""COMPUTED_VALUE"""),"LU000764")</f>
        <v>LU000764</v>
      </c>
      <c r="AL12" s="83" t="str">
        <f ca="1">IFERROR(__xludf.DUMMYFUNCTION("""COMPUTED_VALUE"""),"Definition of cubic polynomial")</f>
        <v>Definition of cubic polynomial</v>
      </c>
      <c r="AM12" s="83"/>
      <c r="AN12" s="83"/>
      <c r="AO12" s="83"/>
      <c r="AP12" s="83"/>
      <c r="AQ12" s="83"/>
      <c r="AR12" s="83"/>
      <c r="AS12" s="83"/>
      <c r="AT12" s="83"/>
    </row>
    <row r="13" spans="1:46" ht="27.6">
      <c r="A13" s="8" t="s">
        <v>247</v>
      </c>
      <c r="B13" s="82" t="s">
        <v>47</v>
      </c>
      <c r="C13" s="82" t="s">
        <v>1172</v>
      </c>
      <c r="D13" s="83" t="s">
        <v>732</v>
      </c>
      <c r="E13" s="82" t="s">
        <v>1027</v>
      </c>
      <c r="F13" s="94" t="s">
        <v>1201</v>
      </c>
      <c r="G13" s="84" t="s">
        <v>1202</v>
      </c>
      <c r="H13" s="85" t="s">
        <v>1203</v>
      </c>
      <c r="I13" s="68" t="str">
        <f t="shared" si="0"/>
        <v>LU001437.001</v>
      </c>
      <c r="J13" s="69" t="str">
        <f ca="1">IFERROR(__xludf.DUMMYFUNCTION("VLOOKUP(I13, IMPORTRANGE(""https://docs.google.com/spreadsheets/d/1yDAaXNsi4Mr5FtRQL4tbmSdIzhx6_m4wkOD7IG-k_eo/edit#gid=0"", ""Maths!M:N""), 2, FALSE)"),"(LU001437.001); Default - Remember")</f>
        <v>(LU001437.001); Default - Remember</v>
      </c>
      <c r="K13" s="69" t="str">
        <f t="shared" si="1"/>
        <v>LU001437.002</v>
      </c>
      <c r="L13" s="69" t="str">
        <f ca="1">IFERROR(__xludf.DUMMYFUNCTION("VLOOKUP(K13, IMPORTRANGE(""https://docs.google.com/spreadsheets/d/1yDAaXNsi4Mr5FtRQL4tbmSdIzhx6_m4wkOD7IG-k_eo/edit#gid=0"", ""Maths!M:N""), 2, FALSE)"),"(LU001437.002); Default - Understand")</f>
        <v>(LU001437.002); Default - Understand</v>
      </c>
      <c r="M13" s="69" t="str">
        <f t="shared" si="2"/>
        <v>LU001437.003</v>
      </c>
      <c r="N13" s="69" t="str">
        <f ca="1">IFERROR(__xludf.DUMMYFUNCTION("VLOOKUP(M13, IMPORTRANGE(""https://docs.google.com/spreadsheets/d/1yDAaXNsi4Mr5FtRQL4tbmSdIzhx6_m4wkOD7IG-k_eo/edit#gid=0"", ""Maths!M:N""), 2, FALSE)"),"(LU001437.003); Default - Apply")</f>
        <v>(LU001437.003); Default - Apply</v>
      </c>
      <c r="O13" s="69" t="str">
        <f t="shared" si="3"/>
        <v>LU001437.004</v>
      </c>
      <c r="P13" s="69" t="str">
        <f ca="1">IFERROR(__xludf.DUMMYFUNCTION("VLOOKUP(O13, IMPORTRANGE(""https://docs.google.com/spreadsheets/d/1yDAaXNsi4Mr5FtRQL4tbmSdIzhx6_m4wkOD7IG-k_eo/edit#gid=0"", ""Maths!M:N""), 2, FALSE)"),"(LU001437.004); Default - Analyse")</f>
        <v>(LU001437.004); Default - Analyse</v>
      </c>
      <c r="Q13" s="69" t="str">
        <f t="shared" si="4"/>
        <v>LU001437.005</v>
      </c>
      <c r="R13" s="69" t="str">
        <f ca="1">IFERROR(__xludf.DUMMYFUNCTION("VLOOKUP(Q13, IMPORTRANGE(""https://docs.google.com/spreadsheets/d/1yDAaXNsi4Mr5FtRQL4tbmSdIzhx6_m4wkOD7IG-k_eo/edit#gid=0"", ""Maths!M:N""), 2, FALSE)"),"(LU001437.005); Default - Evaluate")</f>
        <v>(LU001437.005); Default - Evaluate</v>
      </c>
      <c r="S13" s="69" t="str">
        <f t="shared" si="5"/>
        <v>LU001437.006</v>
      </c>
      <c r="T13" s="69" t="str">
        <f ca="1">IFERROR(__xludf.DUMMYFUNCTION("VLOOKUP(S13, IMPORTRANGE(""https://docs.google.com/spreadsheets/d/1yDAaXNsi4Mr5FtRQL4tbmSdIzhx6_m4wkOD7IG-k_eo/edit#gid=0"", ""Maths!M:N""), 2, FALSE)"),"(LU001437.006); Default - Create")</f>
        <v>(LU001437.006); Default - Create</v>
      </c>
      <c r="U13" s="11" t="str">
        <f ca="1">IFERROR(__xludf.DUMMYFUNCTION("ArrayFormula(VLOOKUP(G13, IMPORTRANGE(""https://docs.google.com/spreadsheets/d/1p7R4vtkWt5VOBim4ltsDG9KTzSjrtKXsMtQGXPHyND0/edit#gid=795171502"", ""'Filter 30_05_2024'!A1:M2000""), {2, 3, 4, 5,6,7,8,9,10,11,12,13}, 0))"),"#N/A")</f>
        <v>#N/A</v>
      </c>
      <c r="V13" s="11" t="str">
        <f ca="1">IFERROR(__xludf.DUMMYFUNCTION("""COMPUTED_VALUE"""),"#N/A")</f>
        <v>#N/A</v>
      </c>
      <c r="W13" s="11" t="str">
        <f ca="1">IFERROR(__xludf.DUMMYFUNCTION("""COMPUTED_VALUE"""),"#N/A")</f>
        <v>#N/A</v>
      </c>
      <c r="X13" s="11" t="str">
        <f ca="1">IFERROR(__xludf.DUMMYFUNCTION("""COMPUTED_VALUE"""),"#N/A")</f>
        <v>#N/A</v>
      </c>
      <c r="Y13" s="11" t="str">
        <f ca="1">IFERROR(__xludf.DUMMYFUNCTION("""COMPUTED_VALUE"""),"#N/A")</f>
        <v>#N/A</v>
      </c>
      <c r="Z13" s="12" t="str">
        <f ca="1">IFERROR(__xludf.DUMMYFUNCTION("""COMPUTED_VALUE"""),"#N/A")</f>
        <v>#N/A</v>
      </c>
      <c r="AA13" s="12" t="str">
        <f ca="1">IFERROR(__xludf.DUMMYFUNCTION("""COMPUTED_VALUE"""),"#N/A")</f>
        <v>#N/A</v>
      </c>
      <c r="AB13" s="12" t="str">
        <f ca="1">IFERROR(__xludf.DUMMYFUNCTION("""COMPUTED_VALUE"""),"#N/A")</f>
        <v>#N/A</v>
      </c>
      <c r="AC13" s="11" t="str">
        <f ca="1">IFERROR(__xludf.DUMMYFUNCTION("""COMPUTED_VALUE"""),"#N/A")</f>
        <v>#N/A</v>
      </c>
      <c r="AD13" s="12" t="str">
        <f ca="1">IFERROR(__xludf.DUMMYFUNCTION("""COMPUTED_VALUE"""),"#N/A")</f>
        <v>#N/A</v>
      </c>
      <c r="AE13" s="12" t="str">
        <f ca="1">IFERROR(__xludf.DUMMYFUNCTION("""COMPUTED_VALUE"""),"#N/A")</f>
        <v>#N/A</v>
      </c>
      <c r="AF13" s="12" t="str">
        <f ca="1">IFERROR(__xludf.DUMMYFUNCTION("""COMPUTED_VALUE"""),"#N/A")</f>
        <v>#N/A</v>
      </c>
      <c r="AG13" s="86" t="str">
        <f ca="1">IFERROR(__xludf.DUMMYFUNCTION("ArrayFormula(VLOOKUP(G13, IMPORTRANGE(""https://docs.google.com/spreadsheets/d/1Co934fvtviyaRiMsrIlT05Jaq7iiYq07aLvRr35KA48/edit?gid=173865642#gid=173865642"", ""'G10_Maths_Pri_LU'!G2:V2000""), {3, 4, 5, 6, 7, 8, 9, 10, 11, 12, 13, 14, 15, 16}, 0))"),"LU001436")</f>
        <v>LU001436</v>
      </c>
      <c r="AH13" s="83" t="str">
        <f ca="1">IFERROR(__xludf.DUMMYFUNCTION("""COMPUTED_VALUE"""),"Relationship between zeroes and coefficients of a quadratic polynomial")</f>
        <v>Relationship between zeroes and coefficients of a quadratic polynomial</v>
      </c>
      <c r="AI13" s="83"/>
      <c r="AJ13" s="83"/>
      <c r="AK13" s="83"/>
      <c r="AL13" s="83"/>
      <c r="AM13" s="83"/>
      <c r="AN13" s="83"/>
      <c r="AO13" s="83"/>
      <c r="AP13" s="83"/>
      <c r="AQ13" s="83"/>
      <c r="AR13" s="83"/>
      <c r="AS13" s="83"/>
      <c r="AT13" s="83"/>
    </row>
    <row r="14" spans="1:46" ht="27.6">
      <c r="A14" s="8" t="s">
        <v>247</v>
      </c>
      <c r="B14" s="82" t="s">
        <v>47</v>
      </c>
      <c r="C14" s="82" t="s">
        <v>1172</v>
      </c>
      <c r="D14" s="83" t="s">
        <v>732</v>
      </c>
      <c r="E14" s="82" t="s">
        <v>1204</v>
      </c>
      <c r="F14" s="93" t="s">
        <v>1205</v>
      </c>
      <c r="G14" s="90" t="s">
        <v>1206</v>
      </c>
      <c r="H14" s="95" t="s">
        <v>1207</v>
      </c>
      <c r="I14" s="68" t="str">
        <f t="shared" si="0"/>
        <v>LU001443.001</v>
      </c>
      <c r="J14" s="69" t="str">
        <f ca="1">IFERROR(__xludf.DUMMYFUNCTION("VLOOKUP(I14, IMPORTRANGE(""https://docs.google.com/spreadsheets/d/1yDAaXNsi4Mr5FtRQL4tbmSdIzhx6_m4wkOD7IG-k_eo/edit#gid=0"", ""Maths!M:N""), 2, FALSE)"),"(LU001443.001); Default - Remember")</f>
        <v>(LU001443.001); Default - Remember</v>
      </c>
      <c r="K14" s="69" t="str">
        <f t="shared" si="1"/>
        <v>LU001443.002</v>
      </c>
      <c r="L14" s="69" t="str">
        <f ca="1">IFERROR(__xludf.DUMMYFUNCTION("VLOOKUP(K14, IMPORTRANGE(""https://docs.google.com/spreadsheets/d/1yDAaXNsi4Mr5FtRQL4tbmSdIzhx6_m4wkOD7IG-k_eo/edit#gid=0"", ""Maths!M:N""), 2, FALSE)"),"(LU001443.002); Default - Understand")</f>
        <v>(LU001443.002); Default - Understand</v>
      </c>
      <c r="M14" s="69" t="str">
        <f t="shared" si="2"/>
        <v>LU001443.003</v>
      </c>
      <c r="N14" s="69" t="str">
        <f ca="1">IFERROR(__xludf.DUMMYFUNCTION("VLOOKUP(M14, IMPORTRANGE(""https://docs.google.com/spreadsheets/d/1yDAaXNsi4Mr5FtRQL4tbmSdIzhx6_m4wkOD7IG-k_eo/edit#gid=0"", ""Maths!M:N""), 2, FALSE)"),"(LU001443.003); Default - Apply")</f>
        <v>(LU001443.003); Default - Apply</v>
      </c>
      <c r="O14" s="69" t="str">
        <f t="shared" si="3"/>
        <v>LU001443.004</v>
      </c>
      <c r="P14" s="69" t="str">
        <f ca="1">IFERROR(__xludf.DUMMYFUNCTION("VLOOKUP(O14, IMPORTRANGE(""https://docs.google.com/spreadsheets/d/1yDAaXNsi4Mr5FtRQL4tbmSdIzhx6_m4wkOD7IG-k_eo/edit#gid=0"", ""Maths!M:N""), 2, FALSE)"),"(LU001443.004); Default - Analyse")</f>
        <v>(LU001443.004); Default - Analyse</v>
      </c>
      <c r="Q14" s="69" t="str">
        <f t="shared" si="4"/>
        <v>LU001443.005</v>
      </c>
      <c r="R14" s="69" t="str">
        <f ca="1">IFERROR(__xludf.DUMMYFUNCTION("VLOOKUP(Q14, IMPORTRANGE(""https://docs.google.com/spreadsheets/d/1yDAaXNsi4Mr5FtRQL4tbmSdIzhx6_m4wkOD7IG-k_eo/edit#gid=0"", ""Maths!M:N""), 2, FALSE)"),"(LU001443.005); Default - Evaluate")</f>
        <v>(LU001443.005); Default - Evaluate</v>
      </c>
      <c r="S14" s="69" t="str">
        <f t="shared" si="5"/>
        <v>LU001443.006</v>
      </c>
      <c r="T14" s="69" t="str">
        <f ca="1">IFERROR(__xludf.DUMMYFUNCTION("VLOOKUP(S14, IMPORTRANGE(""https://docs.google.com/spreadsheets/d/1yDAaXNsi4Mr5FtRQL4tbmSdIzhx6_m4wkOD7IG-k_eo/edit#gid=0"", ""Maths!M:N""), 2, FALSE)"),"(LU001443.006); Default - Create")</f>
        <v>(LU001443.006); Default - Create</v>
      </c>
      <c r="U14" s="11" t="str">
        <f ca="1">IFERROR(__xludf.DUMMYFUNCTION("ArrayFormula(VLOOKUP(G14, IMPORTRANGE(""https://docs.google.com/spreadsheets/d/1p7R4vtkWt5VOBim4ltsDG9KTzSjrtKXsMtQGXPHyND0/edit#gid=795171502"", ""'Filter 30_05_2024'!A1:M2000""), {2, 3, 4, 5,6,7,8,9,10,11,12,13}, 0))"),"#N/A")</f>
        <v>#N/A</v>
      </c>
      <c r="V14" s="11" t="str">
        <f ca="1">IFERROR(__xludf.DUMMYFUNCTION("""COMPUTED_VALUE"""),"#N/A")</f>
        <v>#N/A</v>
      </c>
      <c r="W14" s="11" t="str">
        <f ca="1">IFERROR(__xludf.DUMMYFUNCTION("""COMPUTED_VALUE"""),"#N/A")</f>
        <v>#N/A</v>
      </c>
      <c r="X14" s="11" t="str">
        <f ca="1">IFERROR(__xludf.DUMMYFUNCTION("""COMPUTED_VALUE"""),"#N/A")</f>
        <v>#N/A</v>
      </c>
      <c r="Y14" s="11" t="str">
        <f ca="1">IFERROR(__xludf.DUMMYFUNCTION("""COMPUTED_VALUE"""),"#N/A")</f>
        <v>#N/A</v>
      </c>
      <c r="Z14" s="12" t="str">
        <f ca="1">IFERROR(__xludf.DUMMYFUNCTION("""COMPUTED_VALUE"""),"#N/A")</f>
        <v>#N/A</v>
      </c>
      <c r="AA14" s="12" t="str">
        <f ca="1">IFERROR(__xludf.DUMMYFUNCTION("""COMPUTED_VALUE"""),"#N/A")</f>
        <v>#N/A</v>
      </c>
      <c r="AB14" s="12" t="str">
        <f ca="1">IFERROR(__xludf.DUMMYFUNCTION("""COMPUTED_VALUE"""),"#N/A")</f>
        <v>#N/A</v>
      </c>
      <c r="AC14" s="11" t="str">
        <f ca="1">IFERROR(__xludf.DUMMYFUNCTION("""COMPUTED_VALUE"""),"#N/A")</f>
        <v>#N/A</v>
      </c>
      <c r="AD14" s="12" t="str">
        <f ca="1">IFERROR(__xludf.DUMMYFUNCTION("""COMPUTED_VALUE"""),"#N/A")</f>
        <v>#N/A</v>
      </c>
      <c r="AE14" s="12" t="str">
        <f ca="1">IFERROR(__xludf.DUMMYFUNCTION("""COMPUTED_VALUE"""),"#N/A")</f>
        <v>#N/A</v>
      </c>
      <c r="AF14" s="12" t="str">
        <f ca="1">IFERROR(__xludf.DUMMYFUNCTION("""COMPUTED_VALUE"""),"#N/A")</f>
        <v>#N/A</v>
      </c>
      <c r="AG14" s="86" t="str">
        <f ca="1">IFERROR(__xludf.DUMMYFUNCTION("ArrayFormula(VLOOKUP(G14, IMPORTRANGE(""https://docs.google.com/spreadsheets/d/1Co934fvtviyaRiMsrIlT05Jaq7iiYq07aLvRr35KA48/edit?gid=173865642#gid=173865642"", ""'G10_Maths_Pri_LU'!G2:V2000""), {3, 4, 5, 6, 7, 8, 9, 10, 11, 12, 13, 14, 15, 16}, 0))"),"LU001223")</f>
        <v>LU001223</v>
      </c>
      <c r="AH14" s="83" t="str">
        <f ca="1">IFERROR(__xludf.DUMMYFUNCTION("""COMPUTED_VALUE"""),"Conversion of a statement/real life situation into a linear equation involving two variables.")</f>
        <v>Conversion of a statement/real life situation into a linear equation involving two variables.</v>
      </c>
      <c r="AI14" s="83" t="str">
        <f ca="1">IFERROR(__xludf.DUMMYFUNCTION("""COMPUTED_VALUE"""),"LU001222")</f>
        <v>LU001222</v>
      </c>
      <c r="AJ14" s="83" t="str">
        <f ca="1">IFERROR(__xludf.DUMMYFUNCTION("""COMPUTED_VALUE"""),"Introduction to linear equation in two variables [definition, linear equation in form ax+by+c=0 where a, b, c are real numbers and a and b are non-zero] ")</f>
        <v xml:space="preserve">Introduction to linear equation in two variables [definition, linear equation in form ax+by+c=0 where a, b, c are real numbers and a and b are non-zero] </v>
      </c>
      <c r="AK14" s="83"/>
      <c r="AL14" s="83"/>
      <c r="AM14" s="83"/>
      <c r="AN14" s="83"/>
      <c r="AO14" s="83"/>
      <c r="AP14" s="83"/>
      <c r="AQ14" s="83"/>
      <c r="AR14" s="83"/>
      <c r="AS14" s="83"/>
      <c r="AT14" s="83"/>
    </row>
    <row r="15" spans="1:46" ht="41.4">
      <c r="A15" s="8" t="s">
        <v>247</v>
      </c>
      <c r="B15" s="82" t="s">
        <v>47</v>
      </c>
      <c r="C15" s="82" t="s">
        <v>1172</v>
      </c>
      <c r="D15" s="83" t="s">
        <v>732</v>
      </c>
      <c r="E15" s="82" t="s">
        <v>1204</v>
      </c>
      <c r="F15" s="82" t="s">
        <v>1208</v>
      </c>
      <c r="G15" s="90" t="s">
        <v>1209</v>
      </c>
      <c r="H15" s="91" t="s">
        <v>1210</v>
      </c>
      <c r="I15" s="68" t="str">
        <f t="shared" si="0"/>
        <v>LU001445.001</v>
      </c>
      <c r="J15" s="69" t="str">
        <f ca="1">IFERROR(__xludf.DUMMYFUNCTION("VLOOKUP(I15, IMPORTRANGE(""https://docs.google.com/spreadsheets/d/1yDAaXNsi4Mr5FtRQL4tbmSdIzhx6_m4wkOD7IG-k_eo/edit#gid=0"", ""Maths!M:N""), 2, FALSE)"),"(LU001445.001); Default - Remember")</f>
        <v>(LU001445.001); Default - Remember</v>
      </c>
      <c r="K15" s="69" t="str">
        <f t="shared" si="1"/>
        <v>LU001445.002</v>
      </c>
      <c r="L15" s="69" t="str">
        <f ca="1">IFERROR(__xludf.DUMMYFUNCTION("VLOOKUP(K15, IMPORTRANGE(""https://docs.google.com/spreadsheets/d/1yDAaXNsi4Mr5FtRQL4tbmSdIzhx6_m4wkOD7IG-k_eo/edit#gid=0"", ""Maths!M:N""), 2, FALSE)"),"(LU001445.002); Default - Understand")</f>
        <v>(LU001445.002); Default - Understand</v>
      </c>
      <c r="M15" s="69" t="str">
        <f t="shared" si="2"/>
        <v>LU001445.003</v>
      </c>
      <c r="N15" s="69" t="str">
        <f ca="1">IFERROR(__xludf.DUMMYFUNCTION("VLOOKUP(M15, IMPORTRANGE(""https://docs.google.com/spreadsheets/d/1yDAaXNsi4Mr5FtRQL4tbmSdIzhx6_m4wkOD7IG-k_eo/edit#gid=0"", ""Maths!M:N""), 2, FALSE)"),"(LU001445.003); Default - Apply")</f>
        <v>(LU001445.003); Default - Apply</v>
      </c>
      <c r="O15" s="69" t="str">
        <f t="shared" si="3"/>
        <v>LU001445.004</v>
      </c>
      <c r="P15" s="69" t="str">
        <f ca="1">IFERROR(__xludf.DUMMYFUNCTION("VLOOKUP(O15, IMPORTRANGE(""https://docs.google.com/spreadsheets/d/1yDAaXNsi4Mr5FtRQL4tbmSdIzhx6_m4wkOD7IG-k_eo/edit#gid=0"", ""Maths!M:N""), 2, FALSE)"),"(LU001445.004); Default - Analyse")</f>
        <v>(LU001445.004); Default - Analyse</v>
      </c>
      <c r="Q15" s="69" t="str">
        <f t="shared" si="4"/>
        <v>LU001445.005</v>
      </c>
      <c r="R15" s="69" t="str">
        <f ca="1">IFERROR(__xludf.DUMMYFUNCTION("VLOOKUP(Q15, IMPORTRANGE(""https://docs.google.com/spreadsheets/d/1yDAaXNsi4Mr5FtRQL4tbmSdIzhx6_m4wkOD7IG-k_eo/edit#gid=0"", ""Maths!M:N""), 2, FALSE)"),"(LU001445.005); Default - Evaluate")</f>
        <v>(LU001445.005); Default - Evaluate</v>
      </c>
      <c r="S15" s="69" t="str">
        <f t="shared" si="5"/>
        <v>LU001445.006</v>
      </c>
      <c r="T15" s="69" t="str">
        <f ca="1">IFERROR(__xludf.DUMMYFUNCTION("VLOOKUP(S15, IMPORTRANGE(""https://docs.google.com/spreadsheets/d/1yDAaXNsi4Mr5FtRQL4tbmSdIzhx6_m4wkOD7IG-k_eo/edit#gid=0"", ""Maths!M:N""), 2, FALSE)"),"(LU001445.006); Default - Create")</f>
        <v>(LU001445.006); Default - Create</v>
      </c>
      <c r="U15" s="11" t="str">
        <f ca="1">IFERROR(__xludf.DUMMYFUNCTION("ArrayFormula(VLOOKUP(G15, IMPORTRANGE(""https://docs.google.com/spreadsheets/d/1p7R4vtkWt5VOBim4ltsDG9KTzSjrtKXsMtQGXPHyND0/edit#gid=795171502"", ""'Filter 30_05_2024'!A1:M2000""), {2, 3, 4, 5,6,7,8,9,10,11,12,13}, 0))"),"#N/A")</f>
        <v>#N/A</v>
      </c>
      <c r="V15" s="11" t="str">
        <f ca="1">IFERROR(__xludf.DUMMYFUNCTION("""COMPUTED_VALUE"""),"#N/A")</f>
        <v>#N/A</v>
      </c>
      <c r="W15" s="11" t="str">
        <f ca="1">IFERROR(__xludf.DUMMYFUNCTION("""COMPUTED_VALUE"""),"#N/A")</f>
        <v>#N/A</v>
      </c>
      <c r="X15" s="11" t="str">
        <f ca="1">IFERROR(__xludf.DUMMYFUNCTION("""COMPUTED_VALUE"""),"#N/A")</f>
        <v>#N/A</v>
      </c>
      <c r="Y15" s="11" t="str">
        <f ca="1">IFERROR(__xludf.DUMMYFUNCTION("""COMPUTED_VALUE"""),"#N/A")</f>
        <v>#N/A</v>
      </c>
      <c r="Z15" s="12" t="str">
        <f ca="1">IFERROR(__xludf.DUMMYFUNCTION("""COMPUTED_VALUE"""),"#N/A")</f>
        <v>#N/A</v>
      </c>
      <c r="AA15" s="12" t="str">
        <f ca="1">IFERROR(__xludf.DUMMYFUNCTION("""COMPUTED_VALUE"""),"#N/A")</f>
        <v>#N/A</v>
      </c>
      <c r="AB15" s="12" t="str">
        <f ca="1">IFERROR(__xludf.DUMMYFUNCTION("""COMPUTED_VALUE"""),"#N/A")</f>
        <v>#N/A</v>
      </c>
      <c r="AC15" s="11" t="str">
        <f ca="1">IFERROR(__xludf.DUMMYFUNCTION("""COMPUTED_VALUE"""),"#N/A")</f>
        <v>#N/A</v>
      </c>
      <c r="AD15" s="12" t="str">
        <f ca="1">IFERROR(__xludf.DUMMYFUNCTION("""COMPUTED_VALUE"""),"#N/A")</f>
        <v>#N/A</v>
      </c>
      <c r="AE15" s="12" t="str">
        <f ca="1">IFERROR(__xludf.DUMMYFUNCTION("""COMPUTED_VALUE"""),"#N/A")</f>
        <v>#N/A</v>
      </c>
      <c r="AF15" s="12" t="str">
        <f ca="1">IFERROR(__xludf.DUMMYFUNCTION("""COMPUTED_VALUE"""),"#N/A")</f>
        <v>#N/A</v>
      </c>
      <c r="AG15" s="86" t="str">
        <f ca="1">IFERROR(__xludf.DUMMYFUNCTION("ArrayFormula(VLOOKUP(G15, IMPORTRANGE(""https://docs.google.com/spreadsheets/d/1Co934fvtviyaRiMsrIlT05Jaq7iiYq07aLvRr35KA48/edit?gid=173865642#gid=173865642"", ""'G10_Maths_Pri_LU'!G2:V2000""), {3, 4, 5, 6, 7, 8, 9, 10, 11, 12, 13, 14, 15, 16}, 0))"),"LU001222")</f>
        <v>LU001222</v>
      </c>
      <c r="AH15" s="83" t="str">
        <f ca="1">IFERROR(__xludf.DUMMYFUNCTION("""COMPUTED_VALUE"""),"Introduction to linear equation in two variables [definition, linear equation in form ax+by+c=0 where a, b, c are real numbers and a and b are non-zero] ")</f>
        <v xml:space="preserve">Introduction to linear equation in two variables [definition, linear equation in form ax+by+c=0 where a, b, c are real numbers and a and b are non-zero] </v>
      </c>
      <c r="AI15" s="83"/>
      <c r="AJ15" s="83"/>
      <c r="AK15" s="83"/>
      <c r="AL15" s="83"/>
      <c r="AM15" s="83"/>
      <c r="AN15" s="83"/>
      <c r="AO15" s="83"/>
      <c r="AP15" s="83"/>
      <c r="AQ15" s="83"/>
      <c r="AR15" s="83"/>
      <c r="AS15" s="83"/>
      <c r="AT15" s="83"/>
    </row>
    <row r="16" spans="1:46" ht="27.6">
      <c r="A16" s="8" t="s">
        <v>247</v>
      </c>
      <c r="B16" s="82" t="s">
        <v>47</v>
      </c>
      <c r="C16" s="82" t="s">
        <v>1172</v>
      </c>
      <c r="D16" s="83" t="s">
        <v>732</v>
      </c>
      <c r="E16" s="82" t="s">
        <v>1204</v>
      </c>
      <c r="F16" s="82" t="s">
        <v>1208</v>
      </c>
      <c r="G16" s="84" t="s">
        <v>1211</v>
      </c>
      <c r="H16" s="85" t="s">
        <v>1212</v>
      </c>
      <c r="I16" s="68" t="str">
        <f t="shared" si="0"/>
        <v>LU001446.001</v>
      </c>
      <c r="J16" s="69" t="str">
        <f ca="1">IFERROR(__xludf.DUMMYFUNCTION("VLOOKUP(I16, IMPORTRANGE(""https://docs.google.com/spreadsheets/d/1yDAaXNsi4Mr5FtRQL4tbmSdIzhx6_m4wkOD7IG-k_eo/edit#gid=0"", ""Maths!M:N""), 2, FALSE)"),"(LU001446.001); Default - Remember")</f>
        <v>(LU001446.001); Default - Remember</v>
      </c>
      <c r="K16" s="69" t="str">
        <f t="shared" si="1"/>
        <v>LU001446.002</v>
      </c>
      <c r="L16" s="69" t="str">
        <f ca="1">IFERROR(__xludf.DUMMYFUNCTION("VLOOKUP(K16, IMPORTRANGE(""https://docs.google.com/spreadsheets/d/1yDAaXNsi4Mr5FtRQL4tbmSdIzhx6_m4wkOD7IG-k_eo/edit#gid=0"", ""Maths!M:N""), 2, FALSE)"),"(LU001446.002); Default - Understand")</f>
        <v>(LU001446.002); Default - Understand</v>
      </c>
      <c r="M16" s="69" t="str">
        <f t="shared" si="2"/>
        <v>LU001446.003</v>
      </c>
      <c r="N16" s="69" t="str">
        <f ca="1">IFERROR(__xludf.DUMMYFUNCTION("VLOOKUP(M16, IMPORTRANGE(""https://docs.google.com/spreadsheets/d/1yDAaXNsi4Mr5FtRQL4tbmSdIzhx6_m4wkOD7IG-k_eo/edit#gid=0"", ""Maths!M:N""), 2, FALSE)"),"(LU001446.003); Default - Apply")</f>
        <v>(LU001446.003); Default - Apply</v>
      </c>
      <c r="O16" s="69" t="str">
        <f t="shared" si="3"/>
        <v>LU001446.004</v>
      </c>
      <c r="P16" s="69" t="str">
        <f ca="1">IFERROR(__xludf.DUMMYFUNCTION("VLOOKUP(O16, IMPORTRANGE(""https://docs.google.com/spreadsheets/d/1yDAaXNsi4Mr5FtRQL4tbmSdIzhx6_m4wkOD7IG-k_eo/edit#gid=0"", ""Maths!M:N""), 2, FALSE)"),"(LU001446.004); Default - Analyse")</f>
        <v>(LU001446.004); Default - Analyse</v>
      </c>
      <c r="Q16" s="69" t="str">
        <f t="shared" si="4"/>
        <v>LU001446.005</v>
      </c>
      <c r="R16" s="69" t="str">
        <f ca="1">IFERROR(__xludf.DUMMYFUNCTION("VLOOKUP(Q16, IMPORTRANGE(""https://docs.google.com/spreadsheets/d/1yDAaXNsi4Mr5FtRQL4tbmSdIzhx6_m4wkOD7IG-k_eo/edit#gid=0"", ""Maths!M:N""), 2, FALSE)"),"(LU001446.005); Default - Evaluate")</f>
        <v>(LU001446.005); Default - Evaluate</v>
      </c>
      <c r="S16" s="69" t="str">
        <f t="shared" si="5"/>
        <v>LU001446.006</v>
      </c>
      <c r="T16" s="69" t="str">
        <f ca="1">IFERROR(__xludf.DUMMYFUNCTION("VLOOKUP(S16, IMPORTRANGE(""https://docs.google.com/spreadsheets/d/1yDAaXNsi4Mr5FtRQL4tbmSdIzhx6_m4wkOD7IG-k_eo/edit#gid=0"", ""Maths!M:N""), 2, FALSE)"),"(LU001446.006); Default - Create")</f>
        <v>(LU001446.006); Default - Create</v>
      </c>
      <c r="U16" s="11" t="str">
        <f ca="1">IFERROR(__xludf.DUMMYFUNCTION("ArrayFormula(VLOOKUP(G16, IMPORTRANGE(""https://docs.google.com/spreadsheets/d/1p7R4vtkWt5VOBim4ltsDG9KTzSjrtKXsMtQGXPHyND0/edit#gid=795171502"", ""'Filter 30_05_2024'!A1:M2000""), {2, 3, 4, 5,6,7,8,9,10,11,12,13}, 0))"),"#N/A")</f>
        <v>#N/A</v>
      </c>
      <c r="V16" s="11" t="str">
        <f ca="1">IFERROR(__xludf.DUMMYFUNCTION("""COMPUTED_VALUE"""),"#N/A")</f>
        <v>#N/A</v>
      </c>
      <c r="W16" s="11" t="str">
        <f ca="1">IFERROR(__xludf.DUMMYFUNCTION("""COMPUTED_VALUE"""),"#N/A")</f>
        <v>#N/A</v>
      </c>
      <c r="X16" s="11" t="str">
        <f ca="1">IFERROR(__xludf.DUMMYFUNCTION("""COMPUTED_VALUE"""),"#N/A")</f>
        <v>#N/A</v>
      </c>
      <c r="Y16" s="11" t="str">
        <f ca="1">IFERROR(__xludf.DUMMYFUNCTION("""COMPUTED_VALUE"""),"#N/A")</f>
        <v>#N/A</v>
      </c>
      <c r="Z16" s="12" t="str">
        <f ca="1">IFERROR(__xludf.DUMMYFUNCTION("""COMPUTED_VALUE"""),"#N/A")</f>
        <v>#N/A</v>
      </c>
      <c r="AA16" s="12" t="str">
        <f ca="1">IFERROR(__xludf.DUMMYFUNCTION("""COMPUTED_VALUE"""),"#N/A")</f>
        <v>#N/A</v>
      </c>
      <c r="AB16" s="12" t="str">
        <f ca="1">IFERROR(__xludf.DUMMYFUNCTION("""COMPUTED_VALUE"""),"#N/A")</f>
        <v>#N/A</v>
      </c>
      <c r="AC16" s="11" t="str">
        <f ca="1">IFERROR(__xludf.DUMMYFUNCTION("""COMPUTED_VALUE"""),"#N/A")</f>
        <v>#N/A</v>
      </c>
      <c r="AD16" s="12" t="str">
        <f ca="1">IFERROR(__xludf.DUMMYFUNCTION("""COMPUTED_VALUE"""),"#N/A")</f>
        <v>#N/A</v>
      </c>
      <c r="AE16" s="12" t="str">
        <f ca="1">IFERROR(__xludf.DUMMYFUNCTION("""COMPUTED_VALUE"""),"#N/A")</f>
        <v>#N/A</v>
      </c>
      <c r="AF16" s="12" t="str">
        <f ca="1">IFERROR(__xludf.DUMMYFUNCTION("""COMPUTED_VALUE"""),"#N/A")</f>
        <v>#N/A</v>
      </c>
      <c r="AG16" s="86" t="str">
        <f ca="1">IFERROR(__xludf.DUMMYFUNCTION("ArrayFormula(VLOOKUP(G16, IMPORTRANGE(""https://docs.google.com/spreadsheets/d/1Co934fvtviyaRiMsrIlT05Jaq7iiYq07aLvRr35KA48/edit?gid=173865642#gid=173865642"", ""'G10_Maths_Pri_LU'!G2:V2000""), {3, 4, 5, 6, 7, 8, 9, 10, 11, 12, 13, 14, 15, 16}, 0))"),"LU001222")</f>
        <v>LU001222</v>
      </c>
      <c r="AH16" s="83" t="str">
        <f ca="1">IFERROR(__xludf.DUMMYFUNCTION("""COMPUTED_VALUE"""),"Introduction to linear equation in two variables [definition, linear equation in form ax+by+c=0 where a, b, c are real numbers and a and b are non-zero] ")</f>
        <v xml:space="preserve">Introduction to linear equation in two variables [definition, linear equation in form ax+by+c=0 where a, b, c are real numbers and a and b are non-zero] </v>
      </c>
      <c r="AI16" s="83"/>
      <c r="AJ16" s="83"/>
      <c r="AK16" s="83"/>
      <c r="AL16" s="83"/>
      <c r="AM16" s="83"/>
      <c r="AN16" s="83"/>
      <c r="AO16" s="83"/>
      <c r="AP16" s="83"/>
      <c r="AQ16" s="83"/>
      <c r="AR16" s="83"/>
      <c r="AS16" s="83"/>
      <c r="AT16" s="83"/>
    </row>
    <row r="17" spans="1:46" ht="27.6">
      <c r="A17" s="8" t="s">
        <v>247</v>
      </c>
      <c r="B17" s="82" t="s">
        <v>47</v>
      </c>
      <c r="C17" s="82" t="s">
        <v>1172</v>
      </c>
      <c r="D17" s="83" t="s">
        <v>732</v>
      </c>
      <c r="E17" s="82" t="s">
        <v>1204</v>
      </c>
      <c r="F17" s="82" t="s">
        <v>1208</v>
      </c>
      <c r="G17" s="90" t="s">
        <v>1213</v>
      </c>
      <c r="H17" s="91" t="s">
        <v>1214</v>
      </c>
      <c r="I17" s="68" t="str">
        <f t="shared" si="0"/>
        <v>LU001447.001</v>
      </c>
      <c r="J17" s="69" t="str">
        <f ca="1">IFERROR(__xludf.DUMMYFUNCTION("VLOOKUP(I17, IMPORTRANGE(""https://docs.google.com/spreadsheets/d/1yDAaXNsi4Mr5FtRQL4tbmSdIzhx6_m4wkOD7IG-k_eo/edit#gid=0"", ""Maths!M:N""), 2, FALSE)"),"(LU001447.001); Default - Remember")</f>
        <v>(LU001447.001); Default - Remember</v>
      </c>
      <c r="K17" s="69" t="str">
        <f t="shared" si="1"/>
        <v>LU001447.002</v>
      </c>
      <c r="L17" s="69" t="str">
        <f ca="1">IFERROR(__xludf.DUMMYFUNCTION("VLOOKUP(K17, IMPORTRANGE(""https://docs.google.com/spreadsheets/d/1yDAaXNsi4Mr5FtRQL4tbmSdIzhx6_m4wkOD7IG-k_eo/edit#gid=0"", ""Maths!M:N""), 2, FALSE)"),"(LU001447.002); Default - Understand")</f>
        <v>(LU001447.002); Default - Understand</v>
      </c>
      <c r="M17" s="69" t="str">
        <f t="shared" si="2"/>
        <v>LU001447.003</v>
      </c>
      <c r="N17" s="69" t="str">
        <f ca="1">IFERROR(__xludf.DUMMYFUNCTION("VLOOKUP(M17, IMPORTRANGE(""https://docs.google.com/spreadsheets/d/1yDAaXNsi4Mr5FtRQL4tbmSdIzhx6_m4wkOD7IG-k_eo/edit#gid=0"", ""Maths!M:N""), 2, FALSE)"),"(LU001447.003); Default - Apply")</f>
        <v>(LU001447.003); Default - Apply</v>
      </c>
      <c r="O17" s="69" t="str">
        <f t="shared" si="3"/>
        <v>LU001447.004</v>
      </c>
      <c r="P17" s="69" t="str">
        <f ca="1">IFERROR(__xludf.DUMMYFUNCTION("VLOOKUP(O17, IMPORTRANGE(""https://docs.google.com/spreadsheets/d/1yDAaXNsi4Mr5FtRQL4tbmSdIzhx6_m4wkOD7IG-k_eo/edit#gid=0"", ""Maths!M:N""), 2, FALSE)"),"(LU001447.004); Default - Analyse")</f>
        <v>(LU001447.004); Default - Analyse</v>
      </c>
      <c r="Q17" s="69" t="str">
        <f t="shared" si="4"/>
        <v>LU001447.005</v>
      </c>
      <c r="R17" s="69" t="str">
        <f ca="1">IFERROR(__xludf.DUMMYFUNCTION("VLOOKUP(Q17, IMPORTRANGE(""https://docs.google.com/spreadsheets/d/1yDAaXNsi4Mr5FtRQL4tbmSdIzhx6_m4wkOD7IG-k_eo/edit#gid=0"", ""Maths!M:N""), 2, FALSE)"),"(LU001447.005); Default - Evaluate")</f>
        <v>(LU001447.005); Default - Evaluate</v>
      </c>
      <c r="S17" s="69" t="str">
        <f t="shared" si="5"/>
        <v>LU001447.006</v>
      </c>
      <c r="T17" s="69" t="str">
        <f ca="1">IFERROR(__xludf.DUMMYFUNCTION("VLOOKUP(S17, IMPORTRANGE(""https://docs.google.com/spreadsheets/d/1yDAaXNsi4Mr5FtRQL4tbmSdIzhx6_m4wkOD7IG-k_eo/edit#gid=0"", ""Maths!M:N""), 2, FALSE)"),"(LU001447.006); Default - Create")</f>
        <v>(LU001447.006); Default - Create</v>
      </c>
      <c r="U17" s="11" t="str">
        <f ca="1">IFERROR(__xludf.DUMMYFUNCTION("ArrayFormula(VLOOKUP(G17, IMPORTRANGE(""https://docs.google.com/spreadsheets/d/1p7R4vtkWt5VOBim4ltsDG9KTzSjrtKXsMtQGXPHyND0/edit#gid=795171502"", ""'Filter 30_05_2024'!A1:M2000""), {2, 3, 4, 5,6,7,8,9,10,11,12,13}, 0))"),"#N/A")</f>
        <v>#N/A</v>
      </c>
      <c r="V17" s="11" t="str">
        <f ca="1">IFERROR(__xludf.DUMMYFUNCTION("""COMPUTED_VALUE"""),"#N/A")</f>
        <v>#N/A</v>
      </c>
      <c r="W17" s="11" t="str">
        <f ca="1">IFERROR(__xludf.DUMMYFUNCTION("""COMPUTED_VALUE"""),"#N/A")</f>
        <v>#N/A</v>
      </c>
      <c r="X17" s="11" t="str">
        <f ca="1">IFERROR(__xludf.DUMMYFUNCTION("""COMPUTED_VALUE"""),"#N/A")</f>
        <v>#N/A</v>
      </c>
      <c r="Y17" s="11" t="str">
        <f ca="1">IFERROR(__xludf.DUMMYFUNCTION("""COMPUTED_VALUE"""),"#N/A")</f>
        <v>#N/A</v>
      </c>
      <c r="Z17" s="12" t="str">
        <f ca="1">IFERROR(__xludf.DUMMYFUNCTION("""COMPUTED_VALUE"""),"#N/A")</f>
        <v>#N/A</v>
      </c>
      <c r="AA17" s="12" t="str">
        <f ca="1">IFERROR(__xludf.DUMMYFUNCTION("""COMPUTED_VALUE"""),"#N/A")</f>
        <v>#N/A</v>
      </c>
      <c r="AB17" s="12" t="str">
        <f ca="1">IFERROR(__xludf.DUMMYFUNCTION("""COMPUTED_VALUE"""),"#N/A")</f>
        <v>#N/A</v>
      </c>
      <c r="AC17" s="11" t="str">
        <f ca="1">IFERROR(__xludf.DUMMYFUNCTION("""COMPUTED_VALUE"""),"#N/A")</f>
        <v>#N/A</v>
      </c>
      <c r="AD17" s="12" t="str">
        <f ca="1">IFERROR(__xludf.DUMMYFUNCTION("""COMPUTED_VALUE"""),"#N/A")</f>
        <v>#N/A</v>
      </c>
      <c r="AE17" s="12" t="str">
        <f ca="1">IFERROR(__xludf.DUMMYFUNCTION("""COMPUTED_VALUE"""),"#N/A")</f>
        <v>#N/A</v>
      </c>
      <c r="AF17" s="12" t="str">
        <f ca="1">IFERROR(__xludf.DUMMYFUNCTION("""COMPUTED_VALUE"""),"#N/A")</f>
        <v>#N/A</v>
      </c>
      <c r="AG17" s="86" t="str">
        <f ca="1">IFERROR(__xludf.DUMMYFUNCTION("ArrayFormula(VLOOKUP(G17, IMPORTRANGE(""https://docs.google.com/spreadsheets/d/1Co934fvtviyaRiMsrIlT05Jaq7iiYq07aLvRr35KA48/edit?gid=173865642#gid=173865642"", ""'G10_Maths_Pri_LU'!G2:V2000""), {3, 4, 5, 6, 7, 8, 9, 10, 11, 12, 13, 14, 15, 16}, 0))"),"LU001445")</f>
        <v>LU001445</v>
      </c>
      <c r="AH17" s="83" t="str">
        <f ca="1">IFERROR(__xludf.DUMMYFUNCTION("""COMPUTED_VALUE"""),"Consistent pair of linear equations in two variables (Intersecting or coincident)")</f>
        <v>Consistent pair of linear equations in two variables (Intersecting or coincident)</v>
      </c>
      <c r="AI17" s="83"/>
      <c r="AJ17" s="83"/>
      <c r="AK17" s="83"/>
      <c r="AL17" s="83"/>
      <c r="AM17" s="83"/>
      <c r="AN17" s="83"/>
      <c r="AO17" s="83"/>
      <c r="AP17" s="83"/>
      <c r="AQ17" s="83"/>
      <c r="AR17" s="83"/>
      <c r="AS17" s="83"/>
      <c r="AT17" s="83"/>
    </row>
    <row r="18" spans="1:46" ht="27.6">
      <c r="A18" s="8" t="s">
        <v>247</v>
      </c>
      <c r="B18" s="82" t="s">
        <v>47</v>
      </c>
      <c r="C18" s="82" t="s">
        <v>1172</v>
      </c>
      <c r="D18" s="83" t="s">
        <v>732</v>
      </c>
      <c r="E18" s="82" t="s">
        <v>1204</v>
      </c>
      <c r="F18" s="82" t="s">
        <v>1215</v>
      </c>
      <c r="G18" s="84" t="s">
        <v>1216</v>
      </c>
      <c r="H18" s="85" t="s">
        <v>1217</v>
      </c>
      <c r="I18" s="68" t="str">
        <f t="shared" si="0"/>
        <v>LU001448.001</v>
      </c>
      <c r="J18" s="69" t="str">
        <f ca="1">IFERROR(__xludf.DUMMYFUNCTION("VLOOKUP(I18, IMPORTRANGE(""https://docs.google.com/spreadsheets/d/1yDAaXNsi4Mr5FtRQL4tbmSdIzhx6_m4wkOD7IG-k_eo/edit#gid=0"", ""Maths!M:N""), 2, FALSE)"),"(LU001448.001); Default - Remember")</f>
        <v>(LU001448.001); Default - Remember</v>
      </c>
      <c r="K18" s="69" t="str">
        <f t="shared" si="1"/>
        <v>LU001448.002</v>
      </c>
      <c r="L18" s="69" t="str">
        <f ca="1">IFERROR(__xludf.DUMMYFUNCTION("VLOOKUP(K18, IMPORTRANGE(""https://docs.google.com/spreadsheets/d/1yDAaXNsi4Mr5FtRQL4tbmSdIzhx6_m4wkOD7IG-k_eo/edit#gid=0"", ""Maths!M:N""), 2, FALSE)"),"(LU001448.002); Default - Understand")</f>
        <v>(LU001448.002); Default - Understand</v>
      </c>
      <c r="M18" s="69" t="str">
        <f t="shared" si="2"/>
        <v>LU001448.003</v>
      </c>
      <c r="N18" s="69" t="str">
        <f ca="1">IFERROR(__xludf.DUMMYFUNCTION("VLOOKUP(M18, IMPORTRANGE(""https://docs.google.com/spreadsheets/d/1yDAaXNsi4Mr5FtRQL4tbmSdIzhx6_m4wkOD7IG-k_eo/edit#gid=0"", ""Maths!M:N""), 2, FALSE)"),"(LU001448.003); Default - Apply")</f>
        <v>(LU001448.003); Default - Apply</v>
      </c>
      <c r="O18" s="69" t="str">
        <f t="shared" si="3"/>
        <v>LU001448.004</v>
      </c>
      <c r="P18" s="69" t="str">
        <f ca="1">IFERROR(__xludf.DUMMYFUNCTION("VLOOKUP(O18, IMPORTRANGE(""https://docs.google.com/spreadsheets/d/1yDAaXNsi4Mr5FtRQL4tbmSdIzhx6_m4wkOD7IG-k_eo/edit#gid=0"", ""Maths!M:N""), 2, FALSE)"),"(LU001448.004); Default - Analyse")</f>
        <v>(LU001448.004); Default - Analyse</v>
      </c>
      <c r="Q18" s="69" t="str">
        <f t="shared" si="4"/>
        <v>LU001448.005</v>
      </c>
      <c r="R18" s="69" t="str">
        <f ca="1">IFERROR(__xludf.DUMMYFUNCTION("VLOOKUP(Q18, IMPORTRANGE(""https://docs.google.com/spreadsheets/d/1yDAaXNsi4Mr5FtRQL4tbmSdIzhx6_m4wkOD7IG-k_eo/edit#gid=0"", ""Maths!M:N""), 2, FALSE)"),"(LU001448.005); Default - Evaluate")</f>
        <v>(LU001448.005); Default - Evaluate</v>
      </c>
      <c r="S18" s="69" t="str">
        <f t="shared" si="5"/>
        <v>LU001448.006</v>
      </c>
      <c r="T18" s="69" t="str">
        <f ca="1">IFERROR(__xludf.DUMMYFUNCTION("VLOOKUP(S18, IMPORTRANGE(""https://docs.google.com/spreadsheets/d/1yDAaXNsi4Mr5FtRQL4tbmSdIzhx6_m4wkOD7IG-k_eo/edit#gid=0"", ""Maths!M:N""), 2, FALSE)"),"(LU001448.006); Default - Create")</f>
        <v>(LU001448.006); Default - Create</v>
      </c>
      <c r="U18" s="11" t="str">
        <f ca="1">IFERROR(__xludf.DUMMYFUNCTION("ArrayFormula(VLOOKUP(G18, IMPORTRANGE(""https://docs.google.com/spreadsheets/d/1p7R4vtkWt5VOBim4ltsDG9KTzSjrtKXsMtQGXPHyND0/edit#gid=795171502"", ""'Filter 30_05_2024'!A1:M2000""), {2, 3, 4, 5,6,7,8,9,10,11,12,13}, 0))"),"#N/A")</f>
        <v>#N/A</v>
      </c>
      <c r="V18" s="11" t="str">
        <f ca="1">IFERROR(__xludf.DUMMYFUNCTION("""COMPUTED_VALUE"""),"#N/A")</f>
        <v>#N/A</v>
      </c>
      <c r="W18" s="11" t="str">
        <f ca="1">IFERROR(__xludf.DUMMYFUNCTION("""COMPUTED_VALUE"""),"#N/A")</f>
        <v>#N/A</v>
      </c>
      <c r="X18" s="11" t="str">
        <f ca="1">IFERROR(__xludf.DUMMYFUNCTION("""COMPUTED_VALUE"""),"#N/A")</f>
        <v>#N/A</v>
      </c>
      <c r="Y18" s="11" t="str">
        <f ca="1">IFERROR(__xludf.DUMMYFUNCTION("""COMPUTED_VALUE"""),"#N/A")</f>
        <v>#N/A</v>
      </c>
      <c r="Z18" s="12" t="str">
        <f ca="1">IFERROR(__xludf.DUMMYFUNCTION("""COMPUTED_VALUE"""),"#N/A")</f>
        <v>#N/A</v>
      </c>
      <c r="AA18" s="12" t="str">
        <f ca="1">IFERROR(__xludf.DUMMYFUNCTION("""COMPUTED_VALUE"""),"#N/A")</f>
        <v>#N/A</v>
      </c>
      <c r="AB18" s="12" t="str">
        <f ca="1">IFERROR(__xludf.DUMMYFUNCTION("""COMPUTED_VALUE"""),"#N/A")</f>
        <v>#N/A</v>
      </c>
      <c r="AC18" s="11" t="str">
        <f ca="1">IFERROR(__xludf.DUMMYFUNCTION("""COMPUTED_VALUE"""),"#N/A")</f>
        <v>#N/A</v>
      </c>
      <c r="AD18" s="12" t="str">
        <f ca="1">IFERROR(__xludf.DUMMYFUNCTION("""COMPUTED_VALUE"""),"#N/A")</f>
        <v>#N/A</v>
      </c>
      <c r="AE18" s="12" t="str">
        <f ca="1">IFERROR(__xludf.DUMMYFUNCTION("""COMPUTED_VALUE"""),"#N/A")</f>
        <v>#N/A</v>
      </c>
      <c r="AF18" s="12" t="str">
        <f ca="1">IFERROR(__xludf.DUMMYFUNCTION("""COMPUTED_VALUE"""),"#N/A")</f>
        <v>#N/A</v>
      </c>
      <c r="AG18" s="86" t="str">
        <f ca="1">IFERROR(__xludf.DUMMYFUNCTION("ArrayFormula(VLOOKUP(G18, IMPORTRANGE(""https://docs.google.com/spreadsheets/d/1Co934fvtviyaRiMsrIlT05Jaq7iiYq07aLvRr35KA48/edit?gid=173865642#gid=173865642"", ""'G10_Maths_Pri_LU'!G2:V2000""), {3, 4, 5, 6, 7, 8, 9, 10, 11, 12, 13, 14, 15, 16}, 0))"),"LU000784")</f>
        <v>LU000784</v>
      </c>
      <c r="AH18" s="83" t="str">
        <f ca="1">IFERROR(__xludf.DUMMYFUNCTION("""COMPUTED_VALUE"""),"Construction of a linear graph")</f>
        <v>Construction of a linear graph</v>
      </c>
      <c r="AI18" s="83" t="str">
        <f ca="1">IFERROR(__xludf.DUMMYFUNCTION("""COMPUTED_VALUE"""),"LU001445")</f>
        <v>LU001445</v>
      </c>
      <c r="AJ18" s="83" t="str">
        <f ca="1">IFERROR(__xludf.DUMMYFUNCTION("""COMPUTED_VALUE"""),"Consistent pair of linear equations in two variables (Intersecting or coincident)")</f>
        <v>Consistent pair of linear equations in two variables (Intersecting or coincident)</v>
      </c>
      <c r="AK18" s="83"/>
      <c r="AL18" s="83"/>
      <c r="AM18" s="83"/>
      <c r="AN18" s="83"/>
      <c r="AO18" s="83"/>
      <c r="AP18" s="83"/>
      <c r="AQ18" s="83"/>
      <c r="AR18" s="83"/>
      <c r="AS18" s="83"/>
      <c r="AT18" s="83"/>
    </row>
    <row r="19" spans="1:46" ht="41.4">
      <c r="A19" s="8" t="s">
        <v>247</v>
      </c>
      <c r="B19" s="82" t="s">
        <v>47</v>
      </c>
      <c r="C19" s="82" t="s">
        <v>1172</v>
      </c>
      <c r="D19" s="83" t="s">
        <v>732</v>
      </c>
      <c r="E19" s="82" t="s">
        <v>1204</v>
      </c>
      <c r="F19" s="82" t="s">
        <v>1215</v>
      </c>
      <c r="G19" s="90" t="s">
        <v>1218</v>
      </c>
      <c r="H19" s="91" t="s">
        <v>1219</v>
      </c>
      <c r="I19" s="68" t="str">
        <f t="shared" si="0"/>
        <v>LU001449.001</v>
      </c>
      <c r="J19" s="69" t="str">
        <f ca="1">IFERROR(__xludf.DUMMYFUNCTION("VLOOKUP(I19, IMPORTRANGE(""https://docs.google.com/spreadsheets/d/1yDAaXNsi4Mr5FtRQL4tbmSdIzhx6_m4wkOD7IG-k_eo/edit#gid=0"", ""Maths!M:N""), 2, FALSE)"),"(LU001449.001); Default - Remember")</f>
        <v>(LU001449.001); Default - Remember</v>
      </c>
      <c r="K19" s="69" t="str">
        <f t="shared" si="1"/>
        <v>LU001449.002</v>
      </c>
      <c r="L19" s="69" t="str">
        <f ca="1">IFERROR(__xludf.DUMMYFUNCTION("VLOOKUP(K19, IMPORTRANGE(""https://docs.google.com/spreadsheets/d/1yDAaXNsi4Mr5FtRQL4tbmSdIzhx6_m4wkOD7IG-k_eo/edit#gid=0"", ""Maths!M:N""), 2, FALSE)"),"(LU001449.002); Default - Understand")</f>
        <v>(LU001449.002); Default - Understand</v>
      </c>
      <c r="M19" s="69" t="str">
        <f t="shared" si="2"/>
        <v>LU001449.003</v>
      </c>
      <c r="N19" s="69" t="str">
        <f ca="1">IFERROR(__xludf.DUMMYFUNCTION("VLOOKUP(M19, IMPORTRANGE(""https://docs.google.com/spreadsheets/d/1yDAaXNsi4Mr5FtRQL4tbmSdIzhx6_m4wkOD7IG-k_eo/edit#gid=0"", ""Maths!M:N""), 2, FALSE)"),"(LU001449.003); Default - Apply")</f>
        <v>(LU001449.003); Default - Apply</v>
      </c>
      <c r="O19" s="69" t="str">
        <f t="shared" si="3"/>
        <v>LU001449.004</v>
      </c>
      <c r="P19" s="69" t="str">
        <f ca="1">IFERROR(__xludf.DUMMYFUNCTION("VLOOKUP(O19, IMPORTRANGE(""https://docs.google.com/spreadsheets/d/1yDAaXNsi4Mr5FtRQL4tbmSdIzhx6_m4wkOD7IG-k_eo/edit#gid=0"", ""Maths!M:N""), 2, FALSE)"),"(LU001449.004); Default - Analyse")</f>
        <v>(LU001449.004); Default - Analyse</v>
      </c>
      <c r="Q19" s="69" t="str">
        <f t="shared" si="4"/>
        <v>LU001449.005</v>
      </c>
      <c r="R19" s="69" t="str">
        <f ca="1">IFERROR(__xludf.DUMMYFUNCTION("VLOOKUP(Q19, IMPORTRANGE(""https://docs.google.com/spreadsheets/d/1yDAaXNsi4Mr5FtRQL4tbmSdIzhx6_m4wkOD7IG-k_eo/edit#gid=0"", ""Maths!M:N""), 2, FALSE)"),"(LU001449.005); Default - Evaluate")</f>
        <v>(LU001449.005); Default - Evaluate</v>
      </c>
      <c r="S19" s="69" t="str">
        <f t="shared" si="5"/>
        <v>LU001449.006</v>
      </c>
      <c r="T19" s="69" t="str">
        <f ca="1">IFERROR(__xludf.DUMMYFUNCTION("VLOOKUP(S19, IMPORTRANGE(""https://docs.google.com/spreadsheets/d/1yDAaXNsi4Mr5FtRQL4tbmSdIzhx6_m4wkOD7IG-k_eo/edit#gid=0"", ""Maths!M:N""), 2, FALSE)"),"(LU001449.006); Default - Create")</f>
        <v>(LU001449.006); Default - Create</v>
      </c>
      <c r="U19" s="11" t="str">
        <f ca="1">IFERROR(__xludf.DUMMYFUNCTION("ArrayFormula(VLOOKUP(G19, IMPORTRANGE(""https://docs.google.com/spreadsheets/d/1p7R4vtkWt5VOBim4ltsDG9KTzSjrtKXsMtQGXPHyND0/edit#gid=795171502"", ""'Filter 30_05_2024'!A1:M2000""), {2, 3, 4, 5,6,7,8,9,10,11,12,13}, 0))"),"#N/A")</f>
        <v>#N/A</v>
      </c>
      <c r="V19" s="11" t="str">
        <f ca="1">IFERROR(__xludf.DUMMYFUNCTION("""COMPUTED_VALUE"""),"#N/A")</f>
        <v>#N/A</v>
      </c>
      <c r="W19" s="11" t="str">
        <f ca="1">IFERROR(__xludf.DUMMYFUNCTION("""COMPUTED_VALUE"""),"#N/A")</f>
        <v>#N/A</v>
      </c>
      <c r="X19" s="11" t="str">
        <f ca="1">IFERROR(__xludf.DUMMYFUNCTION("""COMPUTED_VALUE"""),"#N/A")</f>
        <v>#N/A</v>
      </c>
      <c r="Y19" s="11" t="str">
        <f ca="1">IFERROR(__xludf.DUMMYFUNCTION("""COMPUTED_VALUE"""),"#N/A")</f>
        <v>#N/A</v>
      </c>
      <c r="Z19" s="12" t="str">
        <f ca="1">IFERROR(__xludf.DUMMYFUNCTION("""COMPUTED_VALUE"""),"#N/A")</f>
        <v>#N/A</v>
      </c>
      <c r="AA19" s="12" t="str">
        <f ca="1">IFERROR(__xludf.DUMMYFUNCTION("""COMPUTED_VALUE"""),"#N/A")</f>
        <v>#N/A</v>
      </c>
      <c r="AB19" s="12" t="str">
        <f ca="1">IFERROR(__xludf.DUMMYFUNCTION("""COMPUTED_VALUE"""),"#N/A")</f>
        <v>#N/A</v>
      </c>
      <c r="AC19" s="11" t="str">
        <f ca="1">IFERROR(__xludf.DUMMYFUNCTION("""COMPUTED_VALUE"""),"#N/A")</f>
        <v>#N/A</v>
      </c>
      <c r="AD19" s="12" t="str">
        <f ca="1">IFERROR(__xludf.DUMMYFUNCTION("""COMPUTED_VALUE"""),"#N/A")</f>
        <v>#N/A</v>
      </c>
      <c r="AE19" s="12" t="str">
        <f ca="1">IFERROR(__xludf.DUMMYFUNCTION("""COMPUTED_VALUE"""),"#N/A")</f>
        <v>#N/A</v>
      </c>
      <c r="AF19" s="12" t="str">
        <f ca="1">IFERROR(__xludf.DUMMYFUNCTION("""COMPUTED_VALUE"""),"#N/A")</f>
        <v>#N/A</v>
      </c>
      <c r="AG19" s="86" t="str">
        <f ca="1">IFERROR(__xludf.DUMMYFUNCTION("ArrayFormula(VLOOKUP(G19, IMPORTRANGE(""https://docs.google.com/spreadsheets/d/1Co934fvtviyaRiMsrIlT05Jaq7iiYq07aLvRr35KA48/edit?gid=173865642#gid=173865642"", ""'G10_Maths_Pri_LU'!G2:V2000""), {3, 4, 5, 6, 7, 8, 9, 10, 11, 12, 13, 14, 15, 16}, 0))"),"LU001448")</f>
        <v>LU001448</v>
      </c>
      <c r="AH19" s="83" t="str">
        <f ca="1">IFERROR(__xludf.DUMMYFUNCTION("""COMPUTED_VALUE"""),"Graphical method of solution of consistent pair of equations")</f>
        <v>Graphical method of solution of consistent pair of equations</v>
      </c>
      <c r="AI19" s="83" t="str">
        <f ca="1">IFERROR(__xludf.DUMMYFUNCTION("""COMPUTED_VALUE"""),"LU001446")</f>
        <v>LU001446</v>
      </c>
      <c r="AJ19" s="83" t="str">
        <f ca="1">IFERROR(__xludf.DUMMYFUNCTION("""COMPUTED_VALUE"""),"Inconsistent pair of linear equations in two variables (Parallel lines)")</f>
        <v>Inconsistent pair of linear equations in two variables (Parallel lines)</v>
      </c>
      <c r="AK19" s="83"/>
      <c r="AL19" s="83"/>
      <c r="AM19" s="83"/>
      <c r="AN19" s="83"/>
      <c r="AO19" s="83"/>
      <c r="AP19" s="83"/>
      <c r="AQ19" s="83"/>
      <c r="AR19" s="83"/>
      <c r="AS19" s="83"/>
      <c r="AT19" s="83"/>
    </row>
    <row r="20" spans="1:46" ht="27.6">
      <c r="A20" s="8" t="s">
        <v>247</v>
      </c>
      <c r="B20" s="82" t="s">
        <v>47</v>
      </c>
      <c r="C20" s="82" t="s">
        <v>1172</v>
      </c>
      <c r="D20" s="83" t="s">
        <v>732</v>
      </c>
      <c r="E20" s="82" t="s">
        <v>1204</v>
      </c>
      <c r="F20" s="82" t="s">
        <v>1220</v>
      </c>
      <c r="G20" s="90" t="s">
        <v>1221</v>
      </c>
      <c r="H20" s="91" t="s">
        <v>1222</v>
      </c>
      <c r="I20" s="68" t="str">
        <f t="shared" si="0"/>
        <v>LU001451.001</v>
      </c>
      <c r="J20" s="69" t="str">
        <f ca="1">IFERROR(__xludf.DUMMYFUNCTION("VLOOKUP(I20, IMPORTRANGE(""https://docs.google.com/spreadsheets/d/1yDAaXNsi4Mr5FtRQL4tbmSdIzhx6_m4wkOD7IG-k_eo/edit#gid=0"", ""Maths!M:N""), 2, FALSE)"),"(LU001451.001); Default - Remember")</f>
        <v>(LU001451.001); Default - Remember</v>
      </c>
      <c r="K20" s="69" t="str">
        <f t="shared" si="1"/>
        <v>LU001451.002</v>
      </c>
      <c r="L20" s="69" t="str">
        <f ca="1">IFERROR(__xludf.DUMMYFUNCTION("VLOOKUP(K20, IMPORTRANGE(""https://docs.google.com/spreadsheets/d/1yDAaXNsi4Mr5FtRQL4tbmSdIzhx6_m4wkOD7IG-k_eo/edit#gid=0"", ""Maths!M:N""), 2, FALSE)"),"(LU001451.002); Default - Understand")</f>
        <v>(LU001451.002); Default - Understand</v>
      </c>
      <c r="M20" s="69" t="str">
        <f t="shared" si="2"/>
        <v>LU001451.003</v>
      </c>
      <c r="N20" s="69" t="str">
        <f ca="1">IFERROR(__xludf.DUMMYFUNCTION("VLOOKUP(M20, IMPORTRANGE(""https://docs.google.com/spreadsheets/d/1yDAaXNsi4Mr5FtRQL4tbmSdIzhx6_m4wkOD7IG-k_eo/edit#gid=0"", ""Maths!M:N""), 2, FALSE)"),"(LU001451.003); Default - Apply")</f>
        <v>(LU001451.003); Default - Apply</v>
      </c>
      <c r="O20" s="69" t="str">
        <f t="shared" si="3"/>
        <v>LU001451.004</v>
      </c>
      <c r="P20" s="69" t="str">
        <f ca="1">IFERROR(__xludf.DUMMYFUNCTION("VLOOKUP(O20, IMPORTRANGE(""https://docs.google.com/spreadsheets/d/1yDAaXNsi4Mr5FtRQL4tbmSdIzhx6_m4wkOD7IG-k_eo/edit#gid=0"", ""Maths!M:N""), 2, FALSE)"),"(LU001451.004); Default - Analyse")</f>
        <v>(LU001451.004); Default - Analyse</v>
      </c>
      <c r="Q20" s="69" t="str">
        <f t="shared" si="4"/>
        <v>LU001451.005</v>
      </c>
      <c r="R20" s="69" t="str">
        <f ca="1">IFERROR(__xludf.DUMMYFUNCTION("VLOOKUP(Q20, IMPORTRANGE(""https://docs.google.com/spreadsheets/d/1yDAaXNsi4Mr5FtRQL4tbmSdIzhx6_m4wkOD7IG-k_eo/edit#gid=0"", ""Maths!M:N""), 2, FALSE)"),"(LU001451.005); Default - Evaluate")</f>
        <v>(LU001451.005); Default - Evaluate</v>
      </c>
      <c r="S20" s="69" t="str">
        <f t="shared" si="5"/>
        <v>LU001451.006</v>
      </c>
      <c r="T20" s="69" t="str">
        <f ca="1">IFERROR(__xludf.DUMMYFUNCTION("VLOOKUP(S20, IMPORTRANGE(""https://docs.google.com/spreadsheets/d/1yDAaXNsi4Mr5FtRQL4tbmSdIzhx6_m4wkOD7IG-k_eo/edit#gid=0"", ""Maths!M:N""), 2, FALSE)"),"(LU001451.006); Default - Create")</f>
        <v>(LU001451.006); Default - Create</v>
      </c>
      <c r="U20" s="11" t="str">
        <f ca="1">IFERROR(__xludf.DUMMYFUNCTION("ArrayFormula(VLOOKUP(G20, IMPORTRANGE(""https://docs.google.com/spreadsheets/d/1p7R4vtkWt5VOBim4ltsDG9KTzSjrtKXsMtQGXPHyND0/edit#gid=795171502"", ""'Filter 30_05_2024'!A1:M2000""), {2, 3, 4, 5,6,7,8,9,10,11,12,13}, 0))"),"#N/A")</f>
        <v>#N/A</v>
      </c>
      <c r="V20" s="11" t="str">
        <f ca="1">IFERROR(__xludf.DUMMYFUNCTION("""COMPUTED_VALUE"""),"#N/A")</f>
        <v>#N/A</v>
      </c>
      <c r="W20" s="11" t="str">
        <f ca="1">IFERROR(__xludf.DUMMYFUNCTION("""COMPUTED_VALUE"""),"#N/A")</f>
        <v>#N/A</v>
      </c>
      <c r="X20" s="11" t="str">
        <f ca="1">IFERROR(__xludf.DUMMYFUNCTION("""COMPUTED_VALUE"""),"#N/A")</f>
        <v>#N/A</v>
      </c>
      <c r="Y20" s="11" t="str">
        <f ca="1">IFERROR(__xludf.DUMMYFUNCTION("""COMPUTED_VALUE"""),"#N/A")</f>
        <v>#N/A</v>
      </c>
      <c r="Z20" s="12" t="str">
        <f ca="1">IFERROR(__xludf.DUMMYFUNCTION("""COMPUTED_VALUE"""),"#N/A")</f>
        <v>#N/A</v>
      </c>
      <c r="AA20" s="12" t="str">
        <f ca="1">IFERROR(__xludf.DUMMYFUNCTION("""COMPUTED_VALUE"""),"#N/A")</f>
        <v>#N/A</v>
      </c>
      <c r="AB20" s="12" t="str">
        <f ca="1">IFERROR(__xludf.DUMMYFUNCTION("""COMPUTED_VALUE"""),"#N/A")</f>
        <v>#N/A</v>
      </c>
      <c r="AC20" s="11" t="str">
        <f ca="1">IFERROR(__xludf.DUMMYFUNCTION("""COMPUTED_VALUE"""),"#N/A")</f>
        <v>#N/A</v>
      </c>
      <c r="AD20" s="12" t="str">
        <f ca="1">IFERROR(__xludf.DUMMYFUNCTION("""COMPUTED_VALUE"""),"#N/A")</f>
        <v>#N/A</v>
      </c>
      <c r="AE20" s="12" t="str">
        <f ca="1">IFERROR(__xludf.DUMMYFUNCTION("""COMPUTED_VALUE"""),"#N/A")</f>
        <v>#N/A</v>
      </c>
      <c r="AF20" s="12" t="str">
        <f ca="1">IFERROR(__xludf.DUMMYFUNCTION("""COMPUTED_VALUE"""),"#N/A")</f>
        <v>#N/A</v>
      </c>
      <c r="AG20" s="86" t="str">
        <f ca="1">IFERROR(__xludf.DUMMYFUNCTION("ArrayFormula(VLOOKUP(G20, IMPORTRANGE(""https://docs.google.com/spreadsheets/d/1Co934fvtviyaRiMsrIlT05Jaq7iiYq07aLvRr35KA48/edit?gid=173865642#gid=173865642"", ""'G10_Maths_Pri_LU'!G2:V2000""), {3, 4, 5, 6, 7, 8, 9, 10, 11, 12, 13, 14, 15, 16}, 0))"),"LU001443")</f>
        <v>LU001443</v>
      </c>
      <c r="AH20" s="83" t="str">
        <f ca="1">IFERROR(__xludf.DUMMYFUNCTION("""COMPUTED_VALUE"""),"Representing situations as linear pair of equations")</f>
        <v>Representing situations as linear pair of equations</v>
      </c>
      <c r="AI20" s="83" t="str">
        <f ca="1">IFERROR(__xludf.DUMMYFUNCTION("""COMPUTED_VALUE"""),"LU000587")</f>
        <v>LU000587</v>
      </c>
      <c r="AJ20" s="83" t="str">
        <f ca="1">IFERROR(__xludf.DUMMYFUNCTION("""COMPUTED_VALUE"""),"Solve problems (age, number formation, perimeter, currency notes) based on application of linear equation in one variable")</f>
        <v>Solve problems (age, number formation, perimeter, currency notes) based on application of linear equation in one variable</v>
      </c>
      <c r="AK20" s="83"/>
      <c r="AL20" s="83"/>
      <c r="AM20" s="83"/>
      <c r="AN20" s="83"/>
      <c r="AO20" s="83"/>
      <c r="AP20" s="83" t="str">
        <f ca="1">IFERROR(__xludf.DUMMYFUNCTION("""COMPUTED_VALUE"""),"Solution of a simple equation by transpose method")</f>
        <v>Solution of a simple equation by transpose method</v>
      </c>
      <c r="AQ20" s="83"/>
      <c r="AR20" s="83"/>
      <c r="AS20" s="83"/>
      <c r="AT20" s="83"/>
    </row>
    <row r="21" spans="1:46" ht="27.6">
      <c r="A21" s="8" t="s">
        <v>247</v>
      </c>
      <c r="B21" s="82" t="s">
        <v>47</v>
      </c>
      <c r="C21" s="82" t="s">
        <v>1172</v>
      </c>
      <c r="D21" s="83" t="s">
        <v>732</v>
      </c>
      <c r="E21" s="82" t="s">
        <v>1204</v>
      </c>
      <c r="F21" s="82" t="s">
        <v>1220</v>
      </c>
      <c r="G21" s="84" t="s">
        <v>1223</v>
      </c>
      <c r="H21" s="85" t="s">
        <v>1224</v>
      </c>
      <c r="I21" s="68" t="str">
        <f t="shared" si="0"/>
        <v>LU001452.001</v>
      </c>
      <c r="J21" s="69" t="str">
        <f ca="1">IFERROR(__xludf.DUMMYFUNCTION("VLOOKUP(I21, IMPORTRANGE(""https://docs.google.com/spreadsheets/d/1yDAaXNsi4Mr5FtRQL4tbmSdIzhx6_m4wkOD7IG-k_eo/edit#gid=0"", ""Maths!M:N""), 2, FALSE)"),"(LU001452.001); Default - Remember")</f>
        <v>(LU001452.001); Default - Remember</v>
      </c>
      <c r="K21" s="69" t="str">
        <f t="shared" si="1"/>
        <v>LU001452.002</v>
      </c>
      <c r="L21" s="69" t="str">
        <f ca="1">IFERROR(__xludf.DUMMYFUNCTION("VLOOKUP(K21, IMPORTRANGE(""https://docs.google.com/spreadsheets/d/1yDAaXNsi4Mr5FtRQL4tbmSdIzhx6_m4wkOD7IG-k_eo/edit#gid=0"", ""Maths!M:N""), 2, FALSE)"),"(LU001452.002); Default - Understand")</f>
        <v>(LU001452.002); Default - Understand</v>
      </c>
      <c r="M21" s="69" t="str">
        <f t="shared" si="2"/>
        <v>LU001452.003</v>
      </c>
      <c r="N21" s="69" t="str">
        <f ca="1">IFERROR(__xludf.DUMMYFUNCTION("VLOOKUP(M21, IMPORTRANGE(""https://docs.google.com/spreadsheets/d/1yDAaXNsi4Mr5FtRQL4tbmSdIzhx6_m4wkOD7IG-k_eo/edit#gid=0"", ""Maths!M:N""), 2, FALSE)"),"(LU001452.003); Default - Apply")</f>
        <v>(LU001452.003); Default - Apply</v>
      </c>
      <c r="O21" s="69" t="str">
        <f t="shared" si="3"/>
        <v>LU001452.004</v>
      </c>
      <c r="P21" s="69" t="str">
        <f ca="1">IFERROR(__xludf.DUMMYFUNCTION("VLOOKUP(O21, IMPORTRANGE(""https://docs.google.com/spreadsheets/d/1yDAaXNsi4Mr5FtRQL4tbmSdIzhx6_m4wkOD7IG-k_eo/edit#gid=0"", ""Maths!M:N""), 2, FALSE)"),"(LU001452.004); Default - Analyse")</f>
        <v>(LU001452.004); Default - Analyse</v>
      </c>
      <c r="Q21" s="69" t="str">
        <f t="shared" si="4"/>
        <v>LU001452.005</v>
      </c>
      <c r="R21" s="69" t="str">
        <f ca="1">IFERROR(__xludf.DUMMYFUNCTION("VLOOKUP(Q21, IMPORTRANGE(""https://docs.google.com/spreadsheets/d/1yDAaXNsi4Mr5FtRQL4tbmSdIzhx6_m4wkOD7IG-k_eo/edit#gid=0"", ""Maths!M:N""), 2, FALSE)"),"(LU001452.005); Default - Evaluate")</f>
        <v>(LU001452.005); Default - Evaluate</v>
      </c>
      <c r="S21" s="69" t="str">
        <f t="shared" si="5"/>
        <v>LU001452.006</v>
      </c>
      <c r="T21" s="69" t="str">
        <f ca="1">IFERROR(__xludf.DUMMYFUNCTION("VLOOKUP(S21, IMPORTRANGE(""https://docs.google.com/spreadsheets/d/1yDAaXNsi4Mr5FtRQL4tbmSdIzhx6_m4wkOD7IG-k_eo/edit#gid=0"", ""Maths!M:N""), 2, FALSE)"),"(LU001452.006); Default - Create")</f>
        <v>(LU001452.006); Default - Create</v>
      </c>
      <c r="U21" s="11" t="str">
        <f ca="1">IFERROR(__xludf.DUMMYFUNCTION("ArrayFormula(VLOOKUP(G21, IMPORTRANGE(""https://docs.google.com/spreadsheets/d/1p7R4vtkWt5VOBim4ltsDG9KTzSjrtKXsMtQGXPHyND0/edit#gid=795171502"", ""'Filter 30_05_2024'!A1:M2000""), {2, 3, 4, 5,6,7,8,9,10,11,12,13}, 0))"),"#N/A")</f>
        <v>#N/A</v>
      </c>
      <c r="V21" s="11" t="str">
        <f ca="1">IFERROR(__xludf.DUMMYFUNCTION("""COMPUTED_VALUE"""),"#N/A")</f>
        <v>#N/A</v>
      </c>
      <c r="W21" s="11" t="str">
        <f ca="1">IFERROR(__xludf.DUMMYFUNCTION("""COMPUTED_VALUE"""),"#N/A")</f>
        <v>#N/A</v>
      </c>
      <c r="X21" s="11" t="str">
        <f ca="1">IFERROR(__xludf.DUMMYFUNCTION("""COMPUTED_VALUE"""),"#N/A")</f>
        <v>#N/A</v>
      </c>
      <c r="Y21" s="11" t="str">
        <f ca="1">IFERROR(__xludf.DUMMYFUNCTION("""COMPUTED_VALUE"""),"#N/A")</f>
        <v>#N/A</v>
      </c>
      <c r="Z21" s="12" t="str">
        <f ca="1">IFERROR(__xludf.DUMMYFUNCTION("""COMPUTED_VALUE"""),"#N/A")</f>
        <v>#N/A</v>
      </c>
      <c r="AA21" s="12" t="str">
        <f ca="1">IFERROR(__xludf.DUMMYFUNCTION("""COMPUTED_VALUE"""),"#N/A")</f>
        <v>#N/A</v>
      </c>
      <c r="AB21" s="12" t="str">
        <f ca="1">IFERROR(__xludf.DUMMYFUNCTION("""COMPUTED_VALUE"""),"#N/A")</f>
        <v>#N/A</v>
      </c>
      <c r="AC21" s="11" t="str">
        <f ca="1">IFERROR(__xludf.DUMMYFUNCTION("""COMPUTED_VALUE"""),"#N/A")</f>
        <v>#N/A</v>
      </c>
      <c r="AD21" s="12" t="str">
        <f ca="1">IFERROR(__xludf.DUMMYFUNCTION("""COMPUTED_VALUE"""),"#N/A")</f>
        <v>#N/A</v>
      </c>
      <c r="AE21" s="12" t="str">
        <f ca="1">IFERROR(__xludf.DUMMYFUNCTION("""COMPUTED_VALUE"""),"#N/A")</f>
        <v>#N/A</v>
      </c>
      <c r="AF21" s="12" t="str">
        <f ca="1">IFERROR(__xludf.DUMMYFUNCTION("""COMPUTED_VALUE"""),"#N/A")</f>
        <v>#N/A</v>
      </c>
      <c r="AG21" s="86" t="str">
        <f ca="1">IFERROR(__xludf.DUMMYFUNCTION("ArrayFormula(VLOOKUP(G21, IMPORTRANGE(""https://docs.google.com/spreadsheets/d/1Co934fvtviyaRiMsrIlT05Jaq7iiYq07aLvRr35KA48/edit?gid=173865642#gid=173865642"", ""'G10_Maths_Pri_LU'!G2:V2000""), {3, 4, 5, 6, 7, 8, 9, 10, 11, 12, 13, 14, 15, 16}, 0))"),"LU001443")</f>
        <v>LU001443</v>
      </c>
      <c r="AH21" s="83" t="str">
        <f ca="1">IFERROR(__xludf.DUMMYFUNCTION("""COMPUTED_VALUE"""),"Representing situations as linear pair of equations")</f>
        <v>Representing situations as linear pair of equations</v>
      </c>
      <c r="AI21" s="83" t="str">
        <f ca="1">IFERROR(__xludf.DUMMYFUNCTION("""COMPUTED_VALUE"""),"LU000587")</f>
        <v>LU000587</v>
      </c>
      <c r="AJ21" s="83" t="str">
        <f ca="1">IFERROR(__xludf.DUMMYFUNCTION("""COMPUTED_VALUE"""),"Solve problems (age, number formation, perimeter, currency notes) based on application of linear equation in one variable")</f>
        <v>Solve problems (age, number formation, perimeter, currency notes) based on application of linear equation in one variable</v>
      </c>
      <c r="AK21" s="83"/>
      <c r="AL21" s="83"/>
      <c r="AM21" s="83"/>
      <c r="AN21" s="83"/>
      <c r="AO21" s="83"/>
      <c r="AP21" s="83"/>
      <c r="AQ21" s="83"/>
      <c r="AR21" s="83"/>
      <c r="AS21" s="83"/>
      <c r="AT21" s="83"/>
    </row>
    <row r="22" spans="1:46" ht="27.6">
      <c r="A22" s="8" t="s">
        <v>247</v>
      </c>
      <c r="B22" s="82" t="s">
        <v>47</v>
      </c>
      <c r="C22" s="82" t="s">
        <v>1172</v>
      </c>
      <c r="D22" s="83" t="s">
        <v>732</v>
      </c>
      <c r="E22" s="82" t="s">
        <v>1225</v>
      </c>
      <c r="F22" s="92" t="s">
        <v>1226</v>
      </c>
      <c r="G22" s="90" t="s">
        <v>1227</v>
      </c>
      <c r="H22" s="91" t="s">
        <v>1228</v>
      </c>
      <c r="I22" s="68" t="str">
        <f t="shared" si="0"/>
        <v>LU001457.001</v>
      </c>
      <c r="J22" s="69" t="str">
        <f ca="1">IFERROR(__xludf.DUMMYFUNCTION("VLOOKUP(I22, IMPORTRANGE(""https://docs.google.com/spreadsheets/d/1yDAaXNsi4Mr5FtRQL4tbmSdIzhx6_m4wkOD7IG-k_eo/edit#gid=0"", ""Maths!M:N""), 2, FALSE)"),"(LU001457.001); Default - Remember")</f>
        <v>(LU001457.001); Default - Remember</v>
      </c>
      <c r="K22" s="69" t="str">
        <f t="shared" si="1"/>
        <v>LU001457.002</v>
      </c>
      <c r="L22" s="69" t="str">
        <f ca="1">IFERROR(__xludf.DUMMYFUNCTION("VLOOKUP(K22, IMPORTRANGE(""https://docs.google.com/spreadsheets/d/1yDAaXNsi4Mr5FtRQL4tbmSdIzhx6_m4wkOD7IG-k_eo/edit#gid=0"", ""Maths!M:N""), 2, FALSE)"),"(LU001457.002); Default - Understand")</f>
        <v>(LU001457.002); Default - Understand</v>
      </c>
      <c r="M22" s="69" t="str">
        <f t="shared" si="2"/>
        <v>LU001457.003</v>
      </c>
      <c r="N22" s="69" t="str">
        <f ca="1">IFERROR(__xludf.DUMMYFUNCTION("VLOOKUP(M22, IMPORTRANGE(""https://docs.google.com/spreadsheets/d/1yDAaXNsi4Mr5FtRQL4tbmSdIzhx6_m4wkOD7IG-k_eo/edit#gid=0"", ""Maths!M:N""), 2, FALSE)"),"(LU001457.003); Default - Apply")</f>
        <v>(LU001457.003); Default - Apply</v>
      </c>
      <c r="O22" s="69" t="str">
        <f t="shared" si="3"/>
        <v>LU001457.004</v>
      </c>
      <c r="P22" s="69" t="str">
        <f ca="1">IFERROR(__xludf.DUMMYFUNCTION("VLOOKUP(O22, IMPORTRANGE(""https://docs.google.com/spreadsheets/d/1yDAaXNsi4Mr5FtRQL4tbmSdIzhx6_m4wkOD7IG-k_eo/edit#gid=0"", ""Maths!M:N""), 2, FALSE)"),"(LU001457.004); Default - Analyse")</f>
        <v>(LU001457.004); Default - Analyse</v>
      </c>
      <c r="Q22" s="69" t="str">
        <f t="shared" si="4"/>
        <v>LU001457.005</v>
      </c>
      <c r="R22" s="69" t="str">
        <f ca="1">IFERROR(__xludf.DUMMYFUNCTION("VLOOKUP(Q22, IMPORTRANGE(""https://docs.google.com/spreadsheets/d/1yDAaXNsi4Mr5FtRQL4tbmSdIzhx6_m4wkOD7IG-k_eo/edit#gid=0"", ""Maths!M:N""), 2, FALSE)"),"(LU001457.005); Default - Evaluate")</f>
        <v>(LU001457.005); Default - Evaluate</v>
      </c>
      <c r="S22" s="69" t="str">
        <f t="shared" si="5"/>
        <v>LU001457.006</v>
      </c>
      <c r="T22" s="69" t="str">
        <f ca="1">IFERROR(__xludf.DUMMYFUNCTION("VLOOKUP(S22, IMPORTRANGE(""https://docs.google.com/spreadsheets/d/1yDAaXNsi4Mr5FtRQL4tbmSdIzhx6_m4wkOD7IG-k_eo/edit#gid=0"", ""Maths!M:N""), 2, FALSE)"),"(LU001457.006); Default - Create")</f>
        <v>(LU001457.006); Default - Create</v>
      </c>
      <c r="U22" s="11" t="str">
        <f ca="1">IFERROR(__xludf.DUMMYFUNCTION("ArrayFormula(VLOOKUP(G22, IMPORTRANGE(""https://docs.google.com/spreadsheets/d/1p7R4vtkWt5VOBim4ltsDG9KTzSjrtKXsMtQGXPHyND0/edit#gid=795171502"", ""'Filter 30_05_2024'!A1:M2000""), {2, 3, 4, 5,6,7,8,9,10,11,12,13}, 0))"),"#N/A")</f>
        <v>#N/A</v>
      </c>
      <c r="V22" s="11" t="str">
        <f ca="1">IFERROR(__xludf.DUMMYFUNCTION("""COMPUTED_VALUE"""),"#N/A")</f>
        <v>#N/A</v>
      </c>
      <c r="W22" s="11" t="str">
        <f ca="1">IFERROR(__xludf.DUMMYFUNCTION("""COMPUTED_VALUE"""),"#N/A")</f>
        <v>#N/A</v>
      </c>
      <c r="X22" s="11" t="str">
        <f ca="1">IFERROR(__xludf.DUMMYFUNCTION("""COMPUTED_VALUE"""),"#N/A")</f>
        <v>#N/A</v>
      </c>
      <c r="Y22" s="11" t="str">
        <f ca="1">IFERROR(__xludf.DUMMYFUNCTION("""COMPUTED_VALUE"""),"#N/A")</f>
        <v>#N/A</v>
      </c>
      <c r="Z22" s="12" t="str">
        <f ca="1">IFERROR(__xludf.DUMMYFUNCTION("""COMPUTED_VALUE"""),"#N/A")</f>
        <v>#N/A</v>
      </c>
      <c r="AA22" s="12" t="str">
        <f ca="1">IFERROR(__xludf.DUMMYFUNCTION("""COMPUTED_VALUE"""),"#N/A")</f>
        <v>#N/A</v>
      </c>
      <c r="AB22" s="12" t="str">
        <f ca="1">IFERROR(__xludf.DUMMYFUNCTION("""COMPUTED_VALUE"""),"#N/A")</f>
        <v>#N/A</v>
      </c>
      <c r="AC22" s="11" t="str">
        <f ca="1">IFERROR(__xludf.DUMMYFUNCTION("""COMPUTED_VALUE"""),"#N/A")</f>
        <v>#N/A</v>
      </c>
      <c r="AD22" s="12" t="str">
        <f ca="1">IFERROR(__xludf.DUMMYFUNCTION("""COMPUTED_VALUE"""),"#N/A")</f>
        <v>#N/A</v>
      </c>
      <c r="AE22" s="12" t="str">
        <f ca="1">IFERROR(__xludf.DUMMYFUNCTION("""COMPUTED_VALUE"""),"#N/A")</f>
        <v>#N/A</v>
      </c>
      <c r="AF22" s="12" t="str">
        <f ca="1">IFERROR(__xludf.DUMMYFUNCTION("""COMPUTED_VALUE"""),"#N/A")</f>
        <v>#N/A</v>
      </c>
      <c r="AG22" s="86" t="str">
        <f ca="1">IFERROR(__xludf.DUMMYFUNCTION("ArrayFormula(VLOOKUP(G22, IMPORTRANGE(""https://docs.google.com/spreadsheets/d/1Co934fvtviyaRiMsrIlT05Jaq7iiYq07aLvRr35KA48/edit?gid=173865642#gid=173865642"", ""'G10_Maths_Pri_LU'!G2:V2000""), {3, 4, 5, 6, 7, 8, 9, 10, 11, 12, 13, 14, 15, 16}, 0))"),"LU000762")</f>
        <v>LU000762</v>
      </c>
      <c r="AH22" s="83" t="str">
        <f ca="1">IFERROR(__xludf.DUMMYFUNCTION("""COMPUTED_VALUE"""),"Definition of quadratic polynomial")</f>
        <v>Definition of quadratic polynomial</v>
      </c>
      <c r="AI22" s="83"/>
      <c r="AJ22" s="83"/>
      <c r="AK22" s="83"/>
      <c r="AL22" s="83"/>
      <c r="AM22" s="83"/>
      <c r="AN22" s="83"/>
      <c r="AO22" s="83"/>
      <c r="AP22" s="83"/>
      <c r="AQ22" s="83"/>
      <c r="AR22" s="83"/>
      <c r="AS22" s="83"/>
      <c r="AT22" s="83"/>
    </row>
    <row r="23" spans="1:46" ht="27.6">
      <c r="A23" s="8" t="s">
        <v>247</v>
      </c>
      <c r="B23" s="82" t="s">
        <v>47</v>
      </c>
      <c r="C23" s="82" t="s">
        <v>1172</v>
      </c>
      <c r="D23" s="83" t="s">
        <v>732</v>
      </c>
      <c r="E23" s="82" t="s">
        <v>1225</v>
      </c>
      <c r="F23" s="92" t="s">
        <v>1226</v>
      </c>
      <c r="G23" s="84" t="s">
        <v>1229</v>
      </c>
      <c r="H23" s="85" t="s">
        <v>1230</v>
      </c>
      <c r="I23" s="68" t="str">
        <f t="shared" si="0"/>
        <v>LU001458.001</v>
      </c>
      <c r="J23" s="69" t="str">
        <f ca="1">IFERROR(__xludf.DUMMYFUNCTION("VLOOKUP(I23, IMPORTRANGE(""https://docs.google.com/spreadsheets/d/1yDAaXNsi4Mr5FtRQL4tbmSdIzhx6_m4wkOD7IG-k_eo/edit#gid=0"", ""Maths!M:N""), 2, FALSE)"),"(LU001458.001); Default - Remember")</f>
        <v>(LU001458.001); Default - Remember</v>
      </c>
      <c r="K23" s="69" t="str">
        <f t="shared" si="1"/>
        <v>LU001458.002</v>
      </c>
      <c r="L23" s="69" t="str">
        <f ca="1">IFERROR(__xludf.DUMMYFUNCTION("VLOOKUP(K23, IMPORTRANGE(""https://docs.google.com/spreadsheets/d/1yDAaXNsi4Mr5FtRQL4tbmSdIzhx6_m4wkOD7IG-k_eo/edit#gid=0"", ""Maths!M:N""), 2, FALSE)"),"(LU001458.002); Default - Understand")</f>
        <v>(LU001458.002); Default - Understand</v>
      </c>
      <c r="M23" s="69" t="str">
        <f t="shared" si="2"/>
        <v>LU001458.003</v>
      </c>
      <c r="N23" s="69" t="str">
        <f ca="1">IFERROR(__xludf.DUMMYFUNCTION("VLOOKUP(M23, IMPORTRANGE(""https://docs.google.com/spreadsheets/d/1yDAaXNsi4Mr5FtRQL4tbmSdIzhx6_m4wkOD7IG-k_eo/edit#gid=0"", ""Maths!M:N""), 2, FALSE)"),"(LU001458.003); Default - Apply")</f>
        <v>(LU001458.003); Default - Apply</v>
      </c>
      <c r="O23" s="69" t="str">
        <f t="shared" si="3"/>
        <v>LU001458.004</v>
      </c>
      <c r="P23" s="69" t="str">
        <f ca="1">IFERROR(__xludf.DUMMYFUNCTION("VLOOKUP(O23, IMPORTRANGE(""https://docs.google.com/spreadsheets/d/1yDAaXNsi4Mr5FtRQL4tbmSdIzhx6_m4wkOD7IG-k_eo/edit#gid=0"", ""Maths!M:N""), 2, FALSE)"),"(LU001458.004); Default - Analyse")</f>
        <v>(LU001458.004); Default - Analyse</v>
      </c>
      <c r="Q23" s="69" t="str">
        <f t="shared" si="4"/>
        <v>LU001458.005</v>
      </c>
      <c r="R23" s="69" t="str">
        <f ca="1">IFERROR(__xludf.DUMMYFUNCTION("VLOOKUP(Q23, IMPORTRANGE(""https://docs.google.com/spreadsheets/d/1yDAaXNsi4Mr5FtRQL4tbmSdIzhx6_m4wkOD7IG-k_eo/edit#gid=0"", ""Maths!M:N""), 2, FALSE)"),"(LU001458.005); Default - Evaluate")</f>
        <v>(LU001458.005); Default - Evaluate</v>
      </c>
      <c r="S23" s="69" t="str">
        <f t="shared" si="5"/>
        <v>LU001458.006</v>
      </c>
      <c r="T23" s="69" t="str">
        <f ca="1">IFERROR(__xludf.DUMMYFUNCTION("VLOOKUP(S23, IMPORTRANGE(""https://docs.google.com/spreadsheets/d/1yDAaXNsi4Mr5FtRQL4tbmSdIzhx6_m4wkOD7IG-k_eo/edit#gid=0"", ""Maths!M:N""), 2, FALSE)"),"(LU001458.006); Default - Create")</f>
        <v>(LU001458.006); Default - Create</v>
      </c>
      <c r="U23" s="11" t="str">
        <f ca="1">IFERROR(__xludf.DUMMYFUNCTION("ArrayFormula(VLOOKUP(G23, IMPORTRANGE(""https://docs.google.com/spreadsheets/d/1p7R4vtkWt5VOBim4ltsDG9KTzSjrtKXsMtQGXPHyND0/edit#gid=795171502"", ""'Filter 30_05_2024'!A1:M2000""), {2, 3, 4, 5,6,7,8,9,10,11,12,13}, 0))"),"#N/A")</f>
        <v>#N/A</v>
      </c>
      <c r="V23" s="11" t="str">
        <f ca="1">IFERROR(__xludf.DUMMYFUNCTION("""COMPUTED_VALUE"""),"#N/A")</f>
        <v>#N/A</v>
      </c>
      <c r="W23" s="11" t="str">
        <f ca="1">IFERROR(__xludf.DUMMYFUNCTION("""COMPUTED_VALUE"""),"#N/A")</f>
        <v>#N/A</v>
      </c>
      <c r="X23" s="11" t="str">
        <f ca="1">IFERROR(__xludf.DUMMYFUNCTION("""COMPUTED_VALUE"""),"#N/A")</f>
        <v>#N/A</v>
      </c>
      <c r="Y23" s="11" t="str">
        <f ca="1">IFERROR(__xludf.DUMMYFUNCTION("""COMPUTED_VALUE"""),"#N/A")</f>
        <v>#N/A</v>
      </c>
      <c r="Z23" s="12" t="str">
        <f ca="1">IFERROR(__xludf.DUMMYFUNCTION("""COMPUTED_VALUE"""),"#N/A")</f>
        <v>#N/A</v>
      </c>
      <c r="AA23" s="12" t="str">
        <f ca="1">IFERROR(__xludf.DUMMYFUNCTION("""COMPUTED_VALUE"""),"#N/A")</f>
        <v>#N/A</v>
      </c>
      <c r="AB23" s="12" t="str">
        <f ca="1">IFERROR(__xludf.DUMMYFUNCTION("""COMPUTED_VALUE"""),"#N/A")</f>
        <v>#N/A</v>
      </c>
      <c r="AC23" s="11" t="str">
        <f ca="1">IFERROR(__xludf.DUMMYFUNCTION("""COMPUTED_VALUE"""),"#N/A")</f>
        <v>#N/A</v>
      </c>
      <c r="AD23" s="12" t="str">
        <f ca="1">IFERROR(__xludf.DUMMYFUNCTION("""COMPUTED_VALUE"""),"#N/A")</f>
        <v>#N/A</v>
      </c>
      <c r="AE23" s="12" t="str">
        <f ca="1">IFERROR(__xludf.DUMMYFUNCTION("""COMPUTED_VALUE"""),"#N/A")</f>
        <v>#N/A</v>
      </c>
      <c r="AF23" s="12" t="str">
        <f ca="1">IFERROR(__xludf.DUMMYFUNCTION("""COMPUTED_VALUE"""),"#N/A")</f>
        <v>#N/A</v>
      </c>
      <c r="AG23" s="86" t="str">
        <f ca="1">IFERROR(__xludf.DUMMYFUNCTION("ArrayFormula(VLOOKUP(G23, IMPORTRANGE(""https://docs.google.com/spreadsheets/d/1Co934fvtviyaRiMsrIlT05Jaq7iiYq07aLvRr35KA48/edit?gid=173865642#gid=173865642"", ""'G10_Maths_Pri_LU'!G2:V2000""), {3, 4, 5, 6, 7, 8, 9, 10, 11, 12, 13, 14, 15, 16}, 0))"),"LU001457")</f>
        <v>LU001457</v>
      </c>
      <c r="AH23" s="83" t="str">
        <f ca="1">IFERROR(__xludf.DUMMYFUNCTION("""COMPUTED_VALUE"""),"Definition of quadratic equation and its standard form")</f>
        <v>Definition of quadratic equation and its standard form</v>
      </c>
      <c r="AI23" s="83" t="str">
        <f ca="1">IFERROR(__xludf.DUMMYFUNCTION("""COMPUTED_VALUE"""),"LU000697")</f>
        <v>LU000697</v>
      </c>
      <c r="AJ23" s="83" t="str">
        <f ca="1">IFERROR(__xludf.DUMMYFUNCTION("""COMPUTED_VALUE"""),"Multiplication of monomial by binomial")</f>
        <v>Multiplication of monomial by binomial</v>
      </c>
      <c r="AK23" s="83" t="str">
        <f ca="1">IFERROR(__xludf.DUMMYFUNCTION("""COMPUTED_VALUE"""),"LU000405")</f>
        <v>LU000405</v>
      </c>
      <c r="AL23" s="83" t="str">
        <f ca="1">IFERROR(__xludf.DUMMYFUNCTION("""COMPUTED_VALUE"""),"Conversion of statements into simple equations")</f>
        <v>Conversion of statements into simple equations</v>
      </c>
      <c r="AM23" s="83"/>
      <c r="AN23" s="83"/>
      <c r="AO23" s="83"/>
      <c r="AP23" s="83"/>
      <c r="AQ23" s="83"/>
      <c r="AR23" s="83"/>
      <c r="AS23" s="83"/>
      <c r="AT23" s="83"/>
    </row>
    <row r="24" spans="1:46" ht="27.6">
      <c r="A24" s="8" t="s">
        <v>247</v>
      </c>
      <c r="B24" s="82" t="s">
        <v>47</v>
      </c>
      <c r="C24" s="82" t="s">
        <v>1172</v>
      </c>
      <c r="D24" s="83" t="s">
        <v>732</v>
      </c>
      <c r="E24" s="82" t="s">
        <v>1225</v>
      </c>
      <c r="F24" s="92" t="s">
        <v>1231</v>
      </c>
      <c r="G24" s="90" t="s">
        <v>1232</v>
      </c>
      <c r="H24" s="91" t="s">
        <v>1233</v>
      </c>
      <c r="I24" s="68" t="str">
        <f t="shared" si="0"/>
        <v>LU001459.001</v>
      </c>
      <c r="J24" s="69" t="str">
        <f ca="1">IFERROR(__xludf.DUMMYFUNCTION("VLOOKUP(I24, IMPORTRANGE(""https://docs.google.com/spreadsheets/d/1yDAaXNsi4Mr5FtRQL4tbmSdIzhx6_m4wkOD7IG-k_eo/edit#gid=0"", ""Maths!M:N""), 2, FALSE)"),"(LU001459.001); Default - Remember")</f>
        <v>(LU001459.001); Default - Remember</v>
      </c>
      <c r="K24" s="69" t="str">
        <f t="shared" si="1"/>
        <v>LU001459.002</v>
      </c>
      <c r="L24" s="69" t="str">
        <f ca="1">IFERROR(__xludf.DUMMYFUNCTION("VLOOKUP(K24, IMPORTRANGE(""https://docs.google.com/spreadsheets/d/1yDAaXNsi4Mr5FtRQL4tbmSdIzhx6_m4wkOD7IG-k_eo/edit#gid=0"", ""Maths!M:N""), 2, FALSE)"),"(LU001459.002); Default - Understand")</f>
        <v>(LU001459.002); Default - Understand</v>
      </c>
      <c r="M24" s="69" t="str">
        <f t="shared" si="2"/>
        <v>LU001459.003</v>
      </c>
      <c r="N24" s="69" t="str">
        <f ca="1">IFERROR(__xludf.DUMMYFUNCTION("VLOOKUP(M24, IMPORTRANGE(""https://docs.google.com/spreadsheets/d/1yDAaXNsi4Mr5FtRQL4tbmSdIzhx6_m4wkOD7IG-k_eo/edit#gid=0"", ""Maths!M:N""), 2, FALSE)"),"(LU001459.003); Default - Apply")</f>
        <v>(LU001459.003); Default - Apply</v>
      </c>
      <c r="O24" s="69" t="str">
        <f t="shared" si="3"/>
        <v>LU001459.004</v>
      </c>
      <c r="P24" s="69" t="str">
        <f ca="1">IFERROR(__xludf.DUMMYFUNCTION("VLOOKUP(O24, IMPORTRANGE(""https://docs.google.com/spreadsheets/d/1yDAaXNsi4Mr5FtRQL4tbmSdIzhx6_m4wkOD7IG-k_eo/edit#gid=0"", ""Maths!M:N""), 2, FALSE)"),"(LU001459.004); Default - Analyse")</f>
        <v>(LU001459.004); Default - Analyse</v>
      </c>
      <c r="Q24" s="69" t="str">
        <f t="shared" si="4"/>
        <v>LU001459.005</v>
      </c>
      <c r="R24" s="69" t="str">
        <f ca="1">IFERROR(__xludf.DUMMYFUNCTION("VLOOKUP(Q24, IMPORTRANGE(""https://docs.google.com/spreadsheets/d/1yDAaXNsi4Mr5FtRQL4tbmSdIzhx6_m4wkOD7IG-k_eo/edit#gid=0"", ""Maths!M:N""), 2, FALSE)"),"(LU001459.005); Default - Evaluate")</f>
        <v>(LU001459.005); Default - Evaluate</v>
      </c>
      <c r="S24" s="69" t="str">
        <f t="shared" si="5"/>
        <v>LU001459.006</v>
      </c>
      <c r="T24" s="69" t="str">
        <f ca="1">IFERROR(__xludf.DUMMYFUNCTION("VLOOKUP(S24, IMPORTRANGE(""https://docs.google.com/spreadsheets/d/1yDAaXNsi4Mr5FtRQL4tbmSdIzhx6_m4wkOD7IG-k_eo/edit#gid=0"", ""Maths!M:N""), 2, FALSE)"),"(LU001459.006); Default - Create")</f>
        <v>(LU001459.006); Default - Create</v>
      </c>
      <c r="U24" s="11" t="str">
        <f ca="1">IFERROR(__xludf.DUMMYFUNCTION("ArrayFormula(VLOOKUP(G24, IMPORTRANGE(""https://docs.google.com/spreadsheets/d/1p7R4vtkWt5VOBim4ltsDG9KTzSjrtKXsMtQGXPHyND0/edit#gid=795171502"", ""'Filter 30_05_2024'!A1:M2000""), {2, 3, 4, 5,6,7,8,9,10,11,12,13}, 0))"),"#N/A")</f>
        <v>#N/A</v>
      </c>
      <c r="V24" s="11" t="str">
        <f ca="1">IFERROR(__xludf.DUMMYFUNCTION("""COMPUTED_VALUE"""),"#N/A")</f>
        <v>#N/A</v>
      </c>
      <c r="W24" s="11" t="str">
        <f ca="1">IFERROR(__xludf.DUMMYFUNCTION("""COMPUTED_VALUE"""),"#N/A")</f>
        <v>#N/A</v>
      </c>
      <c r="X24" s="11" t="str">
        <f ca="1">IFERROR(__xludf.DUMMYFUNCTION("""COMPUTED_VALUE"""),"#N/A")</f>
        <v>#N/A</v>
      </c>
      <c r="Y24" s="11" t="str">
        <f ca="1">IFERROR(__xludf.DUMMYFUNCTION("""COMPUTED_VALUE"""),"#N/A")</f>
        <v>#N/A</v>
      </c>
      <c r="Z24" s="12" t="str">
        <f ca="1">IFERROR(__xludf.DUMMYFUNCTION("""COMPUTED_VALUE"""),"#N/A")</f>
        <v>#N/A</v>
      </c>
      <c r="AA24" s="12" t="str">
        <f ca="1">IFERROR(__xludf.DUMMYFUNCTION("""COMPUTED_VALUE"""),"#N/A")</f>
        <v>#N/A</v>
      </c>
      <c r="AB24" s="12" t="str">
        <f ca="1">IFERROR(__xludf.DUMMYFUNCTION("""COMPUTED_VALUE"""),"#N/A")</f>
        <v>#N/A</v>
      </c>
      <c r="AC24" s="11" t="str">
        <f ca="1">IFERROR(__xludf.DUMMYFUNCTION("""COMPUTED_VALUE"""),"#N/A")</f>
        <v>#N/A</v>
      </c>
      <c r="AD24" s="12" t="str">
        <f ca="1">IFERROR(__xludf.DUMMYFUNCTION("""COMPUTED_VALUE"""),"#N/A")</f>
        <v>#N/A</v>
      </c>
      <c r="AE24" s="12" t="str">
        <f ca="1">IFERROR(__xludf.DUMMYFUNCTION("""COMPUTED_VALUE"""),"#N/A")</f>
        <v>#N/A</v>
      </c>
      <c r="AF24" s="12" t="str">
        <f ca="1">IFERROR(__xludf.DUMMYFUNCTION("""COMPUTED_VALUE"""),"#N/A")</f>
        <v>#N/A</v>
      </c>
      <c r="AG24" s="86" t="str">
        <f ca="1">IFERROR(__xludf.DUMMYFUNCTION("ArrayFormula(VLOOKUP(G24, IMPORTRANGE(""https://docs.google.com/spreadsheets/d/1Co934fvtviyaRiMsrIlT05Jaq7iiYq07aLvRr35KA48/edit?gid=173865642#gid=173865642"", ""'G10_Maths_Pri_LU'!G2:V2000""), {3, 4, 5, 6, 7, 8, 9, 10, 11, 12, 13, 14, 15, 16}, 0))"),"LU001268")</f>
        <v>LU001268</v>
      </c>
      <c r="AH24" s="83" t="str">
        <f ca="1">IFERROR(__xludf.DUMMYFUNCTION("""COMPUTED_VALUE"""),"Factorisation of the quadratic polynomial by splitting the middle term")</f>
        <v>Factorisation of the quadratic polynomial by splitting the middle term</v>
      </c>
      <c r="AI24" s="83" t="str">
        <f ca="1">IFERROR(__xludf.DUMMYFUNCTION("""COMPUTED_VALUE"""),"LU001458")</f>
        <v>LU001458</v>
      </c>
      <c r="AJ24" s="83" t="str">
        <f ca="1">IFERROR(__xludf.DUMMYFUNCTION("""COMPUTED_VALUE"""),"Representing situations mathematically as quadratic equations")</f>
        <v>Representing situations mathematically as quadratic equations</v>
      </c>
      <c r="AK24" s="83" t="str">
        <f ca="1">IFERROR(__xludf.DUMMYFUNCTION("""COMPUTED_VALUE"""),"LU000410")</f>
        <v>LU000410</v>
      </c>
      <c r="AL24" s="83" t="str">
        <f ca="1">IFERROR(__xludf.DUMMYFUNCTION("""COMPUTED_VALUE"""),"Solution of a simple equation by transpose method")</f>
        <v>Solution of a simple equation by transpose method</v>
      </c>
      <c r="AM24" s="83"/>
      <c r="AN24" s="83"/>
      <c r="AO24" s="83"/>
      <c r="AP24" s="83"/>
      <c r="AQ24" s="83"/>
      <c r="AR24" s="83"/>
      <c r="AS24" s="83"/>
      <c r="AT24" s="83"/>
    </row>
    <row r="25" spans="1:46" ht="27.6">
      <c r="A25" s="8" t="s">
        <v>247</v>
      </c>
      <c r="B25" s="82" t="s">
        <v>47</v>
      </c>
      <c r="C25" s="82" t="s">
        <v>1172</v>
      </c>
      <c r="D25" s="83" t="s">
        <v>732</v>
      </c>
      <c r="E25" s="82" t="s">
        <v>1225</v>
      </c>
      <c r="F25" s="92" t="s">
        <v>1234</v>
      </c>
      <c r="G25" s="84" t="s">
        <v>1235</v>
      </c>
      <c r="H25" s="85" t="s">
        <v>1236</v>
      </c>
      <c r="I25" s="68" t="str">
        <f t="shared" si="0"/>
        <v>LU001464.001</v>
      </c>
      <c r="J25" s="69" t="str">
        <f ca="1">IFERROR(__xludf.DUMMYFUNCTION("VLOOKUP(I25, IMPORTRANGE(""https://docs.google.com/spreadsheets/d/1yDAaXNsi4Mr5FtRQL4tbmSdIzhx6_m4wkOD7IG-k_eo/edit#gid=0"", ""Maths!M:N""), 2, FALSE)"),"(LU001464.001); Default - Remember")</f>
        <v>(LU001464.001); Default - Remember</v>
      </c>
      <c r="K25" s="69" t="str">
        <f t="shared" si="1"/>
        <v>LU001464.002</v>
      </c>
      <c r="L25" s="69" t="str">
        <f ca="1">IFERROR(__xludf.DUMMYFUNCTION("VLOOKUP(K25, IMPORTRANGE(""https://docs.google.com/spreadsheets/d/1yDAaXNsi4Mr5FtRQL4tbmSdIzhx6_m4wkOD7IG-k_eo/edit#gid=0"", ""Maths!M:N""), 2, FALSE)"),"(LU001464.002); Default - Understand")</f>
        <v>(LU001464.002); Default - Understand</v>
      </c>
      <c r="M25" s="69" t="str">
        <f t="shared" si="2"/>
        <v>LU001464.003</v>
      </c>
      <c r="N25" s="69" t="str">
        <f ca="1">IFERROR(__xludf.DUMMYFUNCTION("VLOOKUP(M25, IMPORTRANGE(""https://docs.google.com/spreadsheets/d/1yDAaXNsi4Mr5FtRQL4tbmSdIzhx6_m4wkOD7IG-k_eo/edit#gid=0"", ""Maths!M:N""), 2, FALSE)"),"(LU001464.003); Default - Apply")</f>
        <v>(LU001464.003); Default - Apply</v>
      </c>
      <c r="O25" s="69" t="str">
        <f t="shared" si="3"/>
        <v>LU001464.004</v>
      </c>
      <c r="P25" s="69" t="str">
        <f ca="1">IFERROR(__xludf.DUMMYFUNCTION("VLOOKUP(O25, IMPORTRANGE(""https://docs.google.com/spreadsheets/d/1yDAaXNsi4Mr5FtRQL4tbmSdIzhx6_m4wkOD7IG-k_eo/edit#gid=0"", ""Maths!M:N""), 2, FALSE)"),"(LU001464.004); Default - Analyse")</f>
        <v>(LU001464.004); Default - Analyse</v>
      </c>
      <c r="Q25" s="69" t="str">
        <f t="shared" si="4"/>
        <v>LU001464.005</v>
      </c>
      <c r="R25" s="69" t="str">
        <f ca="1">IFERROR(__xludf.DUMMYFUNCTION("VLOOKUP(Q25, IMPORTRANGE(""https://docs.google.com/spreadsheets/d/1yDAaXNsi4Mr5FtRQL4tbmSdIzhx6_m4wkOD7IG-k_eo/edit#gid=0"", ""Maths!M:N""), 2, FALSE)"),"(LU001464.005); Default - Evaluate")</f>
        <v>(LU001464.005); Default - Evaluate</v>
      </c>
      <c r="S25" s="69" t="str">
        <f t="shared" si="5"/>
        <v>LU001464.006</v>
      </c>
      <c r="T25" s="69" t="str">
        <f ca="1">IFERROR(__xludf.DUMMYFUNCTION("VLOOKUP(S25, IMPORTRANGE(""https://docs.google.com/spreadsheets/d/1yDAaXNsi4Mr5FtRQL4tbmSdIzhx6_m4wkOD7IG-k_eo/edit#gid=0"", ""Maths!M:N""), 2, FALSE)"),"(LU001464.006); Default - Create")</f>
        <v>(LU001464.006); Default - Create</v>
      </c>
      <c r="U25" s="11" t="str">
        <f ca="1">IFERROR(__xludf.DUMMYFUNCTION("ArrayFormula(VLOOKUP(G25, IMPORTRANGE(""https://docs.google.com/spreadsheets/d/1p7R4vtkWt5VOBim4ltsDG9KTzSjrtKXsMtQGXPHyND0/edit#gid=795171502"", ""'Filter 30_05_2024'!A1:M2000""), {2, 3, 4, 5,6,7,8,9,10,11,12,13}, 0))"),"#N/A")</f>
        <v>#N/A</v>
      </c>
      <c r="V25" s="11" t="str">
        <f ca="1">IFERROR(__xludf.DUMMYFUNCTION("""COMPUTED_VALUE"""),"#N/A")</f>
        <v>#N/A</v>
      </c>
      <c r="W25" s="11" t="str">
        <f ca="1">IFERROR(__xludf.DUMMYFUNCTION("""COMPUTED_VALUE"""),"#N/A")</f>
        <v>#N/A</v>
      </c>
      <c r="X25" s="11" t="str">
        <f ca="1">IFERROR(__xludf.DUMMYFUNCTION("""COMPUTED_VALUE"""),"#N/A")</f>
        <v>#N/A</v>
      </c>
      <c r="Y25" s="11" t="str">
        <f ca="1">IFERROR(__xludf.DUMMYFUNCTION("""COMPUTED_VALUE"""),"#N/A")</f>
        <v>#N/A</v>
      </c>
      <c r="Z25" s="12" t="str">
        <f ca="1">IFERROR(__xludf.DUMMYFUNCTION("""COMPUTED_VALUE"""),"#N/A")</f>
        <v>#N/A</v>
      </c>
      <c r="AA25" s="12" t="str">
        <f ca="1">IFERROR(__xludf.DUMMYFUNCTION("""COMPUTED_VALUE"""),"#N/A")</f>
        <v>#N/A</v>
      </c>
      <c r="AB25" s="12" t="str">
        <f ca="1">IFERROR(__xludf.DUMMYFUNCTION("""COMPUTED_VALUE"""),"#N/A")</f>
        <v>#N/A</v>
      </c>
      <c r="AC25" s="11" t="str">
        <f ca="1">IFERROR(__xludf.DUMMYFUNCTION("""COMPUTED_VALUE"""),"#N/A")</f>
        <v>#N/A</v>
      </c>
      <c r="AD25" s="12" t="str">
        <f ca="1">IFERROR(__xludf.DUMMYFUNCTION("""COMPUTED_VALUE"""),"#N/A")</f>
        <v>#N/A</v>
      </c>
      <c r="AE25" s="12" t="str">
        <f ca="1">IFERROR(__xludf.DUMMYFUNCTION("""COMPUTED_VALUE"""),"#N/A")</f>
        <v>#N/A</v>
      </c>
      <c r="AF25" s="12" t="str">
        <f ca="1">IFERROR(__xludf.DUMMYFUNCTION("""COMPUTED_VALUE"""),"#N/A")</f>
        <v>#N/A</v>
      </c>
      <c r="AG25" s="86" t="str">
        <f ca="1">IFERROR(__xludf.DUMMYFUNCTION("ArrayFormula(VLOOKUP(G25, IMPORTRANGE(""https://docs.google.com/spreadsheets/d/1Co934fvtviyaRiMsrIlT05Jaq7iiYq07aLvRr35KA48/edit?gid=173865642#gid=173865642"", ""'G10_Maths_Pri_LU'!G2:V2000""), {3, 4, 5, 6, 7, 8, 9, 10, 11, 12, 13, 14, 15, 16}, 0))"),"LU001457")</f>
        <v>LU001457</v>
      </c>
      <c r="AH25" s="83" t="str">
        <f ca="1">IFERROR(__xludf.DUMMYFUNCTION("""COMPUTED_VALUE"""),"Definition of quadratic equation and its standard form")</f>
        <v>Definition of quadratic equation and its standard form</v>
      </c>
      <c r="AI25" s="83" t="str">
        <f ca="1">IFERROR(__xludf.DUMMYFUNCTION("""COMPUTED_VALUE"""),"LU001193")</f>
        <v>LU001193</v>
      </c>
      <c r="AJ25" s="83" t="str">
        <f ca="1">IFERROR(__xludf.DUMMYFUNCTION("""COMPUTED_VALUE"""),"Square root of a real number x, x&gt;0 [numerically, number line]")</f>
        <v>Square root of a real number x, x&gt;0 [numerically, number line]</v>
      </c>
      <c r="AK25" s="83"/>
      <c r="AL25" s="83"/>
      <c r="AM25" s="83"/>
      <c r="AN25" s="83"/>
      <c r="AO25" s="83"/>
      <c r="AP25" s="83"/>
      <c r="AQ25" s="83"/>
      <c r="AR25" s="83"/>
      <c r="AS25" s="83"/>
      <c r="AT25" s="83"/>
    </row>
    <row r="26" spans="1:46" ht="27.6">
      <c r="A26" s="8" t="s">
        <v>247</v>
      </c>
      <c r="B26" s="82" t="s">
        <v>47</v>
      </c>
      <c r="C26" s="82" t="s">
        <v>1172</v>
      </c>
      <c r="D26" s="83" t="s">
        <v>732</v>
      </c>
      <c r="E26" s="82" t="s">
        <v>1225</v>
      </c>
      <c r="F26" s="92" t="s">
        <v>1234</v>
      </c>
      <c r="G26" s="90" t="s">
        <v>1237</v>
      </c>
      <c r="H26" s="91" t="s">
        <v>1238</v>
      </c>
      <c r="I26" s="68" t="str">
        <f t="shared" si="0"/>
        <v>LU001465.001</v>
      </c>
      <c r="J26" s="69" t="str">
        <f ca="1">IFERROR(__xludf.DUMMYFUNCTION("VLOOKUP(I26, IMPORTRANGE(""https://docs.google.com/spreadsheets/d/1yDAaXNsi4Mr5FtRQL4tbmSdIzhx6_m4wkOD7IG-k_eo/edit#gid=0"", ""Maths!M:N""), 2, FALSE)"),"(LU001465.001); Default - Remember")</f>
        <v>(LU001465.001); Default - Remember</v>
      </c>
      <c r="K26" s="69" t="str">
        <f t="shared" si="1"/>
        <v>LU001465.002</v>
      </c>
      <c r="L26" s="69" t="str">
        <f ca="1">IFERROR(__xludf.DUMMYFUNCTION("VLOOKUP(K26, IMPORTRANGE(""https://docs.google.com/spreadsheets/d/1yDAaXNsi4Mr5FtRQL4tbmSdIzhx6_m4wkOD7IG-k_eo/edit#gid=0"", ""Maths!M:N""), 2, FALSE)"),"(LU001465.002); Default - Understand")</f>
        <v>(LU001465.002); Default - Understand</v>
      </c>
      <c r="M26" s="69" t="str">
        <f t="shared" si="2"/>
        <v>LU001465.003</v>
      </c>
      <c r="N26" s="69" t="str">
        <f ca="1">IFERROR(__xludf.DUMMYFUNCTION("VLOOKUP(M26, IMPORTRANGE(""https://docs.google.com/spreadsheets/d/1yDAaXNsi4Mr5FtRQL4tbmSdIzhx6_m4wkOD7IG-k_eo/edit#gid=0"", ""Maths!M:N""), 2, FALSE)"),"(LU001465.003); Default - Apply")</f>
        <v>(LU001465.003); Default - Apply</v>
      </c>
      <c r="O26" s="69" t="str">
        <f t="shared" si="3"/>
        <v>LU001465.004</v>
      </c>
      <c r="P26" s="69" t="str">
        <f ca="1">IFERROR(__xludf.DUMMYFUNCTION("VLOOKUP(O26, IMPORTRANGE(""https://docs.google.com/spreadsheets/d/1yDAaXNsi4Mr5FtRQL4tbmSdIzhx6_m4wkOD7IG-k_eo/edit#gid=0"", ""Maths!M:N""), 2, FALSE)"),"(LU001465.004); Default - Analyse")</f>
        <v>(LU001465.004); Default - Analyse</v>
      </c>
      <c r="Q26" s="69" t="str">
        <f t="shared" si="4"/>
        <v>LU001465.005</v>
      </c>
      <c r="R26" s="69" t="str">
        <f ca="1">IFERROR(__xludf.DUMMYFUNCTION("VLOOKUP(Q26, IMPORTRANGE(""https://docs.google.com/spreadsheets/d/1yDAaXNsi4Mr5FtRQL4tbmSdIzhx6_m4wkOD7IG-k_eo/edit#gid=0"", ""Maths!M:N""), 2, FALSE)"),"(LU001465.005); Default - Evaluate")</f>
        <v>(LU001465.005); Default - Evaluate</v>
      </c>
      <c r="S26" s="69" t="str">
        <f t="shared" si="5"/>
        <v>LU001465.006</v>
      </c>
      <c r="T26" s="69" t="str">
        <f ca="1">IFERROR(__xludf.DUMMYFUNCTION("VLOOKUP(S26, IMPORTRANGE(""https://docs.google.com/spreadsheets/d/1yDAaXNsi4Mr5FtRQL4tbmSdIzhx6_m4wkOD7IG-k_eo/edit#gid=0"", ""Maths!M:N""), 2, FALSE)"),"(LU001465.006); Default - Create")</f>
        <v>(LU001465.006); Default - Create</v>
      </c>
      <c r="U26" s="11" t="str">
        <f ca="1">IFERROR(__xludf.DUMMYFUNCTION("ArrayFormula(VLOOKUP(G26, IMPORTRANGE(""https://docs.google.com/spreadsheets/d/1p7R4vtkWt5VOBim4ltsDG9KTzSjrtKXsMtQGXPHyND0/edit#gid=795171502"", ""'Filter 30_05_2024'!A1:M2000""), {2, 3, 4, 5,6,7,8,9,10,11,12,13}, 0))"),"#N/A")</f>
        <v>#N/A</v>
      </c>
      <c r="V26" s="11" t="str">
        <f ca="1">IFERROR(__xludf.DUMMYFUNCTION("""COMPUTED_VALUE"""),"#N/A")</f>
        <v>#N/A</v>
      </c>
      <c r="W26" s="11" t="str">
        <f ca="1">IFERROR(__xludf.DUMMYFUNCTION("""COMPUTED_VALUE"""),"#N/A")</f>
        <v>#N/A</v>
      </c>
      <c r="X26" s="11" t="str">
        <f ca="1">IFERROR(__xludf.DUMMYFUNCTION("""COMPUTED_VALUE"""),"#N/A")</f>
        <v>#N/A</v>
      </c>
      <c r="Y26" s="11" t="str">
        <f ca="1">IFERROR(__xludf.DUMMYFUNCTION("""COMPUTED_VALUE"""),"#N/A")</f>
        <v>#N/A</v>
      </c>
      <c r="Z26" s="12" t="str">
        <f ca="1">IFERROR(__xludf.DUMMYFUNCTION("""COMPUTED_VALUE"""),"#N/A")</f>
        <v>#N/A</v>
      </c>
      <c r="AA26" s="12" t="str">
        <f ca="1">IFERROR(__xludf.DUMMYFUNCTION("""COMPUTED_VALUE"""),"#N/A")</f>
        <v>#N/A</v>
      </c>
      <c r="AB26" s="12" t="str">
        <f ca="1">IFERROR(__xludf.DUMMYFUNCTION("""COMPUTED_VALUE"""),"#N/A")</f>
        <v>#N/A</v>
      </c>
      <c r="AC26" s="11" t="str">
        <f ca="1">IFERROR(__xludf.DUMMYFUNCTION("""COMPUTED_VALUE"""),"#N/A")</f>
        <v>#N/A</v>
      </c>
      <c r="AD26" s="12" t="str">
        <f ca="1">IFERROR(__xludf.DUMMYFUNCTION("""COMPUTED_VALUE"""),"#N/A")</f>
        <v>#N/A</v>
      </c>
      <c r="AE26" s="12" t="str">
        <f ca="1">IFERROR(__xludf.DUMMYFUNCTION("""COMPUTED_VALUE"""),"#N/A")</f>
        <v>#N/A</v>
      </c>
      <c r="AF26" s="12" t="str">
        <f ca="1">IFERROR(__xludf.DUMMYFUNCTION("""COMPUTED_VALUE"""),"#N/A")</f>
        <v>#N/A</v>
      </c>
      <c r="AG26" s="86" t="str">
        <f ca="1">IFERROR(__xludf.DUMMYFUNCTION("ArrayFormula(VLOOKUP(G26, IMPORTRANGE(""https://docs.google.com/spreadsheets/d/1Co934fvtviyaRiMsrIlT05Jaq7iiYq07aLvRr35KA48/edit?gid=173865642#gid=173865642"", ""'G10_Maths_Pri_LU'!G2:V2000""), {3, 4, 5, 6, 7, 8, 9, 10, 11, 12, 13, 14, 15, 16}, 0))"),"LU001464")</f>
        <v>LU001464</v>
      </c>
      <c r="AH26" s="83" t="str">
        <f ca="1">IFERROR(__xludf.DUMMYFUNCTION("""COMPUTED_VALUE"""),"Discriminant and nature of roots of a quadratic equation")</f>
        <v>Discriminant and nature of roots of a quadratic equation</v>
      </c>
      <c r="AI26" s="83" t="str">
        <f ca="1">IFERROR(__xludf.DUMMYFUNCTION("""COMPUTED_VALUE"""),"LU001458")</f>
        <v>LU001458</v>
      </c>
      <c r="AJ26" s="83" t="str">
        <f ca="1">IFERROR(__xludf.DUMMYFUNCTION("""COMPUTED_VALUE"""),"Representing situations mathematically as quadratic equations")</f>
        <v>Representing situations mathematically as quadratic equations</v>
      </c>
      <c r="AK26" s="83"/>
      <c r="AL26" s="83"/>
      <c r="AM26" s="83"/>
      <c r="AN26" s="83"/>
      <c r="AO26" s="83"/>
      <c r="AP26" s="83"/>
      <c r="AQ26" s="83"/>
      <c r="AR26" s="83"/>
      <c r="AS26" s="83"/>
      <c r="AT26" s="83"/>
    </row>
    <row r="27" spans="1:46" ht="27.6">
      <c r="A27" s="8" t="s">
        <v>247</v>
      </c>
      <c r="B27" s="82" t="s">
        <v>47</v>
      </c>
      <c r="C27" s="82" t="s">
        <v>1172</v>
      </c>
      <c r="D27" s="83" t="s">
        <v>732</v>
      </c>
      <c r="E27" s="82" t="s">
        <v>1239</v>
      </c>
      <c r="F27" s="96" t="s">
        <v>1240</v>
      </c>
      <c r="G27" s="84" t="s">
        <v>1241</v>
      </c>
      <c r="H27" s="85" t="s">
        <v>1242</v>
      </c>
      <c r="I27" s="68" t="str">
        <f t="shared" si="0"/>
        <v>LU001468.001</v>
      </c>
      <c r="J27" s="69" t="str">
        <f ca="1">IFERROR(__xludf.DUMMYFUNCTION("VLOOKUP(I27, IMPORTRANGE(""https://docs.google.com/spreadsheets/d/1yDAaXNsi4Mr5FtRQL4tbmSdIzhx6_m4wkOD7IG-k_eo/edit#gid=0"", ""Maths!M:N""), 2, FALSE)"),"(LU001468.001); Default - Remember")</f>
        <v>(LU001468.001); Default - Remember</v>
      </c>
      <c r="K27" s="69" t="str">
        <f t="shared" si="1"/>
        <v>LU001468.002</v>
      </c>
      <c r="L27" s="69" t="str">
        <f ca="1">IFERROR(__xludf.DUMMYFUNCTION("VLOOKUP(K27, IMPORTRANGE(""https://docs.google.com/spreadsheets/d/1yDAaXNsi4Mr5FtRQL4tbmSdIzhx6_m4wkOD7IG-k_eo/edit#gid=0"", ""Maths!M:N""), 2, FALSE)"),"(LU001468.002); Default - Understand")</f>
        <v>(LU001468.002); Default - Understand</v>
      </c>
      <c r="M27" s="69" t="str">
        <f t="shared" si="2"/>
        <v>LU001468.003</v>
      </c>
      <c r="N27" s="69" t="str">
        <f ca="1">IFERROR(__xludf.DUMMYFUNCTION("VLOOKUP(M27, IMPORTRANGE(""https://docs.google.com/spreadsheets/d/1yDAaXNsi4Mr5FtRQL4tbmSdIzhx6_m4wkOD7IG-k_eo/edit#gid=0"", ""Maths!M:N""), 2, FALSE)"),"(LU001468.003); Default - Apply")</f>
        <v>(LU001468.003); Default - Apply</v>
      </c>
      <c r="O27" s="69" t="str">
        <f t="shared" si="3"/>
        <v>LU001468.004</v>
      </c>
      <c r="P27" s="69" t="str">
        <f ca="1">IFERROR(__xludf.DUMMYFUNCTION("VLOOKUP(O27, IMPORTRANGE(""https://docs.google.com/spreadsheets/d/1yDAaXNsi4Mr5FtRQL4tbmSdIzhx6_m4wkOD7IG-k_eo/edit#gid=0"", ""Maths!M:N""), 2, FALSE)"),"(LU001468.004); Default - Analyse")</f>
        <v>(LU001468.004); Default - Analyse</v>
      </c>
      <c r="Q27" s="69" t="str">
        <f t="shared" si="4"/>
        <v>LU001468.005</v>
      </c>
      <c r="R27" s="69" t="str">
        <f ca="1">IFERROR(__xludf.DUMMYFUNCTION("VLOOKUP(Q27, IMPORTRANGE(""https://docs.google.com/spreadsheets/d/1yDAaXNsi4Mr5FtRQL4tbmSdIzhx6_m4wkOD7IG-k_eo/edit#gid=0"", ""Maths!M:N""), 2, FALSE)"),"(LU001468.005); Default - Evaluate")</f>
        <v>(LU001468.005); Default - Evaluate</v>
      </c>
      <c r="S27" s="69" t="str">
        <f t="shared" si="5"/>
        <v>LU001468.006</v>
      </c>
      <c r="T27" s="69" t="str">
        <f ca="1">IFERROR(__xludf.DUMMYFUNCTION("VLOOKUP(S27, IMPORTRANGE(""https://docs.google.com/spreadsheets/d/1yDAaXNsi4Mr5FtRQL4tbmSdIzhx6_m4wkOD7IG-k_eo/edit#gid=0"", ""Maths!M:N""), 2, FALSE)"),"(LU001468.006); Default - Create")</f>
        <v>(LU001468.006); Default - Create</v>
      </c>
      <c r="U27" s="11" t="str">
        <f ca="1">IFERROR(__xludf.DUMMYFUNCTION("ArrayFormula(VLOOKUP(G27, IMPORTRANGE(""https://docs.google.com/spreadsheets/d/1p7R4vtkWt5VOBim4ltsDG9KTzSjrtKXsMtQGXPHyND0/edit#gid=795171502"", ""'Filter 30_05_2024'!A1:M2000""), {2, 3, 4, 5,6,7,8,9,10,11,12,13}, 0))"),"#N/A")</f>
        <v>#N/A</v>
      </c>
      <c r="V27" s="11" t="str">
        <f ca="1">IFERROR(__xludf.DUMMYFUNCTION("""COMPUTED_VALUE"""),"#N/A")</f>
        <v>#N/A</v>
      </c>
      <c r="W27" s="11" t="str">
        <f ca="1">IFERROR(__xludf.DUMMYFUNCTION("""COMPUTED_VALUE"""),"#N/A")</f>
        <v>#N/A</v>
      </c>
      <c r="X27" s="11" t="str">
        <f ca="1">IFERROR(__xludf.DUMMYFUNCTION("""COMPUTED_VALUE"""),"#N/A")</f>
        <v>#N/A</v>
      </c>
      <c r="Y27" s="11" t="str">
        <f ca="1">IFERROR(__xludf.DUMMYFUNCTION("""COMPUTED_VALUE"""),"#N/A")</f>
        <v>#N/A</v>
      </c>
      <c r="Z27" s="12" t="str">
        <f ca="1">IFERROR(__xludf.DUMMYFUNCTION("""COMPUTED_VALUE"""),"#N/A")</f>
        <v>#N/A</v>
      </c>
      <c r="AA27" s="12" t="str">
        <f ca="1">IFERROR(__xludf.DUMMYFUNCTION("""COMPUTED_VALUE"""),"#N/A")</f>
        <v>#N/A</v>
      </c>
      <c r="AB27" s="12" t="str">
        <f ca="1">IFERROR(__xludf.DUMMYFUNCTION("""COMPUTED_VALUE"""),"#N/A")</f>
        <v>#N/A</v>
      </c>
      <c r="AC27" s="11" t="str">
        <f ca="1">IFERROR(__xludf.DUMMYFUNCTION("""COMPUTED_VALUE"""),"#N/A")</f>
        <v>#N/A</v>
      </c>
      <c r="AD27" s="12" t="str">
        <f ca="1">IFERROR(__xludf.DUMMYFUNCTION("""COMPUTED_VALUE"""),"#N/A")</f>
        <v>#N/A</v>
      </c>
      <c r="AE27" s="12" t="str">
        <f ca="1">IFERROR(__xludf.DUMMYFUNCTION("""COMPUTED_VALUE"""),"#N/A")</f>
        <v>#N/A</v>
      </c>
      <c r="AF27" s="12" t="str">
        <f ca="1">IFERROR(__xludf.DUMMYFUNCTION("""COMPUTED_VALUE"""),"#N/A")</f>
        <v>#N/A</v>
      </c>
      <c r="AG27" s="86" t="str">
        <f ca="1">IFERROR(__xludf.DUMMYFUNCTION("ArrayFormula(VLOOKUP(G27, IMPORTRANGE(""https://docs.google.com/spreadsheets/d/1Co934fvtviyaRiMsrIlT05Jaq7iiYq07aLvRr35KA48/edit?gid=173865642#gid=173865642"", ""'G10_Maths_Pri_LU'!G2:V2000""), {3, 4, 5, 6, 7, 8, 9, 10, 11, 12, 13, 14, 15, 16}, 0))"),"LU000939")</f>
        <v>LU000939</v>
      </c>
      <c r="AH27" s="83" t="str">
        <f ca="1">IFERROR(__xludf.DUMMYFUNCTION("""COMPUTED_VALUE"""),"Pattern involving rational numbers")</f>
        <v>Pattern involving rational numbers</v>
      </c>
      <c r="AI27" s="83" t="str">
        <f ca="1">IFERROR(__xludf.DUMMYFUNCTION("""COMPUTED_VALUE"""),"LU000068")</f>
        <v>LU000068</v>
      </c>
      <c r="AJ27" s="83" t="str">
        <f ca="1">IFERROR(__xludf.DUMMYFUNCTION("""COMPUTED_VALUE"""),"Number pattern involving multiple arithmetic operations (multiplication and addition; division and subtraction)")</f>
        <v>Number pattern involving multiple arithmetic operations (multiplication and addition; division and subtraction)</v>
      </c>
      <c r="AK27" s="83"/>
      <c r="AL27" s="83"/>
      <c r="AM27" s="83"/>
      <c r="AN27" s="83"/>
      <c r="AO27" s="83"/>
      <c r="AP27" s="83"/>
      <c r="AQ27" s="83"/>
      <c r="AR27" s="83"/>
      <c r="AS27" s="83"/>
      <c r="AT27" s="83"/>
    </row>
    <row r="28" spans="1:46" ht="27.6">
      <c r="A28" s="8" t="s">
        <v>247</v>
      </c>
      <c r="B28" s="82" t="s">
        <v>47</v>
      </c>
      <c r="C28" s="82" t="s">
        <v>1172</v>
      </c>
      <c r="D28" s="83" t="s">
        <v>732</v>
      </c>
      <c r="E28" s="82" t="s">
        <v>1239</v>
      </c>
      <c r="F28" s="96" t="s">
        <v>1240</v>
      </c>
      <c r="G28" s="90" t="s">
        <v>1243</v>
      </c>
      <c r="H28" s="91" t="s">
        <v>1244</v>
      </c>
      <c r="I28" s="68" t="str">
        <f t="shared" si="0"/>
        <v>LU001469.001</v>
      </c>
      <c r="J28" s="69" t="str">
        <f ca="1">IFERROR(__xludf.DUMMYFUNCTION("VLOOKUP(I28, IMPORTRANGE(""https://docs.google.com/spreadsheets/d/1yDAaXNsi4Mr5FtRQL4tbmSdIzhx6_m4wkOD7IG-k_eo/edit#gid=0"", ""Maths!M:N""), 2, FALSE)"),"(LU001469.001); Default - Remember")</f>
        <v>(LU001469.001); Default - Remember</v>
      </c>
      <c r="K28" s="69" t="str">
        <f t="shared" si="1"/>
        <v>LU001469.002</v>
      </c>
      <c r="L28" s="69" t="str">
        <f ca="1">IFERROR(__xludf.DUMMYFUNCTION("VLOOKUP(K28, IMPORTRANGE(""https://docs.google.com/spreadsheets/d/1yDAaXNsi4Mr5FtRQL4tbmSdIzhx6_m4wkOD7IG-k_eo/edit#gid=0"", ""Maths!M:N""), 2, FALSE)"),"(LU001469.002); Default - Understand")</f>
        <v>(LU001469.002); Default - Understand</v>
      </c>
      <c r="M28" s="69" t="str">
        <f t="shared" si="2"/>
        <v>LU001469.003</v>
      </c>
      <c r="N28" s="69" t="str">
        <f ca="1">IFERROR(__xludf.DUMMYFUNCTION("VLOOKUP(M28, IMPORTRANGE(""https://docs.google.com/spreadsheets/d/1yDAaXNsi4Mr5FtRQL4tbmSdIzhx6_m4wkOD7IG-k_eo/edit#gid=0"", ""Maths!M:N""), 2, FALSE)"),"(LU001469.003); Default - Apply")</f>
        <v>(LU001469.003); Default - Apply</v>
      </c>
      <c r="O28" s="69" t="str">
        <f t="shared" si="3"/>
        <v>LU001469.004</v>
      </c>
      <c r="P28" s="69" t="str">
        <f ca="1">IFERROR(__xludf.DUMMYFUNCTION("VLOOKUP(O28, IMPORTRANGE(""https://docs.google.com/spreadsheets/d/1yDAaXNsi4Mr5FtRQL4tbmSdIzhx6_m4wkOD7IG-k_eo/edit#gid=0"", ""Maths!M:N""), 2, FALSE)"),"(LU001469.004); Default - Analyse")</f>
        <v>(LU001469.004); Default - Analyse</v>
      </c>
      <c r="Q28" s="69" t="str">
        <f t="shared" si="4"/>
        <v>LU001469.005</v>
      </c>
      <c r="R28" s="69" t="str">
        <f ca="1">IFERROR(__xludf.DUMMYFUNCTION("VLOOKUP(Q28, IMPORTRANGE(""https://docs.google.com/spreadsheets/d/1yDAaXNsi4Mr5FtRQL4tbmSdIzhx6_m4wkOD7IG-k_eo/edit#gid=0"", ""Maths!M:N""), 2, FALSE)"),"(LU001469.005); Default - Evaluate")</f>
        <v>(LU001469.005); Default - Evaluate</v>
      </c>
      <c r="S28" s="69" t="str">
        <f t="shared" si="5"/>
        <v>LU001469.006</v>
      </c>
      <c r="T28" s="69" t="str">
        <f ca="1">IFERROR(__xludf.DUMMYFUNCTION("VLOOKUP(S28, IMPORTRANGE(""https://docs.google.com/spreadsheets/d/1yDAaXNsi4Mr5FtRQL4tbmSdIzhx6_m4wkOD7IG-k_eo/edit#gid=0"", ""Maths!M:N""), 2, FALSE)"),"(LU001469.006); Default - Create")</f>
        <v>(LU001469.006); Default - Create</v>
      </c>
      <c r="U28" s="11" t="str">
        <f ca="1">IFERROR(__xludf.DUMMYFUNCTION("ArrayFormula(VLOOKUP(G28, IMPORTRANGE(""https://docs.google.com/spreadsheets/d/1p7R4vtkWt5VOBim4ltsDG9KTzSjrtKXsMtQGXPHyND0/edit#gid=795171502"", ""'Filter 30_05_2024'!A1:M2000""), {2, 3, 4, 5,6,7,8,9,10,11,12,13}, 0))"),"#N/A")</f>
        <v>#N/A</v>
      </c>
      <c r="V28" s="11" t="str">
        <f ca="1">IFERROR(__xludf.DUMMYFUNCTION("""COMPUTED_VALUE"""),"#N/A")</f>
        <v>#N/A</v>
      </c>
      <c r="W28" s="11" t="str">
        <f ca="1">IFERROR(__xludf.DUMMYFUNCTION("""COMPUTED_VALUE"""),"#N/A")</f>
        <v>#N/A</v>
      </c>
      <c r="X28" s="11" t="str">
        <f ca="1">IFERROR(__xludf.DUMMYFUNCTION("""COMPUTED_VALUE"""),"#N/A")</f>
        <v>#N/A</v>
      </c>
      <c r="Y28" s="11" t="str">
        <f ca="1">IFERROR(__xludf.DUMMYFUNCTION("""COMPUTED_VALUE"""),"#N/A")</f>
        <v>#N/A</v>
      </c>
      <c r="Z28" s="12" t="str">
        <f ca="1">IFERROR(__xludf.DUMMYFUNCTION("""COMPUTED_VALUE"""),"#N/A")</f>
        <v>#N/A</v>
      </c>
      <c r="AA28" s="12" t="str">
        <f ca="1">IFERROR(__xludf.DUMMYFUNCTION("""COMPUTED_VALUE"""),"#N/A")</f>
        <v>#N/A</v>
      </c>
      <c r="AB28" s="12" t="str">
        <f ca="1">IFERROR(__xludf.DUMMYFUNCTION("""COMPUTED_VALUE"""),"#N/A")</f>
        <v>#N/A</v>
      </c>
      <c r="AC28" s="11" t="str">
        <f ca="1">IFERROR(__xludf.DUMMYFUNCTION("""COMPUTED_VALUE"""),"#N/A")</f>
        <v>#N/A</v>
      </c>
      <c r="AD28" s="12" t="str">
        <f ca="1">IFERROR(__xludf.DUMMYFUNCTION("""COMPUTED_VALUE"""),"#N/A")</f>
        <v>#N/A</v>
      </c>
      <c r="AE28" s="12" t="str">
        <f ca="1">IFERROR(__xludf.DUMMYFUNCTION("""COMPUTED_VALUE"""),"#N/A")</f>
        <v>#N/A</v>
      </c>
      <c r="AF28" s="12" t="str">
        <f ca="1">IFERROR(__xludf.DUMMYFUNCTION("""COMPUTED_VALUE"""),"#N/A")</f>
        <v>#N/A</v>
      </c>
      <c r="AG28" s="86" t="str">
        <f ca="1">IFERROR(__xludf.DUMMYFUNCTION("ArrayFormula(VLOOKUP(G28, IMPORTRANGE(""https://docs.google.com/spreadsheets/d/1Co934fvtviyaRiMsrIlT05Jaq7iiYq07aLvRr35KA48/edit?gid=173865642#gid=173865642"", ""'G10_Maths_Pri_LU'!G2:V2000""), {3, 4, 5, 6, 7, 8, 9, 10, 11, 12, 13, 14, 15, 16}, 0))"),"LU001468")</f>
        <v>LU001468</v>
      </c>
      <c r="AH28" s="83" t="str">
        <f ca="1">IFERROR(__xludf.DUMMYFUNCTION("""COMPUTED_VALUE"""),"Arithmetic progression and terms related to it")</f>
        <v>Arithmetic progression and terms related to it</v>
      </c>
      <c r="AI28" s="83"/>
      <c r="AJ28" s="83"/>
      <c r="AK28" s="83"/>
      <c r="AL28" s="83"/>
      <c r="AM28" s="83"/>
      <c r="AN28" s="83"/>
      <c r="AO28" s="83"/>
      <c r="AP28" s="83"/>
      <c r="AQ28" s="83"/>
      <c r="AR28" s="83"/>
      <c r="AS28" s="83"/>
      <c r="AT28" s="83"/>
    </row>
    <row r="29" spans="1:46" ht="27.6">
      <c r="A29" s="8" t="s">
        <v>247</v>
      </c>
      <c r="B29" s="82" t="s">
        <v>47</v>
      </c>
      <c r="C29" s="82" t="s">
        <v>1172</v>
      </c>
      <c r="D29" s="83" t="s">
        <v>732</v>
      </c>
      <c r="E29" s="82" t="s">
        <v>1239</v>
      </c>
      <c r="F29" s="96" t="s">
        <v>1245</v>
      </c>
      <c r="G29" s="84" t="s">
        <v>1246</v>
      </c>
      <c r="H29" s="85" t="s">
        <v>1247</v>
      </c>
      <c r="I29" s="68" t="str">
        <f t="shared" si="0"/>
        <v>LU001470.001</v>
      </c>
      <c r="J29" s="69" t="str">
        <f ca="1">IFERROR(__xludf.DUMMYFUNCTION("VLOOKUP(I29, IMPORTRANGE(""https://docs.google.com/spreadsheets/d/1yDAaXNsi4Mr5FtRQL4tbmSdIzhx6_m4wkOD7IG-k_eo/edit#gid=0"", ""Maths!M:N""), 2, FALSE)"),"(LU001470.001); Default - Remember")</f>
        <v>(LU001470.001); Default - Remember</v>
      </c>
      <c r="K29" s="69" t="str">
        <f t="shared" si="1"/>
        <v>LU001470.002</v>
      </c>
      <c r="L29" s="69" t="str">
        <f ca="1">IFERROR(__xludf.DUMMYFUNCTION("VLOOKUP(K29, IMPORTRANGE(""https://docs.google.com/spreadsheets/d/1yDAaXNsi4Mr5FtRQL4tbmSdIzhx6_m4wkOD7IG-k_eo/edit#gid=0"", ""Maths!M:N""), 2, FALSE)"),"(LU001470.002); Default - Understand")</f>
        <v>(LU001470.002); Default - Understand</v>
      </c>
      <c r="M29" s="69" t="str">
        <f t="shared" si="2"/>
        <v>LU001470.003</v>
      </c>
      <c r="N29" s="69" t="str">
        <f ca="1">IFERROR(__xludf.DUMMYFUNCTION("VLOOKUP(M29, IMPORTRANGE(""https://docs.google.com/spreadsheets/d/1yDAaXNsi4Mr5FtRQL4tbmSdIzhx6_m4wkOD7IG-k_eo/edit#gid=0"", ""Maths!M:N""), 2, FALSE)"),"(LU001470.003); Default - Apply")</f>
        <v>(LU001470.003); Default - Apply</v>
      </c>
      <c r="O29" s="69" t="str">
        <f t="shared" si="3"/>
        <v>LU001470.004</v>
      </c>
      <c r="P29" s="69" t="str">
        <f ca="1">IFERROR(__xludf.DUMMYFUNCTION("VLOOKUP(O29, IMPORTRANGE(""https://docs.google.com/spreadsheets/d/1yDAaXNsi4Mr5FtRQL4tbmSdIzhx6_m4wkOD7IG-k_eo/edit#gid=0"", ""Maths!M:N""), 2, FALSE)"),"(LU001470.004); Default - Analyse")</f>
        <v>(LU001470.004); Default - Analyse</v>
      </c>
      <c r="Q29" s="69" t="str">
        <f t="shared" si="4"/>
        <v>LU001470.005</v>
      </c>
      <c r="R29" s="69" t="str">
        <f ca="1">IFERROR(__xludf.DUMMYFUNCTION("VLOOKUP(Q29, IMPORTRANGE(""https://docs.google.com/spreadsheets/d/1yDAaXNsi4Mr5FtRQL4tbmSdIzhx6_m4wkOD7IG-k_eo/edit#gid=0"", ""Maths!M:N""), 2, FALSE)"),"(LU001470.005); Default - Evaluate")</f>
        <v>(LU001470.005); Default - Evaluate</v>
      </c>
      <c r="S29" s="69" t="str">
        <f t="shared" si="5"/>
        <v>LU001470.006</v>
      </c>
      <c r="T29" s="69" t="str">
        <f ca="1">IFERROR(__xludf.DUMMYFUNCTION("VLOOKUP(S29, IMPORTRANGE(""https://docs.google.com/spreadsheets/d/1yDAaXNsi4Mr5FtRQL4tbmSdIzhx6_m4wkOD7IG-k_eo/edit#gid=0"", ""Maths!M:N""), 2, FALSE)"),"(LU001470.006); Default - Create")</f>
        <v>(LU001470.006); Default - Create</v>
      </c>
      <c r="U29" s="11" t="str">
        <f ca="1">IFERROR(__xludf.DUMMYFUNCTION("ArrayFormula(VLOOKUP(G29, IMPORTRANGE(""https://docs.google.com/spreadsheets/d/1p7R4vtkWt5VOBim4ltsDG9KTzSjrtKXsMtQGXPHyND0/edit#gid=795171502"", ""'Filter 30_05_2024'!A1:M2000""), {2, 3, 4, 5,6,7,8,9,10,11,12,13}, 0))"),"#N/A")</f>
        <v>#N/A</v>
      </c>
      <c r="V29" s="11" t="str">
        <f ca="1">IFERROR(__xludf.DUMMYFUNCTION("""COMPUTED_VALUE"""),"#N/A")</f>
        <v>#N/A</v>
      </c>
      <c r="W29" s="11" t="str">
        <f ca="1">IFERROR(__xludf.DUMMYFUNCTION("""COMPUTED_VALUE"""),"#N/A")</f>
        <v>#N/A</v>
      </c>
      <c r="X29" s="11" t="str">
        <f ca="1">IFERROR(__xludf.DUMMYFUNCTION("""COMPUTED_VALUE"""),"#N/A")</f>
        <v>#N/A</v>
      </c>
      <c r="Y29" s="11" t="str">
        <f ca="1">IFERROR(__xludf.DUMMYFUNCTION("""COMPUTED_VALUE"""),"#N/A")</f>
        <v>#N/A</v>
      </c>
      <c r="Z29" s="12" t="str">
        <f ca="1">IFERROR(__xludf.DUMMYFUNCTION("""COMPUTED_VALUE"""),"#N/A")</f>
        <v>#N/A</v>
      </c>
      <c r="AA29" s="12" t="str">
        <f ca="1">IFERROR(__xludf.DUMMYFUNCTION("""COMPUTED_VALUE"""),"#N/A")</f>
        <v>#N/A</v>
      </c>
      <c r="AB29" s="12" t="str">
        <f ca="1">IFERROR(__xludf.DUMMYFUNCTION("""COMPUTED_VALUE"""),"#N/A")</f>
        <v>#N/A</v>
      </c>
      <c r="AC29" s="11" t="str">
        <f ca="1">IFERROR(__xludf.DUMMYFUNCTION("""COMPUTED_VALUE"""),"#N/A")</f>
        <v>#N/A</v>
      </c>
      <c r="AD29" s="12" t="str">
        <f ca="1">IFERROR(__xludf.DUMMYFUNCTION("""COMPUTED_VALUE"""),"#N/A")</f>
        <v>#N/A</v>
      </c>
      <c r="AE29" s="12" t="str">
        <f ca="1">IFERROR(__xludf.DUMMYFUNCTION("""COMPUTED_VALUE"""),"#N/A")</f>
        <v>#N/A</v>
      </c>
      <c r="AF29" s="12" t="str">
        <f ca="1">IFERROR(__xludf.DUMMYFUNCTION("""COMPUTED_VALUE"""),"#N/A")</f>
        <v>#N/A</v>
      </c>
      <c r="AG29" s="86" t="str">
        <f ca="1">IFERROR(__xludf.DUMMYFUNCTION("ArrayFormula(VLOOKUP(G29, IMPORTRANGE(""https://docs.google.com/spreadsheets/d/1Co934fvtviyaRiMsrIlT05Jaq7iiYq07aLvRr35KA48/edit?gid=173865642#gid=173865642"", ""'G10_Maths_Pri_LU'!G2:V2000""), {3, 4, 5, 6, 7, 8, 9, 10, 11, 12, 13, 14, 15, 16}, 0))"),"LU001469")</f>
        <v>LU001469</v>
      </c>
      <c r="AH29" s="83" t="str">
        <f ca="1">IFERROR(__xludf.DUMMYFUNCTION("""COMPUTED_VALUE"""),"General form of an arithmetic progression")</f>
        <v>General form of an arithmetic progression</v>
      </c>
      <c r="AI29" s="83" t="str">
        <f ca="1">IFERROR(__xludf.DUMMYFUNCTION("""COMPUTED_VALUE"""),"LU001452")</f>
        <v>LU001452</v>
      </c>
      <c r="AJ29" s="83" t="str">
        <f ca="1">IFERROR(__xludf.DUMMYFUNCTION("""COMPUTED_VALUE"""),"Solution of a pair of linear equations by the elimination method")</f>
        <v>Solution of a pair of linear equations by the elimination method</v>
      </c>
      <c r="AK29" s="83" t="str">
        <f ca="1">IFERROR(__xludf.DUMMYFUNCTION("""COMPUTED_VALUE"""),"LU001451")</f>
        <v>LU001451</v>
      </c>
      <c r="AL29" s="83" t="str">
        <f ca="1">IFERROR(__xludf.DUMMYFUNCTION("""COMPUTED_VALUE"""),"Solution of a pair of linear equations by the substitution method")</f>
        <v>Solution of a pair of linear equations by the substitution method</v>
      </c>
      <c r="AM29" s="83"/>
      <c r="AN29" s="83"/>
      <c r="AO29" s="83"/>
      <c r="AP29" s="83"/>
      <c r="AQ29" s="83"/>
      <c r="AR29" s="83"/>
      <c r="AS29" s="83"/>
      <c r="AT29" s="83"/>
    </row>
    <row r="30" spans="1:46" ht="27.6">
      <c r="A30" s="8" t="s">
        <v>247</v>
      </c>
      <c r="B30" s="82" t="s">
        <v>47</v>
      </c>
      <c r="C30" s="82" t="s">
        <v>1172</v>
      </c>
      <c r="D30" s="83" t="s">
        <v>732</v>
      </c>
      <c r="E30" s="82" t="s">
        <v>1239</v>
      </c>
      <c r="F30" s="96" t="s">
        <v>1245</v>
      </c>
      <c r="G30" s="90" t="s">
        <v>1248</v>
      </c>
      <c r="H30" s="91" t="s">
        <v>1249</v>
      </c>
      <c r="I30" s="68" t="str">
        <f t="shared" si="0"/>
        <v>LU001471.001</v>
      </c>
      <c r="J30" s="69" t="str">
        <f ca="1">IFERROR(__xludf.DUMMYFUNCTION("VLOOKUP(I30, IMPORTRANGE(""https://docs.google.com/spreadsheets/d/1yDAaXNsi4Mr5FtRQL4tbmSdIzhx6_m4wkOD7IG-k_eo/edit#gid=0"", ""Maths!M:N""), 2, FALSE)"),"(LU001471.001); Default - Remember")</f>
        <v>(LU001471.001); Default - Remember</v>
      </c>
      <c r="K30" s="69" t="str">
        <f t="shared" si="1"/>
        <v>LU001471.002</v>
      </c>
      <c r="L30" s="69" t="str">
        <f ca="1">IFERROR(__xludf.DUMMYFUNCTION("VLOOKUP(K30, IMPORTRANGE(""https://docs.google.com/spreadsheets/d/1yDAaXNsi4Mr5FtRQL4tbmSdIzhx6_m4wkOD7IG-k_eo/edit#gid=0"", ""Maths!M:N""), 2, FALSE)"),"(LU001471.002); Default - Understand")</f>
        <v>(LU001471.002); Default - Understand</v>
      </c>
      <c r="M30" s="69" t="str">
        <f t="shared" si="2"/>
        <v>LU001471.003</v>
      </c>
      <c r="N30" s="69" t="str">
        <f ca="1">IFERROR(__xludf.DUMMYFUNCTION("VLOOKUP(M30, IMPORTRANGE(""https://docs.google.com/spreadsheets/d/1yDAaXNsi4Mr5FtRQL4tbmSdIzhx6_m4wkOD7IG-k_eo/edit#gid=0"", ""Maths!M:N""), 2, FALSE)"),"(LU001471.003); Default - Apply")</f>
        <v>(LU001471.003); Default - Apply</v>
      </c>
      <c r="O30" s="69" t="str">
        <f t="shared" si="3"/>
        <v>LU001471.004</v>
      </c>
      <c r="P30" s="69" t="str">
        <f ca="1">IFERROR(__xludf.DUMMYFUNCTION("VLOOKUP(O30, IMPORTRANGE(""https://docs.google.com/spreadsheets/d/1yDAaXNsi4Mr5FtRQL4tbmSdIzhx6_m4wkOD7IG-k_eo/edit#gid=0"", ""Maths!M:N""), 2, FALSE)"),"(LU001471.004); Default - Analyse")</f>
        <v>(LU001471.004); Default - Analyse</v>
      </c>
      <c r="Q30" s="69" t="str">
        <f t="shared" si="4"/>
        <v>LU001471.005</v>
      </c>
      <c r="R30" s="69" t="str">
        <f ca="1">IFERROR(__xludf.DUMMYFUNCTION("VLOOKUP(Q30, IMPORTRANGE(""https://docs.google.com/spreadsheets/d/1yDAaXNsi4Mr5FtRQL4tbmSdIzhx6_m4wkOD7IG-k_eo/edit#gid=0"", ""Maths!M:N""), 2, FALSE)"),"(LU001471.005); Default - Evaluate")</f>
        <v>(LU001471.005); Default - Evaluate</v>
      </c>
      <c r="S30" s="69" t="str">
        <f t="shared" si="5"/>
        <v>LU001471.006</v>
      </c>
      <c r="T30" s="69" t="str">
        <f ca="1">IFERROR(__xludf.DUMMYFUNCTION("VLOOKUP(S30, IMPORTRANGE(""https://docs.google.com/spreadsheets/d/1yDAaXNsi4Mr5FtRQL4tbmSdIzhx6_m4wkOD7IG-k_eo/edit#gid=0"", ""Maths!M:N""), 2, FALSE)"),"(LU001471.006); Default - Create")</f>
        <v>(LU001471.006); Default - Create</v>
      </c>
      <c r="U30" s="11" t="str">
        <f ca="1">IFERROR(__xludf.DUMMYFUNCTION("ArrayFormula(VLOOKUP(G30, IMPORTRANGE(""https://docs.google.com/spreadsheets/d/1p7R4vtkWt5VOBim4ltsDG9KTzSjrtKXsMtQGXPHyND0/edit#gid=795171502"", ""'Filter 30_05_2024'!A1:M2000""), {2, 3, 4, 5,6,7,8,9,10,11,12,13}, 0))"),"#N/A")</f>
        <v>#N/A</v>
      </c>
      <c r="V30" s="11" t="str">
        <f ca="1">IFERROR(__xludf.DUMMYFUNCTION("""COMPUTED_VALUE"""),"#N/A")</f>
        <v>#N/A</v>
      </c>
      <c r="W30" s="11" t="str">
        <f ca="1">IFERROR(__xludf.DUMMYFUNCTION("""COMPUTED_VALUE"""),"#N/A")</f>
        <v>#N/A</v>
      </c>
      <c r="X30" s="11" t="str">
        <f ca="1">IFERROR(__xludf.DUMMYFUNCTION("""COMPUTED_VALUE"""),"#N/A")</f>
        <v>#N/A</v>
      </c>
      <c r="Y30" s="11" t="str">
        <f ca="1">IFERROR(__xludf.DUMMYFUNCTION("""COMPUTED_VALUE"""),"#N/A")</f>
        <v>#N/A</v>
      </c>
      <c r="Z30" s="12" t="str">
        <f ca="1">IFERROR(__xludf.DUMMYFUNCTION("""COMPUTED_VALUE"""),"#N/A")</f>
        <v>#N/A</v>
      </c>
      <c r="AA30" s="12" t="str">
        <f ca="1">IFERROR(__xludf.DUMMYFUNCTION("""COMPUTED_VALUE"""),"#N/A")</f>
        <v>#N/A</v>
      </c>
      <c r="AB30" s="12" t="str">
        <f ca="1">IFERROR(__xludf.DUMMYFUNCTION("""COMPUTED_VALUE"""),"#N/A")</f>
        <v>#N/A</v>
      </c>
      <c r="AC30" s="11" t="str">
        <f ca="1">IFERROR(__xludf.DUMMYFUNCTION("""COMPUTED_VALUE"""),"#N/A")</f>
        <v>#N/A</v>
      </c>
      <c r="AD30" s="12" t="str">
        <f ca="1">IFERROR(__xludf.DUMMYFUNCTION("""COMPUTED_VALUE"""),"#N/A")</f>
        <v>#N/A</v>
      </c>
      <c r="AE30" s="12" t="str">
        <f ca="1">IFERROR(__xludf.DUMMYFUNCTION("""COMPUTED_VALUE"""),"#N/A")</f>
        <v>#N/A</v>
      </c>
      <c r="AF30" s="12" t="str">
        <f ca="1">IFERROR(__xludf.DUMMYFUNCTION("""COMPUTED_VALUE"""),"#N/A")</f>
        <v>#N/A</v>
      </c>
      <c r="AG30" s="86" t="str">
        <f ca="1">IFERROR(__xludf.DUMMYFUNCTION("ArrayFormula(VLOOKUP(G30, IMPORTRANGE(""https://docs.google.com/spreadsheets/d/1Co934fvtviyaRiMsrIlT05Jaq7iiYq07aLvRr35KA48/edit?gid=173865642#gid=173865642"", ""'G10_Maths_Pri_LU'!G2:V2000""), {3, 4, 5, 6, 7, 8, 9, 10, 11, 12, 13, 14, 15, 16}, 0))"),"LU001470")</f>
        <v>LU001470</v>
      </c>
      <c r="AH30" s="83" t="str">
        <f ca="1">IFERROR(__xludf.DUMMYFUNCTION("""COMPUTED_VALUE"""),"nth term (general term) of an arithmetic progression")</f>
        <v>nth term (general term) of an arithmetic progression</v>
      </c>
      <c r="AI30" s="83"/>
      <c r="AJ30" s="83"/>
      <c r="AK30" s="83"/>
      <c r="AL30" s="83"/>
      <c r="AM30" s="83"/>
      <c r="AN30" s="83"/>
      <c r="AO30" s="83"/>
      <c r="AP30" s="83"/>
      <c r="AQ30" s="83"/>
      <c r="AR30" s="83"/>
      <c r="AS30" s="83"/>
      <c r="AT30" s="83"/>
    </row>
    <row r="31" spans="1:46" ht="27.6">
      <c r="A31" s="8" t="s">
        <v>247</v>
      </c>
      <c r="B31" s="82" t="s">
        <v>47</v>
      </c>
      <c r="C31" s="82" t="s">
        <v>1172</v>
      </c>
      <c r="D31" s="83" t="s">
        <v>732</v>
      </c>
      <c r="E31" s="82" t="s">
        <v>1239</v>
      </c>
      <c r="F31" s="96" t="s">
        <v>1250</v>
      </c>
      <c r="G31" s="84" t="s">
        <v>1251</v>
      </c>
      <c r="H31" s="85" t="s">
        <v>1252</v>
      </c>
      <c r="I31" s="68" t="str">
        <f t="shared" si="0"/>
        <v>LU001472.001</v>
      </c>
      <c r="J31" s="69" t="str">
        <f ca="1">IFERROR(__xludf.DUMMYFUNCTION("VLOOKUP(I31, IMPORTRANGE(""https://docs.google.com/spreadsheets/d/1yDAaXNsi4Mr5FtRQL4tbmSdIzhx6_m4wkOD7IG-k_eo/edit#gid=0"", ""Maths!M:N""), 2, FALSE)"),"(LU001472.001); Default - Remember")</f>
        <v>(LU001472.001); Default - Remember</v>
      </c>
      <c r="K31" s="69" t="str">
        <f t="shared" si="1"/>
        <v>LU001472.002</v>
      </c>
      <c r="L31" s="69" t="str">
        <f ca="1">IFERROR(__xludf.DUMMYFUNCTION("VLOOKUP(K31, IMPORTRANGE(""https://docs.google.com/spreadsheets/d/1yDAaXNsi4Mr5FtRQL4tbmSdIzhx6_m4wkOD7IG-k_eo/edit#gid=0"", ""Maths!M:N""), 2, FALSE)"),"(LU001472.002); Default - Understand")</f>
        <v>(LU001472.002); Default - Understand</v>
      </c>
      <c r="M31" s="69" t="str">
        <f t="shared" si="2"/>
        <v>LU001472.003</v>
      </c>
      <c r="N31" s="69" t="str">
        <f ca="1">IFERROR(__xludf.DUMMYFUNCTION("VLOOKUP(M31, IMPORTRANGE(""https://docs.google.com/spreadsheets/d/1yDAaXNsi4Mr5FtRQL4tbmSdIzhx6_m4wkOD7IG-k_eo/edit#gid=0"", ""Maths!M:N""), 2, FALSE)"),"(LU001472.003); Default - Apply")</f>
        <v>(LU001472.003); Default - Apply</v>
      </c>
      <c r="O31" s="69" t="str">
        <f t="shared" si="3"/>
        <v>LU001472.004</v>
      </c>
      <c r="P31" s="69" t="str">
        <f ca="1">IFERROR(__xludf.DUMMYFUNCTION("VLOOKUP(O31, IMPORTRANGE(""https://docs.google.com/spreadsheets/d/1yDAaXNsi4Mr5FtRQL4tbmSdIzhx6_m4wkOD7IG-k_eo/edit#gid=0"", ""Maths!M:N""), 2, FALSE)"),"(LU001472.004); Default - Analyse")</f>
        <v>(LU001472.004); Default - Analyse</v>
      </c>
      <c r="Q31" s="69" t="str">
        <f t="shared" si="4"/>
        <v>LU001472.005</v>
      </c>
      <c r="R31" s="69" t="str">
        <f ca="1">IFERROR(__xludf.DUMMYFUNCTION("VLOOKUP(Q31, IMPORTRANGE(""https://docs.google.com/spreadsheets/d/1yDAaXNsi4Mr5FtRQL4tbmSdIzhx6_m4wkOD7IG-k_eo/edit#gid=0"", ""Maths!M:N""), 2, FALSE)"),"(LU001472.005); Default - Evaluate")</f>
        <v>(LU001472.005); Default - Evaluate</v>
      </c>
      <c r="S31" s="69" t="str">
        <f t="shared" si="5"/>
        <v>LU001472.006</v>
      </c>
      <c r="T31" s="69" t="str">
        <f ca="1">IFERROR(__xludf.DUMMYFUNCTION("VLOOKUP(S31, IMPORTRANGE(""https://docs.google.com/spreadsheets/d/1yDAaXNsi4Mr5FtRQL4tbmSdIzhx6_m4wkOD7IG-k_eo/edit#gid=0"", ""Maths!M:N""), 2, FALSE)"),"(LU001472.006); Default - Create")</f>
        <v>(LU001472.006); Default - Create</v>
      </c>
      <c r="U31" s="11" t="str">
        <f ca="1">IFERROR(__xludf.DUMMYFUNCTION("ArrayFormula(VLOOKUP(G31, IMPORTRANGE(""https://docs.google.com/spreadsheets/d/1p7R4vtkWt5VOBim4ltsDG9KTzSjrtKXsMtQGXPHyND0/edit#gid=795171502"", ""'Filter 30_05_2024'!A1:M2000""), {2, 3, 4, 5,6,7,8,9,10,11,12,13}, 0))"),"#N/A")</f>
        <v>#N/A</v>
      </c>
      <c r="V31" s="11" t="str">
        <f ca="1">IFERROR(__xludf.DUMMYFUNCTION("""COMPUTED_VALUE"""),"#N/A")</f>
        <v>#N/A</v>
      </c>
      <c r="W31" s="11" t="str">
        <f ca="1">IFERROR(__xludf.DUMMYFUNCTION("""COMPUTED_VALUE"""),"#N/A")</f>
        <v>#N/A</v>
      </c>
      <c r="X31" s="11" t="str">
        <f ca="1">IFERROR(__xludf.DUMMYFUNCTION("""COMPUTED_VALUE"""),"#N/A")</f>
        <v>#N/A</v>
      </c>
      <c r="Y31" s="11" t="str">
        <f ca="1">IFERROR(__xludf.DUMMYFUNCTION("""COMPUTED_VALUE"""),"#N/A")</f>
        <v>#N/A</v>
      </c>
      <c r="Z31" s="12" t="str">
        <f ca="1">IFERROR(__xludf.DUMMYFUNCTION("""COMPUTED_VALUE"""),"#N/A")</f>
        <v>#N/A</v>
      </c>
      <c r="AA31" s="12" t="str">
        <f ca="1">IFERROR(__xludf.DUMMYFUNCTION("""COMPUTED_VALUE"""),"#N/A")</f>
        <v>#N/A</v>
      </c>
      <c r="AB31" s="12" t="str">
        <f ca="1">IFERROR(__xludf.DUMMYFUNCTION("""COMPUTED_VALUE"""),"#N/A")</f>
        <v>#N/A</v>
      </c>
      <c r="AC31" s="11" t="str">
        <f ca="1">IFERROR(__xludf.DUMMYFUNCTION("""COMPUTED_VALUE"""),"#N/A")</f>
        <v>#N/A</v>
      </c>
      <c r="AD31" s="12" t="str">
        <f ca="1">IFERROR(__xludf.DUMMYFUNCTION("""COMPUTED_VALUE"""),"#N/A")</f>
        <v>#N/A</v>
      </c>
      <c r="AE31" s="12" t="str">
        <f ca="1">IFERROR(__xludf.DUMMYFUNCTION("""COMPUTED_VALUE"""),"#N/A")</f>
        <v>#N/A</v>
      </c>
      <c r="AF31" s="12" t="str">
        <f ca="1">IFERROR(__xludf.DUMMYFUNCTION("""COMPUTED_VALUE"""),"#N/A")</f>
        <v>#N/A</v>
      </c>
      <c r="AG31" s="86" t="str">
        <f ca="1">IFERROR(__xludf.DUMMYFUNCTION("ArrayFormula(VLOOKUP(G31, IMPORTRANGE(""https://docs.google.com/spreadsheets/d/1Co934fvtviyaRiMsrIlT05Jaq7iiYq07aLvRr35KA48/edit?gid=173865642#gid=173865642"", ""'G10_Maths_Pri_LU'!G2:V2000""), {3, 4, 5, 6, 7, 8, 9, 10, 11, 12, 13, 14, 15, 16}, 0))"),"LU001470")</f>
        <v>LU001470</v>
      </c>
      <c r="AH31" s="83" t="str">
        <f ca="1">IFERROR(__xludf.DUMMYFUNCTION("""COMPUTED_VALUE"""),"nth term (general term) of an arithmetic progression")</f>
        <v>nth term (general term) of an arithmetic progression</v>
      </c>
      <c r="AI31" s="83" t="str">
        <f ca="1">IFERROR(__xludf.DUMMYFUNCTION("""COMPUTED_VALUE"""),"LU001469")</f>
        <v>LU001469</v>
      </c>
      <c r="AJ31" s="83" t="str">
        <f ca="1">IFERROR(__xludf.DUMMYFUNCTION("""COMPUTED_VALUE"""),"General form of an arithmetic progression")</f>
        <v>General form of an arithmetic progression</v>
      </c>
      <c r="AK31" s="83"/>
      <c r="AL31" s="83"/>
      <c r="AM31" s="83"/>
      <c r="AN31" s="83"/>
      <c r="AO31" s="83"/>
      <c r="AP31" s="83"/>
      <c r="AQ31" s="83"/>
      <c r="AR31" s="83"/>
      <c r="AS31" s="83"/>
      <c r="AT31" s="83"/>
    </row>
    <row r="32" spans="1:46" ht="27.6">
      <c r="A32" s="8" t="s">
        <v>247</v>
      </c>
      <c r="B32" s="82" t="s">
        <v>47</v>
      </c>
      <c r="C32" s="82" t="s">
        <v>1172</v>
      </c>
      <c r="D32" s="83" t="s">
        <v>732</v>
      </c>
      <c r="E32" s="82" t="s">
        <v>1239</v>
      </c>
      <c r="F32" s="96" t="s">
        <v>1250</v>
      </c>
      <c r="G32" s="90" t="s">
        <v>1253</v>
      </c>
      <c r="H32" s="91" t="s">
        <v>1254</v>
      </c>
      <c r="I32" s="68" t="str">
        <f t="shared" si="0"/>
        <v>LU001473.001</v>
      </c>
      <c r="J32" s="69" t="str">
        <f ca="1">IFERROR(__xludf.DUMMYFUNCTION("VLOOKUP(I32, IMPORTRANGE(""https://docs.google.com/spreadsheets/d/1yDAaXNsi4Mr5FtRQL4tbmSdIzhx6_m4wkOD7IG-k_eo/edit#gid=0"", ""Maths!M:N""), 2, FALSE)"),"(LU001473.001); Default - Remember")</f>
        <v>(LU001473.001); Default - Remember</v>
      </c>
      <c r="K32" s="69" t="str">
        <f t="shared" si="1"/>
        <v>LU001473.002</v>
      </c>
      <c r="L32" s="69" t="str">
        <f ca="1">IFERROR(__xludf.DUMMYFUNCTION("VLOOKUP(K32, IMPORTRANGE(""https://docs.google.com/spreadsheets/d/1yDAaXNsi4Mr5FtRQL4tbmSdIzhx6_m4wkOD7IG-k_eo/edit#gid=0"", ""Maths!M:N""), 2, FALSE)"),"(LU001473.002); Default - Understand")</f>
        <v>(LU001473.002); Default - Understand</v>
      </c>
      <c r="M32" s="69" t="str">
        <f t="shared" si="2"/>
        <v>LU001473.003</v>
      </c>
      <c r="N32" s="69" t="str">
        <f ca="1">IFERROR(__xludf.DUMMYFUNCTION("VLOOKUP(M32, IMPORTRANGE(""https://docs.google.com/spreadsheets/d/1yDAaXNsi4Mr5FtRQL4tbmSdIzhx6_m4wkOD7IG-k_eo/edit#gid=0"", ""Maths!M:N""), 2, FALSE)"),"(LU001473.003); Default - Apply")</f>
        <v>(LU001473.003); Default - Apply</v>
      </c>
      <c r="O32" s="69" t="str">
        <f t="shared" si="3"/>
        <v>LU001473.004</v>
      </c>
      <c r="P32" s="69" t="str">
        <f ca="1">IFERROR(__xludf.DUMMYFUNCTION("VLOOKUP(O32, IMPORTRANGE(""https://docs.google.com/spreadsheets/d/1yDAaXNsi4Mr5FtRQL4tbmSdIzhx6_m4wkOD7IG-k_eo/edit#gid=0"", ""Maths!M:N""), 2, FALSE)"),"(LU001473.004); Default - Analyse")</f>
        <v>(LU001473.004); Default - Analyse</v>
      </c>
      <c r="Q32" s="69" t="str">
        <f t="shared" si="4"/>
        <v>LU001473.005</v>
      </c>
      <c r="R32" s="69" t="str">
        <f ca="1">IFERROR(__xludf.DUMMYFUNCTION("VLOOKUP(Q32, IMPORTRANGE(""https://docs.google.com/spreadsheets/d/1yDAaXNsi4Mr5FtRQL4tbmSdIzhx6_m4wkOD7IG-k_eo/edit#gid=0"", ""Maths!M:N""), 2, FALSE)"),"(LU001473.005); Default - Evaluate")</f>
        <v>(LU001473.005); Default - Evaluate</v>
      </c>
      <c r="S32" s="69" t="str">
        <f t="shared" si="5"/>
        <v>LU001473.006</v>
      </c>
      <c r="T32" s="69" t="str">
        <f ca="1">IFERROR(__xludf.DUMMYFUNCTION("VLOOKUP(S32, IMPORTRANGE(""https://docs.google.com/spreadsheets/d/1yDAaXNsi4Mr5FtRQL4tbmSdIzhx6_m4wkOD7IG-k_eo/edit#gid=0"", ""Maths!M:N""), 2, FALSE)"),"(LU001473.006); Default - Create")</f>
        <v>(LU001473.006); Default - Create</v>
      </c>
      <c r="U32" s="11" t="str">
        <f ca="1">IFERROR(__xludf.DUMMYFUNCTION("ArrayFormula(VLOOKUP(G32, IMPORTRANGE(""https://docs.google.com/spreadsheets/d/1p7R4vtkWt5VOBim4ltsDG9KTzSjrtKXsMtQGXPHyND0/edit#gid=795171502"", ""'Filter 30_05_2024'!A1:M2000""), {2, 3, 4, 5,6,7,8,9,10,11,12,13}, 0))"),"#N/A")</f>
        <v>#N/A</v>
      </c>
      <c r="V32" s="11" t="str">
        <f ca="1">IFERROR(__xludf.DUMMYFUNCTION("""COMPUTED_VALUE"""),"#N/A")</f>
        <v>#N/A</v>
      </c>
      <c r="W32" s="11" t="str">
        <f ca="1">IFERROR(__xludf.DUMMYFUNCTION("""COMPUTED_VALUE"""),"#N/A")</f>
        <v>#N/A</v>
      </c>
      <c r="X32" s="11" t="str">
        <f ca="1">IFERROR(__xludf.DUMMYFUNCTION("""COMPUTED_VALUE"""),"#N/A")</f>
        <v>#N/A</v>
      </c>
      <c r="Y32" s="11" t="str">
        <f ca="1">IFERROR(__xludf.DUMMYFUNCTION("""COMPUTED_VALUE"""),"#N/A")</f>
        <v>#N/A</v>
      </c>
      <c r="Z32" s="12" t="str">
        <f ca="1">IFERROR(__xludf.DUMMYFUNCTION("""COMPUTED_VALUE"""),"#N/A")</f>
        <v>#N/A</v>
      </c>
      <c r="AA32" s="12" t="str">
        <f ca="1">IFERROR(__xludf.DUMMYFUNCTION("""COMPUTED_VALUE"""),"#N/A")</f>
        <v>#N/A</v>
      </c>
      <c r="AB32" s="12" t="str">
        <f ca="1">IFERROR(__xludf.DUMMYFUNCTION("""COMPUTED_VALUE"""),"#N/A")</f>
        <v>#N/A</v>
      </c>
      <c r="AC32" s="11" t="str">
        <f ca="1">IFERROR(__xludf.DUMMYFUNCTION("""COMPUTED_VALUE"""),"#N/A")</f>
        <v>#N/A</v>
      </c>
      <c r="AD32" s="12" t="str">
        <f ca="1">IFERROR(__xludf.DUMMYFUNCTION("""COMPUTED_VALUE"""),"#N/A")</f>
        <v>#N/A</v>
      </c>
      <c r="AE32" s="12" t="str">
        <f ca="1">IFERROR(__xludf.DUMMYFUNCTION("""COMPUTED_VALUE"""),"#N/A")</f>
        <v>#N/A</v>
      </c>
      <c r="AF32" s="12" t="str">
        <f ca="1">IFERROR(__xludf.DUMMYFUNCTION("""COMPUTED_VALUE"""),"#N/A")</f>
        <v>#N/A</v>
      </c>
      <c r="AG32" s="86" t="str">
        <f ca="1">IFERROR(__xludf.DUMMYFUNCTION("ArrayFormula(VLOOKUP(G32, IMPORTRANGE(""https://docs.google.com/spreadsheets/d/1Co934fvtviyaRiMsrIlT05Jaq7iiYq07aLvRr35KA48/edit?gid=173865642#gid=173865642"", ""'G10_Maths_Pri_LU'!G2:V2000""), {3, 4, 5, 6, 7, 8, 9, 10, 11, 12, 13, 14, 15, 16}, 0))"),"LU001472")</f>
        <v>LU001472</v>
      </c>
      <c r="AH32" s="83" t="str">
        <f ca="1">IFERROR(__xludf.DUMMYFUNCTION("""COMPUTED_VALUE"""),"Sum of first n terms of an arithmetic progression")</f>
        <v>Sum of first n terms of an arithmetic progression</v>
      </c>
      <c r="AI32" s="83" t="str">
        <f ca="1">IFERROR(__xludf.DUMMYFUNCTION("""COMPUTED_VALUE"""),"LU001470")</f>
        <v>LU001470</v>
      </c>
      <c r="AJ32" s="83" t="str">
        <f ca="1">IFERROR(__xludf.DUMMYFUNCTION("""COMPUTED_VALUE"""),"nth term (general term) of an arithmetic progression")</f>
        <v>nth term (general term) of an arithmetic progression</v>
      </c>
      <c r="AK32" s="83"/>
      <c r="AL32" s="83"/>
      <c r="AM32" s="83"/>
      <c r="AN32" s="83"/>
      <c r="AO32" s="83"/>
      <c r="AP32" s="83"/>
      <c r="AQ32" s="83"/>
      <c r="AR32" s="83"/>
      <c r="AS32" s="83"/>
      <c r="AT32" s="83"/>
    </row>
    <row r="33" spans="1:46" ht="41.4">
      <c r="A33" s="8" t="s">
        <v>247</v>
      </c>
      <c r="B33" s="82" t="s">
        <v>47</v>
      </c>
      <c r="C33" s="82" t="s">
        <v>1172</v>
      </c>
      <c r="D33" s="83" t="s">
        <v>732</v>
      </c>
      <c r="E33" s="82" t="s">
        <v>1239</v>
      </c>
      <c r="F33" s="95" t="s">
        <v>1255</v>
      </c>
      <c r="G33" s="84" t="s">
        <v>1256</v>
      </c>
      <c r="H33" s="95" t="s">
        <v>1257</v>
      </c>
      <c r="I33" s="68" t="str">
        <f t="shared" si="0"/>
        <v>LU001474.001</v>
      </c>
      <c r="J33" s="69" t="str">
        <f ca="1">IFERROR(__xludf.DUMMYFUNCTION("VLOOKUP(I33, IMPORTRANGE(""https://docs.google.com/spreadsheets/d/1yDAaXNsi4Mr5FtRQL4tbmSdIzhx6_m4wkOD7IG-k_eo/edit#gid=0"", ""Maths!M:N""), 2, FALSE)"),"(LU001474.001); Default - Remember")</f>
        <v>(LU001474.001); Default - Remember</v>
      </c>
      <c r="K33" s="69" t="str">
        <f t="shared" si="1"/>
        <v>LU001474.002</v>
      </c>
      <c r="L33" s="69" t="str">
        <f ca="1">IFERROR(__xludf.DUMMYFUNCTION("VLOOKUP(K33, IMPORTRANGE(""https://docs.google.com/spreadsheets/d/1yDAaXNsi4Mr5FtRQL4tbmSdIzhx6_m4wkOD7IG-k_eo/edit#gid=0"", ""Maths!M:N""), 2, FALSE)"),"(LU001474.002); Default - Understand")</f>
        <v>(LU001474.002); Default - Understand</v>
      </c>
      <c r="M33" s="69" t="str">
        <f t="shared" si="2"/>
        <v>LU001474.003</v>
      </c>
      <c r="N33" s="69" t="str">
        <f ca="1">IFERROR(__xludf.DUMMYFUNCTION("VLOOKUP(M33, IMPORTRANGE(""https://docs.google.com/spreadsheets/d/1yDAaXNsi4Mr5FtRQL4tbmSdIzhx6_m4wkOD7IG-k_eo/edit#gid=0"", ""Maths!M:N""), 2, FALSE)"),"(LU001474.003); Default - Apply")</f>
        <v>(LU001474.003); Default - Apply</v>
      </c>
      <c r="O33" s="69" t="str">
        <f t="shared" si="3"/>
        <v>LU001474.004</v>
      </c>
      <c r="P33" s="69" t="str">
        <f ca="1">IFERROR(__xludf.DUMMYFUNCTION("VLOOKUP(O33, IMPORTRANGE(""https://docs.google.com/spreadsheets/d/1yDAaXNsi4Mr5FtRQL4tbmSdIzhx6_m4wkOD7IG-k_eo/edit#gid=0"", ""Maths!M:N""), 2, FALSE)"),"(LU001474.004); Default - Analyse")</f>
        <v>(LU001474.004); Default - Analyse</v>
      </c>
      <c r="Q33" s="69" t="str">
        <f t="shared" si="4"/>
        <v>LU001474.005</v>
      </c>
      <c r="R33" s="69" t="str">
        <f ca="1">IFERROR(__xludf.DUMMYFUNCTION("VLOOKUP(Q33, IMPORTRANGE(""https://docs.google.com/spreadsheets/d/1yDAaXNsi4Mr5FtRQL4tbmSdIzhx6_m4wkOD7IG-k_eo/edit#gid=0"", ""Maths!M:N""), 2, FALSE)"),"(LU001474.005); Default - Evaluate")</f>
        <v>(LU001474.005); Default - Evaluate</v>
      </c>
      <c r="S33" s="69" t="str">
        <f t="shared" si="5"/>
        <v>LU001474.006</v>
      </c>
      <c r="T33" s="69" t="str">
        <f ca="1">IFERROR(__xludf.DUMMYFUNCTION("VLOOKUP(S33, IMPORTRANGE(""https://docs.google.com/spreadsheets/d/1yDAaXNsi4Mr5FtRQL4tbmSdIzhx6_m4wkOD7IG-k_eo/edit#gid=0"", ""Maths!M:N""), 2, FALSE)"),"(LU001474.006); Default - Create")</f>
        <v>(LU001474.006); Default - Create</v>
      </c>
      <c r="U33" s="11" t="str">
        <f ca="1">IFERROR(__xludf.DUMMYFUNCTION("ArrayFormula(VLOOKUP(G33, IMPORTRANGE(""https://docs.google.com/spreadsheets/d/1p7R4vtkWt5VOBim4ltsDG9KTzSjrtKXsMtQGXPHyND0/edit#gid=795171502"", ""'Filter 30_05_2024'!A1:M2000""), {2, 3, 4, 5,6,7,8,9,10,11,12,13}, 0))"),"#N/A")</f>
        <v>#N/A</v>
      </c>
      <c r="V33" s="11" t="str">
        <f ca="1">IFERROR(__xludf.DUMMYFUNCTION("""COMPUTED_VALUE"""),"#N/A")</f>
        <v>#N/A</v>
      </c>
      <c r="W33" s="11" t="str">
        <f ca="1">IFERROR(__xludf.DUMMYFUNCTION("""COMPUTED_VALUE"""),"#N/A")</f>
        <v>#N/A</v>
      </c>
      <c r="X33" s="11" t="str">
        <f ca="1">IFERROR(__xludf.DUMMYFUNCTION("""COMPUTED_VALUE"""),"#N/A")</f>
        <v>#N/A</v>
      </c>
      <c r="Y33" s="11" t="str">
        <f ca="1">IFERROR(__xludf.DUMMYFUNCTION("""COMPUTED_VALUE"""),"#N/A")</f>
        <v>#N/A</v>
      </c>
      <c r="Z33" s="12" t="str">
        <f ca="1">IFERROR(__xludf.DUMMYFUNCTION("""COMPUTED_VALUE"""),"#N/A")</f>
        <v>#N/A</v>
      </c>
      <c r="AA33" s="12" t="str">
        <f ca="1">IFERROR(__xludf.DUMMYFUNCTION("""COMPUTED_VALUE"""),"#N/A")</f>
        <v>#N/A</v>
      </c>
      <c r="AB33" s="12" t="str">
        <f ca="1">IFERROR(__xludf.DUMMYFUNCTION("""COMPUTED_VALUE"""),"#N/A")</f>
        <v>#N/A</v>
      </c>
      <c r="AC33" s="11" t="str">
        <f ca="1">IFERROR(__xludf.DUMMYFUNCTION("""COMPUTED_VALUE"""),"#N/A")</f>
        <v>#N/A</v>
      </c>
      <c r="AD33" s="12" t="str">
        <f ca="1">IFERROR(__xludf.DUMMYFUNCTION("""COMPUTED_VALUE"""),"#N/A")</f>
        <v>#N/A</v>
      </c>
      <c r="AE33" s="12" t="str">
        <f ca="1">IFERROR(__xludf.DUMMYFUNCTION("""COMPUTED_VALUE"""),"#N/A")</f>
        <v>#N/A</v>
      </c>
      <c r="AF33" s="12" t="str">
        <f ca="1">IFERROR(__xludf.DUMMYFUNCTION("""COMPUTED_VALUE"""),"#N/A")</f>
        <v>#N/A</v>
      </c>
      <c r="AG33" s="86" t="str">
        <f ca="1">IFERROR(__xludf.DUMMYFUNCTION("ArrayFormula(VLOOKUP(G33, IMPORTRANGE(""https://docs.google.com/spreadsheets/d/1Co934fvtviyaRiMsrIlT05Jaq7iiYq07aLvRr35KA48/edit?gid=173865642#gid=173865642"", ""'G10_Maths_Pri_LU'!G2:V2000""), {3, 4, 5, 6, 7, 8, 9, 10, 11, 12, 13, 14, 15, 16}, 0))"),"LU001470")</f>
        <v>LU001470</v>
      </c>
      <c r="AH33" s="83" t="str">
        <f ca="1">IFERROR(__xludf.DUMMYFUNCTION("""COMPUTED_VALUE"""),"nth term (general term) of an arithmetic progression")</f>
        <v>nth term (general term) of an arithmetic progression</v>
      </c>
      <c r="AI33" s="83" t="str">
        <f ca="1">IFERROR(__xludf.DUMMYFUNCTION("""COMPUTED_VALUE"""),"LU001472")</f>
        <v>LU001472</v>
      </c>
      <c r="AJ33" s="83" t="str">
        <f ca="1">IFERROR(__xludf.DUMMYFUNCTION("""COMPUTED_VALUE"""),"Sum of first n terms of an arithmetic progression")</f>
        <v>Sum of first n terms of an arithmetic progression</v>
      </c>
      <c r="AK33" s="83"/>
      <c r="AL33" s="83"/>
      <c r="AM33" s="83"/>
      <c r="AN33" s="83"/>
      <c r="AO33" s="83"/>
      <c r="AP33" s="83"/>
      <c r="AQ33" s="83"/>
      <c r="AR33" s="83"/>
      <c r="AS33" s="83"/>
      <c r="AT33" s="83"/>
    </row>
    <row r="34" spans="1:46" ht="26.4">
      <c r="A34" s="8" t="s">
        <v>247</v>
      </c>
      <c r="B34" s="82" t="s">
        <v>47</v>
      </c>
      <c r="C34" s="82" t="s">
        <v>1172</v>
      </c>
      <c r="D34" s="83" t="s">
        <v>732</v>
      </c>
      <c r="E34" s="82" t="s">
        <v>1239</v>
      </c>
      <c r="F34" s="95" t="s">
        <v>1258</v>
      </c>
      <c r="G34" s="95" t="s">
        <v>1259</v>
      </c>
      <c r="H34" s="95" t="s">
        <v>1260</v>
      </c>
      <c r="I34" s="68" t="str">
        <f t="shared" si="0"/>
        <v>LU001571.001</v>
      </c>
      <c r="J34" s="69" t="str">
        <f ca="1">IFERROR(__xludf.DUMMYFUNCTION("VLOOKUP(I34, IMPORTRANGE(""https://docs.google.com/spreadsheets/d/1yDAaXNsi4Mr5FtRQL4tbmSdIzhx6_m4wkOD7IG-k_eo/edit#gid=0"", ""Maths!M:N""), 2, FALSE)"),"(LU001571.001); Default - Remember")</f>
        <v>(LU001571.001); Default - Remember</v>
      </c>
      <c r="K34" s="69" t="str">
        <f t="shared" si="1"/>
        <v>LU001571.002</v>
      </c>
      <c r="L34" s="69" t="str">
        <f ca="1">IFERROR(__xludf.DUMMYFUNCTION("VLOOKUP(K34, IMPORTRANGE(""https://docs.google.com/spreadsheets/d/1yDAaXNsi4Mr5FtRQL4tbmSdIzhx6_m4wkOD7IG-k_eo/edit#gid=0"", ""Maths!M:N""), 2, FALSE)"),"(LU001571.002); Default - Understand")</f>
        <v>(LU001571.002); Default - Understand</v>
      </c>
      <c r="M34" s="69" t="str">
        <f t="shared" si="2"/>
        <v>LU001571.003</v>
      </c>
      <c r="N34" s="69" t="str">
        <f ca="1">IFERROR(__xludf.DUMMYFUNCTION("VLOOKUP(M34, IMPORTRANGE(""https://docs.google.com/spreadsheets/d/1yDAaXNsi4Mr5FtRQL4tbmSdIzhx6_m4wkOD7IG-k_eo/edit#gid=0"", ""Maths!M:N""), 2, FALSE)"),"(LU001571.003); Default - Apply")</f>
        <v>(LU001571.003); Default - Apply</v>
      </c>
      <c r="O34" s="69" t="str">
        <f t="shared" si="3"/>
        <v>LU001571.004</v>
      </c>
      <c r="P34" s="69" t="str">
        <f ca="1">IFERROR(__xludf.DUMMYFUNCTION("VLOOKUP(O34, IMPORTRANGE(""https://docs.google.com/spreadsheets/d/1yDAaXNsi4Mr5FtRQL4tbmSdIzhx6_m4wkOD7IG-k_eo/edit#gid=0"", ""Maths!M:N""), 2, FALSE)"),"(LU001571.004); Default - Analyse")</f>
        <v>(LU001571.004); Default - Analyse</v>
      </c>
      <c r="Q34" s="69" t="str">
        <f t="shared" si="4"/>
        <v>LU001571.005</v>
      </c>
      <c r="R34" s="69" t="str">
        <f ca="1">IFERROR(__xludf.DUMMYFUNCTION("VLOOKUP(Q34, IMPORTRANGE(""https://docs.google.com/spreadsheets/d/1yDAaXNsi4Mr5FtRQL4tbmSdIzhx6_m4wkOD7IG-k_eo/edit#gid=0"", ""Maths!M:N""), 2, FALSE)"),"(LU001571.005); Default - Evaluate")</f>
        <v>(LU001571.005); Default - Evaluate</v>
      </c>
      <c r="S34" s="69" t="str">
        <f t="shared" si="5"/>
        <v>LU001571.006</v>
      </c>
      <c r="T34" s="69" t="str">
        <f ca="1">IFERROR(__xludf.DUMMYFUNCTION("VLOOKUP(S34, IMPORTRANGE(""https://docs.google.com/spreadsheets/d/1yDAaXNsi4Mr5FtRQL4tbmSdIzhx6_m4wkOD7IG-k_eo/edit#gid=0"", ""Maths!M:N""), 2, FALSE)"),"(LU001571.006); Default - Create")</f>
        <v>(LU001571.006); Default - Create</v>
      </c>
      <c r="U34" s="11" t="str">
        <f ca="1">IFERROR(__xludf.DUMMYFUNCTION("ArrayFormula(VLOOKUP(G34, IMPORTRANGE(""https://docs.google.com/spreadsheets/d/1p7R4vtkWt5VOBim4ltsDG9KTzSjrtKXsMtQGXPHyND0/edit#gid=795171502"", ""'Filter 30_05_2024'!A1:M2000""), {2, 3, 4, 5,6,7,8,9,10,11,12,13}, 0))"),"#N/A")</f>
        <v>#N/A</v>
      </c>
      <c r="V34" s="11" t="str">
        <f ca="1">IFERROR(__xludf.DUMMYFUNCTION("""COMPUTED_VALUE"""),"#N/A")</f>
        <v>#N/A</v>
      </c>
      <c r="W34" s="11" t="str">
        <f ca="1">IFERROR(__xludf.DUMMYFUNCTION("""COMPUTED_VALUE"""),"#N/A")</f>
        <v>#N/A</v>
      </c>
      <c r="X34" s="11" t="str">
        <f ca="1">IFERROR(__xludf.DUMMYFUNCTION("""COMPUTED_VALUE"""),"#N/A")</f>
        <v>#N/A</v>
      </c>
      <c r="Y34" s="11" t="str">
        <f ca="1">IFERROR(__xludf.DUMMYFUNCTION("""COMPUTED_VALUE"""),"#N/A")</f>
        <v>#N/A</v>
      </c>
      <c r="Z34" s="12" t="str">
        <f ca="1">IFERROR(__xludf.DUMMYFUNCTION("""COMPUTED_VALUE"""),"#N/A")</f>
        <v>#N/A</v>
      </c>
      <c r="AA34" s="12" t="str">
        <f ca="1">IFERROR(__xludf.DUMMYFUNCTION("""COMPUTED_VALUE"""),"#N/A")</f>
        <v>#N/A</v>
      </c>
      <c r="AB34" s="12" t="str">
        <f ca="1">IFERROR(__xludf.DUMMYFUNCTION("""COMPUTED_VALUE"""),"#N/A")</f>
        <v>#N/A</v>
      </c>
      <c r="AC34" s="11" t="str">
        <f ca="1">IFERROR(__xludf.DUMMYFUNCTION("""COMPUTED_VALUE"""),"#N/A")</f>
        <v>#N/A</v>
      </c>
      <c r="AD34" s="12" t="str">
        <f ca="1">IFERROR(__xludf.DUMMYFUNCTION("""COMPUTED_VALUE"""),"#N/A")</f>
        <v>#N/A</v>
      </c>
      <c r="AE34" s="12" t="str">
        <f ca="1">IFERROR(__xludf.DUMMYFUNCTION("""COMPUTED_VALUE"""),"#N/A")</f>
        <v>#N/A</v>
      </c>
      <c r="AF34" s="12" t="str">
        <f ca="1">IFERROR(__xludf.DUMMYFUNCTION("""COMPUTED_VALUE"""),"#N/A")</f>
        <v>#N/A</v>
      </c>
      <c r="AG34" s="86" t="str">
        <f ca="1">IFERROR(__xludf.DUMMYFUNCTION("ArrayFormula(VLOOKUP(G34, IMPORTRANGE(""https://docs.google.com/spreadsheets/d/1Co934fvtviyaRiMsrIlT05Jaq7iiYq07aLvRr35KA48/edit?gid=173865642#gid=173865642"", ""'G10_Maths_Pri_LU'!G2:V2000""), {3, 4, 5, 6, 7, 8, 9, 10, 11, 12, 13, 14, 15, 16}, 0))"),"LU001472")</f>
        <v>LU001472</v>
      </c>
      <c r="AH34" s="83" t="str">
        <f ca="1">IFERROR(__xludf.DUMMYFUNCTION("""COMPUTED_VALUE"""),"Sum of first n terms of an arithmetic progression")</f>
        <v>Sum of first n terms of an arithmetic progression</v>
      </c>
      <c r="AI34" s="83" t="str">
        <f ca="1">IFERROR(__xludf.DUMMYFUNCTION("""COMPUTED_VALUE"""),"LU001470")</f>
        <v>LU001470</v>
      </c>
      <c r="AJ34" s="83" t="str">
        <f ca="1">IFERROR(__xludf.DUMMYFUNCTION("""COMPUTED_VALUE"""),"nth term (general term) of an arithmetic progression")</f>
        <v>nth term (general term) of an arithmetic progression</v>
      </c>
      <c r="AK34" s="83" t="str">
        <f ca="1">IFERROR(__xludf.DUMMYFUNCTION("""COMPUTED_VALUE"""),"LU001469")</f>
        <v>LU001469</v>
      </c>
      <c r="AL34" s="83" t="str">
        <f ca="1">IFERROR(__xludf.DUMMYFUNCTION("""COMPUTED_VALUE"""),"General form of an arithmetic progression")</f>
        <v>General form of an arithmetic progression</v>
      </c>
      <c r="AM34" s="83"/>
      <c r="AN34" s="83"/>
      <c r="AO34" s="83"/>
      <c r="AP34" s="83"/>
      <c r="AQ34" s="83"/>
      <c r="AR34" s="83"/>
      <c r="AS34" s="83"/>
      <c r="AT34" s="83"/>
    </row>
    <row r="35" spans="1:46" ht="26.4">
      <c r="A35" s="8" t="s">
        <v>247</v>
      </c>
      <c r="B35" s="82" t="s">
        <v>47</v>
      </c>
      <c r="C35" s="82" t="s">
        <v>1172</v>
      </c>
      <c r="D35" s="83" t="s">
        <v>732</v>
      </c>
      <c r="E35" s="82" t="s">
        <v>1094</v>
      </c>
      <c r="F35" s="82" t="s">
        <v>1261</v>
      </c>
      <c r="G35" s="84" t="s">
        <v>1262</v>
      </c>
      <c r="H35" s="95" t="s">
        <v>1263</v>
      </c>
      <c r="I35" s="68" t="str">
        <f t="shared" si="0"/>
        <v>LU001476.001</v>
      </c>
      <c r="J35" s="69" t="str">
        <f ca="1">IFERROR(__xludf.DUMMYFUNCTION("VLOOKUP(I35, IMPORTRANGE(""https://docs.google.com/spreadsheets/d/1yDAaXNsi4Mr5FtRQL4tbmSdIzhx6_m4wkOD7IG-k_eo/edit#gid=0"", ""Maths!M:N""), 2, FALSE)"),"(LU001476.001); Default - Remember")</f>
        <v>(LU001476.001); Default - Remember</v>
      </c>
      <c r="K35" s="69" t="str">
        <f t="shared" si="1"/>
        <v>LU001476.002</v>
      </c>
      <c r="L35" s="69" t="str">
        <f ca="1">IFERROR(__xludf.DUMMYFUNCTION("VLOOKUP(K35, IMPORTRANGE(""https://docs.google.com/spreadsheets/d/1yDAaXNsi4Mr5FtRQL4tbmSdIzhx6_m4wkOD7IG-k_eo/edit#gid=0"", ""Maths!M:N""), 2, FALSE)"),"(LU001476.002); Default - Understand")</f>
        <v>(LU001476.002); Default - Understand</v>
      </c>
      <c r="M35" s="69" t="str">
        <f t="shared" si="2"/>
        <v>LU001476.003</v>
      </c>
      <c r="N35" s="69" t="str">
        <f ca="1">IFERROR(__xludf.DUMMYFUNCTION("VLOOKUP(M35, IMPORTRANGE(""https://docs.google.com/spreadsheets/d/1yDAaXNsi4Mr5FtRQL4tbmSdIzhx6_m4wkOD7IG-k_eo/edit#gid=0"", ""Maths!M:N""), 2, FALSE)"),"(LU001476.003); Default - Apply")</f>
        <v>(LU001476.003); Default - Apply</v>
      </c>
      <c r="O35" s="69" t="str">
        <f t="shared" si="3"/>
        <v>LU001476.004</v>
      </c>
      <c r="P35" s="69" t="str">
        <f ca="1">IFERROR(__xludf.DUMMYFUNCTION("VLOOKUP(O35, IMPORTRANGE(""https://docs.google.com/spreadsheets/d/1yDAaXNsi4Mr5FtRQL4tbmSdIzhx6_m4wkOD7IG-k_eo/edit#gid=0"", ""Maths!M:N""), 2, FALSE)"),"(LU001476.004); Default - Analyse")</f>
        <v>(LU001476.004); Default - Analyse</v>
      </c>
      <c r="Q35" s="69" t="str">
        <f t="shared" si="4"/>
        <v>LU001476.005</v>
      </c>
      <c r="R35" s="69" t="str">
        <f ca="1">IFERROR(__xludf.DUMMYFUNCTION("VLOOKUP(Q35, IMPORTRANGE(""https://docs.google.com/spreadsheets/d/1yDAaXNsi4Mr5FtRQL4tbmSdIzhx6_m4wkOD7IG-k_eo/edit#gid=0"", ""Maths!M:N""), 2, FALSE)"),"(LU001476.005); Default - Evaluate")</f>
        <v>(LU001476.005); Default - Evaluate</v>
      </c>
      <c r="S35" s="69" t="str">
        <f t="shared" si="5"/>
        <v>LU001476.006</v>
      </c>
      <c r="T35" s="69" t="str">
        <f ca="1">IFERROR(__xludf.DUMMYFUNCTION("VLOOKUP(S35, IMPORTRANGE(""https://docs.google.com/spreadsheets/d/1yDAaXNsi4Mr5FtRQL4tbmSdIzhx6_m4wkOD7IG-k_eo/edit#gid=0"", ""Maths!M:N""), 2, FALSE)"),"(LU001476.006); Default - Create")</f>
        <v>(LU001476.006); Default - Create</v>
      </c>
      <c r="U35" s="11" t="str">
        <f ca="1">IFERROR(__xludf.DUMMYFUNCTION("ArrayFormula(VLOOKUP(G35, IMPORTRANGE(""https://docs.google.com/spreadsheets/d/1p7R4vtkWt5VOBim4ltsDG9KTzSjrtKXsMtQGXPHyND0/edit#gid=795171502"", ""'Filter 30_05_2024'!A1:M2000""), {2, 3, 4, 5,6,7,8,9,10,11,12,13}, 0))"),"#N/A")</f>
        <v>#N/A</v>
      </c>
      <c r="V35" s="11" t="str">
        <f ca="1">IFERROR(__xludf.DUMMYFUNCTION("""COMPUTED_VALUE"""),"#N/A")</f>
        <v>#N/A</v>
      </c>
      <c r="W35" s="11" t="str">
        <f ca="1">IFERROR(__xludf.DUMMYFUNCTION("""COMPUTED_VALUE"""),"#N/A")</f>
        <v>#N/A</v>
      </c>
      <c r="X35" s="11" t="str">
        <f ca="1">IFERROR(__xludf.DUMMYFUNCTION("""COMPUTED_VALUE"""),"#N/A")</f>
        <v>#N/A</v>
      </c>
      <c r="Y35" s="11" t="str">
        <f ca="1">IFERROR(__xludf.DUMMYFUNCTION("""COMPUTED_VALUE"""),"#N/A")</f>
        <v>#N/A</v>
      </c>
      <c r="Z35" s="12" t="str">
        <f ca="1">IFERROR(__xludf.DUMMYFUNCTION("""COMPUTED_VALUE"""),"#N/A")</f>
        <v>#N/A</v>
      </c>
      <c r="AA35" s="12" t="str">
        <f ca="1">IFERROR(__xludf.DUMMYFUNCTION("""COMPUTED_VALUE"""),"#N/A")</f>
        <v>#N/A</v>
      </c>
      <c r="AB35" s="12" t="str">
        <f ca="1">IFERROR(__xludf.DUMMYFUNCTION("""COMPUTED_VALUE"""),"#N/A")</f>
        <v>#N/A</v>
      </c>
      <c r="AC35" s="11" t="str">
        <f ca="1">IFERROR(__xludf.DUMMYFUNCTION("""COMPUTED_VALUE"""),"#N/A")</f>
        <v>#N/A</v>
      </c>
      <c r="AD35" s="12" t="str">
        <f ca="1">IFERROR(__xludf.DUMMYFUNCTION("""COMPUTED_VALUE"""),"#N/A")</f>
        <v>#N/A</v>
      </c>
      <c r="AE35" s="12" t="str">
        <f ca="1">IFERROR(__xludf.DUMMYFUNCTION("""COMPUTED_VALUE"""),"#N/A")</f>
        <v>#N/A</v>
      </c>
      <c r="AF35" s="12" t="str">
        <f ca="1">IFERROR(__xludf.DUMMYFUNCTION("""COMPUTED_VALUE"""),"#N/A")</f>
        <v>#N/A</v>
      </c>
      <c r="AG35" s="86" t="str">
        <f ca="1">IFERROR(__xludf.DUMMYFUNCTION("ArrayFormula(VLOOKUP(G35, IMPORTRANGE(""https://docs.google.com/spreadsheets/d/1Co934fvtviyaRiMsrIlT05Jaq7iiYq07aLvRr35KA48/edit?gid=173865642#gid=173865642"", ""'G10_Maths_Pri_LU'!G2:V2000""), {3, 4, 5, 6, 7, 8, 9, 10, 11, 12, 13, 14, 15, 16}, 0))"),"LU001475")</f>
        <v>LU001475</v>
      </c>
      <c r="AH35" s="83" t="str">
        <f ca="1">IFERROR(__xludf.DUMMYFUNCTION("""COMPUTED_VALUE"""),"Introduction to similar figures")</f>
        <v>Introduction to similar figures</v>
      </c>
      <c r="AI35" s="83" t="str">
        <f ca="1">IFERROR(__xludf.DUMMYFUNCTION("""COMPUTED_VALUE"""),"LU000832")</f>
        <v>LU000832</v>
      </c>
      <c r="AJ35" s="83" t="str">
        <f ca="1">IFERROR(__xludf.DUMMYFUNCTION("""COMPUTED_VALUE"""),"Congruence of plane figures by the method of superposition")</f>
        <v>Congruence of plane figures by the method of superposition</v>
      </c>
      <c r="AK35" s="83"/>
      <c r="AL35" s="83"/>
      <c r="AM35" s="83"/>
      <c r="AN35" s="83"/>
      <c r="AO35" s="83"/>
      <c r="AP35" s="83"/>
      <c r="AQ35" s="83"/>
      <c r="AR35" s="83"/>
      <c r="AS35" s="83"/>
      <c r="AT35" s="83"/>
    </row>
    <row r="36" spans="1:46" ht="27.6">
      <c r="A36" s="8" t="s">
        <v>247</v>
      </c>
      <c r="B36" s="82" t="s">
        <v>47</v>
      </c>
      <c r="C36" s="82" t="s">
        <v>1172</v>
      </c>
      <c r="D36" s="83" t="s">
        <v>732</v>
      </c>
      <c r="E36" s="82" t="s">
        <v>1094</v>
      </c>
      <c r="F36" s="94" t="s">
        <v>1264</v>
      </c>
      <c r="G36" s="90" t="s">
        <v>1265</v>
      </c>
      <c r="H36" s="91" t="s">
        <v>1266</v>
      </c>
      <c r="I36" s="68" t="str">
        <f t="shared" si="0"/>
        <v>LU001477.001</v>
      </c>
      <c r="J36" s="69" t="str">
        <f ca="1">IFERROR(__xludf.DUMMYFUNCTION("VLOOKUP(I36, IMPORTRANGE(""https://docs.google.com/spreadsheets/d/1yDAaXNsi4Mr5FtRQL4tbmSdIzhx6_m4wkOD7IG-k_eo/edit#gid=0"", ""Maths!M:N""), 2, FALSE)"),"(LU001477.001); Default - Remember")</f>
        <v>(LU001477.001); Default - Remember</v>
      </c>
      <c r="K36" s="69" t="str">
        <f t="shared" si="1"/>
        <v>LU001477.002</v>
      </c>
      <c r="L36" s="69" t="str">
        <f ca="1">IFERROR(__xludf.DUMMYFUNCTION("VLOOKUP(K36, IMPORTRANGE(""https://docs.google.com/spreadsheets/d/1yDAaXNsi4Mr5FtRQL4tbmSdIzhx6_m4wkOD7IG-k_eo/edit#gid=0"", ""Maths!M:N""), 2, FALSE)"),"(LU001477.002); Default - Understand")</f>
        <v>(LU001477.002); Default - Understand</v>
      </c>
      <c r="M36" s="69" t="str">
        <f t="shared" si="2"/>
        <v>LU001477.003</v>
      </c>
      <c r="N36" s="69" t="str">
        <f ca="1">IFERROR(__xludf.DUMMYFUNCTION("VLOOKUP(M36, IMPORTRANGE(""https://docs.google.com/spreadsheets/d/1yDAaXNsi4Mr5FtRQL4tbmSdIzhx6_m4wkOD7IG-k_eo/edit#gid=0"", ""Maths!M:N""), 2, FALSE)"),"(LU001477.003); Default - Apply")</f>
        <v>(LU001477.003); Default - Apply</v>
      </c>
      <c r="O36" s="69" t="str">
        <f t="shared" si="3"/>
        <v>LU001477.004</v>
      </c>
      <c r="P36" s="69" t="str">
        <f ca="1">IFERROR(__xludf.DUMMYFUNCTION("VLOOKUP(O36, IMPORTRANGE(""https://docs.google.com/spreadsheets/d/1yDAaXNsi4Mr5FtRQL4tbmSdIzhx6_m4wkOD7IG-k_eo/edit#gid=0"", ""Maths!M:N""), 2, FALSE)"),"(LU001477.004); Default - Analyse")</f>
        <v>(LU001477.004); Default - Analyse</v>
      </c>
      <c r="Q36" s="69" t="str">
        <f t="shared" si="4"/>
        <v>LU001477.005</v>
      </c>
      <c r="R36" s="69" t="str">
        <f ca="1">IFERROR(__xludf.DUMMYFUNCTION("VLOOKUP(Q36, IMPORTRANGE(""https://docs.google.com/spreadsheets/d/1yDAaXNsi4Mr5FtRQL4tbmSdIzhx6_m4wkOD7IG-k_eo/edit#gid=0"", ""Maths!M:N""), 2, FALSE)"),"(LU001477.005); Default - Evaluate")</f>
        <v>(LU001477.005); Default - Evaluate</v>
      </c>
      <c r="S36" s="69" t="str">
        <f t="shared" si="5"/>
        <v>LU001477.006</v>
      </c>
      <c r="T36" s="69" t="str">
        <f ca="1">IFERROR(__xludf.DUMMYFUNCTION("VLOOKUP(S36, IMPORTRANGE(""https://docs.google.com/spreadsheets/d/1yDAaXNsi4Mr5FtRQL4tbmSdIzhx6_m4wkOD7IG-k_eo/edit#gid=0"", ""Maths!M:N""), 2, FALSE)"),"(LU001477.006); Default - Create")</f>
        <v>(LU001477.006); Default - Create</v>
      </c>
      <c r="U36" s="11" t="str">
        <f ca="1">IFERROR(__xludf.DUMMYFUNCTION("ArrayFormula(VLOOKUP(G36, IMPORTRANGE(""https://docs.google.com/spreadsheets/d/1p7R4vtkWt5VOBim4ltsDG9KTzSjrtKXsMtQGXPHyND0/edit#gid=795171502"", ""'Filter 30_05_2024'!A1:M2000""), {2, 3, 4, 5,6,7,8,9,10,11,12,13}, 0))"),"#N/A")</f>
        <v>#N/A</v>
      </c>
      <c r="V36" s="11" t="str">
        <f ca="1">IFERROR(__xludf.DUMMYFUNCTION("""COMPUTED_VALUE"""),"#N/A")</f>
        <v>#N/A</v>
      </c>
      <c r="W36" s="11" t="str">
        <f ca="1">IFERROR(__xludf.DUMMYFUNCTION("""COMPUTED_VALUE"""),"#N/A")</f>
        <v>#N/A</v>
      </c>
      <c r="X36" s="11" t="str">
        <f ca="1">IFERROR(__xludf.DUMMYFUNCTION("""COMPUTED_VALUE"""),"#N/A")</f>
        <v>#N/A</v>
      </c>
      <c r="Y36" s="11" t="str">
        <f ca="1">IFERROR(__xludf.DUMMYFUNCTION("""COMPUTED_VALUE"""),"#N/A")</f>
        <v>#N/A</v>
      </c>
      <c r="Z36" s="12" t="str">
        <f ca="1">IFERROR(__xludf.DUMMYFUNCTION("""COMPUTED_VALUE"""),"#N/A")</f>
        <v>#N/A</v>
      </c>
      <c r="AA36" s="12" t="str">
        <f ca="1">IFERROR(__xludf.DUMMYFUNCTION("""COMPUTED_VALUE"""),"#N/A")</f>
        <v>#N/A</v>
      </c>
      <c r="AB36" s="12" t="str">
        <f ca="1">IFERROR(__xludf.DUMMYFUNCTION("""COMPUTED_VALUE"""),"#N/A")</f>
        <v>#N/A</v>
      </c>
      <c r="AC36" s="11" t="str">
        <f ca="1">IFERROR(__xludf.DUMMYFUNCTION("""COMPUTED_VALUE"""),"#N/A")</f>
        <v>#N/A</v>
      </c>
      <c r="AD36" s="12" t="str">
        <f ca="1">IFERROR(__xludf.DUMMYFUNCTION("""COMPUTED_VALUE"""),"#N/A")</f>
        <v>#N/A</v>
      </c>
      <c r="AE36" s="12" t="str">
        <f ca="1">IFERROR(__xludf.DUMMYFUNCTION("""COMPUTED_VALUE"""),"#N/A")</f>
        <v>#N/A</v>
      </c>
      <c r="AF36" s="12" t="str">
        <f ca="1">IFERROR(__xludf.DUMMYFUNCTION("""COMPUTED_VALUE"""),"#N/A")</f>
        <v>#N/A</v>
      </c>
      <c r="AG36" s="86" t="str">
        <f ca="1">IFERROR(__xludf.DUMMYFUNCTION("ArrayFormula(VLOOKUP(G36, IMPORTRANGE(""https://docs.google.com/spreadsheets/d/1Co934fvtviyaRiMsrIlT05Jaq7iiYq07aLvRr35KA48/edit?gid=173865642#gid=173865642"", ""'G10_Maths_Pri_LU'!G2:V2000""), {3, 4, 5, 6, 7, 8, 9, 10, 11, 12, 13, 14, 15, 16}, 0))"),"LU000492")</f>
        <v>LU000492</v>
      </c>
      <c r="AH36" s="83" t="str">
        <f ca="1">IFERROR(__xludf.DUMMYFUNCTION("""COMPUTED_VALUE"""),"Area of a triangle using the formula")</f>
        <v>Area of a triangle using the formula</v>
      </c>
      <c r="AI36" s="83" t="str">
        <f ca="1">IFERROR(__xludf.DUMMYFUNCTION("""COMPUTED_VALUE"""),"LU000343")</f>
        <v>LU000343</v>
      </c>
      <c r="AJ36" s="83" t="str">
        <f ca="1">IFERROR(__xludf.DUMMYFUNCTION("""COMPUTED_VALUE"""),"Calculate the ratio of two quantities")</f>
        <v>Calculate the ratio of two quantities</v>
      </c>
      <c r="AK36" s="83"/>
      <c r="AL36" s="83"/>
      <c r="AM36" s="83"/>
      <c r="AN36" s="83"/>
      <c r="AO36" s="83"/>
      <c r="AP36" s="83"/>
      <c r="AQ36" s="83"/>
      <c r="AR36" s="83"/>
      <c r="AS36" s="83"/>
      <c r="AT36" s="83"/>
    </row>
    <row r="37" spans="1:46" ht="27.6">
      <c r="A37" s="8" t="s">
        <v>247</v>
      </c>
      <c r="B37" s="82" t="s">
        <v>47</v>
      </c>
      <c r="C37" s="82" t="s">
        <v>1172</v>
      </c>
      <c r="D37" s="83" t="s">
        <v>732</v>
      </c>
      <c r="E37" s="82" t="s">
        <v>1094</v>
      </c>
      <c r="F37" s="94" t="s">
        <v>1264</v>
      </c>
      <c r="G37" s="84" t="s">
        <v>1267</v>
      </c>
      <c r="H37" s="85" t="s">
        <v>1268</v>
      </c>
      <c r="I37" s="68" t="str">
        <f t="shared" si="0"/>
        <v>LU001478.001</v>
      </c>
      <c r="J37" s="69" t="str">
        <f ca="1">IFERROR(__xludf.DUMMYFUNCTION("VLOOKUP(I37, IMPORTRANGE(""https://docs.google.com/spreadsheets/d/1yDAaXNsi4Mr5FtRQL4tbmSdIzhx6_m4wkOD7IG-k_eo/edit#gid=0"", ""Maths!M:N""), 2, FALSE)"),"(LU001478.001); Default - Remember")</f>
        <v>(LU001478.001); Default - Remember</v>
      </c>
      <c r="K37" s="69" t="str">
        <f t="shared" si="1"/>
        <v>LU001478.002</v>
      </c>
      <c r="L37" s="69" t="str">
        <f ca="1">IFERROR(__xludf.DUMMYFUNCTION("VLOOKUP(K37, IMPORTRANGE(""https://docs.google.com/spreadsheets/d/1yDAaXNsi4Mr5FtRQL4tbmSdIzhx6_m4wkOD7IG-k_eo/edit#gid=0"", ""Maths!M:N""), 2, FALSE)"),"(LU001478.002); Default - Understand")</f>
        <v>(LU001478.002); Default - Understand</v>
      </c>
      <c r="M37" s="69" t="str">
        <f t="shared" si="2"/>
        <v>LU001478.003</v>
      </c>
      <c r="N37" s="69" t="str">
        <f ca="1">IFERROR(__xludf.DUMMYFUNCTION("VLOOKUP(M37, IMPORTRANGE(""https://docs.google.com/spreadsheets/d/1yDAaXNsi4Mr5FtRQL4tbmSdIzhx6_m4wkOD7IG-k_eo/edit#gid=0"", ""Maths!M:N""), 2, FALSE)"),"(LU001478.003); Default - Apply")</f>
        <v>(LU001478.003); Default - Apply</v>
      </c>
      <c r="O37" s="69" t="str">
        <f t="shared" si="3"/>
        <v>LU001478.004</v>
      </c>
      <c r="P37" s="69" t="str">
        <f ca="1">IFERROR(__xludf.DUMMYFUNCTION("VLOOKUP(O37, IMPORTRANGE(""https://docs.google.com/spreadsheets/d/1yDAaXNsi4Mr5FtRQL4tbmSdIzhx6_m4wkOD7IG-k_eo/edit#gid=0"", ""Maths!M:N""), 2, FALSE)"),"(LU001478.004); Default - Analyse")</f>
        <v>(LU001478.004); Default - Analyse</v>
      </c>
      <c r="Q37" s="69" t="str">
        <f t="shared" si="4"/>
        <v>LU001478.005</v>
      </c>
      <c r="R37" s="69" t="str">
        <f ca="1">IFERROR(__xludf.DUMMYFUNCTION("VLOOKUP(Q37, IMPORTRANGE(""https://docs.google.com/spreadsheets/d/1yDAaXNsi4Mr5FtRQL4tbmSdIzhx6_m4wkOD7IG-k_eo/edit#gid=0"", ""Maths!M:N""), 2, FALSE)"),"(LU001478.005); Default - Evaluate")</f>
        <v>(LU001478.005); Default - Evaluate</v>
      </c>
      <c r="S37" s="69" t="str">
        <f t="shared" si="5"/>
        <v>LU001478.006</v>
      </c>
      <c r="T37" s="69" t="str">
        <f ca="1">IFERROR(__xludf.DUMMYFUNCTION("VLOOKUP(S37, IMPORTRANGE(""https://docs.google.com/spreadsheets/d/1yDAaXNsi4Mr5FtRQL4tbmSdIzhx6_m4wkOD7IG-k_eo/edit#gid=0"", ""Maths!M:N""), 2, FALSE)"),"(LU001478.006); Default - Create")</f>
        <v>(LU001478.006); Default - Create</v>
      </c>
      <c r="U37" s="11" t="str">
        <f ca="1">IFERROR(__xludf.DUMMYFUNCTION("ArrayFormula(VLOOKUP(G37, IMPORTRANGE(""https://docs.google.com/spreadsheets/d/1p7R4vtkWt5VOBim4ltsDG9KTzSjrtKXsMtQGXPHyND0/edit#gid=795171502"", ""'Filter 30_05_2024'!A1:M2000""), {2, 3, 4, 5,6,7,8,9,10,11,12,13}, 0))"),"#N/A")</f>
        <v>#N/A</v>
      </c>
      <c r="V37" s="11" t="str">
        <f ca="1">IFERROR(__xludf.DUMMYFUNCTION("""COMPUTED_VALUE"""),"#N/A")</f>
        <v>#N/A</v>
      </c>
      <c r="W37" s="11" t="str">
        <f ca="1">IFERROR(__xludf.DUMMYFUNCTION("""COMPUTED_VALUE"""),"#N/A")</f>
        <v>#N/A</v>
      </c>
      <c r="X37" s="11" t="str">
        <f ca="1">IFERROR(__xludf.DUMMYFUNCTION("""COMPUTED_VALUE"""),"#N/A")</f>
        <v>#N/A</v>
      </c>
      <c r="Y37" s="11" t="str">
        <f ca="1">IFERROR(__xludf.DUMMYFUNCTION("""COMPUTED_VALUE"""),"#N/A")</f>
        <v>#N/A</v>
      </c>
      <c r="Z37" s="12" t="str">
        <f ca="1">IFERROR(__xludf.DUMMYFUNCTION("""COMPUTED_VALUE"""),"#N/A")</f>
        <v>#N/A</v>
      </c>
      <c r="AA37" s="12" t="str">
        <f ca="1">IFERROR(__xludf.DUMMYFUNCTION("""COMPUTED_VALUE"""),"#N/A")</f>
        <v>#N/A</v>
      </c>
      <c r="AB37" s="12" t="str">
        <f ca="1">IFERROR(__xludf.DUMMYFUNCTION("""COMPUTED_VALUE"""),"#N/A")</f>
        <v>#N/A</v>
      </c>
      <c r="AC37" s="11" t="str">
        <f ca="1">IFERROR(__xludf.DUMMYFUNCTION("""COMPUTED_VALUE"""),"#N/A")</f>
        <v>#N/A</v>
      </c>
      <c r="AD37" s="12" t="str">
        <f ca="1">IFERROR(__xludf.DUMMYFUNCTION("""COMPUTED_VALUE"""),"#N/A")</f>
        <v>#N/A</v>
      </c>
      <c r="AE37" s="12" t="str">
        <f ca="1">IFERROR(__xludf.DUMMYFUNCTION("""COMPUTED_VALUE"""),"#N/A")</f>
        <v>#N/A</v>
      </c>
      <c r="AF37" s="12" t="str">
        <f ca="1">IFERROR(__xludf.DUMMYFUNCTION("""COMPUTED_VALUE"""),"#N/A")</f>
        <v>#N/A</v>
      </c>
      <c r="AG37" s="86" t="str">
        <f ca="1">IFERROR(__xludf.DUMMYFUNCTION("ArrayFormula(VLOOKUP(G37, IMPORTRANGE(""https://docs.google.com/spreadsheets/d/1Co934fvtviyaRiMsrIlT05Jaq7iiYq07aLvRr35KA48/edit?gid=173865642#gid=173865642"", ""'G10_Maths_Pri_LU'!G2:V2000""), {3, 4, 5, 6, 7, 8, 9, 10, 11, 12, 13, 14, 15, 16}, 0))"),"LU001477")</f>
        <v>LU001477</v>
      </c>
      <c r="AH37" s="83" t="str">
        <f ca="1">IFERROR(__xludf.DUMMYFUNCTION("""COMPUTED_VALUE"""),"Basic Proportionality Theorem (Thales Theorem)")</f>
        <v>Basic Proportionality Theorem (Thales Theorem)</v>
      </c>
      <c r="AI37" s="83"/>
      <c r="AJ37" s="83"/>
      <c r="AK37" s="83"/>
      <c r="AL37" s="83"/>
      <c r="AM37" s="83"/>
      <c r="AN37" s="83"/>
      <c r="AO37" s="83"/>
      <c r="AP37" s="83"/>
      <c r="AQ37" s="83"/>
      <c r="AR37" s="83"/>
      <c r="AS37" s="83"/>
      <c r="AT37" s="83"/>
    </row>
    <row r="38" spans="1:46" ht="27.6">
      <c r="A38" s="8" t="s">
        <v>247</v>
      </c>
      <c r="B38" s="82" t="s">
        <v>47</v>
      </c>
      <c r="C38" s="82" t="s">
        <v>1172</v>
      </c>
      <c r="D38" s="83" t="s">
        <v>732</v>
      </c>
      <c r="E38" s="82" t="s">
        <v>1094</v>
      </c>
      <c r="F38" s="91" t="s">
        <v>1269</v>
      </c>
      <c r="G38" s="90" t="s">
        <v>1270</v>
      </c>
      <c r="H38" s="91" t="s">
        <v>1271</v>
      </c>
      <c r="I38" s="68" t="str">
        <f t="shared" si="0"/>
        <v>LU001479.001</v>
      </c>
      <c r="J38" s="69" t="str">
        <f ca="1">IFERROR(__xludf.DUMMYFUNCTION("VLOOKUP(I38, IMPORTRANGE(""https://docs.google.com/spreadsheets/d/1yDAaXNsi4Mr5FtRQL4tbmSdIzhx6_m4wkOD7IG-k_eo/edit#gid=0"", ""Maths!M:N""), 2, FALSE)"),"(LU001479.001); Default - Remember")</f>
        <v>(LU001479.001); Default - Remember</v>
      </c>
      <c r="K38" s="69" t="str">
        <f t="shared" si="1"/>
        <v>LU001479.002</v>
      </c>
      <c r="L38" s="69" t="str">
        <f ca="1">IFERROR(__xludf.DUMMYFUNCTION("VLOOKUP(K38, IMPORTRANGE(""https://docs.google.com/spreadsheets/d/1yDAaXNsi4Mr5FtRQL4tbmSdIzhx6_m4wkOD7IG-k_eo/edit#gid=0"", ""Maths!M:N""), 2, FALSE)"),"(LU001479.002); Default - Understand")</f>
        <v>(LU001479.002); Default - Understand</v>
      </c>
      <c r="M38" s="69" t="str">
        <f t="shared" si="2"/>
        <v>LU001479.003</v>
      </c>
      <c r="N38" s="69" t="str">
        <f ca="1">IFERROR(__xludf.DUMMYFUNCTION("VLOOKUP(M38, IMPORTRANGE(""https://docs.google.com/spreadsheets/d/1yDAaXNsi4Mr5FtRQL4tbmSdIzhx6_m4wkOD7IG-k_eo/edit#gid=0"", ""Maths!M:N""), 2, FALSE)"),"(LU001479.003); Default - Apply")</f>
        <v>(LU001479.003); Default - Apply</v>
      </c>
      <c r="O38" s="69" t="str">
        <f t="shared" si="3"/>
        <v>LU001479.004</v>
      </c>
      <c r="P38" s="69" t="str">
        <f ca="1">IFERROR(__xludf.DUMMYFUNCTION("VLOOKUP(O38, IMPORTRANGE(""https://docs.google.com/spreadsheets/d/1yDAaXNsi4Mr5FtRQL4tbmSdIzhx6_m4wkOD7IG-k_eo/edit#gid=0"", ""Maths!M:N""), 2, FALSE)"),"(LU001479.004); Default - Analyse")</f>
        <v>(LU001479.004); Default - Analyse</v>
      </c>
      <c r="Q38" s="69" t="str">
        <f t="shared" si="4"/>
        <v>LU001479.005</v>
      </c>
      <c r="R38" s="69" t="str">
        <f ca="1">IFERROR(__xludf.DUMMYFUNCTION("VLOOKUP(Q38, IMPORTRANGE(""https://docs.google.com/spreadsheets/d/1yDAaXNsi4Mr5FtRQL4tbmSdIzhx6_m4wkOD7IG-k_eo/edit#gid=0"", ""Maths!M:N""), 2, FALSE)"),"(LU001479.005); Default - Evaluate")</f>
        <v>(LU001479.005); Default - Evaluate</v>
      </c>
      <c r="S38" s="69" t="str">
        <f t="shared" si="5"/>
        <v>LU001479.006</v>
      </c>
      <c r="T38" s="69" t="str">
        <f ca="1">IFERROR(__xludf.DUMMYFUNCTION("VLOOKUP(S38, IMPORTRANGE(""https://docs.google.com/spreadsheets/d/1yDAaXNsi4Mr5FtRQL4tbmSdIzhx6_m4wkOD7IG-k_eo/edit#gid=0"", ""Maths!M:N""), 2, FALSE)"),"(LU001479.006); Default - Create")</f>
        <v>(LU001479.006); Default - Create</v>
      </c>
      <c r="U38" s="11" t="str">
        <f ca="1">IFERROR(__xludf.DUMMYFUNCTION("ArrayFormula(VLOOKUP(G38, IMPORTRANGE(""https://docs.google.com/spreadsheets/d/1p7R4vtkWt5VOBim4ltsDG9KTzSjrtKXsMtQGXPHyND0/edit#gid=795171502"", ""'Filter 30_05_2024'!A1:M2000""), {2, 3, 4, 5,6,7,8,9,10,11,12,13}, 0))"),"#N/A")</f>
        <v>#N/A</v>
      </c>
      <c r="V38" s="11" t="str">
        <f ca="1">IFERROR(__xludf.DUMMYFUNCTION("""COMPUTED_VALUE"""),"#N/A")</f>
        <v>#N/A</v>
      </c>
      <c r="W38" s="11" t="str">
        <f ca="1">IFERROR(__xludf.DUMMYFUNCTION("""COMPUTED_VALUE"""),"#N/A")</f>
        <v>#N/A</v>
      </c>
      <c r="X38" s="11" t="str">
        <f ca="1">IFERROR(__xludf.DUMMYFUNCTION("""COMPUTED_VALUE"""),"#N/A")</f>
        <v>#N/A</v>
      </c>
      <c r="Y38" s="11" t="str">
        <f ca="1">IFERROR(__xludf.DUMMYFUNCTION("""COMPUTED_VALUE"""),"#N/A")</f>
        <v>#N/A</v>
      </c>
      <c r="Z38" s="12" t="str">
        <f ca="1">IFERROR(__xludf.DUMMYFUNCTION("""COMPUTED_VALUE"""),"#N/A")</f>
        <v>#N/A</v>
      </c>
      <c r="AA38" s="12" t="str">
        <f ca="1">IFERROR(__xludf.DUMMYFUNCTION("""COMPUTED_VALUE"""),"#N/A")</f>
        <v>#N/A</v>
      </c>
      <c r="AB38" s="12" t="str">
        <f ca="1">IFERROR(__xludf.DUMMYFUNCTION("""COMPUTED_VALUE"""),"#N/A")</f>
        <v>#N/A</v>
      </c>
      <c r="AC38" s="11" t="str">
        <f ca="1">IFERROR(__xludf.DUMMYFUNCTION("""COMPUTED_VALUE"""),"#N/A")</f>
        <v>#N/A</v>
      </c>
      <c r="AD38" s="12" t="str">
        <f ca="1">IFERROR(__xludf.DUMMYFUNCTION("""COMPUTED_VALUE"""),"#N/A")</f>
        <v>#N/A</v>
      </c>
      <c r="AE38" s="12" t="str">
        <f ca="1">IFERROR(__xludf.DUMMYFUNCTION("""COMPUTED_VALUE"""),"#N/A")</f>
        <v>#N/A</v>
      </c>
      <c r="AF38" s="12" t="str">
        <f ca="1">IFERROR(__xludf.DUMMYFUNCTION("""COMPUTED_VALUE"""),"#N/A")</f>
        <v>#N/A</v>
      </c>
      <c r="AG38" s="86" t="str">
        <f ca="1">IFERROR(__xludf.DUMMYFUNCTION("ArrayFormula(VLOOKUP(G38, IMPORTRANGE(""https://docs.google.com/spreadsheets/d/1Co934fvtviyaRiMsrIlT05Jaq7iiYq07aLvRr35KA48/edit?gid=173865642#gid=173865642"", ""'G10_Maths_Pri_LU'!G2:V2000""), {3, 4, 5, 6, 7, 8, 9, 10, 11, 12, 13, 14, 15, 16}, 0))"),"LU001477")</f>
        <v>LU001477</v>
      </c>
      <c r="AH38" s="83" t="str">
        <f ca="1">IFERROR(__xludf.DUMMYFUNCTION("""COMPUTED_VALUE"""),"Basic Proportionality Theorem (Thales Theorem)")</f>
        <v>Basic Proportionality Theorem (Thales Theorem)</v>
      </c>
      <c r="AI38" s="83" t="str">
        <f ca="1">IFERROR(__xludf.DUMMYFUNCTION("""COMPUTED_VALUE"""),"LU001235")</f>
        <v>LU001235</v>
      </c>
      <c r="AJ38" s="83" t="str">
        <f ca="1">IFERROR(__xludf.DUMMYFUNCTION("""COMPUTED_VALUE"""),"Axiom for SAS congruence rule")</f>
        <v>Axiom for SAS congruence rule</v>
      </c>
      <c r="AK38" s="83"/>
      <c r="AL38" s="83"/>
      <c r="AM38" s="83"/>
      <c r="AN38" s="83"/>
      <c r="AO38" s="83"/>
      <c r="AP38" s="83"/>
      <c r="AQ38" s="83"/>
      <c r="AR38" s="83"/>
      <c r="AS38" s="83"/>
      <c r="AT38" s="83"/>
    </row>
    <row r="39" spans="1:46" ht="27.6">
      <c r="A39" s="8" t="s">
        <v>247</v>
      </c>
      <c r="B39" s="82" t="s">
        <v>47</v>
      </c>
      <c r="C39" s="82" t="s">
        <v>1172</v>
      </c>
      <c r="D39" s="83" t="s">
        <v>732</v>
      </c>
      <c r="E39" s="82" t="s">
        <v>1094</v>
      </c>
      <c r="F39" s="85" t="s">
        <v>1272</v>
      </c>
      <c r="G39" s="84" t="s">
        <v>1273</v>
      </c>
      <c r="H39" s="85" t="s">
        <v>1274</v>
      </c>
      <c r="I39" s="68" t="str">
        <f t="shared" si="0"/>
        <v>LU001480.001</v>
      </c>
      <c r="J39" s="69" t="str">
        <f ca="1">IFERROR(__xludf.DUMMYFUNCTION("VLOOKUP(I39, IMPORTRANGE(""https://docs.google.com/spreadsheets/d/1yDAaXNsi4Mr5FtRQL4tbmSdIzhx6_m4wkOD7IG-k_eo/edit#gid=0"", ""Maths!M:N""), 2, FALSE)"),"(LU001480.001); Default - Remember")</f>
        <v>(LU001480.001); Default - Remember</v>
      </c>
      <c r="K39" s="69" t="str">
        <f t="shared" si="1"/>
        <v>LU001480.002</v>
      </c>
      <c r="L39" s="69" t="str">
        <f ca="1">IFERROR(__xludf.DUMMYFUNCTION("VLOOKUP(K39, IMPORTRANGE(""https://docs.google.com/spreadsheets/d/1yDAaXNsi4Mr5FtRQL4tbmSdIzhx6_m4wkOD7IG-k_eo/edit#gid=0"", ""Maths!M:N""), 2, FALSE)"),"(LU001480.002); Default - Understand")</f>
        <v>(LU001480.002); Default - Understand</v>
      </c>
      <c r="M39" s="69" t="str">
        <f t="shared" si="2"/>
        <v>LU001480.003</v>
      </c>
      <c r="N39" s="69" t="str">
        <f ca="1">IFERROR(__xludf.DUMMYFUNCTION("VLOOKUP(M39, IMPORTRANGE(""https://docs.google.com/spreadsheets/d/1yDAaXNsi4Mr5FtRQL4tbmSdIzhx6_m4wkOD7IG-k_eo/edit#gid=0"", ""Maths!M:N""), 2, FALSE)"),"(LU001480.003); Default - Apply")</f>
        <v>(LU001480.003); Default - Apply</v>
      </c>
      <c r="O39" s="69" t="str">
        <f t="shared" si="3"/>
        <v>LU001480.004</v>
      </c>
      <c r="P39" s="69" t="str">
        <f ca="1">IFERROR(__xludf.DUMMYFUNCTION("VLOOKUP(O39, IMPORTRANGE(""https://docs.google.com/spreadsheets/d/1yDAaXNsi4Mr5FtRQL4tbmSdIzhx6_m4wkOD7IG-k_eo/edit#gid=0"", ""Maths!M:N""), 2, FALSE)"),"(LU001480.004); Default - Analyse")</f>
        <v>(LU001480.004); Default - Analyse</v>
      </c>
      <c r="Q39" s="69" t="str">
        <f t="shared" si="4"/>
        <v>LU001480.005</v>
      </c>
      <c r="R39" s="69" t="str">
        <f ca="1">IFERROR(__xludf.DUMMYFUNCTION("VLOOKUP(Q39, IMPORTRANGE(""https://docs.google.com/spreadsheets/d/1yDAaXNsi4Mr5FtRQL4tbmSdIzhx6_m4wkOD7IG-k_eo/edit#gid=0"", ""Maths!M:N""), 2, FALSE)"),"(LU001480.005); Default - Evaluate")</f>
        <v>(LU001480.005); Default - Evaluate</v>
      </c>
      <c r="S39" s="69" t="str">
        <f t="shared" si="5"/>
        <v>LU001480.006</v>
      </c>
      <c r="T39" s="69" t="str">
        <f ca="1">IFERROR(__xludf.DUMMYFUNCTION("VLOOKUP(S39, IMPORTRANGE(""https://docs.google.com/spreadsheets/d/1yDAaXNsi4Mr5FtRQL4tbmSdIzhx6_m4wkOD7IG-k_eo/edit#gid=0"", ""Maths!M:N""), 2, FALSE)"),"(LU001480.006); Default - Create")</f>
        <v>(LU001480.006); Default - Create</v>
      </c>
      <c r="U39" s="11" t="str">
        <f ca="1">IFERROR(__xludf.DUMMYFUNCTION("ArrayFormula(VLOOKUP(G39, IMPORTRANGE(""https://docs.google.com/spreadsheets/d/1p7R4vtkWt5VOBim4ltsDG9KTzSjrtKXsMtQGXPHyND0/edit#gid=795171502"", ""'Filter 30_05_2024'!A1:M2000""), {2, 3, 4, 5,6,7,8,9,10,11,12,13}, 0))"),"#N/A")</f>
        <v>#N/A</v>
      </c>
      <c r="V39" s="11" t="str">
        <f ca="1">IFERROR(__xludf.DUMMYFUNCTION("""COMPUTED_VALUE"""),"#N/A")</f>
        <v>#N/A</v>
      </c>
      <c r="W39" s="11" t="str">
        <f ca="1">IFERROR(__xludf.DUMMYFUNCTION("""COMPUTED_VALUE"""),"#N/A")</f>
        <v>#N/A</v>
      </c>
      <c r="X39" s="11" t="str">
        <f ca="1">IFERROR(__xludf.DUMMYFUNCTION("""COMPUTED_VALUE"""),"#N/A")</f>
        <v>#N/A</v>
      </c>
      <c r="Y39" s="11" t="str">
        <f ca="1">IFERROR(__xludf.DUMMYFUNCTION("""COMPUTED_VALUE"""),"#N/A")</f>
        <v>#N/A</v>
      </c>
      <c r="Z39" s="12" t="str">
        <f ca="1">IFERROR(__xludf.DUMMYFUNCTION("""COMPUTED_VALUE"""),"#N/A")</f>
        <v>#N/A</v>
      </c>
      <c r="AA39" s="12" t="str">
        <f ca="1">IFERROR(__xludf.DUMMYFUNCTION("""COMPUTED_VALUE"""),"#N/A")</f>
        <v>#N/A</v>
      </c>
      <c r="AB39" s="12" t="str">
        <f ca="1">IFERROR(__xludf.DUMMYFUNCTION("""COMPUTED_VALUE"""),"#N/A")</f>
        <v>#N/A</v>
      </c>
      <c r="AC39" s="11" t="str">
        <f ca="1">IFERROR(__xludf.DUMMYFUNCTION("""COMPUTED_VALUE"""),"#N/A")</f>
        <v>#N/A</v>
      </c>
      <c r="AD39" s="12" t="str">
        <f ca="1">IFERROR(__xludf.DUMMYFUNCTION("""COMPUTED_VALUE"""),"#N/A")</f>
        <v>#N/A</v>
      </c>
      <c r="AE39" s="12" t="str">
        <f ca="1">IFERROR(__xludf.DUMMYFUNCTION("""COMPUTED_VALUE"""),"#N/A")</f>
        <v>#N/A</v>
      </c>
      <c r="AF39" s="12" t="str">
        <f ca="1">IFERROR(__xludf.DUMMYFUNCTION("""COMPUTED_VALUE"""),"#N/A")</f>
        <v>#N/A</v>
      </c>
      <c r="AG39" s="86" t="str">
        <f ca="1">IFERROR(__xludf.DUMMYFUNCTION("ArrayFormula(VLOOKUP(G39, IMPORTRANGE(""https://docs.google.com/spreadsheets/d/1Co934fvtviyaRiMsrIlT05Jaq7iiYq07aLvRr35KA48/edit?gid=173865642#gid=173865642"", ""'G10_Maths_Pri_LU'!G2:V2000""), {3, 4, 5, 6, 7, 8, 9, 10, 11, 12, 13, 14, 15, 16}, 0))"),"LU001478")</f>
        <v>LU001478</v>
      </c>
      <c r="AH39" s="83" t="str">
        <f ca="1">IFERROR(__xludf.DUMMYFUNCTION("""COMPUTED_VALUE"""),"Converse of Basic Proportionality Theorem (Thales theorem)")</f>
        <v>Converse of Basic Proportionality Theorem (Thales theorem)</v>
      </c>
      <c r="AI39" s="83" t="str">
        <f ca="1">IFERROR(__xludf.DUMMYFUNCTION("""COMPUTED_VALUE"""),"LU001239")</f>
        <v>LU001239</v>
      </c>
      <c r="AJ39" s="83" t="str">
        <f ca="1">IFERROR(__xludf.DUMMYFUNCTION("""COMPUTED_VALUE"""),"Theorem for SSS congruence rule")</f>
        <v>Theorem for SSS congruence rule</v>
      </c>
      <c r="AK39" s="83" t="str">
        <f ca="1">IFERROR(__xludf.DUMMYFUNCTION("""COMPUTED_VALUE"""),"LU001479")</f>
        <v>LU001479</v>
      </c>
      <c r="AL39" s="83" t="str">
        <f ca="1">IFERROR(__xludf.DUMMYFUNCTION("""COMPUTED_VALUE"""),"Criteria for similarity of triangles: AAA (or AA)")</f>
        <v>Criteria for similarity of triangles: AAA (or AA)</v>
      </c>
      <c r="AM39" s="83"/>
      <c r="AN39" s="83"/>
      <c r="AO39" s="83"/>
      <c r="AP39" s="83"/>
      <c r="AQ39" s="83"/>
      <c r="AR39" s="83"/>
      <c r="AS39" s="83"/>
      <c r="AT39" s="83"/>
    </row>
    <row r="40" spans="1:46" ht="27.6">
      <c r="A40" s="8" t="s">
        <v>247</v>
      </c>
      <c r="B40" s="82" t="s">
        <v>47</v>
      </c>
      <c r="C40" s="82" t="s">
        <v>1172</v>
      </c>
      <c r="D40" s="83" t="s">
        <v>732</v>
      </c>
      <c r="E40" s="82" t="s">
        <v>1094</v>
      </c>
      <c r="F40" s="91" t="s">
        <v>1275</v>
      </c>
      <c r="G40" s="90" t="s">
        <v>1276</v>
      </c>
      <c r="H40" s="91" t="s">
        <v>1277</v>
      </c>
      <c r="I40" s="68" t="str">
        <f t="shared" si="0"/>
        <v>LU001481.001</v>
      </c>
      <c r="J40" s="69" t="str">
        <f ca="1">IFERROR(__xludf.DUMMYFUNCTION("VLOOKUP(I40, IMPORTRANGE(""https://docs.google.com/spreadsheets/d/1yDAaXNsi4Mr5FtRQL4tbmSdIzhx6_m4wkOD7IG-k_eo/edit#gid=0"", ""Maths!M:N""), 2, FALSE)"),"(LU001481.001); Default - Remember")</f>
        <v>(LU001481.001); Default - Remember</v>
      </c>
      <c r="K40" s="69" t="str">
        <f t="shared" si="1"/>
        <v>LU001481.002</v>
      </c>
      <c r="L40" s="69" t="str">
        <f ca="1">IFERROR(__xludf.DUMMYFUNCTION("VLOOKUP(K40, IMPORTRANGE(""https://docs.google.com/spreadsheets/d/1yDAaXNsi4Mr5FtRQL4tbmSdIzhx6_m4wkOD7IG-k_eo/edit#gid=0"", ""Maths!M:N""), 2, FALSE)"),"(LU001481.002); Default - Understand")</f>
        <v>(LU001481.002); Default - Understand</v>
      </c>
      <c r="M40" s="69" t="str">
        <f t="shared" si="2"/>
        <v>LU001481.003</v>
      </c>
      <c r="N40" s="69" t="str">
        <f ca="1">IFERROR(__xludf.DUMMYFUNCTION("VLOOKUP(M40, IMPORTRANGE(""https://docs.google.com/spreadsheets/d/1yDAaXNsi4Mr5FtRQL4tbmSdIzhx6_m4wkOD7IG-k_eo/edit#gid=0"", ""Maths!M:N""), 2, FALSE)"),"(LU001481.003); Default - Apply")</f>
        <v>(LU001481.003); Default - Apply</v>
      </c>
      <c r="O40" s="69" t="str">
        <f t="shared" si="3"/>
        <v>LU001481.004</v>
      </c>
      <c r="P40" s="69" t="str">
        <f ca="1">IFERROR(__xludf.DUMMYFUNCTION("VLOOKUP(O40, IMPORTRANGE(""https://docs.google.com/spreadsheets/d/1yDAaXNsi4Mr5FtRQL4tbmSdIzhx6_m4wkOD7IG-k_eo/edit#gid=0"", ""Maths!M:N""), 2, FALSE)"),"(LU001481.004); Default - Analyse")</f>
        <v>(LU001481.004); Default - Analyse</v>
      </c>
      <c r="Q40" s="69" t="str">
        <f t="shared" si="4"/>
        <v>LU001481.005</v>
      </c>
      <c r="R40" s="69" t="str">
        <f ca="1">IFERROR(__xludf.DUMMYFUNCTION("VLOOKUP(Q40, IMPORTRANGE(""https://docs.google.com/spreadsheets/d/1yDAaXNsi4Mr5FtRQL4tbmSdIzhx6_m4wkOD7IG-k_eo/edit#gid=0"", ""Maths!M:N""), 2, FALSE)"),"(LU001481.005); Default - Evaluate")</f>
        <v>(LU001481.005); Default - Evaluate</v>
      </c>
      <c r="S40" s="69" t="str">
        <f t="shared" si="5"/>
        <v>LU001481.006</v>
      </c>
      <c r="T40" s="69" t="str">
        <f ca="1">IFERROR(__xludf.DUMMYFUNCTION("VLOOKUP(S40, IMPORTRANGE(""https://docs.google.com/spreadsheets/d/1yDAaXNsi4Mr5FtRQL4tbmSdIzhx6_m4wkOD7IG-k_eo/edit#gid=0"", ""Maths!M:N""), 2, FALSE)"),"(LU001481.006); Default - Create")</f>
        <v>(LU001481.006); Default - Create</v>
      </c>
      <c r="U40" s="11" t="str">
        <f ca="1">IFERROR(__xludf.DUMMYFUNCTION("ArrayFormula(VLOOKUP(G40, IMPORTRANGE(""https://docs.google.com/spreadsheets/d/1p7R4vtkWt5VOBim4ltsDG9KTzSjrtKXsMtQGXPHyND0/edit#gid=795171502"", ""'Filter 30_05_2024'!A1:M2000""), {2, 3, 4, 5,6,7,8,9,10,11,12,13}, 0))"),"#N/A")</f>
        <v>#N/A</v>
      </c>
      <c r="V40" s="11" t="str">
        <f ca="1">IFERROR(__xludf.DUMMYFUNCTION("""COMPUTED_VALUE"""),"#N/A")</f>
        <v>#N/A</v>
      </c>
      <c r="W40" s="11" t="str">
        <f ca="1">IFERROR(__xludf.DUMMYFUNCTION("""COMPUTED_VALUE"""),"#N/A")</f>
        <v>#N/A</v>
      </c>
      <c r="X40" s="11" t="str">
        <f ca="1">IFERROR(__xludf.DUMMYFUNCTION("""COMPUTED_VALUE"""),"#N/A")</f>
        <v>#N/A</v>
      </c>
      <c r="Y40" s="11" t="str">
        <f ca="1">IFERROR(__xludf.DUMMYFUNCTION("""COMPUTED_VALUE"""),"#N/A")</f>
        <v>#N/A</v>
      </c>
      <c r="Z40" s="12" t="str">
        <f ca="1">IFERROR(__xludf.DUMMYFUNCTION("""COMPUTED_VALUE"""),"#N/A")</f>
        <v>#N/A</v>
      </c>
      <c r="AA40" s="12" t="str">
        <f ca="1">IFERROR(__xludf.DUMMYFUNCTION("""COMPUTED_VALUE"""),"#N/A")</f>
        <v>#N/A</v>
      </c>
      <c r="AB40" s="12" t="str">
        <f ca="1">IFERROR(__xludf.DUMMYFUNCTION("""COMPUTED_VALUE"""),"#N/A")</f>
        <v>#N/A</v>
      </c>
      <c r="AC40" s="11" t="str">
        <f ca="1">IFERROR(__xludf.DUMMYFUNCTION("""COMPUTED_VALUE"""),"#N/A")</f>
        <v>#N/A</v>
      </c>
      <c r="AD40" s="12" t="str">
        <f ca="1">IFERROR(__xludf.DUMMYFUNCTION("""COMPUTED_VALUE"""),"#N/A")</f>
        <v>#N/A</v>
      </c>
      <c r="AE40" s="12" t="str">
        <f ca="1">IFERROR(__xludf.DUMMYFUNCTION("""COMPUTED_VALUE"""),"#N/A")</f>
        <v>#N/A</v>
      </c>
      <c r="AF40" s="12" t="str">
        <f ca="1">IFERROR(__xludf.DUMMYFUNCTION("""COMPUTED_VALUE"""),"#N/A")</f>
        <v>#N/A</v>
      </c>
      <c r="AG40" s="86" t="str">
        <f ca="1">IFERROR(__xludf.DUMMYFUNCTION("ArrayFormula(VLOOKUP(G40, IMPORTRANGE(""https://docs.google.com/spreadsheets/d/1Co934fvtviyaRiMsrIlT05Jaq7iiYq07aLvRr35KA48/edit?gid=173865642#gid=173865642"", ""'G10_Maths_Pri_LU'!G2:V2000""), {3, 4, 5, 6, 7, 8, 9, 10, 11, 12, 13, 14, 15, 16}, 0))"),"LU001478")</f>
        <v>LU001478</v>
      </c>
      <c r="AH40" s="83" t="str">
        <f ca="1">IFERROR(__xludf.DUMMYFUNCTION("""COMPUTED_VALUE"""),"Converse of Basic Proportionality Theorem (Thales theorem)")</f>
        <v>Converse of Basic Proportionality Theorem (Thales theorem)</v>
      </c>
      <c r="AI40" s="83" t="str">
        <f ca="1">IFERROR(__xludf.DUMMYFUNCTION("""COMPUTED_VALUE"""),"LU001235")</f>
        <v>LU001235</v>
      </c>
      <c r="AJ40" s="83" t="str">
        <f ca="1">IFERROR(__xludf.DUMMYFUNCTION("""COMPUTED_VALUE"""),"Axiom for SAS congruence rule")</f>
        <v>Axiom for SAS congruence rule</v>
      </c>
      <c r="AK40" s="83" t="str">
        <f ca="1">IFERROR(__xludf.DUMMYFUNCTION("""COMPUTED_VALUE"""),"LU001479")</f>
        <v>LU001479</v>
      </c>
      <c r="AL40" s="83" t="str">
        <f ca="1">IFERROR(__xludf.DUMMYFUNCTION("""COMPUTED_VALUE"""),"Criteria for similarity of triangles: AAA (or AA)")</f>
        <v>Criteria for similarity of triangles: AAA (or AA)</v>
      </c>
      <c r="AM40" s="83"/>
      <c r="AN40" s="83"/>
      <c r="AO40" s="83"/>
      <c r="AP40" s="83"/>
      <c r="AQ40" s="83"/>
      <c r="AR40" s="83"/>
      <c r="AS40" s="83"/>
      <c r="AT40" s="83"/>
    </row>
    <row r="41" spans="1:46" ht="26.4">
      <c r="A41" s="8" t="s">
        <v>247</v>
      </c>
      <c r="B41" s="82" t="s">
        <v>47</v>
      </c>
      <c r="C41" s="82" t="s">
        <v>1172</v>
      </c>
      <c r="D41" s="83" t="s">
        <v>732</v>
      </c>
      <c r="E41" s="82" t="s">
        <v>1061</v>
      </c>
      <c r="F41" s="82" t="s">
        <v>1278</v>
      </c>
      <c r="G41" s="90" t="s">
        <v>1279</v>
      </c>
      <c r="H41" s="97" t="s">
        <v>1280</v>
      </c>
      <c r="I41" s="68" t="str">
        <f t="shared" si="0"/>
        <v>LU001489.001</v>
      </c>
      <c r="J41" s="69" t="str">
        <f ca="1">IFERROR(__xludf.DUMMYFUNCTION("VLOOKUP(I41, IMPORTRANGE(""https://docs.google.com/spreadsheets/d/1yDAaXNsi4Mr5FtRQL4tbmSdIzhx6_m4wkOD7IG-k_eo/edit#gid=0"", ""Maths!M:N""), 2, FALSE)"),"(LU001489.001); Default - Remember")</f>
        <v>(LU001489.001); Default - Remember</v>
      </c>
      <c r="K41" s="69" t="str">
        <f t="shared" si="1"/>
        <v>LU001489.002</v>
      </c>
      <c r="L41" s="69" t="str">
        <f ca="1">IFERROR(__xludf.DUMMYFUNCTION("VLOOKUP(K41, IMPORTRANGE(""https://docs.google.com/spreadsheets/d/1yDAaXNsi4Mr5FtRQL4tbmSdIzhx6_m4wkOD7IG-k_eo/edit#gid=0"", ""Maths!M:N""), 2, FALSE)"),"(LU001489.002); Default - Understand")</f>
        <v>(LU001489.002); Default - Understand</v>
      </c>
      <c r="M41" s="69" t="str">
        <f t="shared" si="2"/>
        <v>LU001489.003</v>
      </c>
      <c r="N41" s="69" t="str">
        <f ca="1">IFERROR(__xludf.DUMMYFUNCTION("VLOOKUP(M41, IMPORTRANGE(""https://docs.google.com/spreadsheets/d/1yDAaXNsi4Mr5FtRQL4tbmSdIzhx6_m4wkOD7IG-k_eo/edit#gid=0"", ""Maths!M:N""), 2, FALSE)"),"(LU001489.003); Default - Apply")</f>
        <v>(LU001489.003); Default - Apply</v>
      </c>
      <c r="O41" s="69" t="str">
        <f t="shared" si="3"/>
        <v>LU001489.004</v>
      </c>
      <c r="P41" s="69" t="str">
        <f ca="1">IFERROR(__xludf.DUMMYFUNCTION("VLOOKUP(O41, IMPORTRANGE(""https://docs.google.com/spreadsheets/d/1yDAaXNsi4Mr5FtRQL4tbmSdIzhx6_m4wkOD7IG-k_eo/edit#gid=0"", ""Maths!M:N""), 2, FALSE)"),"(LU001489.004); Default - Analyse")</f>
        <v>(LU001489.004); Default - Analyse</v>
      </c>
      <c r="Q41" s="69" t="str">
        <f t="shared" si="4"/>
        <v>LU001489.005</v>
      </c>
      <c r="R41" s="69" t="str">
        <f ca="1">IFERROR(__xludf.DUMMYFUNCTION("VLOOKUP(Q41, IMPORTRANGE(""https://docs.google.com/spreadsheets/d/1yDAaXNsi4Mr5FtRQL4tbmSdIzhx6_m4wkOD7IG-k_eo/edit#gid=0"", ""Maths!M:N""), 2, FALSE)"),"(LU001489.005); Default - Evaluate")</f>
        <v>(LU001489.005); Default - Evaluate</v>
      </c>
      <c r="S41" s="69" t="str">
        <f t="shared" si="5"/>
        <v>LU001489.006</v>
      </c>
      <c r="T41" s="69" t="str">
        <f ca="1">IFERROR(__xludf.DUMMYFUNCTION("VLOOKUP(S41, IMPORTRANGE(""https://docs.google.com/spreadsheets/d/1yDAaXNsi4Mr5FtRQL4tbmSdIzhx6_m4wkOD7IG-k_eo/edit#gid=0"", ""Maths!M:N""), 2, FALSE)"),"(LU001489.006); Default - Create")</f>
        <v>(LU001489.006); Default - Create</v>
      </c>
      <c r="U41" s="11" t="str">
        <f ca="1">IFERROR(__xludf.DUMMYFUNCTION("ArrayFormula(VLOOKUP(G41, IMPORTRANGE(""https://docs.google.com/spreadsheets/d/1p7R4vtkWt5VOBim4ltsDG9KTzSjrtKXsMtQGXPHyND0/edit#gid=795171502"", ""'Filter 30_05_2024'!A1:M2000""), {2, 3, 4, 5,6,7,8,9,10,11,12,13}, 0))"),"#N/A")</f>
        <v>#N/A</v>
      </c>
      <c r="V41" s="11" t="str">
        <f ca="1">IFERROR(__xludf.DUMMYFUNCTION("""COMPUTED_VALUE"""),"#N/A")</f>
        <v>#N/A</v>
      </c>
      <c r="W41" s="11" t="str">
        <f ca="1">IFERROR(__xludf.DUMMYFUNCTION("""COMPUTED_VALUE"""),"#N/A")</f>
        <v>#N/A</v>
      </c>
      <c r="X41" s="11" t="str">
        <f ca="1">IFERROR(__xludf.DUMMYFUNCTION("""COMPUTED_VALUE"""),"#N/A")</f>
        <v>#N/A</v>
      </c>
      <c r="Y41" s="11" t="str">
        <f ca="1">IFERROR(__xludf.DUMMYFUNCTION("""COMPUTED_VALUE"""),"#N/A")</f>
        <v>#N/A</v>
      </c>
      <c r="Z41" s="12" t="str">
        <f ca="1">IFERROR(__xludf.DUMMYFUNCTION("""COMPUTED_VALUE"""),"#N/A")</f>
        <v>#N/A</v>
      </c>
      <c r="AA41" s="12" t="str">
        <f ca="1">IFERROR(__xludf.DUMMYFUNCTION("""COMPUTED_VALUE"""),"#N/A")</f>
        <v>#N/A</v>
      </c>
      <c r="AB41" s="12" t="str">
        <f ca="1">IFERROR(__xludf.DUMMYFUNCTION("""COMPUTED_VALUE"""),"#N/A")</f>
        <v>#N/A</v>
      </c>
      <c r="AC41" s="11" t="str">
        <f ca="1">IFERROR(__xludf.DUMMYFUNCTION("""COMPUTED_VALUE"""),"#N/A")</f>
        <v>#N/A</v>
      </c>
      <c r="AD41" s="12" t="str">
        <f ca="1">IFERROR(__xludf.DUMMYFUNCTION("""COMPUTED_VALUE"""),"#N/A")</f>
        <v>#N/A</v>
      </c>
      <c r="AE41" s="12" t="str">
        <f ca="1">IFERROR(__xludf.DUMMYFUNCTION("""COMPUTED_VALUE"""),"#N/A")</f>
        <v>#N/A</v>
      </c>
      <c r="AF41" s="12" t="str">
        <f ca="1">IFERROR(__xludf.DUMMYFUNCTION("""COMPUTED_VALUE"""),"#N/A")</f>
        <v>#N/A</v>
      </c>
      <c r="AG41" s="86" t="str">
        <f ca="1">IFERROR(__xludf.DUMMYFUNCTION("ArrayFormula(VLOOKUP(G41, IMPORTRANGE(""https://docs.google.com/spreadsheets/d/1Co934fvtviyaRiMsrIlT05Jaq7iiYq07aLvRr35KA48/edit?gid=173865642#gid=173865642"", ""'G10_Maths_Pri_LU'!G2:V2000""), {3, 4, 5, 6, 7, 8, 9, 10, 11, 12, 13, 14, 15, 16}, 0))"),"LU001488")</f>
        <v>LU001488</v>
      </c>
      <c r="AH41" s="83" t="str">
        <f ca="1">IFERROR(__xludf.DUMMYFUNCTION("""COMPUTED_VALUE"""),"Distance between two points in a 2D plane using Pythagoras' theorem")</f>
        <v>Distance between two points in a 2D plane using Pythagoras' theorem</v>
      </c>
      <c r="AI41" s="83" t="str">
        <f ca="1">IFERROR(__xludf.DUMMYFUNCTION("""COMPUTED_VALUE"""),"LU000434")</f>
        <v>LU000434</v>
      </c>
      <c r="AJ41" s="83" t="str">
        <f ca="1">IFERROR(__xludf.DUMMYFUNCTION("""COMPUTED_VALUE"""),"Pythagoras property")</f>
        <v>Pythagoras property</v>
      </c>
      <c r="AK41" s="83"/>
      <c r="AL41" s="83"/>
      <c r="AM41" s="83"/>
      <c r="AN41" s="83"/>
      <c r="AO41" s="83"/>
      <c r="AP41" s="83"/>
      <c r="AQ41" s="83"/>
      <c r="AR41" s="83"/>
      <c r="AS41" s="83"/>
      <c r="AT41" s="83"/>
    </row>
    <row r="42" spans="1:46" ht="26.4">
      <c r="A42" s="8" t="s">
        <v>247</v>
      </c>
      <c r="B42" s="82" t="s">
        <v>47</v>
      </c>
      <c r="C42" s="82" t="s">
        <v>1172</v>
      </c>
      <c r="D42" s="83" t="s">
        <v>732</v>
      </c>
      <c r="E42" s="82" t="s">
        <v>1061</v>
      </c>
      <c r="F42" s="82" t="s">
        <v>1278</v>
      </c>
      <c r="G42" s="84" t="s">
        <v>1281</v>
      </c>
      <c r="H42" s="18" t="s">
        <v>1282</v>
      </c>
      <c r="I42" s="68" t="str">
        <f t="shared" si="0"/>
        <v>LU001490.001</v>
      </c>
      <c r="J42" s="69" t="str">
        <f ca="1">IFERROR(__xludf.DUMMYFUNCTION("VLOOKUP(I42, IMPORTRANGE(""https://docs.google.com/spreadsheets/d/1yDAaXNsi4Mr5FtRQL4tbmSdIzhx6_m4wkOD7IG-k_eo/edit#gid=0"", ""Maths!M:N""), 2, FALSE)"),"(LU001490.001); Default - Remember")</f>
        <v>(LU001490.001); Default - Remember</v>
      </c>
      <c r="K42" s="69" t="str">
        <f t="shared" si="1"/>
        <v>LU001490.002</v>
      </c>
      <c r="L42" s="69" t="str">
        <f ca="1">IFERROR(__xludf.DUMMYFUNCTION("VLOOKUP(K42, IMPORTRANGE(""https://docs.google.com/spreadsheets/d/1yDAaXNsi4Mr5FtRQL4tbmSdIzhx6_m4wkOD7IG-k_eo/edit#gid=0"", ""Maths!M:N""), 2, FALSE)"),"(LU001490.002); Default - Understand")</f>
        <v>(LU001490.002); Default - Understand</v>
      </c>
      <c r="M42" s="69" t="str">
        <f t="shared" si="2"/>
        <v>LU001490.003</v>
      </c>
      <c r="N42" s="69" t="str">
        <f ca="1">IFERROR(__xludf.DUMMYFUNCTION("VLOOKUP(M42, IMPORTRANGE(""https://docs.google.com/spreadsheets/d/1yDAaXNsi4Mr5FtRQL4tbmSdIzhx6_m4wkOD7IG-k_eo/edit#gid=0"", ""Maths!M:N""), 2, FALSE)"),"(LU001490.003); Default - Apply")</f>
        <v>(LU001490.003); Default - Apply</v>
      </c>
      <c r="O42" s="69" t="str">
        <f t="shared" si="3"/>
        <v>LU001490.004</v>
      </c>
      <c r="P42" s="69" t="str">
        <f ca="1">IFERROR(__xludf.DUMMYFUNCTION("VLOOKUP(O42, IMPORTRANGE(""https://docs.google.com/spreadsheets/d/1yDAaXNsi4Mr5FtRQL4tbmSdIzhx6_m4wkOD7IG-k_eo/edit#gid=0"", ""Maths!M:N""), 2, FALSE)"),"(LU001490.004); Default - Analyse")</f>
        <v>(LU001490.004); Default - Analyse</v>
      </c>
      <c r="Q42" s="69" t="str">
        <f t="shared" si="4"/>
        <v>LU001490.005</v>
      </c>
      <c r="R42" s="69" t="str">
        <f ca="1">IFERROR(__xludf.DUMMYFUNCTION("VLOOKUP(Q42, IMPORTRANGE(""https://docs.google.com/spreadsheets/d/1yDAaXNsi4Mr5FtRQL4tbmSdIzhx6_m4wkOD7IG-k_eo/edit#gid=0"", ""Maths!M:N""), 2, FALSE)"),"(LU001490.005); Default - Evaluate")</f>
        <v>(LU001490.005); Default - Evaluate</v>
      </c>
      <c r="S42" s="69" t="str">
        <f t="shared" si="5"/>
        <v>LU001490.006</v>
      </c>
      <c r="T42" s="69" t="str">
        <f ca="1">IFERROR(__xludf.DUMMYFUNCTION("VLOOKUP(S42, IMPORTRANGE(""https://docs.google.com/spreadsheets/d/1yDAaXNsi4Mr5FtRQL4tbmSdIzhx6_m4wkOD7IG-k_eo/edit#gid=0"", ""Maths!M:N""), 2, FALSE)"),"(LU001490.006); Default - Create")</f>
        <v>(LU001490.006); Default - Create</v>
      </c>
      <c r="U42" s="11" t="str">
        <f ca="1">IFERROR(__xludf.DUMMYFUNCTION("ArrayFormula(VLOOKUP(G42, IMPORTRANGE(""https://docs.google.com/spreadsheets/d/1p7R4vtkWt5VOBim4ltsDG9KTzSjrtKXsMtQGXPHyND0/edit#gid=795171502"", ""'Filter 30_05_2024'!A1:M2000""), {2, 3, 4, 5,6,7,8,9,10,11,12,13}, 0))"),"#N/A")</f>
        <v>#N/A</v>
      </c>
      <c r="V42" s="11" t="str">
        <f ca="1">IFERROR(__xludf.DUMMYFUNCTION("""COMPUTED_VALUE"""),"#N/A")</f>
        <v>#N/A</v>
      </c>
      <c r="W42" s="11" t="str">
        <f ca="1">IFERROR(__xludf.DUMMYFUNCTION("""COMPUTED_VALUE"""),"#N/A")</f>
        <v>#N/A</v>
      </c>
      <c r="X42" s="11" t="str">
        <f ca="1">IFERROR(__xludf.DUMMYFUNCTION("""COMPUTED_VALUE"""),"#N/A")</f>
        <v>#N/A</v>
      </c>
      <c r="Y42" s="11" t="str">
        <f ca="1">IFERROR(__xludf.DUMMYFUNCTION("""COMPUTED_VALUE"""),"#N/A")</f>
        <v>#N/A</v>
      </c>
      <c r="Z42" s="12" t="str">
        <f ca="1">IFERROR(__xludf.DUMMYFUNCTION("""COMPUTED_VALUE"""),"#N/A")</f>
        <v>#N/A</v>
      </c>
      <c r="AA42" s="12" t="str">
        <f ca="1">IFERROR(__xludf.DUMMYFUNCTION("""COMPUTED_VALUE"""),"#N/A")</f>
        <v>#N/A</v>
      </c>
      <c r="AB42" s="12" t="str">
        <f ca="1">IFERROR(__xludf.DUMMYFUNCTION("""COMPUTED_VALUE"""),"#N/A")</f>
        <v>#N/A</v>
      </c>
      <c r="AC42" s="11" t="str">
        <f ca="1">IFERROR(__xludf.DUMMYFUNCTION("""COMPUTED_VALUE"""),"#N/A")</f>
        <v>#N/A</v>
      </c>
      <c r="AD42" s="12" t="str">
        <f ca="1">IFERROR(__xludf.DUMMYFUNCTION("""COMPUTED_VALUE"""),"#N/A")</f>
        <v>#N/A</v>
      </c>
      <c r="AE42" s="12" t="str">
        <f ca="1">IFERROR(__xludf.DUMMYFUNCTION("""COMPUTED_VALUE"""),"#N/A")</f>
        <v>#N/A</v>
      </c>
      <c r="AF42" s="12" t="str">
        <f ca="1">IFERROR(__xludf.DUMMYFUNCTION("""COMPUTED_VALUE"""),"#N/A")</f>
        <v>#N/A</v>
      </c>
      <c r="AG42" s="86" t="str">
        <f ca="1">IFERROR(__xludf.DUMMYFUNCTION("ArrayFormula(VLOOKUP(G42, IMPORTRANGE(""https://docs.google.com/spreadsheets/d/1Co934fvtviyaRiMsrIlT05Jaq7iiYq07aLvRr35KA48/edit?gid=173865642#gid=173865642"", ""'G10_Maths_Pri_LU'!G2:V2000""), {3, 4, 5, 6, 7, 8, 9, 10, 11, 12, 13, 14, 15, 16}, 0))"),"LU001489")</f>
        <v>LU001489</v>
      </c>
      <c r="AH42" s="83" t="str">
        <f ca="1">IFERROR(__xludf.DUMMYFUNCTION("""COMPUTED_VALUE"""),"Distance between two points in a 2D plane using distance formula")</f>
        <v>Distance between two points in a 2D plane using distance formula</v>
      </c>
      <c r="AI42" s="83"/>
      <c r="AJ42" s="83"/>
      <c r="AK42" s="83"/>
      <c r="AL42" s="83"/>
      <c r="AM42" s="83"/>
      <c r="AN42" s="83"/>
      <c r="AO42" s="83"/>
      <c r="AP42" s="83"/>
      <c r="AQ42" s="83"/>
      <c r="AR42" s="83"/>
      <c r="AS42" s="83"/>
      <c r="AT42" s="83"/>
    </row>
    <row r="43" spans="1:46" ht="27.6">
      <c r="A43" s="8" t="s">
        <v>247</v>
      </c>
      <c r="B43" s="82" t="s">
        <v>47</v>
      </c>
      <c r="C43" s="82" t="s">
        <v>1172</v>
      </c>
      <c r="D43" s="83" t="s">
        <v>732</v>
      </c>
      <c r="E43" s="82" t="s">
        <v>1061</v>
      </c>
      <c r="F43" s="82" t="s">
        <v>1283</v>
      </c>
      <c r="G43" s="90" t="s">
        <v>1284</v>
      </c>
      <c r="H43" s="85" t="s">
        <v>1285</v>
      </c>
      <c r="I43" s="68" t="str">
        <f t="shared" si="0"/>
        <v>LU001491.001</v>
      </c>
      <c r="J43" s="69" t="str">
        <f ca="1">IFERROR(__xludf.DUMMYFUNCTION("VLOOKUP(I43, IMPORTRANGE(""https://docs.google.com/spreadsheets/d/1yDAaXNsi4Mr5FtRQL4tbmSdIzhx6_m4wkOD7IG-k_eo/edit#gid=0"", ""Maths!M:N""), 2, FALSE)"),"(LU001491.001); Default - Remember")</f>
        <v>(LU001491.001); Default - Remember</v>
      </c>
      <c r="K43" s="69" t="str">
        <f t="shared" si="1"/>
        <v>LU001491.002</v>
      </c>
      <c r="L43" s="69" t="str">
        <f ca="1">IFERROR(__xludf.DUMMYFUNCTION("VLOOKUP(K43, IMPORTRANGE(""https://docs.google.com/spreadsheets/d/1yDAaXNsi4Mr5FtRQL4tbmSdIzhx6_m4wkOD7IG-k_eo/edit#gid=0"", ""Maths!M:N""), 2, FALSE)"),"(LU001491.002); Default - Understand")</f>
        <v>(LU001491.002); Default - Understand</v>
      </c>
      <c r="M43" s="69" t="str">
        <f t="shared" si="2"/>
        <v>LU001491.003</v>
      </c>
      <c r="N43" s="69" t="str">
        <f ca="1">IFERROR(__xludf.DUMMYFUNCTION("VLOOKUP(M43, IMPORTRANGE(""https://docs.google.com/spreadsheets/d/1yDAaXNsi4Mr5FtRQL4tbmSdIzhx6_m4wkOD7IG-k_eo/edit#gid=0"", ""Maths!M:N""), 2, FALSE)"),"(LU001491.003); Default - Apply")</f>
        <v>(LU001491.003); Default - Apply</v>
      </c>
      <c r="O43" s="69" t="str">
        <f t="shared" si="3"/>
        <v>LU001491.004</v>
      </c>
      <c r="P43" s="69" t="str">
        <f ca="1">IFERROR(__xludf.DUMMYFUNCTION("VLOOKUP(O43, IMPORTRANGE(""https://docs.google.com/spreadsheets/d/1yDAaXNsi4Mr5FtRQL4tbmSdIzhx6_m4wkOD7IG-k_eo/edit#gid=0"", ""Maths!M:N""), 2, FALSE)"),"(LU001491.004); Default - Analyse")</f>
        <v>(LU001491.004); Default - Analyse</v>
      </c>
      <c r="Q43" s="69" t="str">
        <f t="shared" si="4"/>
        <v>LU001491.005</v>
      </c>
      <c r="R43" s="69" t="str">
        <f ca="1">IFERROR(__xludf.DUMMYFUNCTION("VLOOKUP(Q43, IMPORTRANGE(""https://docs.google.com/spreadsheets/d/1yDAaXNsi4Mr5FtRQL4tbmSdIzhx6_m4wkOD7IG-k_eo/edit#gid=0"", ""Maths!M:N""), 2, FALSE)"),"(LU001491.005); Default - Evaluate")</f>
        <v>(LU001491.005); Default - Evaluate</v>
      </c>
      <c r="S43" s="69" t="str">
        <f t="shared" si="5"/>
        <v>LU001491.006</v>
      </c>
      <c r="T43" s="69" t="str">
        <f ca="1">IFERROR(__xludf.DUMMYFUNCTION("VLOOKUP(S43, IMPORTRANGE(""https://docs.google.com/spreadsheets/d/1yDAaXNsi4Mr5FtRQL4tbmSdIzhx6_m4wkOD7IG-k_eo/edit#gid=0"", ""Maths!M:N""), 2, FALSE)"),"(LU001491.006); Default - Create")</f>
        <v>(LU001491.006); Default - Create</v>
      </c>
      <c r="U43" s="11" t="str">
        <f ca="1">IFERROR(__xludf.DUMMYFUNCTION("ArrayFormula(VLOOKUP(G43, IMPORTRANGE(""https://docs.google.com/spreadsheets/d/1p7R4vtkWt5VOBim4ltsDG9KTzSjrtKXsMtQGXPHyND0/edit#gid=795171502"", ""'Filter 30_05_2024'!A1:M2000""), {2, 3, 4, 5,6,7,8,9,10,11,12,13}, 0))"),"#N/A")</f>
        <v>#N/A</v>
      </c>
      <c r="V43" s="11" t="str">
        <f ca="1">IFERROR(__xludf.DUMMYFUNCTION("""COMPUTED_VALUE"""),"#N/A")</f>
        <v>#N/A</v>
      </c>
      <c r="W43" s="11" t="str">
        <f ca="1">IFERROR(__xludf.DUMMYFUNCTION("""COMPUTED_VALUE"""),"#N/A")</f>
        <v>#N/A</v>
      </c>
      <c r="X43" s="11" t="str">
        <f ca="1">IFERROR(__xludf.DUMMYFUNCTION("""COMPUTED_VALUE"""),"#N/A")</f>
        <v>#N/A</v>
      </c>
      <c r="Y43" s="11" t="str">
        <f ca="1">IFERROR(__xludf.DUMMYFUNCTION("""COMPUTED_VALUE"""),"#N/A")</f>
        <v>#N/A</v>
      </c>
      <c r="Z43" s="12" t="str">
        <f ca="1">IFERROR(__xludf.DUMMYFUNCTION("""COMPUTED_VALUE"""),"#N/A")</f>
        <v>#N/A</v>
      </c>
      <c r="AA43" s="12" t="str">
        <f ca="1">IFERROR(__xludf.DUMMYFUNCTION("""COMPUTED_VALUE"""),"#N/A")</f>
        <v>#N/A</v>
      </c>
      <c r="AB43" s="12" t="str">
        <f ca="1">IFERROR(__xludf.DUMMYFUNCTION("""COMPUTED_VALUE"""),"#N/A")</f>
        <v>#N/A</v>
      </c>
      <c r="AC43" s="11" t="str">
        <f ca="1">IFERROR(__xludf.DUMMYFUNCTION("""COMPUTED_VALUE"""),"#N/A")</f>
        <v>#N/A</v>
      </c>
      <c r="AD43" s="12" t="str">
        <f ca="1">IFERROR(__xludf.DUMMYFUNCTION("""COMPUTED_VALUE"""),"#N/A")</f>
        <v>#N/A</v>
      </c>
      <c r="AE43" s="12" t="str">
        <f ca="1">IFERROR(__xludf.DUMMYFUNCTION("""COMPUTED_VALUE"""),"#N/A")</f>
        <v>#N/A</v>
      </c>
      <c r="AF43" s="12" t="str">
        <f ca="1">IFERROR(__xludf.DUMMYFUNCTION("""COMPUTED_VALUE"""),"#N/A")</f>
        <v>#N/A</v>
      </c>
      <c r="AG43" s="86" t="str">
        <f ca="1">IFERROR(__xludf.DUMMYFUNCTION("ArrayFormula(VLOOKUP(G43, IMPORTRANGE(""https://docs.google.com/spreadsheets/d/1Co934fvtviyaRiMsrIlT05Jaq7iiYq07aLvRr35KA48/edit?gid=173865642#gid=173865642"", ""'G10_Maths_Pri_LU'!G2:V2000""), {3, 4, 5, 6, 7, 8, 9, 10, 11, 12, 13, 14, 15, 16}, 0))"),"LU001489")</f>
        <v>LU001489</v>
      </c>
      <c r="AH43" s="83" t="str">
        <f ca="1">IFERROR(__xludf.DUMMYFUNCTION("""COMPUTED_VALUE"""),"Distance between two points in a 2D plane using distance formula")</f>
        <v>Distance between two points in a 2D plane using distance formula</v>
      </c>
      <c r="AI43" s="83" t="str">
        <f ca="1">IFERROR(__xludf.DUMMYFUNCTION("""COMPUTED_VALUE"""),"LU000431")</f>
        <v>LU000431</v>
      </c>
      <c r="AJ43" s="83" t="str">
        <f ca="1">IFERROR(__xludf.DUMMYFUNCTION("""COMPUTED_VALUE"""),"Triangle inequality (Relationship between sides of a triangle)")</f>
        <v>Triangle inequality (Relationship between sides of a triangle)</v>
      </c>
      <c r="AK43" s="83"/>
      <c r="AL43" s="83"/>
      <c r="AM43" s="83"/>
      <c r="AN43" s="83"/>
      <c r="AO43" s="83"/>
      <c r="AP43" s="83"/>
      <c r="AQ43" s="83"/>
      <c r="AR43" s="83"/>
      <c r="AS43" s="83"/>
      <c r="AT43" s="83"/>
    </row>
    <row r="44" spans="1:46" ht="55.2">
      <c r="A44" s="8" t="s">
        <v>247</v>
      </c>
      <c r="B44" s="82" t="s">
        <v>47</v>
      </c>
      <c r="C44" s="82" t="s">
        <v>1172</v>
      </c>
      <c r="D44" s="83" t="s">
        <v>732</v>
      </c>
      <c r="E44" s="82" t="s">
        <v>1061</v>
      </c>
      <c r="F44" s="82" t="s">
        <v>1283</v>
      </c>
      <c r="G44" s="90" t="s">
        <v>1286</v>
      </c>
      <c r="H44" s="91" t="s">
        <v>1287</v>
      </c>
      <c r="I44" s="68" t="str">
        <f t="shared" si="0"/>
        <v>LU001493.001</v>
      </c>
      <c r="J44" s="69" t="str">
        <f ca="1">IFERROR(__xludf.DUMMYFUNCTION("VLOOKUP(I44, IMPORTRANGE(""https://docs.google.com/spreadsheets/d/1yDAaXNsi4Mr5FtRQL4tbmSdIzhx6_m4wkOD7IG-k_eo/edit#gid=0"", ""Maths!M:N""), 2, FALSE)"),"(LU001493.001); Default - Remember")</f>
        <v>(LU001493.001); Default - Remember</v>
      </c>
      <c r="K44" s="69" t="str">
        <f t="shared" si="1"/>
        <v>LU001493.002</v>
      </c>
      <c r="L44" s="69" t="str">
        <f ca="1">IFERROR(__xludf.DUMMYFUNCTION("VLOOKUP(K44, IMPORTRANGE(""https://docs.google.com/spreadsheets/d/1yDAaXNsi4Mr5FtRQL4tbmSdIzhx6_m4wkOD7IG-k_eo/edit#gid=0"", ""Maths!M:N""), 2, FALSE)"),"(LU001493.002); Default - Understand")</f>
        <v>(LU001493.002); Default - Understand</v>
      </c>
      <c r="M44" s="69" t="str">
        <f t="shared" si="2"/>
        <v>LU001493.003</v>
      </c>
      <c r="N44" s="69" t="str">
        <f ca="1">IFERROR(__xludf.DUMMYFUNCTION("VLOOKUP(M44, IMPORTRANGE(""https://docs.google.com/spreadsheets/d/1yDAaXNsi4Mr5FtRQL4tbmSdIzhx6_m4wkOD7IG-k_eo/edit#gid=0"", ""Maths!M:N""), 2, FALSE)"),"(LU001493.003); Default - Apply")</f>
        <v>(LU001493.003); Default - Apply</v>
      </c>
      <c r="O44" s="69" t="str">
        <f t="shared" si="3"/>
        <v>LU001493.004</v>
      </c>
      <c r="P44" s="69" t="str">
        <f ca="1">IFERROR(__xludf.DUMMYFUNCTION("VLOOKUP(O44, IMPORTRANGE(""https://docs.google.com/spreadsheets/d/1yDAaXNsi4Mr5FtRQL4tbmSdIzhx6_m4wkOD7IG-k_eo/edit#gid=0"", ""Maths!M:N""), 2, FALSE)"),"(LU001493.004); Default - Analyse")</f>
        <v>(LU001493.004); Default - Analyse</v>
      </c>
      <c r="Q44" s="69" t="str">
        <f t="shared" si="4"/>
        <v>LU001493.005</v>
      </c>
      <c r="R44" s="69" t="str">
        <f ca="1">IFERROR(__xludf.DUMMYFUNCTION("VLOOKUP(Q44, IMPORTRANGE(""https://docs.google.com/spreadsheets/d/1yDAaXNsi4Mr5FtRQL4tbmSdIzhx6_m4wkOD7IG-k_eo/edit#gid=0"", ""Maths!M:N""), 2, FALSE)"),"(LU001493.005); Default - Evaluate")</f>
        <v>(LU001493.005); Default - Evaluate</v>
      </c>
      <c r="S44" s="69" t="str">
        <f t="shared" si="5"/>
        <v>LU001493.006</v>
      </c>
      <c r="T44" s="69" t="str">
        <f ca="1">IFERROR(__xludf.DUMMYFUNCTION("VLOOKUP(S44, IMPORTRANGE(""https://docs.google.com/spreadsheets/d/1yDAaXNsi4Mr5FtRQL4tbmSdIzhx6_m4wkOD7IG-k_eo/edit#gid=0"", ""Maths!M:N""), 2, FALSE)"),"(LU001493.006); Default - Create")</f>
        <v>(LU001493.006); Default - Create</v>
      </c>
      <c r="U44" s="11" t="str">
        <f ca="1">IFERROR(__xludf.DUMMYFUNCTION("ArrayFormula(VLOOKUP(G44, IMPORTRANGE(""https://docs.google.com/spreadsheets/d/1p7R4vtkWt5VOBim4ltsDG9KTzSjrtKXsMtQGXPHyND0/edit#gid=795171502"", ""'Filter 30_05_2024'!A1:M2000""), {2, 3, 4, 5,6,7,8,9,10,11,12,13}, 0))"),"#N/A")</f>
        <v>#N/A</v>
      </c>
      <c r="V44" s="11" t="str">
        <f ca="1">IFERROR(__xludf.DUMMYFUNCTION("""COMPUTED_VALUE"""),"#N/A")</f>
        <v>#N/A</v>
      </c>
      <c r="W44" s="11" t="str">
        <f ca="1">IFERROR(__xludf.DUMMYFUNCTION("""COMPUTED_VALUE"""),"#N/A")</f>
        <v>#N/A</v>
      </c>
      <c r="X44" s="11" t="str">
        <f ca="1">IFERROR(__xludf.DUMMYFUNCTION("""COMPUTED_VALUE"""),"#N/A")</f>
        <v>#N/A</v>
      </c>
      <c r="Y44" s="11" t="str">
        <f ca="1">IFERROR(__xludf.DUMMYFUNCTION("""COMPUTED_VALUE"""),"#N/A")</f>
        <v>#N/A</v>
      </c>
      <c r="Z44" s="12" t="str">
        <f ca="1">IFERROR(__xludf.DUMMYFUNCTION("""COMPUTED_VALUE"""),"#N/A")</f>
        <v>#N/A</v>
      </c>
      <c r="AA44" s="12" t="str">
        <f ca="1">IFERROR(__xludf.DUMMYFUNCTION("""COMPUTED_VALUE"""),"#N/A")</f>
        <v>#N/A</v>
      </c>
      <c r="AB44" s="12" t="str">
        <f ca="1">IFERROR(__xludf.DUMMYFUNCTION("""COMPUTED_VALUE"""),"#N/A")</f>
        <v>#N/A</v>
      </c>
      <c r="AC44" s="11" t="str">
        <f ca="1">IFERROR(__xludf.DUMMYFUNCTION("""COMPUTED_VALUE"""),"#N/A")</f>
        <v>#N/A</v>
      </c>
      <c r="AD44" s="12" t="str">
        <f ca="1">IFERROR(__xludf.DUMMYFUNCTION("""COMPUTED_VALUE"""),"#N/A")</f>
        <v>#N/A</v>
      </c>
      <c r="AE44" s="12" t="str">
        <f ca="1">IFERROR(__xludf.DUMMYFUNCTION("""COMPUTED_VALUE"""),"#N/A")</f>
        <v>#N/A</v>
      </c>
      <c r="AF44" s="12" t="str">
        <f ca="1">IFERROR(__xludf.DUMMYFUNCTION("""COMPUTED_VALUE"""),"#N/A")</f>
        <v>#N/A</v>
      </c>
      <c r="AG44" s="86" t="str">
        <f ca="1">IFERROR(__xludf.DUMMYFUNCTION("ArrayFormula(VLOOKUP(G44, IMPORTRANGE(""https://docs.google.com/spreadsheets/d/1Co934fvtviyaRiMsrIlT05Jaq7iiYq07aLvRr35KA48/edit?gid=173865642#gid=173865642"", ""'G10_Maths_Pri_LU'!G2:V2000""), {3, 4, 5, 6, 7, 8, 9, 10, 11, 12, 13, 14, 15, 16}, 0))"),"LU001489")</f>
        <v>LU001489</v>
      </c>
      <c r="AH44" s="83" t="str">
        <f ca="1">IFERROR(__xludf.DUMMYFUNCTION("""COMPUTED_VALUE"""),"Distance between two points in a 2D plane using distance formula")</f>
        <v>Distance between two points in a 2D plane using distance formula</v>
      </c>
      <c r="AI44" s="83" t="str">
        <f ca="1">IFERROR(__xludf.DUMMYFUNCTION("""COMPUTED_VALUE"""),"LU000235")</f>
        <v>LU000235</v>
      </c>
      <c r="AJ44" s="83" t="str">
        <f ca="1">IFERROR(__xludf.DUMMYFUNCTION("""COMPUTED_VALUE"""),"Definition of collinear points")</f>
        <v>Definition of collinear points</v>
      </c>
      <c r="AK44" s="83"/>
      <c r="AL44" s="83"/>
      <c r="AM44" s="83"/>
      <c r="AN44" s="83"/>
      <c r="AO44" s="83"/>
      <c r="AP44" s="83"/>
      <c r="AQ44" s="83"/>
      <c r="AR44" s="83"/>
      <c r="AS44" s="83"/>
      <c r="AT44" s="83"/>
    </row>
    <row r="45" spans="1:46" ht="27.6">
      <c r="A45" s="8" t="s">
        <v>247</v>
      </c>
      <c r="B45" s="82" t="s">
        <v>47</v>
      </c>
      <c r="C45" s="82" t="s">
        <v>1172</v>
      </c>
      <c r="D45" s="83" t="s">
        <v>732</v>
      </c>
      <c r="E45" s="82" t="s">
        <v>1061</v>
      </c>
      <c r="F45" s="82" t="s">
        <v>1288</v>
      </c>
      <c r="G45" s="84" t="s">
        <v>1289</v>
      </c>
      <c r="H45" s="85" t="s">
        <v>1290</v>
      </c>
      <c r="I45" s="68" t="str">
        <f t="shared" si="0"/>
        <v>LU001492.001</v>
      </c>
      <c r="J45" s="69" t="str">
        <f ca="1">IFERROR(__xludf.DUMMYFUNCTION("VLOOKUP(I45, IMPORTRANGE(""https://docs.google.com/spreadsheets/d/1yDAaXNsi4Mr5FtRQL4tbmSdIzhx6_m4wkOD7IG-k_eo/edit#gid=0"", ""Maths!M:N""), 2, FALSE)"),"(LU001492.001); Default - Remember")</f>
        <v>(LU001492.001); Default - Remember</v>
      </c>
      <c r="K45" s="69" t="str">
        <f t="shared" si="1"/>
        <v>LU001492.002</v>
      </c>
      <c r="L45" s="69" t="str">
        <f ca="1">IFERROR(__xludf.DUMMYFUNCTION("VLOOKUP(K45, IMPORTRANGE(""https://docs.google.com/spreadsheets/d/1yDAaXNsi4Mr5FtRQL4tbmSdIzhx6_m4wkOD7IG-k_eo/edit#gid=0"", ""Maths!M:N""), 2, FALSE)"),"(LU001492.002); Default - Understand")</f>
        <v>(LU001492.002); Default - Understand</v>
      </c>
      <c r="M45" s="69" t="str">
        <f t="shared" si="2"/>
        <v>LU001492.003</v>
      </c>
      <c r="N45" s="69" t="str">
        <f ca="1">IFERROR(__xludf.DUMMYFUNCTION("VLOOKUP(M45, IMPORTRANGE(""https://docs.google.com/spreadsheets/d/1yDAaXNsi4Mr5FtRQL4tbmSdIzhx6_m4wkOD7IG-k_eo/edit#gid=0"", ""Maths!M:N""), 2, FALSE)"),"(LU001492.003); Default - Apply")</f>
        <v>(LU001492.003); Default - Apply</v>
      </c>
      <c r="O45" s="69" t="str">
        <f t="shared" si="3"/>
        <v>LU001492.004</v>
      </c>
      <c r="P45" s="69" t="str">
        <f ca="1">IFERROR(__xludf.DUMMYFUNCTION("VLOOKUP(O45, IMPORTRANGE(""https://docs.google.com/spreadsheets/d/1yDAaXNsi4Mr5FtRQL4tbmSdIzhx6_m4wkOD7IG-k_eo/edit#gid=0"", ""Maths!M:N""), 2, FALSE)"),"(LU001492.004); Default - Analyse")</f>
        <v>(LU001492.004); Default - Analyse</v>
      </c>
      <c r="Q45" s="69" t="str">
        <f t="shared" si="4"/>
        <v>LU001492.005</v>
      </c>
      <c r="R45" s="69" t="str">
        <f ca="1">IFERROR(__xludf.DUMMYFUNCTION("VLOOKUP(Q45, IMPORTRANGE(""https://docs.google.com/spreadsheets/d/1yDAaXNsi4Mr5FtRQL4tbmSdIzhx6_m4wkOD7IG-k_eo/edit#gid=0"", ""Maths!M:N""), 2, FALSE)"),"(LU001492.005); Default - Evaluate")</f>
        <v>(LU001492.005); Default - Evaluate</v>
      </c>
      <c r="S45" s="69" t="str">
        <f t="shared" si="5"/>
        <v>LU001492.006</v>
      </c>
      <c r="T45" s="69" t="str">
        <f ca="1">IFERROR(__xludf.DUMMYFUNCTION("VLOOKUP(S45, IMPORTRANGE(""https://docs.google.com/spreadsheets/d/1yDAaXNsi4Mr5FtRQL4tbmSdIzhx6_m4wkOD7IG-k_eo/edit#gid=0"", ""Maths!M:N""), 2, FALSE)"),"(LU001492.006); Default - Create")</f>
        <v>(LU001492.006); Default - Create</v>
      </c>
      <c r="U45" s="11" t="str">
        <f ca="1">IFERROR(__xludf.DUMMYFUNCTION("ArrayFormula(VLOOKUP(G45, IMPORTRANGE(""https://docs.google.com/spreadsheets/d/1p7R4vtkWt5VOBim4ltsDG9KTzSjrtKXsMtQGXPHyND0/edit#gid=795171502"", ""'Filter 30_05_2024'!A1:M2000""), {2, 3, 4, 5,6,7,8,9,10,11,12,13}, 0))"),"#N/A")</f>
        <v>#N/A</v>
      </c>
      <c r="V45" s="11" t="str">
        <f ca="1">IFERROR(__xludf.DUMMYFUNCTION("""COMPUTED_VALUE"""),"#N/A")</f>
        <v>#N/A</v>
      </c>
      <c r="W45" s="11" t="str">
        <f ca="1">IFERROR(__xludf.DUMMYFUNCTION("""COMPUTED_VALUE"""),"#N/A")</f>
        <v>#N/A</v>
      </c>
      <c r="X45" s="11" t="str">
        <f ca="1">IFERROR(__xludf.DUMMYFUNCTION("""COMPUTED_VALUE"""),"#N/A")</f>
        <v>#N/A</v>
      </c>
      <c r="Y45" s="11" t="str">
        <f ca="1">IFERROR(__xludf.DUMMYFUNCTION("""COMPUTED_VALUE"""),"#N/A")</f>
        <v>#N/A</v>
      </c>
      <c r="Z45" s="12" t="str">
        <f ca="1">IFERROR(__xludf.DUMMYFUNCTION("""COMPUTED_VALUE"""),"#N/A")</f>
        <v>#N/A</v>
      </c>
      <c r="AA45" s="12" t="str">
        <f ca="1">IFERROR(__xludf.DUMMYFUNCTION("""COMPUTED_VALUE"""),"#N/A")</f>
        <v>#N/A</v>
      </c>
      <c r="AB45" s="12" t="str">
        <f ca="1">IFERROR(__xludf.DUMMYFUNCTION("""COMPUTED_VALUE"""),"#N/A")</f>
        <v>#N/A</v>
      </c>
      <c r="AC45" s="11" t="str">
        <f ca="1">IFERROR(__xludf.DUMMYFUNCTION("""COMPUTED_VALUE"""),"#N/A")</f>
        <v>#N/A</v>
      </c>
      <c r="AD45" s="12" t="str">
        <f ca="1">IFERROR(__xludf.DUMMYFUNCTION("""COMPUTED_VALUE"""),"#N/A")</f>
        <v>#N/A</v>
      </c>
      <c r="AE45" s="12" t="str">
        <f ca="1">IFERROR(__xludf.DUMMYFUNCTION("""COMPUTED_VALUE"""),"#N/A")</f>
        <v>#N/A</v>
      </c>
      <c r="AF45" s="12" t="str">
        <f ca="1">IFERROR(__xludf.DUMMYFUNCTION("""COMPUTED_VALUE"""),"#N/A")</f>
        <v>#N/A</v>
      </c>
      <c r="AG45" s="86" t="str">
        <f ca="1">IFERROR(__xludf.DUMMYFUNCTION("ArrayFormula(VLOOKUP(G45, IMPORTRANGE(""https://docs.google.com/spreadsheets/d/1Co934fvtviyaRiMsrIlT05Jaq7iiYq07aLvRr35KA48/edit?gid=173865642#gid=173865642"", ""'G10_Maths_Pri_LU'!G2:V2000""), {3, 4, 5, 6, 7, 8, 9, 10, 11, 12, 13, 14, 15, 16}, 0))"),"LU001489")</f>
        <v>LU001489</v>
      </c>
      <c r="AH45" s="83" t="str">
        <f ca="1">IFERROR(__xludf.DUMMYFUNCTION("""COMPUTED_VALUE"""),"Distance between two points in a 2D plane using distance formula")</f>
        <v>Distance between two points in a 2D plane using distance formula</v>
      </c>
      <c r="AI45" s="83" t="str">
        <f ca="1">IFERROR(__xludf.DUMMYFUNCTION("""COMPUTED_VALUE"""),"LU000604")</f>
        <v>LU000604</v>
      </c>
      <c r="AJ45" s="83" t="str">
        <f ca="1">IFERROR(__xludf.DUMMYFUNCTION("""COMPUTED_VALUE"""),"Properties of a rhombus (related to its diagonals, sides and angles)")</f>
        <v>Properties of a rhombus (related to its diagonals, sides and angles)</v>
      </c>
      <c r="AK45" s="83" t="str">
        <f ca="1">IFERROR(__xludf.DUMMYFUNCTION("""COMPUTED_VALUE"""),"LU000610")</f>
        <v>LU000610</v>
      </c>
      <c r="AL45" s="83" t="str">
        <f ca="1">IFERROR(__xludf.DUMMYFUNCTION("""COMPUTED_VALUE"""),"Properties of a rectangle (related to its sides, angles and diagonals)")</f>
        <v>Properties of a rectangle (related to its sides, angles and diagonals)</v>
      </c>
      <c r="AM45" s="83" t="str">
        <f ca="1">IFERROR(__xludf.DUMMYFUNCTION("""COMPUTED_VALUE"""),"LU000607")</f>
        <v>LU000607</v>
      </c>
      <c r="AN45" s="83" t="str">
        <f ca="1">IFERROR(__xludf.DUMMYFUNCTION("""COMPUTED_VALUE"""),"Properties of a square (related to its angles, sides and diagonals)")</f>
        <v>Properties of a square (related to its angles, sides and diagonals)</v>
      </c>
      <c r="AO45" s="83"/>
      <c r="AP45" s="83"/>
      <c r="AQ45" s="83"/>
      <c r="AR45" s="83"/>
      <c r="AS45" s="83"/>
      <c r="AT45" s="83"/>
    </row>
    <row r="46" spans="1:46" ht="27.6">
      <c r="A46" s="8" t="s">
        <v>247</v>
      </c>
      <c r="B46" s="82" t="s">
        <v>47</v>
      </c>
      <c r="C46" s="82" t="s">
        <v>1172</v>
      </c>
      <c r="D46" s="83" t="s">
        <v>732</v>
      </c>
      <c r="E46" s="82" t="s">
        <v>1061</v>
      </c>
      <c r="F46" s="8" t="s">
        <v>1291</v>
      </c>
      <c r="G46" s="84" t="s">
        <v>1292</v>
      </c>
      <c r="H46" s="85" t="s">
        <v>1293</v>
      </c>
      <c r="I46" s="68" t="str">
        <f t="shared" si="0"/>
        <v>LU001494.001</v>
      </c>
      <c r="J46" s="69" t="str">
        <f ca="1">IFERROR(__xludf.DUMMYFUNCTION("VLOOKUP(I46, IMPORTRANGE(""https://docs.google.com/spreadsheets/d/1yDAaXNsi4Mr5FtRQL4tbmSdIzhx6_m4wkOD7IG-k_eo/edit#gid=0"", ""Maths!M:N""), 2, FALSE)"),"(LU001494.001); Default - Remember")</f>
        <v>(LU001494.001); Default - Remember</v>
      </c>
      <c r="K46" s="69" t="str">
        <f t="shared" si="1"/>
        <v>LU001494.002</v>
      </c>
      <c r="L46" s="69" t="str">
        <f ca="1">IFERROR(__xludf.DUMMYFUNCTION("VLOOKUP(K46, IMPORTRANGE(""https://docs.google.com/spreadsheets/d/1yDAaXNsi4Mr5FtRQL4tbmSdIzhx6_m4wkOD7IG-k_eo/edit#gid=0"", ""Maths!M:N""), 2, FALSE)"),"(LU001494.002); Default - Understand")</f>
        <v>(LU001494.002); Default - Understand</v>
      </c>
      <c r="M46" s="69" t="str">
        <f t="shared" si="2"/>
        <v>LU001494.003</v>
      </c>
      <c r="N46" s="69" t="str">
        <f ca="1">IFERROR(__xludf.DUMMYFUNCTION("VLOOKUP(M46, IMPORTRANGE(""https://docs.google.com/spreadsheets/d/1yDAaXNsi4Mr5FtRQL4tbmSdIzhx6_m4wkOD7IG-k_eo/edit#gid=0"", ""Maths!M:N""), 2, FALSE)"),"(LU001494.003); Default - Apply")</f>
        <v>(LU001494.003); Default - Apply</v>
      </c>
      <c r="O46" s="69" t="str">
        <f t="shared" si="3"/>
        <v>LU001494.004</v>
      </c>
      <c r="P46" s="69" t="str">
        <f ca="1">IFERROR(__xludf.DUMMYFUNCTION("VLOOKUP(O46, IMPORTRANGE(""https://docs.google.com/spreadsheets/d/1yDAaXNsi4Mr5FtRQL4tbmSdIzhx6_m4wkOD7IG-k_eo/edit#gid=0"", ""Maths!M:N""), 2, FALSE)"),"(LU001494.004); Default - Analyse")</f>
        <v>(LU001494.004); Default - Analyse</v>
      </c>
      <c r="Q46" s="69" t="str">
        <f t="shared" si="4"/>
        <v>LU001494.005</v>
      </c>
      <c r="R46" s="69" t="str">
        <f ca="1">IFERROR(__xludf.DUMMYFUNCTION("VLOOKUP(Q46, IMPORTRANGE(""https://docs.google.com/spreadsheets/d/1yDAaXNsi4Mr5FtRQL4tbmSdIzhx6_m4wkOD7IG-k_eo/edit#gid=0"", ""Maths!M:N""), 2, FALSE)"),"(LU001494.005); Default - Evaluate")</f>
        <v>(LU001494.005); Default - Evaluate</v>
      </c>
      <c r="S46" s="69" t="str">
        <f t="shared" si="5"/>
        <v>LU001494.006</v>
      </c>
      <c r="T46" s="69" t="str">
        <f ca="1">IFERROR(__xludf.DUMMYFUNCTION("VLOOKUP(S46, IMPORTRANGE(""https://docs.google.com/spreadsheets/d/1yDAaXNsi4Mr5FtRQL4tbmSdIzhx6_m4wkOD7IG-k_eo/edit#gid=0"", ""Maths!M:N""), 2, FALSE)"),"(LU001494.006); Default - Create")</f>
        <v>(LU001494.006); Default - Create</v>
      </c>
      <c r="U46" s="11" t="str">
        <f ca="1">IFERROR(__xludf.DUMMYFUNCTION("ArrayFormula(VLOOKUP(G46, IMPORTRANGE(""https://docs.google.com/spreadsheets/d/1p7R4vtkWt5VOBim4ltsDG9KTzSjrtKXsMtQGXPHyND0/edit#gid=795171502"", ""'Filter 30_05_2024'!A1:M2000""), {2, 3, 4, 5,6,7,8,9,10,11,12,13}, 0))"),"#N/A")</f>
        <v>#N/A</v>
      </c>
      <c r="V46" s="11" t="str">
        <f ca="1">IFERROR(__xludf.DUMMYFUNCTION("""COMPUTED_VALUE"""),"#N/A")</f>
        <v>#N/A</v>
      </c>
      <c r="W46" s="11" t="str">
        <f ca="1">IFERROR(__xludf.DUMMYFUNCTION("""COMPUTED_VALUE"""),"#N/A")</f>
        <v>#N/A</v>
      </c>
      <c r="X46" s="11" t="str">
        <f ca="1">IFERROR(__xludf.DUMMYFUNCTION("""COMPUTED_VALUE"""),"#N/A")</f>
        <v>#N/A</v>
      </c>
      <c r="Y46" s="11" t="str">
        <f ca="1">IFERROR(__xludf.DUMMYFUNCTION("""COMPUTED_VALUE"""),"#N/A")</f>
        <v>#N/A</v>
      </c>
      <c r="Z46" s="12" t="str">
        <f ca="1">IFERROR(__xludf.DUMMYFUNCTION("""COMPUTED_VALUE"""),"#N/A")</f>
        <v>#N/A</v>
      </c>
      <c r="AA46" s="12" t="str">
        <f ca="1">IFERROR(__xludf.DUMMYFUNCTION("""COMPUTED_VALUE"""),"#N/A")</f>
        <v>#N/A</v>
      </c>
      <c r="AB46" s="12" t="str">
        <f ca="1">IFERROR(__xludf.DUMMYFUNCTION("""COMPUTED_VALUE"""),"#N/A")</f>
        <v>#N/A</v>
      </c>
      <c r="AC46" s="11" t="str">
        <f ca="1">IFERROR(__xludf.DUMMYFUNCTION("""COMPUTED_VALUE"""),"#N/A")</f>
        <v>#N/A</v>
      </c>
      <c r="AD46" s="12" t="str">
        <f ca="1">IFERROR(__xludf.DUMMYFUNCTION("""COMPUTED_VALUE"""),"#N/A")</f>
        <v>#N/A</v>
      </c>
      <c r="AE46" s="12" t="str">
        <f ca="1">IFERROR(__xludf.DUMMYFUNCTION("""COMPUTED_VALUE"""),"#N/A")</f>
        <v>#N/A</v>
      </c>
      <c r="AF46" s="12" t="str">
        <f ca="1">IFERROR(__xludf.DUMMYFUNCTION("""COMPUTED_VALUE"""),"#N/A")</f>
        <v>#N/A</v>
      </c>
      <c r="AG46" s="86" t="str">
        <f ca="1">IFERROR(__xludf.DUMMYFUNCTION("ArrayFormula(VLOOKUP(G46, IMPORTRANGE(""https://docs.google.com/spreadsheets/d/1Co934fvtviyaRiMsrIlT05Jaq7iiYq07aLvRr35KA48/edit?gid=173865642#gid=173865642"", ""'G10_Maths_Pri_LU'!G2:V2000""), {3, 4, 5, 6, 7, 8, 9, 10, 11, 12, 13, 14, 15, 16}, 0))"),"LU001489")</f>
        <v>LU001489</v>
      </c>
      <c r="AH46" s="83" t="str">
        <f ca="1">IFERROR(__xludf.DUMMYFUNCTION("""COMPUTED_VALUE"""),"Distance between two points in a 2D plane using distance formula")</f>
        <v>Distance between two points in a 2D plane using distance formula</v>
      </c>
      <c r="AI46" s="83" t="str">
        <f ca="1">IFERROR(__xludf.DUMMYFUNCTION("""COMPUTED_VALUE"""),"LU000704")</f>
        <v>LU000704</v>
      </c>
      <c r="AJ46" s="83" t="str">
        <f ca="1">IFERROR(__xludf.DUMMYFUNCTION("""COMPUTED_VALUE"""),"Algebraic identity for (a-b)^2")</f>
        <v>Algebraic identity for (a-b)^2</v>
      </c>
      <c r="AK46" s="83"/>
      <c r="AL46" s="83"/>
      <c r="AM46" s="83"/>
      <c r="AN46" s="83"/>
      <c r="AO46" s="83"/>
      <c r="AP46" s="83"/>
      <c r="AQ46" s="83"/>
      <c r="AR46" s="83"/>
      <c r="AS46" s="83"/>
      <c r="AT46" s="83"/>
    </row>
    <row r="47" spans="1:46" ht="27.6">
      <c r="A47" s="8" t="s">
        <v>247</v>
      </c>
      <c r="B47" s="82" t="s">
        <v>47</v>
      </c>
      <c r="C47" s="82" t="s">
        <v>1172</v>
      </c>
      <c r="D47" s="83" t="s">
        <v>732</v>
      </c>
      <c r="E47" s="82" t="s">
        <v>1061</v>
      </c>
      <c r="F47" s="82" t="s">
        <v>1294</v>
      </c>
      <c r="G47" s="90" t="s">
        <v>1295</v>
      </c>
      <c r="H47" s="91" t="s">
        <v>1296</v>
      </c>
      <c r="I47" s="68" t="str">
        <f t="shared" si="0"/>
        <v>LU001495.001</v>
      </c>
      <c r="J47" s="69" t="str">
        <f ca="1">IFERROR(__xludf.DUMMYFUNCTION("VLOOKUP(I47, IMPORTRANGE(""https://docs.google.com/spreadsheets/d/1yDAaXNsi4Mr5FtRQL4tbmSdIzhx6_m4wkOD7IG-k_eo/edit#gid=0"", ""Maths!M:N""), 2, FALSE)"),"(LU001495.001); Default - Remember")</f>
        <v>(LU001495.001); Default - Remember</v>
      </c>
      <c r="K47" s="69" t="str">
        <f t="shared" si="1"/>
        <v>LU001495.002</v>
      </c>
      <c r="L47" s="69" t="str">
        <f ca="1">IFERROR(__xludf.DUMMYFUNCTION("VLOOKUP(K47, IMPORTRANGE(""https://docs.google.com/spreadsheets/d/1yDAaXNsi4Mr5FtRQL4tbmSdIzhx6_m4wkOD7IG-k_eo/edit#gid=0"", ""Maths!M:N""), 2, FALSE)"),"(LU001495.002); Default - Understand")</f>
        <v>(LU001495.002); Default - Understand</v>
      </c>
      <c r="M47" s="69" t="str">
        <f t="shared" si="2"/>
        <v>LU001495.003</v>
      </c>
      <c r="N47" s="69" t="str">
        <f ca="1">IFERROR(__xludf.DUMMYFUNCTION("VLOOKUP(M47, IMPORTRANGE(""https://docs.google.com/spreadsheets/d/1yDAaXNsi4Mr5FtRQL4tbmSdIzhx6_m4wkOD7IG-k_eo/edit#gid=0"", ""Maths!M:N""), 2, FALSE)"),"(LU001495.003); Default - Apply")</f>
        <v>(LU001495.003); Default - Apply</v>
      </c>
      <c r="O47" s="69" t="str">
        <f t="shared" si="3"/>
        <v>LU001495.004</v>
      </c>
      <c r="P47" s="69" t="str">
        <f ca="1">IFERROR(__xludf.DUMMYFUNCTION("VLOOKUP(O47, IMPORTRANGE(""https://docs.google.com/spreadsheets/d/1yDAaXNsi4Mr5FtRQL4tbmSdIzhx6_m4wkOD7IG-k_eo/edit#gid=0"", ""Maths!M:N""), 2, FALSE)"),"(LU001495.004); Default - Analyse")</f>
        <v>(LU001495.004); Default - Analyse</v>
      </c>
      <c r="Q47" s="69" t="str">
        <f t="shared" si="4"/>
        <v>LU001495.005</v>
      </c>
      <c r="R47" s="69" t="str">
        <f ca="1">IFERROR(__xludf.DUMMYFUNCTION("VLOOKUP(Q47, IMPORTRANGE(""https://docs.google.com/spreadsheets/d/1yDAaXNsi4Mr5FtRQL4tbmSdIzhx6_m4wkOD7IG-k_eo/edit#gid=0"", ""Maths!M:N""), 2, FALSE)"),"(LU001495.005); Default - Evaluate")</f>
        <v>(LU001495.005); Default - Evaluate</v>
      </c>
      <c r="S47" s="69" t="str">
        <f t="shared" si="5"/>
        <v>LU001495.006</v>
      </c>
      <c r="T47" s="69" t="str">
        <f ca="1">IFERROR(__xludf.DUMMYFUNCTION("VLOOKUP(S47, IMPORTRANGE(""https://docs.google.com/spreadsheets/d/1yDAaXNsi4Mr5FtRQL4tbmSdIzhx6_m4wkOD7IG-k_eo/edit#gid=0"", ""Maths!M:N""), 2, FALSE)"),"(LU001495.006); Default - Create")</f>
        <v>(LU001495.006); Default - Create</v>
      </c>
      <c r="U47" s="11" t="str">
        <f ca="1">IFERROR(__xludf.DUMMYFUNCTION("ArrayFormula(VLOOKUP(G47, IMPORTRANGE(""https://docs.google.com/spreadsheets/d/1p7R4vtkWt5VOBim4ltsDG9KTzSjrtKXsMtQGXPHyND0/edit#gid=795171502"", ""'Filter 30_05_2024'!A1:M2000""), {2, 3, 4, 5,6,7,8,9,10,11,12,13}, 0))"),"#N/A")</f>
        <v>#N/A</v>
      </c>
      <c r="V47" s="11" t="str">
        <f ca="1">IFERROR(__xludf.DUMMYFUNCTION("""COMPUTED_VALUE"""),"#N/A")</f>
        <v>#N/A</v>
      </c>
      <c r="W47" s="11" t="str">
        <f ca="1">IFERROR(__xludf.DUMMYFUNCTION("""COMPUTED_VALUE"""),"#N/A")</f>
        <v>#N/A</v>
      </c>
      <c r="X47" s="11" t="str">
        <f ca="1">IFERROR(__xludf.DUMMYFUNCTION("""COMPUTED_VALUE"""),"#N/A")</f>
        <v>#N/A</v>
      </c>
      <c r="Y47" s="11" t="str">
        <f ca="1">IFERROR(__xludf.DUMMYFUNCTION("""COMPUTED_VALUE"""),"#N/A")</f>
        <v>#N/A</v>
      </c>
      <c r="Z47" s="12" t="str">
        <f ca="1">IFERROR(__xludf.DUMMYFUNCTION("""COMPUTED_VALUE"""),"#N/A")</f>
        <v>#N/A</v>
      </c>
      <c r="AA47" s="12" t="str">
        <f ca="1">IFERROR(__xludf.DUMMYFUNCTION("""COMPUTED_VALUE"""),"#N/A")</f>
        <v>#N/A</v>
      </c>
      <c r="AB47" s="12" t="str">
        <f ca="1">IFERROR(__xludf.DUMMYFUNCTION("""COMPUTED_VALUE"""),"#N/A")</f>
        <v>#N/A</v>
      </c>
      <c r="AC47" s="11" t="str">
        <f ca="1">IFERROR(__xludf.DUMMYFUNCTION("""COMPUTED_VALUE"""),"#N/A")</f>
        <v>#N/A</v>
      </c>
      <c r="AD47" s="12" t="str">
        <f ca="1">IFERROR(__xludf.DUMMYFUNCTION("""COMPUTED_VALUE"""),"#N/A")</f>
        <v>#N/A</v>
      </c>
      <c r="AE47" s="12" t="str">
        <f ca="1">IFERROR(__xludf.DUMMYFUNCTION("""COMPUTED_VALUE"""),"#N/A")</f>
        <v>#N/A</v>
      </c>
      <c r="AF47" s="12" t="str">
        <f ca="1">IFERROR(__xludf.DUMMYFUNCTION("""COMPUTED_VALUE"""),"#N/A")</f>
        <v>#N/A</v>
      </c>
      <c r="AG47" s="86" t="str">
        <f ca="1">IFERROR(__xludf.DUMMYFUNCTION("ArrayFormula(VLOOKUP(G47, IMPORTRANGE(""https://docs.google.com/spreadsheets/d/1Co934fvtviyaRiMsrIlT05Jaq7iiYq07aLvRr35KA48/edit?gid=173865642#gid=173865642"", ""'G10_Maths_Pri_LU'!G2:V2000""), {3, 4, 5, 6, 7, 8, 9, 10, 11, 12, 13, 14, 15, 16}, 0))"),"LU000776")</f>
        <v>LU000776</v>
      </c>
      <c r="AH47" s="83" t="str">
        <f ca="1">IFERROR(__xludf.DUMMYFUNCTION("""COMPUTED_VALUE"""),"Coordinates of a point on a graph")</f>
        <v>Coordinates of a point on a graph</v>
      </c>
      <c r="AI47" s="83"/>
      <c r="AJ47" s="83"/>
      <c r="AK47" s="83"/>
      <c r="AL47" s="83"/>
      <c r="AM47" s="83"/>
      <c r="AN47" s="83"/>
      <c r="AO47" s="83" t="str">
        <f ca="1">IFERROR(__xludf.DUMMYFUNCTION("""COMPUTED_VALUE"""),"LU001480")</f>
        <v>LU001480</v>
      </c>
      <c r="AP47" s="83" t="str">
        <f ca="1">IFERROR(__xludf.DUMMYFUNCTION("""COMPUTED_VALUE"""),"Criteria for similarity of triangles: SSS")</f>
        <v>Criteria for similarity of triangles: SSS</v>
      </c>
      <c r="AQ47" s="83" t="str">
        <f ca="1">IFERROR(__xludf.DUMMYFUNCTION("""COMPUTED_VALUE"""),"LU000343")</f>
        <v>LU000343</v>
      </c>
      <c r="AR47" s="83" t="str">
        <f ca="1">IFERROR(__xludf.DUMMYFUNCTION("""COMPUTED_VALUE"""),"Calculate the ratio of two quantities")</f>
        <v>Calculate the ratio of two quantities</v>
      </c>
      <c r="AS47" s="83"/>
      <c r="AT47" s="83"/>
    </row>
    <row r="48" spans="1:46" ht="27.6">
      <c r="A48" s="8" t="s">
        <v>247</v>
      </c>
      <c r="B48" s="82" t="s">
        <v>47</v>
      </c>
      <c r="C48" s="82" t="s">
        <v>1172</v>
      </c>
      <c r="D48" s="83" t="s">
        <v>732</v>
      </c>
      <c r="E48" s="82" t="s">
        <v>1061</v>
      </c>
      <c r="F48" s="89" t="s">
        <v>1297</v>
      </c>
      <c r="G48" s="84" t="s">
        <v>1298</v>
      </c>
      <c r="H48" s="85" t="s">
        <v>1299</v>
      </c>
      <c r="I48" s="68" t="str">
        <f t="shared" si="0"/>
        <v>LU001496.001</v>
      </c>
      <c r="J48" s="69" t="str">
        <f ca="1">IFERROR(__xludf.DUMMYFUNCTION("VLOOKUP(I48, IMPORTRANGE(""https://docs.google.com/spreadsheets/d/1yDAaXNsi4Mr5FtRQL4tbmSdIzhx6_m4wkOD7IG-k_eo/edit#gid=0"", ""Maths!M:N""), 2, FALSE)"),"(LU001496.001); Default - Remember")</f>
        <v>(LU001496.001); Default - Remember</v>
      </c>
      <c r="K48" s="69" t="str">
        <f t="shared" si="1"/>
        <v>LU001496.002</v>
      </c>
      <c r="L48" s="69" t="str">
        <f ca="1">IFERROR(__xludf.DUMMYFUNCTION("VLOOKUP(K48, IMPORTRANGE(""https://docs.google.com/spreadsheets/d/1yDAaXNsi4Mr5FtRQL4tbmSdIzhx6_m4wkOD7IG-k_eo/edit#gid=0"", ""Maths!M:N""), 2, FALSE)"),"(LU001496.002); Default - Understand")</f>
        <v>(LU001496.002); Default - Understand</v>
      </c>
      <c r="M48" s="69" t="str">
        <f t="shared" si="2"/>
        <v>LU001496.003</v>
      </c>
      <c r="N48" s="69" t="str">
        <f ca="1">IFERROR(__xludf.DUMMYFUNCTION("VLOOKUP(M48, IMPORTRANGE(""https://docs.google.com/spreadsheets/d/1yDAaXNsi4Mr5FtRQL4tbmSdIzhx6_m4wkOD7IG-k_eo/edit#gid=0"", ""Maths!M:N""), 2, FALSE)"),"(LU001496.003); Default - Apply")</f>
        <v>(LU001496.003); Default - Apply</v>
      </c>
      <c r="O48" s="69" t="str">
        <f t="shared" si="3"/>
        <v>LU001496.004</v>
      </c>
      <c r="P48" s="69" t="str">
        <f ca="1">IFERROR(__xludf.DUMMYFUNCTION("VLOOKUP(O48, IMPORTRANGE(""https://docs.google.com/spreadsheets/d/1yDAaXNsi4Mr5FtRQL4tbmSdIzhx6_m4wkOD7IG-k_eo/edit#gid=0"", ""Maths!M:N""), 2, FALSE)"),"(LU001496.004); Default - Analyse")</f>
        <v>(LU001496.004); Default - Analyse</v>
      </c>
      <c r="Q48" s="69" t="str">
        <f t="shared" si="4"/>
        <v>LU001496.005</v>
      </c>
      <c r="R48" s="69" t="str">
        <f ca="1">IFERROR(__xludf.DUMMYFUNCTION("VLOOKUP(Q48, IMPORTRANGE(""https://docs.google.com/spreadsheets/d/1yDAaXNsi4Mr5FtRQL4tbmSdIzhx6_m4wkOD7IG-k_eo/edit#gid=0"", ""Maths!M:N""), 2, FALSE)"),"(LU001496.005); Default - Evaluate")</f>
        <v>(LU001496.005); Default - Evaluate</v>
      </c>
      <c r="S48" s="69" t="str">
        <f t="shared" si="5"/>
        <v>LU001496.006</v>
      </c>
      <c r="T48" s="69" t="str">
        <f ca="1">IFERROR(__xludf.DUMMYFUNCTION("VLOOKUP(S48, IMPORTRANGE(""https://docs.google.com/spreadsheets/d/1yDAaXNsi4Mr5FtRQL4tbmSdIzhx6_m4wkOD7IG-k_eo/edit#gid=0"", ""Maths!M:N""), 2, FALSE)"),"(LU001496.006); Default - Create")</f>
        <v>(LU001496.006); Default - Create</v>
      </c>
      <c r="U48" s="11" t="str">
        <f ca="1">IFERROR(__xludf.DUMMYFUNCTION("ArrayFormula(VLOOKUP(G48, IMPORTRANGE(""https://docs.google.com/spreadsheets/d/1p7R4vtkWt5VOBim4ltsDG9KTzSjrtKXsMtQGXPHyND0/edit#gid=795171502"", ""'Filter 30_05_2024'!A1:M2000""), {2, 3, 4, 5,6,7,8,9,10,11,12,13}, 0))"),"#N/A")</f>
        <v>#N/A</v>
      </c>
      <c r="V48" s="11" t="str">
        <f ca="1">IFERROR(__xludf.DUMMYFUNCTION("""COMPUTED_VALUE"""),"#N/A")</f>
        <v>#N/A</v>
      </c>
      <c r="W48" s="11" t="str">
        <f ca="1">IFERROR(__xludf.DUMMYFUNCTION("""COMPUTED_VALUE"""),"#N/A")</f>
        <v>#N/A</v>
      </c>
      <c r="X48" s="11" t="str">
        <f ca="1">IFERROR(__xludf.DUMMYFUNCTION("""COMPUTED_VALUE"""),"#N/A")</f>
        <v>#N/A</v>
      </c>
      <c r="Y48" s="11" t="str">
        <f ca="1">IFERROR(__xludf.DUMMYFUNCTION("""COMPUTED_VALUE"""),"#N/A")</f>
        <v>#N/A</v>
      </c>
      <c r="Z48" s="12" t="str">
        <f ca="1">IFERROR(__xludf.DUMMYFUNCTION("""COMPUTED_VALUE"""),"#N/A")</f>
        <v>#N/A</v>
      </c>
      <c r="AA48" s="12" t="str">
        <f ca="1">IFERROR(__xludf.DUMMYFUNCTION("""COMPUTED_VALUE"""),"#N/A")</f>
        <v>#N/A</v>
      </c>
      <c r="AB48" s="12" t="str">
        <f ca="1">IFERROR(__xludf.DUMMYFUNCTION("""COMPUTED_VALUE"""),"#N/A")</f>
        <v>#N/A</v>
      </c>
      <c r="AC48" s="11" t="str">
        <f ca="1">IFERROR(__xludf.DUMMYFUNCTION("""COMPUTED_VALUE"""),"#N/A")</f>
        <v>#N/A</v>
      </c>
      <c r="AD48" s="12" t="str">
        <f ca="1">IFERROR(__xludf.DUMMYFUNCTION("""COMPUTED_VALUE"""),"#N/A")</f>
        <v>#N/A</v>
      </c>
      <c r="AE48" s="12" t="str">
        <f ca="1">IFERROR(__xludf.DUMMYFUNCTION("""COMPUTED_VALUE"""),"#N/A")</f>
        <v>#N/A</v>
      </c>
      <c r="AF48" s="12" t="str">
        <f ca="1">IFERROR(__xludf.DUMMYFUNCTION("""COMPUTED_VALUE"""),"#N/A")</f>
        <v>#N/A</v>
      </c>
      <c r="AG48" s="86" t="str">
        <f ca="1">IFERROR(__xludf.DUMMYFUNCTION("ArrayFormula(VLOOKUP(G48, IMPORTRANGE(""https://docs.google.com/spreadsheets/d/1Co934fvtviyaRiMsrIlT05Jaq7iiYq07aLvRr35KA48/edit?gid=173865642#gid=173865642"", ""'G10_Maths_Pri_LU'!G2:V2000""), {3, 4, 5, 6, 7, 8, 9, 10, 11, 12, 13, 14, 15, 16}, 0))"),"LU001495")</f>
        <v>LU001495</v>
      </c>
      <c r="AH48" s="83" t="str">
        <f ca="1">IFERROR(__xludf.DUMMYFUNCTION("""COMPUTED_VALUE"""),"Section formula for internal division in a 2D plane")</f>
        <v>Section formula for internal division in a 2D plane</v>
      </c>
      <c r="AI48" s="83"/>
      <c r="AJ48" s="83"/>
      <c r="AK48" s="83"/>
      <c r="AL48" s="83"/>
      <c r="AM48" s="83"/>
      <c r="AN48" s="83"/>
      <c r="AO48" s="83"/>
      <c r="AP48" s="83"/>
      <c r="AQ48" s="83"/>
      <c r="AR48" s="83"/>
      <c r="AS48" s="83"/>
      <c r="AT48" s="83"/>
    </row>
    <row r="49" spans="1:46" ht="27.6">
      <c r="A49" s="8" t="s">
        <v>247</v>
      </c>
      <c r="B49" s="82" t="s">
        <v>47</v>
      </c>
      <c r="C49" s="82" t="s">
        <v>1172</v>
      </c>
      <c r="D49" s="83" t="s">
        <v>732</v>
      </c>
      <c r="E49" s="82" t="s">
        <v>1061</v>
      </c>
      <c r="F49" s="89" t="s">
        <v>1297</v>
      </c>
      <c r="G49" s="90" t="s">
        <v>1300</v>
      </c>
      <c r="H49" s="91" t="s">
        <v>1301</v>
      </c>
      <c r="I49" s="68" t="str">
        <f t="shared" si="0"/>
        <v>LU001497.001</v>
      </c>
      <c r="J49" s="69" t="str">
        <f ca="1">IFERROR(__xludf.DUMMYFUNCTION("VLOOKUP(I49, IMPORTRANGE(""https://docs.google.com/spreadsheets/d/1yDAaXNsi4Mr5FtRQL4tbmSdIzhx6_m4wkOD7IG-k_eo/edit#gid=0"", ""Maths!M:N""), 2, FALSE)"),"(LU001497.001); Default - Remember")</f>
        <v>(LU001497.001); Default - Remember</v>
      </c>
      <c r="K49" s="69" t="str">
        <f t="shared" si="1"/>
        <v>LU001497.002</v>
      </c>
      <c r="L49" s="69" t="str">
        <f ca="1">IFERROR(__xludf.DUMMYFUNCTION("VLOOKUP(K49, IMPORTRANGE(""https://docs.google.com/spreadsheets/d/1yDAaXNsi4Mr5FtRQL4tbmSdIzhx6_m4wkOD7IG-k_eo/edit#gid=0"", ""Maths!M:N""), 2, FALSE)"),"(LU001497.002); Default - Understand")</f>
        <v>(LU001497.002); Default - Understand</v>
      </c>
      <c r="M49" s="69" t="str">
        <f t="shared" si="2"/>
        <v>LU001497.003</v>
      </c>
      <c r="N49" s="69" t="str">
        <f ca="1">IFERROR(__xludf.DUMMYFUNCTION("VLOOKUP(M49, IMPORTRANGE(""https://docs.google.com/spreadsheets/d/1yDAaXNsi4Mr5FtRQL4tbmSdIzhx6_m4wkOD7IG-k_eo/edit#gid=0"", ""Maths!M:N""), 2, FALSE)"),"(LU001497.003); Default - Apply")</f>
        <v>(LU001497.003); Default - Apply</v>
      </c>
      <c r="O49" s="69" t="str">
        <f t="shared" si="3"/>
        <v>LU001497.004</v>
      </c>
      <c r="P49" s="69" t="str">
        <f ca="1">IFERROR(__xludf.DUMMYFUNCTION("VLOOKUP(O49, IMPORTRANGE(""https://docs.google.com/spreadsheets/d/1yDAaXNsi4Mr5FtRQL4tbmSdIzhx6_m4wkOD7IG-k_eo/edit#gid=0"", ""Maths!M:N""), 2, FALSE)"),"(LU001497.004); Default - Analyse")</f>
        <v>(LU001497.004); Default - Analyse</v>
      </c>
      <c r="Q49" s="69" t="str">
        <f t="shared" si="4"/>
        <v>LU001497.005</v>
      </c>
      <c r="R49" s="69" t="str">
        <f ca="1">IFERROR(__xludf.DUMMYFUNCTION("VLOOKUP(Q49, IMPORTRANGE(""https://docs.google.com/spreadsheets/d/1yDAaXNsi4Mr5FtRQL4tbmSdIzhx6_m4wkOD7IG-k_eo/edit#gid=0"", ""Maths!M:N""), 2, FALSE)"),"(LU001497.005); Default - Evaluate")</f>
        <v>(LU001497.005); Default - Evaluate</v>
      </c>
      <c r="S49" s="69" t="str">
        <f t="shared" si="5"/>
        <v>LU001497.006</v>
      </c>
      <c r="T49" s="69" t="str">
        <f ca="1">IFERROR(__xludf.DUMMYFUNCTION("VLOOKUP(S49, IMPORTRANGE(""https://docs.google.com/spreadsheets/d/1yDAaXNsi4Mr5FtRQL4tbmSdIzhx6_m4wkOD7IG-k_eo/edit#gid=0"", ""Maths!M:N""), 2, FALSE)"),"(LU001497.006); Default - Create")</f>
        <v>(LU001497.006); Default - Create</v>
      </c>
      <c r="U49" s="11" t="str">
        <f ca="1">IFERROR(__xludf.DUMMYFUNCTION("ArrayFormula(VLOOKUP(G49, IMPORTRANGE(""https://docs.google.com/spreadsheets/d/1p7R4vtkWt5VOBim4ltsDG9KTzSjrtKXsMtQGXPHyND0/edit#gid=795171502"", ""'Filter 30_05_2024'!A1:M2000""), {2, 3, 4, 5,6,7,8,9,10,11,12,13}, 0))"),"#N/A")</f>
        <v>#N/A</v>
      </c>
      <c r="V49" s="11" t="str">
        <f ca="1">IFERROR(__xludf.DUMMYFUNCTION("""COMPUTED_VALUE"""),"#N/A")</f>
        <v>#N/A</v>
      </c>
      <c r="W49" s="11" t="str">
        <f ca="1">IFERROR(__xludf.DUMMYFUNCTION("""COMPUTED_VALUE"""),"#N/A")</f>
        <v>#N/A</v>
      </c>
      <c r="X49" s="11" t="str">
        <f ca="1">IFERROR(__xludf.DUMMYFUNCTION("""COMPUTED_VALUE"""),"#N/A")</f>
        <v>#N/A</v>
      </c>
      <c r="Y49" s="11" t="str">
        <f ca="1">IFERROR(__xludf.DUMMYFUNCTION("""COMPUTED_VALUE"""),"#N/A")</f>
        <v>#N/A</v>
      </c>
      <c r="Z49" s="12" t="str">
        <f ca="1">IFERROR(__xludf.DUMMYFUNCTION("""COMPUTED_VALUE"""),"#N/A")</f>
        <v>#N/A</v>
      </c>
      <c r="AA49" s="12" t="str">
        <f ca="1">IFERROR(__xludf.DUMMYFUNCTION("""COMPUTED_VALUE"""),"#N/A")</f>
        <v>#N/A</v>
      </c>
      <c r="AB49" s="12" t="str">
        <f ca="1">IFERROR(__xludf.DUMMYFUNCTION("""COMPUTED_VALUE"""),"#N/A")</f>
        <v>#N/A</v>
      </c>
      <c r="AC49" s="11" t="str">
        <f ca="1">IFERROR(__xludf.DUMMYFUNCTION("""COMPUTED_VALUE"""),"#N/A")</f>
        <v>#N/A</v>
      </c>
      <c r="AD49" s="12" t="str">
        <f ca="1">IFERROR(__xludf.DUMMYFUNCTION("""COMPUTED_VALUE"""),"#N/A")</f>
        <v>#N/A</v>
      </c>
      <c r="AE49" s="12" t="str">
        <f ca="1">IFERROR(__xludf.DUMMYFUNCTION("""COMPUTED_VALUE"""),"#N/A")</f>
        <v>#N/A</v>
      </c>
      <c r="AF49" s="12" t="str">
        <f ca="1">IFERROR(__xludf.DUMMYFUNCTION("""COMPUTED_VALUE"""),"#N/A")</f>
        <v>#N/A</v>
      </c>
      <c r="AG49" s="86" t="str">
        <f ca="1">IFERROR(__xludf.DUMMYFUNCTION("ArrayFormula(VLOOKUP(G49, IMPORTRANGE(""https://docs.google.com/spreadsheets/d/1Co934fvtviyaRiMsrIlT05Jaq7iiYq07aLvRr35KA48/edit?gid=173865642#gid=173865642"", ""'G10_Maths_Pri_LU'!G2:V2000""), {3, 4, 5, 6, 7, 8, 9, 10, 11, 12, 13, 14, 15, 16}, 0))"),"LU001495")</f>
        <v>LU001495</v>
      </c>
      <c r="AH49" s="83" t="str">
        <f ca="1">IFERROR(__xludf.DUMMYFUNCTION("""COMPUTED_VALUE"""),"Section formula for internal division in a 2D plane")</f>
        <v>Section formula for internal division in a 2D plane</v>
      </c>
      <c r="AI49" s="83" t="str">
        <f ca="1">IFERROR(__xludf.DUMMYFUNCTION("""COMPUTED_VALUE"""),"LU001496")</f>
        <v>LU001496</v>
      </c>
      <c r="AJ49" s="83" t="str">
        <f ca="1">IFERROR(__xludf.DUMMYFUNCTION("""COMPUTED_VALUE"""),"Midpoint of a line segment joining two given points in a 2D plane")</f>
        <v>Midpoint of a line segment joining two given points in a 2D plane</v>
      </c>
      <c r="AK49" s="83"/>
      <c r="AL49" s="83"/>
      <c r="AM49" s="83"/>
      <c r="AN49" s="83"/>
      <c r="AO49" s="83"/>
      <c r="AP49" s="83"/>
      <c r="AQ49" s="83"/>
      <c r="AR49" s="83"/>
      <c r="AS49" s="83"/>
      <c r="AT49" s="83"/>
    </row>
    <row r="50" spans="1:46" ht="15.75" customHeight="1">
      <c r="A50" s="8" t="s">
        <v>247</v>
      </c>
      <c r="B50" s="82" t="s">
        <v>47</v>
      </c>
      <c r="C50" s="82" t="s">
        <v>1172</v>
      </c>
      <c r="D50" s="83" t="s">
        <v>732</v>
      </c>
      <c r="E50" s="82" t="s">
        <v>1302</v>
      </c>
      <c r="F50" s="95" t="s">
        <v>1303</v>
      </c>
      <c r="G50" s="98" t="s">
        <v>1304</v>
      </c>
      <c r="H50" s="95" t="s">
        <v>1305</v>
      </c>
      <c r="I50" s="68" t="str">
        <f t="shared" si="0"/>
        <v>LU001572.001</v>
      </c>
      <c r="J50" s="69" t="str">
        <f ca="1">IFERROR(__xludf.DUMMYFUNCTION("VLOOKUP(I50, IMPORTRANGE(""https://docs.google.com/spreadsheets/d/1yDAaXNsi4Mr5FtRQL4tbmSdIzhx6_m4wkOD7IG-k_eo/edit#gid=0"", ""Maths!M:N""), 2, FALSE)"),"(LU001572.001); Default - Remember")</f>
        <v>(LU001572.001); Default - Remember</v>
      </c>
      <c r="K50" s="69" t="str">
        <f t="shared" si="1"/>
        <v>LU001572.002</v>
      </c>
      <c r="L50" s="69" t="str">
        <f ca="1">IFERROR(__xludf.DUMMYFUNCTION("VLOOKUP(K50, IMPORTRANGE(""https://docs.google.com/spreadsheets/d/1yDAaXNsi4Mr5FtRQL4tbmSdIzhx6_m4wkOD7IG-k_eo/edit#gid=0"", ""Maths!M:N""), 2, FALSE)"),"(LU001572.002); Default - Understand")</f>
        <v>(LU001572.002); Default - Understand</v>
      </c>
      <c r="M50" s="69" t="str">
        <f t="shared" si="2"/>
        <v>LU001572.003</v>
      </c>
      <c r="N50" s="69" t="str">
        <f ca="1">IFERROR(__xludf.DUMMYFUNCTION("VLOOKUP(M50, IMPORTRANGE(""https://docs.google.com/spreadsheets/d/1yDAaXNsi4Mr5FtRQL4tbmSdIzhx6_m4wkOD7IG-k_eo/edit#gid=0"", ""Maths!M:N""), 2, FALSE)"),"(LU001572.003); Default - Apply")</f>
        <v>(LU001572.003); Default - Apply</v>
      </c>
      <c r="O50" s="69" t="str">
        <f t="shared" si="3"/>
        <v>LU001572.004</v>
      </c>
      <c r="P50" s="69" t="str">
        <f ca="1">IFERROR(__xludf.DUMMYFUNCTION("VLOOKUP(O50, IMPORTRANGE(""https://docs.google.com/spreadsheets/d/1yDAaXNsi4Mr5FtRQL4tbmSdIzhx6_m4wkOD7IG-k_eo/edit#gid=0"", ""Maths!M:N""), 2, FALSE)"),"(LU001572.004); Default - Analyse")</f>
        <v>(LU001572.004); Default - Analyse</v>
      </c>
      <c r="Q50" s="69" t="str">
        <f t="shared" si="4"/>
        <v>LU001572.005</v>
      </c>
      <c r="R50" s="69" t="str">
        <f ca="1">IFERROR(__xludf.DUMMYFUNCTION("VLOOKUP(Q50, IMPORTRANGE(""https://docs.google.com/spreadsheets/d/1yDAaXNsi4Mr5FtRQL4tbmSdIzhx6_m4wkOD7IG-k_eo/edit#gid=0"", ""Maths!M:N""), 2, FALSE)"),"(LU001572.005); Default - Evaluate")</f>
        <v>(LU001572.005); Default - Evaluate</v>
      </c>
      <c r="S50" s="69" t="str">
        <f t="shared" si="5"/>
        <v>LU001572.006</v>
      </c>
      <c r="T50" s="69" t="str">
        <f ca="1">IFERROR(__xludf.DUMMYFUNCTION("VLOOKUP(S50, IMPORTRANGE(""https://docs.google.com/spreadsheets/d/1yDAaXNsi4Mr5FtRQL4tbmSdIzhx6_m4wkOD7IG-k_eo/edit#gid=0"", ""Maths!M:N""), 2, FALSE)"),"(LU001572.006); Default - Create")</f>
        <v>(LU001572.006); Default - Create</v>
      </c>
      <c r="U50" s="11" t="str">
        <f ca="1">IFERROR(__xludf.DUMMYFUNCTION("ArrayFormula(VLOOKUP(G50, IMPORTRANGE(""https://docs.google.com/spreadsheets/d/1p7R4vtkWt5VOBim4ltsDG9KTzSjrtKXsMtQGXPHyND0/edit#gid=795171502"", ""'Filter 30_05_2024'!A1:M2000""), {2, 3, 4, 5,6,7,8,9,10,11,12,13}, 0))"),"#N/A")</f>
        <v>#N/A</v>
      </c>
      <c r="V50" s="11" t="str">
        <f ca="1">IFERROR(__xludf.DUMMYFUNCTION("""COMPUTED_VALUE"""),"#N/A")</f>
        <v>#N/A</v>
      </c>
      <c r="W50" s="11" t="str">
        <f ca="1">IFERROR(__xludf.DUMMYFUNCTION("""COMPUTED_VALUE"""),"#N/A")</f>
        <v>#N/A</v>
      </c>
      <c r="X50" s="11" t="str">
        <f ca="1">IFERROR(__xludf.DUMMYFUNCTION("""COMPUTED_VALUE"""),"#N/A")</f>
        <v>#N/A</v>
      </c>
      <c r="Y50" s="11" t="str">
        <f ca="1">IFERROR(__xludf.DUMMYFUNCTION("""COMPUTED_VALUE"""),"#N/A")</f>
        <v>#N/A</v>
      </c>
      <c r="Z50" s="12" t="str">
        <f ca="1">IFERROR(__xludf.DUMMYFUNCTION("""COMPUTED_VALUE"""),"#N/A")</f>
        <v>#N/A</v>
      </c>
      <c r="AA50" s="12" t="str">
        <f ca="1">IFERROR(__xludf.DUMMYFUNCTION("""COMPUTED_VALUE"""),"#N/A")</f>
        <v>#N/A</v>
      </c>
      <c r="AB50" s="12" t="str">
        <f ca="1">IFERROR(__xludf.DUMMYFUNCTION("""COMPUTED_VALUE"""),"#N/A")</f>
        <v>#N/A</v>
      </c>
      <c r="AC50" s="11" t="str">
        <f ca="1">IFERROR(__xludf.DUMMYFUNCTION("""COMPUTED_VALUE"""),"#N/A")</f>
        <v>#N/A</v>
      </c>
      <c r="AD50" s="12" t="str">
        <f ca="1">IFERROR(__xludf.DUMMYFUNCTION("""COMPUTED_VALUE"""),"#N/A")</f>
        <v>#N/A</v>
      </c>
      <c r="AE50" s="12" t="str">
        <f ca="1">IFERROR(__xludf.DUMMYFUNCTION("""COMPUTED_VALUE"""),"#N/A")</f>
        <v>#N/A</v>
      </c>
      <c r="AF50" s="12" t="str">
        <f ca="1">IFERROR(__xludf.DUMMYFUNCTION("""COMPUTED_VALUE"""),"#N/A")</f>
        <v>#N/A</v>
      </c>
      <c r="AG50" s="86" t="str">
        <f ca="1">IFERROR(__xludf.DUMMYFUNCTION("ArrayFormula(VLOOKUP(G50, IMPORTRANGE(""https://docs.google.com/spreadsheets/d/1Co934fvtviyaRiMsrIlT05Jaq7iiYq07aLvRr35KA48/edit?gid=173865642#gid=173865642"", ""'G10_Maths_Pri_LU'!G2:V2000""), {3, 4, 5, 6, 7, 8, 9, 10, 11, 12, 13, 14, 15, 16}, 0))"),"LU001502")</f>
        <v>LU001502</v>
      </c>
      <c r="AH50" s="83" t="str">
        <f ca="1">IFERROR(__xludf.DUMMYFUNCTION("""COMPUTED_VALUE"""),"Trigonometric ratios of an acute angle: Sine")</f>
        <v>Trigonometric ratios of an acute angle: Sine</v>
      </c>
      <c r="AI50" s="83" t="str">
        <f ca="1">IFERROR(__xludf.DUMMYFUNCTION("""COMPUTED_VALUE"""),"LU001503")</f>
        <v>LU001503</v>
      </c>
      <c r="AJ50" s="83" t="str">
        <f ca="1">IFERROR(__xludf.DUMMYFUNCTION("""COMPUTED_VALUE"""),"Trigonometric ratios of an acute angle: Cosine")</f>
        <v>Trigonometric ratios of an acute angle: Cosine</v>
      </c>
      <c r="AK50" s="83" t="str">
        <f ca="1">IFERROR(__xludf.DUMMYFUNCTION("""COMPUTED_VALUE"""),"LU001504")</f>
        <v>LU001504</v>
      </c>
      <c r="AL50" s="83" t="str">
        <f ca="1">IFERROR(__xludf.DUMMYFUNCTION("""COMPUTED_VALUE"""),"Trigonometric ratios of an acute angle: Tangent")</f>
        <v>Trigonometric ratios of an acute angle: Tangent</v>
      </c>
      <c r="AM50" s="83" t="str">
        <f ca="1">IFERROR(__xludf.DUMMYFUNCTION("""COMPUTED_VALUE"""),"LU000434")</f>
        <v>LU000434</v>
      </c>
      <c r="AN50" s="83" t="str">
        <f ca="1">IFERROR(__xludf.DUMMYFUNCTION("""COMPUTED_VALUE"""),"Pythagoras property")</f>
        <v>Pythagoras property</v>
      </c>
      <c r="AO50" s="83" t="str">
        <f ca="1">IFERROR(__xludf.DUMMYFUNCTION("""COMPUTED_VALUE"""),"LU000342")</f>
        <v>LU000342</v>
      </c>
      <c r="AP50" s="83" t="str">
        <f ca="1">IFERROR(__xludf.DUMMYFUNCTION("""COMPUTED_VALUE"""),"Definition of ratio")</f>
        <v>Definition of ratio</v>
      </c>
      <c r="AQ50" s="83" t="str">
        <f ca="1">IFERROR(__xludf.DUMMYFUNCTION("""COMPUTED_VALUE"""),"LU000262")</f>
        <v>LU000262</v>
      </c>
      <c r="AR50" s="83" t="str">
        <f ca="1">IFERROR(__xludf.DUMMYFUNCTION("""COMPUTED_VALUE"""),"Definition of a right triangle")</f>
        <v>Definition of a right triangle</v>
      </c>
      <c r="AS50" s="83"/>
      <c r="AT50" s="83"/>
    </row>
    <row r="51" spans="1:46" ht="15.75" customHeight="1">
      <c r="A51" s="8" t="s">
        <v>247</v>
      </c>
      <c r="B51" s="82" t="s">
        <v>47</v>
      </c>
      <c r="C51" s="82" t="s">
        <v>1172</v>
      </c>
      <c r="D51" s="83" t="s">
        <v>732</v>
      </c>
      <c r="E51" s="82" t="s">
        <v>1302</v>
      </c>
      <c r="F51" s="95" t="s">
        <v>1306</v>
      </c>
      <c r="G51" s="98" t="s">
        <v>1307</v>
      </c>
      <c r="H51" s="95" t="s">
        <v>1308</v>
      </c>
      <c r="I51" s="68" t="str">
        <f t="shared" si="0"/>
        <v>LU001573.001</v>
      </c>
      <c r="J51" s="69" t="str">
        <f ca="1">IFERROR(__xludf.DUMMYFUNCTION("VLOOKUP(I51, IMPORTRANGE(""https://docs.google.com/spreadsheets/d/1yDAaXNsi4Mr5FtRQL4tbmSdIzhx6_m4wkOD7IG-k_eo/edit#gid=0"", ""Maths!M:N""), 2, FALSE)"),"(LU001573.001); Default - Remember")</f>
        <v>(LU001573.001); Default - Remember</v>
      </c>
      <c r="K51" s="69" t="str">
        <f t="shared" si="1"/>
        <v>LU001573.002</v>
      </c>
      <c r="L51" s="69" t="str">
        <f ca="1">IFERROR(__xludf.DUMMYFUNCTION("VLOOKUP(K51, IMPORTRANGE(""https://docs.google.com/spreadsheets/d/1yDAaXNsi4Mr5FtRQL4tbmSdIzhx6_m4wkOD7IG-k_eo/edit#gid=0"", ""Maths!M:N""), 2, FALSE)"),"(LU001573.002); Default - Understand")</f>
        <v>(LU001573.002); Default - Understand</v>
      </c>
      <c r="M51" s="69" t="str">
        <f t="shared" si="2"/>
        <v>LU001573.003</v>
      </c>
      <c r="N51" s="69" t="str">
        <f ca="1">IFERROR(__xludf.DUMMYFUNCTION("VLOOKUP(M51, IMPORTRANGE(""https://docs.google.com/spreadsheets/d/1yDAaXNsi4Mr5FtRQL4tbmSdIzhx6_m4wkOD7IG-k_eo/edit#gid=0"", ""Maths!M:N""), 2, FALSE)"),"(LU001573.003); Default - Apply")</f>
        <v>(LU001573.003); Default - Apply</v>
      </c>
      <c r="O51" s="69" t="str">
        <f t="shared" si="3"/>
        <v>LU001573.004</v>
      </c>
      <c r="P51" s="69" t="str">
        <f ca="1">IFERROR(__xludf.DUMMYFUNCTION("VLOOKUP(O51, IMPORTRANGE(""https://docs.google.com/spreadsheets/d/1yDAaXNsi4Mr5FtRQL4tbmSdIzhx6_m4wkOD7IG-k_eo/edit#gid=0"", ""Maths!M:N""), 2, FALSE)"),"(LU001573.004); Default - Analyse")</f>
        <v>(LU001573.004); Default - Analyse</v>
      </c>
      <c r="Q51" s="69" t="str">
        <f t="shared" si="4"/>
        <v>LU001573.005</v>
      </c>
      <c r="R51" s="69" t="str">
        <f ca="1">IFERROR(__xludf.DUMMYFUNCTION("VLOOKUP(Q51, IMPORTRANGE(""https://docs.google.com/spreadsheets/d/1yDAaXNsi4Mr5FtRQL4tbmSdIzhx6_m4wkOD7IG-k_eo/edit#gid=0"", ""Maths!M:N""), 2, FALSE)"),"(LU001573.005); Default - Evaluate")</f>
        <v>(LU001573.005); Default - Evaluate</v>
      </c>
      <c r="S51" s="69" t="str">
        <f t="shared" si="5"/>
        <v>LU001573.006</v>
      </c>
      <c r="T51" s="69" t="str">
        <f ca="1">IFERROR(__xludf.DUMMYFUNCTION("VLOOKUP(S51, IMPORTRANGE(""https://docs.google.com/spreadsheets/d/1yDAaXNsi4Mr5FtRQL4tbmSdIzhx6_m4wkOD7IG-k_eo/edit#gid=0"", ""Maths!M:N""), 2, FALSE)"),"(LU001573.006); Default - Create")</f>
        <v>(LU001573.006); Default - Create</v>
      </c>
      <c r="U51" s="11" t="str">
        <f ca="1">IFERROR(__xludf.DUMMYFUNCTION("ArrayFormula(VLOOKUP(G51, IMPORTRANGE(""https://docs.google.com/spreadsheets/d/1p7R4vtkWt5VOBim4ltsDG9KTzSjrtKXsMtQGXPHyND0/edit#gid=795171502"", ""'Filter 30_05_2024'!A1:M2000""), {2, 3, 4, 5,6,7,8,9,10,11,12,13}, 0))"),"#N/A")</f>
        <v>#N/A</v>
      </c>
      <c r="V51" s="11" t="str">
        <f ca="1">IFERROR(__xludf.DUMMYFUNCTION("""COMPUTED_VALUE"""),"#N/A")</f>
        <v>#N/A</v>
      </c>
      <c r="W51" s="11" t="str">
        <f ca="1">IFERROR(__xludf.DUMMYFUNCTION("""COMPUTED_VALUE"""),"#N/A")</f>
        <v>#N/A</v>
      </c>
      <c r="X51" s="11" t="str">
        <f ca="1">IFERROR(__xludf.DUMMYFUNCTION("""COMPUTED_VALUE"""),"#N/A")</f>
        <v>#N/A</v>
      </c>
      <c r="Y51" s="11" t="str">
        <f ca="1">IFERROR(__xludf.DUMMYFUNCTION("""COMPUTED_VALUE"""),"#N/A")</f>
        <v>#N/A</v>
      </c>
      <c r="Z51" s="12" t="str">
        <f ca="1">IFERROR(__xludf.DUMMYFUNCTION("""COMPUTED_VALUE"""),"#N/A")</f>
        <v>#N/A</v>
      </c>
      <c r="AA51" s="12" t="str">
        <f ca="1">IFERROR(__xludf.DUMMYFUNCTION("""COMPUTED_VALUE"""),"#N/A")</f>
        <v>#N/A</v>
      </c>
      <c r="AB51" s="12" t="str">
        <f ca="1">IFERROR(__xludf.DUMMYFUNCTION("""COMPUTED_VALUE"""),"#N/A")</f>
        <v>#N/A</v>
      </c>
      <c r="AC51" s="11" t="str">
        <f ca="1">IFERROR(__xludf.DUMMYFUNCTION("""COMPUTED_VALUE"""),"#N/A")</f>
        <v>#N/A</v>
      </c>
      <c r="AD51" s="12" t="str">
        <f ca="1">IFERROR(__xludf.DUMMYFUNCTION("""COMPUTED_VALUE"""),"#N/A")</f>
        <v>#N/A</v>
      </c>
      <c r="AE51" s="12" t="str">
        <f ca="1">IFERROR(__xludf.DUMMYFUNCTION("""COMPUTED_VALUE"""),"#N/A")</f>
        <v>#N/A</v>
      </c>
      <c r="AF51" s="12" t="str">
        <f ca="1">IFERROR(__xludf.DUMMYFUNCTION("""COMPUTED_VALUE"""),"#N/A")</f>
        <v>#N/A</v>
      </c>
      <c r="AG51" s="86" t="str">
        <f ca="1">IFERROR(__xludf.DUMMYFUNCTION("ArrayFormula(VLOOKUP(G51, IMPORTRANGE(""https://docs.google.com/spreadsheets/d/1Co934fvtviyaRiMsrIlT05Jaq7iiYq07aLvRr35KA48/edit?gid=173865642#gid=173865642"", ""'G10_Maths_Pri_LU'!G2:V2000""), {3, 4, 5, 6, 7, 8, 9, 10, 11, 12, 13, 14, 15, 16}, 0))"),"LU001505")</f>
        <v>LU001505</v>
      </c>
      <c r="AH51" s="83" t="str">
        <f ca="1">IFERROR(__xludf.DUMMYFUNCTION("""COMPUTED_VALUE"""),"Trigonometric ratios of an acute angle: Cosecant")</f>
        <v>Trigonometric ratios of an acute angle: Cosecant</v>
      </c>
      <c r="AI51" s="83" t="str">
        <f ca="1">IFERROR(__xludf.DUMMYFUNCTION("""COMPUTED_VALUE"""),"LU001506")</f>
        <v>LU001506</v>
      </c>
      <c r="AJ51" s="83" t="str">
        <f ca="1">IFERROR(__xludf.DUMMYFUNCTION("""COMPUTED_VALUE"""),"Trigonometric ratios of an acute angle: Secant")</f>
        <v>Trigonometric ratios of an acute angle: Secant</v>
      </c>
      <c r="AK51" s="83" t="str">
        <f ca="1">IFERROR(__xludf.DUMMYFUNCTION("""COMPUTED_VALUE"""),"LU001507")</f>
        <v>LU001507</v>
      </c>
      <c r="AL51" s="83" t="str">
        <f ca="1">IFERROR(__xludf.DUMMYFUNCTION("""COMPUTED_VALUE"""),"Trigonometric ratios of an acute angle: Cotangent")</f>
        <v>Trigonometric ratios of an acute angle: Cotangent</v>
      </c>
      <c r="AM51" s="83" t="str">
        <f ca="1">IFERROR(__xludf.DUMMYFUNCTION("""COMPUTED_VALUE"""),"LU001572")</f>
        <v>LU001572</v>
      </c>
      <c r="AN51" s="83" t="str">
        <f ca="1">IFERROR(__xludf.DUMMYFUNCTION("""COMPUTED_VALUE"""),"Trigonometric ratios of an acute angle: Sine, Cosine, Tangent")</f>
        <v>Trigonometric ratios of an acute angle: Sine, Cosine, Tangent</v>
      </c>
      <c r="AO51" s="83" t="str">
        <f ca="1">IFERROR(__xludf.DUMMYFUNCTION("""COMPUTED_VALUE"""),"LU000434")</f>
        <v>LU000434</v>
      </c>
      <c r="AP51" s="83" t="str">
        <f ca="1">IFERROR(__xludf.DUMMYFUNCTION("""COMPUTED_VALUE"""),"Pythagoras property")</f>
        <v>Pythagoras property</v>
      </c>
      <c r="AQ51" s="83" t="str">
        <f ca="1">IFERROR(__xludf.DUMMYFUNCTION("""COMPUTED_VALUE"""),"LU000342")</f>
        <v>LU000342</v>
      </c>
      <c r="AR51" s="83" t="str">
        <f ca="1">IFERROR(__xludf.DUMMYFUNCTION("""COMPUTED_VALUE"""),"Definition of ratio")</f>
        <v>Definition of ratio</v>
      </c>
      <c r="AS51" s="83"/>
      <c r="AT51" s="83"/>
    </row>
    <row r="52" spans="1:46" ht="27.6">
      <c r="A52" s="8" t="s">
        <v>247</v>
      </c>
      <c r="B52" s="82" t="s">
        <v>47</v>
      </c>
      <c r="C52" s="82" t="s">
        <v>1172</v>
      </c>
      <c r="D52" s="83" t="s">
        <v>732</v>
      </c>
      <c r="E52" s="82" t="s">
        <v>1302</v>
      </c>
      <c r="F52" s="82" t="s">
        <v>1309</v>
      </c>
      <c r="G52" s="84" t="s">
        <v>1310</v>
      </c>
      <c r="H52" s="85" t="s">
        <v>1311</v>
      </c>
      <c r="I52" s="68" t="str">
        <f t="shared" si="0"/>
        <v>LU001508.001</v>
      </c>
      <c r="J52" s="69" t="str">
        <f ca="1">IFERROR(__xludf.DUMMYFUNCTION("VLOOKUP(I52, IMPORTRANGE(""https://docs.google.com/spreadsheets/d/1yDAaXNsi4Mr5FtRQL4tbmSdIzhx6_m4wkOD7IG-k_eo/edit#gid=0"", ""Maths!M:N""), 2, FALSE)"),"(LU001508.001); Default - Remember")</f>
        <v>(LU001508.001); Default - Remember</v>
      </c>
      <c r="K52" s="69" t="str">
        <f t="shared" si="1"/>
        <v>LU001508.002</v>
      </c>
      <c r="L52" s="69" t="str">
        <f ca="1">IFERROR(__xludf.DUMMYFUNCTION("VLOOKUP(K52, IMPORTRANGE(""https://docs.google.com/spreadsheets/d/1yDAaXNsi4Mr5FtRQL4tbmSdIzhx6_m4wkOD7IG-k_eo/edit#gid=0"", ""Maths!M:N""), 2, FALSE)"),"(LU001508.002); Default - Understand")</f>
        <v>(LU001508.002); Default - Understand</v>
      </c>
      <c r="M52" s="69" t="str">
        <f t="shared" si="2"/>
        <v>LU001508.003</v>
      </c>
      <c r="N52" s="69" t="str">
        <f ca="1">IFERROR(__xludf.DUMMYFUNCTION("VLOOKUP(M52, IMPORTRANGE(""https://docs.google.com/spreadsheets/d/1yDAaXNsi4Mr5FtRQL4tbmSdIzhx6_m4wkOD7IG-k_eo/edit#gid=0"", ""Maths!M:N""), 2, FALSE)"),"(LU001508.003); Default - Apply")</f>
        <v>(LU001508.003); Default - Apply</v>
      </c>
      <c r="O52" s="69" t="str">
        <f t="shared" si="3"/>
        <v>LU001508.004</v>
      </c>
      <c r="P52" s="69" t="str">
        <f ca="1">IFERROR(__xludf.DUMMYFUNCTION("VLOOKUP(O52, IMPORTRANGE(""https://docs.google.com/spreadsheets/d/1yDAaXNsi4Mr5FtRQL4tbmSdIzhx6_m4wkOD7IG-k_eo/edit#gid=0"", ""Maths!M:N""), 2, FALSE)"),"(LU001508.004); Default - Analyse")</f>
        <v>(LU001508.004); Default - Analyse</v>
      </c>
      <c r="Q52" s="69" t="str">
        <f t="shared" si="4"/>
        <v>LU001508.005</v>
      </c>
      <c r="R52" s="69" t="str">
        <f ca="1">IFERROR(__xludf.DUMMYFUNCTION("VLOOKUP(Q52, IMPORTRANGE(""https://docs.google.com/spreadsheets/d/1yDAaXNsi4Mr5FtRQL4tbmSdIzhx6_m4wkOD7IG-k_eo/edit#gid=0"", ""Maths!M:N""), 2, FALSE)"),"(LU001508.005); Default - Evaluate")</f>
        <v>(LU001508.005); Default - Evaluate</v>
      </c>
      <c r="S52" s="69" t="str">
        <f t="shared" si="5"/>
        <v>LU001508.006</v>
      </c>
      <c r="T52" s="69" t="str">
        <f ca="1">IFERROR(__xludf.DUMMYFUNCTION("VLOOKUP(S52, IMPORTRANGE(""https://docs.google.com/spreadsheets/d/1yDAaXNsi4Mr5FtRQL4tbmSdIzhx6_m4wkOD7IG-k_eo/edit#gid=0"", ""Maths!M:N""), 2, FALSE)"),"(LU001508.006); Default - Create")</f>
        <v>(LU001508.006); Default - Create</v>
      </c>
      <c r="U52" s="11" t="str">
        <f ca="1">IFERROR(__xludf.DUMMYFUNCTION("ArrayFormula(VLOOKUP(G52, IMPORTRANGE(""https://docs.google.com/spreadsheets/d/1p7R4vtkWt5VOBim4ltsDG9KTzSjrtKXsMtQGXPHyND0/edit#gid=795171502"", ""'Filter 30_05_2024'!A1:M2000""), {2, 3, 4, 5,6,7,8,9,10,11,12,13}, 0))"),"#N/A")</f>
        <v>#N/A</v>
      </c>
      <c r="V52" s="11" t="str">
        <f ca="1">IFERROR(__xludf.DUMMYFUNCTION("""COMPUTED_VALUE"""),"#N/A")</f>
        <v>#N/A</v>
      </c>
      <c r="W52" s="11" t="str">
        <f ca="1">IFERROR(__xludf.DUMMYFUNCTION("""COMPUTED_VALUE"""),"#N/A")</f>
        <v>#N/A</v>
      </c>
      <c r="X52" s="11" t="str">
        <f ca="1">IFERROR(__xludf.DUMMYFUNCTION("""COMPUTED_VALUE"""),"#N/A")</f>
        <v>#N/A</v>
      </c>
      <c r="Y52" s="11" t="str">
        <f ca="1">IFERROR(__xludf.DUMMYFUNCTION("""COMPUTED_VALUE"""),"#N/A")</f>
        <v>#N/A</v>
      </c>
      <c r="Z52" s="12" t="str">
        <f ca="1">IFERROR(__xludf.DUMMYFUNCTION("""COMPUTED_VALUE"""),"#N/A")</f>
        <v>#N/A</v>
      </c>
      <c r="AA52" s="12" t="str">
        <f ca="1">IFERROR(__xludf.DUMMYFUNCTION("""COMPUTED_VALUE"""),"#N/A")</f>
        <v>#N/A</v>
      </c>
      <c r="AB52" s="12" t="str">
        <f ca="1">IFERROR(__xludf.DUMMYFUNCTION("""COMPUTED_VALUE"""),"#N/A")</f>
        <v>#N/A</v>
      </c>
      <c r="AC52" s="11" t="str">
        <f ca="1">IFERROR(__xludf.DUMMYFUNCTION("""COMPUTED_VALUE"""),"#N/A")</f>
        <v>#N/A</v>
      </c>
      <c r="AD52" s="12" t="str">
        <f ca="1">IFERROR(__xludf.DUMMYFUNCTION("""COMPUTED_VALUE"""),"#N/A")</f>
        <v>#N/A</v>
      </c>
      <c r="AE52" s="12" t="str">
        <f ca="1">IFERROR(__xludf.DUMMYFUNCTION("""COMPUTED_VALUE"""),"#N/A")</f>
        <v>#N/A</v>
      </c>
      <c r="AF52" s="12" t="str">
        <f ca="1">IFERROR(__xludf.DUMMYFUNCTION("""COMPUTED_VALUE"""),"#N/A")</f>
        <v>#N/A</v>
      </c>
      <c r="AG52" s="86" t="str">
        <f ca="1">IFERROR(__xludf.DUMMYFUNCTION("ArrayFormula(VLOOKUP(G52, IMPORTRANGE(""https://docs.google.com/spreadsheets/d/1Co934fvtviyaRiMsrIlT05Jaq7iiYq07aLvRr35KA48/edit?gid=173865642#gid=173865642"", ""'G10_Maths_Pri_LU'!G2:V2000""), {3, 4, 5, 6, 7, 8, 9, 10, 11, 12, 13, 14, 15, 16}, 0))"),"LU001572")</f>
        <v>LU001572</v>
      </c>
      <c r="AH52" s="83" t="str">
        <f ca="1">IFERROR(__xludf.DUMMYFUNCTION("""COMPUTED_VALUE"""),"Trigonometric ratios of an acute angle: Sine, Cosine, Tangent")</f>
        <v>Trigonometric ratios of an acute angle: Sine, Cosine, Tangent</v>
      </c>
      <c r="AI52" s="83" t="str">
        <f ca="1">IFERROR(__xludf.DUMMYFUNCTION("""COMPUTED_VALUE"""),"LU001573")</f>
        <v>LU001573</v>
      </c>
      <c r="AJ52" s="83" t="str">
        <f ca="1">IFERROR(__xludf.DUMMYFUNCTION("""COMPUTED_VALUE"""),"Trigonometric ratios of an acute angle: Cosecant, Secant, Cotangent")</f>
        <v>Trigonometric ratios of an acute angle: Cosecant, Secant, Cotangent</v>
      </c>
      <c r="AK52" s="83" t="str">
        <f ca="1">IFERROR(__xludf.DUMMYFUNCTION("""COMPUTED_VALUE"""),"LU000434")</f>
        <v>LU000434</v>
      </c>
      <c r="AL52" s="83" t="str">
        <f ca="1">IFERROR(__xludf.DUMMYFUNCTION("""COMPUTED_VALUE"""),"Pythagoras property")</f>
        <v>Pythagoras property</v>
      </c>
      <c r="AM52" s="83" t="str">
        <f ca="1">IFERROR(__xludf.DUMMYFUNCTION("""COMPUTED_VALUE"""),"LU000263")</f>
        <v>LU000263</v>
      </c>
      <c r="AN52" s="83" t="str">
        <f ca="1">IFERROR(__xludf.DUMMYFUNCTION("""COMPUTED_VALUE"""),"Definition of an isosceles triangle")</f>
        <v>Definition of an isosceles triangle</v>
      </c>
      <c r="AO52" s="83"/>
      <c r="AP52" s="83"/>
      <c r="AQ52" s="83"/>
      <c r="AR52" s="83"/>
      <c r="AS52" s="83"/>
      <c r="AT52" s="83"/>
    </row>
    <row r="53" spans="1:46" ht="27.6">
      <c r="A53" s="8" t="s">
        <v>247</v>
      </c>
      <c r="B53" s="82" t="s">
        <v>47</v>
      </c>
      <c r="C53" s="82" t="s">
        <v>1172</v>
      </c>
      <c r="D53" s="83" t="s">
        <v>732</v>
      </c>
      <c r="E53" s="82" t="s">
        <v>1302</v>
      </c>
      <c r="F53" s="82" t="s">
        <v>1312</v>
      </c>
      <c r="G53" s="90" t="s">
        <v>1313</v>
      </c>
      <c r="H53" s="91" t="s">
        <v>1314</v>
      </c>
      <c r="I53" s="68" t="str">
        <f t="shared" si="0"/>
        <v>LU001509.001</v>
      </c>
      <c r="J53" s="69" t="str">
        <f ca="1">IFERROR(__xludf.DUMMYFUNCTION("VLOOKUP(I53, IMPORTRANGE(""https://docs.google.com/spreadsheets/d/1yDAaXNsi4Mr5FtRQL4tbmSdIzhx6_m4wkOD7IG-k_eo/edit#gid=0"", ""Maths!M:N""), 2, FALSE)"),"(LU001509.001); Default - Remember")</f>
        <v>(LU001509.001); Default - Remember</v>
      </c>
      <c r="K53" s="69" t="str">
        <f t="shared" si="1"/>
        <v>LU001509.002</v>
      </c>
      <c r="L53" s="69" t="str">
        <f ca="1">IFERROR(__xludf.DUMMYFUNCTION("VLOOKUP(K53, IMPORTRANGE(""https://docs.google.com/spreadsheets/d/1yDAaXNsi4Mr5FtRQL4tbmSdIzhx6_m4wkOD7IG-k_eo/edit#gid=0"", ""Maths!M:N""), 2, FALSE)"),"(LU001509.002); Default - Understand")</f>
        <v>(LU001509.002); Default - Understand</v>
      </c>
      <c r="M53" s="69" t="str">
        <f t="shared" si="2"/>
        <v>LU001509.003</v>
      </c>
      <c r="N53" s="69" t="str">
        <f ca="1">IFERROR(__xludf.DUMMYFUNCTION("VLOOKUP(M53, IMPORTRANGE(""https://docs.google.com/spreadsheets/d/1yDAaXNsi4Mr5FtRQL4tbmSdIzhx6_m4wkOD7IG-k_eo/edit#gid=0"", ""Maths!M:N""), 2, FALSE)"),"(LU001509.003); Default - Apply")</f>
        <v>(LU001509.003); Default - Apply</v>
      </c>
      <c r="O53" s="69" t="str">
        <f t="shared" si="3"/>
        <v>LU001509.004</v>
      </c>
      <c r="P53" s="69" t="str">
        <f ca="1">IFERROR(__xludf.DUMMYFUNCTION("VLOOKUP(O53, IMPORTRANGE(""https://docs.google.com/spreadsheets/d/1yDAaXNsi4Mr5FtRQL4tbmSdIzhx6_m4wkOD7IG-k_eo/edit#gid=0"", ""Maths!M:N""), 2, FALSE)"),"(LU001509.004); Default - Analyse")</f>
        <v>(LU001509.004); Default - Analyse</v>
      </c>
      <c r="Q53" s="69" t="str">
        <f t="shared" si="4"/>
        <v>LU001509.005</v>
      </c>
      <c r="R53" s="69" t="str">
        <f ca="1">IFERROR(__xludf.DUMMYFUNCTION("VLOOKUP(Q53, IMPORTRANGE(""https://docs.google.com/spreadsheets/d/1yDAaXNsi4Mr5FtRQL4tbmSdIzhx6_m4wkOD7IG-k_eo/edit#gid=0"", ""Maths!M:N""), 2, FALSE)"),"(LU001509.005); Default - Evaluate")</f>
        <v>(LU001509.005); Default - Evaluate</v>
      </c>
      <c r="S53" s="69" t="str">
        <f t="shared" si="5"/>
        <v>LU001509.006</v>
      </c>
      <c r="T53" s="69" t="str">
        <f ca="1">IFERROR(__xludf.DUMMYFUNCTION("VLOOKUP(S53, IMPORTRANGE(""https://docs.google.com/spreadsheets/d/1yDAaXNsi4Mr5FtRQL4tbmSdIzhx6_m4wkOD7IG-k_eo/edit#gid=0"", ""Maths!M:N""), 2, FALSE)"),"(LU001509.006); Default - Create")</f>
        <v>(LU001509.006); Default - Create</v>
      </c>
      <c r="U53" s="11" t="str">
        <f ca="1">IFERROR(__xludf.DUMMYFUNCTION("ArrayFormula(VLOOKUP(G53, IMPORTRANGE(""https://docs.google.com/spreadsheets/d/1p7R4vtkWt5VOBim4ltsDG9KTzSjrtKXsMtQGXPHyND0/edit#gid=795171502"", ""'Filter 30_05_2024'!A1:M2000""), {2, 3, 4, 5,6,7,8,9,10,11,12,13}, 0))"),"#N/A")</f>
        <v>#N/A</v>
      </c>
      <c r="V53" s="11" t="str">
        <f ca="1">IFERROR(__xludf.DUMMYFUNCTION("""COMPUTED_VALUE"""),"#N/A")</f>
        <v>#N/A</v>
      </c>
      <c r="W53" s="11" t="str">
        <f ca="1">IFERROR(__xludf.DUMMYFUNCTION("""COMPUTED_VALUE"""),"#N/A")</f>
        <v>#N/A</v>
      </c>
      <c r="X53" s="11" t="str">
        <f ca="1">IFERROR(__xludf.DUMMYFUNCTION("""COMPUTED_VALUE"""),"#N/A")</f>
        <v>#N/A</v>
      </c>
      <c r="Y53" s="11" t="str">
        <f ca="1">IFERROR(__xludf.DUMMYFUNCTION("""COMPUTED_VALUE"""),"#N/A")</f>
        <v>#N/A</v>
      </c>
      <c r="Z53" s="12" t="str">
        <f ca="1">IFERROR(__xludf.DUMMYFUNCTION("""COMPUTED_VALUE"""),"#N/A")</f>
        <v>#N/A</v>
      </c>
      <c r="AA53" s="12" t="str">
        <f ca="1">IFERROR(__xludf.DUMMYFUNCTION("""COMPUTED_VALUE"""),"#N/A")</f>
        <v>#N/A</v>
      </c>
      <c r="AB53" s="12" t="str">
        <f ca="1">IFERROR(__xludf.DUMMYFUNCTION("""COMPUTED_VALUE"""),"#N/A")</f>
        <v>#N/A</v>
      </c>
      <c r="AC53" s="11" t="str">
        <f ca="1">IFERROR(__xludf.DUMMYFUNCTION("""COMPUTED_VALUE"""),"#N/A")</f>
        <v>#N/A</v>
      </c>
      <c r="AD53" s="12" t="str">
        <f ca="1">IFERROR(__xludf.DUMMYFUNCTION("""COMPUTED_VALUE"""),"#N/A")</f>
        <v>#N/A</v>
      </c>
      <c r="AE53" s="12" t="str">
        <f ca="1">IFERROR(__xludf.DUMMYFUNCTION("""COMPUTED_VALUE"""),"#N/A")</f>
        <v>#N/A</v>
      </c>
      <c r="AF53" s="12" t="str">
        <f ca="1">IFERROR(__xludf.DUMMYFUNCTION("""COMPUTED_VALUE"""),"#N/A")</f>
        <v>#N/A</v>
      </c>
      <c r="AG53" s="86" t="str">
        <f ca="1">IFERROR(__xludf.DUMMYFUNCTION("ArrayFormula(VLOOKUP(G53, IMPORTRANGE(""https://docs.google.com/spreadsheets/d/1Co934fvtviyaRiMsrIlT05Jaq7iiYq07aLvRr35KA48/edit?gid=173865642#gid=173865642"", ""'G10_Maths_Pri_LU'!G2:V2000""), {3, 4, 5, 6, 7, 8, 9, 10, 11, 12, 13, 14, 15, 16}, 0))"),"LU001572")</f>
        <v>LU001572</v>
      </c>
      <c r="AH53" s="83" t="str">
        <f ca="1">IFERROR(__xludf.DUMMYFUNCTION("""COMPUTED_VALUE"""),"Trigonometric ratios of an acute angle: Sine, Cosine, Tangent")</f>
        <v>Trigonometric ratios of an acute angle: Sine, Cosine, Tangent</v>
      </c>
      <c r="AI53" s="83" t="str">
        <f ca="1">IFERROR(__xludf.DUMMYFUNCTION("""COMPUTED_VALUE"""),"LU001573")</f>
        <v>LU001573</v>
      </c>
      <c r="AJ53" s="83" t="str">
        <f ca="1">IFERROR(__xludf.DUMMYFUNCTION("""COMPUTED_VALUE"""),"Trigonometric ratios of an acute angle: Cosecant, Secant, Cotangent")</f>
        <v>Trigonometric ratios of an acute angle: Cosecant, Secant, Cotangent</v>
      </c>
      <c r="AK53" s="83" t="str">
        <f ca="1">IFERROR(__xludf.DUMMYFUNCTION("""COMPUTED_VALUE"""),"LU000434")</f>
        <v>LU000434</v>
      </c>
      <c r="AL53" s="83" t="str">
        <f ca="1">IFERROR(__xludf.DUMMYFUNCTION("""COMPUTED_VALUE"""),"Pythagoras property")</f>
        <v>Pythagoras property</v>
      </c>
      <c r="AM53" s="83" t="str">
        <f ca="1">IFERROR(__xludf.DUMMYFUNCTION("""COMPUTED_VALUE"""),"LU000841")</f>
        <v>LU000841</v>
      </c>
      <c r="AN53" s="83" t="str">
        <f ca="1">IFERROR(__xludf.DUMMYFUNCTION("""COMPUTED_VALUE"""),"Congruence of triangles by RHS criteria")</f>
        <v>Congruence of triangles by RHS criteria</v>
      </c>
      <c r="AO53" s="83"/>
      <c r="AP53" s="83"/>
      <c r="AQ53" s="83"/>
      <c r="AR53" s="83"/>
      <c r="AS53" s="83"/>
      <c r="AT53" s="83"/>
    </row>
    <row r="54" spans="1:46" ht="27.6">
      <c r="A54" s="8" t="s">
        <v>247</v>
      </c>
      <c r="B54" s="82" t="s">
        <v>47</v>
      </c>
      <c r="C54" s="82" t="s">
        <v>1172</v>
      </c>
      <c r="D54" s="83" t="s">
        <v>732</v>
      </c>
      <c r="E54" s="82" t="s">
        <v>1302</v>
      </c>
      <c r="F54" s="82" t="s">
        <v>1312</v>
      </c>
      <c r="G54" s="84" t="s">
        <v>1315</v>
      </c>
      <c r="H54" s="85" t="s">
        <v>1316</v>
      </c>
      <c r="I54" s="68" t="str">
        <f t="shared" si="0"/>
        <v>LU001510.001</v>
      </c>
      <c r="J54" s="69" t="str">
        <f ca="1">IFERROR(__xludf.DUMMYFUNCTION("VLOOKUP(I54, IMPORTRANGE(""https://docs.google.com/spreadsheets/d/1yDAaXNsi4Mr5FtRQL4tbmSdIzhx6_m4wkOD7IG-k_eo/edit#gid=0"", ""Maths!M:N""), 2, FALSE)"),"(LU001510.001); Default - Remember")</f>
        <v>(LU001510.001); Default - Remember</v>
      </c>
      <c r="K54" s="69" t="str">
        <f t="shared" si="1"/>
        <v>LU001510.002</v>
      </c>
      <c r="L54" s="69" t="str">
        <f ca="1">IFERROR(__xludf.DUMMYFUNCTION("VLOOKUP(K54, IMPORTRANGE(""https://docs.google.com/spreadsheets/d/1yDAaXNsi4Mr5FtRQL4tbmSdIzhx6_m4wkOD7IG-k_eo/edit#gid=0"", ""Maths!M:N""), 2, FALSE)"),"(LU001510.002); Default - Understand")</f>
        <v>(LU001510.002); Default - Understand</v>
      </c>
      <c r="M54" s="69" t="str">
        <f t="shared" si="2"/>
        <v>LU001510.003</v>
      </c>
      <c r="N54" s="69" t="str">
        <f ca="1">IFERROR(__xludf.DUMMYFUNCTION("VLOOKUP(M54, IMPORTRANGE(""https://docs.google.com/spreadsheets/d/1yDAaXNsi4Mr5FtRQL4tbmSdIzhx6_m4wkOD7IG-k_eo/edit#gid=0"", ""Maths!M:N""), 2, FALSE)"),"(LU001510.003); Default - Apply")</f>
        <v>(LU001510.003); Default - Apply</v>
      </c>
      <c r="O54" s="69" t="str">
        <f t="shared" si="3"/>
        <v>LU001510.004</v>
      </c>
      <c r="P54" s="69" t="str">
        <f ca="1">IFERROR(__xludf.DUMMYFUNCTION("VLOOKUP(O54, IMPORTRANGE(""https://docs.google.com/spreadsheets/d/1yDAaXNsi4Mr5FtRQL4tbmSdIzhx6_m4wkOD7IG-k_eo/edit#gid=0"", ""Maths!M:N""), 2, FALSE)"),"(LU001510.004); Default - Analyse")</f>
        <v>(LU001510.004); Default - Analyse</v>
      </c>
      <c r="Q54" s="69" t="str">
        <f t="shared" si="4"/>
        <v>LU001510.005</v>
      </c>
      <c r="R54" s="69" t="str">
        <f ca="1">IFERROR(__xludf.DUMMYFUNCTION("VLOOKUP(Q54, IMPORTRANGE(""https://docs.google.com/spreadsheets/d/1yDAaXNsi4Mr5FtRQL4tbmSdIzhx6_m4wkOD7IG-k_eo/edit#gid=0"", ""Maths!M:N""), 2, FALSE)"),"(LU001510.005); Default - Evaluate")</f>
        <v>(LU001510.005); Default - Evaluate</v>
      </c>
      <c r="S54" s="69" t="str">
        <f t="shared" si="5"/>
        <v>LU001510.006</v>
      </c>
      <c r="T54" s="69" t="str">
        <f ca="1">IFERROR(__xludf.DUMMYFUNCTION("VLOOKUP(S54, IMPORTRANGE(""https://docs.google.com/spreadsheets/d/1yDAaXNsi4Mr5FtRQL4tbmSdIzhx6_m4wkOD7IG-k_eo/edit#gid=0"", ""Maths!M:N""), 2, FALSE)"),"(LU001510.006); Default - Create")</f>
        <v>(LU001510.006); Default - Create</v>
      </c>
      <c r="U54" s="11" t="str">
        <f ca="1">IFERROR(__xludf.DUMMYFUNCTION("ArrayFormula(VLOOKUP(G54, IMPORTRANGE(""https://docs.google.com/spreadsheets/d/1p7R4vtkWt5VOBim4ltsDG9KTzSjrtKXsMtQGXPHyND0/edit#gid=795171502"", ""'Filter 30_05_2024'!A1:M2000""), {2, 3, 4, 5,6,7,8,9,10,11,12,13}, 0))"),"#N/A")</f>
        <v>#N/A</v>
      </c>
      <c r="V54" s="11" t="str">
        <f ca="1">IFERROR(__xludf.DUMMYFUNCTION("""COMPUTED_VALUE"""),"#N/A")</f>
        <v>#N/A</v>
      </c>
      <c r="W54" s="11" t="str">
        <f ca="1">IFERROR(__xludf.DUMMYFUNCTION("""COMPUTED_VALUE"""),"#N/A")</f>
        <v>#N/A</v>
      </c>
      <c r="X54" s="11" t="str">
        <f ca="1">IFERROR(__xludf.DUMMYFUNCTION("""COMPUTED_VALUE"""),"#N/A")</f>
        <v>#N/A</v>
      </c>
      <c r="Y54" s="11" t="str">
        <f ca="1">IFERROR(__xludf.DUMMYFUNCTION("""COMPUTED_VALUE"""),"#N/A")</f>
        <v>#N/A</v>
      </c>
      <c r="Z54" s="12" t="str">
        <f ca="1">IFERROR(__xludf.DUMMYFUNCTION("""COMPUTED_VALUE"""),"#N/A")</f>
        <v>#N/A</v>
      </c>
      <c r="AA54" s="12" t="str">
        <f ca="1">IFERROR(__xludf.DUMMYFUNCTION("""COMPUTED_VALUE"""),"#N/A")</f>
        <v>#N/A</v>
      </c>
      <c r="AB54" s="12" t="str">
        <f ca="1">IFERROR(__xludf.DUMMYFUNCTION("""COMPUTED_VALUE"""),"#N/A")</f>
        <v>#N/A</v>
      </c>
      <c r="AC54" s="11" t="str">
        <f ca="1">IFERROR(__xludf.DUMMYFUNCTION("""COMPUTED_VALUE"""),"#N/A")</f>
        <v>#N/A</v>
      </c>
      <c r="AD54" s="12" t="str">
        <f ca="1">IFERROR(__xludf.DUMMYFUNCTION("""COMPUTED_VALUE"""),"#N/A")</f>
        <v>#N/A</v>
      </c>
      <c r="AE54" s="12" t="str">
        <f ca="1">IFERROR(__xludf.DUMMYFUNCTION("""COMPUTED_VALUE"""),"#N/A")</f>
        <v>#N/A</v>
      </c>
      <c r="AF54" s="12" t="str">
        <f ca="1">IFERROR(__xludf.DUMMYFUNCTION("""COMPUTED_VALUE"""),"#N/A")</f>
        <v>#N/A</v>
      </c>
      <c r="AG54" s="86" t="str">
        <f ca="1">IFERROR(__xludf.DUMMYFUNCTION("ArrayFormula(VLOOKUP(G54, IMPORTRANGE(""https://docs.google.com/spreadsheets/d/1Co934fvtviyaRiMsrIlT05Jaq7iiYq07aLvRr35KA48/edit?gid=173865642#gid=173865642"", ""'G10_Maths_Pri_LU'!G2:V2000""), {3, 4, 5, 6, 7, 8, 9, 10, 11, 12, 13, 14, 15, 16}, 0))"),"LU001509")</f>
        <v>LU001509</v>
      </c>
      <c r="AH54" s="83" t="str">
        <f ca="1">IFERROR(__xludf.DUMMYFUNCTION("""COMPUTED_VALUE"""),"Values of trigonometric ratios for angles of 30°")</f>
        <v>Values of trigonometric ratios for angles of 30°</v>
      </c>
      <c r="AI54" s="83"/>
      <c r="AJ54" s="83"/>
      <c r="AK54" s="83"/>
      <c r="AL54" s="83"/>
      <c r="AM54" s="83"/>
      <c r="AN54" s="83"/>
      <c r="AO54" s="83"/>
      <c r="AP54" s="83"/>
      <c r="AQ54" s="83"/>
      <c r="AR54" s="83"/>
      <c r="AS54" s="83"/>
      <c r="AT54" s="83"/>
    </row>
    <row r="55" spans="1:46" ht="27.6">
      <c r="A55" s="8" t="s">
        <v>247</v>
      </c>
      <c r="B55" s="82" t="s">
        <v>47</v>
      </c>
      <c r="C55" s="82" t="s">
        <v>1172</v>
      </c>
      <c r="D55" s="83" t="s">
        <v>732</v>
      </c>
      <c r="E55" s="82" t="s">
        <v>1302</v>
      </c>
      <c r="F55" s="82" t="s">
        <v>1317</v>
      </c>
      <c r="G55" s="90" t="s">
        <v>1318</v>
      </c>
      <c r="H55" s="91" t="s">
        <v>1319</v>
      </c>
      <c r="I55" s="68" t="str">
        <f t="shared" si="0"/>
        <v>LU001511.001</v>
      </c>
      <c r="J55" s="69" t="str">
        <f ca="1">IFERROR(__xludf.DUMMYFUNCTION("VLOOKUP(I55, IMPORTRANGE(""https://docs.google.com/spreadsheets/d/1yDAaXNsi4Mr5FtRQL4tbmSdIzhx6_m4wkOD7IG-k_eo/edit#gid=0"", ""Maths!M:N""), 2, FALSE)"),"(LU001511.001); Default - Remember")</f>
        <v>(LU001511.001); Default - Remember</v>
      </c>
      <c r="K55" s="69" t="str">
        <f t="shared" si="1"/>
        <v>LU001511.002</v>
      </c>
      <c r="L55" s="69" t="str">
        <f ca="1">IFERROR(__xludf.DUMMYFUNCTION("VLOOKUP(K55, IMPORTRANGE(""https://docs.google.com/spreadsheets/d/1yDAaXNsi4Mr5FtRQL4tbmSdIzhx6_m4wkOD7IG-k_eo/edit#gid=0"", ""Maths!M:N""), 2, FALSE)"),"(LU001511.002); Default - Understand")</f>
        <v>(LU001511.002); Default - Understand</v>
      </c>
      <c r="M55" s="69" t="str">
        <f t="shared" si="2"/>
        <v>LU001511.003</v>
      </c>
      <c r="N55" s="69" t="str">
        <f ca="1">IFERROR(__xludf.DUMMYFUNCTION("VLOOKUP(M55, IMPORTRANGE(""https://docs.google.com/spreadsheets/d/1yDAaXNsi4Mr5FtRQL4tbmSdIzhx6_m4wkOD7IG-k_eo/edit#gid=0"", ""Maths!M:N""), 2, FALSE)"),"(LU001511.003); Default - Apply")</f>
        <v>(LU001511.003); Default - Apply</v>
      </c>
      <c r="O55" s="69" t="str">
        <f t="shared" si="3"/>
        <v>LU001511.004</v>
      </c>
      <c r="P55" s="69" t="str">
        <f ca="1">IFERROR(__xludf.DUMMYFUNCTION("VLOOKUP(O55, IMPORTRANGE(""https://docs.google.com/spreadsheets/d/1yDAaXNsi4Mr5FtRQL4tbmSdIzhx6_m4wkOD7IG-k_eo/edit#gid=0"", ""Maths!M:N""), 2, FALSE)"),"(LU001511.004); Default - Analyse")</f>
        <v>(LU001511.004); Default - Analyse</v>
      </c>
      <c r="Q55" s="69" t="str">
        <f t="shared" si="4"/>
        <v>LU001511.005</v>
      </c>
      <c r="R55" s="69" t="str">
        <f ca="1">IFERROR(__xludf.DUMMYFUNCTION("VLOOKUP(Q55, IMPORTRANGE(""https://docs.google.com/spreadsheets/d/1yDAaXNsi4Mr5FtRQL4tbmSdIzhx6_m4wkOD7IG-k_eo/edit#gid=0"", ""Maths!M:N""), 2, FALSE)"),"(LU001511.005); Default - Evaluate")</f>
        <v>(LU001511.005); Default - Evaluate</v>
      </c>
      <c r="S55" s="69" t="str">
        <f t="shared" si="5"/>
        <v>LU001511.006</v>
      </c>
      <c r="T55" s="69" t="str">
        <f ca="1">IFERROR(__xludf.DUMMYFUNCTION("VLOOKUP(S55, IMPORTRANGE(""https://docs.google.com/spreadsheets/d/1yDAaXNsi4Mr5FtRQL4tbmSdIzhx6_m4wkOD7IG-k_eo/edit#gid=0"", ""Maths!M:N""), 2, FALSE)"),"(LU001511.006); Default - Create")</f>
        <v>(LU001511.006); Default - Create</v>
      </c>
      <c r="U55" s="11" t="str">
        <f ca="1">IFERROR(__xludf.DUMMYFUNCTION("ArrayFormula(VLOOKUP(G55, IMPORTRANGE(""https://docs.google.com/spreadsheets/d/1p7R4vtkWt5VOBim4ltsDG9KTzSjrtKXsMtQGXPHyND0/edit#gid=795171502"", ""'Filter 30_05_2024'!A1:M2000""), {2, 3, 4, 5,6,7,8,9,10,11,12,13}, 0))"),"#N/A")</f>
        <v>#N/A</v>
      </c>
      <c r="V55" s="11" t="str">
        <f ca="1">IFERROR(__xludf.DUMMYFUNCTION("""COMPUTED_VALUE"""),"#N/A")</f>
        <v>#N/A</v>
      </c>
      <c r="W55" s="11" t="str">
        <f ca="1">IFERROR(__xludf.DUMMYFUNCTION("""COMPUTED_VALUE"""),"#N/A")</f>
        <v>#N/A</v>
      </c>
      <c r="X55" s="11" t="str">
        <f ca="1">IFERROR(__xludf.DUMMYFUNCTION("""COMPUTED_VALUE"""),"#N/A")</f>
        <v>#N/A</v>
      </c>
      <c r="Y55" s="11" t="str">
        <f ca="1">IFERROR(__xludf.DUMMYFUNCTION("""COMPUTED_VALUE"""),"#N/A")</f>
        <v>#N/A</v>
      </c>
      <c r="Z55" s="12" t="str">
        <f ca="1">IFERROR(__xludf.DUMMYFUNCTION("""COMPUTED_VALUE"""),"#N/A")</f>
        <v>#N/A</v>
      </c>
      <c r="AA55" s="12" t="str">
        <f ca="1">IFERROR(__xludf.DUMMYFUNCTION("""COMPUTED_VALUE"""),"#N/A")</f>
        <v>#N/A</v>
      </c>
      <c r="AB55" s="12" t="str">
        <f ca="1">IFERROR(__xludf.DUMMYFUNCTION("""COMPUTED_VALUE"""),"#N/A")</f>
        <v>#N/A</v>
      </c>
      <c r="AC55" s="11" t="str">
        <f ca="1">IFERROR(__xludf.DUMMYFUNCTION("""COMPUTED_VALUE"""),"#N/A")</f>
        <v>#N/A</v>
      </c>
      <c r="AD55" s="12" t="str">
        <f ca="1">IFERROR(__xludf.DUMMYFUNCTION("""COMPUTED_VALUE"""),"#N/A")</f>
        <v>#N/A</v>
      </c>
      <c r="AE55" s="12" t="str">
        <f ca="1">IFERROR(__xludf.DUMMYFUNCTION("""COMPUTED_VALUE"""),"#N/A")</f>
        <v>#N/A</v>
      </c>
      <c r="AF55" s="12" t="str">
        <f ca="1">IFERROR(__xludf.DUMMYFUNCTION("""COMPUTED_VALUE"""),"#N/A")</f>
        <v>#N/A</v>
      </c>
      <c r="AG55" s="86" t="str">
        <f ca="1">IFERROR(__xludf.DUMMYFUNCTION("ArrayFormula(VLOOKUP(G55, IMPORTRANGE(""https://docs.google.com/spreadsheets/d/1Co934fvtviyaRiMsrIlT05Jaq7iiYq07aLvRr35KA48/edit?gid=173865642#gid=173865642"", ""'G10_Maths_Pri_LU'!G2:V2000""), {3, 4, 5, 6, 7, 8, 9, 10, 11, 12, 13, 14, 15, 16}, 0))"),"LU001572")</f>
        <v>LU001572</v>
      </c>
      <c r="AH55" s="83" t="str">
        <f ca="1">IFERROR(__xludf.DUMMYFUNCTION("""COMPUTED_VALUE"""),"Trigonometric ratios of an acute angle: Sine, Cosine, Tangent")</f>
        <v>Trigonometric ratios of an acute angle: Sine, Cosine, Tangent</v>
      </c>
      <c r="AI55" s="83" t="str">
        <f ca="1">IFERROR(__xludf.DUMMYFUNCTION("""COMPUTED_VALUE"""),"LU001573")</f>
        <v>LU001573</v>
      </c>
      <c r="AJ55" s="83" t="str">
        <f ca="1">IFERROR(__xludf.DUMMYFUNCTION("""COMPUTED_VALUE"""),"Trigonometric ratios of an acute angle: Cosecant, Secant, Cotangent")</f>
        <v>Trigonometric ratios of an acute angle: Cosecant, Secant, Cotangent</v>
      </c>
      <c r="AK55" s="83" t="str">
        <f ca="1">IFERROR(__xludf.DUMMYFUNCTION("""COMPUTED_VALUE"""),"LU001092")</f>
        <v>LU001092</v>
      </c>
      <c r="AL55" s="83" t="str">
        <f ca="1">IFERROR(__xludf.DUMMYFUNCTION("""COMPUTED_VALUE"""),"Definition of a zero angle")</f>
        <v>Definition of a zero angle</v>
      </c>
      <c r="AM55" s="83"/>
      <c r="AN55" s="83"/>
      <c r="AO55" s="83"/>
      <c r="AP55" s="83"/>
      <c r="AQ55" s="83"/>
      <c r="AR55" s="83"/>
      <c r="AS55" s="83"/>
      <c r="AT55" s="83"/>
    </row>
    <row r="56" spans="1:46" ht="27.6">
      <c r="A56" s="8" t="s">
        <v>247</v>
      </c>
      <c r="B56" s="82" t="s">
        <v>47</v>
      </c>
      <c r="C56" s="82" t="s">
        <v>1172</v>
      </c>
      <c r="D56" s="83" t="s">
        <v>732</v>
      </c>
      <c r="E56" s="82" t="s">
        <v>1302</v>
      </c>
      <c r="F56" s="82" t="s">
        <v>1317</v>
      </c>
      <c r="G56" s="84" t="s">
        <v>1320</v>
      </c>
      <c r="H56" s="85" t="s">
        <v>1321</v>
      </c>
      <c r="I56" s="68" t="str">
        <f t="shared" si="0"/>
        <v>LU001512.001</v>
      </c>
      <c r="J56" s="69" t="str">
        <f ca="1">IFERROR(__xludf.DUMMYFUNCTION("VLOOKUP(I56, IMPORTRANGE(""https://docs.google.com/spreadsheets/d/1yDAaXNsi4Mr5FtRQL4tbmSdIzhx6_m4wkOD7IG-k_eo/edit#gid=0"", ""Maths!M:N""), 2, FALSE)"),"(LU001512.001); Default - Remember")</f>
        <v>(LU001512.001); Default - Remember</v>
      </c>
      <c r="K56" s="69" t="str">
        <f t="shared" si="1"/>
        <v>LU001512.002</v>
      </c>
      <c r="L56" s="69" t="str">
        <f ca="1">IFERROR(__xludf.DUMMYFUNCTION("VLOOKUP(K56, IMPORTRANGE(""https://docs.google.com/spreadsheets/d/1yDAaXNsi4Mr5FtRQL4tbmSdIzhx6_m4wkOD7IG-k_eo/edit#gid=0"", ""Maths!M:N""), 2, FALSE)"),"(LU001512.002); Default - Understand")</f>
        <v>(LU001512.002); Default - Understand</v>
      </c>
      <c r="M56" s="69" t="str">
        <f t="shared" si="2"/>
        <v>LU001512.003</v>
      </c>
      <c r="N56" s="69" t="str">
        <f ca="1">IFERROR(__xludf.DUMMYFUNCTION("VLOOKUP(M56, IMPORTRANGE(""https://docs.google.com/spreadsheets/d/1yDAaXNsi4Mr5FtRQL4tbmSdIzhx6_m4wkOD7IG-k_eo/edit#gid=0"", ""Maths!M:N""), 2, FALSE)"),"(LU001512.003); Default - Apply")</f>
        <v>(LU001512.003); Default - Apply</v>
      </c>
      <c r="O56" s="69" t="str">
        <f t="shared" si="3"/>
        <v>LU001512.004</v>
      </c>
      <c r="P56" s="69" t="str">
        <f ca="1">IFERROR(__xludf.DUMMYFUNCTION("VLOOKUP(O56, IMPORTRANGE(""https://docs.google.com/spreadsheets/d/1yDAaXNsi4Mr5FtRQL4tbmSdIzhx6_m4wkOD7IG-k_eo/edit#gid=0"", ""Maths!M:N""), 2, FALSE)"),"(LU001512.004); Default - Analyse")</f>
        <v>(LU001512.004); Default - Analyse</v>
      </c>
      <c r="Q56" s="69" t="str">
        <f t="shared" si="4"/>
        <v>LU001512.005</v>
      </c>
      <c r="R56" s="69" t="str">
        <f ca="1">IFERROR(__xludf.DUMMYFUNCTION("VLOOKUP(Q56, IMPORTRANGE(""https://docs.google.com/spreadsheets/d/1yDAaXNsi4Mr5FtRQL4tbmSdIzhx6_m4wkOD7IG-k_eo/edit#gid=0"", ""Maths!M:N""), 2, FALSE)"),"(LU001512.005); Default - Evaluate")</f>
        <v>(LU001512.005); Default - Evaluate</v>
      </c>
      <c r="S56" s="69" t="str">
        <f t="shared" si="5"/>
        <v>LU001512.006</v>
      </c>
      <c r="T56" s="69" t="str">
        <f ca="1">IFERROR(__xludf.DUMMYFUNCTION("VLOOKUP(S56, IMPORTRANGE(""https://docs.google.com/spreadsheets/d/1yDAaXNsi4Mr5FtRQL4tbmSdIzhx6_m4wkOD7IG-k_eo/edit#gid=0"", ""Maths!M:N""), 2, FALSE)"),"(LU001512.006); Default - Create")</f>
        <v>(LU001512.006); Default - Create</v>
      </c>
      <c r="U56" s="11" t="str">
        <f ca="1">IFERROR(__xludf.DUMMYFUNCTION("ArrayFormula(VLOOKUP(G56, IMPORTRANGE(""https://docs.google.com/spreadsheets/d/1p7R4vtkWt5VOBim4ltsDG9KTzSjrtKXsMtQGXPHyND0/edit#gid=795171502"", ""'Filter 30_05_2024'!A1:M2000""), {2, 3, 4, 5,6,7,8,9,10,11,12,13}, 0))"),"#N/A")</f>
        <v>#N/A</v>
      </c>
      <c r="V56" s="11" t="str">
        <f ca="1">IFERROR(__xludf.DUMMYFUNCTION("""COMPUTED_VALUE"""),"#N/A")</f>
        <v>#N/A</v>
      </c>
      <c r="W56" s="11" t="str">
        <f ca="1">IFERROR(__xludf.DUMMYFUNCTION("""COMPUTED_VALUE"""),"#N/A")</f>
        <v>#N/A</v>
      </c>
      <c r="X56" s="11" t="str">
        <f ca="1">IFERROR(__xludf.DUMMYFUNCTION("""COMPUTED_VALUE"""),"#N/A")</f>
        <v>#N/A</v>
      </c>
      <c r="Y56" s="11" t="str">
        <f ca="1">IFERROR(__xludf.DUMMYFUNCTION("""COMPUTED_VALUE"""),"#N/A")</f>
        <v>#N/A</v>
      </c>
      <c r="Z56" s="12" t="str">
        <f ca="1">IFERROR(__xludf.DUMMYFUNCTION("""COMPUTED_VALUE"""),"#N/A")</f>
        <v>#N/A</v>
      </c>
      <c r="AA56" s="12" t="str">
        <f ca="1">IFERROR(__xludf.DUMMYFUNCTION("""COMPUTED_VALUE"""),"#N/A")</f>
        <v>#N/A</v>
      </c>
      <c r="AB56" s="12" t="str">
        <f ca="1">IFERROR(__xludf.DUMMYFUNCTION("""COMPUTED_VALUE"""),"#N/A")</f>
        <v>#N/A</v>
      </c>
      <c r="AC56" s="11" t="str">
        <f ca="1">IFERROR(__xludf.DUMMYFUNCTION("""COMPUTED_VALUE"""),"#N/A")</f>
        <v>#N/A</v>
      </c>
      <c r="AD56" s="12" t="str">
        <f ca="1">IFERROR(__xludf.DUMMYFUNCTION("""COMPUTED_VALUE"""),"#N/A")</f>
        <v>#N/A</v>
      </c>
      <c r="AE56" s="12" t="str">
        <f ca="1">IFERROR(__xludf.DUMMYFUNCTION("""COMPUTED_VALUE"""),"#N/A")</f>
        <v>#N/A</v>
      </c>
      <c r="AF56" s="12" t="str">
        <f ca="1">IFERROR(__xludf.DUMMYFUNCTION("""COMPUTED_VALUE"""),"#N/A")</f>
        <v>#N/A</v>
      </c>
      <c r="AG56" s="86" t="str">
        <f ca="1">IFERROR(__xludf.DUMMYFUNCTION("ArrayFormula(VLOOKUP(G56, IMPORTRANGE(""https://docs.google.com/spreadsheets/d/1Co934fvtviyaRiMsrIlT05Jaq7iiYq07aLvRr35KA48/edit?gid=173865642#gid=173865642"", ""'G10_Maths_Pri_LU'!G2:V2000""), {3, 4, 5, 6, 7, 8, 9, 10, 11, 12, 13, 14, 15, 16}, 0))"),"LU001511")</f>
        <v>LU001511</v>
      </c>
      <c r="AH56" s="83" t="str">
        <f ca="1">IFERROR(__xludf.DUMMYFUNCTION("""COMPUTED_VALUE"""),"Values of trigonometric ratios for angles of 0°")</f>
        <v>Values of trigonometric ratios for angles of 0°</v>
      </c>
      <c r="AI56" s="83"/>
      <c r="AJ56" s="83"/>
      <c r="AK56" s="83"/>
      <c r="AL56" s="83"/>
      <c r="AM56" s="83"/>
      <c r="AN56" s="83"/>
      <c r="AO56" s="83"/>
      <c r="AP56" s="83"/>
      <c r="AQ56" s="83"/>
      <c r="AR56" s="83"/>
      <c r="AS56" s="83"/>
      <c r="AT56" s="83"/>
    </row>
    <row r="57" spans="1:46" ht="15.75" customHeight="1">
      <c r="A57" s="8" t="s">
        <v>247</v>
      </c>
      <c r="B57" s="82" t="s">
        <v>47</v>
      </c>
      <c r="C57" s="82" t="s">
        <v>1172</v>
      </c>
      <c r="D57" s="83" t="s">
        <v>732</v>
      </c>
      <c r="E57" s="82" t="s">
        <v>1302</v>
      </c>
      <c r="F57" s="96" t="s">
        <v>1322</v>
      </c>
      <c r="G57" s="99" t="s">
        <v>1323</v>
      </c>
      <c r="H57" s="95" t="s">
        <v>1324</v>
      </c>
      <c r="I57" s="68" t="str">
        <f t="shared" si="0"/>
        <v>LU001574.001</v>
      </c>
      <c r="J57" s="69" t="str">
        <f ca="1">IFERROR(__xludf.DUMMYFUNCTION("VLOOKUP(I57, IMPORTRANGE(""https://docs.google.com/spreadsheets/d/1yDAaXNsi4Mr5FtRQL4tbmSdIzhx6_m4wkOD7IG-k_eo/edit#gid=0"", ""Maths!M:N""), 2, FALSE)"),"(LU001574.001); Default - Remember")</f>
        <v>(LU001574.001); Default - Remember</v>
      </c>
      <c r="K57" s="69" t="str">
        <f t="shared" si="1"/>
        <v>LU001574.002</v>
      </c>
      <c r="L57" s="69" t="str">
        <f ca="1">IFERROR(__xludf.DUMMYFUNCTION("VLOOKUP(K57, IMPORTRANGE(""https://docs.google.com/spreadsheets/d/1yDAaXNsi4Mr5FtRQL4tbmSdIzhx6_m4wkOD7IG-k_eo/edit#gid=0"", ""Maths!M:N""), 2, FALSE)"),"(LU001574.002); Default - Understand")</f>
        <v>(LU001574.002); Default - Understand</v>
      </c>
      <c r="M57" s="69" t="str">
        <f t="shared" si="2"/>
        <v>LU001574.003</v>
      </c>
      <c r="N57" s="69" t="str">
        <f ca="1">IFERROR(__xludf.DUMMYFUNCTION("VLOOKUP(M57, IMPORTRANGE(""https://docs.google.com/spreadsheets/d/1yDAaXNsi4Mr5FtRQL4tbmSdIzhx6_m4wkOD7IG-k_eo/edit#gid=0"", ""Maths!M:N""), 2, FALSE)"),"(LU001574.003); Default - Apply")</f>
        <v>(LU001574.003); Default - Apply</v>
      </c>
      <c r="O57" s="69" t="str">
        <f t="shared" si="3"/>
        <v>LU001574.004</v>
      </c>
      <c r="P57" s="69" t="str">
        <f ca="1">IFERROR(__xludf.DUMMYFUNCTION("VLOOKUP(O57, IMPORTRANGE(""https://docs.google.com/spreadsheets/d/1yDAaXNsi4Mr5FtRQL4tbmSdIzhx6_m4wkOD7IG-k_eo/edit#gid=0"", ""Maths!M:N""), 2, FALSE)"),"(LU001574.004); Default - Analyse")</f>
        <v>(LU001574.004); Default - Analyse</v>
      </c>
      <c r="Q57" s="69" t="str">
        <f t="shared" si="4"/>
        <v>LU001574.005</v>
      </c>
      <c r="R57" s="69" t="str">
        <f ca="1">IFERROR(__xludf.DUMMYFUNCTION("VLOOKUP(Q57, IMPORTRANGE(""https://docs.google.com/spreadsheets/d/1yDAaXNsi4Mr5FtRQL4tbmSdIzhx6_m4wkOD7IG-k_eo/edit#gid=0"", ""Maths!M:N""), 2, FALSE)"),"(LU001574.005); Default - Evaluate")</f>
        <v>(LU001574.005); Default - Evaluate</v>
      </c>
      <c r="S57" s="69" t="str">
        <f t="shared" si="5"/>
        <v>LU001574.006</v>
      </c>
      <c r="T57" s="69" t="str">
        <f ca="1">IFERROR(__xludf.DUMMYFUNCTION("VLOOKUP(S57, IMPORTRANGE(""https://docs.google.com/spreadsheets/d/1yDAaXNsi4Mr5FtRQL4tbmSdIzhx6_m4wkOD7IG-k_eo/edit#gid=0"", ""Maths!M:N""), 2, FALSE)"),"(LU001574.006); Default - Create")</f>
        <v>(LU001574.006); Default - Create</v>
      </c>
      <c r="U57" s="11" t="str">
        <f ca="1">IFERROR(__xludf.DUMMYFUNCTION("ArrayFormula(VLOOKUP(G57, IMPORTRANGE(""https://docs.google.com/spreadsheets/d/1p7R4vtkWt5VOBim4ltsDG9KTzSjrtKXsMtQGXPHyND0/edit#gid=795171502"", ""'Filter 30_05_2024'!A1:M2000""), {2, 3, 4, 5,6,7,8,9,10,11,12,13}, 0))"),"#N/A")</f>
        <v>#N/A</v>
      </c>
      <c r="V57" s="11" t="str">
        <f ca="1">IFERROR(__xludf.DUMMYFUNCTION("""COMPUTED_VALUE"""),"#N/A")</f>
        <v>#N/A</v>
      </c>
      <c r="W57" s="11" t="str">
        <f ca="1">IFERROR(__xludf.DUMMYFUNCTION("""COMPUTED_VALUE"""),"#N/A")</f>
        <v>#N/A</v>
      </c>
      <c r="X57" s="11" t="str">
        <f ca="1">IFERROR(__xludf.DUMMYFUNCTION("""COMPUTED_VALUE"""),"#N/A")</f>
        <v>#N/A</v>
      </c>
      <c r="Y57" s="11" t="str">
        <f ca="1">IFERROR(__xludf.DUMMYFUNCTION("""COMPUTED_VALUE"""),"#N/A")</f>
        <v>#N/A</v>
      </c>
      <c r="Z57" s="12" t="str">
        <f ca="1">IFERROR(__xludf.DUMMYFUNCTION("""COMPUTED_VALUE"""),"#N/A")</f>
        <v>#N/A</v>
      </c>
      <c r="AA57" s="12" t="str">
        <f ca="1">IFERROR(__xludf.DUMMYFUNCTION("""COMPUTED_VALUE"""),"#N/A")</f>
        <v>#N/A</v>
      </c>
      <c r="AB57" s="12" t="str">
        <f ca="1">IFERROR(__xludf.DUMMYFUNCTION("""COMPUTED_VALUE"""),"#N/A")</f>
        <v>#N/A</v>
      </c>
      <c r="AC57" s="11" t="str">
        <f ca="1">IFERROR(__xludf.DUMMYFUNCTION("""COMPUTED_VALUE"""),"#N/A")</f>
        <v>#N/A</v>
      </c>
      <c r="AD57" s="12" t="str">
        <f ca="1">IFERROR(__xludf.DUMMYFUNCTION("""COMPUTED_VALUE"""),"#N/A")</f>
        <v>#N/A</v>
      </c>
      <c r="AE57" s="12" t="str">
        <f ca="1">IFERROR(__xludf.DUMMYFUNCTION("""COMPUTED_VALUE"""),"#N/A")</f>
        <v>#N/A</v>
      </c>
      <c r="AF57" s="12" t="str">
        <f ca="1">IFERROR(__xludf.DUMMYFUNCTION("""COMPUTED_VALUE"""),"#N/A")</f>
        <v>#N/A</v>
      </c>
      <c r="AG57" s="86" t="str">
        <f ca="1">IFERROR(__xludf.DUMMYFUNCTION("ArrayFormula(VLOOKUP(G57, IMPORTRANGE(""https://docs.google.com/spreadsheets/d/1Co934fvtviyaRiMsrIlT05Jaq7iiYq07aLvRr35KA48/edit?gid=173865642#gid=173865642"", ""'G10_Maths_Pri_LU'!G2:V2000""), {3, 4, 5, 6, 7, 8, 9, 10, 11, 12, 13, 14, 15, 16}, 0))"),"LU001508")</f>
        <v>LU001508</v>
      </c>
      <c r="AH57" s="83" t="str">
        <f ca="1">IFERROR(__xludf.DUMMYFUNCTION("""COMPUTED_VALUE"""),"Values of trigonometric ratios for angles of 45°")</f>
        <v>Values of trigonometric ratios for angles of 45°</v>
      </c>
      <c r="AI57" s="83" t="str">
        <f ca="1">IFERROR(__xludf.DUMMYFUNCTION("""COMPUTED_VALUE"""),"LU001509")</f>
        <v>LU001509</v>
      </c>
      <c r="AJ57" s="83" t="str">
        <f ca="1">IFERROR(__xludf.DUMMYFUNCTION("""COMPUTED_VALUE"""),"Values of trigonometric ratios for angles of 30°")</f>
        <v>Values of trigonometric ratios for angles of 30°</v>
      </c>
      <c r="AK57" s="83" t="str">
        <f ca="1">IFERROR(__xludf.DUMMYFUNCTION("""COMPUTED_VALUE"""),"LU001510")</f>
        <v>LU001510</v>
      </c>
      <c r="AL57" s="83" t="str">
        <f ca="1">IFERROR(__xludf.DUMMYFUNCTION("""COMPUTED_VALUE"""),"Values of trigonometric ratios for angles of 60°")</f>
        <v>Values of trigonometric ratios for angles of 60°</v>
      </c>
      <c r="AM57" s="83" t="str">
        <f ca="1">IFERROR(__xludf.DUMMYFUNCTION("""COMPUTED_VALUE"""),"LU001511")</f>
        <v>LU001511</v>
      </c>
      <c r="AN57" s="83" t="str">
        <f ca="1">IFERROR(__xludf.DUMMYFUNCTION("""COMPUTED_VALUE"""),"Values of trigonometric ratios for angles of 0°")</f>
        <v>Values of trigonometric ratios for angles of 0°</v>
      </c>
      <c r="AO57" s="83" t="str">
        <f ca="1">IFERROR(__xludf.DUMMYFUNCTION("""COMPUTED_VALUE"""),"LU001512")</f>
        <v>LU001512</v>
      </c>
      <c r="AP57" s="83" t="str">
        <f ca="1">IFERROR(__xludf.DUMMYFUNCTION("""COMPUTED_VALUE"""),"Values of trigonometric ratios for angles of 90°")</f>
        <v>Values of trigonometric ratios for angles of 90°</v>
      </c>
      <c r="AQ57" s="83" t="str">
        <f ca="1">IFERROR(__xludf.DUMMYFUNCTION("""COMPUTED_VALUE"""),"LU001192")</f>
        <v>LU001192</v>
      </c>
      <c r="AR57" s="83" t="str">
        <f ca="1">IFERROR(__xludf.DUMMYFUNCTION("""COMPUTED_VALUE"""),"Division of two irrational numbers")</f>
        <v>Division of two irrational numbers</v>
      </c>
      <c r="AS57" s="83" t="str">
        <f ca="1">IFERROR(__xludf.DUMMYFUNCTION("""COMPUTED_VALUE"""),"LU001191")</f>
        <v>LU001191</v>
      </c>
      <c r="AT57" s="83" t="str">
        <f ca="1">IFERROR(__xludf.DUMMYFUNCTION("""COMPUTED_VALUE"""),"Multiplication of two irrational numbers")</f>
        <v>Multiplication of two irrational numbers</v>
      </c>
    </row>
    <row r="58" spans="1:46" ht="27.6">
      <c r="A58" s="8" t="s">
        <v>247</v>
      </c>
      <c r="B58" s="82" t="s">
        <v>47</v>
      </c>
      <c r="C58" s="82" t="s">
        <v>1172</v>
      </c>
      <c r="D58" s="83" t="s">
        <v>732</v>
      </c>
      <c r="E58" s="82" t="s">
        <v>1302</v>
      </c>
      <c r="F58" s="13" t="s">
        <v>1325</v>
      </c>
      <c r="G58" s="84" t="s">
        <v>1326</v>
      </c>
      <c r="H58" s="95" t="s">
        <v>1327</v>
      </c>
      <c r="I58" s="68" t="str">
        <f t="shared" si="0"/>
        <v>LU001514.001</v>
      </c>
      <c r="J58" s="69" t="str">
        <f ca="1">IFERROR(__xludf.DUMMYFUNCTION("VLOOKUP(I58, IMPORTRANGE(""https://docs.google.com/spreadsheets/d/1yDAaXNsi4Mr5FtRQL4tbmSdIzhx6_m4wkOD7IG-k_eo/edit#gid=0"", ""Maths!M:N""), 2, FALSE)"),"(LU001514.001); Default - Remember")</f>
        <v>(LU001514.001); Default - Remember</v>
      </c>
      <c r="K58" s="69" t="str">
        <f t="shared" si="1"/>
        <v>LU001514.002</v>
      </c>
      <c r="L58" s="69" t="str">
        <f ca="1">IFERROR(__xludf.DUMMYFUNCTION("VLOOKUP(K58, IMPORTRANGE(""https://docs.google.com/spreadsheets/d/1yDAaXNsi4Mr5FtRQL4tbmSdIzhx6_m4wkOD7IG-k_eo/edit#gid=0"", ""Maths!M:N""), 2, FALSE)"),"(LU001514.002); Default - Understand")</f>
        <v>(LU001514.002); Default - Understand</v>
      </c>
      <c r="M58" s="69" t="str">
        <f t="shared" si="2"/>
        <v>LU001514.003</v>
      </c>
      <c r="N58" s="69" t="str">
        <f ca="1">IFERROR(__xludf.DUMMYFUNCTION("VLOOKUP(M58, IMPORTRANGE(""https://docs.google.com/spreadsheets/d/1yDAaXNsi4Mr5FtRQL4tbmSdIzhx6_m4wkOD7IG-k_eo/edit#gid=0"", ""Maths!M:N""), 2, FALSE)"),"(LU001514.003); Default - Apply")</f>
        <v>(LU001514.003); Default - Apply</v>
      </c>
      <c r="O58" s="69" t="str">
        <f t="shared" si="3"/>
        <v>LU001514.004</v>
      </c>
      <c r="P58" s="69" t="str">
        <f ca="1">IFERROR(__xludf.DUMMYFUNCTION("VLOOKUP(O58, IMPORTRANGE(""https://docs.google.com/spreadsheets/d/1yDAaXNsi4Mr5FtRQL4tbmSdIzhx6_m4wkOD7IG-k_eo/edit#gid=0"", ""Maths!M:N""), 2, FALSE)"),"(LU001514.004); Default - Analyse")</f>
        <v>(LU001514.004); Default - Analyse</v>
      </c>
      <c r="Q58" s="69" t="str">
        <f t="shared" si="4"/>
        <v>LU001514.005</v>
      </c>
      <c r="R58" s="69" t="str">
        <f ca="1">IFERROR(__xludf.DUMMYFUNCTION("VLOOKUP(Q58, IMPORTRANGE(""https://docs.google.com/spreadsheets/d/1yDAaXNsi4Mr5FtRQL4tbmSdIzhx6_m4wkOD7IG-k_eo/edit#gid=0"", ""Maths!M:N""), 2, FALSE)"),"(LU001514.005); Default - Evaluate")</f>
        <v>(LU001514.005); Default - Evaluate</v>
      </c>
      <c r="S58" s="69" t="str">
        <f t="shared" si="5"/>
        <v>LU001514.006</v>
      </c>
      <c r="T58" s="69" t="str">
        <f ca="1">IFERROR(__xludf.DUMMYFUNCTION("VLOOKUP(S58, IMPORTRANGE(""https://docs.google.com/spreadsheets/d/1yDAaXNsi4Mr5FtRQL4tbmSdIzhx6_m4wkOD7IG-k_eo/edit#gid=0"", ""Maths!M:N""), 2, FALSE)"),"(LU001514.006); Default - Create")</f>
        <v>(LU001514.006); Default - Create</v>
      </c>
      <c r="U58" s="11" t="str">
        <f ca="1">IFERROR(__xludf.DUMMYFUNCTION("ArrayFormula(VLOOKUP(G58, IMPORTRANGE(""https://docs.google.com/spreadsheets/d/1p7R4vtkWt5VOBim4ltsDG9KTzSjrtKXsMtQGXPHyND0/edit#gid=795171502"", ""'Filter 30_05_2024'!A1:M2000""), {2, 3, 4, 5,6,7,8,9,10,11,12,13}, 0))"),"#N/A")</f>
        <v>#N/A</v>
      </c>
      <c r="V58" s="11" t="str">
        <f ca="1">IFERROR(__xludf.DUMMYFUNCTION("""COMPUTED_VALUE"""),"#N/A")</f>
        <v>#N/A</v>
      </c>
      <c r="W58" s="11" t="str">
        <f ca="1">IFERROR(__xludf.DUMMYFUNCTION("""COMPUTED_VALUE"""),"#N/A")</f>
        <v>#N/A</v>
      </c>
      <c r="X58" s="11" t="str">
        <f ca="1">IFERROR(__xludf.DUMMYFUNCTION("""COMPUTED_VALUE"""),"#N/A")</f>
        <v>#N/A</v>
      </c>
      <c r="Y58" s="11" t="str">
        <f ca="1">IFERROR(__xludf.DUMMYFUNCTION("""COMPUTED_VALUE"""),"#N/A")</f>
        <v>#N/A</v>
      </c>
      <c r="Z58" s="12" t="str">
        <f ca="1">IFERROR(__xludf.DUMMYFUNCTION("""COMPUTED_VALUE"""),"#N/A")</f>
        <v>#N/A</v>
      </c>
      <c r="AA58" s="12" t="str">
        <f ca="1">IFERROR(__xludf.DUMMYFUNCTION("""COMPUTED_VALUE"""),"#N/A")</f>
        <v>#N/A</v>
      </c>
      <c r="AB58" s="12" t="str">
        <f ca="1">IFERROR(__xludf.DUMMYFUNCTION("""COMPUTED_VALUE"""),"#N/A")</f>
        <v>#N/A</v>
      </c>
      <c r="AC58" s="11" t="str">
        <f ca="1">IFERROR(__xludf.DUMMYFUNCTION("""COMPUTED_VALUE"""),"#N/A")</f>
        <v>#N/A</v>
      </c>
      <c r="AD58" s="12" t="str">
        <f ca="1">IFERROR(__xludf.DUMMYFUNCTION("""COMPUTED_VALUE"""),"#N/A")</f>
        <v>#N/A</v>
      </c>
      <c r="AE58" s="12" t="str">
        <f ca="1">IFERROR(__xludf.DUMMYFUNCTION("""COMPUTED_VALUE"""),"#N/A")</f>
        <v>#N/A</v>
      </c>
      <c r="AF58" s="12" t="str">
        <f ca="1">IFERROR(__xludf.DUMMYFUNCTION("""COMPUTED_VALUE"""),"#N/A")</f>
        <v>#N/A</v>
      </c>
      <c r="AG58" s="86" t="str">
        <f ca="1">IFERROR(__xludf.DUMMYFUNCTION("ArrayFormula(VLOOKUP(G58, IMPORTRANGE(""https://docs.google.com/spreadsheets/d/1Co934fvtviyaRiMsrIlT05Jaq7iiYq07aLvRr35KA48/edit?gid=173865642#gid=173865642"", ""'G10_Maths_Pri_LU'!G2:V2000""), {3, 4, 5, 6, 7, 8, 9, 10, 11, 12, 13, 14, 15, 16}, 0))"),"LU001572")</f>
        <v>LU001572</v>
      </c>
      <c r="AH58" s="83" t="str">
        <f ca="1">IFERROR(__xludf.DUMMYFUNCTION("""COMPUTED_VALUE"""),"Trigonometric ratios of an acute angle: Sine, Cosine, Tangent")</f>
        <v>Trigonometric ratios of an acute angle: Sine, Cosine, Tangent</v>
      </c>
      <c r="AI58" s="83" t="str">
        <f ca="1">IFERROR(__xludf.DUMMYFUNCTION("""COMPUTED_VALUE"""),"LU001573")</f>
        <v>LU001573</v>
      </c>
      <c r="AJ58" s="83" t="str">
        <f ca="1">IFERROR(__xludf.DUMMYFUNCTION("""COMPUTED_VALUE"""),"Trigonometric ratios of an acute angle: Cosecant, Secant, Cotangent")</f>
        <v>Trigonometric ratios of an acute angle: Cosecant, Secant, Cotangent</v>
      </c>
      <c r="AK58" s="83" t="str">
        <f ca="1">IFERROR(__xludf.DUMMYFUNCTION("""COMPUTED_VALUE"""),"LU000434")</f>
        <v>LU000434</v>
      </c>
      <c r="AL58" s="83" t="str">
        <f ca="1">IFERROR(__xludf.DUMMYFUNCTION("""COMPUTED_VALUE"""),"Pythagoras property")</f>
        <v>Pythagoras property</v>
      </c>
      <c r="AM58" s="83" t="str">
        <f ca="1">IFERROR(__xludf.DUMMYFUNCTION("""COMPUTED_VALUE"""),"LU000262")</f>
        <v>LU000262</v>
      </c>
      <c r="AN58" s="83" t="str">
        <f ca="1">IFERROR(__xludf.DUMMYFUNCTION("""COMPUTED_VALUE"""),"Definition of a right triangle")</f>
        <v>Definition of a right triangle</v>
      </c>
      <c r="AO58" s="83"/>
      <c r="AP58" s="83"/>
      <c r="AQ58" s="83"/>
      <c r="AR58" s="83"/>
      <c r="AS58" s="83"/>
      <c r="AT58" s="83"/>
    </row>
    <row r="59" spans="1:46" ht="27.6">
      <c r="A59" s="8" t="s">
        <v>247</v>
      </c>
      <c r="B59" s="82" t="s">
        <v>47</v>
      </c>
      <c r="C59" s="82" t="s">
        <v>1172</v>
      </c>
      <c r="D59" s="83" t="s">
        <v>732</v>
      </c>
      <c r="E59" s="82" t="s">
        <v>1302</v>
      </c>
      <c r="F59" s="13" t="s">
        <v>1325</v>
      </c>
      <c r="G59" s="90" t="s">
        <v>1328</v>
      </c>
      <c r="H59" s="95" t="s">
        <v>1329</v>
      </c>
      <c r="I59" s="68" t="str">
        <f t="shared" si="0"/>
        <v>LU001515.001</v>
      </c>
      <c r="J59" s="69" t="str">
        <f ca="1">IFERROR(__xludf.DUMMYFUNCTION("VLOOKUP(I59, IMPORTRANGE(""https://docs.google.com/spreadsheets/d/1yDAaXNsi4Mr5FtRQL4tbmSdIzhx6_m4wkOD7IG-k_eo/edit#gid=0"", ""Maths!M:N""), 2, FALSE)"),"(LU001515.001); Default - Remember")</f>
        <v>(LU001515.001); Default - Remember</v>
      </c>
      <c r="K59" s="69" t="str">
        <f t="shared" si="1"/>
        <v>LU001515.002</v>
      </c>
      <c r="L59" s="69" t="str">
        <f ca="1">IFERROR(__xludf.DUMMYFUNCTION("VLOOKUP(K59, IMPORTRANGE(""https://docs.google.com/spreadsheets/d/1yDAaXNsi4Mr5FtRQL4tbmSdIzhx6_m4wkOD7IG-k_eo/edit#gid=0"", ""Maths!M:N""), 2, FALSE)"),"(LU001515.002); Default - Understand")</f>
        <v>(LU001515.002); Default - Understand</v>
      </c>
      <c r="M59" s="69" t="str">
        <f t="shared" si="2"/>
        <v>LU001515.003</v>
      </c>
      <c r="N59" s="69" t="str">
        <f ca="1">IFERROR(__xludf.DUMMYFUNCTION("VLOOKUP(M59, IMPORTRANGE(""https://docs.google.com/spreadsheets/d/1yDAaXNsi4Mr5FtRQL4tbmSdIzhx6_m4wkOD7IG-k_eo/edit#gid=0"", ""Maths!M:N""), 2, FALSE)"),"(LU001515.003); Default - Apply")</f>
        <v>(LU001515.003); Default - Apply</v>
      </c>
      <c r="O59" s="69" t="str">
        <f t="shared" si="3"/>
        <v>LU001515.004</v>
      </c>
      <c r="P59" s="69" t="str">
        <f ca="1">IFERROR(__xludf.DUMMYFUNCTION("VLOOKUP(O59, IMPORTRANGE(""https://docs.google.com/spreadsheets/d/1yDAaXNsi4Mr5FtRQL4tbmSdIzhx6_m4wkOD7IG-k_eo/edit#gid=0"", ""Maths!M:N""), 2, FALSE)"),"(LU001515.004); Default - Analyse")</f>
        <v>(LU001515.004); Default - Analyse</v>
      </c>
      <c r="Q59" s="69" t="str">
        <f t="shared" si="4"/>
        <v>LU001515.005</v>
      </c>
      <c r="R59" s="69" t="str">
        <f ca="1">IFERROR(__xludf.DUMMYFUNCTION("VLOOKUP(Q59, IMPORTRANGE(""https://docs.google.com/spreadsheets/d/1yDAaXNsi4Mr5FtRQL4tbmSdIzhx6_m4wkOD7IG-k_eo/edit#gid=0"", ""Maths!M:N""), 2, FALSE)"),"(LU001515.005); Default - Evaluate")</f>
        <v>(LU001515.005); Default - Evaluate</v>
      </c>
      <c r="S59" s="69" t="str">
        <f t="shared" si="5"/>
        <v>LU001515.006</v>
      </c>
      <c r="T59" s="69" t="str">
        <f ca="1">IFERROR(__xludf.DUMMYFUNCTION("VLOOKUP(S59, IMPORTRANGE(""https://docs.google.com/spreadsheets/d/1yDAaXNsi4Mr5FtRQL4tbmSdIzhx6_m4wkOD7IG-k_eo/edit#gid=0"", ""Maths!M:N""), 2, FALSE)"),"(LU001515.006); Default - Create")</f>
        <v>(LU001515.006); Default - Create</v>
      </c>
      <c r="U59" s="11" t="str">
        <f ca="1">IFERROR(__xludf.DUMMYFUNCTION("ArrayFormula(VLOOKUP(G59, IMPORTRANGE(""https://docs.google.com/spreadsheets/d/1p7R4vtkWt5VOBim4ltsDG9KTzSjrtKXsMtQGXPHyND0/edit#gid=795171502"", ""'Filter 30_05_2024'!A1:M2000""), {2, 3, 4, 5,6,7,8,9,10,11,12,13}, 0))"),"#N/A")</f>
        <v>#N/A</v>
      </c>
      <c r="V59" s="11" t="str">
        <f ca="1">IFERROR(__xludf.DUMMYFUNCTION("""COMPUTED_VALUE"""),"#N/A")</f>
        <v>#N/A</v>
      </c>
      <c r="W59" s="11" t="str">
        <f ca="1">IFERROR(__xludf.DUMMYFUNCTION("""COMPUTED_VALUE"""),"#N/A")</f>
        <v>#N/A</v>
      </c>
      <c r="X59" s="11" t="str">
        <f ca="1">IFERROR(__xludf.DUMMYFUNCTION("""COMPUTED_VALUE"""),"#N/A")</f>
        <v>#N/A</v>
      </c>
      <c r="Y59" s="11" t="str">
        <f ca="1">IFERROR(__xludf.DUMMYFUNCTION("""COMPUTED_VALUE"""),"#N/A")</f>
        <v>#N/A</v>
      </c>
      <c r="Z59" s="12" t="str">
        <f ca="1">IFERROR(__xludf.DUMMYFUNCTION("""COMPUTED_VALUE"""),"#N/A")</f>
        <v>#N/A</v>
      </c>
      <c r="AA59" s="12" t="str">
        <f ca="1">IFERROR(__xludf.DUMMYFUNCTION("""COMPUTED_VALUE"""),"#N/A")</f>
        <v>#N/A</v>
      </c>
      <c r="AB59" s="12" t="str">
        <f ca="1">IFERROR(__xludf.DUMMYFUNCTION("""COMPUTED_VALUE"""),"#N/A")</f>
        <v>#N/A</v>
      </c>
      <c r="AC59" s="11" t="str">
        <f ca="1">IFERROR(__xludf.DUMMYFUNCTION("""COMPUTED_VALUE"""),"#N/A")</f>
        <v>#N/A</v>
      </c>
      <c r="AD59" s="12" t="str">
        <f ca="1">IFERROR(__xludf.DUMMYFUNCTION("""COMPUTED_VALUE"""),"#N/A")</f>
        <v>#N/A</v>
      </c>
      <c r="AE59" s="12" t="str">
        <f ca="1">IFERROR(__xludf.DUMMYFUNCTION("""COMPUTED_VALUE"""),"#N/A")</f>
        <v>#N/A</v>
      </c>
      <c r="AF59" s="12" t="str">
        <f ca="1">IFERROR(__xludf.DUMMYFUNCTION("""COMPUTED_VALUE"""),"#N/A")</f>
        <v>#N/A</v>
      </c>
      <c r="AG59" s="86" t="str">
        <f ca="1">IFERROR(__xludf.DUMMYFUNCTION("ArrayFormula(VLOOKUP(G59, IMPORTRANGE(""https://docs.google.com/spreadsheets/d/1Co934fvtviyaRiMsrIlT05Jaq7iiYq07aLvRr35KA48/edit?gid=173865642#gid=173865642"", ""'G10_Maths_Pri_LU'!G2:V2000""), {3, 4, 5, 6, 7, 8, 9, 10, 11, 12, 13, 14, 15, 16}, 0))"),"LU001514")</f>
        <v>LU001514</v>
      </c>
      <c r="AH59" s="83" t="str">
        <f ca="1">IFERROR(__xludf.DUMMYFUNCTION("""COMPUTED_VALUE"""),"Trignometric identity: cos^2 A+sin^2 A=1")</f>
        <v>Trignometric identity: cos^2 A+sin^2 A=1</v>
      </c>
      <c r="AI59" s="83"/>
      <c r="AJ59" s="83"/>
      <c r="AK59" s="83"/>
      <c r="AL59" s="83"/>
      <c r="AM59" s="83"/>
      <c r="AN59" s="83"/>
      <c r="AO59" s="83"/>
      <c r="AP59" s="83"/>
      <c r="AQ59" s="83"/>
      <c r="AR59" s="83"/>
      <c r="AS59" s="83"/>
      <c r="AT59" s="83"/>
    </row>
    <row r="60" spans="1:46" ht="27.6">
      <c r="A60" s="8" t="s">
        <v>247</v>
      </c>
      <c r="B60" s="82" t="s">
        <v>47</v>
      </c>
      <c r="C60" s="82" t="s">
        <v>1172</v>
      </c>
      <c r="D60" s="83" t="s">
        <v>732</v>
      </c>
      <c r="E60" s="82" t="s">
        <v>1302</v>
      </c>
      <c r="F60" s="13" t="s">
        <v>1325</v>
      </c>
      <c r="G60" s="84" t="s">
        <v>1330</v>
      </c>
      <c r="H60" s="95" t="s">
        <v>1331</v>
      </c>
      <c r="I60" s="68" t="str">
        <f t="shared" si="0"/>
        <v>LU001516.001</v>
      </c>
      <c r="J60" s="69" t="str">
        <f ca="1">IFERROR(__xludf.DUMMYFUNCTION("VLOOKUP(I60, IMPORTRANGE(""https://docs.google.com/spreadsheets/d/1yDAaXNsi4Mr5FtRQL4tbmSdIzhx6_m4wkOD7IG-k_eo/edit#gid=0"", ""Maths!M:N""), 2, FALSE)"),"(LU001516.001); Default - Remember")</f>
        <v>(LU001516.001); Default - Remember</v>
      </c>
      <c r="K60" s="69" t="str">
        <f t="shared" si="1"/>
        <v>LU001516.002</v>
      </c>
      <c r="L60" s="69" t="str">
        <f ca="1">IFERROR(__xludf.DUMMYFUNCTION("VLOOKUP(K60, IMPORTRANGE(""https://docs.google.com/spreadsheets/d/1yDAaXNsi4Mr5FtRQL4tbmSdIzhx6_m4wkOD7IG-k_eo/edit#gid=0"", ""Maths!M:N""), 2, FALSE)"),"(LU001516.002); Default - Understand")</f>
        <v>(LU001516.002); Default - Understand</v>
      </c>
      <c r="M60" s="69" t="str">
        <f t="shared" si="2"/>
        <v>LU001516.003</v>
      </c>
      <c r="N60" s="69" t="str">
        <f ca="1">IFERROR(__xludf.DUMMYFUNCTION("VLOOKUP(M60, IMPORTRANGE(""https://docs.google.com/spreadsheets/d/1yDAaXNsi4Mr5FtRQL4tbmSdIzhx6_m4wkOD7IG-k_eo/edit#gid=0"", ""Maths!M:N""), 2, FALSE)"),"(LU001516.003); Default - Apply")</f>
        <v>(LU001516.003); Default - Apply</v>
      </c>
      <c r="O60" s="69" t="str">
        <f t="shared" si="3"/>
        <v>LU001516.004</v>
      </c>
      <c r="P60" s="69" t="str">
        <f ca="1">IFERROR(__xludf.DUMMYFUNCTION("VLOOKUP(O60, IMPORTRANGE(""https://docs.google.com/spreadsheets/d/1yDAaXNsi4Mr5FtRQL4tbmSdIzhx6_m4wkOD7IG-k_eo/edit#gid=0"", ""Maths!M:N""), 2, FALSE)"),"(LU001516.004); Default - Analyse")</f>
        <v>(LU001516.004); Default - Analyse</v>
      </c>
      <c r="Q60" s="69" t="str">
        <f t="shared" si="4"/>
        <v>LU001516.005</v>
      </c>
      <c r="R60" s="69" t="str">
        <f ca="1">IFERROR(__xludf.DUMMYFUNCTION("VLOOKUP(Q60, IMPORTRANGE(""https://docs.google.com/spreadsheets/d/1yDAaXNsi4Mr5FtRQL4tbmSdIzhx6_m4wkOD7IG-k_eo/edit#gid=0"", ""Maths!M:N""), 2, FALSE)"),"(LU001516.005); Default - Evaluate")</f>
        <v>(LU001516.005); Default - Evaluate</v>
      </c>
      <c r="S60" s="69" t="str">
        <f t="shared" si="5"/>
        <v>LU001516.006</v>
      </c>
      <c r="T60" s="69" t="str">
        <f ca="1">IFERROR(__xludf.DUMMYFUNCTION("VLOOKUP(S60, IMPORTRANGE(""https://docs.google.com/spreadsheets/d/1yDAaXNsi4Mr5FtRQL4tbmSdIzhx6_m4wkOD7IG-k_eo/edit#gid=0"", ""Maths!M:N""), 2, FALSE)"),"(LU001516.006); Default - Create")</f>
        <v>(LU001516.006); Default - Create</v>
      </c>
      <c r="U60" s="11" t="str">
        <f ca="1">IFERROR(__xludf.DUMMYFUNCTION("ArrayFormula(VLOOKUP(G60, IMPORTRANGE(""https://docs.google.com/spreadsheets/d/1p7R4vtkWt5VOBim4ltsDG9KTzSjrtKXsMtQGXPHyND0/edit#gid=795171502"", ""'Filter 30_05_2024'!A1:M2000""), {2, 3, 4, 5,6,7,8,9,10,11,12,13}, 0))"),"#N/A")</f>
        <v>#N/A</v>
      </c>
      <c r="V60" s="11" t="str">
        <f ca="1">IFERROR(__xludf.DUMMYFUNCTION("""COMPUTED_VALUE"""),"#N/A")</f>
        <v>#N/A</v>
      </c>
      <c r="W60" s="11" t="str">
        <f ca="1">IFERROR(__xludf.DUMMYFUNCTION("""COMPUTED_VALUE"""),"#N/A")</f>
        <v>#N/A</v>
      </c>
      <c r="X60" s="11" t="str">
        <f ca="1">IFERROR(__xludf.DUMMYFUNCTION("""COMPUTED_VALUE"""),"#N/A")</f>
        <v>#N/A</v>
      </c>
      <c r="Y60" s="11" t="str">
        <f ca="1">IFERROR(__xludf.DUMMYFUNCTION("""COMPUTED_VALUE"""),"#N/A")</f>
        <v>#N/A</v>
      </c>
      <c r="Z60" s="12" t="str">
        <f ca="1">IFERROR(__xludf.DUMMYFUNCTION("""COMPUTED_VALUE"""),"#N/A")</f>
        <v>#N/A</v>
      </c>
      <c r="AA60" s="12" t="str">
        <f ca="1">IFERROR(__xludf.DUMMYFUNCTION("""COMPUTED_VALUE"""),"#N/A")</f>
        <v>#N/A</v>
      </c>
      <c r="AB60" s="12" t="str">
        <f ca="1">IFERROR(__xludf.DUMMYFUNCTION("""COMPUTED_VALUE"""),"#N/A")</f>
        <v>#N/A</v>
      </c>
      <c r="AC60" s="11" t="str">
        <f ca="1">IFERROR(__xludf.DUMMYFUNCTION("""COMPUTED_VALUE"""),"#N/A")</f>
        <v>#N/A</v>
      </c>
      <c r="AD60" s="12" t="str">
        <f ca="1">IFERROR(__xludf.DUMMYFUNCTION("""COMPUTED_VALUE"""),"#N/A")</f>
        <v>#N/A</v>
      </c>
      <c r="AE60" s="12" t="str">
        <f ca="1">IFERROR(__xludf.DUMMYFUNCTION("""COMPUTED_VALUE"""),"#N/A")</f>
        <v>#N/A</v>
      </c>
      <c r="AF60" s="12" t="str">
        <f ca="1">IFERROR(__xludf.DUMMYFUNCTION("""COMPUTED_VALUE"""),"#N/A")</f>
        <v>#N/A</v>
      </c>
      <c r="AG60" s="86" t="str">
        <f ca="1">IFERROR(__xludf.DUMMYFUNCTION("ArrayFormula(VLOOKUP(G60, IMPORTRANGE(""https://docs.google.com/spreadsheets/d/1Co934fvtviyaRiMsrIlT05Jaq7iiYq07aLvRr35KA48/edit?gid=173865642#gid=173865642"", ""'G10_Maths_Pri_LU'!G2:V2000""), {3, 4, 5, 6, 7, 8, 9, 10, 11, 12, 13, 14, 15, 16}, 0))"),"LU001515")</f>
        <v>LU001515</v>
      </c>
      <c r="AH60" s="83" t="str">
        <f ca="1">IFERROR(__xludf.DUMMYFUNCTION("""COMPUTED_VALUE"""),"Trignometric identity: 1+tan^2 A=sec^2 A")</f>
        <v>Trignometric identity: 1+tan^2 A=sec^2 A</v>
      </c>
      <c r="AI60" s="83"/>
      <c r="AJ60" s="83"/>
      <c r="AK60" s="83"/>
      <c r="AL60" s="83"/>
      <c r="AM60" s="83"/>
      <c r="AN60" s="83"/>
      <c r="AO60" s="83"/>
      <c r="AP60" s="83"/>
      <c r="AQ60" s="83"/>
      <c r="AR60" s="83"/>
      <c r="AS60" s="83"/>
      <c r="AT60" s="83"/>
    </row>
    <row r="61" spans="1:46" ht="15.75" customHeight="1">
      <c r="A61" s="8" t="s">
        <v>247</v>
      </c>
      <c r="B61" s="82" t="s">
        <v>47</v>
      </c>
      <c r="C61" s="82" t="s">
        <v>1172</v>
      </c>
      <c r="D61" s="83" t="s">
        <v>732</v>
      </c>
      <c r="E61" s="82" t="s">
        <v>1332</v>
      </c>
      <c r="F61" s="82" t="s">
        <v>1333</v>
      </c>
      <c r="G61" s="15" t="s">
        <v>1334</v>
      </c>
      <c r="H61" s="85" t="s">
        <v>1335</v>
      </c>
      <c r="I61" s="68" t="str">
        <f t="shared" si="0"/>
        <v>LU001575.001</v>
      </c>
      <c r="J61" s="69" t="str">
        <f ca="1">IFERROR(__xludf.DUMMYFUNCTION("VLOOKUP(I61, IMPORTRANGE(""https://docs.google.com/spreadsheets/d/1yDAaXNsi4Mr5FtRQL4tbmSdIzhx6_m4wkOD7IG-k_eo/edit#gid=0"", ""Maths!M:N""), 2, FALSE)"),"(LU001575.001); Default - Remember")</f>
        <v>(LU001575.001); Default - Remember</v>
      </c>
      <c r="K61" s="69" t="str">
        <f t="shared" si="1"/>
        <v>LU001575.002</v>
      </c>
      <c r="L61" s="69" t="str">
        <f ca="1">IFERROR(__xludf.DUMMYFUNCTION("VLOOKUP(K61, IMPORTRANGE(""https://docs.google.com/spreadsheets/d/1yDAaXNsi4Mr5FtRQL4tbmSdIzhx6_m4wkOD7IG-k_eo/edit#gid=0"", ""Maths!M:N""), 2, FALSE)"),"(LU001575.002); Default - Understand")</f>
        <v>(LU001575.002); Default - Understand</v>
      </c>
      <c r="M61" s="69" t="str">
        <f t="shared" si="2"/>
        <v>LU001575.003</v>
      </c>
      <c r="N61" s="69" t="str">
        <f ca="1">IFERROR(__xludf.DUMMYFUNCTION("VLOOKUP(M61, IMPORTRANGE(""https://docs.google.com/spreadsheets/d/1yDAaXNsi4Mr5FtRQL4tbmSdIzhx6_m4wkOD7IG-k_eo/edit#gid=0"", ""Maths!M:N""), 2, FALSE)"),"(LU001575.003); Default - Apply")</f>
        <v>(LU001575.003); Default - Apply</v>
      </c>
      <c r="O61" s="69" t="str">
        <f t="shared" si="3"/>
        <v>LU001575.004</v>
      </c>
      <c r="P61" s="69" t="str">
        <f ca="1">IFERROR(__xludf.DUMMYFUNCTION("VLOOKUP(O61, IMPORTRANGE(""https://docs.google.com/spreadsheets/d/1yDAaXNsi4Mr5FtRQL4tbmSdIzhx6_m4wkOD7IG-k_eo/edit#gid=0"", ""Maths!M:N""), 2, FALSE)"),"(LU001575.004); Default - Analyse")</f>
        <v>(LU001575.004); Default - Analyse</v>
      </c>
      <c r="Q61" s="69" t="str">
        <f t="shared" si="4"/>
        <v>LU001575.005</v>
      </c>
      <c r="R61" s="69" t="str">
        <f ca="1">IFERROR(__xludf.DUMMYFUNCTION("VLOOKUP(Q61, IMPORTRANGE(""https://docs.google.com/spreadsheets/d/1yDAaXNsi4Mr5FtRQL4tbmSdIzhx6_m4wkOD7IG-k_eo/edit#gid=0"", ""Maths!M:N""), 2, FALSE)"),"(LU001575.005); Default - Evaluate")</f>
        <v>(LU001575.005); Default - Evaluate</v>
      </c>
      <c r="S61" s="69" t="str">
        <f t="shared" si="5"/>
        <v>LU001575.006</v>
      </c>
      <c r="T61" s="69" t="str">
        <f ca="1">IFERROR(__xludf.DUMMYFUNCTION("VLOOKUP(S61, IMPORTRANGE(""https://docs.google.com/spreadsheets/d/1yDAaXNsi4Mr5FtRQL4tbmSdIzhx6_m4wkOD7IG-k_eo/edit#gid=0"", ""Maths!M:N""), 2, FALSE)"),"(LU001575.006); Default - Create")</f>
        <v>(LU001575.006); Default - Create</v>
      </c>
      <c r="U61" s="11" t="str">
        <f ca="1">IFERROR(__xludf.DUMMYFUNCTION("ArrayFormula(VLOOKUP(G61, IMPORTRANGE(""https://docs.google.com/spreadsheets/d/1p7R4vtkWt5VOBim4ltsDG9KTzSjrtKXsMtQGXPHyND0/edit#gid=795171502"", ""'Filter 30_05_2024'!A1:M2000""), {2, 3, 4, 5,6,7,8,9,10,11,12,13}, 0))"),"#N/A")</f>
        <v>#N/A</v>
      </c>
      <c r="V61" s="11" t="str">
        <f ca="1">IFERROR(__xludf.DUMMYFUNCTION("""COMPUTED_VALUE"""),"#N/A")</f>
        <v>#N/A</v>
      </c>
      <c r="W61" s="11" t="str">
        <f ca="1">IFERROR(__xludf.DUMMYFUNCTION("""COMPUTED_VALUE"""),"#N/A")</f>
        <v>#N/A</v>
      </c>
      <c r="X61" s="11" t="str">
        <f ca="1">IFERROR(__xludf.DUMMYFUNCTION("""COMPUTED_VALUE"""),"#N/A")</f>
        <v>#N/A</v>
      </c>
      <c r="Y61" s="11" t="str">
        <f ca="1">IFERROR(__xludf.DUMMYFUNCTION("""COMPUTED_VALUE"""),"#N/A")</f>
        <v>#N/A</v>
      </c>
      <c r="Z61" s="12" t="str">
        <f ca="1">IFERROR(__xludf.DUMMYFUNCTION("""COMPUTED_VALUE"""),"#N/A")</f>
        <v>#N/A</v>
      </c>
      <c r="AA61" s="12" t="str">
        <f ca="1">IFERROR(__xludf.DUMMYFUNCTION("""COMPUTED_VALUE"""),"#N/A")</f>
        <v>#N/A</v>
      </c>
      <c r="AB61" s="12" t="str">
        <f ca="1">IFERROR(__xludf.DUMMYFUNCTION("""COMPUTED_VALUE"""),"#N/A")</f>
        <v>#N/A</v>
      </c>
      <c r="AC61" s="11" t="str">
        <f ca="1">IFERROR(__xludf.DUMMYFUNCTION("""COMPUTED_VALUE"""),"#N/A")</f>
        <v>#N/A</v>
      </c>
      <c r="AD61" s="12" t="str">
        <f ca="1">IFERROR(__xludf.DUMMYFUNCTION("""COMPUTED_VALUE"""),"#N/A")</f>
        <v>#N/A</v>
      </c>
      <c r="AE61" s="12" t="str">
        <f ca="1">IFERROR(__xludf.DUMMYFUNCTION("""COMPUTED_VALUE"""),"#N/A")</f>
        <v>#N/A</v>
      </c>
      <c r="AF61" s="12" t="str">
        <f ca="1">IFERROR(__xludf.DUMMYFUNCTION("""COMPUTED_VALUE"""),"#N/A")</f>
        <v>#N/A</v>
      </c>
      <c r="AG61" s="86" t="str">
        <f ca="1">IFERROR(__xludf.DUMMYFUNCTION("ArrayFormula(VLOOKUP(G61, IMPORTRANGE(""https://docs.google.com/spreadsheets/d/1Co934fvtviyaRiMsrIlT05Jaq7iiYq07aLvRr35KA48/edit?gid=173865642#gid=173865642"", ""'G10_Maths_Pri_LU'!G2:V2000""), {3, 4, 5, 6, 7, 8, 9, 10, 11, 12, 13, 14, 15, 16}, 0))"),"LU001517")</f>
        <v>LU001517</v>
      </c>
      <c r="AH61" s="83" t="str">
        <f ca="1">IFERROR(__xludf.DUMMYFUNCTION("""COMPUTED_VALUE"""),"Angle of elevation")</f>
        <v>Angle of elevation</v>
      </c>
      <c r="AI61" s="83" t="str">
        <f ca="1">IFERROR(__xludf.DUMMYFUNCTION("""COMPUTED_VALUE"""),"LU001518")</f>
        <v>LU001518</v>
      </c>
      <c r="AJ61" s="83" t="str">
        <f ca="1">IFERROR(__xludf.DUMMYFUNCTION("""COMPUTED_VALUE"""),"Angle of depression")</f>
        <v>Angle of depression</v>
      </c>
      <c r="AK61" s="83"/>
      <c r="AL61" s="83"/>
      <c r="AM61" s="83"/>
      <c r="AN61" s="83"/>
      <c r="AO61" s="83"/>
      <c r="AP61" s="83"/>
      <c r="AQ61" s="83"/>
      <c r="AR61" s="83"/>
      <c r="AS61" s="83"/>
      <c r="AT61" s="83"/>
    </row>
    <row r="62" spans="1:46" ht="27.6">
      <c r="A62" s="8" t="s">
        <v>247</v>
      </c>
      <c r="B62" s="82" t="s">
        <v>47</v>
      </c>
      <c r="C62" s="82" t="s">
        <v>1172</v>
      </c>
      <c r="D62" s="83" t="s">
        <v>732</v>
      </c>
      <c r="E62" s="82" t="s">
        <v>1332</v>
      </c>
      <c r="F62" s="13" t="s">
        <v>1336</v>
      </c>
      <c r="G62" s="90" t="s">
        <v>1337</v>
      </c>
      <c r="H62" s="100" t="s">
        <v>1338</v>
      </c>
      <c r="I62" s="68" t="str">
        <f t="shared" si="0"/>
        <v>LU001519.001</v>
      </c>
      <c r="J62" s="69" t="str">
        <f ca="1">IFERROR(__xludf.DUMMYFUNCTION("VLOOKUP(I62, IMPORTRANGE(""https://docs.google.com/spreadsheets/d/1yDAaXNsi4Mr5FtRQL4tbmSdIzhx6_m4wkOD7IG-k_eo/edit#gid=0"", ""Maths!M:N""), 2, FALSE)"),"(LU001519.001); Default - Remember")</f>
        <v>(LU001519.001); Default - Remember</v>
      </c>
      <c r="K62" s="69" t="str">
        <f t="shared" si="1"/>
        <v>LU001519.002</v>
      </c>
      <c r="L62" s="69" t="str">
        <f ca="1">IFERROR(__xludf.DUMMYFUNCTION("VLOOKUP(K62, IMPORTRANGE(""https://docs.google.com/spreadsheets/d/1yDAaXNsi4Mr5FtRQL4tbmSdIzhx6_m4wkOD7IG-k_eo/edit#gid=0"", ""Maths!M:N""), 2, FALSE)"),"(LU001519.002); Default - Understand")</f>
        <v>(LU001519.002); Default - Understand</v>
      </c>
      <c r="M62" s="69" t="str">
        <f t="shared" si="2"/>
        <v>LU001519.003</v>
      </c>
      <c r="N62" s="69" t="str">
        <f ca="1">IFERROR(__xludf.DUMMYFUNCTION("VLOOKUP(M62, IMPORTRANGE(""https://docs.google.com/spreadsheets/d/1yDAaXNsi4Mr5FtRQL4tbmSdIzhx6_m4wkOD7IG-k_eo/edit#gid=0"", ""Maths!M:N""), 2, FALSE)"),"(LU001519.003); Default - Apply")</f>
        <v>(LU001519.003); Default - Apply</v>
      </c>
      <c r="O62" s="69" t="str">
        <f t="shared" si="3"/>
        <v>LU001519.004</v>
      </c>
      <c r="P62" s="69" t="str">
        <f ca="1">IFERROR(__xludf.DUMMYFUNCTION("VLOOKUP(O62, IMPORTRANGE(""https://docs.google.com/spreadsheets/d/1yDAaXNsi4Mr5FtRQL4tbmSdIzhx6_m4wkOD7IG-k_eo/edit#gid=0"", ""Maths!M:N""), 2, FALSE)"),"(LU001519.004); Default - Analyse")</f>
        <v>(LU001519.004); Default - Analyse</v>
      </c>
      <c r="Q62" s="69" t="str">
        <f t="shared" si="4"/>
        <v>LU001519.005</v>
      </c>
      <c r="R62" s="69" t="str">
        <f ca="1">IFERROR(__xludf.DUMMYFUNCTION("VLOOKUP(Q62, IMPORTRANGE(""https://docs.google.com/spreadsheets/d/1yDAaXNsi4Mr5FtRQL4tbmSdIzhx6_m4wkOD7IG-k_eo/edit#gid=0"", ""Maths!M:N""), 2, FALSE)"),"(LU001519.005); Default - Evaluate")</f>
        <v>(LU001519.005); Default - Evaluate</v>
      </c>
      <c r="S62" s="69" t="str">
        <f t="shared" si="5"/>
        <v>LU001519.006</v>
      </c>
      <c r="T62" s="69" t="str">
        <f ca="1">IFERROR(__xludf.DUMMYFUNCTION("VLOOKUP(S62, IMPORTRANGE(""https://docs.google.com/spreadsheets/d/1yDAaXNsi4Mr5FtRQL4tbmSdIzhx6_m4wkOD7IG-k_eo/edit#gid=0"", ""Maths!M:N""), 2, FALSE)"),"(LU001519.006); Default - Create")</f>
        <v>(LU001519.006); Default - Create</v>
      </c>
      <c r="U62" s="11" t="str">
        <f ca="1">IFERROR(__xludf.DUMMYFUNCTION("ArrayFormula(VLOOKUP(G62, IMPORTRANGE(""https://docs.google.com/spreadsheets/d/1p7R4vtkWt5VOBim4ltsDG9KTzSjrtKXsMtQGXPHyND0/edit#gid=795171502"", ""'Filter 30_05_2024'!A1:M2000""), {2, 3, 4, 5,6,7,8,9,10,11,12,13}, 0))"),"#N/A")</f>
        <v>#N/A</v>
      </c>
      <c r="V62" s="11" t="str">
        <f ca="1">IFERROR(__xludf.DUMMYFUNCTION("""COMPUTED_VALUE"""),"#N/A")</f>
        <v>#N/A</v>
      </c>
      <c r="W62" s="11" t="str">
        <f ca="1">IFERROR(__xludf.DUMMYFUNCTION("""COMPUTED_VALUE"""),"#N/A")</f>
        <v>#N/A</v>
      </c>
      <c r="X62" s="11" t="str">
        <f ca="1">IFERROR(__xludf.DUMMYFUNCTION("""COMPUTED_VALUE"""),"#N/A")</f>
        <v>#N/A</v>
      </c>
      <c r="Y62" s="11" t="str">
        <f ca="1">IFERROR(__xludf.DUMMYFUNCTION("""COMPUTED_VALUE"""),"#N/A")</f>
        <v>#N/A</v>
      </c>
      <c r="Z62" s="12" t="str">
        <f ca="1">IFERROR(__xludf.DUMMYFUNCTION("""COMPUTED_VALUE"""),"#N/A")</f>
        <v>#N/A</v>
      </c>
      <c r="AA62" s="12" t="str">
        <f ca="1">IFERROR(__xludf.DUMMYFUNCTION("""COMPUTED_VALUE"""),"#N/A")</f>
        <v>#N/A</v>
      </c>
      <c r="AB62" s="12" t="str">
        <f ca="1">IFERROR(__xludf.DUMMYFUNCTION("""COMPUTED_VALUE"""),"#N/A")</f>
        <v>#N/A</v>
      </c>
      <c r="AC62" s="11" t="str">
        <f ca="1">IFERROR(__xludf.DUMMYFUNCTION("""COMPUTED_VALUE"""),"#N/A")</f>
        <v>#N/A</v>
      </c>
      <c r="AD62" s="12" t="str">
        <f ca="1">IFERROR(__xludf.DUMMYFUNCTION("""COMPUTED_VALUE"""),"#N/A")</f>
        <v>#N/A</v>
      </c>
      <c r="AE62" s="12" t="str">
        <f ca="1">IFERROR(__xludf.DUMMYFUNCTION("""COMPUTED_VALUE"""),"#N/A")</f>
        <v>#N/A</v>
      </c>
      <c r="AF62" s="12" t="str">
        <f ca="1">IFERROR(__xludf.DUMMYFUNCTION("""COMPUTED_VALUE"""),"#N/A")</f>
        <v>#N/A</v>
      </c>
      <c r="AG62" s="86" t="str">
        <f ca="1">IFERROR(__xludf.DUMMYFUNCTION("ArrayFormula(VLOOKUP(G62, IMPORTRANGE(""https://docs.google.com/spreadsheets/d/1Co934fvtviyaRiMsrIlT05Jaq7iiYq07aLvRr35KA48/edit?gid=173865642#gid=173865642"", ""'G10_Maths_Pri_LU'!G2:V2000""), {3, 4, 5, 6, 7, 8, 9, 10, 11, 12, 13, 14, 15, 16}, 0))"),"LU001575")</f>
        <v>LU001575</v>
      </c>
      <c r="AH62" s="83" t="str">
        <f ca="1">IFERROR(__xludf.DUMMYFUNCTION("""COMPUTED_VALUE"""),"Angle of elevation and depression")</f>
        <v>Angle of elevation and depression</v>
      </c>
      <c r="AI62" s="83"/>
      <c r="AJ62" s="83"/>
      <c r="AK62" s="83"/>
      <c r="AL62" s="83"/>
      <c r="AM62" s="83"/>
      <c r="AN62" s="83"/>
      <c r="AO62" s="83"/>
      <c r="AP62" s="83"/>
      <c r="AQ62" s="83"/>
      <c r="AR62" s="83"/>
      <c r="AS62" s="83"/>
      <c r="AT62" s="83"/>
    </row>
    <row r="63" spans="1:46" ht="27.6">
      <c r="A63" s="8" t="s">
        <v>247</v>
      </c>
      <c r="B63" s="82" t="s">
        <v>47</v>
      </c>
      <c r="C63" s="82" t="s">
        <v>1172</v>
      </c>
      <c r="D63" s="83" t="s">
        <v>732</v>
      </c>
      <c r="E63" s="82" t="s">
        <v>1332</v>
      </c>
      <c r="F63" s="13" t="s">
        <v>1336</v>
      </c>
      <c r="G63" s="84" t="s">
        <v>1339</v>
      </c>
      <c r="H63" s="100" t="s">
        <v>1340</v>
      </c>
      <c r="I63" s="68" t="str">
        <f t="shared" si="0"/>
        <v>LU001520.001</v>
      </c>
      <c r="J63" s="69" t="str">
        <f ca="1">IFERROR(__xludf.DUMMYFUNCTION("VLOOKUP(I63, IMPORTRANGE(""https://docs.google.com/spreadsheets/d/1yDAaXNsi4Mr5FtRQL4tbmSdIzhx6_m4wkOD7IG-k_eo/edit#gid=0"", ""Maths!M:N""), 2, FALSE)"),"(LU001520.001); Default - Remember")</f>
        <v>(LU001520.001); Default - Remember</v>
      </c>
      <c r="K63" s="69" t="str">
        <f t="shared" si="1"/>
        <v>LU001520.002</v>
      </c>
      <c r="L63" s="69" t="str">
        <f ca="1">IFERROR(__xludf.DUMMYFUNCTION("VLOOKUP(K63, IMPORTRANGE(""https://docs.google.com/spreadsheets/d/1yDAaXNsi4Mr5FtRQL4tbmSdIzhx6_m4wkOD7IG-k_eo/edit#gid=0"", ""Maths!M:N""), 2, FALSE)"),"(LU001520.002); Default - Understand")</f>
        <v>(LU001520.002); Default - Understand</v>
      </c>
      <c r="M63" s="69" t="str">
        <f t="shared" si="2"/>
        <v>LU001520.003</v>
      </c>
      <c r="N63" s="69" t="str">
        <f ca="1">IFERROR(__xludf.DUMMYFUNCTION("VLOOKUP(M63, IMPORTRANGE(""https://docs.google.com/spreadsheets/d/1yDAaXNsi4Mr5FtRQL4tbmSdIzhx6_m4wkOD7IG-k_eo/edit#gid=0"", ""Maths!M:N""), 2, FALSE)"),"(LU001520.003); Default - Apply")</f>
        <v>(LU001520.003); Default - Apply</v>
      </c>
      <c r="O63" s="69" t="str">
        <f t="shared" si="3"/>
        <v>LU001520.004</v>
      </c>
      <c r="P63" s="69" t="str">
        <f ca="1">IFERROR(__xludf.DUMMYFUNCTION("VLOOKUP(O63, IMPORTRANGE(""https://docs.google.com/spreadsheets/d/1yDAaXNsi4Mr5FtRQL4tbmSdIzhx6_m4wkOD7IG-k_eo/edit#gid=0"", ""Maths!M:N""), 2, FALSE)"),"(LU001520.004); Default - Analyse")</f>
        <v>(LU001520.004); Default - Analyse</v>
      </c>
      <c r="Q63" s="69" t="str">
        <f t="shared" si="4"/>
        <v>LU001520.005</v>
      </c>
      <c r="R63" s="69" t="str">
        <f ca="1">IFERROR(__xludf.DUMMYFUNCTION("VLOOKUP(Q63, IMPORTRANGE(""https://docs.google.com/spreadsheets/d/1yDAaXNsi4Mr5FtRQL4tbmSdIzhx6_m4wkOD7IG-k_eo/edit#gid=0"", ""Maths!M:N""), 2, FALSE)"),"(LU001520.005); Default - Evaluate")</f>
        <v>(LU001520.005); Default - Evaluate</v>
      </c>
      <c r="S63" s="69" t="str">
        <f t="shared" si="5"/>
        <v>LU001520.006</v>
      </c>
      <c r="T63" s="69" t="str">
        <f ca="1">IFERROR(__xludf.DUMMYFUNCTION("VLOOKUP(S63, IMPORTRANGE(""https://docs.google.com/spreadsheets/d/1yDAaXNsi4Mr5FtRQL4tbmSdIzhx6_m4wkOD7IG-k_eo/edit#gid=0"", ""Maths!M:N""), 2, FALSE)"),"(LU001520.006); Default - Create")</f>
        <v>(LU001520.006); Default - Create</v>
      </c>
      <c r="U63" s="11" t="str">
        <f ca="1">IFERROR(__xludf.DUMMYFUNCTION("ArrayFormula(VLOOKUP(G63, IMPORTRANGE(""https://docs.google.com/spreadsheets/d/1p7R4vtkWt5VOBim4ltsDG9KTzSjrtKXsMtQGXPHyND0/edit#gid=795171502"", ""'Filter 30_05_2024'!A1:M2000""), {2, 3, 4, 5,6,7,8,9,10,11,12,13}, 0))"),"#N/A")</f>
        <v>#N/A</v>
      </c>
      <c r="V63" s="11" t="str">
        <f ca="1">IFERROR(__xludf.DUMMYFUNCTION("""COMPUTED_VALUE"""),"#N/A")</f>
        <v>#N/A</v>
      </c>
      <c r="W63" s="11" t="str">
        <f ca="1">IFERROR(__xludf.DUMMYFUNCTION("""COMPUTED_VALUE"""),"#N/A")</f>
        <v>#N/A</v>
      </c>
      <c r="X63" s="11" t="str">
        <f ca="1">IFERROR(__xludf.DUMMYFUNCTION("""COMPUTED_VALUE"""),"#N/A")</f>
        <v>#N/A</v>
      </c>
      <c r="Y63" s="11" t="str">
        <f ca="1">IFERROR(__xludf.DUMMYFUNCTION("""COMPUTED_VALUE"""),"#N/A")</f>
        <v>#N/A</v>
      </c>
      <c r="Z63" s="12" t="str">
        <f ca="1">IFERROR(__xludf.DUMMYFUNCTION("""COMPUTED_VALUE"""),"#N/A")</f>
        <v>#N/A</v>
      </c>
      <c r="AA63" s="12" t="str">
        <f ca="1">IFERROR(__xludf.DUMMYFUNCTION("""COMPUTED_VALUE"""),"#N/A")</f>
        <v>#N/A</v>
      </c>
      <c r="AB63" s="12" t="str">
        <f ca="1">IFERROR(__xludf.DUMMYFUNCTION("""COMPUTED_VALUE"""),"#N/A")</f>
        <v>#N/A</v>
      </c>
      <c r="AC63" s="11" t="str">
        <f ca="1">IFERROR(__xludf.DUMMYFUNCTION("""COMPUTED_VALUE"""),"#N/A")</f>
        <v>#N/A</v>
      </c>
      <c r="AD63" s="12" t="str">
        <f ca="1">IFERROR(__xludf.DUMMYFUNCTION("""COMPUTED_VALUE"""),"#N/A")</f>
        <v>#N/A</v>
      </c>
      <c r="AE63" s="12" t="str">
        <f ca="1">IFERROR(__xludf.DUMMYFUNCTION("""COMPUTED_VALUE"""),"#N/A")</f>
        <v>#N/A</v>
      </c>
      <c r="AF63" s="12" t="str">
        <f ca="1">IFERROR(__xludf.DUMMYFUNCTION("""COMPUTED_VALUE"""),"#N/A")</f>
        <v>#N/A</v>
      </c>
      <c r="AG63" s="86" t="str">
        <f ca="1">IFERROR(__xludf.DUMMYFUNCTION("ArrayFormula(VLOOKUP(G63, IMPORTRANGE(""https://docs.google.com/spreadsheets/d/1Co934fvtviyaRiMsrIlT05Jaq7iiYq07aLvRr35KA48/edit?gid=173865642#gid=173865642"", ""'G10_Maths_Pri_LU'!G2:V2000""), {3, 4, 5, 6, 7, 8, 9, 10, 11, 12, 13, 14, 15, 16}, 0))"),"LU001519")</f>
        <v>LU001519</v>
      </c>
      <c r="AH63" s="83" t="str">
        <f ca="1">IFERROR(__xludf.DUMMYFUNCTION("""COMPUTED_VALUE"""),"Height and distance using trigonometry (single angle context)")</f>
        <v>Height and distance using trigonometry (single angle context)</v>
      </c>
      <c r="AI63" s="83"/>
      <c r="AJ63" s="83"/>
      <c r="AK63" s="83"/>
      <c r="AL63" s="83"/>
      <c r="AM63" s="83"/>
      <c r="AN63" s="83"/>
      <c r="AO63" s="83"/>
      <c r="AP63" s="83"/>
      <c r="AQ63" s="83"/>
      <c r="AR63" s="83"/>
      <c r="AS63" s="83"/>
      <c r="AT63" s="83"/>
    </row>
    <row r="64" spans="1:46" ht="27.6">
      <c r="A64" s="8" t="s">
        <v>247</v>
      </c>
      <c r="B64" s="82" t="s">
        <v>47</v>
      </c>
      <c r="C64" s="82" t="s">
        <v>1172</v>
      </c>
      <c r="D64" s="83" t="s">
        <v>732</v>
      </c>
      <c r="E64" s="82" t="s">
        <v>1122</v>
      </c>
      <c r="F64" s="13" t="s">
        <v>1341</v>
      </c>
      <c r="G64" s="84" t="s">
        <v>1342</v>
      </c>
      <c r="H64" s="85" t="s">
        <v>1343</v>
      </c>
      <c r="I64" s="68" t="str">
        <f t="shared" si="0"/>
        <v>LU001522.001</v>
      </c>
      <c r="J64" s="69" t="str">
        <f ca="1">IFERROR(__xludf.DUMMYFUNCTION("VLOOKUP(I64, IMPORTRANGE(""https://docs.google.com/spreadsheets/d/1yDAaXNsi4Mr5FtRQL4tbmSdIzhx6_m4wkOD7IG-k_eo/edit#gid=0"", ""Maths!M:N""), 2, FALSE)"),"(LU001522.001); Default - Remember")</f>
        <v>(LU001522.001); Default - Remember</v>
      </c>
      <c r="K64" s="69" t="str">
        <f t="shared" si="1"/>
        <v>LU001522.002</v>
      </c>
      <c r="L64" s="69" t="str">
        <f ca="1">IFERROR(__xludf.DUMMYFUNCTION("VLOOKUP(K64, IMPORTRANGE(""https://docs.google.com/spreadsheets/d/1yDAaXNsi4Mr5FtRQL4tbmSdIzhx6_m4wkOD7IG-k_eo/edit#gid=0"", ""Maths!M:N""), 2, FALSE)"),"(LU001522.002); Default - Understand")</f>
        <v>(LU001522.002); Default - Understand</v>
      </c>
      <c r="M64" s="69" t="str">
        <f t="shared" si="2"/>
        <v>LU001522.003</v>
      </c>
      <c r="N64" s="69" t="str">
        <f ca="1">IFERROR(__xludf.DUMMYFUNCTION("VLOOKUP(M64, IMPORTRANGE(""https://docs.google.com/spreadsheets/d/1yDAaXNsi4Mr5FtRQL4tbmSdIzhx6_m4wkOD7IG-k_eo/edit#gid=0"", ""Maths!M:N""), 2, FALSE)"),"(LU001522.003); Default - Apply")</f>
        <v>(LU001522.003); Default - Apply</v>
      </c>
      <c r="O64" s="69" t="str">
        <f t="shared" si="3"/>
        <v>LU001522.004</v>
      </c>
      <c r="P64" s="69" t="str">
        <f ca="1">IFERROR(__xludf.DUMMYFUNCTION("VLOOKUP(O64, IMPORTRANGE(""https://docs.google.com/spreadsheets/d/1yDAaXNsi4Mr5FtRQL4tbmSdIzhx6_m4wkOD7IG-k_eo/edit#gid=0"", ""Maths!M:N""), 2, FALSE)"),"(LU001522.004); Default - Analyse")</f>
        <v>(LU001522.004); Default - Analyse</v>
      </c>
      <c r="Q64" s="69" t="str">
        <f t="shared" si="4"/>
        <v>LU001522.005</v>
      </c>
      <c r="R64" s="69" t="str">
        <f ca="1">IFERROR(__xludf.DUMMYFUNCTION("VLOOKUP(Q64, IMPORTRANGE(""https://docs.google.com/spreadsheets/d/1yDAaXNsi4Mr5FtRQL4tbmSdIzhx6_m4wkOD7IG-k_eo/edit#gid=0"", ""Maths!M:N""), 2, FALSE)"),"(LU001522.005); Default - Evaluate")</f>
        <v>(LU001522.005); Default - Evaluate</v>
      </c>
      <c r="S64" s="69" t="str">
        <f t="shared" si="5"/>
        <v>LU001522.006</v>
      </c>
      <c r="T64" s="69" t="str">
        <f ca="1">IFERROR(__xludf.DUMMYFUNCTION("VLOOKUP(S64, IMPORTRANGE(""https://docs.google.com/spreadsheets/d/1yDAaXNsi4Mr5FtRQL4tbmSdIzhx6_m4wkOD7IG-k_eo/edit#gid=0"", ""Maths!M:N""), 2, FALSE)"),"(LU001522.006); Default - Create")</f>
        <v>(LU001522.006); Default - Create</v>
      </c>
      <c r="U64" s="11" t="str">
        <f ca="1">IFERROR(__xludf.DUMMYFUNCTION("ArrayFormula(VLOOKUP(G64, IMPORTRANGE(""https://docs.google.com/spreadsheets/d/1p7R4vtkWt5VOBim4ltsDG9KTzSjrtKXsMtQGXPHyND0/edit#gid=795171502"", ""'Filter 30_05_2024'!A1:M2000""), {2, 3, 4, 5,6,7,8,9,10,11,12,13}, 0))"),"#N/A")</f>
        <v>#N/A</v>
      </c>
      <c r="V64" s="11" t="str">
        <f ca="1">IFERROR(__xludf.DUMMYFUNCTION("""COMPUTED_VALUE"""),"#N/A")</f>
        <v>#N/A</v>
      </c>
      <c r="W64" s="11" t="str">
        <f ca="1">IFERROR(__xludf.DUMMYFUNCTION("""COMPUTED_VALUE"""),"#N/A")</f>
        <v>#N/A</v>
      </c>
      <c r="X64" s="11" t="str">
        <f ca="1">IFERROR(__xludf.DUMMYFUNCTION("""COMPUTED_VALUE"""),"#N/A")</f>
        <v>#N/A</v>
      </c>
      <c r="Y64" s="11" t="str">
        <f ca="1">IFERROR(__xludf.DUMMYFUNCTION("""COMPUTED_VALUE"""),"#N/A")</f>
        <v>#N/A</v>
      </c>
      <c r="Z64" s="12" t="str">
        <f ca="1">IFERROR(__xludf.DUMMYFUNCTION("""COMPUTED_VALUE"""),"#N/A")</f>
        <v>#N/A</v>
      </c>
      <c r="AA64" s="12" t="str">
        <f ca="1">IFERROR(__xludf.DUMMYFUNCTION("""COMPUTED_VALUE"""),"#N/A")</f>
        <v>#N/A</v>
      </c>
      <c r="AB64" s="12" t="str">
        <f ca="1">IFERROR(__xludf.DUMMYFUNCTION("""COMPUTED_VALUE"""),"#N/A")</f>
        <v>#N/A</v>
      </c>
      <c r="AC64" s="11" t="str">
        <f ca="1">IFERROR(__xludf.DUMMYFUNCTION("""COMPUTED_VALUE"""),"#N/A")</f>
        <v>#N/A</v>
      </c>
      <c r="AD64" s="12" t="str">
        <f ca="1">IFERROR(__xludf.DUMMYFUNCTION("""COMPUTED_VALUE"""),"#N/A")</f>
        <v>#N/A</v>
      </c>
      <c r="AE64" s="12" t="str">
        <f ca="1">IFERROR(__xludf.DUMMYFUNCTION("""COMPUTED_VALUE"""),"#N/A")</f>
        <v>#N/A</v>
      </c>
      <c r="AF64" s="12" t="str">
        <f ca="1">IFERROR(__xludf.DUMMYFUNCTION("""COMPUTED_VALUE"""),"#N/A")</f>
        <v>#N/A</v>
      </c>
      <c r="AG64" s="86" t="str">
        <f ca="1">IFERROR(__xludf.DUMMYFUNCTION("ArrayFormula(VLOOKUP(G64, IMPORTRANGE(""https://docs.google.com/spreadsheets/d/1Co934fvtviyaRiMsrIlT05Jaq7iiYq07aLvRr35KA48/edit?gid=173865642#gid=173865642"", ""'G10_Maths_Pri_LU'!G2:V2000""), {3, 4, 5, 6, 7, 8, 9, 10, 11, 12, 13, 14, 15, 16}, 0))"),"LU001093")</f>
        <v>LU001093</v>
      </c>
      <c r="AH64" s="83" t="str">
        <f ca="1">IFERROR(__xludf.DUMMYFUNCTION("""COMPUTED_VALUE"""),"Elements of a circle (arc, chord, secant)")</f>
        <v>Elements of a circle (arc, chord, secant)</v>
      </c>
      <c r="AI64" s="83" t="str">
        <f ca="1">IFERROR(__xludf.DUMMYFUNCTION("""COMPUTED_VALUE"""),"LU000232")</f>
        <v>LU000232</v>
      </c>
      <c r="AJ64" s="83" t="str">
        <f ca="1">IFERROR(__xludf.DUMMYFUNCTION("""COMPUTED_VALUE"""),"Elements of circle (Centre, radius, diameter)")</f>
        <v>Elements of circle (Centre, radius, diameter)</v>
      </c>
      <c r="AK64" s="83" t="str">
        <f ca="1">IFERROR(__xludf.DUMMYFUNCTION("""COMPUTED_VALUE"""),"LU000244")</f>
        <v>LU000244</v>
      </c>
      <c r="AL64" s="83" t="str">
        <f ca="1">IFERROR(__xludf.DUMMYFUNCTION("""COMPUTED_VALUE"""),"Definition of perpendicular lines")</f>
        <v>Definition of perpendicular lines</v>
      </c>
      <c r="AM64" s="83"/>
      <c r="AN64" s="83"/>
      <c r="AO64" s="83"/>
      <c r="AP64" s="83"/>
      <c r="AQ64" s="83"/>
      <c r="AR64" s="83"/>
      <c r="AS64" s="83"/>
      <c r="AT64" s="83"/>
    </row>
    <row r="65" spans="1:46" ht="41.4">
      <c r="A65" s="8" t="s">
        <v>247</v>
      </c>
      <c r="B65" s="82" t="s">
        <v>47</v>
      </c>
      <c r="C65" s="82" t="s">
        <v>1172</v>
      </c>
      <c r="D65" s="83" t="s">
        <v>732</v>
      </c>
      <c r="E65" s="82" t="s">
        <v>1122</v>
      </c>
      <c r="F65" s="13" t="s">
        <v>1341</v>
      </c>
      <c r="G65" s="84" t="s">
        <v>1344</v>
      </c>
      <c r="H65" s="85" t="s">
        <v>1345</v>
      </c>
      <c r="I65" s="68" t="str">
        <f t="shared" si="0"/>
        <v>LU001524.001</v>
      </c>
      <c r="J65" s="69" t="str">
        <f ca="1">IFERROR(__xludf.DUMMYFUNCTION("VLOOKUP(I65, IMPORTRANGE(""https://docs.google.com/spreadsheets/d/1yDAaXNsi4Mr5FtRQL4tbmSdIzhx6_m4wkOD7IG-k_eo/edit#gid=0"", ""Maths!M:N""), 2, FALSE)"),"(LU001524.001); Default - Remember")</f>
        <v>(LU001524.001); Default - Remember</v>
      </c>
      <c r="K65" s="69" t="str">
        <f t="shared" si="1"/>
        <v>LU001524.002</v>
      </c>
      <c r="L65" s="69" t="str">
        <f ca="1">IFERROR(__xludf.DUMMYFUNCTION("VLOOKUP(K65, IMPORTRANGE(""https://docs.google.com/spreadsheets/d/1yDAaXNsi4Mr5FtRQL4tbmSdIzhx6_m4wkOD7IG-k_eo/edit#gid=0"", ""Maths!M:N""), 2, FALSE)"),"(LU001524.002); Default - Understand")</f>
        <v>(LU001524.002); Default - Understand</v>
      </c>
      <c r="M65" s="69" t="str">
        <f t="shared" si="2"/>
        <v>LU001524.003</v>
      </c>
      <c r="N65" s="69" t="str">
        <f ca="1">IFERROR(__xludf.DUMMYFUNCTION("VLOOKUP(M65, IMPORTRANGE(""https://docs.google.com/spreadsheets/d/1yDAaXNsi4Mr5FtRQL4tbmSdIzhx6_m4wkOD7IG-k_eo/edit#gid=0"", ""Maths!M:N""), 2, FALSE)"),"(LU001524.003); Default - Apply")</f>
        <v>(LU001524.003); Default - Apply</v>
      </c>
      <c r="O65" s="69" t="str">
        <f t="shared" si="3"/>
        <v>LU001524.004</v>
      </c>
      <c r="P65" s="69" t="str">
        <f ca="1">IFERROR(__xludf.DUMMYFUNCTION("VLOOKUP(O65, IMPORTRANGE(""https://docs.google.com/spreadsheets/d/1yDAaXNsi4Mr5FtRQL4tbmSdIzhx6_m4wkOD7IG-k_eo/edit#gid=0"", ""Maths!M:N""), 2, FALSE)"),"(LU001524.004); Default - Analyse")</f>
        <v>(LU001524.004); Default - Analyse</v>
      </c>
      <c r="Q65" s="69" t="str">
        <f t="shared" si="4"/>
        <v>LU001524.005</v>
      </c>
      <c r="R65" s="69" t="str">
        <f ca="1">IFERROR(__xludf.DUMMYFUNCTION("VLOOKUP(Q65, IMPORTRANGE(""https://docs.google.com/spreadsheets/d/1yDAaXNsi4Mr5FtRQL4tbmSdIzhx6_m4wkOD7IG-k_eo/edit#gid=0"", ""Maths!M:N""), 2, FALSE)"),"(LU001524.005); Default - Evaluate")</f>
        <v>(LU001524.005); Default - Evaluate</v>
      </c>
      <c r="S65" s="69" t="str">
        <f t="shared" si="5"/>
        <v>LU001524.006</v>
      </c>
      <c r="T65" s="69" t="str">
        <f ca="1">IFERROR(__xludf.DUMMYFUNCTION("VLOOKUP(S65, IMPORTRANGE(""https://docs.google.com/spreadsheets/d/1yDAaXNsi4Mr5FtRQL4tbmSdIzhx6_m4wkOD7IG-k_eo/edit#gid=0"", ""Maths!M:N""), 2, FALSE)"),"(LU001524.006); Default - Create")</f>
        <v>(LU001524.006); Default - Create</v>
      </c>
      <c r="U65" s="11" t="str">
        <f ca="1">IFERROR(__xludf.DUMMYFUNCTION("ArrayFormula(VLOOKUP(G65, IMPORTRANGE(""https://docs.google.com/spreadsheets/d/1p7R4vtkWt5VOBim4ltsDG9KTzSjrtKXsMtQGXPHyND0/edit#gid=795171502"", ""'Filter 30_05_2024'!A1:M2000""), {2, 3, 4, 5,6,7,8,9,10,11,12,13}, 0))"),"#N/A")</f>
        <v>#N/A</v>
      </c>
      <c r="V65" s="11" t="str">
        <f ca="1">IFERROR(__xludf.DUMMYFUNCTION("""COMPUTED_VALUE"""),"#N/A")</f>
        <v>#N/A</v>
      </c>
      <c r="W65" s="11" t="str">
        <f ca="1">IFERROR(__xludf.DUMMYFUNCTION("""COMPUTED_VALUE"""),"#N/A")</f>
        <v>#N/A</v>
      </c>
      <c r="X65" s="11" t="str">
        <f ca="1">IFERROR(__xludf.DUMMYFUNCTION("""COMPUTED_VALUE"""),"#N/A")</f>
        <v>#N/A</v>
      </c>
      <c r="Y65" s="11" t="str">
        <f ca="1">IFERROR(__xludf.DUMMYFUNCTION("""COMPUTED_VALUE"""),"#N/A")</f>
        <v>#N/A</v>
      </c>
      <c r="Z65" s="12" t="str">
        <f ca="1">IFERROR(__xludf.DUMMYFUNCTION("""COMPUTED_VALUE"""),"#N/A")</f>
        <v>#N/A</v>
      </c>
      <c r="AA65" s="12" t="str">
        <f ca="1">IFERROR(__xludf.DUMMYFUNCTION("""COMPUTED_VALUE"""),"#N/A")</f>
        <v>#N/A</v>
      </c>
      <c r="AB65" s="12" t="str">
        <f ca="1">IFERROR(__xludf.DUMMYFUNCTION("""COMPUTED_VALUE"""),"#N/A")</f>
        <v>#N/A</v>
      </c>
      <c r="AC65" s="11" t="str">
        <f ca="1">IFERROR(__xludf.DUMMYFUNCTION("""COMPUTED_VALUE"""),"#N/A")</f>
        <v>#N/A</v>
      </c>
      <c r="AD65" s="12" t="str">
        <f ca="1">IFERROR(__xludf.DUMMYFUNCTION("""COMPUTED_VALUE"""),"#N/A")</f>
        <v>#N/A</v>
      </c>
      <c r="AE65" s="12" t="str">
        <f ca="1">IFERROR(__xludf.DUMMYFUNCTION("""COMPUTED_VALUE"""),"#N/A")</f>
        <v>#N/A</v>
      </c>
      <c r="AF65" s="12" t="str">
        <f ca="1">IFERROR(__xludf.DUMMYFUNCTION("""COMPUTED_VALUE"""),"#N/A")</f>
        <v>#N/A</v>
      </c>
      <c r="AG65" s="86" t="str">
        <f ca="1">IFERROR(__xludf.DUMMYFUNCTION("ArrayFormula(VLOOKUP(G65, IMPORTRANGE(""https://docs.google.com/spreadsheets/d/1Co934fvtviyaRiMsrIlT05Jaq7iiYq07aLvRr35KA48/edit?gid=173865642#gid=173865642"", ""'G10_Maths_Pri_LU'!G2:V2000""), {3, 4, 5, 6, 7, 8, 9, 10, 11, 12, 13, 14, 15, 16}, 0))"),"LU001522")</f>
        <v>LU001522</v>
      </c>
      <c r="AH65" s="83" t="str">
        <f ca="1">IFERROR(__xludf.DUMMYFUNCTION("""COMPUTED_VALUE"""),"Definition of a tangent to a circle and its existence")</f>
        <v>Definition of a tangent to a circle and its existence</v>
      </c>
      <c r="AI65" s="83"/>
      <c r="AJ65" s="83"/>
      <c r="AK65" s="83"/>
      <c r="AL65" s="83"/>
      <c r="AM65" s="83"/>
      <c r="AN65" s="83"/>
      <c r="AO65" s="83"/>
      <c r="AP65" s="83"/>
      <c r="AQ65" s="83"/>
      <c r="AR65" s="83"/>
      <c r="AS65" s="83"/>
      <c r="AT65" s="83"/>
    </row>
    <row r="66" spans="1:46" ht="27.6">
      <c r="A66" s="8" t="s">
        <v>247</v>
      </c>
      <c r="B66" s="82" t="s">
        <v>47</v>
      </c>
      <c r="C66" s="82" t="s">
        <v>1172</v>
      </c>
      <c r="D66" s="83" t="s">
        <v>732</v>
      </c>
      <c r="E66" s="82" t="s">
        <v>1122</v>
      </c>
      <c r="F66" s="8" t="s">
        <v>1346</v>
      </c>
      <c r="G66" s="84" t="s">
        <v>1347</v>
      </c>
      <c r="H66" s="85" t="s">
        <v>1348</v>
      </c>
      <c r="I66" s="68" t="str">
        <f t="shared" si="0"/>
        <v>LU001526.001</v>
      </c>
      <c r="J66" s="69" t="str">
        <f ca="1">IFERROR(__xludf.DUMMYFUNCTION("VLOOKUP(I66, IMPORTRANGE(""https://docs.google.com/spreadsheets/d/1yDAaXNsi4Mr5FtRQL4tbmSdIzhx6_m4wkOD7IG-k_eo/edit#gid=0"", ""Maths!M:N""), 2, FALSE)"),"(LU001526.001); Default - Remember")</f>
        <v>(LU001526.001); Default - Remember</v>
      </c>
      <c r="K66" s="69" t="str">
        <f t="shared" si="1"/>
        <v>LU001526.002</v>
      </c>
      <c r="L66" s="69" t="str">
        <f ca="1">IFERROR(__xludf.DUMMYFUNCTION("VLOOKUP(K66, IMPORTRANGE(""https://docs.google.com/spreadsheets/d/1yDAaXNsi4Mr5FtRQL4tbmSdIzhx6_m4wkOD7IG-k_eo/edit#gid=0"", ""Maths!M:N""), 2, FALSE)"),"(LU001526.002); Default - Understand")</f>
        <v>(LU001526.002); Default - Understand</v>
      </c>
      <c r="M66" s="69" t="str">
        <f t="shared" si="2"/>
        <v>LU001526.003</v>
      </c>
      <c r="N66" s="69" t="str">
        <f ca="1">IFERROR(__xludf.DUMMYFUNCTION("VLOOKUP(M66, IMPORTRANGE(""https://docs.google.com/spreadsheets/d/1yDAaXNsi4Mr5FtRQL4tbmSdIzhx6_m4wkOD7IG-k_eo/edit#gid=0"", ""Maths!M:N""), 2, FALSE)"),"(LU001526.003); Default - Apply")</f>
        <v>(LU001526.003); Default - Apply</v>
      </c>
      <c r="O66" s="69" t="str">
        <f t="shared" si="3"/>
        <v>LU001526.004</v>
      </c>
      <c r="P66" s="69" t="str">
        <f ca="1">IFERROR(__xludf.DUMMYFUNCTION("VLOOKUP(O66, IMPORTRANGE(""https://docs.google.com/spreadsheets/d/1yDAaXNsi4Mr5FtRQL4tbmSdIzhx6_m4wkOD7IG-k_eo/edit#gid=0"", ""Maths!M:N""), 2, FALSE)"),"(LU001526.004); Default - Analyse")</f>
        <v>(LU001526.004); Default - Analyse</v>
      </c>
      <c r="Q66" s="69" t="str">
        <f t="shared" si="4"/>
        <v>LU001526.005</v>
      </c>
      <c r="R66" s="69" t="str">
        <f ca="1">IFERROR(__xludf.DUMMYFUNCTION("VLOOKUP(Q66, IMPORTRANGE(""https://docs.google.com/spreadsheets/d/1yDAaXNsi4Mr5FtRQL4tbmSdIzhx6_m4wkOD7IG-k_eo/edit#gid=0"", ""Maths!M:N""), 2, FALSE)"),"(LU001526.005); Default - Evaluate")</f>
        <v>(LU001526.005); Default - Evaluate</v>
      </c>
      <c r="S66" s="69" t="str">
        <f t="shared" si="5"/>
        <v>LU001526.006</v>
      </c>
      <c r="T66" s="69" t="str">
        <f ca="1">IFERROR(__xludf.DUMMYFUNCTION("VLOOKUP(S66, IMPORTRANGE(""https://docs.google.com/spreadsheets/d/1yDAaXNsi4Mr5FtRQL4tbmSdIzhx6_m4wkOD7IG-k_eo/edit#gid=0"", ""Maths!M:N""), 2, FALSE)"),"(LU001526.006); Default - Create")</f>
        <v>(LU001526.006); Default - Create</v>
      </c>
      <c r="U66" s="11" t="str">
        <f ca="1">IFERROR(__xludf.DUMMYFUNCTION("ArrayFormula(VLOOKUP(G66, IMPORTRANGE(""https://docs.google.com/spreadsheets/d/1p7R4vtkWt5VOBim4ltsDG9KTzSjrtKXsMtQGXPHyND0/edit#gid=795171502"", ""'Filter 30_05_2024'!A1:M2000""), {2, 3, 4, 5,6,7,8,9,10,11,12,13}, 0))"),"#N/A")</f>
        <v>#N/A</v>
      </c>
      <c r="V66" s="11" t="str">
        <f ca="1">IFERROR(__xludf.DUMMYFUNCTION("""COMPUTED_VALUE"""),"#N/A")</f>
        <v>#N/A</v>
      </c>
      <c r="W66" s="11" t="str">
        <f ca="1">IFERROR(__xludf.DUMMYFUNCTION("""COMPUTED_VALUE"""),"#N/A")</f>
        <v>#N/A</v>
      </c>
      <c r="X66" s="11" t="str">
        <f ca="1">IFERROR(__xludf.DUMMYFUNCTION("""COMPUTED_VALUE"""),"#N/A")</f>
        <v>#N/A</v>
      </c>
      <c r="Y66" s="11" t="str">
        <f ca="1">IFERROR(__xludf.DUMMYFUNCTION("""COMPUTED_VALUE"""),"#N/A")</f>
        <v>#N/A</v>
      </c>
      <c r="Z66" s="12" t="str">
        <f ca="1">IFERROR(__xludf.DUMMYFUNCTION("""COMPUTED_VALUE"""),"#N/A")</f>
        <v>#N/A</v>
      </c>
      <c r="AA66" s="12" t="str">
        <f ca="1">IFERROR(__xludf.DUMMYFUNCTION("""COMPUTED_VALUE"""),"#N/A")</f>
        <v>#N/A</v>
      </c>
      <c r="AB66" s="12" t="str">
        <f ca="1">IFERROR(__xludf.DUMMYFUNCTION("""COMPUTED_VALUE"""),"#N/A")</f>
        <v>#N/A</v>
      </c>
      <c r="AC66" s="11" t="str">
        <f ca="1">IFERROR(__xludf.DUMMYFUNCTION("""COMPUTED_VALUE"""),"#N/A")</f>
        <v>#N/A</v>
      </c>
      <c r="AD66" s="12" t="str">
        <f ca="1">IFERROR(__xludf.DUMMYFUNCTION("""COMPUTED_VALUE"""),"#N/A")</f>
        <v>#N/A</v>
      </c>
      <c r="AE66" s="12" t="str">
        <f ca="1">IFERROR(__xludf.DUMMYFUNCTION("""COMPUTED_VALUE"""),"#N/A")</f>
        <v>#N/A</v>
      </c>
      <c r="AF66" s="12" t="str">
        <f ca="1">IFERROR(__xludf.DUMMYFUNCTION("""COMPUTED_VALUE"""),"#N/A")</f>
        <v>#N/A</v>
      </c>
      <c r="AG66" s="86" t="str">
        <f ca="1">IFERROR(__xludf.DUMMYFUNCTION("ArrayFormula(VLOOKUP(G66, IMPORTRANGE(""https://docs.google.com/spreadsheets/d/1Co934fvtviyaRiMsrIlT05Jaq7iiYq07aLvRr35KA48/edit?gid=173865642#gid=173865642"", ""'G10_Maths_Pri_LU'!G2:V2000""), {3, 4, 5, 6, 7, 8, 9, 10, 11, 12, 13, 14, 15, 16}, 0))"),"LU001522")</f>
        <v>LU001522</v>
      </c>
      <c r="AH66" s="83" t="str">
        <f ca="1">IFERROR(__xludf.DUMMYFUNCTION("""COMPUTED_VALUE"""),"Definition of a tangent to a circle and its existence")</f>
        <v>Definition of a tangent to a circle and its existence</v>
      </c>
      <c r="AI66" s="83"/>
      <c r="AJ66" s="83"/>
      <c r="AK66" s="83"/>
      <c r="AL66" s="83"/>
      <c r="AM66" s="83"/>
      <c r="AN66" s="83"/>
      <c r="AO66" s="83"/>
      <c r="AP66" s="83"/>
      <c r="AQ66" s="83"/>
      <c r="AR66" s="83"/>
      <c r="AS66" s="83"/>
      <c r="AT66" s="83"/>
    </row>
    <row r="67" spans="1:46" ht="41.4">
      <c r="A67" s="8" t="s">
        <v>247</v>
      </c>
      <c r="B67" s="82" t="s">
        <v>47</v>
      </c>
      <c r="C67" s="82" t="s">
        <v>1172</v>
      </c>
      <c r="D67" s="83" t="s">
        <v>732</v>
      </c>
      <c r="E67" s="82" t="s">
        <v>1122</v>
      </c>
      <c r="F67" s="8" t="s">
        <v>1346</v>
      </c>
      <c r="G67" s="84" t="s">
        <v>1349</v>
      </c>
      <c r="H67" s="85" t="s">
        <v>1350</v>
      </c>
      <c r="I67" s="68" t="str">
        <f t="shared" si="0"/>
        <v>LU001528.001</v>
      </c>
      <c r="J67" s="69" t="str">
        <f ca="1">IFERROR(__xludf.DUMMYFUNCTION("VLOOKUP(I67, IMPORTRANGE(""https://docs.google.com/spreadsheets/d/1yDAaXNsi4Mr5FtRQL4tbmSdIzhx6_m4wkOD7IG-k_eo/edit#gid=0"", ""Maths!M:N""), 2, FALSE)"),"(LU001528.001); Default - Remember")</f>
        <v>(LU001528.001); Default - Remember</v>
      </c>
      <c r="K67" s="69" t="str">
        <f t="shared" si="1"/>
        <v>LU001528.002</v>
      </c>
      <c r="L67" s="69" t="str">
        <f ca="1">IFERROR(__xludf.DUMMYFUNCTION("VLOOKUP(K67, IMPORTRANGE(""https://docs.google.com/spreadsheets/d/1yDAaXNsi4Mr5FtRQL4tbmSdIzhx6_m4wkOD7IG-k_eo/edit#gid=0"", ""Maths!M:N""), 2, FALSE)"),"(LU001528.002); Default - Understand")</f>
        <v>(LU001528.002); Default - Understand</v>
      </c>
      <c r="M67" s="69" t="str">
        <f t="shared" si="2"/>
        <v>LU001528.003</v>
      </c>
      <c r="N67" s="69" t="str">
        <f ca="1">IFERROR(__xludf.DUMMYFUNCTION("VLOOKUP(M67, IMPORTRANGE(""https://docs.google.com/spreadsheets/d/1yDAaXNsi4Mr5FtRQL4tbmSdIzhx6_m4wkOD7IG-k_eo/edit#gid=0"", ""Maths!M:N""), 2, FALSE)"),"(LU001528.003); Default - Apply")</f>
        <v>(LU001528.003); Default - Apply</v>
      </c>
      <c r="O67" s="69" t="str">
        <f t="shared" si="3"/>
        <v>LU001528.004</v>
      </c>
      <c r="P67" s="69" t="str">
        <f ca="1">IFERROR(__xludf.DUMMYFUNCTION("VLOOKUP(O67, IMPORTRANGE(""https://docs.google.com/spreadsheets/d/1yDAaXNsi4Mr5FtRQL4tbmSdIzhx6_m4wkOD7IG-k_eo/edit#gid=0"", ""Maths!M:N""), 2, FALSE)"),"(LU001528.004); Default - Analyse")</f>
        <v>(LU001528.004); Default - Analyse</v>
      </c>
      <c r="Q67" s="69" t="str">
        <f t="shared" si="4"/>
        <v>LU001528.005</v>
      </c>
      <c r="R67" s="69" t="str">
        <f ca="1">IFERROR(__xludf.DUMMYFUNCTION("VLOOKUP(Q67, IMPORTRANGE(""https://docs.google.com/spreadsheets/d/1yDAaXNsi4Mr5FtRQL4tbmSdIzhx6_m4wkOD7IG-k_eo/edit#gid=0"", ""Maths!M:N""), 2, FALSE)"),"(LU001528.005); Default - Evaluate")</f>
        <v>(LU001528.005); Default - Evaluate</v>
      </c>
      <c r="S67" s="69" t="str">
        <f t="shared" si="5"/>
        <v>LU001528.006</v>
      </c>
      <c r="T67" s="69" t="str">
        <f ca="1">IFERROR(__xludf.DUMMYFUNCTION("VLOOKUP(S67, IMPORTRANGE(""https://docs.google.com/spreadsheets/d/1yDAaXNsi4Mr5FtRQL4tbmSdIzhx6_m4wkOD7IG-k_eo/edit#gid=0"", ""Maths!M:N""), 2, FALSE)"),"(LU001528.006); Default - Create")</f>
        <v>(LU001528.006); Default - Create</v>
      </c>
      <c r="U67" s="11" t="str">
        <f ca="1">IFERROR(__xludf.DUMMYFUNCTION("ArrayFormula(VLOOKUP(G67, IMPORTRANGE(""https://docs.google.com/spreadsheets/d/1p7R4vtkWt5VOBim4ltsDG9KTzSjrtKXsMtQGXPHyND0/edit#gid=795171502"", ""'Filter 30_05_2024'!A1:M2000""), {2, 3, 4, 5,6,7,8,9,10,11,12,13}, 0))"),"#N/A")</f>
        <v>#N/A</v>
      </c>
      <c r="V67" s="11" t="str">
        <f ca="1">IFERROR(__xludf.DUMMYFUNCTION("""COMPUTED_VALUE"""),"#N/A")</f>
        <v>#N/A</v>
      </c>
      <c r="W67" s="11" t="str">
        <f ca="1">IFERROR(__xludf.DUMMYFUNCTION("""COMPUTED_VALUE"""),"#N/A")</f>
        <v>#N/A</v>
      </c>
      <c r="X67" s="11" t="str">
        <f ca="1">IFERROR(__xludf.DUMMYFUNCTION("""COMPUTED_VALUE"""),"#N/A")</f>
        <v>#N/A</v>
      </c>
      <c r="Y67" s="11" t="str">
        <f ca="1">IFERROR(__xludf.DUMMYFUNCTION("""COMPUTED_VALUE"""),"#N/A")</f>
        <v>#N/A</v>
      </c>
      <c r="Z67" s="12" t="str">
        <f ca="1">IFERROR(__xludf.DUMMYFUNCTION("""COMPUTED_VALUE"""),"#N/A")</f>
        <v>#N/A</v>
      </c>
      <c r="AA67" s="12" t="str">
        <f ca="1">IFERROR(__xludf.DUMMYFUNCTION("""COMPUTED_VALUE"""),"#N/A")</f>
        <v>#N/A</v>
      </c>
      <c r="AB67" s="12" t="str">
        <f ca="1">IFERROR(__xludf.DUMMYFUNCTION("""COMPUTED_VALUE"""),"#N/A")</f>
        <v>#N/A</v>
      </c>
      <c r="AC67" s="11" t="str">
        <f ca="1">IFERROR(__xludf.DUMMYFUNCTION("""COMPUTED_VALUE"""),"#N/A")</f>
        <v>#N/A</v>
      </c>
      <c r="AD67" s="12" t="str">
        <f ca="1">IFERROR(__xludf.DUMMYFUNCTION("""COMPUTED_VALUE"""),"#N/A")</f>
        <v>#N/A</v>
      </c>
      <c r="AE67" s="12" t="str">
        <f ca="1">IFERROR(__xludf.DUMMYFUNCTION("""COMPUTED_VALUE"""),"#N/A")</f>
        <v>#N/A</v>
      </c>
      <c r="AF67" s="12" t="str">
        <f ca="1">IFERROR(__xludf.DUMMYFUNCTION("""COMPUTED_VALUE"""),"#N/A")</f>
        <v>#N/A</v>
      </c>
      <c r="AG67" s="86" t="str">
        <f ca="1">IFERROR(__xludf.DUMMYFUNCTION("ArrayFormula(VLOOKUP(G67, IMPORTRANGE(""https://docs.google.com/spreadsheets/d/1Co934fvtviyaRiMsrIlT05Jaq7iiYq07aLvRr35KA48/edit?gid=173865642#gid=173865642"", ""'G10_Maths_Pri_LU'!G2:V2000""), {3, 4, 5, 6, 7, 8, 9, 10, 11, 12, 13, 14, 15, 16}, 0))"),"LU001522")</f>
        <v>LU001522</v>
      </c>
      <c r="AH67" s="83" t="str">
        <f ca="1">IFERROR(__xludf.DUMMYFUNCTION("""COMPUTED_VALUE"""),"Definition of a tangent to a circle and its existence")</f>
        <v>Definition of a tangent to a circle and its existence</v>
      </c>
      <c r="AI67" s="83" t="str">
        <f ca="1">IFERROR(__xludf.DUMMYFUNCTION("""COMPUTED_VALUE"""),"LU001240")</f>
        <v>LU001240</v>
      </c>
      <c r="AJ67" s="83" t="str">
        <f ca="1">IFERROR(__xludf.DUMMYFUNCTION("""COMPUTED_VALUE"""),"Theorem for RHS congruence rule")</f>
        <v>Theorem for RHS congruence rule</v>
      </c>
      <c r="AK67" s="83" t="str">
        <f ca="1">IFERROR(__xludf.DUMMYFUNCTION("""COMPUTED_VALUE"""),"LU000232")</f>
        <v>LU000232</v>
      </c>
      <c r="AL67" s="83" t="str">
        <f ca="1">IFERROR(__xludf.DUMMYFUNCTION("""COMPUTED_VALUE"""),"Elements of circle (Centre, radius, diameter)")</f>
        <v>Elements of circle (Centre, radius, diameter)</v>
      </c>
      <c r="AM67" s="83"/>
      <c r="AN67" s="83"/>
      <c r="AO67" s="83"/>
      <c r="AP67" s="83"/>
      <c r="AQ67" s="83"/>
      <c r="AR67" s="83"/>
      <c r="AS67" s="83"/>
      <c r="AT67" s="83"/>
    </row>
    <row r="68" spans="1:46" ht="15.75" customHeight="1">
      <c r="A68" s="8" t="s">
        <v>247</v>
      </c>
      <c r="B68" s="82" t="s">
        <v>47</v>
      </c>
      <c r="C68" s="82" t="s">
        <v>1172</v>
      </c>
      <c r="D68" s="83" t="s">
        <v>732</v>
      </c>
      <c r="E68" s="82" t="s">
        <v>1122</v>
      </c>
      <c r="F68" s="91" t="s">
        <v>1351</v>
      </c>
      <c r="G68" s="101" t="s">
        <v>1352</v>
      </c>
      <c r="H68" s="91" t="s">
        <v>1351</v>
      </c>
      <c r="I68" s="68" t="str">
        <f t="shared" si="0"/>
        <v>LU001576.001</v>
      </c>
      <c r="J68" s="69" t="str">
        <f ca="1">IFERROR(__xludf.DUMMYFUNCTION("VLOOKUP(I68, IMPORTRANGE(""https://docs.google.com/spreadsheets/d/1yDAaXNsi4Mr5FtRQL4tbmSdIzhx6_m4wkOD7IG-k_eo/edit#gid=0"", ""Maths!M:N""), 2, FALSE)"),"(LU001576.001); Default - Remember")</f>
        <v>(LU001576.001); Default - Remember</v>
      </c>
      <c r="K68" s="69" t="str">
        <f t="shared" si="1"/>
        <v>LU001576.002</v>
      </c>
      <c r="L68" s="69" t="str">
        <f ca="1">IFERROR(__xludf.DUMMYFUNCTION("VLOOKUP(K68, IMPORTRANGE(""https://docs.google.com/spreadsheets/d/1yDAaXNsi4Mr5FtRQL4tbmSdIzhx6_m4wkOD7IG-k_eo/edit#gid=0"", ""Maths!M:N""), 2, FALSE)"),"(LU001576.002); Default - Understand")</f>
        <v>(LU001576.002); Default - Understand</v>
      </c>
      <c r="M68" s="69" t="str">
        <f t="shared" si="2"/>
        <v>LU001576.003</v>
      </c>
      <c r="N68" s="69" t="str">
        <f ca="1">IFERROR(__xludf.DUMMYFUNCTION("VLOOKUP(M68, IMPORTRANGE(""https://docs.google.com/spreadsheets/d/1yDAaXNsi4Mr5FtRQL4tbmSdIzhx6_m4wkOD7IG-k_eo/edit#gid=0"", ""Maths!M:N""), 2, FALSE)"),"(LU001576.003); Default - Apply")</f>
        <v>(LU001576.003); Default - Apply</v>
      </c>
      <c r="O68" s="69" t="str">
        <f t="shared" si="3"/>
        <v>LU001576.004</v>
      </c>
      <c r="P68" s="69" t="str">
        <f ca="1">IFERROR(__xludf.DUMMYFUNCTION("VLOOKUP(O68, IMPORTRANGE(""https://docs.google.com/spreadsheets/d/1yDAaXNsi4Mr5FtRQL4tbmSdIzhx6_m4wkOD7IG-k_eo/edit#gid=0"", ""Maths!M:N""), 2, FALSE)"),"(LU001576.004); Default - Analyse")</f>
        <v>(LU001576.004); Default - Analyse</v>
      </c>
      <c r="Q68" s="69" t="str">
        <f t="shared" si="4"/>
        <v>LU001576.005</v>
      </c>
      <c r="R68" s="69" t="str">
        <f ca="1">IFERROR(__xludf.DUMMYFUNCTION("VLOOKUP(Q68, IMPORTRANGE(""https://docs.google.com/spreadsheets/d/1yDAaXNsi4Mr5FtRQL4tbmSdIzhx6_m4wkOD7IG-k_eo/edit#gid=0"", ""Maths!M:N""), 2, FALSE)"),"(LU001576.005); Default - Evaluate")</f>
        <v>(LU001576.005); Default - Evaluate</v>
      </c>
      <c r="S68" s="69" t="str">
        <f t="shared" si="5"/>
        <v>LU001576.006</v>
      </c>
      <c r="T68" s="69" t="str">
        <f ca="1">IFERROR(__xludf.DUMMYFUNCTION("VLOOKUP(S68, IMPORTRANGE(""https://docs.google.com/spreadsheets/d/1yDAaXNsi4Mr5FtRQL4tbmSdIzhx6_m4wkOD7IG-k_eo/edit#gid=0"", ""Maths!M:N""), 2, FALSE)"),"(LU001576.006); Default - Create")</f>
        <v>(LU001576.006); Default - Create</v>
      </c>
      <c r="U68" s="11" t="str">
        <f ca="1">IFERROR(__xludf.DUMMYFUNCTION("ArrayFormula(VLOOKUP(G68, IMPORTRANGE(""https://docs.google.com/spreadsheets/d/1p7R4vtkWt5VOBim4ltsDG9KTzSjrtKXsMtQGXPHyND0/edit#gid=795171502"", ""'Filter 30_05_2024'!A1:M2000""), {2, 3, 4, 5,6,7,8,9,10,11,12,13}, 0))"),"#N/A")</f>
        <v>#N/A</v>
      </c>
      <c r="V68" s="11" t="str">
        <f ca="1">IFERROR(__xludf.DUMMYFUNCTION("""COMPUTED_VALUE"""),"#N/A")</f>
        <v>#N/A</v>
      </c>
      <c r="W68" s="11" t="str">
        <f ca="1">IFERROR(__xludf.DUMMYFUNCTION("""COMPUTED_VALUE"""),"#N/A")</f>
        <v>#N/A</v>
      </c>
      <c r="X68" s="11" t="str">
        <f ca="1">IFERROR(__xludf.DUMMYFUNCTION("""COMPUTED_VALUE"""),"#N/A")</f>
        <v>#N/A</v>
      </c>
      <c r="Y68" s="11" t="str">
        <f ca="1">IFERROR(__xludf.DUMMYFUNCTION("""COMPUTED_VALUE"""),"#N/A")</f>
        <v>#N/A</v>
      </c>
      <c r="Z68" s="12" t="str">
        <f ca="1">IFERROR(__xludf.DUMMYFUNCTION("""COMPUTED_VALUE"""),"#N/A")</f>
        <v>#N/A</v>
      </c>
      <c r="AA68" s="12" t="str">
        <f ca="1">IFERROR(__xludf.DUMMYFUNCTION("""COMPUTED_VALUE"""),"#N/A")</f>
        <v>#N/A</v>
      </c>
      <c r="AB68" s="12" t="str">
        <f ca="1">IFERROR(__xludf.DUMMYFUNCTION("""COMPUTED_VALUE"""),"#N/A")</f>
        <v>#N/A</v>
      </c>
      <c r="AC68" s="11" t="str">
        <f ca="1">IFERROR(__xludf.DUMMYFUNCTION("""COMPUTED_VALUE"""),"#N/A")</f>
        <v>#N/A</v>
      </c>
      <c r="AD68" s="12" t="str">
        <f ca="1">IFERROR(__xludf.DUMMYFUNCTION("""COMPUTED_VALUE"""),"#N/A")</f>
        <v>#N/A</v>
      </c>
      <c r="AE68" s="12" t="str">
        <f ca="1">IFERROR(__xludf.DUMMYFUNCTION("""COMPUTED_VALUE"""),"#N/A")</f>
        <v>#N/A</v>
      </c>
      <c r="AF68" s="12" t="str">
        <f ca="1">IFERROR(__xludf.DUMMYFUNCTION("""COMPUTED_VALUE"""),"#N/A")</f>
        <v>#N/A</v>
      </c>
      <c r="AG68" s="86" t="str">
        <f ca="1">IFERROR(__xludf.DUMMYFUNCTION("ArrayFormula(VLOOKUP(G68, IMPORTRANGE(""https://docs.google.com/spreadsheets/d/1Co934fvtviyaRiMsrIlT05Jaq7iiYq07aLvRr35KA48/edit?gid=173865642#gid=173865642"", ""'G10_Maths_Pri_LU'!G2:V2000""), {3, 4, 5, 6, 7, 8, 9, 10, 11, 12, 13, 14, 15, 16}, 0))"),"LU001524")</f>
        <v>LU001524</v>
      </c>
      <c r="AH68" s="83" t="str">
        <f ca="1">IFERROR(__xludf.DUMMYFUNCTION("""COMPUTED_VALUE"""),"Theorem: The tangent at any point of a circle is perpendicular to the radius through the point of contact.")</f>
        <v>Theorem: The tangent at any point of a circle is perpendicular to the radius through the point of contact.</v>
      </c>
      <c r="AI68" s="83" t="str">
        <f ca="1">IFERROR(__xludf.DUMMYFUNCTION("""COMPUTED_VALUE"""),"LU001528")</f>
        <v>LU001528</v>
      </c>
      <c r="AJ68" s="83" t="str">
        <f ca="1">IFERROR(__xludf.DUMMYFUNCTION("""COMPUTED_VALUE"""),"Theorem: The lengths of tangents drawn from an external point to a circle are equal.")</f>
        <v>Theorem: The lengths of tangents drawn from an external point to a circle are equal.</v>
      </c>
      <c r="AK68" s="83" t="str">
        <f ca="1">IFERROR(__xludf.DUMMYFUNCTION("""COMPUTED_VALUE"""),"LU000434")</f>
        <v>LU000434</v>
      </c>
      <c r="AL68" s="83" t="str">
        <f ca="1">IFERROR(__xludf.DUMMYFUNCTION("""COMPUTED_VALUE"""),"Pythagoras property")</f>
        <v>Pythagoras property</v>
      </c>
      <c r="AM68" s="83" t="str">
        <f ca="1">IFERROR(__xludf.DUMMYFUNCTION("""COMPUTED_VALUE"""),"LU001465")</f>
        <v>LU001465</v>
      </c>
      <c r="AN68" s="83" t="str">
        <f ca="1">IFERROR(__xludf.DUMMYFUNCTION("""COMPUTED_VALUE"""),"Solution of a quadratic equation using the quadratic formula")</f>
        <v>Solution of a quadratic equation using the quadratic formula</v>
      </c>
      <c r="AO68" s="83"/>
      <c r="AP68" s="83"/>
      <c r="AQ68" s="83"/>
      <c r="AR68" s="83"/>
      <c r="AS68" s="83"/>
      <c r="AT68" s="83"/>
    </row>
    <row r="69" spans="1:46" ht="26.4">
      <c r="A69" s="8" t="s">
        <v>247</v>
      </c>
      <c r="B69" s="82" t="s">
        <v>47</v>
      </c>
      <c r="C69" s="82" t="s">
        <v>1172</v>
      </c>
      <c r="D69" s="83" t="s">
        <v>732</v>
      </c>
      <c r="E69" s="82" t="s">
        <v>1353</v>
      </c>
      <c r="F69" s="82" t="s">
        <v>1354</v>
      </c>
      <c r="G69" s="84" t="s">
        <v>1355</v>
      </c>
      <c r="H69" s="85" t="s">
        <v>1356</v>
      </c>
      <c r="I69" s="68" t="str">
        <f t="shared" si="0"/>
        <v>LU001534.001</v>
      </c>
      <c r="J69" s="69" t="str">
        <f ca="1">IFERROR(__xludf.DUMMYFUNCTION("VLOOKUP(I69, IMPORTRANGE(""https://docs.google.com/spreadsheets/d/1yDAaXNsi4Mr5FtRQL4tbmSdIzhx6_m4wkOD7IG-k_eo/edit#gid=0"", ""Maths!M:N""), 2, FALSE)"),"(LU001534.001); Default - Remember")</f>
        <v>(LU001534.001); Default - Remember</v>
      </c>
      <c r="K69" s="69" t="str">
        <f t="shared" si="1"/>
        <v>LU001534.002</v>
      </c>
      <c r="L69" s="69" t="str">
        <f ca="1">IFERROR(__xludf.DUMMYFUNCTION("VLOOKUP(K69, IMPORTRANGE(""https://docs.google.com/spreadsheets/d/1yDAaXNsi4Mr5FtRQL4tbmSdIzhx6_m4wkOD7IG-k_eo/edit#gid=0"", ""Maths!M:N""), 2, FALSE)"),"(LU001534.002); Default - Understand")</f>
        <v>(LU001534.002); Default - Understand</v>
      </c>
      <c r="M69" s="69" t="str">
        <f t="shared" si="2"/>
        <v>LU001534.003</v>
      </c>
      <c r="N69" s="69" t="str">
        <f ca="1">IFERROR(__xludf.DUMMYFUNCTION("VLOOKUP(M69, IMPORTRANGE(""https://docs.google.com/spreadsheets/d/1yDAaXNsi4Mr5FtRQL4tbmSdIzhx6_m4wkOD7IG-k_eo/edit#gid=0"", ""Maths!M:N""), 2, FALSE)"),"(LU001534.003); Default - Apply")</f>
        <v>(LU001534.003); Default - Apply</v>
      </c>
      <c r="O69" s="69" t="str">
        <f t="shared" si="3"/>
        <v>LU001534.004</v>
      </c>
      <c r="P69" s="69" t="str">
        <f ca="1">IFERROR(__xludf.DUMMYFUNCTION("VLOOKUP(O69, IMPORTRANGE(""https://docs.google.com/spreadsheets/d/1yDAaXNsi4Mr5FtRQL4tbmSdIzhx6_m4wkOD7IG-k_eo/edit#gid=0"", ""Maths!M:N""), 2, FALSE)"),"(LU001534.004); Default - Analyse")</f>
        <v>(LU001534.004); Default - Analyse</v>
      </c>
      <c r="Q69" s="69" t="str">
        <f t="shared" si="4"/>
        <v>LU001534.005</v>
      </c>
      <c r="R69" s="69" t="str">
        <f ca="1">IFERROR(__xludf.DUMMYFUNCTION("VLOOKUP(Q69, IMPORTRANGE(""https://docs.google.com/spreadsheets/d/1yDAaXNsi4Mr5FtRQL4tbmSdIzhx6_m4wkOD7IG-k_eo/edit#gid=0"", ""Maths!M:N""), 2, FALSE)"),"(LU001534.005); Default - Evaluate")</f>
        <v>(LU001534.005); Default - Evaluate</v>
      </c>
      <c r="S69" s="69" t="str">
        <f t="shared" si="5"/>
        <v>LU001534.006</v>
      </c>
      <c r="T69" s="69" t="str">
        <f ca="1">IFERROR(__xludf.DUMMYFUNCTION("VLOOKUP(S69, IMPORTRANGE(""https://docs.google.com/spreadsheets/d/1yDAaXNsi4Mr5FtRQL4tbmSdIzhx6_m4wkOD7IG-k_eo/edit#gid=0"", ""Maths!M:N""), 2, FALSE)"),"(LU001534.006); Default - Create")</f>
        <v>(LU001534.006); Default - Create</v>
      </c>
      <c r="U69" s="11" t="str">
        <f ca="1">IFERROR(__xludf.DUMMYFUNCTION("ArrayFormula(VLOOKUP(G69, IMPORTRANGE(""https://docs.google.com/spreadsheets/d/1p7R4vtkWt5VOBim4ltsDG9KTzSjrtKXsMtQGXPHyND0/edit#gid=795171502"", ""'Filter 30_05_2024'!A1:M2000""), {2, 3, 4, 5,6,7,8,9,10,11,12,13}, 0))"),"#N/A")</f>
        <v>#N/A</v>
      </c>
      <c r="V69" s="11" t="str">
        <f ca="1">IFERROR(__xludf.DUMMYFUNCTION("""COMPUTED_VALUE"""),"#N/A")</f>
        <v>#N/A</v>
      </c>
      <c r="W69" s="11" t="str">
        <f ca="1">IFERROR(__xludf.DUMMYFUNCTION("""COMPUTED_VALUE"""),"#N/A")</f>
        <v>#N/A</v>
      </c>
      <c r="X69" s="11" t="str">
        <f ca="1">IFERROR(__xludf.DUMMYFUNCTION("""COMPUTED_VALUE"""),"#N/A")</f>
        <v>#N/A</v>
      </c>
      <c r="Y69" s="11" t="str">
        <f ca="1">IFERROR(__xludf.DUMMYFUNCTION("""COMPUTED_VALUE"""),"#N/A")</f>
        <v>#N/A</v>
      </c>
      <c r="Z69" s="12" t="str">
        <f ca="1">IFERROR(__xludf.DUMMYFUNCTION("""COMPUTED_VALUE"""),"#N/A")</f>
        <v>#N/A</v>
      </c>
      <c r="AA69" s="12" t="str">
        <f ca="1">IFERROR(__xludf.DUMMYFUNCTION("""COMPUTED_VALUE"""),"#N/A")</f>
        <v>#N/A</v>
      </c>
      <c r="AB69" s="12" t="str">
        <f ca="1">IFERROR(__xludf.DUMMYFUNCTION("""COMPUTED_VALUE"""),"#N/A")</f>
        <v>#N/A</v>
      </c>
      <c r="AC69" s="11" t="str">
        <f ca="1">IFERROR(__xludf.DUMMYFUNCTION("""COMPUTED_VALUE"""),"#N/A")</f>
        <v>#N/A</v>
      </c>
      <c r="AD69" s="12" t="str">
        <f ca="1">IFERROR(__xludf.DUMMYFUNCTION("""COMPUTED_VALUE"""),"#N/A")</f>
        <v>#N/A</v>
      </c>
      <c r="AE69" s="12" t="str">
        <f ca="1">IFERROR(__xludf.DUMMYFUNCTION("""COMPUTED_VALUE"""),"#N/A")</f>
        <v>#N/A</v>
      </c>
      <c r="AF69" s="12" t="str">
        <f ca="1">IFERROR(__xludf.DUMMYFUNCTION("""COMPUTED_VALUE"""),"#N/A")</f>
        <v>#N/A</v>
      </c>
      <c r="AG69" s="86" t="str">
        <f ca="1">IFERROR(__xludf.DUMMYFUNCTION("ArrayFormula(VLOOKUP(G69, IMPORTRANGE(""https://docs.google.com/spreadsheets/d/1Co934fvtviyaRiMsrIlT05Jaq7iiYq07aLvRr35KA48/edit?gid=173865642#gid=173865642"", ""'G10_Maths_Pri_LU'!G2:V2000""), {3, 4, 5, 6, 7, 8, 9, 10, 11, 12, 13, 14, 15, 16}, 0))"),"LU000495")</f>
        <v>LU000495</v>
      </c>
      <c r="AH69" s="83" t="str">
        <f ca="1">IFERROR(__xludf.DUMMYFUNCTION("""COMPUTED_VALUE"""),"Area of a circle")</f>
        <v>Area of a circle</v>
      </c>
      <c r="AI69" s="83" t="str">
        <f ca="1">IFERROR(__xludf.DUMMYFUNCTION("""COMPUTED_VALUE"""),"LU000966")</f>
        <v>LU000966</v>
      </c>
      <c r="AJ69" s="83" t="str">
        <f ca="1">IFERROR(__xludf.DUMMYFUNCTION("""COMPUTED_VALUE"""),"Sector of a circle")</f>
        <v>Sector of a circle</v>
      </c>
      <c r="AK69" s="83" t="str">
        <f ca="1">IFERROR(__xludf.DUMMYFUNCTION("""COMPUTED_VALUE"""),"LU001005")</f>
        <v>LU001005</v>
      </c>
      <c r="AL69" s="83" t="str">
        <f ca="1">IFERROR(__xludf.DUMMYFUNCTION("""COMPUTED_VALUE"""),"Multiplication of a proper fraction by a whole number")</f>
        <v>Multiplication of a proper fraction by a whole number</v>
      </c>
      <c r="AM69" s="83"/>
      <c r="AN69" s="83"/>
      <c r="AO69" s="83"/>
      <c r="AP69" s="83"/>
      <c r="AQ69" s="83"/>
      <c r="AR69" s="83"/>
      <c r="AS69" s="83"/>
      <c r="AT69" s="83"/>
    </row>
    <row r="70" spans="1:46" ht="26.4">
      <c r="A70" s="8" t="s">
        <v>247</v>
      </c>
      <c r="B70" s="82" t="s">
        <v>47</v>
      </c>
      <c r="C70" s="82" t="s">
        <v>1172</v>
      </c>
      <c r="D70" s="83" t="s">
        <v>732</v>
      </c>
      <c r="E70" s="82" t="s">
        <v>1353</v>
      </c>
      <c r="F70" s="91" t="s">
        <v>1357</v>
      </c>
      <c r="G70" s="90" t="s">
        <v>1358</v>
      </c>
      <c r="H70" s="91" t="s">
        <v>1357</v>
      </c>
      <c r="I70" s="68" t="str">
        <f t="shared" si="0"/>
        <v>LU001535.001</v>
      </c>
      <c r="J70" s="69" t="str">
        <f ca="1">IFERROR(__xludf.DUMMYFUNCTION("VLOOKUP(I70, IMPORTRANGE(""https://docs.google.com/spreadsheets/d/1yDAaXNsi4Mr5FtRQL4tbmSdIzhx6_m4wkOD7IG-k_eo/edit#gid=0"", ""Maths!M:N""), 2, FALSE)"),"(LU001535.001); Default - Remember")</f>
        <v>(LU001535.001); Default - Remember</v>
      </c>
      <c r="K70" s="69" t="str">
        <f t="shared" si="1"/>
        <v>LU001535.002</v>
      </c>
      <c r="L70" s="69" t="str">
        <f ca="1">IFERROR(__xludf.DUMMYFUNCTION("VLOOKUP(K70, IMPORTRANGE(""https://docs.google.com/spreadsheets/d/1yDAaXNsi4Mr5FtRQL4tbmSdIzhx6_m4wkOD7IG-k_eo/edit#gid=0"", ""Maths!M:N""), 2, FALSE)"),"(LU001535.002); Default - Understand")</f>
        <v>(LU001535.002); Default - Understand</v>
      </c>
      <c r="M70" s="69" t="str">
        <f t="shared" si="2"/>
        <v>LU001535.003</v>
      </c>
      <c r="N70" s="69" t="str">
        <f ca="1">IFERROR(__xludf.DUMMYFUNCTION("VLOOKUP(M70, IMPORTRANGE(""https://docs.google.com/spreadsheets/d/1yDAaXNsi4Mr5FtRQL4tbmSdIzhx6_m4wkOD7IG-k_eo/edit#gid=0"", ""Maths!M:N""), 2, FALSE)"),"(LU001535.003); Default - Apply")</f>
        <v>(LU001535.003); Default - Apply</v>
      </c>
      <c r="O70" s="69" t="str">
        <f t="shared" si="3"/>
        <v>LU001535.004</v>
      </c>
      <c r="P70" s="69" t="str">
        <f ca="1">IFERROR(__xludf.DUMMYFUNCTION("VLOOKUP(O70, IMPORTRANGE(""https://docs.google.com/spreadsheets/d/1yDAaXNsi4Mr5FtRQL4tbmSdIzhx6_m4wkOD7IG-k_eo/edit#gid=0"", ""Maths!M:N""), 2, FALSE)"),"(LU001535.004); Default - Analyse")</f>
        <v>(LU001535.004); Default - Analyse</v>
      </c>
      <c r="Q70" s="69" t="str">
        <f t="shared" si="4"/>
        <v>LU001535.005</v>
      </c>
      <c r="R70" s="69" t="str">
        <f ca="1">IFERROR(__xludf.DUMMYFUNCTION("VLOOKUP(Q70, IMPORTRANGE(""https://docs.google.com/spreadsheets/d/1yDAaXNsi4Mr5FtRQL4tbmSdIzhx6_m4wkOD7IG-k_eo/edit#gid=0"", ""Maths!M:N""), 2, FALSE)"),"(LU001535.005); Default - Evaluate")</f>
        <v>(LU001535.005); Default - Evaluate</v>
      </c>
      <c r="S70" s="69" t="str">
        <f t="shared" si="5"/>
        <v>LU001535.006</v>
      </c>
      <c r="T70" s="69" t="str">
        <f ca="1">IFERROR(__xludf.DUMMYFUNCTION("VLOOKUP(S70, IMPORTRANGE(""https://docs.google.com/spreadsheets/d/1yDAaXNsi4Mr5FtRQL4tbmSdIzhx6_m4wkOD7IG-k_eo/edit#gid=0"", ""Maths!M:N""), 2, FALSE)"),"(LU001535.006); Default - Create")</f>
        <v>(LU001535.006); Default - Create</v>
      </c>
      <c r="U70" s="11" t="str">
        <f ca="1">IFERROR(__xludf.DUMMYFUNCTION("ArrayFormula(VLOOKUP(G70, IMPORTRANGE(""https://docs.google.com/spreadsheets/d/1p7R4vtkWt5VOBim4ltsDG9KTzSjrtKXsMtQGXPHyND0/edit#gid=795171502"", ""'Filter 30_05_2024'!A1:M2000""), {2, 3, 4, 5,6,7,8,9,10,11,12,13}, 0))"),"#N/A")</f>
        <v>#N/A</v>
      </c>
      <c r="V70" s="11" t="str">
        <f ca="1">IFERROR(__xludf.DUMMYFUNCTION("""COMPUTED_VALUE"""),"#N/A")</f>
        <v>#N/A</v>
      </c>
      <c r="W70" s="11" t="str">
        <f ca="1">IFERROR(__xludf.DUMMYFUNCTION("""COMPUTED_VALUE"""),"#N/A")</f>
        <v>#N/A</v>
      </c>
      <c r="X70" s="11" t="str">
        <f ca="1">IFERROR(__xludf.DUMMYFUNCTION("""COMPUTED_VALUE"""),"#N/A")</f>
        <v>#N/A</v>
      </c>
      <c r="Y70" s="11" t="str">
        <f ca="1">IFERROR(__xludf.DUMMYFUNCTION("""COMPUTED_VALUE"""),"#N/A")</f>
        <v>#N/A</v>
      </c>
      <c r="Z70" s="12" t="str">
        <f ca="1">IFERROR(__xludf.DUMMYFUNCTION("""COMPUTED_VALUE"""),"#N/A")</f>
        <v>#N/A</v>
      </c>
      <c r="AA70" s="12" t="str">
        <f ca="1">IFERROR(__xludf.DUMMYFUNCTION("""COMPUTED_VALUE"""),"#N/A")</f>
        <v>#N/A</v>
      </c>
      <c r="AB70" s="12" t="str">
        <f ca="1">IFERROR(__xludf.DUMMYFUNCTION("""COMPUTED_VALUE"""),"#N/A")</f>
        <v>#N/A</v>
      </c>
      <c r="AC70" s="11" t="str">
        <f ca="1">IFERROR(__xludf.DUMMYFUNCTION("""COMPUTED_VALUE"""),"#N/A")</f>
        <v>#N/A</v>
      </c>
      <c r="AD70" s="12" t="str">
        <f ca="1">IFERROR(__xludf.DUMMYFUNCTION("""COMPUTED_VALUE"""),"#N/A")</f>
        <v>#N/A</v>
      </c>
      <c r="AE70" s="12" t="str">
        <f ca="1">IFERROR(__xludf.DUMMYFUNCTION("""COMPUTED_VALUE"""),"#N/A")</f>
        <v>#N/A</v>
      </c>
      <c r="AF70" s="12" t="str">
        <f ca="1">IFERROR(__xludf.DUMMYFUNCTION("""COMPUTED_VALUE"""),"#N/A")</f>
        <v>#N/A</v>
      </c>
      <c r="AG70" s="86" t="str">
        <f ca="1">IFERROR(__xludf.DUMMYFUNCTION("ArrayFormula(VLOOKUP(G70, IMPORTRANGE(""https://docs.google.com/spreadsheets/d/1Co934fvtviyaRiMsrIlT05Jaq7iiYq07aLvRr35KA48/edit?gid=173865642#gid=173865642"", ""'G10_Maths_Pri_LU'!G2:V2000""), {3, 4, 5, 6, 7, 8, 9, 10, 11, 12, 13, 14, 15, 16}, 0))"),"LU000494")</f>
        <v>LU000494</v>
      </c>
      <c r="AH70" s="83" t="str">
        <f ca="1">IFERROR(__xludf.DUMMYFUNCTION("""COMPUTED_VALUE"""),"Circumference of a circle")</f>
        <v>Circumference of a circle</v>
      </c>
      <c r="AI70" s="83" t="str">
        <f ca="1">IFERROR(__xludf.DUMMYFUNCTION("""COMPUTED_VALUE"""),"LU000966")</f>
        <v>LU000966</v>
      </c>
      <c r="AJ70" s="83" t="str">
        <f ca="1">IFERROR(__xludf.DUMMYFUNCTION("""COMPUTED_VALUE"""),"Sector of a circle")</f>
        <v>Sector of a circle</v>
      </c>
      <c r="AK70" s="83" t="str">
        <f ca="1">IFERROR(__xludf.DUMMYFUNCTION("""COMPUTED_VALUE"""),"LU001005")</f>
        <v>LU001005</v>
      </c>
      <c r="AL70" s="83" t="str">
        <f ca="1">IFERROR(__xludf.DUMMYFUNCTION("""COMPUTED_VALUE"""),"Multiplication of a proper fraction by a whole number")</f>
        <v>Multiplication of a proper fraction by a whole number</v>
      </c>
      <c r="AM70" s="83"/>
      <c r="AN70" s="83"/>
      <c r="AO70" s="83"/>
      <c r="AP70" s="83"/>
      <c r="AQ70" s="83"/>
      <c r="AR70" s="83"/>
      <c r="AS70" s="83"/>
      <c r="AT70" s="83"/>
    </row>
    <row r="71" spans="1:46" ht="26.4">
      <c r="A71" s="8" t="s">
        <v>247</v>
      </c>
      <c r="B71" s="82" t="s">
        <v>47</v>
      </c>
      <c r="C71" s="82" t="s">
        <v>1172</v>
      </c>
      <c r="D71" s="83" t="s">
        <v>732</v>
      </c>
      <c r="E71" s="82" t="s">
        <v>1353</v>
      </c>
      <c r="F71" s="82" t="s">
        <v>1359</v>
      </c>
      <c r="G71" s="84" t="s">
        <v>1360</v>
      </c>
      <c r="H71" s="85" t="s">
        <v>1361</v>
      </c>
      <c r="I71" s="68" t="str">
        <f t="shared" si="0"/>
        <v>LU001536.001</v>
      </c>
      <c r="J71" s="69" t="str">
        <f ca="1">IFERROR(__xludf.DUMMYFUNCTION("VLOOKUP(I71, IMPORTRANGE(""https://docs.google.com/spreadsheets/d/1yDAaXNsi4Mr5FtRQL4tbmSdIzhx6_m4wkOD7IG-k_eo/edit#gid=0"", ""Maths!M:N""), 2, FALSE)"),"(LU001536.001); Default - Remember")</f>
        <v>(LU001536.001); Default - Remember</v>
      </c>
      <c r="K71" s="69" t="str">
        <f t="shared" si="1"/>
        <v>LU001536.002</v>
      </c>
      <c r="L71" s="69" t="str">
        <f ca="1">IFERROR(__xludf.DUMMYFUNCTION("VLOOKUP(K71, IMPORTRANGE(""https://docs.google.com/spreadsheets/d/1yDAaXNsi4Mr5FtRQL4tbmSdIzhx6_m4wkOD7IG-k_eo/edit#gid=0"", ""Maths!M:N""), 2, FALSE)"),"(LU001536.002); Default - Understand")</f>
        <v>(LU001536.002); Default - Understand</v>
      </c>
      <c r="M71" s="69" t="str">
        <f t="shared" si="2"/>
        <v>LU001536.003</v>
      </c>
      <c r="N71" s="69" t="str">
        <f ca="1">IFERROR(__xludf.DUMMYFUNCTION("VLOOKUP(M71, IMPORTRANGE(""https://docs.google.com/spreadsheets/d/1yDAaXNsi4Mr5FtRQL4tbmSdIzhx6_m4wkOD7IG-k_eo/edit#gid=0"", ""Maths!M:N""), 2, FALSE)"),"(LU001536.003); Default - Apply")</f>
        <v>(LU001536.003); Default - Apply</v>
      </c>
      <c r="O71" s="69" t="str">
        <f t="shared" si="3"/>
        <v>LU001536.004</v>
      </c>
      <c r="P71" s="69" t="str">
        <f ca="1">IFERROR(__xludf.DUMMYFUNCTION("VLOOKUP(O71, IMPORTRANGE(""https://docs.google.com/spreadsheets/d/1yDAaXNsi4Mr5FtRQL4tbmSdIzhx6_m4wkOD7IG-k_eo/edit#gid=0"", ""Maths!M:N""), 2, FALSE)"),"(LU001536.004); Default - Analyse")</f>
        <v>(LU001536.004); Default - Analyse</v>
      </c>
      <c r="Q71" s="69" t="str">
        <f t="shared" si="4"/>
        <v>LU001536.005</v>
      </c>
      <c r="R71" s="69" t="str">
        <f ca="1">IFERROR(__xludf.DUMMYFUNCTION("VLOOKUP(Q71, IMPORTRANGE(""https://docs.google.com/spreadsheets/d/1yDAaXNsi4Mr5FtRQL4tbmSdIzhx6_m4wkOD7IG-k_eo/edit#gid=0"", ""Maths!M:N""), 2, FALSE)"),"(LU001536.005); Default - Evaluate")</f>
        <v>(LU001536.005); Default - Evaluate</v>
      </c>
      <c r="S71" s="69" t="str">
        <f t="shared" si="5"/>
        <v>LU001536.006</v>
      </c>
      <c r="T71" s="69" t="str">
        <f ca="1">IFERROR(__xludf.DUMMYFUNCTION("VLOOKUP(S71, IMPORTRANGE(""https://docs.google.com/spreadsheets/d/1yDAaXNsi4Mr5FtRQL4tbmSdIzhx6_m4wkOD7IG-k_eo/edit#gid=0"", ""Maths!M:N""), 2, FALSE)"),"(LU001536.006); Default - Create")</f>
        <v>(LU001536.006); Default - Create</v>
      </c>
      <c r="U71" s="11" t="str">
        <f ca="1">IFERROR(__xludf.DUMMYFUNCTION("ArrayFormula(VLOOKUP(G71, IMPORTRANGE(""https://docs.google.com/spreadsheets/d/1p7R4vtkWt5VOBim4ltsDG9KTzSjrtKXsMtQGXPHyND0/edit#gid=795171502"", ""'Filter 30_05_2024'!A1:M2000""), {2, 3, 4, 5,6,7,8,9,10,11,12,13}, 0))"),"#N/A")</f>
        <v>#N/A</v>
      </c>
      <c r="V71" s="11" t="str">
        <f ca="1">IFERROR(__xludf.DUMMYFUNCTION("""COMPUTED_VALUE"""),"#N/A")</f>
        <v>#N/A</v>
      </c>
      <c r="W71" s="11" t="str">
        <f ca="1">IFERROR(__xludf.DUMMYFUNCTION("""COMPUTED_VALUE"""),"#N/A")</f>
        <v>#N/A</v>
      </c>
      <c r="X71" s="11" t="str">
        <f ca="1">IFERROR(__xludf.DUMMYFUNCTION("""COMPUTED_VALUE"""),"#N/A")</f>
        <v>#N/A</v>
      </c>
      <c r="Y71" s="11" t="str">
        <f ca="1">IFERROR(__xludf.DUMMYFUNCTION("""COMPUTED_VALUE"""),"#N/A")</f>
        <v>#N/A</v>
      </c>
      <c r="Z71" s="12" t="str">
        <f ca="1">IFERROR(__xludf.DUMMYFUNCTION("""COMPUTED_VALUE"""),"#N/A")</f>
        <v>#N/A</v>
      </c>
      <c r="AA71" s="12" t="str">
        <f ca="1">IFERROR(__xludf.DUMMYFUNCTION("""COMPUTED_VALUE"""),"#N/A")</f>
        <v>#N/A</v>
      </c>
      <c r="AB71" s="12" t="str">
        <f ca="1">IFERROR(__xludf.DUMMYFUNCTION("""COMPUTED_VALUE"""),"#N/A")</f>
        <v>#N/A</v>
      </c>
      <c r="AC71" s="11" t="str">
        <f ca="1">IFERROR(__xludf.DUMMYFUNCTION("""COMPUTED_VALUE"""),"#N/A")</f>
        <v>#N/A</v>
      </c>
      <c r="AD71" s="12" t="str">
        <f ca="1">IFERROR(__xludf.DUMMYFUNCTION("""COMPUTED_VALUE"""),"#N/A")</f>
        <v>#N/A</v>
      </c>
      <c r="AE71" s="12" t="str">
        <f ca="1">IFERROR(__xludf.DUMMYFUNCTION("""COMPUTED_VALUE"""),"#N/A")</f>
        <v>#N/A</v>
      </c>
      <c r="AF71" s="12" t="str">
        <f ca="1">IFERROR(__xludf.DUMMYFUNCTION("""COMPUTED_VALUE"""),"#N/A")</f>
        <v>#N/A</v>
      </c>
      <c r="AG71" s="86" t="str">
        <f ca="1">IFERROR(__xludf.DUMMYFUNCTION("ArrayFormula(VLOOKUP(G71, IMPORTRANGE(""https://docs.google.com/spreadsheets/d/1Co934fvtviyaRiMsrIlT05Jaq7iiYq07aLvRr35KA48/edit?gid=173865642#gid=173865642"", ""'G10_Maths_Pri_LU'!G2:V2000""), {3, 4, 5, 6, 7, 8, 9, 10, 11, 12, 13, 14, 15, 16}, 0))"),"LU001534")</f>
        <v>LU001534</v>
      </c>
      <c r="AH71" s="83" t="str">
        <f ca="1">IFERROR(__xludf.DUMMYFUNCTION("""COMPUTED_VALUE"""),"Area of the sector of a circle")</f>
        <v>Area of the sector of a circle</v>
      </c>
      <c r="AI71" s="83" t="str">
        <f ca="1">IFERROR(__xludf.DUMMYFUNCTION("""COMPUTED_VALUE"""),"LU000492")</f>
        <v>LU000492</v>
      </c>
      <c r="AJ71" s="83" t="str">
        <f ca="1">IFERROR(__xludf.DUMMYFUNCTION("""COMPUTED_VALUE"""),"Area of a triangle using the formula")</f>
        <v>Area of a triangle using the formula</v>
      </c>
      <c r="AK71" s="83" t="str">
        <f ca="1">IFERROR(__xludf.DUMMYFUNCTION("""COMPUTED_VALUE"""),"LU000967")</f>
        <v>LU000967</v>
      </c>
      <c r="AL71" s="83" t="str">
        <f ca="1">IFERROR(__xludf.DUMMYFUNCTION("""COMPUTED_VALUE"""),"Segment of a circle")</f>
        <v>Segment of a circle</v>
      </c>
      <c r="AM71" s="83" t="str">
        <f ca="1">IFERROR(__xludf.DUMMYFUNCTION("""COMPUTED_VALUE"""),"LU001574")</f>
        <v>LU001574</v>
      </c>
      <c r="AN71" s="83" t="str">
        <f ca="1">IFERROR(__xludf.DUMMYFUNCTION("""COMPUTED_VALUE"""),"Evaluation of trigonometric expressions having specific angles")</f>
        <v>Evaluation of trigonometric expressions having specific angles</v>
      </c>
      <c r="AO71" s="83"/>
      <c r="AP71" s="83"/>
      <c r="AQ71" s="83"/>
      <c r="AR71" s="83"/>
      <c r="AS71" s="83"/>
      <c r="AT71" s="83"/>
    </row>
    <row r="72" spans="1:46" ht="27.6">
      <c r="A72" s="8" t="s">
        <v>247</v>
      </c>
      <c r="B72" s="82" t="s">
        <v>47</v>
      </c>
      <c r="C72" s="82" t="s">
        <v>1172</v>
      </c>
      <c r="D72" s="83" t="s">
        <v>732</v>
      </c>
      <c r="E72" s="82" t="s">
        <v>1148</v>
      </c>
      <c r="F72" s="82" t="s">
        <v>1362</v>
      </c>
      <c r="G72" s="84" t="s">
        <v>1363</v>
      </c>
      <c r="H72" s="85" t="s">
        <v>1364</v>
      </c>
      <c r="I72" s="68" t="str">
        <f t="shared" si="0"/>
        <v>LU001538.001</v>
      </c>
      <c r="J72" s="69" t="str">
        <f ca="1">IFERROR(__xludf.DUMMYFUNCTION("VLOOKUP(I72, IMPORTRANGE(""https://docs.google.com/spreadsheets/d/1yDAaXNsi4Mr5FtRQL4tbmSdIzhx6_m4wkOD7IG-k_eo/edit#gid=0"", ""Maths!M:N""), 2, FALSE)"),"(LU001538.001); Default - Remember")</f>
        <v>(LU001538.001); Default - Remember</v>
      </c>
      <c r="K72" s="69" t="str">
        <f t="shared" si="1"/>
        <v>LU001538.002</v>
      </c>
      <c r="L72" s="69" t="str">
        <f ca="1">IFERROR(__xludf.DUMMYFUNCTION("VLOOKUP(K72, IMPORTRANGE(""https://docs.google.com/spreadsheets/d/1yDAaXNsi4Mr5FtRQL4tbmSdIzhx6_m4wkOD7IG-k_eo/edit#gid=0"", ""Maths!M:N""), 2, FALSE)"),"(LU001538.002); Default - Understand")</f>
        <v>(LU001538.002); Default - Understand</v>
      </c>
      <c r="M72" s="69" t="str">
        <f t="shared" si="2"/>
        <v>LU001538.003</v>
      </c>
      <c r="N72" s="69" t="str">
        <f ca="1">IFERROR(__xludf.DUMMYFUNCTION("VLOOKUP(M72, IMPORTRANGE(""https://docs.google.com/spreadsheets/d/1yDAaXNsi4Mr5FtRQL4tbmSdIzhx6_m4wkOD7IG-k_eo/edit#gid=0"", ""Maths!M:N""), 2, FALSE)"),"(LU001538.003); Default - Apply")</f>
        <v>(LU001538.003); Default - Apply</v>
      </c>
      <c r="O72" s="69" t="str">
        <f t="shared" si="3"/>
        <v>LU001538.004</v>
      </c>
      <c r="P72" s="69" t="str">
        <f ca="1">IFERROR(__xludf.DUMMYFUNCTION("VLOOKUP(O72, IMPORTRANGE(""https://docs.google.com/spreadsheets/d/1yDAaXNsi4Mr5FtRQL4tbmSdIzhx6_m4wkOD7IG-k_eo/edit#gid=0"", ""Maths!M:N""), 2, FALSE)"),"(LU001538.004); Default - Analyse")</f>
        <v>(LU001538.004); Default - Analyse</v>
      </c>
      <c r="Q72" s="69" t="str">
        <f t="shared" si="4"/>
        <v>LU001538.005</v>
      </c>
      <c r="R72" s="69" t="str">
        <f ca="1">IFERROR(__xludf.DUMMYFUNCTION("VLOOKUP(Q72, IMPORTRANGE(""https://docs.google.com/spreadsheets/d/1yDAaXNsi4Mr5FtRQL4tbmSdIzhx6_m4wkOD7IG-k_eo/edit#gid=0"", ""Maths!M:N""), 2, FALSE)"),"(LU001538.005); Default - Evaluate")</f>
        <v>(LU001538.005); Default - Evaluate</v>
      </c>
      <c r="S72" s="69" t="str">
        <f t="shared" si="5"/>
        <v>LU001538.006</v>
      </c>
      <c r="T72" s="69" t="str">
        <f ca="1">IFERROR(__xludf.DUMMYFUNCTION("VLOOKUP(S72, IMPORTRANGE(""https://docs.google.com/spreadsheets/d/1yDAaXNsi4Mr5FtRQL4tbmSdIzhx6_m4wkOD7IG-k_eo/edit#gid=0"", ""Maths!M:N""), 2, FALSE)"),"(LU001538.006); Default - Create")</f>
        <v>(LU001538.006); Default - Create</v>
      </c>
      <c r="U72" s="11" t="str">
        <f ca="1">IFERROR(__xludf.DUMMYFUNCTION("ArrayFormula(VLOOKUP(G72, IMPORTRANGE(""https://docs.google.com/spreadsheets/d/1p7R4vtkWt5VOBim4ltsDG9KTzSjrtKXsMtQGXPHyND0/edit#gid=795171502"", ""'Filter 30_05_2024'!A1:M2000""), {2, 3, 4, 5,6,7,8,9,10,11,12,13}, 0))"),"#N/A")</f>
        <v>#N/A</v>
      </c>
      <c r="V72" s="11" t="str">
        <f ca="1">IFERROR(__xludf.DUMMYFUNCTION("""COMPUTED_VALUE"""),"#N/A")</f>
        <v>#N/A</v>
      </c>
      <c r="W72" s="11" t="str">
        <f ca="1">IFERROR(__xludf.DUMMYFUNCTION("""COMPUTED_VALUE"""),"#N/A")</f>
        <v>#N/A</v>
      </c>
      <c r="X72" s="11" t="str">
        <f ca="1">IFERROR(__xludf.DUMMYFUNCTION("""COMPUTED_VALUE"""),"#N/A")</f>
        <v>#N/A</v>
      </c>
      <c r="Y72" s="11" t="str">
        <f ca="1">IFERROR(__xludf.DUMMYFUNCTION("""COMPUTED_VALUE"""),"#N/A")</f>
        <v>#N/A</v>
      </c>
      <c r="Z72" s="12" t="str">
        <f ca="1">IFERROR(__xludf.DUMMYFUNCTION("""COMPUTED_VALUE"""),"#N/A")</f>
        <v>#N/A</v>
      </c>
      <c r="AA72" s="12" t="str">
        <f ca="1">IFERROR(__xludf.DUMMYFUNCTION("""COMPUTED_VALUE"""),"#N/A")</f>
        <v>#N/A</v>
      </c>
      <c r="AB72" s="12" t="str">
        <f ca="1">IFERROR(__xludf.DUMMYFUNCTION("""COMPUTED_VALUE"""),"#N/A")</f>
        <v>#N/A</v>
      </c>
      <c r="AC72" s="11" t="str">
        <f ca="1">IFERROR(__xludf.DUMMYFUNCTION("""COMPUTED_VALUE"""),"#N/A")</f>
        <v>#N/A</v>
      </c>
      <c r="AD72" s="12" t="str">
        <f ca="1">IFERROR(__xludf.DUMMYFUNCTION("""COMPUTED_VALUE"""),"#N/A")</f>
        <v>#N/A</v>
      </c>
      <c r="AE72" s="12" t="str">
        <f ca="1">IFERROR(__xludf.DUMMYFUNCTION("""COMPUTED_VALUE"""),"#N/A")</f>
        <v>#N/A</v>
      </c>
      <c r="AF72" s="12" t="str">
        <f ca="1">IFERROR(__xludf.DUMMYFUNCTION("""COMPUTED_VALUE"""),"#N/A")</f>
        <v>#N/A</v>
      </c>
      <c r="AG72" s="86" t="str">
        <f ca="1">IFERROR(__xludf.DUMMYFUNCTION("ArrayFormula(VLOOKUP(G72, IMPORTRANGE(""https://docs.google.com/spreadsheets/d/1Co934fvtviyaRiMsrIlT05Jaq7iiYq07aLvRr35KA48/edit?gid=173865642#gid=173865642"", ""'G10_Maths_Pri_LU'!G2:V2000""), {3, 4, 5, 6, 7, 8, 9, 10, 11, 12, 13, 14, 15, 16}, 0))"),"LU001249")</f>
        <v>LU001249</v>
      </c>
      <c r="AH72" s="83" t="str">
        <f ca="1">IFERROR(__xludf.DUMMYFUNCTION("""COMPUTED_VALUE"""),"Curved surface area of a right circular cone")</f>
        <v>Curved surface area of a right circular cone</v>
      </c>
      <c r="AI72" s="83" t="str">
        <f ca="1">IFERROR(__xludf.DUMMYFUNCTION("""COMPUTED_VALUE"""),"LU001253")</f>
        <v>LU001253</v>
      </c>
      <c r="AJ72" s="83" t="str">
        <f ca="1">IFERROR(__xludf.DUMMYFUNCTION("""COMPUTED_VALUE"""),"Curved surface area of a hemisphere")</f>
        <v>Curved surface area of a hemisphere</v>
      </c>
      <c r="AK72" s="83" t="str">
        <f ca="1">IFERROR(__xludf.DUMMYFUNCTION("""COMPUTED_VALUE"""),"LU000729")</f>
        <v>LU000729</v>
      </c>
      <c r="AL72" s="83" t="str">
        <f ca="1">IFERROR(__xludf.DUMMYFUNCTION("""COMPUTED_VALUE"""),"Curved surface area (Lateral surface area) of a right circular cylinder")</f>
        <v>Curved surface area (Lateral surface area) of a right circular cylinder</v>
      </c>
      <c r="AM72" s="83" t="str">
        <f ca="1">IFERROR(__xludf.DUMMYFUNCTION("""COMPUTED_VALUE"""),"LU000722")</f>
        <v>LU000722</v>
      </c>
      <c r="AN72" s="83" t="str">
        <f ca="1">IFERROR(__xludf.DUMMYFUNCTION("""COMPUTED_VALUE"""),"Total surface area of a cuboid")</f>
        <v>Total surface area of a cuboid</v>
      </c>
      <c r="AO72" s="83" t="str">
        <f ca="1">IFERROR(__xludf.DUMMYFUNCTION("""COMPUTED_VALUE"""),"LU000721")</f>
        <v>LU000721</v>
      </c>
      <c r="AP72" s="83" t="str">
        <f ca="1">IFERROR(__xludf.DUMMYFUNCTION("""COMPUTED_VALUE"""),"Total surface area of a cube")</f>
        <v>Total surface area of a cube</v>
      </c>
      <c r="AQ72" s="83"/>
      <c r="AR72" s="83"/>
      <c r="AS72" s="83"/>
      <c r="AT72" s="83"/>
    </row>
    <row r="73" spans="1:46" ht="27.6">
      <c r="A73" s="8" t="s">
        <v>247</v>
      </c>
      <c r="B73" s="82" t="s">
        <v>47</v>
      </c>
      <c r="C73" s="82" t="s">
        <v>1172</v>
      </c>
      <c r="D73" s="83" t="s">
        <v>732</v>
      </c>
      <c r="E73" s="82" t="s">
        <v>1148</v>
      </c>
      <c r="F73" s="82" t="s">
        <v>1365</v>
      </c>
      <c r="G73" s="84" t="s">
        <v>1366</v>
      </c>
      <c r="H73" s="85" t="s">
        <v>1367</v>
      </c>
      <c r="I73" s="68" t="str">
        <f t="shared" si="0"/>
        <v>LU001539.001</v>
      </c>
      <c r="J73" s="69" t="str">
        <f ca="1">IFERROR(__xludf.DUMMYFUNCTION("VLOOKUP(I73, IMPORTRANGE(""https://docs.google.com/spreadsheets/d/1yDAaXNsi4Mr5FtRQL4tbmSdIzhx6_m4wkOD7IG-k_eo/edit#gid=0"", ""Maths!M:N""), 2, FALSE)"),"(LU001539.001); Default - Remember")</f>
        <v>(LU001539.001); Default - Remember</v>
      </c>
      <c r="K73" s="69" t="str">
        <f t="shared" si="1"/>
        <v>LU001539.002</v>
      </c>
      <c r="L73" s="69" t="str">
        <f ca="1">IFERROR(__xludf.DUMMYFUNCTION("VLOOKUP(K73, IMPORTRANGE(""https://docs.google.com/spreadsheets/d/1yDAaXNsi4Mr5FtRQL4tbmSdIzhx6_m4wkOD7IG-k_eo/edit#gid=0"", ""Maths!M:N""), 2, FALSE)"),"(LU001539.002); Default - Understand")</f>
        <v>(LU001539.002); Default - Understand</v>
      </c>
      <c r="M73" s="69" t="str">
        <f t="shared" si="2"/>
        <v>LU001539.003</v>
      </c>
      <c r="N73" s="69" t="str">
        <f ca="1">IFERROR(__xludf.DUMMYFUNCTION("VLOOKUP(M73, IMPORTRANGE(""https://docs.google.com/spreadsheets/d/1yDAaXNsi4Mr5FtRQL4tbmSdIzhx6_m4wkOD7IG-k_eo/edit#gid=0"", ""Maths!M:N""), 2, FALSE)"),"(LU001539.003); Default - Apply")</f>
        <v>(LU001539.003); Default - Apply</v>
      </c>
      <c r="O73" s="69" t="str">
        <f t="shared" si="3"/>
        <v>LU001539.004</v>
      </c>
      <c r="P73" s="69" t="str">
        <f ca="1">IFERROR(__xludf.DUMMYFUNCTION("VLOOKUP(O73, IMPORTRANGE(""https://docs.google.com/spreadsheets/d/1yDAaXNsi4Mr5FtRQL4tbmSdIzhx6_m4wkOD7IG-k_eo/edit#gid=0"", ""Maths!M:N""), 2, FALSE)"),"(LU001539.004); Default - Analyse")</f>
        <v>(LU001539.004); Default - Analyse</v>
      </c>
      <c r="Q73" s="69" t="str">
        <f t="shared" si="4"/>
        <v>LU001539.005</v>
      </c>
      <c r="R73" s="69" t="str">
        <f ca="1">IFERROR(__xludf.DUMMYFUNCTION("VLOOKUP(Q73, IMPORTRANGE(""https://docs.google.com/spreadsheets/d/1yDAaXNsi4Mr5FtRQL4tbmSdIzhx6_m4wkOD7IG-k_eo/edit#gid=0"", ""Maths!M:N""), 2, FALSE)"),"(LU001539.005); Default - Evaluate")</f>
        <v>(LU001539.005); Default - Evaluate</v>
      </c>
      <c r="S73" s="69" t="str">
        <f t="shared" si="5"/>
        <v>LU001539.006</v>
      </c>
      <c r="T73" s="69" t="str">
        <f ca="1">IFERROR(__xludf.DUMMYFUNCTION("VLOOKUP(S73, IMPORTRANGE(""https://docs.google.com/spreadsheets/d/1yDAaXNsi4Mr5FtRQL4tbmSdIzhx6_m4wkOD7IG-k_eo/edit#gid=0"", ""Maths!M:N""), 2, FALSE)"),"(LU001539.006); Default - Create")</f>
        <v>(LU001539.006); Default - Create</v>
      </c>
      <c r="U73" s="11" t="str">
        <f ca="1">IFERROR(__xludf.DUMMYFUNCTION("ArrayFormula(VLOOKUP(G73, IMPORTRANGE(""https://docs.google.com/spreadsheets/d/1p7R4vtkWt5VOBim4ltsDG9KTzSjrtKXsMtQGXPHyND0/edit#gid=795171502"", ""'Filter 30_05_2024'!A1:M2000""), {2, 3, 4, 5,6,7,8,9,10,11,12,13}, 0))"),"#N/A")</f>
        <v>#N/A</v>
      </c>
      <c r="V73" s="11" t="str">
        <f ca="1">IFERROR(__xludf.DUMMYFUNCTION("""COMPUTED_VALUE"""),"#N/A")</f>
        <v>#N/A</v>
      </c>
      <c r="W73" s="11" t="str">
        <f ca="1">IFERROR(__xludf.DUMMYFUNCTION("""COMPUTED_VALUE"""),"#N/A")</f>
        <v>#N/A</v>
      </c>
      <c r="X73" s="11" t="str">
        <f ca="1">IFERROR(__xludf.DUMMYFUNCTION("""COMPUTED_VALUE"""),"#N/A")</f>
        <v>#N/A</v>
      </c>
      <c r="Y73" s="11" t="str">
        <f ca="1">IFERROR(__xludf.DUMMYFUNCTION("""COMPUTED_VALUE"""),"#N/A")</f>
        <v>#N/A</v>
      </c>
      <c r="Z73" s="12" t="str">
        <f ca="1">IFERROR(__xludf.DUMMYFUNCTION("""COMPUTED_VALUE"""),"#N/A")</f>
        <v>#N/A</v>
      </c>
      <c r="AA73" s="12" t="str">
        <f ca="1">IFERROR(__xludf.DUMMYFUNCTION("""COMPUTED_VALUE"""),"#N/A")</f>
        <v>#N/A</v>
      </c>
      <c r="AB73" s="12" t="str">
        <f ca="1">IFERROR(__xludf.DUMMYFUNCTION("""COMPUTED_VALUE"""),"#N/A")</f>
        <v>#N/A</v>
      </c>
      <c r="AC73" s="11" t="str">
        <f ca="1">IFERROR(__xludf.DUMMYFUNCTION("""COMPUTED_VALUE"""),"#N/A")</f>
        <v>#N/A</v>
      </c>
      <c r="AD73" s="12" t="str">
        <f ca="1">IFERROR(__xludf.DUMMYFUNCTION("""COMPUTED_VALUE"""),"#N/A")</f>
        <v>#N/A</v>
      </c>
      <c r="AE73" s="12" t="str">
        <f ca="1">IFERROR(__xludf.DUMMYFUNCTION("""COMPUTED_VALUE"""),"#N/A")</f>
        <v>#N/A</v>
      </c>
      <c r="AF73" s="12" t="str">
        <f ca="1">IFERROR(__xludf.DUMMYFUNCTION("""COMPUTED_VALUE"""),"#N/A")</f>
        <v>#N/A</v>
      </c>
      <c r="AG73" s="86" t="str">
        <f ca="1">IFERROR(__xludf.DUMMYFUNCTION("ArrayFormula(VLOOKUP(G73, IMPORTRANGE(""https://docs.google.com/spreadsheets/d/1Co934fvtviyaRiMsrIlT05Jaq7iiYq07aLvRr35KA48/edit?gid=173865642#gid=173865642"", ""'G10_Maths_Pri_LU'!G2:V2000""), {3, 4, 5, 6, 7, 8, 9, 10, 11, 12, 13, 14, 15, 16}, 0))"),"LU001257")</f>
        <v>LU001257</v>
      </c>
      <c r="AH73" s="83" t="str">
        <f ca="1">IFERROR(__xludf.DUMMYFUNCTION("""COMPUTED_VALUE"""),"Volume of a right circular cone")</f>
        <v>Volume of a right circular cone</v>
      </c>
      <c r="AI73" s="83" t="str">
        <f ca="1">IFERROR(__xludf.DUMMYFUNCTION("""COMPUTED_VALUE"""),"LU001256")</f>
        <v>LU001256</v>
      </c>
      <c r="AJ73" s="83" t="str">
        <f ca="1">IFERROR(__xludf.DUMMYFUNCTION("""COMPUTED_VALUE"""),"Volume of a hemisphere")</f>
        <v>Volume of a hemisphere</v>
      </c>
      <c r="AK73" s="83" t="str">
        <f ca="1">IFERROR(__xludf.DUMMYFUNCTION("""COMPUTED_VALUE"""),"LU000726")</f>
        <v>LU000726</v>
      </c>
      <c r="AL73" s="83" t="str">
        <f ca="1">IFERROR(__xludf.DUMMYFUNCTION("""COMPUTED_VALUE"""),"Volume of a right circular cylinder")</f>
        <v>Volume of a right circular cylinder</v>
      </c>
      <c r="AM73" s="83" t="str">
        <f ca="1">IFERROR(__xludf.DUMMYFUNCTION("""COMPUTED_VALUE"""),"LU000725")</f>
        <v>LU000725</v>
      </c>
      <c r="AN73" s="83" t="str">
        <f ca="1">IFERROR(__xludf.DUMMYFUNCTION("""COMPUTED_VALUE"""),"Volume of a cuboid")</f>
        <v>Volume of a cuboid</v>
      </c>
      <c r="AO73" s="83" t="str">
        <f ca="1">IFERROR(__xludf.DUMMYFUNCTION("""COMPUTED_VALUE"""),"LU000724")</f>
        <v>LU000724</v>
      </c>
      <c r="AP73" s="83" t="str">
        <f ca="1">IFERROR(__xludf.DUMMYFUNCTION("""COMPUTED_VALUE"""),"Volume of a cube")</f>
        <v>Volume of a cube</v>
      </c>
      <c r="AQ73" s="83"/>
      <c r="AR73" s="83"/>
      <c r="AS73" s="83"/>
      <c r="AT73" s="83"/>
    </row>
    <row r="74" spans="1:46" ht="66">
      <c r="A74" s="8" t="s">
        <v>247</v>
      </c>
      <c r="B74" s="82" t="s">
        <v>47</v>
      </c>
      <c r="C74" s="82" t="s">
        <v>1172</v>
      </c>
      <c r="D74" s="83" t="s">
        <v>732</v>
      </c>
      <c r="E74" s="82" t="s">
        <v>1162</v>
      </c>
      <c r="F74" s="88" t="s">
        <v>1368</v>
      </c>
      <c r="G74" s="87" t="s">
        <v>1369</v>
      </c>
      <c r="H74" s="88" t="s">
        <v>1370</v>
      </c>
      <c r="I74" s="68" t="str">
        <f t="shared" si="0"/>
        <v>LU001114.001</v>
      </c>
      <c r="J74" s="69" t="str">
        <f ca="1">IFERROR(__xludf.DUMMYFUNCTION("VLOOKUP(I74, IMPORTRANGE(""https://docs.google.com/spreadsheets/d/1yDAaXNsi4Mr5FtRQL4tbmSdIzhx6_m4wkOD7IG-k_eo/edit#gid=0"", ""Maths!M:N""), 2, FALSE)"),"Recall the formula for calculating the arithmetic mean of a frequency distribution.")</f>
        <v>Recall the formula for calculating the arithmetic mean of a frequency distribution.</v>
      </c>
      <c r="K74" s="69" t="str">
        <f t="shared" si="1"/>
        <v>LU001114.002</v>
      </c>
      <c r="L74" s="69" t="str">
        <f ca="1">IFERROR(__xludf.DUMMYFUNCTION("VLOOKUP(K74, IMPORTRANGE(""https://docs.google.com/spreadsheets/d/1yDAaXNsi4Mr5FtRQL4tbmSdIzhx6_m4wkOD7IG-k_eo/edit#gid=0"", ""Maths!M:N""), 2, FALSE)"),"Explain the concept and importance of the arithmetic mean in a frequency distribution.")</f>
        <v>Explain the concept and importance of the arithmetic mean in a frequency distribution.</v>
      </c>
      <c r="M74" s="69" t="str">
        <f t="shared" si="2"/>
        <v>LU001114.003</v>
      </c>
      <c r="N74" s="69" t="str">
        <f ca="1">IFERROR(__xludf.DUMMYFUNCTION("VLOOKUP(M74, IMPORTRANGE(""https://docs.google.com/spreadsheets/d/1yDAaXNsi4Mr5FtRQL4tbmSdIzhx6_m4wkOD7IG-k_eo/edit#gid=0"", ""Maths!M:N""), 2, FALSE)"),"Calculate the arithmetic mean for a given frequency distribution.")</f>
        <v>Calculate the arithmetic mean for a given frequency distribution.</v>
      </c>
      <c r="O74" s="69" t="str">
        <f t="shared" si="3"/>
        <v>LU001114.004</v>
      </c>
      <c r="P74" s="69" t="str">
        <f ca="1">IFERROR(__xludf.DUMMYFUNCTION("VLOOKUP(O74, IMPORTRANGE(""https://docs.google.com/spreadsheets/d/1yDAaXNsi4Mr5FtRQL4tbmSdIzhx6_m4wkOD7IG-k_eo/edit#gid=0"", ""Maths!M:N""), 2, FALSE)"),"Analyse different frequency distributions to compare their arithmetic means.")</f>
        <v>Analyse different frequency distributions to compare their arithmetic means.</v>
      </c>
      <c r="Q74" s="69" t="str">
        <f t="shared" si="4"/>
        <v>LU001114.005</v>
      </c>
      <c r="R74" s="69" t="str">
        <f ca="1">IFERROR(__xludf.DUMMYFUNCTION("VLOOKUP(Q74, IMPORTRANGE(""https://docs.google.com/spreadsheets/d/1yDAaXNsi4Mr5FtRQL4tbmSdIzhx6_m4wkOD7IG-k_eo/edit#gid=0"", ""Maths!M:N""), 2, FALSE)"),"Evaluate the representativeness of the arithmetic mean in various frequency distributions.")</f>
        <v>Evaluate the representativeness of the arithmetic mean in various frequency distributions.</v>
      </c>
      <c r="S74" s="69" t="str">
        <f t="shared" si="5"/>
        <v>LU001114.006</v>
      </c>
      <c r="T74" s="69" t="str">
        <f ca="1">IFERROR(__xludf.DUMMYFUNCTION("VLOOKUP(S74, IMPORTRANGE(""https://docs.google.com/spreadsheets/d/1yDAaXNsi4Mr5FtRQL4tbmSdIzhx6_m4wkOD7IG-k_eo/edit#gid=0"", ""Maths!M:N""), 2, FALSE)"),"Create a project or exercise that involves computing and interpreting the arithmetic mean of real-world frequency distributions.")</f>
        <v>Create a project or exercise that involves computing and interpreting the arithmetic mean of real-world frequency distributions.</v>
      </c>
      <c r="U74" s="11" t="str">
        <f ca="1">IFERROR(__xludf.DUMMYFUNCTION("ArrayFormula(VLOOKUP(G74, IMPORTRANGE(""https://docs.google.com/spreadsheets/d/1p7R4vtkWt5VOBim4ltsDG9KTzSjrtKXsMtQGXPHyND0/edit#gid=795171502"", ""'Filter 30_05_2024'!A1:M2000""), {2, 3, 4, 5,6,7,8,9,10,11,12,13}, 0))"),"#N/A")</f>
        <v>#N/A</v>
      </c>
      <c r="V74" s="11" t="str">
        <f ca="1">IFERROR(__xludf.DUMMYFUNCTION("""COMPUTED_VALUE"""),"#N/A")</f>
        <v>#N/A</v>
      </c>
      <c r="W74" s="11" t="str">
        <f ca="1">IFERROR(__xludf.DUMMYFUNCTION("""COMPUTED_VALUE"""),"#N/A")</f>
        <v>#N/A</v>
      </c>
      <c r="X74" s="11" t="str">
        <f ca="1">IFERROR(__xludf.DUMMYFUNCTION("""COMPUTED_VALUE"""),"#N/A")</f>
        <v>#N/A</v>
      </c>
      <c r="Y74" s="11" t="str">
        <f ca="1">IFERROR(__xludf.DUMMYFUNCTION("""COMPUTED_VALUE"""),"#N/A")</f>
        <v>#N/A</v>
      </c>
      <c r="Z74" s="12" t="str">
        <f ca="1">IFERROR(__xludf.DUMMYFUNCTION("""COMPUTED_VALUE"""),"#N/A")</f>
        <v>#N/A</v>
      </c>
      <c r="AA74" s="12" t="str">
        <f ca="1">IFERROR(__xludf.DUMMYFUNCTION("""COMPUTED_VALUE"""),"#N/A")</f>
        <v>#N/A</v>
      </c>
      <c r="AB74" s="12" t="str">
        <f ca="1">IFERROR(__xludf.DUMMYFUNCTION("""COMPUTED_VALUE"""),"#N/A")</f>
        <v>#N/A</v>
      </c>
      <c r="AC74" s="11" t="str">
        <f ca="1">IFERROR(__xludf.DUMMYFUNCTION("""COMPUTED_VALUE"""),"#N/A")</f>
        <v>#N/A</v>
      </c>
      <c r="AD74" s="12" t="str">
        <f ca="1">IFERROR(__xludf.DUMMYFUNCTION("""COMPUTED_VALUE"""),"#N/A")</f>
        <v>#N/A</v>
      </c>
      <c r="AE74" s="12" t="str">
        <f ca="1">IFERROR(__xludf.DUMMYFUNCTION("""COMPUTED_VALUE"""),"#N/A")</f>
        <v>#N/A</v>
      </c>
      <c r="AF74" s="12" t="str">
        <f ca="1">IFERROR(__xludf.DUMMYFUNCTION("""COMPUTED_VALUE"""),"#N/A")</f>
        <v>#N/A</v>
      </c>
      <c r="AG74" s="86" t="str">
        <f ca="1">IFERROR(__xludf.DUMMYFUNCTION("ArrayFormula(VLOOKUP(G74, IMPORTRANGE(""https://docs.google.com/spreadsheets/d/1Co934fvtviyaRiMsrIlT05Jaq7iiYq07aLvRr35KA48/edit?gid=173865642#gid=173865642"", ""'G10_Maths_Pri_LU'!G2:V2000""), {3, 4, 5, 6, 7, 8, 9, 10, 11, 12, 13, 14, 15, 16}, 0))"),"LU000386")</f>
        <v>LU000386</v>
      </c>
      <c r="AH74" s="83" t="str">
        <f ca="1">IFERROR(__xludf.DUMMYFUNCTION("""COMPUTED_VALUE"""),"Definition of arithmetic mean/average of the observations")</f>
        <v>Definition of arithmetic mean/average of the observations</v>
      </c>
      <c r="AI74" s="83" t="str">
        <f ca="1">IFERROR(__xludf.DUMMYFUNCTION("""COMPUTED_VALUE"""),"LU000616")</f>
        <v>LU000616</v>
      </c>
      <c r="AJ74" s="83" t="str">
        <f ca="1">IFERROR(__xludf.DUMMYFUNCTION("""COMPUTED_VALUE"""),"Definition and elements (class interval, lower class limit, upper class limit, class mark) of grouped frequency distribution table")</f>
        <v>Definition and elements (class interval, lower class limit, upper class limit, class mark) of grouped frequency distribution table</v>
      </c>
      <c r="AK74" s="83"/>
      <c r="AL74" s="83"/>
      <c r="AM74" s="83"/>
      <c r="AN74" s="83"/>
      <c r="AO74" s="83"/>
      <c r="AP74" s="83"/>
      <c r="AQ74" s="83"/>
      <c r="AR74" s="83"/>
      <c r="AS74" s="83"/>
      <c r="AT74" s="83"/>
    </row>
    <row r="75" spans="1:46" ht="26.4">
      <c r="A75" s="8" t="s">
        <v>247</v>
      </c>
      <c r="B75" s="82" t="s">
        <v>47</v>
      </c>
      <c r="C75" s="82" t="s">
        <v>1172</v>
      </c>
      <c r="D75" s="83" t="s">
        <v>732</v>
      </c>
      <c r="E75" s="82" t="s">
        <v>1162</v>
      </c>
      <c r="F75" s="102" t="s">
        <v>1368</v>
      </c>
      <c r="G75" s="90" t="s">
        <v>1371</v>
      </c>
      <c r="H75" s="103" t="s">
        <v>1372</v>
      </c>
      <c r="I75" s="68" t="str">
        <f t="shared" si="0"/>
        <v>LU001546.001</v>
      </c>
      <c r="J75" s="69" t="str">
        <f ca="1">IFERROR(__xludf.DUMMYFUNCTION("VLOOKUP(I75, IMPORTRANGE(""https://docs.google.com/spreadsheets/d/1yDAaXNsi4Mr5FtRQL4tbmSdIzhx6_m4wkOD7IG-k_eo/edit#gid=0"", ""Maths!M:N""), 2, FALSE)"),"(LU001546.001); Default - Remember")</f>
        <v>(LU001546.001); Default - Remember</v>
      </c>
      <c r="K75" s="69" t="str">
        <f t="shared" si="1"/>
        <v>LU001546.002</v>
      </c>
      <c r="L75" s="69" t="str">
        <f ca="1">IFERROR(__xludf.DUMMYFUNCTION("VLOOKUP(K75, IMPORTRANGE(""https://docs.google.com/spreadsheets/d/1yDAaXNsi4Mr5FtRQL4tbmSdIzhx6_m4wkOD7IG-k_eo/edit#gid=0"", ""Maths!M:N""), 2, FALSE)"),"(LU001546.002); Default - Understand")</f>
        <v>(LU001546.002); Default - Understand</v>
      </c>
      <c r="M75" s="69" t="str">
        <f t="shared" si="2"/>
        <v>LU001546.003</v>
      </c>
      <c r="N75" s="69" t="str">
        <f ca="1">IFERROR(__xludf.DUMMYFUNCTION("VLOOKUP(M75, IMPORTRANGE(""https://docs.google.com/spreadsheets/d/1yDAaXNsi4Mr5FtRQL4tbmSdIzhx6_m4wkOD7IG-k_eo/edit#gid=0"", ""Maths!M:N""), 2, FALSE)"),"(LU001546.003); Default - Apply")</f>
        <v>(LU001546.003); Default - Apply</v>
      </c>
      <c r="O75" s="69" t="str">
        <f t="shared" si="3"/>
        <v>LU001546.004</v>
      </c>
      <c r="P75" s="69" t="str">
        <f ca="1">IFERROR(__xludf.DUMMYFUNCTION("VLOOKUP(O75, IMPORTRANGE(""https://docs.google.com/spreadsheets/d/1yDAaXNsi4Mr5FtRQL4tbmSdIzhx6_m4wkOD7IG-k_eo/edit#gid=0"", ""Maths!M:N""), 2, FALSE)"),"(LU001546.004); Default - Analyse")</f>
        <v>(LU001546.004); Default - Analyse</v>
      </c>
      <c r="Q75" s="69" t="str">
        <f t="shared" si="4"/>
        <v>LU001546.005</v>
      </c>
      <c r="R75" s="69" t="str">
        <f ca="1">IFERROR(__xludf.DUMMYFUNCTION("VLOOKUP(Q75, IMPORTRANGE(""https://docs.google.com/spreadsheets/d/1yDAaXNsi4Mr5FtRQL4tbmSdIzhx6_m4wkOD7IG-k_eo/edit#gid=0"", ""Maths!M:N""), 2, FALSE)"),"(LU001546.005); Default - Evaluate")</f>
        <v>(LU001546.005); Default - Evaluate</v>
      </c>
      <c r="S75" s="69" t="str">
        <f t="shared" si="5"/>
        <v>LU001546.006</v>
      </c>
      <c r="T75" s="69" t="str">
        <f ca="1">IFERROR(__xludf.DUMMYFUNCTION("VLOOKUP(S75, IMPORTRANGE(""https://docs.google.com/spreadsheets/d/1yDAaXNsi4Mr5FtRQL4tbmSdIzhx6_m4wkOD7IG-k_eo/edit#gid=0"", ""Maths!M:N""), 2, FALSE)"),"(LU001546.006); Default - Create")</f>
        <v>(LU001546.006); Default - Create</v>
      </c>
      <c r="U75" s="11" t="str">
        <f ca="1">IFERROR(__xludf.DUMMYFUNCTION("ArrayFormula(VLOOKUP(G75, IMPORTRANGE(""https://docs.google.com/spreadsheets/d/1p7R4vtkWt5VOBim4ltsDG9KTzSjrtKXsMtQGXPHyND0/edit#gid=795171502"", ""'Filter 30_05_2024'!A1:M2000""), {2, 3, 4, 5,6,7,8,9,10,11,12,13}, 0))"),"#N/A")</f>
        <v>#N/A</v>
      </c>
      <c r="V75" s="11" t="str">
        <f ca="1">IFERROR(__xludf.DUMMYFUNCTION("""COMPUTED_VALUE"""),"#N/A")</f>
        <v>#N/A</v>
      </c>
      <c r="W75" s="11" t="str">
        <f ca="1">IFERROR(__xludf.DUMMYFUNCTION("""COMPUTED_VALUE"""),"#N/A")</f>
        <v>#N/A</v>
      </c>
      <c r="X75" s="11" t="str">
        <f ca="1">IFERROR(__xludf.DUMMYFUNCTION("""COMPUTED_VALUE"""),"#N/A")</f>
        <v>#N/A</v>
      </c>
      <c r="Y75" s="11" t="str">
        <f ca="1">IFERROR(__xludf.DUMMYFUNCTION("""COMPUTED_VALUE"""),"#N/A")</f>
        <v>#N/A</v>
      </c>
      <c r="Z75" s="12" t="str">
        <f ca="1">IFERROR(__xludf.DUMMYFUNCTION("""COMPUTED_VALUE"""),"#N/A")</f>
        <v>#N/A</v>
      </c>
      <c r="AA75" s="12" t="str">
        <f ca="1">IFERROR(__xludf.DUMMYFUNCTION("""COMPUTED_VALUE"""),"#N/A")</f>
        <v>#N/A</v>
      </c>
      <c r="AB75" s="12" t="str">
        <f ca="1">IFERROR(__xludf.DUMMYFUNCTION("""COMPUTED_VALUE"""),"#N/A")</f>
        <v>#N/A</v>
      </c>
      <c r="AC75" s="11" t="str">
        <f ca="1">IFERROR(__xludf.DUMMYFUNCTION("""COMPUTED_VALUE"""),"#N/A")</f>
        <v>#N/A</v>
      </c>
      <c r="AD75" s="12" t="str">
        <f ca="1">IFERROR(__xludf.DUMMYFUNCTION("""COMPUTED_VALUE"""),"#N/A")</f>
        <v>#N/A</v>
      </c>
      <c r="AE75" s="12" t="str">
        <f ca="1">IFERROR(__xludf.DUMMYFUNCTION("""COMPUTED_VALUE"""),"#N/A")</f>
        <v>#N/A</v>
      </c>
      <c r="AF75" s="12" t="str">
        <f ca="1">IFERROR(__xludf.DUMMYFUNCTION("""COMPUTED_VALUE"""),"#N/A")</f>
        <v>#N/A</v>
      </c>
      <c r="AG75" s="86" t="str">
        <f ca="1">IFERROR(__xludf.DUMMYFUNCTION("ArrayFormula(VLOOKUP(G75, IMPORTRANGE(""https://docs.google.com/spreadsheets/d/1Co934fvtviyaRiMsrIlT05Jaq7iiYq07aLvRr35KA48/edit?gid=173865642#gid=173865642"", ""'G10_Maths_Pri_LU'!G2:V2000""), {3, 4, 5, 6, 7, 8, 9, 10, 11, 12, 13, 14, 15, 16}, 0))"),"LU001545")</f>
        <v>LU001545</v>
      </c>
      <c r="AH75" s="83" t="str">
        <f ca="1">IFERROR(__xludf.DUMMYFUNCTION("""COMPUTED_VALUE"""),"Conversion of ungrouped data into grouped data")</f>
        <v>Conversion of ungrouped data into grouped data</v>
      </c>
      <c r="AI75" s="83" t="str">
        <f ca="1">IFERROR(__xludf.DUMMYFUNCTION("""COMPUTED_VALUE"""),"LU000930")</f>
        <v>LU000930</v>
      </c>
      <c r="AJ75" s="83" t="str">
        <f ca="1">IFERROR(__xludf.DUMMYFUNCTION("""COMPUTED_VALUE"""),"Interpretation of grouped frequency distribution table")</f>
        <v>Interpretation of grouped frequency distribution table</v>
      </c>
      <c r="AK75" s="83" t="str">
        <f ca="1">IFERROR(__xludf.DUMMYFUNCTION("""COMPUTED_VALUE"""),"LU001114")</f>
        <v>LU001114</v>
      </c>
      <c r="AL75" s="83" t="str">
        <f ca="1">IFERROR(__xludf.DUMMYFUNCTION("""COMPUTED_VALUE"""),"Arithmetic mean of frequency distribution")</f>
        <v>Arithmetic mean of frequency distribution</v>
      </c>
      <c r="AM75" s="83"/>
      <c r="AN75" s="83"/>
      <c r="AO75" s="83"/>
      <c r="AP75" s="83"/>
      <c r="AQ75" s="83"/>
      <c r="AR75" s="83"/>
      <c r="AS75" s="83"/>
      <c r="AT75" s="83"/>
    </row>
    <row r="76" spans="1:46" ht="27.6">
      <c r="A76" s="8" t="s">
        <v>247</v>
      </c>
      <c r="B76" s="82" t="s">
        <v>47</v>
      </c>
      <c r="C76" s="82" t="s">
        <v>1172</v>
      </c>
      <c r="D76" s="83" t="s">
        <v>732</v>
      </c>
      <c r="E76" s="82" t="s">
        <v>1162</v>
      </c>
      <c r="F76" s="82" t="s">
        <v>1373</v>
      </c>
      <c r="G76" s="84" t="s">
        <v>1374</v>
      </c>
      <c r="H76" s="85" t="s">
        <v>1375</v>
      </c>
      <c r="I76" s="68" t="str">
        <f t="shared" si="0"/>
        <v>LU001547.001</v>
      </c>
      <c r="J76" s="69" t="str">
        <f ca="1">IFERROR(__xludf.DUMMYFUNCTION("VLOOKUP(I76, IMPORTRANGE(""https://docs.google.com/spreadsheets/d/1yDAaXNsi4Mr5FtRQL4tbmSdIzhx6_m4wkOD7IG-k_eo/edit#gid=0"", ""Maths!M:N""), 2, FALSE)"),"(LU001547.001); Default - Remember")</f>
        <v>(LU001547.001); Default - Remember</v>
      </c>
      <c r="K76" s="69" t="str">
        <f t="shared" si="1"/>
        <v>LU001547.002</v>
      </c>
      <c r="L76" s="69" t="str">
        <f ca="1">IFERROR(__xludf.DUMMYFUNCTION("VLOOKUP(K76, IMPORTRANGE(""https://docs.google.com/spreadsheets/d/1yDAaXNsi4Mr5FtRQL4tbmSdIzhx6_m4wkOD7IG-k_eo/edit#gid=0"", ""Maths!M:N""), 2, FALSE)"),"(LU001547.002); Default - Understand")</f>
        <v>(LU001547.002); Default - Understand</v>
      </c>
      <c r="M76" s="69" t="str">
        <f t="shared" si="2"/>
        <v>LU001547.003</v>
      </c>
      <c r="N76" s="69" t="str">
        <f ca="1">IFERROR(__xludf.DUMMYFUNCTION("VLOOKUP(M76, IMPORTRANGE(""https://docs.google.com/spreadsheets/d/1yDAaXNsi4Mr5FtRQL4tbmSdIzhx6_m4wkOD7IG-k_eo/edit#gid=0"", ""Maths!M:N""), 2, FALSE)"),"(LU001547.003); Default - Apply")</f>
        <v>(LU001547.003); Default - Apply</v>
      </c>
      <c r="O76" s="69" t="str">
        <f t="shared" si="3"/>
        <v>LU001547.004</v>
      </c>
      <c r="P76" s="69" t="str">
        <f ca="1">IFERROR(__xludf.DUMMYFUNCTION("VLOOKUP(O76, IMPORTRANGE(""https://docs.google.com/spreadsheets/d/1yDAaXNsi4Mr5FtRQL4tbmSdIzhx6_m4wkOD7IG-k_eo/edit#gid=0"", ""Maths!M:N""), 2, FALSE)"),"(LU001547.004); Default - Analyse")</f>
        <v>(LU001547.004); Default - Analyse</v>
      </c>
      <c r="Q76" s="69" t="str">
        <f t="shared" si="4"/>
        <v>LU001547.005</v>
      </c>
      <c r="R76" s="69" t="str">
        <f ca="1">IFERROR(__xludf.DUMMYFUNCTION("VLOOKUP(Q76, IMPORTRANGE(""https://docs.google.com/spreadsheets/d/1yDAaXNsi4Mr5FtRQL4tbmSdIzhx6_m4wkOD7IG-k_eo/edit#gid=0"", ""Maths!M:N""), 2, FALSE)"),"(LU001547.005); Default - Evaluate")</f>
        <v>(LU001547.005); Default - Evaluate</v>
      </c>
      <c r="S76" s="69" t="str">
        <f t="shared" si="5"/>
        <v>LU001547.006</v>
      </c>
      <c r="T76" s="69" t="str">
        <f ca="1">IFERROR(__xludf.DUMMYFUNCTION("VLOOKUP(S76, IMPORTRANGE(""https://docs.google.com/spreadsheets/d/1yDAaXNsi4Mr5FtRQL4tbmSdIzhx6_m4wkOD7IG-k_eo/edit#gid=0"", ""Maths!M:N""), 2, FALSE)"),"(LU001547.006); Default - Create")</f>
        <v>(LU001547.006); Default - Create</v>
      </c>
      <c r="U76" s="11" t="str">
        <f ca="1">IFERROR(__xludf.DUMMYFUNCTION("ArrayFormula(VLOOKUP(G76, IMPORTRANGE(""https://docs.google.com/spreadsheets/d/1p7R4vtkWt5VOBim4ltsDG9KTzSjrtKXsMtQGXPHyND0/edit#gid=795171502"", ""'Filter 30_05_2024'!A1:M2000""), {2, 3, 4, 5,6,7,8,9,10,11,12,13}, 0))"),"#N/A")</f>
        <v>#N/A</v>
      </c>
      <c r="V76" s="11" t="str">
        <f ca="1">IFERROR(__xludf.DUMMYFUNCTION("""COMPUTED_VALUE"""),"#N/A")</f>
        <v>#N/A</v>
      </c>
      <c r="W76" s="11" t="str">
        <f ca="1">IFERROR(__xludf.DUMMYFUNCTION("""COMPUTED_VALUE"""),"#N/A")</f>
        <v>#N/A</v>
      </c>
      <c r="X76" s="11" t="str">
        <f ca="1">IFERROR(__xludf.DUMMYFUNCTION("""COMPUTED_VALUE"""),"#N/A")</f>
        <v>#N/A</v>
      </c>
      <c r="Y76" s="11" t="str">
        <f ca="1">IFERROR(__xludf.DUMMYFUNCTION("""COMPUTED_VALUE"""),"#N/A")</f>
        <v>#N/A</v>
      </c>
      <c r="Z76" s="12" t="str">
        <f ca="1">IFERROR(__xludf.DUMMYFUNCTION("""COMPUTED_VALUE"""),"#N/A")</f>
        <v>#N/A</v>
      </c>
      <c r="AA76" s="12" t="str">
        <f ca="1">IFERROR(__xludf.DUMMYFUNCTION("""COMPUTED_VALUE"""),"#N/A")</f>
        <v>#N/A</v>
      </c>
      <c r="AB76" s="12" t="str">
        <f ca="1">IFERROR(__xludf.DUMMYFUNCTION("""COMPUTED_VALUE"""),"#N/A")</f>
        <v>#N/A</v>
      </c>
      <c r="AC76" s="11" t="str">
        <f ca="1">IFERROR(__xludf.DUMMYFUNCTION("""COMPUTED_VALUE"""),"#N/A")</f>
        <v>#N/A</v>
      </c>
      <c r="AD76" s="12" t="str">
        <f ca="1">IFERROR(__xludf.DUMMYFUNCTION("""COMPUTED_VALUE"""),"#N/A")</f>
        <v>#N/A</v>
      </c>
      <c r="AE76" s="12" t="str">
        <f ca="1">IFERROR(__xludf.DUMMYFUNCTION("""COMPUTED_VALUE"""),"#N/A")</f>
        <v>#N/A</v>
      </c>
      <c r="AF76" s="12" t="str">
        <f ca="1">IFERROR(__xludf.DUMMYFUNCTION("""COMPUTED_VALUE"""),"#N/A")</f>
        <v>#N/A</v>
      </c>
      <c r="AG76" s="86" t="str">
        <f ca="1">IFERROR(__xludf.DUMMYFUNCTION("ArrayFormula(VLOOKUP(G76, IMPORTRANGE(""https://docs.google.com/spreadsheets/d/1Co934fvtviyaRiMsrIlT05Jaq7iiYq07aLvRr35KA48/edit?gid=173865642#gid=173865642"", ""'G10_Maths_Pri_LU'!G2:V2000""), {3, 4, 5, 6, 7, 8, 9, 10, 11, 12, 13, 14, 15, 16}, 0))"),"LU001546")</f>
        <v>LU001546</v>
      </c>
      <c r="AH76" s="83" t="str">
        <f ca="1">IFERROR(__xludf.DUMMYFUNCTION("""COMPUTED_VALUE"""),"Mean of grouped data: Direct method")</f>
        <v>Mean of grouped data: Direct method</v>
      </c>
      <c r="AI76" s="83"/>
      <c r="AJ76" s="83"/>
      <c r="AK76" s="83"/>
      <c r="AL76" s="83"/>
      <c r="AM76" s="83"/>
      <c r="AN76" s="83"/>
      <c r="AO76" s="83"/>
      <c r="AP76" s="83"/>
      <c r="AQ76" s="83"/>
      <c r="AR76" s="83"/>
      <c r="AS76" s="83"/>
      <c r="AT76" s="83"/>
    </row>
    <row r="77" spans="1:46" ht="27.6">
      <c r="A77" s="8" t="s">
        <v>247</v>
      </c>
      <c r="B77" s="82" t="s">
        <v>47</v>
      </c>
      <c r="C77" s="82" t="s">
        <v>1172</v>
      </c>
      <c r="D77" s="83" t="s">
        <v>732</v>
      </c>
      <c r="E77" s="82" t="s">
        <v>1162</v>
      </c>
      <c r="F77" s="82" t="s">
        <v>1373</v>
      </c>
      <c r="G77" s="90" t="s">
        <v>1376</v>
      </c>
      <c r="H77" s="91" t="s">
        <v>1377</v>
      </c>
      <c r="I77" s="68" t="str">
        <f t="shared" si="0"/>
        <v>LU001548.001</v>
      </c>
      <c r="J77" s="69" t="str">
        <f ca="1">IFERROR(__xludf.DUMMYFUNCTION("VLOOKUP(I77, IMPORTRANGE(""https://docs.google.com/spreadsheets/d/1yDAaXNsi4Mr5FtRQL4tbmSdIzhx6_m4wkOD7IG-k_eo/edit#gid=0"", ""Maths!M:N""), 2, FALSE)"),"(LU001548.001); Default - Remember")</f>
        <v>(LU001548.001); Default - Remember</v>
      </c>
      <c r="K77" s="69" t="str">
        <f t="shared" si="1"/>
        <v>LU001548.002</v>
      </c>
      <c r="L77" s="69" t="str">
        <f ca="1">IFERROR(__xludf.DUMMYFUNCTION("VLOOKUP(K77, IMPORTRANGE(""https://docs.google.com/spreadsheets/d/1yDAaXNsi4Mr5FtRQL4tbmSdIzhx6_m4wkOD7IG-k_eo/edit#gid=0"", ""Maths!M:N""), 2, FALSE)"),"(LU001548.002); Default - Understand")</f>
        <v>(LU001548.002); Default - Understand</v>
      </c>
      <c r="M77" s="69" t="str">
        <f t="shared" si="2"/>
        <v>LU001548.003</v>
      </c>
      <c r="N77" s="69" t="str">
        <f ca="1">IFERROR(__xludf.DUMMYFUNCTION("VLOOKUP(M77, IMPORTRANGE(""https://docs.google.com/spreadsheets/d/1yDAaXNsi4Mr5FtRQL4tbmSdIzhx6_m4wkOD7IG-k_eo/edit#gid=0"", ""Maths!M:N""), 2, FALSE)"),"(LU001548.003); Default - Apply")</f>
        <v>(LU001548.003); Default - Apply</v>
      </c>
      <c r="O77" s="69" t="str">
        <f t="shared" si="3"/>
        <v>LU001548.004</v>
      </c>
      <c r="P77" s="69" t="str">
        <f ca="1">IFERROR(__xludf.DUMMYFUNCTION("VLOOKUP(O77, IMPORTRANGE(""https://docs.google.com/spreadsheets/d/1yDAaXNsi4Mr5FtRQL4tbmSdIzhx6_m4wkOD7IG-k_eo/edit#gid=0"", ""Maths!M:N""), 2, FALSE)"),"(LU001548.004); Default - Analyse")</f>
        <v>(LU001548.004); Default - Analyse</v>
      </c>
      <c r="Q77" s="69" t="str">
        <f t="shared" si="4"/>
        <v>LU001548.005</v>
      </c>
      <c r="R77" s="69" t="str">
        <f ca="1">IFERROR(__xludf.DUMMYFUNCTION("VLOOKUP(Q77, IMPORTRANGE(""https://docs.google.com/spreadsheets/d/1yDAaXNsi4Mr5FtRQL4tbmSdIzhx6_m4wkOD7IG-k_eo/edit#gid=0"", ""Maths!M:N""), 2, FALSE)"),"(LU001548.005); Default - Evaluate")</f>
        <v>(LU001548.005); Default - Evaluate</v>
      </c>
      <c r="S77" s="69" t="str">
        <f t="shared" si="5"/>
        <v>LU001548.006</v>
      </c>
      <c r="T77" s="69" t="str">
        <f ca="1">IFERROR(__xludf.DUMMYFUNCTION("VLOOKUP(S77, IMPORTRANGE(""https://docs.google.com/spreadsheets/d/1yDAaXNsi4Mr5FtRQL4tbmSdIzhx6_m4wkOD7IG-k_eo/edit#gid=0"", ""Maths!M:N""), 2, FALSE)"),"(LU001548.006); Default - Create")</f>
        <v>(LU001548.006); Default - Create</v>
      </c>
      <c r="U77" s="11" t="str">
        <f ca="1">IFERROR(__xludf.DUMMYFUNCTION("ArrayFormula(VLOOKUP(G77, IMPORTRANGE(""https://docs.google.com/spreadsheets/d/1p7R4vtkWt5VOBim4ltsDG9KTzSjrtKXsMtQGXPHyND0/edit#gid=795171502"", ""'Filter 30_05_2024'!A1:M2000""), {2, 3, 4, 5,6,7,8,9,10,11,12,13}, 0))"),"#N/A")</f>
        <v>#N/A</v>
      </c>
      <c r="V77" s="11" t="str">
        <f ca="1">IFERROR(__xludf.DUMMYFUNCTION("""COMPUTED_VALUE"""),"#N/A")</f>
        <v>#N/A</v>
      </c>
      <c r="W77" s="11" t="str">
        <f ca="1">IFERROR(__xludf.DUMMYFUNCTION("""COMPUTED_VALUE"""),"#N/A")</f>
        <v>#N/A</v>
      </c>
      <c r="X77" s="11" t="str">
        <f ca="1">IFERROR(__xludf.DUMMYFUNCTION("""COMPUTED_VALUE"""),"#N/A")</f>
        <v>#N/A</v>
      </c>
      <c r="Y77" s="11" t="str">
        <f ca="1">IFERROR(__xludf.DUMMYFUNCTION("""COMPUTED_VALUE"""),"#N/A")</f>
        <v>#N/A</v>
      </c>
      <c r="Z77" s="12" t="str">
        <f ca="1">IFERROR(__xludf.DUMMYFUNCTION("""COMPUTED_VALUE"""),"#N/A")</f>
        <v>#N/A</v>
      </c>
      <c r="AA77" s="12" t="str">
        <f ca="1">IFERROR(__xludf.DUMMYFUNCTION("""COMPUTED_VALUE"""),"#N/A")</f>
        <v>#N/A</v>
      </c>
      <c r="AB77" s="12" t="str">
        <f ca="1">IFERROR(__xludf.DUMMYFUNCTION("""COMPUTED_VALUE"""),"#N/A")</f>
        <v>#N/A</v>
      </c>
      <c r="AC77" s="11" t="str">
        <f ca="1">IFERROR(__xludf.DUMMYFUNCTION("""COMPUTED_VALUE"""),"#N/A")</f>
        <v>#N/A</v>
      </c>
      <c r="AD77" s="12" t="str">
        <f ca="1">IFERROR(__xludf.DUMMYFUNCTION("""COMPUTED_VALUE"""),"#N/A")</f>
        <v>#N/A</v>
      </c>
      <c r="AE77" s="12" t="str">
        <f ca="1">IFERROR(__xludf.DUMMYFUNCTION("""COMPUTED_VALUE"""),"#N/A")</f>
        <v>#N/A</v>
      </c>
      <c r="AF77" s="12" t="str">
        <f ca="1">IFERROR(__xludf.DUMMYFUNCTION("""COMPUTED_VALUE"""),"#N/A")</f>
        <v>#N/A</v>
      </c>
      <c r="AG77" s="86" t="str">
        <f ca="1">IFERROR(__xludf.DUMMYFUNCTION("ArrayFormula(VLOOKUP(G77, IMPORTRANGE(""https://docs.google.com/spreadsheets/d/1Co934fvtviyaRiMsrIlT05Jaq7iiYq07aLvRr35KA48/edit?gid=173865642#gid=173865642"", ""'G10_Maths_Pri_LU'!G2:V2000""), {3, 4, 5, 6, 7, 8, 9, 10, 11, 12, 13, 14, 15, 16}, 0))"),"LU001547")</f>
        <v>LU001547</v>
      </c>
      <c r="AH77" s="83" t="str">
        <f ca="1">IFERROR(__xludf.DUMMYFUNCTION("""COMPUTED_VALUE"""),"Mean of Grouped Data: Assumed mean method")</f>
        <v>Mean of Grouped Data: Assumed mean method</v>
      </c>
      <c r="AI77" s="83"/>
      <c r="AJ77" s="83"/>
      <c r="AK77" s="83"/>
      <c r="AL77" s="83"/>
      <c r="AM77" s="83"/>
      <c r="AN77" s="83"/>
      <c r="AO77" s="83"/>
      <c r="AP77" s="83"/>
      <c r="AQ77" s="83"/>
      <c r="AR77" s="83"/>
      <c r="AS77" s="83"/>
      <c r="AT77" s="83"/>
    </row>
    <row r="78" spans="1:46" ht="26.4">
      <c r="A78" s="8" t="s">
        <v>247</v>
      </c>
      <c r="B78" s="82" t="s">
        <v>47</v>
      </c>
      <c r="C78" s="82" t="s">
        <v>1172</v>
      </c>
      <c r="D78" s="83" t="s">
        <v>732</v>
      </c>
      <c r="E78" s="82" t="s">
        <v>1162</v>
      </c>
      <c r="F78" s="13" t="s">
        <v>1378</v>
      </c>
      <c r="G78" s="90" t="s">
        <v>1379</v>
      </c>
      <c r="H78" s="91" t="s">
        <v>1380</v>
      </c>
      <c r="I78" s="68" t="str">
        <f t="shared" si="0"/>
        <v>LU001550.001</v>
      </c>
      <c r="J78" s="69" t="str">
        <f ca="1">IFERROR(__xludf.DUMMYFUNCTION("VLOOKUP(I78, IMPORTRANGE(""https://docs.google.com/spreadsheets/d/1yDAaXNsi4Mr5FtRQL4tbmSdIzhx6_m4wkOD7IG-k_eo/edit#gid=0"", ""Maths!M:N""), 2, FALSE)"),"(LU001550.001); Default - Remember")</f>
        <v>(LU001550.001); Default - Remember</v>
      </c>
      <c r="K78" s="69" t="str">
        <f t="shared" si="1"/>
        <v>LU001550.002</v>
      </c>
      <c r="L78" s="69" t="str">
        <f ca="1">IFERROR(__xludf.DUMMYFUNCTION("VLOOKUP(K78, IMPORTRANGE(""https://docs.google.com/spreadsheets/d/1yDAaXNsi4Mr5FtRQL4tbmSdIzhx6_m4wkOD7IG-k_eo/edit#gid=0"", ""Maths!M:N""), 2, FALSE)"),"(LU001550.002); Default - Understand")</f>
        <v>(LU001550.002); Default - Understand</v>
      </c>
      <c r="M78" s="69" t="str">
        <f t="shared" si="2"/>
        <v>LU001550.003</v>
      </c>
      <c r="N78" s="69" t="str">
        <f ca="1">IFERROR(__xludf.DUMMYFUNCTION("VLOOKUP(M78, IMPORTRANGE(""https://docs.google.com/spreadsheets/d/1yDAaXNsi4Mr5FtRQL4tbmSdIzhx6_m4wkOD7IG-k_eo/edit#gid=0"", ""Maths!M:N""), 2, FALSE)"),"(LU001550.003); Default - Apply")</f>
        <v>(LU001550.003); Default - Apply</v>
      </c>
      <c r="O78" s="69" t="str">
        <f t="shared" si="3"/>
        <v>LU001550.004</v>
      </c>
      <c r="P78" s="69" t="str">
        <f ca="1">IFERROR(__xludf.DUMMYFUNCTION("VLOOKUP(O78, IMPORTRANGE(""https://docs.google.com/spreadsheets/d/1yDAaXNsi4Mr5FtRQL4tbmSdIzhx6_m4wkOD7IG-k_eo/edit#gid=0"", ""Maths!M:N""), 2, FALSE)"),"(LU001550.004); Default - Analyse")</f>
        <v>(LU001550.004); Default - Analyse</v>
      </c>
      <c r="Q78" s="69" t="str">
        <f t="shared" si="4"/>
        <v>LU001550.005</v>
      </c>
      <c r="R78" s="69" t="str">
        <f ca="1">IFERROR(__xludf.DUMMYFUNCTION("VLOOKUP(Q78, IMPORTRANGE(""https://docs.google.com/spreadsheets/d/1yDAaXNsi4Mr5FtRQL4tbmSdIzhx6_m4wkOD7IG-k_eo/edit#gid=0"", ""Maths!M:N""), 2, FALSE)"),"(LU001550.005); Default - Evaluate")</f>
        <v>(LU001550.005); Default - Evaluate</v>
      </c>
      <c r="S78" s="69" t="str">
        <f t="shared" si="5"/>
        <v>LU001550.006</v>
      </c>
      <c r="T78" s="69" t="str">
        <f ca="1">IFERROR(__xludf.DUMMYFUNCTION("VLOOKUP(S78, IMPORTRANGE(""https://docs.google.com/spreadsheets/d/1yDAaXNsi4Mr5FtRQL4tbmSdIzhx6_m4wkOD7IG-k_eo/edit#gid=0"", ""Maths!M:N""), 2, FALSE)"),"(LU001550.006); Default - Create")</f>
        <v>(LU001550.006); Default - Create</v>
      </c>
      <c r="U78" s="11" t="str">
        <f ca="1">IFERROR(__xludf.DUMMYFUNCTION("ArrayFormula(VLOOKUP(G78, IMPORTRANGE(""https://docs.google.com/spreadsheets/d/1p7R4vtkWt5VOBim4ltsDG9KTzSjrtKXsMtQGXPHyND0/edit#gid=795171502"", ""'Filter 30_05_2024'!A1:M2000""), {2, 3, 4, 5,6,7,8,9,10,11,12,13}, 0))"),"#N/A")</f>
        <v>#N/A</v>
      </c>
      <c r="V78" s="11" t="str">
        <f ca="1">IFERROR(__xludf.DUMMYFUNCTION("""COMPUTED_VALUE"""),"#N/A")</f>
        <v>#N/A</v>
      </c>
      <c r="W78" s="11" t="str">
        <f ca="1">IFERROR(__xludf.DUMMYFUNCTION("""COMPUTED_VALUE"""),"#N/A")</f>
        <v>#N/A</v>
      </c>
      <c r="X78" s="11" t="str">
        <f ca="1">IFERROR(__xludf.DUMMYFUNCTION("""COMPUTED_VALUE"""),"#N/A")</f>
        <v>#N/A</v>
      </c>
      <c r="Y78" s="11" t="str">
        <f ca="1">IFERROR(__xludf.DUMMYFUNCTION("""COMPUTED_VALUE"""),"#N/A")</f>
        <v>#N/A</v>
      </c>
      <c r="Z78" s="12" t="str">
        <f ca="1">IFERROR(__xludf.DUMMYFUNCTION("""COMPUTED_VALUE"""),"#N/A")</f>
        <v>#N/A</v>
      </c>
      <c r="AA78" s="12" t="str">
        <f ca="1">IFERROR(__xludf.DUMMYFUNCTION("""COMPUTED_VALUE"""),"#N/A")</f>
        <v>#N/A</v>
      </c>
      <c r="AB78" s="12" t="str">
        <f ca="1">IFERROR(__xludf.DUMMYFUNCTION("""COMPUTED_VALUE"""),"#N/A")</f>
        <v>#N/A</v>
      </c>
      <c r="AC78" s="11" t="str">
        <f ca="1">IFERROR(__xludf.DUMMYFUNCTION("""COMPUTED_VALUE"""),"#N/A")</f>
        <v>#N/A</v>
      </c>
      <c r="AD78" s="12" t="str">
        <f ca="1">IFERROR(__xludf.DUMMYFUNCTION("""COMPUTED_VALUE"""),"#N/A")</f>
        <v>#N/A</v>
      </c>
      <c r="AE78" s="12" t="str">
        <f ca="1">IFERROR(__xludf.DUMMYFUNCTION("""COMPUTED_VALUE"""),"#N/A")</f>
        <v>#N/A</v>
      </c>
      <c r="AF78" s="12" t="str">
        <f ca="1">IFERROR(__xludf.DUMMYFUNCTION("""COMPUTED_VALUE"""),"#N/A")</f>
        <v>#N/A</v>
      </c>
      <c r="AG78" s="86" t="str">
        <f ca="1">IFERROR(__xludf.DUMMYFUNCTION("ArrayFormula(VLOOKUP(G78, IMPORTRANGE(""https://docs.google.com/spreadsheets/d/1Co934fvtviyaRiMsrIlT05Jaq7iiYq07aLvRr35KA48/edit?gid=173865642#gid=173865642"", ""'G10_Maths_Pri_LU'!G2:V2000""), {3, 4, 5, 6, 7, 8, 9, 10, 11, 12, 13, 14, 15, 16}, 0))"),"LU001549")</f>
        <v>LU001549</v>
      </c>
      <c r="AH78" s="83" t="str">
        <f ca="1">IFERROR(__xludf.DUMMYFUNCTION("""COMPUTED_VALUE"""),"Definition of modal class and its related terms")</f>
        <v>Definition of modal class and its related terms</v>
      </c>
      <c r="AI78" s="83" t="str">
        <f ca="1">IFERROR(__xludf.DUMMYFUNCTION("""COMPUTED_VALUE"""),"LU000388")</f>
        <v>LU000388</v>
      </c>
      <c r="AJ78" s="83" t="str">
        <f ca="1">IFERROR(__xludf.DUMMYFUNCTION("""COMPUTED_VALUE"""),"Definition of mode of the data")</f>
        <v>Definition of mode of the data</v>
      </c>
      <c r="AK78" s="83" t="str">
        <f ca="1">IFERROR(__xludf.DUMMYFUNCTION("""COMPUTED_VALUE"""),"LU000616")</f>
        <v>LU000616</v>
      </c>
      <c r="AL78" s="83" t="str">
        <f ca="1">IFERROR(__xludf.DUMMYFUNCTION("""COMPUTED_VALUE"""),"Definition and elements (class interval, lower class limit, upper class limit, class mark) of grouped frequency distribution table")</f>
        <v>Definition and elements (class interval, lower class limit, upper class limit, class mark) of grouped frequency distribution table</v>
      </c>
      <c r="AM78" s="83"/>
      <c r="AN78" s="83"/>
      <c r="AO78" s="83"/>
      <c r="AP78" s="83"/>
      <c r="AQ78" s="83"/>
      <c r="AR78" s="83"/>
      <c r="AS78" s="83"/>
      <c r="AT78" s="83"/>
    </row>
    <row r="79" spans="1:46" ht="26.4">
      <c r="A79" s="8" t="s">
        <v>247</v>
      </c>
      <c r="B79" s="82" t="s">
        <v>47</v>
      </c>
      <c r="C79" s="82" t="s">
        <v>1172</v>
      </c>
      <c r="D79" s="83" t="s">
        <v>732</v>
      </c>
      <c r="E79" s="82" t="s">
        <v>1162</v>
      </c>
      <c r="F79" s="85" t="s">
        <v>1381</v>
      </c>
      <c r="G79" s="84" t="s">
        <v>1382</v>
      </c>
      <c r="H79" s="85" t="s">
        <v>1383</v>
      </c>
      <c r="I79" s="68" t="str">
        <f t="shared" si="0"/>
        <v>LU001551.001</v>
      </c>
      <c r="J79" s="69" t="str">
        <f ca="1">IFERROR(__xludf.DUMMYFUNCTION("VLOOKUP(I79, IMPORTRANGE(""https://docs.google.com/spreadsheets/d/1yDAaXNsi4Mr5FtRQL4tbmSdIzhx6_m4wkOD7IG-k_eo/edit#gid=0"", ""Maths!M:N""), 2, FALSE)"),"(LU001551.001); Default - Remember")</f>
        <v>(LU001551.001); Default - Remember</v>
      </c>
      <c r="K79" s="69" t="str">
        <f t="shared" si="1"/>
        <v>LU001551.002</v>
      </c>
      <c r="L79" s="69" t="str">
        <f ca="1">IFERROR(__xludf.DUMMYFUNCTION("VLOOKUP(K79, IMPORTRANGE(""https://docs.google.com/spreadsheets/d/1yDAaXNsi4Mr5FtRQL4tbmSdIzhx6_m4wkOD7IG-k_eo/edit#gid=0"", ""Maths!M:N""), 2, FALSE)"),"(LU001551.002); Default - Understand")</f>
        <v>(LU001551.002); Default - Understand</v>
      </c>
      <c r="M79" s="69" t="str">
        <f t="shared" si="2"/>
        <v>LU001551.003</v>
      </c>
      <c r="N79" s="69" t="str">
        <f ca="1">IFERROR(__xludf.DUMMYFUNCTION("VLOOKUP(M79, IMPORTRANGE(""https://docs.google.com/spreadsheets/d/1yDAaXNsi4Mr5FtRQL4tbmSdIzhx6_m4wkOD7IG-k_eo/edit#gid=0"", ""Maths!M:N""), 2, FALSE)"),"(LU001551.003); Default - Apply")</f>
        <v>(LU001551.003); Default - Apply</v>
      </c>
      <c r="O79" s="69" t="str">
        <f t="shared" si="3"/>
        <v>LU001551.004</v>
      </c>
      <c r="P79" s="69" t="str">
        <f ca="1">IFERROR(__xludf.DUMMYFUNCTION("VLOOKUP(O79, IMPORTRANGE(""https://docs.google.com/spreadsheets/d/1yDAaXNsi4Mr5FtRQL4tbmSdIzhx6_m4wkOD7IG-k_eo/edit#gid=0"", ""Maths!M:N""), 2, FALSE)"),"(LU001551.004); Default - Analyse")</f>
        <v>(LU001551.004); Default - Analyse</v>
      </c>
      <c r="Q79" s="69" t="str">
        <f t="shared" si="4"/>
        <v>LU001551.005</v>
      </c>
      <c r="R79" s="69" t="str">
        <f ca="1">IFERROR(__xludf.DUMMYFUNCTION("VLOOKUP(Q79, IMPORTRANGE(""https://docs.google.com/spreadsheets/d/1yDAaXNsi4Mr5FtRQL4tbmSdIzhx6_m4wkOD7IG-k_eo/edit#gid=0"", ""Maths!M:N""), 2, FALSE)"),"(LU001551.005); Default - Evaluate")</f>
        <v>(LU001551.005); Default - Evaluate</v>
      </c>
      <c r="S79" s="69" t="str">
        <f t="shared" si="5"/>
        <v>LU001551.006</v>
      </c>
      <c r="T79" s="69" t="str">
        <f ca="1">IFERROR(__xludf.DUMMYFUNCTION("VLOOKUP(S79, IMPORTRANGE(""https://docs.google.com/spreadsheets/d/1yDAaXNsi4Mr5FtRQL4tbmSdIzhx6_m4wkOD7IG-k_eo/edit#gid=0"", ""Maths!M:N""), 2, FALSE)"),"(LU001551.006); Default - Create")</f>
        <v>(LU001551.006); Default - Create</v>
      </c>
      <c r="U79" s="11" t="str">
        <f ca="1">IFERROR(__xludf.DUMMYFUNCTION("ArrayFormula(VLOOKUP(G79, IMPORTRANGE(""https://docs.google.com/spreadsheets/d/1p7R4vtkWt5VOBim4ltsDG9KTzSjrtKXsMtQGXPHyND0/edit#gid=795171502"", ""'Filter 30_05_2024'!A1:M2000""), {2, 3, 4, 5,6,7,8,9,10,11,12,13}, 0))"),"#N/A")</f>
        <v>#N/A</v>
      </c>
      <c r="V79" s="11" t="str">
        <f ca="1">IFERROR(__xludf.DUMMYFUNCTION("""COMPUTED_VALUE"""),"#N/A")</f>
        <v>#N/A</v>
      </c>
      <c r="W79" s="11" t="str">
        <f ca="1">IFERROR(__xludf.DUMMYFUNCTION("""COMPUTED_VALUE"""),"#N/A")</f>
        <v>#N/A</v>
      </c>
      <c r="X79" s="11" t="str">
        <f ca="1">IFERROR(__xludf.DUMMYFUNCTION("""COMPUTED_VALUE"""),"#N/A")</f>
        <v>#N/A</v>
      </c>
      <c r="Y79" s="11" t="str">
        <f ca="1">IFERROR(__xludf.DUMMYFUNCTION("""COMPUTED_VALUE"""),"#N/A")</f>
        <v>#N/A</v>
      </c>
      <c r="Z79" s="12" t="str">
        <f ca="1">IFERROR(__xludf.DUMMYFUNCTION("""COMPUTED_VALUE"""),"#N/A")</f>
        <v>#N/A</v>
      </c>
      <c r="AA79" s="12" t="str">
        <f ca="1">IFERROR(__xludf.DUMMYFUNCTION("""COMPUTED_VALUE"""),"#N/A")</f>
        <v>#N/A</v>
      </c>
      <c r="AB79" s="12" t="str">
        <f ca="1">IFERROR(__xludf.DUMMYFUNCTION("""COMPUTED_VALUE"""),"#N/A")</f>
        <v>#N/A</v>
      </c>
      <c r="AC79" s="11" t="str">
        <f ca="1">IFERROR(__xludf.DUMMYFUNCTION("""COMPUTED_VALUE"""),"#N/A")</f>
        <v>#N/A</v>
      </c>
      <c r="AD79" s="12" t="str">
        <f ca="1">IFERROR(__xludf.DUMMYFUNCTION("""COMPUTED_VALUE"""),"#N/A")</f>
        <v>#N/A</v>
      </c>
      <c r="AE79" s="12" t="str">
        <f ca="1">IFERROR(__xludf.DUMMYFUNCTION("""COMPUTED_VALUE"""),"#N/A")</f>
        <v>#N/A</v>
      </c>
      <c r="AF79" s="12" t="str">
        <f ca="1">IFERROR(__xludf.DUMMYFUNCTION("""COMPUTED_VALUE"""),"#N/A")</f>
        <v>#N/A</v>
      </c>
      <c r="AG79" s="86" t="str">
        <f ca="1">IFERROR(__xludf.DUMMYFUNCTION("ArrayFormula(VLOOKUP(G79, IMPORTRANGE(""https://docs.google.com/spreadsheets/d/1Co934fvtviyaRiMsrIlT05Jaq7iiYq07aLvRr35KA48/edit?gid=173865642#gid=173865642"", ""'G10_Maths_Pri_LU'!G2:V2000""), {3, 4, 5, 6, 7, 8, 9, 10, 11, 12, 13, 14, 15, 16}, 0))"),"LU000389")</f>
        <v>LU000389</v>
      </c>
      <c r="AH79" s="83" t="str">
        <f ca="1">IFERROR(__xludf.DUMMYFUNCTION("""COMPUTED_VALUE"""),"Definition of median of the data")</f>
        <v>Definition of median of the data</v>
      </c>
      <c r="AI79" s="83"/>
      <c r="AJ79" s="83"/>
      <c r="AK79" s="83"/>
      <c r="AL79" s="83"/>
      <c r="AM79" s="83"/>
      <c r="AN79" s="83"/>
      <c r="AO79" s="83"/>
      <c r="AP79" s="83"/>
      <c r="AQ79" s="83"/>
      <c r="AR79" s="83"/>
      <c r="AS79" s="83"/>
      <c r="AT79" s="83"/>
    </row>
    <row r="80" spans="1:46" ht="27.6">
      <c r="A80" s="8" t="s">
        <v>247</v>
      </c>
      <c r="B80" s="82" t="s">
        <v>47</v>
      </c>
      <c r="C80" s="82" t="s">
        <v>1172</v>
      </c>
      <c r="D80" s="83" t="s">
        <v>732</v>
      </c>
      <c r="E80" s="82" t="s">
        <v>1162</v>
      </c>
      <c r="F80" s="85" t="s">
        <v>1384</v>
      </c>
      <c r="G80" s="90" t="s">
        <v>1385</v>
      </c>
      <c r="H80" s="91" t="s">
        <v>1386</v>
      </c>
      <c r="I80" s="68" t="str">
        <f t="shared" si="0"/>
        <v>LU001552.001</v>
      </c>
      <c r="J80" s="69" t="str">
        <f ca="1">IFERROR(__xludf.DUMMYFUNCTION("VLOOKUP(I80, IMPORTRANGE(""https://docs.google.com/spreadsheets/d/1yDAaXNsi4Mr5FtRQL4tbmSdIzhx6_m4wkOD7IG-k_eo/edit#gid=0"", ""Maths!M:N""), 2, FALSE)"),"(LU001552.001); Default - Remember")</f>
        <v>(LU001552.001); Default - Remember</v>
      </c>
      <c r="K80" s="69" t="str">
        <f t="shared" si="1"/>
        <v>LU001552.002</v>
      </c>
      <c r="L80" s="69" t="str">
        <f ca="1">IFERROR(__xludf.DUMMYFUNCTION("VLOOKUP(K80, IMPORTRANGE(""https://docs.google.com/spreadsheets/d/1yDAaXNsi4Mr5FtRQL4tbmSdIzhx6_m4wkOD7IG-k_eo/edit#gid=0"", ""Maths!M:N""), 2, FALSE)"),"(LU001552.002); Default - Understand")</f>
        <v>(LU001552.002); Default - Understand</v>
      </c>
      <c r="M80" s="69" t="str">
        <f t="shared" si="2"/>
        <v>LU001552.003</v>
      </c>
      <c r="N80" s="69" t="str">
        <f ca="1">IFERROR(__xludf.DUMMYFUNCTION("VLOOKUP(M80, IMPORTRANGE(""https://docs.google.com/spreadsheets/d/1yDAaXNsi4Mr5FtRQL4tbmSdIzhx6_m4wkOD7IG-k_eo/edit#gid=0"", ""Maths!M:N""), 2, FALSE)"),"(LU001552.003); Default - Apply")</f>
        <v>(LU001552.003); Default - Apply</v>
      </c>
      <c r="O80" s="69" t="str">
        <f t="shared" si="3"/>
        <v>LU001552.004</v>
      </c>
      <c r="P80" s="69" t="str">
        <f ca="1">IFERROR(__xludf.DUMMYFUNCTION("VLOOKUP(O80, IMPORTRANGE(""https://docs.google.com/spreadsheets/d/1yDAaXNsi4Mr5FtRQL4tbmSdIzhx6_m4wkOD7IG-k_eo/edit#gid=0"", ""Maths!M:N""), 2, FALSE)"),"(LU001552.004); Default - Analyse")</f>
        <v>(LU001552.004); Default - Analyse</v>
      </c>
      <c r="Q80" s="69" t="str">
        <f t="shared" si="4"/>
        <v>LU001552.005</v>
      </c>
      <c r="R80" s="69" t="str">
        <f ca="1">IFERROR(__xludf.DUMMYFUNCTION("VLOOKUP(Q80, IMPORTRANGE(""https://docs.google.com/spreadsheets/d/1yDAaXNsi4Mr5FtRQL4tbmSdIzhx6_m4wkOD7IG-k_eo/edit#gid=0"", ""Maths!M:N""), 2, FALSE)"),"(LU001552.005); Default - Evaluate")</f>
        <v>(LU001552.005); Default - Evaluate</v>
      </c>
      <c r="S80" s="69" t="str">
        <f t="shared" si="5"/>
        <v>LU001552.006</v>
      </c>
      <c r="T80" s="69" t="str">
        <f ca="1">IFERROR(__xludf.DUMMYFUNCTION("VLOOKUP(S80, IMPORTRANGE(""https://docs.google.com/spreadsheets/d/1yDAaXNsi4Mr5FtRQL4tbmSdIzhx6_m4wkOD7IG-k_eo/edit#gid=0"", ""Maths!M:N""), 2, FALSE)"),"(LU001552.006); Default - Create")</f>
        <v>(LU001552.006); Default - Create</v>
      </c>
      <c r="U80" s="11" t="str">
        <f ca="1">IFERROR(__xludf.DUMMYFUNCTION("ArrayFormula(VLOOKUP(G80, IMPORTRANGE(""https://docs.google.com/spreadsheets/d/1p7R4vtkWt5VOBim4ltsDG9KTzSjrtKXsMtQGXPHyND0/edit#gid=795171502"", ""'Filter 30_05_2024'!A1:M2000""), {2, 3, 4, 5,6,7,8,9,10,11,12,13}, 0))"),"#N/A")</f>
        <v>#N/A</v>
      </c>
      <c r="V80" s="11" t="str">
        <f ca="1">IFERROR(__xludf.DUMMYFUNCTION("""COMPUTED_VALUE"""),"#N/A")</f>
        <v>#N/A</v>
      </c>
      <c r="W80" s="11" t="str">
        <f ca="1">IFERROR(__xludf.DUMMYFUNCTION("""COMPUTED_VALUE"""),"#N/A")</f>
        <v>#N/A</v>
      </c>
      <c r="X80" s="11" t="str">
        <f ca="1">IFERROR(__xludf.DUMMYFUNCTION("""COMPUTED_VALUE"""),"#N/A")</f>
        <v>#N/A</v>
      </c>
      <c r="Y80" s="11" t="str">
        <f ca="1">IFERROR(__xludf.DUMMYFUNCTION("""COMPUTED_VALUE"""),"#N/A")</f>
        <v>#N/A</v>
      </c>
      <c r="Z80" s="12" t="str">
        <f ca="1">IFERROR(__xludf.DUMMYFUNCTION("""COMPUTED_VALUE"""),"#N/A")</f>
        <v>#N/A</v>
      </c>
      <c r="AA80" s="12" t="str">
        <f ca="1">IFERROR(__xludf.DUMMYFUNCTION("""COMPUTED_VALUE"""),"#N/A")</f>
        <v>#N/A</v>
      </c>
      <c r="AB80" s="12" t="str">
        <f ca="1">IFERROR(__xludf.DUMMYFUNCTION("""COMPUTED_VALUE"""),"#N/A")</f>
        <v>#N/A</v>
      </c>
      <c r="AC80" s="11" t="str">
        <f ca="1">IFERROR(__xludf.DUMMYFUNCTION("""COMPUTED_VALUE"""),"#N/A")</f>
        <v>#N/A</v>
      </c>
      <c r="AD80" s="12" t="str">
        <f ca="1">IFERROR(__xludf.DUMMYFUNCTION("""COMPUTED_VALUE"""),"#N/A")</f>
        <v>#N/A</v>
      </c>
      <c r="AE80" s="12" t="str">
        <f ca="1">IFERROR(__xludf.DUMMYFUNCTION("""COMPUTED_VALUE"""),"#N/A")</f>
        <v>#N/A</v>
      </c>
      <c r="AF80" s="12" t="str">
        <f ca="1">IFERROR(__xludf.DUMMYFUNCTION("""COMPUTED_VALUE"""),"#N/A")</f>
        <v>#N/A</v>
      </c>
      <c r="AG80" s="86" t="str">
        <f ca="1">IFERROR(__xludf.DUMMYFUNCTION("ArrayFormula(VLOOKUP(G80, IMPORTRANGE(""https://docs.google.com/spreadsheets/d/1Co934fvtviyaRiMsrIlT05Jaq7iiYq07aLvRr35KA48/edit?gid=173865642#gid=173865642"", ""'G10_Maths_Pri_LU'!G2:V2000""), {3, 4, 5, 6, 7, 8, 9, 10, 11, 12, 13, 14, 15, 16}, 0))"),"LU000616")</f>
        <v>LU000616</v>
      </c>
      <c r="AH80" s="83" t="str">
        <f ca="1">IFERROR(__xludf.DUMMYFUNCTION("""COMPUTED_VALUE"""),"Definition and elements (class interval, lower class limit, upper class limit, class mark) of grouped frequency distribution table")</f>
        <v>Definition and elements (class interval, lower class limit, upper class limit, class mark) of grouped frequency distribution table</v>
      </c>
      <c r="AI80" s="83" t="str">
        <f ca="1">IFERROR(__xludf.DUMMYFUNCTION("""COMPUTED_VALUE"""),"LU000930")</f>
        <v>LU000930</v>
      </c>
      <c r="AJ80" s="83" t="str">
        <f ca="1">IFERROR(__xludf.DUMMYFUNCTION("""COMPUTED_VALUE"""),"Interpretation of grouped frequency distribution table")</f>
        <v>Interpretation of grouped frequency distribution table</v>
      </c>
      <c r="AK80" s="83"/>
      <c r="AL80" s="83"/>
      <c r="AM80" s="83"/>
      <c r="AN80" s="83"/>
      <c r="AO80" s="83"/>
      <c r="AP80" s="83"/>
      <c r="AQ80" s="83"/>
      <c r="AR80" s="83"/>
      <c r="AS80" s="83"/>
      <c r="AT80" s="83"/>
    </row>
    <row r="81" spans="1:46" ht="27.6">
      <c r="A81" s="8" t="s">
        <v>247</v>
      </c>
      <c r="B81" s="82" t="s">
        <v>47</v>
      </c>
      <c r="C81" s="82" t="s">
        <v>1172</v>
      </c>
      <c r="D81" s="83" t="s">
        <v>732</v>
      </c>
      <c r="E81" s="82" t="s">
        <v>1162</v>
      </c>
      <c r="F81" s="85" t="s">
        <v>1384</v>
      </c>
      <c r="G81" s="90" t="s">
        <v>1387</v>
      </c>
      <c r="H81" s="91" t="s">
        <v>1388</v>
      </c>
      <c r="I81" s="68" t="str">
        <f t="shared" si="0"/>
        <v>LU001554.001</v>
      </c>
      <c r="J81" s="69" t="str">
        <f ca="1">IFERROR(__xludf.DUMMYFUNCTION("VLOOKUP(I81, IMPORTRANGE(""https://docs.google.com/spreadsheets/d/1yDAaXNsi4Mr5FtRQL4tbmSdIzhx6_m4wkOD7IG-k_eo/edit#gid=0"", ""Maths!M:N""), 2, FALSE)"),"(LU001554.001); Default - Remember")</f>
        <v>(LU001554.001); Default - Remember</v>
      </c>
      <c r="K81" s="69" t="str">
        <f t="shared" si="1"/>
        <v>LU001554.002</v>
      </c>
      <c r="L81" s="69" t="str">
        <f ca="1">IFERROR(__xludf.DUMMYFUNCTION("VLOOKUP(K81, IMPORTRANGE(""https://docs.google.com/spreadsheets/d/1yDAaXNsi4Mr5FtRQL4tbmSdIzhx6_m4wkOD7IG-k_eo/edit#gid=0"", ""Maths!M:N""), 2, FALSE)"),"(LU001554.002); Default - Understand")</f>
        <v>(LU001554.002); Default - Understand</v>
      </c>
      <c r="M81" s="69" t="str">
        <f t="shared" si="2"/>
        <v>LU001554.003</v>
      </c>
      <c r="N81" s="69" t="str">
        <f ca="1">IFERROR(__xludf.DUMMYFUNCTION("VLOOKUP(M81, IMPORTRANGE(""https://docs.google.com/spreadsheets/d/1yDAaXNsi4Mr5FtRQL4tbmSdIzhx6_m4wkOD7IG-k_eo/edit#gid=0"", ""Maths!M:N""), 2, FALSE)"),"(LU001554.003); Default - Apply")</f>
        <v>(LU001554.003); Default - Apply</v>
      </c>
      <c r="O81" s="69" t="str">
        <f t="shared" si="3"/>
        <v>LU001554.004</v>
      </c>
      <c r="P81" s="69" t="str">
        <f ca="1">IFERROR(__xludf.DUMMYFUNCTION("VLOOKUP(O81, IMPORTRANGE(""https://docs.google.com/spreadsheets/d/1yDAaXNsi4Mr5FtRQL4tbmSdIzhx6_m4wkOD7IG-k_eo/edit#gid=0"", ""Maths!M:N""), 2, FALSE)"),"(LU001554.004); Default - Analyse")</f>
        <v>(LU001554.004); Default - Analyse</v>
      </c>
      <c r="Q81" s="69" t="str">
        <f t="shared" si="4"/>
        <v>LU001554.005</v>
      </c>
      <c r="R81" s="69" t="str">
        <f ca="1">IFERROR(__xludf.DUMMYFUNCTION("VLOOKUP(Q81, IMPORTRANGE(""https://docs.google.com/spreadsheets/d/1yDAaXNsi4Mr5FtRQL4tbmSdIzhx6_m4wkOD7IG-k_eo/edit#gid=0"", ""Maths!M:N""), 2, FALSE)"),"(LU001554.005); Default - Evaluate")</f>
        <v>(LU001554.005); Default - Evaluate</v>
      </c>
      <c r="S81" s="69" t="str">
        <f t="shared" si="5"/>
        <v>LU001554.006</v>
      </c>
      <c r="T81" s="69" t="str">
        <f ca="1">IFERROR(__xludf.DUMMYFUNCTION("VLOOKUP(S81, IMPORTRANGE(""https://docs.google.com/spreadsheets/d/1yDAaXNsi4Mr5FtRQL4tbmSdIzhx6_m4wkOD7IG-k_eo/edit#gid=0"", ""Maths!M:N""), 2, FALSE)"),"(LU001554.006); Default - Create")</f>
        <v>(LU001554.006); Default - Create</v>
      </c>
      <c r="U81" s="11" t="str">
        <f ca="1">IFERROR(__xludf.DUMMYFUNCTION("ArrayFormula(VLOOKUP(G81, IMPORTRANGE(""https://docs.google.com/spreadsheets/d/1p7R4vtkWt5VOBim4ltsDG9KTzSjrtKXsMtQGXPHyND0/edit#gid=795171502"", ""'Filter 30_05_2024'!A1:M2000""), {2, 3, 4, 5,6,7,8,9,10,11,12,13}, 0))"),"#N/A")</f>
        <v>#N/A</v>
      </c>
      <c r="V81" s="11" t="str">
        <f ca="1">IFERROR(__xludf.DUMMYFUNCTION("""COMPUTED_VALUE"""),"#N/A")</f>
        <v>#N/A</v>
      </c>
      <c r="W81" s="11" t="str">
        <f ca="1">IFERROR(__xludf.DUMMYFUNCTION("""COMPUTED_VALUE"""),"#N/A")</f>
        <v>#N/A</v>
      </c>
      <c r="X81" s="11" t="str">
        <f ca="1">IFERROR(__xludf.DUMMYFUNCTION("""COMPUTED_VALUE"""),"#N/A")</f>
        <v>#N/A</v>
      </c>
      <c r="Y81" s="11" t="str">
        <f ca="1">IFERROR(__xludf.DUMMYFUNCTION("""COMPUTED_VALUE"""),"#N/A")</f>
        <v>#N/A</v>
      </c>
      <c r="Z81" s="12" t="str">
        <f ca="1">IFERROR(__xludf.DUMMYFUNCTION("""COMPUTED_VALUE"""),"#N/A")</f>
        <v>#N/A</v>
      </c>
      <c r="AA81" s="12" t="str">
        <f ca="1">IFERROR(__xludf.DUMMYFUNCTION("""COMPUTED_VALUE"""),"#N/A")</f>
        <v>#N/A</v>
      </c>
      <c r="AB81" s="12" t="str">
        <f ca="1">IFERROR(__xludf.DUMMYFUNCTION("""COMPUTED_VALUE"""),"#N/A")</f>
        <v>#N/A</v>
      </c>
      <c r="AC81" s="11" t="str">
        <f ca="1">IFERROR(__xludf.DUMMYFUNCTION("""COMPUTED_VALUE"""),"#N/A")</f>
        <v>#N/A</v>
      </c>
      <c r="AD81" s="12" t="str">
        <f ca="1">IFERROR(__xludf.DUMMYFUNCTION("""COMPUTED_VALUE"""),"#N/A")</f>
        <v>#N/A</v>
      </c>
      <c r="AE81" s="12" t="str">
        <f ca="1">IFERROR(__xludf.DUMMYFUNCTION("""COMPUTED_VALUE"""),"#N/A")</f>
        <v>#N/A</v>
      </c>
      <c r="AF81" s="12" t="str">
        <f ca="1">IFERROR(__xludf.DUMMYFUNCTION("""COMPUTED_VALUE"""),"#N/A")</f>
        <v>#N/A</v>
      </c>
      <c r="AG81" s="86" t="str">
        <f ca="1">IFERROR(__xludf.DUMMYFUNCTION("ArrayFormula(VLOOKUP(G81, IMPORTRANGE(""https://docs.google.com/spreadsheets/d/1Co934fvtviyaRiMsrIlT05Jaq7iiYq07aLvRr35KA48/edit?gid=173865642#gid=173865642"", ""'G10_Maths_Pri_LU'!G2:V2000""), {3, 4, 5, 6, 7, 8, 9, 10, 11, 12, 13, 14, 15, 16}, 0))"),"LU001553")</f>
        <v>LU001553</v>
      </c>
      <c r="AH81" s="83" t="str">
        <f ca="1">IFERROR(__xludf.DUMMYFUNCTION("""COMPUTED_VALUE"""),"Definition of median class and its related terms")</f>
        <v>Definition of median class and its related terms</v>
      </c>
      <c r="AI81" s="83" t="str">
        <f ca="1">IFERROR(__xludf.DUMMYFUNCTION("""COMPUTED_VALUE"""),"LU001551")</f>
        <v>LU001551</v>
      </c>
      <c r="AJ81" s="83" t="str">
        <f ca="1">IFERROR(__xludf.DUMMYFUNCTION("""COMPUTED_VALUE"""),"Median of ungrouped frequency data")</f>
        <v>Median of ungrouped frequency data</v>
      </c>
      <c r="AK81" s="83" t="str">
        <f ca="1">IFERROR(__xludf.DUMMYFUNCTION("""COMPUTED_VALUE"""),"LU000616")</f>
        <v>LU000616</v>
      </c>
      <c r="AL81" s="83" t="str">
        <f ca="1">IFERROR(__xludf.DUMMYFUNCTION("""COMPUTED_VALUE"""),"Definition and elements (class interval, lower class limit, upper class limit, class mark) of grouped frequency distribution table")</f>
        <v>Definition and elements (class interval, lower class limit, upper class limit, class mark) of grouped frequency distribution table</v>
      </c>
      <c r="AM81" s="83"/>
      <c r="AN81" s="83"/>
      <c r="AO81" s="83"/>
      <c r="AP81" s="83"/>
      <c r="AQ81" s="83"/>
      <c r="AR81" s="83"/>
      <c r="AS81" s="83"/>
      <c r="AT81" s="83"/>
    </row>
    <row r="82" spans="1:46" ht="66">
      <c r="A82" s="8" t="s">
        <v>247</v>
      </c>
      <c r="B82" s="82" t="s">
        <v>47</v>
      </c>
      <c r="C82" s="82" t="s">
        <v>1172</v>
      </c>
      <c r="D82" s="83" t="s">
        <v>732</v>
      </c>
      <c r="E82" s="82" t="s">
        <v>1162</v>
      </c>
      <c r="F82" s="82" t="s">
        <v>1389</v>
      </c>
      <c r="G82" s="87" t="s">
        <v>1390</v>
      </c>
      <c r="H82" s="88" t="s">
        <v>1391</v>
      </c>
      <c r="I82" s="68" t="str">
        <f t="shared" si="0"/>
        <v>LU001115.001</v>
      </c>
      <c r="J82" s="69" t="str">
        <f ca="1">IFERROR(__xludf.DUMMYFUNCTION("VLOOKUP(I82, IMPORTRANGE(""https://docs.google.com/spreadsheets/d/1yDAaXNsi4Mr5FtRQL4tbmSdIzhx6_m4wkOD7IG-k_eo/edit#gid=0"", ""Maths!M:N""), 2, FALSE)"),"Define mean, median, and mode, and state the empirical relationship among them.")</f>
        <v>Define mean, median, and mode, and state the empirical relationship among them.</v>
      </c>
      <c r="K82" s="69" t="str">
        <f t="shared" si="1"/>
        <v>LU001115.002</v>
      </c>
      <c r="L82" s="69" t="str">
        <f ca="1">IFERROR(__xludf.DUMMYFUNCTION("VLOOKUP(K82, IMPORTRANGE(""https://docs.google.com/spreadsheets/d/1yDAaXNsi4Mr5FtRQL4tbmSdIzhx6_m4wkOD7IG-k_eo/edit#gid=0"", ""Maths!M:N""), 2, FALSE)"),"Explain the empirical relationship between mean, median, and mode.")</f>
        <v>Explain the empirical relationship between mean, median, and mode.</v>
      </c>
      <c r="M82" s="69" t="str">
        <f t="shared" si="2"/>
        <v>LU001115.003</v>
      </c>
      <c r="N82" s="69" t="str">
        <f ca="1">IFERROR(__xludf.DUMMYFUNCTION("VLOOKUP(M82, IMPORTRANGE(""https://docs.google.com/spreadsheets/d/1yDAaXNsi4Mr5FtRQL4tbmSdIzhx6_m4wkOD7IG-k_eo/edit#gid=0"", ""Maths!M:N""), 2, FALSE)"),"Calculate the mean, median, and mode for a given data set and relate them.")</f>
        <v>Calculate the mean, median, and mode for a given data set and relate them.</v>
      </c>
      <c r="O82" s="69" t="str">
        <f t="shared" si="3"/>
        <v>LU001115.004</v>
      </c>
      <c r="P82" s="69" t="str">
        <f ca="1">IFERROR(__xludf.DUMMYFUNCTION("VLOOKUP(O82, IMPORTRANGE(""https://docs.google.com/spreadsheets/d/1yDAaXNsi4Mr5FtRQL4tbmSdIzhx6_m4wkOD7IG-k_eo/edit#gid=0"", ""Maths!M:N""), 2, FALSE)"),"Analyse data sets to observe the empirical relationship between mean, median, and mode.")</f>
        <v>Analyse data sets to observe the empirical relationship between mean, median, and mode.</v>
      </c>
      <c r="Q82" s="69" t="str">
        <f t="shared" si="4"/>
        <v>LU001115.005</v>
      </c>
      <c r="R82" s="69" t="str">
        <f ca="1">IFERROR(__xludf.DUMMYFUNCTION("VLOOKUP(Q82, IMPORTRANGE(""https://docs.google.com/spreadsheets/d/1yDAaXNsi4Mr5FtRQL4tbmSdIzhx6_m4wkOD7IG-k_eo/edit#gid=0"", ""Maths!M:N""), 2, FALSE)"),"Evaluate the consistency of the empirical relationship in different types of data sets.")</f>
        <v>Evaluate the consistency of the empirical relationship in different types of data sets.</v>
      </c>
      <c r="S82" s="69" t="str">
        <f t="shared" si="5"/>
        <v>LU001115.006</v>
      </c>
      <c r="T82" s="69" t="str">
        <f ca="1">IFERROR(__xludf.DUMMYFUNCTION("VLOOKUP(S82, IMPORTRANGE(""https://docs.google.com/spreadsheets/d/1yDAaXNsi4Mr5FtRQL4tbmSdIzhx6_m4wkOD7IG-k_eo/edit#gid=0"", ""Maths!M:N""), 2, FALSE)"),"Design a study or survey to investigate the empirical relationship between mean, median, and mode in real-world data.")</f>
        <v>Design a study or survey to investigate the empirical relationship between mean, median, and mode in real-world data.</v>
      </c>
      <c r="U82" s="11" t="str">
        <f ca="1">IFERROR(__xludf.DUMMYFUNCTION("ArrayFormula(VLOOKUP(G82, IMPORTRANGE(""https://docs.google.com/spreadsheets/d/1p7R4vtkWt5VOBim4ltsDG9KTzSjrtKXsMtQGXPHyND0/edit#gid=795171502"", ""'Filter 30_05_2024'!A1:M2000""), {2, 3, 4, 5,6,7,8,9,10,11,12,13}, 0))"),"#N/A")</f>
        <v>#N/A</v>
      </c>
      <c r="V82" s="11" t="str">
        <f ca="1">IFERROR(__xludf.DUMMYFUNCTION("""COMPUTED_VALUE"""),"#N/A")</f>
        <v>#N/A</v>
      </c>
      <c r="W82" s="11" t="str">
        <f ca="1">IFERROR(__xludf.DUMMYFUNCTION("""COMPUTED_VALUE"""),"#N/A")</f>
        <v>#N/A</v>
      </c>
      <c r="X82" s="11" t="str">
        <f ca="1">IFERROR(__xludf.DUMMYFUNCTION("""COMPUTED_VALUE"""),"#N/A")</f>
        <v>#N/A</v>
      </c>
      <c r="Y82" s="11" t="str">
        <f ca="1">IFERROR(__xludf.DUMMYFUNCTION("""COMPUTED_VALUE"""),"#N/A")</f>
        <v>#N/A</v>
      </c>
      <c r="Z82" s="12" t="str">
        <f ca="1">IFERROR(__xludf.DUMMYFUNCTION("""COMPUTED_VALUE"""),"#N/A")</f>
        <v>#N/A</v>
      </c>
      <c r="AA82" s="12" t="str">
        <f ca="1">IFERROR(__xludf.DUMMYFUNCTION("""COMPUTED_VALUE"""),"#N/A")</f>
        <v>#N/A</v>
      </c>
      <c r="AB82" s="12" t="str">
        <f ca="1">IFERROR(__xludf.DUMMYFUNCTION("""COMPUTED_VALUE"""),"#N/A")</f>
        <v>#N/A</v>
      </c>
      <c r="AC82" s="11" t="str">
        <f ca="1">IFERROR(__xludf.DUMMYFUNCTION("""COMPUTED_VALUE"""),"#N/A")</f>
        <v>#N/A</v>
      </c>
      <c r="AD82" s="12" t="str">
        <f ca="1">IFERROR(__xludf.DUMMYFUNCTION("""COMPUTED_VALUE"""),"#N/A")</f>
        <v>#N/A</v>
      </c>
      <c r="AE82" s="12" t="str">
        <f ca="1">IFERROR(__xludf.DUMMYFUNCTION("""COMPUTED_VALUE"""),"#N/A")</f>
        <v>#N/A</v>
      </c>
      <c r="AF82" s="12" t="str">
        <f ca="1">IFERROR(__xludf.DUMMYFUNCTION("""COMPUTED_VALUE"""),"#N/A")</f>
        <v>#N/A</v>
      </c>
      <c r="AG82" s="86" t="str">
        <f ca="1">IFERROR(__xludf.DUMMYFUNCTION("ArrayFormula(VLOOKUP(G82, IMPORTRANGE(""https://docs.google.com/spreadsheets/d/1Co934fvtviyaRiMsrIlT05Jaq7iiYq07aLvRr35KA48/edit?gid=173865642#gid=173865642"", ""'G10_Maths_Pri_LU'!G2:V2000""), {3, 4, 5, 6, 7, 8, 9, 10, 11, 12, 13, 14, 15, 16}, 0))"),"LU000386")</f>
        <v>LU000386</v>
      </c>
      <c r="AH82" s="83" t="str">
        <f ca="1">IFERROR(__xludf.DUMMYFUNCTION("""COMPUTED_VALUE"""),"Definition of arithmetic mean/average of the observations")</f>
        <v>Definition of arithmetic mean/average of the observations</v>
      </c>
      <c r="AI82" s="83" t="str">
        <f ca="1">IFERROR(__xludf.DUMMYFUNCTION("""COMPUTED_VALUE"""),"LU000389")</f>
        <v>LU000389</v>
      </c>
      <c r="AJ82" s="83" t="str">
        <f ca="1">IFERROR(__xludf.DUMMYFUNCTION("""COMPUTED_VALUE"""),"Definition of median of the data")</f>
        <v>Definition of median of the data</v>
      </c>
      <c r="AK82" s="83" t="str">
        <f ca="1">IFERROR(__xludf.DUMMYFUNCTION("""COMPUTED_VALUE"""),"LU000388")</f>
        <v>LU000388</v>
      </c>
      <c r="AL82" s="83" t="str">
        <f ca="1">IFERROR(__xludf.DUMMYFUNCTION("""COMPUTED_VALUE"""),"Definition of mode of the data")</f>
        <v>Definition of mode of the data</v>
      </c>
      <c r="AM82" s="83"/>
      <c r="AN82" s="83"/>
      <c r="AO82" s="83"/>
      <c r="AP82" s="83"/>
      <c r="AQ82" s="83"/>
      <c r="AR82" s="83"/>
      <c r="AS82" s="83"/>
      <c r="AT82" s="83"/>
    </row>
    <row r="83" spans="1:46" ht="27.6">
      <c r="A83" s="8" t="s">
        <v>247</v>
      </c>
      <c r="B83" s="82" t="s">
        <v>47</v>
      </c>
      <c r="C83" s="82" t="s">
        <v>1172</v>
      </c>
      <c r="D83" s="83" t="s">
        <v>732</v>
      </c>
      <c r="E83" s="82" t="s">
        <v>1162</v>
      </c>
      <c r="F83" s="82" t="s">
        <v>1392</v>
      </c>
      <c r="G83" s="90" t="s">
        <v>1393</v>
      </c>
      <c r="H83" s="91" t="s">
        <v>1394</v>
      </c>
      <c r="I83" s="68" t="str">
        <f t="shared" si="0"/>
        <v>LU001555.001</v>
      </c>
      <c r="J83" s="69" t="str">
        <f ca="1">IFERROR(__xludf.DUMMYFUNCTION("VLOOKUP(I83, IMPORTRANGE(""https://docs.google.com/spreadsheets/d/1yDAaXNsi4Mr5FtRQL4tbmSdIzhx6_m4wkOD7IG-k_eo/edit#gid=0"", ""Maths!M:N""), 2, FALSE)"),"(LU001555.001); Default - Remember")</f>
        <v>(LU001555.001); Default - Remember</v>
      </c>
      <c r="K83" s="69" t="str">
        <f t="shared" si="1"/>
        <v>LU001555.002</v>
      </c>
      <c r="L83" s="69" t="str">
        <f ca="1">IFERROR(__xludf.DUMMYFUNCTION("VLOOKUP(K83, IMPORTRANGE(""https://docs.google.com/spreadsheets/d/1yDAaXNsi4Mr5FtRQL4tbmSdIzhx6_m4wkOD7IG-k_eo/edit#gid=0"", ""Maths!M:N""), 2, FALSE)"),"(LU001555.002); Default - Understand")</f>
        <v>(LU001555.002); Default - Understand</v>
      </c>
      <c r="M83" s="69" t="str">
        <f t="shared" si="2"/>
        <v>LU001555.003</v>
      </c>
      <c r="N83" s="69" t="str">
        <f ca="1">IFERROR(__xludf.DUMMYFUNCTION("VLOOKUP(M83, IMPORTRANGE(""https://docs.google.com/spreadsheets/d/1yDAaXNsi4Mr5FtRQL4tbmSdIzhx6_m4wkOD7IG-k_eo/edit#gid=0"", ""Maths!M:N""), 2, FALSE)"),"(LU001555.003); Default - Apply")</f>
        <v>(LU001555.003); Default - Apply</v>
      </c>
      <c r="O83" s="69" t="str">
        <f t="shared" si="3"/>
        <v>LU001555.004</v>
      </c>
      <c r="P83" s="69" t="str">
        <f ca="1">IFERROR(__xludf.DUMMYFUNCTION("VLOOKUP(O83, IMPORTRANGE(""https://docs.google.com/spreadsheets/d/1yDAaXNsi4Mr5FtRQL4tbmSdIzhx6_m4wkOD7IG-k_eo/edit#gid=0"", ""Maths!M:N""), 2, FALSE)"),"(LU001555.004); Default - Analyse")</f>
        <v>(LU001555.004); Default - Analyse</v>
      </c>
      <c r="Q83" s="69" t="str">
        <f t="shared" si="4"/>
        <v>LU001555.005</v>
      </c>
      <c r="R83" s="69" t="str">
        <f ca="1">IFERROR(__xludf.DUMMYFUNCTION("VLOOKUP(Q83, IMPORTRANGE(""https://docs.google.com/spreadsheets/d/1yDAaXNsi4Mr5FtRQL4tbmSdIzhx6_m4wkOD7IG-k_eo/edit#gid=0"", ""Maths!M:N""), 2, FALSE)"),"(LU001555.005); Default - Evaluate")</f>
        <v>(LU001555.005); Default - Evaluate</v>
      </c>
      <c r="S83" s="69" t="str">
        <f t="shared" si="5"/>
        <v>LU001555.006</v>
      </c>
      <c r="T83" s="69" t="str">
        <f ca="1">IFERROR(__xludf.DUMMYFUNCTION("VLOOKUP(S83, IMPORTRANGE(""https://docs.google.com/spreadsheets/d/1yDAaXNsi4Mr5FtRQL4tbmSdIzhx6_m4wkOD7IG-k_eo/edit#gid=0"", ""Maths!M:N""), 2, FALSE)"),"(LU001555.006); Default - Create")</f>
        <v>(LU001555.006); Default - Create</v>
      </c>
      <c r="U83" s="11" t="str">
        <f ca="1">IFERROR(__xludf.DUMMYFUNCTION("ArrayFormula(VLOOKUP(G83, IMPORTRANGE(""https://docs.google.com/spreadsheets/d/1p7R4vtkWt5VOBim4ltsDG9KTzSjrtKXsMtQGXPHyND0/edit#gid=795171502"", ""'Filter 30_05_2024'!A1:M2000""), {2, 3, 4, 5,6,7,8,9,10,11,12,13}, 0))"),"#N/A")</f>
        <v>#N/A</v>
      </c>
      <c r="V83" s="11" t="str">
        <f ca="1">IFERROR(__xludf.DUMMYFUNCTION("""COMPUTED_VALUE"""),"#N/A")</f>
        <v>#N/A</v>
      </c>
      <c r="W83" s="11" t="str">
        <f ca="1">IFERROR(__xludf.DUMMYFUNCTION("""COMPUTED_VALUE"""),"#N/A")</f>
        <v>#N/A</v>
      </c>
      <c r="X83" s="11" t="str">
        <f ca="1">IFERROR(__xludf.DUMMYFUNCTION("""COMPUTED_VALUE"""),"#N/A")</f>
        <v>#N/A</v>
      </c>
      <c r="Y83" s="11" t="str">
        <f ca="1">IFERROR(__xludf.DUMMYFUNCTION("""COMPUTED_VALUE"""),"#N/A")</f>
        <v>#N/A</v>
      </c>
      <c r="Z83" s="12" t="str">
        <f ca="1">IFERROR(__xludf.DUMMYFUNCTION("""COMPUTED_VALUE"""),"#N/A")</f>
        <v>#N/A</v>
      </c>
      <c r="AA83" s="12" t="str">
        <f ca="1">IFERROR(__xludf.DUMMYFUNCTION("""COMPUTED_VALUE"""),"#N/A")</f>
        <v>#N/A</v>
      </c>
      <c r="AB83" s="12" t="str">
        <f ca="1">IFERROR(__xludf.DUMMYFUNCTION("""COMPUTED_VALUE"""),"#N/A")</f>
        <v>#N/A</v>
      </c>
      <c r="AC83" s="11" t="str">
        <f ca="1">IFERROR(__xludf.DUMMYFUNCTION("""COMPUTED_VALUE"""),"#N/A")</f>
        <v>#N/A</v>
      </c>
      <c r="AD83" s="12" t="str">
        <f ca="1">IFERROR(__xludf.DUMMYFUNCTION("""COMPUTED_VALUE"""),"#N/A")</f>
        <v>#N/A</v>
      </c>
      <c r="AE83" s="12" t="str">
        <f ca="1">IFERROR(__xludf.DUMMYFUNCTION("""COMPUTED_VALUE"""),"#N/A")</f>
        <v>#N/A</v>
      </c>
      <c r="AF83" s="12" t="str">
        <f ca="1">IFERROR(__xludf.DUMMYFUNCTION("""COMPUTED_VALUE"""),"#N/A")</f>
        <v>#N/A</v>
      </c>
      <c r="AG83" s="86" t="str">
        <f ca="1">IFERROR(__xludf.DUMMYFUNCTION("ArrayFormula(VLOOKUP(G83, IMPORTRANGE(""https://docs.google.com/spreadsheets/d/1Co934fvtviyaRiMsrIlT05Jaq7iiYq07aLvRr35KA48/edit?gid=173865642#gid=173865642"", ""'G10_Maths_Pri_LU'!G2:V2000""), {3, 4, 5, 6, 7, 8, 9, 10, 11, 12, 13, 14, 15, 16}, 0))"),"LU001552")</f>
        <v>LU001552</v>
      </c>
      <c r="AH83" s="83" t="str">
        <f ca="1">IFERROR(__xludf.DUMMYFUNCTION("""COMPUTED_VALUE"""),"Cumulative frequency distribution of less than /more than type")</f>
        <v>Cumulative frequency distribution of less than /more than type</v>
      </c>
      <c r="AI83" s="83" t="str">
        <f ca="1">IFERROR(__xludf.DUMMYFUNCTION("""COMPUTED_VALUE"""),"LU000616")</f>
        <v>LU000616</v>
      </c>
      <c r="AJ83" s="83" t="str">
        <f ca="1">IFERROR(__xludf.DUMMYFUNCTION("""COMPUTED_VALUE"""),"Definition and elements (class interval, lower class limit, upper class limit, class mark) of grouped frequency distribution table")</f>
        <v>Definition and elements (class interval, lower class limit, upper class limit, class mark) of grouped frequency distribution table</v>
      </c>
      <c r="AK83" s="83"/>
      <c r="AL83" s="83"/>
      <c r="AM83" s="83"/>
      <c r="AN83" s="83"/>
      <c r="AO83" s="83"/>
      <c r="AP83" s="83"/>
      <c r="AQ83" s="83"/>
      <c r="AR83" s="83"/>
      <c r="AS83" s="83"/>
      <c r="AT83" s="83"/>
    </row>
    <row r="84" spans="1:46" ht="26.4">
      <c r="A84" s="8" t="s">
        <v>247</v>
      </c>
      <c r="B84" s="82" t="s">
        <v>47</v>
      </c>
      <c r="C84" s="82" t="s">
        <v>1172</v>
      </c>
      <c r="D84" s="83" t="s">
        <v>732</v>
      </c>
      <c r="E84" s="82" t="s">
        <v>1162</v>
      </c>
      <c r="F84" s="82" t="s">
        <v>1392</v>
      </c>
      <c r="G84" s="84" t="s">
        <v>1395</v>
      </c>
      <c r="H84" s="85" t="s">
        <v>1396</v>
      </c>
      <c r="I84" s="68" t="str">
        <f t="shared" si="0"/>
        <v>LU001556.001</v>
      </c>
      <c r="J84" s="69" t="str">
        <f ca="1">IFERROR(__xludf.DUMMYFUNCTION("VLOOKUP(I84, IMPORTRANGE(""https://docs.google.com/spreadsheets/d/1yDAaXNsi4Mr5FtRQL4tbmSdIzhx6_m4wkOD7IG-k_eo/edit#gid=0"", ""Maths!M:N""), 2, FALSE)"),"(LU001556.001); Default - Remember")</f>
        <v>(LU001556.001); Default - Remember</v>
      </c>
      <c r="K84" s="69" t="str">
        <f t="shared" si="1"/>
        <v>LU001556.002</v>
      </c>
      <c r="L84" s="69" t="str">
        <f ca="1">IFERROR(__xludf.DUMMYFUNCTION("VLOOKUP(K84, IMPORTRANGE(""https://docs.google.com/spreadsheets/d/1yDAaXNsi4Mr5FtRQL4tbmSdIzhx6_m4wkOD7IG-k_eo/edit#gid=0"", ""Maths!M:N""), 2, FALSE)"),"(LU001556.002); Default - Understand")</f>
        <v>(LU001556.002); Default - Understand</v>
      </c>
      <c r="M84" s="69" t="str">
        <f t="shared" si="2"/>
        <v>LU001556.003</v>
      </c>
      <c r="N84" s="69" t="str">
        <f ca="1">IFERROR(__xludf.DUMMYFUNCTION("VLOOKUP(M84, IMPORTRANGE(""https://docs.google.com/spreadsheets/d/1yDAaXNsi4Mr5FtRQL4tbmSdIzhx6_m4wkOD7IG-k_eo/edit#gid=0"", ""Maths!M:N""), 2, FALSE)"),"(LU001556.003); Default - Apply")</f>
        <v>(LU001556.003); Default - Apply</v>
      </c>
      <c r="O84" s="69" t="str">
        <f t="shared" si="3"/>
        <v>LU001556.004</v>
      </c>
      <c r="P84" s="69" t="str">
        <f ca="1">IFERROR(__xludf.DUMMYFUNCTION("VLOOKUP(O84, IMPORTRANGE(""https://docs.google.com/spreadsheets/d/1yDAaXNsi4Mr5FtRQL4tbmSdIzhx6_m4wkOD7IG-k_eo/edit#gid=0"", ""Maths!M:N""), 2, FALSE)"),"(LU001556.004); Default - Analyse")</f>
        <v>(LU001556.004); Default - Analyse</v>
      </c>
      <c r="Q84" s="69" t="str">
        <f t="shared" si="4"/>
        <v>LU001556.005</v>
      </c>
      <c r="R84" s="69" t="str">
        <f ca="1">IFERROR(__xludf.DUMMYFUNCTION("VLOOKUP(Q84, IMPORTRANGE(""https://docs.google.com/spreadsheets/d/1yDAaXNsi4Mr5FtRQL4tbmSdIzhx6_m4wkOD7IG-k_eo/edit#gid=0"", ""Maths!M:N""), 2, FALSE)"),"(LU001556.005); Default - Evaluate")</f>
        <v>(LU001556.005); Default - Evaluate</v>
      </c>
      <c r="S84" s="69" t="str">
        <f t="shared" si="5"/>
        <v>LU001556.006</v>
      </c>
      <c r="T84" s="69" t="str">
        <f ca="1">IFERROR(__xludf.DUMMYFUNCTION("VLOOKUP(S84, IMPORTRANGE(""https://docs.google.com/spreadsheets/d/1yDAaXNsi4Mr5FtRQL4tbmSdIzhx6_m4wkOD7IG-k_eo/edit#gid=0"", ""Maths!M:N""), 2, FALSE)"),"(LU001556.006); Default - Create")</f>
        <v>(LU001556.006); Default - Create</v>
      </c>
      <c r="U84" s="11" t="str">
        <f ca="1">IFERROR(__xludf.DUMMYFUNCTION("ArrayFormula(VLOOKUP(G84, IMPORTRANGE(""https://docs.google.com/spreadsheets/d/1p7R4vtkWt5VOBim4ltsDG9KTzSjrtKXsMtQGXPHyND0/edit#gid=795171502"", ""'Filter 30_05_2024'!A1:M2000""), {2, 3, 4, 5,6,7,8,9,10,11,12,13}, 0))"),"#N/A")</f>
        <v>#N/A</v>
      </c>
      <c r="V84" s="11" t="str">
        <f ca="1">IFERROR(__xludf.DUMMYFUNCTION("""COMPUTED_VALUE"""),"#N/A")</f>
        <v>#N/A</v>
      </c>
      <c r="W84" s="11" t="str">
        <f ca="1">IFERROR(__xludf.DUMMYFUNCTION("""COMPUTED_VALUE"""),"#N/A")</f>
        <v>#N/A</v>
      </c>
      <c r="X84" s="11" t="str">
        <f ca="1">IFERROR(__xludf.DUMMYFUNCTION("""COMPUTED_VALUE"""),"#N/A")</f>
        <v>#N/A</v>
      </c>
      <c r="Y84" s="11" t="str">
        <f ca="1">IFERROR(__xludf.DUMMYFUNCTION("""COMPUTED_VALUE"""),"#N/A")</f>
        <v>#N/A</v>
      </c>
      <c r="Z84" s="12" t="str">
        <f ca="1">IFERROR(__xludf.DUMMYFUNCTION("""COMPUTED_VALUE"""),"#N/A")</f>
        <v>#N/A</v>
      </c>
      <c r="AA84" s="12" t="str">
        <f ca="1">IFERROR(__xludf.DUMMYFUNCTION("""COMPUTED_VALUE"""),"#N/A")</f>
        <v>#N/A</v>
      </c>
      <c r="AB84" s="12" t="str">
        <f ca="1">IFERROR(__xludf.DUMMYFUNCTION("""COMPUTED_VALUE"""),"#N/A")</f>
        <v>#N/A</v>
      </c>
      <c r="AC84" s="11" t="str">
        <f ca="1">IFERROR(__xludf.DUMMYFUNCTION("""COMPUTED_VALUE"""),"#N/A")</f>
        <v>#N/A</v>
      </c>
      <c r="AD84" s="12" t="str">
        <f ca="1">IFERROR(__xludf.DUMMYFUNCTION("""COMPUTED_VALUE"""),"#N/A")</f>
        <v>#N/A</v>
      </c>
      <c r="AE84" s="12" t="str">
        <f ca="1">IFERROR(__xludf.DUMMYFUNCTION("""COMPUTED_VALUE"""),"#N/A")</f>
        <v>#N/A</v>
      </c>
      <c r="AF84" s="12" t="str">
        <f ca="1">IFERROR(__xludf.DUMMYFUNCTION("""COMPUTED_VALUE"""),"#N/A")</f>
        <v>#N/A</v>
      </c>
      <c r="AG84" s="86" t="str">
        <f ca="1">IFERROR(__xludf.DUMMYFUNCTION("ArrayFormula(VLOOKUP(G84, IMPORTRANGE(""https://docs.google.com/spreadsheets/d/1Co934fvtviyaRiMsrIlT05Jaq7iiYq07aLvRr35KA48/edit?gid=173865642#gid=173865642"", ""'G10_Maths_Pri_LU'!G2:V2000""), {3, 4, 5, 6, 7, 8, 9, 10, 11, 12, 13, 14, 15, 16}, 0))"),"LU001555")</f>
        <v>LU001555</v>
      </c>
      <c r="AH84" s="83" t="str">
        <f ca="1">IFERROR(__xludf.DUMMYFUNCTION("""COMPUTED_VALUE"""),"Cumulative frequency curve: Less or More than Ogive")</f>
        <v>Cumulative frequency curve: Less or More than Ogive</v>
      </c>
      <c r="AI84" s="83" t="str">
        <f ca="1">IFERROR(__xludf.DUMMYFUNCTION("""COMPUTED_VALUE"""),"LU000389")</f>
        <v>LU000389</v>
      </c>
      <c r="AJ84" s="83" t="str">
        <f ca="1">IFERROR(__xludf.DUMMYFUNCTION("""COMPUTED_VALUE"""),"Definition of median of the data")</f>
        <v>Definition of median of the data</v>
      </c>
      <c r="AK84" s="83"/>
      <c r="AL84" s="83"/>
      <c r="AM84" s="83"/>
      <c r="AN84" s="83"/>
      <c r="AO84" s="83"/>
      <c r="AP84" s="83"/>
      <c r="AQ84" s="83"/>
      <c r="AR84" s="83"/>
      <c r="AS84" s="83"/>
      <c r="AT84" s="83"/>
    </row>
    <row r="85" spans="1:46" ht="15.75" customHeight="1">
      <c r="A85" s="8" t="s">
        <v>247</v>
      </c>
      <c r="B85" s="82" t="s">
        <v>47</v>
      </c>
      <c r="C85" s="82" t="s">
        <v>1172</v>
      </c>
      <c r="D85" s="83" t="s">
        <v>732</v>
      </c>
      <c r="E85" s="82" t="s">
        <v>797</v>
      </c>
      <c r="F85" s="82" t="s">
        <v>1397</v>
      </c>
      <c r="G85" s="84" t="s">
        <v>1398</v>
      </c>
      <c r="H85" s="104" t="s">
        <v>1399</v>
      </c>
      <c r="I85" s="68" t="str">
        <f t="shared" si="0"/>
        <v>LU001558.001</v>
      </c>
      <c r="J85" s="69" t="str">
        <f ca="1">IFERROR(__xludf.DUMMYFUNCTION("VLOOKUP(I85, IMPORTRANGE(""https://docs.google.com/spreadsheets/d/1yDAaXNsi4Mr5FtRQL4tbmSdIzhx6_m4wkOD7IG-k_eo/edit#gid=0"", ""Maths!M:N""), 2, FALSE)"),"(LU001558.001); Default - Remember")</f>
        <v>(LU001558.001); Default - Remember</v>
      </c>
      <c r="K85" s="69" t="str">
        <f t="shared" si="1"/>
        <v>LU001558.002</v>
      </c>
      <c r="L85" s="69" t="str">
        <f ca="1">IFERROR(__xludf.DUMMYFUNCTION("VLOOKUP(K85, IMPORTRANGE(""https://docs.google.com/spreadsheets/d/1yDAaXNsi4Mr5FtRQL4tbmSdIzhx6_m4wkOD7IG-k_eo/edit#gid=0"", ""Maths!M:N""), 2, FALSE)"),"(LU001558.002); Default - Understand")</f>
        <v>(LU001558.002); Default - Understand</v>
      </c>
      <c r="M85" s="69" t="str">
        <f t="shared" si="2"/>
        <v>LU001558.003</v>
      </c>
      <c r="N85" s="69" t="str">
        <f ca="1">IFERROR(__xludf.DUMMYFUNCTION("VLOOKUP(M85, IMPORTRANGE(""https://docs.google.com/spreadsheets/d/1yDAaXNsi4Mr5FtRQL4tbmSdIzhx6_m4wkOD7IG-k_eo/edit#gid=0"", ""Maths!M:N""), 2, FALSE)"),"(LU001558.003); Default - Apply")</f>
        <v>(LU001558.003); Default - Apply</v>
      </c>
      <c r="O85" s="69" t="str">
        <f t="shared" si="3"/>
        <v>LU001558.004</v>
      </c>
      <c r="P85" s="69" t="str">
        <f ca="1">IFERROR(__xludf.DUMMYFUNCTION("VLOOKUP(O85, IMPORTRANGE(""https://docs.google.com/spreadsheets/d/1yDAaXNsi4Mr5FtRQL4tbmSdIzhx6_m4wkOD7IG-k_eo/edit#gid=0"", ""Maths!M:N""), 2, FALSE)"),"(LU001558.004); Default - Analyse")</f>
        <v>(LU001558.004); Default - Analyse</v>
      </c>
      <c r="Q85" s="69" t="str">
        <f t="shared" si="4"/>
        <v>LU001558.005</v>
      </c>
      <c r="R85" s="69" t="str">
        <f ca="1">IFERROR(__xludf.DUMMYFUNCTION("VLOOKUP(Q85, IMPORTRANGE(""https://docs.google.com/spreadsheets/d/1yDAaXNsi4Mr5FtRQL4tbmSdIzhx6_m4wkOD7IG-k_eo/edit#gid=0"", ""Maths!M:N""), 2, FALSE)"),"(LU001558.005); Default - Evaluate")</f>
        <v>(LU001558.005); Default - Evaluate</v>
      </c>
      <c r="S85" s="69" t="str">
        <f t="shared" si="5"/>
        <v>LU001558.006</v>
      </c>
      <c r="T85" s="69" t="str">
        <f ca="1">IFERROR(__xludf.DUMMYFUNCTION("VLOOKUP(S85, IMPORTRANGE(""https://docs.google.com/spreadsheets/d/1yDAaXNsi4Mr5FtRQL4tbmSdIzhx6_m4wkOD7IG-k_eo/edit#gid=0"", ""Maths!M:N""), 2, FALSE)"),"(LU001558.006); Default - Create")</f>
        <v>(LU001558.006); Default - Create</v>
      </c>
      <c r="U85" s="11" t="str">
        <f ca="1">IFERROR(__xludf.DUMMYFUNCTION("ArrayFormula(VLOOKUP(G85, IMPORTRANGE(""https://docs.google.com/spreadsheets/d/1p7R4vtkWt5VOBim4ltsDG9KTzSjrtKXsMtQGXPHyND0/edit#gid=795171502"", ""'Filter 30_05_2024'!A1:M2000""), {2, 3, 4, 5,6,7,8,9,10,11,12,13}, 0))"),"#N/A")</f>
        <v>#N/A</v>
      </c>
      <c r="V85" s="11" t="str">
        <f ca="1">IFERROR(__xludf.DUMMYFUNCTION("""COMPUTED_VALUE"""),"#N/A")</f>
        <v>#N/A</v>
      </c>
      <c r="W85" s="11" t="str">
        <f ca="1">IFERROR(__xludf.DUMMYFUNCTION("""COMPUTED_VALUE"""),"#N/A")</f>
        <v>#N/A</v>
      </c>
      <c r="X85" s="11" t="str">
        <f ca="1">IFERROR(__xludf.DUMMYFUNCTION("""COMPUTED_VALUE"""),"#N/A")</f>
        <v>#N/A</v>
      </c>
      <c r="Y85" s="11" t="str">
        <f ca="1">IFERROR(__xludf.DUMMYFUNCTION("""COMPUTED_VALUE"""),"#N/A")</f>
        <v>#N/A</v>
      </c>
      <c r="Z85" s="12" t="str">
        <f ca="1">IFERROR(__xludf.DUMMYFUNCTION("""COMPUTED_VALUE"""),"#N/A")</f>
        <v>#N/A</v>
      </c>
      <c r="AA85" s="12" t="str">
        <f ca="1">IFERROR(__xludf.DUMMYFUNCTION("""COMPUTED_VALUE"""),"#N/A")</f>
        <v>#N/A</v>
      </c>
      <c r="AB85" s="12" t="str">
        <f ca="1">IFERROR(__xludf.DUMMYFUNCTION("""COMPUTED_VALUE"""),"#N/A")</f>
        <v>#N/A</v>
      </c>
      <c r="AC85" s="11" t="str">
        <f ca="1">IFERROR(__xludf.DUMMYFUNCTION("""COMPUTED_VALUE"""),"#N/A")</f>
        <v>#N/A</v>
      </c>
      <c r="AD85" s="12" t="str">
        <f ca="1">IFERROR(__xludf.DUMMYFUNCTION("""COMPUTED_VALUE"""),"#N/A")</f>
        <v>#N/A</v>
      </c>
      <c r="AE85" s="12" t="str">
        <f ca="1">IFERROR(__xludf.DUMMYFUNCTION("""COMPUTED_VALUE"""),"#N/A")</f>
        <v>#N/A</v>
      </c>
      <c r="AF85" s="12" t="str">
        <f ca="1">IFERROR(__xludf.DUMMYFUNCTION("""COMPUTED_VALUE"""),"#N/A")</f>
        <v>#N/A</v>
      </c>
      <c r="AG85" s="86" t="str">
        <f ca="1">IFERROR(__xludf.DUMMYFUNCTION("ArrayFormula(VLOOKUP(G85, IMPORTRANGE(""https://docs.google.com/spreadsheets/d/1Co934fvtviyaRiMsrIlT05Jaq7iiYq07aLvRr35KA48/edit?gid=173865642#gid=173865642"", ""'G10_Maths_Pri_LU'!G2:V2000""), {3, 4, 5, 6, 7, 8, 9, 10, 11, 12, 13, 14, 15, 16}, 0))"),"LU000393")</f>
        <v>LU000393</v>
      </c>
      <c r="AH85" s="83" t="str">
        <f ca="1">IFERROR(__xludf.DUMMYFUNCTION("""COMPUTED_VALUE"""),"Definition of probability")</f>
        <v>Definition of probability</v>
      </c>
      <c r="AI85" s="83" t="str">
        <f ca="1">IFERROR(__xludf.DUMMYFUNCTION("""COMPUTED_VALUE"""),"LU000394")</f>
        <v>LU000394</v>
      </c>
      <c r="AJ85" s="83" t="str">
        <f ca="1">IFERROR(__xludf.DUMMYFUNCTION("""COMPUTED_VALUE"""),"List of possible outcomes of an event")</f>
        <v>List of possible outcomes of an event</v>
      </c>
      <c r="AK85" s="83" t="str">
        <f ca="1">IFERROR(__xludf.DUMMYFUNCTION("""COMPUTED_VALUE"""),"LU000624")</f>
        <v>LU000624</v>
      </c>
      <c r="AL85" s="83" t="str">
        <f ca="1">IFERROR(__xludf.DUMMYFUNCTION("""COMPUTED_VALUE"""),"Definition of random experiment")</f>
        <v>Definition of random experiment</v>
      </c>
      <c r="AM85" s="83"/>
      <c r="AN85" s="83"/>
      <c r="AO85" s="83"/>
      <c r="AP85" s="83"/>
      <c r="AQ85" s="83"/>
      <c r="AR85" s="83"/>
      <c r="AS85" s="83"/>
      <c r="AT85" s="83"/>
    </row>
    <row r="86" spans="1:46" ht="15.75" customHeight="1">
      <c r="A86" s="8" t="s">
        <v>247</v>
      </c>
      <c r="B86" s="82" t="s">
        <v>47</v>
      </c>
      <c r="C86" s="82" t="s">
        <v>1172</v>
      </c>
      <c r="D86" s="83" t="s">
        <v>732</v>
      </c>
      <c r="E86" s="82" t="s">
        <v>797</v>
      </c>
      <c r="F86" s="82" t="s">
        <v>1397</v>
      </c>
      <c r="G86" s="84" t="s">
        <v>1400</v>
      </c>
      <c r="H86" s="104" t="s">
        <v>1401</v>
      </c>
      <c r="I86" s="68" t="str">
        <f t="shared" si="0"/>
        <v>LU001559.001</v>
      </c>
      <c r="J86" s="69" t="str">
        <f ca="1">IFERROR(__xludf.DUMMYFUNCTION("VLOOKUP(I86, IMPORTRANGE(""https://docs.google.com/spreadsheets/d/1yDAaXNsi4Mr5FtRQL4tbmSdIzhx6_m4wkOD7IG-k_eo/edit#gid=0"", ""Maths!M:N""), 2, FALSE)"),"(LU001559.001); Default - Remember")</f>
        <v>(LU001559.001); Default - Remember</v>
      </c>
      <c r="K86" s="69" t="str">
        <f t="shared" si="1"/>
        <v>LU001559.002</v>
      </c>
      <c r="L86" s="69" t="str">
        <f ca="1">IFERROR(__xludf.DUMMYFUNCTION("VLOOKUP(K86, IMPORTRANGE(""https://docs.google.com/spreadsheets/d/1yDAaXNsi4Mr5FtRQL4tbmSdIzhx6_m4wkOD7IG-k_eo/edit#gid=0"", ""Maths!M:N""), 2, FALSE)"),"(LU001559.002); Default - Understand")</f>
        <v>(LU001559.002); Default - Understand</v>
      </c>
      <c r="M86" s="69" t="str">
        <f t="shared" si="2"/>
        <v>LU001559.003</v>
      </c>
      <c r="N86" s="69" t="str">
        <f ca="1">IFERROR(__xludf.DUMMYFUNCTION("VLOOKUP(M86, IMPORTRANGE(""https://docs.google.com/spreadsheets/d/1yDAaXNsi4Mr5FtRQL4tbmSdIzhx6_m4wkOD7IG-k_eo/edit#gid=0"", ""Maths!M:N""), 2, FALSE)"),"(LU001559.003); Default - Apply")</f>
        <v>(LU001559.003); Default - Apply</v>
      </c>
      <c r="O86" s="69" t="str">
        <f t="shared" si="3"/>
        <v>LU001559.004</v>
      </c>
      <c r="P86" s="69" t="str">
        <f ca="1">IFERROR(__xludf.DUMMYFUNCTION("VLOOKUP(O86, IMPORTRANGE(""https://docs.google.com/spreadsheets/d/1yDAaXNsi4Mr5FtRQL4tbmSdIzhx6_m4wkOD7IG-k_eo/edit#gid=0"", ""Maths!M:N""), 2, FALSE)"),"(LU001559.004); Default - Analyse")</f>
        <v>(LU001559.004); Default - Analyse</v>
      </c>
      <c r="Q86" s="69" t="str">
        <f t="shared" si="4"/>
        <v>LU001559.005</v>
      </c>
      <c r="R86" s="69" t="str">
        <f ca="1">IFERROR(__xludf.DUMMYFUNCTION("VLOOKUP(Q86, IMPORTRANGE(""https://docs.google.com/spreadsheets/d/1yDAaXNsi4Mr5FtRQL4tbmSdIzhx6_m4wkOD7IG-k_eo/edit#gid=0"", ""Maths!M:N""), 2, FALSE)"),"(LU001559.005); Default - Evaluate")</f>
        <v>(LU001559.005); Default - Evaluate</v>
      </c>
      <c r="S86" s="69" t="str">
        <f t="shared" si="5"/>
        <v>LU001559.006</v>
      </c>
      <c r="T86" s="69" t="str">
        <f ca="1">IFERROR(__xludf.DUMMYFUNCTION("VLOOKUP(S86, IMPORTRANGE(""https://docs.google.com/spreadsheets/d/1yDAaXNsi4Mr5FtRQL4tbmSdIzhx6_m4wkOD7IG-k_eo/edit#gid=0"", ""Maths!M:N""), 2, FALSE)"),"(LU001559.006); Default - Create")</f>
        <v>(LU001559.006); Default - Create</v>
      </c>
      <c r="U86" s="11" t="str">
        <f ca="1">IFERROR(__xludf.DUMMYFUNCTION("ArrayFormula(VLOOKUP(G86, IMPORTRANGE(""https://docs.google.com/spreadsheets/d/1p7R4vtkWt5VOBim4ltsDG9KTzSjrtKXsMtQGXPHyND0/edit#gid=795171502"", ""'Filter 30_05_2024'!A1:M2000""), {2, 3, 4, 5,6,7,8,9,10,11,12,13}, 0))"),"#N/A")</f>
        <v>#N/A</v>
      </c>
      <c r="V86" s="11" t="str">
        <f ca="1">IFERROR(__xludf.DUMMYFUNCTION("""COMPUTED_VALUE"""),"#N/A")</f>
        <v>#N/A</v>
      </c>
      <c r="W86" s="11" t="str">
        <f ca="1">IFERROR(__xludf.DUMMYFUNCTION("""COMPUTED_VALUE"""),"#N/A")</f>
        <v>#N/A</v>
      </c>
      <c r="X86" s="11" t="str">
        <f ca="1">IFERROR(__xludf.DUMMYFUNCTION("""COMPUTED_VALUE"""),"#N/A")</f>
        <v>#N/A</v>
      </c>
      <c r="Y86" s="11" t="str">
        <f ca="1">IFERROR(__xludf.DUMMYFUNCTION("""COMPUTED_VALUE"""),"#N/A")</f>
        <v>#N/A</v>
      </c>
      <c r="Z86" s="12" t="str">
        <f ca="1">IFERROR(__xludf.DUMMYFUNCTION("""COMPUTED_VALUE"""),"#N/A")</f>
        <v>#N/A</v>
      </c>
      <c r="AA86" s="12" t="str">
        <f ca="1">IFERROR(__xludf.DUMMYFUNCTION("""COMPUTED_VALUE"""),"#N/A")</f>
        <v>#N/A</v>
      </c>
      <c r="AB86" s="12" t="str">
        <f ca="1">IFERROR(__xludf.DUMMYFUNCTION("""COMPUTED_VALUE"""),"#N/A")</f>
        <v>#N/A</v>
      </c>
      <c r="AC86" s="11" t="str">
        <f ca="1">IFERROR(__xludf.DUMMYFUNCTION("""COMPUTED_VALUE"""),"#N/A")</f>
        <v>#N/A</v>
      </c>
      <c r="AD86" s="12" t="str">
        <f ca="1">IFERROR(__xludf.DUMMYFUNCTION("""COMPUTED_VALUE"""),"#N/A")</f>
        <v>#N/A</v>
      </c>
      <c r="AE86" s="12" t="str">
        <f ca="1">IFERROR(__xludf.DUMMYFUNCTION("""COMPUTED_VALUE"""),"#N/A")</f>
        <v>#N/A</v>
      </c>
      <c r="AF86" s="12" t="str">
        <f ca="1">IFERROR(__xludf.DUMMYFUNCTION("""COMPUTED_VALUE"""),"#N/A")</f>
        <v>#N/A</v>
      </c>
      <c r="AG86" s="86" t="str">
        <f ca="1">IFERROR(__xludf.DUMMYFUNCTION("ArrayFormula(VLOOKUP(G86, IMPORTRANGE(""https://docs.google.com/spreadsheets/d/1Co934fvtviyaRiMsrIlT05Jaq7iiYq07aLvRr35KA48/edit?gid=173865642#gid=173865642"", ""'G10_Maths_Pri_LU'!G2:V2000""), {3, 4, 5, 6, 7, 8, 9, 10, 11, 12, 13, 14, 15, 16}, 0))"),"LU001558")</f>
        <v>LU001558</v>
      </c>
      <c r="AH86" s="83" t="str">
        <f ca="1">IFERROR(__xludf.DUMMYFUNCTION("""COMPUTED_VALUE"""),"Theoretical (or classical) probability of an event")</f>
        <v>Theoretical (or classical) probability of an event</v>
      </c>
      <c r="AI86" s="83" t="str">
        <f ca="1">IFERROR(__xludf.DUMMYFUNCTION("""COMPUTED_VALUE"""),"LU000626")</f>
        <v>LU000626</v>
      </c>
      <c r="AJ86" s="83" t="str">
        <f ca="1">IFERROR(__xludf.DUMMYFUNCTION("""COMPUTED_VALUE"""),"Probability of a simple event")</f>
        <v>Probability of a simple event</v>
      </c>
      <c r="AK86" s="83"/>
      <c r="AL86" s="83"/>
      <c r="AM86" s="83"/>
      <c r="AN86" s="83"/>
      <c r="AO86" s="83"/>
      <c r="AP86" s="83"/>
      <c r="AQ86" s="83"/>
      <c r="AR86" s="83"/>
      <c r="AS86" s="83"/>
      <c r="AT86" s="83"/>
    </row>
    <row r="87" spans="1:46" ht="15.75" customHeight="1">
      <c r="A87" s="8" t="s">
        <v>247</v>
      </c>
      <c r="B87" s="82" t="s">
        <v>47</v>
      </c>
      <c r="C87" s="82" t="s">
        <v>1172</v>
      </c>
      <c r="D87" s="83" t="s">
        <v>732</v>
      </c>
      <c r="E87" s="82" t="s">
        <v>797</v>
      </c>
      <c r="F87" s="94" t="s">
        <v>1402</v>
      </c>
      <c r="G87" s="84" t="s">
        <v>1403</v>
      </c>
      <c r="H87" s="104" t="s">
        <v>1404</v>
      </c>
      <c r="I87" s="68" t="str">
        <f t="shared" si="0"/>
        <v>LU001562.001</v>
      </c>
      <c r="J87" s="69" t="str">
        <f ca="1">IFERROR(__xludf.DUMMYFUNCTION("VLOOKUP(I87, IMPORTRANGE(""https://docs.google.com/spreadsheets/d/1yDAaXNsi4Mr5FtRQL4tbmSdIzhx6_m4wkOD7IG-k_eo/edit#gid=0"", ""Maths!M:N""), 2, FALSE)"),"(LU001562.001); Default - Remember")</f>
        <v>(LU001562.001); Default - Remember</v>
      </c>
      <c r="K87" s="69" t="str">
        <f t="shared" si="1"/>
        <v>LU001562.002</v>
      </c>
      <c r="L87" s="69" t="str">
        <f ca="1">IFERROR(__xludf.DUMMYFUNCTION("VLOOKUP(K87, IMPORTRANGE(""https://docs.google.com/spreadsheets/d/1yDAaXNsi4Mr5FtRQL4tbmSdIzhx6_m4wkOD7IG-k_eo/edit#gid=0"", ""Maths!M:N""), 2, FALSE)"),"(LU001562.002); Default - Understand")</f>
        <v>(LU001562.002); Default - Understand</v>
      </c>
      <c r="M87" s="69" t="str">
        <f t="shared" si="2"/>
        <v>LU001562.003</v>
      </c>
      <c r="N87" s="69" t="str">
        <f ca="1">IFERROR(__xludf.DUMMYFUNCTION("VLOOKUP(M87, IMPORTRANGE(""https://docs.google.com/spreadsheets/d/1yDAaXNsi4Mr5FtRQL4tbmSdIzhx6_m4wkOD7IG-k_eo/edit#gid=0"", ""Maths!M:N""), 2, FALSE)"),"(LU001562.003); Default - Apply")</f>
        <v>(LU001562.003); Default - Apply</v>
      </c>
      <c r="O87" s="69" t="str">
        <f t="shared" si="3"/>
        <v>LU001562.004</v>
      </c>
      <c r="P87" s="69" t="str">
        <f ca="1">IFERROR(__xludf.DUMMYFUNCTION("VLOOKUP(O87, IMPORTRANGE(""https://docs.google.com/spreadsheets/d/1yDAaXNsi4Mr5FtRQL4tbmSdIzhx6_m4wkOD7IG-k_eo/edit#gid=0"", ""Maths!M:N""), 2, FALSE)"),"(LU001562.004); Default - Analyse")</f>
        <v>(LU001562.004); Default - Analyse</v>
      </c>
      <c r="Q87" s="69" t="str">
        <f t="shared" si="4"/>
        <v>LU001562.005</v>
      </c>
      <c r="R87" s="69" t="str">
        <f ca="1">IFERROR(__xludf.DUMMYFUNCTION("VLOOKUP(Q87, IMPORTRANGE(""https://docs.google.com/spreadsheets/d/1yDAaXNsi4Mr5FtRQL4tbmSdIzhx6_m4wkOD7IG-k_eo/edit#gid=0"", ""Maths!M:N""), 2, FALSE)"),"(LU001562.005); Default - Evaluate")</f>
        <v>(LU001562.005); Default - Evaluate</v>
      </c>
      <c r="S87" s="69" t="str">
        <f t="shared" si="5"/>
        <v>LU001562.006</v>
      </c>
      <c r="T87" s="69" t="str">
        <f ca="1">IFERROR(__xludf.DUMMYFUNCTION("VLOOKUP(S87, IMPORTRANGE(""https://docs.google.com/spreadsheets/d/1yDAaXNsi4Mr5FtRQL4tbmSdIzhx6_m4wkOD7IG-k_eo/edit#gid=0"", ""Maths!M:N""), 2, FALSE)"),"(LU001562.006); Default - Create")</f>
        <v>(LU001562.006); Default - Create</v>
      </c>
      <c r="U87" s="11" t="str">
        <f ca="1">IFERROR(__xludf.DUMMYFUNCTION("ArrayFormula(VLOOKUP(G87, IMPORTRANGE(""https://docs.google.com/spreadsheets/d/1p7R4vtkWt5VOBim4ltsDG9KTzSjrtKXsMtQGXPHyND0/edit#gid=795171502"", ""'Filter 30_05_2024'!A1:M2000""), {2, 3, 4, 5,6,7,8,9,10,11,12,13}, 0))"),"#N/A")</f>
        <v>#N/A</v>
      </c>
      <c r="V87" s="11" t="str">
        <f ca="1">IFERROR(__xludf.DUMMYFUNCTION("""COMPUTED_VALUE"""),"#N/A")</f>
        <v>#N/A</v>
      </c>
      <c r="W87" s="11" t="str">
        <f ca="1">IFERROR(__xludf.DUMMYFUNCTION("""COMPUTED_VALUE"""),"#N/A")</f>
        <v>#N/A</v>
      </c>
      <c r="X87" s="11" t="str">
        <f ca="1">IFERROR(__xludf.DUMMYFUNCTION("""COMPUTED_VALUE"""),"#N/A")</f>
        <v>#N/A</v>
      </c>
      <c r="Y87" s="11" t="str">
        <f ca="1">IFERROR(__xludf.DUMMYFUNCTION("""COMPUTED_VALUE"""),"#N/A")</f>
        <v>#N/A</v>
      </c>
      <c r="Z87" s="12" t="str">
        <f ca="1">IFERROR(__xludf.DUMMYFUNCTION("""COMPUTED_VALUE"""),"#N/A")</f>
        <v>#N/A</v>
      </c>
      <c r="AA87" s="12" t="str">
        <f ca="1">IFERROR(__xludf.DUMMYFUNCTION("""COMPUTED_VALUE"""),"#N/A")</f>
        <v>#N/A</v>
      </c>
      <c r="AB87" s="12" t="str">
        <f ca="1">IFERROR(__xludf.DUMMYFUNCTION("""COMPUTED_VALUE"""),"#N/A")</f>
        <v>#N/A</v>
      </c>
      <c r="AC87" s="11" t="str">
        <f ca="1">IFERROR(__xludf.DUMMYFUNCTION("""COMPUTED_VALUE"""),"#N/A")</f>
        <v>#N/A</v>
      </c>
      <c r="AD87" s="12" t="str">
        <f ca="1">IFERROR(__xludf.DUMMYFUNCTION("""COMPUTED_VALUE"""),"#N/A")</f>
        <v>#N/A</v>
      </c>
      <c r="AE87" s="12" t="str">
        <f ca="1">IFERROR(__xludf.DUMMYFUNCTION("""COMPUTED_VALUE"""),"#N/A")</f>
        <v>#N/A</v>
      </c>
      <c r="AF87" s="12" t="str">
        <f ca="1">IFERROR(__xludf.DUMMYFUNCTION("""COMPUTED_VALUE"""),"#N/A")</f>
        <v>#N/A</v>
      </c>
      <c r="AG87" s="86" t="str">
        <f ca="1">IFERROR(__xludf.DUMMYFUNCTION("ArrayFormula(VLOOKUP(G87, IMPORTRANGE(""https://docs.google.com/spreadsheets/d/1Co934fvtviyaRiMsrIlT05Jaq7iiYq07aLvRr35KA48/edit?gid=173865642#gid=173865642"", ""'G10_Maths_Pri_LU'!G2:V2000""), {3, 4, 5, 6, 7, 8, 9, 10, 11, 12, 13, 14, 15, 16}, 0))"),"LU000626")</f>
        <v>LU000626</v>
      </c>
      <c r="AH87" s="83" t="str">
        <f ca="1">IFERROR(__xludf.DUMMYFUNCTION("""COMPUTED_VALUE"""),"Probability of a simple event")</f>
        <v>Probability of a simple event</v>
      </c>
      <c r="AI87" s="83" t="str">
        <f ca="1">IFERROR(__xludf.DUMMYFUNCTION("""COMPUTED_VALUE"""),"LU000327")</f>
        <v>LU000327</v>
      </c>
      <c r="AJ87" s="83" t="str">
        <f ca="1">IFERROR(__xludf.DUMMYFUNCTION("""COMPUTED_VALUE"""),"Area of a rectangle using formula")</f>
        <v>Area of a rectangle using formula</v>
      </c>
      <c r="AK87" s="83" t="str">
        <f ca="1">IFERROR(__xludf.DUMMYFUNCTION("""COMPUTED_VALUE"""),"LU000495")</f>
        <v>LU000495</v>
      </c>
      <c r="AL87" s="83" t="str">
        <f ca="1">IFERROR(__xludf.DUMMYFUNCTION("""COMPUTED_VALUE"""),"Area of a circle")</f>
        <v>Area of a circle</v>
      </c>
      <c r="AM87" s="83"/>
      <c r="AN87" s="83"/>
      <c r="AO87" s="83"/>
      <c r="AP87" s="83"/>
      <c r="AQ87" s="83"/>
      <c r="AR87" s="83"/>
      <c r="AS87" s="83"/>
      <c r="AT87" s="83"/>
    </row>
    <row r="88" spans="1:46" ht="15.75" customHeight="1">
      <c r="A88" s="82"/>
      <c r="B88" s="82"/>
      <c r="C88" s="82"/>
      <c r="D88" s="83"/>
      <c r="E88" s="82"/>
      <c r="F88" s="94"/>
      <c r="G88" s="84"/>
      <c r="H88" s="104"/>
      <c r="I88" s="105"/>
      <c r="J88" s="104"/>
      <c r="K88" s="104"/>
      <c r="L88" s="104"/>
      <c r="M88" s="104"/>
      <c r="N88" s="104"/>
      <c r="O88" s="104"/>
      <c r="P88" s="104"/>
      <c r="Q88" s="104"/>
      <c r="R88" s="104"/>
      <c r="S88" s="104"/>
      <c r="T88" s="104"/>
      <c r="U88" s="104"/>
      <c r="V88" s="104"/>
      <c r="W88" s="104"/>
      <c r="X88" s="104"/>
      <c r="Y88" s="104"/>
      <c r="Z88" s="104"/>
      <c r="AA88" s="104"/>
      <c r="AB88" s="104"/>
      <c r="AC88" s="104"/>
      <c r="AD88" s="104"/>
      <c r="AE88" s="104"/>
      <c r="AF88" s="104"/>
      <c r="AG88" s="105"/>
      <c r="AH88" s="83"/>
      <c r="AI88" s="83"/>
      <c r="AJ88" s="83"/>
      <c r="AK88" s="83"/>
      <c r="AL88" s="83"/>
      <c r="AM88" s="83"/>
      <c r="AN88" s="83"/>
      <c r="AO88" s="83"/>
      <c r="AP88" s="83"/>
      <c r="AQ88" s="83"/>
      <c r="AR88" s="83"/>
      <c r="AS88" s="83"/>
      <c r="AT88" s="83"/>
    </row>
    <row r="89" spans="1:46" ht="13.8">
      <c r="A89" s="83"/>
      <c r="B89" s="83"/>
      <c r="C89" s="83"/>
      <c r="D89" s="83"/>
      <c r="E89" s="82"/>
      <c r="F89" s="82"/>
      <c r="G89" s="83"/>
      <c r="H89" s="83"/>
      <c r="I89" s="83"/>
      <c r="J89" s="83"/>
      <c r="K89" s="83"/>
      <c r="L89" s="83"/>
      <c r="M89" s="83"/>
      <c r="N89" s="83"/>
      <c r="O89" s="83"/>
      <c r="P89" s="83"/>
      <c r="Q89" s="83"/>
      <c r="R89" s="83"/>
      <c r="S89" s="83"/>
      <c r="T89" s="83"/>
      <c r="U89" s="83"/>
      <c r="V89" s="83"/>
      <c r="W89" s="83"/>
      <c r="X89" s="83"/>
      <c r="Y89" s="83"/>
      <c r="Z89" s="83"/>
      <c r="AA89" s="83"/>
      <c r="AB89" s="83"/>
      <c r="AC89" s="83"/>
      <c r="AD89" s="83"/>
      <c r="AE89" s="83"/>
      <c r="AF89" s="83"/>
      <c r="AG89" s="83"/>
      <c r="AH89" s="83"/>
      <c r="AI89" s="83"/>
      <c r="AJ89" s="83"/>
      <c r="AK89" s="83"/>
      <c r="AL89" s="83"/>
      <c r="AM89" s="83"/>
      <c r="AN89" s="83"/>
      <c r="AO89" s="83"/>
      <c r="AP89" s="83"/>
      <c r="AQ89" s="83"/>
      <c r="AR89" s="83"/>
      <c r="AS89" s="83"/>
      <c r="AT89" s="83"/>
    </row>
    <row r="90" spans="1:46" ht="13.8">
      <c r="A90" s="83"/>
      <c r="B90" s="83"/>
      <c r="C90" s="83"/>
      <c r="D90" s="83"/>
      <c r="E90" s="82"/>
      <c r="F90" s="82"/>
      <c r="G90" s="83"/>
      <c r="H90" s="83"/>
      <c r="I90" s="83"/>
      <c r="J90" s="83"/>
      <c r="K90" s="83"/>
      <c r="L90" s="83"/>
      <c r="M90" s="83"/>
      <c r="N90" s="83"/>
      <c r="O90" s="83"/>
      <c r="P90" s="83"/>
      <c r="Q90" s="83"/>
      <c r="R90" s="83"/>
      <c r="S90" s="83"/>
      <c r="T90" s="83"/>
      <c r="U90" s="83"/>
      <c r="V90" s="83"/>
      <c r="W90" s="83"/>
      <c r="X90" s="83"/>
      <c r="Y90" s="83"/>
      <c r="Z90" s="83"/>
      <c r="AA90" s="83"/>
      <c r="AB90" s="83"/>
      <c r="AC90" s="83"/>
      <c r="AD90" s="83"/>
      <c r="AE90" s="83"/>
      <c r="AF90" s="83"/>
      <c r="AG90" s="83"/>
      <c r="AH90" s="83"/>
      <c r="AI90" s="83"/>
      <c r="AJ90" s="83"/>
      <c r="AK90" s="83"/>
      <c r="AL90" s="83"/>
      <c r="AM90" s="83"/>
      <c r="AN90" s="83"/>
      <c r="AO90" s="83"/>
      <c r="AP90" s="83"/>
      <c r="AQ90" s="83"/>
      <c r="AR90" s="83"/>
      <c r="AS90" s="83"/>
      <c r="AT90" s="83"/>
    </row>
    <row r="91" spans="1:46" ht="13.8">
      <c r="A91" s="83"/>
      <c r="B91" s="83"/>
      <c r="C91" s="83"/>
      <c r="D91" s="83"/>
      <c r="E91" s="82"/>
      <c r="F91" s="82"/>
      <c r="G91" s="83"/>
      <c r="H91" s="83"/>
      <c r="I91" s="83"/>
      <c r="J91" s="83"/>
      <c r="K91" s="83"/>
      <c r="L91" s="83"/>
      <c r="M91" s="83"/>
      <c r="N91" s="83"/>
      <c r="O91" s="83"/>
      <c r="P91" s="83"/>
      <c r="Q91" s="83"/>
      <c r="R91" s="83"/>
      <c r="S91" s="83"/>
      <c r="T91" s="83"/>
      <c r="U91" s="83"/>
      <c r="V91" s="83"/>
      <c r="W91" s="83"/>
      <c r="X91" s="83"/>
      <c r="Y91" s="83"/>
      <c r="Z91" s="83"/>
      <c r="AA91" s="83"/>
      <c r="AB91" s="83"/>
      <c r="AC91" s="83"/>
      <c r="AD91" s="83"/>
      <c r="AE91" s="83"/>
      <c r="AF91" s="83"/>
      <c r="AG91" s="83"/>
      <c r="AH91" s="83"/>
      <c r="AI91" s="83"/>
      <c r="AJ91" s="83"/>
      <c r="AK91" s="83"/>
      <c r="AL91" s="83"/>
      <c r="AM91" s="83"/>
      <c r="AN91" s="83"/>
      <c r="AO91" s="83"/>
      <c r="AP91" s="83"/>
      <c r="AQ91" s="83"/>
      <c r="AR91" s="83"/>
      <c r="AS91" s="83"/>
      <c r="AT91" s="83"/>
    </row>
    <row r="92" spans="1:46" ht="13.8">
      <c r="A92" s="83"/>
      <c r="B92" s="83"/>
      <c r="C92" s="83"/>
      <c r="D92" s="83"/>
      <c r="E92" s="82"/>
      <c r="F92" s="82"/>
      <c r="G92" s="83"/>
      <c r="H92" s="83"/>
      <c r="I92" s="83"/>
      <c r="J92" s="83"/>
      <c r="K92" s="83"/>
      <c r="L92" s="83"/>
      <c r="M92" s="83"/>
      <c r="N92" s="83"/>
      <c r="O92" s="83"/>
      <c r="P92" s="83"/>
      <c r="Q92" s="83"/>
      <c r="R92" s="83"/>
      <c r="S92" s="83"/>
      <c r="T92" s="83"/>
      <c r="U92" s="83"/>
      <c r="V92" s="83"/>
      <c r="W92" s="83"/>
      <c r="X92" s="83"/>
      <c r="Y92" s="83"/>
      <c r="Z92" s="83"/>
      <c r="AA92" s="83"/>
      <c r="AB92" s="83"/>
      <c r="AC92" s="83"/>
      <c r="AD92" s="83"/>
      <c r="AE92" s="83"/>
      <c r="AF92" s="83"/>
      <c r="AG92" s="83"/>
      <c r="AH92" s="83"/>
      <c r="AI92" s="83"/>
      <c r="AJ92" s="83"/>
      <c r="AK92" s="83"/>
      <c r="AL92" s="83"/>
      <c r="AM92" s="83"/>
      <c r="AN92" s="83"/>
      <c r="AO92" s="83"/>
      <c r="AP92" s="83"/>
      <c r="AQ92" s="83"/>
      <c r="AR92" s="83"/>
      <c r="AS92" s="83"/>
      <c r="AT92" s="83"/>
    </row>
    <row r="93" spans="1:46" ht="13.8">
      <c r="A93" s="83"/>
      <c r="B93" s="83"/>
      <c r="C93" s="83"/>
      <c r="D93" s="83"/>
      <c r="E93" s="82"/>
      <c r="F93" s="82"/>
      <c r="G93" s="83"/>
      <c r="H93" s="83"/>
      <c r="I93" s="83"/>
      <c r="J93" s="83"/>
      <c r="K93" s="83"/>
      <c r="L93" s="83"/>
      <c r="M93" s="83"/>
      <c r="N93" s="83"/>
      <c r="O93" s="83"/>
      <c r="P93" s="83"/>
      <c r="Q93" s="83"/>
      <c r="R93" s="83"/>
      <c r="S93" s="83"/>
      <c r="T93" s="83"/>
      <c r="U93" s="83"/>
      <c r="V93" s="83"/>
      <c r="W93" s="83"/>
      <c r="X93" s="83"/>
      <c r="Y93" s="83"/>
      <c r="Z93" s="83"/>
      <c r="AA93" s="83"/>
      <c r="AB93" s="83"/>
      <c r="AC93" s="83"/>
      <c r="AD93" s="83"/>
      <c r="AE93" s="83"/>
      <c r="AF93" s="83"/>
      <c r="AG93" s="83"/>
      <c r="AH93" s="83"/>
      <c r="AI93" s="83"/>
      <c r="AJ93" s="83"/>
      <c r="AK93" s="83"/>
      <c r="AL93" s="83"/>
      <c r="AM93" s="83"/>
      <c r="AN93" s="83"/>
      <c r="AO93" s="83"/>
      <c r="AP93" s="83"/>
      <c r="AQ93" s="83"/>
      <c r="AR93" s="83"/>
      <c r="AS93" s="83"/>
      <c r="AT93" s="83"/>
    </row>
    <row r="94" spans="1:46" ht="13.8">
      <c r="A94" s="83"/>
      <c r="B94" s="83"/>
      <c r="C94" s="83"/>
      <c r="D94" s="83"/>
      <c r="E94" s="82"/>
      <c r="F94" s="82"/>
      <c r="G94" s="83"/>
      <c r="H94" s="83"/>
      <c r="I94" s="83"/>
      <c r="J94" s="83"/>
      <c r="K94" s="83"/>
      <c r="L94" s="83"/>
      <c r="M94" s="83"/>
      <c r="N94" s="83"/>
      <c r="O94" s="83"/>
      <c r="P94" s="83"/>
      <c r="Q94" s="83"/>
      <c r="R94" s="83"/>
      <c r="S94" s="83"/>
      <c r="T94" s="83"/>
      <c r="U94" s="83"/>
      <c r="V94" s="83"/>
      <c r="W94" s="83"/>
      <c r="X94" s="83"/>
      <c r="Y94" s="83"/>
      <c r="Z94" s="83"/>
      <c r="AA94" s="83"/>
      <c r="AB94" s="83"/>
      <c r="AC94" s="83"/>
      <c r="AD94" s="83"/>
      <c r="AE94" s="83"/>
      <c r="AF94" s="83"/>
      <c r="AG94" s="83"/>
      <c r="AH94" s="83"/>
      <c r="AI94" s="83"/>
      <c r="AJ94" s="83"/>
      <c r="AK94" s="83"/>
      <c r="AL94" s="83"/>
      <c r="AM94" s="83"/>
      <c r="AN94" s="83"/>
      <c r="AO94" s="83"/>
      <c r="AP94" s="83"/>
      <c r="AQ94" s="83"/>
      <c r="AR94" s="83"/>
      <c r="AS94" s="83"/>
      <c r="AT94" s="83"/>
    </row>
    <row r="95" spans="1:46" ht="13.8">
      <c r="A95" s="83"/>
      <c r="B95" s="83"/>
      <c r="C95" s="83"/>
      <c r="D95" s="83"/>
      <c r="E95" s="82"/>
      <c r="F95" s="82"/>
      <c r="G95" s="83"/>
      <c r="H95" s="83"/>
      <c r="I95" s="83"/>
      <c r="J95" s="83"/>
      <c r="K95" s="83"/>
      <c r="L95" s="83"/>
      <c r="M95" s="83"/>
      <c r="N95" s="83"/>
      <c r="O95" s="83"/>
      <c r="P95" s="83"/>
      <c r="Q95" s="83"/>
      <c r="R95" s="83"/>
      <c r="S95" s="83"/>
      <c r="T95" s="83"/>
      <c r="U95" s="83"/>
      <c r="V95" s="83"/>
      <c r="W95" s="83"/>
      <c r="X95" s="83"/>
      <c r="Y95" s="83"/>
      <c r="Z95" s="83"/>
      <c r="AA95" s="83"/>
      <c r="AB95" s="83"/>
      <c r="AC95" s="83"/>
      <c r="AD95" s="83"/>
      <c r="AE95" s="83"/>
      <c r="AF95" s="83"/>
      <c r="AG95" s="83"/>
      <c r="AH95" s="83"/>
      <c r="AI95" s="83"/>
      <c r="AJ95" s="83"/>
      <c r="AK95" s="83"/>
      <c r="AL95" s="83"/>
      <c r="AM95" s="83"/>
      <c r="AN95" s="83"/>
      <c r="AO95" s="83"/>
      <c r="AP95" s="83"/>
      <c r="AQ95" s="83"/>
      <c r="AR95" s="83"/>
      <c r="AS95" s="83"/>
      <c r="AT95" s="83"/>
    </row>
    <row r="96" spans="1:46" ht="13.8">
      <c r="A96" s="83"/>
      <c r="B96" s="83"/>
      <c r="C96" s="83"/>
      <c r="D96" s="83"/>
      <c r="E96" s="82"/>
      <c r="F96" s="82"/>
      <c r="G96" s="83"/>
      <c r="H96" s="83"/>
      <c r="I96" s="83"/>
      <c r="J96" s="83"/>
      <c r="K96" s="83"/>
      <c r="L96" s="83"/>
      <c r="M96" s="83"/>
      <c r="N96" s="83"/>
      <c r="O96" s="83"/>
      <c r="P96" s="83"/>
      <c r="Q96" s="83"/>
      <c r="R96" s="83"/>
      <c r="S96" s="83"/>
      <c r="T96" s="83"/>
      <c r="U96" s="83"/>
      <c r="V96" s="83"/>
      <c r="W96" s="83"/>
      <c r="X96" s="83"/>
      <c r="Y96" s="83"/>
      <c r="Z96" s="83"/>
      <c r="AA96" s="83"/>
      <c r="AB96" s="83"/>
      <c r="AC96" s="83"/>
      <c r="AD96" s="83"/>
      <c r="AE96" s="83"/>
      <c r="AF96" s="83"/>
      <c r="AG96" s="83"/>
      <c r="AH96" s="83"/>
      <c r="AI96" s="83"/>
      <c r="AJ96" s="83"/>
      <c r="AK96" s="83"/>
      <c r="AL96" s="83"/>
      <c r="AM96" s="83"/>
      <c r="AN96" s="83"/>
      <c r="AO96" s="83"/>
      <c r="AP96" s="83"/>
      <c r="AQ96" s="83"/>
      <c r="AR96" s="83"/>
      <c r="AS96" s="83"/>
      <c r="AT96" s="83"/>
    </row>
    <row r="97" spans="1:46" ht="13.8">
      <c r="A97" s="83"/>
      <c r="B97" s="83"/>
      <c r="C97" s="83"/>
      <c r="D97" s="83"/>
      <c r="E97" s="82"/>
      <c r="F97" s="82"/>
      <c r="G97" s="83"/>
      <c r="H97" s="83"/>
      <c r="I97" s="83"/>
      <c r="J97" s="83"/>
      <c r="K97" s="83"/>
      <c r="L97" s="83"/>
      <c r="M97" s="83"/>
      <c r="N97" s="83"/>
      <c r="O97" s="83"/>
      <c r="P97" s="83"/>
      <c r="Q97" s="83"/>
      <c r="R97" s="83"/>
      <c r="S97" s="83"/>
      <c r="T97" s="83"/>
      <c r="U97" s="83"/>
      <c r="V97" s="83"/>
      <c r="W97" s="83"/>
      <c r="X97" s="83"/>
      <c r="Y97" s="83"/>
      <c r="Z97" s="83"/>
      <c r="AA97" s="83"/>
      <c r="AB97" s="83"/>
      <c r="AC97" s="83"/>
      <c r="AD97" s="83"/>
      <c r="AE97" s="83"/>
      <c r="AF97" s="83"/>
      <c r="AG97" s="83"/>
      <c r="AH97" s="83"/>
      <c r="AI97" s="83"/>
      <c r="AJ97" s="83"/>
      <c r="AK97" s="83"/>
      <c r="AL97" s="83"/>
      <c r="AM97" s="83"/>
      <c r="AN97" s="83"/>
      <c r="AO97" s="83"/>
      <c r="AP97" s="83"/>
      <c r="AQ97" s="83"/>
      <c r="AR97" s="83"/>
      <c r="AS97" s="83"/>
      <c r="AT97" s="83"/>
    </row>
    <row r="98" spans="1:46" ht="13.8">
      <c r="A98" s="83"/>
      <c r="B98" s="83"/>
      <c r="C98" s="83"/>
      <c r="D98" s="83"/>
      <c r="E98" s="82"/>
      <c r="F98" s="82"/>
      <c r="G98" s="83"/>
      <c r="H98" s="83"/>
      <c r="I98" s="83"/>
      <c r="J98" s="83"/>
      <c r="K98" s="83"/>
      <c r="L98" s="83"/>
      <c r="M98" s="83"/>
      <c r="N98" s="83"/>
      <c r="O98" s="83"/>
      <c r="P98" s="83"/>
      <c r="Q98" s="83"/>
      <c r="R98" s="83"/>
      <c r="S98" s="83"/>
      <c r="T98" s="83"/>
      <c r="U98" s="83"/>
      <c r="V98" s="83"/>
      <c r="W98" s="83"/>
      <c r="X98" s="83"/>
      <c r="Y98" s="83"/>
      <c r="Z98" s="83"/>
      <c r="AA98" s="83"/>
      <c r="AB98" s="83"/>
      <c r="AC98" s="83"/>
      <c r="AD98" s="83"/>
      <c r="AE98" s="83"/>
      <c r="AF98" s="83"/>
      <c r="AG98" s="83"/>
      <c r="AH98" s="83"/>
      <c r="AI98" s="83"/>
      <c r="AJ98" s="83"/>
      <c r="AK98" s="83"/>
      <c r="AL98" s="83"/>
      <c r="AM98" s="83"/>
      <c r="AN98" s="83"/>
      <c r="AO98" s="83"/>
      <c r="AP98" s="83"/>
      <c r="AQ98" s="83"/>
      <c r="AR98" s="83"/>
      <c r="AS98" s="83"/>
      <c r="AT98" s="83"/>
    </row>
    <row r="99" spans="1:46" ht="13.8">
      <c r="A99" s="83"/>
      <c r="B99" s="83"/>
      <c r="C99" s="83"/>
      <c r="D99" s="83"/>
      <c r="E99" s="82"/>
      <c r="F99" s="82"/>
      <c r="G99" s="83"/>
      <c r="H99" s="83"/>
      <c r="I99" s="83"/>
      <c r="J99" s="83"/>
      <c r="K99" s="83"/>
      <c r="L99" s="83"/>
      <c r="M99" s="83"/>
      <c r="N99" s="83"/>
      <c r="O99" s="83"/>
      <c r="P99" s="83"/>
      <c r="Q99" s="83"/>
      <c r="R99" s="83"/>
      <c r="S99" s="83"/>
      <c r="T99" s="83"/>
      <c r="U99" s="83"/>
      <c r="V99" s="83"/>
      <c r="W99" s="83"/>
      <c r="X99" s="83"/>
      <c r="Y99" s="83"/>
      <c r="Z99" s="83"/>
      <c r="AA99" s="83"/>
      <c r="AB99" s="83"/>
      <c r="AC99" s="83"/>
      <c r="AD99" s="83"/>
      <c r="AE99" s="83"/>
      <c r="AF99" s="83"/>
      <c r="AG99" s="83"/>
      <c r="AH99" s="83"/>
      <c r="AI99" s="83"/>
      <c r="AJ99" s="83"/>
      <c r="AK99" s="83"/>
      <c r="AL99" s="83"/>
      <c r="AM99" s="83"/>
      <c r="AN99" s="83"/>
      <c r="AO99" s="83"/>
      <c r="AP99" s="83"/>
      <c r="AQ99" s="83"/>
      <c r="AR99" s="83"/>
      <c r="AS99" s="83"/>
      <c r="AT99" s="83"/>
    </row>
    <row r="100" spans="1:46" ht="13.8">
      <c r="A100" s="83"/>
      <c r="B100" s="83"/>
      <c r="C100" s="83"/>
      <c r="D100" s="83"/>
      <c r="E100" s="82"/>
      <c r="F100" s="82"/>
      <c r="G100" s="83"/>
      <c r="H100" s="83"/>
      <c r="I100" s="83"/>
      <c r="J100" s="83"/>
      <c r="K100" s="83"/>
      <c r="L100" s="83"/>
      <c r="M100" s="83"/>
      <c r="N100" s="83"/>
      <c r="O100" s="83"/>
      <c r="P100" s="83"/>
      <c r="Q100" s="83"/>
      <c r="R100" s="83"/>
      <c r="S100" s="83"/>
      <c r="T100" s="83"/>
      <c r="U100" s="83"/>
      <c r="V100" s="83"/>
      <c r="W100" s="83"/>
      <c r="X100" s="83"/>
      <c r="Y100" s="83"/>
      <c r="Z100" s="83"/>
      <c r="AA100" s="83"/>
      <c r="AB100" s="83"/>
      <c r="AC100" s="83"/>
      <c r="AD100" s="83"/>
      <c r="AE100" s="83"/>
      <c r="AF100" s="83"/>
      <c r="AG100" s="83"/>
      <c r="AH100" s="83"/>
      <c r="AI100" s="83"/>
      <c r="AJ100" s="83"/>
      <c r="AK100" s="83"/>
      <c r="AL100" s="83"/>
      <c r="AM100" s="83"/>
      <c r="AN100" s="83"/>
      <c r="AO100" s="83"/>
      <c r="AP100" s="83"/>
      <c r="AQ100" s="83"/>
      <c r="AR100" s="83"/>
      <c r="AS100" s="83"/>
      <c r="AT100" s="83"/>
    </row>
    <row r="101" spans="1:46" ht="13.8">
      <c r="A101" s="83"/>
      <c r="B101" s="83"/>
      <c r="C101" s="83"/>
      <c r="D101" s="83"/>
      <c r="E101" s="82"/>
      <c r="F101" s="82"/>
      <c r="G101" s="83"/>
      <c r="H101" s="83"/>
      <c r="I101" s="83"/>
      <c r="J101" s="83"/>
      <c r="K101" s="83"/>
      <c r="L101" s="83"/>
      <c r="M101" s="83"/>
      <c r="N101" s="83"/>
      <c r="O101" s="83"/>
      <c r="P101" s="83"/>
      <c r="Q101" s="83"/>
      <c r="R101" s="83"/>
      <c r="S101" s="83"/>
      <c r="T101" s="83"/>
      <c r="U101" s="83"/>
      <c r="V101" s="83"/>
      <c r="W101" s="83"/>
      <c r="X101" s="83"/>
      <c r="Y101" s="83"/>
      <c r="Z101" s="83"/>
      <c r="AA101" s="83"/>
      <c r="AB101" s="83"/>
      <c r="AC101" s="83"/>
      <c r="AD101" s="83"/>
      <c r="AE101" s="83"/>
      <c r="AF101" s="83"/>
      <c r="AG101" s="83"/>
      <c r="AH101" s="83"/>
      <c r="AI101" s="83"/>
      <c r="AJ101" s="83"/>
      <c r="AK101" s="83"/>
      <c r="AL101" s="83"/>
      <c r="AM101" s="83"/>
      <c r="AN101" s="83"/>
      <c r="AO101" s="83"/>
      <c r="AP101" s="83"/>
      <c r="AQ101" s="83"/>
      <c r="AR101" s="83"/>
      <c r="AS101" s="83"/>
      <c r="AT101" s="83"/>
    </row>
    <row r="102" spans="1:46" ht="13.8">
      <c r="A102" s="83"/>
      <c r="B102" s="83"/>
      <c r="C102" s="83"/>
      <c r="D102" s="83"/>
      <c r="E102" s="82"/>
      <c r="F102" s="82"/>
      <c r="G102" s="83"/>
      <c r="H102" s="83"/>
      <c r="I102" s="83"/>
      <c r="J102" s="83"/>
      <c r="K102" s="83"/>
      <c r="L102" s="83"/>
      <c r="M102" s="83"/>
      <c r="N102" s="83"/>
      <c r="O102" s="83"/>
      <c r="P102" s="83"/>
      <c r="Q102" s="83"/>
      <c r="R102" s="83"/>
      <c r="S102" s="83"/>
      <c r="T102" s="83"/>
      <c r="U102" s="83"/>
      <c r="V102" s="83"/>
      <c r="W102" s="83"/>
      <c r="X102" s="83"/>
      <c r="Y102" s="83"/>
      <c r="Z102" s="83"/>
      <c r="AA102" s="83"/>
      <c r="AB102" s="83"/>
      <c r="AC102" s="83"/>
      <c r="AD102" s="83"/>
      <c r="AE102" s="83"/>
      <c r="AF102" s="83"/>
      <c r="AG102" s="83"/>
      <c r="AH102" s="83"/>
      <c r="AI102" s="83"/>
      <c r="AJ102" s="83"/>
      <c r="AK102" s="83"/>
      <c r="AL102" s="83"/>
      <c r="AM102" s="83"/>
      <c r="AN102" s="83"/>
      <c r="AO102" s="83"/>
      <c r="AP102" s="83"/>
      <c r="AQ102" s="83"/>
      <c r="AR102" s="83"/>
      <c r="AS102" s="83"/>
      <c r="AT102" s="83"/>
    </row>
    <row r="103" spans="1:46" ht="13.8">
      <c r="A103" s="83"/>
      <c r="B103" s="83"/>
      <c r="C103" s="83"/>
      <c r="D103" s="83"/>
      <c r="E103" s="82"/>
      <c r="F103" s="82"/>
      <c r="G103" s="83"/>
      <c r="H103" s="83"/>
      <c r="I103" s="83"/>
      <c r="J103" s="83"/>
      <c r="K103" s="83"/>
      <c r="L103" s="83"/>
      <c r="M103" s="83"/>
      <c r="N103" s="83"/>
      <c r="O103" s="83"/>
      <c r="P103" s="83"/>
      <c r="Q103" s="83"/>
      <c r="R103" s="83"/>
      <c r="S103" s="83"/>
      <c r="T103" s="83"/>
      <c r="U103" s="83"/>
      <c r="V103" s="83"/>
      <c r="W103" s="83"/>
      <c r="X103" s="83"/>
      <c r="Y103" s="83"/>
      <c r="Z103" s="83"/>
      <c r="AA103" s="83"/>
      <c r="AB103" s="83"/>
      <c r="AC103" s="83"/>
      <c r="AD103" s="83"/>
      <c r="AE103" s="83"/>
      <c r="AF103" s="83"/>
      <c r="AG103" s="83"/>
      <c r="AH103" s="83"/>
      <c r="AI103" s="83"/>
      <c r="AJ103" s="83"/>
      <c r="AK103" s="83"/>
      <c r="AL103" s="83"/>
      <c r="AM103" s="83"/>
      <c r="AN103" s="83"/>
      <c r="AO103" s="83"/>
      <c r="AP103" s="83"/>
      <c r="AQ103" s="83"/>
      <c r="AR103" s="83"/>
      <c r="AS103" s="83"/>
      <c r="AT103" s="83"/>
    </row>
    <row r="104" spans="1:46" ht="13.8">
      <c r="A104" s="83"/>
      <c r="B104" s="83"/>
      <c r="C104" s="83"/>
      <c r="D104" s="83"/>
      <c r="E104" s="82"/>
      <c r="F104" s="82"/>
      <c r="G104" s="83"/>
      <c r="H104" s="83"/>
      <c r="I104" s="83"/>
      <c r="J104" s="83"/>
      <c r="K104" s="83"/>
      <c r="L104" s="83"/>
      <c r="M104" s="83"/>
      <c r="N104" s="83"/>
      <c r="O104" s="83"/>
      <c r="P104" s="83"/>
      <c r="Q104" s="83"/>
      <c r="R104" s="83"/>
      <c r="S104" s="83"/>
      <c r="T104" s="83"/>
      <c r="U104" s="83"/>
      <c r="V104" s="83"/>
      <c r="W104" s="83"/>
      <c r="X104" s="83"/>
      <c r="Y104" s="83"/>
      <c r="Z104" s="83"/>
      <c r="AA104" s="83"/>
      <c r="AB104" s="83"/>
      <c r="AC104" s="83"/>
      <c r="AD104" s="83"/>
      <c r="AE104" s="83"/>
      <c r="AF104" s="83"/>
      <c r="AG104" s="83"/>
      <c r="AH104" s="83"/>
      <c r="AI104" s="83"/>
      <c r="AJ104" s="83"/>
      <c r="AK104" s="83"/>
      <c r="AL104" s="83"/>
      <c r="AM104" s="83"/>
      <c r="AN104" s="83"/>
      <c r="AO104" s="83"/>
      <c r="AP104" s="83"/>
      <c r="AQ104" s="83"/>
      <c r="AR104" s="83"/>
      <c r="AS104" s="83"/>
      <c r="AT104" s="83"/>
    </row>
    <row r="105" spans="1:46" ht="13.8">
      <c r="A105" s="83"/>
      <c r="B105" s="83"/>
      <c r="C105" s="83"/>
      <c r="D105" s="83"/>
      <c r="E105" s="82"/>
      <c r="F105" s="82"/>
      <c r="G105" s="83"/>
      <c r="H105" s="83"/>
      <c r="I105" s="83"/>
      <c r="J105" s="83"/>
      <c r="K105" s="83"/>
      <c r="L105" s="83"/>
      <c r="M105" s="83"/>
      <c r="N105" s="83"/>
      <c r="O105" s="83"/>
      <c r="P105" s="83"/>
      <c r="Q105" s="83"/>
      <c r="R105" s="83"/>
      <c r="S105" s="83"/>
      <c r="T105" s="83"/>
      <c r="U105" s="83"/>
      <c r="V105" s="83"/>
      <c r="W105" s="83"/>
      <c r="X105" s="83"/>
      <c r="Y105" s="83"/>
      <c r="Z105" s="83"/>
      <c r="AA105" s="83"/>
      <c r="AB105" s="83"/>
      <c r="AC105" s="83"/>
      <c r="AD105" s="83"/>
      <c r="AE105" s="83"/>
      <c r="AF105" s="83"/>
      <c r="AG105" s="83"/>
      <c r="AH105" s="83"/>
      <c r="AI105" s="83"/>
      <c r="AJ105" s="83"/>
      <c r="AK105" s="83"/>
      <c r="AL105" s="83"/>
      <c r="AM105" s="83"/>
      <c r="AN105" s="83"/>
      <c r="AO105" s="83"/>
      <c r="AP105" s="83"/>
      <c r="AQ105" s="83"/>
      <c r="AR105" s="83"/>
      <c r="AS105" s="83"/>
      <c r="AT105" s="83"/>
    </row>
    <row r="106" spans="1:46" ht="13.8">
      <c r="A106" s="83"/>
      <c r="B106" s="83"/>
      <c r="C106" s="83"/>
      <c r="D106" s="83"/>
      <c r="E106" s="82"/>
      <c r="F106" s="82"/>
      <c r="G106" s="83"/>
      <c r="H106" s="83"/>
      <c r="I106" s="83"/>
      <c r="J106" s="83"/>
      <c r="K106" s="83"/>
      <c r="L106" s="83"/>
      <c r="M106" s="83"/>
      <c r="N106" s="83"/>
      <c r="O106" s="83"/>
      <c r="P106" s="83"/>
      <c r="Q106" s="83"/>
      <c r="R106" s="83"/>
      <c r="S106" s="83"/>
      <c r="T106" s="83"/>
      <c r="U106" s="83"/>
      <c r="V106" s="83"/>
      <c r="W106" s="83"/>
      <c r="X106" s="83"/>
      <c r="Y106" s="83"/>
      <c r="Z106" s="83"/>
      <c r="AA106" s="83"/>
      <c r="AB106" s="83"/>
      <c r="AC106" s="83"/>
      <c r="AD106" s="83"/>
      <c r="AE106" s="83"/>
      <c r="AF106" s="83"/>
      <c r="AG106" s="83"/>
      <c r="AH106" s="83"/>
      <c r="AI106" s="83"/>
      <c r="AJ106" s="83"/>
      <c r="AK106" s="83"/>
      <c r="AL106" s="83"/>
      <c r="AM106" s="83"/>
      <c r="AN106" s="83"/>
      <c r="AO106" s="83"/>
      <c r="AP106" s="83"/>
      <c r="AQ106" s="83"/>
      <c r="AR106" s="83"/>
      <c r="AS106" s="83"/>
      <c r="AT106" s="83"/>
    </row>
    <row r="107" spans="1:46" ht="13.8">
      <c r="A107" s="83"/>
      <c r="B107" s="83"/>
      <c r="C107" s="83"/>
      <c r="D107" s="83"/>
      <c r="E107" s="82"/>
      <c r="F107" s="82"/>
      <c r="G107" s="83"/>
      <c r="H107" s="83"/>
      <c r="I107" s="83"/>
      <c r="J107" s="83"/>
      <c r="K107" s="83"/>
      <c r="L107" s="83"/>
      <c r="M107" s="83"/>
      <c r="N107" s="83"/>
      <c r="O107" s="83"/>
      <c r="P107" s="83"/>
      <c r="Q107" s="83"/>
      <c r="R107" s="83"/>
      <c r="S107" s="83"/>
      <c r="T107" s="83"/>
      <c r="U107" s="83"/>
      <c r="V107" s="83"/>
      <c r="W107" s="83"/>
      <c r="X107" s="83"/>
      <c r="Y107" s="83"/>
      <c r="Z107" s="83"/>
      <c r="AA107" s="83"/>
      <c r="AB107" s="83"/>
      <c r="AC107" s="83"/>
      <c r="AD107" s="83"/>
      <c r="AE107" s="83"/>
      <c r="AF107" s="83"/>
      <c r="AG107" s="83"/>
      <c r="AH107" s="83"/>
      <c r="AI107" s="83"/>
      <c r="AJ107" s="83"/>
      <c r="AK107" s="83"/>
      <c r="AL107" s="83"/>
      <c r="AM107" s="83"/>
      <c r="AN107" s="83"/>
      <c r="AO107" s="83"/>
      <c r="AP107" s="83"/>
      <c r="AQ107" s="83"/>
      <c r="AR107" s="83"/>
      <c r="AS107" s="83"/>
      <c r="AT107" s="83"/>
    </row>
    <row r="108" spans="1:46" ht="13.8">
      <c r="A108" s="83"/>
      <c r="B108" s="83"/>
      <c r="C108" s="83"/>
      <c r="D108" s="83"/>
      <c r="E108" s="82"/>
      <c r="F108" s="82"/>
      <c r="G108" s="83"/>
      <c r="H108" s="83"/>
      <c r="I108" s="83"/>
      <c r="J108" s="83"/>
      <c r="K108" s="83"/>
      <c r="L108" s="83"/>
      <c r="M108" s="83"/>
      <c r="N108" s="83"/>
      <c r="O108" s="83"/>
      <c r="P108" s="83"/>
      <c r="Q108" s="83"/>
      <c r="R108" s="83"/>
      <c r="S108" s="83"/>
      <c r="T108" s="83"/>
      <c r="U108" s="83"/>
      <c r="V108" s="83"/>
      <c r="W108" s="83"/>
      <c r="X108" s="83"/>
      <c r="Y108" s="83"/>
      <c r="Z108" s="83"/>
      <c r="AA108" s="83"/>
      <c r="AB108" s="83"/>
      <c r="AC108" s="83"/>
      <c r="AD108" s="83"/>
      <c r="AE108" s="83"/>
      <c r="AF108" s="83"/>
      <c r="AG108" s="83"/>
      <c r="AH108" s="83"/>
      <c r="AI108" s="83"/>
      <c r="AJ108" s="83"/>
      <c r="AK108" s="83"/>
      <c r="AL108" s="83"/>
      <c r="AM108" s="83"/>
      <c r="AN108" s="83"/>
      <c r="AO108" s="83"/>
      <c r="AP108" s="83"/>
      <c r="AQ108" s="83"/>
      <c r="AR108" s="83"/>
      <c r="AS108" s="83"/>
      <c r="AT108" s="83"/>
    </row>
    <row r="109" spans="1:46" ht="13.8">
      <c r="A109" s="83"/>
      <c r="B109" s="83"/>
      <c r="C109" s="83"/>
      <c r="D109" s="83"/>
      <c r="E109" s="82"/>
      <c r="F109" s="82"/>
      <c r="G109" s="83"/>
      <c r="H109" s="83"/>
      <c r="I109" s="83"/>
      <c r="J109" s="83"/>
      <c r="K109" s="83"/>
      <c r="L109" s="83"/>
      <c r="M109" s="83"/>
      <c r="N109" s="83"/>
      <c r="O109" s="83"/>
      <c r="P109" s="83"/>
      <c r="Q109" s="83"/>
      <c r="R109" s="83"/>
      <c r="S109" s="83"/>
      <c r="T109" s="83"/>
      <c r="U109" s="83"/>
      <c r="V109" s="83"/>
      <c r="W109" s="83"/>
      <c r="X109" s="83"/>
      <c r="Y109" s="83"/>
      <c r="Z109" s="83"/>
      <c r="AA109" s="83"/>
      <c r="AB109" s="83"/>
      <c r="AC109" s="83"/>
      <c r="AD109" s="83"/>
      <c r="AE109" s="83"/>
      <c r="AF109" s="83"/>
      <c r="AG109" s="83"/>
      <c r="AH109" s="83"/>
      <c r="AI109" s="83"/>
      <c r="AJ109" s="83"/>
      <c r="AK109" s="83"/>
      <c r="AL109" s="83"/>
      <c r="AM109" s="83"/>
      <c r="AN109" s="83"/>
      <c r="AO109" s="83"/>
      <c r="AP109" s="83"/>
      <c r="AQ109" s="83"/>
      <c r="AR109" s="83"/>
      <c r="AS109" s="83"/>
      <c r="AT109" s="83"/>
    </row>
    <row r="110" spans="1:46" ht="13.8">
      <c r="A110" s="83"/>
      <c r="B110" s="83"/>
      <c r="C110" s="83"/>
      <c r="D110" s="83"/>
      <c r="E110" s="82"/>
      <c r="F110" s="82"/>
      <c r="G110" s="83"/>
      <c r="H110" s="83"/>
      <c r="I110" s="83"/>
      <c r="J110" s="83"/>
      <c r="K110" s="83"/>
      <c r="L110" s="83"/>
      <c r="M110" s="83"/>
      <c r="N110" s="83"/>
      <c r="O110" s="83"/>
      <c r="P110" s="83"/>
      <c r="Q110" s="83"/>
      <c r="R110" s="83"/>
      <c r="S110" s="83"/>
      <c r="T110" s="83"/>
      <c r="U110" s="83"/>
      <c r="V110" s="83"/>
      <c r="W110" s="83"/>
      <c r="X110" s="83"/>
      <c r="Y110" s="83"/>
      <c r="Z110" s="83"/>
      <c r="AA110" s="83"/>
      <c r="AB110" s="83"/>
      <c r="AC110" s="83"/>
      <c r="AD110" s="83"/>
      <c r="AE110" s="83"/>
      <c r="AF110" s="83"/>
      <c r="AG110" s="83"/>
      <c r="AH110" s="83"/>
      <c r="AI110" s="83"/>
      <c r="AJ110" s="83"/>
      <c r="AK110" s="83"/>
      <c r="AL110" s="83"/>
      <c r="AM110" s="83"/>
      <c r="AN110" s="83"/>
      <c r="AO110" s="83"/>
      <c r="AP110" s="83"/>
      <c r="AQ110" s="83"/>
      <c r="AR110" s="83"/>
      <c r="AS110" s="83"/>
      <c r="AT110" s="83"/>
    </row>
    <row r="111" spans="1:46" ht="13.8">
      <c r="A111" s="83"/>
      <c r="B111" s="83"/>
      <c r="C111" s="83"/>
      <c r="D111" s="83"/>
      <c r="E111" s="82"/>
      <c r="F111" s="82"/>
      <c r="G111" s="83"/>
      <c r="H111" s="83"/>
      <c r="I111" s="83"/>
      <c r="J111" s="83"/>
      <c r="K111" s="83"/>
      <c r="L111" s="83"/>
      <c r="M111" s="83"/>
      <c r="N111" s="83"/>
      <c r="O111" s="83"/>
      <c r="P111" s="83"/>
      <c r="Q111" s="83"/>
      <c r="R111" s="83"/>
      <c r="S111" s="83"/>
      <c r="T111" s="83"/>
      <c r="U111" s="83"/>
      <c r="V111" s="83"/>
      <c r="W111" s="83"/>
      <c r="X111" s="83"/>
      <c r="Y111" s="83"/>
      <c r="Z111" s="83"/>
      <c r="AA111" s="83"/>
      <c r="AB111" s="83"/>
      <c r="AC111" s="83"/>
      <c r="AD111" s="83"/>
      <c r="AE111" s="83"/>
      <c r="AF111" s="83"/>
      <c r="AG111" s="83"/>
      <c r="AH111" s="83"/>
      <c r="AI111" s="83"/>
      <c r="AJ111" s="83"/>
      <c r="AK111" s="83"/>
      <c r="AL111" s="83"/>
      <c r="AM111" s="83"/>
      <c r="AN111" s="83"/>
      <c r="AO111" s="83"/>
      <c r="AP111" s="83"/>
      <c r="AQ111" s="83"/>
      <c r="AR111" s="83"/>
      <c r="AS111" s="83"/>
      <c r="AT111" s="83"/>
    </row>
    <row r="112" spans="1:46" ht="13.8">
      <c r="A112" s="83"/>
      <c r="B112" s="83"/>
      <c r="C112" s="83"/>
      <c r="D112" s="83"/>
      <c r="E112" s="82"/>
      <c r="F112" s="82"/>
      <c r="G112" s="83"/>
      <c r="H112" s="83"/>
      <c r="I112" s="83"/>
      <c r="J112" s="83"/>
      <c r="K112" s="83"/>
      <c r="L112" s="83"/>
      <c r="M112" s="83"/>
      <c r="N112" s="83"/>
      <c r="O112" s="83"/>
      <c r="P112" s="83"/>
      <c r="Q112" s="83"/>
      <c r="R112" s="83"/>
      <c r="S112" s="83"/>
      <c r="T112" s="83"/>
      <c r="U112" s="83"/>
      <c r="V112" s="83"/>
      <c r="W112" s="83"/>
      <c r="X112" s="83"/>
      <c r="Y112" s="83"/>
      <c r="Z112" s="83"/>
      <c r="AA112" s="83"/>
      <c r="AB112" s="83"/>
      <c r="AC112" s="83"/>
      <c r="AD112" s="83"/>
      <c r="AE112" s="83"/>
      <c r="AF112" s="83"/>
      <c r="AG112" s="83"/>
      <c r="AH112" s="83"/>
      <c r="AI112" s="83"/>
      <c r="AJ112" s="83"/>
      <c r="AK112" s="83"/>
      <c r="AL112" s="83"/>
      <c r="AM112" s="83"/>
      <c r="AN112" s="83"/>
      <c r="AO112" s="83"/>
      <c r="AP112" s="83"/>
      <c r="AQ112" s="83"/>
      <c r="AR112" s="83"/>
      <c r="AS112" s="83"/>
      <c r="AT112" s="83"/>
    </row>
    <row r="113" spans="1:46" ht="13.8">
      <c r="A113" s="83"/>
      <c r="B113" s="83"/>
      <c r="C113" s="83"/>
      <c r="D113" s="83"/>
      <c r="E113" s="82"/>
      <c r="F113" s="82"/>
      <c r="G113" s="83"/>
      <c r="H113" s="83"/>
      <c r="I113" s="83"/>
      <c r="J113" s="83"/>
      <c r="K113" s="83"/>
      <c r="L113" s="83"/>
      <c r="M113" s="83"/>
      <c r="N113" s="83"/>
      <c r="O113" s="83"/>
      <c r="P113" s="83"/>
      <c r="Q113" s="83"/>
      <c r="R113" s="83"/>
      <c r="S113" s="83"/>
      <c r="T113" s="83"/>
      <c r="U113" s="83"/>
      <c r="V113" s="83"/>
      <c r="W113" s="83"/>
      <c r="X113" s="83"/>
      <c r="Y113" s="83"/>
      <c r="Z113" s="83"/>
      <c r="AA113" s="83"/>
      <c r="AB113" s="83"/>
      <c r="AC113" s="83"/>
      <c r="AD113" s="83"/>
      <c r="AE113" s="83"/>
      <c r="AF113" s="83"/>
      <c r="AG113" s="83"/>
      <c r="AH113" s="83"/>
      <c r="AI113" s="83"/>
      <c r="AJ113" s="83"/>
      <c r="AK113" s="83"/>
      <c r="AL113" s="83"/>
      <c r="AM113" s="83"/>
      <c r="AN113" s="83"/>
      <c r="AO113" s="83"/>
      <c r="AP113" s="83"/>
      <c r="AQ113" s="83"/>
      <c r="AR113" s="83"/>
      <c r="AS113" s="83"/>
      <c r="AT113" s="83"/>
    </row>
    <row r="114" spans="1:46" ht="13.8">
      <c r="A114" s="83"/>
      <c r="B114" s="83"/>
      <c r="C114" s="83"/>
      <c r="D114" s="83"/>
      <c r="E114" s="82"/>
      <c r="F114" s="82"/>
      <c r="G114" s="83"/>
      <c r="H114" s="83"/>
      <c r="I114" s="83"/>
      <c r="J114" s="83"/>
      <c r="K114" s="83"/>
      <c r="L114" s="83"/>
      <c r="M114" s="83"/>
      <c r="N114" s="83"/>
      <c r="O114" s="83"/>
      <c r="P114" s="83"/>
      <c r="Q114" s="83"/>
      <c r="R114" s="83"/>
      <c r="S114" s="83"/>
      <c r="T114" s="83"/>
      <c r="U114" s="83"/>
      <c r="V114" s="83"/>
      <c r="W114" s="83"/>
      <c r="X114" s="83"/>
      <c r="Y114" s="83"/>
      <c r="Z114" s="83"/>
      <c r="AA114" s="83"/>
      <c r="AB114" s="83"/>
      <c r="AC114" s="83"/>
      <c r="AD114" s="83"/>
      <c r="AE114" s="83"/>
      <c r="AF114" s="83"/>
      <c r="AG114" s="83"/>
      <c r="AH114" s="83"/>
      <c r="AI114" s="83"/>
      <c r="AJ114" s="83"/>
      <c r="AK114" s="83"/>
      <c r="AL114" s="83"/>
      <c r="AM114" s="83"/>
      <c r="AN114" s="83"/>
      <c r="AO114" s="83"/>
      <c r="AP114" s="83"/>
      <c r="AQ114" s="83"/>
      <c r="AR114" s="83"/>
      <c r="AS114" s="83"/>
      <c r="AT114" s="83"/>
    </row>
    <row r="115" spans="1:46" ht="13.8">
      <c r="A115" s="83"/>
      <c r="B115" s="83"/>
      <c r="C115" s="83"/>
      <c r="D115" s="83"/>
      <c r="E115" s="82"/>
      <c r="F115" s="82"/>
      <c r="G115" s="83"/>
      <c r="H115" s="83"/>
      <c r="I115" s="83"/>
      <c r="J115" s="83"/>
      <c r="K115" s="83"/>
      <c r="L115" s="83"/>
      <c r="M115" s="83"/>
      <c r="N115" s="83"/>
      <c r="O115" s="83"/>
      <c r="P115" s="83"/>
      <c r="Q115" s="83"/>
      <c r="R115" s="83"/>
      <c r="S115" s="83"/>
      <c r="T115" s="83"/>
      <c r="U115" s="83"/>
      <c r="V115" s="83"/>
      <c r="W115" s="83"/>
      <c r="X115" s="83"/>
      <c r="Y115" s="83"/>
      <c r="Z115" s="83"/>
      <c r="AA115" s="83"/>
      <c r="AB115" s="83"/>
      <c r="AC115" s="83"/>
      <c r="AD115" s="83"/>
      <c r="AE115" s="83"/>
      <c r="AF115" s="83"/>
      <c r="AG115" s="83"/>
      <c r="AH115" s="83"/>
      <c r="AI115" s="83"/>
      <c r="AJ115" s="83"/>
      <c r="AK115" s="83"/>
      <c r="AL115" s="83"/>
      <c r="AM115" s="83"/>
      <c r="AN115" s="83"/>
      <c r="AO115" s="83"/>
      <c r="AP115" s="83"/>
      <c r="AQ115" s="83"/>
      <c r="AR115" s="83"/>
      <c r="AS115" s="83"/>
      <c r="AT115" s="83"/>
    </row>
    <row r="116" spans="1:46" ht="13.8">
      <c r="A116" s="83"/>
      <c r="B116" s="83"/>
      <c r="C116" s="83"/>
      <c r="D116" s="83"/>
      <c r="E116" s="82"/>
      <c r="F116" s="82"/>
      <c r="G116" s="83"/>
      <c r="H116" s="83"/>
      <c r="I116" s="83"/>
      <c r="J116" s="83"/>
      <c r="K116" s="83"/>
      <c r="L116" s="83"/>
      <c r="M116" s="83"/>
      <c r="N116" s="83"/>
      <c r="O116" s="83"/>
      <c r="P116" s="83"/>
      <c r="Q116" s="83"/>
      <c r="R116" s="83"/>
      <c r="S116" s="83"/>
      <c r="T116" s="83"/>
      <c r="U116" s="83"/>
      <c r="V116" s="83"/>
      <c r="W116" s="83"/>
      <c r="X116" s="83"/>
      <c r="Y116" s="83"/>
      <c r="Z116" s="83"/>
      <c r="AA116" s="83"/>
      <c r="AB116" s="83"/>
      <c r="AC116" s="83"/>
      <c r="AD116" s="83"/>
      <c r="AE116" s="83"/>
      <c r="AF116" s="83"/>
      <c r="AG116" s="83"/>
      <c r="AH116" s="83"/>
      <c r="AI116" s="83"/>
      <c r="AJ116" s="83"/>
      <c r="AK116" s="83"/>
      <c r="AL116" s="83"/>
      <c r="AM116" s="83"/>
      <c r="AN116" s="83"/>
      <c r="AO116" s="83"/>
      <c r="AP116" s="83"/>
      <c r="AQ116" s="83"/>
      <c r="AR116" s="83"/>
      <c r="AS116" s="83"/>
      <c r="AT116" s="83"/>
    </row>
    <row r="117" spans="1:46" ht="13.8">
      <c r="A117" s="83"/>
      <c r="B117" s="83"/>
      <c r="C117" s="83"/>
      <c r="D117" s="83"/>
      <c r="E117" s="82"/>
      <c r="F117" s="82"/>
      <c r="G117" s="83"/>
      <c r="H117" s="83"/>
      <c r="I117" s="83"/>
      <c r="J117" s="83"/>
      <c r="K117" s="83"/>
      <c r="L117" s="83"/>
      <c r="M117" s="83"/>
      <c r="N117" s="83"/>
      <c r="O117" s="83"/>
      <c r="P117" s="83"/>
      <c r="Q117" s="83"/>
      <c r="R117" s="83"/>
      <c r="S117" s="83"/>
      <c r="T117" s="83"/>
      <c r="U117" s="83"/>
      <c r="V117" s="83"/>
      <c r="W117" s="83"/>
      <c r="X117" s="83"/>
      <c r="Y117" s="83"/>
      <c r="Z117" s="83"/>
      <c r="AA117" s="83"/>
      <c r="AB117" s="83"/>
      <c r="AC117" s="83"/>
      <c r="AD117" s="83"/>
      <c r="AE117" s="83"/>
      <c r="AF117" s="83"/>
      <c r="AG117" s="83"/>
      <c r="AH117" s="83"/>
      <c r="AI117" s="83"/>
      <c r="AJ117" s="83"/>
      <c r="AK117" s="83"/>
      <c r="AL117" s="83"/>
      <c r="AM117" s="83"/>
      <c r="AN117" s="83"/>
      <c r="AO117" s="83"/>
      <c r="AP117" s="83"/>
      <c r="AQ117" s="83"/>
      <c r="AR117" s="83"/>
      <c r="AS117" s="83"/>
      <c r="AT117" s="83"/>
    </row>
    <row r="118" spans="1:46" ht="13.8">
      <c r="A118" s="83"/>
      <c r="B118" s="83"/>
      <c r="C118" s="83"/>
      <c r="D118" s="83"/>
      <c r="E118" s="82"/>
      <c r="F118" s="82"/>
      <c r="G118" s="83"/>
      <c r="H118" s="83"/>
      <c r="I118" s="83"/>
      <c r="J118" s="83"/>
      <c r="K118" s="83"/>
      <c r="L118" s="83"/>
      <c r="M118" s="83"/>
      <c r="N118" s="83"/>
      <c r="O118" s="83"/>
      <c r="P118" s="83"/>
      <c r="Q118" s="83"/>
      <c r="R118" s="83"/>
      <c r="S118" s="83"/>
      <c r="T118" s="83"/>
      <c r="U118" s="83"/>
      <c r="V118" s="83"/>
      <c r="W118" s="83"/>
      <c r="X118" s="83"/>
      <c r="Y118" s="83"/>
      <c r="Z118" s="83"/>
      <c r="AA118" s="83"/>
      <c r="AB118" s="83"/>
      <c r="AC118" s="83"/>
      <c r="AD118" s="83"/>
      <c r="AE118" s="83"/>
      <c r="AF118" s="83"/>
      <c r="AG118" s="83"/>
      <c r="AH118" s="83"/>
      <c r="AI118" s="83"/>
      <c r="AJ118" s="83"/>
      <c r="AK118" s="83"/>
      <c r="AL118" s="83"/>
      <c r="AM118" s="83"/>
      <c r="AN118" s="83"/>
      <c r="AO118" s="83"/>
      <c r="AP118" s="83"/>
      <c r="AQ118" s="83"/>
      <c r="AR118" s="83"/>
      <c r="AS118" s="83"/>
      <c r="AT118" s="83"/>
    </row>
    <row r="119" spans="1:46" ht="13.8">
      <c r="A119" s="83"/>
      <c r="B119" s="83"/>
      <c r="C119" s="83"/>
      <c r="D119" s="83"/>
      <c r="E119" s="82"/>
      <c r="F119" s="82"/>
      <c r="G119" s="83"/>
      <c r="H119" s="83"/>
      <c r="I119" s="83"/>
      <c r="J119" s="83"/>
      <c r="K119" s="83"/>
      <c r="L119" s="83"/>
      <c r="M119" s="83"/>
      <c r="N119" s="83"/>
      <c r="O119" s="83"/>
      <c r="P119" s="83"/>
      <c r="Q119" s="83"/>
      <c r="R119" s="83"/>
      <c r="S119" s="83"/>
      <c r="T119" s="83"/>
      <c r="U119" s="83"/>
      <c r="V119" s="83"/>
      <c r="W119" s="83"/>
      <c r="X119" s="83"/>
      <c r="Y119" s="83"/>
      <c r="Z119" s="83"/>
      <c r="AA119" s="83"/>
      <c r="AB119" s="83"/>
      <c r="AC119" s="83"/>
      <c r="AD119" s="83"/>
      <c r="AE119" s="83"/>
      <c r="AF119" s="83"/>
      <c r="AG119" s="83"/>
      <c r="AH119" s="83"/>
      <c r="AI119" s="83"/>
      <c r="AJ119" s="83"/>
      <c r="AK119" s="83"/>
      <c r="AL119" s="83"/>
      <c r="AM119" s="83"/>
      <c r="AN119" s="83"/>
      <c r="AO119" s="83"/>
      <c r="AP119" s="83"/>
      <c r="AQ119" s="83"/>
      <c r="AR119" s="83"/>
      <c r="AS119" s="83"/>
      <c r="AT119" s="83"/>
    </row>
    <row r="120" spans="1:46" ht="13.8">
      <c r="A120" s="83"/>
      <c r="B120" s="83"/>
      <c r="C120" s="83"/>
      <c r="D120" s="83"/>
      <c r="E120" s="82"/>
      <c r="F120" s="82"/>
      <c r="G120" s="83"/>
      <c r="H120" s="83"/>
      <c r="I120" s="83"/>
      <c r="J120" s="83"/>
      <c r="K120" s="83"/>
      <c r="L120" s="83"/>
      <c r="M120" s="83"/>
      <c r="N120" s="83"/>
      <c r="O120" s="83"/>
      <c r="P120" s="83"/>
      <c r="Q120" s="83"/>
      <c r="R120" s="83"/>
      <c r="S120" s="83"/>
      <c r="T120" s="83"/>
      <c r="U120" s="83"/>
      <c r="V120" s="83"/>
      <c r="W120" s="83"/>
      <c r="X120" s="83"/>
      <c r="Y120" s="83"/>
      <c r="Z120" s="83"/>
      <c r="AA120" s="83"/>
      <c r="AB120" s="83"/>
      <c r="AC120" s="83"/>
      <c r="AD120" s="83"/>
      <c r="AE120" s="83"/>
      <c r="AF120" s="83"/>
      <c r="AG120" s="83"/>
      <c r="AH120" s="83"/>
      <c r="AI120" s="83"/>
      <c r="AJ120" s="83"/>
      <c r="AK120" s="83"/>
      <c r="AL120" s="83"/>
      <c r="AM120" s="83"/>
      <c r="AN120" s="83"/>
      <c r="AO120" s="83"/>
      <c r="AP120" s="83"/>
      <c r="AQ120" s="83"/>
      <c r="AR120" s="83"/>
      <c r="AS120" s="83"/>
      <c r="AT120" s="83"/>
    </row>
    <row r="121" spans="1:46" ht="13.8">
      <c r="A121" s="83"/>
      <c r="B121" s="83"/>
      <c r="C121" s="83"/>
      <c r="D121" s="83"/>
      <c r="E121" s="82"/>
      <c r="F121" s="82"/>
      <c r="G121" s="83"/>
      <c r="H121" s="83"/>
      <c r="I121" s="83"/>
      <c r="J121" s="83"/>
      <c r="K121" s="83"/>
      <c r="L121" s="83"/>
      <c r="M121" s="83"/>
      <c r="N121" s="83"/>
      <c r="O121" s="83"/>
      <c r="P121" s="83"/>
      <c r="Q121" s="83"/>
      <c r="R121" s="83"/>
      <c r="S121" s="83"/>
      <c r="T121" s="83"/>
      <c r="U121" s="83"/>
      <c r="V121" s="83"/>
      <c r="W121" s="83"/>
      <c r="X121" s="83"/>
      <c r="Y121" s="83"/>
      <c r="Z121" s="83"/>
      <c r="AA121" s="83"/>
      <c r="AB121" s="83"/>
      <c r="AC121" s="83"/>
      <c r="AD121" s="83"/>
      <c r="AE121" s="83"/>
      <c r="AF121" s="83"/>
      <c r="AG121" s="83"/>
      <c r="AH121" s="83"/>
      <c r="AI121" s="83"/>
      <c r="AJ121" s="83"/>
      <c r="AK121" s="83"/>
      <c r="AL121" s="83"/>
      <c r="AM121" s="83"/>
      <c r="AN121" s="83"/>
      <c r="AO121" s="83"/>
      <c r="AP121" s="83"/>
      <c r="AQ121" s="83"/>
      <c r="AR121" s="83"/>
      <c r="AS121" s="83"/>
      <c r="AT121" s="83"/>
    </row>
    <row r="122" spans="1:46" ht="13.8">
      <c r="A122" s="83"/>
      <c r="B122" s="83"/>
      <c r="C122" s="83"/>
      <c r="D122" s="83"/>
      <c r="E122" s="82"/>
      <c r="F122" s="82"/>
      <c r="G122" s="83"/>
      <c r="H122" s="83"/>
      <c r="I122" s="83"/>
      <c r="J122" s="83"/>
      <c r="K122" s="83"/>
      <c r="L122" s="83"/>
      <c r="M122" s="83"/>
      <c r="N122" s="83"/>
      <c r="O122" s="83"/>
      <c r="P122" s="83"/>
      <c r="Q122" s="83"/>
      <c r="R122" s="83"/>
      <c r="S122" s="83"/>
      <c r="T122" s="83"/>
      <c r="U122" s="83"/>
      <c r="V122" s="83"/>
      <c r="W122" s="83"/>
      <c r="X122" s="83"/>
      <c r="Y122" s="83"/>
      <c r="Z122" s="83"/>
      <c r="AA122" s="83"/>
      <c r="AB122" s="83"/>
      <c r="AC122" s="83"/>
      <c r="AD122" s="83"/>
      <c r="AE122" s="83"/>
      <c r="AF122" s="83"/>
      <c r="AG122" s="83"/>
      <c r="AH122" s="83"/>
      <c r="AI122" s="83"/>
      <c r="AJ122" s="83"/>
      <c r="AK122" s="83"/>
      <c r="AL122" s="83"/>
      <c r="AM122" s="83"/>
      <c r="AN122" s="83"/>
      <c r="AO122" s="83"/>
      <c r="AP122" s="83"/>
      <c r="AQ122" s="83"/>
      <c r="AR122" s="83"/>
      <c r="AS122" s="83"/>
      <c r="AT122" s="83"/>
    </row>
    <row r="123" spans="1:46" ht="13.8">
      <c r="A123" s="83"/>
      <c r="B123" s="83"/>
      <c r="C123" s="83"/>
      <c r="D123" s="83"/>
      <c r="E123" s="82"/>
      <c r="F123" s="82"/>
      <c r="G123" s="83"/>
      <c r="H123" s="83"/>
      <c r="I123" s="83"/>
      <c r="J123" s="83"/>
      <c r="K123" s="83"/>
      <c r="L123" s="83"/>
      <c r="M123" s="83"/>
      <c r="N123" s="83"/>
      <c r="O123" s="83"/>
      <c r="P123" s="83"/>
      <c r="Q123" s="83"/>
      <c r="R123" s="83"/>
      <c r="S123" s="83"/>
      <c r="T123" s="83"/>
      <c r="U123" s="83"/>
      <c r="V123" s="83"/>
      <c r="W123" s="83"/>
      <c r="X123" s="83"/>
      <c r="Y123" s="83"/>
      <c r="Z123" s="83"/>
      <c r="AA123" s="83"/>
      <c r="AB123" s="83"/>
      <c r="AC123" s="83"/>
      <c r="AD123" s="83"/>
      <c r="AE123" s="83"/>
      <c r="AF123" s="83"/>
      <c r="AG123" s="83"/>
      <c r="AH123" s="83"/>
      <c r="AI123" s="83"/>
      <c r="AJ123" s="83"/>
      <c r="AK123" s="83"/>
      <c r="AL123" s="83"/>
      <c r="AM123" s="83"/>
      <c r="AN123" s="83"/>
      <c r="AO123" s="83"/>
      <c r="AP123" s="83"/>
      <c r="AQ123" s="83"/>
      <c r="AR123" s="83"/>
      <c r="AS123" s="83"/>
      <c r="AT123" s="83"/>
    </row>
    <row r="124" spans="1:46" ht="13.8">
      <c r="A124" s="83"/>
      <c r="B124" s="83"/>
      <c r="C124" s="83"/>
      <c r="D124" s="83"/>
      <c r="E124" s="82"/>
      <c r="F124" s="82"/>
      <c r="G124" s="83"/>
      <c r="H124" s="83"/>
      <c r="I124" s="83"/>
      <c r="J124" s="83"/>
      <c r="K124" s="83"/>
      <c r="L124" s="83"/>
      <c r="M124" s="83"/>
      <c r="N124" s="83"/>
      <c r="O124" s="83"/>
      <c r="P124" s="83"/>
      <c r="Q124" s="83"/>
      <c r="R124" s="83"/>
      <c r="S124" s="83"/>
      <c r="T124" s="83"/>
      <c r="U124" s="83"/>
      <c r="V124" s="83"/>
      <c r="W124" s="83"/>
      <c r="X124" s="83"/>
      <c r="Y124" s="83"/>
      <c r="Z124" s="83"/>
      <c r="AA124" s="83"/>
      <c r="AB124" s="83"/>
      <c r="AC124" s="83"/>
      <c r="AD124" s="83"/>
      <c r="AE124" s="83"/>
      <c r="AF124" s="83"/>
      <c r="AG124" s="83"/>
      <c r="AH124" s="83"/>
      <c r="AI124" s="83"/>
      <c r="AJ124" s="83"/>
      <c r="AK124" s="83"/>
      <c r="AL124" s="83"/>
      <c r="AM124" s="83"/>
      <c r="AN124" s="83"/>
      <c r="AO124" s="83"/>
      <c r="AP124" s="83"/>
      <c r="AQ124" s="83"/>
      <c r="AR124" s="83"/>
      <c r="AS124" s="83"/>
      <c r="AT124" s="83"/>
    </row>
    <row r="125" spans="1:46" ht="13.8">
      <c r="A125" s="83"/>
      <c r="B125" s="83"/>
      <c r="C125" s="83"/>
      <c r="D125" s="83"/>
      <c r="E125" s="82"/>
      <c r="F125" s="82"/>
      <c r="G125" s="83"/>
      <c r="H125" s="83"/>
      <c r="I125" s="83"/>
      <c r="J125" s="83"/>
      <c r="K125" s="83"/>
      <c r="L125" s="83"/>
      <c r="M125" s="83"/>
      <c r="N125" s="83"/>
      <c r="O125" s="83"/>
      <c r="P125" s="83"/>
      <c r="Q125" s="83"/>
      <c r="R125" s="83"/>
      <c r="S125" s="83"/>
      <c r="T125" s="83"/>
      <c r="U125" s="83"/>
      <c r="V125" s="83"/>
      <c r="W125" s="83"/>
      <c r="X125" s="83"/>
      <c r="Y125" s="83"/>
      <c r="Z125" s="83"/>
      <c r="AA125" s="83"/>
      <c r="AB125" s="83"/>
      <c r="AC125" s="83"/>
      <c r="AD125" s="83"/>
      <c r="AE125" s="83"/>
      <c r="AF125" s="83"/>
      <c r="AG125" s="83"/>
      <c r="AH125" s="83"/>
      <c r="AI125" s="83"/>
      <c r="AJ125" s="83"/>
      <c r="AK125" s="83"/>
      <c r="AL125" s="83"/>
      <c r="AM125" s="83"/>
      <c r="AN125" s="83"/>
      <c r="AO125" s="83"/>
      <c r="AP125" s="83"/>
      <c r="AQ125" s="83"/>
      <c r="AR125" s="83"/>
      <c r="AS125" s="83"/>
      <c r="AT125" s="83"/>
    </row>
    <row r="126" spans="1:46" ht="13.8">
      <c r="A126" s="83"/>
      <c r="B126" s="83"/>
      <c r="C126" s="83"/>
      <c r="D126" s="83"/>
      <c r="E126" s="82"/>
      <c r="F126" s="82"/>
      <c r="G126" s="83"/>
      <c r="H126" s="83"/>
      <c r="I126" s="83"/>
      <c r="J126" s="83"/>
      <c r="K126" s="83"/>
      <c r="L126" s="83"/>
      <c r="M126" s="83"/>
      <c r="N126" s="83"/>
      <c r="O126" s="83"/>
      <c r="P126" s="83"/>
      <c r="Q126" s="83"/>
      <c r="R126" s="83"/>
      <c r="S126" s="83"/>
      <c r="T126" s="83"/>
      <c r="U126" s="83"/>
      <c r="V126" s="83"/>
      <c r="W126" s="83"/>
      <c r="X126" s="83"/>
      <c r="Y126" s="83"/>
      <c r="Z126" s="83"/>
      <c r="AA126" s="83"/>
      <c r="AB126" s="83"/>
      <c r="AC126" s="83"/>
      <c r="AD126" s="83"/>
      <c r="AE126" s="83"/>
      <c r="AF126" s="83"/>
      <c r="AG126" s="83"/>
      <c r="AH126" s="83"/>
      <c r="AI126" s="83"/>
      <c r="AJ126" s="83"/>
      <c r="AK126" s="83"/>
      <c r="AL126" s="83"/>
      <c r="AM126" s="83"/>
      <c r="AN126" s="83"/>
      <c r="AO126" s="83"/>
      <c r="AP126" s="83"/>
      <c r="AQ126" s="83"/>
      <c r="AR126" s="83"/>
      <c r="AS126" s="83"/>
      <c r="AT126" s="83"/>
    </row>
    <row r="127" spans="1:46" ht="13.8">
      <c r="A127" s="83"/>
      <c r="B127" s="83"/>
      <c r="C127" s="83"/>
      <c r="D127" s="83"/>
      <c r="E127" s="82"/>
      <c r="F127" s="82"/>
      <c r="G127" s="83"/>
      <c r="H127" s="83"/>
      <c r="I127" s="83"/>
      <c r="J127" s="83"/>
      <c r="K127" s="83"/>
      <c r="L127" s="83"/>
      <c r="M127" s="83"/>
      <c r="N127" s="83"/>
      <c r="O127" s="83"/>
      <c r="P127" s="83"/>
      <c r="Q127" s="83"/>
      <c r="R127" s="83"/>
      <c r="S127" s="83"/>
      <c r="T127" s="83"/>
      <c r="U127" s="83"/>
      <c r="V127" s="83"/>
      <c r="W127" s="83"/>
      <c r="X127" s="83"/>
      <c r="Y127" s="83"/>
      <c r="Z127" s="83"/>
      <c r="AA127" s="83"/>
      <c r="AB127" s="83"/>
      <c r="AC127" s="83"/>
      <c r="AD127" s="83"/>
      <c r="AE127" s="83"/>
      <c r="AF127" s="83"/>
      <c r="AG127" s="83"/>
      <c r="AH127" s="83"/>
      <c r="AI127" s="83"/>
      <c r="AJ127" s="83"/>
      <c r="AK127" s="83"/>
      <c r="AL127" s="83"/>
      <c r="AM127" s="83"/>
      <c r="AN127" s="83"/>
      <c r="AO127" s="83"/>
      <c r="AP127" s="83"/>
      <c r="AQ127" s="83"/>
      <c r="AR127" s="83"/>
      <c r="AS127" s="83"/>
      <c r="AT127" s="83"/>
    </row>
    <row r="128" spans="1:46" ht="13.8">
      <c r="A128" s="83"/>
      <c r="B128" s="83"/>
      <c r="C128" s="83"/>
      <c r="D128" s="83"/>
      <c r="E128" s="82"/>
      <c r="F128" s="82"/>
      <c r="G128" s="83"/>
      <c r="H128" s="83"/>
      <c r="I128" s="83"/>
      <c r="J128" s="83"/>
      <c r="K128" s="83"/>
      <c r="L128" s="83"/>
      <c r="M128" s="83"/>
      <c r="N128" s="83"/>
      <c r="O128" s="83"/>
      <c r="P128" s="83"/>
      <c r="Q128" s="83"/>
      <c r="R128" s="83"/>
      <c r="S128" s="83"/>
      <c r="T128" s="83"/>
      <c r="U128" s="83"/>
      <c r="V128" s="83"/>
      <c r="W128" s="83"/>
      <c r="X128" s="83"/>
      <c r="Y128" s="83"/>
      <c r="Z128" s="83"/>
      <c r="AA128" s="83"/>
      <c r="AB128" s="83"/>
      <c r="AC128" s="83"/>
      <c r="AD128" s="83"/>
      <c r="AE128" s="83"/>
      <c r="AF128" s="83"/>
      <c r="AG128" s="83"/>
      <c r="AH128" s="83"/>
      <c r="AI128" s="83"/>
      <c r="AJ128" s="83"/>
      <c r="AK128" s="83"/>
      <c r="AL128" s="83"/>
      <c r="AM128" s="83"/>
      <c r="AN128" s="83"/>
      <c r="AO128" s="83"/>
      <c r="AP128" s="83"/>
      <c r="AQ128" s="83"/>
      <c r="AR128" s="83"/>
      <c r="AS128" s="83"/>
      <c r="AT128" s="83"/>
    </row>
    <row r="129" spans="1:46" ht="13.8">
      <c r="A129" s="83"/>
      <c r="B129" s="83"/>
      <c r="C129" s="83"/>
      <c r="D129" s="83"/>
      <c r="E129" s="82"/>
      <c r="F129" s="82"/>
      <c r="G129" s="83"/>
      <c r="H129" s="83"/>
      <c r="I129" s="83"/>
      <c r="J129" s="83"/>
      <c r="K129" s="83"/>
      <c r="L129" s="83"/>
      <c r="M129" s="83"/>
      <c r="N129" s="83"/>
      <c r="O129" s="83"/>
      <c r="P129" s="83"/>
      <c r="Q129" s="83"/>
      <c r="R129" s="83"/>
      <c r="S129" s="83"/>
      <c r="T129" s="83"/>
      <c r="U129" s="83"/>
      <c r="V129" s="83"/>
      <c r="W129" s="83"/>
      <c r="X129" s="83"/>
      <c r="Y129" s="83"/>
      <c r="Z129" s="83"/>
      <c r="AA129" s="83"/>
      <c r="AB129" s="83"/>
      <c r="AC129" s="83"/>
      <c r="AD129" s="83"/>
      <c r="AE129" s="83"/>
      <c r="AF129" s="83"/>
      <c r="AG129" s="83"/>
      <c r="AH129" s="83"/>
      <c r="AI129" s="83"/>
      <c r="AJ129" s="83"/>
      <c r="AK129" s="83"/>
      <c r="AL129" s="83"/>
      <c r="AM129" s="83"/>
      <c r="AN129" s="83"/>
      <c r="AO129" s="83"/>
      <c r="AP129" s="83"/>
      <c r="AQ129" s="83"/>
      <c r="AR129" s="83"/>
      <c r="AS129" s="83"/>
      <c r="AT129" s="83"/>
    </row>
    <row r="130" spans="1:46" ht="13.8">
      <c r="A130" s="83"/>
      <c r="B130" s="83"/>
      <c r="C130" s="83"/>
      <c r="D130" s="83"/>
      <c r="E130" s="82"/>
      <c r="F130" s="82"/>
      <c r="G130" s="83"/>
      <c r="H130" s="83"/>
      <c r="I130" s="83"/>
      <c r="J130" s="83"/>
      <c r="K130" s="83"/>
      <c r="L130" s="83"/>
      <c r="M130" s="83"/>
      <c r="N130" s="83"/>
      <c r="O130" s="83"/>
      <c r="P130" s="83"/>
      <c r="Q130" s="83"/>
      <c r="R130" s="83"/>
      <c r="S130" s="83"/>
      <c r="T130" s="83"/>
      <c r="U130" s="83"/>
      <c r="V130" s="83"/>
      <c r="W130" s="83"/>
      <c r="X130" s="83"/>
      <c r="Y130" s="83"/>
      <c r="Z130" s="83"/>
      <c r="AA130" s="83"/>
      <c r="AB130" s="83"/>
      <c r="AC130" s="83"/>
      <c r="AD130" s="83"/>
      <c r="AE130" s="83"/>
      <c r="AF130" s="83"/>
      <c r="AG130" s="83"/>
      <c r="AH130" s="83"/>
      <c r="AI130" s="83"/>
      <c r="AJ130" s="83"/>
      <c r="AK130" s="83"/>
      <c r="AL130" s="83"/>
      <c r="AM130" s="83"/>
      <c r="AN130" s="83"/>
      <c r="AO130" s="83"/>
      <c r="AP130" s="83"/>
      <c r="AQ130" s="83"/>
      <c r="AR130" s="83"/>
      <c r="AS130" s="83"/>
      <c r="AT130" s="83"/>
    </row>
    <row r="131" spans="1:46" ht="13.8">
      <c r="A131" s="83"/>
      <c r="B131" s="83"/>
      <c r="C131" s="83"/>
      <c r="D131" s="83"/>
      <c r="E131" s="82"/>
      <c r="F131" s="82"/>
      <c r="G131" s="83"/>
      <c r="H131" s="83"/>
      <c r="I131" s="83"/>
      <c r="J131" s="83"/>
      <c r="K131" s="83"/>
      <c r="L131" s="83"/>
      <c r="M131" s="83"/>
      <c r="N131" s="83"/>
      <c r="O131" s="83"/>
      <c r="P131" s="83"/>
      <c r="Q131" s="83"/>
      <c r="R131" s="83"/>
      <c r="S131" s="83"/>
      <c r="T131" s="83"/>
      <c r="U131" s="83"/>
      <c r="V131" s="83"/>
      <c r="W131" s="83"/>
      <c r="X131" s="83"/>
      <c r="Y131" s="83"/>
      <c r="Z131" s="83"/>
      <c r="AA131" s="83"/>
      <c r="AB131" s="83"/>
      <c r="AC131" s="83"/>
      <c r="AD131" s="83"/>
      <c r="AE131" s="83"/>
      <c r="AF131" s="83"/>
      <c r="AG131" s="83"/>
      <c r="AH131" s="83"/>
      <c r="AI131" s="83"/>
      <c r="AJ131" s="83"/>
      <c r="AK131" s="83"/>
      <c r="AL131" s="83"/>
      <c r="AM131" s="83"/>
      <c r="AN131" s="83"/>
      <c r="AO131" s="83"/>
      <c r="AP131" s="83"/>
      <c r="AQ131" s="83"/>
      <c r="AR131" s="83"/>
      <c r="AS131" s="83"/>
      <c r="AT131" s="83"/>
    </row>
    <row r="132" spans="1:46" ht="13.8">
      <c r="A132" s="83"/>
      <c r="B132" s="83"/>
      <c r="C132" s="83"/>
      <c r="D132" s="83"/>
      <c r="E132" s="82"/>
      <c r="F132" s="82"/>
      <c r="G132" s="83"/>
      <c r="H132" s="83"/>
      <c r="I132" s="83"/>
      <c r="J132" s="83"/>
      <c r="K132" s="83"/>
      <c r="L132" s="83"/>
      <c r="M132" s="83"/>
      <c r="N132" s="83"/>
      <c r="O132" s="83"/>
      <c r="P132" s="83"/>
      <c r="Q132" s="83"/>
      <c r="R132" s="83"/>
      <c r="S132" s="83"/>
      <c r="T132" s="83"/>
      <c r="U132" s="83"/>
      <c r="V132" s="83"/>
      <c r="W132" s="83"/>
      <c r="X132" s="83"/>
      <c r="Y132" s="83"/>
      <c r="Z132" s="83"/>
      <c r="AA132" s="83"/>
      <c r="AB132" s="83"/>
      <c r="AC132" s="83"/>
      <c r="AD132" s="83"/>
      <c r="AE132" s="83"/>
      <c r="AF132" s="83"/>
      <c r="AG132" s="83"/>
      <c r="AH132" s="83"/>
      <c r="AI132" s="83"/>
      <c r="AJ132" s="83"/>
      <c r="AK132" s="83"/>
      <c r="AL132" s="83"/>
      <c r="AM132" s="83"/>
      <c r="AN132" s="83"/>
      <c r="AO132" s="83"/>
      <c r="AP132" s="83"/>
      <c r="AQ132" s="83"/>
      <c r="AR132" s="83"/>
      <c r="AS132" s="83"/>
      <c r="AT132" s="83"/>
    </row>
    <row r="133" spans="1:46" ht="13.8">
      <c r="A133" s="83"/>
      <c r="B133" s="83"/>
      <c r="C133" s="83"/>
      <c r="D133" s="83"/>
      <c r="E133" s="82"/>
      <c r="F133" s="82"/>
      <c r="G133" s="83"/>
      <c r="H133" s="83"/>
      <c r="I133" s="83"/>
      <c r="J133" s="83"/>
      <c r="K133" s="83"/>
      <c r="L133" s="83"/>
      <c r="M133" s="83"/>
      <c r="N133" s="83"/>
      <c r="O133" s="83"/>
      <c r="P133" s="83"/>
      <c r="Q133" s="83"/>
      <c r="R133" s="83"/>
      <c r="S133" s="83"/>
      <c r="T133" s="83"/>
      <c r="U133" s="83"/>
      <c r="V133" s="83"/>
      <c r="W133" s="83"/>
      <c r="X133" s="83"/>
      <c r="Y133" s="83"/>
      <c r="Z133" s="83"/>
      <c r="AA133" s="83"/>
      <c r="AB133" s="83"/>
      <c r="AC133" s="83"/>
      <c r="AD133" s="83"/>
      <c r="AE133" s="83"/>
      <c r="AF133" s="83"/>
      <c r="AG133" s="83"/>
      <c r="AH133" s="83"/>
      <c r="AI133" s="83"/>
      <c r="AJ133" s="83"/>
      <c r="AK133" s="83"/>
      <c r="AL133" s="83"/>
      <c r="AM133" s="83"/>
      <c r="AN133" s="83"/>
      <c r="AO133" s="83"/>
      <c r="AP133" s="83"/>
      <c r="AQ133" s="83"/>
      <c r="AR133" s="83"/>
      <c r="AS133" s="83"/>
      <c r="AT133" s="83"/>
    </row>
    <row r="134" spans="1:46" ht="13.8">
      <c r="A134" s="83"/>
      <c r="B134" s="83"/>
      <c r="C134" s="83"/>
      <c r="D134" s="83"/>
      <c r="E134" s="82"/>
      <c r="F134" s="82"/>
      <c r="G134" s="83"/>
      <c r="H134" s="83"/>
      <c r="I134" s="83"/>
      <c r="J134" s="83"/>
      <c r="K134" s="83"/>
      <c r="L134" s="83"/>
      <c r="M134" s="83"/>
      <c r="N134" s="83"/>
      <c r="O134" s="83"/>
      <c r="P134" s="83"/>
      <c r="Q134" s="83"/>
      <c r="R134" s="83"/>
      <c r="S134" s="83"/>
      <c r="T134" s="83"/>
      <c r="U134" s="83"/>
      <c r="V134" s="83"/>
      <c r="W134" s="83"/>
      <c r="X134" s="83"/>
      <c r="Y134" s="83"/>
      <c r="Z134" s="83"/>
      <c r="AA134" s="83"/>
      <c r="AB134" s="83"/>
      <c r="AC134" s="83"/>
      <c r="AD134" s="83"/>
      <c r="AE134" s="83"/>
      <c r="AF134" s="83"/>
      <c r="AG134" s="83"/>
      <c r="AH134" s="83"/>
      <c r="AI134" s="83"/>
      <c r="AJ134" s="83"/>
      <c r="AK134" s="83"/>
      <c r="AL134" s="83"/>
      <c r="AM134" s="83"/>
      <c r="AN134" s="83"/>
      <c r="AO134" s="83"/>
      <c r="AP134" s="83"/>
      <c r="AQ134" s="83"/>
      <c r="AR134" s="83"/>
      <c r="AS134" s="83"/>
      <c r="AT134" s="83"/>
    </row>
    <row r="135" spans="1:46" ht="13.8">
      <c r="A135" s="83"/>
      <c r="B135" s="83"/>
      <c r="C135" s="83"/>
      <c r="D135" s="83"/>
      <c r="E135" s="82"/>
      <c r="F135" s="82"/>
      <c r="G135" s="83"/>
      <c r="H135" s="83"/>
      <c r="I135" s="83"/>
      <c r="J135" s="83"/>
      <c r="K135" s="83"/>
      <c r="L135" s="83"/>
      <c r="M135" s="83"/>
      <c r="N135" s="83"/>
      <c r="O135" s="83"/>
      <c r="P135" s="83"/>
      <c r="Q135" s="83"/>
      <c r="R135" s="83"/>
      <c r="S135" s="83"/>
      <c r="T135" s="83"/>
      <c r="U135" s="83"/>
      <c r="V135" s="83"/>
      <c r="W135" s="83"/>
      <c r="X135" s="83"/>
      <c r="Y135" s="83"/>
      <c r="Z135" s="83"/>
      <c r="AA135" s="83"/>
      <c r="AB135" s="83"/>
      <c r="AC135" s="83"/>
      <c r="AD135" s="83"/>
      <c r="AE135" s="83"/>
      <c r="AF135" s="83"/>
      <c r="AG135" s="83"/>
      <c r="AH135" s="83"/>
      <c r="AI135" s="83"/>
      <c r="AJ135" s="83"/>
      <c r="AK135" s="83"/>
      <c r="AL135" s="83"/>
      <c r="AM135" s="83"/>
      <c r="AN135" s="83"/>
      <c r="AO135" s="83"/>
      <c r="AP135" s="83"/>
      <c r="AQ135" s="83"/>
      <c r="AR135" s="83"/>
      <c r="AS135" s="83"/>
      <c r="AT135" s="83"/>
    </row>
    <row r="136" spans="1:46" ht="13.8">
      <c r="A136" s="83"/>
      <c r="B136" s="83"/>
      <c r="C136" s="83"/>
      <c r="D136" s="83"/>
      <c r="E136" s="82"/>
      <c r="F136" s="82"/>
      <c r="G136" s="83"/>
      <c r="H136" s="83"/>
      <c r="I136" s="83"/>
      <c r="J136" s="83"/>
      <c r="K136" s="83"/>
      <c r="L136" s="83"/>
      <c r="M136" s="83"/>
      <c r="N136" s="83"/>
      <c r="O136" s="83"/>
      <c r="P136" s="83"/>
      <c r="Q136" s="83"/>
      <c r="R136" s="83"/>
      <c r="S136" s="83"/>
      <c r="T136" s="83"/>
      <c r="U136" s="83"/>
      <c r="V136" s="83"/>
      <c r="W136" s="83"/>
      <c r="X136" s="83"/>
      <c r="Y136" s="83"/>
      <c r="Z136" s="83"/>
      <c r="AA136" s="83"/>
      <c r="AB136" s="83"/>
      <c r="AC136" s="83"/>
      <c r="AD136" s="83"/>
      <c r="AE136" s="83"/>
      <c r="AF136" s="83"/>
      <c r="AG136" s="83"/>
      <c r="AH136" s="83"/>
      <c r="AI136" s="83"/>
      <c r="AJ136" s="83"/>
      <c r="AK136" s="83"/>
      <c r="AL136" s="83"/>
      <c r="AM136" s="83"/>
      <c r="AN136" s="83"/>
      <c r="AO136" s="83"/>
      <c r="AP136" s="83"/>
      <c r="AQ136" s="83"/>
      <c r="AR136" s="83"/>
      <c r="AS136" s="83"/>
      <c r="AT136" s="83"/>
    </row>
    <row r="137" spans="1:46" ht="13.8">
      <c r="A137" s="83"/>
      <c r="B137" s="83"/>
      <c r="C137" s="83"/>
      <c r="D137" s="83"/>
      <c r="E137" s="82"/>
      <c r="F137" s="82"/>
      <c r="G137" s="83"/>
      <c r="H137" s="83"/>
      <c r="I137" s="83"/>
      <c r="J137" s="83"/>
      <c r="K137" s="83"/>
      <c r="L137" s="83"/>
      <c r="M137" s="83"/>
      <c r="N137" s="83"/>
      <c r="O137" s="83"/>
      <c r="P137" s="83"/>
      <c r="Q137" s="83"/>
      <c r="R137" s="83"/>
      <c r="S137" s="83"/>
      <c r="T137" s="83"/>
      <c r="U137" s="83"/>
      <c r="V137" s="83"/>
      <c r="W137" s="83"/>
      <c r="X137" s="83"/>
      <c r="Y137" s="83"/>
      <c r="Z137" s="83"/>
      <c r="AA137" s="83"/>
      <c r="AB137" s="83"/>
      <c r="AC137" s="83"/>
      <c r="AD137" s="83"/>
      <c r="AE137" s="83"/>
      <c r="AF137" s="83"/>
      <c r="AG137" s="83"/>
      <c r="AH137" s="83"/>
      <c r="AI137" s="83"/>
      <c r="AJ137" s="83"/>
      <c r="AK137" s="83"/>
      <c r="AL137" s="83"/>
      <c r="AM137" s="83"/>
      <c r="AN137" s="83"/>
      <c r="AO137" s="83"/>
      <c r="AP137" s="83"/>
      <c r="AQ137" s="83"/>
      <c r="AR137" s="83"/>
      <c r="AS137" s="83"/>
      <c r="AT137" s="83"/>
    </row>
    <row r="138" spans="1:46" ht="13.8">
      <c r="A138" s="83"/>
      <c r="B138" s="83"/>
      <c r="C138" s="83"/>
      <c r="D138" s="83"/>
      <c r="E138" s="82"/>
      <c r="F138" s="82"/>
      <c r="G138" s="83"/>
      <c r="H138" s="83"/>
      <c r="I138" s="83"/>
      <c r="J138" s="83"/>
      <c r="K138" s="83"/>
      <c r="L138" s="83"/>
      <c r="M138" s="83"/>
      <c r="N138" s="83"/>
      <c r="O138" s="83"/>
      <c r="P138" s="83"/>
      <c r="Q138" s="83"/>
      <c r="R138" s="83"/>
      <c r="S138" s="83"/>
      <c r="T138" s="83"/>
      <c r="U138" s="83"/>
      <c r="V138" s="83"/>
      <c r="W138" s="83"/>
      <c r="X138" s="83"/>
      <c r="Y138" s="83"/>
      <c r="Z138" s="83"/>
      <c r="AA138" s="83"/>
      <c r="AB138" s="83"/>
      <c r="AC138" s="83"/>
      <c r="AD138" s="83"/>
      <c r="AE138" s="83"/>
      <c r="AF138" s="83"/>
      <c r="AG138" s="83"/>
      <c r="AH138" s="83"/>
      <c r="AI138" s="83"/>
      <c r="AJ138" s="83"/>
      <c r="AK138" s="83"/>
      <c r="AL138" s="83"/>
      <c r="AM138" s="83"/>
      <c r="AN138" s="83"/>
      <c r="AO138" s="83"/>
      <c r="AP138" s="83"/>
      <c r="AQ138" s="83"/>
      <c r="AR138" s="83"/>
      <c r="AS138" s="83"/>
      <c r="AT138" s="83"/>
    </row>
    <row r="139" spans="1:46" ht="13.8">
      <c r="A139" s="83"/>
      <c r="B139" s="83"/>
      <c r="C139" s="83"/>
      <c r="D139" s="83"/>
      <c r="E139" s="82"/>
      <c r="F139" s="82"/>
      <c r="G139" s="83"/>
      <c r="H139" s="83"/>
      <c r="I139" s="83"/>
      <c r="J139" s="83"/>
      <c r="K139" s="83"/>
      <c r="L139" s="83"/>
      <c r="M139" s="83"/>
      <c r="N139" s="83"/>
      <c r="O139" s="83"/>
      <c r="P139" s="83"/>
      <c r="Q139" s="83"/>
      <c r="R139" s="83"/>
      <c r="S139" s="83"/>
      <c r="T139" s="83"/>
      <c r="U139" s="83"/>
      <c r="V139" s="83"/>
      <c r="W139" s="83"/>
      <c r="X139" s="83"/>
      <c r="Y139" s="83"/>
      <c r="Z139" s="83"/>
      <c r="AA139" s="83"/>
      <c r="AB139" s="83"/>
      <c r="AC139" s="83"/>
      <c r="AD139" s="83"/>
      <c r="AE139" s="83"/>
      <c r="AF139" s="83"/>
      <c r="AG139" s="83"/>
      <c r="AH139" s="83"/>
      <c r="AI139" s="83"/>
      <c r="AJ139" s="83"/>
      <c r="AK139" s="83"/>
      <c r="AL139" s="83"/>
      <c r="AM139" s="83"/>
      <c r="AN139" s="83"/>
      <c r="AO139" s="83"/>
      <c r="AP139" s="83"/>
      <c r="AQ139" s="83"/>
      <c r="AR139" s="83"/>
      <c r="AS139" s="83"/>
      <c r="AT139" s="83"/>
    </row>
    <row r="140" spans="1:46" ht="13.8">
      <c r="A140" s="83"/>
      <c r="B140" s="83"/>
      <c r="C140" s="83"/>
      <c r="D140" s="83"/>
      <c r="E140" s="82"/>
      <c r="F140" s="82"/>
      <c r="G140" s="83"/>
      <c r="H140" s="83"/>
      <c r="I140" s="83"/>
      <c r="J140" s="83"/>
      <c r="K140" s="83"/>
      <c r="L140" s="83"/>
      <c r="M140" s="83"/>
      <c r="N140" s="83"/>
      <c r="O140" s="83"/>
      <c r="P140" s="83"/>
      <c r="Q140" s="83"/>
      <c r="R140" s="83"/>
      <c r="S140" s="83"/>
      <c r="T140" s="83"/>
      <c r="U140" s="83"/>
      <c r="V140" s="83"/>
      <c r="W140" s="83"/>
      <c r="X140" s="83"/>
      <c r="Y140" s="83"/>
      <c r="Z140" s="83"/>
      <c r="AA140" s="83"/>
      <c r="AB140" s="83"/>
      <c r="AC140" s="83"/>
      <c r="AD140" s="83"/>
      <c r="AE140" s="83"/>
      <c r="AF140" s="83"/>
      <c r="AG140" s="83"/>
      <c r="AH140" s="83"/>
      <c r="AI140" s="83"/>
      <c r="AJ140" s="83"/>
      <c r="AK140" s="83"/>
      <c r="AL140" s="83"/>
      <c r="AM140" s="83"/>
      <c r="AN140" s="83"/>
      <c r="AO140" s="83"/>
      <c r="AP140" s="83"/>
      <c r="AQ140" s="83"/>
      <c r="AR140" s="83"/>
      <c r="AS140" s="83"/>
      <c r="AT140" s="83"/>
    </row>
    <row r="141" spans="1:46" ht="13.8">
      <c r="A141" s="83"/>
      <c r="B141" s="83"/>
      <c r="C141" s="83"/>
      <c r="D141" s="83"/>
      <c r="E141" s="82"/>
      <c r="F141" s="82"/>
      <c r="G141" s="83"/>
      <c r="H141" s="83"/>
      <c r="I141" s="83"/>
      <c r="J141" s="83"/>
      <c r="K141" s="83"/>
      <c r="L141" s="83"/>
      <c r="M141" s="83"/>
      <c r="N141" s="83"/>
      <c r="O141" s="83"/>
      <c r="P141" s="83"/>
      <c r="Q141" s="83"/>
      <c r="R141" s="83"/>
      <c r="S141" s="83"/>
      <c r="T141" s="83"/>
      <c r="U141" s="83"/>
      <c r="V141" s="83"/>
      <c r="W141" s="83"/>
      <c r="X141" s="83"/>
      <c r="Y141" s="83"/>
      <c r="Z141" s="83"/>
      <c r="AA141" s="83"/>
      <c r="AB141" s="83"/>
      <c r="AC141" s="83"/>
      <c r="AD141" s="83"/>
      <c r="AE141" s="83"/>
      <c r="AF141" s="83"/>
      <c r="AG141" s="83"/>
      <c r="AH141" s="83"/>
      <c r="AI141" s="83"/>
      <c r="AJ141" s="83"/>
      <c r="AK141" s="83"/>
      <c r="AL141" s="83"/>
      <c r="AM141" s="83"/>
      <c r="AN141" s="83"/>
      <c r="AO141" s="83"/>
      <c r="AP141" s="83"/>
      <c r="AQ141" s="83"/>
      <c r="AR141" s="83"/>
      <c r="AS141" s="83"/>
      <c r="AT141" s="83"/>
    </row>
    <row r="142" spans="1:46" ht="13.8">
      <c r="A142" s="83"/>
      <c r="B142" s="83"/>
      <c r="C142" s="83"/>
      <c r="D142" s="83"/>
      <c r="E142" s="82"/>
      <c r="F142" s="82"/>
      <c r="G142" s="83"/>
      <c r="H142" s="83"/>
      <c r="I142" s="83"/>
      <c r="J142" s="83"/>
      <c r="K142" s="83"/>
      <c r="L142" s="83"/>
      <c r="M142" s="83"/>
      <c r="N142" s="83"/>
      <c r="O142" s="83"/>
      <c r="P142" s="83"/>
      <c r="Q142" s="83"/>
      <c r="R142" s="83"/>
      <c r="S142" s="83"/>
      <c r="T142" s="83"/>
      <c r="U142" s="83"/>
      <c r="V142" s="83"/>
      <c r="W142" s="83"/>
      <c r="X142" s="83"/>
      <c r="Y142" s="83"/>
      <c r="Z142" s="83"/>
      <c r="AA142" s="83"/>
      <c r="AB142" s="83"/>
      <c r="AC142" s="83"/>
      <c r="AD142" s="83"/>
      <c r="AE142" s="83"/>
      <c r="AF142" s="83"/>
      <c r="AG142" s="83"/>
      <c r="AH142" s="83"/>
      <c r="AI142" s="83"/>
      <c r="AJ142" s="83"/>
      <c r="AK142" s="83"/>
      <c r="AL142" s="83"/>
      <c r="AM142" s="83"/>
      <c r="AN142" s="83"/>
      <c r="AO142" s="83"/>
      <c r="AP142" s="83"/>
      <c r="AQ142" s="83"/>
      <c r="AR142" s="83"/>
      <c r="AS142" s="83"/>
      <c r="AT142" s="83"/>
    </row>
    <row r="143" spans="1:46" ht="13.8">
      <c r="A143" s="83"/>
      <c r="B143" s="83"/>
      <c r="C143" s="83"/>
      <c r="D143" s="83"/>
      <c r="E143" s="82"/>
      <c r="F143" s="82"/>
      <c r="G143" s="83"/>
      <c r="H143" s="83"/>
      <c r="I143" s="83"/>
      <c r="J143" s="83"/>
      <c r="K143" s="83"/>
      <c r="L143" s="83"/>
      <c r="M143" s="83"/>
      <c r="N143" s="83"/>
      <c r="O143" s="83"/>
      <c r="P143" s="83"/>
      <c r="Q143" s="83"/>
      <c r="R143" s="83"/>
      <c r="S143" s="83"/>
      <c r="T143" s="83"/>
      <c r="U143" s="83"/>
      <c r="V143" s="83"/>
      <c r="W143" s="83"/>
      <c r="X143" s="83"/>
      <c r="Y143" s="83"/>
      <c r="Z143" s="83"/>
      <c r="AA143" s="83"/>
      <c r="AB143" s="83"/>
      <c r="AC143" s="83"/>
      <c r="AD143" s="83"/>
      <c r="AE143" s="83"/>
      <c r="AF143" s="83"/>
      <c r="AG143" s="83"/>
      <c r="AH143" s="83"/>
      <c r="AI143" s="83"/>
      <c r="AJ143" s="83"/>
      <c r="AK143" s="83"/>
      <c r="AL143" s="83"/>
      <c r="AM143" s="83"/>
      <c r="AN143" s="83"/>
      <c r="AO143" s="83"/>
      <c r="AP143" s="83"/>
      <c r="AQ143" s="83"/>
      <c r="AR143" s="83"/>
      <c r="AS143" s="83"/>
      <c r="AT143" s="83"/>
    </row>
    <row r="144" spans="1:46" ht="13.8">
      <c r="A144" s="83"/>
      <c r="B144" s="83"/>
      <c r="C144" s="83"/>
      <c r="D144" s="83"/>
      <c r="E144" s="82"/>
      <c r="F144" s="82"/>
      <c r="G144" s="83"/>
      <c r="H144" s="83"/>
      <c r="I144" s="83"/>
      <c r="J144" s="83"/>
      <c r="K144" s="83"/>
      <c r="L144" s="83"/>
      <c r="M144" s="83"/>
      <c r="N144" s="83"/>
      <c r="O144" s="83"/>
      <c r="P144" s="83"/>
      <c r="Q144" s="83"/>
      <c r="R144" s="83"/>
      <c r="S144" s="83"/>
      <c r="T144" s="83"/>
      <c r="U144" s="83"/>
      <c r="V144" s="83"/>
      <c r="W144" s="83"/>
      <c r="X144" s="83"/>
      <c r="Y144" s="83"/>
      <c r="Z144" s="83"/>
      <c r="AA144" s="83"/>
      <c r="AB144" s="83"/>
      <c r="AC144" s="83"/>
      <c r="AD144" s="83"/>
      <c r="AE144" s="83"/>
      <c r="AF144" s="83"/>
      <c r="AG144" s="83"/>
      <c r="AH144" s="83"/>
      <c r="AI144" s="83"/>
      <c r="AJ144" s="83"/>
      <c r="AK144" s="83"/>
      <c r="AL144" s="83"/>
      <c r="AM144" s="83"/>
      <c r="AN144" s="83"/>
      <c r="AO144" s="83"/>
      <c r="AP144" s="83"/>
      <c r="AQ144" s="83"/>
      <c r="AR144" s="83"/>
      <c r="AS144" s="83"/>
      <c r="AT144" s="83"/>
    </row>
    <row r="145" spans="1:46" ht="13.8">
      <c r="A145" s="83"/>
      <c r="B145" s="83"/>
      <c r="C145" s="83"/>
      <c r="D145" s="83"/>
      <c r="E145" s="82"/>
      <c r="F145" s="82"/>
      <c r="G145" s="83"/>
      <c r="H145" s="83"/>
      <c r="I145" s="83"/>
      <c r="J145" s="83"/>
      <c r="K145" s="83"/>
      <c r="L145" s="83"/>
      <c r="M145" s="83"/>
      <c r="N145" s="83"/>
      <c r="O145" s="83"/>
      <c r="P145" s="83"/>
      <c r="Q145" s="83"/>
      <c r="R145" s="83"/>
      <c r="S145" s="83"/>
      <c r="T145" s="83"/>
      <c r="U145" s="83"/>
      <c r="V145" s="83"/>
      <c r="W145" s="83"/>
      <c r="X145" s="83"/>
      <c r="Y145" s="83"/>
      <c r="Z145" s="83"/>
      <c r="AA145" s="83"/>
      <c r="AB145" s="83"/>
      <c r="AC145" s="83"/>
      <c r="AD145" s="83"/>
      <c r="AE145" s="83"/>
      <c r="AF145" s="83"/>
      <c r="AG145" s="83"/>
      <c r="AH145" s="83"/>
      <c r="AI145" s="83"/>
      <c r="AJ145" s="83"/>
      <c r="AK145" s="83"/>
      <c r="AL145" s="83"/>
      <c r="AM145" s="83"/>
      <c r="AN145" s="83"/>
      <c r="AO145" s="83"/>
      <c r="AP145" s="83"/>
      <c r="AQ145" s="83"/>
      <c r="AR145" s="83"/>
      <c r="AS145" s="83"/>
      <c r="AT145" s="83"/>
    </row>
    <row r="146" spans="1:46" ht="13.8">
      <c r="A146" s="83"/>
      <c r="B146" s="83"/>
      <c r="C146" s="83"/>
      <c r="D146" s="83"/>
      <c r="E146" s="82"/>
      <c r="F146" s="82"/>
      <c r="G146" s="83"/>
      <c r="H146" s="83"/>
      <c r="I146" s="83"/>
      <c r="J146" s="83"/>
      <c r="K146" s="83"/>
      <c r="L146" s="83"/>
      <c r="M146" s="83"/>
      <c r="N146" s="83"/>
      <c r="O146" s="83"/>
      <c r="P146" s="83"/>
      <c r="Q146" s="83"/>
      <c r="R146" s="83"/>
      <c r="S146" s="83"/>
      <c r="T146" s="83"/>
      <c r="U146" s="83"/>
      <c r="V146" s="83"/>
      <c r="W146" s="83"/>
      <c r="X146" s="83"/>
      <c r="Y146" s="83"/>
      <c r="Z146" s="83"/>
      <c r="AA146" s="83"/>
      <c r="AB146" s="83"/>
      <c r="AC146" s="83"/>
      <c r="AD146" s="83"/>
      <c r="AE146" s="83"/>
      <c r="AF146" s="83"/>
      <c r="AG146" s="83"/>
      <c r="AH146" s="83"/>
      <c r="AI146" s="83"/>
      <c r="AJ146" s="83"/>
      <c r="AK146" s="83"/>
      <c r="AL146" s="83"/>
      <c r="AM146" s="83"/>
      <c r="AN146" s="83"/>
      <c r="AO146" s="83"/>
      <c r="AP146" s="83"/>
      <c r="AQ146" s="83"/>
      <c r="AR146" s="83"/>
      <c r="AS146" s="83"/>
      <c r="AT146" s="83"/>
    </row>
    <row r="147" spans="1:46" ht="13.8">
      <c r="A147" s="83"/>
      <c r="B147" s="83"/>
      <c r="C147" s="83"/>
      <c r="D147" s="83"/>
      <c r="E147" s="82"/>
      <c r="F147" s="82"/>
      <c r="G147" s="83"/>
      <c r="H147" s="83"/>
      <c r="I147" s="83"/>
      <c r="J147" s="83"/>
      <c r="K147" s="83"/>
      <c r="L147" s="83"/>
      <c r="M147" s="83"/>
      <c r="N147" s="83"/>
      <c r="O147" s="83"/>
      <c r="P147" s="83"/>
      <c r="Q147" s="83"/>
      <c r="R147" s="83"/>
      <c r="S147" s="83"/>
      <c r="T147" s="83"/>
      <c r="U147" s="83"/>
      <c r="V147" s="83"/>
      <c r="W147" s="83"/>
      <c r="X147" s="83"/>
      <c r="Y147" s="83"/>
      <c r="Z147" s="83"/>
      <c r="AA147" s="83"/>
      <c r="AB147" s="83"/>
      <c r="AC147" s="83"/>
      <c r="AD147" s="83"/>
      <c r="AE147" s="83"/>
      <c r="AF147" s="83"/>
      <c r="AG147" s="83"/>
      <c r="AH147" s="83"/>
      <c r="AI147" s="83"/>
      <c r="AJ147" s="83"/>
      <c r="AK147" s="83"/>
      <c r="AL147" s="83"/>
      <c r="AM147" s="83"/>
      <c r="AN147" s="83"/>
      <c r="AO147" s="83"/>
      <c r="AP147" s="83"/>
      <c r="AQ147" s="83"/>
      <c r="AR147" s="83"/>
      <c r="AS147" s="83"/>
      <c r="AT147" s="83"/>
    </row>
    <row r="148" spans="1:46" ht="13.8">
      <c r="A148" s="83"/>
      <c r="B148" s="83"/>
      <c r="C148" s="83"/>
      <c r="D148" s="83"/>
      <c r="E148" s="82"/>
      <c r="F148" s="82"/>
      <c r="G148" s="83"/>
      <c r="H148" s="83"/>
      <c r="I148" s="83"/>
      <c r="J148" s="83"/>
      <c r="K148" s="83"/>
      <c r="L148" s="83"/>
      <c r="M148" s="83"/>
      <c r="N148" s="83"/>
      <c r="O148" s="83"/>
      <c r="P148" s="83"/>
      <c r="Q148" s="83"/>
      <c r="R148" s="83"/>
      <c r="S148" s="83"/>
      <c r="T148" s="83"/>
      <c r="U148" s="83"/>
      <c r="V148" s="83"/>
      <c r="W148" s="83"/>
      <c r="X148" s="83"/>
      <c r="Y148" s="83"/>
      <c r="Z148" s="83"/>
      <c r="AA148" s="83"/>
      <c r="AB148" s="83"/>
      <c r="AC148" s="83"/>
      <c r="AD148" s="83"/>
      <c r="AE148" s="83"/>
      <c r="AF148" s="83"/>
      <c r="AG148" s="83"/>
      <c r="AH148" s="83"/>
      <c r="AI148" s="83"/>
      <c r="AJ148" s="83"/>
      <c r="AK148" s="83"/>
      <c r="AL148" s="83"/>
      <c r="AM148" s="83"/>
      <c r="AN148" s="83"/>
      <c r="AO148" s="83"/>
      <c r="AP148" s="83"/>
      <c r="AQ148" s="83"/>
      <c r="AR148" s="83"/>
      <c r="AS148" s="83"/>
      <c r="AT148" s="83"/>
    </row>
    <row r="149" spans="1:46" ht="13.8">
      <c r="A149" s="83"/>
      <c r="B149" s="83"/>
      <c r="C149" s="83"/>
      <c r="D149" s="83"/>
      <c r="E149" s="82"/>
      <c r="F149" s="82"/>
      <c r="G149" s="83"/>
      <c r="H149" s="83"/>
      <c r="I149" s="83"/>
      <c r="J149" s="83"/>
      <c r="K149" s="83"/>
      <c r="L149" s="83"/>
      <c r="M149" s="83"/>
      <c r="N149" s="83"/>
      <c r="O149" s="83"/>
      <c r="P149" s="83"/>
      <c r="Q149" s="83"/>
      <c r="R149" s="83"/>
      <c r="S149" s="83"/>
      <c r="T149" s="83"/>
      <c r="U149" s="83"/>
      <c r="V149" s="83"/>
      <c r="W149" s="83"/>
      <c r="X149" s="83"/>
      <c r="Y149" s="83"/>
      <c r="Z149" s="83"/>
      <c r="AA149" s="83"/>
      <c r="AB149" s="83"/>
      <c r="AC149" s="83"/>
      <c r="AD149" s="83"/>
      <c r="AE149" s="83"/>
      <c r="AF149" s="83"/>
      <c r="AG149" s="83"/>
      <c r="AH149" s="83"/>
      <c r="AI149" s="83"/>
      <c r="AJ149" s="83"/>
      <c r="AK149" s="83"/>
      <c r="AL149" s="83"/>
      <c r="AM149" s="83"/>
      <c r="AN149" s="83"/>
      <c r="AO149" s="83"/>
      <c r="AP149" s="83"/>
      <c r="AQ149" s="83"/>
      <c r="AR149" s="83"/>
      <c r="AS149" s="83"/>
      <c r="AT149" s="83"/>
    </row>
    <row r="150" spans="1:46" ht="13.8">
      <c r="A150" s="83"/>
      <c r="B150" s="83"/>
      <c r="C150" s="83"/>
      <c r="D150" s="83"/>
      <c r="E150" s="82"/>
      <c r="F150" s="82"/>
      <c r="G150" s="83"/>
      <c r="H150" s="83"/>
      <c r="I150" s="83"/>
      <c r="J150" s="83"/>
      <c r="K150" s="83"/>
      <c r="L150" s="83"/>
      <c r="M150" s="83"/>
      <c r="N150" s="83"/>
      <c r="O150" s="83"/>
      <c r="P150" s="83"/>
      <c r="Q150" s="83"/>
      <c r="R150" s="83"/>
      <c r="S150" s="83"/>
      <c r="T150" s="83"/>
      <c r="U150" s="83"/>
      <c r="V150" s="83"/>
      <c r="W150" s="83"/>
      <c r="X150" s="83"/>
      <c r="Y150" s="83"/>
      <c r="Z150" s="83"/>
      <c r="AA150" s="83"/>
      <c r="AB150" s="83"/>
      <c r="AC150" s="83"/>
      <c r="AD150" s="83"/>
      <c r="AE150" s="83"/>
      <c r="AF150" s="83"/>
      <c r="AG150" s="83"/>
      <c r="AH150" s="83"/>
      <c r="AI150" s="83"/>
      <c r="AJ150" s="83"/>
      <c r="AK150" s="83"/>
      <c r="AL150" s="83"/>
      <c r="AM150" s="83"/>
      <c r="AN150" s="83"/>
      <c r="AO150" s="83"/>
      <c r="AP150" s="83"/>
      <c r="AQ150" s="83"/>
      <c r="AR150" s="83"/>
      <c r="AS150" s="83"/>
      <c r="AT150" s="83"/>
    </row>
    <row r="151" spans="1:46" ht="13.8">
      <c r="A151" s="83"/>
      <c r="B151" s="83"/>
      <c r="C151" s="83"/>
      <c r="D151" s="83"/>
      <c r="E151" s="82"/>
      <c r="F151" s="82"/>
      <c r="G151" s="83"/>
      <c r="H151" s="83"/>
      <c r="I151" s="83"/>
      <c r="J151" s="83"/>
      <c r="K151" s="83"/>
      <c r="L151" s="83"/>
      <c r="M151" s="83"/>
      <c r="N151" s="83"/>
      <c r="O151" s="83"/>
      <c r="P151" s="83"/>
      <c r="Q151" s="83"/>
      <c r="R151" s="83"/>
      <c r="S151" s="83"/>
      <c r="T151" s="83"/>
      <c r="U151" s="83"/>
      <c r="V151" s="83"/>
      <c r="W151" s="83"/>
      <c r="X151" s="83"/>
      <c r="Y151" s="83"/>
      <c r="Z151" s="83"/>
      <c r="AA151" s="83"/>
      <c r="AB151" s="83"/>
      <c r="AC151" s="83"/>
      <c r="AD151" s="83"/>
      <c r="AE151" s="83"/>
      <c r="AF151" s="83"/>
      <c r="AG151" s="83"/>
      <c r="AH151" s="83"/>
      <c r="AI151" s="83"/>
      <c r="AJ151" s="83"/>
      <c r="AK151" s="83"/>
      <c r="AL151" s="83"/>
      <c r="AM151" s="83"/>
      <c r="AN151" s="83"/>
      <c r="AO151" s="83"/>
      <c r="AP151" s="83"/>
      <c r="AQ151" s="83"/>
      <c r="AR151" s="83"/>
      <c r="AS151" s="83"/>
      <c r="AT151" s="83"/>
    </row>
    <row r="152" spans="1:46" ht="13.8">
      <c r="A152" s="83"/>
      <c r="B152" s="83"/>
      <c r="C152" s="83"/>
      <c r="D152" s="83"/>
      <c r="E152" s="82"/>
      <c r="F152" s="82"/>
      <c r="G152" s="83"/>
      <c r="H152" s="83"/>
      <c r="I152" s="83"/>
      <c r="J152" s="83"/>
      <c r="K152" s="83"/>
      <c r="L152" s="83"/>
      <c r="M152" s="83"/>
      <c r="N152" s="83"/>
      <c r="O152" s="83"/>
      <c r="P152" s="83"/>
      <c r="Q152" s="83"/>
      <c r="R152" s="83"/>
      <c r="S152" s="83"/>
      <c r="T152" s="83"/>
      <c r="U152" s="83"/>
      <c r="V152" s="83"/>
      <c r="W152" s="83"/>
      <c r="X152" s="83"/>
      <c r="Y152" s="83"/>
      <c r="Z152" s="83"/>
      <c r="AA152" s="83"/>
      <c r="AB152" s="83"/>
      <c r="AC152" s="83"/>
      <c r="AD152" s="83"/>
      <c r="AE152" s="83"/>
      <c r="AF152" s="83"/>
      <c r="AG152" s="83"/>
      <c r="AH152" s="83"/>
      <c r="AI152" s="83"/>
      <c r="AJ152" s="83"/>
      <c r="AK152" s="83"/>
      <c r="AL152" s="83"/>
      <c r="AM152" s="83"/>
      <c r="AN152" s="83"/>
      <c r="AO152" s="83"/>
      <c r="AP152" s="83"/>
      <c r="AQ152" s="83"/>
      <c r="AR152" s="83"/>
      <c r="AS152" s="83"/>
      <c r="AT152" s="83"/>
    </row>
    <row r="153" spans="1:46" ht="13.8">
      <c r="A153" s="83"/>
      <c r="B153" s="83"/>
      <c r="C153" s="83"/>
      <c r="D153" s="83"/>
      <c r="E153" s="82"/>
      <c r="F153" s="82"/>
      <c r="G153" s="83"/>
      <c r="H153" s="83"/>
      <c r="I153" s="83"/>
      <c r="J153" s="83"/>
      <c r="K153" s="83"/>
      <c r="L153" s="83"/>
      <c r="M153" s="83"/>
      <c r="N153" s="83"/>
      <c r="O153" s="83"/>
      <c r="P153" s="83"/>
      <c r="Q153" s="83"/>
      <c r="R153" s="83"/>
      <c r="S153" s="83"/>
      <c r="T153" s="83"/>
      <c r="U153" s="83"/>
      <c r="V153" s="83"/>
      <c r="W153" s="83"/>
      <c r="X153" s="83"/>
      <c r="Y153" s="83"/>
      <c r="Z153" s="83"/>
      <c r="AA153" s="83"/>
      <c r="AB153" s="83"/>
      <c r="AC153" s="83"/>
      <c r="AD153" s="83"/>
      <c r="AE153" s="83"/>
      <c r="AF153" s="83"/>
      <c r="AG153" s="83"/>
      <c r="AH153" s="83"/>
      <c r="AI153" s="83"/>
      <c r="AJ153" s="83"/>
      <c r="AK153" s="83"/>
      <c r="AL153" s="83"/>
      <c r="AM153" s="83"/>
      <c r="AN153" s="83"/>
      <c r="AO153" s="83"/>
      <c r="AP153" s="83"/>
      <c r="AQ153" s="83"/>
      <c r="AR153" s="83"/>
      <c r="AS153" s="83"/>
      <c r="AT153" s="83"/>
    </row>
    <row r="154" spans="1:46" ht="13.8">
      <c r="A154" s="83"/>
      <c r="B154" s="83"/>
      <c r="C154" s="83"/>
      <c r="D154" s="83"/>
      <c r="E154" s="82"/>
      <c r="F154" s="82"/>
      <c r="G154" s="83"/>
      <c r="H154" s="83"/>
      <c r="I154" s="83"/>
      <c r="J154" s="83"/>
      <c r="K154" s="83"/>
      <c r="L154" s="83"/>
      <c r="M154" s="83"/>
      <c r="N154" s="83"/>
      <c r="O154" s="83"/>
      <c r="P154" s="83"/>
      <c r="Q154" s="83"/>
      <c r="R154" s="83"/>
      <c r="S154" s="83"/>
      <c r="T154" s="83"/>
      <c r="U154" s="83"/>
      <c r="V154" s="83"/>
      <c r="W154" s="83"/>
      <c r="X154" s="83"/>
      <c r="Y154" s="83"/>
      <c r="Z154" s="83"/>
      <c r="AA154" s="83"/>
      <c r="AB154" s="83"/>
      <c r="AC154" s="83"/>
      <c r="AD154" s="83"/>
      <c r="AE154" s="83"/>
      <c r="AF154" s="83"/>
      <c r="AG154" s="83"/>
      <c r="AH154" s="83"/>
      <c r="AI154" s="83"/>
      <c r="AJ154" s="83"/>
      <c r="AK154" s="83"/>
      <c r="AL154" s="83"/>
      <c r="AM154" s="83"/>
      <c r="AN154" s="83"/>
      <c r="AO154" s="83"/>
      <c r="AP154" s="83"/>
      <c r="AQ154" s="83"/>
      <c r="AR154" s="83"/>
      <c r="AS154" s="83"/>
      <c r="AT154" s="83"/>
    </row>
    <row r="155" spans="1:46" ht="13.8">
      <c r="A155" s="83"/>
      <c r="B155" s="83"/>
      <c r="C155" s="83"/>
      <c r="D155" s="83"/>
      <c r="E155" s="82"/>
      <c r="F155" s="82"/>
      <c r="G155" s="83"/>
      <c r="H155" s="83"/>
      <c r="I155" s="83"/>
      <c r="J155" s="83"/>
      <c r="K155" s="83"/>
      <c r="L155" s="83"/>
      <c r="M155" s="83"/>
      <c r="N155" s="83"/>
      <c r="O155" s="83"/>
      <c r="P155" s="83"/>
      <c r="Q155" s="83"/>
      <c r="R155" s="83"/>
      <c r="S155" s="83"/>
      <c r="T155" s="83"/>
      <c r="U155" s="83"/>
      <c r="V155" s="83"/>
      <c r="W155" s="83"/>
      <c r="X155" s="83"/>
      <c r="Y155" s="83"/>
      <c r="Z155" s="83"/>
      <c r="AA155" s="83"/>
      <c r="AB155" s="83"/>
      <c r="AC155" s="83"/>
      <c r="AD155" s="83"/>
      <c r="AE155" s="83"/>
      <c r="AF155" s="83"/>
      <c r="AG155" s="83"/>
      <c r="AH155" s="83"/>
      <c r="AI155" s="83"/>
      <c r="AJ155" s="83"/>
      <c r="AK155" s="83"/>
      <c r="AL155" s="83"/>
      <c r="AM155" s="83"/>
      <c r="AN155" s="83"/>
      <c r="AO155" s="83"/>
      <c r="AP155" s="83"/>
      <c r="AQ155" s="83"/>
      <c r="AR155" s="83"/>
      <c r="AS155" s="83"/>
      <c r="AT155" s="83"/>
    </row>
    <row r="156" spans="1:46" ht="13.8">
      <c r="A156" s="83"/>
      <c r="B156" s="83"/>
      <c r="C156" s="83"/>
      <c r="D156" s="83"/>
      <c r="E156" s="82"/>
      <c r="F156" s="82"/>
      <c r="G156" s="83"/>
      <c r="H156" s="83"/>
      <c r="I156" s="83"/>
      <c r="J156" s="83"/>
      <c r="K156" s="83"/>
      <c r="L156" s="83"/>
      <c r="M156" s="83"/>
      <c r="N156" s="83"/>
      <c r="O156" s="83"/>
      <c r="P156" s="83"/>
      <c r="Q156" s="83"/>
      <c r="R156" s="83"/>
      <c r="S156" s="83"/>
      <c r="T156" s="83"/>
      <c r="U156" s="83"/>
      <c r="V156" s="83"/>
      <c r="W156" s="83"/>
      <c r="X156" s="83"/>
      <c r="Y156" s="83"/>
      <c r="Z156" s="83"/>
      <c r="AA156" s="83"/>
      <c r="AB156" s="83"/>
      <c r="AC156" s="83"/>
      <c r="AD156" s="83"/>
      <c r="AE156" s="83"/>
      <c r="AF156" s="83"/>
      <c r="AG156" s="83"/>
      <c r="AH156" s="83"/>
      <c r="AI156" s="83"/>
      <c r="AJ156" s="83"/>
      <c r="AK156" s="83"/>
      <c r="AL156" s="83"/>
      <c r="AM156" s="83"/>
      <c r="AN156" s="83"/>
      <c r="AO156" s="83"/>
      <c r="AP156" s="83"/>
      <c r="AQ156" s="83"/>
      <c r="AR156" s="83"/>
      <c r="AS156" s="83"/>
      <c r="AT156" s="83"/>
    </row>
    <row r="157" spans="1:46" ht="13.8">
      <c r="A157" s="83"/>
      <c r="B157" s="83"/>
      <c r="C157" s="83"/>
      <c r="D157" s="83"/>
      <c r="E157" s="82"/>
      <c r="F157" s="82"/>
      <c r="G157" s="83"/>
      <c r="H157" s="83"/>
      <c r="I157" s="83"/>
      <c r="J157" s="83"/>
      <c r="K157" s="83"/>
      <c r="L157" s="83"/>
      <c r="M157" s="83"/>
      <c r="N157" s="83"/>
      <c r="O157" s="83"/>
      <c r="P157" s="83"/>
      <c r="Q157" s="83"/>
      <c r="R157" s="83"/>
      <c r="S157" s="83"/>
      <c r="T157" s="83"/>
      <c r="U157" s="83"/>
      <c r="V157" s="83"/>
      <c r="W157" s="83"/>
      <c r="X157" s="83"/>
      <c r="Y157" s="83"/>
      <c r="Z157" s="83"/>
      <c r="AA157" s="83"/>
      <c r="AB157" s="83"/>
      <c r="AC157" s="83"/>
      <c r="AD157" s="83"/>
      <c r="AE157" s="83"/>
      <c r="AF157" s="83"/>
      <c r="AG157" s="83"/>
      <c r="AH157" s="83"/>
      <c r="AI157" s="83"/>
      <c r="AJ157" s="83"/>
      <c r="AK157" s="83"/>
      <c r="AL157" s="83"/>
      <c r="AM157" s="83"/>
      <c r="AN157" s="83"/>
      <c r="AO157" s="83"/>
      <c r="AP157" s="83"/>
      <c r="AQ157" s="83"/>
      <c r="AR157" s="83"/>
      <c r="AS157" s="83"/>
      <c r="AT157" s="83"/>
    </row>
    <row r="158" spans="1:46" ht="13.8">
      <c r="A158" s="83"/>
      <c r="B158" s="83"/>
      <c r="C158" s="83"/>
      <c r="D158" s="83"/>
      <c r="E158" s="82"/>
      <c r="F158" s="82"/>
      <c r="G158" s="83"/>
      <c r="H158" s="83"/>
      <c r="I158" s="83"/>
      <c r="J158" s="83"/>
      <c r="K158" s="83"/>
      <c r="L158" s="83"/>
      <c r="M158" s="83"/>
      <c r="N158" s="83"/>
      <c r="O158" s="83"/>
      <c r="P158" s="83"/>
      <c r="Q158" s="83"/>
      <c r="R158" s="83"/>
      <c r="S158" s="83"/>
      <c r="T158" s="83"/>
      <c r="U158" s="83"/>
      <c r="V158" s="83"/>
      <c r="W158" s="83"/>
      <c r="X158" s="83"/>
      <c r="Y158" s="83"/>
      <c r="Z158" s="83"/>
      <c r="AA158" s="83"/>
      <c r="AB158" s="83"/>
      <c r="AC158" s="83"/>
      <c r="AD158" s="83"/>
      <c r="AE158" s="83"/>
      <c r="AF158" s="83"/>
      <c r="AG158" s="83"/>
      <c r="AH158" s="83"/>
      <c r="AI158" s="83"/>
      <c r="AJ158" s="83"/>
      <c r="AK158" s="83"/>
      <c r="AL158" s="83"/>
      <c r="AM158" s="83"/>
      <c r="AN158" s="83"/>
      <c r="AO158" s="83"/>
      <c r="AP158" s="83"/>
      <c r="AQ158" s="83"/>
      <c r="AR158" s="83"/>
      <c r="AS158" s="83"/>
      <c r="AT158" s="83"/>
    </row>
    <row r="159" spans="1:46" ht="13.8">
      <c r="A159" s="83"/>
      <c r="B159" s="83"/>
      <c r="C159" s="83"/>
      <c r="D159" s="83"/>
      <c r="E159" s="82"/>
      <c r="F159" s="82"/>
      <c r="G159" s="83"/>
      <c r="H159" s="83"/>
      <c r="I159" s="83"/>
      <c r="J159" s="83"/>
      <c r="K159" s="83"/>
      <c r="L159" s="83"/>
      <c r="M159" s="83"/>
      <c r="N159" s="83"/>
      <c r="O159" s="83"/>
      <c r="P159" s="83"/>
      <c r="Q159" s="83"/>
      <c r="R159" s="83"/>
      <c r="S159" s="83"/>
      <c r="T159" s="83"/>
      <c r="U159" s="83"/>
      <c r="V159" s="83"/>
      <c r="W159" s="83"/>
      <c r="X159" s="83"/>
      <c r="Y159" s="83"/>
      <c r="Z159" s="83"/>
      <c r="AA159" s="83"/>
      <c r="AB159" s="83"/>
      <c r="AC159" s="83"/>
      <c r="AD159" s="83"/>
      <c r="AE159" s="83"/>
      <c r="AF159" s="83"/>
      <c r="AG159" s="83"/>
      <c r="AH159" s="83"/>
      <c r="AI159" s="83"/>
      <c r="AJ159" s="83"/>
      <c r="AK159" s="83"/>
      <c r="AL159" s="83"/>
      <c r="AM159" s="83"/>
      <c r="AN159" s="83"/>
      <c r="AO159" s="83"/>
      <c r="AP159" s="83"/>
      <c r="AQ159" s="83"/>
      <c r="AR159" s="83"/>
      <c r="AS159" s="83"/>
      <c r="AT159" s="83"/>
    </row>
    <row r="160" spans="1:46" ht="13.8">
      <c r="A160" s="83"/>
      <c r="B160" s="83"/>
      <c r="C160" s="83"/>
      <c r="D160" s="83"/>
      <c r="E160" s="82"/>
      <c r="F160" s="82"/>
      <c r="G160" s="83"/>
      <c r="H160" s="83"/>
      <c r="I160" s="83"/>
      <c r="J160" s="83"/>
      <c r="K160" s="83"/>
      <c r="L160" s="83"/>
      <c r="M160" s="83"/>
      <c r="N160" s="83"/>
      <c r="O160" s="83"/>
      <c r="P160" s="83"/>
      <c r="Q160" s="83"/>
      <c r="R160" s="83"/>
      <c r="S160" s="83"/>
      <c r="T160" s="83"/>
      <c r="U160" s="83"/>
      <c r="V160" s="83"/>
      <c r="W160" s="83"/>
      <c r="X160" s="83"/>
      <c r="Y160" s="83"/>
      <c r="Z160" s="83"/>
      <c r="AA160" s="83"/>
      <c r="AB160" s="83"/>
      <c r="AC160" s="83"/>
      <c r="AD160" s="83"/>
      <c r="AE160" s="83"/>
      <c r="AF160" s="83"/>
      <c r="AG160" s="83"/>
      <c r="AH160" s="83"/>
      <c r="AI160" s="83"/>
      <c r="AJ160" s="83"/>
      <c r="AK160" s="83"/>
      <c r="AL160" s="83"/>
      <c r="AM160" s="83"/>
      <c r="AN160" s="83"/>
      <c r="AO160" s="83"/>
      <c r="AP160" s="83"/>
      <c r="AQ160" s="83"/>
      <c r="AR160" s="83"/>
      <c r="AS160" s="83"/>
      <c r="AT160" s="83"/>
    </row>
    <row r="161" spans="1:46" ht="13.8">
      <c r="A161" s="83"/>
      <c r="B161" s="83"/>
      <c r="C161" s="83"/>
      <c r="D161" s="83"/>
      <c r="E161" s="82"/>
      <c r="F161" s="82"/>
      <c r="G161" s="83"/>
      <c r="H161" s="83"/>
      <c r="I161" s="83"/>
      <c r="J161" s="83"/>
      <c r="K161" s="83"/>
      <c r="L161" s="83"/>
      <c r="M161" s="83"/>
      <c r="N161" s="83"/>
      <c r="O161" s="83"/>
      <c r="P161" s="83"/>
      <c r="Q161" s="83"/>
      <c r="R161" s="83"/>
      <c r="S161" s="83"/>
      <c r="T161" s="83"/>
      <c r="U161" s="83"/>
      <c r="V161" s="83"/>
      <c r="W161" s="83"/>
      <c r="X161" s="83"/>
      <c r="Y161" s="83"/>
      <c r="Z161" s="83"/>
      <c r="AA161" s="83"/>
      <c r="AB161" s="83"/>
      <c r="AC161" s="83"/>
      <c r="AD161" s="83"/>
      <c r="AE161" s="83"/>
      <c r="AF161" s="83"/>
      <c r="AG161" s="83"/>
      <c r="AH161" s="83"/>
      <c r="AI161" s="83"/>
      <c r="AJ161" s="83"/>
      <c r="AK161" s="83"/>
      <c r="AL161" s="83"/>
      <c r="AM161" s="83"/>
      <c r="AN161" s="83"/>
      <c r="AO161" s="83"/>
      <c r="AP161" s="83"/>
      <c r="AQ161" s="83"/>
      <c r="AR161" s="83"/>
      <c r="AS161" s="83"/>
      <c r="AT161" s="83"/>
    </row>
    <row r="162" spans="1:46" ht="13.8">
      <c r="A162" s="83"/>
      <c r="B162" s="83"/>
      <c r="C162" s="83"/>
      <c r="D162" s="83"/>
      <c r="E162" s="82"/>
      <c r="F162" s="82"/>
      <c r="G162" s="83"/>
      <c r="H162" s="83"/>
      <c r="I162" s="83"/>
      <c r="J162" s="83"/>
      <c r="K162" s="83"/>
      <c r="L162" s="83"/>
      <c r="M162" s="83"/>
      <c r="N162" s="83"/>
      <c r="O162" s="83"/>
      <c r="P162" s="83"/>
      <c r="Q162" s="83"/>
      <c r="R162" s="83"/>
      <c r="S162" s="83"/>
      <c r="T162" s="83"/>
      <c r="U162" s="83"/>
      <c r="V162" s="83"/>
      <c r="W162" s="83"/>
      <c r="X162" s="83"/>
      <c r="Y162" s="83"/>
      <c r="Z162" s="83"/>
      <c r="AA162" s="83"/>
      <c r="AB162" s="83"/>
      <c r="AC162" s="83"/>
      <c r="AD162" s="83"/>
      <c r="AE162" s="83"/>
      <c r="AF162" s="83"/>
      <c r="AG162" s="83"/>
      <c r="AH162" s="83"/>
      <c r="AI162" s="83"/>
      <c r="AJ162" s="83"/>
      <c r="AK162" s="83"/>
      <c r="AL162" s="83"/>
      <c r="AM162" s="83"/>
      <c r="AN162" s="83"/>
      <c r="AO162" s="83"/>
      <c r="AP162" s="83"/>
      <c r="AQ162" s="83"/>
      <c r="AR162" s="83"/>
      <c r="AS162" s="83"/>
      <c r="AT162" s="83"/>
    </row>
    <row r="163" spans="1:46" ht="13.8">
      <c r="A163" s="83"/>
      <c r="B163" s="83"/>
      <c r="C163" s="83"/>
      <c r="D163" s="83"/>
      <c r="E163" s="82"/>
      <c r="F163" s="82"/>
      <c r="G163" s="83"/>
      <c r="H163" s="83"/>
      <c r="I163" s="83"/>
      <c r="J163" s="83"/>
      <c r="K163" s="83"/>
      <c r="L163" s="83"/>
      <c r="M163" s="83"/>
      <c r="N163" s="83"/>
      <c r="O163" s="83"/>
      <c r="P163" s="83"/>
      <c r="Q163" s="83"/>
      <c r="R163" s="83"/>
      <c r="S163" s="83"/>
      <c r="T163" s="83"/>
      <c r="U163" s="83"/>
      <c r="V163" s="83"/>
      <c r="W163" s="83"/>
      <c r="X163" s="83"/>
      <c r="Y163" s="83"/>
      <c r="Z163" s="83"/>
      <c r="AA163" s="83"/>
      <c r="AB163" s="83"/>
      <c r="AC163" s="83"/>
      <c r="AD163" s="83"/>
      <c r="AE163" s="83"/>
      <c r="AF163" s="83"/>
      <c r="AG163" s="83"/>
      <c r="AH163" s="83"/>
      <c r="AI163" s="83"/>
      <c r="AJ163" s="83"/>
      <c r="AK163" s="83"/>
      <c r="AL163" s="83"/>
      <c r="AM163" s="83"/>
      <c r="AN163" s="83"/>
      <c r="AO163" s="83"/>
      <c r="AP163" s="83"/>
      <c r="AQ163" s="83"/>
      <c r="AR163" s="83"/>
      <c r="AS163" s="83"/>
      <c r="AT163" s="83"/>
    </row>
    <row r="164" spans="1:46" ht="13.8">
      <c r="A164" s="83"/>
      <c r="B164" s="83"/>
      <c r="C164" s="83"/>
      <c r="D164" s="83"/>
      <c r="E164" s="82"/>
      <c r="F164" s="82"/>
      <c r="G164" s="83"/>
      <c r="H164" s="83"/>
      <c r="I164" s="83"/>
      <c r="J164" s="83"/>
      <c r="K164" s="83"/>
      <c r="L164" s="83"/>
      <c r="M164" s="83"/>
      <c r="N164" s="83"/>
      <c r="O164" s="83"/>
      <c r="P164" s="83"/>
      <c r="Q164" s="83"/>
      <c r="R164" s="83"/>
      <c r="S164" s="83"/>
      <c r="T164" s="83"/>
      <c r="U164" s="83"/>
      <c r="V164" s="83"/>
      <c r="W164" s="83"/>
      <c r="X164" s="83"/>
      <c r="Y164" s="83"/>
      <c r="Z164" s="83"/>
      <c r="AA164" s="83"/>
      <c r="AB164" s="83"/>
      <c r="AC164" s="83"/>
      <c r="AD164" s="83"/>
      <c r="AE164" s="83"/>
      <c r="AF164" s="83"/>
      <c r="AG164" s="83"/>
      <c r="AH164" s="83"/>
      <c r="AI164" s="83"/>
      <c r="AJ164" s="83"/>
      <c r="AK164" s="83"/>
      <c r="AL164" s="83"/>
      <c r="AM164" s="83"/>
      <c r="AN164" s="83"/>
      <c r="AO164" s="83"/>
      <c r="AP164" s="83"/>
      <c r="AQ164" s="83"/>
      <c r="AR164" s="83"/>
      <c r="AS164" s="83"/>
      <c r="AT164" s="83"/>
    </row>
    <row r="165" spans="1:46" ht="13.8">
      <c r="A165" s="83"/>
      <c r="B165" s="83"/>
      <c r="C165" s="83"/>
      <c r="D165" s="83"/>
      <c r="E165" s="82"/>
      <c r="F165" s="82"/>
      <c r="G165" s="83"/>
      <c r="H165" s="83"/>
      <c r="I165" s="83"/>
      <c r="J165" s="83"/>
      <c r="K165" s="83"/>
      <c r="L165" s="83"/>
      <c r="M165" s="83"/>
      <c r="N165" s="83"/>
      <c r="O165" s="83"/>
      <c r="P165" s="83"/>
      <c r="Q165" s="83"/>
      <c r="R165" s="83"/>
      <c r="S165" s="83"/>
      <c r="T165" s="83"/>
      <c r="U165" s="83"/>
      <c r="V165" s="83"/>
      <c r="W165" s="83"/>
      <c r="X165" s="83"/>
      <c r="Y165" s="83"/>
      <c r="Z165" s="83"/>
      <c r="AA165" s="83"/>
      <c r="AB165" s="83"/>
      <c r="AC165" s="83"/>
      <c r="AD165" s="83"/>
      <c r="AE165" s="83"/>
      <c r="AF165" s="83"/>
      <c r="AG165" s="83"/>
      <c r="AH165" s="83"/>
      <c r="AI165" s="83"/>
      <c r="AJ165" s="83"/>
      <c r="AK165" s="83"/>
      <c r="AL165" s="83"/>
      <c r="AM165" s="83"/>
      <c r="AN165" s="83"/>
      <c r="AO165" s="83"/>
      <c r="AP165" s="83"/>
      <c r="AQ165" s="83"/>
      <c r="AR165" s="83"/>
      <c r="AS165" s="83"/>
      <c r="AT165" s="83"/>
    </row>
    <row r="166" spans="1:46" ht="13.8">
      <c r="A166" s="83"/>
      <c r="B166" s="83"/>
      <c r="C166" s="83"/>
      <c r="D166" s="83"/>
      <c r="E166" s="82"/>
      <c r="F166" s="82"/>
      <c r="G166" s="83"/>
      <c r="H166" s="83"/>
      <c r="I166" s="83"/>
      <c r="J166" s="83"/>
      <c r="K166" s="83"/>
      <c r="L166" s="83"/>
      <c r="M166" s="83"/>
      <c r="N166" s="83"/>
      <c r="O166" s="83"/>
      <c r="P166" s="83"/>
      <c r="Q166" s="83"/>
      <c r="R166" s="83"/>
      <c r="S166" s="83"/>
      <c r="T166" s="83"/>
      <c r="U166" s="83"/>
      <c r="V166" s="83"/>
      <c r="W166" s="83"/>
      <c r="X166" s="83"/>
      <c r="Y166" s="83"/>
      <c r="Z166" s="83"/>
      <c r="AA166" s="83"/>
      <c r="AB166" s="83"/>
      <c r="AC166" s="83"/>
      <c r="AD166" s="83"/>
      <c r="AE166" s="83"/>
      <c r="AF166" s="83"/>
      <c r="AG166" s="83"/>
      <c r="AH166" s="83"/>
      <c r="AI166" s="83"/>
      <c r="AJ166" s="83"/>
      <c r="AK166" s="83"/>
      <c r="AL166" s="83"/>
      <c r="AM166" s="83"/>
      <c r="AN166" s="83"/>
      <c r="AO166" s="83"/>
      <c r="AP166" s="83"/>
      <c r="AQ166" s="83"/>
      <c r="AR166" s="83"/>
      <c r="AS166" s="83"/>
      <c r="AT166" s="83"/>
    </row>
    <row r="167" spans="1:46" ht="13.8">
      <c r="A167" s="83"/>
      <c r="B167" s="83"/>
      <c r="C167" s="83"/>
      <c r="D167" s="83"/>
      <c r="E167" s="82"/>
      <c r="F167" s="82"/>
      <c r="G167" s="83"/>
      <c r="H167" s="83"/>
      <c r="I167" s="83"/>
      <c r="J167" s="83"/>
      <c r="K167" s="83"/>
      <c r="L167" s="83"/>
      <c r="M167" s="83"/>
      <c r="N167" s="83"/>
      <c r="O167" s="83"/>
      <c r="P167" s="83"/>
      <c r="Q167" s="83"/>
      <c r="R167" s="83"/>
      <c r="S167" s="83"/>
      <c r="T167" s="83"/>
      <c r="U167" s="83"/>
      <c r="V167" s="83"/>
      <c r="W167" s="83"/>
      <c r="X167" s="83"/>
      <c r="Y167" s="83"/>
      <c r="Z167" s="83"/>
      <c r="AA167" s="83"/>
      <c r="AB167" s="83"/>
      <c r="AC167" s="83"/>
      <c r="AD167" s="83"/>
      <c r="AE167" s="83"/>
      <c r="AF167" s="83"/>
      <c r="AG167" s="83"/>
      <c r="AH167" s="83"/>
      <c r="AI167" s="83"/>
      <c r="AJ167" s="83"/>
      <c r="AK167" s="83"/>
      <c r="AL167" s="83"/>
      <c r="AM167" s="83"/>
      <c r="AN167" s="83"/>
      <c r="AO167" s="83"/>
      <c r="AP167" s="83"/>
      <c r="AQ167" s="83"/>
      <c r="AR167" s="83"/>
      <c r="AS167" s="83"/>
      <c r="AT167" s="83"/>
    </row>
    <row r="168" spans="1:46" ht="13.8">
      <c r="A168" s="83"/>
      <c r="B168" s="83"/>
      <c r="C168" s="83"/>
      <c r="D168" s="83"/>
      <c r="E168" s="82"/>
      <c r="F168" s="82"/>
      <c r="G168" s="83"/>
      <c r="H168" s="83"/>
      <c r="I168" s="83"/>
      <c r="J168" s="83"/>
      <c r="K168" s="83"/>
      <c r="L168" s="83"/>
      <c r="M168" s="83"/>
      <c r="N168" s="83"/>
      <c r="O168" s="83"/>
      <c r="P168" s="83"/>
      <c r="Q168" s="83"/>
      <c r="R168" s="83"/>
      <c r="S168" s="83"/>
      <c r="T168" s="83"/>
      <c r="U168" s="83"/>
      <c r="V168" s="83"/>
      <c r="W168" s="83"/>
      <c r="X168" s="83"/>
      <c r="Y168" s="83"/>
      <c r="Z168" s="83"/>
      <c r="AA168" s="83"/>
      <c r="AB168" s="83"/>
      <c r="AC168" s="83"/>
      <c r="AD168" s="83"/>
      <c r="AE168" s="83"/>
      <c r="AF168" s="83"/>
      <c r="AG168" s="83"/>
      <c r="AH168" s="83"/>
      <c r="AI168" s="83"/>
      <c r="AJ168" s="83"/>
      <c r="AK168" s="83"/>
      <c r="AL168" s="83"/>
      <c r="AM168" s="83"/>
      <c r="AN168" s="83"/>
      <c r="AO168" s="83"/>
      <c r="AP168" s="83"/>
      <c r="AQ168" s="83"/>
      <c r="AR168" s="83"/>
      <c r="AS168" s="83"/>
      <c r="AT168" s="83"/>
    </row>
    <row r="169" spans="1:46" ht="13.8">
      <c r="A169" s="83"/>
      <c r="B169" s="83"/>
      <c r="C169" s="83"/>
      <c r="D169" s="83"/>
      <c r="E169" s="82"/>
      <c r="F169" s="82"/>
      <c r="G169" s="83"/>
      <c r="H169" s="83"/>
      <c r="I169" s="83"/>
      <c r="J169" s="83"/>
      <c r="K169" s="83"/>
      <c r="L169" s="83"/>
      <c r="M169" s="83"/>
      <c r="N169" s="83"/>
      <c r="O169" s="83"/>
      <c r="P169" s="83"/>
      <c r="Q169" s="83"/>
      <c r="R169" s="83"/>
      <c r="S169" s="83"/>
      <c r="T169" s="83"/>
      <c r="U169" s="83"/>
      <c r="V169" s="83"/>
      <c r="W169" s="83"/>
      <c r="X169" s="83"/>
      <c r="Y169" s="83"/>
      <c r="Z169" s="83"/>
      <c r="AA169" s="83"/>
      <c r="AB169" s="83"/>
      <c r="AC169" s="83"/>
      <c r="AD169" s="83"/>
      <c r="AE169" s="83"/>
      <c r="AF169" s="83"/>
      <c r="AG169" s="83"/>
      <c r="AH169" s="83"/>
      <c r="AI169" s="83"/>
      <c r="AJ169" s="83"/>
      <c r="AK169" s="83"/>
      <c r="AL169" s="83"/>
      <c r="AM169" s="83"/>
      <c r="AN169" s="83"/>
      <c r="AO169" s="83"/>
      <c r="AP169" s="83"/>
      <c r="AQ169" s="83"/>
      <c r="AR169" s="83"/>
      <c r="AS169" s="83"/>
      <c r="AT169" s="83"/>
    </row>
    <row r="170" spans="1:46" ht="13.8">
      <c r="A170" s="83"/>
      <c r="B170" s="83"/>
      <c r="C170" s="83"/>
      <c r="D170" s="83"/>
      <c r="E170" s="82"/>
      <c r="F170" s="82"/>
      <c r="G170" s="83"/>
      <c r="H170" s="83"/>
      <c r="I170" s="83"/>
      <c r="J170" s="83"/>
      <c r="K170" s="83"/>
      <c r="L170" s="83"/>
      <c r="M170" s="83"/>
      <c r="N170" s="83"/>
      <c r="O170" s="83"/>
      <c r="P170" s="83"/>
      <c r="Q170" s="83"/>
      <c r="R170" s="83"/>
      <c r="S170" s="83"/>
      <c r="T170" s="83"/>
      <c r="U170" s="83"/>
      <c r="V170" s="83"/>
      <c r="W170" s="83"/>
      <c r="X170" s="83"/>
      <c r="Y170" s="83"/>
      <c r="Z170" s="83"/>
      <c r="AA170" s="83"/>
      <c r="AB170" s="83"/>
      <c r="AC170" s="83"/>
      <c r="AD170" s="83"/>
      <c r="AE170" s="83"/>
      <c r="AF170" s="83"/>
      <c r="AG170" s="83"/>
      <c r="AH170" s="83"/>
      <c r="AI170" s="83"/>
      <c r="AJ170" s="83"/>
      <c r="AK170" s="83"/>
      <c r="AL170" s="83"/>
      <c r="AM170" s="83"/>
      <c r="AN170" s="83"/>
      <c r="AO170" s="83"/>
      <c r="AP170" s="83"/>
      <c r="AQ170" s="83"/>
      <c r="AR170" s="83"/>
      <c r="AS170" s="83"/>
      <c r="AT170" s="83"/>
    </row>
    <row r="171" spans="1:46" ht="13.8">
      <c r="A171" s="83"/>
      <c r="B171" s="83"/>
      <c r="C171" s="83"/>
      <c r="D171" s="83"/>
      <c r="E171" s="82"/>
      <c r="F171" s="82"/>
      <c r="G171" s="83"/>
      <c r="H171" s="83"/>
      <c r="I171" s="83"/>
      <c r="J171" s="83"/>
      <c r="K171" s="83"/>
      <c r="L171" s="83"/>
      <c r="M171" s="83"/>
      <c r="N171" s="83"/>
      <c r="O171" s="83"/>
      <c r="P171" s="83"/>
      <c r="Q171" s="83"/>
      <c r="R171" s="83"/>
      <c r="S171" s="83"/>
      <c r="T171" s="83"/>
      <c r="U171" s="83"/>
      <c r="V171" s="83"/>
      <c r="W171" s="83"/>
      <c r="X171" s="83"/>
      <c r="Y171" s="83"/>
      <c r="Z171" s="83"/>
      <c r="AA171" s="83"/>
      <c r="AB171" s="83"/>
      <c r="AC171" s="83"/>
      <c r="AD171" s="83"/>
      <c r="AE171" s="83"/>
      <c r="AF171" s="83"/>
      <c r="AG171" s="83"/>
      <c r="AH171" s="83"/>
      <c r="AI171" s="83"/>
      <c r="AJ171" s="83"/>
      <c r="AK171" s="83"/>
      <c r="AL171" s="83"/>
      <c r="AM171" s="83"/>
      <c r="AN171" s="83"/>
      <c r="AO171" s="83"/>
      <c r="AP171" s="83"/>
      <c r="AQ171" s="83"/>
      <c r="AR171" s="83"/>
      <c r="AS171" s="83"/>
      <c r="AT171" s="83"/>
    </row>
    <row r="172" spans="1:46" ht="13.8">
      <c r="A172" s="83"/>
      <c r="B172" s="83"/>
      <c r="C172" s="83"/>
      <c r="D172" s="83"/>
      <c r="E172" s="82"/>
      <c r="F172" s="82"/>
      <c r="G172" s="83"/>
      <c r="H172" s="83"/>
      <c r="I172" s="83"/>
      <c r="J172" s="83"/>
      <c r="K172" s="83"/>
      <c r="L172" s="83"/>
      <c r="M172" s="83"/>
      <c r="N172" s="83"/>
      <c r="O172" s="83"/>
      <c r="P172" s="83"/>
      <c r="Q172" s="83"/>
      <c r="R172" s="83"/>
      <c r="S172" s="83"/>
      <c r="T172" s="83"/>
      <c r="U172" s="83"/>
      <c r="V172" s="83"/>
      <c r="W172" s="83"/>
      <c r="X172" s="83"/>
      <c r="Y172" s="83"/>
      <c r="Z172" s="83"/>
      <c r="AA172" s="83"/>
      <c r="AB172" s="83"/>
      <c r="AC172" s="83"/>
      <c r="AD172" s="83"/>
      <c r="AE172" s="83"/>
      <c r="AF172" s="83"/>
      <c r="AG172" s="83"/>
      <c r="AH172" s="83"/>
      <c r="AI172" s="83"/>
      <c r="AJ172" s="83"/>
      <c r="AK172" s="83"/>
      <c r="AL172" s="83"/>
      <c r="AM172" s="83"/>
      <c r="AN172" s="83"/>
      <c r="AO172" s="83"/>
      <c r="AP172" s="83"/>
      <c r="AQ172" s="83"/>
      <c r="AR172" s="83"/>
      <c r="AS172" s="83"/>
      <c r="AT172" s="83"/>
    </row>
    <row r="173" spans="1:46" ht="13.8">
      <c r="A173" s="83"/>
      <c r="B173" s="83"/>
      <c r="C173" s="83"/>
      <c r="D173" s="83"/>
      <c r="E173" s="82"/>
      <c r="F173" s="82"/>
      <c r="G173" s="83"/>
      <c r="H173" s="83"/>
      <c r="I173" s="83"/>
      <c r="J173" s="83"/>
      <c r="K173" s="83"/>
      <c r="L173" s="83"/>
      <c r="M173" s="83"/>
      <c r="N173" s="83"/>
      <c r="O173" s="83"/>
      <c r="P173" s="83"/>
      <c r="Q173" s="83"/>
      <c r="R173" s="83"/>
      <c r="S173" s="83"/>
      <c r="T173" s="83"/>
      <c r="U173" s="83"/>
      <c r="V173" s="83"/>
      <c r="W173" s="83"/>
      <c r="X173" s="83"/>
      <c r="Y173" s="83"/>
      <c r="Z173" s="83"/>
      <c r="AA173" s="83"/>
      <c r="AB173" s="83"/>
      <c r="AC173" s="83"/>
      <c r="AD173" s="83"/>
      <c r="AE173" s="83"/>
      <c r="AF173" s="83"/>
      <c r="AG173" s="83"/>
      <c r="AH173" s="83"/>
      <c r="AI173" s="83"/>
      <c r="AJ173" s="83"/>
      <c r="AK173" s="83"/>
      <c r="AL173" s="83"/>
      <c r="AM173" s="83"/>
      <c r="AN173" s="83"/>
      <c r="AO173" s="83"/>
      <c r="AP173" s="83"/>
      <c r="AQ173" s="83"/>
      <c r="AR173" s="83"/>
      <c r="AS173" s="83"/>
      <c r="AT173" s="83"/>
    </row>
    <row r="174" spans="1:46" ht="13.8">
      <c r="A174" s="83"/>
      <c r="B174" s="83"/>
      <c r="C174" s="83"/>
      <c r="D174" s="83"/>
      <c r="E174" s="82"/>
      <c r="F174" s="82"/>
      <c r="G174" s="83"/>
      <c r="H174" s="83"/>
      <c r="I174" s="83"/>
      <c r="J174" s="83"/>
      <c r="K174" s="83"/>
      <c r="L174" s="83"/>
      <c r="M174" s="83"/>
      <c r="N174" s="83"/>
      <c r="O174" s="83"/>
      <c r="P174" s="83"/>
      <c r="Q174" s="83"/>
      <c r="R174" s="83"/>
      <c r="S174" s="83"/>
      <c r="T174" s="83"/>
      <c r="U174" s="83"/>
      <c r="V174" s="83"/>
      <c r="W174" s="83"/>
      <c r="X174" s="83"/>
      <c r="Y174" s="83"/>
      <c r="Z174" s="83"/>
      <c r="AA174" s="83"/>
      <c r="AB174" s="83"/>
      <c r="AC174" s="83"/>
      <c r="AD174" s="83"/>
      <c r="AE174" s="83"/>
      <c r="AF174" s="83"/>
      <c r="AG174" s="83"/>
      <c r="AH174" s="83"/>
      <c r="AI174" s="83"/>
      <c r="AJ174" s="83"/>
      <c r="AK174" s="83"/>
      <c r="AL174" s="83"/>
      <c r="AM174" s="83"/>
      <c r="AN174" s="83"/>
      <c r="AO174" s="83"/>
      <c r="AP174" s="83"/>
      <c r="AQ174" s="83"/>
      <c r="AR174" s="83"/>
      <c r="AS174" s="83"/>
      <c r="AT174" s="83"/>
    </row>
    <row r="175" spans="1:46" ht="13.8">
      <c r="A175" s="83"/>
      <c r="B175" s="83"/>
      <c r="C175" s="83"/>
      <c r="D175" s="83"/>
      <c r="E175" s="82"/>
      <c r="F175" s="82"/>
      <c r="G175" s="83"/>
      <c r="H175" s="83"/>
      <c r="I175" s="83"/>
      <c r="J175" s="83"/>
      <c r="K175" s="83"/>
      <c r="L175" s="83"/>
      <c r="M175" s="83"/>
      <c r="N175" s="83"/>
      <c r="O175" s="83"/>
      <c r="P175" s="83"/>
      <c r="Q175" s="83"/>
      <c r="R175" s="83"/>
      <c r="S175" s="83"/>
      <c r="T175" s="83"/>
      <c r="U175" s="83"/>
      <c r="V175" s="83"/>
      <c r="W175" s="83"/>
      <c r="X175" s="83"/>
      <c r="Y175" s="83"/>
      <c r="Z175" s="83"/>
      <c r="AA175" s="83"/>
      <c r="AB175" s="83"/>
      <c r="AC175" s="83"/>
      <c r="AD175" s="83"/>
      <c r="AE175" s="83"/>
      <c r="AF175" s="83"/>
      <c r="AG175" s="83"/>
      <c r="AH175" s="83"/>
      <c r="AI175" s="83"/>
      <c r="AJ175" s="83"/>
      <c r="AK175" s="83"/>
      <c r="AL175" s="83"/>
      <c r="AM175" s="83"/>
      <c r="AN175" s="83"/>
      <c r="AO175" s="83"/>
      <c r="AP175" s="83"/>
      <c r="AQ175" s="83"/>
      <c r="AR175" s="83"/>
      <c r="AS175" s="83"/>
      <c r="AT175" s="83"/>
    </row>
    <row r="176" spans="1:46" ht="13.8">
      <c r="A176" s="83"/>
      <c r="B176" s="83"/>
      <c r="C176" s="83"/>
      <c r="D176" s="83"/>
      <c r="E176" s="82"/>
      <c r="F176" s="82"/>
      <c r="G176" s="83"/>
      <c r="H176" s="83"/>
      <c r="I176" s="83"/>
      <c r="J176" s="83"/>
      <c r="K176" s="83"/>
      <c r="L176" s="83"/>
      <c r="M176" s="83"/>
      <c r="N176" s="83"/>
      <c r="O176" s="83"/>
      <c r="P176" s="83"/>
      <c r="Q176" s="83"/>
      <c r="R176" s="83"/>
      <c r="S176" s="83"/>
      <c r="T176" s="83"/>
      <c r="U176" s="83"/>
      <c r="V176" s="83"/>
      <c r="W176" s="83"/>
      <c r="X176" s="83"/>
      <c r="Y176" s="83"/>
      <c r="Z176" s="83"/>
      <c r="AA176" s="83"/>
      <c r="AB176" s="83"/>
      <c r="AC176" s="83"/>
      <c r="AD176" s="83"/>
      <c r="AE176" s="83"/>
      <c r="AF176" s="83"/>
      <c r="AG176" s="83"/>
      <c r="AH176" s="83"/>
      <c r="AI176" s="83"/>
      <c r="AJ176" s="83"/>
      <c r="AK176" s="83"/>
      <c r="AL176" s="83"/>
      <c r="AM176" s="83"/>
      <c r="AN176" s="83"/>
      <c r="AO176" s="83"/>
      <c r="AP176" s="83"/>
      <c r="AQ176" s="83"/>
      <c r="AR176" s="83"/>
      <c r="AS176" s="83"/>
      <c r="AT176" s="83"/>
    </row>
    <row r="177" spans="1:46" ht="13.8">
      <c r="A177" s="83"/>
      <c r="B177" s="83"/>
      <c r="C177" s="83"/>
      <c r="D177" s="83"/>
      <c r="E177" s="82"/>
      <c r="F177" s="82"/>
      <c r="G177" s="83"/>
      <c r="H177" s="83"/>
      <c r="I177" s="83"/>
      <c r="J177" s="83"/>
      <c r="K177" s="83"/>
      <c r="L177" s="83"/>
      <c r="M177" s="83"/>
      <c r="N177" s="83"/>
      <c r="O177" s="83"/>
      <c r="P177" s="83"/>
      <c r="Q177" s="83"/>
      <c r="R177" s="83"/>
      <c r="S177" s="83"/>
      <c r="T177" s="83"/>
      <c r="U177" s="83"/>
      <c r="V177" s="83"/>
      <c r="W177" s="83"/>
      <c r="X177" s="83"/>
      <c r="Y177" s="83"/>
      <c r="Z177" s="83"/>
      <c r="AA177" s="83"/>
      <c r="AB177" s="83"/>
      <c r="AC177" s="83"/>
      <c r="AD177" s="83"/>
      <c r="AE177" s="83"/>
      <c r="AF177" s="83"/>
      <c r="AG177" s="83"/>
      <c r="AH177" s="83"/>
      <c r="AI177" s="83"/>
      <c r="AJ177" s="83"/>
      <c r="AK177" s="83"/>
      <c r="AL177" s="83"/>
      <c r="AM177" s="83"/>
      <c r="AN177" s="83"/>
      <c r="AO177" s="83"/>
      <c r="AP177" s="83"/>
      <c r="AQ177" s="83"/>
      <c r="AR177" s="83"/>
      <c r="AS177" s="83"/>
      <c r="AT177" s="83"/>
    </row>
    <row r="178" spans="1:46" ht="13.8">
      <c r="A178" s="83"/>
      <c r="B178" s="83"/>
      <c r="C178" s="83"/>
      <c r="D178" s="83"/>
      <c r="E178" s="82"/>
      <c r="F178" s="82"/>
      <c r="G178" s="83"/>
      <c r="H178" s="83"/>
      <c r="I178" s="83"/>
      <c r="J178" s="83"/>
      <c r="K178" s="83"/>
      <c r="L178" s="83"/>
      <c r="M178" s="83"/>
      <c r="N178" s="83"/>
      <c r="O178" s="83"/>
      <c r="P178" s="83"/>
      <c r="Q178" s="83"/>
      <c r="R178" s="83"/>
      <c r="S178" s="83"/>
      <c r="T178" s="83"/>
      <c r="U178" s="83"/>
      <c r="V178" s="83"/>
      <c r="W178" s="83"/>
      <c r="X178" s="83"/>
      <c r="Y178" s="83"/>
      <c r="Z178" s="83"/>
      <c r="AA178" s="83"/>
      <c r="AB178" s="83"/>
      <c r="AC178" s="83"/>
      <c r="AD178" s="83"/>
      <c r="AE178" s="83"/>
      <c r="AF178" s="83"/>
      <c r="AG178" s="83"/>
      <c r="AH178" s="83"/>
      <c r="AI178" s="83"/>
      <c r="AJ178" s="83"/>
      <c r="AK178" s="83"/>
      <c r="AL178" s="83"/>
      <c r="AM178" s="83"/>
      <c r="AN178" s="83"/>
      <c r="AO178" s="83"/>
      <c r="AP178" s="83"/>
      <c r="AQ178" s="83"/>
      <c r="AR178" s="83"/>
      <c r="AS178" s="83"/>
      <c r="AT178" s="83"/>
    </row>
    <row r="179" spans="1:46" ht="13.8">
      <c r="A179" s="83"/>
      <c r="B179" s="83"/>
      <c r="C179" s="83"/>
      <c r="D179" s="83"/>
      <c r="E179" s="82"/>
      <c r="F179" s="82"/>
      <c r="G179" s="83"/>
      <c r="H179" s="83"/>
      <c r="I179" s="83"/>
      <c r="J179" s="83"/>
      <c r="K179" s="83"/>
      <c r="L179" s="83"/>
      <c r="M179" s="83"/>
      <c r="N179" s="83"/>
      <c r="O179" s="83"/>
      <c r="P179" s="83"/>
      <c r="Q179" s="83"/>
      <c r="R179" s="83"/>
      <c r="S179" s="83"/>
      <c r="T179" s="83"/>
      <c r="U179" s="83"/>
      <c r="V179" s="83"/>
      <c r="W179" s="83"/>
      <c r="X179" s="83"/>
      <c r="Y179" s="83"/>
      <c r="Z179" s="83"/>
      <c r="AA179" s="83"/>
      <c r="AB179" s="83"/>
      <c r="AC179" s="83"/>
      <c r="AD179" s="83"/>
      <c r="AE179" s="83"/>
      <c r="AF179" s="83"/>
      <c r="AG179" s="83"/>
      <c r="AH179" s="83"/>
      <c r="AI179" s="83"/>
      <c r="AJ179" s="83"/>
      <c r="AK179" s="83"/>
      <c r="AL179" s="83"/>
      <c r="AM179" s="83"/>
      <c r="AN179" s="83"/>
      <c r="AO179" s="83"/>
      <c r="AP179" s="83"/>
      <c r="AQ179" s="83"/>
      <c r="AR179" s="83"/>
      <c r="AS179" s="83"/>
      <c r="AT179" s="83"/>
    </row>
    <row r="180" spans="1:46" ht="13.8">
      <c r="A180" s="83"/>
      <c r="B180" s="83"/>
      <c r="C180" s="83"/>
      <c r="D180" s="83"/>
      <c r="E180" s="82"/>
      <c r="F180" s="82"/>
      <c r="G180" s="83"/>
      <c r="H180" s="83"/>
      <c r="I180" s="83"/>
      <c r="J180" s="83"/>
      <c r="K180" s="83"/>
      <c r="L180" s="83"/>
      <c r="M180" s="83"/>
      <c r="N180" s="83"/>
      <c r="O180" s="83"/>
      <c r="P180" s="83"/>
      <c r="Q180" s="83"/>
      <c r="R180" s="83"/>
      <c r="S180" s="83"/>
      <c r="T180" s="83"/>
      <c r="U180" s="83"/>
      <c r="V180" s="83"/>
      <c r="W180" s="83"/>
      <c r="X180" s="83"/>
      <c r="Y180" s="83"/>
      <c r="Z180" s="83"/>
      <c r="AA180" s="83"/>
      <c r="AB180" s="83"/>
      <c r="AC180" s="83"/>
      <c r="AD180" s="83"/>
      <c r="AE180" s="83"/>
      <c r="AF180" s="83"/>
      <c r="AG180" s="83"/>
      <c r="AH180" s="83"/>
      <c r="AI180" s="83"/>
      <c r="AJ180" s="83"/>
      <c r="AK180" s="83"/>
      <c r="AL180" s="83"/>
      <c r="AM180" s="83"/>
      <c r="AN180" s="83"/>
      <c r="AO180" s="83"/>
      <c r="AP180" s="83"/>
      <c r="AQ180" s="83"/>
      <c r="AR180" s="83"/>
      <c r="AS180" s="83"/>
      <c r="AT180" s="83"/>
    </row>
    <row r="181" spans="1:46" ht="13.8">
      <c r="A181" s="83"/>
      <c r="B181" s="83"/>
      <c r="C181" s="83"/>
      <c r="D181" s="83"/>
      <c r="E181" s="82"/>
      <c r="F181" s="82"/>
      <c r="G181" s="83"/>
      <c r="H181" s="83"/>
      <c r="I181" s="83"/>
      <c r="J181" s="83"/>
      <c r="K181" s="83"/>
      <c r="L181" s="83"/>
      <c r="M181" s="83"/>
      <c r="N181" s="83"/>
      <c r="O181" s="83"/>
      <c r="P181" s="83"/>
      <c r="Q181" s="83"/>
      <c r="R181" s="83"/>
      <c r="S181" s="83"/>
      <c r="T181" s="83"/>
      <c r="U181" s="83"/>
      <c r="V181" s="83"/>
      <c r="W181" s="83"/>
      <c r="X181" s="83"/>
      <c r="Y181" s="83"/>
      <c r="Z181" s="83"/>
      <c r="AA181" s="83"/>
      <c r="AB181" s="83"/>
      <c r="AC181" s="83"/>
      <c r="AD181" s="83"/>
      <c r="AE181" s="83"/>
      <c r="AF181" s="83"/>
      <c r="AG181" s="83"/>
      <c r="AH181" s="83"/>
      <c r="AI181" s="83"/>
      <c r="AJ181" s="83"/>
      <c r="AK181" s="83"/>
      <c r="AL181" s="83"/>
      <c r="AM181" s="83"/>
      <c r="AN181" s="83"/>
      <c r="AO181" s="83"/>
      <c r="AP181" s="83"/>
      <c r="AQ181" s="83"/>
      <c r="AR181" s="83"/>
      <c r="AS181" s="83"/>
      <c r="AT181" s="83"/>
    </row>
    <row r="182" spans="1:46" ht="13.8">
      <c r="A182" s="83"/>
      <c r="B182" s="83"/>
      <c r="C182" s="83"/>
      <c r="D182" s="83"/>
      <c r="E182" s="82"/>
      <c r="F182" s="82"/>
      <c r="G182" s="83"/>
      <c r="H182" s="83"/>
      <c r="I182" s="83"/>
      <c r="J182" s="83"/>
      <c r="K182" s="83"/>
      <c r="L182" s="83"/>
      <c r="M182" s="83"/>
      <c r="N182" s="83"/>
      <c r="O182" s="83"/>
      <c r="P182" s="83"/>
      <c r="Q182" s="83"/>
      <c r="R182" s="83"/>
      <c r="S182" s="83"/>
      <c r="T182" s="83"/>
      <c r="U182" s="83"/>
      <c r="V182" s="83"/>
      <c r="W182" s="83"/>
      <c r="X182" s="83"/>
      <c r="Y182" s="83"/>
      <c r="Z182" s="83"/>
      <c r="AA182" s="83"/>
      <c r="AB182" s="83"/>
      <c r="AC182" s="83"/>
      <c r="AD182" s="83"/>
      <c r="AE182" s="83"/>
      <c r="AF182" s="83"/>
      <c r="AG182" s="83"/>
      <c r="AH182" s="83"/>
      <c r="AI182" s="83"/>
      <c r="AJ182" s="83"/>
      <c r="AK182" s="83"/>
      <c r="AL182" s="83"/>
      <c r="AM182" s="83"/>
      <c r="AN182" s="83"/>
      <c r="AO182" s="83"/>
      <c r="AP182" s="83"/>
      <c r="AQ182" s="83"/>
      <c r="AR182" s="83"/>
      <c r="AS182" s="83"/>
      <c r="AT182" s="83"/>
    </row>
    <row r="183" spans="1:46" ht="13.8">
      <c r="A183" s="83"/>
      <c r="B183" s="83"/>
      <c r="C183" s="83"/>
      <c r="D183" s="83"/>
      <c r="E183" s="82"/>
      <c r="F183" s="82"/>
      <c r="G183" s="83"/>
      <c r="H183" s="83"/>
      <c r="I183" s="83"/>
      <c r="J183" s="83"/>
      <c r="K183" s="83"/>
      <c r="L183" s="83"/>
      <c r="M183" s="83"/>
      <c r="N183" s="83"/>
      <c r="O183" s="83"/>
      <c r="P183" s="83"/>
      <c r="Q183" s="83"/>
      <c r="R183" s="83"/>
      <c r="S183" s="83"/>
      <c r="T183" s="83"/>
      <c r="U183" s="83"/>
      <c r="V183" s="83"/>
      <c r="W183" s="83"/>
      <c r="X183" s="83"/>
      <c r="Y183" s="83"/>
      <c r="Z183" s="83"/>
      <c r="AA183" s="83"/>
      <c r="AB183" s="83"/>
      <c r="AC183" s="83"/>
      <c r="AD183" s="83"/>
      <c r="AE183" s="83"/>
      <c r="AF183" s="83"/>
      <c r="AG183" s="83"/>
      <c r="AH183" s="83"/>
      <c r="AI183" s="83"/>
      <c r="AJ183" s="83"/>
      <c r="AK183" s="83"/>
      <c r="AL183" s="83"/>
      <c r="AM183" s="83"/>
      <c r="AN183" s="83"/>
      <c r="AO183" s="83"/>
      <c r="AP183" s="83"/>
      <c r="AQ183" s="83"/>
      <c r="AR183" s="83"/>
      <c r="AS183" s="83"/>
      <c r="AT183" s="83"/>
    </row>
    <row r="184" spans="1:46" ht="13.8">
      <c r="A184" s="83"/>
      <c r="B184" s="83"/>
      <c r="C184" s="83"/>
      <c r="D184" s="83"/>
      <c r="E184" s="82"/>
      <c r="F184" s="82"/>
      <c r="G184" s="83"/>
      <c r="H184" s="83"/>
      <c r="I184" s="83"/>
      <c r="J184" s="83"/>
      <c r="K184" s="83"/>
      <c r="L184" s="83"/>
      <c r="M184" s="83"/>
      <c r="N184" s="83"/>
      <c r="O184" s="83"/>
      <c r="P184" s="83"/>
      <c r="Q184" s="83"/>
      <c r="R184" s="83"/>
      <c r="S184" s="83"/>
      <c r="T184" s="83"/>
      <c r="U184" s="83"/>
      <c r="V184" s="83"/>
      <c r="W184" s="83"/>
      <c r="X184" s="83"/>
      <c r="Y184" s="83"/>
      <c r="Z184" s="83"/>
      <c r="AA184" s="83"/>
      <c r="AB184" s="83"/>
      <c r="AC184" s="83"/>
      <c r="AD184" s="83"/>
      <c r="AE184" s="83"/>
      <c r="AF184" s="83"/>
      <c r="AG184" s="83"/>
      <c r="AH184" s="83"/>
      <c r="AI184" s="83"/>
      <c r="AJ184" s="83"/>
      <c r="AK184" s="83"/>
      <c r="AL184" s="83"/>
      <c r="AM184" s="83"/>
      <c r="AN184" s="83"/>
      <c r="AO184" s="83"/>
      <c r="AP184" s="83"/>
      <c r="AQ184" s="83"/>
      <c r="AR184" s="83"/>
      <c r="AS184" s="83"/>
      <c r="AT184" s="83"/>
    </row>
    <row r="185" spans="1:46" ht="13.8">
      <c r="A185" s="83"/>
      <c r="B185" s="83"/>
      <c r="C185" s="83"/>
      <c r="D185" s="83"/>
      <c r="E185" s="82"/>
      <c r="F185" s="82"/>
      <c r="G185" s="83"/>
      <c r="H185" s="83"/>
      <c r="I185" s="83"/>
      <c r="J185" s="83"/>
      <c r="K185" s="83"/>
      <c r="L185" s="83"/>
      <c r="M185" s="83"/>
      <c r="N185" s="83"/>
      <c r="O185" s="83"/>
      <c r="P185" s="83"/>
      <c r="Q185" s="83"/>
      <c r="R185" s="83"/>
      <c r="S185" s="83"/>
      <c r="T185" s="83"/>
      <c r="U185" s="83"/>
      <c r="V185" s="83"/>
      <c r="W185" s="83"/>
      <c r="X185" s="83"/>
      <c r="Y185" s="83"/>
      <c r="Z185" s="83"/>
      <c r="AA185" s="83"/>
      <c r="AB185" s="83"/>
      <c r="AC185" s="83"/>
      <c r="AD185" s="83"/>
      <c r="AE185" s="83"/>
      <c r="AF185" s="83"/>
      <c r="AG185" s="83"/>
      <c r="AH185" s="83"/>
      <c r="AI185" s="83"/>
      <c r="AJ185" s="83"/>
      <c r="AK185" s="83"/>
      <c r="AL185" s="83"/>
      <c r="AM185" s="83"/>
      <c r="AN185" s="83"/>
      <c r="AO185" s="83"/>
      <c r="AP185" s="83"/>
      <c r="AQ185" s="83"/>
      <c r="AR185" s="83"/>
      <c r="AS185" s="83"/>
      <c r="AT185" s="83"/>
    </row>
    <row r="186" spans="1:46" ht="13.8">
      <c r="A186" s="83"/>
      <c r="B186" s="83"/>
      <c r="C186" s="83"/>
      <c r="D186" s="83"/>
      <c r="E186" s="82"/>
      <c r="F186" s="82"/>
      <c r="G186" s="83"/>
      <c r="H186" s="83"/>
      <c r="I186" s="83"/>
      <c r="J186" s="83"/>
      <c r="K186" s="83"/>
      <c r="L186" s="83"/>
      <c r="M186" s="83"/>
      <c r="N186" s="83"/>
      <c r="O186" s="83"/>
      <c r="P186" s="83"/>
      <c r="Q186" s="83"/>
      <c r="R186" s="83"/>
      <c r="S186" s="83"/>
      <c r="T186" s="83"/>
      <c r="U186" s="83"/>
      <c r="V186" s="83"/>
      <c r="W186" s="83"/>
      <c r="X186" s="83"/>
      <c r="Y186" s="83"/>
      <c r="Z186" s="83"/>
      <c r="AA186" s="83"/>
      <c r="AB186" s="83"/>
      <c r="AC186" s="83"/>
      <c r="AD186" s="83"/>
      <c r="AE186" s="83"/>
      <c r="AF186" s="83"/>
      <c r="AG186" s="83"/>
      <c r="AH186" s="83"/>
      <c r="AI186" s="83"/>
      <c r="AJ186" s="83"/>
      <c r="AK186" s="83"/>
      <c r="AL186" s="83"/>
      <c r="AM186" s="83"/>
      <c r="AN186" s="83"/>
      <c r="AO186" s="83"/>
      <c r="AP186" s="83"/>
      <c r="AQ186" s="83"/>
      <c r="AR186" s="83"/>
      <c r="AS186" s="83"/>
      <c r="AT186" s="83"/>
    </row>
    <row r="187" spans="1:46" ht="13.8">
      <c r="A187" s="83"/>
      <c r="B187" s="83"/>
      <c r="C187" s="83"/>
      <c r="D187" s="83"/>
      <c r="E187" s="82"/>
      <c r="F187" s="82"/>
      <c r="G187" s="83"/>
      <c r="H187" s="83"/>
      <c r="I187" s="83"/>
      <c r="J187" s="83"/>
      <c r="K187" s="83"/>
      <c r="L187" s="83"/>
      <c r="M187" s="83"/>
      <c r="N187" s="83"/>
      <c r="O187" s="83"/>
      <c r="P187" s="83"/>
      <c r="Q187" s="83"/>
      <c r="R187" s="83"/>
      <c r="S187" s="83"/>
      <c r="T187" s="83"/>
      <c r="U187" s="83"/>
      <c r="V187" s="83"/>
      <c r="W187" s="83"/>
      <c r="X187" s="83"/>
      <c r="Y187" s="83"/>
      <c r="Z187" s="83"/>
      <c r="AA187" s="83"/>
      <c r="AB187" s="83"/>
      <c r="AC187" s="83"/>
      <c r="AD187" s="83"/>
      <c r="AE187" s="83"/>
      <c r="AF187" s="83"/>
      <c r="AG187" s="83"/>
      <c r="AH187" s="83"/>
      <c r="AI187" s="83"/>
      <c r="AJ187" s="83"/>
      <c r="AK187" s="83"/>
      <c r="AL187" s="83"/>
      <c r="AM187" s="83"/>
      <c r="AN187" s="83"/>
      <c r="AO187" s="83"/>
      <c r="AP187" s="83"/>
      <c r="AQ187" s="83"/>
      <c r="AR187" s="83"/>
      <c r="AS187" s="83"/>
      <c r="AT187" s="83"/>
    </row>
    <row r="188" spans="1:46" ht="13.8">
      <c r="A188" s="83"/>
      <c r="B188" s="83"/>
      <c r="C188" s="83"/>
      <c r="D188" s="83"/>
      <c r="E188" s="82"/>
      <c r="F188" s="82"/>
      <c r="G188" s="83"/>
      <c r="H188" s="83"/>
      <c r="I188" s="83"/>
      <c r="J188" s="83"/>
      <c r="K188" s="83"/>
      <c r="L188" s="83"/>
      <c r="M188" s="83"/>
      <c r="N188" s="83"/>
      <c r="O188" s="83"/>
      <c r="P188" s="83"/>
      <c r="Q188" s="83"/>
      <c r="R188" s="83"/>
      <c r="S188" s="83"/>
      <c r="T188" s="83"/>
      <c r="U188" s="83"/>
      <c r="V188" s="83"/>
      <c r="W188" s="83"/>
      <c r="X188" s="83"/>
      <c r="Y188" s="83"/>
      <c r="Z188" s="83"/>
      <c r="AA188" s="83"/>
      <c r="AB188" s="83"/>
      <c r="AC188" s="83"/>
      <c r="AD188" s="83"/>
      <c r="AE188" s="83"/>
      <c r="AF188" s="83"/>
      <c r="AG188" s="83"/>
      <c r="AH188" s="83"/>
      <c r="AI188" s="83"/>
      <c r="AJ188" s="83"/>
      <c r="AK188" s="83"/>
      <c r="AL188" s="83"/>
      <c r="AM188" s="83"/>
      <c r="AN188" s="83"/>
      <c r="AO188" s="83"/>
      <c r="AP188" s="83"/>
      <c r="AQ188" s="83"/>
      <c r="AR188" s="83"/>
      <c r="AS188" s="83"/>
      <c r="AT188" s="83"/>
    </row>
    <row r="189" spans="1:46" ht="13.8">
      <c r="A189" s="83"/>
      <c r="B189" s="83"/>
      <c r="C189" s="83"/>
      <c r="D189" s="83"/>
      <c r="E189" s="82"/>
      <c r="F189" s="82"/>
      <c r="G189" s="83"/>
      <c r="H189" s="83"/>
      <c r="I189" s="83"/>
      <c r="J189" s="83"/>
      <c r="K189" s="83"/>
      <c r="L189" s="83"/>
      <c r="M189" s="83"/>
      <c r="N189" s="83"/>
      <c r="O189" s="83"/>
      <c r="P189" s="83"/>
      <c r="Q189" s="83"/>
      <c r="R189" s="83"/>
      <c r="S189" s="83"/>
      <c r="T189" s="83"/>
      <c r="U189" s="83"/>
      <c r="V189" s="83"/>
      <c r="W189" s="83"/>
      <c r="X189" s="83"/>
      <c r="Y189" s="83"/>
      <c r="Z189" s="83"/>
      <c r="AA189" s="83"/>
      <c r="AB189" s="83"/>
      <c r="AC189" s="83"/>
      <c r="AD189" s="83"/>
      <c r="AE189" s="83"/>
      <c r="AF189" s="83"/>
      <c r="AG189" s="83"/>
      <c r="AH189" s="83"/>
      <c r="AI189" s="83"/>
      <c r="AJ189" s="83"/>
      <c r="AK189" s="83"/>
      <c r="AL189" s="83"/>
      <c r="AM189" s="83"/>
      <c r="AN189" s="83"/>
      <c r="AO189" s="83"/>
      <c r="AP189" s="83"/>
      <c r="AQ189" s="83"/>
      <c r="AR189" s="83"/>
      <c r="AS189" s="83"/>
      <c r="AT189" s="83"/>
    </row>
    <row r="190" spans="1:46" ht="13.8">
      <c r="A190" s="83"/>
      <c r="B190" s="83"/>
      <c r="C190" s="83"/>
      <c r="D190" s="83"/>
      <c r="E190" s="82"/>
      <c r="F190" s="82"/>
      <c r="G190" s="83"/>
      <c r="H190" s="83"/>
      <c r="I190" s="83"/>
      <c r="J190" s="83"/>
      <c r="K190" s="83"/>
      <c r="L190" s="83"/>
      <c r="M190" s="83"/>
      <c r="N190" s="83"/>
      <c r="O190" s="83"/>
      <c r="P190" s="83"/>
      <c r="Q190" s="83"/>
      <c r="R190" s="83"/>
      <c r="S190" s="83"/>
      <c r="T190" s="83"/>
      <c r="U190" s="83"/>
      <c r="V190" s="83"/>
      <c r="W190" s="83"/>
      <c r="X190" s="83"/>
      <c r="Y190" s="83"/>
      <c r="Z190" s="83"/>
      <c r="AA190" s="83"/>
      <c r="AB190" s="83"/>
      <c r="AC190" s="83"/>
      <c r="AD190" s="83"/>
      <c r="AE190" s="83"/>
      <c r="AF190" s="83"/>
      <c r="AG190" s="83"/>
      <c r="AH190" s="83"/>
      <c r="AI190" s="83"/>
      <c r="AJ190" s="83"/>
      <c r="AK190" s="83"/>
      <c r="AL190" s="83"/>
      <c r="AM190" s="83"/>
      <c r="AN190" s="83"/>
      <c r="AO190" s="83"/>
      <c r="AP190" s="83"/>
      <c r="AQ190" s="83"/>
      <c r="AR190" s="83"/>
      <c r="AS190" s="83"/>
      <c r="AT190" s="83"/>
    </row>
    <row r="191" spans="1:46" ht="13.8">
      <c r="A191" s="83"/>
      <c r="B191" s="83"/>
      <c r="C191" s="83"/>
      <c r="D191" s="83"/>
      <c r="E191" s="82"/>
      <c r="F191" s="82"/>
      <c r="G191" s="83"/>
      <c r="H191" s="83"/>
      <c r="I191" s="83"/>
      <c r="J191" s="83"/>
      <c r="K191" s="83"/>
      <c r="L191" s="83"/>
      <c r="M191" s="83"/>
      <c r="N191" s="83"/>
      <c r="O191" s="83"/>
      <c r="P191" s="83"/>
      <c r="Q191" s="83"/>
      <c r="R191" s="83"/>
      <c r="S191" s="83"/>
      <c r="T191" s="83"/>
      <c r="U191" s="83"/>
      <c r="V191" s="83"/>
      <c r="W191" s="83"/>
      <c r="X191" s="83"/>
      <c r="Y191" s="83"/>
      <c r="Z191" s="83"/>
      <c r="AA191" s="83"/>
      <c r="AB191" s="83"/>
      <c r="AC191" s="83"/>
      <c r="AD191" s="83"/>
      <c r="AE191" s="83"/>
      <c r="AF191" s="83"/>
      <c r="AG191" s="83"/>
      <c r="AH191" s="83"/>
      <c r="AI191" s="83"/>
      <c r="AJ191" s="83"/>
      <c r="AK191" s="83"/>
      <c r="AL191" s="83"/>
      <c r="AM191" s="83"/>
      <c r="AN191" s="83"/>
      <c r="AO191" s="83"/>
      <c r="AP191" s="83"/>
      <c r="AQ191" s="83"/>
      <c r="AR191" s="83"/>
      <c r="AS191" s="83"/>
      <c r="AT191" s="83"/>
    </row>
    <row r="192" spans="1:46" ht="13.8">
      <c r="A192" s="83"/>
      <c r="B192" s="83"/>
      <c r="C192" s="83"/>
      <c r="D192" s="83"/>
      <c r="E192" s="82"/>
      <c r="F192" s="82"/>
      <c r="G192" s="83"/>
      <c r="H192" s="83"/>
      <c r="I192" s="83"/>
      <c r="J192" s="83"/>
      <c r="K192" s="83"/>
      <c r="L192" s="83"/>
      <c r="M192" s="83"/>
      <c r="N192" s="83"/>
      <c r="O192" s="83"/>
      <c r="P192" s="83"/>
      <c r="Q192" s="83"/>
      <c r="R192" s="83"/>
      <c r="S192" s="83"/>
      <c r="T192" s="83"/>
      <c r="U192" s="83"/>
      <c r="V192" s="83"/>
      <c r="W192" s="83"/>
      <c r="X192" s="83"/>
      <c r="Y192" s="83"/>
      <c r="Z192" s="83"/>
      <c r="AA192" s="83"/>
      <c r="AB192" s="83"/>
      <c r="AC192" s="83"/>
      <c r="AD192" s="83"/>
      <c r="AE192" s="83"/>
      <c r="AF192" s="83"/>
      <c r="AG192" s="83"/>
      <c r="AH192" s="83"/>
      <c r="AI192" s="83"/>
      <c r="AJ192" s="83"/>
      <c r="AK192" s="83"/>
      <c r="AL192" s="83"/>
      <c r="AM192" s="83"/>
      <c r="AN192" s="83"/>
      <c r="AO192" s="83"/>
      <c r="AP192" s="83"/>
      <c r="AQ192" s="83"/>
      <c r="AR192" s="83"/>
      <c r="AS192" s="83"/>
      <c r="AT192" s="83"/>
    </row>
    <row r="193" spans="1:46" ht="13.8">
      <c r="A193" s="83"/>
      <c r="B193" s="83"/>
      <c r="C193" s="83"/>
      <c r="D193" s="83"/>
      <c r="E193" s="82"/>
      <c r="F193" s="82"/>
      <c r="G193" s="83"/>
      <c r="H193" s="83"/>
      <c r="I193" s="83"/>
      <c r="J193" s="83"/>
      <c r="K193" s="83"/>
      <c r="L193" s="83"/>
      <c r="M193" s="83"/>
      <c r="N193" s="83"/>
      <c r="O193" s="83"/>
      <c r="P193" s="83"/>
      <c r="Q193" s="83"/>
      <c r="R193" s="83"/>
      <c r="S193" s="83"/>
      <c r="T193" s="83"/>
      <c r="U193" s="83"/>
      <c r="V193" s="83"/>
      <c r="W193" s="83"/>
      <c r="X193" s="83"/>
      <c r="Y193" s="83"/>
      <c r="Z193" s="83"/>
      <c r="AA193" s="83"/>
      <c r="AB193" s="83"/>
      <c r="AC193" s="83"/>
      <c r="AD193" s="83"/>
      <c r="AE193" s="83"/>
      <c r="AF193" s="83"/>
      <c r="AG193" s="83"/>
      <c r="AH193" s="83"/>
      <c r="AI193" s="83"/>
      <c r="AJ193" s="83"/>
      <c r="AK193" s="83"/>
      <c r="AL193" s="83"/>
      <c r="AM193" s="83"/>
      <c r="AN193" s="83"/>
      <c r="AO193" s="83"/>
      <c r="AP193" s="83"/>
      <c r="AQ193" s="83"/>
      <c r="AR193" s="83"/>
      <c r="AS193" s="83"/>
      <c r="AT193" s="83"/>
    </row>
    <row r="194" spans="1:46" ht="13.8">
      <c r="A194" s="83"/>
      <c r="B194" s="83"/>
      <c r="C194" s="83"/>
      <c r="D194" s="83"/>
      <c r="E194" s="82"/>
      <c r="F194" s="82"/>
      <c r="G194" s="83"/>
      <c r="H194" s="83"/>
      <c r="I194" s="83"/>
      <c r="J194" s="83"/>
      <c r="K194" s="83"/>
      <c r="L194" s="83"/>
      <c r="M194" s="83"/>
      <c r="N194" s="83"/>
      <c r="O194" s="83"/>
      <c r="P194" s="83"/>
      <c r="Q194" s="83"/>
      <c r="R194" s="83"/>
      <c r="S194" s="83"/>
      <c r="T194" s="83"/>
      <c r="U194" s="83"/>
      <c r="V194" s="83"/>
      <c r="W194" s="83"/>
      <c r="X194" s="83"/>
      <c r="Y194" s="83"/>
      <c r="Z194" s="83"/>
      <c r="AA194" s="83"/>
      <c r="AB194" s="83"/>
      <c r="AC194" s="83"/>
      <c r="AD194" s="83"/>
      <c r="AE194" s="83"/>
      <c r="AF194" s="83"/>
      <c r="AG194" s="83"/>
      <c r="AH194" s="83"/>
      <c r="AI194" s="83"/>
      <c r="AJ194" s="83"/>
      <c r="AK194" s="83"/>
      <c r="AL194" s="83"/>
      <c r="AM194" s="83"/>
      <c r="AN194" s="83"/>
      <c r="AO194" s="83"/>
      <c r="AP194" s="83"/>
      <c r="AQ194" s="83"/>
      <c r="AR194" s="83"/>
      <c r="AS194" s="83"/>
      <c r="AT194" s="83"/>
    </row>
    <row r="195" spans="1:46" ht="13.8">
      <c r="A195" s="83"/>
      <c r="B195" s="83"/>
      <c r="C195" s="83"/>
      <c r="D195" s="83"/>
      <c r="E195" s="82"/>
      <c r="F195" s="82"/>
      <c r="G195" s="83"/>
      <c r="H195" s="83"/>
      <c r="I195" s="83"/>
      <c r="J195" s="83"/>
      <c r="K195" s="83"/>
      <c r="L195" s="83"/>
      <c r="M195" s="83"/>
      <c r="N195" s="83"/>
      <c r="O195" s="83"/>
      <c r="P195" s="83"/>
      <c r="Q195" s="83"/>
      <c r="R195" s="83"/>
      <c r="S195" s="83"/>
      <c r="T195" s="83"/>
      <c r="U195" s="83"/>
      <c r="V195" s="83"/>
      <c r="W195" s="83"/>
      <c r="X195" s="83"/>
      <c r="Y195" s="83"/>
      <c r="Z195" s="83"/>
      <c r="AA195" s="83"/>
      <c r="AB195" s="83"/>
      <c r="AC195" s="83"/>
      <c r="AD195" s="83"/>
      <c r="AE195" s="83"/>
      <c r="AF195" s="83"/>
      <c r="AG195" s="83"/>
      <c r="AH195" s="83"/>
      <c r="AI195" s="83"/>
      <c r="AJ195" s="83"/>
      <c r="AK195" s="83"/>
      <c r="AL195" s="83"/>
      <c r="AM195" s="83"/>
      <c r="AN195" s="83"/>
      <c r="AO195" s="83"/>
      <c r="AP195" s="83"/>
      <c r="AQ195" s="83"/>
      <c r="AR195" s="83"/>
      <c r="AS195" s="83"/>
      <c r="AT195" s="83"/>
    </row>
    <row r="196" spans="1:46" ht="13.8">
      <c r="A196" s="83"/>
      <c r="B196" s="83"/>
      <c r="C196" s="83"/>
      <c r="D196" s="83"/>
      <c r="E196" s="82"/>
      <c r="F196" s="82"/>
      <c r="G196" s="83"/>
      <c r="H196" s="83"/>
      <c r="I196" s="83"/>
      <c r="J196" s="83"/>
      <c r="K196" s="83"/>
      <c r="L196" s="83"/>
      <c r="M196" s="83"/>
      <c r="N196" s="83"/>
      <c r="O196" s="83"/>
      <c r="P196" s="83"/>
      <c r="Q196" s="83"/>
      <c r="R196" s="83"/>
      <c r="S196" s="83"/>
      <c r="T196" s="83"/>
      <c r="U196" s="83"/>
      <c r="V196" s="83"/>
      <c r="W196" s="83"/>
      <c r="X196" s="83"/>
      <c r="Y196" s="83"/>
      <c r="Z196" s="83"/>
      <c r="AA196" s="83"/>
      <c r="AB196" s="83"/>
      <c r="AC196" s="83"/>
      <c r="AD196" s="83"/>
      <c r="AE196" s="83"/>
      <c r="AF196" s="83"/>
      <c r="AG196" s="83"/>
      <c r="AH196" s="83"/>
      <c r="AI196" s="83"/>
      <c r="AJ196" s="83"/>
      <c r="AK196" s="83"/>
      <c r="AL196" s="83"/>
      <c r="AM196" s="83"/>
      <c r="AN196" s="83"/>
      <c r="AO196" s="83"/>
      <c r="AP196" s="83"/>
      <c r="AQ196" s="83"/>
      <c r="AR196" s="83"/>
      <c r="AS196" s="83"/>
      <c r="AT196" s="83"/>
    </row>
    <row r="197" spans="1:46" ht="13.8">
      <c r="A197" s="83"/>
      <c r="B197" s="83"/>
      <c r="C197" s="83"/>
      <c r="D197" s="83"/>
      <c r="E197" s="82"/>
      <c r="F197" s="82"/>
      <c r="G197" s="83"/>
      <c r="H197" s="83"/>
      <c r="I197" s="83"/>
      <c r="J197" s="83"/>
      <c r="K197" s="83"/>
      <c r="L197" s="83"/>
      <c r="M197" s="83"/>
      <c r="N197" s="83"/>
      <c r="O197" s="83"/>
      <c r="P197" s="83"/>
      <c r="Q197" s="83"/>
      <c r="R197" s="83"/>
      <c r="S197" s="83"/>
      <c r="T197" s="83"/>
      <c r="U197" s="83"/>
      <c r="V197" s="83"/>
      <c r="W197" s="83"/>
      <c r="X197" s="83"/>
      <c r="Y197" s="83"/>
      <c r="Z197" s="83"/>
      <c r="AA197" s="83"/>
      <c r="AB197" s="83"/>
      <c r="AC197" s="83"/>
      <c r="AD197" s="83"/>
      <c r="AE197" s="83"/>
      <c r="AF197" s="83"/>
      <c r="AG197" s="83"/>
      <c r="AH197" s="83"/>
      <c r="AI197" s="83"/>
      <c r="AJ197" s="83"/>
      <c r="AK197" s="83"/>
      <c r="AL197" s="83"/>
      <c r="AM197" s="83"/>
      <c r="AN197" s="83"/>
      <c r="AO197" s="83"/>
      <c r="AP197" s="83"/>
      <c r="AQ197" s="83"/>
      <c r="AR197" s="83"/>
      <c r="AS197" s="83"/>
      <c r="AT197" s="83"/>
    </row>
    <row r="198" spans="1:46" ht="13.8">
      <c r="A198" s="83"/>
      <c r="B198" s="83"/>
      <c r="C198" s="83"/>
      <c r="D198" s="83"/>
      <c r="E198" s="82"/>
      <c r="F198" s="82"/>
      <c r="G198" s="83"/>
      <c r="H198" s="83"/>
      <c r="I198" s="83"/>
      <c r="J198" s="83"/>
      <c r="K198" s="83"/>
      <c r="L198" s="83"/>
      <c r="M198" s="83"/>
      <c r="N198" s="83"/>
      <c r="O198" s="83"/>
      <c r="P198" s="83"/>
      <c r="Q198" s="83"/>
      <c r="R198" s="83"/>
      <c r="S198" s="83"/>
      <c r="T198" s="83"/>
      <c r="U198" s="83"/>
      <c r="V198" s="83"/>
      <c r="W198" s="83"/>
      <c r="X198" s="83"/>
      <c r="Y198" s="83"/>
      <c r="Z198" s="83"/>
      <c r="AA198" s="83"/>
      <c r="AB198" s="83"/>
      <c r="AC198" s="83"/>
      <c r="AD198" s="83"/>
      <c r="AE198" s="83"/>
      <c r="AF198" s="83"/>
      <c r="AG198" s="83"/>
      <c r="AH198" s="83"/>
      <c r="AI198" s="83"/>
      <c r="AJ198" s="83"/>
      <c r="AK198" s="83"/>
      <c r="AL198" s="83"/>
      <c r="AM198" s="83"/>
      <c r="AN198" s="83"/>
      <c r="AO198" s="83"/>
      <c r="AP198" s="83"/>
      <c r="AQ198" s="83"/>
      <c r="AR198" s="83"/>
      <c r="AS198" s="83"/>
      <c r="AT198" s="83"/>
    </row>
    <row r="199" spans="1:46" ht="13.8">
      <c r="A199" s="83"/>
      <c r="B199" s="83"/>
      <c r="C199" s="83"/>
      <c r="D199" s="83"/>
      <c r="E199" s="82"/>
      <c r="F199" s="82"/>
      <c r="G199" s="83"/>
      <c r="H199" s="83"/>
      <c r="I199" s="83"/>
      <c r="J199" s="83"/>
      <c r="K199" s="83"/>
      <c r="L199" s="83"/>
      <c r="M199" s="83"/>
      <c r="N199" s="83"/>
      <c r="O199" s="83"/>
      <c r="P199" s="83"/>
      <c r="Q199" s="83"/>
      <c r="R199" s="83"/>
      <c r="S199" s="83"/>
      <c r="T199" s="83"/>
      <c r="U199" s="83"/>
      <c r="V199" s="83"/>
      <c r="W199" s="83"/>
      <c r="X199" s="83"/>
      <c r="Y199" s="83"/>
      <c r="Z199" s="83"/>
      <c r="AA199" s="83"/>
      <c r="AB199" s="83"/>
      <c r="AC199" s="83"/>
      <c r="AD199" s="83"/>
      <c r="AE199" s="83"/>
      <c r="AF199" s="83"/>
      <c r="AG199" s="83"/>
      <c r="AH199" s="83"/>
      <c r="AI199" s="83"/>
      <c r="AJ199" s="83"/>
      <c r="AK199" s="83"/>
      <c r="AL199" s="83"/>
      <c r="AM199" s="83"/>
      <c r="AN199" s="83"/>
      <c r="AO199" s="83"/>
      <c r="AP199" s="83"/>
      <c r="AQ199" s="83"/>
      <c r="AR199" s="83"/>
      <c r="AS199" s="83"/>
      <c r="AT199" s="83"/>
    </row>
    <row r="200" spans="1:46" ht="13.8">
      <c r="A200" s="83"/>
      <c r="B200" s="83"/>
      <c r="C200" s="83"/>
      <c r="D200" s="83"/>
      <c r="E200" s="82"/>
      <c r="F200" s="82"/>
      <c r="G200" s="83"/>
      <c r="H200" s="83"/>
      <c r="I200" s="83"/>
      <c r="J200" s="83"/>
      <c r="K200" s="83"/>
      <c r="L200" s="83"/>
      <c r="M200" s="83"/>
      <c r="N200" s="83"/>
      <c r="O200" s="83"/>
      <c r="P200" s="83"/>
      <c r="Q200" s="83"/>
      <c r="R200" s="83"/>
      <c r="S200" s="83"/>
      <c r="T200" s="83"/>
      <c r="U200" s="83"/>
      <c r="V200" s="83"/>
      <c r="W200" s="83"/>
      <c r="X200" s="83"/>
      <c r="Y200" s="83"/>
      <c r="Z200" s="83"/>
      <c r="AA200" s="83"/>
      <c r="AB200" s="83"/>
      <c r="AC200" s="83"/>
      <c r="AD200" s="83"/>
      <c r="AE200" s="83"/>
      <c r="AF200" s="83"/>
      <c r="AG200" s="83"/>
      <c r="AH200" s="83"/>
      <c r="AI200" s="83"/>
      <c r="AJ200" s="83"/>
      <c r="AK200" s="83"/>
      <c r="AL200" s="83"/>
      <c r="AM200" s="83"/>
      <c r="AN200" s="83"/>
      <c r="AO200" s="83"/>
      <c r="AP200" s="83"/>
      <c r="AQ200" s="83"/>
      <c r="AR200" s="83"/>
      <c r="AS200" s="83"/>
      <c r="AT200" s="83"/>
    </row>
    <row r="201" spans="1:46" ht="13.8">
      <c r="A201" s="83"/>
      <c r="B201" s="83"/>
      <c r="C201" s="83"/>
      <c r="D201" s="83"/>
      <c r="E201" s="82"/>
      <c r="F201" s="82"/>
      <c r="G201" s="83"/>
      <c r="H201" s="83"/>
      <c r="I201" s="83"/>
      <c r="J201" s="83"/>
      <c r="K201" s="83"/>
      <c r="L201" s="83"/>
      <c r="M201" s="83"/>
      <c r="N201" s="83"/>
      <c r="O201" s="83"/>
      <c r="P201" s="83"/>
      <c r="Q201" s="83"/>
      <c r="R201" s="83"/>
      <c r="S201" s="83"/>
      <c r="T201" s="83"/>
      <c r="U201" s="83"/>
      <c r="V201" s="83"/>
      <c r="W201" s="83"/>
      <c r="X201" s="83"/>
      <c r="Y201" s="83"/>
      <c r="Z201" s="83"/>
      <c r="AA201" s="83"/>
      <c r="AB201" s="83"/>
      <c r="AC201" s="83"/>
      <c r="AD201" s="83"/>
      <c r="AE201" s="83"/>
      <c r="AF201" s="83"/>
      <c r="AG201" s="83"/>
      <c r="AH201" s="83"/>
      <c r="AI201" s="83"/>
      <c r="AJ201" s="83"/>
      <c r="AK201" s="83"/>
      <c r="AL201" s="83"/>
      <c r="AM201" s="83"/>
      <c r="AN201" s="83"/>
      <c r="AO201" s="83"/>
      <c r="AP201" s="83"/>
      <c r="AQ201" s="83"/>
      <c r="AR201" s="83"/>
      <c r="AS201" s="83"/>
      <c r="AT201" s="83"/>
    </row>
    <row r="202" spans="1:46" ht="13.8">
      <c r="A202" s="83"/>
      <c r="B202" s="83"/>
      <c r="C202" s="83"/>
      <c r="D202" s="83"/>
      <c r="E202" s="82"/>
      <c r="F202" s="82"/>
      <c r="G202" s="83"/>
      <c r="H202" s="83"/>
      <c r="I202" s="83"/>
      <c r="J202" s="83"/>
      <c r="K202" s="83"/>
      <c r="L202" s="83"/>
      <c r="M202" s="83"/>
      <c r="N202" s="83"/>
      <c r="O202" s="83"/>
      <c r="P202" s="83"/>
      <c r="Q202" s="83"/>
      <c r="R202" s="83"/>
      <c r="S202" s="83"/>
      <c r="T202" s="83"/>
      <c r="U202" s="83"/>
      <c r="V202" s="83"/>
      <c r="W202" s="83"/>
      <c r="X202" s="83"/>
      <c r="Y202" s="83"/>
      <c r="Z202" s="83"/>
      <c r="AA202" s="83"/>
      <c r="AB202" s="83"/>
      <c r="AC202" s="83"/>
      <c r="AD202" s="83"/>
      <c r="AE202" s="83"/>
      <c r="AF202" s="83"/>
      <c r="AG202" s="83"/>
      <c r="AH202" s="83"/>
      <c r="AI202" s="83"/>
      <c r="AJ202" s="83"/>
      <c r="AK202" s="83"/>
      <c r="AL202" s="83"/>
      <c r="AM202" s="83"/>
      <c r="AN202" s="83"/>
      <c r="AO202" s="83"/>
      <c r="AP202" s="83"/>
      <c r="AQ202" s="83"/>
      <c r="AR202" s="83"/>
      <c r="AS202" s="83"/>
      <c r="AT202" s="83"/>
    </row>
    <row r="203" spans="1:46" ht="13.8">
      <c r="A203" s="83"/>
      <c r="B203" s="83"/>
      <c r="C203" s="83"/>
      <c r="D203" s="83"/>
      <c r="E203" s="82"/>
      <c r="F203" s="82"/>
      <c r="G203" s="83"/>
      <c r="H203" s="83"/>
      <c r="I203" s="83"/>
      <c r="J203" s="83"/>
      <c r="K203" s="83"/>
      <c r="L203" s="83"/>
      <c r="M203" s="83"/>
      <c r="N203" s="83"/>
      <c r="O203" s="83"/>
      <c r="P203" s="83"/>
      <c r="Q203" s="83"/>
      <c r="R203" s="83"/>
      <c r="S203" s="83"/>
      <c r="T203" s="83"/>
      <c r="U203" s="83"/>
      <c r="V203" s="83"/>
      <c r="W203" s="83"/>
      <c r="X203" s="83"/>
      <c r="Y203" s="83"/>
      <c r="Z203" s="83"/>
      <c r="AA203" s="83"/>
      <c r="AB203" s="83"/>
      <c r="AC203" s="83"/>
      <c r="AD203" s="83"/>
      <c r="AE203" s="83"/>
      <c r="AF203" s="83"/>
      <c r="AG203" s="83"/>
      <c r="AH203" s="83"/>
      <c r="AI203" s="83"/>
      <c r="AJ203" s="83"/>
      <c r="AK203" s="83"/>
      <c r="AL203" s="83"/>
      <c r="AM203" s="83"/>
      <c r="AN203" s="83"/>
      <c r="AO203" s="83"/>
      <c r="AP203" s="83"/>
      <c r="AQ203" s="83"/>
      <c r="AR203" s="83"/>
      <c r="AS203" s="83"/>
      <c r="AT203" s="83"/>
    </row>
    <row r="204" spans="1:46" ht="13.8">
      <c r="A204" s="83"/>
      <c r="B204" s="83"/>
      <c r="C204" s="83"/>
      <c r="D204" s="83"/>
      <c r="E204" s="82"/>
      <c r="F204" s="82"/>
      <c r="G204" s="83"/>
      <c r="H204" s="83"/>
      <c r="I204" s="83"/>
      <c r="J204" s="83"/>
      <c r="K204" s="83"/>
      <c r="L204" s="83"/>
      <c r="M204" s="83"/>
      <c r="N204" s="83"/>
      <c r="O204" s="83"/>
      <c r="P204" s="83"/>
      <c r="Q204" s="83"/>
      <c r="R204" s="83"/>
      <c r="S204" s="83"/>
      <c r="T204" s="83"/>
      <c r="U204" s="83"/>
      <c r="V204" s="83"/>
      <c r="W204" s="83"/>
      <c r="X204" s="83"/>
      <c r="Y204" s="83"/>
      <c r="Z204" s="83"/>
      <c r="AA204" s="83"/>
      <c r="AB204" s="83"/>
      <c r="AC204" s="83"/>
      <c r="AD204" s="83"/>
      <c r="AE204" s="83"/>
      <c r="AF204" s="83"/>
      <c r="AG204" s="83"/>
      <c r="AH204" s="83"/>
      <c r="AI204" s="83"/>
      <c r="AJ204" s="83"/>
      <c r="AK204" s="83"/>
      <c r="AL204" s="83"/>
      <c r="AM204" s="83"/>
      <c r="AN204" s="83"/>
      <c r="AO204" s="83"/>
      <c r="AP204" s="83"/>
      <c r="AQ204" s="83"/>
      <c r="AR204" s="83"/>
      <c r="AS204" s="83"/>
      <c r="AT204" s="83"/>
    </row>
    <row r="205" spans="1:46" ht="13.8">
      <c r="A205" s="83"/>
      <c r="B205" s="83"/>
      <c r="C205" s="83"/>
      <c r="D205" s="83"/>
      <c r="E205" s="82"/>
      <c r="F205" s="82"/>
      <c r="G205" s="83"/>
      <c r="H205" s="83"/>
      <c r="I205" s="83"/>
      <c r="J205" s="83"/>
      <c r="K205" s="83"/>
      <c r="L205" s="83"/>
      <c r="M205" s="83"/>
      <c r="N205" s="83"/>
      <c r="O205" s="83"/>
      <c r="P205" s="83"/>
      <c r="Q205" s="83"/>
      <c r="R205" s="83"/>
      <c r="S205" s="83"/>
      <c r="T205" s="83"/>
      <c r="U205" s="83"/>
      <c r="V205" s="83"/>
      <c r="W205" s="83"/>
      <c r="X205" s="83"/>
      <c r="Y205" s="83"/>
      <c r="Z205" s="83"/>
      <c r="AA205" s="83"/>
      <c r="AB205" s="83"/>
      <c r="AC205" s="83"/>
      <c r="AD205" s="83"/>
      <c r="AE205" s="83"/>
      <c r="AF205" s="83"/>
      <c r="AG205" s="83"/>
      <c r="AH205" s="83"/>
      <c r="AI205" s="83"/>
      <c r="AJ205" s="83"/>
      <c r="AK205" s="83"/>
      <c r="AL205" s="83"/>
      <c r="AM205" s="83"/>
      <c r="AN205" s="83"/>
      <c r="AO205" s="83"/>
      <c r="AP205" s="83"/>
      <c r="AQ205" s="83"/>
      <c r="AR205" s="83"/>
      <c r="AS205" s="83"/>
      <c r="AT205" s="83"/>
    </row>
    <row r="206" spans="1:46" ht="13.8">
      <c r="A206" s="83"/>
      <c r="B206" s="83"/>
      <c r="C206" s="83"/>
      <c r="D206" s="83"/>
      <c r="E206" s="82"/>
      <c r="F206" s="82"/>
      <c r="G206" s="83"/>
      <c r="H206" s="83"/>
      <c r="I206" s="83"/>
      <c r="J206" s="83"/>
      <c r="K206" s="83"/>
      <c r="L206" s="83"/>
      <c r="M206" s="83"/>
      <c r="N206" s="83"/>
      <c r="O206" s="83"/>
      <c r="P206" s="83"/>
      <c r="Q206" s="83"/>
      <c r="R206" s="83"/>
      <c r="S206" s="83"/>
      <c r="T206" s="83"/>
      <c r="U206" s="83"/>
      <c r="V206" s="83"/>
      <c r="W206" s="83"/>
      <c r="X206" s="83"/>
      <c r="Y206" s="83"/>
      <c r="Z206" s="83"/>
      <c r="AA206" s="83"/>
      <c r="AB206" s="83"/>
      <c r="AC206" s="83"/>
      <c r="AD206" s="83"/>
      <c r="AE206" s="83"/>
      <c r="AF206" s="83"/>
      <c r="AG206" s="83"/>
      <c r="AH206" s="83"/>
      <c r="AI206" s="83"/>
      <c r="AJ206" s="83"/>
      <c r="AK206" s="83"/>
      <c r="AL206" s="83"/>
      <c r="AM206" s="83"/>
      <c r="AN206" s="83"/>
      <c r="AO206" s="83"/>
      <c r="AP206" s="83"/>
      <c r="AQ206" s="83"/>
      <c r="AR206" s="83"/>
      <c r="AS206" s="83"/>
      <c r="AT206" s="83"/>
    </row>
    <row r="207" spans="1:46" ht="13.8">
      <c r="A207" s="83"/>
      <c r="B207" s="83"/>
      <c r="C207" s="83"/>
      <c r="D207" s="83"/>
      <c r="E207" s="82"/>
      <c r="F207" s="82"/>
      <c r="G207" s="83"/>
      <c r="H207" s="83"/>
      <c r="I207" s="83"/>
      <c r="J207" s="83"/>
      <c r="K207" s="83"/>
      <c r="L207" s="83"/>
      <c r="M207" s="83"/>
      <c r="N207" s="83"/>
      <c r="O207" s="83"/>
      <c r="P207" s="83"/>
      <c r="Q207" s="83"/>
      <c r="R207" s="83"/>
      <c r="S207" s="83"/>
      <c r="T207" s="83"/>
      <c r="U207" s="83"/>
      <c r="V207" s="83"/>
      <c r="W207" s="83"/>
      <c r="X207" s="83"/>
      <c r="Y207" s="83"/>
      <c r="Z207" s="83"/>
      <c r="AA207" s="83"/>
      <c r="AB207" s="83"/>
      <c r="AC207" s="83"/>
      <c r="AD207" s="83"/>
      <c r="AE207" s="83"/>
      <c r="AF207" s="83"/>
      <c r="AG207" s="83"/>
      <c r="AH207" s="83"/>
      <c r="AI207" s="83"/>
      <c r="AJ207" s="83"/>
      <c r="AK207" s="83"/>
      <c r="AL207" s="83"/>
      <c r="AM207" s="83"/>
      <c r="AN207" s="83"/>
      <c r="AO207" s="83"/>
      <c r="AP207" s="83"/>
      <c r="AQ207" s="83"/>
      <c r="AR207" s="83"/>
      <c r="AS207" s="83"/>
      <c r="AT207" s="83"/>
    </row>
    <row r="208" spans="1:46" ht="13.8">
      <c r="A208" s="83"/>
      <c r="B208" s="83"/>
      <c r="C208" s="83"/>
      <c r="D208" s="83"/>
      <c r="E208" s="82"/>
      <c r="F208" s="82"/>
      <c r="G208" s="83"/>
      <c r="H208" s="83"/>
      <c r="I208" s="83"/>
      <c r="J208" s="83"/>
      <c r="K208" s="83"/>
      <c r="L208" s="83"/>
      <c r="M208" s="83"/>
      <c r="N208" s="83"/>
      <c r="O208" s="83"/>
      <c r="P208" s="83"/>
      <c r="Q208" s="83"/>
      <c r="R208" s="83"/>
      <c r="S208" s="83"/>
      <c r="T208" s="83"/>
      <c r="U208" s="83"/>
      <c r="V208" s="83"/>
      <c r="W208" s="83"/>
      <c r="X208" s="83"/>
      <c r="Y208" s="83"/>
      <c r="Z208" s="83"/>
      <c r="AA208" s="83"/>
      <c r="AB208" s="83"/>
      <c r="AC208" s="83"/>
      <c r="AD208" s="83"/>
      <c r="AE208" s="83"/>
      <c r="AF208" s="83"/>
      <c r="AG208" s="83"/>
      <c r="AH208" s="83"/>
      <c r="AI208" s="83"/>
      <c r="AJ208" s="83"/>
      <c r="AK208" s="83"/>
      <c r="AL208" s="83"/>
      <c r="AM208" s="83"/>
      <c r="AN208" s="83"/>
      <c r="AO208" s="83"/>
      <c r="AP208" s="83"/>
      <c r="AQ208" s="83"/>
      <c r="AR208" s="83"/>
      <c r="AS208" s="83"/>
      <c r="AT208" s="83"/>
    </row>
    <row r="209" spans="1:46" ht="13.8">
      <c r="A209" s="83"/>
      <c r="B209" s="83"/>
      <c r="C209" s="83"/>
      <c r="D209" s="83"/>
      <c r="E209" s="82"/>
      <c r="F209" s="82"/>
      <c r="G209" s="83"/>
      <c r="H209" s="83"/>
      <c r="I209" s="83"/>
      <c r="J209" s="83"/>
      <c r="K209" s="83"/>
      <c r="L209" s="83"/>
      <c r="M209" s="83"/>
      <c r="N209" s="83"/>
      <c r="O209" s="83"/>
      <c r="P209" s="83"/>
      <c r="Q209" s="83"/>
      <c r="R209" s="83"/>
      <c r="S209" s="83"/>
      <c r="T209" s="83"/>
      <c r="U209" s="83"/>
      <c r="V209" s="83"/>
      <c r="W209" s="83"/>
      <c r="X209" s="83"/>
      <c r="Y209" s="83"/>
      <c r="Z209" s="83"/>
      <c r="AA209" s="83"/>
      <c r="AB209" s="83"/>
      <c r="AC209" s="83"/>
      <c r="AD209" s="83"/>
      <c r="AE209" s="83"/>
      <c r="AF209" s="83"/>
      <c r="AG209" s="83"/>
      <c r="AH209" s="83"/>
      <c r="AI209" s="83"/>
      <c r="AJ209" s="83"/>
      <c r="AK209" s="83"/>
      <c r="AL209" s="83"/>
      <c r="AM209" s="83"/>
      <c r="AN209" s="83"/>
      <c r="AO209" s="83"/>
      <c r="AP209" s="83"/>
      <c r="AQ209" s="83"/>
      <c r="AR209" s="83"/>
      <c r="AS209" s="83"/>
      <c r="AT209" s="83"/>
    </row>
    <row r="210" spans="1:46" ht="13.8">
      <c r="A210" s="83"/>
      <c r="B210" s="83"/>
      <c r="C210" s="83"/>
      <c r="D210" s="83"/>
      <c r="E210" s="82"/>
      <c r="F210" s="82"/>
      <c r="G210" s="83"/>
      <c r="H210" s="83"/>
      <c r="I210" s="83"/>
      <c r="J210" s="83"/>
      <c r="K210" s="83"/>
      <c r="L210" s="83"/>
      <c r="M210" s="83"/>
      <c r="N210" s="83"/>
      <c r="O210" s="83"/>
      <c r="P210" s="83"/>
      <c r="Q210" s="83"/>
      <c r="R210" s="83"/>
      <c r="S210" s="83"/>
      <c r="T210" s="83"/>
      <c r="U210" s="83"/>
      <c r="V210" s="83"/>
      <c r="W210" s="83"/>
      <c r="X210" s="83"/>
      <c r="Y210" s="83"/>
      <c r="Z210" s="83"/>
      <c r="AA210" s="83"/>
      <c r="AB210" s="83"/>
      <c r="AC210" s="83"/>
      <c r="AD210" s="83"/>
      <c r="AE210" s="83"/>
      <c r="AF210" s="83"/>
      <c r="AG210" s="83"/>
      <c r="AH210" s="83"/>
      <c r="AI210" s="83"/>
      <c r="AJ210" s="83"/>
      <c r="AK210" s="83"/>
      <c r="AL210" s="83"/>
      <c r="AM210" s="83"/>
      <c r="AN210" s="83"/>
      <c r="AO210" s="83"/>
      <c r="AP210" s="83"/>
      <c r="AQ210" s="83"/>
      <c r="AR210" s="83"/>
      <c r="AS210" s="83"/>
      <c r="AT210" s="83"/>
    </row>
    <row r="211" spans="1:46" ht="13.8">
      <c r="A211" s="83"/>
      <c r="B211" s="83"/>
      <c r="C211" s="83"/>
      <c r="D211" s="83"/>
      <c r="E211" s="82"/>
      <c r="F211" s="82"/>
      <c r="G211" s="83"/>
      <c r="H211" s="83"/>
      <c r="I211" s="83"/>
      <c r="J211" s="83"/>
      <c r="K211" s="83"/>
      <c r="L211" s="83"/>
      <c r="M211" s="83"/>
      <c r="N211" s="83"/>
      <c r="O211" s="83"/>
      <c r="P211" s="83"/>
      <c r="Q211" s="83"/>
      <c r="R211" s="83"/>
      <c r="S211" s="83"/>
      <c r="T211" s="83"/>
      <c r="U211" s="83"/>
      <c r="V211" s="83"/>
      <c r="W211" s="83"/>
      <c r="X211" s="83"/>
      <c r="Y211" s="83"/>
      <c r="Z211" s="83"/>
      <c r="AA211" s="83"/>
      <c r="AB211" s="83"/>
      <c r="AC211" s="83"/>
      <c r="AD211" s="83"/>
      <c r="AE211" s="83"/>
      <c r="AF211" s="83"/>
      <c r="AG211" s="83"/>
      <c r="AH211" s="83"/>
      <c r="AI211" s="83"/>
      <c r="AJ211" s="83"/>
      <c r="AK211" s="83"/>
      <c r="AL211" s="83"/>
      <c r="AM211" s="83"/>
      <c r="AN211" s="83"/>
      <c r="AO211" s="83"/>
      <c r="AP211" s="83"/>
      <c r="AQ211" s="83"/>
      <c r="AR211" s="83"/>
      <c r="AS211" s="83"/>
      <c r="AT211" s="83"/>
    </row>
    <row r="212" spans="1:46" ht="13.8">
      <c r="A212" s="83"/>
      <c r="B212" s="83"/>
      <c r="C212" s="83"/>
      <c r="D212" s="83"/>
      <c r="E212" s="82"/>
      <c r="F212" s="82"/>
      <c r="G212" s="83"/>
      <c r="H212" s="83"/>
      <c r="I212" s="83"/>
      <c r="J212" s="83"/>
      <c r="K212" s="83"/>
      <c r="L212" s="83"/>
      <c r="M212" s="83"/>
      <c r="N212" s="83"/>
      <c r="O212" s="83"/>
      <c r="P212" s="83"/>
      <c r="Q212" s="83"/>
      <c r="R212" s="83"/>
      <c r="S212" s="83"/>
      <c r="T212" s="83"/>
      <c r="U212" s="83"/>
      <c r="V212" s="83"/>
      <c r="W212" s="83"/>
      <c r="X212" s="83"/>
      <c r="Y212" s="83"/>
      <c r="Z212" s="83"/>
      <c r="AA212" s="83"/>
      <c r="AB212" s="83"/>
      <c r="AC212" s="83"/>
      <c r="AD212" s="83"/>
      <c r="AE212" s="83"/>
      <c r="AF212" s="83"/>
      <c r="AG212" s="83"/>
      <c r="AH212" s="83"/>
      <c r="AI212" s="83"/>
      <c r="AJ212" s="83"/>
      <c r="AK212" s="83"/>
      <c r="AL212" s="83"/>
      <c r="AM212" s="83"/>
      <c r="AN212" s="83"/>
      <c r="AO212" s="83"/>
      <c r="AP212" s="83"/>
      <c r="AQ212" s="83"/>
      <c r="AR212" s="83"/>
      <c r="AS212" s="83"/>
      <c r="AT212" s="83"/>
    </row>
    <row r="213" spans="1:46" ht="13.8">
      <c r="A213" s="83"/>
      <c r="B213" s="83"/>
      <c r="C213" s="83"/>
      <c r="D213" s="83"/>
      <c r="E213" s="82"/>
      <c r="F213" s="82"/>
      <c r="G213" s="83"/>
      <c r="H213" s="83"/>
      <c r="I213" s="83"/>
      <c r="J213" s="83"/>
      <c r="K213" s="83"/>
      <c r="L213" s="83"/>
      <c r="M213" s="83"/>
      <c r="N213" s="83"/>
      <c r="O213" s="83"/>
      <c r="P213" s="83"/>
      <c r="Q213" s="83"/>
      <c r="R213" s="83"/>
      <c r="S213" s="83"/>
      <c r="T213" s="83"/>
      <c r="U213" s="83"/>
      <c r="V213" s="83"/>
      <c r="W213" s="83"/>
      <c r="X213" s="83"/>
      <c r="Y213" s="83"/>
      <c r="Z213" s="83"/>
      <c r="AA213" s="83"/>
      <c r="AB213" s="83"/>
      <c r="AC213" s="83"/>
      <c r="AD213" s="83"/>
      <c r="AE213" s="83"/>
      <c r="AF213" s="83"/>
      <c r="AG213" s="83"/>
      <c r="AH213" s="83"/>
      <c r="AI213" s="83"/>
      <c r="AJ213" s="83"/>
      <c r="AK213" s="83"/>
      <c r="AL213" s="83"/>
      <c r="AM213" s="83"/>
      <c r="AN213" s="83"/>
      <c r="AO213" s="83"/>
      <c r="AP213" s="83"/>
      <c r="AQ213" s="83"/>
      <c r="AR213" s="83"/>
      <c r="AS213" s="83"/>
      <c r="AT213" s="83"/>
    </row>
    <row r="214" spans="1:46" ht="13.8">
      <c r="A214" s="83"/>
      <c r="B214" s="83"/>
      <c r="C214" s="83"/>
      <c r="D214" s="83"/>
      <c r="E214" s="82"/>
      <c r="F214" s="82"/>
      <c r="G214" s="83"/>
      <c r="H214" s="83"/>
      <c r="I214" s="83"/>
      <c r="J214" s="83"/>
      <c r="K214" s="83"/>
      <c r="L214" s="83"/>
      <c r="M214" s="83"/>
      <c r="N214" s="83"/>
      <c r="O214" s="83"/>
      <c r="P214" s="83"/>
      <c r="Q214" s="83"/>
      <c r="R214" s="83"/>
      <c r="S214" s="83"/>
      <c r="T214" s="83"/>
      <c r="U214" s="83"/>
      <c r="V214" s="83"/>
      <c r="W214" s="83"/>
      <c r="X214" s="83"/>
      <c r="Y214" s="83"/>
      <c r="Z214" s="83"/>
      <c r="AA214" s="83"/>
      <c r="AB214" s="83"/>
      <c r="AC214" s="83"/>
      <c r="AD214" s="83"/>
      <c r="AE214" s="83"/>
      <c r="AF214" s="83"/>
      <c r="AG214" s="83"/>
      <c r="AH214" s="83"/>
      <c r="AI214" s="83"/>
      <c r="AJ214" s="83"/>
      <c r="AK214" s="83"/>
      <c r="AL214" s="83"/>
      <c r="AM214" s="83"/>
      <c r="AN214" s="83"/>
      <c r="AO214" s="83"/>
      <c r="AP214" s="83"/>
      <c r="AQ214" s="83"/>
      <c r="AR214" s="83"/>
      <c r="AS214" s="83"/>
      <c r="AT214" s="83"/>
    </row>
    <row r="215" spans="1:46" ht="13.8">
      <c r="A215" s="83"/>
      <c r="B215" s="83"/>
      <c r="C215" s="83"/>
      <c r="D215" s="83"/>
      <c r="E215" s="82"/>
      <c r="F215" s="82"/>
      <c r="G215" s="83"/>
      <c r="H215" s="83"/>
      <c r="I215" s="83"/>
      <c r="J215" s="83"/>
      <c r="K215" s="83"/>
      <c r="L215" s="83"/>
      <c r="M215" s="83"/>
      <c r="N215" s="83"/>
      <c r="O215" s="83"/>
      <c r="P215" s="83"/>
      <c r="Q215" s="83"/>
      <c r="R215" s="83"/>
      <c r="S215" s="83"/>
      <c r="T215" s="83"/>
      <c r="U215" s="83"/>
      <c r="V215" s="83"/>
      <c r="W215" s="83"/>
      <c r="X215" s="83"/>
      <c r="Y215" s="83"/>
      <c r="Z215" s="83"/>
      <c r="AA215" s="83"/>
      <c r="AB215" s="83"/>
      <c r="AC215" s="83"/>
      <c r="AD215" s="83"/>
      <c r="AE215" s="83"/>
      <c r="AF215" s="83"/>
      <c r="AG215" s="83"/>
      <c r="AH215" s="83"/>
      <c r="AI215" s="83"/>
      <c r="AJ215" s="83"/>
      <c r="AK215" s="83"/>
      <c r="AL215" s="83"/>
      <c r="AM215" s="83"/>
      <c r="AN215" s="83"/>
      <c r="AO215" s="83"/>
      <c r="AP215" s="83"/>
      <c r="AQ215" s="83"/>
      <c r="AR215" s="83"/>
      <c r="AS215" s="83"/>
      <c r="AT215" s="83"/>
    </row>
    <row r="216" spans="1:46" ht="13.8">
      <c r="A216" s="83"/>
      <c r="B216" s="83"/>
      <c r="C216" s="83"/>
      <c r="D216" s="83"/>
      <c r="E216" s="82"/>
      <c r="F216" s="82"/>
      <c r="G216" s="83"/>
      <c r="H216" s="83"/>
      <c r="I216" s="83"/>
      <c r="J216" s="83"/>
      <c r="K216" s="83"/>
      <c r="L216" s="83"/>
      <c r="M216" s="83"/>
      <c r="N216" s="83"/>
      <c r="O216" s="83"/>
      <c r="P216" s="83"/>
      <c r="Q216" s="83"/>
      <c r="R216" s="83"/>
      <c r="S216" s="83"/>
      <c r="T216" s="83"/>
      <c r="U216" s="83"/>
      <c r="V216" s="83"/>
      <c r="W216" s="83"/>
      <c r="X216" s="83"/>
      <c r="Y216" s="83"/>
      <c r="Z216" s="83"/>
      <c r="AA216" s="83"/>
      <c r="AB216" s="83"/>
      <c r="AC216" s="83"/>
      <c r="AD216" s="83"/>
      <c r="AE216" s="83"/>
      <c r="AF216" s="83"/>
      <c r="AG216" s="83"/>
      <c r="AH216" s="83"/>
      <c r="AI216" s="83"/>
      <c r="AJ216" s="83"/>
      <c r="AK216" s="83"/>
      <c r="AL216" s="83"/>
      <c r="AM216" s="83"/>
      <c r="AN216" s="83"/>
      <c r="AO216" s="83"/>
      <c r="AP216" s="83"/>
      <c r="AQ216" s="83"/>
      <c r="AR216" s="83"/>
      <c r="AS216" s="83"/>
      <c r="AT216" s="83"/>
    </row>
    <row r="217" spans="1:46" ht="13.8">
      <c r="A217" s="83"/>
      <c r="B217" s="83"/>
      <c r="C217" s="83"/>
      <c r="D217" s="83"/>
      <c r="E217" s="82"/>
      <c r="F217" s="82"/>
      <c r="G217" s="83"/>
      <c r="H217" s="83"/>
      <c r="I217" s="83"/>
      <c r="J217" s="83"/>
      <c r="K217" s="83"/>
      <c r="L217" s="83"/>
      <c r="M217" s="83"/>
      <c r="N217" s="83"/>
      <c r="O217" s="83"/>
      <c r="P217" s="83"/>
      <c r="Q217" s="83"/>
      <c r="R217" s="83"/>
      <c r="S217" s="83"/>
      <c r="T217" s="83"/>
      <c r="U217" s="83"/>
      <c r="V217" s="83"/>
      <c r="W217" s="83"/>
      <c r="X217" s="83"/>
      <c r="Y217" s="83"/>
      <c r="Z217" s="83"/>
      <c r="AA217" s="83"/>
      <c r="AB217" s="83"/>
      <c r="AC217" s="83"/>
      <c r="AD217" s="83"/>
      <c r="AE217" s="83"/>
      <c r="AF217" s="83"/>
      <c r="AG217" s="83"/>
      <c r="AH217" s="83"/>
      <c r="AI217" s="83"/>
      <c r="AJ217" s="83"/>
      <c r="AK217" s="83"/>
      <c r="AL217" s="83"/>
      <c r="AM217" s="83"/>
      <c r="AN217" s="83"/>
      <c r="AO217" s="83"/>
      <c r="AP217" s="83"/>
      <c r="AQ217" s="83"/>
      <c r="AR217" s="83"/>
      <c r="AS217" s="83"/>
      <c r="AT217" s="83"/>
    </row>
    <row r="218" spans="1:46" ht="13.8">
      <c r="A218" s="83"/>
      <c r="B218" s="83"/>
      <c r="C218" s="83"/>
      <c r="D218" s="83"/>
      <c r="E218" s="82"/>
      <c r="F218" s="82"/>
      <c r="G218" s="83"/>
      <c r="H218" s="83"/>
      <c r="I218" s="83"/>
      <c r="J218" s="83"/>
      <c r="K218" s="83"/>
      <c r="L218" s="83"/>
      <c r="M218" s="83"/>
      <c r="N218" s="83"/>
      <c r="O218" s="83"/>
      <c r="P218" s="83"/>
      <c r="Q218" s="83"/>
      <c r="R218" s="83"/>
      <c r="S218" s="83"/>
      <c r="T218" s="83"/>
      <c r="U218" s="83"/>
      <c r="V218" s="83"/>
      <c r="W218" s="83"/>
      <c r="X218" s="83"/>
      <c r="Y218" s="83"/>
      <c r="Z218" s="83"/>
      <c r="AA218" s="83"/>
      <c r="AB218" s="83"/>
      <c r="AC218" s="83"/>
      <c r="AD218" s="83"/>
      <c r="AE218" s="83"/>
      <c r="AF218" s="83"/>
      <c r="AG218" s="83"/>
      <c r="AH218" s="83"/>
      <c r="AI218" s="83"/>
      <c r="AJ218" s="83"/>
      <c r="AK218" s="83"/>
      <c r="AL218" s="83"/>
      <c r="AM218" s="83"/>
      <c r="AN218" s="83"/>
      <c r="AO218" s="83"/>
      <c r="AP218" s="83"/>
      <c r="AQ218" s="83"/>
      <c r="AR218" s="83"/>
      <c r="AS218" s="83"/>
      <c r="AT218" s="83"/>
    </row>
    <row r="219" spans="1:46" ht="13.8">
      <c r="A219" s="83"/>
      <c r="B219" s="83"/>
      <c r="C219" s="83"/>
      <c r="D219" s="83"/>
      <c r="E219" s="82"/>
      <c r="F219" s="82"/>
      <c r="G219" s="83"/>
      <c r="H219" s="83"/>
      <c r="I219" s="83"/>
      <c r="J219" s="83"/>
      <c r="K219" s="83"/>
      <c r="L219" s="83"/>
      <c r="M219" s="83"/>
      <c r="N219" s="83"/>
      <c r="O219" s="83"/>
      <c r="P219" s="83"/>
      <c r="Q219" s="83"/>
      <c r="R219" s="83"/>
      <c r="S219" s="83"/>
      <c r="T219" s="83"/>
      <c r="U219" s="83"/>
      <c r="V219" s="83"/>
      <c r="W219" s="83"/>
      <c r="X219" s="83"/>
      <c r="Y219" s="83"/>
      <c r="Z219" s="83"/>
      <c r="AA219" s="83"/>
      <c r="AB219" s="83"/>
      <c r="AC219" s="83"/>
      <c r="AD219" s="83"/>
      <c r="AE219" s="83"/>
      <c r="AF219" s="83"/>
      <c r="AG219" s="83"/>
      <c r="AH219" s="83"/>
      <c r="AI219" s="83"/>
      <c r="AJ219" s="83"/>
      <c r="AK219" s="83"/>
      <c r="AL219" s="83"/>
      <c r="AM219" s="83"/>
      <c r="AN219" s="83"/>
      <c r="AO219" s="83"/>
      <c r="AP219" s="83"/>
      <c r="AQ219" s="83"/>
      <c r="AR219" s="83"/>
      <c r="AS219" s="83"/>
      <c r="AT219" s="83"/>
    </row>
    <row r="220" spans="1:46" ht="13.8">
      <c r="A220" s="83"/>
      <c r="B220" s="83"/>
      <c r="C220" s="83"/>
      <c r="D220" s="83"/>
      <c r="E220" s="82"/>
      <c r="F220" s="82"/>
      <c r="G220" s="83"/>
      <c r="H220" s="83"/>
      <c r="I220" s="83"/>
      <c r="J220" s="83"/>
      <c r="K220" s="83"/>
      <c r="L220" s="83"/>
      <c r="M220" s="83"/>
      <c r="N220" s="83"/>
      <c r="O220" s="83"/>
      <c r="P220" s="83"/>
      <c r="Q220" s="83"/>
      <c r="R220" s="83"/>
      <c r="S220" s="83"/>
      <c r="T220" s="83"/>
      <c r="U220" s="83"/>
      <c r="V220" s="83"/>
      <c r="W220" s="83"/>
      <c r="X220" s="83"/>
      <c r="Y220" s="83"/>
      <c r="Z220" s="83"/>
      <c r="AA220" s="83"/>
      <c r="AB220" s="83"/>
      <c r="AC220" s="83"/>
      <c r="AD220" s="83"/>
      <c r="AE220" s="83"/>
      <c r="AF220" s="83"/>
      <c r="AG220" s="83"/>
      <c r="AH220" s="83"/>
      <c r="AI220" s="83"/>
      <c r="AJ220" s="83"/>
      <c r="AK220" s="83"/>
      <c r="AL220" s="83"/>
      <c r="AM220" s="83"/>
      <c r="AN220" s="83"/>
      <c r="AO220" s="83"/>
      <c r="AP220" s="83"/>
      <c r="AQ220" s="83"/>
      <c r="AR220" s="83"/>
      <c r="AS220" s="83"/>
      <c r="AT220" s="83"/>
    </row>
    <row r="221" spans="1:46" ht="13.8">
      <c r="A221" s="83"/>
      <c r="B221" s="83"/>
      <c r="C221" s="83"/>
      <c r="D221" s="83"/>
      <c r="E221" s="82"/>
      <c r="F221" s="82"/>
      <c r="G221" s="83"/>
      <c r="H221" s="83"/>
      <c r="I221" s="83"/>
      <c r="J221" s="83"/>
      <c r="K221" s="83"/>
      <c r="L221" s="83"/>
      <c r="M221" s="83"/>
      <c r="N221" s="83"/>
      <c r="O221" s="83"/>
      <c r="P221" s="83"/>
      <c r="Q221" s="83"/>
      <c r="R221" s="83"/>
      <c r="S221" s="83"/>
      <c r="T221" s="83"/>
      <c r="U221" s="83"/>
      <c r="V221" s="83"/>
      <c r="W221" s="83"/>
      <c r="X221" s="83"/>
      <c r="Y221" s="83"/>
      <c r="Z221" s="83"/>
      <c r="AA221" s="83"/>
      <c r="AB221" s="83"/>
      <c r="AC221" s="83"/>
      <c r="AD221" s="83"/>
      <c r="AE221" s="83"/>
      <c r="AF221" s="83"/>
      <c r="AG221" s="83"/>
      <c r="AH221" s="83"/>
      <c r="AI221" s="83"/>
      <c r="AJ221" s="83"/>
      <c r="AK221" s="83"/>
      <c r="AL221" s="83"/>
      <c r="AM221" s="83"/>
      <c r="AN221" s="83"/>
      <c r="AO221" s="83"/>
      <c r="AP221" s="83"/>
      <c r="AQ221" s="83"/>
      <c r="AR221" s="83"/>
      <c r="AS221" s="83"/>
      <c r="AT221" s="83"/>
    </row>
    <row r="222" spans="1:46" ht="13.8">
      <c r="A222" s="83"/>
      <c r="B222" s="83"/>
      <c r="C222" s="83"/>
      <c r="D222" s="83"/>
      <c r="E222" s="82"/>
      <c r="F222" s="82"/>
      <c r="G222" s="83"/>
      <c r="H222" s="83"/>
      <c r="I222" s="83"/>
      <c r="J222" s="83"/>
      <c r="K222" s="83"/>
      <c r="L222" s="83"/>
      <c r="M222" s="83"/>
      <c r="N222" s="83"/>
      <c r="O222" s="83"/>
      <c r="P222" s="83"/>
      <c r="Q222" s="83"/>
      <c r="R222" s="83"/>
      <c r="S222" s="83"/>
      <c r="T222" s="83"/>
      <c r="U222" s="83"/>
      <c r="V222" s="83"/>
      <c r="W222" s="83"/>
      <c r="X222" s="83"/>
      <c r="Y222" s="83"/>
      <c r="Z222" s="83"/>
      <c r="AA222" s="83"/>
      <c r="AB222" s="83"/>
      <c r="AC222" s="83"/>
      <c r="AD222" s="83"/>
      <c r="AE222" s="83"/>
      <c r="AF222" s="83"/>
      <c r="AG222" s="83"/>
      <c r="AH222" s="83"/>
      <c r="AI222" s="83"/>
      <c r="AJ222" s="83"/>
      <c r="AK222" s="83"/>
      <c r="AL222" s="83"/>
      <c r="AM222" s="83"/>
      <c r="AN222" s="83"/>
      <c r="AO222" s="83"/>
      <c r="AP222" s="83"/>
      <c r="AQ222" s="83"/>
      <c r="AR222" s="83"/>
      <c r="AS222" s="83"/>
      <c r="AT222" s="83"/>
    </row>
    <row r="223" spans="1:46" ht="13.8">
      <c r="A223" s="83"/>
      <c r="B223" s="83"/>
      <c r="C223" s="83"/>
      <c r="D223" s="83"/>
      <c r="E223" s="82"/>
      <c r="F223" s="82"/>
      <c r="G223" s="83"/>
      <c r="H223" s="83"/>
      <c r="I223" s="83"/>
      <c r="J223" s="83"/>
      <c r="K223" s="83"/>
      <c r="L223" s="83"/>
      <c r="M223" s="83"/>
      <c r="N223" s="83"/>
      <c r="O223" s="83"/>
      <c r="P223" s="83"/>
      <c r="Q223" s="83"/>
      <c r="R223" s="83"/>
      <c r="S223" s="83"/>
      <c r="T223" s="83"/>
      <c r="U223" s="83"/>
      <c r="V223" s="83"/>
      <c r="W223" s="83"/>
      <c r="X223" s="83"/>
      <c r="Y223" s="83"/>
      <c r="Z223" s="83"/>
      <c r="AA223" s="83"/>
      <c r="AB223" s="83"/>
      <c r="AC223" s="83"/>
      <c r="AD223" s="83"/>
      <c r="AE223" s="83"/>
      <c r="AF223" s="83"/>
      <c r="AG223" s="83"/>
      <c r="AH223" s="83"/>
      <c r="AI223" s="83"/>
      <c r="AJ223" s="83"/>
      <c r="AK223" s="83"/>
      <c r="AL223" s="83"/>
      <c r="AM223" s="83"/>
      <c r="AN223" s="83"/>
      <c r="AO223" s="83"/>
      <c r="AP223" s="83"/>
      <c r="AQ223" s="83"/>
      <c r="AR223" s="83"/>
      <c r="AS223" s="83"/>
      <c r="AT223" s="83"/>
    </row>
    <row r="224" spans="1:46" ht="13.8">
      <c r="A224" s="83"/>
      <c r="B224" s="83"/>
      <c r="C224" s="83"/>
      <c r="D224" s="83"/>
      <c r="E224" s="82"/>
      <c r="F224" s="82"/>
      <c r="G224" s="83"/>
      <c r="H224" s="83"/>
      <c r="I224" s="83"/>
      <c r="J224" s="83"/>
      <c r="K224" s="83"/>
      <c r="L224" s="83"/>
      <c r="M224" s="83"/>
      <c r="N224" s="83"/>
      <c r="O224" s="83"/>
      <c r="P224" s="83"/>
      <c r="Q224" s="83"/>
      <c r="R224" s="83"/>
      <c r="S224" s="83"/>
      <c r="T224" s="83"/>
      <c r="U224" s="83"/>
      <c r="V224" s="83"/>
      <c r="W224" s="83"/>
      <c r="X224" s="83"/>
      <c r="Y224" s="83"/>
      <c r="Z224" s="83"/>
      <c r="AA224" s="83"/>
      <c r="AB224" s="83"/>
      <c r="AC224" s="83"/>
      <c r="AD224" s="83"/>
      <c r="AE224" s="83"/>
      <c r="AF224" s="83"/>
      <c r="AG224" s="83"/>
      <c r="AH224" s="83"/>
      <c r="AI224" s="83"/>
      <c r="AJ224" s="83"/>
      <c r="AK224" s="83"/>
      <c r="AL224" s="83"/>
      <c r="AM224" s="83"/>
      <c r="AN224" s="83"/>
      <c r="AO224" s="83"/>
      <c r="AP224" s="83"/>
      <c r="AQ224" s="83"/>
      <c r="AR224" s="83"/>
      <c r="AS224" s="83"/>
      <c r="AT224" s="83"/>
    </row>
    <row r="225" spans="1:46" ht="13.8">
      <c r="A225" s="83"/>
      <c r="B225" s="83"/>
      <c r="C225" s="83"/>
      <c r="D225" s="83"/>
      <c r="E225" s="82"/>
      <c r="F225" s="82"/>
      <c r="G225" s="83"/>
      <c r="H225" s="83"/>
      <c r="I225" s="83"/>
      <c r="J225" s="83"/>
      <c r="K225" s="83"/>
      <c r="L225" s="83"/>
      <c r="M225" s="83"/>
      <c r="N225" s="83"/>
      <c r="O225" s="83"/>
      <c r="P225" s="83"/>
      <c r="Q225" s="83"/>
      <c r="R225" s="83"/>
      <c r="S225" s="83"/>
      <c r="T225" s="83"/>
      <c r="U225" s="83"/>
      <c r="V225" s="83"/>
      <c r="W225" s="83"/>
      <c r="X225" s="83"/>
      <c r="Y225" s="83"/>
      <c r="Z225" s="83"/>
      <c r="AA225" s="83"/>
      <c r="AB225" s="83"/>
      <c r="AC225" s="83"/>
      <c r="AD225" s="83"/>
      <c r="AE225" s="83"/>
      <c r="AF225" s="83"/>
      <c r="AG225" s="83"/>
      <c r="AH225" s="83"/>
      <c r="AI225" s="83"/>
      <c r="AJ225" s="83"/>
      <c r="AK225" s="83"/>
      <c r="AL225" s="83"/>
      <c r="AM225" s="83"/>
      <c r="AN225" s="83"/>
      <c r="AO225" s="83"/>
      <c r="AP225" s="83"/>
      <c r="AQ225" s="83"/>
      <c r="AR225" s="83"/>
      <c r="AS225" s="83"/>
      <c r="AT225" s="83"/>
    </row>
    <row r="226" spans="1:46" ht="13.8">
      <c r="A226" s="83"/>
      <c r="B226" s="83"/>
      <c r="C226" s="83"/>
      <c r="D226" s="83"/>
      <c r="E226" s="82"/>
      <c r="F226" s="82"/>
      <c r="G226" s="83"/>
      <c r="H226" s="83"/>
      <c r="I226" s="83"/>
      <c r="J226" s="83"/>
      <c r="K226" s="83"/>
      <c r="L226" s="83"/>
      <c r="M226" s="83"/>
      <c r="N226" s="83"/>
      <c r="O226" s="83"/>
      <c r="P226" s="83"/>
      <c r="Q226" s="83"/>
      <c r="R226" s="83"/>
      <c r="S226" s="83"/>
      <c r="T226" s="83"/>
      <c r="U226" s="83"/>
      <c r="V226" s="83"/>
      <c r="W226" s="83"/>
      <c r="X226" s="83"/>
      <c r="Y226" s="83"/>
      <c r="Z226" s="83"/>
      <c r="AA226" s="83"/>
      <c r="AB226" s="83"/>
      <c r="AC226" s="83"/>
      <c r="AD226" s="83"/>
      <c r="AE226" s="83"/>
      <c r="AF226" s="83"/>
      <c r="AG226" s="83"/>
      <c r="AH226" s="83"/>
      <c r="AI226" s="83"/>
      <c r="AJ226" s="83"/>
      <c r="AK226" s="83"/>
      <c r="AL226" s="83"/>
      <c r="AM226" s="83"/>
      <c r="AN226" s="83"/>
      <c r="AO226" s="83"/>
      <c r="AP226" s="83"/>
      <c r="AQ226" s="83"/>
      <c r="AR226" s="83"/>
      <c r="AS226" s="83"/>
      <c r="AT226" s="83"/>
    </row>
    <row r="227" spans="1:46" ht="13.8">
      <c r="A227" s="83"/>
      <c r="B227" s="83"/>
      <c r="C227" s="83"/>
      <c r="D227" s="83"/>
      <c r="E227" s="82"/>
      <c r="F227" s="82"/>
      <c r="G227" s="83"/>
      <c r="H227" s="83"/>
      <c r="I227" s="83"/>
      <c r="J227" s="83"/>
      <c r="K227" s="83"/>
      <c r="L227" s="83"/>
      <c r="M227" s="83"/>
      <c r="N227" s="83"/>
      <c r="O227" s="83"/>
      <c r="P227" s="83"/>
      <c r="Q227" s="83"/>
      <c r="R227" s="83"/>
      <c r="S227" s="83"/>
      <c r="T227" s="83"/>
      <c r="U227" s="83"/>
      <c r="V227" s="83"/>
      <c r="W227" s="83"/>
      <c r="X227" s="83"/>
      <c r="Y227" s="83"/>
      <c r="Z227" s="83"/>
      <c r="AA227" s="83"/>
      <c r="AB227" s="83"/>
      <c r="AC227" s="83"/>
      <c r="AD227" s="83"/>
      <c r="AE227" s="83"/>
      <c r="AF227" s="83"/>
      <c r="AG227" s="83"/>
      <c r="AH227" s="83"/>
      <c r="AI227" s="83"/>
      <c r="AJ227" s="83"/>
      <c r="AK227" s="83"/>
      <c r="AL227" s="83"/>
      <c r="AM227" s="83"/>
      <c r="AN227" s="83"/>
      <c r="AO227" s="83"/>
      <c r="AP227" s="83"/>
      <c r="AQ227" s="83"/>
      <c r="AR227" s="83"/>
      <c r="AS227" s="83"/>
      <c r="AT227" s="83"/>
    </row>
    <row r="228" spans="1:46" ht="13.8">
      <c r="A228" s="83"/>
      <c r="B228" s="83"/>
      <c r="C228" s="83"/>
      <c r="D228" s="83"/>
      <c r="E228" s="82"/>
      <c r="F228" s="82"/>
      <c r="G228" s="83"/>
      <c r="H228" s="83"/>
      <c r="I228" s="83"/>
      <c r="J228" s="83"/>
      <c r="K228" s="83"/>
      <c r="L228" s="83"/>
      <c r="M228" s="83"/>
      <c r="N228" s="83"/>
      <c r="O228" s="83"/>
      <c r="P228" s="83"/>
      <c r="Q228" s="83"/>
      <c r="R228" s="83"/>
      <c r="S228" s="83"/>
      <c r="T228" s="83"/>
      <c r="U228" s="83"/>
      <c r="V228" s="83"/>
      <c r="W228" s="83"/>
      <c r="X228" s="83"/>
      <c r="Y228" s="83"/>
      <c r="Z228" s="83"/>
      <c r="AA228" s="83"/>
      <c r="AB228" s="83"/>
      <c r="AC228" s="83"/>
      <c r="AD228" s="83"/>
      <c r="AE228" s="83"/>
      <c r="AF228" s="83"/>
      <c r="AG228" s="83"/>
      <c r="AH228" s="83"/>
      <c r="AI228" s="83"/>
      <c r="AJ228" s="83"/>
      <c r="AK228" s="83"/>
      <c r="AL228" s="83"/>
      <c r="AM228" s="83"/>
      <c r="AN228" s="83"/>
      <c r="AO228" s="83"/>
      <c r="AP228" s="83"/>
      <c r="AQ228" s="83"/>
      <c r="AR228" s="83"/>
      <c r="AS228" s="83"/>
      <c r="AT228" s="83"/>
    </row>
    <row r="229" spans="1:46" ht="13.8">
      <c r="A229" s="83"/>
      <c r="B229" s="83"/>
      <c r="C229" s="83"/>
      <c r="D229" s="83"/>
      <c r="E229" s="82"/>
      <c r="F229" s="82"/>
      <c r="G229" s="83"/>
      <c r="H229" s="83"/>
      <c r="I229" s="83"/>
      <c r="J229" s="83"/>
      <c r="K229" s="83"/>
      <c r="L229" s="83"/>
      <c r="M229" s="83"/>
      <c r="N229" s="83"/>
      <c r="O229" s="83"/>
      <c r="P229" s="83"/>
      <c r="Q229" s="83"/>
      <c r="R229" s="83"/>
      <c r="S229" s="83"/>
      <c r="T229" s="83"/>
      <c r="U229" s="83"/>
      <c r="V229" s="83"/>
      <c r="W229" s="83"/>
      <c r="X229" s="83"/>
      <c r="Y229" s="83"/>
      <c r="Z229" s="83"/>
      <c r="AA229" s="83"/>
      <c r="AB229" s="83"/>
      <c r="AC229" s="83"/>
      <c r="AD229" s="83"/>
      <c r="AE229" s="83"/>
      <c r="AF229" s="83"/>
      <c r="AG229" s="83"/>
      <c r="AH229" s="83"/>
      <c r="AI229" s="83"/>
      <c r="AJ229" s="83"/>
      <c r="AK229" s="83"/>
      <c r="AL229" s="83"/>
      <c r="AM229" s="83"/>
      <c r="AN229" s="83"/>
      <c r="AO229" s="83"/>
      <c r="AP229" s="83"/>
      <c r="AQ229" s="83"/>
      <c r="AR229" s="83"/>
      <c r="AS229" s="83"/>
      <c r="AT229" s="83"/>
    </row>
    <row r="230" spans="1:46" ht="13.8">
      <c r="A230" s="83"/>
      <c r="B230" s="83"/>
      <c r="C230" s="83"/>
      <c r="D230" s="83"/>
      <c r="E230" s="82"/>
      <c r="F230" s="82"/>
      <c r="G230" s="83"/>
      <c r="H230" s="83"/>
      <c r="I230" s="83"/>
      <c r="J230" s="83"/>
      <c r="K230" s="83"/>
      <c r="L230" s="83"/>
      <c r="M230" s="83"/>
      <c r="N230" s="83"/>
      <c r="O230" s="83"/>
      <c r="P230" s="83"/>
      <c r="Q230" s="83"/>
      <c r="R230" s="83"/>
      <c r="S230" s="83"/>
      <c r="T230" s="83"/>
      <c r="U230" s="83"/>
      <c r="V230" s="83"/>
      <c r="W230" s="83"/>
      <c r="X230" s="83"/>
      <c r="Y230" s="83"/>
      <c r="Z230" s="83"/>
      <c r="AA230" s="83"/>
      <c r="AB230" s="83"/>
      <c r="AC230" s="83"/>
      <c r="AD230" s="83"/>
      <c r="AE230" s="83"/>
      <c r="AF230" s="83"/>
      <c r="AG230" s="83"/>
      <c r="AH230" s="83"/>
      <c r="AI230" s="83"/>
      <c r="AJ230" s="83"/>
      <c r="AK230" s="83"/>
      <c r="AL230" s="83"/>
      <c r="AM230" s="83"/>
      <c r="AN230" s="83"/>
      <c r="AO230" s="83"/>
      <c r="AP230" s="83"/>
      <c r="AQ230" s="83"/>
      <c r="AR230" s="83"/>
      <c r="AS230" s="83"/>
      <c r="AT230" s="83"/>
    </row>
    <row r="231" spans="1:46" ht="13.8">
      <c r="A231" s="83"/>
      <c r="B231" s="83"/>
      <c r="C231" s="83"/>
      <c r="D231" s="83"/>
      <c r="E231" s="82"/>
      <c r="F231" s="82"/>
      <c r="G231" s="83"/>
      <c r="H231" s="83"/>
      <c r="I231" s="83"/>
      <c r="J231" s="83"/>
      <c r="K231" s="83"/>
      <c r="L231" s="83"/>
      <c r="M231" s="83"/>
      <c r="N231" s="83"/>
      <c r="O231" s="83"/>
      <c r="P231" s="83"/>
      <c r="Q231" s="83"/>
      <c r="R231" s="83"/>
      <c r="S231" s="83"/>
      <c r="T231" s="83"/>
      <c r="U231" s="83"/>
      <c r="V231" s="83"/>
      <c r="W231" s="83"/>
      <c r="X231" s="83"/>
      <c r="Y231" s="83"/>
      <c r="Z231" s="83"/>
      <c r="AA231" s="83"/>
      <c r="AB231" s="83"/>
      <c r="AC231" s="83"/>
      <c r="AD231" s="83"/>
      <c r="AE231" s="83"/>
      <c r="AF231" s="83"/>
      <c r="AG231" s="83"/>
      <c r="AH231" s="83"/>
      <c r="AI231" s="83"/>
      <c r="AJ231" s="83"/>
      <c r="AK231" s="83"/>
      <c r="AL231" s="83"/>
      <c r="AM231" s="83"/>
      <c r="AN231" s="83"/>
      <c r="AO231" s="83"/>
      <c r="AP231" s="83"/>
      <c r="AQ231" s="83"/>
      <c r="AR231" s="83"/>
      <c r="AS231" s="83"/>
      <c r="AT231" s="83"/>
    </row>
    <row r="232" spans="1:46" ht="13.8">
      <c r="A232" s="83"/>
      <c r="B232" s="83"/>
      <c r="C232" s="83"/>
      <c r="D232" s="83"/>
      <c r="E232" s="82"/>
      <c r="F232" s="82"/>
      <c r="G232" s="83"/>
      <c r="H232" s="83"/>
      <c r="I232" s="83"/>
      <c r="J232" s="83"/>
      <c r="K232" s="83"/>
      <c r="L232" s="83"/>
      <c r="M232" s="83"/>
      <c r="N232" s="83"/>
      <c r="O232" s="83"/>
      <c r="P232" s="83"/>
      <c r="Q232" s="83"/>
      <c r="R232" s="83"/>
      <c r="S232" s="83"/>
      <c r="T232" s="83"/>
      <c r="U232" s="83"/>
      <c r="V232" s="83"/>
      <c r="W232" s="83"/>
      <c r="X232" s="83"/>
      <c r="Y232" s="83"/>
      <c r="Z232" s="83"/>
      <c r="AA232" s="83"/>
      <c r="AB232" s="83"/>
      <c r="AC232" s="83"/>
      <c r="AD232" s="83"/>
      <c r="AE232" s="83"/>
      <c r="AF232" s="83"/>
      <c r="AG232" s="83"/>
      <c r="AH232" s="83"/>
      <c r="AI232" s="83"/>
      <c r="AJ232" s="83"/>
      <c r="AK232" s="83"/>
      <c r="AL232" s="83"/>
      <c r="AM232" s="83"/>
      <c r="AN232" s="83"/>
      <c r="AO232" s="83"/>
      <c r="AP232" s="83"/>
      <c r="AQ232" s="83"/>
      <c r="AR232" s="83"/>
      <c r="AS232" s="83"/>
      <c r="AT232" s="83"/>
    </row>
    <row r="233" spans="1:46" ht="13.8">
      <c r="A233" s="83"/>
      <c r="B233" s="83"/>
      <c r="C233" s="83"/>
      <c r="D233" s="83"/>
      <c r="E233" s="82"/>
      <c r="F233" s="82"/>
      <c r="G233" s="83"/>
      <c r="H233" s="83"/>
      <c r="I233" s="83"/>
      <c r="J233" s="83"/>
      <c r="K233" s="83"/>
      <c r="L233" s="83"/>
      <c r="M233" s="83"/>
      <c r="N233" s="83"/>
      <c r="O233" s="83"/>
      <c r="P233" s="83"/>
      <c r="Q233" s="83"/>
      <c r="R233" s="83"/>
      <c r="S233" s="83"/>
      <c r="T233" s="83"/>
      <c r="U233" s="83"/>
      <c r="V233" s="83"/>
      <c r="W233" s="83"/>
      <c r="X233" s="83"/>
      <c r="Y233" s="83"/>
      <c r="Z233" s="83"/>
      <c r="AA233" s="83"/>
      <c r="AB233" s="83"/>
      <c r="AC233" s="83"/>
      <c r="AD233" s="83"/>
      <c r="AE233" s="83"/>
      <c r="AF233" s="83"/>
      <c r="AG233" s="83"/>
      <c r="AH233" s="83"/>
      <c r="AI233" s="83"/>
      <c r="AJ233" s="83"/>
      <c r="AK233" s="83"/>
      <c r="AL233" s="83"/>
      <c r="AM233" s="83"/>
      <c r="AN233" s="83"/>
      <c r="AO233" s="83"/>
      <c r="AP233" s="83"/>
      <c r="AQ233" s="83"/>
      <c r="AR233" s="83"/>
      <c r="AS233" s="83"/>
      <c r="AT233" s="83"/>
    </row>
    <row r="234" spans="1:46" ht="13.8">
      <c r="A234" s="83"/>
      <c r="B234" s="83"/>
      <c r="C234" s="83"/>
      <c r="D234" s="83"/>
      <c r="E234" s="82"/>
      <c r="F234" s="82"/>
      <c r="G234" s="83"/>
      <c r="H234" s="83"/>
      <c r="I234" s="83"/>
      <c r="J234" s="83"/>
      <c r="K234" s="83"/>
      <c r="L234" s="83"/>
      <c r="M234" s="83"/>
      <c r="N234" s="83"/>
      <c r="O234" s="83"/>
      <c r="P234" s="83"/>
      <c r="Q234" s="83"/>
      <c r="R234" s="83"/>
      <c r="S234" s="83"/>
      <c r="T234" s="83"/>
      <c r="U234" s="83"/>
      <c r="V234" s="83"/>
      <c r="W234" s="83"/>
      <c r="X234" s="83"/>
      <c r="Y234" s="83"/>
      <c r="Z234" s="83"/>
      <c r="AA234" s="83"/>
      <c r="AB234" s="83"/>
      <c r="AC234" s="83"/>
      <c r="AD234" s="83"/>
      <c r="AE234" s="83"/>
      <c r="AF234" s="83"/>
      <c r="AG234" s="83"/>
      <c r="AH234" s="83"/>
      <c r="AI234" s="83"/>
      <c r="AJ234" s="83"/>
      <c r="AK234" s="83"/>
      <c r="AL234" s="83"/>
      <c r="AM234" s="83"/>
      <c r="AN234" s="83"/>
      <c r="AO234" s="83"/>
      <c r="AP234" s="83"/>
      <c r="AQ234" s="83"/>
      <c r="AR234" s="83"/>
      <c r="AS234" s="83"/>
      <c r="AT234" s="83"/>
    </row>
    <row r="235" spans="1:46" ht="13.8">
      <c r="A235" s="83"/>
      <c r="B235" s="83"/>
      <c r="C235" s="83"/>
      <c r="D235" s="83"/>
      <c r="E235" s="82"/>
      <c r="F235" s="82"/>
      <c r="G235" s="83"/>
      <c r="H235" s="83"/>
      <c r="I235" s="83"/>
      <c r="J235" s="83"/>
      <c r="K235" s="83"/>
      <c r="L235" s="83"/>
      <c r="M235" s="83"/>
      <c r="N235" s="83"/>
      <c r="O235" s="83"/>
      <c r="P235" s="83"/>
      <c r="Q235" s="83"/>
      <c r="R235" s="83"/>
      <c r="S235" s="83"/>
      <c r="T235" s="83"/>
      <c r="U235" s="83"/>
      <c r="V235" s="83"/>
      <c r="W235" s="83"/>
      <c r="X235" s="83"/>
      <c r="Y235" s="83"/>
      <c r="Z235" s="83"/>
      <c r="AA235" s="83"/>
      <c r="AB235" s="83"/>
      <c r="AC235" s="83"/>
      <c r="AD235" s="83"/>
      <c r="AE235" s="83"/>
      <c r="AF235" s="83"/>
      <c r="AG235" s="83"/>
      <c r="AH235" s="83"/>
      <c r="AI235" s="83"/>
      <c r="AJ235" s="83"/>
      <c r="AK235" s="83"/>
      <c r="AL235" s="83"/>
      <c r="AM235" s="83"/>
      <c r="AN235" s="83"/>
      <c r="AO235" s="83"/>
      <c r="AP235" s="83"/>
      <c r="AQ235" s="83"/>
      <c r="AR235" s="83"/>
      <c r="AS235" s="83"/>
      <c r="AT235" s="83"/>
    </row>
    <row r="236" spans="1:46" ht="13.8">
      <c r="A236" s="83"/>
      <c r="B236" s="83"/>
      <c r="C236" s="83"/>
      <c r="D236" s="83"/>
      <c r="E236" s="82"/>
      <c r="F236" s="82"/>
      <c r="G236" s="83"/>
      <c r="H236" s="83"/>
      <c r="I236" s="83"/>
      <c r="J236" s="83"/>
      <c r="K236" s="83"/>
      <c r="L236" s="83"/>
      <c r="M236" s="83"/>
      <c r="N236" s="83"/>
      <c r="O236" s="83"/>
      <c r="P236" s="83"/>
      <c r="Q236" s="83"/>
      <c r="R236" s="83"/>
      <c r="S236" s="83"/>
      <c r="T236" s="83"/>
      <c r="U236" s="83"/>
      <c r="V236" s="83"/>
      <c r="W236" s="83"/>
      <c r="X236" s="83"/>
      <c r="Y236" s="83"/>
      <c r="Z236" s="83"/>
      <c r="AA236" s="83"/>
      <c r="AB236" s="83"/>
      <c r="AC236" s="83"/>
      <c r="AD236" s="83"/>
      <c r="AE236" s="83"/>
      <c r="AF236" s="83"/>
      <c r="AG236" s="83"/>
      <c r="AH236" s="83"/>
      <c r="AI236" s="83"/>
      <c r="AJ236" s="83"/>
      <c r="AK236" s="83"/>
      <c r="AL236" s="83"/>
      <c r="AM236" s="83"/>
      <c r="AN236" s="83"/>
      <c r="AO236" s="83"/>
      <c r="AP236" s="83"/>
      <c r="AQ236" s="83"/>
      <c r="AR236" s="83"/>
      <c r="AS236" s="83"/>
      <c r="AT236" s="83"/>
    </row>
    <row r="237" spans="1:46" ht="13.8">
      <c r="A237" s="83"/>
      <c r="B237" s="83"/>
      <c r="C237" s="83"/>
      <c r="D237" s="83"/>
      <c r="E237" s="82"/>
      <c r="F237" s="82"/>
      <c r="G237" s="83"/>
      <c r="H237" s="83"/>
      <c r="I237" s="83"/>
      <c r="J237" s="83"/>
      <c r="K237" s="83"/>
      <c r="L237" s="83"/>
      <c r="M237" s="83"/>
      <c r="N237" s="83"/>
      <c r="O237" s="83"/>
      <c r="P237" s="83"/>
      <c r="Q237" s="83"/>
      <c r="R237" s="83"/>
      <c r="S237" s="83"/>
      <c r="T237" s="83"/>
      <c r="U237" s="83"/>
      <c r="V237" s="83"/>
      <c r="W237" s="83"/>
      <c r="X237" s="83"/>
      <c r="Y237" s="83"/>
      <c r="Z237" s="83"/>
      <c r="AA237" s="83"/>
      <c r="AB237" s="83"/>
      <c r="AC237" s="83"/>
      <c r="AD237" s="83"/>
      <c r="AE237" s="83"/>
      <c r="AF237" s="83"/>
      <c r="AG237" s="83"/>
      <c r="AH237" s="83"/>
      <c r="AI237" s="83"/>
      <c r="AJ237" s="83"/>
      <c r="AK237" s="83"/>
      <c r="AL237" s="83"/>
      <c r="AM237" s="83"/>
      <c r="AN237" s="83"/>
      <c r="AO237" s="83"/>
      <c r="AP237" s="83"/>
      <c r="AQ237" s="83"/>
      <c r="AR237" s="83"/>
      <c r="AS237" s="83"/>
      <c r="AT237" s="83"/>
    </row>
    <row r="238" spans="1:46" ht="13.8">
      <c r="A238" s="83"/>
      <c r="B238" s="83"/>
      <c r="C238" s="83"/>
      <c r="D238" s="83"/>
      <c r="E238" s="82"/>
      <c r="F238" s="82"/>
      <c r="G238" s="83"/>
      <c r="H238" s="83"/>
      <c r="I238" s="83"/>
      <c r="J238" s="83"/>
      <c r="K238" s="83"/>
      <c r="L238" s="83"/>
      <c r="M238" s="83"/>
      <c r="N238" s="83"/>
      <c r="O238" s="83"/>
      <c r="P238" s="83"/>
      <c r="Q238" s="83"/>
      <c r="R238" s="83"/>
      <c r="S238" s="83"/>
      <c r="T238" s="83"/>
      <c r="U238" s="83"/>
      <c r="V238" s="83"/>
      <c r="W238" s="83"/>
      <c r="X238" s="83"/>
      <c r="Y238" s="83"/>
      <c r="Z238" s="83"/>
      <c r="AA238" s="83"/>
      <c r="AB238" s="83"/>
      <c r="AC238" s="83"/>
      <c r="AD238" s="83"/>
      <c r="AE238" s="83"/>
      <c r="AF238" s="83"/>
      <c r="AG238" s="83"/>
      <c r="AH238" s="83"/>
      <c r="AI238" s="83"/>
      <c r="AJ238" s="83"/>
      <c r="AK238" s="83"/>
      <c r="AL238" s="83"/>
      <c r="AM238" s="83"/>
      <c r="AN238" s="83"/>
      <c r="AO238" s="83"/>
      <c r="AP238" s="83"/>
      <c r="AQ238" s="83"/>
      <c r="AR238" s="83"/>
      <c r="AS238" s="83"/>
      <c r="AT238" s="83"/>
    </row>
    <row r="239" spans="1:46" ht="13.8">
      <c r="A239" s="83"/>
      <c r="B239" s="83"/>
      <c r="C239" s="83"/>
      <c r="D239" s="83"/>
      <c r="E239" s="82"/>
      <c r="F239" s="82"/>
      <c r="G239" s="83"/>
      <c r="H239" s="83"/>
      <c r="I239" s="83"/>
      <c r="J239" s="83"/>
      <c r="K239" s="83"/>
      <c r="L239" s="83"/>
      <c r="M239" s="83"/>
      <c r="N239" s="83"/>
      <c r="O239" s="83"/>
      <c r="P239" s="83"/>
      <c r="Q239" s="83"/>
      <c r="R239" s="83"/>
      <c r="S239" s="83"/>
      <c r="T239" s="83"/>
      <c r="U239" s="83"/>
      <c r="V239" s="83"/>
      <c r="W239" s="83"/>
      <c r="X239" s="83"/>
      <c r="Y239" s="83"/>
      <c r="Z239" s="83"/>
      <c r="AA239" s="83"/>
      <c r="AB239" s="83"/>
      <c r="AC239" s="83"/>
      <c r="AD239" s="83"/>
      <c r="AE239" s="83"/>
      <c r="AF239" s="83"/>
      <c r="AG239" s="83"/>
      <c r="AH239" s="83"/>
      <c r="AI239" s="83"/>
      <c r="AJ239" s="83"/>
      <c r="AK239" s="83"/>
      <c r="AL239" s="83"/>
      <c r="AM239" s="83"/>
      <c r="AN239" s="83"/>
      <c r="AO239" s="83"/>
      <c r="AP239" s="83"/>
      <c r="AQ239" s="83"/>
      <c r="AR239" s="83"/>
      <c r="AS239" s="83"/>
      <c r="AT239" s="83"/>
    </row>
    <row r="240" spans="1:46" ht="13.8">
      <c r="A240" s="83"/>
      <c r="B240" s="83"/>
      <c r="C240" s="83"/>
      <c r="D240" s="83"/>
      <c r="E240" s="82"/>
      <c r="F240" s="82"/>
      <c r="G240" s="83"/>
      <c r="H240" s="83"/>
      <c r="I240" s="83"/>
      <c r="J240" s="83"/>
      <c r="K240" s="83"/>
      <c r="L240" s="83"/>
      <c r="M240" s="83"/>
      <c r="N240" s="83"/>
      <c r="O240" s="83"/>
      <c r="P240" s="83"/>
      <c r="Q240" s="83"/>
      <c r="R240" s="83"/>
      <c r="S240" s="83"/>
      <c r="T240" s="83"/>
      <c r="U240" s="83"/>
      <c r="V240" s="83"/>
      <c r="W240" s="83"/>
      <c r="X240" s="83"/>
      <c r="Y240" s="83"/>
      <c r="Z240" s="83"/>
      <c r="AA240" s="83"/>
      <c r="AB240" s="83"/>
      <c r="AC240" s="83"/>
      <c r="AD240" s="83"/>
      <c r="AE240" s="83"/>
      <c r="AF240" s="83"/>
      <c r="AG240" s="83"/>
      <c r="AH240" s="83"/>
      <c r="AI240" s="83"/>
      <c r="AJ240" s="83"/>
      <c r="AK240" s="83"/>
      <c r="AL240" s="83"/>
      <c r="AM240" s="83"/>
      <c r="AN240" s="83"/>
      <c r="AO240" s="83"/>
      <c r="AP240" s="83"/>
      <c r="AQ240" s="83"/>
      <c r="AR240" s="83"/>
      <c r="AS240" s="83"/>
      <c r="AT240" s="83"/>
    </row>
    <row r="241" spans="1:46" ht="13.8">
      <c r="A241" s="83"/>
      <c r="B241" s="83"/>
      <c r="C241" s="83"/>
      <c r="D241" s="83"/>
      <c r="E241" s="82"/>
      <c r="F241" s="82"/>
      <c r="G241" s="83"/>
      <c r="H241" s="83"/>
      <c r="I241" s="83"/>
      <c r="J241" s="83"/>
      <c r="K241" s="83"/>
      <c r="L241" s="83"/>
      <c r="M241" s="83"/>
      <c r="N241" s="83"/>
      <c r="O241" s="83"/>
      <c r="P241" s="83"/>
      <c r="Q241" s="83"/>
      <c r="R241" s="83"/>
      <c r="S241" s="83"/>
      <c r="T241" s="83"/>
      <c r="U241" s="83"/>
      <c r="V241" s="83"/>
      <c r="W241" s="83"/>
      <c r="X241" s="83"/>
      <c r="Y241" s="83"/>
      <c r="Z241" s="83"/>
      <c r="AA241" s="83"/>
      <c r="AB241" s="83"/>
      <c r="AC241" s="83"/>
      <c r="AD241" s="83"/>
      <c r="AE241" s="83"/>
      <c r="AF241" s="83"/>
      <c r="AG241" s="83"/>
      <c r="AH241" s="83"/>
      <c r="AI241" s="83"/>
      <c r="AJ241" s="83"/>
      <c r="AK241" s="83"/>
      <c r="AL241" s="83"/>
      <c r="AM241" s="83"/>
      <c r="AN241" s="83"/>
      <c r="AO241" s="83"/>
      <c r="AP241" s="83"/>
      <c r="AQ241" s="83"/>
      <c r="AR241" s="83"/>
      <c r="AS241" s="83"/>
      <c r="AT241" s="83"/>
    </row>
    <row r="242" spans="1:46" ht="13.8">
      <c r="A242" s="83"/>
      <c r="B242" s="83"/>
      <c r="C242" s="83"/>
      <c r="D242" s="83"/>
      <c r="E242" s="82"/>
      <c r="F242" s="82"/>
      <c r="G242" s="83"/>
      <c r="H242" s="83"/>
      <c r="I242" s="83"/>
      <c r="J242" s="83"/>
      <c r="K242" s="83"/>
      <c r="L242" s="83"/>
      <c r="M242" s="83"/>
      <c r="N242" s="83"/>
      <c r="O242" s="83"/>
      <c r="P242" s="83"/>
      <c r="Q242" s="83"/>
      <c r="R242" s="83"/>
      <c r="S242" s="83"/>
      <c r="T242" s="83"/>
      <c r="U242" s="83"/>
      <c r="V242" s="83"/>
      <c r="W242" s="83"/>
      <c r="X242" s="83"/>
      <c r="Y242" s="83"/>
      <c r="Z242" s="83"/>
      <c r="AA242" s="83"/>
      <c r="AB242" s="83"/>
      <c r="AC242" s="83"/>
      <c r="AD242" s="83"/>
      <c r="AE242" s="83"/>
      <c r="AF242" s="83"/>
      <c r="AG242" s="83"/>
      <c r="AH242" s="83"/>
      <c r="AI242" s="83"/>
      <c r="AJ242" s="83"/>
      <c r="AK242" s="83"/>
      <c r="AL242" s="83"/>
      <c r="AM242" s="83"/>
      <c r="AN242" s="83"/>
      <c r="AO242" s="83"/>
      <c r="AP242" s="83"/>
      <c r="AQ242" s="83"/>
      <c r="AR242" s="83"/>
      <c r="AS242" s="83"/>
      <c r="AT242" s="83"/>
    </row>
    <row r="243" spans="1:46" ht="13.8">
      <c r="A243" s="83"/>
      <c r="B243" s="83"/>
      <c r="C243" s="83"/>
      <c r="D243" s="83"/>
      <c r="E243" s="82"/>
      <c r="F243" s="82"/>
      <c r="G243" s="83"/>
      <c r="H243" s="83"/>
      <c r="I243" s="83"/>
      <c r="J243" s="83"/>
      <c r="K243" s="83"/>
      <c r="L243" s="83"/>
      <c r="M243" s="83"/>
      <c r="N243" s="83"/>
      <c r="O243" s="83"/>
      <c r="P243" s="83"/>
      <c r="Q243" s="83"/>
      <c r="R243" s="83"/>
      <c r="S243" s="83"/>
      <c r="T243" s="83"/>
      <c r="U243" s="83"/>
      <c r="V243" s="83"/>
      <c r="W243" s="83"/>
      <c r="X243" s="83"/>
      <c r="Y243" s="83"/>
      <c r="Z243" s="83"/>
      <c r="AA243" s="83"/>
      <c r="AB243" s="83"/>
      <c r="AC243" s="83"/>
      <c r="AD243" s="83"/>
      <c r="AE243" s="83"/>
      <c r="AF243" s="83"/>
      <c r="AG243" s="83"/>
      <c r="AH243" s="83"/>
      <c r="AI243" s="83"/>
      <c r="AJ243" s="83"/>
      <c r="AK243" s="83"/>
      <c r="AL243" s="83"/>
      <c r="AM243" s="83"/>
      <c r="AN243" s="83"/>
      <c r="AO243" s="83"/>
      <c r="AP243" s="83"/>
      <c r="AQ243" s="83"/>
      <c r="AR243" s="83"/>
      <c r="AS243" s="83"/>
      <c r="AT243" s="83"/>
    </row>
    <row r="244" spans="1:46" ht="13.8">
      <c r="A244" s="83"/>
      <c r="B244" s="83"/>
      <c r="C244" s="83"/>
      <c r="D244" s="83"/>
      <c r="E244" s="82"/>
      <c r="F244" s="82"/>
      <c r="G244" s="83"/>
      <c r="H244" s="83"/>
      <c r="I244" s="83"/>
      <c r="J244" s="83"/>
      <c r="K244" s="83"/>
      <c r="L244" s="83"/>
      <c r="M244" s="83"/>
      <c r="N244" s="83"/>
      <c r="O244" s="83"/>
      <c r="P244" s="83"/>
      <c r="Q244" s="83"/>
      <c r="R244" s="83"/>
      <c r="S244" s="83"/>
      <c r="T244" s="83"/>
      <c r="U244" s="83"/>
      <c r="V244" s="83"/>
      <c r="W244" s="83"/>
      <c r="X244" s="83"/>
      <c r="Y244" s="83"/>
      <c r="Z244" s="83"/>
      <c r="AA244" s="83"/>
      <c r="AB244" s="83"/>
      <c r="AC244" s="83"/>
      <c r="AD244" s="83"/>
      <c r="AE244" s="83"/>
      <c r="AF244" s="83"/>
      <c r="AG244" s="83"/>
      <c r="AH244" s="83"/>
      <c r="AI244" s="83"/>
      <c r="AJ244" s="83"/>
      <c r="AK244" s="83"/>
      <c r="AL244" s="83"/>
      <c r="AM244" s="83"/>
      <c r="AN244" s="83"/>
      <c r="AO244" s="83"/>
      <c r="AP244" s="83"/>
      <c r="AQ244" s="83"/>
      <c r="AR244" s="83"/>
      <c r="AS244" s="83"/>
      <c r="AT244" s="83"/>
    </row>
    <row r="245" spans="1:46" ht="13.8">
      <c r="A245" s="83"/>
      <c r="B245" s="83"/>
      <c r="C245" s="83"/>
      <c r="D245" s="83"/>
      <c r="E245" s="82"/>
      <c r="F245" s="82"/>
      <c r="G245" s="83"/>
      <c r="H245" s="83"/>
      <c r="I245" s="83"/>
      <c r="J245" s="83"/>
      <c r="K245" s="83"/>
      <c r="L245" s="83"/>
      <c r="M245" s="83"/>
      <c r="N245" s="83"/>
      <c r="O245" s="83"/>
      <c r="P245" s="83"/>
      <c r="Q245" s="83"/>
      <c r="R245" s="83"/>
      <c r="S245" s="83"/>
      <c r="T245" s="83"/>
      <c r="U245" s="83"/>
      <c r="V245" s="83"/>
      <c r="W245" s="83"/>
      <c r="X245" s="83"/>
      <c r="Y245" s="83"/>
      <c r="Z245" s="83"/>
      <c r="AA245" s="83"/>
      <c r="AB245" s="83"/>
      <c r="AC245" s="83"/>
      <c r="AD245" s="83"/>
      <c r="AE245" s="83"/>
      <c r="AF245" s="83"/>
      <c r="AG245" s="83"/>
      <c r="AH245" s="83"/>
      <c r="AI245" s="83"/>
      <c r="AJ245" s="83"/>
      <c r="AK245" s="83"/>
      <c r="AL245" s="83"/>
      <c r="AM245" s="83"/>
      <c r="AN245" s="83"/>
      <c r="AO245" s="83"/>
      <c r="AP245" s="83"/>
      <c r="AQ245" s="83"/>
      <c r="AR245" s="83"/>
      <c r="AS245" s="83"/>
      <c r="AT245" s="83"/>
    </row>
    <row r="246" spans="1:46" ht="13.8">
      <c r="A246" s="83"/>
      <c r="B246" s="83"/>
      <c r="C246" s="83"/>
      <c r="D246" s="83"/>
      <c r="E246" s="82"/>
      <c r="F246" s="82"/>
      <c r="G246" s="83"/>
      <c r="H246" s="83"/>
      <c r="I246" s="83"/>
      <c r="J246" s="83"/>
      <c r="K246" s="83"/>
      <c r="L246" s="83"/>
      <c r="M246" s="83"/>
      <c r="N246" s="83"/>
      <c r="O246" s="83"/>
      <c r="P246" s="83"/>
      <c r="Q246" s="83"/>
      <c r="R246" s="83"/>
      <c r="S246" s="83"/>
      <c r="T246" s="83"/>
      <c r="U246" s="83"/>
      <c r="V246" s="83"/>
      <c r="W246" s="83"/>
      <c r="X246" s="83"/>
      <c r="Y246" s="83"/>
      <c r="Z246" s="83"/>
      <c r="AA246" s="83"/>
      <c r="AB246" s="83"/>
      <c r="AC246" s="83"/>
      <c r="AD246" s="83"/>
      <c r="AE246" s="83"/>
      <c r="AF246" s="83"/>
      <c r="AG246" s="83"/>
      <c r="AH246" s="83"/>
      <c r="AI246" s="83"/>
      <c r="AJ246" s="83"/>
      <c r="AK246" s="83"/>
      <c r="AL246" s="83"/>
      <c r="AM246" s="83"/>
      <c r="AN246" s="83"/>
      <c r="AO246" s="83"/>
      <c r="AP246" s="83"/>
      <c r="AQ246" s="83"/>
      <c r="AR246" s="83"/>
      <c r="AS246" s="83"/>
      <c r="AT246" s="83"/>
    </row>
    <row r="247" spans="1:46" ht="13.8">
      <c r="A247" s="83"/>
      <c r="B247" s="83"/>
      <c r="C247" s="83"/>
      <c r="D247" s="83"/>
      <c r="E247" s="82"/>
      <c r="F247" s="82"/>
      <c r="G247" s="83"/>
      <c r="H247" s="83"/>
      <c r="I247" s="83"/>
      <c r="J247" s="83"/>
      <c r="K247" s="83"/>
      <c r="L247" s="83"/>
      <c r="M247" s="83"/>
      <c r="N247" s="83"/>
      <c r="O247" s="83"/>
      <c r="P247" s="83"/>
      <c r="Q247" s="83"/>
      <c r="R247" s="83"/>
      <c r="S247" s="83"/>
      <c r="T247" s="83"/>
      <c r="U247" s="83"/>
      <c r="V247" s="83"/>
      <c r="W247" s="83"/>
      <c r="X247" s="83"/>
      <c r="Y247" s="83"/>
      <c r="Z247" s="83"/>
      <c r="AA247" s="83"/>
      <c r="AB247" s="83"/>
      <c r="AC247" s="83"/>
      <c r="AD247" s="83"/>
      <c r="AE247" s="83"/>
      <c r="AF247" s="83"/>
      <c r="AG247" s="83"/>
      <c r="AH247" s="83"/>
      <c r="AI247" s="83"/>
      <c r="AJ247" s="83"/>
      <c r="AK247" s="83"/>
      <c r="AL247" s="83"/>
      <c r="AM247" s="83"/>
      <c r="AN247" s="83"/>
      <c r="AO247" s="83"/>
      <c r="AP247" s="83"/>
      <c r="AQ247" s="83"/>
      <c r="AR247" s="83"/>
      <c r="AS247" s="83"/>
      <c r="AT247" s="83"/>
    </row>
    <row r="248" spans="1:46" ht="13.8">
      <c r="A248" s="83"/>
      <c r="B248" s="83"/>
      <c r="C248" s="83"/>
      <c r="D248" s="83"/>
      <c r="E248" s="82"/>
      <c r="F248" s="82"/>
      <c r="G248" s="83"/>
      <c r="H248" s="83"/>
      <c r="I248" s="83"/>
      <c r="J248" s="83"/>
      <c r="K248" s="83"/>
      <c r="L248" s="83"/>
      <c r="M248" s="83"/>
      <c r="N248" s="83"/>
      <c r="O248" s="83"/>
      <c r="P248" s="83"/>
      <c r="Q248" s="83"/>
      <c r="R248" s="83"/>
      <c r="S248" s="83"/>
      <c r="T248" s="83"/>
      <c r="U248" s="83"/>
      <c r="V248" s="83"/>
      <c r="W248" s="83"/>
      <c r="X248" s="83"/>
      <c r="Y248" s="83"/>
      <c r="Z248" s="83"/>
      <c r="AA248" s="83"/>
      <c r="AB248" s="83"/>
      <c r="AC248" s="83"/>
      <c r="AD248" s="83"/>
      <c r="AE248" s="83"/>
      <c r="AF248" s="83"/>
      <c r="AG248" s="83"/>
      <c r="AH248" s="83"/>
      <c r="AI248" s="83"/>
      <c r="AJ248" s="83"/>
      <c r="AK248" s="83"/>
      <c r="AL248" s="83"/>
      <c r="AM248" s="83"/>
      <c r="AN248" s="83"/>
      <c r="AO248" s="83"/>
      <c r="AP248" s="83"/>
      <c r="AQ248" s="83"/>
      <c r="AR248" s="83"/>
      <c r="AS248" s="83"/>
      <c r="AT248" s="83"/>
    </row>
    <row r="249" spans="1:46" ht="13.8">
      <c r="A249" s="83"/>
      <c r="B249" s="83"/>
      <c r="C249" s="83"/>
      <c r="D249" s="83"/>
      <c r="E249" s="82"/>
      <c r="F249" s="82"/>
      <c r="G249" s="83"/>
      <c r="H249" s="83"/>
      <c r="I249" s="83"/>
      <c r="J249" s="83"/>
      <c r="K249" s="83"/>
      <c r="L249" s="83"/>
      <c r="M249" s="83"/>
      <c r="N249" s="83"/>
      <c r="O249" s="83"/>
      <c r="P249" s="83"/>
      <c r="Q249" s="83"/>
      <c r="R249" s="83"/>
      <c r="S249" s="83"/>
      <c r="T249" s="83"/>
      <c r="U249" s="83"/>
      <c r="V249" s="83"/>
      <c r="W249" s="83"/>
      <c r="X249" s="83"/>
      <c r="Y249" s="83"/>
      <c r="Z249" s="83"/>
      <c r="AA249" s="83"/>
      <c r="AB249" s="83"/>
      <c r="AC249" s="83"/>
      <c r="AD249" s="83"/>
      <c r="AE249" s="83"/>
      <c r="AF249" s="83"/>
      <c r="AG249" s="83"/>
      <c r="AH249" s="83"/>
      <c r="AI249" s="83"/>
      <c r="AJ249" s="83"/>
      <c r="AK249" s="83"/>
      <c r="AL249" s="83"/>
      <c r="AM249" s="83"/>
      <c r="AN249" s="83"/>
      <c r="AO249" s="83"/>
      <c r="AP249" s="83"/>
      <c r="AQ249" s="83"/>
      <c r="AR249" s="83"/>
      <c r="AS249" s="83"/>
      <c r="AT249" s="83"/>
    </row>
    <row r="250" spans="1:46" ht="13.8">
      <c r="A250" s="83"/>
      <c r="B250" s="83"/>
      <c r="C250" s="83"/>
      <c r="D250" s="83"/>
      <c r="E250" s="82"/>
      <c r="F250" s="82"/>
      <c r="G250" s="83"/>
      <c r="H250" s="83"/>
      <c r="I250" s="83"/>
      <c r="J250" s="83"/>
      <c r="K250" s="83"/>
      <c r="L250" s="83"/>
      <c r="M250" s="83"/>
      <c r="N250" s="83"/>
      <c r="O250" s="83"/>
      <c r="P250" s="83"/>
      <c r="Q250" s="83"/>
      <c r="R250" s="83"/>
      <c r="S250" s="83"/>
      <c r="T250" s="83"/>
      <c r="U250" s="83"/>
      <c r="V250" s="83"/>
      <c r="W250" s="83"/>
      <c r="X250" s="83"/>
      <c r="Y250" s="83"/>
      <c r="Z250" s="83"/>
      <c r="AA250" s="83"/>
      <c r="AB250" s="83"/>
      <c r="AC250" s="83"/>
      <c r="AD250" s="83"/>
      <c r="AE250" s="83"/>
      <c r="AF250" s="83"/>
      <c r="AG250" s="83"/>
      <c r="AH250" s="83"/>
      <c r="AI250" s="83"/>
      <c r="AJ250" s="83"/>
      <c r="AK250" s="83"/>
      <c r="AL250" s="83"/>
      <c r="AM250" s="83"/>
      <c r="AN250" s="83"/>
      <c r="AO250" s="83"/>
      <c r="AP250" s="83"/>
      <c r="AQ250" s="83"/>
      <c r="AR250" s="83"/>
      <c r="AS250" s="83"/>
      <c r="AT250" s="83"/>
    </row>
    <row r="251" spans="1:46" ht="13.8">
      <c r="A251" s="83"/>
      <c r="B251" s="83"/>
      <c r="C251" s="83"/>
      <c r="D251" s="83"/>
      <c r="E251" s="82"/>
      <c r="F251" s="82"/>
      <c r="G251" s="83"/>
      <c r="H251" s="83"/>
      <c r="I251" s="83"/>
      <c r="J251" s="83"/>
      <c r="K251" s="83"/>
      <c r="L251" s="83"/>
      <c r="M251" s="83"/>
      <c r="N251" s="83"/>
      <c r="O251" s="83"/>
      <c r="P251" s="83"/>
      <c r="Q251" s="83"/>
      <c r="R251" s="83"/>
      <c r="S251" s="83"/>
      <c r="T251" s="83"/>
      <c r="U251" s="83"/>
      <c r="V251" s="83"/>
      <c r="W251" s="83"/>
      <c r="X251" s="83"/>
      <c r="Y251" s="83"/>
      <c r="Z251" s="83"/>
      <c r="AA251" s="83"/>
      <c r="AB251" s="83"/>
      <c r="AC251" s="83"/>
      <c r="AD251" s="83"/>
      <c r="AE251" s="83"/>
      <c r="AF251" s="83"/>
      <c r="AG251" s="83"/>
      <c r="AH251" s="83"/>
      <c r="AI251" s="83"/>
      <c r="AJ251" s="83"/>
      <c r="AK251" s="83"/>
      <c r="AL251" s="83"/>
      <c r="AM251" s="83"/>
      <c r="AN251" s="83"/>
      <c r="AO251" s="83"/>
      <c r="AP251" s="83"/>
      <c r="AQ251" s="83"/>
      <c r="AR251" s="83"/>
      <c r="AS251" s="83"/>
      <c r="AT251" s="83"/>
    </row>
    <row r="252" spans="1:46" ht="13.8">
      <c r="A252" s="83"/>
      <c r="B252" s="83"/>
      <c r="C252" s="83"/>
      <c r="D252" s="83"/>
      <c r="E252" s="82"/>
      <c r="F252" s="82"/>
      <c r="G252" s="83"/>
      <c r="H252" s="83"/>
      <c r="I252" s="83"/>
      <c r="J252" s="83"/>
      <c r="K252" s="83"/>
      <c r="L252" s="83"/>
      <c r="M252" s="83"/>
      <c r="N252" s="83"/>
      <c r="O252" s="83"/>
      <c r="P252" s="83"/>
      <c r="Q252" s="83"/>
      <c r="R252" s="83"/>
      <c r="S252" s="83"/>
      <c r="T252" s="83"/>
      <c r="U252" s="83"/>
      <c r="V252" s="83"/>
      <c r="W252" s="83"/>
      <c r="X252" s="83"/>
      <c r="Y252" s="83"/>
      <c r="Z252" s="83"/>
      <c r="AA252" s="83"/>
      <c r="AB252" s="83"/>
      <c r="AC252" s="83"/>
      <c r="AD252" s="83"/>
      <c r="AE252" s="83"/>
      <c r="AF252" s="83"/>
      <c r="AG252" s="83"/>
      <c r="AH252" s="83"/>
      <c r="AI252" s="83"/>
      <c r="AJ252" s="83"/>
      <c r="AK252" s="83"/>
      <c r="AL252" s="83"/>
      <c r="AM252" s="83"/>
      <c r="AN252" s="83"/>
      <c r="AO252" s="83"/>
      <c r="AP252" s="83"/>
      <c r="AQ252" s="83"/>
      <c r="AR252" s="83"/>
      <c r="AS252" s="83"/>
      <c r="AT252" s="83"/>
    </row>
    <row r="253" spans="1:46" ht="13.8">
      <c r="A253" s="83"/>
      <c r="B253" s="83"/>
      <c r="C253" s="83"/>
      <c r="D253" s="83"/>
      <c r="E253" s="82"/>
      <c r="F253" s="82"/>
      <c r="G253" s="83"/>
      <c r="H253" s="83"/>
      <c r="I253" s="83"/>
      <c r="J253" s="83"/>
      <c r="K253" s="83"/>
      <c r="L253" s="83"/>
      <c r="M253" s="83"/>
      <c r="N253" s="83"/>
      <c r="O253" s="83"/>
      <c r="P253" s="83"/>
      <c r="Q253" s="83"/>
      <c r="R253" s="83"/>
      <c r="S253" s="83"/>
      <c r="T253" s="83"/>
      <c r="U253" s="83"/>
      <c r="V253" s="83"/>
      <c r="W253" s="83"/>
      <c r="X253" s="83"/>
      <c r="Y253" s="83"/>
      <c r="Z253" s="83"/>
      <c r="AA253" s="83"/>
      <c r="AB253" s="83"/>
      <c r="AC253" s="83"/>
      <c r="AD253" s="83"/>
      <c r="AE253" s="83"/>
      <c r="AF253" s="83"/>
      <c r="AG253" s="83"/>
      <c r="AH253" s="83"/>
      <c r="AI253" s="83"/>
      <c r="AJ253" s="83"/>
      <c r="AK253" s="83"/>
      <c r="AL253" s="83"/>
      <c r="AM253" s="83"/>
      <c r="AN253" s="83"/>
      <c r="AO253" s="83"/>
      <c r="AP253" s="83"/>
      <c r="AQ253" s="83"/>
      <c r="AR253" s="83"/>
      <c r="AS253" s="83"/>
      <c r="AT253" s="83"/>
    </row>
    <row r="254" spans="1:46" ht="13.8">
      <c r="A254" s="83"/>
      <c r="B254" s="83"/>
      <c r="C254" s="83"/>
      <c r="D254" s="83"/>
      <c r="E254" s="82"/>
      <c r="F254" s="82"/>
      <c r="G254" s="83"/>
      <c r="H254" s="83"/>
      <c r="I254" s="83"/>
      <c r="J254" s="83"/>
      <c r="K254" s="83"/>
      <c r="L254" s="83"/>
      <c r="M254" s="83"/>
      <c r="N254" s="83"/>
      <c r="O254" s="83"/>
      <c r="P254" s="83"/>
      <c r="Q254" s="83"/>
      <c r="R254" s="83"/>
      <c r="S254" s="83"/>
      <c r="T254" s="83"/>
      <c r="U254" s="83"/>
      <c r="V254" s="83"/>
      <c r="W254" s="83"/>
      <c r="X254" s="83"/>
      <c r="Y254" s="83"/>
      <c r="Z254" s="83"/>
      <c r="AA254" s="83"/>
      <c r="AB254" s="83"/>
      <c r="AC254" s="83"/>
      <c r="AD254" s="83"/>
      <c r="AE254" s="83"/>
      <c r="AF254" s="83"/>
      <c r="AG254" s="83"/>
      <c r="AH254" s="83"/>
      <c r="AI254" s="83"/>
      <c r="AJ254" s="83"/>
      <c r="AK254" s="83"/>
      <c r="AL254" s="83"/>
      <c r="AM254" s="83"/>
      <c r="AN254" s="83"/>
      <c r="AO254" s="83"/>
      <c r="AP254" s="83"/>
      <c r="AQ254" s="83"/>
      <c r="AR254" s="83"/>
      <c r="AS254" s="83"/>
      <c r="AT254" s="83"/>
    </row>
    <row r="255" spans="1:46" ht="13.8">
      <c r="A255" s="83"/>
      <c r="B255" s="83"/>
      <c r="C255" s="83"/>
      <c r="D255" s="83"/>
      <c r="E255" s="82"/>
      <c r="F255" s="82"/>
      <c r="G255" s="83"/>
      <c r="H255" s="83"/>
      <c r="I255" s="83"/>
      <c r="J255" s="83"/>
      <c r="K255" s="83"/>
      <c r="L255" s="83"/>
      <c r="M255" s="83"/>
      <c r="N255" s="83"/>
      <c r="O255" s="83"/>
      <c r="P255" s="83"/>
      <c r="Q255" s="83"/>
      <c r="R255" s="83"/>
      <c r="S255" s="83"/>
      <c r="T255" s="83"/>
      <c r="U255" s="83"/>
      <c r="V255" s="83"/>
      <c r="W255" s="83"/>
      <c r="X255" s="83"/>
      <c r="Y255" s="83"/>
      <c r="Z255" s="83"/>
      <c r="AA255" s="83"/>
      <c r="AB255" s="83"/>
      <c r="AC255" s="83"/>
      <c r="AD255" s="83"/>
      <c r="AE255" s="83"/>
      <c r="AF255" s="83"/>
      <c r="AG255" s="83"/>
      <c r="AH255" s="83"/>
      <c r="AI255" s="83"/>
      <c r="AJ255" s="83"/>
      <c r="AK255" s="83"/>
      <c r="AL255" s="83"/>
      <c r="AM255" s="83"/>
      <c r="AN255" s="83"/>
      <c r="AO255" s="83"/>
      <c r="AP255" s="83"/>
      <c r="AQ255" s="83"/>
      <c r="AR255" s="83"/>
      <c r="AS255" s="83"/>
      <c r="AT255" s="83"/>
    </row>
    <row r="256" spans="1:46" ht="13.8">
      <c r="A256" s="83"/>
      <c r="B256" s="83"/>
      <c r="C256" s="83"/>
      <c r="D256" s="83"/>
      <c r="E256" s="82"/>
      <c r="F256" s="82"/>
      <c r="G256" s="83"/>
      <c r="H256" s="83"/>
      <c r="I256" s="83"/>
      <c r="J256" s="83"/>
      <c r="K256" s="83"/>
      <c r="L256" s="83"/>
      <c r="M256" s="83"/>
      <c r="N256" s="83"/>
      <c r="O256" s="83"/>
      <c r="P256" s="83"/>
      <c r="Q256" s="83"/>
      <c r="R256" s="83"/>
      <c r="S256" s="83"/>
      <c r="T256" s="83"/>
      <c r="U256" s="83"/>
      <c r="V256" s="83"/>
      <c r="W256" s="83"/>
      <c r="X256" s="83"/>
      <c r="Y256" s="83"/>
      <c r="Z256" s="83"/>
      <c r="AA256" s="83"/>
      <c r="AB256" s="83"/>
      <c r="AC256" s="83"/>
      <c r="AD256" s="83"/>
      <c r="AE256" s="83"/>
      <c r="AF256" s="83"/>
      <c r="AG256" s="83"/>
      <c r="AH256" s="83"/>
      <c r="AI256" s="83"/>
      <c r="AJ256" s="83"/>
      <c r="AK256" s="83"/>
      <c r="AL256" s="83"/>
      <c r="AM256" s="83"/>
      <c r="AN256" s="83"/>
      <c r="AO256" s="83"/>
      <c r="AP256" s="83"/>
      <c r="AQ256" s="83"/>
      <c r="AR256" s="83"/>
      <c r="AS256" s="83"/>
      <c r="AT256" s="83"/>
    </row>
    <row r="257" spans="1:46" ht="13.8">
      <c r="A257" s="83"/>
      <c r="B257" s="83"/>
      <c r="C257" s="83"/>
      <c r="D257" s="83"/>
      <c r="E257" s="82"/>
      <c r="F257" s="82"/>
      <c r="G257" s="83"/>
      <c r="H257" s="83"/>
      <c r="I257" s="83"/>
      <c r="J257" s="83"/>
      <c r="K257" s="83"/>
      <c r="L257" s="83"/>
      <c r="M257" s="83"/>
      <c r="N257" s="83"/>
      <c r="O257" s="83"/>
      <c r="P257" s="83"/>
      <c r="Q257" s="83"/>
      <c r="R257" s="83"/>
      <c r="S257" s="83"/>
      <c r="T257" s="83"/>
      <c r="U257" s="83"/>
      <c r="V257" s="83"/>
      <c r="W257" s="83"/>
      <c r="X257" s="83"/>
      <c r="Y257" s="83"/>
      <c r="Z257" s="83"/>
      <c r="AA257" s="83"/>
      <c r="AB257" s="83"/>
      <c r="AC257" s="83"/>
      <c r="AD257" s="83"/>
      <c r="AE257" s="83"/>
      <c r="AF257" s="83"/>
      <c r="AG257" s="83"/>
      <c r="AH257" s="83"/>
      <c r="AI257" s="83"/>
      <c r="AJ257" s="83"/>
      <c r="AK257" s="83"/>
      <c r="AL257" s="83"/>
      <c r="AM257" s="83"/>
      <c r="AN257" s="83"/>
      <c r="AO257" s="83"/>
      <c r="AP257" s="83"/>
      <c r="AQ257" s="83"/>
      <c r="AR257" s="83"/>
      <c r="AS257" s="83"/>
      <c r="AT257" s="83"/>
    </row>
    <row r="258" spans="1:46" ht="13.8">
      <c r="A258" s="83"/>
      <c r="B258" s="83"/>
      <c r="C258" s="83"/>
      <c r="D258" s="83"/>
      <c r="E258" s="82"/>
      <c r="F258" s="82"/>
      <c r="G258" s="83"/>
      <c r="H258" s="83"/>
      <c r="I258" s="83"/>
      <c r="J258" s="83"/>
      <c r="K258" s="83"/>
      <c r="L258" s="83"/>
      <c r="M258" s="83"/>
      <c r="N258" s="83"/>
      <c r="O258" s="83"/>
      <c r="P258" s="83"/>
      <c r="Q258" s="83"/>
      <c r="R258" s="83"/>
      <c r="S258" s="83"/>
      <c r="T258" s="83"/>
      <c r="U258" s="83"/>
      <c r="V258" s="83"/>
      <c r="W258" s="83"/>
      <c r="X258" s="83"/>
      <c r="Y258" s="83"/>
      <c r="Z258" s="83"/>
      <c r="AA258" s="83"/>
      <c r="AB258" s="83"/>
      <c r="AC258" s="83"/>
      <c r="AD258" s="83"/>
      <c r="AE258" s="83"/>
      <c r="AF258" s="83"/>
      <c r="AG258" s="83"/>
      <c r="AH258" s="83"/>
      <c r="AI258" s="83"/>
      <c r="AJ258" s="83"/>
      <c r="AK258" s="83"/>
      <c r="AL258" s="83"/>
      <c r="AM258" s="83"/>
      <c r="AN258" s="83"/>
      <c r="AO258" s="83"/>
      <c r="AP258" s="83"/>
      <c r="AQ258" s="83"/>
      <c r="AR258" s="83"/>
      <c r="AS258" s="83"/>
      <c r="AT258" s="83"/>
    </row>
    <row r="259" spans="1:46" ht="13.8">
      <c r="A259" s="83"/>
      <c r="B259" s="83"/>
      <c r="C259" s="83"/>
      <c r="D259" s="83"/>
      <c r="E259" s="82"/>
      <c r="F259" s="82"/>
      <c r="G259" s="83"/>
      <c r="H259" s="83"/>
      <c r="I259" s="83"/>
      <c r="J259" s="83"/>
      <c r="K259" s="83"/>
      <c r="L259" s="83"/>
      <c r="M259" s="83"/>
      <c r="N259" s="83"/>
      <c r="O259" s="83"/>
      <c r="P259" s="83"/>
      <c r="Q259" s="83"/>
      <c r="R259" s="83"/>
      <c r="S259" s="83"/>
      <c r="T259" s="83"/>
      <c r="U259" s="83"/>
      <c r="V259" s="83"/>
      <c r="W259" s="83"/>
      <c r="X259" s="83"/>
      <c r="Y259" s="83"/>
      <c r="Z259" s="83"/>
      <c r="AA259" s="83"/>
      <c r="AB259" s="83"/>
      <c r="AC259" s="83"/>
      <c r="AD259" s="83"/>
      <c r="AE259" s="83"/>
      <c r="AF259" s="83"/>
      <c r="AG259" s="83"/>
      <c r="AH259" s="83"/>
      <c r="AI259" s="83"/>
      <c r="AJ259" s="83"/>
      <c r="AK259" s="83"/>
      <c r="AL259" s="83"/>
      <c r="AM259" s="83"/>
      <c r="AN259" s="83"/>
      <c r="AO259" s="83"/>
      <c r="AP259" s="83"/>
      <c r="AQ259" s="83"/>
      <c r="AR259" s="83"/>
      <c r="AS259" s="83"/>
      <c r="AT259" s="83"/>
    </row>
    <row r="260" spans="1:46" ht="13.8">
      <c r="A260" s="83"/>
      <c r="B260" s="83"/>
      <c r="C260" s="83"/>
      <c r="D260" s="83"/>
      <c r="E260" s="82"/>
      <c r="F260" s="82"/>
      <c r="G260" s="83"/>
      <c r="H260" s="83"/>
      <c r="I260" s="83"/>
      <c r="J260" s="83"/>
      <c r="K260" s="83"/>
      <c r="L260" s="83"/>
      <c r="M260" s="83"/>
      <c r="N260" s="83"/>
      <c r="O260" s="83"/>
      <c r="P260" s="83"/>
      <c r="Q260" s="83"/>
      <c r="R260" s="83"/>
      <c r="S260" s="83"/>
      <c r="T260" s="83"/>
      <c r="U260" s="83"/>
      <c r="V260" s="83"/>
      <c r="W260" s="83"/>
      <c r="X260" s="83"/>
      <c r="Y260" s="83"/>
      <c r="Z260" s="83"/>
      <c r="AA260" s="83"/>
      <c r="AB260" s="83"/>
      <c r="AC260" s="83"/>
      <c r="AD260" s="83"/>
      <c r="AE260" s="83"/>
      <c r="AF260" s="83"/>
      <c r="AG260" s="83"/>
      <c r="AH260" s="83"/>
      <c r="AI260" s="83"/>
      <c r="AJ260" s="83"/>
      <c r="AK260" s="83"/>
      <c r="AL260" s="83"/>
      <c r="AM260" s="83"/>
      <c r="AN260" s="83"/>
      <c r="AO260" s="83"/>
      <c r="AP260" s="83"/>
      <c r="AQ260" s="83"/>
      <c r="AR260" s="83"/>
      <c r="AS260" s="83"/>
      <c r="AT260" s="83"/>
    </row>
    <row r="261" spans="1:46" ht="13.8">
      <c r="A261" s="83"/>
      <c r="B261" s="83"/>
      <c r="C261" s="83"/>
      <c r="D261" s="83"/>
      <c r="E261" s="82"/>
      <c r="F261" s="82"/>
      <c r="G261" s="83"/>
      <c r="H261" s="83"/>
      <c r="I261" s="83"/>
      <c r="J261" s="83"/>
      <c r="K261" s="83"/>
      <c r="L261" s="83"/>
      <c r="M261" s="83"/>
      <c r="N261" s="83"/>
      <c r="O261" s="83"/>
      <c r="P261" s="83"/>
      <c r="Q261" s="83"/>
      <c r="R261" s="83"/>
      <c r="S261" s="83"/>
      <c r="T261" s="83"/>
      <c r="U261" s="83"/>
      <c r="V261" s="83"/>
      <c r="W261" s="83"/>
      <c r="X261" s="83"/>
      <c r="Y261" s="83"/>
      <c r="Z261" s="83"/>
      <c r="AA261" s="83"/>
      <c r="AB261" s="83"/>
      <c r="AC261" s="83"/>
      <c r="AD261" s="83"/>
      <c r="AE261" s="83"/>
      <c r="AF261" s="83"/>
      <c r="AG261" s="83"/>
      <c r="AH261" s="83"/>
      <c r="AI261" s="83"/>
      <c r="AJ261" s="83"/>
      <c r="AK261" s="83"/>
      <c r="AL261" s="83"/>
      <c r="AM261" s="83"/>
      <c r="AN261" s="83"/>
      <c r="AO261" s="83"/>
      <c r="AP261" s="83"/>
      <c r="AQ261" s="83"/>
      <c r="AR261" s="83"/>
      <c r="AS261" s="83"/>
      <c r="AT261" s="83"/>
    </row>
    <row r="262" spans="1:46" ht="13.8">
      <c r="A262" s="83"/>
      <c r="B262" s="83"/>
      <c r="C262" s="83"/>
      <c r="D262" s="83"/>
      <c r="E262" s="82"/>
      <c r="F262" s="82"/>
      <c r="G262" s="83"/>
      <c r="H262" s="83"/>
      <c r="I262" s="83"/>
      <c r="J262" s="83"/>
      <c r="K262" s="83"/>
      <c r="L262" s="83"/>
      <c r="M262" s="83"/>
      <c r="N262" s="83"/>
      <c r="O262" s="83"/>
      <c r="P262" s="83"/>
      <c r="Q262" s="83"/>
      <c r="R262" s="83"/>
      <c r="S262" s="83"/>
      <c r="T262" s="83"/>
      <c r="U262" s="83"/>
      <c r="V262" s="83"/>
      <c r="W262" s="83"/>
      <c r="X262" s="83"/>
      <c r="Y262" s="83"/>
      <c r="Z262" s="83"/>
      <c r="AA262" s="83"/>
      <c r="AB262" s="83"/>
      <c r="AC262" s="83"/>
      <c r="AD262" s="83"/>
      <c r="AE262" s="83"/>
      <c r="AF262" s="83"/>
      <c r="AG262" s="83"/>
      <c r="AH262" s="83"/>
      <c r="AI262" s="83"/>
      <c r="AJ262" s="83"/>
      <c r="AK262" s="83"/>
      <c r="AL262" s="83"/>
      <c r="AM262" s="83"/>
      <c r="AN262" s="83"/>
      <c r="AO262" s="83"/>
      <c r="AP262" s="83"/>
      <c r="AQ262" s="83"/>
      <c r="AR262" s="83"/>
      <c r="AS262" s="83"/>
      <c r="AT262" s="83"/>
    </row>
    <row r="263" spans="1:46" ht="13.8">
      <c r="A263" s="83"/>
      <c r="B263" s="83"/>
      <c r="C263" s="83"/>
      <c r="D263" s="83"/>
      <c r="E263" s="82"/>
      <c r="F263" s="82"/>
      <c r="G263" s="83"/>
      <c r="H263" s="83"/>
      <c r="I263" s="83"/>
      <c r="J263" s="83"/>
      <c r="K263" s="83"/>
      <c r="L263" s="83"/>
      <c r="M263" s="83"/>
      <c r="N263" s="83"/>
      <c r="O263" s="83"/>
      <c r="P263" s="83"/>
      <c r="Q263" s="83"/>
      <c r="R263" s="83"/>
      <c r="S263" s="83"/>
      <c r="T263" s="83"/>
      <c r="U263" s="83"/>
      <c r="V263" s="83"/>
      <c r="W263" s="83"/>
      <c r="X263" s="83"/>
      <c r="Y263" s="83"/>
      <c r="Z263" s="83"/>
      <c r="AA263" s="83"/>
      <c r="AB263" s="83"/>
      <c r="AC263" s="83"/>
      <c r="AD263" s="83"/>
      <c r="AE263" s="83"/>
      <c r="AF263" s="83"/>
      <c r="AG263" s="83"/>
      <c r="AH263" s="83"/>
      <c r="AI263" s="83"/>
      <c r="AJ263" s="83"/>
      <c r="AK263" s="83"/>
      <c r="AL263" s="83"/>
      <c r="AM263" s="83"/>
      <c r="AN263" s="83"/>
      <c r="AO263" s="83"/>
      <c r="AP263" s="83"/>
      <c r="AQ263" s="83"/>
      <c r="AR263" s="83"/>
      <c r="AS263" s="83"/>
      <c r="AT263" s="83"/>
    </row>
    <row r="264" spans="1:46" ht="13.8">
      <c r="A264" s="83"/>
      <c r="B264" s="83"/>
      <c r="C264" s="83"/>
      <c r="D264" s="83"/>
      <c r="E264" s="82"/>
      <c r="F264" s="82"/>
      <c r="G264" s="83"/>
      <c r="H264" s="83"/>
      <c r="I264" s="83"/>
      <c r="J264" s="83"/>
      <c r="K264" s="83"/>
      <c r="L264" s="83"/>
      <c r="M264" s="83"/>
      <c r="N264" s="83"/>
      <c r="O264" s="83"/>
      <c r="P264" s="83"/>
      <c r="Q264" s="83"/>
      <c r="R264" s="83"/>
      <c r="S264" s="83"/>
      <c r="T264" s="83"/>
      <c r="U264" s="83"/>
      <c r="V264" s="83"/>
      <c r="W264" s="83"/>
      <c r="X264" s="83"/>
      <c r="Y264" s="83"/>
      <c r="Z264" s="83"/>
      <c r="AA264" s="83"/>
      <c r="AB264" s="83"/>
      <c r="AC264" s="83"/>
      <c r="AD264" s="83"/>
      <c r="AE264" s="83"/>
      <c r="AF264" s="83"/>
      <c r="AG264" s="83"/>
      <c r="AH264" s="83"/>
      <c r="AI264" s="83"/>
      <c r="AJ264" s="83"/>
      <c r="AK264" s="83"/>
      <c r="AL264" s="83"/>
      <c r="AM264" s="83"/>
      <c r="AN264" s="83"/>
      <c r="AO264" s="83"/>
      <c r="AP264" s="83"/>
      <c r="AQ264" s="83"/>
      <c r="AR264" s="83"/>
      <c r="AS264" s="83"/>
      <c r="AT264" s="83"/>
    </row>
    <row r="265" spans="1:46" ht="13.8">
      <c r="A265" s="83"/>
      <c r="B265" s="83"/>
      <c r="C265" s="83"/>
      <c r="D265" s="83"/>
      <c r="E265" s="82"/>
      <c r="F265" s="82"/>
      <c r="G265" s="83"/>
      <c r="H265" s="83"/>
      <c r="I265" s="83"/>
      <c r="J265" s="83"/>
      <c r="K265" s="83"/>
      <c r="L265" s="83"/>
      <c r="M265" s="83"/>
      <c r="N265" s="83"/>
      <c r="O265" s="83"/>
      <c r="P265" s="83"/>
      <c r="Q265" s="83"/>
      <c r="R265" s="83"/>
      <c r="S265" s="83"/>
      <c r="T265" s="83"/>
      <c r="U265" s="83"/>
      <c r="V265" s="83"/>
      <c r="W265" s="83"/>
      <c r="X265" s="83"/>
      <c r="Y265" s="83"/>
      <c r="Z265" s="83"/>
      <c r="AA265" s="83"/>
      <c r="AB265" s="83"/>
      <c r="AC265" s="83"/>
      <c r="AD265" s="83"/>
      <c r="AE265" s="83"/>
      <c r="AF265" s="83"/>
      <c r="AG265" s="83"/>
      <c r="AH265" s="83"/>
      <c r="AI265" s="83"/>
      <c r="AJ265" s="83"/>
      <c r="AK265" s="83"/>
      <c r="AL265" s="83"/>
      <c r="AM265" s="83"/>
      <c r="AN265" s="83"/>
      <c r="AO265" s="83"/>
      <c r="AP265" s="83"/>
      <c r="AQ265" s="83"/>
      <c r="AR265" s="83"/>
      <c r="AS265" s="83"/>
      <c r="AT265" s="83"/>
    </row>
    <row r="266" spans="1:46" ht="13.8">
      <c r="A266" s="83"/>
      <c r="B266" s="83"/>
      <c r="C266" s="83"/>
      <c r="D266" s="83"/>
      <c r="E266" s="82"/>
      <c r="F266" s="82"/>
      <c r="G266" s="83"/>
      <c r="H266" s="83"/>
      <c r="I266" s="83"/>
      <c r="J266" s="83"/>
      <c r="K266" s="83"/>
      <c r="L266" s="83"/>
      <c r="M266" s="83"/>
      <c r="N266" s="83"/>
      <c r="O266" s="83"/>
      <c r="P266" s="83"/>
      <c r="Q266" s="83"/>
      <c r="R266" s="83"/>
      <c r="S266" s="83"/>
      <c r="T266" s="83"/>
      <c r="U266" s="83"/>
      <c r="V266" s="83"/>
      <c r="W266" s="83"/>
      <c r="X266" s="83"/>
      <c r="Y266" s="83"/>
      <c r="Z266" s="83"/>
      <c r="AA266" s="83"/>
      <c r="AB266" s="83"/>
      <c r="AC266" s="83"/>
      <c r="AD266" s="83"/>
      <c r="AE266" s="83"/>
      <c r="AF266" s="83"/>
      <c r="AG266" s="83"/>
      <c r="AH266" s="83"/>
      <c r="AI266" s="83"/>
      <c r="AJ266" s="83"/>
      <c r="AK266" s="83"/>
      <c r="AL266" s="83"/>
      <c r="AM266" s="83"/>
      <c r="AN266" s="83"/>
      <c r="AO266" s="83"/>
      <c r="AP266" s="83"/>
      <c r="AQ266" s="83"/>
      <c r="AR266" s="83"/>
      <c r="AS266" s="83"/>
      <c r="AT266" s="83"/>
    </row>
    <row r="267" spans="1:46" ht="13.8">
      <c r="A267" s="83"/>
      <c r="B267" s="83"/>
      <c r="C267" s="83"/>
      <c r="D267" s="83"/>
      <c r="E267" s="82"/>
      <c r="F267" s="82"/>
      <c r="G267" s="83"/>
      <c r="H267" s="83"/>
      <c r="I267" s="83"/>
      <c r="J267" s="83"/>
      <c r="K267" s="83"/>
      <c r="L267" s="83"/>
      <c r="M267" s="83"/>
      <c r="N267" s="83"/>
      <c r="O267" s="83"/>
      <c r="P267" s="83"/>
      <c r="Q267" s="83"/>
      <c r="R267" s="83"/>
      <c r="S267" s="83"/>
      <c r="T267" s="83"/>
      <c r="U267" s="83"/>
      <c r="V267" s="83"/>
      <c r="W267" s="83"/>
      <c r="X267" s="83"/>
      <c r="Y267" s="83"/>
      <c r="Z267" s="83"/>
      <c r="AA267" s="83"/>
      <c r="AB267" s="83"/>
      <c r="AC267" s="83"/>
      <c r="AD267" s="83"/>
      <c r="AE267" s="83"/>
      <c r="AF267" s="83"/>
      <c r="AG267" s="83"/>
      <c r="AH267" s="83"/>
      <c r="AI267" s="83"/>
      <c r="AJ267" s="83"/>
      <c r="AK267" s="83"/>
      <c r="AL267" s="83"/>
      <c r="AM267" s="83"/>
      <c r="AN267" s="83"/>
      <c r="AO267" s="83"/>
      <c r="AP267" s="83"/>
      <c r="AQ267" s="83"/>
      <c r="AR267" s="83"/>
      <c r="AS267" s="83"/>
      <c r="AT267" s="83"/>
    </row>
    <row r="268" spans="1:46" ht="13.8">
      <c r="A268" s="83"/>
      <c r="B268" s="83"/>
      <c r="C268" s="83"/>
      <c r="D268" s="83"/>
      <c r="E268" s="82"/>
      <c r="F268" s="82"/>
      <c r="G268" s="83"/>
      <c r="H268" s="83"/>
      <c r="I268" s="83"/>
      <c r="J268" s="83"/>
      <c r="K268" s="83"/>
      <c r="L268" s="83"/>
      <c r="M268" s="83"/>
      <c r="N268" s="83"/>
      <c r="O268" s="83"/>
      <c r="P268" s="83"/>
      <c r="Q268" s="83"/>
      <c r="R268" s="83"/>
      <c r="S268" s="83"/>
      <c r="T268" s="83"/>
      <c r="U268" s="83"/>
      <c r="V268" s="83"/>
      <c r="W268" s="83"/>
      <c r="X268" s="83"/>
      <c r="Y268" s="83"/>
      <c r="Z268" s="83"/>
      <c r="AA268" s="83"/>
      <c r="AB268" s="83"/>
      <c r="AC268" s="83"/>
      <c r="AD268" s="83"/>
      <c r="AE268" s="83"/>
      <c r="AF268" s="83"/>
      <c r="AG268" s="83"/>
      <c r="AH268" s="83"/>
      <c r="AI268" s="83"/>
      <c r="AJ268" s="83"/>
      <c r="AK268" s="83"/>
      <c r="AL268" s="83"/>
      <c r="AM268" s="83"/>
      <c r="AN268" s="83"/>
      <c r="AO268" s="83"/>
      <c r="AP268" s="83"/>
      <c r="AQ268" s="83"/>
      <c r="AR268" s="83"/>
      <c r="AS268" s="83"/>
      <c r="AT268" s="83"/>
    </row>
    <row r="269" spans="1:46" ht="13.8">
      <c r="A269" s="83"/>
      <c r="B269" s="83"/>
      <c r="C269" s="83"/>
      <c r="D269" s="83"/>
      <c r="E269" s="82"/>
      <c r="F269" s="82"/>
      <c r="G269" s="83"/>
      <c r="H269" s="83"/>
      <c r="I269" s="83"/>
      <c r="J269" s="83"/>
      <c r="K269" s="83"/>
      <c r="L269" s="83"/>
      <c r="M269" s="83"/>
      <c r="N269" s="83"/>
      <c r="O269" s="83"/>
      <c r="P269" s="83"/>
      <c r="Q269" s="83"/>
      <c r="R269" s="83"/>
      <c r="S269" s="83"/>
      <c r="T269" s="83"/>
      <c r="U269" s="83"/>
      <c r="V269" s="83"/>
      <c r="W269" s="83"/>
      <c r="X269" s="83"/>
      <c r="Y269" s="83"/>
      <c r="Z269" s="83"/>
      <c r="AA269" s="83"/>
      <c r="AB269" s="83"/>
      <c r="AC269" s="83"/>
      <c r="AD269" s="83"/>
      <c r="AE269" s="83"/>
      <c r="AF269" s="83"/>
      <c r="AG269" s="83"/>
      <c r="AH269" s="83"/>
      <c r="AI269" s="83"/>
      <c r="AJ269" s="83"/>
      <c r="AK269" s="83"/>
      <c r="AL269" s="83"/>
      <c r="AM269" s="83"/>
      <c r="AN269" s="83"/>
      <c r="AO269" s="83"/>
      <c r="AP269" s="83"/>
      <c r="AQ269" s="83"/>
      <c r="AR269" s="83"/>
      <c r="AS269" s="83"/>
      <c r="AT269" s="83"/>
    </row>
    <row r="270" spans="1:46" ht="13.8">
      <c r="A270" s="83"/>
      <c r="B270" s="83"/>
      <c r="C270" s="83"/>
      <c r="D270" s="83"/>
      <c r="E270" s="82"/>
      <c r="F270" s="82"/>
      <c r="G270" s="83"/>
      <c r="H270" s="83"/>
      <c r="I270" s="83"/>
      <c r="J270" s="83"/>
      <c r="K270" s="83"/>
      <c r="L270" s="83"/>
      <c r="M270" s="83"/>
      <c r="N270" s="83"/>
      <c r="O270" s="83"/>
      <c r="P270" s="83"/>
      <c r="Q270" s="83"/>
      <c r="R270" s="83"/>
      <c r="S270" s="83"/>
      <c r="T270" s="83"/>
      <c r="U270" s="83"/>
      <c r="V270" s="83"/>
      <c r="W270" s="83"/>
      <c r="X270" s="83"/>
      <c r="Y270" s="83"/>
      <c r="Z270" s="83"/>
      <c r="AA270" s="83"/>
      <c r="AB270" s="83"/>
      <c r="AC270" s="83"/>
      <c r="AD270" s="83"/>
      <c r="AE270" s="83"/>
      <c r="AF270" s="83"/>
      <c r="AG270" s="83"/>
      <c r="AH270" s="83"/>
      <c r="AI270" s="83"/>
      <c r="AJ270" s="83"/>
      <c r="AK270" s="83"/>
      <c r="AL270" s="83"/>
      <c r="AM270" s="83"/>
      <c r="AN270" s="83"/>
      <c r="AO270" s="83"/>
      <c r="AP270" s="83"/>
      <c r="AQ270" s="83"/>
      <c r="AR270" s="83"/>
      <c r="AS270" s="83"/>
      <c r="AT270" s="83"/>
    </row>
    <row r="271" spans="1:46" ht="13.8">
      <c r="A271" s="83"/>
      <c r="B271" s="83"/>
      <c r="C271" s="83"/>
      <c r="D271" s="83"/>
      <c r="E271" s="82"/>
      <c r="F271" s="82"/>
      <c r="G271" s="83"/>
      <c r="H271" s="83"/>
      <c r="I271" s="83"/>
      <c r="J271" s="83"/>
      <c r="K271" s="83"/>
      <c r="L271" s="83"/>
      <c r="M271" s="83"/>
      <c r="N271" s="83"/>
      <c r="O271" s="83"/>
      <c r="P271" s="83"/>
      <c r="Q271" s="83"/>
      <c r="R271" s="83"/>
      <c r="S271" s="83"/>
      <c r="T271" s="83"/>
      <c r="U271" s="83"/>
      <c r="V271" s="83"/>
      <c r="W271" s="83"/>
      <c r="X271" s="83"/>
      <c r="Y271" s="83"/>
      <c r="Z271" s="83"/>
      <c r="AA271" s="83"/>
      <c r="AB271" s="83"/>
      <c r="AC271" s="83"/>
      <c r="AD271" s="83"/>
      <c r="AE271" s="83"/>
      <c r="AF271" s="83"/>
      <c r="AG271" s="83"/>
      <c r="AH271" s="83"/>
      <c r="AI271" s="83"/>
      <c r="AJ271" s="83"/>
      <c r="AK271" s="83"/>
      <c r="AL271" s="83"/>
      <c r="AM271" s="83"/>
      <c r="AN271" s="83"/>
      <c r="AO271" s="83"/>
      <c r="AP271" s="83"/>
      <c r="AQ271" s="83"/>
      <c r="AR271" s="83"/>
      <c r="AS271" s="83"/>
      <c r="AT271" s="83"/>
    </row>
    <row r="272" spans="1:46" ht="13.8">
      <c r="A272" s="83"/>
      <c r="B272" s="83"/>
      <c r="C272" s="83"/>
      <c r="D272" s="83"/>
      <c r="E272" s="82"/>
      <c r="F272" s="82"/>
      <c r="G272" s="83"/>
      <c r="H272" s="83"/>
      <c r="I272" s="83"/>
      <c r="J272" s="83"/>
      <c r="K272" s="83"/>
      <c r="L272" s="83"/>
      <c r="M272" s="83"/>
      <c r="N272" s="83"/>
      <c r="O272" s="83"/>
      <c r="P272" s="83"/>
      <c r="Q272" s="83"/>
      <c r="R272" s="83"/>
      <c r="S272" s="83"/>
      <c r="T272" s="83"/>
      <c r="U272" s="83"/>
      <c r="V272" s="83"/>
      <c r="W272" s="83"/>
      <c r="X272" s="83"/>
      <c r="Y272" s="83"/>
      <c r="Z272" s="83"/>
      <c r="AA272" s="83"/>
      <c r="AB272" s="83"/>
      <c r="AC272" s="83"/>
      <c r="AD272" s="83"/>
      <c r="AE272" s="83"/>
      <c r="AF272" s="83"/>
      <c r="AG272" s="83"/>
      <c r="AH272" s="83"/>
      <c r="AI272" s="83"/>
      <c r="AJ272" s="83"/>
      <c r="AK272" s="83"/>
      <c r="AL272" s="83"/>
      <c r="AM272" s="83"/>
      <c r="AN272" s="83"/>
      <c r="AO272" s="83"/>
      <c r="AP272" s="83"/>
      <c r="AQ272" s="83"/>
      <c r="AR272" s="83"/>
      <c r="AS272" s="83"/>
      <c r="AT272" s="83"/>
    </row>
    <row r="273" spans="1:46" ht="13.8">
      <c r="A273" s="83"/>
      <c r="B273" s="83"/>
      <c r="C273" s="83"/>
      <c r="D273" s="83"/>
      <c r="E273" s="82"/>
      <c r="F273" s="82"/>
      <c r="G273" s="83"/>
      <c r="H273" s="83"/>
      <c r="I273" s="83"/>
      <c r="J273" s="83"/>
      <c r="K273" s="83"/>
      <c r="L273" s="83"/>
      <c r="M273" s="83"/>
      <c r="N273" s="83"/>
      <c r="O273" s="83"/>
      <c r="P273" s="83"/>
      <c r="Q273" s="83"/>
      <c r="R273" s="83"/>
      <c r="S273" s="83"/>
      <c r="T273" s="83"/>
      <c r="U273" s="83"/>
      <c r="V273" s="83"/>
      <c r="W273" s="83"/>
      <c r="X273" s="83"/>
      <c r="Y273" s="83"/>
      <c r="Z273" s="83"/>
      <c r="AA273" s="83"/>
      <c r="AB273" s="83"/>
      <c r="AC273" s="83"/>
      <c r="AD273" s="83"/>
      <c r="AE273" s="83"/>
      <c r="AF273" s="83"/>
      <c r="AG273" s="83"/>
      <c r="AH273" s="83"/>
      <c r="AI273" s="83"/>
      <c r="AJ273" s="83"/>
      <c r="AK273" s="83"/>
      <c r="AL273" s="83"/>
      <c r="AM273" s="83"/>
      <c r="AN273" s="83"/>
      <c r="AO273" s="83"/>
      <c r="AP273" s="83"/>
      <c r="AQ273" s="83"/>
      <c r="AR273" s="83"/>
      <c r="AS273" s="83"/>
      <c r="AT273" s="83"/>
    </row>
    <row r="274" spans="1:46" ht="13.8">
      <c r="A274" s="83"/>
      <c r="B274" s="83"/>
      <c r="C274" s="83"/>
      <c r="D274" s="83"/>
      <c r="E274" s="82"/>
      <c r="F274" s="82"/>
      <c r="G274" s="83"/>
      <c r="H274" s="83"/>
      <c r="I274" s="83"/>
      <c r="J274" s="83"/>
      <c r="K274" s="83"/>
      <c r="L274" s="83"/>
      <c r="M274" s="83"/>
      <c r="N274" s="83"/>
      <c r="O274" s="83"/>
      <c r="P274" s="83"/>
      <c r="Q274" s="83"/>
      <c r="R274" s="83"/>
      <c r="S274" s="83"/>
      <c r="T274" s="83"/>
      <c r="U274" s="83"/>
      <c r="V274" s="83"/>
      <c r="W274" s="83"/>
      <c r="X274" s="83"/>
      <c r="Y274" s="83"/>
      <c r="Z274" s="83"/>
      <c r="AA274" s="83"/>
      <c r="AB274" s="83"/>
      <c r="AC274" s="83"/>
      <c r="AD274" s="83"/>
      <c r="AE274" s="83"/>
      <c r="AF274" s="83"/>
      <c r="AG274" s="83"/>
      <c r="AH274" s="83"/>
      <c r="AI274" s="83"/>
      <c r="AJ274" s="83"/>
      <c r="AK274" s="83"/>
      <c r="AL274" s="83"/>
      <c r="AM274" s="83"/>
      <c r="AN274" s="83"/>
      <c r="AO274" s="83"/>
      <c r="AP274" s="83"/>
      <c r="AQ274" s="83"/>
      <c r="AR274" s="83"/>
      <c r="AS274" s="83"/>
      <c r="AT274" s="83"/>
    </row>
    <row r="275" spans="1:46" ht="13.8">
      <c r="A275" s="83"/>
      <c r="B275" s="83"/>
      <c r="C275" s="83"/>
      <c r="D275" s="83"/>
      <c r="E275" s="82"/>
      <c r="F275" s="82"/>
      <c r="G275" s="83"/>
      <c r="H275" s="83"/>
      <c r="I275" s="83"/>
      <c r="J275" s="83"/>
      <c r="K275" s="83"/>
      <c r="L275" s="83"/>
      <c r="M275" s="83"/>
      <c r="N275" s="83"/>
      <c r="O275" s="83"/>
      <c r="P275" s="83"/>
      <c r="Q275" s="83"/>
      <c r="R275" s="83"/>
      <c r="S275" s="83"/>
      <c r="T275" s="83"/>
      <c r="U275" s="83"/>
      <c r="V275" s="83"/>
      <c r="W275" s="83"/>
      <c r="X275" s="83"/>
      <c r="Y275" s="83"/>
      <c r="Z275" s="83"/>
      <c r="AA275" s="83"/>
      <c r="AB275" s="83"/>
      <c r="AC275" s="83"/>
      <c r="AD275" s="83"/>
      <c r="AE275" s="83"/>
      <c r="AF275" s="83"/>
      <c r="AG275" s="83"/>
      <c r="AH275" s="83"/>
      <c r="AI275" s="83"/>
      <c r="AJ275" s="83"/>
      <c r="AK275" s="83"/>
      <c r="AL275" s="83"/>
      <c r="AM275" s="83"/>
      <c r="AN275" s="83"/>
      <c r="AO275" s="83"/>
      <c r="AP275" s="83"/>
      <c r="AQ275" s="83"/>
      <c r="AR275" s="83"/>
      <c r="AS275" s="83"/>
      <c r="AT275" s="83"/>
    </row>
    <row r="276" spans="1:46" ht="13.8">
      <c r="A276" s="83"/>
      <c r="B276" s="83"/>
      <c r="C276" s="83"/>
      <c r="D276" s="83"/>
      <c r="E276" s="82"/>
      <c r="F276" s="82"/>
      <c r="G276" s="83"/>
      <c r="H276" s="83"/>
      <c r="I276" s="83"/>
      <c r="J276" s="83"/>
      <c r="K276" s="83"/>
      <c r="L276" s="83"/>
      <c r="M276" s="83"/>
      <c r="N276" s="83"/>
      <c r="O276" s="83"/>
      <c r="P276" s="83"/>
      <c r="Q276" s="83"/>
      <c r="R276" s="83"/>
      <c r="S276" s="83"/>
      <c r="T276" s="83"/>
      <c r="U276" s="83"/>
      <c r="V276" s="83"/>
      <c r="W276" s="83"/>
      <c r="X276" s="83"/>
      <c r="Y276" s="83"/>
      <c r="Z276" s="83"/>
      <c r="AA276" s="83"/>
      <c r="AB276" s="83"/>
      <c r="AC276" s="83"/>
      <c r="AD276" s="83"/>
      <c r="AE276" s="83"/>
      <c r="AF276" s="83"/>
      <c r="AG276" s="83"/>
      <c r="AH276" s="83"/>
      <c r="AI276" s="83"/>
      <c r="AJ276" s="83"/>
      <c r="AK276" s="83"/>
      <c r="AL276" s="83"/>
      <c r="AM276" s="83"/>
      <c r="AN276" s="83"/>
      <c r="AO276" s="83"/>
      <c r="AP276" s="83"/>
      <c r="AQ276" s="83"/>
      <c r="AR276" s="83"/>
      <c r="AS276" s="83"/>
      <c r="AT276" s="83"/>
    </row>
    <row r="277" spans="1:46" ht="13.8">
      <c r="A277" s="83"/>
      <c r="B277" s="83"/>
      <c r="C277" s="83"/>
      <c r="D277" s="83"/>
      <c r="E277" s="82"/>
      <c r="F277" s="82"/>
      <c r="G277" s="83"/>
      <c r="H277" s="83"/>
      <c r="I277" s="83"/>
      <c r="J277" s="83"/>
      <c r="K277" s="83"/>
      <c r="L277" s="83"/>
      <c r="M277" s="83"/>
      <c r="N277" s="83"/>
      <c r="O277" s="83"/>
      <c r="P277" s="83"/>
      <c r="Q277" s="83"/>
      <c r="R277" s="83"/>
      <c r="S277" s="83"/>
      <c r="T277" s="83"/>
      <c r="U277" s="83"/>
      <c r="V277" s="83"/>
      <c r="W277" s="83"/>
      <c r="X277" s="83"/>
      <c r="Y277" s="83"/>
      <c r="Z277" s="83"/>
      <c r="AA277" s="83"/>
      <c r="AB277" s="83"/>
      <c r="AC277" s="83"/>
      <c r="AD277" s="83"/>
      <c r="AE277" s="83"/>
      <c r="AF277" s="83"/>
      <c r="AG277" s="83"/>
      <c r="AH277" s="83"/>
      <c r="AI277" s="83"/>
      <c r="AJ277" s="83"/>
      <c r="AK277" s="83"/>
      <c r="AL277" s="83"/>
      <c r="AM277" s="83"/>
      <c r="AN277" s="83"/>
      <c r="AO277" s="83"/>
      <c r="AP277" s="83"/>
      <c r="AQ277" s="83"/>
      <c r="AR277" s="83"/>
      <c r="AS277" s="83"/>
      <c r="AT277" s="83"/>
    </row>
    <row r="278" spans="1:46" ht="13.8">
      <c r="A278" s="83"/>
      <c r="B278" s="83"/>
      <c r="C278" s="83"/>
      <c r="D278" s="83"/>
      <c r="E278" s="82"/>
      <c r="F278" s="82"/>
      <c r="G278" s="83"/>
      <c r="H278" s="83"/>
      <c r="I278" s="83"/>
      <c r="J278" s="83"/>
      <c r="K278" s="83"/>
      <c r="L278" s="83"/>
      <c r="M278" s="83"/>
      <c r="N278" s="83"/>
      <c r="O278" s="83"/>
      <c r="P278" s="83"/>
      <c r="Q278" s="83"/>
      <c r="R278" s="83"/>
      <c r="S278" s="83"/>
      <c r="T278" s="83"/>
      <c r="U278" s="83"/>
      <c r="V278" s="83"/>
      <c r="W278" s="83"/>
      <c r="X278" s="83"/>
      <c r="Y278" s="83"/>
      <c r="Z278" s="83"/>
      <c r="AA278" s="83"/>
      <c r="AB278" s="83"/>
      <c r="AC278" s="83"/>
      <c r="AD278" s="83"/>
      <c r="AE278" s="83"/>
      <c r="AF278" s="83"/>
      <c r="AG278" s="83"/>
      <c r="AH278" s="83"/>
      <c r="AI278" s="83"/>
      <c r="AJ278" s="83"/>
      <c r="AK278" s="83"/>
      <c r="AL278" s="83"/>
      <c r="AM278" s="83"/>
      <c r="AN278" s="83"/>
      <c r="AO278" s="83"/>
      <c r="AP278" s="83"/>
      <c r="AQ278" s="83"/>
      <c r="AR278" s="83"/>
      <c r="AS278" s="83"/>
      <c r="AT278" s="83"/>
    </row>
    <row r="279" spans="1:46" ht="13.8">
      <c r="A279" s="83"/>
      <c r="B279" s="83"/>
      <c r="C279" s="83"/>
      <c r="D279" s="83"/>
      <c r="E279" s="82"/>
      <c r="F279" s="82"/>
      <c r="G279" s="83"/>
      <c r="H279" s="83"/>
      <c r="I279" s="83"/>
      <c r="J279" s="83"/>
      <c r="K279" s="83"/>
      <c r="L279" s="83"/>
      <c r="M279" s="83"/>
      <c r="N279" s="83"/>
      <c r="O279" s="83"/>
      <c r="P279" s="83"/>
      <c r="Q279" s="83"/>
      <c r="R279" s="83"/>
      <c r="S279" s="83"/>
      <c r="T279" s="83"/>
      <c r="U279" s="83"/>
      <c r="V279" s="83"/>
      <c r="W279" s="83"/>
      <c r="X279" s="83"/>
      <c r="Y279" s="83"/>
      <c r="Z279" s="83"/>
      <c r="AA279" s="83"/>
      <c r="AB279" s="83"/>
      <c r="AC279" s="83"/>
      <c r="AD279" s="83"/>
      <c r="AE279" s="83"/>
      <c r="AF279" s="83"/>
      <c r="AG279" s="83"/>
      <c r="AH279" s="83"/>
      <c r="AI279" s="83"/>
      <c r="AJ279" s="83"/>
      <c r="AK279" s="83"/>
      <c r="AL279" s="83"/>
      <c r="AM279" s="83"/>
      <c r="AN279" s="83"/>
      <c r="AO279" s="83"/>
      <c r="AP279" s="83"/>
      <c r="AQ279" s="83"/>
      <c r="AR279" s="83"/>
      <c r="AS279" s="83"/>
      <c r="AT279" s="83"/>
    </row>
    <row r="280" spans="1:46" ht="13.8">
      <c r="A280" s="83"/>
      <c r="B280" s="83"/>
      <c r="C280" s="83"/>
      <c r="D280" s="83"/>
      <c r="E280" s="82"/>
      <c r="F280" s="82"/>
      <c r="G280" s="83"/>
      <c r="H280" s="83"/>
      <c r="I280" s="83"/>
      <c r="J280" s="83"/>
      <c r="K280" s="83"/>
      <c r="L280" s="83"/>
      <c r="M280" s="83"/>
      <c r="N280" s="83"/>
      <c r="O280" s="83"/>
      <c r="P280" s="83"/>
      <c r="Q280" s="83"/>
      <c r="R280" s="83"/>
      <c r="S280" s="83"/>
      <c r="T280" s="83"/>
      <c r="U280" s="83"/>
      <c r="V280" s="83"/>
      <c r="W280" s="83"/>
      <c r="X280" s="83"/>
      <c r="Y280" s="83"/>
      <c r="Z280" s="83"/>
      <c r="AA280" s="83"/>
      <c r="AB280" s="83"/>
      <c r="AC280" s="83"/>
      <c r="AD280" s="83"/>
      <c r="AE280" s="83"/>
      <c r="AF280" s="83"/>
      <c r="AG280" s="83"/>
      <c r="AH280" s="83"/>
      <c r="AI280" s="83"/>
      <c r="AJ280" s="83"/>
      <c r="AK280" s="83"/>
      <c r="AL280" s="83"/>
      <c r="AM280" s="83"/>
      <c r="AN280" s="83"/>
      <c r="AO280" s="83"/>
      <c r="AP280" s="83"/>
      <c r="AQ280" s="83"/>
      <c r="AR280" s="83"/>
      <c r="AS280" s="83"/>
      <c r="AT280" s="83"/>
    </row>
    <row r="281" spans="1:46" ht="13.8">
      <c r="A281" s="83"/>
      <c r="B281" s="83"/>
      <c r="C281" s="83"/>
      <c r="D281" s="83"/>
      <c r="E281" s="82"/>
      <c r="F281" s="82"/>
      <c r="G281" s="83"/>
      <c r="H281" s="83"/>
      <c r="I281" s="83"/>
      <c r="J281" s="83"/>
      <c r="K281" s="83"/>
      <c r="L281" s="83"/>
      <c r="M281" s="83"/>
      <c r="N281" s="83"/>
      <c r="O281" s="83"/>
      <c r="P281" s="83"/>
      <c r="Q281" s="83"/>
      <c r="R281" s="83"/>
      <c r="S281" s="83"/>
      <c r="T281" s="83"/>
      <c r="U281" s="83"/>
      <c r="V281" s="83"/>
      <c r="W281" s="83"/>
      <c r="X281" s="83"/>
      <c r="Y281" s="83"/>
      <c r="Z281" s="83"/>
      <c r="AA281" s="83"/>
      <c r="AB281" s="83"/>
      <c r="AC281" s="83"/>
      <c r="AD281" s="83"/>
      <c r="AE281" s="83"/>
      <c r="AF281" s="83"/>
      <c r="AG281" s="83"/>
      <c r="AH281" s="83"/>
      <c r="AI281" s="83"/>
      <c r="AJ281" s="83"/>
      <c r="AK281" s="83"/>
      <c r="AL281" s="83"/>
      <c r="AM281" s="83"/>
      <c r="AN281" s="83"/>
      <c r="AO281" s="83"/>
      <c r="AP281" s="83"/>
      <c r="AQ281" s="83"/>
      <c r="AR281" s="83"/>
      <c r="AS281" s="83"/>
      <c r="AT281" s="83"/>
    </row>
    <row r="282" spans="1:46" ht="13.8">
      <c r="A282" s="83"/>
      <c r="B282" s="83"/>
      <c r="C282" s="83"/>
      <c r="D282" s="83"/>
      <c r="E282" s="82"/>
      <c r="F282" s="82"/>
      <c r="G282" s="83"/>
      <c r="H282" s="83"/>
      <c r="I282" s="83"/>
      <c r="J282" s="83"/>
      <c r="K282" s="83"/>
      <c r="L282" s="83"/>
      <c r="M282" s="83"/>
      <c r="N282" s="83"/>
      <c r="O282" s="83"/>
      <c r="P282" s="83"/>
      <c r="Q282" s="83"/>
      <c r="R282" s="83"/>
      <c r="S282" s="83"/>
      <c r="T282" s="83"/>
      <c r="U282" s="83"/>
      <c r="V282" s="83"/>
      <c r="W282" s="83"/>
      <c r="X282" s="83"/>
      <c r="Y282" s="83"/>
      <c r="Z282" s="83"/>
      <c r="AA282" s="83"/>
      <c r="AB282" s="83"/>
      <c r="AC282" s="83"/>
      <c r="AD282" s="83"/>
      <c r="AE282" s="83"/>
      <c r="AF282" s="83"/>
      <c r="AG282" s="83"/>
      <c r="AH282" s="83"/>
      <c r="AI282" s="83"/>
      <c r="AJ282" s="83"/>
      <c r="AK282" s="83"/>
      <c r="AL282" s="83"/>
      <c r="AM282" s="83"/>
      <c r="AN282" s="83"/>
      <c r="AO282" s="83"/>
      <c r="AP282" s="83"/>
      <c r="AQ282" s="83"/>
      <c r="AR282" s="83"/>
      <c r="AS282" s="83"/>
      <c r="AT282" s="83"/>
    </row>
    <row r="283" spans="1:46" ht="13.8">
      <c r="A283" s="83"/>
      <c r="B283" s="83"/>
      <c r="C283" s="83"/>
      <c r="D283" s="83"/>
      <c r="E283" s="82"/>
      <c r="F283" s="82"/>
      <c r="G283" s="83"/>
      <c r="H283" s="83"/>
      <c r="I283" s="83"/>
      <c r="J283" s="83"/>
      <c r="K283" s="83"/>
      <c r="L283" s="83"/>
      <c r="M283" s="83"/>
      <c r="N283" s="83"/>
      <c r="O283" s="83"/>
      <c r="P283" s="83"/>
      <c r="Q283" s="83"/>
      <c r="R283" s="83"/>
      <c r="S283" s="83"/>
      <c r="T283" s="83"/>
      <c r="U283" s="83"/>
      <c r="V283" s="83"/>
      <c r="W283" s="83"/>
      <c r="X283" s="83"/>
      <c r="Y283" s="83"/>
      <c r="Z283" s="83"/>
      <c r="AA283" s="83"/>
      <c r="AB283" s="83"/>
      <c r="AC283" s="83"/>
      <c r="AD283" s="83"/>
      <c r="AE283" s="83"/>
      <c r="AF283" s="83"/>
      <c r="AG283" s="83"/>
      <c r="AH283" s="83"/>
      <c r="AI283" s="83"/>
      <c r="AJ283" s="83"/>
      <c r="AK283" s="83"/>
      <c r="AL283" s="83"/>
      <c r="AM283" s="83"/>
      <c r="AN283" s="83"/>
      <c r="AO283" s="83"/>
      <c r="AP283" s="83"/>
      <c r="AQ283" s="83"/>
      <c r="AR283" s="83"/>
      <c r="AS283" s="83"/>
      <c r="AT283" s="83"/>
    </row>
    <row r="284" spans="1:46" ht="13.8">
      <c r="A284" s="83"/>
      <c r="B284" s="83"/>
      <c r="C284" s="83"/>
      <c r="D284" s="83"/>
      <c r="E284" s="82"/>
      <c r="F284" s="82"/>
      <c r="G284" s="83"/>
      <c r="H284" s="83"/>
      <c r="I284" s="83"/>
      <c r="J284" s="83"/>
      <c r="K284" s="83"/>
      <c r="L284" s="83"/>
      <c r="M284" s="83"/>
      <c r="N284" s="83"/>
      <c r="O284" s="83"/>
      <c r="P284" s="83"/>
      <c r="Q284" s="83"/>
      <c r="R284" s="83"/>
      <c r="S284" s="83"/>
      <c r="T284" s="83"/>
      <c r="U284" s="83"/>
      <c r="V284" s="83"/>
      <c r="W284" s="83"/>
      <c r="X284" s="83"/>
      <c r="Y284" s="83"/>
      <c r="Z284" s="83"/>
      <c r="AA284" s="83"/>
      <c r="AB284" s="83"/>
      <c r="AC284" s="83"/>
      <c r="AD284" s="83"/>
      <c r="AE284" s="83"/>
      <c r="AF284" s="83"/>
      <c r="AG284" s="83"/>
      <c r="AH284" s="83"/>
      <c r="AI284" s="83"/>
      <c r="AJ284" s="83"/>
      <c r="AK284" s="83"/>
      <c r="AL284" s="83"/>
      <c r="AM284" s="83"/>
      <c r="AN284" s="83"/>
      <c r="AO284" s="83"/>
      <c r="AP284" s="83"/>
      <c r="AQ284" s="83"/>
      <c r="AR284" s="83"/>
      <c r="AS284" s="83"/>
      <c r="AT284" s="83"/>
    </row>
    <row r="285" spans="1:46" ht="13.8">
      <c r="A285" s="83"/>
      <c r="B285" s="83"/>
      <c r="C285" s="83"/>
      <c r="D285" s="83"/>
      <c r="E285" s="82"/>
      <c r="F285" s="82"/>
      <c r="G285" s="83"/>
      <c r="H285" s="83"/>
      <c r="I285" s="83"/>
      <c r="J285" s="83"/>
      <c r="K285" s="83"/>
      <c r="L285" s="83"/>
      <c r="M285" s="83"/>
      <c r="N285" s="83"/>
      <c r="O285" s="83"/>
      <c r="P285" s="83"/>
      <c r="Q285" s="83"/>
      <c r="R285" s="83"/>
      <c r="S285" s="83"/>
      <c r="T285" s="83"/>
      <c r="U285" s="83"/>
      <c r="V285" s="83"/>
      <c r="W285" s="83"/>
      <c r="X285" s="83"/>
      <c r="Y285" s="83"/>
      <c r="Z285" s="83"/>
      <c r="AA285" s="83"/>
      <c r="AB285" s="83"/>
      <c r="AC285" s="83"/>
      <c r="AD285" s="83"/>
      <c r="AE285" s="83"/>
      <c r="AF285" s="83"/>
      <c r="AG285" s="83"/>
      <c r="AH285" s="83"/>
      <c r="AI285" s="83"/>
      <c r="AJ285" s="83"/>
      <c r="AK285" s="83"/>
      <c r="AL285" s="83"/>
      <c r="AM285" s="83"/>
      <c r="AN285" s="83"/>
      <c r="AO285" s="83"/>
      <c r="AP285" s="83"/>
      <c r="AQ285" s="83"/>
      <c r="AR285" s="83"/>
      <c r="AS285" s="83"/>
      <c r="AT285" s="83"/>
    </row>
    <row r="286" spans="1:46" ht="13.8">
      <c r="A286" s="83"/>
      <c r="B286" s="83"/>
      <c r="C286" s="83"/>
      <c r="D286" s="83"/>
      <c r="E286" s="82"/>
      <c r="F286" s="82"/>
      <c r="G286" s="83"/>
      <c r="H286" s="83"/>
      <c r="I286" s="83"/>
      <c r="J286" s="83"/>
      <c r="K286" s="83"/>
      <c r="L286" s="83"/>
      <c r="M286" s="83"/>
      <c r="N286" s="83"/>
      <c r="O286" s="83"/>
      <c r="P286" s="83"/>
      <c r="Q286" s="83"/>
      <c r="R286" s="83"/>
      <c r="S286" s="83"/>
      <c r="T286" s="83"/>
      <c r="U286" s="83"/>
      <c r="V286" s="83"/>
      <c r="W286" s="83"/>
      <c r="X286" s="83"/>
      <c r="Y286" s="83"/>
      <c r="Z286" s="83"/>
      <c r="AA286" s="83"/>
      <c r="AB286" s="83"/>
      <c r="AC286" s="83"/>
      <c r="AD286" s="83"/>
      <c r="AE286" s="83"/>
      <c r="AF286" s="83"/>
      <c r="AG286" s="83"/>
      <c r="AH286" s="83"/>
      <c r="AI286" s="83"/>
      <c r="AJ286" s="83"/>
      <c r="AK286" s="83"/>
      <c r="AL286" s="83"/>
      <c r="AM286" s="83"/>
      <c r="AN286" s="83"/>
      <c r="AO286" s="83"/>
      <c r="AP286" s="83"/>
      <c r="AQ286" s="83"/>
      <c r="AR286" s="83"/>
      <c r="AS286" s="83"/>
      <c r="AT286" s="83"/>
    </row>
    <row r="287" spans="1:46" ht="13.8">
      <c r="A287" s="83"/>
      <c r="B287" s="83"/>
      <c r="C287" s="83"/>
      <c r="D287" s="83"/>
      <c r="E287" s="82"/>
      <c r="F287" s="82"/>
      <c r="G287" s="83"/>
      <c r="H287" s="83"/>
      <c r="I287" s="83"/>
      <c r="J287" s="83"/>
      <c r="K287" s="83"/>
      <c r="L287" s="83"/>
      <c r="M287" s="83"/>
      <c r="N287" s="83"/>
      <c r="O287" s="83"/>
      <c r="P287" s="83"/>
      <c r="Q287" s="83"/>
      <c r="R287" s="83"/>
      <c r="S287" s="83"/>
      <c r="T287" s="83"/>
      <c r="U287" s="83"/>
      <c r="V287" s="83"/>
      <c r="W287" s="83"/>
      <c r="X287" s="83"/>
      <c r="Y287" s="83"/>
      <c r="Z287" s="83"/>
      <c r="AA287" s="83"/>
      <c r="AB287" s="83"/>
      <c r="AC287" s="83"/>
      <c r="AD287" s="83"/>
      <c r="AE287" s="83"/>
      <c r="AF287" s="83"/>
      <c r="AG287" s="83"/>
      <c r="AH287" s="83"/>
      <c r="AI287" s="83"/>
      <c r="AJ287" s="83"/>
      <c r="AK287" s="83"/>
      <c r="AL287" s="83"/>
      <c r="AM287" s="83"/>
      <c r="AN287" s="83"/>
      <c r="AO287" s="83"/>
      <c r="AP287" s="83"/>
      <c r="AQ287" s="83"/>
      <c r="AR287" s="83"/>
      <c r="AS287" s="83"/>
      <c r="AT287" s="83"/>
    </row>
    <row r="288" spans="1:46" ht="13.8">
      <c r="A288" s="83"/>
      <c r="B288" s="83"/>
      <c r="C288" s="83"/>
      <c r="D288" s="83"/>
      <c r="E288" s="82"/>
      <c r="F288" s="82"/>
      <c r="G288" s="83"/>
      <c r="H288" s="83"/>
      <c r="I288" s="83"/>
      <c r="J288" s="83"/>
      <c r="K288" s="83"/>
      <c r="L288" s="83"/>
      <c r="M288" s="83"/>
      <c r="N288" s="83"/>
      <c r="O288" s="83"/>
      <c r="P288" s="83"/>
      <c r="Q288" s="83"/>
      <c r="R288" s="83"/>
      <c r="S288" s="83"/>
      <c r="T288" s="83"/>
      <c r="U288" s="83"/>
      <c r="V288" s="83"/>
      <c r="W288" s="83"/>
      <c r="X288" s="83"/>
      <c r="Y288" s="83"/>
      <c r="Z288" s="83"/>
      <c r="AA288" s="83"/>
      <c r="AB288" s="83"/>
      <c r="AC288" s="83"/>
      <c r="AD288" s="83"/>
      <c r="AE288" s="83"/>
      <c r="AF288" s="83"/>
      <c r="AG288" s="83"/>
      <c r="AH288" s="83"/>
      <c r="AI288" s="83"/>
      <c r="AJ288" s="83"/>
      <c r="AK288" s="83"/>
      <c r="AL288" s="83"/>
      <c r="AM288" s="83"/>
      <c r="AN288" s="83"/>
      <c r="AO288" s="83"/>
      <c r="AP288" s="83"/>
      <c r="AQ288" s="83"/>
      <c r="AR288" s="83"/>
      <c r="AS288" s="83"/>
      <c r="AT288" s="83"/>
    </row>
    <row r="289" spans="1:46" ht="13.8">
      <c r="A289" s="83"/>
      <c r="B289" s="83"/>
      <c r="C289" s="83"/>
      <c r="D289" s="83"/>
      <c r="E289" s="82"/>
      <c r="F289" s="82"/>
      <c r="G289" s="83"/>
      <c r="H289" s="83"/>
      <c r="I289" s="83"/>
      <c r="J289" s="83"/>
      <c r="K289" s="83"/>
      <c r="L289" s="83"/>
      <c r="M289" s="83"/>
      <c r="N289" s="83"/>
      <c r="O289" s="83"/>
      <c r="P289" s="83"/>
      <c r="Q289" s="83"/>
      <c r="R289" s="83"/>
      <c r="S289" s="83"/>
      <c r="T289" s="83"/>
      <c r="U289" s="83"/>
      <c r="V289" s="83"/>
      <c r="W289" s="83"/>
      <c r="X289" s="83"/>
      <c r="Y289" s="83"/>
      <c r="Z289" s="83"/>
      <c r="AA289" s="83"/>
      <c r="AB289" s="83"/>
      <c r="AC289" s="83"/>
      <c r="AD289" s="83"/>
      <c r="AE289" s="83"/>
      <c r="AF289" s="83"/>
      <c r="AG289" s="83"/>
      <c r="AH289" s="83"/>
      <c r="AI289" s="83"/>
      <c r="AJ289" s="83"/>
      <c r="AK289" s="83"/>
      <c r="AL289" s="83"/>
      <c r="AM289" s="83"/>
      <c r="AN289" s="83"/>
      <c r="AO289" s="83"/>
      <c r="AP289" s="83"/>
      <c r="AQ289" s="83"/>
      <c r="AR289" s="83"/>
      <c r="AS289" s="83"/>
      <c r="AT289" s="83"/>
    </row>
    <row r="290" spans="1:46" ht="13.8">
      <c r="A290" s="83"/>
      <c r="B290" s="83"/>
      <c r="C290" s="83"/>
      <c r="D290" s="83"/>
      <c r="E290" s="82"/>
      <c r="F290" s="82"/>
      <c r="G290" s="83"/>
      <c r="H290" s="83"/>
      <c r="I290" s="83"/>
      <c r="J290" s="83"/>
      <c r="K290" s="83"/>
      <c r="L290" s="83"/>
      <c r="M290" s="83"/>
      <c r="N290" s="83"/>
      <c r="O290" s="83"/>
      <c r="P290" s="83"/>
      <c r="Q290" s="83"/>
      <c r="R290" s="83"/>
      <c r="S290" s="83"/>
      <c r="T290" s="83"/>
      <c r="U290" s="83"/>
      <c r="V290" s="83"/>
      <c r="W290" s="83"/>
      <c r="X290" s="83"/>
      <c r="Y290" s="83"/>
      <c r="Z290" s="83"/>
      <c r="AA290" s="83"/>
      <c r="AB290" s="83"/>
      <c r="AC290" s="83"/>
      <c r="AD290" s="83"/>
      <c r="AE290" s="83"/>
      <c r="AF290" s="83"/>
      <c r="AG290" s="83"/>
      <c r="AH290" s="83"/>
      <c r="AI290" s="83"/>
      <c r="AJ290" s="83"/>
      <c r="AK290" s="83"/>
      <c r="AL290" s="83"/>
      <c r="AM290" s="83"/>
      <c r="AN290" s="83"/>
      <c r="AO290" s="83"/>
      <c r="AP290" s="83"/>
      <c r="AQ290" s="83"/>
      <c r="AR290" s="83"/>
      <c r="AS290" s="83"/>
      <c r="AT290" s="83"/>
    </row>
    <row r="291" spans="1:46" ht="13.8">
      <c r="A291" s="83"/>
      <c r="B291" s="83"/>
      <c r="C291" s="83"/>
      <c r="D291" s="83"/>
      <c r="E291" s="82"/>
      <c r="F291" s="82"/>
      <c r="G291" s="83"/>
      <c r="H291" s="83"/>
      <c r="I291" s="83"/>
      <c r="J291" s="83"/>
      <c r="K291" s="83"/>
      <c r="L291" s="83"/>
      <c r="M291" s="83"/>
      <c r="N291" s="83"/>
      <c r="O291" s="83"/>
      <c r="P291" s="83"/>
      <c r="Q291" s="83"/>
      <c r="R291" s="83"/>
      <c r="S291" s="83"/>
      <c r="T291" s="83"/>
      <c r="U291" s="83"/>
      <c r="V291" s="83"/>
      <c r="W291" s="83"/>
      <c r="X291" s="83"/>
      <c r="Y291" s="83"/>
      <c r="Z291" s="83"/>
      <c r="AA291" s="83"/>
      <c r="AB291" s="83"/>
      <c r="AC291" s="83"/>
      <c r="AD291" s="83"/>
      <c r="AE291" s="83"/>
      <c r="AF291" s="83"/>
      <c r="AG291" s="83"/>
      <c r="AH291" s="83"/>
      <c r="AI291" s="83"/>
      <c r="AJ291" s="83"/>
      <c r="AK291" s="83"/>
      <c r="AL291" s="83"/>
      <c r="AM291" s="83"/>
      <c r="AN291" s="83"/>
      <c r="AO291" s="83"/>
      <c r="AP291" s="83"/>
      <c r="AQ291" s="83"/>
      <c r="AR291" s="83"/>
      <c r="AS291" s="83"/>
      <c r="AT291" s="83"/>
    </row>
    <row r="292" spans="1:46" ht="13.8">
      <c r="A292" s="83"/>
      <c r="B292" s="83"/>
      <c r="C292" s="83"/>
      <c r="D292" s="83"/>
      <c r="E292" s="82"/>
      <c r="F292" s="82"/>
      <c r="G292" s="83"/>
      <c r="H292" s="83"/>
      <c r="I292" s="83"/>
      <c r="J292" s="83"/>
      <c r="K292" s="83"/>
      <c r="L292" s="83"/>
      <c r="M292" s="83"/>
      <c r="N292" s="83"/>
      <c r="O292" s="83"/>
      <c r="P292" s="83"/>
      <c r="Q292" s="83"/>
      <c r="R292" s="83"/>
      <c r="S292" s="83"/>
      <c r="T292" s="83"/>
      <c r="U292" s="83"/>
      <c r="V292" s="83"/>
      <c r="W292" s="83"/>
      <c r="X292" s="83"/>
      <c r="Y292" s="83"/>
      <c r="Z292" s="83"/>
      <c r="AA292" s="83"/>
      <c r="AB292" s="83"/>
      <c r="AC292" s="83"/>
      <c r="AD292" s="83"/>
      <c r="AE292" s="83"/>
      <c r="AF292" s="83"/>
      <c r="AG292" s="83"/>
      <c r="AH292" s="83"/>
      <c r="AI292" s="83"/>
      <c r="AJ292" s="83"/>
      <c r="AK292" s="83"/>
      <c r="AL292" s="83"/>
      <c r="AM292" s="83"/>
      <c r="AN292" s="83"/>
      <c r="AO292" s="83"/>
      <c r="AP292" s="83"/>
      <c r="AQ292" s="83"/>
      <c r="AR292" s="83"/>
      <c r="AS292" s="83"/>
      <c r="AT292" s="83"/>
    </row>
    <row r="293" spans="1:46" ht="13.8">
      <c r="A293" s="83"/>
      <c r="B293" s="83"/>
      <c r="C293" s="83"/>
      <c r="D293" s="83"/>
      <c r="E293" s="82"/>
      <c r="F293" s="82"/>
      <c r="G293" s="83"/>
      <c r="H293" s="83"/>
      <c r="I293" s="83"/>
      <c r="J293" s="83"/>
      <c r="K293" s="83"/>
      <c r="L293" s="83"/>
      <c r="M293" s="83"/>
      <c r="N293" s="83"/>
      <c r="O293" s="83"/>
      <c r="P293" s="83"/>
      <c r="Q293" s="83"/>
      <c r="R293" s="83"/>
      <c r="S293" s="83"/>
      <c r="T293" s="83"/>
      <c r="U293" s="83"/>
      <c r="V293" s="83"/>
      <c r="W293" s="83"/>
      <c r="X293" s="83"/>
      <c r="Y293" s="83"/>
      <c r="Z293" s="83"/>
      <c r="AA293" s="83"/>
      <c r="AB293" s="83"/>
      <c r="AC293" s="83"/>
      <c r="AD293" s="83"/>
      <c r="AE293" s="83"/>
      <c r="AF293" s="83"/>
      <c r="AG293" s="83"/>
      <c r="AH293" s="83"/>
      <c r="AI293" s="83"/>
      <c r="AJ293" s="83"/>
      <c r="AK293" s="83"/>
      <c r="AL293" s="83"/>
      <c r="AM293" s="83"/>
      <c r="AN293" s="83"/>
      <c r="AO293" s="83"/>
      <c r="AP293" s="83"/>
      <c r="AQ293" s="83"/>
      <c r="AR293" s="83"/>
      <c r="AS293" s="83"/>
      <c r="AT293" s="83"/>
    </row>
    <row r="294" spans="1:46" ht="13.8">
      <c r="A294" s="83"/>
      <c r="B294" s="83"/>
      <c r="C294" s="83"/>
      <c r="D294" s="83"/>
      <c r="E294" s="82"/>
      <c r="F294" s="82"/>
      <c r="G294" s="83"/>
      <c r="H294" s="83"/>
      <c r="I294" s="83"/>
      <c r="J294" s="83"/>
      <c r="K294" s="83"/>
      <c r="L294" s="83"/>
      <c r="M294" s="83"/>
      <c r="N294" s="83"/>
      <c r="O294" s="83"/>
      <c r="P294" s="83"/>
      <c r="Q294" s="83"/>
      <c r="R294" s="83"/>
      <c r="S294" s="83"/>
      <c r="T294" s="83"/>
      <c r="U294" s="83"/>
      <c r="V294" s="83"/>
      <c r="W294" s="83"/>
      <c r="X294" s="83"/>
      <c r="Y294" s="83"/>
      <c r="Z294" s="83"/>
      <c r="AA294" s="83"/>
      <c r="AB294" s="83"/>
      <c r="AC294" s="83"/>
      <c r="AD294" s="83"/>
      <c r="AE294" s="83"/>
      <c r="AF294" s="83"/>
      <c r="AG294" s="83"/>
      <c r="AH294" s="83"/>
      <c r="AI294" s="83"/>
      <c r="AJ294" s="83"/>
      <c r="AK294" s="83"/>
      <c r="AL294" s="83"/>
      <c r="AM294" s="83"/>
      <c r="AN294" s="83"/>
      <c r="AO294" s="83"/>
      <c r="AP294" s="83"/>
      <c r="AQ294" s="83"/>
      <c r="AR294" s="83"/>
      <c r="AS294" s="83"/>
      <c r="AT294" s="83"/>
    </row>
    <row r="295" spans="1:46" ht="13.8">
      <c r="A295" s="83"/>
      <c r="B295" s="83"/>
      <c r="C295" s="83"/>
      <c r="D295" s="83"/>
      <c r="E295" s="82"/>
      <c r="F295" s="82"/>
      <c r="G295" s="83"/>
      <c r="H295" s="83"/>
      <c r="I295" s="83"/>
      <c r="J295" s="83"/>
      <c r="K295" s="83"/>
      <c r="L295" s="83"/>
      <c r="M295" s="83"/>
      <c r="N295" s="83"/>
      <c r="O295" s="83"/>
      <c r="P295" s="83"/>
      <c r="Q295" s="83"/>
      <c r="R295" s="83"/>
      <c r="S295" s="83"/>
      <c r="T295" s="83"/>
      <c r="U295" s="83"/>
      <c r="V295" s="83"/>
      <c r="W295" s="83"/>
      <c r="X295" s="83"/>
      <c r="Y295" s="83"/>
      <c r="Z295" s="83"/>
      <c r="AA295" s="83"/>
      <c r="AB295" s="83"/>
      <c r="AC295" s="83"/>
      <c r="AD295" s="83"/>
      <c r="AE295" s="83"/>
      <c r="AF295" s="83"/>
      <c r="AG295" s="83"/>
      <c r="AH295" s="83"/>
      <c r="AI295" s="83"/>
      <c r="AJ295" s="83"/>
      <c r="AK295" s="83"/>
      <c r="AL295" s="83"/>
      <c r="AM295" s="83"/>
      <c r="AN295" s="83"/>
      <c r="AO295" s="83"/>
      <c r="AP295" s="83"/>
      <c r="AQ295" s="83"/>
      <c r="AR295" s="83"/>
      <c r="AS295" s="83"/>
      <c r="AT295" s="83"/>
    </row>
    <row r="296" spans="1:46" ht="13.8">
      <c r="A296" s="83"/>
      <c r="B296" s="83"/>
      <c r="C296" s="83"/>
      <c r="D296" s="83"/>
      <c r="E296" s="82"/>
      <c r="F296" s="82"/>
      <c r="G296" s="83"/>
      <c r="H296" s="83"/>
      <c r="I296" s="83"/>
      <c r="J296" s="83"/>
      <c r="K296" s="83"/>
      <c r="L296" s="83"/>
      <c r="M296" s="83"/>
      <c r="N296" s="83"/>
      <c r="O296" s="83"/>
      <c r="P296" s="83"/>
      <c r="Q296" s="83"/>
      <c r="R296" s="83"/>
      <c r="S296" s="83"/>
      <c r="T296" s="83"/>
      <c r="U296" s="83"/>
      <c r="V296" s="83"/>
      <c r="W296" s="83"/>
      <c r="X296" s="83"/>
      <c r="Y296" s="83"/>
      <c r="Z296" s="83"/>
      <c r="AA296" s="83"/>
      <c r="AB296" s="83"/>
      <c r="AC296" s="83"/>
      <c r="AD296" s="83"/>
      <c r="AE296" s="83"/>
      <c r="AF296" s="83"/>
      <c r="AG296" s="83"/>
      <c r="AH296" s="83"/>
      <c r="AI296" s="83"/>
      <c r="AJ296" s="83"/>
      <c r="AK296" s="83"/>
      <c r="AL296" s="83"/>
      <c r="AM296" s="83"/>
      <c r="AN296" s="83"/>
      <c r="AO296" s="83"/>
      <c r="AP296" s="83"/>
      <c r="AQ296" s="83"/>
      <c r="AR296" s="83"/>
      <c r="AS296" s="83"/>
      <c r="AT296" s="83"/>
    </row>
    <row r="297" spans="1:46" ht="13.8">
      <c r="A297" s="83"/>
      <c r="B297" s="83"/>
      <c r="C297" s="83"/>
      <c r="D297" s="83"/>
      <c r="E297" s="82"/>
      <c r="F297" s="82"/>
      <c r="G297" s="83"/>
      <c r="H297" s="83"/>
      <c r="I297" s="83"/>
      <c r="J297" s="83"/>
      <c r="K297" s="83"/>
      <c r="L297" s="83"/>
      <c r="M297" s="83"/>
      <c r="N297" s="83"/>
      <c r="O297" s="83"/>
      <c r="P297" s="83"/>
      <c r="Q297" s="83"/>
      <c r="R297" s="83"/>
      <c r="S297" s="83"/>
      <c r="T297" s="83"/>
      <c r="U297" s="83"/>
      <c r="V297" s="83"/>
      <c r="W297" s="83"/>
      <c r="X297" s="83"/>
      <c r="Y297" s="83"/>
      <c r="Z297" s="83"/>
      <c r="AA297" s="83"/>
      <c r="AB297" s="83"/>
      <c r="AC297" s="83"/>
      <c r="AD297" s="83"/>
      <c r="AE297" s="83"/>
      <c r="AF297" s="83"/>
      <c r="AG297" s="83"/>
      <c r="AH297" s="83"/>
      <c r="AI297" s="83"/>
      <c r="AJ297" s="83"/>
      <c r="AK297" s="83"/>
      <c r="AL297" s="83"/>
      <c r="AM297" s="83"/>
      <c r="AN297" s="83"/>
      <c r="AO297" s="83"/>
      <c r="AP297" s="83"/>
      <c r="AQ297" s="83"/>
      <c r="AR297" s="83"/>
      <c r="AS297" s="83"/>
      <c r="AT297" s="83"/>
    </row>
    <row r="298" spans="1:46" ht="13.8">
      <c r="A298" s="83"/>
      <c r="B298" s="83"/>
      <c r="C298" s="83"/>
      <c r="D298" s="83"/>
      <c r="E298" s="82"/>
      <c r="F298" s="82"/>
      <c r="G298" s="83"/>
      <c r="H298" s="83"/>
      <c r="I298" s="83"/>
      <c r="J298" s="83"/>
      <c r="K298" s="83"/>
      <c r="L298" s="83"/>
      <c r="M298" s="83"/>
      <c r="N298" s="83"/>
      <c r="O298" s="83"/>
      <c r="P298" s="83"/>
      <c r="Q298" s="83"/>
      <c r="R298" s="83"/>
      <c r="S298" s="83"/>
      <c r="T298" s="83"/>
      <c r="U298" s="83"/>
      <c r="V298" s="83"/>
      <c r="W298" s="83"/>
      <c r="X298" s="83"/>
      <c r="Y298" s="83"/>
      <c r="Z298" s="83"/>
      <c r="AA298" s="83"/>
      <c r="AB298" s="83"/>
      <c r="AC298" s="83"/>
      <c r="AD298" s="83"/>
      <c r="AE298" s="83"/>
      <c r="AF298" s="83"/>
      <c r="AG298" s="83"/>
      <c r="AH298" s="83"/>
      <c r="AI298" s="83"/>
      <c r="AJ298" s="83"/>
      <c r="AK298" s="83"/>
      <c r="AL298" s="83"/>
      <c r="AM298" s="83"/>
      <c r="AN298" s="83"/>
      <c r="AO298" s="83"/>
      <c r="AP298" s="83"/>
      <c r="AQ298" s="83"/>
      <c r="AR298" s="83"/>
      <c r="AS298" s="83"/>
      <c r="AT298" s="83"/>
    </row>
    <row r="299" spans="1:46" ht="13.8">
      <c r="A299" s="83"/>
      <c r="B299" s="83"/>
      <c r="C299" s="83"/>
      <c r="D299" s="83"/>
      <c r="E299" s="82"/>
      <c r="F299" s="82"/>
      <c r="G299" s="83"/>
      <c r="H299" s="83"/>
      <c r="I299" s="83"/>
      <c r="J299" s="83"/>
      <c r="K299" s="83"/>
      <c r="L299" s="83"/>
      <c r="M299" s="83"/>
      <c r="N299" s="83"/>
      <c r="O299" s="83"/>
      <c r="P299" s="83"/>
      <c r="Q299" s="83"/>
      <c r="R299" s="83"/>
      <c r="S299" s="83"/>
      <c r="T299" s="83"/>
      <c r="U299" s="83"/>
      <c r="V299" s="83"/>
      <c r="W299" s="83"/>
      <c r="X299" s="83"/>
      <c r="Y299" s="83"/>
      <c r="Z299" s="83"/>
      <c r="AA299" s="83"/>
      <c r="AB299" s="83"/>
      <c r="AC299" s="83"/>
      <c r="AD299" s="83"/>
      <c r="AE299" s="83"/>
      <c r="AF299" s="83"/>
      <c r="AG299" s="83"/>
      <c r="AH299" s="83"/>
      <c r="AI299" s="83"/>
      <c r="AJ299" s="83"/>
      <c r="AK299" s="83"/>
      <c r="AL299" s="83"/>
      <c r="AM299" s="83"/>
      <c r="AN299" s="83"/>
      <c r="AO299" s="83"/>
      <c r="AP299" s="83"/>
      <c r="AQ299" s="83"/>
      <c r="AR299" s="83"/>
      <c r="AS299" s="83"/>
      <c r="AT299" s="83"/>
    </row>
    <row r="300" spans="1:46" ht="13.8">
      <c r="A300" s="83"/>
      <c r="B300" s="83"/>
      <c r="C300" s="83"/>
      <c r="D300" s="83"/>
      <c r="E300" s="82"/>
      <c r="F300" s="82"/>
      <c r="G300" s="83"/>
      <c r="H300" s="83"/>
      <c r="I300" s="83"/>
      <c r="J300" s="83"/>
      <c r="K300" s="83"/>
      <c r="L300" s="83"/>
      <c r="M300" s="83"/>
      <c r="N300" s="83"/>
      <c r="O300" s="83"/>
      <c r="P300" s="83"/>
      <c r="Q300" s="83"/>
      <c r="R300" s="83"/>
      <c r="S300" s="83"/>
      <c r="T300" s="83"/>
      <c r="U300" s="83"/>
      <c r="V300" s="83"/>
      <c r="W300" s="83"/>
      <c r="X300" s="83"/>
      <c r="Y300" s="83"/>
      <c r="Z300" s="83"/>
      <c r="AA300" s="83"/>
      <c r="AB300" s="83"/>
      <c r="AC300" s="83"/>
      <c r="AD300" s="83"/>
      <c r="AE300" s="83"/>
      <c r="AF300" s="83"/>
      <c r="AG300" s="83"/>
      <c r="AH300" s="83"/>
      <c r="AI300" s="83"/>
      <c r="AJ300" s="83"/>
      <c r="AK300" s="83"/>
      <c r="AL300" s="83"/>
      <c r="AM300" s="83"/>
      <c r="AN300" s="83"/>
      <c r="AO300" s="83"/>
      <c r="AP300" s="83"/>
      <c r="AQ300" s="83"/>
      <c r="AR300" s="83"/>
      <c r="AS300" s="83"/>
      <c r="AT300" s="83"/>
    </row>
    <row r="301" spans="1:46" ht="13.8">
      <c r="A301" s="83"/>
      <c r="B301" s="83"/>
      <c r="C301" s="83"/>
      <c r="D301" s="83"/>
      <c r="E301" s="82"/>
      <c r="F301" s="82"/>
      <c r="G301" s="83"/>
      <c r="H301" s="83"/>
      <c r="I301" s="83"/>
      <c r="J301" s="83"/>
      <c r="K301" s="83"/>
      <c r="L301" s="83"/>
      <c r="M301" s="83"/>
      <c r="N301" s="83"/>
      <c r="O301" s="83"/>
      <c r="P301" s="83"/>
      <c r="Q301" s="83"/>
      <c r="R301" s="83"/>
      <c r="S301" s="83"/>
      <c r="T301" s="83"/>
      <c r="U301" s="83"/>
      <c r="V301" s="83"/>
      <c r="W301" s="83"/>
      <c r="X301" s="83"/>
      <c r="Y301" s="83"/>
      <c r="Z301" s="83"/>
      <c r="AA301" s="83"/>
      <c r="AB301" s="83"/>
      <c r="AC301" s="83"/>
      <c r="AD301" s="83"/>
      <c r="AE301" s="83"/>
      <c r="AF301" s="83"/>
      <c r="AG301" s="83"/>
      <c r="AH301" s="83"/>
      <c r="AI301" s="83"/>
      <c r="AJ301" s="83"/>
      <c r="AK301" s="83"/>
      <c r="AL301" s="83"/>
      <c r="AM301" s="83"/>
      <c r="AN301" s="83"/>
      <c r="AO301" s="83"/>
      <c r="AP301" s="83"/>
      <c r="AQ301" s="83"/>
      <c r="AR301" s="83"/>
      <c r="AS301" s="83"/>
      <c r="AT301" s="83"/>
    </row>
    <row r="302" spans="1:46" ht="13.8">
      <c r="A302" s="83"/>
      <c r="B302" s="83"/>
      <c r="C302" s="83"/>
      <c r="D302" s="83"/>
      <c r="E302" s="82"/>
      <c r="F302" s="82"/>
      <c r="G302" s="83"/>
      <c r="H302" s="83"/>
      <c r="I302" s="83"/>
      <c r="J302" s="83"/>
      <c r="K302" s="83"/>
      <c r="L302" s="83"/>
      <c r="M302" s="83"/>
      <c r="N302" s="83"/>
      <c r="O302" s="83"/>
      <c r="P302" s="83"/>
      <c r="Q302" s="83"/>
      <c r="R302" s="83"/>
      <c r="S302" s="83"/>
      <c r="T302" s="83"/>
      <c r="U302" s="83"/>
      <c r="V302" s="83"/>
      <c r="W302" s="83"/>
      <c r="X302" s="83"/>
      <c r="Y302" s="83"/>
      <c r="Z302" s="83"/>
      <c r="AA302" s="83"/>
      <c r="AB302" s="83"/>
      <c r="AC302" s="83"/>
      <c r="AD302" s="83"/>
      <c r="AE302" s="83"/>
      <c r="AF302" s="83"/>
      <c r="AG302" s="83"/>
      <c r="AH302" s="83"/>
      <c r="AI302" s="83"/>
      <c r="AJ302" s="83"/>
      <c r="AK302" s="83"/>
      <c r="AL302" s="83"/>
      <c r="AM302" s="83"/>
      <c r="AN302" s="83"/>
      <c r="AO302" s="83"/>
      <c r="AP302" s="83"/>
      <c r="AQ302" s="83"/>
      <c r="AR302" s="83"/>
      <c r="AS302" s="83"/>
      <c r="AT302" s="83"/>
    </row>
    <row r="303" spans="1:46" ht="13.8">
      <c r="A303" s="83"/>
      <c r="B303" s="83"/>
      <c r="C303" s="83"/>
      <c r="D303" s="83"/>
      <c r="E303" s="82"/>
      <c r="F303" s="82"/>
      <c r="G303" s="83"/>
      <c r="H303" s="83"/>
      <c r="I303" s="83"/>
      <c r="J303" s="83"/>
      <c r="K303" s="83"/>
      <c r="L303" s="83"/>
      <c r="M303" s="83"/>
      <c r="N303" s="83"/>
      <c r="O303" s="83"/>
      <c r="P303" s="83"/>
      <c r="Q303" s="83"/>
      <c r="R303" s="83"/>
      <c r="S303" s="83"/>
      <c r="T303" s="83"/>
      <c r="U303" s="83"/>
      <c r="V303" s="83"/>
      <c r="W303" s="83"/>
      <c r="X303" s="83"/>
      <c r="Y303" s="83"/>
      <c r="Z303" s="83"/>
      <c r="AA303" s="83"/>
      <c r="AB303" s="83"/>
      <c r="AC303" s="83"/>
      <c r="AD303" s="83"/>
      <c r="AE303" s="83"/>
      <c r="AF303" s="83"/>
      <c r="AG303" s="83"/>
      <c r="AH303" s="83"/>
      <c r="AI303" s="83"/>
      <c r="AJ303" s="83"/>
      <c r="AK303" s="83"/>
      <c r="AL303" s="83"/>
      <c r="AM303" s="83"/>
      <c r="AN303" s="83"/>
      <c r="AO303" s="83"/>
      <c r="AP303" s="83"/>
      <c r="AQ303" s="83"/>
      <c r="AR303" s="83"/>
      <c r="AS303" s="83"/>
      <c r="AT303" s="83"/>
    </row>
    <row r="304" spans="1:46" ht="13.8">
      <c r="A304" s="83"/>
      <c r="B304" s="83"/>
      <c r="C304" s="83"/>
      <c r="D304" s="83"/>
      <c r="E304" s="82"/>
      <c r="F304" s="82"/>
      <c r="G304" s="83"/>
      <c r="H304" s="83"/>
      <c r="I304" s="83"/>
      <c r="J304" s="83"/>
      <c r="K304" s="83"/>
      <c r="L304" s="83"/>
      <c r="M304" s="83"/>
      <c r="N304" s="83"/>
      <c r="O304" s="83"/>
      <c r="P304" s="83"/>
      <c r="Q304" s="83"/>
      <c r="R304" s="83"/>
      <c r="S304" s="83"/>
      <c r="T304" s="83"/>
      <c r="U304" s="83"/>
      <c r="V304" s="83"/>
      <c r="W304" s="83"/>
      <c r="X304" s="83"/>
      <c r="Y304" s="83"/>
      <c r="Z304" s="83"/>
      <c r="AA304" s="83"/>
      <c r="AB304" s="83"/>
      <c r="AC304" s="83"/>
      <c r="AD304" s="83"/>
      <c r="AE304" s="83"/>
      <c r="AF304" s="83"/>
      <c r="AG304" s="83"/>
      <c r="AH304" s="83"/>
      <c r="AI304" s="83"/>
      <c r="AJ304" s="83"/>
      <c r="AK304" s="83"/>
      <c r="AL304" s="83"/>
      <c r="AM304" s="83"/>
      <c r="AN304" s="83"/>
      <c r="AO304" s="83"/>
      <c r="AP304" s="83"/>
      <c r="AQ304" s="83"/>
      <c r="AR304" s="83"/>
      <c r="AS304" s="83"/>
      <c r="AT304" s="83"/>
    </row>
    <row r="305" spans="1:46" ht="13.8">
      <c r="A305" s="83"/>
      <c r="B305" s="83"/>
      <c r="C305" s="83"/>
      <c r="D305" s="83"/>
      <c r="E305" s="82"/>
      <c r="F305" s="82"/>
      <c r="G305" s="83"/>
      <c r="H305" s="83"/>
      <c r="I305" s="83"/>
      <c r="J305" s="83"/>
      <c r="K305" s="83"/>
      <c r="L305" s="83"/>
      <c r="M305" s="83"/>
      <c r="N305" s="83"/>
      <c r="O305" s="83"/>
      <c r="P305" s="83"/>
      <c r="Q305" s="83"/>
      <c r="R305" s="83"/>
      <c r="S305" s="83"/>
      <c r="T305" s="83"/>
      <c r="U305" s="83"/>
      <c r="V305" s="83"/>
      <c r="W305" s="83"/>
      <c r="X305" s="83"/>
      <c r="Y305" s="83"/>
      <c r="Z305" s="83"/>
      <c r="AA305" s="83"/>
      <c r="AB305" s="83"/>
      <c r="AC305" s="83"/>
      <c r="AD305" s="83"/>
      <c r="AE305" s="83"/>
      <c r="AF305" s="83"/>
      <c r="AG305" s="83"/>
      <c r="AH305" s="83"/>
      <c r="AI305" s="83"/>
      <c r="AJ305" s="83"/>
      <c r="AK305" s="83"/>
      <c r="AL305" s="83"/>
      <c r="AM305" s="83"/>
      <c r="AN305" s="83"/>
      <c r="AO305" s="83"/>
      <c r="AP305" s="83"/>
      <c r="AQ305" s="83"/>
      <c r="AR305" s="83"/>
      <c r="AS305" s="83"/>
      <c r="AT305" s="83"/>
    </row>
    <row r="306" spans="1:46" ht="13.8">
      <c r="A306" s="83"/>
      <c r="B306" s="83"/>
      <c r="C306" s="83"/>
      <c r="D306" s="83"/>
      <c r="E306" s="82"/>
      <c r="F306" s="82"/>
      <c r="G306" s="83"/>
      <c r="H306" s="83"/>
      <c r="I306" s="83"/>
      <c r="J306" s="83"/>
      <c r="K306" s="83"/>
      <c r="L306" s="83"/>
      <c r="M306" s="83"/>
      <c r="N306" s="83"/>
      <c r="O306" s="83"/>
      <c r="P306" s="83"/>
      <c r="Q306" s="83"/>
      <c r="R306" s="83"/>
      <c r="S306" s="83"/>
      <c r="T306" s="83"/>
      <c r="U306" s="83"/>
      <c r="V306" s="83"/>
      <c r="W306" s="83"/>
      <c r="X306" s="83"/>
      <c r="Y306" s="83"/>
      <c r="Z306" s="83"/>
      <c r="AA306" s="83"/>
      <c r="AB306" s="83"/>
      <c r="AC306" s="83"/>
      <c r="AD306" s="83"/>
      <c r="AE306" s="83"/>
      <c r="AF306" s="83"/>
      <c r="AG306" s="83"/>
      <c r="AH306" s="83"/>
      <c r="AI306" s="83"/>
      <c r="AJ306" s="83"/>
      <c r="AK306" s="83"/>
      <c r="AL306" s="83"/>
      <c r="AM306" s="83"/>
      <c r="AN306" s="83"/>
      <c r="AO306" s="83"/>
      <c r="AP306" s="83"/>
      <c r="AQ306" s="83"/>
      <c r="AR306" s="83"/>
      <c r="AS306" s="83"/>
      <c r="AT306" s="83"/>
    </row>
    <row r="307" spans="1:46" ht="13.8">
      <c r="A307" s="83"/>
      <c r="B307" s="83"/>
      <c r="C307" s="83"/>
      <c r="D307" s="83"/>
      <c r="E307" s="82"/>
      <c r="F307" s="82"/>
      <c r="G307" s="83"/>
      <c r="H307" s="83"/>
      <c r="I307" s="83"/>
      <c r="J307" s="83"/>
      <c r="K307" s="83"/>
      <c r="L307" s="83"/>
      <c r="M307" s="83"/>
      <c r="N307" s="83"/>
      <c r="O307" s="83"/>
      <c r="P307" s="83"/>
      <c r="Q307" s="83"/>
      <c r="R307" s="83"/>
      <c r="S307" s="83"/>
      <c r="T307" s="83"/>
      <c r="U307" s="83"/>
      <c r="V307" s="83"/>
      <c r="W307" s="83"/>
      <c r="X307" s="83"/>
      <c r="Y307" s="83"/>
      <c r="Z307" s="83"/>
      <c r="AA307" s="83"/>
      <c r="AB307" s="83"/>
      <c r="AC307" s="83"/>
      <c r="AD307" s="83"/>
      <c r="AE307" s="83"/>
      <c r="AF307" s="83"/>
      <c r="AG307" s="83"/>
      <c r="AH307" s="83"/>
      <c r="AI307" s="83"/>
      <c r="AJ307" s="83"/>
      <c r="AK307" s="83"/>
      <c r="AL307" s="83"/>
      <c r="AM307" s="83"/>
      <c r="AN307" s="83"/>
      <c r="AO307" s="83"/>
      <c r="AP307" s="83"/>
      <c r="AQ307" s="83"/>
      <c r="AR307" s="83"/>
      <c r="AS307" s="83"/>
      <c r="AT307" s="83"/>
    </row>
    <row r="308" spans="1:46" ht="13.8">
      <c r="A308" s="83"/>
      <c r="B308" s="83"/>
      <c r="C308" s="83"/>
      <c r="D308" s="83"/>
      <c r="E308" s="82"/>
      <c r="F308" s="82"/>
      <c r="G308" s="83"/>
      <c r="H308" s="83"/>
      <c r="I308" s="83"/>
      <c r="J308" s="83"/>
      <c r="K308" s="83"/>
      <c r="L308" s="83"/>
      <c r="M308" s="83"/>
      <c r="N308" s="83"/>
      <c r="O308" s="83"/>
      <c r="P308" s="83"/>
      <c r="Q308" s="83"/>
      <c r="R308" s="83"/>
      <c r="S308" s="83"/>
      <c r="T308" s="83"/>
      <c r="U308" s="83"/>
      <c r="V308" s="83"/>
      <c r="W308" s="83"/>
      <c r="X308" s="83"/>
      <c r="Y308" s="83"/>
      <c r="Z308" s="83"/>
      <c r="AA308" s="83"/>
      <c r="AB308" s="83"/>
      <c r="AC308" s="83"/>
      <c r="AD308" s="83"/>
      <c r="AE308" s="83"/>
      <c r="AF308" s="83"/>
      <c r="AG308" s="83"/>
      <c r="AH308" s="83"/>
      <c r="AI308" s="83"/>
      <c r="AJ308" s="83"/>
      <c r="AK308" s="83"/>
      <c r="AL308" s="83"/>
      <c r="AM308" s="83"/>
      <c r="AN308" s="83"/>
      <c r="AO308" s="83"/>
      <c r="AP308" s="83"/>
      <c r="AQ308" s="83"/>
      <c r="AR308" s="83"/>
      <c r="AS308" s="83"/>
      <c r="AT308" s="83"/>
    </row>
    <row r="309" spans="1:46" ht="13.8">
      <c r="A309" s="83"/>
      <c r="B309" s="83"/>
      <c r="C309" s="83"/>
      <c r="D309" s="83"/>
      <c r="E309" s="82"/>
      <c r="F309" s="82"/>
      <c r="G309" s="83"/>
      <c r="H309" s="83"/>
      <c r="I309" s="83"/>
      <c r="J309" s="83"/>
      <c r="K309" s="83"/>
      <c r="L309" s="83"/>
      <c r="M309" s="83"/>
      <c r="N309" s="83"/>
      <c r="O309" s="83"/>
      <c r="P309" s="83"/>
      <c r="Q309" s="83"/>
      <c r="R309" s="83"/>
      <c r="S309" s="83"/>
      <c r="T309" s="83"/>
      <c r="U309" s="83"/>
      <c r="V309" s="83"/>
      <c r="W309" s="83"/>
      <c r="X309" s="83"/>
      <c r="Y309" s="83"/>
      <c r="Z309" s="83"/>
      <c r="AA309" s="83"/>
      <c r="AB309" s="83"/>
      <c r="AC309" s="83"/>
      <c r="AD309" s="83"/>
      <c r="AE309" s="83"/>
      <c r="AF309" s="83"/>
      <c r="AG309" s="83"/>
      <c r="AH309" s="83"/>
      <c r="AI309" s="83"/>
      <c r="AJ309" s="83"/>
      <c r="AK309" s="83"/>
      <c r="AL309" s="83"/>
      <c r="AM309" s="83"/>
      <c r="AN309" s="83"/>
      <c r="AO309" s="83"/>
      <c r="AP309" s="83"/>
      <c r="AQ309" s="83"/>
      <c r="AR309" s="83"/>
      <c r="AS309" s="83"/>
      <c r="AT309" s="83"/>
    </row>
    <row r="310" spans="1:46" ht="13.8">
      <c r="A310" s="83"/>
      <c r="B310" s="83"/>
      <c r="C310" s="83"/>
      <c r="D310" s="83"/>
      <c r="E310" s="82"/>
      <c r="F310" s="82"/>
      <c r="G310" s="83"/>
      <c r="H310" s="83"/>
      <c r="I310" s="83"/>
      <c r="J310" s="83"/>
      <c r="K310" s="83"/>
      <c r="L310" s="83"/>
      <c r="M310" s="83"/>
      <c r="N310" s="83"/>
      <c r="O310" s="83"/>
      <c r="P310" s="83"/>
      <c r="Q310" s="83"/>
      <c r="R310" s="83"/>
      <c r="S310" s="83"/>
      <c r="T310" s="83"/>
      <c r="U310" s="83"/>
      <c r="V310" s="83"/>
      <c r="W310" s="83"/>
      <c r="X310" s="83"/>
      <c r="Y310" s="83"/>
      <c r="Z310" s="83"/>
      <c r="AA310" s="83"/>
      <c r="AB310" s="83"/>
      <c r="AC310" s="83"/>
      <c r="AD310" s="83"/>
      <c r="AE310" s="83"/>
      <c r="AF310" s="83"/>
      <c r="AG310" s="83"/>
      <c r="AH310" s="83"/>
      <c r="AI310" s="83"/>
      <c r="AJ310" s="83"/>
      <c r="AK310" s="83"/>
      <c r="AL310" s="83"/>
      <c r="AM310" s="83"/>
      <c r="AN310" s="83"/>
      <c r="AO310" s="83"/>
      <c r="AP310" s="83"/>
      <c r="AQ310" s="83"/>
      <c r="AR310" s="83"/>
      <c r="AS310" s="83"/>
      <c r="AT310" s="83"/>
    </row>
    <row r="311" spans="1:46" ht="13.8">
      <c r="A311" s="83"/>
      <c r="B311" s="83"/>
      <c r="C311" s="83"/>
      <c r="D311" s="83"/>
      <c r="E311" s="82"/>
      <c r="F311" s="82"/>
      <c r="G311" s="83"/>
      <c r="H311" s="83"/>
      <c r="I311" s="83"/>
      <c r="J311" s="83"/>
      <c r="K311" s="83"/>
      <c r="L311" s="83"/>
      <c r="M311" s="83"/>
      <c r="N311" s="83"/>
      <c r="O311" s="83"/>
      <c r="P311" s="83"/>
      <c r="Q311" s="83"/>
      <c r="R311" s="83"/>
      <c r="S311" s="83"/>
      <c r="T311" s="83"/>
      <c r="U311" s="83"/>
      <c r="V311" s="83"/>
      <c r="W311" s="83"/>
      <c r="X311" s="83"/>
      <c r="Y311" s="83"/>
      <c r="Z311" s="83"/>
      <c r="AA311" s="83"/>
      <c r="AB311" s="83"/>
      <c r="AC311" s="83"/>
      <c r="AD311" s="83"/>
      <c r="AE311" s="83"/>
      <c r="AF311" s="83"/>
      <c r="AG311" s="83"/>
      <c r="AH311" s="83"/>
      <c r="AI311" s="83"/>
      <c r="AJ311" s="83"/>
      <c r="AK311" s="83"/>
      <c r="AL311" s="83"/>
      <c r="AM311" s="83"/>
      <c r="AN311" s="83"/>
      <c r="AO311" s="83"/>
      <c r="AP311" s="83"/>
      <c r="AQ311" s="83"/>
      <c r="AR311" s="83"/>
      <c r="AS311" s="83"/>
      <c r="AT311" s="83"/>
    </row>
    <row r="312" spans="1:46" ht="13.8">
      <c r="A312" s="83"/>
      <c r="B312" s="83"/>
      <c r="C312" s="83"/>
      <c r="D312" s="83"/>
      <c r="E312" s="82"/>
      <c r="F312" s="82"/>
      <c r="G312" s="83"/>
      <c r="H312" s="83"/>
      <c r="I312" s="83"/>
      <c r="J312" s="83"/>
      <c r="K312" s="83"/>
      <c r="L312" s="83"/>
      <c r="M312" s="83"/>
      <c r="N312" s="83"/>
      <c r="O312" s="83"/>
      <c r="P312" s="83"/>
      <c r="Q312" s="83"/>
      <c r="R312" s="83"/>
      <c r="S312" s="83"/>
      <c r="T312" s="83"/>
      <c r="U312" s="83"/>
      <c r="V312" s="83"/>
      <c r="W312" s="83"/>
      <c r="X312" s="83"/>
      <c r="Y312" s="83"/>
      <c r="Z312" s="83"/>
      <c r="AA312" s="83"/>
      <c r="AB312" s="83"/>
      <c r="AC312" s="83"/>
      <c r="AD312" s="83"/>
      <c r="AE312" s="83"/>
      <c r="AF312" s="83"/>
      <c r="AG312" s="83"/>
      <c r="AH312" s="83"/>
      <c r="AI312" s="83"/>
      <c r="AJ312" s="83"/>
      <c r="AK312" s="83"/>
      <c r="AL312" s="83"/>
      <c r="AM312" s="83"/>
      <c r="AN312" s="83"/>
      <c r="AO312" s="83"/>
      <c r="AP312" s="83"/>
      <c r="AQ312" s="83"/>
      <c r="AR312" s="83"/>
      <c r="AS312" s="83"/>
      <c r="AT312" s="83"/>
    </row>
    <row r="313" spans="1:46" ht="13.8">
      <c r="A313" s="83"/>
      <c r="B313" s="83"/>
      <c r="C313" s="83"/>
      <c r="D313" s="83"/>
      <c r="E313" s="82"/>
      <c r="F313" s="82"/>
      <c r="G313" s="83"/>
      <c r="H313" s="83"/>
      <c r="I313" s="83"/>
      <c r="J313" s="83"/>
      <c r="K313" s="83"/>
      <c r="L313" s="83"/>
      <c r="M313" s="83"/>
      <c r="N313" s="83"/>
      <c r="O313" s="83"/>
      <c r="P313" s="83"/>
      <c r="Q313" s="83"/>
      <c r="R313" s="83"/>
      <c r="S313" s="83"/>
      <c r="T313" s="83"/>
      <c r="U313" s="83"/>
      <c r="V313" s="83"/>
      <c r="W313" s="83"/>
      <c r="X313" s="83"/>
      <c r="Y313" s="83"/>
      <c r="Z313" s="83"/>
      <c r="AA313" s="83"/>
      <c r="AB313" s="83"/>
      <c r="AC313" s="83"/>
      <c r="AD313" s="83"/>
      <c r="AE313" s="83"/>
      <c r="AF313" s="83"/>
      <c r="AG313" s="83"/>
      <c r="AH313" s="83"/>
      <c r="AI313" s="83"/>
      <c r="AJ313" s="83"/>
      <c r="AK313" s="83"/>
      <c r="AL313" s="83"/>
      <c r="AM313" s="83"/>
      <c r="AN313" s="83"/>
      <c r="AO313" s="83"/>
      <c r="AP313" s="83"/>
      <c r="AQ313" s="83"/>
      <c r="AR313" s="83"/>
      <c r="AS313" s="83"/>
      <c r="AT313" s="83"/>
    </row>
    <row r="314" spans="1:46" ht="13.8">
      <c r="A314" s="83"/>
      <c r="B314" s="83"/>
      <c r="C314" s="83"/>
      <c r="D314" s="83"/>
      <c r="E314" s="82"/>
      <c r="F314" s="82"/>
      <c r="G314" s="83"/>
      <c r="H314" s="83"/>
      <c r="I314" s="83"/>
      <c r="J314" s="83"/>
      <c r="K314" s="83"/>
      <c r="L314" s="83"/>
      <c r="M314" s="83"/>
      <c r="N314" s="83"/>
      <c r="O314" s="83"/>
      <c r="P314" s="83"/>
      <c r="Q314" s="83"/>
      <c r="R314" s="83"/>
      <c r="S314" s="83"/>
      <c r="T314" s="83"/>
      <c r="U314" s="83"/>
      <c r="V314" s="83"/>
      <c r="W314" s="83"/>
      <c r="X314" s="83"/>
      <c r="Y314" s="83"/>
      <c r="Z314" s="83"/>
      <c r="AA314" s="83"/>
      <c r="AB314" s="83"/>
      <c r="AC314" s="83"/>
      <c r="AD314" s="83"/>
      <c r="AE314" s="83"/>
      <c r="AF314" s="83"/>
      <c r="AG314" s="83"/>
      <c r="AH314" s="83"/>
      <c r="AI314" s="83"/>
      <c r="AJ314" s="83"/>
      <c r="AK314" s="83"/>
      <c r="AL314" s="83"/>
      <c r="AM314" s="83"/>
      <c r="AN314" s="83"/>
      <c r="AO314" s="83"/>
      <c r="AP314" s="83"/>
      <c r="AQ314" s="83"/>
      <c r="AR314" s="83"/>
      <c r="AS314" s="83"/>
      <c r="AT314" s="83"/>
    </row>
    <row r="315" spans="1:46" ht="13.8">
      <c r="A315" s="83"/>
      <c r="B315" s="83"/>
      <c r="C315" s="83"/>
      <c r="D315" s="83"/>
      <c r="E315" s="82"/>
      <c r="F315" s="82"/>
      <c r="G315" s="83"/>
      <c r="H315" s="83"/>
      <c r="I315" s="83"/>
      <c r="J315" s="83"/>
      <c r="K315" s="83"/>
      <c r="L315" s="83"/>
      <c r="M315" s="83"/>
      <c r="N315" s="83"/>
      <c r="O315" s="83"/>
      <c r="P315" s="83"/>
      <c r="Q315" s="83"/>
      <c r="R315" s="83"/>
      <c r="S315" s="83"/>
      <c r="T315" s="83"/>
      <c r="U315" s="83"/>
      <c r="V315" s="83"/>
      <c r="W315" s="83"/>
      <c r="X315" s="83"/>
      <c r="Y315" s="83"/>
      <c r="Z315" s="83"/>
      <c r="AA315" s="83"/>
      <c r="AB315" s="83"/>
      <c r="AC315" s="83"/>
      <c r="AD315" s="83"/>
      <c r="AE315" s="83"/>
      <c r="AF315" s="83"/>
      <c r="AG315" s="83"/>
      <c r="AH315" s="83"/>
      <c r="AI315" s="83"/>
      <c r="AJ315" s="83"/>
      <c r="AK315" s="83"/>
      <c r="AL315" s="83"/>
      <c r="AM315" s="83"/>
      <c r="AN315" s="83"/>
      <c r="AO315" s="83"/>
      <c r="AP315" s="83"/>
      <c r="AQ315" s="83"/>
      <c r="AR315" s="83"/>
      <c r="AS315" s="83"/>
      <c r="AT315" s="83"/>
    </row>
    <row r="316" spans="1:46" ht="13.8">
      <c r="A316" s="83"/>
      <c r="B316" s="83"/>
      <c r="C316" s="83"/>
      <c r="D316" s="83"/>
      <c r="E316" s="82"/>
      <c r="F316" s="82"/>
      <c r="G316" s="83"/>
      <c r="H316" s="83"/>
      <c r="I316" s="83"/>
      <c r="J316" s="83"/>
      <c r="K316" s="83"/>
      <c r="L316" s="83"/>
      <c r="M316" s="83"/>
      <c r="N316" s="83"/>
      <c r="O316" s="83"/>
      <c r="P316" s="83"/>
      <c r="Q316" s="83"/>
      <c r="R316" s="83"/>
      <c r="S316" s="83"/>
      <c r="T316" s="83"/>
      <c r="U316" s="83"/>
      <c r="V316" s="83"/>
      <c r="W316" s="83"/>
      <c r="X316" s="83"/>
      <c r="Y316" s="83"/>
      <c r="Z316" s="83"/>
      <c r="AA316" s="83"/>
      <c r="AB316" s="83"/>
      <c r="AC316" s="83"/>
      <c r="AD316" s="83"/>
      <c r="AE316" s="83"/>
      <c r="AF316" s="83"/>
      <c r="AG316" s="83"/>
      <c r="AH316" s="83"/>
      <c r="AI316" s="83"/>
      <c r="AJ316" s="83"/>
      <c r="AK316" s="83"/>
      <c r="AL316" s="83"/>
      <c r="AM316" s="83"/>
      <c r="AN316" s="83"/>
      <c r="AO316" s="83"/>
      <c r="AP316" s="83"/>
      <c r="AQ316" s="83"/>
      <c r="AR316" s="83"/>
      <c r="AS316" s="83"/>
      <c r="AT316" s="83"/>
    </row>
    <row r="317" spans="1:46" ht="13.8">
      <c r="A317" s="83"/>
      <c r="B317" s="83"/>
      <c r="C317" s="83"/>
      <c r="D317" s="83"/>
      <c r="E317" s="82"/>
      <c r="F317" s="82"/>
      <c r="G317" s="83"/>
      <c r="H317" s="83"/>
      <c r="I317" s="83"/>
      <c r="J317" s="83"/>
      <c r="K317" s="83"/>
      <c r="L317" s="83"/>
      <c r="M317" s="83"/>
      <c r="N317" s="83"/>
      <c r="O317" s="83"/>
      <c r="P317" s="83"/>
      <c r="Q317" s="83"/>
      <c r="R317" s="83"/>
      <c r="S317" s="83"/>
      <c r="T317" s="83"/>
      <c r="U317" s="83"/>
      <c r="V317" s="83"/>
      <c r="W317" s="83"/>
      <c r="X317" s="83"/>
      <c r="Y317" s="83"/>
      <c r="Z317" s="83"/>
      <c r="AA317" s="83"/>
      <c r="AB317" s="83"/>
      <c r="AC317" s="83"/>
      <c r="AD317" s="83"/>
      <c r="AE317" s="83"/>
      <c r="AF317" s="83"/>
      <c r="AG317" s="83"/>
      <c r="AH317" s="83"/>
      <c r="AI317" s="83"/>
      <c r="AJ317" s="83"/>
      <c r="AK317" s="83"/>
      <c r="AL317" s="83"/>
      <c r="AM317" s="83"/>
      <c r="AN317" s="83"/>
      <c r="AO317" s="83"/>
      <c r="AP317" s="83"/>
      <c r="AQ317" s="83"/>
      <c r="AR317" s="83"/>
      <c r="AS317" s="83"/>
      <c r="AT317" s="83"/>
    </row>
    <row r="318" spans="1:46" ht="13.8">
      <c r="A318" s="83"/>
      <c r="B318" s="83"/>
      <c r="C318" s="83"/>
      <c r="D318" s="83"/>
      <c r="E318" s="82"/>
      <c r="F318" s="82"/>
      <c r="G318" s="83"/>
      <c r="H318" s="83"/>
      <c r="I318" s="83"/>
      <c r="J318" s="83"/>
      <c r="K318" s="83"/>
      <c r="L318" s="83"/>
      <c r="M318" s="83"/>
      <c r="N318" s="83"/>
      <c r="O318" s="83"/>
      <c r="P318" s="83"/>
      <c r="Q318" s="83"/>
      <c r="R318" s="83"/>
      <c r="S318" s="83"/>
      <c r="T318" s="83"/>
      <c r="U318" s="83"/>
      <c r="V318" s="83"/>
      <c r="W318" s="83"/>
      <c r="X318" s="83"/>
      <c r="Y318" s="83"/>
      <c r="Z318" s="83"/>
      <c r="AA318" s="83"/>
      <c r="AB318" s="83"/>
      <c r="AC318" s="83"/>
      <c r="AD318" s="83"/>
      <c r="AE318" s="83"/>
      <c r="AF318" s="83"/>
      <c r="AG318" s="83"/>
      <c r="AH318" s="83"/>
      <c r="AI318" s="83"/>
      <c r="AJ318" s="83"/>
      <c r="AK318" s="83"/>
      <c r="AL318" s="83"/>
      <c r="AM318" s="83"/>
      <c r="AN318" s="83"/>
      <c r="AO318" s="83"/>
      <c r="AP318" s="83"/>
      <c r="AQ318" s="83"/>
      <c r="AR318" s="83"/>
      <c r="AS318" s="83"/>
      <c r="AT318" s="83"/>
    </row>
    <row r="319" spans="1:46" ht="13.8">
      <c r="A319" s="83"/>
      <c r="B319" s="83"/>
      <c r="C319" s="83"/>
      <c r="D319" s="83"/>
      <c r="E319" s="82"/>
      <c r="F319" s="82"/>
      <c r="G319" s="83"/>
      <c r="H319" s="83"/>
      <c r="I319" s="83"/>
      <c r="J319" s="83"/>
      <c r="K319" s="83"/>
      <c r="L319" s="83"/>
      <c r="M319" s="83"/>
      <c r="N319" s="83"/>
      <c r="O319" s="83"/>
      <c r="P319" s="83"/>
      <c r="Q319" s="83"/>
      <c r="R319" s="83"/>
      <c r="S319" s="83"/>
      <c r="T319" s="83"/>
      <c r="U319" s="83"/>
      <c r="V319" s="83"/>
      <c r="W319" s="83"/>
      <c r="X319" s="83"/>
      <c r="Y319" s="83"/>
      <c r="Z319" s="83"/>
      <c r="AA319" s="83"/>
      <c r="AB319" s="83"/>
      <c r="AC319" s="83"/>
      <c r="AD319" s="83"/>
      <c r="AE319" s="83"/>
      <c r="AF319" s="83"/>
      <c r="AG319" s="83"/>
      <c r="AH319" s="83"/>
      <c r="AI319" s="83"/>
      <c r="AJ319" s="83"/>
      <c r="AK319" s="83"/>
      <c r="AL319" s="83"/>
      <c r="AM319" s="83"/>
      <c r="AN319" s="83"/>
      <c r="AO319" s="83"/>
      <c r="AP319" s="83"/>
      <c r="AQ319" s="83"/>
      <c r="AR319" s="83"/>
      <c r="AS319" s="83"/>
      <c r="AT319" s="83"/>
    </row>
    <row r="320" spans="1:46" ht="13.8">
      <c r="A320" s="83"/>
      <c r="B320" s="83"/>
      <c r="C320" s="83"/>
      <c r="D320" s="83"/>
      <c r="E320" s="82"/>
      <c r="F320" s="82"/>
      <c r="G320" s="83"/>
      <c r="H320" s="83"/>
      <c r="I320" s="83"/>
      <c r="J320" s="83"/>
      <c r="K320" s="83"/>
      <c r="L320" s="83"/>
      <c r="M320" s="83"/>
      <c r="N320" s="83"/>
      <c r="O320" s="83"/>
      <c r="P320" s="83"/>
      <c r="Q320" s="83"/>
      <c r="R320" s="83"/>
      <c r="S320" s="83"/>
      <c r="T320" s="83"/>
      <c r="U320" s="83"/>
      <c r="V320" s="83"/>
      <c r="W320" s="83"/>
      <c r="X320" s="83"/>
      <c r="Y320" s="83"/>
      <c r="Z320" s="83"/>
      <c r="AA320" s="83"/>
      <c r="AB320" s="83"/>
      <c r="AC320" s="83"/>
      <c r="AD320" s="83"/>
      <c r="AE320" s="83"/>
      <c r="AF320" s="83"/>
      <c r="AG320" s="83"/>
      <c r="AH320" s="83"/>
      <c r="AI320" s="83"/>
      <c r="AJ320" s="83"/>
      <c r="AK320" s="83"/>
      <c r="AL320" s="83"/>
      <c r="AM320" s="83"/>
      <c r="AN320" s="83"/>
      <c r="AO320" s="83"/>
      <c r="AP320" s="83"/>
      <c r="AQ320" s="83"/>
      <c r="AR320" s="83"/>
      <c r="AS320" s="83"/>
      <c r="AT320" s="83"/>
    </row>
    <row r="321" spans="1:46" ht="13.8">
      <c r="A321" s="83"/>
      <c r="B321" s="83"/>
      <c r="C321" s="83"/>
      <c r="D321" s="83"/>
      <c r="E321" s="82"/>
      <c r="F321" s="82"/>
      <c r="G321" s="83"/>
      <c r="H321" s="83"/>
      <c r="I321" s="83"/>
      <c r="J321" s="83"/>
      <c r="K321" s="83"/>
      <c r="L321" s="83"/>
      <c r="M321" s="83"/>
      <c r="N321" s="83"/>
      <c r="O321" s="83"/>
      <c r="P321" s="83"/>
      <c r="Q321" s="83"/>
      <c r="R321" s="83"/>
      <c r="S321" s="83"/>
      <c r="T321" s="83"/>
      <c r="U321" s="83"/>
      <c r="V321" s="83"/>
      <c r="W321" s="83"/>
      <c r="X321" s="83"/>
      <c r="Y321" s="83"/>
      <c r="Z321" s="83"/>
      <c r="AA321" s="83"/>
      <c r="AB321" s="83"/>
      <c r="AC321" s="83"/>
      <c r="AD321" s="83"/>
      <c r="AE321" s="83"/>
      <c r="AF321" s="83"/>
      <c r="AG321" s="83"/>
      <c r="AH321" s="83"/>
      <c r="AI321" s="83"/>
      <c r="AJ321" s="83"/>
      <c r="AK321" s="83"/>
      <c r="AL321" s="83"/>
      <c r="AM321" s="83"/>
      <c r="AN321" s="83"/>
      <c r="AO321" s="83"/>
      <c r="AP321" s="83"/>
      <c r="AQ321" s="83"/>
      <c r="AR321" s="83"/>
      <c r="AS321" s="83"/>
      <c r="AT321" s="83"/>
    </row>
    <row r="322" spans="1:46" ht="13.8">
      <c r="A322" s="83"/>
      <c r="B322" s="83"/>
      <c r="C322" s="83"/>
      <c r="D322" s="83"/>
      <c r="E322" s="82"/>
      <c r="F322" s="82"/>
      <c r="G322" s="83"/>
      <c r="H322" s="83"/>
      <c r="I322" s="83"/>
      <c r="J322" s="83"/>
      <c r="K322" s="83"/>
      <c r="L322" s="83"/>
      <c r="M322" s="83"/>
      <c r="N322" s="83"/>
      <c r="O322" s="83"/>
      <c r="P322" s="83"/>
      <c r="Q322" s="83"/>
      <c r="R322" s="83"/>
      <c r="S322" s="83"/>
      <c r="T322" s="83"/>
      <c r="U322" s="83"/>
      <c r="V322" s="83"/>
      <c r="W322" s="83"/>
      <c r="X322" s="83"/>
      <c r="Y322" s="83"/>
      <c r="Z322" s="83"/>
      <c r="AA322" s="83"/>
      <c r="AB322" s="83"/>
      <c r="AC322" s="83"/>
      <c r="AD322" s="83"/>
      <c r="AE322" s="83"/>
      <c r="AF322" s="83"/>
      <c r="AG322" s="83"/>
      <c r="AH322" s="83"/>
      <c r="AI322" s="83"/>
      <c r="AJ322" s="83"/>
      <c r="AK322" s="83"/>
      <c r="AL322" s="83"/>
      <c r="AM322" s="83"/>
      <c r="AN322" s="83"/>
      <c r="AO322" s="83"/>
      <c r="AP322" s="83"/>
      <c r="AQ322" s="83"/>
      <c r="AR322" s="83"/>
      <c r="AS322" s="83"/>
      <c r="AT322" s="83"/>
    </row>
    <row r="323" spans="1:46" ht="13.8">
      <c r="A323" s="83"/>
      <c r="B323" s="83"/>
      <c r="C323" s="83"/>
      <c r="D323" s="83"/>
      <c r="E323" s="82"/>
      <c r="F323" s="82"/>
      <c r="G323" s="83"/>
      <c r="H323" s="83"/>
      <c r="I323" s="83"/>
      <c r="J323" s="83"/>
      <c r="K323" s="83"/>
      <c r="L323" s="83"/>
      <c r="M323" s="83"/>
      <c r="N323" s="83"/>
      <c r="O323" s="83"/>
      <c r="P323" s="83"/>
      <c r="Q323" s="83"/>
      <c r="R323" s="83"/>
      <c r="S323" s="83"/>
      <c r="T323" s="83"/>
      <c r="U323" s="83"/>
      <c r="V323" s="83"/>
      <c r="W323" s="83"/>
      <c r="X323" s="83"/>
      <c r="Y323" s="83"/>
      <c r="Z323" s="83"/>
      <c r="AA323" s="83"/>
      <c r="AB323" s="83"/>
      <c r="AC323" s="83"/>
      <c r="AD323" s="83"/>
      <c r="AE323" s="83"/>
      <c r="AF323" s="83"/>
      <c r="AG323" s="83"/>
      <c r="AH323" s="83"/>
      <c r="AI323" s="83"/>
      <c r="AJ323" s="83"/>
      <c r="AK323" s="83"/>
      <c r="AL323" s="83"/>
      <c r="AM323" s="83"/>
      <c r="AN323" s="83"/>
      <c r="AO323" s="83"/>
      <c r="AP323" s="83"/>
      <c r="AQ323" s="83"/>
      <c r="AR323" s="83"/>
      <c r="AS323" s="83"/>
      <c r="AT323" s="83"/>
    </row>
    <row r="324" spans="1:46" ht="13.8">
      <c r="A324" s="83"/>
      <c r="B324" s="83"/>
      <c r="C324" s="83"/>
      <c r="D324" s="83"/>
      <c r="E324" s="82"/>
      <c r="F324" s="82"/>
      <c r="G324" s="83"/>
      <c r="H324" s="83"/>
      <c r="I324" s="83"/>
      <c r="J324" s="83"/>
      <c r="K324" s="83"/>
      <c r="L324" s="83"/>
      <c r="M324" s="83"/>
      <c r="N324" s="83"/>
      <c r="O324" s="83"/>
      <c r="P324" s="83"/>
      <c r="Q324" s="83"/>
      <c r="R324" s="83"/>
      <c r="S324" s="83"/>
      <c r="T324" s="83"/>
      <c r="U324" s="83"/>
      <c r="V324" s="83"/>
      <c r="W324" s="83"/>
      <c r="X324" s="83"/>
      <c r="Y324" s="83"/>
      <c r="Z324" s="83"/>
      <c r="AA324" s="83"/>
      <c r="AB324" s="83"/>
      <c r="AC324" s="83"/>
      <c r="AD324" s="83"/>
      <c r="AE324" s="83"/>
      <c r="AF324" s="83"/>
      <c r="AG324" s="83"/>
      <c r="AH324" s="83"/>
      <c r="AI324" s="83"/>
      <c r="AJ324" s="83"/>
      <c r="AK324" s="83"/>
      <c r="AL324" s="83"/>
      <c r="AM324" s="83"/>
      <c r="AN324" s="83"/>
      <c r="AO324" s="83"/>
      <c r="AP324" s="83"/>
      <c r="AQ324" s="83"/>
      <c r="AR324" s="83"/>
      <c r="AS324" s="83"/>
      <c r="AT324" s="83"/>
    </row>
    <row r="325" spans="1:46" ht="13.8">
      <c r="A325" s="83"/>
      <c r="B325" s="83"/>
      <c r="C325" s="83"/>
      <c r="D325" s="83"/>
      <c r="E325" s="82"/>
      <c r="F325" s="82"/>
      <c r="G325" s="83"/>
      <c r="H325" s="83"/>
      <c r="I325" s="83"/>
      <c r="J325" s="83"/>
      <c r="K325" s="83"/>
      <c r="L325" s="83"/>
      <c r="M325" s="83"/>
      <c r="N325" s="83"/>
      <c r="O325" s="83"/>
      <c r="P325" s="83"/>
      <c r="Q325" s="83"/>
      <c r="R325" s="83"/>
      <c r="S325" s="83"/>
      <c r="T325" s="83"/>
      <c r="U325" s="83"/>
      <c r="V325" s="83"/>
      <c r="W325" s="83"/>
      <c r="X325" s="83"/>
      <c r="Y325" s="83"/>
      <c r="Z325" s="83"/>
      <c r="AA325" s="83"/>
      <c r="AB325" s="83"/>
      <c r="AC325" s="83"/>
      <c r="AD325" s="83"/>
      <c r="AE325" s="83"/>
      <c r="AF325" s="83"/>
      <c r="AG325" s="83"/>
      <c r="AH325" s="83"/>
      <c r="AI325" s="83"/>
      <c r="AJ325" s="83"/>
      <c r="AK325" s="83"/>
      <c r="AL325" s="83"/>
      <c r="AM325" s="83"/>
      <c r="AN325" s="83"/>
      <c r="AO325" s="83"/>
      <c r="AP325" s="83"/>
      <c r="AQ325" s="83"/>
      <c r="AR325" s="83"/>
      <c r="AS325" s="83"/>
      <c r="AT325" s="83"/>
    </row>
    <row r="326" spans="1:46" ht="13.8">
      <c r="A326" s="83"/>
      <c r="B326" s="83"/>
      <c r="C326" s="83"/>
      <c r="D326" s="83"/>
      <c r="E326" s="82"/>
      <c r="F326" s="82"/>
      <c r="G326" s="83"/>
      <c r="H326" s="83"/>
      <c r="I326" s="83"/>
      <c r="J326" s="83"/>
      <c r="K326" s="83"/>
      <c r="L326" s="83"/>
      <c r="M326" s="83"/>
      <c r="N326" s="83"/>
      <c r="O326" s="83"/>
      <c r="P326" s="83"/>
      <c r="Q326" s="83"/>
      <c r="R326" s="83"/>
      <c r="S326" s="83"/>
      <c r="T326" s="83"/>
      <c r="U326" s="83"/>
      <c r="V326" s="83"/>
      <c r="W326" s="83"/>
      <c r="X326" s="83"/>
      <c r="Y326" s="83"/>
      <c r="Z326" s="83"/>
      <c r="AA326" s="83"/>
      <c r="AB326" s="83"/>
      <c r="AC326" s="83"/>
      <c r="AD326" s="83"/>
      <c r="AE326" s="83"/>
      <c r="AF326" s="83"/>
      <c r="AG326" s="83"/>
      <c r="AH326" s="83"/>
      <c r="AI326" s="83"/>
      <c r="AJ326" s="83"/>
      <c r="AK326" s="83"/>
      <c r="AL326" s="83"/>
      <c r="AM326" s="83"/>
      <c r="AN326" s="83"/>
      <c r="AO326" s="83"/>
      <c r="AP326" s="83"/>
      <c r="AQ326" s="83"/>
      <c r="AR326" s="83"/>
      <c r="AS326" s="83"/>
      <c r="AT326" s="83"/>
    </row>
    <row r="327" spans="1:46" ht="13.8">
      <c r="A327" s="83"/>
      <c r="B327" s="83"/>
      <c r="C327" s="83"/>
      <c r="D327" s="83"/>
      <c r="E327" s="82"/>
      <c r="F327" s="82"/>
      <c r="G327" s="83"/>
      <c r="H327" s="83"/>
      <c r="I327" s="83"/>
      <c r="J327" s="83"/>
      <c r="K327" s="83"/>
      <c r="L327" s="83"/>
      <c r="M327" s="83"/>
      <c r="N327" s="83"/>
      <c r="O327" s="83"/>
      <c r="P327" s="83"/>
      <c r="Q327" s="83"/>
      <c r="R327" s="83"/>
      <c r="S327" s="83"/>
      <c r="T327" s="83"/>
      <c r="U327" s="83"/>
      <c r="V327" s="83"/>
      <c r="W327" s="83"/>
      <c r="X327" s="83"/>
      <c r="Y327" s="83"/>
      <c r="Z327" s="83"/>
      <c r="AA327" s="83"/>
      <c r="AB327" s="83"/>
      <c r="AC327" s="83"/>
      <c r="AD327" s="83"/>
      <c r="AE327" s="83"/>
      <c r="AF327" s="83"/>
      <c r="AG327" s="83"/>
      <c r="AH327" s="83"/>
      <c r="AI327" s="83"/>
      <c r="AJ327" s="83"/>
      <c r="AK327" s="83"/>
      <c r="AL327" s="83"/>
      <c r="AM327" s="83"/>
      <c r="AN327" s="83"/>
      <c r="AO327" s="83"/>
      <c r="AP327" s="83"/>
      <c r="AQ327" s="83"/>
      <c r="AR327" s="83"/>
      <c r="AS327" s="83"/>
      <c r="AT327" s="83"/>
    </row>
    <row r="328" spans="1:46" ht="13.8">
      <c r="A328" s="83"/>
      <c r="B328" s="83"/>
      <c r="C328" s="83"/>
      <c r="D328" s="83"/>
      <c r="E328" s="82"/>
      <c r="F328" s="82"/>
      <c r="G328" s="83"/>
      <c r="H328" s="83"/>
      <c r="I328" s="83"/>
      <c r="J328" s="83"/>
      <c r="K328" s="83"/>
      <c r="L328" s="83"/>
      <c r="M328" s="83"/>
      <c r="N328" s="83"/>
      <c r="O328" s="83"/>
      <c r="P328" s="83"/>
      <c r="Q328" s="83"/>
      <c r="R328" s="83"/>
      <c r="S328" s="83"/>
      <c r="T328" s="83"/>
      <c r="U328" s="83"/>
      <c r="V328" s="83"/>
      <c r="W328" s="83"/>
      <c r="X328" s="83"/>
      <c r="Y328" s="83"/>
      <c r="Z328" s="83"/>
      <c r="AA328" s="83"/>
      <c r="AB328" s="83"/>
      <c r="AC328" s="83"/>
      <c r="AD328" s="83"/>
      <c r="AE328" s="83"/>
      <c r="AF328" s="83"/>
      <c r="AG328" s="83"/>
      <c r="AH328" s="83"/>
      <c r="AI328" s="83"/>
      <c r="AJ328" s="83"/>
      <c r="AK328" s="83"/>
      <c r="AL328" s="83"/>
      <c r="AM328" s="83"/>
      <c r="AN328" s="83"/>
      <c r="AO328" s="83"/>
      <c r="AP328" s="83"/>
      <c r="AQ328" s="83"/>
      <c r="AR328" s="83"/>
      <c r="AS328" s="83"/>
      <c r="AT328" s="83"/>
    </row>
    <row r="329" spans="1:46" ht="13.8">
      <c r="A329" s="83"/>
      <c r="B329" s="83"/>
      <c r="C329" s="83"/>
      <c r="D329" s="83"/>
      <c r="E329" s="82"/>
      <c r="F329" s="82"/>
      <c r="G329" s="83"/>
      <c r="H329" s="83"/>
      <c r="I329" s="83"/>
      <c r="J329" s="83"/>
      <c r="K329" s="83"/>
      <c r="L329" s="83"/>
      <c r="M329" s="83"/>
      <c r="N329" s="83"/>
      <c r="O329" s="83"/>
      <c r="P329" s="83"/>
      <c r="Q329" s="83"/>
      <c r="R329" s="83"/>
      <c r="S329" s="83"/>
      <c r="T329" s="83"/>
      <c r="U329" s="83"/>
      <c r="V329" s="83"/>
      <c r="W329" s="83"/>
      <c r="X329" s="83"/>
      <c r="Y329" s="83"/>
      <c r="Z329" s="83"/>
      <c r="AA329" s="83"/>
      <c r="AB329" s="83"/>
      <c r="AC329" s="83"/>
      <c r="AD329" s="83"/>
      <c r="AE329" s="83"/>
      <c r="AF329" s="83"/>
      <c r="AG329" s="83"/>
      <c r="AH329" s="83"/>
      <c r="AI329" s="83"/>
      <c r="AJ329" s="83"/>
      <c r="AK329" s="83"/>
      <c r="AL329" s="83"/>
      <c r="AM329" s="83"/>
      <c r="AN329" s="83"/>
      <c r="AO329" s="83"/>
      <c r="AP329" s="83"/>
      <c r="AQ329" s="83"/>
      <c r="AR329" s="83"/>
      <c r="AS329" s="83"/>
      <c r="AT329" s="83"/>
    </row>
    <row r="330" spans="1:46" ht="13.8">
      <c r="A330" s="83"/>
      <c r="B330" s="83"/>
      <c r="C330" s="83"/>
      <c r="D330" s="83"/>
      <c r="E330" s="82"/>
      <c r="F330" s="82"/>
      <c r="G330" s="83"/>
      <c r="H330" s="83"/>
      <c r="I330" s="83"/>
      <c r="J330" s="83"/>
      <c r="K330" s="83"/>
      <c r="L330" s="83"/>
      <c r="M330" s="83"/>
      <c r="N330" s="83"/>
      <c r="O330" s="83"/>
      <c r="P330" s="83"/>
      <c r="Q330" s="83"/>
      <c r="R330" s="83"/>
      <c r="S330" s="83"/>
      <c r="T330" s="83"/>
      <c r="U330" s="83"/>
      <c r="V330" s="83"/>
      <c r="W330" s="83"/>
      <c r="X330" s="83"/>
      <c r="Y330" s="83"/>
      <c r="Z330" s="83"/>
      <c r="AA330" s="83"/>
      <c r="AB330" s="83"/>
      <c r="AC330" s="83"/>
      <c r="AD330" s="83"/>
      <c r="AE330" s="83"/>
      <c r="AF330" s="83"/>
      <c r="AG330" s="83"/>
      <c r="AH330" s="83"/>
      <c r="AI330" s="83"/>
      <c r="AJ330" s="83"/>
      <c r="AK330" s="83"/>
      <c r="AL330" s="83"/>
      <c r="AM330" s="83"/>
      <c r="AN330" s="83"/>
      <c r="AO330" s="83"/>
      <c r="AP330" s="83"/>
      <c r="AQ330" s="83"/>
      <c r="AR330" s="83"/>
      <c r="AS330" s="83"/>
      <c r="AT330" s="83"/>
    </row>
    <row r="331" spans="1:46" ht="13.8">
      <c r="A331" s="83"/>
      <c r="B331" s="83"/>
      <c r="C331" s="83"/>
      <c r="D331" s="83"/>
      <c r="E331" s="82"/>
      <c r="F331" s="82"/>
      <c r="G331" s="83"/>
      <c r="H331" s="83"/>
      <c r="I331" s="83"/>
      <c r="J331" s="83"/>
      <c r="K331" s="83"/>
      <c r="L331" s="83"/>
      <c r="M331" s="83"/>
      <c r="N331" s="83"/>
      <c r="O331" s="83"/>
      <c r="P331" s="83"/>
      <c r="Q331" s="83"/>
      <c r="R331" s="83"/>
      <c r="S331" s="83"/>
      <c r="T331" s="83"/>
      <c r="U331" s="83"/>
      <c r="V331" s="83"/>
      <c r="W331" s="83"/>
      <c r="X331" s="83"/>
      <c r="Y331" s="83"/>
      <c r="Z331" s="83"/>
      <c r="AA331" s="83"/>
      <c r="AB331" s="83"/>
      <c r="AC331" s="83"/>
      <c r="AD331" s="83"/>
      <c r="AE331" s="83"/>
      <c r="AF331" s="83"/>
      <c r="AG331" s="83"/>
      <c r="AH331" s="83"/>
      <c r="AI331" s="83"/>
      <c r="AJ331" s="83"/>
      <c r="AK331" s="83"/>
      <c r="AL331" s="83"/>
      <c r="AM331" s="83"/>
      <c r="AN331" s="83"/>
      <c r="AO331" s="83"/>
      <c r="AP331" s="83"/>
      <c r="AQ331" s="83"/>
      <c r="AR331" s="83"/>
      <c r="AS331" s="83"/>
      <c r="AT331" s="83"/>
    </row>
    <row r="332" spans="1:46" ht="13.8">
      <c r="A332" s="83"/>
      <c r="B332" s="83"/>
      <c r="C332" s="83"/>
      <c r="D332" s="83"/>
      <c r="E332" s="82"/>
      <c r="F332" s="82"/>
      <c r="G332" s="83"/>
      <c r="H332" s="83"/>
      <c r="I332" s="83"/>
      <c r="J332" s="83"/>
      <c r="K332" s="83"/>
      <c r="L332" s="83"/>
      <c r="M332" s="83"/>
      <c r="N332" s="83"/>
      <c r="O332" s="83"/>
      <c r="P332" s="83"/>
      <c r="Q332" s="83"/>
      <c r="R332" s="83"/>
      <c r="S332" s="83"/>
      <c r="T332" s="83"/>
      <c r="U332" s="83"/>
      <c r="V332" s="83"/>
      <c r="W332" s="83"/>
      <c r="X332" s="83"/>
      <c r="Y332" s="83"/>
      <c r="Z332" s="83"/>
      <c r="AA332" s="83"/>
      <c r="AB332" s="83"/>
      <c r="AC332" s="83"/>
      <c r="AD332" s="83"/>
      <c r="AE332" s="83"/>
      <c r="AF332" s="83"/>
      <c r="AG332" s="83"/>
      <c r="AH332" s="83"/>
      <c r="AI332" s="83"/>
      <c r="AJ332" s="83"/>
      <c r="AK332" s="83"/>
      <c r="AL332" s="83"/>
      <c r="AM332" s="83"/>
      <c r="AN332" s="83"/>
      <c r="AO332" s="83"/>
      <c r="AP332" s="83"/>
      <c r="AQ332" s="83"/>
      <c r="AR332" s="83"/>
      <c r="AS332" s="83"/>
      <c r="AT332" s="83"/>
    </row>
    <row r="333" spans="1:46" ht="13.8">
      <c r="A333" s="83"/>
      <c r="B333" s="83"/>
      <c r="C333" s="83"/>
      <c r="D333" s="83"/>
      <c r="E333" s="82"/>
      <c r="F333" s="82"/>
      <c r="G333" s="83"/>
      <c r="H333" s="83"/>
      <c r="I333" s="83"/>
      <c r="J333" s="83"/>
      <c r="K333" s="83"/>
      <c r="L333" s="83"/>
      <c r="M333" s="83"/>
      <c r="N333" s="83"/>
      <c r="O333" s="83"/>
      <c r="P333" s="83"/>
      <c r="Q333" s="83"/>
      <c r="R333" s="83"/>
      <c r="S333" s="83"/>
      <c r="T333" s="83"/>
      <c r="U333" s="83"/>
      <c r="V333" s="83"/>
      <c r="W333" s="83"/>
      <c r="X333" s="83"/>
      <c r="Y333" s="83"/>
      <c r="Z333" s="83"/>
      <c r="AA333" s="83"/>
      <c r="AB333" s="83"/>
      <c r="AC333" s="83"/>
      <c r="AD333" s="83"/>
      <c r="AE333" s="83"/>
      <c r="AF333" s="83"/>
      <c r="AG333" s="83"/>
      <c r="AH333" s="83"/>
      <c r="AI333" s="83"/>
      <c r="AJ333" s="83"/>
      <c r="AK333" s="83"/>
      <c r="AL333" s="83"/>
      <c r="AM333" s="83"/>
      <c r="AN333" s="83"/>
      <c r="AO333" s="83"/>
      <c r="AP333" s="83"/>
      <c r="AQ333" s="83"/>
      <c r="AR333" s="83"/>
      <c r="AS333" s="83"/>
      <c r="AT333" s="83"/>
    </row>
    <row r="334" spans="1:46" ht="13.8">
      <c r="A334" s="83"/>
      <c r="B334" s="83"/>
      <c r="C334" s="83"/>
      <c r="D334" s="83"/>
      <c r="E334" s="82"/>
      <c r="F334" s="82"/>
      <c r="G334" s="83"/>
      <c r="H334" s="83"/>
      <c r="I334" s="83"/>
      <c r="J334" s="83"/>
      <c r="K334" s="83"/>
      <c r="L334" s="83"/>
      <c r="M334" s="83"/>
      <c r="N334" s="83"/>
      <c r="O334" s="83"/>
      <c r="P334" s="83"/>
      <c r="Q334" s="83"/>
      <c r="R334" s="83"/>
      <c r="S334" s="83"/>
      <c r="T334" s="83"/>
      <c r="U334" s="83"/>
      <c r="V334" s="83"/>
      <c r="W334" s="83"/>
      <c r="X334" s="83"/>
      <c r="Y334" s="83"/>
      <c r="Z334" s="83"/>
      <c r="AA334" s="83"/>
      <c r="AB334" s="83"/>
      <c r="AC334" s="83"/>
      <c r="AD334" s="83"/>
      <c r="AE334" s="83"/>
      <c r="AF334" s="83"/>
      <c r="AG334" s="83"/>
      <c r="AH334" s="83"/>
      <c r="AI334" s="83"/>
      <c r="AJ334" s="83"/>
      <c r="AK334" s="83"/>
      <c r="AL334" s="83"/>
      <c r="AM334" s="83"/>
      <c r="AN334" s="83"/>
      <c r="AO334" s="83"/>
      <c r="AP334" s="83"/>
      <c r="AQ334" s="83"/>
      <c r="AR334" s="83"/>
      <c r="AS334" s="83"/>
      <c r="AT334" s="83"/>
    </row>
    <row r="335" spans="1:46" ht="13.8">
      <c r="A335" s="83"/>
      <c r="B335" s="83"/>
      <c r="C335" s="83"/>
      <c r="D335" s="83"/>
      <c r="E335" s="82"/>
      <c r="F335" s="82"/>
      <c r="G335" s="83"/>
      <c r="H335" s="83"/>
      <c r="I335" s="83"/>
      <c r="J335" s="83"/>
      <c r="K335" s="83"/>
      <c r="L335" s="83"/>
      <c r="M335" s="83"/>
      <c r="N335" s="83"/>
      <c r="O335" s="83"/>
      <c r="P335" s="83"/>
      <c r="Q335" s="83"/>
      <c r="R335" s="83"/>
      <c r="S335" s="83"/>
      <c r="T335" s="83"/>
      <c r="U335" s="83"/>
      <c r="V335" s="83"/>
      <c r="W335" s="83"/>
      <c r="X335" s="83"/>
      <c r="Y335" s="83"/>
      <c r="Z335" s="83"/>
      <c r="AA335" s="83"/>
      <c r="AB335" s="83"/>
      <c r="AC335" s="83"/>
      <c r="AD335" s="83"/>
      <c r="AE335" s="83"/>
      <c r="AF335" s="83"/>
      <c r="AG335" s="83"/>
      <c r="AH335" s="83"/>
      <c r="AI335" s="83"/>
      <c r="AJ335" s="83"/>
      <c r="AK335" s="83"/>
      <c r="AL335" s="83"/>
      <c r="AM335" s="83"/>
      <c r="AN335" s="83"/>
      <c r="AO335" s="83"/>
      <c r="AP335" s="83"/>
      <c r="AQ335" s="83"/>
      <c r="AR335" s="83"/>
      <c r="AS335" s="83"/>
      <c r="AT335" s="83"/>
    </row>
    <row r="336" spans="1:46" ht="13.8">
      <c r="A336" s="83"/>
      <c r="B336" s="83"/>
      <c r="C336" s="83"/>
      <c r="D336" s="83"/>
      <c r="E336" s="82"/>
      <c r="F336" s="82"/>
      <c r="G336" s="83"/>
      <c r="H336" s="83"/>
      <c r="I336" s="83"/>
      <c r="J336" s="83"/>
      <c r="K336" s="83"/>
      <c r="L336" s="83"/>
      <c r="M336" s="83"/>
      <c r="N336" s="83"/>
      <c r="O336" s="83"/>
      <c r="P336" s="83"/>
      <c r="Q336" s="83"/>
      <c r="R336" s="83"/>
      <c r="S336" s="83"/>
      <c r="T336" s="83"/>
      <c r="U336" s="83"/>
      <c r="V336" s="83"/>
      <c r="W336" s="83"/>
      <c r="X336" s="83"/>
      <c r="Y336" s="83"/>
      <c r="Z336" s="83"/>
      <c r="AA336" s="83"/>
      <c r="AB336" s="83"/>
      <c r="AC336" s="83"/>
      <c r="AD336" s="83"/>
      <c r="AE336" s="83"/>
      <c r="AF336" s="83"/>
      <c r="AG336" s="83"/>
      <c r="AH336" s="83"/>
      <c r="AI336" s="83"/>
      <c r="AJ336" s="83"/>
      <c r="AK336" s="83"/>
      <c r="AL336" s="83"/>
      <c r="AM336" s="83"/>
      <c r="AN336" s="83"/>
      <c r="AO336" s="83"/>
      <c r="AP336" s="83"/>
      <c r="AQ336" s="83"/>
      <c r="AR336" s="83"/>
      <c r="AS336" s="83"/>
      <c r="AT336" s="83"/>
    </row>
    <row r="337" spans="1:46" ht="13.8">
      <c r="A337" s="83"/>
      <c r="B337" s="83"/>
      <c r="C337" s="83"/>
      <c r="D337" s="83"/>
      <c r="E337" s="82"/>
      <c r="F337" s="82"/>
      <c r="G337" s="83"/>
      <c r="H337" s="83"/>
      <c r="I337" s="83"/>
      <c r="J337" s="83"/>
      <c r="K337" s="83"/>
      <c r="L337" s="83"/>
      <c r="M337" s="83"/>
      <c r="N337" s="83"/>
      <c r="O337" s="83"/>
      <c r="P337" s="83"/>
      <c r="Q337" s="83"/>
      <c r="R337" s="83"/>
      <c r="S337" s="83"/>
      <c r="T337" s="83"/>
      <c r="U337" s="83"/>
      <c r="V337" s="83"/>
      <c r="W337" s="83"/>
      <c r="X337" s="83"/>
      <c r="Y337" s="83"/>
      <c r="Z337" s="83"/>
      <c r="AA337" s="83"/>
      <c r="AB337" s="83"/>
      <c r="AC337" s="83"/>
      <c r="AD337" s="83"/>
      <c r="AE337" s="83"/>
      <c r="AF337" s="83"/>
      <c r="AG337" s="83"/>
      <c r="AH337" s="83"/>
      <c r="AI337" s="83"/>
      <c r="AJ337" s="83"/>
      <c r="AK337" s="83"/>
      <c r="AL337" s="83"/>
      <c r="AM337" s="83"/>
      <c r="AN337" s="83"/>
      <c r="AO337" s="83"/>
      <c r="AP337" s="83"/>
      <c r="AQ337" s="83"/>
      <c r="AR337" s="83"/>
      <c r="AS337" s="83"/>
      <c r="AT337" s="83"/>
    </row>
    <row r="338" spans="1:46" ht="13.8">
      <c r="A338" s="83"/>
      <c r="B338" s="83"/>
      <c r="C338" s="83"/>
      <c r="D338" s="83"/>
      <c r="E338" s="82"/>
      <c r="F338" s="82"/>
      <c r="G338" s="83"/>
      <c r="H338" s="83"/>
      <c r="I338" s="83"/>
      <c r="J338" s="83"/>
      <c r="K338" s="83"/>
      <c r="L338" s="83"/>
      <c r="M338" s="83"/>
      <c r="N338" s="83"/>
      <c r="O338" s="83"/>
      <c r="P338" s="83"/>
      <c r="Q338" s="83"/>
      <c r="R338" s="83"/>
      <c r="S338" s="83"/>
      <c r="T338" s="83"/>
      <c r="U338" s="83"/>
      <c r="V338" s="83"/>
      <c r="W338" s="83"/>
      <c r="X338" s="83"/>
      <c r="Y338" s="83"/>
      <c r="Z338" s="83"/>
      <c r="AA338" s="83"/>
      <c r="AB338" s="83"/>
      <c r="AC338" s="83"/>
      <c r="AD338" s="83"/>
      <c r="AE338" s="83"/>
      <c r="AF338" s="83"/>
      <c r="AG338" s="83"/>
      <c r="AH338" s="83"/>
      <c r="AI338" s="83"/>
      <c r="AJ338" s="83"/>
      <c r="AK338" s="83"/>
      <c r="AL338" s="83"/>
      <c r="AM338" s="83"/>
      <c r="AN338" s="83"/>
      <c r="AO338" s="83"/>
      <c r="AP338" s="83"/>
      <c r="AQ338" s="83"/>
      <c r="AR338" s="83"/>
      <c r="AS338" s="83"/>
      <c r="AT338" s="83"/>
    </row>
    <row r="339" spans="1:46" ht="13.8">
      <c r="A339" s="83"/>
      <c r="B339" s="83"/>
      <c r="C339" s="83"/>
      <c r="D339" s="83"/>
      <c r="E339" s="82"/>
      <c r="F339" s="82"/>
      <c r="G339" s="83"/>
      <c r="H339" s="83"/>
      <c r="I339" s="83"/>
      <c r="J339" s="83"/>
      <c r="K339" s="83"/>
      <c r="L339" s="83"/>
      <c r="M339" s="83"/>
      <c r="N339" s="83"/>
      <c r="O339" s="83"/>
      <c r="P339" s="83"/>
      <c r="Q339" s="83"/>
      <c r="R339" s="83"/>
      <c r="S339" s="83"/>
      <c r="T339" s="83"/>
      <c r="U339" s="83"/>
      <c r="V339" s="83"/>
      <c r="W339" s="83"/>
      <c r="X339" s="83"/>
      <c r="Y339" s="83"/>
      <c r="Z339" s="83"/>
      <c r="AA339" s="83"/>
      <c r="AB339" s="83"/>
      <c r="AC339" s="83"/>
      <c r="AD339" s="83"/>
      <c r="AE339" s="83"/>
      <c r="AF339" s="83"/>
      <c r="AG339" s="83"/>
      <c r="AH339" s="83"/>
      <c r="AI339" s="83"/>
      <c r="AJ339" s="83"/>
      <c r="AK339" s="83"/>
      <c r="AL339" s="83"/>
      <c r="AM339" s="83"/>
      <c r="AN339" s="83"/>
      <c r="AO339" s="83"/>
      <c r="AP339" s="83"/>
      <c r="AQ339" s="83"/>
      <c r="AR339" s="83"/>
      <c r="AS339" s="83"/>
      <c r="AT339" s="83"/>
    </row>
    <row r="340" spans="1:46" ht="13.8">
      <c r="A340" s="83"/>
      <c r="B340" s="83"/>
      <c r="C340" s="83"/>
      <c r="D340" s="83"/>
      <c r="E340" s="82"/>
      <c r="F340" s="82"/>
      <c r="G340" s="83"/>
      <c r="H340" s="83"/>
      <c r="I340" s="83"/>
      <c r="J340" s="83"/>
      <c r="K340" s="83"/>
      <c r="L340" s="83"/>
      <c r="M340" s="83"/>
      <c r="N340" s="83"/>
      <c r="O340" s="83"/>
      <c r="P340" s="83"/>
      <c r="Q340" s="83"/>
      <c r="R340" s="83"/>
      <c r="S340" s="83"/>
      <c r="T340" s="83"/>
      <c r="U340" s="83"/>
      <c r="V340" s="83"/>
      <c r="W340" s="83"/>
      <c r="X340" s="83"/>
      <c r="Y340" s="83"/>
      <c r="Z340" s="83"/>
      <c r="AA340" s="83"/>
      <c r="AB340" s="83"/>
      <c r="AC340" s="83"/>
      <c r="AD340" s="83"/>
      <c r="AE340" s="83"/>
      <c r="AF340" s="83"/>
      <c r="AG340" s="83"/>
      <c r="AH340" s="83"/>
      <c r="AI340" s="83"/>
      <c r="AJ340" s="83"/>
      <c r="AK340" s="83"/>
      <c r="AL340" s="83"/>
      <c r="AM340" s="83"/>
      <c r="AN340" s="83"/>
      <c r="AO340" s="83"/>
      <c r="AP340" s="83"/>
      <c r="AQ340" s="83"/>
      <c r="AR340" s="83"/>
      <c r="AS340" s="83"/>
      <c r="AT340" s="83"/>
    </row>
    <row r="341" spans="1:46" ht="13.8">
      <c r="A341" s="83"/>
      <c r="B341" s="83"/>
      <c r="C341" s="83"/>
      <c r="D341" s="83"/>
      <c r="E341" s="82"/>
      <c r="F341" s="82"/>
      <c r="G341" s="83"/>
      <c r="H341" s="83"/>
      <c r="I341" s="83"/>
      <c r="J341" s="83"/>
      <c r="K341" s="83"/>
      <c r="L341" s="83"/>
      <c r="M341" s="83"/>
      <c r="N341" s="83"/>
      <c r="O341" s="83"/>
      <c r="P341" s="83"/>
      <c r="Q341" s="83"/>
      <c r="R341" s="83"/>
      <c r="S341" s="83"/>
      <c r="T341" s="83"/>
      <c r="U341" s="83"/>
      <c r="V341" s="83"/>
      <c r="W341" s="83"/>
      <c r="X341" s="83"/>
      <c r="Y341" s="83"/>
      <c r="Z341" s="83"/>
      <c r="AA341" s="83"/>
      <c r="AB341" s="83"/>
      <c r="AC341" s="83"/>
      <c r="AD341" s="83"/>
      <c r="AE341" s="83"/>
      <c r="AF341" s="83"/>
      <c r="AG341" s="83"/>
      <c r="AH341" s="83"/>
      <c r="AI341" s="83"/>
      <c r="AJ341" s="83"/>
      <c r="AK341" s="83"/>
      <c r="AL341" s="83"/>
      <c r="AM341" s="83"/>
      <c r="AN341" s="83"/>
      <c r="AO341" s="83"/>
      <c r="AP341" s="83"/>
      <c r="AQ341" s="83"/>
      <c r="AR341" s="83"/>
      <c r="AS341" s="83"/>
      <c r="AT341" s="83"/>
    </row>
    <row r="342" spans="1:46" ht="13.8">
      <c r="A342" s="83"/>
      <c r="B342" s="83"/>
      <c r="C342" s="83"/>
      <c r="D342" s="83"/>
      <c r="E342" s="82"/>
      <c r="F342" s="82"/>
      <c r="G342" s="83"/>
      <c r="H342" s="83"/>
      <c r="I342" s="83"/>
      <c r="J342" s="83"/>
      <c r="K342" s="83"/>
      <c r="L342" s="83"/>
      <c r="M342" s="83"/>
      <c r="N342" s="83"/>
      <c r="O342" s="83"/>
      <c r="P342" s="83"/>
      <c r="Q342" s="83"/>
      <c r="R342" s="83"/>
      <c r="S342" s="83"/>
      <c r="T342" s="83"/>
      <c r="U342" s="83"/>
      <c r="V342" s="83"/>
      <c r="W342" s="83"/>
      <c r="X342" s="83"/>
      <c r="Y342" s="83"/>
      <c r="Z342" s="83"/>
      <c r="AA342" s="83"/>
      <c r="AB342" s="83"/>
      <c r="AC342" s="83"/>
      <c r="AD342" s="83"/>
      <c r="AE342" s="83"/>
      <c r="AF342" s="83"/>
      <c r="AG342" s="83"/>
      <c r="AH342" s="83"/>
      <c r="AI342" s="83"/>
      <c r="AJ342" s="83"/>
      <c r="AK342" s="83"/>
      <c r="AL342" s="83"/>
      <c r="AM342" s="83"/>
      <c r="AN342" s="83"/>
      <c r="AO342" s="83"/>
      <c r="AP342" s="83"/>
      <c r="AQ342" s="83"/>
      <c r="AR342" s="83"/>
      <c r="AS342" s="83"/>
      <c r="AT342" s="83"/>
    </row>
    <row r="343" spans="1:46" ht="13.8">
      <c r="A343" s="83"/>
      <c r="B343" s="83"/>
      <c r="C343" s="83"/>
      <c r="D343" s="83"/>
      <c r="E343" s="82"/>
      <c r="F343" s="82"/>
      <c r="G343" s="83"/>
      <c r="H343" s="83"/>
      <c r="I343" s="83"/>
      <c r="J343" s="83"/>
      <c r="K343" s="83"/>
      <c r="L343" s="83"/>
      <c r="M343" s="83"/>
      <c r="N343" s="83"/>
      <c r="O343" s="83"/>
      <c r="P343" s="83"/>
      <c r="Q343" s="83"/>
      <c r="R343" s="83"/>
      <c r="S343" s="83"/>
      <c r="T343" s="83"/>
      <c r="U343" s="83"/>
      <c r="V343" s="83"/>
      <c r="W343" s="83"/>
      <c r="X343" s="83"/>
      <c r="Y343" s="83"/>
      <c r="Z343" s="83"/>
      <c r="AA343" s="83"/>
      <c r="AB343" s="83"/>
      <c r="AC343" s="83"/>
      <c r="AD343" s="83"/>
      <c r="AE343" s="83"/>
      <c r="AF343" s="83"/>
      <c r="AG343" s="83"/>
      <c r="AH343" s="83"/>
      <c r="AI343" s="83"/>
      <c r="AJ343" s="83"/>
      <c r="AK343" s="83"/>
      <c r="AL343" s="83"/>
      <c r="AM343" s="83"/>
      <c r="AN343" s="83"/>
      <c r="AO343" s="83"/>
      <c r="AP343" s="83"/>
      <c r="AQ343" s="83"/>
      <c r="AR343" s="83"/>
      <c r="AS343" s="83"/>
      <c r="AT343" s="83"/>
    </row>
    <row r="344" spans="1:46" ht="13.8">
      <c r="A344" s="83"/>
      <c r="B344" s="83"/>
      <c r="C344" s="83"/>
      <c r="D344" s="83"/>
      <c r="E344" s="82"/>
      <c r="F344" s="82"/>
      <c r="G344" s="83"/>
      <c r="H344" s="83"/>
      <c r="I344" s="83"/>
      <c r="J344" s="83"/>
      <c r="K344" s="83"/>
      <c r="L344" s="83"/>
      <c r="M344" s="83"/>
      <c r="N344" s="83"/>
      <c r="O344" s="83"/>
      <c r="P344" s="83"/>
      <c r="Q344" s="83"/>
      <c r="R344" s="83"/>
      <c r="S344" s="83"/>
      <c r="T344" s="83"/>
      <c r="U344" s="83"/>
      <c r="V344" s="83"/>
      <c r="W344" s="83"/>
      <c r="X344" s="83"/>
      <c r="Y344" s="83"/>
      <c r="Z344" s="83"/>
      <c r="AA344" s="83"/>
      <c r="AB344" s="83"/>
      <c r="AC344" s="83"/>
      <c r="AD344" s="83"/>
      <c r="AE344" s="83"/>
      <c r="AF344" s="83"/>
      <c r="AG344" s="83"/>
      <c r="AH344" s="83"/>
      <c r="AI344" s="83"/>
      <c r="AJ344" s="83"/>
      <c r="AK344" s="83"/>
      <c r="AL344" s="83"/>
      <c r="AM344" s="83"/>
      <c r="AN344" s="83"/>
      <c r="AO344" s="83"/>
      <c r="AP344" s="83"/>
      <c r="AQ344" s="83"/>
      <c r="AR344" s="83"/>
      <c r="AS344" s="83"/>
      <c r="AT344" s="83"/>
    </row>
    <row r="345" spans="1:46" ht="13.8">
      <c r="A345" s="83"/>
      <c r="B345" s="83"/>
      <c r="C345" s="83"/>
      <c r="D345" s="83"/>
      <c r="E345" s="82"/>
      <c r="F345" s="82"/>
      <c r="G345" s="83"/>
      <c r="H345" s="83"/>
      <c r="I345" s="83"/>
      <c r="J345" s="83"/>
      <c r="K345" s="83"/>
      <c r="L345" s="83"/>
      <c r="M345" s="83"/>
      <c r="N345" s="83"/>
      <c r="O345" s="83"/>
      <c r="P345" s="83"/>
      <c r="Q345" s="83"/>
      <c r="R345" s="83"/>
      <c r="S345" s="83"/>
      <c r="T345" s="83"/>
      <c r="U345" s="83"/>
      <c r="V345" s="83"/>
      <c r="W345" s="83"/>
      <c r="X345" s="83"/>
      <c r="Y345" s="83"/>
      <c r="Z345" s="83"/>
      <c r="AA345" s="83"/>
      <c r="AB345" s="83"/>
      <c r="AC345" s="83"/>
      <c r="AD345" s="83"/>
      <c r="AE345" s="83"/>
      <c r="AF345" s="83"/>
      <c r="AG345" s="83"/>
      <c r="AH345" s="83"/>
      <c r="AI345" s="83"/>
      <c r="AJ345" s="83"/>
      <c r="AK345" s="83"/>
      <c r="AL345" s="83"/>
      <c r="AM345" s="83"/>
      <c r="AN345" s="83"/>
      <c r="AO345" s="83"/>
      <c r="AP345" s="83"/>
      <c r="AQ345" s="83"/>
      <c r="AR345" s="83"/>
      <c r="AS345" s="83"/>
      <c r="AT345" s="83"/>
    </row>
    <row r="346" spans="1:46" ht="13.8">
      <c r="A346" s="83"/>
      <c r="B346" s="83"/>
      <c r="C346" s="83"/>
      <c r="D346" s="83"/>
      <c r="E346" s="82"/>
      <c r="F346" s="82"/>
      <c r="G346" s="83"/>
      <c r="H346" s="83"/>
      <c r="I346" s="83"/>
      <c r="J346" s="83"/>
      <c r="K346" s="83"/>
      <c r="L346" s="83"/>
      <c r="M346" s="83"/>
      <c r="N346" s="83"/>
      <c r="O346" s="83"/>
      <c r="P346" s="83"/>
      <c r="Q346" s="83"/>
      <c r="R346" s="83"/>
      <c r="S346" s="83"/>
      <c r="T346" s="83"/>
      <c r="U346" s="83"/>
      <c r="V346" s="83"/>
      <c r="W346" s="83"/>
      <c r="X346" s="83"/>
      <c r="Y346" s="83"/>
      <c r="Z346" s="83"/>
      <c r="AA346" s="83"/>
      <c r="AB346" s="83"/>
      <c r="AC346" s="83"/>
      <c r="AD346" s="83"/>
      <c r="AE346" s="83"/>
      <c r="AF346" s="83"/>
      <c r="AG346" s="83"/>
      <c r="AH346" s="83"/>
      <c r="AI346" s="83"/>
      <c r="AJ346" s="83"/>
      <c r="AK346" s="83"/>
      <c r="AL346" s="83"/>
      <c r="AM346" s="83"/>
      <c r="AN346" s="83"/>
      <c r="AO346" s="83"/>
      <c r="AP346" s="83"/>
      <c r="AQ346" s="83"/>
      <c r="AR346" s="83"/>
      <c r="AS346" s="83"/>
      <c r="AT346" s="83"/>
    </row>
    <row r="347" spans="1:46" ht="13.8">
      <c r="A347" s="83"/>
      <c r="B347" s="83"/>
      <c r="C347" s="83"/>
      <c r="D347" s="83"/>
      <c r="E347" s="82"/>
      <c r="F347" s="82"/>
      <c r="G347" s="83"/>
      <c r="H347" s="83"/>
      <c r="I347" s="83"/>
      <c r="J347" s="83"/>
      <c r="K347" s="83"/>
      <c r="L347" s="83"/>
      <c r="M347" s="83"/>
      <c r="N347" s="83"/>
      <c r="O347" s="83"/>
      <c r="P347" s="83"/>
      <c r="Q347" s="83"/>
      <c r="R347" s="83"/>
      <c r="S347" s="83"/>
      <c r="T347" s="83"/>
      <c r="U347" s="83"/>
      <c r="V347" s="83"/>
      <c r="W347" s="83"/>
      <c r="X347" s="83"/>
      <c r="Y347" s="83"/>
      <c r="Z347" s="83"/>
      <c r="AA347" s="83"/>
      <c r="AB347" s="83"/>
      <c r="AC347" s="83"/>
      <c r="AD347" s="83"/>
      <c r="AE347" s="83"/>
      <c r="AF347" s="83"/>
      <c r="AG347" s="83"/>
      <c r="AH347" s="83"/>
      <c r="AI347" s="83"/>
      <c r="AJ347" s="83"/>
      <c r="AK347" s="83"/>
      <c r="AL347" s="83"/>
      <c r="AM347" s="83"/>
      <c r="AN347" s="83"/>
      <c r="AO347" s="83"/>
      <c r="AP347" s="83"/>
      <c r="AQ347" s="83"/>
      <c r="AR347" s="83"/>
      <c r="AS347" s="83"/>
      <c r="AT347" s="83"/>
    </row>
    <row r="348" spans="1:46" ht="13.8">
      <c r="A348" s="83"/>
      <c r="B348" s="83"/>
      <c r="C348" s="83"/>
      <c r="D348" s="83"/>
      <c r="E348" s="82"/>
      <c r="F348" s="82"/>
      <c r="G348" s="83"/>
      <c r="H348" s="83"/>
      <c r="I348" s="83"/>
      <c r="J348" s="83"/>
      <c r="K348" s="83"/>
      <c r="L348" s="83"/>
      <c r="M348" s="83"/>
      <c r="N348" s="83"/>
      <c r="O348" s="83"/>
      <c r="P348" s="83"/>
      <c r="Q348" s="83"/>
      <c r="R348" s="83"/>
      <c r="S348" s="83"/>
      <c r="T348" s="83"/>
      <c r="U348" s="83"/>
      <c r="V348" s="83"/>
      <c r="W348" s="83"/>
      <c r="X348" s="83"/>
      <c r="Y348" s="83"/>
      <c r="Z348" s="83"/>
      <c r="AA348" s="83"/>
      <c r="AB348" s="83"/>
      <c r="AC348" s="83"/>
      <c r="AD348" s="83"/>
      <c r="AE348" s="83"/>
      <c r="AF348" s="83"/>
      <c r="AG348" s="83"/>
      <c r="AH348" s="83"/>
      <c r="AI348" s="83"/>
      <c r="AJ348" s="83"/>
      <c r="AK348" s="83"/>
      <c r="AL348" s="83"/>
      <c r="AM348" s="83"/>
      <c r="AN348" s="83"/>
      <c r="AO348" s="83"/>
      <c r="AP348" s="83"/>
      <c r="AQ348" s="83"/>
      <c r="AR348" s="83"/>
      <c r="AS348" s="83"/>
      <c r="AT348" s="83"/>
    </row>
    <row r="349" spans="1:46" ht="13.8">
      <c r="A349" s="83"/>
      <c r="B349" s="83"/>
      <c r="C349" s="83"/>
      <c r="D349" s="83"/>
      <c r="E349" s="82"/>
      <c r="F349" s="82"/>
      <c r="G349" s="83"/>
      <c r="H349" s="83"/>
      <c r="I349" s="83"/>
      <c r="J349" s="83"/>
      <c r="K349" s="83"/>
      <c r="L349" s="83"/>
      <c r="M349" s="83"/>
      <c r="N349" s="83"/>
      <c r="O349" s="83"/>
      <c r="P349" s="83"/>
      <c r="Q349" s="83"/>
      <c r="R349" s="83"/>
      <c r="S349" s="83"/>
      <c r="T349" s="83"/>
      <c r="U349" s="83"/>
      <c r="V349" s="83"/>
      <c r="W349" s="83"/>
      <c r="X349" s="83"/>
      <c r="Y349" s="83"/>
      <c r="Z349" s="83"/>
      <c r="AA349" s="83"/>
      <c r="AB349" s="83"/>
      <c r="AC349" s="83"/>
      <c r="AD349" s="83"/>
      <c r="AE349" s="83"/>
      <c r="AF349" s="83"/>
      <c r="AG349" s="83"/>
      <c r="AH349" s="83"/>
      <c r="AI349" s="83"/>
      <c r="AJ349" s="83"/>
      <c r="AK349" s="83"/>
      <c r="AL349" s="83"/>
      <c r="AM349" s="83"/>
      <c r="AN349" s="83"/>
      <c r="AO349" s="83"/>
      <c r="AP349" s="83"/>
      <c r="AQ349" s="83"/>
      <c r="AR349" s="83"/>
      <c r="AS349" s="83"/>
      <c r="AT349" s="83"/>
    </row>
    <row r="350" spans="1:46" ht="13.8">
      <c r="A350" s="83"/>
      <c r="B350" s="83"/>
      <c r="C350" s="83"/>
      <c r="D350" s="83"/>
      <c r="E350" s="82"/>
      <c r="F350" s="82"/>
      <c r="G350" s="83"/>
      <c r="H350" s="83"/>
      <c r="I350" s="83"/>
      <c r="J350" s="83"/>
      <c r="K350" s="83"/>
      <c r="L350" s="83"/>
      <c r="M350" s="83"/>
      <c r="N350" s="83"/>
      <c r="O350" s="83"/>
      <c r="P350" s="83"/>
      <c r="Q350" s="83"/>
      <c r="R350" s="83"/>
      <c r="S350" s="83"/>
      <c r="T350" s="83"/>
      <c r="U350" s="83"/>
      <c r="V350" s="83"/>
      <c r="W350" s="83"/>
      <c r="X350" s="83"/>
      <c r="Y350" s="83"/>
      <c r="Z350" s="83"/>
      <c r="AA350" s="83"/>
      <c r="AB350" s="83"/>
      <c r="AC350" s="83"/>
      <c r="AD350" s="83"/>
      <c r="AE350" s="83"/>
      <c r="AF350" s="83"/>
      <c r="AG350" s="83"/>
      <c r="AH350" s="83"/>
      <c r="AI350" s="83"/>
      <c r="AJ350" s="83"/>
      <c r="AK350" s="83"/>
      <c r="AL350" s="83"/>
      <c r="AM350" s="83"/>
      <c r="AN350" s="83"/>
      <c r="AO350" s="83"/>
      <c r="AP350" s="83"/>
      <c r="AQ350" s="83"/>
      <c r="AR350" s="83"/>
      <c r="AS350" s="83"/>
      <c r="AT350" s="83"/>
    </row>
    <row r="351" spans="1:46" ht="13.8">
      <c r="A351" s="83"/>
      <c r="B351" s="83"/>
      <c r="C351" s="83"/>
      <c r="D351" s="83"/>
      <c r="E351" s="82"/>
      <c r="F351" s="82"/>
      <c r="G351" s="83"/>
      <c r="H351" s="83"/>
      <c r="I351" s="83"/>
      <c r="J351" s="83"/>
      <c r="K351" s="83"/>
      <c r="L351" s="83"/>
      <c r="M351" s="83"/>
      <c r="N351" s="83"/>
      <c r="O351" s="83"/>
      <c r="P351" s="83"/>
      <c r="Q351" s="83"/>
      <c r="R351" s="83"/>
      <c r="S351" s="83"/>
      <c r="T351" s="83"/>
      <c r="U351" s="83"/>
      <c r="V351" s="83"/>
      <c r="W351" s="83"/>
      <c r="X351" s="83"/>
      <c r="Y351" s="83"/>
      <c r="Z351" s="83"/>
      <c r="AA351" s="83"/>
      <c r="AB351" s="83"/>
      <c r="AC351" s="83"/>
      <c r="AD351" s="83"/>
      <c r="AE351" s="83"/>
      <c r="AF351" s="83"/>
      <c r="AG351" s="83"/>
      <c r="AH351" s="83"/>
      <c r="AI351" s="83"/>
      <c r="AJ351" s="83"/>
      <c r="AK351" s="83"/>
      <c r="AL351" s="83"/>
      <c r="AM351" s="83"/>
      <c r="AN351" s="83"/>
      <c r="AO351" s="83"/>
      <c r="AP351" s="83"/>
      <c r="AQ351" s="83"/>
      <c r="AR351" s="83"/>
      <c r="AS351" s="83"/>
      <c r="AT351" s="83"/>
    </row>
    <row r="352" spans="1:46" ht="13.8">
      <c r="A352" s="83"/>
      <c r="B352" s="83"/>
      <c r="C352" s="83"/>
      <c r="D352" s="83"/>
      <c r="E352" s="82"/>
      <c r="F352" s="82"/>
      <c r="G352" s="83"/>
      <c r="H352" s="83"/>
      <c r="I352" s="83"/>
      <c r="J352" s="83"/>
      <c r="K352" s="83"/>
      <c r="L352" s="83"/>
      <c r="M352" s="83"/>
      <c r="N352" s="83"/>
      <c r="O352" s="83"/>
      <c r="P352" s="83"/>
      <c r="Q352" s="83"/>
      <c r="R352" s="83"/>
      <c r="S352" s="83"/>
      <c r="T352" s="83"/>
      <c r="U352" s="83"/>
      <c r="V352" s="83"/>
      <c r="W352" s="83"/>
      <c r="X352" s="83"/>
      <c r="Y352" s="83"/>
      <c r="Z352" s="83"/>
      <c r="AA352" s="83"/>
      <c r="AB352" s="83"/>
      <c r="AC352" s="83"/>
      <c r="AD352" s="83"/>
      <c r="AE352" s="83"/>
      <c r="AF352" s="83"/>
      <c r="AG352" s="83"/>
      <c r="AH352" s="83"/>
      <c r="AI352" s="83"/>
      <c r="AJ352" s="83"/>
      <c r="AK352" s="83"/>
      <c r="AL352" s="83"/>
      <c r="AM352" s="83"/>
      <c r="AN352" s="83"/>
      <c r="AO352" s="83"/>
      <c r="AP352" s="83"/>
      <c r="AQ352" s="83"/>
      <c r="AR352" s="83"/>
      <c r="AS352" s="83"/>
      <c r="AT352" s="83"/>
    </row>
    <row r="353" spans="1:46" ht="13.8">
      <c r="A353" s="83"/>
      <c r="B353" s="83"/>
      <c r="C353" s="83"/>
      <c r="D353" s="83"/>
      <c r="E353" s="82"/>
      <c r="F353" s="82"/>
      <c r="G353" s="83"/>
      <c r="H353" s="83"/>
      <c r="I353" s="83"/>
      <c r="J353" s="83"/>
      <c r="K353" s="83"/>
      <c r="L353" s="83"/>
      <c r="M353" s="83"/>
      <c r="N353" s="83"/>
      <c r="O353" s="83"/>
      <c r="P353" s="83"/>
      <c r="Q353" s="83"/>
      <c r="R353" s="83"/>
      <c r="S353" s="83"/>
      <c r="T353" s="83"/>
      <c r="U353" s="83"/>
      <c r="V353" s="83"/>
      <c r="W353" s="83"/>
      <c r="X353" s="83"/>
      <c r="Y353" s="83"/>
      <c r="Z353" s="83"/>
      <c r="AA353" s="83"/>
      <c r="AB353" s="83"/>
      <c r="AC353" s="83"/>
      <c r="AD353" s="83"/>
      <c r="AE353" s="83"/>
      <c r="AF353" s="83"/>
      <c r="AG353" s="83"/>
      <c r="AH353" s="83"/>
      <c r="AI353" s="83"/>
      <c r="AJ353" s="83"/>
      <c r="AK353" s="83"/>
      <c r="AL353" s="83"/>
      <c r="AM353" s="83"/>
      <c r="AN353" s="83"/>
      <c r="AO353" s="83"/>
      <c r="AP353" s="83"/>
      <c r="AQ353" s="83"/>
      <c r="AR353" s="83"/>
      <c r="AS353" s="83"/>
      <c r="AT353" s="83"/>
    </row>
    <row r="354" spans="1:46" ht="13.8">
      <c r="A354" s="83"/>
      <c r="B354" s="83"/>
      <c r="C354" s="83"/>
      <c r="D354" s="83"/>
      <c r="E354" s="82"/>
      <c r="F354" s="82"/>
      <c r="G354" s="83"/>
      <c r="H354" s="83"/>
      <c r="I354" s="83"/>
      <c r="J354" s="83"/>
      <c r="K354" s="83"/>
      <c r="L354" s="83"/>
      <c r="M354" s="83"/>
      <c r="N354" s="83"/>
      <c r="O354" s="83"/>
      <c r="P354" s="83"/>
      <c r="Q354" s="83"/>
      <c r="R354" s="83"/>
      <c r="S354" s="83"/>
      <c r="T354" s="83"/>
      <c r="U354" s="83"/>
      <c r="V354" s="83"/>
      <c r="W354" s="83"/>
      <c r="X354" s="83"/>
      <c r="Y354" s="83"/>
      <c r="Z354" s="83"/>
      <c r="AA354" s="83"/>
      <c r="AB354" s="83"/>
      <c r="AC354" s="83"/>
      <c r="AD354" s="83"/>
      <c r="AE354" s="83"/>
      <c r="AF354" s="83"/>
      <c r="AG354" s="83"/>
      <c r="AH354" s="83"/>
      <c r="AI354" s="83"/>
      <c r="AJ354" s="83"/>
      <c r="AK354" s="83"/>
      <c r="AL354" s="83"/>
      <c r="AM354" s="83"/>
      <c r="AN354" s="83"/>
      <c r="AO354" s="83"/>
      <c r="AP354" s="83"/>
      <c r="AQ354" s="83"/>
      <c r="AR354" s="83"/>
      <c r="AS354" s="83"/>
      <c r="AT354" s="83"/>
    </row>
    <row r="355" spans="1:46" ht="13.8">
      <c r="A355" s="83"/>
      <c r="B355" s="83"/>
      <c r="C355" s="83"/>
      <c r="D355" s="83"/>
      <c r="E355" s="82"/>
      <c r="F355" s="82"/>
      <c r="G355" s="83"/>
      <c r="H355" s="83"/>
      <c r="I355" s="83"/>
      <c r="J355" s="83"/>
      <c r="K355" s="83"/>
      <c r="L355" s="83"/>
      <c r="M355" s="83"/>
      <c r="N355" s="83"/>
      <c r="O355" s="83"/>
      <c r="P355" s="83"/>
      <c r="Q355" s="83"/>
      <c r="R355" s="83"/>
      <c r="S355" s="83"/>
      <c r="T355" s="83"/>
      <c r="U355" s="83"/>
      <c r="V355" s="83"/>
      <c r="W355" s="83"/>
      <c r="X355" s="83"/>
      <c r="Y355" s="83"/>
      <c r="Z355" s="83"/>
      <c r="AA355" s="83"/>
      <c r="AB355" s="83"/>
      <c r="AC355" s="83"/>
      <c r="AD355" s="83"/>
      <c r="AE355" s="83"/>
      <c r="AF355" s="83"/>
      <c r="AG355" s="83"/>
      <c r="AH355" s="83"/>
      <c r="AI355" s="83"/>
      <c r="AJ355" s="83"/>
      <c r="AK355" s="83"/>
      <c r="AL355" s="83"/>
      <c r="AM355" s="83"/>
      <c r="AN355" s="83"/>
      <c r="AO355" s="83"/>
      <c r="AP355" s="83"/>
      <c r="AQ355" s="83"/>
      <c r="AR355" s="83"/>
      <c r="AS355" s="83"/>
      <c r="AT355" s="83"/>
    </row>
    <row r="356" spans="1:46" ht="13.8">
      <c r="A356" s="83"/>
      <c r="B356" s="83"/>
      <c r="C356" s="83"/>
      <c r="D356" s="83"/>
      <c r="E356" s="82"/>
      <c r="F356" s="82"/>
      <c r="G356" s="83"/>
      <c r="H356" s="83"/>
      <c r="I356" s="83"/>
      <c r="J356" s="83"/>
      <c r="K356" s="83"/>
      <c r="L356" s="83"/>
      <c r="M356" s="83"/>
      <c r="N356" s="83"/>
      <c r="O356" s="83"/>
      <c r="P356" s="83"/>
      <c r="Q356" s="83"/>
      <c r="R356" s="83"/>
      <c r="S356" s="83"/>
      <c r="T356" s="83"/>
      <c r="U356" s="83"/>
      <c r="V356" s="83"/>
      <c r="W356" s="83"/>
      <c r="X356" s="83"/>
      <c r="Y356" s="83"/>
      <c r="Z356" s="83"/>
      <c r="AA356" s="83"/>
      <c r="AB356" s="83"/>
      <c r="AC356" s="83"/>
      <c r="AD356" s="83"/>
      <c r="AE356" s="83"/>
      <c r="AF356" s="83"/>
      <c r="AG356" s="83"/>
      <c r="AH356" s="83"/>
      <c r="AI356" s="83"/>
      <c r="AJ356" s="83"/>
      <c r="AK356" s="83"/>
      <c r="AL356" s="83"/>
      <c r="AM356" s="83"/>
      <c r="AN356" s="83"/>
      <c r="AO356" s="83"/>
      <c r="AP356" s="83"/>
      <c r="AQ356" s="83"/>
      <c r="AR356" s="83"/>
      <c r="AS356" s="83"/>
      <c r="AT356" s="83"/>
    </row>
    <row r="357" spans="1:46" ht="13.8">
      <c r="A357" s="83"/>
      <c r="B357" s="83"/>
      <c r="C357" s="83"/>
      <c r="D357" s="83"/>
      <c r="E357" s="82"/>
      <c r="F357" s="82"/>
      <c r="G357" s="83"/>
      <c r="H357" s="83"/>
      <c r="I357" s="83"/>
      <c r="J357" s="83"/>
      <c r="K357" s="83"/>
      <c r="L357" s="83"/>
      <c r="M357" s="83"/>
      <c r="N357" s="83"/>
      <c r="O357" s="83"/>
      <c r="P357" s="83"/>
      <c r="Q357" s="83"/>
      <c r="R357" s="83"/>
      <c r="S357" s="83"/>
      <c r="T357" s="83"/>
      <c r="U357" s="83"/>
      <c r="V357" s="83"/>
      <c r="W357" s="83"/>
      <c r="X357" s="83"/>
      <c r="Y357" s="83"/>
      <c r="Z357" s="83"/>
      <c r="AA357" s="83"/>
      <c r="AB357" s="83"/>
      <c r="AC357" s="83"/>
      <c r="AD357" s="83"/>
      <c r="AE357" s="83"/>
      <c r="AF357" s="83"/>
      <c r="AG357" s="83"/>
      <c r="AH357" s="83"/>
      <c r="AI357" s="83"/>
      <c r="AJ357" s="83"/>
      <c r="AK357" s="83"/>
      <c r="AL357" s="83"/>
      <c r="AM357" s="83"/>
      <c r="AN357" s="83"/>
      <c r="AO357" s="83"/>
      <c r="AP357" s="83"/>
      <c r="AQ357" s="83"/>
      <c r="AR357" s="83"/>
      <c r="AS357" s="83"/>
      <c r="AT357" s="83"/>
    </row>
    <row r="358" spans="1:46" ht="13.8">
      <c r="A358" s="83"/>
      <c r="B358" s="83"/>
      <c r="C358" s="83"/>
      <c r="D358" s="83"/>
      <c r="E358" s="82"/>
      <c r="F358" s="82"/>
      <c r="G358" s="83"/>
      <c r="H358" s="83"/>
      <c r="I358" s="83"/>
      <c r="J358" s="83"/>
      <c r="K358" s="83"/>
      <c r="L358" s="83"/>
      <c r="M358" s="83"/>
      <c r="N358" s="83"/>
      <c r="O358" s="83"/>
      <c r="P358" s="83"/>
      <c r="Q358" s="83"/>
      <c r="R358" s="83"/>
      <c r="S358" s="83"/>
      <c r="T358" s="83"/>
      <c r="U358" s="83"/>
      <c r="V358" s="83"/>
      <c r="W358" s="83"/>
      <c r="X358" s="83"/>
      <c r="Y358" s="83"/>
      <c r="Z358" s="83"/>
      <c r="AA358" s="83"/>
      <c r="AB358" s="83"/>
      <c r="AC358" s="83"/>
      <c r="AD358" s="83"/>
      <c r="AE358" s="83"/>
      <c r="AF358" s="83"/>
      <c r="AG358" s="83"/>
      <c r="AH358" s="83"/>
      <c r="AI358" s="83"/>
      <c r="AJ358" s="83"/>
      <c r="AK358" s="83"/>
      <c r="AL358" s="83"/>
      <c r="AM358" s="83"/>
      <c r="AN358" s="83"/>
      <c r="AO358" s="83"/>
      <c r="AP358" s="83"/>
      <c r="AQ358" s="83"/>
      <c r="AR358" s="83"/>
      <c r="AS358" s="83"/>
      <c r="AT358" s="83"/>
    </row>
    <row r="359" spans="1:46" ht="13.8">
      <c r="A359" s="83"/>
      <c r="B359" s="83"/>
      <c r="C359" s="83"/>
      <c r="D359" s="83"/>
      <c r="E359" s="82"/>
      <c r="F359" s="82"/>
      <c r="G359" s="83"/>
      <c r="H359" s="83"/>
      <c r="I359" s="83"/>
      <c r="J359" s="83"/>
      <c r="K359" s="83"/>
      <c r="L359" s="83"/>
      <c r="M359" s="83"/>
      <c r="N359" s="83"/>
      <c r="O359" s="83"/>
      <c r="P359" s="83"/>
      <c r="Q359" s="83"/>
      <c r="R359" s="83"/>
      <c r="S359" s="83"/>
      <c r="T359" s="83"/>
      <c r="U359" s="83"/>
      <c r="V359" s="83"/>
      <c r="W359" s="83"/>
      <c r="X359" s="83"/>
      <c r="Y359" s="83"/>
      <c r="Z359" s="83"/>
      <c r="AA359" s="83"/>
      <c r="AB359" s="83"/>
      <c r="AC359" s="83"/>
      <c r="AD359" s="83"/>
      <c r="AE359" s="83"/>
      <c r="AF359" s="83"/>
      <c r="AG359" s="83"/>
      <c r="AH359" s="83"/>
      <c r="AI359" s="83"/>
      <c r="AJ359" s="83"/>
      <c r="AK359" s="83"/>
      <c r="AL359" s="83"/>
      <c r="AM359" s="83"/>
      <c r="AN359" s="83"/>
      <c r="AO359" s="83"/>
      <c r="AP359" s="83"/>
      <c r="AQ359" s="83"/>
      <c r="AR359" s="83"/>
      <c r="AS359" s="83"/>
      <c r="AT359" s="83"/>
    </row>
    <row r="360" spans="1:46" ht="13.8">
      <c r="A360" s="83"/>
      <c r="B360" s="83"/>
      <c r="C360" s="83"/>
      <c r="D360" s="83"/>
      <c r="E360" s="82"/>
      <c r="F360" s="82"/>
      <c r="G360" s="83"/>
      <c r="H360" s="83"/>
      <c r="I360" s="83"/>
      <c r="J360" s="83"/>
      <c r="K360" s="83"/>
      <c r="L360" s="83"/>
      <c r="M360" s="83"/>
      <c r="N360" s="83"/>
      <c r="O360" s="83"/>
      <c r="P360" s="83"/>
      <c r="Q360" s="83"/>
      <c r="R360" s="83"/>
      <c r="S360" s="83"/>
      <c r="T360" s="83"/>
      <c r="U360" s="83"/>
      <c r="V360" s="83"/>
      <c r="W360" s="83"/>
      <c r="X360" s="83"/>
      <c r="Y360" s="83"/>
      <c r="Z360" s="83"/>
      <c r="AA360" s="83"/>
      <c r="AB360" s="83"/>
      <c r="AC360" s="83"/>
      <c r="AD360" s="83"/>
      <c r="AE360" s="83"/>
      <c r="AF360" s="83"/>
      <c r="AG360" s="83"/>
      <c r="AH360" s="83"/>
      <c r="AI360" s="83"/>
      <c r="AJ360" s="83"/>
      <c r="AK360" s="83"/>
      <c r="AL360" s="83"/>
      <c r="AM360" s="83"/>
      <c r="AN360" s="83"/>
      <c r="AO360" s="83"/>
      <c r="AP360" s="83"/>
      <c r="AQ360" s="83"/>
      <c r="AR360" s="83"/>
      <c r="AS360" s="83"/>
      <c r="AT360" s="83"/>
    </row>
    <row r="361" spans="1:46" ht="13.8">
      <c r="A361" s="83"/>
      <c r="B361" s="83"/>
      <c r="C361" s="83"/>
      <c r="D361" s="83"/>
      <c r="E361" s="82"/>
      <c r="F361" s="82"/>
      <c r="G361" s="83"/>
      <c r="H361" s="83"/>
      <c r="I361" s="83"/>
      <c r="J361" s="83"/>
      <c r="K361" s="83"/>
      <c r="L361" s="83"/>
      <c r="M361" s="83"/>
      <c r="N361" s="83"/>
      <c r="O361" s="83"/>
      <c r="P361" s="83"/>
      <c r="Q361" s="83"/>
      <c r="R361" s="83"/>
      <c r="S361" s="83"/>
      <c r="T361" s="83"/>
      <c r="U361" s="83"/>
      <c r="V361" s="83"/>
      <c r="W361" s="83"/>
      <c r="X361" s="83"/>
      <c r="Y361" s="83"/>
      <c r="Z361" s="83"/>
      <c r="AA361" s="83"/>
      <c r="AB361" s="83"/>
      <c r="AC361" s="83"/>
      <c r="AD361" s="83"/>
      <c r="AE361" s="83"/>
      <c r="AF361" s="83"/>
      <c r="AG361" s="83"/>
      <c r="AH361" s="83"/>
      <c r="AI361" s="83"/>
      <c r="AJ361" s="83"/>
      <c r="AK361" s="83"/>
      <c r="AL361" s="83"/>
      <c r="AM361" s="83"/>
      <c r="AN361" s="83"/>
      <c r="AO361" s="83"/>
      <c r="AP361" s="83"/>
      <c r="AQ361" s="83"/>
      <c r="AR361" s="83"/>
      <c r="AS361" s="83"/>
      <c r="AT361" s="83"/>
    </row>
    <row r="362" spans="1:46" ht="13.8">
      <c r="A362" s="83"/>
      <c r="B362" s="83"/>
      <c r="C362" s="83"/>
      <c r="D362" s="83"/>
      <c r="E362" s="82"/>
      <c r="F362" s="82"/>
      <c r="G362" s="83"/>
      <c r="H362" s="83"/>
      <c r="I362" s="83"/>
      <c r="J362" s="83"/>
      <c r="K362" s="83"/>
      <c r="L362" s="83"/>
      <c r="M362" s="83"/>
      <c r="N362" s="83"/>
      <c r="O362" s="83"/>
      <c r="P362" s="83"/>
      <c r="Q362" s="83"/>
      <c r="R362" s="83"/>
      <c r="S362" s="83"/>
      <c r="T362" s="83"/>
      <c r="U362" s="83"/>
      <c r="V362" s="83"/>
      <c r="W362" s="83"/>
      <c r="X362" s="83"/>
      <c r="Y362" s="83"/>
      <c r="Z362" s="83"/>
      <c r="AA362" s="83"/>
      <c r="AB362" s="83"/>
      <c r="AC362" s="83"/>
      <c r="AD362" s="83"/>
      <c r="AE362" s="83"/>
      <c r="AF362" s="83"/>
      <c r="AG362" s="83"/>
      <c r="AH362" s="83"/>
      <c r="AI362" s="83"/>
      <c r="AJ362" s="83"/>
      <c r="AK362" s="83"/>
      <c r="AL362" s="83"/>
      <c r="AM362" s="83"/>
      <c r="AN362" s="83"/>
      <c r="AO362" s="83"/>
      <c r="AP362" s="83"/>
      <c r="AQ362" s="83"/>
      <c r="AR362" s="83"/>
      <c r="AS362" s="83"/>
      <c r="AT362" s="83"/>
    </row>
    <row r="363" spans="1:46" ht="13.8">
      <c r="A363" s="83"/>
      <c r="B363" s="83"/>
      <c r="C363" s="83"/>
      <c r="D363" s="83"/>
      <c r="E363" s="82"/>
      <c r="F363" s="82"/>
      <c r="G363" s="83"/>
      <c r="H363" s="83"/>
      <c r="I363" s="83"/>
      <c r="J363" s="83"/>
      <c r="K363" s="83"/>
      <c r="L363" s="83"/>
      <c r="M363" s="83"/>
      <c r="N363" s="83"/>
      <c r="O363" s="83"/>
      <c r="P363" s="83"/>
      <c r="Q363" s="83"/>
      <c r="R363" s="83"/>
      <c r="S363" s="83"/>
      <c r="T363" s="83"/>
      <c r="U363" s="83"/>
      <c r="V363" s="83"/>
      <c r="W363" s="83"/>
      <c r="X363" s="83"/>
      <c r="Y363" s="83"/>
      <c r="Z363" s="83"/>
      <c r="AA363" s="83"/>
      <c r="AB363" s="83"/>
      <c r="AC363" s="83"/>
      <c r="AD363" s="83"/>
      <c r="AE363" s="83"/>
      <c r="AF363" s="83"/>
      <c r="AG363" s="83"/>
      <c r="AH363" s="83"/>
      <c r="AI363" s="83"/>
      <c r="AJ363" s="83"/>
      <c r="AK363" s="83"/>
      <c r="AL363" s="83"/>
      <c r="AM363" s="83"/>
      <c r="AN363" s="83"/>
      <c r="AO363" s="83"/>
      <c r="AP363" s="83"/>
      <c r="AQ363" s="83"/>
      <c r="AR363" s="83"/>
      <c r="AS363" s="83"/>
      <c r="AT363" s="83"/>
    </row>
    <row r="364" spans="1:46" ht="13.8">
      <c r="A364" s="83"/>
      <c r="B364" s="83"/>
      <c r="C364" s="83"/>
      <c r="D364" s="83"/>
      <c r="E364" s="82"/>
      <c r="F364" s="82"/>
      <c r="G364" s="83"/>
      <c r="H364" s="83"/>
      <c r="I364" s="83"/>
      <c r="J364" s="83"/>
      <c r="K364" s="83"/>
      <c r="L364" s="83"/>
      <c r="M364" s="83"/>
      <c r="N364" s="83"/>
      <c r="O364" s="83"/>
      <c r="P364" s="83"/>
      <c r="Q364" s="83"/>
      <c r="R364" s="83"/>
      <c r="S364" s="83"/>
      <c r="T364" s="83"/>
      <c r="U364" s="83"/>
      <c r="V364" s="83"/>
      <c r="W364" s="83"/>
      <c r="X364" s="83"/>
      <c r="Y364" s="83"/>
      <c r="Z364" s="83"/>
      <c r="AA364" s="83"/>
      <c r="AB364" s="83"/>
      <c r="AC364" s="83"/>
      <c r="AD364" s="83"/>
      <c r="AE364" s="83"/>
      <c r="AF364" s="83"/>
      <c r="AG364" s="83"/>
      <c r="AH364" s="83"/>
      <c r="AI364" s="83"/>
      <c r="AJ364" s="83"/>
      <c r="AK364" s="83"/>
      <c r="AL364" s="83"/>
      <c r="AM364" s="83"/>
      <c r="AN364" s="83"/>
      <c r="AO364" s="83"/>
      <c r="AP364" s="83"/>
      <c r="AQ364" s="83"/>
      <c r="AR364" s="83"/>
      <c r="AS364" s="83"/>
      <c r="AT364" s="83"/>
    </row>
    <row r="365" spans="1:46" ht="13.8">
      <c r="A365" s="83"/>
      <c r="B365" s="83"/>
      <c r="C365" s="83"/>
      <c r="D365" s="83"/>
      <c r="E365" s="82"/>
      <c r="F365" s="82"/>
      <c r="G365" s="83"/>
      <c r="H365" s="83"/>
      <c r="I365" s="83"/>
      <c r="J365" s="83"/>
      <c r="K365" s="83"/>
      <c r="L365" s="83"/>
      <c r="M365" s="83"/>
      <c r="N365" s="83"/>
      <c r="O365" s="83"/>
      <c r="P365" s="83"/>
      <c r="Q365" s="83"/>
      <c r="R365" s="83"/>
      <c r="S365" s="83"/>
      <c r="T365" s="83"/>
      <c r="U365" s="83"/>
      <c r="V365" s="83"/>
      <c r="W365" s="83"/>
      <c r="X365" s="83"/>
      <c r="Y365" s="83"/>
      <c r="Z365" s="83"/>
      <c r="AA365" s="83"/>
      <c r="AB365" s="83"/>
      <c r="AC365" s="83"/>
      <c r="AD365" s="83"/>
      <c r="AE365" s="83"/>
      <c r="AF365" s="83"/>
      <c r="AG365" s="83"/>
      <c r="AH365" s="83"/>
      <c r="AI365" s="83"/>
      <c r="AJ365" s="83"/>
      <c r="AK365" s="83"/>
      <c r="AL365" s="83"/>
      <c r="AM365" s="83"/>
      <c r="AN365" s="83"/>
      <c r="AO365" s="83"/>
      <c r="AP365" s="83"/>
      <c r="AQ365" s="83"/>
      <c r="AR365" s="83"/>
      <c r="AS365" s="83"/>
      <c r="AT365" s="83"/>
    </row>
    <row r="366" spans="1:46" ht="13.8">
      <c r="A366" s="83"/>
      <c r="B366" s="83"/>
      <c r="C366" s="83"/>
      <c r="D366" s="83"/>
      <c r="E366" s="82"/>
      <c r="F366" s="82"/>
      <c r="G366" s="83"/>
      <c r="H366" s="83"/>
      <c r="I366" s="83"/>
      <c r="J366" s="83"/>
      <c r="K366" s="83"/>
      <c r="L366" s="83"/>
      <c r="M366" s="83"/>
      <c r="N366" s="83"/>
      <c r="O366" s="83"/>
      <c r="P366" s="83"/>
      <c r="Q366" s="83"/>
      <c r="R366" s="83"/>
      <c r="S366" s="83"/>
      <c r="T366" s="83"/>
      <c r="U366" s="83"/>
      <c r="V366" s="83"/>
      <c r="W366" s="83"/>
      <c r="X366" s="83"/>
      <c r="Y366" s="83"/>
      <c r="Z366" s="83"/>
      <c r="AA366" s="83"/>
      <c r="AB366" s="83"/>
      <c r="AC366" s="83"/>
      <c r="AD366" s="83"/>
      <c r="AE366" s="83"/>
      <c r="AF366" s="83"/>
      <c r="AG366" s="83"/>
      <c r="AH366" s="83"/>
      <c r="AI366" s="83"/>
      <c r="AJ366" s="83"/>
      <c r="AK366" s="83"/>
      <c r="AL366" s="83"/>
      <c r="AM366" s="83"/>
      <c r="AN366" s="83"/>
      <c r="AO366" s="83"/>
      <c r="AP366" s="83"/>
      <c r="AQ366" s="83"/>
      <c r="AR366" s="83"/>
      <c r="AS366" s="83"/>
      <c r="AT366" s="83"/>
    </row>
    <row r="367" spans="1:46" ht="13.8">
      <c r="A367" s="83"/>
      <c r="B367" s="83"/>
      <c r="C367" s="83"/>
      <c r="D367" s="83"/>
      <c r="E367" s="82"/>
      <c r="F367" s="82"/>
      <c r="G367" s="83"/>
      <c r="H367" s="83"/>
      <c r="I367" s="83"/>
      <c r="J367" s="83"/>
      <c r="K367" s="83"/>
      <c r="L367" s="83"/>
      <c r="M367" s="83"/>
      <c r="N367" s="83"/>
      <c r="O367" s="83"/>
      <c r="P367" s="83"/>
      <c r="Q367" s="83"/>
      <c r="R367" s="83"/>
      <c r="S367" s="83"/>
      <c r="T367" s="83"/>
      <c r="U367" s="83"/>
      <c r="V367" s="83"/>
      <c r="W367" s="83"/>
      <c r="X367" s="83"/>
      <c r="Y367" s="83"/>
      <c r="Z367" s="83"/>
      <c r="AA367" s="83"/>
      <c r="AB367" s="83"/>
      <c r="AC367" s="83"/>
      <c r="AD367" s="83"/>
      <c r="AE367" s="83"/>
      <c r="AF367" s="83"/>
      <c r="AG367" s="83"/>
      <c r="AH367" s="83"/>
      <c r="AI367" s="83"/>
      <c r="AJ367" s="83"/>
      <c r="AK367" s="83"/>
      <c r="AL367" s="83"/>
      <c r="AM367" s="83"/>
      <c r="AN367" s="83"/>
      <c r="AO367" s="83"/>
      <c r="AP367" s="83"/>
      <c r="AQ367" s="83"/>
      <c r="AR367" s="83"/>
      <c r="AS367" s="83"/>
      <c r="AT367" s="83"/>
    </row>
    <row r="368" spans="1:46" ht="13.8">
      <c r="A368" s="83"/>
      <c r="B368" s="83"/>
      <c r="C368" s="83"/>
      <c r="D368" s="83"/>
      <c r="E368" s="82"/>
      <c r="F368" s="82"/>
      <c r="G368" s="83"/>
      <c r="H368" s="83"/>
      <c r="I368" s="83"/>
      <c r="J368" s="83"/>
      <c r="K368" s="83"/>
      <c r="L368" s="83"/>
      <c r="M368" s="83"/>
      <c r="N368" s="83"/>
      <c r="O368" s="83"/>
      <c r="P368" s="83"/>
      <c r="Q368" s="83"/>
      <c r="R368" s="83"/>
      <c r="S368" s="83"/>
      <c r="T368" s="83"/>
      <c r="U368" s="83"/>
      <c r="V368" s="83"/>
      <c r="W368" s="83"/>
      <c r="X368" s="83"/>
      <c r="Y368" s="83"/>
      <c r="Z368" s="83"/>
      <c r="AA368" s="83"/>
      <c r="AB368" s="83"/>
      <c r="AC368" s="83"/>
      <c r="AD368" s="83"/>
      <c r="AE368" s="83"/>
      <c r="AF368" s="83"/>
      <c r="AG368" s="83"/>
      <c r="AH368" s="83"/>
      <c r="AI368" s="83"/>
      <c r="AJ368" s="83"/>
      <c r="AK368" s="83"/>
      <c r="AL368" s="83"/>
      <c r="AM368" s="83"/>
      <c r="AN368" s="83"/>
      <c r="AO368" s="83"/>
      <c r="AP368" s="83"/>
      <c r="AQ368" s="83"/>
      <c r="AR368" s="83"/>
      <c r="AS368" s="83"/>
      <c r="AT368" s="83"/>
    </row>
    <row r="369" spans="1:46" ht="13.8">
      <c r="A369" s="83"/>
      <c r="B369" s="83"/>
      <c r="C369" s="83"/>
      <c r="D369" s="83"/>
      <c r="E369" s="82"/>
      <c r="F369" s="82"/>
      <c r="G369" s="83"/>
      <c r="H369" s="83"/>
      <c r="I369" s="83"/>
      <c r="J369" s="83"/>
      <c r="K369" s="83"/>
      <c r="L369" s="83"/>
      <c r="M369" s="83"/>
      <c r="N369" s="83"/>
      <c r="O369" s="83"/>
      <c r="P369" s="83"/>
      <c r="Q369" s="83"/>
      <c r="R369" s="83"/>
      <c r="S369" s="83"/>
      <c r="T369" s="83"/>
      <c r="U369" s="83"/>
      <c r="V369" s="83"/>
      <c r="W369" s="83"/>
      <c r="X369" s="83"/>
      <c r="Y369" s="83"/>
      <c r="Z369" s="83"/>
      <c r="AA369" s="83"/>
      <c r="AB369" s="83"/>
      <c r="AC369" s="83"/>
      <c r="AD369" s="83"/>
      <c r="AE369" s="83"/>
      <c r="AF369" s="83"/>
      <c r="AG369" s="83"/>
      <c r="AH369" s="83"/>
      <c r="AI369" s="83"/>
      <c r="AJ369" s="83"/>
      <c r="AK369" s="83"/>
      <c r="AL369" s="83"/>
      <c r="AM369" s="83"/>
      <c r="AN369" s="83"/>
      <c r="AO369" s="83"/>
      <c r="AP369" s="83"/>
      <c r="AQ369" s="83"/>
      <c r="AR369" s="83"/>
      <c r="AS369" s="83"/>
      <c r="AT369" s="83"/>
    </row>
    <row r="370" spans="1:46" ht="13.8">
      <c r="A370" s="83"/>
      <c r="B370" s="83"/>
      <c r="C370" s="83"/>
      <c r="D370" s="83"/>
      <c r="E370" s="82"/>
      <c r="F370" s="82"/>
      <c r="G370" s="83"/>
      <c r="H370" s="83"/>
      <c r="I370" s="83"/>
      <c r="J370" s="83"/>
      <c r="K370" s="83"/>
      <c r="L370" s="83"/>
      <c r="M370" s="83"/>
      <c r="N370" s="83"/>
      <c r="O370" s="83"/>
      <c r="P370" s="83"/>
      <c r="Q370" s="83"/>
      <c r="R370" s="83"/>
      <c r="S370" s="83"/>
      <c r="T370" s="83"/>
      <c r="U370" s="83"/>
      <c r="V370" s="83"/>
      <c r="W370" s="83"/>
      <c r="X370" s="83"/>
      <c r="Y370" s="83"/>
      <c r="Z370" s="83"/>
      <c r="AA370" s="83"/>
      <c r="AB370" s="83"/>
      <c r="AC370" s="83"/>
      <c r="AD370" s="83"/>
      <c r="AE370" s="83"/>
      <c r="AF370" s="83"/>
      <c r="AG370" s="83"/>
      <c r="AH370" s="83"/>
      <c r="AI370" s="83"/>
      <c r="AJ370" s="83"/>
      <c r="AK370" s="83"/>
      <c r="AL370" s="83"/>
      <c r="AM370" s="83"/>
      <c r="AN370" s="83"/>
      <c r="AO370" s="83"/>
      <c r="AP370" s="83"/>
      <c r="AQ370" s="83"/>
      <c r="AR370" s="83"/>
      <c r="AS370" s="83"/>
      <c r="AT370" s="83"/>
    </row>
    <row r="371" spans="1:46" ht="13.8">
      <c r="A371" s="83"/>
      <c r="B371" s="83"/>
      <c r="C371" s="83"/>
      <c r="D371" s="83"/>
      <c r="E371" s="82"/>
      <c r="F371" s="82"/>
      <c r="G371" s="83"/>
      <c r="H371" s="83"/>
      <c r="I371" s="83"/>
      <c r="J371" s="83"/>
      <c r="K371" s="83"/>
      <c r="L371" s="83"/>
      <c r="M371" s="83"/>
      <c r="N371" s="83"/>
      <c r="O371" s="83"/>
      <c r="P371" s="83"/>
      <c r="Q371" s="83"/>
      <c r="R371" s="83"/>
      <c r="S371" s="83"/>
      <c r="T371" s="83"/>
      <c r="U371" s="83"/>
      <c r="V371" s="83"/>
      <c r="W371" s="83"/>
      <c r="X371" s="83"/>
      <c r="Y371" s="83"/>
      <c r="Z371" s="83"/>
      <c r="AA371" s="83"/>
      <c r="AB371" s="83"/>
      <c r="AC371" s="83"/>
      <c r="AD371" s="83"/>
      <c r="AE371" s="83"/>
      <c r="AF371" s="83"/>
      <c r="AG371" s="83"/>
      <c r="AH371" s="83"/>
      <c r="AI371" s="83"/>
      <c r="AJ371" s="83"/>
      <c r="AK371" s="83"/>
      <c r="AL371" s="83"/>
      <c r="AM371" s="83"/>
      <c r="AN371" s="83"/>
      <c r="AO371" s="83"/>
      <c r="AP371" s="83"/>
      <c r="AQ371" s="83"/>
      <c r="AR371" s="83"/>
      <c r="AS371" s="83"/>
      <c r="AT371" s="83"/>
    </row>
    <row r="372" spans="1:46" ht="13.8">
      <c r="A372" s="83"/>
      <c r="B372" s="83"/>
      <c r="C372" s="83"/>
      <c r="D372" s="83"/>
      <c r="E372" s="82"/>
      <c r="F372" s="82"/>
      <c r="G372" s="83"/>
      <c r="H372" s="83"/>
      <c r="I372" s="83"/>
      <c r="J372" s="83"/>
      <c r="K372" s="83"/>
      <c r="L372" s="83"/>
      <c r="M372" s="83"/>
      <c r="N372" s="83"/>
      <c r="O372" s="83"/>
      <c r="P372" s="83"/>
      <c r="Q372" s="83"/>
      <c r="R372" s="83"/>
      <c r="S372" s="83"/>
      <c r="T372" s="83"/>
      <c r="U372" s="83"/>
      <c r="V372" s="83"/>
      <c r="W372" s="83"/>
      <c r="X372" s="83"/>
      <c r="Y372" s="83"/>
      <c r="Z372" s="83"/>
      <c r="AA372" s="83"/>
      <c r="AB372" s="83"/>
      <c r="AC372" s="83"/>
      <c r="AD372" s="83"/>
      <c r="AE372" s="83"/>
      <c r="AF372" s="83"/>
      <c r="AG372" s="83"/>
      <c r="AH372" s="83"/>
      <c r="AI372" s="83"/>
      <c r="AJ372" s="83"/>
      <c r="AK372" s="83"/>
      <c r="AL372" s="83"/>
      <c r="AM372" s="83"/>
      <c r="AN372" s="83"/>
      <c r="AO372" s="83"/>
      <c r="AP372" s="83"/>
      <c r="AQ372" s="83"/>
      <c r="AR372" s="83"/>
      <c r="AS372" s="83"/>
      <c r="AT372" s="83"/>
    </row>
    <row r="373" spans="1:46" ht="13.8">
      <c r="A373" s="83"/>
      <c r="B373" s="83"/>
      <c r="C373" s="83"/>
      <c r="D373" s="83"/>
      <c r="E373" s="82"/>
      <c r="F373" s="82"/>
      <c r="G373" s="83"/>
      <c r="H373" s="83"/>
      <c r="I373" s="83"/>
      <c r="J373" s="83"/>
      <c r="K373" s="83"/>
      <c r="L373" s="83"/>
      <c r="M373" s="83"/>
      <c r="N373" s="83"/>
      <c r="O373" s="83"/>
      <c r="P373" s="83"/>
      <c r="Q373" s="83"/>
      <c r="R373" s="83"/>
      <c r="S373" s="83"/>
      <c r="T373" s="83"/>
      <c r="U373" s="83"/>
      <c r="V373" s="83"/>
      <c r="W373" s="83"/>
      <c r="X373" s="83"/>
      <c r="Y373" s="83"/>
      <c r="Z373" s="83"/>
      <c r="AA373" s="83"/>
      <c r="AB373" s="83"/>
      <c r="AC373" s="83"/>
      <c r="AD373" s="83"/>
      <c r="AE373" s="83"/>
      <c r="AF373" s="83"/>
      <c r="AG373" s="83"/>
      <c r="AH373" s="83"/>
      <c r="AI373" s="83"/>
      <c r="AJ373" s="83"/>
      <c r="AK373" s="83"/>
      <c r="AL373" s="83"/>
      <c r="AM373" s="83"/>
      <c r="AN373" s="83"/>
      <c r="AO373" s="83"/>
      <c r="AP373" s="83"/>
      <c r="AQ373" s="83"/>
      <c r="AR373" s="83"/>
      <c r="AS373" s="83"/>
      <c r="AT373" s="83"/>
    </row>
    <row r="374" spans="1:46" ht="13.8">
      <c r="A374" s="83"/>
      <c r="B374" s="83"/>
      <c r="C374" s="83"/>
      <c r="D374" s="83"/>
      <c r="E374" s="82"/>
      <c r="F374" s="82"/>
      <c r="G374" s="83"/>
      <c r="H374" s="83"/>
      <c r="I374" s="83"/>
      <c r="J374" s="83"/>
      <c r="K374" s="83"/>
      <c r="L374" s="83"/>
      <c r="M374" s="83"/>
      <c r="N374" s="83"/>
      <c r="O374" s="83"/>
      <c r="P374" s="83"/>
      <c r="Q374" s="83"/>
      <c r="R374" s="83"/>
      <c r="S374" s="83"/>
      <c r="T374" s="83"/>
      <c r="U374" s="83"/>
      <c r="V374" s="83"/>
      <c r="W374" s="83"/>
      <c r="X374" s="83"/>
      <c r="Y374" s="83"/>
      <c r="Z374" s="83"/>
      <c r="AA374" s="83"/>
      <c r="AB374" s="83"/>
      <c r="AC374" s="83"/>
      <c r="AD374" s="83"/>
      <c r="AE374" s="83"/>
      <c r="AF374" s="83"/>
      <c r="AG374" s="83"/>
      <c r="AH374" s="83"/>
      <c r="AI374" s="83"/>
      <c r="AJ374" s="83"/>
      <c r="AK374" s="83"/>
      <c r="AL374" s="83"/>
      <c r="AM374" s="83"/>
      <c r="AN374" s="83"/>
      <c r="AO374" s="83"/>
      <c r="AP374" s="83"/>
      <c r="AQ374" s="83"/>
      <c r="AR374" s="83"/>
      <c r="AS374" s="83"/>
      <c r="AT374" s="83"/>
    </row>
    <row r="375" spans="1:46" ht="13.8">
      <c r="A375" s="83"/>
      <c r="B375" s="83"/>
      <c r="C375" s="83"/>
      <c r="D375" s="83"/>
      <c r="E375" s="82"/>
      <c r="F375" s="82"/>
      <c r="G375" s="83"/>
      <c r="H375" s="83"/>
      <c r="I375" s="83"/>
      <c r="J375" s="83"/>
      <c r="K375" s="83"/>
      <c r="L375" s="83"/>
      <c r="M375" s="83"/>
      <c r="N375" s="83"/>
      <c r="O375" s="83"/>
      <c r="P375" s="83"/>
      <c r="Q375" s="83"/>
      <c r="R375" s="83"/>
      <c r="S375" s="83"/>
      <c r="T375" s="83"/>
      <c r="U375" s="83"/>
      <c r="V375" s="83"/>
      <c r="W375" s="83"/>
      <c r="X375" s="83"/>
      <c r="Y375" s="83"/>
      <c r="Z375" s="83"/>
      <c r="AA375" s="83"/>
      <c r="AB375" s="83"/>
      <c r="AC375" s="83"/>
      <c r="AD375" s="83"/>
      <c r="AE375" s="83"/>
      <c r="AF375" s="83"/>
      <c r="AG375" s="83"/>
      <c r="AH375" s="83"/>
      <c r="AI375" s="83"/>
      <c r="AJ375" s="83"/>
      <c r="AK375" s="83"/>
      <c r="AL375" s="83"/>
      <c r="AM375" s="83"/>
      <c r="AN375" s="83"/>
      <c r="AO375" s="83"/>
      <c r="AP375" s="83"/>
      <c r="AQ375" s="83"/>
      <c r="AR375" s="83"/>
      <c r="AS375" s="83"/>
      <c r="AT375" s="83"/>
    </row>
    <row r="376" spans="1:46" ht="13.8">
      <c r="A376" s="83"/>
      <c r="B376" s="83"/>
      <c r="C376" s="83"/>
      <c r="D376" s="83"/>
      <c r="E376" s="82"/>
      <c r="F376" s="82"/>
      <c r="G376" s="83"/>
      <c r="H376" s="83"/>
      <c r="I376" s="83"/>
      <c r="J376" s="83"/>
      <c r="K376" s="83"/>
      <c r="L376" s="83"/>
      <c r="M376" s="83"/>
      <c r="N376" s="83"/>
      <c r="O376" s="83"/>
      <c r="P376" s="83"/>
      <c r="Q376" s="83"/>
      <c r="R376" s="83"/>
      <c r="S376" s="83"/>
      <c r="T376" s="83"/>
      <c r="U376" s="83"/>
      <c r="V376" s="83"/>
      <c r="W376" s="83"/>
      <c r="X376" s="83"/>
      <c r="Y376" s="83"/>
      <c r="Z376" s="83"/>
      <c r="AA376" s="83"/>
      <c r="AB376" s="83"/>
      <c r="AC376" s="83"/>
      <c r="AD376" s="83"/>
      <c r="AE376" s="83"/>
      <c r="AF376" s="83"/>
      <c r="AG376" s="83"/>
      <c r="AH376" s="83"/>
      <c r="AI376" s="83"/>
      <c r="AJ376" s="83"/>
      <c r="AK376" s="83"/>
      <c r="AL376" s="83"/>
      <c r="AM376" s="83"/>
      <c r="AN376" s="83"/>
      <c r="AO376" s="83"/>
      <c r="AP376" s="83"/>
      <c r="AQ376" s="83"/>
      <c r="AR376" s="83"/>
      <c r="AS376" s="83"/>
      <c r="AT376" s="83"/>
    </row>
    <row r="377" spans="1:46" ht="13.8">
      <c r="A377" s="83"/>
      <c r="B377" s="83"/>
      <c r="C377" s="83"/>
      <c r="D377" s="83"/>
      <c r="E377" s="82"/>
      <c r="F377" s="82"/>
      <c r="G377" s="83"/>
      <c r="H377" s="83"/>
      <c r="I377" s="83"/>
      <c r="J377" s="83"/>
      <c r="K377" s="83"/>
      <c r="L377" s="83"/>
      <c r="M377" s="83"/>
      <c r="N377" s="83"/>
      <c r="O377" s="83"/>
      <c r="P377" s="83"/>
      <c r="Q377" s="83"/>
      <c r="R377" s="83"/>
      <c r="S377" s="83"/>
      <c r="T377" s="83"/>
      <c r="U377" s="83"/>
      <c r="V377" s="83"/>
      <c r="W377" s="83"/>
      <c r="X377" s="83"/>
      <c r="Y377" s="83"/>
      <c r="Z377" s="83"/>
      <c r="AA377" s="83"/>
      <c r="AB377" s="83"/>
      <c r="AC377" s="83"/>
      <c r="AD377" s="83"/>
      <c r="AE377" s="83"/>
      <c r="AF377" s="83"/>
      <c r="AG377" s="83"/>
      <c r="AH377" s="83"/>
      <c r="AI377" s="83"/>
      <c r="AJ377" s="83"/>
      <c r="AK377" s="83"/>
      <c r="AL377" s="83"/>
      <c r="AM377" s="83"/>
      <c r="AN377" s="83"/>
      <c r="AO377" s="83"/>
      <c r="AP377" s="83"/>
      <c r="AQ377" s="83"/>
      <c r="AR377" s="83"/>
      <c r="AS377" s="83"/>
      <c r="AT377" s="83"/>
    </row>
    <row r="378" spans="1:46" ht="13.8">
      <c r="A378" s="83"/>
      <c r="B378" s="83"/>
      <c r="C378" s="83"/>
      <c r="D378" s="83"/>
      <c r="E378" s="82"/>
      <c r="F378" s="82"/>
      <c r="G378" s="83"/>
      <c r="H378" s="83"/>
      <c r="I378" s="83"/>
      <c r="J378" s="83"/>
      <c r="K378" s="83"/>
      <c r="L378" s="83"/>
      <c r="M378" s="83"/>
      <c r="N378" s="83"/>
      <c r="O378" s="83"/>
      <c r="P378" s="83"/>
      <c r="Q378" s="83"/>
      <c r="R378" s="83"/>
      <c r="S378" s="83"/>
      <c r="T378" s="83"/>
      <c r="U378" s="83"/>
      <c r="V378" s="83"/>
      <c r="W378" s="83"/>
      <c r="X378" s="83"/>
      <c r="Y378" s="83"/>
      <c r="Z378" s="83"/>
      <c r="AA378" s="83"/>
      <c r="AB378" s="83"/>
      <c r="AC378" s="83"/>
      <c r="AD378" s="83"/>
      <c r="AE378" s="83"/>
      <c r="AF378" s="83"/>
      <c r="AG378" s="83"/>
      <c r="AH378" s="83"/>
      <c r="AI378" s="83"/>
      <c r="AJ378" s="83"/>
      <c r="AK378" s="83"/>
      <c r="AL378" s="83"/>
      <c r="AM378" s="83"/>
      <c r="AN378" s="83"/>
      <c r="AO378" s="83"/>
      <c r="AP378" s="83"/>
      <c r="AQ378" s="83"/>
      <c r="AR378" s="83"/>
      <c r="AS378" s="83"/>
      <c r="AT378" s="83"/>
    </row>
    <row r="379" spans="1:46" ht="13.8">
      <c r="A379" s="83"/>
      <c r="B379" s="83"/>
      <c r="C379" s="83"/>
      <c r="D379" s="83"/>
      <c r="E379" s="82"/>
      <c r="F379" s="82"/>
      <c r="G379" s="83"/>
      <c r="H379" s="83"/>
      <c r="I379" s="83"/>
      <c r="J379" s="83"/>
      <c r="K379" s="83"/>
      <c r="L379" s="83"/>
      <c r="M379" s="83"/>
      <c r="N379" s="83"/>
      <c r="O379" s="83"/>
      <c r="P379" s="83"/>
      <c r="Q379" s="83"/>
      <c r="R379" s="83"/>
      <c r="S379" s="83"/>
      <c r="T379" s="83"/>
      <c r="U379" s="83"/>
      <c r="V379" s="83"/>
      <c r="W379" s="83"/>
      <c r="X379" s="83"/>
      <c r="Y379" s="83"/>
      <c r="Z379" s="83"/>
      <c r="AA379" s="83"/>
      <c r="AB379" s="83"/>
      <c r="AC379" s="83"/>
      <c r="AD379" s="83"/>
      <c r="AE379" s="83"/>
      <c r="AF379" s="83"/>
      <c r="AG379" s="83"/>
      <c r="AH379" s="83"/>
      <c r="AI379" s="83"/>
      <c r="AJ379" s="83"/>
      <c r="AK379" s="83"/>
      <c r="AL379" s="83"/>
      <c r="AM379" s="83"/>
      <c r="AN379" s="83"/>
      <c r="AO379" s="83"/>
      <c r="AP379" s="83"/>
      <c r="AQ379" s="83"/>
      <c r="AR379" s="83"/>
      <c r="AS379" s="83"/>
      <c r="AT379" s="83"/>
    </row>
    <row r="380" spans="1:46" ht="13.8">
      <c r="A380" s="83"/>
      <c r="B380" s="83"/>
      <c r="C380" s="83"/>
      <c r="D380" s="83"/>
      <c r="E380" s="82"/>
      <c r="F380" s="82"/>
      <c r="G380" s="83"/>
      <c r="H380" s="83"/>
      <c r="I380" s="83"/>
      <c r="J380" s="83"/>
      <c r="K380" s="83"/>
      <c r="L380" s="83"/>
      <c r="M380" s="83"/>
      <c r="N380" s="83"/>
      <c r="O380" s="83"/>
      <c r="P380" s="83"/>
      <c r="Q380" s="83"/>
      <c r="R380" s="83"/>
      <c r="S380" s="83"/>
      <c r="T380" s="83"/>
      <c r="U380" s="83"/>
      <c r="V380" s="83"/>
      <c r="W380" s="83"/>
      <c r="X380" s="83"/>
      <c r="Y380" s="83"/>
      <c r="Z380" s="83"/>
      <c r="AA380" s="83"/>
      <c r="AB380" s="83"/>
      <c r="AC380" s="83"/>
      <c r="AD380" s="83"/>
      <c r="AE380" s="83"/>
      <c r="AF380" s="83"/>
      <c r="AG380" s="83"/>
      <c r="AH380" s="83"/>
      <c r="AI380" s="83"/>
      <c r="AJ380" s="83"/>
      <c r="AK380" s="83"/>
      <c r="AL380" s="83"/>
      <c r="AM380" s="83"/>
      <c r="AN380" s="83"/>
      <c r="AO380" s="83"/>
      <c r="AP380" s="83"/>
      <c r="AQ380" s="83"/>
      <c r="AR380" s="83"/>
      <c r="AS380" s="83"/>
      <c r="AT380" s="83"/>
    </row>
    <row r="381" spans="1:46" ht="13.8">
      <c r="A381" s="83"/>
      <c r="B381" s="83"/>
      <c r="C381" s="83"/>
      <c r="D381" s="83"/>
      <c r="E381" s="82"/>
      <c r="F381" s="82"/>
      <c r="G381" s="83"/>
      <c r="H381" s="83"/>
      <c r="I381" s="83"/>
      <c r="J381" s="83"/>
      <c r="K381" s="83"/>
      <c r="L381" s="83"/>
      <c r="M381" s="83"/>
      <c r="N381" s="83"/>
      <c r="O381" s="83"/>
      <c r="P381" s="83"/>
      <c r="Q381" s="83"/>
      <c r="R381" s="83"/>
      <c r="S381" s="83"/>
      <c r="T381" s="83"/>
      <c r="U381" s="83"/>
      <c r="V381" s="83"/>
      <c r="W381" s="83"/>
      <c r="X381" s="83"/>
      <c r="Y381" s="83"/>
      <c r="Z381" s="83"/>
      <c r="AA381" s="83"/>
      <c r="AB381" s="83"/>
      <c r="AC381" s="83"/>
      <c r="AD381" s="83"/>
      <c r="AE381" s="83"/>
      <c r="AF381" s="83"/>
      <c r="AG381" s="83"/>
      <c r="AH381" s="83"/>
      <c r="AI381" s="83"/>
      <c r="AJ381" s="83"/>
      <c r="AK381" s="83"/>
      <c r="AL381" s="83"/>
      <c r="AM381" s="83"/>
      <c r="AN381" s="83"/>
      <c r="AO381" s="83"/>
      <c r="AP381" s="83"/>
      <c r="AQ381" s="83"/>
      <c r="AR381" s="83"/>
      <c r="AS381" s="83"/>
      <c r="AT381" s="83"/>
    </row>
    <row r="382" spans="1:46" ht="13.8">
      <c r="A382" s="83"/>
      <c r="B382" s="83"/>
      <c r="C382" s="83"/>
      <c r="D382" s="83"/>
      <c r="E382" s="82"/>
      <c r="F382" s="82"/>
      <c r="G382" s="83"/>
      <c r="H382" s="83"/>
      <c r="I382" s="83"/>
      <c r="J382" s="83"/>
      <c r="K382" s="83"/>
      <c r="L382" s="83"/>
      <c r="M382" s="83"/>
      <c r="N382" s="83"/>
      <c r="O382" s="83"/>
      <c r="P382" s="83"/>
      <c r="Q382" s="83"/>
      <c r="R382" s="83"/>
      <c r="S382" s="83"/>
      <c r="T382" s="83"/>
      <c r="U382" s="83"/>
      <c r="V382" s="83"/>
      <c r="W382" s="83"/>
      <c r="X382" s="83"/>
      <c r="Y382" s="83"/>
      <c r="Z382" s="83"/>
      <c r="AA382" s="83"/>
      <c r="AB382" s="83"/>
      <c r="AC382" s="83"/>
      <c r="AD382" s="83"/>
      <c r="AE382" s="83"/>
      <c r="AF382" s="83"/>
      <c r="AG382" s="83"/>
      <c r="AH382" s="83"/>
      <c r="AI382" s="83"/>
      <c r="AJ382" s="83"/>
      <c r="AK382" s="83"/>
      <c r="AL382" s="83"/>
      <c r="AM382" s="83"/>
      <c r="AN382" s="83"/>
      <c r="AO382" s="83"/>
      <c r="AP382" s="83"/>
      <c r="AQ382" s="83"/>
      <c r="AR382" s="83"/>
      <c r="AS382" s="83"/>
      <c r="AT382" s="83"/>
    </row>
    <row r="383" spans="1:46" ht="13.8">
      <c r="A383" s="83"/>
      <c r="B383" s="83"/>
      <c r="C383" s="83"/>
      <c r="D383" s="83"/>
      <c r="E383" s="82"/>
      <c r="F383" s="82"/>
      <c r="G383" s="83"/>
      <c r="H383" s="83"/>
      <c r="I383" s="83"/>
      <c r="J383" s="83"/>
      <c r="K383" s="83"/>
      <c r="L383" s="83"/>
      <c r="M383" s="83"/>
      <c r="N383" s="83"/>
      <c r="O383" s="83"/>
      <c r="P383" s="83"/>
      <c r="Q383" s="83"/>
      <c r="R383" s="83"/>
      <c r="S383" s="83"/>
      <c r="T383" s="83"/>
      <c r="U383" s="83"/>
      <c r="V383" s="83"/>
      <c r="W383" s="83"/>
      <c r="X383" s="83"/>
      <c r="Y383" s="83"/>
      <c r="Z383" s="83"/>
      <c r="AA383" s="83"/>
      <c r="AB383" s="83"/>
      <c r="AC383" s="83"/>
      <c r="AD383" s="83"/>
      <c r="AE383" s="83"/>
      <c r="AF383" s="83"/>
      <c r="AG383" s="83"/>
      <c r="AH383" s="83"/>
      <c r="AI383" s="83"/>
      <c r="AJ383" s="83"/>
      <c r="AK383" s="83"/>
      <c r="AL383" s="83"/>
      <c r="AM383" s="83"/>
      <c r="AN383" s="83"/>
      <c r="AO383" s="83"/>
      <c r="AP383" s="83"/>
      <c r="AQ383" s="83"/>
      <c r="AR383" s="83"/>
      <c r="AS383" s="83"/>
      <c r="AT383" s="83"/>
    </row>
    <row r="384" spans="1:46" ht="13.8">
      <c r="A384" s="83"/>
      <c r="B384" s="83"/>
      <c r="C384" s="83"/>
      <c r="D384" s="83"/>
      <c r="E384" s="82"/>
      <c r="F384" s="82"/>
      <c r="G384" s="83"/>
      <c r="H384" s="83"/>
      <c r="I384" s="83"/>
      <c r="J384" s="83"/>
      <c r="K384" s="83"/>
      <c r="L384" s="83"/>
      <c r="M384" s="83"/>
      <c r="N384" s="83"/>
      <c r="O384" s="83"/>
      <c r="P384" s="83"/>
      <c r="Q384" s="83"/>
      <c r="R384" s="83"/>
      <c r="S384" s="83"/>
      <c r="T384" s="83"/>
      <c r="U384" s="83"/>
      <c r="V384" s="83"/>
      <c r="W384" s="83"/>
      <c r="X384" s="83"/>
      <c r="Y384" s="83"/>
      <c r="Z384" s="83"/>
      <c r="AA384" s="83"/>
      <c r="AB384" s="83"/>
      <c r="AC384" s="83"/>
      <c r="AD384" s="83"/>
      <c r="AE384" s="83"/>
      <c r="AF384" s="83"/>
      <c r="AG384" s="83"/>
      <c r="AH384" s="83"/>
      <c r="AI384" s="83"/>
      <c r="AJ384" s="83"/>
      <c r="AK384" s="83"/>
      <c r="AL384" s="83"/>
      <c r="AM384" s="83"/>
      <c r="AN384" s="83"/>
      <c r="AO384" s="83"/>
      <c r="AP384" s="83"/>
      <c r="AQ384" s="83"/>
      <c r="AR384" s="83"/>
      <c r="AS384" s="83"/>
      <c r="AT384" s="83"/>
    </row>
    <row r="385" spans="1:46" ht="13.8">
      <c r="A385" s="83"/>
      <c r="B385" s="83"/>
      <c r="C385" s="83"/>
      <c r="D385" s="83"/>
      <c r="E385" s="82"/>
      <c r="F385" s="82"/>
      <c r="G385" s="83"/>
      <c r="H385" s="83"/>
      <c r="I385" s="83"/>
      <c r="J385" s="83"/>
      <c r="K385" s="83"/>
      <c r="L385" s="83"/>
      <c r="M385" s="83"/>
      <c r="N385" s="83"/>
      <c r="O385" s="83"/>
      <c r="P385" s="83"/>
      <c r="Q385" s="83"/>
      <c r="R385" s="83"/>
      <c r="S385" s="83"/>
      <c r="T385" s="83"/>
      <c r="U385" s="83"/>
      <c r="V385" s="83"/>
      <c r="W385" s="83"/>
      <c r="X385" s="83"/>
      <c r="Y385" s="83"/>
      <c r="Z385" s="83"/>
      <c r="AA385" s="83"/>
      <c r="AB385" s="83"/>
      <c r="AC385" s="83"/>
      <c r="AD385" s="83"/>
      <c r="AE385" s="83"/>
      <c r="AF385" s="83"/>
      <c r="AG385" s="83"/>
      <c r="AH385" s="83"/>
      <c r="AI385" s="83"/>
      <c r="AJ385" s="83"/>
      <c r="AK385" s="83"/>
      <c r="AL385" s="83"/>
      <c r="AM385" s="83"/>
      <c r="AN385" s="83"/>
      <c r="AO385" s="83"/>
      <c r="AP385" s="83"/>
      <c r="AQ385" s="83"/>
      <c r="AR385" s="83"/>
      <c r="AS385" s="83"/>
      <c r="AT385" s="83"/>
    </row>
    <row r="386" spans="1:46" ht="13.8">
      <c r="A386" s="83"/>
      <c r="B386" s="83"/>
      <c r="C386" s="83"/>
      <c r="D386" s="83"/>
      <c r="E386" s="82"/>
      <c r="F386" s="82"/>
      <c r="G386" s="83"/>
      <c r="H386" s="83"/>
      <c r="I386" s="83"/>
      <c r="J386" s="83"/>
      <c r="K386" s="83"/>
      <c r="L386" s="83"/>
      <c r="M386" s="83"/>
      <c r="N386" s="83"/>
      <c r="O386" s="83"/>
      <c r="P386" s="83"/>
      <c r="Q386" s="83"/>
      <c r="R386" s="83"/>
      <c r="S386" s="83"/>
      <c r="T386" s="83"/>
      <c r="U386" s="83"/>
      <c r="V386" s="83"/>
      <c r="W386" s="83"/>
      <c r="X386" s="83"/>
      <c r="Y386" s="83"/>
      <c r="Z386" s="83"/>
      <c r="AA386" s="83"/>
      <c r="AB386" s="83"/>
      <c r="AC386" s="83"/>
      <c r="AD386" s="83"/>
      <c r="AE386" s="83"/>
      <c r="AF386" s="83"/>
      <c r="AG386" s="83"/>
      <c r="AH386" s="83"/>
      <c r="AI386" s="83"/>
      <c r="AJ386" s="83"/>
      <c r="AK386" s="83"/>
      <c r="AL386" s="83"/>
      <c r="AM386" s="83"/>
      <c r="AN386" s="83"/>
      <c r="AO386" s="83"/>
      <c r="AP386" s="83"/>
      <c r="AQ386" s="83"/>
      <c r="AR386" s="83"/>
      <c r="AS386" s="83"/>
      <c r="AT386" s="83"/>
    </row>
    <row r="387" spans="1:46" ht="13.8">
      <c r="A387" s="83"/>
      <c r="B387" s="83"/>
      <c r="C387" s="83"/>
      <c r="D387" s="83"/>
      <c r="E387" s="82"/>
      <c r="F387" s="82"/>
      <c r="G387" s="83"/>
      <c r="H387" s="83"/>
      <c r="I387" s="83"/>
      <c r="J387" s="83"/>
      <c r="K387" s="83"/>
      <c r="L387" s="83"/>
      <c r="M387" s="83"/>
      <c r="N387" s="83"/>
      <c r="O387" s="83"/>
      <c r="P387" s="83"/>
      <c r="Q387" s="83"/>
      <c r="R387" s="83"/>
      <c r="S387" s="83"/>
      <c r="T387" s="83"/>
      <c r="U387" s="83"/>
      <c r="V387" s="83"/>
      <c r="W387" s="83"/>
      <c r="X387" s="83"/>
      <c r="Y387" s="83"/>
      <c r="Z387" s="83"/>
      <c r="AA387" s="83"/>
      <c r="AB387" s="83"/>
      <c r="AC387" s="83"/>
      <c r="AD387" s="83"/>
      <c r="AE387" s="83"/>
      <c r="AF387" s="83"/>
      <c r="AG387" s="83"/>
      <c r="AH387" s="83"/>
      <c r="AI387" s="83"/>
      <c r="AJ387" s="83"/>
      <c r="AK387" s="83"/>
      <c r="AL387" s="83"/>
      <c r="AM387" s="83"/>
      <c r="AN387" s="83"/>
      <c r="AO387" s="83"/>
      <c r="AP387" s="83"/>
      <c r="AQ387" s="83"/>
      <c r="AR387" s="83"/>
      <c r="AS387" s="83"/>
      <c r="AT387" s="83"/>
    </row>
    <row r="388" spans="1:46" ht="13.8">
      <c r="A388" s="83"/>
      <c r="B388" s="83"/>
      <c r="C388" s="83"/>
      <c r="D388" s="83"/>
      <c r="E388" s="82"/>
      <c r="F388" s="82"/>
      <c r="G388" s="83"/>
      <c r="H388" s="83"/>
      <c r="I388" s="83"/>
      <c r="J388" s="83"/>
      <c r="K388" s="83"/>
      <c r="L388" s="83"/>
      <c r="M388" s="83"/>
      <c r="N388" s="83"/>
      <c r="O388" s="83"/>
      <c r="P388" s="83"/>
      <c r="Q388" s="83"/>
      <c r="R388" s="83"/>
      <c r="S388" s="83"/>
      <c r="T388" s="83"/>
      <c r="U388" s="83"/>
      <c r="V388" s="83"/>
      <c r="W388" s="83"/>
      <c r="X388" s="83"/>
      <c r="Y388" s="83"/>
      <c r="Z388" s="83"/>
      <c r="AA388" s="83"/>
      <c r="AB388" s="83"/>
      <c r="AC388" s="83"/>
      <c r="AD388" s="83"/>
      <c r="AE388" s="83"/>
      <c r="AF388" s="83"/>
      <c r="AG388" s="83"/>
      <c r="AH388" s="83"/>
      <c r="AI388" s="83"/>
      <c r="AJ388" s="83"/>
      <c r="AK388" s="83"/>
      <c r="AL388" s="83"/>
      <c r="AM388" s="83"/>
      <c r="AN388" s="83"/>
      <c r="AO388" s="83"/>
      <c r="AP388" s="83"/>
      <c r="AQ388" s="83"/>
      <c r="AR388" s="83"/>
      <c r="AS388" s="83"/>
      <c r="AT388" s="83"/>
    </row>
    <row r="389" spans="1:46" ht="13.8">
      <c r="A389" s="83"/>
      <c r="B389" s="83"/>
      <c r="C389" s="83"/>
      <c r="D389" s="83"/>
      <c r="E389" s="82"/>
      <c r="F389" s="82"/>
      <c r="G389" s="83"/>
      <c r="H389" s="83"/>
      <c r="I389" s="83"/>
      <c r="J389" s="83"/>
      <c r="K389" s="83"/>
      <c r="L389" s="83"/>
      <c r="M389" s="83"/>
      <c r="N389" s="83"/>
      <c r="O389" s="83"/>
      <c r="P389" s="83"/>
      <c r="Q389" s="83"/>
      <c r="R389" s="83"/>
      <c r="S389" s="83"/>
      <c r="T389" s="83"/>
      <c r="U389" s="83"/>
      <c r="V389" s="83"/>
      <c r="W389" s="83"/>
      <c r="X389" s="83"/>
      <c r="Y389" s="83"/>
      <c r="Z389" s="83"/>
      <c r="AA389" s="83"/>
      <c r="AB389" s="83"/>
      <c r="AC389" s="83"/>
      <c r="AD389" s="83"/>
      <c r="AE389" s="83"/>
      <c r="AF389" s="83"/>
      <c r="AG389" s="83"/>
      <c r="AH389" s="83"/>
      <c r="AI389" s="83"/>
      <c r="AJ389" s="83"/>
      <c r="AK389" s="83"/>
      <c r="AL389" s="83"/>
      <c r="AM389" s="83"/>
      <c r="AN389" s="83"/>
      <c r="AO389" s="83"/>
      <c r="AP389" s="83"/>
      <c r="AQ389" s="83"/>
      <c r="AR389" s="83"/>
      <c r="AS389" s="83"/>
      <c r="AT389" s="83"/>
    </row>
    <row r="390" spans="1:46" ht="13.8">
      <c r="A390" s="83"/>
      <c r="B390" s="83"/>
      <c r="C390" s="83"/>
      <c r="D390" s="83"/>
      <c r="E390" s="82"/>
      <c r="F390" s="82"/>
      <c r="G390" s="83"/>
      <c r="H390" s="83"/>
      <c r="I390" s="83"/>
      <c r="J390" s="83"/>
      <c r="K390" s="83"/>
      <c r="L390" s="83"/>
      <c r="M390" s="83"/>
      <c r="N390" s="83"/>
      <c r="O390" s="83"/>
      <c r="P390" s="83"/>
      <c r="Q390" s="83"/>
      <c r="R390" s="83"/>
      <c r="S390" s="83"/>
      <c r="T390" s="83"/>
      <c r="U390" s="83"/>
      <c r="V390" s="83"/>
      <c r="W390" s="83"/>
      <c r="X390" s="83"/>
      <c r="Y390" s="83"/>
      <c r="Z390" s="83"/>
      <c r="AA390" s="83"/>
      <c r="AB390" s="83"/>
      <c r="AC390" s="83"/>
      <c r="AD390" s="83"/>
      <c r="AE390" s="83"/>
      <c r="AF390" s="83"/>
      <c r="AG390" s="83"/>
      <c r="AH390" s="83"/>
      <c r="AI390" s="83"/>
      <c r="AJ390" s="83"/>
      <c r="AK390" s="83"/>
      <c r="AL390" s="83"/>
      <c r="AM390" s="83"/>
      <c r="AN390" s="83"/>
      <c r="AO390" s="83"/>
      <c r="AP390" s="83"/>
      <c r="AQ390" s="83"/>
      <c r="AR390" s="83"/>
      <c r="AS390" s="83"/>
      <c r="AT390" s="83"/>
    </row>
    <row r="391" spans="1:46" ht="13.8">
      <c r="A391" s="83"/>
      <c r="B391" s="83"/>
      <c r="C391" s="83"/>
      <c r="D391" s="83"/>
      <c r="E391" s="82"/>
      <c r="F391" s="82"/>
      <c r="G391" s="83"/>
      <c r="H391" s="83"/>
      <c r="I391" s="83"/>
      <c r="J391" s="83"/>
      <c r="K391" s="83"/>
      <c r="L391" s="83"/>
      <c r="M391" s="83"/>
      <c r="N391" s="83"/>
      <c r="O391" s="83"/>
      <c r="P391" s="83"/>
      <c r="Q391" s="83"/>
      <c r="R391" s="83"/>
      <c r="S391" s="83"/>
      <c r="T391" s="83"/>
      <c r="U391" s="83"/>
      <c r="V391" s="83"/>
      <c r="W391" s="83"/>
      <c r="X391" s="83"/>
      <c r="Y391" s="83"/>
      <c r="Z391" s="83"/>
      <c r="AA391" s="83"/>
      <c r="AB391" s="83"/>
      <c r="AC391" s="83"/>
      <c r="AD391" s="83"/>
      <c r="AE391" s="83"/>
      <c r="AF391" s="83"/>
      <c r="AG391" s="83"/>
      <c r="AH391" s="83"/>
      <c r="AI391" s="83"/>
      <c r="AJ391" s="83"/>
      <c r="AK391" s="83"/>
      <c r="AL391" s="83"/>
      <c r="AM391" s="83"/>
      <c r="AN391" s="83"/>
      <c r="AO391" s="83"/>
      <c r="AP391" s="83"/>
      <c r="AQ391" s="83"/>
      <c r="AR391" s="83"/>
      <c r="AS391" s="83"/>
      <c r="AT391" s="83"/>
    </row>
    <row r="392" spans="1:46" ht="13.8">
      <c r="A392" s="83"/>
      <c r="B392" s="83"/>
      <c r="C392" s="83"/>
      <c r="D392" s="83"/>
      <c r="E392" s="82"/>
      <c r="F392" s="82"/>
      <c r="G392" s="83"/>
      <c r="H392" s="83"/>
      <c r="I392" s="83"/>
      <c r="J392" s="83"/>
      <c r="K392" s="83"/>
      <c r="L392" s="83"/>
      <c r="M392" s="83"/>
      <c r="N392" s="83"/>
      <c r="O392" s="83"/>
      <c r="P392" s="83"/>
      <c r="Q392" s="83"/>
      <c r="R392" s="83"/>
      <c r="S392" s="83"/>
      <c r="T392" s="83"/>
      <c r="U392" s="83"/>
      <c r="V392" s="83"/>
      <c r="W392" s="83"/>
      <c r="X392" s="83"/>
      <c r="Y392" s="83"/>
      <c r="Z392" s="83"/>
      <c r="AA392" s="83"/>
      <c r="AB392" s="83"/>
      <c r="AC392" s="83"/>
      <c r="AD392" s="83"/>
      <c r="AE392" s="83"/>
      <c r="AF392" s="83"/>
      <c r="AG392" s="83"/>
      <c r="AH392" s="83"/>
      <c r="AI392" s="83"/>
      <c r="AJ392" s="83"/>
      <c r="AK392" s="83"/>
      <c r="AL392" s="83"/>
      <c r="AM392" s="83"/>
      <c r="AN392" s="83"/>
      <c r="AO392" s="83"/>
      <c r="AP392" s="83"/>
      <c r="AQ392" s="83"/>
      <c r="AR392" s="83"/>
      <c r="AS392" s="83"/>
      <c r="AT392" s="83"/>
    </row>
    <row r="393" spans="1:46" ht="13.8">
      <c r="A393" s="83"/>
      <c r="B393" s="83"/>
      <c r="C393" s="83"/>
      <c r="D393" s="83"/>
      <c r="E393" s="82"/>
      <c r="F393" s="82"/>
      <c r="G393" s="83"/>
      <c r="H393" s="83"/>
      <c r="I393" s="83"/>
      <c r="J393" s="83"/>
      <c r="K393" s="83"/>
      <c r="L393" s="83"/>
      <c r="M393" s="83"/>
      <c r="N393" s="83"/>
      <c r="O393" s="83"/>
      <c r="P393" s="83"/>
      <c r="Q393" s="83"/>
      <c r="R393" s="83"/>
      <c r="S393" s="83"/>
      <c r="T393" s="83"/>
      <c r="U393" s="83"/>
      <c r="V393" s="83"/>
      <c r="W393" s="83"/>
      <c r="X393" s="83"/>
      <c r="Y393" s="83"/>
      <c r="Z393" s="83"/>
      <c r="AA393" s="83"/>
      <c r="AB393" s="83"/>
      <c r="AC393" s="83"/>
      <c r="AD393" s="83"/>
      <c r="AE393" s="83"/>
      <c r="AF393" s="83"/>
      <c r="AG393" s="83"/>
      <c r="AH393" s="83"/>
      <c r="AI393" s="83"/>
      <c r="AJ393" s="83"/>
      <c r="AK393" s="83"/>
      <c r="AL393" s="83"/>
      <c r="AM393" s="83"/>
      <c r="AN393" s="83"/>
      <c r="AO393" s="83"/>
      <c r="AP393" s="83"/>
      <c r="AQ393" s="83"/>
      <c r="AR393" s="83"/>
      <c r="AS393" s="83"/>
      <c r="AT393" s="83"/>
    </row>
    <row r="394" spans="1:46" ht="13.8">
      <c r="A394" s="83"/>
      <c r="B394" s="83"/>
      <c r="C394" s="83"/>
      <c r="D394" s="83"/>
      <c r="E394" s="82"/>
      <c r="F394" s="82"/>
      <c r="G394" s="83"/>
      <c r="H394" s="83"/>
      <c r="I394" s="83"/>
      <c r="J394" s="83"/>
      <c r="K394" s="83"/>
      <c r="L394" s="83"/>
      <c r="M394" s="83"/>
      <c r="N394" s="83"/>
      <c r="O394" s="83"/>
      <c r="P394" s="83"/>
      <c r="Q394" s="83"/>
      <c r="R394" s="83"/>
      <c r="S394" s="83"/>
      <c r="T394" s="83"/>
      <c r="U394" s="83"/>
      <c r="V394" s="83"/>
      <c r="W394" s="83"/>
      <c r="X394" s="83"/>
      <c r="Y394" s="83"/>
      <c r="Z394" s="83"/>
      <c r="AA394" s="83"/>
      <c r="AB394" s="83"/>
      <c r="AC394" s="83"/>
      <c r="AD394" s="83"/>
      <c r="AE394" s="83"/>
      <c r="AF394" s="83"/>
      <c r="AG394" s="83"/>
      <c r="AH394" s="83"/>
      <c r="AI394" s="83"/>
      <c r="AJ394" s="83"/>
      <c r="AK394" s="83"/>
      <c r="AL394" s="83"/>
      <c r="AM394" s="83"/>
      <c r="AN394" s="83"/>
      <c r="AO394" s="83"/>
      <c r="AP394" s="83"/>
      <c r="AQ394" s="83"/>
      <c r="AR394" s="83"/>
      <c r="AS394" s="83"/>
      <c r="AT394" s="83"/>
    </row>
    <row r="395" spans="1:46" ht="13.8">
      <c r="A395" s="83"/>
      <c r="B395" s="83"/>
      <c r="C395" s="83"/>
      <c r="D395" s="83"/>
      <c r="E395" s="82"/>
      <c r="F395" s="82"/>
      <c r="G395" s="83"/>
      <c r="H395" s="83"/>
      <c r="I395" s="83"/>
      <c r="J395" s="83"/>
      <c r="K395" s="83"/>
      <c r="L395" s="83"/>
      <c r="M395" s="83"/>
      <c r="N395" s="83"/>
      <c r="O395" s="83"/>
      <c r="P395" s="83"/>
      <c r="Q395" s="83"/>
      <c r="R395" s="83"/>
      <c r="S395" s="83"/>
      <c r="T395" s="83"/>
      <c r="U395" s="83"/>
      <c r="V395" s="83"/>
      <c r="W395" s="83"/>
      <c r="X395" s="83"/>
      <c r="Y395" s="83"/>
      <c r="Z395" s="83"/>
      <c r="AA395" s="83"/>
      <c r="AB395" s="83"/>
      <c r="AC395" s="83"/>
      <c r="AD395" s="83"/>
      <c r="AE395" s="83"/>
      <c r="AF395" s="83"/>
      <c r="AG395" s="83"/>
      <c r="AH395" s="83"/>
      <c r="AI395" s="83"/>
      <c r="AJ395" s="83"/>
      <c r="AK395" s="83"/>
      <c r="AL395" s="83"/>
      <c r="AM395" s="83"/>
      <c r="AN395" s="83"/>
      <c r="AO395" s="83"/>
      <c r="AP395" s="83"/>
      <c r="AQ395" s="83"/>
      <c r="AR395" s="83"/>
      <c r="AS395" s="83"/>
      <c r="AT395" s="83"/>
    </row>
    <row r="396" spans="1:46" ht="13.8">
      <c r="A396" s="83"/>
      <c r="B396" s="83"/>
      <c r="C396" s="83"/>
      <c r="D396" s="83"/>
      <c r="E396" s="82"/>
      <c r="F396" s="82"/>
      <c r="G396" s="83"/>
      <c r="H396" s="83"/>
      <c r="I396" s="83"/>
      <c r="J396" s="83"/>
      <c r="K396" s="83"/>
      <c r="L396" s="83"/>
      <c r="M396" s="83"/>
      <c r="N396" s="83"/>
      <c r="O396" s="83"/>
      <c r="P396" s="83"/>
      <c r="Q396" s="83"/>
      <c r="R396" s="83"/>
      <c r="S396" s="83"/>
      <c r="T396" s="83"/>
      <c r="U396" s="83"/>
      <c r="V396" s="83"/>
      <c r="W396" s="83"/>
      <c r="X396" s="83"/>
      <c r="Y396" s="83"/>
      <c r="Z396" s="83"/>
      <c r="AA396" s="83"/>
      <c r="AB396" s="83"/>
      <c r="AC396" s="83"/>
      <c r="AD396" s="83"/>
      <c r="AE396" s="83"/>
      <c r="AF396" s="83"/>
      <c r="AG396" s="83"/>
      <c r="AH396" s="83"/>
      <c r="AI396" s="83"/>
      <c r="AJ396" s="83"/>
      <c r="AK396" s="83"/>
      <c r="AL396" s="83"/>
      <c r="AM396" s="83"/>
      <c r="AN396" s="83"/>
      <c r="AO396" s="83"/>
      <c r="AP396" s="83"/>
      <c r="AQ396" s="83"/>
      <c r="AR396" s="83"/>
      <c r="AS396" s="83"/>
      <c r="AT396" s="83"/>
    </row>
    <row r="397" spans="1:46" ht="13.8">
      <c r="A397" s="83"/>
      <c r="B397" s="83"/>
      <c r="C397" s="83"/>
      <c r="D397" s="83"/>
      <c r="E397" s="82"/>
      <c r="F397" s="82"/>
      <c r="G397" s="83"/>
      <c r="H397" s="83"/>
      <c r="I397" s="83"/>
      <c r="J397" s="83"/>
      <c r="K397" s="83"/>
      <c r="L397" s="83"/>
      <c r="M397" s="83"/>
      <c r="N397" s="83"/>
      <c r="O397" s="83"/>
      <c r="P397" s="83"/>
      <c r="Q397" s="83"/>
      <c r="R397" s="83"/>
      <c r="S397" s="83"/>
      <c r="T397" s="83"/>
      <c r="U397" s="83"/>
      <c r="V397" s="83"/>
      <c r="W397" s="83"/>
      <c r="X397" s="83"/>
      <c r="Y397" s="83"/>
      <c r="Z397" s="83"/>
      <c r="AA397" s="83"/>
      <c r="AB397" s="83"/>
      <c r="AC397" s="83"/>
      <c r="AD397" s="83"/>
      <c r="AE397" s="83"/>
      <c r="AF397" s="83"/>
      <c r="AG397" s="83"/>
      <c r="AH397" s="83"/>
      <c r="AI397" s="83"/>
      <c r="AJ397" s="83"/>
      <c r="AK397" s="83"/>
      <c r="AL397" s="83"/>
      <c r="AM397" s="83"/>
      <c r="AN397" s="83"/>
      <c r="AO397" s="83"/>
      <c r="AP397" s="83"/>
      <c r="AQ397" s="83"/>
      <c r="AR397" s="83"/>
      <c r="AS397" s="83"/>
      <c r="AT397" s="83"/>
    </row>
    <row r="398" spans="1:46" ht="13.8">
      <c r="A398" s="83"/>
      <c r="B398" s="83"/>
      <c r="C398" s="83"/>
      <c r="D398" s="83"/>
      <c r="E398" s="82"/>
      <c r="F398" s="82"/>
      <c r="G398" s="83"/>
      <c r="H398" s="83"/>
      <c r="I398" s="83"/>
      <c r="J398" s="83"/>
      <c r="K398" s="83"/>
      <c r="L398" s="83"/>
      <c r="M398" s="83"/>
      <c r="N398" s="83"/>
      <c r="O398" s="83"/>
      <c r="P398" s="83"/>
      <c r="Q398" s="83"/>
      <c r="R398" s="83"/>
      <c r="S398" s="83"/>
      <c r="T398" s="83"/>
      <c r="U398" s="83"/>
      <c r="V398" s="83"/>
      <c r="W398" s="83"/>
      <c r="X398" s="83"/>
      <c r="Y398" s="83"/>
      <c r="Z398" s="83"/>
      <c r="AA398" s="83"/>
      <c r="AB398" s="83"/>
      <c r="AC398" s="83"/>
      <c r="AD398" s="83"/>
      <c r="AE398" s="83"/>
      <c r="AF398" s="83"/>
      <c r="AG398" s="83"/>
      <c r="AH398" s="83"/>
      <c r="AI398" s="83"/>
      <c r="AJ398" s="83"/>
      <c r="AK398" s="83"/>
      <c r="AL398" s="83"/>
      <c r="AM398" s="83"/>
      <c r="AN398" s="83"/>
      <c r="AO398" s="83"/>
      <c r="AP398" s="83"/>
      <c r="AQ398" s="83"/>
      <c r="AR398" s="83"/>
      <c r="AS398" s="83"/>
      <c r="AT398" s="83"/>
    </row>
    <row r="399" spans="1:46" ht="13.8">
      <c r="A399" s="83"/>
      <c r="B399" s="83"/>
      <c r="C399" s="83"/>
      <c r="D399" s="83"/>
      <c r="E399" s="82"/>
      <c r="F399" s="82"/>
      <c r="G399" s="83"/>
      <c r="H399" s="83"/>
      <c r="I399" s="83"/>
      <c r="J399" s="83"/>
      <c r="K399" s="83"/>
      <c r="L399" s="83"/>
      <c r="M399" s="83"/>
      <c r="N399" s="83"/>
      <c r="O399" s="83"/>
      <c r="P399" s="83"/>
      <c r="Q399" s="83"/>
      <c r="R399" s="83"/>
      <c r="S399" s="83"/>
      <c r="T399" s="83"/>
      <c r="U399" s="83"/>
      <c r="V399" s="83"/>
      <c r="W399" s="83"/>
      <c r="X399" s="83"/>
      <c r="Y399" s="83"/>
      <c r="Z399" s="83"/>
      <c r="AA399" s="83"/>
      <c r="AB399" s="83"/>
      <c r="AC399" s="83"/>
      <c r="AD399" s="83"/>
      <c r="AE399" s="83"/>
      <c r="AF399" s="83"/>
      <c r="AG399" s="83"/>
      <c r="AH399" s="83"/>
      <c r="AI399" s="83"/>
      <c r="AJ399" s="83"/>
      <c r="AK399" s="83"/>
      <c r="AL399" s="83"/>
      <c r="AM399" s="83"/>
      <c r="AN399" s="83"/>
      <c r="AO399" s="83"/>
      <c r="AP399" s="83"/>
      <c r="AQ399" s="83"/>
      <c r="AR399" s="83"/>
      <c r="AS399" s="83"/>
      <c r="AT399" s="83"/>
    </row>
    <row r="400" spans="1:46" ht="13.8">
      <c r="A400" s="83"/>
      <c r="B400" s="83"/>
      <c r="C400" s="83"/>
      <c r="D400" s="83"/>
      <c r="E400" s="82"/>
      <c r="F400" s="82"/>
      <c r="G400" s="83"/>
      <c r="H400" s="83"/>
      <c r="I400" s="83"/>
      <c r="J400" s="83"/>
      <c r="K400" s="83"/>
      <c r="L400" s="83"/>
      <c r="M400" s="83"/>
      <c r="N400" s="83"/>
      <c r="O400" s="83"/>
      <c r="P400" s="83"/>
      <c r="Q400" s="83"/>
      <c r="R400" s="83"/>
      <c r="S400" s="83"/>
      <c r="T400" s="83"/>
      <c r="U400" s="83"/>
      <c r="V400" s="83"/>
      <c r="W400" s="83"/>
      <c r="X400" s="83"/>
      <c r="Y400" s="83"/>
      <c r="Z400" s="83"/>
      <c r="AA400" s="83"/>
      <c r="AB400" s="83"/>
      <c r="AC400" s="83"/>
      <c r="AD400" s="83"/>
      <c r="AE400" s="83"/>
      <c r="AF400" s="83"/>
      <c r="AG400" s="83"/>
      <c r="AH400" s="83"/>
      <c r="AI400" s="83"/>
      <c r="AJ400" s="83"/>
      <c r="AK400" s="83"/>
      <c r="AL400" s="83"/>
      <c r="AM400" s="83"/>
      <c r="AN400" s="83"/>
      <c r="AO400" s="83"/>
      <c r="AP400" s="83"/>
      <c r="AQ400" s="83"/>
      <c r="AR400" s="83"/>
      <c r="AS400" s="83"/>
      <c r="AT400" s="83"/>
    </row>
    <row r="401" spans="1:46" ht="13.8">
      <c r="A401" s="83"/>
      <c r="B401" s="83"/>
      <c r="C401" s="83"/>
      <c r="D401" s="83"/>
      <c r="E401" s="82"/>
      <c r="F401" s="82"/>
      <c r="G401" s="83"/>
      <c r="H401" s="83"/>
      <c r="I401" s="83"/>
      <c r="J401" s="83"/>
      <c r="K401" s="83"/>
      <c r="L401" s="83"/>
      <c r="M401" s="83"/>
      <c r="N401" s="83"/>
      <c r="O401" s="83"/>
      <c r="P401" s="83"/>
      <c r="Q401" s="83"/>
      <c r="R401" s="83"/>
      <c r="S401" s="83"/>
      <c r="T401" s="83"/>
      <c r="U401" s="83"/>
      <c r="V401" s="83"/>
      <c r="W401" s="83"/>
      <c r="X401" s="83"/>
      <c r="Y401" s="83"/>
      <c r="Z401" s="83"/>
      <c r="AA401" s="83"/>
      <c r="AB401" s="83"/>
      <c r="AC401" s="83"/>
      <c r="AD401" s="83"/>
      <c r="AE401" s="83"/>
      <c r="AF401" s="83"/>
      <c r="AG401" s="83"/>
      <c r="AH401" s="83"/>
      <c r="AI401" s="83"/>
      <c r="AJ401" s="83"/>
      <c r="AK401" s="83"/>
      <c r="AL401" s="83"/>
      <c r="AM401" s="83"/>
      <c r="AN401" s="83"/>
      <c r="AO401" s="83"/>
      <c r="AP401" s="83"/>
      <c r="AQ401" s="83"/>
      <c r="AR401" s="83"/>
      <c r="AS401" s="83"/>
      <c r="AT401" s="83"/>
    </row>
    <row r="402" spans="1:46" ht="13.8">
      <c r="A402" s="83"/>
      <c r="B402" s="83"/>
      <c r="C402" s="83"/>
      <c r="D402" s="83"/>
      <c r="E402" s="82"/>
      <c r="F402" s="82"/>
      <c r="G402" s="83"/>
      <c r="H402" s="83"/>
      <c r="I402" s="83"/>
      <c r="J402" s="83"/>
      <c r="K402" s="83"/>
      <c r="L402" s="83"/>
      <c r="M402" s="83"/>
      <c r="N402" s="83"/>
      <c r="O402" s="83"/>
      <c r="P402" s="83"/>
      <c r="Q402" s="83"/>
      <c r="R402" s="83"/>
      <c r="S402" s="83"/>
      <c r="T402" s="83"/>
      <c r="U402" s="83"/>
      <c r="V402" s="83"/>
      <c r="W402" s="83"/>
      <c r="X402" s="83"/>
      <c r="Y402" s="83"/>
      <c r="Z402" s="83"/>
      <c r="AA402" s="83"/>
      <c r="AB402" s="83"/>
      <c r="AC402" s="83"/>
      <c r="AD402" s="83"/>
      <c r="AE402" s="83"/>
      <c r="AF402" s="83"/>
      <c r="AG402" s="83"/>
      <c r="AH402" s="83"/>
      <c r="AI402" s="83"/>
      <c r="AJ402" s="83"/>
      <c r="AK402" s="83"/>
      <c r="AL402" s="83"/>
      <c r="AM402" s="83"/>
      <c r="AN402" s="83"/>
      <c r="AO402" s="83"/>
      <c r="AP402" s="83"/>
      <c r="AQ402" s="83"/>
      <c r="AR402" s="83"/>
      <c r="AS402" s="83"/>
      <c r="AT402" s="83"/>
    </row>
    <row r="403" spans="1:46" ht="13.8">
      <c r="A403" s="83"/>
      <c r="B403" s="83"/>
      <c r="C403" s="83"/>
      <c r="D403" s="83"/>
      <c r="E403" s="82"/>
      <c r="F403" s="82"/>
      <c r="G403" s="83"/>
      <c r="H403" s="83"/>
      <c r="I403" s="83"/>
      <c r="J403" s="83"/>
      <c r="K403" s="83"/>
      <c r="L403" s="83"/>
      <c r="M403" s="83"/>
      <c r="N403" s="83"/>
      <c r="O403" s="83"/>
      <c r="P403" s="83"/>
      <c r="Q403" s="83"/>
      <c r="R403" s="83"/>
      <c r="S403" s="83"/>
      <c r="T403" s="83"/>
      <c r="U403" s="83"/>
      <c r="V403" s="83"/>
      <c r="W403" s="83"/>
      <c r="X403" s="83"/>
      <c r="Y403" s="83"/>
      <c r="Z403" s="83"/>
      <c r="AA403" s="83"/>
      <c r="AB403" s="83"/>
      <c r="AC403" s="83"/>
      <c r="AD403" s="83"/>
      <c r="AE403" s="83"/>
      <c r="AF403" s="83"/>
      <c r="AG403" s="83"/>
      <c r="AH403" s="83"/>
      <c r="AI403" s="83"/>
      <c r="AJ403" s="83"/>
      <c r="AK403" s="83"/>
      <c r="AL403" s="83"/>
      <c r="AM403" s="83"/>
      <c r="AN403" s="83"/>
      <c r="AO403" s="83"/>
      <c r="AP403" s="83"/>
      <c r="AQ403" s="83"/>
      <c r="AR403" s="83"/>
      <c r="AS403" s="83"/>
      <c r="AT403" s="83"/>
    </row>
    <row r="404" spans="1:46" ht="13.8">
      <c r="A404" s="83"/>
      <c r="B404" s="83"/>
      <c r="C404" s="83"/>
      <c r="D404" s="83"/>
      <c r="E404" s="82"/>
      <c r="F404" s="82"/>
      <c r="G404" s="83"/>
      <c r="H404" s="83"/>
      <c r="I404" s="83"/>
      <c r="J404" s="83"/>
      <c r="K404" s="83"/>
      <c r="L404" s="83"/>
      <c r="M404" s="83"/>
      <c r="N404" s="83"/>
      <c r="O404" s="83"/>
      <c r="P404" s="83"/>
      <c r="Q404" s="83"/>
      <c r="R404" s="83"/>
      <c r="S404" s="83"/>
      <c r="T404" s="83"/>
      <c r="U404" s="83"/>
      <c r="V404" s="83"/>
      <c r="W404" s="83"/>
      <c r="X404" s="83"/>
      <c r="Y404" s="83"/>
      <c r="Z404" s="83"/>
      <c r="AA404" s="83"/>
      <c r="AB404" s="83"/>
      <c r="AC404" s="83"/>
      <c r="AD404" s="83"/>
      <c r="AE404" s="83"/>
      <c r="AF404" s="83"/>
      <c r="AG404" s="83"/>
      <c r="AH404" s="83"/>
      <c r="AI404" s="83"/>
      <c r="AJ404" s="83"/>
      <c r="AK404" s="83"/>
      <c r="AL404" s="83"/>
      <c r="AM404" s="83"/>
      <c r="AN404" s="83"/>
      <c r="AO404" s="83"/>
      <c r="AP404" s="83"/>
      <c r="AQ404" s="83"/>
      <c r="AR404" s="83"/>
      <c r="AS404" s="83"/>
      <c r="AT404" s="83"/>
    </row>
    <row r="405" spans="1:46" ht="13.8">
      <c r="A405" s="83"/>
      <c r="B405" s="83"/>
      <c r="C405" s="83"/>
      <c r="D405" s="83"/>
      <c r="E405" s="82"/>
      <c r="F405" s="82"/>
      <c r="G405" s="83"/>
      <c r="H405" s="83"/>
      <c r="I405" s="83"/>
      <c r="J405" s="83"/>
      <c r="K405" s="83"/>
      <c r="L405" s="83"/>
      <c r="M405" s="83"/>
      <c r="N405" s="83"/>
      <c r="O405" s="83"/>
      <c r="P405" s="83"/>
      <c r="Q405" s="83"/>
      <c r="R405" s="83"/>
      <c r="S405" s="83"/>
      <c r="T405" s="83"/>
      <c r="U405" s="83"/>
      <c r="V405" s="83"/>
      <c r="W405" s="83"/>
      <c r="X405" s="83"/>
      <c r="Y405" s="83"/>
      <c r="Z405" s="83"/>
      <c r="AA405" s="83"/>
      <c r="AB405" s="83"/>
      <c r="AC405" s="83"/>
      <c r="AD405" s="83"/>
      <c r="AE405" s="83"/>
      <c r="AF405" s="83"/>
      <c r="AG405" s="83"/>
      <c r="AH405" s="83"/>
      <c r="AI405" s="83"/>
      <c r="AJ405" s="83"/>
      <c r="AK405" s="83"/>
      <c r="AL405" s="83"/>
      <c r="AM405" s="83"/>
      <c r="AN405" s="83"/>
      <c r="AO405" s="83"/>
      <c r="AP405" s="83"/>
      <c r="AQ405" s="83"/>
      <c r="AR405" s="83"/>
      <c r="AS405" s="83"/>
      <c r="AT405" s="83"/>
    </row>
    <row r="406" spans="1:46" ht="13.8">
      <c r="A406" s="83"/>
      <c r="B406" s="83"/>
      <c r="C406" s="83"/>
      <c r="D406" s="83"/>
      <c r="E406" s="82"/>
      <c r="F406" s="82"/>
      <c r="G406" s="83"/>
      <c r="H406" s="83"/>
      <c r="I406" s="83"/>
      <c r="J406" s="83"/>
      <c r="K406" s="83"/>
      <c r="L406" s="83"/>
      <c r="M406" s="83"/>
      <c r="N406" s="83"/>
      <c r="O406" s="83"/>
      <c r="P406" s="83"/>
      <c r="Q406" s="83"/>
      <c r="R406" s="83"/>
      <c r="S406" s="83"/>
      <c r="T406" s="83"/>
      <c r="U406" s="83"/>
      <c r="V406" s="83"/>
      <c r="W406" s="83"/>
      <c r="X406" s="83"/>
      <c r="Y406" s="83"/>
      <c r="Z406" s="83"/>
      <c r="AA406" s="83"/>
      <c r="AB406" s="83"/>
      <c r="AC406" s="83"/>
      <c r="AD406" s="83"/>
      <c r="AE406" s="83"/>
      <c r="AF406" s="83"/>
      <c r="AG406" s="83"/>
      <c r="AH406" s="83"/>
      <c r="AI406" s="83"/>
      <c r="AJ406" s="83"/>
      <c r="AK406" s="83"/>
      <c r="AL406" s="83"/>
      <c r="AM406" s="83"/>
      <c r="AN406" s="83"/>
      <c r="AO406" s="83"/>
      <c r="AP406" s="83"/>
      <c r="AQ406" s="83"/>
      <c r="AR406" s="83"/>
      <c r="AS406" s="83"/>
      <c r="AT406" s="83"/>
    </row>
    <row r="407" spans="1:46" ht="13.8">
      <c r="A407" s="83"/>
      <c r="B407" s="83"/>
      <c r="C407" s="83"/>
      <c r="D407" s="83"/>
      <c r="E407" s="82"/>
      <c r="F407" s="82"/>
      <c r="G407" s="83"/>
      <c r="H407" s="83"/>
      <c r="I407" s="83"/>
      <c r="J407" s="83"/>
      <c r="K407" s="83"/>
      <c r="L407" s="83"/>
      <c r="M407" s="83"/>
      <c r="N407" s="83"/>
      <c r="O407" s="83"/>
      <c r="P407" s="83"/>
      <c r="Q407" s="83"/>
      <c r="R407" s="83"/>
      <c r="S407" s="83"/>
      <c r="T407" s="83"/>
      <c r="U407" s="83"/>
      <c r="V407" s="83"/>
      <c r="W407" s="83"/>
      <c r="X407" s="83"/>
      <c r="Y407" s="83"/>
      <c r="Z407" s="83"/>
      <c r="AA407" s="83"/>
      <c r="AB407" s="83"/>
      <c r="AC407" s="83"/>
      <c r="AD407" s="83"/>
      <c r="AE407" s="83"/>
      <c r="AF407" s="83"/>
      <c r="AG407" s="83"/>
      <c r="AH407" s="83"/>
      <c r="AI407" s="83"/>
      <c r="AJ407" s="83"/>
      <c r="AK407" s="83"/>
      <c r="AL407" s="83"/>
      <c r="AM407" s="83"/>
      <c r="AN407" s="83"/>
      <c r="AO407" s="83"/>
      <c r="AP407" s="83"/>
      <c r="AQ407" s="83"/>
      <c r="AR407" s="83"/>
      <c r="AS407" s="83"/>
      <c r="AT407" s="83"/>
    </row>
    <row r="408" spans="1:46" ht="13.8">
      <c r="A408" s="83"/>
      <c r="B408" s="83"/>
      <c r="C408" s="83"/>
      <c r="D408" s="83"/>
      <c r="E408" s="82"/>
      <c r="F408" s="82"/>
      <c r="G408" s="83"/>
      <c r="H408" s="83"/>
      <c r="I408" s="83"/>
      <c r="J408" s="83"/>
      <c r="K408" s="83"/>
      <c r="L408" s="83"/>
      <c r="M408" s="83"/>
      <c r="N408" s="83"/>
      <c r="O408" s="83"/>
      <c r="P408" s="83"/>
      <c r="Q408" s="83"/>
      <c r="R408" s="83"/>
      <c r="S408" s="83"/>
      <c r="T408" s="83"/>
      <c r="U408" s="83"/>
      <c r="V408" s="83"/>
      <c r="W408" s="83"/>
      <c r="X408" s="83"/>
      <c r="Y408" s="83"/>
      <c r="Z408" s="83"/>
      <c r="AA408" s="83"/>
      <c r="AB408" s="83"/>
      <c r="AC408" s="83"/>
      <c r="AD408" s="83"/>
      <c r="AE408" s="83"/>
      <c r="AF408" s="83"/>
      <c r="AG408" s="83"/>
      <c r="AH408" s="83"/>
      <c r="AI408" s="83"/>
      <c r="AJ408" s="83"/>
      <c r="AK408" s="83"/>
      <c r="AL408" s="83"/>
      <c r="AM408" s="83"/>
      <c r="AN408" s="83"/>
      <c r="AO408" s="83"/>
      <c r="AP408" s="83"/>
      <c r="AQ408" s="83"/>
      <c r="AR408" s="83"/>
      <c r="AS408" s="83"/>
      <c r="AT408" s="83"/>
    </row>
    <row r="409" spans="1:46" ht="13.8">
      <c r="A409" s="83"/>
      <c r="B409" s="83"/>
      <c r="C409" s="83"/>
      <c r="D409" s="83"/>
      <c r="E409" s="82"/>
      <c r="F409" s="82"/>
      <c r="G409" s="83"/>
      <c r="H409" s="83"/>
      <c r="I409" s="83"/>
      <c r="J409" s="83"/>
      <c r="K409" s="83"/>
      <c r="L409" s="83"/>
      <c r="M409" s="83"/>
      <c r="N409" s="83"/>
      <c r="O409" s="83"/>
      <c r="P409" s="83"/>
      <c r="Q409" s="83"/>
      <c r="R409" s="83"/>
      <c r="S409" s="83"/>
      <c r="T409" s="83"/>
      <c r="U409" s="83"/>
      <c r="V409" s="83"/>
      <c r="W409" s="83"/>
      <c r="X409" s="83"/>
      <c r="Y409" s="83"/>
      <c r="Z409" s="83"/>
      <c r="AA409" s="83"/>
      <c r="AB409" s="83"/>
      <c r="AC409" s="83"/>
      <c r="AD409" s="83"/>
      <c r="AE409" s="83"/>
      <c r="AF409" s="83"/>
      <c r="AG409" s="83"/>
      <c r="AH409" s="83"/>
      <c r="AI409" s="83"/>
      <c r="AJ409" s="83"/>
      <c r="AK409" s="83"/>
      <c r="AL409" s="83"/>
      <c r="AM409" s="83"/>
      <c r="AN409" s="83"/>
      <c r="AO409" s="83"/>
      <c r="AP409" s="83"/>
      <c r="AQ409" s="83"/>
      <c r="AR409" s="83"/>
      <c r="AS409" s="83"/>
      <c r="AT409" s="83"/>
    </row>
    <row r="410" spans="1:46" ht="13.8">
      <c r="A410" s="83"/>
      <c r="B410" s="83"/>
      <c r="C410" s="83"/>
      <c r="D410" s="83"/>
      <c r="E410" s="82"/>
      <c r="F410" s="82"/>
      <c r="G410" s="83"/>
      <c r="H410" s="83"/>
      <c r="I410" s="83"/>
      <c r="J410" s="83"/>
      <c r="K410" s="83"/>
      <c r="L410" s="83"/>
      <c r="M410" s="83"/>
      <c r="N410" s="83"/>
      <c r="O410" s="83"/>
      <c r="P410" s="83"/>
      <c r="Q410" s="83"/>
      <c r="R410" s="83"/>
      <c r="S410" s="83"/>
      <c r="T410" s="83"/>
      <c r="U410" s="83"/>
      <c r="V410" s="83"/>
      <c r="W410" s="83"/>
      <c r="X410" s="83"/>
      <c r="Y410" s="83"/>
      <c r="Z410" s="83"/>
      <c r="AA410" s="83"/>
      <c r="AB410" s="83"/>
      <c r="AC410" s="83"/>
      <c r="AD410" s="83"/>
      <c r="AE410" s="83"/>
      <c r="AF410" s="83"/>
      <c r="AG410" s="83"/>
      <c r="AH410" s="83"/>
      <c r="AI410" s="83"/>
      <c r="AJ410" s="83"/>
      <c r="AK410" s="83"/>
      <c r="AL410" s="83"/>
      <c r="AM410" s="83"/>
      <c r="AN410" s="83"/>
      <c r="AO410" s="83"/>
      <c r="AP410" s="83"/>
      <c r="AQ410" s="83"/>
      <c r="AR410" s="83"/>
      <c r="AS410" s="83"/>
      <c r="AT410" s="83"/>
    </row>
    <row r="411" spans="1:46" ht="13.8">
      <c r="A411" s="83"/>
      <c r="B411" s="83"/>
      <c r="C411" s="83"/>
      <c r="D411" s="83"/>
      <c r="E411" s="82"/>
      <c r="F411" s="82"/>
      <c r="G411" s="83"/>
      <c r="H411" s="83"/>
      <c r="I411" s="83"/>
      <c r="J411" s="83"/>
      <c r="K411" s="83"/>
      <c r="L411" s="83"/>
      <c r="M411" s="83"/>
      <c r="N411" s="83"/>
      <c r="O411" s="83"/>
      <c r="P411" s="83"/>
      <c r="Q411" s="83"/>
      <c r="R411" s="83"/>
      <c r="S411" s="83"/>
      <c r="T411" s="83"/>
      <c r="U411" s="83"/>
      <c r="V411" s="83"/>
      <c r="W411" s="83"/>
      <c r="X411" s="83"/>
      <c r="Y411" s="83"/>
      <c r="Z411" s="83"/>
      <c r="AA411" s="83"/>
      <c r="AB411" s="83"/>
      <c r="AC411" s="83"/>
      <c r="AD411" s="83"/>
      <c r="AE411" s="83"/>
      <c r="AF411" s="83"/>
      <c r="AG411" s="83"/>
      <c r="AH411" s="83"/>
      <c r="AI411" s="83"/>
      <c r="AJ411" s="83"/>
      <c r="AK411" s="83"/>
      <c r="AL411" s="83"/>
      <c r="AM411" s="83"/>
      <c r="AN411" s="83"/>
      <c r="AO411" s="83"/>
      <c r="AP411" s="83"/>
      <c r="AQ411" s="83"/>
      <c r="AR411" s="83"/>
      <c r="AS411" s="83"/>
      <c r="AT411" s="83"/>
    </row>
    <row r="412" spans="1:46" ht="13.8">
      <c r="A412" s="83"/>
      <c r="B412" s="83"/>
      <c r="C412" s="83"/>
      <c r="D412" s="83"/>
      <c r="E412" s="82"/>
      <c r="F412" s="82"/>
      <c r="G412" s="83"/>
      <c r="H412" s="83"/>
      <c r="I412" s="83"/>
      <c r="J412" s="83"/>
      <c r="K412" s="83"/>
      <c r="L412" s="83"/>
      <c r="M412" s="83"/>
      <c r="N412" s="83"/>
      <c r="O412" s="83"/>
      <c r="P412" s="83"/>
      <c r="Q412" s="83"/>
      <c r="R412" s="83"/>
      <c r="S412" s="83"/>
      <c r="T412" s="83"/>
      <c r="U412" s="83"/>
      <c r="V412" s="83"/>
      <c r="W412" s="83"/>
      <c r="X412" s="83"/>
      <c r="Y412" s="83"/>
      <c r="Z412" s="83"/>
      <c r="AA412" s="83"/>
      <c r="AB412" s="83"/>
      <c r="AC412" s="83"/>
      <c r="AD412" s="83"/>
      <c r="AE412" s="83"/>
      <c r="AF412" s="83"/>
      <c r="AG412" s="83"/>
      <c r="AH412" s="83"/>
      <c r="AI412" s="83"/>
      <c r="AJ412" s="83"/>
      <c r="AK412" s="83"/>
      <c r="AL412" s="83"/>
      <c r="AM412" s="83"/>
      <c r="AN412" s="83"/>
      <c r="AO412" s="83"/>
      <c r="AP412" s="83"/>
      <c r="AQ412" s="83"/>
      <c r="AR412" s="83"/>
      <c r="AS412" s="83"/>
      <c r="AT412" s="83"/>
    </row>
    <row r="413" spans="1:46" ht="13.8">
      <c r="A413" s="83"/>
      <c r="B413" s="83"/>
      <c r="C413" s="83"/>
      <c r="D413" s="83"/>
      <c r="E413" s="82"/>
      <c r="F413" s="82"/>
      <c r="G413" s="83"/>
      <c r="H413" s="83"/>
      <c r="I413" s="83"/>
      <c r="J413" s="83"/>
      <c r="K413" s="83"/>
      <c r="L413" s="83"/>
      <c r="M413" s="83"/>
      <c r="N413" s="83"/>
      <c r="O413" s="83"/>
      <c r="P413" s="83"/>
      <c r="Q413" s="83"/>
      <c r="R413" s="83"/>
      <c r="S413" s="83"/>
      <c r="T413" s="83"/>
      <c r="U413" s="83"/>
      <c r="V413" s="83"/>
      <c r="W413" s="83"/>
      <c r="X413" s="83"/>
      <c r="Y413" s="83"/>
      <c r="Z413" s="83"/>
      <c r="AA413" s="83"/>
      <c r="AB413" s="83"/>
      <c r="AC413" s="83"/>
      <c r="AD413" s="83"/>
      <c r="AE413" s="83"/>
      <c r="AF413" s="83"/>
      <c r="AG413" s="83"/>
      <c r="AH413" s="83"/>
      <c r="AI413" s="83"/>
      <c r="AJ413" s="83"/>
      <c r="AK413" s="83"/>
      <c r="AL413" s="83"/>
      <c r="AM413" s="83"/>
      <c r="AN413" s="83"/>
      <c r="AO413" s="83"/>
      <c r="AP413" s="83"/>
      <c r="AQ413" s="83"/>
      <c r="AR413" s="83"/>
      <c r="AS413" s="83"/>
      <c r="AT413" s="83"/>
    </row>
    <row r="414" spans="1:46" ht="13.8">
      <c r="A414" s="83"/>
      <c r="B414" s="83"/>
      <c r="C414" s="83"/>
      <c r="D414" s="83"/>
      <c r="E414" s="82"/>
      <c r="F414" s="82"/>
      <c r="G414" s="83"/>
      <c r="H414" s="83"/>
      <c r="I414" s="83"/>
      <c r="J414" s="83"/>
      <c r="K414" s="83"/>
      <c r="L414" s="83"/>
      <c r="M414" s="83"/>
      <c r="N414" s="83"/>
      <c r="O414" s="83"/>
      <c r="P414" s="83"/>
      <c r="Q414" s="83"/>
      <c r="R414" s="83"/>
      <c r="S414" s="83"/>
      <c r="T414" s="83"/>
      <c r="U414" s="83"/>
      <c r="V414" s="83"/>
      <c r="W414" s="83"/>
      <c r="X414" s="83"/>
      <c r="Y414" s="83"/>
      <c r="Z414" s="83"/>
      <c r="AA414" s="83"/>
      <c r="AB414" s="83"/>
      <c r="AC414" s="83"/>
      <c r="AD414" s="83"/>
      <c r="AE414" s="83"/>
      <c r="AF414" s="83"/>
      <c r="AG414" s="83"/>
      <c r="AH414" s="83"/>
      <c r="AI414" s="83"/>
      <c r="AJ414" s="83"/>
      <c r="AK414" s="83"/>
      <c r="AL414" s="83"/>
      <c r="AM414" s="83"/>
      <c r="AN414" s="83"/>
      <c r="AO414" s="83"/>
      <c r="AP414" s="83"/>
      <c r="AQ414" s="83"/>
      <c r="AR414" s="83"/>
      <c r="AS414" s="83"/>
      <c r="AT414" s="83"/>
    </row>
    <row r="415" spans="1:46" ht="13.8">
      <c r="A415" s="83"/>
      <c r="B415" s="83"/>
      <c r="C415" s="83"/>
      <c r="D415" s="83"/>
      <c r="E415" s="82"/>
      <c r="F415" s="82"/>
      <c r="G415" s="83"/>
      <c r="H415" s="83"/>
      <c r="I415" s="83"/>
      <c r="J415" s="83"/>
      <c r="K415" s="83"/>
      <c r="L415" s="83"/>
      <c r="M415" s="83"/>
      <c r="N415" s="83"/>
      <c r="O415" s="83"/>
      <c r="P415" s="83"/>
      <c r="Q415" s="83"/>
      <c r="R415" s="83"/>
      <c r="S415" s="83"/>
      <c r="T415" s="83"/>
      <c r="U415" s="83"/>
      <c r="V415" s="83"/>
      <c r="W415" s="83"/>
      <c r="X415" s="83"/>
      <c r="Y415" s="83"/>
      <c r="Z415" s="83"/>
      <c r="AA415" s="83"/>
      <c r="AB415" s="83"/>
      <c r="AC415" s="83"/>
      <c r="AD415" s="83"/>
      <c r="AE415" s="83"/>
      <c r="AF415" s="83"/>
      <c r="AG415" s="83"/>
      <c r="AH415" s="83"/>
      <c r="AI415" s="83"/>
      <c r="AJ415" s="83"/>
      <c r="AK415" s="83"/>
      <c r="AL415" s="83"/>
      <c r="AM415" s="83"/>
      <c r="AN415" s="83"/>
      <c r="AO415" s="83"/>
      <c r="AP415" s="83"/>
      <c r="AQ415" s="83"/>
      <c r="AR415" s="83"/>
      <c r="AS415" s="83"/>
      <c r="AT415" s="83"/>
    </row>
    <row r="416" spans="1:46" ht="13.8">
      <c r="A416" s="83"/>
      <c r="B416" s="83"/>
      <c r="C416" s="83"/>
      <c r="D416" s="83"/>
      <c r="E416" s="82"/>
      <c r="F416" s="82"/>
      <c r="G416" s="83"/>
      <c r="H416" s="83"/>
      <c r="I416" s="83"/>
      <c r="J416" s="83"/>
      <c r="K416" s="83"/>
      <c r="L416" s="83"/>
      <c r="M416" s="83"/>
      <c r="N416" s="83"/>
      <c r="O416" s="83"/>
      <c r="P416" s="83"/>
      <c r="Q416" s="83"/>
      <c r="R416" s="83"/>
      <c r="S416" s="83"/>
      <c r="T416" s="83"/>
      <c r="U416" s="83"/>
      <c r="V416" s="83"/>
      <c r="W416" s="83"/>
      <c r="X416" s="83"/>
      <c r="Y416" s="83"/>
      <c r="Z416" s="83"/>
      <c r="AA416" s="83"/>
      <c r="AB416" s="83"/>
      <c r="AC416" s="83"/>
      <c r="AD416" s="83"/>
      <c r="AE416" s="83"/>
      <c r="AF416" s="83"/>
      <c r="AG416" s="83"/>
      <c r="AH416" s="83"/>
      <c r="AI416" s="83"/>
      <c r="AJ416" s="83"/>
      <c r="AK416" s="83"/>
      <c r="AL416" s="83"/>
      <c r="AM416" s="83"/>
      <c r="AN416" s="83"/>
      <c r="AO416" s="83"/>
      <c r="AP416" s="83"/>
      <c r="AQ416" s="83"/>
      <c r="AR416" s="83"/>
      <c r="AS416" s="83"/>
      <c r="AT416" s="83"/>
    </row>
    <row r="417" spans="1:46" ht="13.8">
      <c r="A417" s="83"/>
      <c r="B417" s="83"/>
      <c r="C417" s="83"/>
      <c r="D417" s="83"/>
      <c r="E417" s="82"/>
      <c r="F417" s="82"/>
      <c r="G417" s="83"/>
      <c r="H417" s="83"/>
      <c r="I417" s="83"/>
      <c r="J417" s="83"/>
      <c r="K417" s="83"/>
      <c r="L417" s="83"/>
      <c r="M417" s="83"/>
      <c r="N417" s="83"/>
      <c r="O417" s="83"/>
      <c r="P417" s="83"/>
      <c r="Q417" s="83"/>
      <c r="R417" s="83"/>
      <c r="S417" s="83"/>
      <c r="T417" s="83"/>
      <c r="U417" s="83"/>
      <c r="V417" s="83"/>
      <c r="W417" s="83"/>
      <c r="X417" s="83"/>
      <c r="Y417" s="83"/>
      <c r="Z417" s="83"/>
      <c r="AA417" s="83"/>
      <c r="AB417" s="83"/>
      <c r="AC417" s="83"/>
      <c r="AD417" s="83"/>
      <c r="AE417" s="83"/>
      <c r="AF417" s="83"/>
      <c r="AG417" s="83"/>
      <c r="AH417" s="83"/>
      <c r="AI417" s="83"/>
      <c r="AJ417" s="83"/>
      <c r="AK417" s="83"/>
      <c r="AL417" s="83"/>
      <c r="AM417" s="83"/>
      <c r="AN417" s="83"/>
      <c r="AO417" s="83"/>
      <c r="AP417" s="83"/>
      <c r="AQ417" s="83"/>
      <c r="AR417" s="83"/>
      <c r="AS417" s="83"/>
      <c r="AT417" s="83"/>
    </row>
    <row r="418" spans="1:46" ht="13.8">
      <c r="A418" s="83"/>
      <c r="B418" s="83"/>
      <c r="C418" s="83"/>
      <c r="D418" s="83"/>
      <c r="E418" s="82"/>
      <c r="F418" s="82"/>
      <c r="G418" s="83"/>
      <c r="H418" s="83"/>
      <c r="I418" s="83"/>
      <c r="J418" s="83"/>
      <c r="K418" s="83"/>
      <c r="L418" s="83"/>
      <c r="M418" s="83"/>
      <c r="N418" s="83"/>
      <c r="O418" s="83"/>
      <c r="P418" s="83"/>
      <c r="Q418" s="83"/>
      <c r="R418" s="83"/>
      <c r="S418" s="83"/>
      <c r="T418" s="83"/>
      <c r="U418" s="83"/>
      <c r="V418" s="83"/>
      <c r="W418" s="83"/>
      <c r="X418" s="83"/>
      <c r="Y418" s="83"/>
      <c r="Z418" s="83"/>
      <c r="AA418" s="83"/>
      <c r="AB418" s="83"/>
      <c r="AC418" s="83"/>
      <c r="AD418" s="83"/>
      <c r="AE418" s="83"/>
      <c r="AF418" s="83"/>
      <c r="AG418" s="83"/>
      <c r="AH418" s="83"/>
      <c r="AI418" s="83"/>
      <c r="AJ418" s="83"/>
      <c r="AK418" s="83"/>
      <c r="AL418" s="83"/>
      <c r="AM418" s="83"/>
      <c r="AN418" s="83"/>
      <c r="AO418" s="83"/>
      <c r="AP418" s="83"/>
      <c r="AQ418" s="83"/>
      <c r="AR418" s="83"/>
      <c r="AS418" s="83"/>
      <c r="AT418" s="83"/>
    </row>
    <row r="419" spans="1:46" ht="13.8">
      <c r="A419" s="83"/>
      <c r="B419" s="83"/>
      <c r="C419" s="83"/>
      <c r="D419" s="83"/>
      <c r="E419" s="82"/>
      <c r="F419" s="82"/>
      <c r="G419" s="83"/>
      <c r="H419" s="83"/>
      <c r="I419" s="83"/>
      <c r="J419" s="83"/>
      <c r="K419" s="83"/>
      <c r="L419" s="83"/>
      <c r="M419" s="83"/>
      <c r="N419" s="83"/>
      <c r="O419" s="83"/>
      <c r="P419" s="83"/>
      <c r="Q419" s="83"/>
      <c r="R419" s="83"/>
      <c r="S419" s="83"/>
      <c r="T419" s="83"/>
      <c r="U419" s="83"/>
      <c r="V419" s="83"/>
      <c r="W419" s="83"/>
      <c r="X419" s="83"/>
      <c r="Y419" s="83"/>
      <c r="Z419" s="83"/>
      <c r="AA419" s="83"/>
      <c r="AB419" s="83"/>
      <c r="AC419" s="83"/>
      <c r="AD419" s="83"/>
      <c r="AE419" s="83"/>
      <c r="AF419" s="83"/>
      <c r="AG419" s="83"/>
      <c r="AH419" s="83"/>
      <c r="AI419" s="83"/>
      <c r="AJ419" s="83"/>
      <c r="AK419" s="83"/>
      <c r="AL419" s="83"/>
      <c r="AM419" s="83"/>
      <c r="AN419" s="83"/>
      <c r="AO419" s="83"/>
      <c r="AP419" s="83"/>
      <c r="AQ419" s="83"/>
      <c r="AR419" s="83"/>
      <c r="AS419" s="83"/>
      <c r="AT419" s="83"/>
    </row>
    <row r="420" spans="1:46" ht="13.8">
      <c r="A420" s="83"/>
      <c r="B420" s="83"/>
      <c r="C420" s="83"/>
      <c r="D420" s="83"/>
      <c r="E420" s="82"/>
      <c r="F420" s="82"/>
      <c r="G420" s="83"/>
      <c r="H420" s="83"/>
      <c r="I420" s="83"/>
      <c r="J420" s="83"/>
      <c r="K420" s="83"/>
      <c r="L420" s="83"/>
      <c r="M420" s="83"/>
      <c r="N420" s="83"/>
      <c r="O420" s="83"/>
      <c r="P420" s="83"/>
      <c r="Q420" s="83"/>
      <c r="R420" s="83"/>
      <c r="S420" s="83"/>
      <c r="T420" s="83"/>
      <c r="U420" s="83"/>
      <c r="V420" s="83"/>
      <c r="W420" s="83"/>
      <c r="X420" s="83"/>
      <c r="Y420" s="83"/>
      <c r="Z420" s="83"/>
      <c r="AA420" s="83"/>
      <c r="AB420" s="83"/>
      <c r="AC420" s="83"/>
      <c r="AD420" s="83"/>
      <c r="AE420" s="83"/>
      <c r="AF420" s="83"/>
      <c r="AG420" s="83"/>
      <c r="AH420" s="83"/>
      <c r="AI420" s="83"/>
      <c r="AJ420" s="83"/>
      <c r="AK420" s="83"/>
      <c r="AL420" s="83"/>
      <c r="AM420" s="83"/>
      <c r="AN420" s="83"/>
      <c r="AO420" s="83"/>
      <c r="AP420" s="83"/>
      <c r="AQ420" s="83"/>
      <c r="AR420" s="83"/>
      <c r="AS420" s="83"/>
      <c r="AT420" s="83"/>
    </row>
    <row r="421" spans="1:46" ht="13.8">
      <c r="A421" s="83"/>
      <c r="B421" s="83"/>
      <c r="C421" s="83"/>
      <c r="D421" s="83"/>
      <c r="E421" s="82"/>
      <c r="F421" s="82"/>
      <c r="G421" s="83"/>
      <c r="H421" s="83"/>
      <c r="I421" s="83"/>
      <c r="J421" s="83"/>
      <c r="K421" s="83"/>
      <c r="L421" s="83"/>
      <c r="M421" s="83"/>
      <c r="N421" s="83"/>
      <c r="O421" s="83"/>
      <c r="P421" s="83"/>
      <c r="Q421" s="83"/>
      <c r="R421" s="83"/>
      <c r="S421" s="83"/>
      <c r="T421" s="83"/>
      <c r="U421" s="83"/>
      <c r="V421" s="83"/>
      <c r="W421" s="83"/>
      <c r="X421" s="83"/>
      <c r="Y421" s="83"/>
      <c r="Z421" s="83"/>
      <c r="AA421" s="83"/>
      <c r="AB421" s="83"/>
      <c r="AC421" s="83"/>
      <c r="AD421" s="83"/>
      <c r="AE421" s="83"/>
      <c r="AF421" s="83"/>
      <c r="AG421" s="83"/>
      <c r="AH421" s="83"/>
      <c r="AI421" s="83"/>
      <c r="AJ421" s="83"/>
      <c r="AK421" s="83"/>
      <c r="AL421" s="83"/>
      <c r="AM421" s="83"/>
      <c r="AN421" s="83"/>
      <c r="AO421" s="83"/>
      <c r="AP421" s="83"/>
      <c r="AQ421" s="83"/>
      <c r="AR421" s="83"/>
      <c r="AS421" s="83"/>
      <c r="AT421" s="83"/>
    </row>
    <row r="422" spans="1:46" ht="13.8">
      <c r="A422" s="83"/>
      <c r="B422" s="83"/>
      <c r="C422" s="83"/>
      <c r="D422" s="83"/>
      <c r="E422" s="82"/>
      <c r="F422" s="82"/>
      <c r="G422" s="83"/>
      <c r="H422" s="83"/>
      <c r="I422" s="83"/>
      <c r="J422" s="83"/>
      <c r="K422" s="83"/>
      <c r="L422" s="83"/>
      <c r="M422" s="83"/>
      <c r="N422" s="83"/>
      <c r="O422" s="83"/>
      <c r="P422" s="83"/>
      <c r="Q422" s="83"/>
      <c r="R422" s="83"/>
      <c r="S422" s="83"/>
      <c r="T422" s="83"/>
      <c r="U422" s="83"/>
      <c r="V422" s="83"/>
      <c r="W422" s="83"/>
      <c r="X422" s="83"/>
      <c r="Y422" s="83"/>
      <c r="Z422" s="83"/>
      <c r="AA422" s="83"/>
      <c r="AB422" s="83"/>
      <c r="AC422" s="83"/>
      <c r="AD422" s="83"/>
      <c r="AE422" s="83"/>
      <c r="AF422" s="83"/>
      <c r="AG422" s="83"/>
      <c r="AH422" s="83"/>
      <c r="AI422" s="83"/>
      <c r="AJ422" s="83"/>
      <c r="AK422" s="83"/>
      <c r="AL422" s="83"/>
      <c r="AM422" s="83"/>
      <c r="AN422" s="83"/>
      <c r="AO422" s="83"/>
      <c r="AP422" s="83"/>
      <c r="AQ422" s="83"/>
      <c r="AR422" s="83"/>
      <c r="AS422" s="83"/>
      <c r="AT422" s="83"/>
    </row>
    <row r="423" spans="1:46" ht="13.8">
      <c r="A423" s="83"/>
      <c r="B423" s="83"/>
      <c r="C423" s="83"/>
      <c r="D423" s="83"/>
      <c r="E423" s="82"/>
      <c r="F423" s="82"/>
      <c r="G423" s="83"/>
      <c r="H423" s="83"/>
      <c r="I423" s="83"/>
      <c r="J423" s="83"/>
      <c r="K423" s="83"/>
      <c r="L423" s="83"/>
      <c r="M423" s="83"/>
      <c r="N423" s="83"/>
      <c r="O423" s="83"/>
      <c r="P423" s="83"/>
      <c r="Q423" s="83"/>
      <c r="R423" s="83"/>
      <c r="S423" s="83"/>
      <c r="T423" s="83"/>
      <c r="U423" s="83"/>
      <c r="V423" s="83"/>
      <c r="W423" s="83"/>
      <c r="X423" s="83"/>
      <c r="Y423" s="83"/>
      <c r="Z423" s="83"/>
      <c r="AA423" s="83"/>
      <c r="AB423" s="83"/>
      <c r="AC423" s="83"/>
      <c r="AD423" s="83"/>
      <c r="AE423" s="83"/>
      <c r="AF423" s="83"/>
      <c r="AG423" s="83"/>
      <c r="AH423" s="83"/>
      <c r="AI423" s="83"/>
      <c r="AJ423" s="83"/>
      <c r="AK423" s="83"/>
      <c r="AL423" s="83"/>
      <c r="AM423" s="83"/>
      <c r="AN423" s="83"/>
      <c r="AO423" s="83"/>
      <c r="AP423" s="83"/>
      <c r="AQ423" s="83"/>
      <c r="AR423" s="83"/>
      <c r="AS423" s="83"/>
      <c r="AT423" s="83"/>
    </row>
    <row r="424" spans="1:46" ht="13.8">
      <c r="A424" s="83"/>
      <c r="B424" s="83"/>
      <c r="C424" s="83"/>
      <c r="D424" s="83"/>
      <c r="E424" s="82"/>
      <c r="F424" s="82"/>
      <c r="G424" s="83"/>
      <c r="H424" s="83"/>
      <c r="I424" s="83"/>
      <c r="J424" s="83"/>
      <c r="K424" s="83"/>
      <c r="L424" s="83"/>
      <c r="M424" s="83"/>
      <c r="N424" s="83"/>
      <c r="O424" s="83"/>
      <c r="P424" s="83"/>
      <c r="Q424" s="83"/>
      <c r="R424" s="83"/>
      <c r="S424" s="83"/>
      <c r="T424" s="83"/>
      <c r="U424" s="83"/>
      <c r="V424" s="83"/>
      <c r="W424" s="83"/>
      <c r="X424" s="83"/>
      <c r="Y424" s="83"/>
      <c r="Z424" s="83"/>
      <c r="AA424" s="83"/>
      <c r="AB424" s="83"/>
      <c r="AC424" s="83"/>
      <c r="AD424" s="83"/>
      <c r="AE424" s="83"/>
      <c r="AF424" s="83"/>
      <c r="AG424" s="83"/>
      <c r="AH424" s="83"/>
      <c r="AI424" s="83"/>
      <c r="AJ424" s="83"/>
      <c r="AK424" s="83"/>
      <c r="AL424" s="83"/>
      <c r="AM424" s="83"/>
      <c r="AN424" s="83"/>
      <c r="AO424" s="83"/>
      <c r="AP424" s="83"/>
      <c r="AQ424" s="83"/>
      <c r="AR424" s="83"/>
      <c r="AS424" s="83"/>
      <c r="AT424" s="83"/>
    </row>
    <row r="425" spans="1:46" ht="13.8">
      <c r="A425" s="83"/>
      <c r="B425" s="83"/>
      <c r="C425" s="83"/>
      <c r="D425" s="83"/>
      <c r="E425" s="82"/>
      <c r="F425" s="82"/>
      <c r="G425" s="83"/>
      <c r="H425" s="83"/>
      <c r="I425" s="83"/>
      <c r="J425" s="83"/>
      <c r="K425" s="83"/>
      <c r="L425" s="83"/>
      <c r="M425" s="83"/>
      <c r="N425" s="83"/>
      <c r="O425" s="83"/>
      <c r="P425" s="83"/>
      <c r="Q425" s="83"/>
      <c r="R425" s="83"/>
      <c r="S425" s="83"/>
      <c r="T425" s="83"/>
      <c r="U425" s="83"/>
      <c r="V425" s="83"/>
      <c r="W425" s="83"/>
      <c r="X425" s="83"/>
      <c r="Y425" s="83"/>
      <c r="Z425" s="83"/>
      <c r="AA425" s="83"/>
      <c r="AB425" s="83"/>
      <c r="AC425" s="83"/>
      <c r="AD425" s="83"/>
      <c r="AE425" s="83"/>
      <c r="AF425" s="83"/>
      <c r="AG425" s="83"/>
      <c r="AH425" s="83"/>
      <c r="AI425" s="83"/>
      <c r="AJ425" s="83"/>
      <c r="AK425" s="83"/>
      <c r="AL425" s="83"/>
      <c r="AM425" s="83"/>
      <c r="AN425" s="83"/>
      <c r="AO425" s="83"/>
      <c r="AP425" s="83"/>
      <c r="AQ425" s="83"/>
      <c r="AR425" s="83"/>
      <c r="AS425" s="83"/>
      <c r="AT425" s="83"/>
    </row>
    <row r="426" spans="1:46" ht="13.8">
      <c r="A426" s="83"/>
      <c r="B426" s="83"/>
      <c r="C426" s="83"/>
      <c r="D426" s="83"/>
      <c r="E426" s="82"/>
      <c r="F426" s="82"/>
      <c r="G426" s="83"/>
      <c r="H426" s="83"/>
      <c r="I426" s="83"/>
      <c r="J426" s="83"/>
      <c r="K426" s="83"/>
      <c r="L426" s="83"/>
      <c r="M426" s="83"/>
      <c r="N426" s="83"/>
      <c r="O426" s="83"/>
      <c r="P426" s="83"/>
      <c r="Q426" s="83"/>
      <c r="R426" s="83"/>
      <c r="S426" s="83"/>
      <c r="T426" s="83"/>
      <c r="U426" s="83"/>
      <c r="V426" s="83"/>
      <c r="W426" s="83"/>
      <c r="X426" s="83"/>
      <c r="Y426" s="83"/>
      <c r="Z426" s="83"/>
      <c r="AA426" s="83"/>
      <c r="AB426" s="83"/>
      <c r="AC426" s="83"/>
      <c r="AD426" s="83"/>
      <c r="AE426" s="83"/>
      <c r="AF426" s="83"/>
      <c r="AG426" s="83"/>
      <c r="AH426" s="83"/>
      <c r="AI426" s="83"/>
      <c r="AJ426" s="83"/>
      <c r="AK426" s="83"/>
      <c r="AL426" s="83"/>
      <c r="AM426" s="83"/>
      <c r="AN426" s="83"/>
      <c r="AO426" s="83"/>
      <c r="AP426" s="83"/>
      <c r="AQ426" s="83"/>
      <c r="AR426" s="83"/>
      <c r="AS426" s="83"/>
      <c r="AT426" s="83"/>
    </row>
    <row r="427" spans="1:46" ht="13.8">
      <c r="A427" s="83"/>
      <c r="B427" s="83"/>
      <c r="C427" s="83"/>
      <c r="D427" s="83"/>
      <c r="E427" s="82"/>
      <c r="F427" s="82"/>
      <c r="G427" s="83"/>
      <c r="H427" s="83"/>
      <c r="I427" s="83"/>
      <c r="J427" s="83"/>
      <c r="K427" s="83"/>
      <c r="L427" s="83"/>
      <c r="M427" s="83"/>
      <c r="N427" s="83"/>
      <c r="O427" s="83"/>
      <c r="P427" s="83"/>
      <c r="Q427" s="83"/>
      <c r="R427" s="83"/>
      <c r="S427" s="83"/>
      <c r="T427" s="83"/>
      <c r="U427" s="83"/>
      <c r="V427" s="83"/>
      <c r="W427" s="83"/>
      <c r="X427" s="83"/>
      <c r="Y427" s="83"/>
      <c r="Z427" s="83"/>
      <c r="AA427" s="83"/>
      <c r="AB427" s="83"/>
      <c r="AC427" s="83"/>
      <c r="AD427" s="83"/>
      <c r="AE427" s="83"/>
      <c r="AF427" s="83"/>
      <c r="AG427" s="83"/>
      <c r="AH427" s="83"/>
      <c r="AI427" s="83"/>
      <c r="AJ427" s="83"/>
      <c r="AK427" s="83"/>
      <c r="AL427" s="83"/>
      <c r="AM427" s="83"/>
      <c r="AN427" s="83"/>
      <c r="AO427" s="83"/>
      <c r="AP427" s="83"/>
      <c r="AQ427" s="83"/>
      <c r="AR427" s="83"/>
      <c r="AS427" s="83"/>
      <c r="AT427" s="83"/>
    </row>
    <row r="428" spans="1:46" ht="13.8">
      <c r="A428" s="83"/>
      <c r="B428" s="83"/>
      <c r="C428" s="83"/>
      <c r="D428" s="83"/>
      <c r="E428" s="82"/>
      <c r="F428" s="82"/>
      <c r="G428" s="83"/>
      <c r="H428" s="83"/>
      <c r="I428" s="83"/>
      <c r="J428" s="83"/>
      <c r="K428" s="83"/>
      <c r="L428" s="83"/>
      <c r="M428" s="83"/>
      <c r="N428" s="83"/>
      <c r="O428" s="83"/>
      <c r="P428" s="83"/>
      <c r="Q428" s="83"/>
      <c r="R428" s="83"/>
      <c r="S428" s="83"/>
      <c r="T428" s="83"/>
      <c r="U428" s="83"/>
      <c r="V428" s="83"/>
      <c r="W428" s="83"/>
      <c r="X428" s="83"/>
      <c r="Y428" s="83"/>
      <c r="Z428" s="83"/>
      <c r="AA428" s="83"/>
      <c r="AB428" s="83"/>
      <c r="AC428" s="83"/>
      <c r="AD428" s="83"/>
      <c r="AE428" s="83"/>
      <c r="AF428" s="83"/>
      <c r="AG428" s="83"/>
      <c r="AH428" s="83"/>
      <c r="AI428" s="83"/>
      <c r="AJ428" s="83"/>
      <c r="AK428" s="83"/>
      <c r="AL428" s="83"/>
      <c r="AM428" s="83"/>
      <c r="AN428" s="83"/>
      <c r="AO428" s="83"/>
      <c r="AP428" s="83"/>
      <c r="AQ428" s="83"/>
      <c r="AR428" s="83"/>
      <c r="AS428" s="83"/>
      <c r="AT428" s="83"/>
    </row>
    <row r="429" spans="1:46" ht="13.8">
      <c r="A429" s="83"/>
      <c r="B429" s="83"/>
      <c r="C429" s="83"/>
      <c r="D429" s="83"/>
      <c r="E429" s="82"/>
      <c r="F429" s="82"/>
      <c r="G429" s="83"/>
      <c r="H429" s="83"/>
      <c r="I429" s="83"/>
      <c r="J429" s="83"/>
      <c r="K429" s="83"/>
      <c r="L429" s="83"/>
      <c r="M429" s="83"/>
      <c r="N429" s="83"/>
      <c r="O429" s="83"/>
      <c r="P429" s="83"/>
      <c r="Q429" s="83"/>
      <c r="R429" s="83"/>
      <c r="S429" s="83"/>
      <c r="T429" s="83"/>
      <c r="U429" s="83"/>
      <c r="V429" s="83"/>
      <c r="W429" s="83"/>
      <c r="X429" s="83"/>
      <c r="Y429" s="83"/>
      <c r="Z429" s="83"/>
      <c r="AA429" s="83"/>
      <c r="AB429" s="83"/>
      <c r="AC429" s="83"/>
      <c r="AD429" s="83"/>
      <c r="AE429" s="83"/>
      <c r="AF429" s="83"/>
      <c r="AG429" s="83"/>
      <c r="AH429" s="83"/>
      <c r="AI429" s="83"/>
      <c r="AJ429" s="83"/>
      <c r="AK429" s="83"/>
      <c r="AL429" s="83"/>
      <c r="AM429" s="83"/>
      <c r="AN429" s="83"/>
      <c r="AO429" s="83"/>
      <c r="AP429" s="83"/>
      <c r="AQ429" s="83"/>
      <c r="AR429" s="83"/>
      <c r="AS429" s="83"/>
      <c r="AT429" s="83"/>
    </row>
    <row r="430" spans="1:46" ht="13.8">
      <c r="A430" s="83"/>
      <c r="B430" s="83"/>
      <c r="C430" s="83"/>
      <c r="D430" s="83"/>
      <c r="E430" s="82"/>
      <c r="F430" s="82"/>
      <c r="G430" s="83"/>
      <c r="H430" s="83"/>
      <c r="I430" s="83"/>
      <c r="J430" s="83"/>
      <c r="K430" s="83"/>
      <c r="L430" s="83"/>
      <c r="M430" s="83"/>
      <c r="N430" s="83"/>
      <c r="O430" s="83"/>
      <c r="P430" s="83"/>
      <c r="Q430" s="83"/>
      <c r="R430" s="83"/>
      <c r="S430" s="83"/>
      <c r="T430" s="83"/>
      <c r="U430" s="83"/>
      <c r="V430" s="83"/>
      <c r="W430" s="83"/>
      <c r="X430" s="83"/>
      <c r="Y430" s="83"/>
      <c r="Z430" s="83"/>
      <c r="AA430" s="83"/>
      <c r="AB430" s="83"/>
      <c r="AC430" s="83"/>
      <c r="AD430" s="83"/>
      <c r="AE430" s="83"/>
      <c r="AF430" s="83"/>
      <c r="AG430" s="83"/>
      <c r="AH430" s="83"/>
      <c r="AI430" s="83"/>
      <c r="AJ430" s="83"/>
      <c r="AK430" s="83"/>
      <c r="AL430" s="83"/>
      <c r="AM430" s="83"/>
      <c r="AN430" s="83"/>
      <c r="AO430" s="83"/>
      <c r="AP430" s="83"/>
      <c r="AQ430" s="83"/>
      <c r="AR430" s="83"/>
      <c r="AS430" s="83"/>
      <c r="AT430" s="83"/>
    </row>
    <row r="431" spans="1:46" ht="13.8">
      <c r="A431" s="83"/>
      <c r="B431" s="83"/>
      <c r="C431" s="83"/>
      <c r="D431" s="83"/>
      <c r="E431" s="82"/>
      <c r="F431" s="82"/>
      <c r="G431" s="83"/>
      <c r="H431" s="83"/>
      <c r="I431" s="83"/>
      <c r="J431" s="83"/>
      <c r="K431" s="83"/>
      <c r="L431" s="83"/>
      <c r="M431" s="83"/>
      <c r="N431" s="83"/>
      <c r="O431" s="83"/>
      <c r="P431" s="83"/>
      <c r="Q431" s="83"/>
      <c r="R431" s="83"/>
      <c r="S431" s="83"/>
      <c r="T431" s="83"/>
      <c r="U431" s="83"/>
      <c r="V431" s="83"/>
      <c r="W431" s="83"/>
      <c r="X431" s="83"/>
      <c r="Y431" s="83"/>
      <c r="Z431" s="83"/>
      <c r="AA431" s="83"/>
      <c r="AB431" s="83"/>
      <c r="AC431" s="83"/>
      <c r="AD431" s="83"/>
      <c r="AE431" s="83"/>
      <c r="AF431" s="83"/>
      <c r="AG431" s="83"/>
      <c r="AH431" s="83"/>
      <c r="AI431" s="83"/>
      <c r="AJ431" s="83"/>
      <c r="AK431" s="83"/>
      <c r="AL431" s="83"/>
      <c r="AM431" s="83"/>
      <c r="AN431" s="83"/>
      <c r="AO431" s="83"/>
      <c r="AP431" s="83"/>
      <c r="AQ431" s="83"/>
      <c r="AR431" s="83"/>
      <c r="AS431" s="83"/>
      <c r="AT431" s="83"/>
    </row>
    <row r="432" spans="1:46" ht="13.8">
      <c r="A432" s="83"/>
      <c r="B432" s="83"/>
      <c r="C432" s="83"/>
      <c r="D432" s="83"/>
      <c r="E432" s="82"/>
      <c r="F432" s="82"/>
      <c r="G432" s="83"/>
      <c r="H432" s="83"/>
      <c r="I432" s="83"/>
      <c r="J432" s="83"/>
      <c r="K432" s="83"/>
      <c r="L432" s="83"/>
      <c r="M432" s="83"/>
      <c r="N432" s="83"/>
      <c r="O432" s="83"/>
      <c r="P432" s="83"/>
      <c r="Q432" s="83"/>
      <c r="R432" s="83"/>
      <c r="S432" s="83"/>
      <c r="T432" s="83"/>
      <c r="U432" s="83"/>
      <c r="V432" s="83"/>
      <c r="W432" s="83"/>
      <c r="X432" s="83"/>
      <c r="Y432" s="83"/>
      <c r="Z432" s="83"/>
      <c r="AA432" s="83"/>
      <c r="AB432" s="83"/>
      <c r="AC432" s="83"/>
      <c r="AD432" s="83"/>
      <c r="AE432" s="83"/>
      <c r="AF432" s="83"/>
      <c r="AG432" s="83"/>
      <c r="AH432" s="83"/>
      <c r="AI432" s="83"/>
      <c r="AJ432" s="83"/>
      <c r="AK432" s="83"/>
      <c r="AL432" s="83"/>
      <c r="AM432" s="83"/>
      <c r="AN432" s="83"/>
      <c r="AO432" s="83"/>
      <c r="AP432" s="83"/>
      <c r="AQ432" s="83"/>
      <c r="AR432" s="83"/>
      <c r="AS432" s="83"/>
      <c r="AT432" s="83"/>
    </row>
    <row r="433" spans="1:46" ht="13.8">
      <c r="A433" s="83"/>
      <c r="B433" s="83"/>
      <c r="C433" s="83"/>
      <c r="D433" s="83"/>
      <c r="E433" s="82"/>
      <c r="F433" s="82"/>
      <c r="G433" s="83"/>
      <c r="H433" s="83"/>
      <c r="I433" s="83"/>
      <c r="J433" s="83"/>
      <c r="K433" s="83"/>
      <c r="L433" s="83"/>
      <c r="M433" s="83"/>
      <c r="N433" s="83"/>
      <c r="O433" s="83"/>
      <c r="P433" s="83"/>
      <c r="Q433" s="83"/>
      <c r="R433" s="83"/>
      <c r="S433" s="83"/>
      <c r="T433" s="83"/>
      <c r="U433" s="83"/>
      <c r="V433" s="83"/>
      <c r="W433" s="83"/>
      <c r="X433" s="83"/>
      <c r="Y433" s="83"/>
      <c r="Z433" s="83"/>
      <c r="AA433" s="83"/>
      <c r="AB433" s="83"/>
      <c r="AC433" s="83"/>
      <c r="AD433" s="83"/>
      <c r="AE433" s="83"/>
      <c r="AF433" s="83"/>
      <c r="AG433" s="83"/>
      <c r="AH433" s="83"/>
      <c r="AI433" s="83"/>
      <c r="AJ433" s="83"/>
      <c r="AK433" s="83"/>
      <c r="AL433" s="83"/>
      <c r="AM433" s="83"/>
      <c r="AN433" s="83"/>
      <c r="AO433" s="83"/>
      <c r="AP433" s="83"/>
      <c r="AQ433" s="83"/>
      <c r="AR433" s="83"/>
      <c r="AS433" s="83"/>
      <c r="AT433" s="83"/>
    </row>
    <row r="434" spans="1:46" ht="13.8">
      <c r="A434" s="83"/>
      <c r="B434" s="83"/>
      <c r="C434" s="83"/>
      <c r="D434" s="83"/>
      <c r="E434" s="82"/>
      <c r="F434" s="82"/>
      <c r="G434" s="83"/>
      <c r="H434" s="83"/>
      <c r="I434" s="83"/>
      <c r="J434" s="83"/>
      <c r="K434" s="83"/>
      <c r="L434" s="83"/>
      <c r="M434" s="83"/>
      <c r="N434" s="83"/>
      <c r="O434" s="83"/>
      <c r="P434" s="83"/>
      <c r="Q434" s="83"/>
      <c r="R434" s="83"/>
      <c r="S434" s="83"/>
      <c r="T434" s="83"/>
      <c r="U434" s="83"/>
      <c r="V434" s="83"/>
      <c r="W434" s="83"/>
      <c r="X434" s="83"/>
      <c r="Y434" s="83"/>
      <c r="Z434" s="83"/>
      <c r="AA434" s="83"/>
      <c r="AB434" s="83"/>
      <c r="AC434" s="83"/>
      <c r="AD434" s="83"/>
      <c r="AE434" s="83"/>
      <c r="AF434" s="83"/>
      <c r="AG434" s="83"/>
      <c r="AH434" s="83"/>
      <c r="AI434" s="83"/>
      <c r="AJ434" s="83"/>
      <c r="AK434" s="83"/>
      <c r="AL434" s="83"/>
      <c r="AM434" s="83"/>
      <c r="AN434" s="83"/>
      <c r="AO434" s="83"/>
      <c r="AP434" s="83"/>
      <c r="AQ434" s="83"/>
      <c r="AR434" s="83"/>
      <c r="AS434" s="83"/>
      <c r="AT434" s="83"/>
    </row>
    <row r="435" spans="1:46" ht="13.8">
      <c r="A435" s="83"/>
      <c r="B435" s="83"/>
      <c r="C435" s="83"/>
      <c r="D435" s="83"/>
      <c r="E435" s="82"/>
      <c r="F435" s="82"/>
      <c r="G435" s="83"/>
      <c r="H435" s="83"/>
      <c r="I435" s="83"/>
      <c r="J435" s="83"/>
      <c r="K435" s="83"/>
      <c r="L435" s="83"/>
      <c r="M435" s="83"/>
      <c r="N435" s="83"/>
      <c r="O435" s="83"/>
      <c r="P435" s="83"/>
      <c r="Q435" s="83"/>
      <c r="R435" s="83"/>
      <c r="S435" s="83"/>
      <c r="T435" s="83"/>
      <c r="U435" s="83"/>
      <c r="V435" s="83"/>
      <c r="W435" s="83"/>
      <c r="X435" s="83"/>
      <c r="Y435" s="83"/>
      <c r="Z435" s="83"/>
      <c r="AA435" s="83"/>
      <c r="AB435" s="83"/>
      <c r="AC435" s="83"/>
      <c r="AD435" s="83"/>
      <c r="AE435" s="83"/>
      <c r="AF435" s="83"/>
      <c r="AG435" s="83"/>
      <c r="AH435" s="83"/>
      <c r="AI435" s="83"/>
      <c r="AJ435" s="83"/>
      <c r="AK435" s="83"/>
      <c r="AL435" s="83"/>
      <c r="AM435" s="83"/>
      <c r="AN435" s="83"/>
      <c r="AO435" s="83"/>
      <c r="AP435" s="83"/>
      <c r="AQ435" s="83"/>
      <c r="AR435" s="83"/>
      <c r="AS435" s="83"/>
      <c r="AT435" s="83"/>
    </row>
    <row r="436" spans="1:46" ht="13.8">
      <c r="A436" s="83"/>
      <c r="B436" s="83"/>
      <c r="C436" s="83"/>
      <c r="D436" s="83"/>
      <c r="E436" s="82"/>
      <c r="F436" s="82"/>
      <c r="G436" s="83"/>
      <c r="H436" s="83"/>
      <c r="I436" s="83"/>
      <c r="J436" s="83"/>
      <c r="K436" s="83"/>
      <c r="L436" s="83"/>
      <c r="M436" s="83"/>
      <c r="N436" s="83"/>
      <c r="O436" s="83"/>
      <c r="P436" s="83"/>
      <c r="Q436" s="83"/>
      <c r="R436" s="83"/>
      <c r="S436" s="83"/>
      <c r="T436" s="83"/>
      <c r="U436" s="83"/>
      <c r="V436" s="83"/>
      <c r="W436" s="83"/>
      <c r="X436" s="83"/>
      <c r="Y436" s="83"/>
      <c r="Z436" s="83"/>
      <c r="AA436" s="83"/>
      <c r="AB436" s="83"/>
      <c r="AC436" s="83"/>
      <c r="AD436" s="83"/>
      <c r="AE436" s="83"/>
      <c r="AF436" s="83"/>
      <c r="AG436" s="83"/>
      <c r="AH436" s="83"/>
      <c r="AI436" s="83"/>
      <c r="AJ436" s="83"/>
      <c r="AK436" s="83"/>
      <c r="AL436" s="83"/>
      <c r="AM436" s="83"/>
      <c r="AN436" s="83"/>
      <c r="AO436" s="83"/>
      <c r="AP436" s="83"/>
      <c r="AQ436" s="83"/>
      <c r="AR436" s="83"/>
      <c r="AS436" s="83"/>
      <c r="AT436" s="83"/>
    </row>
    <row r="437" spans="1:46" ht="13.8">
      <c r="A437" s="83"/>
      <c r="B437" s="83"/>
      <c r="C437" s="83"/>
      <c r="D437" s="83"/>
      <c r="E437" s="82"/>
      <c r="F437" s="82"/>
      <c r="G437" s="83"/>
      <c r="H437" s="83"/>
      <c r="I437" s="83"/>
      <c r="J437" s="83"/>
      <c r="K437" s="83"/>
      <c r="L437" s="83"/>
      <c r="M437" s="83"/>
      <c r="N437" s="83"/>
      <c r="O437" s="83"/>
      <c r="P437" s="83"/>
      <c r="Q437" s="83"/>
      <c r="R437" s="83"/>
      <c r="S437" s="83"/>
      <c r="T437" s="83"/>
      <c r="U437" s="83"/>
      <c r="V437" s="83"/>
      <c r="W437" s="83"/>
      <c r="X437" s="83"/>
      <c r="Y437" s="83"/>
      <c r="Z437" s="83"/>
      <c r="AA437" s="83"/>
      <c r="AB437" s="83"/>
      <c r="AC437" s="83"/>
      <c r="AD437" s="83"/>
      <c r="AE437" s="83"/>
      <c r="AF437" s="83"/>
      <c r="AG437" s="83"/>
      <c r="AH437" s="83"/>
      <c r="AI437" s="83"/>
      <c r="AJ437" s="83"/>
      <c r="AK437" s="83"/>
      <c r="AL437" s="83"/>
      <c r="AM437" s="83"/>
      <c r="AN437" s="83"/>
      <c r="AO437" s="83"/>
      <c r="AP437" s="83"/>
      <c r="AQ437" s="83"/>
      <c r="AR437" s="83"/>
      <c r="AS437" s="83"/>
      <c r="AT437" s="83"/>
    </row>
    <row r="438" spans="1:46" ht="13.8">
      <c r="A438" s="83"/>
      <c r="B438" s="83"/>
      <c r="C438" s="83"/>
      <c r="D438" s="83"/>
      <c r="E438" s="82"/>
      <c r="F438" s="82"/>
      <c r="G438" s="83"/>
      <c r="H438" s="83"/>
      <c r="I438" s="83"/>
      <c r="J438" s="83"/>
      <c r="K438" s="83"/>
      <c r="L438" s="83"/>
      <c r="M438" s="83"/>
      <c r="N438" s="83"/>
      <c r="O438" s="83"/>
      <c r="P438" s="83"/>
      <c r="Q438" s="83"/>
      <c r="R438" s="83"/>
      <c r="S438" s="83"/>
      <c r="T438" s="83"/>
      <c r="U438" s="83"/>
      <c r="V438" s="83"/>
      <c r="W438" s="83"/>
      <c r="X438" s="83"/>
      <c r="Y438" s="83"/>
      <c r="Z438" s="83"/>
      <c r="AA438" s="83"/>
      <c r="AB438" s="83"/>
      <c r="AC438" s="83"/>
      <c r="AD438" s="83"/>
      <c r="AE438" s="83"/>
      <c r="AF438" s="83"/>
      <c r="AG438" s="83"/>
      <c r="AH438" s="83"/>
      <c r="AI438" s="83"/>
      <c r="AJ438" s="83"/>
      <c r="AK438" s="83"/>
      <c r="AL438" s="83"/>
      <c r="AM438" s="83"/>
      <c r="AN438" s="83"/>
      <c r="AO438" s="83"/>
      <c r="AP438" s="83"/>
      <c r="AQ438" s="83"/>
      <c r="AR438" s="83"/>
      <c r="AS438" s="83"/>
      <c r="AT438" s="83"/>
    </row>
    <row r="439" spans="1:46" ht="13.8">
      <c r="A439" s="83"/>
      <c r="B439" s="83"/>
      <c r="C439" s="83"/>
      <c r="D439" s="83"/>
      <c r="E439" s="82"/>
      <c r="F439" s="82"/>
      <c r="G439" s="83"/>
      <c r="H439" s="83"/>
      <c r="I439" s="83"/>
      <c r="J439" s="83"/>
      <c r="K439" s="83"/>
      <c r="L439" s="83"/>
      <c r="M439" s="83"/>
      <c r="N439" s="83"/>
      <c r="O439" s="83"/>
      <c r="P439" s="83"/>
      <c r="Q439" s="83"/>
      <c r="R439" s="83"/>
      <c r="S439" s="83"/>
      <c r="T439" s="83"/>
      <c r="U439" s="83"/>
      <c r="V439" s="83"/>
      <c r="W439" s="83"/>
      <c r="X439" s="83"/>
      <c r="Y439" s="83"/>
      <c r="Z439" s="83"/>
      <c r="AA439" s="83"/>
      <c r="AB439" s="83"/>
      <c r="AC439" s="83"/>
      <c r="AD439" s="83"/>
      <c r="AE439" s="83"/>
      <c r="AF439" s="83"/>
      <c r="AG439" s="83"/>
      <c r="AH439" s="83"/>
      <c r="AI439" s="83"/>
      <c r="AJ439" s="83"/>
      <c r="AK439" s="83"/>
      <c r="AL439" s="83"/>
      <c r="AM439" s="83"/>
      <c r="AN439" s="83"/>
      <c r="AO439" s="83"/>
      <c r="AP439" s="83"/>
      <c r="AQ439" s="83"/>
      <c r="AR439" s="83"/>
      <c r="AS439" s="83"/>
      <c r="AT439" s="83"/>
    </row>
    <row r="440" spans="1:46" ht="13.8">
      <c r="A440" s="83"/>
      <c r="B440" s="83"/>
      <c r="C440" s="83"/>
      <c r="D440" s="83"/>
      <c r="E440" s="82"/>
      <c r="F440" s="82"/>
      <c r="G440" s="83"/>
      <c r="H440" s="83"/>
      <c r="I440" s="83"/>
      <c r="J440" s="83"/>
      <c r="K440" s="83"/>
      <c r="L440" s="83"/>
      <c r="M440" s="83"/>
      <c r="N440" s="83"/>
      <c r="O440" s="83"/>
      <c r="P440" s="83"/>
      <c r="Q440" s="83"/>
      <c r="R440" s="83"/>
      <c r="S440" s="83"/>
      <c r="T440" s="83"/>
      <c r="U440" s="83"/>
      <c r="V440" s="83"/>
      <c r="W440" s="83"/>
      <c r="X440" s="83"/>
      <c r="Y440" s="83"/>
      <c r="Z440" s="83"/>
      <c r="AA440" s="83"/>
      <c r="AB440" s="83"/>
      <c r="AC440" s="83"/>
      <c r="AD440" s="83"/>
      <c r="AE440" s="83"/>
      <c r="AF440" s="83"/>
      <c r="AG440" s="83"/>
      <c r="AH440" s="83"/>
      <c r="AI440" s="83"/>
      <c r="AJ440" s="83"/>
      <c r="AK440" s="83"/>
      <c r="AL440" s="83"/>
      <c r="AM440" s="83"/>
      <c r="AN440" s="83"/>
      <c r="AO440" s="83"/>
      <c r="AP440" s="83"/>
      <c r="AQ440" s="83"/>
      <c r="AR440" s="83"/>
      <c r="AS440" s="83"/>
      <c r="AT440" s="83"/>
    </row>
    <row r="441" spans="1:46" ht="13.8">
      <c r="A441" s="83"/>
      <c r="B441" s="83"/>
      <c r="C441" s="83"/>
      <c r="D441" s="83"/>
      <c r="E441" s="82"/>
      <c r="F441" s="82"/>
      <c r="G441" s="83"/>
      <c r="H441" s="83"/>
      <c r="I441" s="83"/>
      <c r="J441" s="83"/>
      <c r="K441" s="83"/>
      <c r="L441" s="83"/>
      <c r="M441" s="83"/>
      <c r="N441" s="83"/>
      <c r="O441" s="83"/>
      <c r="P441" s="83"/>
      <c r="Q441" s="83"/>
      <c r="R441" s="83"/>
      <c r="S441" s="83"/>
      <c r="T441" s="83"/>
      <c r="U441" s="83"/>
      <c r="V441" s="83"/>
      <c r="W441" s="83"/>
      <c r="X441" s="83"/>
      <c r="Y441" s="83"/>
      <c r="Z441" s="83"/>
      <c r="AA441" s="83"/>
      <c r="AB441" s="83"/>
      <c r="AC441" s="83"/>
      <c r="AD441" s="83"/>
      <c r="AE441" s="83"/>
      <c r="AF441" s="83"/>
      <c r="AG441" s="83"/>
      <c r="AH441" s="83"/>
      <c r="AI441" s="83"/>
      <c r="AJ441" s="83"/>
      <c r="AK441" s="83"/>
      <c r="AL441" s="83"/>
      <c r="AM441" s="83"/>
      <c r="AN441" s="83"/>
      <c r="AO441" s="83"/>
      <c r="AP441" s="83"/>
      <c r="AQ441" s="83"/>
      <c r="AR441" s="83"/>
      <c r="AS441" s="83"/>
      <c r="AT441" s="83"/>
    </row>
    <row r="442" spans="1:46" ht="13.8">
      <c r="A442" s="83"/>
      <c r="B442" s="83"/>
      <c r="C442" s="83"/>
      <c r="D442" s="83"/>
      <c r="E442" s="82"/>
      <c r="F442" s="82"/>
      <c r="G442" s="83"/>
      <c r="H442" s="83"/>
      <c r="I442" s="83"/>
      <c r="J442" s="83"/>
      <c r="K442" s="83"/>
      <c r="L442" s="83"/>
      <c r="M442" s="83"/>
      <c r="N442" s="83"/>
      <c r="O442" s="83"/>
      <c r="P442" s="83"/>
      <c r="Q442" s="83"/>
      <c r="R442" s="83"/>
      <c r="S442" s="83"/>
      <c r="T442" s="83"/>
      <c r="U442" s="83"/>
      <c r="V442" s="83"/>
      <c r="W442" s="83"/>
      <c r="X442" s="83"/>
      <c r="Y442" s="83"/>
      <c r="Z442" s="83"/>
      <c r="AA442" s="83"/>
      <c r="AB442" s="83"/>
      <c r="AC442" s="83"/>
      <c r="AD442" s="83"/>
      <c r="AE442" s="83"/>
      <c r="AF442" s="83"/>
      <c r="AG442" s="83"/>
      <c r="AH442" s="83"/>
      <c r="AI442" s="83"/>
      <c r="AJ442" s="83"/>
      <c r="AK442" s="83"/>
      <c r="AL442" s="83"/>
      <c r="AM442" s="83"/>
      <c r="AN442" s="83"/>
      <c r="AO442" s="83"/>
      <c r="AP442" s="83"/>
      <c r="AQ442" s="83"/>
      <c r="AR442" s="83"/>
      <c r="AS442" s="83"/>
      <c r="AT442" s="83"/>
    </row>
    <row r="443" spans="1:46" ht="13.8">
      <c r="A443" s="83"/>
      <c r="B443" s="83"/>
      <c r="C443" s="83"/>
      <c r="D443" s="83"/>
      <c r="E443" s="82"/>
      <c r="F443" s="82"/>
      <c r="G443" s="83"/>
      <c r="H443" s="83"/>
      <c r="I443" s="83"/>
      <c r="J443" s="83"/>
      <c r="K443" s="83"/>
      <c r="L443" s="83"/>
      <c r="M443" s="83"/>
      <c r="N443" s="83"/>
      <c r="O443" s="83"/>
      <c r="P443" s="83"/>
      <c r="Q443" s="83"/>
      <c r="R443" s="83"/>
      <c r="S443" s="83"/>
      <c r="T443" s="83"/>
      <c r="U443" s="83"/>
      <c r="V443" s="83"/>
      <c r="W443" s="83"/>
      <c r="X443" s="83"/>
      <c r="Y443" s="83"/>
      <c r="Z443" s="83"/>
      <c r="AA443" s="83"/>
      <c r="AB443" s="83"/>
      <c r="AC443" s="83"/>
      <c r="AD443" s="83"/>
      <c r="AE443" s="83"/>
      <c r="AF443" s="83"/>
      <c r="AG443" s="83"/>
      <c r="AH443" s="83"/>
      <c r="AI443" s="83"/>
      <c r="AJ443" s="83"/>
      <c r="AK443" s="83"/>
      <c r="AL443" s="83"/>
      <c r="AM443" s="83"/>
      <c r="AN443" s="83"/>
      <c r="AO443" s="83"/>
      <c r="AP443" s="83"/>
      <c r="AQ443" s="83"/>
      <c r="AR443" s="83"/>
      <c r="AS443" s="83"/>
      <c r="AT443" s="83"/>
    </row>
    <row r="444" spans="1:46" ht="13.8">
      <c r="A444" s="83"/>
      <c r="B444" s="83"/>
      <c r="C444" s="83"/>
      <c r="D444" s="83"/>
      <c r="E444" s="82"/>
      <c r="F444" s="82"/>
      <c r="G444" s="83"/>
      <c r="H444" s="83"/>
      <c r="I444" s="83"/>
      <c r="J444" s="83"/>
      <c r="K444" s="83"/>
      <c r="L444" s="83"/>
      <c r="M444" s="83"/>
      <c r="N444" s="83"/>
      <c r="O444" s="83"/>
      <c r="P444" s="83"/>
      <c r="Q444" s="83"/>
      <c r="R444" s="83"/>
      <c r="S444" s="83"/>
      <c r="T444" s="83"/>
      <c r="U444" s="83"/>
      <c r="V444" s="83"/>
      <c r="W444" s="83"/>
      <c r="X444" s="83"/>
      <c r="Y444" s="83"/>
      <c r="Z444" s="83"/>
      <c r="AA444" s="83"/>
      <c r="AB444" s="83"/>
      <c r="AC444" s="83"/>
      <c r="AD444" s="83"/>
      <c r="AE444" s="83"/>
      <c r="AF444" s="83"/>
      <c r="AG444" s="83"/>
      <c r="AH444" s="83"/>
      <c r="AI444" s="83"/>
      <c r="AJ444" s="83"/>
      <c r="AK444" s="83"/>
      <c r="AL444" s="83"/>
      <c r="AM444" s="83"/>
      <c r="AN444" s="83"/>
      <c r="AO444" s="83"/>
      <c r="AP444" s="83"/>
      <c r="AQ444" s="83"/>
      <c r="AR444" s="83"/>
      <c r="AS444" s="83"/>
      <c r="AT444" s="83"/>
    </row>
    <row r="445" spans="1:46" ht="13.8">
      <c r="A445" s="83"/>
      <c r="B445" s="83"/>
      <c r="C445" s="83"/>
      <c r="D445" s="83"/>
      <c r="E445" s="82"/>
      <c r="F445" s="82"/>
      <c r="G445" s="83"/>
      <c r="H445" s="83"/>
      <c r="I445" s="83"/>
      <c r="J445" s="83"/>
      <c r="K445" s="83"/>
      <c r="L445" s="83"/>
      <c r="M445" s="83"/>
      <c r="N445" s="83"/>
      <c r="O445" s="83"/>
      <c r="P445" s="83"/>
      <c r="Q445" s="83"/>
      <c r="R445" s="83"/>
      <c r="S445" s="83"/>
      <c r="T445" s="83"/>
      <c r="U445" s="83"/>
      <c r="V445" s="83"/>
      <c r="W445" s="83"/>
      <c r="X445" s="83"/>
      <c r="Y445" s="83"/>
      <c r="Z445" s="83"/>
      <c r="AA445" s="83"/>
      <c r="AB445" s="83"/>
      <c r="AC445" s="83"/>
      <c r="AD445" s="83"/>
      <c r="AE445" s="83"/>
      <c r="AF445" s="83"/>
      <c r="AG445" s="83"/>
      <c r="AH445" s="83"/>
      <c r="AI445" s="83"/>
      <c r="AJ445" s="83"/>
      <c r="AK445" s="83"/>
      <c r="AL445" s="83"/>
      <c r="AM445" s="83"/>
      <c r="AN445" s="83"/>
      <c r="AO445" s="83"/>
      <c r="AP445" s="83"/>
      <c r="AQ445" s="83"/>
      <c r="AR445" s="83"/>
      <c r="AS445" s="83"/>
      <c r="AT445" s="83"/>
    </row>
    <row r="446" spans="1:46" ht="13.8">
      <c r="A446" s="83"/>
      <c r="B446" s="83"/>
      <c r="C446" s="83"/>
      <c r="D446" s="83"/>
      <c r="E446" s="82"/>
      <c r="F446" s="82"/>
      <c r="G446" s="83"/>
      <c r="H446" s="83"/>
      <c r="I446" s="83"/>
      <c r="J446" s="83"/>
      <c r="K446" s="83"/>
      <c r="L446" s="83"/>
      <c r="M446" s="83"/>
      <c r="N446" s="83"/>
      <c r="O446" s="83"/>
      <c r="P446" s="83"/>
      <c r="Q446" s="83"/>
      <c r="R446" s="83"/>
      <c r="S446" s="83"/>
      <c r="T446" s="83"/>
      <c r="U446" s="83"/>
      <c r="V446" s="83"/>
      <c r="W446" s="83"/>
      <c r="X446" s="83"/>
      <c r="Y446" s="83"/>
      <c r="Z446" s="83"/>
      <c r="AA446" s="83"/>
      <c r="AB446" s="83"/>
      <c r="AC446" s="83"/>
      <c r="AD446" s="83"/>
      <c r="AE446" s="83"/>
      <c r="AF446" s="83"/>
      <c r="AG446" s="83"/>
      <c r="AH446" s="83"/>
      <c r="AI446" s="83"/>
      <c r="AJ446" s="83"/>
      <c r="AK446" s="83"/>
      <c r="AL446" s="83"/>
      <c r="AM446" s="83"/>
      <c r="AN446" s="83"/>
      <c r="AO446" s="83"/>
      <c r="AP446" s="83"/>
      <c r="AQ446" s="83"/>
      <c r="AR446" s="83"/>
      <c r="AS446" s="83"/>
      <c r="AT446" s="83"/>
    </row>
    <row r="447" spans="1:46" ht="13.8">
      <c r="A447" s="83"/>
      <c r="B447" s="83"/>
      <c r="C447" s="83"/>
      <c r="D447" s="83"/>
      <c r="E447" s="82"/>
      <c r="F447" s="82"/>
      <c r="G447" s="83"/>
      <c r="H447" s="83"/>
      <c r="I447" s="83"/>
      <c r="J447" s="83"/>
      <c r="K447" s="83"/>
      <c r="L447" s="83"/>
      <c r="M447" s="83"/>
      <c r="N447" s="83"/>
      <c r="O447" s="83"/>
      <c r="P447" s="83"/>
      <c r="Q447" s="83"/>
      <c r="R447" s="83"/>
      <c r="S447" s="83"/>
      <c r="T447" s="83"/>
      <c r="U447" s="83"/>
      <c r="V447" s="83"/>
      <c r="W447" s="83"/>
      <c r="X447" s="83"/>
      <c r="Y447" s="83"/>
      <c r="Z447" s="83"/>
      <c r="AA447" s="83"/>
      <c r="AB447" s="83"/>
      <c r="AC447" s="83"/>
      <c r="AD447" s="83"/>
      <c r="AE447" s="83"/>
      <c r="AF447" s="83"/>
      <c r="AG447" s="83"/>
      <c r="AH447" s="83"/>
      <c r="AI447" s="83"/>
      <c r="AJ447" s="83"/>
      <c r="AK447" s="83"/>
      <c r="AL447" s="83"/>
      <c r="AM447" s="83"/>
      <c r="AN447" s="83"/>
      <c r="AO447" s="83"/>
      <c r="AP447" s="83"/>
      <c r="AQ447" s="83"/>
      <c r="AR447" s="83"/>
      <c r="AS447" s="83"/>
      <c r="AT447" s="83"/>
    </row>
    <row r="448" spans="1:46" ht="13.8">
      <c r="A448" s="83"/>
      <c r="B448" s="83"/>
      <c r="C448" s="83"/>
      <c r="D448" s="83"/>
      <c r="E448" s="82"/>
      <c r="F448" s="82"/>
      <c r="G448" s="83"/>
      <c r="H448" s="83"/>
      <c r="I448" s="83"/>
      <c r="J448" s="83"/>
      <c r="K448" s="83"/>
      <c r="L448" s="83"/>
      <c r="M448" s="83"/>
      <c r="N448" s="83"/>
      <c r="O448" s="83"/>
      <c r="P448" s="83"/>
      <c r="Q448" s="83"/>
      <c r="R448" s="83"/>
      <c r="S448" s="83"/>
      <c r="T448" s="83"/>
      <c r="U448" s="83"/>
      <c r="V448" s="83"/>
      <c r="W448" s="83"/>
      <c r="X448" s="83"/>
      <c r="Y448" s="83"/>
      <c r="Z448" s="83"/>
      <c r="AA448" s="83"/>
      <c r="AB448" s="83"/>
      <c r="AC448" s="83"/>
      <c r="AD448" s="83"/>
      <c r="AE448" s="83"/>
      <c r="AF448" s="83"/>
      <c r="AG448" s="83"/>
      <c r="AH448" s="83"/>
      <c r="AI448" s="83"/>
      <c r="AJ448" s="83"/>
      <c r="AK448" s="83"/>
      <c r="AL448" s="83"/>
      <c r="AM448" s="83"/>
      <c r="AN448" s="83"/>
      <c r="AO448" s="83"/>
      <c r="AP448" s="83"/>
      <c r="AQ448" s="83"/>
      <c r="AR448" s="83"/>
      <c r="AS448" s="83"/>
      <c r="AT448" s="83"/>
    </row>
    <row r="449" spans="1:46" ht="13.8">
      <c r="A449" s="83"/>
      <c r="B449" s="83"/>
      <c r="C449" s="83"/>
      <c r="D449" s="83"/>
      <c r="E449" s="82"/>
      <c r="F449" s="82"/>
      <c r="G449" s="83"/>
      <c r="H449" s="83"/>
      <c r="I449" s="83"/>
      <c r="J449" s="83"/>
      <c r="K449" s="83"/>
      <c r="L449" s="83"/>
      <c r="M449" s="83"/>
      <c r="N449" s="83"/>
      <c r="O449" s="83"/>
      <c r="P449" s="83"/>
      <c r="Q449" s="83"/>
      <c r="R449" s="83"/>
      <c r="S449" s="83"/>
      <c r="T449" s="83"/>
      <c r="U449" s="83"/>
      <c r="V449" s="83"/>
      <c r="W449" s="83"/>
      <c r="X449" s="83"/>
      <c r="Y449" s="83"/>
      <c r="Z449" s="83"/>
      <c r="AA449" s="83"/>
      <c r="AB449" s="83"/>
      <c r="AC449" s="83"/>
      <c r="AD449" s="83"/>
      <c r="AE449" s="83"/>
      <c r="AF449" s="83"/>
      <c r="AG449" s="83"/>
      <c r="AH449" s="83"/>
      <c r="AI449" s="83"/>
      <c r="AJ449" s="83"/>
      <c r="AK449" s="83"/>
      <c r="AL449" s="83"/>
      <c r="AM449" s="83"/>
      <c r="AN449" s="83"/>
      <c r="AO449" s="83"/>
      <c r="AP449" s="83"/>
      <c r="AQ449" s="83"/>
      <c r="AR449" s="83"/>
      <c r="AS449" s="83"/>
      <c r="AT449" s="83"/>
    </row>
    <row r="450" spans="1:46" ht="13.8">
      <c r="A450" s="83"/>
      <c r="B450" s="83"/>
      <c r="C450" s="83"/>
      <c r="D450" s="83"/>
      <c r="E450" s="82"/>
      <c r="F450" s="82"/>
      <c r="G450" s="83"/>
      <c r="H450" s="83"/>
      <c r="I450" s="83"/>
      <c r="J450" s="83"/>
      <c r="K450" s="83"/>
      <c r="L450" s="83"/>
      <c r="M450" s="83"/>
      <c r="N450" s="83"/>
      <c r="O450" s="83"/>
      <c r="P450" s="83"/>
      <c r="Q450" s="83"/>
      <c r="R450" s="83"/>
      <c r="S450" s="83"/>
      <c r="T450" s="83"/>
      <c r="U450" s="83"/>
      <c r="V450" s="83"/>
      <c r="W450" s="83"/>
      <c r="X450" s="83"/>
      <c r="Y450" s="83"/>
      <c r="Z450" s="83"/>
      <c r="AA450" s="83"/>
      <c r="AB450" s="83"/>
      <c r="AC450" s="83"/>
      <c r="AD450" s="83"/>
      <c r="AE450" s="83"/>
      <c r="AF450" s="83"/>
      <c r="AG450" s="83"/>
      <c r="AH450" s="83"/>
      <c r="AI450" s="83"/>
      <c r="AJ450" s="83"/>
      <c r="AK450" s="83"/>
      <c r="AL450" s="83"/>
      <c r="AM450" s="83"/>
      <c r="AN450" s="83"/>
      <c r="AO450" s="83"/>
      <c r="AP450" s="83"/>
      <c r="AQ450" s="83"/>
      <c r="AR450" s="83"/>
      <c r="AS450" s="83"/>
      <c r="AT450" s="83"/>
    </row>
    <row r="451" spans="1:46" ht="13.8">
      <c r="A451" s="83"/>
      <c r="B451" s="83"/>
      <c r="C451" s="83"/>
      <c r="D451" s="83"/>
      <c r="E451" s="82"/>
      <c r="F451" s="82"/>
      <c r="G451" s="83"/>
      <c r="H451" s="83"/>
      <c r="I451" s="83"/>
      <c r="J451" s="83"/>
      <c r="K451" s="83"/>
      <c r="L451" s="83"/>
      <c r="M451" s="83"/>
      <c r="N451" s="83"/>
      <c r="O451" s="83"/>
      <c r="P451" s="83"/>
      <c r="Q451" s="83"/>
      <c r="R451" s="83"/>
      <c r="S451" s="83"/>
      <c r="T451" s="83"/>
      <c r="U451" s="83"/>
      <c r="V451" s="83"/>
      <c r="W451" s="83"/>
      <c r="X451" s="83"/>
      <c r="Y451" s="83"/>
      <c r="Z451" s="83"/>
      <c r="AA451" s="83"/>
      <c r="AB451" s="83"/>
      <c r="AC451" s="83"/>
      <c r="AD451" s="83"/>
      <c r="AE451" s="83"/>
      <c r="AF451" s="83"/>
      <c r="AG451" s="83"/>
      <c r="AH451" s="83"/>
      <c r="AI451" s="83"/>
      <c r="AJ451" s="83"/>
      <c r="AK451" s="83"/>
      <c r="AL451" s="83"/>
      <c r="AM451" s="83"/>
      <c r="AN451" s="83"/>
      <c r="AO451" s="83"/>
      <c r="AP451" s="83"/>
      <c r="AQ451" s="83"/>
      <c r="AR451" s="83"/>
      <c r="AS451" s="83"/>
      <c r="AT451" s="83"/>
    </row>
    <row r="452" spans="1:46" ht="13.8">
      <c r="A452" s="83"/>
      <c r="B452" s="83"/>
      <c r="C452" s="83"/>
      <c r="D452" s="83"/>
      <c r="E452" s="82"/>
      <c r="F452" s="82"/>
      <c r="G452" s="83"/>
      <c r="H452" s="83"/>
      <c r="I452" s="83"/>
      <c r="J452" s="83"/>
      <c r="K452" s="83"/>
      <c r="L452" s="83"/>
      <c r="M452" s="83"/>
      <c r="N452" s="83"/>
      <c r="O452" s="83"/>
      <c r="P452" s="83"/>
      <c r="Q452" s="83"/>
      <c r="R452" s="83"/>
      <c r="S452" s="83"/>
      <c r="T452" s="83"/>
      <c r="U452" s="83"/>
      <c r="V452" s="83"/>
      <c r="W452" s="83"/>
      <c r="X452" s="83"/>
      <c r="Y452" s="83"/>
      <c r="Z452" s="83"/>
      <c r="AA452" s="83"/>
      <c r="AB452" s="83"/>
      <c r="AC452" s="83"/>
      <c r="AD452" s="83"/>
      <c r="AE452" s="83"/>
      <c r="AF452" s="83"/>
      <c r="AG452" s="83"/>
      <c r="AH452" s="83"/>
      <c r="AI452" s="83"/>
      <c r="AJ452" s="83"/>
      <c r="AK452" s="83"/>
      <c r="AL452" s="83"/>
      <c r="AM452" s="83"/>
      <c r="AN452" s="83"/>
      <c r="AO452" s="83"/>
      <c r="AP452" s="83"/>
      <c r="AQ452" s="83"/>
      <c r="AR452" s="83"/>
      <c r="AS452" s="83"/>
      <c r="AT452" s="83"/>
    </row>
    <row r="453" spans="1:46" ht="13.8">
      <c r="A453" s="83"/>
      <c r="B453" s="83"/>
      <c r="C453" s="83"/>
      <c r="D453" s="83"/>
      <c r="E453" s="82"/>
      <c r="F453" s="82"/>
      <c r="G453" s="83"/>
      <c r="H453" s="83"/>
      <c r="I453" s="83"/>
      <c r="J453" s="83"/>
      <c r="K453" s="83"/>
      <c r="L453" s="83"/>
      <c r="M453" s="83"/>
      <c r="N453" s="83"/>
      <c r="O453" s="83"/>
      <c r="P453" s="83"/>
      <c r="Q453" s="83"/>
      <c r="R453" s="83"/>
      <c r="S453" s="83"/>
      <c r="T453" s="83"/>
      <c r="U453" s="83"/>
      <c r="V453" s="83"/>
      <c r="W453" s="83"/>
      <c r="X453" s="83"/>
      <c r="Y453" s="83"/>
      <c r="Z453" s="83"/>
      <c r="AA453" s="83"/>
      <c r="AB453" s="83"/>
      <c r="AC453" s="83"/>
      <c r="AD453" s="83"/>
      <c r="AE453" s="83"/>
      <c r="AF453" s="83"/>
      <c r="AG453" s="83"/>
      <c r="AH453" s="83"/>
      <c r="AI453" s="83"/>
      <c r="AJ453" s="83"/>
      <c r="AK453" s="83"/>
      <c r="AL453" s="83"/>
      <c r="AM453" s="83"/>
      <c r="AN453" s="83"/>
      <c r="AO453" s="83"/>
      <c r="AP453" s="83"/>
      <c r="AQ453" s="83"/>
      <c r="AR453" s="83"/>
      <c r="AS453" s="83"/>
      <c r="AT453" s="83"/>
    </row>
    <row r="454" spans="1:46" ht="13.8">
      <c r="A454" s="83"/>
      <c r="B454" s="83"/>
      <c r="C454" s="83"/>
      <c r="D454" s="83"/>
      <c r="E454" s="82"/>
      <c r="F454" s="82"/>
      <c r="G454" s="83"/>
      <c r="H454" s="83"/>
      <c r="I454" s="83"/>
      <c r="J454" s="83"/>
      <c r="K454" s="83"/>
      <c r="L454" s="83"/>
      <c r="M454" s="83"/>
      <c r="N454" s="83"/>
      <c r="O454" s="83"/>
      <c r="P454" s="83"/>
      <c r="Q454" s="83"/>
      <c r="R454" s="83"/>
      <c r="S454" s="83"/>
      <c r="T454" s="83"/>
      <c r="U454" s="83"/>
      <c r="V454" s="83"/>
      <c r="W454" s="83"/>
      <c r="X454" s="83"/>
      <c r="Y454" s="83"/>
      <c r="Z454" s="83"/>
      <c r="AA454" s="83"/>
      <c r="AB454" s="83"/>
      <c r="AC454" s="83"/>
      <c r="AD454" s="83"/>
      <c r="AE454" s="83"/>
      <c r="AF454" s="83"/>
      <c r="AG454" s="83"/>
      <c r="AH454" s="83"/>
      <c r="AI454" s="83"/>
      <c r="AJ454" s="83"/>
      <c r="AK454" s="83"/>
      <c r="AL454" s="83"/>
      <c r="AM454" s="83"/>
      <c r="AN454" s="83"/>
      <c r="AO454" s="83"/>
      <c r="AP454" s="83"/>
      <c r="AQ454" s="83"/>
      <c r="AR454" s="83"/>
      <c r="AS454" s="83"/>
      <c r="AT454" s="83"/>
    </row>
    <row r="455" spans="1:46" ht="13.8">
      <c r="A455" s="83"/>
      <c r="B455" s="83"/>
      <c r="C455" s="83"/>
      <c r="D455" s="83"/>
      <c r="E455" s="82"/>
      <c r="F455" s="82"/>
      <c r="G455" s="83"/>
      <c r="H455" s="83"/>
      <c r="I455" s="83"/>
      <c r="J455" s="83"/>
      <c r="K455" s="83"/>
      <c r="L455" s="83"/>
      <c r="M455" s="83"/>
      <c r="N455" s="83"/>
      <c r="O455" s="83"/>
      <c r="P455" s="83"/>
      <c r="Q455" s="83"/>
      <c r="R455" s="83"/>
      <c r="S455" s="83"/>
      <c r="T455" s="83"/>
      <c r="U455" s="83"/>
      <c r="V455" s="83"/>
      <c r="W455" s="83"/>
      <c r="X455" s="83"/>
      <c r="Y455" s="83"/>
      <c r="Z455" s="83"/>
      <c r="AA455" s="83"/>
      <c r="AB455" s="83"/>
      <c r="AC455" s="83"/>
      <c r="AD455" s="83"/>
      <c r="AE455" s="83"/>
      <c r="AF455" s="83"/>
      <c r="AG455" s="83"/>
      <c r="AH455" s="83"/>
      <c r="AI455" s="83"/>
      <c r="AJ455" s="83"/>
      <c r="AK455" s="83"/>
      <c r="AL455" s="83"/>
      <c r="AM455" s="83"/>
      <c r="AN455" s="83"/>
      <c r="AO455" s="83"/>
      <c r="AP455" s="83"/>
      <c r="AQ455" s="83"/>
      <c r="AR455" s="83"/>
      <c r="AS455" s="83"/>
      <c r="AT455" s="83"/>
    </row>
    <row r="456" spans="1:46" ht="13.8">
      <c r="A456" s="83"/>
      <c r="B456" s="83"/>
      <c r="C456" s="83"/>
      <c r="D456" s="83"/>
      <c r="E456" s="82"/>
      <c r="F456" s="82"/>
      <c r="G456" s="83"/>
      <c r="H456" s="83"/>
      <c r="I456" s="83"/>
      <c r="J456" s="83"/>
      <c r="K456" s="83"/>
      <c r="L456" s="83"/>
      <c r="M456" s="83"/>
      <c r="N456" s="83"/>
      <c r="O456" s="83"/>
      <c r="P456" s="83"/>
      <c r="Q456" s="83"/>
      <c r="R456" s="83"/>
      <c r="S456" s="83"/>
      <c r="T456" s="83"/>
      <c r="U456" s="83"/>
      <c r="V456" s="83"/>
      <c r="W456" s="83"/>
      <c r="X456" s="83"/>
      <c r="Y456" s="83"/>
      <c r="Z456" s="83"/>
      <c r="AA456" s="83"/>
      <c r="AB456" s="83"/>
      <c r="AC456" s="83"/>
      <c r="AD456" s="83"/>
      <c r="AE456" s="83"/>
      <c r="AF456" s="83"/>
      <c r="AG456" s="83"/>
      <c r="AH456" s="83"/>
      <c r="AI456" s="83"/>
      <c r="AJ456" s="83"/>
      <c r="AK456" s="83"/>
      <c r="AL456" s="83"/>
      <c r="AM456" s="83"/>
      <c r="AN456" s="83"/>
      <c r="AO456" s="83"/>
      <c r="AP456" s="83"/>
      <c r="AQ456" s="83"/>
      <c r="AR456" s="83"/>
      <c r="AS456" s="83"/>
      <c r="AT456" s="83"/>
    </row>
    <row r="457" spans="1:46" ht="13.8">
      <c r="A457" s="83"/>
      <c r="B457" s="83"/>
      <c r="C457" s="83"/>
      <c r="D457" s="83"/>
      <c r="E457" s="82"/>
      <c r="F457" s="82"/>
      <c r="G457" s="83"/>
      <c r="H457" s="83"/>
      <c r="I457" s="83"/>
      <c r="J457" s="83"/>
      <c r="K457" s="83"/>
      <c r="L457" s="83"/>
      <c r="M457" s="83"/>
      <c r="N457" s="83"/>
      <c r="O457" s="83"/>
      <c r="P457" s="83"/>
      <c r="Q457" s="83"/>
      <c r="R457" s="83"/>
      <c r="S457" s="83"/>
      <c r="T457" s="83"/>
      <c r="U457" s="83"/>
      <c r="V457" s="83"/>
      <c r="W457" s="83"/>
      <c r="X457" s="83"/>
      <c r="Y457" s="83"/>
      <c r="Z457" s="83"/>
      <c r="AA457" s="83"/>
      <c r="AB457" s="83"/>
      <c r="AC457" s="83"/>
      <c r="AD457" s="83"/>
      <c r="AE457" s="83"/>
      <c r="AF457" s="83"/>
      <c r="AG457" s="83"/>
      <c r="AH457" s="83"/>
      <c r="AI457" s="83"/>
      <c r="AJ457" s="83"/>
      <c r="AK457" s="83"/>
      <c r="AL457" s="83"/>
      <c r="AM457" s="83"/>
      <c r="AN457" s="83"/>
      <c r="AO457" s="83"/>
      <c r="AP457" s="83"/>
      <c r="AQ457" s="83"/>
      <c r="AR457" s="83"/>
      <c r="AS457" s="83"/>
      <c r="AT457" s="83"/>
    </row>
    <row r="458" spans="1:46" ht="13.8">
      <c r="A458" s="83"/>
      <c r="B458" s="83"/>
      <c r="C458" s="83"/>
      <c r="D458" s="83"/>
      <c r="E458" s="82"/>
      <c r="F458" s="82"/>
      <c r="G458" s="83"/>
      <c r="H458" s="83"/>
      <c r="I458" s="83"/>
      <c r="J458" s="83"/>
      <c r="K458" s="83"/>
      <c r="L458" s="83"/>
      <c r="M458" s="83"/>
      <c r="N458" s="83"/>
      <c r="O458" s="83"/>
      <c r="P458" s="83"/>
      <c r="Q458" s="83"/>
      <c r="R458" s="83"/>
      <c r="S458" s="83"/>
      <c r="T458" s="83"/>
      <c r="U458" s="83"/>
      <c r="V458" s="83"/>
      <c r="W458" s="83"/>
      <c r="X458" s="83"/>
      <c r="Y458" s="83"/>
      <c r="Z458" s="83"/>
      <c r="AA458" s="83"/>
      <c r="AB458" s="83"/>
      <c r="AC458" s="83"/>
      <c r="AD458" s="83"/>
      <c r="AE458" s="83"/>
      <c r="AF458" s="83"/>
      <c r="AG458" s="83"/>
      <c r="AH458" s="83"/>
      <c r="AI458" s="83"/>
      <c r="AJ458" s="83"/>
      <c r="AK458" s="83"/>
      <c r="AL458" s="83"/>
      <c r="AM458" s="83"/>
      <c r="AN458" s="83"/>
      <c r="AO458" s="83"/>
      <c r="AP458" s="83"/>
      <c r="AQ458" s="83"/>
      <c r="AR458" s="83"/>
      <c r="AS458" s="83"/>
      <c r="AT458" s="83"/>
    </row>
    <row r="459" spans="1:46" ht="13.8">
      <c r="A459" s="83"/>
      <c r="B459" s="83"/>
      <c r="C459" s="83"/>
      <c r="D459" s="83"/>
      <c r="E459" s="82"/>
      <c r="F459" s="82"/>
      <c r="G459" s="83"/>
      <c r="H459" s="83"/>
      <c r="I459" s="83"/>
      <c r="J459" s="83"/>
      <c r="K459" s="83"/>
      <c r="L459" s="83"/>
      <c r="M459" s="83"/>
      <c r="N459" s="83"/>
      <c r="O459" s="83"/>
      <c r="P459" s="83"/>
      <c r="Q459" s="83"/>
      <c r="R459" s="83"/>
      <c r="S459" s="83"/>
      <c r="T459" s="83"/>
      <c r="U459" s="83"/>
      <c r="V459" s="83"/>
      <c r="W459" s="83"/>
      <c r="X459" s="83"/>
      <c r="Y459" s="83"/>
      <c r="Z459" s="83"/>
      <c r="AA459" s="83"/>
      <c r="AB459" s="83"/>
      <c r="AC459" s="83"/>
      <c r="AD459" s="83"/>
      <c r="AE459" s="83"/>
      <c r="AF459" s="83"/>
      <c r="AG459" s="83"/>
      <c r="AH459" s="83"/>
      <c r="AI459" s="83"/>
      <c r="AJ459" s="83"/>
      <c r="AK459" s="83"/>
      <c r="AL459" s="83"/>
      <c r="AM459" s="83"/>
      <c r="AN459" s="83"/>
      <c r="AO459" s="83"/>
      <c r="AP459" s="83"/>
      <c r="AQ459" s="83"/>
      <c r="AR459" s="83"/>
      <c r="AS459" s="83"/>
      <c r="AT459" s="83"/>
    </row>
    <row r="460" spans="1:46" ht="13.8">
      <c r="A460" s="83"/>
      <c r="B460" s="83"/>
      <c r="C460" s="83"/>
      <c r="D460" s="83"/>
      <c r="E460" s="82"/>
      <c r="F460" s="82"/>
      <c r="G460" s="83"/>
      <c r="H460" s="83"/>
      <c r="I460" s="83"/>
      <c r="J460" s="83"/>
      <c r="K460" s="83"/>
      <c r="L460" s="83"/>
      <c r="M460" s="83"/>
      <c r="N460" s="83"/>
      <c r="O460" s="83"/>
      <c r="P460" s="83"/>
      <c r="Q460" s="83"/>
      <c r="R460" s="83"/>
      <c r="S460" s="83"/>
      <c r="T460" s="83"/>
      <c r="U460" s="83"/>
      <c r="V460" s="83"/>
      <c r="W460" s="83"/>
      <c r="X460" s="83"/>
      <c r="Y460" s="83"/>
      <c r="Z460" s="83"/>
      <c r="AA460" s="83"/>
      <c r="AB460" s="83"/>
      <c r="AC460" s="83"/>
      <c r="AD460" s="83"/>
      <c r="AE460" s="83"/>
      <c r="AF460" s="83"/>
      <c r="AG460" s="83"/>
      <c r="AH460" s="83"/>
      <c r="AI460" s="83"/>
      <c r="AJ460" s="83"/>
      <c r="AK460" s="83"/>
      <c r="AL460" s="83"/>
      <c r="AM460" s="83"/>
      <c r="AN460" s="83"/>
      <c r="AO460" s="83"/>
      <c r="AP460" s="83"/>
      <c r="AQ460" s="83"/>
      <c r="AR460" s="83"/>
      <c r="AS460" s="83"/>
      <c r="AT460" s="83"/>
    </row>
    <row r="461" spans="1:46" ht="13.8">
      <c r="A461" s="83"/>
      <c r="B461" s="83"/>
      <c r="C461" s="83"/>
      <c r="D461" s="83"/>
      <c r="E461" s="82"/>
      <c r="F461" s="82"/>
      <c r="G461" s="83"/>
      <c r="H461" s="83"/>
      <c r="I461" s="83"/>
      <c r="J461" s="83"/>
      <c r="K461" s="83"/>
      <c r="L461" s="83"/>
      <c r="M461" s="83"/>
      <c r="N461" s="83"/>
      <c r="O461" s="83"/>
      <c r="P461" s="83"/>
      <c r="Q461" s="83"/>
      <c r="R461" s="83"/>
      <c r="S461" s="83"/>
      <c r="T461" s="83"/>
      <c r="U461" s="83"/>
      <c r="V461" s="83"/>
      <c r="W461" s="83"/>
      <c r="X461" s="83"/>
      <c r="Y461" s="83"/>
      <c r="Z461" s="83"/>
      <c r="AA461" s="83"/>
      <c r="AB461" s="83"/>
      <c r="AC461" s="83"/>
      <c r="AD461" s="83"/>
      <c r="AE461" s="83"/>
      <c r="AF461" s="83"/>
      <c r="AG461" s="83"/>
      <c r="AH461" s="83"/>
      <c r="AI461" s="83"/>
      <c r="AJ461" s="83"/>
      <c r="AK461" s="83"/>
      <c r="AL461" s="83"/>
      <c r="AM461" s="83"/>
      <c r="AN461" s="83"/>
      <c r="AO461" s="83"/>
      <c r="AP461" s="83"/>
      <c r="AQ461" s="83"/>
      <c r="AR461" s="83"/>
      <c r="AS461" s="83"/>
      <c r="AT461" s="83"/>
    </row>
    <row r="462" spans="1:46" ht="13.8">
      <c r="A462" s="83"/>
      <c r="B462" s="83"/>
      <c r="C462" s="83"/>
      <c r="D462" s="83"/>
      <c r="E462" s="82"/>
      <c r="F462" s="82"/>
      <c r="G462" s="83"/>
      <c r="H462" s="83"/>
      <c r="I462" s="83"/>
      <c r="J462" s="83"/>
      <c r="K462" s="83"/>
      <c r="L462" s="83"/>
      <c r="M462" s="83"/>
      <c r="N462" s="83"/>
      <c r="O462" s="83"/>
      <c r="P462" s="83"/>
      <c r="Q462" s="83"/>
      <c r="R462" s="83"/>
      <c r="S462" s="83"/>
      <c r="T462" s="83"/>
      <c r="U462" s="83"/>
      <c r="V462" s="83"/>
      <c r="W462" s="83"/>
      <c r="X462" s="83"/>
      <c r="Y462" s="83"/>
      <c r="Z462" s="83"/>
      <c r="AA462" s="83"/>
      <c r="AB462" s="83"/>
      <c r="AC462" s="83"/>
      <c r="AD462" s="83"/>
      <c r="AE462" s="83"/>
      <c r="AF462" s="83"/>
      <c r="AG462" s="83"/>
      <c r="AH462" s="83"/>
      <c r="AI462" s="83"/>
      <c r="AJ462" s="83"/>
      <c r="AK462" s="83"/>
      <c r="AL462" s="83"/>
      <c r="AM462" s="83"/>
      <c r="AN462" s="83"/>
      <c r="AO462" s="83"/>
      <c r="AP462" s="83"/>
      <c r="AQ462" s="83"/>
      <c r="AR462" s="83"/>
      <c r="AS462" s="83"/>
      <c r="AT462" s="83"/>
    </row>
    <row r="463" spans="1:46" ht="13.8">
      <c r="A463" s="83"/>
      <c r="B463" s="83"/>
      <c r="C463" s="83"/>
      <c r="D463" s="83"/>
      <c r="E463" s="82"/>
      <c r="F463" s="82"/>
      <c r="G463" s="83"/>
      <c r="H463" s="83"/>
      <c r="I463" s="83"/>
      <c r="J463" s="83"/>
      <c r="K463" s="83"/>
      <c r="L463" s="83"/>
      <c r="M463" s="83"/>
      <c r="N463" s="83"/>
      <c r="O463" s="83"/>
      <c r="P463" s="83"/>
      <c r="Q463" s="83"/>
      <c r="R463" s="83"/>
      <c r="S463" s="83"/>
      <c r="T463" s="83"/>
      <c r="U463" s="83"/>
      <c r="V463" s="83"/>
      <c r="W463" s="83"/>
      <c r="X463" s="83"/>
      <c r="Y463" s="83"/>
      <c r="Z463" s="83"/>
      <c r="AA463" s="83"/>
      <c r="AB463" s="83"/>
      <c r="AC463" s="83"/>
      <c r="AD463" s="83"/>
      <c r="AE463" s="83"/>
      <c r="AF463" s="83"/>
      <c r="AG463" s="83"/>
      <c r="AH463" s="83"/>
      <c r="AI463" s="83"/>
      <c r="AJ463" s="83"/>
      <c r="AK463" s="83"/>
      <c r="AL463" s="83"/>
      <c r="AM463" s="83"/>
      <c r="AN463" s="83"/>
      <c r="AO463" s="83"/>
      <c r="AP463" s="83"/>
      <c r="AQ463" s="83"/>
      <c r="AR463" s="83"/>
      <c r="AS463" s="83"/>
      <c r="AT463" s="83"/>
    </row>
    <row r="464" spans="1:46" ht="13.8">
      <c r="A464" s="83"/>
      <c r="B464" s="83"/>
      <c r="C464" s="83"/>
      <c r="D464" s="83"/>
      <c r="E464" s="82"/>
      <c r="F464" s="82"/>
      <c r="G464" s="83"/>
      <c r="H464" s="83"/>
      <c r="I464" s="83"/>
      <c r="J464" s="83"/>
      <c r="K464" s="83"/>
      <c r="L464" s="83"/>
      <c r="M464" s="83"/>
      <c r="N464" s="83"/>
      <c r="O464" s="83"/>
      <c r="P464" s="83"/>
      <c r="Q464" s="83"/>
      <c r="R464" s="83"/>
      <c r="S464" s="83"/>
      <c r="T464" s="83"/>
      <c r="U464" s="83"/>
      <c r="V464" s="83"/>
      <c r="W464" s="83"/>
      <c r="X464" s="83"/>
      <c r="Y464" s="83"/>
      <c r="Z464" s="83"/>
      <c r="AA464" s="83"/>
      <c r="AB464" s="83"/>
      <c r="AC464" s="83"/>
      <c r="AD464" s="83"/>
      <c r="AE464" s="83"/>
      <c r="AF464" s="83"/>
      <c r="AG464" s="83"/>
      <c r="AH464" s="83"/>
      <c r="AI464" s="83"/>
      <c r="AJ464" s="83"/>
      <c r="AK464" s="83"/>
      <c r="AL464" s="83"/>
      <c r="AM464" s="83"/>
      <c r="AN464" s="83"/>
      <c r="AO464" s="83"/>
      <c r="AP464" s="83"/>
      <c r="AQ464" s="83"/>
      <c r="AR464" s="83"/>
      <c r="AS464" s="83"/>
      <c r="AT464" s="83"/>
    </row>
    <row r="465" spans="1:46" ht="13.8">
      <c r="A465" s="83"/>
      <c r="B465" s="83"/>
      <c r="C465" s="83"/>
      <c r="D465" s="83"/>
      <c r="E465" s="82"/>
      <c r="F465" s="82"/>
      <c r="G465" s="83"/>
      <c r="H465" s="83"/>
      <c r="I465" s="83"/>
      <c r="J465" s="83"/>
      <c r="K465" s="83"/>
      <c r="L465" s="83"/>
      <c r="M465" s="83"/>
      <c r="N465" s="83"/>
      <c r="O465" s="83"/>
      <c r="P465" s="83"/>
      <c r="Q465" s="83"/>
      <c r="R465" s="83"/>
      <c r="S465" s="83"/>
      <c r="T465" s="83"/>
      <c r="U465" s="83"/>
      <c r="V465" s="83"/>
      <c r="W465" s="83"/>
      <c r="X465" s="83"/>
      <c r="Y465" s="83"/>
      <c r="Z465" s="83"/>
      <c r="AA465" s="83"/>
      <c r="AB465" s="83"/>
      <c r="AC465" s="83"/>
      <c r="AD465" s="83"/>
      <c r="AE465" s="83"/>
      <c r="AF465" s="83"/>
      <c r="AG465" s="83"/>
      <c r="AH465" s="83"/>
      <c r="AI465" s="83"/>
      <c r="AJ465" s="83"/>
      <c r="AK465" s="83"/>
      <c r="AL465" s="83"/>
      <c r="AM465" s="83"/>
      <c r="AN465" s="83"/>
      <c r="AO465" s="83"/>
      <c r="AP465" s="83"/>
      <c r="AQ465" s="83"/>
      <c r="AR465" s="83"/>
      <c r="AS465" s="83"/>
      <c r="AT465" s="83"/>
    </row>
    <row r="466" spans="1:46" ht="13.8">
      <c r="A466" s="83"/>
      <c r="B466" s="83"/>
      <c r="C466" s="83"/>
      <c r="D466" s="83"/>
      <c r="E466" s="82"/>
      <c r="F466" s="82"/>
      <c r="G466" s="83"/>
      <c r="H466" s="83"/>
      <c r="I466" s="83"/>
      <c r="J466" s="83"/>
      <c r="K466" s="83"/>
      <c r="L466" s="83"/>
      <c r="M466" s="83"/>
      <c r="N466" s="83"/>
      <c r="O466" s="83"/>
      <c r="P466" s="83"/>
      <c r="Q466" s="83"/>
      <c r="R466" s="83"/>
      <c r="S466" s="83"/>
      <c r="T466" s="83"/>
      <c r="U466" s="83"/>
      <c r="V466" s="83"/>
      <c r="W466" s="83"/>
      <c r="X466" s="83"/>
      <c r="Y466" s="83"/>
      <c r="Z466" s="83"/>
      <c r="AA466" s="83"/>
      <c r="AB466" s="83"/>
      <c r="AC466" s="83"/>
      <c r="AD466" s="83"/>
      <c r="AE466" s="83"/>
      <c r="AF466" s="83"/>
      <c r="AG466" s="83"/>
      <c r="AH466" s="83"/>
      <c r="AI466" s="83"/>
      <c r="AJ466" s="83"/>
      <c r="AK466" s="83"/>
      <c r="AL466" s="83"/>
      <c r="AM466" s="83"/>
      <c r="AN466" s="83"/>
      <c r="AO466" s="83"/>
      <c r="AP466" s="83"/>
      <c r="AQ466" s="83"/>
      <c r="AR466" s="83"/>
      <c r="AS466" s="83"/>
      <c r="AT466" s="83"/>
    </row>
    <row r="467" spans="1:46" ht="13.8">
      <c r="A467" s="83"/>
      <c r="B467" s="83"/>
      <c r="C467" s="83"/>
      <c r="D467" s="83"/>
      <c r="E467" s="82"/>
      <c r="F467" s="82"/>
      <c r="G467" s="83"/>
      <c r="H467" s="83"/>
      <c r="I467" s="83"/>
      <c r="J467" s="83"/>
      <c r="K467" s="83"/>
      <c r="L467" s="83"/>
      <c r="M467" s="83"/>
      <c r="N467" s="83"/>
      <c r="O467" s="83"/>
      <c r="P467" s="83"/>
      <c r="Q467" s="83"/>
      <c r="R467" s="83"/>
      <c r="S467" s="83"/>
      <c r="T467" s="83"/>
      <c r="U467" s="83"/>
      <c r="V467" s="83"/>
      <c r="W467" s="83"/>
      <c r="X467" s="83"/>
      <c r="Y467" s="83"/>
      <c r="Z467" s="83"/>
      <c r="AA467" s="83"/>
      <c r="AB467" s="83"/>
      <c r="AC467" s="83"/>
      <c r="AD467" s="83"/>
      <c r="AE467" s="83"/>
      <c r="AF467" s="83"/>
      <c r="AG467" s="83"/>
      <c r="AH467" s="83"/>
      <c r="AI467" s="83"/>
      <c r="AJ467" s="83"/>
      <c r="AK467" s="83"/>
      <c r="AL467" s="83"/>
      <c r="AM467" s="83"/>
      <c r="AN467" s="83"/>
      <c r="AO467" s="83"/>
      <c r="AP467" s="83"/>
      <c r="AQ467" s="83"/>
      <c r="AR467" s="83"/>
      <c r="AS467" s="83"/>
      <c r="AT467" s="83"/>
    </row>
    <row r="468" spans="1:46" ht="13.8">
      <c r="A468" s="83"/>
      <c r="B468" s="83"/>
      <c r="C468" s="83"/>
      <c r="D468" s="83"/>
      <c r="E468" s="82"/>
      <c r="F468" s="82"/>
      <c r="G468" s="83"/>
      <c r="H468" s="83"/>
      <c r="I468" s="83"/>
      <c r="J468" s="83"/>
      <c r="K468" s="83"/>
      <c r="L468" s="83"/>
      <c r="M468" s="83"/>
      <c r="N468" s="83"/>
      <c r="O468" s="83"/>
      <c r="P468" s="83"/>
      <c r="Q468" s="83"/>
      <c r="R468" s="83"/>
      <c r="S468" s="83"/>
      <c r="T468" s="83"/>
      <c r="U468" s="83"/>
      <c r="V468" s="83"/>
      <c r="W468" s="83"/>
      <c r="X468" s="83"/>
      <c r="Y468" s="83"/>
      <c r="Z468" s="83"/>
      <c r="AA468" s="83"/>
      <c r="AB468" s="83"/>
      <c r="AC468" s="83"/>
      <c r="AD468" s="83"/>
      <c r="AE468" s="83"/>
      <c r="AF468" s="83"/>
      <c r="AG468" s="83"/>
      <c r="AH468" s="83"/>
      <c r="AI468" s="83"/>
      <c r="AJ468" s="83"/>
      <c r="AK468" s="83"/>
      <c r="AL468" s="83"/>
      <c r="AM468" s="83"/>
      <c r="AN468" s="83"/>
      <c r="AO468" s="83"/>
      <c r="AP468" s="83"/>
      <c r="AQ468" s="83"/>
      <c r="AR468" s="83"/>
      <c r="AS468" s="83"/>
      <c r="AT468" s="83"/>
    </row>
    <row r="469" spans="1:46" ht="13.8">
      <c r="A469" s="83"/>
      <c r="B469" s="83"/>
      <c r="C469" s="83"/>
      <c r="D469" s="83"/>
      <c r="E469" s="82"/>
      <c r="F469" s="82"/>
      <c r="G469" s="83"/>
      <c r="H469" s="83"/>
      <c r="I469" s="83"/>
      <c r="J469" s="83"/>
      <c r="K469" s="83"/>
      <c r="L469" s="83"/>
      <c r="M469" s="83"/>
      <c r="N469" s="83"/>
      <c r="O469" s="83"/>
      <c r="P469" s="83"/>
      <c r="Q469" s="83"/>
      <c r="R469" s="83"/>
      <c r="S469" s="83"/>
      <c r="T469" s="83"/>
      <c r="U469" s="83"/>
      <c r="V469" s="83"/>
      <c r="W469" s="83"/>
      <c r="X469" s="83"/>
      <c r="Y469" s="83"/>
      <c r="Z469" s="83"/>
      <c r="AA469" s="83"/>
      <c r="AB469" s="83"/>
      <c r="AC469" s="83"/>
      <c r="AD469" s="83"/>
      <c r="AE469" s="83"/>
      <c r="AF469" s="83"/>
      <c r="AG469" s="83"/>
      <c r="AH469" s="83"/>
      <c r="AI469" s="83"/>
      <c r="AJ469" s="83"/>
      <c r="AK469" s="83"/>
      <c r="AL469" s="83"/>
      <c r="AM469" s="83"/>
      <c r="AN469" s="83"/>
      <c r="AO469" s="83"/>
      <c r="AP469" s="83"/>
      <c r="AQ469" s="83"/>
      <c r="AR469" s="83"/>
      <c r="AS469" s="83"/>
      <c r="AT469" s="83"/>
    </row>
    <row r="470" spans="1:46" ht="13.8">
      <c r="A470" s="83"/>
      <c r="B470" s="83"/>
      <c r="C470" s="83"/>
      <c r="D470" s="83"/>
      <c r="E470" s="82"/>
      <c r="F470" s="82"/>
      <c r="G470" s="83"/>
      <c r="H470" s="83"/>
      <c r="I470" s="83"/>
      <c r="J470" s="83"/>
      <c r="K470" s="83"/>
      <c r="L470" s="83"/>
      <c r="M470" s="83"/>
      <c r="N470" s="83"/>
      <c r="O470" s="83"/>
      <c r="P470" s="83"/>
      <c r="Q470" s="83"/>
      <c r="R470" s="83"/>
      <c r="S470" s="83"/>
      <c r="T470" s="83"/>
      <c r="U470" s="83"/>
      <c r="V470" s="83"/>
      <c r="W470" s="83"/>
      <c r="X470" s="83"/>
      <c r="Y470" s="83"/>
      <c r="Z470" s="83"/>
      <c r="AA470" s="83"/>
      <c r="AB470" s="83"/>
      <c r="AC470" s="83"/>
      <c r="AD470" s="83"/>
      <c r="AE470" s="83"/>
      <c r="AF470" s="83"/>
      <c r="AG470" s="83"/>
      <c r="AH470" s="83"/>
      <c r="AI470" s="83"/>
      <c r="AJ470" s="83"/>
      <c r="AK470" s="83"/>
      <c r="AL470" s="83"/>
      <c r="AM470" s="83"/>
      <c r="AN470" s="83"/>
      <c r="AO470" s="83"/>
      <c r="AP470" s="83"/>
      <c r="AQ470" s="83"/>
      <c r="AR470" s="83"/>
      <c r="AS470" s="83"/>
      <c r="AT470" s="83"/>
    </row>
    <row r="471" spans="1:46" ht="13.8">
      <c r="A471" s="83"/>
      <c r="B471" s="83"/>
      <c r="C471" s="83"/>
      <c r="D471" s="83"/>
      <c r="E471" s="82"/>
      <c r="F471" s="82"/>
      <c r="G471" s="83"/>
      <c r="H471" s="83"/>
      <c r="I471" s="83"/>
      <c r="J471" s="83"/>
      <c r="K471" s="83"/>
      <c r="L471" s="83"/>
      <c r="M471" s="83"/>
      <c r="N471" s="83"/>
      <c r="O471" s="83"/>
      <c r="P471" s="83"/>
      <c r="Q471" s="83"/>
      <c r="R471" s="83"/>
      <c r="S471" s="83"/>
      <c r="T471" s="83"/>
      <c r="U471" s="83"/>
      <c r="V471" s="83"/>
      <c r="W471" s="83"/>
      <c r="X471" s="83"/>
      <c r="Y471" s="83"/>
      <c r="Z471" s="83"/>
      <c r="AA471" s="83"/>
      <c r="AB471" s="83"/>
      <c r="AC471" s="83"/>
      <c r="AD471" s="83"/>
      <c r="AE471" s="83"/>
      <c r="AF471" s="83"/>
      <c r="AG471" s="83"/>
      <c r="AH471" s="83"/>
      <c r="AI471" s="83"/>
      <c r="AJ471" s="83"/>
      <c r="AK471" s="83"/>
      <c r="AL471" s="83"/>
      <c r="AM471" s="83"/>
      <c r="AN471" s="83"/>
      <c r="AO471" s="83"/>
      <c r="AP471" s="83"/>
      <c r="AQ471" s="83"/>
      <c r="AR471" s="83"/>
      <c r="AS471" s="83"/>
      <c r="AT471" s="83"/>
    </row>
    <row r="472" spans="1:46" ht="13.8">
      <c r="A472" s="83"/>
      <c r="B472" s="83"/>
      <c r="C472" s="83"/>
      <c r="D472" s="83"/>
      <c r="E472" s="82"/>
      <c r="F472" s="82"/>
      <c r="G472" s="83"/>
      <c r="H472" s="83"/>
      <c r="I472" s="83"/>
      <c r="J472" s="83"/>
      <c r="K472" s="83"/>
      <c r="L472" s="83"/>
      <c r="M472" s="83"/>
      <c r="N472" s="83"/>
      <c r="O472" s="83"/>
      <c r="P472" s="83"/>
      <c r="Q472" s="83"/>
      <c r="R472" s="83"/>
      <c r="S472" s="83"/>
      <c r="T472" s="83"/>
      <c r="U472" s="83"/>
      <c r="V472" s="83"/>
      <c r="W472" s="83"/>
      <c r="X472" s="83"/>
      <c r="Y472" s="83"/>
      <c r="Z472" s="83"/>
      <c r="AA472" s="83"/>
      <c r="AB472" s="83"/>
      <c r="AC472" s="83"/>
      <c r="AD472" s="83"/>
      <c r="AE472" s="83"/>
      <c r="AF472" s="83"/>
      <c r="AG472" s="83"/>
      <c r="AH472" s="83"/>
      <c r="AI472" s="83"/>
      <c r="AJ472" s="83"/>
      <c r="AK472" s="83"/>
      <c r="AL472" s="83"/>
      <c r="AM472" s="83"/>
      <c r="AN472" s="83"/>
      <c r="AO472" s="83"/>
      <c r="AP472" s="83"/>
      <c r="AQ472" s="83"/>
      <c r="AR472" s="83"/>
      <c r="AS472" s="83"/>
      <c r="AT472" s="83"/>
    </row>
    <row r="473" spans="1:46" ht="13.8">
      <c r="A473" s="83"/>
      <c r="B473" s="83"/>
      <c r="C473" s="83"/>
      <c r="D473" s="83"/>
      <c r="E473" s="82"/>
      <c r="F473" s="82"/>
      <c r="G473" s="83"/>
      <c r="H473" s="83"/>
      <c r="I473" s="83"/>
      <c r="J473" s="83"/>
      <c r="K473" s="83"/>
      <c r="L473" s="83"/>
      <c r="M473" s="83"/>
      <c r="N473" s="83"/>
      <c r="O473" s="83"/>
      <c r="P473" s="83"/>
      <c r="Q473" s="83"/>
      <c r="R473" s="83"/>
      <c r="S473" s="83"/>
      <c r="T473" s="83"/>
      <c r="U473" s="83"/>
      <c r="V473" s="83"/>
      <c r="W473" s="83"/>
      <c r="X473" s="83"/>
      <c r="Y473" s="83"/>
      <c r="Z473" s="83"/>
      <c r="AA473" s="83"/>
      <c r="AB473" s="83"/>
      <c r="AC473" s="83"/>
      <c r="AD473" s="83"/>
      <c r="AE473" s="83"/>
      <c r="AF473" s="83"/>
      <c r="AG473" s="83"/>
      <c r="AH473" s="83"/>
      <c r="AI473" s="83"/>
      <c r="AJ473" s="83"/>
      <c r="AK473" s="83"/>
      <c r="AL473" s="83"/>
      <c r="AM473" s="83"/>
      <c r="AN473" s="83"/>
      <c r="AO473" s="83"/>
      <c r="AP473" s="83"/>
      <c r="AQ473" s="83"/>
      <c r="AR473" s="83"/>
      <c r="AS473" s="83"/>
      <c r="AT473" s="83"/>
    </row>
    <row r="474" spans="1:46" ht="13.8">
      <c r="A474" s="83"/>
      <c r="B474" s="83"/>
      <c r="C474" s="83"/>
      <c r="D474" s="83"/>
      <c r="E474" s="82"/>
      <c r="F474" s="82"/>
      <c r="G474" s="83"/>
      <c r="H474" s="83"/>
      <c r="I474" s="83"/>
      <c r="J474" s="83"/>
      <c r="K474" s="83"/>
      <c r="L474" s="83"/>
      <c r="M474" s="83"/>
      <c r="N474" s="83"/>
      <c r="O474" s="83"/>
      <c r="P474" s="83"/>
      <c r="Q474" s="83"/>
      <c r="R474" s="83"/>
      <c r="S474" s="83"/>
      <c r="T474" s="83"/>
      <c r="U474" s="83"/>
      <c r="V474" s="83"/>
      <c r="W474" s="83"/>
      <c r="X474" s="83"/>
      <c r="Y474" s="83"/>
      <c r="Z474" s="83"/>
      <c r="AA474" s="83"/>
      <c r="AB474" s="83"/>
      <c r="AC474" s="83"/>
      <c r="AD474" s="83"/>
      <c r="AE474" s="83"/>
      <c r="AF474" s="83"/>
      <c r="AG474" s="83"/>
      <c r="AH474" s="83"/>
      <c r="AI474" s="83"/>
      <c r="AJ474" s="83"/>
      <c r="AK474" s="83"/>
      <c r="AL474" s="83"/>
      <c r="AM474" s="83"/>
      <c r="AN474" s="83"/>
      <c r="AO474" s="83"/>
      <c r="AP474" s="83"/>
      <c r="AQ474" s="83"/>
      <c r="AR474" s="83"/>
      <c r="AS474" s="83"/>
      <c r="AT474" s="83"/>
    </row>
    <row r="475" spans="1:46" ht="13.8">
      <c r="A475" s="83"/>
      <c r="B475" s="83"/>
      <c r="C475" s="83"/>
      <c r="D475" s="83"/>
      <c r="E475" s="82"/>
      <c r="F475" s="82"/>
      <c r="G475" s="83"/>
      <c r="H475" s="83"/>
      <c r="I475" s="83"/>
      <c r="J475" s="83"/>
      <c r="K475" s="83"/>
      <c r="L475" s="83"/>
      <c r="M475" s="83"/>
      <c r="N475" s="83"/>
      <c r="O475" s="83"/>
      <c r="P475" s="83"/>
      <c r="Q475" s="83"/>
      <c r="R475" s="83"/>
      <c r="S475" s="83"/>
      <c r="T475" s="83"/>
      <c r="U475" s="83"/>
      <c r="V475" s="83"/>
      <c r="W475" s="83"/>
      <c r="X475" s="83"/>
      <c r="Y475" s="83"/>
      <c r="Z475" s="83"/>
      <c r="AA475" s="83"/>
      <c r="AB475" s="83"/>
      <c r="AC475" s="83"/>
      <c r="AD475" s="83"/>
      <c r="AE475" s="83"/>
      <c r="AF475" s="83"/>
      <c r="AG475" s="83"/>
      <c r="AH475" s="83"/>
      <c r="AI475" s="83"/>
      <c r="AJ475" s="83"/>
      <c r="AK475" s="83"/>
      <c r="AL475" s="83"/>
      <c r="AM475" s="83"/>
      <c r="AN475" s="83"/>
      <c r="AO475" s="83"/>
      <c r="AP475" s="83"/>
      <c r="AQ475" s="83"/>
      <c r="AR475" s="83"/>
      <c r="AS475" s="83"/>
      <c r="AT475" s="83"/>
    </row>
    <row r="476" spans="1:46" ht="13.8">
      <c r="A476" s="83"/>
      <c r="B476" s="83"/>
      <c r="C476" s="83"/>
      <c r="D476" s="83"/>
      <c r="E476" s="82"/>
      <c r="F476" s="82"/>
      <c r="G476" s="83"/>
      <c r="H476" s="83"/>
      <c r="I476" s="83"/>
      <c r="J476" s="83"/>
      <c r="K476" s="83"/>
      <c r="L476" s="83"/>
      <c r="M476" s="83"/>
      <c r="N476" s="83"/>
      <c r="O476" s="83"/>
      <c r="P476" s="83"/>
      <c r="Q476" s="83"/>
      <c r="R476" s="83"/>
      <c r="S476" s="83"/>
      <c r="T476" s="83"/>
      <c r="U476" s="83"/>
      <c r="V476" s="83"/>
      <c r="W476" s="83"/>
      <c r="X476" s="83"/>
      <c r="Y476" s="83"/>
      <c r="Z476" s="83"/>
      <c r="AA476" s="83"/>
      <c r="AB476" s="83"/>
      <c r="AC476" s="83"/>
      <c r="AD476" s="83"/>
      <c r="AE476" s="83"/>
      <c r="AF476" s="83"/>
      <c r="AG476" s="83"/>
      <c r="AH476" s="83"/>
      <c r="AI476" s="83"/>
      <c r="AJ476" s="83"/>
      <c r="AK476" s="83"/>
      <c r="AL476" s="83"/>
      <c r="AM476" s="83"/>
      <c r="AN476" s="83"/>
      <c r="AO476" s="83"/>
      <c r="AP476" s="83"/>
      <c r="AQ476" s="83"/>
      <c r="AR476" s="83"/>
      <c r="AS476" s="83"/>
      <c r="AT476" s="83"/>
    </row>
    <row r="477" spans="1:46" ht="13.8">
      <c r="A477" s="83"/>
      <c r="B477" s="83"/>
      <c r="C477" s="83"/>
      <c r="D477" s="83"/>
      <c r="E477" s="82"/>
      <c r="F477" s="82"/>
      <c r="G477" s="83"/>
      <c r="H477" s="83"/>
      <c r="I477" s="83"/>
      <c r="J477" s="83"/>
      <c r="K477" s="83"/>
      <c r="L477" s="83"/>
      <c r="M477" s="83"/>
      <c r="N477" s="83"/>
      <c r="O477" s="83"/>
      <c r="P477" s="83"/>
      <c r="Q477" s="83"/>
      <c r="R477" s="83"/>
      <c r="S477" s="83"/>
      <c r="T477" s="83"/>
      <c r="U477" s="83"/>
      <c r="V477" s="83"/>
      <c r="W477" s="83"/>
      <c r="X477" s="83"/>
      <c r="Y477" s="83"/>
      <c r="Z477" s="83"/>
      <c r="AA477" s="83"/>
      <c r="AB477" s="83"/>
      <c r="AC477" s="83"/>
      <c r="AD477" s="83"/>
      <c r="AE477" s="83"/>
      <c r="AF477" s="83"/>
      <c r="AG477" s="83"/>
      <c r="AH477" s="83"/>
      <c r="AI477" s="83"/>
      <c r="AJ477" s="83"/>
      <c r="AK477" s="83"/>
      <c r="AL477" s="83"/>
      <c r="AM477" s="83"/>
      <c r="AN477" s="83"/>
      <c r="AO477" s="83"/>
      <c r="AP477" s="83"/>
      <c r="AQ477" s="83"/>
      <c r="AR477" s="83"/>
      <c r="AS477" s="83"/>
      <c r="AT477" s="83"/>
    </row>
    <row r="478" spans="1:46" ht="13.8">
      <c r="A478" s="83"/>
      <c r="B478" s="83"/>
      <c r="C478" s="83"/>
      <c r="D478" s="83"/>
      <c r="E478" s="82"/>
      <c r="F478" s="82"/>
      <c r="G478" s="83"/>
      <c r="H478" s="83"/>
      <c r="I478" s="83"/>
      <c r="J478" s="83"/>
      <c r="K478" s="83"/>
      <c r="L478" s="83"/>
      <c r="M478" s="83"/>
      <c r="N478" s="83"/>
      <c r="O478" s="83"/>
      <c r="P478" s="83"/>
      <c r="Q478" s="83"/>
      <c r="R478" s="83"/>
      <c r="S478" s="83"/>
      <c r="T478" s="83"/>
      <c r="U478" s="83"/>
      <c r="V478" s="83"/>
      <c r="W478" s="83"/>
      <c r="X478" s="83"/>
      <c r="Y478" s="83"/>
      <c r="Z478" s="83"/>
      <c r="AA478" s="83"/>
      <c r="AB478" s="83"/>
      <c r="AC478" s="83"/>
      <c r="AD478" s="83"/>
      <c r="AE478" s="83"/>
      <c r="AF478" s="83"/>
      <c r="AG478" s="83"/>
      <c r="AH478" s="83"/>
      <c r="AI478" s="83"/>
      <c r="AJ478" s="83"/>
      <c r="AK478" s="83"/>
      <c r="AL478" s="83"/>
      <c r="AM478" s="83"/>
      <c r="AN478" s="83"/>
      <c r="AO478" s="83"/>
      <c r="AP478" s="83"/>
      <c r="AQ478" s="83"/>
      <c r="AR478" s="83"/>
      <c r="AS478" s="83"/>
      <c r="AT478" s="83"/>
    </row>
    <row r="479" spans="1:46" ht="13.8">
      <c r="A479" s="83"/>
      <c r="B479" s="83"/>
      <c r="C479" s="83"/>
      <c r="D479" s="83"/>
      <c r="E479" s="82"/>
      <c r="F479" s="82"/>
      <c r="G479" s="83"/>
      <c r="H479" s="83"/>
      <c r="I479" s="83"/>
      <c r="J479" s="83"/>
      <c r="K479" s="83"/>
      <c r="L479" s="83"/>
      <c r="M479" s="83"/>
      <c r="N479" s="83"/>
      <c r="O479" s="83"/>
      <c r="P479" s="83"/>
      <c r="Q479" s="83"/>
      <c r="R479" s="83"/>
      <c r="S479" s="83"/>
      <c r="T479" s="83"/>
      <c r="U479" s="83"/>
      <c r="V479" s="83"/>
      <c r="W479" s="83"/>
      <c r="X479" s="83"/>
      <c r="Y479" s="83"/>
      <c r="Z479" s="83"/>
      <c r="AA479" s="83"/>
      <c r="AB479" s="83"/>
      <c r="AC479" s="83"/>
      <c r="AD479" s="83"/>
      <c r="AE479" s="83"/>
      <c r="AF479" s="83"/>
      <c r="AG479" s="83"/>
      <c r="AH479" s="83"/>
      <c r="AI479" s="83"/>
      <c r="AJ479" s="83"/>
      <c r="AK479" s="83"/>
      <c r="AL479" s="83"/>
      <c r="AM479" s="83"/>
      <c r="AN479" s="83"/>
      <c r="AO479" s="83"/>
      <c r="AP479" s="83"/>
      <c r="AQ479" s="83"/>
      <c r="AR479" s="83"/>
      <c r="AS479" s="83"/>
      <c r="AT479" s="83"/>
    </row>
    <row r="480" spans="1:46" ht="13.8">
      <c r="A480" s="83"/>
      <c r="B480" s="83"/>
      <c r="C480" s="83"/>
      <c r="D480" s="83"/>
      <c r="E480" s="82"/>
      <c r="F480" s="82"/>
      <c r="G480" s="83"/>
      <c r="H480" s="83"/>
      <c r="I480" s="83"/>
      <c r="J480" s="83"/>
      <c r="K480" s="83"/>
      <c r="L480" s="83"/>
      <c r="M480" s="83"/>
      <c r="N480" s="83"/>
      <c r="O480" s="83"/>
      <c r="P480" s="83"/>
      <c r="Q480" s="83"/>
      <c r="R480" s="83"/>
      <c r="S480" s="83"/>
      <c r="T480" s="83"/>
      <c r="U480" s="83"/>
      <c r="V480" s="83"/>
      <c r="W480" s="83"/>
      <c r="X480" s="83"/>
      <c r="Y480" s="83"/>
      <c r="Z480" s="83"/>
      <c r="AA480" s="83"/>
      <c r="AB480" s="83"/>
      <c r="AC480" s="83"/>
      <c r="AD480" s="83"/>
      <c r="AE480" s="83"/>
      <c r="AF480" s="83"/>
      <c r="AG480" s="83"/>
      <c r="AH480" s="83"/>
      <c r="AI480" s="83"/>
      <c r="AJ480" s="83"/>
      <c r="AK480" s="83"/>
      <c r="AL480" s="83"/>
      <c r="AM480" s="83"/>
      <c r="AN480" s="83"/>
      <c r="AO480" s="83"/>
      <c r="AP480" s="83"/>
      <c r="AQ480" s="83"/>
      <c r="AR480" s="83"/>
      <c r="AS480" s="83"/>
      <c r="AT480" s="83"/>
    </row>
    <row r="481" spans="1:46" ht="13.8">
      <c r="A481" s="83"/>
      <c r="B481" s="83"/>
      <c r="C481" s="83"/>
      <c r="D481" s="83"/>
      <c r="E481" s="82"/>
      <c r="F481" s="82"/>
      <c r="G481" s="83"/>
      <c r="H481" s="83"/>
      <c r="I481" s="83"/>
      <c r="J481" s="83"/>
      <c r="K481" s="83"/>
      <c r="L481" s="83"/>
      <c r="M481" s="83"/>
      <c r="N481" s="83"/>
      <c r="O481" s="83"/>
      <c r="P481" s="83"/>
      <c r="Q481" s="83"/>
      <c r="R481" s="83"/>
      <c r="S481" s="83"/>
      <c r="T481" s="83"/>
      <c r="U481" s="83"/>
      <c r="V481" s="83"/>
      <c r="W481" s="83"/>
      <c r="X481" s="83"/>
      <c r="Y481" s="83"/>
      <c r="Z481" s="83"/>
      <c r="AA481" s="83"/>
      <c r="AB481" s="83"/>
      <c r="AC481" s="83"/>
      <c r="AD481" s="83"/>
      <c r="AE481" s="83"/>
      <c r="AF481" s="83"/>
      <c r="AG481" s="83"/>
      <c r="AH481" s="83"/>
      <c r="AI481" s="83"/>
      <c r="AJ481" s="83"/>
      <c r="AK481" s="83"/>
      <c r="AL481" s="83"/>
      <c r="AM481" s="83"/>
      <c r="AN481" s="83"/>
      <c r="AO481" s="83"/>
      <c r="AP481" s="83"/>
      <c r="AQ481" s="83"/>
      <c r="AR481" s="83"/>
      <c r="AS481" s="83"/>
      <c r="AT481" s="83"/>
    </row>
    <row r="482" spans="1:46" ht="13.8">
      <c r="A482" s="83"/>
      <c r="B482" s="83"/>
      <c r="C482" s="83"/>
      <c r="D482" s="83"/>
      <c r="E482" s="82"/>
      <c r="F482" s="82"/>
      <c r="G482" s="83"/>
      <c r="H482" s="83"/>
      <c r="I482" s="83"/>
      <c r="J482" s="83"/>
      <c r="K482" s="83"/>
      <c r="L482" s="83"/>
      <c r="M482" s="83"/>
      <c r="N482" s="83"/>
      <c r="O482" s="83"/>
      <c r="P482" s="83"/>
      <c r="Q482" s="83"/>
      <c r="R482" s="83"/>
      <c r="S482" s="83"/>
      <c r="T482" s="83"/>
      <c r="U482" s="83"/>
      <c r="V482" s="83"/>
      <c r="W482" s="83"/>
      <c r="X482" s="83"/>
      <c r="Y482" s="83"/>
      <c r="Z482" s="83"/>
      <c r="AA482" s="83"/>
      <c r="AB482" s="83"/>
      <c r="AC482" s="83"/>
      <c r="AD482" s="83"/>
      <c r="AE482" s="83"/>
      <c r="AF482" s="83"/>
      <c r="AG482" s="83"/>
      <c r="AH482" s="83"/>
      <c r="AI482" s="83"/>
      <c r="AJ482" s="83"/>
      <c r="AK482" s="83"/>
      <c r="AL482" s="83"/>
      <c r="AM482" s="83"/>
      <c r="AN482" s="83"/>
      <c r="AO482" s="83"/>
      <c r="AP482" s="83"/>
      <c r="AQ482" s="83"/>
      <c r="AR482" s="83"/>
      <c r="AS482" s="83"/>
      <c r="AT482" s="83"/>
    </row>
    <row r="483" spans="1:46" ht="13.8">
      <c r="A483" s="83"/>
      <c r="B483" s="83"/>
      <c r="C483" s="83"/>
      <c r="D483" s="83"/>
      <c r="E483" s="82"/>
      <c r="F483" s="82"/>
      <c r="G483" s="83"/>
      <c r="H483" s="83"/>
      <c r="I483" s="83"/>
      <c r="J483" s="83"/>
      <c r="K483" s="83"/>
      <c r="L483" s="83"/>
      <c r="M483" s="83"/>
      <c r="N483" s="83"/>
      <c r="O483" s="83"/>
      <c r="P483" s="83"/>
      <c r="Q483" s="83"/>
      <c r="R483" s="83"/>
      <c r="S483" s="83"/>
      <c r="T483" s="83"/>
      <c r="U483" s="83"/>
      <c r="V483" s="83"/>
      <c r="W483" s="83"/>
      <c r="X483" s="83"/>
      <c r="Y483" s="83"/>
      <c r="Z483" s="83"/>
      <c r="AA483" s="83"/>
      <c r="AB483" s="83"/>
      <c r="AC483" s="83"/>
      <c r="AD483" s="83"/>
      <c r="AE483" s="83"/>
      <c r="AF483" s="83"/>
      <c r="AG483" s="83"/>
      <c r="AH483" s="83"/>
      <c r="AI483" s="83"/>
      <c r="AJ483" s="83"/>
      <c r="AK483" s="83"/>
      <c r="AL483" s="83"/>
      <c r="AM483" s="83"/>
      <c r="AN483" s="83"/>
      <c r="AO483" s="83"/>
      <c r="AP483" s="83"/>
      <c r="AQ483" s="83"/>
      <c r="AR483" s="83"/>
      <c r="AS483" s="83"/>
      <c r="AT483" s="83"/>
    </row>
    <row r="484" spans="1:46" ht="13.8">
      <c r="A484" s="83"/>
      <c r="B484" s="83"/>
      <c r="C484" s="83"/>
      <c r="D484" s="83"/>
      <c r="E484" s="82"/>
      <c r="F484" s="82"/>
      <c r="G484" s="83"/>
      <c r="H484" s="83"/>
      <c r="I484" s="83"/>
      <c r="J484" s="83"/>
      <c r="K484" s="83"/>
      <c r="L484" s="83"/>
      <c r="M484" s="83"/>
      <c r="N484" s="83"/>
      <c r="O484" s="83"/>
      <c r="P484" s="83"/>
      <c r="Q484" s="83"/>
      <c r="R484" s="83"/>
      <c r="S484" s="83"/>
      <c r="T484" s="83"/>
      <c r="U484" s="83"/>
      <c r="V484" s="83"/>
      <c r="W484" s="83"/>
      <c r="X484" s="83"/>
      <c r="Y484" s="83"/>
      <c r="Z484" s="83"/>
      <c r="AA484" s="83"/>
      <c r="AB484" s="83"/>
      <c r="AC484" s="83"/>
      <c r="AD484" s="83"/>
      <c r="AE484" s="83"/>
      <c r="AF484" s="83"/>
      <c r="AG484" s="83"/>
      <c r="AH484" s="83"/>
      <c r="AI484" s="83"/>
      <c r="AJ484" s="83"/>
      <c r="AK484" s="83"/>
      <c r="AL484" s="83"/>
      <c r="AM484" s="83"/>
      <c r="AN484" s="83"/>
      <c r="AO484" s="83"/>
      <c r="AP484" s="83"/>
      <c r="AQ484" s="83"/>
      <c r="AR484" s="83"/>
      <c r="AS484" s="83"/>
      <c r="AT484" s="83"/>
    </row>
    <row r="485" spans="1:46" ht="13.8">
      <c r="A485" s="83"/>
      <c r="B485" s="83"/>
      <c r="C485" s="83"/>
      <c r="D485" s="83"/>
      <c r="E485" s="82"/>
      <c r="F485" s="82"/>
      <c r="G485" s="83"/>
      <c r="H485" s="83"/>
      <c r="I485" s="83"/>
      <c r="J485" s="83"/>
      <c r="K485" s="83"/>
      <c r="L485" s="83"/>
      <c r="M485" s="83"/>
      <c r="N485" s="83"/>
      <c r="O485" s="83"/>
      <c r="P485" s="83"/>
      <c r="Q485" s="83"/>
      <c r="R485" s="83"/>
      <c r="S485" s="83"/>
      <c r="T485" s="83"/>
      <c r="U485" s="83"/>
      <c r="V485" s="83"/>
      <c r="W485" s="83"/>
      <c r="X485" s="83"/>
      <c r="Y485" s="83"/>
      <c r="Z485" s="83"/>
      <c r="AA485" s="83"/>
      <c r="AB485" s="83"/>
      <c r="AC485" s="83"/>
      <c r="AD485" s="83"/>
      <c r="AE485" s="83"/>
      <c r="AF485" s="83"/>
      <c r="AG485" s="83"/>
      <c r="AH485" s="83"/>
      <c r="AI485" s="83"/>
      <c r="AJ485" s="83"/>
      <c r="AK485" s="83"/>
      <c r="AL485" s="83"/>
      <c r="AM485" s="83"/>
      <c r="AN485" s="83"/>
      <c r="AO485" s="83"/>
      <c r="AP485" s="83"/>
      <c r="AQ485" s="83"/>
      <c r="AR485" s="83"/>
      <c r="AS485" s="83"/>
      <c r="AT485" s="83"/>
    </row>
    <row r="486" spans="1:46" ht="13.8">
      <c r="A486" s="83"/>
      <c r="B486" s="83"/>
      <c r="C486" s="83"/>
      <c r="D486" s="83"/>
      <c r="E486" s="82"/>
      <c r="F486" s="82"/>
      <c r="G486" s="83"/>
      <c r="H486" s="83"/>
      <c r="I486" s="83"/>
      <c r="J486" s="83"/>
      <c r="K486" s="83"/>
      <c r="L486" s="83"/>
      <c r="M486" s="83"/>
      <c r="N486" s="83"/>
      <c r="O486" s="83"/>
      <c r="P486" s="83"/>
      <c r="Q486" s="83"/>
      <c r="R486" s="83"/>
      <c r="S486" s="83"/>
      <c r="T486" s="83"/>
      <c r="U486" s="83"/>
      <c r="V486" s="83"/>
      <c r="W486" s="83"/>
      <c r="X486" s="83"/>
      <c r="Y486" s="83"/>
      <c r="Z486" s="83"/>
      <c r="AA486" s="83"/>
      <c r="AB486" s="83"/>
      <c r="AC486" s="83"/>
      <c r="AD486" s="83"/>
      <c r="AE486" s="83"/>
      <c r="AF486" s="83"/>
      <c r="AG486" s="83"/>
      <c r="AH486" s="83"/>
      <c r="AI486" s="83"/>
      <c r="AJ486" s="83"/>
      <c r="AK486" s="83"/>
      <c r="AL486" s="83"/>
      <c r="AM486" s="83"/>
      <c r="AN486" s="83"/>
      <c r="AO486" s="83"/>
      <c r="AP486" s="83"/>
      <c r="AQ486" s="83"/>
      <c r="AR486" s="83"/>
      <c r="AS486" s="83"/>
      <c r="AT486" s="83"/>
    </row>
    <row r="487" spans="1:46" ht="13.8">
      <c r="A487" s="83"/>
      <c r="B487" s="83"/>
      <c r="C487" s="83"/>
      <c r="D487" s="83"/>
      <c r="E487" s="82"/>
      <c r="F487" s="82"/>
      <c r="G487" s="83"/>
      <c r="H487" s="83"/>
      <c r="I487" s="83"/>
      <c r="J487" s="83"/>
      <c r="K487" s="83"/>
      <c r="L487" s="83"/>
      <c r="M487" s="83"/>
      <c r="N487" s="83"/>
      <c r="O487" s="83"/>
      <c r="P487" s="83"/>
      <c r="Q487" s="83"/>
      <c r="R487" s="83"/>
      <c r="S487" s="83"/>
      <c r="T487" s="83"/>
      <c r="U487" s="83"/>
      <c r="V487" s="83"/>
      <c r="W487" s="83"/>
      <c r="X487" s="83"/>
      <c r="Y487" s="83"/>
      <c r="Z487" s="83"/>
      <c r="AA487" s="83"/>
      <c r="AB487" s="83"/>
      <c r="AC487" s="83"/>
      <c r="AD487" s="83"/>
      <c r="AE487" s="83"/>
      <c r="AF487" s="83"/>
      <c r="AG487" s="83"/>
      <c r="AH487" s="83"/>
      <c r="AI487" s="83"/>
      <c r="AJ487" s="83"/>
      <c r="AK487" s="83"/>
      <c r="AL487" s="83"/>
      <c r="AM487" s="83"/>
      <c r="AN487" s="83"/>
      <c r="AO487" s="83"/>
      <c r="AP487" s="83"/>
      <c r="AQ487" s="83"/>
      <c r="AR487" s="83"/>
      <c r="AS487" s="83"/>
      <c r="AT487" s="83"/>
    </row>
    <row r="488" spans="1:46" ht="13.8">
      <c r="A488" s="83"/>
      <c r="B488" s="83"/>
      <c r="C488" s="83"/>
      <c r="D488" s="83"/>
      <c r="E488" s="82"/>
      <c r="F488" s="82"/>
      <c r="G488" s="83"/>
      <c r="H488" s="83"/>
      <c r="I488" s="83"/>
      <c r="J488" s="83"/>
      <c r="K488" s="83"/>
      <c r="L488" s="83"/>
      <c r="M488" s="83"/>
      <c r="N488" s="83"/>
      <c r="O488" s="83"/>
      <c r="P488" s="83"/>
      <c r="Q488" s="83"/>
      <c r="R488" s="83"/>
      <c r="S488" s="83"/>
      <c r="T488" s="83"/>
      <c r="U488" s="83"/>
      <c r="V488" s="83"/>
      <c r="W488" s="83"/>
      <c r="X488" s="83"/>
      <c r="Y488" s="83"/>
      <c r="Z488" s="83"/>
      <c r="AA488" s="83"/>
      <c r="AB488" s="83"/>
      <c r="AC488" s="83"/>
      <c r="AD488" s="83"/>
      <c r="AE488" s="83"/>
      <c r="AF488" s="83"/>
      <c r="AG488" s="83"/>
      <c r="AH488" s="83"/>
      <c r="AI488" s="83"/>
      <c r="AJ488" s="83"/>
      <c r="AK488" s="83"/>
      <c r="AL488" s="83"/>
      <c r="AM488" s="83"/>
      <c r="AN488" s="83"/>
      <c r="AO488" s="83"/>
      <c r="AP488" s="83"/>
      <c r="AQ488" s="83"/>
      <c r="AR488" s="83"/>
      <c r="AS488" s="83"/>
      <c r="AT488" s="83"/>
    </row>
    <row r="489" spans="1:46" ht="13.8">
      <c r="A489" s="83"/>
      <c r="B489" s="83"/>
      <c r="C489" s="83"/>
      <c r="D489" s="83"/>
      <c r="E489" s="82"/>
      <c r="F489" s="82"/>
      <c r="G489" s="83"/>
      <c r="H489" s="83"/>
      <c r="I489" s="83"/>
      <c r="J489" s="83"/>
      <c r="K489" s="83"/>
      <c r="L489" s="83"/>
      <c r="M489" s="83"/>
      <c r="N489" s="83"/>
      <c r="O489" s="83"/>
      <c r="P489" s="83"/>
      <c r="Q489" s="83"/>
      <c r="R489" s="83"/>
      <c r="S489" s="83"/>
      <c r="T489" s="83"/>
      <c r="U489" s="83"/>
      <c r="V489" s="83"/>
      <c r="W489" s="83"/>
      <c r="X489" s="83"/>
      <c r="Y489" s="83"/>
      <c r="Z489" s="83"/>
      <c r="AA489" s="83"/>
      <c r="AB489" s="83"/>
      <c r="AC489" s="83"/>
      <c r="AD489" s="83"/>
      <c r="AE489" s="83"/>
      <c r="AF489" s="83"/>
      <c r="AG489" s="83"/>
      <c r="AH489" s="83"/>
      <c r="AI489" s="83"/>
      <c r="AJ489" s="83"/>
      <c r="AK489" s="83"/>
      <c r="AL489" s="83"/>
      <c r="AM489" s="83"/>
      <c r="AN489" s="83"/>
      <c r="AO489" s="83"/>
      <c r="AP489" s="83"/>
      <c r="AQ489" s="83"/>
      <c r="AR489" s="83"/>
      <c r="AS489" s="83"/>
      <c r="AT489" s="83"/>
    </row>
    <row r="490" spans="1:46" ht="13.8">
      <c r="A490" s="83"/>
      <c r="B490" s="83"/>
      <c r="C490" s="83"/>
      <c r="D490" s="83"/>
      <c r="E490" s="82"/>
      <c r="F490" s="82"/>
      <c r="G490" s="83"/>
      <c r="H490" s="83"/>
      <c r="I490" s="83"/>
      <c r="J490" s="83"/>
      <c r="K490" s="83"/>
      <c r="L490" s="83"/>
      <c r="M490" s="83"/>
      <c r="N490" s="83"/>
      <c r="O490" s="83"/>
      <c r="P490" s="83"/>
      <c r="Q490" s="83"/>
      <c r="R490" s="83"/>
      <c r="S490" s="83"/>
      <c r="T490" s="83"/>
      <c r="U490" s="83"/>
      <c r="V490" s="83"/>
      <c r="W490" s="83"/>
      <c r="X490" s="83"/>
      <c r="Y490" s="83"/>
      <c r="Z490" s="83"/>
      <c r="AA490" s="83"/>
      <c r="AB490" s="83"/>
      <c r="AC490" s="83"/>
      <c r="AD490" s="83"/>
      <c r="AE490" s="83"/>
      <c r="AF490" s="83"/>
      <c r="AG490" s="83"/>
      <c r="AH490" s="83"/>
      <c r="AI490" s="83"/>
      <c r="AJ490" s="83"/>
      <c r="AK490" s="83"/>
      <c r="AL490" s="83"/>
      <c r="AM490" s="83"/>
      <c r="AN490" s="83"/>
      <c r="AO490" s="83"/>
      <c r="AP490" s="83"/>
      <c r="AQ490" s="83"/>
      <c r="AR490" s="83"/>
      <c r="AS490" s="83"/>
      <c r="AT490" s="83"/>
    </row>
    <row r="491" spans="1:46" ht="13.8">
      <c r="A491" s="83"/>
      <c r="B491" s="83"/>
      <c r="C491" s="83"/>
      <c r="D491" s="83"/>
      <c r="E491" s="82"/>
      <c r="F491" s="82"/>
      <c r="G491" s="83"/>
      <c r="H491" s="83"/>
      <c r="I491" s="83"/>
      <c r="J491" s="83"/>
      <c r="K491" s="83"/>
      <c r="L491" s="83"/>
      <c r="M491" s="83"/>
      <c r="N491" s="83"/>
      <c r="O491" s="83"/>
      <c r="P491" s="83"/>
      <c r="Q491" s="83"/>
      <c r="R491" s="83"/>
      <c r="S491" s="83"/>
      <c r="T491" s="83"/>
      <c r="U491" s="83"/>
      <c r="V491" s="83"/>
      <c r="W491" s="83"/>
      <c r="X491" s="83"/>
      <c r="Y491" s="83"/>
      <c r="Z491" s="83"/>
      <c r="AA491" s="83"/>
      <c r="AB491" s="83"/>
      <c r="AC491" s="83"/>
      <c r="AD491" s="83"/>
      <c r="AE491" s="83"/>
      <c r="AF491" s="83"/>
      <c r="AG491" s="83"/>
      <c r="AH491" s="83"/>
      <c r="AI491" s="83"/>
      <c r="AJ491" s="83"/>
      <c r="AK491" s="83"/>
      <c r="AL491" s="83"/>
      <c r="AM491" s="83"/>
      <c r="AN491" s="83"/>
      <c r="AO491" s="83"/>
      <c r="AP491" s="83"/>
      <c r="AQ491" s="83"/>
      <c r="AR491" s="83"/>
      <c r="AS491" s="83"/>
      <c r="AT491" s="83"/>
    </row>
    <row r="492" spans="1:46" ht="13.8">
      <c r="A492" s="83"/>
      <c r="B492" s="83"/>
      <c r="C492" s="83"/>
      <c r="D492" s="83"/>
      <c r="E492" s="82"/>
      <c r="F492" s="82"/>
      <c r="G492" s="83"/>
      <c r="H492" s="83"/>
      <c r="I492" s="83"/>
      <c r="J492" s="83"/>
      <c r="K492" s="83"/>
      <c r="L492" s="83"/>
      <c r="M492" s="83"/>
      <c r="N492" s="83"/>
      <c r="O492" s="83"/>
      <c r="P492" s="83"/>
      <c r="Q492" s="83"/>
      <c r="R492" s="83"/>
      <c r="S492" s="83"/>
      <c r="T492" s="83"/>
      <c r="U492" s="83"/>
      <c r="V492" s="83"/>
      <c r="W492" s="83"/>
      <c r="X492" s="83"/>
      <c r="Y492" s="83"/>
      <c r="Z492" s="83"/>
      <c r="AA492" s="83"/>
      <c r="AB492" s="83"/>
      <c r="AC492" s="83"/>
      <c r="AD492" s="83"/>
      <c r="AE492" s="83"/>
      <c r="AF492" s="83"/>
      <c r="AG492" s="83"/>
      <c r="AH492" s="83"/>
      <c r="AI492" s="83"/>
      <c r="AJ492" s="83"/>
      <c r="AK492" s="83"/>
      <c r="AL492" s="83"/>
      <c r="AM492" s="83"/>
      <c r="AN492" s="83"/>
      <c r="AO492" s="83"/>
      <c r="AP492" s="83"/>
      <c r="AQ492" s="83"/>
      <c r="AR492" s="83"/>
      <c r="AS492" s="83"/>
      <c r="AT492" s="83"/>
    </row>
    <row r="493" spans="1:46" ht="13.8">
      <c r="A493" s="83"/>
      <c r="B493" s="83"/>
      <c r="C493" s="83"/>
      <c r="D493" s="83"/>
      <c r="E493" s="82"/>
      <c r="F493" s="82"/>
      <c r="G493" s="83"/>
      <c r="H493" s="83"/>
      <c r="I493" s="83"/>
      <c r="J493" s="83"/>
      <c r="K493" s="83"/>
      <c r="L493" s="83"/>
      <c r="M493" s="83"/>
      <c r="N493" s="83"/>
      <c r="O493" s="83"/>
      <c r="P493" s="83"/>
      <c r="Q493" s="83"/>
      <c r="R493" s="83"/>
      <c r="S493" s="83"/>
      <c r="T493" s="83"/>
      <c r="U493" s="83"/>
      <c r="V493" s="83"/>
      <c r="W493" s="83"/>
      <c r="X493" s="83"/>
      <c r="Y493" s="83"/>
      <c r="Z493" s="83"/>
      <c r="AA493" s="83"/>
      <c r="AB493" s="83"/>
      <c r="AC493" s="83"/>
      <c r="AD493" s="83"/>
      <c r="AE493" s="83"/>
      <c r="AF493" s="83"/>
      <c r="AG493" s="83"/>
      <c r="AH493" s="83"/>
      <c r="AI493" s="83"/>
      <c r="AJ493" s="83"/>
      <c r="AK493" s="83"/>
      <c r="AL493" s="83"/>
      <c r="AM493" s="83"/>
      <c r="AN493" s="83"/>
      <c r="AO493" s="83"/>
      <c r="AP493" s="83"/>
      <c r="AQ493" s="83"/>
      <c r="AR493" s="83"/>
      <c r="AS493" s="83"/>
      <c r="AT493" s="83"/>
    </row>
    <row r="494" spans="1:46" ht="13.8">
      <c r="A494" s="83"/>
      <c r="B494" s="83"/>
      <c r="C494" s="83"/>
      <c r="D494" s="83"/>
      <c r="E494" s="82"/>
      <c r="F494" s="82"/>
      <c r="G494" s="83"/>
      <c r="H494" s="83"/>
      <c r="I494" s="83"/>
      <c r="J494" s="83"/>
      <c r="K494" s="83"/>
      <c r="L494" s="83"/>
      <c r="M494" s="83"/>
      <c r="N494" s="83"/>
      <c r="O494" s="83"/>
      <c r="P494" s="83"/>
      <c r="Q494" s="83"/>
      <c r="R494" s="83"/>
      <c r="S494" s="83"/>
      <c r="T494" s="83"/>
      <c r="U494" s="83"/>
      <c r="V494" s="83"/>
      <c r="W494" s="83"/>
      <c r="X494" s="83"/>
      <c r="Y494" s="83"/>
      <c r="Z494" s="83"/>
      <c r="AA494" s="83"/>
      <c r="AB494" s="83"/>
      <c r="AC494" s="83"/>
      <c r="AD494" s="83"/>
      <c r="AE494" s="83"/>
      <c r="AF494" s="83"/>
      <c r="AG494" s="83"/>
      <c r="AH494" s="83"/>
      <c r="AI494" s="83"/>
      <c r="AJ494" s="83"/>
      <c r="AK494" s="83"/>
      <c r="AL494" s="83"/>
      <c r="AM494" s="83"/>
      <c r="AN494" s="83"/>
      <c r="AO494" s="83"/>
      <c r="AP494" s="83"/>
      <c r="AQ494" s="83"/>
      <c r="AR494" s="83"/>
      <c r="AS494" s="83"/>
      <c r="AT494" s="83"/>
    </row>
    <row r="495" spans="1:46" ht="13.8">
      <c r="A495" s="83"/>
      <c r="B495" s="83"/>
      <c r="C495" s="83"/>
      <c r="D495" s="83"/>
      <c r="E495" s="82"/>
      <c r="F495" s="82"/>
      <c r="G495" s="83"/>
      <c r="H495" s="83"/>
      <c r="I495" s="83"/>
      <c r="J495" s="83"/>
      <c r="K495" s="83"/>
      <c r="L495" s="83"/>
      <c r="M495" s="83"/>
      <c r="N495" s="83"/>
      <c r="O495" s="83"/>
      <c r="P495" s="83"/>
      <c r="Q495" s="83"/>
      <c r="R495" s="83"/>
      <c r="S495" s="83"/>
      <c r="T495" s="83"/>
      <c r="U495" s="83"/>
      <c r="V495" s="83"/>
      <c r="W495" s="83"/>
      <c r="X495" s="83"/>
      <c r="Y495" s="83"/>
      <c r="Z495" s="83"/>
      <c r="AA495" s="83"/>
      <c r="AB495" s="83"/>
      <c r="AC495" s="83"/>
      <c r="AD495" s="83"/>
      <c r="AE495" s="83"/>
      <c r="AF495" s="83"/>
      <c r="AG495" s="83"/>
      <c r="AH495" s="83"/>
      <c r="AI495" s="83"/>
      <c r="AJ495" s="83"/>
      <c r="AK495" s="83"/>
      <c r="AL495" s="83"/>
      <c r="AM495" s="83"/>
      <c r="AN495" s="83"/>
      <c r="AO495" s="83"/>
      <c r="AP495" s="83"/>
      <c r="AQ495" s="83"/>
      <c r="AR495" s="83"/>
      <c r="AS495" s="83"/>
      <c r="AT495" s="83"/>
    </row>
    <row r="496" spans="1:46" ht="13.8">
      <c r="A496" s="83"/>
      <c r="B496" s="83"/>
      <c r="C496" s="83"/>
      <c r="D496" s="83"/>
      <c r="E496" s="82"/>
      <c r="F496" s="82"/>
      <c r="G496" s="83"/>
      <c r="H496" s="83"/>
      <c r="I496" s="83"/>
      <c r="J496" s="83"/>
      <c r="K496" s="83"/>
      <c r="L496" s="83"/>
      <c r="M496" s="83"/>
      <c r="N496" s="83"/>
      <c r="O496" s="83"/>
      <c r="P496" s="83"/>
      <c r="Q496" s="83"/>
      <c r="R496" s="83"/>
      <c r="S496" s="83"/>
      <c r="T496" s="83"/>
      <c r="U496" s="83"/>
      <c r="V496" s="83"/>
      <c r="W496" s="83"/>
      <c r="X496" s="83"/>
      <c r="Y496" s="83"/>
      <c r="Z496" s="83"/>
      <c r="AA496" s="83"/>
      <c r="AB496" s="83"/>
      <c r="AC496" s="83"/>
      <c r="AD496" s="83"/>
      <c r="AE496" s="83"/>
      <c r="AF496" s="83"/>
      <c r="AG496" s="83"/>
      <c r="AH496" s="83"/>
      <c r="AI496" s="83"/>
      <c r="AJ496" s="83"/>
      <c r="AK496" s="83"/>
      <c r="AL496" s="83"/>
      <c r="AM496" s="83"/>
      <c r="AN496" s="83"/>
      <c r="AO496" s="83"/>
      <c r="AP496" s="83"/>
      <c r="AQ496" s="83"/>
      <c r="AR496" s="83"/>
      <c r="AS496" s="83"/>
      <c r="AT496" s="83"/>
    </row>
    <row r="497" spans="1:46" ht="13.8">
      <c r="A497" s="83"/>
      <c r="B497" s="83"/>
      <c r="C497" s="83"/>
      <c r="D497" s="83"/>
      <c r="E497" s="82"/>
      <c r="F497" s="82"/>
      <c r="G497" s="83"/>
      <c r="H497" s="83"/>
      <c r="I497" s="83"/>
      <c r="J497" s="83"/>
      <c r="K497" s="83"/>
      <c r="L497" s="83"/>
      <c r="M497" s="83"/>
      <c r="N497" s="83"/>
      <c r="O497" s="83"/>
      <c r="P497" s="83"/>
      <c r="Q497" s="83"/>
      <c r="R497" s="83"/>
      <c r="S497" s="83"/>
      <c r="T497" s="83"/>
      <c r="U497" s="83"/>
      <c r="V497" s="83"/>
      <c r="W497" s="83"/>
      <c r="X497" s="83"/>
      <c r="Y497" s="83"/>
      <c r="Z497" s="83"/>
      <c r="AA497" s="83"/>
      <c r="AB497" s="83"/>
      <c r="AC497" s="83"/>
      <c r="AD497" s="83"/>
      <c r="AE497" s="83"/>
      <c r="AF497" s="83"/>
      <c r="AG497" s="83"/>
      <c r="AH497" s="83"/>
      <c r="AI497" s="83"/>
      <c r="AJ497" s="83"/>
      <c r="AK497" s="83"/>
      <c r="AL497" s="83"/>
      <c r="AM497" s="83"/>
      <c r="AN497" s="83"/>
      <c r="AO497" s="83"/>
      <c r="AP497" s="83"/>
      <c r="AQ497" s="83"/>
      <c r="AR497" s="83"/>
      <c r="AS497" s="83"/>
      <c r="AT497" s="83"/>
    </row>
    <row r="498" spans="1:46" ht="13.8">
      <c r="A498" s="83"/>
      <c r="B498" s="83"/>
      <c r="C498" s="83"/>
      <c r="D498" s="83"/>
      <c r="E498" s="82"/>
      <c r="F498" s="82"/>
      <c r="G498" s="83"/>
      <c r="H498" s="83"/>
      <c r="I498" s="83"/>
      <c r="J498" s="83"/>
      <c r="K498" s="83"/>
      <c r="L498" s="83"/>
      <c r="M498" s="83"/>
      <c r="N498" s="83"/>
      <c r="O498" s="83"/>
      <c r="P498" s="83"/>
      <c r="Q498" s="83"/>
      <c r="R498" s="83"/>
      <c r="S498" s="83"/>
      <c r="T498" s="83"/>
      <c r="U498" s="83"/>
      <c r="V498" s="83"/>
      <c r="W498" s="83"/>
      <c r="X498" s="83"/>
      <c r="Y498" s="83"/>
      <c r="Z498" s="83"/>
      <c r="AA498" s="83"/>
      <c r="AB498" s="83"/>
      <c r="AC498" s="83"/>
      <c r="AD498" s="83"/>
      <c r="AE498" s="83"/>
      <c r="AF498" s="83"/>
      <c r="AG498" s="83"/>
      <c r="AH498" s="83"/>
      <c r="AI498" s="83"/>
      <c r="AJ498" s="83"/>
      <c r="AK498" s="83"/>
      <c r="AL498" s="83"/>
      <c r="AM498" s="83"/>
      <c r="AN498" s="83"/>
      <c r="AO498" s="83"/>
      <c r="AP498" s="83"/>
      <c r="AQ498" s="83"/>
      <c r="AR498" s="83"/>
      <c r="AS498" s="83"/>
      <c r="AT498" s="83"/>
    </row>
    <row r="499" spans="1:46" ht="13.8">
      <c r="A499" s="83"/>
      <c r="B499" s="83"/>
      <c r="C499" s="83"/>
      <c r="D499" s="83"/>
      <c r="E499" s="82"/>
      <c r="F499" s="82"/>
      <c r="G499" s="83"/>
      <c r="H499" s="83"/>
      <c r="I499" s="83"/>
      <c r="J499" s="83"/>
      <c r="K499" s="83"/>
      <c r="L499" s="83"/>
      <c r="M499" s="83"/>
      <c r="N499" s="83"/>
      <c r="O499" s="83"/>
      <c r="P499" s="83"/>
      <c r="Q499" s="83"/>
      <c r="R499" s="83"/>
      <c r="S499" s="83"/>
      <c r="T499" s="83"/>
      <c r="U499" s="83"/>
      <c r="V499" s="83"/>
      <c r="W499" s="83"/>
      <c r="X499" s="83"/>
      <c r="Y499" s="83"/>
      <c r="Z499" s="83"/>
      <c r="AA499" s="83"/>
      <c r="AB499" s="83"/>
      <c r="AC499" s="83"/>
      <c r="AD499" s="83"/>
      <c r="AE499" s="83"/>
      <c r="AF499" s="83"/>
      <c r="AG499" s="83"/>
      <c r="AH499" s="83"/>
      <c r="AI499" s="83"/>
      <c r="AJ499" s="83"/>
      <c r="AK499" s="83"/>
      <c r="AL499" s="83"/>
      <c r="AM499" s="83"/>
      <c r="AN499" s="83"/>
      <c r="AO499" s="83"/>
      <c r="AP499" s="83"/>
      <c r="AQ499" s="83"/>
      <c r="AR499" s="83"/>
      <c r="AS499" s="83"/>
      <c r="AT499" s="83"/>
    </row>
    <row r="500" spans="1:46" ht="13.8">
      <c r="A500" s="83"/>
      <c r="B500" s="83"/>
      <c r="C500" s="83"/>
      <c r="D500" s="83"/>
      <c r="E500" s="82"/>
      <c r="F500" s="82"/>
      <c r="G500" s="83"/>
      <c r="H500" s="83"/>
      <c r="I500" s="83"/>
      <c r="J500" s="83"/>
      <c r="K500" s="83"/>
      <c r="L500" s="83"/>
      <c r="M500" s="83"/>
      <c r="N500" s="83"/>
      <c r="O500" s="83"/>
      <c r="P500" s="83"/>
      <c r="Q500" s="83"/>
      <c r="R500" s="83"/>
      <c r="S500" s="83"/>
      <c r="T500" s="83"/>
      <c r="U500" s="83"/>
      <c r="V500" s="83"/>
      <c r="W500" s="83"/>
      <c r="X500" s="83"/>
      <c r="Y500" s="83"/>
      <c r="Z500" s="83"/>
      <c r="AA500" s="83"/>
      <c r="AB500" s="83"/>
      <c r="AC500" s="83"/>
      <c r="AD500" s="83"/>
      <c r="AE500" s="83"/>
      <c r="AF500" s="83"/>
      <c r="AG500" s="83"/>
      <c r="AH500" s="83"/>
      <c r="AI500" s="83"/>
      <c r="AJ500" s="83"/>
      <c r="AK500" s="83"/>
      <c r="AL500" s="83"/>
      <c r="AM500" s="83"/>
      <c r="AN500" s="83"/>
      <c r="AO500" s="83"/>
      <c r="AP500" s="83"/>
      <c r="AQ500" s="83"/>
      <c r="AR500" s="83"/>
      <c r="AS500" s="83"/>
      <c r="AT500" s="83"/>
    </row>
    <row r="501" spans="1:46" ht="13.8">
      <c r="A501" s="83"/>
      <c r="B501" s="83"/>
      <c r="C501" s="83"/>
      <c r="D501" s="83"/>
      <c r="E501" s="82"/>
      <c r="F501" s="82"/>
      <c r="G501" s="83"/>
      <c r="H501" s="83"/>
      <c r="I501" s="83"/>
      <c r="J501" s="83"/>
      <c r="K501" s="83"/>
      <c r="L501" s="83"/>
      <c r="M501" s="83"/>
      <c r="N501" s="83"/>
      <c r="O501" s="83"/>
      <c r="P501" s="83"/>
      <c r="Q501" s="83"/>
      <c r="R501" s="83"/>
      <c r="S501" s="83"/>
      <c r="T501" s="83"/>
      <c r="U501" s="83"/>
      <c r="V501" s="83"/>
      <c r="W501" s="83"/>
      <c r="X501" s="83"/>
      <c r="Y501" s="83"/>
      <c r="Z501" s="83"/>
      <c r="AA501" s="83"/>
      <c r="AB501" s="83"/>
      <c r="AC501" s="83"/>
      <c r="AD501" s="83"/>
      <c r="AE501" s="83"/>
      <c r="AF501" s="83"/>
      <c r="AG501" s="83"/>
      <c r="AH501" s="83"/>
      <c r="AI501" s="83"/>
      <c r="AJ501" s="83"/>
      <c r="AK501" s="83"/>
      <c r="AL501" s="83"/>
      <c r="AM501" s="83"/>
      <c r="AN501" s="83"/>
      <c r="AO501" s="83"/>
      <c r="AP501" s="83"/>
      <c r="AQ501" s="83"/>
      <c r="AR501" s="83"/>
      <c r="AS501" s="83"/>
      <c r="AT501" s="83"/>
    </row>
    <row r="502" spans="1:46" ht="13.8">
      <c r="A502" s="83"/>
      <c r="B502" s="83"/>
      <c r="C502" s="83"/>
      <c r="D502" s="83"/>
      <c r="E502" s="82"/>
      <c r="F502" s="82"/>
      <c r="G502" s="83"/>
      <c r="H502" s="83"/>
      <c r="I502" s="83"/>
      <c r="J502" s="83"/>
      <c r="K502" s="83"/>
      <c r="L502" s="83"/>
      <c r="M502" s="83"/>
      <c r="N502" s="83"/>
      <c r="O502" s="83"/>
      <c r="P502" s="83"/>
      <c r="Q502" s="83"/>
      <c r="R502" s="83"/>
      <c r="S502" s="83"/>
      <c r="T502" s="83"/>
      <c r="U502" s="83"/>
      <c r="V502" s="83"/>
      <c r="W502" s="83"/>
      <c r="X502" s="83"/>
      <c r="Y502" s="83"/>
      <c r="Z502" s="83"/>
      <c r="AA502" s="83"/>
      <c r="AB502" s="83"/>
      <c r="AC502" s="83"/>
      <c r="AD502" s="83"/>
      <c r="AE502" s="83"/>
      <c r="AF502" s="83"/>
      <c r="AG502" s="83"/>
      <c r="AH502" s="83"/>
      <c r="AI502" s="83"/>
      <c r="AJ502" s="83"/>
      <c r="AK502" s="83"/>
      <c r="AL502" s="83"/>
      <c r="AM502" s="83"/>
      <c r="AN502" s="83"/>
      <c r="AO502" s="83"/>
      <c r="AP502" s="83"/>
      <c r="AQ502" s="83"/>
      <c r="AR502" s="83"/>
      <c r="AS502" s="83"/>
      <c r="AT502" s="83"/>
    </row>
    <row r="503" spans="1:46" ht="13.8">
      <c r="A503" s="83"/>
      <c r="B503" s="83"/>
      <c r="C503" s="83"/>
      <c r="D503" s="83"/>
      <c r="E503" s="82"/>
      <c r="F503" s="82"/>
      <c r="G503" s="83"/>
      <c r="H503" s="83"/>
      <c r="I503" s="83"/>
      <c r="J503" s="83"/>
      <c r="K503" s="83"/>
      <c r="L503" s="83"/>
      <c r="M503" s="83"/>
      <c r="N503" s="83"/>
      <c r="O503" s="83"/>
      <c r="P503" s="83"/>
      <c r="Q503" s="83"/>
      <c r="R503" s="83"/>
      <c r="S503" s="83"/>
      <c r="T503" s="83"/>
      <c r="U503" s="83"/>
      <c r="V503" s="83"/>
      <c r="W503" s="83"/>
      <c r="X503" s="83"/>
      <c r="Y503" s="83"/>
      <c r="Z503" s="83"/>
      <c r="AA503" s="83"/>
      <c r="AB503" s="83"/>
      <c r="AC503" s="83"/>
      <c r="AD503" s="83"/>
      <c r="AE503" s="83"/>
      <c r="AF503" s="83"/>
      <c r="AG503" s="83"/>
      <c r="AH503" s="83"/>
      <c r="AI503" s="83"/>
      <c r="AJ503" s="83"/>
      <c r="AK503" s="83"/>
      <c r="AL503" s="83"/>
      <c r="AM503" s="83"/>
      <c r="AN503" s="83"/>
      <c r="AO503" s="83"/>
      <c r="AP503" s="83"/>
      <c r="AQ503" s="83"/>
      <c r="AR503" s="83"/>
      <c r="AS503" s="83"/>
      <c r="AT503" s="83"/>
    </row>
    <row r="504" spans="1:46" ht="13.8">
      <c r="A504" s="83"/>
      <c r="B504" s="83"/>
      <c r="C504" s="83"/>
      <c r="D504" s="83"/>
      <c r="E504" s="82"/>
      <c r="F504" s="82"/>
      <c r="G504" s="83"/>
      <c r="H504" s="83"/>
      <c r="I504" s="83"/>
      <c r="J504" s="83"/>
      <c r="K504" s="83"/>
      <c r="L504" s="83"/>
      <c r="M504" s="83"/>
      <c r="N504" s="83"/>
      <c r="O504" s="83"/>
      <c r="P504" s="83"/>
      <c r="Q504" s="83"/>
      <c r="R504" s="83"/>
      <c r="S504" s="83"/>
      <c r="T504" s="83"/>
      <c r="U504" s="83"/>
      <c r="V504" s="83"/>
      <c r="W504" s="83"/>
      <c r="X504" s="83"/>
      <c r="Y504" s="83"/>
      <c r="Z504" s="83"/>
      <c r="AA504" s="83"/>
      <c r="AB504" s="83"/>
      <c r="AC504" s="83"/>
      <c r="AD504" s="83"/>
      <c r="AE504" s="83"/>
      <c r="AF504" s="83"/>
      <c r="AG504" s="83"/>
      <c r="AH504" s="83"/>
      <c r="AI504" s="83"/>
      <c r="AJ504" s="83"/>
      <c r="AK504" s="83"/>
      <c r="AL504" s="83"/>
      <c r="AM504" s="83"/>
      <c r="AN504" s="83"/>
      <c r="AO504" s="83"/>
      <c r="AP504" s="83"/>
      <c r="AQ504" s="83"/>
      <c r="AR504" s="83"/>
      <c r="AS504" s="83"/>
      <c r="AT504" s="83"/>
    </row>
    <row r="505" spans="1:46" ht="13.8">
      <c r="A505" s="83"/>
      <c r="B505" s="83"/>
      <c r="C505" s="83"/>
      <c r="D505" s="83"/>
      <c r="E505" s="82"/>
      <c r="F505" s="82"/>
      <c r="G505" s="83"/>
      <c r="H505" s="83"/>
      <c r="I505" s="83"/>
      <c r="J505" s="83"/>
      <c r="K505" s="83"/>
      <c r="L505" s="83"/>
      <c r="M505" s="83"/>
      <c r="N505" s="83"/>
      <c r="O505" s="83"/>
      <c r="P505" s="83"/>
      <c r="Q505" s="83"/>
      <c r="R505" s="83"/>
      <c r="S505" s="83"/>
      <c r="T505" s="83"/>
      <c r="U505" s="83"/>
      <c r="V505" s="83"/>
      <c r="W505" s="83"/>
      <c r="X505" s="83"/>
      <c r="Y505" s="83"/>
      <c r="Z505" s="83"/>
      <c r="AA505" s="83"/>
      <c r="AB505" s="83"/>
      <c r="AC505" s="83"/>
      <c r="AD505" s="83"/>
      <c r="AE505" s="83"/>
      <c r="AF505" s="83"/>
      <c r="AG505" s="83"/>
      <c r="AH505" s="83"/>
      <c r="AI505" s="83"/>
      <c r="AJ505" s="83"/>
      <c r="AK505" s="83"/>
      <c r="AL505" s="83"/>
      <c r="AM505" s="83"/>
      <c r="AN505" s="83"/>
      <c r="AO505" s="83"/>
      <c r="AP505" s="83"/>
      <c r="AQ505" s="83"/>
      <c r="AR505" s="83"/>
      <c r="AS505" s="83"/>
      <c r="AT505" s="83"/>
    </row>
    <row r="506" spans="1:46" ht="13.8">
      <c r="A506" s="83"/>
      <c r="B506" s="83"/>
      <c r="C506" s="83"/>
      <c r="D506" s="83"/>
      <c r="E506" s="82"/>
      <c r="F506" s="82"/>
      <c r="G506" s="83"/>
      <c r="H506" s="83"/>
      <c r="I506" s="83"/>
      <c r="J506" s="83"/>
      <c r="K506" s="83"/>
      <c r="L506" s="83"/>
      <c r="M506" s="83"/>
      <c r="N506" s="83"/>
      <c r="O506" s="83"/>
      <c r="P506" s="83"/>
      <c r="Q506" s="83"/>
      <c r="R506" s="83"/>
      <c r="S506" s="83"/>
      <c r="T506" s="83"/>
      <c r="U506" s="83"/>
      <c r="V506" s="83"/>
      <c r="W506" s="83"/>
      <c r="X506" s="83"/>
      <c r="Y506" s="83"/>
      <c r="Z506" s="83"/>
      <c r="AA506" s="83"/>
      <c r="AB506" s="83"/>
      <c r="AC506" s="83"/>
      <c r="AD506" s="83"/>
      <c r="AE506" s="83"/>
      <c r="AF506" s="83"/>
      <c r="AG506" s="83"/>
      <c r="AH506" s="83"/>
      <c r="AI506" s="83"/>
      <c r="AJ506" s="83"/>
      <c r="AK506" s="83"/>
      <c r="AL506" s="83"/>
      <c r="AM506" s="83"/>
      <c r="AN506" s="83"/>
      <c r="AO506" s="83"/>
      <c r="AP506" s="83"/>
      <c r="AQ506" s="83"/>
      <c r="AR506" s="83"/>
      <c r="AS506" s="83"/>
      <c r="AT506" s="83"/>
    </row>
    <row r="507" spans="1:46" ht="13.8">
      <c r="A507" s="83"/>
      <c r="B507" s="83"/>
      <c r="C507" s="83"/>
      <c r="D507" s="83"/>
      <c r="E507" s="82"/>
      <c r="F507" s="82"/>
      <c r="G507" s="83"/>
      <c r="H507" s="83"/>
      <c r="I507" s="83"/>
      <c r="J507" s="83"/>
      <c r="K507" s="83"/>
      <c r="L507" s="83"/>
      <c r="M507" s="83"/>
      <c r="N507" s="83"/>
      <c r="O507" s="83"/>
      <c r="P507" s="83"/>
      <c r="Q507" s="83"/>
      <c r="R507" s="83"/>
      <c r="S507" s="83"/>
      <c r="T507" s="83"/>
      <c r="U507" s="83"/>
      <c r="V507" s="83"/>
      <c r="W507" s="83"/>
      <c r="X507" s="83"/>
      <c r="Y507" s="83"/>
      <c r="Z507" s="83"/>
      <c r="AA507" s="83"/>
      <c r="AB507" s="83"/>
      <c r="AC507" s="83"/>
      <c r="AD507" s="83"/>
      <c r="AE507" s="83"/>
      <c r="AF507" s="83"/>
      <c r="AG507" s="83"/>
      <c r="AH507" s="83"/>
      <c r="AI507" s="83"/>
      <c r="AJ507" s="83"/>
      <c r="AK507" s="83"/>
      <c r="AL507" s="83"/>
      <c r="AM507" s="83"/>
      <c r="AN507" s="83"/>
      <c r="AO507" s="83"/>
      <c r="AP507" s="83"/>
      <c r="AQ507" s="83"/>
      <c r="AR507" s="83"/>
      <c r="AS507" s="83"/>
      <c r="AT507" s="83"/>
    </row>
    <row r="508" spans="1:46" ht="13.8">
      <c r="A508" s="83"/>
      <c r="B508" s="83"/>
      <c r="C508" s="83"/>
      <c r="D508" s="83"/>
      <c r="E508" s="82"/>
      <c r="F508" s="82"/>
      <c r="G508" s="83"/>
      <c r="H508" s="83"/>
      <c r="I508" s="83"/>
      <c r="J508" s="83"/>
      <c r="K508" s="83"/>
      <c r="L508" s="83"/>
      <c r="M508" s="83"/>
      <c r="N508" s="83"/>
      <c r="O508" s="83"/>
      <c r="P508" s="83"/>
      <c r="Q508" s="83"/>
      <c r="R508" s="83"/>
      <c r="S508" s="83"/>
      <c r="T508" s="83"/>
      <c r="U508" s="83"/>
      <c r="V508" s="83"/>
      <c r="W508" s="83"/>
      <c r="X508" s="83"/>
      <c r="Y508" s="83"/>
      <c r="Z508" s="83"/>
      <c r="AA508" s="83"/>
      <c r="AB508" s="83"/>
      <c r="AC508" s="83"/>
      <c r="AD508" s="83"/>
      <c r="AE508" s="83"/>
      <c r="AF508" s="83"/>
      <c r="AG508" s="83"/>
      <c r="AH508" s="83"/>
      <c r="AI508" s="83"/>
      <c r="AJ508" s="83"/>
      <c r="AK508" s="83"/>
      <c r="AL508" s="83"/>
      <c r="AM508" s="83"/>
      <c r="AN508" s="83"/>
      <c r="AO508" s="83"/>
      <c r="AP508" s="83"/>
      <c r="AQ508" s="83"/>
      <c r="AR508" s="83"/>
      <c r="AS508" s="83"/>
      <c r="AT508" s="83"/>
    </row>
    <row r="509" spans="1:46" ht="13.8">
      <c r="A509" s="83"/>
      <c r="B509" s="83"/>
      <c r="C509" s="83"/>
      <c r="D509" s="83"/>
      <c r="E509" s="82"/>
      <c r="F509" s="82"/>
      <c r="G509" s="83"/>
      <c r="H509" s="83"/>
      <c r="I509" s="83"/>
      <c r="J509" s="83"/>
      <c r="K509" s="83"/>
      <c r="L509" s="83"/>
      <c r="M509" s="83"/>
      <c r="N509" s="83"/>
      <c r="O509" s="83"/>
      <c r="P509" s="83"/>
      <c r="Q509" s="83"/>
      <c r="R509" s="83"/>
      <c r="S509" s="83"/>
      <c r="T509" s="83"/>
      <c r="U509" s="83"/>
      <c r="V509" s="83"/>
      <c r="W509" s="83"/>
      <c r="X509" s="83"/>
      <c r="Y509" s="83"/>
      <c r="Z509" s="83"/>
      <c r="AA509" s="83"/>
      <c r="AB509" s="83"/>
      <c r="AC509" s="83"/>
      <c r="AD509" s="83"/>
      <c r="AE509" s="83"/>
      <c r="AF509" s="83"/>
      <c r="AG509" s="83"/>
      <c r="AH509" s="83"/>
      <c r="AI509" s="83"/>
      <c r="AJ509" s="83"/>
      <c r="AK509" s="83"/>
      <c r="AL509" s="83"/>
      <c r="AM509" s="83"/>
      <c r="AN509" s="83"/>
      <c r="AO509" s="83"/>
      <c r="AP509" s="83"/>
      <c r="AQ509" s="83"/>
      <c r="AR509" s="83"/>
      <c r="AS509" s="83"/>
      <c r="AT509" s="83"/>
    </row>
    <row r="510" spans="1:46" ht="13.8">
      <c r="A510" s="83"/>
      <c r="B510" s="83"/>
      <c r="C510" s="83"/>
      <c r="D510" s="83"/>
      <c r="E510" s="82"/>
      <c r="F510" s="82"/>
      <c r="G510" s="83"/>
      <c r="H510" s="83"/>
      <c r="I510" s="83"/>
      <c r="J510" s="83"/>
      <c r="K510" s="83"/>
      <c r="L510" s="83"/>
      <c r="M510" s="83"/>
      <c r="N510" s="83"/>
      <c r="O510" s="83"/>
      <c r="P510" s="83"/>
      <c r="Q510" s="83"/>
      <c r="R510" s="83"/>
      <c r="S510" s="83"/>
      <c r="T510" s="83"/>
      <c r="U510" s="83"/>
      <c r="V510" s="83"/>
      <c r="W510" s="83"/>
      <c r="X510" s="83"/>
      <c r="Y510" s="83"/>
      <c r="Z510" s="83"/>
      <c r="AA510" s="83"/>
      <c r="AB510" s="83"/>
      <c r="AC510" s="83"/>
      <c r="AD510" s="83"/>
      <c r="AE510" s="83"/>
      <c r="AF510" s="83"/>
      <c r="AG510" s="83"/>
      <c r="AH510" s="83"/>
      <c r="AI510" s="83"/>
      <c r="AJ510" s="83"/>
      <c r="AK510" s="83"/>
      <c r="AL510" s="83"/>
      <c r="AM510" s="83"/>
      <c r="AN510" s="83"/>
      <c r="AO510" s="83"/>
      <c r="AP510" s="83"/>
      <c r="AQ510" s="83"/>
      <c r="AR510" s="83"/>
      <c r="AS510" s="83"/>
      <c r="AT510" s="83"/>
    </row>
    <row r="511" spans="1:46" ht="13.8">
      <c r="A511" s="83"/>
      <c r="B511" s="83"/>
      <c r="C511" s="83"/>
      <c r="D511" s="83"/>
      <c r="E511" s="82"/>
      <c r="F511" s="82"/>
      <c r="G511" s="83"/>
      <c r="H511" s="83"/>
      <c r="I511" s="83"/>
      <c r="J511" s="83"/>
      <c r="K511" s="83"/>
      <c r="L511" s="83"/>
      <c r="M511" s="83"/>
      <c r="N511" s="83"/>
      <c r="O511" s="83"/>
      <c r="P511" s="83"/>
      <c r="Q511" s="83"/>
      <c r="R511" s="83"/>
      <c r="S511" s="83"/>
      <c r="T511" s="83"/>
      <c r="U511" s="83"/>
      <c r="V511" s="83"/>
      <c r="W511" s="83"/>
      <c r="X511" s="83"/>
      <c r="Y511" s="83"/>
      <c r="Z511" s="83"/>
      <c r="AA511" s="83"/>
      <c r="AB511" s="83"/>
      <c r="AC511" s="83"/>
      <c r="AD511" s="83"/>
      <c r="AE511" s="83"/>
      <c r="AF511" s="83"/>
      <c r="AG511" s="83"/>
      <c r="AH511" s="83"/>
      <c r="AI511" s="83"/>
      <c r="AJ511" s="83"/>
      <c r="AK511" s="83"/>
      <c r="AL511" s="83"/>
      <c r="AM511" s="83"/>
      <c r="AN511" s="83"/>
      <c r="AO511" s="83"/>
      <c r="AP511" s="83"/>
      <c r="AQ511" s="83"/>
      <c r="AR511" s="83"/>
      <c r="AS511" s="83"/>
      <c r="AT511" s="83"/>
    </row>
    <row r="512" spans="1:46" ht="13.8">
      <c r="A512" s="83"/>
      <c r="B512" s="83"/>
      <c r="C512" s="83"/>
      <c r="D512" s="83"/>
      <c r="E512" s="82"/>
      <c r="F512" s="82"/>
      <c r="G512" s="83"/>
      <c r="H512" s="83"/>
      <c r="I512" s="83"/>
      <c r="J512" s="83"/>
      <c r="K512" s="83"/>
      <c r="L512" s="83"/>
      <c r="M512" s="83"/>
      <c r="N512" s="83"/>
      <c r="O512" s="83"/>
      <c r="P512" s="83"/>
      <c r="Q512" s="83"/>
      <c r="R512" s="83"/>
      <c r="S512" s="83"/>
      <c r="T512" s="83"/>
      <c r="U512" s="83"/>
      <c r="V512" s="83"/>
      <c r="W512" s="83"/>
      <c r="X512" s="83"/>
      <c r="Y512" s="83"/>
      <c r="Z512" s="83"/>
      <c r="AA512" s="83"/>
      <c r="AB512" s="83"/>
      <c r="AC512" s="83"/>
      <c r="AD512" s="83"/>
      <c r="AE512" s="83"/>
      <c r="AF512" s="83"/>
      <c r="AG512" s="83"/>
      <c r="AH512" s="83"/>
      <c r="AI512" s="83"/>
      <c r="AJ512" s="83"/>
      <c r="AK512" s="83"/>
      <c r="AL512" s="83"/>
      <c r="AM512" s="83"/>
      <c r="AN512" s="83"/>
      <c r="AO512" s="83"/>
      <c r="AP512" s="83"/>
      <c r="AQ512" s="83"/>
      <c r="AR512" s="83"/>
      <c r="AS512" s="83"/>
      <c r="AT512" s="83"/>
    </row>
    <row r="513" spans="1:46" ht="13.8">
      <c r="A513" s="83"/>
      <c r="B513" s="83"/>
      <c r="C513" s="83"/>
      <c r="D513" s="83"/>
      <c r="E513" s="82"/>
      <c r="F513" s="82"/>
      <c r="G513" s="83"/>
      <c r="H513" s="83"/>
      <c r="I513" s="83"/>
      <c r="J513" s="83"/>
      <c r="K513" s="83"/>
      <c r="L513" s="83"/>
      <c r="M513" s="83"/>
      <c r="N513" s="83"/>
      <c r="O513" s="83"/>
      <c r="P513" s="83"/>
      <c r="Q513" s="83"/>
      <c r="R513" s="83"/>
      <c r="S513" s="83"/>
      <c r="T513" s="83"/>
      <c r="U513" s="83"/>
      <c r="V513" s="83"/>
      <c r="W513" s="83"/>
      <c r="X513" s="83"/>
      <c r="Y513" s="83"/>
      <c r="Z513" s="83"/>
      <c r="AA513" s="83"/>
      <c r="AB513" s="83"/>
      <c r="AC513" s="83"/>
      <c r="AD513" s="83"/>
      <c r="AE513" s="83"/>
      <c r="AF513" s="83"/>
      <c r="AG513" s="83"/>
      <c r="AH513" s="83"/>
      <c r="AI513" s="83"/>
      <c r="AJ513" s="83"/>
      <c r="AK513" s="83"/>
      <c r="AL513" s="83"/>
      <c r="AM513" s="83"/>
      <c r="AN513" s="83"/>
      <c r="AO513" s="83"/>
      <c r="AP513" s="83"/>
      <c r="AQ513" s="83"/>
      <c r="AR513" s="83"/>
      <c r="AS513" s="83"/>
      <c r="AT513" s="83"/>
    </row>
    <row r="514" spans="1:46" ht="13.8">
      <c r="A514" s="83"/>
      <c r="B514" s="83"/>
      <c r="C514" s="83"/>
      <c r="D514" s="83"/>
      <c r="E514" s="82"/>
      <c r="F514" s="82"/>
      <c r="G514" s="83"/>
      <c r="H514" s="83"/>
      <c r="I514" s="83"/>
      <c r="J514" s="83"/>
      <c r="K514" s="83"/>
      <c r="L514" s="83"/>
      <c r="M514" s="83"/>
      <c r="N514" s="83"/>
      <c r="O514" s="83"/>
      <c r="P514" s="83"/>
      <c r="Q514" s="83"/>
      <c r="R514" s="83"/>
      <c r="S514" s="83"/>
      <c r="T514" s="83"/>
      <c r="U514" s="83"/>
      <c r="V514" s="83"/>
      <c r="W514" s="83"/>
      <c r="X514" s="83"/>
      <c r="Y514" s="83"/>
      <c r="Z514" s="83"/>
      <c r="AA514" s="83"/>
      <c r="AB514" s="83"/>
      <c r="AC514" s="83"/>
      <c r="AD514" s="83"/>
      <c r="AE514" s="83"/>
      <c r="AF514" s="83"/>
      <c r="AG514" s="83"/>
      <c r="AH514" s="83"/>
      <c r="AI514" s="83"/>
      <c r="AJ514" s="83"/>
      <c r="AK514" s="83"/>
      <c r="AL514" s="83"/>
      <c r="AM514" s="83"/>
      <c r="AN514" s="83"/>
      <c r="AO514" s="83"/>
      <c r="AP514" s="83"/>
      <c r="AQ514" s="83"/>
      <c r="AR514" s="83"/>
      <c r="AS514" s="83"/>
      <c r="AT514" s="83"/>
    </row>
    <row r="515" spans="1:46" ht="13.8">
      <c r="A515" s="83"/>
      <c r="B515" s="83"/>
      <c r="C515" s="83"/>
      <c r="D515" s="83"/>
      <c r="E515" s="82"/>
      <c r="F515" s="82"/>
      <c r="G515" s="83"/>
      <c r="H515" s="83"/>
      <c r="I515" s="83"/>
      <c r="J515" s="83"/>
      <c r="K515" s="83"/>
      <c r="L515" s="83"/>
      <c r="M515" s="83"/>
      <c r="N515" s="83"/>
      <c r="O515" s="83"/>
      <c r="P515" s="83"/>
      <c r="Q515" s="83"/>
      <c r="R515" s="83"/>
      <c r="S515" s="83"/>
      <c r="T515" s="83"/>
      <c r="U515" s="83"/>
      <c r="V515" s="83"/>
      <c r="W515" s="83"/>
      <c r="X515" s="83"/>
      <c r="Y515" s="83"/>
      <c r="Z515" s="83"/>
      <c r="AA515" s="83"/>
      <c r="AB515" s="83"/>
      <c r="AC515" s="83"/>
      <c r="AD515" s="83"/>
      <c r="AE515" s="83"/>
      <c r="AF515" s="83"/>
      <c r="AG515" s="83"/>
      <c r="AH515" s="83"/>
      <c r="AI515" s="83"/>
      <c r="AJ515" s="83"/>
      <c r="AK515" s="83"/>
      <c r="AL515" s="83"/>
      <c r="AM515" s="83"/>
      <c r="AN515" s="83"/>
      <c r="AO515" s="83"/>
      <c r="AP515" s="83"/>
      <c r="AQ515" s="83"/>
      <c r="AR515" s="83"/>
      <c r="AS515" s="83"/>
      <c r="AT515" s="83"/>
    </row>
    <row r="516" spans="1:46" ht="13.8">
      <c r="A516" s="83"/>
      <c r="B516" s="83"/>
      <c r="C516" s="83"/>
      <c r="D516" s="83"/>
      <c r="E516" s="82"/>
      <c r="F516" s="82"/>
      <c r="G516" s="83"/>
      <c r="H516" s="83"/>
      <c r="I516" s="83"/>
      <c r="J516" s="83"/>
      <c r="K516" s="83"/>
      <c r="L516" s="83"/>
      <c r="M516" s="83"/>
      <c r="N516" s="83"/>
      <c r="O516" s="83"/>
      <c r="P516" s="83"/>
      <c r="Q516" s="83"/>
      <c r="R516" s="83"/>
      <c r="S516" s="83"/>
      <c r="T516" s="83"/>
      <c r="U516" s="83"/>
      <c r="V516" s="83"/>
      <c r="W516" s="83"/>
      <c r="X516" s="83"/>
      <c r="Y516" s="83"/>
      <c r="Z516" s="83"/>
      <c r="AA516" s="83"/>
      <c r="AB516" s="83"/>
      <c r="AC516" s="83"/>
      <c r="AD516" s="83"/>
      <c r="AE516" s="83"/>
      <c r="AF516" s="83"/>
      <c r="AG516" s="83"/>
      <c r="AH516" s="83"/>
      <c r="AI516" s="83"/>
      <c r="AJ516" s="83"/>
      <c r="AK516" s="83"/>
      <c r="AL516" s="83"/>
      <c r="AM516" s="83"/>
      <c r="AN516" s="83"/>
      <c r="AO516" s="83"/>
      <c r="AP516" s="83"/>
      <c r="AQ516" s="83"/>
      <c r="AR516" s="83"/>
      <c r="AS516" s="83"/>
      <c r="AT516" s="83"/>
    </row>
    <row r="517" spans="1:46" ht="13.8">
      <c r="A517" s="83"/>
      <c r="B517" s="83"/>
      <c r="C517" s="83"/>
      <c r="D517" s="83"/>
      <c r="E517" s="82"/>
      <c r="F517" s="82"/>
      <c r="G517" s="83"/>
      <c r="H517" s="83"/>
      <c r="I517" s="83"/>
      <c r="J517" s="83"/>
      <c r="K517" s="83"/>
      <c r="L517" s="83"/>
      <c r="M517" s="83"/>
      <c r="N517" s="83"/>
      <c r="O517" s="83"/>
      <c r="P517" s="83"/>
      <c r="Q517" s="83"/>
      <c r="R517" s="83"/>
      <c r="S517" s="83"/>
      <c r="T517" s="83"/>
      <c r="U517" s="83"/>
      <c r="V517" s="83"/>
      <c r="W517" s="83"/>
      <c r="X517" s="83"/>
      <c r="Y517" s="83"/>
      <c r="Z517" s="83"/>
      <c r="AA517" s="83"/>
      <c r="AB517" s="83"/>
      <c r="AC517" s="83"/>
      <c r="AD517" s="83"/>
      <c r="AE517" s="83"/>
      <c r="AF517" s="83"/>
      <c r="AG517" s="83"/>
      <c r="AH517" s="83"/>
      <c r="AI517" s="83"/>
      <c r="AJ517" s="83"/>
      <c r="AK517" s="83"/>
      <c r="AL517" s="83"/>
      <c r="AM517" s="83"/>
      <c r="AN517" s="83"/>
      <c r="AO517" s="83"/>
      <c r="AP517" s="83"/>
      <c r="AQ517" s="83"/>
      <c r="AR517" s="83"/>
      <c r="AS517" s="83"/>
      <c r="AT517" s="83"/>
    </row>
    <row r="518" spans="1:46" ht="13.8">
      <c r="A518" s="83"/>
      <c r="B518" s="83"/>
      <c r="C518" s="83"/>
      <c r="D518" s="83"/>
      <c r="E518" s="82"/>
      <c r="F518" s="82"/>
      <c r="G518" s="83"/>
      <c r="H518" s="83"/>
      <c r="I518" s="83"/>
      <c r="J518" s="83"/>
      <c r="K518" s="83"/>
      <c r="L518" s="83"/>
      <c r="M518" s="83"/>
      <c r="N518" s="83"/>
      <c r="O518" s="83"/>
      <c r="P518" s="83"/>
      <c r="Q518" s="83"/>
      <c r="R518" s="83"/>
      <c r="S518" s="83"/>
      <c r="T518" s="83"/>
      <c r="U518" s="83"/>
      <c r="V518" s="83"/>
      <c r="W518" s="83"/>
      <c r="X518" s="83"/>
      <c r="Y518" s="83"/>
      <c r="Z518" s="83"/>
      <c r="AA518" s="83"/>
      <c r="AB518" s="83"/>
      <c r="AC518" s="83"/>
      <c r="AD518" s="83"/>
      <c r="AE518" s="83"/>
      <c r="AF518" s="83"/>
      <c r="AG518" s="83"/>
      <c r="AH518" s="83"/>
      <c r="AI518" s="83"/>
      <c r="AJ518" s="83"/>
      <c r="AK518" s="83"/>
      <c r="AL518" s="83"/>
      <c r="AM518" s="83"/>
      <c r="AN518" s="83"/>
      <c r="AO518" s="83"/>
      <c r="AP518" s="83"/>
      <c r="AQ518" s="83"/>
      <c r="AR518" s="83"/>
      <c r="AS518" s="83"/>
      <c r="AT518" s="83"/>
    </row>
    <row r="519" spans="1:46" ht="13.8">
      <c r="A519" s="83"/>
      <c r="B519" s="83"/>
      <c r="C519" s="83"/>
      <c r="D519" s="83"/>
      <c r="E519" s="82"/>
      <c r="F519" s="82"/>
      <c r="G519" s="83"/>
      <c r="H519" s="83"/>
      <c r="I519" s="83"/>
      <c r="J519" s="83"/>
      <c r="K519" s="83"/>
      <c r="L519" s="83"/>
      <c r="M519" s="83"/>
      <c r="N519" s="83"/>
      <c r="O519" s="83"/>
      <c r="P519" s="83"/>
      <c r="Q519" s="83"/>
      <c r="R519" s="83"/>
      <c r="S519" s="83"/>
      <c r="T519" s="83"/>
      <c r="U519" s="83"/>
      <c r="V519" s="83"/>
      <c r="W519" s="83"/>
      <c r="X519" s="83"/>
      <c r="Y519" s="83"/>
      <c r="Z519" s="83"/>
      <c r="AA519" s="83"/>
      <c r="AB519" s="83"/>
      <c r="AC519" s="83"/>
      <c r="AD519" s="83"/>
      <c r="AE519" s="83"/>
      <c r="AF519" s="83"/>
      <c r="AG519" s="83"/>
      <c r="AH519" s="83"/>
      <c r="AI519" s="83"/>
      <c r="AJ519" s="83"/>
      <c r="AK519" s="83"/>
      <c r="AL519" s="83"/>
      <c r="AM519" s="83"/>
      <c r="AN519" s="83"/>
      <c r="AO519" s="83"/>
      <c r="AP519" s="83"/>
      <c r="AQ519" s="83"/>
      <c r="AR519" s="83"/>
      <c r="AS519" s="83"/>
      <c r="AT519" s="83"/>
    </row>
    <row r="520" spans="1:46" ht="13.8">
      <c r="A520" s="83"/>
      <c r="B520" s="83"/>
      <c r="C520" s="83"/>
      <c r="D520" s="83"/>
      <c r="E520" s="82"/>
      <c r="F520" s="82"/>
      <c r="G520" s="83"/>
      <c r="H520" s="83"/>
      <c r="I520" s="83"/>
      <c r="J520" s="83"/>
      <c r="K520" s="83"/>
      <c r="L520" s="83"/>
      <c r="M520" s="83"/>
      <c r="N520" s="83"/>
      <c r="O520" s="83"/>
      <c r="P520" s="83"/>
      <c r="Q520" s="83"/>
      <c r="R520" s="83"/>
      <c r="S520" s="83"/>
      <c r="T520" s="83"/>
      <c r="U520" s="83"/>
      <c r="V520" s="83"/>
      <c r="W520" s="83"/>
      <c r="X520" s="83"/>
      <c r="Y520" s="83"/>
      <c r="Z520" s="83"/>
      <c r="AA520" s="83"/>
      <c r="AB520" s="83"/>
      <c r="AC520" s="83"/>
      <c r="AD520" s="83"/>
      <c r="AE520" s="83"/>
      <c r="AF520" s="83"/>
      <c r="AG520" s="83"/>
      <c r="AH520" s="83"/>
      <c r="AI520" s="83"/>
      <c r="AJ520" s="83"/>
      <c r="AK520" s="83"/>
      <c r="AL520" s="83"/>
      <c r="AM520" s="83"/>
      <c r="AN520" s="83"/>
      <c r="AO520" s="83"/>
      <c r="AP520" s="83"/>
      <c r="AQ520" s="83"/>
      <c r="AR520" s="83"/>
      <c r="AS520" s="83"/>
      <c r="AT520" s="83"/>
    </row>
    <row r="521" spans="1:46" ht="13.8">
      <c r="A521" s="83"/>
      <c r="B521" s="83"/>
      <c r="C521" s="83"/>
      <c r="D521" s="83"/>
      <c r="E521" s="82"/>
      <c r="F521" s="82"/>
      <c r="G521" s="83"/>
      <c r="H521" s="83"/>
      <c r="I521" s="83"/>
      <c r="J521" s="83"/>
      <c r="K521" s="83"/>
      <c r="L521" s="83"/>
      <c r="M521" s="83"/>
      <c r="N521" s="83"/>
      <c r="O521" s="83"/>
      <c r="P521" s="83"/>
      <c r="Q521" s="83"/>
      <c r="R521" s="83"/>
      <c r="S521" s="83"/>
      <c r="T521" s="83"/>
      <c r="U521" s="83"/>
      <c r="V521" s="83"/>
      <c r="W521" s="83"/>
      <c r="X521" s="83"/>
      <c r="Y521" s="83"/>
      <c r="Z521" s="83"/>
      <c r="AA521" s="83"/>
      <c r="AB521" s="83"/>
      <c r="AC521" s="83"/>
      <c r="AD521" s="83"/>
      <c r="AE521" s="83"/>
      <c r="AF521" s="83"/>
      <c r="AG521" s="83"/>
      <c r="AH521" s="83"/>
      <c r="AI521" s="83"/>
      <c r="AJ521" s="83"/>
      <c r="AK521" s="83"/>
      <c r="AL521" s="83"/>
      <c r="AM521" s="83"/>
      <c r="AN521" s="83"/>
      <c r="AO521" s="83"/>
      <c r="AP521" s="83"/>
      <c r="AQ521" s="83"/>
      <c r="AR521" s="83"/>
      <c r="AS521" s="83"/>
      <c r="AT521" s="83"/>
    </row>
    <row r="522" spans="1:46" ht="13.8">
      <c r="A522" s="83"/>
      <c r="B522" s="83"/>
      <c r="C522" s="83"/>
      <c r="D522" s="83"/>
      <c r="E522" s="82"/>
      <c r="F522" s="82"/>
      <c r="G522" s="83"/>
      <c r="H522" s="83"/>
      <c r="I522" s="83"/>
      <c r="J522" s="83"/>
      <c r="K522" s="83"/>
      <c r="L522" s="83"/>
      <c r="M522" s="83"/>
      <c r="N522" s="83"/>
      <c r="O522" s="83"/>
      <c r="P522" s="83"/>
      <c r="Q522" s="83"/>
      <c r="R522" s="83"/>
      <c r="S522" s="83"/>
      <c r="T522" s="83"/>
      <c r="U522" s="83"/>
      <c r="V522" s="83"/>
      <c r="W522" s="83"/>
      <c r="X522" s="83"/>
      <c r="Y522" s="83"/>
      <c r="Z522" s="83"/>
      <c r="AA522" s="83"/>
      <c r="AB522" s="83"/>
      <c r="AC522" s="83"/>
      <c r="AD522" s="83"/>
      <c r="AE522" s="83"/>
      <c r="AF522" s="83"/>
      <c r="AG522" s="83"/>
      <c r="AH522" s="83"/>
      <c r="AI522" s="83"/>
      <c r="AJ522" s="83"/>
      <c r="AK522" s="83"/>
      <c r="AL522" s="83"/>
      <c r="AM522" s="83"/>
      <c r="AN522" s="83"/>
      <c r="AO522" s="83"/>
      <c r="AP522" s="83"/>
      <c r="AQ522" s="83"/>
      <c r="AR522" s="83"/>
      <c r="AS522" s="83"/>
      <c r="AT522" s="83"/>
    </row>
    <row r="523" spans="1:46" ht="13.8">
      <c r="A523" s="83"/>
      <c r="B523" s="83"/>
      <c r="C523" s="83"/>
      <c r="D523" s="83"/>
      <c r="E523" s="82"/>
      <c r="F523" s="82"/>
      <c r="G523" s="83"/>
      <c r="H523" s="83"/>
      <c r="I523" s="83"/>
      <c r="J523" s="83"/>
      <c r="K523" s="83"/>
      <c r="L523" s="83"/>
      <c r="M523" s="83"/>
      <c r="N523" s="83"/>
      <c r="O523" s="83"/>
      <c r="P523" s="83"/>
      <c r="Q523" s="83"/>
      <c r="R523" s="83"/>
      <c r="S523" s="83"/>
      <c r="T523" s="83"/>
      <c r="U523" s="83"/>
      <c r="V523" s="83"/>
      <c r="W523" s="83"/>
      <c r="X523" s="83"/>
      <c r="Y523" s="83"/>
      <c r="Z523" s="83"/>
      <c r="AA523" s="83"/>
      <c r="AB523" s="83"/>
      <c r="AC523" s="83"/>
      <c r="AD523" s="83"/>
      <c r="AE523" s="83"/>
      <c r="AF523" s="83"/>
      <c r="AG523" s="83"/>
      <c r="AH523" s="83"/>
      <c r="AI523" s="83"/>
      <c r="AJ523" s="83"/>
      <c r="AK523" s="83"/>
      <c r="AL523" s="83"/>
      <c r="AM523" s="83"/>
      <c r="AN523" s="83"/>
      <c r="AO523" s="83"/>
      <c r="AP523" s="83"/>
      <c r="AQ523" s="83"/>
      <c r="AR523" s="83"/>
      <c r="AS523" s="83"/>
      <c r="AT523" s="83"/>
    </row>
    <row r="524" spans="1:46" ht="13.8">
      <c r="A524" s="83"/>
      <c r="B524" s="83"/>
      <c r="C524" s="83"/>
      <c r="D524" s="83"/>
      <c r="E524" s="82"/>
      <c r="F524" s="82"/>
      <c r="G524" s="83"/>
      <c r="H524" s="83"/>
      <c r="I524" s="83"/>
      <c r="J524" s="83"/>
      <c r="K524" s="83"/>
      <c r="L524" s="83"/>
      <c r="M524" s="83"/>
      <c r="N524" s="83"/>
      <c r="O524" s="83"/>
      <c r="P524" s="83"/>
      <c r="Q524" s="83"/>
      <c r="R524" s="83"/>
      <c r="S524" s="83"/>
      <c r="T524" s="83"/>
      <c r="U524" s="83"/>
      <c r="V524" s="83"/>
      <c r="W524" s="83"/>
      <c r="X524" s="83"/>
      <c r="Y524" s="83"/>
      <c r="Z524" s="83"/>
      <c r="AA524" s="83"/>
      <c r="AB524" s="83"/>
      <c r="AC524" s="83"/>
      <c r="AD524" s="83"/>
      <c r="AE524" s="83"/>
      <c r="AF524" s="83"/>
      <c r="AG524" s="83"/>
      <c r="AH524" s="83"/>
      <c r="AI524" s="83"/>
      <c r="AJ524" s="83"/>
      <c r="AK524" s="83"/>
      <c r="AL524" s="83"/>
      <c r="AM524" s="83"/>
      <c r="AN524" s="83"/>
      <c r="AO524" s="83"/>
      <c r="AP524" s="83"/>
      <c r="AQ524" s="83"/>
      <c r="AR524" s="83"/>
      <c r="AS524" s="83"/>
      <c r="AT524" s="83"/>
    </row>
    <row r="525" spans="1:46" ht="13.8">
      <c r="A525" s="83"/>
      <c r="B525" s="83"/>
      <c r="C525" s="83"/>
      <c r="D525" s="83"/>
      <c r="E525" s="82"/>
      <c r="F525" s="82"/>
      <c r="G525" s="83"/>
      <c r="H525" s="83"/>
      <c r="I525" s="83"/>
      <c r="J525" s="83"/>
      <c r="K525" s="83"/>
      <c r="L525" s="83"/>
      <c r="M525" s="83"/>
      <c r="N525" s="83"/>
      <c r="O525" s="83"/>
      <c r="P525" s="83"/>
      <c r="Q525" s="83"/>
      <c r="R525" s="83"/>
      <c r="S525" s="83"/>
      <c r="T525" s="83"/>
      <c r="U525" s="83"/>
      <c r="V525" s="83"/>
      <c r="W525" s="83"/>
      <c r="X525" s="83"/>
      <c r="Y525" s="83"/>
      <c r="Z525" s="83"/>
      <c r="AA525" s="83"/>
      <c r="AB525" s="83"/>
      <c r="AC525" s="83"/>
      <c r="AD525" s="83"/>
      <c r="AE525" s="83"/>
      <c r="AF525" s="83"/>
      <c r="AG525" s="83"/>
      <c r="AH525" s="83"/>
      <c r="AI525" s="83"/>
      <c r="AJ525" s="83"/>
      <c r="AK525" s="83"/>
      <c r="AL525" s="83"/>
      <c r="AM525" s="83"/>
      <c r="AN525" s="83"/>
      <c r="AO525" s="83"/>
      <c r="AP525" s="83"/>
      <c r="AQ525" s="83"/>
      <c r="AR525" s="83"/>
      <c r="AS525" s="83"/>
      <c r="AT525" s="83"/>
    </row>
    <row r="526" spans="1:46" ht="13.8">
      <c r="A526" s="83"/>
      <c r="B526" s="83"/>
      <c r="C526" s="83"/>
      <c r="D526" s="83"/>
      <c r="E526" s="82"/>
      <c r="F526" s="82"/>
      <c r="G526" s="83"/>
      <c r="H526" s="83"/>
      <c r="I526" s="83"/>
      <c r="J526" s="83"/>
      <c r="K526" s="83"/>
      <c r="L526" s="83"/>
      <c r="M526" s="83"/>
      <c r="N526" s="83"/>
      <c r="O526" s="83"/>
      <c r="P526" s="83"/>
      <c r="Q526" s="83"/>
      <c r="R526" s="83"/>
      <c r="S526" s="83"/>
      <c r="T526" s="83"/>
      <c r="U526" s="83"/>
      <c r="V526" s="83"/>
      <c r="W526" s="83"/>
      <c r="X526" s="83"/>
      <c r="Y526" s="83"/>
      <c r="Z526" s="83"/>
      <c r="AA526" s="83"/>
      <c r="AB526" s="83"/>
      <c r="AC526" s="83"/>
      <c r="AD526" s="83"/>
      <c r="AE526" s="83"/>
      <c r="AF526" s="83"/>
      <c r="AG526" s="83"/>
      <c r="AH526" s="83"/>
      <c r="AI526" s="83"/>
      <c r="AJ526" s="83"/>
      <c r="AK526" s="83"/>
      <c r="AL526" s="83"/>
      <c r="AM526" s="83"/>
      <c r="AN526" s="83"/>
      <c r="AO526" s="83"/>
      <c r="AP526" s="83"/>
      <c r="AQ526" s="83"/>
      <c r="AR526" s="83"/>
      <c r="AS526" s="83"/>
      <c r="AT526" s="83"/>
    </row>
    <row r="527" spans="1:46" ht="13.8">
      <c r="A527" s="83"/>
      <c r="B527" s="83"/>
      <c r="C527" s="83"/>
      <c r="D527" s="83"/>
      <c r="E527" s="82"/>
      <c r="F527" s="82"/>
      <c r="G527" s="83"/>
      <c r="H527" s="83"/>
      <c r="I527" s="83"/>
      <c r="J527" s="83"/>
      <c r="K527" s="83"/>
      <c r="L527" s="83"/>
      <c r="M527" s="83"/>
      <c r="N527" s="83"/>
      <c r="O527" s="83"/>
      <c r="P527" s="83"/>
      <c r="Q527" s="83"/>
      <c r="R527" s="83"/>
      <c r="S527" s="83"/>
      <c r="T527" s="83"/>
      <c r="U527" s="83"/>
      <c r="V527" s="83"/>
      <c r="W527" s="83"/>
      <c r="X527" s="83"/>
      <c r="Y527" s="83"/>
      <c r="Z527" s="83"/>
      <c r="AA527" s="83"/>
      <c r="AB527" s="83"/>
      <c r="AC527" s="83"/>
      <c r="AD527" s="83"/>
      <c r="AE527" s="83"/>
      <c r="AF527" s="83"/>
      <c r="AG527" s="83"/>
      <c r="AH527" s="83"/>
      <c r="AI527" s="83"/>
      <c r="AJ527" s="83"/>
      <c r="AK527" s="83"/>
      <c r="AL527" s="83"/>
      <c r="AM527" s="83"/>
      <c r="AN527" s="83"/>
      <c r="AO527" s="83"/>
      <c r="AP527" s="83"/>
      <c r="AQ527" s="83"/>
      <c r="AR527" s="83"/>
      <c r="AS527" s="83"/>
      <c r="AT527" s="83"/>
    </row>
    <row r="528" spans="1:46" ht="13.8">
      <c r="A528" s="83"/>
      <c r="B528" s="83"/>
      <c r="C528" s="83"/>
      <c r="D528" s="83"/>
      <c r="E528" s="82"/>
      <c r="F528" s="82"/>
      <c r="G528" s="83"/>
      <c r="H528" s="83"/>
      <c r="I528" s="83"/>
      <c r="J528" s="83"/>
      <c r="K528" s="83"/>
      <c r="L528" s="83"/>
      <c r="M528" s="83"/>
      <c r="N528" s="83"/>
      <c r="O528" s="83"/>
      <c r="P528" s="83"/>
      <c r="Q528" s="83"/>
      <c r="R528" s="83"/>
      <c r="S528" s="83"/>
      <c r="T528" s="83"/>
      <c r="U528" s="83"/>
      <c r="V528" s="83"/>
      <c r="W528" s="83"/>
      <c r="X528" s="83"/>
      <c r="Y528" s="83"/>
      <c r="Z528" s="83"/>
      <c r="AA528" s="83"/>
      <c r="AB528" s="83"/>
      <c r="AC528" s="83"/>
      <c r="AD528" s="83"/>
      <c r="AE528" s="83"/>
      <c r="AF528" s="83"/>
      <c r="AG528" s="83"/>
      <c r="AH528" s="83"/>
      <c r="AI528" s="83"/>
      <c r="AJ528" s="83"/>
      <c r="AK528" s="83"/>
      <c r="AL528" s="83"/>
      <c r="AM528" s="83"/>
      <c r="AN528" s="83"/>
      <c r="AO528" s="83"/>
      <c r="AP528" s="83"/>
      <c r="AQ528" s="83"/>
      <c r="AR528" s="83"/>
      <c r="AS528" s="83"/>
      <c r="AT528" s="83"/>
    </row>
    <row r="529" spans="1:46" ht="13.8">
      <c r="A529" s="83"/>
      <c r="B529" s="83"/>
      <c r="C529" s="83"/>
      <c r="D529" s="83"/>
      <c r="E529" s="82"/>
      <c r="F529" s="82"/>
      <c r="G529" s="83"/>
      <c r="H529" s="83"/>
      <c r="I529" s="83"/>
      <c r="J529" s="83"/>
      <c r="K529" s="83"/>
      <c r="L529" s="83"/>
      <c r="M529" s="83"/>
      <c r="N529" s="83"/>
      <c r="O529" s="83"/>
      <c r="P529" s="83"/>
      <c r="Q529" s="83"/>
      <c r="R529" s="83"/>
      <c r="S529" s="83"/>
      <c r="T529" s="83"/>
      <c r="U529" s="83"/>
      <c r="V529" s="83"/>
      <c r="W529" s="83"/>
      <c r="X529" s="83"/>
      <c r="Y529" s="83"/>
      <c r="Z529" s="83"/>
      <c r="AA529" s="83"/>
      <c r="AB529" s="83"/>
      <c r="AC529" s="83"/>
      <c r="AD529" s="83"/>
      <c r="AE529" s="83"/>
      <c r="AF529" s="83"/>
      <c r="AG529" s="83"/>
      <c r="AH529" s="83"/>
      <c r="AI529" s="83"/>
      <c r="AJ529" s="83"/>
      <c r="AK529" s="83"/>
      <c r="AL529" s="83"/>
      <c r="AM529" s="83"/>
      <c r="AN529" s="83"/>
      <c r="AO529" s="83"/>
      <c r="AP529" s="83"/>
      <c r="AQ529" s="83"/>
      <c r="AR529" s="83"/>
      <c r="AS529" s="83"/>
      <c r="AT529" s="83"/>
    </row>
    <row r="530" spans="1:46" ht="13.8">
      <c r="A530" s="83"/>
      <c r="B530" s="83"/>
      <c r="C530" s="83"/>
      <c r="D530" s="83"/>
      <c r="E530" s="82"/>
      <c r="F530" s="82"/>
      <c r="G530" s="83"/>
      <c r="H530" s="83"/>
      <c r="I530" s="83"/>
      <c r="J530" s="83"/>
      <c r="K530" s="83"/>
      <c r="L530" s="83"/>
      <c r="M530" s="83"/>
      <c r="N530" s="83"/>
      <c r="O530" s="83"/>
      <c r="P530" s="83"/>
      <c r="Q530" s="83"/>
      <c r="R530" s="83"/>
      <c r="S530" s="83"/>
      <c r="T530" s="83"/>
      <c r="U530" s="83"/>
      <c r="V530" s="83"/>
      <c r="W530" s="83"/>
      <c r="X530" s="83"/>
      <c r="Y530" s="83"/>
      <c r="Z530" s="83"/>
      <c r="AA530" s="83"/>
      <c r="AB530" s="83"/>
      <c r="AC530" s="83"/>
      <c r="AD530" s="83"/>
      <c r="AE530" s="83"/>
      <c r="AF530" s="83"/>
      <c r="AG530" s="83"/>
      <c r="AH530" s="83"/>
      <c r="AI530" s="83"/>
      <c r="AJ530" s="83"/>
      <c r="AK530" s="83"/>
      <c r="AL530" s="83"/>
      <c r="AM530" s="83"/>
      <c r="AN530" s="83"/>
      <c r="AO530" s="83"/>
      <c r="AP530" s="83"/>
      <c r="AQ530" s="83"/>
      <c r="AR530" s="83"/>
      <c r="AS530" s="83"/>
      <c r="AT530" s="83"/>
    </row>
    <row r="531" spans="1:46" ht="13.8">
      <c r="A531" s="83"/>
      <c r="B531" s="83"/>
      <c r="C531" s="83"/>
      <c r="D531" s="83"/>
      <c r="E531" s="82"/>
      <c r="F531" s="82"/>
      <c r="G531" s="83"/>
      <c r="H531" s="83"/>
      <c r="I531" s="83"/>
      <c r="J531" s="83"/>
      <c r="K531" s="83"/>
      <c r="L531" s="83"/>
      <c r="M531" s="83"/>
      <c r="N531" s="83"/>
      <c r="O531" s="83"/>
      <c r="P531" s="83"/>
      <c r="Q531" s="83"/>
      <c r="R531" s="83"/>
      <c r="S531" s="83"/>
      <c r="T531" s="83"/>
      <c r="U531" s="83"/>
      <c r="V531" s="83"/>
      <c r="W531" s="83"/>
      <c r="X531" s="83"/>
      <c r="Y531" s="83"/>
      <c r="Z531" s="83"/>
      <c r="AA531" s="83"/>
      <c r="AB531" s="83"/>
      <c r="AC531" s="83"/>
      <c r="AD531" s="83"/>
      <c r="AE531" s="83"/>
      <c r="AF531" s="83"/>
      <c r="AG531" s="83"/>
      <c r="AH531" s="83"/>
      <c r="AI531" s="83"/>
      <c r="AJ531" s="83"/>
      <c r="AK531" s="83"/>
      <c r="AL531" s="83"/>
      <c r="AM531" s="83"/>
      <c r="AN531" s="83"/>
      <c r="AO531" s="83"/>
      <c r="AP531" s="83"/>
      <c r="AQ531" s="83"/>
      <c r="AR531" s="83"/>
      <c r="AS531" s="83"/>
      <c r="AT531" s="83"/>
    </row>
    <row r="532" spans="1:46" ht="13.8">
      <c r="A532" s="83"/>
      <c r="B532" s="83"/>
      <c r="C532" s="83"/>
      <c r="D532" s="83"/>
      <c r="E532" s="82"/>
      <c r="F532" s="82"/>
      <c r="G532" s="83"/>
      <c r="H532" s="83"/>
      <c r="I532" s="83"/>
      <c r="J532" s="83"/>
      <c r="K532" s="83"/>
      <c r="L532" s="83"/>
      <c r="M532" s="83"/>
      <c r="N532" s="83"/>
      <c r="O532" s="83"/>
      <c r="P532" s="83"/>
      <c r="Q532" s="83"/>
      <c r="R532" s="83"/>
      <c r="S532" s="83"/>
      <c r="T532" s="83"/>
      <c r="U532" s="83"/>
      <c r="V532" s="83"/>
      <c r="W532" s="83"/>
      <c r="X532" s="83"/>
      <c r="Y532" s="83"/>
      <c r="Z532" s="83"/>
      <c r="AA532" s="83"/>
      <c r="AB532" s="83"/>
      <c r="AC532" s="83"/>
      <c r="AD532" s="83"/>
      <c r="AE532" s="83"/>
      <c r="AF532" s="83"/>
      <c r="AG532" s="83"/>
      <c r="AH532" s="83"/>
      <c r="AI532" s="83"/>
      <c r="AJ532" s="83"/>
      <c r="AK532" s="83"/>
      <c r="AL532" s="83"/>
      <c r="AM532" s="83"/>
      <c r="AN532" s="83"/>
      <c r="AO532" s="83"/>
      <c r="AP532" s="83"/>
      <c r="AQ532" s="83"/>
      <c r="AR532" s="83"/>
      <c r="AS532" s="83"/>
      <c r="AT532" s="83"/>
    </row>
    <row r="533" spans="1:46" ht="13.8">
      <c r="A533" s="83"/>
      <c r="B533" s="83"/>
      <c r="C533" s="83"/>
      <c r="D533" s="83"/>
      <c r="E533" s="82"/>
      <c r="F533" s="82"/>
      <c r="G533" s="83"/>
      <c r="H533" s="83"/>
      <c r="I533" s="83"/>
      <c r="J533" s="83"/>
      <c r="K533" s="83"/>
      <c r="L533" s="83"/>
      <c r="M533" s="83"/>
      <c r="N533" s="83"/>
      <c r="O533" s="83"/>
      <c r="P533" s="83"/>
      <c r="Q533" s="83"/>
      <c r="R533" s="83"/>
      <c r="S533" s="83"/>
      <c r="T533" s="83"/>
      <c r="U533" s="83"/>
      <c r="V533" s="83"/>
      <c r="W533" s="83"/>
      <c r="X533" s="83"/>
      <c r="Y533" s="83"/>
      <c r="Z533" s="83"/>
      <c r="AA533" s="83"/>
      <c r="AB533" s="83"/>
      <c r="AC533" s="83"/>
      <c r="AD533" s="83"/>
      <c r="AE533" s="83"/>
      <c r="AF533" s="83"/>
      <c r="AG533" s="83"/>
      <c r="AH533" s="83"/>
      <c r="AI533" s="83"/>
      <c r="AJ533" s="83"/>
      <c r="AK533" s="83"/>
      <c r="AL533" s="83"/>
      <c r="AM533" s="83"/>
      <c r="AN533" s="83"/>
      <c r="AO533" s="83"/>
      <c r="AP533" s="83"/>
      <c r="AQ533" s="83"/>
      <c r="AR533" s="83"/>
      <c r="AS533" s="83"/>
      <c r="AT533" s="83"/>
    </row>
    <row r="534" spans="1:46" ht="13.8">
      <c r="A534" s="83"/>
      <c r="B534" s="83"/>
      <c r="C534" s="83"/>
      <c r="D534" s="83"/>
      <c r="E534" s="82"/>
      <c r="F534" s="82"/>
      <c r="G534" s="83"/>
      <c r="H534" s="83"/>
      <c r="I534" s="83"/>
      <c r="J534" s="83"/>
      <c r="K534" s="83"/>
      <c r="L534" s="83"/>
      <c r="M534" s="83"/>
      <c r="N534" s="83"/>
      <c r="O534" s="83"/>
      <c r="P534" s="83"/>
      <c r="Q534" s="83"/>
      <c r="R534" s="83"/>
      <c r="S534" s="83"/>
      <c r="T534" s="83"/>
      <c r="U534" s="83"/>
      <c r="V534" s="83"/>
      <c r="W534" s="83"/>
      <c r="X534" s="83"/>
      <c r="Y534" s="83"/>
      <c r="Z534" s="83"/>
      <c r="AA534" s="83"/>
      <c r="AB534" s="83"/>
      <c r="AC534" s="83"/>
      <c r="AD534" s="83"/>
      <c r="AE534" s="83"/>
      <c r="AF534" s="83"/>
      <c r="AG534" s="83"/>
      <c r="AH534" s="83"/>
      <c r="AI534" s="83"/>
      <c r="AJ534" s="83"/>
      <c r="AK534" s="83"/>
      <c r="AL534" s="83"/>
      <c r="AM534" s="83"/>
      <c r="AN534" s="83"/>
      <c r="AO534" s="83"/>
      <c r="AP534" s="83"/>
      <c r="AQ534" s="83"/>
      <c r="AR534" s="83"/>
      <c r="AS534" s="83"/>
      <c r="AT534" s="83"/>
    </row>
    <row r="535" spans="1:46" ht="13.8">
      <c r="A535" s="83"/>
      <c r="B535" s="83"/>
      <c r="C535" s="83"/>
      <c r="D535" s="83"/>
      <c r="E535" s="82"/>
      <c r="F535" s="82"/>
      <c r="G535" s="83"/>
      <c r="H535" s="83"/>
      <c r="I535" s="83"/>
      <c r="J535" s="83"/>
      <c r="K535" s="83"/>
      <c r="L535" s="83"/>
      <c r="M535" s="83"/>
      <c r="N535" s="83"/>
      <c r="O535" s="83"/>
      <c r="P535" s="83"/>
      <c r="Q535" s="83"/>
      <c r="R535" s="83"/>
      <c r="S535" s="83"/>
      <c r="T535" s="83"/>
      <c r="U535" s="83"/>
      <c r="V535" s="83"/>
      <c r="W535" s="83"/>
      <c r="X535" s="83"/>
      <c r="Y535" s="83"/>
      <c r="Z535" s="83"/>
      <c r="AA535" s="83"/>
      <c r="AB535" s="83"/>
      <c r="AC535" s="83"/>
      <c r="AD535" s="83"/>
      <c r="AE535" s="83"/>
      <c r="AF535" s="83"/>
      <c r="AG535" s="83"/>
      <c r="AH535" s="83"/>
      <c r="AI535" s="83"/>
      <c r="AJ535" s="83"/>
      <c r="AK535" s="83"/>
      <c r="AL535" s="83"/>
      <c r="AM535" s="83"/>
      <c r="AN535" s="83"/>
      <c r="AO535" s="83"/>
      <c r="AP535" s="83"/>
      <c r="AQ535" s="83"/>
      <c r="AR535" s="83"/>
      <c r="AS535" s="83"/>
      <c r="AT535" s="83"/>
    </row>
    <row r="536" spans="1:46" ht="13.8">
      <c r="A536" s="83"/>
      <c r="B536" s="83"/>
      <c r="C536" s="83"/>
      <c r="D536" s="83"/>
      <c r="E536" s="82"/>
      <c r="F536" s="82"/>
      <c r="G536" s="83"/>
      <c r="H536" s="83"/>
      <c r="I536" s="83"/>
      <c r="J536" s="83"/>
      <c r="K536" s="83"/>
      <c r="L536" s="83"/>
      <c r="M536" s="83"/>
      <c r="N536" s="83"/>
      <c r="O536" s="83"/>
      <c r="P536" s="83"/>
      <c r="Q536" s="83"/>
      <c r="R536" s="83"/>
      <c r="S536" s="83"/>
      <c r="T536" s="83"/>
      <c r="U536" s="83"/>
      <c r="V536" s="83"/>
      <c r="W536" s="83"/>
      <c r="X536" s="83"/>
      <c r="Y536" s="83"/>
      <c r="Z536" s="83"/>
      <c r="AA536" s="83"/>
      <c r="AB536" s="83"/>
      <c r="AC536" s="83"/>
      <c r="AD536" s="83"/>
      <c r="AE536" s="83"/>
      <c r="AF536" s="83"/>
      <c r="AG536" s="83"/>
      <c r="AH536" s="83"/>
      <c r="AI536" s="83"/>
      <c r="AJ536" s="83"/>
      <c r="AK536" s="83"/>
      <c r="AL536" s="83"/>
      <c r="AM536" s="83"/>
      <c r="AN536" s="83"/>
      <c r="AO536" s="83"/>
      <c r="AP536" s="83"/>
      <c r="AQ536" s="83"/>
      <c r="AR536" s="83"/>
      <c r="AS536" s="83"/>
      <c r="AT536" s="83"/>
    </row>
    <row r="537" spans="1:46" ht="13.8">
      <c r="A537" s="83"/>
      <c r="B537" s="83"/>
      <c r="C537" s="83"/>
      <c r="D537" s="83"/>
      <c r="E537" s="82"/>
      <c r="F537" s="82"/>
      <c r="G537" s="83"/>
      <c r="H537" s="83"/>
      <c r="I537" s="83"/>
      <c r="J537" s="83"/>
      <c r="K537" s="83"/>
      <c r="L537" s="83"/>
      <c r="M537" s="83"/>
      <c r="N537" s="83"/>
      <c r="O537" s="83"/>
      <c r="P537" s="83"/>
      <c r="Q537" s="83"/>
      <c r="R537" s="83"/>
      <c r="S537" s="83"/>
      <c r="T537" s="83"/>
      <c r="U537" s="83"/>
      <c r="V537" s="83"/>
      <c r="W537" s="83"/>
      <c r="X537" s="83"/>
      <c r="Y537" s="83"/>
      <c r="Z537" s="83"/>
      <c r="AA537" s="83"/>
      <c r="AB537" s="83"/>
      <c r="AC537" s="83"/>
      <c r="AD537" s="83"/>
      <c r="AE537" s="83"/>
      <c r="AF537" s="83"/>
      <c r="AG537" s="83"/>
      <c r="AH537" s="83"/>
      <c r="AI537" s="83"/>
      <c r="AJ537" s="83"/>
      <c r="AK537" s="83"/>
      <c r="AL537" s="83"/>
      <c r="AM537" s="83"/>
      <c r="AN537" s="83"/>
      <c r="AO537" s="83"/>
      <c r="AP537" s="83"/>
      <c r="AQ537" s="83"/>
      <c r="AR537" s="83"/>
      <c r="AS537" s="83"/>
      <c r="AT537" s="83"/>
    </row>
    <row r="538" spans="1:46" ht="13.8">
      <c r="A538" s="83"/>
      <c r="B538" s="83"/>
      <c r="C538" s="83"/>
      <c r="D538" s="83"/>
      <c r="E538" s="82"/>
      <c r="F538" s="82"/>
      <c r="G538" s="83"/>
      <c r="H538" s="83"/>
      <c r="I538" s="83"/>
      <c r="J538" s="83"/>
      <c r="K538" s="83"/>
      <c r="L538" s="83"/>
      <c r="M538" s="83"/>
      <c r="N538" s="83"/>
      <c r="O538" s="83"/>
      <c r="P538" s="83"/>
      <c r="Q538" s="83"/>
      <c r="R538" s="83"/>
      <c r="S538" s="83"/>
      <c r="T538" s="83"/>
      <c r="U538" s="83"/>
      <c r="V538" s="83"/>
      <c r="W538" s="83"/>
      <c r="X538" s="83"/>
      <c r="Y538" s="83"/>
      <c r="Z538" s="83"/>
      <c r="AA538" s="83"/>
      <c r="AB538" s="83"/>
      <c r="AC538" s="83"/>
      <c r="AD538" s="83"/>
      <c r="AE538" s="83"/>
      <c r="AF538" s="83"/>
      <c r="AG538" s="83"/>
      <c r="AH538" s="83"/>
      <c r="AI538" s="83"/>
      <c r="AJ538" s="83"/>
      <c r="AK538" s="83"/>
      <c r="AL538" s="83"/>
      <c r="AM538" s="83"/>
      <c r="AN538" s="83"/>
      <c r="AO538" s="83"/>
      <c r="AP538" s="83"/>
      <c r="AQ538" s="83"/>
      <c r="AR538" s="83"/>
      <c r="AS538" s="83"/>
      <c r="AT538" s="83"/>
    </row>
    <row r="539" spans="1:46" ht="13.8">
      <c r="A539" s="83"/>
      <c r="B539" s="83"/>
      <c r="C539" s="83"/>
      <c r="D539" s="83"/>
      <c r="E539" s="82"/>
      <c r="F539" s="82"/>
      <c r="G539" s="83"/>
      <c r="H539" s="83"/>
      <c r="I539" s="83"/>
      <c r="J539" s="83"/>
      <c r="K539" s="83"/>
      <c r="L539" s="83"/>
      <c r="M539" s="83"/>
      <c r="N539" s="83"/>
      <c r="O539" s="83"/>
      <c r="P539" s="83"/>
      <c r="Q539" s="83"/>
      <c r="R539" s="83"/>
      <c r="S539" s="83"/>
      <c r="T539" s="83"/>
      <c r="U539" s="83"/>
      <c r="V539" s="83"/>
      <c r="W539" s="83"/>
      <c r="X539" s="83"/>
      <c r="Y539" s="83"/>
      <c r="Z539" s="83"/>
      <c r="AA539" s="83"/>
      <c r="AB539" s="83"/>
      <c r="AC539" s="83"/>
      <c r="AD539" s="83"/>
      <c r="AE539" s="83"/>
      <c r="AF539" s="83"/>
      <c r="AG539" s="83"/>
      <c r="AH539" s="83"/>
      <c r="AI539" s="83"/>
      <c r="AJ539" s="83"/>
      <c r="AK539" s="83"/>
      <c r="AL539" s="83"/>
      <c r="AM539" s="83"/>
      <c r="AN539" s="83"/>
      <c r="AO539" s="83"/>
      <c r="AP539" s="83"/>
      <c r="AQ539" s="83"/>
      <c r="AR539" s="83"/>
      <c r="AS539" s="83"/>
      <c r="AT539" s="83"/>
    </row>
    <row r="540" spans="1:46" ht="13.8">
      <c r="A540" s="83"/>
      <c r="B540" s="83"/>
      <c r="C540" s="83"/>
      <c r="D540" s="83"/>
      <c r="E540" s="82"/>
      <c r="F540" s="82"/>
      <c r="G540" s="83"/>
      <c r="H540" s="83"/>
      <c r="I540" s="83"/>
      <c r="J540" s="83"/>
      <c r="K540" s="83"/>
      <c r="L540" s="83"/>
      <c r="M540" s="83"/>
      <c r="N540" s="83"/>
      <c r="O540" s="83"/>
      <c r="P540" s="83"/>
      <c r="Q540" s="83"/>
      <c r="R540" s="83"/>
      <c r="S540" s="83"/>
      <c r="T540" s="83"/>
      <c r="U540" s="83"/>
      <c r="V540" s="83"/>
      <c r="W540" s="83"/>
      <c r="X540" s="83"/>
      <c r="Y540" s="83"/>
      <c r="Z540" s="83"/>
      <c r="AA540" s="83"/>
      <c r="AB540" s="83"/>
      <c r="AC540" s="83"/>
      <c r="AD540" s="83"/>
      <c r="AE540" s="83"/>
      <c r="AF540" s="83"/>
      <c r="AG540" s="83"/>
      <c r="AH540" s="83"/>
      <c r="AI540" s="83"/>
      <c r="AJ540" s="83"/>
      <c r="AK540" s="83"/>
      <c r="AL540" s="83"/>
      <c r="AM540" s="83"/>
      <c r="AN540" s="83"/>
      <c r="AO540" s="83"/>
      <c r="AP540" s="83"/>
      <c r="AQ540" s="83"/>
      <c r="AR540" s="83"/>
      <c r="AS540" s="83"/>
      <c r="AT540" s="83"/>
    </row>
    <row r="541" spans="1:46" ht="13.8">
      <c r="A541" s="83"/>
      <c r="B541" s="83"/>
      <c r="C541" s="83"/>
      <c r="D541" s="83"/>
      <c r="E541" s="82"/>
      <c r="F541" s="82"/>
      <c r="G541" s="83"/>
      <c r="H541" s="83"/>
      <c r="I541" s="83"/>
      <c r="J541" s="83"/>
      <c r="K541" s="83"/>
      <c r="L541" s="83"/>
      <c r="M541" s="83"/>
      <c r="N541" s="83"/>
      <c r="O541" s="83"/>
      <c r="P541" s="83"/>
      <c r="Q541" s="83"/>
      <c r="R541" s="83"/>
      <c r="S541" s="83"/>
      <c r="T541" s="83"/>
      <c r="U541" s="83"/>
      <c r="V541" s="83"/>
      <c r="W541" s="83"/>
      <c r="X541" s="83"/>
      <c r="Y541" s="83"/>
      <c r="Z541" s="83"/>
      <c r="AA541" s="83"/>
      <c r="AB541" s="83"/>
      <c r="AC541" s="83"/>
      <c r="AD541" s="83"/>
      <c r="AE541" s="83"/>
      <c r="AF541" s="83"/>
      <c r="AG541" s="83"/>
      <c r="AH541" s="83"/>
      <c r="AI541" s="83"/>
      <c r="AJ541" s="83"/>
      <c r="AK541" s="83"/>
      <c r="AL541" s="83"/>
      <c r="AM541" s="83"/>
      <c r="AN541" s="83"/>
      <c r="AO541" s="83"/>
      <c r="AP541" s="83"/>
      <c r="AQ541" s="83"/>
      <c r="AR541" s="83"/>
      <c r="AS541" s="83"/>
      <c r="AT541" s="83"/>
    </row>
    <row r="542" spans="1:46" ht="13.8">
      <c r="A542" s="83"/>
      <c r="B542" s="83"/>
      <c r="C542" s="83"/>
      <c r="D542" s="83"/>
      <c r="E542" s="82"/>
      <c r="F542" s="82"/>
      <c r="G542" s="83"/>
      <c r="H542" s="83"/>
      <c r="I542" s="83"/>
      <c r="J542" s="83"/>
      <c r="K542" s="83"/>
      <c r="L542" s="83"/>
      <c r="M542" s="83"/>
      <c r="N542" s="83"/>
      <c r="O542" s="83"/>
      <c r="P542" s="83"/>
      <c r="Q542" s="83"/>
      <c r="R542" s="83"/>
      <c r="S542" s="83"/>
      <c r="T542" s="83"/>
      <c r="U542" s="83"/>
      <c r="V542" s="83"/>
      <c r="W542" s="83"/>
      <c r="X542" s="83"/>
      <c r="Y542" s="83"/>
      <c r="Z542" s="83"/>
      <c r="AA542" s="83"/>
      <c r="AB542" s="83"/>
      <c r="AC542" s="83"/>
      <c r="AD542" s="83"/>
      <c r="AE542" s="83"/>
      <c r="AF542" s="83"/>
      <c r="AG542" s="83"/>
      <c r="AH542" s="83"/>
      <c r="AI542" s="83"/>
      <c r="AJ542" s="83"/>
      <c r="AK542" s="83"/>
      <c r="AL542" s="83"/>
      <c r="AM542" s="83"/>
      <c r="AN542" s="83"/>
      <c r="AO542" s="83"/>
      <c r="AP542" s="83"/>
      <c r="AQ542" s="83"/>
      <c r="AR542" s="83"/>
      <c r="AS542" s="83"/>
      <c r="AT542" s="83"/>
    </row>
    <row r="543" spans="1:46" ht="13.8">
      <c r="A543" s="83"/>
      <c r="B543" s="83"/>
      <c r="C543" s="83"/>
      <c r="D543" s="83"/>
      <c r="E543" s="82"/>
      <c r="F543" s="82"/>
      <c r="G543" s="83"/>
      <c r="H543" s="83"/>
      <c r="I543" s="83"/>
      <c r="J543" s="83"/>
      <c r="K543" s="83"/>
      <c r="L543" s="83"/>
      <c r="M543" s="83"/>
      <c r="N543" s="83"/>
      <c r="O543" s="83"/>
      <c r="P543" s="83"/>
      <c r="Q543" s="83"/>
      <c r="R543" s="83"/>
      <c r="S543" s="83"/>
      <c r="T543" s="83"/>
      <c r="U543" s="83"/>
      <c r="V543" s="83"/>
      <c r="W543" s="83"/>
      <c r="X543" s="83"/>
      <c r="Y543" s="83"/>
      <c r="Z543" s="83"/>
      <c r="AA543" s="83"/>
      <c r="AB543" s="83"/>
      <c r="AC543" s="83"/>
      <c r="AD543" s="83"/>
      <c r="AE543" s="83"/>
      <c r="AF543" s="83"/>
      <c r="AG543" s="83"/>
      <c r="AH543" s="83"/>
      <c r="AI543" s="83"/>
      <c r="AJ543" s="83"/>
      <c r="AK543" s="83"/>
      <c r="AL543" s="83"/>
      <c r="AM543" s="83"/>
      <c r="AN543" s="83"/>
      <c r="AO543" s="83"/>
      <c r="AP543" s="83"/>
      <c r="AQ543" s="83"/>
      <c r="AR543" s="83"/>
      <c r="AS543" s="83"/>
      <c r="AT543" s="83"/>
    </row>
    <row r="544" spans="1:46" ht="13.8">
      <c r="A544" s="83"/>
      <c r="B544" s="83"/>
      <c r="C544" s="83"/>
      <c r="D544" s="83"/>
      <c r="E544" s="82"/>
      <c r="F544" s="82"/>
      <c r="G544" s="83"/>
      <c r="H544" s="83"/>
      <c r="I544" s="83"/>
      <c r="J544" s="83"/>
      <c r="K544" s="83"/>
      <c r="L544" s="83"/>
      <c r="M544" s="83"/>
      <c r="N544" s="83"/>
      <c r="O544" s="83"/>
      <c r="P544" s="83"/>
      <c r="Q544" s="83"/>
      <c r="R544" s="83"/>
      <c r="S544" s="83"/>
      <c r="T544" s="83"/>
      <c r="U544" s="83"/>
      <c r="V544" s="83"/>
      <c r="W544" s="83"/>
      <c r="X544" s="83"/>
      <c r="Y544" s="83"/>
      <c r="Z544" s="83"/>
      <c r="AA544" s="83"/>
      <c r="AB544" s="83"/>
      <c r="AC544" s="83"/>
      <c r="AD544" s="83"/>
      <c r="AE544" s="83"/>
      <c r="AF544" s="83"/>
      <c r="AG544" s="83"/>
      <c r="AH544" s="83"/>
      <c r="AI544" s="83"/>
      <c r="AJ544" s="83"/>
      <c r="AK544" s="83"/>
      <c r="AL544" s="83"/>
      <c r="AM544" s="83"/>
      <c r="AN544" s="83"/>
      <c r="AO544" s="83"/>
      <c r="AP544" s="83"/>
      <c r="AQ544" s="83"/>
      <c r="AR544" s="83"/>
      <c r="AS544" s="83"/>
      <c r="AT544" s="83"/>
    </row>
    <row r="545" spans="1:46" ht="13.8">
      <c r="A545" s="83"/>
      <c r="B545" s="83"/>
      <c r="C545" s="83"/>
      <c r="D545" s="83"/>
      <c r="E545" s="82"/>
      <c r="F545" s="82"/>
      <c r="G545" s="83"/>
      <c r="H545" s="83"/>
      <c r="I545" s="83"/>
      <c r="J545" s="83"/>
      <c r="K545" s="83"/>
      <c r="L545" s="83"/>
      <c r="M545" s="83"/>
      <c r="N545" s="83"/>
      <c r="O545" s="83"/>
      <c r="P545" s="83"/>
      <c r="Q545" s="83"/>
      <c r="R545" s="83"/>
      <c r="S545" s="83"/>
      <c r="T545" s="83"/>
      <c r="U545" s="83"/>
      <c r="V545" s="83"/>
      <c r="W545" s="83"/>
      <c r="X545" s="83"/>
      <c r="Y545" s="83"/>
      <c r="Z545" s="83"/>
      <c r="AA545" s="83"/>
      <c r="AB545" s="83"/>
      <c r="AC545" s="83"/>
      <c r="AD545" s="83"/>
      <c r="AE545" s="83"/>
      <c r="AF545" s="83"/>
      <c r="AG545" s="83"/>
      <c r="AH545" s="83"/>
      <c r="AI545" s="83"/>
      <c r="AJ545" s="83"/>
      <c r="AK545" s="83"/>
      <c r="AL545" s="83"/>
      <c r="AM545" s="83"/>
      <c r="AN545" s="83"/>
      <c r="AO545" s="83"/>
      <c r="AP545" s="83"/>
      <c r="AQ545" s="83"/>
      <c r="AR545" s="83"/>
      <c r="AS545" s="83"/>
      <c r="AT545" s="83"/>
    </row>
    <row r="546" spans="1:46" ht="13.8">
      <c r="A546" s="83"/>
      <c r="B546" s="83"/>
      <c r="C546" s="83"/>
      <c r="D546" s="83"/>
      <c r="E546" s="82"/>
      <c r="F546" s="82"/>
      <c r="G546" s="83"/>
      <c r="H546" s="83"/>
      <c r="I546" s="83"/>
      <c r="J546" s="83"/>
      <c r="K546" s="83"/>
      <c r="L546" s="83"/>
      <c r="M546" s="83"/>
      <c r="N546" s="83"/>
      <c r="O546" s="83"/>
      <c r="P546" s="83"/>
      <c r="Q546" s="83"/>
      <c r="R546" s="83"/>
      <c r="S546" s="83"/>
      <c r="T546" s="83"/>
      <c r="U546" s="83"/>
      <c r="V546" s="83"/>
      <c r="W546" s="83"/>
      <c r="X546" s="83"/>
      <c r="Y546" s="83"/>
      <c r="Z546" s="83"/>
      <c r="AA546" s="83"/>
      <c r="AB546" s="83"/>
      <c r="AC546" s="83"/>
      <c r="AD546" s="83"/>
      <c r="AE546" s="83"/>
      <c r="AF546" s="83"/>
      <c r="AG546" s="83"/>
      <c r="AH546" s="83"/>
      <c r="AI546" s="83"/>
      <c r="AJ546" s="83"/>
      <c r="AK546" s="83"/>
      <c r="AL546" s="83"/>
      <c r="AM546" s="83"/>
      <c r="AN546" s="83"/>
      <c r="AO546" s="83"/>
      <c r="AP546" s="83"/>
      <c r="AQ546" s="83"/>
      <c r="AR546" s="83"/>
      <c r="AS546" s="83"/>
      <c r="AT546" s="83"/>
    </row>
    <row r="547" spans="1:46" ht="13.8">
      <c r="A547" s="83"/>
      <c r="B547" s="83"/>
      <c r="C547" s="83"/>
      <c r="D547" s="83"/>
      <c r="E547" s="82"/>
      <c r="F547" s="82"/>
      <c r="G547" s="83"/>
      <c r="H547" s="83"/>
      <c r="I547" s="83"/>
      <c r="J547" s="83"/>
      <c r="K547" s="83"/>
      <c r="L547" s="83"/>
      <c r="M547" s="83"/>
      <c r="N547" s="83"/>
      <c r="O547" s="83"/>
      <c r="P547" s="83"/>
      <c r="Q547" s="83"/>
      <c r="R547" s="83"/>
      <c r="S547" s="83"/>
      <c r="T547" s="83"/>
      <c r="U547" s="83"/>
      <c r="V547" s="83"/>
      <c r="W547" s="83"/>
      <c r="X547" s="83"/>
      <c r="Y547" s="83"/>
      <c r="Z547" s="83"/>
      <c r="AA547" s="83"/>
      <c r="AB547" s="83"/>
      <c r="AC547" s="83"/>
      <c r="AD547" s="83"/>
      <c r="AE547" s="83"/>
      <c r="AF547" s="83"/>
      <c r="AG547" s="83"/>
      <c r="AH547" s="83"/>
      <c r="AI547" s="83"/>
      <c r="AJ547" s="83"/>
      <c r="AK547" s="83"/>
      <c r="AL547" s="83"/>
      <c r="AM547" s="83"/>
      <c r="AN547" s="83"/>
      <c r="AO547" s="83"/>
      <c r="AP547" s="83"/>
      <c r="AQ547" s="83"/>
      <c r="AR547" s="83"/>
      <c r="AS547" s="83"/>
      <c r="AT547" s="83"/>
    </row>
    <row r="548" spans="1:46" ht="13.8">
      <c r="A548" s="83"/>
      <c r="B548" s="83"/>
      <c r="C548" s="83"/>
      <c r="D548" s="83"/>
      <c r="E548" s="82"/>
      <c r="F548" s="82"/>
      <c r="G548" s="83"/>
      <c r="H548" s="83"/>
      <c r="I548" s="83"/>
      <c r="J548" s="83"/>
      <c r="K548" s="83"/>
      <c r="L548" s="83"/>
      <c r="M548" s="83"/>
      <c r="N548" s="83"/>
      <c r="O548" s="83"/>
      <c r="P548" s="83"/>
      <c r="Q548" s="83"/>
      <c r="R548" s="83"/>
      <c r="S548" s="83"/>
      <c r="T548" s="83"/>
      <c r="U548" s="83"/>
      <c r="V548" s="83"/>
      <c r="W548" s="83"/>
      <c r="X548" s="83"/>
      <c r="Y548" s="83"/>
      <c r="Z548" s="83"/>
      <c r="AA548" s="83"/>
      <c r="AB548" s="83"/>
      <c r="AC548" s="83"/>
      <c r="AD548" s="83"/>
      <c r="AE548" s="83"/>
      <c r="AF548" s="83"/>
      <c r="AG548" s="83"/>
      <c r="AH548" s="83"/>
      <c r="AI548" s="83"/>
      <c r="AJ548" s="83"/>
      <c r="AK548" s="83"/>
      <c r="AL548" s="83"/>
      <c r="AM548" s="83"/>
      <c r="AN548" s="83"/>
      <c r="AO548" s="83"/>
      <c r="AP548" s="83"/>
      <c r="AQ548" s="83"/>
      <c r="AR548" s="83"/>
      <c r="AS548" s="83"/>
      <c r="AT548" s="83"/>
    </row>
    <row r="549" spans="1:46" ht="13.8">
      <c r="A549" s="83"/>
      <c r="B549" s="83"/>
      <c r="C549" s="83"/>
      <c r="D549" s="83"/>
      <c r="E549" s="82"/>
      <c r="F549" s="82"/>
      <c r="G549" s="83"/>
      <c r="H549" s="83"/>
      <c r="I549" s="83"/>
      <c r="J549" s="83"/>
      <c r="K549" s="83"/>
      <c r="L549" s="83"/>
      <c r="M549" s="83"/>
      <c r="N549" s="83"/>
      <c r="O549" s="83"/>
      <c r="P549" s="83"/>
      <c r="Q549" s="83"/>
      <c r="R549" s="83"/>
      <c r="S549" s="83"/>
      <c r="T549" s="83"/>
      <c r="U549" s="83"/>
      <c r="V549" s="83"/>
      <c r="W549" s="83"/>
      <c r="X549" s="83"/>
      <c r="Y549" s="83"/>
      <c r="Z549" s="83"/>
      <c r="AA549" s="83"/>
      <c r="AB549" s="83"/>
      <c r="AC549" s="83"/>
      <c r="AD549" s="83"/>
      <c r="AE549" s="83"/>
      <c r="AF549" s="83"/>
      <c r="AG549" s="83"/>
      <c r="AH549" s="83"/>
      <c r="AI549" s="83"/>
      <c r="AJ549" s="83"/>
      <c r="AK549" s="83"/>
      <c r="AL549" s="83"/>
      <c r="AM549" s="83"/>
      <c r="AN549" s="83"/>
      <c r="AO549" s="83"/>
      <c r="AP549" s="83"/>
      <c r="AQ549" s="83"/>
      <c r="AR549" s="83"/>
      <c r="AS549" s="83"/>
      <c r="AT549" s="83"/>
    </row>
    <row r="550" spans="1:46" ht="13.8">
      <c r="A550" s="83"/>
      <c r="B550" s="83"/>
      <c r="C550" s="83"/>
      <c r="D550" s="83"/>
      <c r="E550" s="82"/>
      <c r="F550" s="82"/>
      <c r="G550" s="83"/>
      <c r="H550" s="83"/>
      <c r="I550" s="83"/>
      <c r="J550" s="83"/>
      <c r="K550" s="83"/>
      <c r="L550" s="83"/>
      <c r="M550" s="83"/>
      <c r="N550" s="83"/>
      <c r="O550" s="83"/>
      <c r="P550" s="83"/>
      <c r="Q550" s="83"/>
      <c r="R550" s="83"/>
      <c r="S550" s="83"/>
      <c r="T550" s="83"/>
      <c r="U550" s="83"/>
      <c r="V550" s="83"/>
      <c r="W550" s="83"/>
      <c r="X550" s="83"/>
      <c r="Y550" s="83"/>
      <c r="Z550" s="83"/>
      <c r="AA550" s="83"/>
      <c r="AB550" s="83"/>
      <c r="AC550" s="83"/>
      <c r="AD550" s="83"/>
      <c r="AE550" s="83"/>
      <c r="AF550" s="83"/>
      <c r="AG550" s="83"/>
      <c r="AH550" s="83"/>
      <c r="AI550" s="83"/>
      <c r="AJ550" s="83"/>
      <c r="AK550" s="83"/>
      <c r="AL550" s="83"/>
      <c r="AM550" s="83"/>
      <c r="AN550" s="83"/>
      <c r="AO550" s="83"/>
      <c r="AP550" s="83"/>
      <c r="AQ550" s="83"/>
      <c r="AR550" s="83"/>
      <c r="AS550" s="83"/>
      <c r="AT550" s="83"/>
    </row>
    <row r="551" spans="1:46" ht="13.8">
      <c r="A551" s="83"/>
      <c r="B551" s="83"/>
      <c r="C551" s="83"/>
      <c r="D551" s="83"/>
      <c r="E551" s="82"/>
      <c r="F551" s="82"/>
      <c r="G551" s="83"/>
      <c r="H551" s="83"/>
      <c r="I551" s="83"/>
      <c r="J551" s="83"/>
      <c r="K551" s="83"/>
      <c r="L551" s="83"/>
      <c r="M551" s="83"/>
      <c r="N551" s="83"/>
      <c r="O551" s="83"/>
      <c r="P551" s="83"/>
      <c r="Q551" s="83"/>
      <c r="R551" s="83"/>
      <c r="S551" s="83"/>
      <c r="T551" s="83"/>
      <c r="U551" s="83"/>
      <c r="V551" s="83"/>
      <c r="W551" s="83"/>
      <c r="X551" s="83"/>
      <c r="Y551" s="83"/>
      <c r="Z551" s="83"/>
      <c r="AA551" s="83"/>
      <c r="AB551" s="83"/>
      <c r="AC551" s="83"/>
      <c r="AD551" s="83"/>
      <c r="AE551" s="83"/>
      <c r="AF551" s="83"/>
      <c r="AG551" s="83"/>
      <c r="AH551" s="83"/>
      <c r="AI551" s="83"/>
      <c r="AJ551" s="83"/>
      <c r="AK551" s="83"/>
      <c r="AL551" s="83"/>
      <c r="AM551" s="83"/>
      <c r="AN551" s="83"/>
      <c r="AO551" s="83"/>
      <c r="AP551" s="83"/>
      <c r="AQ551" s="83"/>
      <c r="AR551" s="83"/>
      <c r="AS551" s="83"/>
      <c r="AT551" s="83"/>
    </row>
    <row r="552" spans="1:46" ht="13.8">
      <c r="A552" s="83"/>
      <c r="B552" s="83"/>
      <c r="C552" s="83"/>
      <c r="D552" s="83"/>
      <c r="E552" s="82"/>
      <c r="F552" s="82"/>
      <c r="G552" s="83"/>
      <c r="H552" s="83"/>
      <c r="I552" s="83"/>
      <c r="J552" s="83"/>
      <c r="K552" s="83"/>
      <c r="L552" s="83"/>
      <c r="M552" s="83"/>
      <c r="N552" s="83"/>
      <c r="O552" s="83"/>
      <c r="P552" s="83"/>
      <c r="Q552" s="83"/>
      <c r="R552" s="83"/>
      <c r="S552" s="83"/>
      <c r="T552" s="83"/>
      <c r="U552" s="83"/>
      <c r="V552" s="83"/>
      <c r="W552" s="83"/>
      <c r="X552" s="83"/>
      <c r="Y552" s="83"/>
      <c r="Z552" s="83"/>
      <c r="AA552" s="83"/>
      <c r="AB552" s="83"/>
      <c r="AC552" s="83"/>
      <c r="AD552" s="83"/>
      <c r="AE552" s="83"/>
      <c r="AF552" s="83"/>
      <c r="AG552" s="83"/>
      <c r="AH552" s="83"/>
      <c r="AI552" s="83"/>
      <c r="AJ552" s="83"/>
      <c r="AK552" s="83"/>
      <c r="AL552" s="83"/>
      <c r="AM552" s="83"/>
      <c r="AN552" s="83"/>
      <c r="AO552" s="83"/>
      <c r="AP552" s="83"/>
      <c r="AQ552" s="83"/>
      <c r="AR552" s="83"/>
      <c r="AS552" s="83"/>
      <c r="AT552" s="83"/>
    </row>
    <row r="553" spans="1:46" ht="13.8">
      <c r="A553" s="83"/>
      <c r="B553" s="83"/>
      <c r="C553" s="83"/>
      <c r="D553" s="83"/>
      <c r="E553" s="82"/>
      <c r="F553" s="82"/>
      <c r="G553" s="83"/>
      <c r="H553" s="83"/>
      <c r="I553" s="83"/>
      <c r="J553" s="83"/>
      <c r="K553" s="83"/>
      <c r="L553" s="83"/>
      <c r="M553" s="83"/>
      <c r="N553" s="83"/>
      <c r="O553" s="83"/>
      <c r="P553" s="83"/>
      <c r="Q553" s="83"/>
      <c r="R553" s="83"/>
      <c r="S553" s="83"/>
      <c r="T553" s="83"/>
      <c r="U553" s="83"/>
      <c r="V553" s="83"/>
      <c r="W553" s="83"/>
      <c r="X553" s="83"/>
      <c r="Y553" s="83"/>
      <c r="Z553" s="83"/>
      <c r="AA553" s="83"/>
      <c r="AB553" s="83"/>
      <c r="AC553" s="83"/>
      <c r="AD553" s="83"/>
      <c r="AE553" s="83"/>
      <c r="AF553" s="83"/>
      <c r="AG553" s="83"/>
      <c r="AH553" s="83"/>
      <c r="AI553" s="83"/>
      <c r="AJ553" s="83"/>
      <c r="AK553" s="83"/>
      <c r="AL553" s="83"/>
      <c r="AM553" s="83"/>
      <c r="AN553" s="83"/>
      <c r="AO553" s="83"/>
      <c r="AP553" s="83"/>
      <c r="AQ553" s="83"/>
      <c r="AR553" s="83"/>
      <c r="AS553" s="83"/>
      <c r="AT553" s="83"/>
    </row>
    <row r="554" spans="1:46" ht="13.8">
      <c r="A554" s="83"/>
      <c r="B554" s="83"/>
      <c r="C554" s="83"/>
      <c r="D554" s="83"/>
      <c r="E554" s="82"/>
      <c r="F554" s="82"/>
      <c r="G554" s="83"/>
      <c r="H554" s="83"/>
      <c r="I554" s="83"/>
      <c r="J554" s="83"/>
      <c r="K554" s="83"/>
      <c r="L554" s="83"/>
      <c r="M554" s="83"/>
      <c r="N554" s="83"/>
      <c r="O554" s="83"/>
      <c r="P554" s="83"/>
      <c r="Q554" s="83"/>
      <c r="R554" s="83"/>
      <c r="S554" s="83"/>
      <c r="T554" s="83"/>
      <c r="U554" s="83"/>
      <c r="V554" s="83"/>
      <c r="W554" s="83"/>
      <c r="X554" s="83"/>
      <c r="Y554" s="83"/>
      <c r="Z554" s="83"/>
      <c r="AA554" s="83"/>
      <c r="AB554" s="83"/>
      <c r="AC554" s="83"/>
      <c r="AD554" s="83"/>
      <c r="AE554" s="83"/>
      <c r="AF554" s="83"/>
      <c r="AG554" s="83"/>
      <c r="AH554" s="83"/>
      <c r="AI554" s="83"/>
      <c r="AJ554" s="83"/>
      <c r="AK554" s="83"/>
      <c r="AL554" s="83"/>
      <c r="AM554" s="83"/>
      <c r="AN554" s="83"/>
      <c r="AO554" s="83"/>
      <c r="AP554" s="83"/>
      <c r="AQ554" s="83"/>
      <c r="AR554" s="83"/>
      <c r="AS554" s="83"/>
      <c r="AT554" s="83"/>
    </row>
    <row r="555" spans="1:46" ht="13.8">
      <c r="A555" s="83"/>
      <c r="B555" s="83"/>
      <c r="C555" s="83"/>
      <c r="D555" s="83"/>
      <c r="E555" s="82"/>
      <c r="F555" s="82"/>
      <c r="G555" s="83"/>
      <c r="H555" s="83"/>
      <c r="I555" s="83"/>
      <c r="J555" s="83"/>
      <c r="K555" s="83"/>
      <c r="L555" s="83"/>
      <c r="M555" s="83"/>
      <c r="N555" s="83"/>
      <c r="O555" s="83"/>
      <c r="P555" s="83"/>
      <c r="Q555" s="83"/>
      <c r="R555" s="83"/>
      <c r="S555" s="83"/>
      <c r="T555" s="83"/>
      <c r="U555" s="83"/>
      <c r="V555" s="83"/>
      <c r="W555" s="83"/>
      <c r="X555" s="83"/>
      <c r="Y555" s="83"/>
      <c r="Z555" s="83"/>
      <c r="AA555" s="83"/>
      <c r="AB555" s="83"/>
      <c r="AC555" s="83"/>
      <c r="AD555" s="83"/>
      <c r="AE555" s="83"/>
      <c r="AF555" s="83"/>
      <c r="AG555" s="83"/>
      <c r="AH555" s="83"/>
      <c r="AI555" s="83"/>
      <c r="AJ555" s="83"/>
      <c r="AK555" s="83"/>
      <c r="AL555" s="83"/>
      <c r="AM555" s="83"/>
      <c r="AN555" s="83"/>
      <c r="AO555" s="83"/>
      <c r="AP555" s="83"/>
      <c r="AQ555" s="83"/>
      <c r="AR555" s="83"/>
      <c r="AS555" s="83"/>
      <c r="AT555" s="83"/>
    </row>
    <row r="556" spans="1:46" ht="13.8">
      <c r="A556" s="83"/>
      <c r="B556" s="83"/>
      <c r="C556" s="83"/>
      <c r="D556" s="83"/>
      <c r="E556" s="82"/>
      <c r="F556" s="82"/>
      <c r="G556" s="83"/>
      <c r="H556" s="83"/>
      <c r="I556" s="83"/>
      <c r="J556" s="83"/>
      <c r="K556" s="83"/>
      <c r="L556" s="83"/>
      <c r="M556" s="83"/>
      <c r="N556" s="83"/>
      <c r="O556" s="83"/>
      <c r="P556" s="83"/>
      <c r="Q556" s="83"/>
      <c r="R556" s="83"/>
      <c r="S556" s="83"/>
      <c r="T556" s="83"/>
      <c r="U556" s="83"/>
      <c r="V556" s="83"/>
      <c r="W556" s="83"/>
      <c r="X556" s="83"/>
      <c r="Y556" s="83"/>
      <c r="Z556" s="83"/>
      <c r="AA556" s="83"/>
      <c r="AB556" s="83"/>
      <c r="AC556" s="83"/>
      <c r="AD556" s="83"/>
      <c r="AE556" s="83"/>
      <c r="AF556" s="83"/>
      <c r="AG556" s="83"/>
      <c r="AH556" s="83"/>
      <c r="AI556" s="83"/>
      <c r="AJ556" s="83"/>
      <c r="AK556" s="83"/>
      <c r="AL556" s="83"/>
      <c r="AM556" s="83"/>
      <c r="AN556" s="83"/>
      <c r="AO556" s="83"/>
      <c r="AP556" s="83"/>
      <c r="AQ556" s="83"/>
      <c r="AR556" s="83"/>
      <c r="AS556" s="83"/>
      <c r="AT556" s="83"/>
    </row>
    <row r="557" spans="1:46" ht="13.8">
      <c r="A557" s="83"/>
      <c r="B557" s="83"/>
      <c r="C557" s="83"/>
      <c r="D557" s="83"/>
      <c r="E557" s="82"/>
      <c r="F557" s="82"/>
      <c r="G557" s="83"/>
      <c r="H557" s="83"/>
      <c r="I557" s="83"/>
      <c r="J557" s="83"/>
      <c r="K557" s="83"/>
      <c r="L557" s="83"/>
      <c r="M557" s="83"/>
      <c r="N557" s="83"/>
      <c r="O557" s="83"/>
      <c r="P557" s="83"/>
      <c r="Q557" s="83"/>
      <c r="R557" s="83"/>
      <c r="S557" s="83"/>
      <c r="T557" s="83"/>
      <c r="U557" s="83"/>
      <c r="V557" s="83"/>
      <c r="W557" s="83"/>
      <c r="X557" s="83"/>
      <c r="Y557" s="83"/>
      <c r="Z557" s="83"/>
      <c r="AA557" s="83"/>
      <c r="AB557" s="83"/>
      <c r="AC557" s="83"/>
      <c r="AD557" s="83"/>
      <c r="AE557" s="83"/>
      <c r="AF557" s="83"/>
      <c r="AG557" s="83"/>
      <c r="AH557" s="83"/>
      <c r="AI557" s="83"/>
      <c r="AJ557" s="83"/>
      <c r="AK557" s="83"/>
      <c r="AL557" s="83"/>
      <c r="AM557" s="83"/>
      <c r="AN557" s="83"/>
      <c r="AO557" s="83"/>
      <c r="AP557" s="83"/>
      <c r="AQ557" s="83"/>
      <c r="AR557" s="83"/>
      <c r="AS557" s="83"/>
      <c r="AT557" s="83"/>
    </row>
    <row r="558" spans="1:46" ht="13.8">
      <c r="A558" s="83"/>
      <c r="B558" s="83"/>
      <c r="C558" s="83"/>
      <c r="D558" s="83"/>
      <c r="E558" s="82"/>
      <c r="F558" s="82"/>
      <c r="G558" s="83"/>
      <c r="H558" s="83"/>
      <c r="I558" s="83"/>
      <c r="J558" s="83"/>
      <c r="K558" s="83"/>
      <c r="L558" s="83"/>
      <c r="M558" s="83"/>
      <c r="N558" s="83"/>
      <c r="O558" s="83"/>
      <c r="P558" s="83"/>
      <c r="Q558" s="83"/>
      <c r="R558" s="83"/>
      <c r="S558" s="83"/>
      <c r="T558" s="83"/>
      <c r="U558" s="83"/>
      <c r="V558" s="83"/>
      <c r="W558" s="83"/>
      <c r="X558" s="83"/>
      <c r="Y558" s="83"/>
      <c r="Z558" s="83"/>
      <c r="AA558" s="83"/>
      <c r="AB558" s="83"/>
      <c r="AC558" s="83"/>
      <c r="AD558" s="83"/>
      <c r="AE558" s="83"/>
      <c r="AF558" s="83"/>
      <c r="AG558" s="83"/>
      <c r="AH558" s="83"/>
      <c r="AI558" s="83"/>
      <c r="AJ558" s="83"/>
      <c r="AK558" s="83"/>
      <c r="AL558" s="83"/>
      <c r="AM558" s="83"/>
      <c r="AN558" s="83"/>
      <c r="AO558" s="83"/>
      <c r="AP558" s="83"/>
      <c r="AQ558" s="83"/>
      <c r="AR558" s="83"/>
      <c r="AS558" s="83"/>
      <c r="AT558" s="83"/>
    </row>
    <row r="559" spans="1:46" ht="13.8">
      <c r="A559" s="83"/>
      <c r="B559" s="83"/>
      <c r="C559" s="83"/>
      <c r="D559" s="83"/>
      <c r="E559" s="82"/>
      <c r="F559" s="82"/>
      <c r="G559" s="83"/>
      <c r="H559" s="83"/>
      <c r="I559" s="83"/>
      <c r="J559" s="83"/>
      <c r="K559" s="83"/>
      <c r="L559" s="83"/>
      <c r="M559" s="83"/>
      <c r="N559" s="83"/>
      <c r="O559" s="83"/>
      <c r="P559" s="83"/>
      <c r="Q559" s="83"/>
      <c r="R559" s="83"/>
      <c r="S559" s="83"/>
      <c r="T559" s="83"/>
      <c r="U559" s="83"/>
      <c r="V559" s="83"/>
      <c r="W559" s="83"/>
      <c r="X559" s="83"/>
      <c r="Y559" s="83"/>
      <c r="Z559" s="83"/>
      <c r="AA559" s="83"/>
      <c r="AB559" s="83"/>
      <c r="AC559" s="83"/>
      <c r="AD559" s="83"/>
      <c r="AE559" s="83"/>
      <c r="AF559" s="83"/>
      <c r="AG559" s="83"/>
      <c r="AH559" s="83"/>
      <c r="AI559" s="83"/>
      <c r="AJ559" s="83"/>
      <c r="AK559" s="83"/>
      <c r="AL559" s="83"/>
      <c r="AM559" s="83"/>
      <c r="AN559" s="83"/>
      <c r="AO559" s="83"/>
      <c r="AP559" s="83"/>
      <c r="AQ559" s="83"/>
      <c r="AR559" s="83"/>
      <c r="AS559" s="83"/>
      <c r="AT559" s="83"/>
    </row>
    <row r="560" spans="1:46" ht="13.8">
      <c r="A560" s="83"/>
      <c r="B560" s="83"/>
      <c r="C560" s="83"/>
      <c r="D560" s="83"/>
      <c r="E560" s="82"/>
      <c r="F560" s="82"/>
      <c r="G560" s="83"/>
      <c r="H560" s="83"/>
      <c r="I560" s="83"/>
      <c r="J560" s="83"/>
      <c r="K560" s="83"/>
      <c r="L560" s="83"/>
      <c r="M560" s="83"/>
      <c r="N560" s="83"/>
      <c r="O560" s="83"/>
      <c r="P560" s="83"/>
      <c r="Q560" s="83"/>
      <c r="R560" s="83"/>
      <c r="S560" s="83"/>
      <c r="T560" s="83"/>
      <c r="U560" s="83"/>
      <c r="V560" s="83"/>
      <c r="W560" s="83"/>
      <c r="X560" s="83"/>
      <c r="Y560" s="83"/>
      <c r="Z560" s="83"/>
      <c r="AA560" s="83"/>
      <c r="AB560" s="83"/>
      <c r="AC560" s="83"/>
      <c r="AD560" s="83"/>
      <c r="AE560" s="83"/>
      <c r="AF560" s="83"/>
      <c r="AG560" s="83"/>
      <c r="AH560" s="83"/>
      <c r="AI560" s="83"/>
      <c r="AJ560" s="83"/>
      <c r="AK560" s="83"/>
      <c r="AL560" s="83"/>
      <c r="AM560" s="83"/>
      <c r="AN560" s="83"/>
      <c r="AO560" s="83"/>
      <c r="AP560" s="83"/>
      <c r="AQ560" s="83"/>
      <c r="AR560" s="83"/>
      <c r="AS560" s="83"/>
      <c r="AT560" s="83"/>
    </row>
    <row r="561" spans="1:46" ht="13.8">
      <c r="A561" s="83"/>
      <c r="B561" s="83"/>
      <c r="C561" s="83"/>
      <c r="D561" s="83"/>
      <c r="E561" s="82"/>
      <c r="F561" s="82"/>
      <c r="G561" s="83"/>
      <c r="H561" s="83"/>
      <c r="I561" s="83"/>
      <c r="J561" s="83"/>
      <c r="K561" s="83"/>
      <c r="L561" s="83"/>
      <c r="M561" s="83"/>
      <c r="N561" s="83"/>
      <c r="O561" s="83"/>
      <c r="P561" s="83"/>
      <c r="Q561" s="83"/>
      <c r="R561" s="83"/>
      <c r="S561" s="83"/>
      <c r="T561" s="83"/>
      <c r="U561" s="83"/>
      <c r="V561" s="83"/>
      <c r="W561" s="83"/>
      <c r="X561" s="83"/>
      <c r="Y561" s="83"/>
      <c r="Z561" s="83"/>
      <c r="AA561" s="83"/>
      <c r="AB561" s="83"/>
      <c r="AC561" s="83"/>
      <c r="AD561" s="83"/>
      <c r="AE561" s="83"/>
      <c r="AF561" s="83"/>
      <c r="AG561" s="83"/>
      <c r="AH561" s="83"/>
      <c r="AI561" s="83"/>
      <c r="AJ561" s="83"/>
      <c r="AK561" s="83"/>
      <c r="AL561" s="83"/>
      <c r="AM561" s="83"/>
      <c r="AN561" s="83"/>
      <c r="AO561" s="83"/>
      <c r="AP561" s="83"/>
      <c r="AQ561" s="83"/>
      <c r="AR561" s="83"/>
      <c r="AS561" s="83"/>
      <c r="AT561" s="83"/>
    </row>
    <row r="562" spans="1:46" ht="13.8">
      <c r="A562" s="83"/>
      <c r="B562" s="83"/>
      <c r="C562" s="83"/>
      <c r="D562" s="83"/>
      <c r="E562" s="82"/>
      <c r="F562" s="82"/>
      <c r="G562" s="83"/>
      <c r="H562" s="83"/>
      <c r="I562" s="83"/>
      <c r="J562" s="83"/>
      <c r="K562" s="83"/>
      <c r="L562" s="83"/>
      <c r="M562" s="83"/>
      <c r="N562" s="83"/>
      <c r="O562" s="83"/>
      <c r="P562" s="83"/>
      <c r="Q562" s="83"/>
      <c r="R562" s="83"/>
      <c r="S562" s="83"/>
      <c r="T562" s="83"/>
      <c r="U562" s="83"/>
      <c r="V562" s="83"/>
      <c r="W562" s="83"/>
      <c r="X562" s="83"/>
      <c r="Y562" s="83"/>
      <c r="Z562" s="83"/>
      <c r="AA562" s="83"/>
      <c r="AB562" s="83"/>
      <c r="AC562" s="83"/>
      <c r="AD562" s="83"/>
      <c r="AE562" s="83"/>
      <c r="AF562" s="83"/>
      <c r="AG562" s="83"/>
      <c r="AH562" s="83"/>
      <c r="AI562" s="83"/>
      <c r="AJ562" s="83"/>
      <c r="AK562" s="83"/>
      <c r="AL562" s="83"/>
      <c r="AM562" s="83"/>
      <c r="AN562" s="83"/>
      <c r="AO562" s="83"/>
      <c r="AP562" s="83"/>
      <c r="AQ562" s="83"/>
      <c r="AR562" s="83"/>
      <c r="AS562" s="83"/>
      <c r="AT562" s="83"/>
    </row>
    <row r="563" spans="1:46" ht="13.8">
      <c r="A563" s="83"/>
      <c r="B563" s="83"/>
      <c r="C563" s="83"/>
      <c r="D563" s="83"/>
      <c r="E563" s="82"/>
      <c r="F563" s="82"/>
      <c r="G563" s="83"/>
      <c r="H563" s="83"/>
      <c r="I563" s="83"/>
      <c r="J563" s="83"/>
      <c r="K563" s="83"/>
      <c r="L563" s="83"/>
      <c r="M563" s="83"/>
      <c r="N563" s="83"/>
      <c r="O563" s="83"/>
      <c r="P563" s="83"/>
      <c r="Q563" s="83"/>
      <c r="R563" s="83"/>
      <c r="S563" s="83"/>
      <c r="T563" s="83"/>
      <c r="U563" s="83"/>
      <c r="V563" s="83"/>
      <c r="W563" s="83"/>
      <c r="X563" s="83"/>
      <c r="Y563" s="83"/>
      <c r="Z563" s="83"/>
      <c r="AA563" s="83"/>
      <c r="AB563" s="83"/>
      <c r="AC563" s="83"/>
      <c r="AD563" s="83"/>
      <c r="AE563" s="83"/>
      <c r="AF563" s="83"/>
      <c r="AG563" s="83"/>
      <c r="AH563" s="83"/>
      <c r="AI563" s="83"/>
      <c r="AJ563" s="83"/>
      <c r="AK563" s="83"/>
      <c r="AL563" s="83"/>
      <c r="AM563" s="83"/>
      <c r="AN563" s="83"/>
      <c r="AO563" s="83"/>
      <c r="AP563" s="83"/>
      <c r="AQ563" s="83"/>
      <c r="AR563" s="83"/>
      <c r="AS563" s="83"/>
      <c r="AT563" s="83"/>
    </row>
    <row r="564" spans="1:46" ht="13.8">
      <c r="A564" s="83"/>
      <c r="B564" s="83"/>
      <c r="C564" s="83"/>
      <c r="D564" s="83"/>
      <c r="E564" s="82"/>
      <c r="F564" s="82"/>
      <c r="G564" s="83"/>
      <c r="H564" s="83"/>
      <c r="I564" s="83"/>
      <c r="J564" s="83"/>
      <c r="K564" s="83"/>
      <c r="L564" s="83"/>
      <c r="M564" s="83"/>
      <c r="N564" s="83"/>
      <c r="O564" s="83"/>
      <c r="P564" s="83"/>
      <c r="Q564" s="83"/>
      <c r="R564" s="83"/>
      <c r="S564" s="83"/>
      <c r="T564" s="83"/>
      <c r="U564" s="83"/>
      <c r="V564" s="83"/>
      <c r="W564" s="83"/>
      <c r="X564" s="83"/>
      <c r="Y564" s="83"/>
      <c r="Z564" s="83"/>
      <c r="AA564" s="83"/>
      <c r="AB564" s="83"/>
      <c r="AC564" s="83"/>
      <c r="AD564" s="83"/>
      <c r="AE564" s="83"/>
      <c r="AF564" s="83"/>
      <c r="AG564" s="83"/>
      <c r="AH564" s="83"/>
      <c r="AI564" s="83"/>
      <c r="AJ564" s="83"/>
      <c r="AK564" s="83"/>
      <c r="AL564" s="83"/>
      <c r="AM564" s="83"/>
      <c r="AN564" s="83"/>
      <c r="AO564" s="83"/>
      <c r="AP564" s="83"/>
      <c r="AQ564" s="83"/>
      <c r="AR564" s="83"/>
      <c r="AS564" s="83"/>
      <c r="AT564" s="83"/>
    </row>
    <row r="565" spans="1:46" ht="13.8">
      <c r="A565" s="83"/>
      <c r="B565" s="83"/>
      <c r="C565" s="83"/>
      <c r="D565" s="83"/>
      <c r="E565" s="82"/>
      <c r="F565" s="82"/>
      <c r="G565" s="83"/>
      <c r="H565" s="83"/>
      <c r="I565" s="83"/>
      <c r="J565" s="83"/>
      <c r="K565" s="83"/>
      <c r="L565" s="83"/>
      <c r="M565" s="83"/>
      <c r="N565" s="83"/>
      <c r="O565" s="83"/>
      <c r="P565" s="83"/>
      <c r="Q565" s="83"/>
      <c r="R565" s="83"/>
      <c r="S565" s="83"/>
      <c r="T565" s="83"/>
      <c r="U565" s="83"/>
      <c r="V565" s="83"/>
      <c r="W565" s="83"/>
      <c r="X565" s="83"/>
      <c r="Y565" s="83"/>
      <c r="Z565" s="83"/>
      <c r="AA565" s="83"/>
      <c r="AB565" s="83"/>
      <c r="AC565" s="83"/>
      <c r="AD565" s="83"/>
      <c r="AE565" s="83"/>
      <c r="AF565" s="83"/>
      <c r="AG565" s="83"/>
      <c r="AH565" s="83"/>
      <c r="AI565" s="83"/>
      <c r="AJ565" s="83"/>
      <c r="AK565" s="83"/>
      <c r="AL565" s="83"/>
      <c r="AM565" s="83"/>
      <c r="AN565" s="83"/>
      <c r="AO565" s="83"/>
      <c r="AP565" s="83"/>
      <c r="AQ565" s="83"/>
      <c r="AR565" s="83"/>
      <c r="AS565" s="83"/>
      <c r="AT565" s="83"/>
    </row>
    <row r="566" spans="1:46" ht="13.8">
      <c r="A566" s="83"/>
      <c r="B566" s="83"/>
      <c r="C566" s="83"/>
      <c r="D566" s="83"/>
      <c r="E566" s="82"/>
      <c r="F566" s="82"/>
      <c r="G566" s="83"/>
      <c r="H566" s="83"/>
      <c r="I566" s="83"/>
      <c r="J566" s="83"/>
      <c r="K566" s="83"/>
      <c r="L566" s="83"/>
      <c r="M566" s="83"/>
      <c r="N566" s="83"/>
      <c r="O566" s="83"/>
      <c r="P566" s="83"/>
      <c r="Q566" s="83"/>
      <c r="R566" s="83"/>
      <c r="S566" s="83"/>
      <c r="T566" s="83"/>
      <c r="U566" s="83"/>
      <c r="V566" s="83"/>
      <c r="W566" s="83"/>
      <c r="X566" s="83"/>
      <c r="Y566" s="83"/>
      <c r="Z566" s="83"/>
      <c r="AA566" s="83"/>
      <c r="AB566" s="83"/>
      <c r="AC566" s="83"/>
      <c r="AD566" s="83"/>
      <c r="AE566" s="83"/>
      <c r="AF566" s="83"/>
      <c r="AG566" s="83"/>
      <c r="AH566" s="83"/>
      <c r="AI566" s="83"/>
      <c r="AJ566" s="83"/>
      <c r="AK566" s="83"/>
      <c r="AL566" s="83"/>
      <c r="AM566" s="83"/>
      <c r="AN566" s="83"/>
      <c r="AO566" s="83"/>
      <c r="AP566" s="83"/>
      <c r="AQ566" s="83"/>
      <c r="AR566" s="83"/>
      <c r="AS566" s="83"/>
      <c r="AT566" s="83"/>
    </row>
    <row r="567" spans="1:46" ht="13.8">
      <c r="A567" s="83"/>
      <c r="B567" s="83"/>
      <c r="C567" s="83"/>
      <c r="D567" s="83"/>
      <c r="E567" s="82"/>
      <c r="F567" s="82"/>
      <c r="G567" s="83"/>
      <c r="H567" s="83"/>
      <c r="I567" s="83"/>
      <c r="J567" s="83"/>
      <c r="K567" s="83"/>
      <c r="L567" s="83"/>
      <c r="M567" s="83"/>
      <c r="N567" s="83"/>
      <c r="O567" s="83"/>
      <c r="P567" s="83"/>
      <c r="Q567" s="83"/>
      <c r="R567" s="83"/>
      <c r="S567" s="83"/>
      <c r="T567" s="83"/>
      <c r="U567" s="83"/>
      <c r="V567" s="83"/>
      <c r="W567" s="83"/>
      <c r="X567" s="83"/>
      <c r="Y567" s="83"/>
      <c r="Z567" s="83"/>
      <c r="AA567" s="83"/>
      <c r="AB567" s="83"/>
      <c r="AC567" s="83"/>
      <c r="AD567" s="83"/>
      <c r="AE567" s="83"/>
      <c r="AF567" s="83"/>
      <c r="AG567" s="83"/>
      <c r="AH567" s="83"/>
      <c r="AI567" s="83"/>
      <c r="AJ567" s="83"/>
      <c r="AK567" s="83"/>
      <c r="AL567" s="83"/>
      <c r="AM567" s="83"/>
      <c r="AN567" s="83"/>
      <c r="AO567" s="83"/>
      <c r="AP567" s="83"/>
      <c r="AQ567" s="83"/>
      <c r="AR567" s="83"/>
      <c r="AS567" s="83"/>
      <c r="AT567" s="83"/>
    </row>
    <row r="568" spans="1:46" ht="13.8">
      <c r="A568" s="83"/>
      <c r="B568" s="83"/>
      <c r="C568" s="83"/>
      <c r="D568" s="83"/>
      <c r="E568" s="82"/>
      <c r="F568" s="82"/>
      <c r="G568" s="83"/>
      <c r="H568" s="83"/>
      <c r="I568" s="83"/>
      <c r="J568" s="83"/>
      <c r="K568" s="83"/>
      <c r="L568" s="83"/>
      <c r="M568" s="83"/>
      <c r="N568" s="83"/>
      <c r="O568" s="83"/>
      <c r="P568" s="83"/>
      <c r="Q568" s="83"/>
      <c r="R568" s="83"/>
      <c r="S568" s="83"/>
      <c r="T568" s="83"/>
      <c r="U568" s="83"/>
      <c r="V568" s="83"/>
      <c r="W568" s="83"/>
      <c r="X568" s="83"/>
      <c r="Y568" s="83"/>
      <c r="Z568" s="83"/>
      <c r="AA568" s="83"/>
      <c r="AB568" s="83"/>
      <c r="AC568" s="83"/>
      <c r="AD568" s="83"/>
      <c r="AE568" s="83"/>
      <c r="AF568" s="83"/>
      <c r="AG568" s="83"/>
      <c r="AH568" s="83"/>
      <c r="AI568" s="83"/>
      <c r="AJ568" s="83"/>
      <c r="AK568" s="83"/>
      <c r="AL568" s="83"/>
      <c r="AM568" s="83"/>
      <c r="AN568" s="83"/>
      <c r="AO568" s="83"/>
      <c r="AP568" s="83"/>
      <c r="AQ568" s="83"/>
      <c r="AR568" s="83"/>
      <c r="AS568" s="83"/>
      <c r="AT568" s="83"/>
    </row>
    <row r="569" spans="1:46" ht="13.8">
      <c r="A569" s="83"/>
      <c r="B569" s="83"/>
      <c r="C569" s="83"/>
      <c r="D569" s="83"/>
      <c r="E569" s="82"/>
      <c r="F569" s="82"/>
      <c r="G569" s="83"/>
      <c r="H569" s="83"/>
      <c r="I569" s="83"/>
      <c r="J569" s="83"/>
      <c r="K569" s="83"/>
      <c r="L569" s="83"/>
      <c r="M569" s="83"/>
      <c r="N569" s="83"/>
      <c r="O569" s="83"/>
      <c r="P569" s="83"/>
      <c r="Q569" s="83"/>
      <c r="R569" s="83"/>
      <c r="S569" s="83"/>
      <c r="T569" s="83"/>
      <c r="U569" s="83"/>
      <c r="V569" s="83"/>
      <c r="W569" s="83"/>
      <c r="X569" s="83"/>
      <c r="Y569" s="83"/>
      <c r="Z569" s="83"/>
      <c r="AA569" s="83"/>
      <c r="AB569" s="83"/>
      <c r="AC569" s="83"/>
      <c r="AD569" s="83"/>
      <c r="AE569" s="83"/>
      <c r="AF569" s="83"/>
      <c r="AG569" s="83"/>
      <c r="AH569" s="83"/>
      <c r="AI569" s="83"/>
      <c r="AJ569" s="83"/>
      <c r="AK569" s="83"/>
      <c r="AL569" s="83"/>
      <c r="AM569" s="83"/>
      <c r="AN569" s="83"/>
      <c r="AO569" s="83"/>
      <c r="AP569" s="83"/>
      <c r="AQ569" s="83"/>
      <c r="AR569" s="83"/>
      <c r="AS569" s="83"/>
      <c r="AT569" s="83"/>
    </row>
    <row r="570" spans="1:46" ht="13.8">
      <c r="A570" s="83"/>
      <c r="B570" s="83"/>
      <c r="C570" s="83"/>
      <c r="D570" s="83"/>
      <c r="E570" s="82"/>
      <c r="F570" s="82"/>
      <c r="G570" s="83"/>
      <c r="H570" s="83"/>
      <c r="I570" s="83"/>
      <c r="J570" s="83"/>
      <c r="K570" s="83"/>
      <c r="L570" s="83"/>
      <c r="M570" s="83"/>
      <c r="N570" s="83"/>
      <c r="O570" s="83"/>
      <c r="P570" s="83"/>
      <c r="Q570" s="83"/>
      <c r="R570" s="83"/>
      <c r="S570" s="83"/>
      <c r="T570" s="83"/>
      <c r="U570" s="83"/>
      <c r="V570" s="83"/>
      <c r="W570" s="83"/>
      <c r="X570" s="83"/>
      <c r="Y570" s="83"/>
      <c r="Z570" s="83"/>
      <c r="AA570" s="83"/>
      <c r="AB570" s="83"/>
      <c r="AC570" s="83"/>
      <c r="AD570" s="83"/>
      <c r="AE570" s="83"/>
      <c r="AF570" s="83"/>
      <c r="AG570" s="83"/>
      <c r="AH570" s="83"/>
      <c r="AI570" s="83"/>
      <c r="AJ570" s="83"/>
      <c r="AK570" s="83"/>
      <c r="AL570" s="83"/>
      <c r="AM570" s="83"/>
      <c r="AN570" s="83"/>
      <c r="AO570" s="83"/>
      <c r="AP570" s="83"/>
      <c r="AQ570" s="83"/>
      <c r="AR570" s="83"/>
      <c r="AS570" s="83"/>
      <c r="AT570" s="83"/>
    </row>
    <row r="571" spans="1:46" ht="13.8">
      <c r="A571" s="83"/>
      <c r="B571" s="83"/>
      <c r="C571" s="83"/>
      <c r="D571" s="83"/>
      <c r="E571" s="82"/>
      <c r="F571" s="82"/>
      <c r="G571" s="83"/>
      <c r="H571" s="83"/>
      <c r="I571" s="83"/>
      <c r="J571" s="83"/>
      <c r="K571" s="83"/>
      <c r="L571" s="83"/>
      <c r="M571" s="83"/>
      <c r="N571" s="83"/>
      <c r="O571" s="83"/>
      <c r="P571" s="83"/>
      <c r="Q571" s="83"/>
      <c r="R571" s="83"/>
      <c r="S571" s="83"/>
      <c r="T571" s="83"/>
      <c r="U571" s="83"/>
      <c r="V571" s="83"/>
      <c r="W571" s="83"/>
      <c r="X571" s="83"/>
      <c r="Y571" s="83"/>
      <c r="Z571" s="83"/>
      <c r="AA571" s="83"/>
      <c r="AB571" s="83"/>
      <c r="AC571" s="83"/>
      <c r="AD571" s="83"/>
      <c r="AE571" s="83"/>
      <c r="AF571" s="83"/>
      <c r="AG571" s="83"/>
      <c r="AH571" s="83"/>
      <c r="AI571" s="83"/>
      <c r="AJ571" s="83"/>
      <c r="AK571" s="83"/>
      <c r="AL571" s="83"/>
      <c r="AM571" s="83"/>
      <c r="AN571" s="83"/>
      <c r="AO571" s="83"/>
      <c r="AP571" s="83"/>
      <c r="AQ571" s="83"/>
      <c r="AR571" s="83"/>
      <c r="AS571" s="83"/>
      <c r="AT571" s="83"/>
    </row>
    <row r="572" spans="1:46" ht="13.8">
      <c r="A572" s="83"/>
      <c r="B572" s="83"/>
      <c r="C572" s="83"/>
      <c r="D572" s="83"/>
      <c r="E572" s="82"/>
      <c r="F572" s="82"/>
      <c r="G572" s="83"/>
      <c r="H572" s="83"/>
      <c r="I572" s="83"/>
      <c r="J572" s="83"/>
      <c r="K572" s="83"/>
      <c r="L572" s="83"/>
      <c r="M572" s="83"/>
      <c r="N572" s="83"/>
      <c r="O572" s="83"/>
      <c r="P572" s="83"/>
      <c r="Q572" s="83"/>
      <c r="R572" s="83"/>
      <c r="S572" s="83"/>
      <c r="T572" s="83"/>
      <c r="U572" s="83"/>
      <c r="V572" s="83"/>
      <c r="W572" s="83"/>
      <c r="X572" s="83"/>
      <c r="Y572" s="83"/>
      <c r="Z572" s="83"/>
      <c r="AA572" s="83"/>
      <c r="AB572" s="83"/>
      <c r="AC572" s="83"/>
      <c r="AD572" s="83"/>
      <c r="AE572" s="83"/>
      <c r="AF572" s="83"/>
      <c r="AG572" s="83"/>
      <c r="AH572" s="83"/>
      <c r="AI572" s="83"/>
      <c r="AJ572" s="83"/>
      <c r="AK572" s="83"/>
      <c r="AL572" s="83"/>
      <c r="AM572" s="83"/>
      <c r="AN572" s="83"/>
      <c r="AO572" s="83"/>
      <c r="AP572" s="83"/>
      <c r="AQ572" s="83"/>
      <c r="AR572" s="83"/>
      <c r="AS572" s="83"/>
      <c r="AT572" s="83"/>
    </row>
    <row r="573" spans="1:46" ht="13.8">
      <c r="A573" s="83"/>
      <c r="B573" s="83"/>
      <c r="C573" s="83"/>
      <c r="D573" s="83"/>
      <c r="E573" s="82"/>
      <c r="F573" s="82"/>
      <c r="G573" s="83"/>
      <c r="H573" s="83"/>
      <c r="I573" s="83"/>
      <c r="J573" s="83"/>
      <c r="K573" s="83"/>
      <c r="L573" s="83"/>
      <c r="M573" s="83"/>
      <c r="N573" s="83"/>
      <c r="O573" s="83"/>
      <c r="P573" s="83"/>
      <c r="Q573" s="83"/>
      <c r="R573" s="83"/>
      <c r="S573" s="83"/>
      <c r="T573" s="83"/>
      <c r="U573" s="83"/>
      <c r="V573" s="83"/>
      <c r="W573" s="83"/>
      <c r="X573" s="83"/>
      <c r="Y573" s="83"/>
      <c r="Z573" s="83"/>
      <c r="AA573" s="83"/>
      <c r="AB573" s="83"/>
      <c r="AC573" s="83"/>
      <c r="AD573" s="83"/>
      <c r="AE573" s="83"/>
      <c r="AF573" s="83"/>
      <c r="AG573" s="83"/>
      <c r="AH573" s="83"/>
      <c r="AI573" s="83"/>
      <c r="AJ573" s="83"/>
      <c r="AK573" s="83"/>
      <c r="AL573" s="83"/>
      <c r="AM573" s="83"/>
      <c r="AN573" s="83"/>
      <c r="AO573" s="83"/>
      <c r="AP573" s="83"/>
      <c r="AQ573" s="83"/>
      <c r="AR573" s="83"/>
      <c r="AS573" s="83"/>
      <c r="AT573" s="83"/>
    </row>
    <row r="574" spans="1:46" ht="13.8">
      <c r="A574" s="83"/>
      <c r="B574" s="83"/>
      <c r="C574" s="83"/>
      <c r="D574" s="83"/>
      <c r="E574" s="82"/>
      <c r="F574" s="82"/>
      <c r="G574" s="83"/>
      <c r="H574" s="83"/>
      <c r="I574" s="83"/>
      <c r="J574" s="83"/>
      <c r="K574" s="83"/>
      <c r="L574" s="83"/>
      <c r="M574" s="83"/>
      <c r="N574" s="83"/>
      <c r="O574" s="83"/>
      <c r="P574" s="83"/>
      <c r="Q574" s="83"/>
      <c r="R574" s="83"/>
      <c r="S574" s="83"/>
      <c r="T574" s="83"/>
      <c r="U574" s="83"/>
      <c r="V574" s="83"/>
      <c r="W574" s="83"/>
      <c r="X574" s="83"/>
      <c r="Y574" s="83"/>
      <c r="Z574" s="83"/>
      <c r="AA574" s="83"/>
      <c r="AB574" s="83"/>
      <c r="AC574" s="83"/>
      <c r="AD574" s="83"/>
      <c r="AE574" s="83"/>
      <c r="AF574" s="83"/>
      <c r="AG574" s="83"/>
      <c r="AH574" s="83"/>
      <c r="AI574" s="83"/>
      <c r="AJ574" s="83"/>
      <c r="AK574" s="83"/>
      <c r="AL574" s="83"/>
      <c r="AM574" s="83"/>
      <c r="AN574" s="83"/>
      <c r="AO574" s="83"/>
      <c r="AP574" s="83"/>
      <c r="AQ574" s="83"/>
      <c r="AR574" s="83"/>
      <c r="AS574" s="83"/>
      <c r="AT574" s="83"/>
    </row>
    <row r="575" spans="1:46" ht="13.8">
      <c r="A575" s="83"/>
      <c r="B575" s="83"/>
      <c r="C575" s="83"/>
      <c r="D575" s="83"/>
      <c r="E575" s="82"/>
      <c r="F575" s="82"/>
      <c r="G575" s="83"/>
      <c r="H575" s="83"/>
      <c r="I575" s="83"/>
      <c r="J575" s="83"/>
      <c r="K575" s="83"/>
      <c r="L575" s="83"/>
      <c r="M575" s="83"/>
      <c r="N575" s="83"/>
      <c r="O575" s="83"/>
      <c r="P575" s="83"/>
      <c r="Q575" s="83"/>
      <c r="R575" s="83"/>
      <c r="S575" s="83"/>
      <c r="T575" s="83"/>
      <c r="U575" s="83"/>
      <c r="V575" s="83"/>
      <c r="W575" s="83"/>
      <c r="X575" s="83"/>
      <c r="Y575" s="83"/>
      <c r="Z575" s="83"/>
      <c r="AA575" s="83"/>
      <c r="AB575" s="83"/>
      <c r="AC575" s="83"/>
      <c r="AD575" s="83"/>
      <c r="AE575" s="83"/>
      <c r="AF575" s="83"/>
      <c r="AG575" s="83"/>
      <c r="AH575" s="83"/>
      <c r="AI575" s="83"/>
      <c r="AJ575" s="83"/>
      <c r="AK575" s="83"/>
      <c r="AL575" s="83"/>
      <c r="AM575" s="83"/>
      <c r="AN575" s="83"/>
      <c r="AO575" s="83"/>
      <c r="AP575" s="83"/>
      <c r="AQ575" s="83"/>
      <c r="AR575" s="83"/>
      <c r="AS575" s="83"/>
      <c r="AT575" s="83"/>
    </row>
    <row r="576" spans="1:46" ht="13.8">
      <c r="A576" s="83"/>
      <c r="B576" s="83"/>
      <c r="C576" s="83"/>
      <c r="D576" s="83"/>
      <c r="E576" s="82"/>
      <c r="F576" s="82"/>
      <c r="G576" s="83"/>
      <c r="H576" s="83"/>
      <c r="I576" s="83"/>
      <c r="J576" s="83"/>
      <c r="K576" s="83"/>
      <c r="L576" s="83"/>
      <c r="M576" s="83"/>
      <c r="N576" s="83"/>
      <c r="O576" s="83"/>
      <c r="P576" s="83"/>
      <c r="Q576" s="83"/>
      <c r="R576" s="83"/>
      <c r="S576" s="83"/>
      <c r="T576" s="83"/>
      <c r="U576" s="83"/>
      <c r="V576" s="83"/>
      <c r="W576" s="83"/>
      <c r="X576" s="83"/>
      <c r="Y576" s="83"/>
      <c r="Z576" s="83"/>
      <c r="AA576" s="83"/>
      <c r="AB576" s="83"/>
      <c r="AC576" s="83"/>
      <c r="AD576" s="83"/>
      <c r="AE576" s="83"/>
      <c r="AF576" s="83"/>
      <c r="AG576" s="83"/>
      <c r="AH576" s="83"/>
      <c r="AI576" s="83"/>
      <c r="AJ576" s="83"/>
      <c r="AK576" s="83"/>
      <c r="AL576" s="83"/>
      <c r="AM576" s="83"/>
      <c r="AN576" s="83"/>
      <c r="AO576" s="83"/>
      <c r="AP576" s="83"/>
      <c r="AQ576" s="83"/>
      <c r="AR576" s="83"/>
      <c r="AS576" s="83"/>
      <c r="AT576" s="83"/>
    </row>
    <row r="577" spans="1:46" ht="13.8">
      <c r="A577" s="83"/>
      <c r="B577" s="83"/>
      <c r="C577" s="83"/>
      <c r="D577" s="83"/>
      <c r="E577" s="82"/>
      <c r="F577" s="82"/>
      <c r="G577" s="83"/>
      <c r="H577" s="83"/>
      <c r="I577" s="83"/>
      <c r="J577" s="83"/>
      <c r="K577" s="83"/>
      <c r="L577" s="83"/>
      <c r="M577" s="83"/>
      <c r="N577" s="83"/>
      <c r="O577" s="83"/>
      <c r="P577" s="83"/>
      <c r="Q577" s="83"/>
      <c r="R577" s="83"/>
      <c r="S577" s="83"/>
      <c r="T577" s="83"/>
      <c r="U577" s="83"/>
      <c r="V577" s="83"/>
      <c r="W577" s="83"/>
      <c r="X577" s="83"/>
      <c r="Y577" s="83"/>
      <c r="Z577" s="83"/>
      <c r="AA577" s="83"/>
      <c r="AB577" s="83"/>
      <c r="AC577" s="83"/>
      <c r="AD577" s="83"/>
      <c r="AE577" s="83"/>
      <c r="AF577" s="83"/>
      <c r="AG577" s="83"/>
      <c r="AH577" s="83"/>
      <c r="AI577" s="83"/>
      <c r="AJ577" s="83"/>
      <c r="AK577" s="83"/>
      <c r="AL577" s="83"/>
      <c r="AM577" s="83"/>
      <c r="AN577" s="83"/>
      <c r="AO577" s="83"/>
      <c r="AP577" s="83"/>
      <c r="AQ577" s="83"/>
      <c r="AR577" s="83"/>
      <c r="AS577" s="83"/>
      <c r="AT577" s="83"/>
    </row>
    <row r="578" spans="1:46" ht="13.8">
      <c r="A578" s="83"/>
      <c r="B578" s="83"/>
      <c r="C578" s="83"/>
      <c r="D578" s="83"/>
      <c r="E578" s="82"/>
      <c r="F578" s="82"/>
      <c r="G578" s="83"/>
      <c r="H578" s="83"/>
      <c r="I578" s="83"/>
      <c r="J578" s="83"/>
      <c r="K578" s="83"/>
      <c r="L578" s="83"/>
      <c r="M578" s="83"/>
      <c r="N578" s="83"/>
      <c r="O578" s="83"/>
      <c r="P578" s="83"/>
      <c r="Q578" s="83"/>
      <c r="R578" s="83"/>
      <c r="S578" s="83"/>
      <c r="T578" s="83"/>
      <c r="U578" s="83"/>
      <c r="V578" s="83"/>
      <c r="W578" s="83"/>
      <c r="X578" s="83"/>
      <c r="Y578" s="83"/>
      <c r="Z578" s="83"/>
      <c r="AA578" s="83"/>
      <c r="AB578" s="83"/>
      <c r="AC578" s="83"/>
      <c r="AD578" s="83"/>
      <c r="AE578" s="83"/>
      <c r="AF578" s="83"/>
      <c r="AG578" s="83"/>
      <c r="AH578" s="83"/>
      <c r="AI578" s="83"/>
      <c r="AJ578" s="83"/>
      <c r="AK578" s="83"/>
      <c r="AL578" s="83"/>
      <c r="AM578" s="83"/>
      <c r="AN578" s="83"/>
      <c r="AO578" s="83"/>
      <c r="AP578" s="83"/>
      <c r="AQ578" s="83"/>
      <c r="AR578" s="83"/>
      <c r="AS578" s="83"/>
      <c r="AT578" s="83"/>
    </row>
    <row r="579" spans="1:46" ht="13.8">
      <c r="A579" s="83"/>
      <c r="B579" s="83"/>
      <c r="C579" s="83"/>
      <c r="D579" s="83"/>
      <c r="E579" s="82"/>
      <c r="F579" s="82"/>
      <c r="G579" s="83"/>
      <c r="H579" s="83"/>
      <c r="I579" s="83"/>
      <c r="J579" s="83"/>
      <c r="K579" s="83"/>
      <c r="L579" s="83"/>
      <c r="M579" s="83"/>
      <c r="N579" s="83"/>
      <c r="O579" s="83"/>
      <c r="P579" s="83"/>
      <c r="Q579" s="83"/>
      <c r="R579" s="83"/>
      <c r="S579" s="83"/>
      <c r="T579" s="83"/>
      <c r="U579" s="83"/>
      <c r="V579" s="83"/>
      <c r="W579" s="83"/>
      <c r="X579" s="83"/>
      <c r="Y579" s="83"/>
      <c r="Z579" s="83"/>
      <c r="AA579" s="83"/>
      <c r="AB579" s="83"/>
      <c r="AC579" s="83"/>
      <c r="AD579" s="83"/>
      <c r="AE579" s="83"/>
      <c r="AF579" s="83"/>
      <c r="AG579" s="83"/>
      <c r="AH579" s="83"/>
      <c r="AI579" s="83"/>
      <c r="AJ579" s="83"/>
      <c r="AK579" s="83"/>
      <c r="AL579" s="83"/>
      <c r="AM579" s="83"/>
      <c r="AN579" s="83"/>
      <c r="AO579" s="83"/>
      <c r="AP579" s="83"/>
      <c r="AQ579" s="83"/>
      <c r="AR579" s="83"/>
      <c r="AS579" s="83"/>
      <c r="AT579" s="83"/>
    </row>
    <row r="580" spans="1:46" ht="13.8">
      <c r="A580" s="83"/>
      <c r="B580" s="83"/>
      <c r="C580" s="83"/>
      <c r="D580" s="83"/>
      <c r="E580" s="82"/>
      <c r="F580" s="82"/>
      <c r="G580" s="83"/>
      <c r="H580" s="83"/>
      <c r="I580" s="83"/>
      <c r="J580" s="83"/>
      <c r="K580" s="83"/>
      <c r="L580" s="83"/>
      <c r="M580" s="83"/>
      <c r="N580" s="83"/>
      <c r="O580" s="83"/>
      <c r="P580" s="83"/>
      <c r="Q580" s="83"/>
      <c r="R580" s="83"/>
      <c r="S580" s="83"/>
      <c r="T580" s="83"/>
      <c r="U580" s="83"/>
      <c r="V580" s="83"/>
      <c r="W580" s="83"/>
      <c r="X580" s="83"/>
      <c r="Y580" s="83"/>
      <c r="Z580" s="83"/>
      <c r="AA580" s="83"/>
      <c r="AB580" s="83"/>
      <c r="AC580" s="83"/>
      <c r="AD580" s="83"/>
      <c r="AE580" s="83"/>
      <c r="AF580" s="83"/>
      <c r="AG580" s="83"/>
      <c r="AH580" s="83"/>
      <c r="AI580" s="83"/>
      <c r="AJ580" s="83"/>
      <c r="AK580" s="83"/>
      <c r="AL580" s="83"/>
      <c r="AM580" s="83"/>
      <c r="AN580" s="83"/>
      <c r="AO580" s="83"/>
      <c r="AP580" s="83"/>
      <c r="AQ580" s="83"/>
      <c r="AR580" s="83"/>
      <c r="AS580" s="83"/>
      <c r="AT580" s="83"/>
    </row>
    <row r="581" spans="1:46" ht="13.8">
      <c r="A581" s="83"/>
      <c r="B581" s="83"/>
      <c r="C581" s="83"/>
      <c r="D581" s="83"/>
      <c r="E581" s="82"/>
      <c r="F581" s="82"/>
      <c r="G581" s="83"/>
      <c r="H581" s="83"/>
      <c r="I581" s="83"/>
      <c r="J581" s="83"/>
      <c r="K581" s="83"/>
      <c r="L581" s="83"/>
      <c r="M581" s="83"/>
      <c r="N581" s="83"/>
      <c r="O581" s="83"/>
      <c r="P581" s="83"/>
      <c r="Q581" s="83"/>
      <c r="R581" s="83"/>
      <c r="S581" s="83"/>
      <c r="T581" s="83"/>
      <c r="U581" s="83"/>
      <c r="V581" s="83"/>
      <c r="W581" s="83"/>
      <c r="X581" s="83"/>
      <c r="Y581" s="83"/>
      <c r="Z581" s="83"/>
      <c r="AA581" s="83"/>
      <c r="AB581" s="83"/>
      <c r="AC581" s="83"/>
      <c r="AD581" s="83"/>
      <c r="AE581" s="83"/>
      <c r="AF581" s="83"/>
      <c r="AG581" s="83"/>
      <c r="AH581" s="83"/>
      <c r="AI581" s="83"/>
      <c r="AJ581" s="83"/>
      <c r="AK581" s="83"/>
      <c r="AL581" s="83"/>
      <c r="AM581" s="83"/>
      <c r="AN581" s="83"/>
      <c r="AO581" s="83"/>
      <c r="AP581" s="83"/>
      <c r="AQ581" s="83"/>
      <c r="AR581" s="83"/>
      <c r="AS581" s="83"/>
      <c r="AT581" s="83"/>
    </row>
    <row r="582" spans="1:46" ht="13.8">
      <c r="A582" s="83"/>
      <c r="B582" s="83"/>
      <c r="C582" s="83"/>
      <c r="D582" s="83"/>
      <c r="E582" s="82"/>
      <c r="F582" s="82"/>
      <c r="G582" s="83"/>
      <c r="H582" s="83"/>
      <c r="I582" s="83"/>
      <c r="J582" s="83"/>
      <c r="K582" s="83"/>
      <c r="L582" s="83"/>
      <c r="M582" s="83"/>
      <c r="N582" s="83"/>
      <c r="O582" s="83"/>
      <c r="P582" s="83"/>
      <c r="Q582" s="83"/>
      <c r="R582" s="83"/>
      <c r="S582" s="83"/>
      <c r="T582" s="83"/>
      <c r="U582" s="83"/>
      <c r="V582" s="83"/>
      <c r="W582" s="83"/>
      <c r="X582" s="83"/>
      <c r="Y582" s="83"/>
      <c r="Z582" s="83"/>
      <c r="AA582" s="83"/>
      <c r="AB582" s="83"/>
      <c r="AC582" s="83"/>
      <c r="AD582" s="83"/>
      <c r="AE582" s="83"/>
      <c r="AF582" s="83"/>
      <c r="AG582" s="83"/>
      <c r="AH582" s="83"/>
      <c r="AI582" s="83"/>
      <c r="AJ582" s="83"/>
      <c r="AK582" s="83"/>
      <c r="AL582" s="83"/>
      <c r="AM582" s="83"/>
      <c r="AN582" s="83"/>
      <c r="AO582" s="83"/>
      <c r="AP582" s="83"/>
      <c r="AQ582" s="83"/>
      <c r="AR582" s="83"/>
      <c r="AS582" s="83"/>
      <c r="AT582" s="83"/>
    </row>
    <row r="583" spans="1:46" ht="13.8">
      <c r="A583" s="83"/>
      <c r="B583" s="83"/>
      <c r="C583" s="83"/>
      <c r="D583" s="83"/>
      <c r="E583" s="82"/>
      <c r="F583" s="82"/>
      <c r="G583" s="83"/>
      <c r="H583" s="83"/>
      <c r="I583" s="83"/>
      <c r="J583" s="83"/>
      <c r="K583" s="83"/>
      <c r="L583" s="83"/>
      <c r="M583" s="83"/>
      <c r="N583" s="83"/>
      <c r="O583" s="83"/>
      <c r="P583" s="83"/>
      <c r="Q583" s="83"/>
      <c r="R583" s="83"/>
      <c r="S583" s="83"/>
      <c r="T583" s="83"/>
      <c r="U583" s="83"/>
      <c r="V583" s="83"/>
      <c r="W583" s="83"/>
      <c r="X583" s="83"/>
      <c r="Y583" s="83"/>
      <c r="Z583" s="83"/>
      <c r="AA583" s="83"/>
      <c r="AB583" s="83"/>
      <c r="AC583" s="83"/>
      <c r="AD583" s="83"/>
      <c r="AE583" s="83"/>
      <c r="AF583" s="83"/>
      <c r="AG583" s="83"/>
      <c r="AH583" s="83"/>
      <c r="AI583" s="83"/>
      <c r="AJ583" s="83"/>
      <c r="AK583" s="83"/>
      <c r="AL583" s="83"/>
      <c r="AM583" s="83"/>
      <c r="AN583" s="83"/>
      <c r="AO583" s="83"/>
      <c r="AP583" s="83"/>
      <c r="AQ583" s="83"/>
      <c r="AR583" s="83"/>
      <c r="AS583" s="83"/>
      <c r="AT583" s="83"/>
    </row>
    <row r="584" spans="1:46" ht="13.8">
      <c r="A584" s="83"/>
      <c r="B584" s="83"/>
      <c r="C584" s="83"/>
      <c r="D584" s="83"/>
      <c r="E584" s="82"/>
      <c r="F584" s="82"/>
      <c r="G584" s="83"/>
      <c r="H584" s="83"/>
      <c r="I584" s="83"/>
      <c r="J584" s="83"/>
      <c r="K584" s="83"/>
      <c r="L584" s="83"/>
      <c r="M584" s="83"/>
      <c r="N584" s="83"/>
      <c r="O584" s="83"/>
      <c r="P584" s="83"/>
      <c r="Q584" s="83"/>
      <c r="R584" s="83"/>
      <c r="S584" s="83"/>
      <c r="T584" s="83"/>
      <c r="U584" s="83"/>
      <c r="V584" s="83"/>
      <c r="W584" s="83"/>
      <c r="X584" s="83"/>
      <c r="Y584" s="83"/>
      <c r="Z584" s="83"/>
      <c r="AA584" s="83"/>
      <c r="AB584" s="83"/>
      <c r="AC584" s="83"/>
      <c r="AD584" s="83"/>
      <c r="AE584" s="83"/>
      <c r="AF584" s="83"/>
      <c r="AG584" s="83"/>
      <c r="AH584" s="83"/>
      <c r="AI584" s="83"/>
      <c r="AJ584" s="83"/>
      <c r="AK584" s="83"/>
      <c r="AL584" s="83"/>
      <c r="AM584" s="83"/>
      <c r="AN584" s="83"/>
      <c r="AO584" s="83"/>
      <c r="AP584" s="83"/>
      <c r="AQ584" s="83"/>
      <c r="AR584" s="83"/>
      <c r="AS584" s="83"/>
      <c r="AT584" s="83"/>
    </row>
    <row r="585" spans="1:46" ht="13.8">
      <c r="A585" s="83"/>
      <c r="B585" s="83"/>
      <c r="C585" s="83"/>
      <c r="D585" s="83"/>
      <c r="E585" s="82"/>
      <c r="F585" s="82"/>
      <c r="G585" s="83"/>
      <c r="H585" s="83"/>
      <c r="I585" s="83"/>
      <c r="J585" s="83"/>
      <c r="K585" s="83"/>
      <c r="L585" s="83"/>
      <c r="M585" s="83"/>
      <c r="N585" s="83"/>
      <c r="O585" s="83"/>
      <c r="P585" s="83"/>
      <c r="Q585" s="83"/>
      <c r="R585" s="83"/>
      <c r="S585" s="83"/>
      <c r="T585" s="83"/>
      <c r="U585" s="83"/>
      <c r="V585" s="83"/>
      <c r="W585" s="83"/>
      <c r="X585" s="83"/>
      <c r="Y585" s="83"/>
      <c r="Z585" s="83"/>
      <c r="AA585" s="83"/>
      <c r="AB585" s="83"/>
      <c r="AC585" s="83"/>
      <c r="AD585" s="83"/>
      <c r="AE585" s="83"/>
      <c r="AF585" s="83"/>
      <c r="AG585" s="83"/>
      <c r="AH585" s="83"/>
      <c r="AI585" s="83"/>
      <c r="AJ585" s="83"/>
      <c r="AK585" s="83"/>
      <c r="AL585" s="83"/>
      <c r="AM585" s="83"/>
      <c r="AN585" s="83"/>
      <c r="AO585" s="83"/>
      <c r="AP585" s="83"/>
      <c r="AQ585" s="83"/>
      <c r="AR585" s="83"/>
      <c r="AS585" s="83"/>
      <c r="AT585" s="83"/>
    </row>
    <row r="586" spans="1:46" ht="13.8">
      <c r="A586" s="83"/>
      <c r="B586" s="83"/>
      <c r="C586" s="83"/>
      <c r="D586" s="83"/>
      <c r="E586" s="82"/>
      <c r="F586" s="82"/>
      <c r="G586" s="83"/>
      <c r="H586" s="83"/>
      <c r="I586" s="83"/>
      <c r="J586" s="83"/>
      <c r="K586" s="83"/>
      <c r="L586" s="83"/>
      <c r="M586" s="83"/>
      <c r="N586" s="83"/>
      <c r="O586" s="83"/>
      <c r="P586" s="83"/>
      <c r="Q586" s="83"/>
      <c r="R586" s="83"/>
      <c r="S586" s="83"/>
      <c r="T586" s="83"/>
      <c r="U586" s="83"/>
      <c r="V586" s="83"/>
      <c r="W586" s="83"/>
      <c r="X586" s="83"/>
      <c r="Y586" s="83"/>
      <c r="Z586" s="83"/>
      <c r="AA586" s="83"/>
      <c r="AB586" s="83"/>
      <c r="AC586" s="83"/>
      <c r="AD586" s="83"/>
      <c r="AE586" s="83"/>
      <c r="AF586" s="83"/>
      <c r="AG586" s="83"/>
      <c r="AH586" s="83"/>
      <c r="AI586" s="83"/>
      <c r="AJ586" s="83"/>
      <c r="AK586" s="83"/>
      <c r="AL586" s="83"/>
      <c r="AM586" s="83"/>
      <c r="AN586" s="83"/>
      <c r="AO586" s="83"/>
      <c r="AP586" s="83"/>
      <c r="AQ586" s="83"/>
      <c r="AR586" s="83"/>
      <c r="AS586" s="83"/>
      <c r="AT586" s="83"/>
    </row>
    <row r="587" spans="1:46" ht="13.8">
      <c r="A587" s="83"/>
      <c r="B587" s="83"/>
      <c r="C587" s="83"/>
      <c r="D587" s="83"/>
      <c r="E587" s="82"/>
      <c r="F587" s="82"/>
      <c r="G587" s="83"/>
      <c r="H587" s="83"/>
      <c r="I587" s="83"/>
      <c r="J587" s="83"/>
      <c r="K587" s="83"/>
      <c r="L587" s="83"/>
      <c r="M587" s="83"/>
      <c r="N587" s="83"/>
      <c r="O587" s="83"/>
      <c r="P587" s="83"/>
      <c r="Q587" s="83"/>
      <c r="R587" s="83"/>
      <c r="S587" s="83"/>
      <c r="T587" s="83"/>
      <c r="U587" s="83"/>
      <c r="V587" s="83"/>
      <c r="W587" s="83"/>
      <c r="X587" s="83"/>
      <c r="Y587" s="83"/>
      <c r="Z587" s="83"/>
      <c r="AA587" s="83"/>
      <c r="AB587" s="83"/>
      <c r="AC587" s="83"/>
      <c r="AD587" s="83"/>
      <c r="AE587" s="83"/>
      <c r="AF587" s="83"/>
      <c r="AG587" s="83"/>
      <c r="AH587" s="83"/>
      <c r="AI587" s="83"/>
      <c r="AJ587" s="83"/>
      <c r="AK587" s="83"/>
      <c r="AL587" s="83"/>
      <c r="AM587" s="83"/>
      <c r="AN587" s="83"/>
      <c r="AO587" s="83"/>
      <c r="AP587" s="83"/>
      <c r="AQ587" s="83"/>
      <c r="AR587" s="83"/>
      <c r="AS587" s="83"/>
      <c r="AT587" s="83"/>
    </row>
    <row r="588" spans="1:46" ht="13.8">
      <c r="A588" s="83"/>
      <c r="B588" s="83"/>
      <c r="C588" s="83"/>
      <c r="D588" s="83"/>
      <c r="E588" s="82"/>
      <c r="F588" s="82"/>
      <c r="G588" s="83"/>
      <c r="H588" s="83"/>
      <c r="I588" s="83"/>
      <c r="J588" s="83"/>
      <c r="K588" s="83"/>
      <c r="L588" s="83"/>
      <c r="M588" s="83"/>
      <c r="N588" s="83"/>
      <c r="O588" s="83"/>
      <c r="P588" s="83"/>
      <c r="Q588" s="83"/>
      <c r="R588" s="83"/>
      <c r="S588" s="83"/>
      <c r="T588" s="83"/>
      <c r="U588" s="83"/>
      <c r="V588" s="83"/>
      <c r="W588" s="83"/>
      <c r="X588" s="83"/>
      <c r="Y588" s="83"/>
      <c r="Z588" s="83"/>
      <c r="AA588" s="83"/>
      <c r="AB588" s="83"/>
      <c r="AC588" s="83"/>
      <c r="AD588" s="83"/>
      <c r="AE588" s="83"/>
      <c r="AF588" s="83"/>
      <c r="AG588" s="83"/>
      <c r="AH588" s="83"/>
      <c r="AI588" s="83"/>
      <c r="AJ588" s="83"/>
      <c r="AK588" s="83"/>
      <c r="AL588" s="83"/>
      <c r="AM588" s="83"/>
      <c r="AN588" s="83"/>
      <c r="AO588" s="83"/>
      <c r="AP588" s="83"/>
      <c r="AQ588" s="83"/>
      <c r="AR588" s="83"/>
      <c r="AS588" s="83"/>
      <c r="AT588" s="83"/>
    </row>
    <row r="589" spans="1:46" ht="13.8">
      <c r="A589" s="83"/>
      <c r="B589" s="83"/>
      <c r="C589" s="83"/>
      <c r="D589" s="83"/>
      <c r="E589" s="82"/>
      <c r="F589" s="82"/>
      <c r="G589" s="83"/>
      <c r="H589" s="83"/>
      <c r="I589" s="83"/>
      <c r="J589" s="83"/>
      <c r="K589" s="83"/>
      <c r="L589" s="83"/>
      <c r="M589" s="83"/>
      <c r="N589" s="83"/>
      <c r="O589" s="83"/>
      <c r="P589" s="83"/>
      <c r="Q589" s="83"/>
      <c r="R589" s="83"/>
      <c r="S589" s="83"/>
      <c r="T589" s="83"/>
      <c r="U589" s="83"/>
      <c r="V589" s="83"/>
      <c r="W589" s="83"/>
      <c r="X589" s="83"/>
      <c r="Y589" s="83"/>
      <c r="Z589" s="83"/>
      <c r="AA589" s="83"/>
      <c r="AB589" s="83"/>
      <c r="AC589" s="83"/>
      <c r="AD589" s="83"/>
      <c r="AE589" s="83"/>
      <c r="AF589" s="83"/>
      <c r="AG589" s="83"/>
      <c r="AH589" s="83"/>
      <c r="AI589" s="83"/>
      <c r="AJ589" s="83"/>
      <c r="AK589" s="83"/>
      <c r="AL589" s="83"/>
      <c r="AM589" s="83"/>
      <c r="AN589" s="83"/>
      <c r="AO589" s="83"/>
      <c r="AP589" s="83"/>
      <c r="AQ589" s="83"/>
      <c r="AR589" s="83"/>
      <c r="AS589" s="83"/>
      <c r="AT589" s="83"/>
    </row>
    <row r="590" spans="1:46" ht="13.8">
      <c r="A590" s="83"/>
      <c r="B590" s="83"/>
      <c r="C590" s="83"/>
      <c r="D590" s="83"/>
      <c r="E590" s="82"/>
      <c r="F590" s="82"/>
      <c r="G590" s="83"/>
      <c r="H590" s="83"/>
      <c r="I590" s="83"/>
      <c r="J590" s="83"/>
      <c r="K590" s="83"/>
      <c r="L590" s="83"/>
      <c r="M590" s="83"/>
      <c r="N590" s="83"/>
      <c r="O590" s="83"/>
      <c r="P590" s="83"/>
      <c r="Q590" s="83"/>
      <c r="R590" s="83"/>
      <c r="S590" s="83"/>
      <c r="T590" s="83"/>
      <c r="U590" s="83"/>
      <c r="V590" s="83"/>
      <c r="W590" s="83"/>
      <c r="X590" s="83"/>
      <c r="Y590" s="83"/>
      <c r="Z590" s="83"/>
      <c r="AA590" s="83"/>
      <c r="AB590" s="83"/>
      <c r="AC590" s="83"/>
      <c r="AD590" s="83"/>
      <c r="AE590" s="83"/>
      <c r="AF590" s="83"/>
      <c r="AG590" s="83"/>
      <c r="AH590" s="83"/>
      <c r="AI590" s="83"/>
      <c r="AJ590" s="83"/>
      <c r="AK590" s="83"/>
      <c r="AL590" s="83"/>
      <c r="AM590" s="83"/>
      <c r="AN590" s="83"/>
      <c r="AO590" s="83"/>
      <c r="AP590" s="83"/>
      <c r="AQ590" s="83"/>
      <c r="AR590" s="83"/>
      <c r="AS590" s="83"/>
      <c r="AT590" s="83"/>
    </row>
    <row r="591" spans="1:46" ht="13.8">
      <c r="A591" s="83"/>
      <c r="B591" s="83"/>
      <c r="C591" s="83"/>
      <c r="D591" s="83"/>
      <c r="E591" s="82"/>
      <c r="F591" s="82"/>
      <c r="G591" s="83"/>
      <c r="H591" s="83"/>
      <c r="I591" s="83"/>
      <c r="J591" s="83"/>
      <c r="K591" s="83"/>
      <c r="L591" s="83"/>
      <c r="M591" s="83"/>
      <c r="N591" s="83"/>
      <c r="O591" s="83"/>
      <c r="P591" s="83"/>
      <c r="Q591" s="83"/>
      <c r="R591" s="83"/>
      <c r="S591" s="83"/>
      <c r="T591" s="83"/>
      <c r="U591" s="83"/>
      <c r="V591" s="83"/>
      <c r="W591" s="83"/>
      <c r="X591" s="83"/>
      <c r="Y591" s="83"/>
      <c r="Z591" s="83"/>
      <c r="AA591" s="83"/>
      <c r="AB591" s="83"/>
      <c r="AC591" s="83"/>
      <c r="AD591" s="83"/>
      <c r="AE591" s="83"/>
      <c r="AF591" s="83"/>
      <c r="AG591" s="83"/>
      <c r="AH591" s="83"/>
      <c r="AI591" s="83"/>
      <c r="AJ591" s="83"/>
      <c r="AK591" s="83"/>
      <c r="AL591" s="83"/>
      <c r="AM591" s="83"/>
      <c r="AN591" s="83"/>
      <c r="AO591" s="83"/>
      <c r="AP591" s="83"/>
      <c r="AQ591" s="83"/>
      <c r="AR591" s="83"/>
      <c r="AS591" s="83"/>
      <c r="AT591" s="83"/>
    </row>
    <row r="592" spans="1:46" ht="13.8">
      <c r="A592" s="83"/>
      <c r="B592" s="83"/>
      <c r="C592" s="83"/>
      <c r="D592" s="83"/>
      <c r="E592" s="82"/>
      <c r="F592" s="82"/>
      <c r="G592" s="83"/>
      <c r="H592" s="83"/>
      <c r="I592" s="83"/>
      <c r="J592" s="83"/>
      <c r="K592" s="83"/>
      <c r="L592" s="83"/>
      <c r="M592" s="83"/>
      <c r="N592" s="83"/>
      <c r="O592" s="83"/>
      <c r="P592" s="83"/>
      <c r="Q592" s="83"/>
      <c r="R592" s="83"/>
      <c r="S592" s="83"/>
      <c r="T592" s="83"/>
      <c r="U592" s="83"/>
      <c r="V592" s="83"/>
      <c r="W592" s="83"/>
      <c r="X592" s="83"/>
      <c r="Y592" s="83"/>
      <c r="Z592" s="83"/>
      <c r="AA592" s="83"/>
      <c r="AB592" s="83"/>
      <c r="AC592" s="83"/>
      <c r="AD592" s="83"/>
      <c r="AE592" s="83"/>
      <c r="AF592" s="83"/>
      <c r="AG592" s="83"/>
      <c r="AH592" s="83"/>
      <c r="AI592" s="83"/>
      <c r="AJ592" s="83"/>
      <c r="AK592" s="83"/>
      <c r="AL592" s="83"/>
      <c r="AM592" s="83"/>
      <c r="AN592" s="83"/>
      <c r="AO592" s="83"/>
      <c r="AP592" s="83"/>
      <c r="AQ592" s="83"/>
      <c r="AR592" s="83"/>
      <c r="AS592" s="83"/>
      <c r="AT592" s="83"/>
    </row>
    <row r="593" spans="1:46" ht="13.8">
      <c r="A593" s="83"/>
      <c r="B593" s="83"/>
      <c r="C593" s="83"/>
      <c r="D593" s="83"/>
      <c r="E593" s="82"/>
      <c r="F593" s="82"/>
      <c r="G593" s="83"/>
      <c r="H593" s="83"/>
      <c r="I593" s="83"/>
      <c r="J593" s="83"/>
      <c r="K593" s="83"/>
      <c r="L593" s="83"/>
      <c r="M593" s="83"/>
      <c r="N593" s="83"/>
      <c r="O593" s="83"/>
      <c r="P593" s="83"/>
      <c r="Q593" s="83"/>
      <c r="R593" s="83"/>
      <c r="S593" s="83"/>
      <c r="T593" s="83"/>
      <c r="U593" s="83"/>
      <c r="V593" s="83"/>
      <c r="W593" s="83"/>
      <c r="X593" s="83"/>
      <c r="Y593" s="83"/>
      <c r="Z593" s="83"/>
      <c r="AA593" s="83"/>
      <c r="AB593" s="83"/>
      <c r="AC593" s="83"/>
      <c r="AD593" s="83"/>
      <c r="AE593" s="83"/>
      <c r="AF593" s="83"/>
      <c r="AG593" s="83"/>
      <c r="AH593" s="83"/>
      <c r="AI593" s="83"/>
      <c r="AJ593" s="83"/>
      <c r="AK593" s="83"/>
      <c r="AL593" s="83"/>
      <c r="AM593" s="83"/>
      <c r="AN593" s="83"/>
      <c r="AO593" s="83"/>
      <c r="AP593" s="83"/>
      <c r="AQ593" s="83"/>
      <c r="AR593" s="83"/>
      <c r="AS593" s="83"/>
      <c r="AT593" s="83"/>
    </row>
    <row r="594" spans="1:46" ht="13.8">
      <c r="A594" s="83"/>
      <c r="B594" s="83"/>
      <c r="C594" s="83"/>
      <c r="D594" s="83"/>
      <c r="E594" s="82"/>
      <c r="F594" s="82"/>
      <c r="G594" s="83"/>
      <c r="H594" s="83"/>
      <c r="I594" s="83"/>
      <c r="J594" s="83"/>
      <c r="K594" s="83"/>
      <c r="L594" s="83"/>
      <c r="M594" s="83"/>
      <c r="N594" s="83"/>
      <c r="O594" s="83"/>
      <c r="P594" s="83"/>
      <c r="Q594" s="83"/>
      <c r="R594" s="83"/>
      <c r="S594" s="83"/>
      <c r="T594" s="83"/>
      <c r="U594" s="83"/>
      <c r="V594" s="83"/>
      <c r="W594" s="83"/>
      <c r="X594" s="83"/>
      <c r="Y594" s="83"/>
      <c r="Z594" s="83"/>
      <c r="AA594" s="83"/>
      <c r="AB594" s="83"/>
      <c r="AC594" s="83"/>
      <c r="AD594" s="83"/>
      <c r="AE594" s="83"/>
      <c r="AF594" s="83"/>
      <c r="AG594" s="83"/>
      <c r="AH594" s="83"/>
      <c r="AI594" s="83"/>
      <c r="AJ594" s="83"/>
      <c r="AK594" s="83"/>
      <c r="AL594" s="83"/>
      <c r="AM594" s="83"/>
      <c r="AN594" s="83"/>
      <c r="AO594" s="83"/>
      <c r="AP594" s="83"/>
      <c r="AQ594" s="83"/>
      <c r="AR594" s="83"/>
      <c r="AS594" s="83"/>
      <c r="AT594" s="83"/>
    </row>
    <row r="595" spans="1:46" ht="13.8">
      <c r="A595" s="83"/>
      <c r="B595" s="83"/>
      <c r="C595" s="83"/>
      <c r="D595" s="83"/>
      <c r="E595" s="82"/>
      <c r="F595" s="82"/>
      <c r="G595" s="83"/>
      <c r="H595" s="83"/>
      <c r="I595" s="83"/>
      <c r="J595" s="83"/>
      <c r="K595" s="83"/>
      <c r="L595" s="83"/>
      <c r="M595" s="83"/>
      <c r="N595" s="83"/>
      <c r="O595" s="83"/>
      <c r="P595" s="83"/>
      <c r="Q595" s="83"/>
      <c r="R595" s="83"/>
      <c r="S595" s="83"/>
      <c r="T595" s="83"/>
      <c r="U595" s="83"/>
      <c r="V595" s="83"/>
      <c r="W595" s="83"/>
      <c r="X595" s="83"/>
      <c r="Y595" s="83"/>
      <c r="Z595" s="83"/>
      <c r="AA595" s="83"/>
      <c r="AB595" s="83"/>
      <c r="AC595" s="83"/>
      <c r="AD595" s="83"/>
      <c r="AE595" s="83"/>
      <c r="AF595" s="83"/>
      <c r="AG595" s="83"/>
      <c r="AH595" s="83"/>
      <c r="AI595" s="83"/>
      <c r="AJ595" s="83"/>
      <c r="AK595" s="83"/>
      <c r="AL595" s="83"/>
      <c r="AM595" s="83"/>
      <c r="AN595" s="83"/>
      <c r="AO595" s="83"/>
      <c r="AP595" s="83"/>
      <c r="AQ595" s="83"/>
      <c r="AR595" s="83"/>
      <c r="AS595" s="83"/>
      <c r="AT595" s="83"/>
    </row>
    <row r="596" spans="1:46" ht="13.8">
      <c r="A596" s="83"/>
      <c r="B596" s="83"/>
      <c r="C596" s="83"/>
      <c r="D596" s="83"/>
      <c r="E596" s="82"/>
      <c r="F596" s="82"/>
      <c r="G596" s="83"/>
      <c r="H596" s="83"/>
      <c r="I596" s="83"/>
      <c r="J596" s="83"/>
      <c r="K596" s="83"/>
      <c r="L596" s="83"/>
      <c r="M596" s="83"/>
      <c r="N596" s="83"/>
      <c r="O596" s="83"/>
      <c r="P596" s="83"/>
      <c r="Q596" s="83"/>
      <c r="R596" s="83"/>
      <c r="S596" s="83"/>
      <c r="T596" s="83"/>
      <c r="U596" s="83"/>
      <c r="V596" s="83"/>
      <c r="W596" s="83"/>
      <c r="X596" s="83"/>
      <c r="Y596" s="83"/>
      <c r="Z596" s="83"/>
      <c r="AA596" s="83"/>
      <c r="AB596" s="83"/>
      <c r="AC596" s="83"/>
      <c r="AD596" s="83"/>
      <c r="AE596" s="83"/>
      <c r="AF596" s="83"/>
      <c r="AG596" s="83"/>
      <c r="AH596" s="83"/>
      <c r="AI596" s="83"/>
      <c r="AJ596" s="83"/>
      <c r="AK596" s="83"/>
      <c r="AL596" s="83"/>
      <c r="AM596" s="83"/>
      <c r="AN596" s="83"/>
      <c r="AO596" s="83"/>
      <c r="AP596" s="83"/>
      <c r="AQ596" s="83"/>
      <c r="AR596" s="83"/>
      <c r="AS596" s="83"/>
      <c r="AT596" s="83"/>
    </row>
    <row r="597" spans="1:46" ht="13.8">
      <c r="A597" s="83"/>
      <c r="B597" s="83"/>
      <c r="C597" s="83"/>
      <c r="D597" s="83"/>
      <c r="E597" s="82"/>
      <c r="F597" s="82"/>
      <c r="G597" s="83"/>
      <c r="H597" s="83"/>
      <c r="I597" s="83"/>
      <c r="J597" s="83"/>
      <c r="K597" s="83"/>
      <c r="L597" s="83"/>
      <c r="M597" s="83"/>
      <c r="N597" s="83"/>
      <c r="O597" s="83"/>
      <c r="P597" s="83"/>
      <c r="Q597" s="83"/>
      <c r="R597" s="83"/>
      <c r="S597" s="83"/>
      <c r="T597" s="83"/>
      <c r="U597" s="83"/>
      <c r="V597" s="83"/>
      <c r="W597" s="83"/>
      <c r="X597" s="83"/>
      <c r="Y597" s="83"/>
      <c r="Z597" s="83"/>
      <c r="AA597" s="83"/>
      <c r="AB597" s="83"/>
      <c r="AC597" s="83"/>
      <c r="AD597" s="83"/>
      <c r="AE597" s="83"/>
      <c r="AF597" s="83"/>
      <c r="AG597" s="83"/>
      <c r="AH597" s="83"/>
      <c r="AI597" s="83"/>
      <c r="AJ597" s="83"/>
      <c r="AK597" s="83"/>
      <c r="AL597" s="83"/>
      <c r="AM597" s="83"/>
      <c r="AN597" s="83"/>
      <c r="AO597" s="83"/>
      <c r="AP597" s="83"/>
      <c r="AQ597" s="83"/>
      <c r="AR597" s="83"/>
      <c r="AS597" s="83"/>
      <c r="AT597" s="83"/>
    </row>
    <row r="598" spans="1:46" ht="13.8">
      <c r="A598" s="83"/>
      <c r="B598" s="83"/>
      <c r="C598" s="83"/>
      <c r="D598" s="83"/>
      <c r="E598" s="82"/>
      <c r="F598" s="82"/>
      <c r="G598" s="83"/>
      <c r="H598" s="83"/>
      <c r="I598" s="83"/>
      <c r="J598" s="83"/>
      <c r="K598" s="83"/>
      <c r="L598" s="83"/>
      <c r="M598" s="83"/>
      <c r="N598" s="83"/>
      <c r="O598" s="83"/>
      <c r="P598" s="83"/>
      <c r="Q598" s="83"/>
      <c r="R598" s="83"/>
      <c r="S598" s="83"/>
      <c r="T598" s="83"/>
      <c r="U598" s="83"/>
      <c r="V598" s="83"/>
      <c r="W598" s="83"/>
      <c r="X598" s="83"/>
      <c r="Y598" s="83"/>
      <c r="Z598" s="83"/>
      <c r="AA598" s="83"/>
      <c r="AB598" s="83"/>
      <c r="AC598" s="83"/>
      <c r="AD598" s="83"/>
      <c r="AE598" s="83"/>
      <c r="AF598" s="83"/>
      <c r="AG598" s="83"/>
      <c r="AH598" s="83"/>
      <c r="AI598" s="83"/>
      <c r="AJ598" s="83"/>
      <c r="AK598" s="83"/>
      <c r="AL598" s="83"/>
      <c r="AM598" s="83"/>
      <c r="AN598" s="83"/>
      <c r="AO598" s="83"/>
      <c r="AP598" s="83"/>
      <c r="AQ598" s="83"/>
      <c r="AR598" s="83"/>
      <c r="AS598" s="83"/>
      <c r="AT598" s="83"/>
    </row>
    <row r="599" spans="1:46" ht="13.8">
      <c r="A599" s="83"/>
      <c r="B599" s="83"/>
      <c r="C599" s="83"/>
      <c r="D599" s="83"/>
      <c r="E599" s="82"/>
      <c r="F599" s="82"/>
      <c r="G599" s="83"/>
      <c r="H599" s="83"/>
      <c r="I599" s="83"/>
      <c r="J599" s="83"/>
      <c r="K599" s="83"/>
      <c r="L599" s="83"/>
      <c r="M599" s="83"/>
      <c r="N599" s="83"/>
      <c r="O599" s="83"/>
      <c r="P599" s="83"/>
      <c r="Q599" s="83"/>
      <c r="R599" s="83"/>
      <c r="S599" s="83"/>
      <c r="T599" s="83"/>
      <c r="U599" s="83"/>
      <c r="V599" s="83"/>
      <c r="W599" s="83"/>
      <c r="X599" s="83"/>
      <c r="Y599" s="83"/>
      <c r="Z599" s="83"/>
      <c r="AA599" s="83"/>
      <c r="AB599" s="83"/>
      <c r="AC599" s="83"/>
      <c r="AD599" s="83"/>
      <c r="AE599" s="83"/>
      <c r="AF599" s="83"/>
      <c r="AG599" s="83"/>
      <c r="AH599" s="83"/>
      <c r="AI599" s="83"/>
      <c r="AJ599" s="83"/>
      <c r="AK599" s="83"/>
      <c r="AL599" s="83"/>
      <c r="AM599" s="83"/>
      <c r="AN599" s="83"/>
      <c r="AO599" s="83"/>
      <c r="AP599" s="83"/>
      <c r="AQ599" s="83"/>
      <c r="AR599" s="83"/>
      <c r="AS599" s="83"/>
      <c r="AT599" s="83"/>
    </row>
    <row r="600" spans="1:46" ht="13.8">
      <c r="A600" s="83"/>
      <c r="B600" s="83"/>
      <c r="C600" s="83"/>
      <c r="D600" s="83"/>
      <c r="E600" s="82"/>
      <c r="F600" s="82"/>
      <c r="G600" s="83"/>
      <c r="H600" s="83"/>
      <c r="I600" s="83"/>
      <c r="J600" s="83"/>
      <c r="K600" s="83"/>
      <c r="L600" s="83"/>
      <c r="M600" s="83"/>
      <c r="N600" s="83"/>
      <c r="O600" s="83"/>
      <c r="P600" s="83"/>
      <c r="Q600" s="83"/>
      <c r="R600" s="83"/>
      <c r="S600" s="83"/>
      <c r="T600" s="83"/>
      <c r="U600" s="83"/>
      <c r="V600" s="83"/>
      <c r="W600" s="83"/>
      <c r="X600" s="83"/>
      <c r="Y600" s="83"/>
      <c r="Z600" s="83"/>
      <c r="AA600" s="83"/>
      <c r="AB600" s="83"/>
      <c r="AC600" s="83"/>
      <c r="AD600" s="83"/>
      <c r="AE600" s="83"/>
      <c r="AF600" s="83"/>
      <c r="AG600" s="83"/>
      <c r="AH600" s="83"/>
      <c r="AI600" s="83"/>
      <c r="AJ600" s="83"/>
      <c r="AK600" s="83"/>
      <c r="AL600" s="83"/>
      <c r="AM600" s="83"/>
      <c r="AN600" s="83"/>
      <c r="AO600" s="83"/>
      <c r="AP600" s="83"/>
      <c r="AQ600" s="83"/>
      <c r="AR600" s="83"/>
      <c r="AS600" s="83"/>
      <c r="AT600" s="83"/>
    </row>
    <row r="601" spans="1:46" ht="13.8">
      <c r="A601" s="83"/>
      <c r="B601" s="83"/>
      <c r="C601" s="83"/>
      <c r="D601" s="83"/>
      <c r="E601" s="82"/>
      <c r="F601" s="82"/>
      <c r="G601" s="83"/>
      <c r="H601" s="83"/>
      <c r="I601" s="83"/>
      <c r="J601" s="83"/>
      <c r="K601" s="83"/>
      <c r="L601" s="83"/>
      <c r="M601" s="83"/>
      <c r="N601" s="83"/>
      <c r="O601" s="83"/>
      <c r="P601" s="83"/>
      <c r="Q601" s="83"/>
      <c r="R601" s="83"/>
      <c r="S601" s="83"/>
      <c r="T601" s="83"/>
      <c r="U601" s="83"/>
      <c r="V601" s="83"/>
      <c r="W601" s="83"/>
      <c r="X601" s="83"/>
      <c r="Y601" s="83"/>
      <c r="Z601" s="83"/>
      <c r="AA601" s="83"/>
      <c r="AB601" s="83"/>
      <c r="AC601" s="83"/>
      <c r="AD601" s="83"/>
      <c r="AE601" s="83"/>
      <c r="AF601" s="83"/>
      <c r="AG601" s="83"/>
      <c r="AH601" s="83"/>
      <c r="AI601" s="83"/>
      <c r="AJ601" s="83"/>
      <c r="AK601" s="83"/>
      <c r="AL601" s="83"/>
      <c r="AM601" s="83"/>
      <c r="AN601" s="83"/>
      <c r="AO601" s="83"/>
      <c r="AP601" s="83"/>
      <c r="AQ601" s="83"/>
      <c r="AR601" s="83"/>
      <c r="AS601" s="83"/>
      <c r="AT601" s="83"/>
    </row>
    <row r="602" spans="1:46" ht="13.8">
      <c r="A602" s="83"/>
      <c r="B602" s="83"/>
      <c r="C602" s="83"/>
      <c r="D602" s="83"/>
      <c r="E602" s="82"/>
      <c r="F602" s="82"/>
      <c r="G602" s="83"/>
      <c r="H602" s="83"/>
      <c r="I602" s="83"/>
      <c r="J602" s="83"/>
      <c r="K602" s="83"/>
      <c r="L602" s="83"/>
      <c r="M602" s="83"/>
      <c r="N602" s="83"/>
      <c r="O602" s="83"/>
      <c r="P602" s="83"/>
      <c r="Q602" s="83"/>
      <c r="R602" s="83"/>
      <c r="S602" s="83"/>
      <c r="T602" s="83"/>
      <c r="U602" s="83"/>
      <c r="V602" s="83"/>
      <c r="W602" s="83"/>
      <c r="X602" s="83"/>
      <c r="Y602" s="83"/>
      <c r="Z602" s="83"/>
      <c r="AA602" s="83"/>
      <c r="AB602" s="83"/>
      <c r="AC602" s="83"/>
      <c r="AD602" s="83"/>
      <c r="AE602" s="83"/>
      <c r="AF602" s="83"/>
      <c r="AG602" s="83"/>
      <c r="AH602" s="83"/>
      <c r="AI602" s="83"/>
      <c r="AJ602" s="83"/>
      <c r="AK602" s="83"/>
      <c r="AL602" s="83"/>
      <c r="AM602" s="83"/>
      <c r="AN602" s="83"/>
      <c r="AO602" s="83"/>
      <c r="AP602" s="83"/>
      <c r="AQ602" s="83"/>
      <c r="AR602" s="83"/>
      <c r="AS602" s="83"/>
      <c r="AT602" s="83"/>
    </row>
    <row r="603" spans="1:46" ht="13.8">
      <c r="A603" s="83"/>
      <c r="B603" s="83"/>
      <c r="C603" s="83"/>
      <c r="D603" s="83"/>
      <c r="E603" s="82"/>
      <c r="F603" s="82"/>
      <c r="G603" s="83"/>
      <c r="H603" s="83"/>
      <c r="I603" s="83"/>
      <c r="J603" s="83"/>
      <c r="K603" s="83"/>
      <c r="L603" s="83"/>
      <c r="M603" s="83"/>
      <c r="N603" s="83"/>
      <c r="O603" s="83"/>
      <c r="P603" s="83"/>
      <c r="Q603" s="83"/>
      <c r="R603" s="83"/>
      <c r="S603" s="83"/>
      <c r="T603" s="83"/>
      <c r="U603" s="83"/>
      <c r="V603" s="83"/>
      <c r="W603" s="83"/>
      <c r="X603" s="83"/>
      <c r="Y603" s="83"/>
      <c r="Z603" s="83"/>
      <c r="AA603" s="83"/>
      <c r="AB603" s="83"/>
      <c r="AC603" s="83"/>
      <c r="AD603" s="83"/>
      <c r="AE603" s="83"/>
      <c r="AF603" s="83"/>
      <c r="AG603" s="83"/>
      <c r="AH603" s="83"/>
      <c r="AI603" s="83"/>
      <c r="AJ603" s="83"/>
      <c r="AK603" s="83"/>
      <c r="AL603" s="83"/>
      <c r="AM603" s="83"/>
      <c r="AN603" s="83"/>
      <c r="AO603" s="83"/>
      <c r="AP603" s="83"/>
      <c r="AQ603" s="83"/>
      <c r="AR603" s="83"/>
      <c r="AS603" s="83"/>
      <c r="AT603" s="83"/>
    </row>
    <row r="604" spans="1:46" ht="13.8">
      <c r="A604" s="83"/>
      <c r="B604" s="83"/>
      <c r="C604" s="83"/>
      <c r="D604" s="83"/>
      <c r="E604" s="82"/>
      <c r="F604" s="82"/>
      <c r="G604" s="83"/>
      <c r="H604" s="83"/>
      <c r="I604" s="83"/>
      <c r="J604" s="83"/>
      <c r="K604" s="83"/>
      <c r="L604" s="83"/>
      <c r="M604" s="83"/>
      <c r="N604" s="83"/>
      <c r="O604" s="83"/>
      <c r="P604" s="83"/>
      <c r="Q604" s="83"/>
      <c r="R604" s="83"/>
      <c r="S604" s="83"/>
      <c r="T604" s="83"/>
      <c r="U604" s="83"/>
      <c r="V604" s="83"/>
      <c r="W604" s="83"/>
      <c r="X604" s="83"/>
      <c r="Y604" s="83"/>
      <c r="Z604" s="83"/>
      <c r="AA604" s="83"/>
      <c r="AB604" s="83"/>
      <c r="AC604" s="83"/>
      <c r="AD604" s="83"/>
      <c r="AE604" s="83"/>
      <c r="AF604" s="83"/>
      <c r="AG604" s="83"/>
      <c r="AH604" s="83"/>
      <c r="AI604" s="83"/>
      <c r="AJ604" s="83"/>
      <c r="AK604" s="83"/>
      <c r="AL604" s="83"/>
      <c r="AM604" s="83"/>
      <c r="AN604" s="83"/>
      <c r="AO604" s="83"/>
      <c r="AP604" s="83"/>
      <c r="AQ604" s="83"/>
      <c r="AR604" s="83"/>
      <c r="AS604" s="83"/>
      <c r="AT604" s="83"/>
    </row>
    <row r="605" spans="1:46" ht="13.8">
      <c r="A605" s="83"/>
      <c r="B605" s="83"/>
      <c r="C605" s="83"/>
      <c r="D605" s="83"/>
      <c r="E605" s="82"/>
      <c r="F605" s="82"/>
      <c r="G605" s="83"/>
      <c r="H605" s="83"/>
      <c r="I605" s="83"/>
      <c r="J605" s="83"/>
      <c r="K605" s="83"/>
      <c r="L605" s="83"/>
      <c r="M605" s="83"/>
      <c r="N605" s="83"/>
      <c r="O605" s="83"/>
      <c r="P605" s="83"/>
      <c r="Q605" s="83"/>
      <c r="R605" s="83"/>
      <c r="S605" s="83"/>
      <c r="T605" s="83"/>
      <c r="U605" s="83"/>
      <c r="V605" s="83"/>
      <c r="W605" s="83"/>
      <c r="X605" s="83"/>
      <c r="Y605" s="83"/>
      <c r="Z605" s="83"/>
      <c r="AA605" s="83"/>
      <c r="AB605" s="83"/>
      <c r="AC605" s="83"/>
      <c r="AD605" s="83"/>
      <c r="AE605" s="83"/>
      <c r="AF605" s="83"/>
      <c r="AG605" s="83"/>
      <c r="AH605" s="83"/>
      <c r="AI605" s="83"/>
      <c r="AJ605" s="83"/>
      <c r="AK605" s="83"/>
      <c r="AL605" s="83"/>
      <c r="AM605" s="83"/>
      <c r="AN605" s="83"/>
      <c r="AO605" s="83"/>
      <c r="AP605" s="83"/>
      <c r="AQ605" s="83"/>
      <c r="AR605" s="83"/>
      <c r="AS605" s="83"/>
      <c r="AT605" s="83"/>
    </row>
    <row r="606" spans="1:46" ht="13.8">
      <c r="A606" s="83"/>
      <c r="B606" s="83"/>
      <c r="C606" s="83"/>
      <c r="D606" s="83"/>
      <c r="E606" s="82"/>
      <c r="F606" s="82"/>
      <c r="G606" s="83"/>
      <c r="H606" s="83"/>
      <c r="I606" s="83"/>
      <c r="J606" s="83"/>
      <c r="K606" s="83"/>
      <c r="L606" s="83"/>
      <c r="M606" s="83"/>
      <c r="N606" s="83"/>
      <c r="O606" s="83"/>
      <c r="P606" s="83"/>
      <c r="Q606" s="83"/>
      <c r="R606" s="83"/>
      <c r="S606" s="83"/>
      <c r="T606" s="83"/>
      <c r="U606" s="83"/>
      <c r="V606" s="83"/>
      <c r="W606" s="83"/>
      <c r="X606" s="83"/>
      <c r="Y606" s="83"/>
      <c r="Z606" s="83"/>
      <c r="AA606" s="83"/>
      <c r="AB606" s="83"/>
      <c r="AC606" s="83"/>
      <c r="AD606" s="83"/>
      <c r="AE606" s="83"/>
      <c r="AF606" s="83"/>
      <c r="AG606" s="83"/>
      <c r="AH606" s="83"/>
      <c r="AI606" s="83"/>
      <c r="AJ606" s="83"/>
      <c r="AK606" s="83"/>
      <c r="AL606" s="83"/>
      <c r="AM606" s="83"/>
      <c r="AN606" s="83"/>
      <c r="AO606" s="83"/>
      <c r="AP606" s="83"/>
      <c r="AQ606" s="83"/>
      <c r="AR606" s="83"/>
      <c r="AS606" s="83"/>
      <c r="AT606" s="83"/>
    </row>
    <row r="607" spans="1:46" ht="13.8">
      <c r="A607" s="83"/>
      <c r="B607" s="83"/>
      <c r="C607" s="83"/>
      <c r="D607" s="83"/>
      <c r="E607" s="82"/>
      <c r="F607" s="82"/>
      <c r="G607" s="83"/>
      <c r="H607" s="83"/>
      <c r="I607" s="83"/>
      <c r="J607" s="83"/>
      <c r="K607" s="83"/>
      <c r="L607" s="83"/>
      <c r="M607" s="83"/>
      <c r="N607" s="83"/>
      <c r="O607" s="83"/>
      <c r="P607" s="83"/>
      <c r="Q607" s="83"/>
      <c r="R607" s="83"/>
      <c r="S607" s="83"/>
      <c r="T607" s="83"/>
      <c r="U607" s="83"/>
      <c r="V607" s="83"/>
      <c r="W607" s="83"/>
      <c r="X607" s="83"/>
      <c r="Y607" s="83"/>
      <c r="Z607" s="83"/>
      <c r="AA607" s="83"/>
      <c r="AB607" s="83"/>
      <c r="AC607" s="83"/>
      <c r="AD607" s="83"/>
      <c r="AE607" s="83"/>
      <c r="AF607" s="83"/>
      <c r="AG607" s="83"/>
      <c r="AH607" s="83"/>
      <c r="AI607" s="83"/>
      <c r="AJ607" s="83"/>
      <c r="AK607" s="83"/>
      <c r="AL607" s="83"/>
      <c r="AM607" s="83"/>
      <c r="AN607" s="83"/>
      <c r="AO607" s="83"/>
      <c r="AP607" s="83"/>
      <c r="AQ607" s="83"/>
      <c r="AR607" s="83"/>
      <c r="AS607" s="83"/>
      <c r="AT607" s="83"/>
    </row>
    <row r="608" spans="1:46" ht="13.8">
      <c r="A608" s="83"/>
      <c r="B608" s="83"/>
      <c r="C608" s="83"/>
      <c r="D608" s="83"/>
      <c r="E608" s="82"/>
      <c r="F608" s="82"/>
      <c r="G608" s="83"/>
      <c r="H608" s="83"/>
      <c r="I608" s="83"/>
      <c r="J608" s="83"/>
      <c r="K608" s="83"/>
      <c r="L608" s="83"/>
      <c r="M608" s="83"/>
      <c r="N608" s="83"/>
      <c r="O608" s="83"/>
      <c r="P608" s="83"/>
      <c r="Q608" s="83"/>
      <c r="R608" s="83"/>
      <c r="S608" s="83"/>
      <c r="T608" s="83"/>
      <c r="U608" s="83"/>
      <c r="V608" s="83"/>
      <c r="W608" s="83"/>
      <c r="X608" s="83"/>
      <c r="Y608" s="83"/>
      <c r="Z608" s="83"/>
      <c r="AA608" s="83"/>
      <c r="AB608" s="83"/>
      <c r="AC608" s="83"/>
      <c r="AD608" s="83"/>
      <c r="AE608" s="83"/>
      <c r="AF608" s="83"/>
      <c r="AG608" s="83"/>
      <c r="AH608" s="83"/>
      <c r="AI608" s="83"/>
      <c r="AJ608" s="83"/>
      <c r="AK608" s="83"/>
      <c r="AL608" s="83"/>
      <c r="AM608" s="83"/>
      <c r="AN608" s="83"/>
      <c r="AO608" s="83"/>
      <c r="AP608" s="83"/>
      <c r="AQ608" s="83"/>
      <c r="AR608" s="83"/>
      <c r="AS608" s="83"/>
      <c r="AT608" s="83"/>
    </row>
    <row r="609" spans="1:46" ht="13.8">
      <c r="A609" s="83"/>
      <c r="B609" s="83"/>
      <c r="C609" s="83"/>
      <c r="D609" s="83"/>
      <c r="E609" s="82"/>
      <c r="F609" s="82"/>
      <c r="G609" s="83"/>
      <c r="H609" s="83"/>
      <c r="I609" s="83"/>
      <c r="J609" s="83"/>
      <c r="K609" s="83"/>
      <c r="L609" s="83"/>
      <c r="M609" s="83"/>
      <c r="N609" s="83"/>
      <c r="O609" s="83"/>
      <c r="P609" s="83"/>
      <c r="Q609" s="83"/>
      <c r="R609" s="83"/>
      <c r="S609" s="83"/>
      <c r="T609" s="83"/>
      <c r="U609" s="83"/>
      <c r="V609" s="83"/>
      <c r="W609" s="83"/>
      <c r="X609" s="83"/>
      <c r="Y609" s="83"/>
      <c r="Z609" s="83"/>
      <c r="AA609" s="83"/>
      <c r="AB609" s="83"/>
      <c r="AC609" s="83"/>
      <c r="AD609" s="83"/>
      <c r="AE609" s="83"/>
      <c r="AF609" s="83"/>
      <c r="AG609" s="83"/>
      <c r="AH609" s="83"/>
      <c r="AI609" s="83"/>
      <c r="AJ609" s="83"/>
      <c r="AK609" s="83"/>
      <c r="AL609" s="83"/>
      <c r="AM609" s="83"/>
      <c r="AN609" s="83"/>
      <c r="AO609" s="83"/>
      <c r="AP609" s="83"/>
      <c r="AQ609" s="83"/>
      <c r="AR609" s="83"/>
      <c r="AS609" s="83"/>
      <c r="AT609" s="83"/>
    </row>
    <row r="610" spans="1:46" ht="13.8">
      <c r="A610" s="83"/>
      <c r="B610" s="83"/>
      <c r="C610" s="83"/>
      <c r="D610" s="83"/>
      <c r="E610" s="82"/>
      <c r="F610" s="82"/>
      <c r="G610" s="83"/>
      <c r="H610" s="83"/>
      <c r="I610" s="83"/>
      <c r="J610" s="83"/>
      <c r="K610" s="83"/>
      <c r="L610" s="83"/>
      <c r="M610" s="83"/>
      <c r="N610" s="83"/>
      <c r="O610" s="83"/>
      <c r="P610" s="83"/>
      <c r="Q610" s="83"/>
      <c r="R610" s="83"/>
      <c r="S610" s="83"/>
      <c r="T610" s="83"/>
      <c r="U610" s="83"/>
      <c r="V610" s="83"/>
      <c r="W610" s="83"/>
      <c r="X610" s="83"/>
      <c r="Y610" s="83"/>
      <c r="Z610" s="83"/>
      <c r="AA610" s="83"/>
      <c r="AB610" s="83"/>
      <c r="AC610" s="83"/>
      <c r="AD610" s="83"/>
      <c r="AE610" s="83"/>
      <c r="AF610" s="83"/>
      <c r="AG610" s="83"/>
      <c r="AH610" s="83"/>
      <c r="AI610" s="83"/>
      <c r="AJ610" s="83"/>
      <c r="AK610" s="83"/>
      <c r="AL610" s="83"/>
      <c r="AM610" s="83"/>
      <c r="AN610" s="83"/>
      <c r="AO610" s="83"/>
      <c r="AP610" s="83"/>
      <c r="AQ610" s="83"/>
      <c r="AR610" s="83"/>
      <c r="AS610" s="83"/>
      <c r="AT610" s="83"/>
    </row>
    <row r="611" spans="1:46" ht="13.8">
      <c r="A611" s="83"/>
      <c r="B611" s="83"/>
      <c r="C611" s="83"/>
      <c r="D611" s="83"/>
      <c r="E611" s="82"/>
      <c r="F611" s="82"/>
      <c r="G611" s="83"/>
      <c r="H611" s="83"/>
      <c r="I611" s="83"/>
      <c r="J611" s="83"/>
      <c r="K611" s="83"/>
      <c r="L611" s="83"/>
      <c r="M611" s="83"/>
      <c r="N611" s="83"/>
      <c r="O611" s="83"/>
      <c r="P611" s="83"/>
      <c r="Q611" s="83"/>
      <c r="R611" s="83"/>
      <c r="S611" s="83"/>
      <c r="T611" s="83"/>
      <c r="U611" s="83"/>
      <c r="V611" s="83"/>
      <c r="W611" s="83"/>
      <c r="X611" s="83"/>
      <c r="Y611" s="83"/>
      <c r="Z611" s="83"/>
      <c r="AA611" s="83"/>
      <c r="AB611" s="83"/>
      <c r="AC611" s="83"/>
      <c r="AD611" s="83"/>
      <c r="AE611" s="83"/>
      <c r="AF611" s="83"/>
      <c r="AG611" s="83"/>
      <c r="AH611" s="83"/>
      <c r="AI611" s="83"/>
      <c r="AJ611" s="83"/>
      <c r="AK611" s="83"/>
      <c r="AL611" s="83"/>
      <c r="AM611" s="83"/>
      <c r="AN611" s="83"/>
      <c r="AO611" s="83"/>
      <c r="AP611" s="83"/>
      <c r="AQ611" s="83"/>
      <c r="AR611" s="83"/>
      <c r="AS611" s="83"/>
      <c r="AT611" s="83"/>
    </row>
    <row r="612" spans="1:46" ht="13.8">
      <c r="A612" s="83"/>
      <c r="B612" s="83"/>
      <c r="C612" s="83"/>
      <c r="D612" s="83"/>
      <c r="E612" s="82"/>
      <c r="F612" s="82"/>
      <c r="G612" s="83"/>
      <c r="H612" s="83"/>
      <c r="I612" s="83"/>
      <c r="J612" s="83"/>
      <c r="K612" s="83"/>
      <c r="L612" s="83"/>
      <c r="M612" s="83"/>
      <c r="N612" s="83"/>
      <c r="O612" s="83"/>
      <c r="P612" s="83"/>
      <c r="Q612" s="83"/>
      <c r="R612" s="83"/>
      <c r="S612" s="83"/>
      <c r="T612" s="83"/>
      <c r="U612" s="83"/>
      <c r="V612" s="83"/>
      <c r="W612" s="83"/>
      <c r="X612" s="83"/>
      <c r="Y612" s="83"/>
      <c r="Z612" s="83"/>
      <c r="AA612" s="83"/>
      <c r="AB612" s="83"/>
      <c r="AC612" s="83"/>
      <c r="AD612" s="83"/>
      <c r="AE612" s="83"/>
      <c r="AF612" s="83"/>
      <c r="AG612" s="83"/>
      <c r="AH612" s="83"/>
      <c r="AI612" s="83"/>
      <c r="AJ612" s="83"/>
      <c r="AK612" s="83"/>
      <c r="AL612" s="83"/>
      <c r="AM612" s="83"/>
      <c r="AN612" s="83"/>
      <c r="AO612" s="83"/>
      <c r="AP612" s="83"/>
      <c r="AQ612" s="83"/>
      <c r="AR612" s="83"/>
      <c r="AS612" s="83"/>
      <c r="AT612" s="83"/>
    </row>
    <row r="613" spans="1:46" ht="13.8">
      <c r="A613" s="83"/>
      <c r="B613" s="83"/>
      <c r="C613" s="83"/>
      <c r="D613" s="83"/>
      <c r="E613" s="82"/>
      <c r="F613" s="82"/>
      <c r="G613" s="83"/>
      <c r="H613" s="83"/>
      <c r="I613" s="83"/>
      <c r="J613" s="83"/>
      <c r="K613" s="83"/>
      <c r="L613" s="83"/>
      <c r="M613" s="83"/>
      <c r="N613" s="83"/>
      <c r="O613" s="83"/>
      <c r="P613" s="83"/>
      <c r="Q613" s="83"/>
      <c r="R613" s="83"/>
      <c r="S613" s="83"/>
      <c r="T613" s="83"/>
      <c r="U613" s="83"/>
      <c r="V613" s="83"/>
      <c r="W613" s="83"/>
      <c r="X613" s="83"/>
      <c r="Y613" s="83"/>
      <c r="Z613" s="83"/>
      <c r="AA613" s="83"/>
      <c r="AB613" s="83"/>
      <c r="AC613" s="83"/>
      <c r="AD613" s="83"/>
      <c r="AE613" s="83"/>
      <c r="AF613" s="83"/>
      <c r="AG613" s="83"/>
      <c r="AH613" s="83"/>
      <c r="AI613" s="83"/>
      <c r="AJ613" s="83"/>
      <c r="AK613" s="83"/>
      <c r="AL613" s="83"/>
      <c r="AM613" s="83"/>
      <c r="AN613" s="83"/>
      <c r="AO613" s="83"/>
      <c r="AP613" s="83"/>
      <c r="AQ613" s="83"/>
      <c r="AR613" s="83"/>
      <c r="AS613" s="83"/>
      <c r="AT613" s="83"/>
    </row>
    <row r="614" spans="1:46" ht="13.8">
      <c r="A614" s="83"/>
      <c r="B614" s="83"/>
      <c r="C614" s="83"/>
      <c r="D614" s="83"/>
      <c r="E614" s="82"/>
      <c r="F614" s="82"/>
      <c r="G614" s="83"/>
      <c r="H614" s="83"/>
      <c r="I614" s="83"/>
      <c r="J614" s="83"/>
      <c r="K614" s="83"/>
      <c r="L614" s="83"/>
      <c r="M614" s="83"/>
      <c r="N614" s="83"/>
      <c r="O614" s="83"/>
      <c r="P614" s="83"/>
      <c r="Q614" s="83"/>
      <c r="R614" s="83"/>
      <c r="S614" s="83"/>
      <c r="T614" s="83"/>
      <c r="U614" s="83"/>
      <c r="V614" s="83"/>
      <c r="W614" s="83"/>
      <c r="X614" s="83"/>
      <c r="Y614" s="83"/>
      <c r="Z614" s="83"/>
      <c r="AA614" s="83"/>
      <c r="AB614" s="83"/>
      <c r="AC614" s="83"/>
      <c r="AD614" s="83"/>
      <c r="AE614" s="83"/>
      <c r="AF614" s="83"/>
      <c r="AG614" s="83"/>
      <c r="AH614" s="83"/>
      <c r="AI614" s="83"/>
      <c r="AJ614" s="83"/>
      <c r="AK614" s="83"/>
      <c r="AL614" s="83"/>
      <c r="AM614" s="83"/>
      <c r="AN614" s="83"/>
      <c r="AO614" s="83"/>
      <c r="AP614" s="83"/>
      <c r="AQ614" s="83"/>
      <c r="AR614" s="83"/>
      <c r="AS614" s="83"/>
      <c r="AT614" s="83"/>
    </row>
    <row r="615" spans="1:46" ht="13.8">
      <c r="A615" s="83"/>
      <c r="B615" s="83"/>
      <c r="C615" s="83"/>
      <c r="D615" s="83"/>
      <c r="E615" s="82"/>
      <c r="F615" s="82"/>
      <c r="G615" s="83"/>
      <c r="H615" s="83"/>
      <c r="I615" s="83"/>
      <c r="J615" s="83"/>
      <c r="K615" s="83"/>
      <c r="L615" s="83"/>
      <c r="M615" s="83"/>
      <c r="N615" s="83"/>
      <c r="O615" s="83"/>
      <c r="P615" s="83"/>
      <c r="Q615" s="83"/>
      <c r="R615" s="83"/>
      <c r="S615" s="83"/>
      <c r="T615" s="83"/>
      <c r="U615" s="83"/>
      <c r="V615" s="83"/>
      <c r="W615" s="83"/>
      <c r="X615" s="83"/>
      <c r="Y615" s="83"/>
      <c r="Z615" s="83"/>
      <c r="AA615" s="83"/>
      <c r="AB615" s="83"/>
      <c r="AC615" s="83"/>
      <c r="AD615" s="83"/>
      <c r="AE615" s="83"/>
      <c r="AF615" s="83"/>
      <c r="AG615" s="83"/>
      <c r="AH615" s="83"/>
      <c r="AI615" s="83"/>
      <c r="AJ615" s="83"/>
      <c r="AK615" s="83"/>
      <c r="AL615" s="83"/>
      <c r="AM615" s="83"/>
      <c r="AN615" s="83"/>
      <c r="AO615" s="83"/>
      <c r="AP615" s="83"/>
      <c r="AQ615" s="83"/>
      <c r="AR615" s="83"/>
      <c r="AS615" s="83"/>
      <c r="AT615" s="83"/>
    </row>
    <row r="616" spans="1:46" ht="13.8">
      <c r="A616" s="83"/>
      <c r="B616" s="83"/>
      <c r="C616" s="83"/>
      <c r="D616" s="83"/>
      <c r="E616" s="82"/>
      <c r="F616" s="82"/>
      <c r="G616" s="83"/>
      <c r="H616" s="83"/>
      <c r="I616" s="83"/>
      <c r="J616" s="83"/>
      <c r="K616" s="83"/>
      <c r="L616" s="83"/>
      <c r="M616" s="83"/>
      <c r="N616" s="83"/>
      <c r="O616" s="83"/>
      <c r="P616" s="83"/>
      <c r="Q616" s="83"/>
      <c r="R616" s="83"/>
      <c r="S616" s="83"/>
      <c r="T616" s="83"/>
      <c r="U616" s="83"/>
      <c r="V616" s="83"/>
      <c r="W616" s="83"/>
      <c r="X616" s="83"/>
      <c r="Y616" s="83"/>
      <c r="Z616" s="83"/>
      <c r="AA616" s="83"/>
      <c r="AB616" s="83"/>
      <c r="AC616" s="83"/>
      <c r="AD616" s="83"/>
      <c r="AE616" s="83"/>
      <c r="AF616" s="83"/>
      <c r="AG616" s="83"/>
      <c r="AH616" s="83"/>
      <c r="AI616" s="83"/>
      <c r="AJ616" s="83"/>
      <c r="AK616" s="83"/>
      <c r="AL616" s="83"/>
      <c r="AM616" s="83"/>
      <c r="AN616" s="83"/>
      <c r="AO616" s="83"/>
      <c r="AP616" s="83"/>
      <c r="AQ616" s="83"/>
      <c r="AR616" s="83"/>
      <c r="AS616" s="83"/>
      <c r="AT616" s="83"/>
    </row>
    <row r="617" spans="1:46" ht="13.8">
      <c r="A617" s="83"/>
      <c r="B617" s="83"/>
      <c r="C617" s="83"/>
      <c r="D617" s="83"/>
      <c r="E617" s="82"/>
      <c r="F617" s="82"/>
      <c r="G617" s="83"/>
      <c r="H617" s="83"/>
      <c r="I617" s="83"/>
      <c r="J617" s="83"/>
      <c r="K617" s="83"/>
      <c r="L617" s="83"/>
      <c r="M617" s="83"/>
      <c r="N617" s="83"/>
      <c r="O617" s="83"/>
      <c r="P617" s="83"/>
      <c r="Q617" s="83"/>
      <c r="R617" s="83"/>
      <c r="S617" s="83"/>
      <c r="T617" s="83"/>
      <c r="U617" s="83"/>
      <c r="V617" s="83"/>
      <c r="W617" s="83"/>
      <c r="X617" s="83"/>
      <c r="Y617" s="83"/>
      <c r="Z617" s="83"/>
      <c r="AA617" s="83"/>
      <c r="AB617" s="83"/>
      <c r="AC617" s="83"/>
      <c r="AD617" s="83"/>
      <c r="AE617" s="83"/>
      <c r="AF617" s="83"/>
      <c r="AG617" s="83"/>
      <c r="AH617" s="83"/>
      <c r="AI617" s="83"/>
      <c r="AJ617" s="83"/>
      <c r="AK617" s="83"/>
      <c r="AL617" s="83"/>
      <c r="AM617" s="83"/>
      <c r="AN617" s="83"/>
      <c r="AO617" s="83"/>
      <c r="AP617" s="83"/>
      <c r="AQ617" s="83"/>
      <c r="AR617" s="83"/>
      <c r="AS617" s="83"/>
      <c r="AT617" s="83"/>
    </row>
    <row r="618" spans="1:46" ht="13.8">
      <c r="A618" s="83"/>
      <c r="B618" s="83"/>
      <c r="C618" s="83"/>
      <c r="D618" s="83"/>
      <c r="E618" s="82"/>
      <c r="F618" s="82"/>
      <c r="G618" s="83"/>
      <c r="H618" s="83"/>
      <c r="I618" s="83"/>
      <c r="J618" s="83"/>
      <c r="K618" s="83"/>
      <c r="L618" s="83"/>
      <c r="M618" s="83"/>
      <c r="N618" s="83"/>
      <c r="O618" s="83"/>
      <c r="P618" s="83"/>
      <c r="Q618" s="83"/>
      <c r="R618" s="83"/>
      <c r="S618" s="83"/>
      <c r="T618" s="83"/>
      <c r="U618" s="83"/>
      <c r="V618" s="83"/>
      <c r="W618" s="83"/>
      <c r="X618" s="83"/>
      <c r="Y618" s="83"/>
      <c r="Z618" s="83"/>
      <c r="AA618" s="83"/>
      <c r="AB618" s="83"/>
      <c r="AC618" s="83"/>
      <c r="AD618" s="83"/>
      <c r="AE618" s="83"/>
      <c r="AF618" s="83"/>
      <c r="AG618" s="83"/>
      <c r="AH618" s="83"/>
      <c r="AI618" s="83"/>
      <c r="AJ618" s="83"/>
      <c r="AK618" s="83"/>
      <c r="AL618" s="83"/>
      <c r="AM618" s="83"/>
      <c r="AN618" s="83"/>
      <c r="AO618" s="83"/>
      <c r="AP618" s="83"/>
      <c r="AQ618" s="83"/>
      <c r="AR618" s="83"/>
      <c r="AS618" s="83"/>
      <c r="AT618" s="83"/>
    </row>
    <row r="619" spans="1:46" ht="13.8">
      <c r="A619" s="83"/>
      <c r="B619" s="83"/>
      <c r="C619" s="83"/>
      <c r="D619" s="83"/>
      <c r="E619" s="82"/>
      <c r="F619" s="82"/>
      <c r="G619" s="83"/>
      <c r="H619" s="83"/>
      <c r="I619" s="83"/>
      <c r="J619" s="83"/>
      <c r="K619" s="83"/>
      <c r="L619" s="83"/>
      <c r="M619" s="83"/>
      <c r="N619" s="83"/>
      <c r="O619" s="83"/>
      <c r="P619" s="83"/>
      <c r="Q619" s="83"/>
      <c r="R619" s="83"/>
      <c r="S619" s="83"/>
      <c r="T619" s="83"/>
      <c r="U619" s="83"/>
      <c r="V619" s="83"/>
      <c r="W619" s="83"/>
      <c r="X619" s="83"/>
      <c r="Y619" s="83"/>
      <c r="Z619" s="83"/>
      <c r="AA619" s="83"/>
      <c r="AB619" s="83"/>
      <c r="AC619" s="83"/>
      <c r="AD619" s="83"/>
      <c r="AE619" s="83"/>
      <c r="AF619" s="83"/>
      <c r="AG619" s="83"/>
      <c r="AH619" s="83"/>
      <c r="AI619" s="83"/>
      <c r="AJ619" s="83"/>
      <c r="AK619" s="83"/>
      <c r="AL619" s="83"/>
      <c r="AM619" s="83"/>
      <c r="AN619" s="83"/>
      <c r="AO619" s="83"/>
      <c r="AP619" s="83"/>
      <c r="AQ619" s="83"/>
      <c r="AR619" s="83"/>
      <c r="AS619" s="83"/>
      <c r="AT619" s="83"/>
    </row>
    <row r="620" spans="1:46" ht="13.8">
      <c r="A620" s="83"/>
      <c r="B620" s="83"/>
      <c r="C620" s="83"/>
      <c r="D620" s="83"/>
      <c r="E620" s="82"/>
      <c r="F620" s="82"/>
      <c r="G620" s="83"/>
      <c r="H620" s="83"/>
      <c r="I620" s="83"/>
      <c r="J620" s="83"/>
      <c r="K620" s="83"/>
      <c r="L620" s="83"/>
      <c r="M620" s="83"/>
      <c r="N620" s="83"/>
      <c r="O620" s="83"/>
      <c r="P620" s="83"/>
      <c r="Q620" s="83"/>
      <c r="R620" s="83"/>
      <c r="S620" s="83"/>
      <c r="T620" s="83"/>
      <c r="U620" s="83"/>
      <c r="V620" s="83"/>
      <c r="W620" s="83"/>
      <c r="X620" s="83"/>
      <c r="Y620" s="83"/>
      <c r="Z620" s="83"/>
      <c r="AA620" s="83"/>
      <c r="AB620" s="83"/>
      <c r="AC620" s="83"/>
      <c r="AD620" s="83"/>
      <c r="AE620" s="83"/>
      <c r="AF620" s="83"/>
      <c r="AG620" s="83"/>
      <c r="AH620" s="83"/>
      <c r="AI620" s="83"/>
      <c r="AJ620" s="83"/>
      <c r="AK620" s="83"/>
      <c r="AL620" s="83"/>
      <c r="AM620" s="83"/>
      <c r="AN620" s="83"/>
      <c r="AO620" s="83"/>
      <c r="AP620" s="83"/>
      <c r="AQ620" s="83"/>
      <c r="AR620" s="83"/>
      <c r="AS620" s="83"/>
      <c r="AT620" s="83"/>
    </row>
    <row r="621" spans="1:46" ht="13.8">
      <c r="A621" s="83"/>
      <c r="B621" s="83"/>
      <c r="C621" s="83"/>
      <c r="D621" s="83"/>
      <c r="E621" s="82"/>
      <c r="F621" s="82"/>
      <c r="G621" s="83"/>
      <c r="H621" s="83"/>
      <c r="I621" s="83"/>
      <c r="J621" s="83"/>
      <c r="K621" s="83"/>
      <c r="L621" s="83"/>
      <c r="M621" s="83"/>
      <c r="N621" s="83"/>
      <c r="O621" s="83"/>
      <c r="P621" s="83"/>
      <c r="Q621" s="83"/>
      <c r="R621" s="83"/>
      <c r="S621" s="83"/>
      <c r="T621" s="83"/>
      <c r="U621" s="83"/>
      <c r="V621" s="83"/>
      <c r="W621" s="83"/>
      <c r="X621" s="83"/>
      <c r="Y621" s="83"/>
      <c r="Z621" s="83"/>
      <c r="AA621" s="83"/>
      <c r="AB621" s="83"/>
      <c r="AC621" s="83"/>
      <c r="AD621" s="83"/>
      <c r="AE621" s="83"/>
      <c r="AF621" s="83"/>
      <c r="AG621" s="83"/>
      <c r="AH621" s="83"/>
      <c r="AI621" s="83"/>
      <c r="AJ621" s="83"/>
      <c r="AK621" s="83"/>
      <c r="AL621" s="83"/>
      <c r="AM621" s="83"/>
      <c r="AN621" s="83"/>
      <c r="AO621" s="83"/>
      <c r="AP621" s="83"/>
      <c r="AQ621" s="83"/>
      <c r="AR621" s="83"/>
      <c r="AS621" s="83"/>
      <c r="AT621" s="83"/>
    </row>
    <row r="622" spans="1:46" ht="13.8">
      <c r="A622" s="83"/>
      <c r="B622" s="83"/>
      <c r="C622" s="83"/>
      <c r="D622" s="83"/>
      <c r="E622" s="82"/>
      <c r="F622" s="82"/>
      <c r="G622" s="83"/>
      <c r="H622" s="83"/>
      <c r="I622" s="83"/>
      <c r="J622" s="83"/>
      <c r="K622" s="83"/>
      <c r="L622" s="83"/>
      <c r="M622" s="83"/>
      <c r="N622" s="83"/>
      <c r="O622" s="83"/>
      <c r="P622" s="83"/>
      <c r="Q622" s="83"/>
      <c r="R622" s="83"/>
      <c r="S622" s="83"/>
      <c r="T622" s="83"/>
      <c r="U622" s="83"/>
      <c r="V622" s="83"/>
      <c r="W622" s="83"/>
      <c r="X622" s="83"/>
      <c r="Y622" s="83"/>
      <c r="Z622" s="83"/>
      <c r="AA622" s="83"/>
      <c r="AB622" s="83"/>
      <c r="AC622" s="83"/>
      <c r="AD622" s="83"/>
      <c r="AE622" s="83"/>
      <c r="AF622" s="83"/>
      <c r="AG622" s="83"/>
      <c r="AH622" s="83"/>
      <c r="AI622" s="83"/>
      <c r="AJ622" s="83"/>
      <c r="AK622" s="83"/>
      <c r="AL622" s="83"/>
      <c r="AM622" s="83"/>
      <c r="AN622" s="83"/>
      <c r="AO622" s="83"/>
      <c r="AP622" s="83"/>
      <c r="AQ622" s="83"/>
      <c r="AR622" s="83"/>
      <c r="AS622" s="83"/>
      <c r="AT622" s="83"/>
    </row>
    <row r="623" spans="1:46" ht="13.8">
      <c r="A623" s="83"/>
      <c r="B623" s="83"/>
      <c r="C623" s="83"/>
      <c r="D623" s="83"/>
      <c r="E623" s="82"/>
      <c r="F623" s="82"/>
      <c r="G623" s="83"/>
      <c r="H623" s="83"/>
      <c r="I623" s="83"/>
      <c r="J623" s="83"/>
      <c r="K623" s="83"/>
      <c r="L623" s="83"/>
      <c r="M623" s="83"/>
      <c r="N623" s="83"/>
      <c r="O623" s="83"/>
      <c r="P623" s="83"/>
      <c r="Q623" s="83"/>
      <c r="R623" s="83"/>
      <c r="S623" s="83"/>
      <c r="T623" s="83"/>
      <c r="U623" s="83"/>
      <c r="V623" s="83"/>
      <c r="W623" s="83"/>
      <c r="X623" s="83"/>
      <c r="Y623" s="83"/>
      <c r="Z623" s="83"/>
      <c r="AA623" s="83"/>
      <c r="AB623" s="83"/>
      <c r="AC623" s="83"/>
      <c r="AD623" s="83"/>
      <c r="AE623" s="83"/>
      <c r="AF623" s="83"/>
      <c r="AG623" s="83"/>
      <c r="AH623" s="83"/>
      <c r="AI623" s="83"/>
      <c r="AJ623" s="83"/>
      <c r="AK623" s="83"/>
      <c r="AL623" s="83"/>
      <c r="AM623" s="83"/>
      <c r="AN623" s="83"/>
      <c r="AO623" s="83"/>
      <c r="AP623" s="83"/>
      <c r="AQ623" s="83"/>
      <c r="AR623" s="83"/>
      <c r="AS623" s="83"/>
      <c r="AT623" s="83"/>
    </row>
    <row r="624" spans="1:46" ht="13.8">
      <c r="A624" s="83"/>
      <c r="B624" s="83"/>
      <c r="C624" s="83"/>
      <c r="D624" s="83"/>
      <c r="E624" s="82"/>
      <c r="F624" s="82"/>
      <c r="G624" s="83"/>
      <c r="H624" s="83"/>
      <c r="I624" s="83"/>
      <c r="J624" s="83"/>
      <c r="K624" s="83"/>
      <c r="L624" s="83"/>
      <c r="M624" s="83"/>
      <c r="N624" s="83"/>
      <c r="O624" s="83"/>
      <c r="P624" s="83"/>
      <c r="Q624" s="83"/>
      <c r="R624" s="83"/>
      <c r="S624" s="83"/>
      <c r="T624" s="83"/>
      <c r="U624" s="83"/>
      <c r="V624" s="83"/>
      <c r="W624" s="83"/>
      <c r="X624" s="83"/>
      <c r="Y624" s="83"/>
      <c r="Z624" s="83"/>
      <c r="AA624" s="83"/>
      <c r="AB624" s="83"/>
      <c r="AC624" s="83"/>
      <c r="AD624" s="83"/>
      <c r="AE624" s="83"/>
      <c r="AF624" s="83"/>
      <c r="AG624" s="83"/>
      <c r="AH624" s="83"/>
      <c r="AI624" s="83"/>
      <c r="AJ624" s="83"/>
      <c r="AK624" s="83"/>
      <c r="AL624" s="83"/>
      <c r="AM624" s="83"/>
      <c r="AN624" s="83"/>
      <c r="AO624" s="83"/>
      <c r="AP624" s="83"/>
      <c r="AQ624" s="83"/>
      <c r="AR624" s="83"/>
      <c r="AS624" s="83"/>
      <c r="AT624" s="83"/>
    </row>
    <row r="625" spans="1:46" ht="13.8">
      <c r="A625" s="83"/>
      <c r="B625" s="83"/>
      <c r="C625" s="83"/>
      <c r="D625" s="83"/>
      <c r="E625" s="82"/>
      <c r="F625" s="82"/>
      <c r="G625" s="83"/>
      <c r="H625" s="83"/>
      <c r="I625" s="83"/>
      <c r="J625" s="83"/>
      <c r="K625" s="83"/>
      <c r="L625" s="83"/>
      <c r="M625" s="83"/>
      <c r="N625" s="83"/>
      <c r="O625" s="83"/>
      <c r="P625" s="83"/>
      <c r="Q625" s="83"/>
      <c r="R625" s="83"/>
      <c r="S625" s="83"/>
      <c r="T625" s="83"/>
      <c r="U625" s="83"/>
      <c r="V625" s="83"/>
      <c r="W625" s="83"/>
      <c r="X625" s="83"/>
      <c r="Y625" s="83"/>
      <c r="Z625" s="83"/>
      <c r="AA625" s="83"/>
      <c r="AB625" s="83"/>
      <c r="AC625" s="83"/>
      <c r="AD625" s="83"/>
      <c r="AE625" s="83"/>
      <c r="AF625" s="83"/>
      <c r="AG625" s="83"/>
      <c r="AH625" s="83"/>
      <c r="AI625" s="83"/>
      <c r="AJ625" s="83"/>
      <c r="AK625" s="83"/>
      <c r="AL625" s="83"/>
      <c r="AM625" s="83"/>
      <c r="AN625" s="83"/>
      <c r="AO625" s="83"/>
      <c r="AP625" s="83"/>
      <c r="AQ625" s="83"/>
      <c r="AR625" s="83"/>
      <c r="AS625" s="83"/>
      <c r="AT625" s="83"/>
    </row>
    <row r="626" spans="1:46" ht="13.8">
      <c r="A626" s="83"/>
      <c r="B626" s="83"/>
      <c r="C626" s="83"/>
      <c r="D626" s="83"/>
      <c r="E626" s="82"/>
      <c r="F626" s="82"/>
      <c r="G626" s="83"/>
      <c r="H626" s="83"/>
      <c r="I626" s="83"/>
      <c r="J626" s="83"/>
      <c r="K626" s="83"/>
      <c r="L626" s="83"/>
      <c r="M626" s="83"/>
      <c r="N626" s="83"/>
      <c r="O626" s="83"/>
      <c r="P626" s="83"/>
      <c r="Q626" s="83"/>
      <c r="R626" s="83"/>
      <c r="S626" s="83"/>
      <c r="T626" s="83"/>
      <c r="U626" s="83"/>
      <c r="V626" s="83"/>
      <c r="W626" s="83"/>
      <c r="X626" s="83"/>
      <c r="Y626" s="83"/>
      <c r="Z626" s="83"/>
      <c r="AA626" s="83"/>
      <c r="AB626" s="83"/>
      <c r="AC626" s="83"/>
      <c r="AD626" s="83"/>
      <c r="AE626" s="83"/>
      <c r="AF626" s="83"/>
      <c r="AG626" s="83"/>
      <c r="AH626" s="83"/>
      <c r="AI626" s="83"/>
      <c r="AJ626" s="83"/>
      <c r="AK626" s="83"/>
      <c r="AL626" s="83"/>
      <c r="AM626" s="83"/>
      <c r="AN626" s="83"/>
      <c r="AO626" s="83"/>
      <c r="AP626" s="83"/>
      <c r="AQ626" s="83"/>
      <c r="AR626" s="83"/>
      <c r="AS626" s="83"/>
      <c r="AT626" s="83"/>
    </row>
    <row r="627" spans="1:46" ht="13.8">
      <c r="A627" s="83"/>
      <c r="B627" s="83"/>
      <c r="C627" s="83"/>
      <c r="D627" s="83"/>
      <c r="E627" s="82"/>
      <c r="F627" s="82"/>
      <c r="G627" s="83"/>
      <c r="H627" s="83"/>
      <c r="I627" s="83"/>
      <c r="J627" s="83"/>
      <c r="K627" s="83"/>
      <c r="L627" s="83"/>
      <c r="M627" s="83"/>
      <c r="N627" s="83"/>
      <c r="O627" s="83"/>
      <c r="P627" s="83"/>
      <c r="Q627" s="83"/>
      <c r="R627" s="83"/>
      <c r="S627" s="83"/>
      <c r="T627" s="83"/>
      <c r="U627" s="83"/>
      <c r="V627" s="83"/>
      <c r="W627" s="83"/>
      <c r="X627" s="83"/>
      <c r="Y627" s="83"/>
      <c r="Z627" s="83"/>
      <c r="AA627" s="83"/>
      <c r="AB627" s="83"/>
      <c r="AC627" s="83"/>
      <c r="AD627" s="83"/>
      <c r="AE627" s="83"/>
      <c r="AF627" s="83"/>
      <c r="AG627" s="83"/>
      <c r="AH627" s="83"/>
      <c r="AI627" s="83"/>
      <c r="AJ627" s="83"/>
      <c r="AK627" s="83"/>
      <c r="AL627" s="83"/>
      <c r="AM627" s="83"/>
      <c r="AN627" s="83"/>
      <c r="AO627" s="83"/>
      <c r="AP627" s="83"/>
      <c r="AQ627" s="83"/>
      <c r="AR627" s="83"/>
      <c r="AS627" s="83"/>
      <c r="AT627" s="83"/>
    </row>
    <row r="628" spans="1:46" ht="13.8">
      <c r="A628" s="83"/>
      <c r="B628" s="83"/>
      <c r="C628" s="83"/>
      <c r="D628" s="83"/>
      <c r="E628" s="82"/>
      <c r="F628" s="82"/>
      <c r="G628" s="83"/>
      <c r="H628" s="83"/>
      <c r="I628" s="83"/>
      <c r="J628" s="83"/>
      <c r="K628" s="83"/>
      <c r="L628" s="83"/>
      <c r="M628" s="83"/>
      <c r="N628" s="83"/>
      <c r="O628" s="83"/>
      <c r="P628" s="83"/>
      <c r="Q628" s="83"/>
      <c r="R628" s="83"/>
      <c r="S628" s="83"/>
      <c r="T628" s="83"/>
      <c r="U628" s="83"/>
      <c r="V628" s="83"/>
      <c r="W628" s="83"/>
      <c r="X628" s="83"/>
      <c r="Y628" s="83"/>
      <c r="Z628" s="83"/>
      <c r="AA628" s="83"/>
      <c r="AB628" s="83"/>
      <c r="AC628" s="83"/>
      <c r="AD628" s="83"/>
      <c r="AE628" s="83"/>
      <c r="AF628" s="83"/>
      <c r="AG628" s="83"/>
      <c r="AH628" s="83"/>
      <c r="AI628" s="83"/>
      <c r="AJ628" s="83"/>
      <c r="AK628" s="83"/>
      <c r="AL628" s="83"/>
      <c r="AM628" s="83"/>
      <c r="AN628" s="83"/>
      <c r="AO628" s="83"/>
      <c r="AP628" s="83"/>
      <c r="AQ628" s="83"/>
      <c r="AR628" s="83"/>
      <c r="AS628" s="83"/>
      <c r="AT628" s="83"/>
    </row>
    <row r="629" spans="1:46" ht="13.8">
      <c r="A629" s="83"/>
      <c r="B629" s="83"/>
      <c r="C629" s="83"/>
      <c r="D629" s="83"/>
      <c r="E629" s="82"/>
      <c r="F629" s="82"/>
      <c r="G629" s="83"/>
      <c r="H629" s="83"/>
      <c r="I629" s="83"/>
      <c r="J629" s="83"/>
      <c r="K629" s="83"/>
      <c r="L629" s="83"/>
      <c r="M629" s="83"/>
      <c r="N629" s="83"/>
      <c r="O629" s="83"/>
      <c r="P629" s="83"/>
      <c r="Q629" s="83"/>
      <c r="R629" s="83"/>
      <c r="S629" s="83"/>
      <c r="T629" s="83"/>
      <c r="U629" s="83"/>
      <c r="V629" s="83"/>
      <c r="W629" s="83"/>
      <c r="X629" s="83"/>
      <c r="Y629" s="83"/>
      <c r="Z629" s="83"/>
      <c r="AA629" s="83"/>
      <c r="AB629" s="83"/>
      <c r="AC629" s="83"/>
      <c r="AD629" s="83"/>
      <c r="AE629" s="83"/>
      <c r="AF629" s="83"/>
      <c r="AG629" s="83"/>
      <c r="AH629" s="83"/>
      <c r="AI629" s="83"/>
      <c r="AJ629" s="83"/>
      <c r="AK629" s="83"/>
      <c r="AL629" s="83"/>
      <c r="AM629" s="83"/>
      <c r="AN629" s="83"/>
      <c r="AO629" s="83"/>
      <c r="AP629" s="83"/>
      <c r="AQ629" s="83"/>
      <c r="AR629" s="83"/>
      <c r="AS629" s="83"/>
      <c r="AT629" s="83"/>
    </row>
    <row r="630" spans="1:46" ht="13.8">
      <c r="A630" s="83"/>
      <c r="B630" s="83"/>
      <c r="C630" s="83"/>
      <c r="D630" s="83"/>
      <c r="E630" s="82"/>
      <c r="F630" s="82"/>
      <c r="G630" s="83"/>
      <c r="H630" s="83"/>
      <c r="I630" s="83"/>
      <c r="J630" s="83"/>
      <c r="K630" s="83"/>
      <c r="L630" s="83"/>
      <c r="M630" s="83"/>
      <c r="N630" s="83"/>
      <c r="O630" s="83"/>
      <c r="P630" s="83"/>
      <c r="Q630" s="83"/>
      <c r="R630" s="83"/>
      <c r="S630" s="83"/>
      <c r="T630" s="83"/>
      <c r="U630" s="83"/>
      <c r="V630" s="83"/>
      <c r="W630" s="83"/>
      <c r="X630" s="83"/>
      <c r="Y630" s="83"/>
      <c r="Z630" s="83"/>
      <c r="AA630" s="83"/>
      <c r="AB630" s="83"/>
      <c r="AC630" s="83"/>
      <c r="AD630" s="83"/>
      <c r="AE630" s="83"/>
      <c r="AF630" s="83"/>
      <c r="AG630" s="83"/>
      <c r="AH630" s="83"/>
      <c r="AI630" s="83"/>
      <c r="AJ630" s="83"/>
      <c r="AK630" s="83"/>
      <c r="AL630" s="83"/>
      <c r="AM630" s="83"/>
      <c r="AN630" s="83"/>
      <c r="AO630" s="83"/>
      <c r="AP630" s="83"/>
      <c r="AQ630" s="83"/>
      <c r="AR630" s="83"/>
      <c r="AS630" s="83"/>
      <c r="AT630" s="83"/>
    </row>
    <row r="631" spans="1:46" ht="13.8">
      <c r="A631" s="83"/>
      <c r="B631" s="83"/>
      <c r="C631" s="83"/>
      <c r="D631" s="83"/>
      <c r="E631" s="82"/>
      <c r="F631" s="82"/>
      <c r="G631" s="83"/>
      <c r="H631" s="83"/>
      <c r="I631" s="83"/>
      <c r="J631" s="83"/>
      <c r="K631" s="83"/>
      <c r="L631" s="83"/>
      <c r="M631" s="83"/>
      <c r="N631" s="83"/>
      <c r="O631" s="83"/>
      <c r="P631" s="83"/>
      <c r="Q631" s="83"/>
      <c r="R631" s="83"/>
      <c r="S631" s="83"/>
      <c r="T631" s="83"/>
      <c r="U631" s="83"/>
      <c r="V631" s="83"/>
      <c r="W631" s="83"/>
      <c r="X631" s="83"/>
      <c r="Y631" s="83"/>
      <c r="Z631" s="83"/>
      <c r="AA631" s="83"/>
      <c r="AB631" s="83"/>
      <c r="AC631" s="83"/>
      <c r="AD631" s="83"/>
      <c r="AE631" s="83"/>
      <c r="AF631" s="83"/>
      <c r="AG631" s="83"/>
      <c r="AH631" s="83"/>
      <c r="AI631" s="83"/>
      <c r="AJ631" s="83"/>
      <c r="AK631" s="83"/>
      <c r="AL631" s="83"/>
      <c r="AM631" s="83"/>
      <c r="AN631" s="83"/>
      <c r="AO631" s="83"/>
      <c r="AP631" s="83"/>
      <c r="AQ631" s="83"/>
      <c r="AR631" s="83"/>
      <c r="AS631" s="83"/>
      <c r="AT631" s="83"/>
    </row>
    <row r="632" spans="1:46" ht="13.8">
      <c r="A632" s="83"/>
      <c r="B632" s="83"/>
      <c r="C632" s="83"/>
      <c r="D632" s="83"/>
      <c r="E632" s="82"/>
      <c r="F632" s="82"/>
      <c r="G632" s="83"/>
      <c r="H632" s="83"/>
      <c r="I632" s="83"/>
      <c r="J632" s="83"/>
      <c r="K632" s="83"/>
      <c r="L632" s="83"/>
      <c r="M632" s="83"/>
      <c r="N632" s="83"/>
      <c r="O632" s="83"/>
      <c r="P632" s="83"/>
      <c r="Q632" s="83"/>
      <c r="R632" s="83"/>
      <c r="S632" s="83"/>
      <c r="T632" s="83"/>
      <c r="U632" s="83"/>
      <c r="V632" s="83"/>
      <c r="W632" s="83"/>
      <c r="X632" s="83"/>
      <c r="Y632" s="83"/>
      <c r="Z632" s="83"/>
      <c r="AA632" s="83"/>
      <c r="AB632" s="83"/>
      <c r="AC632" s="83"/>
      <c r="AD632" s="83"/>
      <c r="AE632" s="83"/>
      <c r="AF632" s="83"/>
      <c r="AG632" s="83"/>
      <c r="AH632" s="83"/>
      <c r="AI632" s="83"/>
      <c r="AJ632" s="83"/>
      <c r="AK632" s="83"/>
      <c r="AL632" s="83"/>
      <c r="AM632" s="83"/>
      <c r="AN632" s="83"/>
      <c r="AO632" s="83"/>
      <c r="AP632" s="83"/>
      <c r="AQ632" s="83"/>
      <c r="AR632" s="83"/>
      <c r="AS632" s="83"/>
      <c r="AT632" s="83"/>
    </row>
    <row r="633" spans="1:46" ht="13.8">
      <c r="A633" s="83"/>
      <c r="B633" s="83"/>
      <c r="C633" s="83"/>
      <c r="D633" s="83"/>
      <c r="E633" s="82"/>
      <c r="F633" s="82"/>
      <c r="G633" s="83"/>
      <c r="H633" s="83"/>
      <c r="I633" s="83"/>
      <c r="J633" s="83"/>
      <c r="K633" s="83"/>
      <c r="L633" s="83"/>
      <c r="M633" s="83"/>
      <c r="N633" s="83"/>
      <c r="O633" s="83"/>
      <c r="P633" s="83"/>
      <c r="Q633" s="83"/>
      <c r="R633" s="83"/>
      <c r="S633" s="83"/>
      <c r="T633" s="83"/>
      <c r="U633" s="83"/>
      <c r="V633" s="83"/>
      <c r="W633" s="83"/>
      <c r="X633" s="83"/>
      <c r="Y633" s="83"/>
      <c r="Z633" s="83"/>
      <c r="AA633" s="83"/>
      <c r="AB633" s="83"/>
      <c r="AC633" s="83"/>
      <c r="AD633" s="83"/>
      <c r="AE633" s="83"/>
      <c r="AF633" s="83"/>
      <c r="AG633" s="83"/>
      <c r="AH633" s="83"/>
      <c r="AI633" s="83"/>
      <c r="AJ633" s="83"/>
      <c r="AK633" s="83"/>
      <c r="AL633" s="83"/>
      <c r="AM633" s="83"/>
      <c r="AN633" s="83"/>
      <c r="AO633" s="83"/>
      <c r="AP633" s="83"/>
      <c r="AQ633" s="83"/>
      <c r="AR633" s="83"/>
      <c r="AS633" s="83"/>
      <c r="AT633" s="83"/>
    </row>
    <row r="634" spans="1:46" ht="13.8">
      <c r="A634" s="83"/>
      <c r="B634" s="83"/>
      <c r="C634" s="83"/>
      <c r="D634" s="83"/>
      <c r="E634" s="82"/>
      <c r="F634" s="82"/>
      <c r="G634" s="83"/>
      <c r="H634" s="83"/>
      <c r="I634" s="83"/>
      <c r="J634" s="83"/>
      <c r="K634" s="83"/>
      <c r="L634" s="83"/>
      <c r="M634" s="83"/>
      <c r="N634" s="83"/>
      <c r="O634" s="83"/>
      <c r="P634" s="83"/>
      <c r="Q634" s="83"/>
      <c r="R634" s="83"/>
      <c r="S634" s="83"/>
      <c r="T634" s="83"/>
      <c r="U634" s="83"/>
      <c r="V634" s="83"/>
      <c r="W634" s="83"/>
      <c r="X634" s="83"/>
      <c r="Y634" s="83"/>
      <c r="Z634" s="83"/>
      <c r="AA634" s="83"/>
      <c r="AB634" s="83"/>
      <c r="AC634" s="83"/>
      <c r="AD634" s="83"/>
      <c r="AE634" s="83"/>
      <c r="AF634" s="83"/>
      <c r="AG634" s="83"/>
      <c r="AH634" s="83"/>
      <c r="AI634" s="83"/>
      <c r="AJ634" s="83"/>
      <c r="AK634" s="83"/>
      <c r="AL634" s="83"/>
      <c r="AM634" s="83"/>
      <c r="AN634" s="83"/>
      <c r="AO634" s="83"/>
      <c r="AP634" s="83"/>
      <c r="AQ634" s="83"/>
      <c r="AR634" s="83"/>
      <c r="AS634" s="83"/>
      <c r="AT634" s="83"/>
    </row>
    <row r="635" spans="1:46" ht="13.8">
      <c r="A635" s="83"/>
      <c r="B635" s="83"/>
      <c r="C635" s="83"/>
      <c r="D635" s="83"/>
      <c r="E635" s="82"/>
      <c r="F635" s="82"/>
      <c r="G635" s="83"/>
      <c r="H635" s="83"/>
      <c r="I635" s="83"/>
      <c r="J635" s="83"/>
      <c r="K635" s="83"/>
      <c r="L635" s="83"/>
      <c r="M635" s="83"/>
      <c r="N635" s="83"/>
      <c r="O635" s="83"/>
      <c r="P635" s="83"/>
      <c r="Q635" s="83"/>
      <c r="R635" s="83"/>
      <c r="S635" s="83"/>
      <c r="T635" s="83"/>
      <c r="U635" s="83"/>
      <c r="V635" s="83"/>
      <c r="W635" s="83"/>
      <c r="X635" s="83"/>
      <c r="Y635" s="83"/>
      <c r="Z635" s="83"/>
      <c r="AA635" s="83"/>
      <c r="AB635" s="83"/>
      <c r="AC635" s="83"/>
      <c r="AD635" s="83"/>
      <c r="AE635" s="83"/>
      <c r="AF635" s="83"/>
      <c r="AG635" s="83"/>
      <c r="AH635" s="83"/>
      <c r="AI635" s="83"/>
      <c r="AJ635" s="83"/>
      <c r="AK635" s="83"/>
      <c r="AL635" s="83"/>
      <c r="AM635" s="83"/>
      <c r="AN635" s="83"/>
      <c r="AO635" s="83"/>
      <c r="AP635" s="83"/>
      <c r="AQ635" s="83"/>
      <c r="AR635" s="83"/>
      <c r="AS635" s="83"/>
      <c r="AT635" s="83"/>
    </row>
    <row r="636" spans="1:46" ht="13.8">
      <c r="A636" s="83"/>
      <c r="B636" s="83"/>
      <c r="C636" s="83"/>
      <c r="D636" s="83"/>
      <c r="E636" s="82"/>
      <c r="F636" s="82"/>
      <c r="G636" s="83"/>
      <c r="H636" s="83"/>
      <c r="I636" s="83"/>
      <c r="J636" s="83"/>
      <c r="K636" s="83"/>
      <c r="L636" s="83"/>
      <c r="M636" s="83"/>
      <c r="N636" s="83"/>
      <c r="O636" s="83"/>
      <c r="P636" s="83"/>
      <c r="Q636" s="83"/>
      <c r="R636" s="83"/>
      <c r="S636" s="83"/>
      <c r="T636" s="83"/>
      <c r="U636" s="83"/>
      <c r="V636" s="83"/>
      <c r="W636" s="83"/>
      <c r="X636" s="83"/>
      <c r="Y636" s="83"/>
      <c r="Z636" s="83"/>
      <c r="AA636" s="83"/>
      <c r="AB636" s="83"/>
      <c r="AC636" s="83"/>
      <c r="AD636" s="83"/>
      <c r="AE636" s="83"/>
      <c r="AF636" s="83"/>
      <c r="AG636" s="83"/>
      <c r="AH636" s="83"/>
      <c r="AI636" s="83"/>
      <c r="AJ636" s="83"/>
      <c r="AK636" s="83"/>
      <c r="AL636" s="83"/>
      <c r="AM636" s="83"/>
      <c r="AN636" s="83"/>
      <c r="AO636" s="83"/>
      <c r="AP636" s="83"/>
      <c r="AQ636" s="83"/>
      <c r="AR636" s="83"/>
      <c r="AS636" s="83"/>
      <c r="AT636" s="83"/>
    </row>
    <row r="637" spans="1:46" ht="13.8">
      <c r="A637" s="83"/>
      <c r="B637" s="83"/>
      <c r="C637" s="83"/>
      <c r="D637" s="83"/>
      <c r="E637" s="82"/>
      <c r="F637" s="82"/>
      <c r="G637" s="83"/>
      <c r="H637" s="83"/>
      <c r="I637" s="83"/>
      <c r="J637" s="83"/>
      <c r="K637" s="83"/>
      <c r="L637" s="83"/>
      <c r="M637" s="83"/>
      <c r="N637" s="83"/>
      <c r="O637" s="83"/>
      <c r="P637" s="83"/>
      <c r="Q637" s="83"/>
      <c r="R637" s="83"/>
      <c r="S637" s="83"/>
      <c r="T637" s="83"/>
      <c r="U637" s="83"/>
      <c r="V637" s="83"/>
      <c r="W637" s="83"/>
      <c r="X637" s="83"/>
      <c r="Y637" s="83"/>
      <c r="Z637" s="83"/>
      <c r="AA637" s="83"/>
      <c r="AB637" s="83"/>
      <c r="AC637" s="83"/>
      <c r="AD637" s="83"/>
      <c r="AE637" s="83"/>
      <c r="AF637" s="83"/>
      <c r="AG637" s="83"/>
      <c r="AH637" s="83"/>
      <c r="AI637" s="83"/>
      <c r="AJ637" s="83"/>
      <c r="AK637" s="83"/>
      <c r="AL637" s="83"/>
      <c r="AM637" s="83"/>
      <c r="AN637" s="83"/>
      <c r="AO637" s="83"/>
      <c r="AP637" s="83"/>
      <c r="AQ637" s="83"/>
      <c r="AR637" s="83"/>
      <c r="AS637" s="83"/>
      <c r="AT637" s="83"/>
    </row>
    <row r="638" spans="1:46" ht="13.8">
      <c r="A638" s="83"/>
      <c r="B638" s="83"/>
      <c r="C638" s="83"/>
      <c r="D638" s="83"/>
      <c r="E638" s="82"/>
      <c r="F638" s="82"/>
      <c r="G638" s="83"/>
      <c r="H638" s="83"/>
      <c r="I638" s="83"/>
      <c r="J638" s="83"/>
      <c r="K638" s="83"/>
      <c r="L638" s="83"/>
      <c r="M638" s="83"/>
      <c r="N638" s="83"/>
      <c r="O638" s="83"/>
      <c r="P638" s="83"/>
      <c r="Q638" s="83"/>
      <c r="R638" s="83"/>
      <c r="S638" s="83"/>
      <c r="T638" s="83"/>
      <c r="U638" s="83"/>
      <c r="V638" s="83"/>
      <c r="W638" s="83"/>
      <c r="X638" s="83"/>
      <c r="Y638" s="83"/>
      <c r="Z638" s="83"/>
      <c r="AA638" s="83"/>
      <c r="AB638" s="83"/>
      <c r="AC638" s="83"/>
      <c r="AD638" s="83"/>
      <c r="AE638" s="83"/>
      <c r="AF638" s="83"/>
      <c r="AG638" s="83"/>
      <c r="AH638" s="83"/>
      <c r="AI638" s="83"/>
      <c r="AJ638" s="83"/>
      <c r="AK638" s="83"/>
      <c r="AL638" s="83"/>
      <c r="AM638" s="83"/>
      <c r="AN638" s="83"/>
      <c r="AO638" s="83"/>
      <c r="AP638" s="83"/>
      <c r="AQ638" s="83"/>
      <c r="AR638" s="83"/>
      <c r="AS638" s="83"/>
      <c r="AT638" s="83"/>
    </row>
    <row r="639" spans="1:46" ht="13.8">
      <c r="A639" s="83"/>
      <c r="B639" s="83"/>
      <c r="C639" s="83"/>
      <c r="D639" s="83"/>
      <c r="E639" s="82"/>
      <c r="F639" s="82"/>
      <c r="G639" s="83"/>
      <c r="H639" s="83"/>
      <c r="I639" s="83"/>
      <c r="J639" s="83"/>
      <c r="K639" s="83"/>
      <c r="L639" s="83"/>
      <c r="M639" s="83"/>
      <c r="N639" s="83"/>
      <c r="O639" s="83"/>
      <c r="P639" s="83"/>
      <c r="Q639" s="83"/>
      <c r="R639" s="83"/>
      <c r="S639" s="83"/>
      <c r="T639" s="83"/>
      <c r="U639" s="83"/>
      <c r="V639" s="83"/>
      <c r="W639" s="83"/>
      <c r="X639" s="83"/>
      <c r="Y639" s="83"/>
      <c r="Z639" s="83"/>
      <c r="AA639" s="83"/>
      <c r="AB639" s="83"/>
      <c r="AC639" s="83"/>
      <c r="AD639" s="83"/>
      <c r="AE639" s="83"/>
      <c r="AF639" s="83"/>
      <c r="AG639" s="83"/>
      <c r="AH639" s="83"/>
      <c r="AI639" s="83"/>
      <c r="AJ639" s="83"/>
      <c r="AK639" s="83"/>
      <c r="AL639" s="83"/>
      <c r="AM639" s="83"/>
      <c r="AN639" s="83"/>
      <c r="AO639" s="83"/>
      <c r="AP639" s="83"/>
      <c r="AQ639" s="83"/>
      <c r="AR639" s="83"/>
      <c r="AS639" s="83"/>
      <c r="AT639" s="83"/>
    </row>
    <row r="640" spans="1:46" ht="13.8">
      <c r="A640" s="83"/>
      <c r="B640" s="83"/>
      <c r="C640" s="83"/>
      <c r="D640" s="83"/>
      <c r="E640" s="82"/>
      <c r="F640" s="82"/>
      <c r="G640" s="83"/>
      <c r="H640" s="83"/>
      <c r="I640" s="83"/>
      <c r="J640" s="83"/>
      <c r="K640" s="83"/>
      <c r="L640" s="83"/>
      <c r="M640" s="83"/>
      <c r="N640" s="83"/>
      <c r="O640" s="83"/>
      <c r="P640" s="83"/>
      <c r="Q640" s="83"/>
      <c r="R640" s="83"/>
      <c r="S640" s="83"/>
      <c r="T640" s="83"/>
      <c r="U640" s="83"/>
      <c r="V640" s="83"/>
      <c r="W640" s="83"/>
      <c r="X640" s="83"/>
      <c r="Y640" s="83"/>
      <c r="Z640" s="83"/>
      <c r="AA640" s="83"/>
      <c r="AB640" s="83"/>
      <c r="AC640" s="83"/>
      <c r="AD640" s="83"/>
      <c r="AE640" s="83"/>
      <c r="AF640" s="83"/>
      <c r="AG640" s="83"/>
      <c r="AH640" s="83"/>
      <c r="AI640" s="83"/>
      <c r="AJ640" s="83"/>
      <c r="AK640" s="83"/>
      <c r="AL640" s="83"/>
      <c r="AM640" s="83"/>
      <c r="AN640" s="83"/>
      <c r="AO640" s="83"/>
      <c r="AP640" s="83"/>
      <c r="AQ640" s="83"/>
      <c r="AR640" s="83"/>
      <c r="AS640" s="83"/>
      <c r="AT640" s="83"/>
    </row>
    <row r="641" spans="1:46" ht="13.8">
      <c r="A641" s="83"/>
      <c r="B641" s="83"/>
      <c r="C641" s="83"/>
      <c r="D641" s="83"/>
      <c r="E641" s="82"/>
      <c r="F641" s="82"/>
      <c r="G641" s="83"/>
      <c r="H641" s="83"/>
      <c r="I641" s="83"/>
      <c r="J641" s="83"/>
      <c r="K641" s="83"/>
      <c r="L641" s="83"/>
      <c r="M641" s="83"/>
      <c r="N641" s="83"/>
      <c r="O641" s="83"/>
      <c r="P641" s="83"/>
      <c r="Q641" s="83"/>
      <c r="R641" s="83"/>
      <c r="S641" s="83"/>
      <c r="T641" s="83"/>
      <c r="U641" s="83"/>
      <c r="V641" s="83"/>
      <c r="W641" s="83"/>
      <c r="X641" s="83"/>
      <c r="Y641" s="83"/>
      <c r="Z641" s="83"/>
      <c r="AA641" s="83"/>
      <c r="AB641" s="83"/>
      <c r="AC641" s="83"/>
      <c r="AD641" s="83"/>
      <c r="AE641" s="83"/>
      <c r="AF641" s="83"/>
      <c r="AG641" s="83"/>
      <c r="AH641" s="83"/>
      <c r="AI641" s="83"/>
      <c r="AJ641" s="83"/>
      <c r="AK641" s="83"/>
      <c r="AL641" s="83"/>
      <c r="AM641" s="83"/>
      <c r="AN641" s="83"/>
      <c r="AO641" s="83"/>
      <c r="AP641" s="83"/>
      <c r="AQ641" s="83"/>
      <c r="AR641" s="83"/>
      <c r="AS641" s="83"/>
      <c r="AT641" s="83"/>
    </row>
    <row r="642" spans="1:46" ht="13.8">
      <c r="A642" s="83"/>
      <c r="B642" s="83"/>
      <c r="C642" s="83"/>
      <c r="D642" s="83"/>
      <c r="E642" s="82"/>
      <c r="F642" s="82"/>
      <c r="G642" s="83"/>
      <c r="H642" s="83"/>
      <c r="I642" s="83"/>
      <c r="J642" s="83"/>
      <c r="K642" s="83"/>
      <c r="L642" s="83"/>
      <c r="M642" s="83"/>
      <c r="N642" s="83"/>
      <c r="O642" s="83"/>
      <c r="P642" s="83"/>
      <c r="Q642" s="83"/>
      <c r="R642" s="83"/>
      <c r="S642" s="83"/>
      <c r="T642" s="83"/>
      <c r="U642" s="83"/>
      <c r="V642" s="83"/>
      <c r="W642" s="83"/>
      <c r="X642" s="83"/>
      <c r="Y642" s="83"/>
      <c r="Z642" s="83"/>
      <c r="AA642" s="83"/>
      <c r="AB642" s="83"/>
      <c r="AC642" s="83"/>
      <c r="AD642" s="83"/>
      <c r="AE642" s="83"/>
      <c r="AF642" s="83"/>
      <c r="AG642" s="83"/>
      <c r="AH642" s="83"/>
      <c r="AI642" s="83"/>
      <c r="AJ642" s="83"/>
      <c r="AK642" s="83"/>
      <c r="AL642" s="83"/>
      <c r="AM642" s="83"/>
      <c r="AN642" s="83"/>
      <c r="AO642" s="83"/>
      <c r="AP642" s="83"/>
      <c r="AQ642" s="83"/>
      <c r="AR642" s="83"/>
      <c r="AS642" s="83"/>
      <c r="AT642" s="83"/>
    </row>
    <row r="643" spans="1:46" ht="13.8">
      <c r="A643" s="83"/>
      <c r="B643" s="83"/>
      <c r="C643" s="83"/>
      <c r="D643" s="83"/>
      <c r="E643" s="82"/>
      <c r="F643" s="82"/>
      <c r="G643" s="83"/>
      <c r="H643" s="83"/>
      <c r="I643" s="83"/>
      <c r="J643" s="83"/>
      <c r="K643" s="83"/>
      <c r="L643" s="83"/>
      <c r="M643" s="83"/>
      <c r="N643" s="83"/>
      <c r="O643" s="83"/>
      <c r="P643" s="83"/>
      <c r="Q643" s="83"/>
      <c r="R643" s="83"/>
      <c r="S643" s="83"/>
      <c r="T643" s="83"/>
      <c r="U643" s="83"/>
      <c r="V643" s="83"/>
      <c r="W643" s="83"/>
      <c r="X643" s="83"/>
      <c r="Y643" s="83"/>
      <c r="Z643" s="83"/>
      <c r="AA643" s="83"/>
      <c r="AB643" s="83"/>
      <c r="AC643" s="83"/>
      <c r="AD643" s="83"/>
      <c r="AE643" s="83"/>
      <c r="AF643" s="83"/>
      <c r="AG643" s="83"/>
      <c r="AH643" s="83"/>
      <c r="AI643" s="83"/>
      <c r="AJ643" s="83"/>
      <c r="AK643" s="83"/>
      <c r="AL643" s="83"/>
      <c r="AM643" s="83"/>
      <c r="AN643" s="83"/>
      <c r="AO643" s="83"/>
      <c r="AP643" s="83"/>
      <c r="AQ643" s="83"/>
      <c r="AR643" s="83"/>
      <c r="AS643" s="83"/>
      <c r="AT643" s="83"/>
    </row>
    <row r="644" spans="1:46" ht="13.8">
      <c r="A644" s="83"/>
      <c r="B644" s="83"/>
      <c r="C644" s="83"/>
      <c r="D644" s="83"/>
      <c r="E644" s="82"/>
      <c r="F644" s="82"/>
      <c r="G644" s="83"/>
      <c r="H644" s="83"/>
      <c r="I644" s="83"/>
      <c r="J644" s="83"/>
      <c r="K644" s="83"/>
      <c r="L644" s="83"/>
      <c r="M644" s="83"/>
      <c r="N644" s="83"/>
      <c r="O644" s="83"/>
      <c r="P644" s="83"/>
      <c r="Q644" s="83"/>
      <c r="R644" s="83"/>
      <c r="S644" s="83"/>
      <c r="T644" s="83"/>
      <c r="U644" s="83"/>
      <c r="V644" s="83"/>
      <c r="W644" s="83"/>
      <c r="X644" s="83"/>
      <c r="Y644" s="83"/>
      <c r="Z644" s="83"/>
      <c r="AA644" s="83"/>
      <c r="AB644" s="83"/>
      <c r="AC644" s="83"/>
      <c r="AD644" s="83"/>
      <c r="AE644" s="83"/>
      <c r="AF644" s="83"/>
      <c r="AG644" s="83"/>
      <c r="AH644" s="83"/>
      <c r="AI644" s="83"/>
      <c r="AJ644" s="83"/>
      <c r="AK644" s="83"/>
      <c r="AL644" s="83"/>
      <c r="AM644" s="83"/>
      <c r="AN644" s="83"/>
      <c r="AO644" s="83"/>
      <c r="AP644" s="83"/>
      <c r="AQ644" s="83"/>
      <c r="AR644" s="83"/>
      <c r="AS644" s="83"/>
      <c r="AT644" s="83"/>
    </row>
    <row r="645" spans="1:46" ht="13.8">
      <c r="A645" s="83"/>
      <c r="B645" s="83"/>
      <c r="C645" s="83"/>
      <c r="D645" s="83"/>
      <c r="E645" s="82"/>
      <c r="F645" s="82"/>
      <c r="G645" s="83"/>
      <c r="H645" s="83"/>
      <c r="I645" s="83"/>
      <c r="J645" s="83"/>
      <c r="K645" s="83"/>
      <c r="L645" s="83"/>
      <c r="M645" s="83"/>
      <c r="N645" s="83"/>
      <c r="O645" s="83"/>
      <c r="P645" s="83"/>
      <c r="Q645" s="83"/>
      <c r="R645" s="83"/>
      <c r="S645" s="83"/>
      <c r="T645" s="83"/>
      <c r="U645" s="83"/>
      <c r="V645" s="83"/>
      <c r="W645" s="83"/>
      <c r="X645" s="83"/>
      <c r="Y645" s="83"/>
      <c r="Z645" s="83"/>
      <c r="AA645" s="83"/>
      <c r="AB645" s="83"/>
      <c r="AC645" s="83"/>
      <c r="AD645" s="83"/>
      <c r="AE645" s="83"/>
      <c r="AF645" s="83"/>
      <c r="AG645" s="83"/>
      <c r="AH645" s="83"/>
      <c r="AI645" s="83"/>
      <c r="AJ645" s="83"/>
      <c r="AK645" s="83"/>
      <c r="AL645" s="83"/>
      <c r="AM645" s="83"/>
      <c r="AN645" s="83"/>
      <c r="AO645" s="83"/>
      <c r="AP645" s="83"/>
      <c r="AQ645" s="83"/>
      <c r="AR645" s="83"/>
      <c r="AS645" s="83"/>
      <c r="AT645" s="83"/>
    </row>
    <row r="646" spans="1:46" ht="13.8">
      <c r="A646" s="83"/>
      <c r="B646" s="83"/>
      <c r="C646" s="83"/>
      <c r="D646" s="83"/>
      <c r="E646" s="82"/>
      <c r="F646" s="82"/>
      <c r="G646" s="83"/>
      <c r="H646" s="83"/>
      <c r="I646" s="83"/>
      <c r="J646" s="83"/>
      <c r="K646" s="83"/>
      <c r="L646" s="83"/>
      <c r="M646" s="83"/>
      <c r="N646" s="83"/>
      <c r="O646" s="83"/>
      <c r="P646" s="83"/>
      <c r="Q646" s="83"/>
      <c r="R646" s="83"/>
      <c r="S646" s="83"/>
      <c r="T646" s="83"/>
      <c r="U646" s="83"/>
      <c r="V646" s="83"/>
      <c r="W646" s="83"/>
      <c r="X646" s="83"/>
      <c r="Y646" s="83"/>
      <c r="Z646" s="83"/>
      <c r="AA646" s="83"/>
      <c r="AB646" s="83"/>
      <c r="AC646" s="83"/>
      <c r="AD646" s="83"/>
      <c r="AE646" s="83"/>
      <c r="AF646" s="83"/>
      <c r="AG646" s="83"/>
      <c r="AH646" s="83"/>
      <c r="AI646" s="83"/>
      <c r="AJ646" s="83"/>
      <c r="AK646" s="83"/>
      <c r="AL646" s="83"/>
      <c r="AM646" s="83"/>
      <c r="AN646" s="83"/>
      <c r="AO646" s="83"/>
      <c r="AP646" s="83"/>
      <c r="AQ646" s="83"/>
      <c r="AR646" s="83"/>
      <c r="AS646" s="83"/>
      <c r="AT646" s="83"/>
    </row>
    <row r="647" spans="1:46" ht="13.8">
      <c r="A647" s="83"/>
      <c r="B647" s="83"/>
      <c r="C647" s="83"/>
      <c r="D647" s="83"/>
      <c r="E647" s="82"/>
      <c r="F647" s="82"/>
      <c r="G647" s="83"/>
      <c r="H647" s="83"/>
      <c r="I647" s="83"/>
      <c r="J647" s="83"/>
      <c r="K647" s="83"/>
      <c r="L647" s="83"/>
      <c r="M647" s="83"/>
      <c r="N647" s="83"/>
      <c r="O647" s="83"/>
      <c r="P647" s="83"/>
      <c r="Q647" s="83"/>
      <c r="R647" s="83"/>
      <c r="S647" s="83"/>
      <c r="T647" s="83"/>
      <c r="U647" s="83"/>
      <c r="V647" s="83"/>
      <c r="W647" s="83"/>
      <c r="X647" s="83"/>
      <c r="Y647" s="83"/>
      <c r="Z647" s="83"/>
      <c r="AA647" s="83"/>
      <c r="AB647" s="83"/>
      <c r="AC647" s="83"/>
      <c r="AD647" s="83"/>
      <c r="AE647" s="83"/>
      <c r="AF647" s="83"/>
      <c r="AG647" s="83"/>
      <c r="AH647" s="83"/>
      <c r="AI647" s="83"/>
      <c r="AJ647" s="83"/>
      <c r="AK647" s="83"/>
      <c r="AL647" s="83"/>
      <c r="AM647" s="83"/>
      <c r="AN647" s="83"/>
      <c r="AO647" s="83"/>
      <c r="AP647" s="83"/>
      <c r="AQ647" s="83"/>
      <c r="AR647" s="83"/>
      <c r="AS647" s="83"/>
      <c r="AT647" s="83"/>
    </row>
    <row r="648" spans="1:46" ht="13.8">
      <c r="A648" s="83"/>
      <c r="B648" s="83"/>
      <c r="C648" s="83"/>
      <c r="D648" s="83"/>
      <c r="E648" s="82"/>
      <c r="F648" s="82"/>
      <c r="G648" s="83"/>
      <c r="H648" s="83"/>
      <c r="I648" s="83"/>
      <c r="J648" s="83"/>
      <c r="K648" s="83"/>
      <c r="L648" s="83"/>
      <c r="M648" s="83"/>
      <c r="N648" s="83"/>
      <c r="O648" s="83"/>
      <c r="P648" s="83"/>
      <c r="Q648" s="83"/>
      <c r="R648" s="83"/>
      <c r="S648" s="83"/>
      <c r="T648" s="83"/>
      <c r="U648" s="83"/>
      <c r="V648" s="83"/>
      <c r="W648" s="83"/>
      <c r="X648" s="83"/>
      <c r="Y648" s="83"/>
      <c r="Z648" s="83"/>
      <c r="AA648" s="83"/>
      <c r="AB648" s="83"/>
      <c r="AC648" s="83"/>
      <c r="AD648" s="83"/>
      <c r="AE648" s="83"/>
      <c r="AF648" s="83"/>
      <c r="AG648" s="83"/>
      <c r="AH648" s="83"/>
      <c r="AI648" s="83"/>
      <c r="AJ648" s="83"/>
      <c r="AK648" s="83"/>
      <c r="AL648" s="83"/>
      <c r="AM648" s="83"/>
      <c r="AN648" s="83"/>
      <c r="AO648" s="83"/>
      <c r="AP648" s="83"/>
      <c r="AQ648" s="83"/>
      <c r="AR648" s="83"/>
      <c r="AS648" s="83"/>
      <c r="AT648" s="83"/>
    </row>
    <row r="649" spans="1:46" ht="13.8">
      <c r="A649" s="83"/>
      <c r="B649" s="83"/>
      <c r="C649" s="83"/>
      <c r="D649" s="83"/>
      <c r="E649" s="82"/>
      <c r="F649" s="82"/>
      <c r="G649" s="83"/>
      <c r="H649" s="83"/>
      <c r="I649" s="83"/>
      <c r="J649" s="83"/>
      <c r="K649" s="83"/>
      <c r="L649" s="83"/>
      <c r="M649" s="83"/>
      <c r="N649" s="83"/>
      <c r="O649" s="83"/>
      <c r="P649" s="83"/>
      <c r="Q649" s="83"/>
      <c r="R649" s="83"/>
      <c r="S649" s="83"/>
      <c r="T649" s="83"/>
      <c r="U649" s="83"/>
      <c r="V649" s="83"/>
      <c r="W649" s="83"/>
      <c r="X649" s="83"/>
      <c r="Y649" s="83"/>
      <c r="Z649" s="83"/>
      <c r="AA649" s="83"/>
      <c r="AB649" s="83"/>
      <c r="AC649" s="83"/>
      <c r="AD649" s="83"/>
      <c r="AE649" s="83"/>
      <c r="AF649" s="83"/>
      <c r="AG649" s="83"/>
      <c r="AH649" s="83"/>
      <c r="AI649" s="83"/>
      <c r="AJ649" s="83"/>
      <c r="AK649" s="83"/>
      <c r="AL649" s="83"/>
      <c r="AM649" s="83"/>
      <c r="AN649" s="83"/>
      <c r="AO649" s="83"/>
      <c r="AP649" s="83"/>
      <c r="AQ649" s="83"/>
      <c r="AR649" s="83"/>
      <c r="AS649" s="83"/>
      <c r="AT649" s="83"/>
    </row>
    <row r="650" spans="1:46" ht="13.8">
      <c r="A650" s="83"/>
      <c r="B650" s="83"/>
      <c r="C650" s="83"/>
      <c r="D650" s="83"/>
      <c r="E650" s="82"/>
      <c r="F650" s="82"/>
      <c r="G650" s="83"/>
      <c r="H650" s="83"/>
      <c r="I650" s="83"/>
      <c r="J650" s="83"/>
      <c r="K650" s="83"/>
      <c r="L650" s="83"/>
      <c r="M650" s="83"/>
      <c r="N650" s="83"/>
      <c r="O650" s="83"/>
      <c r="P650" s="83"/>
      <c r="Q650" s="83"/>
      <c r="R650" s="83"/>
      <c r="S650" s="83"/>
      <c r="T650" s="83"/>
      <c r="U650" s="83"/>
      <c r="V650" s="83"/>
      <c r="W650" s="83"/>
      <c r="X650" s="83"/>
      <c r="Y650" s="83"/>
      <c r="Z650" s="83"/>
      <c r="AA650" s="83"/>
      <c r="AB650" s="83"/>
      <c r="AC650" s="83"/>
      <c r="AD650" s="83"/>
      <c r="AE650" s="83"/>
      <c r="AF650" s="83"/>
      <c r="AG650" s="83"/>
      <c r="AH650" s="83"/>
      <c r="AI650" s="83"/>
      <c r="AJ650" s="83"/>
      <c r="AK650" s="83"/>
      <c r="AL650" s="83"/>
      <c r="AM650" s="83"/>
      <c r="AN650" s="83"/>
      <c r="AO650" s="83"/>
      <c r="AP650" s="83"/>
      <c r="AQ650" s="83"/>
      <c r="AR650" s="83"/>
      <c r="AS650" s="83"/>
      <c r="AT650" s="83"/>
    </row>
    <row r="651" spans="1:46" ht="13.8">
      <c r="A651" s="83"/>
      <c r="B651" s="83"/>
      <c r="C651" s="83"/>
      <c r="D651" s="83"/>
      <c r="E651" s="82"/>
      <c r="F651" s="82"/>
      <c r="G651" s="83"/>
      <c r="H651" s="83"/>
      <c r="I651" s="83"/>
      <c r="J651" s="83"/>
      <c r="K651" s="83"/>
      <c r="L651" s="83"/>
      <c r="M651" s="83"/>
      <c r="N651" s="83"/>
      <c r="O651" s="83"/>
      <c r="P651" s="83"/>
      <c r="Q651" s="83"/>
      <c r="R651" s="83"/>
      <c r="S651" s="83"/>
      <c r="T651" s="83"/>
      <c r="U651" s="83"/>
      <c r="V651" s="83"/>
      <c r="W651" s="83"/>
      <c r="X651" s="83"/>
      <c r="Y651" s="83"/>
      <c r="Z651" s="83"/>
      <c r="AA651" s="83"/>
      <c r="AB651" s="83"/>
      <c r="AC651" s="83"/>
      <c r="AD651" s="83"/>
      <c r="AE651" s="83"/>
      <c r="AF651" s="83"/>
      <c r="AG651" s="83"/>
      <c r="AH651" s="83"/>
      <c r="AI651" s="83"/>
      <c r="AJ651" s="83"/>
      <c r="AK651" s="83"/>
      <c r="AL651" s="83"/>
      <c r="AM651" s="83"/>
      <c r="AN651" s="83"/>
      <c r="AO651" s="83"/>
      <c r="AP651" s="83"/>
      <c r="AQ651" s="83"/>
      <c r="AR651" s="83"/>
      <c r="AS651" s="83"/>
      <c r="AT651" s="83"/>
    </row>
    <row r="652" spans="1:46" ht="13.8">
      <c r="A652" s="83"/>
      <c r="B652" s="83"/>
      <c r="C652" s="83"/>
      <c r="D652" s="83"/>
      <c r="E652" s="82"/>
      <c r="F652" s="82"/>
      <c r="G652" s="83"/>
      <c r="H652" s="83"/>
      <c r="I652" s="83"/>
      <c r="J652" s="83"/>
      <c r="K652" s="83"/>
      <c r="L652" s="83"/>
      <c r="M652" s="83"/>
      <c r="N652" s="83"/>
      <c r="O652" s="83"/>
      <c r="P652" s="83"/>
      <c r="Q652" s="83"/>
      <c r="R652" s="83"/>
      <c r="S652" s="83"/>
      <c r="T652" s="83"/>
      <c r="U652" s="83"/>
      <c r="V652" s="83"/>
      <c r="W652" s="83"/>
      <c r="X652" s="83"/>
      <c r="Y652" s="83"/>
      <c r="Z652" s="83"/>
      <c r="AA652" s="83"/>
      <c r="AB652" s="83"/>
      <c r="AC652" s="83"/>
      <c r="AD652" s="83"/>
      <c r="AE652" s="83"/>
      <c r="AF652" s="83"/>
      <c r="AG652" s="83"/>
      <c r="AH652" s="83"/>
      <c r="AI652" s="83"/>
      <c r="AJ652" s="83"/>
      <c r="AK652" s="83"/>
      <c r="AL652" s="83"/>
      <c r="AM652" s="83"/>
      <c r="AN652" s="83"/>
      <c r="AO652" s="83"/>
      <c r="AP652" s="83"/>
      <c r="AQ652" s="83"/>
      <c r="AR652" s="83"/>
      <c r="AS652" s="83"/>
      <c r="AT652" s="83"/>
    </row>
    <row r="653" spans="1:46" ht="13.8">
      <c r="A653" s="83"/>
      <c r="B653" s="83"/>
      <c r="C653" s="83"/>
      <c r="D653" s="83"/>
      <c r="E653" s="82"/>
      <c r="F653" s="82"/>
      <c r="G653" s="83"/>
      <c r="H653" s="83"/>
      <c r="I653" s="83"/>
      <c r="J653" s="83"/>
      <c r="K653" s="83"/>
      <c r="L653" s="83"/>
      <c r="M653" s="83"/>
      <c r="N653" s="83"/>
      <c r="O653" s="83"/>
      <c r="P653" s="83"/>
      <c r="Q653" s="83"/>
      <c r="R653" s="83"/>
      <c r="S653" s="83"/>
      <c r="T653" s="83"/>
      <c r="U653" s="83"/>
      <c r="V653" s="83"/>
      <c r="W653" s="83"/>
      <c r="X653" s="83"/>
      <c r="Y653" s="83"/>
      <c r="Z653" s="83"/>
      <c r="AA653" s="83"/>
      <c r="AB653" s="83"/>
      <c r="AC653" s="83"/>
      <c r="AD653" s="83"/>
      <c r="AE653" s="83"/>
      <c r="AF653" s="83"/>
      <c r="AG653" s="83"/>
      <c r="AH653" s="83"/>
      <c r="AI653" s="83"/>
      <c r="AJ653" s="83"/>
      <c r="AK653" s="83"/>
      <c r="AL653" s="83"/>
      <c r="AM653" s="83"/>
      <c r="AN653" s="83"/>
      <c r="AO653" s="83"/>
      <c r="AP653" s="83"/>
      <c r="AQ653" s="83"/>
      <c r="AR653" s="83"/>
      <c r="AS653" s="83"/>
      <c r="AT653" s="83"/>
    </row>
    <row r="654" spans="1:46" ht="13.8">
      <c r="A654" s="83"/>
      <c r="B654" s="83"/>
      <c r="C654" s="83"/>
      <c r="D654" s="83"/>
      <c r="E654" s="82"/>
      <c r="F654" s="82"/>
      <c r="G654" s="83"/>
      <c r="H654" s="83"/>
      <c r="I654" s="83"/>
      <c r="J654" s="83"/>
      <c r="K654" s="83"/>
      <c r="L654" s="83"/>
      <c r="M654" s="83"/>
      <c r="N654" s="83"/>
      <c r="O654" s="83"/>
      <c r="P654" s="83"/>
      <c r="Q654" s="83"/>
      <c r="R654" s="83"/>
      <c r="S654" s="83"/>
      <c r="T654" s="83"/>
      <c r="U654" s="83"/>
      <c r="V654" s="83"/>
      <c r="W654" s="83"/>
      <c r="X654" s="83"/>
      <c r="Y654" s="83"/>
      <c r="Z654" s="83"/>
      <c r="AA654" s="83"/>
      <c r="AB654" s="83"/>
      <c r="AC654" s="83"/>
      <c r="AD654" s="83"/>
      <c r="AE654" s="83"/>
      <c r="AF654" s="83"/>
      <c r="AG654" s="83"/>
      <c r="AH654" s="83"/>
      <c r="AI654" s="83"/>
      <c r="AJ654" s="83"/>
      <c r="AK654" s="83"/>
      <c r="AL654" s="83"/>
      <c r="AM654" s="83"/>
      <c r="AN654" s="83"/>
      <c r="AO654" s="83"/>
      <c r="AP654" s="83"/>
      <c r="AQ654" s="83"/>
      <c r="AR654" s="83"/>
      <c r="AS654" s="83"/>
      <c r="AT654" s="83"/>
    </row>
    <row r="655" spans="1:46" ht="13.8">
      <c r="A655" s="83"/>
      <c r="B655" s="83"/>
      <c r="C655" s="83"/>
      <c r="D655" s="83"/>
      <c r="E655" s="82"/>
      <c r="F655" s="82"/>
      <c r="G655" s="83"/>
      <c r="H655" s="83"/>
      <c r="I655" s="83"/>
      <c r="J655" s="83"/>
      <c r="K655" s="83"/>
      <c r="L655" s="83"/>
      <c r="M655" s="83"/>
      <c r="N655" s="83"/>
      <c r="O655" s="83"/>
      <c r="P655" s="83"/>
      <c r="Q655" s="83"/>
      <c r="R655" s="83"/>
      <c r="S655" s="83"/>
      <c r="T655" s="83"/>
      <c r="U655" s="83"/>
      <c r="V655" s="83"/>
      <c r="W655" s="83"/>
      <c r="X655" s="83"/>
      <c r="Y655" s="83"/>
      <c r="Z655" s="83"/>
      <c r="AA655" s="83"/>
      <c r="AB655" s="83"/>
      <c r="AC655" s="83"/>
      <c r="AD655" s="83"/>
      <c r="AE655" s="83"/>
      <c r="AF655" s="83"/>
      <c r="AG655" s="83"/>
      <c r="AH655" s="83"/>
      <c r="AI655" s="83"/>
      <c r="AJ655" s="83"/>
      <c r="AK655" s="83"/>
      <c r="AL655" s="83"/>
      <c r="AM655" s="83"/>
      <c r="AN655" s="83"/>
      <c r="AO655" s="83"/>
      <c r="AP655" s="83"/>
      <c r="AQ655" s="83"/>
      <c r="AR655" s="83"/>
      <c r="AS655" s="83"/>
      <c r="AT655" s="83"/>
    </row>
    <row r="656" spans="1:46" ht="13.8">
      <c r="A656" s="83"/>
      <c r="B656" s="83"/>
      <c r="C656" s="83"/>
      <c r="D656" s="83"/>
      <c r="E656" s="82"/>
      <c r="F656" s="82"/>
      <c r="G656" s="83"/>
      <c r="H656" s="83"/>
      <c r="I656" s="83"/>
      <c r="J656" s="83"/>
      <c r="K656" s="83"/>
      <c r="L656" s="83"/>
      <c r="M656" s="83"/>
      <c r="N656" s="83"/>
      <c r="O656" s="83"/>
      <c r="P656" s="83"/>
      <c r="Q656" s="83"/>
      <c r="R656" s="83"/>
      <c r="S656" s="83"/>
      <c r="T656" s="83"/>
      <c r="U656" s="83"/>
      <c r="V656" s="83"/>
      <c r="W656" s="83"/>
      <c r="X656" s="83"/>
      <c r="Y656" s="83"/>
      <c r="Z656" s="83"/>
      <c r="AA656" s="83"/>
      <c r="AB656" s="83"/>
      <c r="AC656" s="83"/>
      <c r="AD656" s="83"/>
      <c r="AE656" s="83"/>
      <c r="AF656" s="83"/>
      <c r="AG656" s="83"/>
      <c r="AH656" s="83"/>
      <c r="AI656" s="83"/>
      <c r="AJ656" s="83"/>
      <c r="AK656" s="83"/>
      <c r="AL656" s="83"/>
      <c r="AM656" s="83"/>
      <c r="AN656" s="83"/>
      <c r="AO656" s="83"/>
      <c r="AP656" s="83"/>
      <c r="AQ656" s="83"/>
      <c r="AR656" s="83"/>
      <c r="AS656" s="83"/>
      <c r="AT656" s="83"/>
    </row>
    <row r="657" spans="1:46" ht="13.8">
      <c r="A657" s="83"/>
      <c r="B657" s="83"/>
      <c r="C657" s="83"/>
      <c r="D657" s="83"/>
      <c r="E657" s="82"/>
      <c r="F657" s="82"/>
      <c r="G657" s="83"/>
      <c r="H657" s="83"/>
      <c r="I657" s="83"/>
      <c r="J657" s="83"/>
      <c r="K657" s="83"/>
      <c r="L657" s="83"/>
      <c r="M657" s="83"/>
      <c r="N657" s="83"/>
      <c r="O657" s="83"/>
      <c r="P657" s="83"/>
      <c r="Q657" s="83"/>
      <c r="R657" s="83"/>
      <c r="S657" s="83"/>
      <c r="T657" s="83"/>
      <c r="U657" s="83"/>
      <c r="V657" s="83"/>
      <c r="W657" s="83"/>
      <c r="X657" s="83"/>
      <c r="Y657" s="83"/>
      <c r="Z657" s="83"/>
      <c r="AA657" s="83"/>
      <c r="AB657" s="83"/>
      <c r="AC657" s="83"/>
      <c r="AD657" s="83"/>
      <c r="AE657" s="83"/>
      <c r="AF657" s="83"/>
      <c r="AG657" s="83"/>
      <c r="AH657" s="83"/>
      <c r="AI657" s="83"/>
      <c r="AJ657" s="83"/>
      <c r="AK657" s="83"/>
      <c r="AL657" s="83"/>
      <c r="AM657" s="83"/>
      <c r="AN657" s="83"/>
      <c r="AO657" s="83"/>
      <c r="AP657" s="83"/>
      <c r="AQ657" s="83"/>
      <c r="AR657" s="83"/>
      <c r="AS657" s="83"/>
      <c r="AT657" s="83"/>
    </row>
    <row r="658" spans="1:46" ht="13.8">
      <c r="A658" s="83"/>
      <c r="B658" s="83"/>
      <c r="C658" s="83"/>
      <c r="D658" s="83"/>
      <c r="E658" s="82"/>
      <c r="F658" s="82"/>
      <c r="G658" s="83"/>
      <c r="H658" s="83"/>
      <c r="I658" s="83"/>
      <c r="J658" s="83"/>
      <c r="K658" s="83"/>
      <c r="L658" s="83"/>
      <c r="M658" s="83"/>
      <c r="N658" s="83"/>
      <c r="O658" s="83"/>
      <c r="P658" s="83"/>
      <c r="Q658" s="83"/>
      <c r="R658" s="83"/>
      <c r="S658" s="83"/>
      <c r="T658" s="83"/>
      <c r="U658" s="83"/>
      <c r="V658" s="83"/>
      <c r="W658" s="83"/>
      <c r="X658" s="83"/>
      <c r="Y658" s="83"/>
      <c r="Z658" s="83"/>
      <c r="AA658" s="83"/>
      <c r="AB658" s="83"/>
      <c r="AC658" s="83"/>
      <c r="AD658" s="83"/>
      <c r="AE658" s="83"/>
      <c r="AF658" s="83"/>
      <c r="AG658" s="83"/>
      <c r="AH658" s="83"/>
      <c r="AI658" s="83"/>
      <c r="AJ658" s="83"/>
      <c r="AK658" s="83"/>
      <c r="AL658" s="83"/>
      <c r="AM658" s="83"/>
      <c r="AN658" s="83"/>
      <c r="AO658" s="83"/>
      <c r="AP658" s="83"/>
      <c r="AQ658" s="83"/>
      <c r="AR658" s="83"/>
      <c r="AS658" s="83"/>
      <c r="AT658" s="83"/>
    </row>
    <row r="659" spans="1:46" ht="13.8">
      <c r="A659" s="83"/>
      <c r="B659" s="83"/>
      <c r="C659" s="83"/>
      <c r="D659" s="83"/>
      <c r="E659" s="82"/>
      <c r="F659" s="82"/>
      <c r="G659" s="83"/>
      <c r="H659" s="83"/>
      <c r="I659" s="83"/>
      <c r="J659" s="83"/>
      <c r="K659" s="83"/>
      <c r="L659" s="83"/>
      <c r="M659" s="83"/>
      <c r="N659" s="83"/>
      <c r="O659" s="83"/>
      <c r="P659" s="83"/>
      <c r="Q659" s="83"/>
      <c r="R659" s="83"/>
      <c r="S659" s="83"/>
      <c r="T659" s="83"/>
      <c r="U659" s="83"/>
      <c r="V659" s="83"/>
      <c r="W659" s="83"/>
      <c r="X659" s="83"/>
      <c r="Y659" s="83"/>
      <c r="Z659" s="83"/>
      <c r="AA659" s="83"/>
      <c r="AB659" s="83"/>
      <c r="AC659" s="83"/>
      <c r="AD659" s="83"/>
      <c r="AE659" s="83"/>
      <c r="AF659" s="83"/>
      <c r="AG659" s="83"/>
      <c r="AH659" s="83"/>
      <c r="AI659" s="83"/>
      <c r="AJ659" s="83"/>
      <c r="AK659" s="83"/>
      <c r="AL659" s="83"/>
      <c r="AM659" s="83"/>
      <c r="AN659" s="83"/>
      <c r="AO659" s="83"/>
      <c r="AP659" s="83"/>
      <c r="AQ659" s="83"/>
      <c r="AR659" s="83"/>
      <c r="AS659" s="83"/>
      <c r="AT659" s="83"/>
    </row>
    <row r="660" spans="1:46" ht="13.8">
      <c r="A660" s="83"/>
      <c r="B660" s="83"/>
      <c r="C660" s="83"/>
      <c r="D660" s="83"/>
      <c r="E660" s="82"/>
      <c r="F660" s="82"/>
      <c r="G660" s="83"/>
      <c r="H660" s="83"/>
      <c r="I660" s="83"/>
      <c r="J660" s="83"/>
      <c r="K660" s="83"/>
      <c r="L660" s="83"/>
      <c r="M660" s="83"/>
      <c r="N660" s="83"/>
      <c r="O660" s="83"/>
      <c r="P660" s="83"/>
      <c r="Q660" s="83"/>
      <c r="R660" s="83"/>
      <c r="S660" s="83"/>
      <c r="T660" s="83"/>
      <c r="U660" s="83"/>
      <c r="V660" s="83"/>
      <c r="W660" s="83"/>
      <c r="X660" s="83"/>
      <c r="Y660" s="83"/>
      <c r="Z660" s="83"/>
      <c r="AA660" s="83"/>
      <c r="AB660" s="83"/>
      <c r="AC660" s="83"/>
      <c r="AD660" s="83"/>
      <c r="AE660" s="83"/>
      <c r="AF660" s="83"/>
      <c r="AG660" s="83"/>
      <c r="AH660" s="83"/>
      <c r="AI660" s="83"/>
      <c r="AJ660" s="83"/>
      <c r="AK660" s="83"/>
      <c r="AL660" s="83"/>
      <c r="AM660" s="83"/>
      <c r="AN660" s="83"/>
      <c r="AO660" s="83"/>
      <c r="AP660" s="83"/>
      <c r="AQ660" s="83"/>
      <c r="AR660" s="83"/>
      <c r="AS660" s="83"/>
      <c r="AT660" s="83"/>
    </row>
    <row r="661" spans="1:46" ht="13.8">
      <c r="A661" s="83"/>
      <c r="B661" s="83"/>
      <c r="C661" s="83"/>
      <c r="D661" s="83"/>
      <c r="E661" s="82"/>
      <c r="F661" s="82"/>
      <c r="G661" s="83"/>
      <c r="H661" s="83"/>
      <c r="I661" s="83"/>
      <c r="J661" s="83"/>
      <c r="K661" s="83"/>
      <c r="L661" s="83"/>
      <c r="M661" s="83"/>
      <c r="N661" s="83"/>
      <c r="O661" s="83"/>
      <c r="P661" s="83"/>
      <c r="Q661" s="83"/>
      <c r="R661" s="83"/>
      <c r="S661" s="83"/>
      <c r="T661" s="83"/>
      <c r="U661" s="83"/>
      <c r="V661" s="83"/>
      <c r="W661" s="83"/>
      <c r="X661" s="83"/>
      <c r="Y661" s="83"/>
      <c r="Z661" s="83"/>
      <c r="AA661" s="83"/>
      <c r="AB661" s="83"/>
      <c r="AC661" s="83"/>
      <c r="AD661" s="83"/>
      <c r="AE661" s="83"/>
      <c r="AF661" s="83"/>
      <c r="AG661" s="83"/>
      <c r="AH661" s="83"/>
      <c r="AI661" s="83"/>
      <c r="AJ661" s="83"/>
      <c r="AK661" s="83"/>
      <c r="AL661" s="83"/>
      <c r="AM661" s="83"/>
      <c r="AN661" s="83"/>
      <c r="AO661" s="83"/>
      <c r="AP661" s="83"/>
      <c r="AQ661" s="83"/>
      <c r="AR661" s="83"/>
      <c r="AS661" s="83"/>
      <c r="AT661" s="83"/>
    </row>
    <row r="662" spans="1:46" ht="13.8">
      <c r="A662" s="83"/>
      <c r="B662" s="83"/>
      <c r="C662" s="83"/>
      <c r="D662" s="83"/>
      <c r="E662" s="82"/>
      <c r="F662" s="82"/>
      <c r="G662" s="83"/>
      <c r="H662" s="83"/>
      <c r="I662" s="83"/>
      <c r="J662" s="83"/>
      <c r="K662" s="83"/>
      <c r="L662" s="83"/>
      <c r="M662" s="83"/>
      <c r="N662" s="83"/>
      <c r="O662" s="83"/>
      <c r="P662" s="83"/>
      <c r="Q662" s="83"/>
      <c r="R662" s="83"/>
      <c r="S662" s="83"/>
      <c r="T662" s="83"/>
      <c r="U662" s="83"/>
      <c r="V662" s="83"/>
      <c r="W662" s="83"/>
      <c r="X662" s="83"/>
      <c r="Y662" s="83"/>
      <c r="Z662" s="83"/>
      <c r="AA662" s="83"/>
      <c r="AB662" s="83"/>
      <c r="AC662" s="83"/>
      <c r="AD662" s="83"/>
      <c r="AE662" s="83"/>
      <c r="AF662" s="83"/>
      <c r="AG662" s="83"/>
      <c r="AH662" s="83"/>
      <c r="AI662" s="83"/>
      <c r="AJ662" s="83"/>
      <c r="AK662" s="83"/>
      <c r="AL662" s="83"/>
      <c r="AM662" s="83"/>
      <c r="AN662" s="83"/>
      <c r="AO662" s="83"/>
      <c r="AP662" s="83"/>
      <c r="AQ662" s="83"/>
      <c r="AR662" s="83"/>
      <c r="AS662" s="83"/>
      <c r="AT662" s="83"/>
    </row>
    <row r="663" spans="1:46" ht="13.8">
      <c r="A663" s="83"/>
      <c r="B663" s="83"/>
      <c r="C663" s="83"/>
      <c r="D663" s="83"/>
      <c r="E663" s="82"/>
      <c r="F663" s="82"/>
      <c r="G663" s="83"/>
      <c r="H663" s="83"/>
      <c r="I663" s="83"/>
      <c r="J663" s="83"/>
      <c r="K663" s="83"/>
      <c r="L663" s="83"/>
      <c r="M663" s="83"/>
      <c r="N663" s="83"/>
      <c r="O663" s="83"/>
      <c r="P663" s="83"/>
      <c r="Q663" s="83"/>
      <c r="R663" s="83"/>
      <c r="S663" s="83"/>
      <c r="T663" s="83"/>
      <c r="U663" s="83"/>
      <c r="V663" s="83"/>
      <c r="W663" s="83"/>
      <c r="X663" s="83"/>
      <c r="Y663" s="83"/>
      <c r="Z663" s="83"/>
      <c r="AA663" s="83"/>
      <c r="AB663" s="83"/>
      <c r="AC663" s="83"/>
      <c r="AD663" s="83"/>
      <c r="AE663" s="83"/>
      <c r="AF663" s="83"/>
      <c r="AG663" s="83"/>
      <c r="AH663" s="83"/>
      <c r="AI663" s="83"/>
      <c r="AJ663" s="83"/>
      <c r="AK663" s="83"/>
      <c r="AL663" s="83"/>
      <c r="AM663" s="83"/>
      <c r="AN663" s="83"/>
      <c r="AO663" s="83"/>
      <c r="AP663" s="83"/>
      <c r="AQ663" s="83"/>
      <c r="AR663" s="83"/>
      <c r="AS663" s="83"/>
      <c r="AT663" s="83"/>
    </row>
    <row r="664" spans="1:46" ht="13.8">
      <c r="A664" s="83"/>
      <c r="B664" s="83"/>
      <c r="C664" s="83"/>
      <c r="D664" s="83"/>
      <c r="E664" s="82"/>
      <c r="F664" s="82"/>
      <c r="G664" s="83"/>
      <c r="H664" s="83"/>
      <c r="I664" s="83"/>
      <c r="J664" s="83"/>
      <c r="K664" s="83"/>
      <c r="L664" s="83"/>
      <c r="M664" s="83"/>
      <c r="N664" s="83"/>
      <c r="O664" s="83"/>
      <c r="P664" s="83"/>
      <c r="Q664" s="83"/>
      <c r="R664" s="83"/>
      <c r="S664" s="83"/>
      <c r="T664" s="83"/>
      <c r="U664" s="83"/>
      <c r="V664" s="83"/>
      <c r="W664" s="83"/>
      <c r="X664" s="83"/>
      <c r="Y664" s="83"/>
      <c r="Z664" s="83"/>
      <c r="AA664" s="83"/>
      <c r="AB664" s="83"/>
      <c r="AC664" s="83"/>
      <c r="AD664" s="83"/>
      <c r="AE664" s="83"/>
      <c r="AF664" s="83"/>
      <c r="AG664" s="83"/>
      <c r="AH664" s="83"/>
      <c r="AI664" s="83"/>
      <c r="AJ664" s="83"/>
      <c r="AK664" s="83"/>
      <c r="AL664" s="83"/>
      <c r="AM664" s="83"/>
      <c r="AN664" s="83"/>
      <c r="AO664" s="83"/>
      <c r="AP664" s="83"/>
      <c r="AQ664" s="83"/>
      <c r="AR664" s="83"/>
      <c r="AS664" s="83"/>
      <c r="AT664" s="83"/>
    </row>
    <row r="665" spans="1:46" ht="13.8">
      <c r="A665" s="83"/>
      <c r="B665" s="83"/>
      <c r="C665" s="83"/>
      <c r="D665" s="83"/>
      <c r="E665" s="82"/>
      <c r="F665" s="82"/>
      <c r="G665" s="83"/>
      <c r="H665" s="83"/>
      <c r="I665" s="83"/>
      <c r="J665" s="83"/>
      <c r="K665" s="83"/>
      <c r="L665" s="83"/>
      <c r="M665" s="83"/>
      <c r="N665" s="83"/>
      <c r="O665" s="83"/>
      <c r="P665" s="83"/>
      <c r="Q665" s="83"/>
      <c r="R665" s="83"/>
      <c r="S665" s="83"/>
      <c r="T665" s="83"/>
      <c r="U665" s="83"/>
      <c r="V665" s="83"/>
      <c r="W665" s="83"/>
      <c r="X665" s="83"/>
      <c r="Y665" s="83"/>
      <c r="Z665" s="83"/>
      <c r="AA665" s="83"/>
      <c r="AB665" s="83"/>
      <c r="AC665" s="83"/>
      <c r="AD665" s="83"/>
      <c r="AE665" s="83"/>
      <c r="AF665" s="83"/>
      <c r="AG665" s="83"/>
      <c r="AH665" s="83"/>
      <c r="AI665" s="83"/>
      <c r="AJ665" s="83"/>
      <c r="AK665" s="83"/>
      <c r="AL665" s="83"/>
      <c r="AM665" s="83"/>
      <c r="AN665" s="83"/>
      <c r="AO665" s="83"/>
      <c r="AP665" s="83"/>
      <c r="AQ665" s="83"/>
      <c r="AR665" s="83"/>
      <c r="AS665" s="83"/>
      <c r="AT665" s="83"/>
    </row>
    <row r="666" spans="1:46" ht="13.8">
      <c r="A666" s="83"/>
      <c r="B666" s="83"/>
      <c r="C666" s="83"/>
      <c r="D666" s="83"/>
      <c r="E666" s="82"/>
      <c r="F666" s="82"/>
      <c r="G666" s="83"/>
      <c r="H666" s="83"/>
      <c r="I666" s="83"/>
      <c r="J666" s="83"/>
      <c r="K666" s="83"/>
      <c r="L666" s="83"/>
      <c r="M666" s="83"/>
      <c r="N666" s="83"/>
      <c r="O666" s="83"/>
      <c r="P666" s="83"/>
      <c r="Q666" s="83"/>
      <c r="R666" s="83"/>
      <c r="S666" s="83"/>
      <c r="T666" s="83"/>
      <c r="U666" s="83"/>
      <c r="V666" s="83"/>
      <c r="W666" s="83"/>
      <c r="X666" s="83"/>
      <c r="Y666" s="83"/>
      <c r="Z666" s="83"/>
      <c r="AA666" s="83"/>
      <c r="AB666" s="83"/>
      <c r="AC666" s="83"/>
      <c r="AD666" s="83"/>
      <c r="AE666" s="83"/>
      <c r="AF666" s="83"/>
      <c r="AG666" s="83"/>
      <c r="AH666" s="83"/>
      <c r="AI666" s="83"/>
      <c r="AJ666" s="83"/>
      <c r="AK666" s="83"/>
      <c r="AL666" s="83"/>
      <c r="AM666" s="83"/>
      <c r="AN666" s="83"/>
      <c r="AO666" s="83"/>
      <c r="AP666" s="83"/>
      <c r="AQ666" s="83"/>
      <c r="AR666" s="83"/>
      <c r="AS666" s="83"/>
      <c r="AT666" s="83"/>
    </row>
    <row r="667" spans="1:46" ht="13.8">
      <c r="A667" s="83"/>
      <c r="B667" s="83"/>
      <c r="C667" s="83"/>
      <c r="D667" s="83"/>
      <c r="E667" s="82"/>
      <c r="F667" s="82"/>
      <c r="G667" s="83"/>
      <c r="H667" s="83"/>
      <c r="I667" s="83"/>
      <c r="J667" s="83"/>
      <c r="K667" s="83"/>
      <c r="L667" s="83"/>
      <c r="M667" s="83"/>
      <c r="N667" s="83"/>
      <c r="O667" s="83"/>
      <c r="P667" s="83"/>
      <c r="Q667" s="83"/>
      <c r="R667" s="83"/>
      <c r="S667" s="83"/>
      <c r="T667" s="83"/>
      <c r="U667" s="83"/>
      <c r="V667" s="83"/>
      <c r="W667" s="83"/>
      <c r="X667" s="83"/>
      <c r="Y667" s="83"/>
      <c r="Z667" s="83"/>
      <c r="AA667" s="83"/>
      <c r="AB667" s="83"/>
      <c r="AC667" s="83"/>
      <c r="AD667" s="83"/>
      <c r="AE667" s="83"/>
      <c r="AF667" s="83"/>
      <c r="AG667" s="83"/>
      <c r="AH667" s="83"/>
      <c r="AI667" s="83"/>
      <c r="AJ667" s="83"/>
      <c r="AK667" s="83"/>
      <c r="AL667" s="83"/>
      <c r="AM667" s="83"/>
      <c r="AN667" s="83"/>
      <c r="AO667" s="83"/>
      <c r="AP667" s="83"/>
      <c r="AQ667" s="83"/>
      <c r="AR667" s="83"/>
      <c r="AS667" s="83"/>
      <c r="AT667" s="83"/>
    </row>
    <row r="668" spans="1:46" ht="13.8">
      <c r="A668" s="83"/>
      <c r="B668" s="83"/>
      <c r="C668" s="83"/>
      <c r="D668" s="83"/>
      <c r="E668" s="82"/>
      <c r="F668" s="82"/>
      <c r="G668" s="83"/>
      <c r="H668" s="83"/>
      <c r="I668" s="83"/>
      <c r="J668" s="83"/>
      <c r="K668" s="83"/>
      <c r="L668" s="83"/>
      <c r="M668" s="83"/>
      <c r="N668" s="83"/>
      <c r="O668" s="83"/>
      <c r="P668" s="83"/>
      <c r="Q668" s="83"/>
      <c r="R668" s="83"/>
      <c r="S668" s="83"/>
      <c r="T668" s="83"/>
      <c r="U668" s="83"/>
      <c r="V668" s="83"/>
      <c r="W668" s="83"/>
      <c r="X668" s="83"/>
      <c r="Y668" s="83"/>
      <c r="Z668" s="83"/>
      <c r="AA668" s="83"/>
      <c r="AB668" s="83"/>
      <c r="AC668" s="83"/>
      <c r="AD668" s="83"/>
      <c r="AE668" s="83"/>
      <c r="AF668" s="83"/>
      <c r="AG668" s="83"/>
      <c r="AH668" s="83"/>
      <c r="AI668" s="83"/>
      <c r="AJ668" s="83"/>
      <c r="AK668" s="83"/>
      <c r="AL668" s="83"/>
      <c r="AM668" s="83"/>
      <c r="AN668" s="83"/>
      <c r="AO668" s="83"/>
      <c r="AP668" s="83"/>
      <c r="AQ668" s="83"/>
      <c r="AR668" s="83"/>
      <c r="AS668" s="83"/>
      <c r="AT668" s="83"/>
    </row>
    <row r="669" spans="1:46" ht="13.8">
      <c r="A669" s="83"/>
      <c r="B669" s="83"/>
      <c r="C669" s="83"/>
      <c r="D669" s="83"/>
      <c r="E669" s="82"/>
      <c r="F669" s="82"/>
      <c r="G669" s="83"/>
      <c r="H669" s="83"/>
      <c r="I669" s="83"/>
      <c r="J669" s="83"/>
      <c r="K669" s="83"/>
      <c r="L669" s="83"/>
      <c r="M669" s="83"/>
      <c r="N669" s="83"/>
      <c r="O669" s="83"/>
      <c r="P669" s="83"/>
      <c r="Q669" s="83"/>
      <c r="R669" s="83"/>
      <c r="S669" s="83"/>
      <c r="T669" s="83"/>
      <c r="U669" s="83"/>
      <c r="V669" s="83"/>
      <c r="W669" s="83"/>
      <c r="X669" s="83"/>
      <c r="Y669" s="83"/>
      <c r="Z669" s="83"/>
      <c r="AA669" s="83"/>
      <c r="AB669" s="83"/>
      <c r="AC669" s="83"/>
      <c r="AD669" s="83"/>
      <c r="AE669" s="83"/>
      <c r="AF669" s="83"/>
      <c r="AG669" s="83"/>
      <c r="AH669" s="83"/>
      <c r="AI669" s="83"/>
      <c r="AJ669" s="83"/>
      <c r="AK669" s="83"/>
      <c r="AL669" s="83"/>
      <c r="AM669" s="83"/>
      <c r="AN669" s="83"/>
      <c r="AO669" s="83"/>
      <c r="AP669" s="83"/>
      <c r="AQ669" s="83"/>
      <c r="AR669" s="83"/>
      <c r="AS669" s="83"/>
      <c r="AT669" s="83"/>
    </row>
    <row r="670" spans="1:46" ht="13.8">
      <c r="A670" s="83"/>
      <c r="B670" s="83"/>
      <c r="C670" s="83"/>
      <c r="D670" s="83"/>
      <c r="E670" s="82"/>
      <c r="F670" s="82"/>
      <c r="G670" s="83"/>
      <c r="H670" s="83"/>
      <c r="I670" s="83"/>
      <c r="J670" s="83"/>
      <c r="K670" s="83"/>
      <c r="L670" s="83"/>
      <c r="M670" s="83"/>
      <c r="N670" s="83"/>
      <c r="O670" s="83"/>
      <c r="P670" s="83"/>
      <c r="Q670" s="83"/>
      <c r="R670" s="83"/>
      <c r="S670" s="83"/>
      <c r="T670" s="83"/>
      <c r="U670" s="83"/>
      <c r="V670" s="83"/>
      <c r="W670" s="83"/>
      <c r="X670" s="83"/>
      <c r="Y670" s="83"/>
      <c r="Z670" s="83"/>
      <c r="AA670" s="83"/>
      <c r="AB670" s="83"/>
      <c r="AC670" s="83"/>
      <c r="AD670" s="83"/>
      <c r="AE670" s="83"/>
      <c r="AF670" s="83"/>
      <c r="AG670" s="83"/>
      <c r="AH670" s="83"/>
      <c r="AI670" s="83"/>
      <c r="AJ670" s="83"/>
      <c r="AK670" s="83"/>
      <c r="AL670" s="83"/>
      <c r="AM670" s="83"/>
      <c r="AN670" s="83"/>
      <c r="AO670" s="83"/>
      <c r="AP670" s="83"/>
      <c r="AQ670" s="83"/>
      <c r="AR670" s="83"/>
      <c r="AS670" s="83"/>
      <c r="AT670" s="83"/>
    </row>
    <row r="671" spans="1:46" ht="13.8">
      <c r="A671" s="83"/>
      <c r="B671" s="83"/>
      <c r="C671" s="83"/>
      <c r="D671" s="83"/>
      <c r="E671" s="82"/>
      <c r="F671" s="82"/>
      <c r="G671" s="83"/>
      <c r="H671" s="83"/>
      <c r="I671" s="83"/>
      <c r="J671" s="83"/>
      <c r="K671" s="83"/>
      <c r="L671" s="83"/>
      <c r="M671" s="83"/>
      <c r="N671" s="83"/>
      <c r="O671" s="83"/>
      <c r="P671" s="83"/>
      <c r="Q671" s="83"/>
      <c r="R671" s="83"/>
      <c r="S671" s="83"/>
      <c r="T671" s="83"/>
      <c r="U671" s="83"/>
      <c r="V671" s="83"/>
      <c r="W671" s="83"/>
      <c r="X671" s="83"/>
      <c r="Y671" s="83"/>
      <c r="Z671" s="83"/>
      <c r="AA671" s="83"/>
      <c r="AB671" s="83"/>
      <c r="AC671" s="83"/>
      <c r="AD671" s="83"/>
      <c r="AE671" s="83"/>
      <c r="AF671" s="83"/>
      <c r="AG671" s="83"/>
      <c r="AH671" s="83"/>
      <c r="AI671" s="83"/>
      <c r="AJ671" s="83"/>
      <c r="AK671" s="83"/>
      <c r="AL671" s="83"/>
      <c r="AM671" s="83"/>
      <c r="AN671" s="83"/>
      <c r="AO671" s="83"/>
      <c r="AP671" s="83"/>
      <c r="AQ671" s="83"/>
      <c r="AR671" s="83"/>
      <c r="AS671" s="83"/>
      <c r="AT671" s="83"/>
    </row>
    <row r="672" spans="1:46" ht="13.8">
      <c r="A672" s="83"/>
      <c r="B672" s="83"/>
      <c r="C672" s="83"/>
      <c r="D672" s="83"/>
      <c r="E672" s="82"/>
      <c r="F672" s="82"/>
      <c r="G672" s="83"/>
      <c r="H672" s="83"/>
      <c r="I672" s="83"/>
      <c r="J672" s="83"/>
      <c r="K672" s="83"/>
      <c r="L672" s="83"/>
      <c r="M672" s="83"/>
      <c r="N672" s="83"/>
      <c r="O672" s="83"/>
      <c r="P672" s="83"/>
      <c r="Q672" s="83"/>
      <c r="R672" s="83"/>
      <c r="S672" s="83"/>
      <c r="T672" s="83"/>
      <c r="U672" s="83"/>
      <c r="V672" s="83"/>
      <c r="W672" s="83"/>
      <c r="X672" s="83"/>
      <c r="Y672" s="83"/>
      <c r="Z672" s="83"/>
      <c r="AA672" s="83"/>
      <c r="AB672" s="83"/>
      <c r="AC672" s="83"/>
      <c r="AD672" s="83"/>
      <c r="AE672" s="83"/>
      <c r="AF672" s="83"/>
      <c r="AG672" s="83"/>
      <c r="AH672" s="83"/>
      <c r="AI672" s="83"/>
      <c r="AJ672" s="83"/>
      <c r="AK672" s="83"/>
      <c r="AL672" s="83"/>
      <c r="AM672" s="83"/>
      <c r="AN672" s="83"/>
      <c r="AO672" s="83"/>
      <c r="AP672" s="83"/>
      <c r="AQ672" s="83"/>
      <c r="AR672" s="83"/>
      <c r="AS672" s="83"/>
      <c r="AT672" s="83"/>
    </row>
    <row r="673" spans="1:46" ht="13.8">
      <c r="A673" s="83"/>
      <c r="B673" s="83"/>
      <c r="C673" s="83"/>
      <c r="D673" s="83"/>
      <c r="E673" s="82"/>
      <c r="F673" s="82"/>
      <c r="G673" s="83"/>
      <c r="H673" s="83"/>
      <c r="I673" s="83"/>
      <c r="J673" s="83"/>
      <c r="K673" s="83"/>
      <c r="L673" s="83"/>
      <c r="M673" s="83"/>
      <c r="N673" s="83"/>
      <c r="O673" s="83"/>
      <c r="P673" s="83"/>
      <c r="Q673" s="83"/>
      <c r="R673" s="83"/>
      <c r="S673" s="83"/>
      <c r="T673" s="83"/>
      <c r="U673" s="83"/>
      <c r="V673" s="83"/>
      <c r="W673" s="83"/>
      <c r="X673" s="83"/>
      <c r="Y673" s="83"/>
      <c r="Z673" s="83"/>
      <c r="AA673" s="83"/>
      <c r="AB673" s="83"/>
      <c r="AC673" s="83"/>
      <c r="AD673" s="83"/>
      <c r="AE673" s="83"/>
      <c r="AF673" s="83"/>
      <c r="AG673" s="83"/>
      <c r="AH673" s="83"/>
      <c r="AI673" s="83"/>
      <c r="AJ673" s="83"/>
      <c r="AK673" s="83"/>
      <c r="AL673" s="83"/>
      <c r="AM673" s="83"/>
      <c r="AN673" s="83"/>
      <c r="AO673" s="83"/>
      <c r="AP673" s="83"/>
      <c r="AQ673" s="83"/>
      <c r="AR673" s="83"/>
      <c r="AS673" s="83"/>
      <c r="AT673" s="83"/>
    </row>
    <row r="674" spans="1:46" ht="13.8">
      <c r="A674" s="83"/>
      <c r="B674" s="83"/>
      <c r="C674" s="83"/>
      <c r="D674" s="83"/>
      <c r="E674" s="82"/>
      <c r="F674" s="82"/>
      <c r="G674" s="83"/>
      <c r="H674" s="83"/>
      <c r="I674" s="83"/>
      <c r="J674" s="83"/>
      <c r="K674" s="83"/>
      <c r="L674" s="83"/>
      <c r="M674" s="83"/>
      <c r="N674" s="83"/>
      <c r="O674" s="83"/>
      <c r="P674" s="83"/>
      <c r="Q674" s="83"/>
      <c r="R674" s="83"/>
      <c r="S674" s="83"/>
      <c r="T674" s="83"/>
      <c r="U674" s="83"/>
      <c r="V674" s="83"/>
      <c r="W674" s="83"/>
      <c r="X674" s="83"/>
      <c r="Y674" s="83"/>
      <c r="Z674" s="83"/>
      <c r="AA674" s="83"/>
      <c r="AB674" s="83"/>
      <c r="AC674" s="83"/>
      <c r="AD674" s="83"/>
      <c r="AE674" s="83"/>
      <c r="AF674" s="83"/>
      <c r="AG674" s="83"/>
      <c r="AH674" s="83"/>
      <c r="AI674" s="83"/>
      <c r="AJ674" s="83"/>
      <c r="AK674" s="83"/>
      <c r="AL674" s="83"/>
      <c r="AM674" s="83"/>
      <c r="AN674" s="83"/>
      <c r="AO674" s="83"/>
      <c r="AP674" s="83"/>
      <c r="AQ674" s="83"/>
      <c r="AR674" s="83"/>
      <c r="AS674" s="83"/>
      <c r="AT674" s="83"/>
    </row>
    <row r="675" spans="1:46" ht="13.8">
      <c r="A675" s="83"/>
      <c r="B675" s="83"/>
      <c r="C675" s="83"/>
      <c r="D675" s="83"/>
      <c r="E675" s="82"/>
      <c r="F675" s="82"/>
      <c r="G675" s="83"/>
      <c r="H675" s="83"/>
      <c r="I675" s="83"/>
      <c r="J675" s="83"/>
      <c r="K675" s="83"/>
      <c r="L675" s="83"/>
      <c r="M675" s="83"/>
      <c r="N675" s="83"/>
      <c r="O675" s="83"/>
      <c r="P675" s="83"/>
      <c r="Q675" s="83"/>
      <c r="R675" s="83"/>
      <c r="S675" s="83"/>
      <c r="T675" s="83"/>
      <c r="U675" s="83"/>
      <c r="V675" s="83"/>
      <c r="W675" s="83"/>
      <c r="X675" s="83"/>
      <c r="Y675" s="83"/>
      <c r="Z675" s="83"/>
      <c r="AA675" s="83"/>
      <c r="AB675" s="83"/>
      <c r="AC675" s="83"/>
      <c r="AD675" s="83"/>
      <c r="AE675" s="83"/>
      <c r="AF675" s="83"/>
      <c r="AG675" s="83"/>
      <c r="AH675" s="83"/>
      <c r="AI675" s="83"/>
      <c r="AJ675" s="83"/>
      <c r="AK675" s="83"/>
      <c r="AL675" s="83"/>
      <c r="AM675" s="83"/>
      <c r="AN675" s="83"/>
      <c r="AO675" s="83"/>
      <c r="AP675" s="83"/>
      <c r="AQ675" s="83"/>
      <c r="AR675" s="83"/>
      <c r="AS675" s="83"/>
      <c r="AT675" s="83"/>
    </row>
    <row r="676" spans="1:46" ht="13.8">
      <c r="A676" s="83"/>
      <c r="B676" s="83"/>
      <c r="C676" s="83"/>
      <c r="D676" s="83"/>
      <c r="E676" s="82"/>
      <c r="F676" s="82"/>
      <c r="G676" s="83"/>
      <c r="H676" s="83"/>
      <c r="I676" s="83"/>
      <c r="J676" s="83"/>
      <c r="K676" s="83"/>
      <c r="L676" s="83"/>
      <c r="M676" s="83"/>
      <c r="N676" s="83"/>
      <c r="O676" s="83"/>
      <c r="P676" s="83"/>
      <c r="Q676" s="83"/>
      <c r="R676" s="83"/>
      <c r="S676" s="83"/>
      <c r="T676" s="83"/>
      <c r="U676" s="83"/>
      <c r="V676" s="83"/>
      <c r="W676" s="83"/>
      <c r="X676" s="83"/>
      <c r="Y676" s="83"/>
      <c r="Z676" s="83"/>
      <c r="AA676" s="83"/>
      <c r="AB676" s="83"/>
      <c r="AC676" s="83"/>
      <c r="AD676" s="83"/>
      <c r="AE676" s="83"/>
      <c r="AF676" s="83"/>
      <c r="AG676" s="83"/>
      <c r="AH676" s="83"/>
      <c r="AI676" s="83"/>
      <c r="AJ676" s="83"/>
      <c r="AK676" s="83"/>
      <c r="AL676" s="83"/>
      <c r="AM676" s="83"/>
      <c r="AN676" s="83"/>
      <c r="AO676" s="83"/>
      <c r="AP676" s="83"/>
      <c r="AQ676" s="83"/>
      <c r="AR676" s="83"/>
      <c r="AS676" s="83"/>
      <c r="AT676" s="83"/>
    </row>
    <row r="677" spans="1:46" ht="13.8">
      <c r="A677" s="83"/>
      <c r="B677" s="83"/>
      <c r="C677" s="83"/>
      <c r="D677" s="83"/>
      <c r="E677" s="82"/>
      <c r="F677" s="82"/>
      <c r="G677" s="83"/>
      <c r="H677" s="83"/>
      <c r="I677" s="83"/>
      <c r="J677" s="83"/>
      <c r="K677" s="83"/>
      <c r="L677" s="83"/>
      <c r="M677" s="83"/>
      <c r="N677" s="83"/>
      <c r="O677" s="83"/>
      <c r="P677" s="83"/>
      <c r="Q677" s="83"/>
      <c r="R677" s="83"/>
      <c r="S677" s="83"/>
      <c r="T677" s="83"/>
      <c r="U677" s="83"/>
      <c r="V677" s="83"/>
      <c r="W677" s="83"/>
      <c r="X677" s="83"/>
      <c r="Y677" s="83"/>
      <c r="Z677" s="83"/>
      <c r="AA677" s="83"/>
      <c r="AB677" s="83"/>
      <c r="AC677" s="83"/>
      <c r="AD677" s="83"/>
      <c r="AE677" s="83"/>
      <c r="AF677" s="83"/>
      <c r="AG677" s="83"/>
      <c r="AH677" s="83"/>
      <c r="AI677" s="83"/>
      <c r="AJ677" s="83"/>
      <c r="AK677" s="83"/>
      <c r="AL677" s="83"/>
      <c r="AM677" s="83"/>
      <c r="AN677" s="83"/>
      <c r="AO677" s="83"/>
      <c r="AP677" s="83"/>
      <c r="AQ677" s="83"/>
      <c r="AR677" s="83"/>
      <c r="AS677" s="83"/>
      <c r="AT677" s="83"/>
    </row>
    <row r="678" spans="1:46" ht="13.8">
      <c r="A678" s="83"/>
      <c r="B678" s="83"/>
      <c r="C678" s="83"/>
      <c r="D678" s="83"/>
      <c r="E678" s="82"/>
      <c r="F678" s="82"/>
      <c r="G678" s="83"/>
      <c r="H678" s="83"/>
      <c r="I678" s="83"/>
      <c r="J678" s="83"/>
      <c r="K678" s="83"/>
      <c r="L678" s="83"/>
      <c r="M678" s="83"/>
      <c r="N678" s="83"/>
      <c r="O678" s="83"/>
      <c r="P678" s="83"/>
      <c r="Q678" s="83"/>
      <c r="R678" s="83"/>
      <c r="S678" s="83"/>
      <c r="T678" s="83"/>
      <c r="U678" s="83"/>
      <c r="V678" s="83"/>
      <c r="W678" s="83"/>
      <c r="X678" s="83"/>
      <c r="Y678" s="83"/>
      <c r="Z678" s="83"/>
      <c r="AA678" s="83"/>
      <c r="AB678" s="83"/>
      <c r="AC678" s="83"/>
      <c r="AD678" s="83"/>
      <c r="AE678" s="83"/>
      <c r="AF678" s="83"/>
      <c r="AG678" s="83"/>
      <c r="AH678" s="83"/>
      <c r="AI678" s="83"/>
      <c r="AJ678" s="83"/>
      <c r="AK678" s="83"/>
      <c r="AL678" s="83"/>
      <c r="AM678" s="83"/>
      <c r="AN678" s="83"/>
      <c r="AO678" s="83"/>
      <c r="AP678" s="83"/>
      <c r="AQ678" s="83"/>
      <c r="AR678" s="83"/>
      <c r="AS678" s="83"/>
      <c r="AT678" s="83"/>
    </row>
    <row r="679" spans="1:46" ht="13.8">
      <c r="A679" s="83"/>
      <c r="B679" s="83"/>
      <c r="C679" s="83"/>
      <c r="D679" s="83"/>
      <c r="E679" s="82"/>
      <c r="F679" s="82"/>
      <c r="G679" s="83"/>
      <c r="H679" s="83"/>
      <c r="I679" s="83"/>
      <c r="J679" s="83"/>
      <c r="K679" s="83"/>
      <c r="L679" s="83"/>
      <c r="M679" s="83"/>
      <c r="N679" s="83"/>
      <c r="O679" s="83"/>
      <c r="P679" s="83"/>
      <c r="Q679" s="83"/>
      <c r="R679" s="83"/>
      <c r="S679" s="83"/>
      <c r="T679" s="83"/>
      <c r="U679" s="83"/>
      <c r="V679" s="83"/>
      <c r="W679" s="83"/>
      <c r="X679" s="83"/>
      <c r="Y679" s="83"/>
      <c r="Z679" s="83"/>
      <c r="AA679" s="83"/>
      <c r="AB679" s="83"/>
      <c r="AC679" s="83"/>
      <c r="AD679" s="83"/>
      <c r="AE679" s="83"/>
      <c r="AF679" s="83"/>
      <c r="AG679" s="83"/>
      <c r="AH679" s="83"/>
      <c r="AI679" s="83"/>
      <c r="AJ679" s="83"/>
      <c r="AK679" s="83"/>
      <c r="AL679" s="83"/>
      <c r="AM679" s="83"/>
      <c r="AN679" s="83"/>
      <c r="AO679" s="83"/>
      <c r="AP679" s="83"/>
      <c r="AQ679" s="83"/>
      <c r="AR679" s="83"/>
      <c r="AS679" s="83"/>
      <c r="AT679" s="83"/>
    </row>
    <row r="680" spans="1:46" ht="13.8">
      <c r="A680" s="83"/>
      <c r="B680" s="83"/>
      <c r="C680" s="83"/>
      <c r="D680" s="83"/>
      <c r="E680" s="82"/>
      <c r="F680" s="82"/>
      <c r="G680" s="83"/>
      <c r="H680" s="83"/>
      <c r="I680" s="83"/>
      <c r="J680" s="83"/>
      <c r="K680" s="83"/>
      <c r="L680" s="83"/>
      <c r="M680" s="83"/>
      <c r="N680" s="83"/>
      <c r="O680" s="83"/>
      <c r="P680" s="83"/>
      <c r="Q680" s="83"/>
      <c r="R680" s="83"/>
      <c r="S680" s="83"/>
      <c r="T680" s="83"/>
      <c r="U680" s="83"/>
      <c r="V680" s="83"/>
      <c r="W680" s="83"/>
      <c r="X680" s="83"/>
      <c r="Y680" s="83"/>
      <c r="Z680" s="83"/>
      <c r="AA680" s="83"/>
      <c r="AB680" s="83"/>
      <c r="AC680" s="83"/>
      <c r="AD680" s="83"/>
      <c r="AE680" s="83"/>
      <c r="AF680" s="83"/>
      <c r="AG680" s="83"/>
      <c r="AH680" s="83"/>
      <c r="AI680" s="83"/>
      <c r="AJ680" s="83"/>
      <c r="AK680" s="83"/>
      <c r="AL680" s="83"/>
      <c r="AM680" s="83"/>
      <c r="AN680" s="83"/>
      <c r="AO680" s="83"/>
      <c r="AP680" s="83"/>
      <c r="AQ680" s="83"/>
      <c r="AR680" s="83"/>
      <c r="AS680" s="83"/>
      <c r="AT680" s="83"/>
    </row>
    <row r="681" spans="1:46" ht="13.8">
      <c r="A681" s="83"/>
      <c r="B681" s="83"/>
      <c r="C681" s="83"/>
      <c r="D681" s="83"/>
      <c r="E681" s="82"/>
      <c r="F681" s="82"/>
      <c r="G681" s="83"/>
      <c r="H681" s="83"/>
      <c r="I681" s="83"/>
      <c r="J681" s="83"/>
      <c r="K681" s="83"/>
      <c r="L681" s="83"/>
      <c r="M681" s="83"/>
      <c r="N681" s="83"/>
      <c r="O681" s="83"/>
      <c r="P681" s="83"/>
      <c r="Q681" s="83"/>
      <c r="R681" s="83"/>
      <c r="S681" s="83"/>
      <c r="T681" s="83"/>
      <c r="U681" s="83"/>
      <c r="V681" s="83"/>
      <c r="W681" s="83"/>
      <c r="X681" s="83"/>
      <c r="Y681" s="83"/>
      <c r="Z681" s="83"/>
      <c r="AA681" s="83"/>
      <c r="AB681" s="83"/>
      <c r="AC681" s="83"/>
      <c r="AD681" s="83"/>
      <c r="AE681" s="83"/>
      <c r="AF681" s="83"/>
      <c r="AG681" s="83"/>
      <c r="AH681" s="83"/>
      <c r="AI681" s="83"/>
      <c r="AJ681" s="83"/>
      <c r="AK681" s="83"/>
      <c r="AL681" s="83"/>
      <c r="AM681" s="83"/>
      <c r="AN681" s="83"/>
      <c r="AO681" s="83"/>
      <c r="AP681" s="83"/>
      <c r="AQ681" s="83"/>
      <c r="AR681" s="83"/>
      <c r="AS681" s="83"/>
      <c r="AT681" s="83"/>
    </row>
    <row r="682" spans="1:46" ht="13.8">
      <c r="A682" s="83"/>
      <c r="B682" s="83"/>
      <c r="C682" s="83"/>
      <c r="D682" s="83"/>
      <c r="E682" s="82"/>
      <c r="F682" s="82"/>
      <c r="G682" s="83"/>
      <c r="H682" s="83"/>
      <c r="I682" s="83"/>
      <c r="J682" s="83"/>
      <c r="K682" s="83"/>
      <c r="L682" s="83"/>
      <c r="M682" s="83"/>
      <c r="N682" s="83"/>
      <c r="O682" s="83"/>
      <c r="P682" s="83"/>
      <c r="Q682" s="83"/>
      <c r="R682" s="83"/>
      <c r="S682" s="83"/>
      <c r="T682" s="83"/>
      <c r="U682" s="83"/>
      <c r="V682" s="83"/>
      <c r="W682" s="83"/>
      <c r="X682" s="83"/>
      <c r="Y682" s="83"/>
      <c r="Z682" s="83"/>
      <c r="AA682" s="83"/>
      <c r="AB682" s="83"/>
      <c r="AC682" s="83"/>
      <c r="AD682" s="83"/>
      <c r="AE682" s="83"/>
      <c r="AF682" s="83"/>
      <c r="AG682" s="83"/>
      <c r="AH682" s="83"/>
      <c r="AI682" s="83"/>
      <c r="AJ682" s="83"/>
      <c r="AK682" s="83"/>
      <c r="AL682" s="83"/>
      <c r="AM682" s="83"/>
      <c r="AN682" s="83"/>
      <c r="AO682" s="83"/>
      <c r="AP682" s="83"/>
      <c r="AQ682" s="83"/>
      <c r="AR682" s="83"/>
      <c r="AS682" s="83"/>
      <c r="AT682" s="83"/>
    </row>
    <row r="683" spans="1:46" ht="13.8">
      <c r="A683" s="83"/>
      <c r="B683" s="83"/>
      <c r="C683" s="83"/>
      <c r="D683" s="83"/>
      <c r="E683" s="82"/>
      <c r="F683" s="82"/>
      <c r="G683" s="83"/>
      <c r="H683" s="83"/>
      <c r="I683" s="83"/>
      <c r="J683" s="83"/>
      <c r="K683" s="83"/>
      <c r="L683" s="83"/>
      <c r="M683" s="83"/>
      <c r="N683" s="83"/>
      <c r="O683" s="83"/>
      <c r="P683" s="83"/>
      <c r="Q683" s="83"/>
      <c r="R683" s="83"/>
      <c r="S683" s="83"/>
      <c r="T683" s="83"/>
      <c r="U683" s="83"/>
      <c r="V683" s="83"/>
      <c r="W683" s="83"/>
      <c r="X683" s="83"/>
      <c r="Y683" s="83"/>
      <c r="Z683" s="83"/>
      <c r="AA683" s="83"/>
      <c r="AB683" s="83"/>
      <c r="AC683" s="83"/>
      <c r="AD683" s="83"/>
      <c r="AE683" s="83"/>
      <c r="AF683" s="83"/>
      <c r="AG683" s="83"/>
      <c r="AH683" s="83"/>
      <c r="AI683" s="83"/>
      <c r="AJ683" s="83"/>
      <c r="AK683" s="83"/>
      <c r="AL683" s="83"/>
      <c r="AM683" s="83"/>
      <c r="AN683" s="83"/>
      <c r="AO683" s="83"/>
      <c r="AP683" s="83"/>
      <c r="AQ683" s="83"/>
      <c r="AR683" s="83"/>
      <c r="AS683" s="83"/>
      <c r="AT683" s="83"/>
    </row>
    <row r="684" spans="1:46" ht="13.8">
      <c r="A684" s="83"/>
      <c r="B684" s="83"/>
      <c r="C684" s="83"/>
      <c r="D684" s="83"/>
      <c r="E684" s="82"/>
      <c r="F684" s="82"/>
      <c r="G684" s="83"/>
      <c r="H684" s="83"/>
      <c r="I684" s="83"/>
      <c r="J684" s="83"/>
      <c r="K684" s="83"/>
      <c r="L684" s="83"/>
      <c r="M684" s="83"/>
      <c r="N684" s="83"/>
      <c r="O684" s="83"/>
      <c r="P684" s="83"/>
      <c r="Q684" s="83"/>
      <c r="R684" s="83"/>
      <c r="S684" s="83"/>
      <c r="T684" s="83"/>
      <c r="U684" s="83"/>
      <c r="V684" s="83"/>
      <c r="W684" s="83"/>
      <c r="X684" s="83"/>
      <c r="Y684" s="83"/>
      <c r="Z684" s="83"/>
      <c r="AA684" s="83"/>
      <c r="AB684" s="83"/>
      <c r="AC684" s="83"/>
      <c r="AD684" s="83"/>
      <c r="AE684" s="83"/>
      <c r="AF684" s="83"/>
      <c r="AG684" s="83"/>
      <c r="AH684" s="83"/>
      <c r="AI684" s="83"/>
      <c r="AJ684" s="83"/>
      <c r="AK684" s="83"/>
      <c r="AL684" s="83"/>
      <c r="AM684" s="83"/>
      <c r="AN684" s="83"/>
      <c r="AO684" s="83"/>
      <c r="AP684" s="83"/>
      <c r="AQ684" s="83"/>
      <c r="AR684" s="83"/>
      <c r="AS684" s="83"/>
      <c r="AT684" s="83"/>
    </row>
    <row r="685" spans="1:46" ht="13.8">
      <c r="A685" s="83"/>
      <c r="B685" s="83"/>
      <c r="C685" s="83"/>
      <c r="D685" s="83"/>
      <c r="E685" s="82"/>
      <c r="F685" s="82"/>
      <c r="G685" s="83"/>
      <c r="H685" s="83"/>
      <c r="I685" s="83"/>
      <c r="J685" s="83"/>
      <c r="K685" s="83"/>
      <c r="L685" s="83"/>
      <c r="M685" s="83"/>
      <c r="N685" s="83"/>
      <c r="O685" s="83"/>
      <c r="P685" s="83"/>
      <c r="Q685" s="83"/>
      <c r="R685" s="83"/>
      <c r="S685" s="83"/>
      <c r="T685" s="83"/>
      <c r="U685" s="83"/>
      <c r="V685" s="83"/>
      <c r="W685" s="83"/>
      <c r="X685" s="83"/>
      <c r="Y685" s="83"/>
      <c r="Z685" s="83"/>
      <c r="AA685" s="83"/>
      <c r="AB685" s="83"/>
      <c r="AC685" s="83"/>
      <c r="AD685" s="83"/>
      <c r="AE685" s="83"/>
      <c r="AF685" s="83"/>
      <c r="AG685" s="83"/>
      <c r="AH685" s="83"/>
      <c r="AI685" s="83"/>
      <c r="AJ685" s="83"/>
      <c r="AK685" s="83"/>
      <c r="AL685" s="83"/>
      <c r="AM685" s="83"/>
      <c r="AN685" s="83"/>
      <c r="AO685" s="83"/>
      <c r="AP685" s="83"/>
      <c r="AQ685" s="83"/>
      <c r="AR685" s="83"/>
      <c r="AS685" s="83"/>
      <c r="AT685" s="83"/>
    </row>
    <row r="686" spans="1:46" ht="13.8">
      <c r="A686" s="83"/>
      <c r="B686" s="83"/>
      <c r="C686" s="83"/>
      <c r="D686" s="83"/>
      <c r="E686" s="82"/>
      <c r="F686" s="82"/>
      <c r="G686" s="83"/>
      <c r="H686" s="83"/>
      <c r="I686" s="83"/>
      <c r="J686" s="83"/>
      <c r="K686" s="83"/>
      <c r="L686" s="83"/>
      <c r="M686" s="83"/>
      <c r="N686" s="83"/>
      <c r="O686" s="83"/>
      <c r="P686" s="83"/>
      <c r="Q686" s="83"/>
      <c r="R686" s="83"/>
      <c r="S686" s="83"/>
      <c r="T686" s="83"/>
      <c r="U686" s="83"/>
      <c r="V686" s="83"/>
      <c r="W686" s="83"/>
      <c r="X686" s="83"/>
      <c r="Y686" s="83"/>
      <c r="Z686" s="83"/>
      <c r="AA686" s="83"/>
      <c r="AB686" s="83"/>
      <c r="AC686" s="83"/>
      <c r="AD686" s="83"/>
      <c r="AE686" s="83"/>
      <c r="AF686" s="83"/>
      <c r="AG686" s="83"/>
      <c r="AH686" s="83"/>
      <c r="AI686" s="83"/>
      <c r="AJ686" s="83"/>
      <c r="AK686" s="83"/>
      <c r="AL686" s="83"/>
      <c r="AM686" s="83"/>
      <c r="AN686" s="83"/>
      <c r="AO686" s="83"/>
      <c r="AP686" s="83"/>
      <c r="AQ686" s="83"/>
      <c r="AR686" s="83"/>
      <c r="AS686" s="83"/>
      <c r="AT686" s="83"/>
    </row>
    <row r="687" spans="1:46" ht="13.8">
      <c r="A687" s="83"/>
      <c r="B687" s="83"/>
      <c r="C687" s="83"/>
      <c r="D687" s="83"/>
      <c r="E687" s="82"/>
      <c r="F687" s="82"/>
      <c r="G687" s="83"/>
      <c r="H687" s="83"/>
      <c r="I687" s="83"/>
      <c r="J687" s="83"/>
      <c r="K687" s="83"/>
      <c r="L687" s="83"/>
      <c r="M687" s="83"/>
      <c r="N687" s="83"/>
      <c r="O687" s="83"/>
      <c r="P687" s="83"/>
      <c r="Q687" s="83"/>
      <c r="R687" s="83"/>
      <c r="S687" s="83"/>
      <c r="T687" s="83"/>
      <c r="U687" s="83"/>
      <c r="V687" s="83"/>
      <c r="W687" s="83"/>
      <c r="X687" s="83"/>
      <c r="Y687" s="83"/>
      <c r="Z687" s="83"/>
      <c r="AA687" s="83"/>
      <c r="AB687" s="83"/>
      <c r="AC687" s="83"/>
      <c r="AD687" s="83"/>
      <c r="AE687" s="83"/>
      <c r="AF687" s="83"/>
      <c r="AG687" s="83"/>
      <c r="AH687" s="83"/>
      <c r="AI687" s="83"/>
      <c r="AJ687" s="83"/>
      <c r="AK687" s="83"/>
      <c r="AL687" s="83"/>
      <c r="AM687" s="83"/>
      <c r="AN687" s="83"/>
      <c r="AO687" s="83"/>
      <c r="AP687" s="83"/>
      <c r="AQ687" s="83"/>
      <c r="AR687" s="83"/>
      <c r="AS687" s="83"/>
      <c r="AT687" s="83"/>
    </row>
    <row r="688" spans="1:46" ht="13.8">
      <c r="A688" s="83"/>
      <c r="B688" s="83"/>
      <c r="C688" s="83"/>
      <c r="D688" s="83"/>
      <c r="E688" s="82"/>
      <c r="F688" s="82"/>
      <c r="G688" s="83"/>
      <c r="H688" s="83"/>
      <c r="I688" s="83"/>
      <c r="J688" s="83"/>
      <c r="K688" s="83"/>
      <c r="L688" s="83"/>
      <c r="M688" s="83"/>
      <c r="N688" s="83"/>
      <c r="O688" s="83"/>
      <c r="P688" s="83"/>
      <c r="Q688" s="83"/>
      <c r="R688" s="83"/>
      <c r="S688" s="83"/>
      <c r="T688" s="83"/>
      <c r="U688" s="83"/>
      <c r="V688" s="83"/>
      <c r="W688" s="83"/>
      <c r="X688" s="83"/>
      <c r="Y688" s="83"/>
      <c r="Z688" s="83"/>
      <c r="AA688" s="83"/>
      <c r="AB688" s="83"/>
      <c r="AC688" s="83"/>
      <c r="AD688" s="83"/>
      <c r="AE688" s="83"/>
      <c r="AF688" s="83"/>
      <c r="AG688" s="83"/>
      <c r="AH688" s="83"/>
      <c r="AI688" s="83"/>
      <c r="AJ688" s="83"/>
      <c r="AK688" s="83"/>
      <c r="AL688" s="83"/>
      <c r="AM688" s="83"/>
      <c r="AN688" s="83"/>
      <c r="AO688" s="83"/>
      <c r="AP688" s="83"/>
      <c r="AQ688" s="83"/>
      <c r="AR688" s="83"/>
      <c r="AS688" s="83"/>
      <c r="AT688" s="83"/>
    </row>
    <row r="689" spans="1:46" ht="13.8">
      <c r="A689" s="83"/>
      <c r="B689" s="83"/>
      <c r="C689" s="83"/>
      <c r="D689" s="83"/>
      <c r="E689" s="82"/>
      <c r="F689" s="82"/>
      <c r="G689" s="83"/>
      <c r="H689" s="83"/>
      <c r="I689" s="83"/>
      <c r="J689" s="83"/>
      <c r="K689" s="83"/>
      <c r="L689" s="83"/>
      <c r="M689" s="83"/>
      <c r="N689" s="83"/>
      <c r="O689" s="83"/>
      <c r="P689" s="83"/>
      <c r="Q689" s="83"/>
      <c r="R689" s="83"/>
      <c r="S689" s="83"/>
      <c r="T689" s="83"/>
      <c r="U689" s="83"/>
      <c r="V689" s="83"/>
      <c r="W689" s="83"/>
      <c r="X689" s="83"/>
      <c r="Y689" s="83"/>
      <c r="Z689" s="83"/>
      <c r="AA689" s="83"/>
      <c r="AB689" s="83"/>
      <c r="AC689" s="83"/>
      <c r="AD689" s="83"/>
      <c r="AE689" s="83"/>
      <c r="AF689" s="83"/>
      <c r="AG689" s="83"/>
      <c r="AH689" s="83"/>
      <c r="AI689" s="83"/>
      <c r="AJ689" s="83"/>
      <c r="AK689" s="83"/>
      <c r="AL689" s="83"/>
      <c r="AM689" s="83"/>
      <c r="AN689" s="83"/>
      <c r="AO689" s="83"/>
      <c r="AP689" s="83"/>
      <c r="AQ689" s="83"/>
      <c r="AR689" s="83"/>
      <c r="AS689" s="83"/>
      <c r="AT689" s="83"/>
    </row>
    <row r="690" spans="1:46" ht="13.8">
      <c r="A690" s="83"/>
      <c r="B690" s="83"/>
      <c r="C690" s="83"/>
      <c r="D690" s="83"/>
      <c r="E690" s="82"/>
      <c r="F690" s="82"/>
      <c r="G690" s="83"/>
      <c r="H690" s="83"/>
      <c r="I690" s="83"/>
      <c r="J690" s="83"/>
      <c r="K690" s="83"/>
      <c r="L690" s="83"/>
      <c r="M690" s="83"/>
      <c r="N690" s="83"/>
      <c r="O690" s="83"/>
      <c r="P690" s="83"/>
      <c r="Q690" s="83"/>
      <c r="R690" s="83"/>
      <c r="S690" s="83"/>
      <c r="T690" s="83"/>
      <c r="U690" s="83"/>
      <c r="V690" s="83"/>
      <c r="W690" s="83"/>
      <c r="X690" s="83"/>
      <c r="Y690" s="83"/>
      <c r="Z690" s="83"/>
      <c r="AA690" s="83"/>
      <c r="AB690" s="83"/>
      <c r="AC690" s="83"/>
      <c r="AD690" s="83"/>
      <c r="AE690" s="83"/>
      <c r="AF690" s="83"/>
      <c r="AG690" s="83"/>
      <c r="AH690" s="83"/>
      <c r="AI690" s="83"/>
      <c r="AJ690" s="83"/>
      <c r="AK690" s="83"/>
      <c r="AL690" s="83"/>
      <c r="AM690" s="83"/>
      <c r="AN690" s="83"/>
      <c r="AO690" s="83"/>
      <c r="AP690" s="83"/>
      <c r="AQ690" s="83"/>
      <c r="AR690" s="83"/>
      <c r="AS690" s="83"/>
      <c r="AT690" s="83"/>
    </row>
    <row r="691" spans="1:46" ht="13.8">
      <c r="A691" s="83"/>
      <c r="B691" s="83"/>
      <c r="C691" s="83"/>
      <c r="D691" s="83"/>
      <c r="E691" s="82"/>
      <c r="F691" s="82"/>
      <c r="G691" s="83"/>
      <c r="H691" s="83"/>
      <c r="I691" s="83"/>
      <c r="J691" s="83"/>
      <c r="K691" s="83"/>
      <c r="L691" s="83"/>
      <c r="M691" s="83"/>
      <c r="N691" s="83"/>
      <c r="O691" s="83"/>
      <c r="P691" s="83"/>
      <c r="Q691" s="83"/>
      <c r="R691" s="83"/>
      <c r="S691" s="83"/>
      <c r="T691" s="83"/>
      <c r="U691" s="83"/>
      <c r="V691" s="83"/>
      <c r="W691" s="83"/>
      <c r="X691" s="83"/>
      <c r="Y691" s="83"/>
      <c r="Z691" s="83"/>
      <c r="AA691" s="83"/>
      <c r="AB691" s="83"/>
      <c r="AC691" s="83"/>
      <c r="AD691" s="83"/>
      <c r="AE691" s="83"/>
      <c r="AF691" s="83"/>
      <c r="AG691" s="83"/>
      <c r="AH691" s="83"/>
      <c r="AI691" s="83"/>
      <c r="AJ691" s="83"/>
      <c r="AK691" s="83"/>
      <c r="AL691" s="83"/>
      <c r="AM691" s="83"/>
      <c r="AN691" s="83"/>
      <c r="AO691" s="83"/>
      <c r="AP691" s="83"/>
      <c r="AQ691" s="83"/>
      <c r="AR691" s="83"/>
      <c r="AS691" s="83"/>
      <c r="AT691" s="83"/>
    </row>
    <row r="692" spans="1:46" ht="13.8">
      <c r="A692" s="83"/>
      <c r="B692" s="83"/>
      <c r="C692" s="83"/>
      <c r="D692" s="83"/>
      <c r="E692" s="82"/>
      <c r="F692" s="82"/>
      <c r="G692" s="83"/>
      <c r="H692" s="83"/>
      <c r="I692" s="83"/>
      <c r="J692" s="83"/>
      <c r="K692" s="83"/>
      <c r="L692" s="83"/>
      <c r="M692" s="83"/>
      <c r="N692" s="83"/>
      <c r="O692" s="83"/>
      <c r="P692" s="83"/>
      <c r="Q692" s="83"/>
      <c r="R692" s="83"/>
      <c r="S692" s="83"/>
      <c r="T692" s="83"/>
      <c r="U692" s="83"/>
      <c r="V692" s="83"/>
      <c r="W692" s="83"/>
      <c r="X692" s="83"/>
      <c r="Y692" s="83"/>
      <c r="Z692" s="83"/>
      <c r="AA692" s="83"/>
      <c r="AB692" s="83"/>
      <c r="AC692" s="83"/>
      <c r="AD692" s="83"/>
      <c r="AE692" s="83"/>
      <c r="AF692" s="83"/>
      <c r="AG692" s="83"/>
      <c r="AH692" s="83"/>
      <c r="AI692" s="83"/>
      <c r="AJ692" s="83"/>
      <c r="AK692" s="83"/>
      <c r="AL692" s="83"/>
      <c r="AM692" s="83"/>
      <c r="AN692" s="83"/>
      <c r="AO692" s="83"/>
      <c r="AP692" s="83"/>
      <c r="AQ692" s="83"/>
      <c r="AR692" s="83"/>
      <c r="AS692" s="83"/>
      <c r="AT692" s="83"/>
    </row>
    <row r="693" spans="1:46" ht="13.8">
      <c r="A693" s="83"/>
      <c r="B693" s="83"/>
      <c r="C693" s="83"/>
      <c r="D693" s="83"/>
      <c r="E693" s="82"/>
      <c r="F693" s="82"/>
      <c r="G693" s="83"/>
      <c r="H693" s="83"/>
      <c r="I693" s="83"/>
      <c r="J693" s="83"/>
      <c r="K693" s="83"/>
      <c r="L693" s="83"/>
      <c r="M693" s="83"/>
      <c r="N693" s="83"/>
      <c r="O693" s="83"/>
      <c r="P693" s="83"/>
      <c r="Q693" s="83"/>
      <c r="R693" s="83"/>
      <c r="S693" s="83"/>
      <c r="T693" s="83"/>
      <c r="U693" s="83"/>
      <c r="V693" s="83"/>
      <c r="W693" s="83"/>
      <c r="X693" s="83"/>
      <c r="Y693" s="83"/>
      <c r="Z693" s="83"/>
      <c r="AA693" s="83"/>
      <c r="AB693" s="83"/>
      <c r="AC693" s="83"/>
      <c r="AD693" s="83"/>
      <c r="AE693" s="83"/>
      <c r="AF693" s="83"/>
      <c r="AG693" s="83"/>
      <c r="AH693" s="83"/>
      <c r="AI693" s="83"/>
      <c r="AJ693" s="83"/>
      <c r="AK693" s="83"/>
      <c r="AL693" s="83"/>
      <c r="AM693" s="83"/>
      <c r="AN693" s="83"/>
      <c r="AO693" s="83"/>
      <c r="AP693" s="83"/>
      <c r="AQ693" s="83"/>
      <c r="AR693" s="83"/>
      <c r="AS693" s="83"/>
      <c r="AT693" s="83"/>
    </row>
    <row r="694" spans="1:46" ht="13.8">
      <c r="A694" s="83"/>
      <c r="B694" s="83"/>
      <c r="C694" s="83"/>
      <c r="D694" s="83"/>
      <c r="E694" s="82"/>
      <c r="F694" s="82"/>
      <c r="G694" s="83"/>
      <c r="H694" s="83"/>
      <c r="I694" s="83"/>
      <c r="J694" s="83"/>
      <c r="K694" s="83"/>
      <c r="L694" s="83"/>
      <c r="M694" s="83"/>
      <c r="N694" s="83"/>
      <c r="O694" s="83"/>
      <c r="P694" s="83"/>
      <c r="Q694" s="83"/>
      <c r="R694" s="83"/>
      <c r="S694" s="83"/>
      <c r="T694" s="83"/>
      <c r="U694" s="83"/>
      <c r="V694" s="83"/>
      <c r="W694" s="83"/>
      <c r="X694" s="83"/>
      <c r="Y694" s="83"/>
      <c r="Z694" s="83"/>
      <c r="AA694" s="83"/>
      <c r="AB694" s="83"/>
      <c r="AC694" s="83"/>
      <c r="AD694" s="83"/>
      <c r="AE694" s="83"/>
      <c r="AF694" s="83"/>
      <c r="AG694" s="83"/>
      <c r="AH694" s="83"/>
      <c r="AI694" s="83"/>
      <c r="AJ694" s="83"/>
      <c r="AK694" s="83"/>
      <c r="AL694" s="83"/>
      <c r="AM694" s="83"/>
      <c r="AN694" s="83"/>
      <c r="AO694" s="83"/>
      <c r="AP694" s="83"/>
      <c r="AQ694" s="83"/>
      <c r="AR694" s="83"/>
      <c r="AS694" s="83"/>
      <c r="AT694" s="83"/>
    </row>
    <row r="695" spans="1:46" ht="13.8">
      <c r="A695" s="83"/>
      <c r="B695" s="83"/>
      <c r="C695" s="83"/>
      <c r="D695" s="83"/>
      <c r="E695" s="82"/>
      <c r="F695" s="82"/>
      <c r="G695" s="83"/>
      <c r="H695" s="83"/>
      <c r="I695" s="83"/>
      <c r="J695" s="83"/>
      <c r="K695" s="83"/>
      <c r="L695" s="83"/>
      <c r="M695" s="83"/>
      <c r="N695" s="83"/>
      <c r="O695" s="83"/>
      <c r="P695" s="83"/>
      <c r="Q695" s="83"/>
      <c r="R695" s="83"/>
      <c r="S695" s="83"/>
      <c r="T695" s="83"/>
      <c r="U695" s="83"/>
      <c r="V695" s="83"/>
      <c r="W695" s="83"/>
      <c r="X695" s="83"/>
      <c r="Y695" s="83"/>
      <c r="Z695" s="83"/>
      <c r="AA695" s="83"/>
      <c r="AB695" s="83"/>
      <c r="AC695" s="83"/>
      <c r="AD695" s="83"/>
      <c r="AE695" s="83"/>
      <c r="AF695" s="83"/>
      <c r="AG695" s="83"/>
      <c r="AH695" s="83"/>
      <c r="AI695" s="83"/>
      <c r="AJ695" s="83"/>
      <c r="AK695" s="83"/>
      <c r="AL695" s="83"/>
      <c r="AM695" s="83"/>
      <c r="AN695" s="83"/>
      <c r="AO695" s="83"/>
      <c r="AP695" s="83"/>
      <c r="AQ695" s="83"/>
      <c r="AR695" s="83"/>
      <c r="AS695" s="83"/>
      <c r="AT695" s="83"/>
    </row>
    <row r="696" spans="1:46" ht="13.8">
      <c r="A696" s="83"/>
      <c r="B696" s="83"/>
      <c r="C696" s="83"/>
      <c r="D696" s="83"/>
      <c r="E696" s="82"/>
      <c r="F696" s="82"/>
      <c r="G696" s="83"/>
      <c r="H696" s="83"/>
      <c r="I696" s="83"/>
      <c r="J696" s="83"/>
      <c r="K696" s="83"/>
      <c r="L696" s="83"/>
      <c r="M696" s="83"/>
      <c r="N696" s="83"/>
      <c r="O696" s="83"/>
      <c r="P696" s="83"/>
      <c r="Q696" s="83"/>
      <c r="R696" s="83"/>
      <c r="S696" s="83"/>
      <c r="T696" s="83"/>
      <c r="U696" s="83"/>
      <c r="V696" s="83"/>
      <c r="W696" s="83"/>
      <c r="X696" s="83"/>
      <c r="Y696" s="83"/>
      <c r="Z696" s="83"/>
      <c r="AA696" s="83"/>
      <c r="AB696" s="83"/>
      <c r="AC696" s="83"/>
      <c r="AD696" s="83"/>
      <c r="AE696" s="83"/>
      <c r="AF696" s="83"/>
      <c r="AG696" s="83"/>
      <c r="AH696" s="83"/>
      <c r="AI696" s="83"/>
      <c r="AJ696" s="83"/>
      <c r="AK696" s="83"/>
      <c r="AL696" s="83"/>
      <c r="AM696" s="83"/>
      <c r="AN696" s="83"/>
      <c r="AO696" s="83"/>
      <c r="AP696" s="83"/>
      <c r="AQ696" s="83"/>
      <c r="AR696" s="83"/>
      <c r="AS696" s="83"/>
      <c r="AT696" s="83"/>
    </row>
    <row r="697" spans="1:46" ht="13.8">
      <c r="A697" s="83"/>
      <c r="B697" s="83"/>
      <c r="C697" s="83"/>
      <c r="D697" s="83"/>
      <c r="E697" s="82"/>
      <c r="F697" s="82"/>
      <c r="G697" s="83"/>
      <c r="H697" s="83"/>
      <c r="I697" s="83"/>
      <c r="J697" s="83"/>
      <c r="K697" s="83"/>
      <c r="L697" s="83"/>
      <c r="M697" s="83"/>
      <c r="N697" s="83"/>
      <c r="O697" s="83"/>
      <c r="P697" s="83"/>
      <c r="Q697" s="83"/>
      <c r="R697" s="83"/>
      <c r="S697" s="83"/>
      <c r="T697" s="83"/>
      <c r="U697" s="83"/>
      <c r="V697" s="83"/>
      <c r="W697" s="83"/>
      <c r="X697" s="83"/>
      <c r="Y697" s="83"/>
      <c r="Z697" s="83"/>
      <c r="AA697" s="83"/>
      <c r="AB697" s="83"/>
      <c r="AC697" s="83"/>
      <c r="AD697" s="83"/>
      <c r="AE697" s="83"/>
      <c r="AF697" s="83"/>
      <c r="AG697" s="83"/>
      <c r="AH697" s="83"/>
      <c r="AI697" s="83"/>
      <c r="AJ697" s="83"/>
      <c r="AK697" s="83"/>
      <c r="AL697" s="83"/>
      <c r="AM697" s="83"/>
      <c r="AN697" s="83"/>
      <c r="AO697" s="83"/>
      <c r="AP697" s="83"/>
      <c r="AQ697" s="83"/>
      <c r="AR697" s="83"/>
      <c r="AS697" s="83"/>
      <c r="AT697" s="83"/>
    </row>
    <row r="698" spans="1:46" ht="13.8">
      <c r="A698" s="83"/>
      <c r="B698" s="83"/>
      <c r="C698" s="83"/>
      <c r="D698" s="83"/>
      <c r="E698" s="82"/>
      <c r="F698" s="82"/>
      <c r="G698" s="83"/>
      <c r="H698" s="83"/>
      <c r="I698" s="83"/>
      <c r="J698" s="83"/>
      <c r="K698" s="83"/>
      <c r="L698" s="83"/>
      <c r="M698" s="83"/>
      <c r="N698" s="83"/>
      <c r="O698" s="83"/>
      <c r="P698" s="83"/>
      <c r="Q698" s="83"/>
      <c r="R698" s="83"/>
      <c r="S698" s="83"/>
      <c r="T698" s="83"/>
      <c r="U698" s="83"/>
      <c r="V698" s="83"/>
      <c r="W698" s="83"/>
      <c r="X698" s="83"/>
      <c r="Y698" s="83"/>
      <c r="Z698" s="83"/>
      <c r="AA698" s="83"/>
      <c r="AB698" s="83"/>
      <c r="AC698" s="83"/>
      <c r="AD698" s="83"/>
      <c r="AE698" s="83"/>
      <c r="AF698" s="83"/>
      <c r="AG698" s="83"/>
      <c r="AH698" s="83"/>
      <c r="AI698" s="83"/>
      <c r="AJ698" s="83"/>
      <c r="AK698" s="83"/>
      <c r="AL698" s="83"/>
      <c r="AM698" s="83"/>
      <c r="AN698" s="83"/>
      <c r="AO698" s="83"/>
      <c r="AP698" s="83"/>
      <c r="AQ698" s="83"/>
      <c r="AR698" s="83"/>
      <c r="AS698" s="83"/>
      <c r="AT698" s="83"/>
    </row>
    <row r="699" spans="1:46" ht="13.8">
      <c r="A699" s="83"/>
      <c r="B699" s="83"/>
      <c r="C699" s="83"/>
      <c r="D699" s="83"/>
      <c r="E699" s="82"/>
      <c r="F699" s="82"/>
      <c r="G699" s="83"/>
      <c r="H699" s="83"/>
      <c r="I699" s="83"/>
      <c r="J699" s="83"/>
      <c r="K699" s="83"/>
      <c r="L699" s="83"/>
      <c r="M699" s="83"/>
      <c r="N699" s="83"/>
      <c r="O699" s="83"/>
      <c r="P699" s="83"/>
      <c r="Q699" s="83"/>
      <c r="R699" s="83"/>
      <c r="S699" s="83"/>
      <c r="T699" s="83"/>
      <c r="U699" s="83"/>
      <c r="V699" s="83"/>
      <c r="W699" s="83"/>
      <c r="X699" s="83"/>
      <c r="Y699" s="83"/>
      <c r="Z699" s="83"/>
      <c r="AA699" s="83"/>
      <c r="AB699" s="83"/>
      <c r="AC699" s="83"/>
      <c r="AD699" s="83"/>
      <c r="AE699" s="83"/>
      <c r="AF699" s="83"/>
      <c r="AG699" s="83"/>
      <c r="AH699" s="83"/>
      <c r="AI699" s="83"/>
      <c r="AJ699" s="83"/>
      <c r="AK699" s="83"/>
      <c r="AL699" s="83"/>
      <c r="AM699" s="83"/>
      <c r="AN699" s="83"/>
      <c r="AO699" s="83"/>
      <c r="AP699" s="83"/>
      <c r="AQ699" s="83"/>
      <c r="AR699" s="83"/>
      <c r="AS699" s="83"/>
      <c r="AT699" s="83"/>
    </row>
    <row r="700" spans="1:46" ht="13.8">
      <c r="A700" s="83"/>
      <c r="B700" s="83"/>
      <c r="C700" s="83"/>
      <c r="D700" s="83"/>
      <c r="E700" s="82"/>
      <c r="F700" s="82"/>
      <c r="G700" s="83"/>
      <c r="H700" s="83"/>
      <c r="I700" s="83"/>
      <c r="J700" s="83"/>
      <c r="K700" s="83"/>
      <c r="L700" s="83"/>
      <c r="M700" s="83"/>
      <c r="N700" s="83"/>
      <c r="O700" s="83"/>
      <c r="P700" s="83"/>
      <c r="Q700" s="83"/>
      <c r="R700" s="83"/>
      <c r="S700" s="83"/>
      <c r="T700" s="83"/>
      <c r="U700" s="83"/>
      <c r="V700" s="83"/>
      <c r="W700" s="83"/>
      <c r="X700" s="83"/>
      <c r="Y700" s="83"/>
      <c r="Z700" s="83"/>
      <c r="AA700" s="83"/>
      <c r="AB700" s="83"/>
      <c r="AC700" s="83"/>
      <c r="AD700" s="83"/>
      <c r="AE700" s="83"/>
      <c r="AF700" s="83"/>
      <c r="AG700" s="83"/>
      <c r="AH700" s="83"/>
      <c r="AI700" s="83"/>
      <c r="AJ700" s="83"/>
      <c r="AK700" s="83"/>
      <c r="AL700" s="83"/>
      <c r="AM700" s="83"/>
      <c r="AN700" s="83"/>
      <c r="AO700" s="83"/>
      <c r="AP700" s="83"/>
      <c r="AQ700" s="83"/>
      <c r="AR700" s="83"/>
      <c r="AS700" s="83"/>
      <c r="AT700" s="83"/>
    </row>
    <row r="701" spans="1:46" ht="13.8">
      <c r="A701" s="83"/>
      <c r="B701" s="83"/>
      <c r="C701" s="83"/>
      <c r="D701" s="83"/>
      <c r="E701" s="82"/>
      <c r="F701" s="82"/>
      <c r="G701" s="83"/>
      <c r="H701" s="83"/>
      <c r="I701" s="83"/>
      <c r="J701" s="83"/>
      <c r="K701" s="83"/>
      <c r="L701" s="83"/>
      <c r="M701" s="83"/>
      <c r="N701" s="83"/>
      <c r="O701" s="83"/>
      <c r="P701" s="83"/>
      <c r="Q701" s="83"/>
      <c r="R701" s="83"/>
      <c r="S701" s="83"/>
      <c r="T701" s="83"/>
      <c r="U701" s="83"/>
      <c r="V701" s="83"/>
      <c r="W701" s="83"/>
      <c r="X701" s="83"/>
      <c r="Y701" s="83"/>
      <c r="Z701" s="83"/>
      <c r="AA701" s="83"/>
      <c r="AB701" s="83"/>
      <c r="AC701" s="83"/>
      <c r="AD701" s="83"/>
      <c r="AE701" s="83"/>
      <c r="AF701" s="83"/>
      <c r="AG701" s="83"/>
      <c r="AH701" s="83"/>
      <c r="AI701" s="83"/>
      <c r="AJ701" s="83"/>
      <c r="AK701" s="83"/>
      <c r="AL701" s="83"/>
      <c r="AM701" s="83"/>
      <c r="AN701" s="83"/>
      <c r="AO701" s="83"/>
      <c r="AP701" s="83"/>
      <c r="AQ701" s="83"/>
      <c r="AR701" s="83"/>
      <c r="AS701" s="83"/>
      <c r="AT701" s="83"/>
    </row>
    <row r="702" spans="1:46" ht="13.8">
      <c r="A702" s="83"/>
      <c r="B702" s="83"/>
      <c r="C702" s="83"/>
      <c r="D702" s="83"/>
      <c r="E702" s="82"/>
      <c r="F702" s="82"/>
      <c r="G702" s="83"/>
      <c r="H702" s="83"/>
      <c r="I702" s="83"/>
      <c r="J702" s="83"/>
      <c r="K702" s="83"/>
      <c r="L702" s="83"/>
      <c r="M702" s="83"/>
      <c r="N702" s="83"/>
      <c r="O702" s="83"/>
      <c r="P702" s="83"/>
      <c r="Q702" s="83"/>
      <c r="R702" s="83"/>
      <c r="S702" s="83"/>
      <c r="T702" s="83"/>
      <c r="U702" s="83"/>
      <c r="V702" s="83"/>
      <c r="W702" s="83"/>
      <c r="X702" s="83"/>
      <c r="Y702" s="83"/>
      <c r="Z702" s="83"/>
      <c r="AA702" s="83"/>
      <c r="AB702" s="83"/>
      <c r="AC702" s="83"/>
      <c r="AD702" s="83"/>
      <c r="AE702" s="83"/>
      <c r="AF702" s="83"/>
      <c r="AG702" s="83"/>
      <c r="AH702" s="83"/>
      <c r="AI702" s="83"/>
      <c r="AJ702" s="83"/>
      <c r="AK702" s="83"/>
      <c r="AL702" s="83"/>
      <c r="AM702" s="83"/>
      <c r="AN702" s="83"/>
      <c r="AO702" s="83"/>
      <c r="AP702" s="83"/>
      <c r="AQ702" s="83"/>
      <c r="AR702" s="83"/>
      <c r="AS702" s="83"/>
      <c r="AT702" s="83"/>
    </row>
    <row r="703" spans="1:46" ht="13.8">
      <c r="A703" s="83"/>
      <c r="B703" s="83"/>
      <c r="C703" s="83"/>
      <c r="D703" s="83"/>
      <c r="E703" s="82"/>
      <c r="F703" s="82"/>
      <c r="G703" s="83"/>
      <c r="H703" s="83"/>
      <c r="I703" s="83"/>
      <c r="J703" s="83"/>
      <c r="K703" s="83"/>
      <c r="L703" s="83"/>
      <c r="M703" s="83"/>
      <c r="N703" s="83"/>
      <c r="O703" s="83"/>
      <c r="P703" s="83"/>
      <c r="Q703" s="83"/>
      <c r="R703" s="83"/>
      <c r="S703" s="83"/>
      <c r="T703" s="83"/>
      <c r="U703" s="83"/>
      <c r="V703" s="83"/>
      <c r="W703" s="83"/>
      <c r="X703" s="83"/>
      <c r="Y703" s="83"/>
      <c r="Z703" s="83"/>
      <c r="AA703" s="83"/>
      <c r="AB703" s="83"/>
      <c r="AC703" s="83"/>
      <c r="AD703" s="83"/>
      <c r="AE703" s="83"/>
      <c r="AF703" s="83"/>
      <c r="AG703" s="83"/>
      <c r="AH703" s="83"/>
      <c r="AI703" s="83"/>
      <c r="AJ703" s="83"/>
      <c r="AK703" s="83"/>
      <c r="AL703" s="83"/>
      <c r="AM703" s="83"/>
      <c r="AN703" s="83"/>
      <c r="AO703" s="83"/>
      <c r="AP703" s="83"/>
      <c r="AQ703" s="83"/>
      <c r="AR703" s="83"/>
      <c r="AS703" s="83"/>
      <c r="AT703" s="83"/>
    </row>
    <row r="704" spans="1:46" ht="13.8">
      <c r="A704" s="83"/>
      <c r="B704" s="83"/>
      <c r="C704" s="83"/>
      <c r="D704" s="83"/>
      <c r="E704" s="82"/>
      <c r="F704" s="82"/>
      <c r="G704" s="83"/>
      <c r="H704" s="83"/>
      <c r="I704" s="83"/>
      <c r="J704" s="83"/>
      <c r="K704" s="83"/>
      <c r="L704" s="83"/>
      <c r="M704" s="83"/>
      <c r="N704" s="83"/>
      <c r="O704" s="83"/>
      <c r="P704" s="83"/>
      <c r="Q704" s="83"/>
      <c r="R704" s="83"/>
      <c r="S704" s="83"/>
      <c r="T704" s="83"/>
      <c r="U704" s="83"/>
      <c r="V704" s="83"/>
      <c r="W704" s="83"/>
      <c r="X704" s="83"/>
      <c r="Y704" s="83"/>
      <c r="Z704" s="83"/>
      <c r="AA704" s="83"/>
      <c r="AB704" s="83"/>
      <c r="AC704" s="83"/>
      <c r="AD704" s="83"/>
      <c r="AE704" s="83"/>
      <c r="AF704" s="83"/>
      <c r="AG704" s="83"/>
      <c r="AH704" s="83"/>
      <c r="AI704" s="83"/>
      <c r="AJ704" s="83"/>
      <c r="AK704" s="83"/>
      <c r="AL704" s="83"/>
      <c r="AM704" s="83"/>
      <c r="AN704" s="83"/>
      <c r="AO704" s="83"/>
      <c r="AP704" s="83"/>
      <c r="AQ704" s="83"/>
      <c r="AR704" s="83"/>
      <c r="AS704" s="83"/>
      <c r="AT704" s="83"/>
    </row>
    <row r="705" spans="1:46" ht="13.8">
      <c r="A705" s="83"/>
      <c r="B705" s="83"/>
      <c r="C705" s="83"/>
      <c r="D705" s="83"/>
      <c r="E705" s="82"/>
      <c r="F705" s="82"/>
      <c r="G705" s="83"/>
      <c r="H705" s="83"/>
      <c r="I705" s="83"/>
      <c r="J705" s="83"/>
      <c r="K705" s="83"/>
      <c r="L705" s="83"/>
      <c r="M705" s="83"/>
      <c r="N705" s="83"/>
      <c r="O705" s="83"/>
      <c r="P705" s="83"/>
      <c r="Q705" s="83"/>
      <c r="R705" s="83"/>
      <c r="S705" s="83"/>
      <c r="T705" s="83"/>
      <c r="U705" s="83"/>
      <c r="V705" s="83"/>
      <c r="W705" s="83"/>
      <c r="X705" s="83"/>
      <c r="Y705" s="83"/>
      <c r="Z705" s="83"/>
      <c r="AA705" s="83"/>
      <c r="AB705" s="83"/>
      <c r="AC705" s="83"/>
      <c r="AD705" s="83"/>
      <c r="AE705" s="83"/>
      <c r="AF705" s="83"/>
      <c r="AG705" s="83"/>
      <c r="AH705" s="83"/>
      <c r="AI705" s="83"/>
      <c r="AJ705" s="83"/>
      <c r="AK705" s="83"/>
      <c r="AL705" s="83"/>
      <c r="AM705" s="83"/>
      <c r="AN705" s="83"/>
      <c r="AO705" s="83"/>
      <c r="AP705" s="83"/>
      <c r="AQ705" s="83"/>
      <c r="AR705" s="83"/>
      <c r="AS705" s="83"/>
      <c r="AT705" s="83"/>
    </row>
    <row r="706" spans="1:46" ht="13.8">
      <c r="A706" s="83"/>
      <c r="B706" s="83"/>
      <c r="C706" s="83"/>
      <c r="D706" s="83"/>
      <c r="E706" s="82"/>
      <c r="F706" s="82"/>
      <c r="G706" s="83"/>
      <c r="H706" s="83"/>
      <c r="I706" s="83"/>
      <c r="J706" s="83"/>
      <c r="K706" s="83"/>
      <c r="L706" s="83"/>
      <c r="M706" s="83"/>
      <c r="N706" s="83"/>
      <c r="O706" s="83"/>
      <c r="P706" s="83"/>
      <c r="Q706" s="83"/>
      <c r="R706" s="83"/>
      <c r="S706" s="83"/>
      <c r="T706" s="83"/>
      <c r="U706" s="83"/>
      <c r="V706" s="83"/>
      <c r="W706" s="83"/>
      <c r="X706" s="83"/>
      <c r="Y706" s="83"/>
      <c r="Z706" s="83"/>
      <c r="AA706" s="83"/>
      <c r="AB706" s="83"/>
      <c r="AC706" s="83"/>
      <c r="AD706" s="83"/>
      <c r="AE706" s="83"/>
      <c r="AF706" s="83"/>
      <c r="AG706" s="83"/>
      <c r="AH706" s="83"/>
      <c r="AI706" s="83"/>
      <c r="AJ706" s="83"/>
      <c r="AK706" s="83"/>
      <c r="AL706" s="83"/>
      <c r="AM706" s="83"/>
      <c r="AN706" s="83"/>
      <c r="AO706" s="83"/>
      <c r="AP706" s="83"/>
      <c r="AQ706" s="83"/>
      <c r="AR706" s="83"/>
      <c r="AS706" s="83"/>
      <c r="AT706" s="83"/>
    </row>
    <row r="707" spans="1:46" ht="13.8">
      <c r="A707" s="83"/>
      <c r="B707" s="83"/>
      <c r="C707" s="83"/>
      <c r="D707" s="83"/>
      <c r="E707" s="82"/>
      <c r="F707" s="82"/>
      <c r="G707" s="83"/>
      <c r="H707" s="83"/>
      <c r="I707" s="83"/>
      <c r="J707" s="83"/>
      <c r="K707" s="83"/>
      <c r="L707" s="83"/>
      <c r="M707" s="83"/>
      <c r="N707" s="83"/>
      <c r="O707" s="83"/>
      <c r="P707" s="83"/>
      <c r="Q707" s="83"/>
      <c r="R707" s="83"/>
      <c r="S707" s="83"/>
      <c r="T707" s="83"/>
      <c r="U707" s="83"/>
      <c r="V707" s="83"/>
      <c r="W707" s="83"/>
      <c r="X707" s="83"/>
      <c r="Y707" s="83"/>
      <c r="Z707" s="83"/>
      <c r="AA707" s="83"/>
      <c r="AB707" s="83"/>
      <c r="AC707" s="83"/>
      <c r="AD707" s="83"/>
      <c r="AE707" s="83"/>
      <c r="AF707" s="83"/>
      <c r="AG707" s="83"/>
      <c r="AH707" s="83"/>
      <c r="AI707" s="83"/>
      <c r="AJ707" s="83"/>
      <c r="AK707" s="83"/>
      <c r="AL707" s="83"/>
      <c r="AM707" s="83"/>
      <c r="AN707" s="83"/>
      <c r="AO707" s="83"/>
      <c r="AP707" s="83"/>
      <c r="AQ707" s="83"/>
      <c r="AR707" s="83"/>
      <c r="AS707" s="83"/>
      <c r="AT707" s="83"/>
    </row>
    <row r="708" spans="1:46" ht="13.8">
      <c r="A708" s="83"/>
      <c r="B708" s="83"/>
      <c r="C708" s="83"/>
      <c r="D708" s="83"/>
      <c r="E708" s="82"/>
      <c r="F708" s="82"/>
      <c r="G708" s="83"/>
      <c r="H708" s="83"/>
      <c r="I708" s="83"/>
      <c r="J708" s="83"/>
      <c r="K708" s="83"/>
      <c r="L708" s="83"/>
      <c r="M708" s="83"/>
      <c r="N708" s="83"/>
      <c r="O708" s="83"/>
      <c r="P708" s="83"/>
      <c r="Q708" s="83"/>
      <c r="R708" s="83"/>
      <c r="S708" s="83"/>
      <c r="T708" s="83"/>
      <c r="U708" s="83"/>
      <c r="V708" s="83"/>
      <c r="W708" s="83"/>
      <c r="X708" s="83"/>
      <c r="Y708" s="83"/>
      <c r="Z708" s="83"/>
      <c r="AA708" s="83"/>
      <c r="AB708" s="83"/>
      <c r="AC708" s="83"/>
      <c r="AD708" s="83"/>
      <c r="AE708" s="83"/>
      <c r="AF708" s="83"/>
      <c r="AG708" s="83"/>
      <c r="AH708" s="83"/>
      <c r="AI708" s="83"/>
      <c r="AJ708" s="83"/>
      <c r="AK708" s="83"/>
      <c r="AL708" s="83"/>
      <c r="AM708" s="83"/>
      <c r="AN708" s="83"/>
      <c r="AO708" s="83"/>
      <c r="AP708" s="83"/>
      <c r="AQ708" s="83"/>
      <c r="AR708" s="83"/>
      <c r="AS708" s="83"/>
      <c r="AT708" s="83"/>
    </row>
    <row r="709" spans="1:46" ht="13.8">
      <c r="A709" s="83"/>
      <c r="B709" s="83"/>
      <c r="C709" s="83"/>
      <c r="D709" s="83"/>
      <c r="E709" s="82"/>
      <c r="F709" s="82"/>
      <c r="G709" s="83"/>
      <c r="H709" s="83"/>
      <c r="I709" s="83"/>
      <c r="J709" s="83"/>
      <c r="K709" s="83"/>
      <c r="L709" s="83"/>
      <c r="M709" s="83"/>
      <c r="N709" s="83"/>
      <c r="O709" s="83"/>
      <c r="P709" s="83"/>
      <c r="Q709" s="83"/>
      <c r="R709" s="83"/>
      <c r="S709" s="83"/>
      <c r="T709" s="83"/>
      <c r="U709" s="83"/>
      <c r="V709" s="83"/>
      <c r="W709" s="83"/>
      <c r="X709" s="83"/>
      <c r="Y709" s="83"/>
      <c r="Z709" s="83"/>
      <c r="AA709" s="83"/>
      <c r="AB709" s="83"/>
      <c r="AC709" s="83"/>
      <c r="AD709" s="83"/>
      <c r="AE709" s="83"/>
      <c r="AF709" s="83"/>
      <c r="AG709" s="83"/>
      <c r="AH709" s="83"/>
      <c r="AI709" s="83"/>
      <c r="AJ709" s="83"/>
      <c r="AK709" s="83"/>
      <c r="AL709" s="83"/>
      <c r="AM709" s="83"/>
      <c r="AN709" s="83"/>
      <c r="AO709" s="83"/>
      <c r="AP709" s="83"/>
      <c r="AQ709" s="83"/>
      <c r="AR709" s="83"/>
      <c r="AS709" s="83"/>
      <c r="AT709" s="83"/>
    </row>
    <row r="710" spans="1:46" ht="13.8">
      <c r="A710" s="83"/>
      <c r="B710" s="83"/>
      <c r="C710" s="83"/>
      <c r="D710" s="83"/>
      <c r="E710" s="82"/>
      <c r="F710" s="82"/>
      <c r="G710" s="83"/>
      <c r="H710" s="83"/>
      <c r="I710" s="83"/>
      <c r="J710" s="83"/>
      <c r="K710" s="83"/>
      <c r="L710" s="83"/>
      <c r="M710" s="83"/>
      <c r="N710" s="83"/>
      <c r="O710" s="83"/>
      <c r="P710" s="83"/>
      <c r="Q710" s="83"/>
      <c r="R710" s="83"/>
      <c r="S710" s="83"/>
      <c r="T710" s="83"/>
      <c r="U710" s="83"/>
      <c r="V710" s="83"/>
      <c r="W710" s="83"/>
      <c r="X710" s="83"/>
      <c r="Y710" s="83"/>
      <c r="Z710" s="83"/>
      <c r="AA710" s="83"/>
      <c r="AB710" s="83"/>
      <c r="AC710" s="83"/>
      <c r="AD710" s="83"/>
      <c r="AE710" s="83"/>
      <c r="AF710" s="83"/>
      <c r="AG710" s="83"/>
      <c r="AH710" s="83"/>
      <c r="AI710" s="83"/>
      <c r="AJ710" s="83"/>
      <c r="AK710" s="83"/>
      <c r="AL710" s="83"/>
      <c r="AM710" s="83"/>
      <c r="AN710" s="83"/>
      <c r="AO710" s="83"/>
      <c r="AP710" s="83"/>
      <c r="AQ710" s="83"/>
      <c r="AR710" s="83"/>
      <c r="AS710" s="83"/>
      <c r="AT710" s="83"/>
    </row>
    <row r="711" spans="1:46" ht="13.8">
      <c r="A711" s="83"/>
      <c r="B711" s="83"/>
      <c r="C711" s="83"/>
      <c r="D711" s="83"/>
      <c r="E711" s="82"/>
      <c r="F711" s="82"/>
      <c r="G711" s="83"/>
      <c r="H711" s="83"/>
      <c r="I711" s="83"/>
      <c r="J711" s="83"/>
      <c r="K711" s="83"/>
      <c r="L711" s="83"/>
      <c r="M711" s="83"/>
      <c r="N711" s="83"/>
      <c r="O711" s="83"/>
      <c r="P711" s="83"/>
      <c r="Q711" s="83"/>
      <c r="R711" s="83"/>
      <c r="S711" s="83"/>
      <c r="T711" s="83"/>
      <c r="U711" s="83"/>
      <c r="V711" s="83"/>
      <c r="W711" s="83"/>
      <c r="X711" s="83"/>
      <c r="Y711" s="83"/>
      <c r="Z711" s="83"/>
      <c r="AA711" s="83"/>
      <c r="AB711" s="83"/>
      <c r="AC711" s="83"/>
      <c r="AD711" s="83"/>
      <c r="AE711" s="83"/>
      <c r="AF711" s="83"/>
      <c r="AG711" s="83"/>
      <c r="AH711" s="83"/>
      <c r="AI711" s="83"/>
      <c r="AJ711" s="83"/>
      <c r="AK711" s="83"/>
      <c r="AL711" s="83"/>
      <c r="AM711" s="83"/>
      <c r="AN711" s="83"/>
      <c r="AO711" s="83"/>
      <c r="AP711" s="83"/>
      <c r="AQ711" s="83"/>
      <c r="AR711" s="83"/>
      <c r="AS711" s="83"/>
      <c r="AT711" s="83"/>
    </row>
    <row r="712" spans="1:46" ht="13.8">
      <c r="A712" s="83"/>
      <c r="B712" s="83"/>
      <c r="C712" s="83"/>
      <c r="D712" s="83"/>
      <c r="E712" s="82"/>
      <c r="F712" s="82"/>
      <c r="G712" s="83"/>
      <c r="H712" s="83"/>
      <c r="I712" s="83"/>
      <c r="J712" s="83"/>
      <c r="K712" s="83"/>
      <c r="L712" s="83"/>
      <c r="M712" s="83"/>
      <c r="N712" s="83"/>
      <c r="O712" s="83"/>
      <c r="P712" s="83"/>
      <c r="Q712" s="83"/>
      <c r="R712" s="83"/>
      <c r="S712" s="83"/>
      <c r="T712" s="83"/>
      <c r="U712" s="83"/>
      <c r="V712" s="83"/>
      <c r="W712" s="83"/>
      <c r="X712" s="83"/>
      <c r="Y712" s="83"/>
      <c r="Z712" s="83"/>
      <c r="AA712" s="83"/>
      <c r="AB712" s="83"/>
      <c r="AC712" s="83"/>
      <c r="AD712" s="83"/>
      <c r="AE712" s="83"/>
      <c r="AF712" s="83"/>
      <c r="AG712" s="83"/>
      <c r="AH712" s="83"/>
      <c r="AI712" s="83"/>
      <c r="AJ712" s="83"/>
      <c r="AK712" s="83"/>
      <c r="AL712" s="83"/>
      <c r="AM712" s="83"/>
      <c r="AN712" s="83"/>
      <c r="AO712" s="83"/>
      <c r="AP712" s="83"/>
      <c r="AQ712" s="83"/>
      <c r="AR712" s="83"/>
      <c r="AS712" s="83"/>
      <c r="AT712" s="83"/>
    </row>
    <row r="713" spans="1:46" ht="13.8">
      <c r="A713" s="83"/>
      <c r="B713" s="83"/>
      <c r="C713" s="83"/>
      <c r="D713" s="83"/>
      <c r="E713" s="82"/>
      <c r="F713" s="82"/>
      <c r="G713" s="83"/>
      <c r="H713" s="83"/>
      <c r="I713" s="83"/>
      <c r="J713" s="83"/>
      <c r="K713" s="83"/>
      <c r="L713" s="83"/>
      <c r="M713" s="83"/>
      <c r="N713" s="83"/>
      <c r="O713" s="83"/>
      <c r="P713" s="83"/>
      <c r="Q713" s="83"/>
      <c r="R713" s="83"/>
      <c r="S713" s="83"/>
      <c r="T713" s="83"/>
      <c r="U713" s="83"/>
      <c r="V713" s="83"/>
      <c r="W713" s="83"/>
      <c r="X713" s="83"/>
      <c r="Y713" s="83"/>
      <c r="Z713" s="83"/>
      <c r="AA713" s="83"/>
      <c r="AB713" s="83"/>
      <c r="AC713" s="83"/>
      <c r="AD713" s="83"/>
      <c r="AE713" s="83"/>
      <c r="AF713" s="83"/>
      <c r="AG713" s="83"/>
      <c r="AH713" s="83"/>
      <c r="AI713" s="83"/>
      <c r="AJ713" s="83"/>
      <c r="AK713" s="83"/>
      <c r="AL713" s="83"/>
      <c r="AM713" s="83"/>
      <c r="AN713" s="83"/>
      <c r="AO713" s="83"/>
      <c r="AP713" s="83"/>
      <c r="AQ713" s="83"/>
      <c r="AR713" s="83"/>
      <c r="AS713" s="83"/>
      <c r="AT713" s="83"/>
    </row>
    <row r="714" spans="1:46" ht="13.8">
      <c r="A714" s="83"/>
      <c r="B714" s="83"/>
      <c r="C714" s="83"/>
      <c r="D714" s="83"/>
      <c r="E714" s="82"/>
      <c r="F714" s="82"/>
      <c r="G714" s="83"/>
      <c r="H714" s="83"/>
      <c r="I714" s="83"/>
      <c r="J714" s="83"/>
      <c r="K714" s="83"/>
      <c r="L714" s="83"/>
      <c r="M714" s="83"/>
      <c r="N714" s="83"/>
      <c r="O714" s="83"/>
      <c r="P714" s="83"/>
      <c r="Q714" s="83"/>
      <c r="R714" s="83"/>
      <c r="S714" s="83"/>
      <c r="T714" s="83"/>
      <c r="U714" s="83"/>
      <c r="V714" s="83"/>
      <c r="W714" s="83"/>
      <c r="X714" s="83"/>
      <c r="Y714" s="83"/>
      <c r="Z714" s="83"/>
      <c r="AA714" s="83"/>
      <c r="AB714" s="83"/>
      <c r="AC714" s="83"/>
      <c r="AD714" s="83"/>
      <c r="AE714" s="83"/>
      <c r="AF714" s="83"/>
      <c r="AG714" s="83"/>
      <c r="AH714" s="83"/>
      <c r="AI714" s="83"/>
      <c r="AJ714" s="83"/>
      <c r="AK714" s="83"/>
      <c r="AL714" s="83"/>
      <c r="AM714" s="83"/>
      <c r="AN714" s="83"/>
      <c r="AO714" s="83"/>
      <c r="AP714" s="83"/>
      <c r="AQ714" s="83"/>
      <c r="AR714" s="83"/>
      <c r="AS714" s="83"/>
      <c r="AT714" s="83"/>
    </row>
    <row r="715" spans="1:46" ht="13.8">
      <c r="A715" s="83"/>
      <c r="B715" s="83"/>
      <c r="C715" s="83"/>
      <c r="D715" s="83"/>
      <c r="E715" s="82"/>
      <c r="F715" s="82"/>
      <c r="G715" s="83"/>
      <c r="H715" s="83"/>
      <c r="I715" s="83"/>
      <c r="J715" s="83"/>
      <c r="K715" s="83"/>
      <c r="L715" s="83"/>
      <c r="M715" s="83"/>
      <c r="N715" s="83"/>
      <c r="O715" s="83"/>
      <c r="P715" s="83"/>
      <c r="Q715" s="83"/>
      <c r="R715" s="83"/>
      <c r="S715" s="83"/>
      <c r="T715" s="83"/>
      <c r="U715" s="83"/>
      <c r="V715" s="83"/>
      <c r="W715" s="83"/>
      <c r="X715" s="83"/>
      <c r="Y715" s="83"/>
      <c r="Z715" s="83"/>
      <c r="AA715" s="83"/>
      <c r="AB715" s="83"/>
      <c r="AC715" s="83"/>
      <c r="AD715" s="83"/>
      <c r="AE715" s="83"/>
      <c r="AF715" s="83"/>
      <c r="AG715" s="83"/>
      <c r="AH715" s="83"/>
      <c r="AI715" s="83"/>
      <c r="AJ715" s="83"/>
      <c r="AK715" s="83"/>
      <c r="AL715" s="83"/>
      <c r="AM715" s="83"/>
      <c r="AN715" s="83"/>
      <c r="AO715" s="83"/>
      <c r="AP715" s="83"/>
      <c r="AQ715" s="83"/>
      <c r="AR715" s="83"/>
      <c r="AS715" s="83"/>
      <c r="AT715" s="83"/>
    </row>
    <row r="716" spans="1:46" ht="13.8">
      <c r="A716" s="83"/>
      <c r="B716" s="83"/>
      <c r="C716" s="83"/>
      <c r="D716" s="83"/>
      <c r="E716" s="82"/>
      <c r="F716" s="82"/>
      <c r="G716" s="83"/>
      <c r="H716" s="83"/>
      <c r="I716" s="83"/>
      <c r="J716" s="83"/>
      <c r="K716" s="83"/>
      <c r="L716" s="83"/>
      <c r="M716" s="83"/>
      <c r="N716" s="83"/>
      <c r="O716" s="83"/>
      <c r="P716" s="83"/>
      <c r="Q716" s="83"/>
      <c r="R716" s="83"/>
      <c r="S716" s="83"/>
      <c r="T716" s="83"/>
      <c r="U716" s="83"/>
      <c r="V716" s="83"/>
      <c r="W716" s="83"/>
      <c r="X716" s="83"/>
      <c r="Y716" s="83"/>
      <c r="Z716" s="83"/>
      <c r="AA716" s="83"/>
      <c r="AB716" s="83"/>
      <c r="AC716" s="83"/>
      <c r="AD716" s="83"/>
      <c r="AE716" s="83"/>
      <c r="AF716" s="83"/>
      <c r="AG716" s="83"/>
      <c r="AH716" s="83"/>
      <c r="AI716" s="83"/>
      <c r="AJ716" s="83"/>
      <c r="AK716" s="83"/>
      <c r="AL716" s="83"/>
      <c r="AM716" s="83"/>
      <c r="AN716" s="83"/>
      <c r="AO716" s="83"/>
      <c r="AP716" s="83"/>
      <c r="AQ716" s="83"/>
      <c r="AR716" s="83"/>
      <c r="AS716" s="83"/>
      <c r="AT716" s="83"/>
    </row>
    <row r="717" spans="1:46" ht="13.8">
      <c r="A717" s="83"/>
      <c r="B717" s="83"/>
      <c r="C717" s="83"/>
      <c r="D717" s="83"/>
      <c r="E717" s="82"/>
      <c r="F717" s="82"/>
      <c r="G717" s="83"/>
      <c r="H717" s="83"/>
      <c r="I717" s="83"/>
      <c r="J717" s="83"/>
      <c r="K717" s="83"/>
      <c r="L717" s="83"/>
      <c r="M717" s="83"/>
      <c r="N717" s="83"/>
      <c r="O717" s="83"/>
      <c r="P717" s="83"/>
      <c r="Q717" s="83"/>
      <c r="R717" s="83"/>
      <c r="S717" s="83"/>
      <c r="T717" s="83"/>
      <c r="U717" s="83"/>
      <c r="V717" s="83"/>
      <c r="W717" s="83"/>
      <c r="X717" s="83"/>
      <c r="Y717" s="83"/>
      <c r="Z717" s="83"/>
      <c r="AA717" s="83"/>
      <c r="AB717" s="83"/>
      <c r="AC717" s="83"/>
      <c r="AD717" s="83"/>
      <c r="AE717" s="83"/>
      <c r="AF717" s="83"/>
      <c r="AG717" s="83"/>
      <c r="AH717" s="83"/>
      <c r="AI717" s="83"/>
      <c r="AJ717" s="83"/>
      <c r="AK717" s="83"/>
      <c r="AL717" s="83"/>
      <c r="AM717" s="83"/>
      <c r="AN717" s="83"/>
      <c r="AO717" s="83"/>
      <c r="AP717" s="83"/>
      <c r="AQ717" s="83"/>
      <c r="AR717" s="83"/>
      <c r="AS717" s="83"/>
      <c r="AT717" s="83"/>
    </row>
    <row r="718" spans="1:46" ht="13.8">
      <c r="A718" s="83"/>
      <c r="B718" s="83"/>
      <c r="C718" s="83"/>
      <c r="D718" s="83"/>
      <c r="E718" s="82"/>
      <c r="F718" s="82"/>
      <c r="G718" s="83"/>
      <c r="H718" s="83"/>
      <c r="I718" s="83"/>
      <c r="J718" s="83"/>
      <c r="K718" s="83"/>
      <c r="L718" s="83"/>
      <c r="M718" s="83"/>
      <c r="N718" s="83"/>
      <c r="O718" s="83"/>
      <c r="P718" s="83"/>
      <c r="Q718" s="83"/>
      <c r="R718" s="83"/>
      <c r="S718" s="83"/>
      <c r="T718" s="83"/>
      <c r="U718" s="83"/>
      <c r="V718" s="83"/>
      <c r="W718" s="83"/>
      <c r="X718" s="83"/>
      <c r="Y718" s="83"/>
      <c r="Z718" s="83"/>
      <c r="AA718" s="83"/>
      <c r="AB718" s="83"/>
      <c r="AC718" s="83"/>
      <c r="AD718" s="83"/>
      <c r="AE718" s="83"/>
      <c r="AF718" s="83"/>
      <c r="AG718" s="83"/>
      <c r="AH718" s="83"/>
      <c r="AI718" s="83"/>
      <c r="AJ718" s="83"/>
      <c r="AK718" s="83"/>
      <c r="AL718" s="83"/>
      <c r="AM718" s="83"/>
      <c r="AN718" s="83"/>
      <c r="AO718" s="83"/>
      <c r="AP718" s="83"/>
      <c r="AQ718" s="83"/>
      <c r="AR718" s="83"/>
      <c r="AS718" s="83"/>
      <c r="AT718" s="83"/>
    </row>
    <row r="719" spans="1:46" ht="13.8">
      <c r="A719" s="83"/>
      <c r="B719" s="83"/>
      <c r="C719" s="83"/>
      <c r="D719" s="83"/>
      <c r="E719" s="82"/>
      <c r="F719" s="82"/>
      <c r="G719" s="83"/>
      <c r="H719" s="83"/>
      <c r="I719" s="83"/>
      <c r="J719" s="83"/>
      <c r="K719" s="83"/>
      <c r="L719" s="83"/>
      <c r="M719" s="83"/>
      <c r="N719" s="83"/>
      <c r="O719" s="83"/>
      <c r="P719" s="83"/>
      <c r="Q719" s="83"/>
      <c r="R719" s="83"/>
      <c r="S719" s="83"/>
      <c r="T719" s="83"/>
      <c r="U719" s="83"/>
      <c r="V719" s="83"/>
      <c r="W719" s="83"/>
      <c r="X719" s="83"/>
      <c r="Y719" s="83"/>
      <c r="Z719" s="83"/>
      <c r="AA719" s="83"/>
      <c r="AB719" s="83"/>
      <c r="AC719" s="83"/>
      <c r="AD719" s="83"/>
      <c r="AE719" s="83"/>
      <c r="AF719" s="83"/>
      <c r="AG719" s="83"/>
      <c r="AH719" s="83"/>
      <c r="AI719" s="83"/>
      <c r="AJ719" s="83"/>
      <c r="AK719" s="83"/>
      <c r="AL719" s="83"/>
      <c r="AM719" s="83"/>
      <c r="AN719" s="83"/>
      <c r="AO719" s="83"/>
      <c r="AP719" s="83"/>
      <c r="AQ719" s="83"/>
      <c r="AR719" s="83"/>
      <c r="AS719" s="83"/>
      <c r="AT719" s="83"/>
    </row>
    <row r="720" spans="1:46" ht="13.8">
      <c r="A720" s="83"/>
      <c r="B720" s="83"/>
      <c r="C720" s="83"/>
      <c r="D720" s="83"/>
      <c r="E720" s="82"/>
      <c r="F720" s="82"/>
      <c r="G720" s="83"/>
      <c r="H720" s="83"/>
      <c r="I720" s="83"/>
      <c r="J720" s="83"/>
      <c r="K720" s="83"/>
      <c r="L720" s="83"/>
      <c r="M720" s="83"/>
      <c r="N720" s="83"/>
      <c r="O720" s="83"/>
      <c r="P720" s="83"/>
      <c r="Q720" s="83"/>
      <c r="R720" s="83"/>
      <c r="S720" s="83"/>
      <c r="T720" s="83"/>
      <c r="U720" s="83"/>
      <c r="V720" s="83"/>
      <c r="W720" s="83"/>
      <c r="X720" s="83"/>
      <c r="Y720" s="83"/>
      <c r="Z720" s="83"/>
      <c r="AA720" s="83"/>
      <c r="AB720" s="83"/>
      <c r="AC720" s="83"/>
      <c r="AD720" s="83"/>
      <c r="AE720" s="83"/>
      <c r="AF720" s="83"/>
      <c r="AG720" s="83"/>
      <c r="AH720" s="83"/>
      <c r="AI720" s="83"/>
      <c r="AJ720" s="83"/>
      <c r="AK720" s="83"/>
      <c r="AL720" s="83"/>
      <c r="AM720" s="83"/>
      <c r="AN720" s="83"/>
      <c r="AO720" s="83"/>
      <c r="AP720" s="83"/>
      <c r="AQ720" s="83"/>
      <c r="AR720" s="83"/>
      <c r="AS720" s="83"/>
      <c r="AT720" s="83"/>
    </row>
    <row r="721" spans="1:46" ht="13.8">
      <c r="A721" s="83"/>
      <c r="B721" s="83"/>
      <c r="C721" s="83"/>
      <c r="D721" s="83"/>
      <c r="E721" s="82"/>
      <c r="F721" s="82"/>
      <c r="G721" s="83"/>
      <c r="H721" s="83"/>
      <c r="I721" s="83"/>
      <c r="J721" s="83"/>
      <c r="K721" s="83"/>
      <c r="L721" s="83"/>
      <c r="M721" s="83"/>
      <c r="N721" s="83"/>
      <c r="O721" s="83"/>
      <c r="P721" s="83"/>
      <c r="Q721" s="83"/>
      <c r="R721" s="83"/>
      <c r="S721" s="83"/>
      <c r="T721" s="83"/>
      <c r="U721" s="83"/>
      <c r="V721" s="83"/>
      <c r="W721" s="83"/>
      <c r="X721" s="83"/>
      <c r="Y721" s="83"/>
      <c r="Z721" s="83"/>
      <c r="AA721" s="83"/>
      <c r="AB721" s="83"/>
      <c r="AC721" s="83"/>
      <c r="AD721" s="83"/>
      <c r="AE721" s="83"/>
      <c r="AF721" s="83"/>
      <c r="AG721" s="83"/>
      <c r="AH721" s="83"/>
      <c r="AI721" s="83"/>
      <c r="AJ721" s="83"/>
      <c r="AK721" s="83"/>
      <c r="AL721" s="83"/>
      <c r="AM721" s="83"/>
      <c r="AN721" s="83"/>
      <c r="AO721" s="83"/>
      <c r="AP721" s="83"/>
      <c r="AQ721" s="83"/>
      <c r="AR721" s="83"/>
      <c r="AS721" s="83"/>
      <c r="AT721" s="83"/>
    </row>
    <row r="722" spans="1:46" ht="13.8">
      <c r="A722" s="83"/>
      <c r="B722" s="83"/>
      <c r="C722" s="83"/>
      <c r="D722" s="83"/>
      <c r="E722" s="82"/>
      <c r="F722" s="82"/>
      <c r="G722" s="83"/>
      <c r="H722" s="83"/>
      <c r="I722" s="83"/>
      <c r="J722" s="83"/>
      <c r="K722" s="83"/>
      <c r="L722" s="83"/>
      <c r="M722" s="83"/>
      <c r="N722" s="83"/>
      <c r="O722" s="83"/>
      <c r="P722" s="83"/>
      <c r="Q722" s="83"/>
      <c r="R722" s="83"/>
      <c r="S722" s="83"/>
      <c r="T722" s="83"/>
      <c r="U722" s="83"/>
      <c r="V722" s="83"/>
      <c r="W722" s="83"/>
      <c r="X722" s="83"/>
      <c r="Y722" s="83"/>
      <c r="Z722" s="83"/>
      <c r="AA722" s="83"/>
      <c r="AB722" s="83"/>
      <c r="AC722" s="83"/>
      <c r="AD722" s="83"/>
      <c r="AE722" s="83"/>
      <c r="AF722" s="83"/>
      <c r="AG722" s="83"/>
      <c r="AH722" s="83"/>
      <c r="AI722" s="83"/>
      <c r="AJ722" s="83"/>
      <c r="AK722" s="83"/>
      <c r="AL722" s="83"/>
      <c r="AM722" s="83"/>
      <c r="AN722" s="83"/>
      <c r="AO722" s="83"/>
      <c r="AP722" s="83"/>
      <c r="AQ722" s="83"/>
      <c r="AR722" s="83"/>
      <c r="AS722" s="83"/>
      <c r="AT722" s="83"/>
    </row>
    <row r="723" spans="1:46" ht="13.8">
      <c r="A723" s="83"/>
      <c r="B723" s="83"/>
      <c r="C723" s="83"/>
      <c r="D723" s="83"/>
      <c r="E723" s="82"/>
      <c r="F723" s="82"/>
      <c r="G723" s="83"/>
      <c r="H723" s="83"/>
      <c r="I723" s="83"/>
      <c r="J723" s="83"/>
      <c r="K723" s="83"/>
      <c r="L723" s="83"/>
      <c r="M723" s="83"/>
      <c r="N723" s="83"/>
      <c r="O723" s="83"/>
      <c r="P723" s="83"/>
      <c r="Q723" s="83"/>
      <c r="R723" s="83"/>
      <c r="S723" s="83"/>
      <c r="T723" s="83"/>
      <c r="U723" s="83"/>
      <c r="V723" s="83"/>
      <c r="W723" s="83"/>
      <c r="X723" s="83"/>
      <c r="Y723" s="83"/>
      <c r="Z723" s="83"/>
      <c r="AA723" s="83"/>
      <c r="AB723" s="83"/>
      <c r="AC723" s="83"/>
      <c r="AD723" s="83"/>
      <c r="AE723" s="83"/>
      <c r="AF723" s="83"/>
      <c r="AG723" s="83"/>
      <c r="AH723" s="83"/>
      <c r="AI723" s="83"/>
      <c r="AJ723" s="83"/>
      <c r="AK723" s="83"/>
      <c r="AL723" s="83"/>
      <c r="AM723" s="83"/>
      <c r="AN723" s="83"/>
      <c r="AO723" s="83"/>
      <c r="AP723" s="83"/>
      <c r="AQ723" s="83"/>
      <c r="AR723" s="83"/>
      <c r="AS723" s="83"/>
      <c r="AT723" s="83"/>
    </row>
    <row r="724" spans="1:46" ht="13.8">
      <c r="A724" s="83"/>
      <c r="B724" s="83"/>
      <c r="C724" s="83"/>
      <c r="D724" s="83"/>
      <c r="E724" s="82"/>
      <c r="F724" s="82"/>
      <c r="G724" s="83"/>
      <c r="H724" s="83"/>
      <c r="I724" s="83"/>
      <c r="J724" s="83"/>
      <c r="K724" s="83"/>
      <c r="L724" s="83"/>
      <c r="M724" s="83"/>
      <c r="N724" s="83"/>
      <c r="O724" s="83"/>
      <c r="P724" s="83"/>
      <c r="Q724" s="83"/>
      <c r="R724" s="83"/>
      <c r="S724" s="83"/>
      <c r="T724" s="83"/>
      <c r="U724" s="83"/>
      <c r="V724" s="83"/>
      <c r="W724" s="83"/>
      <c r="X724" s="83"/>
      <c r="Y724" s="83"/>
      <c r="Z724" s="83"/>
      <c r="AA724" s="83"/>
      <c r="AB724" s="83"/>
      <c r="AC724" s="83"/>
      <c r="AD724" s="83"/>
      <c r="AE724" s="83"/>
      <c r="AF724" s="83"/>
      <c r="AG724" s="83"/>
      <c r="AH724" s="83"/>
      <c r="AI724" s="83"/>
      <c r="AJ724" s="83"/>
      <c r="AK724" s="83"/>
      <c r="AL724" s="83"/>
      <c r="AM724" s="83"/>
      <c r="AN724" s="83"/>
      <c r="AO724" s="83"/>
      <c r="AP724" s="83"/>
      <c r="AQ724" s="83"/>
      <c r="AR724" s="83"/>
      <c r="AS724" s="83"/>
      <c r="AT724" s="83"/>
    </row>
    <row r="725" spans="1:46" ht="13.8">
      <c r="A725" s="83"/>
      <c r="B725" s="83"/>
      <c r="C725" s="83"/>
      <c r="D725" s="83"/>
      <c r="E725" s="82"/>
      <c r="F725" s="82"/>
      <c r="G725" s="83"/>
      <c r="H725" s="83"/>
      <c r="I725" s="83"/>
      <c r="J725" s="83"/>
      <c r="K725" s="83"/>
      <c r="L725" s="83"/>
      <c r="M725" s="83"/>
      <c r="N725" s="83"/>
      <c r="O725" s="83"/>
      <c r="P725" s="83"/>
      <c r="Q725" s="83"/>
      <c r="R725" s="83"/>
      <c r="S725" s="83"/>
      <c r="T725" s="83"/>
      <c r="U725" s="83"/>
      <c r="V725" s="83"/>
      <c r="W725" s="83"/>
      <c r="X725" s="83"/>
      <c r="Y725" s="83"/>
      <c r="Z725" s="83"/>
      <c r="AA725" s="83"/>
      <c r="AB725" s="83"/>
      <c r="AC725" s="83"/>
      <c r="AD725" s="83"/>
      <c r="AE725" s="83"/>
      <c r="AF725" s="83"/>
      <c r="AG725" s="83"/>
      <c r="AH725" s="83"/>
      <c r="AI725" s="83"/>
      <c r="AJ725" s="83"/>
      <c r="AK725" s="83"/>
      <c r="AL725" s="83"/>
      <c r="AM725" s="83"/>
      <c r="AN725" s="83"/>
      <c r="AO725" s="83"/>
      <c r="AP725" s="83"/>
      <c r="AQ725" s="83"/>
      <c r="AR725" s="83"/>
      <c r="AS725" s="83"/>
      <c r="AT725" s="83"/>
    </row>
    <row r="726" spans="1:46" ht="13.8">
      <c r="A726" s="83"/>
      <c r="B726" s="83"/>
      <c r="C726" s="83"/>
      <c r="D726" s="83"/>
      <c r="E726" s="82"/>
      <c r="F726" s="82"/>
      <c r="G726" s="83"/>
      <c r="H726" s="83"/>
      <c r="I726" s="83"/>
      <c r="J726" s="83"/>
      <c r="K726" s="83"/>
      <c r="L726" s="83"/>
      <c r="M726" s="83"/>
      <c r="N726" s="83"/>
      <c r="O726" s="83"/>
      <c r="P726" s="83"/>
      <c r="Q726" s="83"/>
      <c r="R726" s="83"/>
      <c r="S726" s="83"/>
      <c r="T726" s="83"/>
      <c r="U726" s="83"/>
      <c r="V726" s="83"/>
      <c r="W726" s="83"/>
      <c r="X726" s="83"/>
      <c r="Y726" s="83"/>
      <c r="Z726" s="83"/>
      <c r="AA726" s="83"/>
      <c r="AB726" s="83"/>
      <c r="AC726" s="83"/>
      <c r="AD726" s="83"/>
      <c r="AE726" s="83"/>
      <c r="AF726" s="83"/>
      <c r="AG726" s="83"/>
      <c r="AH726" s="83"/>
      <c r="AI726" s="83"/>
      <c r="AJ726" s="83"/>
      <c r="AK726" s="83"/>
      <c r="AL726" s="83"/>
      <c r="AM726" s="83"/>
      <c r="AN726" s="83"/>
      <c r="AO726" s="83"/>
      <c r="AP726" s="83"/>
      <c r="AQ726" s="83"/>
      <c r="AR726" s="83"/>
      <c r="AS726" s="83"/>
      <c r="AT726" s="83"/>
    </row>
    <row r="727" spans="1:46" ht="13.8">
      <c r="A727" s="83"/>
      <c r="B727" s="83"/>
      <c r="C727" s="83"/>
      <c r="D727" s="83"/>
      <c r="E727" s="82"/>
      <c r="F727" s="82"/>
      <c r="G727" s="83"/>
      <c r="H727" s="83"/>
      <c r="I727" s="83"/>
      <c r="J727" s="83"/>
      <c r="K727" s="83"/>
      <c r="L727" s="83"/>
      <c r="M727" s="83"/>
      <c r="N727" s="83"/>
      <c r="O727" s="83"/>
      <c r="P727" s="83"/>
      <c r="Q727" s="83"/>
      <c r="R727" s="83"/>
      <c r="S727" s="83"/>
      <c r="T727" s="83"/>
      <c r="U727" s="83"/>
      <c r="V727" s="83"/>
      <c r="W727" s="83"/>
      <c r="X727" s="83"/>
      <c r="Y727" s="83"/>
      <c r="Z727" s="83"/>
      <c r="AA727" s="83"/>
      <c r="AB727" s="83"/>
      <c r="AC727" s="83"/>
      <c r="AD727" s="83"/>
      <c r="AE727" s="83"/>
      <c r="AF727" s="83"/>
      <c r="AG727" s="83"/>
      <c r="AH727" s="83"/>
      <c r="AI727" s="83"/>
      <c r="AJ727" s="83"/>
      <c r="AK727" s="83"/>
      <c r="AL727" s="83"/>
      <c r="AM727" s="83"/>
      <c r="AN727" s="83"/>
      <c r="AO727" s="83"/>
      <c r="AP727" s="83"/>
      <c r="AQ727" s="83"/>
      <c r="AR727" s="83"/>
      <c r="AS727" s="83"/>
      <c r="AT727" s="83"/>
    </row>
    <row r="728" spans="1:46" ht="13.8">
      <c r="A728" s="83"/>
      <c r="B728" s="83"/>
      <c r="C728" s="83"/>
      <c r="D728" s="83"/>
      <c r="E728" s="82"/>
      <c r="F728" s="82"/>
      <c r="G728" s="83"/>
      <c r="H728" s="83"/>
      <c r="I728" s="83"/>
      <c r="J728" s="83"/>
      <c r="K728" s="83"/>
      <c r="L728" s="83"/>
      <c r="M728" s="83"/>
      <c r="N728" s="83"/>
      <c r="O728" s="83"/>
      <c r="P728" s="83"/>
      <c r="Q728" s="83"/>
      <c r="R728" s="83"/>
      <c r="S728" s="83"/>
      <c r="T728" s="83"/>
      <c r="U728" s="83"/>
      <c r="V728" s="83"/>
      <c r="W728" s="83"/>
      <c r="X728" s="83"/>
      <c r="Y728" s="83"/>
      <c r="Z728" s="83"/>
      <c r="AA728" s="83"/>
      <c r="AB728" s="83"/>
      <c r="AC728" s="83"/>
      <c r="AD728" s="83"/>
      <c r="AE728" s="83"/>
      <c r="AF728" s="83"/>
      <c r="AG728" s="83"/>
      <c r="AH728" s="83"/>
      <c r="AI728" s="83"/>
      <c r="AJ728" s="83"/>
      <c r="AK728" s="83"/>
      <c r="AL728" s="83"/>
      <c r="AM728" s="83"/>
      <c r="AN728" s="83"/>
      <c r="AO728" s="83"/>
      <c r="AP728" s="83"/>
      <c r="AQ728" s="83"/>
      <c r="AR728" s="83"/>
      <c r="AS728" s="83"/>
      <c r="AT728" s="83"/>
    </row>
    <row r="729" spans="1:46" ht="13.8">
      <c r="A729" s="83"/>
      <c r="B729" s="83"/>
      <c r="C729" s="83"/>
      <c r="D729" s="83"/>
      <c r="E729" s="82"/>
      <c r="F729" s="82"/>
      <c r="G729" s="83"/>
      <c r="H729" s="83"/>
      <c r="I729" s="83"/>
      <c r="J729" s="83"/>
      <c r="K729" s="83"/>
      <c r="L729" s="83"/>
      <c r="M729" s="83"/>
      <c r="N729" s="83"/>
      <c r="O729" s="83"/>
      <c r="P729" s="83"/>
      <c r="Q729" s="83"/>
      <c r="R729" s="83"/>
      <c r="S729" s="83"/>
      <c r="T729" s="83"/>
      <c r="U729" s="83"/>
      <c r="V729" s="83"/>
      <c r="W729" s="83"/>
      <c r="X729" s="83"/>
      <c r="Y729" s="83"/>
      <c r="Z729" s="83"/>
      <c r="AA729" s="83"/>
      <c r="AB729" s="83"/>
      <c r="AC729" s="83"/>
      <c r="AD729" s="83"/>
      <c r="AE729" s="83"/>
      <c r="AF729" s="83"/>
      <c r="AG729" s="83"/>
      <c r="AH729" s="83"/>
      <c r="AI729" s="83"/>
      <c r="AJ729" s="83"/>
      <c r="AK729" s="83"/>
      <c r="AL729" s="83"/>
      <c r="AM729" s="83"/>
      <c r="AN729" s="83"/>
      <c r="AO729" s="83"/>
      <c r="AP729" s="83"/>
      <c r="AQ729" s="83"/>
      <c r="AR729" s="83"/>
      <c r="AS729" s="83"/>
      <c r="AT729" s="83"/>
    </row>
    <row r="730" spans="1:46" ht="13.8">
      <c r="A730" s="83"/>
      <c r="B730" s="83"/>
      <c r="C730" s="83"/>
      <c r="D730" s="83"/>
      <c r="E730" s="82"/>
      <c r="F730" s="82"/>
      <c r="G730" s="83"/>
      <c r="H730" s="83"/>
      <c r="I730" s="83"/>
      <c r="J730" s="83"/>
      <c r="K730" s="83"/>
      <c r="L730" s="83"/>
      <c r="M730" s="83"/>
      <c r="N730" s="83"/>
      <c r="O730" s="83"/>
      <c r="P730" s="83"/>
      <c r="Q730" s="83"/>
      <c r="R730" s="83"/>
      <c r="S730" s="83"/>
      <c r="T730" s="83"/>
      <c r="U730" s="83"/>
      <c r="V730" s="83"/>
      <c r="W730" s="83"/>
      <c r="X730" s="83"/>
      <c r="Y730" s="83"/>
      <c r="Z730" s="83"/>
      <c r="AA730" s="83"/>
      <c r="AB730" s="83"/>
      <c r="AC730" s="83"/>
      <c r="AD730" s="83"/>
      <c r="AE730" s="83"/>
      <c r="AF730" s="83"/>
      <c r="AG730" s="83"/>
      <c r="AH730" s="83"/>
      <c r="AI730" s="83"/>
      <c r="AJ730" s="83"/>
      <c r="AK730" s="83"/>
      <c r="AL730" s="83"/>
      <c r="AM730" s="83"/>
      <c r="AN730" s="83"/>
      <c r="AO730" s="83"/>
      <c r="AP730" s="83"/>
      <c r="AQ730" s="83"/>
      <c r="AR730" s="83"/>
      <c r="AS730" s="83"/>
      <c r="AT730" s="83"/>
    </row>
    <row r="731" spans="1:46" ht="13.8">
      <c r="A731" s="83"/>
      <c r="B731" s="83"/>
      <c r="C731" s="83"/>
      <c r="D731" s="83"/>
      <c r="E731" s="82"/>
      <c r="F731" s="82"/>
      <c r="G731" s="83"/>
      <c r="H731" s="83"/>
      <c r="I731" s="83"/>
      <c r="J731" s="83"/>
      <c r="K731" s="83"/>
      <c r="L731" s="83"/>
      <c r="M731" s="83"/>
      <c r="N731" s="83"/>
      <c r="O731" s="83"/>
      <c r="P731" s="83"/>
      <c r="Q731" s="83"/>
      <c r="R731" s="83"/>
      <c r="S731" s="83"/>
      <c r="T731" s="83"/>
      <c r="U731" s="83"/>
      <c r="V731" s="83"/>
      <c r="W731" s="83"/>
      <c r="X731" s="83"/>
      <c r="Y731" s="83"/>
      <c r="Z731" s="83"/>
      <c r="AA731" s="83"/>
      <c r="AB731" s="83"/>
      <c r="AC731" s="83"/>
      <c r="AD731" s="83"/>
      <c r="AE731" s="83"/>
      <c r="AF731" s="83"/>
      <c r="AG731" s="83"/>
      <c r="AH731" s="83"/>
      <c r="AI731" s="83"/>
      <c r="AJ731" s="83"/>
      <c r="AK731" s="83"/>
      <c r="AL731" s="83"/>
      <c r="AM731" s="83"/>
      <c r="AN731" s="83"/>
      <c r="AO731" s="83"/>
      <c r="AP731" s="83"/>
      <c r="AQ731" s="83"/>
      <c r="AR731" s="83"/>
      <c r="AS731" s="83"/>
      <c r="AT731" s="83"/>
    </row>
    <row r="732" spans="1:46" ht="13.8">
      <c r="A732" s="83"/>
      <c r="B732" s="83"/>
      <c r="C732" s="83"/>
      <c r="D732" s="83"/>
      <c r="E732" s="82"/>
      <c r="F732" s="82"/>
      <c r="G732" s="83"/>
      <c r="H732" s="83"/>
      <c r="I732" s="83"/>
      <c r="J732" s="83"/>
      <c r="K732" s="83"/>
      <c r="L732" s="83"/>
      <c r="M732" s="83"/>
      <c r="N732" s="83"/>
      <c r="O732" s="83"/>
      <c r="P732" s="83"/>
      <c r="Q732" s="83"/>
      <c r="R732" s="83"/>
      <c r="S732" s="83"/>
      <c r="T732" s="83"/>
      <c r="U732" s="83"/>
      <c r="V732" s="83"/>
      <c r="W732" s="83"/>
      <c r="X732" s="83"/>
      <c r="Y732" s="83"/>
      <c r="Z732" s="83"/>
      <c r="AA732" s="83"/>
      <c r="AB732" s="83"/>
      <c r="AC732" s="83"/>
      <c r="AD732" s="83"/>
      <c r="AE732" s="83"/>
      <c r="AF732" s="83"/>
      <c r="AG732" s="83"/>
      <c r="AH732" s="83"/>
      <c r="AI732" s="83"/>
      <c r="AJ732" s="83"/>
      <c r="AK732" s="83"/>
      <c r="AL732" s="83"/>
      <c r="AM732" s="83"/>
      <c r="AN732" s="83"/>
      <c r="AO732" s="83"/>
      <c r="AP732" s="83"/>
      <c r="AQ732" s="83"/>
      <c r="AR732" s="83"/>
      <c r="AS732" s="83"/>
      <c r="AT732" s="83"/>
    </row>
    <row r="733" spans="1:46" ht="13.8">
      <c r="A733" s="83"/>
      <c r="B733" s="83"/>
      <c r="C733" s="83"/>
      <c r="D733" s="83"/>
      <c r="E733" s="82"/>
      <c r="F733" s="82"/>
      <c r="G733" s="83"/>
      <c r="H733" s="83"/>
      <c r="I733" s="83"/>
      <c r="J733" s="83"/>
      <c r="K733" s="83"/>
      <c r="L733" s="83"/>
      <c r="M733" s="83"/>
      <c r="N733" s="83"/>
      <c r="O733" s="83"/>
      <c r="P733" s="83"/>
      <c r="Q733" s="83"/>
      <c r="R733" s="83"/>
      <c r="S733" s="83"/>
      <c r="T733" s="83"/>
      <c r="U733" s="83"/>
      <c r="V733" s="83"/>
      <c r="W733" s="83"/>
      <c r="X733" s="83"/>
      <c r="Y733" s="83"/>
      <c r="Z733" s="83"/>
      <c r="AA733" s="83"/>
      <c r="AB733" s="83"/>
      <c r="AC733" s="83"/>
      <c r="AD733" s="83"/>
      <c r="AE733" s="83"/>
      <c r="AF733" s="83"/>
      <c r="AG733" s="83"/>
      <c r="AH733" s="83"/>
      <c r="AI733" s="83"/>
      <c r="AJ733" s="83"/>
      <c r="AK733" s="83"/>
      <c r="AL733" s="83"/>
      <c r="AM733" s="83"/>
      <c r="AN733" s="83"/>
      <c r="AO733" s="83"/>
      <c r="AP733" s="83"/>
      <c r="AQ733" s="83"/>
      <c r="AR733" s="83"/>
      <c r="AS733" s="83"/>
      <c r="AT733" s="83"/>
    </row>
    <row r="734" spans="1:46" ht="13.8">
      <c r="A734" s="83"/>
      <c r="B734" s="83"/>
      <c r="C734" s="83"/>
      <c r="D734" s="83"/>
      <c r="E734" s="82"/>
      <c r="F734" s="82"/>
      <c r="G734" s="83"/>
      <c r="H734" s="83"/>
      <c r="I734" s="83"/>
      <c r="J734" s="83"/>
      <c r="K734" s="83"/>
      <c r="L734" s="83"/>
      <c r="M734" s="83"/>
      <c r="N734" s="83"/>
      <c r="O734" s="83"/>
      <c r="P734" s="83"/>
      <c r="Q734" s="83"/>
      <c r="R734" s="83"/>
      <c r="S734" s="83"/>
      <c r="T734" s="83"/>
      <c r="U734" s="83"/>
      <c r="V734" s="83"/>
      <c r="W734" s="83"/>
      <c r="X734" s="83"/>
      <c r="Y734" s="83"/>
      <c r="Z734" s="83"/>
      <c r="AA734" s="83"/>
      <c r="AB734" s="83"/>
      <c r="AC734" s="83"/>
      <c r="AD734" s="83"/>
      <c r="AE734" s="83"/>
      <c r="AF734" s="83"/>
      <c r="AG734" s="83"/>
      <c r="AH734" s="83"/>
      <c r="AI734" s="83"/>
      <c r="AJ734" s="83"/>
      <c r="AK734" s="83"/>
      <c r="AL734" s="83"/>
      <c r="AM734" s="83"/>
      <c r="AN734" s="83"/>
      <c r="AO734" s="83"/>
      <c r="AP734" s="83"/>
      <c r="AQ734" s="83"/>
      <c r="AR734" s="83"/>
      <c r="AS734" s="83"/>
      <c r="AT734" s="83"/>
    </row>
    <row r="735" spans="1:46" ht="13.8">
      <c r="A735" s="83"/>
      <c r="B735" s="83"/>
      <c r="C735" s="83"/>
      <c r="D735" s="83"/>
      <c r="E735" s="82"/>
      <c r="F735" s="82"/>
      <c r="G735" s="83"/>
      <c r="H735" s="83"/>
      <c r="I735" s="83"/>
      <c r="J735" s="83"/>
      <c r="K735" s="83"/>
      <c r="L735" s="83"/>
      <c r="M735" s="83"/>
      <c r="N735" s="83"/>
      <c r="O735" s="83"/>
      <c r="P735" s="83"/>
      <c r="Q735" s="83"/>
      <c r="R735" s="83"/>
      <c r="S735" s="83"/>
      <c r="T735" s="83"/>
      <c r="U735" s="83"/>
      <c r="V735" s="83"/>
      <c r="W735" s="83"/>
      <c r="X735" s="83"/>
      <c r="Y735" s="83"/>
      <c r="Z735" s="83"/>
      <c r="AA735" s="83"/>
      <c r="AB735" s="83"/>
      <c r="AC735" s="83"/>
      <c r="AD735" s="83"/>
      <c r="AE735" s="83"/>
      <c r="AF735" s="83"/>
      <c r="AG735" s="83"/>
      <c r="AH735" s="83"/>
      <c r="AI735" s="83"/>
      <c r="AJ735" s="83"/>
      <c r="AK735" s="83"/>
      <c r="AL735" s="83"/>
      <c r="AM735" s="83"/>
      <c r="AN735" s="83"/>
      <c r="AO735" s="83"/>
      <c r="AP735" s="83"/>
      <c r="AQ735" s="83"/>
      <c r="AR735" s="83"/>
      <c r="AS735" s="83"/>
      <c r="AT735" s="83"/>
    </row>
    <row r="736" spans="1:46" ht="13.8">
      <c r="A736" s="83"/>
      <c r="B736" s="83"/>
      <c r="C736" s="83"/>
      <c r="D736" s="83"/>
      <c r="E736" s="82"/>
      <c r="F736" s="82"/>
      <c r="G736" s="83"/>
      <c r="H736" s="83"/>
      <c r="I736" s="83"/>
      <c r="J736" s="83"/>
      <c r="K736" s="83"/>
      <c r="L736" s="83"/>
      <c r="M736" s="83"/>
      <c r="N736" s="83"/>
      <c r="O736" s="83"/>
      <c r="P736" s="83"/>
      <c r="Q736" s="83"/>
      <c r="R736" s="83"/>
      <c r="S736" s="83"/>
      <c r="T736" s="83"/>
      <c r="U736" s="83"/>
      <c r="V736" s="83"/>
      <c r="W736" s="83"/>
      <c r="X736" s="83"/>
      <c r="Y736" s="83"/>
      <c r="Z736" s="83"/>
      <c r="AA736" s="83"/>
      <c r="AB736" s="83"/>
      <c r="AC736" s="83"/>
      <c r="AD736" s="83"/>
      <c r="AE736" s="83"/>
      <c r="AF736" s="83"/>
      <c r="AG736" s="83"/>
      <c r="AH736" s="83"/>
      <c r="AI736" s="83"/>
      <c r="AJ736" s="83"/>
      <c r="AK736" s="83"/>
      <c r="AL736" s="83"/>
      <c r="AM736" s="83"/>
      <c r="AN736" s="83"/>
      <c r="AO736" s="83"/>
      <c r="AP736" s="83"/>
      <c r="AQ736" s="83"/>
      <c r="AR736" s="83"/>
      <c r="AS736" s="83"/>
      <c r="AT736" s="83"/>
    </row>
    <row r="737" spans="1:46" ht="13.8">
      <c r="A737" s="83"/>
      <c r="B737" s="83"/>
      <c r="C737" s="83"/>
      <c r="D737" s="83"/>
      <c r="E737" s="82"/>
      <c r="F737" s="82"/>
      <c r="G737" s="83"/>
      <c r="H737" s="83"/>
      <c r="I737" s="83"/>
      <c r="J737" s="83"/>
      <c r="K737" s="83"/>
      <c r="L737" s="83"/>
      <c r="M737" s="83"/>
      <c r="N737" s="83"/>
      <c r="O737" s="83"/>
      <c r="P737" s="83"/>
      <c r="Q737" s="83"/>
      <c r="R737" s="83"/>
      <c r="S737" s="83"/>
      <c r="T737" s="83"/>
      <c r="U737" s="83"/>
      <c r="V737" s="83"/>
      <c r="W737" s="83"/>
      <c r="X737" s="83"/>
      <c r="Y737" s="83"/>
      <c r="Z737" s="83"/>
      <c r="AA737" s="83"/>
      <c r="AB737" s="83"/>
      <c r="AC737" s="83"/>
      <c r="AD737" s="83"/>
      <c r="AE737" s="83"/>
      <c r="AF737" s="83"/>
      <c r="AG737" s="83"/>
      <c r="AH737" s="83"/>
      <c r="AI737" s="83"/>
      <c r="AJ737" s="83"/>
      <c r="AK737" s="83"/>
      <c r="AL737" s="83"/>
      <c r="AM737" s="83"/>
      <c r="AN737" s="83"/>
      <c r="AO737" s="83"/>
      <c r="AP737" s="83"/>
      <c r="AQ737" s="83"/>
      <c r="AR737" s="83"/>
      <c r="AS737" s="83"/>
      <c r="AT737" s="83"/>
    </row>
    <row r="738" spans="1:46" ht="13.8">
      <c r="A738" s="83"/>
      <c r="B738" s="83"/>
      <c r="C738" s="83"/>
      <c r="D738" s="83"/>
      <c r="E738" s="82"/>
      <c r="F738" s="82"/>
      <c r="G738" s="83"/>
      <c r="H738" s="83"/>
      <c r="I738" s="83"/>
      <c r="J738" s="83"/>
      <c r="K738" s="83"/>
      <c r="L738" s="83"/>
      <c r="M738" s="83"/>
      <c r="N738" s="83"/>
      <c r="O738" s="83"/>
      <c r="P738" s="83"/>
      <c r="Q738" s="83"/>
      <c r="R738" s="83"/>
      <c r="S738" s="83"/>
      <c r="T738" s="83"/>
      <c r="U738" s="83"/>
      <c r="V738" s="83"/>
      <c r="W738" s="83"/>
      <c r="X738" s="83"/>
      <c r="Y738" s="83"/>
      <c r="Z738" s="83"/>
      <c r="AA738" s="83"/>
      <c r="AB738" s="83"/>
      <c r="AC738" s="83"/>
      <c r="AD738" s="83"/>
      <c r="AE738" s="83"/>
      <c r="AF738" s="83"/>
      <c r="AG738" s="83"/>
      <c r="AH738" s="83"/>
      <c r="AI738" s="83"/>
      <c r="AJ738" s="83"/>
      <c r="AK738" s="83"/>
      <c r="AL738" s="83"/>
      <c r="AM738" s="83"/>
      <c r="AN738" s="83"/>
      <c r="AO738" s="83"/>
      <c r="AP738" s="83"/>
      <c r="AQ738" s="83"/>
      <c r="AR738" s="83"/>
      <c r="AS738" s="83"/>
      <c r="AT738" s="83"/>
    </row>
    <row r="739" spans="1:46" ht="13.8">
      <c r="A739" s="83"/>
      <c r="B739" s="83"/>
      <c r="C739" s="83"/>
      <c r="D739" s="83"/>
      <c r="E739" s="82"/>
      <c r="F739" s="82"/>
      <c r="G739" s="83"/>
      <c r="H739" s="83"/>
      <c r="I739" s="83"/>
      <c r="J739" s="83"/>
      <c r="K739" s="83"/>
      <c r="L739" s="83"/>
      <c r="M739" s="83"/>
      <c r="N739" s="83"/>
      <c r="O739" s="83"/>
      <c r="P739" s="83"/>
      <c r="Q739" s="83"/>
      <c r="R739" s="83"/>
      <c r="S739" s="83"/>
      <c r="T739" s="83"/>
      <c r="U739" s="83"/>
      <c r="V739" s="83"/>
      <c r="W739" s="83"/>
      <c r="X739" s="83"/>
      <c r="Y739" s="83"/>
      <c r="Z739" s="83"/>
      <c r="AA739" s="83"/>
      <c r="AB739" s="83"/>
      <c r="AC739" s="83"/>
      <c r="AD739" s="83"/>
      <c r="AE739" s="83"/>
      <c r="AF739" s="83"/>
      <c r="AG739" s="83"/>
      <c r="AH739" s="83"/>
      <c r="AI739" s="83"/>
      <c r="AJ739" s="83"/>
      <c r="AK739" s="83"/>
      <c r="AL739" s="83"/>
      <c r="AM739" s="83"/>
      <c r="AN739" s="83"/>
      <c r="AO739" s="83"/>
      <c r="AP739" s="83"/>
      <c r="AQ739" s="83"/>
      <c r="AR739" s="83"/>
      <c r="AS739" s="83"/>
      <c r="AT739" s="83"/>
    </row>
    <row r="740" spans="1:46" ht="13.8">
      <c r="A740" s="83"/>
      <c r="B740" s="83"/>
      <c r="C740" s="83"/>
      <c r="D740" s="83"/>
      <c r="E740" s="82"/>
      <c r="F740" s="82"/>
      <c r="G740" s="83"/>
      <c r="H740" s="83"/>
      <c r="I740" s="83"/>
      <c r="J740" s="83"/>
      <c r="K740" s="83"/>
      <c r="L740" s="83"/>
      <c r="M740" s="83"/>
      <c r="N740" s="83"/>
      <c r="O740" s="83"/>
      <c r="P740" s="83"/>
      <c r="Q740" s="83"/>
      <c r="R740" s="83"/>
      <c r="S740" s="83"/>
      <c r="T740" s="83"/>
      <c r="U740" s="83"/>
      <c r="V740" s="83"/>
      <c r="W740" s="83"/>
      <c r="X740" s="83"/>
      <c r="Y740" s="83"/>
      <c r="Z740" s="83"/>
      <c r="AA740" s="83"/>
      <c r="AB740" s="83"/>
      <c r="AC740" s="83"/>
      <c r="AD740" s="83"/>
      <c r="AE740" s="83"/>
      <c r="AF740" s="83"/>
      <c r="AG740" s="83"/>
      <c r="AH740" s="83"/>
      <c r="AI740" s="83"/>
      <c r="AJ740" s="83"/>
      <c r="AK740" s="83"/>
      <c r="AL740" s="83"/>
      <c r="AM740" s="83"/>
      <c r="AN740" s="83"/>
      <c r="AO740" s="83"/>
      <c r="AP740" s="83"/>
      <c r="AQ740" s="83"/>
      <c r="AR740" s="83"/>
      <c r="AS740" s="83"/>
      <c r="AT740" s="83"/>
    </row>
    <row r="741" spans="1:46" ht="13.8">
      <c r="A741" s="83"/>
      <c r="B741" s="83"/>
      <c r="C741" s="83"/>
      <c r="D741" s="83"/>
      <c r="E741" s="82"/>
      <c r="F741" s="82"/>
      <c r="G741" s="83"/>
      <c r="H741" s="83"/>
      <c r="I741" s="83"/>
      <c r="J741" s="83"/>
      <c r="K741" s="83"/>
      <c r="L741" s="83"/>
      <c r="M741" s="83"/>
      <c r="N741" s="83"/>
      <c r="O741" s="83"/>
      <c r="P741" s="83"/>
      <c r="Q741" s="83"/>
      <c r="R741" s="83"/>
      <c r="S741" s="83"/>
      <c r="T741" s="83"/>
      <c r="U741" s="83"/>
      <c r="V741" s="83"/>
      <c r="W741" s="83"/>
      <c r="X741" s="83"/>
      <c r="Y741" s="83"/>
      <c r="Z741" s="83"/>
      <c r="AA741" s="83"/>
      <c r="AB741" s="83"/>
      <c r="AC741" s="83"/>
      <c r="AD741" s="83"/>
      <c r="AE741" s="83"/>
      <c r="AF741" s="83"/>
      <c r="AG741" s="83"/>
      <c r="AH741" s="83"/>
      <c r="AI741" s="83"/>
      <c r="AJ741" s="83"/>
      <c r="AK741" s="83"/>
      <c r="AL741" s="83"/>
      <c r="AM741" s="83"/>
      <c r="AN741" s="83"/>
      <c r="AO741" s="83"/>
      <c r="AP741" s="83"/>
      <c r="AQ741" s="83"/>
      <c r="AR741" s="83"/>
      <c r="AS741" s="83"/>
      <c r="AT741" s="83"/>
    </row>
    <row r="742" spans="1:46" ht="13.8">
      <c r="A742" s="83"/>
      <c r="B742" s="83"/>
      <c r="C742" s="83"/>
      <c r="D742" s="83"/>
      <c r="E742" s="82"/>
      <c r="F742" s="82"/>
      <c r="G742" s="83"/>
      <c r="H742" s="83"/>
      <c r="I742" s="83"/>
      <c r="J742" s="83"/>
      <c r="K742" s="83"/>
      <c r="L742" s="83"/>
      <c r="M742" s="83"/>
      <c r="N742" s="83"/>
      <c r="O742" s="83"/>
      <c r="P742" s="83"/>
      <c r="Q742" s="83"/>
      <c r="R742" s="83"/>
      <c r="S742" s="83"/>
      <c r="T742" s="83"/>
      <c r="U742" s="83"/>
      <c r="V742" s="83"/>
      <c r="W742" s="83"/>
      <c r="X742" s="83"/>
      <c r="Y742" s="83"/>
      <c r="Z742" s="83"/>
      <c r="AA742" s="83"/>
      <c r="AB742" s="83"/>
      <c r="AC742" s="83"/>
      <c r="AD742" s="83"/>
      <c r="AE742" s="83"/>
      <c r="AF742" s="83"/>
      <c r="AG742" s="83"/>
      <c r="AH742" s="83"/>
      <c r="AI742" s="83"/>
      <c r="AJ742" s="83"/>
      <c r="AK742" s="83"/>
      <c r="AL742" s="83"/>
      <c r="AM742" s="83"/>
      <c r="AN742" s="83"/>
      <c r="AO742" s="83"/>
      <c r="AP742" s="83"/>
      <c r="AQ742" s="83"/>
      <c r="AR742" s="83"/>
      <c r="AS742" s="83"/>
      <c r="AT742" s="83"/>
    </row>
    <row r="743" spans="1:46" ht="13.8">
      <c r="A743" s="83"/>
      <c r="B743" s="83"/>
      <c r="C743" s="83"/>
      <c r="D743" s="83"/>
      <c r="E743" s="82"/>
      <c r="F743" s="82"/>
      <c r="G743" s="83"/>
      <c r="H743" s="83"/>
      <c r="I743" s="83"/>
      <c r="J743" s="83"/>
      <c r="K743" s="83"/>
      <c r="L743" s="83"/>
      <c r="M743" s="83"/>
      <c r="N743" s="83"/>
      <c r="O743" s="83"/>
      <c r="P743" s="83"/>
      <c r="Q743" s="83"/>
      <c r="R743" s="83"/>
      <c r="S743" s="83"/>
      <c r="T743" s="83"/>
      <c r="U743" s="83"/>
      <c r="V743" s="83"/>
      <c r="W743" s="83"/>
      <c r="X743" s="83"/>
      <c r="Y743" s="83"/>
      <c r="Z743" s="83"/>
      <c r="AA743" s="83"/>
      <c r="AB743" s="83"/>
      <c r="AC743" s="83"/>
      <c r="AD743" s="83"/>
      <c r="AE743" s="83"/>
      <c r="AF743" s="83"/>
      <c r="AG743" s="83"/>
      <c r="AH743" s="83"/>
      <c r="AI743" s="83"/>
      <c r="AJ743" s="83"/>
      <c r="AK743" s="83"/>
      <c r="AL743" s="83"/>
      <c r="AM743" s="83"/>
      <c r="AN743" s="83"/>
      <c r="AO743" s="83"/>
      <c r="AP743" s="83"/>
      <c r="AQ743" s="83"/>
      <c r="AR743" s="83"/>
      <c r="AS743" s="83"/>
      <c r="AT743" s="83"/>
    </row>
    <row r="744" spans="1:46" ht="13.8">
      <c r="A744" s="83"/>
      <c r="B744" s="83"/>
      <c r="C744" s="83"/>
      <c r="D744" s="83"/>
      <c r="E744" s="82"/>
      <c r="F744" s="82"/>
      <c r="G744" s="83"/>
      <c r="H744" s="83"/>
      <c r="I744" s="83"/>
      <c r="J744" s="83"/>
      <c r="K744" s="83"/>
      <c r="L744" s="83"/>
      <c r="M744" s="83"/>
      <c r="N744" s="83"/>
      <c r="O744" s="83"/>
      <c r="P744" s="83"/>
      <c r="Q744" s="83"/>
      <c r="R744" s="83"/>
      <c r="S744" s="83"/>
      <c r="T744" s="83"/>
      <c r="U744" s="83"/>
      <c r="V744" s="83"/>
      <c r="W744" s="83"/>
      <c r="X744" s="83"/>
      <c r="Y744" s="83"/>
      <c r="Z744" s="83"/>
      <c r="AA744" s="83"/>
      <c r="AB744" s="83"/>
      <c r="AC744" s="83"/>
      <c r="AD744" s="83"/>
      <c r="AE744" s="83"/>
      <c r="AF744" s="83"/>
      <c r="AG744" s="83"/>
      <c r="AH744" s="83"/>
      <c r="AI744" s="83"/>
      <c r="AJ744" s="83"/>
      <c r="AK744" s="83"/>
      <c r="AL744" s="83"/>
      <c r="AM744" s="83"/>
      <c r="AN744" s="83"/>
      <c r="AO744" s="83"/>
      <c r="AP744" s="83"/>
      <c r="AQ744" s="83"/>
      <c r="AR744" s="83"/>
      <c r="AS744" s="83"/>
      <c r="AT744" s="83"/>
    </row>
    <row r="745" spans="1:46" ht="13.8">
      <c r="A745" s="83"/>
      <c r="B745" s="83"/>
      <c r="C745" s="83"/>
      <c r="D745" s="83"/>
      <c r="E745" s="82"/>
      <c r="F745" s="82"/>
      <c r="G745" s="83"/>
      <c r="H745" s="83"/>
      <c r="I745" s="83"/>
      <c r="J745" s="83"/>
      <c r="K745" s="83"/>
      <c r="L745" s="83"/>
      <c r="M745" s="83"/>
      <c r="N745" s="83"/>
      <c r="O745" s="83"/>
      <c r="P745" s="83"/>
      <c r="Q745" s="83"/>
      <c r="R745" s="83"/>
      <c r="S745" s="83"/>
      <c r="T745" s="83"/>
      <c r="U745" s="83"/>
      <c r="V745" s="83"/>
      <c r="W745" s="83"/>
      <c r="X745" s="83"/>
      <c r="Y745" s="83"/>
      <c r="Z745" s="83"/>
      <c r="AA745" s="83"/>
      <c r="AB745" s="83"/>
      <c r="AC745" s="83"/>
      <c r="AD745" s="83"/>
      <c r="AE745" s="83"/>
      <c r="AF745" s="83"/>
      <c r="AG745" s="83"/>
      <c r="AH745" s="83"/>
      <c r="AI745" s="83"/>
      <c r="AJ745" s="83"/>
      <c r="AK745" s="83"/>
      <c r="AL745" s="83"/>
      <c r="AM745" s="83"/>
      <c r="AN745" s="83"/>
      <c r="AO745" s="83"/>
      <c r="AP745" s="83"/>
      <c r="AQ745" s="83"/>
      <c r="AR745" s="83"/>
      <c r="AS745" s="83"/>
      <c r="AT745" s="83"/>
    </row>
    <row r="746" spans="1:46" ht="13.8">
      <c r="A746" s="83"/>
      <c r="B746" s="83"/>
      <c r="C746" s="83"/>
      <c r="D746" s="83"/>
      <c r="E746" s="82"/>
      <c r="F746" s="82"/>
      <c r="G746" s="83"/>
      <c r="H746" s="83"/>
      <c r="I746" s="83"/>
      <c r="J746" s="83"/>
      <c r="K746" s="83"/>
      <c r="L746" s="83"/>
      <c r="M746" s="83"/>
      <c r="N746" s="83"/>
      <c r="O746" s="83"/>
      <c r="P746" s="83"/>
      <c r="Q746" s="83"/>
      <c r="R746" s="83"/>
      <c r="S746" s="83"/>
      <c r="T746" s="83"/>
      <c r="U746" s="83"/>
      <c r="V746" s="83"/>
      <c r="W746" s="83"/>
      <c r="X746" s="83"/>
      <c r="Y746" s="83"/>
      <c r="Z746" s="83"/>
      <c r="AA746" s="83"/>
      <c r="AB746" s="83"/>
      <c r="AC746" s="83"/>
      <c r="AD746" s="83"/>
      <c r="AE746" s="83"/>
      <c r="AF746" s="83"/>
      <c r="AG746" s="83"/>
      <c r="AH746" s="83"/>
      <c r="AI746" s="83"/>
      <c r="AJ746" s="83"/>
      <c r="AK746" s="83"/>
      <c r="AL746" s="83"/>
      <c r="AM746" s="83"/>
      <c r="AN746" s="83"/>
      <c r="AO746" s="83"/>
      <c r="AP746" s="83"/>
      <c r="AQ746" s="83"/>
      <c r="AR746" s="83"/>
      <c r="AS746" s="83"/>
      <c r="AT746" s="83"/>
    </row>
    <row r="747" spans="1:46" ht="13.8">
      <c r="A747" s="83"/>
      <c r="B747" s="83"/>
      <c r="C747" s="83"/>
      <c r="D747" s="83"/>
      <c r="E747" s="82"/>
      <c r="F747" s="82"/>
      <c r="G747" s="83"/>
      <c r="H747" s="83"/>
      <c r="I747" s="83"/>
      <c r="J747" s="83"/>
      <c r="K747" s="83"/>
      <c r="L747" s="83"/>
      <c r="M747" s="83"/>
      <c r="N747" s="83"/>
      <c r="O747" s="83"/>
      <c r="P747" s="83"/>
      <c r="Q747" s="83"/>
      <c r="R747" s="83"/>
      <c r="S747" s="83"/>
      <c r="T747" s="83"/>
      <c r="U747" s="83"/>
      <c r="V747" s="83"/>
      <c r="W747" s="83"/>
      <c r="X747" s="83"/>
      <c r="Y747" s="83"/>
      <c r="Z747" s="83"/>
      <c r="AA747" s="83"/>
      <c r="AB747" s="83"/>
      <c r="AC747" s="83"/>
      <c r="AD747" s="83"/>
      <c r="AE747" s="83"/>
      <c r="AF747" s="83"/>
      <c r="AG747" s="83"/>
      <c r="AH747" s="83"/>
      <c r="AI747" s="83"/>
      <c r="AJ747" s="83"/>
      <c r="AK747" s="83"/>
      <c r="AL747" s="83"/>
      <c r="AM747" s="83"/>
      <c r="AN747" s="83"/>
      <c r="AO747" s="83"/>
      <c r="AP747" s="83"/>
      <c r="AQ747" s="83"/>
      <c r="AR747" s="83"/>
      <c r="AS747" s="83"/>
      <c r="AT747" s="83"/>
    </row>
    <row r="748" spans="1:46" ht="13.8">
      <c r="A748" s="83"/>
      <c r="B748" s="83"/>
      <c r="C748" s="83"/>
      <c r="D748" s="83"/>
      <c r="E748" s="82"/>
      <c r="F748" s="82"/>
      <c r="G748" s="83"/>
      <c r="H748" s="83"/>
      <c r="I748" s="83"/>
      <c r="J748" s="83"/>
      <c r="K748" s="83"/>
      <c r="L748" s="83"/>
      <c r="M748" s="83"/>
      <c r="N748" s="83"/>
      <c r="O748" s="83"/>
      <c r="P748" s="83"/>
      <c r="Q748" s="83"/>
      <c r="R748" s="83"/>
      <c r="S748" s="83"/>
      <c r="T748" s="83"/>
      <c r="U748" s="83"/>
      <c r="V748" s="83"/>
      <c r="W748" s="83"/>
      <c r="X748" s="83"/>
      <c r="Y748" s="83"/>
      <c r="Z748" s="83"/>
      <c r="AA748" s="83"/>
      <c r="AB748" s="83"/>
      <c r="AC748" s="83"/>
      <c r="AD748" s="83"/>
      <c r="AE748" s="83"/>
      <c r="AF748" s="83"/>
      <c r="AG748" s="83"/>
      <c r="AH748" s="83"/>
      <c r="AI748" s="83"/>
      <c r="AJ748" s="83"/>
      <c r="AK748" s="83"/>
      <c r="AL748" s="83"/>
      <c r="AM748" s="83"/>
      <c r="AN748" s="83"/>
      <c r="AO748" s="83"/>
      <c r="AP748" s="83"/>
      <c r="AQ748" s="83"/>
      <c r="AR748" s="83"/>
      <c r="AS748" s="83"/>
      <c r="AT748" s="83"/>
    </row>
    <row r="749" spans="1:46" ht="13.8">
      <c r="A749" s="83"/>
      <c r="B749" s="83"/>
      <c r="C749" s="83"/>
      <c r="D749" s="83"/>
      <c r="E749" s="82"/>
      <c r="F749" s="82"/>
      <c r="G749" s="83"/>
      <c r="H749" s="83"/>
      <c r="I749" s="83"/>
      <c r="J749" s="83"/>
      <c r="K749" s="83"/>
      <c r="L749" s="83"/>
      <c r="M749" s="83"/>
      <c r="N749" s="83"/>
      <c r="O749" s="83"/>
      <c r="P749" s="83"/>
      <c r="Q749" s="83"/>
      <c r="R749" s="83"/>
      <c r="S749" s="83"/>
      <c r="T749" s="83"/>
      <c r="U749" s="83"/>
      <c r="V749" s="83"/>
      <c r="W749" s="83"/>
      <c r="X749" s="83"/>
      <c r="Y749" s="83"/>
      <c r="Z749" s="83"/>
      <c r="AA749" s="83"/>
      <c r="AB749" s="83"/>
      <c r="AC749" s="83"/>
      <c r="AD749" s="83"/>
      <c r="AE749" s="83"/>
      <c r="AF749" s="83"/>
      <c r="AG749" s="83"/>
      <c r="AH749" s="83"/>
      <c r="AI749" s="83"/>
      <c r="AJ749" s="83"/>
      <c r="AK749" s="83"/>
      <c r="AL749" s="83"/>
      <c r="AM749" s="83"/>
      <c r="AN749" s="83"/>
      <c r="AO749" s="83"/>
      <c r="AP749" s="83"/>
      <c r="AQ749" s="83"/>
      <c r="AR749" s="83"/>
      <c r="AS749" s="83"/>
      <c r="AT749" s="83"/>
    </row>
    <row r="750" spans="1:46" ht="13.8">
      <c r="A750" s="83"/>
      <c r="B750" s="83"/>
      <c r="C750" s="83"/>
      <c r="D750" s="83"/>
      <c r="E750" s="82"/>
      <c r="F750" s="82"/>
      <c r="G750" s="83"/>
      <c r="H750" s="83"/>
      <c r="I750" s="83"/>
      <c r="J750" s="83"/>
      <c r="K750" s="83"/>
      <c r="L750" s="83"/>
      <c r="M750" s="83"/>
      <c r="N750" s="83"/>
      <c r="O750" s="83"/>
      <c r="P750" s="83"/>
      <c r="Q750" s="83"/>
      <c r="R750" s="83"/>
      <c r="S750" s="83"/>
      <c r="T750" s="83"/>
      <c r="U750" s="83"/>
      <c r="V750" s="83"/>
      <c r="W750" s="83"/>
      <c r="X750" s="83"/>
      <c r="Y750" s="83"/>
      <c r="Z750" s="83"/>
      <c r="AA750" s="83"/>
      <c r="AB750" s="83"/>
      <c r="AC750" s="83"/>
      <c r="AD750" s="83"/>
      <c r="AE750" s="83"/>
      <c r="AF750" s="83"/>
      <c r="AG750" s="83"/>
      <c r="AH750" s="83"/>
      <c r="AI750" s="83"/>
      <c r="AJ750" s="83"/>
      <c r="AK750" s="83"/>
      <c r="AL750" s="83"/>
      <c r="AM750" s="83"/>
      <c r="AN750" s="83"/>
      <c r="AO750" s="83"/>
      <c r="AP750" s="83"/>
      <c r="AQ750" s="83"/>
      <c r="AR750" s="83"/>
      <c r="AS750" s="83"/>
      <c r="AT750" s="83"/>
    </row>
    <row r="751" spans="1:46" ht="13.8">
      <c r="A751" s="83"/>
      <c r="B751" s="83"/>
      <c r="C751" s="83"/>
      <c r="D751" s="83"/>
      <c r="E751" s="82"/>
      <c r="F751" s="82"/>
      <c r="G751" s="83"/>
      <c r="H751" s="83"/>
      <c r="I751" s="83"/>
      <c r="J751" s="83"/>
      <c r="K751" s="83"/>
      <c r="L751" s="83"/>
      <c r="M751" s="83"/>
      <c r="N751" s="83"/>
      <c r="O751" s="83"/>
      <c r="P751" s="83"/>
      <c r="Q751" s="83"/>
      <c r="R751" s="83"/>
      <c r="S751" s="83"/>
      <c r="T751" s="83"/>
      <c r="U751" s="83"/>
      <c r="V751" s="83"/>
      <c r="W751" s="83"/>
      <c r="X751" s="83"/>
      <c r="Y751" s="83"/>
      <c r="Z751" s="83"/>
      <c r="AA751" s="83"/>
      <c r="AB751" s="83"/>
      <c r="AC751" s="83"/>
      <c r="AD751" s="83"/>
      <c r="AE751" s="83"/>
      <c r="AF751" s="83"/>
      <c r="AG751" s="83"/>
      <c r="AH751" s="83"/>
      <c r="AI751" s="83"/>
      <c r="AJ751" s="83"/>
      <c r="AK751" s="83"/>
      <c r="AL751" s="83"/>
      <c r="AM751" s="83"/>
      <c r="AN751" s="83"/>
      <c r="AO751" s="83"/>
      <c r="AP751" s="83"/>
      <c r="AQ751" s="83"/>
      <c r="AR751" s="83"/>
      <c r="AS751" s="83"/>
      <c r="AT751" s="83"/>
    </row>
    <row r="752" spans="1:46" ht="13.8">
      <c r="A752" s="83"/>
      <c r="B752" s="83"/>
      <c r="C752" s="83"/>
      <c r="D752" s="83"/>
      <c r="E752" s="82"/>
      <c r="F752" s="82"/>
      <c r="G752" s="83"/>
      <c r="H752" s="83"/>
      <c r="I752" s="83"/>
      <c r="J752" s="83"/>
      <c r="K752" s="83"/>
      <c r="L752" s="83"/>
      <c r="M752" s="83"/>
      <c r="N752" s="83"/>
      <c r="O752" s="83"/>
      <c r="P752" s="83"/>
      <c r="Q752" s="83"/>
      <c r="R752" s="83"/>
      <c r="S752" s="83"/>
      <c r="T752" s="83"/>
      <c r="U752" s="83"/>
      <c r="V752" s="83"/>
      <c r="W752" s="83"/>
      <c r="X752" s="83"/>
      <c r="Y752" s="83"/>
      <c r="Z752" s="83"/>
      <c r="AA752" s="83"/>
      <c r="AB752" s="83"/>
      <c r="AC752" s="83"/>
      <c r="AD752" s="83"/>
      <c r="AE752" s="83"/>
      <c r="AF752" s="83"/>
      <c r="AG752" s="83"/>
      <c r="AH752" s="83"/>
      <c r="AI752" s="83"/>
      <c r="AJ752" s="83"/>
      <c r="AK752" s="83"/>
      <c r="AL752" s="83"/>
      <c r="AM752" s="83"/>
      <c r="AN752" s="83"/>
      <c r="AO752" s="83"/>
      <c r="AP752" s="83"/>
      <c r="AQ752" s="83"/>
      <c r="AR752" s="83"/>
      <c r="AS752" s="83"/>
      <c r="AT752" s="83"/>
    </row>
    <row r="753" spans="1:46" ht="13.8">
      <c r="A753" s="83"/>
      <c r="B753" s="83"/>
      <c r="C753" s="83"/>
      <c r="D753" s="83"/>
      <c r="E753" s="82"/>
      <c r="F753" s="82"/>
      <c r="G753" s="83"/>
      <c r="H753" s="83"/>
      <c r="I753" s="83"/>
      <c r="J753" s="83"/>
      <c r="K753" s="83"/>
      <c r="L753" s="83"/>
      <c r="M753" s="83"/>
      <c r="N753" s="83"/>
      <c r="O753" s="83"/>
      <c r="P753" s="83"/>
      <c r="Q753" s="83"/>
      <c r="R753" s="83"/>
      <c r="S753" s="83"/>
      <c r="T753" s="83"/>
      <c r="U753" s="83"/>
      <c r="V753" s="83"/>
      <c r="W753" s="83"/>
      <c r="X753" s="83"/>
      <c r="Y753" s="83"/>
      <c r="Z753" s="83"/>
      <c r="AA753" s="83"/>
      <c r="AB753" s="83"/>
      <c r="AC753" s="83"/>
      <c r="AD753" s="83"/>
      <c r="AE753" s="83"/>
      <c r="AF753" s="83"/>
      <c r="AG753" s="83"/>
      <c r="AH753" s="83"/>
      <c r="AI753" s="83"/>
      <c r="AJ753" s="83"/>
      <c r="AK753" s="83"/>
      <c r="AL753" s="83"/>
      <c r="AM753" s="83"/>
      <c r="AN753" s="83"/>
      <c r="AO753" s="83"/>
      <c r="AP753" s="83"/>
      <c r="AQ753" s="83"/>
      <c r="AR753" s="83"/>
      <c r="AS753" s="83"/>
      <c r="AT753" s="83"/>
    </row>
    <row r="754" spans="1:46" ht="13.8">
      <c r="A754" s="83"/>
      <c r="B754" s="83"/>
      <c r="C754" s="83"/>
      <c r="D754" s="83"/>
      <c r="E754" s="82"/>
      <c r="F754" s="82"/>
      <c r="G754" s="83"/>
      <c r="H754" s="83"/>
      <c r="I754" s="83"/>
      <c r="J754" s="83"/>
      <c r="K754" s="83"/>
      <c r="L754" s="83"/>
      <c r="M754" s="83"/>
      <c r="N754" s="83"/>
      <c r="O754" s="83"/>
      <c r="P754" s="83"/>
      <c r="Q754" s="83"/>
      <c r="R754" s="83"/>
      <c r="S754" s="83"/>
      <c r="T754" s="83"/>
      <c r="U754" s="83"/>
      <c r="V754" s="83"/>
      <c r="W754" s="83"/>
      <c r="X754" s="83"/>
      <c r="Y754" s="83"/>
      <c r="Z754" s="83"/>
      <c r="AA754" s="83"/>
      <c r="AB754" s="83"/>
      <c r="AC754" s="83"/>
      <c r="AD754" s="83"/>
      <c r="AE754" s="83"/>
      <c r="AF754" s="83"/>
      <c r="AG754" s="83"/>
      <c r="AH754" s="83"/>
      <c r="AI754" s="83"/>
      <c r="AJ754" s="83"/>
      <c r="AK754" s="83"/>
      <c r="AL754" s="83"/>
      <c r="AM754" s="83"/>
      <c r="AN754" s="83"/>
      <c r="AO754" s="83"/>
      <c r="AP754" s="83"/>
      <c r="AQ754" s="83"/>
      <c r="AR754" s="83"/>
      <c r="AS754" s="83"/>
      <c r="AT754" s="83"/>
    </row>
    <row r="755" spans="1:46" ht="13.8">
      <c r="A755" s="83"/>
      <c r="B755" s="83"/>
      <c r="C755" s="83"/>
      <c r="D755" s="83"/>
      <c r="E755" s="82"/>
      <c r="F755" s="82"/>
      <c r="G755" s="83"/>
      <c r="H755" s="83"/>
      <c r="I755" s="83"/>
      <c r="J755" s="83"/>
      <c r="K755" s="83"/>
      <c r="L755" s="83"/>
      <c r="M755" s="83"/>
      <c r="N755" s="83"/>
      <c r="O755" s="83"/>
      <c r="P755" s="83"/>
      <c r="Q755" s="83"/>
      <c r="R755" s="83"/>
      <c r="S755" s="83"/>
      <c r="T755" s="83"/>
      <c r="U755" s="83"/>
      <c r="V755" s="83"/>
      <c r="W755" s="83"/>
      <c r="X755" s="83"/>
      <c r="Y755" s="83"/>
      <c r="Z755" s="83"/>
      <c r="AA755" s="83"/>
      <c r="AB755" s="83"/>
      <c r="AC755" s="83"/>
      <c r="AD755" s="83"/>
      <c r="AE755" s="83"/>
      <c r="AF755" s="83"/>
      <c r="AG755" s="83"/>
      <c r="AH755" s="83"/>
      <c r="AI755" s="83"/>
      <c r="AJ755" s="83"/>
      <c r="AK755" s="83"/>
      <c r="AL755" s="83"/>
      <c r="AM755" s="83"/>
      <c r="AN755" s="83"/>
      <c r="AO755" s="83"/>
      <c r="AP755" s="83"/>
      <c r="AQ755" s="83"/>
      <c r="AR755" s="83"/>
      <c r="AS755" s="83"/>
      <c r="AT755" s="83"/>
    </row>
    <row r="756" spans="1:46" ht="13.8">
      <c r="A756" s="83"/>
      <c r="B756" s="83"/>
      <c r="C756" s="83"/>
      <c r="D756" s="83"/>
      <c r="E756" s="82"/>
      <c r="F756" s="82"/>
      <c r="G756" s="83"/>
      <c r="H756" s="83"/>
      <c r="I756" s="83"/>
      <c r="J756" s="83"/>
      <c r="K756" s="83"/>
      <c r="L756" s="83"/>
      <c r="M756" s="83"/>
      <c r="N756" s="83"/>
      <c r="O756" s="83"/>
      <c r="P756" s="83"/>
      <c r="Q756" s="83"/>
      <c r="R756" s="83"/>
      <c r="S756" s="83"/>
      <c r="T756" s="83"/>
      <c r="U756" s="83"/>
      <c r="V756" s="83"/>
      <c r="W756" s="83"/>
      <c r="X756" s="83"/>
      <c r="Y756" s="83"/>
      <c r="Z756" s="83"/>
      <c r="AA756" s="83"/>
      <c r="AB756" s="83"/>
      <c r="AC756" s="83"/>
      <c r="AD756" s="83"/>
      <c r="AE756" s="83"/>
      <c r="AF756" s="83"/>
      <c r="AG756" s="83"/>
      <c r="AH756" s="83"/>
      <c r="AI756" s="83"/>
      <c r="AJ756" s="83"/>
      <c r="AK756" s="83"/>
      <c r="AL756" s="83"/>
      <c r="AM756" s="83"/>
      <c r="AN756" s="83"/>
      <c r="AO756" s="83"/>
      <c r="AP756" s="83"/>
      <c r="AQ756" s="83"/>
      <c r="AR756" s="83"/>
      <c r="AS756" s="83"/>
      <c r="AT756" s="83"/>
    </row>
    <row r="757" spans="1:46" ht="13.8">
      <c r="A757" s="83"/>
      <c r="B757" s="83"/>
      <c r="C757" s="83"/>
      <c r="D757" s="83"/>
      <c r="E757" s="82"/>
      <c r="F757" s="82"/>
      <c r="G757" s="83"/>
      <c r="H757" s="83"/>
      <c r="I757" s="83"/>
      <c r="J757" s="83"/>
      <c r="K757" s="83"/>
      <c r="L757" s="83"/>
      <c r="M757" s="83"/>
      <c r="N757" s="83"/>
      <c r="O757" s="83"/>
      <c r="P757" s="83"/>
      <c r="Q757" s="83"/>
      <c r="R757" s="83"/>
      <c r="S757" s="83"/>
      <c r="T757" s="83"/>
      <c r="U757" s="83"/>
      <c r="V757" s="83"/>
      <c r="W757" s="83"/>
      <c r="X757" s="83"/>
      <c r="Y757" s="83"/>
      <c r="Z757" s="83"/>
      <c r="AA757" s="83"/>
      <c r="AB757" s="83"/>
      <c r="AC757" s="83"/>
      <c r="AD757" s="83"/>
      <c r="AE757" s="83"/>
      <c r="AF757" s="83"/>
      <c r="AG757" s="83"/>
      <c r="AH757" s="83"/>
      <c r="AI757" s="83"/>
      <c r="AJ757" s="83"/>
      <c r="AK757" s="83"/>
      <c r="AL757" s="83"/>
      <c r="AM757" s="83"/>
      <c r="AN757" s="83"/>
      <c r="AO757" s="83"/>
      <c r="AP757" s="83"/>
      <c r="AQ757" s="83"/>
      <c r="AR757" s="83"/>
      <c r="AS757" s="83"/>
      <c r="AT757" s="83"/>
    </row>
    <row r="758" spans="1:46" ht="13.8">
      <c r="A758" s="83"/>
      <c r="B758" s="83"/>
      <c r="C758" s="83"/>
      <c r="D758" s="83"/>
      <c r="E758" s="82"/>
      <c r="F758" s="82"/>
      <c r="G758" s="83"/>
      <c r="H758" s="83"/>
      <c r="I758" s="83"/>
      <c r="J758" s="83"/>
      <c r="K758" s="83"/>
      <c r="L758" s="83"/>
      <c r="M758" s="83"/>
      <c r="N758" s="83"/>
      <c r="O758" s="83"/>
      <c r="P758" s="83"/>
      <c r="Q758" s="83"/>
      <c r="R758" s="83"/>
      <c r="S758" s="83"/>
      <c r="T758" s="83"/>
      <c r="U758" s="83"/>
      <c r="V758" s="83"/>
      <c r="W758" s="83"/>
      <c r="X758" s="83"/>
      <c r="Y758" s="83"/>
      <c r="Z758" s="83"/>
      <c r="AA758" s="83"/>
      <c r="AB758" s="83"/>
      <c r="AC758" s="83"/>
      <c r="AD758" s="83"/>
      <c r="AE758" s="83"/>
      <c r="AF758" s="83"/>
      <c r="AG758" s="83"/>
      <c r="AH758" s="83"/>
      <c r="AI758" s="83"/>
      <c r="AJ758" s="83"/>
      <c r="AK758" s="83"/>
      <c r="AL758" s="83"/>
      <c r="AM758" s="83"/>
      <c r="AN758" s="83"/>
      <c r="AO758" s="83"/>
      <c r="AP758" s="83"/>
      <c r="AQ758" s="83"/>
      <c r="AR758" s="83"/>
      <c r="AS758" s="83"/>
      <c r="AT758" s="83"/>
    </row>
    <row r="759" spans="1:46" ht="13.8">
      <c r="A759" s="83"/>
      <c r="B759" s="83"/>
      <c r="C759" s="83"/>
      <c r="D759" s="83"/>
      <c r="E759" s="82"/>
      <c r="F759" s="82"/>
      <c r="G759" s="83"/>
      <c r="H759" s="83"/>
      <c r="I759" s="83"/>
      <c r="J759" s="83"/>
      <c r="K759" s="83"/>
      <c r="L759" s="83"/>
      <c r="M759" s="83"/>
      <c r="N759" s="83"/>
      <c r="O759" s="83"/>
      <c r="P759" s="83"/>
      <c r="Q759" s="83"/>
      <c r="R759" s="83"/>
      <c r="S759" s="83"/>
      <c r="T759" s="83"/>
      <c r="U759" s="83"/>
      <c r="V759" s="83"/>
      <c r="W759" s="83"/>
      <c r="X759" s="83"/>
      <c r="Y759" s="83"/>
      <c r="Z759" s="83"/>
      <c r="AA759" s="83"/>
      <c r="AB759" s="83"/>
      <c r="AC759" s="83"/>
      <c r="AD759" s="83"/>
      <c r="AE759" s="83"/>
      <c r="AF759" s="83"/>
      <c r="AG759" s="83"/>
      <c r="AH759" s="83"/>
      <c r="AI759" s="83"/>
      <c r="AJ759" s="83"/>
      <c r="AK759" s="83"/>
      <c r="AL759" s="83"/>
      <c r="AM759" s="83"/>
      <c r="AN759" s="83"/>
      <c r="AO759" s="83"/>
      <c r="AP759" s="83"/>
      <c r="AQ759" s="83"/>
      <c r="AR759" s="83"/>
      <c r="AS759" s="83"/>
      <c r="AT759" s="83"/>
    </row>
    <row r="760" spans="1:46" ht="13.8">
      <c r="A760" s="83"/>
      <c r="B760" s="83"/>
      <c r="C760" s="83"/>
      <c r="D760" s="83"/>
      <c r="E760" s="82"/>
      <c r="F760" s="82"/>
      <c r="G760" s="83"/>
      <c r="H760" s="83"/>
      <c r="I760" s="83"/>
      <c r="J760" s="83"/>
      <c r="K760" s="83"/>
      <c r="L760" s="83"/>
      <c r="M760" s="83"/>
      <c r="N760" s="83"/>
      <c r="O760" s="83"/>
      <c r="P760" s="83"/>
      <c r="Q760" s="83"/>
      <c r="R760" s="83"/>
      <c r="S760" s="83"/>
      <c r="T760" s="83"/>
      <c r="U760" s="83"/>
      <c r="V760" s="83"/>
      <c r="W760" s="83"/>
      <c r="X760" s="83"/>
      <c r="Y760" s="83"/>
      <c r="Z760" s="83"/>
      <c r="AA760" s="83"/>
      <c r="AB760" s="83"/>
      <c r="AC760" s="83"/>
      <c r="AD760" s="83"/>
      <c r="AE760" s="83"/>
      <c r="AF760" s="83"/>
      <c r="AG760" s="83"/>
      <c r="AH760" s="83"/>
      <c r="AI760" s="83"/>
      <c r="AJ760" s="83"/>
      <c r="AK760" s="83"/>
      <c r="AL760" s="83"/>
      <c r="AM760" s="83"/>
      <c r="AN760" s="83"/>
      <c r="AO760" s="83"/>
      <c r="AP760" s="83"/>
      <c r="AQ760" s="83"/>
      <c r="AR760" s="83"/>
      <c r="AS760" s="83"/>
      <c r="AT760" s="83"/>
    </row>
    <row r="761" spans="1:46" ht="13.8">
      <c r="A761" s="83"/>
      <c r="B761" s="83"/>
      <c r="C761" s="83"/>
      <c r="D761" s="83"/>
      <c r="E761" s="82"/>
      <c r="F761" s="82"/>
      <c r="G761" s="83"/>
      <c r="H761" s="83"/>
      <c r="I761" s="83"/>
      <c r="J761" s="83"/>
      <c r="K761" s="83"/>
      <c r="L761" s="83"/>
      <c r="M761" s="83"/>
      <c r="N761" s="83"/>
      <c r="O761" s="83"/>
      <c r="P761" s="83"/>
      <c r="Q761" s="83"/>
      <c r="R761" s="83"/>
      <c r="S761" s="83"/>
      <c r="T761" s="83"/>
      <c r="U761" s="83"/>
      <c r="V761" s="83"/>
      <c r="W761" s="83"/>
      <c r="X761" s="83"/>
      <c r="Y761" s="83"/>
      <c r="Z761" s="83"/>
      <c r="AA761" s="83"/>
      <c r="AB761" s="83"/>
      <c r="AC761" s="83"/>
      <c r="AD761" s="83"/>
      <c r="AE761" s="83"/>
      <c r="AF761" s="83"/>
      <c r="AG761" s="83"/>
      <c r="AH761" s="83"/>
      <c r="AI761" s="83"/>
      <c r="AJ761" s="83"/>
      <c r="AK761" s="83"/>
      <c r="AL761" s="83"/>
      <c r="AM761" s="83"/>
      <c r="AN761" s="83"/>
      <c r="AO761" s="83"/>
      <c r="AP761" s="83"/>
      <c r="AQ761" s="83"/>
      <c r="AR761" s="83"/>
      <c r="AS761" s="83"/>
      <c r="AT761" s="83"/>
    </row>
    <row r="762" spans="1:46" ht="13.8">
      <c r="A762" s="83"/>
      <c r="B762" s="83"/>
      <c r="C762" s="83"/>
      <c r="D762" s="83"/>
      <c r="E762" s="82"/>
      <c r="F762" s="82"/>
      <c r="G762" s="83"/>
      <c r="H762" s="83"/>
      <c r="I762" s="83"/>
      <c r="J762" s="83"/>
      <c r="K762" s="83"/>
      <c r="L762" s="83"/>
      <c r="M762" s="83"/>
      <c r="N762" s="83"/>
      <c r="O762" s="83"/>
      <c r="P762" s="83"/>
      <c r="Q762" s="83"/>
      <c r="R762" s="83"/>
      <c r="S762" s="83"/>
      <c r="T762" s="83"/>
      <c r="U762" s="83"/>
      <c r="V762" s="83"/>
      <c r="W762" s="83"/>
      <c r="X762" s="83"/>
      <c r="Y762" s="83"/>
      <c r="Z762" s="83"/>
      <c r="AA762" s="83"/>
      <c r="AB762" s="83"/>
      <c r="AC762" s="83"/>
      <c r="AD762" s="83"/>
      <c r="AE762" s="83"/>
      <c r="AF762" s="83"/>
      <c r="AG762" s="83"/>
      <c r="AH762" s="83"/>
      <c r="AI762" s="83"/>
      <c r="AJ762" s="83"/>
      <c r="AK762" s="83"/>
      <c r="AL762" s="83"/>
      <c r="AM762" s="83"/>
      <c r="AN762" s="83"/>
      <c r="AO762" s="83"/>
      <c r="AP762" s="83"/>
      <c r="AQ762" s="83"/>
      <c r="AR762" s="83"/>
      <c r="AS762" s="83"/>
      <c r="AT762" s="83"/>
    </row>
    <row r="763" spans="1:46" ht="13.8">
      <c r="A763" s="83"/>
      <c r="B763" s="83"/>
      <c r="C763" s="83"/>
      <c r="D763" s="83"/>
      <c r="E763" s="82"/>
      <c r="F763" s="82"/>
      <c r="G763" s="83"/>
      <c r="H763" s="83"/>
      <c r="I763" s="83"/>
      <c r="J763" s="83"/>
      <c r="K763" s="83"/>
      <c r="L763" s="83"/>
      <c r="M763" s="83"/>
      <c r="N763" s="83"/>
      <c r="O763" s="83"/>
      <c r="P763" s="83"/>
      <c r="Q763" s="83"/>
      <c r="R763" s="83"/>
      <c r="S763" s="83"/>
      <c r="T763" s="83"/>
      <c r="U763" s="83"/>
      <c r="V763" s="83"/>
      <c r="W763" s="83"/>
      <c r="X763" s="83"/>
      <c r="Y763" s="83"/>
      <c r="Z763" s="83"/>
      <c r="AA763" s="83"/>
      <c r="AB763" s="83"/>
      <c r="AC763" s="83"/>
      <c r="AD763" s="83"/>
      <c r="AE763" s="83"/>
      <c r="AF763" s="83"/>
      <c r="AG763" s="83"/>
      <c r="AH763" s="83"/>
      <c r="AI763" s="83"/>
      <c r="AJ763" s="83"/>
      <c r="AK763" s="83"/>
      <c r="AL763" s="83"/>
      <c r="AM763" s="83"/>
      <c r="AN763" s="83"/>
      <c r="AO763" s="83"/>
      <c r="AP763" s="83"/>
      <c r="AQ763" s="83"/>
      <c r="AR763" s="83"/>
      <c r="AS763" s="83"/>
      <c r="AT763" s="83"/>
    </row>
    <row r="764" spans="1:46" ht="13.8">
      <c r="A764" s="83"/>
      <c r="B764" s="83"/>
      <c r="C764" s="83"/>
      <c r="D764" s="83"/>
      <c r="E764" s="82"/>
      <c r="F764" s="82"/>
      <c r="G764" s="83"/>
      <c r="H764" s="83"/>
      <c r="I764" s="83"/>
      <c r="J764" s="83"/>
      <c r="K764" s="83"/>
      <c r="L764" s="83"/>
      <c r="M764" s="83"/>
      <c r="N764" s="83"/>
      <c r="O764" s="83"/>
      <c r="P764" s="83"/>
      <c r="Q764" s="83"/>
      <c r="R764" s="83"/>
      <c r="S764" s="83"/>
      <c r="T764" s="83"/>
      <c r="U764" s="83"/>
      <c r="V764" s="83"/>
      <c r="W764" s="83"/>
      <c r="X764" s="83"/>
      <c r="Y764" s="83"/>
      <c r="Z764" s="83"/>
      <c r="AA764" s="83"/>
      <c r="AB764" s="83"/>
      <c r="AC764" s="83"/>
      <c r="AD764" s="83"/>
      <c r="AE764" s="83"/>
      <c r="AF764" s="83"/>
      <c r="AG764" s="83"/>
      <c r="AH764" s="83"/>
      <c r="AI764" s="83"/>
      <c r="AJ764" s="83"/>
      <c r="AK764" s="83"/>
      <c r="AL764" s="83"/>
      <c r="AM764" s="83"/>
      <c r="AN764" s="83"/>
      <c r="AO764" s="83"/>
      <c r="AP764" s="83"/>
      <c r="AQ764" s="83"/>
      <c r="AR764" s="83"/>
      <c r="AS764" s="83"/>
      <c r="AT764" s="83"/>
    </row>
    <row r="765" spans="1:46" ht="13.8">
      <c r="A765" s="83"/>
      <c r="B765" s="83"/>
      <c r="C765" s="83"/>
      <c r="D765" s="83"/>
      <c r="E765" s="82"/>
      <c r="F765" s="82"/>
      <c r="G765" s="83"/>
      <c r="H765" s="83"/>
      <c r="I765" s="83"/>
      <c r="J765" s="83"/>
      <c r="K765" s="83"/>
      <c r="L765" s="83"/>
      <c r="M765" s="83"/>
      <c r="N765" s="83"/>
      <c r="O765" s="83"/>
      <c r="P765" s="83"/>
      <c r="Q765" s="83"/>
      <c r="R765" s="83"/>
      <c r="S765" s="83"/>
      <c r="T765" s="83"/>
      <c r="U765" s="83"/>
      <c r="V765" s="83"/>
      <c r="W765" s="83"/>
      <c r="X765" s="83"/>
      <c r="Y765" s="83"/>
      <c r="Z765" s="83"/>
      <c r="AA765" s="83"/>
      <c r="AB765" s="83"/>
      <c r="AC765" s="83"/>
      <c r="AD765" s="83"/>
      <c r="AE765" s="83"/>
      <c r="AF765" s="83"/>
      <c r="AG765" s="83"/>
      <c r="AH765" s="83"/>
      <c r="AI765" s="83"/>
      <c r="AJ765" s="83"/>
      <c r="AK765" s="83"/>
      <c r="AL765" s="83"/>
      <c r="AM765" s="83"/>
      <c r="AN765" s="83"/>
      <c r="AO765" s="83"/>
      <c r="AP765" s="83"/>
      <c r="AQ765" s="83"/>
      <c r="AR765" s="83"/>
      <c r="AS765" s="83"/>
      <c r="AT765" s="83"/>
    </row>
    <row r="766" spans="1:46" ht="13.8">
      <c r="A766" s="83"/>
      <c r="B766" s="83"/>
      <c r="C766" s="83"/>
      <c r="D766" s="83"/>
      <c r="E766" s="82"/>
      <c r="F766" s="82"/>
      <c r="G766" s="83"/>
      <c r="H766" s="83"/>
      <c r="I766" s="83"/>
      <c r="J766" s="83"/>
      <c r="K766" s="83"/>
      <c r="L766" s="83"/>
      <c r="M766" s="83"/>
      <c r="N766" s="83"/>
      <c r="O766" s="83"/>
      <c r="P766" s="83"/>
      <c r="Q766" s="83"/>
      <c r="R766" s="83"/>
      <c r="S766" s="83"/>
      <c r="T766" s="83"/>
      <c r="U766" s="83"/>
      <c r="V766" s="83"/>
      <c r="W766" s="83"/>
      <c r="X766" s="83"/>
      <c r="Y766" s="83"/>
      <c r="Z766" s="83"/>
      <c r="AA766" s="83"/>
      <c r="AB766" s="83"/>
      <c r="AC766" s="83"/>
      <c r="AD766" s="83"/>
      <c r="AE766" s="83"/>
      <c r="AF766" s="83"/>
      <c r="AG766" s="83"/>
      <c r="AH766" s="83"/>
      <c r="AI766" s="83"/>
      <c r="AJ766" s="83"/>
      <c r="AK766" s="83"/>
      <c r="AL766" s="83"/>
      <c r="AM766" s="83"/>
      <c r="AN766" s="83"/>
      <c r="AO766" s="83"/>
      <c r="AP766" s="83"/>
      <c r="AQ766" s="83"/>
      <c r="AR766" s="83"/>
      <c r="AS766" s="83"/>
      <c r="AT766" s="83"/>
    </row>
    <row r="767" spans="1:46" ht="13.8">
      <c r="A767" s="83"/>
      <c r="B767" s="83"/>
      <c r="C767" s="83"/>
      <c r="D767" s="83"/>
      <c r="E767" s="82"/>
      <c r="F767" s="82"/>
      <c r="G767" s="83"/>
      <c r="H767" s="83"/>
      <c r="I767" s="83"/>
      <c r="J767" s="83"/>
      <c r="K767" s="83"/>
      <c r="L767" s="83"/>
      <c r="M767" s="83"/>
      <c r="N767" s="83"/>
      <c r="O767" s="83"/>
      <c r="P767" s="83"/>
      <c r="Q767" s="83"/>
      <c r="R767" s="83"/>
      <c r="S767" s="83"/>
      <c r="T767" s="83"/>
      <c r="U767" s="83"/>
      <c r="V767" s="83"/>
      <c r="W767" s="83"/>
      <c r="X767" s="83"/>
      <c r="Y767" s="83"/>
      <c r="Z767" s="83"/>
      <c r="AA767" s="83"/>
      <c r="AB767" s="83"/>
      <c r="AC767" s="83"/>
      <c r="AD767" s="83"/>
      <c r="AE767" s="83"/>
      <c r="AF767" s="83"/>
      <c r="AG767" s="83"/>
      <c r="AH767" s="83"/>
      <c r="AI767" s="83"/>
      <c r="AJ767" s="83"/>
      <c r="AK767" s="83"/>
      <c r="AL767" s="83"/>
      <c r="AM767" s="83"/>
      <c r="AN767" s="83"/>
      <c r="AO767" s="83"/>
      <c r="AP767" s="83"/>
      <c r="AQ767" s="83"/>
      <c r="AR767" s="83"/>
      <c r="AS767" s="83"/>
      <c r="AT767" s="83"/>
    </row>
    <row r="768" spans="1:46" ht="13.8">
      <c r="A768" s="83"/>
      <c r="B768" s="83"/>
      <c r="C768" s="83"/>
      <c r="D768" s="83"/>
      <c r="E768" s="82"/>
      <c r="F768" s="82"/>
      <c r="G768" s="83"/>
      <c r="H768" s="83"/>
      <c r="I768" s="83"/>
      <c r="J768" s="83"/>
      <c r="K768" s="83"/>
      <c r="L768" s="83"/>
      <c r="M768" s="83"/>
      <c r="N768" s="83"/>
      <c r="O768" s="83"/>
      <c r="P768" s="83"/>
      <c r="Q768" s="83"/>
      <c r="R768" s="83"/>
      <c r="S768" s="83"/>
      <c r="T768" s="83"/>
      <c r="U768" s="83"/>
      <c r="V768" s="83"/>
      <c r="W768" s="83"/>
      <c r="X768" s="83"/>
      <c r="Y768" s="83"/>
      <c r="Z768" s="83"/>
      <c r="AA768" s="83"/>
      <c r="AB768" s="83"/>
      <c r="AC768" s="83"/>
      <c r="AD768" s="83"/>
      <c r="AE768" s="83"/>
      <c r="AF768" s="83"/>
      <c r="AG768" s="83"/>
      <c r="AH768" s="83"/>
      <c r="AI768" s="83"/>
      <c r="AJ768" s="83"/>
      <c r="AK768" s="83"/>
      <c r="AL768" s="83"/>
      <c r="AM768" s="83"/>
      <c r="AN768" s="83"/>
      <c r="AO768" s="83"/>
      <c r="AP768" s="83"/>
      <c r="AQ768" s="83"/>
      <c r="AR768" s="83"/>
      <c r="AS768" s="83"/>
      <c r="AT768" s="83"/>
    </row>
    <row r="769" spans="1:46" ht="13.8">
      <c r="A769" s="83"/>
      <c r="B769" s="83"/>
      <c r="C769" s="83"/>
      <c r="D769" s="83"/>
      <c r="E769" s="82"/>
      <c r="F769" s="82"/>
      <c r="G769" s="83"/>
      <c r="H769" s="83"/>
      <c r="I769" s="83"/>
      <c r="J769" s="83"/>
      <c r="K769" s="83"/>
      <c r="L769" s="83"/>
      <c r="M769" s="83"/>
      <c r="N769" s="83"/>
      <c r="O769" s="83"/>
      <c r="P769" s="83"/>
      <c r="Q769" s="83"/>
      <c r="R769" s="83"/>
      <c r="S769" s="83"/>
      <c r="T769" s="83"/>
      <c r="U769" s="83"/>
      <c r="V769" s="83"/>
      <c r="W769" s="83"/>
      <c r="X769" s="83"/>
      <c r="Y769" s="83"/>
      <c r="Z769" s="83"/>
      <c r="AA769" s="83"/>
      <c r="AB769" s="83"/>
      <c r="AC769" s="83"/>
      <c r="AD769" s="83"/>
      <c r="AE769" s="83"/>
      <c r="AF769" s="83"/>
      <c r="AG769" s="83"/>
      <c r="AH769" s="83"/>
      <c r="AI769" s="83"/>
      <c r="AJ769" s="83"/>
      <c r="AK769" s="83"/>
      <c r="AL769" s="83"/>
      <c r="AM769" s="83"/>
      <c r="AN769" s="83"/>
      <c r="AO769" s="83"/>
      <c r="AP769" s="83"/>
      <c r="AQ769" s="83"/>
      <c r="AR769" s="83"/>
      <c r="AS769" s="83"/>
      <c r="AT769" s="83"/>
    </row>
    <row r="770" spans="1:46" ht="13.8">
      <c r="A770" s="83"/>
      <c r="B770" s="83"/>
      <c r="C770" s="83"/>
      <c r="D770" s="83"/>
      <c r="E770" s="82"/>
      <c r="F770" s="82"/>
      <c r="G770" s="83"/>
      <c r="H770" s="83"/>
      <c r="I770" s="83"/>
      <c r="J770" s="83"/>
      <c r="K770" s="83"/>
      <c r="L770" s="83"/>
      <c r="M770" s="83"/>
      <c r="N770" s="83"/>
      <c r="O770" s="83"/>
      <c r="P770" s="83"/>
      <c r="Q770" s="83"/>
      <c r="R770" s="83"/>
      <c r="S770" s="83"/>
      <c r="T770" s="83"/>
      <c r="U770" s="83"/>
      <c r="V770" s="83"/>
      <c r="W770" s="83"/>
      <c r="X770" s="83"/>
      <c r="Y770" s="83"/>
      <c r="Z770" s="83"/>
      <c r="AA770" s="83"/>
      <c r="AB770" s="83"/>
      <c r="AC770" s="83"/>
      <c r="AD770" s="83"/>
      <c r="AE770" s="83"/>
      <c r="AF770" s="83"/>
      <c r="AG770" s="83"/>
      <c r="AH770" s="83"/>
      <c r="AI770" s="83"/>
      <c r="AJ770" s="83"/>
      <c r="AK770" s="83"/>
      <c r="AL770" s="83"/>
      <c r="AM770" s="83"/>
      <c r="AN770" s="83"/>
      <c r="AO770" s="83"/>
      <c r="AP770" s="83"/>
      <c r="AQ770" s="83"/>
      <c r="AR770" s="83"/>
      <c r="AS770" s="83"/>
      <c r="AT770" s="83"/>
    </row>
    <row r="771" spans="1:46" ht="13.8">
      <c r="A771" s="83"/>
      <c r="B771" s="83"/>
      <c r="C771" s="83"/>
      <c r="D771" s="83"/>
      <c r="E771" s="82"/>
      <c r="F771" s="82"/>
      <c r="G771" s="83"/>
      <c r="H771" s="83"/>
      <c r="I771" s="83"/>
      <c r="J771" s="83"/>
      <c r="K771" s="83"/>
      <c r="L771" s="83"/>
      <c r="M771" s="83"/>
      <c r="N771" s="83"/>
      <c r="O771" s="83"/>
      <c r="P771" s="83"/>
      <c r="Q771" s="83"/>
      <c r="R771" s="83"/>
      <c r="S771" s="83"/>
      <c r="T771" s="83"/>
      <c r="U771" s="83"/>
      <c r="V771" s="83"/>
      <c r="W771" s="83"/>
      <c r="X771" s="83"/>
      <c r="Y771" s="83"/>
      <c r="Z771" s="83"/>
      <c r="AA771" s="83"/>
      <c r="AB771" s="83"/>
      <c r="AC771" s="83"/>
      <c r="AD771" s="83"/>
      <c r="AE771" s="83"/>
      <c r="AF771" s="83"/>
      <c r="AG771" s="83"/>
      <c r="AH771" s="83"/>
      <c r="AI771" s="83"/>
      <c r="AJ771" s="83"/>
      <c r="AK771" s="83"/>
      <c r="AL771" s="83"/>
      <c r="AM771" s="83"/>
      <c r="AN771" s="83"/>
      <c r="AO771" s="83"/>
      <c r="AP771" s="83"/>
      <c r="AQ771" s="83"/>
      <c r="AR771" s="83"/>
      <c r="AS771" s="83"/>
      <c r="AT771" s="83"/>
    </row>
    <row r="772" spans="1:46" ht="13.8">
      <c r="A772" s="83"/>
      <c r="B772" s="83"/>
      <c r="C772" s="83"/>
      <c r="D772" s="83"/>
      <c r="E772" s="82"/>
      <c r="F772" s="82"/>
      <c r="G772" s="83"/>
      <c r="H772" s="83"/>
      <c r="I772" s="83"/>
      <c r="J772" s="83"/>
      <c r="K772" s="83"/>
      <c r="L772" s="83"/>
      <c r="M772" s="83"/>
      <c r="N772" s="83"/>
      <c r="O772" s="83"/>
      <c r="P772" s="83"/>
      <c r="Q772" s="83"/>
      <c r="R772" s="83"/>
      <c r="S772" s="83"/>
      <c r="T772" s="83"/>
      <c r="U772" s="83"/>
      <c r="V772" s="83"/>
      <c r="W772" s="83"/>
      <c r="X772" s="83"/>
      <c r="Y772" s="83"/>
      <c r="Z772" s="83"/>
      <c r="AA772" s="83"/>
      <c r="AB772" s="83"/>
      <c r="AC772" s="83"/>
      <c r="AD772" s="83"/>
      <c r="AE772" s="83"/>
      <c r="AF772" s="83"/>
      <c r="AG772" s="83"/>
      <c r="AH772" s="83"/>
      <c r="AI772" s="83"/>
      <c r="AJ772" s="83"/>
      <c r="AK772" s="83"/>
      <c r="AL772" s="83"/>
      <c r="AM772" s="83"/>
      <c r="AN772" s="83"/>
      <c r="AO772" s="83"/>
      <c r="AP772" s="83"/>
      <c r="AQ772" s="83"/>
      <c r="AR772" s="83"/>
      <c r="AS772" s="83"/>
      <c r="AT772" s="83"/>
    </row>
    <row r="773" spans="1:46" ht="13.8">
      <c r="A773" s="83"/>
      <c r="B773" s="83"/>
      <c r="C773" s="83"/>
      <c r="D773" s="83"/>
      <c r="E773" s="82"/>
      <c r="F773" s="82"/>
      <c r="G773" s="83"/>
      <c r="H773" s="83"/>
      <c r="I773" s="83"/>
      <c r="J773" s="83"/>
      <c r="K773" s="83"/>
      <c r="L773" s="83"/>
      <c r="M773" s="83"/>
      <c r="N773" s="83"/>
      <c r="O773" s="83"/>
      <c r="P773" s="83"/>
      <c r="Q773" s="83"/>
      <c r="R773" s="83"/>
      <c r="S773" s="83"/>
      <c r="T773" s="83"/>
      <c r="U773" s="83"/>
      <c r="V773" s="83"/>
      <c r="W773" s="83"/>
      <c r="X773" s="83"/>
      <c r="Y773" s="83"/>
      <c r="Z773" s="83"/>
      <c r="AA773" s="83"/>
      <c r="AB773" s="83"/>
      <c r="AC773" s="83"/>
      <c r="AD773" s="83"/>
      <c r="AE773" s="83"/>
      <c r="AF773" s="83"/>
      <c r="AG773" s="83"/>
      <c r="AH773" s="83"/>
      <c r="AI773" s="83"/>
      <c r="AJ773" s="83"/>
      <c r="AK773" s="83"/>
      <c r="AL773" s="83"/>
      <c r="AM773" s="83"/>
      <c r="AN773" s="83"/>
      <c r="AO773" s="83"/>
      <c r="AP773" s="83"/>
      <c r="AQ773" s="83"/>
      <c r="AR773" s="83"/>
      <c r="AS773" s="83"/>
      <c r="AT773" s="83"/>
    </row>
    <row r="774" spans="1:46" ht="13.8">
      <c r="A774" s="83"/>
      <c r="B774" s="83"/>
      <c r="C774" s="83"/>
      <c r="D774" s="83"/>
      <c r="E774" s="82"/>
      <c r="F774" s="82"/>
      <c r="G774" s="83"/>
      <c r="H774" s="83"/>
      <c r="I774" s="83"/>
      <c r="J774" s="83"/>
      <c r="K774" s="83"/>
      <c r="L774" s="83"/>
      <c r="M774" s="83"/>
      <c r="N774" s="83"/>
      <c r="O774" s="83"/>
      <c r="P774" s="83"/>
      <c r="Q774" s="83"/>
      <c r="R774" s="83"/>
      <c r="S774" s="83"/>
      <c r="T774" s="83"/>
      <c r="U774" s="83"/>
      <c r="V774" s="83"/>
      <c r="W774" s="83"/>
      <c r="X774" s="83"/>
      <c r="Y774" s="83"/>
      <c r="Z774" s="83"/>
      <c r="AA774" s="83"/>
      <c r="AB774" s="83"/>
      <c r="AC774" s="83"/>
      <c r="AD774" s="83"/>
      <c r="AE774" s="83"/>
      <c r="AF774" s="83"/>
      <c r="AG774" s="83"/>
      <c r="AH774" s="83"/>
      <c r="AI774" s="83"/>
      <c r="AJ774" s="83"/>
      <c r="AK774" s="83"/>
      <c r="AL774" s="83"/>
      <c r="AM774" s="83"/>
      <c r="AN774" s="83"/>
      <c r="AO774" s="83"/>
      <c r="AP774" s="83"/>
      <c r="AQ774" s="83"/>
      <c r="AR774" s="83"/>
      <c r="AS774" s="83"/>
      <c r="AT774" s="83"/>
    </row>
    <row r="775" spans="1:46" ht="13.8">
      <c r="A775" s="83"/>
      <c r="B775" s="83"/>
      <c r="C775" s="83"/>
      <c r="D775" s="83"/>
      <c r="E775" s="82"/>
      <c r="F775" s="82"/>
      <c r="G775" s="83"/>
      <c r="H775" s="83"/>
      <c r="I775" s="83"/>
      <c r="J775" s="83"/>
      <c r="K775" s="83"/>
      <c r="L775" s="83"/>
      <c r="M775" s="83"/>
      <c r="N775" s="83"/>
      <c r="O775" s="83"/>
      <c r="P775" s="83"/>
      <c r="Q775" s="83"/>
      <c r="R775" s="83"/>
      <c r="S775" s="83"/>
      <c r="T775" s="83"/>
      <c r="U775" s="83"/>
      <c r="V775" s="83"/>
      <c r="W775" s="83"/>
      <c r="X775" s="83"/>
      <c r="Y775" s="83"/>
      <c r="Z775" s="83"/>
      <c r="AA775" s="83"/>
      <c r="AB775" s="83"/>
      <c r="AC775" s="83"/>
      <c r="AD775" s="83"/>
      <c r="AE775" s="83"/>
      <c r="AF775" s="83"/>
      <c r="AG775" s="83"/>
      <c r="AH775" s="83"/>
      <c r="AI775" s="83"/>
      <c r="AJ775" s="83"/>
      <c r="AK775" s="83"/>
      <c r="AL775" s="83"/>
      <c r="AM775" s="83"/>
      <c r="AN775" s="83"/>
      <c r="AO775" s="83"/>
      <c r="AP775" s="83"/>
      <c r="AQ775" s="83"/>
      <c r="AR775" s="83"/>
      <c r="AS775" s="83"/>
      <c r="AT775" s="83"/>
    </row>
    <row r="776" spans="1:46" ht="13.8">
      <c r="A776" s="83"/>
      <c r="B776" s="83"/>
      <c r="C776" s="83"/>
      <c r="D776" s="83"/>
      <c r="E776" s="82"/>
      <c r="F776" s="82"/>
      <c r="G776" s="83"/>
      <c r="H776" s="83"/>
      <c r="I776" s="83"/>
      <c r="J776" s="83"/>
      <c r="K776" s="83"/>
      <c r="L776" s="83"/>
      <c r="M776" s="83"/>
      <c r="N776" s="83"/>
      <c r="O776" s="83"/>
      <c r="P776" s="83"/>
      <c r="Q776" s="83"/>
      <c r="R776" s="83"/>
      <c r="S776" s="83"/>
      <c r="T776" s="83"/>
      <c r="U776" s="83"/>
      <c r="V776" s="83"/>
      <c r="W776" s="83"/>
      <c r="X776" s="83"/>
      <c r="Y776" s="83"/>
      <c r="Z776" s="83"/>
      <c r="AA776" s="83"/>
      <c r="AB776" s="83"/>
      <c r="AC776" s="83"/>
      <c r="AD776" s="83"/>
      <c r="AE776" s="83"/>
      <c r="AF776" s="83"/>
      <c r="AG776" s="83"/>
      <c r="AH776" s="83"/>
      <c r="AI776" s="83"/>
      <c r="AJ776" s="83"/>
      <c r="AK776" s="83"/>
      <c r="AL776" s="83"/>
      <c r="AM776" s="83"/>
      <c r="AN776" s="83"/>
      <c r="AO776" s="83"/>
      <c r="AP776" s="83"/>
      <c r="AQ776" s="83"/>
      <c r="AR776" s="83"/>
      <c r="AS776" s="83"/>
      <c r="AT776" s="83"/>
    </row>
    <row r="777" spans="1:46" ht="13.8">
      <c r="A777" s="83"/>
      <c r="B777" s="83"/>
      <c r="C777" s="83"/>
      <c r="D777" s="83"/>
      <c r="E777" s="82"/>
      <c r="F777" s="82"/>
      <c r="G777" s="83"/>
      <c r="H777" s="83"/>
      <c r="I777" s="83"/>
      <c r="J777" s="83"/>
      <c r="K777" s="83"/>
      <c r="L777" s="83"/>
      <c r="M777" s="83"/>
      <c r="N777" s="83"/>
      <c r="O777" s="83"/>
      <c r="P777" s="83"/>
      <c r="Q777" s="83"/>
      <c r="R777" s="83"/>
      <c r="S777" s="83"/>
      <c r="T777" s="83"/>
      <c r="U777" s="83"/>
      <c r="V777" s="83"/>
      <c r="W777" s="83"/>
      <c r="X777" s="83"/>
      <c r="Y777" s="83"/>
      <c r="Z777" s="83"/>
      <c r="AA777" s="83"/>
      <c r="AB777" s="83"/>
      <c r="AC777" s="83"/>
      <c r="AD777" s="83"/>
      <c r="AE777" s="83"/>
      <c r="AF777" s="83"/>
      <c r="AG777" s="83"/>
      <c r="AH777" s="83"/>
      <c r="AI777" s="83"/>
      <c r="AJ777" s="83"/>
      <c r="AK777" s="83"/>
      <c r="AL777" s="83"/>
      <c r="AM777" s="83"/>
      <c r="AN777" s="83"/>
      <c r="AO777" s="83"/>
      <c r="AP777" s="83"/>
      <c r="AQ777" s="83"/>
      <c r="AR777" s="83"/>
      <c r="AS777" s="83"/>
      <c r="AT777" s="83"/>
    </row>
    <row r="778" spans="1:46" ht="13.8">
      <c r="A778" s="83"/>
      <c r="B778" s="83"/>
      <c r="C778" s="83"/>
      <c r="D778" s="83"/>
      <c r="E778" s="82"/>
      <c r="F778" s="82"/>
      <c r="G778" s="83"/>
      <c r="H778" s="83"/>
      <c r="I778" s="83"/>
      <c r="J778" s="83"/>
      <c r="K778" s="83"/>
      <c r="L778" s="83"/>
      <c r="M778" s="83"/>
      <c r="N778" s="83"/>
      <c r="O778" s="83"/>
      <c r="P778" s="83"/>
      <c r="Q778" s="83"/>
      <c r="R778" s="83"/>
      <c r="S778" s="83"/>
      <c r="T778" s="83"/>
      <c r="U778" s="83"/>
      <c r="V778" s="83"/>
      <c r="W778" s="83"/>
      <c r="X778" s="83"/>
      <c r="Y778" s="83"/>
      <c r="Z778" s="83"/>
      <c r="AA778" s="83"/>
      <c r="AB778" s="83"/>
      <c r="AC778" s="83"/>
      <c r="AD778" s="83"/>
      <c r="AE778" s="83"/>
      <c r="AF778" s="83"/>
      <c r="AG778" s="83"/>
      <c r="AH778" s="83"/>
      <c r="AI778" s="83"/>
      <c r="AJ778" s="83"/>
      <c r="AK778" s="83"/>
      <c r="AL778" s="83"/>
      <c r="AM778" s="83"/>
      <c r="AN778" s="83"/>
      <c r="AO778" s="83"/>
      <c r="AP778" s="83"/>
      <c r="AQ778" s="83"/>
      <c r="AR778" s="83"/>
      <c r="AS778" s="83"/>
      <c r="AT778" s="83"/>
    </row>
    <row r="779" spans="1:46" ht="13.8">
      <c r="A779" s="83"/>
      <c r="B779" s="83"/>
      <c r="C779" s="83"/>
      <c r="D779" s="83"/>
      <c r="E779" s="82"/>
      <c r="F779" s="82"/>
      <c r="G779" s="83"/>
      <c r="H779" s="83"/>
      <c r="I779" s="83"/>
      <c r="J779" s="83"/>
      <c r="K779" s="83"/>
      <c r="L779" s="83"/>
      <c r="M779" s="83"/>
      <c r="N779" s="83"/>
      <c r="O779" s="83"/>
      <c r="P779" s="83"/>
      <c r="Q779" s="83"/>
      <c r="R779" s="83"/>
      <c r="S779" s="83"/>
      <c r="T779" s="83"/>
      <c r="U779" s="83"/>
      <c r="V779" s="83"/>
      <c r="W779" s="83"/>
      <c r="X779" s="83"/>
      <c r="Y779" s="83"/>
      <c r="Z779" s="83"/>
      <c r="AA779" s="83"/>
      <c r="AB779" s="83"/>
      <c r="AC779" s="83"/>
      <c r="AD779" s="83"/>
      <c r="AE779" s="83"/>
      <c r="AF779" s="83"/>
      <c r="AG779" s="83"/>
      <c r="AH779" s="83"/>
      <c r="AI779" s="83"/>
      <c r="AJ779" s="83"/>
      <c r="AK779" s="83"/>
      <c r="AL779" s="83"/>
      <c r="AM779" s="83"/>
      <c r="AN779" s="83"/>
      <c r="AO779" s="83"/>
      <c r="AP779" s="83"/>
      <c r="AQ779" s="83"/>
      <c r="AR779" s="83"/>
      <c r="AS779" s="83"/>
      <c r="AT779" s="83"/>
    </row>
    <row r="780" spans="1:46" ht="13.8">
      <c r="A780" s="83"/>
      <c r="B780" s="83"/>
      <c r="C780" s="83"/>
      <c r="D780" s="83"/>
      <c r="E780" s="82"/>
      <c r="F780" s="82"/>
      <c r="G780" s="83"/>
      <c r="H780" s="83"/>
      <c r="I780" s="83"/>
      <c r="J780" s="83"/>
      <c r="K780" s="83"/>
      <c r="L780" s="83"/>
      <c r="M780" s="83"/>
      <c r="N780" s="83"/>
      <c r="O780" s="83"/>
      <c r="P780" s="83"/>
      <c r="Q780" s="83"/>
      <c r="R780" s="83"/>
      <c r="S780" s="83"/>
      <c r="T780" s="83"/>
      <c r="U780" s="83"/>
      <c r="V780" s="83"/>
      <c r="W780" s="83"/>
      <c r="X780" s="83"/>
      <c r="Y780" s="83"/>
      <c r="Z780" s="83"/>
      <c r="AA780" s="83"/>
      <c r="AB780" s="83"/>
      <c r="AC780" s="83"/>
      <c r="AD780" s="83"/>
      <c r="AE780" s="83"/>
      <c r="AF780" s="83"/>
      <c r="AG780" s="83"/>
      <c r="AH780" s="83"/>
      <c r="AI780" s="83"/>
      <c r="AJ780" s="83"/>
      <c r="AK780" s="83"/>
      <c r="AL780" s="83"/>
      <c r="AM780" s="83"/>
      <c r="AN780" s="83"/>
      <c r="AO780" s="83"/>
      <c r="AP780" s="83"/>
      <c r="AQ780" s="83"/>
      <c r="AR780" s="83"/>
      <c r="AS780" s="83"/>
      <c r="AT780" s="83"/>
    </row>
    <row r="781" spans="1:46" ht="13.8">
      <c r="A781" s="83"/>
      <c r="B781" s="83"/>
      <c r="C781" s="83"/>
      <c r="D781" s="83"/>
      <c r="E781" s="82"/>
      <c r="F781" s="82"/>
      <c r="G781" s="83"/>
      <c r="H781" s="83"/>
      <c r="I781" s="83"/>
      <c r="J781" s="83"/>
      <c r="K781" s="83"/>
      <c r="L781" s="83"/>
      <c r="M781" s="83"/>
      <c r="N781" s="83"/>
      <c r="O781" s="83"/>
      <c r="P781" s="83"/>
      <c r="Q781" s="83"/>
      <c r="R781" s="83"/>
      <c r="S781" s="83"/>
      <c r="T781" s="83"/>
      <c r="U781" s="83"/>
      <c r="V781" s="83"/>
      <c r="W781" s="83"/>
      <c r="X781" s="83"/>
      <c r="Y781" s="83"/>
      <c r="Z781" s="83"/>
      <c r="AA781" s="83"/>
      <c r="AB781" s="83"/>
      <c r="AC781" s="83"/>
      <c r="AD781" s="83"/>
      <c r="AE781" s="83"/>
      <c r="AF781" s="83"/>
      <c r="AG781" s="83"/>
      <c r="AH781" s="83"/>
      <c r="AI781" s="83"/>
      <c r="AJ781" s="83"/>
      <c r="AK781" s="83"/>
      <c r="AL781" s="83"/>
      <c r="AM781" s="83"/>
      <c r="AN781" s="83"/>
      <c r="AO781" s="83"/>
      <c r="AP781" s="83"/>
      <c r="AQ781" s="83"/>
      <c r="AR781" s="83"/>
      <c r="AS781" s="83"/>
      <c r="AT781" s="83"/>
    </row>
    <row r="782" spans="1:46" ht="13.8">
      <c r="A782" s="83"/>
      <c r="B782" s="83"/>
      <c r="C782" s="83"/>
      <c r="D782" s="83"/>
      <c r="E782" s="82"/>
      <c r="F782" s="82"/>
      <c r="G782" s="83"/>
      <c r="H782" s="83"/>
      <c r="I782" s="83"/>
      <c r="J782" s="83"/>
      <c r="K782" s="83"/>
      <c r="L782" s="83"/>
      <c r="M782" s="83"/>
      <c r="N782" s="83"/>
      <c r="O782" s="83"/>
      <c r="P782" s="83"/>
      <c r="Q782" s="83"/>
      <c r="R782" s="83"/>
      <c r="S782" s="83"/>
      <c r="T782" s="83"/>
      <c r="U782" s="83"/>
      <c r="V782" s="83"/>
      <c r="W782" s="83"/>
      <c r="X782" s="83"/>
      <c r="Y782" s="83"/>
      <c r="Z782" s="83"/>
      <c r="AA782" s="83"/>
      <c r="AB782" s="83"/>
      <c r="AC782" s="83"/>
      <c r="AD782" s="83"/>
      <c r="AE782" s="83"/>
      <c r="AF782" s="83"/>
      <c r="AG782" s="83"/>
      <c r="AH782" s="83"/>
      <c r="AI782" s="83"/>
      <c r="AJ782" s="83"/>
      <c r="AK782" s="83"/>
      <c r="AL782" s="83"/>
      <c r="AM782" s="83"/>
      <c r="AN782" s="83"/>
      <c r="AO782" s="83"/>
      <c r="AP782" s="83"/>
      <c r="AQ782" s="83"/>
      <c r="AR782" s="83"/>
      <c r="AS782" s="83"/>
      <c r="AT782" s="83"/>
    </row>
    <row r="783" spans="1:46" ht="13.8">
      <c r="A783" s="83"/>
      <c r="B783" s="83"/>
      <c r="C783" s="83"/>
      <c r="D783" s="83"/>
      <c r="E783" s="82"/>
      <c r="F783" s="82"/>
      <c r="G783" s="83"/>
      <c r="H783" s="83"/>
      <c r="I783" s="83"/>
      <c r="J783" s="83"/>
      <c r="K783" s="83"/>
      <c r="L783" s="83"/>
      <c r="M783" s="83"/>
      <c r="N783" s="83"/>
      <c r="O783" s="83"/>
      <c r="P783" s="83"/>
      <c r="Q783" s="83"/>
      <c r="R783" s="83"/>
      <c r="S783" s="83"/>
      <c r="T783" s="83"/>
      <c r="U783" s="83"/>
      <c r="V783" s="83"/>
      <c r="W783" s="83"/>
      <c r="X783" s="83"/>
      <c r="Y783" s="83"/>
      <c r="Z783" s="83"/>
      <c r="AA783" s="83"/>
      <c r="AB783" s="83"/>
      <c r="AC783" s="83"/>
      <c r="AD783" s="83"/>
      <c r="AE783" s="83"/>
      <c r="AF783" s="83"/>
      <c r="AG783" s="83"/>
      <c r="AH783" s="83"/>
      <c r="AI783" s="83"/>
      <c r="AJ783" s="83"/>
      <c r="AK783" s="83"/>
      <c r="AL783" s="83"/>
      <c r="AM783" s="83"/>
      <c r="AN783" s="83"/>
      <c r="AO783" s="83"/>
      <c r="AP783" s="83"/>
      <c r="AQ783" s="83"/>
      <c r="AR783" s="83"/>
      <c r="AS783" s="83"/>
      <c r="AT783" s="83"/>
    </row>
    <row r="784" spans="1:46" ht="13.8">
      <c r="A784" s="83"/>
      <c r="B784" s="83"/>
      <c r="C784" s="83"/>
      <c r="D784" s="83"/>
      <c r="E784" s="82"/>
      <c r="F784" s="82"/>
      <c r="G784" s="83"/>
      <c r="H784" s="83"/>
      <c r="I784" s="83"/>
      <c r="J784" s="83"/>
      <c r="K784" s="83"/>
      <c r="L784" s="83"/>
      <c r="M784" s="83"/>
      <c r="N784" s="83"/>
      <c r="O784" s="83"/>
      <c r="P784" s="83"/>
      <c r="Q784" s="83"/>
      <c r="R784" s="83"/>
      <c r="S784" s="83"/>
      <c r="T784" s="83"/>
      <c r="U784" s="83"/>
      <c r="V784" s="83"/>
      <c r="W784" s="83"/>
      <c r="X784" s="83"/>
      <c r="Y784" s="83"/>
      <c r="Z784" s="83"/>
      <c r="AA784" s="83"/>
      <c r="AB784" s="83"/>
      <c r="AC784" s="83"/>
      <c r="AD784" s="83"/>
      <c r="AE784" s="83"/>
      <c r="AF784" s="83"/>
      <c r="AG784" s="83"/>
      <c r="AH784" s="83"/>
      <c r="AI784" s="83"/>
      <c r="AJ784" s="83"/>
      <c r="AK784" s="83"/>
      <c r="AL784" s="83"/>
      <c r="AM784" s="83"/>
      <c r="AN784" s="83"/>
      <c r="AO784" s="83"/>
      <c r="AP784" s="83"/>
      <c r="AQ784" s="83"/>
      <c r="AR784" s="83"/>
      <c r="AS784" s="83"/>
      <c r="AT784" s="83"/>
    </row>
    <row r="785" spans="1:46" ht="13.8">
      <c r="A785" s="83"/>
      <c r="B785" s="83"/>
      <c r="C785" s="83"/>
      <c r="D785" s="83"/>
      <c r="E785" s="82"/>
      <c r="F785" s="82"/>
      <c r="G785" s="83"/>
      <c r="H785" s="83"/>
      <c r="I785" s="83"/>
      <c r="J785" s="83"/>
      <c r="K785" s="83"/>
      <c r="L785" s="83"/>
      <c r="M785" s="83"/>
      <c r="N785" s="83"/>
      <c r="O785" s="83"/>
      <c r="P785" s="83"/>
      <c r="Q785" s="83"/>
      <c r="R785" s="83"/>
      <c r="S785" s="83"/>
      <c r="T785" s="83"/>
      <c r="U785" s="83"/>
      <c r="V785" s="83"/>
      <c r="W785" s="83"/>
      <c r="X785" s="83"/>
      <c r="Y785" s="83"/>
      <c r="Z785" s="83"/>
      <c r="AA785" s="83"/>
      <c r="AB785" s="83"/>
      <c r="AC785" s="83"/>
      <c r="AD785" s="83"/>
      <c r="AE785" s="83"/>
      <c r="AF785" s="83"/>
      <c r="AG785" s="83"/>
      <c r="AH785" s="83"/>
      <c r="AI785" s="83"/>
      <c r="AJ785" s="83"/>
      <c r="AK785" s="83"/>
      <c r="AL785" s="83"/>
      <c r="AM785" s="83"/>
      <c r="AN785" s="83"/>
      <c r="AO785" s="83"/>
      <c r="AP785" s="83"/>
      <c r="AQ785" s="83"/>
      <c r="AR785" s="83"/>
      <c r="AS785" s="83"/>
      <c r="AT785" s="83"/>
    </row>
    <row r="786" spans="1:46" ht="13.8">
      <c r="A786" s="83"/>
      <c r="B786" s="83"/>
      <c r="C786" s="83"/>
      <c r="D786" s="83"/>
      <c r="E786" s="82"/>
      <c r="F786" s="82"/>
      <c r="G786" s="83"/>
      <c r="H786" s="83"/>
      <c r="I786" s="83"/>
      <c r="J786" s="83"/>
      <c r="K786" s="83"/>
      <c r="L786" s="83"/>
      <c r="M786" s="83"/>
      <c r="N786" s="83"/>
      <c r="O786" s="83"/>
      <c r="P786" s="83"/>
      <c r="Q786" s="83"/>
      <c r="R786" s="83"/>
      <c r="S786" s="83"/>
      <c r="T786" s="83"/>
      <c r="U786" s="83"/>
      <c r="V786" s="83"/>
      <c r="W786" s="83"/>
      <c r="X786" s="83"/>
      <c r="Y786" s="83"/>
      <c r="Z786" s="83"/>
      <c r="AA786" s="83"/>
      <c r="AB786" s="83"/>
      <c r="AC786" s="83"/>
      <c r="AD786" s="83"/>
      <c r="AE786" s="83"/>
      <c r="AF786" s="83"/>
      <c r="AG786" s="83"/>
      <c r="AH786" s="83"/>
      <c r="AI786" s="83"/>
      <c r="AJ786" s="83"/>
      <c r="AK786" s="83"/>
      <c r="AL786" s="83"/>
      <c r="AM786" s="83"/>
      <c r="AN786" s="83"/>
      <c r="AO786" s="83"/>
      <c r="AP786" s="83"/>
      <c r="AQ786" s="83"/>
      <c r="AR786" s="83"/>
      <c r="AS786" s="83"/>
      <c r="AT786" s="83"/>
    </row>
    <row r="787" spans="1:46" ht="13.8">
      <c r="A787" s="83"/>
      <c r="B787" s="83"/>
      <c r="C787" s="83"/>
      <c r="D787" s="83"/>
      <c r="E787" s="82"/>
      <c r="F787" s="82"/>
      <c r="G787" s="83"/>
      <c r="H787" s="83"/>
      <c r="I787" s="83"/>
      <c r="J787" s="83"/>
      <c r="K787" s="83"/>
      <c r="L787" s="83"/>
      <c r="M787" s="83"/>
      <c r="N787" s="83"/>
      <c r="O787" s="83"/>
      <c r="P787" s="83"/>
      <c r="Q787" s="83"/>
      <c r="R787" s="83"/>
      <c r="S787" s="83"/>
      <c r="T787" s="83"/>
      <c r="U787" s="83"/>
      <c r="V787" s="83"/>
      <c r="W787" s="83"/>
      <c r="X787" s="83"/>
      <c r="Y787" s="83"/>
      <c r="Z787" s="83"/>
      <c r="AA787" s="83"/>
      <c r="AB787" s="83"/>
      <c r="AC787" s="83"/>
      <c r="AD787" s="83"/>
      <c r="AE787" s="83"/>
      <c r="AF787" s="83"/>
      <c r="AG787" s="83"/>
      <c r="AH787" s="83"/>
      <c r="AI787" s="83"/>
      <c r="AJ787" s="83"/>
      <c r="AK787" s="83"/>
      <c r="AL787" s="83"/>
      <c r="AM787" s="83"/>
      <c r="AN787" s="83"/>
      <c r="AO787" s="83"/>
      <c r="AP787" s="83"/>
      <c r="AQ787" s="83"/>
      <c r="AR787" s="83"/>
      <c r="AS787" s="83"/>
      <c r="AT787" s="83"/>
    </row>
    <row r="788" spans="1:46" ht="13.8">
      <c r="A788" s="83"/>
      <c r="B788" s="83"/>
      <c r="C788" s="83"/>
      <c r="D788" s="83"/>
      <c r="E788" s="82"/>
      <c r="F788" s="82"/>
      <c r="G788" s="83"/>
      <c r="H788" s="83"/>
      <c r="I788" s="83"/>
      <c r="J788" s="83"/>
      <c r="K788" s="83"/>
      <c r="L788" s="83"/>
      <c r="M788" s="83"/>
      <c r="N788" s="83"/>
      <c r="O788" s="83"/>
      <c r="P788" s="83"/>
      <c r="Q788" s="83"/>
      <c r="R788" s="83"/>
      <c r="S788" s="83"/>
      <c r="T788" s="83"/>
      <c r="U788" s="83"/>
      <c r="V788" s="83"/>
      <c r="W788" s="83"/>
      <c r="X788" s="83"/>
      <c r="Y788" s="83"/>
      <c r="Z788" s="83"/>
      <c r="AA788" s="83"/>
      <c r="AB788" s="83"/>
      <c r="AC788" s="83"/>
      <c r="AD788" s="83"/>
      <c r="AE788" s="83"/>
      <c r="AF788" s="83"/>
      <c r="AG788" s="83"/>
      <c r="AH788" s="83"/>
      <c r="AI788" s="83"/>
      <c r="AJ788" s="83"/>
      <c r="AK788" s="83"/>
      <c r="AL788" s="83"/>
      <c r="AM788" s="83"/>
      <c r="AN788" s="83"/>
      <c r="AO788" s="83"/>
      <c r="AP788" s="83"/>
      <c r="AQ788" s="83"/>
      <c r="AR788" s="83"/>
      <c r="AS788" s="83"/>
      <c r="AT788" s="83"/>
    </row>
    <row r="789" spans="1:46" ht="13.8">
      <c r="A789" s="83"/>
      <c r="B789" s="83"/>
      <c r="C789" s="83"/>
      <c r="D789" s="83"/>
      <c r="E789" s="82"/>
      <c r="F789" s="82"/>
      <c r="G789" s="83"/>
      <c r="H789" s="83"/>
      <c r="I789" s="83"/>
      <c r="J789" s="83"/>
      <c r="K789" s="83"/>
      <c r="L789" s="83"/>
      <c r="M789" s="83"/>
      <c r="N789" s="83"/>
      <c r="O789" s="83"/>
      <c r="P789" s="83"/>
      <c r="Q789" s="83"/>
      <c r="R789" s="83"/>
      <c r="S789" s="83"/>
      <c r="T789" s="83"/>
      <c r="U789" s="83"/>
      <c r="V789" s="83"/>
      <c r="W789" s="83"/>
      <c r="X789" s="83"/>
      <c r="Y789" s="83"/>
      <c r="Z789" s="83"/>
      <c r="AA789" s="83"/>
      <c r="AB789" s="83"/>
      <c r="AC789" s="83"/>
      <c r="AD789" s="83"/>
      <c r="AE789" s="83"/>
      <c r="AF789" s="83"/>
      <c r="AG789" s="83"/>
      <c r="AH789" s="83"/>
      <c r="AI789" s="83"/>
      <c r="AJ789" s="83"/>
      <c r="AK789" s="83"/>
      <c r="AL789" s="83"/>
      <c r="AM789" s="83"/>
      <c r="AN789" s="83"/>
      <c r="AO789" s="83"/>
      <c r="AP789" s="83"/>
      <c r="AQ789" s="83"/>
      <c r="AR789" s="83"/>
      <c r="AS789" s="83"/>
      <c r="AT789" s="83"/>
    </row>
    <row r="790" spans="1:46" ht="13.8">
      <c r="A790" s="83"/>
      <c r="B790" s="83"/>
      <c r="C790" s="83"/>
      <c r="D790" s="83"/>
      <c r="E790" s="82"/>
      <c r="F790" s="82"/>
      <c r="G790" s="83"/>
      <c r="H790" s="83"/>
      <c r="I790" s="83"/>
      <c r="J790" s="83"/>
      <c r="K790" s="83"/>
      <c r="L790" s="83"/>
      <c r="M790" s="83"/>
      <c r="N790" s="83"/>
      <c r="O790" s="83"/>
      <c r="P790" s="83"/>
      <c r="Q790" s="83"/>
      <c r="R790" s="83"/>
      <c r="S790" s="83"/>
      <c r="T790" s="83"/>
      <c r="U790" s="83"/>
      <c r="V790" s="83"/>
      <c r="W790" s="83"/>
      <c r="X790" s="83"/>
      <c r="Y790" s="83"/>
      <c r="Z790" s="83"/>
      <c r="AA790" s="83"/>
      <c r="AB790" s="83"/>
      <c r="AC790" s="83"/>
      <c r="AD790" s="83"/>
      <c r="AE790" s="83"/>
      <c r="AF790" s="83"/>
      <c r="AG790" s="83"/>
      <c r="AH790" s="83"/>
      <c r="AI790" s="83"/>
      <c r="AJ790" s="83"/>
      <c r="AK790" s="83"/>
      <c r="AL790" s="83"/>
      <c r="AM790" s="83"/>
      <c r="AN790" s="83"/>
      <c r="AO790" s="83"/>
      <c r="AP790" s="83"/>
      <c r="AQ790" s="83"/>
      <c r="AR790" s="83"/>
      <c r="AS790" s="83"/>
      <c r="AT790" s="83"/>
    </row>
    <row r="791" spans="1:46" ht="13.8">
      <c r="A791" s="83"/>
      <c r="B791" s="83"/>
      <c r="C791" s="83"/>
      <c r="D791" s="83"/>
      <c r="E791" s="82"/>
      <c r="F791" s="82"/>
      <c r="G791" s="83"/>
      <c r="H791" s="83"/>
      <c r="I791" s="83"/>
      <c r="J791" s="83"/>
      <c r="K791" s="83"/>
      <c r="L791" s="83"/>
      <c r="M791" s="83"/>
      <c r="N791" s="83"/>
      <c r="O791" s="83"/>
      <c r="P791" s="83"/>
      <c r="Q791" s="83"/>
      <c r="R791" s="83"/>
      <c r="S791" s="83"/>
      <c r="T791" s="83"/>
      <c r="U791" s="83"/>
      <c r="V791" s="83"/>
      <c r="W791" s="83"/>
      <c r="X791" s="83"/>
      <c r="Y791" s="83"/>
      <c r="Z791" s="83"/>
      <c r="AA791" s="83"/>
      <c r="AB791" s="83"/>
      <c r="AC791" s="83"/>
      <c r="AD791" s="83"/>
      <c r="AE791" s="83"/>
      <c r="AF791" s="83"/>
      <c r="AG791" s="83"/>
      <c r="AH791" s="83"/>
      <c r="AI791" s="83"/>
      <c r="AJ791" s="83"/>
      <c r="AK791" s="83"/>
      <c r="AL791" s="83"/>
      <c r="AM791" s="83"/>
      <c r="AN791" s="83"/>
      <c r="AO791" s="83"/>
      <c r="AP791" s="83"/>
      <c r="AQ791" s="83"/>
      <c r="AR791" s="83"/>
      <c r="AS791" s="83"/>
      <c r="AT791" s="83"/>
    </row>
    <row r="792" spans="1:46" ht="13.8">
      <c r="A792" s="83"/>
      <c r="B792" s="83"/>
      <c r="C792" s="83"/>
      <c r="D792" s="83"/>
      <c r="E792" s="82"/>
      <c r="F792" s="82"/>
      <c r="G792" s="83"/>
      <c r="H792" s="83"/>
      <c r="I792" s="83"/>
      <c r="J792" s="83"/>
      <c r="K792" s="83"/>
      <c r="L792" s="83"/>
      <c r="M792" s="83"/>
      <c r="N792" s="83"/>
      <c r="O792" s="83"/>
      <c r="P792" s="83"/>
      <c r="Q792" s="83"/>
      <c r="R792" s="83"/>
      <c r="S792" s="83"/>
      <c r="T792" s="83"/>
      <c r="U792" s="83"/>
      <c r="V792" s="83"/>
      <c r="W792" s="83"/>
      <c r="X792" s="83"/>
      <c r="Y792" s="83"/>
      <c r="Z792" s="83"/>
      <c r="AA792" s="83"/>
      <c r="AB792" s="83"/>
      <c r="AC792" s="83"/>
      <c r="AD792" s="83"/>
      <c r="AE792" s="83"/>
      <c r="AF792" s="83"/>
      <c r="AG792" s="83"/>
      <c r="AH792" s="83"/>
      <c r="AI792" s="83"/>
      <c r="AJ792" s="83"/>
      <c r="AK792" s="83"/>
      <c r="AL792" s="83"/>
      <c r="AM792" s="83"/>
      <c r="AN792" s="83"/>
      <c r="AO792" s="83"/>
      <c r="AP792" s="83"/>
      <c r="AQ792" s="83"/>
      <c r="AR792" s="83"/>
      <c r="AS792" s="83"/>
      <c r="AT792" s="83"/>
    </row>
    <row r="793" spans="1:46" ht="13.8">
      <c r="A793" s="83"/>
      <c r="B793" s="83"/>
      <c r="C793" s="83"/>
      <c r="D793" s="83"/>
      <c r="E793" s="82"/>
      <c r="F793" s="82"/>
      <c r="G793" s="83"/>
      <c r="H793" s="83"/>
      <c r="I793" s="83"/>
      <c r="J793" s="83"/>
      <c r="K793" s="83"/>
      <c r="L793" s="83"/>
      <c r="M793" s="83"/>
      <c r="N793" s="83"/>
      <c r="O793" s="83"/>
      <c r="P793" s="83"/>
      <c r="Q793" s="83"/>
      <c r="R793" s="83"/>
      <c r="S793" s="83"/>
      <c r="T793" s="83"/>
      <c r="U793" s="83"/>
      <c r="V793" s="83"/>
      <c r="W793" s="83"/>
      <c r="X793" s="83"/>
      <c r="Y793" s="83"/>
      <c r="Z793" s="83"/>
      <c r="AA793" s="83"/>
      <c r="AB793" s="83"/>
      <c r="AC793" s="83"/>
      <c r="AD793" s="83"/>
      <c r="AE793" s="83"/>
      <c r="AF793" s="83"/>
      <c r="AG793" s="83"/>
      <c r="AH793" s="83"/>
      <c r="AI793" s="83"/>
      <c r="AJ793" s="83"/>
      <c r="AK793" s="83"/>
      <c r="AL793" s="83"/>
      <c r="AM793" s="83"/>
      <c r="AN793" s="83"/>
      <c r="AO793" s="83"/>
      <c r="AP793" s="83"/>
      <c r="AQ793" s="83"/>
      <c r="AR793" s="83"/>
      <c r="AS793" s="83"/>
      <c r="AT793" s="83"/>
    </row>
    <row r="794" spans="1:46" ht="13.8">
      <c r="A794" s="83"/>
      <c r="B794" s="83"/>
      <c r="C794" s="83"/>
      <c r="D794" s="83"/>
      <c r="E794" s="82"/>
      <c r="F794" s="82"/>
      <c r="G794" s="83"/>
      <c r="H794" s="83"/>
      <c r="I794" s="83"/>
      <c r="J794" s="83"/>
      <c r="K794" s="83"/>
      <c r="L794" s="83"/>
      <c r="M794" s="83"/>
      <c r="N794" s="83"/>
      <c r="O794" s="83"/>
      <c r="P794" s="83"/>
      <c r="Q794" s="83"/>
      <c r="R794" s="83"/>
      <c r="S794" s="83"/>
      <c r="T794" s="83"/>
      <c r="U794" s="83"/>
      <c r="V794" s="83"/>
      <c r="W794" s="83"/>
      <c r="X794" s="83"/>
      <c r="Y794" s="83"/>
      <c r="Z794" s="83"/>
      <c r="AA794" s="83"/>
      <c r="AB794" s="83"/>
      <c r="AC794" s="83"/>
      <c r="AD794" s="83"/>
      <c r="AE794" s="83"/>
      <c r="AF794" s="83"/>
      <c r="AG794" s="83"/>
      <c r="AH794" s="83"/>
      <c r="AI794" s="83"/>
      <c r="AJ794" s="83"/>
      <c r="AK794" s="83"/>
      <c r="AL794" s="83"/>
      <c r="AM794" s="83"/>
      <c r="AN794" s="83"/>
      <c r="AO794" s="83"/>
      <c r="AP794" s="83"/>
      <c r="AQ794" s="83"/>
      <c r="AR794" s="83"/>
      <c r="AS794" s="83"/>
      <c r="AT794" s="83"/>
    </row>
    <row r="795" spans="1:46" ht="13.8">
      <c r="A795" s="83"/>
      <c r="B795" s="83"/>
      <c r="C795" s="83"/>
      <c r="D795" s="83"/>
      <c r="E795" s="82"/>
      <c r="F795" s="82"/>
      <c r="G795" s="83"/>
      <c r="H795" s="83"/>
      <c r="I795" s="83"/>
      <c r="J795" s="83"/>
      <c r="K795" s="83"/>
      <c r="L795" s="83"/>
      <c r="M795" s="83"/>
      <c r="N795" s="83"/>
      <c r="O795" s="83"/>
      <c r="P795" s="83"/>
      <c r="Q795" s="83"/>
      <c r="R795" s="83"/>
      <c r="S795" s="83"/>
      <c r="T795" s="83"/>
      <c r="U795" s="83"/>
      <c r="V795" s="83"/>
      <c r="W795" s="83"/>
      <c r="X795" s="83"/>
      <c r="Y795" s="83"/>
      <c r="Z795" s="83"/>
      <c r="AA795" s="83"/>
      <c r="AB795" s="83"/>
      <c r="AC795" s="83"/>
      <c r="AD795" s="83"/>
      <c r="AE795" s="83"/>
      <c r="AF795" s="83"/>
      <c r="AG795" s="83"/>
      <c r="AH795" s="83"/>
      <c r="AI795" s="83"/>
      <c r="AJ795" s="83"/>
      <c r="AK795" s="83"/>
      <c r="AL795" s="83"/>
      <c r="AM795" s="83"/>
      <c r="AN795" s="83"/>
      <c r="AO795" s="83"/>
      <c r="AP795" s="83"/>
      <c r="AQ795" s="83"/>
      <c r="AR795" s="83"/>
      <c r="AS795" s="83"/>
      <c r="AT795" s="83"/>
    </row>
    <row r="796" spans="1:46" ht="13.8">
      <c r="A796" s="83"/>
      <c r="B796" s="83"/>
      <c r="C796" s="83"/>
      <c r="D796" s="83"/>
      <c r="E796" s="82"/>
      <c r="F796" s="82"/>
      <c r="G796" s="83"/>
      <c r="H796" s="83"/>
      <c r="I796" s="83"/>
      <c r="J796" s="83"/>
      <c r="K796" s="83"/>
      <c r="L796" s="83"/>
      <c r="M796" s="83"/>
      <c r="N796" s="83"/>
      <c r="O796" s="83"/>
      <c r="P796" s="83"/>
      <c r="Q796" s="83"/>
      <c r="R796" s="83"/>
      <c r="S796" s="83"/>
      <c r="T796" s="83"/>
      <c r="U796" s="83"/>
      <c r="V796" s="83"/>
      <c r="W796" s="83"/>
      <c r="X796" s="83"/>
      <c r="Y796" s="83"/>
      <c r="Z796" s="83"/>
      <c r="AA796" s="83"/>
      <c r="AB796" s="83"/>
      <c r="AC796" s="83"/>
      <c r="AD796" s="83"/>
      <c r="AE796" s="83"/>
      <c r="AF796" s="83"/>
      <c r="AG796" s="83"/>
      <c r="AH796" s="83"/>
      <c r="AI796" s="83"/>
      <c r="AJ796" s="83"/>
      <c r="AK796" s="83"/>
      <c r="AL796" s="83"/>
      <c r="AM796" s="83"/>
      <c r="AN796" s="83"/>
      <c r="AO796" s="83"/>
      <c r="AP796" s="83"/>
      <c r="AQ796" s="83"/>
      <c r="AR796" s="83"/>
      <c r="AS796" s="83"/>
      <c r="AT796" s="83"/>
    </row>
    <row r="797" spans="1:46" ht="13.8">
      <c r="A797" s="83"/>
      <c r="B797" s="83"/>
      <c r="C797" s="83"/>
      <c r="D797" s="83"/>
      <c r="E797" s="82"/>
      <c r="F797" s="82"/>
      <c r="G797" s="83"/>
      <c r="H797" s="83"/>
      <c r="I797" s="83"/>
      <c r="J797" s="83"/>
      <c r="K797" s="83"/>
      <c r="L797" s="83"/>
      <c r="M797" s="83"/>
      <c r="N797" s="83"/>
      <c r="O797" s="83"/>
      <c r="P797" s="83"/>
      <c r="Q797" s="83"/>
      <c r="R797" s="83"/>
      <c r="S797" s="83"/>
      <c r="T797" s="83"/>
      <c r="U797" s="83"/>
      <c r="V797" s="83"/>
      <c r="W797" s="83"/>
      <c r="X797" s="83"/>
      <c r="Y797" s="83"/>
      <c r="Z797" s="83"/>
      <c r="AA797" s="83"/>
      <c r="AB797" s="83"/>
      <c r="AC797" s="83"/>
      <c r="AD797" s="83"/>
      <c r="AE797" s="83"/>
      <c r="AF797" s="83"/>
      <c r="AG797" s="83"/>
      <c r="AH797" s="83"/>
      <c r="AI797" s="83"/>
      <c r="AJ797" s="83"/>
      <c r="AK797" s="83"/>
      <c r="AL797" s="83"/>
      <c r="AM797" s="83"/>
      <c r="AN797" s="83"/>
      <c r="AO797" s="83"/>
      <c r="AP797" s="83"/>
      <c r="AQ797" s="83"/>
      <c r="AR797" s="83"/>
      <c r="AS797" s="83"/>
      <c r="AT797" s="83"/>
    </row>
    <row r="798" spans="1:46" ht="13.8">
      <c r="A798" s="83"/>
      <c r="B798" s="83"/>
      <c r="C798" s="83"/>
      <c r="D798" s="83"/>
      <c r="E798" s="82"/>
      <c r="F798" s="82"/>
      <c r="G798" s="83"/>
      <c r="H798" s="83"/>
      <c r="I798" s="83"/>
      <c r="J798" s="83"/>
      <c r="K798" s="83"/>
      <c r="L798" s="83"/>
      <c r="M798" s="83"/>
      <c r="N798" s="83"/>
      <c r="O798" s="83"/>
      <c r="P798" s="83"/>
      <c r="Q798" s="83"/>
      <c r="R798" s="83"/>
      <c r="S798" s="83"/>
      <c r="T798" s="83"/>
      <c r="U798" s="83"/>
      <c r="V798" s="83"/>
      <c r="W798" s="83"/>
      <c r="X798" s="83"/>
      <c r="Y798" s="83"/>
      <c r="Z798" s="83"/>
      <c r="AA798" s="83"/>
      <c r="AB798" s="83"/>
      <c r="AC798" s="83"/>
      <c r="AD798" s="83"/>
      <c r="AE798" s="83"/>
      <c r="AF798" s="83"/>
      <c r="AG798" s="83"/>
      <c r="AH798" s="83"/>
      <c r="AI798" s="83"/>
      <c r="AJ798" s="83"/>
      <c r="AK798" s="83"/>
      <c r="AL798" s="83"/>
      <c r="AM798" s="83"/>
      <c r="AN798" s="83"/>
      <c r="AO798" s="83"/>
      <c r="AP798" s="83"/>
      <c r="AQ798" s="83"/>
      <c r="AR798" s="83"/>
      <c r="AS798" s="83"/>
      <c r="AT798" s="83"/>
    </row>
    <row r="799" spans="1:46" ht="13.8">
      <c r="A799" s="83"/>
      <c r="B799" s="83"/>
      <c r="C799" s="83"/>
      <c r="D799" s="83"/>
      <c r="E799" s="82"/>
      <c r="F799" s="82"/>
      <c r="G799" s="83"/>
      <c r="H799" s="83"/>
      <c r="I799" s="83"/>
      <c r="J799" s="83"/>
      <c r="K799" s="83"/>
      <c r="L799" s="83"/>
      <c r="M799" s="83"/>
      <c r="N799" s="83"/>
      <c r="O799" s="83"/>
      <c r="P799" s="83"/>
      <c r="Q799" s="83"/>
      <c r="R799" s="83"/>
      <c r="S799" s="83"/>
      <c r="T799" s="83"/>
      <c r="U799" s="83"/>
      <c r="V799" s="83"/>
      <c r="W799" s="83"/>
      <c r="X799" s="83"/>
      <c r="Y799" s="83"/>
      <c r="Z799" s="83"/>
      <c r="AA799" s="83"/>
      <c r="AB799" s="83"/>
      <c r="AC799" s="83"/>
      <c r="AD799" s="83"/>
      <c r="AE799" s="83"/>
      <c r="AF799" s="83"/>
      <c r="AG799" s="83"/>
      <c r="AH799" s="83"/>
      <c r="AI799" s="83"/>
      <c r="AJ799" s="83"/>
      <c r="AK799" s="83"/>
      <c r="AL799" s="83"/>
      <c r="AM799" s="83"/>
      <c r="AN799" s="83"/>
      <c r="AO799" s="83"/>
      <c r="AP799" s="83"/>
      <c r="AQ799" s="83"/>
      <c r="AR799" s="83"/>
      <c r="AS799" s="83"/>
      <c r="AT799" s="83"/>
    </row>
    <row r="800" spans="1:46" ht="13.8">
      <c r="A800" s="83"/>
      <c r="B800" s="83"/>
      <c r="C800" s="83"/>
      <c r="D800" s="83"/>
      <c r="E800" s="82"/>
      <c r="F800" s="82"/>
      <c r="G800" s="83"/>
      <c r="H800" s="83"/>
      <c r="I800" s="83"/>
      <c r="J800" s="83"/>
      <c r="K800" s="83"/>
      <c r="L800" s="83"/>
      <c r="M800" s="83"/>
      <c r="N800" s="83"/>
      <c r="O800" s="83"/>
      <c r="P800" s="83"/>
      <c r="Q800" s="83"/>
      <c r="R800" s="83"/>
      <c r="S800" s="83"/>
      <c r="T800" s="83"/>
      <c r="U800" s="83"/>
      <c r="V800" s="83"/>
      <c r="W800" s="83"/>
      <c r="X800" s="83"/>
      <c r="Y800" s="83"/>
      <c r="Z800" s="83"/>
      <c r="AA800" s="83"/>
      <c r="AB800" s="83"/>
      <c r="AC800" s="83"/>
      <c r="AD800" s="83"/>
      <c r="AE800" s="83"/>
      <c r="AF800" s="83"/>
      <c r="AG800" s="83"/>
      <c r="AH800" s="83"/>
      <c r="AI800" s="83"/>
      <c r="AJ800" s="83"/>
      <c r="AK800" s="83"/>
      <c r="AL800" s="83"/>
      <c r="AM800" s="83"/>
      <c r="AN800" s="83"/>
      <c r="AO800" s="83"/>
      <c r="AP800" s="83"/>
      <c r="AQ800" s="83"/>
      <c r="AR800" s="83"/>
      <c r="AS800" s="83"/>
      <c r="AT800" s="83"/>
    </row>
    <row r="801" spans="1:46" ht="13.8">
      <c r="A801" s="83"/>
      <c r="B801" s="83"/>
      <c r="C801" s="83"/>
      <c r="D801" s="83"/>
      <c r="E801" s="82"/>
      <c r="F801" s="82"/>
      <c r="G801" s="83"/>
      <c r="H801" s="83"/>
      <c r="I801" s="83"/>
      <c r="J801" s="83"/>
      <c r="K801" s="83"/>
      <c r="L801" s="83"/>
      <c r="M801" s="83"/>
      <c r="N801" s="83"/>
      <c r="O801" s="83"/>
      <c r="P801" s="83"/>
      <c r="Q801" s="83"/>
      <c r="R801" s="83"/>
      <c r="S801" s="83"/>
      <c r="T801" s="83"/>
      <c r="U801" s="83"/>
      <c r="V801" s="83"/>
      <c r="W801" s="83"/>
      <c r="X801" s="83"/>
      <c r="Y801" s="83"/>
      <c r="Z801" s="83"/>
      <c r="AA801" s="83"/>
      <c r="AB801" s="83"/>
      <c r="AC801" s="83"/>
      <c r="AD801" s="83"/>
      <c r="AE801" s="83"/>
      <c r="AF801" s="83"/>
      <c r="AG801" s="83"/>
      <c r="AH801" s="83"/>
      <c r="AI801" s="83"/>
      <c r="AJ801" s="83"/>
      <c r="AK801" s="83"/>
      <c r="AL801" s="83"/>
      <c r="AM801" s="83"/>
      <c r="AN801" s="83"/>
      <c r="AO801" s="83"/>
      <c r="AP801" s="83"/>
      <c r="AQ801" s="83"/>
      <c r="AR801" s="83"/>
      <c r="AS801" s="83"/>
      <c r="AT801" s="83"/>
    </row>
    <row r="802" spans="1:46" ht="13.8">
      <c r="A802" s="83"/>
      <c r="B802" s="83"/>
      <c r="C802" s="83"/>
      <c r="D802" s="83"/>
      <c r="E802" s="82"/>
      <c r="F802" s="82"/>
      <c r="G802" s="83"/>
      <c r="H802" s="83"/>
      <c r="I802" s="83"/>
      <c r="J802" s="83"/>
      <c r="K802" s="83"/>
      <c r="L802" s="83"/>
      <c r="M802" s="83"/>
      <c r="N802" s="83"/>
      <c r="O802" s="83"/>
      <c r="P802" s="83"/>
      <c r="Q802" s="83"/>
      <c r="R802" s="83"/>
      <c r="S802" s="83"/>
      <c r="T802" s="83"/>
      <c r="U802" s="83"/>
      <c r="V802" s="83"/>
      <c r="W802" s="83"/>
      <c r="X802" s="83"/>
      <c r="Y802" s="83"/>
      <c r="Z802" s="83"/>
      <c r="AA802" s="83"/>
      <c r="AB802" s="83"/>
      <c r="AC802" s="83"/>
      <c r="AD802" s="83"/>
      <c r="AE802" s="83"/>
      <c r="AF802" s="83"/>
      <c r="AG802" s="83"/>
      <c r="AH802" s="83"/>
      <c r="AI802" s="83"/>
      <c r="AJ802" s="83"/>
      <c r="AK802" s="83"/>
      <c r="AL802" s="83"/>
      <c r="AM802" s="83"/>
      <c r="AN802" s="83"/>
      <c r="AO802" s="83"/>
      <c r="AP802" s="83"/>
      <c r="AQ802" s="83"/>
      <c r="AR802" s="83"/>
      <c r="AS802" s="83"/>
      <c r="AT802" s="83"/>
    </row>
    <row r="803" spans="1:46" ht="13.8">
      <c r="A803" s="83"/>
      <c r="B803" s="83"/>
      <c r="C803" s="83"/>
      <c r="D803" s="83"/>
      <c r="E803" s="82"/>
      <c r="F803" s="82"/>
      <c r="G803" s="83"/>
      <c r="H803" s="83"/>
      <c r="I803" s="83"/>
      <c r="J803" s="83"/>
      <c r="K803" s="83"/>
      <c r="L803" s="83"/>
      <c r="M803" s="83"/>
      <c r="N803" s="83"/>
      <c r="O803" s="83"/>
      <c r="P803" s="83"/>
      <c r="Q803" s="83"/>
      <c r="R803" s="83"/>
      <c r="S803" s="83"/>
      <c r="T803" s="83"/>
      <c r="U803" s="83"/>
      <c r="V803" s="83"/>
      <c r="W803" s="83"/>
      <c r="X803" s="83"/>
      <c r="Y803" s="83"/>
      <c r="Z803" s="83"/>
      <c r="AA803" s="83"/>
      <c r="AB803" s="83"/>
      <c r="AC803" s="83"/>
      <c r="AD803" s="83"/>
      <c r="AE803" s="83"/>
      <c r="AF803" s="83"/>
      <c r="AG803" s="83"/>
      <c r="AH803" s="83"/>
      <c r="AI803" s="83"/>
      <c r="AJ803" s="83"/>
      <c r="AK803" s="83"/>
      <c r="AL803" s="83"/>
      <c r="AM803" s="83"/>
      <c r="AN803" s="83"/>
      <c r="AO803" s="83"/>
      <c r="AP803" s="83"/>
      <c r="AQ803" s="83"/>
      <c r="AR803" s="83"/>
      <c r="AS803" s="83"/>
      <c r="AT803" s="83"/>
    </row>
    <row r="804" spans="1:46" ht="13.8">
      <c r="A804" s="83"/>
      <c r="B804" s="83"/>
      <c r="C804" s="83"/>
      <c r="D804" s="83"/>
      <c r="E804" s="82"/>
      <c r="F804" s="82"/>
      <c r="G804" s="83"/>
      <c r="H804" s="83"/>
      <c r="I804" s="83"/>
      <c r="J804" s="83"/>
      <c r="K804" s="83"/>
      <c r="L804" s="83"/>
      <c r="M804" s="83"/>
      <c r="N804" s="83"/>
      <c r="O804" s="83"/>
      <c r="P804" s="83"/>
      <c r="Q804" s="83"/>
      <c r="R804" s="83"/>
      <c r="S804" s="83"/>
      <c r="T804" s="83"/>
      <c r="U804" s="83"/>
      <c r="V804" s="83"/>
      <c r="W804" s="83"/>
      <c r="X804" s="83"/>
      <c r="Y804" s="83"/>
      <c r="Z804" s="83"/>
      <c r="AA804" s="83"/>
      <c r="AB804" s="83"/>
      <c r="AC804" s="83"/>
      <c r="AD804" s="83"/>
      <c r="AE804" s="83"/>
      <c r="AF804" s="83"/>
      <c r="AG804" s="83"/>
      <c r="AH804" s="83"/>
      <c r="AI804" s="83"/>
      <c r="AJ804" s="83"/>
      <c r="AK804" s="83"/>
      <c r="AL804" s="83"/>
      <c r="AM804" s="83"/>
      <c r="AN804" s="83"/>
      <c r="AO804" s="83"/>
      <c r="AP804" s="83"/>
      <c r="AQ804" s="83"/>
      <c r="AR804" s="83"/>
      <c r="AS804" s="83"/>
      <c r="AT804" s="83"/>
    </row>
    <row r="805" spans="1:46" ht="13.8">
      <c r="A805" s="83"/>
      <c r="B805" s="83"/>
      <c r="C805" s="83"/>
      <c r="D805" s="83"/>
      <c r="E805" s="82"/>
      <c r="F805" s="82"/>
      <c r="G805" s="83"/>
      <c r="H805" s="83"/>
      <c r="I805" s="83"/>
      <c r="J805" s="83"/>
      <c r="K805" s="83"/>
      <c r="L805" s="83"/>
      <c r="M805" s="83"/>
      <c r="N805" s="83"/>
      <c r="O805" s="83"/>
      <c r="P805" s="83"/>
      <c r="Q805" s="83"/>
      <c r="R805" s="83"/>
      <c r="S805" s="83"/>
      <c r="T805" s="83"/>
      <c r="U805" s="83"/>
      <c r="V805" s="83"/>
      <c r="W805" s="83"/>
      <c r="X805" s="83"/>
      <c r="Y805" s="83"/>
      <c r="Z805" s="83"/>
      <c r="AA805" s="83"/>
      <c r="AB805" s="83"/>
      <c r="AC805" s="83"/>
      <c r="AD805" s="83"/>
      <c r="AE805" s="83"/>
      <c r="AF805" s="83"/>
      <c r="AG805" s="83"/>
      <c r="AH805" s="83"/>
      <c r="AI805" s="83"/>
      <c r="AJ805" s="83"/>
      <c r="AK805" s="83"/>
      <c r="AL805" s="83"/>
      <c r="AM805" s="83"/>
      <c r="AN805" s="83"/>
      <c r="AO805" s="83"/>
      <c r="AP805" s="83"/>
      <c r="AQ805" s="83"/>
      <c r="AR805" s="83"/>
      <c r="AS805" s="83"/>
      <c r="AT805" s="83"/>
    </row>
    <row r="806" spans="1:46" ht="13.8">
      <c r="A806" s="83"/>
      <c r="B806" s="83"/>
      <c r="C806" s="83"/>
      <c r="D806" s="83"/>
      <c r="E806" s="82"/>
      <c r="F806" s="82"/>
      <c r="G806" s="83"/>
      <c r="H806" s="83"/>
      <c r="I806" s="83"/>
      <c r="J806" s="83"/>
      <c r="K806" s="83"/>
      <c r="L806" s="83"/>
      <c r="M806" s="83"/>
      <c r="N806" s="83"/>
      <c r="O806" s="83"/>
      <c r="P806" s="83"/>
      <c r="Q806" s="83"/>
      <c r="R806" s="83"/>
      <c r="S806" s="83"/>
      <c r="T806" s="83"/>
      <c r="U806" s="83"/>
      <c r="V806" s="83"/>
      <c r="W806" s="83"/>
      <c r="X806" s="83"/>
      <c r="Y806" s="83"/>
      <c r="Z806" s="83"/>
      <c r="AA806" s="83"/>
      <c r="AB806" s="83"/>
      <c r="AC806" s="83"/>
      <c r="AD806" s="83"/>
      <c r="AE806" s="83"/>
      <c r="AF806" s="83"/>
      <c r="AG806" s="83"/>
      <c r="AH806" s="83"/>
      <c r="AI806" s="83"/>
      <c r="AJ806" s="83"/>
      <c r="AK806" s="83"/>
      <c r="AL806" s="83"/>
      <c r="AM806" s="83"/>
      <c r="AN806" s="83"/>
      <c r="AO806" s="83"/>
      <c r="AP806" s="83"/>
      <c r="AQ806" s="83"/>
      <c r="AR806" s="83"/>
      <c r="AS806" s="83"/>
      <c r="AT806" s="83"/>
    </row>
    <row r="807" spans="1:46" ht="13.8">
      <c r="A807" s="83"/>
      <c r="B807" s="83"/>
      <c r="C807" s="83"/>
      <c r="D807" s="83"/>
      <c r="E807" s="82"/>
      <c r="F807" s="82"/>
      <c r="G807" s="83"/>
      <c r="H807" s="83"/>
      <c r="I807" s="83"/>
      <c r="J807" s="83"/>
      <c r="K807" s="83"/>
      <c r="L807" s="83"/>
      <c r="M807" s="83"/>
      <c r="N807" s="83"/>
      <c r="O807" s="83"/>
      <c r="P807" s="83"/>
      <c r="Q807" s="83"/>
      <c r="R807" s="83"/>
      <c r="S807" s="83"/>
      <c r="T807" s="83"/>
      <c r="U807" s="83"/>
      <c r="V807" s="83"/>
      <c r="W807" s="83"/>
      <c r="X807" s="83"/>
      <c r="Y807" s="83"/>
      <c r="Z807" s="83"/>
      <c r="AA807" s="83"/>
      <c r="AB807" s="83"/>
      <c r="AC807" s="83"/>
      <c r="AD807" s="83"/>
      <c r="AE807" s="83"/>
      <c r="AF807" s="83"/>
      <c r="AG807" s="83"/>
      <c r="AH807" s="83"/>
      <c r="AI807" s="83"/>
      <c r="AJ807" s="83"/>
      <c r="AK807" s="83"/>
      <c r="AL807" s="83"/>
      <c r="AM807" s="83"/>
      <c r="AN807" s="83"/>
      <c r="AO807" s="83"/>
      <c r="AP807" s="83"/>
      <c r="AQ807" s="83"/>
      <c r="AR807" s="83"/>
      <c r="AS807" s="83"/>
      <c r="AT807" s="83"/>
    </row>
    <row r="808" spans="1:46" ht="13.8">
      <c r="A808" s="83"/>
      <c r="B808" s="83"/>
      <c r="C808" s="83"/>
      <c r="D808" s="83"/>
      <c r="E808" s="82"/>
      <c r="F808" s="82"/>
      <c r="G808" s="83"/>
      <c r="H808" s="83"/>
      <c r="I808" s="83"/>
      <c r="J808" s="83"/>
      <c r="K808" s="83"/>
      <c r="L808" s="83"/>
      <c r="M808" s="83"/>
      <c r="N808" s="83"/>
      <c r="O808" s="83"/>
      <c r="P808" s="83"/>
      <c r="Q808" s="83"/>
      <c r="R808" s="83"/>
      <c r="S808" s="83"/>
      <c r="T808" s="83"/>
      <c r="U808" s="83"/>
      <c r="V808" s="83"/>
      <c r="W808" s="83"/>
      <c r="X808" s="83"/>
      <c r="Y808" s="83"/>
      <c r="Z808" s="83"/>
      <c r="AA808" s="83"/>
      <c r="AB808" s="83"/>
      <c r="AC808" s="83"/>
      <c r="AD808" s="83"/>
      <c r="AE808" s="83"/>
      <c r="AF808" s="83"/>
      <c r="AG808" s="83"/>
      <c r="AH808" s="83"/>
      <c r="AI808" s="83"/>
      <c r="AJ808" s="83"/>
      <c r="AK808" s="83"/>
      <c r="AL808" s="83"/>
      <c r="AM808" s="83"/>
      <c r="AN808" s="83"/>
      <c r="AO808" s="83"/>
      <c r="AP808" s="83"/>
      <c r="AQ808" s="83"/>
      <c r="AR808" s="83"/>
      <c r="AS808" s="83"/>
      <c r="AT808" s="83"/>
    </row>
    <row r="809" spans="1:46" ht="13.8">
      <c r="A809" s="83"/>
      <c r="B809" s="83"/>
      <c r="C809" s="83"/>
      <c r="D809" s="83"/>
      <c r="E809" s="82"/>
      <c r="F809" s="82"/>
      <c r="G809" s="83"/>
      <c r="H809" s="83"/>
      <c r="I809" s="83"/>
      <c r="J809" s="83"/>
      <c r="K809" s="83"/>
      <c r="L809" s="83"/>
      <c r="M809" s="83"/>
      <c r="N809" s="83"/>
      <c r="O809" s="83"/>
      <c r="P809" s="83"/>
      <c r="Q809" s="83"/>
      <c r="R809" s="83"/>
      <c r="S809" s="83"/>
      <c r="T809" s="83"/>
      <c r="U809" s="83"/>
      <c r="V809" s="83"/>
      <c r="W809" s="83"/>
      <c r="X809" s="83"/>
      <c r="Y809" s="83"/>
      <c r="Z809" s="83"/>
      <c r="AA809" s="83"/>
      <c r="AB809" s="83"/>
      <c r="AC809" s="83"/>
      <c r="AD809" s="83"/>
      <c r="AE809" s="83"/>
      <c r="AF809" s="83"/>
      <c r="AG809" s="83"/>
      <c r="AH809" s="83"/>
      <c r="AI809" s="83"/>
      <c r="AJ809" s="83"/>
      <c r="AK809" s="83"/>
      <c r="AL809" s="83"/>
      <c r="AM809" s="83"/>
      <c r="AN809" s="83"/>
      <c r="AO809" s="83"/>
      <c r="AP809" s="83"/>
      <c r="AQ809" s="83"/>
      <c r="AR809" s="83"/>
      <c r="AS809" s="83"/>
      <c r="AT809" s="83"/>
    </row>
    <row r="810" spans="1:46" ht="13.8">
      <c r="A810" s="83"/>
      <c r="B810" s="83"/>
      <c r="C810" s="83"/>
      <c r="D810" s="83"/>
      <c r="E810" s="82"/>
      <c r="F810" s="82"/>
      <c r="G810" s="83"/>
      <c r="H810" s="83"/>
      <c r="I810" s="83"/>
      <c r="J810" s="83"/>
      <c r="K810" s="83"/>
      <c r="L810" s="83"/>
      <c r="M810" s="83"/>
      <c r="N810" s="83"/>
      <c r="O810" s="83"/>
      <c r="P810" s="83"/>
      <c r="Q810" s="83"/>
      <c r="R810" s="83"/>
      <c r="S810" s="83"/>
      <c r="T810" s="83"/>
      <c r="U810" s="83"/>
      <c r="V810" s="83"/>
      <c r="W810" s="83"/>
      <c r="X810" s="83"/>
      <c r="Y810" s="83"/>
      <c r="Z810" s="83"/>
      <c r="AA810" s="83"/>
      <c r="AB810" s="83"/>
      <c r="AC810" s="83"/>
      <c r="AD810" s="83"/>
      <c r="AE810" s="83"/>
      <c r="AF810" s="83"/>
      <c r="AG810" s="83"/>
      <c r="AH810" s="83"/>
      <c r="AI810" s="83"/>
      <c r="AJ810" s="83"/>
      <c r="AK810" s="83"/>
      <c r="AL810" s="83"/>
      <c r="AM810" s="83"/>
      <c r="AN810" s="83"/>
      <c r="AO810" s="83"/>
      <c r="AP810" s="83"/>
      <c r="AQ810" s="83"/>
      <c r="AR810" s="83"/>
      <c r="AS810" s="83"/>
      <c r="AT810" s="83"/>
    </row>
    <row r="811" spans="1:46" ht="13.8">
      <c r="A811" s="83"/>
      <c r="B811" s="83"/>
      <c r="C811" s="83"/>
      <c r="D811" s="83"/>
      <c r="E811" s="82"/>
      <c r="F811" s="82"/>
      <c r="G811" s="83"/>
      <c r="H811" s="83"/>
      <c r="I811" s="83"/>
      <c r="J811" s="83"/>
      <c r="K811" s="83"/>
      <c r="L811" s="83"/>
      <c r="M811" s="83"/>
      <c r="N811" s="83"/>
      <c r="O811" s="83"/>
      <c r="P811" s="83"/>
      <c r="Q811" s="83"/>
      <c r="R811" s="83"/>
      <c r="S811" s="83"/>
      <c r="T811" s="83"/>
      <c r="U811" s="83"/>
      <c r="V811" s="83"/>
      <c r="W811" s="83"/>
      <c r="X811" s="83"/>
      <c r="Y811" s="83"/>
      <c r="Z811" s="83"/>
      <c r="AA811" s="83"/>
      <c r="AB811" s="83"/>
      <c r="AC811" s="83"/>
      <c r="AD811" s="83"/>
      <c r="AE811" s="83"/>
      <c r="AF811" s="83"/>
      <c r="AG811" s="83"/>
      <c r="AH811" s="83"/>
      <c r="AI811" s="83"/>
      <c r="AJ811" s="83"/>
      <c r="AK811" s="83"/>
      <c r="AL811" s="83"/>
      <c r="AM811" s="83"/>
      <c r="AN811" s="83"/>
      <c r="AO811" s="83"/>
      <c r="AP811" s="83"/>
      <c r="AQ811" s="83"/>
      <c r="AR811" s="83"/>
      <c r="AS811" s="83"/>
      <c r="AT811" s="83"/>
    </row>
    <row r="812" spans="1:46" ht="13.8">
      <c r="A812" s="83"/>
      <c r="B812" s="83"/>
      <c r="C812" s="83"/>
      <c r="D812" s="83"/>
      <c r="E812" s="82"/>
      <c r="F812" s="82"/>
      <c r="G812" s="83"/>
      <c r="H812" s="83"/>
      <c r="I812" s="83"/>
      <c r="J812" s="83"/>
      <c r="K812" s="83"/>
      <c r="L812" s="83"/>
      <c r="M812" s="83"/>
      <c r="N812" s="83"/>
      <c r="O812" s="83"/>
      <c r="P812" s="83"/>
      <c r="Q812" s="83"/>
      <c r="R812" s="83"/>
      <c r="S812" s="83"/>
      <c r="T812" s="83"/>
      <c r="U812" s="83"/>
      <c r="V812" s="83"/>
      <c r="W812" s="83"/>
      <c r="X812" s="83"/>
      <c r="Y812" s="83"/>
      <c r="Z812" s="83"/>
      <c r="AA812" s="83"/>
      <c r="AB812" s="83"/>
      <c r="AC812" s="83"/>
      <c r="AD812" s="83"/>
      <c r="AE812" s="83"/>
      <c r="AF812" s="83"/>
      <c r="AG812" s="83"/>
      <c r="AH812" s="83"/>
      <c r="AI812" s="83"/>
      <c r="AJ812" s="83"/>
      <c r="AK812" s="83"/>
      <c r="AL812" s="83"/>
      <c r="AM812" s="83"/>
      <c r="AN812" s="83"/>
      <c r="AO812" s="83"/>
      <c r="AP812" s="83"/>
      <c r="AQ812" s="83"/>
      <c r="AR812" s="83"/>
      <c r="AS812" s="83"/>
      <c r="AT812" s="83"/>
    </row>
    <row r="813" spans="1:46" ht="13.8">
      <c r="A813" s="83"/>
      <c r="B813" s="83"/>
      <c r="C813" s="83"/>
      <c r="D813" s="83"/>
      <c r="E813" s="82"/>
      <c r="F813" s="82"/>
      <c r="G813" s="83"/>
      <c r="H813" s="83"/>
      <c r="I813" s="83"/>
      <c r="J813" s="83"/>
      <c r="K813" s="83"/>
      <c r="L813" s="83"/>
      <c r="M813" s="83"/>
      <c r="N813" s="83"/>
      <c r="O813" s="83"/>
      <c r="P813" s="83"/>
      <c r="Q813" s="83"/>
      <c r="R813" s="83"/>
      <c r="S813" s="83"/>
      <c r="T813" s="83"/>
      <c r="U813" s="83"/>
      <c r="V813" s="83"/>
      <c r="W813" s="83"/>
      <c r="X813" s="83"/>
      <c r="Y813" s="83"/>
      <c r="Z813" s="83"/>
      <c r="AA813" s="83"/>
      <c r="AB813" s="83"/>
      <c r="AC813" s="83"/>
      <c r="AD813" s="83"/>
      <c r="AE813" s="83"/>
      <c r="AF813" s="83"/>
      <c r="AG813" s="83"/>
      <c r="AH813" s="83"/>
      <c r="AI813" s="83"/>
      <c r="AJ813" s="83"/>
      <c r="AK813" s="83"/>
      <c r="AL813" s="83"/>
      <c r="AM813" s="83"/>
      <c r="AN813" s="83"/>
      <c r="AO813" s="83"/>
      <c r="AP813" s="83"/>
      <c r="AQ813" s="83"/>
      <c r="AR813" s="83"/>
      <c r="AS813" s="83"/>
      <c r="AT813" s="83"/>
    </row>
    <row r="814" spans="1:46" ht="13.8">
      <c r="A814" s="83"/>
      <c r="B814" s="83"/>
      <c r="C814" s="83"/>
      <c r="D814" s="83"/>
      <c r="E814" s="82"/>
      <c r="F814" s="82"/>
      <c r="G814" s="83"/>
      <c r="H814" s="83"/>
      <c r="I814" s="83"/>
      <c r="J814" s="83"/>
      <c r="K814" s="83"/>
      <c r="L814" s="83"/>
      <c r="M814" s="83"/>
      <c r="N814" s="83"/>
      <c r="O814" s="83"/>
      <c r="P814" s="83"/>
      <c r="Q814" s="83"/>
      <c r="R814" s="83"/>
      <c r="S814" s="83"/>
      <c r="T814" s="83"/>
      <c r="U814" s="83"/>
      <c r="V814" s="83"/>
      <c r="W814" s="83"/>
      <c r="X814" s="83"/>
      <c r="Y814" s="83"/>
      <c r="Z814" s="83"/>
      <c r="AA814" s="83"/>
      <c r="AB814" s="83"/>
      <c r="AC814" s="83"/>
      <c r="AD814" s="83"/>
      <c r="AE814" s="83"/>
      <c r="AF814" s="83"/>
      <c r="AG814" s="83"/>
      <c r="AH814" s="83"/>
      <c r="AI814" s="83"/>
      <c r="AJ814" s="83"/>
      <c r="AK814" s="83"/>
      <c r="AL814" s="83"/>
      <c r="AM814" s="83"/>
      <c r="AN814" s="83"/>
      <c r="AO814" s="83"/>
      <c r="AP814" s="83"/>
      <c r="AQ814" s="83"/>
      <c r="AR814" s="83"/>
      <c r="AS814" s="83"/>
      <c r="AT814" s="83"/>
    </row>
    <row r="815" spans="1:46" ht="13.8">
      <c r="A815" s="83"/>
      <c r="B815" s="83"/>
      <c r="C815" s="83"/>
      <c r="D815" s="83"/>
      <c r="E815" s="82"/>
      <c r="F815" s="82"/>
      <c r="G815" s="83"/>
      <c r="H815" s="83"/>
      <c r="I815" s="83"/>
      <c r="J815" s="83"/>
      <c r="K815" s="83"/>
      <c r="L815" s="83"/>
      <c r="M815" s="83"/>
      <c r="N815" s="83"/>
      <c r="O815" s="83"/>
      <c r="P815" s="83"/>
      <c r="Q815" s="83"/>
      <c r="R815" s="83"/>
      <c r="S815" s="83"/>
      <c r="T815" s="83"/>
      <c r="U815" s="83"/>
      <c r="V815" s="83"/>
      <c r="W815" s="83"/>
      <c r="X815" s="83"/>
      <c r="Y815" s="83"/>
      <c r="Z815" s="83"/>
      <c r="AA815" s="83"/>
      <c r="AB815" s="83"/>
      <c r="AC815" s="83"/>
      <c r="AD815" s="83"/>
      <c r="AE815" s="83"/>
      <c r="AF815" s="83"/>
      <c r="AG815" s="83"/>
      <c r="AH815" s="83"/>
      <c r="AI815" s="83"/>
      <c r="AJ815" s="83"/>
      <c r="AK815" s="83"/>
      <c r="AL815" s="83"/>
      <c r="AM815" s="83"/>
      <c r="AN815" s="83"/>
      <c r="AO815" s="83"/>
      <c r="AP815" s="83"/>
      <c r="AQ815" s="83"/>
      <c r="AR815" s="83"/>
      <c r="AS815" s="83"/>
      <c r="AT815" s="83"/>
    </row>
    <row r="816" spans="1:46" ht="13.8">
      <c r="A816" s="83"/>
      <c r="B816" s="83"/>
      <c r="C816" s="83"/>
      <c r="D816" s="83"/>
      <c r="E816" s="82"/>
      <c r="F816" s="82"/>
      <c r="G816" s="83"/>
      <c r="H816" s="83"/>
      <c r="I816" s="83"/>
      <c r="J816" s="83"/>
      <c r="K816" s="83"/>
      <c r="L816" s="83"/>
      <c r="M816" s="83"/>
      <c r="N816" s="83"/>
      <c r="O816" s="83"/>
      <c r="P816" s="83"/>
      <c r="Q816" s="83"/>
      <c r="R816" s="83"/>
      <c r="S816" s="83"/>
      <c r="T816" s="83"/>
      <c r="U816" s="83"/>
      <c r="V816" s="83"/>
      <c r="W816" s="83"/>
      <c r="X816" s="83"/>
      <c r="Y816" s="83"/>
      <c r="Z816" s="83"/>
      <c r="AA816" s="83"/>
      <c r="AB816" s="83"/>
      <c r="AC816" s="83"/>
      <c r="AD816" s="83"/>
      <c r="AE816" s="83"/>
      <c r="AF816" s="83"/>
      <c r="AG816" s="83"/>
      <c r="AH816" s="83"/>
      <c r="AI816" s="83"/>
      <c r="AJ816" s="83"/>
      <c r="AK816" s="83"/>
      <c r="AL816" s="83"/>
      <c r="AM816" s="83"/>
      <c r="AN816" s="83"/>
      <c r="AO816" s="83"/>
      <c r="AP816" s="83"/>
      <c r="AQ816" s="83"/>
      <c r="AR816" s="83"/>
      <c r="AS816" s="83"/>
      <c r="AT816" s="83"/>
    </row>
    <row r="817" spans="1:46" ht="13.8">
      <c r="A817" s="83"/>
      <c r="B817" s="83"/>
      <c r="C817" s="83"/>
      <c r="D817" s="83"/>
      <c r="E817" s="82"/>
      <c r="F817" s="82"/>
      <c r="G817" s="83"/>
      <c r="H817" s="83"/>
      <c r="I817" s="83"/>
      <c r="J817" s="83"/>
      <c r="K817" s="83"/>
      <c r="L817" s="83"/>
      <c r="M817" s="83"/>
      <c r="N817" s="83"/>
      <c r="O817" s="83"/>
      <c r="P817" s="83"/>
      <c r="Q817" s="83"/>
      <c r="R817" s="83"/>
      <c r="S817" s="83"/>
      <c r="T817" s="83"/>
      <c r="U817" s="83"/>
      <c r="V817" s="83"/>
      <c r="W817" s="83"/>
      <c r="X817" s="83"/>
      <c r="Y817" s="83"/>
      <c r="Z817" s="83"/>
      <c r="AA817" s="83"/>
      <c r="AB817" s="83"/>
      <c r="AC817" s="83"/>
      <c r="AD817" s="83"/>
      <c r="AE817" s="83"/>
      <c r="AF817" s="83"/>
      <c r="AG817" s="83"/>
      <c r="AH817" s="83"/>
      <c r="AI817" s="83"/>
      <c r="AJ817" s="83"/>
      <c r="AK817" s="83"/>
      <c r="AL817" s="83"/>
      <c r="AM817" s="83"/>
      <c r="AN817" s="83"/>
      <c r="AO817" s="83"/>
      <c r="AP817" s="83"/>
      <c r="AQ817" s="83"/>
      <c r="AR817" s="83"/>
      <c r="AS817" s="83"/>
      <c r="AT817" s="83"/>
    </row>
    <row r="818" spans="1:46" ht="13.8">
      <c r="A818" s="83"/>
      <c r="B818" s="83"/>
      <c r="C818" s="83"/>
      <c r="D818" s="83"/>
      <c r="E818" s="82"/>
      <c r="F818" s="82"/>
      <c r="G818" s="83"/>
      <c r="H818" s="83"/>
      <c r="I818" s="83"/>
      <c r="J818" s="83"/>
      <c r="K818" s="83"/>
      <c r="L818" s="83"/>
      <c r="M818" s="83"/>
      <c r="N818" s="83"/>
      <c r="O818" s="83"/>
      <c r="P818" s="83"/>
      <c r="Q818" s="83"/>
      <c r="R818" s="83"/>
      <c r="S818" s="83"/>
      <c r="T818" s="83"/>
      <c r="U818" s="83"/>
      <c r="V818" s="83"/>
      <c r="W818" s="83"/>
      <c r="X818" s="83"/>
      <c r="Y818" s="83"/>
      <c r="Z818" s="83"/>
      <c r="AA818" s="83"/>
      <c r="AB818" s="83"/>
      <c r="AC818" s="83"/>
      <c r="AD818" s="83"/>
      <c r="AE818" s="83"/>
      <c r="AF818" s="83"/>
      <c r="AG818" s="83"/>
      <c r="AH818" s="83"/>
      <c r="AI818" s="83"/>
      <c r="AJ818" s="83"/>
      <c r="AK818" s="83"/>
      <c r="AL818" s="83"/>
      <c r="AM818" s="83"/>
      <c r="AN818" s="83"/>
      <c r="AO818" s="83"/>
      <c r="AP818" s="83"/>
      <c r="AQ818" s="83"/>
      <c r="AR818" s="83"/>
      <c r="AS818" s="83"/>
      <c r="AT818" s="83"/>
    </row>
    <row r="819" spans="1:46" ht="13.8">
      <c r="A819" s="83"/>
      <c r="B819" s="83"/>
      <c r="C819" s="83"/>
      <c r="D819" s="83"/>
      <c r="E819" s="82"/>
      <c r="F819" s="82"/>
      <c r="G819" s="83"/>
      <c r="H819" s="83"/>
      <c r="I819" s="83"/>
      <c r="J819" s="83"/>
      <c r="K819" s="83"/>
      <c r="L819" s="83"/>
      <c r="M819" s="83"/>
      <c r="N819" s="83"/>
      <c r="O819" s="83"/>
      <c r="P819" s="83"/>
      <c r="Q819" s="83"/>
      <c r="R819" s="83"/>
      <c r="S819" s="83"/>
      <c r="T819" s="83"/>
      <c r="U819" s="83"/>
      <c r="V819" s="83"/>
      <c r="W819" s="83"/>
      <c r="X819" s="83"/>
      <c r="Y819" s="83"/>
      <c r="Z819" s="83"/>
      <c r="AA819" s="83"/>
      <c r="AB819" s="83"/>
      <c r="AC819" s="83"/>
      <c r="AD819" s="83"/>
      <c r="AE819" s="83"/>
      <c r="AF819" s="83"/>
      <c r="AG819" s="83"/>
      <c r="AH819" s="83"/>
      <c r="AI819" s="83"/>
      <c r="AJ819" s="83"/>
      <c r="AK819" s="83"/>
      <c r="AL819" s="83"/>
      <c r="AM819" s="83"/>
      <c r="AN819" s="83"/>
      <c r="AO819" s="83"/>
      <c r="AP819" s="83"/>
      <c r="AQ819" s="83"/>
      <c r="AR819" s="83"/>
      <c r="AS819" s="83"/>
      <c r="AT819" s="83"/>
    </row>
    <row r="820" spans="1:46" ht="13.8">
      <c r="A820" s="83"/>
      <c r="B820" s="83"/>
      <c r="C820" s="83"/>
      <c r="D820" s="83"/>
      <c r="E820" s="82"/>
      <c r="F820" s="82"/>
      <c r="G820" s="83"/>
      <c r="H820" s="83"/>
      <c r="I820" s="83"/>
      <c r="J820" s="83"/>
      <c r="K820" s="83"/>
      <c r="L820" s="83"/>
      <c r="M820" s="83"/>
      <c r="N820" s="83"/>
      <c r="O820" s="83"/>
      <c r="P820" s="83"/>
      <c r="Q820" s="83"/>
      <c r="R820" s="83"/>
      <c r="S820" s="83"/>
      <c r="T820" s="83"/>
      <c r="U820" s="83"/>
      <c r="V820" s="83"/>
      <c r="W820" s="83"/>
      <c r="X820" s="83"/>
      <c r="Y820" s="83"/>
      <c r="Z820" s="83"/>
      <c r="AA820" s="83"/>
      <c r="AB820" s="83"/>
      <c r="AC820" s="83"/>
      <c r="AD820" s="83"/>
      <c r="AE820" s="83"/>
      <c r="AF820" s="83"/>
      <c r="AG820" s="83"/>
      <c r="AH820" s="83"/>
      <c r="AI820" s="83"/>
      <c r="AJ820" s="83"/>
      <c r="AK820" s="83"/>
      <c r="AL820" s="83"/>
      <c r="AM820" s="83"/>
      <c r="AN820" s="83"/>
      <c r="AO820" s="83"/>
      <c r="AP820" s="83"/>
      <c r="AQ820" s="83"/>
      <c r="AR820" s="83"/>
      <c r="AS820" s="83"/>
      <c r="AT820" s="83"/>
    </row>
    <row r="821" spans="1:46" ht="13.8">
      <c r="A821" s="83"/>
      <c r="B821" s="83"/>
      <c r="C821" s="83"/>
      <c r="D821" s="83"/>
      <c r="E821" s="82"/>
      <c r="F821" s="82"/>
      <c r="G821" s="83"/>
      <c r="H821" s="83"/>
      <c r="I821" s="83"/>
      <c r="J821" s="83"/>
      <c r="K821" s="83"/>
      <c r="L821" s="83"/>
      <c r="M821" s="83"/>
      <c r="N821" s="83"/>
      <c r="O821" s="83"/>
      <c r="P821" s="83"/>
      <c r="Q821" s="83"/>
      <c r="R821" s="83"/>
      <c r="S821" s="83"/>
      <c r="T821" s="83"/>
      <c r="U821" s="83"/>
      <c r="V821" s="83"/>
      <c r="W821" s="83"/>
      <c r="X821" s="83"/>
      <c r="Y821" s="83"/>
      <c r="Z821" s="83"/>
      <c r="AA821" s="83"/>
      <c r="AB821" s="83"/>
      <c r="AC821" s="83"/>
      <c r="AD821" s="83"/>
      <c r="AE821" s="83"/>
      <c r="AF821" s="83"/>
      <c r="AG821" s="83"/>
      <c r="AH821" s="83"/>
      <c r="AI821" s="83"/>
      <c r="AJ821" s="83"/>
      <c r="AK821" s="83"/>
      <c r="AL821" s="83"/>
      <c r="AM821" s="83"/>
      <c r="AN821" s="83"/>
      <c r="AO821" s="83"/>
      <c r="AP821" s="83"/>
      <c r="AQ821" s="83"/>
      <c r="AR821" s="83"/>
      <c r="AS821" s="83"/>
      <c r="AT821" s="83"/>
    </row>
    <row r="822" spans="1:46" ht="13.8">
      <c r="A822" s="83"/>
      <c r="B822" s="83"/>
      <c r="C822" s="83"/>
      <c r="D822" s="83"/>
      <c r="E822" s="82"/>
      <c r="F822" s="82"/>
      <c r="G822" s="83"/>
      <c r="H822" s="83"/>
      <c r="I822" s="83"/>
      <c r="J822" s="83"/>
      <c r="K822" s="83"/>
      <c r="L822" s="83"/>
      <c r="M822" s="83"/>
      <c r="N822" s="83"/>
      <c r="O822" s="83"/>
      <c r="P822" s="83"/>
      <c r="Q822" s="83"/>
      <c r="R822" s="83"/>
      <c r="S822" s="83"/>
      <c r="T822" s="83"/>
      <c r="U822" s="83"/>
      <c r="V822" s="83"/>
      <c r="W822" s="83"/>
      <c r="X822" s="83"/>
      <c r="Y822" s="83"/>
      <c r="Z822" s="83"/>
      <c r="AA822" s="83"/>
      <c r="AB822" s="83"/>
      <c r="AC822" s="83"/>
      <c r="AD822" s="83"/>
      <c r="AE822" s="83"/>
      <c r="AF822" s="83"/>
      <c r="AG822" s="83"/>
      <c r="AH822" s="83"/>
      <c r="AI822" s="83"/>
      <c r="AJ822" s="83"/>
      <c r="AK822" s="83"/>
      <c r="AL822" s="83"/>
      <c r="AM822" s="83"/>
      <c r="AN822" s="83"/>
      <c r="AO822" s="83"/>
      <c r="AP822" s="83"/>
      <c r="AQ822" s="83"/>
      <c r="AR822" s="83"/>
      <c r="AS822" s="83"/>
      <c r="AT822" s="83"/>
    </row>
    <row r="823" spans="1:46" ht="13.8">
      <c r="A823" s="83"/>
      <c r="B823" s="83"/>
      <c r="C823" s="83"/>
      <c r="D823" s="83"/>
      <c r="E823" s="82"/>
      <c r="F823" s="82"/>
      <c r="G823" s="83"/>
      <c r="H823" s="83"/>
      <c r="I823" s="83"/>
      <c r="J823" s="83"/>
      <c r="K823" s="83"/>
      <c r="L823" s="83"/>
      <c r="M823" s="83"/>
      <c r="N823" s="83"/>
      <c r="O823" s="83"/>
      <c r="P823" s="83"/>
      <c r="Q823" s="83"/>
      <c r="R823" s="83"/>
      <c r="S823" s="83"/>
      <c r="T823" s="83"/>
      <c r="U823" s="83"/>
      <c r="V823" s="83"/>
      <c r="W823" s="83"/>
      <c r="X823" s="83"/>
      <c r="Y823" s="83"/>
      <c r="Z823" s="83"/>
      <c r="AA823" s="83"/>
      <c r="AB823" s="83"/>
      <c r="AC823" s="83"/>
      <c r="AD823" s="83"/>
      <c r="AE823" s="83"/>
      <c r="AF823" s="83"/>
      <c r="AG823" s="83"/>
      <c r="AH823" s="83"/>
      <c r="AI823" s="83"/>
      <c r="AJ823" s="83"/>
      <c r="AK823" s="83"/>
      <c r="AL823" s="83"/>
      <c r="AM823" s="83"/>
      <c r="AN823" s="83"/>
      <c r="AO823" s="83"/>
      <c r="AP823" s="83"/>
      <c r="AQ823" s="83"/>
      <c r="AR823" s="83"/>
      <c r="AS823" s="83"/>
      <c r="AT823" s="83"/>
    </row>
    <row r="824" spans="1:46" ht="13.8">
      <c r="A824" s="83"/>
      <c r="B824" s="83"/>
      <c r="C824" s="83"/>
      <c r="D824" s="83"/>
      <c r="E824" s="82"/>
      <c r="F824" s="82"/>
      <c r="G824" s="83"/>
      <c r="H824" s="83"/>
      <c r="I824" s="83"/>
      <c r="J824" s="83"/>
      <c r="K824" s="83"/>
      <c r="L824" s="83"/>
      <c r="M824" s="83"/>
      <c r="N824" s="83"/>
      <c r="O824" s="83"/>
      <c r="P824" s="83"/>
      <c r="Q824" s="83"/>
      <c r="R824" s="83"/>
      <c r="S824" s="83"/>
      <c r="T824" s="83"/>
      <c r="U824" s="83"/>
      <c r="V824" s="83"/>
      <c r="W824" s="83"/>
      <c r="X824" s="83"/>
      <c r="Y824" s="83"/>
      <c r="Z824" s="83"/>
      <c r="AA824" s="83"/>
      <c r="AB824" s="83"/>
      <c r="AC824" s="83"/>
      <c r="AD824" s="83"/>
      <c r="AE824" s="83"/>
      <c r="AF824" s="83"/>
      <c r="AG824" s="83"/>
      <c r="AH824" s="83"/>
      <c r="AI824" s="83"/>
      <c r="AJ824" s="83"/>
      <c r="AK824" s="83"/>
      <c r="AL824" s="83"/>
      <c r="AM824" s="83"/>
      <c r="AN824" s="83"/>
      <c r="AO824" s="83"/>
      <c r="AP824" s="83"/>
      <c r="AQ824" s="83"/>
      <c r="AR824" s="83"/>
      <c r="AS824" s="83"/>
      <c r="AT824" s="83"/>
    </row>
    <row r="825" spans="1:46" ht="13.8">
      <c r="A825" s="83"/>
      <c r="B825" s="83"/>
      <c r="C825" s="83"/>
      <c r="D825" s="83"/>
      <c r="E825" s="82"/>
      <c r="F825" s="82"/>
      <c r="G825" s="83"/>
      <c r="H825" s="83"/>
      <c r="I825" s="83"/>
      <c r="J825" s="83"/>
      <c r="K825" s="83"/>
      <c r="L825" s="83"/>
      <c r="M825" s="83"/>
      <c r="N825" s="83"/>
      <c r="O825" s="83"/>
      <c r="P825" s="83"/>
      <c r="Q825" s="83"/>
      <c r="R825" s="83"/>
      <c r="S825" s="83"/>
      <c r="T825" s="83"/>
      <c r="U825" s="83"/>
      <c r="V825" s="83"/>
      <c r="W825" s="83"/>
      <c r="X825" s="83"/>
      <c r="Y825" s="83"/>
      <c r="Z825" s="83"/>
      <c r="AA825" s="83"/>
      <c r="AB825" s="83"/>
      <c r="AC825" s="83"/>
      <c r="AD825" s="83"/>
      <c r="AE825" s="83"/>
      <c r="AF825" s="83"/>
      <c r="AG825" s="83"/>
      <c r="AH825" s="83"/>
      <c r="AI825" s="83"/>
      <c r="AJ825" s="83"/>
      <c r="AK825" s="83"/>
      <c r="AL825" s="83"/>
      <c r="AM825" s="83"/>
      <c r="AN825" s="83"/>
      <c r="AO825" s="83"/>
      <c r="AP825" s="83"/>
      <c r="AQ825" s="83"/>
      <c r="AR825" s="83"/>
      <c r="AS825" s="83"/>
      <c r="AT825" s="83"/>
    </row>
    <row r="826" spans="1:46" ht="13.8">
      <c r="A826" s="83"/>
      <c r="B826" s="83"/>
      <c r="C826" s="83"/>
      <c r="D826" s="83"/>
      <c r="E826" s="82"/>
      <c r="F826" s="82"/>
      <c r="G826" s="83"/>
      <c r="H826" s="83"/>
      <c r="I826" s="83"/>
      <c r="J826" s="83"/>
      <c r="K826" s="83"/>
      <c r="L826" s="83"/>
      <c r="M826" s="83"/>
      <c r="N826" s="83"/>
      <c r="O826" s="83"/>
      <c r="P826" s="83"/>
      <c r="Q826" s="83"/>
      <c r="R826" s="83"/>
      <c r="S826" s="83"/>
      <c r="T826" s="83"/>
      <c r="U826" s="83"/>
      <c r="V826" s="83"/>
      <c r="W826" s="83"/>
      <c r="X826" s="83"/>
      <c r="Y826" s="83"/>
      <c r="Z826" s="83"/>
      <c r="AA826" s="83"/>
      <c r="AB826" s="83"/>
      <c r="AC826" s="83"/>
      <c r="AD826" s="83"/>
      <c r="AE826" s="83"/>
      <c r="AF826" s="83"/>
      <c r="AG826" s="83"/>
      <c r="AH826" s="83"/>
      <c r="AI826" s="83"/>
      <c r="AJ826" s="83"/>
      <c r="AK826" s="83"/>
      <c r="AL826" s="83"/>
      <c r="AM826" s="83"/>
      <c r="AN826" s="83"/>
      <c r="AO826" s="83"/>
      <c r="AP826" s="83"/>
      <c r="AQ826" s="83"/>
      <c r="AR826" s="83"/>
      <c r="AS826" s="83"/>
      <c r="AT826" s="83"/>
    </row>
    <row r="827" spans="1:46" ht="13.8">
      <c r="A827" s="83"/>
      <c r="B827" s="83"/>
      <c r="C827" s="83"/>
      <c r="D827" s="83"/>
      <c r="E827" s="82"/>
      <c r="F827" s="82"/>
      <c r="G827" s="83"/>
      <c r="H827" s="83"/>
      <c r="I827" s="83"/>
      <c r="J827" s="83"/>
      <c r="K827" s="83"/>
      <c r="L827" s="83"/>
      <c r="M827" s="83"/>
      <c r="N827" s="83"/>
      <c r="O827" s="83"/>
      <c r="P827" s="83"/>
      <c r="Q827" s="83"/>
      <c r="R827" s="83"/>
      <c r="S827" s="83"/>
      <c r="T827" s="83"/>
      <c r="U827" s="83"/>
      <c r="V827" s="83"/>
      <c r="W827" s="83"/>
      <c r="X827" s="83"/>
      <c r="Y827" s="83"/>
      <c r="Z827" s="83"/>
      <c r="AA827" s="83"/>
      <c r="AB827" s="83"/>
      <c r="AC827" s="83"/>
      <c r="AD827" s="83"/>
      <c r="AE827" s="83"/>
      <c r="AF827" s="83"/>
      <c r="AG827" s="83"/>
      <c r="AH827" s="83"/>
      <c r="AI827" s="83"/>
      <c r="AJ827" s="83"/>
      <c r="AK827" s="83"/>
      <c r="AL827" s="83"/>
      <c r="AM827" s="83"/>
      <c r="AN827" s="83"/>
      <c r="AO827" s="83"/>
      <c r="AP827" s="83"/>
      <c r="AQ827" s="83"/>
      <c r="AR827" s="83"/>
      <c r="AS827" s="83"/>
      <c r="AT827" s="83"/>
    </row>
    <row r="828" spans="1:46" ht="13.8">
      <c r="A828" s="83"/>
      <c r="B828" s="83"/>
      <c r="C828" s="83"/>
      <c r="D828" s="83"/>
      <c r="E828" s="82"/>
      <c r="F828" s="82"/>
      <c r="G828" s="83"/>
      <c r="H828" s="83"/>
      <c r="I828" s="83"/>
      <c r="J828" s="83"/>
      <c r="K828" s="83"/>
      <c r="L828" s="83"/>
      <c r="M828" s="83"/>
      <c r="N828" s="83"/>
      <c r="O828" s="83"/>
      <c r="P828" s="83"/>
      <c r="Q828" s="83"/>
      <c r="R828" s="83"/>
      <c r="S828" s="83"/>
      <c r="T828" s="83"/>
      <c r="U828" s="83"/>
      <c r="V828" s="83"/>
      <c r="W828" s="83"/>
      <c r="X828" s="83"/>
      <c r="Y828" s="83"/>
      <c r="Z828" s="83"/>
      <c r="AA828" s="83"/>
      <c r="AB828" s="83"/>
      <c r="AC828" s="83"/>
      <c r="AD828" s="83"/>
      <c r="AE828" s="83"/>
      <c r="AF828" s="83"/>
      <c r="AG828" s="83"/>
      <c r="AH828" s="83"/>
      <c r="AI828" s="83"/>
      <c r="AJ828" s="83"/>
      <c r="AK828" s="83"/>
      <c r="AL828" s="83"/>
      <c r="AM828" s="83"/>
      <c r="AN828" s="83"/>
      <c r="AO828" s="83"/>
      <c r="AP828" s="83"/>
      <c r="AQ828" s="83"/>
      <c r="AR828" s="83"/>
      <c r="AS828" s="83"/>
      <c r="AT828" s="83"/>
    </row>
    <row r="829" spans="1:46" ht="13.8">
      <c r="A829" s="83"/>
      <c r="B829" s="83"/>
      <c r="C829" s="83"/>
      <c r="D829" s="83"/>
      <c r="E829" s="82"/>
      <c r="F829" s="82"/>
      <c r="G829" s="83"/>
      <c r="H829" s="83"/>
      <c r="I829" s="83"/>
      <c r="J829" s="83"/>
      <c r="K829" s="83"/>
      <c r="L829" s="83"/>
      <c r="M829" s="83"/>
      <c r="N829" s="83"/>
      <c r="O829" s="83"/>
      <c r="P829" s="83"/>
      <c r="Q829" s="83"/>
      <c r="R829" s="83"/>
      <c r="S829" s="83"/>
      <c r="T829" s="83"/>
      <c r="U829" s="83"/>
      <c r="V829" s="83"/>
      <c r="W829" s="83"/>
      <c r="X829" s="83"/>
      <c r="Y829" s="83"/>
      <c r="Z829" s="83"/>
      <c r="AA829" s="83"/>
      <c r="AB829" s="83"/>
      <c r="AC829" s="83"/>
      <c r="AD829" s="83"/>
      <c r="AE829" s="83"/>
      <c r="AF829" s="83"/>
      <c r="AG829" s="83"/>
      <c r="AH829" s="83"/>
      <c r="AI829" s="83"/>
      <c r="AJ829" s="83"/>
      <c r="AK829" s="83"/>
      <c r="AL829" s="83"/>
      <c r="AM829" s="83"/>
      <c r="AN829" s="83"/>
      <c r="AO829" s="83"/>
      <c r="AP829" s="83"/>
      <c r="AQ829" s="83"/>
      <c r="AR829" s="83"/>
      <c r="AS829" s="83"/>
      <c r="AT829" s="83"/>
    </row>
    <row r="830" spans="1:46" ht="13.8">
      <c r="A830" s="83"/>
      <c r="B830" s="83"/>
      <c r="C830" s="83"/>
      <c r="D830" s="83"/>
      <c r="E830" s="82"/>
      <c r="F830" s="82"/>
      <c r="G830" s="83"/>
      <c r="H830" s="83"/>
      <c r="I830" s="83"/>
      <c r="J830" s="83"/>
      <c r="K830" s="83"/>
      <c r="L830" s="83"/>
      <c r="M830" s="83"/>
      <c r="N830" s="83"/>
      <c r="O830" s="83"/>
      <c r="P830" s="83"/>
      <c r="Q830" s="83"/>
      <c r="R830" s="83"/>
      <c r="S830" s="83"/>
      <c r="T830" s="83"/>
      <c r="U830" s="83"/>
      <c r="V830" s="83"/>
      <c r="W830" s="83"/>
      <c r="X830" s="83"/>
      <c r="Y830" s="83"/>
      <c r="Z830" s="83"/>
      <c r="AA830" s="83"/>
      <c r="AB830" s="83"/>
      <c r="AC830" s="83"/>
      <c r="AD830" s="83"/>
      <c r="AE830" s="83"/>
      <c r="AF830" s="83"/>
      <c r="AG830" s="83"/>
      <c r="AH830" s="83"/>
      <c r="AI830" s="83"/>
      <c r="AJ830" s="83"/>
      <c r="AK830" s="83"/>
      <c r="AL830" s="83"/>
      <c r="AM830" s="83"/>
      <c r="AN830" s="83"/>
      <c r="AO830" s="83"/>
      <c r="AP830" s="83"/>
      <c r="AQ830" s="83"/>
      <c r="AR830" s="83"/>
      <c r="AS830" s="83"/>
      <c r="AT830" s="83"/>
    </row>
    <row r="831" spans="1:46" ht="13.8">
      <c r="A831" s="83"/>
      <c r="B831" s="83"/>
      <c r="C831" s="83"/>
      <c r="D831" s="83"/>
      <c r="E831" s="82"/>
      <c r="F831" s="82"/>
      <c r="G831" s="83"/>
      <c r="H831" s="83"/>
      <c r="I831" s="83"/>
      <c r="J831" s="83"/>
      <c r="K831" s="83"/>
      <c r="L831" s="83"/>
      <c r="M831" s="83"/>
      <c r="N831" s="83"/>
      <c r="O831" s="83"/>
      <c r="P831" s="83"/>
      <c r="Q831" s="83"/>
      <c r="R831" s="83"/>
      <c r="S831" s="83"/>
      <c r="T831" s="83"/>
      <c r="U831" s="83"/>
      <c r="V831" s="83"/>
      <c r="W831" s="83"/>
      <c r="X831" s="83"/>
      <c r="Y831" s="83"/>
      <c r="Z831" s="83"/>
      <c r="AA831" s="83"/>
      <c r="AB831" s="83"/>
      <c r="AC831" s="83"/>
      <c r="AD831" s="83"/>
      <c r="AE831" s="83"/>
      <c r="AF831" s="83"/>
      <c r="AG831" s="83"/>
      <c r="AH831" s="83"/>
      <c r="AI831" s="83"/>
      <c r="AJ831" s="83"/>
      <c r="AK831" s="83"/>
      <c r="AL831" s="83"/>
      <c r="AM831" s="83"/>
      <c r="AN831" s="83"/>
      <c r="AO831" s="83"/>
      <c r="AP831" s="83"/>
      <c r="AQ831" s="83"/>
      <c r="AR831" s="83"/>
      <c r="AS831" s="83"/>
      <c r="AT831" s="83"/>
    </row>
    <row r="832" spans="1:46" ht="13.8">
      <c r="A832" s="83"/>
      <c r="B832" s="83"/>
      <c r="C832" s="83"/>
      <c r="D832" s="83"/>
      <c r="E832" s="82"/>
      <c r="F832" s="82"/>
      <c r="G832" s="83"/>
      <c r="H832" s="83"/>
      <c r="I832" s="83"/>
      <c r="J832" s="83"/>
      <c r="K832" s="83"/>
      <c r="L832" s="83"/>
      <c r="M832" s="83"/>
      <c r="N832" s="83"/>
      <c r="O832" s="83"/>
      <c r="P832" s="83"/>
      <c r="Q832" s="83"/>
      <c r="R832" s="83"/>
      <c r="S832" s="83"/>
      <c r="T832" s="83"/>
      <c r="U832" s="83"/>
      <c r="V832" s="83"/>
      <c r="W832" s="83"/>
      <c r="X832" s="83"/>
      <c r="Y832" s="83"/>
      <c r="Z832" s="83"/>
      <c r="AA832" s="83"/>
      <c r="AB832" s="83"/>
      <c r="AC832" s="83"/>
      <c r="AD832" s="83"/>
      <c r="AE832" s="83"/>
      <c r="AF832" s="83"/>
      <c r="AG832" s="83"/>
      <c r="AH832" s="83"/>
      <c r="AI832" s="83"/>
      <c r="AJ832" s="83"/>
      <c r="AK832" s="83"/>
      <c r="AL832" s="83"/>
      <c r="AM832" s="83"/>
      <c r="AN832" s="83"/>
      <c r="AO832" s="83"/>
      <c r="AP832" s="83"/>
      <c r="AQ832" s="83"/>
      <c r="AR832" s="83"/>
      <c r="AS832" s="83"/>
      <c r="AT832" s="83"/>
    </row>
    <row r="833" spans="1:46" ht="13.8">
      <c r="A833" s="83"/>
      <c r="B833" s="83"/>
      <c r="C833" s="83"/>
      <c r="D833" s="83"/>
      <c r="E833" s="82"/>
      <c r="F833" s="82"/>
      <c r="G833" s="83"/>
      <c r="H833" s="83"/>
      <c r="I833" s="83"/>
      <c r="J833" s="83"/>
      <c r="K833" s="83"/>
      <c r="L833" s="83"/>
      <c r="M833" s="83"/>
      <c r="N833" s="83"/>
      <c r="O833" s="83"/>
      <c r="P833" s="83"/>
      <c r="Q833" s="83"/>
      <c r="R833" s="83"/>
      <c r="S833" s="83"/>
      <c r="T833" s="83"/>
      <c r="U833" s="83"/>
      <c r="V833" s="83"/>
      <c r="W833" s="83"/>
      <c r="X833" s="83"/>
      <c r="Y833" s="83"/>
      <c r="Z833" s="83"/>
      <c r="AA833" s="83"/>
      <c r="AB833" s="83"/>
      <c r="AC833" s="83"/>
      <c r="AD833" s="83"/>
      <c r="AE833" s="83"/>
      <c r="AF833" s="83"/>
      <c r="AG833" s="83"/>
      <c r="AH833" s="83"/>
      <c r="AI833" s="83"/>
      <c r="AJ833" s="83"/>
      <c r="AK833" s="83"/>
      <c r="AL833" s="83"/>
      <c r="AM833" s="83"/>
      <c r="AN833" s="83"/>
      <c r="AO833" s="83"/>
      <c r="AP833" s="83"/>
      <c r="AQ833" s="83"/>
      <c r="AR833" s="83"/>
      <c r="AS833" s="83"/>
      <c r="AT833" s="83"/>
    </row>
    <row r="834" spans="1:46" ht="13.8">
      <c r="A834" s="83"/>
      <c r="B834" s="83"/>
      <c r="C834" s="83"/>
      <c r="D834" s="83"/>
      <c r="E834" s="82"/>
      <c r="F834" s="82"/>
      <c r="G834" s="83"/>
      <c r="H834" s="83"/>
      <c r="I834" s="83"/>
      <c r="J834" s="83"/>
      <c r="K834" s="83"/>
      <c r="L834" s="83"/>
      <c r="M834" s="83"/>
      <c r="N834" s="83"/>
      <c r="O834" s="83"/>
      <c r="P834" s="83"/>
      <c r="Q834" s="83"/>
      <c r="R834" s="83"/>
      <c r="S834" s="83"/>
      <c r="T834" s="83"/>
      <c r="U834" s="83"/>
      <c r="V834" s="83"/>
      <c r="W834" s="83"/>
      <c r="X834" s="83"/>
      <c r="Y834" s="83"/>
      <c r="Z834" s="83"/>
      <c r="AA834" s="83"/>
      <c r="AB834" s="83"/>
      <c r="AC834" s="83"/>
      <c r="AD834" s="83"/>
      <c r="AE834" s="83"/>
      <c r="AF834" s="83"/>
      <c r="AG834" s="83"/>
      <c r="AH834" s="83"/>
      <c r="AI834" s="83"/>
      <c r="AJ834" s="83"/>
      <c r="AK834" s="83"/>
      <c r="AL834" s="83"/>
      <c r="AM834" s="83"/>
      <c r="AN834" s="83"/>
      <c r="AO834" s="83"/>
      <c r="AP834" s="83"/>
      <c r="AQ834" s="83"/>
      <c r="AR834" s="83"/>
      <c r="AS834" s="83"/>
      <c r="AT834" s="83"/>
    </row>
    <row r="835" spans="1:46" ht="13.8">
      <c r="A835" s="83"/>
      <c r="B835" s="83"/>
      <c r="C835" s="83"/>
      <c r="D835" s="83"/>
      <c r="E835" s="82"/>
      <c r="F835" s="82"/>
      <c r="G835" s="83"/>
      <c r="H835" s="83"/>
      <c r="I835" s="83"/>
      <c r="J835" s="83"/>
      <c r="K835" s="83"/>
      <c r="L835" s="83"/>
      <c r="M835" s="83"/>
      <c r="N835" s="83"/>
      <c r="O835" s="83"/>
      <c r="P835" s="83"/>
      <c r="Q835" s="83"/>
      <c r="R835" s="83"/>
      <c r="S835" s="83"/>
      <c r="T835" s="83"/>
      <c r="U835" s="83"/>
      <c r="V835" s="83"/>
      <c r="W835" s="83"/>
      <c r="X835" s="83"/>
      <c r="Y835" s="83"/>
      <c r="Z835" s="83"/>
      <c r="AA835" s="83"/>
      <c r="AB835" s="83"/>
      <c r="AC835" s="83"/>
      <c r="AD835" s="83"/>
      <c r="AE835" s="83"/>
      <c r="AF835" s="83"/>
      <c r="AG835" s="83"/>
      <c r="AH835" s="83"/>
      <c r="AI835" s="83"/>
      <c r="AJ835" s="83"/>
      <c r="AK835" s="83"/>
      <c r="AL835" s="83"/>
      <c r="AM835" s="83"/>
      <c r="AN835" s="83"/>
      <c r="AO835" s="83"/>
      <c r="AP835" s="83"/>
      <c r="AQ835" s="83"/>
      <c r="AR835" s="83"/>
      <c r="AS835" s="83"/>
      <c r="AT835" s="83"/>
    </row>
    <row r="836" spans="1:46" ht="13.8">
      <c r="A836" s="83"/>
      <c r="B836" s="83"/>
      <c r="C836" s="83"/>
      <c r="D836" s="83"/>
      <c r="E836" s="82"/>
      <c r="F836" s="82"/>
      <c r="G836" s="83"/>
      <c r="H836" s="83"/>
      <c r="I836" s="83"/>
      <c r="J836" s="83"/>
      <c r="K836" s="83"/>
      <c r="L836" s="83"/>
      <c r="M836" s="83"/>
      <c r="N836" s="83"/>
      <c r="O836" s="83"/>
      <c r="P836" s="83"/>
      <c r="Q836" s="83"/>
      <c r="R836" s="83"/>
      <c r="S836" s="83"/>
      <c r="T836" s="83"/>
      <c r="U836" s="83"/>
      <c r="V836" s="83"/>
      <c r="W836" s="83"/>
      <c r="X836" s="83"/>
      <c r="Y836" s="83"/>
      <c r="Z836" s="83"/>
      <c r="AA836" s="83"/>
      <c r="AB836" s="83"/>
      <c r="AC836" s="83"/>
      <c r="AD836" s="83"/>
      <c r="AE836" s="83"/>
      <c r="AF836" s="83"/>
      <c r="AG836" s="83"/>
      <c r="AH836" s="83"/>
      <c r="AI836" s="83"/>
      <c r="AJ836" s="83"/>
      <c r="AK836" s="83"/>
      <c r="AL836" s="83"/>
      <c r="AM836" s="83"/>
      <c r="AN836" s="83"/>
      <c r="AO836" s="83"/>
      <c r="AP836" s="83"/>
      <c r="AQ836" s="83"/>
      <c r="AR836" s="83"/>
      <c r="AS836" s="83"/>
      <c r="AT836" s="83"/>
    </row>
    <row r="837" spans="1:46" ht="13.8">
      <c r="A837" s="83"/>
      <c r="B837" s="83"/>
      <c r="C837" s="83"/>
      <c r="D837" s="83"/>
      <c r="E837" s="82"/>
      <c r="F837" s="82"/>
      <c r="G837" s="83"/>
      <c r="H837" s="83"/>
      <c r="I837" s="83"/>
      <c r="J837" s="83"/>
      <c r="K837" s="83"/>
      <c r="L837" s="83"/>
      <c r="M837" s="83"/>
      <c r="N837" s="83"/>
      <c r="O837" s="83"/>
      <c r="P837" s="83"/>
      <c r="Q837" s="83"/>
      <c r="R837" s="83"/>
      <c r="S837" s="83"/>
      <c r="T837" s="83"/>
      <c r="U837" s="83"/>
      <c r="V837" s="83"/>
      <c r="W837" s="83"/>
      <c r="X837" s="83"/>
      <c r="Y837" s="83"/>
      <c r="Z837" s="83"/>
      <c r="AA837" s="83"/>
      <c r="AB837" s="83"/>
      <c r="AC837" s="83"/>
      <c r="AD837" s="83"/>
      <c r="AE837" s="83"/>
      <c r="AF837" s="83"/>
      <c r="AG837" s="83"/>
      <c r="AH837" s="83"/>
      <c r="AI837" s="83"/>
      <c r="AJ837" s="83"/>
      <c r="AK837" s="83"/>
      <c r="AL837" s="83"/>
      <c r="AM837" s="83"/>
      <c r="AN837" s="83"/>
      <c r="AO837" s="83"/>
      <c r="AP837" s="83"/>
      <c r="AQ837" s="83"/>
      <c r="AR837" s="83"/>
      <c r="AS837" s="83"/>
      <c r="AT837" s="83"/>
    </row>
    <row r="838" spans="1:46" ht="13.8">
      <c r="A838" s="83"/>
      <c r="B838" s="83"/>
      <c r="C838" s="83"/>
      <c r="D838" s="83"/>
      <c r="E838" s="82"/>
      <c r="F838" s="82"/>
      <c r="G838" s="83"/>
      <c r="H838" s="83"/>
      <c r="I838" s="83"/>
      <c r="J838" s="83"/>
      <c r="K838" s="83"/>
      <c r="L838" s="83"/>
      <c r="M838" s="83"/>
      <c r="N838" s="83"/>
      <c r="O838" s="83"/>
      <c r="P838" s="83"/>
      <c r="Q838" s="83"/>
      <c r="R838" s="83"/>
      <c r="S838" s="83"/>
      <c r="T838" s="83"/>
      <c r="U838" s="83"/>
      <c r="V838" s="83"/>
      <c r="W838" s="83"/>
      <c r="X838" s="83"/>
      <c r="Y838" s="83"/>
      <c r="Z838" s="83"/>
      <c r="AA838" s="83"/>
      <c r="AB838" s="83"/>
      <c r="AC838" s="83"/>
      <c r="AD838" s="83"/>
      <c r="AE838" s="83"/>
      <c r="AF838" s="83"/>
      <c r="AG838" s="83"/>
      <c r="AH838" s="83"/>
      <c r="AI838" s="83"/>
      <c r="AJ838" s="83"/>
      <c r="AK838" s="83"/>
      <c r="AL838" s="83"/>
      <c r="AM838" s="83"/>
      <c r="AN838" s="83"/>
      <c r="AO838" s="83"/>
      <c r="AP838" s="83"/>
      <c r="AQ838" s="83"/>
      <c r="AR838" s="83"/>
      <c r="AS838" s="83"/>
      <c r="AT838" s="83"/>
    </row>
    <row r="839" spans="1:46" ht="13.8">
      <c r="A839" s="83"/>
      <c r="B839" s="83"/>
      <c r="C839" s="83"/>
      <c r="D839" s="83"/>
      <c r="E839" s="82"/>
      <c r="F839" s="82"/>
      <c r="G839" s="83"/>
      <c r="H839" s="83"/>
      <c r="I839" s="83"/>
      <c r="J839" s="83"/>
      <c r="K839" s="83"/>
      <c r="L839" s="83"/>
      <c r="M839" s="83"/>
      <c r="N839" s="83"/>
      <c r="O839" s="83"/>
      <c r="P839" s="83"/>
      <c r="Q839" s="83"/>
      <c r="R839" s="83"/>
      <c r="S839" s="83"/>
      <c r="T839" s="83"/>
      <c r="U839" s="83"/>
      <c r="V839" s="83"/>
      <c r="W839" s="83"/>
      <c r="X839" s="83"/>
      <c r="Y839" s="83"/>
      <c r="Z839" s="83"/>
      <c r="AA839" s="83"/>
      <c r="AB839" s="83"/>
      <c r="AC839" s="83"/>
      <c r="AD839" s="83"/>
      <c r="AE839" s="83"/>
      <c r="AF839" s="83"/>
      <c r="AG839" s="83"/>
      <c r="AH839" s="83"/>
      <c r="AI839" s="83"/>
      <c r="AJ839" s="83"/>
      <c r="AK839" s="83"/>
      <c r="AL839" s="83"/>
      <c r="AM839" s="83"/>
      <c r="AN839" s="83"/>
      <c r="AO839" s="83"/>
      <c r="AP839" s="83"/>
      <c r="AQ839" s="83"/>
      <c r="AR839" s="83"/>
      <c r="AS839" s="83"/>
      <c r="AT839" s="83"/>
    </row>
    <row r="840" spans="1:46" ht="13.8">
      <c r="A840" s="83"/>
      <c r="B840" s="83"/>
      <c r="C840" s="83"/>
      <c r="D840" s="83"/>
      <c r="E840" s="82"/>
      <c r="F840" s="82"/>
      <c r="G840" s="83"/>
      <c r="H840" s="83"/>
      <c r="I840" s="83"/>
      <c r="J840" s="83"/>
      <c r="K840" s="83"/>
      <c r="L840" s="83"/>
      <c r="M840" s="83"/>
      <c r="N840" s="83"/>
      <c r="O840" s="83"/>
      <c r="P840" s="83"/>
      <c r="Q840" s="83"/>
      <c r="R840" s="83"/>
      <c r="S840" s="83"/>
      <c r="T840" s="83"/>
      <c r="U840" s="83"/>
      <c r="V840" s="83"/>
      <c r="W840" s="83"/>
      <c r="X840" s="83"/>
      <c r="Y840" s="83"/>
      <c r="Z840" s="83"/>
      <c r="AA840" s="83"/>
      <c r="AB840" s="83"/>
      <c r="AC840" s="83"/>
      <c r="AD840" s="83"/>
      <c r="AE840" s="83"/>
      <c r="AF840" s="83"/>
      <c r="AG840" s="83"/>
      <c r="AH840" s="83"/>
      <c r="AI840" s="83"/>
      <c r="AJ840" s="83"/>
      <c r="AK840" s="83"/>
      <c r="AL840" s="83"/>
      <c r="AM840" s="83"/>
      <c r="AN840" s="83"/>
      <c r="AO840" s="83"/>
      <c r="AP840" s="83"/>
      <c r="AQ840" s="83"/>
      <c r="AR840" s="83"/>
      <c r="AS840" s="83"/>
      <c r="AT840" s="83"/>
    </row>
    <row r="841" spans="1:46" ht="13.8">
      <c r="A841" s="83"/>
      <c r="B841" s="83"/>
      <c r="C841" s="83"/>
      <c r="D841" s="83"/>
      <c r="E841" s="82"/>
      <c r="F841" s="82"/>
      <c r="G841" s="83"/>
      <c r="H841" s="83"/>
      <c r="I841" s="83"/>
      <c r="J841" s="83"/>
      <c r="K841" s="83"/>
      <c r="L841" s="83"/>
      <c r="M841" s="83"/>
      <c r="N841" s="83"/>
      <c r="O841" s="83"/>
      <c r="P841" s="83"/>
      <c r="Q841" s="83"/>
      <c r="R841" s="83"/>
      <c r="S841" s="83"/>
      <c r="T841" s="83"/>
      <c r="U841" s="83"/>
      <c r="V841" s="83"/>
      <c r="W841" s="83"/>
      <c r="X841" s="83"/>
      <c r="Y841" s="83"/>
      <c r="Z841" s="83"/>
      <c r="AA841" s="83"/>
      <c r="AB841" s="83"/>
      <c r="AC841" s="83"/>
      <c r="AD841" s="83"/>
      <c r="AE841" s="83"/>
      <c r="AF841" s="83"/>
      <c r="AG841" s="83"/>
      <c r="AH841" s="83"/>
      <c r="AI841" s="83"/>
      <c r="AJ841" s="83"/>
      <c r="AK841" s="83"/>
      <c r="AL841" s="83"/>
      <c r="AM841" s="83"/>
      <c r="AN841" s="83"/>
      <c r="AO841" s="83"/>
      <c r="AP841" s="83"/>
      <c r="AQ841" s="83"/>
      <c r="AR841" s="83"/>
      <c r="AS841" s="83"/>
      <c r="AT841" s="83"/>
    </row>
    <row r="842" spans="1:46" ht="13.8">
      <c r="A842" s="83"/>
      <c r="B842" s="83"/>
      <c r="C842" s="83"/>
      <c r="D842" s="83"/>
      <c r="E842" s="82"/>
      <c r="F842" s="82"/>
      <c r="G842" s="83"/>
      <c r="H842" s="83"/>
      <c r="I842" s="83"/>
      <c r="J842" s="83"/>
      <c r="K842" s="83"/>
      <c r="L842" s="83"/>
      <c r="M842" s="83"/>
      <c r="N842" s="83"/>
      <c r="O842" s="83"/>
      <c r="P842" s="83"/>
      <c r="Q842" s="83"/>
      <c r="R842" s="83"/>
      <c r="S842" s="83"/>
      <c r="T842" s="83"/>
      <c r="U842" s="83"/>
      <c r="V842" s="83"/>
      <c r="W842" s="83"/>
      <c r="X842" s="83"/>
      <c r="Y842" s="83"/>
      <c r="Z842" s="83"/>
      <c r="AA842" s="83"/>
      <c r="AB842" s="83"/>
      <c r="AC842" s="83"/>
      <c r="AD842" s="83"/>
      <c r="AE842" s="83"/>
      <c r="AF842" s="83"/>
      <c r="AG842" s="83"/>
      <c r="AH842" s="83"/>
      <c r="AI842" s="83"/>
      <c r="AJ842" s="83"/>
      <c r="AK842" s="83"/>
      <c r="AL842" s="83"/>
      <c r="AM842" s="83"/>
      <c r="AN842" s="83"/>
      <c r="AO842" s="83"/>
      <c r="AP842" s="83"/>
      <c r="AQ842" s="83"/>
      <c r="AR842" s="83"/>
      <c r="AS842" s="83"/>
      <c r="AT842" s="83"/>
    </row>
    <row r="843" spans="1:46" ht="13.8">
      <c r="A843" s="83"/>
      <c r="B843" s="83"/>
      <c r="C843" s="83"/>
      <c r="D843" s="83"/>
      <c r="E843" s="82"/>
      <c r="F843" s="82"/>
      <c r="G843" s="83"/>
      <c r="H843" s="83"/>
      <c r="I843" s="83"/>
      <c r="J843" s="83"/>
      <c r="K843" s="83"/>
      <c r="L843" s="83"/>
      <c r="M843" s="83"/>
      <c r="N843" s="83"/>
      <c r="O843" s="83"/>
      <c r="P843" s="83"/>
      <c r="Q843" s="83"/>
      <c r="R843" s="83"/>
      <c r="S843" s="83"/>
      <c r="T843" s="83"/>
      <c r="U843" s="83"/>
      <c r="V843" s="83"/>
      <c r="W843" s="83"/>
      <c r="X843" s="83"/>
      <c r="Y843" s="83"/>
      <c r="Z843" s="83"/>
      <c r="AA843" s="83"/>
      <c r="AB843" s="83"/>
      <c r="AC843" s="83"/>
      <c r="AD843" s="83"/>
      <c r="AE843" s="83"/>
      <c r="AF843" s="83"/>
      <c r="AG843" s="83"/>
      <c r="AH843" s="83"/>
      <c r="AI843" s="83"/>
      <c r="AJ843" s="83"/>
      <c r="AK843" s="83"/>
      <c r="AL843" s="83"/>
      <c r="AM843" s="83"/>
      <c r="AN843" s="83"/>
      <c r="AO843" s="83"/>
      <c r="AP843" s="83"/>
      <c r="AQ843" s="83"/>
      <c r="AR843" s="83"/>
      <c r="AS843" s="83"/>
      <c r="AT843" s="83"/>
    </row>
    <row r="844" spans="1:46" ht="13.8">
      <c r="A844" s="83"/>
      <c r="B844" s="83"/>
      <c r="C844" s="83"/>
      <c r="D844" s="83"/>
      <c r="E844" s="82"/>
      <c r="F844" s="82"/>
      <c r="G844" s="83"/>
      <c r="H844" s="83"/>
      <c r="I844" s="83"/>
      <c r="J844" s="83"/>
      <c r="K844" s="83"/>
      <c r="L844" s="83"/>
      <c r="M844" s="83"/>
      <c r="N844" s="83"/>
      <c r="O844" s="83"/>
      <c r="P844" s="83"/>
      <c r="Q844" s="83"/>
      <c r="R844" s="83"/>
      <c r="S844" s="83"/>
      <c r="T844" s="83"/>
      <c r="U844" s="83"/>
      <c r="V844" s="83"/>
      <c r="W844" s="83"/>
      <c r="X844" s="83"/>
      <c r="Y844" s="83"/>
      <c r="Z844" s="83"/>
      <c r="AA844" s="83"/>
      <c r="AB844" s="83"/>
      <c r="AC844" s="83"/>
      <c r="AD844" s="83"/>
      <c r="AE844" s="83"/>
      <c r="AF844" s="83"/>
      <c r="AG844" s="83"/>
      <c r="AH844" s="83"/>
      <c r="AI844" s="83"/>
      <c r="AJ844" s="83"/>
      <c r="AK844" s="83"/>
      <c r="AL844" s="83"/>
      <c r="AM844" s="83"/>
      <c r="AN844" s="83"/>
      <c r="AO844" s="83"/>
      <c r="AP844" s="83"/>
      <c r="AQ844" s="83"/>
      <c r="AR844" s="83"/>
      <c r="AS844" s="83"/>
      <c r="AT844" s="83"/>
    </row>
    <row r="845" spans="1:46" ht="13.8">
      <c r="A845" s="83"/>
      <c r="B845" s="83"/>
      <c r="C845" s="83"/>
      <c r="D845" s="83"/>
      <c r="E845" s="82"/>
      <c r="F845" s="82"/>
      <c r="G845" s="83"/>
      <c r="H845" s="83"/>
      <c r="I845" s="83"/>
      <c r="J845" s="83"/>
      <c r="K845" s="83"/>
      <c r="L845" s="83"/>
      <c r="M845" s="83"/>
      <c r="N845" s="83"/>
      <c r="O845" s="83"/>
      <c r="P845" s="83"/>
      <c r="Q845" s="83"/>
      <c r="R845" s="83"/>
      <c r="S845" s="83"/>
      <c r="T845" s="83"/>
      <c r="U845" s="83"/>
      <c r="V845" s="83"/>
      <c r="W845" s="83"/>
      <c r="X845" s="83"/>
      <c r="Y845" s="83"/>
      <c r="Z845" s="83"/>
      <c r="AA845" s="83"/>
      <c r="AB845" s="83"/>
      <c r="AC845" s="83"/>
      <c r="AD845" s="83"/>
      <c r="AE845" s="83"/>
      <c r="AF845" s="83"/>
      <c r="AG845" s="83"/>
      <c r="AH845" s="83"/>
      <c r="AI845" s="83"/>
      <c r="AJ845" s="83"/>
      <c r="AK845" s="83"/>
      <c r="AL845" s="83"/>
      <c r="AM845" s="83"/>
      <c r="AN845" s="83"/>
      <c r="AO845" s="83"/>
      <c r="AP845" s="83"/>
      <c r="AQ845" s="83"/>
      <c r="AR845" s="83"/>
      <c r="AS845" s="83"/>
      <c r="AT845" s="83"/>
    </row>
    <row r="846" spans="1:46" ht="13.8">
      <c r="A846" s="83"/>
      <c r="B846" s="83"/>
      <c r="C846" s="83"/>
      <c r="D846" s="83"/>
      <c r="E846" s="82"/>
      <c r="F846" s="82"/>
      <c r="G846" s="83"/>
      <c r="H846" s="83"/>
      <c r="I846" s="83"/>
      <c r="J846" s="83"/>
      <c r="K846" s="83"/>
      <c r="L846" s="83"/>
      <c r="M846" s="83"/>
      <c r="N846" s="83"/>
      <c r="O846" s="83"/>
      <c r="P846" s="83"/>
      <c r="Q846" s="83"/>
      <c r="R846" s="83"/>
      <c r="S846" s="83"/>
      <c r="T846" s="83"/>
      <c r="U846" s="83"/>
      <c r="V846" s="83"/>
      <c r="W846" s="83"/>
      <c r="X846" s="83"/>
      <c r="Y846" s="83"/>
      <c r="Z846" s="83"/>
      <c r="AA846" s="83"/>
      <c r="AB846" s="83"/>
      <c r="AC846" s="83"/>
      <c r="AD846" s="83"/>
      <c r="AE846" s="83"/>
      <c r="AF846" s="83"/>
      <c r="AG846" s="83"/>
      <c r="AH846" s="83"/>
      <c r="AI846" s="83"/>
      <c r="AJ846" s="83"/>
      <c r="AK846" s="83"/>
      <c r="AL846" s="83"/>
      <c r="AM846" s="83"/>
      <c r="AN846" s="83"/>
      <c r="AO846" s="83"/>
      <c r="AP846" s="83"/>
      <c r="AQ846" s="83"/>
      <c r="AR846" s="83"/>
      <c r="AS846" s="83"/>
      <c r="AT846" s="83"/>
    </row>
    <row r="847" spans="1:46" ht="13.8">
      <c r="A847" s="83"/>
      <c r="B847" s="83"/>
      <c r="C847" s="83"/>
      <c r="D847" s="83"/>
      <c r="E847" s="82"/>
      <c r="F847" s="82"/>
      <c r="G847" s="83"/>
      <c r="H847" s="83"/>
      <c r="I847" s="83"/>
      <c r="J847" s="83"/>
      <c r="K847" s="83"/>
      <c r="L847" s="83"/>
      <c r="M847" s="83"/>
      <c r="N847" s="83"/>
      <c r="O847" s="83"/>
      <c r="P847" s="83"/>
      <c r="Q847" s="83"/>
      <c r="R847" s="83"/>
      <c r="S847" s="83"/>
      <c r="T847" s="83"/>
      <c r="U847" s="83"/>
      <c r="V847" s="83"/>
      <c r="W847" s="83"/>
      <c r="X847" s="83"/>
      <c r="Y847" s="83"/>
      <c r="Z847" s="83"/>
      <c r="AA847" s="83"/>
      <c r="AB847" s="83"/>
      <c r="AC847" s="83"/>
      <c r="AD847" s="83"/>
      <c r="AE847" s="83"/>
      <c r="AF847" s="83"/>
      <c r="AG847" s="83"/>
      <c r="AH847" s="83"/>
      <c r="AI847" s="83"/>
      <c r="AJ847" s="83"/>
      <c r="AK847" s="83"/>
      <c r="AL847" s="83"/>
      <c r="AM847" s="83"/>
      <c r="AN847" s="83"/>
      <c r="AO847" s="83"/>
      <c r="AP847" s="83"/>
      <c r="AQ847" s="83"/>
      <c r="AR847" s="83"/>
      <c r="AS847" s="83"/>
      <c r="AT847" s="83"/>
    </row>
    <row r="848" spans="1:46" ht="13.8">
      <c r="A848" s="83"/>
      <c r="B848" s="83"/>
      <c r="C848" s="83"/>
      <c r="D848" s="83"/>
      <c r="E848" s="82"/>
      <c r="F848" s="82"/>
      <c r="G848" s="83"/>
      <c r="H848" s="83"/>
      <c r="I848" s="83"/>
      <c r="J848" s="83"/>
      <c r="K848" s="83"/>
      <c r="L848" s="83"/>
      <c r="M848" s="83"/>
      <c r="N848" s="83"/>
      <c r="O848" s="83"/>
      <c r="P848" s="83"/>
      <c r="Q848" s="83"/>
      <c r="R848" s="83"/>
      <c r="S848" s="83"/>
      <c r="T848" s="83"/>
      <c r="U848" s="83"/>
      <c r="V848" s="83"/>
      <c r="W848" s="83"/>
      <c r="X848" s="83"/>
      <c r="Y848" s="83"/>
      <c r="Z848" s="83"/>
      <c r="AA848" s="83"/>
      <c r="AB848" s="83"/>
      <c r="AC848" s="83"/>
      <c r="AD848" s="83"/>
      <c r="AE848" s="83"/>
      <c r="AF848" s="83"/>
      <c r="AG848" s="83"/>
      <c r="AH848" s="83"/>
      <c r="AI848" s="83"/>
      <c r="AJ848" s="83"/>
      <c r="AK848" s="83"/>
      <c r="AL848" s="83"/>
      <c r="AM848" s="83"/>
      <c r="AN848" s="83"/>
      <c r="AO848" s="83"/>
      <c r="AP848" s="83"/>
      <c r="AQ848" s="83"/>
      <c r="AR848" s="83"/>
      <c r="AS848" s="83"/>
      <c r="AT848" s="83"/>
    </row>
    <row r="849" spans="1:46" ht="13.8">
      <c r="A849" s="83"/>
      <c r="B849" s="83"/>
      <c r="C849" s="83"/>
      <c r="D849" s="83"/>
      <c r="E849" s="82"/>
      <c r="F849" s="82"/>
      <c r="G849" s="83"/>
      <c r="H849" s="83"/>
      <c r="I849" s="83"/>
      <c r="J849" s="83"/>
      <c r="K849" s="83"/>
      <c r="L849" s="83"/>
      <c r="M849" s="83"/>
      <c r="N849" s="83"/>
      <c r="O849" s="83"/>
      <c r="P849" s="83"/>
      <c r="Q849" s="83"/>
      <c r="R849" s="83"/>
      <c r="S849" s="83"/>
      <c r="T849" s="83"/>
      <c r="U849" s="83"/>
      <c r="V849" s="83"/>
      <c r="W849" s="83"/>
      <c r="X849" s="83"/>
      <c r="Y849" s="83"/>
      <c r="Z849" s="83"/>
      <c r="AA849" s="83"/>
      <c r="AB849" s="83"/>
      <c r="AC849" s="83"/>
      <c r="AD849" s="83"/>
      <c r="AE849" s="83"/>
      <c r="AF849" s="83"/>
      <c r="AG849" s="83"/>
      <c r="AH849" s="83"/>
      <c r="AI849" s="83"/>
      <c r="AJ849" s="83"/>
      <c r="AK849" s="83"/>
      <c r="AL849" s="83"/>
      <c r="AM849" s="83"/>
      <c r="AN849" s="83"/>
      <c r="AO849" s="83"/>
      <c r="AP849" s="83"/>
      <c r="AQ849" s="83"/>
      <c r="AR849" s="83"/>
      <c r="AS849" s="83"/>
      <c r="AT849" s="83"/>
    </row>
    <row r="850" spans="1:46" ht="13.8">
      <c r="A850" s="83"/>
      <c r="B850" s="83"/>
      <c r="C850" s="83"/>
      <c r="D850" s="83"/>
      <c r="E850" s="82"/>
      <c r="F850" s="82"/>
      <c r="G850" s="83"/>
      <c r="H850" s="83"/>
      <c r="I850" s="83"/>
      <c r="J850" s="83"/>
      <c r="K850" s="83"/>
      <c r="L850" s="83"/>
      <c r="M850" s="83"/>
      <c r="N850" s="83"/>
      <c r="O850" s="83"/>
      <c r="P850" s="83"/>
      <c r="Q850" s="83"/>
      <c r="R850" s="83"/>
      <c r="S850" s="83"/>
      <c r="T850" s="83"/>
      <c r="U850" s="83"/>
      <c r="V850" s="83"/>
      <c r="W850" s="83"/>
      <c r="X850" s="83"/>
      <c r="Y850" s="83"/>
      <c r="Z850" s="83"/>
      <c r="AA850" s="83"/>
      <c r="AB850" s="83"/>
      <c r="AC850" s="83"/>
      <c r="AD850" s="83"/>
      <c r="AE850" s="83"/>
      <c r="AF850" s="83"/>
      <c r="AG850" s="83"/>
      <c r="AH850" s="83"/>
      <c r="AI850" s="83"/>
      <c r="AJ850" s="83"/>
      <c r="AK850" s="83"/>
      <c r="AL850" s="83"/>
      <c r="AM850" s="83"/>
      <c r="AN850" s="83"/>
      <c r="AO850" s="83"/>
      <c r="AP850" s="83"/>
      <c r="AQ850" s="83"/>
      <c r="AR850" s="83"/>
      <c r="AS850" s="83"/>
      <c r="AT850" s="83"/>
    </row>
    <row r="851" spans="1:46" ht="13.8">
      <c r="A851" s="83"/>
      <c r="B851" s="83"/>
      <c r="C851" s="83"/>
      <c r="D851" s="83"/>
      <c r="E851" s="82"/>
      <c r="F851" s="82"/>
      <c r="G851" s="83"/>
      <c r="H851" s="83"/>
      <c r="I851" s="83"/>
      <c r="J851" s="83"/>
      <c r="K851" s="83"/>
      <c r="L851" s="83"/>
      <c r="M851" s="83"/>
      <c r="N851" s="83"/>
      <c r="O851" s="83"/>
      <c r="P851" s="83"/>
      <c r="Q851" s="83"/>
      <c r="R851" s="83"/>
      <c r="S851" s="83"/>
      <c r="T851" s="83"/>
      <c r="U851" s="83"/>
      <c r="V851" s="83"/>
      <c r="W851" s="83"/>
      <c r="X851" s="83"/>
      <c r="Y851" s="83"/>
      <c r="Z851" s="83"/>
      <c r="AA851" s="83"/>
      <c r="AB851" s="83"/>
      <c r="AC851" s="83"/>
      <c r="AD851" s="83"/>
      <c r="AE851" s="83"/>
      <c r="AF851" s="83"/>
      <c r="AG851" s="83"/>
      <c r="AH851" s="83"/>
      <c r="AI851" s="83"/>
      <c r="AJ851" s="83"/>
      <c r="AK851" s="83"/>
      <c r="AL851" s="83"/>
      <c r="AM851" s="83"/>
      <c r="AN851" s="83"/>
      <c r="AO851" s="83"/>
      <c r="AP851" s="83"/>
      <c r="AQ851" s="83"/>
      <c r="AR851" s="83"/>
      <c r="AS851" s="83"/>
      <c r="AT851" s="83"/>
    </row>
    <row r="852" spans="1:46" ht="13.8">
      <c r="A852" s="83"/>
      <c r="B852" s="83"/>
      <c r="C852" s="83"/>
      <c r="D852" s="83"/>
      <c r="E852" s="82"/>
      <c r="F852" s="82"/>
      <c r="G852" s="83"/>
      <c r="H852" s="83"/>
      <c r="I852" s="83"/>
      <c r="J852" s="83"/>
      <c r="K852" s="83"/>
      <c r="L852" s="83"/>
      <c r="M852" s="83"/>
      <c r="N852" s="83"/>
      <c r="O852" s="83"/>
      <c r="P852" s="83"/>
      <c r="Q852" s="83"/>
      <c r="R852" s="83"/>
      <c r="S852" s="83"/>
      <c r="T852" s="83"/>
      <c r="U852" s="83"/>
      <c r="V852" s="83"/>
      <c r="W852" s="83"/>
      <c r="X852" s="83"/>
      <c r="Y852" s="83"/>
      <c r="Z852" s="83"/>
      <c r="AA852" s="83"/>
      <c r="AB852" s="83"/>
      <c r="AC852" s="83"/>
      <c r="AD852" s="83"/>
      <c r="AE852" s="83"/>
      <c r="AF852" s="83"/>
      <c r="AG852" s="83"/>
      <c r="AH852" s="83"/>
      <c r="AI852" s="83"/>
      <c r="AJ852" s="83"/>
      <c r="AK852" s="83"/>
      <c r="AL852" s="83"/>
      <c r="AM852" s="83"/>
      <c r="AN852" s="83"/>
      <c r="AO852" s="83"/>
      <c r="AP852" s="83"/>
      <c r="AQ852" s="83"/>
      <c r="AR852" s="83"/>
      <c r="AS852" s="83"/>
      <c r="AT852" s="83"/>
    </row>
    <row r="853" spans="1:46" ht="13.8">
      <c r="A853" s="83"/>
      <c r="B853" s="83"/>
      <c r="C853" s="83"/>
      <c r="D853" s="83"/>
      <c r="E853" s="82"/>
      <c r="F853" s="82"/>
      <c r="G853" s="83"/>
      <c r="H853" s="83"/>
      <c r="I853" s="83"/>
      <c r="J853" s="83"/>
      <c r="K853" s="83"/>
      <c r="L853" s="83"/>
      <c r="M853" s="83"/>
      <c r="N853" s="83"/>
      <c r="O853" s="83"/>
      <c r="P853" s="83"/>
      <c r="Q853" s="83"/>
      <c r="R853" s="83"/>
      <c r="S853" s="83"/>
      <c r="T853" s="83"/>
      <c r="U853" s="83"/>
      <c r="V853" s="83"/>
      <c r="W853" s="83"/>
      <c r="X853" s="83"/>
      <c r="Y853" s="83"/>
      <c r="Z853" s="83"/>
      <c r="AA853" s="83"/>
      <c r="AB853" s="83"/>
      <c r="AC853" s="83"/>
      <c r="AD853" s="83"/>
      <c r="AE853" s="83"/>
      <c r="AF853" s="83"/>
      <c r="AG853" s="83"/>
      <c r="AH853" s="83"/>
      <c r="AI853" s="83"/>
      <c r="AJ853" s="83"/>
      <c r="AK853" s="83"/>
      <c r="AL853" s="83"/>
      <c r="AM853" s="83"/>
      <c r="AN853" s="83"/>
      <c r="AO853" s="83"/>
      <c r="AP853" s="83"/>
      <c r="AQ853" s="83"/>
      <c r="AR853" s="83"/>
      <c r="AS853" s="83"/>
      <c r="AT853" s="83"/>
    </row>
    <row r="854" spans="1:46" ht="13.8">
      <c r="A854" s="83"/>
      <c r="B854" s="83"/>
      <c r="C854" s="83"/>
      <c r="D854" s="83"/>
      <c r="E854" s="82"/>
      <c r="F854" s="82"/>
      <c r="G854" s="83"/>
      <c r="H854" s="83"/>
      <c r="I854" s="83"/>
      <c r="J854" s="83"/>
      <c r="K854" s="83"/>
      <c r="L854" s="83"/>
      <c r="M854" s="83"/>
      <c r="N854" s="83"/>
      <c r="O854" s="83"/>
      <c r="P854" s="83"/>
      <c r="Q854" s="83"/>
      <c r="R854" s="83"/>
      <c r="S854" s="83"/>
      <c r="T854" s="83"/>
      <c r="U854" s="83"/>
      <c r="V854" s="83"/>
      <c r="W854" s="83"/>
      <c r="X854" s="83"/>
      <c r="Y854" s="83"/>
      <c r="Z854" s="83"/>
      <c r="AA854" s="83"/>
      <c r="AB854" s="83"/>
      <c r="AC854" s="83"/>
      <c r="AD854" s="83"/>
      <c r="AE854" s="83"/>
      <c r="AF854" s="83"/>
      <c r="AG854" s="83"/>
      <c r="AH854" s="83"/>
      <c r="AI854" s="83"/>
      <c r="AJ854" s="83"/>
      <c r="AK854" s="83"/>
      <c r="AL854" s="83"/>
      <c r="AM854" s="83"/>
      <c r="AN854" s="83"/>
      <c r="AO854" s="83"/>
      <c r="AP854" s="83"/>
      <c r="AQ854" s="83"/>
      <c r="AR854" s="83"/>
      <c r="AS854" s="83"/>
      <c r="AT854" s="83"/>
    </row>
    <row r="855" spans="1:46" ht="13.8">
      <c r="A855" s="83"/>
      <c r="B855" s="83"/>
      <c r="C855" s="83"/>
      <c r="D855" s="83"/>
      <c r="E855" s="82"/>
      <c r="F855" s="82"/>
      <c r="G855" s="83"/>
      <c r="H855" s="83"/>
      <c r="I855" s="83"/>
      <c r="J855" s="83"/>
      <c r="K855" s="83"/>
      <c r="L855" s="83"/>
      <c r="M855" s="83"/>
      <c r="N855" s="83"/>
      <c r="O855" s="83"/>
      <c r="P855" s="83"/>
      <c r="Q855" s="83"/>
      <c r="R855" s="83"/>
      <c r="S855" s="83"/>
      <c r="T855" s="83"/>
      <c r="U855" s="83"/>
      <c r="V855" s="83"/>
      <c r="W855" s="83"/>
      <c r="X855" s="83"/>
      <c r="Y855" s="83"/>
      <c r="Z855" s="83"/>
      <c r="AA855" s="83"/>
      <c r="AB855" s="83"/>
      <c r="AC855" s="83"/>
      <c r="AD855" s="83"/>
      <c r="AE855" s="83"/>
      <c r="AF855" s="83"/>
      <c r="AG855" s="83"/>
      <c r="AH855" s="83"/>
      <c r="AI855" s="83"/>
      <c r="AJ855" s="83"/>
      <c r="AK855" s="83"/>
      <c r="AL855" s="83"/>
      <c r="AM855" s="83"/>
      <c r="AN855" s="83"/>
      <c r="AO855" s="83"/>
      <c r="AP855" s="83"/>
      <c r="AQ855" s="83"/>
      <c r="AR855" s="83"/>
      <c r="AS855" s="83"/>
      <c r="AT855" s="83"/>
    </row>
    <row r="856" spans="1:46" ht="13.8">
      <c r="A856" s="83"/>
      <c r="B856" s="83"/>
      <c r="C856" s="83"/>
      <c r="D856" s="83"/>
      <c r="E856" s="82"/>
      <c r="F856" s="82"/>
      <c r="G856" s="83"/>
      <c r="H856" s="83"/>
      <c r="I856" s="83"/>
      <c r="J856" s="83"/>
      <c r="K856" s="83"/>
      <c r="L856" s="83"/>
      <c r="M856" s="83"/>
      <c r="N856" s="83"/>
      <c r="O856" s="83"/>
      <c r="P856" s="83"/>
      <c r="Q856" s="83"/>
      <c r="R856" s="83"/>
      <c r="S856" s="83"/>
      <c r="T856" s="83"/>
      <c r="U856" s="83"/>
      <c r="V856" s="83"/>
      <c r="W856" s="83"/>
      <c r="X856" s="83"/>
      <c r="Y856" s="83"/>
      <c r="Z856" s="83"/>
      <c r="AA856" s="83"/>
      <c r="AB856" s="83"/>
      <c r="AC856" s="83"/>
      <c r="AD856" s="83"/>
      <c r="AE856" s="83"/>
      <c r="AF856" s="83"/>
      <c r="AG856" s="83"/>
      <c r="AH856" s="83"/>
      <c r="AI856" s="83"/>
      <c r="AJ856" s="83"/>
      <c r="AK856" s="83"/>
      <c r="AL856" s="83"/>
      <c r="AM856" s="83"/>
      <c r="AN856" s="83"/>
      <c r="AO856" s="83"/>
      <c r="AP856" s="83"/>
      <c r="AQ856" s="83"/>
      <c r="AR856" s="83"/>
      <c r="AS856" s="83"/>
      <c r="AT856" s="83"/>
    </row>
    <row r="857" spans="1:46" ht="13.8">
      <c r="A857" s="83"/>
      <c r="B857" s="83"/>
      <c r="C857" s="83"/>
      <c r="D857" s="83"/>
      <c r="E857" s="82"/>
      <c r="F857" s="82"/>
      <c r="G857" s="83"/>
      <c r="H857" s="83"/>
      <c r="I857" s="83"/>
      <c r="J857" s="83"/>
      <c r="K857" s="83"/>
      <c r="L857" s="83"/>
      <c r="M857" s="83"/>
      <c r="N857" s="83"/>
      <c r="O857" s="83"/>
      <c r="P857" s="83"/>
      <c r="Q857" s="83"/>
      <c r="R857" s="83"/>
      <c r="S857" s="83"/>
      <c r="T857" s="83"/>
      <c r="U857" s="83"/>
      <c r="V857" s="83"/>
      <c r="W857" s="83"/>
      <c r="X857" s="83"/>
      <c r="Y857" s="83"/>
      <c r="Z857" s="83"/>
      <c r="AA857" s="83"/>
      <c r="AB857" s="83"/>
      <c r="AC857" s="83"/>
      <c r="AD857" s="83"/>
      <c r="AE857" s="83"/>
      <c r="AF857" s="83"/>
      <c r="AG857" s="83"/>
      <c r="AH857" s="83"/>
      <c r="AI857" s="83"/>
      <c r="AJ857" s="83"/>
      <c r="AK857" s="83"/>
      <c r="AL857" s="83"/>
      <c r="AM857" s="83"/>
      <c r="AN857" s="83"/>
      <c r="AO857" s="83"/>
      <c r="AP857" s="83"/>
      <c r="AQ857" s="83"/>
      <c r="AR857" s="83"/>
      <c r="AS857" s="83"/>
      <c r="AT857" s="83"/>
    </row>
    <row r="858" spans="1:46" ht="13.8">
      <c r="A858" s="83"/>
      <c r="B858" s="83"/>
      <c r="C858" s="83"/>
      <c r="D858" s="83"/>
      <c r="E858" s="82"/>
      <c r="F858" s="82"/>
      <c r="G858" s="83"/>
      <c r="H858" s="83"/>
      <c r="I858" s="83"/>
      <c r="J858" s="83"/>
      <c r="K858" s="83"/>
      <c r="L858" s="83"/>
      <c r="M858" s="83"/>
      <c r="N858" s="83"/>
      <c r="O858" s="83"/>
      <c r="P858" s="83"/>
      <c r="Q858" s="83"/>
      <c r="R858" s="83"/>
      <c r="S858" s="83"/>
      <c r="T858" s="83"/>
      <c r="U858" s="83"/>
      <c r="V858" s="83"/>
      <c r="W858" s="83"/>
      <c r="X858" s="83"/>
      <c r="Y858" s="83"/>
      <c r="Z858" s="83"/>
      <c r="AA858" s="83"/>
      <c r="AB858" s="83"/>
      <c r="AC858" s="83"/>
      <c r="AD858" s="83"/>
      <c r="AE858" s="83"/>
      <c r="AF858" s="83"/>
      <c r="AG858" s="83"/>
      <c r="AH858" s="83"/>
      <c r="AI858" s="83"/>
      <c r="AJ858" s="83"/>
      <c r="AK858" s="83"/>
      <c r="AL858" s="83"/>
      <c r="AM858" s="83"/>
      <c r="AN858" s="83"/>
      <c r="AO858" s="83"/>
      <c r="AP858" s="83"/>
      <c r="AQ858" s="83"/>
      <c r="AR858" s="83"/>
      <c r="AS858" s="83"/>
      <c r="AT858" s="83"/>
    </row>
    <row r="859" spans="1:46" ht="13.8">
      <c r="A859" s="83"/>
      <c r="B859" s="83"/>
      <c r="C859" s="83"/>
      <c r="D859" s="83"/>
      <c r="E859" s="82"/>
      <c r="F859" s="82"/>
      <c r="G859" s="83"/>
      <c r="H859" s="83"/>
      <c r="I859" s="83"/>
      <c r="J859" s="83"/>
      <c r="K859" s="83"/>
      <c r="L859" s="83"/>
      <c r="M859" s="83"/>
      <c r="N859" s="83"/>
      <c r="O859" s="83"/>
      <c r="P859" s="83"/>
      <c r="Q859" s="83"/>
      <c r="R859" s="83"/>
      <c r="S859" s="83"/>
      <c r="T859" s="83"/>
      <c r="U859" s="83"/>
      <c r="V859" s="83"/>
      <c r="W859" s="83"/>
      <c r="X859" s="83"/>
      <c r="Y859" s="83"/>
      <c r="Z859" s="83"/>
      <c r="AA859" s="83"/>
      <c r="AB859" s="83"/>
      <c r="AC859" s="83"/>
      <c r="AD859" s="83"/>
      <c r="AE859" s="83"/>
      <c r="AF859" s="83"/>
      <c r="AG859" s="83"/>
      <c r="AH859" s="83"/>
      <c r="AI859" s="83"/>
      <c r="AJ859" s="83"/>
      <c r="AK859" s="83"/>
      <c r="AL859" s="83"/>
      <c r="AM859" s="83"/>
      <c r="AN859" s="83"/>
      <c r="AO859" s="83"/>
      <c r="AP859" s="83"/>
      <c r="AQ859" s="83"/>
      <c r="AR859" s="83"/>
      <c r="AS859" s="83"/>
      <c r="AT859" s="83"/>
    </row>
    <row r="860" spans="1:46" ht="13.8">
      <c r="A860" s="83"/>
      <c r="B860" s="83"/>
      <c r="C860" s="83"/>
      <c r="D860" s="83"/>
      <c r="E860" s="82"/>
      <c r="F860" s="82"/>
      <c r="G860" s="83"/>
      <c r="H860" s="83"/>
      <c r="I860" s="83"/>
      <c r="J860" s="83"/>
      <c r="K860" s="83"/>
      <c r="L860" s="83"/>
      <c r="M860" s="83"/>
      <c r="N860" s="83"/>
      <c r="O860" s="83"/>
      <c r="P860" s="83"/>
      <c r="Q860" s="83"/>
      <c r="R860" s="83"/>
      <c r="S860" s="83"/>
      <c r="T860" s="83"/>
      <c r="U860" s="83"/>
      <c r="V860" s="83"/>
      <c r="W860" s="83"/>
      <c r="X860" s="83"/>
      <c r="Y860" s="83"/>
      <c r="Z860" s="83"/>
      <c r="AA860" s="83"/>
      <c r="AB860" s="83"/>
      <c r="AC860" s="83"/>
      <c r="AD860" s="83"/>
      <c r="AE860" s="83"/>
      <c r="AF860" s="83"/>
      <c r="AG860" s="83"/>
      <c r="AH860" s="83"/>
      <c r="AI860" s="83"/>
      <c r="AJ860" s="83"/>
      <c r="AK860" s="83"/>
      <c r="AL860" s="83"/>
      <c r="AM860" s="83"/>
      <c r="AN860" s="83"/>
      <c r="AO860" s="83"/>
      <c r="AP860" s="83"/>
      <c r="AQ860" s="83"/>
      <c r="AR860" s="83"/>
      <c r="AS860" s="83"/>
      <c r="AT860" s="83"/>
    </row>
    <row r="861" spans="1:46" ht="13.8">
      <c r="A861" s="83"/>
      <c r="B861" s="83"/>
      <c r="C861" s="83"/>
      <c r="D861" s="83"/>
      <c r="E861" s="82"/>
      <c r="F861" s="82"/>
      <c r="G861" s="83"/>
      <c r="H861" s="83"/>
      <c r="I861" s="83"/>
      <c r="J861" s="83"/>
      <c r="K861" s="83"/>
      <c r="L861" s="83"/>
      <c r="M861" s="83"/>
      <c r="N861" s="83"/>
      <c r="O861" s="83"/>
      <c r="P861" s="83"/>
      <c r="Q861" s="83"/>
      <c r="R861" s="83"/>
      <c r="S861" s="83"/>
      <c r="T861" s="83"/>
      <c r="U861" s="83"/>
      <c r="V861" s="83"/>
      <c r="W861" s="83"/>
      <c r="X861" s="83"/>
      <c r="Y861" s="83"/>
      <c r="Z861" s="83"/>
      <c r="AA861" s="83"/>
      <c r="AB861" s="83"/>
      <c r="AC861" s="83"/>
      <c r="AD861" s="83"/>
      <c r="AE861" s="83"/>
      <c r="AF861" s="83"/>
      <c r="AG861" s="83"/>
      <c r="AH861" s="83"/>
      <c r="AI861" s="83"/>
      <c r="AJ861" s="83"/>
      <c r="AK861" s="83"/>
      <c r="AL861" s="83"/>
      <c r="AM861" s="83"/>
      <c r="AN861" s="83"/>
      <c r="AO861" s="83"/>
      <c r="AP861" s="83"/>
      <c r="AQ861" s="83"/>
      <c r="AR861" s="83"/>
      <c r="AS861" s="83"/>
      <c r="AT861" s="83"/>
    </row>
    <row r="862" spans="1:46" ht="13.8">
      <c r="A862" s="83"/>
      <c r="B862" s="83"/>
      <c r="C862" s="83"/>
      <c r="D862" s="83"/>
      <c r="E862" s="82"/>
      <c r="F862" s="82"/>
      <c r="G862" s="83"/>
      <c r="H862" s="83"/>
      <c r="I862" s="83"/>
      <c r="J862" s="83"/>
      <c r="K862" s="83"/>
      <c r="L862" s="83"/>
      <c r="M862" s="83"/>
      <c r="N862" s="83"/>
      <c r="O862" s="83"/>
      <c r="P862" s="83"/>
      <c r="Q862" s="83"/>
      <c r="R862" s="83"/>
      <c r="S862" s="83"/>
      <c r="T862" s="83"/>
      <c r="U862" s="83"/>
      <c r="V862" s="83"/>
      <c r="W862" s="83"/>
      <c r="X862" s="83"/>
      <c r="Y862" s="83"/>
      <c r="Z862" s="83"/>
      <c r="AA862" s="83"/>
      <c r="AB862" s="83"/>
      <c r="AC862" s="83"/>
      <c r="AD862" s="83"/>
      <c r="AE862" s="83"/>
      <c r="AF862" s="83"/>
      <c r="AG862" s="83"/>
      <c r="AH862" s="83"/>
      <c r="AI862" s="83"/>
      <c r="AJ862" s="83"/>
      <c r="AK862" s="83"/>
      <c r="AL862" s="83"/>
      <c r="AM862" s="83"/>
      <c r="AN862" s="83"/>
      <c r="AO862" s="83"/>
      <c r="AP862" s="83"/>
      <c r="AQ862" s="83"/>
      <c r="AR862" s="83"/>
      <c r="AS862" s="83"/>
      <c r="AT862" s="83"/>
    </row>
    <row r="863" spans="1:46" ht="13.8">
      <c r="A863" s="83"/>
      <c r="B863" s="83"/>
      <c r="C863" s="83"/>
      <c r="D863" s="83"/>
      <c r="E863" s="82"/>
      <c r="F863" s="82"/>
      <c r="G863" s="83"/>
      <c r="H863" s="83"/>
      <c r="I863" s="83"/>
      <c r="J863" s="83"/>
      <c r="K863" s="83"/>
      <c r="L863" s="83"/>
      <c r="M863" s="83"/>
      <c r="N863" s="83"/>
      <c r="O863" s="83"/>
      <c r="P863" s="83"/>
      <c r="Q863" s="83"/>
      <c r="R863" s="83"/>
      <c r="S863" s="83"/>
      <c r="T863" s="83"/>
      <c r="U863" s="83"/>
      <c r="V863" s="83"/>
      <c r="W863" s="83"/>
      <c r="X863" s="83"/>
      <c r="Y863" s="83"/>
      <c r="Z863" s="83"/>
      <c r="AA863" s="83"/>
      <c r="AB863" s="83"/>
      <c r="AC863" s="83"/>
      <c r="AD863" s="83"/>
      <c r="AE863" s="83"/>
      <c r="AF863" s="83"/>
      <c r="AG863" s="83"/>
      <c r="AH863" s="83"/>
      <c r="AI863" s="83"/>
      <c r="AJ863" s="83"/>
      <c r="AK863" s="83"/>
      <c r="AL863" s="83"/>
      <c r="AM863" s="83"/>
      <c r="AN863" s="83"/>
      <c r="AO863" s="83"/>
      <c r="AP863" s="83"/>
      <c r="AQ863" s="83"/>
      <c r="AR863" s="83"/>
      <c r="AS863" s="83"/>
      <c r="AT863" s="83"/>
    </row>
    <row r="864" spans="1:46" ht="13.8">
      <c r="A864" s="83"/>
      <c r="B864" s="83"/>
      <c r="C864" s="83"/>
      <c r="D864" s="83"/>
      <c r="E864" s="82"/>
      <c r="F864" s="82"/>
      <c r="G864" s="83"/>
      <c r="H864" s="83"/>
      <c r="I864" s="83"/>
      <c r="J864" s="83"/>
      <c r="K864" s="83"/>
      <c r="L864" s="83"/>
      <c r="M864" s="83"/>
      <c r="N864" s="83"/>
      <c r="O864" s="83"/>
      <c r="P864" s="83"/>
      <c r="Q864" s="83"/>
      <c r="R864" s="83"/>
      <c r="S864" s="83"/>
      <c r="T864" s="83"/>
      <c r="U864" s="83"/>
      <c r="V864" s="83"/>
      <c r="W864" s="83"/>
      <c r="X864" s="83"/>
      <c r="Y864" s="83"/>
      <c r="Z864" s="83"/>
      <c r="AA864" s="83"/>
      <c r="AB864" s="83"/>
      <c r="AC864" s="83"/>
      <c r="AD864" s="83"/>
      <c r="AE864" s="83"/>
      <c r="AF864" s="83"/>
      <c r="AG864" s="83"/>
      <c r="AH864" s="83"/>
      <c r="AI864" s="83"/>
      <c r="AJ864" s="83"/>
      <c r="AK864" s="83"/>
      <c r="AL864" s="83"/>
      <c r="AM864" s="83"/>
      <c r="AN864" s="83"/>
      <c r="AO864" s="83"/>
      <c r="AP864" s="83"/>
      <c r="AQ864" s="83"/>
      <c r="AR864" s="83"/>
      <c r="AS864" s="83"/>
      <c r="AT864" s="83"/>
    </row>
    <row r="865" spans="1:46" ht="13.8">
      <c r="A865" s="83"/>
      <c r="B865" s="83"/>
      <c r="C865" s="83"/>
      <c r="D865" s="83"/>
      <c r="E865" s="82"/>
      <c r="F865" s="82"/>
      <c r="G865" s="83"/>
      <c r="H865" s="83"/>
      <c r="I865" s="83"/>
      <c r="J865" s="83"/>
      <c r="K865" s="83"/>
      <c r="L865" s="83"/>
      <c r="M865" s="83"/>
      <c r="N865" s="83"/>
      <c r="O865" s="83"/>
      <c r="P865" s="83"/>
      <c r="Q865" s="83"/>
      <c r="R865" s="83"/>
      <c r="S865" s="83"/>
      <c r="T865" s="83"/>
      <c r="U865" s="83"/>
      <c r="V865" s="83"/>
      <c r="W865" s="83"/>
      <c r="X865" s="83"/>
      <c r="Y865" s="83"/>
      <c r="Z865" s="83"/>
      <c r="AA865" s="83"/>
      <c r="AB865" s="83"/>
      <c r="AC865" s="83"/>
      <c r="AD865" s="83"/>
      <c r="AE865" s="83"/>
      <c r="AF865" s="83"/>
      <c r="AG865" s="83"/>
      <c r="AH865" s="83"/>
      <c r="AI865" s="83"/>
      <c r="AJ865" s="83"/>
      <c r="AK865" s="83"/>
      <c r="AL865" s="83"/>
      <c r="AM865" s="83"/>
      <c r="AN865" s="83"/>
      <c r="AO865" s="83"/>
      <c r="AP865" s="83"/>
      <c r="AQ865" s="83"/>
      <c r="AR865" s="83"/>
      <c r="AS865" s="83"/>
      <c r="AT865" s="83"/>
    </row>
    <row r="866" spans="1:46" ht="13.8">
      <c r="A866" s="83"/>
      <c r="B866" s="83"/>
      <c r="C866" s="83"/>
      <c r="D866" s="83"/>
      <c r="E866" s="82"/>
      <c r="F866" s="82"/>
      <c r="G866" s="83"/>
      <c r="H866" s="83"/>
      <c r="I866" s="83"/>
      <c r="J866" s="83"/>
      <c r="K866" s="83"/>
      <c r="L866" s="83"/>
      <c r="M866" s="83"/>
      <c r="N866" s="83"/>
      <c r="O866" s="83"/>
      <c r="P866" s="83"/>
      <c r="Q866" s="83"/>
      <c r="R866" s="83"/>
      <c r="S866" s="83"/>
      <c r="T866" s="83"/>
      <c r="U866" s="83"/>
      <c r="V866" s="83"/>
      <c r="W866" s="83"/>
      <c r="X866" s="83"/>
      <c r="Y866" s="83"/>
      <c r="Z866" s="83"/>
      <c r="AA866" s="83"/>
      <c r="AB866" s="83"/>
      <c r="AC866" s="83"/>
      <c r="AD866" s="83"/>
      <c r="AE866" s="83"/>
      <c r="AF866" s="83"/>
      <c r="AG866" s="83"/>
      <c r="AH866" s="83"/>
      <c r="AI866" s="83"/>
      <c r="AJ866" s="83"/>
      <c r="AK866" s="83"/>
      <c r="AL866" s="83"/>
      <c r="AM866" s="83"/>
      <c r="AN866" s="83"/>
      <c r="AO866" s="83"/>
      <c r="AP866" s="83"/>
      <c r="AQ866" s="83"/>
      <c r="AR866" s="83"/>
      <c r="AS866" s="83"/>
      <c r="AT866" s="83"/>
    </row>
    <row r="867" spans="1:46" ht="13.8">
      <c r="A867" s="83"/>
      <c r="B867" s="83"/>
      <c r="C867" s="83"/>
      <c r="D867" s="83"/>
      <c r="E867" s="82"/>
      <c r="F867" s="82"/>
      <c r="G867" s="83"/>
      <c r="H867" s="83"/>
      <c r="I867" s="83"/>
      <c r="J867" s="83"/>
      <c r="K867" s="83"/>
      <c r="L867" s="83"/>
      <c r="M867" s="83"/>
      <c r="N867" s="83"/>
      <c r="O867" s="83"/>
      <c r="P867" s="83"/>
      <c r="Q867" s="83"/>
      <c r="R867" s="83"/>
      <c r="S867" s="83"/>
      <c r="T867" s="83"/>
      <c r="U867" s="83"/>
      <c r="V867" s="83"/>
      <c r="W867" s="83"/>
      <c r="X867" s="83"/>
      <c r="Y867" s="83"/>
      <c r="Z867" s="83"/>
      <c r="AA867" s="83"/>
      <c r="AB867" s="83"/>
      <c r="AC867" s="83"/>
      <c r="AD867" s="83"/>
      <c r="AE867" s="83"/>
      <c r="AF867" s="83"/>
      <c r="AG867" s="83"/>
      <c r="AH867" s="83"/>
      <c r="AI867" s="83"/>
      <c r="AJ867" s="83"/>
      <c r="AK867" s="83"/>
      <c r="AL867" s="83"/>
      <c r="AM867" s="83"/>
      <c r="AN867" s="83"/>
      <c r="AO867" s="83"/>
      <c r="AP867" s="83"/>
      <c r="AQ867" s="83"/>
      <c r="AR867" s="83"/>
      <c r="AS867" s="83"/>
      <c r="AT867" s="83"/>
    </row>
    <row r="868" spans="1:46" ht="13.8">
      <c r="A868" s="83"/>
      <c r="B868" s="83"/>
      <c r="C868" s="83"/>
      <c r="D868" s="83"/>
      <c r="E868" s="82"/>
      <c r="F868" s="82"/>
      <c r="G868" s="83"/>
      <c r="H868" s="83"/>
      <c r="I868" s="83"/>
      <c r="J868" s="83"/>
      <c r="K868" s="83"/>
      <c r="L868" s="83"/>
      <c r="M868" s="83"/>
      <c r="N868" s="83"/>
      <c r="O868" s="83"/>
      <c r="P868" s="83"/>
      <c r="Q868" s="83"/>
      <c r="R868" s="83"/>
      <c r="S868" s="83"/>
      <c r="T868" s="83"/>
      <c r="U868" s="83"/>
      <c r="V868" s="83"/>
      <c r="W868" s="83"/>
      <c r="X868" s="83"/>
      <c r="Y868" s="83"/>
      <c r="Z868" s="83"/>
      <c r="AA868" s="83"/>
      <c r="AB868" s="83"/>
      <c r="AC868" s="83"/>
      <c r="AD868" s="83"/>
      <c r="AE868" s="83"/>
      <c r="AF868" s="83"/>
      <c r="AG868" s="83"/>
      <c r="AH868" s="83"/>
      <c r="AI868" s="83"/>
      <c r="AJ868" s="83"/>
      <c r="AK868" s="83"/>
      <c r="AL868" s="83"/>
      <c r="AM868" s="83"/>
      <c r="AN868" s="83"/>
      <c r="AO868" s="83"/>
      <c r="AP868" s="83"/>
      <c r="AQ868" s="83"/>
      <c r="AR868" s="83"/>
      <c r="AS868" s="83"/>
      <c r="AT868" s="83"/>
    </row>
    <row r="869" spans="1:46" ht="13.8">
      <c r="A869" s="83"/>
      <c r="B869" s="83"/>
      <c r="C869" s="83"/>
      <c r="D869" s="83"/>
      <c r="E869" s="82"/>
      <c r="F869" s="82"/>
      <c r="G869" s="83"/>
      <c r="H869" s="83"/>
      <c r="I869" s="83"/>
      <c r="J869" s="83"/>
      <c r="K869" s="83"/>
      <c r="L869" s="83"/>
      <c r="M869" s="83"/>
      <c r="N869" s="83"/>
      <c r="O869" s="83"/>
      <c r="P869" s="83"/>
      <c r="Q869" s="83"/>
      <c r="R869" s="83"/>
      <c r="S869" s="83"/>
      <c r="T869" s="83"/>
      <c r="U869" s="83"/>
      <c r="V869" s="83"/>
      <c r="W869" s="83"/>
      <c r="X869" s="83"/>
      <c r="Y869" s="83"/>
      <c r="Z869" s="83"/>
      <c r="AA869" s="83"/>
      <c r="AB869" s="83"/>
      <c r="AC869" s="83"/>
      <c r="AD869" s="83"/>
      <c r="AE869" s="83"/>
      <c r="AF869" s="83"/>
      <c r="AG869" s="83"/>
      <c r="AH869" s="83"/>
      <c r="AI869" s="83"/>
      <c r="AJ869" s="83"/>
      <c r="AK869" s="83"/>
      <c r="AL869" s="83"/>
      <c r="AM869" s="83"/>
      <c r="AN869" s="83"/>
      <c r="AO869" s="83"/>
      <c r="AP869" s="83"/>
      <c r="AQ869" s="83"/>
      <c r="AR869" s="83"/>
      <c r="AS869" s="83"/>
      <c r="AT869" s="83"/>
    </row>
    <row r="870" spans="1:46" ht="13.8">
      <c r="A870" s="83"/>
      <c r="B870" s="83"/>
      <c r="C870" s="83"/>
      <c r="D870" s="83"/>
      <c r="E870" s="82"/>
      <c r="F870" s="82"/>
      <c r="G870" s="83"/>
      <c r="H870" s="83"/>
      <c r="I870" s="83"/>
      <c r="J870" s="83"/>
      <c r="K870" s="83"/>
      <c r="L870" s="83"/>
      <c r="M870" s="83"/>
      <c r="N870" s="83"/>
      <c r="O870" s="83"/>
      <c r="P870" s="83"/>
      <c r="Q870" s="83"/>
      <c r="R870" s="83"/>
      <c r="S870" s="83"/>
      <c r="T870" s="83"/>
      <c r="U870" s="83"/>
      <c r="V870" s="83"/>
      <c r="W870" s="83"/>
      <c r="X870" s="83"/>
      <c r="Y870" s="83"/>
      <c r="Z870" s="83"/>
      <c r="AA870" s="83"/>
      <c r="AB870" s="83"/>
      <c r="AC870" s="83"/>
      <c r="AD870" s="83"/>
      <c r="AE870" s="83"/>
      <c r="AF870" s="83"/>
      <c r="AG870" s="83"/>
      <c r="AH870" s="83"/>
      <c r="AI870" s="83"/>
      <c r="AJ870" s="83"/>
      <c r="AK870" s="83"/>
      <c r="AL870" s="83"/>
      <c r="AM870" s="83"/>
      <c r="AN870" s="83"/>
      <c r="AO870" s="83"/>
      <c r="AP870" s="83"/>
      <c r="AQ870" s="83"/>
      <c r="AR870" s="83"/>
      <c r="AS870" s="83"/>
      <c r="AT870" s="83"/>
    </row>
    <row r="871" spans="1:46" ht="13.8">
      <c r="A871" s="83"/>
      <c r="B871" s="83"/>
      <c r="C871" s="83"/>
      <c r="D871" s="83"/>
      <c r="E871" s="82"/>
      <c r="F871" s="82"/>
      <c r="G871" s="83"/>
      <c r="H871" s="83"/>
      <c r="I871" s="83"/>
      <c r="J871" s="83"/>
      <c r="K871" s="83"/>
      <c r="L871" s="83"/>
      <c r="M871" s="83"/>
      <c r="N871" s="83"/>
      <c r="O871" s="83"/>
      <c r="P871" s="83"/>
      <c r="Q871" s="83"/>
      <c r="R871" s="83"/>
      <c r="S871" s="83"/>
      <c r="T871" s="83"/>
      <c r="U871" s="83"/>
      <c r="V871" s="83"/>
      <c r="W871" s="83"/>
      <c r="X871" s="83"/>
      <c r="Y871" s="83"/>
      <c r="Z871" s="83"/>
      <c r="AA871" s="83"/>
      <c r="AB871" s="83"/>
      <c r="AC871" s="83"/>
      <c r="AD871" s="83"/>
      <c r="AE871" s="83"/>
      <c r="AF871" s="83"/>
      <c r="AG871" s="83"/>
      <c r="AH871" s="83"/>
      <c r="AI871" s="83"/>
      <c r="AJ871" s="83"/>
      <c r="AK871" s="83"/>
      <c r="AL871" s="83"/>
      <c r="AM871" s="83"/>
      <c r="AN871" s="83"/>
      <c r="AO871" s="83"/>
      <c r="AP871" s="83"/>
      <c r="AQ871" s="83"/>
      <c r="AR871" s="83"/>
      <c r="AS871" s="83"/>
      <c r="AT871" s="83"/>
    </row>
    <row r="872" spans="1:46" ht="13.8">
      <c r="A872" s="83"/>
      <c r="B872" s="83"/>
      <c r="C872" s="83"/>
      <c r="D872" s="83"/>
      <c r="E872" s="82"/>
      <c r="F872" s="82"/>
      <c r="G872" s="83"/>
      <c r="H872" s="83"/>
      <c r="I872" s="83"/>
      <c r="J872" s="83"/>
      <c r="K872" s="83"/>
      <c r="L872" s="83"/>
      <c r="M872" s="83"/>
      <c r="N872" s="83"/>
      <c r="O872" s="83"/>
      <c r="P872" s="83"/>
      <c r="Q872" s="83"/>
      <c r="R872" s="83"/>
      <c r="S872" s="83"/>
      <c r="T872" s="83"/>
      <c r="U872" s="83"/>
      <c r="V872" s="83"/>
      <c r="W872" s="83"/>
      <c r="X872" s="83"/>
      <c r="Y872" s="83"/>
      <c r="Z872" s="83"/>
      <c r="AA872" s="83"/>
      <c r="AB872" s="83"/>
      <c r="AC872" s="83"/>
      <c r="AD872" s="83"/>
      <c r="AE872" s="83"/>
      <c r="AF872" s="83"/>
      <c r="AG872" s="83"/>
      <c r="AH872" s="83"/>
      <c r="AI872" s="83"/>
      <c r="AJ872" s="83"/>
      <c r="AK872" s="83"/>
      <c r="AL872" s="83"/>
      <c r="AM872" s="83"/>
      <c r="AN872" s="83"/>
      <c r="AO872" s="83"/>
      <c r="AP872" s="83"/>
      <c r="AQ872" s="83"/>
      <c r="AR872" s="83"/>
      <c r="AS872" s="83"/>
      <c r="AT872" s="83"/>
    </row>
    <row r="873" spans="1:46" ht="13.8">
      <c r="A873" s="83"/>
      <c r="B873" s="83"/>
      <c r="C873" s="83"/>
      <c r="D873" s="83"/>
      <c r="E873" s="82"/>
      <c r="F873" s="82"/>
      <c r="G873" s="83"/>
      <c r="H873" s="83"/>
      <c r="I873" s="83"/>
      <c r="J873" s="83"/>
      <c r="K873" s="83"/>
      <c r="L873" s="83"/>
      <c r="M873" s="83"/>
      <c r="N873" s="83"/>
      <c r="O873" s="83"/>
      <c r="P873" s="83"/>
      <c r="Q873" s="83"/>
      <c r="R873" s="83"/>
      <c r="S873" s="83"/>
      <c r="T873" s="83"/>
      <c r="U873" s="83"/>
      <c r="V873" s="83"/>
      <c r="W873" s="83"/>
      <c r="X873" s="83"/>
      <c r="Y873" s="83"/>
      <c r="Z873" s="83"/>
      <c r="AA873" s="83"/>
      <c r="AB873" s="83"/>
      <c r="AC873" s="83"/>
      <c r="AD873" s="83"/>
      <c r="AE873" s="83"/>
      <c r="AF873" s="83"/>
      <c r="AG873" s="83"/>
      <c r="AH873" s="83"/>
      <c r="AI873" s="83"/>
      <c r="AJ873" s="83"/>
      <c r="AK873" s="83"/>
      <c r="AL873" s="83"/>
      <c r="AM873" s="83"/>
      <c r="AN873" s="83"/>
      <c r="AO873" s="83"/>
      <c r="AP873" s="83"/>
      <c r="AQ873" s="83"/>
      <c r="AR873" s="83"/>
      <c r="AS873" s="83"/>
      <c r="AT873" s="83"/>
    </row>
    <row r="874" spans="1:46" ht="13.8">
      <c r="A874" s="83"/>
      <c r="B874" s="83"/>
      <c r="C874" s="83"/>
      <c r="D874" s="83"/>
      <c r="E874" s="82"/>
      <c r="F874" s="82"/>
      <c r="G874" s="83"/>
      <c r="H874" s="83"/>
      <c r="I874" s="83"/>
      <c r="J874" s="83"/>
      <c r="K874" s="83"/>
      <c r="L874" s="83"/>
      <c r="M874" s="83"/>
      <c r="N874" s="83"/>
      <c r="O874" s="83"/>
      <c r="P874" s="83"/>
      <c r="Q874" s="83"/>
      <c r="R874" s="83"/>
      <c r="S874" s="83"/>
      <c r="T874" s="83"/>
      <c r="U874" s="83"/>
      <c r="V874" s="83"/>
      <c r="W874" s="83"/>
      <c r="X874" s="83"/>
      <c r="Y874" s="83"/>
      <c r="Z874" s="83"/>
      <c r="AA874" s="83"/>
      <c r="AB874" s="83"/>
      <c r="AC874" s="83"/>
      <c r="AD874" s="83"/>
      <c r="AE874" s="83"/>
      <c r="AF874" s="83"/>
      <c r="AG874" s="83"/>
      <c r="AH874" s="83"/>
      <c r="AI874" s="83"/>
      <c r="AJ874" s="83"/>
      <c r="AK874" s="83"/>
      <c r="AL874" s="83"/>
      <c r="AM874" s="83"/>
      <c r="AN874" s="83"/>
      <c r="AO874" s="83"/>
      <c r="AP874" s="83"/>
      <c r="AQ874" s="83"/>
      <c r="AR874" s="83"/>
      <c r="AS874" s="83"/>
      <c r="AT874" s="83"/>
    </row>
    <row r="875" spans="1:46" ht="13.8">
      <c r="A875" s="83"/>
      <c r="B875" s="83"/>
      <c r="C875" s="83"/>
      <c r="D875" s="83"/>
      <c r="E875" s="82"/>
      <c r="F875" s="82"/>
      <c r="G875" s="83"/>
      <c r="H875" s="83"/>
      <c r="I875" s="83"/>
      <c r="J875" s="83"/>
      <c r="K875" s="83"/>
      <c r="L875" s="83"/>
      <c r="M875" s="83"/>
      <c r="N875" s="83"/>
      <c r="O875" s="83"/>
      <c r="P875" s="83"/>
      <c r="Q875" s="83"/>
      <c r="R875" s="83"/>
      <c r="S875" s="83"/>
      <c r="T875" s="83"/>
      <c r="U875" s="83"/>
      <c r="V875" s="83"/>
      <c r="W875" s="83"/>
      <c r="X875" s="83"/>
      <c r="Y875" s="83"/>
      <c r="Z875" s="83"/>
      <c r="AA875" s="83"/>
      <c r="AB875" s="83"/>
      <c r="AC875" s="83"/>
      <c r="AD875" s="83"/>
      <c r="AE875" s="83"/>
      <c r="AF875" s="83"/>
      <c r="AG875" s="83"/>
      <c r="AH875" s="83"/>
      <c r="AI875" s="83"/>
      <c r="AJ875" s="83"/>
      <c r="AK875" s="83"/>
      <c r="AL875" s="83"/>
      <c r="AM875" s="83"/>
      <c r="AN875" s="83"/>
      <c r="AO875" s="83"/>
      <c r="AP875" s="83"/>
      <c r="AQ875" s="83"/>
      <c r="AR875" s="83"/>
      <c r="AS875" s="83"/>
      <c r="AT875" s="83"/>
    </row>
    <row r="876" spans="1:46" ht="13.8">
      <c r="A876" s="83"/>
      <c r="B876" s="83"/>
      <c r="C876" s="83"/>
      <c r="D876" s="83"/>
      <c r="E876" s="82"/>
      <c r="F876" s="82"/>
      <c r="G876" s="83"/>
      <c r="H876" s="83"/>
      <c r="I876" s="83"/>
      <c r="J876" s="83"/>
      <c r="K876" s="83"/>
      <c r="L876" s="83"/>
      <c r="M876" s="83"/>
      <c r="N876" s="83"/>
      <c r="O876" s="83"/>
      <c r="P876" s="83"/>
      <c r="Q876" s="83"/>
      <c r="R876" s="83"/>
      <c r="S876" s="83"/>
      <c r="T876" s="83"/>
      <c r="U876" s="83"/>
      <c r="V876" s="83"/>
      <c r="W876" s="83"/>
      <c r="X876" s="83"/>
      <c r="Y876" s="83"/>
      <c r="Z876" s="83"/>
      <c r="AA876" s="83"/>
      <c r="AB876" s="83"/>
      <c r="AC876" s="83"/>
      <c r="AD876" s="83"/>
      <c r="AE876" s="83"/>
      <c r="AF876" s="83"/>
      <c r="AG876" s="83"/>
      <c r="AH876" s="83"/>
      <c r="AI876" s="83"/>
      <c r="AJ876" s="83"/>
      <c r="AK876" s="83"/>
      <c r="AL876" s="83"/>
      <c r="AM876" s="83"/>
      <c r="AN876" s="83"/>
      <c r="AO876" s="83"/>
      <c r="AP876" s="83"/>
      <c r="AQ876" s="83"/>
      <c r="AR876" s="83"/>
      <c r="AS876" s="83"/>
      <c r="AT876" s="83"/>
    </row>
    <row r="877" spans="1:46" ht="13.8">
      <c r="A877" s="83"/>
      <c r="B877" s="83"/>
      <c r="C877" s="83"/>
      <c r="D877" s="83"/>
      <c r="E877" s="82"/>
      <c r="F877" s="82"/>
      <c r="G877" s="83"/>
      <c r="H877" s="83"/>
      <c r="I877" s="83"/>
      <c r="J877" s="83"/>
      <c r="K877" s="83"/>
      <c r="L877" s="83"/>
      <c r="M877" s="83"/>
      <c r="N877" s="83"/>
      <c r="O877" s="83"/>
      <c r="P877" s="83"/>
      <c r="Q877" s="83"/>
      <c r="R877" s="83"/>
      <c r="S877" s="83"/>
      <c r="T877" s="83"/>
      <c r="U877" s="83"/>
      <c r="V877" s="83"/>
      <c r="W877" s="83"/>
      <c r="X877" s="83"/>
      <c r="Y877" s="83"/>
      <c r="Z877" s="83"/>
      <c r="AA877" s="83"/>
      <c r="AB877" s="83"/>
      <c r="AC877" s="83"/>
      <c r="AD877" s="83"/>
      <c r="AE877" s="83"/>
      <c r="AF877" s="83"/>
      <c r="AG877" s="83"/>
      <c r="AH877" s="83"/>
      <c r="AI877" s="83"/>
      <c r="AJ877" s="83"/>
      <c r="AK877" s="83"/>
      <c r="AL877" s="83"/>
      <c r="AM877" s="83"/>
      <c r="AN877" s="83"/>
      <c r="AO877" s="83"/>
      <c r="AP877" s="83"/>
      <c r="AQ877" s="83"/>
      <c r="AR877" s="83"/>
      <c r="AS877" s="83"/>
      <c r="AT877" s="83"/>
    </row>
    <row r="878" spans="1:46" ht="13.8">
      <c r="A878" s="83"/>
      <c r="B878" s="83"/>
      <c r="C878" s="83"/>
      <c r="D878" s="83"/>
      <c r="E878" s="82"/>
      <c r="F878" s="82"/>
      <c r="G878" s="83"/>
      <c r="H878" s="83"/>
      <c r="I878" s="83"/>
      <c r="J878" s="83"/>
      <c r="K878" s="83"/>
      <c r="L878" s="83"/>
      <c r="M878" s="83"/>
      <c r="N878" s="83"/>
      <c r="O878" s="83"/>
      <c r="P878" s="83"/>
      <c r="Q878" s="83"/>
      <c r="R878" s="83"/>
      <c r="S878" s="83"/>
      <c r="T878" s="83"/>
      <c r="U878" s="83"/>
      <c r="V878" s="83"/>
      <c r="W878" s="83"/>
      <c r="X878" s="83"/>
      <c r="Y878" s="83"/>
      <c r="Z878" s="83"/>
      <c r="AA878" s="83"/>
      <c r="AB878" s="83"/>
      <c r="AC878" s="83"/>
      <c r="AD878" s="83"/>
      <c r="AE878" s="83"/>
      <c r="AF878" s="83"/>
      <c r="AG878" s="83"/>
      <c r="AH878" s="83"/>
      <c r="AI878" s="83"/>
      <c r="AJ878" s="83"/>
      <c r="AK878" s="83"/>
      <c r="AL878" s="83"/>
      <c r="AM878" s="83"/>
      <c r="AN878" s="83"/>
      <c r="AO878" s="83"/>
      <c r="AP878" s="83"/>
      <c r="AQ878" s="83"/>
      <c r="AR878" s="83"/>
      <c r="AS878" s="83"/>
      <c r="AT878" s="83"/>
    </row>
    <row r="879" spans="1:46" ht="13.8">
      <c r="A879" s="83"/>
      <c r="B879" s="83"/>
      <c r="C879" s="83"/>
      <c r="D879" s="83"/>
      <c r="E879" s="82"/>
      <c r="F879" s="82"/>
      <c r="G879" s="83"/>
      <c r="H879" s="83"/>
      <c r="I879" s="83"/>
      <c r="J879" s="83"/>
      <c r="K879" s="83"/>
      <c r="L879" s="83"/>
      <c r="M879" s="83"/>
      <c r="N879" s="83"/>
      <c r="O879" s="83"/>
      <c r="P879" s="83"/>
      <c r="Q879" s="83"/>
      <c r="R879" s="83"/>
      <c r="S879" s="83"/>
      <c r="T879" s="83"/>
      <c r="U879" s="83"/>
      <c r="V879" s="83"/>
      <c r="W879" s="83"/>
      <c r="X879" s="83"/>
      <c r="Y879" s="83"/>
      <c r="Z879" s="83"/>
      <c r="AA879" s="83"/>
      <c r="AB879" s="83"/>
      <c r="AC879" s="83"/>
      <c r="AD879" s="83"/>
      <c r="AE879" s="83"/>
      <c r="AF879" s="83"/>
      <c r="AG879" s="83"/>
      <c r="AH879" s="83"/>
      <c r="AI879" s="83"/>
      <c r="AJ879" s="83"/>
      <c r="AK879" s="83"/>
      <c r="AL879" s="83"/>
      <c r="AM879" s="83"/>
      <c r="AN879" s="83"/>
      <c r="AO879" s="83"/>
      <c r="AP879" s="83"/>
      <c r="AQ879" s="83"/>
      <c r="AR879" s="83"/>
      <c r="AS879" s="83"/>
      <c r="AT879" s="83"/>
    </row>
    <row r="880" spans="1:46" ht="13.8">
      <c r="A880" s="83"/>
      <c r="B880" s="83"/>
      <c r="C880" s="83"/>
      <c r="D880" s="83"/>
      <c r="E880" s="82"/>
      <c r="F880" s="82"/>
      <c r="G880" s="83"/>
      <c r="H880" s="83"/>
      <c r="I880" s="83"/>
      <c r="J880" s="83"/>
      <c r="K880" s="83"/>
      <c r="L880" s="83"/>
      <c r="M880" s="83"/>
      <c r="N880" s="83"/>
      <c r="O880" s="83"/>
      <c r="P880" s="83"/>
      <c r="Q880" s="83"/>
      <c r="R880" s="83"/>
      <c r="S880" s="83"/>
      <c r="T880" s="83"/>
      <c r="U880" s="83"/>
      <c r="V880" s="83"/>
      <c r="W880" s="83"/>
      <c r="X880" s="83"/>
      <c r="Y880" s="83"/>
      <c r="Z880" s="83"/>
      <c r="AA880" s="83"/>
      <c r="AB880" s="83"/>
      <c r="AC880" s="83"/>
      <c r="AD880" s="83"/>
      <c r="AE880" s="83"/>
      <c r="AF880" s="83"/>
      <c r="AG880" s="83"/>
      <c r="AH880" s="83"/>
      <c r="AI880" s="83"/>
      <c r="AJ880" s="83"/>
      <c r="AK880" s="83"/>
      <c r="AL880" s="83"/>
      <c r="AM880" s="83"/>
      <c r="AN880" s="83"/>
      <c r="AO880" s="83"/>
      <c r="AP880" s="83"/>
      <c r="AQ880" s="83"/>
      <c r="AR880" s="83"/>
      <c r="AS880" s="83"/>
      <c r="AT880" s="83"/>
    </row>
    <row r="881" spans="1:46" ht="13.8">
      <c r="A881" s="83"/>
      <c r="B881" s="83"/>
      <c r="C881" s="83"/>
      <c r="D881" s="83"/>
      <c r="E881" s="82"/>
      <c r="F881" s="82"/>
      <c r="G881" s="83"/>
      <c r="H881" s="83"/>
      <c r="I881" s="83"/>
      <c r="J881" s="83"/>
      <c r="K881" s="83"/>
      <c r="L881" s="83"/>
      <c r="M881" s="83"/>
      <c r="N881" s="83"/>
      <c r="O881" s="83"/>
      <c r="P881" s="83"/>
      <c r="Q881" s="83"/>
      <c r="R881" s="83"/>
      <c r="S881" s="83"/>
      <c r="T881" s="83"/>
      <c r="U881" s="83"/>
      <c r="V881" s="83"/>
      <c r="W881" s="83"/>
      <c r="X881" s="83"/>
      <c r="Y881" s="83"/>
      <c r="Z881" s="83"/>
      <c r="AA881" s="83"/>
      <c r="AB881" s="83"/>
      <c r="AC881" s="83"/>
      <c r="AD881" s="83"/>
      <c r="AE881" s="83"/>
      <c r="AF881" s="83"/>
      <c r="AG881" s="83"/>
      <c r="AH881" s="83"/>
      <c r="AI881" s="83"/>
      <c r="AJ881" s="83"/>
      <c r="AK881" s="83"/>
      <c r="AL881" s="83"/>
      <c r="AM881" s="83"/>
      <c r="AN881" s="83"/>
      <c r="AO881" s="83"/>
      <c r="AP881" s="83"/>
      <c r="AQ881" s="83"/>
      <c r="AR881" s="83"/>
      <c r="AS881" s="83"/>
      <c r="AT881" s="83"/>
    </row>
    <row r="882" spans="1:46" ht="13.8">
      <c r="A882" s="83"/>
      <c r="B882" s="83"/>
      <c r="C882" s="83"/>
      <c r="D882" s="83"/>
      <c r="E882" s="82"/>
      <c r="F882" s="82"/>
      <c r="G882" s="83"/>
      <c r="H882" s="83"/>
      <c r="I882" s="83"/>
      <c r="J882" s="83"/>
      <c r="K882" s="83"/>
      <c r="L882" s="83"/>
      <c r="M882" s="83"/>
      <c r="N882" s="83"/>
      <c r="O882" s="83"/>
      <c r="P882" s="83"/>
      <c r="Q882" s="83"/>
      <c r="R882" s="83"/>
      <c r="S882" s="83"/>
      <c r="T882" s="83"/>
      <c r="U882" s="83"/>
      <c r="V882" s="83"/>
      <c r="W882" s="83"/>
      <c r="X882" s="83"/>
      <c r="Y882" s="83"/>
      <c r="Z882" s="83"/>
      <c r="AA882" s="83"/>
      <c r="AB882" s="83"/>
      <c r="AC882" s="83"/>
      <c r="AD882" s="83"/>
      <c r="AE882" s="83"/>
      <c r="AF882" s="83"/>
      <c r="AG882" s="83"/>
      <c r="AH882" s="83"/>
      <c r="AI882" s="83"/>
      <c r="AJ882" s="83"/>
      <c r="AK882" s="83"/>
      <c r="AL882" s="83"/>
      <c r="AM882" s="83"/>
      <c r="AN882" s="83"/>
      <c r="AO882" s="83"/>
      <c r="AP882" s="83"/>
      <c r="AQ882" s="83"/>
      <c r="AR882" s="83"/>
      <c r="AS882" s="83"/>
      <c r="AT882" s="83"/>
    </row>
    <row r="883" spans="1:46" ht="13.8">
      <c r="A883" s="83"/>
      <c r="B883" s="83"/>
      <c r="C883" s="83"/>
      <c r="D883" s="83"/>
      <c r="E883" s="82"/>
      <c r="F883" s="82"/>
      <c r="G883" s="83"/>
      <c r="H883" s="83"/>
      <c r="I883" s="83"/>
      <c r="J883" s="83"/>
      <c r="K883" s="83"/>
      <c r="L883" s="83"/>
      <c r="M883" s="83"/>
      <c r="N883" s="83"/>
      <c r="O883" s="83"/>
      <c r="P883" s="83"/>
      <c r="Q883" s="83"/>
      <c r="R883" s="83"/>
      <c r="S883" s="83"/>
      <c r="T883" s="83"/>
      <c r="U883" s="83"/>
      <c r="V883" s="83"/>
      <c r="W883" s="83"/>
      <c r="X883" s="83"/>
      <c r="Y883" s="83"/>
      <c r="Z883" s="83"/>
      <c r="AA883" s="83"/>
      <c r="AB883" s="83"/>
      <c r="AC883" s="83"/>
      <c r="AD883" s="83"/>
      <c r="AE883" s="83"/>
      <c r="AF883" s="83"/>
      <c r="AG883" s="83"/>
      <c r="AH883" s="83"/>
      <c r="AI883" s="83"/>
      <c r="AJ883" s="83"/>
      <c r="AK883" s="83"/>
      <c r="AL883" s="83"/>
      <c r="AM883" s="83"/>
      <c r="AN883" s="83"/>
      <c r="AO883" s="83"/>
      <c r="AP883" s="83"/>
      <c r="AQ883" s="83"/>
      <c r="AR883" s="83"/>
      <c r="AS883" s="83"/>
      <c r="AT883" s="83"/>
    </row>
    <row r="884" spans="1:46" ht="13.8">
      <c r="A884" s="83"/>
      <c r="B884" s="83"/>
      <c r="C884" s="83"/>
      <c r="D884" s="83"/>
      <c r="E884" s="82"/>
      <c r="F884" s="82"/>
      <c r="G884" s="83"/>
      <c r="H884" s="83"/>
      <c r="I884" s="83"/>
      <c r="J884" s="83"/>
      <c r="K884" s="83"/>
      <c r="L884" s="83"/>
      <c r="M884" s="83"/>
      <c r="N884" s="83"/>
      <c r="O884" s="83"/>
      <c r="P884" s="83"/>
      <c r="Q884" s="83"/>
      <c r="R884" s="83"/>
      <c r="S884" s="83"/>
      <c r="T884" s="83"/>
      <c r="U884" s="83"/>
      <c r="V884" s="83"/>
      <c r="W884" s="83"/>
      <c r="X884" s="83"/>
      <c r="Y884" s="83"/>
      <c r="Z884" s="83"/>
      <c r="AA884" s="83"/>
      <c r="AB884" s="83"/>
      <c r="AC884" s="83"/>
      <c r="AD884" s="83"/>
      <c r="AE884" s="83"/>
      <c r="AF884" s="83"/>
      <c r="AG884" s="83"/>
      <c r="AH884" s="83"/>
      <c r="AI884" s="83"/>
      <c r="AJ884" s="83"/>
      <c r="AK884" s="83"/>
      <c r="AL884" s="83"/>
      <c r="AM884" s="83"/>
      <c r="AN884" s="83"/>
      <c r="AO884" s="83"/>
      <c r="AP884" s="83"/>
      <c r="AQ884" s="83"/>
      <c r="AR884" s="83"/>
      <c r="AS884" s="83"/>
      <c r="AT884" s="83"/>
    </row>
    <row r="885" spans="1:46" ht="13.8">
      <c r="A885" s="83"/>
      <c r="B885" s="83"/>
      <c r="C885" s="83"/>
      <c r="D885" s="83"/>
      <c r="E885" s="82"/>
      <c r="F885" s="82"/>
      <c r="G885" s="83"/>
      <c r="H885" s="83"/>
      <c r="I885" s="83"/>
      <c r="J885" s="83"/>
      <c r="K885" s="83"/>
      <c r="L885" s="83"/>
      <c r="M885" s="83"/>
      <c r="N885" s="83"/>
      <c r="O885" s="83"/>
      <c r="P885" s="83"/>
      <c r="Q885" s="83"/>
      <c r="R885" s="83"/>
      <c r="S885" s="83"/>
      <c r="T885" s="83"/>
      <c r="U885" s="83"/>
      <c r="V885" s="83"/>
      <c r="W885" s="83"/>
      <c r="X885" s="83"/>
      <c r="Y885" s="83"/>
      <c r="Z885" s="83"/>
      <c r="AA885" s="83"/>
      <c r="AB885" s="83"/>
      <c r="AC885" s="83"/>
      <c r="AD885" s="83"/>
      <c r="AE885" s="83"/>
      <c r="AF885" s="83"/>
      <c r="AG885" s="83"/>
      <c r="AH885" s="83"/>
      <c r="AI885" s="83"/>
      <c r="AJ885" s="83"/>
      <c r="AK885" s="83"/>
      <c r="AL885" s="83"/>
      <c r="AM885" s="83"/>
      <c r="AN885" s="83"/>
      <c r="AO885" s="83"/>
      <c r="AP885" s="83"/>
      <c r="AQ885" s="83"/>
      <c r="AR885" s="83"/>
      <c r="AS885" s="83"/>
      <c r="AT885" s="83"/>
    </row>
    <row r="886" spans="1:46" ht="13.8">
      <c r="A886" s="83"/>
      <c r="B886" s="83"/>
      <c r="C886" s="83"/>
      <c r="D886" s="83"/>
      <c r="E886" s="82"/>
      <c r="F886" s="82"/>
      <c r="G886" s="83"/>
      <c r="H886" s="83"/>
      <c r="I886" s="83"/>
      <c r="J886" s="83"/>
      <c r="K886" s="83"/>
      <c r="L886" s="83"/>
      <c r="M886" s="83"/>
      <c r="N886" s="83"/>
      <c r="O886" s="83"/>
      <c r="P886" s="83"/>
      <c r="Q886" s="83"/>
      <c r="R886" s="83"/>
      <c r="S886" s="83"/>
      <c r="T886" s="83"/>
      <c r="U886" s="83"/>
      <c r="V886" s="83"/>
      <c r="W886" s="83"/>
      <c r="X886" s="83"/>
      <c r="Y886" s="83"/>
      <c r="Z886" s="83"/>
      <c r="AA886" s="83"/>
      <c r="AB886" s="83"/>
      <c r="AC886" s="83"/>
      <c r="AD886" s="83"/>
      <c r="AE886" s="83"/>
      <c r="AF886" s="83"/>
      <c r="AG886" s="83"/>
      <c r="AH886" s="83"/>
      <c r="AI886" s="83"/>
      <c r="AJ886" s="83"/>
      <c r="AK886" s="83"/>
      <c r="AL886" s="83"/>
      <c r="AM886" s="83"/>
      <c r="AN886" s="83"/>
      <c r="AO886" s="83"/>
      <c r="AP886" s="83"/>
      <c r="AQ886" s="83"/>
      <c r="AR886" s="83"/>
      <c r="AS886" s="83"/>
      <c r="AT886" s="83"/>
    </row>
    <row r="887" spans="1:46" ht="13.8">
      <c r="A887" s="83"/>
      <c r="B887" s="83"/>
      <c r="C887" s="83"/>
      <c r="D887" s="83"/>
      <c r="E887" s="82"/>
      <c r="F887" s="82"/>
      <c r="G887" s="83"/>
      <c r="H887" s="83"/>
      <c r="I887" s="83"/>
      <c r="J887" s="83"/>
      <c r="K887" s="83"/>
      <c r="L887" s="83"/>
      <c r="M887" s="83"/>
      <c r="N887" s="83"/>
      <c r="O887" s="83"/>
      <c r="P887" s="83"/>
      <c r="Q887" s="83"/>
      <c r="R887" s="83"/>
      <c r="S887" s="83"/>
      <c r="T887" s="83"/>
      <c r="U887" s="83"/>
      <c r="V887" s="83"/>
      <c r="W887" s="83"/>
      <c r="X887" s="83"/>
      <c r="Y887" s="83"/>
      <c r="Z887" s="83"/>
      <c r="AA887" s="83"/>
      <c r="AB887" s="83"/>
      <c r="AC887" s="83"/>
      <c r="AD887" s="83"/>
      <c r="AE887" s="83"/>
      <c r="AF887" s="83"/>
      <c r="AG887" s="83"/>
      <c r="AH887" s="83"/>
      <c r="AI887" s="83"/>
      <c r="AJ887" s="83"/>
      <c r="AK887" s="83"/>
      <c r="AL887" s="83"/>
      <c r="AM887" s="83"/>
      <c r="AN887" s="83"/>
      <c r="AO887" s="83"/>
      <c r="AP887" s="83"/>
      <c r="AQ887" s="83"/>
      <c r="AR887" s="83"/>
      <c r="AS887" s="83"/>
      <c r="AT887" s="83"/>
    </row>
    <row r="888" spans="1:46" ht="13.8">
      <c r="A888" s="83"/>
      <c r="B888" s="83"/>
      <c r="C888" s="83"/>
      <c r="D888" s="83"/>
      <c r="E888" s="82"/>
      <c r="F888" s="82"/>
      <c r="G888" s="83"/>
      <c r="H888" s="83"/>
      <c r="I888" s="83"/>
      <c r="J888" s="83"/>
      <c r="K888" s="83"/>
      <c r="L888" s="83"/>
      <c r="M888" s="83"/>
      <c r="N888" s="83"/>
      <c r="O888" s="83"/>
      <c r="P888" s="83"/>
      <c r="Q888" s="83"/>
      <c r="R888" s="83"/>
      <c r="S888" s="83"/>
      <c r="T888" s="83"/>
      <c r="U888" s="83"/>
      <c r="V888" s="83"/>
      <c r="W888" s="83"/>
      <c r="X888" s="83"/>
      <c r="Y888" s="83"/>
      <c r="Z888" s="83"/>
      <c r="AA888" s="83"/>
      <c r="AB888" s="83"/>
      <c r="AC888" s="83"/>
      <c r="AD888" s="83"/>
      <c r="AE888" s="83"/>
      <c r="AF888" s="83"/>
      <c r="AG888" s="83"/>
      <c r="AH888" s="83"/>
      <c r="AI888" s="83"/>
      <c r="AJ888" s="83"/>
      <c r="AK888" s="83"/>
      <c r="AL888" s="83"/>
      <c r="AM888" s="83"/>
      <c r="AN888" s="83"/>
      <c r="AO888" s="83"/>
      <c r="AP888" s="83"/>
      <c r="AQ888" s="83"/>
      <c r="AR888" s="83"/>
      <c r="AS888" s="83"/>
      <c r="AT888" s="83"/>
    </row>
    <row r="889" spans="1:46" ht="13.8">
      <c r="A889" s="83"/>
      <c r="B889" s="83"/>
      <c r="C889" s="83"/>
      <c r="D889" s="83"/>
      <c r="E889" s="82"/>
      <c r="F889" s="82"/>
      <c r="G889" s="83"/>
      <c r="H889" s="83"/>
      <c r="I889" s="83"/>
      <c r="J889" s="83"/>
      <c r="K889" s="83"/>
      <c r="L889" s="83"/>
      <c r="M889" s="83"/>
      <c r="N889" s="83"/>
      <c r="O889" s="83"/>
      <c r="P889" s="83"/>
      <c r="Q889" s="83"/>
      <c r="R889" s="83"/>
      <c r="S889" s="83"/>
      <c r="T889" s="83"/>
      <c r="U889" s="83"/>
      <c r="V889" s="83"/>
      <c r="W889" s="83"/>
      <c r="X889" s="83"/>
      <c r="Y889" s="83"/>
      <c r="Z889" s="83"/>
      <c r="AA889" s="83"/>
      <c r="AB889" s="83"/>
      <c r="AC889" s="83"/>
      <c r="AD889" s="83"/>
      <c r="AE889" s="83"/>
      <c r="AF889" s="83"/>
      <c r="AG889" s="83"/>
      <c r="AH889" s="83"/>
      <c r="AI889" s="83"/>
      <c r="AJ889" s="83"/>
      <c r="AK889" s="83"/>
      <c r="AL889" s="83"/>
      <c r="AM889" s="83"/>
      <c r="AN889" s="83"/>
      <c r="AO889" s="83"/>
      <c r="AP889" s="83"/>
      <c r="AQ889" s="83"/>
      <c r="AR889" s="83"/>
      <c r="AS889" s="83"/>
      <c r="AT889" s="83"/>
    </row>
    <row r="890" spans="1:46" ht="13.8">
      <c r="A890" s="83"/>
      <c r="B890" s="83"/>
      <c r="C890" s="83"/>
      <c r="D890" s="83"/>
      <c r="E890" s="82"/>
      <c r="F890" s="82"/>
      <c r="G890" s="83"/>
      <c r="H890" s="83"/>
      <c r="I890" s="83"/>
      <c r="J890" s="83"/>
      <c r="K890" s="83"/>
      <c r="L890" s="83"/>
      <c r="M890" s="83"/>
      <c r="N890" s="83"/>
      <c r="O890" s="83"/>
      <c r="P890" s="83"/>
      <c r="Q890" s="83"/>
      <c r="R890" s="83"/>
      <c r="S890" s="83"/>
      <c r="T890" s="83"/>
      <c r="U890" s="83"/>
      <c r="V890" s="83"/>
      <c r="W890" s="83"/>
      <c r="X890" s="83"/>
      <c r="Y890" s="83"/>
      <c r="Z890" s="83"/>
      <c r="AA890" s="83"/>
      <c r="AB890" s="83"/>
      <c r="AC890" s="83"/>
      <c r="AD890" s="83"/>
      <c r="AE890" s="83"/>
      <c r="AF890" s="83"/>
      <c r="AG890" s="83"/>
      <c r="AH890" s="83"/>
      <c r="AI890" s="83"/>
      <c r="AJ890" s="83"/>
      <c r="AK890" s="83"/>
      <c r="AL890" s="83"/>
      <c r="AM890" s="83"/>
      <c r="AN890" s="83"/>
      <c r="AO890" s="83"/>
      <c r="AP890" s="83"/>
      <c r="AQ890" s="83"/>
      <c r="AR890" s="83"/>
      <c r="AS890" s="83"/>
      <c r="AT890" s="83"/>
    </row>
    <row r="891" spans="1:46" ht="13.8">
      <c r="A891" s="83"/>
      <c r="B891" s="83"/>
      <c r="C891" s="83"/>
      <c r="D891" s="83"/>
      <c r="E891" s="82"/>
      <c r="F891" s="82"/>
      <c r="G891" s="83"/>
      <c r="H891" s="83"/>
      <c r="I891" s="83"/>
      <c r="J891" s="83"/>
      <c r="K891" s="83"/>
      <c r="L891" s="83"/>
      <c r="M891" s="83"/>
      <c r="N891" s="83"/>
      <c r="O891" s="83"/>
      <c r="P891" s="83"/>
      <c r="Q891" s="83"/>
      <c r="R891" s="83"/>
      <c r="S891" s="83"/>
      <c r="T891" s="83"/>
      <c r="U891" s="83"/>
      <c r="V891" s="83"/>
      <c r="W891" s="83"/>
      <c r="X891" s="83"/>
      <c r="Y891" s="83"/>
      <c r="Z891" s="83"/>
      <c r="AA891" s="83"/>
      <c r="AB891" s="83"/>
      <c r="AC891" s="83"/>
      <c r="AD891" s="83"/>
      <c r="AE891" s="83"/>
      <c r="AF891" s="83"/>
      <c r="AG891" s="83"/>
      <c r="AH891" s="83"/>
      <c r="AI891" s="83"/>
      <c r="AJ891" s="83"/>
      <c r="AK891" s="83"/>
      <c r="AL891" s="83"/>
      <c r="AM891" s="83"/>
      <c r="AN891" s="83"/>
      <c r="AO891" s="83"/>
      <c r="AP891" s="83"/>
      <c r="AQ891" s="83"/>
      <c r="AR891" s="83"/>
      <c r="AS891" s="83"/>
      <c r="AT891" s="83"/>
    </row>
    <row r="892" spans="1:46" ht="13.8">
      <c r="A892" s="83"/>
      <c r="B892" s="83"/>
      <c r="C892" s="83"/>
      <c r="D892" s="83"/>
      <c r="E892" s="82"/>
      <c r="F892" s="82"/>
      <c r="G892" s="83"/>
      <c r="H892" s="83"/>
      <c r="I892" s="83"/>
      <c r="J892" s="83"/>
      <c r="K892" s="83"/>
      <c r="L892" s="83"/>
      <c r="M892" s="83"/>
      <c r="N892" s="83"/>
      <c r="O892" s="83"/>
      <c r="P892" s="83"/>
      <c r="Q892" s="83"/>
      <c r="R892" s="83"/>
      <c r="S892" s="83"/>
      <c r="T892" s="83"/>
      <c r="U892" s="83"/>
      <c r="V892" s="83"/>
      <c r="W892" s="83"/>
      <c r="X892" s="83"/>
      <c r="Y892" s="83"/>
      <c r="Z892" s="83"/>
      <c r="AA892" s="83"/>
      <c r="AB892" s="83"/>
      <c r="AC892" s="83"/>
      <c r="AD892" s="83"/>
      <c r="AE892" s="83"/>
      <c r="AF892" s="83"/>
      <c r="AG892" s="83"/>
      <c r="AH892" s="83"/>
      <c r="AI892" s="83"/>
      <c r="AJ892" s="83"/>
      <c r="AK892" s="83"/>
      <c r="AL892" s="83"/>
      <c r="AM892" s="83"/>
      <c r="AN892" s="83"/>
      <c r="AO892" s="83"/>
      <c r="AP892" s="83"/>
      <c r="AQ892" s="83"/>
      <c r="AR892" s="83"/>
      <c r="AS892" s="83"/>
      <c r="AT892" s="83"/>
    </row>
    <row r="893" spans="1:46" ht="13.8">
      <c r="A893" s="83"/>
      <c r="B893" s="83"/>
      <c r="C893" s="83"/>
      <c r="D893" s="83"/>
      <c r="E893" s="82"/>
      <c r="F893" s="82"/>
      <c r="G893" s="83"/>
      <c r="H893" s="83"/>
      <c r="I893" s="83"/>
      <c r="J893" s="83"/>
      <c r="K893" s="83"/>
      <c r="L893" s="83"/>
      <c r="M893" s="83"/>
      <c r="N893" s="83"/>
      <c r="O893" s="83"/>
      <c r="P893" s="83"/>
      <c r="Q893" s="83"/>
      <c r="R893" s="83"/>
      <c r="S893" s="83"/>
      <c r="T893" s="83"/>
      <c r="U893" s="83"/>
      <c r="V893" s="83"/>
      <c r="W893" s="83"/>
      <c r="X893" s="83"/>
      <c r="Y893" s="83"/>
      <c r="Z893" s="83"/>
      <c r="AA893" s="83"/>
      <c r="AB893" s="83"/>
      <c r="AC893" s="83"/>
      <c r="AD893" s="83"/>
      <c r="AE893" s="83"/>
      <c r="AF893" s="83"/>
      <c r="AG893" s="83"/>
      <c r="AH893" s="83"/>
      <c r="AI893" s="83"/>
      <c r="AJ893" s="83"/>
      <c r="AK893" s="83"/>
      <c r="AL893" s="83"/>
      <c r="AM893" s="83"/>
      <c r="AN893" s="83"/>
      <c r="AO893" s="83"/>
      <c r="AP893" s="83"/>
      <c r="AQ893" s="83"/>
      <c r="AR893" s="83"/>
      <c r="AS893" s="83"/>
      <c r="AT893" s="83"/>
    </row>
    <row r="894" spans="1:46" ht="13.8">
      <c r="A894" s="83"/>
      <c r="B894" s="83"/>
      <c r="C894" s="83"/>
      <c r="D894" s="83"/>
      <c r="E894" s="82"/>
      <c r="F894" s="82"/>
      <c r="G894" s="83"/>
      <c r="H894" s="83"/>
      <c r="I894" s="83"/>
      <c r="J894" s="83"/>
      <c r="K894" s="83"/>
      <c r="L894" s="83"/>
      <c r="M894" s="83"/>
      <c r="N894" s="83"/>
      <c r="O894" s="83"/>
      <c r="P894" s="83"/>
      <c r="Q894" s="83"/>
      <c r="R894" s="83"/>
      <c r="S894" s="83"/>
      <c r="T894" s="83"/>
      <c r="U894" s="83"/>
      <c r="V894" s="83"/>
      <c r="W894" s="83"/>
      <c r="X894" s="83"/>
      <c r="Y894" s="83"/>
      <c r="Z894" s="83"/>
      <c r="AA894" s="83"/>
      <c r="AB894" s="83"/>
      <c r="AC894" s="83"/>
      <c r="AD894" s="83"/>
      <c r="AE894" s="83"/>
      <c r="AF894" s="83"/>
      <c r="AG894" s="83"/>
      <c r="AH894" s="83"/>
      <c r="AI894" s="83"/>
      <c r="AJ894" s="83"/>
      <c r="AK894" s="83"/>
      <c r="AL894" s="83"/>
      <c r="AM894" s="83"/>
      <c r="AN894" s="83"/>
      <c r="AO894" s="83"/>
      <c r="AP894" s="83"/>
      <c r="AQ894" s="83"/>
      <c r="AR894" s="83"/>
      <c r="AS894" s="83"/>
      <c r="AT894" s="83"/>
    </row>
    <row r="895" spans="1:46" ht="13.8">
      <c r="A895" s="83"/>
      <c r="B895" s="83"/>
      <c r="C895" s="83"/>
      <c r="D895" s="83"/>
      <c r="E895" s="82"/>
      <c r="F895" s="82"/>
      <c r="G895" s="83"/>
      <c r="H895" s="83"/>
      <c r="I895" s="83"/>
      <c r="J895" s="83"/>
      <c r="K895" s="83"/>
      <c r="L895" s="83"/>
      <c r="M895" s="83"/>
      <c r="N895" s="83"/>
      <c r="O895" s="83"/>
      <c r="P895" s="83"/>
      <c r="Q895" s="83"/>
      <c r="R895" s="83"/>
      <c r="S895" s="83"/>
      <c r="T895" s="83"/>
      <c r="U895" s="83"/>
      <c r="V895" s="83"/>
      <c r="W895" s="83"/>
      <c r="X895" s="83"/>
      <c r="Y895" s="83"/>
      <c r="Z895" s="83"/>
      <c r="AA895" s="83"/>
      <c r="AB895" s="83"/>
      <c r="AC895" s="83"/>
      <c r="AD895" s="83"/>
      <c r="AE895" s="83"/>
      <c r="AF895" s="83"/>
      <c r="AG895" s="83"/>
      <c r="AH895" s="83"/>
      <c r="AI895" s="83"/>
      <c r="AJ895" s="83"/>
      <c r="AK895" s="83"/>
      <c r="AL895" s="83"/>
      <c r="AM895" s="83"/>
      <c r="AN895" s="83"/>
      <c r="AO895" s="83"/>
      <c r="AP895" s="83"/>
      <c r="AQ895" s="83"/>
      <c r="AR895" s="83"/>
      <c r="AS895" s="83"/>
      <c r="AT895" s="83"/>
    </row>
    <row r="896" spans="1:46" ht="13.8">
      <c r="A896" s="83"/>
      <c r="B896" s="83"/>
      <c r="C896" s="83"/>
      <c r="D896" s="83"/>
      <c r="E896" s="82"/>
      <c r="F896" s="82"/>
      <c r="G896" s="83"/>
      <c r="H896" s="83"/>
      <c r="I896" s="83"/>
      <c r="J896" s="83"/>
      <c r="K896" s="83"/>
      <c r="L896" s="83"/>
      <c r="M896" s="83"/>
      <c r="N896" s="83"/>
      <c r="O896" s="83"/>
      <c r="P896" s="83"/>
      <c r="Q896" s="83"/>
      <c r="R896" s="83"/>
      <c r="S896" s="83"/>
      <c r="T896" s="83"/>
      <c r="U896" s="83"/>
      <c r="V896" s="83"/>
      <c r="W896" s="83"/>
      <c r="X896" s="83"/>
      <c r="Y896" s="83"/>
      <c r="Z896" s="83"/>
      <c r="AA896" s="83"/>
      <c r="AB896" s="83"/>
      <c r="AC896" s="83"/>
      <c r="AD896" s="83"/>
      <c r="AE896" s="83"/>
      <c r="AF896" s="83"/>
      <c r="AG896" s="83"/>
      <c r="AH896" s="83"/>
      <c r="AI896" s="83"/>
      <c r="AJ896" s="83"/>
      <c r="AK896" s="83"/>
      <c r="AL896" s="83"/>
      <c r="AM896" s="83"/>
      <c r="AN896" s="83"/>
      <c r="AO896" s="83"/>
      <c r="AP896" s="83"/>
      <c r="AQ896" s="83"/>
      <c r="AR896" s="83"/>
      <c r="AS896" s="83"/>
      <c r="AT896" s="83"/>
    </row>
    <row r="897" spans="1:46" ht="13.8">
      <c r="A897" s="83"/>
      <c r="B897" s="83"/>
      <c r="C897" s="83"/>
      <c r="D897" s="83"/>
      <c r="E897" s="82"/>
      <c r="F897" s="82"/>
      <c r="G897" s="83"/>
      <c r="H897" s="83"/>
      <c r="I897" s="83"/>
      <c r="J897" s="83"/>
      <c r="K897" s="83"/>
      <c r="L897" s="83"/>
      <c r="M897" s="83"/>
      <c r="N897" s="83"/>
      <c r="O897" s="83"/>
      <c r="P897" s="83"/>
      <c r="Q897" s="83"/>
      <c r="R897" s="83"/>
      <c r="S897" s="83"/>
      <c r="T897" s="83"/>
      <c r="U897" s="83"/>
      <c r="V897" s="83"/>
      <c r="W897" s="83"/>
      <c r="X897" s="83"/>
      <c r="Y897" s="83"/>
      <c r="Z897" s="83"/>
      <c r="AA897" s="83"/>
      <c r="AB897" s="83"/>
      <c r="AC897" s="83"/>
      <c r="AD897" s="83"/>
      <c r="AE897" s="83"/>
      <c r="AF897" s="83"/>
      <c r="AG897" s="83"/>
      <c r="AH897" s="83"/>
      <c r="AI897" s="83"/>
      <c r="AJ897" s="83"/>
      <c r="AK897" s="83"/>
      <c r="AL897" s="83"/>
      <c r="AM897" s="83"/>
      <c r="AN897" s="83"/>
      <c r="AO897" s="83"/>
      <c r="AP897" s="83"/>
      <c r="AQ897" s="83"/>
      <c r="AR897" s="83"/>
      <c r="AS897" s="83"/>
      <c r="AT897" s="83"/>
    </row>
    <row r="898" spans="1:46" ht="13.8">
      <c r="A898" s="83"/>
      <c r="B898" s="83"/>
      <c r="C898" s="83"/>
      <c r="D898" s="83"/>
      <c r="E898" s="82"/>
      <c r="F898" s="82"/>
      <c r="G898" s="83"/>
      <c r="H898" s="83"/>
      <c r="I898" s="83"/>
      <c r="J898" s="83"/>
      <c r="K898" s="83"/>
      <c r="L898" s="83"/>
      <c r="M898" s="83"/>
      <c r="N898" s="83"/>
      <c r="O898" s="83"/>
      <c r="P898" s="83"/>
      <c r="Q898" s="83"/>
      <c r="R898" s="83"/>
      <c r="S898" s="83"/>
      <c r="T898" s="83"/>
      <c r="U898" s="83"/>
      <c r="V898" s="83"/>
      <c r="W898" s="83"/>
      <c r="X898" s="83"/>
      <c r="Y898" s="83"/>
      <c r="Z898" s="83"/>
      <c r="AA898" s="83"/>
      <c r="AB898" s="83"/>
      <c r="AC898" s="83"/>
      <c r="AD898" s="83"/>
      <c r="AE898" s="83"/>
      <c r="AF898" s="83"/>
      <c r="AG898" s="83"/>
      <c r="AH898" s="83"/>
      <c r="AI898" s="83"/>
      <c r="AJ898" s="83"/>
      <c r="AK898" s="83"/>
      <c r="AL898" s="83"/>
      <c r="AM898" s="83"/>
      <c r="AN898" s="83"/>
      <c r="AO898" s="83"/>
      <c r="AP898" s="83"/>
      <c r="AQ898" s="83"/>
      <c r="AR898" s="83"/>
      <c r="AS898" s="83"/>
      <c r="AT898" s="83"/>
    </row>
    <row r="899" spans="1:46" ht="13.8">
      <c r="A899" s="83"/>
      <c r="B899" s="83"/>
      <c r="C899" s="83"/>
      <c r="D899" s="83"/>
      <c r="E899" s="82"/>
      <c r="F899" s="82"/>
      <c r="G899" s="83"/>
      <c r="H899" s="83"/>
      <c r="I899" s="83"/>
      <c r="J899" s="83"/>
      <c r="K899" s="83"/>
      <c r="L899" s="83"/>
      <c r="M899" s="83"/>
      <c r="N899" s="83"/>
      <c r="O899" s="83"/>
      <c r="P899" s="83"/>
      <c r="Q899" s="83"/>
      <c r="R899" s="83"/>
      <c r="S899" s="83"/>
      <c r="T899" s="83"/>
      <c r="U899" s="83"/>
      <c r="V899" s="83"/>
      <c r="W899" s="83"/>
      <c r="X899" s="83"/>
      <c r="Y899" s="83"/>
      <c r="Z899" s="83"/>
      <c r="AA899" s="83"/>
      <c r="AB899" s="83"/>
      <c r="AC899" s="83"/>
      <c r="AD899" s="83"/>
      <c r="AE899" s="83"/>
      <c r="AF899" s="83"/>
      <c r="AG899" s="83"/>
      <c r="AH899" s="83"/>
      <c r="AI899" s="83"/>
      <c r="AJ899" s="83"/>
      <c r="AK899" s="83"/>
      <c r="AL899" s="83"/>
      <c r="AM899" s="83"/>
      <c r="AN899" s="83"/>
      <c r="AO899" s="83"/>
      <c r="AP899" s="83"/>
      <c r="AQ899" s="83"/>
      <c r="AR899" s="83"/>
      <c r="AS899" s="83"/>
      <c r="AT899" s="83"/>
    </row>
    <row r="900" spans="1:46" ht="13.8">
      <c r="A900" s="83"/>
      <c r="B900" s="83"/>
      <c r="C900" s="83"/>
      <c r="D900" s="83"/>
      <c r="E900" s="82"/>
      <c r="F900" s="82"/>
      <c r="G900" s="83"/>
      <c r="H900" s="83"/>
      <c r="I900" s="83"/>
      <c r="J900" s="83"/>
      <c r="K900" s="83"/>
      <c r="L900" s="83"/>
      <c r="M900" s="83"/>
      <c r="N900" s="83"/>
      <c r="O900" s="83"/>
      <c r="P900" s="83"/>
      <c r="Q900" s="83"/>
      <c r="R900" s="83"/>
      <c r="S900" s="83"/>
      <c r="T900" s="83"/>
      <c r="U900" s="83"/>
      <c r="V900" s="83"/>
      <c r="W900" s="83"/>
      <c r="X900" s="83"/>
      <c r="Y900" s="83"/>
      <c r="Z900" s="83"/>
      <c r="AA900" s="83"/>
      <c r="AB900" s="83"/>
      <c r="AC900" s="83"/>
      <c r="AD900" s="83"/>
      <c r="AE900" s="83"/>
      <c r="AF900" s="83"/>
      <c r="AG900" s="83"/>
      <c r="AH900" s="83"/>
      <c r="AI900" s="83"/>
      <c r="AJ900" s="83"/>
      <c r="AK900" s="83"/>
      <c r="AL900" s="83"/>
      <c r="AM900" s="83"/>
      <c r="AN900" s="83"/>
      <c r="AO900" s="83"/>
      <c r="AP900" s="83"/>
      <c r="AQ900" s="83"/>
      <c r="AR900" s="83"/>
      <c r="AS900" s="83"/>
      <c r="AT900" s="83"/>
    </row>
    <row r="901" spans="1:46" ht="13.8">
      <c r="A901" s="83"/>
      <c r="B901" s="83"/>
      <c r="C901" s="83"/>
      <c r="D901" s="83"/>
      <c r="E901" s="82"/>
      <c r="F901" s="82"/>
      <c r="G901" s="83"/>
      <c r="H901" s="83"/>
      <c r="I901" s="83"/>
      <c r="J901" s="83"/>
      <c r="K901" s="83"/>
      <c r="L901" s="83"/>
      <c r="M901" s="83"/>
      <c r="N901" s="83"/>
      <c r="O901" s="83"/>
      <c r="P901" s="83"/>
      <c r="Q901" s="83"/>
      <c r="R901" s="83"/>
      <c r="S901" s="83"/>
      <c r="T901" s="83"/>
      <c r="U901" s="83"/>
      <c r="V901" s="83"/>
      <c r="W901" s="83"/>
      <c r="X901" s="83"/>
      <c r="Y901" s="83"/>
      <c r="Z901" s="83"/>
      <c r="AA901" s="83"/>
      <c r="AB901" s="83"/>
      <c r="AC901" s="83"/>
      <c r="AD901" s="83"/>
      <c r="AE901" s="83"/>
      <c r="AF901" s="83"/>
      <c r="AG901" s="83"/>
      <c r="AH901" s="83"/>
      <c r="AI901" s="83"/>
      <c r="AJ901" s="83"/>
      <c r="AK901" s="83"/>
      <c r="AL901" s="83"/>
      <c r="AM901" s="83"/>
      <c r="AN901" s="83"/>
      <c r="AO901" s="83"/>
      <c r="AP901" s="83"/>
      <c r="AQ901" s="83"/>
      <c r="AR901" s="83"/>
      <c r="AS901" s="83"/>
      <c r="AT901" s="83"/>
    </row>
    <row r="902" spans="1:46" ht="13.8">
      <c r="A902" s="83"/>
      <c r="B902" s="83"/>
      <c r="C902" s="83"/>
      <c r="D902" s="83"/>
      <c r="E902" s="82"/>
      <c r="F902" s="82"/>
      <c r="G902" s="83"/>
      <c r="H902" s="83"/>
      <c r="I902" s="83"/>
      <c r="J902" s="83"/>
      <c r="K902" s="83"/>
      <c r="L902" s="83"/>
      <c r="M902" s="83"/>
      <c r="N902" s="83"/>
      <c r="O902" s="83"/>
      <c r="P902" s="83"/>
      <c r="Q902" s="83"/>
      <c r="R902" s="83"/>
      <c r="S902" s="83"/>
      <c r="T902" s="83"/>
      <c r="U902" s="83"/>
      <c r="V902" s="83"/>
      <c r="W902" s="83"/>
      <c r="X902" s="83"/>
      <c r="Y902" s="83"/>
      <c r="Z902" s="83"/>
      <c r="AA902" s="83"/>
      <c r="AB902" s="83"/>
      <c r="AC902" s="83"/>
      <c r="AD902" s="83"/>
      <c r="AE902" s="83"/>
      <c r="AF902" s="83"/>
      <c r="AG902" s="83"/>
      <c r="AH902" s="83"/>
      <c r="AI902" s="83"/>
      <c r="AJ902" s="83"/>
      <c r="AK902" s="83"/>
      <c r="AL902" s="83"/>
      <c r="AM902" s="83"/>
      <c r="AN902" s="83"/>
      <c r="AO902" s="83"/>
      <c r="AP902" s="83"/>
      <c r="AQ902" s="83"/>
      <c r="AR902" s="83"/>
      <c r="AS902" s="83"/>
      <c r="AT902" s="83"/>
    </row>
    <row r="903" spans="1:46" ht="13.8">
      <c r="A903" s="83"/>
      <c r="B903" s="83"/>
      <c r="C903" s="83"/>
      <c r="D903" s="83"/>
      <c r="E903" s="82"/>
      <c r="F903" s="82"/>
      <c r="G903" s="83"/>
      <c r="H903" s="83"/>
      <c r="I903" s="83"/>
      <c r="J903" s="83"/>
      <c r="K903" s="83"/>
      <c r="L903" s="83"/>
      <c r="M903" s="83"/>
      <c r="N903" s="83"/>
      <c r="O903" s="83"/>
      <c r="P903" s="83"/>
      <c r="Q903" s="83"/>
      <c r="R903" s="83"/>
      <c r="S903" s="83"/>
      <c r="T903" s="83"/>
      <c r="U903" s="83"/>
      <c r="V903" s="83"/>
      <c r="W903" s="83"/>
      <c r="X903" s="83"/>
      <c r="Y903" s="83"/>
      <c r="Z903" s="83"/>
      <c r="AA903" s="83"/>
      <c r="AB903" s="83"/>
      <c r="AC903" s="83"/>
      <c r="AD903" s="83"/>
      <c r="AE903" s="83"/>
      <c r="AF903" s="83"/>
      <c r="AG903" s="83"/>
      <c r="AH903" s="83"/>
      <c r="AI903" s="83"/>
      <c r="AJ903" s="83"/>
      <c r="AK903" s="83"/>
      <c r="AL903" s="83"/>
      <c r="AM903" s="83"/>
      <c r="AN903" s="83"/>
      <c r="AO903" s="83"/>
      <c r="AP903" s="83"/>
      <c r="AQ903" s="83"/>
      <c r="AR903" s="83"/>
      <c r="AS903" s="83"/>
      <c r="AT903" s="83"/>
    </row>
    <row r="904" spans="1:46" ht="13.8">
      <c r="A904" s="83"/>
      <c r="B904" s="83"/>
      <c r="C904" s="83"/>
      <c r="D904" s="83"/>
      <c r="E904" s="82"/>
      <c r="F904" s="82"/>
      <c r="G904" s="83"/>
      <c r="H904" s="83"/>
      <c r="I904" s="83"/>
      <c r="J904" s="83"/>
      <c r="K904" s="83"/>
      <c r="L904" s="83"/>
      <c r="M904" s="83"/>
      <c r="N904" s="83"/>
      <c r="O904" s="83"/>
      <c r="P904" s="83"/>
      <c r="Q904" s="83"/>
      <c r="R904" s="83"/>
      <c r="S904" s="83"/>
      <c r="T904" s="83"/>
      <c r="U904" s="83"/>
      <c r="V904" s="83"/>
      <c r="W904" s="83"/>
      <c r="X904" s="83"/>
      <c r="Y904" s="83"/>
      <c r="Z904" s="83"/>
      <c r="AA904" s="83"/>
      <c r="AB904" s="83"/>
      <c r="AC904" s="83"/>
      <c r="AD904" s="83"/>
      <c r="AE904" s="83"/>
      <c r="AF904" s="83"/>
      <c r="AG904" s="83"/>
      <c r="AH904" s="83"/>
      <c r="AI904" s="83"/>
      <c r="AJ904" s="83"/>
      <c r="AK904" s="83"/>
      <c r="AL904" s="83"/>
      <c r="AM904" s="83"/>
      <c r="AN904" s="83"/>
      <c r="AO904" s="83"/>
      <c r="AP904" s="83"/>
      <c r="AQ904" s="83"/>
      <c r="AR904" s="83"/>
      <c r="AS904" s="83"/>
      <c r="AT904" s="83"/>
    </row>
    <row r="905" spans="1:46" ht="13.8">
      <c r="A905" s="83"/>
      <c r="B905" s="83"/>
      <c r="C905" s="83"/>
      <c r="D905" s="83"/>
      <c r="E905" s="82"/>
      <c r="F905" s="82"/>
      <c r="G905" s="83"/>
      <c r="H905" s="83"/>
      <c r="I905" s="83"/>
      <c r="J905" s="83"/>
      <c r="K905" s="83"/>
      <c r="L905" s="83"/>
      <c r="M905" s="83"/>
      <c r="N905" s="83"/>
      <c r="O905" s="83"/>
      <c r="P905" s="83"/>
      <c r="Q905" s="83"/>
      <c r="R905" s="83"/>
      <c r="S905" s="83"/>
      <c r="T905" s="83"/>
      <c r="U905" s="83"/>
      <c r="V905" s="83"/>
      <c r="W905" s="83"/>
      <c r="X905" s="83"/>
      <c r="Y905" s="83"/>
      <c r="Z905" s="83"/>
      <c r="AA905" s="83"/>
      <c r="AB905" s="83"/>
      <c r="AC905" s="83"/>
      <c r="AD905" s="83"/>
      <c r="AE905" s="83"/>
      <c r="AF905" s="83"/>
      <c r="AG905" s="83"/>
      <c r="AH905" s="83"/>
      <c r="AI905" s="83"/>
      <c r="AJ905" s="83"/>
      <c r="AK905" s="83"/>
      <c r="AL905" s="83"/>
      <c r="AM905" s="83"/>
      <c r="AN905" s="83"/>
      <c r="AO905" s="83"/>
      <c r="AP905" s="83"/>
      <c r="AQ905" s="83"/>
      <c r="AR905" s="83"/>
      <c r="AS905" s="83"/>
      <c r="AT905" s="83"/>
    </row>
    <row r="906" spans="1:46" ht="13.8">
      <c r="A906" s="83"/>
      <c r="B906" s="83"/>
      <c r="C906" s="83"/>
      <c r="D906" s="83"/>
      <c r="E906" s="82"/>
      <c r="F906" s="82"/>
      <c r="G906" s="83"/>
      <c r="H906" s="83"/>
      <c r="I906" s="83"/>
      <c r="J906" s="83"/>
      <c r="K906" s="83"/>
      <c r="L906" s="83"/>
      <c r="M906" s="83"/>
      <c r="N906" s="83"/>
      <c r="O906" s="83"/>
      <c r="P906" s="83"/>
      <c r="Q906" s="83"/>
      <c r="R906" s="83"/>
      <c r="S906" s="83"/>
      <c r="T906" s="83"/>
      <c r="U906" s="83"/>
      <c r="V906" s="83"/>
      <c r="W906" s="83"/>
      <c r="X906" s="83"/>
      <c r="Y906" s="83"/>
      <c r="Z906" s="83"/>
      <c r="AA906" s="83"/>
      <c r="AB906" s="83"/>
      <c r="AC906" s="83"/>
      <c r="AD906" s="83"/>
      <c r="AE906" s="83"/>
      <c r="AF906" s="83"/>
      <c r="AG906" s="83"/>
      <c r="AH906" s="83"/>
      <c r="AI906" s="83"/>
      <c r="AJ906" s="83"/>
      <c r="AK906" s="83"/>
      <c r="AL906" s="83"/>
      <c r="AM906" s="83"/>
      <c r="AN906" s="83"/>
      <c r="AO906" s="83"/>
      <c r="AP906" s="83"/>
      <c r="AQ906" s="83"/>
      <c r="AR906" s="83"/>
      <c r="AS906" s="83"/>
      <c r="AT906" s="83"/>
    </row>
    <row r="907" spans="1:46" ht="13.8">
      <c r="A907" s="83"/>
      <c r="B907" s="83"/>
      <c r="C907" s="83"/>
      <c r="D907" s="83"/>
      <c r="E907" s="82"/>
      <c r="F907" s="82"/>
      <c r="G907" s="83"/>
      <c r="H907" s="83"/>
      <c r="I907" s="83"/>
      <c r="J907" s="83"/>
      <c r="K907" s="83"/>
      <c r="L907" s="83"/>
      <c r="M907" s="83"/>
      <c r="N907" s="83"/>
      <c r="O907" s="83"/>
      <c r="P907" s="83"/>
      <c r="Q907" s="83"/>
      <c r="R907" s="83"/>
      <c r="S907" s="83"/>
      <c r="T907" s="83"/>
      <c r="U907" s="83"/>
      <c r="V907" s="83"/>
      <c r="W907" s="83"/>
      <c r="X907" s="83"/>
      <c r="Y907" s="83"/>
      <c r="Z907" s="83"/>
      <c r="AA907" s="83"/>
      <c r="AB907" s="83"/>
      <c r="AC907" s="83"/>
      <c r="AD907" s="83"/>
      <c r="AE907" s="83"/>
      <c r="AF907" s="83"/>
      <c r="AG907" s="83"/>
      <c r="AH907" s="83"/>
      <c r="AI907" s="83"/>
      <c r="AJ907" s="83"/>
      <c r="AK907" s="83"/>
      <c r="AL907" s="83"/>
      <c r="AM907" s="83"/>
      <c r="AN907" s="83"/>
      <c r="AO907" s="83"/>
      <c r="AP907" s="83"/>
      <c r="AQ907" s="83"/>
      <c r="AR907" s="83"/>
      <c r="AS907" s="83"/>
      <c r="AT907" s="83"/>
    </row>
    <row r="908" spans="1:46" ht="13.8">
      <c r="A908" s="83"/>
      <c r="B908" s="83"/>
      <c r="C908" s="83"/>
      <c r="D908" s="83"/>
      <c r="E908" s="82"/>
      <c r="F908" s="82"/>
      <c r="G908" s="83"/>
      <c r="H908" s="83"/>
      <c r="I908" s="83"/>
      <c r="J908" s="83"/>
      <c r="K908" s="83"/>
      <c r="L908" s="83"/>
      <c r="M908" s="83"/>
      <c r="N908" s="83"/>
      <c r="O908" s="83"/>
      <c r="P908" s="83"/>
      <c r="Q908" s="83"/>
      <c r="R908" s="83"/>
      <c r="S908" s="83"/>
      <c r="T908" s="83"/>
      <c r="U908" s="83"/>
      <c r="V908" s="83"/>
      <c r="W908" s="83"/>
      <c r="X908" s="83"/>
      <c r="Y908" s="83"/>
      <c r="Z908" s="83"/>
      <c r="AA908" s="83"/>
      <c r="AB908" s="83"/>
      <c r="AC908" s="83"/>
      <c r="AD908" s="83"/>
      <c r="AE908" s="83"/>
      <c r="AF908" s="83"/>
      <c r="AG908" s="83"/>
      <c r="AH908" s="83"/>
      <c r="AI908" s="83"/>
      <c r="AJ908" s="83"/>
      <c r="AK908" s="83"/>
      <c r="AL908" s="83"/>
      <c r="AM908" s="83"/>
      <c r="AN908" s="83"/>
      <c r="AO908" s="83"/>
      <c r="AP908" s="83"/>
      <c r="AQ908" s="83"/>
      <c r="AR908" s="83"/>
      <c r="AS908" s="83"/>
      <c r="AT908" s="83"/>
    </row>
    <row r="909" spans="1:46" ht="13.8">
      <c r="A909" s="83"/>
      <c r="B909" s="83"/>
      <c r="C909" s="83"/>
      <c r="D909" s="83"/>
      <c r="E909" s="82"/>
      <c r="F909" s="82"/>
      <c r="G909" s="83"/>
      <c r="H909" s="83"/>
      <c r="I909" s="83"/>
      <c r="J909" s="83"/>
      <c r="K909" s="83"/>
      <c r="L909" s="83"/>
      <c r="M909" s="83"/>
      <c r="N909" s="83"/>
      <c r="O909" s="83"/>
      <c r="P909" s="83"/>
      <c r="Q909" s="83"/>
      <c r="R909" s="83"/>
      <c r="S909" s="83"/>
      <c r="T909" s="83"/>
      <c r="U909" s="83"/>
      <c r="V909" s="83"/>
      <c r="W909" s="83"/>
      <c r="X909" s="83"/>
      <c r="Y909" s="83"/>
      <c r="Z909" s="83"/>
      <c r="AA909" s="83"/>
      <c r="AB909" s="83"/>
      <c r="AC909" s="83"/>
      <c r="AD909" s="83"/>
      <c r="AE909" s="83"/>
      <c r="AF909" s="83"/>
      <c r="AG909" s="83"/>
      <c r="AH909" s="83"/>
      <c r="AI909" s="83"/>
      <c r="AJ909" s="83"/>
      <c r="AK909" s="83"/>
      <c r="AL909" s="83"/>
      <c r="AM909" s="83"/>
      <c r="AN909" s="83"/>
      <c r="AO909" s="83"/>
      <c r="AP909" s="83"/>
      <c r="AQ909" s="83"/>
      <c r="AR909" s="83"/>
      <c r="AS909" s="83"/>
      <c r="AT909" s="83"/>
    </row>
    <row r="910" spans="1:46" ht="13.8">
      <c r="A910" s="83"/>
      <c r="B910" s="83"/>
      <c r="C910" s="83"/>
      <c r="D910" s="83"/>
      <c r="E910" s="82"/>
      <c r="F910" s="82"/>
      <c r="G910" s="83"/>
      <c r="H910" s="83"/>
      <c r="I910" s="83"/>
      <c r="J910" s="83"/>
      <c r="K910" s="83"/>
      <c r="L910" s="83"/>
      <c r="M910" s="83"/>
      <c r="N910" s="83"/>
      <c r="O910" s="83"/>
      <c r="P910" s="83"/>
      <c r="Q910" s="83"/>
      <c r="R910" s="83"/>
      <c r="S910" s="83"/>
      <c r="T910" s="83"/>
      <c r="U910" s="83"/>
      <c r="V910" s="83"/>
      <c r="W910" s="83"/>
      <c r="X910" s="83"/>
      <c r="Y910" s="83"/>
      <c r="Z910" s="83"/>
      <c r="AA910" s="83"/>
      <c r="AB910" s="83"/>
      <c r="AC910" s="83"/>
      <c r="AD910" s="83"/>
      <c r="AE910" s="83"/>
      <c r="AF910" s="83"/>
      <c r="AG910" s="83"/>
      <c r="AH910" s="83"/>
      <c r="AI910" s="83"/>
      <c r="AJ910" s="83"/>
      <c r="AK910" s="83"/>
      <c r="AL910" s="83"/>
      <c r="AM910" s="83"/>
      <c r="AN910" s="83"/>
      <c r="AO910" s="83"/>
      <c r="AP910" s="83"/>
      <c r="AQ910" s="83"/>
      <c r="AR910" s="83"/>
      <c r="AS910" s="83"/>
      <c r="AT910" s="83"/>
    </row>
    <row r="911" spans="1:46" ht="13.8">
      <c r="A911" s="83"/>
      <c r="B911" s="83"/>
      <c r="C911" s="83"/>
      <c r="D911" s="83"/>
      <c r="E911" s="82"/>
      <c r="F911" s="82"/>
      <c r="G911" s="83"/>
      <c r="H911" s="83"/>
      <c r="I911" s="83"/>
      <c r="J911" s="83"/>
      <c r="K911" s="83"/>
      <c r="L911" s="83"/>
      <c r="M911" s="83"/>
      <c r="N911" s="83"/>
      <c r="O911" s="83"/>
      <c r="P911" s="83"/>
      <c r="Q911" s="83"/>
      <c r="R911" s="83"/>
      <c r="S911" s="83"/>
      <c r="T911" s="83"/>
      <c r="U911" s="83"/>
      <c r="V911" s="83"/>
      <c r="W911" s="83"/>
      <c r="X911" s="83"/>
      <c r="Y911" s="83"/>
      <c r="Z911" s="83"/>
      <c r="AA911" s="83"/>
      <c r="AB911" s="83"/>
      <c r="AC911" s="83"/>
      <c r="AD911" s="83"/>
      <c r="AE911" s="83"/>
      <c r="AF911" s="83"/>
      <c r="AG911" s="83"/>
      <c r="AH911" s="83"/>
      <c r="AI911" s="83"/>
      <c r="AJ911" s="83"/>
      <c r="AK911" s="83"/>
      <c r="AL911" s="83"/>
      <c r="AM911" s="83"/>
      <c r="AN911" s="83"/>
      <c r="AO911" s="83"/>
      <c r="AP911" s="83"/>
      <c r="AQ911" s="83"/>
      <c r="AR911" s="83"/>
      <c r="AS911" s="83"/>
      <c r="AT911" s="83"/>
    </row>
    <row r="912" spans="1:46" ht="13.8">
      <c r="A912" s="83"/>
      <c r="B912" s="83"/>
      <c r="C912" s="83"/>
      <c r="D912" s="83"/>
      <c r="E912" s="82"/>
      <c r="F912" s="82"/>
      <c r="G912" s="83"/>
      <c r="H912" s="83"/>
      <c r="I912" s="83"/>
      <c r="J912" s="83"/>
      <c r="K912" s="83"/>
      <c r="L912" s="83"/>
      <c r="M912" s="83"/>
      <c r="N912" s="83"/>
      <c r="O912" s="83"/>
      <c r="P912" s="83"/>
      <c r="Q912" s="83"/>
      <c r="R912" s="83"/>
      <c r="S912" s="83"/>
      <c r="T912" s="83"/>
      <c r="U912" s="83"/>
      <c r="V912" s="83"/>
      <c r="W912" s="83"/>
      <c r="X912" s="83"/>
      <c r="Y912" s="83"/>
      <c r="Z912" s="83"/>
      <c r="AA912" s="83"/>
      <c r="AB912" s="83"/>
      <c r="AC912" s="83"/>
      <c r="AD912" s="83"/>
      <c r="AE912" s="83"/>
      <c r="AF912" s="83"/>
      <c r="AG912" s="83"/>
      <c r="AH912" s="83"/>
      <c r="AI912" s="83"/>
      <c r="AJ912" s="83"/>
      <c r="AK912" s="83"/>
      <c r="AL912" s="83"/>
      <c r="AM912" s="83"/>
      <c r="AN912" s="83"/>
      <c r="AO912" s="83"/>
      <c r="AP912" s="83"/>
      <c r="AQ912" s="83"/>
      <c r="AR912" s="83"/>
      <c r="AS912" s="83"/>
      <c r="AT912" s="83"/>
    </row>
    <row r="913" spans="1:46" ht="13.8">
      <c r="A913" s="83"/>
      <c r="B913" s="83"/>
      <c r="C913" s="83"/>
      <c r="D913" s="83"/>
      <c r="E913" s="82"/>
      <c r="F913" s="82"/>
      <c r="G913" s="83"/>
      <c r="H913" s="83"/>
      <c r="I913" s="83"/>
      <c r="J913" s="83"/>
      <c r="K913" s="83"/>
      <c r="L913" s="83"/>
      <c r="M913" s="83"/>
      <c r="N913" s="83"/>
      <c r="O913" s="83"/>
      <c r="P913" s="83"/>
      <c r="Q913" s="83"/>
      <c r="R913" s="83"/>
      <c r="S913" s="83"/>
      <c r="T913" s="83"/>
      <c r="U913" s="83"/>
      <c r="V913" s="83"/>
      <c r="W913" s="83"/>
      <c r="X913" s="83"/>
      <c r="Y913" s="83"/>
      <c r="Z913" s="83"/>
      <c r="AA913" s="83"/>
      <c r="AB913" s="83"/>
      <c r="AC913" s="83"/>
      <c r="AD913" s="83"/>
      <c r="AE913" s="83"/>
      <c r="AF913" s="83"/>
      <c r="AG913" s="83"/>
      <c r="AH913" s="83"/>
      <c r="AI913" s="83"/>
      <c r="AJ913" s="83"/>
      <c r="AK913" s="83"/>
      <c r="AL913" s="83"/>
      <c r="AM913" s="83"/>
      <c r="AN913" s="83"/>
      <c r="AO913" s="83"/>
      <c r="AP913" s="83"/>
      <c r="AQ913" s="83"/>
      <c r="AR913" s="83"/>
      <c r="AS913" s="83"/>
      <c r="AT913" s="83"/>
    </row>
    <row r="914" spans="1:46" ht="13.8">
      <c r="A914" s="83"/>
      <c r="B914" s="83"/>
      <c r="C914" s="83"/>
      <c r="D914" s="83"/>
      <c r="E914" s="82"/>
      <c r="F914" s="82"/>
      <c r="G914" s="83"/>
      <c r="H914" s="83"/>
      <c r="I914" s="83"/>
      <c r="J914" s="83"/>
      <c r="K914" s="83"/>
      <c r="L914" s="83"/>
      <c r="M914" s="83"/>
      <c r="N914" s="83"/>
      <c r="O914" s="83"/>
      <c r="P914" s="83"/>
      <c r="Q914" s="83"/>
      <c r="R914" s="83"/>
      <c r="S914" s="83"/>
      <c r="T914" s="83"/>
      <c r="U914" s="83"/>
      <c r="V914" s="83"/>
      <c r="W914" s="83"/>
      <c r="X914" s="83"/>
      <c r="Y914" s="83"/>
      <c r="Z914" s="83"/>
      <c r="AA914" s="83"/>
      <c r="AB914" s="83"/>
      <c r="AC914" s="83"/>
      <c r="AD914" s="83"/>
      <c r="AE914" s="83"/>
      <c r="AF914" s="83"/>
      <c r="AG914" s="83"/>
      <c r="AH914" s="83"/>
      <c r="AI914" s="83"/>
      <c r="AJ914" s="83"/>
      <c r="AK914" s="83"/>
      <c r="AL914" s="83"/>
      <c r="AM914" s="83"/>
      <c r="AN914" s="83"/>
      <c r="AO914" s="83"/>
      <c r="AP914" s="83"/>
      <c r="AQ914" s="83"/>
      <c r="AR914" s="83"/>
      <c r="AS914" s="83"/>
      <c r="AT914" s="83"/>
    </row>
    <row r="915" spans="1:46" ht="13.8">
      <c r="A915" s="83"/>
      <c r="B915" s="83"/>
      <c r="C915" s="83"/>
      <c r="D915" s="83"/>
      <c r="E915" s="82"/>
      <c r="F915" s="82"/>
      <c r="G915" s="83"/>
      <c r="H915" s="83"/>
      <c r="I915" s="83"/>
      <c r="J915" s="83"/>
      <c r="K915" s="83"/>
      <c r="L915" s="83"/>
      <c r="M915" s="83"/>
      <c r="N915" s="83"/>
      <c r="O915" s="83"/>
      <c r="P915" s="83"/>
      <c r="Q915" s="83"/>
      <c r="R915" s="83"/>
      <c r="S915" s="83"/>
      <c r="T915" s="83"/>
      <c r="U915" s="83"/>
      <c r="V915" s="83"/>
      <c r="W915" s="83"/>
      <c r="X915" s="83"/>
      <c r="Y915" s="83"/>
      <c r="Z915" s="83"/>
      <c r="AA915" s="83"/>
      <c r="AB915" s="83"/>
      <c r="AC915" s="83"/>
      <c r="AD915" s="83"/>
      <c r="AE915" s="83"/>
      <c r="AF915" s="83"/>
      <c r="AG915" s="83"/>
      <c r="AH915" s="83"/>
      <c r="AI915" s="83"/>
      <c r="AJ915" s="83"/>
      <c r="AK915" s="83"/>
      <c r="AL915" s="83"/>
      <c r="AM915" s="83"/>
      <c r="AN915" s="83"/>
      <c r="AO915" s="83"/>
      <c r="AP915" s="83"/>
      <c r="AQ915" s="83"/>
      <c r="AR915" s="83"/>
      <c r="AS915" s="83"/>
      <c r="AT915" s="83"/>
    </row>
    <row r="916" spans="1:46" ht="13.8">
      <c r="A916" s="83"/>
      <c r="B916" s="83"/>
      <c r="C916" s="83"/>
      <c r="D916" s="83"/>
      <c r="E916" s="82"/>
      <c r="F916" s="82"/>
      <c r="G916" s="83"/>
      <c r="H916" s="83"/>
      <c r="I916" s="83"/>
      <c r="J916" s="83"/>
      <c r="K916" s="83"/>
      <c r="L916" s="83"/>
      <c r="M916" s="83"/>
      <c r="N916" s="83"/>
      <c r="O916" s="83"/>
      <c r="P916" s="83"/>
      <c r="Q916" s="83"/>
      <c r="R916" s="83"/>
      <c r="S916" s="83"/>
      <c r="T916" s="83"/>
      <c r="U916" s="83"/>
      <c r="V916" s="83"/>
      <c r="W916" s="83"/>
      <c r="X916" s="83"/>
      <c r="Y916" s="83"/>
      <c r="Z916" s="83"/>
      <c r="AA916" s="83"/>
      <c r="AB916" s="83"/>
      <c r="AC916" s="83"/>
      <c r="AD916" s="83"/>
      <c r="AE916" s="83"/>
      <c r="AF916" s="83"/>
      <c r="AG916" s="83"/>
      <c r="AH916" s="83"/>
      <c r="AI916" s="83"/>
      <c r="AJ916" s="83"/>
      <c r="AK916" s="83"/>
      <c r="AL916" s="83"/>
      <c r="AM916" s="83"/>
      <c r="AN916" s="83"/>
      <c r="AO916" s="83"/>
      <c r="AP916" s="83"/>
      <c r="AQ916" s="83"/>
      <c r="AR916" s="83"/>
      <c r="AS916" s="83"/>
      <c r="AT916" s="83"/>
    </row>
    <row r="917" spans="1:46" ht="13.8">
      <c r="A917" s="83"/>
      <c r="B917" s="83"/>
      <c r="C917" s="83"/>
      <c r="D917" s="83"/>
      <c r="E917" s="82"/>
      <c r="F917" s="82"/>
      <c r="G917" s="83"/>
      <c r="H917" s="83"/>
      <c r="I917" s="83"/>
      <c r="J917" s="83"/>
      <c r="K917" s="83"/>
      <c r="L917" s="83"/>
      <c r="M917" s="83"/>
      <c r="N917" s="83"/>
      <c r="O917" s="83"/>
      <c r="P917" s="83"/>
      <c r="Q917" s="83"/>
      <c r="R917" s="83"/>
      <c r="S917" s="83"/>
      <c r="T917" s="83"/>
      <c r="U917" s="83"/>
      <c r="V917" s="83"/>
      <c r="W917" s="83"/>
      <c r="X917" s="83"/>
      <c r="Y917" s="83"/>
      <c r="Z917" s="83"/>
      <c r="AA917" s="83"/>
      <c r="AB917" s="83"/>
      <c r="AC917" s="83"/>
      <c r="AD917" s="83"/>
      <c r="AE917" s="83"/>
      <c r="AF917" s="83"/>
      <c r="AG917" s="83"/>
      <c r="AH917" s="83"/>
      <c r="AI917" s="83"/>
      <c r="AJ917" s="83"/>
      <c r="AK917" s="83"/>
      <c r="AL917" s="83"/>
      <c r="AM917" s="83"/>
      <c r="AN917" s="83"/>
      <c r="AO917" s="83"/>
      <c r="AP917" s="83"/>
      <c r="AQ917" s="83"/>
      <c r="AR917" s="83"/>
      <c r="AS917" s="83"/>
      <c r="AT917" s="83"/>
    </row>
    <row r="918" spans="1:46" ht="13.8">
      <c r="A918" s="83"/>
      <c r="B918" s="83"/>
      <c r="C918" s="83"/>
      <c r="D918" s="83"/>
      <c r="E918" s="82"/>
      <c r="F918" s="82"/>
      <c r="G918" s="83"/>
      <c r="H918" s="83"/>
      <c r="I918" s="83"/>
      <c r="J918" s="83"/>
      <c r="K918" s="83"/>
      <c r="L918" s="83"/>
      <c r="M918" s="83"/>
      <c r="N918" s="83"/>
      <c r="O918" s="83"/>
      <c r="P918" s="83"/>
      <c r="Q918" s="83"/>
      <c r="R918" s="83"/>
      <c r="S918" s="83"/>
      <c r="T918" s="83"/>
      <c r="U918" s="83"/>
      <c r="V918" s="83"/>
      <c r="W918" s="83"/>
      <c r="X918" s="83"/>
      <c r="Y918" s="83"/>
      <c r="Z918" s="83"/>
      <c r="AA918" s="83"/>
      <c r="AB918" s="83"/>
      <c r="AC918" s="83"/>
      <c r="AD918" s="83"/>
      <c r="AE918" s="83"/>
      <c r="AF918" s="83"/>
      <c r="AG918" s="83"/>
      <c r="AH918" s="83"/>
      <c r="AI918" s="83"/>
      <c r="AJ918" s="83"/>
      <c r="AK918" s="83"/>
      <c r="AL918" s="83"/>
      <c r="AM918" s="83"/>
      <c r="AN918" s="83"/>
      <c r="AO918" s="83"/>
      <c r="AP918" s="83"/>
      <c r="AQ918" s="83"/>
      <c r="AR918" s="83"/>
      <c r="AS918" s="83"/>
      <c r="AT918" s="83"/>
    </row>
    <row r="919" spans="1:46" ht="13.8">
      <c r="A919" s="83"/>
      <c r="B919" s="83"/>
      <c r="C919" s="83"/>
      <c r="D919" s="83"/>
      <c r="E919" s="82"/>
      <c r="F919" s="82"/>
      <c r="G919" s="83"/>
      <c r="H919" s="83"/>
      <c r="I919" s="83"/>
      <c r="J919" s="83"/>
      <c r="K919" s="83"/>
      <c r="L919" s="83"/>
      <c r="M919" s="83"/>
      <c r="N919" s="83"/>
      <c r="O919" s="83"/>
      <c r="P919" s="83"/>
      <c r="Q919" s="83"/>
      <c r="R919" s="83"/>
      <c r="S919" s="83"/>
      <c r="T919" s="83"/>
      <c r="U919" s="83"/>
      <c r="V919" s="83"/>
      <c r="W919" s="83"/>
      <c r="X919" s="83"/>
      <c r="Y919" s="83"/>
      <c r="Z919" s="83"/>
      <c r="AA919" s="83"/>
      <c r="AB919" s="83"/>
      <c r="AC919" s="83"/>
      <c r="AD919" s="83"/>
      <c r="AE919" s="83"/>
      <c r="AF919" s="83"/>
      <c r="AG919" s="83"/>
      <c r="AH919" s="83"/>
      <c r="AI919" s="83"/>
      <c r="AJ919" s="83"/>
      <c r="AK919" s="83"/>
      <c r="AL919" s="83"/>
      <c r="AM919" s="83"/>
      <c r="AN919" s="83"/>
      <c r="AO919" s="83"/>
      <c r="AP919" s="83"/>
      <c r="AQ919" s="83"/>
      <c r="AR919" s="83"/>
      <c r="AS919" s="83"/>
      <c r="AT919" s="83"/>
    </row>
    <row r="920" spans="1:46" ht="13.8">
      <c r="A920" s="83"/>
      <c r="B920" s="83"/>
      <c r="C920" s="83"/>
      <c r="D920" s="83"/>
      <c r="E920" s="82"/>
      <c r="F920" s="82"/>
      <c r="G920" s="83"/>
      <c r="H920" s="83"/>
      <c r="I920" s="83"/>
      <c r="J920" s="83"/>
      <c r="K920" s="83"/>
      <c r="L920" s="83"/>
      <c r="M920" s="83"/>
      <c r="N920" s="83"/>
      <c r="O920" s="83"/>
      <c r="P920" s="83"/>
      <c r="Q920" s="83"/>
      <c r="R920" s="83"/>
      <c r="S920" s="83"/>
      <c r="T920" s="83"/>
      <c r="U920" s="83"/>
      <c r="V920" s="83"/>
      <c r="W920" s="83"/>
      <c r="X920" s="83"/>
      <c r="Y920" s="83"/>
      <c r="Z920" s="83"/>
      <c r="AA920" s="83"/>
      <c r="AB920" s="83"/>
      <c r="AC920" s="83"/>
      <c r="AD920" s="83"/>
      <c r="AE920" s="83"/>
      <c r="AF920" s="83"/>
      <c r="AG920" s="83"/>
      <c r="AH920" s="83"/>
      <c r="AI920" s="83"/>
      <c r="AJ920" s="83"/>
      <c r="AK920" s="83"/>
      <c r="AL920" s="83"/>
      <c r="AM920" s="83"/>
      <c r="AN920" s="83"/>
      <c r="AO920" s="83"/>
      <c r="AP920" s="83"/>
      <c r="AQ920" s="83"/>
      <c r="AR920" s="83"/>
      <c r="AS920" s="83"/>
      <c r="AT920" s="83"/>
    </row>
    <row r="921" spans="1:46" ht="13.8">
      <c r="A921" s="83"/>
      <c r="B921" s="83"/>
      <c r="C921" s="83"/>
      <c r="D921" s="83"/>
      <c r="E921" s="82"/>
      <c r="F921" s="82"/>
      <c r="G921" s="83"/>
      <c r="H921" s="83"/>
      <c r="I921" s="83"/>
      <c r="J921" s="83"/>
      <c r="K921" s="83"/>
      <c r="L921" s="83"/>
      <c r="M921" s="83"/>
      <c r="N921" s="83"/>
      <c r="O921" s="83"/>
      <c r="P921" s="83"/>
      <c r="Q921" s="83"/>
      <c r="R921" s="83"/>
      <c r="S921" s="83"/>
      <c r="T921" s="83"/>
      <c r="U921" s="83"/>
      <c r="V921" s="83"/>
      <c r="W921" s="83"/>
      <c r="X921" s="83"/>
      <c r="Y921" s="83"/>
      <c r="Z921" s="83"/>
      <c r="AA921" s="83"/>
      <c r="AB921" s="83"/>
      <c r="AC921" s="83"/>
      <c r="AD921" s="83"/>
      <c r="AE921" s="83"/>
      <c r="AF921" s="83"/>
      <c r="AG921" s="83"/>
      <c r="AH921" s="83"/>
      <c r="AI921" s="83"/>
      <c r="AJ921" s="83"/>
      <c r="AK921" s="83"/>
      <c r="AL921" s="83"/>
      <c r="AM921" s="83"/>
      <c r="AN921" s="83"/>
      <c r="AO921" s="83"/>
      <c r="AP921" s="83"/>
      <c r="AQ921" s="83"/>
      <c r="AR921" s="83"/>
      <c r="AS921" s="83"/>
      <c r="AT921" s="83"/>
    </row>
    <row r="922" spans="1:46" ht="13.8">
      <c r="A922" s="83"/>
      <c r="B922" s="83"/>
      <c r="C922" s="83"/>
      <c r="D922" s="83"/>
      <c r="E922" s="82"/>
      <c r="F922" s="82"/>
      <c r="G922" s="83"/>
      <c r="H922" s="83"/>
      <c r="I922" s="83"/>
      <c r="J922" s="83"/>
      <c r="K922" s="83"/>
      <c r="L922" s="83"/>
      <c r="M922" s="83"/>
      <c r="N922" s="83"/>
      <c r="O922" s="83"/>
      <c r="P922" s="83"/>
      <c r="Q922" s="83"/>
      <c r="R922" s="83"/>
      <c r="S922" s="83"/>
      <c r="T922" s="83"/>
      <c r="U922" s="83"/>
      <c r="V922" s="83"/>
      <c r="W922" s="83"/>
      <c r="X922" s="83"/>
      <c r="Y922" s="83"/>
      <c r="Z922" s="83"/>
      <c r="AA922" s="83"/>
      <c r="AB922" s="83"/>
      <c r="AC922" s="83"/>
      <c r="AD922" s="83"/>
      <c r="AE922" s="83"/>
      <c r="AF922" s="83"/>
      <c r="AG922" s="83"/>
      <c r="AH922" s="83"/>
      <c r="AI922" s="83"/>
      <c r="AJ922" s="83"/>
      <c r="AK922" s="83"/>
      <c r="AL922" s="83"/>
      <c r="AM922" s="83"/>
      <c r="AN922" s="83"/>
      <c r="AO922" s="83"/>
      <c r="AP922" s="83"/>
      <c r="AQ922" s="83"/>
      <c r="AR922" s="83"/>
      <c r="AS922" s="83"/>
      <c r="AT922" s="83"/>
    </row>
    <row r="923" spans="1:46" ht="13.8">
      <c r="A923" s="83"/>
      <c r="B923" s="83"/>
      <c r="C923" s="83"/>
      <c r="D923" s="83"/>
      <c r="E923" s="82"/>
      <c r="F923" s="82"/>
      <c r="G923" s="83"/>
      <c r="H923" s="83"/>
      <c r="I923" s="83"/>
      <c r="J923" s="83"/>
      <c r="K923" s="83"/>
      <c r="L923" s="83"/>
      <c r="M923" s="83"/>
      <c r="N923" s="83"/>
      <c r="O923" s="83"/>
      <c r="P923" s="83"/>
      <c r="Q923" s="83"/>
      <c r="R923" s="83"/>
      <c r="S923" s="83"/>
      <c r="T923" s="83"/>
      <c r="U923" s="83"/>
      <c r="V923" s="83"/>
      <c r="W923" s="83"/>
      <c r="X923" s="83"/>
      <c r="Y923" s="83"/>
      <c r="Z923" s="83"/>
      <c r="AA923" s="83"/>
      <c r="AB923" s="83"/>
      <c r="AC923" s="83"/>
      <c r="AD923" s="83"/>
      <c r="AE923" s="83"/>
      <c r="AF923" s="83"/>
      <c r="AG923" s="83"/>
      <c r="AH923" s="83"/>
      <c r="AI923" s="83"/>
      <c r="AJ923" s="83"/>
      <c r="AK923" s="83"/>
      <c r="AL923" s="83"/>
      <c r="AM923" s="83"/>
      <c r="AN923" s="83"/>
      <c r="AO923" s="83"/>
      <c r="AP923" s="83"/>
      <c r="AQ923" s="83"/>
      <c r="AR923" s="83"/>
      <c r="AS923" s="83"/>
      <c r="AT923" s="83"/>
    </row>
    <row r="924" spans="1:46" ht="13.8">
      <c r="A924" s="83"/>
      <c r="B924" s="83"/>
      <c r="C924" s="83"/>
      <c r="D924" s="83"/>
      <c r="E924" s="82"/>
      <c r="F924" s="82"/>
      <c r="G924" s="83"/>
      <c r="H924" s="83"/>
      <c r="I924" s="83"/>
      <c r="J924" s="83"/>
      <c r="K924" s="83"/>
      <c r="L924" s="83"/>
      <c r="M924" s="83"/>
      <c r="N924" s="83"/>
      <c r="O924" s="83"/>
      <c r="P924" s="83"/>
      <c r="Q924" s="83"/>
      <c r="R924" s="83"/>
      <c r="S924" s="83"/>
      <c r="T924" s="83"/>
      <c r="U924" s="83"/>
      <c r="V924" s="83"/>
      <c r="W924" s="83"/>
      <c r="X924" s="83"/>
      <c r="Y924" s="83"/>
      <c r="Z924" s="83"/>
      <c r="AA924" s="83"/>
      <c r="AB924" s="83"/>
      <c r="AC924" s="83"/>
      <c r="AD924" s="83"/>
      <c r="AE924" s="83"/>
      <c r="AF924" s="83"/>
      <c r="AG924" s="83"/>
      <c r="AH924" s="83"/>
      <c r="AI924" s="83"/>
      <c r="AJ924" s="83"/>
      <c r="AK924" s="83"/>
      <c r="AL924" s="83"/>
      <c r="AM924" s="83"/>
      <c r="AN924" s="83"/>
      <c r="AO924" s="83"/>
      <c r="AP924" s="83"/>
      <c r="AQ924" s="83"/>
      <c r="AR924" s="83"/>
      <c r="AS924" s="83"/>
      <c r="AT924" s="83"/>
    </row>
    <row r="925" spans="1:46" ht="13.8">
      <c r="A925" s="83"/>
      <c r="B925" s="83"/>
      <c r="C925" s="83"/>
      <c r="D925" s="83"/>
      <c r="E925" s="82"/>
      <c r="F925" s="82"/>
      <c r="G925" s="83"/>
      <c r="H925" s="83"/>
      <c r="I925" s="83"/>
      <c r="J925" s="83"/>
      <c r="K925" s="83"/>
      <c r="L925" s="83"/>
      <c r="M925" s="83"/>
      <c r="N925" s="83"/>
      <c r="O925" s="83"/>
      <c r="P925" s="83"/>
      <c r="Q925" s="83"/>
      <c r="R925" s="83"/>
      <c r="S925" s="83"/>
      <c r="T925" s="83"/>
      <c r="U925" s="83"/>
      <c r="V925" s="83"/>
      <c r="W925" s="83"/>
      <c r="X925" s="83"/>
      <c r="Y925" s="83"/>
      <c r="Z925" s="83"/>
      <c r="AA925" s="83"/>
      <c r="AB925" s="83"/>
      <c r="AC925" s="83"/>
      <c r="AD925" s="83"/>
      <c r="AE925" s="83"/>
      <c r="AF925" s="83"/>
      <c r="AG925" s="83"/>
      <c r="AH925" s="83"/>
      <c r="AI925" s="83"/>
      <c r="AJ925" s="83"/>
      <c r="AK925" s="83"/>
      <c r="AL925" s="83"/>
      <c r="AM925" s="83"/>
      <c r="AN925" s="83"/>
      <c r="AO925" s="83"/>
      <c r="AP925" s="83"/>
      <c r="AQ925" s="83"/>
      <c r="AR925" s="83"/>
      <c r="AS925" s="83"/>
      <c r="AT925" s="83"/>
    </row>
    <row r="926" spans="1:46" ht="13.8">
      <c r="A926" s="83"/>
      <c r="B926" s="83"/>
      <c r="C926" s="83"/>
      <c r="D926" s="83"/>
      <c r="E926" s="82"/>
      <c r="F926" s="82"/>
      <c r="G926" s="83"/>
      <c r="H926" s="83"/>
      <c r="I926" s="83"/>
      <c r="J926" s="83"/>
      <c r="K926" s="83"/>
      <c r="L926" s="83"/>
      <c r="M926" s="83"/>
      <c r="N926" s="83"/>
      <c r="O926" s="83"/>
      <c r="P926" s="83"/>
      <c r="Q926" s="83"/>
      <c r="R926" s="83"/>
      <c r="S926" s="83"/>
      <c r="T926" s="83"/>
      <c r="U926" s="83"/>
      <c r="V926" s="83"/>
      <c r="W926" s="83"/>
      <c r="X926" s="83"/>
      <c r="Y926" s="83"/>
      <c r="Z926" s="83"/>
      <c r="AA926" s="83"/>
      <c r="AB926" s="83"/>
      <c r="AC926" s="83"/>
      <c r="AD926" s="83"/>
      <c r="AE926" s="83"/>
      <c r="AF926" s="83"/>
      <c r="AG926" s="83"/>
      <c r="AH926" s="83"/>
      <c r="AI926" s="83"/>
      <c r="AJ926" s="83"/>
      <c r="AK926" s="83"/>
      <c r="AL926" s="83"/>
      <c r="AM926" s="83"/>
      <c r="AN926" s="83"/>
      <c r="AO926" s="83"/>
      <c r="AP926" s="83"/>
      <c r="AQ926" s="83"/>
      <c r="AR926" s="83"/>
      <c r="AS926" s="83"/>
      <c r="AT926" s="83"/>
    </row>
    <row r="927" spans="1:46" ht="13.8">
      <c r="A927" s="83"/>
      <c r="B927" s="83"/>
      <c r="C927" s="83"/>
      <c r="D927" s="83"/>
      <c r="E927" s="82"/>
      <c r="F927" s="82"/>
      <c r="G927" s="83"/>
      <c r="H927" s="83"/>
      <c r="I927" s="83"/>
      <c r="J927" s="83"/>
      <c r="K927" s="83"/>
      <c r="L927" s="83"/>
      <c r="M927" s="83"/>
      <c r="N927" s="83"/>
      <c r="O927" s="83"/>
      <c r="P927" s="83"/>
      <c r="Q927" s="83"/>
      <c r="R927" s="83"/>
      <c r="S927" s="83"/>
      <c r="T927" s="83"/>
      <c r="U927" s="83"/>
      <c r="V927" s="83"/>
      <c r="W927" s="83"/>
      <c r="X927" s="83"/>
      <c r="Y927" s="83"/>
      <c r="Z927" s="83"/>
      <c r="AA927" s="83"/>
      <c r="AB927" s="83"/>
      <c r="AC927" s="83"/>
      <c r="AD927" s="83"/>
      <c r="AE927" s="83"/>
      <c r="AF927" s="83"/>
      <c r="AG927" s="83"/>
      <c r="AH927" s="83"/>
      <c r="AI927" s="83"/>
      <c r="AJ927" s="83"/>
      <c r="AK927" s="83"/>
      <c r="AL927" s="83"/>
      <c r="AM927" s="83"/>
      <c r="AN927" s="83"/>
      <c r="AO927" s="83"/>
      <c r="AP927" s="83"/>
      <c r="AQ927" s="83"/>
      <c r="AR927" s="83"/>
      <c r="AS927" s="83"/>
      <c r="AT927" s="83"/>
    </row>
    <row r="928" spans="1:46" ht="13.8">
      <c r="A928" s="83"/>
      <c r="B928" s="83"/>
      <c r="C928" s="83"/>
      <c r="D928" s="83"/>
      <c r="E928" s="82"/>
      <c r="F928" s="82"/>
      <c r="G928" s="83"/>
      <c r="H928" s="83"/>
      <c r="I928" s="83"/>
      <c r="J928" s="83"/>
      <c r="K928" s="83"/>
      <c r="L928" s="83"/>
      <c r="M928" s="83"/>
      <c r="N928" s="83"/>
      <c r="O928" s="83"/>
      <c r="P928" s="83"/>
      <c r="Q928" s="83"/>
      <c r="R928" s="83"/>
      <c r="S928" s="83"/>
      <c r="T928" s="83"/>
      <c r="U928" s="83"/>
      <c r="V928" s="83"/>
      <c r="W928" s="83"/>
      <c r="X928" s="83"/>
      <c r="Y928" s="83"/>
      <c r="Z928" s="83"/>
      <c r="AA928" s="83"/>
      <c r="AB928" s="83"/>
      <c r="AC928" s="83"/>
      <c r="AD928" s="83"/>
      <c r="AE928" s="83"/>
      <c r="AF928" s="83"/>
      <c r="AG928" s="83"/>
      <c r="AH928" s="83"/>
      <c r="AI928" s="83"/>
      <c r="AJ928" s="83"/>
      <c r="AK928" s="83"/>
      <c r="AL928" s="83"/>
      <c r="AM928" s="83"/>
      <c r="AN928" s="83"/>
      <c r="AO928" s="83"/>
      <c r="AP928" s="83"/>
      <c r="AQ928" s="83"/>
      <c r="AR928" s="83"/>
      <c r="AS928" s="83"/>
      <c r="AT928" s="83"/>
    </row>
    <row r="929" spans="1:46" ht="13.8">
      <c r="A929" s="83"/>
      <c r="B929" s="83"/>
      <c r="C929" s="83"/>
      <c r="D929" s="83"/>
      <c r="E929" s="82"/>
      <c r="F929" s="82"/>
      <c r="G929" s="83"/>
      <c r="H929" s="83"/>
      <c r="I929" s="83"/>
      <c r="J929" s="83"/>
      <c r="K929" s="83"/>
      <c r="L929" s="83"/>
      <c r="M929" s="83"/>
      <c r="N929" s="83"/>
      <c r="O929" s="83"/>
      <c r="P929" s="83"/>
      <c r="Q929" s="83"/>
      <c r="R929" s="83"/>
      <c r="S929" s="83"/>
      <c r="T929" s="83"/>
      <c r="U929" s="83"/>
      <c r="V929" s="83"/>
      <c r="W929" s="83"/>
      <c r="X929" s="83"/>
      <c r="Y929" s="83"/>
      <c r="Z929" s="83"/>
      <c r="AA929" s="83"/>
      <c r="AB929" s="83"/>
      <c r="AC929" s="83"/>
      <c r="AD929" s="83"/>
      <c r="AE929" s="83"/>
      <c r="AF929" s="83"/>
      <c r="AG929" s="83"/>
      <c r="AH929" s="83"/>
      <c r="AI929" s="83"/>
      <c r="AJ929" s="83"/>
      <c r="AK929" s="83"/>
      <c r="AL929" s="83"/>
      <c r="AM929" s="83"/>
      <c r="AN929" s="83"/>
      <c r="AO929" s="83"/>
      <c r="AP929" s="83"/>
      <c r="AQ929" s="83"/>
      <c r="AR929" s="83"/>
      <c r="AS929" s="83"/>
      <c r="AT929" s="83"/>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AT1000"/>
  <sheetViews>
    <sheetView workbookViewId="0">
      <pane ySplit="1" topLeftCell="A2" activePane="bottomLeft" state="frozen"/>
      <selection pane="bottomLeft" activeCell="B3" sqref="B3"/>
    </sheetView>
  </sheetViews>
  <sheetFormatPr defaultColWidth="12.6640625" defaultRowHeight="15.75" customHeight="1"/>
  <cols>
    <col min="1" max="1" width="10.6640625" customWidth="1"/>
    <col min="2" max="2" width="7.77734375" customWidth="1"/>
    <col min="3" max="3" width="8.77734375" customWidth="1"/>
    <col min="4" max="4" width="8.88671875" customWidth="1"/>
    <col min="5" max="5" width="27.77734375" customWidth="1"/>
    <col min="6" max="6" width="28.33203125" customWidth="1"/>
    <col min="8" max="8" width="36.77734375" customWidth="1"/>
    <col min="10" max="10" width="38.33203125" customWidth="1"/>
    <col min="12" max="12" width="41" customWidth="1"/>
    <col min="14" max="14" width="41.33203125" customWidth="1"/>
    <col min="16" max="16" width="38.44140625" customWidth="1"/>
    <col min="18" max="18" width="38.44140625" customWidth="1"/>
    <col min="20" max="20" width="38" customWidth="1"/>
  </cols>
  <sheetData>
    <row r="1" spans="1:46">
      <c r="A1" s="31" t="s">
        <v>0</v>
      </c>
      <c r="B1" s="31" t="s">
        <v>1</v>
      </c>
      <c r="C1" s="31" t="s">
        <v>2</v>
      </c>
      <c r="D1" s="32" t="s">
        <v>3</v>
      </c>
      <c r="E1" s="32" t="s">
        <v>4</v>
      </c>
      <c r="F1" s="32" t="s">
        <v>5</v>
      </c>
      <c r="G1" s="32" t="s">
        <v>6</v>
      </c>
      <c r="H1" s="32" t="s">
        <v>7</v>
      </c>
      <c r="I1" s="39" t="s">
        <v>8</v>
      </c>
      <c r="J1" s="39" t="s">
        <v>9</v>
      </c>
      <c r="K1" s="39" t="s">
        <v>10</v>
      </c>
      <c r="L1" s="39" t="s">
        <v>11</v>
      </c>
      <c r="M1" s="39" t="s">
        <v>12</v>
      </c>
      <c r="N1" s="39" t="s">
        <v>13</v>
      </c>
      <c r="O1" s="39" t="s">
        <v>14</v>
      </c>
      <c r="P1" s="39" t="s">
        <v>15</v>
      </c>
      <c r="Q1" s="39" t="s">
        <v>16</v>
      </c>
      <c r="R1" s="39" t="s">
        <v>17</v>
      </c>
      <c r="S1" s="39" t="s">
        <v>18</v>
      </c>
      <c r="T1" s="39" t="s">
        <v>19</v>
      </c>
      <c r="U1" s="33" t="s">
        <v>20</v>
      </c>
      <c r="V1" s="33" t="s">
        <v>21</v>
      </c>
      <c r="W1" s="33" t="s">
        <v>22</v>
      </c>
      <c r="X1" s="33" t="s">
        <v>23</v>
      </c>
      <c r="Y1" s="33" t="s">
        <v>24</v>
      </c>
      <c r="Z1" s="33" t="s">
        <v>25</v>
      </c>
      <c r="AA1" s="33" t="s">
        <v>26</v>
      </c>
      <c r="AB1" s="35" t="s">
        <v>27</v>
      </c>
      <c r="AC1" s="36" t="s">
        <v>28</v>
      </c>
      <c r="AD1" s="36" t="s">
        <v>29</v>
      </c>
      <c r="AE1" s="36" t="s">
        <v>30</v>
      </c>
      <c r="AF1" s="37" t="s">
        <v>415</v>
      </c>
      <c r="AG1" s="6" t="s">
        <v>32</v>
      </c>
      <c r="AH1" s="7" t="s">
        <v>33</v>
      </c>
      <c r="AI1" s="6" t="s">
        <v>34</v>
      </c>
      <c r="AJ1" s="7" t="s">
        <v>35</v>
      </c>
      <c r="AK1" s="6" t="s">
        <v>36</v>
      </c>
      <c r="AL1" s="7" t="s">
        <v>37</v>
      </c>
      <c r="AM1" s="6" t="s">
        <v>38</v>
      </c>
      <c r="AN1" s="7" t="s">
        <v>39</v>
      </c>
      <c r="AO1" s="6" t="s">
        <v>40</v>
      </c>
      <c r="AP1" s="7" t="s">
        <v>41</v>
      </c>
      <c r="AQ1" s="6" t="s">
        <v>42</v>
      </c>
      <c r="AR1" s="7" t="s">
        <v>43</v>
      </c>
      <c r="AS1" s="6" t="s">
        <v>44</v>
      </c>
      <c r="AT1" s="7" t="s">
        <v>45</v>
      </c>
    </row>
    <row r="2" spans="1:46">
      <c r="A2" s="8" t="s">
        <v>1405</v>
      </c>
      <c r="B2" s="8" t="s">
        <v>47</v>
      </c>
      <c r="C2" s="8" t="s">
        <v>48</v>
      </c>
      <c r="D2" s="8" t="s">
        <v>1406</v>
      </c>
      <c r="E2" s="8" t="s">
        <v>1407</v>
      </c>
      <c r="F2" s="8" t="s">
        <v>1408</v>
      </c>
      <c r="G2" s="106" t="s">
        <v>1409</v>
      </c>
      <c r="H2" s="8" t="s">
        <v>1410</v>
      </c>
      <c r="I2" s="10" t="str">
        <f t="shared" ref="I2:I106" si="0">G2 &amp; ".001"</f>
        <v>LU005236.001</v>
      </c>
      <c r="J2" s="10" t="str">
        <f ca="1">IFERROR(__xludf.DUMMYFUNCTION("VLOOKUP(I2, IMPORTRANGE(""https://docs.google.com/spreadsheets/d/1yDAaXNsi4Mr5FtRQL4tbmSdIzhx6_m4wkOD7IG-k_eo/edit#gid=1336395716"", ""Science!M:N""), 2, FALSE)"),"Identify and name a diverse range of food ingredients from various categories, including grains, fruits, vegetables, dairy, honey, etc.")</f>
        <v>Identify and name a diverse range of food ingredients from various categories, including grains, fruits, vegetables, dairy, honey, etc.</v>
      </c>
      <c r="K2" s="10" t="str">
        <f t="shared" ref="K2:K106" si="1">G2 &amp; ".002"</f>
        <v>LU005236.002</v>
      </c>
      <c r="L2" s="10" t="str">
        <f ca="1">IFERROR(__xludf.DUMMYFUNCTION("VLOOKUP(K2, IMPORTRANGE(""https://docs.google.com/spreadsheets/d/1yDAaXNsi4Mr5FtRQL4tbmSdIzhx6_m4wkOD7IG-k_eo/edit#gid=1336395716"", ""Science!M:N""), 2, FALSE)"),"Explain the importance of including a variety of food ingredients in everyday meals, highlighting how it can contribute to a more enjoyable and nutritious diet.")</f>
        <v>Explain the importance of including a variety of food ingredients in everyday meals, highlighting how it can contribute to a more enjoyable and nutritious diet.</v>
      </c>
      <c r="M2" s="10" t="str">
        <f t="shared" ref="M2:M106" si="2">G2 &amp; ".003"</f>
        <v>LU005236.003</v>
      </c>
      <c r="N2" s="10" t="str">
        <f ca="1">IFERROR(__xludf.DUMMYFUNCTION("VLOOKUP(M2, IMPORTRANGE(""https://docs.google.com/spreadsheets/d/1yDAaXNsi4Mr5FtRQL4tbmSdIzhx6_m4wkOD7IG-k_eo/edit#gid=1336395716"", ""Science!M:N""), 2, FALSE)"),"Construct a list of meals or dishes that showcase different food ingredients, demonstrating an understanding of how diverse ingredients can be used in cooking.")</f>
        <v>Construct a list of meals or dishes that showcase different food ingredients, demonstrating an understanding of how diverse ingredients can be used in cooking.</v>
      </c>
      <c r="O2" s="10" t="str">
        <f t="shared" ref="O2:O106" si="3">G2 &amp; ".004"</f>
        <v>LU005236.004</v>
      </c>
      <c r="P2" s="10" t="str">
        <f ca="1">IFERROR(__xludf.DUMMYFUNCTION("VLOOKUP(O2, IMPORTRANGE(""https://docs.google.com/spreadsheets/d/1yDAaXNsi4Mr5FtRQL4tbmSdIzhx6_m4wkOD7IG-k_eo/edit#gid=1336395716"", ""Science!M:N""), 2, FALSE)"),"Analyze the benefits of incorporating various food ingredients into a diet, considering factors such as taste, texture, nutritional value, and cultural significance.")</f>
        <v>Analyze the benefits of incorporating various food ingredients into a diet, considering factors such as taste, texture, nutritional value, and cultural significance.</v>
      </c>
      <c r="Q2" s="10" t="str">
        <f t="shared" ref="Q2:Q106" si="4">G2 &amp; ".005"</f>
        <v>LU005236.005</v>
      </c>
      <c r="R2" s="10" t="str">
        <f ca="1">IFERROR(__xludf.DUMMYFUNCTION("VLOOKUP(Q2, IMPORTRANGE(""https://docs.google.com/spreadsheets/d/1yDAaXNsi4Mr5FtRQL4tbmSdIzhx6_m4wkOD7IG-k_eo/edit#gid=1336395716"", ""Science!M:N""), 2, FALSE)"),"Evaluate the impact of food variety on personal dietary choices and preferences, reflecting on how a diverse selection of ingredients enhances overall satisfaction with meals.")</f>
        <v>Evaluate the impact of food variety on personal dietary choices and preferences, reflecting on how a diverse selection of ingredients enhances overall satisfaction with meals.</v>
      </c>
      <c r="S2" s="10" t="str">
        <f t="shared" ref="S2:S106" si="5">G2 &amp; ".006"</f>
        <v>LU005236.006</v>
      </c>
      <c r="T2" s="10" t="str">
        <f ca="1">IFERROR(__xludf.DUMMYFUNCTION("VLOOKUP(S2, IMPORTRANGE(""https://docs.google.com/spreadsheets/d/1yDAaXNsi4Mr5FtRQL4tbmSdIzhx6_m4wkOD7IG-k_eo/edit#gid=1336395716"", ""Science!M:N""), 2, FALSE)"),"#N/A")</f>
        <v>#N/A</v>
      </c>
      <c r="U2" s="11">
        <f ca="1">IFERROR(__xludf.DUMMYFUNCTION("ArrayFormula(VLOOKUP(G2, IMPORTRANGE(""https://docs.google.com/spreadsheets/d/1p7R4vtkWt5VOBim4ltsDG9KTzSjrtKXsMtQGXPHyND0/edit#gid=795171502"", ""'Filter 30_05_2024'!A1:M2000""), {2, 3, 4, 5,6,7,8,9,10,11,12,13}, 0))"),45)</f>
        <v>45</v>
      </c>
      <c r="V2" s="11">
        <f ca="1">IFERROR(__xludf.DUMMYFUNCTION("""COMPUTED_VALUE"""),5)</f>
        <v>5</v>
      </c>
      <c r="W2" s="11">
        <f ca="1">IFERROR(__xludf.DUMMYFUNCTION("""COMPUTED_VALUE"""),5)</f>
        <v>5</v>
      </c>
      <c r="X2" s="11">
        <f ca="1">IFERROR(__xludf.DUMMYFUNCTION("""COMPUTED_VALUE"""),55)</f>
        <v>55</v>
      </c>
      <c r="Y2" s="11">
        <f ca="1">IFERROR(__xludf.DUMMYFUNCTION("""COMPUTED_VALUE"""),8)</f>
        <v>8</v>
      </c>
      <c r="Z2" s="12">
        <f ca="1">IFERROR(__xludf.DUMMYFUNCTION("""COMPUTED_VALUE"""),3)</f>
        <v>3</v>
      </c>
      <c r="AA2" s="12">
        <f ca="1">IFERROR(__xludf.DUMMYFUNCTION("""COMPUTED_VALUE"""),1)</f>
        <v>1</v>
      </c>
      <c r="AB2" s="12">
        <f ca="1">IFERROR(__xludf.DUMMYFUNCTION("""COMPUTED_VALUE"""),12)</f>
        <v>12</v>
      </c>
      <c r="AC2" s="12"/>
      <c r="AD2" s="12"/>
      <c r="AE2" s="12"/>
      <c r="AF2" s="12"/>
      <c r="AG2" s="13" t="str">
        <f ca="1">IFERROR(__xludf.DUMMYFUNCTION("ArrayFormula(VLOOKUP(G2, IMPORTRANGE(""https://docs.google.com/spreadsheets/d/1Co934fvtviyaRiMsrIlT05Jaq7iiYq07aLvRr35KA48/edit?gid=173865642#gid=173865642"", ""'G6_Sci Cur_Pri_LU'!G2:V2000""), {3, 4, 5, 6, 7, 8, 9, 10, 11, 12, 13, 14, 15, 16}, 0))"),"LU005057")</f>
        <v>LU005057</v>
      </c>
      <c r="AH2" s="13" t="str">
        <f ca="1">IFERROR(__xludf.DUMMYFUNCTION("""COMPUTED_VALUE"""),"Usefulness of Animals in Day-to-Day Life")</f>
        <v>Usefulness of Animals in Day-to-Day Life</v>
      </c>
      <c r="AI2" s="13"/>
      <c r="AJ2" s="13"/>
      <c r="AK2" s="13"/>
      <c r="AL2" s="13"/>
      <c r="AM2" s="13"/>
      <c r="AN2" s="13"/>
      <c r="AO2" s="13"/>
      <c r="AP2" s="13"/>
      <c r="AQ2" s="13"/>
      <c r="AR2" s="13"/>
      <c r="AS2" s="13"/>
      <c r="AT2" s="13"/>
    </row>
    <row r="3" spans="1:46">
      <c r="A3" s="8" t="s">
        <v>1405</v>
      </c>
      <c r="B3" s="8" t="s">
        <v>47</v>
      </c>
      <c r="C3" s="8" t="s">
        <v>48</v>
      </c>
      <c r="D3" s="8" t="s">
        <v>1406</v>
      </c>
      <c r="E3" s="8" t="s">
        <v>1407</v>
      </c>
      <c r="F3" s="8" t="s">
        <v>1408</v>
      </c>
      <c r="G3" s="8" t="s">
        <v>1411</v>
      </c>
      <c r="H3" s="8" t="s">
        <v>1412</v>
      </c>
      <c r="I3" s="10" t="str">
        <f t="shared" si="0"/>
        <v>LU006416.001</v>
      </c>
      <c r="J3" s="10" t="str">
        <f ca="1">IFERROR(__xludf.DUMMYFUNCTION("VLOOKUP(I3, IMPORTRANGE(""https://docs.google.com/spreadsheets/d/1yDAaXNsi4Mr5FtRQL4tbmSdIzhx6_m4wkOD7IG-k_eo/edit#gid=1336395716"", ""Science!M:N""), 2, FALSE)"),"Recall the traditional foods commonly eaten in different Indian states.")</f>
        <v>Recall the traditional foods commonly eaten in different Indian states.</v>
      </c>
      <c r="K3" s="10" t="str">
        <f t="shared" si="1"/>
        <v>LU006416.002</v>
      </c>
      <c r="L3" s="10" t="str">
        <f ca="1">IFERROR(__xludf.DUMMYFUNCTION("VLOOKUP(K3, IMPORTRANGE(""https://docs.google.com/spreadsheets/d/1yDAaXNsi4Mr5FtRQL4tbmSdIzhx6_m4wkOD7IG-k_eo/edit#gid=1336395716"", ""Science!M:N""), 2, FALSE)"),"Describe the food habits of various Indian states and how they are influenced by local culture and climate.")</f>
        <v>Describe the food habits of various Indian states and how they are influenced by local culture and climate.</v>
      </c>
      <c r="M3" s="10" t="str">
        <f t="shared" si="2"/>
        <v>LU006416.003</v>
      </c>
      <c r="N3" s="10" t="str">
        <f ca="1">IFERROR(__xludf.DUMMYFUNCTION("VLOOKUP(M3, IMPORTRANGE(""https://docs.google.com/spreadsheets/d/1yDAaXNsi4Mr5FtRQL4tbmSdIzhx6_m4wkOD7IG-k_eo/edit#gid=1336395716"", ""Science!M:N""), 2, FALSE)"),"Identify and match specific dishes with the Indian states they originate from.")</f>
        <v>Identify and match specific dishes with the Indian states they originate from.</v>
      </c>
      <c r="O3" s="10" t="str">
        <f t="shared" si="3"/>
        <v>LU006416.004</v>
      </c>
      <c r="P3" s="10" t="str">
        <f ca="1">IFERROR(__xludf.DUMMYFUNCTION("VLOOKUP(O3, IMPORTRANGE(""https://docs.google.com/spreadsheets/d/1yDAaXNsi4Mr5FtRQL4tbmSdIzhx6_m4wkOD7IG-k_eo/edit#gid=1336395716"", ""Science!M:N""), 2, FALSE)"),"Compare the food habits of two or more Indian states, highlighting the similarities and differences.")</f>
        <v>Compare the food habits of two or more Indian states, highlighting the similarities and differences.</v>
      </c>
      <c r="Q3" s="10" t="str">
        <f t="shared" si="4"/>
        <v>LU006416.005</v>
      </c>
      <c r="R3" s="10" t="str">
        <f ca="1">IFERROR(__xludf.DUMMYFUNCTION("VLOOKUP(Q3, IMPORTRANGE(""https://docs.google.com/spreadsheets/d/1yDAaXNsi4Mr5FtRQL4tbmSdIzhx6_m4wkOD7IG-k_eo/edit#gid=1336395716"", ""Science!M:N""), 2, FALSE)"),"Evaluate how geography and climate influence the food habits in different Indian states.")</f>
        <v>Evaluate how geography and climate influence the food habits in different Indian states.</v>
      </c>
      <c r="S3" s="10" t="str">
        <f t="shared" si="5"/>
        <v>LU006416.006</v>
      </c>
      <c r="T3" s="10" t="str">
        <f ca="1">IFERROR(__xludf.DUMMYFUNCTION("VLOOKUP(S3, IMPORTRANGE(""https://docs.google.com/spreadsheets/d/1yDAaXNsi4Mr5FtRQL4tbmSdIzhx6_m4wkOD7IG-k_eo/edit#gid=1336395716"", ""Science!M:N""), 2, FALSE)"),"Create a simple menu that reflects the typical food habits of a chosen Indian state, explaining the significance of each dish.")</f>
        <v>Create a simple menu that reflects the typical food habits of a chosen Indian state, explaining the significance of each dish.</v>
      </c>
      <c r="U3" s="11">
        <f ca="1">IFERROR(__xludf.DUMMYFUNCTION("ArrayFormula(VLOOKUP(G3, IMPORTRANGE(""https://docs.google.com/spreadsheets/d/1p7R4vtkWt5VOBim4ltsDG9KTzSjrtKXsMtQGXPHyND0/edit#gid=795171502"", ""'Filter 30_05_2024'!A1:M2000""), {2, 3, 4, 5,6,7,8,9,10,11,12,13}, 0))"),4)</f>
        <v>4</v>
      </c>
      <c r="V3" s="11">
        <f ca="1">IFERROR(__xludf.DUMMYFUNCTION("""COMPUTED_VALUE"""),6)</f>
        <v>6</v>
      </c>
      <c r="W3" s="11">
        <f ca="1">IFERROR(__xludf.DUMMYFUNCTION("""COMPUTED_VALUE"""),2)</f>
        <v>2</v>
      </c>
      <c r="X3" s="11">
        <f ca="1">IFERROR(__xludf.DUMMYFUNCTION("""COMPUTED_VALUE"""),12)</f>
        <v>12</v>
      </c>
      <c r="Y3" s="11">
        <f ca="1">IFERROR(__xludf.DUMMYFUNCTION("""COMPUTED_VALUE"""),4)</f>
        <v>4</v>
      </c>
      <c r="Z3" s="12">
        <f ca="1">IFERROR(__xludf.DUMMYFUNCTION("""COMPUTED_VALUE"""),3)</f>
        <v>3</v>
      </c>
      <c r="AA3" s="12">
        <f ca="1">IFERROR(__xludf.DUMMYFUNCTION("""COMPUTED_VALUE"""),1)</f>
        <v>1</v>
      </c>
      <c r="AB3" s="12">
        <f ca="1">IFERROR(__xludf.DUMMYFUNCTION("""COMPUTED_VALUE"""),8)</f>
        <v>8</v>
      </c>
      <c r="AC3" s="12"/>
      <c r="AD3" s="12"/>
      <c r="AE3" s="12"/>
      <c r="AF3" s="12"/>
      <c r="AG3" s="13" t="str">
        <f ca="1">IFERROR(__xludf.DUMMYFUNCTION("ArrayFormula(VLOOKUP(G3, IMPORTRANGE(""https://docs.google.com/spreadsheets/d/1Co934fvtviyaRiMsrIlT05Jaq7iiYq07aLvRr35KA48/edit?gid=173865642#gid=173865642"", ""'G6_Sci Cur_Pri_LU'!G2:V2000""), {3, 4, 5, 6, 7, 8, 9, 10, 11, 12, 13, 14, 15, 16}, 0))"),"LU005236")</f>
        <v>LU005236</v>
      </c>
      <c r="AH3" s="13" t="str">
        <f ca="1">IFERROR(__xludf.DUMMYFUNCTION("""COMPUTED_VALUE"""),"Variety of Food and Ingredients")</f>
        <v>Variety of Food and Ingredients</v>
      </c>
      <c r="AI3" s="13"/>
      <c r="AJ3" s="13"/>
      <c r="AK3" s="13"/>
      <c r="AL3" s="13"/>
      <c r="AM3" s="13"/>
      <c r="AN3" s="13"/>
      <c r="AO3" s="13"/>
      <c r="AP3" s="13"/>
      <c r="AQ3" s="13"/>
      <c r="AR3" s="13"/>
      <c r="AS3" s="13"/>
      <c r="AT3" s="13"/>
    </row>
    <row r="4" spans="1:46">
      <c r="A4" s="8" t="s">
        <v>1405</v>
      </c>
      <c r="B4" s="8" t="s">
        <v>47</v>
      </c>
      <c r="C4" s="8" t="s">
        <v>48</v>
      </c>
      <c r="D4" s="8" t="s">
        <v>1406</v>
      </c>
      <c r="E4" s="8" t="s">
        <v>1407</v>
      </c>
      <c r="F4" s="8" t="s">
        <v>1408</v>
      </c>
      <c r="G4" s="8" t="s">
        <v>1413</v>
      </c>
      <c r="H4" s="8" t="s">
        <v>1414</v>
      </c>
      <c r="I4" s="10" t="str">
        <f t="shared" si="0"/>
        <v>LU006417.001</v>
      </c>
      <c r="J4" s="10" t="str">
        <f ca="1">IFERROR(__xludf.DUMMYFUNCTION("VLOOKUP(I4, IMPORTRANGE(""https://docs.google.com/spreadsheets/d/1yDAaXNsi4Mr5FtRQL4tbmSdIzhx6_m4wkOD7IG-k_eo/edit#gid=1336395716"", ""Science!M:N""), 2, FALSE)"),"Recall examples of traditional and modern culinary practices observed in different cultures.")</f>
        <v>Recall examples of traditional and modern culinary practices observed in different cultures.</v>
      </c>
      <c r="K4" s="10" t="str">
        <f t="shared" si="1"/>
        <v>LU006417.002</v>
      </c>
      <c r="L4" s="10" t="str">
        <f ca="1">IFERROR(__xludf.DUMMYFUNCTION("VLOOKUP(K4, IMPORTRANGE(""https://docs.google.com/spreadsheets/d/1yDAaXNsi4Mr5FtRQL4tbmSdIzhx6_m4wkOD7IG-k_eo/edit#gid=1336395716"", ""Science!M:N""), 2, FALSE)"),"Describe the reasons behind changes in culinary practices over time, such as the influence of technology, availability of ingredients, and cultural exchange.")</f>
        <v>Describe the reasons behind changes in culinary practices over time, such as the influence of technology, availability of ingredients, and cultural exchange.</v>
      </c>
      <c r="M4" s="10" t="str">
        <f t="shared" si="2"/>
        <v>LU006417.003</v>
      </c>
      <c r="N4" s="10" t="str">
        <f ca="1">IFERROR(__xludf.DUMMYFUNCTION("VLOOKUP(M4, IMPORTRANGE(""https://docs.google.com/spreadsheets/d/1yDAaXNsi4Mr5FtRQL4tbmSdIzhx6_m4wkOD7IG-k_eo/edit#gid=1336395716"", ""Science!M:N""), 2, FALSE)"),"Identify and categorize various cooking methods (e.g., roasting, boiling, frying) used in both traditional and contemporary culinary practices.")</f>
        <v>Identify and categorize various cooking methods (e.g., roasting, boiling, frying) used in both traditional and contemporary culinary practices.</v>
      </c>
      <c r="O4" s="10" t="str">
        <f t="shared" si="3"/>
        <v>LU006417.004</v>
      </c>
      <c r="P4" s="10" t="str">
        <f ca="1">IFERROR(__xludf.DUMMYFUNCTION("VLOOKUP(O4, IMPORTRANGE(""https://docs.google.com/spreadsheets/d/1yDAaXNsi4Mr5FtRQL4tbmSdIzhx6_m4wkOD7IG-k_eo/edit#gid=1336395716"", ""Science!M:N""), 2, FALSE)"),"Compare the nutritional value and health implications of different culinary practices, analyzing how changes in cooking methods affect food quality.")</f>
        <v>Compare the nutritional value and health implications of different culinary practices, analyzing how changes in cooking methods affect food quality.</v>
      </c>
      <c r="Q4" s="10" t="str">
        <f t="shared" si="4"/>
        <v>LU006417.005</v>
      </c>
      <c r="R4" s="10" t="str">
        <f ca="1">IFERROR(__xludf.DUMMYFUNCTION("VLOOKUP(Q4, IMPORTRANGE(""https://docs.google.com/spreadsheets/d/1yDAaXNsi4Mr5FtRQL4tbmSdIzhx6_m4wkOD7IG-k_eo/edit#gid=1336395716"", ""Science!M:N""), 2, FALSE)"),"Evaluate the impact of modern culinary practices on cultural traditions and community health, considering factors like convenience and nutrition.")</f>
        <v>Evaluate the impact of modern culinary practices on cultural traditions and community health, considering factors like convenience and nutrition.</v>
      </c>
      <c r="S4" s="10" t="str">
        <f t="shared" si="5"/>
        <v>LU006417.006</v>
      </c>
      <c r="T4" s="10" t="str">
        <f ca="1">IFERROR(__xludf.DUMMYFUNCTION("VLOOKUP(S4, IMPORTRANGE(""https://docs.google.com/spreadsheets/d/1yDAaXNsi4Mr5FtRQL4tbmSdIzhx6_m4wkOD7IG-k_eo/edit#gid=1336395716"", ""Science!M:N""), 2, FALSE)"),"Design a simple meal plan that incorporates both traditional and modern culinary practices, explaining the choices made and the balance achieved.")</f>
        <v>Design a simple meal plan that incorporates both traditional and modern culinary practices, explaining the choices made and the balance achieved.</v>
      </c>
      <c r="U4" s="11">
        <f ca="1">IFERROR(__xludf.DUMMYFUNCTION("ArrayFormula(VLOOKUP(G4, IMPORTRANGE(""https://docs.google.com/spreadsheets/d/1p7R4vtkWt5VOBim4ltsDG9KTzSjrtKXsMtQGXPHyND0/edit#gid=795171502"", ""'Filter 30_05_2024'!A1:M2000""), {2, 3, 4, 5,6,7,8,9,10,11,12,13}, 0))"),4)</f>
        <v>4</v>
      </c>
      <c r="V4" s="11">
        <f ca="1">IFERROR(__xludf.DUMMYFUNCTION("""COMPUTED_VALUE"""),6)</f>
        <v>6</v>
      </c>
      <c r="W4" s="11">
        <f ca="1">IFERROR(__xludf.DUMMYFUNCTION("""COMPUTED_VALUE"""),2)</f>
        <v>2</v>
      </c>
      <c r="X4" s="11">
        <f ca="1">IFERROR(__xludf.DUMMYFUNCTION("""COMPUTED_VALUE"""),12)</f>
        <v>12</v>
      </c>
      <c r="Y4" s="11">
        <f ca="1">IFERROR(__xludf.DUMMYFUNCTION("""COMPUTED_VALUE"""),4)</f>
        <v>4</v>
      </c>
      <c r="Z4" s="12">
        <f ca="1">IFERROR(__xludf.DUMMYFUNCTION("""COMPUTED_VALUE"""),3)</f>
        <v>3</v>
      </c>
      <c r="AA4" s="12">
        <f ca="1">IFERROR(__xludf.DUMMYFUNCTION("""COMPUTED_VALUE"""),1)</f>
        <v>1</v>
      </c>
      <c r="AB4" s="12">
        <f ca="1">IFERROR(__xludf.DUMMYFUNCTION("""COMPUTED_VALUE"""),8)</f>
        <v>8</v>
      </c>
      <c r="AC4" s="12"/>
      <c r="AD4" s="12"/>
      <c r="AE4" s="12"/>
      <c r="AF4" s="12"/>
      <c r="AG4" s="13" t="str">
        <f ca="1">IFERROR(__xludf.DUMMYFUNCTION("ArrayFormula(VLOOKUP(G4, IMPORTRANGE(""https://docs.google.com/spreadsheets/d/1Co934fvtviyaRiMsrIlT05Jaq7iiYq07aLvRr35KA48/edit?gid=173865642#gid=173865642"", ""'G6_Sci Cur_Pri_LU'!G2:V2000""), {3, 4, 5, 6, 7, 8, 9, 10, 11, 12, 13, 14, 15, 16}, 0))"),"")</f>
        <v/>
      </c>
      <c r="AH4" s="13"/>
      <c r="AI4" s="13"/>
      <c r="AJ4" s="13"/>
      <c r="AK4" s="13"/>
      <c r="AL4" s="13"/>
      <c r="AM4" s="13"/>
      <c r="AN4" s="13"/>
      <c r="AO4" s="13"/>
      <c r="AP4" s="13"/>
      <c r="AQ4" s="13"/>
      <c r="AR4" s="13"/>
      <c r="AS4" s="13"/>
      <c r="AT4" s="13"/>
    </row>
    <row r="5" spans="1:46">
      <c r="A5" s="8" t="s">
        <v>1405</v>
      </c>
      <c r="B5" s="8" t="s">
        <v>47</v>
      </c>
      <c r="C5" s="8" t="s">
        <v>48</v>
      </c>
      <c r="D5" s="8" t="s">
        <v>1406</v>
      </c>
      <c r="E5" s="8" t="s">
        <v>1407</v>
      </c>
      <c r="F5" s="8" t="s">
        <v>1415</v>
      </c>
      <c r="G5" s="106" t="s">
        <v>1416</v>
      </c>
      <c r="H5" s="8" t="s">
        <v>1417</v>
      </c>
      <c r="I5" s="10" t="str">
        <f t="shared" si="0"/>
        <v>LU005214.001</v>
      </c>
      <c r="J5" s="10" t="str">
        <f ca="1">IFERROR(__xludf.DUMMYFUNCTION("VLOOKUP(I5, IMPORTRANGE(""https://docs.google.com/spreadsheets/d/1yDAaXNsi4Mr5FtRQL4tbmSdIzhx6_m4wkOD7IG-k_eo/edit#gid=1336395716"", ""Science!M:N""), 2, FALSE)"),"Students will list the major types of nutrients and their primary sources in food.")</f>
        <v>Students will list the major types of nutrients and their primary sources in food.</v>
      </c>
      <c r="K5" s="10" t="str">
        <f t="shared" si="1"/>
        <v>LU005214.002</v>
      </c>
      <c r="L5" s="10" t="str">
        <f ca="1">IFERROR(__xludf.DUMMYFUNCTION("VLOOKUP(K5, IMPORTRANGE(""https://docs.google.com/spreadsheets/d/1yDAaXNsi4Mr5FtRQL4tbmSdIzhx6_m4wkOD7IG-k_eo/edit#gid=1336395716"", ""Science!M:N""), 2, FALSE)"),"Students will summarize the role of different nutrients in maintaining good health.")</f>
        <v>Students will summarize the role of different nutrients in maintaining good health.</v>
      </c>
      <c r="M5" s="10" t="str">
        <f t="shared" si="2"/>
        <v>LU005214.003</v>
      </c>
      <c r="N5" s="10" t="str">
        <f ca="1">IFERROR(__xludf.DUMMYFUNCTION("VLOOKUP(M5, IMPORTRANGE(""https://docs.google.com/spreadsheets/d/1yDAaXNsi4Mr5FtRQL4tbmSdIzhx6_m4wkOD7IG-k_eo/edit#gid=1336395716"", ""Science!M:N""), 2, FALSE)"),"Students will apply knowledge of nutrients-rich food requirements in real-life scenario.")</f>
        <v>Students will apply knowledge of nutrients-rich food requirements in real-life scenario.</v>
      </c>
      <c r="O5" s="10" t="str">
        <f t="shared" si="3"/>
        <v>LU005214.004</v>
      </c>
      <c r="P5" s="10" t="str">
        <f ca="1">IFERROR(__xludf.DUMMYFUNCTION("VLOOKUP(O5, IMPORTRANGE(""https://docs.google.com/spreadsheets/d/1yDAaXNsi4Mr5FtRQL4tbmSdIzhx6_m4wkOD7IG-k_eo/edit#gid=1336395716"", ""Science!M:N""), 2, FALSE)"),"#N/A")</f>
        <v>#N/A</v>
      </c>
      <c r="Q5" s="10" t="str">
        <f t="shared" si="4"/>
        <v>LU005214.005</v>
      </c>
      <c r="R5" s="10" t="str">
        <f ca="1">IFERROR(__xludf.DUMMYFUNCTION("VLOOKUP(Q5, IMPORTRANGE(""https://docs.google.com/spreadsheets/d/1yDAaXNsi4Mr5FtRQL4tbmSdIzhx6_m4wkOD7IG-k_eo/edit#gid=1336395716"", ""Science!M:N""), 2, FALSE)"),"#N/A")</f>
        <v>#N/A</v>
      </c>
      <c r="S5" s="10" t="str">
        <f t="shared" si="5"/>
        <v>LU005214.006</v>
      </c>
      <c r="T5" s="10" t="str">
        <f ca="1">IFERROR(__xludf.DUMMYFUNCTION("VLOOKUP(S5, IMPORTRANGE(""https://docs.google.com/spreadsheets/d/1yDAaXNsi4Mr5FtRQL4tbmSdIzhx6_m4wkOD7IG-k_eo/edit#gid=1336395716"", ""Science!M:N""), 2, FALSE)"),"#N/A")</f>
        <v>#N/A</v>
      </c>
      <c r="U5" s="11">
        <f ca="1">IFERROR(__xludf.DUMMYFUNCTION("ArrayFormula(VLOOKUP(G5, IMPORTRANGE(""https://docs.google.com/spreadsheets/d/1p7R4vtkWt5VOBim4ltsDG9KTzSjrtKXsMtQGXPHyND0/edit#gid=795171502"", ""'Filter 30_05_2024'!A1:M2000""), {2, 3, 4, 5,6,7,8,9,10,11,12,13}, 0))"),52)</f>
        <v>52</v>
      </c>
      <c r="V5" s="11">
        <f ca="1">IFERROR(__xludf.DUMMYFUNCTION("""COMPUTED_VALUE"""),6)</f>
        <v>6</v>
      </c>
      <c r="W5" s="11">
        <f ca="1">IFERROR(__xludf.DUMMYFUNCTION("""COMPUTED_VALUE"""),2)</f>
        <v>2</v>
      </c>
      <c r="X5" s="11">
        <f ca="1">IFERROR(__xludf.DUMMYFUNCTION("""COMPUTED_VALUE"""),60)</f>
        <v>60</v>
      </c>
      <c r="Y5" s="11">
        <f ca="1">IFERROR(__xludf.DUMMYFUNCTION("""COMPUTED_VALUE"""),12)</f>
        <v>12</v>
      </c>
      <c r="Z5" s="12">
        <f ca="1">IFERROR(__xludf.DUMMYFUNCTION("""COMPUTED_VALUE"""),3)</f>
        <v>3</v>
      </c>
      <c r="AA5" s="12">
        <f ca="1">IFERROR(__xludf.DUMMYFUNCTION("""COMPUTED_VALUE"""),1)</f>
        <v>1</v>
      </c>
      <c r="AB5" s="12">
        <f ca="1">IFERROR(__xludf.DUMMYFUNCTION("""COMPUTED_VALUE"""),16)</f>
        <v>16</v>
      </c>
      <c r="AC5" s="12"/>
      <c r="AD5" s="12"/>
      <c r="AE5" s="12"/>
      <c r="AF5" s="12"/>
      <c r="AG5" s="13" t="str">
        <f ca="1">IFERROR(__xludf.DUMMYFUNCTION("ArrayFormula(VLOOKUP(G5, IMPORTRANGE(""https://docs.google.com/spreadsheets/d/1Co934fvtviyaRiMsrIlT05Jaq7iiYq07aLvRr35KA48/edit?gid=173865642#gid=173865642"", ""'G6_Sci Cur_Pri_LU'!G2:V2000""), {3, 4, 5, 6, 7, 8, 9, 10, 11, 12, 13, 14, 15, 16}, 0))"),"LU005236")</f>
        <v>LU005236</v>
      </c>
      <c r="AH5" s="13" t="str">
        <f ca="1">IFERROR(__xludf.DUMMYFUNCTION("""COMPUTED_VALUE"""),"Variety of Food and Ingredients")</f>
        <v>Variety of Food and Ingredients</v>
      </c>
      <c r="AI5" s="13" t="str">
        <f ca="1">IFERROR(__xludf.DUMMYFUNCTION("""COMPUTED_VALUE"""),"LU005235")</f>
        <v>LU005235</v>
      </c>
      <c r="AJ5" s="13" t="str">
        <f ca="1">IFERROR(__xludf.DUMMYFUNCTION("""COMPUTED_VALUE"""),"Plants and animals-based food sources")</f>
        <v>Plants and animals-based food sources</v>
      </c>
      <c r="AK5" s="13" t="str">
        <f ca="1">IFERROR(__xludf.DUMMYFUNCTION("""COMPUTED_VALUE"""),"LU005089")</f>
        <v>LU005089</v>
      </c>
      <c r="AL5" s="13" t="str">
        <f ca="1">IFERROR(__xludf.DUMMYFUNCTION("""COMPUTED_VALUE"""),"Definition of health")</f>
        <v>Definition of health</v>
      </c>
      <c r="AM5" s="13"/>
      <c r="AN5" s="13"/>
      <c r="AO5" s="13"/>
      <c r="AP5" s="13"/>
      <c r="AQ5" s="13"/>
      <c r="AR5" s="13"/>
      <c r="AS5" s="13"/>
      <c r="AT5" s="13"/>
    </row>
    <row r="6" spans="1:46">
      <c r="A6" s="8" t="s">
        <v>1405</v>
      </c>
      <c r="B6" s="8" t="s">
        <v>47</v>
      </c>
      <c r="C6" s="8" t="s">
        <v>48</v>
      </c>
      <c r="D6" s="8" t="s">
        <v>1406</v>
      </c>
      <c r="E6" s="8" t="s">
        <v>1407</v>
      </c>
      <c r="F6" s="8" t="s">
        <v>1415</v>
      </c>
      <c r="G6" s="106" t="s">
        <v>1418</v>
      </c>
      <c r="H6" s="8" t="s">
        <v>1419</v>
      </c>
      <c r="I6" s="10" t="str">
        <f t="shared" si="0"/>
        <v>LU005938.001</v>
      </c>
      <c r="J6" s="10" t="str">
        <f ca="1">IFERROR(__xludf.DUMMYFUNCTION("VLOOKUP(I6, IMPORTRANGE(""https://docs.google.com/spreadsheets/d/1yDAaXNsi4Mr5FtRQL4tbmSdIzhx6_m4wkOD7IG-k_eo/edit#gid=1336395716"", ""Science!M:N""), 2, FALSE)"),"Identify the method for testing the presence of starch in food.")</f>
        <v>Identify the method for testing the presence of starch in food.</v>
      </c>
      <c r="K6" s="10" t="str">
        <f t="shared" si="1"/>
        <v>LU005938.002</v>
      </c>
      <c r="L6" s="10" t="str">
        <f ca="1">IFERROR(__xludf.DUMMYFUNCTION("VLOOKUP(K6, IMPORTRANGE(""https://docs.google.com/spreadsheets/d/1yDAaXNsi4Mr5FtRQL4tbmSdIzhx6_m4wkOD7IG-k_eo/edit#gid=1336395716"", ""Science!M:N""), 2, FALSE)"),"Recognize the substances that are more likely to show positive starch test.")</f>
        <v>Recognize the substances that are more likely to show positive starch test.</v>
      </c>
      <c r="M6" s="10" t="str">
        <f t="shared" si="2"/>
        <v>LU005938.003</v>
      </c>
      <c r="N6" s="10" t="str">
        <f ca="1">IFERROR(__xludf.DUMMYFUNCTION("VLOOKUP(M6, IMPORTRANGE(""https://docs.google.com/spreadsheets/d/1yDAaXNsi4Mr5FtRQL4tbmSdIzhx6_m4wkOD7IG-k_eo/edit#gid=1336395716"", ""Science!M:N""), 2, FALSE)"),"Perform a basic test to identify the presence of carbohydrates in different food samples")</f>
        <v>Perform a basic test to identify the presence of carbohydrates in different food samples</v>
      </c>
      <c r="O6" s="10" t="str">
        <f t="shared" si="3"/>
        <v>LU005938.004</v>
      </c>
      <c r="P6" s="10" t="str">
        <f ca="1">IFERROR(__xludf.DUMMYFUNCTION("VLOOKUP(O6, IMPORTRANGE(""https://docs.google.com/spreadsheets/d/1yDAaXNsi4Mr5FtRQL4tbmSdIzhx6_m4wkOD7IG-k_eo/edit#gid=1336395716"", ""Science!M:N""), 2, FALSE)"),"#N/A")</f>
        <v>#N/A</v>
      </c>
      <c r="Q6" s="10" t="str">
        <f t="shared" si="4"/>
        <v>LU005938.005</v>
      </c>
      <c r="R6" s="10" t="str">
        <f ca="1">IFERROR(__xludf.DUMMYFUNCTION("VLOOKUP(Q6, IMPORTRANGE(""https://docs.google.com/spreadsheets/d/1yDAaXNsi4Mr5FtRQL4tbmSdIzhx6_m4wkOD7IG-k_eo/edit#gid=1336395716"", ""Science!M:N""), 2, FALSE)"),"#N/A")</f>
        <v>#N/A</v>
      </c>
      <c r="S6" s="10" t="str">
        <f t="shared" si="5"/>
        <v>LU005938.006</v>
      </c>
      <c r="T6" s="10" t="str">
        <f ca="1">IFERROR(__xludf.DUMMYFUNCTION("VLOOKUP(S6, IMPORTRANGE(""https://docs.google.com/spreadsheets/d/1yDAaXNsi4Mr5FtRQL4tbmSdIzhx6_m4wkOD7IG-k_eo/edit#gid=1336395716"", ""Science!M:N""), 2, FALSE)"),"#N/A")</f>
        <v>#N/A</v>
      </c>
      <c r="U6" s="11">
        <f ca="1">IFERROR(__xludf.DUMMYFUNCTION("ArrayFormula(VLOOKUP(G6, IMPORTRANGE(""https://docs.google.com/spreadsheets/d/1p7R4vtkWt5VOBim4ltsDG9KTzSjrtKXsMtQGXPHyND0/edit#gid=795171502"", ""'Filter 30_05_2024'!A1:M2000""), {2, 3, 4, 5,6,7,8,9,10,11,12,13}, 0))"),19)</f>
        <v>19</v>
      </c>
      <c r="V6" s="11">
        <f ca="1">IFERROR(__xludf.DUMMYFUNCTION("""COMPUTED_VALUE"""),10)</f>
        <v>10</v>
      </c>
      <c r="W6" s="11">
        <f ca="1">IFERROR(__xludf.DUMMYFUNCTION("""COMPUTED_VALUE"""),3)</f>
        <v>3</v>
      </c>
      <c r="X6" s="11">
        <f ca="1">IFERROR(__xludf.DUMMYFUNCTION("""COMPUTED_VALUE"""),32)</f>
        <v>32</v>
      </c>
      <c r="Y6" s="11">
        <f ca="1">IFERROR(__xludf.DUMMYFUNCTION("""COMPUTED_VALUE"""),6)</f>
        <v>6</v>
      </c>
      <c r="Z6" s="12">
        <f ca="1">IFERROR(__xludf.DUMMYFUNCTION("""COMPUTED_VALUE"""),8)</f>
        <v>8</v>
      </c>
      <c r="AA6" s="12"/>
      <c r="AB6" s="12">
        <f ca="1">IFERROR(__xludf.DUMMYFUNCTION("""COMPUTED_VALUE"""),14)</f>
        <v>14</v>
      </c>
      <c r="AC6" s="12"/>
      <c r="AD6" s="12"/>
      <c r="AE6" s="12"/>
      <c r="AF6" s="12"/>
      <c r="AG6" s="13" t="str">
        <f ca="1">IFERROR(__xludf.DUMMYFUNCTION("ArrayFormula(VLOOKUP(G6, IMPORTRANGE(""https://docs.google.com/spreadsheets/d/1Co934fvtviyaRiMsrIlT05Jaq7iiYq07aLvRr35KA48/edit?gid=173865642#gid=173865642"", ""'G6_Sci Cur_Pri_LU'!G2:V2000""), {3, 4, 5, 6, 7, 8, 9, 10, 11, 12, 13, 14, 15, 16}, 0))"),"LU005214")</f>
        <v>LU005214</v>
      </c>
      <c r="AH6" s="13" t="str">
        <f ca="1">IFERROR(__xludf.DUMMYFUNCTION("""COMPUTED_VALUE"""),"Definition of nutrients, types, and their sources.")</f>
        <v>Definition of nutrients, types, and their sources.</v>
      </c>
      <c r="AI6" s="13" t="str">
        <f ca="1">IFERROR(__xludf.DUMMYFUNCTION("""COMPUTED_VALUE"""),"LU005235")</f>
        <v>LU005235</v>
      </c>
      <c r="AJ6" s="13" t="str">
        <f ca="1">IFERROR(__xludf.DUMMYFUNCTION("""COMPUTED_VALUE"""),"Plants and animals-based food sources")</f>
        <v>Plants and animals-based food sources</v>
      </c>
      <c r="AK6" s="13"/>
      <c r="AL6" s="13"/>
      <c r="AM6" s="13"/>
      <c r="AN6" s="13"/>
      <c r="AO6" s="13"/>
      <c r="AP6" s="13"/>
      <c r="AQ6" s="13"/>
      <c r="AR6" s="13"/>
      <c r="AS6" s="13"/>
      <c r="AT6" s="13"/>
    </row>
    <row r="7" spans="1:46">
      <c r="A7" s="8" t="s">
        <v>1405</v>
      </c>
      <c r="B7" s="8" t="s">
        <v>47</v>
      </c>
      <c r="C7" s="8" t="s">
        <v>48</v>
      </c>
      <c r="D7" s="8" t="s">
        <v>1406</v>
      </c>
      <c r="E7" s="8" t="s">
        <v>1407</v>
      </c>
      <c r="F7" s="8" t="s">
        <v>1415</v>
      </c>
      <c r="G7" s="106" t="s">
        <v>1420</v>
      </c>
      <c r="H7" s="8" t="s">
        <v>1421</v>
      </c>
      <c r="I7" s="10" t="str">
        <f t="shared" si="0"/>
        <v>LU005939.001</v>
      </c>
      <c r="J7" s="10" t="str">
        <f ca="1">IFERROR(__xludf.DUMMYFUNCTION("VLOOKUP(I7, IMPORTRANGE(""https://docs.google.com/spreadsheets/d/1yDAaXNsi4Mr5FtRQL4tbmSdIzhx6_m4wkOD7IG-k_eo/edit#gid=1336395716"", ""Science!M:N""), 2, FALSE)"),"Recall the composition of fats and identify the method for testing the presence of fats in food.")</f>
        <v>Recall the composition of fats and identify the method for testing the presence of fats in food.</v>
      </c>
      <c r="K7" s="10" t="str">
        <f t="shared" si="1"/>
        <v>LU005939.002</v>
      </c>
      <c r="L7" s="10" t="str">
        <f ca="1">IFERROR(__xludf.DUMMYFUNCTION("VLOOKUP(K7, IMPORTRANGE(""https://docs.google.com/spreadsheets/d/1yDAaXNsi4Mr5FtRQL4tbmSdIzhx6_m4wkOD7IG-k_eo/edit#gid=1336395716"", ""Science!M:N""), 2, FALSE)"),"Recognize the substances that are more likely to show the presence of fats.")</f>
        <v>Recognize the substances that are more likely to show the presence of fats.</v>
      </c>
      <c r="M7" s="10" t="str">
        <f t="shared" si="2"/>
        <v>LU005939.003</v>
      </c>
      <c r="N7" s="10" t="str">
        <f ca="1">IFERROR(__xludf.DUMMYFUNCTION("VLOOKUP(M7, IMPORTRANGE(""https://docs.google.com/spreadsheets/d/1yDAaXNsi4Mr5FtRQL4tbmSdIzhx6_m4wkOD7IG-k_eo/edit#gid=1336395716"", ""Science!M:N""), 2, FALSE)"),"Perform a test to detect the presence of fats in different food samples.")</f>
        <v>Perform a test to detect the presence of fats in different food samples.</v>
      </c>
      <c r="O7" s="10" t="str">
        <f t="shared" si="3"/>
        <v>LU005939.004</v>
      </c>
      <c r="P7" s="10" t="str">
        <f ca="1">IFERROR(__xludf.DUMMYFUNCTION("VLOOKUP(O7, IMPORTRANGE(""https://docs.google.com/spreadsheets/d/1yDAaXNsi4Mr5FtRQL4tbmSdIzhx6_m4wkOD7IG-k_eo/edit#gid=1336395716"", ""Science!M:N""), 2, FALSE)"),"Analyze the results of a fats test to determine the presence of fats in different food items.")</f>
        <v>Analyze the results of a fats test to determine the presence of fats in different food items.</v>
      </c>
      <c r="Q7" s="10" t="str">
        <f t="shared" si="4"/>
        <v>LU005939.005</v>
      </c>
      <c r="R7" s="10" t="str">
        <f ca="1">IFERROR(__xludf.DUMMYFUNCTION("VLOOKUP(Q7, IMPORTRANGE(""https://docs.google.com/spreadsheets/d/1yDAaXNsi4Mr5FtRQL4tbmSdIzhx6_m4wkOD7IG-k_eo/edit#gid=1336395716"", ""Science!M:N""), 2, FALSE)"),"Judge the reliability of different qualitative tests for fats in food samples.")</f>
        <v>Judge the reliability of different qualitative tests for fats in food samples.</v>
      </c>
      <c r="S7" s="10" t="str">
        <f t="shared" si="5"/>
        <v>LU005939.006</v>
      </c>
      <c r="T7" s="10" t="str">
        <f ca="1">IFERROR(__xludf.DUMMYFUNCTION("VLOOKUP(S7, IMPORTRANGE(""https://docs.google.com/spreadsheets/d/1yDAaXNsi4Mr5FtRQL4tbmSdIzhx6_m4wkOD7IG-k_eo/edit#gid=1336395716"", ""Science!M:N""), 2, FALSE)"),"Propose a simple experiment to demonstrate the presence of fats using household materials.")</f>
        <v>Propose a simple experiment to demonstrate the presence of fats using household materials.</v>
      </c>
      <c r="U7" s="11">
        <f ca="1">IFERROR(__xludf.DUMMYFUNCTION("ArrayFormula(VLOOKUP(G7, IMPORTRANGE(""https://docs.google.com/spreadsheets/d/1p7R4vtkWt5VOBim4ltsDG9KTzSjrtKXsMtQGXPHyND0/edit#gid=795171502"", ""'Filter 30_05_2024'!A1:M2000""), {2, 3, 4, 5,6,7,8,9,10,11,12,13}, 0))"),16)</f>
        <v>16</v>
      </c>
      <c r="V7" s="11">
        <f ca="1">IFERROR(__xludf.DUMMYFUNCTION("""COMPUTED_VALUE"""),14)</f>
        <v>14</v>
      </c>
      <c r="W7" s="11">
        <f ca="1">IFERROR(__xludf.DUMMYFUNCTION("""COMPUTED_VALUE"""),2)</f>
        <v>2</v>
      </c>
      <c r="X7" s="11">
        <f ca="1">IFERROR(__xludf.DUMMYFUNCTION("""COMPUTED_VALUE"""),32)</f>
        <v>32</v>
      </c>
      <c r="Y7" s="11">
        <f ca="1">IFERROR(__xludf.DUMMYFUNCTION("""COMPUTED_VALUE"""),4)</f>
        <v>4</v>
      </c>
      <c r="Z7" s="12">
        <f ca="1">IFERROR(__xludf.DUMMYFUNCTION("""COMPUTED_VALUE"""),6)</f>
        <v>6</v>
      </c>
      <c r="AA7" s="12">
        <f ca="1">IFERROR(__xludf.DUMMYFUNCTION("""COMPUTED_VALUE"""),2)</f>
        <v>2</v>
      </c>
      <c r="AB7" s="12">
        <f ca="1">IFERROR(__xludf.DUMMYFUNCTION("""COMPUTED_VALUE"""),12)</f>
        <v>12</v>
      </c>
      <c r="AC7" s="12"/>
      <c r="AD7" s="12"/>
      <c r="AE7" s="12"/>
      <c r="AF7" s="12"/>
      <c r="AG7" s="13" t="str">
        <f ca="1">IFERROR(__xludf.DUMMYFUNCTION("ArrayFormula(VLOOKUP(G7, IMPORTRANGE(""https://docs.google.com/spreadsheets/d/1Co934fvtviyaRiMsrIlT05Jaq7iiYq07aLvRr35KA48/edit?gid=173865642#gid=173865642"", ""'G6_Sci Cur_Pri_LU'!G2:V2000""), {3, 4, 5, 6, 7, 8, 9, 10, 11, 12, 13, 14, 15, 16}, 0))"),"LU005214")</f>
        <v>LU005214</v>
      </c>
      <c r="AH7" s="13" t="str">
        <f ca="1">IFERROR(__xludf.DUMMYFUNCTION("""COMPUTED_VALUE"""),"Definition of nutrients, types, and their sources.")</f>
        <v>Definition of nutrients, types, and their sources.</v>
      </c>
      <c r="AI7" s="13" t="str">
        <f ca="1">IFERROR(__xludf.DUMMYFUNCTION("""COMPUTED_VALUE"""),"LU005235")</f>
        <v>LU005235</v>
      </c>
      <c r="AJ7" s="13" t="str">
        <f ca="1">IFERROR(__xludf.DUMMYFUNCTION("""COMPUTED_VALUE"""),"Plants and animals-based food sources")</f>
        <v>Plants and animals-based food sources</v>
      </c>
      <c r="AK7" s="13"/>
      <c r="AL7" s="13"/>
      <c r="AM7" s="13"/>
      <c r="AN7" s="13"/>
      <c r="AO7" s="13"/>
      <c r="AP7" s="13"/>
      <c r="AQ7" s="13"/>
      <c r="AR7" s="13"/>
      <c r="AS7" s="13"/>
      <c r="AT7" s="13"/>
    </row>
    <row r="8" spans="1:46">
      <c r="A8" s="8" t="s">
        <v>1405</v>
      </c>
      <c r="B8" s="8" t="s">
        <v>47</v>
      </c>
      <c r="C8" s="8" t="s">
        <v>48</v>
      </c>
      <c r="D8" s="8" t="s">
        <v>1406</v>
      </c>
      <c r="E8" s="8" t="s">
        <v>1407</v>
      </c>
      <c r="F8" s="8" t="s">
        <v>1422</v>
      </c>
      <c r="G8" s="106" t="s">
        <v>1423</v>
      </c>
      <c r="H8" s="8" t="s">
        <v>1424</v>
      </c>
      <c r="I8" s="10" t="str">
        <f t="shared" si="0"/>
        <v>LU005940.001</v>
      </c>
      <c r="J8" s="10" t="str">
        <f ca="1">IFERROR(__xludf.DUMMYFUNCTION("VLOOKUP(I8, IMPORTRANGE(""https://docs.google.com/spreadsheets/d/1yDAaXNsi4Mr5FtRQL4tbmSdIzhx6_m4wkOD7IG-k_eo/edit#gid=1336395716"", ""Science!M:N""), 2, FALSE)"),"List the basic components that make up proteins and identify the method for testing the presence of proteins in food.")</f>
        <v>List the basic components that make up proteins and identify the method for testing the presence of proteins in food.</v>
      </c>
      <c r="K8" s="10" t="str">
        <f t="shared" si="1"/>
        <v>LU005940.002</v>
      </c>
      <c r="L8" s="10" t="str">
        <f ca="1">IFERROR(__xludf.DUMMYFUNCTION("VLOOKUP(K8, IMPORTRANGE(""https://docs.google.com/spreadsheets/d/1yDAaXNsi4Mr5FtRQL4tbmSdIzhx6_m4wkOD7IG-k_eo/edit#gid=1336395716"", ""Science!M:N""), 2, FALSE)"),"Recognize the substances that are more likely to show the presence of proteins.")</f>
        <v>Recognize the substances that are more likely to show the presence of proteins.</v>
      </c>
      <c r="M8" s="10" t="str">
        <f t="shared" si="2"/>
        <v>LU005940.003</v>
      </c>
      <c r="N8" s="10" t="str">
        <f ca="1">IFERROR(__xludf.DUMMYFUNCTION("VLOOKUP(M8, IMPORTRANGE(""https://docs.google.com/spreadsheets/d/1yDAaXNsi4Mr5FtRQL4tbmSdIzhx6_m4wkOD7IG-k_eo/edit#gid=1336395716"", ""Science!M:N""), 2, FALSE)"),"Demonstrate the process of testing proteins in different food samples.")</f>
        <v>Demonstrate the process of testing proteins in different food samples.</v>
      </c>
      <c r="O8" s="10" t="str">
        <f t="shared" si="3"/>
        <v>LU005940.004</v>
      </c>
      <c r="P8" s="10" t="str">
        <f ca="1">IFERROR(__xludf.DUMMYFUNCTION("VLOOKUP(O8, IMPORTRANGE(""https://docs.google.com/spreadsheets/d/1yDAaXNsi4Mr5FtRQL4tbmSdIzhx6_m4wkOD7IG-k_eo/edit#gid=1336395716"", ""Science!M:N""), 2, FALSE)"),"Analyze the results of a protein test to determine the presence of proteins in different food items.")</f>
        <v>Analyze the results of a protein test to determine the presence of proteins in different food items.</v>
      </c>
      <c r="Q8" s="10" t="str">
        <f t="shared" si="4"/>
        <v>LU005940.005</v>
      </c>
      <c r="R8" s="10" t="str">
        <f ca="1">IFERROR(__xludf.DUMMYFUNCTION("VLOOKUP(Q8, IMPORTRANGE(""https://docs.google.com/spreadsheets/d/1yDAaXNsi4Mr5FtRQL4tbmSdIzhx6_m4wkOD7IG-k_eo/edit#gid=1336395716"", ""Science!M:N""), 2, FALSE)"),"Judge the reliability of various qualitative tests for protein detection.")</f>
        <v>Judge the reliability of various qualitative tests for protein detection.</v>
      </c>
      <c r="S8" s="10" t="str">
        <f t="shared" si="5"/>
        <v>LU005940.006</v>
      </c>
      <c r="T8" s="10" t="str">
        <f ca="1">IFERROR(__xludf.DUMMYFUNCTION("VLOOKUP(S8, IMPORTRANGE(""https://docs.google.com/spreadsheets/d/1yDAaXNsi4Mr5FtRQL4tbmSdIzhx6_m4wkOD7IG-k_eo/edit#gid=1336395716"", ""Science!M:N""), 2, FALSE)"),"Devise a simple experiment to compare protein content in various foods using a qualitative test.")</f>
        <v>Devise a simple experiment to compare protein content in various foods using a qualitative test.</v>
      </c>
      <c r="U8" s="11">
        <f ca="1">IFERROR(__xludf.DUMMYFUNCTION("ArrayFormula(VLOOKUP(G8, IMPORTRANGE(""https://docs.google.com/spreadsheets/d/1p7R4vtkWt5VOBim4ltsDG9KTzSjrtKXsMtQGXPHyND0/edit#gid=795171502"", ""'Filter 30_05_2024'!A1:M2000""), {2, 3, 4, 5,6,7,8,9,10,11,12,13}, 0))"),4)</f>
        <v>4</v>
      </c>
      <c r="V8" s="11">
        <f ca="1">IFERROR(__xludf.DUMMYFUNCTION("""COMPUTED_VALUE"""),6)</f>
        <v>6</v>
      </c>
      <c r="W8" s="11">
        <f ca="1">IFERROR(__xludf.DUMMYFUNCTION("""COMPUTED_VALUE"""),2)</f>
        <v>2</v>
      </c>
      <c r="X8" s="11">
        <f ca="1">IFERROR(__xludf.DUMMYFUNCTION("""COMPUTED_VALUE"""),12)</f>
        <v>12</v>
      </c>
      <c r="Y8" s="11">
        <f ca="1">IFERROR(__xludf.DUMMYFUNCTION("""COMPUTED_VALUE"""),4)</f>
        <v>4</v>
      </c>
      <c r="Z8" s="12">
        <f ca="1">IFERROR(__xludf.DUMMYFUNCTION("""COMPUTED_VALUE"""),3)</f>
        <v>3</v>
      </c>
      <c r="AA8" s="12">
        <f ca="1">IFERROR(__xludf.DUMMYFUNCTION("""COMPUTED_VALUE"""),2)</f>
        <v>2</v>
      </c>
      <c r="AB8" s="12">
        <f ca="1">IFERROR(__xludf.DUMMYFUNCTION("""COMPUTED_VALUE"""),9)</f>
        <v>9</v>
      </c>
      <c r="AC8" s="12"/>
      <c r="AD8" s="12"/>
      <c r="AE8" s="12"/>
      <c r="AF8" s="12"/>
      <c r="AG8" s="13" t="str">
        <f ca="1">IFERROR(__xludf.DUMMYFUNCTION("ArrayFormula(VLOOKUP(G8, IMPORTRANGE(""https://docs.google.com/spreadsheets/d/1Co934fvtviyaRiMsrIlT05Jaq7iiYq07aLvRr35KA48/edit?gid=173865642#gid=173865642"", ""'G6_Sci Cur_Pri_LU'!G2:V2000""), {3, 4, 5, 6, 7, 8, 9, 10, 11, 12, 13, 14, 15, 16}, 0))"),"LU005214")</f>
        <v>LU005214</v>
      </c>
      <c r="AH8" s="13" t="str">
        <f ca="1">IFERROR(__xludf.DUMMYFUNCTION("""COMPUTED_VALUE"""),"Definition of nutrients, types, and their sources.")</f>
        <v>Definition of nutrients, types, and their sources.</v>
      </c>
      <c r="AI8" s="13" t="str">
        <f ca="1">IFERROR(__xludf.DUMMYFUNCTION("""COMPUTED_VALUE"""),"LU005235")</f>
        <v>LU005235</v>
      </c>
      <c r="AJ8" s="13" t="str">
        <f ca="1">IFERROR(__xludf.DUMMYFUNCTION("""COMPUTED_VALUE"""),"Plants and animals-based food sources")</f>
        <v>Plants and animals-based food sources</v>
      </c>
      <c r="AK8" s="13"/>
      <c r="AL8" s="13"/>
      <c r="AM8" s="13"/>
      <c r="AN8" s="13"/>
      <c r="AO8" s="13"/>
      <c r="AP8" s="13"/>
      <c r="AQ8" s="13"/>
      <c r="AR8" s="13"/>
      <c r="AS8" s="13"/>
      <c r="AT8" s="13"/>
    </row>
    <row r="9" spans="1:46">
      <c r="A9" s="8" t="s">
        <v>1405</v>
      </c>
      <c r="B9" s="8" t="s">
        <v>47</v>
      </c>
      <c r="C9" s="8" t="s">
        <v>48</v>
      </c>
      <c r="D9" s="8" t="s">
        <v>1406</v>
      </c>
      <c r="E9" s="8" t="s">
        <v>1407</v>
      </c>
      <c r="F9" s="8" t="s">
        <v>1422</v>
      </c>
      <c r="G9" s="106" t="s">
        <v>1425</v>
      </c>
      <c r="H9" s="8" t="s">
        <v>1426</v>
      </c>
      <c r="I9" s="10" t="str">
        <f t="shared" si="0"/>
        <v>LU005216.001</v>
      </c>
      <c r="J9" s="10" t="str">
        <f ca="1">IFERROR(__xludf.DUMMYFUNCTION("VLOOKUP(I9, IMPORTRANGE(""https://docs.google.com/spreadsheets/d/1yDAaXNsi4Mr5FtRQL4tbmSdIzhx6_m4wkOD7IG-k_eo/edit#gid=1336395716"", ""Science!M:N""), 2, FALSE)"),"Students will define vitamins, and list the different types of vitamins and their food sources.")</f>
        <v>Students will define vitamins, and list the different types of vitamins and their food sources.</v>
      </c>
      <c r="K9" s="10" t="str">
        <f t="shared" si="1"/>
        <v>LU005216.002</v>
      </c>
      <c r="L9" s="10" t="str">
        <f ca="1">IFERROR(__xludf.DUMMYFUNCTION("VLOOKUP(K9, IMPORTRANGE(""https://docs.google.com/spreadsheets/d/1yDAaXNsi4Mr5FtRQL4tbmSdIzhx6_m4wkOD7IG-k_eo/edit#gid=1336395716"", ""Science!M:N""), 2, FALSE)"),"Students will summarize the functions of each type of vitamin in the body.")</f>
        <v>Students will summarize the functions of each type of vitamin in the body.</v>
      </c>
      <c r="M9" s="10" t="str">
        <f t="shared" si="2"/>
        <v>LU005216.003</v>
      </c>
      <c r="N9" s="10" t="str">
        <f ca="1">IFERROR(__xludf.DUMMYFUNCTION("VLOOKUP(M9, IMPORTRANGE(""https://docs.google.com/spreadsheets/d/1yDAaXNsi4Mr5FtRQL4tbmSdIzhx6_m4wkOD7IG-k_eo/edit#gid=1336395716"", ""Science!M:N""), 2, FALSE)"),"Students will match vitamins to their corresponding deficiency diseases.")</f>
        <v>Students will match vitamins to their corresponding deficiency diseases.</v>
      </c>
      <c r="O9" s="10" t="str">
        <f t="shared" si="3"/>
        <v>LU005216.004</v>
      </c>
      <c r="P9" s="10" t="str">
        <f ca="1">IFERROR(__xludf.DUMMYFUNCTION("VLOOKUP(O9, IMPORTRANGE(""https://docs.google.com/spreadsheets/d/1yDAaXNsi4Mr5FtRQL4tbmSdIzhx6_m4wkOD7IG-k_eo/edit#gid=1336395716"", ""Science!M:N""), 2, FALSE)"),"Students will differentiate between fat-soluble and water-soluble vitamins based on their properties and functions.")</f>
        <v>Students will differentiate between fat-soluble and water-soluble vitamins based on their properties and functions.</v>
      </c>
      <c r="Q9" s="10" t="str">
        <f t="shared" si="4"/>
        <v>LU005216.005</v>
      </c>
      <c r="R9" s="10" t="str">
        <f ca="1">IFERROR(__xludf.DUMMYFUNCTION("VLOOKUP(Q9, IMPORTRANGE(""https://docs.google.com/spreadsheets/d/1yDAaXNsi4Mr5FtRQL4tbmSdIzhx6_m4wkOD7IG-k_eo/edit#gid=1336395716"", ""Science!M:N""), 2, FALSE)"),"#N/A")</f>
        <v>#N/A</v>
      </c>
      <c r="S9" s="10" t="str">
        <f t="shared" si="5"/>
        <v>LU005216.006</v>
      </c>
      <c r="T9" s="10" t="str">
        <f ca="1">IFERROR(__xludf.DUMMYFUNCTION("VLOOKUP(S9, IMPORTRANGE(""https://docs.google.com/spreadsheets/d/1yDAaXNsi4Mr5FtRQL4tbmSdIzhx6_m4wkOD7IG-k_eo/edit#gid=1336395716"", ""Science!M:N""), 2, FALSE)"),"#N/A")</f>
        <v>#N/A</v>
      </c>
      <c r="U9" s="11">
        <f ca="1">IFERROR(__xludf.DUMMYFUNCTION("ArrayFormula(VLOOKUP(G9, IMPORTRANGE(""https://docs.google.com/spreadsheets/d/1p7R4vtkWt5VOBim4ltsDG9KTzSjrtKXsMtQGXPHyND0/edit#gid=795171502"", ""'Filter 30_05_2024'!A1:M2000""), {2, 3, 4, 5,6,7,8,9,10,11,12,13}, 0))"),7)</f>
        <v>7</v>
      </c>
      <c r="V9" s="11">
        <f ca="1">IFERROR(__xludf.DUMMYFUNCTION("""COMPUTED_VALUE"""),6)</f>
        <v>6</v>
      </c>
      <c r="W9" s="11">
        <f ca="1">IFERROR(__xludf.DUMMYFUNCTION("""COMPUTED_VALUE"""),2)</f>
        <v>2</v>
      </c>
      <c r="X9" s="11">
        <f ca="1">IFERROR(__xludf.DUMMYFUNCTION("""COMPUTED_VALUE"""),15)</f>
        <v>15</v>
      </c>
      <c r="Y9" s="11">
        <f ca="1">IFERROR(__xludf.DUMMYFUNCTION("""COMPUTED_VALUE"""),4)</f>
        <v>4</v>
      </c>
      <c r="Z9" s="12">
        <f ca="1">IFERROR(__xludf.DUMMYFUNCTION("""COMPUTED_VALUE"""),3)</f>
        <v>3</v>
      </c>
      <c r="AA9" s="12">
        <f ca="1">IFERROR(__xludf.DUMMYFUNCTION("""COMPUTED_VALUE"""),1)</f>
        <v>1</v>
      </c>
      <c r="AB9" s="12">
        <f ca="1">IFERROR(__xludf.DUMMYFUNCTION("""COMPUTED_VALUE"""),8)</f>
        <v>8</v>
      </c>
      <c r="AC9" s="12"/>
      <c r="AD9" s="12"/>
      <c r="AE9" s="12"/>
      <c r="AF9" s="12"/>
      <c r="AG9" s="13" t="str">
        <f ca="1">IFERROR(__xludf.DUMMYFUNCTION("ArrayFormula(VLOOKUP(G9, IMPORTRANGE(""https://docs.google.com/spreadsheets/d/1Co934fvtviyaRiMsrIlT05Jaq7iiYq07aLvRr35KA48/edit?gid=173865642#gid=173865642"", ""'G6_Sci Cur_Pri_LU'!G2:V2000""), {3, 4, 5, 6, 7, 8, 9, 10, 11, 12, 13, 14, 15, 16}, 0))"),"LU005214")</f>
        <v>LU005214</v>
      </c>
      <c r="AH9" s="13" t="str">
        <f ca="1">IFERROR(__xludf.DUMMYFUNCTION("""COMPUTED_VALUE"""),"Definition of nutrients, types, and their sources.")</f>
        <v>Definition of nutrients, types, and their sources.</v>
      </c>
      <c r="AI9" s="13" t="str">
        <f ca="1">IFERROR(__xludf.DUMMYFUNCTION("""COMPUTED_VALUE"""),"LU005235")</f>
        <v>LU005235</v>
      </c>
      <c r="AJ9" s="13" t="str">
        <f ca="1">IFERROR(__xludf.DUMMYFUNCTION("""COMPUTED_VALUE"""),"Plants and animals-based food sources")</f>
        <v>Plants and animals-based food sources</v>
      </c>
      <c r="AK9" s="13"/>
      <c r="AL9" s="13"/>
      <c r="AM9" s="13"/>
      <c r="AN9" s="13"/>
      <c r="AO9" s="13"/>
      <c r="AP9" s="13"/>
      <c r="AQ9" s="13"/>
      <c r="AR9" s="13"/>
      <c r="AS9" s="13"/>
      <c r="AT9" s="13"/>
    </row>
    <row r="10" spans="1:46">
      <c r="A10" s="8" t="s">
        <v>1405</v>
      </c>
      <c r="B10" s="8" t="s">
        <v>47</v>
      </c>
      <c r="C10" s="8" t="s">
        <v>48</v>
      </c>
      <c r="D10" s="8" t="s">
        <v>1406</v>
      </c>
      <c r="E10" s="8" t="s">
        <v>1407</v>
      </c>
      <c r="F10" s="8" t="s">
        <v>1422</v>
      </c>
      <c r="G10" s="106" t="s">
        <v>1427</v>
      </c>
      <c r="H10" s="8" t="s">
        <v>1428</v>
      </c>
      <c r="I10" s="10" t="str">
        <f t="shared" si="0"/>
        <v>LU005942.001</v>
      </c>
      <c r="J10" s="10" t="str">
        <f ca="1">IFERROR(__xludf.DUMMYFUNCTION("VLOOKUP(I10, IMPORTRANGE(""https://docs.google.com/spreadsheets/d/1yDAaXNsi4Mr5FtRQL4tbmSdIzhx6_m4wkOD7IG-k_eo/edit#gid=1336395716"", ""Science!M:N""), 2, FALSE)"),"List common minerals essential for the human body and their food sources.")</f>
        <v>List common minerals essential for the human body and their food sources.</v>
      </c>
      <c r="K10" s="10" t="str">
        <f t="shared" si="1"/>
        <v>LU005942.002</v>
      </c>
      <c r="L10" s="10" t="str">
        <f ca="1">IFERROR(__xludf.DUMMYFUNCTION("VLOOKUP(K10, IMPORTRANGE(""https://docs.google.com/spreadsheets/d/1yDAaXNsi4Mr5FtRQL4tbmSdIzhx6_m4wkOD7IG-k_eo/edit#gid=1336395716"", ""Science!M:N""), 2, FALSE)"),"Describe the role of different minerals in maintaining good health.")</f>
        <v>Describe the role of different minerals in maintaining good health.</v>
      </c>
      <c r="M10" s="10" t="str">
        <f t="shared" si="2"/>
        <v>LU005942.003</v>
      </c>
      <c r="N10" s="10" t="str">
        <f ca="1">IFERROR(__xludf.DUMMYFUNCTION("VLOOKUP(M10, IMPORTRANGE(""https://docs.google.com/spreadsheets/d/1yDAaXNsi4Mr5FtRQL4tbmSdIzhx6_m4wkOD7IG-k_eo/edit#gid=1336395716"", ""Science!M:N""), 2, FALSE)"),"Apply knowledge of minerals to choose appropriate foods for a balanced diet.")</f>
        <v>Apply knowledge of minerals to choose appropriate foods for a balanced diet.</v>
      </c>
      <c r="O10" s="10" t="str">
        <f t="shared" si="3"/>
        <v>LU005942.004</v>
      </c>
      <c r="P10" s="10" t="str">
        <f ca="1">IFERROR(__xludf.DUMMYFUNCTION("VLOOKUP(O10, IMPORTRANGE(""https://docs.google.com/spreadsheets/d/1yDAaXNsi4Mr5FtRQL4tbmSdIzhx6_m4wkOD7IG-k_eo/edit#gid=1336395716"", ""Science!M:N""), 2, FALSE)"),"Analyze a diet plan to evaluate its mineral content and its potential effects on health.")</f>
        <v>Analyze a diet plan to evaluate its mineral content and its potential effects on health.</v>
      </c>
      <c r="Q10" s="10" t="str">
        <f t="shared" si="4"/>
        <v>LU005942.005</v>
      </c>
      <c r="R10" s="10" t="str">
        <f ca="1">IFERROR(__xludf.DUMMYFUNCTION("VLOOKUP(Q10, IMPORTRANGE(""https://docs.google.com/spreadsheets/d/1yDAaXNsi4Mr5FtRQL4tbmSdIzhx6_m4wkOD7IG-k_eo/edit#gid=1336395716"", ""Science!M:N""), 2, FALSE)"),"Justify the need for mineral supplementation in certain health conditions or dietary restrictions.")</f>
        <v>Justify the need for mineral supplementation in certain health conditions or dietary restrictions.</v>
      </c>
      <c r="S10" s="10" t="str">
        <f t="shared" si="5"/>
        <v>LU005942.006</v>
      </c>
      <c r="T10" s="10" t="str">
        <f ca="1">IFERROR(__xludf.DUMMYFUNCTION("VLOOKUP(S10, IMPORTRANGE(""https://docs.google.com/spreadsheets/d/1yDAaXNsi4Mr5FtRQL4tbmSdIzhx6_m4wkOD7IG-k_eo/edit#gid=1336395716"", ""Science!M:N""), 2, FALSE)"),"Construct a weekly meal plan that ensures an adequate intake of essential minerals for a peer with specific dietary needs.")</f>
        <v>Construct a weekly meal plan that ensures an adequate intake of essential minerals for a peer with specific dietary needs.</v>
      </c>
      <c r="U10" s="11">
        <f ca="1">IFERROR(__xludf.DUMMYFUNCTION("ArrayFormula(VLOOKUP(G10, IMPORTRANGE(""https://docs.google.com/spreadsheets/d/1p7R4vtkWt5VOBim4ltsDG9KTzSjrtKXsMtQGXPHyND0/edit#gid=795171502"", ""'Filter 30_05_2024'!A1:M2000""), {2, 3, 4, 5,6,7,8,9,10,11,12,13}, 0))"),4)</f>
        <v>4</v>
      </c>
      <c r="V10" s="11">
        <f ca="1">IFERROR(__xludf.DUMMYFUNCTION("""COMPUTED_VALUE"""),4)</f>
        <v>4</v>
      </c>
      <c r="W10" s="11">
        <f ca="1">IFERROR(__xludf.DUMMYFUNCTION("""COMPUTED_VALUE"""),2)</f>
        <v>2</v>
      </c>
      <c r="X10" s="11">
        <f ca="1">IFERROR(__xludf.DUMMYFUNCTION("""COMPUTED_VALUE"""),10)</f>
        <v>10</v>
      </c>
      <c r="Y10" s="11">
        <f ca="1">IFERROR(__xludf.DUMMYFUNCTION("""COMPUTED_VALUE"""),4)</f>
        <v>4</v>
      </c>
      <c r="Z10" s="12">
        <f ca="1">IFERROR(__xludf.DUMMYFUNCTION("""COMPUTED_VALUE"""),3)</f>
        <v>3</v>
      </c>
      <c r="AA10" s="12">
        <f ca="1">IFERROR(__xludf.DUMMYFUNCTION("""COMPUTED_VALUE"""),1)</f>
        <v>1</v>
      </c>
      <c r="AB10" s="12">
        <f ca="1">IFERROR(__xludf.DUMMYFUNCTION("""COMPUTED_VALUE"""),8)</f>
        <v>8</v>
      </c>
      <c r="AC10" s="12"/>
      <c r="AD10" s="12"/>
      <c r="AE10" s="12"/>
      <c r="AF10" s="12"/>
      <c r="AG10" s="13" t="str">
        <f ca="1">IFERROR(__xludf.DUMMYFUNCTION("ArrayFormula(VLOOKUP(G10, IMPORTRANGE(""https://docs.google.com/spreadsheets/d/1Co934fvtviyaRiMsrIlT05Jaq7iiYq07aLvRr35KA48/edit?gid=173865642#gid=173865642"", ""'G6_Sci Cur_Pri_LU'!G2:V2000""), {3, 4, 5, 6, 7, 8, 9, 10, 11, 12, 13, 14, 15, 16}, 0))"),"LU005214")</f>
        <v>LU005214</v>
      </c>
      <c r="AH10" s="13" t="str">
        <f ca="1">IFERROR(__xludf.DUMMYFUNCTION("""COMPUTED_VALUE"""),"Definition of nutrients, types, and their sources.")</f>
        <v>Definition of nutrients, types, and their sources.</v>
      </c>
      <c r="AI10" s="13" t="str">
        <f ca="1">IFERROR(__xludf.DUMMYFUNCTION("""COMPUTED_VALUE"""),"LU005216")</f>
        <v>LU005216</v>
      </c>
      <c r="AJ10" s="13" t="str">
        <f ca="1">IFERROR(__xludf.DUMMYFUNCTION("""COMPUTED_VALUE"""),"Definition of vitamins, types, functions and sources")</f>
        <v>Definition of vitamins, types, functions and sources</v>
      </c>
      <c r="AK10" s="13"/>
      <c r="AL10" s="13"/>
      <c r="AM10" s="13"/>
      <c r="AN10" s="13"/>
      <c r="AO10" s="13"/>
      <c r="AP10" s="13"/>
      <c r="AQ10" s="13"/>
      <c r="AR10" s="13"/>
      <c r="AS10" s="13"/>
      <c r="AT10" s="13"/>
    </row>
    <row r="11" spans="1:46">
      <c r="A11" s="8" t="s">
        <v>1405</v>
      </c>
      <c r="B11" s="8" t="s">
        <v>47</v>
      </c>
      <c r="C11" s="8" t="s">
        <v>48</v>
      </c>
      <c r="D11" s="8" t="s">
        <v>1406</v>
      </c>
      <c r="E11" s="8" t="s">
        <v>1407</v>
      </c>
      <c r="F11" s="8" t="s">
        <v>1429</v>
      </c>
      <c r="G11" s="106" t="s">
        <v>1430</v>
      </c>
      <c r="H11" s="8" t="s">
        <v>1431</v>
      </c>
      <c r="I11" s="10" t="str">
        <f t="shared" si="0"/>
        <v>LU005941.001</v>
      </c>
      <c r="J11" s="10" t="str">
        <f ca="1">IFERROR(__xludf.DUMMYFUNCTION("VLOOKUP(I11, IMPORTRANGE(""https://docs.google.com/spreadsheets/d/1yDAaXNsi4Mr5FtRQL4tbmSdIzhx6_m4wkOD7IG-k_eo/edit#gid=1336395716"", ""Science!M:N""), 2, FALSE)"),"Recall the functions of roughage/dietary fibers and water in the human body.")</f>
        <v>Recall the functions of roughage/dietary fibers and water in the human body.</v>
      </c>
      <c r="K11" s="10" t="str">
        <f t="shared" si="1"/>
        <v>LU005941.002</v>
      </c>
      <c r="L11" s="10" t="str">
        <f ca="1">IFERROR(__xludf.DUMMYFUNCTION("VLOOKUP(K11, IMPORTRANGE(""https://docs.google.com/spreadsheets/d/1yDAaXNsi4Mr5FtRQL4tbmSdIzhx6_m4wkOD7IG-k_eo/edit#gid=1336395716"", ""Science!M:N""), 2, FALSE)"),"Describe how roughage/dietary fibers and water aid in the digestive system.")</f>
        <v>Describe how roughage/dietary fibers and water aid in the digestive system.</v>
      </c>
      <c r="M11" s="10" t="str">
        <f t="shared" si="2"/>
        <v>LU005941.003</v>
      </c>
      <c r="N11" s="10" t="str">
        <f ca="1">IFERROR(__xludf.DUMMYFUNCTION("VLOOKUP(M11, IMPORTRANGE(""https://docs.google.com/spreadsheets/d/1yDAaXNsi4Mr5FtRQL4tbmSdIzhx6_m4wkOD7IG-k_eo/edit#gid=1336395716"", ""Science!M:N""), 2, FALSE)"),"Apply knowledge of roughage and water to choose appropriate food items that fulfill the body's requirements.")</f>
        <v>Apply knowledge of roughage and water to choose appropriate food items that fulfill the body's requirements.</v>
      </c>
      <c r="O11" s="10" t="str">
        <f t="shared" si="3"/>
        <v>LU005941.004</v>
      </c>
      <c r="P11" s="10" t="str">
        <f ca="1">IFERROR(__xludf.DUMMYFUNCTION("VLOOKUP(O11, IMPORTRANGE(""https://docs.google.com/spreadsheets/d/1yDAaXNsi4Mr5FtRQL4tbmSdIzhx6_m4wkOD7IG-k_eo/edit#gid=1336395716"", ""Science!M:N""), 2, FALSE)"),"#N/A")</f>
        <v>#N/A</v>
      </c>
      <c r="Q11" s="10" t="str">
        <f t="shared" si="4"/>
        <v>LU005941.005</v>
      </c>
      <c r="R11" s="10" t="str">
        <f ca="1">IFERROR(__xludf.DUMMYFUNCTION("VLOOKUP(Q11, IMPORTRANGE(""https://docs.google.com/spreadsheets/d/1yDAaXNsi4Mr5FtRQL4tbmSdIzhx6_m4wkOD7IG-k_eo/edit#gid=1336395716"", ""Science!M:N""), 2, FALSE)"),"#N/A")</f>
        <v>#N/A</v>
      </c>
      <c r="S11" s="10" t="str">
        <f t="shared" si="5"/>
        <v>LU005941.006</v>
      </c>
      <c r="T11" s="10" t="str">
        <f ca="1">IFERROR(__xludf.DUMMYFUNCTION("VLOOKUP(S11, IMPORTRANGE(""https://docs.google.com/spreadsheets/d/1yDAaXNsi4Mr5FtRQL4tbmSdIzhx6_m4wkOD7IG-k_eo/edit#gid=1336395716"", ""Science!M:N""), 2, FALSE)"),"#N/A")</f>
        <v>#N/A</v>
      </c>
      <c r="U11" s="11">
        <f ca="1">IFERROR(__xludf.DUMMYFUNCTION("ArrayFormula(VLOOKUP(G11, IMPORTRANGE(""https://docs.google.com/spreadsheets/d/1p7R4vtkWt5VOBim4ltsDG9KTzSjrtKXsMtQGXPHyND0/edit#gid=795171502"", ""'Filter 30_05_2024'!A1:M2000""), {2, 3, 4, 5,6,7,8,9,10,11,12,13}, 0))"),6)</f>
        <v>6</v>
      </c>
      <c r="V11" s="11">
        <f ca="1">IFERROR(__xludf.DUMMYFUNCTION("""COMPUTED_VALUE"""),6)</f>
        <v>6</v>
      </c>
      <c r="W11" s="11">
        <f ca="1">IFERROR(__xludf.DUMMYFUNCTION("""COMPUTED_VALUE"""),2)</f>
        <v>2</v>
      </c>
      <c r="X11" s="11">
        <f ca="1">IFERROR(__xludf.DUMMYFUNCTION("""COMPUTED_VALUE"""),14)</f>
        <v>14</v>
      </c>
      <c r="Y11" s="11">
        <f ca="1">IFERROR(__xludf.DUMMYFUNCTION("""COMPUTED_VALUE"""),4)</f>
        <v>4</v>
      </c>
      <c r="Z11" s="12">
        <f ca="1">IFERROR(__xludf.DUMMYFUNCTION("""COMPUTED_VALUE"""),3)</f>
        <v>3</v>
      </c>
      <c r="AA11" s="12">
        <f ca="1">IFERROR(__xludf.DUMMYFUNCTION("""COMPUTED_VALUE"""),1)</f>
        <v>1</v>
      </c>
      <c r="AB11" s="12">
        <f ca="1">IFERROR(__xludf.DUMMYFUNCTION("""COMPUTED_VALUE"""),8)</f>
        <v>8</v>
      </c>
      <c r="AC11" s="12"/>
      <c r="AD11" s="12"/>
      <c r="AE11" s="12"/>
      <c r="AF11" s="12"/>
      <c r="AG11" s="13" t="str">
        <f ca="1">IFERROR(__xludf.DUMMYFUNCTION("ArrayFormula(VLOOKUP(G11, IMPORTRANGE(""https://docs.google.com/spreadsheets/d/1Co934fvtviyaRiMsrIlT05Jaq7iiYq07aLvRr35KA48/edit?gid=173865642#gid=173865642"", ""'G6_Sci Cur_Pri_LU'!G2:V2000""), {3, 4, 5, 6, 7, 8, 9, 10, 11, 12, 13, 14, 15, 16}, 0))"),"LU005214")</f>
        <v>LU005214</v>
      </c>
      <c r="AH11" s="13" t="str">
        <f ca="1">IFERROR(__xludf.DUMMYFUNCTION("""COMPUTED_VALUE"""),"Definition of nutrients, types, and their sources.")</f>
        <v>Definition of nutrients, types, and their sources.</v>
      </c>
      <c r="AI11" s="13" t="str">
        <f ca="1">IFERROR(__xludf.DUMMYFUNCTION("""COMPUTED_VALUE"""),"LU005089")</f>
        <v>LU005089</v>
      </c>
      <c r="AJ11" s="13" t="str">
        <f ca="1">IFERROR(__xludf.DUMMYFUNCTION("""COMPUTED_VALUE"""),"Definition of health")</f>
        <v>Definition of health</v>
      </c>
      <c r="AK11" s="13"/>
      <c r="AL11" s="13"/>
      <c r="AM11" s="13"/>
      <c r="AN11" s="13"/>
      <c r="AO11" s="13"/>
      <c r="AP11" s="13"/>
      <c r="AQ11" s="13"/>
      <c r="AR11" s="13"/>
      <c r="AS11" s="13"/>
      <c r="AT11" s="13"/>
    </row>
    <row r="12" spans="1:46">
      <c r="A12" s="8" t="s">
        <v>1405</v>
      </c>
      <c r="B12" s="8" t="s">
        <v>47</v>
      </c>
      <c r="C12" s="8" t="s">
        <v>48</v>
      </c>
      <c r="D12" s="8" t="s">
        <v>1406</v>
      </c>
      <c r="E12" s="8" t="s">
        <v>1407</v>
      </c>
      <c r="F12" s="8" t="s">
        <v>1429</v>
      </c>
      <c r="G12" s="106" t="s">
        <v>1432</v>
      </c>
      <c r="H12" s="8" t="s">
        <v>1433</v>
      </c>
      <c r="I12" s="10" t="str">
        <f t="shared" si="0"/>
        <v>LU005218.001</v>
      </c>
      <c r="J12" s="10" t="str">
        <f ca="1">IFERROR(__xludf.DUMMYFUNCTION("VLOOKUP(I12, IMPORTRANGE(""https://docs.google.com/spreadsheets/d/1yDAaXNsi4Mr5FtRQL4tbmSdIzhx6_m4wkOD7IG-k_eo/edit#gid=1336395716"", ""Science!M:N""), 2, FALSE)"),"Recall the concept of a balanced diet and loss of nutrients during food preparation.")</f>
        <v>Recall the concept of a balanced diet and loss of nutrients during food preparation.</v>
      </c>
      <c r="K12" s="10" t="str">
        <f t="shared" si="1"/>
        <v>LU005218.002</v>
      </c>
      <c r="L12" s="10" t="str">
        <f ca="1">IFERROR(__xludf.DUMMYFUNCTION("VLOOKUP(K12, IMPORTRANGE(""https://docs.google.com/spreadsheets/d/1yDAaXNsi4Mr5FtRQL4tbmSdIzhx6_m4wkOD7IG-k_eo/edit#gid=1336395716"", ""Science!M:N""), 2, FALSE)"),"Explain why a balanced diet is essential for overall health and well-being and also loss of nutrients during food preparation.")</f>
        <v>Explain why a balanced diet is essential for overall health and well-being and also loss of nutrients during food preparation.</v>
      </c>
      <c r="M12" s="10" t="str">
        <f t="shared" si="2"/>
        <v>LU005218.003</v>
      </c>
      <c r="N12" s="10" t="str">
        <f ca="1">IFERROR(__xludf.DUMMYFUNCTION("VLOOKUP(M12, IMPORTRANGE(""https://docs.google.com/spreadsheets/d/1yDAaXNsi4Mr5FtRQL4tbmSdIzhx6_m4wkOD7IG-k_eo/edit#gid=1336395716"", ""Science!M:N""), 2, FALSE)"),"Identify examples of foods from different food groups that contribute to a balanced diet and conditions which involve loss of nutrients during food preparation.")</f>
        <v>Identify examples of foods from different food groups that contribute to a balanced diet and conditions which involve loss of nutrients during food preparation.</v>
      </c>
      <c r="O12" s="10" t="str">
        <f t="shared" si="3"/>
        <v>LU005218.004</v>
      </c>
      <c r="P12" s="10" t="str">
        <f ca="1">IFERROR(__xludf.DUMMYFUNCTION("VLOOKUP(O12, IMPORTRANGE(""https://docs.google.com/spreadsheets/d/1yDAaXNsi4Mr5FtRQL4tbmSdIzhx6_m4wkOD7IG-k_eo/edit#gid=1336395716"", ""Science!M:N""), 2, FALSE)"),"Analyze the nutritional content of a typical meal to determine if it meets the criteria of a balanced diet and conditions which can contribute to loss of nutrients during food preparation.")</f>
        <v>Analyze the nutritional content of a typical meal to determine if it meets the criteria of a balanced diet and conditions which can contribute to loss of nutrients during food preparation.</v>
      </c>
      <c r="Q12" s="10" t="str">
        <f t="shared" si="4"/>
        <v>LU005218.005</v>
      </c>
      <c r="R12" s="10" t="str">
        <f ca="1">IFERROR(__xludf.DUMMYFUNCTION("VLOOKUP(Q12, IMPORTRANGE(""https://docs.google.com/spreadsheets/d/1yDAaXNsi4Mr5FtRQL4tbmSdIzhx6_m4wkOD7IG-k_eo/edit#gid=1336395716"", ""Science!M:N""), 2, FALSE)"),"Evaluate the benefits of adhering to a balanced diet in preventing nutritional deficiencies and discuss the challenges individuals might face in maintaining such a diet.")</f>
        <v>Evaluate the benefits of adhering to a balanced diet in preventing nutritional deficiencies and discuss the challenges individuals might face in maintaining such a diet.</v>
      </c>
      <c r="S12" s="10" t="str">
        <f t="shared" si="5"/>
        <v>LU005218.006</v>
      </c>
      <c r="T12" s="10" t="str">
        <f ca="1">IFERROR(__xludf.DUMMYFUNCTION("VLOOKUP(S12, IMPORTRANGE(""https://docs.google.com/spreadsheets/d/1yDAaXNsi4Mr5FtRQL4tbmSdIzhx6_m4wkOD7IG-k_eo/edit#gid=1336395716"", ""Science!M:N""), 2, FALSE)"),"#N/A")</f>
        <v>#N/A</v>
      </c>
      <c r="U12" s="11">
        <f ca="1">IFERROR(__xludf.DUMMYFUNCTION("ArrayFormula(VLOOKUP(G12, IMPORTRANGE(""https://docs.google.com/spreadsheets/d/1p7R4vtkWt5VOBim4ltsDG9KTzSjrtKXsMtQGXPHyND0/edit#gid=795171502"", ""'Filter 30_05_2024'!A1:M2000""), {2, 3, 4, 5,6,7,8,9,10,11,12,13}, 0))"),4)</f>
        <v>4</v>
      </c>
      <c r="V12" s="11">
        <f ca="1">IFERROR(__xludf.DUMMYFUNCTION("""COMPUTED_VALUE"""),6)</f>
        <v>6</v>
      </c>
      <c r="W12" s="11">
        <f ca="1">IFERROR(__xludf.DUMMYFUNCTION("""COMPUTED_VALUE"""),2)</f>
        <v>2</v>
      </c>
      <c r="X12" s="11">
        <f ca="1">IFERROR(__xludf.DUMMYFUNCTION("""COMPUTED_VALUE"""),12)</f>
        <v>12</v>
      </c>
      <c r="Y12" s="11">
        <f ca="1">IFERROR(__xludf.DUMMYFUNCTION("""COMPUTED_VALUE"""),5)</f>
        <v>5</v>
      </c>
      <c r="Z12" s="12">
        <f ca="1">IFERROR(__xludf.DUMMYFUNCTION("""COMPUTED_VALUE"""),3)</f>
        <v>3</v>
      </c>
      <c r="AA12" s="12">
        <f ca="1">IFERROR(__xludf.DUMMYFUNCTION("""COMPUTED_VALUE"""),3)</f>
        <v>3</v>
      </c>
      <c r="AB12" s="12">
        <f ca="1">IFERROR(__xludf.DUMMYFUNCTION("""COMPUTED_VALUE"""),11)</f>
        <v>11</v>
      </c>
      <c r="AC12" s="12"/>
      <c r="AD12" s="12"/>
      <c r="AE12" s="12"/>
      <c r="AF12" s="12"/>
      <c r="AG12" s="13" t="str">
        <f ca="1">IFERROR(__xludf.DUMMYFUNCTION("ArrayFormula(VLOOKUP(G12, IMPORTRANGE(""https://docs.google.com/spreadsheets/d/1Co934fvtviyaRiMsrIlT05Jaq7iiYq07aLvRr35KA48/edit?gid=173865642#gid=173865642"", ""'G6_Sci Cur_Pri_LU'!G2:V2000""), {3, 4, 5, 6, 7, 8, 9, 10, 11, 12, 13, 14, 15, 16}, 0))"),"LU005942")</f>
        <v>LU005942</v>
      </c>
      <c r="AH12" s="13" t="str">
        <f ca="1">IFERROR(__xludf.DUMMYFUNCTION("""COMPUTED_VALUE"""),"Minerals' functions and sources for human body")</f>
        <v>Minerals' functions and sources for human body</v>
      </c>
      <c r="AI12" s="13" t="str">
        <f ca="1">IFERROR(__xludf.DUMMYFUNCTION("""COMPUTED_VALUE"""),"LU005216")</f>
        <v>LU005216</v>
      </c>
      <c r="AJ12" s="13" t="str">
        <f ca="1">IFERROR(__xludf.DUMMYFUNCTION("""COMPUTED_VALUE"""),"Definition of vitamins, types, functions and sources")</f>
        <v>Definition of vitamins, types, functions and sources</v>
      </c>
      <c r="AK12" s="13" t="str">
        <f ca="1">IFERROR(__xludf.DUMMYFUNCTION("""COMPUTED_VALUE"""),"LU005941")</f>
        <v>LU005941</v>
      </c>
      <c r="AL12" s="13" t="str">
        <f ca="1">IFERROR(__xludf.DUMMYFUNCTION("""COMPUTED_VALUE"""),"Roughage and water's function and source for human body")</f>
        <v>Roughage and water's function and source for human body</v>
      </c>
      <c r="AM12" s="13"/>
      <c r="AN12" s="13"/>
      <c r="AO12" s="13"/>
      <c r="AP12" s="13"/>
      <c r="AQ12" s="13"/>
      <c r="AR12" s="13"/>
      <c r="AS12" s="13"/>
      <c r="AT12" s="13"/>
    </row>
    <row r="13" spans="1:46">
      <c r="A13" s="8" t="s">
        <v>1405</v>
      </c>
      <c r="B13" s="8" t="s">
        <v>47</v>
      </c>
      <c r="C13" s="8" t="s">
        <v>48</v>
      </c>
      <c r="D13" s="8" t="s">
        <v>1406</v>
      </c>
      <c r="E13" s="8" t="s">
        <v>1407</v>
      </c>
      <c r="F13" s="8" t="s">
        <v>1429</v>
      </c>
      <c r="G13" s="106" t="s">
        <v>1434</v>
      </c>
      <c r="H13" s="8" t="s">
        <v>1435</v>
      </c>
      <c r="I13" s="10" t="str">
        <f t="shared" si="0"/>
        <v>LU005219.001</v>
      </c>
      <c r="J13" s="10" t="str">
        <f ca="1">IFERROR(__xludf.DUMMYFUNCTION("VLOOKUP(I13, IMPORTRANGE(""https://docs.google.com/spreadsheets/d/1yDAaXNsi4Mr5FtRQL4tbmSdIzhx6_m4wkOD7IG-k_eo/edit#gid=1336395716"", ""Science!M:N""), 2, FALSE)"),"Recall the definition of deficiency diseases.")</f>
        <v>Recall the definition of deficiency diseases.</v>
      </c>
      <c r="K13" s="10" t="str">
        <f t="shared" si="1"/>
        <v>LU005219.002</v>
      </c>
      <c r="L13" s="10" t="str">
        <f ca="1">IFERROR(__xludf.DUMMYFUNCTION("VLOOKUP(K13, IMPORTRANGE(""https://docs.google.com/spreadsheets/d/1yDAaXNsi4Mr5FtRQL4tbmSdIzhx6_m4wkOD7IG-k_eo/edit#gid=1336395716"", ""Science!M:N""), 2, FALSE)"),"Identify deficiency diseases associated with particular nutrient deficiencies from a provided list.")</f>
        <v>Identify deficiency diseases associated with particular nutrient deficiencies from a provided list.</v>
      </c>
      <c r="M13" s="10" t="str">
        <f t="shared" si="2"/>
        <v>LU005219.003</v>
      </c>
      <c r="N13" s="10" t="str">
        <f ca="1">IFERROR(__xludf.DUMMYFUNCTION("VLOOKUP(M13, IMPORTRANGE(""https://docs.google.com/spreadsheets/d/1yDAaXNsi4Mr5FtRQL4tbmSdIzhx6_m4wkOD7IG-k_eo/edit#gid=1336395716"", ""Science!M:N""), 2, FALSE)"),"Apply the knowledge of various deficiency diseases, their causes, symptoms, and potential prevention strategies.")</f>
        <v>Apply the knowledge of various deficiency diseases, their causes, symptoms, and potential prevention strategies.</v>
      </c>
      <c r="O13" s="10" t="str">
        <f t="shared" si="3"/>
        <v>LU005219.004</v>
      </c>
      <c r="P13" s="10" t="str">
        <f ca="1">IFERROR(__xludf.DUMMYFUNCTION("VLOOKUP(O13, IMPORTRANGE(""https://docs.google.com/spreadsheets/d/1yDAaXNsi4Mr5FtRQL4tbmSdIzhx6_m4wkOD7IG-k_eo/edit#gid=1336395716"", ""Science!M:N""), 2, FALSE)"),"Analyze the symptoms of a specific deficiency disease and link them to the nutrient that is lacking.")</f>
        <v>Analyze the symptoms of a specific deficiency disease and link them to the nutrient that is lacking.</v>
      </c>
      <c r="Q13" s="10" t="str">
        <f t="shared" si="4"/>
        <v>LU005219.005</v>
      </c>
      <c r="R13" s="10" t="str">
        <f ca="1">IFERROR(__xludf.DUMMYFUNCTION("VLOOKUP(Q13, IMPORTRANGE(""https://docs.google.com/spreadsheets/d/1yDAaXNsi4Mr5FtRQL4tbmSdIzhx6_m4wkOD7IG-k_eo/edit#gid=1336395716"", ""Science!M:N""), 2, FALSE)"),"#N/A")</f>
        <v>#N/A</v>
      </c>
      <c r="S13" s="10" t="str">
        <f t="shared" si="5"/>
        <v>LU005219.006</v>
      </c>
      <c r="T13" s="10" t="str">
        <f ca="1">IFERROR(__xludf.DUMMYFUNCTION("VLOOKUP(S13, IMPORTRANGE(""https://docs.google.com/spreadsheets/d/1yDAaXNsi4Mr5FtRQL4tbmSdIzhx6_m4wkOD7IG-k_eo/edit#gid=1336395716"", ""Science!M:N""), 2, FALSE)"),"#N/A")</f>
        <v>#N/A</v>
      </c>
      <c r="U13" s="11">
        <f ca="1">IFERROR(__xludf.DUMMYFUNCTION("ArrayFormula(VLOOKUP(G13, IMPORTRANGE(""https://docs.google.com/spreadsheets/d/1p7R4vtkWt5VOBim4ltsDG9KTzSjrtKXsMtQGXPHyND0/edit#gid=795171502"", ""'Filter 30_05_2024'!A1:M2000""), {2, 3, 4, 5,6,7,8,9,10,11,12,13}, 0))"),21)</f>
        <v>21</v>
      </c>
      <c r="V13" s="11">
        <f ca="1">IFERROR(__xludf.DUMMYFUNCTION("""COMPUTED_VALUE"""),11)</f>
        <v>11</v>
      </c>
      <c r="W13" s="11">
        <f ca="1">IFERROR(__xludf.DUMMYFUNCTION("""COMPUTED_VALUE"""),2)</f>
        <v>2</v>
      </c>
      <c r="X13" s="11">
        <f ca="1">IFERROR(__xludf.DUMMYFUNCTION("""COMPUTED_VALUE"""),34)</f>
        <v>34</v>
      </c>
      <c r="Y13" s="11">
        <f ca="1">IFERROR(__xludf.DUMMYFUNCTION("""COMPUTED_VALUE"""),5)</f>
        <v>5</v>
      </c>
      <c r="Z13" s="12">
        <f ca="1">IFERROR(__xludf.DUMMYFUNCTION("""COMPUTED_VALUE"""),8)</f>
        <v>8</v>
      </c>
      <c r="AA13" s="12">
        <f ca="1">IFERROR(__xludf.DUMMYFUNCTION("""COMPUTED_VALUE"""),3)</f>
        <v>3</v>
      </c>
      <c r="AB13" s="12">
        <f ca="1">IFERROR(__xludf.DUMMYFUNCTION("""COMPUTED_VALUE"""),16)</f>
        <v>16</v>
      </c>
      <c r="AC13" s="12"/>
      <c r="AD13" s="12"/>
      <c r="AE13" s="12"/>
      <c r="AF13" s="12"/>
      <c r="AG13" s="13" t="str">
        <f ca="1">IFERROR(__xludf.DUMMYFUNCTION("ArrayFormula(VLOOKUP(G13, IMPORTRANGE(""https://docs.google.com/spreadsheets/d/1Co934fvtviyaRiMsrIlT05Jaq7iiYq07aLvRr35KA48/edit?gid=173865642#gid=173865642"", ""'G6_Sci Cur_Pri_LU'!G2:V2000""), {3, 4, 5, 6, 7, 8, 9, 10, 11, 12, 13, 14, 15, 16}, 0))"),"LU005218")</f>
        <v>LU005218</v>
      </c>
      <c r="AH13" s="13" t="str">
        <f ca="1">IFERROR(__xludf.DUMMYFUNCTION("""COMPUTED_VALUE"""),"Concept and constituents of balanced diet")</f>
        <v>Concept and constituents of balanced diet</v>
      </c>
      <c r="AI13" s="13" t="str">
        <f ca="1">IFERROR(__xludf.DUMMYFUNCTION("""COMPUTED_VALUE"""),"LU005942")</f>
        <v>LU005942</v>
      </c>
      <c r="AJ13" s="13" t="str">
        <f ca="1">IFERROR(__xludf.DUMMYFUNCTION("""COMPUTED_VALUE"""),"Minerals' functions and sources for human body")</f>
        <v>Minerals' functions and sources for human body</v>
      </c>
      <c r="AK13" s="13" t="str">
        <f ca="1">IFERROR(__xludf.DUMMYFUNCTION("""COMPUTED_VALUE"""),"LU005216")</f>
        <v>LU005216</v>
      </c>
      <c r="AL13" s="13" t="str">
        <f ca="1">IFERROR(__xludf.DUMMYFUNCTION("""COMPUTED_VALUE"""),"Definition of vitamins, types, functions and sources")</f>
        <v>Definition of vitamins, types, functions and sources</v>
      </c>
      <c r="AM13" s="13"/>
      <c r="AN13" s="13"/>
      <c r="AO13" s="13"/>
      <c r="AP13" s="13"/>
      <c r="AQ13" s="13"/>
      <c r="AR13" s="13"/>
      <c r="AS13" s="13"/>
      <c r="AT13" s="13"/>
    </row>
    <row r="14" spans="1:46">
      <c r="A14" s="8" t="s">
        <v>1405</v>
      </c>
      <c r="B14" s="8" t="s">
        <v>47</v>
      </c>
      <c r="C14" s="8" t="s">
        <v>48</v>
      </c>
      <c r="D14" s="8" t="s">
        <v>1406</v>
      </c>
      <c r="E14" s="8" t="s">
        <v>1407</v>
      </c>
      <c r="F14" s="8" t="s">
        <v>1436</v>
      </c>
      <c r="G14" s="8" t="s">
        <v>1437</v>
      </c>
      <c r="H14" s="8" t="s">
        <v>1438</v>
      </c>
      <c r="I14" s="10" t="str">
        <f t="shared" si="0"/>
        <v>LU006418.001</v>
      </c>
      <c r="J14" s="10" t="str">
        <f ca="1">IFERROR(__xludf.DUMMYFUNCTION("VLOOKUP(I14, IMPORTRANGE(""https://docs.google.com/spreadsheets/d/1yDAaXNsi4Mr5FtRQL4tbmSdIzhx6_m4wkOD7IG-k_eo/edit#gid=1336395716"", ""Science!M:N""), 2, FALSE)"),"Recall different types of millets commonly consumed and their basic nutritional components.")</f>
        <v>Recall different types of millets commonly consumed and their basic nutritional components.</v>
      </c>
      <c r="K14" s="10" t="str">
        <f t="shared" si="1"/>
        <v>LU006418.002</v>
      </c>
      <c r="L14" s="10" t="str">
        <f ca="1">IFERROR(__xludf.DUMMYFUNCTION("VLOOKUP(K14, IMPORTRANGE(""https://docs.google.com/spreadsheets/d/1yDAaXNsi4Mr5FtRQL4tbmSdIzhx6_m4wkOD7IG-k_eo/edit#gid=1336395716"", ""Science!M:N""), 2, FALSE)"),"Explain how millets contribute to a healthy diet and why they are considered beneficial for health.")</f>
        <v>Explain how millets contribute to a healthy diet and why they are considered beneficial for health.</v>
      </c>
      <c r="M14" s="10" t="str">
        <f t="shared" si="2"/>
        <v>LU006418.003</v>
      </c>
      <c r="N14" s="10" t="str">
        <f ca="1">IFERROR(__xludf.DUMMYFUNCTION("VLOOKUP(M14, IMPORTRANGE(""https://docs.google.com/spreadsheets/d/1yDAaXNsi4Mr5FtRQL4tbmSdIzhx6_m4wkOD7IG-k_eo/edit#gid=1336395716"", ""Science!M:N""), 2, FALSE)"),"Identify meals or recipes that include millets as a key ingredient and describe their health benefits.")</f>
        <v>Identify meals or recipes that include millets as a key ingredient and describe their health benefits.</v>
      </c>
      <c r="O14" s="10" t="str">
        <f t="shared" si="3"/>
        <v>LU006418.004</v>
      </c>
      <c r="P14" s="10" t="str">
        <f ca="1">IFERROR(__xludf.DUMMYFUNCTION("VLOOKUP(O14, IMPORTRANGE(""https://docs.google.com/spreadsheets/d/1yDAaXNsi4Mr5FtRQL4tbmSdIzhx6_m4wkOD7IG-k_eo/edit#gid=1336395716"", ""Science!M:N""), 2, FALSE)"),"Compare the health benefits of millets with those of other grains like rice or wheat.")</f>
        <v>Compare the health benefits of millets with those of other grains like rice or wheat.</v>
      </c>
      <c r="Q14" s="10" t="str">
        <f t="shared" si="4"/>
        <v>LU006418.005</v>
      </c>
      <c r="R14" s="10" t="str">
        <f ca="1">IFERROR(__xludf.DUMMYFUNCTION("VLOOKUP(Q14, IMPORTRANGE(""https://docs.google.com/spreadsheets/d/1yDAaXNsi4Mr5FtRQL4tbmSdIzhx6_m4wkOD7IG-k_eo/edit#gid=1336395716"", ""Science!M:N""), 2, FALSE)"),"Evaluate the role of millets in a balanced diet and how incorporating them can address specific health concerns.")</f>
        <v>Evaluate the role of millets in a balanced diet and how incorporating them can address specific health concerns.</v>
      </c>
      <c r="S14" s="10" t="str">
        <f t="shared" si="5"/>
        <v>LU006418.006</v>
      </c>
      <c r="T14" s="10" t="str">
        <f ca="1">IFERROR(__xludf.DUMMYFUNCTION("VLOOKUP(S14, IMPORTRANGE(""https://docs.google.com/spreadsheets/d/1yDAaXNsi4Mr5FtRQL4tbmSdIzhx6_m4wkOD7IG-k_eo/edit#gid=1336395716"", ""Science!M:N""), 2, FALSE)"),"Design a weekly meal plan incorporating millets and explain how it supports overall health and well-being.")</f>
        <v>Design a weekly meal plan incorporating millets and explain how it supports overall health and well-being.</v>
      </c>
      <c r="U14" s="11">
        <f ca="1">IFERROR(__xludf.DUMMYFUNCTION("ArrayFormula(VLOOKUP(G14, IMPORTRANGE(""https://docs.google.com/spreadsheets/d/1p7R4vtkWt5VOBim4ltsDG9KTzSjrtKXsMtQGXPHyND0/edit#gid=795171502"", ""'Filter 30_05_2024'!A1:M2000""), {2, 3, 4, 5,6,7,8,9,10,11,12,13}, 0))"),4)</f>
        <v>4</v>
      </c>
      <c r="V14" s="11">
        <f ca="1">IFERROR(__xludf.DUMMYFUNCTION("""COMPUTED_VALUE"""),6)</f>
        <v>6</v>
      </c>
      <c r="W14" s="11">
        <f ca="1">IFERROR(__xludf.DUMMYFUNCTION("""COMPUTED_VALUE"""),2)</f>
        <v>2</v>
      </c>
      <c r="X14" s="11">
        <f ca="1">IFERROR(__xludf.DUMMYFUNCTION("""COMPUTED_VALUE"""),12)</f>
        <v>12</v>
      </c>
      <c r="Y14" s="11">
        <f ca="1">IFERROR(__xludf.DUMMYFUNCTION("""COMPUTED_VALUE"""),4)</f>
        <v>4</v>
      </c>
      <c r="Z14" s="12">
        <f ca="1">IFERROR(__xludf.DUMMYFUNCTION("""COMPUTED_VALUE"""),3)</f>
        <v>3</v>
      </c>
      <c r="AA14" s="12">
        <f ca="1">IFERROR(__xludf.DUMMYFUNCTION("""COMPUTED_VALUE"""),1)</f>
        <v>1</v>
      </c>
      <c r="AB14" s="12">
        <f ca="1">IFERROR(__xludf.DUMMYFUNCTION("""COMPUTED_VALUE"""),8)</f>
        <v>8</v>
      </c>
      <c r="AC14" s="12"/>
      <c r="AD14" s="12"/>
      <c r="AE14" s="12"/>
      <c r="AF14" s="12"/>
      <c r="AG14" s="13" t="str">
        <f ca="1">IFERROR(__xludf.DUMMYFUNCTION("ArrayFormula(VLOOKUP(G14, IMPORTRANGE(""https://docs.google.com/spreadsheets/d/1Co934fvtviyaRiMsrIlT05Jaq7iiYq07aLvRr35KA48/edit?gid=173865642#gid=173865642"", ""'G6_Sci Cur_Pri_LU'!G2:V2000""), {3, 4, 5, 6, 7, 8, 9, 10, 11, 12, 13, 14, 15, 16}, 0))"),"LU005218")</f>
        <v>LU005218</v>
      </c>
      <c r="AH14" s="13" t="str">
        <f ca="1">IFERROR(__xludf.DUMMYFUNCTION("""COMPUTED_VALUE"""),"Concept and constituents of balanced diet")</f>
        <v>Concept and constituents of balanced diet</v>
      </c>
      <c r="AI14" s="13" t="str">
        <f ca="1">IFERROR(__xludf.DUMMYFUNCTION("""COMPUTED_VALUE"""),"LU005089")</f>
        <v>LU005089</v>
      </c>
      <c r="AJ14" s="13" t="str">
        <f ca="1">IFERROR(__xludf.DUMMYFUNCTION("""COMPUTED_VALUE"""),"Definition of health")</f>
        <v>Definition of health</v>
      </c>
      <c r="AK14" s="13" t="str">
        <f ca="1">IFERROR(__xludf.DUMMYFUNCTION("""COMPUTED_VALUE"""),"LU005214")</f>
        <v>LU005214</v>
      </c>
      <c r="AL14" s="13" t="str">
        <f ca="1">IFERROR(__xludf.DUMMYFUNCTION("""COMPUTED_VALUE"""),"Definition of nutrients, types, and their sources.")</f>
        <v>Definition of nutrients, types, and their sources.</v>
      </c>
      <c r="AM14" s="13"/>
      <c r="AN14" s="13"/>
      <c r="AO14" s="13"/>
      <c r="AP14" s="13"/>
      <c r="AQ14" s="13"/>
      <c r="AR14" s="13"/>
      <c r="AS14" s="13"/>
      <c r="AT14" s="13"/>
    </row>
    <row r="15" spans="1:46">
      <c r="A15" s="8" t="s">
        <v>1405</v>
      </c>
      <c r="B15" s="8" t="s">
        <v>47</v>
      </c>
      <c r="C15" s="8" t="s">
        <v>48</v>
      </c>
      <c r="D15" s="8" t="s">
        <v>1406</v>
      </c>
      <c r="E15" s="8" t="s">
        <v>1407</v>
      </c>
      <c r="F15" s="8" t="s">
        <v>1436</v>
      </c>
      <c r="G15" s="8" t="s">
        <v>1439</v>
      </c>
      <c r="H15" s="8" t="s">
        <v>1440</v>
      </c>
      <c r="I15" s="10" t="str">
        <f t="shared" si="0"/>
        <v>LU005064.001</v>
      </c>
      <c r="J15" s="10" t="str">
        <f ca="1">IFERROR(__xludf.DUMMYFUNCTION("VLOOKUP(I15, IMPORTRANGE(""https://docs.google.com/spreadsheets/d/1yDAaXNsi4Mr5FtRQL4tbmSdIzhx6_m4wkOD7IG-k_eo/edit#gid=1336395716"", ""Science!M:N""), 2, FALSE)"),"Recall the key stages of a food grain's journey from the farm to the table.")</f>
        <v>Recall the key stages of a food grain's journey from the farm to the table.</v>
      </c>
      <c r="K15" s="10" t="str">
        <f t="shared" si="1"/>
        <v>LU005064.002</v>
      </c>
      <c r="L15" s="10" t="str">
        <f ca="1">IFERROR(__xludf.DUMMYFUNCTION("VLOOKUP(K15, IMPORTRANGE(""https://docs.google.com/spreadsheets/d/1yDAaXNsi4Mr5FtRQL4tbmSdIzhx6_m4wkOD7IG-k_eo/edit#gid=1336395716"", ""Science!M:N""), 2, FALSE)"),"Explain why food grains need to go through various stages and processes before they can be eaten.")</f>
        <v>Explain why food grains need to go through various stages and processes before they can be eaten.</v>
      </c>
      <c r="M15" s="10" t="str">
        <f t="shared" si="2"/>
        <v>LU005064.003</v>
      </c>
      <c r="N15" s="10" t="str">
        <f ca="1">IFERROR(__xludf.DUMMYFUNCTION("VLOOKUP(M15, IMPORTRANGE(""https://docs.google.com/spreadsheets/d/1yDAaXNsi4Mr5FtRQL4tbmSdIzhx6_m4wkOD7IG-k_eo/edit#gid=1336395716"", ""Science!M:N""), 2, FALSE)"),"Apply your understanding by creating a simple flowchart or timeline that illustrates the journey of a food grain from the farm to your plate.")</f>
        <v>Apply your understanding by creating a simple flowchart or timeline that illustrates the journey of a food grain from the farm to your plate.</v>
      </c>
      <c r="O15" s="10" t="str">
        <f t="shared" si="3"/>
        <v>LU005064.004</v>
      </c>
      <c r="P15" s="10" t="str">
        <f ca="1">IFERROR(__xludf.DUMMYFUNCTION("VLOOKUP(O15, IMPORTRANGE(""https://docs.google.com/spreadsheets/d/1yDAaXNsi4Mr5FtRQL4tbmSdIzhx6_m4wkOD7IG-k_eo/edit#gid=1336395716"", ""Science!M:N""), 2, FALSE)"),"Analyze the roles of different people involved in the food grain journey, from farmers to distributors and retailers, and discuss their contributions.")</f>
        <v>Analyze the roles of different people involved in the food grain journey, from farmers to distributors and retailers, and discuss their contributions.</v>
      </c>
      <c r="Q15" s="10" t="str">
        <f t="shared" si="4"/>
        <v>LU005064.005</v>
      </c>
      <c r="R15" s="10" t="str">
        <f ca="1">IFERROR(__xludf.DUMMYFUNCTION("VLOOKUP(Q15, IMPORTRANGE(""https://docs.google.com/spreadsheets/d/1yDAaXNsi4Mr5FtRQL4tbmSdIzhx6_m4wkOD7IG-k_eo/edit#gid=1336395716"", ""Science!M:N""), 2, FALSE)"),"Evaluate the importance of food safety measures and quality control in ensuring that the food grains we eat are healthy and safe.")</f>
        <v>Evaluate the importance of food safety measures and quality control in ensuring that the food grains we eat are healthy and safe.</v>
      </c>
      <c r="S15" s="10" t="str">
        <f t="shared" si="5"/>
        <v>LU005064.006</v>
      </c>
      <c r="T15" s="10" t="str">
        <f ca="1">IFERROR(__xludf.DUMMYFUNCTION("VLOOKUP(S15, IMPORTRANGE(""https://docs.google.com/spreadsheets/d/1yDAaXNsi4Mr5FtRQL4tbmSdIzhx6_m4wkOD7IG-k_eo/edit#gid=1336395716"", ""Science!M:N""), 2, FALSE)"),"#N/A")</f>
        <v>#N/A</v>
      </c>
      <c r="U15" s="11">
        <f ca="1">IFERROR(__xludf.DUMMYFUNCTION("ArrayFormula(VLOOKUP(G15, IMPORTRANGE(""https://docs.google.com/spreadsheets/d/1p7R4vtkWt5VOBim4ltsDG9KTzSjrtKXsMtQGXPHyND0/edit#gid=795171502"", ""'Filter 30_05_2024'!A1:M2000""), {2, 3, 4, 5,6,7,8,9,10,11,12,13}, 0))"),4)</f>
        <v>4</v>
      </c>
      <c r="V15" s="11">
        <f ca="1">IFERROR(__xludf.DUMMYFUNCTION("""COMPUTED_VALUE"""),6)</f>
        <v>6</v>
      </c>
      <c r="W15" s="11">
        <f ca="1">IFERROR(__xludf.DUMMYFUNCTION("""COMPUTED_VALUE"""),1)</f>
        <v>1</v>
      </c>
      <c r="X15" s="11">
        <f ca="1">IFERROR(__xludf.DUMMYFUNCTION("""COMPUTED_VALUE"""),11)</f>
        <v>11</v>
      </c>
      <c r="Y15" s="11">
        <f ca="1">IFERROR(__xludf.DUMMYFUNCTION("""COMPUTED_VALUE"""),4)</f>
        <v>4</v>
      </c>
      <c r="Z15" s="12">
        <f ca="1">IFERROR(__xludf.DUMMYFUNCTION("""COMPUTED_VALUE"""),3)</f>
        <v>3</v>
      </c>
      <c r="AA15" s="12">
        <f ca="1">IFERROR(__xludf.DUMMYFUNCTION("""COMPUTED_VALUE"""),1)</f>
        <v>1</v>
      </c>
      <c r="AB15" s="12">
        <f ca="1">IFERROR(__xludf.DUMMYFUNCTION("""COMPUTED_VALUE"""),8)</f>
        <v>8</v>
      </c>
      <c r="AC15" s="12"/>
      <c r="AD15" s="12"/>
      <c r="AE15" s="12"/>
      <c r="AF15" s="12"/>
      <c r="AG15" s="13" t="str">
        <f ca="1">IFERROR(__xludf.DUMMYFUNCTION("ArrayFormula(VLOOKUP(G15, IMPORTRANGE(""https://docs.google.com/spreadsheets/d/1Co934fvtviyaRiMsrIlT05Jaq7iiYq07aLvRr35KA48/edit?gid=173865642#gid=173865642"", ""'G6_Sci Cur_Pri_LU'!G2:V2000""), {3, 4, 5, 6, 7, 8, 9, 10, 11, 12, 13, 14, 15, 16}, 0))"),"")</f>
        <v/>
      </c>
      <c r="AH15" s="13"/>
      <c r="AI15" s="13"/>
      <c r="AJ15" s="13"/>
      <c r="AK15" s="13"/>
      <c r="AL15" s="13"/>
      <c r="AM15" s="13"/>
      <c r="AN15" s="13"/>
      <c r="AO15" s="13"/>
      <c r="AP15" s="13"/>
      <c r="AQ15" s="13"/>
      <c r="AR15" s="13"/>
      <c r="AS15" s="13"/>
      <c r="AT15" s="13"/>
    </row>
    <row r="16" spans="1:46">
      <c r="A16" s="8" t="s">
        <v>1405</v>
      </c>
      <c r="B16" s="8" t="s">
        <v>47</v>
      </c>
      <c r="C16" s="8" t="s">
        <v>48</v>
      </c>
      <c r="D16" s="8" t="s">
        <v>1441</v>
      </c>
      <c r="E16" s="8" t="s">
        <v>1442</v>
      </c>
      <c r="F16" s="8" t="s">
        <v>1443</v>
      </c>
      <c r="G16" s="106" t="s">
        <v>1444</v>
      </c>
      <c r="H16" s="8" t="s">
        <v>1445</v>
      </c>
      <c r="I16" s="10" t="str">
        <f t="shared" si="0"/>
        <v>LU005313.001</v>
      </c>
      <c r="J16" s="10" t="str">
        <f ca="1">IFERROR(__xludf.DUMMYFUNCTION("VLOOKUP(I16, IMPORTRANGE(""https://docs.google.com/spreadsheets/d/1yDAaXNsi4Mr5FtRQL4tbmSdIzhx6_m4wkOD7IG-k_eo/edit#gid=1336395716"", ""Science!M:N""), 2, FALSE)"),"Define the terms ""objects"" and ""materials"" with relevant examples.")</f>
        <v>Define the terms "objects" and "materials" with relevant examples.</v>
      </c>
      <c r="K16" s="10" t="str">
        <f t="shared" si="1"/>
        <v>LU005313.002</v>
      </c>
      <c r="L16" s="10" t="str">
        <f ca="1">IFERROR(__xludf.DUMMYFUNCTION("VLOOKUP(K16, IMPORTRANGE(""https://docs.google.com/spreadsheets/d/1yDAaXNsi4Mr5FtRQL4tbmSdIzhx6_m4wkOD7IG-k_eo/edit#gid=1336395716"", ""Science!M:N""), 2, FALSE)"),"Differentiate between objects made of a single material and those composed of multiple materials.")</f>
        <v>Differentiate between objects made of a single material and those composed of multiple materials.</v>
      </c>
      <c r="M16" s="10" t="str">
        <f t="shared" si="2"/>
        <v>LU005313.003</v>
      </c>
      <c r="N16" s="10" t="str">
        <f ca="1">IFERROR(__xludf.DUMMYFUNCTION("VLOOKUP(M16, IMPORTRANGE(""https://docs.google.com/spreadsheets/d/1yDAaXNsi4Mr5FtRQL4tbmSdIzhx6_m4wkOD7IG-k_eo/edit#gid=1336395716"", ""Science!M:N""), 2, FALSE)"),"Create a comprehensive list of items from your environment, categorizing them by the materials they are made of.")</f>
        <v>Create a comprehensive list of items from your environment, categorizing them by the materials they are made of.</v>
      </c>
      <c r="O16" s="10" t="str">
        <f t="shared" si="3"/>
        <v>LU005313.004</v>
      </c>
      <c r="P16" s="10" t="str">
        <f ca="1">IFERROR(__xludf.DUMMYFUNCTION("VLOOKUP(O16, IMPORTRANGE(""https://docs.google.com/spreadsheets/d/1yDAaXNsi4Mr5FtRQL4tbmSdIzhx6_m4wkOD7IG-k_eo/edit#gid=1336395716"", ""Science!M:N""), 2, FALSE)"),"Analyze a selection of items around you to identify those that are made up of multiple types of materials.")</f>
        <v>Analyze a selection of items around you to identify those that are made up of multiple types of materials.</v>
      </c>
      <c r="Q16" s="10" t="str">
        <f t="shared" si="4"/>
        <v>LU005313.005</v>
      </c>
      <c r="R16" s="10" t="str">
        <f ca="1">IFERROR(__xludf.DUMMYFUNCTION("VLOOKUP(Q16, IMPORTRANGE(""https://docs.google.com/spreadsheets/d/1yDAaXNsi4Mr5FtRQL4tbmSdIzhx6_m4wkOD7IG-k_eo/edit#gid=1336395716"", ""Science!M:N""), 2, FALSE)"),"#N/A")</f>
        <v>#N/A</v>
      </c>
      <c r="S16" s="10" t="str">
        <f t="shared" si="5"/>
        <v>LU005313.006</v>
      </c>
      <c r="T16" s="10" t="str">
        <f ca="1">IFERROR(__xludf.DUMMYFUNCTION("VLOOKUP(S16, IMPORTRANGE(""https://docs.google.com/spreadsheets/d/1yDAaXNsi4Mr5FtRQL4tbmSdIzhx6_m4wkOD7IG-k_eo/edit#gid=1336395716"", ""Science!M:N""), 2, FALSE)"),"#N/A")</f>
        <v>#N/A</v>
      </c>
      <c r="U16" s="11">
        <f ca="1">IFERROR(__xludf.DUMMYFUNCTION("ArrayFormula(VLOOKUP(G16, IMPORTRANGE(""https://docs.google.com/spreadsheets/d/1p7R4vtkWt5VOBim4ltsDG9KTzSjrtKXsMtQGXPHyND0/edit#gid=795171502"", ""'Filter 30_05_2024'!A1:M2000""), {2, 3, 4, 5,6,7,8,9,10,11,12,13}, 0))"),24)</f>
        <v>24</v>
      </c>
      <c r="V16" s="11">
        <f ca="1">IFERROR(__xludf.DUMMYFUNCTION("""COMPUTED_VALUE"""),6)</f>
        <v>6</v>
      </c>
      <c r="W16" s="11">
        <f ca="1">IFERROR(__xludf.DUMMYFUNCTION("""COMPUTED_VALUE"""),2)</f>
        <v>2</v>
      </c>
      <c r="X16" s="11">
        <f ca="1">IFERROR(__xludf.DUMMYFUNCTION("""COMPUTED_VALUE"""),32)</f>
        <v>32</v>
      </c>
      <c r="Y16" s="11">
        <f ca="1">IFERROR(__xludf.DUMMYFUNCTION("""COMPUTED_VALUE"""),8)</f>
        <v>8</v>
      </c>
      <c r="Z16" s="12">
        <f ca="1">IFERROR(__xludf.DUMMYFUNCTION("""COMPUTED_VALUE"""),5)</f>
        <v>5</v>
      </c>
      <c r="AA16" s="12">
        <f ca="1">IFERROR(__xludf.DUMMYFUNCTION("""COMPUTED_VALUE"""),1)</f>
        <v>1</v>
      </c>
      <c r="AB16" s="12">
        <f ca="1">IFERROR(__xludf.DUMMYFUNCTION("""COMPUTED_VALUE"""),14)</f>
        <v>14</v>
      </c>
      <c r="AC16" s="12"/>
      <c r="AD16" s="12"/>
      <c r="AE16" s="12"/>
      <c r="AF16" s="12"/>
      <c r="AG16" s="13" t="str">
        <f ca="1">IFERROR(__xludf.DUMMYFUNCTION("ArrayFormula(VLOOKUP(G16, IMPORTRANGE(""https://docs.google.com/spreadsheets/d/1Co934fvtviyaRiMsrIlT05Jaq7iiYq07aLvRr35KA48/edit?gid=173865642#gid=173865642"", ""'G6_Sci Cur_Pri_LU'!G2:V2000""), {3, 4, 5, 6, 7, 8, 9, 10, 11, 12, 13, 14, 15, 16}, 0))"),"")</f>
        <v/>
      </c>
      <c r="AH16" s="13"/>
      <c r="AI16" s="13"/>
      <c r="AJ16" s="13"/>
      <c r="AK16" s="13"/>
      <c r="AL16" s="13"/>
      <c r="AM16" s="13"/>
      <c r="AN16" s="13"/>
      <c r="AO16" s="13"/>
      <c r="AP16" s="13"/>
      <c r="AQ16" s="13"/>
      <c r="AR16" s="13"/>
      <c r="AS16" s="13"/>
      <c r="AT16" s="13"/>
    </row>
    <row r="17" spans="1:46">
      <c r="A17" s="8" t="s">
        <v>1405</v>
      </c>
      <c r="B17" s="8" t="s">
        <v>47</v>
      </c>
      <c r="C17" s="8" t="s">
        <v>48</v>
      </c>
      <c r="D17" s="8" t="s">
        <v>1441</v>
      </c>
      <c r="E17" s="8" t="s">
        <v>1442</v>
      </c>
      <c r="F17" s="8" t="s">
        <v>1446</v>
      </c>
      <c r="G17" s="106" t="s">
        <v>1447</v>
      </c>
      <c r="H17" s="8" t="s">
        <v>1448</v>
      </c>
      <c r="I17" s="10" t="str">
        <f t="shared" si="0"/>
        <v>LU005314.001</v>
      </c>
      <c r="J17" s="10" t="str">
        <f ca="1">IFERROR(__xludf.DUMMYFUNCTION("VLOOKUP(I17, IMPORTRANGE(""https://docs.google.com/spreadsheets/d/1yDAaXNsi4Mr5FtRQL4tbmSdIzhx6_m4wkOD7IG-k_eo/edit#gid=1336395716"", ""Science!M:N""), 2, FALSE)"),"Recall/Identify the properties of materials related to their appearance and texture.")</f>
        <v>Recall/Identify the properties of materials related to their appearance and texture.</v>
      </c>
      <c r="K17" s="10" t="str">
        <f t="shared" si="1"/>
        <v>LU005314.002</v>
      </c>
      <c r="L17" s="10" t="str">
        <f ca="1">IFERROR(__xludf.DUMMYFUNCTION("VLOOKUP(K17, IMPORTRANGE(""https://docs.google.com/spreadsheets/d/1yDAaXNsi4Mr5FtRQL4tbmSdIzhx6_m4wkOD7IG-k_eo/edit#gid=1336395716"", ""Science!M:N""), 2, FALSE)"),"Explain how the appearance and feel of materials can be used to categorize and group them.")</f>
        <v>Explain how the appearance and feel of materials can be used to categorize and group them.</v>
      </c>
      <c r="M17" s="10" t="str">
        <f t="shared" si="2"/>
        <v>LU005314.003</v>
      </c>
      <c r="N17" s="10" t="str">
        <f ca="1">IFERROR(__xludf.DUMMYFUNCTION("VLOOKUP(M17, IMPORTRANGE(""https://docs.google.com/spreadsheets/d/1yDAaXNsi4Mr5FtRQL4tbmSdIzhx6_m4wkOD7IG-k_eo/edit#gid=1336395716"", ""Science!M:N""), 2, FALSE)"),"Apply your understanding to classify a variety of materials based on their appearance and tactile qualities.")</f>
        <v>Apply your understanding to classify a variety of materials based on their appearance and tactile qualities.</v>
      </c>
      <c r="O17" s="10" t="str">
        <f t="shared" si="3"/>
        <v>LU005314.004</v>
      </c>
      <c r="P17" s="10" t="str">
        <f ca="1">IFERROR(__xludf.DUMMYFUNCTION("VLOOKUP(O17, IMPORTRANGE(""https://docs.google.com/spreadsheets/d/1yDAaXNsi4Mr5FtRQL4tbmSdIzhx6_m4wkOD7IG-k_eo/edit#gid=1336395716"", ""Science!M:N""), 2, FALSE)"),"Analyze the role of appearance and feel in identifying and sorting materials, discussing how these properties help distinguish between different materials.")</f>
        <v>Analyze the role of appearance and feel in identifying and sorting materials, discussing how these properties help distinguish between different materials.</v>
      </c>
      <c r="Q17" s="10" t="str">
        <f t="shared" si="4"/>
        <v>LU005314.005</v>
      </c>
      <c r="R17" s="10" t="str">
        <f ca="1">IFERROR(__xludf.DUMMYFUNCTION("VLOOKUP(Q17, IMPORTRANGE(""https://docs.google.com/spreadsheets/d/1yDAaXNsi4Mr5FtRQL4tbmSdIzhx6_m4wkOD7IG-k_eo/edit#gid=1336395716"", ""Science!M:N""), 2, FALSE)"),"Evaluate the effectiveness of using appearance and feel as properties for sorting materials, discussing their advantages and limitations in classifying diverse materials.")</f>
        <v>Evaluate the effectiveness of using appearance and feel as properties for sorting materials, discussing their advantages and limitations in classifying diverse materials.</v>
      </c>
      <c r="S17" s="10" t="str">
        <f t="shared" si="5"/>
        <v>LU005314.006</v>
      </c>
      <c r="T17" s="10" t="str">
        <f ca="1">IFERROR(__xludf.DUMMYFUNCTION("VLOOKUP(S17, IMPORTRANGE(""https://docs.google.com/spreadsheets/d/1yDAaXNsi4Mr5FtRQL4tbmSdIzhx6_m4wkOD7IG-k_eo/edit#gid=1336395716"", ""Science!M:N""), 2, FALSE)"),"#N/A")</f>
        <v>#N/A</v>
      </c>
      <c r="U17" s="11">
        <f ca="1">IFERROR(__xludf.DUMMYFUNCTION("ArrayFormula(VLOOKUP(G17, IMPORTRANGE(""https://docs.google.com/spreadsheets/d/1p7R4vtkWt5VOBim4ltsDG9KTzSjrtKXsMtQGXPHyND0/edit#gid=795171502"", ""'Filter 30_05_2024'!A1:M2000""), {2, 3, 4, 5,6,7,8,9,10,11,12,13}, 0))"),4)</f>
        <v>4</v>
      </c>
      <c r="V17" s="11">
        <f ca="1">IFERROR(__xludf.DUMMYFUNCTION("""COMPUTED_VALUE"""),5)</f>
        <v>5</v>
      </c>
      <c r="W17" s="11">
        <f ca="1">IFERROR(__xludf.DUMMYFUNCTION("""COMPUTED_VALUE"""),2)</f>
        <v>2</v>
      </c>
      <c r="X17" s="11">
        <f ca="1">IFERROR(__xludf.DUMMYFUNCTION("""COMPUTED_VALUE"""),11)</f>
        <v>11</v>
      </c>
      <c r="Y17" s="11">
        <f ca="1">IFERROR(__xludf.DUMMYFUNCTION("""COMPUTED_VALUE"""),4)</f>
        <v>4</v>
      </c>
      <c r="Z17" s="12">
        <f ca="1">IFERROR(__xludf.DUMMYFUNCTION("""COMPUTED_VALUE"""),7)</f>
        <v>7</v>
      </c>
      <c r="AA17" s="12">
        <f ca="1">IFERROR(__xludf.DUMMYFUNCTION("""COMPUTED_VALUE"""),1)</f>
        <v>1</v>
      </c>
      <c r="AB17" s="12">
        <f ca="1">IFERROR(__xludf.DUMMYFUNCTION("""COMPUTED_VALUE"""),12)</f>
        <v>12</v>
      </c>
      <c r="AC17" s="12"/>
      <c r="AD17" s="12"/>
      <c r="AE17" s="12"/>
      <c r="AF17" s="12"/>
      <c r="AG17" s="13" t="str">
        <f ca="1">IFERROR(__xludf.DUMMYFUNCTION("ArrayFormula(VLOOKUP(G17, IMPORTRANGE(""https://docs.google.com/spreadsheets/d/1Co934fvtviyaRiMsrIlT05Jaq7iiYq07aLvRr35KA48/edit?gid=173865642#gid=173865642"", ""'G6_Sci Cur_Pri_LU'!G2:V2000""), {3, 4, 5, 6, 7, 8, 9, 10, 11, 12, 13, 14, 15, 16}, 0))"),"LU005313")</f>
        <v>LU005313</v>
      </c>
      <c r="AH17" s="13" t="str">
        <f ca="1">IFERROR(__xludf.DUMMYFUNCTION("""COMPUTED_VALUE"""),"Nature of objects around us at material level and grouping of materials")</f>
        <v>Nature of objects around us at material level and grouping of materials</v>
      </c>
      <c r="AI17" s="13"/>
      <c r="AJ17" s="13"/>
      <c r="AK17" s="13"/>
      <c r="AL17" s="13"/>
      <c r="AM17" s="13"/>
      <c r="AN17" s="13"/>
      <c r="AO17" s="13"/>
      <c r="AP17" s="13"/>
      <c r="AQ17" s="13"/>
      <c r="AR17" s="13"/>
      <c r="AS17" s="13"/>
      <c r="AT17" s="13"/>
    </row>
    <row r="18" spans="1:46">
      <c r="A18" s="8" t="s">
        <v>1405</v>
      </c>
      <c r="B18" s="8" t="s">
        <v>47</v>
      </c>
      <c r="C18" s="8" t="s">
        <v>48</v>
      </c>
      <c r="D18" s="8" t="s">
        <v>1441</v>
      </c>
      <c r="E18" s="8" t="s">
        <v>1442</v>
      </c>
      <c r="F18" s="8" t="s">
        <v>1446</v>
      </c>
      <c r="G18" s="106" t="s">
        <v>1449</v>
      </c>
      <c r="H18" s="8" t="s">
        <v>1450</v>
      </c>
      <c r="I18" s="10" t="str">
        <f t="shared" si="0"/>
        <v>LU005316.001</v>
      </c>
      <c r="J18" s="10" t="str">
        <f ca="1">IFERROR(__xludf.DUMMYFUNCTION("VLOOKUP(I18, IMPORTRANGE(""https://docs.google.com/spreadsheets/d/1yDAaXNsi4Mr5FtRQL4tbmSdIzhx6_m4wkOD7IG-k_eo/edit#gid=1336395716"", ""Science!M:N""), 2, FALSE)"),"Recall/Identify the properties of materials related to their hardness and softness.")</f>
        <v>Recall/Identify the properties of materials related to their hardness and softness.</v>
      </c>
      <c r="K18" s="10" t="str">
        <f t="shared" si="1"/>
        <v>LU005316.002</v>
      </c>
      <c r="L18" s="10" t="str">
        <f ca="1">IFERROR(__xludf.DUMMYFUNCTION("VLOOKUP(K18, IMPORTRANGE(""https://docs.google.com/spreadsheets/d/1yDAaXNsi4Mr5FtRQL4tbmSdIzhx6_m4wkOD7IG-k_eo/edit#gid=1336395716"", ""Science!M:N""), 2, FALSE)"),"Explain how the property of hardness or softness can be used to categorize and group materials.")</f>
        <v>Explain how the property of hardness or softness can be used to categorize and group materials.</v>
      </c>
      <c r="M18" s="10" t="str">
        <f t="shared" si="2"/>
        <v>LU005316.003</v>
      </c>
      <c r="N18" s="10" t="str">
        <f ca="1">IFERROR(__xludf.DUMMYFUNCTION("VLOOKUP(M18, IMPORTRANGE(""https://docs.google.com/spreadsheets/d/1yDAaXNsi4Mr5FtRQL4tbmSdIzhx6_m4wkOD7IG-k_eo/edit#gid=1336395716"", ""Science!M:N""), 2, FALSE)"),"Apply your understanding to classify a range of materials based on their hardness and softness characteristics.")</f>
        <v>Apply your understanding to classify a range of materials based on their hardness and softness characteristics.</v>
      </c>
      <c r="O18" s="10" t="str">
        <f t="shared" si="3"/>
        <v>LU005316.004</v>
      </c>
      <c r="P18" s="10" t="str">
        <f ca="1">IFERROR(__xludf.DUMMYFUNCTION("VLOOKUP(O18, IMPORTRANGE(""https://docs.google.com/spreadsheets/d/1yDAaXNsi4Mr5FtRQL4tbmSdIzhx6_m4wkOD7IG-k_eo/edit#gid=1336395716"", ""Science!M:N""), 2, FALSE)"),"Analyze the significance of hardness and softness as properties for identifying and sorting materials, discussing how these traits contribute to material classification.")</f>
        <v>Analyze the significance of hardness and softness as properties for identifying and sorting materials, discussing how these traits contribute to material classification.</v>
      </c>
      <c r="Q18" s="10" t="str">
        <f t="shared" si="4"/>
        <v>LU005316.005</v>
      </c>
      <c r="R18" s="10" t="str">
        <f ca="1">IFERROR(__xludf.DUMMYFUNCTION("VLOOKUP(Q18, IMPORTRANGE(""https://docs.google.com/spreadsheets/d/1yDAaXNsi4Mr5FtRQL4tbmSdIzhx6_m4wkOD7IG-k_eo/edit#gid=1336395716"", ""Science!M:N""), 2, FALSE)"),"Design an experiment where students test the hardness of different materials using common objects.")</f>
        <v>Design an experiment where students test the hardness of different materials using common objects.</v>
      </c>
      <c r="S18" s="10" t="str">
        <f t="shared" si="5"/>
        <v>LU005316.006</v>
      </c>
      <c r="T18" s="10" t="str">
        <f ca="1">IFERROR(__xludf.DUMMYFUNCTION("VLOOKUP(S18, IMPORTRANGE(""https://docs.google.com/spreadsheets/d/1yDAaXNsi4Mr5FtRQL4tbmSdIzhx6_m4wkOD7IG-k_eo/edit#gid=1336395716"", ""Science!M:N""), 2, FALSE)"),"Evaluate the effectiveness of using hardness and softness as properties for sorting materials, discussing their practical implications and how these properties help in categorizing objects.")</f>
        <v>Evaluate the effectiveness of using hardness and softness as properties for sorting materials, discussing their practical implications and how these properties help in categorizing objects.</v>
      </c>
      <c r="U18" s="11">
        <f ca="1">IFERROR(__xludf.DUMMYFUNCTION("ArrayFormula(VLOOKUP(G18, IMPORTRANGE(""https://docs.google.com/spreadsheets/d/1p7R4vtkWt5VOBim4ltsDG9KTzSjrtKXsMtQGXPHyND0/edit#gid=795171502"", ""'Filter 30_05_2024'!A1:M2000""), {2, 3, 4, 5,6,7,8,9,10,11,12,13}, 0))"),1)</f>
        <v>1</v>
      </c>
      <c r="V18" s="11">
        <f ca="1">IFERROR(__xludf.DUMMYFUNCTION("""COMPUTED_VALUE"""),2)</f>
        <v>2</v>
      </c>
      <c r="W18" s="11">
        <f ca="1">IFERROR(__xludf.DUMMYFUNCTION("""COMPUTED_VALUE"""),2)</f>
        <v>2</v>
      </c>
      <c r="X18" s="11">
        <f ca="1">IFERROR(__xludf.DUMMYFUNCTION("""COMPUTED_VALUE"""),5)</f>
        <v>5</v>
      </c>
      <c r="Y18" s="11">
        <f ca="1">IFERROR(__xludf.DUMMYFUNCTION("""COMPUTED_VALUE"""),4)</f>
        <v>4</v>
      </c>
      <c r="Z18" s="12">
        <f ca="1">IFERROR(__xludf.DUMMYFUNCTION("""COMPUTED_VALUE"""),4)</f>
        <v>4</v>
      </c>
      <c r="AA18" s="12">
        <f ca="1">IFERROR(__xludf.DUMMYFUNCTION("""COMPUTED_VALUE"""),1)</f>
        <v>1</v>
      </c>
      <c r="AB18" s="12">
        <f ca="1">IFERROR(__xludf.DUMMYFUNCTION("""COMPUTED_VALUE"""),9)</f>
        <v>9</v>
      </c>
      <c r="AC18" s="12"/>
      <c r="AD18" s="12"/>
      <c r="AE18" s="12"/>
      <c r="AF18" s="12"/>
      <c r="AG18" s="13" t="str">
        <f ca="1">IFERROR(__xludf.DUMMYFUNCTION("ArrayFormula(VLOOKUP(G18, IMPORTRANGE(""https://docs.google.com/spreadsheets/d/1Co934fvtviyaRiMsrIlT05Jaq7iiYq07aLvRr35KA48/edit?gid=173865642#gid=173865642"", ""'G6_Sci Cur_Pri_LU'!G2:V2000""), {3, 4, 5, 6, 7, 8, 9, 10, 11, 12, 13, 14, 15, 16}, 0))"),"LU005314")</f>
        <v>LU005314</v>
      </c>
      <c r="AH18" s="13" t="str">
        <f ca="1">IFERROR(__xludf.DUMMYFUNCTION("""COMPUTED_VALUE"""),"Properties of materials-Appearance and Feel")</f>
        <v>Properties of materials-Appearance and Feel</v>
      </c>
      <c r="AI18" s="13" t="str">
        <f ca="1">IFERROR(__xludf.DUMMYFUNCTION("""COMPUTED_VALUE"""),"LU005313")</f>
        <v>LU005313</v>
      </c>
      <c r="AJ18" s="13" t="str">
        <f ca="1">IFERROR(__xludf.DUMMYFUNCTION("""COMPUTED_VALUE"""),"Nature of objects around us at material level and grouping of materials")</f>
        <v>Nature of objects around us at material level and grouping of materials</v>
      </c>
      <c r="AK18" s="13"/>
      <c r="AL18" s="13"/>
      <c r="AM18" s="13"/>
      <c r="AN18" s="13"/>
      <c r="AO18" s="13"/>
      <c r="AP18" s="13"/>
      <c r="AQ18" s="13"/>
      <c r="AR18" s="13"/>
      <c r="AS18" s="13"/>
      <c r="AT18" s="13"/>
    </row>
    <row r="19" spans="1:46">
      <c r="A19" s="8" t="s">
        <v>1405</v>
      </c>
      <c r="B19" s="8" t="s">
        <v>47</v>
      </c>
      <c r="C19" s="8" t="s">
        <v>48</v>
      </c>
      <c r="D19" s="8" t="s">
        <v>1441</v>
      </c>
      <c r="E19" s="8" t="s">
        <v>1442</v>
      </c>
      <c r="F19" s="8" t="s">
        <v>1446</v>
      </c>
      <c r="G19" s="106" t="s">
        <v>1451</v>
      </c>
      <c r="H19" s="8" t="s">
        <v>1452</v>
      </c>
      <c r="I19" s="10" t="str">
        <f t="shared" si="0"/>
        <v>LU005318.001</v>
      </c>
      <c r="J19" s="10" t="str">
        <f ca="1">IFERROR(__xludf.DUMMYFUNCTION("VLOOKUP(I19, IMPORTRANGE(""https://docs.google.com/spreadsheets/d/1yDAaXNsi4Mr5FtRQL4tbmSdIzhx6_m4wkOD7IG-k_eo/edit#gid=1336395716"", ""Science!M:N""), 2, FALSE)"),"Recall the concept of transparency in materials and its significance.")</f>
        <v>Recall the concept of transparency in materials and its significance.</v>
      </c>
      <c r="K19" s="10" t="str">
        <f t="shared" si="1"/>
        <v>LU005318.002</v>
      </c>
      <c r="L19" s="10" t="str">
        <f ca="1">IFERROR(__xludf.DUMMYFUNCTION("VLOOKUP(K19, IMPORTRANGE(""https://docs.google.com/spreadsheets/d/1yDAaXNsi4Mr5FtRQL4tbmSdIzhx6_m4wkOD7IG-k_eo/edit#gid=1336395716"", ""Science!M:N""), 2, FALSE)"),"Explain how the property of transparency can be used to categorize and group materials.")</f>
        <v>Explain how the property of transparency can be used to categorize and group materials.</v>
      </c>
      <c r="M19" s="10" t="str">
        <f t="shared" si="2"/>
        <v>LU005318.003</v>
      </c>
      <c r="N19" s="10" t="str">
        <f ca="1">IFERROR(__xludf.DUMMYFUNCTION("VLOOKUP(M19, IMPORTRANGE(""https://docs.google.com/spreadsheets/d/1yDAaXNsi4Mr5FtRQL4tbmSdIzhx6_m4wkOD7IG-k_eo/edit#gid=1336395716"", ""Science!M:N""), 2, FALSE)"),"Apply your understanding to classify a variety of materials based on their transparency or opacity.")</f>
        <v>Apply your understanding to classify a variety of materials based on their transparency or opacity.</v>
      </c>
      <c r="O19" s="10" t="str">
        <f t="shared" si="3"/>
        <v>LU005318.004</v>
      </c>
      <c r="P19" s="10" t="str">
        <f ca="1">IFERROR(__xludf.DUMMYFUNCTION("VLOOKUP(O19, IMPORTRANGE(""https://docs.google.com/spreadsheets/d/1yDAaXNsi4Mr5FtRQL4tbmSdIzhx6_m4wkOD7IG-k_eo/edit#gid=1336395716"", ""Science!M:N""), 2, FALSE)"),"#N/A")</f>
        <v>#N/A</v>
      </c>
      <c r="Q19" s="10" t="str">
        <f t="shared" si="4"/>
        <v>LU005318.005</v>
      </c>
      <c r="R19" s="10" t="str">
        <f ca="1">IFERROR(__xludf.DUMMYFUNCTION("VLOOKUP(Q19, IMPORTRANGE(""https://docs.google.com/spreadsheets/d/1yDAaXNsi4Mr5FtRQL4tbmSdIzhx6_m4wkOD7IG-k_eo/edit#gid=1336395716"", ""Science!M:N""), 2, FALSE)"),"#N/A")</f>
        <v>#N/A</v>
      </c>
      <c r="S19" s="10" t="str">
        <f t="shared" si="5"/>
        <v>LU005318.006</v>
      </c>
      <c r="T19" s="10" t="str">
        <f ca="1">IFERROR(__xludf.DUMMYFUNCTION("VLOOKUP(S19, IMPORTRANGE(""https://docs.google.com/spreadsheets/d/1yDAaXNsi4Mr5FtRQL4tbmSdIzhx6_m4wkOD7IG-k_eo/edit#gid=1336395716"", ""Science!M:N""), 2, FALSE)"),"#N/A")</f>
        <v>#N/A</v>
      </c>
      <c r="U19" s="11">
        <f ca="1">IFERROR(__xludf.DUMMYFUNCTION("ArrayFormula(VLOOKUP(G19, IMPORTRANGE(""https://docs.google.com/spreadsheets/d/1p7R4vtkWt5VOBim4ltsDG9KTzSjrtKXsMtQGXPHyND0/edit#gid=795171502"", ""'Filter 30_05_2024'!A1:M2000""), {2, 3, 4, 5,6,7,8,9,10,11,12,13}, 0))"),4)</f>
        <v>4</v>
      </c>
      <c r="V19" s="11">
        <f ca="1">IFERROR(__xludf.DUMMYFUNCTION("""COMPUTED_VALUE"""),7)</f>
        <v>7</v>
      </c>
      <c r="W19" s="11">
        <f ca="1">IFERROR(__xludf.DUMMYFUNCTION("""COMPUTED_VALUE"""),2)</f>
        <v>2</v>
      </c>
      <c r="X19" s="11">
        <f ca="1">IFERROR(__xludf.DUMMYFUNCTION("""COMPUTED_VALUE"""),13)</f>
        <v>13</v>
      </c>
      <c r="Y19" s="11">
        <f ca="1">IFERROR(__xludf.DUMMYFUNCTION("""COMPUTED_VALUE"""),4)</f>
        <v>4</v>
      </c>
      <c r="Z19" s="12">
        <f ca="1">IFERROR(__xludf.DUMMYFUNCTION("""COMPUTED_VALUE"""),9)</f>
        <v>9</v>
      </c>
      <c r="AA19" s="12">
        <f ca="1">IFERROR(__xludf.DUMMYFUNCTION("""COMPUTED_VALUE"""),1)</f>
        <v>1</v>
      </c>
      <c r="AB19" s="12">
        <f ca="1">IFERROR(__xludf.DUMMYFUNCTION("""COMPUTED_VALUE"""),14)</f>
        <v>14</v>
      </c>
      <c r="AC19" s="12"/>
      <c r="AD19" s="12"/>
      <c r="AE19" s="12"/>
      <c r="AF19" s="12"/>
      <c r="AG19" s="13" t="str">
        <f ca="1">IFERROR(__xludf.DUMMYFUNCTION("ArrayFormula(VLOOKUP(G19, IMPORTRANGE(""https://docs.google.com/spreadsheets/d/1Co934fvtviyaRiMsrIlT05Jaq7iiYq07aLvRr35KA48/edit?gid=173865642#gid=173865642"", ""'G6_Sci Cur_Pri_LU'!G2:V2000""), {3, 4, 5, 6, 7, 8, 9, 10, 11, 12, 13, 14, 15, 16}, 0))"),"LU005314")</f>
        <v>LU005314</v>
      </c>
      <c r="AH19" s="13" t="str">
        <f ca="1">IFERROR(__xludf.DUMMYFUNCTION("""COMPUTED_VALUE"""),"Properties of materials-Appearance and Feel")</f>
        <v>Properties of materials-Appearance and Feel</v>
      </c>
      <c r="AI19" s="13" t="str">
        <f ca="1">IFERROR(__xludf.DUMMYFUNCTION("""COMPUTED_VALUE"""),"LU005313")</f>
        <v>LU005313</v>
      </c>
      <c r="AJ19" s="13" t="str">
        <f ca="1">IFERROR(__xludf.DUMMYFUNCTION("""COMPUTED_VALUE"""),"Nature of objects around us at material level and grouping of materials")</f>
        <v>Nature of objects around us at material level and grouping of materials</v>
      </c>
      <c r="AK19" s="13"/>
      <c r="AL19" s="13"/>
      <c r="AM19" s="13"/>
      <c r="AN19" s="13"/>
      <c r="AO19" s="13"/>
      <c r="AP19" s="13"/>
      <c r="AQ19" s="13"/>
      <c r="AR19" s="13"/>
      <c r="AS19" s="13"/>
      <c r="AT19" s="13"/>
    </row>
    <row r="20" spans="1:46">
      <c r="A20" s="8" t="s">
        <v>1405</v>
      </c>
      <c r="B20" s="8" t="s">
        <v>47</v>
      </c>
      <c r="C20" s="8" t="s">
        <v>48</v>
      </c>
      <c r="D20" s="8" t="s">
        <v>1441</v>
      </c>
      <c r="E20" s="8" t="s">
        <v>1442</v>
      </c>
      <c r="F20" s="8" t="s">
        <v>1453</v>
      </c>
      <c r="G20" s="106" t="s">
        <v>1454</v>
      </c>
      <c r="H20" s="8" t="s">
        <v>1455</v>
      </c>
      <c r="I20" s="10" t="str">
        <f t="shared" si="0"/>
        <v>LU005317.001</v>
      </c>
      <c r="J20" s="10" t="str">
        <f ca="1">IFERROR(__xludf.DUMMYFUNCTION("VLOOKUP(I20, IMPORTRANGE(""https://docs.google.com/spreadsheets/d/1yDAaXNsi4Mr5FtRQL4tbmSdIzhx6_m4wkOD7IG-k_eo/edit#gid=1336395716"", ""Science!M:N""), 2, FALSE)"),"Recall the property of solubility in water and its significance for sorting materials.")</f>
        <v>Recall the property of solubility in water and its significance for sorting materials.</v>
      </c>
      <c r="K20" s="10" t="str">
        <f t="shared" si="1"/>
        <v>LU005317.002</v>
      </c>
      <c r="L20" s="10" t="str">
        <f ca="1">IFERROR(__xludf.DUMMYFUNCTION("VLOOKUP(K20, IMPORTRANGE(""https://docs.google.com/spreadsheets/d/1yDAaXNsi4Mr5FtRQL4tbmSdIzhx6_m4wkOD7IG-k_eo/edit#gid=1336395716"", ""Science!M:N""), 2, FALSE)"),"Explain how the property of solubility in water can be used to categorize and group materials.")</f>
        <v>Explain how the property of solubility in water can be used to categorize and group materials.</v>
      </c>
      <c r="M20" s="10" t="str">
        <f t="shared" si="2"/>
        <v>LU005317.003</v>
      </c>
      <c r="N20" s="10" t="str">
        <f ca="1">IFERROR(__xludf.DUMMYFUNCTION("VLOOKUP(M20, IMPORTRANGE(""https://docs.google.com/spreadsheets/d/1yDAaXNsi4Mr5FtRQL4tbmSdIzhx6_m4wkOD7IG-k_eo/edit#gid=1336395716"", ""Science!M:N""), 2, FALSE)"),"Apply/Demonstrate your understanding to classify various materials based on their solubility in water.")</f>
        <v>Apply/Demonstrate your understanding to classify various materials based on their solubility in water.</v>
      </c>
      <c r="O20" s="10" t="str">
        <f t="shared" si="3"/>
        <v>LU005317.004</v>
      </c>
      <c r="P20" s="10" t="str">
        <f ca="1">IFERROR(__xludf.DUMMYFUNCTION("VLOOKUP(O20, IMPORTRANGE(""https://docs.google.com/spreadsheets/d/1yDAaXNsi4Mr5FtRQL4tbmSdIzhx6_m4wkOD7IG-k_eo/edit#gid=1336395716"", ""Science!M:N""), 2, FALSE)"),"Analyze the role of solubility in water as a property for identifying and categorizing materials, discussing how it reflects the behavior of different substances in water.")</f>
        <v>Analyze the role of solubility in water as a property for identifying and categorizing materials, discussing how it reflects the behavior of different substances in water.</v>
      </c>
      <c r="Q20" s="10" t="str">
        <f t="shared" si="4"/>
        <v>LU005317.005</v>
      </c>
      <c r="R20" s="10" t="str">
        <f ca="1">IFERROR(__xludf.DUMMYFUNCTION("VLOOKUP(Q20, IMPORTRANGE(""https://docs.google.com/spreadsheets/d/1yDAaXNsi4Mr5FtRQL4tbmSdIzhx6_m4wkOD7IG-k_eo/edit#gid=1336395716"", ""Science!M:N""), 2, FALSE)"),"Evaluate the significance of using solubility in water as a property for sorting materials, discussing how this property aids in understanding material behavior and practical applications in daily life.")</f>
        <v>Evaluate the significance of using solubility in water as a property for sorting materials, discussing how this property aids in understanding material behavior and practical applications in daily life.</v>
      </c>
      <c r="S20" s="10" t="str">
        <f t="shared" si="5"/>
        <v>LU005317.006</v>
      </c>
      <c r="T20" s="10" t="str">
        <f ca="1">IFERROR(__xludf.DUMMYFUNCTION("VLOOKUP(S20, IMPORTRANGE(""https://docs.google.com/spreadsheets/d/1yDAaXNsi4Mr5FtRQL4tbmSdIzhx6_m4wkOD7IG-k_eo/edit#gid=1336395716"", ""Science!M:N""), 2, FALSE)"),"#N/A")</f>
        <v>#N/A</v>
      </c>
      <c r="U20" s="11">
        <f ca="1">IFERROR(__xludf.DUMMYFUNCTION("ArrayFormula(VLOOKUP(G20, IMPORTRANGE(""https://docs.google.com/spreadsheets/d/1p7R4vtkWt5VOBim4ltsDG9KTzSjrtKXsMtQGXPHyND0/edit#gid=795171502"", ""'Filter 30_05_2024'!A1:M2000""), {2, 3, 4, 5,6,7,8,9,10,11,12,13}, 0))"),4)</f>
        <v>4</v>
      </c>
      <c r="V20" s="11">
        <f ca="1">IFERROR(__xludf.DUMMYFUNCTION("""COMPUTED_VALUE"""),9)</f>
        <v>9</v>
      </c>
      <c r="W20" s="11">
        <f ca="1">IFERROR(__xludf.DUMMYFUNCTION("""COMPUTED_VALUE"""),5)</f>
        <v>5</v>
      </c>
      <c r="X20" s="11">
        <f ca="1">IFERROR(__xludf.DUMMYFUNCTION("""COMPUTED_VALUE"""),18)</f>
        <v>18</v>
      </c>
      <c r="Y20" s="11">
        <f ca="1">IFERROR(__xludf.DUMMYFUNCTION("""COMPUTED_VALUE"""),6)</f>
        <v>6</v>
      </c>
      <c r="Z20" s="12">
        <f ca="1">IFERROR(__xludf.DUMMYFUNCTION("""COMPUTED_VALUE"""),4)</f>
        <v>4</v>
      </c>
      <c r="AA20" s="12">
        <f ca="1">IFERROR(__xludf.DUMMYFUNCTION("""COMPUTED_VALUE"""),3)</f>
        <v>3</v>
      </c>
      <c r="AB20" s="12">
        <f ca="1">IFERROR(__xludf.DUMMYFUNCTION("""COMPUTED_VALUE"""),13)</f>
        <v>13</v>
      </c>
      <c r="AC20" s="12"/>
      <c r="AD20" s="12">
        <f ca="1">IFERROR(__xludf.DUMMYFUNCTION("""COMPUTED_VALUE"""),2)</f>
        <v>2</v>
      </c>
      <c r="AE20" s="12"/>
      <c r="AF20" s="12">
        <f ca="1">IFERROR(__xludf.DUMMYFUNCTION("""COMPUTED_VALUE"""),2)</f>
        <v>2</v>
      </c>
      <c r="AG20" s="13" t="str">
        <f ca="1">IFERROR(__xludf.DUMMYFUNCTION("ArrayFormula(VLOOKUP(G20, IMPORTRANGE(""https://docs.google.com/spreadsheets/d/1Co934fvtviyaRiMsrIlT05Jaq7iiYq07aLvRr35KA48/edit?gid=173865642#gid=173865642"", ""'G6_Sci Cur_Pri_LU'!G2:V2000""), {3, 4, 5, 6, 7, 8, 9, 10, 11, 12, 13, 14, 15, 16}, 0))"),"LU005313")</f>
        <v>LU005313</v>
      </c>
      <c r="AH20" s="13" t="str">
        <f ca="1">IFERROR(__xludf.DUMMYFUNCTION("""COMPUTED_VALUE"""),"Nature of objects around us at material level and grouping of materials")</f>
        <v>Nature of objects around us at material level and grouping of materials</v>
      </c>
      <c r="AI20" s="13"/>
      <c r="AJ20" s="13"/>
      <c r="AK20" s="13"/>
      <c r="AL20" s="13"/>
      <c r="AM20" s="13"/>
      <c r="AN20" s="13"/>
      <c r="AO20" s="13"/>
      <c r="AP20" s="13"/>
      <c r="AQ20" s="13"/>
      <c r="AR20" s="13"/>
      <c r="AS20" s="13"/>
      <c r="AT20" s="13"/>
    </row>
    <row r="21" spans="1:46">
      <c r="A21" s="8" t="s">
        <v>1405</v>
      </c>
      <c r="B21" s="8" t="s">
        <v>47</v>
      </c>
      <c r="C21" s="8" t="s">
        <v>48</v>
      </c>
      <c r="D21" s="8" t="s">
        <v>1441</v>
      </c>
      <c r="E21" s="8" t="s">
        <v>1442</v>
      </c>
      <c r="F21" s="8" t="s">
        <v>1453</v>
      </c>
      <c r="G21" s="106" t="s">
        <v>1456</v>
      </c>
      <c r="H21" s="8" t="s">
        <v>1457</v>
      </c>
      <c r="I21" s="10" t="str">
        <f t="shared" si="0"/>
        <v>LU005319.001</v>
      </c>
      <c r="J21" s="10" t="str">
        <f ca="1">IFERROR(__xludf.DUMMYFUNCTION("VLOOKUP(I21, IMPORTRANGE(""https://docs.google.com/spreadsheets/d/1yDAaXNsi4Mr5FtRQL4tbmSdIzhx6_m4wkOD7IG-k_eo/edit#gid=1336395716"", ""Science!M:N""), 2, FALSE)"),"Recall the concept of solubility of gases in water and its importance in various contexts.")</f>
        <v>Recall the concept of solubility of gases in water and its importance in various contexts.</v>
      </c>
      <c r="K21" s="10" t="str">
        <f t="shared" si="1"/>
        <v>LU005319.002</v>
      </c>
      <c r="L21" s="10" t="str">
        <f ca="1">IFERROR(__xludf.DUMMYFUNCTION("VLOOKUP(K21, IMPORTRANGE(""https://docs.google.com/spreadsheets/d/1yDAaXNsi4Mr5FtRQL4tbmSdIzhx6_m4wkOD7IG-k_eo/edit#gid=1336395716"", ""Science!M:N""), 2, FALSE)"),"Explain why the solubility of gases in water is significant and how it impacts aquatic living organisms.")</f>
        <v>Explain why the solubility of gases in water is significant and how it impacts aquatic living organisms.</v>
      </c>
      <c r="M21" s="10" t="str">
        <f t="shared" si="2"/>
        <v>LU005319.003</v>
      </c>
      <c r="N21" s="10" t="str">
        <f ca="1">IFERROR(__xludf.DUMMYFUNCTION("VLOOKUP(M21, IMPORTRANGE(""https://docs.google.com/spreadsheets/d/1yDAaXNsi4Mr5FtRQL4tbmSdIzhx6_m4wkOD7IG-k_eo/edit#gid=1336395716"", ""Science!M:N""), 2, FALSE)"),"Apply your understanding to identify specific instances where the solubility of gases in water affects natural processes or human practices.")</f>
        <v>Apply your understanding to identify specific instances where the solubility of gases in water affects natural processes or human practices.</v>
      </c>
      <c r="O21" s="10" t="str">
        <f t="shared" si="3"/>
        <v>LU005319.004</v>
      </c>
      <c r="P21" s="10" t="str">
        <f ca="1">IFERROR(__xludf.DUMMYFUNCTION("VLOOKUP(O21, IMPORTRANGE(""https://docs.google.com/spreadsheets/d/1yDAaXNsi4Mr5FtRQL4tbmSdIzhx6_m4wkOD7IG-k_eo/edit#gid=1336395716"", ""Science!M:N""), 2, FALSE)"),"Analyse the significance of solubility of gases in water and the aquatic  health.")</f>
        <v>Analyse the significance of solubility of gases in water and the aquatic  health.</v>
      </c>
      <c r="Q21" s="10" t="str">
        <f t="shared" si="4"/>
        <v>LU005319.005</v>
      </c>
      <c r="R21" s="10" t="str">
        <f ca="1">IFERROR(__xludf.DUMMYFUNCTION("VLOOKUP(Q21, IMPORTRANGE(""https://docs.google.com/spreadsheets/d/1yDAaXNsi4Mr5FtRQL4tbmSdIzhx6_m4wkOD7IG-k_eo/edit#gid=1336395716"", ""Science!M:N""), 2, FALSE)"),"#N/A")</f>
        <v>#N/A</v>
      </c>
      <c r="S21" s="10" t="str">
        <f t="shared" si="5"/>
        <v>LU005319.006</v>
      </c>
      <c r="T21" s="10" t="str">
        <f ca="1">IFERROR(__xludf.DUMMYFUNCTION("VLOOKUP(S21, IMPORTRANGE(""https://docs.google.com/spreadsheets/d/1yDAaXNsi4Mr5FtRQL4tbmSdIzhx6_m4wkOD7IG-k_eo/edit#gid=1336395716"", ""Science!M:N""), 2, FALSE)"),"#N/A")</f>
        <v>#N/A</v>
      </c>
      <c r="U21" s="11">
        <f ca="1">IFERROR(__xludf.DUMMYFUNCTION("ArrayFormula(VLOOKUP(G21, IMPORTRANGE(""https://docs.google.com/spreadsheets/d/1p7R4vtkWt5VOBim4ltsDG9KTzSjrtKXsMtQGXPHyND0/edit#gid=795171502"", ""'Filter 30_05_2024'!A1:M2000""), {2, 3, 4, 5,6,7,8,9,10,11,12,13}, 0))"),15)</f>
        <v>15</v>
      </c>
      <c r="V21" s="11">
        <f ca="1">IFERROR(__xludf.DUMMYFUNCTION("""COMPUTED_VALUE"""),4)</f>
        <v>4</v>
      </c>
      <c r="W21" s="11">
        <f ca="1">IFERROR(__xludf.DUMMYFUNCTION("""COMPUTED_VALUE"""),2)</f>
        <v>2</v>
      </c>
      <c r="X21" s="11">
        <f ca="1">IFERROR(__xludf.DUMMYFUNCTION("""COMPUTED_VALUE"""),21)</f>
        <v>21</v>
      </c>
      <c r="Y21" s="11">
        <f ca="1">IFERROR(__xludf.DUMMYFUNCTION("""COMPUTED_VALUE"""),3)</f>
        <v>3</v>
      </c>
      <c r="Z21" s="12">
        <f ca="1">IFERROR(__xludf.DUMMYFUNCTION("""COMPUTED_VALUE"""),3)</f>
        <v>3</v>
      </c>
      <c r="AA21" s="12">
        <f ca="1">IFERROR(__xludf.DUMMYFUNCTION("""COMPUTED_VALUE"""),1)</f>
        <v>1</v>
      </c>
      <c r="AB21" s="12">
        <f ca="1">IFERROR(__xludf.DUMMYFUNCTION("""COMPUTED_VALUE"""),7)</f>
        <v>7</v>
      </c>
      <c r="AC21" s="12"/>
      <c r="AD21" s="12">
        <f ca="1">IFERROR(__xludf.DUMMYFUNCTION("""COMPUTED_VALUE"""),1)</f>
        <v>1</v>
      </c>
      <c r="AE21" s="12"/>
      <c r="AF21" s="12">
        <f ca="1">IFERROR(__xludf.DUMMYFUNCTION("""COMPUTED_VALUE"""),1)</f>
        <v>1</v>
      </c>
      <c r="AG21" s="13" t="str">
        <f ca="1">IFERROR(__xludf.DUMMYFUNCTION("ArrayFormula(VLOOKUP(G21, IMPORTRANGE(""https://docs.google.com/spreadsheets/d/1Co934fvtviyaRiMsrIlT05Jaq7iiYq07aLvRr35KA48/edit?gid=173865642#gid=173865642"", ""'G6_Sci Cur_Pri_LU'!G2:V2000""), {3, 4, 5, 6, 7, 8, 9, 10, 11, 12, 13, 14, 15, 16}, 0))"),"LU005317")</f>
        <v>LU005317</v>
      </c>
      <c r="AH21" s="13" t="str">
        <f ca="1">IFERROR(__xludf.DUMMYFUNCTION("""COMPUTED_VALUE"""),"Properties of materials-Solubility in water")</f>
        <v>Properties of materials-Solubility in water</v>
      </c>
      <c r="AI21" s="13"/>
      <c r="AJ21" s="13"/>
      <c r="AK21" s="13"/>
      <c r="AL21" s="13"/>
      <c r="AM21" s="13"/>
      <c r="AN21" s="13"/>
      <c r="AO21" s="13"/>
      <c r="AP21" s="13"/>
      <c r="AQ21" s="13"/>
      <c r="AR21" s="13"/>
      <c r="AS21" s="13"/>
      <c r="AT21" s="13"/>
    </row>
    <row r="22" spans="1:46">
      <c r="A22" s="8" t="s">
        <v>1405</v>
      </c>
      <c r="B22" s="8" t="s">
        <v>47</v>
      </c>
      <c r="C22" s="8" t="s">
        <v>48</v>
      </c>
      <c r="D22" s="8" t="s">
        <v>1441</v>
      </c>
      <c r="E22" s="8" t="s">
        <v>1442</v>
      </c>
      <c r="F22" s="8" t="s">
        <v>1458</v>
      </c>
      <c r="G22" s="8" t="s">
        <v>1459</v>
      </c>
      <c r="H22" s="8" t="s">
        <v>1460</v>
      </c>
      <c r="I22" s="10" t="str">
        <f t="shared" si="0"/>
        <v>LU006419.001</v>
      </c>
      <c r="J22" s="10" t="str">
        <f ca="1">IFERROR(__xludf.DUMMYFUNCTION("VLOOKUP(I22, IMPORTRANGE(""https://docs.google.com/spreadsheets/d/1yDAaXNsi4Mr5FtRQL4tbmSdIzhx6_m4wkOD7IG-k_eo/edit#gid=1336395716"", ""Science!M:N""), 2, FALSE)"),"Define mass of an object. ")</f>
        <v xml:space="preserve">Define mass of an object. </v>
      </c>
      <c r="K22" s="10" t="str">
        <f t="shared" si="1"/>
        <v>LU006419.002</v>
      </c>
      <c r="L22" s="10" t="str">
        <f ca="1">IFERROR(__xludf.DUMMYFUNCTION("VLOOKUP(K22, IMPORTRANGE(""https://docs.google.com/spreadsheets/d/1yDAaXNsi4Mr5FtRQL4tbmSdIzhx6_m4wkOD7IG-k_eo/edit#gid=1336395716"", ""Science!M:N""), 2, FALSE)"),"Explain the concept of mass using examples.")</f>
        <v>Explain the concept of mass using examples.</v>
      </c>
      <c r="M22" s="10" t="str">
        <f t="shared" si="2"/>
        <v>LU006419.003</v>
      </c>
      <c r="N22" s="10" t="str">
        <f ca="1">IFERROR(__xludf.DUMMYFUNCTION("VLOOKUP(M22, IMPORTRANGE(""https://docs.google.com/spreadsheets/d/1yDAaXNsi4Mr5FtRQL4tbmSdIzhx6_m4wkOD7IG-k_eo/edit#gid=1336395716"", ""Science!M:N""), 2, FALSE)"),"Measure the mass of various classroom objects using a balance scale.")</f>
        <v>Measure the mass of various classroom objects using a balance scale.</v>
      </c>
      <c r="O22" s="10" t="str">
        <f t="shared" si="3"/>
        <v>LU006419.004</v>
      </c>
      <c r="P22" s="10" t="str">
        <f ca="1">IFERROR(__xludf.DUMMYFUNCTION("VLOOKUP(O22, IMPORTRANGE(""https://docs.google.com/spreadsheets/d/1yDAaXNsi4Mr5FtRQL4tbmSdIzhx6_m4wkOD7IG-k_eo/edit#gid=1336395716"", ""Science!M:N""), 2, FALSE)"),"Categorize objects by mass and discuss patterns or differences in their properties.")</f>
        <v>Categorize objects by mass and discuss patterns or differences in their properties.</v>
      </c>
      <c r="Q22" s="10" t="str">
        <f t="shared" si="4"/>
        <v>LU006419.005</v>
      </c>
      <c r="R22" s="10" t="str">
        <f ca="1">IFERROR(__xludf.DUMMYFUNCTION("VLOOKUP(Q22, IMPORTRANGE(""https://docs.google.com/spreadsheets/d/1yDAaXNsi4Mr5FtRQL4tbmSdIzhx6_m4wkOD7IG-k_eo/edit#gid=1336395716"", ""Science!M:N""), 2, FALSE)"),"Assess which material (e.g., metal, wood) has more mass when given objects of the same size.")</f>
        <v>Assess which material (e.g., metal, wood) has more mass when given objects of the same size.</v>
      </c>
      <c r="S22" s="10" t="str">
        <f t="shared" si="5"/>
        <v>LU006419.006</v>
      </c>
      <c r="T22" s="10" t="str">
        <f ca="1">IFERROR(__xludf.DUMMYFUNCTION("VLOOKUP(S22, IMPORTRANGE(""https://docs.google.com/spreadsheets/d/1yDAaXNsi4Mr5FtRQL4tbmSdIzhx6_m4wkOD7IG-k_eo/edit#gid=1336395716"", ""Science!M:N""), 2, FALSE)"),"Design a simple experiment to investigate the effect of size on the mass of objects made from the same material.")</f>
        <v>Design a simple experiment to investigate the effect of size on the mass of objects made from the same material.</v>
      </c>
      <c r="U22" s="11">
        <f ca="1">IFERROR(__xludf.DUMMYFUNCTION("ArrayFormula(VLOOKUP(G22, IMPORTRANGE(""https://docs.google.com/spreadsheets/d/1p7R4vtkWt5VOBim4ltsDG9KTzSjrtKXsMtQGXPHyND0/edit#gid=795171502"", ""'Filter 30_05_2024'!A1:M2000""), {2, 3, 4, 5,6,7,8,9,10,11,12,13}, 0))"),4)</f>
        <v>4</v>
      </c>
      <c r="V22" s="11">
        <f ca="1">IFERROR(__xludf.DUMMYFUNCTION("""COMPUTED_VALUE"""),6)</f>
        <v>6</v>
      </c>
      <c r="W22" s="11">
        <f ca="1">IFERROR(__xludf.DUMMYFUNCTION("""COMPUTED_VALUE"""),2)</f>
        <v>2</v>
      </c>
      <c r="X22" s="11">
        <f ca="1">IFERROR(__xludf.DUMMYFUNCTION("""COMPUTED_VALUE"""),12)</f>
        <v>12</v>
      </c>
      <c r="Y22" s="11">
        <f ca="1">IFERROR(__xludf.DUMMYFUNCTION("""COMPUTED_VALUE"""),4)</f>
        <v>4</v>
      </c>
      <c r="Z22" s="12">
        <f ca="1">IFERROR(__xludf.DUMMYFUNCTION("""COMPUTED_VALUE"""),3)</f>
        <v>3</v>
      </c>
      <c r="AA22" s="12">
        <f ca="1">IFERROR(__xludf.DUMMYFUNCTION("""COMPUTED_VALUE"""),1)</f>
        <v>1</v>
      </c>
      <c r="AB22" s="12">
        <f ca="1">IFERROR(__xludf.DUMMYFUNCTION("""COMPUTED_VALUE"""),8)</f>
        <v>8</v>
      </c>
      <c r="AC22" s="12"/>
      <c r="AD22" s="12"/>
      <c r="AE22" s="12"/>
      <c r="AF22" s="12"/>
      <c r="AG22" s="13" t="str">
        <f ca="1">IFERROR(__xludf.DUMMYFUNCTION("ArrayFormula(VLOOKUP(G22, IMPORTRANGE(""https://docs.google.com/spreadsheets/d/1Co934fvtviyaRiMsrIlT05Jaq7iiYq07aLvRr35KA48/edit?gid=173865642#gid=173865642"", ""'G6_Sci Cur_Pri_LU'!G2:V2000""), {3, 4, 5, 6, 7, 8, 9, 10, 11, 12, 13, 14, 15, 16}, 0))"),"NA")</f>
        <v>NA</v>
      </c>
      <c r="AH22" s="13"/>
      <c r="AI22" s="13"/>
      <c r="AJ22" s="13"/>
      <c r="AK22" s="13"/>
      <c r="AL22" s="13"/>
      <c r="AM22" s="13"/>
      <c r="AN22" s="13"/>
      <c r="AO22" s="13"/>
      <c r="AP22" s="13"/>
      <c r="AQ22" s="13"/>
      <c r="AR22" s="13"/>
      <c r="AS22" s="13"/>
      <c r="AT22" s="13"/>
    </row>
    <row r="23" spans="1:46">
      <c r="A23" s="8" t="s">
        <v>1405</v>
      </c>
      <c r="B23" s="8" t="s">
        <v>47</v>
      </c>
      <c r="C23" s="8" t="s">
        <v>48</v>
      </c>
      <c r="D23" s="8" t="s">
        <v>1441</v>
      </c>
      <c r="E23" s="8" t="s">
        <v>1442</v>
      </c>
      <c r="F23" s="8" t="s">
        <v>1458</v>
      </c>
      <c r="G23" s="8" t="s">
        <v>1461</v>
      </c>
      <c r="H23" s="8" t="s">
        <v>1462</v>
      </c>
      <c r="I23" s="10" t="str">
        <f t="shared" si="0"/>
        <v>LU006420.001</v>
      </c>
      <c r="J23" s="10" t="str">
        <f ca="1">IFERROR(__xludf.DUMMYFUNCTION("VLOOKUP(I23, IMPORTRANGE(""https://docs.google.com/spreadsheets/d/1yDAaXNsi4Mr5FtRQL4tbmSdIzhx6_m4wkOD7IG-k_eo/edit#gid=1336395716"", ""Science!M:N""), 2, FALSE)"),"Recall the definition of volume as the amount of space an object occupies.")</f>
        <v>Recall the definition of volume as the amount of space an object occupies.</v>
      </c>
      <c r="K23" s="10" t="str">
        <f t="shared" si="1"/>
        <v>LU006420.002</v>
      </c>
      <c r="L23" s="10" t="str">
        <f ca="1">IFERROR(__xludf.DUMMYFUNCTION("VLOOKUP(K23, IMPORTRANGE(""https://docs.google.com/spreadsheets/d/1yDAaXNsi4Mr5FtRQL4tbmSdIzhx6_m4wkOD7IG-k_eo/edit#gid=1336395716"", ""Science!M:N""), 2, FALSE)"),"Explain the concept of volume using examples. ")</f>
        <v xml:space="preserve">Explain the concept of volume using examples. </v>
      </c>
      <c r="M23" s="10" t="str">
        <f t="shared" si="2"/>
        <v>LU006420.003</v>
      </c>
      <c r="N23" s="10" t="str">
        <f ca="1">IFERROR(__xludf.DUMMYFUNCTION("VLOOKUP(M23, IMPORTRANGE(""https://docs.google.com/spreadsheets/d/1yDAaXNsi4Mr5FtRQL4tbmSdIzhx6_m4wkOD7IG-k_eo/edit#gid=1336395716"", ""Science!M:N""), 2, FALSE)"),"Measure the volume of various objects using everyday tools.")</f>
        <v>Measure the volume of various objects using everyday tools.</v>
      </c>
      <c r="O23" s="10" t="str">
        <f t="shared" si="3"/>
        <v>LU006420.004</v>
      </c>
      <c r="P23" s="10" t="str">
        <f ca="1">IFERROR(__xludf.DUMMYFUNCTION("VLOOKUP(O23, IMPORTRANGE(""https://docs.google.com/spreadsheets/d/1yDAaXNsi4Mr5FtRQL4tbmSdIzhx6_m4wkOD7IG-k_eo/edit#gid=1336395716"", ""Science!M:N""), 2, FALSE)"),"Compare the volumes of different containers and determine which holds more liquid.")</f>
        <v>Compare the volumes of different containers and determine which holds more liquid.</v>
      </c>
      <c r="Q23" s="10" t="str">
        <f t="shared" si="4"/>
        <v>LU006420.005</v>
      </c>
      <c r="R23" s="10" t="str">
        <f ca="1">IFERROR(__xludf.DUMMYFUNCTION("VLOOKUP(Q23, IMPORTRANGE(""https://docs.google.com/spreadsheets/d/1yDAaXNsi4Mr5FtRQL4tbmSdIzhx6_m4wkOD7IG-k_eo/edit#gid=1336395716"", ""Science!M:N""), 2, FALSE)"),"Justify why objects of the same shape but different sizes have different volumes.")</f>
        <v>Justify why objects of the same shape but different sizes have different volumes.</v>
      </c>
      <c r="S23" s="10" t="str">
        <f t="shared" si="5"/>
        <v>LU006420.006</v>
      </c>
      <c r="T23" s="10" t="str">
        <f ca="1">IFERROR(__xludf.DUMMYFUNCTION("VLOOKUP(S23, IMPORTRANGE(""https://docs.google.com/spreadsheets/d/1yDAaXNsi4Mr5FtRQL4tbmSdIzhx6_m4wkOD7IG-k_eo/edit#gid=1336395716"", ""Science!M:N""), 2, FALSE)"),"Create a model that demonstrates the concept of displacement to measure the volume of an irregularly shaped object.")</f>
        <v>Create a model that demonstrates the concept of displacement to measure the volume of an irregularly shaped object.</v>
      </c>
      <c r="U23" s="11">
        <f ca="1">IFERROR(__xludf.DUMMYFUNCTION("ArrayFormula(VLOOKUP(G23, IMPORTRANGE(""https://docs.google.com/spreadsheets/d/1p7R4vtkWt5VOBim4ltsDG9KTzSjrtKXsMtQGXPHyND0/edit#gid=795171502"", ""'Filter 30_05_2024'!A1:M2000""), {2, 3, 4, 5,6,7,8,9,10,11,12,13}, 0))"),4)</f>
        <v>4</v>
      </c>
      <c r="V23" s="11">
        <f ca="1">IFERROR(__xludf.DUMMYFUNCTION("""COMPUTED_VALUE"""),6)</f>
        <v>6</v>
      </c>
      <c r="W23" s="11">
        <f ca="1">IFERROR(__xludf.DUMMYFUNCTION("""COMPUTED_VALUE"""),2)</f>
        <v>2</v>
      </c>
      <c r="X23" s="11">
        <f ca="1">IFERROR(__xludf.DUMMYFUNCTION("""COMPUTED_VALUE"""),12)</f>
        <v>12</v>
      </c>
      <c r="Y23" s="11">
        <f ca="1">IFERROR(__xludf.DUMMYFUNCTION("""COMPUTED_VALUE"""),4)</f>
        <v>4</v>
      </c>
      <c r="Z23" s="12">
        <f ca="1">IFERROR(__xludf.DUMMYFUNCTION("""COMPUTED_VALUE"""),3)</f>
        <v>3</v>
      </c>
      <c r="AA23" s="12">
        <f ca="1">IFERROR(__xludf.DUMMYFUNCTION("""COMPUTED_VALUE"""),1)</f>
        <v>1</v>
      </c>
      <c r="AB23" s="12">
        <f ca="1">IFERROR(__xludf.DUMMYFUNCTION("""COMPUTED_VALUE"""),8)</f>
        <v>8</v>
      </c>
      <c r="AC23" s="12"/>
      <c r="AD23" s="12"/>
      <c r="AE23" s="12"/>
      <c r="AF23" s="12"/>
      <c r="AG23" s="13" t="str">
        <f ca="1">IFERROR(__xludf.DUMMYFUNCTION("ArrayFormula(VLOOKUP(G23, IMPORTRANGE(""https://docs.google.com/spreadsheets/d/1Co934fvtviyaRiMsrIlT05Jaq7iiYq07aLvRr35KA48/edit?gid=173865642#gid=173865642"", ""'G6_Sci Cur_Pri_LU'!G2:V2000""), {3, 4, 5, 6, 7, 8, 9, 10, 11, 12, 13, 14, 15, 16}, 0))"),"NA")</f>
        <v>NA</v>
      </c>
      <c r="AH23" s="13"/>
      <c r="AI23" s="13"/>
      <c r="AJ23" s="13"/>
      <c r="AK23" s="13"/>
      <c r="AL23" s="13"/>
      <c r="AM23" s="13"/>
      <c r="AN23" s="13"/>
      <c r="AO23" s="13"/>
      <c r="AP23" s="13"/>
      <c r="AQ23" s="13"/>
      <c r="AR23" s="13"/>
      <c r="AS23" s="13"/>
      <c r="AT23" s="13"/>
    </row>
    <row r="24" spans="1:46">
      <c r="A24" s="8" t="s">
        <v>1405</v>
      </c>
      <c r="B24" s="8" t="s">
        <v>47</v>
      </c>
      <c r="C24" s="8" t="s">
        <v>48</v>
      </c>
      <c r="D24" s="8" t="s">
        <v>1441</v>
      </c>
      <c r="E24" s="8" t="s">
        <v>1442</v>
      </c>
      <c r="F24" s="8" t="s">
        <v>1458</v>
      </c>
      <c r="G24" s="8" t="s">
        <v>1463</v>
      </c>
      <c r="H24" s="8" t="s">
        <v>1464</v>
      </c>
      <c r="I24" s="10" t="str">
        <f t="shared" si="0"/>
        <v>LU006421.001</v>
      </c>
      <c r="J24" s="10" t="str">
        <f ca="1">IFERROR(__xludf.DUMMYFUNCTION("VLOOKUP(I24, IMPORTRANGE(""https://docs.google.com/spreadsheets/d/1yDAaXNsi4Mr5FtRQL4tbmSdIzhx6_m4wkOD7IG-k_eo/edit#gid=1336395716"", ""Science!M:N""), 2, FALSE)"),"Define matter as anything that has mass and occupies space.")</f>
        <v>Define matter as anything that has mass and occupies space.</v>
      </c>
      <c r="K24" s="10" t="str">
        <f t="shared" si="1"/>
        <v>LU006421.002</v>
      </c>
      <c r="L24" s="10" t="str">
        <f ca="1">IFERROR(__xludf.DUMMYFUNCTION("VLOOKUP(K24, IMPORTRANGE(""https://docs.google.com/spreadsheets/d/1yDAaXNsi4Mr5FtRQL4tbmSdIzhx6_m4wkOD7IG-k_eo/edit#gid=1336395716"", ""Science!M:N""), 2, FALSE)"),"Illustrate examples of matter from everyday life (e.g., water, air, a table).")</f>
        <v>Illustrate examples of matter from everyday life (e.g., water, air, a table).</v>
      </c>
      <c r="M24" s="10" t="str">
        <f t="shared" si="2"/>
        <v>LU006421.003</v>
      </c>
      <c r="N24" s="10" t="str">
        <f ca="1">IFERROR(__xludf.DUMMYFUNCTION("VLOOKUP(M24, IMPORTRANGE(""https://docs.google.com/spreadsheets/d/1yDAaXNsi4Mr5FtRQL4tbmSdIzhx6_m4wkOD7IG-k_eo/edit#gid=1336395716"", ""Science!M:N""), 2, FALSE)"),"Identify and classify objects in the classroom as examples of solids, liquids, or gases.")</f>
        <v>Identify and classify objects in the classroom as examples of solids, liquids, or gases.</v>
      </c>
      <c r="O24" s="10" t="str">
        <f t="shared" si="3"/>
        <v>LU006421.004</v>
      </c>
      <c r="P24" s="10" t="str">
        <f ca="1">IFERROR(__xludf.DUMMYFUNCTION("VLOOKUP(O24, IMPORTRANGE(""https://docs.google.com/spreadsheets/d/1yDAaXNsi4Mr5FtRQL4tbmSdIzhx6_m4wkOD7IG-k_eo/edit#gid=1336395716"", ""Science!M:N""), 2, FALSE)"),"Differentiate between items that are matter and those that are not (e.g., light, sound).")</f>
        <v>Differentiate between items that are matter and those that are not (e.g., light, sound).</v>
      </c>
      <c r="Q24" s="10" t="str">
        <f t="shared" si="4"/>
        <v>LU006421.005</v>
      </c>
      <c r="R24" s="10" t="str">
        <f ca="1">IFERROR(__xludf.DUMMYFUNCTION("VLOOKUP(Q24, IMPORTRANGE(""https://docs.google.com/spreadsheets/d/1yDAaXNsi4Mr5FtRQL4tbmSdIzhx6_m4wkOD7IG-k_eo/edit#gid=1336395716"", ""Science!M:N""), 2, FALSE)"),"Assess why certain objects, despite being invisible (like air), are still considered matter.")</f>
        <v>Assess why certain objects, despite being invisible (like air), are still considered matter.</v>
      </c>
      <c r="S24" s="10" t="str">
        <f t="shared" si="5"/>
        <v>LU006421.006</v>
      </c>
      <c r="T24" s="10" t="str">
        <f ca="1">IFERROR(__xludf.DUMMYFUNCTION("VLOOKUP(S24, IMPORTRANGE(""https://docs.google.com/spreadsheets/d/1yDAaXNsi4Mr5FtRQL4tbmSdIzhx6_m4wkOD7IG-k_eo/edit#gid=1336395716"", ""Science!M:N""), 2, FALSE)"),"Construct a collage or chart that categorizes different forms of matter with examples.")</f>
        <v>Construct a collage or chart that categorizes different forms of matter with examples.</v>
      </c>
      <c r="U24" s="11">
        <f ca="1">IFERROR(__xludf.DUMMYFUNCTION("ArrayFormula(VLOOKUP(G24, IMPORTRANGE(""https://docs.google.com/spreadsheets/d/1p7R4vtkWt5VOBim4ltsDG9KTzSjrtKXsMtQGXPHyND0/edit#gid=795171502"", ""'Filter 30_05_2024'!A1:M2000""), {2, 3, 4, 5,6,7,8,9,10,11,12,13}, 0))"),4)</f>
        <v>4</v>
      </c>
      <c r="V24" s="11">
        <f ca="1">IFERROR(__xludf.DUMMYFUNCTION("""COMPUTED_VALUE"""),6)</f>
        <v>6</v>
      </c>
      <c r="W24" s="11">
        <f ca="1">IFERROR(__xludf.DUMMYFUNCTION("""COMPUTED_VALUE"""),2)</f>
        <v>2</v>
      </c>
      <c r="X24" s="11">
        <f ca="1">IFERROR(__xludf.DUMMYFUNCTION("""COMPUTED_VALUE"""),12)</f>
        <v>12</v>
      </c>
      <c r="Y24" s="11">
        <f ca="1">IFERROR(__xludf.DUMMYFUNCTION("""COMPUTED_VALUE"""),4)</f>
        <v>4</v>
      </c>
      <c r="Z24" s="12">
        <f ca="1">IFERROR(__xludf.DUMMYFUNCTION("""COMPUTED_VALUE"""),3)</f>
        <v>3</v>
      </c>
      <c r="AA24" s="12">
        <f ca="1">IFERROR(__xludf.DUMMYFUNCTION("""COMPUTED_VALUE"""),1)</f>
        <v>1</v>
      </c>
      <c r="AB24" s="12">
        <f ca="1">IFERROR(__xludf.DUMMYFUNCTION("""COMPUTED_VALUE"""),8)</f>
        <v>8</v>
      </c>
      <c r="AC24" s="12"/>
      <c r="AD24" s="12"/>
      <c r="AE24" s="12"/>
      <c r="AF24" s="12"/>
      <c r="AG24" s="13" t="str">
        <f ca="1">IFERROR(__xludf.DUMMYFUNCTION("ArrayFormula(VLOOKUP(G24, IMPORTRANGE(""https://docs.google.com/spreadsheets/d/1Co934fvtviyaRiMsrIlT05Jaq7iiYq07aLvRr35KA48/edit?gid=173865642#gid=173865642"", ""'G6_Sci Cur_Pri_LU'!G2:V2000""), {3, 4, 5, 6, 7, 8, 9, 10, 11, 12, 13, 14, 15, 16}, 0))"),"LU006419")</f>
        <v>LU006419</v>
      </c>
      <c r="AH24" s="13" t="str">
        <f ca="1">IFERROR(__xludf.DUMMYFUNCTION("""COMPUTED_VALUE"""),"Properties of material- Mass")</f>
        <v>Properties of material- Mass</v>
      </c>
      <c r="AI24" s="13" t="str">
        <f ca="1">IFERROR(__xludf.DUMMYFUNCTION("""COMPUTED_VALUE"""),"LU006420")</f>
        <v>LU006420</v>
      </c>
      <c r="AJ24" s="13" t="str">
        <f ca="1">IFERROR(__xludf.DUMMYFUNCTION("""COMPUTED_VALUE"""),"Properties of material- Volume ")</f>
        <v xml:space="preserve">Properties of material- Volume </v>
      </c>
      <c r="AK24" s="13"/>
      <c r="AL24" s="13"/>
      <c r="AM24" s="13"/>
      <c r="AN24" s="13"/>
      <c r="AO24" s="13"/>
      <c r="AP24" s="13"/>
      <c r="AQ24" s="13"/>
      <c r="AR24" s="13"/>
      <c r="AS24" s="13"/>
      <c r="AT24" s="13"/>
    </row>
    <row r="25" spans="1:46">
      <c r="A25" s="8" t="s">
        <v>1405</v>
      </c>
      <c r="B25" s="8" t="s">
        <v>47</v>
      </c>
      <c r="C25" s="8" t="s">
        <v>48</v>
      </c>
      <c r="D25" s="8" t="s">
        <v>1441</v>
      </c>
      <c r="E25" s="8" t="s">
        <v>1465</v>
      </c>
      <c r="F25" s="8" t="s">
        <v>1466</v>
      </c>
      <c r="G25" s="106" t="s">
        <v>1467</v>
      </c>
      <c r="H25" s="8" t="s">
        <v>1468</v>
      </c>
      <c r="I25" s="10" t="str">
        <f t="shared" si="0"/>
        <v>LU005293.001</v>
      </c>
      <c r="J25" s="10" t="str">
        <f ca="1">IFERROR(__xludf.DUMMYFUNCTION("VLOOKUP(I25, IMPORTRANGE(""https://docs.google.com/spreadsheets/d/1yDAaXNsi4Mr5FtRQL4tbmSdIzhx6_m4wkOD7IG-k_eo/edit#gid=1336395716"", ""Science!M:N""), 2, FALSE)"),"List common reasons for substance separation in different situations.")</f>
        <v>List common reasons for substance separation in different situations.</v>
      </c>
      <c r="K25" s="10" t="str">
        <f t="shared" si="1"/>
        <v>LU005293.002</v>
      </c>
      <c r="L25" s="10" t="str">
        <f ca="1">IFERROR(__xludf.DUMMYFUNCTION("VLOOKUP(K25, IMPORTRANGE(""https://docs.google.com/spreadsheets/d/1yDAaXNsi4Mr5FtRQL4tbmSdIzhx6_m4wkOD7IG-k_eo/edit#gid=1336395716"", ""Science!M:N""), 2, FALSE)"),"Recognize scenarios requiring substance separation.")</f>
        <v>Recognize scenarios requiring substance separation.</v>
      </c>
      <c r="M25" s="10" t="str">
        <f t="shared" si="2"/>
        <v>LU005293.003</v>
      </c>
      <c r="N25" s="10" t="str">
        <f ca="1">IFERROR(__xludf.DUMMYFUNCTION("VLOOKUP(M25, IMPORTRANGE(""https://docs.google.com/spreadsheets/d/1yDAaXNsi4Mr5FtRQL4tbmSdIzhx6_m4wkOD7IG-k_eo/edit#gid=1336395716"", ""Science!M:N""), 2, FALSE)"),"Demonstrate the importance of substance separation in obtaining valuable components.")</f>
        <v>Demonstrate the importance of substance separation in obtaining valuable components.</v>
      </c>
      <c r="O25" s="10" t="str">
        <f t="shared" si="3"/>
        <v>LU005293.004</v>
      </c>
      <c r="P25" s="10" t="str">
        <f ca="1">IFERROR(__xludf.DUMMYFUNCTION("VLOOKUP(O25, IMPORTRANGE(""https://docs.google.com/spreadsheets/d/1yDAaXNsi4Mr5FtRQL4tbmSdIzhx6_m4wkOD7IG-k_eo/edit#gid=1336395716"", ""Science!M:N""), 2, FALSE)"),"Examine the application of separation techniques across daily life and industries.")</f>
        <v>Examine the application of separation techniques across daily life and industries.</v>
      </c>
      <c r="Q25" s="10" t="str">
        <f t="shared" si="4"/>
        <v>LU005293.005</v>
      </c>
      <c r="R25" s="10" t="str">
        <f ca="1">IFERROR(__xludf.DUMMYFUNCTION("VLOOKUP(Q25, IMPORTRANGE(""https://docs.google.com/spreadsheets/d/1yDAaXNsi4Mr5FtRQL4tbmSdIzhx6_m4wkOD7IG-k_eo/edit#gid=1336395716"", ""Science!M:N""), 2, FALSE)"),"Invent a unique separation situation to separate substances, considering the intended outcome.")</f>
        <v>Invent a unique separation situation to separate substances, considering the intended outcome.</v>
      </c>
      <c r="S25" s="10" t="str">
        <f t="shared" si="5"/>
        <v>LU005293.006</v>
      </c>
      <c r="T25" s="10" t="str">
        <f ca="1">IFERROR(__xludf.DUMMYFUNCTION("VLOOKUP(S25, IMPORTRANGE(""https://docs.google.com/spreadsheets/d/1yDAaXNsi4Mr5FtRQL4tbmSdIzhx6_m4wkOD7IG-k_eo/edit#gid=1336395716"", ""Science!M:N""), 2, FALSE)"),"#N/A")</f>
        <v>#N/A</v>
      </c>
      <c r="U25" s="11">
        <f ca="1">IFERROR(__xludf.DUMMYFUNCTION("ArrayFormula(VLOOKUP(G25, IMPORTRANGE(""https://docs.google.com/spreadsheets/d/1p7R4vtkWt5VOBim4ltsDG9KTzSjrtKXsMtQGXPHyND0/edit#gid=795171502"", ""'Filter 30_05_2024'!A1:M2000""), {2, 3, 4, 5,6,7,8,9,10,11,12,13}, 0))"),5)</f>
        <v>5</v>
      </c>
      <c r="V25" s="11">
        <f ca="1">IFERROR(__xludf.DUMMYFUNCTION("""COMPUTED_VALUE"""),6)</f>
        <v>6</v>
      </c>
      <c r="W25" s="11">
        <f ca="1">IFERROR(__xludf.DUMMYFUNCTION("""COMPUTED_VALUE"""),2)</f>
        <v>2</v>
      </c>
      <c r="X25" s="11">
        <f ca="1">IFERROR(__xludf.DUMMYFUNCTION("""COMPUTED_VALUE"""),13)</f>
        <v>13</v>
      </c>
      <c r="Y25" s="11">
        <f ca="1">IFERROR(__xludf.DUMMYFUNCTION("""COMPUTED_VALUE"""),4)</f>
        <v>4</v>
      </c>
      <c r="Z25" s="12">
        <f ca="1">IFERROR(__xludf.DUMMYFUNCTION("""COMPUTED_VALUE"""),3)</f>
        <v>3</v>
      </c>
      <c r="AA25" s="12">
        <f ca="1">IFERROR(__xludf.DUMMYFUNCTION("""COMPUTED_VALUE"""),1)</f>
        <v>1</v>
      </c>
      <c r="AB25" s="12">
        <f ca="1">IFERROR(__xludf.DUMMYFUNCTION("""COMPUTED_VALUE"""),8)</f>
        <v>8</v>
      </c>
      <c r="AC25" s="12"/>
      <c r="AD25" s="12"/>
      <c r="AE25" s="12"/>
      <c r="AF25" s="12"/>
      <c r="AG25" s="13" t="str">
        <f ca="1">IFERROR(__xludf.DUMMYFUNCTION("ArrayFormula(VLOOKUP(G25, IMPORTRANGE(""https://docs.google.com/spreadsheets/d/1Co934fvtviyaRiMsrIlT05Jaq7iiYq07aLvRr35KA48/edit?gid=173865642#gid=173865642"", ""'G6_Sci Cur_Pri_LU'!G2:V2000""), {3, 4, 5, 6, 7, 8, 9, 10, 11, 12, 13, 14, 15, 16}, 0))"),"LU005313")</f>
        <v>LU005313</v>
      </c>
      <c r="AH25" s="13" t="str">
        <f ca="1">IFERROR(__xludf.DUMMYFUNCTION("""COMPUTED_VALUE"""),"Nature of objects around us at material level and grouping of materials")</f>
        <v>Nature of objects around us at material level and grouping of materials</v>
      </c>
      <c r="AI25" s="13"/>
      <c r="AJ25" s="13"/>
      <c r="AK25" s="13"/>
      <c r="AL25" s="13"/>
      <c r="AM25" s="13"/>
      <c r="AN25" s="13"/>
      <c r="AO25" s="13"/>
      <c r="AP25" s="13"/>
      <c r="AQ25" s="13"/>
      <c r="AR25" s="13"/>
      <c r="AS25" s="13"/>
      <c r="AT25" s="13"/>
    </row>
    <row r="26" spans="1:46">
      <c r="A26" s="8" t="s">
        <v>1405</v>
      </c>
      <c r="B26" s="8" t="s">
        <v>47</v>
      </c>
      <c r="C26" s="8" t="s">
        <v>48</v>
      </c>
      <c r="D26" s="8" t="s">
        <v>1441</v>
      </c>
      <c r="E26" s="8" t="s">
        <v>1465</v>
      </c>
      <c r="F26" s="8" t="s">
        <v>1469</v>
      </c>
      <c r="G26" s="106" t="s">
        <v>1470</v>
      </c>
      <c r="H26" s="8" t="s">
        <v>1471</v>
      </c>
      <c r="I26" s="10" t="str">
        <f t="shared" si="0"/>
        <v>LU005294.001</v>
      </c>
      <c r="J26" s="10" t="str">
        <f ca="1">IFERROR(__xludf.DUMMYFUNCTION("VLOOKUP(I26, IMPORTRANGE(""https://docs.google.com/spreadsheets/d/1yDAaXNsi4Mr5FtRQL4tbmSdIzhx6_m4wkOD7IG-k_eo/edit#gid=1336395716"", ""Science!M:N""), 2, FALSE)"),"Students will identify handpicking, threshing, winnowing, and sieving as methods of separating substances.")</f>
        <v>Students will identify handpicking, threshing, winnowing, and sieving as methods of separating substances.</v>
      </c>
      <c r="K26" s="10" t="str">
        <f t="shared" si="1"/>
        <v>LU005294.002</v>
      </c>
      <c r="L26" s="10" t="str">
        <f ca="1">IFERROR(__xludf.DUMMYFUNCTION("VLOOKUP(K26, IMPORTRANGE(""https://docs.google.com/spreadsheets/d/1yDAaXNsi4Mr5FtRQL4tbmSdIzhx6_m4wkOD7IG-k_eo/edit#gid=1336395716"", ""Science!M:N""), 2, FALSE)"),"Students will describe the principle behind each method of separation.")</f>
        <v>Students will describe the principle behind each method of separation.</v>
      </c>
      <c r="M26" s="10" t="str">
        <f t="shared" si="2"/>
        <v>LU005294.003</v>
      </c>
      <c r="N26" s="10" t="str">
        <f ca="1">IFERROR(__xludf.DUMMYFUNCTION("VLOOKUP(M26, IMPORTRANGE(""https://docs.google.com/spreadsheets/d/1yDAaXNsi4Mr5FtRQL4tbmSdIzhx6_m4wkOD7IG-k_eo/edit#gid=1336395716"", ""Science!M:N""), 2, FALSE)"),"Students will apply the appropriate method of separation to a mixture of substances.")</f>
        <v>Students will apply the appropriate method of separation to a mixture of substances.</v>
      </c>
      <c r="O26" s="10" t="str">
        <f t="shared" si="3"/>
        <v>LU005294.004</v>
      </c>
      <c r="P26" s="10" t="str">
        <f ca="1">IFERROR(__xludf.DUMMYFUNCTION("VLOOKUP(O26, IMPORTRANGE(""https://docs.google.com/spreadsheets/d/1yDAaXNsi4Mr5FtRQL4tbmSdIzhx6_m4wkOD7IG-k_eo/edit#gid=1336395716"", ""Science!M:N""), 2, FALSE)"),"Students will analyze a mixture and choose the most effective method of separation, explaining why it is suitable.")</f>
        <v>Students will analyze a mixture and choose the most effective method of separation, explaining why it is suitable.</v>
      </c>
      <c r="Q26" s="10" t="str">
        <f t="shared" si="4"/>
        <v>LU005294.005</v>
      </c>
      <c r="R26" s="10" t="str">
        <f ca="1">IFERROR(__xludf.DUMMYFUNCTION("VLOOKUP(Q26, IMPORTRANGE(""https://docs.google.com/spreadsheets/d/1yDAaXNsi4Mr5FtRQL4tbmSdIzhx6_m4wkOD7IG-k_eo/edit#gid=1336395716"", ""Science!M:N""), 2, FALSE)"),"Students will evaluate the efficiency and practicality of different separation methods in various scenarios.")</f>
        <v>Students will evaluate the efficiency and practicality of different separation methods in various scenarios.</v>
      </c>
      <c r="S26" s="10" t="str">
        <f t="shared" si="5"/>
        <v>LU005294.006</v>
      </c>
      <c r="T26" s="10" t="str">
        <f ca="1">IFERROR(__xludf.DUMMYFUNCTION("VLOOKUP(S26, IMPORTRANGE(""https://docs.google.com/spreadsheets/d/1yDAaXNsi4Mr5FtRQL4tbmSdIzhx6_m4wkOD7IG-k_eo/edit#gid=1336395716"", ""Science!M:N""), 2, FALSE)"),"#N/A")</f>
        <v>#N/A</v>
      </c>
      <c r="U26" s="11">
        <f ca="1">IFERROR(__xludf.DUMMYFUNCTION("ArrayFormula(VLOOKUP(G26, IMPORTRANGE(""https://docs.google.com/spreadsheets/d/1p7R4vtkWt5VOBim4ltsDG9KTzSjrtKXsMtQGXPHyND0/edit#gid=795171502"", ""'Filter 30_05_2024'!A1:M2000""), {2, 3, 4, 5,6,7,8,9,10,11,12,13}, 0))"),18)</f>
        <v>18</v>
      </c>
      <c r="V26" s="11">
        <f ca="1">IFERROR(__xludf.DUMMYFUNCTION("""COMPUTED_VALUE"""),10)</f>
        <v>10</v>
      </c>
      <c r="W26" s="11">
        <f ca="1">IFERROR(__xludf.DUMMYFUNCTION("""COMPUTED_VALUE"""),2)</f>
        <v>2</v>
      </c>
      <c r="X26" s="11">
        <f ca="1">IFERROR(__xludf.DUMMYFUNCTION("""COMPUTED_VALUE"""),30)</f>
        <v>30</v>
      </c>
      <c r="Y26" s="11">
        <f ca="1">IFERROR(__xludf.DUMMYFUNCTION("""COMPUTED_VALUE"""),7)</f>
        <v>7</v>
      </c>
      <c r="Z26" s="12">
        <f ca="1">IFERROR(__xludf.DUMMYFUNCTION("""COMPUTED_VALUE"""),5)</f>
        <v>5</v>
      </c>
      <c r="AA26" s="12">
        <f ca="1">IFERROR(__xludf.DUMMYFUNCTION("""COMPUTED_VALUE"""),1)</f>
        <v>1</v>
      </c>
      <c r="AB26" s="12">
        <f ca="1">IFERROR(__xludf.DUMMYFUNCTION("""COMPUTED_VALUE"""),13)</f>
        <v>13</v>
      </c>
      <c r="AC26" s="12"/>
      <c r="AD26" s="12"/>
      <c r="AE26" s="12"/>
      <c r="AF26" s="12"/>
      <c r="AG26" s="13" t="str">
        <f ca="1">IFERROR(__xludf.DUMMYFUNCTION("ArrayFormula(VLOOKUP(G26, IMPORTRANGE(""https://docs.google.com/spreadsheets/d/1Co934fvtviyaRiMsrIlT05Jaq7iiYq07aLvRr35KA48/edit?gid=173865642#gid=173865642"", ""'G6_Sci Cur_Pri_LU'!G2:V2000""), {3, 4, 5, 6, 7, 8, 9, 10, 11, 12, 13, 14, 15, 16}, 0))"),"LU005293")</f>
        <v>LU005293</v>
      </c>
      <c r="AH26" s="13" t="str">
        <f ca="1">IFERROR(__xludf.DUMMYFUNCTION("""COMPUTED_VALUE"""),"Purpose for the separation of substances")</f>
        <v>Purpose for the separation of substances</v>
      </c>
      <c r="AI26" s="13" t="str">
        <f ca="1">IFERROR(__xludf.DUMMYFUNCTION("""COMPUTED_VALUE"""),"LU005313")</f>
        <v>LU005313</v>
      </c>
      <c r="AJ26" s="13" t="str">
        <f ca="1">IFERROR(__xludf.DUMMYFUNCTION("""COMPUTED_VALUE"""),"Nature of objects around us at material level and grouping of materials")</f>
        <v>Nature of objects around us at material level and grouping of materials</v>
      </c>
      <c r="AK26" s="13"/>
      <c r="AL26" s="13"/>
      <c r="AM26" s="13"/>
      <c r="AN26" s="13"/>
      <c r="AO26" s="13"/>
      <c r="AP26" s="13"/>
      <c r="AQ26" s="13"/>
      <c r="AR26" s="13"/>
      <c r="AS26" s="13"/>
      <c r="AT26" s="13"/>
    </row>
    <row r="27" spans="1:46">
      <c r="A27" s="8" t="s">
        <v>1405</v>
      </c>
      <c r="B27" s="8" t="s">
        <v>47</v>
      </c>
      <c r="C27" s="8" t="s">
        <v>48</v>
      </c>
      <c r="D27" s="8" t="s">
        <v>1441</v>
      </c>
      <c r="E27" s="8" t="s">
        <v>1465</v>
      </c>
      <c r="F27" s="8" t="s">
        <v>1472</v>
      </c>
      <c r="G27" s="106" t="s">
        <v>1473</v>
      </c>
      <c r="H27" s="8" t="s">
        <v>1474</v>
      </c>
      <c r="I27" s="10" t="str">
        <f t="shared" si="0"/>
        <v>LU005296.001</v>
      </c>
      <c r="J27" s="10" t="str">
        <f ca="1">IFERROR(__xludf.DUMMYFUNCTION("VLOOKUP(I27, IMPORTRANGE(""https://docs.google.com/spreadsheets/d/1yDAaXNsi4Mr5FtRQL4tbmSdIzhx6_m4wkOD7IG-k_eo/edit#gid=1336395716"", ""Science!M:N""), 2, FALSE)"),"Students will define evaporation and condensation in the context of separating mixtures.")</f>
        <v>Students will define evaporation and condensation in the context of separating mixtures.</v>
      </c>
      <c r="K27" s="10" t="str">
        <f t="shared" si="1"/>
        <v>LU005296.002</v>
      </c>
      <c r="L27" s="10" t="str">
        <f ca="1">IFERROR(__xludf.DUMMYFUNCTION("VLOOKUP(K27, IMPORTRANGE(""https://docs.google.com/spreadsheets/d/1yDAaXNsi4Mr5FtRQL4tbmSdIzhx6_m4wkOD7IG-k_eo/edit#gid=1336395716"", ""Science!M:N""), 2, FALSE)"),"Students will explain the circumstances where evaporation and condensation can be used to separate substances.")</f>
        <v>Students will explain the circumstances where evaporation and condensation can be used to separate substances.</v>
      </c>
      <c r="M27" s="10" t="str">
        <f t="shared" si="2"/>
        <v>LU005296.003</v>
      </c>
      <c r="N27" s="10" t="str">
        <f ca="1">IFERROR(__xludf.DUMMYFUNCTION("VLOOKUP(M27, IMPORTRANGE(""https://docs.google.com/spreadsheets/d/1yDAaXNsi4Mr5FtRQL4tbmSdIzhx6_m4wkOD7IG-k_eo/edit#gid=1336395716"", ""Science!M:N""), 2, FALSE)"),"Students will perform a simple experiment to separate a mixture using evaporation and condensation.")</f>
        <v>Students will perform a simple experiment to separate a mixture using evaporation and condensation.</v>
      </c>
      <c r="O27" s="10" t="str">
        <f t="shared" si="3"/>
        <v>LU005296.004</v>
      </c>
      <c r="P27" s="10" t="str">
        <f ca="1">IFERROR(__xludf.DUMMYFUNCTION("VLOOKUP(O27, IMPORTRANGE(""https://docs.google.com/spreadsheets/d/1yDAaXNsi4Mr5FtRQL4tbmSdIzhx6_m4wkOD7IG-k_eo/edit#gid=1336395716"", ""Science!M:N""), 2, FALSE)"),"Students will analyze results from experiments to identify the effectiveness of evaporation and condensation in separating different types of mixtures.")</f>
        <v>Students will analyze results from experiments to identify the effectiveness of evaporation and condensation in separating different types of mixtures.</v>
      </c>
      <c r="Q27" s="10" t="str">
        <f t="shared" si="4"/>
        <v>LU005296.005</v>
      </c>
      <c r="R27" s="10" t="str">
        <f ca="1">IFERROR(__xludf.DUMMYFUNCTION("VLOOKUP(Q27, IMPORTRANGE(""https://docs.google.com/spreadsheets/d/1yDAaXNsi4Mr5FtRQL4tbmSdIzhx6_m4wkOD7IG-k_eo/edit#gid=1336395716"", ""Science!M:N""), 2, FALSE)"),"Students will evaluate the advantages and limitations of using evaporation and condensation as separation techniques.")</f>
        <v>Students will evaluate the advantages and limitations of using evaporation and condensation as separation techniques.</v>
      </c>
      <c r="S27" s="10" t="str">
        <f t="shared" si="5"/>
        <v>LU005296.006</v>
      </c>
      <c r="T27" s="10" t="str">
        <f ca="1">IFERROR(__xludf.DUMMYFUNCTION("VLOOKUP(S27, IMPORTRANGE(""https://docs.google.com/spreadsheets/d/1yDAaXNsi4Mr5FtRQL4tbmSdIzhx6_m4wkOD7IG-k_eo/edit#gid=1336395716"", ""Science!M:N""), 2, FALSE)"),"#N/A")</f>
        <v>#N/A</v>
      </c>
      <c r="U27" s="11">
        <f ca="1">IFERROR(__xludf.DUMMYFUNCTION("ArrayFormula(VLOOKUP(G27, IMPORTRANGE(""https://docs.google.com/spreadsheets/d/1p7R4vtkWt5VOBim4ltsDG9KTzSjrtKXsMtQGXPHyND0/edit#gid=795171502"", ""'Filter 30_05_2024'!A1:M2000""), {2, 3, 4, 5,6,7,8,9,10,11,12,13}, 0))"),4)</f>
        <v>4</v>
      </c>
      <c r="V27" s="11">
        <f ca="1">IFERROR(__xludf.DUMMYFUNCTION("""COMPUTED_VALUE"""),6)</f>
        <v>6</v>
      </c>
      <c r="W27" s="11">
        <f ca="1">IFERROR(__xludf.DUMMYFUNCTION("""COMPUTED_VALUE"""),2)</f>
        <v>2</v>
      </c>
      <c r="X27" s="11">
        <f ca="1">IFERROR(__xludf.DUMMYFUNCTION("""COMPUTED_VALUE"""),12)</f>
        <v>12</v>
      </c>
      <c r="Y27" s="11">
        <f ca="1">IFERROR(__xludf.DUMMYFUNCTION("""COMPUTED_VALUE"""),5)</f>
        <v>5</v>
      </c>
      <c r="Z27" s="12">
        <f ca="1">IFERROR(__xludf.DUMMYFUNCTION("""COMPUTED_VALUE"""),3)</f>
        <v>3</v>
      </c>
      <c r="AA27" s="12">
        <f ca="1">IFERROR(__xludf.DUMMYFUNCTION("""COMPUTED_VALUE"""),1)</f>
        <v>1</v>
      </c>
      <c r="AB27" s="12">
        <f ca="1">IFERROR(__xludf.DUMMYFUNCTION("""COMPUTED_VALUE"""),9)</f>
        <v>9</v>
      </c>
      <c r="AC27" s="12"/>
      <c r="AD27" s="12"/>
      <c r="AE27" s="12"/>
      <c r="AF27" s="12"/>
      <c r="AG27" s="13" t="str">
        <f ca="1">IFERROR(__xludf.DUMMYFUNCTION("ArrayFormula(VLOOKUP(G27, IMPORTRANGE(""https://docs.google.com/spreadsheets/d/1Co934fvtviyaRiMsrIlT05Jaq7iiYq07aLvRr35KA48/edit?gid=173865642#gid=173865642"", ""'G6_Sci Cur_Pri_LU'!G2:V2000""), {3, 4, 5, 6, 7, 8, 9, 10, 11, 12, 13, 14, 15, 16}, 0))"),"LU005317")</f>
        <v>LU005317</v>
      </c>
      <c r="AH27" s="13" t="str">
        <f ca="1">IFERROR(__xludf.DUMMYFUNCTION("""COMPUTED_VALUE"""),"Properties of materials-Solubility in water")</f>
        <v>Properties of materials-Solubility in water</v>
      </c>
      <c r="AI27" s="13" t="str">
        <f ca="1">IFERROR(__xludf.DUMMYFUNCTION("""COMPUTED_VALUE"""),"LU005293")</f>
        <v>LU005293</v>
      </c>
      <c r="AJ27" s="13" t="str">
        <f ca="1">IFERROR(__xludf.DUMMYFUNCTION("""COMPUTED_VALUE"""),"Purpose for the separation of substances")</f>
        <v>Purpose for the separation of substances</v>
      </c>
      <c r="AK27" s="13"/>
      <c r="AL27" s="13"/>
      <c r="AM27" s="13"/>
      <c r="AN27" s="13"/>
      <c r="AO27" s="13"/>
      <c r="AP27" s="13"/>
      <c r="AQ27" s="13"/>
      <c r="AR27" s="13"/>
      <c r="AS27" s="13"/>
      <c r="AT27" s="13"/>
    </row>
    <row r="28" spans="1:46">
      <c r="A28" s="8" t="s">
        <v>1405</v>
      </c>
      <c r="B28" s="8" t="s">
        <v>47</v>
      </c>
      <c r="C28" s="8" t="s">
        <v>48</v>
      </c>
      <c r="D28" s="8" t="s">
        <v>1441</v>
      </c>
      <c r="E28" s="8" t="s">
        <v>1465</v>
      </c>
      <c r="F28" s="8" t="s">
        <v>1475</v>
      </c>
      <c r="G28" s="106" t="s">
        <v>1476</v>
      </c>
      <c r="H28" s="8" t="s">
        <v>1477</v>
      </c>
      <c r="I28" s="10" t="str">
        <f t="shared" si="0"/>
        <v>LU005295.001</v>
      </c>
      <c r="J28" s="10" t="str">
        <f ca="1">IFERROR(__xludf.DUMMYFUNCTION("VLOOKUP(I28, IMPORTRANGE(""https://docs.google.com/spreadsheets/d/1yDAaXNsi4Mr5FtRQL4tbmSdIzhx6_m4wkOD7IG-k_eo/edit#gid=1336395716"", ""Science!M:N""), 2, FALSE)"),"Students will define sedimentation, loading, decantation, and filtration.")</f>
        <v>Students will define sedimentation, loading, decantation, and filtration.</v>
      </c>
      <c r="K28" s="10" t="str">
        <f t="shared" si="1"/>
        <v>LU005295.002</v>
      </c>
      <c r="L28" s="10" t="str">
        <f ca="1">IFERROR(__xludf.DUMMYFUNCTION("VLOOKUP(K28, IMPORTRANGE(""https://docs.google.com/spreadsheets/d/1yDAaXNsi4Mr5FtRQL4tbmSdIzhx6_m4wkOD7IG-k_eo/edit#gid=1336395716"", ""Science!M:N""), 2, FALSE)"),"Students will describe the situations where sedimentation, decantation, and filtration are used.")</f>
        <v>Students will describe the situations where sedimentation, decantation, and filtration are used.</v>
      </c>
      <c r="M28" s="10" t="str">
        <f t="shared" si="2"/>
        <v>LU005295.003</v>
      </c>
      <c r="N28" s="10" t="str">
        <f ca="1">IFERROR(__xludf.DUMMYFUNCTION("VLOOKUP(M28, IMPORTRANGE(""https://docs.google.com/spreadsheets/d/1yDAaXNsi4Mr5FtRQL4tbmSdIzhx6_m4wkOD7IG-k_eo/edit#gid=1336395716"", ""Science!M:N""), 2, FALSE)"),"Students will demonstrate the methods of sedimentation, loading, decantation, and filtration using simple materials.")</f>
        <v>Students will demonstrate the methods of sedimentation, loading, decantation, and filtration using simple materials.</v>
      </c>
      <c r="O28" s="10" t="str">
        <f t="shared" si="3"/>
        <v>LU005295.004</v>
      </c>
      <c r="P28" s="10" t="str">
        <f ca="1">IFERROR(__xludf.DUMMYFUNCTION("VLOOKUP(O28, IMPORTRANGE(""https://docs.google.com/spreadsheets/d/1yDAaXNsi4Mr5FtRQL4tbmSdIzhx6_m4wkOD7IG-k_eo/edit#gid=1336395716"", ""Science!M:N""), 2, FALSE)"),"Students will differentiate between sedimentation, loading, decantation, and filtration based on their purpose and method.")</f>
        <v>Students will differentiate between sedimentation, loading, decantation, and filtration based on their purpose and method.</v>
      </c>
      <c r="Q28" s="10" t="str">
        <f t="shared" si="4"/>
        <v>LU005295.005</v>
      </c>
      <c r="R28" s="10" t="str">
        <f ca="1">IFERROR(__xludf.DUMMYFUNCTION("VLOOKUP(Q28, IMPORTRANGE(""https://docs.google.com/spreadsheets/d/1yDAaXNsi4Mr5FtRQL4tbmSdIzhx6_m4wkOD7IG-k_eo/edit#gid=1336395716"", ""Science!M:N""), 2, FALSE)"),"Students will evaluate the effectiveness of each separation method in different scenarios.")</f>
        <v>Students will evaluate the effectiveness of each separation method in different scenarios.</v>
      </c>
      <c r="S28" s="10" t="str">
        <f t="shared" si="5"/>
        <v>LU005295.006</v>
      </c>
      <c r="T28" s="10" t="str">
        <f ca="1">IFERROR(__xludf.DUMMYFUNCTION("VLOOKUP(S28, IMPORTRANGE(""https://docs.google.com/spreadsheets/d/1yDAaXNsi4Mr5FtRQL4tbmSdIzhx6_m4wkOD7IG-k_eo/edit#gid=1336395716"", ""Science!M:N""), 2, FALSE)"),"Students will design an experiment that combines these methods to separate a complex mixture.")</f>
        <v>Students will design an experiment that combines these methods to separate a complex mixture.</v>
      </c>
      <c r="U28" s="11">
        <f ca="1">IFERROR(__xludf.DUMMYFUNCTION("ArrayFormula(VLOOKUP(G28, IMPORTRANGE(""https://docs.google.com/spreadsheets/d/1p7R4vtkWt5VOBim4ltsDG9KTzSjrtKXsMtQGXPHyND0/edit#gid=795171502"", ""'Filter 30_05_2024'!A1:M2000""), {2, 3, 4, 5,6,7,8,9,10,11,12,13}, 0))"),14)</f>
        <v>14</v>
      </c>
      <c r="V28" s="11">
        <f ca="1">IFERROR(__xludf.DUMMYFUNCTION("""COMPUTED_VALUE"""),14)</f>
        <v>14</v>
      </c>
      <c r="W28" s="11">
        <f ca="1">IFERROR(__xludf.DUMMYFUNCTION("""COMPUTED_VALUE"""),6)</f>
        <v>6</v>
      </c>
      <c r="X28" s="11">
        <f ca="1">IFERROR(__xludf.DUMMYFUNCTION("""COMPUTED_VALUE"""),34)</f>
        <v>34</v>
      </c>
      <c r="Y28" s="11">
        <f ca="1">IFERROR(__xludf.DUMMYFUNCTION("""COMPUTED_VALUE"""),8)</f>
        <v>8</v>
      </c>
      <c r="Z28" s="12">
        <f ca="1">IFERROR(__xludf.DUMMYFUNCTION("""COMPUTED_VALUE"""),3)</f>
        <v>3</v>
      </c>
      <c r="AA28" s="12">
        <f ca="1">IFERROR(__xludf.DUMMYFUNCTION("""COMPUTED_VALUE"""),2)</f>
        <v>2</v>
      </c>
      <c r="AB28" s="12">
        <f ca="1">IFERROR(__xludf.DUMMYFUNCTION("""COMPUTED_VALUE"""),13)</f>
        <v>13</v>
      </c>
      <c r="AC28" s="12"/>
      <c r="AD28" s="12"/>
      <c r="AE28" s="12"/>
      <c r="AF28" s="12"/>
      <c r="AG28" s="13" t="str">
        <f ca="1">IFERROR(__xludf.DUMMYFUNCTION("ArrayFormula(VLOOKUP(G28, IMPORTRANGE(""https://docs.google.com/spreadsheets/d/1Co934fvtviyaRiMsrIlT05Jaq7iiYq07aLvRr35KA48/edit?gid=173865642#gid=173865642"", ""'G6_Sci Cur_Pri_LU'!G2:V2000""), {3, 4, 5, 6, 7, 8, 9, 10, 11, 12, 13, 14, 15, 16}, 0))"),"LU005315")</f>
        <v>LU005315</v>
      </c>
      <c r="AH28" s="13" t="str">
        <f ca="1">IFERROR(__xludf.DUMMYFUNCTION("""COMPUTED_VALUE"""),"Properties of materials-Floats or sinks in water")</f>
        <v>Properties of materials-Floats or sinks in water</v>
      </c>
      <c r="AI28" s="13" t="str">
        <f ca="1">IFERROR(__xludf.DUMMYFUNCTION("""COMPUTED_VALUE"""),"LU005317")</f>
        <v>LU005317</v>
      </c>
      <c r="AJ28" s="13" t="str">
        <f ca="1">IFERROR(__xludf.DUMMYFUNCTION("""COMPUTED_VALUE"""),"Properties of materials-Solubility in water")</f>
        <v>Properties of materials-Solubility in water</v>
      </c>
      <c r="AK28" s="13" t="str">
        <f ca="1">IFERROR(__xludf.DUMMYFUNCTION("""COMPUTED_VALUE"""),"LU005293")</f>
        <v>LU005293</v>
      </c>
      <c r="AL28" s="13" t="str">
        <f ca="1">IFERROR(__xludf.DUMMYFUNCTION("""COMPUTED_VALUE"""),"Purpose for the separation of substances")</f>
        <v>Purpose for the separation of substances</v>
      </c>
      <c r="AM28" s="13"/>
      <c r="AN28" s="13"/>
      <c r="AO28" s="13"/>
      <c r="AP28" s="13"/>
      <c r="AQ28" s="13"/>
      <c r="AR28" s="13"/>
      <c r="AS28" s="13"/>
      <c r="AT28" s="13"/>
    </row>
    <row r="29" spans="1:46">
      <c r="A29" s="8" t="s">
        <v>1405</v>
      </c>
      <c r="B29" s="8" t="s">
        <v>47</v>
      </c>
      <c r="C29" s="8" t="s">
        <v>48</v>
      </c>
      <c r="D29" s="8" t="s">
        <v>1441</v>
      </c>
      <c r="E29" s="8" t="s">
        <v>1465</v>
      </c>
      <c r="F29" s="8" t="s">
        <v>1478</v>
      </c>
      <c r="G29" s="8" t="s">
        <v>1479</v>
      </c>
      <c r="H29" s="8" t="s">
        <v>1480</v>
      </c>
      <c r="I29" s="10" t="str">
        <f t="shared" si="0"/>
        <v>LU005975.001</v>
      </c>
      <c r="J29" s="10" t="str">
        <f ca="1">IFERROR(__xludf.DUMMYFUNCTION("VLOOKUP(I29, IMPORTRANGE(""https://docs.google.com/spreadsheets/d/1yDAaXNsi4Mr5FtRQL4tbmSdIzhx6_m4wkOD7IG-k_eo/edit#gid=1336395716"", ""Science!M:N""), 2, FALSE)"),"Define magnetic separation and sublimation accurately.")</f>
        <v>Define magnetic separation and sublimation accurately.</v>
      </c>
      <c r="K29" s="10" t="str">
        <f t="shared" si="1"/>
        <v>LU005975.002</v>
      </c>
      <c r="L29" s="10" t="str">
        <f ca="1">IFERROR(__xludf.DUMMYFUNCTION("VLOOKUP(K29, IMPORTRANGE(""https://docs.google.com/spreadsheets/d/1yDAaXNsi4Mr5FtRQL4tbmSdIzhx6_m4wkOD7IG-k_eo/edit#gid=1336395716"", ""Science!M:N""), 2, FALSE)"),"Describe how magnetic separation and sublimation are used to separate solid-solid mixtures, providing examples.")</f>
        <v>Describe how magnetic separation and sublimation are used to separate solid-solid mixtures, providing examples.</v>
      </c>
      <c r="M29" s="10" t="str">
        <f t="shared" si="2"/>
        <v>LU005975.003</v>
      </c>
      <c r="N29" s="10" t="str">
        <f ca="1">IFERROR(__xludf.DUMMYFUNCTION("VLOOKUP(M29, IMPORTRANGE(""https://docs.google.com/spreadsheets/d/1yDAaXNsi4Mr5FtRQL4tbmSdIzhx6_m4wkOD7IG-k_eo/edit#gid=1336395716"", ""Science!M:N""), 2, FALSE)"),"Apply magnetic separation and sublimation techniques to separate a given solid-solid mixture effectively.")</f>
        <v>Apply magnetic separation and sublimation techniques to separate a given solid-solid mixture effectively.</v>
      </c>
      <c r="O29" s="10" t="str">
        <f t="shared" si="3"/>
        <v>LU005975.004</v>
      </c>
      <c r="P29" s="10" t="str">
        <f ca="1">IFERROR(__xludf.DUMMYFUNCTION("VLOOKUP(O29, IMPORTRANGE(""https://docs.google.com/spreadsheets/d/1yDAaXNsi4Mr5FtRQL4tbmSdIzhx6_m4wkOD7IG-k_eo/edit#gid=1336395716"", ""Science!M:N""), 2, FALSE)"),"Analyze the advantages and limitations of using magnetic separation and sublimation compared to other separation methods for solid-solid mixtures.")</f>
        <v>Analyze the advantages and limitations of using magnetic separation and sublimation compared to other separation methods for solid-solid mixtures.</v>
      </c>
      <c r="Q29" s="10" t="str">
        <f t="shared" si="4"/>
        <v>LU005975.005</v>
      </c>
      <c r="R29" s="10" t="str">
        <f ca="1">IFERROR(__xludf.DUMMYFUNCTION("VLOOKUP(Q29, IMPORTRANGE(""https://docs.google.com/spreadsheets/d/1yDAaXNsi4Mr5FtRQL4tbmSdIzhx6_m4wkOD7IG-k_eo/edit#gid=1336395716"", ""Science!M:N""), 2, FALSE)"),"Evaluate the efficiency of magnetic separation and sublimation techniques in separating specific solid-solid mixtures based on their properties.")</f>
        <v>Evaluate the efficiency of magnetic separation and sublimation techniques in separating specific solid-solid mixtures based on their properties.</v>
      </c>
      <c r="S29" s="10" t="str">
        <f t="shared" si="5"/>
        <v>LU005975.006</v>
      </c>
      <c r="T29" s="10" t="str">
        <f ca="1">IFERROR(__xludf.DUMMYFUNCTION("VLOOKUP(S29, IMPORTRANGE(""https://docs.google.com/spreadsheets/d/1yDAaXNsi4Mr5FtRQL4tbmSdIzhx6_m4wkOD7IG-k_eo/edit#gid=1336395716"", ""Science!M:N""), 2, FALSE)"),"Propose improvements or modifications to magnetic separation and sublimation processes to enhance their effectiveness in separating solid-solid mixtures.")</f>
        <v>Propose improvements or modifications to magnetic separation and sublimation processes to enhance their effectiveness in separating solid-solid mixtures.</v>
      </c>
      <c r="U29" s="11">
        <f ca="1">IFERROR(__xludf.DUMMYFUNCTION("ArrayFormula(VLOOKUP(G29, IMPORTRANGE(""https://docs.google.com/spreadsheets/d/1p7R4vtkWt5VOBim4ltsDG9KTzSjrtKXsMtQGXPHyND0/edit#gid=795171502"", ""'Filter 30_05_2024'!A1:M2000""), {2, 3, 4, 5,6,7,8,9,10,11,12,13}, 0))"),4)</f>
        <v>4</v>
      </c>
      <c r="V29" s="11">
        <f ca="1">IFERROR(__xludf.DUMMYFUNCTION("""COMPUTED_VALUE"""),6)</f>
        <v>6</v>
      </c>
      <c r="W29" s="11">
        <f ca="1">IFERROR(__xludf.DUMMYFUNCTION("""COMPUTED_VALUE"""),2)</f>
        <v>2</v>
      </c>
      <c r="X29" s="11">
        <f ca="1">IFERROR(__xludf.DUMMYFUNCTION("""COMPUTED_VALUE"""),12)</f>
        <v>12</v>
      </c>
      <c r="Y29" s="11">
        <f ca="1">IFERROR(__xludf.DUMMYFUNCTION("""COMPUTED_VALUE"""),4)</f>
        <v>4</v>
      </c>
      <c r="Z29" s="12">
        <f ca="1">IFERROR(__xludf.DUMMYFUNCTION("""COMPUTED_VALUE"""),3)</f>
        <v>3</v>
      </c>
      <c r="AA29" s="12">
        <f ca="1">IFERROR(__xludf.DUMMYFUNCTION("""COMPUTED_VALUE"""),1)</f>
        <v>1</v>
      </c>
      <c r="AB29" s="12">
        <f ca="1">IFERROR(__xludf.DUMMYFUNCTION("""COMPUTED_VALUE"""),8)</f>
        <v>8</v>
      </c>
      <c r="AC29" s="12"/>
      <c r="AD29" s="12"/>
      <c r="AE29" s="12"/>
      <c r="AF29" s="12"/>
      <c r="AG29" s="13" t="str">
        <f ca="1">IFERROR(__xludf.DUMMYFUNCTION("ArrayFormula(VLOOKUP(G29, IMPORTRANGE(""https://docs.google.com/spreadsheets/d/1Co934fvtviyaRiMsrIlT05Jaq7iiYq07aLvRr35KA48/edit?gid=173865642#gid=173865642"", ""'G6_Sci Cur_Pri_LU'!G2:V2000""), {3, 4, 5, 6, 7, 8, 9, 10, 11, 12, 13, 14, 15, 16}, 0))"),"")</f>
        <v/>
      </c>
      <c r="AH29" s="13"/>
      <c r="AI29" s="13"/>
      <c r="AJ29" s="13"/>
      <c r="AK29" s="13"/>
      <c r="AL29" s="13"/>
      <c r="AM29" s="13"/>
      <c r="AN29" s="13"/>
      <c r="AO29" s="13"/>
      <c r="AP29" s="13"/>
      <c r="AQ29" s="13"/>
      <c r="AR29" s="13"/>
      <c r="AS29" s="13"/>
      <c r="AT29" s="13"/>
    </row>
    <row r="30" spans="1:46">
      <c r="A30" s="8" t="s">
        <v>1405</v>
      </c>
      <c r="B30" s="8" t="s">
        <v>47</v>
      </c>
      <c r="C30" s="8" t="s">
        <v>48</v>
      </c>
      <c r="D30" s="8" t="s">
        <v>1441</v>
      </c>
      <c r="E30" s="8" t="s">
        <v>1465</v>
      </c>
      <c r="F30" s="8" t="s">
        <v>1478</v>
      </c>
      <c r="G30" s="106" t="s">
        <v>1481</v>
      </c>
      <c r="H30" s="8" t="s">
        <v>1482</v>
      </c>
      <c r="I30" s="10" t="str">
        <f t="shared" si="0"/>
        <v>LU005297.001</v>
      </c>
      <c r="J30" s="10" t="str">
        <f ca="1">IFERROR(__xludf.DUMMYFUNCTION("VLOOKUP(I30, IMPORTRANGE(""https://docs.google.com/spreadsheets/d/1yDAaXNsi4Mr5FtRQL4tbmSdIzhx6_m4wkOD7IG-k_eo/edit#gid=1336395716"", ""Science!M:N""), 2, FALSE)"),"List different methods of separation and describe how they can be combined in the use of more than one method for effective separation.")</f>
        <v>List different methods of separation and describe how they can be combined in the use of more than one method for effective separation.</v>
      </c>
      <c r="K30" s="10" t="str">
        <f t="shared" si="1"/>
        <v>LU005297.002</v>
      </c>
      <c r="L30" s="10" t="str">
        <f ca="1">IFERROR(__xludf.DUMMYFUNCTION("VLOOKUP(K30, IMPORTRANGE(""https://docs.google.com/spreadsheets/d/1yDAaXNsi4Mr5FtRQL4tbmSdIzhx6_m4wkOD7IG-k_eo/edit#gid=1336395716"", ""Science!M:N""), 2, FALSE)"),"Comprehend the rationale behind using multiple methods of separation in tandem and explain how their combination enhances the separation process.")</f>
        <v>Comprehend the rationale behind using multiple methods of separation in tandem and explain how their combination enhances the separation process.</v>
      </c>
      <c r="M30" s="10" t="str">
        <f t="shared" si="2"/>
        <v>LU005297.003</v>
      </c>
      <c r="N30" s="10" t="str">
        <f ca="1">IFERROR(__xludf.DUMMYFUNCTION("VLOOKUP(M30, IMPORTRANGE(""https://docs.google.com/spreadsheets/d/1yDAaXNsi4Mr5FtRQL4tbmSdIzhx6_m4wkOD7IG-k_eo/edit#gid=1336395716"", ""Science!M:N""), 2, FALSE)"),"Utilize your knowledge of various separation techniques to propose a scenario where combining two or more methods would achieve better separation results.")</f>
        <v>Utilize your knowledge of various separation techniques to propose a scenario where combining two or more methods would achieve better separation results.</v>
      </c>
      <c r="O30" s="10" t="str">
        <f t="shared" si="3"/>
        <v>LU005297.004</v>
      </c>
      <c r="P30" s="10" t="str">
        <f ca="1">IFERROR(__xludf.DUMMYFUNCTION("VLOOKUP(O30, IMPORTRANGE(""https://docs.google.com/spreadsheets/d/1yDAaXNsi4Mr5FtRQL4tbmSdIzhx6_m4wkOD7IG-k_eo/edit#gid=1336395716"", ""Science!M:N""), 2, FALSE)"),"Analyze the factors that determine the appropriateness of using more than one method of separation, considering the properties of the mixture and the characteristics of the substances.")</f>
        <v>Analyze the factors that determine the appropriateness of using more than one method of separation, considering the properties of the mixture and the characteristics of the substances.</v>
      </c>
      <c r="Q30" s="10" t="str">
        <f t="shared" si="4"/>
        <v>LU005297.005</v>
      </c>
      <c r="R30" s="10" t="str">
        <f ca="1">IFERROR(__xludf.DUMMYFUNCTION("VLOOKUP(Q30, IMPORTRANGE(""https://docs.google.com/spreadsheets/d/1yDAaXNsi4Mr5FtRQL4tbmSdIzhx6_m4wkOD7IG-k_eo/edit#gid=1336395716"", ""Science!M:N""), 2, FALSE)"),"Evaluate the advantages and limitations of employing a combination of separation methods, comparing the efficiency of multiple methods with single methods.")</f>
        <v>Evaluate the advantages and limitations of employing a combination of separation methods, comparing the efficiency of multiple methods with single methods.</v>
      </c>
      <c r="S30" s="10" t="str">
        <f t="shared" si="5"/>
        <v>LU005297.006</v>
      </c>
      <c r="T30" s="10" t="str">
        <f ca="1">IFERROR(__xludf.DUMMYFUNCTION("VLOOKUP(S30, IMPORTRANGE(""https://docs.google.com/spreadsheets/d/1yDAaXNsi4Mr5FtRQL4tbmSdIzhx6_m4wkOD7IG-k_eo/edit#gid=1336395716"", ""Science!M:N""), 2, FALSE)"),"Devise a complex mixture scenario and propose a comprehensive strategy that combines several separation methods to achieve complete separation. Justify your choice based on the properties of the mixture and the principles of the methods.")</f>
        <v>Devise a complex mixture scenario and propose a comprehensive strategy that combines several separation methods to achieve complete separation. Justify your choice based on the properties of the mixture and the principles of the methods.</v>
      </c>
      <c r="U30" s="11">
        <f ca="1">IFERROR(__xludf.DUMMYFUNCTION("ArrayFormula(VLOOKUP(G30, IMPORTRANGE(""https://docs.google.com/spreadsheets/d/1p7R4vtkWt5VOBim4ltsDG9KTzSjrtKXsMtQGXPHyND0/edit#gid=795171502"", ""'Filter 30_05_2024'!A1:M2000""), {2, 3, 4, 5,6,7,8,9,10,11,12,13}, 0))"),4)</f>
        <v>4</v>
      </c>
      <c r="V30" s="11">
        <f ca="1">IFERROR(__xludf.DUMMYFUNCTION("""COMPUTED_VALUE"""),30)</f>
        <v>30</v>
      </c>
      <c r="W30" s="11">
        <f ca="1">IFERROR(__xludf.DUMMYFUNCTION("""COMPUTED_VALUE"""),2)</f>
        <v>2</v>
      </c>
      <c r="X30" s="11">
        <f ca="1">IFERROR(__xludf.DUMMYFUNCTION("""COMPUTED_VALUE"""),36)</f>
        <v>36</v>
      </c>
      <c r="Y30" s="11">
        <f ca="1">IFERROR(__xludf.DUMMYFUNCTION("""COMPUTED_VALUE"""),5)</f>
        <v>5</v>
      </c>
      <c r="Z30" s="12">
        <f ca="1">IFERROR(__xludf.DUMMYFUNCTION("""COMPUTED_VALUE"""),10)</f>
        <v>10</v>
      </c>
      <c r="AA30" s="12">
        <f ca="1">IFERROR(__xludf.DUMMYFUNCTION("""COMPUTED_VALUE"""),1)</f>
        <v>1</v>
      </c>
      <c r="AB30" s="12">
        <f ca="1">IFERROR(__xludf.DUMMYFUNCTION("""COMPUTED_VALUE"""),16)</f>
        <v>16</v>
      </c>
      <c r="AC30" s="12"/>
      <c r="AD30" s="12"/>
      <c r="AE30" s="12"/>
      <c r="AF30" s="12"/>
      <c r="AG30" s="13" t="str">
        <f ca="1">IFERROR(__xludf.DUMMYFUNCTION("ArrayFormula(VLOOKUP(G30, IMPORTRANGE(""https://docs.google.com/spreadsheets/d/1Co934fvtviyaRiMsrIlT05Jaq7iiYq07aLvRr35KA48/edit?gid=173865642#gid=173865642"", ""'G6_Sci Cur_Pri_LU'!G2:V2000""), {3, 4, 5, 6, 7, 8, 9, 10, 11, 12, 13, 14, 15, 16}, 0))"),"LU005295")</f>
        <v>LU005295</v>
      </c>
      <c r="AH30" s="13" t="str">
        <f ca="1">IFERROR(__xludf.DUMMYFUNCTION("""COMPUTED_VALUE"""),"Sedimentation, decantation and filtration")</f>
        <v>Sedimentation, decantation and filtration</v>
      </c>
      <c r="AI30" s="13" t="str">
        <f ca="1">IFERROR(__xludf.DUMMYFUNCTION("""COMPUTED_VALUE"""),"LU005296")</f>
        <v>LU005296</v>
      </c>
      <c r="AJ30" s="13" t="str">
        <f ca="1">IFERROR(__xludf.DUMMYFUNCTION("""COMPUTED_VALUE"""),"Evaporation and condensation as the methods of separation")</f>
        <v>Evaporation and condensation as the methods of separation</v>
      </c>
      <c r="AK30" s="13" t="str">
        <f ca="1">IFERROR(__xludf.DUMMYFUNCTION("""COMPUTED_VALUE"""),"LU005293")</f>
        <v>LU005293</v>
      </c>
      <c r="AL30" s="13" t="str">
        <f ca="1">IFERROR(__xludf.DUMMYFUNCTION("""COMPUTED_VALUE"""),"Purpose for the separation of substances")</f>
        <v>Purpose for the separation of substances</v>
      </c>
      <c r="AM30" s="13"/>
      <c r="AN30" s="13"/>
      <c r="AO30" s="13"/>
      <c r="AP30" s="13"/>
      <c r="AQ30" s="13"/>
      <c r="AR30" s="13"/>
      <c r="AS30" s="13"/>
      <c r="AT30" s="13"/>
    </row>
    <row r="31" spans="1:46">
      <c r="A31" s="8" t="s">
        <v>1405</v>
      </c>
      <c r="B31" s="8" t="s">
        <v>47</v>
      </c>
      <c r="C31" s="8" t="s">
        <v>48</v>
      </c>
      <c r="D31" s="8" t="s">
        <v>1406</v>
      </c>
      <c r="E31" s="8" t="s">
        <v>1483</v>
      </c>
      <c r="F31" s="8" t="s">
        <v>1484</v>
      </c>
      <c r="G31" s="8" t="s">
        <v>1485</v>
      </c>
      <c r="H31" s="8" t="s">
        <v>1486</v>
      </c>
      <c r="I31" s="10" t="str">
        <f t="shared" si="0"/>
        <v>LU006410.001</v>
      </c>
      <c r="J31" s="10" t="str">
        <f ca="1">IFERROR(__xludf.DUMMYFUNCTION("VLOOKUP(I31, IMPORTRANGE(""https://docs.google.com/spreadsheets/d/1yDAaXNsi4Mr5FtRQL4tbmSdIzhx6_m4wkOD7IG-k_eo/edit#gid=1336395716"", ""Science!M:N""), 2, FALSE)"),"Recall the local names and basic characteristics of common plants and  animals, and their habitats.")</f>
        <v>Recall the local names and basic characteristics of common plants and  animals, and their habitats.</v>
      </c>
      <c r="K31" s="10" t="str">
        <f t="shared" si="1"/>
        <v>LU006410.002</v>
      </c>
      <c r="L31" s="10" t="str">
        <f ca="1">IFERROR(__xludf.DUMMYFUNCTION("VLOOKUP(K31, IMPORTRANGE(""https://docs.google.com/spreadsheets/d/1yDAaXNsi4Mr5FtRQL4tbmSdIzhx6_m4wkOD7IG-k_eo/edit#gid=1336395716"", ""Science!M:N""), 2, FALSE)"),"Describe the arrangement and type of leaves in different plants as well as explain the relationship between an animal’s habitat and its food and movement patterns.")</f>
        <v>Describe the arrangement and type of leaves in different plants as well as explain the relationship between an animal’s habitat and its food and movement patterns.</v>
      </c>
      <c r="M31" s="10" t="str">
        <f t="shared" si="2"/>
        <v>LU006410.003</v>
      </c>
      <c r="N31" s="10" t="str">
        <f ca="1">IFERROR(__xludf.DUMMYFUNCTION("VLOOKUP(M31, IMPORTRANGE(""https://docs.google.com/spreadsheets/d/1yDAaXNsi4Mr5FtRQL4tbmSdIzhx6_m4wkOD7IG-k_eo/edit#gid=1336395716"", ""Science!M:N""), 2, FALSE)"),"Classify various plants based on their stem characteristics and the arrangement of leaves, and group animals based on their habitat while describing their movement and feeding habits.")</f>
        <v>Classify various plants based on their stem characteristics and the arrangement of leaves, and group animals based on their habitat while describing their movement and feeding habits.</v>
      </c>
      <c r="O31" s="10" t="str">
        <f t="shared" si="3"/>
        <v>LU006410.004</v>
      </c>
      <c r="P31" s="10" t="str">
        <f ca="1">IFERROR(__xludf.DUMMYFUNCTION("VLOOKUP(O31, IMPORTRANGE(""https://docs.google.com/spreadsheets/d/1yDAaXNsi4Mr5FtRQL4tbmSdIzhx6_m4wkOD7IG-k_eo/edit#gid=1336395716"", ""Science!M:N""), 2, FALSE)"),"Compare the characteristics of different plants to determine patterns and differences in their structure and growth, and analyze the feeding habits of different animals in relation to their habitat and movement.")</f>
        <v>Compare the characteristics of different plants to determine patterns and differences in their structure and growth, and analyze the feeding habits of different animals in relation to their habitat and movement.</v>
      </c>
      <c r="Q31" s="10" t="str">
        <f t="shared" si="4"/>
        <v>LU006410.005</v>
      </c>
      <c r="R31" s="10" t="str">
        <f ca="1">IFERROR(__xludf.DUMMYFUNCTION("VLOOKUP(Q31, IMPORTRANGE(""https://docs.google.com/spreadsheets/d/1yDAaXNsi4Mr5FtRQL4tbmSdIzhx6_m4wkOD7IG-k_eo/edit#gid=1336395716"", ""Science!M:N""), 2, FALSE)"),"Assess the significance of specific plant features (like leaf arrangement or stem type) in their adaptation to the environment, and evaluate the impact of habitat changes on the food sources and movement patterns of the animals observed.")</f>
        <v>Assess the significance of specific plant features (like leaf arrangement or stem type) in their adaptation to the environment, and evaluate the impact of habitat changes on the food sources and movement patterns of the animals observed.</v>
      </c>
      <c r="S31" s="10" t="str">
        <f t="shared" si="5"/>
        <v>LU006410.006</v>
      </c>
      <c r="T31" s="10" t="str">
        <f ca="1">IFERROR(__xludf.DUMMYFUNCTION("VLOOKUP(S31, IMPORTRANGE(""https://docs.google.com/spreadsheets/d/1yDAaXNsi4Mr5FtRQL4tbmSdIzhx6_m4wkOD7IG-k_eo/edit#gid=1336395716"", ""Science!M:N""), 2, FALSE)"),"Design a detailed observation table for recording and categorizing plants and animals based on their physical features, habitats, food, and movement patterns, along with any unique features observed in the local environment.")</f>
        <v>Design a detailed observation table for recording and categorizing plants and animals based on their physical features, habitats, food, and movement patterns, along with any unique features observed in the local environment.</v>
      </c>
      <c r="U31" s="11">
        <f ca="1">IFERROR(__xludf.DUMMYFUNCTION("ArrayFormula(VLOOKUP(G31, IMPORTRANGE(""https://docs.google.com/spreadsheets/d/1p7R4vtkWt5VOBim4ltsDG9KTzSjrtKXsMtQGXPHyND0/edit#gid=795171502"", ""'Filter 30_05_2024'!A1:M2000""), {2, 3, 4, 5,6,7,8,9,10,11,12,13}, 0))"),4)</f>
        <v>4</v>
      </c>
      <c r="V31" s="11">
        <f ca="1">IFERROR(__xludf.DUMMYFUNCTION("""COMPUTED_VALUE"""),5)</f>
        <v>5</v>
      </c>
      <c r="W31" s="11">
        <f ca="1">IFERROR(__xludf.DUMMYFUNCTION("""COMPUTED_VALUE"""),2)</f>
        <v>2</v>
      </c>
      <c r="X31" s="11">
        <f ca="1">IFERROR(__xludf.DUMMYFUNCTION("""COMPUTED_VALUE"""),11)</f>
        <v>11</v>
      </c>
      <c r="Y31" s="11">
        <f ca="1">IFERROR(__xludf.DUMMYFUNCTION("""COMPUTED_VALUE"""),4)</f>
        <v>4</v>
      </c>
      <c r="Z31" s="12">
        <f ca="1">IFERROR(__xludf.DUMMYFUNCTION("""COMPUTED_VALUE"""),4)</f>
        <v>4</v>
      </c>
      <c r="AA31" s="12">
        <f ca="1">IFERROR(__xludf.DUMMYFUNCTION("""COMPUTED_VALUE"""),1)</f>
        <v>1</v>
      </c>
      <c r="AB31" s="12">
        <f ca="1">IFERROR(__xludf.DUMMYFUNCTION("""COMPUTED_VALUE"""),9)</f>
        <v>9</v>
      </c>
      <c r="AC31" s="12"/>
      <c r="AD31" s="12"/>
      <c r="AE31" s="12"/>
      <c r="AF31" s="12"/>
      <c r="AG31" s="13" t="str">
        <f ca="1">IFERROR(__xludf.DUMMYFUNCTION("ArrayFormula(VLOOKUP(G31, IMPORTRANGE(""https://docs.google.com/spreadsheets/d/1Co934fvtviyaRiMsrIlT05Jaq7iiYq07aLvRr35KA48/edit?gid=173865642#gid=173865642"", ""'G6_Sci Cur_Pri_LU'!G2:V2000""), {3, 4, 5, 6, 7, 8, 9, 10, 11, 12, 13, 14, 15, 16}, 0))"),"LU005237")</f>
        <v>LU005237</v>
      </c>
      <c r="AH31" s="13" t="str">
        <f ca="1">IFERROR(__xludf.DUMMYFUNCTION("""COMPUTED_VALUE"""),"Parts of a typical plant")</f>
        <v>Parts of a typical plant</v>
      </c>
      <c r="AI31" s="13"/>
      <c r="AJ31" s="13"/>
      <c r="AK31" s="13"/>
      <c r="AL31" s="13"/>
      <c r="AM31" s="13"/>
      <c r="AN31" s="13"/>
      <c r="AO31" s="13"/>
      <c r="AP31" s="13"/>
      <c r="AQ31" s="13"/>
      <c r="AR31" s="13"/>
      <c r="AS31" s="13"/>
      <c r="AT31" s="13"/>
    </row>
    <row r="32" spans="1:46">
      <c r="A32" s="8" t="s">
        <v>1405</v>
      </c>
      <c r="B32" s="8" t="s">
        <v>47</v>
      </c>
      <c r="C32" s="8" t="s">
        <v>48</v>
      </c>
      <c r="D32" s="8" t="s">
        <v>1406</v>
      </c>
      <c r="E32" s="8" t="s">
        <v>1483</v>
      </c>
      <c r="F32" s="8" t="s">
        <v>1484</v>
      </c>
      <c r="G32" s="8" t="s">
        <v>1487</v>
      </c>
      <c r="H32" s="8" t="s">
        <v>1488</v>
      </c>
      <c r="I32" s="10" t="str">
        <f t="shared" si="0"/>
        <v>LU006411.001</v>
      </c>
      <c r="J32" s="10" t="str">
        <f ca="1">IFERROR(__xludf.DUMMYFUNCTION("VLOOKUP(I32, IMPORTRANGE(""https://docs.google.com/spreadsheets/d/1yDAaXNsi4Mr5FtRQL4tbmSdIzhx6_m4wkOD7IG-k_eo/edit#gid=1336395716"", ""Science!M:N""), 2, FALSE)"),"Recall the different criteria used for grouping plants and animals (e.g., presence of flowers, stem type, eating habits, habitat).")</f>
        <v>Recall the different criteria used for grouping plants and animals (e.g., presence of flowers, stem type, eating habits, habitat).</v>
      </c>
      <c r="K32" s="10" t="str">
        <f t="shared" si="1"/>
        <v>LU006411.002</v>
      </c>
      <c r="L32" s="10" t="str">
        <f ca="1">IFERROR(__xludf.DUMMYFUNCTION("VLOOKUP(K32, IMPORTRANGE(""https://docs.google.com/spreadsheets/d/1yDAaXNsi4Mr5FtRQL4tbmSdIzhx6_m4wkOD7IG-k_eo/edit#gid=1336395716"", ""Science!M:N""), 2, FALSE)"),"Explain why specific criteria are chosen to group plants and animals, and how these groupings help in understanding their characteristics.")</f>
        <v>Explain why specific criteria are chosen to group plants and animals, and how these groupings help in understanding their characteristics.</v>
      </c>
      <c r="M32" s="10" t="str">
        <f t="shared" si="2"/>
        <v>LU006411.003</v>
      </c>
      <c r="N32" s="10" t="str">
        <f ca="1">IFERROR(__xludf.DUMMYFUNCTION("VLOOKUP(M32, IMPORTRANGE(""https://docs.google.com/spreadsheets/d/1yDAaXNsi4Mr5FtRQL4tbmSdIzhx6_m4wkOD7IG-k_eo/edit#gid=1336395716"", ""Science!M:N""), 2, FALSE)"),"Classify various plants and animals into groups based on the criteria such as stem type, eating habits, and habitat.")</f>
        <v>Classify various plants and animals into groups based on the criteria such as stem type, eating habits, and habitat.</v>
      </c>
      <c r="O32" s="10" t="str">
        <f t="shared" si="3"/>
        <v>LU006411.004</v>
      </c>
      <c r="P32" s="10" t="str">
        <f ca="1">IFERROR(__xludf.DUMMYFUNCTION("VLOOKUP(O32, IMPORTRANGE(""https://docs.google.com/spreadsheets/d/1yDAaXNsi4Mr5FtRQL4tbmSdIzhx6_m4wkOD7IG-k_eo/edit#gid=1336395716"", ""Science!M:N""), 2, FALSE)"),"Compare different grouping criteria to determine how they highlight similarities and differences among plants and animals.")</f>
        <v>Compare different grouping criteria to determine how they highlight similarities and differences among plants and animals.</v>
      </c>
      <c r="Q32" s="10" t="str">
        <f t="shared" si="4"/>
        <v>LU006411.005</v>
      </c>
      <c r="R32" s="10" t="str">
        <f ca="1">IFERROR(__xludf.DUMMYFUNCTION("VLOOKUP(Q32, IMPORTRANGE(""https://docs.google.com/spreadsheets/d/1yDAaXNsi4Mr5FtRQL4tbmSdIzhx6_m4wkOD7IG-k_eo/edit#gid=1336395716"", ""Science!M:N""), 2, FALSE)"),"Assess the effectiveness of different grouping criteria in making it easier to study and understand the diversity of plants and animals.")</f>
        <v>Assess the effectiveness of different grouping criteria in making it easier to study and understand the diversity of plants and animals.</v>
      </c>
      <c r="S32" s="10" t="str">
        <f t="shared" si="5"/>
        <v>LU006411.006</v>
      </c>
      <c r="T32" s="10" t="str">
        <f ca="1">IFERROR(__xludf.DUMMYFUNCTION("VLOOKUP(S32, IMPORTRANGE(""https://docs.google.com/spreadsheets/d/1yDAaXNsi4Mr5FtRQL4tbmSdIzhx6_m4wkOD7IG-k_eo/edit#gid=1336395716"", ""Science!M:N""), 2, FALSE)"),"Design a new grouping system for plants and animals in your local environment based on observed features and discuss its advantages.")</f>
        <v>Design a new grouping system for plants and animals in your local environment based on observed features and discuss its advantages.</v>
      </c>
      <c r="U32" s="11">
        <f ca="1">IFERROR(__xludf.DUMMYFUNCTION("ArrayFormula(VLOOKUP(G32, IMPORTRANGE(""https://docs.google.com/spreadsheets/d/1p7R4vtkWt5VOBim4ltsDG9KTzSjrtKXsMtQGXPHyND0/edit#gid=795171502"", ""'Filter 30_05_2024'!A1:M2000""), {2, 3, 4, 5,6,7,8,9,10,11,12,13}, 0))"),4)</f>
        <v>4</v>
      </c>
      <c r="V32" s="11">
        <f ca="1">IFERROR(__xludf.DUMMYFUNCTION("""COMPUTED_VALUE"""),6)</f>
        <v>6</v>
      </c>
      <c r="W32" s="11">
        <f ca="1">IFERROR(__xludf.DUMMYFUNCTION("""COMPUTED_VALUE"""),2)</f>
        <v>2</v>
      </c>
      <c r="X32" s="11">
        <f ca="1">IFERROR(__xludf.DUMMYFUNCTION("""COMPUTED_VALUE"""),12)</f>
        <v>12</v>
      </c>
      <c r="Y32" s="11">
        <f ca="1">IFERROR(__xludf.DUMMYFUNCTION("""COMPUTED_VALUE"""),4)</f>
        <v>4</v>
      </c>
      <c r="Z32" s="12">
        <f ca="1">IFERROR(__xludf.DUMMYFUNCTION("""COMPUTED_VALUE"""),3)</f>
        <v>3</v>
      </c>
      <c r="AA32" s="12">
        <f ca="1">IFERROR(__xludf.DUMMYFUNCTION("""COMPUTED_VALUE"""),1)</f>
        <v>1</v>
      </c>
      <c r="AB32" s="12">
        <f ca="1">IFERROR(__xludf.DUMMYFUNCTION("""COMPUTED_VALUE"""),8)</f>
        <v>8</v>
      </c>
      <c r="AC32" s="12"/>
      <c r="AD32" s="12"/>
      <c r="AE32" s="12"/>
      <c r="AF32" s="12"/>
      <c r="AG32" s="13" t="str">
        <f ca="1">IFERROR(__xludf.DUMMYFUNCTION("ArrayFormula(VLOOKUP(G32, IMPORTRANGE(""https://docs.google.com/spreadsheets/d/1Co934fvtviyaRiMsrIlT05Jaq7iiYq07aLvRr35KA48/edit?gid=173865642#gid=173865642"", ""'G6_Sci Cur_Pri_LU'!G2:V2000""), {3, 4, 5, 6, 7, 8, 9, 10, 11, 12, 13, 14, 15, 16}, 0))"),"LU005237")</f>
        <v>LU005237</v>
      </c>
      <c r="AH32" s="13" t="str">
        <f ca="1">IFERROR(__xludf.DUMMYFUNCTION("""COMPUTED_VALUE"""),"Parts of a typical plant")</f>
        <v>Parts of a typical plant</v>
      </c>
      <c r="AI32" s="13" t="str">
        <f ca="1">IFERROR(__xludf.DUMMYFUNCTION("""COMPUTED_VALUE"""),"LU005963")</f>
        <v>LU005963</v>
      </c>
      <c r="AJ32" s="13" t="str">
        <f ca="1">IFERROR(__xludf.DUMMYFUNCTION("""COMPUTED_VALUE"""),"Food habits of various animals")</f>
        <v>Food habits of various animals</v>
      </c>
      <c r="AK32" s="13"/>
      <c r="AL32" s="13"/>
      <c r="AM32" s="13"/>
      <c r="AN32" s="13"/>
      <c r="AO32" s="13"/>
      <c r="AP32" s="13"/>
      <c r="AQ32" s="13"/>
      <c r="AR32" s="13"/>
      <c r="AS32" s="13"/>
      <c r="AT32" s="13"/>
    </row>
    <row r="33" spans="1:46">
      <c r="A33" s="8" t="s">
        <v>1405</v>
      </c>
      <c r="B33" s="8" t="s">
        <v>47</v>
      </c>
      <c r="C33" s="8" t="s">
        <v>48</v>
      </c>
      <c r="D33" s="8" t="s">
        <v>1406</v>
      </c>
      <c r="E33" s="8" t="s">
        <v>1483</v>
      </c>
      <c r="F33" s="8" t="s">
        <v>1489</v>
      </c>
      <c r="G33" s="106" t="s">
        <v>1490</v>
      </c>
      <c r="H33" s="8" t="s">
        <v>1491</v>
      </c>
      <c r="I33" s="10" t="str">
        <f t="shared" si="0"/>
        <v>LU005238.001</v>
      </c>
      <c r="J33" s="10" t="str">
        <f ca="1">IFERROR(__xludf.DUMMYFUNCTION("VLOOKUP(I33, IMPORTRANGE(""https://docs.google.com/spreadsheets/d/1yDAaXNsi4Mr5FtRQL4tbmSdIzhx6_m4wkOD7IG-k_eo/edit#gid=1336395716"", ""Science!M:N""), 2, FALSE)"),"Students will list examples of herbs, shrubs, trees, and creepers and climbers.")</f>
        <v>Students will list examples of herbs, shrubs, trees, and creepers and climbers.</v>
      </c>
      <c r="K33" s="10" t="str">
        <f t="shared" si="1"/>
        <v>LU005238.002</v>
      </c>
      <c r="L33" s="10" t="str">
        <f ca="1">IFERROR(__xludf.DUMMYFUNCTION("VLOOKUP(K33, IMPORTRANGE(""https://docs.google.com/spreadsheets/d/1yDAaXNsi4Mr5FtRQL4tbmSdIzhx6_m4wkOD7IG-k_eo/edit#gid=1336395716"", ""Science!M:N""), 2, FALSE)"),"Students will explain the characteristics that distinguish herbs, shrubs, trees, and creepers and climbers.")</f>
        <v>Students will explain the characteristics that distinguish herbs, shrubs, trees, and creepers and climbers.</v>
      </c>
      <c r="M33" s="10" t="str">
        <f t="shared" si="2"/>
        <v>LU005238.003</v>
      </c>
      <c r="N33" s="10" t="str">
        <f ca="1">IFERROR(__xludf.DUMMYFUNCTION("VLOOKUP(M33, IMPORTRANGE(""https://docs.google.com/spreadsheets/d/1yDAaXNsi4Mr5FtRQL4tbmSdIzhx6_m4wkOD7IG-k_eo/edit#gid=1336395716"", ""Science!M:N""), 2, FALSE)"),"Students will classify a variety of local plants into the categories of herbs, shrubs, trees, and creepers and climbers.")</f>
        <v>Students will classify a variety of local plants into the categories of herbs, shrubs, trees, and creepers and climbers.</v>
      </c>
      <c r="O33" s="10" t="str">
        <f t="shared" si="3"/>
        <v>LU005238.004</v>
      </c>
      <c r="P33" s="10" t="str">
        <f ca="1">IFERROR(__xludf.DUMMYFUNCTION("VLOOKUP(O33, IMPORTRANGE(""https://docs.google.com/spreadsheets/d/1yDAaXNsi4Mr5FtRQL4tbmSdIzhx6_m4wkOD7IG-k_eo/edit#gid=1336395716"", ""Science!M:N""), 2, FALSE)"),"Students will compare and contrast the structural differences between herbs, shrubs, trees, and creepers and climbers.")</f>
        <v>Students will compare and contrast the structural differences between herbs, shrubs, trees, and creepers and climbers.</v>
      </c>
      <c r="Q33" s="10" t="str">
        <f t="shared" si="4"/>
        <v>LU005238.005</v>
      </c>
      <c r="R33" s="10" t="str">
        <f ca="1">IFERROR(__xludf.DUMMYFUNCTION("VLOOKUP(Q33, IMPORTRANGE(""https://docs.google.com/spreadsheets/d/1yDAaXNsi4Mr5FtRQL4tbmSdIzhx6_m4wkOD7IG-k_eo/edit#gid=1336395716"", ""Science!M:N""), 2, FALSE)"),"Students will assess the advantages and disadvantages of each plant category in a specific habitat.")</f>
        <v>Students will assess the advantages and disadvantages of each plant category in a specific habitat.</v>
      </c>
      <c r="S33" s="10" t="str">
        <f t="shared" si="5"/>
        <v>LU005238.006</v>
      </c>
      <c r="T33" s="10" t="str">
        <f ca="1">IFERROR(__xludf.DUMMYFUNCTION("VLOOKUP(S33, IMPORTRANGE(""https://docs.google.com/spreadsheets/d/1yDAaXNsi4Mr5FtRQL4tbmSdIzhx6_m4wkOD7IG-k_eo/edit#gid=1336395716"", ""Science!M:N""), 2, FALSE)"),"#N/A")</f>
        <v>#N/A</v>
      </c>
      <c r="U33" s="11">
        <f ca="1">IFERROR(__xludf.DUMMYFUNCTION("ArrayFormula(VLOOKUP(G33, IMPORTRANGE(""https://docs.google.com/spreadsheets/d/1p7R4vtkWt5VOBim4ltsDG9KTzSjrtKXsMtQGXPHyND0/edit#gid=795171502"", ""'Filter 30_05_2024'!A1:M2000""), {2, 3, 4, 5,6,7,8,9,10,11,12,13}, 0))"),19)</f>
        <v>19</v>
      </c>
      <c r="V33" s="11">
        <f ca="1">IFERROR(__xludf.DUMMYFUNCTION("""COMPUTED_VALUE"""),9)</f>
        <v>9</v>
      </c>
      <c r="W33" s="11">
        <f ca="1">IFERROR(__xludf.DUMMYFUNCTION("""COMPUTED_VALUE"""),11)</f>
        <v>11</v>
      </c>
      <c r="X33" s="11">
        <f ca="1">IFERROR(__xludf.DUMMYFUNCTION("""COMPUTED_VALUE"""),39)</f>
        <v>39</v>
      </c>
      <c r="Y33" s="11">
        <f ca="1">IFERROR(__xludf.DUMMYFUNCTION("""COMPUTED_VALUE"""),4)</f>
        <v>4</v>
      </c>
      <c r="Z33" s="12">
        <f ca="1">IFERROR(__xludf.DUMMYFUNCTION("""COMPUTED_VALUE"""),5)</f>
        <v>5</v>
      </c>
      <c r="AA33" s="12">
        <f ca="1">IFERROR(__xludf.DUMMYFUNCTION("""COMPUTED_VALUE"""),4)</f>
        <v>4</v>
      </c>
      <c r="AB33" s="12">
        <f ca="1">IFERROR(__xludf.DUMMYFUNCTION("""COMPUTED_VALUE"""),13)</f>
        <v>13</v>
      </c>
      <c r="AC33" s="12"/>
      <c r="AD33" s="12"/>
      <c r="AE33" s="12"/>
      <c r="AF33" s="12"/>
      <c r="AG33" s="13" t="str">
        <f ca="1">IFERROR(__xludf.DUMMYFUNCTION("ArrayFormula(VLOOKUP(G33, IMPORTRANGE(""https://docs.google.com/spreadsheets/d/1Co934fvtviyaRiMsrIlT05Jaq7iiYq07aLvRr35KA48/edit?gid=173865642#gid=173865642"", ""'G6_Sci Cur_Pri_LU'!G2:V2000""), {3, 4, 5, 6, 7, 8, 9, 10, 11, 12, 13, 14, 15, 16}, 0))"),"#N/A")</f>
        <v>#N/A</v>
      </c>
      <c r="AH33" s="13" t="str">
        <f ca="1">IFERROR(__xludf.DUMMYFUNCTION("""COMPUTED_VALUE"""),"#N/A")</f>
        <v>#N/A</v>
      </c>
      <c r="AI33" s="13" t="str">
        <f ca="1">IFERROR(__xludf.DUMMYFUNCTION("""COMPUTED_VALUE"""),"#N/A")</f>
        <v>#N/A</v>
      </c>
      <c r="AJ33" s="13" t="str">
        <f ca="1">IFERROR(__xludf.DUMMYFUNCTION("""COMPUTED_VALUE"""),"#N/A")</f>
        <v>#N/A</v>
      </c>
      <c r="AK33" s="13" t="str">
        <f ca="1">IFERROR(__xludf.DUMMYFUNCTION("""COMPUTED_VALUE"""),"#N/A")</f>
        <v>#N/A</v>
      </c>
      <c r="AL33" s="13" t="str">
        <f ca="1">IFERROR(__xludf.DUMMYFUNCTION("""COMPUTED_VALUE"""),"#N/A")</f>
        <v>#N/A</v>
      </c>
      <c r="AM33" s="13" t="str">
        <f ca="1">IFERROR(__xludf.DUMMYFUNCTION("""COMPUTED_VALUE"""),"#N/A")</f>
        <v>#N/A</v>
      </c>
      <c r="AN33" s="13" t="str">
        <f ca="1">IFERROR(__xludf.DUMMYFUNCTION("""COMPUTED_VALUE"""),"#N/A")</f>
        <v>#N/A</v>
      </c>
      <c r="AO33" s="13" t="str">
        <f ca="1">IFERROR(__xludf.DUMMYFUNCTION("""COMPUTED_VALUE"""),"#N/A")</f>
        <v>#N/A</v>
      </c>
      <c r="AP33" s="13" t="str">
        <f ca="1">IFERROR(__xludf.DUMMYFUNCTION("""COMPUTED_VALUE"""),"#N/A")</f>
        <v>#N/A</v>
      </c>
      <c r="AQ33" s="13" t="str">
        <f ca="1">IFERROR(__xludf.DUMMYFUNCTION("""COMPUTED_VALUE"""),"#N/A")</f>
        <v>#N/A</v>
      </c>
      <c r="AR33" s="13" t="str">
        <f ca="1">IFERROR(__xludf.DUMMYFUNCTION("""COMPUTED_VALUE"""),"#N/A")</f>
        <v>#N/A</v>
      </c>
      <c r="AS33" s="13" t="str">
        <f ca="1">IFERROR(__xludf.DUMMYFUNCTION("""COMPUTED_VALUE"""),"#N/A")</f>
        <v>#N/A</v>
      </c>
      <c r="AT33" s="13" t="str">
        <f ca="1">IFERROR(__xludf.DUMMYFUNCTION("""COMPUTED_VALUE"""),"#N/A")</f>
        <v>#N/A</v>
      </c>
    </row>
    <row r="34" spans="1:46">
      <c r="A34" s="8" t="s">
        <v>1405</v>
      </c>
      <c r="B34" s="8" t="s">
        <v>47</v>
      </c>
      <c r="C34" s="8" t="s">
        <v>48</v>
      </c>
      <c r="D34" s="8" t="s">
        <v>1406</v>
      </c>
      <c r="E34" s="8" t="s">
        <v>1483</v>
      </c>
      <c r="F34" s="8" t="s">
        <v>1492</v>
      </c>
      <c r="G34" s="106" t="s">
        <v>1493</v>
      </c>
      <c r="H34" s="8" t="s">
        <v>1494</v>
      </c>
      <c r="I34" s="10" t="str">
        <f t="shared" si="0"/>
        <v>LU005943.001</v>
      </c>
      <c r="J34" s="10" t="str">
        <f ca="1">IFERROR(__xludf.DUMMYFUNCTION("VLOOKUP(I34, IMPORTRANGE(""https://docs.google.com/spreadsheets/d/1yDAaXNsi4Mr5FtRQL4tbmSdIzhx6_m4wkOD7IG-k_eo/edit#gid=1336395716"", ""Science!M:N""), 2, FALSE)"),"Identify/Recall the key parts of a leaf and different venation patterns found in plant leaves.")</f>
        <v>Identify/Recall the key parts of a leaf and different venation patterns found in plant leaves.</v>
      </c>
      <c r="K34" s="10" t="str">
        <f t="shared" si="1"/>
        <v>LU005943.002</v>
      </c>
      <c r="L34" s="10" t="str">
        <f ca="1">IFERROR(__xludf.DUMMYFUNCTION("VLOOKUP(K34, IMPORTRANGE(""https://docs.google.com/spreadsheets/d/1yDAaXNsi4Mr5FtRQL4tbmSdIzhx6_m4wkOD7IG-k_eo/edit#gid=1336395716"", ""Science!M:N""), 2, FALSE)"),"Identify the key parts of a leaf and describe the different venation patterns found in plant leaves.")</f>
        <v>Identify the key parts of a leaf and describe the different venation patterns found in plant leaves.</v>
      </c>
      <c r="M34" s="10" t="str">
        <f t="shared" si="2"/>
        <v>LU005943.003</v>
      </c>
      <c r="N34" s="10" t="str">
        <f ca="1">IFERROR(__xludf.DUMMYFUNCTION("VLOOKUP(M34, IMPORTRANGE(""https://docs.google.com/spreadsheets/d/1yDAaXNsi4Mr5FtRQL4tbmSdIzhx6_m4wkOD7IG-k_eo/edit#gid=1336395716"", ""Science!M:N""), 2, FALSE)"),"Apply knowledge of leaf structure to determine the health of a plant in a given environment.")</f>
        <v>Apply knowledge of leaf structure to determine the health of a plant in a given environment.</v>
      </c>
      <c r="O34" s="10" t="str">
        <f t="shared" si="3"/>
        <v>LU005943.004</v>
      </c>
      <c r="P34" s="10" t="str">
        <f ca="1">IFERROR(__xludf.DUMMYFUNCTION("VLOOKUP(O34, IMPORTRANGE(""https://docs.google.com/spreadsheets/d/1yDAaXNsi4Mr5FtRQL4tbmSdIzhx6_m4wkOD7IG-k_eo/edit#gid=1336395716"", ""Science!M:N""), 2, FALSE)"),"#N/A")</f>
        <v>#N/A</v>
      </c>
      <c r="Q34" s="10" t="str">
        <f t="shared" si="4"/>
        <v>LU005943.005</v>
      </c>
      <c r="R34" s="10" t="str">
        <f ca="1">IFERROR(__xludf.DUMMYFUNCTION("VLOOKUP(Q34, IMPORTRANGE(""https://docs.google.com/spreadsheets/d/1yDAaXNsi4Mr5FtRQL4tbmSdIzhx6_m4wkOD7IG-k_eo/edit#gid=1336395716"", ""Science!M:N""), 2, FALSE)"),"#N/A")</f>
        <v>#N/A</v>
      </c>
      <c r="S34" s="10" t="str">
        <f t="shared" si="5"/>
        <v>LU005943.006</v>
      </c>
      <c r="T34" s="10" t="str">
        <f ca="1">IFERROR(__xludf.DUMMYFUNCTION("VLOOKUP(S34, IMPORTRANGE(""https://docs.google.com/spreadsheets/d/1yDAaXNsi4Mr5FtRQL4tbmSdIzhx6_m4wkOD7IG-k_eo/edit#gid=1336395716"", ""Science!M:N""), 2, FALSE)"),"#N/A")</f>
        <v>#N/A</v>
      </c>
      <c r="U34" s="11">
        <f ca="1">IFERROR(__xludf.DUMMYFUNCTION("ArrayFormula(VLOOKUP(G34, IMPORTRANGE(""https://docs.google.com/spreadsheets/d/1p7R4vtkWt5VOBim4ltsDG9KTzSjrtKXsMtQGXPHyND0/edit#gid=795171502"", ""'Filter 30_05_2024'!A1:M2000""), {2, 3, 4, 5,6,7,8,9,10,11,12,13}, 0))"),3)</f>
        <v>3</v>
      </c>
      <c r="V34" s="11">
        <f ca="1">IFERROR(__xludf.DUMMYFUNCTION("""COMPUTED_VALUE"""),5)</f>
        <v>5</v>
      </c>
      <c r="W34" s="11">
        <f ca="1">IFERROR(__xludf.DUMMYFUNCTION("""COMPUTED_VALUE"""),2)</f>
        <v>2</v>
      </c>
      <c r="X34" s="11">
        <f ca="1">IFERROR(__xludf.DUMMYFUNCTION("""COMPUTED_VALUE"""),10)</f>
        <v>10</v>
      </c>
      <c r="Y34" s="11">
        <f ca="1">IFERROR(__xludf.DUMMYFUNCTION("""COMPUTED_VALUE"""),5)</f>
        <v>5</v>
      </c>
      <c r="Z34" s="12">
        <f ca="1">IFERROR(__xludf.DUMMYFUNCTION("""COMPUTED_VALUE"""),4)</f>
        <v>4</v>
      </c>
      <c r="AA34" s="12">
        <f ca="1">IFERROR(__xludf.DUMMYFUNCTION("""COMPUTED_VALUE"""),1)</f>
        <v>1</v>
      </c>
      <c r="AB34" s="12">
        <f ca="1">IFERROR(__xludf.DUMMYFUNCTION("""COMPUTED_VALUE"""),10)</f>
        <v>10</v>
      </c>
      <c r="AC34" s="12"/>
      <c r="AD34" s="12"/>
      <c r="AE34" s="12"/>
      <c r="AF34" s="12"/>
      <c r="AG34" s="13" t="str">
        <f ca="1">IFERROR(__xludf.DUMMYFUNCTION("ArrayFormula(VLOOKUP(G34, IMPORTRANGE(""https://docs.google.com/spreadsheets/d/1Co934fvtviyaRiMsrIlT05Jaq7iiYq07aLvRr35KA48/edit?gid=173865642#gid=173865642"", ""'G6_Sci Cur_Pri_LU'!G2:V2000""), {3, 4, 5, 6, 7, 8, 9, 10, 11, 12, 13, 14, 15, 16}, 0))"),"LU005237")</f>
        <v>LU005237</v>
      </c>
      <c r="AH34" s="13" t="str">
        <f ca="1">IFERROR(__xludf.DUMMYFUNCTION("""COMPUTED_VALUE"""),"Parts of a typical plant")</f>
        <v>Parts of a typical plant</v>
      </c>
      <c r="AI34" s="13"/>
      <c r="AJ34" s="13"/>
      <c r="AK34" s="13"/>
      <c r="AL34" s="13"/>
      <c r="AM34" s="13"/>
      <c r="AN34" s="13"/>
      <c r="AO34" s="13"/>
      <c r="AP34" s="13"/>
      <c r="AQ34" s="13"/>
      <c r="AR34" s="13"/>
      <c r="AS34" s="13"/>
      <c r="AT34" s="13"/>
    </row>
    <row r="35" spans="1:46">
      <c r="A35" s="8" t="s">
        <v>1405</v>
      </c>
      <c r="B35" s="8" t="s">
        <v>47</v>
      </c>
      <c r="C35" s="8" t="s">
        <v>48</v>
      </c>
      <c r="D35" s="8" t="s">
        <v>1406</v>
      </c>
      <c r="E35" s="8" t="s">
        <v>1483</v>
      </c>
      <c r="F35" s="8" t="s">
        <v>1492</v>
      </c>
      <c r="G35" s="106" t="s">
        <v>1495</v>
      </c>
      <c r="H35" s="8" t="s">
        <v>1496</v>
      </c>
      <c r="I35" s="10" t="str">
        <f t="shared" si="0"/>
        <v>LU005947.001</v>
      </c>
      <c r="J35" s="10" t="str">
        <f ca="1">IFERROR(__xludf.DUMMYFUNCTION("VLOOKUP(I35, IMPORTRANGE(""https://docs.google.com/spreadsheets/d/1yDAaXNsi4Mr5FtRQL4tbmSdIzhx6_m4wkOD7IG-k_eo/edit#gid=1336395716"", ""Science!M:N""), 2, FALSE)"),"Recall and list the different types of plant roots.")</f>
        <v>Recall and list the different types of plant roots.</v>
      </c>
      <c r="K35" s="10" t="str">
        <f t="shared" si="1"/>
        <v>LU005947.002</v>
      </c>
      <c r="L35" s="10" t="str">
        <f ca="1">IFERROR(__xludf.DUMMYFUNCTION("VLOOKUP(K35, IMPORTRANGE(""https://docs.google.com/spreadsheets/d/1yDAaXNsi4Mr5FtRQL4tbmSdIzhx6_m4wkOD7IG-k_eo/edit#gid=1336395716"", ""Science!M:N""), 2, FALSE)"),"Differentiate between the structures of taproots and fibrous roots.")</f>
        <v>Differentiate between the structures of taproots and fibrous roots.</v>
      </c>
      <c r="M35" s="10" t="str">
        <f t="shared" si="2"/>
        <v>LU005947.003</v>
      </c>
      <c r="N35" s="10" t="str">
        <f ca="1">IFERROR(__xludf.DUMMYFUNCTION("VLOOKUP(M35, IMPORTRANGE(""https://docs.google.com/spreadsheets/d/1yDAaXNsi4Mr5FtRQL4tbmSdIzhx6_m4wkOD7IG-k_eo/edit#gid=1336395716"", ""Science!M:N""), 2, FALSE)"),"Apply knowledge of root types to categorize examples of plants.")</f>
        <v>Apply knowledge of root types to categorize examples of plants.</v>
      </c>
      <c r="O35" s="10" t="str">
        <f t="shared" si="3"/>
        <v>LU005947.004</v>
      </c>
      <c r="P35" s="10" t="str">
        <f ca="1">IFERROR(__xludf.DUMMYFUNCTION("VLOOKUP(O35, IMPORTRANGE(""https://docs.google.com/spreadsheets/d/1yDAaXNsi4Mr5FtRQL4tbmSdIzhx6_m4wkOD7IG-k_eo/edit#gid=1336395716"", ""Science!M:N""), 2, FALSE)"),"#N/A")</f>
        <v>#N/A</v>
      </c>
      <c r="Q35" s="10" t="str">
        <f t="shared" si="4"/>
        <v>LU005947.005</v>
      </c>
      <c r="R35" s="10" t="str">
        <f ca="1">IFERROR(__xludf.DUMMYFUNCTION("VLOOKUP(Q35, IMPORTRANGE(""https://docs.google.com/spreadsheets/d/1yDAaXNsi4Mr5FtRQL4tbmSdIzhx6_m4wkOD7IG-k_eo/edit#gid=1336395716"", ""Science!M:N""), 2, FALSE)"),"#N/A")</f>
        <v>#N/A</v>
      </c>
      <c r="S35" s="10" t="str">
        <f t="shared" si="5"/>
        <v>LU005947.006</v>
      </c>
      <c r="T35" s="10" t="str">
        <f ca="1">IFERROR(__xludf.DUMMYFUNCTION("VLOOKUP(S35, IMPORTRANGE(""https://docs.google.com/spreadsheets/d/1yDAaXNsi4Mr5FtRQL4tbmSdIzhx6_m4wkOD7IG-k_eo/edit#gid=1336395716"", ""Science!M:N""), 2, FALSE)"),"#N/A")</f>
        <v>#N/A</v>
      </c>
      <c r="U35" s="11">
        <f ca="1">IFERROR(__xludf.DUMMYFUNCTION("ArrayFormula(VLOOKUP(G35, IMPORTRANGE(""https://docs.google.com/spreadsheets/d/1p7R4vtkWt5VOBim4ltsDG9KTzSjrtKXsMtQGXPHyND0/edit#gid=795171502"", ""'Filter 30_05_2024'!A1:M2000""), {2, 3, 4, 5,6,7,8,9,10,11,12,13}, 0))"),21)</f>
        <v>21</v>
      </c>
      <c r="V35" s="11">
        <f ca="1">IFERROR(__xludf.DUMMYFUNCTION("""COMPUTED_VALUE"""),13)</f>
        <v>13</v>
      </c>
      <c r="W35" s="11">
        <f ca="1">IFERROR(__xludf.DUMMYFUNCTION("""COMPUTED_VALUE"""),2)</f>
        <v>2</v>
      </c>
      <c r="X35" s="11">
        <f ca="1">IFERROR(__xludf.DUMMYFUNCTION("""COMPUTED_VALUE"""),36)</f>
        <v>36</v>
      </c>
      <c r="Y35" s="11">
        <f ca="1">IFERROR(__xludf.DUMMYFUNCTION("""COMPUTED_VALUE"""),9)</f>
        <v>9</v>
      </c>
      <c r="Z35" s="12">
        <f ca="1">IFERROR(__xludf.DUMMYFUNCTION("""COMPUTED_VALUE"""),7)</f>
        <v>7</v>
      </c>
      <c r="AA35" s="12">
        <f ca="1">IFERROR(__xludf.DUMMYFUNCTION("""COMPUTED_VALUE"""),1)</f>
        <v>1</v>
      </c>
      <c r="AB35" s="12">
        <f ca="1">IFERROR(__xludf.DUMMYFUNCTION("""COMPUTED_VALUE"""),17)</f>
        <v>17</v>
      </c>
      <c r="AC35" s="12"/>
      <c r="AD35" s="12"/>
      <c r="AE35" s="12"/>
      <c r="AF35" s="12"/>
      <c r="AG35" s="13" t="str">
        <f ca="1">IFERROR(__xludf.DUMMYFUNCTION("ArrayFormula(VLOOKUP(G35, IMPORTRANGE(""https://docs.google.com/spreadsheets/d/1Co934fvtviyaRiMsrIlT05Jaq7iiYq07aLvRr35KA48/edit?gid=173865642#gid=173865642"", ""'G6_Sci Cur_Pri_LU'!G2:V2000""), {3, 4, 5, 6, 7, 8, 9, 10, 11, 12, 13, 14, 15, 16}, 0))"),"LU005237")</f>
        <v>LU005237</v>
      </c>
      <c r="AH35" s="13" t="str">
        <f ca="1">IFERROR(__xludf.DUMMYFUNCTION("""COMPUTED_VALUE"""),"Parts of a typical plant")</f>
        <v>Parts of a typical plant</v>
      </c>
      <c r="AI35" s="13"/>
      <c r="AJ35" s="13"/>
      <c r="AK35" s="13"/>
      <c r="AL35" s="13"/>
      <c r="AM35" s="13"/>
      <c r="AN35" s="13"/>
      <c r="AO35" s="13"/>
      <c r="AP35" s="13"/>
      <c r="AQ35" s="13"/>
      <c r="AR35" s="13"/>
      <c r="AS35" s="13"/>
      <c r="AT35" s="13"/>
    </row>
    <row r="36" spans="1:46">
      <c r="A36" s="8" t="s">
        <v>1405</v>
      </c>
      <c r="B36" s="8" t="s">
        <v>47</v>
      </c>
      <c r="C36" s="8" t="s">
        <v>48</v>
      </c>
      <c r="D36" s="8" t="s">
        <v>1406</v>
      </c>
      <c r="E36" s="8" t="s">
        <v>1483</v>
      </c>
      <c r="F36" s="8" t="s">
        <v>1497</v>
      </c>
      <c r="G36" s="8" t="s">
        <v>1498</v>
      </c>
      <c r="H36" s="8" t="s">
        <v>1499</v>
      </c>
      <c r="I36" s="10" t="str">
        <f t="shared" si="0"/>
        <v>LU006412.001</v>
      </c>
      <c r="J36" s="10" t="str">
        <f ca="1">IFERROR(__xludf.DUMMYFUNCTION("VLOOKUP(I36, IMPORTRANGE(""https://docs.google.com/spreadsheets/d/1yDAaXNsi4Mr5FtRQL4tbmSdIzhx6_m4wkOD7IG-k_eo/edit#gid=1336395716"", ""Science!M:N""), 2, FALSE)"),"Recall the definition of cotyledons and identify the two main types of seed classification: monocotyledons (monocots) and dicotyledons (dicots).")</f>
        <v>Recall the definition of cotyledons and identify the two main types of seed classification: monocotyledons (monocots) and dicotyledons (dicots).</v>
      </c>
      <c r="K36" s="10" t="str">
        <f t="shared" si="1"/>
        <v>LU006412.002</v>
      </c>
      <c r="L36" s="10" t="str">
        <f ca="1">IFERROR(__xludf.DUMMYFUNCTION("VLOOKUP(K36, IMPORTRANGE(""https://docs.google.com/spreadsheets/d/1yDAaXNsi4Mr5FtRQL4tbmSdIzhx6_m4wkOD7IG-k_eo/edit#gid=1336395716"", ""Science!M:N""), 2, FALSE)"),"Explain the difference between monocot and dicot seeds in terms of their cotyledon number and provide examples of each.")</f>
        <v>Explain the difference between monocot and dicot seeds in terms of their cotyledon number and provide examples of each.</v>
      </c>
      <c r="M36" s="10" t="str">
        <f t="shared" si="2"/>
        <v>LU006412.003</v>
      </c>
      <c r="N36" s="10" t="str">
        <f ca="1">IFERROR(__xludf.DUMMYFUNCTION("VLOOKUP(M36, IMPORTRANGE(""https://docs.google.com/spreadsheets/d/1yDAaXNsi4Mr5FtRQL4tbmSdIzhx6_m4wkOD7IG-k_eo/edit#gid=1336395716"", ""Science!M:N""), 2, FALSE)"),"Classify various plants into monocots and dicots based on the number of cotyledons observed in their seeds.")</f>
        <v>Classify various plants into monocots and dicots based on the number of cotyledons observed in their seeds.</v>
      </c>
      <c r="O36" s="10" t="str">
        <f t="shared" si="3"/>
        <v>LU006412.004</v>
      </c>
      <c r="P36" s="10" t="str">
        <f ca="1">IFERROR(__xludf.DUMMYFUNCTION("VLOOKUP(O36, IMPORTRANGE(""https://docs.google.com/spreadsheets/d/1yDAaXNsi4Mr5FtRQL4tbmSdIzhx6_m4wkOD7IG-k_eo/edit#gid=1336395716"", ""Science!M:N""), 2, FALSE)"),"Compare the physical characteristics (such as leaf venation, root systems) of monocots and dicots to understand their differences beyond seed structure.")</f>
        <v>Compare the physical characteristics (such as leaf venation, root systems) of monocots and dicots to understand their differences beyond seed structure.</v>
      </c>
      <c r="Q36" s="10" t="str">
        <f t="shared" si="4"/>
        <v>LU006412.005</v>
      </c>
      <c r="R36" s="10" t="str">
        <f ca="1">IFERROR(__xludf.DUMMYFUNCTION("VLOOKUP(Q36, IMPORTRANGE(""https://docs.google.com/spreadsheets/d/1yDAaXNsi4Mr5FtRQL4tbmSdIzhx6_m4wkOD7IG-k_eo/edit#gid=1336395716"", ""Science!M:N""), 2, FALSE)"),"Evaluate the importance of classifying plants based on cotyledons for understanding plant growth and development.")</f>
        <v>Evaluate the importance of classifying plants based on cotyledons for understanding plant growth and development.</v>
      </c>
      <c r="S36" s="10" t="str">
        <f t="shared" si="5"/>
        <v>LU006412.006</v>
      </c>
      <c r="T36" s="10" t="str">
        <f ca="1">IFERROR(__xludf.DUMMYFUNCTION("VLOOKUP(S36, IMPORTRANGE(""https://docs.google.com/spreadsheets/d/1yDAaXNsi4Mr5FtRQL4tbmSdIzhx6_m4wkOD7IG-k_eo/edit#gid=1336395716"", ""Science!M:N""), 2, FALSE)"),"Create a simple diagram or chart that illustrates the classification of local plants into monocots and dicots, highlighting their key features.")</f>
        <v>Create a simple diagram or chart that illustrates the classification of local plants into monocots and dicots, highlighting their key features.</v>
      </c>
      <c r="U36" s="11">
        <f ca="1">IFERROR(__xludf.DUMMYFUNCTION("ArrayFormula(VLOOKUP(G36, IMPORTRANGE(""https://docs.google.com/spreadsheets/d/1p7R4vtkWt5VOBim4ltsDG9KTzSjrtKXsMtQGXPHyND0/edit#gid=795171502"", ""'Filter 30_05_2024'!A1:M2000""), {2, 3, 4, 5,6,7,8,9,10,11,12,13}, 0))"),4)</f>
        <v>4</v>
      </c>
      <c r="V36" s="11">
        <f ca="1">IFERROR(__xludf.DUMMYFUNCTION("""COMPUTED_VALUE"""),6)</f>
        <v>6</v>
      </c>
      <c r="W36" s="11">
        <f ca="1">IFERROR(__xludf.DUMMYFUNCTION("""COMPUTED_VALUE"""),2)</f>
        <v>2</v>
      </c>
      <c r="X36" s="11">
        <f ca="1">IFERROR(__xludf.DUMMYFUNCTION("""COMPUTED_VALUE"""),12)</f>
        <v>12</v>
      </c>
      <c r="Y36" s="11">
        <f ca="1">IFERROR(__xludf.DUMMYFUNCTION("""COMPUTED_VALUE"""),4)</f>
        <v>4</v>
      </c>
      <c r="Z36" s="12">
        <f ca="1">IFERROR(__xludf.DUMMYFUNCTION("""COMPUTED_VALUE"""),3)</f>
        <v>3</v>
      </c>
      <c r="AA36" s="12">
        <f ca="1">IFERROR(__xludf.DUMMYFUNCTION("""COMPUTED_VALUE"""),1)</f>
        <v>1</v>
      </c>
      <c r="AB36" s="12">
        <f ca="1">IFERROR(__xludf.DUMMYFUNCTION("""COMPUTED_VALUE"""),8)</f>
        <v>8</v>
      </c>
      <c r="AC36" s="12"/>
      <c r="AD36" s="12"/>
      <c r="AE36" s="12"/>
      <c r="AF36" s="12"/>
      <c r="AG36" s="13" t="str">
        <f ca="1">IFERROR(__xludf.DUMMYFUNCTION("ArrayFormula(VLOOKUP(G36, IMPORTRANGE(""https://docs.google.com/spreadsheets/d/1Co934fvtviyaRiMsrIlT05Jaq7iiYq07aLvRr35KA48/edit?gid=173865642#gid=173865642"", ""'G6_Sci Cur_Pri_LU'!G2:V2000""), {3, 4, 5, 6, 7, 8, 9, 10, 11, 12, 13, 14, 15, 16}, 0))"),"LU005099")</f>
        <v>LU005099</v>
      </c>
      <c r="AH36" s="13" t="str">
        <f ca="1">IFERROR(__xludf.DUMMYFUNCTION("""COMPUTED_VALUE"""),"Structure of a Seed")</f>
        <v>Structure of a Seed</v>
      </c>
      <c r="AI36" s="13"/>
      <c r="AJ36" s="13"/>
      <c r="AK36" s="13"/>
      <c r="AL36" s="13"/>
      <c r="AM36" s="13"/>
      <c r="AN36" s="13"/>
      <c r="AO36" s="13"/>
      <c r="AP36" s="13"/>
      <c r="AQ36" s="13"/>
      <c r="AR36" s="13"/>
      <c r="AS36" s="13"/>
      <c r="AT36" s="13"/>
    </row>
    <row r="37" spans="1:46">
      <c r="A37" s="8" t="s">
        <v>1405</v>
      </c>
      <c r="B37" s="8" t="s">
        <v>47</v>
      </c>
      <c r="C37" s="8" t="s">
        <v>48</v>
      </c>
      <c r="D37" s="8" t="s">
        <v>1406</v>
      </c>
      <c r="E37" s="8" t="s">
        <v>1483</v>
      </c>
      <c r="F37" s="8" t="s">
        <v>1500</v>
      </c>
      <c r="G37" s="8" t="s">
        <v>1501</v>
      </c>
      <c r="H37" s="8" t="s">
        <v>1502</v>
      </c>
      <c r="I37" s="10" t="str">
        <f t="shared" si="0"/>
        <v>LU006413.001</v>
      </c>
      <c r="J37" s="10" t="str">
        <f ca="1">IFERROR(__xludf.DUMMYFUNCTION("VLOOKUP(I37, IMPORTRANGE(""https://docs.google.com/spreadsheets/d/1yDAaXNsi4Mr5FtRQL4tbmSdIzhx6_m4wkOD7IG-k_eo/edit#gid=1336395716"", ""Science!M:N""), 2, FALSE)"),"Recall examples of different types of movement observed in animals, such as walking, flying, swimming, and crawling.")</f>
        <v>Recall examples of different types of movement observed in animals, such as walking, flying, swimming, and crawling.</v>
      </c>
      <c r="K37" s="10" t="str">
        <f t="shared" si="1"/>
        <v>LU006413.002</v>
      </c>
      <c r="L37" s="10" t="str">
        <f ca="1">IFERROR(__xludf.DUMMYFUNCTION("VLOOKUP(K37, IMPORTRANGE(""https://docs.google.com/spreadsheets/d/1yDAaXNsi4Mr5FtRQL4tbmSdIzhx6_m4wkOD7IG-k_eo/edit#gid=1336395716"", ""Science!M:N""), 2, FALSE)"),"Explain how specific body structures (e.g., wings, fins, legs) help animals move in their environment.")</f>
        <v>Explain how specific body structures (e.g., wings, fins, legs) help animals move in their environment.</v>
      </c>
      <c r="M37" s="10" t="str">
        <f t="shared" si="2"/>
        <v>LU006413.003</v>
      </c>
      <c r="N37" s="10" t="str">
        <f ca="1">IFERROR(__xludf.DUMMYFUNCTION("VLOOKUP(M37, IMPORTRANGE(""https://docs.google.com/spreadsheets/d/1yDAaXNsi4Mr5FtRQL4tbmSdIzhx6_m4wkOD7IG-k_eo/edit#gid=1336395716"", ""Science!M:N""), 2, FALSE)"),"Identify and classify animals based on their primary mode of movement.")</f>
        <v>Identify and classify animals based on their primary mode of movement.</v>
      </c>
      <c r="O37" s="10" t="str">
        <f t="shared" si="3"/>
        <v>LU006413.004</v>
      </c>
      <c r="P37" s="10" t="str">
        <f ca="1">IFERROR(__xludf.DUMMYFUNCTION("VLOOKUP(O37, IMPORTRANGE(""https://docs.google.com/spreadsheets/d/1yDAaXNsi4Mr5FtRQL4tbmSdIzhx6_m4wkOD7IG-k_eo/edit#gid=1336395716"", ""Science!M:N""), 2, FALSE)"),"Compare the movement of different animals to understand how their adaptations suit their environment.")</f>
        <v>Compare the movement of different animals to understand how their adaptations suit their environment.</v>
      </c>
      <c r="Q37" s="10" t="str">
        <f t="shared" si="4"/>
        <v>LU006413.005</v>
      </c>
      <c r="R37" s="10" t="str">
        <f ca="1">IFERROR(__xludf.DUMMYFUNCTION("VLOOKUP(Q37, IMPORTRANGE(""https://docs.google.com/spreadsheets/d/1yDAaXNsi4Mr5FtRQL4tbmSdIzhx6_m4wkOD7IG-k_eo/edit#gid=1336395716"", ""Science!M:N""), 2, FALSE)"),"Evaluate how environmental factors influence the movement patterns of various animals.")</f>
        <v>Evaluate how environmental factors influence the movement patterns of various animals.</v>
      </c>
      <c r="S37" s="10" t="str">
        <f t="shared" si="5"/>
        <v>LU006413.006</v>
      </c>
      <c r="T37" s="10" t="str">
        <f ca="1">IFERROR(__xludf.DUMMYFUNCTION("VLOOKUP(S37, IMPORTRANGE(""https://docs.google.com/spreadsheets/d/1yDAaXNsi4Mr5FtRQL4tbmSdIzhx6_m4wkOD7IG-k_eo/edit#gid=1336395716"", ""Science!M:N""), 2, FALSE)"),"Design a simple experiment or activity to observe and record the movement patterns of animals in a local habitat.")</f>
        <v>Design a simple experiment or activity to observe and record the movement patterns of animals in a local habitat.</v>
      </c>
      <c r="U37" s="11">
        <f ca="1">IFERROR(__xludf.DUMMYFUNCTION("ArrayFormula(VLOOKUP(G37, IMPORTRANGE(""https://docs.google.com/spreadsheets/d/1p7R4vtkWt5VOBim4ltsDG9KTzSjrtKXsMtQGXPHyND0/edit#gid=795171502"", ""'Filter 30_05_2024'!A1:M2000""), {2, 3, 4, 5,6,7,8,9,10,11,12,13}, 0))"),4)</f>
        <v>4</v>
      </c>
      <c r="V37" s="11">
        <f ca="1">IFERROR(__xludf.DUMMYFUNCTION("""COMPUTED_VALUE"""),6)</f>
        <v>6</v>
      </c>
      <c r="W37" s="11">
        <f ca="1">IFERROR(__xludf.DUMMYFUNCTION("""COMPUTED_VALUE"""),2)</f>
        <v>2</v>
      </c>
      <c r="X37" s="11">
        <f ca="1">IFERROR(__xludf.DUMMYFUNCTION("""COMPUTED_VALUE"""),12)</f>
        <v>12</v>
      </c>
      <c r="Y37" s="11">
        <f ca="1">IFERROR(__xludf.DUMMYFUNCTION("""COMPUTED_VALUE"""),4)</f>
        <v>4</v>
      </c>
      <c r="Z37" s="12">
        <f ca="1">IFERROR(__xludf.DUMMYFUNCTION("""COMPUTED_VALUE"""),3)</f>
        <v>3</v>
      </c>
      <c r="AA37" s="12">
        <f ca="1">IFERROR(__xludf.DUMMYFUNCTION("""COMPUTED_VALUE"""),1)</f>
        <v>1</v>
      </c>
      <c r="AB37" s="12">
        <f ca="1">IFERROR(__xludf.DUMMYFUNCTION("""COMPUTED_VALUE"""),8)</f>
        <v>8</v>
      </c>
      <c r="AC37" s="12"/>
      <c r="AD37" s="12"/>
      <c r="AE37" s="12"/>
      <c r="AF37" s="12"/>
      <c r="AG37" s="13" t="str">
        <f ca="1">IFERROR(__xludf.DUMMYFUNCTION("ArrayFormula(VLOOKUP(G37, IMPORTRANGE(""https://docs.google.com/spreadsheets/d/1Co934fvtviyaRiMsrIlT05Jaq7iiYq07aLvRr35KA48/edit?gid=173865642#gid=173865642"", ""'G6_Sci Cur_Pri_LU'!G2:V2000""), {3, 4, 5, 6, 7, 8, 9, 10, 11, 12, 13, 14, 15, 16}, 0))"),"")</f>
        <v/>
      </c>
      <c r="AH37" s="13"/>
      <c r="AI37" s="13"/>
      <c r="AJ37" s="13"/>
      <c r="AK37" s="13"/>
      <c r="AL37" s="13"/>
      <c r="AM37" s="13"/>
      <c r="AN37" s="13"/>
      <c r="AO37" s="13"/>
      <c r="AP37" s="13"/>
      <c r="AQ37" s="13"/>
      <c r="AR37" s="13"/>
      <c r="AS37" s="13"/>
      <c r="AT37" s="13"/>
    </row>
    <row r="38" spans="1:46">
      <c r="A38" s="8" t="s">
        <v>1405</v>
      </c>
      <c r="B38" s="8" t="s">
        <v>47</v>
      </c>
      <c r="C38" s="8" t="s">
        <v>48</v>
      </c>
      <c r="D38" s="8" t="s">
        <v>1406</v>
      </c>
      <c r="E38" s="8" t="s">
        <v>1483</v>
      </c>
      <c r="F38" s="8" t="s">
        <v>1500</v>
      </c>
      <c r="G38" s="106" t="s">
        <v>1503</v>
      </c>
      <c r="H38" s="8" t="s">
        <v>1504</v>
      </c>
      <c r="I38" s="10" t="str">
        <f t="shared" si="0"/>
        <v>LU005252.001</v>
      </c>
      <c r="J38" s="10" t="str">
        <f ca="1">IFERROR(__xludf.DUMMYFUNCTION("VLOOKUP(I38, IMPORTRANGE(""https://docs.google.com/spreadsheets/d/1yDAaXNsi4Mr5FtRQL4tbmSdIzhx6_m4wkOD7IG-k_eo/edit#gid=1336395716"", ""Science!M:N""), 2, FALSE)"),"Recall examples of animals, plants, and natural objects observed in distinct surroundings such as mountains, deserts, and water bodies.")</f>
        <v>Recall examples of animals, plants, and natural objects observed in distinct surroundings such as mountains, deserts, and water bodies.</v>
      </c>
      <c r="K38" s="10" t="str">
        <f t="shared" si="1"/>
        <v>LU005252.002</v>
      </c>
      <c r="L38" s="10" t="str">
        <f ca="1">IFERROR(__xludf.DUMMYFUNCTION("VLOOKUP(K38, IMPORTRANGE(""https://docs.google.com/spreadsheets/d/1yDAaXNsi4Mr5FtRQL4tbmSdIzhx6_m4wkOD7IG-k_eo/edit#gid=1336395716"", ""Science!M:N""), 2, FALSE)"),"Identify the diverse animals, plants, and natural objects seen in different surroundings like mountains, deserts, and water bodies.")</f>
        <v>Identify the diverse animals, plants, and natural objects seen in different surroundings like mountains, deserts, and water bodies.</v>
      </c>
      <c r="M38" s="10" t="str">
        <f t="shared" si="2"/>
        <v>LU005252.003</v>
      </c>
      <c r="N38" s="10" t="str">
        <f ca="1">IFERROR(__xludf.DUMMYFUNCTION("VLOOKUP(M38, IMPORTRANGE(""https://docs.google.com/spreadsheets/d/1yDAaXNsi4Mr5FtRQL4tbmSdIzhx6_m4wkOD7IG-k_eo/edit#gid=1336395716"", ""Science!M:N""), 2, FALSE)"),"Utilize observational skills to differentiate and categorize animals, plants, and natural objects based on the surroundings they are found in, such as mountains, deserts, and water bodies.")</f>
        <v>Utilize observational skills to differentiate and categorize animals, plants, and natural objects based on the surroundings they are found in, such as mountains, deserts, and water bodies.</v>
      </c>
      <c r="O38" s="10" t="str">
        <f t="shared" si="3"/>
        <v>LU005252.004</v>
      </c>
      <c r="P38" s="10" t="str">
        <f ca="1">IFERROR(__xludf.DUMMYFUNCTION("VLOOKUP(O38, IMPORTRANGE(""https://docs.google.com/spreadsheets/d/1yDAaXNsi4Mr5FtRQL4tbmSdIzhx6_m4wkOD7IG-k_eo/edit#gid=1336395716"", ""Science!M:N""), 2, FALSE)"),"Examine the variations in animals, plants, and natural objects present in varying surroundings like mountains, deserts, and water bodies.")</f>
        <v>Examine the variations in animals, plants, and natural objects present in varying surroundings like mountains, deserts, and water bodies.</v>
      </c>
      <c r="Q38" s="10" t="str">
        <f t="shared" si="4"/>
        <v>LU005252.005</v>
      </c>
      <c r="R38" s="10" t="str">
        <f ca="1">IFERROR(__xludf.DUMMYFUNCTION("VLOOKUP(Q38, IMPORTRANGE(""https://docs.google.com/spreadsheets/d/1yDAaXNsi4Mr5FtRQL4tbmSdIzhx6_m4wkOD7IG-k_eo/edit#gid=1336395716"", ""Science!M:N""), 2, FALSE)"),"Formulate judgments about the prevalence and diversity of animals, plants, and natural objects in specific surroundings such as mountains, deserts, and water bodies.")</f>
        <v>Formulate judgments about the prevalence and diversity of animals, plants, and natural objects in specific surroundings such as mountains, deserts, and water bodies.</v>
      </c>
      <c r="S38" s="10" t="str">
        <f t="shared" si="5"/>
        <v>LU005252.006</v>
      </c>
      <c r="T38" s="10" t="str">
        <f ca="1">IFERROR(__xludf.DUMMYFUNCTION("VLOOKUP(S38, IMPORTRANGE(""https://docs.google.com/spreadsheets/d/1yDAaXNsi4Mr5FtRQL4tbmSdIzhx6_m4wkOD7IG-k_eo/edit#gid=1336395716"", ""Science!M:N""), 2, FALSE)"),"#N/A")</f>
        <v>#N/A</v>
      </c>
      <c r="U38" s="11">
        <f ca="1">IFERROR(__xludf.DUMMYFUNCTION("ArrayFormula(VLOOKUP(G38, IMPORTRANGE(""https://docs.google.com/spreadsheets/d/1p7R4vtkWt5VOBim4ltsDG9KTzSjrtKXsMtQGXPHyND0/edit#gid=795171502"", ""'Filter 30_05_2024'!A1:M2000""), {2, 3, 4, 5,6,7,8,9,10,11,12,13}, 0))"),12)</f>
        <v>12</v>
      </c>
      <c r="V38" s="11">
        <f ca="1">IFERROR(__xludf.DUMMYFUNCTION("""COMPUTED_VALUE"""),14)</f>
        <v>14</v>
      </c>
      <c r="W38" s="11">
        <f ca="1">IFERROR(__xludf.DUMMYFUNCTION("""COMPUTED_VALUE"""),2)</f>
        <v>2</v>
      </c>
      <c r="X38" s="11">
        <f ca="1">IFERROR(__xludf.DUMMYFUNCTION("""COMPUTED_VALUE"""),28)</f>
        <v>28</v>
      </c>
      <c r="Y38" s="11">
        <f ca="1">IFERROR(__xludf.DUMMYFUNCTION("""COMPUTED_VALUE"""),4)</f>
        <v>4</v>
      </c>
      <c r="Z38" s="12">
        <f ca="1">IFERROR(__xludf.DUMMYFUNCTION("""COMPUTED_VALUE"""),4)</f>
        <v>4</v>
      </c>
      <c r="AA38" s="12">
        <f ca="1">IFERROR(__xludf.DUMMYFUNCTION("""COMPUTED_VALUE"""),1)</f>
        <v>1</v>
      </c>
      <c r="AB38" s="12">
        <f ca="1">IFERROR(__xludf.DUMMYFUNCTION("""COMPUTED_VALUE"""),9)</f>
        <v>9</v>
      </c>
      <c r="AC38" s="12"/>
      <c r="AD38" s="12"/>
      <c r="AE38" s="12"/>
      <c r="AF38" s="12"/>
      <c r="AG38" s="13" t="str">
        <f ca="1">IFERROR(__xludf.DUMMYFUNCTION("ArrayFormula(VLOOKUP(G38, IMPORTRANGE(""https://docs.google.com/spreadsheets/d/1Co934fvtviyaRiMsrIlT05Jaq7iiYq07aLvRr35KA48/edit?gid=173865642#gid=173865642"", ""'G6_Sci Cur_Pri_LU'!G2:V2000""), {3, 4, 5, 6, 7, 8, 9, 10, 11, 12, 13, 14, 15, 16}, 0))"),"")</f>
        <v/>
      </c>
      <c r="AH38" s="13"/>
      <c r="AI38" s="13"/>
      <c r="AJ38" s="13"/>
      <c r="AK38" s="13"/>
      <c r="AL38" s="13"/>
      <c r="AM38" s="13"/>
      <c r="AN38" s="13"/>
      <c r="AO38" s="13"/>
      <c r="AP38" s="13"/>
      <c r="AQ38" s="13"/>
      <c r="AR38" s="13"/>
      <c r="AS38" s="13"/>
      <c r="AT38" s="13"/>
    </row>
    <row r="39" spans="1:46">
      <c r="A39" s="8" t="s">
        <v>1405</v>
      </c>
      <c r="B39" s="8" t="s">
        <v>47</v>
      </c>
      <c r="C39" s="8" t="s">
        <v>48</v>
      </c>
      <c r="D39" s="8" t="s">
        <v>1406</v>
      </c>
      <c r="E39" s="8" t="s">
        <v>1483</v>
      </c>
      <c r="F39" s="8" t="s">
        <v>1505</v>
      </c>
      <c r="G39" s="106" t="s">
        <v>1506</v>
      </c>
      <c r="H39" s="8" t="s">
        <v>1507</v>
      </c>
      <c r="I39" s="10" t="str">
        <f t="shared" si="0"/>
        <v>LU005258.001</v>
      </c>
      <c r="J39" s="10" t="str">
        <f ca="1">IFERROR(__xludf.DUMMYFUNCTION("VLOOKUP(I39, IMPORTRANGE(""https://docs.google.com/spreadsheets/d/1yDAaXNsi4Mr5FtRQL4tbmSdIzhx6_m4wkOD7IG-k_eo/edit#gid=1336395716"", ""Science!M:N""), 2, FALSE)"),"Students will define habitats, adaptations, acclimitisation and list examples of each. ")</f>
        <v xml:space="preserve">Students will define habitats, adaptations, acclimitisation and list examples of each. </v>
      </c>
      <c r="K39" s="10" t="str">
        <f t="shared" si="1"/>
        <v>LU005258.002</v>
      </c>
      <c r="L39" s="10" t="str">
        <f ca="1">IFERROR(__xludf.DUMMYFUNCTION("VLOOKUP(K39, IMPORTRANGE(""https://docs.google.com/spreadsheets/d/1yDAaXNsi4Mr5FtRQL4tbmSdIzhx6_m4wkOD7IG-k_eo/edit#gid=1336395716"", ""Science!M:N""), 2, FALSE)"),"Students will interpret the relationship between habitats and the adaptations of organisms (and acclimitisation of organisms) living in them.")</f>
        <v>Students will interpret the relationship between habitats and the adaptations of organisms (and acclimitisation of organisms) living in them.</v>
      </c>
      <c r="M39" s="10" t="str">
        <f t="shared" si="2"/>
        <v>LU005258.003</v>
      </c>
      <c r="N39" s="10" t="str">
        <f ca="1">IFERROR(__xludf.DUMMYFUNCTION("VLOOKUP(M39, IMPORTRANGE(""https://docs.google.com/spreadsheets/d/1yDAaXNsi4Mr5FtRQL4tbmSdIzhx6_m4wkOD7IG-k_eo/edit#gid=1336395716"", ""Science!M:N""), 2, FALSE)"),"Students will relate various adaptations of organisms to the specific needs provided by their habitats.")</f>
        <v>Students will relate various adaptations of organisms to the specific needs provided by their habitats.</v>
      </c>
      <c r="O39" s="10" t="str">
        <f t="shared" si="3"/>
        <v>LU005258.004</v>
      </c>
      <c r="P39" s="10" t="str">
        <f ca="1">IFERROR(__xludf.DUMMYFUNCTION("VLOOKUP(O39, IMPORTRANGE(""https://docs.google.com/spreadsheets/d/1yDAaXNsi4Mr5FtRQL4tbmSdIzhx6_m4wkOD7IG-k_eo/edit#gid=1336395716"", ""Science!M:N""), 2, FALSE)"),"Students will examine different habitats and analyze why certain adaptations(and acclimitisation) are necessary for survival in each.")</f>
        <v>Students will examine different habitats and analyze why certain adaptations(and acclimitisation) are necessary for survival in each.</v>
      </c>
      <c r="Q39" s="10" t="str">
        <f t="shared" si="4"/>
        <v>LU005258.005</v>
      </c>
      <c r="R39" s="10" t="str">
        <f ca="1">IFERROR(__xludf.DUMMYFUNCTION("VLOOKUP(Q39, IMPORTRANGE(""https://docs.google.com/spreadsheets/d/1yDAaXNsi4Mr5FtRQL4tbmSdIzhx6_m4wkOD7IG-k_eo/edit#gid=1336395716"", ""Science!M:N""), 2, FALSE)"),"Students will justify the importance of specific adaptations for an organism’s survival in its habitat.")</f>
        <v>Students will justify the importance of specific adaptations for an organism’s survival in its habitat.</v>
      </c>
      <c r="S39" s="10" t="str">
        <f t="shared" si="5"/>
        <v>LU005258.006</v>
      </c>
      <c r="T39" s="10" t="str">
        <f ca="1">IFERROR(__xludf.DUMMYFUNCTION("VLOOKUP(S39, IMPORTRANGE(""https://docs.google.com/spreadsheets/d/1yDAaXNsi4Mr5FtRQL4tbmSdIzhx6_m4wkOD7IG-k_eo/edit#gid=1336395716"", ""Science!M:N""), 2, FALSE)"),"Students will design a hypothetical organism perfectly adapted to a chosen habitat, detailing its adaptations and survival strategies.")</f>
        <v>Students will design a hypothetical organism perfectly adapted to a chosen habitat, detailing its adaptations and survival strategies.</v>
      </c>
      <c r="U39" s="11">
        <f ca="1">IFERROR(__xludf.DUMMYFUNCTION("ArrayFormula(VLOOKUP(G39, IMPORTRANGE(""https://docs.google.com/spreadsheets/d/1p7R4vtkWt5VOBim4ltsDG9KTzSjrtKXsMtQGXPHyND0/edit#gid=795171502"", ""'Filter 30_05_2024'!A1:M2000""), {2, 3, 4, 5,6,7,8,9,10,11,12,13}, 0))"),19)</f>
        <v>19</v>
      </c>
      <c r="V39" s="11">
        <f ca="1">IFERROR(__xludf.DUMMYFUNCTION("""COMPUTED_VALUE"""),6)</f>
        <v>6</v>
      </c>
      <c r="W39" s="11">
        <f ca="1">IFERROR(__xludf.DUMMYFUNCTION("""COMPUTED_VALUE"""),2)</f>
        <v>2</v>
      </c>
      <c r="X39" s="11">
        <f ca="1">IFERROR(__xludf.DUMMYFUNCTION("""COMPUTED_VALUE"""),27)</f>
        <v>27</v>
      </c>
      <c r="Y39" s="11">
        <f ca="1">IFERROR(__xludf.DUMMYFUNCTION("""COMPUTED_VALUE"""),9)</f>
        <v>9</v>
      </c>
      <c r="Z39" s="12">
        <f ca="1">IFERROR(__xludf.DUMMYFUNCTION("""COMPUTED_VALUE"""),3)</f>
        <v>3</v>
      </c>
      <c r="AA39" s="12">
        <f ca="1">IFERROR(__xludf.DUMMYFUNCTION("""COMPUTED_VALUE"""),1)</f>
        <v>1</v>
      </c>
      <c r="AB39" s="12">
        <f ca="1">IFERROR(__xludf.DUMMYFUNCTION("""COMPUTED_VALUE"""),13)</f>
        <v>13</v>
      </c>
      <c r="AC39" s="12"/>
      <c r="AD39" s="12"/>
      <c r="AE39" s="12"/>
      <c r="AF39" s="12"/>
      <c r="AG39" s="13" t="str">
        <f ca="1">IFERROR(__xludf.DUMMYFUNCTION("ArrayFormula(VLOOKUP(G39, IMPORTRANGE(""https://docs.google.com/spreadsheets/d/1Co934fvtviyaRiMsrIlT05Jaq7iiYq07aLvRr35KA48/edit?gid=173865642#gid=173865642"", ""'G6_Sci Cur_Pri_LU'!G2:V2000""), {3, 4, 5, 6, 7, 8, 9, 10, 11, 12, 13, 14, 15, 16}, 0))"),"LU005252")</f>
        <v>LU005252</v>
      </c>
      <c r="AH39" s="13" t="str">
        <f ca="1">IFERROR(__xludf.DUMMYFUNCTION("""COMPUTED_VALUE"""),"Animals, plants, and natural objects in different surroundings")</f>
        <v>Animals, plants, and natural objects in different surroundings</v>
      </c>
      <c r="AI39" s="13"/>
      <c r="AJ39" s="13"/>
      <c r="AK39" s="13"/>
      <c r="AL39" s="13"/>
      <c r="AM39" s="13"/>
      <c r="AN39" s="13"/>
      <c r="AO39" s="13"/>
      <c r="AP39" s="13"/>
      <c r="AQ39" s="13"/>
      <c r="AR39" s="13"/>
      <c r="AS39" s="13"/>
      <c r="AT39" s="13"/>
    </row>
    <row r="40" spans="1:46">
      <c r="A40" s="8" t="s">
        <v>1405</v>
      </c>
      <c r="B40" s="8" t="s">
        <v>47</v>
      </c>
      <c r="C40" s="8" t="s">
        <v>48</v>
      </c>
      <c r="D40" s="8" t="s">
        <v>1406</v>
      </c>
      <c r="E40" s="8" t="s">
        <v>1483</v>
      </c>
      <c r="F40" s="8" t="s">
        <v>1505</v>
      </c>
      <c r="G40" s="8" t="s">
        <v>1508</v>
      </c>
      <c r="H40" s="8" t="s">
        <v>1509</v>
      </c>
      <c r="I40" s="10" t="str">
        <f t="shared" si="0"/>
        <v>LU006414.001</v>
      </c>
      <c r="J40" s="10" t="str">
        <f ca="1">IFERROR(__xludf.DUMMYFUNCTION("VLOOKUP(I40, IMPORTRANGE(""https://docs.google.com/spreadsheets/d/1yDAaXNsi4Mr5FtRQL4tbmSdIzhx6_m4wkOD7IG-k_eo/edit#gid=1336395716"", ""Science!M:N""), 2, FALSE)"),"Recall examples of plants and animals from different regions and their specific adaptations to those environments.")</f>
        <v>Recall examples of plants and animals from different regions and their specific adaptations to those environments.</v>
      </c>
      <c r="K40" s="10" t="str">
        <f t="shared" si="1"/>
        <v>LU006414.002</v>
      </c>
      <c r="L40" s="10" t="str">
        <f ca="1">IFERROR(__xludf.DUMMYFUNCTION("VLOOKUP(K40, IMPORTRANGE(""https://docs.google.com/spreadsheets/d/1yDAaXNsi4Mr5FtRQL4tbmSdIzhx6_m4wkOD7IG-k_eo/edit#gid=1336395716"", ""Science!M:N""), 2, FALSE)"),"Describe how specific adaptations help plants and animals survive in particular environments, such as deserts, forests, or aquatic regions.")</f>
        <v>Describe how specific adaptations help plants and animals survive in particular environments, such as deserts, forests, or aquatic regions.</v>
      </c>
      <c r="M40" s="10" t="str">
        <f t="shared" si="2"/>
        <v>LU006414.003</v>
      </c>
      <c r="N40" s="10" t="str">
        <f ca="1">IFERROR(__xludf.DUMMYFUNCTION("VLOOKUP(M40, IMPORTRANGE(""https://docs.google.com/spreadsheets/d/1yDAaXNsi4Mr5FtRQL4tbmSdIzhx6_m4wkOD7IG-k_eo/edit#gid=1336395716"", ""Science!M:N""), 2, FALSE)"),"Identify and classify plants and animals based on their adaptations to different environmental conditions.")</f>
        <v>Identify and classify plants and animals based on their adaptations to different environmental conditions.</v>
      </c>
      <c r="O40" s="10" t="str">
        <f t="shared" si="3"/>
        <v>LU006414.004</v>
      </c>
      <c r="P40" s="10" t="str">
        <f ca="1">IFERROR(__xludf.DUMMYFUNCTION("VLOOKUP(O40, IMPORTRANGE(""https://docs.google.com/spreadsheets/d/1yDAaXNsi4Mr5FtRQL4tbmSdIzhx6_m4wkOD7IG-k_eo/edit#gid=1336395716"", ""Science!M:N""), 2, FALSE)"),"Analyze the relationship between environmental factors and the adaptations observed in plants and animals from different regions.")</f>
        <v>Analyze the relationship between environmental factors and the adaptations observed in plants and animals from different regions.</v>
      </c>
      <c r="Q40" s="10" t="str">
        <f t="shared" si="4"/>
        <v>LU006414.005</v>
      </c>
      <c r="R40" s="10" t="str">
        <f ca="1">IFERROR(__xludf.DUMMYFUNCTION("VLOOKUP(Q40, IMPORTRANGE(""https://docs.google.com/spreadsheets/d/1yDAaXNsi4Mr5FtRQL4tbmSdIzhx6_m4wkOD7IG-k_eo/edit#gid=1336395716"", ""Science!M:N""), 2, FALSE)"),"Evaluate how well different adaptations help plants and animals survive and thrive in their respective environments.")</f>
        <v>Evaluate how well different adaptations help plants and animals survive and thrive in their respective environments.</v>
      </c>
      <c r="S40" s="10" t="str">
        <f t="shared" si="5"/>
        <v>LU006414.006</v>
      </c>
      <c r="T40" s="10" t="str">
        <f ca="1">IFERROR(__xludf.DUMMYFUNCTION("VLOOKUP(S40, IMPORTRANGE(""https://docs.google.com/spreadsheets/d/1yDAaXNsi4Mr5FtRQL4tbmSdIzhx6_m4wkOD7IG-k_eo/edit#gid=1336395716"", ""Science!M:N""), 2, FALSE)"),"Design an imaginary plant or animal with adaptations suited for survival in an extreme environment, explaining the reasons for each adaptation.")</f>
        <v>Design an imaginary plant or animal with adaptations suited for survival in an extreme environment, explaining the reasons for each adaptation.</v>
      </c>
      <c r="U40" s="11">
        <f ca="1">IFERROR(__xludf.DUMMYFUNCTION("ArrayFormula(VLOOKUP(G40, IMPORTRANGE(""https://docs.google.com/spreadsheets/d/1p7R4vtkWt5VOBim4ltsDG9KTzSjrtKXsMtQGXPHyND0/edit#gid=795171502"", ""'Filter 30_05_2024'!A1:M2000""), {2, 3, 4, 5,6,7,8,9,10,11,12,13}, 0))"),4)</f>
        <v>4</v>
      </c>
      <c r="V40" s="11">
        <f ca="1">IFERROR(__xludf.DUMMYFUNCTION("""COMPUTED_VALUE"""),6)</f>
        <v>6</v>
      </c>
      <c r="W40" s="11">
        <f ca="1">IFERROR(__xludf.DUMMYFUNCTION("""COMPUTED_VALUE"""),2)</f>
        <v>2</v>
      </c>
      <c r="X40" s="11">
        <f ca="1">IFERROR(__xludf.DUMMYFUNCTION("""COMPUTED_VALUE"""),12)</f>
        <v>12</v>
      </c>
      <c r="Y40" s="11">
        <f ca="1">IFERROR(__xludf.DUMMYFUNCTION("""COMPUTED_VALUE"""),4)</f>
        <v>4</v>
      </c>
      <c r="Z40" s="12">
        <f ca="1">IFERROR(__xludf.DUMMYFUNCTION("""COMPUTED_VALUE"""),3)</f>
        <v>3</v>
      </c>
      <c r="AA40" s="12">
        <f ca="1">IFERROR(__xludf.DUMMYFUNCTION("""COMPUTED_VALUE"""),1)</f>
        <v>1</v>
      </c>
      <c r="AB40" s="12">
        <f ca="1">IFERROR(__xludf.DUMMYFUNCTION("""COMPUTED_VALUE"""),8)</f>
        <v>8</v>
      </c>
      <c r="AC40" s="12"/>
      <c r="AD40" s="12"/>
      <c r="AE40" s="12"/>
      <c r="AF40" s="12"/>
      <c r="AG40" s="13" t="str">
        <f ca="1">IFERROR(__xludf.DUMMYFUNCTION("ArrayFormula(VLOOKUP(G40, IMPORTRANGE(""https://docs.google.com/spreadsheets/d/1Co934fvtviyaRiMsrIlT05Jaq7iiYq07aLvRr35KA48/edit?gid=173865642#gid=173865642"", ""'G6_Sci Cur_Pri_LU'!G2:V2000""), {3, 4, 5, 6, 7, 8, 9, 10, 11, 12, 13, 14, 15, 16}, 0))"),"LU005258")</f>
        <v>LU005258</v>
      </c>
      <c r="AH40" s="13" t="str">
        <f ca="1">IFERROR(__xludf.DUMMYFUNCTION("""COMPUTED_VALUE"""),"Definition of habitats and adaptations.")</f>
        <v>Definition of habitats and adaptations.</v>
      </c>
      <c r="AI40" s="13" t="str">
        <f ca="1">IFERROR(__xludf.DUMMYFUNCTION("""COMPUTED_VALUE"""),"LU005252")</f>
        <v>LU005252</v>
      </c>
      <c r="AJ40" s="13" t="str">
        <f ca="1">IFERROR(__xludf.DUMMYFUNCTION("""COMPUTED_VALUE"""),"Animals, plants, and natural objects in different surroundings")</f>
        <v>Animals, plants, and natural objects in different surroundings</v>
      </c>
      <c r="AK40" s="13"/>
      <c r="AL40" s="13"/>
      <c r="AM40" s="13"/>
      <c r="AN40" s="13"/>
      <c r="AO40" s="13"/>
      <c r="AP40" s="13"/>
      <c r="AQ40" s="13"/>
      <c r="AR40" s="13"/>
      <c r="AS40" s="13"/>
      <c r="AT40" s="13"/>
    </row>
    <row r="41" spans="1:46">
      <c r="A41" s="8" t="s">
        <v>1405</v>
      </c>
      <c r="B41" s="8" t="s">
        <v>47</v>
      </c>
      <c r="C41" s="8" t="s">
        <v>48</v>
      </c>
      <c r="D41" s="8" t="s">
        <v>1510</v>
      </c>
      <c r="E41" s="8" t="s">
        <v>1511</v>
      </c>
      <c r="F41" s="8" t="s">
        <v>1512</v>
      </c>
      <c r="G41" s="107" t="s">
        <v>1513</v>
      </c>
      <c r="H41" s="69" t="s">
        <v>1514</v>
      </c>
      <c r="I41" s="10" t="str">
        <f t="shared" si="0"/>
        <v>LU005928.001</v>
      </c>
      <c r="J41" s="10" t="str">
        <f ca="1">IFERROR(__xludf.DUMMYFUNCTION("VLOOKUP(I41, IMPORTRANGE(""https://docs.google.com/spreadsheets/d/1yDAaXNsi4Mr5FtRQL4tbmSdIzhx6_m4wkOD7IG-k_eo/edit#gid=1336395716"", ""Science!M:N""), 2, FALSE)"),"Recall the names of non-standard devices used for measuring length.")</f>
        <v>Recall the names of non-standard devices used for measuring length.</v>
      </c>
      <c r="K41" s="10" t="str">
        <f t="shared" si="1"/>
        <v>LU005928.002</v>
      </c>
      <c r="L41" s="10" t="str">
        <f ca="1">IFERROR(__xludf.DUMMYFUNCTION("VLOOKUP(K41, IMPORTRANGE(""https://docs.google.com/spreadsheets/d/1yDAaXNsi4Mr5FtRQL4tbmSdIzhx6_m4wkOD7IG-k_eo/edit#gid=1336395716"", ""Science!M:N""), 2, FALSE)"),"Explain the principles behind the operation of non-standard devices for length measurement.")</f>
        <v>Explain the principles behind the operation of non-standard devices for length measurement.</v>
      </c>
      <c r="M41" s="10" t="str">
        <f t="shared" si="2"/>
        <v>LU005928.003</v>
      </c>
      <c r="N41" s="10" t="str">
        <f ca="1">IFERROR(__xludf.DUMMYFUNCTION("VLOOKUP(M41, IMPORTRANGE(""https://docs.google.com/spreadsheets/d/1yDAaXNsi4Mr5FtRQL4tbmSdIzhx6_m4wkOD7IG-k_eo/edit#gid=1336395716"", ""Science!M:N""), 2, FALSE)"),"Utilize non-standard devices to measure the length of objects accurately.")</f>
        <v>Utilize non-standard devices to measure the length of objects accurately.</v>
      </c>
      <c r="O41" s="10" t="str">
        <f t="shared" si="3"/>
        <v>LU005928.004</v>
      </c>
      <c r="P41" s="10" t="str">
        <f ca="1">IFERROR(__xludf.DUMMYFUNCTION("VLOOKUP(O41, IMPORTRANGE(""https://docs.google.com/spreadsheets/d/1yDAaXNsi4Mr5FtRQL4tbmSdIzhx6_m4wkOD7IG-k_eo/edit#gid=1336395716"", ""Science!M:N""), 2, FALSE)"),"Examine the advantages and limitations of measuring length using non-standard devices.")</f>
        <v>Examine the advantages and limitations of measuring length using non-standard devices.</v>
      </c>
      <c r="Q41" s="10" t="str">
        <f t="shared" si="4"/>
        <v>LU005928.005</v>
      </c>
      <c r="R41" s="10" t="str">
        <f ca="1">IFERROR(__xludf.DUMMYFUNCTION("VLOOKUP(Q41, IMPORTRANGE(""https://docs.google.com/spreadsheets/d/1yDAaXNsi4Mr5FtRQL4tbmSdIzhx6_m4wkOD7IG-k_eo/edit#gid=1336395716"", ""Science!M:N""), 2, FALSE)"),"Assess the suitability of non-standard devices for different measurement tasks.")</f>
        <v>Assess the suitability of non-standard devices for different measurement tasks.</v>
      </c>
      <c r="S41" s="10" t="str">
        <f t="shared" si="5"/>
        <v>LU005928.006</v>
      </c>
      <c r="T41" s="10" t="str">
        <f ca="1">IFERROR(__xludf.DUMMYFUNCTION("VLOOKUP(S41, IMPORTRANGE(""https://docs.google.com/spreadsheets/d/1yDAaXNsi4Mr5FtRQL4tbmSdIzhx6_m4wkOD7IG-k_eo/edit#gid=1336395716"", ""Science!M:N""), 2, FALSE)"),"#N/A")</f>
        <v>#N/A</v>
      </c>
      <c r="U41" s="11">
        <f ca="1">IFERROR(__xludf.DUMMYFUNCTION("ArrayFormula(VLOOKUP(G41, IMPORTRANGE(""https://docs.google.com/spreadsheets/d/1p7R4vtkWt5VOBim4ltsDG9KTzSjrtKXsMtQGXPHyND0/edit#gid=795171502"", ""'Filter 30_05_2024'!A1:M2000""), {2, 3, 4, 5,6,7,8,9,10,11,12,13}, 0))"),4)</f>
        <v>4</v>
      </c>
      <c r="V41" s="11">
        <f ca="1">IFERROR(__xludf.DUMMYFUNCTION("""COMPUTED_VALUE"""),15)</f>
        <v>15</v>
      </c>
      <c r="W41" s="11">
        <f ca="1">IFERROR(__xludf.DUMMYFUNCTION("""COMPUTED_VALUE"""),2)</f>
        <v>2</v>
      </c>
      <c r="X41" s="11">
        <f ca="1">IFERROR(__xludf.DUMMYFUNCTION("""COMPUTED_VALUE"""),21)</f>
        <v>21</v>
      </c>
      <c r="Y41" s="11">
        <f ca="1">IFERROR(__xludf.DUMMYFUNCTION("""COMPUTED_VALUE"""),4)</f>
        <v>4</v>
      </c>
      <c r="Z41" s="12">
        <f ca="1">IFERROR(__xludf.DUMMYFUNCTION("""COMPUTED_VALUE"""),5)</f>
        <v>5</v>
      </c>
      <c r="AA41" s="12">
        <f ca="1">IFERROR(__xludf.DUMMYFUNCTION("""COMPUTED_VALUE"""),1)</f>
        <v>1</v>
      </c>
      <c r="AB41" s="12">
        <f ca="1">IFERROR(__xludf.DUMMYFUNCTION("""COMPUTED_VALUE"""),10)</f>
        <v>10</v>
      </c>
      <c r="AC41" s="12"/>
      <c r="AD41" s="12"/>
      <c r="AE41" s="12"/>
      <c r="AF41" s="12"/>
      <c r="AG41" s="13" t="str">
        <f ca="1">IFERROR(__xludf.DUMMYFUNCTION("ArrayFormula(VLOOKUP(G41, IMPORTRANGE(""https://docs.google.com/spreadsheets/d/1Co934fvtviyaRiMsrIlT05Jaq7iiYq07aLvRr35KA48/edit?gid=173865642#gid=173865642"", ""'G6_Sci Cur_Pri_LU'!G2:V2000""), {3, 4, 5, 6, 7, 8, 9, 10, 11, 12, 13, 14, 15, 16}, 0))"),"LU005181")</f>
        <v>LU005181</v>
      </c>
      <c r="AH41" s="13" t="str">
        <f ca="1">IFERROR(__xludf.DUMMYFUNCTION("""COMPUTED_VALUE"""),"Importance of Distance and Measurement")</f>
        <v>Importance of Distance and Measurement</v>
      </c>
      <c r="AI41" s="13"/>
      <c r="AJ41" s="13"/>
      <c r="AK41" s="13"/>
      <c r="AL41" s="13"/>
      <c r="AM41" s="13"/>
      <c r="AN41" s="13"/>
      <c r="AO41" s="13"/>
      <c r="AP41" s="13"/>
      <c r="AQ41" s="13"/>
      <c r="AR41" s="13"/>
      <c r="AS41" s="13"/>
      <c r="AT41" s="13"/>
    </row>
    <row r="42" spans="1:46">
      <c r="A42" s="8" t="s">
        <v>1405</v>
      </c>
      <c r="B42" s="8" t="s">
        <v>47</v>
      </c>
      <c r="C42" s="8" t="s">
        <v>48</v>
      </c>
      <c r="D42" s="8" t="s">
        <v>1510</v>
      </c>
      <c r="E42" s="8" t="s">
        <v>1511</v>
      </c>
      <c r="F42" s="8" t="s">
        <v>1512</v>
      </c>
      <c r="G42" s="107" t="s">
        <v>1515</v>
      </c>
      <c r="H42" s="69" t="s">
        <v>1516</v>
      </c>
      <c r="I42" s="10" t="str">
        <f t="shared" si="0"/>
        <v>LU005929.001</v>
      </c>
      <c r="J42" s="10" t="str">
        <f ca="1">IFERROR(__xludf.DUMMYFUNCTION("VLOOKUP(I42, IMPORTRANGE(""https://docs.google.com/spreadsheets/d/1yDAaXNsi4Mr5FtRQL4tbmSdIzhx6_m4wkOD7IG-k_eo/edit#gid=1336395716"", ""Science!M:N""), 2, FALSE)"),"List the limitations associated with using non-standard devices for length measurement.")</f>
        <v>List the limitations associated with using non-standard devices for length measurement.</v>
      </c>
      <c r="K42" s="10" t="str">
        <f t="shared" si="1"/>
        <v>LU005929.002</v>
      </c>
      <c r="L42" s="10" t="str">
        <f ca="1">IFERROR(__xludf.DUMMYFUNCTION("VLOOKUP(K42, IMPORTRANGE(""https://docs.google.com/spreadsheets/d/1yDAaXNsi4Mr5FtRQL4tbmSdIzhx6_m4wkOD7IG-k_eo/edit#gid=1336395716"", ""Science!M:N""), 2, FALSE)"),"Describe how variations in non-standard devices can impact the accuracy of length measurements.")</f>
        <v>Describe how variations in non-standard devices can impact the accuracy of length measurements.</v>
      </c>
      <c r="M42" s="10" t="str">
        <f t="shared" si="2"/>
        <v>LU005929.003</v>
      </c>
      <c r="N42" s="10" t="str">
        <f ca="1">IFERROR(__xludf.DUMMYFUNCTION("VLOOKUP(M42, IMPORTRANGE(""https://docs.google.com/spreadsheets/d/1yDAaXNsi4Mr5FtRQL4tbmSdIzhx6_m4wkOD7IG-k_eo/edit#gid=1336395716"", ""Science!M:N""), 2, FALSE)"),"Utilize knowledge of limitations to evaluate the reliability of length measurements obtained with non-standard devices.")</f>
        <v>Utilize knowledge of limitations to evaluate the reliability of length measurements obtained with non-standard devices.</v>
      </c>
      <c r="O42" s="10" t="str">
        <f t="shared" si="3"/>
        <v>LU005929.004</v>
      </c>
      <c r="P42" s="10" t="str">
        <f ca="1">IFERROR(__xludf.DUMMYFUNCTION("VLOOKUP(O42, IMPORTRANGE(""https://docs.google.com/spreadsheets/d/1yDAaXNsi4Mr5FtRQL4tbmSdIzhx6_m4wkOD7IG-k_eo/edit#gid=1336395716"", ""Science!M:N""), 2, FALSE)"),"Examine scenarios where the use of non-standard devices may result in inaccurate length measurements.")</f>
        <v>Examine scenarios where the use of non-standard devices may result in inaccurate length measurements.</v>
      </c>
      <c r="Q42" s="10" t="str">
        <f t="shared" si="4"/>
        <v>LU005929.005</v>
      </c>
      <c r="R42" s="10" t="str">
        <f ca="1">IFERROR(__xludf.DUMMYFUNCTION("VLOOKUP(Q42, IMPORTRANGE(""https://docs.google.com/spreadsheets/d/1yDAaXNsi4Mr5FtRQL4tbmSdIzhx6_m4wkOD7IG-k_eo/edit#gid=1336395716"", ""Science!M:N""), 2, FALSE)"),"Assess the practical constraints and challenges of relying solely on non-standard measuring methods.")</f>
        <v>Assess the practical constraints and challenges of relying solely on non-standard measuring methods.</v>
      </c>
      <c r="S42" s="10" t="str">
        <f t="shared" si="5"/>
        <v>LU005929.006</v>
      </c>
      <c r="T42" s="10" t="str">
        <f ca="1">IFERROR(__xludf.DUMMYFUNCTION("VLOOKUP(S42, IMPORTRANGE(""https://docs.google.com/spreadsheets/d/1yDAaXNsi4Mr5FtRQL4tbmSdIzhx6_m4wkOD7IG-k_eo/edit#gid=1336395716"", ""Science!M:N""), 2, FALSE)"),"#N/A")</f>
        <v>#N/A</v>
      </c>
      <c r="U42" s="11">
        <f ca="1">IFERROR(__xludf.DUMMYFUNCTION("ArrayFormula(VLOOKUP(G42, IMPORTRANGE(""https://docs.google.com/spreadsheets/d/1p7R4vtkWt5VOBim4ltsDG9KTzSjrtKXsMtQGXPHyND0/edit#gid=795171502"", ""'Filter 30_05_2024'!A1:M2000""), {2, 3, 4, 5,6,7,8,9,10,11,12,13}, 0))"),6)</f>
        <v>6</v>
      </c>
      <c r="V42" s="11">
        <f ca="1">IFERROR(__xludf.DUMMYFUNCTION("""COMPUTED_VALUE"""),4)</f>
        <v>4</v>
      </c>
      <c r="W42" s="11"/>
      <c r="X42" s="11">
        <f ca="1">IFERROR(__xludf.DUMMYFUNCTION("""COMPUTED_VALUE"""),10)</f>
        <v>10</v>
      </c>
      <c r="Y42" s="11">
        <f ca="1">IFERROR(__xludf.DUMMYFUNCTION("""COMPUTED_VALUE"""),4)</f>
        <v>4</v>
      </c>
      <c r="Z42" s="12">
        <f ca="1">IFERROR(__xludf.DUMMYFUNCTION("""COMPUTED_VALUE"""),1)</f>
        <v>1</v>
      </c>
      <c r="AA42" s="12">
        <f ca="1">IFERROR(__xludf.DUMMYFUNCTION("""COMPUTED_VALUE"""),1)</f>
        <v>1</v>
      </c>
      <c r="AB42" s="12">
        <f ca="1">IFERROR(__xludf.DUMMYFUNCTION("""COMPUTED_VALUE"""),6)</f>
        <v>6</v>
      </c>
      <c r="AC42" s="12"/>
      <c r="AD42" s="12"/>
      <c r="AE42" s="12"/>
      <c r="AF42" s="12"/>
      <c r="AG42" s="13" t="str">
        <f ca="1">IFERROR(__xludf.DUMMYFUNCTION("ArrayFormula(VLOOKUP(G42, IMPORTRANGE(""https://docs.google.com/spreadsheets/d/1Co934fvtviyaRiMsrIlT05Jaq7iiYq07aLvRr35KA48/edit?gid=173865642#gid=173865642"", ""'G6_Sci Cur_Pri_LU'!G2:V2000""), {3, 4, 5, 6, 7, 8, 9, 10, 11, 12, 13, 14, 15, 16}, 0))"),"LU005928")</f>
        <v>LU005928</v>
      </c>
      <c r="AH42" s="13" t="str">
        <f ca="1">IFERROR(__xludf.DUMMYFUNCTION("""COMPUTED_VALUE"""),"Measurement of length using non-standard devices")</f>
        <v>Measurement of length using non-standard devices</v>
      </c>
      <c r="AI42" s="13"/>
      <c r="AJ42" s="13"/>
      <c r="AK42" s="13"/>
      <c r="AL42" s="13"/>
      <c r="AM42" s="13"/>
      <c r="AN42" s="13"/>
      <c r="AO42" s="13"/>
      <c r="AP42" s="13"/>
      <c r="AQ42" s="13"/>
      <c r="AR42" s="13"/>
      <c r="AS42" s="13"/>
      <c r="AT42" s="13"/>
    </row>
    <row r="43" spans="1:46">
      <c r="A43" s="8" t="s">
        <v>1405</v>
      </c>
      <c r="B43" s="8" t="s">
        <v>47</v>
      </c>
      <c r="C43" s="8" t="s">
        <v>48</v>
      </c>
      <c r="D43" s="8" t="s">
        <v>1510</v>
      </c>
      <c r="E43" s="8" t="s">
        <v>1511</v>
      </c>
      <c r="F43" s="8" t="s">
        <v>1517</v>
      </c>
      <c r="G43" s="107" t="s">
        <v>1518</v>
      </c>
      <c r="H43" s="69" t="s">
        <v>1519</v>
      </c>
      <c r="I43" s="10" t="str">
        <f t="shared" si="0"/>
        <v>LU005182.001</v>
      </c>
      <c r="J43" s="10" t="str">
        <f ca="1">IFERROR(__xludf.DUMMYFUNCTION("VLOOKUP(I43, IMPORTRANGE(""https://docs.google.com/spreadsheets/d/1yDAaXNsi4Mr5FtRQL4tbmSdIzhx6_m4wkOD7IG-k_eo/edit#gid=1336395716"", ""Science!M:N""), 2, FALSE)"),"Recall the definition of a unit in measurement.")</f>
        <v>Recall the definition of a unit in measurement.</v>
      </c>
      <c r="K43" s="10" t="str">
        <f t="shared" si="1"/>
        <v>LU005182.002</v>
      </c>
      <c r="L43" s="10" t="str">
        <f ca="1">IFERROR(__xludf.DUMMYFUNCTION("VLOOKUP(K43, IMPORTRANGE(""https://docs.google.com/spreadsheets/d/1yDAaXNsi4Mr5FtRQL4tbmSdIzhx6_m4wkOD7IG-k_eo/edit#gid=1336395716"", ""Science!M:N""), 2, FALSE)"),"Explain why units are fundamental in measurements.")</f>
        <v>Explain why units are fundamental in measurements.</v>
      </c>
      <c r="M43" s="10" t="str">
        <f t="shared" si="2"/>
        <v>LU005182.003</v>
      </c>
      <c r="N43" s="10" t="str">
        <f ca="1">IFERROR(__xludf.DUMMYFUNCTION("VLOOKUP(M43, IMPORTRANGE(""https://docs.google.com/spreadsheets/d/1yDAaXNsi4Mr5FtRQL4tbmSdIzhx6_m4wkOD7IG-k_eo/edit#gid=1336395716"", ""Science!M:N""), 2, FALSE)"),"Differentiate between standardized and non-standardized units.")</f>
        <v>Differentiate between standardized and non-standardized units.</v>
      </c>
      <c r="O43" s="10" t="str">
        <f t="shared" si="3"/>
        <v>LU005182.004</v>
      </c>
      <c r="P43" s="10" t="str">
        <f ca="1">IFERROR(__xludf.DUMMYFUNCTION("VLOOKUP(O43, IMPORTRANGE(""https://docs.google.com/spreadsheets/d/1yDAaXNsi4Mr5FtRQL4tbmSdIzhx6_m4wkOD7IG-k_eo/edit#gid=1336395716"", ""Science!M:N""), 2, FALSE)"),"Analyze the role of different units in measurement to ensure accuracy and consistency in various contexts.")</f>
        <v>Analyze the role of different units in measurement to ensure accuracy and consistency in various contexts.</v>
      </c>
      <c r="Q43" s="10" t="str">
        <f t="shared" si="4"/>
        <v>LU005182.005</v>
      </c>
      <c r="R43" s="10" t="str">
        <f ca="1">IFERROR(__xludf.DUMMYFUNCTION("VLOOKUP(Q43, IMPORTRANGE(""https://docs.google.com/spreadsheets/d/1yDAaXNsi4Mr5FtRQL4tbmSdIzhx6_m4wkOD7IG-k_eo/edit#gid=1336395716"", ""Science!M:N""), 2, FALSE)"),"Evaluate the role of units in scientific research and innovations.")</f>
        <v>Evaluate the role of units in scientific research and innovations.</v>
      </c>
      <c r="S43" s="10" t="str">
        <f t="shared" si="5"/>
        <v>LU005182.006</v>
      </c>
      <c r="T43" s="10" t="str">
        <f ca="1">IFERROR(__xludf.DUMMYFUNCTION("VLOOKUP(S43, IMPORTRANGE(""https://docs.google.com/spreadsheets/d/1yDAaXNsi4Mr5FtRQL4tbmSdIzhx6_m4wkOD7IG-k_eo/edit#gid=1336395716"", ""Science!M:N""), 2, FALSE)"),"#N/A")</f>
        <v>#N/A</v>
      </c>
      <c r="U43" s="11">
        <f ca="1">IFERROR(__xludf.DUMMYFUNCTION("ArrayFormula(VLOOKUP(G43, IMPORTRANGE(""https://docs.google.com/spreadsheets/d/1p7R4vtkWt5VOBim4ltsDG9KTzSjrtKXsMtQGXPHyND0/edit#gid=795171502"", ""'Filter 30_05_2024'!A1:M2000""), {2, 3, 4, 5,6,7,8,9,10,11,12,13}, 0))"),5)</f>
        <v>5</v>
      </c>
      <c r="V43" s="11">
        <f ca="1">IFERROR(__xludf.DUMMYFUNCTION("""COMPUTED_VALUE"""),6)</f>
        <v>6</v>
      </c>
      <c r="W43" s="11">
        <f ca="1">IFERROR(__xludf.DUMMYFUNCTION("""COMPUTED_VALUE"""),2)</f>
        <v>2</v>
      </c>
      <c r="X43" s="11">
        <f ca="1">IFERROR(__xludf.DUMMYFUNCTION("""COMPUTED_VALUE"""),13)</f>
        <v>13</v>
      </c>
      <c r="Y43" s="11">
        <f ca="1">IFERROR(__xludf.DUMMYFUNCTION("""COMPUTED_VALUE"""),5)</f>
        <v>5</v>
      </c>
      <c r="Z43" s="12">
        <f ca="1">IFERROR(__xludf.DUMMYFUNCTION("""COMPUTED_VALUE"""),3)</f>
        <v>3</v>
      </c>
      <c r="AA43" s="12">
        <f ca="1">IFERROR(__xludf.DUMMYFUNCTION("""COMPUTED_VALUE"""),1)</f>
        <v>1</v>
      </c>
      <c r="AB43" s="12">
        <f ca="1">IFERROR(__xludf.DUMMYFUNCTION("""COMPUTED_VALUE"""),9)</f>
        <v>9</v>
      </c>
      <c r="AC43" s="12"/>
      <c r="AD43" s="12"/>
      <c r="AE43" s="12"/>
      <c r="AF43" s="12"/>
      <c r="AG43" s="13" t="str">
        <f ca="1">IFERROR(__xludf.DUMMYFUNCTION("ArrayFormula(VLOOKUP(G43, IMPORTRANGE(""https://docs.google.com/spreadsheets/d/1Co934fvtviyaRiMsrIlT05Jaq7iiYq07aLvRr35KA48/edit?gid=173865642#gid=173865642"", ""'G6_Sci Cur_Pri_LU'!G2:V2000""), {3, 4, 5, 6, 7, 8, 9, 10, 11, 12, 13, 14, 15, 16}, 0))"),"LU005181")</f>
        <v>LU005181</v>
      </c>
      <c r="AH43" s="13" t="str">
        <f ca="1">IFERROR(__xludf.DUMMYFUNCTION("""COMPUTED_VALUE"""),"Importance of Distance and Measurement")</f>
        <v>Importance of Distance and Measurement</v>
      </c>
      <c r="AI43" s="13"/>
      <c r="AJ43" s="13"/>
      <c r="AK43" s="13"/>
      <c r="AL43" s="13"/>
      <c r="AM43" s="13"/>
      <c r="AN43" s="13"/>
      <c r="AO43" s="13"/>
      <c r="AP43" s="13"/>
      <c r="AQ43" s="13"/>
      <c r="AR43" s="13"/>
      <c r="AS43" s="13"/>
      <c r="AT43" s="13"/>
    </row>
    <row r="44" spans="1:46">
      <c r="A44" s="8" t="s">
        <v>1405</v>
      </c>
      <c r="B44" s="8" t="s">
        <v>47</v>
      </c>
      <c r="C44" s="8" t="s">
        <v>48</v>
      </c>
      <c r="D44" s="8" t="s">
        <v>1510</v>
      </c>
      <c r="E44" s="8" t="s">
        <v>1511</v>
      </c>
      <c r="F44" s="8" t="s">
        <v>1517</v>
      </c>
      <c r="G44" s="107" t="s">
        <v>1520</v>
      </c>
      <c r="H44" s="69" t="s">
        <v>1521</v>
      </c>
      <c r="I44" s="10" t="str">
        <f t="shared" si="0"/>
        <v>LU005174.001</v>
      </c>
      <c r="J44" s="10" t="str">
        <f ca="1">IFERROR(__xludf.DUMMYFUNCTION("VLOOKUP(I44, IMPORTRANGE(""https://docs.google.com/spreadsheets/d/1yDAaXNsi4Mr5FtRQL4tbmSdIzhx6_m4wkOD7IG-k_eo/edit#gid=1336395716"", ""Science!M:N""), 2, FALSE)"),"Identify the basic units used to measure length.")</f>
        <v>Identify the basic units used to measure length.</v>
      </c>
      <c r="K44" s="10" t="str">
        <f t="shared" si="1"/>
        <v>LU005174.002</v>
      </c>
      <c r="L44" s="10" t="str">
        <f ca="1">IFERROR(__xludf.DUMMYFUNCTION("VLOOKUP(K44, IMPORTRANGE(""https://docs.google.com/spreadsheets/d/1yDAaXNsi4Mr5FtRQL4tbmSdIzhx6_m4wkOD7IG-k_eo/edit#gid=1336395716"", ""Science!M:N""), 2, FALSE)"),"Explain the relationship between different length units (e.g., centimeters and meters).")</f>
        <v>Explain the relationship between different length units (e.g., centimeters and meters).</v>
      </c>
      <c r="M44" s="10" t="str">
        <f t="shared" si="2"/>
        <v>LU005174.003</v>
      </c>
      <c r="N44" s="10" t="str">
        <f ca="1">IFERROR(__xludf.DUMMYFUNCTION("VLOOKUP(M44, IMPORTRANGE(""https://docs.google.com/spreadsheets/d/1yDAaXNsi4Mr5FtRQL4tbmSdIzhx6_m4wkOD7IG-k_eo/edit#gid=1336395716"", ""Science!M:N""), 2, FALSE)"),"Convert between various units of length.")</f>
        <v>Convert between various units of length.</v>
      </c>
      <c r="O44" s="10" t="str">
        <f t="shared" si="3"/>
        <v>LU005174.004</v>
      </c>
      <c r="P44" s="10" t="str">
        <f ca="1">IFERROR(__xludf.DUMMYFUNCTION("VLOOKUP(O44, IMPORTRANGE(""https://docs.google.com/spreadsheets/d/1yDAaXNsi4Mr5FtRQL4tbmSdIzhx6_m4wkOD7IG-k_eo/edit#gid=1336395716"", ""Science!M:N""), 2, FALSE)"),"Describe real-world scenarios where specific length units are commonly used.")</f>
        <v>Describe real-world scenarios where specific length units are commonly used.</v>
      </c>
      <c r="Q44" s="10" t="str">
        <f t="shared" si="4"/>
        <v>LU005174.005</v>
      </c>
      <c r="R44" s="10" t="str">
        <f ca="1">IFERROR(__xludf.DUMMYFUNCTION("VLOOKUP(Q44, IMPORTRANGE(""https://docs.google.com/spreadsheets/d/1yDAaXNsi4Mr5FtRQL4tbmSdIzhx6_m4wkOD7IG-k_eo/edit#gid=1336395716"", ""Science!M:N""), 2, FALSE)"),"Judge the effectiveness of different units of length in solving practical measurement problems.")</f>
        <v>Judge the effectiveness of different units of length in solving practical measurement problems.</v>
      </c>
      <c r="S44" s="10" t="str">
        <f t="shared" si="5"/>
        <v>LU005174.006</v>
      </c>
      <c r="T44" s="10" t="str">
        <f ca="1">IFERROR(__xludf.DUMMYFUNCTION("VLOOKUP(S44, IMPORTRANGE(""https://docs.google.com/spreadsheets/d/1yDAaXNsi4Mr5FtRQL4tbmSdIzhx6_m4wkOD7IG-k_eo/edit#gid=1336395716"", ""Science!M:N""), 2, FALSE)"),"Develop a hands-on classroom activity illustrating the use of different length units in daily life.")</f>
        <v>Develop a hands-on classroom activity illustrating the use of different length units in daily life.</v>
      </c>
      <c r="U44" s="11">
        <f ca="1">IFERROR(__xludf.DUMMYFUNCTION("ArrayFormula(VLOOKUP(G44, IMPORTRANGE(""https://docs.google.com/spreadsheets/d/1p7R4vtkWt5VOBim4ltsDG9KTzSjrtKXsMtQGXPHyND0/edit#gid=795171502"", ""'Filter 30_05_2024'!A1:M2000""), {2, 3, 4, 5,6,7,8,9,10,11,12,13}, 0))"),5)</f>
        <v>5</v>
      </c>
      <c r="V44" s="11">
        <f ca="1">IFERROR(__xludf.DUMMYFUNCTION("""COMPUTED_VALUE"""),6)</f>
        <v>6</v>
      </c>
      <c r="W44" s="11">
        <f ca="1">IFERROR(__xludf.DUMMYFUNCTION("""COMPUTED_VALUE"""),6)</f>
        <v>6</v>
      </c>
      <c r="X44" s="11">
        <f ca="1">IFERROR(__xludf.DUMMYFUNCTION("""COMPUTED_VALUE"""),17)</f>
        <v>17</v>
      </c>
      <c r="Y44" s="11">
        <f ca="1">IFERROR(__xludf.DUMMYFUNCTION("""COMPUTED_VALUE"""),5)</f>
        <v>5</v>
      </c>
      <c r="Z44" s="12">
        <f ca="1">IFERROR(__xludf.DUMMYFUNCTION("""COMPUTED_VALUE"""),3)</f>
        <v>3</v>
      </c>
      <c r="AA44" s="12">
        <f ca="1">IFERROR(__xludf.DUMMYFUNCTION("""COMPUTED_VALUE"""),2)</f>
        <v>2</v>
      </c>
      <c r="AB44" s="12">
        <f ca="1">IFERROR(__xludf.DUMMYFUNCTION("""COMPUTED_VALUE"""),10)</f>
        <v>10</v>
      </c>
      <c r="AC44" s="12"/>
      <c r="AD44" s="12"/>
      <c r="AE44" s="12"/>
      <c r="AF44" s="12"/>
      <c r="AG44" s="13" t="str">
        <f ca="1">IFERROR(__xludf.DUMMYFUNCTION("ArrayFormula(VLOOKUP(G44, IMPORTRANGE(""https://docs.google.com/spreadsheets/d/1Co934fvtviyaRiMsrIlT05Jaq7iiYq07aLvRr35KA48/edit?gid=173865642#gid=173865642"", ""'G6_Sci Cur_Pri_LU'!G2:V2000""), {3, 4, 5, 6, 7, 8, 9, 10, 11, 12, 13, 14, 15, 16}, 0))"),"LU005182")</f>
        <v>LU005182</v>
      </c>
      <c r="AH44" s="13" t="str">
        <f ca="1">IFERROR(__xludf.DUMMYFUNCTION("""COMPUTED_VALUE"""),"Definition and Importance of Unit in Measurement")</f>
        <v>Definition and Importance of Unit in Measurement</v>
      </c>
      <c r="AI44" s="13"/>
      <c r="AJ44" s="13"/>
      <c r="AK44" s="13"/>
      <c r="AL44" s="13"/>
      <c r="AM44" s="13"/>
      <c r="AN44" s="13"/>
      <c r="AO44" s="13"/>
      <c r="AP44" s="13"/>
      <c r="AQ44" s="13"/>
      <c r="AR44" s="13"/>
      <c r="AS44" s="13"/>
      <c r="AT44" s="13"/>
    </row>
    <row r="45" spans="1:46">
      <c r="A45" s="8" t="s">
        <v>1405</v>
      </c>
      <c r="B45" s="8" t="s">
        <v>47</v>
      </c>
      <c r="C45" s="8" t="s">
        <v>48</v>
      </c>
      <c r="D45" s="8" t="s">
        <v>1510</v>
      </c>
      <c r="E45" s="8" t="s">
        <v>1511</v>
      </c>
      <c r="F45" s="8" t="s">
        <v>1522</v>
      </c>
      <c r="G45" s="107" t="s">
        <v>1523</v>
      </c>
      <c r="H45" s="69" t="s">
        <v>1524</v>
      </c>
      <c r="I45" s="10" t="str">
        <f t="shared" si="0"/>
        <v>LU005175.001</v>
      </c>
      <c r="J45" s="10" t="str">
        <f ca="1">IFERROR(__xludf.DUMMYFUNCTION("VLOOKUP(I45, IMPORTRANGE(""https://docs.google.com/spreadsheets/d/1yDAaXNsi4Mr5FtRQL4tbmSdIzhx6_m4wkOD7IG-k_eo/edit#gid=1336395716"", ""Science!M:N""), 2, FALSE)"),"List the common errors while measuring.  ")</f>
        <v xml:space="preserve">List the common errors while measuring.  </v>
      </c>
      <c r="K45" s="10" t="str">
        <f t="shared" si="1"/>
        <v>LU005175.002</v>
      </c>
      <c r="L45" s="10" t="str">
        <f ca="1">IFERROR(__xludf.DUMMYFUNCTION("VLOOKUP(K45, IMPORTRANGE(""https://docs.google.com/spreadsheets/d/1yDAaXNsi4Mr5FtRQL4tbmSdIzhx6_m4wkOD7IG-k_eo/edit#gid=1336395716"", ""Science!M:N""), 2, FALSE)"),"Explain the steps for measuring the length of any object using a scale. ")</f>
        <v xml:space="preserve">Explain the steps for measuring the length of any object using a scale. </v>
      </c>
      <c r="M45" s="10" t="str">
        <f t="shared" si="2"/>
        <v>LU005175.003</v>
      </c>
      <c r="N45" s="10" t="str">
        <f ca="1">IFERROR(__xludf.DUMMYFUNCTION("VLOOKUP(M45, IMPORTRANGE(""https://docs.google.com/spreadsheets/d/1yDAaXNsi4Mr5FtRQL4tbmSdIzhx6_m4wkOD7IG-k_eo/edit#gid=1336395716"", ""Science!M:N""), 2, FALSE)"),"Measure an object starting from 0, 1 and 2 cm marks on the scale.")</f>
        <v>Measure an object starting from 0, 1 and 2 cm marks on the scale.</v>
      </c>
      <c r="O45" s="10" t="str">
        <f t="shared" si="3"/>
        <v>LU005175.004</v>
      </c>
      <c r="P45" s="10" t="str">
        <f ca="1">IFERROR(__xludf.DUMMYFUNCTION("VLOOKUP(O45, IMPORTRANGE(""https://docs.google.com/spreadsheets/d/1yDAaXNsi4Mr5FtRQL4tbmSdIzhx6_m4wkOD7IG-k_eo/edit#gid=1336395716"", ""Science!M:N""), 2, FALSE)"),"Compare the measurements of the same object using different scales (e.g., centimeter vs. inch)")</f>
        <v>Compare the measurements of the same object using different scales (e.g., centimeter vs. inch)</v>
      </c>
      <c r="Q45" s="10" t="str">
        <f t="shared" si="4"/>
        <v>LU005175.005</v>
      </c>
      <c r="R45" s="10" t="str">
        <f ca="1">IFERROR(__xludf.DUMMYFUNCTION("VLOOKUP(Q45, IMPORTRANGE(""https://docs.google.com/spreadsheets/d/1yDAaXNsi4Mr5FtRQL4tbmSdIzhx6_m4wkOD7IG-k_eo/edit#gid=1336395716"", ""Science!M:N""), 2, FALSE)"),"Judge the accuracy of a measurement by identifying and accounting for potential sources of error when using a scale")</f>
        <v>Judge the accuracy of a measurement by identifying and accounting for potential sources of error when using a scale</v>
      </c>
      <c r="S45" s="10" t="str">
        <f t="shared" si="5"/>
        <v>LU005175.006</v>
      </c>
      <c r="T45" s="10" t="str">
        <f ca="1">IFERROR(__xludf.DUMMYFUNCTION("VLOOKUP(S45, IMPORTRANGE(""https://docs.google.com/spreadsheets/d/1yDAaXNsi4Mr5FtRQL4tbmSdIzhx6_m4wkOD7IG-k_eo/edit#gid=1336395716"", ""Science!M:N""), 2, FALSE)"),"#N/A")</f>
        <v>#N/A</v>
      </c>
      <c r="U45" s="11">
        <f ca="1">IFERROR(__xludf.DUMMYFUNCTION("ArrayFormula(VLOOKUP(G45, IMPORTRANGE(""https://docs.google.com/spreadsheets/d/1p7R4vtkWt5VOBim4ltsDG9KTzSjrtKXsMtQGXPHyND0/edit#gid=795171502"", ""'Filter 30_05_2024'!A1:M2000""), {2, 3, 4, 5,6,7,8,9,10,11,12,13}, 0))"),4)</f>
        <v>4</v>
      </c>
      <c r="V45" s="11">
        <f ca="1">IFERROR(__xludf.DUMMYFUNCTION("""COMPUTED_VALUE"""),6)</f>
        <v>6</v>
      </c>
      <c r="W45" s="11">
        <f ca="1">IFERROR(__xludf.DUMMYFUNCTION("""COMPUTED_VALUE"""),2)</f>
        <v>2</v>
      </c>
      <c r="X45" s="11">
        <f ca="1">IFERROR(__xludf.DUMMYFUNCTION("""COMPUTED_VALUE"""),12)</f>
        <v>12</v>
      </c>
      <c r="Y45" s="11">
        <f ca="1">IFERROR(__xludf.DUMMYFUNCTION("""COMPUTED_VALUE"""),6)</f>
        <v>6</v>
      </c>
      <c r="Z45" s="12">
        <f ca="1">IFERROR(__xludf.DUMMYFUNCTION("""COMPUTED_VALUE"""),4)</f>
        <v>4</v>
      </c>
      <c r="AA45" s="12">
        <f ca="1">IFERROR(__xludf.DUMMYFUNCTION("""COMPUTED_VALUE"""),1)</f>
        <v>1</v>
      </c>
      <c r="AB45" s="12">
        <f ca="1">IFERROR(__xludf.DUMMYFUNCTION("""COMPUTED_VALUE"""),11)</f>
        <v>11</v>
      </c>
      <c r="AC45" s="12"/>
      <c r="AD45" s="12"/>
      <c r="AE45" s="12"/>
      <c r="AF45" s="12"/>
      <c r="AG45" s="13" t="str">
        <f ca="1">IFERROR(__xludf.DUMMYFUNCTION("ArrayFormula(VLOOKUP(G45, IMPORTRANGE(""https://docs.google.com/spreadsheets/d/1Co934fvtviyaRiMsrIlT05Jaq7iiYq07aLvRr35KA48/edit?gid=173865642#gid=173865642"", ""'G6_Sci Cur_Pri_LU'!G2:V2000""), {3, 4, 5, 6, 7, 8, 9, 10, 11, 12, 13, 14, 15, 16}, 0))"),"LU005174")</f>
        <v>LU005174</v>
      </c>
      <c r="AH45" s="13" t="str">
        <f ca="1">IFERROR(__xludf.DUMMYFUNCTION("""COMPUTED_VALUE"""),"Units of length")</f>
        <v>Units of length</v>
      </c>
      <c r="AI45" s="13" t="str">
        <f ca="1">IFERROR(__xludf.DUMMYFUNCTION("""COMPUTED_VALUE"""),"LU005182")</f>
        <v>LU005182</v>
      </c>
      <c r="AJ45" s="13" t="str">
        <f ca="1">IFERROR(__xludf.DUMMYFUNCTION("""COMPUTED_VALUE"""),"Definition and Importance of Unit in Measurement")</f>
        <v>Definition and Importance of Unit in Measurement</v>
      </c>
      <c r="AK45" s="13"/>
      <c r="AL45" s="13"/>
      <c r="AM45" s="13"/>
      <c r="AN45" s="13"/>
      <c r="AO45" s="13"/>
      <c r="AP45" s="13"/>
      <c r="AQ45" s="13"/>
      <c r="AR45" s="13"/>
      <c r="AS45" s="13"/>
      <c r="AT45" s="13"/>
    </row>
    <row r="46" spans="1:46">
      <c r="A46" s="8" t="s">
        <v>1405</v>
      </c>
      <c r="B46" s="8" t="s">
        <v>47</v>
      </c>
      <c r="C46" s="8" t="s">
        <v>48</v>
      </c>
      <c r="D46" s="8" t="s">
        <v>1510</v>
      </c>
      <c r="E46" s="8" t="s">
        <v>1511</v>
      </c>
      <c r="F46" s="8" t="s">
        <v>1522</v>
      </c>
      <c r="G46" s="107" t="s">
        <v>1525</v>
      </c>
      <c r="H46" s="69" t="s">
        <v>1526</v>
      </c>
      <c r="I46" s="10" t="str">
        <f t="shared" si="0"/>
        <v>LU005176.001</v>
      </c>
      <c r="J46" s="10" t="str">
        <f ca="1">IFERROR(__xludf.DUMMYFUNCTION("VLOOKUP(I46, IMPORTRANGE(""https://docs.google.com/spreadsheets/d/1yDAaXNsi4Mr5FtRQL4tbmSdIzhx6_m4wkOD7IG-k_eo/edit#gid=1336395716"", ""Science!M:N""), 2, FALSE)"),"Identify the tools and methods used for measuring curved lines.")</f>
        <v>Identify the tools and methods used for measuring curved lines.</v>
      </c>
      <c r="K46" s="10" t="str">
        <f t="shared" si="1"/>
        <v>LU005176.002</v>
      </c>
      <c r="L46" s="10" t="str">
        <f ca="1">IFERROR(__xludf.DUMMYFUNCTION("VLOOKUP(K46, IMPORTRANGE(""https://docs.google.com/spreadsheets/d/1yDAaXNsi4Mr5FtRQL4tbmSdIzhx6_m4wkOD7IG-k_eo/edit#gid=1336395716"", ""Science!M:N""), 2, FALSE)"),"Explain the process of measuring the length of a curved line.")</f>
        <v>Explain the process of measuring the length of a curved line.</v>
      </c>
      <c r="M46" s="10" t="str">
        <f t="shared" si="2"/>
        <v>LU005176.003</v>
      </c>
      <c r="N46" s="10" t="str">
        <f ca="1">IFERROR(__xludf.DUMMYFUNCTION("VLOOKUP(M46, IMPORTRANGE(""https://docs.google.com/spreadsheets/d/1yDAaXNsi4Mr5FtRQL4tbmSdIzhx6_m4wkOD7IG-k_eo/edit#gid=1336395716"", ""Science!M:N""), 2, FALSE)"),"Use a string and ruler to measure the length of a curved line on a given object or surface.")</f>
        <v>Use a string and ruler to measure the length of a curved line on a given object or surface.</v>
      </c>
      <c r="O46" s="10" t="str">
        <f t="shared" si="3"/>
        <v>LU005176.004</v>
      </c>
      <c r="P46" s="10" t="str">
        <f ca="1">IFERROR(__xludf.DUMMYFUNCTION("VLOOKUP(O46, IMPORTRANGE(""https://docs.google.com/spreadsheets/d/1yDAaXNsi4Mr5FtRQL4tbmSdIzhx6_m4wkOD7IG-k_eo/edit#gid=1336395716"", ""Science!M:N""), 2, FALSE)"),"Analyze the challenges in measuring curved lines accurately and propose strategies to improve measurement precision.")</f>
        <v>Analyze the challenges in measuring curved lines accurately and propose strategies to improve measurement precision.</v>
      </c>
      <c r="Q46" s="10" t="str">
        <f t="shared" si="4"/>
        <v>LU005176.005</v>
      </c>
      <c r="R46" s="10" t="str">
        <f ca="1">IFERROR(__xludf.DUMMYFUNCTION("VLOOKUP(Q46, IMPORTRANGE(""https://docs.google.com/spreadsheets/d/1yDAaXNsi4Mr5FtRQL4tbmSdIzhx6_m4wkOD7IG-k_eo/edit#gid=1336395716"", ""Science!M:N""), 2, FALSE)"),"Assess the accuracy of different methods used for measuring curved lines.")</f>
        <v>Assess the accuracy of different methods used for measuring curved lines.</v>
      </c>
      <c r="S46" s="10" t="str">
        <f t="shared" si="5"/>
        <v>LU005176.006</v>
      </c>
      <c r="T46" s="10" t="str">
        <f ca="1">IFERROR(__xludf.DUMMYFUNCTION("VLOOKUP(S46, IMPORTRANGE(""https://docs.google.com/spreadsheets/d/1yDAaXNsi4Mr5FtRQL4tbmSdIzhx6_m4wkOD7IG-k_eo/edit#gid=1336395716"", ""Science!M:N""), 2, FALSE)"),"Design a step-by-step guide for measuring complex curved lines and shapes, including techniques for handling irregular curves.")</f>
        <v>Design a step-by-step guide for measuring complex curved lines and shapes, including techniques for handling irregular curves.</v>
      </c>
      <c r="U46" s="11">
        <f ca="1">IFERROR(__xludf.DUMMYFUNCTION("ArrayFormula(VLOOKUP(G46, IMPORTRANGE(""https://docs.google.com/spreadsheets/d/1p7R4vtkWt5VOBim4ltsDG9KTzSjrtKXsMtQGXPHyND0/edit#gid=795171502"", ""'Filter 30_05_2024'!A1:M2000""), {2, 3, 4, 5,6,7,8,9,10,11,12,13}, 0))"),7)</f>
        <v>7</v>
      </c>
      <c r="V46" s="11">
        <f ca="1">IFERROR(__xludf.DUMMYFUNCTION("""COMPUTED_VALUE"""),6)</f>
        <v>6</v>
      </c>
      <c r="W46" s="11">
        <f ca="1">IFERROR(__xludf.DUMMYFUNCTION("""COMPUTED_VALUE"""),3)</f>
        <v>3</v>
      </c>
      <c r="X46" s="11">
        <f ca="1">IFERROR(__xludf.DUMMYFUNCTION("""COMPUTED_VALUE"""),16)</f>
        <v>16</v>
      </c>
      <c r="Y46" s="11">
        <f ca="1">IFERROR(__xludf.DUMMYFUNCTION("""COMPUTED_VALUE"""),4)</f>
        <v>4</v>
      </c>
      <c r="Z46" s="12">
        <f ca="1">IFERROR(__xludf.DUMMYFUNCTION("""COMPUTED_VALUE"""),3)</f>
        <v>3</v>
      </c>
      <c r="AA46" s="12">
        <f ca="1">IFERROR(__xludf.DUMMYFUNCTION("""COMPUTED_VALUE"""),1)</f>
        <v>1</v>
      </c>
      <c r="AB46" s="12">
        <f ca="1">IFERROR(__xludf.DUMMYFUNCTION("""COMPUTED_VALUE"""),8)</f>
        <v>8</v>
      </c>
      <c r="AC46" s="12">
        <f ca="1">IFERROR(__xludf.DUMMYFUNCTION("""COMPUTED_VALUE"""),1)</f>
        <v>1</v>
      </c>
      <c r="AD46" s="12"/>
      <c r="AE46" s="12"/>
      <c r="AF46" s="12">
        <f ca="1">IFERROR(__xludf.DUMMYFUNCTION("""COMPUTED_VALUE"""),1)</f>
        <v>1</v>
      </c>
      <c r="AG46" s="13" t="str">
        <f ca="1">IFERROR(__xludf.DUMMYFUNCTION("ArrayFormula(VLOOKUP(G46, IMPORTRANGE(""https://docs.google.com/spreadsheets/d/1Co934fvtviyaRiMsrIlT05Jaq7iiYq07aLvRr35KA48/edit?gid=173865642#gid=173865642"", ""'G6_Sci Cur_Pri_LU'!G2:V2000""), {3, 4, 5, 6, 7, 8, 9, 10, 11, 12, 13, 14, 15, 16}, 0))"),"LU005175")</f>
        <v>LU005175</v>
      </c>
      <c r="AH46" s="13" t="str">
        <f ca="1">IFERROR(__xludf.DUMMYFUNCTION("""COMPUTED_VALUE"""),"Measurement of length using ruler")</f>
        <v>Measurement of length using ruler</v>
      </c>
      <c r="AI46" s="13" t="str">
        <f ca="1">IFERROR(__xludf.DUMMYFUNCTION("""COMPUTED_VALUE"""),"LU005174")</f>
        <v>LU005174</v>
      </c>
      <c r="AJ46" s="13" t="str">
        <f ca="1">IFERROR(__xludf.DUMMYFUNCTION("""COMPUTED_VALUE"""),"Units of length")</f>
        <v>Units of length</v>
      </c>
      <c r="AK46" s="13"/>
      <c r="AL46" s="13"/>
      <c r="AM46" s="13"/>
      <c r="AN46" s="13"/>
      <c r="AO46" s="13"/>
      <c r="AP46" s="13"/>
      <c r="AQ46" s="13"/>
      <c r="AR46" s="13"/>
      <c r="AS46" s="13"/>
      <c r="AT46" s="13"/>
    </row>
    <row r="47" spans="1:46">
      <c r="A47" s="8" t="s">
        <v>1405</v>
      </c>
      <c r="B47" s="8" t="s">
        <v>47</v>
      </c>
      <c r="C47" s="8" t="s">
        <v>48</v>
      </c>
      <c r="D47" s="8" t="s">
        <v>1510</v>
      </c>
      <c r="E47" s="8" t="s">
        <v>1511</v>
      </c>
      <c r="F47" s="8" t="s">
        <v>1527</v>
      </c>
      <c r="G47" s="108" t="s">
        <v>1528</v>
      </c>
      <c r="H47" s="69" t="s">
        <v>1529</v>
      </c>
      <c r="I47" s="10" t="str">
        <f t="shared" si="0"/>
        <v>LU006317.001</v>
      </c>
      <c r="J47" s="10" t="str">
        <f ca="1">IFERROR(__xludf.DUMMYFUNCTION("VLOOKUP(I47, IMPORTRANGE(""https://docs.google.com/spreadsheets/d/1yDAaXNsi4Mr5FtRQL4tbmSdIzhx6_m4wkOD7IG-k_eo/edit#gid=1336395716"", ""Science!M:N""), 2, FALSE)"),"Identify what a reference point (origin) is in describing an object's position.")</f>
        <v>Identify what a reference point (origin) is in describing an object's position.</v>
      </c>
      <c r="K47" s="10" t="str">
        <f t="shared" si="1"/>
        <v>LU006317.002</v>
      </c>
      <c r="L47" s="10" t="str">
        <f ca="1">IFERROR(__xludf.DUMMYFUNCTION("VLOOKUP(K47, IMPORTRANGE(""https://docs.google.com/spreadsheets/d/1yDAaXNsi4Mr5FtRQL4tbmSdIzhx6_m4wkOD7IG-k_eo/edit#gid=1336395716"", ""Science!M:N""), 2, FALSE)"),"Explain the importance of a reference point in determining an object’s position.")</f>
        <v>Explain the importance of a reference point in determining an object’s position.</v>
      </c>
      <c r="M47" s="10" t="str">
        <f t="shared" si="2"/>
        <v>LU006317.003</v>
      </c>
      <c r="N47" s="10" t="str">
        <f ca="1">IFERROR(__xludf.DUMMYFUNCTION("VLOOKUP(M47, IMPORTRANGE(""https://docs.google.com/spreadsheets/d/1yDAaXNsi4Mr5FtRQL4tbmSdIzhx6_m4wkOD7IG-k_eo/edit#gid=1336395716"", ""Science!M:N""), 2, FALSE)"),"Use reference points to describe the position of various objects in different scenarios.")</f>
        <v>Use reference points to describe the position of various objects in different scenarios.</v>
      </c>
      <c r="O47" s="10" t="str">
        <f t="shared" si="3"/>
        <v>LU006317.004</v>
      </c>
      <c r="P47" s="10" t="str">
        <f ca="1">IFERROR(__xludf.DUMMYFUNCTION("VLOOKUP(O47, IMPORTRANGE(""https://docs.google.com/spreadsheets/d/1yDAaXNsi4Mr5FtRQL4tbmSdIzhx6_m4wkOD7IG-k_eo/edit#gid=1336395716"", ""Science!M:N""), 2, FALSE)"),"Compare the positions of objects using different reference points.")</f>
        <v>Compare the positions of objects using different reference points.</v>
      </c>
      <c r="Q47" s="10" t="str">
        <f t="shared" si="4"/>
        <v>LU006317.005</v>
      </c>
      <c r="R47" s="10" t="str">
        <f ca="1">IFERROR(__xludf.DUMMYFUNCTION("VLOOKUP(Q47, IMPORTRANGE(""https://docs.google.com/spreadsheets/d/1yDAaXNsi4Mr5FtRQL4tbmSdIzhx6_m4wkOD7IG-k_eo/edit#gid=1336395716"", ""Science!M:N""), 2, FALSE)"),"Justify the selection of a particular reference point in a given situation.")</f>
        <v>Justify the selection of a particular reference point in a given situation.</v>
      </c>
      <c r="S47" s="10" t="str">
        <f t="shared" si="5"/>
        <v>LU006317.006</v>
      </c>
      <c r="T47" s="10" t="str">
        <f ca="1">IFERROR(__xludf.DUMMYFUNCTION("VLOOKUP(S47, IMPORTRANGE(""https://docs.google.com/spreadsheets/d/1yDAaXNsi4Mr5FtRQL4tbmSdIzhx6_m4wkOD7IG-k_eo/edit#gid=1336395716"", ""Science!M:N""), 2, FALSE)"),"Develop a method to choose the most effective reference point for describing the position of objects in a classroom setting.")</f>
        <v>Develop a method to choose the most effective reference point for describing the position of objects in a classroom setting.</v>
      </c>
      <c r="U47" s="11" t="str">
        <f ca="1">IFERROR(__xludf.DUMMYFUNCTION("ArrayFormula(VLOOKUP(G47, IMPORTRANGE(""https://docs.google.com/spreadsheets/d/1p7R4vtkWt5VOBim4ltsDG9KTzSjrtKXsMtQGXPHyND0/edit#gid=795171502"", ""'Filter 30_05_2024'!A1:M2000""), {2, 3, 4, 5,6,7,8,9,10,11,12,13}, 0))"),"#N/A")</f>
        <v>#N/A</v>
      </c>
      <c r="V47" s="11" t="str">
        <f ca="1">IFERROR(__xludf.DUMMYFUNCTION("""COMPUTED_VALUE"""),"#N/A")</f>
        <v>#N/A</v>
      </c>
      <c r="W47" s="11" t="str">
        <f ca="1">IFERROR(__xludf.DUMMYFUNCTION("""COMPUTED_VALUE"""),"#N/A")</f>
        <v>#N/A</v>
      </c>
      <c r="X47" s="11" t="str">
        <f ca="1">IFERROR(__xludf.DUMMYFUNCTION("""COMPUTED_VALUE"""),"#N/A")</f>
        <v>#N/A</v>
      </c>
      <c r="Y47" s="11" t="str">
        <f ca="1">IFERROR(__xludf.DUMMYFUNCTION("""COMPUTED_VALUE"""),"#N/A")</f>
        <v>#N/A</v>
      </c>
      <c r="Z47" s="12" t="str">
        <f ca="1">IFERROR(__xludf.DUMMYFUNCTION("""COMPUTED_VALUE"""),"#N/A")</f>
        <v>#N/A</v>
      </c>
      <c r="AA47" s="12" t="str">
        <f ca="1">IFERROR(__xludf.DUMMYFUNCTION("""COMPUTED_VALUE"""),"#N/A")</f>
        <v>#N/A</v>
      </c>
      <c r="AB47" s="12" t="str">
        <f ca="1">IFERROR(__xludf.DUMMYFUNCTION("""COMPUTED_VALUE"""),"#N/A")</f>
        <v>#N/A</v>
      </c>
      <c r="AC47" s="12" t="str">
        <f ca="1">IFERROR(__xludf.DUMMYFUNCTION("""COMPUTED_VALUE"""),"#N/A")</f>
        <v>#N/A</v>
      </c>
      <c r="AD47" s="12" t="str">
        <f ca="1">IFERROR(__xludf.DUMMYFUNCTION("""COMPUTED_VALUE"""),"#N/A")</f>
        <v>#N/A</v>
      </c>
      <c r="AE47" s="12" t="str">
        <f ca="1">IFERROR(__xludf.DUMMYFUNCTION("""COMPUTED_VALUE"""),"#N/A")</f>
        <v>#N/A</v>
      </c>
      <c r="AF47" s="12" t="str">
        <f ca="1">IFERROR(__xludf.DUMMYFUNCTION("""COMPUTED_VALUE"""),"#N/A")</f>
        <v>#N/A</v>
      </c>
      <c r="AG47" s="13" t="str">
        <f ca="1">IFERROR(__xludf.DUMMYFUNCTION("ArrayFormula(VLOOKUP(G47, IMPORTRANGE(""https://docs.google.com/spreadsheets/d/1Co934fvtviyaRiMsrIlT05Jaq7iiYq07aLvRr35KA48/edit?gid=173865642#gid=173865642"", ""'G6_Sci Cur_Pri_LU'!G2:V2000""), {3, 4, 5, 6, 7, 8, 9, 10, 11, 12, 13, 14, 15, 16}, 0))"),"LU005175")</f>
        <v>LU005175</v>
      </c>
      <c r="AH47" s="13" t="str">
        <f ca="1">IFERROR(__xludf.DUMMYFUNCTION("""COMPUTED_VALUE"""),"Measurement of length using ruler")</f>
        <v>Measurement of length using ruler</v>
      </c>
      <c r="AI47" s="13"/>
      <c r="AJ47" s="13"/>
      <c r="AK47" s="13"/>
      <c r="AL47" s="13"/>
      <c r="AM47" s="13"/>
      <c r="AN47" s="13"/>
      <c r="AO47" s="13"/>
      <c r="AP47" s="13"/>
      <c r="AQ47" s="13"/>
      <c r="AR47" s="13"/>
      <c r="AS47" s="13"/>
      <c r="AT47" s="13"/>
    </row>
    <row r="48" spans="1:46">
      <c r="A48" s="8" t="s">
        <v>1405</v>
      </c>
      <c r="B48" s="8" t="s">
        <v>47</v>
      </c>
      <c r="C48" s="8" t="s">
        <v>48</v>
      </c>
      <c r="D48" s="8" t="s">
        <v>1510</v>
      </c>
      <c r="E48" s="8" t="s">
        <v>1511</v>
      </c>
      <c r="F48" s="8" t="s">
        <v>1527</v>
      </c>
      <c r="G48" s="107" t="s">
        <v>1530</v>
      </c>
      <c r="H48" s="69" t="s">
        <v>1531</v>
      </c>
      <c r="I48" s="10" t="str">
        <f t="shared" si="0"/>
        <v>LU005177.001</v>
      </c>
      <c r="J48" s="10" t="str">
        <f ca="1">IFERROR(__xludf.DUMMYFUNCTION("VLOOKUP(I48, IMPORTRANGE(""https://docs.google.com/spreadsheets/d/1yDAaXNsi4Mr5FtRQL4tbmSdIzhx6_m4wkOD7IG-k_eo/edit#gid=1336395716"", ""Science!M:N""), 2, FALSE)"),"Identify objects from daily life that are in motion and those that are at rest.")</f>
        <v>Identify objects from daily life that are in motion and those that are at rest.</v>
      </c>
      <c r="K48" s="10" t="str">
        <f t="shared" si="1"/>
        <v>LU005177.002</v>
      </c>
      <c r="L48" s="10" t="str">
        <f ca="1">IFERROR(__xludf.DUMMYFUNCTION("VLOOKUP(K48, IMPORTRANGE(""https://docs.google.com/spreadsheets/d/1yDAaXNsi4Mr5FtRQL4tbmSdIzhx6_m4wkOD7IG-k_eo/edit#gid=1336395716"", ""Science!M:N""), 2, FALSE)"),"Describe the basis on which decisions about an object's motion or rest are made.")</f>
        <v>Describe the basis on which decisions about an object's motion or rest are made.</v>
      </c>
      <c r="M48" s="10" t="str">
        <f t="shared" si="2"/>
        <v>LU005177.003</v>
      </c>
      <c r="N48" s="10" t="str">
        <f ca="1">IFERROR(__xludf.DUMMYFUNCTION("VLOOKUP(M48, IMPORTRANGE(""https://docs.google.com/spreadsheets/d/1yDAaXNsi4Mr5FtRQL4tbmSdIzhx6_m4wkOD7IG-k_eo/edit#gid=1336395716"", ""Science!M:N""), 2, FALSE)"),"Classify observed objects based on their state of motion or rest.")</f>
        <v>Classify observed objects based on their state of motion or rest.</v>
      </c>
      <c r="O48" s="10" t="str">
        <f t="shared" si="3"/>
        <v>LU005177.004</v>
      </c>
      <c r="P48" s="10" t="str">
        <f ca="1">IFERROR(__xludf.DUMMYFUNCTION("VLOOKUP(O48, IMPORTRANGE(""https://docs.google.com/spreadsheets/d/1yDAaXNsi4Mr5FtRQL4tbmSdIzhx6_m4wkOD7IG-k_eo/edit#gid=1336395716"", ""Science!M:N""), 2, FALSE)"),"Analyze the characteristics of objects in both states of rest and motion")</f>
        <v>Analyze the characteristics of objects in both states of rest and motion</v>
      </c>
      <c r="Q48" s="10" t="str">
        <f t="shared" si="4"/>
        <v>LU005177.005</v>
      </c>
      <c r="R48" s="10" t="str">
        <f ca="1">IFERROR(__xludf.DUMMYFUNCTION("VLOOKUP(Q48, IMPORTRANGE(""https://docs.google.com/spreadsheets/d/1yDAaXNsi4Mr5FtRQL4tbmSdIzhx6_m4wkOD7IG-k_eo/edit#gid=1336395716"", ""Science!M:N""), 2, FALSE)"),"Evaluate the differences between objects in the state of rest and objects in the state of motion")</f>
        <v>Evaluate the differences between objects in the state of rest and objects in the state of motion</v>
      </c>
      <c r="S48" s="10" t="str">
        <f t="shared" si="5"/>
        <v>LU005177.006</v>
      </c>
      <c r="T48" s="10" t="str">
        <f ca="1">IFERROR(__xludf.DUMMYFUNCTION("VLOOKUP(S48, IMPORTRANGE(""https://docs.google.com/spreadsheets/d/1yDAaXNsi4Mr5FtRQL4tbmSdIzhx6_m4wkOD7IG-k_eo/edit#gid=1336395716"", ""Science!M:N""), 2, FALSE)"),"#N/A")</f>
        <v>#N/A</v>
      </c>
      <c r="U48" s="11">
        <f ca="1">IFERROR(__xludf.DUMMYFUNCTION("ArrayFormula(VLOOKUP(G48, IMPORTRANGE(""https://docs.google.com/spreadsheets/d/1p7R4vtkWt5VOBim4ltsDG9KTzSjrtKXsMtQGXPHyND0/edit#gid=795171502"", ""'Filter 30_05_2024'!A1:M2000""), {2, 3, 4, 5,6,7,8,9,10,11,12,13}, 0))"),4)</f>
        <v>4</v>
      </c>
      <c r="V48" s="11">
        <f ca="1">IFERROR(__xludf.DUMMYFUNCTION("""COMPUTED_VALUE"""),6)</f>
        <v>6</v>
      </c>
      <c r="W48" s="11">
        <f ca="1">IFERROR(__xludf.DUMMYFUNCTION("""COMPUTED_VALUE"""),2)</f>
        <v>2</v>
      </c>
      <c r="X48" s="11">
        <f ca="1">IFERROR(__xludf.DUMMYFUNCTION("""COMPUTED_VALUE"""),12)</f>
        <v>12</v>
      </c>
      <c r="Y48" s="11">
        <f ca="1">IFERROR(__xludf.DUMMYFUNCTION("""COMPUTED_VALUE"""),4)</f>
        <v>4</v>
      </c>
      <c r="Z48" s="12">
        <f ca="1">IFERROR(__xludf.DUMMYFUNCTION("""COMPUTED_VALUE"""),3)</f>
        <v>3</v>
      </c>
      <c r="AA48" s="12">
        <f ca="1">IFERROR(__xludf.DUMMYFUNCTION("""COMPUTED_VALUE"""),1)</f>
        <v>1</v>
      </c>
      <c r="AB48" s="12">
        <f ca="1">IFERROR(__xludf.DUMMYFUNCTION("""COMPUTED_VALUE"""),8)</f>
        <v>8</v>
      </c>
      <c r="AC48" s="12"/>
      <c r="AD48" s="12"/>
      <c r="AE48" s="12"/>
      <c r="AF48" s="12"/>
      <c r="AG48" s="13" t="str">
        <f ca="1">IFERROR(__xludf.DUMMYFUNCTION("ArrayFormula(VLOOKUP(G48, IMPORTRANGE(""https://docs.google.com/spreadsheets/d/1Co934fvtviyaRiMsrIlT05Jaq7iiYq07aLvRr35KA48/edit?gid=173865642#gid=173865642"", ""'G6_Sci Cur_Pri_LU'!G2:V2000""), {3, 4, 5, 6, 7, 8, 9, 10, 11, 12, 13, 14, 15, 16}, 0))"),"")</f>
        <v/>
      </c>
      <c r="AH48" s="13"/>
      <c r="AI48" s="13"/>
      <c r="AJ48" s="13"/>
      <c r="AK48" s="13"/>
      <c r="AL48" s="13"/>
      <c r="AM48" s="13"/>
      <c r="AN48" s="13"/>
      <c r="AO48" s="13"/>
      <c r="AP48" s="13"/>
      <c r="AQ48" s="13"/>
      <c r="AR48" s="13"/>
      <c r="AS48" s="13"/>
      <c r="AT48" s="13"/>
    </row>
    <row r="49" spans="1:46">
      <c r="A49" s="8" t="s">
        <v>1405</v>
      </c>
      <c r="B49" s="8" t="s">
        <v>47</v>
      </c>
      <c r="C49" s="8" t="s">
        <v>48</v>
      </c>
      <c r="D49" s="8" t="s">
        <v>1510</v>
      </c>
      <c r="E49" s="8" t="s">
        <v>1511</v>
      </c>
      <c r="F49" s="8" t="s">
        <v>1532</v>
      </c>
      <c r="G49" s="107" t="s">
        <v>1533</v>
      </c>
      <c r="H49" s="69" t="s">
        <v>1534</v>
      </c>
      <c r="I49" s="10" t="str">
        <f t="shared" si="0"/>
        <v>LU005186.001</v>
      </c>
      <c r="J49" s="10" t="str">
        <f ca="1">IFERROR(__xludf.DUMMYFUNCTION("VLOOKUP(I49, IMPORTRANGE(""https://docs.google.com/spreadsheets/d/1yDAaXNsi4Mr5FtRQL4tbmSdIzhx6_m4wkOD7IG-k_eo/edit#gid=1336395716"", ""Science!M:N""), 2, FALSE)"),"Identify real-world examples of objects moving in a straight line.")</f>
        <v>Identify real-world examples of objects moving in a straight line.</v>
      </c>
      <c r="K49" s="10" t="str">
        <f t="shared" si="1"/>
        <v>LU005186.002</v>
      </c>
      <c r="L49" s="10" t="str">
        <f ca="1">IFERROR(__xludf.DUMMYFUNCTION("VLOOKUP(K49, IMPORTRANGE(""https://docs.google.com/spreadsheets/d/1yDAaXNsi4Mr5FtRQL4tbmSdIzhx6_m4wkOD7IG-k_eo/edit#gid=1336395716"", ""Science!M:N""), 2, FALSE)"),"Describe the characteristics of motion in a straight line.")</f>
        <v>Describe the characteristics of motion in a straight line.</v>
      </c>
      <c r="M49" s="10" t="str">
        <f t="shared" si="2"/>
        <v>LU005186.003</v>
      </c>
      <c r="N49" s="10" t="str">
        <f ca="1">IFERROR(__xludf.DUMMYFUNCTION("VLOOKUP(M49, IMPORTRANGE(""https://docs.google.com/spreadsheets/d/1yDAaXNsi4Mr5FtRQL4tbmSdIzhx6_m4wkOD7IG-k_eo/edit#gid=1336395716"", ""Science!M:N""), 2, FALSE)"),"Apply knowledge of straight-line motion to predict the path of moving objects in controlled scenarios.")</f>
        <v>Apply knowledge of straight-line motion to predict the path of moving objects in controlled scenarios.</v>
      </c>
      <c r="O49" s="10" t="str">
        <f t="shared" si="3"/>
        <v>LU005186.004</v>
      </c>
      <c r="P49" s="10" t="str">
        <f ca="1">IFERROR(__xludf.DUMMYFUNCTION("VLOOKUP(O49, IMPORTRANGE(""https://docs.google.com/spreadsheets/d/1yDAaXNsi4Mr5FtRQL4tbmSdIzhx6_m4wkOD7IG-k_eo/edit#gid=1336395716"", ""Science!M:N""), 2, FALSE)"),"Analyze the factors that ensure an object's motion remains rectilinear.")</f>
        <v>Analyze the factors that ensure an object's motion remains rectilinear.</v>
      </c>
      <c r="Q49" s="10" t="str">
        <f t="shared" si="4"/>
        <v>LU005186.005</v>
      </c>
      <c r="R49" s="10" t="str">
        <f ca="1">IFERROR(__xludf.DUMMYFUNCTION("VLOOKUP(Q49, IMPORTRANGE(""https://docs.google.com/spreadsheets/d/1yDAaXNsi4Mr5FtRQL4tbmSdIzhx6_m4wkOD7IG-k_eo/edit#gid=1336395716"", ""Science!M:N""), 2, FALSE)"),"Evaluate different types of motion in a straight line and their practical applications in daily life.")</f>
        <v>Evaluate different types of motion in a straight line and their practical applications in daily life.</v>
      </c>
      <c r="S49" s="10" t="str">
        <f t="shared" si="5"/>
        <v>LU005186.006</v>
      </c>
      <c r="T49" s="10" t="str">
        <f ca="1">IFERROR(__xludf.DUMMYFUNCTION("VLOOKUP(S49, IMPORTRANGE(""https://docs.google.com/spreadsheets/d/1yDAaXNsi4Mr5FtRQL4tbmSdIzhx6_m4wkOD7IG-k_eo/edit#gid=1336395716"", ""Science!M:N""), 2, FALSE)"),"#N/A")</f>
        <v>#N/A</v>
      </c>
      <c r="U49" s="11">
        <f ca="1">IFERROR(__xludf.DUMMYFUNCTION("ArrayFormula(VLOOKUP(G49, IMPORTRANGE(""https://docs.google.com/spreadsheets/d/1p7R4vtkWt5VOBim4ltsDG9KTzSjrtKXsMtQGXPHyND0/edit#gid=795171502"", ""'Filter 30_05_2024'!A1:M2000""), {2, 3, 4, 5,6,7,8,9,10,11,12,13}, 0))"),4)</f>
        <v>4</v>
      </c>
      <c r="V49" s="11">
        <f ca="1">IFERROR(__xludf.DUMMYFUNCTION("""COMPUTED_VALUE"""),6)</f>
        <v>6</v>
      </c>
      <c r="W49" s="11">
        <f ca="1">IFERROR(__xludf.DUMMYFUNCTION("""COMPUTED_VALUE"""),2)</f>
        <v>2</v>
      </c>
      <c r="X49" s="11">
        <f ca="1">IFERROR(__xludf.DUMMYFUNCTION("""COMPUTED_VALUE"""),12)</f>
        <v>12</v>
      </c>
      <c r="Y49" s="11">
        <f ca="1">IFERROR(__xludf.DUMMYFUNCTION("""COMPUTED_VALUE"""),4)</f>
        <v>4</v>
      </c>
      <c r="Z49" s="12">
        <f ca="1">IFERROR(__xludf.DUMMYFUNCTION("""COMPUTED_VALUE"""),3)</f>
        <v>3</v>
      </c>
      <c r="AA49" s="12">
        <f ca="1">IFERROR(__xludf.DUMMYFUNCTION("""COMPUTED_VALUE"""),1)</f>
        <v>1</v>
      </c>
      <c r="AB49" s="12">
        <f ca="1">IFERROR(__xludf.DUMMYFUNCTION("""COMPUTED_VALUE"""),8)</f>
        <v>8</v>
      </c>
      <c r="AC49" s="12"/>
      <c r="AD49" s="12"/>
      <c r="AE49" s="12"/>
      <c r="AF49" s="12"/>
      <c r="AG49" s="13" t="str">
        <f ca="1">IFERROR(__xludf.DUMMYFUNCTION("ArrayFormula(VLOOKUP(G49, IMPORTRANGE(""https://docs.google.com/spreadsheets/d/1Co934fvtviyaRiMsrIlT05Jaq7iiYq07aLvRr35KA48/edit?gid=173865642#gid=173865642"", ""'G6_Sci Cur_Pri_LU'!G2:V2000""), {3, 4, 5, 6, 7, 8, 9, 10, 11, 12, 13, 14, 15, 16}, 0))"),"LU005177")</f>
        <v>LU005177</v>
      </c>
      <c r="AH49" s="13" t="str">
        <f ca="1">IFERROR(__xludf.DUMMYFUNCTION("""COMPUTED_VALUE"""),"Comparison of object in the State of rest vs State of Motion")</f>
        <v>Comparison of object in the State of rest vs State of Motion</v>
      </c>
      <c r="AI49" s="13"/>
      <c r="AJ49" s="13"/>
      <c r="AK49" s="13"/>
      <c r="AL49" s="13"/>
      <c r="AM49" s="13"/>
      <c r="AN49" s="13"/>
      <c r="AO49" s="13"/>
      <c r="AP49" s="13"/>
      <c r="AQ49" s="13"/>
      <c r="AR49" s="13"/>
      <c r="AS49" s="13"/>
      <c r="AT49" s="13"/>
    </row>
    <row r="50" spans="1:46">
      <c r="A50" s="8" t="s">
        <v>1405</v>
      </c>
      <c r="B50" s="8" t="s">
        <v>47</v>
      </c>
      <c r="C50" s="8" t="s">
        <v>48</v>
      </c>
      <c r="D50" s="8" t="s">
        <v>1510</v>
      </c>
      <c r="E50" s="8" t="s">
        <v>1511</v>
      </c>
      <c r="F50" s="8" t="s">
        <v>1532</v>
      </c>
      <c r="G50" s="107" t="s">
        <v>1535</v>
      </c>
      <c r="H50" s="69" t="s">
        <v>1536</v>
      </c>
      <c r="I50" s="10" t="str">
        <f t="shared" si="0"/>
        <v>LU005187.001</v>
      </c>
      <c r="J50" s="10" t="str">
        <f ca="1">IFERROR(__xludf.DUMMYFUNCTION("VLOOKUP(I50, IMPORTRANGE(""https://docs.google.com/spreadsheets/d/1yDAaXNsi4Mr5FtRQL4tbmSdIzhx6_m4wkOD7IG-k_eo/edit#gid=1336395716"", ""Science!M:N""), 2, FALSE)"),"Define what circular motion means.")</f>
        <v>Define what circular motion means.</v>
      </c>
      <c r="K50" s="10" t="str">
        <f t="shared" si="1"/>
        <v>LU005187.002</v>
      </c>
      <c r="L50" s="10" t="str">
        <f ca="1">IFERROR(__xludf.DUMMYFUNCTION("VLOOKUP(K50, IMPORTRANGE(""https://docs.google.com/spreadsheets/d/1yDAaXNsi4Mr5FtRQL4tbmSdIzhx6_m4wkOD7IG-k_eo/edit#gid=1336395716"", ""Science!M:N""), 2, FALSE)"),"Point out everyday examples of circular motion. ")</f>
        <v xml:space="preserve">Point out everyday examples of circular motion. </v>
      </c>
      <c r="M50" s="10" t="str">
        <f t="shared" si="2"/>
        <v>LU005187.003</v>
      </c>
      <c r="N50" s="10" t="str">
        <f ca="1">IFERROR(__xludf.DUMMYFUNCTION("VLOOKUP(M50, IMPORTRANGE(""https://docs.google.com/spreadsheets/d/1yDAaXNsi4Mr5FtRQL4tbmSdIzhx6_m4wkOD7IG-k_eo/edit#gid=1336395716"", ""Science!M:N""), 2, FALSE)"),"Compare circular with other types of motion.")</f>
        <v>Compare circular with other types of motion.</v>
      </c>
      <c r="O50" s="10" t="str">
        <f t="shared" si="3"/>
        <v>LU005187.004</v>
      </c>
      <c r="P50" s="10" t="str">
        <f ca="1">IFERROR(__xludf.DUMMYFUNCTION("VLOOKUP(O50, IMPORTRANGE(""https://docs.google.com/spreadsheets/d/1yDAaXNsi4Mr5FtRQL4tbmSdIzhx6_m4wkOD7IG-k_eo/edit#gid=1336395716"", ""Science!M:N""), 2, FALSE)"),"Demonstrate circular motion with hands or with toys.")</f>
        <v>Demonstrate circular motion with hands or with toys.</v>
      </c>
      <c r="Q50" s="10" t="str">
        <f t="shared" si="4"/>
        <v>LU005187.005</v>
      </c>
      <c r="R50" s="10" t="str">
        <f ca="1">IFERROR(__xludf.DUMMYFUNCTION("VLOOKUP(Q50, IMPORTRANGE(""https://docs.google.com/spreadsheets/d/1yDAaXNsi4Mr5FtRQL4tbmSdIzhx6_m4wkOD7IG-k_eo/edit#gid=1336395716"", ""Science!M:N""), 2, FALSE)"),"Assess how circular motion affects objects and its relevance to activities like amusement park rides.")</f>
        <v>Assess how circular motion affects objects and its relevance to activities like amusement park rides.</v>
      </c>
      <c r="S50" s="10" t="str">
        <f t="shared" si="5"/>
        <v>LU005187.006</v>
      </c>
      <c r="T50" s="10" t="str">
        <f ca="1">IFERROR(__xludf.DUMMYFUNCTION("VLOOKUP(S50, IMPORTRANGE(""https://docs.google.com/spreadsheets/d/1yDAaXNsi4Mr5FtRQL4tbmSdIzhx6_m4wkOD7IG-k_eo/edit#gid=1336395716"", ""Science!M:N""), 2, FALSE)"),"#N/A")</f>
        <v>#N/A</v>
      </c>
      <c r="U50" s="11">
        <f ca="1">IFERROR(__xludf.DUMMYFUNCTION("ArrayFormula(VLOOKUP(G50, IMPORTRANGE(""https://docs.google.com/spreadsheets/d/1p7R4vtkWt5VOBim4ltsDG9KTzSjrtKXsMtQGXPHyND0/edit#gid=795171502"", ""'Filter 30_05_2024'!A1:M2000""), {2, 3, 4, 5,6,7,8,9,10,11,12,13}, 0))"),3)</f>
        <v>3</v>
      </c>
      <c r="V50" s="11">
        <f ca="1">IFERROR(__xludf.DUMMYFUNCTION("""COMPUTED_VALUE"""),3)</f>
        <v>3</v>
      </c>
      <c r="W50" s="11">
        <f ca="1">IFERROR(__xludf.DUMMYFUNCTION("""COMPUTED_VALUE"""),2)</f>
        <v>2</v>
      </c>
      <c r="X50" s="11">
        <f ca="1">IFERROR(__xludf.DUMMYFUNCTION("""COMPUTED_VALUE"""),8)</f>
        <v>8</v>
      </c>
      <c r="Y50" s="11">
        <f ca="1">IFERROR(__xludf.DUMMYFUNCTION("""COMPUTED_VALUE"""),5)</f>
        <v>5</v>
      </c>
      <c r="Z50" s="12">
        <f ca="1">IFERROR(__xludf.DUMMYFUNCTION("""COMPUTED_VALUE"""),3)</f>
        <v>3</v>
      </c>
      <c r="AA50" s="12">
        <f ca="1">IFERROR(__xludf.DUMMYFUNCTION("""COMPUTED_VALUE"""),1)</f>
        <v>1</v>
      </c>
      <c r="AB50" s="12">
        <f ca="1">IFERROR(__xludf.DUMMYFUNCTION("""COMPUTED_VALUE"""),9)</f>
        <v>9</v>
      </c>
      <c r="AC50" s="12"/>
      <c r="AD50" s="12"/>
      <c r="AE50" s="12"/>
      <c r="AF50" s="12"/>
      <c r="AG50" s="13" t="str">
        <f ca="1">IFERROR(__xludf.DUMMYFUNCTION("ArrayFormula(VLOOKUP(G50, IMPORTRANGE(""https://docs.google.com/spreadsheets/d/1Co934fvtviyaRiMsrIlT05Jaq7iiYq07aLvRr35KA48/edit?gid=173865642#gid=173865642"", ""'G6_Sci Cur_Pri_LU'!G2:V2000""), {3, 4, 5, 6, 7, 8, 9, 10, 11, 12, 13, 14, 15, 16}, 0))"),"LU005177")</f>
        <v>LU005177</v>
      </c>
      <c r="AH50" s="13" t="str">
        <f ca="1">IFERROR(__xludf.DUMMYFUNCTION("""COMPUTED_VALUE"""),"Comparison of object in the State of rest vs State of Motion")</f>
        <v>Comparison of object in the State of rest vs State of Motion</v>
      </c>
      <c r="AI50" s="13"/>
      <c r="AJ50" s="13"/>
      <c r="AK50" s="13"/>
      <c r="AL50" s="13"/>
      <c r="AM50" s="13"/>
      <c r="AN50" s="13"/>
      <c r="AO50" s="13"/>
      <c r="AP50" s="13"/>
      <c r="AQ50" s="13"/>
      <c r="AR50" s="13"/>
      <c r="AS50" s="13"/>
      <c r="AT50" s="13"/>
    </row>
    <row r="51" spans="1:46">
      <c r="A51" s="8" t="s">
        <v>1405</v>
      </c>
      <c r="B51" s="8" t="s">
        <v>47</v>
      </c>
      <c r="C51" s="8" t="s">
        <v>48</v>
      </c>
      <c r="D51" s="8" t="s">
        <v>1510</v>
      </c>
      <c r="E51" s="8" t="s">
        <v>1511</v>
      </c>
      <c r="F51" s="8" t="s">
        <v>1537</v>
      </c>
      <c r="G51" s="107" t="s">
        <v>1538</v>
      </c>
      <c r="H51" s="69" t="s">
        <v>1539</v>
      </c>
      <c r="I51" s="10" t="str">
        <f t="shared" si="0"/>
        <v>LU005190.001</v>
      </c>
      <c r="J51" s="10" t="str">
        <f ca="1">IFERROR(__xludf.DUMMYFUNCTION("VLOOKUP(I51, IMPORTRANGE(""https://docs.google.com/spreadsheets/d/1yDAaXNsi4Mr5FtRQL4tbmSdIzhx6_m4wkOD7IG-k_eo/edit#gid=1336395716"", ""Science!M:N""), 2, FALSE)"),"Describe oscillatory motion using examples like a swing going back and forth.")</f>
        <v>Describe oscillatory motion using examples like a swing going back and forth.</v>
      </c>
      <c r="K51" s="10" t="str">
        <f t="shared" si="1"/>
        <v>LU005190.002</v>
      </c>
      <c r="L51" s="10" t="str">
        <f ca="1">IFERROR(__xludf.DUMMYFUNCTION("VLOOKUP(K51, IMPORTRANGE(""https://docs.google.com/spreadsheets/d/1yDAaXNsi4Mr5FtRQL4tbmSdIzhx6_m4wkOD7IG-k_eo/edit#gid=1336395716"", ""Science!M:N""), 2, FALSE)"),"Identify things around that show oscillatory movement.")</f>
        <v>Identify things around that show oscillatory movement.</v>
      </c>
      <c r="M51" s="10" t="str">
        <f t="shared" si="2"/>
        <v>LU005190.003</v>
      </c>
      <c r="N51" s="10" t="str">
        <f ca="1">IFERROR(__xludf.DUMMYFUNCTION("VLOOKUP(M51, IMPORTRANGE(""https://docs.google.com/spreadsheets/d/1yDAaXNsi4Mr5FtRQL4tbmSdIzhx6_m4wkOD7IG-k_eo/edit#gid=1336395716"", ""Science!M:N""), 2, FALSE)"),"Differentiate between simple movement and oscillatory movement.")</f>
        <v>Differentiate between simple movement and oscillatory movement.</v>
      </c>
      <c r="O51" s="10" t="str">
        <f t="shared" si="3"/>
        <v>LU005190.004</v>
      </c>
      <c r="P51" s="10" t="str">
        <f ca="1">IFERROR(__xludf.DUMMYFUNCTION("VLOOKUP(O51, IMPORTRANGE(""https://docs.google.com/spreadsheets/d/1yDAaXNsi4Mr5FtRQL4tbmSdIzhx6_m4wkOD7IG-k_eo/edit#gid=1336395716"", ""Science!M:N""), 2, FALSE)"),"Demonstrate oscillatory motion using hands or everyday objects.")</f>
        <v>Demonstrate oscillatory motion using hands or everyday objects.</v>
      </c>
      <c r="Q51" s="10" t="str">
        <f t="shared" si="4"/>
        <v>LU005190.005</v>
      </c>
      <c r="R51" s="10" t="str">
        <f ca="1">IFERROR(__xludf.DUMMYFUNCTION("VLOOKUP(Q51, IMPORTRANGE(""https://docs.google.com/spreadsheets/d/1yDAaXNsi4Mr5FtRQL4tbmSdIzhx6_m4wkOD7IG-k_eo/edit#gid=1336395716"", ""Science!M:N""), 2, FALSE)"),"#N/A")</f>
        <v>#N/A</v>
      </c>
      <c r="S51" s="10" t="str">
        <f t="shared" si="5"/>
        <v>LU005190.006</v>
      </c>
      <c r="T51" s="10" t="str">
        <f ca="1">IFERROR(__xludf.DUMMYFUNCTION("VLOOKUP(S51, IMPORTRANGE(""https://docs.google.com/spreadsheets/d/1yDAaXNsi4Mr5FtRQL4tbmSdIzhx6_m4wkOD7IG-k_eo/edit#gid=1336395716"", ""Science!M:N""), 2, FALSE)"),"#N/A")</f>
        <v>#N/A</v>
      </c>
      <c r="U51" s="11">
        <f ca="1">IFERROR(__xludf.DUMMYFUNCTION("ArrayFormula(VLOOKUP(G51, IMPORTRANGE(""https://docs.google.com/spreadsheets/d/1p7R4vtkWt5VOBim4ltsDG9KTzSjrtKXsMtQGXPHyND0/edit#gid=795171502"", ""'Filter 30_05_2024'!A1:M2000""), {2, 3, 4, 5,6,7,8,9,10,11,12,13}, 0))"),5)</f>
        <v>5</v>
      </c>
      <c r="V51" s="11">
        <f ca="1">IFERROR(__xludf.DUMMYFUNCTION("""COMPUTED_VALUE"""),6)</f>
        <v>6</v>
      </c>
      <c r="W51" s="11">
        <f ca="1">IFERROR(__xludf.DUMMYFUNCTION("""COMPUTED_VALUE"""),2)</f>
        <v>2</v>
      </c>
      <c r="X51" s="11">
        <f ca="1">IFERROR(__xludf.DUMMYFUNCTION("""COMPUTED_VALUE"""),13)</f>
        <v>13</v>
      </c>
      <c r="Y51" s="11">
        <f ca="1">IFERROR(__xludf.DUMMYFUNCTION("""COMPUTED_VALUE"""),4)</f>
        <v>4</v>
      </c>
      <c r="Z51" s="12">
        <f ca="1">IFERROR(__xludf.DUMMYFUNCTION("""COMPUTED_VALUE"""),6)</f>
        <v>6</v>
      </c>
      <c r="AA51" s="12">
        <f ca="1">IFERROR(__xludf.DUMMYFUNCTION("""COMPUTED_VALUE"""),2)</f>
        <v>2</v>
      </c>
      <c r="AB51" s="12">
        <f ca="1">IFERROR(__xludf.DUMMYFUNCTION("""COMPUTED_VALUE"""),12)</f>
        <v>12</v>
      </c>
      <c r="AC51" s="12"/>
      <c r="AD51" s="12"/>
      <c r="AE51" s="12"/>
      <c r="AF51" s="12"/>
      <c r="AG51" s="13" t="str">
        <f ca="1">IFERROR(__xludf.DUMMYFUNCTION("ArrayFormula(VLOOKUP(G51, IMPORTRANGE(""https://docs.google.com/spreadsheets/d/1Co934fvtviyaRiMsrIlT05Jaq7iiYq07aLvRr35KA48/edit?gid=173865642#gid=173865642"", ""'G6_Sci Cur_Pri_LU'!G2:V2000""), {3, 4, 5, 6, 7, 8, 9, 10, 11, 12, 13, 14, 15, 16}, 0))"),"LU005187")</f>
        <v>LU005187</v>
      </c>
      <c r="AH51" s="13" t="str">
        <f ca="1">IFERROR(__xludf.DUMMYFUNCTION("""COMPUTED_VALUE"""),"Understanding the Basics of Circular Motion")</f>
        <v>Understanding the Basics of Circular Motion</v>
      </c>
      <c r="AI51" s="13" t="str">
        <f ca="1">IFERROR(__xludf.DUMMYFUNCTION("""COMPUTED_VALUE"""),"LU005177")</f>
        <v>LU005177</v>
      </c>
      <c r="AJ51" s="13" t="str">
        <f ca="1">IFERROR(__xludf.DUMMYFUNCTION("""COMPUTED_VALUE"""),"Comparison of object in the State of rest vs State of Motion")</f>
        <v>Comparison of object in the State of rest vs State of Motion</v>
      </c>
      <c r="AK51" s="13"/>
      <c r="AL51" s="13"/>
      <c r="AM51" s="13"/>
      <c r="AN51" s="13"/>
      <c r="AO51" s="13"/>
      <c r="AP51" s="13"/>
      <c r="AQ51" s="13"/>
      <c r="AR51" s="13"/>
      <c r="AS51" s="13"/>
      <c r="AT51" s="13"/>
    </row>
    <row r="52" spans="1:46">
      <c r="A52" s="8" t="s">
        <v>1405</v>
      </c>
      <c r="B52" s="8" t="s">
        <v>47</v>
      </c>
      <c r="C52" s="8" t="s">
        <v>48</v>
      </c>
      <c r="D52" s="8" t="s">
        <v>1510</v>
      </c>
      <c r="E52" s="8" t="s">
        <v>1511</v>
      </c>
      <c r="F52" s="8" t="s">
        <v>1537</v>
      </c>
      <c r="G52" s="107" t="s">
        <v>1540</v>
      </c>
      <c r="H52" s="69" t="s">
        <v>1541</v>
      </c>
      <c r="I52" s="10" t="str">
        <f t="shared" si="0"/>
        <v>LU005189.001</v>
      </c>
      <c r="J52" s="10" t="str">
        <f ca="1">IFERROR(__xludf.DUMMYFUNCTION("VLOOKUP(I52, IMPORTRANGE(""https://docs.google.com/spreadsheets/d/1yDAaXNsi4Mr5FtRQL4tbmSdIzhx6_m4wkOD7IG-k_eo/edit#gid=1336395716"", ""Science!M:N""), 2, FALSE)"),"Define periodic and non-periodic motion in simple terms.")</f>
        <v>Define periodic and non-periodic motion in simple terms.</v>
      </c>
      <c r="K52" s="10" t="str">
        <f t="shared" si="1"/>
        <v>LU005189.002</v>
      </c>
      <c r="L52" s="10" t="str">
        <f ca="1">IFERROR(__xludf.DUMMYFUNCTION("VLOOKUP(K52, IMPORTRANGE(""https://docs.google.com/spreadsheets/d/1yDAaXNsi4Mr5FtRQL4tbmSdIzhx6_m4wkOD7IG-k_eo/edit#gid=1336395716"", ""Science!M:N""), 2, FALSE)"),"Identify everyday examples of periodic and non-periodic motions.")</f>
        <v>Identify everyday examples of periodic and non-periodic motions.</v>
      </c>
      <c r="M52" s="10" t="str">
        <f t="shared" si="2"/>
        <v>LU005189.003</v>
      </c>
      <c r="N52" s="10" t="str">
        <f ca="1">IFERROR(__xludf.DUMMYFUNCTION("VLOOKUP(M52, IMPORTRANGE(""https://docs.google.com/spreadsheets/d/1yDAaXNsi4Mr5FtRQL4tbmSdIzhx6_m4wkOD7IG-k_eo/edit#gid=1336395716"", ""Science!M:N""), 2, FALSE)"),"Classify observed movements as periodic or non-periodic.")</f>
        <v>Classify observed movements as periodic or non-periodic.</v>
      </c>
      <c r="O52" s="10" t="str">
        <f t="shared" si="3"/>
        <v>LU005189.004</v>
      </c>
      <c r="P52" s="10" t="str">
        <f ca="1">IFERROR(__xludf.DUMMYFUNCTION("VLOOKUP(O52, IMPORTRANGE(""https://docs.google.com/spreadsheets/d/1yDAaXNsi4Mr5FtRQL4tbmSdIzhx6_m4wkOD7IG-k_eo/edit#gid=1336395716"", ""Science!M:N""), 2, FALSE)"),"Demonstrate an example of each type of motion.")</f>
        <v>Demonstrate an example of each type of motion.</v>
      </c>
      <c r="Q52" s="10" t="str">
        <f t="shared" si="4"/>
        <v>LU005189.005</v>
      </c>
      <c r="R52" s="10" t="str">
        <f ca="1">IFERROR(__xludf.DUMMYFUNCTION("VLOOKUP(Q52, IMPORTRANGE(""https://docs.google.com/spreadsheets/d/1yDAaXNsi4Mr5FtRQL4tbmSdIzhx6_m4wkOD7IG-k_eo/edit#gid=1336395716"", ""Science!M:N""), 2, FALSE)"),"Compare the differences between periodic and non-periodic motion using examples, and discuss their significance.")</f>
        <v>Compare the differences between periodic and non-periodic motion using examples, and discuss their significance.</v>
      </c>
      <c r="S52" s="10" t="str">
        <f t="shared" si="5"/>
        <v>LU005189.006</v>
      </c>
      <c r="T52" s="10" t="str">
        <f ca="1">IFERROR(__xludf.DUMMYFUNCTION("VLOOKUP(S52, IMPORTRANGE(""https://docs.google.com/spreadsheets/d/1yDAaXNsi4Mr5FtRQL4tbmSdIzhx6_m4wkOD7IG-k_eo/edit#gid=1336395716"", ""Science!M:N""), 2, FALSE)"),"#N/A")</f>
        <v>#N/A</v>
      </c>
      <c r="U52" s="11">
        <f ca="1">IFERROR(__xludf.DUMMYFUNCTION("ArrayFormula(VLOOKUP(G52, IMPORTRANGE(""https://docs.google.com/spreadsheets/d/1p7R4vtkWt5VOBim4ltsDG9KTzSjrtKXsMtQGXPHyND0/edit#gid=795171502"", ""'Filter 30_05_2024'!A1:M2000""), {2, 3, 4, 5,6,7,8,9,10,11,12,13}, 0))"),4)</f>
        <v>4</v>
      </c>
      <c r="V52" s="11">
        <f ca="1">IFERROR(__xludf.DUMMYFUNCTION("""COMPUTED_VALUE"""),6)</f>
        <v>6</v>
      </c>
      <c r="W52" s="11">
        <f ca="1">IFERROR(__xludf.DUMMYFUNCTION("""COMPUTED_VALUE"""),2)</f>
        <v>2</v>
      </c>
      <c r="X52" s="11">
        <f ca="1">IFERROR(__xludf.DUMMYFUNCTION("""COMPUTED_VALUE"""),12)</f>
        <v>12</v>
      </c>
      <c r="Y52" s="11">
        <f ca="1">IFERROR(__xludf.DUMMYFUNCTION("""COMPUTED_VALUE"""),4)</f>
        <v>4</v>
      </c>
      <c r="Z52" s="12">
        <f ca="1">IFERROR(__xludf.DUMMYFUNCTION("""COMPUTED_VALUE"""),3)</f>
        <v>3</v>
      </c>
      <c r="AA52" s="12">
        <f ca="1">IFERROR(__xludf.DUMMYFUNCTION("""COMPUTED_VALUE"""),1)</f>
        <v>1</v>
      </c>
      <c r="AB52" s="12">
        <f ca="1">IFERROR(__xludf.DUMMYFUNCTION("""COMPUTED_VALUE"""),8)</f>
        <v>8</v>
      </c>
      <c r="AC52" s="12"/>
      <c r="AD52" s="12"/>
      <c r="AE52" s="12"/>
      <c r="AF52" s="12"/>
      <c r="AG52" s="13" t="str">
        <f ca="1">IFERROR(__xludf.DUMMYFUNCTION("ArrayFormula(VLOOKUP(G52, IMPORTRANGE(""https://docs.google.com/spreadsheets/d/1Co934fvtviyaRiMsrIlT05Jaq7iiYq07aLvRr35KA48/edit?gid=173865642#gid=173865642"", ""'G6_Sci Cur_Pri_LU'!G2:V2000""), {3, 4, 5, 6, 7, 8, 9, 10, 11, 12, 13, 14, 15, 16}, 0))"),"LU005190")</f>
        <v>LU005190</v>
      </c>
      <c r="AH52" s="13" t="str">
        <f ca="1">IFERROR(__xludf.DUMMYFUNCTION("""COMPUTED_VALUE"""),"Understanding the Basics of Oscillatory Motion")</f>
        <v>Understanding the Basics of Oscillatory Motion</v>
      </c>
      <c r="AI52" s="13" t="str">
        <f ca="1">IFERROR(__xludf.DUMMYFUNCTION("""COMPUTED_VALUE"""),"LU005187")</f>
        <v>LU005187</v>
      </c>
      <c r="AJ52" s="13" t="str">
        <f ca="1">IFERROR(__xludf.DUMMYFUNCTION("""COMPUTED_VALUE"""),"Understanding the Basics of Circular Motion")</f>
        <v>Understanding the Basics of Circular Motion</v>
      </c>
      <c r="AK52" s="13"/>
      <c r="AL52" s="13"/>
      <c r="AM52" s="13"/>
      <c r="AN52" s="13"/>
      <c r="AO52" s="13"/>
      <c r="AP52" s="13"/>
      <c r="AQ52" s="13"/>
      <c r="AR52" s="13"/>
      <c r="AS52" s="13"/>
      <c r="AT52" s="13"/>
    </row>
    <row r="53" spans="1:46">
      <c r="A53" s="8" t="s">
        <v>1405</v>
      </c>
      <c r="B53" s="8" t="s">
        <v>47</v>
      </c>
      <c r="C53" s="8" t="s">
        <v>48</v>
      </c>
      <c r="D53" s="8" t="s">
        <v>1441</v>
      </c>
      <c r="E53" s="8" t="s">
        <v>1542</v>
      </c>
      <c r="F53" s="8" t="s">
        <v>1543</v>
      </c>
      <c r="G53" s="9" t="s">
        <v>1544</v>
      </c>
      <c r="H53" s="8" t="s">
        <v>1545</v>
      </c>
      <c r="I53" s="10" t="str">
        <f t="shared" si="0"/>
        <v>LU006427.001</v>
      </c>
      <c r="J53" s="10" t="str">
        <f ca="1">IFERROR(__xludf.DUMMYFUNCTION("VLOOKUP(I53, IMPORTRANGE(""https://docs.google.com/spreadsheets/d/1yDAaXNsi4Mr5FtRQL4tbmSdIzhx6_m4wkOD7IG-k_eo/edit#gid=1336395716"", ""Science!M:N""), 2, FALSE)"),"Recall the definition of evaporation and recognize examples of where it occurs in everyday life.")</f>
        <v>Recall the definition of evaporation and recognize examples of where it occurs in everyday life.</v>
      </c>
      <c r="K53" s="10" t="str">
        <f t="shared" si="1"/>
        <v>LU006427.002</v>
      </c>
      <c r="L53" s="10" t="str">
        <f ca="1">IFERROR(__xludf.DUMMYFUNCTION("VLOOKUP(K53, IMPORTRANGE(""https://docs.google.com/spreadsheets/d/1yDAaXNsi4Mr5FtRQL4tbmSdIzhx6_m4wkOD7IG-k_eo/edit#gid=1336395716"", ""Science!M:N""), 2, FALSE)"),"Explain the process of evaporation and why water disappears from surfaces like puddles or utensils.")</f>
        <v>Explain the process of evaporation and why water disappears from surfaces like puddles or utensils.</v>
      </c>
      <c r="M53" s="10" t="str">
        <f t="shared" si="2"/>
        <v>LU006427.003</v>
      </c>
      <c r="N53" s="10" t="str">
        <f ca="1">IFERROR(__xludf.DUMMYFUNCTION("VLOOKUP(M53, IMPORTRANGE(""https://docs.google.com/spreadsheets/d/1yDAaXNsi4Mr5FtRQL4tbmSdIzhx6_m4wkOD7IG-k_eo/edit#gid=1336395716"", ""Science!M:N""), 2, FALSE)"),"Identify the conditions that affect evaporation by observing the rate at which water evaporates under different circumstances.")</f>
        <v>Identify the conditions that affect evaporation by observing the rate at which water evaporates under different circumstances.</v>
      </c>
      <c r="O53" s="10" t="str">
        <f t="shared" si="3"/>
        <v>LU006427.004</v>
      </c>
      <c r="P53" s="10" t="str">
        <f ca="1">IFERROR(__xludf.DUMMYFUNCTION("VLOOKUP(O53, IMPORTRANGE(""https://docs.google.com/spreadsheets/d/1yDAaXNsi4Mr5FtRQL4tbmSdIzhx6_m4wkOD7IG-k_eo/edit#gid=1336395716"", ""Science!M:N""), 2, FALSE)"),"Compare the rate of evaporation under different conditions, such as temperature, humidity, and surface area, and analyze the reasons for these differences.")</f>
        <v>Compare the rate of evaporation under different conditions, such as temperature, humidity, and surface area, and analyze the reasons for these differences.</v>
      </c>
      <c r="Q53" s="10" t="str">
        <f t="shared" si="4"/>
        <v>LU006427.005</v>
      </c>
      <c r="R53" s="10" t="str">
        <f ca="1">IFERROR(__xludf.DUMMYFUNCTION("VLOOKUP(Q53, IMPORTRANGE(""https://docs.google.com/spreadsheets/d/1yDAaXNsi4Mr5FtRQL4tbmSdIzhx6_m4wkOD7IG-k_eo/edit#gid=1336395716"", ""Science!M:N""), 2, FALSE)"),"Evaluate the importance of evaporation in daily life and its role in processes like drying clothes and sweating.")</f>
        <v>Evaluate the importance of evaporation in daily life and its role in processes like drying clothes and sweating.</v>
      </c>
      <c r="S53" s="10" t="str">
        <f t="shared" si="5"/>
        <v>LU006427.006</v>
      </c>
      <c r="T53" s="10" t="str">
        <f ca="1">IFERROR(__xludf.DUMMYFUNCTION("VLOOKUP(S53, IMPORTRANGE(""https://docs.google.com/spreadsheets/d/1yDAaXNsi4Mr5FtRQL4tbmSdIzhx6_m4wkOD7IG-k_eo/edit#gid=1336395716"", ""Science!M:N""), 2, FALSE)"),"Design an experiment to observe evaporation, record observations, and draw conclusions about the factors that influence the rate of evaporation.")</f>
        <v>Design an experiment to observe evaporation, record observations, and draw conclusions about the factors that influence the rate of evaporation.</v>
      </c>
      <c r="U53" s="11">
        <f ca="1">IFERROR(__xludf.DUMMYFUNCTION("ArrayFormula(VLOOKUP(G53, IMPORTRANGE(""https://docs.google.com/spreadsheets/d/1p7R4vtkWt5VOBim4ltsDG9KTzSjrtKXsMtQGXPHyND0/edit#gid=795171502"", ""'Filter 30_05_2024'!A1:M2000""), {2, 3, 4, 5,6,7,8,9,10,11,12,13}, 0))"),4)</f>
        <v>4</v>
      </c>
      <c r="V53" s="11">
        <f ca="1">IFERROR(__xludf.DUMMYFUNCTION("""COMPUTED_VALUE"""),6)</f>
        <v>6</v>
      </c>
      <c r="W53" s="11">
        <f ca="1">IFERROR(__xludf.DUMMYFUNCTION("""COMPUTED_VALUE"""),2)</f>
        <v>2</v>
      </c>
      <c r="X53" s="11">
        <f ca="1">IFERROR(__xludf.DUMMYFUNCTION("""COMPUTED_VALUE"""),12)</f>
        <v>12</v>
      </c>
      <c r="Y53" s="11">
        <f ca="1">IFERROR(__xludf.DUMMYFUNCTION("""COMPUTED_VALUE"""),4)</f>
        <v>4</v>
      </c>
      <c r="Z53" s="12">
        <f ca="1">IFERROR(__xludf.DUMMYFUNCTION("""COMPUTED_VALUE"""),3)</f>
        <v>3</v>
      </c>
      <c r="AA53" s="12">
        <f ca="1">IFERROR(__xludf.DUMMYFUNCTION("""COMPUTED_VALUE"""),1)</f>
        <v>1</v>
      </c>
      <c r="AB53" s="12">
        <f ca="1">IFERROR(__xludf.DUMMYFUNCTION("""COMPUTED_VALUE"""),8)</f>
        <v>8</v>
      </c>
      <c r="AC53" s="12"/>
      <c r="AD53" s="12"/>
      <c r="AE53" s="12"/>
      <c r="AF53" s="12"/>
      <c r="AG53" s="13" t="str">
        <f ca="1">IFERROR(__xludf.DUMMYFUNCTION("ArrayFormula(VLOOKUP(G53, IMPORTRANGE(""https://docs.google.com/spreadsheets/d/1Co934fvtviyaRiMsrIlT05Jaq7iiYq07aLvRr35KA48/edit?gid=173865642#gid=173865642"", ""'G6_Sci Cur_Pri_LU'!G2:V2000""), {3, 4, 5, 6, 7, 8, 9, 10, 11, 12, 13, 14, 15, 16}, 0))"),"LU005132")</f>
        <v>LU005132</v>
      </c>
      <c r="AH53" s="13" t="str">
        <f ca="1">IFERROR(__xludf.DUMMYFUNCTION("""COMPUTED_VALUE"""),"Water disappearance")</f>
        <v>Water disappearance</v>
      </c>
      <c r="AI53" s="13"/>
      <c r="AJ53" s="13"/>
      <c r="AK53" s="13"/>
      <c r="AL53" s="13"/>
      <c r="AM53" s="13"/>
      <c r="AN53" s="13"/>
      <c r="AO53" s="13"/>
      <c r="AP53" s="13"/>
      <c r="AQ53" s="13"/>
      <c r="AR53" s="13"/>
      <c r="AS53" s="13"/>
      <c r="AT53" s="13"/>
    </row>
    <row r="54" spans="1:46">
      <c r="A54" s="8" t="s">
        <v>1405</v>
      </c>
      <c r="B54" s="8" t="s">
        <v>47</v>
      </c>
      <c r="C54" s="8" t="s">
        <v>48</v>
      </c>
      <c r="D54" s="8" t="s">
        <v>1441</v>
      </c>
      <c r="E54" s="8" t="s">
        <v>1542</v>
      </c>
      <c r="F54" s="8" t="s">
        <v>1543</v>
      </c>
      <c r="G54" s="9" t="s">
        <v>1546</v>
      </c>
      <c r="H54" s="8" t="s">
        <v>1547</v>
      </c>
      <c r="I54" s="10" t="str">
        <f t="shared" si="0"/>
        <v>LU006428.001</v>
      </c>
      <c r="J54" s="10" t="str">
        <f ca="1">IFERROR(__xludf.DUMMYFUNCTION("VLOOKUP(I54, IMPORTRANGE(""https://docs.google.com/spreadsheets/d/1yDAaXNsi4Mr5FtRQL4tbmSdIzhx6_m4wkOD7IG-k_eo/edit#gid=1336395716"", ""Science!M:N""), 2, FALSE)"),"Recall the definition of condensation and identify examples of where it occurs in daily life.")</f>
        <v>Recall the definition of condensation and identify examples of where it occurs in daily life.</v>
      </c>
      <c r="K54" s="10" t="str">
        <f t="shared" si="1"/>
        <v>LU006428.002</v>
      </c>
      <c r="L54" s="10" t="str">
        <f ca="1">IFERROR(__xludf.DUMMYFUNCTION("VLOOKUP(K54, IMPORTRANGE(""https://docs.google.com/spreadsheets/d/1yDAaXNsi4Mr5FtRQL4tbmSdIzhx6_m4wkOD7IG-k_eo/edit#gid=1336395716"", ""Science!M:N""), 2, FALSE)"),"Explain the process of condensation and how water vapor turns into liquid water.")</f>
        <v>Explain the process of condensation and how water vapor turns into liquid water.</v>
      </c>
      <c r="M54" s="10" t="str">
        <f t="shared" si="2"/>
        <v>LU006428.003</v>
      </c>
      <c r="N54" s="10" t="str">
        <f ca="1">IFERROR(__xludf.DUMMYFUNCTION("VLOOKUP(M54, IMPORTRANGE(""https://docs.google.com/spreadsheets/d/1yDAaXNsi4Mr5FtRQL4tbmSdIzhx6_m4wkOD7IG-k_eo/edit#gid=1336395716"", ""Science!M:N""), 2, FALSE)"),"Demonstrate how condensation occurs by observing water droplets forming on a cold surface.")</f>
        <v>Demonstrate how condensation occurs by observing water droplets forming on a cold surface.</v>
      </c>
      <c r="O54" s="10" t="str">
        <f t="shared" si="3"/>
        <v>LU006428.004</v>
      </c>
      <c r="P54" s="10" t="str">
        <f ca="1">IFERROR(__xludf.DUMMYFUNCTION("VLOOKUP(O54, IMPORTRANGE(""https://docs.google.com/spreadsheets/d/1yDAaXNsi4Mr5FtRQL4tbmSdIzhx6_m4wkOD7IG-k_eo/edit#gid=1336395716"", ""Science!M:N""), 2, FALSE)"),"Compare the process of condensation with evaporation, highlighting the differences in each.")</f>
        <v>Compare the process of condensation with evaporation, highlighting the differences in each.</v>
      </c>
      <c r="Q54" s="10" t="str">
        <f t="shared" si="4"/>
        <v>LU006428.005</v>
      </c>
      <c r="R54" s="10" t="str">
        <f ca="1">IFERROR(__xludf.DUMMYFUNCTION("VLOOKUP(Q54, IMPORTRANGE(""https://docs.google.com/spreadsheets/d/1yDAaXNsi4Mr5FtRQL4tbmSdIzhx6_m4wkOD7IG-k_eo/edit#gid=1336395716"", ""Science!M:N""), 2, FALSE)"),"Evaluate the factors that affect condensation, such as temperature and humidity, and discuss their effects on daily weather patterns.")</f>
        <v>Evaluate the factors that affect condensation, such as temperature and humidity, and discuss their effects on daily weather patterns.</v>
      </c>
      <c r="S54" s="10" t="str">
        <f t="shared" si="5"/>
        <v>LU006428.006</v>
      </c>
      <c r="T54" s="10" t="str">
        <f ca="1">IFERROR(__xludf.DUMMYFUNCTION("VLOOKUP(S54, IMPORTRANGE(""https://docs.google.com/spreadsheets/d/1yDAaXNsi4Mr5FtRQL4tbmSdIzhx6_m4wkOD7IG-k_eo/edit#gid=1336395716"", ""Science!M:N""), 2, FALSE)"),"Create a simple experiment to observe and record condensation, and explain the results based on the understanding of the process.")</f>
        <v>Create a simple experiment to observe and record condensation, and explain the results based on the understanding of the process.</v>
      </c>
      <c r="U54" s="11">
        <f ca="1">IFERROR(__xludf.DUMMYFUNCTION("ArrayFormula(VLOOKUP(G54, IMPORTRANGE(""https://docs.google.com/spreadsheets/d/1p7R4vtkWt5VOBim4ltsDG9KTzSjrtKXsMtQGXPHyND0/edit#gid=795171502"", ""'Filter 30_05_2024'!A1:M2000""), {2, 3, 4, 5,6,7,8,9,10,11,12,13}, 0))"),4)</f>
        <v>4</v>
      </c>
      <c r="V54" s="11">
        <f ca="1">IFERROR(__xludf.DUMMYFUNCTION("""COMPUTED_VALUE"""),6)</f>
        <v>6</v>
      </c>
      <c r="W54" s="11">
        <f ca="1">IFERROR(__xludf.DUMMYFUNCTION("""COMPUTED_VALUE"""),2)</f>
        <v>2</v>
      </c>
      <c r="X54" s="11">
        <f ca="1">IFERROR(__xludf.DUMMYFUNCTION("""COMPUTED_VALUE"""),12)</f>
        <v>12</v>
      </c>
      <c r="Y54" s="11">
        <f ca="1">IFERROR(__xludf.DUMMYFUNCTION("""COMPUTED_VALUE"""),4)</f>
        <v>4</v>
      </c>
      <c r="Z54" s="12">
        <f ca="1">IFERROR(__xludf.DUMMYFUNCTION("""COMPUTED_VALUE"""),3)</f>
        <v>3</v>
      </c>
      <c r="AA54" s="12">
        <f ca="1">IFERROR(__xludf.DUMMYFUNCTION("""COMPUTED_VALUE"""),1)</f>
        <v>1</v>
      </c>
      <c r="AB54" s="12">
        <f ca="1">IFERROR(__xludf.DUMMYFUNCTION("""COMPUTED_VALUE"""),8)</f>
        <v>8</v>
      </c>
      <c r="AC54" s="12"/>
      <c r="AD54" s="12"/>
      <c r="AE54" s="12"/>
      <c r="AF54" s="12"/>
      <c r="AG54" s="13" t="str">
        <f ca="1">IFERROR(__xludf.DUMMYFUNCTION("ArrayFormula(VLOOKUP(G54, IMPORTRANGE(""https://docs.google.com/spreadsheets/d/1Co934fvtviyaRiMsrIlT05Jaq7iiYq07aLvRr35KA48/edit?gid=173865642#gid=173865642"", ""'G6_Sci Cur_Pri_LU'!G2:V2000""), {3, 4, 5, 6, 7, 8, 9, 10, 11, 12, 13, 14, 15, 16}, 0))"),"LU006427")</f>
        <v>LU006427</v>
      </c>
      <c r="AH54" s="13" t="str">
        <f ca="1">IFERROR(__xludf.DUMMYFUNCTION("""COMPUTED_VALUE"""),"Evaporation of water")</f>
        <v>Evaporation of water</v>
      </c>
      <c r="AI54" s="13"/>
      <c r="AJ54" s="13"/>
      <c r="AK54" s="13"/>
      <c r="AL54" s="13"/>
      <c r="AM54" s="13"/>
      <c r="AN54" s="13"/>
      <c r="AO54" s="13"/>
      <c r="AP54" s="13"/>
      <c r="AQ54" s="13"/>
      <c r="AR54" s="13"/>
      <c r="AS54" s="13"/>
      <c r="AT54" s="13"/>
    </row>
    <row r="55" spans="1:46">
      <c r="A55" s="8" t="s">
        <v>1405</v>
      </c>
      <c r="B55" s="8" t="s">
        <v>47</v>
      </c>
      <c r="C55" s="8" t="s">
        <v>48</v>
      </c>
      <c r="D55" s="8" t="s">
        <v>1441</v>
      </c>
      <c r="E55" s="8" t="s">
        <v>1542</v>
      </c>
      <c r="F55" s="8" t="s">
        <v>1548</v>
      </c>
      <c r="G55" s="9" t="s">
        <v>1549</v>
      </c>
      <c r="H55" s="8" t="s">
        <v>1550</v>
      </c>
      <c r="I55" s="10" t="str">
        <f t="shared" si="0"/>
        <v>LU005775.001</v>
      </c>
      <c r="J55" s="10" t="str">
        <f ca="1">IFERROR(__xludf.DUMMYFUNCTION("VLOOKUP(I55, IMPORTRANGE(""https://docs.google.com/spreadsheets/d/1yDAaXNsi4Mr5FtRQL4tbmSdIzhx6_m4wkOD7IG-k_eo/edit#gid=1336395716"", ""Science!M:N""), 2, FALSE)"),"Name the three natural states of water.")</f>
        <v>Name the three natural states of water.</v>
      </c>
      <c r="K55" s="10" t="str">
        <f t="shared" si="1"/>
        <v>LU005775.002</v>
      </c>
      <c r="L55" s="10" t="str">
        <f ca="1">IFERROR(__xludf.DUMMYFUNCTION("VLOOKUP(K55, IMPORTRANGE(""https://docs.google.com/spreadsheets/d/1yDAaXNsi4Mr5FtRQL4tbmSdIzhx6_m4wkOD7IG-k_eo/edit#gid=1336395716"", ""Science!M:N""), 2, FALSE)"),"Distinguish between the properties of water in its liquid, solid, and gas states.")</f>
        <v>Distinguish between the properties of water in its liquid, solid, and gas states.</v>
      </c>
      <c r="M55" s="10" t="str">
        <f t="shared" si="2"/>
        <v>LU005775.003</v>
      </c>
      <c r="N55" s="10" t="str">
        <f ca="1">IFERROR(__xludf.DUMMYFUNCTION("VLOOKUP(M55, IMPORTRANGE(""https://docs.google.com/spreadsheets/d/1yDAaXNsi4Mr5FtRQL4tbmSdIzhx6_m4wkOD7IG-k_eo/edit#gid=1336395716"", ""Science!M:N""), 2, FALSE)"),"Apply the knowledge of states of water to explain natural phenomena like frost.")</f>
        <v>Apply the knowledge of states of water to explain natural phenomena like frost.</v>
      </c>
      <c r="O55" s="10" t="str">
        <f t="shared" si="3"/>
        <v>LU005775.004</v>
      </c>
      <c r="P55" s="10" t="str">
        <f ca="1">IFERROR(__xludf.DUMMYFUNCTION("VLOOKUP(O55, IMPORTRANGE(""https://docs.google.com/spreadsheets/d/1yDAaXNsi4Mr5FtRQL4tbmSdIzhx6_m4wkOD7IG-k_eo/edit#gid=1336395716"", ""Science!M:N""), 2, FALSE)"),"Categorize the forms of water found in various environments.")</f>
        <v>Categorize the forms of water found in various environments.</v>
      </c>
      <c r="Q55" s="10" t="str">
        <f t="shared" si="4"/>
        <v>LU005775.005</v>
      </c>
      <c r="R55" s="10" t="str">
        <f ca="1">IFERROR(__xludf.DUMMYFUNCTION("VLOOKUP(Q55, IMPORTRANGE(""https://docs.google.com/spreadsheets/d/1yDAaXNsi4Mr5FtRQL4tbmSdIzhx6_m4wkOD7IG-k_eo/edit#gid=1336395716"", ""Science!M:N""), 2, FALSE)"),"Assess how the state of water affects its role in the environment.")</f>
        <v>Assess how the state of water affects its role in the environment.</v>
      </c>
      <c r="S55" s="10" t="str">
        <f t="shared" si="5"/>
        <v>LU005775.006</v>
      </c>
      <c r="T55" s="10" t="str">
        <f ca="1">IFERROR(__xludf.DUMMYFUNCTION("VLOOKUP(S55, IMPORTRANGE(""https://docs.google.com/spreadsheets/d/1yDAaXNsi4Mr5FtRQL4tbmSdIzhx6_m4wkOD7IG-k_eo/edit#gid=1336395716"", ""Science!M:N""), 2, FALSE)"),"Default")</f>
        <v>Default</v>
      </c>
      <c r="U55" s="11">
        <f ca="1">IFERROR(__xludf.DUMMYFUNCTION("ArrayFormula(VLOOKUP(G55, IMPORTRANGE(""https://docs.google.com/spreadsheets/d/1p7R4vtkWt5VOBim4ltsDG9KTzSjrtKXsMtQGXPHyND0/edit#gid=795171502"", ""'Filter 30_05_2024'!A1:M2000""), {2, 3, 4, 5,6,7,8,9,10,11,12,13}, 0))"),4)</f>
        <v>4</v>
      </c>
      <c r="V55" s="11">
        <f ca="1">IFERROR(__xludf.DUMMYFUNCTION("""COMPUTED_VALUE"""),6)</f>
        <v>6</v>
      </c>
      <c r="W55" s="11">
        <f ca="1">IFERROR(__xludf.DUMMYFUNCTION("""COMPUTED_VALUE"""),2)</f>
        <v>2</v>
      </c>
      <c r="X55" s="11">
        <f ca="1">IFERROR(__xludf.DUMMYFUNCTION("""COMPUTED_VALUE"""),12)</f>
        <v>12</v>
      </c>
      <c r="Y55" s="11">
        <f ca="1">IFERROR(__xludf.DUMMYFUNCTION("""COMPUTED_VALUE"""),4)</f>
        <v>4</v>
      </c>
      <c r="Z55" s="12">
        <f ca="1">IFERROR(__xludf.DUMMYFUNCTION("""COMPUTED_VALUE"""),3)</f>
        <v>3</v>
      </c>
      <c r="AA55" s="12">
        <f ca="1">IFERROR(__xludf.DUMMYFUNCTION("""COMPUTED_VALUE"""),1)</f>
        <v>1</v>
      </c>
      <c r="AB55" s="12">
        <f ca="1">IFERROR(__xludf.DUMMYFUNCTION("""COMPUTED_VALUE"""),8)</f>
        <v>8</v>
      </c>
      <c r="AC55" s="12"/>
      <c r="AD55" s="12"/>
      <c r="AE55" s="12"/>
      <c r="AF55" s="12"/>
      <c r="AG55" s="13" t="str">
        <f ca="1">IFERROR(__xludf.DUMMYFUNCTION("ArrayFormula(VLOOKUP(G55, IMPORTRANGE(""https://docs.google.com/spreadsheets/d/1Co934fvtviyaRiMsrIlT05Jaq7iiYq07aLvRr35KA48/edit?gid=173865642#gid=173865642"", ""'G6_Sci Cur_Pri_LU'!G2:V2000""), {3, 4, 5, 6, 7, 8, 9, 10, 11, 12, 13, 14, 15, 16}, 0))"),"LU006420")</f>
        <v>LU006420</v>
      </c>
      <c r="AH55" s="13" t="str">
        <f ca="1">IFERROR(__xludf.DUMMYFUNCTION("""COMPUTED_VALUE"""),"Properties of material- Volume ")</f>
        <v xml:space="preserve">Properties of material- Volume </v>
      </c>
      <c r="AI55" s="13" t="str">
        <f ca="1">IFERROR(__xludf.DUMMYFUNCTION("""COMPUTED_VALUE"""),"LU006419")</f>
        <v>LU006419</v>
      </c>
      <c r="AJ55" s="13" t="str">
        <f ca="1">IFERROR(__xludf.DUMMYFUNCTION("""COMPUTED_VALUE"""),"Properties of material- Mass")</f>
        <v>Properties of material- Mass</v>
      </c>
      <c r="AK55" s="13" t="str">
        <f ca="1">IFERROR(__xludf.DUMMYFUNCTION("""COMPUTED_VALUE"""),"LU006421")</f>
        <v>LU006421</v>
      </c>
      <c r="AL55" s="13" t="str">
        <f ca="1">IFERROR(__xludf.DUMMYFUNCTION("""COMPUTED_VALUE"""),"Definition and examples of Matter")</f>
        <v>Definition and examples of Matter</v>
      </c>
      <c r="AM55" s="13"/>
      <c r="AN55" s="13"/>
      <c r="AO55" s="13"/>
      <c r="AP55" s="13"/>
      <c r="AQ55" s="13"/>
      <c r="AR55" s="13"/>
      <c r="AS55" s="13"/>
      <c r="AT55" s="13"/>
    </row>
    <row r="56" spans="1:46">
      <c r="A56" s="8" t="s">
        <v>1405</v>
      </c>
      <c r="B56" s="8" t="s">
        <v>47</v>
      </c>
      <c r="C56" s="8" t="s">
        <v>48</v>
      </c>
      <c r="D56" s="8" t="s">
        <v>1441</v>
      </c>
      <c r="E56" s="8" t="s">
        <v>1542</v>
      </c>
      <c r="F56" s="8" t="s">
        <v>1548</v>
      </c>
      <c r="G56" s="9" t="s">
        <v>1551</v>
      </c>
      <c r="H56" s="8" t="s">
        <v>1552</v>
      </c>
      <c r="I56" s="10" t="str">
        <f t="shared" si="0"/>
        <v>LU006429.001</v>
      </c>
      <c r="J56" s="10" t="str">
        <f ca="1">IFERROR(__xludf.DUMMYFUNCTION("VLOOKUP(I56, IMPORTRANGE(""https://docs.google.com/spreadsheets/d/1yDAaXNsi4Mr5FtRQL4tbmSdIzhx6_m4wkOD7IG-k_eo/edit#gid=1336395716"", ""Science!M:N""), 2, FALSE)"),"Recall the three states of water (solid, liquid, gas) and identify the terms for the processes of melting, freezing, evaporation, and condensation.")</f>
        <v>Recall the three states of water (solid, liquid, gas) and identify the terms for the processes of melting, freezing, evaporation, and condensation.</v>
      </c>
      <c r="K56" s="10" t="str">
        <f t="shared" si="1"/>
        <v>LU006429.002</v>
      </c>
      <c r="L56" s="10" t="str">
        <f ca="1">IFERROR(__xludf.DUMMYFUNCTION("VLOOKUP(K56, IMPORTRANGE(""https://docs.google.com/spreadsheets/d/1yDAaXNsi4Mr5FtRQL4tbmSdIzhx6_m4wkOD7IG-k_eo/edit#gid=1336395716"", ""Science!M:N""), 2, FALSE)"),"Explain how heating and cooling affect the state of water, leading to changes such as melting, freezing, evaporation, and condensation.")</f>
        <v>Explain how heating and cooling affect the state of water, leading to changes such as melting, freezing, evaporation, and condensation.</v>
      </c>
      <c r="M56" s="10" t="str">
        <f t="shared" si="2"/>
        <v>LU006429.003</v>
      </c>
      <c r="N56" s="10" t="str">
        <f ca="1">IFERROR(__xludf.DUMMYFUNCTION("VLOOKUP(M56, IMPORTRANGE(""https://docs.google.com/spreadsheets/d/1yDAaXNsi4Mr5FtRQL4tbmSdIzhx6_m4wkOD7IG-k_eo/edit#gid=1336395716"", ""Science!M:N""), 2, FALSE)"),"Demonstrate how water changes state by conducting simple experiments like melting ice or boiling water.")</f>
        <v>Demonstrate how water changes state by conducting simple experiments like melting ice or boiling water.</v>
      </c>
      <c r="O56" s="10" t="str">
        <f t="shared" si="3"/>
        <v>LU006429.004</v>
      </c>
      <c r="P56" s="10" t="str">
        <f ca="1">IFERROR(__xludf.DUMMYFUNCTION("VLOOKUP(O56, IMPORTRANGE(""https://docs.google.com/spreadsheets/d/1yDAaXNsi4Mr5FtRQL4tbmSdIzhx6_m4wkOD7IG-k_eo/edit#gid=1336395716"", ""Science!M:N""), 2, FALSE)"),"Compare the effects of heating and cooling on water to understand the conditions required for each state change.")</f>
        <v>Compare the effects of heating and cooling on water to understand the conditions required for each state change.</v>
      </c>
      <c r="Q56" s="10" t="str">
        <f t="shared" si="4"/>
        <v>LU006429.005</v>
      </c>
      <c r="R56" s="10" t="str">
        <f ca="1">IFERROR(__xludf.DUMMYFUNCTION("VLOOKUP(Q56, IMPORTRANGE(""https://docs.google.com/spreadsheets/d/1yDAaXNsi4Mr5FtRQL4tbmSdIzhx6_m4wkOD7IG-k_eo/edit#gid=1336395716"", ""Science!M:N""), 2, FALSE)"),"Evaluate the importance of understanding the changes in the state of water for everyday life, such as cooking or understanding weather patterns.")</f>
        <v>Evaluate the importance of understanding the changes in the state of water for everyday life, such as cooking or understanding weather patterns.</v>
      </c>
      <c r="S56" s="10" t="str">
        <f t="shared" si="5"/>
        <v>LU006429.006</v>
      </c>
      <c r="T56" s="10" t="str">
        <f ca="1">IFERROR(__xludf.DUMMYFUNCTION("VLOOKUP(S56, IMPORTRANGE(""https://docs.google.com/spreadsheets/d/1yDAaXNsi4Mr5FtRQL4tbmSdIzhx6_m4wkOD7IG-k_eo/edit#gid=1336395716"", ""Science!M:N""), 2, FALSE)"),"Design an experiment to observe and record the changes in the state of water when it is heated and cooled, including detailed observations and conclusions.")</f>
        <v>Design an experiment to observe and record the changes in the state of water when it is heated and cooled, including detailed observations and conclusions.</v>
      </c>
      <c r="U56" s="11">
        <f ca="1">IFERROR(__xludf.DUMMYFUNCTION("ArrayFormula(VLOOKUP(G56, IMPORTRANGE(""https://docs.google.com/spreadsheets/d/1p7R4vtkWt5VOBim4ltsDG9KTzSjrtKXsMtQGXPHyND0/edit#gid=795171502"", ""'Filter 30_05_2024'!A1:M2000""), {2, 3, 4, 5,6,7,8,9,10,11,12,13}, 0))"),4)</f>
        <v>4</v>
      </c>
      <c r="V56" s="11">
        <f ca="1">IFERROR(__xludf.DUMMYFUNCTION("""COMPUTED_VALUE"""),6)</f>
        <v>6</v>
      </c>
      <c r="W56" s="11">
        <f ca="1">IFERROR(__xludf.DUMMYFUNCTION("""COMPUTED_VALUE"""),2)</f>
        <v>2</v>
      </c>
      <c r="X56" s="11">
        <f ca="1">IFERROR(__xludf.DUMMYFUNCTION("""COMPUTED_VALUE"""),12)</f>
        <v>12</v>
      </c>
      <c r="Y56" s="11">
        <f ca="1">IFERROR(__xludf.DUMMYFUNCTION("""COMPUTED_VALUE"""),4)</f>
        <v>4</v>
      </c>
      <c r="Z56" s="12">
        <f ca="1">IFERROR(__xludf.DUMMYFUNCTION("""COMPUTED_VALUE"""),3)</f>
        <v>3</v>
      </c>
      <c r="AA56" s="12">
        <f ca="1">IFERROR(__xludf.DUMMYFUNCTION("""COMPUTED_VALUE"""),1)</f>
        <v>1</v>
      </c>
      <c r="AB56" s="12">
        <f ca="1">IFERROR(__xludf.DUMMYFUNCTION("""COMPUTED_VALUE"""),8)</f>
        <v>8</v>
      </c>
      <c r="AC56" s="12"/>
      <c r="AD56" s="12"/>
      <c r="AE56" s="12"/>
      <c r="AF56" s="12"/>
      <c r="AG56" s="13" t="str">
        <f ca="1">IFERROR(__xludf.DUMMYFUNCTION("ArrayFormula(VLOOKUP(G56, IMPORTRANGE(""https://docs.google.com/spreadsheets/d/1Co934fvtviyaRiMsrIlT05Jaq7iiYq07aLvRr35KA48/edit?gid=173865642#gid=173865642"", ""'G6_Sci Cur_Pri_LU'!G2:V2000""), {3, 4, 5, 6, 7, 8, 9, 10, 11, 12, 13, 14, 15, 16}, 0))"),"LU006427")</f>
        <v>LU006427</v>
      </c>
      <c r="AH56" s="13" t="str">
        <f ca="1">IFERROR(__xludf.DUMMYFUNCTION("""COMPUTED_VALUE"""),"Evaporation of water")</f>
        <v>Evaporation of water</v>
      </c>
      <c r="AI56" s="13" t="str">
        <f ca="1">IFERROR(__xludf.DUMMYFUNCTION("""COMPUTED_VALUE"""),"LU006428")</f>
        <v>LU006428</v>
      </c>
      <c r="AJ56" s="13" t="str">
        <f ca="1">IFERROR(__xludf.DUMMYFUNCTION("""COMPUTED_VALUE"""),"Condensation of water")</f>
        <v>Condensation of water</v>
      </c>
      <c r="AK56" s="13" t="str">
        <f ca="1">IFERROR(__xludf.DUMMYFUNCTION("""COMPUTED_VALUE"""),"LU005355")</f>
        <v>LU005355</v>
      </c>
      <c r="AL56" s="13" t="str">
        <f ca="1">IFERROR(__xludf.DUMMYFUNCTION("""COMPUTED_VALUE"""),"Definition of transfer of heat")</f>
        <v>Definition of transfer of heat</v>
      </c>
      <c r="AM56" s="13"/>
      <c r="AN56" s="13"/>
      <c r="AO56" s="13"/>
      <c r="AP56" s="13"/>
      <c r="AQ56" s="13"/>
      <c r="AR56" s="13"/>
      <c r="AS56" s="13"/>
      <c r="AT56" s="13"/>
    </row>
    <row r="57" spans="1:46">
      <c r="A57" s="8" t="s">
        <v>1405</v>
      </c>
      <c r="B57" s="8" t="s">
        <v>47</v>
      </c>
      <c r="C57" s="8" t="s">
        <v>48</v>
      </c>
      <c r="D57" s="8" t="s">
        <v>1441</v>
      </c>
      <c r="E57" s="8" t="s">
        <v>1542</v>
      </c>
      <c r="F57" s="8" t="s">
        <v>1553</v>
      </c>
      <c r="G57" s="9" t="s">
        <v>1554</v>
      </c>
      <c r="H57" s="8" t="s">
        <v>1553</v>
      </c>
      <c r="I57" s="10" t="str">
        <f t="shared" si="0"/>
        <v>LU006208.001</v>
      </c>
      <c r="J57" s="10" t="str">
        <f ca="1">IFERROR(__xludf.DUMMYFUNCTION("VLOOKUP(I57, IMPORTRANGE(""https://docs.google.com/spreadsheets/d/1yDAaXNsi4Mr5FtRQL4tbmSdIzhx6_m4wkOD7IG-k_eo/edit#gid=1336395716"", ""Science!M:N""), 2, FALSE)"),"List the factors that affect the rate of evaporation.")</f>
        <v>List the factors that affect the rate of evaporation.</v>
      </c>
      <c r="K57" s="10" t="str">
        <f t="shared" si="1"/>
        <v>LU006208.002</v>
      </c>
      <c r="L57" s="10" t="str">
        <f ca="1">IFERROR(__xludf.DUMMYFUNCTION("VLOOKUP(K57, IMPORTRANGE(""https://docs.google.com/spreadsheets/d/1yDAaXNsi4Mr5FtRQL4tbmSdIzhx6_m4wkOD7IG-k_eo/edit#gid=1336395716"", ""Science!M:N""), 2, FALSE)"),"Explain how an increase in surface area influences the rate of evaporation.")</f>
        <v>Explain how an increase in surface area influences the rate of evaporation.</v>
      </c>
      <c r="M57" s="10" t="str">
        <f t="shared" si="2"/>
        <v>LU006208.003</v>
      </c>
      <c r="N57" s="10" t="str">
        <f ca="1">IFERROR(__xludf.DUMMYFUNCTION("VLOOKUP(M57, IMPORTRANGE(""https://docs.google.com/spreadsheets/d/1yDAaXNsi4Mr5FtRQL4tbmSdIzhx6_m4wkOD7IG-k_eo/edit#gid=1336395716"", ""Science!M:N""), 2, FALSE)"),"Demonstrate the effect of temperature on the rate of evaporation by heating water and observing the change.")</f>
        <v>Demonstrate the effect of temperature on the rate of evaporation by heating water and observing the change.</v>
      </c>
      <c r="O57" s="10" t="str">
        <f t="shared" si="3"/>
        <v>LU006208.004</v>
      </c>
      <c r="P57" s="10" t="str">
        <f ca="1">IFERROR(__xludf.DUMMYFUNCTION("VLOOKUP(O57, IMPORTRANGE(""https://docs.google.com/spreadsheets/d/1yDAaXNsi4Mr5FtRQL4tbmSdIzhx6_m4wkOD7IG-k_eo/edit#gid=1336395716"", ""Science!M:N""), 2, FALSE)"),"Differentiate between the impact of humidity and wind speed on the rate of evaporation.")</f>
        <v>Differentiate between the impact of humidity and wind speed on the rate of evaporation.</v>
      </c>
      <c r="Q57" s="10" t="str">
        <f t="shared" si="4"/>
        <v>LU006208.005</v>
      </c>
      <c r="R57" s="10" t="str">
        <f ca="1">IFERROR(__xludf.DUMMYFUNCTION("VLOOKUP(Q57, IMPORTRANGE(""https://docs.google.com/spreadsheets/d/1yDAaXNsi4Mr5FtRQL4tbmSdIzhx6_m4wkOD7IG-k_eo/edit#gid=1336395716"", ""Science!M:N""), 2, FALSE)"),"Evaluate why clothes dry faster on a windy day compared to a humid day.")</f>
        <v>Evaluate why clothes dry faster on a windy day compared to a humid day.</v>
      </c>
      <c r="S57" s="10" t="str">
        <f t="shared" si="5"/>
        <v>LU006208.006</v>
      </c>
      <c r="T57" s="10" t="str">
        <f ca="1">IFERROR(__xludf.DUMMYFUNCTION("VLOOKUP(S57, IMPORTRANGE(""https://docs.google.com/spreadsheets/d/1yDAaXNsi4Mr5FtRQL4tbmSdIzhx6_m4wkOD7IG-k_eo/edit#gid=1336395716"", ""Science!M:N""), 2, FALSE)"),"Design an experiment to show the effect of surface area on the rate of evaporation by comparing evaporation in wide and narrow containers.")</f>
        <v>Design an experiment to show the effect of surface area on the rate of evaporation by comparing evaporation in wide and narrow containers.</v>
      </c>
      <c r="U57" s="11" t="str">
        <f ca="1">IFERROR(__xludf.DUMMYFUNCTION("ArrayFormula(VLOOKUP(G57, IMPORTRANGE(""https://docs.google.com/spreadsheets/d/1p7R4vtkWt5VOBim4ltsDG9KTzSjrtKXsMtQGXPHyND0/edit#gid=795171502"", ""'Filter 30_05_2024'!A1:M2000""), {2, 3, 4, 5,6,7,8,9,10,11,12,13}, 0))"),"#N/A")</f>
        <v>#N/A</v>
      </c>
      <c r="V57" s="11" t="str">
        <f ca="1">IFERROR(__xludf.DUMMYFUNCTION("""COMPUTED_VALUE"""),"#N/A")</f>
        <v>#N/A</v>
      </c>
      <c r="W57" s="11" t="str">
        <f ca="1">IFERROR(__xludf.DUMMYFUNCTION("""COMPUTED_VALUE"""),"#N/A")</f>
        <v>#N/A</v>
      </c>
      <c r="X57" s="11" t="str">
        <f ca="1">IFERROR(__xludf.DUMMYFUNCTION("""COMPUTED_VALUE"""),"#N/A")</f>
        <v>#N/A</v>
      </c>
      <c r="Y57" s="11" t="str">
        <f ca="1">IFERROR(__xludf.DUMMYFUNCTION("""COMPUTED_VALUE"""),"#N/A")</f>
        <v>#N/A</v>
      </c>
      <c r="Z57" s="12" t="str">
        <f ca="1">IFERROR(__xludf.DUMMYFUNCTION("""COMPUTED_VALUE"""),"#N/A")</f>
        <v>#N/A</v>
      </c>
      <c r="AA57" s="12" t="str">
        <f ca="1">IFERROR(__xludf.DUMMYFUNCTION("""COMPUTED_VALUE"""),"#N/A")</f>
        <v>#N/A</v>
      </c>
      <c r="AB57" s="12" t="str">
        <f ca="1">IFERROR(__xludf.DUMMYFUNCTION("""COMPUTED_VALUE"""),"#N/A")</f>
        <v>#N/A</v>
      </c>
      <c r="AC57" s="12" t="str">
        <f ca="1">IFERROR(__xludf.DUMMYFUNCTION("""COMPUTED_VALUE"""),"#N/A")</f>
        <v>#N/A</v>
      </c>
      <c r="AD57" s="12" t="str">
        <f ca="1">IFERROR(__xludf.DUMMYFUNCTION("""COMPUTED_VALUE"""),"#N/A")</f>
        <v>#N/A</v>
      </c>
      <c r="AE57" s="12" t="str">
        <f ca="1">IFERROR(__xludf.DUMMYFUNCTION("""COMPUTED_VALUE"""),"#N/A")</f>
        <v>#N/A</v>
      </c>
      <c r="AF57" s="12" t="str">
        <f ca="1">IFERROR(__xludf.DUMMYFUNCTION("""COMPUTED_VALUE"""),"#N/A")</f>
        <v>#N/A</v>
      </c>
      <c r="AG57" s="13" t="str">
        <f ca="1">IFERROR(__xludf.DUMMYFUNCTION("ArrayFormula(VLOOKUP(G57, IMPORTRANGE(""https://docs.google.com/spreadsheets/d/1Co934fvtviyaRiMsrIlT05Jaq7iiYq07aLvRr35KA48/edit?gid=173865642#gid=173865642"", ""'G6_Sci Cur_Pri_LU'!G2:V2000""), {3, 4, 5, 6, 7, 8, 9, 10, 11, 12, 13, 14, 15, 16}, 0))"),"LU006427")</f>
        <v>LU006427</v>
      </c>
      <c r="AH57" s="13" t="str">
        <f ca="1">IFERROR(__xludf.DUMMYFUNCTION("""COMPUTED_VALUE"""),"Evaporation of water")</f>
        <v>Evaporation of water</v>
      </c>
      <c r="AI57" s="13" t="str">
        <f ca="1">IFERROR(__xludf.DUMMYFUNCTION("""COMPUTED_VALUE"""),"LU005354")</f>
        <v>LU005354</v>
      </c>
      <c r="AJ57" s="13" t="str">
        <f ca="1">IFERROR(__xludf.DUMMYFUNCTION("""COMPUTED_VALUE"""),"Definition and units of temperature")</f>
        <v>Definition and units of temperature</v>
      </c>
      <c r="AK57" s="13" t="str">
        <f ca="1">IFERROR(__xludf.DUMMYFUNCTION("""COMPUTED_VALUE"""),"LU005355")</f>
        <v>LU005355</v>
      </c>
      <c r="AL57" s="13" t="str">
        <f ca="1">IFERROR(__xludf.DUMMYFUNCTION("""COMPUTED_VALUE"""),"Definition of transfer of heat")</f>
        <v>Definition of transfer of heat</v>
      </c>
      <c r="AM57" s="13"/>
      <c r="AN57" s="13"/>
      <c r="AO57" s="13"/>
      <c r="AP57" s="13"/>
      <c r="AQ57" s="13"/>
      <c r="AR57" s="13"/>
      <c r="AS57" s="13"/>
      <c r="AT57" s="13"/>
    </row>
    <row r="58" spans="1:46">
      <c r="A58" s="8" t="s">
        <v>1405</v>
      </c>
      <c r="B58" s="8" t="s">
        <v>47</v>
      </c>
      <c r="C58" s="8" t="s">
        <v>48</v>
      </c>
      <c r="D58" s="8" t="s">
        <v>1441</v>
      </c>
      <c r="E58" s="8" t="s">
        <v>1542</v>
      </c>
      <c r="F58" s="8" t="s">
        <v>1553</v>
      </c>
      <c r="G58" s="9" t="s">
        <v>1555</v>
      </c>
      <c r="H58" s="8" t="s">
        <v>1556</v>
      </c>
      <c r="I58" s="10" t="str">
        <f t="shared" si="0"/>
        <v>LU006430.001</v>
      </c>
      <c r="J58" s="10" t="str">
        <f ca="1">IFERROR(__xludf.DUMMYFUNCTION("VLOOKUP(I58, IMPORTRANGE(""https://docs.google.com/spreadsheets/d/1yDAaXNsi4Mr5FtRQL4tbmSdIzhx6_m4wkOD7IG-k_eo/edit#gid=1336395716"", ""Science!M:N""), 2, FALSE)"),"Recall that evaporation is a process where a liquid changes into a gas.")</f>
        <v>Recall that evaporation is a process where a liquid changes into a gas.</v>
      </c>
      <c r="K58" s="10" t="str">
        <f t="shared" si="1"/>
        <v>LU006430.002</v>
      </c>
      <c r="L58" s="10" t="str">
        <f ca="1">IFERROR(__xludf.DUMMYFUNCTION("VLOOKUP(K58, IMPORTRANGE(""https://docs.google.com/spreadsheets/d/1yDAaXNsi4Mr5FtRQL4tbmSdIzhx6_m4wkOD7IG-k_eo/edit#gid=1336395716"", ""Science!M:N""), 2, FALSE)"),"Explain how evaporation causes a cooling effect by removing heat from the surroundings.")</f>
        <v>Explain how evaporation causes a cooling effect by removing heat from the surroundings.</v>
      </c>
      <c r="M58" s="10" t="str">
        <f t="shared" si="2"/>
        <v>LU006430.003</v>
      </c>
      <c r="N58" s="10" t="str">
        <f ca="1">IFERROR(__xludf.DUMMYFUNCTION("VLOOKUP(M58, IMPORTRANGE(""https://docs.google.com/spreadsheets/d/1yDAaXNsi4Mr5FtRQL4tbmSdIzhx6_m4wkOD7IG-k_eo/edit#gid=1336395716"", ""Science!M:N""), 2, FALSE)"),"Demonstrate the cooling effect of evaporation using simple experiments, such as observing the temperature drop when water evaporates from a surface.")</f>
        <v>Demonstrate the cooling effect of evaporation using simple experiments, such as observing the temperature drop when water evaporates from a surface.</v>
      </c>
      <c r="O58" s="10" t="str">
        <f t="shared" si="3"/>
        <v>LU006430.004</v>
      </c>
      <c r="P58" s="10" t="str">
        <f ca="1">IFERROR(__xludf.DUMMYFUNCTION("VLOOKUP(O58, IMPORTRANGE(""https://docs.google.com/spreadsheets/d/1yDAaXNsi4Mr5FtRQL4tbmSdIzhx6_m4wkOD7IG-k_eo/edit#gid=1336395716"", ""Science!M:N""), 2, FALSE)"),"Compare the cooling effects of evaporation under different conditions, such as varying temperatures or airflows.")</f>
        <v>Compare the cooling effects of evaporation under different conditions, such as varying temperatures or airflows.</v>
      </c>
      <c r="Q58" s="10" t="str">
        <f t="shared" si="4"/>
        <v>LU006430.005</v>
      </c>
      <c r="R58" s="10" t="str">
        <f ca="1">IFERROR(__xludf.DUMMYFUNCTION("VLOOKUP(Q58, IMPORTRANGE(""https://docs.google.com/spreadsheets/d/1yDAaXNsi4Mr5FtRQL4tbmSdIzhx6_m4wkOD7IG-k_eo/edit#gid=1336395716"", ""Science!M:N""), 2, FALSE)"),"Evaluate the factors that influence the rate of evaporation and how these factors affect the cooling effect.")</f>
        <v>Evaluate the factors that influence the rate of evaporation and how these factors affect the cooling effect.</v>
      </c>
      <c r="S58" s="10" t="str">
        <f t="shared" si="5"/>
        <v>LU006430.006</v>
      </c>
      <c r="T58" s="10" t="str">
        <f ca="1">IFERROR(__xludf.DUMMYFUNCTION("VLOOKUP(S58, IMPORTRANGE(""https://docs.google.com/spreadsheets/d/1yDAaXNsi4Mr5FtRQL4tbmSdIzhx6_m4wkOD7IG-k_eo/edit#gid=1336395716"", ""Science!M:N""), 2, FALSE)"),"Design a simple experiment to measure the cooling effect of evaporation using common household items and present the findings.")</f>
        <v>Design a simple experiment to measure the cooling effect of evaporation using common household items and present the findings.</v>
      </c>
      <c r="U58" s="11">
        <f ca="1">IFERROR(__xludf.DUMMYFUNCTION("ArrayFormula(VLOOKUP(G58, IMPORTRANGE(""https://docs.google.com/spreadsheets/d/1p7R4vtkWt5VOBim4ltsDG9KTzSjrtKXsMtQGXPHyND0/edit#gid=795171502"", ""'Filter 30_05_2024'!A1:M2000""), {2, 3, 4, 5,6,7,8,9,10,11,12,13}, 0))"),4)</f>
        <v>4</v>
      </c>
      <c r="V58" s="11">
        <f ca="1">IFERROR(__xludf.DUMMYFUNCTION("""COMPUTED_VALUE"""),6)</f>
        <v>6</v>
      </c>
      <c r="W58" s="11">
        <f ca="1">IFERROR(__xludf.DUMMYFUNCTION("""COMPUTED_VALUE"""),2)</f>
        <v>2</v>
      </c>
      <c r="X58" s="11">
        <f ca="1">IFERROR(__xludf.DUMMYFUNCTION("""COMPUTED_VALUE"""),12)</f>
        <v>12</v>
      </c>
      <c r="Y58" s="11">
        <f ca="1">IFERROR(__xludf.DUMMYFUNCTION("""COMPUTED_VALUE"""),4)</f>
        <v>4</v>
      </c>
      <c r="Z58" s="12">
        <f ca="1">IFERROR(__xludf.DUMMYFUNCTION("""COMPUTED_VALUE"""),3)</f>
        <v>3</v>
      </c>
      <c r="AA58" s="12">
        <f ca="1">IFERROR(__xludf.DUMMYFUNCTION("""COMPUTED_VALUE"""),1)</f>
        <v>1</v>
      </c>
      <c r="AB58" s="12">
        <f ca="1">IFERROR(__xludf.DUMMYFUNCTION("""COMPUTED_VALUE"""),8)</f>
        <v>8</v>
      </c>
      <c r="AC58" s="12"/>
      <c r="AD58" s="12"/>
      <c r="AE58" s="12"/>
      <c r="AF58" s="12"/>
      <c r="AG58" s="13" t="str">
        <f ca="1">IFERROR(__xludf.DUMMYFUNCTION("ArrayFormula(VLOOKUP(G58, IMPORTRANGE(""https://docs.google.com/spreadsheets/d/1Co934fvtviyaRiMsrIlT05Jaq7iiYq07aLvRr35KA48/edit?gid=173865642#gid=173865642"", ""'G6_Sci Cur_Pri_LU'!G2:V2000""), {3, 4, 5, 6, 7, 8, 9, 10, 11, 12, 13, 14, 15, 16}, 0))"),"LU006427")</f>
        <v>LU006427</v>
      </c>
      <c r="AH58" s="13" t="str">
        <f ca="1">IFERROR(__xludf.DUMMYFUNCTION("""COMPUTED_VALUE"""),"Evaporation of water")</f>
        <v>Evaporation of water</v>
      </c>
      <c r="AI58" s="13" t="str">
        <f ca="1">IFERROR(__xludf.DUMMYFUNCTION("""COMPUTED_VALUE"""),"LU006428")</f>
        <v>LU006428</v>
      </c>
      <c r="AJ58" s="13" t="str">
        <f ca="1">IFERROR(__xludf.DUMMYFUNCTION("""COMPUTED_VALUE"""),"Condensation of water")</f>
        <v>Condensation of water</v>
      </c>
      <c r="AK58" s="13"/>
      <c r="AL58" s="13"/>
      <c r="AM58" s="13"/>
      <c r="AN58" s="13"/>
      <c r="AO58" s="13"/>
      <c r="AP58" s="13"/>
      <c r="AQ58" s="13"/>
      <c r="AR58" s="13"/>
      <c r="AS58" s="13"/>
      <c r="AT58" s="13"/>
    </row>
    <row r="59" spans="1:46">
      <c r="A59" s="8" t="s">
        <v>1405</v>
      </c>
      <c r="B59" s="8" t="s">
        <v>47</v>
      </c>
      <c r="C59" s="8" t="s">
        <v>48</v>
      </c>
      <c r="D59" s="8" t="s">
        <v>1441</v>
      </c>
      <c r="E59" s="8" t="s">
        <v>1542</v>
      </c>
      <c r="F59" s="8" t="s">
        <v>1557</v>
      </c>
      <c r="G59" s="9" t="s">
        <v>1558</v>
      </c>
      <c r="H59" s="8" t="s">
        <v>1559</v>
      </c>
      <c r="I59" s="10" t="str">
        <f t="shared" si="0"/>
        <v>LU005860.001</v>
      </c>
      <c r="J59" s="10" t="str">
        <f ca="1">IFERROR(__xludf.DUMMYFUNCTION("VLOOKUP(I59, IMPORTRANGE(""https://docs.google.com/spreadsheets/d/1yDAaXNsi4Mr5FtRQL4tbmSdIzhx6_m4wkOD7IG-k_eo/edit#gid=1336395716"", ""Science!M:N""), 2, FALSE)"),"Explain the process of cloud formation in the Earth's atmosphere.")</f>
        <v>Explain the process of cloud formation in the Earth's atmosphere.</v>
      </c>
      <c r="K59" s="10" t="str">
        <f t="shared" si="1"/>
        <v>LU005860.002</v>
      </c>
      <c r="L59" s="10" t="str">
        <f ca="1">IFERROR(__xludf.DUMMYFUNCTION("VLOOKUP(K59, IMPORTRANGE(""https://docs.google.com/spreadsheets/d/1yDAaXNsi4Mr5FtRQL4tbmSdIzhx6_m4wkOD7IG-k_eo/edit#gid=1336395716"", ""Science!M:N""), 2, FALSE)"),"Describe the role of moisture, temperature, and air pressure in cloud development.")</f>
        <v>Describe the role of moisture, temperature, and air pressure in cloud development.</v>
      </c>
      <c r="M59" s="10" t="str">
        <f t="shared" si="2"/>
        <v>LU005860.003</v>
      </c>
      <c r="N59" s="10" t="str">
        <f ca="1">IFERROR(__xludf.DUMMYFUNCTION("VLOOKUP(M59, IMPORTRANGE(""https://docs.google.com/spreadsheets/d/1yDAaXNsi4Mr5FtRQL4tbmSdIzhx6_m4wkOD7IG-k_eo/edit#gid=1336395716"", ""Science!M:N""), 2, FALSE)"),"Identify the various types of clouds and their characteristics.")</f>
        <v>Identify the various types of clouds and their characteristics.</v>
      </c>
      <c r="O59" s="10" t="str">
        <f t="shared" si="3"/>
        <v>LU005860.004</v>
      </c>
      <c r="P59" s="10" t="str">
        <f ca="1">IFERROR(__xludf.DUMMYFUNCTION("VLOOKUP(O59, IMPORTRANGE(""https://docs.google.com/spreadsheets/d/1yDAaXNsi4Mr5FtRQL4tbmSdIzhx6_m4wkOD7IG-k_eo/edit#gid=1336395716"", ""Science!M:N""), 2, FALSE)"),"Analyze the atmospheric conditions that lead to cloud formation, including lifting mechanisms.")</f>
        <v>Analyze the atmospheric conditions that lead to cloud formation, including lifting mechanisms.</v>
      </c>
      <c r="Q59" s="10" t="str">
        <f t="shared" si="4"/>
        <v>LU005860.005</v>
      </c>
      <c r="R59" s="10" t="str">
        <f ca="1">IFERROR(__xludf.DUMMYFUNCTION("VLOOKUP(Q59, IMPORTRANGE(""https://docs.google.com/spreadsheets/d/1yDAaXNsi4Mr5FtRQL4tbmSdIzhx6_m4wkOD7IG-k_eo/edit#gid=1336395716"", ""Science!M:N""), 2, FALSE)"),"Default")</f>
        <v>Default</v>
      </c>
      <c r="S59" s="10" t="str">
        <f t="shared" si="5"/>
        <v>LU005860.006</v>
      </c>
      <c r="T59" s="10" t="str">
        <f ca="1">IFERROR(__xludf.DUMMYFUNCTION("VLOOKUP(S59, IMPORTRANGE(""https://docs.google.com/spreadsheets/d/1yDAaXNsi4Mr5FtRQL4tbmSdIzhx6_m4wkOD7IG-k_eo/edit#gid=1336395716"", ""Science!M:N""), 2, FALSE)"),"Default")</f>
        <v>Default</v>
      </c>
      <c r="U59" s="11">
        <f ca="1">IFERROR(__xludf.DUMMYFUNCTION("ArrayFormula(VLOOKUP(G59, IMPORTRANGE(""https://docs.google.com/spreadsheets/d/1p7R4vtkWt5VOBim4ltsDG9KTzSjrtKXsMtQGXPHyND0/edit#gid=795171502"", ""'Filter 30_05_2024'!A1:M2000""), {2, 3, 4, 5,6,7,8,9,10,11,12,13}, 0))"),5)</f>
        <v>5</v>
      </c>
      <c r="V59" s="11">
        <f ca="1">IFERROR(__xludf.DUMMYFUNCTION("""COMPUTED_VALUE"""),6)</f>
        <v>6</v>
      </c>
      <c r="W59" s="11">
        <f ca="1">IFERROR(__xludf.DUMMYFUNCTION("""COMPUTED_VALUE"""),2)</f>
        <v>2</v>
      </c>
      <c r="X59" s="11">
        <f ca="1">IFERROR(__xludf.DUMMYFUNCTION("""COMPUTED_VALUE"""),13)</f>
        <v>13</v>
      </c>
      <c r="Y59" s="11">
        <f ca="1">IFERROR(__xludf.DUMMYFUNCTION("""COMPUTED_VALUE"""),4)</f>
        <v>4</v>
      </c>
      <c r="Z59" s="12">
        <f ca="1">IFERROR(__xludf.DUMMYFUNCTION("""COMPUTED_VALUE"""),3)</f>
        <v>3</v>
      </c>
      <c r="AA59" s="12">
        <f ca="1">IFERROR(__xludf.DUMMYFUNCTION("""COMPUTED_VALUE"""),1)</f>
        <v>1</v>
      </c>
      <c r="AB59" s="12">
        <f ca="1">IFERROR(__xludf.DUMMYFUNCTION("""COMPUTED_VALUE"""),8)</f>
        <v>8</v>
      </c>
      <c r="AC59" s="12"/>
      <c r="AD59" s="12"/>
      <c r="AE59" s="12"/>
      <c r="AF59" s="12"/>
      <c r="AG59" s="13" t="str">
        <f ca="1">IFERROR(__xludf.DUMMYFUNCTION("ArrayFormula(VLOOKUP(G59, IMPORTRANGE(""https://docs.google.com/spreadsheets/d/1Co934fvtviyaRiMsrIlT05Jaq7iiYq07aLvRr35KA48/edit?gid=173865642#gid=173865642"", ""'G6_Sci Cur_Pri_LU'!G2:V2000""), {3, 4, 5, 6, 7, 8, 9, 10, 11, 12, 13, 14, 15, 16}, 0))"),"LU006427")</f>
        <v>LU006427</v>
      </c>
      <c r="AH59" s="13" t="str">
        <f ca="1">IFERROR(__xludf.DUMMYFUNCTION("""COMPUTED_VALUE"""),"Evaporation of water")</f>
        <v>Evaporation of water</v>
      </c>
      <c r="AI59" s="13" t="str">
        <f ca="1">IFERROR(__xludf.DUMMYFUNCTION("""COMPUTED_VALUE"""),"LU006428")</f>
        <v>LU006428</v>
      </c>
      <c r="AJ59" s="13" t="str">
        <f ca="1">IFERROR(__xludf.DUMMYFUNCTION("""COMPUTED_VALUE"""),"Condensation of water")</f>
        <v>Condensation of water</v>
      </c>
      <c r="AK59" s="13"/>
      <c r="AL59" s="13"/>
      <c r="AM59" s="13"/>
      <c r="AN59" s="13"/>
      <c r="AO59" s="13"/>
      <c r="AP59" s="13"/>
      <c r="AQ59" s="13"/>
      <c r="AR59" s="13"/>
      <c r="AS59" s="13"/>
      <c r="AT59" s="13"/>
    </row>
    <row r="60" spans="1:46">
      <c r="A60" s="8" t="s">
        <v>1405</v>
      </c>
      <c r="B60" s="8" t="s">
        <v>47</v>
      </c>
      <c r="C60" s="8" t="s">
        <v>48</v>
      </c>
      <c r="D60" s="8" t="s">
        <v>1441</v>
      </c>
      <c r="E60" s="8" t="s">
        <v>1542</v>
      </c>
      <c r="F60" s="8" t="s">
        <v>1557</v>
      </c>
      <c r="G60" s="9" t="s">
        <v>1560</v>
      </c>
      <c r="H60" s="8" t="s">
        <v>1561</v>
      </c>
      <c r="I60" s="10" t="str">
        <f t="shared" si="0"/>
        <v>LU005776.001</v>
      </c>
      <c r="J60" s="10" t="str">
        <f ca="1">IFERROR(__xludf.DUMMYFUNCTION("VLOOKUP(I60, IMPORTRANGE(""https://docs.google.com/spreadsheets/d/1yDAaXNsi4Mr5FtRQL4tbmSdIzhx6_m4wkOD7IG-k_eo/edit#gid=1336395716"", ""Science!M:N""), 2, FALSE)"),"Label the key components of the water cycle.")</f>
        <v>Label the key components of the water cycle.</v>
      </c>
      <c r="K60" s="10" t="str">
        <f t="shared" si="1"/>
        <v>LU005776.002</v>
      </c>
      <c r="L60" s="10" t="str">
        <f ca="1">IFERROR(__xludf.DUMMYFUNCTION("VLOOKUP(K60, IMPORTRANGE(""https://docs.google.com/spreadsheets/d/1yDAaXNsi4Mr5FtRQL4tbmSdIzhx6_m4wkOD7IG-k_eo/edit#gid=1336395716"", ""Science!M:N""), 2, FALSE)"),"Describe the water cycle processes.")</f>
        <v>Describe the water cycle processes.</v>
      </c>
      <c r="M60" s="10" t="str">
        <f t="shared" si="2"/>
        <v>LU005776.003</v>
      </c>
      <c r="N60" s="10" t="str">
        <f ca="1">IFERROR(__xludf.DUMMYFUNCTION("VLOOKUP(M60, IMPORTRANGE(""https://docs.google.com/spreadsheets/d/1yDAaXNsi4Mr5FtRQL4tbmSdIzhx6_m4wkOD7IG-k_eo/edit#gid=1336395716"", ""Science!M:N""), 2, FALSE)"),"Use a diagram to show how the water cycle operates.")</f>
        <v>Use a diagram to show how the water cycle operates.</v>
      </c>
      <c r="O60" s="10" t="str">
        <f t="shared" si="3"/>
        <v>LU005776.004</v>
      </c>
      <c r="P60" s="10" t="str">
        <f ca="1">IFERROR(__xludf.DUMMYFUNCTION("VLOOKUP(O60, IMPORTRANGE(""https://docs.google.com/spreadsheets/d/1yDAaXNsi4Mr5FtRQL4tbmSdIzhx6_m4wkOD7IG-k_eo/edit#gid=1336395716"", ""Science!M:N""), 2, FALSE)"),"Analyze the role of the sun in driving the water cycle.")</f>
        <v>Analyze the role of the sun in driving the water cycle.</v>
      </c>
      <c r="Q60" s="10" t="str">
        <f t="shared" si="4"/>
        <v>LU005776.005</v>
      </c>
      <c r="R60" s="10" t="str">
        <f ca="1">IFERROR(__xludf.DUMMYFUNCTION("VLOOKUP(Q60, IMPORTRANGE(""https://docs.google.com/spreadsheets/d/1yDAaXNsi4Mr5FtRQL4tbmSdIzhx6_m4wkOD7IG-k_eo/edit#gid=1336395716"", ""Science!M:N""), 2, FALSE)"),"Critique models of the water cycle for their accuracy and completeness.")</f>
        <v>Critique models of the water cycle for their accuracy and completeness.</v>
      </c>
      <c r="S60" s="10" t="str">
        <f t="shared" si="5"/>
        <v>LU005776.006</v>
      </c>
      <c r="T60" s="10" t="str">
        <f ca="1">IFERROR(__xludf.DUMMYFUNCTION("VLOOKUP(S60, IMPORTRANGE(""https://docs.google.com/spreadsheets/d/1yDAaXNsi4Mr5FtRQL4tbmSdIzhx6_m4wkOD7IG-k_eo/edit#gid=1336395716"", ""Science!M:N""), 2, FALSE)"),"Construct a physical model that demonstrates the water cycle.")</f>
        <v>Construct a physical model that demonstrates the water cycle.</v>
      </c>
      <c r="U60" s="11">
        <f ca="1">IFERROR(__xludf.DUMMYFUNCTION("ArrayFormula(VLOOKUP(G60, IMPORTRANGE(""https://docs.google.com/spreadsheets/d/1p7R4vtkWt5VOBim4ltsDG9KTzSjrtKXsMtQGXPHyND0/edit#gid=795171502"", ""'Filter 30_05_2024'!A1:M2000""), {2, 3, 4, 5,6,7,8,9,10,11,12,13}, 0))"),4)</f>
        <v>4</v>
      </c>
      <c r="V60" s="11">
        <f ca="1">IFERROR(__xludf.DUMMYFUNCTION("""COMPUTED_VALUE"""),6)</f>
        <v>6</v>
      </c>
      <c r="W60" s="11">
        <f ca="1">IFERROR(__xludf.DUMMYFUNCTION("""COMPUTED_VALUE"""),2)</f>
        <v>2</v>
      </c>
      <c r="X60" s="11">
        <f ca="1">IFERROR(__xludf.DUMMYFUNCTION("""COMPUTED_VALUE"""),12)</f>
        <v>12</v>
      </c>
      <c r="Y60" s="11">
        <f ca="1">IFERROR(__xludf.DUMMYFUNCTION("""COMPUTED_VALUE"""),6)</f>
        <v>6</v>
      </c>
      <c r="Z60" s="12">
        <f ca="1">IFERROR(__xludf.DUMMYFUNCTION("""COMPUTED_VALUE"""),3)</f>
        <v>3</v>
      </c>
      <c r="AA60" s="12">
        <f ca="1">IFERROR(__xludf.DUMMYFUNCTION("""COMPUTED_VALUE"""),1)</f>
        <v>1</v>
      </c>
      <c r="AB60" s="12">
        <f ca="1">IFERROR(__xludf.DUMMYFUNCTION("""COMPUTED_VALUE"""),10)</f>
        <v>10</v>
      </c>
      <c r="AC60" s="12"/>
      <c r="AD60" s="12"/>
      <c r="AE60" s="12"/>
      <c r="AF60" s="12"/>
      <c r="AG60" s="13" t="str">
        <f ca="1">IFERROR(__xludf.DUMMYFUNCTION("ArrayFormula(VLOOKUP(G60, IMPORTRANGE(""https://docs.google.com/spreadsheets/d/1Co934fvtviyaRiMsrIlT05Jaq7iiYq07aLvRr35KA48/edit?gid=173865642#gid=173865642"", ""'G6_Sci Cur_Pri_LU'!G2:V2000""), {3, 4, 5, 6, 7, 8, 9, 10, 11, 12, 13, 14, 15, 16}, 0))"),"LU005860")</f>
        <v>LU005860</v>
      </c>
      <c r="AH60" s="13" t="str">
        <f ca="1">IFERROR(__xludf.DUMMYFUNCTION("""COMPUTED_VALUE"""),"Understanding how clouds form in the sky")</f>
        <v>Understanding how clouds form in the sky</v>
      </c>
      <c r="AI60" s="13" t="str">
        <f ca="1">IFERROR(__xludf.DUMMYFUNCTION("""COMPUTED_VALUE"""),"LU006427")</f>
        <v>LU006427</v>
      </c>
      <c r="AJ60" s="13" t="str">
        <f ca="1">IFERROR(__xludf.DUMMYFUNCTION("""COMPUTED_VALUE"""),"Evaporation of water")</f>
        <v>Evaporation of water</v>
      </c>
      <c r="AK60" s="13" t="str">
        <f ca="1">IFERROR(__xludf.DUMMYFUNCTION("""COMPUTED_VALUE"""),"LU006428")</f>
        <v>LU006428</v>
      </c>
      <c r="AL60" s="13" t="str">
        <f ca="1">IFERROR(__xludf.DUMMYFUNCTION("""COMPUTED_VALUE"""),"Condensation of water")</f>
        <v>Condensation of water</v>
      </c>
      <c r="AM60" s="13"/>
      <c r="AN60" s="13"/>
      <c r="AO60" s="13"/>
      <c r="AP60" s="13"/>
      <c r="AQ60" s="13"/>
      <c r="AR60" s="13"/>
      <c r="AS60" s="13"/>
      <c r="AT60" s="13"/>
    </row>
    <row r="61" spans="1:46">
      <c r="A61" s="8" t="s">
        <v>1405</v>
      </c>
      <c r="B61" s="8" t="s">
        <v>47</v>
      </c>
      <c r="C61" s="8" t="s">
        <v>48</v>
      </c>
      <c r="D61" s="8" t="s">
        <v>1510</v>
      </c>
      <c r="E61" s="8" t="s">
        <v>1562</v>
      </c>
      <c r="F61" s="8" t="s">
        <v>1563</v>
      </c>
      <c r="G61" s="106" t="s">
        <v>1564</v>
      </c>
      <c r="H61" s="8" t="s">
        <v>1565</v>
      </c>
      <c r="I61" s="10" t="str">
        <f t="shared" si="0"/>
        <v>LU005361.001</v>
      </c>
      <c r="J61" s="10" t="str">
        <f ca="1">IFERROR(__xludf.DUMMYFUNCTION("VLOOKUP(I61, IMPORTRANGE(""https://docs.google.com/spreadsheets/d/1yDAaXNsi4Mr5FtRQL4tbmSdIzhx6_m4wkOD7IG-k_eo/edit#gid=1336395716"", ""Science!M:N""), 2, FALSE)"),"Recall basic safety practices related to temperature, such as not touching extremely hot or cold objects to prevent skin damage.")</f>
        <v>Recall basic safety practices related to temperature, such as not touching extremely hot or cold objects to prevent skin damage.</v>
      </c>
      <c r="K61" s="10" t="str">
        <f t="shared" si="1"/>
        <v>LU005361.002</v>
      </c>
      <c r="L61" s="10" t="str">
        <f ca="1">IFERROR(__xludf.DUMMYFUNCTION("VLOOKUP(K61, IMPORTRANGE(""https://docs.google.com/spreadsheets/d/1yDAaXNsi4Mr5FtRQL4tbmSdIzhx6_m4wkOD7IG-k_eo/edit#gid=1336395716"", ""Science!M:N""), 2, FALSE)"),"Categorise the objects in the surroundings as hot and cold.")</f>
        <v>Categorise the objects in the surroundings as hot and cold.</v>
      </c>
      <c r="M61" s="10" t="str">
        <f t="shared" si="2"/>
        <v>LU005361.003</v>
      </c>
      <c r="N61" s="10" t="str">
        <f ca="1">IFERROR(__xludf.DUMMYFUNCTION("VLOOKUP(M61, IMPORTRANGE(""https://docs.google.com/spreadsheets/d/1yDAaXNsi4Mr5FtRQL4tbmSdIzhx6_m4wkOD7IG-k_eo/edit#gid=1336395716"", ""Science!M:N""), 2, FALSE)"),"Demonstrate that touch is not an accurate measure to find the degree of hotness or coldness.")</f>
        <v>Demonstrate that touch is not an accurate measure to find the degree of hotness or coldness.</v>
      </c>
      <c r="O61" s="10" t="str">
        <f t="shared" si="3"/>
        <v>LU005361.004</v>
      </c>
      <c r="P61" s="10" t="str">
        <f ca="1">IFERROR(__xludf.DUMMYFUNCTION("VLOOKUP(O61, IMPORTRANGE(""https://docs.google.com/spreadsheets/d/1yDAaXNsi4Mr5FtRQL4tbmSdIzhx6_m4wkOD7IG-k_eo/edit#gid=1336395716"", ""Science!M:N""), 2, FALSE)"),"#N/A")</f>
        <v>#N/A</v>
      </c>
      <c r="Q61" s="10" t="str">
        <f t="shared" si="4"/>
        <v>LU005361.005</v>
      </c>
      <c r="R61" s="10" t="str">
        <f ca="1">IFERROR(__xludf.DUMMYFUNCTION("VLOOKUP(Q61, IMPORTRANGE(""https://docs.google.com/spreadsheets/d/1yDAaXNsi4Mr5FtRQL4tbmSdIzhx6_m4wkOD7IG-k_eo/edit#gid=1336395716"", ""Science!M:N""), 2, FALSE)"),"Evaluate the limitations of solely relying on our sense of touch to determine the temperature of objects . ")</f>
        <v xml:space="preserve">Evaluate the limitations of solely relying on our sense of touch to determine the temperature of objects . </v>
      </c>
      <c r="S61" s="10" t="str">
        <f t="shared" si="5"/>
        <v>LU005361.006</v>
      </c>
      <c r="T61" s="10" t="str">
        <f ca="1">IFERROR(__xludf.DUMMYFUNCTION("VLOOKUP(S61, IMPORTRANGE(""https://docs.google.com/spreadsheets/d/1yDAaXNsi4Mr5FtRQL4tbmSdIzhx6_m4wkOD7IG-k_eo/edit#gid=1336395716"", ""Science!M:N""), 2, FALSE)"),"Design a simple experiment to test the accuracy of human touch in gauging temperatures of different substances.")</f>
        <v>Design a simple experiment to test the accuracy of human touch in gauging temperatures of different substances.</v>
      </c>
      <c r="U61" s="11">
        <f ca="1">IFERROR(__xludf.DUMMYFUNCTION("ArrayFormula(VLOOKUP(G61, IMPORTRANGE(""https://docs.google.com/spreadsheets/d/1p7R4vtkWt5VOBim4ltsDG9KTzSjrtKXsMtQGXPHyND0/edit#gid=795171502"", ""'Filter 30_05_2024'!A1:M2000""), {2, 3, 4, 5,6,7,8,9,10,11,12,13}, 0))"),18)</f>
        <v>18</v>
      </c>
      <c r="V61" s="11">
        <f ca="1">IFERROR(__xludf.DUMMYFUNCTION("""COMPUTED_VALUE"""),10)</f>
        <v>10</v>
      </c>
      <c r="W61" s="11">
        <f ca="1">IFERROR(__xludf.DUMMYFUNCTION("""COMPUTED_VALUE"""),4)</f>
        <v>4</v>
      </c>
      <c r="X61" s="11">
        <f ca="1">IFERROR(__xludf.DUMMYFUNCTION("""COMPUTED_VALUE"""),32)</f>
        <v>32</v>
      </c>
      <c r="Y61" s="11">
        <f ca="1">IFERROR(__xludf.DUMMYFUNCTION("""COMPUTED_VALUE"""),5)</f>
        <v>5</v>
      </c>
      <c r="Z61" s="12">
        <f ca="1">IFERROR(__xludf.DUMMYFUNCTION("""COMPUTED_VALUE"""),3)</f>
        <v>3</v>
      </c>
      <c r="AA61" s="12">
        <f ca="1">IFERROR(__xludf.DUMMYFUNCTION("""COMPUTED_VALUE"""),1)</f>
        <v>1</v>
      </c>
      <c r="AB61" s="12">
        <f ca="1">IFERROR(__xludf.DUMMYFUNCTION("""COMPUTED_VALUE"""),9)</f>
        <v>9</v>
      </c>
      <c r="AC61" s="12"/>
      <c r="AD61" s="12"/>
      <c r="AE61" s="12">
        <f ca="1">IFERROR(__xludf.DUMMYFUNCTION("""COMPUTED_VALUE"""),1)</f>
        <v>1</v>
      </c>
      <c r="AF61" s="12">
        <f ca="1">IFERROR(__xludf.DUMMYFUNCTION("""COMPUTED_VALUE"""),1)</f>
        <v>1</v>
      </c>
      <c r="AG61" s="13" t="str">
        <f ca="1">IFERROR(__xludf.DUMMYFUNCTION("ArrayFormula(VLOOKUP(G61, IMPORTRANGE(""https://docs.google.com/spreadsheets/d/1Co934fvtviyaRiMsrIlT05Jaq7iiYq07aLvRr35KA48/edit?gid=173865642#gid=173865642"", ""'G6_Sci Cur_Pri_LU'!G2:V2000""), {3, 4, 5, 6, 7, 8, 9, 10, 11, 12, 13, 14, 15, 16}, 0))"),"LU005109")</f>
        <v>LU005109</v>
      </c>
      <c r="AH61" s="13" t="str">
        <f ca="1">IFERROR(__xludf.DUMMYFUNCTION("""COMPUTED_VALUE"""),"Human senses")</f>
        <v>Human senses</v>
      </c>
      <c r="AI61" s="13"/>
      <c r="AJ61" s="13"/>
      <c r="AK61" s="13"/>
      <c r="AL61" s="13"/>
      <c r="AM61" s="13"/>
      <c r="AN61" s="13"/>
      <c r="AO61" s="13"/>
      <c r="AP61" s="13"/>
      <c r="AQ61" s="13"/>
      <c r="AR61" s="13"/>
      <c r="AS61" s="13"/>
      <c r="AT61" s="13"/>
    </row>
    <row r="62" spans="1:46">
      <c r="A62" s="8" t="s">
        <v>1405</v>
      </c>
      <c r="B62" s="8" t="s">
        <v>47</v>
      </c>
      <c r="C62" s="8" t="s">
        <v>48</v>
      </c>
      <c r="D62" s="8" t="s">
        <v>1510</v>
      </c>
      <c r="E62" s="8" t="s">
        <v>1562</v>
      </c>
      <c r="F62" s="8" t="s">
        <v>1563</v>
      </c>
      <c r="G62" s="8" t="s">
        <v>1566</v>
      </c>
      <c r="H62" s="8" t="s">
        <v>1567</v>
      </c>
      <c r="I62" s="10" t="str">
        <f t="shared" si="0"/>
        <v>LU006422.001</v>
      </c>
      <c r="J62" s="10" t="str">
        <f ca="1">IFERROR(__xludf.DUMMYFUNCTION("VLOOKUP(I62, IMPORTRANGE(""https://docs.google.com/spreadsheets/d/1yDAaXNsi4Mr5FtRQL4tbmSdIzhx6_m4wkOD7IG-k_eo/edit#gid=1336395716"", ""Science!M:N""), 2, FALSE)"),"Recall the common temperature scales. ")</f>
        <v xml:space="preserve">Recall the common temperature scales. </v>
      </c>
      <c r="K62" s="10" t="str">
        <f t="shared" si="1"/>
        <v>LU006422.002</v>
      </c>
      <c r="L62" s="10" t="str">
        <f ca="1">IFERROR(__xludf.DUMMYFUNCTION("VLOOKUP(K62, IMPORTRANGE(""https://docs.google.com/spreadsheets/d/1yDAaXNsi4Mr5FtRQL4tbmSdIzhx6_m4wkOD7IG-k_eo/edit#gid=1336395716"", ""Science!M:N""), 2, FALSE)"),"Explain how temperature is measured using different scales and why it is important.")</f>
        <v>Explain how temperature is measured using different scales and why it is important.</v>
      </c>
      <c r="M62" s="10" t="str">
        <f t="shared" si="2"/>
        <v>LU006422.003</v>
      </c>
      <c r="N62" s="10" t="str">
        <f ca="1">IFERROR(__xludf.DUMMYFUNCTION("VLOOKUP(M62, IMPORTRANGE(""https://docs.google.com/spreadsheets/d/1yDAaXNsi4Mr5FtRQL4tbmSdIzhx6_m4wkOD7IG-k_eo/edit#gid=1336395716"", ""Science!M:N""), 2, FALSE)"),"Convert temperatures between different temperature scales using a simple formula.")</f>
        <v>Convert temperatures between different temperature scales using a simple formula.</v>
      </c>
      <c r="O62" s="10" t="str">
        <f t="shared" si="3"/>
        <v>LU006422.004</v>
      </c>
      <c r="P62" s="10" t="str">
        <f ca="1">IFERROR(__xludf.DUMMYFUNCTION("VLOOKUP(O62, IMPORTRANGE(""https://docs.google.com/spreadsheets/d/1yDAaXNsi4Mr5FtRQL4tbmSdIzhx6_m4wkOD7IG-k_eo/edit#gid=1336395716"", ""Science!M:N""), 2, FALSE)"),"Compare temperature readings on different scales and discuss their relationships.")</f>
        <v>Compare temperature readings on different scales and discuss their relationships.</v>
      </c>
      <c r="Q62" s="10" t="str">
        <f t="shared" si="4"/>
        <v>LU006422.005</v>
      </c>
      <c r="R62" s="10" t="str">
        <f ca="1">IFERROR(__xludf.DUMMYFUNCTION("VLOOKUP(Q62, IMPORTRANGE(""https://docs.google.com/spreadsheets/d/1yDAaXNsi4Mr5FtRQL4tbmSdIzhx6_m4wkOD7IG-k_eo/edit#gid=1336395716"", ""Science!M:N""), 2, FALSE)"),"Critique the effectiveness of using one scale over another in different contexts (e.g., scientific vs. daily life).")</f>
        <v>Critique the effectiveness of using one scale over another in different contexts (e.g., scientific vs. daily life).</v>
      </c>
      <c r="S62" s="10" t="str">
        <f t="shared" si="5"/>
        <v>LU006422.006</v>
      </c>
      <c r="T62" s="10" t="str">
        <f ca="1">IFERROR(__xludf.DUMMYFUNCTION("VLOOKUP(S62, IMPORTRANGE(""https://docs.google.com/spreadsheets/d/1yDAaXNsi4Mr5FtRQL4tbmSdIzhx6_m4wkOD7IG-k_eo/edit#gid=1336395716"", ""Science!M:N""), 2, FALSE)"),"Develop a simple guide or chart that helps peers understand how to convert temperatures between different scales. ")</f>
        <v xml:space="preserve">Develop a simple guide or chart that helps peers understand how to convert temperatures between different scales. </v>
      </c>
      <c r="U62" s="11">
        <f ca="1">IFERROR(__xludf.DUMMYFUNCTION("ArrayFormula(VLOOKUP(G62, IMPORTRANGE(""https://docs.google.com/spreadsheets/d/1p7R4vtkWt5VOBim4ltsDG9KTzSjrtKXsMtQGXPHyND0/edit#gid=795171502"", ""'Filter 30_05_2024'!A1:M2000""), {2, 3, 4, 5,6,7,8,9,10,11,12,13}, 0))"),4)</f>
        <v>4</v>
      </c>
      <c r="V62" s="11">
        <f ca="1">IFERROR(__xludf.DUMMYFUNCTION("""COMPUTED_VALUE"""),6)</f>
        <v>6</v>
      </c>
      <c r="W62" s="11">
        <f ca="1">IFERROR(__xludf.DUMMYFUNCTION("""COMPUTED_VALUE"""),2)</f>
        <v>2</v>
      </c>
      <c r="X62" s="11">
        <f ca="1">IFERROR(__xludf.DUMMYFUNCTION("""COMPUTED_VALUE"""),12)</f>
        <v>12</v>
      </c>
      <c r="Y62" s="11">
        <f ca="1">IFERROR(__xludf.DUMMYFUNCTION("""COMPUTED_VALUE"""),4)</f>
        <v>4</v>
      </c>
      <c r="Z62" s="12">
        <f ca="1">IFERROR(__xludf.DUMMYFUNCTION("""COMPUTED_VALUE"""),3)</f>
        <v>3</v>
      </c>
      <c r="AA62" s="12">
        <f ca="1">IFERROR(__xludf.DUMMYFUNCTION("""COMPUTED_VALUE"""),1)</f>
        <v>1</v>
      </c>
      <c r="AB62" s="12">
        <f ca="1">IFERROR(__xludf.DUMMYFUNCTION("""COMPUTED_VALUE"""),8)</f>
        <v>8</v>
      </c>
      <c r="AC62" s="12"/>
      <c r="AD62" s="12"/>
      <c r="AE62" s="12"/>
      <c r="AF62" s="12"/>
      <c r="AG62" s="13" t="str">
        <f ca="1">IFERROR(__xludf.DUMMYFUNCTION("ArrayFormula(VLOOKUP(G62, IMPORTRANGE(""https://docs.google.com/spreadsheets/d/1Co934fvtviyaRiMsrIlT05Jaq7iiYq07aLvRr35KA48/edit?gid=173865642#gid=173865642"", ""'G6_Sci Cur_Pri_LU'!G2:V2000""), {3, 4, 5, 6, 7, 8, 9, 10, 11, 12, 13, 14, 15, 16}, 0))"),"LU005361")</f>
        <v>LU005361</v>
      </c>
      <c r="AH62" s="13" t="str">
        <f ca="1">IFERROR(__xludf.DUMMYFUNCTION("""COMPUTED_VALUE"""),"Sense of touch as temperature sensor")</f>
        <v>Sense of touch as temperature sensor</v>
      </c>
      <c r="AI62" s="13"/>
      <c r="AJ62" s="13"/>
      <c r="AK62" s="13"/>
      <c r="AL62" s="13"/>
      <c r="AM62" s="13"/>
      <c r="AN62" s="13"/>
      <c r="AO62" s="13"/>
      <c r="AP62" s="13"/>
      <c r="AQ62" s="13"/>
      <c r="AR62" s="13"/>
      <c r="AS62" s="13"/>
      <c r="AT62" s="13"/>
    </row>
    <row r="63" spans="1:46">
      <c r="A63" s="8" t="s">
        <v>1405</v>
      </c>
      <c r="B63" s="8" t="s">
        <v>47</v>
      </c>
      <c r="C63" s="8" t="s">
        <v>48</v>
      </c>
      <c r="D63" s="8" t="s">
        <v>1510</v>
      </c>
      <c r="E63" s="8" t="s">
        <v>1562</v>
      </c>
      <c r="F63" s="8" t="s">
        <v>1568</v>
      </c>
      <c r="G63" s="106" t="s">
        <v>1569</v>
      </c>
      <c r="H63" s="8" t="s">
        <v>1570</v>
      </c>
      <c r="I63" s="10" t="str">
        <f t="shared" si="0"/>
        <v>LU005918.001</v>
      </c>
      <c r="J63" s="10" t="str">
        <f ca="1">IFERROR(__xludf.DUMMYFUNCTION("VLOOKUP(I63, IMPORTRANGE(""https://docs.google.com/spreadsheets/d/1yDAaXNsi4Mr5FtRQL4tbmSdIzhx6_m4wkOD7IG-k_eo/edit#gid=1336395716"", ""Science!M:N""), 2, FALSE)"),"List the essential features and purposes of a thermometer.")</f>
        <v>List the essential features and purposes of a thermometer.</v>
      </c>
      <c r="K63" s="10" t="str">
        <f t="shared" si="1"/>
        <v>LU005918.002</v>
      </c>
      <c r="L63" s="10" t="str">
        <f ca="1">IFERROR(__xludf.DUMMYFUNCTION("VLOOKUP(K63, IMPORTRANGE(""https://docs.google.com/spreadsheets/d/1yDAaXNsi4Mr5FtRQL4tbmSdIzhx6_m4wkOD7IG-k_eo/edit#gid=1336395716"", ""Science!M:N""), 2, FALSE)"),"Describe in detail how a thermometer works and its role in measuring temperature.")</f>
        <v>Describe in detail how a thermometer works and its role in measuring temperature.</v>
      </c>
      <c r="M63" s="10" t="str">
        <f t="shared" si="2"/>
        <v>LU005918.003</v>
      </c>
      <c r="N63" s="10" t="str">
        <f ca="1">IFERROR(__xludf.DUMMYFUNCTION("VLOOKUP(M63, IMPORTRANGE(""https://docs.google.com/spreadsheets/d/1yDAaXNsi4Mr5FtRQL4tbmSdIzhx6_m4wkOD7IG-k_eo/edit#gid=1336395716"", ""Science!M:N""), 2, FALSE)"),"Identify real-life situations where thermometers are used and explain the importance of accurate temperature measurement in these contexts.")</f>
        <v>Identify real-life situations where thermometers are used and explain the importance of accurate temperature measurement in these contexts.</v>
      </c>
      <c r="O63" s="10" t="str">
        <f t="shared" si="3"/>
        <v>LU005918.004</v>
      </c>
      <c r="P63" s="10" t="str">
        <f ca="1">IFERROR(__xludf.DUMMYFUNCTION("VLOOKUP(O63, IMPORTRANGE(""https://docs.google.com/spreadsheets/d/1yDAaXNsi4Mr5FtRQL4tbmSdIzhx6_m4wkOD7IG-k_eo/edit#gid=1336395716"", ""Science!M:N""), 2, FALSE)"),"Compare and contrast the concept of a thermometer with other temperature measuring devices, focusing on their functionalities and limitations.")</f>
        <v>Compare and contrast the concept of a thermometer with other temperature measuring devices, focusing on their functionalities and limitations.</v>
      </c>
      <c r="Q63" s="10" t="str">
        <f t="shared" si="4"/>
        <v>LU005918.005</v>
      </c>
      <c r="R63" s="10" t="str">
        <f ca="1">IFERROR(__xludf.DUMMYFUNCTION("VLOOKUP(Q63, IMPORTRANGE(""https://docs.google.com/spreadsheets/d/1yDAaXNsi4Mr5FtRQL4tbmSdIzhx6_m4wkOD7IG-k_eo/edit#gid=1336395716"", ""Science!M:N""), 2, FALSE)"),"Justify the use of thermometers in various scientific and everyday scenarios, providing reasons for their suitability and effectiveness.")</f>
        <v>Justify the use of thermometers in various scientific and everyday scenarios, providing reasons for their suitability and effectiveness.</v>
      </c>
      <c r="S63" s="10" t="str">
        <f t="shared" si="5"/>
        <v>LU005918.006</v>
      </c>
      <c r="T63" s="10" t="str">
        <f ca="1">IFERROR(__xludf.DUMMYFUNCTION("VLOOKUP(S63, IMPORTRANGE(""https://docs.google.com/spreadsheets/d/1yDAaXNsi4Mr5FtRQL4tbmSdIzhx6_m4wkOD7IG-k_eo/edit#gid=1336395716"", ""Science!M:N""), 2, FALSE)"),"#N/A")</f>
        <v>#N/A</v>
      </c>
      <c r="U63" s="11">
        <f ca="1">IFERROR(__xludf.DUMMYFUNCTION("ArrayFormula(VLOOKUP(G63, IMPORTRANGE(""https://docs.google.com/spreadsheets/d/1p7R4vtkWt5VOBim4ltsDG9KTzSjrtKXsMtQGXPHyND0/edit#gid=795171502"", ""'Filter 30_05_2024'!A1:M2000""), {2, 3, 4, 5,6,7,8,9,10,11,12,13}, 0))"),5)</f>
        <v>5</v>
      </c>
      <c r="V63" s="11">
        <f ca="1">IFERROR(__xludf.DUMMYFUNCTION("""COMPUTED_VALUE"""),6)</f>
        <v>6</v>
      </c>
      <c r="W63" s="11">
        <f ca="1">IFERROR(__xludf.DUMMYFUNCTION("""COMPUTED_VALUE"""),3)</f>
        <v>3</v>
      </c>
      <c r="X63" s="11">
        <f ca="1">IFERROR(__xludf.DUMMYFUNCTION("""COMPUTED_VALUE"""),14)</f>
        <v>14</v>
      </c>
      <c r="Y63" s="11">
        <f ca="1">IFERROR(__xludf.DUMMYFUNCTION("""COMPUTED_VALUE"""),4)</f>
        <v>4</v>
      </c>
      <c r="Z63" s="12">
        <f ca="1">IFERROR(__xludf.DUMMYFUNCTION("""COMPUTED_VALUE"""),3)</f>
        <v>3</v>
      </c>
      <c r="AA63" s="12">
        <f ca="1">IFERROR(__xludf.DUMMYFUNCTION("""COMPUTED_VALUE"""),1)</f>
        <v>1</v>
      </c>
      <c r="AB63" s="12">
        <f ca="1">IFERROR(__xludf.DUMMYFUNCTION("""COMPUTED_VALUE"""),8)</f>
        <v>8</v>
      </c>
      <c r="AC63" s="12"/>
      <c r="AD63" s="12"/>
      <c r="AE63" s="12"/>
      <c r="AF63" s="12"/>
      <c r="AG63" s="13" t="str">
        <f ca="1">IFERROR(__xludf.DUMMYFUNCTION("ArrayFormula(VLOOKUP(G63, IMPORTRANGE(""https://docs.google.com/spreadsheets/d/1Co934fvtviyaRiMsrIlT05Jaq7iiYq07aLvRr35KA48/edit?gid=173865642#gid=173865642"", ""'G6_Sci Cur_Pri_LU'!G2:V2000""), {3, 4, 5, 6, 7, 8, 9, 10, 11, 12, 13, 14, 15, 16}, 0))"),"LU005354")</f>
        <v>LU005354</v>
      </c>
      <c r="AH63" s="13" t="str">
        <f ca="1">IFERROR(__xludf.DUMMYFUNCTION("""COMPUTED_VALUE"""),"Definition and units of temperature")</f>
        <v>Definition and units of temperature</v>
      </c>
      <c r="AI63" s="13"/>
      <c r="AJ63" s="13"/>
      <c r="AK63" s="13"/>
      <c r="AL63" s="13"/>
      <c r="AM63" s="13"/>
      <c r="AN63" s="13"/>
      <c r="AO63" s="13"/>
      <c r="AP63" s="13"/>
      <c r="AQ63" s="13"/>
      <c r="AR63" s="13"/>
      <c r="AS63" s="13"/>
      <c r="AT63" s="13"/>
    </row>
    <row r="64" spans="1:46">
      <c r="A64" s="8" t="s">
        <v>1405</v>
      </c>
      <c r="B64" s="8" t="s">
        <v>47</v>
      </c>
      <c r="C64" s="8" t="s">
        <v>48</v>
      </c>
      <c r="D64" s="8" t="s">
        <v>1510</v>
      </c>
      <c r="E64" s="8" t="s">
        <v>1562</v>
      </c>
      <c r="F64" s="8" t="s">
        <v>1568</v>
      </c>
      <c r="G64" s="106" t="s">
        <v>1571</v>
      </c>
      <c r="H64" s="8" t="s">
        <v>1572</v>
      </c>
      <c r="I64" s="10" t="str">
        <f t="shared" si="0"/>
        <v>LU005919.001</v>
      </c>
      <c r="J64" s="10" t="str">
        <f ca="1">IFERROR(__xludf.DUMMYFUNCTION("VLOOKUP(I64, IMPORTRANGE(""https://docs.google.com/spreadsheets/d/1yDAaXNsi4Mr5FtRQL4tbmSdIzhx6_m4wkOD7IG-k_eo/edit#gid=1336395716"", ""Science!M:N""), 2, FALSE)"),"List the various types of thermometers, such as digital, mercury, and infrared.")</f>
        <v>List the various types of thermometers, such as digital, mercury, and infrared.</v>
      </c>
      <c r="K64" s="10" t="str">
        <f t="shared" si="1"/>
        <v>LU005919.002</v>
      </c>
      <c r="L64" s="10" t="str">
        <f ca="1">IFERROR(__xludf.DUMMYFUNCTION("VLOOKUP(K64, IMPORTRANGE(""https://docs.google.com/spreadsheets/d/1yDAaXNsi4Mr5FtRQL4tbmSdIzhx6_m4wkOD7IG-k_eo/edit#gid=1336395716"", ""Science!M:N""), 2, FALSE)"),"Describe the characteristics and working principles of different types of thermometers.")</f>
        <v>Describe the characteristics and working principles of different types of thermometers.</v>
      </c>
      <c r="M64" s="10" t="str">
        <f t="shared" si="2"/>
        <v>LU005919.003</v>
      </c>
      <c r="N64" s="10" t="str">
        <f ca="1">IFERROR(__xludf.DUMMYFUNCTION("VLOOKUP(M64, IMPORTRANGE(""https://docs.google.com/spreadsheets/d/1yDAaXNsi4Mr5FtRQL4tbmSdIzhx6_m4wkOD7IG-k_eo/edit#gid=1336395716"", ""Science!M:N""), 2, FALSE)"),"Identify and classify real-life examples where different types of thermometers are used, explaining the rationale behind their selection.")</f>
        <v>Identify and classify real-life examples where different types of thermometers are used, explaining the rationale behind their selection.</v>
      </c>
      <c r="O64" s="10" t="str">
        <f t="shared" si="3"/>
        <v>LU005919.004</v>
      </c>
      <c r="P64" s="10" t="str">
        <f ca="1">IFERROR(__xludf.DUMMYFUNCTION("VLOOKUP(O64, IMPORTRANGE(""https://docs.google.com/spreadsheets/d/1yDAaXNsi4Mr5FtRQL4tbmSdIzhx6_m4wkOD7IG-k_eo/edit#gid=1336395716"", ""Science!M:N""), 2, FALSE)"),"Compare and contrast different types of thermometers based on their properties, accuracy, and areas of application.")</f>
        <v>Compare and contrast different types of thermometers based on their properties, accuracy, and areas of application.</v>
      </c>
      <c r="Q64" s="10" t="str">
        <f t="shared" si="4"/>
        <v>LU005919.005</v>
      </c>
      <c r="R64" s="10" t="str">
        <f ca="1">IFERROR(__xludf.DUMMYFUNCTION("VLOOKUP(Q64, IMPORTRANGE(""https://docs.google.com/spreadsheets/d/1yDAaXNsi4Mr5FtRQL4tbmSdIzhx6_m4wkOD7IG-k_eo/edit#gid=1336395716"", ""Science!M:N""), 2, FALSE)"),"Justify the choice of a particular type of thermometer for a specific task, based on its advantages and limitations.")</f>
        <v>Justify the choice of a particular type of thermometer for a specific task, based on its advantages and limitations.</v>
      </c>
      <c r="S64" s="10" t="str">
        <f t="shared" si="5"/>
        <v>LU005919.006</v>
      </c>
      <c r="T64" s="10" t="str">
        <f ca="1">IFERROR(__xludf.DUMMYFUNCTION("VLOOKUP(S64, IMPORTRANGE(""https://docs.google.com/spreadsheets/d/1yDAaXNsi4Mr5FtRQL4tbmSdIzhx6_m4wkOD7IG-k_eo/edit#gid=1336395716"", ""Science!M:N""), 2, FALSE)"),"#N/A")</f>
        <v>#N/A</v>
      </c>
      <c r="U64" s="11">
        <f ca="1">IFERROR(__xludf.DUMMYFUNCTION("ArrayFormula(VLOOKUP(G64, IMPORTRANGE(""https://docs.google.com/spreadsheets/d/1p7R4vtkWt5VOBim4ltsDG9KTzSjrtKXsMtQGXPHyND0/edit#gid=795171502"", ""'Filter 30_05_2024'!A1:M2000""), {2, 3, 4, 5,6,7,8,9,10,11,12,13}, 0))"),5)</f>
        <v>5</v>
      </c>
      <c r="V64" s="11">
        <f ca="1">IFERROR(__xludf.DUMMYFUNCTION("""COMPUTED_VALUE"""),2)</f>
        <v>2</v>
      </c>
      <c r="W64" s="11">
        <f ca="1">IFERROR(__xludf.DUMMYFUNCTION("""COMPUTED_VALUE"""),2)</f>
        <v>2</v>
      </c>
      <c r="X64" s="11">
        <f ca="1">IFERROR(__xludf.DUMMYFUNCTION("""COMPUTED_VALUE"""),9)</f>
        <v>9</v>
      </c>
      <c r="Y64" s="11">
        <f ca="1">IFERROR(__xludf.DUMMYFUNCTION("""COMPUTED_VALUE"""),5)</f>
        <v>5</v>
      </c>
      <c r="Z64" s="12">
        <f ca="1">IFERROR(__xludf.DUMMYFUNCTION("""COMPUTED_VALUE"""),3)</f>
        <v>3</v>
      </c>
      <c r="AA64" s="12">
        <f ca="1">IFERROR(__xludf.DUMMYFUNCTION("""COMPUTED_VALUE"""),1)</f>
        <v>1</v>
      </c>
      <c r="AB64" s="12">
        <f ca="1">IFERROR(__xludf.DUMMYFUNCTION("""COMPUTED_VALUE"""),9)</f>
        <v>9</v>
      </c>
      <c r="AC64" s="12"/>
      <c r="AD64" s="12"/>
      <c r="AE64" s="12"/>
      <c r="AF64" s="12"/>
      <c r="AG64" s="13" t="str">
        <f ca="1">IFERROR(__xludf.DUMMYFUNCTION("ArrayFormula(VLOOKUP(G64, IMPORTRANGE(""https://docs.google.com/spreadsheets/d/1Co934fvtviyaRiMsrIlT05Jaq7iiYq07aLvRr35KA48/edit?gid=173865642#gid=173865642"", ""'G6_Sci Cur_Pri_LU'!G2:V2000""), {3, 4, 5, 6, 7, 8, 9, 10, 11, 12, 13, 14, 15, 16}, 0))"),"LU005918")</f>
        <v>LU005918</v>
      </c>
      <c r="AH64" s="13" t="str">
        <f ca="1">IFERROR(__xludf.DUMMYFUNCTION("""COMPUTED_VALUE"""),"Definition of Thermometers")</f>
        <v>Definition of Thermometers</v>
      </c>
      <c r="AI64" s="13" t="str">
        <f ca="1">IFERROR(__xludf.DUMMYFUNCTION("""COMPUTED_VALUE"""),"LU005354")</f>
        <v>LU005354</v>
      </c>
      <c r="AJ64" s="13" t="str">
        <f ca="1">IFERROR(__xludf.DUMMYFUNCTION("""COMPUTED_VALUE"""),"Definition and units of temperature")</f>
        <v>Definition and units of temperature</v>
      </c>
      <c r="AK64" s="13"/>
      <c r="AL64" s="13"/>
      <c r="AM64" s="13"/>
      <c r="AN64" s="13"/>
      <c r="AO64" s="13"/>
      <c r="AP64" s="13"/>
      <c r="AQ64" s="13"/>
      <c r="AR64" s="13"/>
      <c r="AS64" s="13"/>
      <c r="AT64" s="13"/>
    </row>
    <row r="65" spans="1:46">
      <c r="A65" s="8" t="s">
        <v>1405</v>
      </c>
      <c r="B65" s="8" t="s">
        <v>47</v>
      </c>
      <c r="C65" s="8" t="s">
        <v>48</v>
      </c>
      <c r="D65" s="8" t="s">
        <v>1510</v>
      </c>
      <c r="E65" s="8" t="s">
        <v>1562</v>
      </c>
      <c r="F65" s="8" t="s">
        <v>1573</v>
      </c>
      <c r="G65" s="8" t="s">
        <v>1574</v>
      </c>
      <c r="H65" s="8" t="s">
        <v>1575</v>
      </c>
      <c r="I65" s="10" t="str">
        <f t="shared" si="0"/>
        <v>LU006423.001</v>
      </c>
      <c r="J65" s="10" t="str">
        <f ca="1">IFERROR(__xludf.DUMMYFUNCTION("VLOOKUP(I65, IMPORTRANGE(""https://docs.google.com/spreadsheets/d/1yDAaXNsi4Mr5FtRQL4tbmSdIzhx6_m4wkOD7IG-k_eo/edit#gid=1336395716"", ""Science!M:N""), 2, FALSE)"),"List different types of clinical thermometers.")</f>
        <v>List different types of clinical thermometers.</v>
      </c>
      <c r="K65" s="10" t="str">
        <f t="shared" si="1"/>
        <v>LU006423.002</v>
      </c>
      <c r="L65" s="10" t="str">
        <f ca="1">IFERROR(__xludf.DUMMYFUNCTION("VLOOKUP(K65, IMPORTRANGE(""https://docs.google.com/spreadsheets/d/1yDAaXNsi4Mr5FtRQL4tbmSdIzhx6_m4wkOD7IG-k_eo/edit#gid=1336395716"", ""Science!M:N""), 2, FALSE)"),"Explain how each type of clinical thermometer works and its uses.")</f>
        <v>Explain how each type of clinical thermometer works and its uses.</v>
      </c>
      <c r="M65" s="10" t="str">
        <f t="shared" si="2"/>
        <v>LU006423.003</v>
      </c>
      <c r="N65" s="10" t="str">
        <f ca="1">IFERROR(__xludf.DUMMYFUNCTION("VLOOKUP(M65, IMPORTRANGE(""https://docs.google.com/spreadsheets/d/1yDAaXNsi4Mr5FtRQL4tbmSdIzhx6_m4wkOD7IG-k_eo/edit#gid=1336395716"", ""Science!M:N""), 2, FALSE)"),"Demonstrate the proper method for using a clinical thermometer.")</f>
        <v>Demonstrate the proper method for using a clinical thermometer.</v>
      </c>
      <c r="O65" s="10" t="str">
        <f t="shared" si="3"/>
        <v>LU006423.004</v>
      </c>
      <c r="P65" s="10" t="str">
        <f ca="1">IFERROR(__xludf.DUMMYFUNCTION("VLOOKUP(O65, IMPORTRANGE(""https://docs.google.com/spreadsheets/d/1yDAaXNsi4Mr5FtRQL4tbmSdIzhx6_m4wkOD7IG-k_eo/edit#gid=1336395716"", ""Science!M:N""), 2, FALSE)"),"Compare the advantages and disadvantages of different type of clinical thermometer. ")</f>
        <v xml:space="preserve">Compare the advantages and disadvantages of different type of clinical thermometer. </v>
      </c>
      <c r="Q65" s="10" t="str">
        <f t="shared" si="4"/>
        <v>LU006423.005</v>
      </c>
      <c r="R65" s="10" t="str">
        <f ca="1">IFERROR(__xludf.DUMMYFUNCTION("VLOOKUP(Q65, IMPORTRANGE(""https://docs.google.com/spreadsheets/d/1yDAaXNsi4Mr5FtRQL4tbmSdIzhx6_m4wkOD7IG-k_eo/edit#gid=1336395716"", ""Science!M:N""), 2, FALSE)"),"Evaluate which type of thermometer is most suitable for home use and why.")</f>
        <v>Evaluate which type of thermometer is most suitable for home use and why.</v>
      </c>
      <c r="S65" s="10" t="str">
        <f t="shared" si="5"/>
        <v>LU006423.006</v>
      </c>
      <c r="T65" s="10" t="str">
        <f ca="1">IFERROR(__xludf.DUMMYFUNCTION("VLOOKUP(S65, IMPORTRANGE(""https://docs.google.com/spreadsheets/d/1yDAaXNsi4Mr5FtRQL4tbmSdIzhx6_m4wkOD7IG-k_eo/edit#gid=1336395716"", ""Science!M:N""), 2, FALSE)"),"Design a poster that educates others on the safe use of different clinical thermometers.")</f>
        <v>Design a poster that educates others on the safe use of different clinical thermometers.</v>
      </c>
      <c r="U65" s="11">
        <f ca="1">IFERROR(__xludf.DUMMYFUNCTION("ArrayFormula(VLOOKUP(G65, IMPORTRANGE(""https://docs.google.com/spreadsheets/d/1p7R4vtkWt5VOBim4ltsDG9KTzSjrtKXsMtQGXPHyND0/edit#gid=795171502"", ""'Filter 30_05_2024'!A1:M2000""), {2, 3, 4, 5,6,7,8,9,10,11,12,13}, 0))"),4)</f>
        <v>4</v>
      </c>
      <c r="V65" s="11">
        <f ca="1">IFERROR(__xludf.DUMMYFUNCTION("""COMPUTED_VALUE"""),6)</f>
        <v>6</v>
      </c>
      <c r="W65" s="11">
        <f ca="1">IFERROR(__xludf.DUMMYFUNCTION("""COMPUTED_VALUE"""),2)</f>
        <v>2</v>
      </c>
      <c r="X65" s="11">
        <f ca="1">IFERROR(__xludf.DUMMYFUNCTION("""COMPUTED_VALUE"""),12)</f>
        <v>12</v>
      </c>
      <c r="Y65" s="11">
        <f ca="1">IFERROR(__xludf.DUMMYFUNCTION("""COMPUTED_VALUE"""),4)</f>
        <v>4</v>
      </c>
      <c r="Z65" s="12">
        <f ca="1">IFERROR(__xludf.DUMMYFUNCTION("""COMPUTED_VALUE"""),3)</f>
        <v>3</v>
      </c>
      <c r="AA65" s="12">
        <f ca="1">IFERROR(__xludf.DUMMYFUNCTION("""COMPUTED_VALUE"""),1)</f>
        <v>1</v>
      </c>
      <c r="AB65" s="12">
        <f ca="1">IFERROR(__xludf.DUMMYFUNCTION("""COMPUTED_VALUE"""),8)</f>
        <v>8</v>
      </c>
      <c r="AC65" s="12"/>
      <c r="AD65" s="12"/>
      <c r="AE65" s="12"/>
      <c r="AF65" s="12"/>
      <c r="AG65" s="13" t="str">
        <f ca="1">IFERROR(__xludf.DUMMYFUNCTION("ArrayFormula(VLOOKUP(G65, IMPORTRANGE(""https://docs.google.com/spreadsheets/d/1Co934fvtviyaRiMsrIlT05Jaq7iiYq07aLvRr35KA48/edit?gid=173865642#gid=173865642"", ""'G6_Sci Cur_Pri_LU'!G2:V2000""), {3, 4, 5, 6, 7, 8, 9, 10, 11, 12, 13, 14, 15, 16}, 0))"),"LU005919")</f>
        <v>LU005919</v>
      </c>
      <c r="AH65" s="13" t="str">
        <f ca="1">IFERROR(__xludf.DUMMYFUNCTION("""COMPUTED_VALUE"""),"Types of Thermometers")</f>
        <v>Types of Thermometers</v>
      </c>
      <c r="AI65" s="13" t="str">
        <f ca="1">IFERROR(__xludf.DUMMYFUNCTION("""COMPUTED_VALUE"""),"LU005918")</f>
        <v>LU005918</v>
      </c>
      <c r="AJ65" s="13" t="str">
        <f ca="1">IFERROR(__xludf.DUMMYFUNCTION("""COMPUTED_VALUE"""),"Definition of Thermometers")</f>
        <v>Definition of Thermometers</v>
      </c>
      <c r="AK65" s="13"/>
      <c r="AL65" s="13"/>
      <c r="AM65" s="13"/>
      <c r="AN65" s="13"/>
      <c r="AO65" s="13"/>
      <c r="AP65" s="13"/>
      <c r="AQ65" s="13"/>
      <c r="AR65" s="13"/>
      <c r="AS65" s="13"/>
      <c r="AT65" s="13"/>
    </row>
    <row r="66" spans="1:46">
      <c r="A66" s="8" t="s">
        <v>1405</v>
      </c>
      <c r="B66" s="8" t="s">
        <v>47</v>
      </c>
      <c r="C66" s="8" t="s">
        <v>48</v>
      </c>
      <c r="D66" s="8" t="s">
        <v>1510</v>
      </c>
      <c r="E66" s="8" t="s">
        <v>1562</v>
      </c>
      <c r="F66" s="8" t="s">
        <v>1573</v>
      </c>
      <c r="G66" s="8" t="s">
        <v>1576</v>
      </c>
      <c r="H66" s="8" t="s">
        <v>1577</v>
      </c>
      <c r="I66" s="10" t="str">
        <f t="shared" si="0"/>
        <v>LU006424.001</v>
      </c>
      <c r="J66" s="10" t="str">
        <f ca="1">IFERROR(__xludf.DUMMYFUNCTION("VLOOKUP(I66, IMPORTRANGE(""https://docs.google.com/spreadsheets/d/1yDAaXNsi4Mr5FtRQL4tbmSdIzhx6_m4wkOD7IG-k_eo/edit#gid=1336395716"", ""Science!M:N""), 2, FALSE)"),"Identify the normal range of human body temperature.")</f>
        <v>Identify the normal range of human body temperature.</v>
      </c>
      <c r="K66" s="10" t="str">
        <f t="shared" si="1"/>
        <v>LU006424.002</v>
      </c>
      <c r="L66" s="10" t="str">
        <f ca="1">IFERROR(__xludf.DUMMYFUNCTION("VLOOKUP(K66, IMPORTRANGE(""https://docs.google.com/spreadsheets/d/1yDAaXNsi4Mr5FtRQL4tbmSdIzhx6_m4wkOD7IG-k_eo/edit#gid=1336395716"", ""Science!M:N""), 2, FALSE)"),"Describe the steps to accurately measure body temperature using a digital thermometer.")</f>
        <v>Describe the steps to accurately measure body temperature using a digital thermometer.</v>
      </c>
      <c r="M66" s="10" t="str">
        <f t="shared" si="2"/>
        <v>LU006424.003</v>
      </c>
      <c r="N66" s="10" t="str">
        <f ca="1">IFERROR(__xludf.DUMMYFUNCTION("VLOOKUP(M66, IMPORTRANGE(""https://docs.google.com/spreadsheets/d/1yDAaXNsi4Mr5FtRQL4tbmSdIzhx6_m4wkOD7IG-k_eo/edit#gid=1336395716"", ""Science!M:N""), 2, FALSE)"),"Practice taking a temperature reading using a digital thermometer on a peer or yourself.")</f>
        <v>Practice taking a temperature reading using a digital thermometer on a peer or yourself.</v>
      </c>
      <c r="O66" s="10" t="str">
        <f t="shared" si="3"/>
        <v>LU006424.004</v>
      </c>
      <c r="P66" s="10" t="str">
        <f ca="1">IFERROR(__xludf.DUMMYFUNCTION("VLOOKUP(O66, IMPORTRANGE(""https://docs.google.com/spreadsheets/d/1yDAaXNsi4Mr5FtRQL4tbmSdIzhx6_m4wkOD7IG-k_eo/edit#gid=1336395716"", ""Science!M:N""), 2, FALSE)"),"Analyze how body temperature might vary depending on the time of day or physical activity.")</f>
        <v>Analyze how body temperature might vary depending on the time of day or physical activity.</v>
      </c>
      <c r="Q66" s="10" t="str">
        <f t="shared" si="4"/>
        <v>LU006424.005</v>
      </c>
      <c r="R66" s="10" t="str">
        <f ca="1">IFERROR(__xludf.DUMMYFUNCTION("VLOOKUP(Q66, IMPORTRANGE(""https://docs.google.com/spreadsheets/d/1yDAaXNsi4Mr5FtRQL4tbmSdIzhx6_m4wkOD7IG-k_eo/edit#gid=1336395716"", ""Science!M:N""), 2, FALSE)"),"Discuss the importance of accurate temperature measurement in diagnosing illnesses.")</f>
        <v>Discuss the importance of accurate temperature measurement in diagnosing illnesses.</v>
      </c>
      <c r="S66" s="10" t="str">
        <f t="shared" si="5"/>
        <v>LU006424.006</v>
      </c>
      <c r="T66" s="10" t="str">
        <f ca="1">IFERROR(__xludf.DUMMYFUNCTION("VLOOKUP(S66, IMPORTRANGE(""https://docs.google.com/spreadsheets/d/1yDAaXNsi4Mr5FtRQL4tbmSdIzhx6_m4wkOD7IG-k_eo/edit#gid=1336395716"", ""Science!M:N""), 2, FALSE)"),"Create an instructional video or guide showing how to use a digital thermometer correctly.")</f>
        <v>Create an instructional video or guide showing how to use a digital thermometer correctly.</v>
      </c>
      <c r="U66" s="11">
        <f ca="1">IFERROR(__xludf.DUMMYFUNCTION("ArrayFormula(VLOOKUP(G66, IMPORTRANGE(""https://docs.google.com/spreadsheets/d/1p7R4vtkWt5VOBim4ltsDG9KTzSjrtKXsMtQGXPHyND0/edit#gid=795171502"", ""'Filter 30_05_2024'!A1:M2000""), {2, 3, 4, 5,6,7,8,9,10,11,12,13}, 0))"),4)</f>
        <v>4</v>
      </c>
      <c r="V66" s="11">
        <f ca="1">IFERROR(__xludf.DUMMYFUNCTION("""COMPUTED_VALUE"""),6)</f>
        <v>6</v>
      </c>
      <c r="W66" s="11">
        <f ca="1">IFERROR(__xludf.DUMMYFUNCTION("""COMPUTED_VALUE"""),2)</f>
        <v>2</v>
      </c>
      <c r="X66" s="11">
        <f ca="1">IFERROR(__xludf.DUMMYFUNCTION("""COMPUTED_VALUE"""),12)</f>
        <v>12</v>
      </c>
      <c r="Y66" s="11">
        <f ca="1">IFERROR(__xludf.DUMMYFUNCTION("""COMPUTED_VALUE"""),4)</f>
        <v>4</v>
      </c>
      <c r="Z66" s="12">
        <f ca="1">IFERROR(__xludf.DUMMYFUNCTION("""COMPUTED_VALUE"""),3)</f>
        <v>3</v>
      </c>
      <c r="AA66" s="12">
        <f ca="1">IFERROR(__xludf.DUMMYFUNCTION("""COMPUTED_VALUE"""),1)</f>
        <v>1</v>
      </c>
      <c r="AB66" s="12">
        <f ca="1">IFERROR(__xludf.DUMMYFUNCTION("""COMPUTED_VALUE"""),8)</f>
        <v>8</v>
      </c>
      <c r="AC66" s="12"/>
      <c r="AD66" s="12"/>
      <c r="AE66" s="12"/>
      <c r="AF66" s="12"/>
      <c r="AG66" s="13" t="str">
        <f ca="1">IFERROR(__xludf.DUMMYFUNCTION("ArrayFormula(VLOOKUP(G66, IMPORTRANGE(""https://docs.google.com/spreadsheets/d/1Co934fvtviyaRiMsrIlT05Jaq7iiYq07aLvRr35KA48/edit?gid=173865642#gid=173865642"", ""'G6_Sci Cur_Pri_LU'!G2:V2000""), {3, 4, 5, 6, 7, 8, 9, 10, 11, 12, 13, 14, 15, 16}, 0))"),"LU006423")</f>
        <v>LU006423</v>
      </c>
      <c r="AH66" s="13" t="str">
        <f ca="1">IFERROR(__xludf.DUMMYFUNCTION("""COMPUTED_VALUE"""),"Comparing the types of clinical thermometers")</f>
        <v>Comparing the types of clinical thermometers</v>
      </c>
      <c r="AI66" s="13" t="str">
        <f ca="1">IFERROR(__xludf.DUMMYFUNCTION("""COMPUTED_VALUE"""),"LU005918")</f>
        <v>LU005918</v>
      </c>
      <c r="AJ66" s="13" t="str">
        <f ca="1">IFERROR(__xludf.DUMMYFUNCTION("""COMPUTED_VALUE"""),"Definition of Thermometers")</f>
        <v>Definition of Thermometers</v>
      </c>
      <c r="AK66" s="13" t="str">
        <f ca="1">IFERROR(__xludf.DUMMYFUNCTION("""COMPUTED_VALUE"""),"LU005354")</f>
        <v>LU005354</v>
      </c>
      <c r="AL66" s="13" t="str">
        <f ca="1">IFERROR(__xludf.DUMMYFUNCTION("""COMPUTED_VALUE"""),"Definition and units of temperature")</f>
        <v>Definition and units of temperature</v>
      </c>
      <c r="AM66" s="13"/>
      <c r="AN66" s="13"/>
      <c r="AO66" s="13"/>
      <c r="AP66" s="13"/>
      <c r="AQ66" s="13"/>
      <c r="AR66" s="13"/>
      <c r="AS66" s="13"/>
      <c r="AT66" s="13"/>
    </row>
    <row r="67" spans="1:46">
      <c r="A67" s="8" t="s">
        <v>1405</v>
      </c>
      <c r="B67" s="8" t="s">
        <v>47</v>
      </c>
      <c r="C67" s="8" t="s">
        <v>48</v>
      </c>
      <c r="D67" s="8" t="s">
        <v>1510</v>
      </c>
      <c r="E67" s="8" t="s">
        <v>1562</v>
      </c>
      <c r="F67" s="8" t="s">
        <v>1578</v>
      </c>
      <c r="G67" s="106" t="s">
        <v>1579</v>
      </c>
      <c r="H67" s="8" t="s">
        <v>1580</v>
      </c>
      <c r="I67" s="10" t="str">
        <f t="shared" si="0"/>
        <v>LU005926.001</v>
      </c>
      <c r="J67" s="10" t="str">
        <f ca="1">IFERROR(__xludf.DUMMYFUNCTION("VLOOKUP(I67, IMPORTRANGE(""https://docs.google.com/spreadsheets/d/1yDAaXNsi4Mr5FtRQL4tbmSdIzhx6_m4wkOD7IG-k_eo/edit#gid=1336395716"", ""Science!M:N""), 2, FALSE)"),"List the physical components unique to laboratory thermometers.")</f>
        <v>List the physical components unique to laboratory thermometers.</v>
      </c>
      <c r="K67" s="10" t="str">
        <f t="shared" si="1"/>
        <v>LU005926.002</v>
      </c>
      <c r="L67" s="10" t="str">
        <f ca="1">IFERROR(__xludf.DUMMYFUNCTION("VLOOKUP(K67, IMPORTRANGE(""https://docs.google.com/spreadsheets/d/1yDAaXNsi4Mr5FtRQL4tbmSdIzhx6_m4wkOD7IG-k_eo/edit#gid=1336395716"", ""Science!M:N""), 2, FALSE)"),"Describe the design and materials used in laboratory thermometers and explain their suitability for scientific applications.")</f>
        <v>Describe the design and materials used in laboratory thermometers and explain their suitability for scientific applications.</v>
      </c>
      <c r="M67" s="10" t="str">
        <f t="shared" si="2"/>
        <v>LU005926.003</v>
      </c>
      <c r="N67" s="10" t="str">
        <f ca="1">IFERROR(__xludf.DUMMYFUNCTION("VLOOKUP(M67, IMPORTRANGE(""https://docs.google.com/spreadsheets/d/1yDAaXNsi4Mr5FtRQL4tbmSdIzhx6_m4wkOD7IG-k_eo/edit#gid=1336395716"", ""Science!M:N""), 2, FALSE)"),"Demonstrate how the physical components of laboratory thermometers contribute to their accuracy and precision in scientific experiments.")</f>
        <v>Demonstrate how the physical components of laboratory thermometers contribute to their accuracy and precision in scientific experiments.</v>
      </c>
      <c r="O67" s="10" t="str">
        <f t="shared" si="3"/>
        <v>LU005926.004</v>
      </c>
      <c r="P67" s="10" t="str">
        <f ca="1">IFERROR(__xludf.DUMMYFUNCTION("VLOOKUP(O67, IMPORTRANGE(""https://docs.google.com/spreadsheets/d/1yDAaXNsi4Mr5FtRQL4tbmSdIzhx6_m4wkOD7IG-k_eo/edit#gid=1336395716"", ""Science!M:N""), 2, FALSE)"),"Compare and contrast the physical components of laboratory thermometers with those of clinical thermometers.")</f>
        <v>Compare and contrast the physical components of laboratory thermometers with those of clinical thermometers.</v>
      </c>
      <c r="Q67" s="10" t="str">
        <f t="shared" si="4"/>
        <v>LU005926.005</v>
      </c>
      <c r="R67" s="10" t="str">
        <f ca="1">IFERROR(__xludf.DUMMYFUNCTION("VLOOKUP(Q67, IMPORTRANGE(""https://docs.google.com/spreadsheets/d/1yDAaXNsi4Mr5FtRQL4tbmSdIzhx6_m4wkOD7IG-k_eo/edit#gid=1336395716"", ""Science!M:N""), 2, FALSE)"),"Assess the necessity of precise construction and materials in laboratory thermometers for ensuring accurate temperature measurement in scientific experiments.")</f>
        <v>Assess the necessity of precise construction and materials in laboratory thermometers for ensuring accurate temperature measurement in scientific experiments.</v>
      </c>
      <c r="S67" s="10" t="str">
        <f t="shared" si="5"/>
        <v>LU005926.006</v>
      </c>
      <c r="T67" s="10" t="str">
        <f ca="1">IFERROR(__xludf.DUMMYFUNCTION("VLOOKUP(S67, IMPORTRANGE(""https://docs.google.com/spreadsheets/d/1yDAaXNsi4Mr5FtRQL4tbmSdIzhx6_m4wkOD7IG-k_eo/edit#gid=1336395716"", ""Science!M:N""), 2, FALSE)"),"#N/A")</f>
        <v>#N/A</v>
      </c>
      <c r="U67" s="11">
        <f ca="1">IFERROR(__xludf.DUMMYFUNCTION("ArrayFormula(VLOOKUP(G67, IMPORTRANGE(""https://docs.google.com/spreadsheets/d/1p7R4vtkWt5VOBim4ltsDG9KTzSjrtKXsMtQGXPHyND0/edit#gid=795171502"", ""'Filter 30_05_2024'!A1:M2000""), {2, 3, 4, 5,6,7,8,9,10,11,12,13}, 0))"),4)</f>
        <v>4</v>
      </c>
      <c r="V67" s="11">
        <f ca="1">IFERROR(__xludf.DUMMYFUNCTION("""COMPUTED_VALUE"""),6)</f>
        <v>6</v>
      </c>
      <c r="W67" s="11">
        <f ca="1">IFERROR(__xludf.DUMMYFUNCTION("""COMPUTED_VALUE"""),2)</f>
        <v>2</v>
      </c>
      <c r="X67" s="11">
        <f ca="1">IFERROR(__xludf.DUMMYFUNCTION("""COMPUTED_VALUE"""),12)</f>
        <v>12</v>
      </c>
      <c r="Y67" s="11">
        <f ca="1">IFERROR(__xludf.DUMMYFUNCTION("""COMPUTED_VALUE"""),4)</f>
        <v>4</v>
      </c>
      <c r="Z67" s="12">
        <f ca="1">IFERROR(__xludf.DUMMYFUNCTION("""COMPUTED_VALUE"""),2)</f>
        <v>2</v>
      </c>
      <c r="AA67" s="12">
        <f ca="1">IFERROR(__xludf.DUMMYFUNCTION("""COMPUTED_VALUE"""),3)</f>
        <v>3</v>
      </c>
      <c r="AB67" s="12">
        <f ca="1">IFERROR(__xludf.DUMMYFUNCTION("""COMPUTED_VALUE"""),9)</f>
        <v>9</v>
      </c>
      <c r="AC67" s="12"/>
      <c r="AD67" s="12">
        <f ca="1">IFERROR(__xludf.DUMMYFUNCTION("""COMPUTED_VALUE"""),1)</f>
        <v>1</v>
      </c>
      <c r="AE67" s="12"/>
      <c r="AF67" s="12">
        <f ca="1">IFERROR(__xludf.DUMMYFUNCTION("""COMPUTED_VALUE"""),1)</f>
        <v>1</v>
      </c>
      <c r="AG67" s="13" t="str">
        <f ca="1">IFERROR(__xludf.DUMMYFUNCTION("ArrayFormula(VLOOKUP(G67, IMPORTRANGE(""https://docs.google.com/spreadsheets/d/1Co934fvtviyaRiMsrIlT05Jaq7iiYq07aLvRr35KA48/edit?gid=173865642#gid=173865642"", ""'G6_Sci Cur_Pri_LU'!G2:V2000""), {3, 4, 5, 6, 7, 8, 9, 10, 11, 12, 13, 14, 15, 16}, 0))"),"LU005919")</f>
        <v>LU005919</v>
      </c>
      <c r="AH67" s="13" t="str">
        <f ca="1">IFERROR(__xludf.DUMMYFUNCTION("""COMPUTED_VALUE"""),"Types of Thermometers")</f>
        <v>Types of Thermometers</v>
      </c>
      <c r="AI67" s="13" t="str">
        <f ca="1">IFERROR(__xludf.DUMMYFUNCTION("""COMPUTED_VALUE"""),"LU005918")</f>
        <v>LU005918</v>
      </c>
      <c r="AJ67" s="13" t="str">
        <f ca="1">IFERROR(__xludf.DUMMYFUNCTION("""COMPUTED_VALUE"""),"Definition of Thermometers")</f>
        <v>Definition of Thermometers</v>
      </c>
      <c r="AK67" s="13" t="str">
        <f ca="1">IFERROR(__xludf.DUMMYFUNCTION("""COMPUTED_VALUE"""),"LU005354")</f>
        <v>LU005354</v>
      </c>
      <c r="AL67" s="13" t="str">
        <f ca="1">IFERROR(__xludf.DUMMYFUNCTION("""COMPUTED_VALUE"""),"Definition and units of temperature")</f>
        <v>Definition and units of temperature</v>
      </c>
      <c r="AM67" s="13"/>
      <c r="AN67" s="13"/>
      <c r="AO67" s="13"/>
      <c r="AP67" s="13"/>
      <c r="AQ67" s="13"/>
      <c r="AR67" s="13"/>
      <c r="AS67" s="13"/>
      <c r="AT67" s="13"/>
    </row>
    <row r="68" spans="1:46">
      <c r="A68" s="8" t="s">
        <v>1405</v>
      </c>
      <c r="B68" s="8" t="s">
        <v>47</v>
      </c>
      <c r="C68" s="8" t="s">
        <v>48</v>
      </c>
      <c r="D68" s="8" t="s">
        <v>1510</v>
      </c>
      <c r="E68" s="8" t="s">
        <v>1562</v>
      </c>
      <c r="F68" s="8" t="s">
        <v>1578</v>
      </c>
      <c r="G68" s="109" t="s">
        <v>1581</v>
      </c>
      <c r="H68" s="10" t="s">
        <v>1582</v>
      </c>
      <c r="I68" s="10" t="str">
        <f t="shared" si="0"/>
        <v>LU005927.001</v>
      </c>
      <c r="J68" s="10" t="str">
        <f ca="1">IFERROR(__xludf.DUMMYFUNCTION("VLOOKUP(I68, IMPORTRANGE(""https://docs.google.com/spreadsheets/d/1yDAaXNsi4Mr5FtRQL4tbmSdIzhx6_m4wkOD7IG-k_eo/edit#gid=1336395716"", ""Science!M:N""), 2, FALSE)"),"Recall the proper steps for using a laboratory thermometer to measure temperature accurately.")</f>
        <v>Recall the proper steps for using a laboratory thermometer to measure temperature accurately.</v>
      </c>
      <c r="K68" s="10" t="str">
        <f t="shared" si="1"/>
        <v>LU005927.002</v>
      </c>
      <c r="L68" s="10" t="str">
        <f ca="1">IFERROR(__xludf.DUMMYFUNCTION("VLOOKUP(K68, IMPORTRANGE(""https://docs.google.com/spreadsheets/d/1yDAaXNsi4Mr5FtRQL4tbmSdIzhx6_m4wkOD7IG-k_eo/edit#gid=1336395716"", ""Science!M:N""), 2, FALSE)"),"Explain the techniques and precautions required when using a laboratory thermometer in scientific experiments.")</f>
        <v>Explain the techniques and precautions required when using a laboratory thermometer in scientific experiments.</v>
      </c>
      <c r="M68" s="10" t="str">
        <f t="shared" si="2"/>
        <v>LU005927.003</v>
      </c>
      <c r="N68" s="10" t="str">
        <f ca="1">IFERROR(__xludf.DUMMYFUNCTION("VLOOKUP(M68, IMPORTRANGE(""https://docs.google.com/spreadsheets/d/1yDAaXNsi4Mr5FtRQL4tbmSdIzhx6_m4wkOD7IG-k_eo/edit#gid=1336395716"", ""Science!M:N""), 2, FALSE)"),"Demonstrate the correct procedures for using a laboratory thermometer to measure temperature in laboratory experiments.")</f>
        <v>Demonstrate the correct procedures for using a laboratory thermometer to measure temperature in laboratory experiments.</v>
      </c>
      <c r="O68" s="10" t="str">
        <f t="shared" si="3"/>
        <v>LU005927.004</v>
      </c>
      <c r="P68" s="10" t="str">
        <f ca="1">IFERROR(__xludf.DUMMYFUNCTION("VLOOKUP(O68, IMPORTRANGE(""https://docs.google.com/spreadsheets/d/1yDAaXNsi4Mr5FtRQL4tbmSdIzhx6_m4wkOD7IG-k_eo/edit#gid=1336395716"", ""Science!M:N""), 2, FALSE)"),"Identify potential sources of error when using laboratory thermometers and suggest ways to minimize them.")</f>
        <v>Identify potential sources of error when using laboratory thermometers and suggest ways to minimize them.</v>
      </c>
      <c r="Q68" s="10" t="str">
        <f t="shared" si="4"/>
        <v>LU005927.005</v>
      </c>
      <c r="R68" s="10" t="str">
        <f ca="1">IFERROR(__xludf.DUMMYFUNCTION("VLOOKUP(Q68, IMPORTRANGE(""https://docs.google.com/spreadsheets/d/1yDAaXNsi4Mr5FtRQL4tbmSdIzhx6_m4wkOD7IG-k_eo/edit#gid=1336395716"", ""Science!M:N""), 2, FALSE)"),"Assess the importance of adhering to standardized procedures in laboratory temperature measurements for scientific accuracy.")</f>
        <v>Assess the importance of adhering to standardized procedures in laboratory temperature measurements for scientific accuracy.</v>
      </c>
      <c r="S68" s="10" t="str">
        <f t="shared" si="5"/>
        <v>LU005927.006</v>
      </c>
      <c r="T68" s="10" t="str">
        <f ca="1">IFERROR(__xludf.DUMMYFUNCTION("VLOOKUP(S68, IMPORTRANGE(""https://docs.google.com/spreadsheets/d/1yDAaXNsi4Mr5FtRQL4tbmSdIzhx6_m4wkOD7IG-k_eo/edit#gid=1336395716"", ""Science!M:N""), 2, FALSE)"),"#N/A")</f>
        <v>#N/A</v>
      </c>
      <c r="U68" s="11">
        <f ca="1">IFERROR(__xludf.DUMMYFUNCTION("ArrayFormula(VLOOKUP(G68, IMPORTRANGE(""https://docs.google.com/spreadsheets/d/1p7R4vtkWt5VOBim4ltsDG9KTzSjrtKXsMtQGXPHyND0/edit#gid=795171502"", ""'Filter 30_05_2024'!A1:M2000""), {2, 3, 4, 5,6,7,8,9,10,11,12,13}, 0))"),4)</f>
        <v>4</v>
      </c>
      <c r="V68" s="11">
        <f ca="1">IFERROR(__xludf.DUMMYFUNCTION("""COMPUTED_VALUE"""),6)</f>
        <v>6</v>
      </c>
      <c r="W68" s="11">
        <f ca="1">IFERROR(__xludf.DUMMYFUNCTION("""COMPUTED_VALUE"""),2)</f>
        <v>2</v>
      </c>
      <c r="X68" s="11">
        <f ca="1">IFERROR(__xludf.DUMMYFUNCTION("""COMPUTED_VALUE"""),12)</f>
        <v>12</v>
      </c>
      <c r="Y68" s="11">
        <f ca="1">IFERROR(__xludf.DUMMYFUNCTION("""COMPUTED_VALUE"""),4)</f>
        <v>4</v>
      </c>
      <c r="Z68" s="12">
        <f ca="1">IFERROR(__xludf.DUMMYFUNCTION("""COMPUTED_VALUE"""),5)</f>
        <v>5</v>
      </c>
      <c r="AA68" s="12">
        <f ca="1">IFERROR(__xludf.DUMMYFUNCTION("""COMPUTED_VALUE"""),1)</f>
        <v>1</v>
      </c>
      <c r="AB68" s="12">
        <f ca="1">IFERROR(__xludf.DUMMYFUNCTION("""COMPUTED_VALUE"""),10)</f>
        <v>10</v>
      </c>
      <c r="AC68" s="12"/>
      <c r="AD68" s="12"/>
      <c r="AE68" s="12"/>
      <c r="AF68" s="12"/>
      <c r="AG68" s="13" t="str">
        <f ca="1">IFERROR(__xludf.DUMMYFUNCTION("ArrayFormula(VLOOKUP(G68, IMPORTRANGE(""https://docs.google.com/spreadsheets/d/1Co934fvtviyaRiMsrIlT05Jaq7iiYq07aLvRr35KA48/edit?gid=173865642#gid=173865642"", ""'G6_Sci Cur_Pri_LU'!G2:V2000""), {3, 4, 5, 6, 7, 8, 9, 10, 11, 12, 13, 14, 15, 16}, 0))"),"LU005926")</f>
        <v>LU005926</v>
      </c>
      <c r="AH68" s="13" t="str">
        <f ca="1">IFERROR(__xludf.DUMMYFUNCTION("""COMPUTED_VALUE"""),"Physical Components of Laboratory thermometer")</f>
        <v>Physical Components of Laboratory thermometer</v>
      </c>
      <c r="AI68" s="13" t="str">
        <f ca="1">IFERROR(__xludf.DUMMYFUNCTION("""COMPUTED_VALUE"""),"LU005918")</f>
        <v>LU005918</v>
      </c>
      <c r="AJ68" s="13" t="str">
        <f ca="1">IFERROR(__xludf.DUMMYFUNCTION("""COMPUTED_VALUE"""),"Definition of Thermometers")</f>
        <v>Definition of Thermometers</v>
      </c>
      <c r="AK68" s="13" t="str">
        <f ca="1">IFERROR(__xludf.DUMMYFUNCTION("""COMPUTED_VALUE"""),"LU005354")</f>
        <v>LU005354</v>
      </c>
      <c r="AL68" s="13" t="str">
        <f ca="1">IFERROR(__xludf.DUMMYFUNCTION("""COMPUTED_VALUE"""),"Definition and units of temperature")</f>
        <v>Definition and units of temperature</v>
      </c>
      <c r="AM68" s="13"/>
      <c r="AN68" s="13"/>
      <c r="AO68" s="13"/>
      <c r="AP68" s="13"/>
      <c r="AQ68" s="13"/>
      <c r="AR68" s="13"/>
      <c r="AS68" s="13"/>
      <c r="AT68" s="13"/>
    </row>
    <row r="69" spans="1:46">
      <c r="A69" s="8" t="s">
        <v>1405</v>
      </c>
      <c r="B69" s="8" t="s">
        <v>47</v>
      </c>
      <c r="C69" s="8" t="s">
        <v>48</v>
      </c>
      <c r="D69" s="8" t="s">
        <v>1510</v>
      </c>
      <c r="E69" s="8" t="s">
        <v>1562</v>
      </c>
      <c r="F69" s="110" t="s">
        <v>1583</v>
      </c>
      <c r="G69" s="10" t="s">
        <v>1584</v>
      </c>
      <c r="H69" s="10" t="s">
        <v>1585</v>
      </c>
      <c r="I69" s="10" t="str">
        <f t="shared" si="0"/>
        <v>LU006425.001</v>
      </c>
      <c r="J69" s="10" t="str">
        <f ca="1">IFERROR(__xludf.DUMMYFUNCTION("VLOOKUP(I69, IMPORTRANGE(""https://docs.google.com/spreadsheets/d/1yDAaXNsi4Mr5FtRQL4tbmSdIzhx6_m4wkOD7IG-k_eo/edit#gid=1336395716"", ""Science!M:N""), 2, FALSE)"),"Recall the steps for using a laboratory thermometer safely.")</f>
        <v>Recall the steps for using a laboratory thermometer safely.</v>
      </c>
      <c r="K69" s="10" t="str">
        <f t="shared" si="1"/>
        <v>LU006425.002</v>
      </c>
      <c r="L69" s="10" t="str">
        <f ca="1">IFERROR(__xludf.DUMMYFUNCTION("VLOOKUP(K69, IMPORTRANGE(""https://docs.google.com/spreadsheets/d/1yDAaXNsi4Mr5FtRQL4tbmSdIzhx6_m4wkOD7IG-k_eo/edit#gid=1336395716"", ""Science!M:N""), 2, FALSE)"),"Explain the correct procedure for measuring the temperature of warm water, ice, and boiling water.")</f>
        <v>Explain the correct procedure for measuring the temperature of warm water, ice, and boiling water.</v>
      </c>
      <c r="M69" s="10" t="str">
        <f t="shared" si="2"/>
        <v>LU006425.003</v>
      </c>
      <c r="N69" s="10" t="str">
        <f ca="1">IFERROR(__xludf.DUMMYFUNCTION("VLOOKUP(M69, IMPORTRANGE(""https://docs.google.com/spreadsheets/d/1yDAaXNsi4Mr5FtRQL4tbmSdIzhx6_m4wkOD7IG-k_eo/edit#gid=1336395716"", ""Science!M:N""), 2, FALSE)"),"Measure and record the temperatures of warm water, ice, and boiling water using a laboratory thermometer.")</f>
        <v>Measure and record the temperatures of warm water, ice, and boiling water using a laboratory thermometer.</v>
      </c>
      <c r="O69" s="10" t="str">
        <f t="shared" si="3"/>
        <v>LU006425.004</v>
      </c>
      <c r="P69" s="10" t="str">
        <f ca="1">IFERROR(__xludf.DUMMYFUNCTION("VLOOKUP(O69, IMPORTRANGE(""https://docs.google.com/spreadsheets/d/1yDAaXNsi4Mr5FtRQL4tbmSdIzhx6_m4wkOD7IG-k_eo/edit#gid=1336395716"", ""Science!M:N""), 2, FALSE)"),"Compare the measured temperatures to the expected values (e.g., 0°C for ice, 100°C for boiling water).")</f>
        <v>Compare the measured temperatures to the expected values (e.g., 0°C for ice, 100°C for boiling water).</v>
      </c>
      <c r="Q69" s="10" t="str">
        <f t="shared" si="4"/>
        <v>LU006425.005</v>
      </c>
      <c r="R69" s="10" t="str">
        <f ca="1">IFERROR(__xludf.DUMMYFUNCTION("VLOOKUP(Q69, IMPORTRANGE(""https://docs.google.com/spreadsheets/d/1yDAaXNsi4Mr5FtRQL4tbmSdIzhx6_m4wkOD7IG-k_eo/edit#gid=1336395716"", ""Science!M:N""), 2, FALSE)"),"Assess the accuracy of the laboratory thermometer based on the readings obtained.")</f>
        <v>Assess the accuracy of the laboratory thermometer based on the readings obtained.</v>
      </c>
      <c r="S69" s="10" t="str">
        <f t="shared" si="5"/>
        <v>LU006425.006</v>
      </c>
      <c r="T69" s="10" t="str">
        <f ca="1">IFERROR(__xludf.DUMMYFUNCTION("VLOOKUP(S69, IMPORTRANGE(""https://docs.google.com/spreadsheets/d/1yDAaXNsi4Mr5FtRQL4tbmSdIzhx6_m4wkOD7IG-k_eo/edit#gid=1336395716"", ""Science!M:N""), 2, FALSE)"),"Design an experiment that explores the effect of adding salt to ice water on its temperature, and measure the change using a laboratory thermometer.")</f>
        <v>Design an experiment that explores the effect of adding salt to ice water on its temperature, and measure the change using a laboratory thermometer.</v>
      </c>
      <c r="U69" s="11">
        <f ca="1">IFERROR(__xludf.DUMMYFUNCTION("ArrayFormula(VLOOKUP(G69, IMPORTRANGE(""https://docs.google.com/spreadsheets/d/1p7R4vtkWt5VOBim4ltsDG9KTzSjrtKXsMtQGXPHyND0/edit#gid=795171502"", ""'Filter 30_05_2024'!A1:M2000""), {2, 3, 4, 5,6,7,8,9,10,11,12,13}, 0))"),4)</f>
        <v>4</v>
      </c>
      <c r="V69" s="11">
        <f ca="1">IFERROR(__xludf.DUMMYFUNCTION("""COMPUTED_VALUE"""),6)</f>
        <v>6</v>
      </c>
      <c r="W69" s="11">
        <f ca="1">IFERROR(__xludf.DUMMYFUNCTION("""COMPUTED_VALUE"""),2)</f>
        <v>2</v>
      </c>
      <c r="X69" s="11">
        <f ca="1">IFERROR(__xludf.DUMMYFUNCTION("""COMPUTED_VALUE"""),12)</f>
        <v>12</v>
      </c>
      <c r="Y69" s="11">
        <f ca="1">IFERROR(__xludf.DUMMYFUNCTION("""COMPUTED_VALUE"""),4)</f>
        <v>4</v>
      </c>
      <c r="Z69" s="12">
        <f ca="1">IFERROR(__xludf.DUMMYFUNCTION("""COMPUTED_VALUE"""),3)</f>
        <v>3</v>
      </c>
      <c r="AA69" s="12">
        <f ca="1">IFERROR(__xludf.DUMMYFUNCTION("""COMPUTED_VALUE"""),1)</f>
        <v>1</v>
      </c>
      <c r="AB69" s="12">
        <f ca="1">IFERROR(__xludf.DUMMYFUNCTION("""COMPUTED_VALUE"""),8)</f>
        <v>8</v>
      </c>
      <c r="AC69" s="12"/>
      <c r="AD69" s="12"/>
      <c r="AE69" s="12"/>
      <c r="AF69" s="12"/>
      <c r="AG69" s="13" t="str">
        <f ca="1">IFERROR(__xludf.DUMMYFUNCTION("ArrayFormula(VLOOKUP(G69, IMPORTRANGE(""https://docs.google.com/spreadsheets/d/1Co934fvtviyaRiMsrIlT05Jaq7iiYq07aLvRr35KA48/edit?gid=173865642#gid=173865642"", ""'G6_Sci Cur_Pri_LU'!G2:V2000""), {3, 4, 5, 6, 7, 8, 9, 10, 11, 12, 13, 14, 15, 16}, 0))"),"LU005927")</f>
        <v>LU005927</v>
      </c>
      <c r="AH69" s="13" t="str">
        <f ca="1">IFERROR(__xludf.DUMMYFUNCTION("""COMPUTED_VALUE"""),"Correct Way of using Laboratory thermometer")</f>
        <v>Correct Way of using Laboratory thermometer</v>
      </c>
      <c r="AI69" s="13" t="str">
        <f ca="1">IFERROR(__xludf.DUMMYFUNCTION("""COMPUTED_VALUE"""),"LU005926")</f>
        <v>LU005926</v>
      </c>
      <c r="AJ69" s="13" t="str">
        <f ca="1">IFERROR(__xludf.DUMMYFUNCTION("""COMPUTED_VALUE"""),"Physical Components of Laboratory thermometer")</f>
        <v>Physical Components of Laboratory thermometer</v>
      </c>
      <c r="AK69" s="13"/>
      <c r="AL69" s="13"/>
      <c r="AM69" s="13"/>
      <c r="AN69" s="13"/>
      <c r="AO69" s="13"/>
      <c r="AP69" s="13"/>
      <c r="AQ69" s="13"/>
      <c r="AR69" s="13"/>
      <c r="AS69" s="13"/>
      <c r="AT69" s="13"/>
    </row>
    <row r="70" spans="1:46">
      <c r="A70" s="8" t="s">
        <v>1405</v>
      </c>
      <c r="B70" s="8" t="s">
        <v>47</v>
      </c>
      <c r="C70" s="8" t="s">
        <v>48</v>
      </c>
      <c r="D70" s="8" t="s">
        <v>1510</v>
      </c>
      <c r="E70" s="8" t="s">
        <v>1562</v>
      </c>
      <c r="F70" s="110" t="s">
        <v>1583</v>
      </c>
      <c r="G70" s="10" t="s">
        <v>1586</v>
      </c>
      <c r="H70" s="10" t="s">
        <v>1587</v>
      </c>
      <c r="I70" s="10" t="str">
        <f t="shared" si="0"/>
        <v>LU006426.001</v>
      </c>
      <c r="J70" s="10" t="str">
        <f ca="1">IFERROR(__xludf.DUMMYFUNCTION("VLOOKUP(I70, IMPORTRANGE(""https://docs.google.com/spreadsheets/d/1yDAaXNsi4Mr5FtRQL4tbmSdIzhx6_m4wkOD7IG-k_eo/edit#gid=1336395716"", ""Science!M:N""), 2, FALSE)"),"Define air temperature and its importance in daily life.")</f>
        <v>Define air temperature and its importance in daily life.</v>
      </c>
      <c r="K70" s="10" t="str">
        <f t="shared" si="1"/>
        <v>LU006426.002</v>
      </c>
      <c r="L70" s="10" t="str">
        <f ca="1">IFERROR(__xludf.DUMMYFUNCTION("VLOOKUP(K70, IMPORTRANGE(""https://docs.google.com/spreadsheets/d/1yDAaXNsi4Mr5FtRQL4tbmSdIzhx6_m4wkOD7IG-k_eo/edit#gid=1336395716"", ""Science!M:N""), 2, FALSE)"),"Describe how air temperature is measured and what instruments are used (e.g., thermometer).")</f>
        <v>Describe how air temperature is measured and what instruments are used (e.g., thermometer).</v>
      </c>
      <c r="M70" s="10" t="str">
        <f t="shared" si="2"/>
        <v>LU006426.003</v>
      </c>
      <c r="N70" s="10" t="str">
        <f ca="1">IFERROR(__xludf.DUMMYFUNCTION("VLOOKUP(M70, IMPORTRANGE(""https://docs.google.com/spreadsheets/d/1yDAaXNsi4Mr5FtRQL4tbmSdIzhx6_m4wkOD7IG-k_eo/edit#gid=1336395716"", ""Science!M:N""), 2, FALSE)"),"Record the air temperature at different times of the day and note the variations.")</f>
        <v>Record the air temperature at different times of the day and note the variations.</v>
      </c>
      <c r="O70" s="10" t="str">
        <f t="shared" si="3"/>
        <v>LU006426.004</v>
      </c>
      <c r="P70" s="10" t="str">
        <f ca="1">IFERROR(__xludf.DUMMYFUNCTION("VLOOKUP(O70, IMPORTRANGE(""https://docs.google.com/spreadsheets/d/1yDAaXNsi4Mr5FtRQL4tbmSdIzhx6_m4wkOD7IG-k_eo/edit#gid=1336395716"", ""Science!M:N""), 2, FALSE)"),"Analyze the relationship between air temperature and weather conditions (e.g., sunny, cloudy, rainy).")</f>
        <v>Analyze the relationship between air temperature and weather conditions (e.g., sunny, cloudy, rainy).</v>
      </c>
      <c r="Q70" s="10" t="str">
        <f t="shared" si="4"/>
        <v>LU006426.005</v>
      </c>
      <c r="R70" s="10" t="str">
        <f ca="1">IFERROR(__xludf.DUMMYFUNCTION("VLOOKUP(Q70, IMPORTRANGE(""https://docs.google.com/spreadsheets/d/1yDAaXNsi4Mr5FtRQL4tbmSdIzhx6_m4wkOD7IG-k_eo/edit#gid=1336395716"", ""Science!M:N""), 2, FALSE)"),"Evaluate how air temperature affects daily activities and the environment.")</f>
        <v>Evaluate how air temperature affects daily activities and the environment.</v>
      </c>
      <c r="S70" s="10" t="str">
        <f t="shared" si="5"/>
        <v>LU006426.006</v>
      </c>
      <c r="T70" s="10" t="str">
        <f ca="1">IFERROR(__xludf.DUMMYFUNCTION("VLOOKUP(S70, IMPORTRANGE(""https://docs.google.com/spreadsheets/d/1yDAaXNsi4Mr5FtRQL4tbmSdIzhx6_m4wkOD7IG-k_eo/edit#gid=1336395716"", ""Science!M:N""), 2, FALSE)"),"Create a weather diary where you record daily air temperatures and correlate them with weather patterns observed over a week.")</f>
        <v>Create a weather diary where you record daily air temperatures and correlate them with weather patterns observed over a week.</v>
      </c>
      <c r="U70" s="11">
        <f ca="1">IFERROR(__xludf.DUMMYFUNCTION("ArrayFormula(VLOOKUP(G70, IMPORTRANGE(""https://docs.google.com/spreadsheets/d/1p7R4vtkWt5VOBim4ltsDG9KTzSjrtKXsMtQGXPHyND0/edit#gid=795171502"", ""'Filter 30_05_2024'!A1:M2000""), {2, 3, 4, 5,6,7,8,9,10,11,12,13}, 0))"),4)</f>
        <v>4</v>
      </c>
      <c r="V70" s="11">
        <f ca="1">IFERROR(__xludf.DUMMYFUNCTION("""COMPUTED_VALUE"""),6)</f>
        <v>6</v>
      </c>
      <c r="W70" s="11">
        <f ca="1">IFERROR(__xludf.DUMMYFUNCTION("""COMPUTED_VALUE"""),2)</f>
        <v>2</v>
      </c>
      <c r="X70" s="11">
        <f ca="1">IFERROR(__xludf.DUMMYFUNCTION("""COMPUTED_VALUE"""),12)</f>
        <v>12</v>
      </c>
      <c r="Y70" s="11">
        <f ca="1">IFERROR(__xludf.DUMMYFUNCTION("""COMPUTED_VALUE"""),4)</f>
        <v>4</v>
      </c>
      <c r="Z70" s="12">
        <f ca="1">IFERROR(__xludf.DUMMYFUNCTION("""COMPUTED_VALUE"""),3)</f>
        <v>3</v>
      </c>
      <c r="AA70" s="12">
        <f ca="1">IFERROR(__xludf.DUMMYFUNCTION("""COMPUTED_VALUE"""),1)</f>
        <v>1</v>
      </c>
      <c r="AB70" s="12">
        <f ca="1">IFERROR(__xludf.DUMMYFUNCTION("""COMPUTED_VALUE"""),8)</f>
        <v>8</v>
      </c>
      <c r="AC70" s="12"/>
      <c r="AD70" s="12"/>
      <c r="AE70" s="12"/>
      <c r="AF70" s="12"/>
      <c r="AG70" s="13" t="str">
        <f ca="1">IFERROR(__xludf.DUMMYFUNCTION("ArrayFormula(VLOOKUP(G70, IMPORTRANGE(""https://docs.google.com/spreadsheets/d/1Co934fvtviyaRiMsrIlT05Jaq7iiYq07aLvRr35KA48/edit?gid=173865642#gid=173865642"", ""'G6_Sci Cur_Pri_LU'!G2:V2000""), {3, 4, 5, 6, 7, 8, 9, 10, 11, 12, 13, 14, 15, 16}, 0))"),"LU006422")</f>
        <v>LU006422</v>
      </c>
      <c r="AH70" s="13" t="str">
        <f ca="1">IFERROR(__xludf.DUMMYFUNCTION("""COMPUTED_VALUE"""),"Temperature, Its Measurement Scales, and Conversion Methods")</f>
        <v>Temperature, Its Measurement Scales, and Conversion Methods</v>
      </c>
      <c r="AI70" s="13"/>
      <c r="AJ70" s="13"/>
      <c r="AK70" s="13"/>
      <c r="AL70" s="13"/>
      <c r="AM70" s="13"/>
      <c r="AN70" s="13"/>
      <c r="AO70" s="13"/>
      <c r="AP70" s="13"/>
      <c r="AQ70" s="13"/>
      <c r="AR70" s="13"/>
      <c r="AS70" s="13"/>
      <c r="AT70" s="13"/>
    </row>
    <row r="71" spans="1:46">
      <c r="A71" s="8" t="s">
        <v>1405</v>
      </c>
      <c r="B71" s="8" t="s">
        <v>47</v>
      </c>
      <c r="C71" s="8" t="s">
        <v>48</v>
      </c>
      <c r="D71" s="8" t="s">
        <v>1510</v>
      </c>
      <c r="E71" s="8" t="s">
        <v>1588</v>
      </c>
      <c r="F71" s="111" t="s">
        <v>1589</v>
      </c>
      <c r="G71" s="107" t="s">
        <v>1590</v>
      </c>
      <c r="H71" s="69" t="s">
        <v>1591</v>
      </c>
      <c r="I71" s="10" t="str">
        <f t="shared" si="0"/>
        <v>LU005932.001</v>
      </c>
      <c r="J71" s="10" t="str">
        <f ca="1">IFERROR(__xludf.DUMMYFUNCTION("VLOOKUP(I71, IMPORTRANGE(""https://docs.google.com/spreadsheets/d/1yDAaXNsi4Mr5FtRQL4tbmSdIzhx6_m4wkOD7IG-k_eo/edit#gid=1336395716"", ""Science!M:N""), 2, FALSE)"),"Distinguish between natural and artificial magnets, identifying their key characteristics.")</f>
        <v>Distinguish between natural and artificial magnets, identifying their key characteristics.</v>
      </c>
      <c r="K71" s="10" t="str">
        <f t="shared" si="1"/>
        <v>LU005932.002</v>
      </c>
      <c r="L71" s="10" t="str">
        <f ca="1">IFERROR(__xludf.DUMMYFUNCTION("VLOOKUP(K71, IMPORTRANGE(""https://docs.google.com/spreadsheets/d/1yDAaXNsi4Mr5FtRQL4tbmSdIzhx6_m4wkOD7IG-k_eo/edit#gid=1336395716"", ""Science!M:N""), 2, FALSE)"),"Explain the origin of natural magnets and how they are formed.")</f>
        <v>Explain the origin of natural magnets and how they are formed.</v>
      </c>
      <c r="M71" s="10" t="str">
        <f t="shared" si="2"/>
        <v>LU005932.003</v>
      </c>
      <c r="N71" s="10" t="str">
        <f ca="1">IFERROR(__xludf.DUMMYFUNCTION("VLOOKUP(M71, IMPORTRANGE(""https://docs.google.com/spreadsheets/d/1yDAaXNsi4Mr5FtRQL4tbmSdIzhx6_m4wkOD7IG-k_eo/edit#gid=1336395716"", ""Science!M:N""), 2, FALSE)"),"Describe the process of manufacturing artificial magnets and their common uses.")</f>
        <v>Describe the process of manufacturing artificial magnets and their common uses.</v>
      </c>
      <c r="O71" s="10" t="str">
        <f t="shared" si="3"/>
        <v>LU005932.004</v>
      </c>
      <c r="P71" s="10" t="str">
        <f ca="1">IFERROR(__xludf.DUMMYFUNCTION("VLOOKUP(O71, IMPORTRANGE(""https://docs.google.com/spreadsheets/d/1yDAaXNsi4Mr5FtRQL4tbmSdIzhx6_m4wkOD7IG-k_eo/edit#gid=1336395716"", ""Science!M:N""), 2, FALSE)"),"Analyze the differences in magnetic properties between natural and artificial magnets.")</f>
        <v>Analyze the differences in magnetic properties between natural and artificial magnets.</v>
      </c>
      <c r="Q71" s="10" t="str">
        <f t="shared" si="4"/>
        <v>LU005932.005</v>
      </c>
      <c r="R71" s="10" t="str">
        <f ca="1">IFERROR(__xludf.DUMMYFUNCTION("VLOOKUP(Q71, IMPORTRANGE(""https://docs.google.com/spreadsheets/d/1yDAaXNsi4Mr5FtRQL4tbmSdIzhx6_m4wkOD7IG-k_eo/edit#gid=1336395716"", ""Science!M:N""), 2, FALSE)"),"Evaluate the significance of classifying magnets into natural and artificial categories.")</f>
        <v>Evaluate the significance of classifying magnets into natural and artificial categories.</v>
      </c>
      <c r="S71" s="10" t="str">
        <f t="shared" si="5"/>
        <v>LU005932.006</v>
      </c>
      <c r="T71" s="10" t="str">
        <f ca="1">IFERROR(__xludf.DUMMYFUNCTION("VLOOKUP(S71, IMPORTRANGE(""https://docs.google.com/spreadsheets/d/1yDAaXNsi4Mr5FtRQL4tbmSdIzhx6_m4wkOD7IG-k_eo/edit#gid=1336395716"", ""Science!M:N""), 2, FALSE)"),"#N/A")</f>
        <v>#N/A</v>
      </c>
      <c r="U71" s="11">
        <f ca="1">IFERROR(__xludf.DUMMYFUNCTION("ArrayFormula(VLOOKUP(G71, IMPORTRANGE(""https://docs.google.com/spreadsheets/d/1p7R4vtkWt5VOBim4ltsDG9KTzSjrtKXsMtQGXPHyND0/edit#gid=795171502"", ""'Filter 30_05_2024'!A1:M2000""), {2, 3, 4, 5,6,7,8,9,10,11,12,13}, 0))"),6)</f>
        <v>6</v>
      </c>
      <c r="V71" s="11">
        <f ca="1">IFERROR(__xludf.DUMMYFUNCTION("""COMPUTED_VALUE"""),6)</f>
        <v>6</v>
      </c>
      <c r="W71" s="11">
        <f ca="1">IFERROR(__xludf.DUMMYFUNCTION("""COMPUTED_VALUE"""),2)</f>
        <v>2</v>
      </c>
      <c r="X71" s="11">
        <f ca="1">IFERROR(__xludf.DUMMYFUNCTION("""COMPUTED_VALUE"""),14)</f>
        <v>14</v>
      </c>
      <c r="Y71" s="11">
        <f ca="1">IFERROR(__xludf.DUMMYFUNCTION("""COMPUTED_VALUE"""),4)</f>
        <v>4</v>
      </c>
      <c r="Z71" s="12">
        <f ca="1">IFERROR(__xludf.DUMMYFUNCTION("""COMPUTED_VALUE"""),3)</f>
        <v>3</v>
      </c>
      <c r="AA71" s="12">
        <f ca="1">IFERROR(__xludf.DUMMYFUNCTION("""COMPUTED_VALUE"""),1)</f>
        <v>1</v>
      </c>
      <c r="AB71" s="12">
        <f ca="1">IFERROR(__xludf.DUMMYFUNCTION("""COMPUTED_VALUE"""),8)</f>
        <v>8</v>
      </c>
      <c r="AC71" s="12"/>
      <c r="AD71" s="12"/>
      <c r="AE71" s="12"/>
      <c r="AF71" s="12"/>
      <c r="AG71" s="13" t="str">
        <f ca="1">IFERROR(__xludf.DUMMYFUNCTION("ArrayFormula(VLOOKUP(G71, IMPORTRANGE(""https://docs.google.com/spreadsheets/d/1Co934fvtviyaRiMsrIlT05Jaq7iiYq07aLvRr35KA48/edit?gid=173865642#gid=173865642"", ""'G6_Sci Cur_Pri_LU'!G2:V2000""), {3, 4, 5, 6, 7, 8, 9, 10, 11, 12, 13, 14, 15, 16}, 0))"),"")</f>
        <v/>
      </c>
      <c r="AH71" s="13"/>
      <c r="AI71" s="13"/>
      <c r="AJ71" s="13"/>
      <c r="AK71" s="13"/>
      <c r="AL71" s="13"/>
      <c r="AM71" s="13"/>
      <c r="AN71" s="13"/>
      <c r="AO71" s="13"/>
      <c r="AP71" s="13"/>
      <c r="AQ71" s="13"/>
      <c r="AR71" s="13"/>
      <c r="AS71" s="13"/>
      <c r="AT71" s="13"/>
    </row>
    <row r="72" spans="1:46">
      <c r="A72" s="8" t="s">
        <v>1405</v>
      </c>
      <c r="B72" s="8" t="s">
        <v>47</v>
      </c>
      <c r="C72" s="8" t="s">
        <v>48</v>
      </c>
      <c r="D72" s="8" t="s">
        <v>1510</v>
      </c>
      <c r="E72" s="8" t="s">
        <v>1588</v>
      </c>
      <c r="F72" s="111" t="s">
        <v>1589</v>
      </c>
      <c r="G72" s="107" t="s">
        <v>1592</v>
      </c>
      <c r="H72" s="69" t="s">
        <v>1593</v>
      </c>
      <c r="I72" s="10" t="str">
        <f t="shared" si="0"/>
        <v>LU005933.001</v>
      </c>
      <c r="J72" s="10" t="str">
        <f ca="1">IFERROR(__xludf.DUMMYFUNCTION("VLOOKUP(I72, IMPORTRANGE(""https://docs.google.com/spreadsheets/d/1yDAaXNsi4Mr5FtRQL4tbmSdIzhx6_m4wkOD7IG-k_eo/edit#gid=1336395716"", ""Science!M:N""), 2, FALSE)"),"List and identify various types of artificial magnets, such as bar magnets, horseshoe magnets, and electromagnets.")</f>
        <v>List and identify various types of artificial magnets, such as bar magnets, horseshoe magnets, and electromagnets.</v>
      </c>
      <c r="K72" s="10" t="str">
        <f t="shared" si="1"/>
        <v>LU005933.002</v>
      </c>
      <c r="L72" s="10" t="str">
        <f ca="1">IFERROR(__xludf.DUMMYFUNCTION("VLOOKUP(K72, IMPORTRANGE(""https://docs.google.com/spreadsheets/d/1yDAaXNsi4Mr5FtRQL4tbmSdIzhx6_m4wkOD7IG-k_eo/edit#gid=1336395716"", ""Science!M:N""), 2, FALSE)"),"Describe the characteristics and applications of each type of artificial magnet.")</f>
        <v>Describe the characteristics and applications of each type of artificial magnet.</v>
      </c>
      <c r="M72" s="10" t="str">
        <f t="shared" si="2"/>
        <v>LU005933.003</v>
      </c>
      <c r="N72" s="10" t="str">
        <f ca="1">IFERROR(__xludf.DUMMYFUNCTION("VLOOKUP(M72, IMPORTRANGE(""https://docs.google.com/spreadsheets/d/1yDAaXNsi4Mr5FtRQL4tbmSdIzhx6_m4wkOD7IG-k_eo/edit#gid=1336395716"", ""Science!M:N""), 2, FALSE)"),"Explain the principles behind the functioning of different types of artificial magnets.")</f>
        <v>Explain the principles behind the functioning of different types of artificial magnets.</v>
      </c>
      <c r="O72" s="10" t="str">
        <f t="shared" si="3"/>
        <v>LU005933.004</v>
      </c>
      <c r="P72" s="10" t="str">
        <f ca="1">IFERROR(__xludf.DUMMYFUNCTION("VLOOKUP(O72, IMPORTRANGE(""https://docs.google.com/spreadsheets/d/1yDAaXNsi4Mr5FtRQL4tbmSdIzhx6_m4wkOD7IG-k_eo/edit#gid=1336395716"", ""Science!M:N""), 2, FALSE)"),"Analyze the advantages and disadvantages of using specific types of artificial magnets for various purposes.")</f>
        <v>Analyze the advantages and disadvantages of using specific types of artificial magnets for various purposes.</v>
      </c>
      <c r="Q72" s="10" t="str">
        <f t="shared" si="4"/>
        <v>LU005933.005</v>
      </c>
      <c r="R72" s="10" t="str">
        <f ca="1">IFERROR(__xludf.DUMMYFUNCTION("VLOOKUP(Q72, IMPORTRANGE(""https://docs.google.com/spreadsheets/d/1yDAaXNsi4Mr5FtRQL4tbmSdIzhx6_m4wkOD7IG-k_eo/edit#gid=1336395716"", ""Science!M:N""), 2, FALSE)"),"Evaluate the suitability of different artificial magnets for specific tasks.")</f>
        <v>Evaluate the suitability of different artificial magnets for specific tasks.</v>
      </c>
      <c r="S72" s="10" t="str">
        <f t="shared" si="5"/>
        <v>LU005933.006</v>
      </c>
      <c r="T72" s="10" t="str">
        <f ca="1">IFERROR(__xludf.DUMMYFUNCTION("VLOOKUP(S72, IMPORTRANGE(""https://docs.google.com/spreadsheets/d/1yDAaXNsi4Mr5FtRQL4tbmSdIzhx6_m4wkOD7IG-k_eo/edit#gid=1336395716"", ""Science!M:N""), 2, FALSE)"),"#N/A")</f>
        <v>#N/A</v>
      </c>
      <c r="U72" s="11">
        <f ca="1">IFERROR(__xludf.DUMMYFUNCTION("ArrayFormula(VLOOKUP(G72, IMPORTRANGE(""https://docs.google.com/spreadsheets/d/1p7R4vtkWt5VOBim4ltsDG9KTzSjrtKXsMtQGXPHyND0/edit#gid=795171502"", ""'Filter 30_05_2024'!A1:M2000""), {2, 3, 4, 5,6,7,8,9,10,11,12,13}, 0))"),4)</f>
        <v>4</v>
      </c>
      <c r="V72" s="11">
        <f ca="1">IFERROR(__xludf.DUMMYFUNCTION("""COMPUTED_VALUE"""),6)</f>
        <v>6</v>
      </c>
      <c r="W72" s="11">
        <f ca="1">IFERROR(__xludf.DUMMYFUNCTION("""COMPUTED_VALUE"""),2)</f>
        <v>2</v>
      </c>
      <c r="X72" s="11">
        <f ca="1">IFERROR(__xludf.DUMMYFUNCTION("""COMPUTED_VALUE"""),12)</f>
        <v>12</v>
      </c>
      <c r="Y72" s="11">
        <f ca="1">IFERROR(__xludf.DUMMYFUNCTION("""COMPUTED_VALUE"""),4)</f>
        <v>4</v>
      </c>
      <c r="Z72" s="12">
        <f ca="1">IFERROR(__xludf.DUMMYFUNCTION("""COMPUTED_VALUE"""),3)</f>
        <v>3</v>
      </c>
      <c r="AA72" s="12">
        <f ca="1">IFERROR(__xludf.DUMMYFUNCTION("""COMPUTED_VALUE"""),1)</f>
        <v>1</v>
      </c>
      <c r="AB72" s="12">
        <f ca="1">IFERROR(__xludf.DUMMYFUNCTION("""COMPUTED_VALUE"""),8)</f>
        <v>8</v>
      </c>
      <c r="AC72" s="12"/>
      <c r="AD72" s="12"/>
      <c r="AE72" s="12"/>
      <c r="AF72" s="12"/>
      <c r="AG72" s="13" t="str">
        <f ca="1">IFERROR(__xludf.DUMMYFUNCTION("ArrayFormula(VLOOKUP(G72, IMPORTRANGE(""https://docs.google.com/spreadsheets/d/1Co934fvtviyaRiMsrIlT05Jaq7iiYq07aLvRr35KA48/edit?gid=173865642#gid=173865642"", ""'G6_Sci Cur_Pri_LU'!G2:V2000""), {3, 4, 5, 6, 7, 8, 9, 10, 11, 12, 13, 14, 15, 16}, 0))"),"LU005932")</f>
        <v>LU005932</v>
      </c>
      <c r="AH72" s="13" t="str">
        <f ca="1">IFERROR(__xludf.DUMMYFUNCTION("""COMPUTED_VALUE"""),"Classification of magnets as natural and artificial magnets ")</f>
        <v xml:space="preserve">Classification of magnets as natural and artificial magnets </v>
      </c>
      <c r="AI72" s="13"/>
      <c r="AJ72" s="13"/>
      <c r="AK72" s="13"/>
      <c r="AL72" s="13"/>
      <c r="AM72" s="13"/>
      <c r="AN72" s="13"/>
      <c r="AO72" s="13"/>
      <c r="AP72" s="13"/>
      <c r="AQ72" s="13"/>
      <c r="AR72" s="13"/>
      <c r="AS72" s="13"/>
      <c r="AT72" s="13"/>
    </row>
    <row r="73" spans="1:46">
      <c r="A73" s="8" t="s">
        <v>1405</v>
      </c>
      <c r="B73" s="8" t="s">
        <v>47</v>
      </c>
      <c r="C73" s="8" t="s">
        <v>48</v>
      </c>
      <c r="D73" s="8" t="s">
        <v>1510</v>
      </c>
      <c r="E73" s="8" t="s">
        <v>1588</v>
      </c>
      <c r="F73" s="111" t="s">
        <v>1589</v>
      </c>
      <c r="G73" s="107" t="s">
        <v>1594</v>
      </c>
      <c r="H73" s="69" t="s">
        <v>1595</v>
      </c>
      <c r="I73" s="10" t="str">
        <f t="shared" si="0"/>
        <v>LU005161.001</v>
      </c>
      <c r="J73" s="10" t="str">
        <f ca="1">IFERROR(__xludf.DUMMYFUNCTION("VLOOKUP(I73, IMPORTRANGE(""https://docs.google.com/spreadsheets/d/1yDAaXNsi4Mr5FtRQL4tbmSdIzhx6_m4wkOD7IG-k_eo/edit#gid=1336395716"", ""Science!M:N""), 2, FALSE)"),"Define magnetic and non magnetic materials with examples. ")</f>
        <v xml:space="preserve">Define magnetic and non magnetic materials with examples. </v>
      </c>
      <c r="K73" s="10" t="str">
        <f t="shared" si="1"/>
        <v>LU005161.002</v>
      </c>
      <c r="L73" s="10" t="str">
        <f ca="1">IFERROR(__xludf.DUMMYFUNCTION("VLOOKUP(K73, IMPORTRANGE(""https://docs.google.com/spreadsheets/d/1yDAaXNsi4Mr5FtRQL4tbmSdIzhx6_m4wkOD7IG-k_eo/edit#gid=1336395716"", ""Science!M:N""), 2, FALSE)"),"Explain the reasons why some materials are magnetic and others are not.")</f>
        <v>Explain the reasons why some materials are magnetic and others are not.</v>
      </c>
      <c r="M73" s="10" t="str">
        <f t="shared" si="2"/>
        <v>LU005161.003</v>
      </c>
      <c r="N73" s="10" t="str">
        <f ca="1">IFERROR(__xludf.DUMMYFUNCTION("VLOOKUP(M73, IMPORTRANGE(""https://docs.google.com/spreadsheets/d/1yDAaXNsi4Mr5FtRQL4tbmSdIzhx6_m4wkOD7IG-k_eo/edit#gid=1336395716"", ""Science!M:N""), 2, FALSE)"),"Classify the given materials as magnetic and non magnetic materials based on their ability to be attracted by magnet.")</f>
        <v>Classify the given materials as magnetic and non magnetic materials based on their ability to be attracted by magnet.</v>
      </c>
      <c r="O73" s="10" t="str">
        <f t="shared" si="3"/>
        <v>LU005161.004</v>
      </c>
      <c r="P73" s="10" t="str">
        <f ca="1">IFERROR(__xludf.DUMMYFUNCTION("VLOOKUP(O73, IMPORTRANGE(""https://docs.google.com/spreadsheets/d/1yDAaXNsi4Mr5FtRQL4tbmSdIzhx6_m4wkOD7IG-k_eo/edit#gid=1336395716"", ""Science!M:N""), 2, FALSE)"),"Compare and contrast various magnetic materials based on their strength of attraction to a magnet.")</f>
        <v>Compare and contrast various magnetic materials based on their strength of attraction to a magnet.</v>
      </c>
      <c r="Q73" s="10" t="str">
        <f t="shared" si="4"/>
        <v>LU005161.005</v>
      </c>
      <c r="R73" s="10" t="str">
        <f ca="1">IFERROR(__xludf.DUMMYFUNCTION("VLOOKUP(Q73, IMPORTRANGE(""https://docs.google.com/spreadsheets/d/1yDAaXNsi4Mr5FtRQL4tbmSdIzhx6_m4wkOD7IG-k_eo/edit#gid=1336395716"", ""Science!M:N""), 2, FALSE)"),"#N/A")</f>
        <v>#N/A</v>
      </c>
      <c r="S73" s="10" t="str">
        <f t="shared" si="5"/>
        <v>LU005161.006</v>
      </c>
      <c r="T73" s="10" t="str">
        <f ca="1">IFERROR(__xludf.DUMMYFUNCTION("VLOOKUP(S73, IMPORTRANGE(""https://docs.google.com/spreadsheets/d/1yDAaXNsi4Mr5FtRQL4tbmSdIzhx6_m4wkOD7IG-k_eo/edit#gid=1336395716"", ""Science!M:N""), 2, FALSE)"),"#N/A")</f>
        <v>#N/A</v>
      </c>
      <c r="U73" s="11">
        <f ca="1">IFERROR(__xludf.DUMMYFUNCTION("ArrayFormula(VLOOKUP(G73, IMPORTRANGE(""https://docs.google.com/spreadsheets/d/1p7R4vtkWt5VOBim4ltsDG9KTzSjrtKXsMtQGXPHyND0/edit#gid=795171502"", ""'Filter 30_05_2024'!A1:M2000""), {2, 3, 4, 5,6,7,8,9,10,11,12,13}, 0))"),10)</f>
        <v>10</v>
      </c>
      <c r="V73" s="11">
        <f ca="1">IFERROR(__xludf.DUMMYFUNCTION("""COMPUTED_VALUE"""),16)</f>
        <v>16</v>
      </c>
      <c r="W73" s="11">
        <f ca="1">IFERROR(__xludf.DUMMYFUNCTION("""COMPUTED_VALUE"""),2)</f>
        <v>2</v>
      </c>
      <c r="X73" s="11">
        <f ca="1">IFERROR(__xludf.DUMMYFUNCTION("""COMPUTED_VALUE"""),28)</f>
        <v>28</v>
      </c>
      <c r="Y73" s="11">
        <f ca="1">IFERROR(__xludf.DUMMYFUNCTION("""COMPUTED_VALUE"""),5)</f>
        <v>5</v>
      </c>
      <c r="Z73" s="12">
        <f ca="1">IFERROR(__xludf.DUMMYFUNCTION("""COMPUTED_VALUE"""),7)</f>
        <v>7</v>
      </c>
      <c r="AA73" s="12">
        <f ca="1">IFERROR(__xludf.DUMMYFUNCTION("""COMPUTED_VALUE"""),1)</f>
        <v>1</v>
      </c>
      <c r="AB73" s="12">
        <f ca="1">IFERROR(__xludf.DUMMYFUNCTION("""COMPUTED_VALUE"""),13)</f>
        <v>13</v>
      </c>
      <c r="AC73" s="12"/>
      <c r="AD73" s="12"/>
      <c r="AE73" s="12"/>
      <c r="AF73" s="12"/>
      <c r="AG73" s="13" t="str">
        <f ca="1">IFERROR(__xludf.DUMMYFUNCTION("ArrayFormula(VLOOKUP(G73, IMPORTRANGE(""https://docs.google.com/spreadsheets/d/1Co934fvtviyaRiMsrIlT05Jaq7iiYq07aLvRr35KA48/edit?gid=173865642#gid=173865642"", ""'G6_Sci Cur_Pri_LU'!G2:V2000""), {3, 4, 5, 6, 7, 8, 9, 10, 11, 12, 13, 14, 15, 16}, 0))"),"")</f>
        <v/>
      </c>
      <c r="AH73" s="13"/>
      <c r="AI73" s="13"/>
      <c r="AJ73" s="13"/>
      <c r="AK73" s="13"/>
      <c r="AL73" s="13"/>
      <c r="AM73" s="13"/>
      <c r="AN73" s="13"/>
      <c r="AO73" s="13"/>
      <c r="AP73" s="13"/>
      <c r="AQ73" s="13"/>
      <c r="AR73" s="13"/>
      <c r="AS73" s="13"/>
      <c r="AT73" s="13"/>
    </row>
    <row r="74" spans="1:46">
      <c r="A74" s="8" t="s">
        <v>1405</v>
      </c>
      <c r="B74" s="8" t="s">
        <v>47</v>
      </c>
      <c r="C74" s="8" t="s">
        <v>48</v>
      </c>
      <c r="D74" s="8" t="s">
        <v>1510</v>
      </c>
      <c r="E74" s="8" t="s">
        <v>1588</v>
      </c>
      <c r="F74" s="111" t="s">
        <v>1596</v>
      </c>
      <c r="G74" s="107" t="s">
        <v>1597</v>
      </c>
      <c r="H74" s="69" t="s">
        <v>1598</v>
      </c>
      <c r="I74" s="10" t="str">
        <f t="shared" si="0"/>
        <v>LU005934.001</v>
      </c>
      <c r="J74" s="10" t="str">
        <f ca="1">IFERROR(__xludf.DUMMYFUNCTION("VLOOKUP(I74, IMPORTRANGE(""https://docs.google.com/spreadsheets/d/1yDAaXNsi4Mr5FtRQL4tbmSdIzhx6_m4wkOD7IG-k_eo/edit#gid=1336395716"", ""Science!M:N""), 2, FALSE)"),"Identify the poles (north and south) of different magnets, including natural and artificial magnets.")</f>
        <v>Identify the poles (north and south) of different magnets, including natural and artificial magnets.</v>
      </c>
      <c r="K74" s="10" t="str">
        <f t="shared" si="1"/>
        <v>LU005934.002</v>
      </c>
      <c r="L74" s="10" t="str">
        <f ca="1">IFERROR(__xludf.DUMMYFUNCTION("VLOOKUP(K74, IMPORTRANGE(""https://docs.google.com/spreadsheets/d/1yDAaXNsi4Mr5FtRQL4tbmSdIzhx6_m4wkOD7IG-k_eo/edit#gid=1336395716"", ""Science!M:N""), 2, FALSE)"),"Explain how to determine the poles of a magnet using a simple compass.")</f>
        <v>Explain how to determine the poles of a magnet using a simple compass.</v>
      </c>
      <c r="M74" s="10" t="str">
        <f t="shared" si="2"/>
        <v>LU005934.003</v>
      </c>
      <c r="N74" s="10" t="str">
        <f ca="1">IFERROR(__xludf.DUMMYFUNCTION("VLOOKUP(M74, IMPORTRANGE(""https://docs.google.com/spreadsheets/d/1yDAaXNsi4Mr5FtRQL4tbmSdIzhx6_m4wkOD7IG-k_eo/edit#gid=1336395716"", ""Science!M:N""), 2, FALSE)"),"Suggest an activity to locate the poles of magnets in different shapes.")</f>
        <v>Suggest an activity to locate the poles of magnets in different shapes.</v>
      </c>
      <c r="O74" s="10" t="str">
        <f t="shared" si="3"/>
        <v>LU005934.004</v>
      </c>
      <c r="P74" s="10" t="str">
        <f ca="1">IFERROR(__xludf.DUMMYFUNCTION("VLOOKUP(O74, IMPORTRANGE(""https://docs.google.com/spreadsheets/d/1yDAaXNsi4Mr5FtRQL4tbmSdIzhx6_m4wkOD7IG-k_eo/edit#gid=1336395716"", ""Science!M:N""), 2, FALSE)"),"Analyse the effect on the poles of magnets on breaking them into pieces. ")</f>
        <v xml:space="preserve">Analyse the effect on the poles of magnets on breaking them into pieces. </v>
      </c>
      <c r="Q74" s="10" t="str">
        <f t="shared" si="4"/>
        <v>LU005934.005</v>
      </c>
      <c r="R74" s="10" t="str">
        <f ca="1">IFERROR(__xludf.DUMMYFUNCTION("VLOOKUP(Q74, IMPORTRANGE(""https://docs.google.com/spreadsheets/d/1yDAaXNsi4Mr5FtRQL4tbmSdIzhx6_m4wkOD7IG-k_eo/edit#gid=1336395716"", ""Science!M:N""), 2, FALSE)"),"Evaluate the practical significance of knowing the poles of magnets in various applications.")</f>
        <v>Evaluate the practical significance of knowing the poles of magnets in various applications.</v>
      </c>
      <c r="S74" s="10" t="str">
        <f t="shared" si="5"/>
        <v>LU005934.006</v>
      </c>
      <c r="T74" s="10" t="str">
        <f ca="1">IFERROR(__xludf.DUMMYFUNCTION("VLOOKUP(S74, IMPORTRANGE(""https://docs.google.com/spreadsheets/d/1yDAaXNsi4Mr5FtRQL4tbmSdIzhx6_m4wkOD7IG-k_eo/edit#gid=1336395716"", ""Science!M:N""), 2, FALSE)"),"#N/A")</f>
        <v>#N/A</v>
      </c>
      <c r="U74" s="11">
        <f ca="1">IFERROR(__xludf.DUMMYFUNCTION("ArrayFormula(VLOOKUP(G74, IMPORTRANGE(""https://docs.google.com/spreadsheets/d/1p7R4vtkWt5VOBim4ltsDG9KTzSjrtKXsMtQGXPHyND0/edit#gid=795171502"", ""'Filter 30_05_2024'!A1:M2000""), {2, 3, 4, 5,6,7,8,9,10,11,12,13}, 0))"),6)</f>
        <v>6</v>
      </c>
      <c r="V74" s="11">
        <f ca="1">IFERROR(__xludf.DUMMYFUNCTION("""COMPUTED_VALUE"""),9)</f>
        <v>9</v>
      </c>
      <c r="W74" s="11">
        <f ca="1">IFERROR(__xludf.DUMMYFUNCTION("""COMPUTED_VALUE"""),2)</f>
        <v>2</v>
      </c>
      <c r="X74" s="11">
        <f ca="1">IFERROR(__xludf.DUMMYFUNCTION("""COMPUTED_VALUE"""),17)</f>
        <v>17</v>
      </c>
      <c r="Y74" s="11">
        <f ca="1">IFERROR(__xludf.DUMMYFUNCTION("""COMPUTED_VALUE"""),4)</f>
        <v>4</v>
      </c>
      <c r="Z74" s="12">
        <f ca="1">IFERROR(__xludf.DUMMYFUNCTION("""COMPUTED_VALUE"""),3)</f>
        <v>3</v>
      </c>
      <c r="AA74" s="12">
        <f ca="1">IFERROR(__xludf.DUMMYFUNCTION("""COMPUTED_VALUE"""),3)</f>
        <v>3</v>
      </c>
      <c r="AB74" s="12">
        <f ca="1">IFERROR(__xludf.DUMMYFUNCTION("""COMPUTED_VALUE"""),10)</f>
        <v>10</v>
      </c>
      <c r="AC74" s="12"/>
      <c r="AD74" s="12"/>
      <c r="AE74" s="12"/>
      <c r="AF74" s="12"/>
      <c r="AG74" s="13" t="str">
        <f ca="1">IFERROR(__xludf.DUMMYFUNCTION("ArrayFormula(VLOOKUP(G74, IMPORTRANGE(""https://docs.google.com/spreadsheets/d/1Co934fvtviyaRiMsrIlT05Jaq7iiYq07aLvRr35KA48/edit?gid=173865642#gid=173865642"", ""'G6_Sci Cur_Pri_LU'!G2:V2000""), {3, 4, 5, 6, 7, 8, 9, 10, 11, 12, 13, 14, 15, 16}, 0))"),"LU005933")</f>
        <v>LU005933</v>
      </c>
      <c r="AH74" s="13" t="str">
        <f ca="1">IFERROR(__xludf.DUMMYFUNCTION("""COMPUTED_VALUE"""),"Identification of types of artificial magnets ")</f>
        <v xml:space="preserve">Identification of types of artificial magnets </v>
      </c>
      <c r="AI74" s="13" t="str">
        <f ca="1">IFERROR(__xludf.DUMMYFUNCTION("""COMPUTED_VALUE"""),"LU005161")</f>
        <v>LU005161</v>
      </c>
      <c r="AJ74" s="13" t="str">
        <f ca="1">IFERROR(__xludf.DUMMYFUNCTION("""COMPUTED_VALUE"""),"Magnetic and Non-magnetic material")</f>
        <v>Magnetic and Non-magnetic material</v>
      </c>
      <c r="AK74" s="13"/>
      <c r="AL74" s="13"/>
      <c r="AM74" s="13"/>
      <c r="AN74" s="13"/>
      <c r="AO74" s="13"/>
      <c r="AP74" s="13"/>
      <c r="AQ74" s="13"/>
      <c r="AR74" s="13"/>
      <c r="AS74" s="13"/>
      <c r="AT74" s="13"/>
    </row>
    <row r="75" spans="1:46">
      <c r="A75" s="8" t="s">
        <v>1405</v>
      </c>
      <c r="B75" s="8" t="s">
        <v>47</v>
      </c>
      <c r="C75" s="8" t="s">
        <v>48</v>
      </c>
      <c r="D75" s="8" t="s">
        <v>1510</v>
      </c>
      <c r="E75" s="8" t="s">
        <v>1588</v>
      </c>
      <c r="F75" s="111" t="s">
        <v>1596</v>
      </c>
      <c r="G75" s="107" t="s">
        <v>1599</v>
      </c>
      <c r="H75" s="69" t="s">
        <v>1600</v>
      </c>
      <c r="I75" s="10" t="str">
        <f t="shared" si="0"/>
        <v>LU005935.001</v>
      </c>
      <c r="J75" s="10" t="str">
        <f ca="1">IFERROR(__xludf.DUMMYFUNCTION("VLOOKUP(I75, IMPORTRANGE(""https://docs.google.com/spreadsheets/d/1yDAaXNsi4Mr5FtRQL4tbmSdIzhx6_m4wkOD7IG-k_eo/edit#gid=1336395716"", ""Science!M:N""), 2, FALSE)"),"Default")</f>
        <v>Default</v>
      </c>
      <c r="K75" s="10" t="str">
        <f t="shared" si="1"/>
        <v>LU005935.002</v>
      </c>
      <c r="L75" s="10" t="str">
        <f ca="1">IFERROR(__xludf.DUMMYFUNCTION("VLOOKUP(K75, IMPORTRANGE(""https://docs.google.com/spreadsheets/d/1yDAaXNsi4Mr5FtRQL4tbmSdIzhx6_m4wkOD7IG-k_eo/edit#gid=1336395716"", ""Science!M:N""), 2, FALSE)"),"Describe the distribution of magnetic strength within various types of magnets.")</f>
        <v>Describe the distribution of magnetic strength within various types of magnets.</v>
      </c>
      <c r="M75" s="10" t="str">
        <f t="shared" si="2"/>
        <v>LU005935.003</v>
      </c>
      <c r="N75" s="10" t="str">
        <f ca="1">IFERROR(__xludf.DUMMYFUNCTION("VLOOKUP(M75, IMPORTRANGE(""https://docs.google.com/spreadsheets/d/1yDAaXNsi4Mr5FtRQL4tbmSdIzhx6_m4wkOD7IG-k_eo/edit#gid=1336395716"", ""Science!M:N""), 2, FALSE)"),"Demonstrate an activity to conclude that maximum magnetic strength is at the poles.")</f>
        <v>Demonstrate an activity to conclude that maximum magnetic strength is at the poles.</v>
      </c>
      <c r="O75" s="10" t="str">
        <f t="shared" si="3"/>
        <v>LU005935.004</v>
      </c>
      <c r="P75" s="10" t="str">
        <f ca="1">IFERROR(__xludf.DUMMYFUNCTION("VLOOKUP(O75, IMPORTRANGE(""https://docs.google.com/spreadsheets/d/1yDAaXNsi4Mr5FtRQL4tbmSdIzhx6_m4wkOD7IG-k_eo/edit#gid=1336395716"", ""Science!M:N""), 2, FALSE)"),"Analyze the factors that influence the magnetic strength of magnets, such as size and material.")</f>
        <v>Analyze the factors that influence the magnetic strength of magnets, such as size and material.</v>
      </c>
      <c r="Q75" s="10" t="str">
        <f t="shared" si="4"/>
        <v>LU005935.005</v>
      </c>
      <c r="R75" s="10" t="str">
        <f ca="1">IFERROR(__xludf.DUMMYFUNCTION("VLOOKUP(Q75, IMPORTRANGE(""https://docs.google.com/spreadsheets/d/1yDAaXNsi4Mr5FtRQL4tbmSdIzhx6_m4wkOD7IG-k_eo/edit#gid=1336395716"", ""Science!M:N""), 2, FALSE)"),"Evaluate the implications of magnetic strength distribution on the performance of magnets in specific applications.")</f>
        <v>Evaluate the implications of magnetic strength distribution on the performance of magnets in specific applications.</v>
      </c>
      <c r="S75" s="10" t="str">
        <f t="shared" si="5"/>
        <v>LU005935.006</v>
      </c>
      <c r="T75" s="10" t="str">
        <f ca="1">IFERROR(__xludf.DUMMYFUNCTION("VLOOKUP(S75, IMPORTRANGE(""https://docs.google.com/spreadsheets/d/1yDAaXNsi4Mr5FtRQL4tbmSdIzhx6_m4wkOD7IG-k_eo/edit#gid=1336395716"", ""Science!M:N""), 2, FALSE)"),"#N/A")</f>
        <v>#N/A</v>
      </c>
      <c r="U75" s="11">
        <f ca="1">IFERROR(__xludf.DUMMYFUNCTION("ArrayFormula(VLOOKUP(G75, IMPORTRANGE(""https://docs.google.com/spreadsheets/d/1p7R4vtkWt5VOBim4ltsDG9KTzSjrtKXsMtQGXPHyND0/edit#gid=795171502"", ""'Filter 30_05_2024'!A1:M2000""), {2, 3, 4, 5,6,7,8,9,10,11,12,13}, 0))"),4)</f>
        <v>4</v>
      </c>
      <c r="V75" s="11">
        <f ca="1">IFERROR(__xludf.DUMMYFUNCTION("""COMPUTED_VALUE"""),10)</f>
        <v>10</v>
      </c>
      <c r="W75" s="11">
        <f ca="1">IFERROR(__xludf.DUMMYFUNCTION("""COMPUTED_VALUE"""),2)</f>
        <v>2</v>
      </c>
      <c r="X75" s="11">
        <f ca="1">IFERROR(__xludf.DUMMYFUNCTION("""COMPUTED_VALUE"""),16)</f>
        <v>16</v>
      </c>
      <c r="Y75" s="11">
        <f ca="1">IFERROR(__xludf.DUMMYFUNCTION("""COMPUTED_VALUE"""),4)</f>
        <v>4</v>
      </c>
      <c r="Z75" s="12">
        <f ca="1">IFERROR(__xludf.DUMMYFUNCTION("""COMPUTED_VALUE"""),3)</f>
        <v>3</v>
      </c>
      <c r="AA75" s="12">
        <f ca="1">IFERROR(__xludf.DUMMYFUNCTION("""COMPUTED_VALUE"""),1)</f>
        <v>1</v>
      </c>
      <c r="AB75" s="12">
        <f ca="1">IFERROR(__xludf.DUMMYFUNCTION("""COMPUTED_VALUE"""),8)</f>
        <v>8</v>
      </c>
      <c r="AC75" s="12"/>
      <c r="AD75" s="12"/>
      <c r="AE75" s="12"/>
      <c r="AF75" s="12"/>
      <c r="AG75" s="13" t="str">
        <f ca="1">IFERROR(__xludf.DUMMYFUNCTION("ArrayFormula(VLOOKUP(G75, IMPORTRANGE(""https://docs.google.com/spreadsheets/d/1Co934fvtviyaRiMsrIlT05Jaq7iiYq07aLvRr35KA48/edit?gid=173865642#gid=173865642"", ""'G6_Sci Cur_Pri_LU'!G2:V2000""), {3, 4, 5, 6, 7, 8, 9, 10, 11, 12, 13, 14, 15, 16}, 0))"),"LU005934")</f>
        <v>LU005934</v>
      </c>
      <c r="AH75" s="13" t="str">
        <f ca="1">IFERROR(__xludf.DUMMYFUNCTION("""COMPUTED_VALUE"""),"Identification of poles of different magnets")</f>
        <v>Identification of poles of different magnets</v>
      </c>
      <c r="AI75" s="13" t="str">
        <f ca="1">IFERROR(__xludf.DUMMYFUNCTION("""COMPUTED_VALUE"""),"LU005933")</f>
        <v>LU005933</v>
      </c>
      <c r="AJ75" s="13" t="str">
        <f ca="1">IFERROR(__xludf.DUMMYFUNCTION("""COMPUTED_VALUE"""),"Identification of types of artificial magnets ")</f>
        <v xml:space="preserve">Identification of types of artificial magnets </v>
      </c>
      <c r="AK75" s="13"/>
      <c r="AL75" s="13"/>
      <c r="AM75" s="13"/>
      <c r="AN75" s="13"/>
      <c r="AO75" s="13"/>
      <c r="AP75" s="13"/>
      <c r="AQ75" s="13"/>
      <c r="AR75" s="13"/>
      <c r="AS75" s="13"/>
      <c r="AT75" s="13"/>
    </row>
    <row r="76" spans="1:46">
      <c r="A76" s="8" t="s">
        <v>1405</v>
      </c>
      <c r="B76" s="8" t="s">
        <v>47</v>
      </c>
      <c r="C76" s="8" t="s">
        <v>48</v>
      </c>
      <c r="D76" s="8" t="s">
        <v>1510</v>
      </c>
      <c r="E76" s="8" t="s">
        <v>1588</v>
      </c>
      <c r="F76" s="111" t="s">
        <v>1601</v>
      </c>
      <c r="G76" s="107" t="s">
        <v>1602</v>
      </c>
      <c r="H76" s="69" t="s">
        <v>1601</v>
      </c>
      <c r="I76" s="10" t="str">
        <f t="shared" si="0"/>
        <v>LU005936.001</v>
      </c>
      <c r="J76" s="10" t="str">
        <f ca="1">IFERROR(__xludf.DUMMYFUNCTION("VLOOKUP(I76, IMPORTRANGE(""https://docs.google.com/spreadsheets/d/1yDAaXNsi4Mr5FtRQL4tbmSdIzhx6_m4wkOD7IG-k_eo/edit#gid=1336395716"", ""Science!M:N""), 2, FALSE)"),"Define and explain the concept of the directive property of a bar magnet.")</f>
        <v>Define and explain the concept of the directive property of a bar magnet.</v>
      </c>
      <c r="K76" s="10" t="str">
        <f t="shared" si="1"/>
        <v>LU005936.002</v>
      </c>
      <c r="L76" s="10" t="str">
        <f ca="1">IFERROR(__xludf.DUMMYFUNCTION("VLOOKUP(K76, IMPORTRANGE(""https://docs.google.com/spreadsheets/d/1yDAaXNsi4Mr5FtRQL4tbmSdIzhx6_m4wkOD7IG-k_eo/edit#gid=1336395716"", ""Science!M:N""), 2, FALSE)"),"Describe how a freely suspended bar magnet aligns itself with the Earth's magnetic field.")</f>
        <v>Describe how a freely suspended bar magnet aligns itself with the Earth's magnetic field.</v>
      </c>
      <c r="M76" s="10" t="str">
        <f t="shared" si="2"/>
        <v>LU005936.003</v>
      </c>
      <c r="N76" s="10" t="str">
        <f ca="1">IFERROR(__xludf.DUMMYFUNCTION("VLOOKUP(M76, IMPORTRANGE(""https://docs.google.com/spreadsheets/d/1yDAaXNsi4Mr5FtRQL4tbmSdIzhx6_m4wkOD7IG-k_eo/edit#gid=1336395716"", ""Science!M:N""), 2, FALSE)"),"Analyze the role of the Earth's magnetic field in determining the orientation of a bar magnet.")</f>
        <v>Analyze the role of the Earth's magnetic field in determining the orientation of a bar magnet.</v>
      </c>
      <c r="O76" s="10" t="str">
        <f t="shared" si="3"/>
        <v>LU005936.004</v>
      </c>
      <c r="P76" s="10" t="str">
        <f ca="1">IFERROR(__xludf.DUMMYFUNCTION("VLOOKUP(O76, IMPORTRANGE(""https://docs.google.com/spreadsheets/d/1yDAaXNsi4Mr5FtRQL4tbmSdIzhx6_m4wkOD7IG-k_eo/edit#gid=1336395716"", ""Science!M:N""), 2, FALSE)"),"Explain the practical significance of the directive property in navigation and compass design.")</f>
        <v>Explain the practical significance of the directive property in navigation and compass design.</v>
      </c>
      <c r="Q76" s="10" t="str">
        <f t="shared" si="4"/>
        <v>LU005936.005</v>
      </c>
      <c r="R76" s="10" t="str">
        <f ca="1">IFERROR(__xludf.DUMMYFUNCTION("VLOOKUP(Q76, IMPORTRANGE(""https://docs.google.com/spreadsheets/d/1yDAaXNsi4Mr5FtRQL4tbmSdIzhx6_m4wkOD7IG-k_eo/edit#gid=1336395716"", ""Science!M:N""), 2, FALSE)"),"Evaluate the factors that can affect the effectiveness of a bar magnet as a compass.")</f>
        <v>Evaluate the factors that can affect the effectiveness of a bar magnet as a compass.</v>
      </c>
      <c r="S76" s="10" t="str">
        <f t="shared" si="5"/>
        <v>LU005936.006</v>
      </c>
      <c r="T76" s="10" t="str">
        <f ca="1">IFERROR(__xludf.DUMMYFUNCTION("VLOOKUP(S76, IMPORTRANGE(""https://docs.google.com/spreadsheets/d/1yDAaXNsi4Mr5FtRQL4tbmSdIzhx6_m4wkOD7IG-k_eo/edit#gid=1336395716"", ""Science!M:N""), 2, FALSE)"),"#N/A")</f>
        <v>#N/A</v>
      </c>
      <c r="U76" s="11">
        <f ca="1">IFERROR(__xludf.DUMMYFUNCTION("ArrayFormula(VLOOKUP(G76, IMPORTRANGE(""https://docs.google.com/spreadsheets/d/1p7R4vtkWt5VOBim4ltsDG9KTzSjrtKXsMtQGXPHyND0/edit#gid=795171502"", ""'Filter 30_05_2024'!A1:M2000""), {2, 3, 4, 5,6,7,8,9,10,11,12,13}, 0))"),3)</f>
        <v>3</v>
      </c>
      <c r="V76" s="11">
        <f ca="1">IFERROR(__xludf.DUMMYFUNCTION("""COMPUTED_VALUE"""),6)</f>
        <v>6</v>
      </c>
      <c r="W76" s="11">
        <f ca="1">IFERROR(__xludf.DUMMYFUNCTION("""COMPUTED_VALUE"""),2)</f>
        <v>2</v>
      </c>
      <c r="X76" s="11">
        <f ca="1">IFERROR(__xludf.DUMMYFUNCTION("""COMPUTED_VALUE"""),11)</f>
        <v>11</v>
      </c>
      <c r="Y76" s="11">
        <f ca="1">IFERROR(__xludf.DUMMYFUNCTION("""COMPUTED_VALUE"""),4)</f>
        <v>4</v>
      </c>
      <c r="Z76" s="12">
        <f ca="1">IFERROR(__xludf.DUMMYFUNCTION("""COMPUTED_VALUE"""),1)</f>
        <v>1</v>
      </c>
      <c r="AA76" s="12">
        <f ca="1">IFERROR(__xludf.DUMMYFUNCTION("""COMPUTED_VALUE"""),1)</f>
        <v>1</v>
      </c>
      <c r="AB76" s="12">
        <f ca="1">IFERROR(__xludf.DUMMYFUNCTION("""COMPUTED_VALUE"""),6)</f>
        <v>6</v>
      </c>
      <c r="AC76" s="12"/>
      <c r="AD76" s="12"/>
      <c r="AE76" s="12"/>
      <c r="AF76" s="12"/>
      <c r="AG76" s="13" t="str">
        <f ca="1">IFERROR(__xludf.DUMMYFUNCTION("ArrayFormula(VLOOKUP(G76, IMPORTRANGE(""https://docs.google.com/spreadsheets/d/1Co934fvtviyaRiMsrIlT05Jaq7iiYq07aLvRr35KA48/edit?gid=173865642#gid=173865642"", ""'G6_Sci Cur_Pri_LU'!G2:V2000""), {3, 4, 5, 6, 7, 8, 9, 10, 11, 12, 13, 14, 15, 16}, 0))"),"LU005934")</f>
        <v>LU005934</v>
      </c>
      <c r="AH76" s="13" t="str">
        <f ca="1">IFERROR(__xludf.DUMMYFUNCTION("""COMPUTED_VALUE"""),"Identification of poles of different magnets")</f>
        <v>Identification of poles of different magnets</v>
      </c>
      <c r="AI76" s="13" t="str">
        <f ca="1">IFERROR(__xludf.DUMMYFUNCTION("""COMPUTED_VALUE"""),"LU005933")</f>
        <v>LU005933</v>
      </c>
      <c r="AJ76" s="13" t="str">
        <f ca="1">IFERROR(__xludf.DUMMYFUNCTION("""COMPUTED_VALUE"""),"Identification of types of artificial magnets ")</f>
        <v xml:space="preserve">Identification of types of artificial magnets </v>
      </c>
      <c r="AK76" s="13"/>
      <c r="AL76" s="13"/>
      <c r="AM76" s="13"/>
      <c r="AN76" s="13"/>
      <c r="AO76" s="13"/>
      <c r="AP76" s="13"/>
      <c r="AQ76" s="13"/>
      <c r="AR76" s="13"/>
      <c r="AS76" s="13"/>
      <c r="AT76" s="13"/>
    </row>
    <row r="77" spans="1:46">
      <c r="A77" s="8" t="s">
        <v>1405</v>
      </c>
      <c r="B77" s="8" t="s">
        <v>47</v>
      </c>
      <c r="C77" s="8" t="s">
        <v>48</v>
      </c>
      <c r="D77" s="8" t="s">
        <v>1510</v>
      </c>
      <c r="E77" s="8" t="s">
        <v>1588</v>
      </c>
      <c r="F77" s="111" t="s">
        <v>1601</v>
      </c>
      <c r="G77" s="107" t="s">
        <v>1603</v>
      </c>
      <c r="H77" s="69" t="s">
        <v>1604</v>
      </c>
      <c r="I77" s="10" t="str">
        <f t="shared" si="0"/>
        <v>LU005937.001</v>
      </c>
      <c r="J77" s="10" t="str">
        <f ca="1">IFERROR(__xludf.DUMMYFUNCTION("VLOOKUP(I77, IMPORTRANGE(""https://docs.google.com/spreadsheets/d/1yDAaXNsi4Mr5FtRQL4tbmSdIzhx6_m4wkOD7IG-k_eo/edit#gid=1336395716"", ""Science!M:N""), 2, FALSE)"),"Identify and list the components of a magnetic compass, including the magnetic needle and housing.")</f>
        <v>Identify and list the components of a magnetic compass, including the magnetic needle and housing.</v>
      </c>
      <c r="K77" s="10" t="str">
        <f t="shared" si="1"/>
        <v>LU005937.002</v>
      </c>
      <c r="L77" s="10" t="str">
        <f ca="1">IFERROR(__xludf.DUMMYFUNCTION("VLOOKUP(K77, IMPORTRANGE(""https://docs.google.com/spreadsheets/d/1yDAaXNsi4Mr5FtRQL4tbmSdIzhx6_m4wkOD7IG-k_eo/edit#gid=1336395716"", ""Science!M:N""), 2, FALSE)"),"Explain the principle of operation of a magnetic compass, highlighting the role of the Earth's magnetic field.")</f>
        <v>Explain the principle of operation of a magnetic compass, highlighting the role of the Earth's magnetic field.</v>
      </c>
      <c r="M77" s="10" t="str">
        <f t="shared" si="2"/>
        <v>LU005937.003</v>
      </c>
      <c r="N77" s="10" t="str">
        <f ca="1">IFERROR(__xludf.DUMMYFUNCTION("VLOOKUP(M77, IMPORTRANGE(""https://docs.google.com/spreadsheets/d/1yDAaXNsi4Mr5FtRQL4tbmSdIzhx6_m4wkOD7IG-k_eo/edit#gid=1336395716"", ""Science!M:N""), 2, FALSE)"),"Describe the cardinal directions (north, south, east, west) indicated by a magnetic compass.")</f>
        <v>Describe the cardinal directions (north, south, east, west) indicated by a magnetic compass.</v>
      </c>
      <c r="O77" s="10" t="str">
        <f t="shared" si="3"/>
        <v>LU005937.004</v>
      </c>
      <c r="P77" s="10" t="str">
        <f ca="1">IFERROR(__xludf.DUMMYFUNCTION("VLOOKUP(O77, IMPORTRANGE(""https://docs.google.com/spreadsheets/d/1yDAaXNsi4Mr5FtRQL4tbmSdIzhx6_m4wkOD7IG-k_eo/edit#gid=1336395716"", ""Science!M:N""), 2, FALSE)"),"Analyze the various applications of magnetic compasses in navigation, orientation, and map reading.")</f>
        <v>Analyze the various applications of magnetic compasses in navigation, orientation, and map reading.</v>
      </c>
      <c r="Q77" s="10" t="str">
        <f t="shared" si="4"/>
        <v>LU005937.005</v>
      </c>
      <c r="R77" s="10" t="str">
        <f ca="1">IFERROR(__xludf.DUMMYFUNCTION("VLOOKUP(Q77, IMPORTRANGE(""https://docs.google.com/spreadsheets/d/1yDAaXNsi4Mr5FtRQL4tbmSdIzhx6_m4wkOD7IG-k_eo/edit#gid=1336395716"", ""Science!M:N""), 2, FALSE)"),"Evaluate the importance of using a magnetic compass in outdoor activities and maritime navigation.")</f>
        <v>Evaluate the importance of using a magnetic compass in outdoor activities and maritime navigation.</v>
      </c>
      <c r="S77" s="10" t="str">
        <f t="shared" si="5"/>
        <v>LU005937.006</v>
      </c>
      <c r="T77" s="10" t="str">
        <f ca="1">IFERROR(__xludf.DUMMYFUNCTION("VLOOKUP(S77, IMPORTRANGE(""https://docs.google.com/spreadsheets/d/1yDAaXNsi4Mr5FtRQL4tbmSdIzhx6_m4wkOD7IG-k_eo/edit#gid=1336395716"", ""Science!M:N""), 2, FALSE)"),"#N/A")</f>
        <v>#N/A</v>
      </c>
      <c r="U77" s="11">
        <f ca="1">IFERROR(__xludf.DUMMYFUNCTION("ArrayFormula(VLOOKUP(G77, IMPORTRANGE(""https://docs.google.com/spreadsheets/d/1p7R4vtkWt5VOBim4ltsDG9KTzSjrtKXsMtQGXPHyND0/edit#gid=795171502"", ""'Filter 30_05_2024'!A1:M2000""), {2, 3, 4, 5,6,7,8,9,10,11,12,13}, 0))"),7)</f>
        <v>7</v>
      </c>
      <c r="V77" s="11">
        <f ca="1">IFERROR(__xludf.DUMMYFUNCTION("""COMPUTED_VALUE"""),2)</f>
        <v>2</v>
      </c>
      <c r="W77" s="11">
        <f ca="1">IFERROR(__xludf.DUMMYFUNCTION("""COMPUTED_VALUE"""),2)</f>
        <v>2</v>
      </c>
      <c r="X77" s="11">
        <f ca="1">IFERROR(__xludf.DUMMYFUNCTION("""COMPUTED_VALUE"""),11)</f>
        <v>11</v>
      </c>
      <c r="Y77" s="11">
        <f ca="1">IFERROR(__xludf.DUMMYFUNCTION("""COMPUTED_VALUE"""),4)</f>
        <v>4</v>
      </c>
      <c r="Z77" s="12">
        <f ca="1">IFERROR(__xludf.DUMMYFUNCTION("""COMPUTED_VALUE"""),3)</f>
        <v>3</v>
      </c>
      <c r="AA77" s="12">
        <f ca="1">IFERROR(__xludf.DUMMYFUNCTION("""COMPUTED_VALUE"""),1)</f>
        <v>1</v>
      </c>
      <c r="AB77" s="12">
        <f ca="1">IFERROR(__xludf.DUMMYFUNCTION("""COMPUTED_VALUE"""),8)</f>
        <v>8</v>
      </c>
      <c r="AC77" s="12">
        <f ca="1">IFERROR(__xludf.DUMMYFUNCTION("""COMPUTED_VALUE"""),1)</f>
        <v>1</v>
      </c>
      <c r="AD77" s="12"/>
      <c r="AE77" s="12"/>
      <c r="AF77" s="12">
        <f ca="1">IFERROR(__xludf.DUMMYFUNCTION("""COMPUTED_VALUE"""),1)</f>
        <v>1</v>
      </c>
      <c r="AG77" s="13" t="str">
        <f ca="1">IFERROR(__xludf.DUMMYFUNCTION("ArrayFormula(VLOOKUP(G77, IMPORTRANGE(""https://docs.google.com/spreadsheets/d/1Co934fvtviyaRiMsrIlT05Jaq7iiYq07aLvRr35KA48/edit?gid=173865642#gid=173865642"", ""'G6_Sci Cur_Pri_LU'!G2:V2000""), {3, 4, 5, 6, 7, 8, 9, 10, 11, 12, 13, 14, 15, 16}, 0))"),"LU005936")</f>
        <v>LU005936</v>
      </c>
      <c r="AH77" s="13" t="str">
        <f ca="1">IFERROR(__xludf.DUMMYFUNCTION("""COMPUTED_VALUE"""),"Directive Property of a Bar Magnet")</f>
        <v>Directive Property of a Bar Magnet</v>
      </c>
      <c r="AI77" s="13" t="str">
        <f ca="1">IFERROR(__xludf.DUMMYFUNCTION("""COMPUTED_VALUE"""),"LU005934")</f>
        <v>LU005934</v>
      </c>
      <c r="AJ77" s="13" t="str">
        <f ca="1">IFERROR(__xludf.DUMMYFUNCTION("""COMPUTED_VALUE"""),"Identification of poles of different magnets")</f>
        <v>Identification of poles of different magnets</v>
      </c>
      <c r="AK77" s="13" t="str">
        <f ca="1">IFERROR(__xludf.DUMMYFUNCTION("""COMPUTED_VALUE"""),"LU005933")</f>
        <v>LU005933</v>
      </c>
      <c r="AL77" s="13" t="str">
        <f ca="1">IFERROR(__xludf.DUMMYFUNCTION("""COMPUTED_VALUE"""),"Identification of types of artificial magnets ")</f>
        <v xml:space="preserve">Identification of types of artificial magnets </v>
      </c>
      <c r="AM77" s="13"/>
      <c r="AN77" s="13"/>
      <c r="AO77" s="13"/>
      <c r="AP77" s="13"/>
      <c r="AQ77" s="13"/>
      <c r="AR77" s="13"/>
      <c r="AS77" s="13"/>
      <c r="AT77" s="13"/>
    </row>
    <row r="78" spans="1:46">
      <c r="A78" s="8" t="s">
        <v>1405</v>
      </c>
      <c r="B78" s="8" t="s">
        <v>47</v>
      </c>
      <c r="C78" s="8" t="s">
        <v>48</v>
      </c>
      <c r="D78" s="8" t="s">
        <v>1510</v>
      </c>
      <c r="E78" s="8" t="s">
        <v>1588</v>
      </c>
      <c r="F78" s="111" t="s">
        <v>1605</v>
      </c>
      <c r="G78" s="107" t="s">
        <v>1606</v>
      </c>
      <c r="H78" s="69" t="s">
        <v>1607</v>
      </c>
      <c r="I78" s="10" t="str">
        <f t="shared" si="0"/>
        <v>LU005160.001</v>
      </c>
      <c r="J78" s="10" t="str">
        <f ca="1">IFERROR(__xludf.DUMMYFUNCTION("VLOOKUP(I78, IMPORTRANGE(""https://docs.google.com/spreadsheets/d/1yDAaXNsi4Mr5FtRQL4tbmSdIzhx6_m4wkOD7IG-k_eo/edit#gid=1336395716"", ""Science!M:N""), 2, FALSE)"),"Define the term ""permanent"" and ""temporary"" magnets.")</f>
        <v>Define the term "permanent" and "temporary" magnets.</v>
      </c>
      <c r="K78" s="10" t="str">
        <f t="shared" si="1"/>
        <v>LU005160.002</v>
      </c>
      <c r="L78" s="10" t="str">
        <f ca="1">IFERROR(__xludf.DUMMYFUNCTION("VLOOKUP(K78, IMPORTRANGE(""https://docs.google.com/spreadsheets/d/1yDAaXNsi4Mr5FtRQL4tbmSdIzhx6_m4wkOD7IG-k_eo/edit#gid=1336395716"", ""Science!M:N""), 2, FALSE)"),"Explain the differences between permanent and temporary magnets in terms of magnetic strength and longevity.")</f>
        <v>Explain the differences between permanent and temporary magnets in terms of magnetic strength and longevity.</v>
      </c>
      <c r="M78" s="10" t="str">
        <f t="shared" si="2"/>
        <v>LU005160.003</v>
      </c>
      <c r="N78" s="10" t="str">
        <f ca="1">IFERROR(__xludf.DUMMYFUNCTION("VLOOKUP(M78, IMPORTRANGE(""https://docs.google.com/spreadsheets/d/1yDAaXNsi4Mr5FtRQL4tbmSdIzhx6_m4wkOD7IG-k_eo/edit#gid=1336395716"", ""Science!M:N""), 2, FALSE)"),"Demonstrate the creation of a temporary magnet using an iron nail and a permanent magnet.")</f>
        <v>Demonstrate the creation of a temporary magnet using an iron nail and a permanent magnet.</v>
      </c>
      <c r="O78" s="10" t="str">
        <f t="shared" si="3"/>
        <v>LU005160.004</v>
      </c>
      <c r="P78" s="10" t="str">
        <f ca="1">IFERROR(__xludf.DUMMYFUNCTION("VLOOKUP(O78, IMPORTRANGE(""https://docs.google.com/spreadsheets/d/1yDAaXNsi4Mr5FtRQL4tbmSdIzhx6_m4wkOD7IG-k_eo/edit#gid=1336395716"", ""Science!M:N""), 2, FALSE)"),"#N/A")</f>
        <v>#N/A</v>
      </c>
      <c r="Q78" s="10" t="str">
        <f t="shared" si="4"/>
        <v>LU005160.005</v>
      </c>
      <c r="R78" s="10" t="str">
        <f ca="1">IFERROR(__xludf.DUMMYFUNCTION("VLOOKUP(Q78, IMPORTRANGE(""https://docs.google.com/spreadsheets/d/1yDAaXNsi4Mr5FtRQL4tbmSdIzhx6_m4wkOD7IG-k_eo/edit#gid=1336395716"", ""Science!M:N""), 2, FALSE)"),"Judge when it would be more appropriate to use a permanent magnet over a temporary one in practical scenarios.")</f>
        <v>Judge when it would be more appropriate to use a permanent magnet over a temporary one in practical scenarios.</v>
      </c>
      <c r="S78" s="10" t="str">
        <f t="shared" si="5"/>
        <v>LU005160.006</v>
      </c>
      <c r="T78" s="10" t="str">
        <f ca="1">IFERROR(__xludf.DUMMYFUNCTION("VLOOKUP(S78, IMPORTRANGE(""https://docs.google.com/spreadsheets/d/1yDAaXNsi4Mr5FtRQL4tbmSdIzhx6_m4wkOD7IG-k_eo/edit#gid=1336395716"", ""Science!M:N""), 2, FALSE)"),"#N/A")</f>
        <v>#N/A</v>
      </c>
      <c r="U78" s="11">
        <f ca="1">IFERROR(__xludf.DUMMYFUNCTION("ArrayFormula(VLOOKUP(G78, IMPORTRANGE(""https://docs.google.com/spreadsheets/d/1p7R4vtkWt5VOBim4ltsDG9KTzSjrtKXsMtQGXPHyND0/edit#gid=795171502"", ""'Filter 30_05_2024'!A1:M2000""), {2, 3, 4, 5,6,7,8,9,10,11,12,13}, 0))"),4)</f>
        <v>4</v>
      </c>
      <c r="V78" s="11">
        <f ca="1">IFERROR(__xludf.DUMMYFUNCTION("""COMPUTED_VALUE"""),6)</f>
        <v>6</v>
      </c>
      <c r="W78" s="11">
        <f ca="1">IFERROR(__xludf.DUMMYFUNCTION("""COMPUTED_VALUE"""),2)</f>
        <v>2</v>
      </c>
      <c r="X78" s="11">
        <f ca="1">IFERROR(__xludf.DUMMYFUNCTION("""COMPUTED_VALUE"""),12)</f>
        <v>12</v>
      </c>
      <c r="Y78" s="11">
        <f ca="1">IFERROR(__xludf.DUMMYFUNCTION("""COMPUTED_VALUE"""),5)</f>
        <v>5</v>
      </c>
      <c r="Z78" s="12">
        <f ca="1">IFERROR(__xludf.DUMMYFUNCTION("""COMPUTED_VALUE"""),3)</f>
        <v>3</v>
      </c>
      <c r="AA78" s="12">
        <f ca="1">IFERROR(__xludf.DUMMYFUNCTION("""COMPUTED_VALUE"""),1)</f>
        <v>1</v>
      </c>
      <c r="AB78" s="12">
        <f ca="1">IFERROR(__xludf.DUMMYFUNCTION("""COMPUTED_VALUE"""),9)</f>
        <v>9</v>
      </c>
      <c r="AC78" s="12"/>
      <c r="AD78" s="12"/>
      <c r="AE78" s="12"/>
      <c r="AF78" s="12"/>
      <c r="AG78" s="13" t="str">
        <f ca="1">IFERROR(__xludf.DUMMYFUNCTION("ArrayFormula(VLOOKUP(G78, IMPORTRANGE(""https://docs.google.com/spreadsheets/d/1Co934fvtviyaRiMsrIlT05Jaq7iiYq07aLvRr35KA48/edit?gid=173865642#gid=173865642"", ""'G6_Sci Cur_Pri_LU'!G2:V2000""), {3, 4, 5, 6, 7, 8, 9, 10, 11, 12, 13, 14, 15, 16}, 0))"),"LU005161")</f>
        <v>LU005161</v>
      </c>
      <c r="AH78" s="13" t="str">
        <f ca="1">IFERROR(__xludf.DUMMYFUNCTION("""COMPUTED_VALUE"""),"Magnetic and Non-magnetic material")</f>
        <v>Magnetic and Non-magnetic material</v>
      </c>
      <c r="AI78" s="13" t="str">
        <f ca="1">IFERROR(__xludf.DUMMYFUNCTION("""COMPUTED_VALUE"""),"LU005933")</f>
        <v>LU005933</v>
      </c>
      <c r="AJ78" s="13" t="str">
        <f ca="1">IFERROR(__xludf.DUMMYFUNCTION("""COMPUTED_VALUE"""),"Identification of types of artificial magnets ")</f>
        <v xml:space="preserve">Identification of types of artificial magnets </v>
      </c>
      <c r="AK78" s="13"/>
      <c r="AL78" s="13"/>
      <c r="AM78" s="13"/>
      <c r="AN78" s="13"/>
      <c r="AO78" s="13"/>
      <c r="AP78" s="13"/>
      <c r="AQ78" s="13"/>
      <c r="AR78" s="13"/>
      <c r="AS78" s="13"/>
      <c r="AT78" s="13"/>
    </row>
    <row r="79" spans="1:46">
      <c r="A79" s="8" t="s">
        <v>1405</v>
      </c>
      <c r="B79" s="8" t="s">
        <v>47</v>
      </c>
      <c r="C79" s="8" t="s">
        <v>48</v>
      </c>
      <c r="D79" s="8" t="s">
        <v>1510</v>
      </c>
      <c r="E79" s="8" t="s">
        <v>1588</v>
      </c>
      <c r="F79" s="111" t="s">
        <v>1608</v>
      </c>
      <c r="G79" s="107" t="s">
        <v>1609</v>
      </c>
      <c r="H79" s="69" t="s">
        <v>1610</v>
      </c>
      <c r="I79" s="10" t="str">
        <f t="shared" si="0"/>
        <v>LU005159.001</v>
      </c>
      <c r="J79" s="10" t="str">
        <f ca="1">IFERROR(__xludf.DUMMYFUNCTION("VLOOKUP(I79, IMPORTRANGE(""https://docs.google.com/spreadsheets/d/1yDAaXNsi4Mr5FtRQL4tbmSdIzhx6_m4wkOD7IG-k_eo/edit#gid=1336395716"", ""Science!M:N""), 2, FALSE)"),"State the fundamental laws of how magnets interact (like poles repel and unlike poles attract).")</f>
        <v>State the fundamental laws of how magnets interact (like poles repel and unlike poles attract).</v>
      </c>
      <c r="K79" s="10" t="str">
        <f t="shared" si="1"/>
        <v>LU005159.002</v>
      </c>
      <c r="L79" s="10" t="str">
        <f ca="1">IFERROR(__xludf.DUMMYFUNCTION("VLOOKUP(K79, IMPORTRANGE(""https://docs.google.com/spreadsheets/d/1yDAaXNsi4Mr5FtRQL4tbmSdIzhx6_m4wkOD7IG-k_eo/edit#gid=1336395716"", ""Science!M:N""), 2, FALSE)"),"Describe the behavior of magnets when different poles are brought close to each other.")</f>
        <v>Describe the behavior of magnets when different poles are brought close to each other.</v>
      </c>
      <c r="M79" s="10" t="str">
        <f t="shared" si="2"/>
        <v>LU005159.003</v>
      </c>
      <c r="N79" s="10" t="str">
        <f ca="1">IFERROR(__xludf.DUMMYFUNCTION("VLOOKUP(M79, IMPORTRANGE(""https://docs.google.com/spreadsheets/d/1yDAaXNsi4Mr5FtRQL4tbmSdIzhx6_m4wkOD7IG-k_eo/edit#gid=1336395716"", ""Science!M:N""), 2, FALSE)"),"Demonstrate the repulsion and attraction between different poles of magnets using a simple experiment.")</f>
        <v>Demonstrate the repulsion and attraction between different poles of magnets using a simple experiment.</v>
      </c>
      <c r="O79" s="10" t="str">
        <f t="shared" si="3"/>
        <v>LU005159.004</v>
      </c>
      <c r="P79" s="10" t="str">
        <f ca="1">IFERROR(__xludf.DUMMYFUNCTION("VLOOKUP(O79, IMPORTRANGE(""https://docs.google.com/spreadsheets/d/1yDAaXNsi4Mr5FtRQL4tbmSdIzhx6_m4wkOD7IG-k_eo/edit#gid=1336395716"", ""Science!M:N""), 2, FALSE)"),"Compare the strength of interaction when different types and sizes of magnets are used.")</f>
        <v>Compare the strength of interaction when different types and sizes of magnets are used.</v>
      </c>
      <c r="Q79" s="10" t="str">
        <f t="shared" si="4"/>
        <v>LU005159.005</v>
      </c>
      <c r="R79" s="10" t="str">
        <f ca="1">IFERROR(__xludf.DUMMYFUNCTION("VLOOKUP(Q79, IMPORTRANGE(""https://docs.google.com/spreadsheets/d/1yDAaXNsi4Mr5FtRQL4tbmSdIzhx6_m4wkOD7IG-k_eo/edit#gid=1336395716"", ""Science!M:N""), 2, FALSE)"),"#N/A")</f>
        <v>#N/A</v>
      </c>
      <c r="S79" s="10" t="str">
        <f t="shared" si="5"/>
        <v>LU005159.006</v>
      </c>
      <c r="T79" s="10" t="str">
        <f ca="1">IFERROR(__xludf.DUMMYFUNCTION("VLOOKUP(S79, IMPORTRANGE(""https://docs.google.com/spreadsheets/d/1yDAaXNsi4Mr5FtRQL4tbmSdIzhx6_m4wkOD7IG-k_eo/edit#gid=1336395716"", ""Science!M:N""), 2, FALSE)"),"Devise a simple game or activity that uses the principles of magnetic interaction.")</f>
        <v>Devise a simple game or activity that uses the principles of magnetic interaction.</v>
      </c>
      <c r="U79" s="11">
        <f ca="1">IFERROR(__xludf.DUMMYFUNCTION("ArrayFormula(VLOOKUP(G79, IMPORTRANGE(""https://docs.google.com/spreadsheets/d/1p7R4vtkWt5VOBim4ltsDG9KTzSjrtKXsMtQGXPHyND0/edit#gid=795171502"", ""'Filter 30_05_2024'!A1:M2000""), {2, 3, 4, 5,6,7,8,9,10,11,12,13}, 0))"),7)</f>
        <v>7</v>
      </c>
      <c r="V79" s="11">
        <f ca="1">IFERROR(__xludf.DUMMYFUNCTION("""COMPUTED_VALUE"""),15)</f>
        <v>15</v>
      </c>
      <c r="W79" s="11">
        <f ca="1">IFERROR(__xludf.DUMMYFUNCTION("""COMPUTED_VALUE"""),3)</f>
        <v>3</v>
      </c>
      <c r="X79" s="11">
        <f ca="1">IFERROR(__xludf.DUMMYFUNCTION("""COMPUTED_VALUE"""),25)</f>
        <v>25</v>
      </c>
      <c r="Y79" s="11">
        <f ca="1">IFERROR(__xludf.DUMMYFUNCTION("""COMPUTED_VALUE"""),6)</f>
        <v>6</v>
      </c>
      <c r="Z79" s="12">
        <f ca="1">IFERROR(__xludf.DUMMYFUNCTION("""COMPUTED_VALUE"""),6)</f>
        <v>6</v>
      </c>
      <c r="AA79" s="12">
        <f ca="1">IFERROR(__xludf.DUMMYFUNCTION("""COMPUTED_VALUE"""),1)</f>
        <v>1</v>
      </c>
      <c r="AB79" s="12">
        <f ca="1">IFERROR(__xludf.DUMMYFUNCTION("""COMPUTED_VALUE"""),13)</f>
        <v>13</v>
      </c>
      <c r="AC79" s="12"/>
      <c r="AD79" s="12"/>
      <c r="AE79" s="12"/>
      <c r="AF79" s="12"/>
      <c r="AG79" s="13" t="str">
        <f ca="1">IFERROR(__xludf.DUMMYFUNCTION("ArrayFormula(VLOOKUP(G79, IMPORTRANGE(""https://docs.google.com/spreadsheets/d/1Co934fvtviyaRiMsrIlT05Jaq7iiYq07aLvRr35KA48/edit?gid=173865642#gid=173865642"", ""'G6_Sci Cur_Pri_LU'!G2:V2000""), {3, 4, 5, 6, 7, 8, 9, 10, 11, 12, 13, 14, 15, 16}, 0))"),"LU005934")</f>
        <v>LU005934</v>
      </c>
      <c r="AH79" s="13" t="str">
        <f ca="1">IFERROR(__xludf.DUMMYFUNCTION("""COMPUTED_VALUE"""),"Identification of poles of different magnets")</f>
        <v>Identification of poles of different magnets</v>
      </c>
      <c r="AI79" s="13" t="str">
        <f ca="1">IFERROR(__xludf.DUMMYFUNCTION("""COMPUTED_VALUE"""),"LU005935")</f>
        <v>LU005935</v>
      </c>
      <c r="AJ79" s="13" t="str">
        <f ca="1">IFERROR(__xludf.DUMMYFUNCTION("""COMPUTED_VALUE"""),"Distribution of magnetic strength in different magnets ")</f>
        <v xml:space="preserve">Distribution of magnetic strength in different magnets </v>
      </c>
      <c r="AK79" s="13"/>
      <c r="AL79" s="13"/>
      <c r="AM79" s="13"/>
      <c r="AN79" s="13"/>
      <c r="AO79" s="13"/>
      <c r="AP79" s="13"/>
      <c r="AQ79" s="13"/>
      <c r="AR79" s="13"/>
      <c r="AS79" s="13"/>
      <c r="AT79" s="13"/>
    </row>
    <row r="80" spans="1:46">
      <c r="A80" s="8" t="s">
        <v>1405</v>
      </c>
      <c r="B80" s="8" t="s">
        <v>47</v>
      </c>
      <c r="C80" s="8" t="s">
        <v>48</v>
      </c>
      <c r="D80" s="8" t="s">
        <v>1510</v>
      </c>
      <c r="E80" s="8" t="s">
        <v>1588</v>
      </c>
      <c r="F80" s="111" t="s">
        <v>1611</v>
      </c>
      <c r="G80" s="10" t="s">
        <v>1612</v>
      </c>
      <c r="H80" s="69" t="s">
        <v>1613</v>
      </c>
      <c r="I80" s="10" t="str">
        <f t="shared" si="0"/>
        <v>LU006409.001</v>
      </c>
      <c r="J80" s="10" t="str">
        <f ca="1">IFERROR(__xludf.DUMMYFUNCTION("VLOOKUP(I80, IMPORTRANGE(""https://docs.google.com/spreadsheets/d/1yDAaXNsi4Mr5FtRQL4tbmSdIzhx6_m4wkOD7IG-k_eo/edit#gid=1336395716"", ""Science!M:N""), 2, FALSE)"),"State the effects of a magnet on various objects when separated by different non-magnetic materials.")</f>
        <v>State the effects of a magnet on various objects when separated by different non-magnetic materials.</v>
      </c>
      <c r="K80" s="10" t="str">
        <f t="shared" si="1"/>
        <v>LU006409.002</v>
      </c>
      <c r="L80" s="10" t="str">
        <f ca="1">IFERROR(__xludf.DUMMYFUNCTION("VLOOKUP(K80, IMPORTRANGE(""https://docs.google.com/spreadsheets/d/1yDAaXNsi4Mr5FtRQL4tbmSdIzhx6_m4wkOD7IG-k_eo/edit#gid=1336395716"", ""Science!M:N""), 2, FALSE)"),"Explain how magnetic fields can interact with objects through non-magnetic materials.")</f>
        <v>Explain how magnetic fields can interact with objects through non-magnetic materials.</v>
      </c>
      <c r="M80" s="10" t="str">
        <f t="shared" si="2"/>
        <v>LU006409.003</v>
      </c>
      <c r="N80" s="10" t="str">
        <f ca="1">IFERROR(__xludf.DUMMYFUNCTION("VLOOKUP(M80, IMPORTRANGE(""https://docs.google.com/spreadsheets/d/1yDAaXNsi4Mr5FtRQL4tbmSdIzhx6_m4wkOD7IG-k_eo/edit#gid=1336395716"", ""Science!M:N""), 2, FALSE)"),"Demonstrate the effects of a magnet on various objects when separated by different non-magnetic materials.")</f>
        <v>Demonstrate the effects of a magnet on various objects when separated by different non-magnetic materials.</v>
      </c>
      <c r="O80" s="10" t="str">
        <f t="shared" si="3"/>
        <v>LU006409.004</v>
      </c>
      <c r="P80" s="10" t="str">
        <f ca="1">IFERROR(__xludf.DUMMYFUNCTION("VLOOKUP(O80, IMPORTRANGE(""https://docs.google.com/spreadsheets/d/1yDAaXNsi4Mr5FtRQL4tbmSdIzhx6_m4wkOD7IG-k_eo/edit#gid=1336395716"", ""Science!M:N""), 2, FALSE)"),"Compare and contrast the effectiveness of different non-magnetic materials in allowing magnetic effects to pass through.")</f>
        <v>Compare and contrast the effectiveness of different non-magnetic materials in allowing magnetic effects to pass through.</v>
      </c>
      <c r="Q80" s="10" t="str">
        <f t="shared" si="4"/>
        <v>LU006409.005</v>
      </c>
      <c r="R80" s="10" t="str">
        <f ca="1">IFERROR(__xludf.DUMMYFUNCTION("VLOOKUP(Q80, IMPORTRANGE(""https://docs.google.com/spreadsheets/d/1yDAaXNsi4Mr5FtRQL4tbmSdIzhx6_m4wkOD7IG-k_eo/edit#gid=1336395716"", ""Science!M:N""), 2, FALSE)"),"Assess the strength of magnetic interactions through various non-magnetic materials and determine the factors affecting these interactions.")</f>
        <v>Assess the strength of magnetic interactions through various non-magnetic materials and determine the factors affecting these interactions.</v>
      </c>
      <c r="S80" s="10" t="str">
        <f t="shared" si="5"/>
        <v>LU006409.006</v>
      </c>
      <c r="T80" s="10" t="str">
        <f ca="1">IFERROR(__xludf.DUMMYFUNCTION("VLOOKUP(S80, IMPORTRANGE(""https://docs.google.com/spreadsheets/d/1yDAaXNsi4Mr5FtRQL4tbmSdIzhx6_m4wkOD7IG-k_eo/edit#gid=1336395716"", ""Science!M:N""), 2, FALSE)"),"Design an experiment to test the hypothesis about the influence of thickness and type of non-magnetic materials on the strength of magnetic effects observed through them.")</f>
        <v>Design an experiment to test the hypothesis about the influence of thickness and type of non-magnetic materials on the strength of magnetic effects observed through them.</v>
      </c>
      <c r="U80" s="11">
        <f ca="1">IFERROR(__xludf.DUMMYFUNCTION("ArrayFormula(VLOOKUP(G80, IMPORTRANGE(""https://docs.google.com/spreadsheets/d/1p7R4vtkWt5VOBim4ltsDG9KTzSjrtKXsMtQGXPHyND0/edit#gid=795171502"", ""'Filter 30_05_2024'!A1:M2000""), {2, 3, 4, 5,6,7,8,9,10,11,12,13}, 0))"),4)</f>
        <v>4</v>
      </c>
      <c r="V80" s="11">
        <f ca="1">IFERROR(__xludf.DUMMYFUNCTION("""COMPUTED_VALUE"""),6)</f>
        <v>6</v>
      </c>
      <c r="W80" s="11">
        <f ca="1">IFERROR(__xludf.DUMMYFUNCTION("""COMPUTED_VALUE"""),2)</f>
        <v>2</v>
      </c>
      <c r="X80" s="11">
        <f ca="1">IFERROR(__xludf.DUMMYFUNCTION("""COMPUTED_VALUE"""),12)</f>
        <v>12</v>
      </c>
      <c r="Y80" s="11">
        <f ca="1">IFERROR(__xludf.DUMMYFUNCTION("""COMPUTED_VALUE"""),4)</f>
        <v>4</v>
      </c>
      <c r="Z80" s="12">
        <f ca="1">IFERROR(__xludf.DUMMYFUNCTION("""COMPUTED_VALUE"""),3)</f>
        <v>3</v>
      </c>
      <c r="AA80" s="12">
        <f ca="1">IFERROR(__xludf.DUMMYFUNCTION("""COMPUTED_VALUE"""),1)</f>
        <v>1</v>
      </c>
      <c r="AB80" s="12">
        <f ca="1">IFERROR(__xludf.DUMMYFUNCTION("""COMPUTED_VALUE"""),8)</f>
        <v>8</v>
      </c>
      <c r="AC80" s="12"/>
      <c r="AD80" s="12"/>
      <c r="AE80" s="12"/>
      <c r="AF80" s="12"/>
      <c r="AG80" s="13" t="str">
        <f ca="1">IFERROR(__xludf.DUMMYFUNCTION("ArrayFormula(VLOOKUP(G80, IMPORTRANGE(""https://docs.google.com/spreadsheets/d/1Co934fvtviyaRiMsrIlT05Jaq7iiYq07aLvRr35KA48/edit?gid=173865642#gid=173865642"", ""'G6_Sci Cur_Pri_LU'!G2:V2000""), {3, 4, 5, 6, 7, 8, 9, 10, 11, 12, 13, 14, 15, 16}, 0))"),"LU005161")</f>
        <v>LU005161</v>
      </c>
      <c r="AH80" s="13" t="str">
        <f ca="1">IFERROR(__xludf.DUMMYFUNCTION("""COMPUTED_VALUE"""),"Magnetic and Non-magnetic material")</f>
        <v>Magnetic and Non-magnetic material</v>
      </c>
      <c r="AI80" s="13" t="str">
        <f ca="1">IFERROR(__xludf.DUMMYFUNCTION("""COMPUTED_VALUE"""),"LU005159")</f>
        <v>LU005159</v>
      </c>
      <c r="AJ80" s="13" t="str">
        <f ca="1">IFERROR(__xludf.DUMMYFUNCTION("""COMPUTED_VALUE"""),"Interaction between magnets")</f>
        <v>Interaction between magnets</v>
      </c>
      <c r="AK80" s="13"/>
      <c r="AL80" s="13"/>
      <c r="AM80" s="13"/>
      <c r="AN80" s="13"/>
      <c r="AO80" s="13"/>
      <c r="AP80" s="13"/>
      <c r="AQ80" s="13"/>
      <c r="AR80" s="13"/>
      <c r="AS80" s="13"/>
      <c r="AT80" s="13"/>
    </row>
    <row r="81" spans="1:46">
      <c r="A81" s="8" t="s">
        <v>1405</v>
      </c>
      <c r="B81" s="8" t="s">
        <v>47</v>
      </c>
      <c r="C81" s="8" t="s">
        <v>48</v>
      </c>
      <c r="D81" s="8" t="s">
        <v>1510</v>
      </c>
      <c r="E81" s="8" t="s">
        <v>1588</v>
      </c>
      <c r="F81" s="111" t="s">
        <v>1611</v>
      </c>
      <c r="G81" s="107" t="s">
        <v>1614</v>
      </c>
      <c r="H81" s="66" t="s">
        <v>1615</v>
      </c>
      <c r="I81" s="10" t="str">
        <f t="shared" si="0"/>
        <v>LU005157.001</v>
      </c>
      <c r="J81" s="10" t="str">
        <f ca="1">IFERROR(__xludf.DUMMYFUNCTION("VLOOKUP(I81, IMPORTRANGE(""https://docs.google.com/spreadsheets/d/1yDAaXNsi4Mr5FtRQL4tbmSdIzhx6_m4wkOD7IG-k_eo/edit#gid=1336395716"", ""Science!M:N""), 2, FALSE)"),"Identify the correct ways to store magnets.")</f>
        <v>Identify the correct ways to store magnets.</v>
      </c>
      <c r="K81" s="10" t="str">
        <f t="shared" si="1"/>
        <v>LU005157.002</v>
      </c>
      <c r="L81" s="10" t="str">
        <f ca="1">IFERROR(__xludf.DUMMYFUNCTION("VLOOKUP(K81, IMPORTRANGE(""https://docs.google.com/spreadsheets/d/1yDAaXNsi4Mr5FtRQL4tbmSdIzhx6_m4wkOD7IG-k_eo/edit#gid=1336395716"", ""Science!M:N""), 2, FALSE)"),"Explain the factors that can cause a magnet to lose its magnetic properties.")</f>
        <v>Explain the factors that can cause a magnet to lose its magnetic properties.</v>
      </c>
      <c r="M81" s="10" t="str">
        <f t="shared" si="2"/>
        <v>LU005157.003</v>
      </c>
      <c r="N81" s="10" t="str">
        <f ca="1">IFERROR(__xludf.DUMMYFUNCTION("VLOOKUP(M81, IMPORTRANGE(""https://docs.google.com/spreadsheets/d/1yDAaXNsi4Mr5FtRQL4tbmSdIzhx6_m4wkOD7IG-k_eo/edit#gid=1336395716"", ""Science!M:N""), 2, FALSE)"),"Implement proper storage techniques for different types of magnets.")</f>
        <v>Implement proper storage techniques for different types of magnets.</v>
      </c>
      <c r="O81" s="10" t="str">
        <f t="shared" si="3"/>
        <v>LU005157.004</v>
      </c>
      <c r="P81" s="10" t="str">
        <f ca="1">IFERROR(__xludf.DUMMYFUNCTION("VLOOKUP(O81, IMPORTRANGE(""https://docs.google.com/spreadsheets/d/1yDAaXNsi4Mr5FtRQL4tbmSdIzhx6_m4wkOD7IG-k_eo/edit#gid=1336395716"", ""Science!M:N""), 2, FALSE)"),"Compare and contrast the effects of different storage conditions on a magnet's strength and longevity.")</f>
        <v>Compare and contrast the effects of different storage conditions on a magnet's strength and longevity.</v>
      </c>
      <c r="Q81" s="10" t="str">
        <f t="shared" si="4"/>
        <v>LU005157.005</v>
      </c>
      <c r="R81" s="10" t="str">
        <f ca="1">IFERROR(__xludf.DUMMYFUNCTION("VLOOKUP(Q81, IMPORTRANGE(""https://docs.google.com/spreadsheets/d/1yDAaXNsi4Mr5FtRQL4tbmSdIzhx6_m4wkOD7IG-k_eo/edit#gid=1336395716"", ""Science!M:N""), 2, FALSE)"),"#N/A")</f>
        <v>#N/A</v>
      </c>
      <c r="S81" s="10" t="str">
        <f t="shared" si="5"/>
        <v>LU005157.006</v>
      </c>
      <c r="T81" s="10" t="str">
        <f ca="1">IFERROR(__xludf.DUMMYFUNCTION("VLOOKUP(S81, IMPORTRANGE(""https://docs.google.com/spreadsheets/d/1yDAaXNsi4Mr5FtRQL4tbmSdIzhx6_m4wkOD7IG-k_eo/edit#gid=1336395716"", ""Science!M:N""), 2, FALSE)"),"Design a safety protocol for handling and storing magnets so that they do not lose their magnetic properties.")</f>
        <v>Design a safety protocol for handling and storing magnets so that they do not lose their magnetic properties.</v>
      </c>
      <c r="U81" s="11"/>
      <c r="V81" s="11"/>
      <c r="W81" s="11"/>
      <c r="X81" s="11"/>
      <c r="Y81" s="11"/>
      <c r="Z81" s="12"/>
      <c r="AA81" s="12"/>
      <c r="AB81" s="12"/>
      <c r="AC81" s="12"/>
      <c r="AD81" s="12"/>
      <c r="AE81" s="12"/>
      <c r="AF81" s="12"/>
      <c r="AG81" s="13" t="str">
        <f ca="1">IFERROR(__xludf.DUMMYFUNCTION("ArrayFormula(VLOOKUP(G81, IMPORTRANGE(""https://docs.google.com/spreadsheets/d/1Co934fvtviyaRiMsrIlT05Jaq7iiYq07aLvRr35KA48/edit?gid=173865642#gid=173865642"", ""'G6_Sci Cur_Pri_LU'!G2:V2000""), {3, 4, 5, 6, 7, 8, 9, 10, 11, 12, 13, 14, 15, 16}, 0))"),"LU005934")</f>
        <v>LU005934</v>
      </c>
      <c r="AH81" s="13" t="str">
        <f ca="1">IFERROR(__xludf.DUMMYFUNCTION("""COMPUTED_VALUE"""),"Identification of poles of different magnets")</f>
        <v>Identification of poles of different magnets</v>
      </c>
      <c r="AI81" s="13"/>
      <c r="AJ81" s="13"/>
      <c r="AK81" s="13"/>
      <c r="AL81" s="13"/>
      <c r="AM81" s="13"/>
      <c r="AN81" s="13"/>
      <c r="AO81" s="13"/>
      <c r="AP81" s="13"/>
      <c r="AQ81" s="13"/>
      <c r="AR81" s="13"/>
      <c r="AS81" s="13"/>
      <c r="AT81" s="13"/>
    </row>
    <row r="82" spans="1:46">
      <c r="A82" s="8" t="s">
        <v>1405</v>
      </c>
      <c r="B82" s="8" t="s">
        <v>47</v>
      </c>
      <c r="C82" s="8" t="s">
        <v>48</v>
      </c>
      <c r="D82" s="8" t="s">
        <v>1441</v>
      </c>
      <c r="E82" s="8" t="s">
        <v>1616</v>
      </c>
      <c r="F82" s="8" t="s">
        <v>1617</v>
      </c>
      <c r="G82" s="8" t="s">
        <v>1618</v>
      </c>
      <c r="H82" s="112" t="s">
        <v>1619</v>
      </c>
      <c r="I82" s="10" t="str">
        <f t="shared" si="0"/>
        <v>LU006435.001</v>
      </c>
      <c r="J82" s="10" t="str">
        <f ca="1">IFERROR(__xludf.DUMMYFUNCTION("VLOOKUP(I82, IMPORTRANGE(""https://docs.google.com/spreadsheets/d/1yDAaXNsi4Mr5FtRQL4tbmSdIzhx6_m4wkOD7IG-k_eo/edit#gid=1336395716"", ""Science!M:N""), 2, FALSE)"),"List the percentage of various gases present in air.")</f>
        <v>List the percentage of various gases present in air.</v>
      </c>
      <c r="K82" s="10" t="str">
        <f t="shared" si="1"/>
        <v>LU006435.002</v>
      </c>
      <c r="L82" s="10" t="str">
        <f ca="1">IFERROR(__xludf.DUMMYFUNCTION("VLOOKUP(K82, IMPORTRANGE(""https://docs.google.com/spreadsheets/d/1yDAaXNsi4Mr5FtRQL4tbmSdIzhx6_m4wkOD7IG-k_eo/edit#gid=1336395716"", ""Science!M:N""), 2, FALSE)"),"Explain the importance of air in process such as breathing. ")</f>
        <v xml:space="preserve">Explain the importance of air in process such as breathing. </v>
      </c>
      <c r="M82" s="10" t="str">
        <f t="shared" si="2"/>
        <v>LU006435.003</v>
      </c>
      <c r="N82" s="10" t="str">
        <f ca="1">IFERROR(__xludf.DUMMYFUNCTION("VLOOKUP(M82, IMPORTRANGE(""https://docs.google.com/spreadsheets/d/1yDAaXNsi4Mr5FtRQL4tbmSdIzhx6_m4wkOD7IG-k_eo/edit#gid=1336395716"", ""Science!M:N""), 2, FALSE)"),"Demonstrate the working and concept of wind mill using a demo toy. ")</f>
        <v xml:space="preserve">Demonstrate the working and concept of wind mill using a demo toy. </v>
      </c>
      <c r="O82" s="10" t="str">
        <f t="shared" si="3"/>
        <v>LU006435.004</v>
      </c>
      <c r="P82" s="10" t="str">
        <f ca="1">IFERROR(__xludf.DUMMYFUNCTION("VLOOKUP(O82, IMPORTRANGE(""https://docs.google.com/spreadsheets/d/1yDAaXNsi4Mr5FtRQL4tbmSdIzhx6_m4wkOD7IG-k_eo/edit#gid=1336395716"", ""Science!M:N""), 2, FALSE)"),"Compare the composition of air in different environments (e.g., urban vs. rural areas) and discuss the factors that might cause variations.")</f>
        <v>Compare the composition of air in different environments (e.g., urban vs. rural areas) and discuss the factors that might cause variations.</v>
      </c>
      <c r="Q82" s="10" t="str">
        <f t="shared" si="4"/>
        <v>LU006435.005</v>
      </c>
      <c r="R82" s="10" t="str">
        <f ca="1">IFERROR(__xludf.DUMMYFUNCTION("VLOOKUP(Q82, IMPORTRANGE(""https://docs.google.com/spreadsheets/d/1yDAaXNsi4Mr5FtRQL4tbmSdIzhx6_m4wkOD7IG-k_eo/edit#gid=1336395716"", ""Science!M:N""), 2, FALSE)"),"valuate the impact of human activities (e.g., pollution, deforestation) on the quality of air and its composition.")</f>
        <v>valuate the impact of human activities (e.g., pollution, deforestation) on the quality of air and its composition.</v>
      </c>
      <c r="S82" s="10" t="str">
        <f t="shared" si="5"/>
        <v>LU006435.006</v>
      </c>
      <c r="T82" s="10" t="str">
        <f ca="1">IFERROR(__xludf.DUMMYFUNCTION("VLOOKUP(S82, IMPORTRANGE(""https://docs.google.com/spreadsheets/d/1yDAaXNsi4Mr5FtRQL4tbmSdIzhx6_m4wkOD7IG-k_eo/edit#gid=1336395716"", ""Science!M:N""), 2, FALSE)"),"Create a simple experiment to demonstrate the presence of gases in air")</f>
        <v>Create a simple experiment to demonstrate the presence of gases in air</v>
      </c>
      <c r="U82" s="11">
        <f ca="1">IFERROR(__xludf.DUMMYFUNCTION("ArrayFormula(VLOOKUP(G82, IMPORTRANGE(""https://docs.google.com/spreadsheets/d/1p7R4vtkWt5VOBim4ltsDG9KTzSjrtKXsMtQGXPHyND0/edit#gid=795171502"", ""'Filter 30_05_2024'!A1:M2000""), {2, 3, 4, 5,6,7,8,9,10,11,12,13}, 0))"),4)</f>
        <v>4</v>
      </c>
      <c r="V82" s="11">
        <f ca="1">IFERROR(__xludf.DUMMYFUNCTION("""COMPUTED_VALUE"""),6)</f>
        <v>6</v>
      </c>
      <c r="W82" s="11">
        <f ca="1">IFERROR(__xludf.DUMMYFUNCTION("""COMPUTED_VALUE"""),2)</f>
        <v>2</v>
      </c>
      <c r="X82" s="11">
        <f ca="1">IFERROR(__xludf.DUMMYFUNCTION("""COMPUTED_VALUE"""),12)</f>
        <v>12</v>
      </c>
      <c r="Y82" s="11">
        <f ca="1">IFERROR(__xludf.DUMMYFUNCTION("""COMPUTED_VALUE"""),4)</f>
        <v>4</v>
      </c>
      <c r="Z82" s="12">
        <f ca="1">IFERROR(__xludf.DUMMYFUNCTION("""COMPUTED_VALUE"""),3)</f>
        <v>3</v>
      </c>
      <c r="AA82" s="12">
        <f ca="1">IFERROR(__xludf.DUMMYFUNCTION("""COMPUTED_VALUE"""),1)</f>
        <v>1</v>
      </c>
      <c r="AB82" s="12">
        <f ca="1">IFERROR(__xludf.DUMMYFUNCTION("""COMPUTED_VALUE"""),8)</f>
        <v>8</v>
      </c>
      <c r="AC82" s="12"/>
      <c r="AD82" s="12"/>
      <c r="AE82" s="12"/>
      <c r="AF82" s="12"/>
      <c r="AG82" s="13" t="str">
        <f ca="1">IFERROR(__xludf.DUMMYFUNCTION("ArrayFormula(VLOOKUP(G82, IMPORTRANGE(""https://docs.google.com/spreadsheets/d/1Co934fvtviyaRiMsrIlT05Jaq7iiYq07aLvRr35KA48/edit?gid=173865642#gid=173865642"", ""'G6_Sci Cur_Pri_LU'!G2:V2000""), {3, 4, 5, 6, 7, 8, 9, 10, 11, 12, 13, 14, 15, 16}, 0))"),"")</f>
        <v/>
      </c>
      <c r="AH82" s="13"/>
      <c r="AI82" s="13"/>
      <c r="AJ82" s="13"/>
      <c r="AK82" s="13"/>
      <c r="AL82" s="13"/>
      <c r="AM82" s="13"/>
      <c r="AN82" s="13"/>
      <c r="AO82" s="13"/>
      <c r="AP82" s="13"/>
      <c r="AQ82" s="13"/>
      <c r="AR82" s="13"/>
      <c r="AS82" s="13"/>
      <c r="AT82" s="13"/>
    </row>
    <row r="83" spans="1:46">
      <c r="A83" s="8" t="s">
        <v>1405</v>
      </c>
      <c r="B83" s="8" t="s">
        <v>47</v>
      </c>
      <c r="C83" s="8" t="s">
        <v>48</v>
      </c>
      <c r="D83" s="8" t="s">
        <v>1441</v>
      </c>
      <c r="E83" s="8" t="s">
        <v>1616</v>
      </c>
      <c r="F83" s="8" t="s">
        <v>1620</v>
      </c>
      <c r="G83" s="8" t="s">
        <v>1621</v>
      </c>
      <c r="H83" s="8" t="s">
        <v>1622</v>
      </c>
      <c r="I83" s="10" t="str">
        <f t="shared" si="0"/>
        <v>LU005779.001</v>
      </c>
      <c r="J83" s="10" t="str">
        <f ca="1">IFERROR(__xludf.DUMMYFUNCTION("VLOOKUP(I83, IMPORTRANGE(""https://docs.google.com/spreadsheets/d/1yDAaXNsi4Mr5FtRQL4tbmSdIzhx6_m4wkOD7IG-k_eo/edit#gid=1336395716"", ""Science!M:N""), 2, FALSE)"),"List different natural sources of water.")</f>
        <v>List different natural sources of water.</v>
      </c>
      <c r="K83" s="10" t="str">
        <f t="shared" si="1"/>
        <v>LU005779.002</v>
      </c>
      <c r="L83" s="10" t="str">
        <f ca="1">IFERROR(__xludf.DUMMYFUNCTION("VLOOKUP(K83, IMPORTRANGE(""https://docs.google.com/spreadsheets/d/1yDAaXNsi4Mr5FtRQL4tbmSdIzhx6_m4wkOD7IG-k_eo/edit#gid=1336395716"", ""Science!M:N""), 2, FALSE)"),"Explain how each source contributes to water availability.")</f>
        <v>Explain how each source contributes to water availability.</v>
      </c>
      <c r="M83" s="10" t="str">
        <f t="shared" si="2"/>
        <v>LU005779.003</v>
      </c>
      <c r="N83" s="10" t="str">
        <f ca="1">IFERROR(__xludf.DUMMYFUNCTION("VLOOKUP(M83, IMPORTRANGE(""https://docs.google.com/spreadsheets/d/1yDAaXNsi4Mr5FtRQL4tbmSdIzhx6_m4wkOD7IG-k_eo/edit#gid=1336395716"", ""Science!M:N""), 2, FALSE)"),"Demonstrate how to locate natural sources of water on a map.")</f>
        <v>Demonstrate how to locate natural sources of water on a map.</v>
      </c>
      <c r="O83" s="10" t="str">
        <f t="shared" si="3"/>
        <v>LU005779.004</v>
      </c>
      <c r="P83" s="10" t="str">
        <f ca="1">IFERROR(__xludf.DUMMYFUNCTION("VLOOKUP(O83, IMPORTRANGE(""https://docs.google.com/spreadsheets/d/1yDAaXNsi4Mr5FtRQL4tbmSdIzhx6_m4wkOD7IG-k_eo/edit#gid=1336395716"", ""Science!M:N""), 2, FALSE)"),"Contrast the characteristics of different water sources.")</f>
        <v>Contrast the characteristics of different water sources.</v>
      </c>
      <c r="Q83" s="10" t="str">
        <f t="shared" si="4"/>
        <v>LU005779.005</v>
      </c>
      <c r="R83" s="10" t="str">
        <f ca="1">IFERROR(__xludf.DUMMYFUNCTION("VLOOKUP(Q83, IMPORTRANGE(""https://docs.google.com/spreadsheets/d/1yDAaXNsi4Mr5FtRQL4tbmSdIzhx6_m4wkOD7IG-k_eo/edit#gid=1336395716"", ""Science!M:N""), 2, FALSE)"),"Appraise the quality of water from various sources.")</f>
        <v>Appraise the quality of water from various sources.</v>
      </c>
      <c r="S83" s="10" t="str">
        <f t="shared" si="5"/>
        <v>LU005779.006</v>
      </c>
      <c r="T83" s="10" t="str">
        <f ca="1">IFERROR(__xludf.DUMMYFUNCTION("VLOOKUP(S83, IMPORTRANGE(""https://docs.google.com/spreadsheets/d/1yDAaXNsi4Mr5FtRQL4tbmSdIzhx6_m4wkOD7IG-k_eo/edit#gid=1336395716"", ""Science!M:N""), 2, FALSE)"),"#N/A")</f>
        <v>#N/A</v>
      </c>
      <c r="U83" s="11">
        <f ca="1">IFERROR(__xludf.DUMMYFUNCTION("ArrayFormula(VLOOKUP(G83, IMPORTRANGE(""https://docs.google.com/spreadsheets/d/1p7R4vtkWt5VOBim4ltsDG9KTzSjrtKXsMtQGXPHyND0/edit#gid=795171502"", ""'Filter 30_05_2024'!A1:M2000""), {2, 3, 4, 5,6,7,8,9,10,11,12,13}, 0))"),4)</f>
        <v>4</v>
      </c>
      <c r="V83" s="11">
        <f ca="1">IFERROR(__xludf.DUMMYFUNCTION("""COMPUTED_VALUE"""),6)</f>
        <v>6</v>
      </c>
      <c r="W83" s="11">
        <f ca="1">IFERROR(__xludf.DUMMYFUNCTION("""COMPUTED_VALUE"""),2)</f>
        <v>2</v>
      </c>
      <c r="X83" s="11">
        <f ca="1">IFERROR(__xludf.DUMMYFUNCTION("""COMPUTED_VALUE"""),12)</f>
        <v>12</v>
      </c>
      <c r="Y83" s="11">
        <f ca="1">IFERROR(__xludf.DUMMYFUNCTION("""COMPUTED_VALUE"""),4)</f>
        <v>4</v>
      </c>
      <c r="Z83" s="12">
        <f ca="1">IFERROR(__xludf.DUMMYFUNCTION("""COMPUTED_VALUE"""),3)</f>
        <v>3</v>
      </c>
      <c r="AA83" s="12">
        <f ca="1">IFERROR(__xludf.DUMMYFUNCTION("""COMPUTED_VALUE"""),1)</f>
        <v>1</v>
      </c>
      <c r="AB83" s="12">
        <f ca="1">IFERROR(__xludf.DUMMYFUNCTION("""COMPUTED_VALUE"""),8)</f>
        <v>8</v>
      </c>
      <c r="AC83" s="12"/>
      <c r="AD83" s="12"/>
      <c r="AE83" s="12"/>
      <c r="AF83" s="12"/>
      <c r="AG83" s="13" t="str">
        <f ca="1">IFERROR(__xludf.DUMMYFUNCTION("ArrayFormula(VLOOKUP(G83, IMPORTRANGE(""https://docs.google.com/spreadsheets/d/1Co934fvtviyaRiMsrIlT05Jaq7iiYq07aLvRr35KA48/edit?gid=173865642#gid=173865642"", ""'G6_Sci Cur_Pri_LU'!G2:V2000""), {3, 4, 5, 6, 7, 8, 9, 10, 11, 12, 13, 14, 15, 16}, 0))"),"")</f>
        <v/>
      </c>
      <c r="AH83" s="13"/>
      <c r="AI83" s="13"/>
      <c r="AJ83" s="13"/>
      <c r="AK83" s="13"/>
      <c r="AL83" s="13"/>
      <c r="AM83" s="13"/>
      <c r="AN83" s="13"/>
      <c r="AO83" s="13"/>
      <c r="AP83" s="13"/>
      <c r="AQ83" s="13"/>
      <c r="AR83" s="13"/>
      <c r="AS83" s="13"/>
      <c r="AT83" s="13"/>
    </row>
    <row r="84" spans="1:46">
      <c r="A84" s="8" t="s">
        <v>1405</v>
      </c>
      <c r="B84" s="8" t="s">
        <v>47</v>
      </c>
      <c r="C84" s="8" t="s">
        <v>48</v>
      </c>
      <c r="D84" s="8" t="s">
        <v>1441</v>
      </c>
      <c r="E84" s="8" t="s">
        <v>1616</v>
      </c>
      <c r="F84" s="8" t="s">
        <v>1620</v>
      </c>
      <c r="G84" s="8" t="s">
        <v>1623</v>
      </c>
      <c r="H84" s="8" t="s">
        <v>1624</v>
      </c>
      <c r="I84" s="10" t="str">
        <f t="shared" si="0"/>
        <v>LU006436.001</v>
      </c>
      <c r="J84" s="10" t="str">
        <f ca="1">IFERROR(__xludf.DUMMYFUNCTION("VLOOKUP(I84, IMPORTRANGE(""https://docs.google.com/spreadsheets/d/1yDAaXNsi4Mr5FtRQL4tbmSdIzhx6_m4wkOD7IG-k_eo/edit#gid=1336395716"", ""Science!M:N""), 2, FALSE)"),"Recall examples of common activities that lead to the wastage of water in daily life.")</f>
        <v>Recall examples of common activities that lead to the wastage of water in daily life.</v>
      </c>
      <c r="K84" s="10" t="str">
        <f t="shared" si="1"/>
        <v>LU006436.002</v>
      </c>
      <c r="L84" s="10" t="str">
        <f ca="1">IFERROR(__xludf.DUMMYFUNCTION("VLOOKUP(K84, IMPORTRANGE(""https://docs.google.com/spreadsheets/d/1yDAaXNsi4Mr5FtRQL4tbmSdIzhx6_m4wkOD7IG-k_eo/edit#gid=1336395716"", ""Science!M:N""), 2, FALSE)"),"Explain how wastage of water affects water availability and why it is important to conserve water.")</f>
        <v>Explain how wastage of water affects water availability and why it is important to conserve water.</v>
      </c>
      <c r="M84" s="10" t="str">
        <f t="shared" si="2"/>
        <v>LU006436.003</v>
      </c>
      <c r="N84" s="10" t="str">
        <f ca="1">IFERROR(__xludf.DUMMYFUNCTION("VLOOKUP(M84, IMPORTRANGE(""https://docs.google.com/spreadsheets/d/1yDAaXNsi4Mr5FtRQL4tbmSdIzhx6_m4wkOD7IG-k_eo/edit#gid=1336395716"", ""Science!M:N""), 2, FALSE)"),"Identify and suggest ways to reduce water wastage at home and in the community.")</f>
        <v>Identify and suggest ways to reduce water wastage at home and in the community.</v>
      </c>
      <c r="O84" s="10" t="str">
        <f t="shared" si="3"/>
        <v>LU006436.004</v>
      </c>
      <c r="P84" s="10" t="str">
        <f ca="1">IFERROR(__xludf.DUMMYFUNCTION("VLOOKUP(O84, IMPORTRANGE(""https://docs.google.com/spreadsheets/d/1yDAaXNsi4Mr5FtRQL4tbmSdIzhx6_m4wkOD7IG-k_eo/edit#gid=1336395716"", ""Science!M:N""), 2, FALSE)"),"Compare the amount of water used in different activities and analyze where wastage can be minimized.")</f>
        <v>Compare the amount of water used in different activities and analyze where wastage can be minimized.</v>
      </c>
      <c r="Q84" s="10" t="str">
        <f t="shared" si="4"/>
        <v>LU006436.005</v>
      </c>
      <c r="R84" s="10" t="str">
        <f ca="1">IFERROR(__xludf.DUMMYFUNCTION("VLOOKUP(Q84, IMPORTRANGE(""https://docs.google.com/spreadsheets/d/1yDAaXNsi4Mr5FtRQL4tbmSdIzhx6_m4wkOD7IG-k_eo/edit#gid=1336395716"", ""Science!M:N""), 2, FALSE)"),"Evaluate the impact of water wastage on the environment and assess the effectiveness of water conservation practices.")</f>
        <v>Evaluate the impact of water wastage on the environment and assess the effectiveness of water conservation practices.</v>
      </c>
      <c r="S84" s="10" t="str">
        <f t="shared" si="5"/>
        <v>LU006436.006</v>
      </c>
      <c r="T84" s="10" t="str">
        <f ca="1">IFERROR(__xludf.DUMMYFUNCTION("VLOOKUP(S84, IMPORTRANGE(""https://docs.google.com/spreadsheets/d/1yDAaXNsi4Mr5FtRQL4tbmSdIzhx6_m4wkOD7IG-k_eo/edit#gid=1336395716"", ""Science!M:N""), 2, FALSE)"),"Create a plan to educate others about the importance of reducing water wastage and conserving water resources.")</f>
        <v>Create a plan to educate others about the importance of reducing water wastage and conserving water resources.</v>
      </c>
      <c r="U84" s="11">
        <f ca="1">IFERROR(__xludf.DUMMYFUNCTION("ArrayFormula(VLOOKUP(G84, IMPORTRANGE(""https://docs.google.com/spreadsheets/d/1p7R4vtkWt5VOBim4ltsDG9KTzSjrtKXsMtQGXPHyND0/edit#gid=795171502"", ""'Filter 30_05_2024'!A1:M2000""), {2, 3, 4, 5,6,7,8,9,10,11,12,13}, 0))"),4)</f>
        <v>4</v>
      </c>
      <c r="V84" s="11">
        <f ca="1">IFERROR(__xludf.DUMMYFUNCTION("""COMPUTED_VALUE"""),6)</f>
        <v>6</v>
      </c>
      <c r="W84" s="11">
        <f ca="1">IFERROR(__xludf.DUMMYFUNCTION("""COMPUTED_VALUE"""),2)</f>
        <v>2</v>
      </c>
      <c r="X84" s="11">
        <f ca="1">IFERROR(__xludf.DUMMYFUNCTION("""COMPUTED_VALUE"""),12)</f>
        <v>12</v>
      </c>
      <c r="Y84" s="11">
        <f ca="1">IFERROR(__xludf.DUMMYFUNCTION("""COMPUTED_VALUE"""),4)</f>
        <v>4</v>
      </c>
      <c r="Z84" s="12">
        <f ca="1">IFERROR(__xludf.DUMMYFUNCTION("""COMPUTED_VALUE"""),3)</f>
        <v>3</v>
      </c>
      <c r="AA84" s="12">
        <f ca="1">IFERROR(__xludf.DUMMYFUNCTION("""COMPUTED_VALUE"""),1)</f>
        <v>1</v>
      </c>
      <c r="AB84" s="12">
        <f ca="1">IFERROR(__xludf.DUMMYFUNCTION("""COMPUTED_VALUE"""),8)</f>
        <v>8</v>
      </c>
      <c r="AC84" s="12"/>
      <c r="AD84" s="12"/>
      <c r="AE84" s="12"/>
      <c r="AF84" s="12"/>
      <c r="AG84" s="13" t="str">
        <f ca="1">IFERROR(__xludf.DUMMYFUNCTION("ArrayFormula(VLOOKUP(G84, IMPORTRANGE(""https://docs.google.com/spreadsheets/d/1Co934fvtviyaRiMsrIlT05Jaq7iiYq07aLvRr35KA48/edit?gid=173865642#gid=173865642"", ""'G6_Sci Cur_Pri_LU'!G2:V2000""), {3, 4, 5, 6, 7, 8, 9, 10, 11, 12, 13, 14, 15, 16}, 0))"),"LU005779")</f>
        <v>LU005779</v>
      </c>
      <c r="AH84" s="13" t="str">
        <f ca="1">IFERROR(__xludf.DUMMYFUNCTION("""COMPUTED_VALUE"""),"Natural Sources of Water")</f>
        <v>Natural Sources of Water</v>
      </c>
      <c r="AI84" s="13"/>
      <c r="AJ84" s="13"/>
      <c r="AK84" s="13"/>
      <c r="AL84" s="13"/>
      <c r="AM84" s="13"/>
      <c r="AN84" s="13"/>
      <c r="AO84" s="13"/>
      <c r="AP84" s="13"/>
      <c r="AQ84" s="13"/>
      <c r="AR84" s="13"/>
      <c r="AS84" s="13"/>
      <c r="AT84" s="13"/>
    </row>
    <row r="85" spans="1:46">
      <c r="A85" s="8" t="s">
        <v>1405</v>
      </c>
      <c r="B85" s="8" t="s">
        <v>47</v>
      </c>
      <c r="C85" s="8" t="s">
        <v>48</v>
      </c>
      <c r="D85" s="8" t="s">
        <v>1441</v>
      </c>
      <c r="E85" s="8" t="s">
        <v>1616</v>
      </c>
      <c r="F85" s="8" t="s">
        <v>1620</v>
      </c>
      <c r="G85" s="8" t="s">
        <v>1625</v>
      </c>
      <c r="H85" s="8" t="s">
        <v>1626</v>
      </c>
      <c r="I85" s="10" t="str">
        <f t="shared" si="0"/>
        <v>LU005864.001</v>
      </c>
      <c r="J85" s="10" t="str">
        <f ca="1">IFERROR(__xludf.DUMMYFUNCTION("VLOOKUP(I85, IMPORTRANGE(""https://docs.google.com/spreadsheets/d/1yDAaXNsi4Mr5FtRQL4tbmSdIzhx6_m4wkOD7IG-k_eo/edit#gid=1336395716"", ""Science!M:N""), 2, FALSE)"),"List simple methods of water harvesting that can be implemented at home.")</f>
        <v>List simple methods of water harvesting that can be implemented at home.</v>
      </c>
      <c r="K85" s="10" t="str">
        <f t="shared" si="1"/>
        <v>LU005864.002</v>
      </c>
      <c r="L85" s="10" t="str">
        <f ca="1">IFERROR(__xludf.DUMMYFUNCTION("VLOOKUP(K85, IMPORTRANGE(""https://docs.google.com/spreadsheets/d/1yDAaXNsi4Mr5FtRQL4tbmSdIzhx6_m4wkOD7IG-k_eo/edit#gid=1336395716"", ""Science!M:N""), 2, FALSE)"),"Describe rainwater harvesting techniques, such as rooftop collection and storage.")</f>
        <v>Describe rainwater harvesting techniques, such as rooftop collection and storage.</v>
      </c>
      <c r="M85" s="10" t="str">
        <f t="shared" si="2"/>
        <v>LU005864.003</v>
      </c>
      <c r="N85" s="10" t="str">
        <f ca="1">IFERROR(__xludf.DUMMYFUNCTION("VLOOKUP(M85, IMPORTRANGE(""https://docs.google.com/spreadsheets/d/1yDAaXNsi4Mr5FtRQL4tbmSdIzhx6_m4wkOD7IG-k_eo/edit#gid=1336395716"", ""Science!M:N""), 2, FALSE)"),"Identify the equipment and materials needed for home-based water harvesting systems.")</f>
        <v>Identify the equipment and materials needed for home-based water harvesting systems.</v>
      </c>
      <c r="O85" s="10" t="str">
        <f t="shared" si="3"/>
        <v>LU005864.004</v>
      </c>
      <c r="P85" s="10" t="str">
        <f ca="1">IFERROR(__xludf.DUMMYFUNCTION("VLOOKUP(O85, IMPORTRANGE(""https://docs.google.com/spreadsheets/d/1yDAaXNsi4Mr5FtRQL4tbmSdIzhx6_m4wkOD7IG-k_eo/edit#gid=1336395716"", ""Science!M:N""), 2, FALSE)"),"Explain the benefits of water harvesting, including reduced water bills and conservation.")</f>
        <v>Explain the benefits of water harvesting, including reduced water bills and conservation.</v>
      </c>
      <c r="Q85" s="10" t="str">
        <f t="shared" si="4"/>
        <v>LU005864.005</v>
      </c>
      <c r="R85" s="10" t="str">
        <f ca="1">IFERROR(__xludf.DUMMYFUNCTION("VLOOKUP(Q85, IMPORTRANGE(""https://docs.google.com/spreadsheets/d/1yDAaXNsi4Mr5FtRQL4tbmSdIzhx6_m4wkOD7IG-k_eo/edit#gid=1336395716"", ""Science!M:N""), 2, FALSE)"),"Analyze the environmental and community advantages of decentralized water management.")</f>
        <v>Analyze the environmental and community advantages of decentralized water management.</v>
      </c>
      <c r="S85" s="10" t="str">
        <f t="shared" si="5"/>
        <v>LU005864.006</v>
      </c>
      <c r="T85" s="10" t="str">
        <f ca="1">IFERROR(__xludf.DUMMYFUNCTION("VLOOKUP(S85, IMPORTRANGE(""https://docs.google.com/spreadsheets/d/1yDAaXNsi4Mr5FtRQL4tbmSdIzhx6_m4wkOD7IG-k_eo/edit#gid=1336395716"", ""Science!M:N""), 2, FALSE)"),"#N/A")</f>
        <v>#N/A</v>
      </c>
      <c r="U85" s="11">
        <f ca="1">IFERROR(__xludf.DUMMYFUNCTION("ArrayFormula(VLOOKUP(G85, IMPORTRANGE(""https://docs.google.com/spreadsheets/d/1p7R4vtkWt5VOBim4ltsDG9KTzSjrtKXsMtQGXPHyND0/edit#gid=795171502"", ""'Filter 30_05_2024'!A1:M2000""), {2, 3, 4, 5,6,7,8,9,10,11,12,13}, 0))"),4)</f>
        <v>4</v>
      </c>
      <c r="V85" s="11">
        <f ca="1">IFERROR(__xludf.DUMMYFUNCTION("""COMPUTED_VALUE"""),6)</f>
        <v>6</v>
      </c>
      <c r="W85" s="11">
        <f ca="1">IFERROR(__xludf.DUMMYFUNCTION("""COMPUTED_VALUE"""),2)</f>
        <v>2</v>
      </c>
      <c r="X85" s="11">
        <f ca="1">IFERROR(__xludf.DUMMYFUNCTION("""COMPUTED_VALUE"""),12)</f>
        <v>12</v>
      </c>
      <c r="Y85" s="11">
        <f ca="1">IFERROR(__xludf.DUMMYFUNCTION("""COMPUTED_VALUE"""),4)</f>
        <v>4</v>
      </c>
      <c r="Z85" s="12">
        <f ca="1">IFERROR(__xludf.DUMMYFUNCTION("""COMPUTED_VALUE"""),3)</f>
        <v>3</v>
      </c>
      <c r="AA85" s="12">
        <f ca="1">IFERROR(__xludf.DUMMYFUNCTION("""COMPUTED_VALUE"""),1)</f>
        <v>1</v>
      </c>
      <c r="AB85" s="12">
        <f ca="1">IFERROR(__xludf.DUMMYFUNCTION("""COMPUTED_VALUE"""),8)</f>
        <v>8</v>
      </c>
      <c r="AC85" s="12"/>
      <c r="AD85" s="12"/>
      <c r="AE85" s="12"/>
      <c r="AF85" s="12"/>
      <c r="AG85" s="13" t="str">
        <f ca="1">IFERROR(__xludf.DUMMYFUNCTION("ArrayFormula(VLOOKUP(G85, IMPORTRANGE(""https://docs.google.com/spreadsheets/d/1Co934fvtviyaRiMsrIlT05Jaq7iiYq07aLvRr35KA48/edit?gid=173865642#gid=173865642"", ""'G6_Sci Cur_Pri_LU'!G2:V2000""), {3, 4, 5, 6, 7, 8, 9, 10, 11, 12, 13, 14, 15, 16}, 0))"),"LU005776")</f>
        <v>LU005776</v>
      </c>
      <c r="AH85" s="13" t="str">
        <f ca="1">IFERROR(__xludf.DUMMYFUNCTION("""COMPUTED_VALUE"""),"Introduction to the Water Cycle")</f>
        <v>Introduction to the Water Cycle</v>
      </c>
      <c r="AI85" s="13"/>
      <c r="AJ85" s="13"/>
      <c r="AK85" s="13"/>
      <c r="AL85" s="13"/>
      <c r="AM85" s="13"/>
      <c r="AN85" s="13"/>
      <c r="AO85" s="13"/>
      <c r="AP85" s="13"/>
      <c r="AQ85" s="13"/>
      <c r="AR85" s="13"/>
      <c r="AS85" s="13"/>
      <c r="AT85" s="13"/>
    </row>
    <row r="86" spans="1:46">
      <c r="A86" s="8" t="s">
        <v>1405</v>
      </c>
      <c r="B86" s="8" t="s">
        <v>47</v>
      </c>
      <c r="C86" s="8" t="s">
        <v>48</v>
      </c>
      <c r="D86" s="8" t="s">
        <v>1441</v>
      </c>
      <c r="E86" s="8" t="s">
        <v>1616</v>
      </c>
      <c r="F86" s="8" t="s">
        <v>1627</v>
      </c>
      <c r="G86" s="8" t="s">
        <v>1628</v>
      </c>
      <c r="H86" s="112" t="s">
        <v>1629</v>
      </c>
      <c r="I86" s="10" t="str">
        <f t="shared" si="0"/>
        <v>LU005007.001</v>
      </c>
      <c r="J86" s="10" t="str">
        <f ca="1">IFERROR(__xludf.DUMMYFUNCTION("VLOOKUP(I86, IMPORTRANGE(""https://docs.google.com/spreadsheets/d/1yDAaXNsi4Mr5FtRQL4tbmSdIzhx6_m4wkOD7IG-k_eo/edit#gid=1336395716"", ""Science!M:N""), 2, FALSE)"),"Identify the sun as the primary source of solar energy.")</f>
        <v>Identify the sun as the primary source of solar energy.</v>
      </c>
      <c r="K86" s="10" t="str">
        <f t="shared" si="1"/>
        <v>LU005007.002</v>
      </c>
      <c r="L86" s="10" t="str">
        <f ca="1">IFERROR(__xludf.DUMMYFUNCTION("VLOOKUP(K86, IMPORTRANGE(""https://docs.google.com/spreadsheets/d/1yDAaXNsi4Mr5FtRQL4tbmSdIzhx6_m4wkOD7IG-k_eo/edit#gid=1336395716"", ""Science!M:N""), 2, FALSE)"),"Explain the importance of the sun in sustaining life on Earth.")</f>
        <v>Explain the importance of the sun in sustaining life on Earth.</v>
      </c>
      <c r="M86" s="10" t="str">
        <f t="shared" si="2"/>
        <v>LU005007.003</v>
      </c>
      <c r="N86" s="10" t="str">
        <f ca="1">IFERROR(__xludf.DUMMYFUNCTION("VLOOKUP(M86, IMPORTRANGE(""https://docs.google.com/spreadsheets/d/1yDAaXNsi4Mr5FtRQL4tbmSdIzhx6_m4wkOD7IG-k_eo/edit#gid=1336395716"", ""Science!M:N""), 2, FALSE)"),"Demonstrate how solar energy can be used in daily applications like cooking.")</f>
        <v>Demonstrate how solar energy can be used in daily applications like cooking.</v>
      </c>
      <c r="O86" s="10" t="str">
        <f t="shared" si="3"/>
        <v>LU005007.004</v>
      </c>
      <c r="P86" s="10" t="str">
        <f ca="1">IFERROR(__xludf.DUMMYFUNCTION("VLOOKUP(O86, IMPORTRANGE(""https://docs.google.com/spreadsheets/d/1yDAaXNsi4Mr5FtRQL4tbmSdIzhx6_m4wkOD7IG-k_eo/edit#gid=1336395716"", ""Science!M:N""), 2, FALSE)"),"Differentiate between direct and indirect ways animals rely on the sun for food.")</f>
        <v>Differentiate between direct and indirect ways animals rely on the sun for food.</v>
      </c>
      <c r="Q86" s="10" t="str">
        <f t="shared" si="4"/>
        <v>LU005007.005</v>
      </c>
      <c r="R86" s="10" t="str">
        <f ca="1">IFERROR(__xludf.DUMMYFUNCTION("VLOOKUP(Q86, IMPORTRANGE(""https://docs.google.com/spreadsheets/d/1yDAaXNsi4Mr5FtRQL4tbmSdIzhx6_m4wkOD7IG-k_eo/edit#gid=1336395716"", ""Science!M:N""), 2, FALSE)"),"Assess the efficiency and utility of devices powered by solar cells.")</f>
        <v>Assess the efficiency and utility of devices powered by solar cells.</v>
      </c>
      <c r="S86" s="10" t="str">
        <f t="shared" si="5"/>
        <v>LU005007.006</v>
      </c>
      <c r="T86" s="10" t="str">
        <f ca="1">IFERROR(__xludf.DUMMYFUNCTION("VLOOKUP(S86, IMPORTRANGE(""https://docs.google.com/spreadsheets/d/1yDAaXNsi4Mr5FtRQL4tbmSdIzhx6_m4wkOD7IG-k_eo/edit#gid=1336395716"", ""Science!M:N""), 2, FALSE)"),"Design a simple solar-powered solution for a common everyday problem.")</f>
        <v>Design a simple solar-powered solution for a common everyday problem.</v>
      </c>
      <c r="U86" s="11">
        <f ca="1">IFERROR(__xludf.DUMMYFUNCTION("ArrayFormula(VLOOKUP(G86, IMPORTRANGE(""https://docs.google.com/spreadsheets/d/1p7R4vtkWt5VOBim4ltsDG9KTzSjrtKXsMtQGXPHyND0/edit#gid=795171502"", ""'Filter 30_05_2024'!A1:M2000""), {2, 3, 4, 5,6,7,8,9,10,11,12,13}, 0))"),4)</f>
        <v>4</v>
      </c>
      <c r="V86" s="11">
        <f ca="1">IFERROR(__xludf.DUMMYFUNCTION("""COMPUTED_VALUE"""),6)</f>
        <v>6</v>
      </c>
      <c r="W86" s="11">
        <f ca="1">IFERROR(__xludf.DUMMYFUNCTION("""COMPUTED_VALUE"""),2)</f>
        <v>2</v>
      </c>
      <c r="X86" s="11">
        <f ca="1">IFERROR(__xludf.DUMMYFUNCTION("""COMPUTED_VALUE"""),12)</f>
        <v>12</v>
      </c>
      <c r="Y86" s="11">
        <f ca="1">IFERROR(__xludf.DUMMYFUNCTION("""COMPUTED_VALUE"""),4)</f>
        <v>4</v>
      </c>
      <c r="Z86" s="12">
        <f ca="1">IFERROR(__xludf.DUMMYFUNCTION("""COMPUTED_VALUE"""),3)</f>
        <v>3</v>
      </c>
      <c r="AA86" s="12">
        <f ca="1">IFERROR(__xludf.DUMMYFUNCTION("""COMPUTED_VALUE"""),1)</f>
        <v>1</v>
      </c>
      <c r="AB86" s="12">
        <f ca="1">IFERROR(__xludf.DUMMYFUNCTION("""COMPUTED_VALUE"""),8)</f>
        <v>8</v>
      </c>
      <c r="AC86" s="12"/>
      <c r="AD86" s="12"/>
      <c r="AE86" s="12"/>
      <c r="AF86" s="12"/>
      <c r="AG86" s="13" t="str">
        <f ca="1">IFERROR(__xludf.DUMMYFUNCTION("ArrayFormula(VLOOKUP(G86, IMPORTRANGE(""https://docs.google.com/spreadsheets/d/1Co934fvtviyaRiMsrIlT05Jaq7iiYq07aLvRr35KA48/edit?gid=173865642#gid=173865642"", ""'G6_Sci Cur_Pri_LU'!G2:V2000""), {3, 4, 5, 6, 7, 8, 9, 10, 11, 12, 13, 14, 15, 16}, 0))"),"")</f>
        <v/>
      </c>
      <c r="AH86" s="13"/>
      <c r="AI86" s="13"/>
      <c r="AJ86" s="13"/>
      <c r="AK86" s="13"/>
      <c r="AL86" s="13"/>
      <c r="AM86" s="13"/>
      <c r="AN86" s="13"/>
      <c r="AO86" s="13"/>
      <c r="AP86" s="13"/>
      <c r="AQ86" s="13"/>
      <c r="AR86" s="13"/>
      <c r="AS86" s="13"/>
      <c r="AT86" s="13"/>
    </row>
    <row r="87" spans="1:46">
      <c r="A87" s="8" t="s">
        <v>1405</v>
      </c>
      <c r="B87" s="8" t="s">
        <v>47</v>
      </c>
      <c r="C87" s="8" t="s">
        <v>48</v>
      </c>
      <c r="D87" s="8" t="s">
        <v>1441</v>
      </c>
      <c r="E87" s="8" t="s">
        <v>1616</v>
      </c>
      <c r="F87" s="8" t="s">
        <v>1630</v>
      </c>
      <c r="G87" s="8" t="s">
        <v>1631</v>
      </c>
      <c r="H87" s="113" t="s">
        <v>1632</v>
      </c>
      <c r="I87" s="10" t="str">
        <f t="shared" si="0"/>
        <v>LU005024.001</v>
      </c>
      <c r="J87" s="10" t="str">
        <f ca="1">IFERROR(__xludf.DUMMYFUNCTION("VLOOKUP(I87, IMPORTRANGE(""https://docs.google.com/spreadsheets/d/1yDAaXNsi4Mr5FtRQL4tbmSdIzhx6_m4wkOD7IG-k_eo/edit#gid=1336395716"", ""Science!M:N""), 2, FALSE)"),"Describe the ecosystem services provided by forests, including air and water purification.")</f>
        <v>Describe the ecosystem services provided by forests, including air and water purification.</v>
      </c>
      <c r="K87" s="10" t="str">
        <f t="shared" si="1"/>
        <v>LU005024.002</v>
      </c>
      <c r="L87" s="10" t="str">
        <f ca="1">IFERROR(__xludf.DUMMYFUNCTION("VLOOKUP(K87, IMPORTRANGE(""https://docs.google.com/spreadsheets/d/1yDAaXNsi4Mr5FtRQL4tbmSdIzhx6_m4wkOD7IG-k_eo/edit#gid=1336395716"", ""Science!M:N""), 2, FALSE)"),"Identify the economic value of forest resources, such as timber and non-timber forest products.")</f>
        <v>Identify the economic value of forest resources, such as timber and non-timber forest products.</v>
      </c>
      <c r="M87" s="10" t="str">
        <f t="shared" si="2"/>
        <v>LU005024.003</v>
      </c>
      <c r="N87" s="10" t="str">
        <f ca="1">IFERROR(__xludf.DUMMYFUNCTION("VLOOKUP(M87, IMPORTRANGE(""https://docs.google.com/spreadsheets/d/1yDAaXNsi4Mr5FtRQL4tbmSdIzhx6_m4wkOD7IG-k_eo/edit#gid=1336395716"", ""Science!M:N""), 2, FALSE)"),"Analyze the significance of forests in food security, climate regulation, and medicine.")</f>
        <v>Analyze the significance of forests in food security, climate regulation, and medicine.</v>
      </c>
      <c r="O87" s="10" t="str">
        <f t="shared" si="3"/>
        <v>LU005024.004</v>
      </c>
      <c r="P87" s="10" t="str">
        <f ca="1">IFERROR(__xludf.DUMMYFUNCTION("VLOOKUP(O87, IMPORTRANGE(""https://docs.google.com/spreadsheets/d/1yDAaXNsi4Mr5FtRQL4tbmSdIzhx6_m4wkOD7IG-k_eo/edit#gid=1336395716"", ""Science!M:N""), 2, FALSE)"),"Evaluate the consequences of deforestation and habitat loss on human well-being.")</f>
        <v>Evaluate the consequences of deforestation and habitat loss on human well-being.</v>
      </c>
      <c r="Q87" s="10" t="str">
        <f t="shared" si="4"/>
        <v>LU005024.005</v>
      </c>
      <c r="R87" s="10" t="str">
        <f ca="1">IFERROR(__xludf.DUMMYFUNCTION("VLOOKUP(Q87, IMPORTRANGE(""https://docs.google.com/spreadsheets/d/1yDAaXNsi4Mr5FtRQL4tbmSdIzhx6_m4wkOD7IG-k_eo/edit#gid=1336395716"", ""Science!M:N""), 2, FALSE)"),"Default")</f>
        <v>Default</v>
      </c>
      <c r="S87" s="10" t="str">
        <f t="shared" si="5"/>
        <v>LU005024.006</v>
      </c>
      <c r="T87" s="10" t="str">
        <f ca="1">IFERROR(__xludf.DUMMYFUNCTION("VLOOKUP(S87, IMPORTRANGE(""https://docs.google.com/spreadsheets/d/1yDAaXNsi4Mr5FtRQL4tbmSdIzhx6_m4wkOD7IG-k_eo/edit#gid=1336395716"", ""Science!M:N""), 2, FALSE)"),"Default")</f>
        <v>Default</v>
      </c>
      <c r="U87" s="11">
        <f ca="1">IFERROR(__xludf.DUMMYFUNCTION("ArrayFormula(VLOOKUP(G87, IMPORTRANGE(""https://docs.google.com/spreadsheets/d/1p7R4vtkWt5VOBim4ltsDG9KTzSjrtKXsMtQGXPHyND0/edit#gid=795171502"", ""'Filter 30_05_2024'!A1:M2000""), {2, 3, 4, 5,6,7,8,9,10,11,12,13}, 0))"),4)</f>
        <v>4</v>
      </c>
      <c r="V87" s="11">
        <f ca="1">IFERROR(__xludf.DUMMYFUNCTION("""COMPUTED_VALUE"""),6)</f>
        <v>6</v>
      </c>
      <c r="W87" s="11">
        <f ca="1">IFERROR(__xludf.DUMMYFUNCTION("""COMPUTED_VALUE"""),2)</f>
        <v>2</v>
      </c>
      <c r="X87" s="11">
        <f ca="1">IFERROR(__xludf.DUMMYFUNCTION("""COMPUTED_VALUE"""),12)</f>
        <v>12</v>
      </c>
      <c r="Y87" s="11">
        <f ca="1">IFERROR(__xludf.DUMMYFUNCTION("""COMPUTED_VALUE"""),4)</f>
        <v>4</v>
      </c>
      <c r="Z87" s="12">
        <f ca="1">IFERROR(__xludf.DUMMYFUNCTION("""COMPUTED_VALUE"""),3)</f>
        <v>3</v>
      </c>
      <c r="AA87" s="12">
        <f ca="1">IFERROR(__xludf.DUMMYFUNCTION("""COMPUTED_VALUE"""),1)</f>
        <v>1</v>
      </c>
      <c r="AB87" s="12">
        <f ca="1">IFERROR(__xludf.DUMMYFUNCTION("""COMPUTED_VALUE"""),8)</f>
        <v>8</v>
      </c>
      <c r="AC87" s="12"/>
      <c r="AD87" s="12"/>
      <c r="AE87" s="12"/>
      <c r="AF87" s="12"/>
      <c r="AG87" s="13" t="str">
        <f ca="1">IFERROR(__xludf.DUMMYFUNCTION("ArrayFormula(VLOOKUP(G87, IMPORTRANGE(""https://docs.google.com/spreadsheets/d/1Co934fvtviyaRiMsrIlT05Jaq7iiYq07aLvRr35KA48/edit?gid=173865642#gid=173865642"", ""'G6_Sci Cur_Pri_LU'!G2:V2000""), {3, 4, 5, 6, 7, 8, 9, 10, 11, 12, 13, 14, 15, 16}, 0))"),"LU006410")</f>
        <v>LU006410</v>
      </c>
      <c r="AH87" s="13" t="str">
        <f ca="1">IFERROR(__xludf.DUMMYFUNCTION("""COMPUTED_VALUE"""),"Introduction to the biodiversity of a region")</f>
        <v>Introduction to the biodiversity of a region</v>
      </c>
      <c r="AI87" s="13" t="str">
        <f ca="1">IFERROR(__xludf.DUMMYFUNCTION("""COMPUTED_VALUE"""),"LU006415")</f>
        <v>LU006415</v>
      </c>
      <c r="AJ87" s="13" t="str">
        <f ca="1">IFERROR(__xludf.DUMMYFUNCTION("""COMPUTED_VALUE"""),"Impact of Habitat Destruction on Biodiversity")</f>
        <v>Impact of Habitat Destruction on Biodiversity</v>
      </c>
      <c r="AK87" s="13"/>
      <c r="AL87" s="13"/>
      <c r="AM87" s="13"/>
      <c r="AN87" s="13"/>
      <c r="AO87" s="13"/>
      <c r="AP87" s="13"/>
      <c r="AQ87" s="13"/>
      <c r="AR87" s="13"/>
      <c r="AS87" s="13"/>
      <c r="AT87" s="13"/>
    </row>
    <row r="88" spans="1:46">
      <c r="A88" s="8" t="s">
        <v>1405</v>
      </c>
      <c r="B88" s="8" t="s">
        <v>47</v>
      </c>
      <c r="C88" s="8" t="s">
        <v>48</v>
      </c>
      <c r="D88" s="8" t="s">
        <v>1441</v>
      </c>
      <c r="E88" s="8" t="s">
        <v>1616</v>
      </c>
      <c r="F88" s="8" t="s">
        <v>1630</v>
      </c>
      <c r="G88" s="8" t="s">
        <v>1633</v>
      </c>
      <c r="H88" s="113" t="s">
        <v>1634</v>
      </c>
      <c r="I88" s="10" t="str">
        <f t="shared" si="0"/>
        <v>LU006157.001</v>
      </c>
      <c r="J88" s="10" t="str">
        <f ca="1">IFERROR(__xludf.DUMMYFUNCTION("VLOOKUP(I88, IMPORTRANGE(""https://docs.google.com/spreadsheets/d/1yDAaXNsi4Mr5FtRQL4tbmSdIzhx6_m4wkOD7IG-k_eo/edit#gid=1336395716"", ""Science!M:N""), 2, FALSE)"),"Default")</f>
        <v>Default</v>
      </c>
      <c r="K88" s="10" t="str">
        <f t="shared" si="1"/>
        <v>LU006157.002</v>
      </c>
      <c r="L88" s="10" t="str">
        <f ca="1">IFERROR(__xludf.DUMMYFUNCTION("VLOOKUP(K88, IMPORTRANGE(""https://docs.google.com/spreadsheets/d/1yDAaXNsi4Mr5FtRQL4tbmSdIzhx6_m4wkOD7IG-k_eo/edit#gid=1336395716"", ""Science!M:N""), 2, FALSE)"),"Default")</f>
        <v>Default</v>
      </c>
      <c r="M88" s="10" t="str">
        <f t="shared" si="2"/>
        <v>LU006157.003</v>
      </c>
      <c r="N88" s="10" t="str">
        <f ca="1">IFERROR(__xludf.DUMMYFUNCTION("VLOOKUP(M88, IMPORTRANGE(""https://docs.google.com/spreadsheets/d/1yDAaXNsi4Mr5FtRQL4tbmSdIzhx6_m4wkOD7IG-k_eo/edit#gid=1336395716"", ""Science!M:N""), 2, FALSE)"),"Default")</f>
        <v>Default</v>
      </c>
      <c r="O88" s="10" t="str">
        <f t="shared" si="3"/>
        <v>LU006157.004</v>
      </c>
      <c r="P88" s="10" t="str">
        <f ca="1">IFERROR(__xludf.DUMMYFUNCTION("VLOOKUP(O88, IMPORTRANGE(""https://docs.google.com/spreadsheets/d/1yDAaXNsi4Mr5FtRQL4tbmSdIzhx6_m4wkOD7IG-k_eo/edit#gid=1336395716"", ""Science!M:N""), 2, FALSE)"),"Default")</f>
        <v>Default</v>
      </c>
      <c r="Q88" s="10" t="str">
        <f t="shared" si="4"/>
        <v>LU006157.005</v>
      </c>
      <c r="R88" s="10" t="str">
        <f ca="1">IFERROR(__xludf.DUMMYFUNCTION("VLOOKUP(Q88, IMPORTRANGE(""https://docs.google.com/spreadsheets/d/1yDAaXNsi4Mr5FtRQL4tbmSdIzhx6_m4wkOD7IG-k_eo/edit#gid=1336395716"", ""Science!M:N""), 2, FALSE)"),"Default")</f>
        <v>Default</v>
      </c>
      <c r="S88" s="10" t="str">
        <f t="shared" si="5"/>
        <v>LU006157.006</v>
      </c>
      <c r="T88" s="10" t="str">
        <f ca="1">IFERROR(__xludf.DUMMYFUNCTION("VLOOKUP(S88, IMPORTRANGE(""https://docs.google.com/spreadsheets/d/1yDAaXNsi4Mr5FtRQL4tbmSdIzhx6_m4wkOD7IG-k_eo/edit#gid=1336395716"", ""Science!M:N""), 2, FALSE)"),"Default")</f>
        <v>Default</v>
      </c>
      <c r="U88" s="11">
        <f ca="1">IFERROR(__xludf.DUMMYFUNCTION("ArrayFormula(VLOOKUP(G88, IMPORTRANGE(""https://docs.google.com/spreadsheets/d/1p7R4vtkWt5VOBim4ltsDG9KTzSjrtKXsMtQGXPHyND0/edit#gid=795171502"", ""'Filter 30_05_2024'!A1:M2000""), {2, 3, 4, 5,6,7,8,9,10,11,12,13}, 0))"),4)</f>
        <v>4</v>
      </c>
      <c r="V88" s="11">
        <f ca="1">IFERROR(__xludf.DUMMYFUNCTION("""COMPUTED_VALUE"""),6)</f>
        <v>6</v>
      </c>
      <c r="W88" s="11">
        <f ca="1">IFERROR(__xludf.DUMMYFUNCTION("""COMPUTED_VALUE"""),2)</f>
        <v>2</v>
      </c>
      <c r="X88" s="11">
        <f ca="1">IFERROR(__xludf.DUMMYFUNCTION("""COMPUTED_VALUE"""),12)</f>
        <v>12</v>
      </c>
      <c r="Y88" s="11">
        <f ca="1">IFERROR(__xludf.DUMMYFUNCTION("""COMPUTED_VALUE"""),4)</f>
        <v>4</v>
      </c>
      <c r="Z88" s="12">
        <f ca="1">IFERROR(__xludf.DUMMYFUNCTION("""COMPUTED_VALUE"""),3)</f>
        <v>3</v>
      </c>
      <c r="AA88" s="12">
        <f ca="1">IFERROR(__xludf.DUMMYFUNCTION("""COMPUTED_VALUE"""),1)</f>
        <v>1</v>
      </c>
      <c r="AB88" s="12">
        <f ca="1">IFERROR(__xludf.DUMMYFUNCTION("""COMPUTED_VALUE"""),8)</f>
        <v>8</v>
      </c>
      <c r="AC88" s="12"/>
      <c r="AD88" s="12"/>
      <c r="AE88" s="12"/>
      <c r="AF88" s="12"/>
      <c r="AG88" s="13" t="str">
        <f ca="1">IFERROR(__xludf.DUMMYFUNCTION("ArrayFormula(VLOOKUP(G88, IMPORTRANGE(""https://docs.google.com/spreadsheets/d/1Co934fvtviyaRiMsrIlT05Jaq7iiYq07aLvRr35KA48/edit?gid=173865642#gid=173865642"", ""'G6_Sci Cur_Pri_LU'!G2:V2000""), {3, 4, 5, 6, 7, 8, 9, 10, 11, 12, 13, 14, 15, 16}, 0))"),"LU005749")</f>
        <v>LU005749</v>
      </c>
      <c r="AH88" s="13" t="str">
        <f ca="1">IFERROR(__xludf.DUMMYFUNCTION("""COMPUTED_VALUE"""),"Definition of Soil")</f>
        <v>Definition of Soil</v>
      </c>
      <c r="AI88" s="13"/>
      <c r="AJ88" s="13"/>
      <c r="AK88" s="13"/>
      <c r="AL88" s="13"/>
      <c r="AM88" s="13"/>
      <c r="AN88" s="13"/>
      <c r="AO88" s="13"/>
      <c r="AP88" s="13"/>
      <c r="AQ88" s="13"/>
      <c r="AR88" s="13"/>
      <c r="AS88" s="13"/>
      <c r="AT88" s="13"/>
    </row>
    <row r="89" spans="1:46">
      <c r="A89" s="8" t="s">
        <v>1405</v>
      </c>
      <c r="B89" s="8" t="s">
        <v>47</v>
      </c>
      <c r="C89" s="8" t="s">
        <v>48</v>
      </c>
      <c r="D89" s="8" t="s">
        <v>1441</v>
      </c>
      <c r="E89" s="8" t="s">
        <v>1616</v>
      </c>
      <c r="F89" s="8" t="s">
        <v>1635</v>
      </c>
      <c r="G89" s="8" t="s">
        <v>1636</v>
      </c>
      <c r="H89" s="8" t="s">
        <v>1637</v>
      </c>
      <c r="I89" s="10" t="str">
        <f t="shared" si="0"/>
        <v>LU006437.001</v>
      </c>
      <c r="J89" s="10" t="str">
        <f ca="1">IFERROR(__xludf.DUMMYFUNCTION("VLOOKUP(I89, IMPORTRANGE(""https://docs.google.com/spreadsheets/d/1yDAaXNsi4Mr5FtRQL4tbmSdIzhx6_m4wkOD7IG-k_eo/edit#gid=1336395716"", ""Science!M:N""), 2, FALSE)"),"Identify and name different types of rocks (e.g., granite, sandstone, marble) and their common uses in everyday life (e.g., building materials, tools).")</f>
        <v>Identify and name different types of rocks (e.g., granite, sandstone, marble) and their common uses in everyday life (e.g., building materials, tools).</v>
      </c>
      <c r="K89" s="10" t="str">
        <f t="shared" si="1"/>
        <v>LU006437.002</v>
      </c>
      <c r="L89" s="10" t="str">
        <f ca="1">IFERROR(__xludf.DUMMYFUNCTION("VLOOKUP(K89, IMPORTRANGE(""https://docs.google.com/spreadsheets/d/1yDAaXNsi4Mr5FtRQL4tbmSdIzhx6_m4wkOD7IG-k_eo/edit#gid=1336395716"", ""Science!M:N""), 2, FALSE)"),"Explain the formation and characteristics of various rocks found in our surroundings, and describe how minerals are extracted from these rocks for different purposes.")</f>
        <v>Explain the formation and characteristics of various rocks found in our surroundings, and describe how minerals are extracted from these rocks for different purposes.</v>
      </c>
      <c r="M89" s="10" t="str">
        <f t="shared" si="2"/>
        <v>LU006437.003</v>
      </c>
      <c r="N89" s="10" t="str">
        <f ca="1">IFERROR(__xludf.DUMMYFUNCTION("VLOOKUP(M89, IMPORTRANGE(""https://docs.google.com/spreadsheets/d/1yDAaXNsi4Mr5FtRQL4tbmSdIzhx6_m4wkOD7IG-k_eo/edit#gid=1336395716"", ""Science!M:N""), 2, FALSE)"),"Identify and classify rocks in the local environment based on their physical properties (e.g., hardness, texture, colour) and uses.")</f>
        <v>Identify and classify rocks in the local environment based on their physical properties (e.g., hardness, texture, colour) and uses.</v>
      </c>
      <c r="O89" s="10" t="str">
        <f t="shared" si="3"/>
        <v>LU006437.004</v>
      </c>
      <c r="P89" s="10" t="str">
        <f ca="1">IFERROR(__xludf.DUMMYFUNCTION("VLOOKUP(O89, IMPORTRANGE(""https://docs.google.com/spreadsheets/d/1yDAaXNsi4Mr5FtRQL4tbmSdIzhx6_m4wkOD7IG-k_eo/edit#gid=1336395716"", ""Science!M:N""), 2, FALSE)"),"Compare the uses of different types of rocks in construction, tools, and other human activities, and analyze the reasons for choosing specific rocks for these purposes.")</f>
        <v>Compare the uses of different types of rocks in construction, tools, and other human activities, and analyze the reasons for choosing specific rocks for these purposes.</v>
      </c>
      <c r="Q89" s="10" t="str">
        <f t="shared" si="4"/>
        <v>LU006437.005</v>
      </c>
      <c r="R89" s="10" t="str">
        <f ca="1">IFERROR(__xludf.DUMMYFUNCTION("VLOOKUP(Q89, IMPORTRANGE(""https://docs.google.com/spreadsheets/d/1yDAaXNsi4Mr5FtRQL4tbmSdIzhx6_m4wkOD7IG-k_eo/edit#gid=1336395716"", ""Science!M:N""), 2, FALSE)"),"Evaluate the importance of conserving rocks and minerals, considering the time it takes for them to form and the environmental impact of their extraction.")</f>
        <v>Evaluate the importance of conserving rocks and minerals, considering the time it takes for them to form and the environmental impact of their extraction.</v>
      </c>
      <c r="S89" s="10" t="str">
        <f t="shared" si="5"/>
        <v>LU006437.006</v>
      </c>
      <c r="T89" s="10" t="str">
        <f ca="1">IFERROR(__xludf.DUMMYFUNCTION("VLOOKUP(S89, IMPORTRANGE(""https://docs.google.com/spreadsheets/d/1yDAaXNsi4Mr5FtRQL4tbmSdIzhx6_m4wkOD7IG-k_eo/edit#gid=1336395716"", ""Science!M:N""), 2, FALSE)"),"Design a simple project that demonstrates how rocks are used in various aspects of human life, including their extraction and processing for materials and tools.")</f>
        <v>Design a simple project that demonstrates how rocks are used in various aspects of human life, including their extraction and processing for materials and tools.</v>
      </c>
      <c r="U89" s="11">
        <f ca="1">IFERROR(__xludf.DUMMYFUNCTION("ArrayFormula(VLOOKUP(G89, IMPORTRANGE(""https://docs.google.com/spreadsheets/d/1p7R4vtkWt5VOBim4ltsDG9KTzSjrtKXsMtQGXPHyND0/edit#gid=795171502"", ""'Filter 30_05_2024'!A1:M2000""), {2, 3, 4, 5,6,7,8,9,10,11,12,13}, 0))"),4)</f>
        <v>4</v>
      </c>
      <c r="V89" s="11">
        <f ca="1">IFERROR(__xludf.DUMMYFUNCTION("""COMPUTED_VALUE"""),5)</f>
        <v>5</v>
      </c>
      <c r="W89" s="11">
        <f ca="1">IFERROR(__xludf.DUMMYFUNCTION("""COMPUTED_VALUE"""),2)</f>
        <v>2</v>
      </c>
      <c r="X89" s="11">
        <f ca="1">IFERROR(__xludf.DUMMYFUNCTION("""COMPUTED_VALUE"""),11)</f>
        <v>11</v>
      </c>
      <c r="Y89" s="11">
        <f ca="1">IFERROR(__xludf.DUMMYFUNCTION("""COMPUTED_VALUE"""),4)</f>
        <v>4</v>
      </c>
      <c r="Z89" s="12">
        <f ca="1">IFERROR(__xludf.DUMMYFUNCTION("""COMPUTED_VALUE"""),4)</f>
        <v>4</v>
      </c>
      <c r="AA89" s="12">
        <f ca="1">IFERROR(__xludf.DUMMYFUNCTION("""COMPUTED_VALUE"""),1)</f>
        <v>1</v>
      </c>
      <c r="AB89" s="12">
        <f ca="1">IFERROR(__xludf.DUMMYFUNCTION("""COMPUTED_VALUE"""),9)</f>
        <v>9</v>
      </c>
      <c r="AC89" s="12"/>
      <c r="AD89" s="12"/>
      <c r="AE89" s="12"/>
      <c r="AF89" s="12"/>
      <c r="AG89" s="13" t="str">
        <f ca="1">IFERROR(__xludf.DUMMYFUNCTION("ArrayFormula(VLOOKUP(G89, IMPORTRANGE(""https://docs.google.com/spreadsheets/d/1Co934fvtviyaRiMsrIlT05Jaq7iiYq07aLvRr35KA48/edit?gid=173865642#gid=173865642"", ""'G6_Sci Cur_Pri_LU'!G2:V2000""), {3, 4, 5, 6, 7, 8, 9, 10, 11, 12, 13, 14, 15, 16}, 0))"),"")</f>
        <v/>
      </c>
      <c r="AH89" s="13"/>
      <c r="AI89" s="13"/>
      <c r="AJ89" s="13"/>
      <c r="AK89" s="13"/>
      <c r="AL89" s="13"/>
      <c r="AM89" s="13"/>
      <c r="AN89" s="13"/>
      <c r="AO89" s="13"/>
      <c r="AP89" s="13"/>
      <c r="AQ89" s="13"/>
      <c r="AR89" s="13"/>
      <c r="AS89" s="13"/>
      <c r="AT89" s="13"/>
    </row>
    <row r="90" spans="1:46">
      <c r="A90" s="8" t="s">
        <v>1405</v>
      </c>
      <c r="B90" s="8" t="s">
        <v>47</v>
      </c>
      <c r="C90" s="8" t="s">
        <v>48</v>
      </c>
      <c r="D90" s="8" t="s">
        <v>1441</v>
      </c>
      <c r="E90" s="8" t="s">
        <v>1616</v>
      </c>
      <c r="F90" s="8" t="s">
        <v>1635</v>
      </c>
      <c r="G90" s="106" t="s">
        <v>1638</v>
      </c>
      <c r="H90" s="106" t="s">
        <v>1639</v>
      </c>
      <c r="I90" s="10" t="str">
        <f t="shared" si="0"/>
        <v>LU005708.001</v>
      </c>
      <c r="J90" s="10" t="str">
        <f ca="1">IFERROR(__xludf.DUMMYFUNCTION("VLOOKUP(I90, IMPORTRANGE(""https://docs.google.com/spreadsheets/d/1yDAaXNsi4Mr5FtRQL4tbmSdIzhx6_m4wkOD7IG-k_eo/edit#gid=1336395716"", ""Science!M:N""), 2, FALSE)"),"Name the three main types of fossil fuels.")</f>
        <v>Name the three main types of fossil fuels.</v>
      </c>
      <c r="K90" s="10" t="str">
        <f t="shared" si="1"/>
        <v>LU005708.002</v>
      </c>
      <c r="L90" s="10" t="str">
        <f ca="1">IFERROR(__xludf.DUMMYFUNCTION("VLOOKUP(K90, IMPORTRANGE(""https://docs.google.com/spreadsheets/d/1yDAaXNsi4Mr5FtRQL4tbmSdIzhx6_m4wkOD7IG-k_eo/edit#gid=1336395716"", ""Science!M:N""), 2, FALSE)"),"Summarize the origin of each fossil fuel.")</f>
        <v>Summarize the origin of each fossil fuel.</v>
      </c>
      <c r="M90" s="10" t="str">
        <f t="shared" si="2"/>
        <v>LU005708.003</v>
      </c>
      <c r="N90" s="10" t="str">
        <f ca="1">IFERROR(__xludf.DUMMYFUNCTION("VLOOKUP(M90, IMPORTRANGE(""https://docs.google.com/spreadsheets/d/1yDAaXNsi4Mr5FtRQL4tbmSdIzhx6_m4wkOD7IG-k_eo/edit#gid=1336395716"", ""Science!M:N""), 2, FALSE)"),"Illustrate the formation process of fossil fuels.")</f>
        <v>Illustrate the formation process of fossil fuels.</v>
      </c>
      <c r="O90" s="10" t="str">
        <f t="shared" si="3"/>
        <v>LU005708.004</v>
      </c>
      <c r="P90" s="10" t="str">
        <f ca="1">IFERROR(__xludf.DUMMYFUNCTION("VLOOKUP(O90, IMPORTRANGE(""https://docs.google.com/spreadsheets/d/1yDAaXNsi4Mr5FtRQL4tbmSdIzhx6_m4wkOD7IG-k_eo/edit#gid=1336395716"", ""Science!M:N""), 2, FALSE)"),"Compare and contrast coal, petroleum, and natural gas.")</f>
        <v>Compare and contrast coal, petroleum, and natural gas.</v>
      </c>
      <c r="Q90" s="10" t="str">
        <f t="shared" si="4"/>
        <v>LU005708.005</v>
      </c>
      <c r="R90" s="10" t="str">
        <f ca="1">IFERROR(__xludf.DUMMYFUNCTION("VLOOKUP(Q90, IMPORTRANGE(""https://docs.google.com/spreadsheets/d/1yDAaXNsi4Mr5FtRQL4tbmSdIzhx6_m4wkOD7IG-k_eo/edit#gid=1336395716"", ""Science!M:N""), 2, FALSE)"),"Evaluate the efficiency of each fossil fuel.")</f>
        <v>Evaluate the efficiency of each fossil fuel.</v>
      </c>
      <c r="S90" s="10" t="str">
        <f t="shared" si="5"/>
        <v>LU005708.006</v>
      </c>
      <c r="T90" s="10" t="str">
        <f ca="1">IFERROR(__xludf.DUMMYFUNCTION("VLOOKUP(S90, IMPORTRANGE(""https://docs.google.com/spreadsheets/d/1yDAaXNsi4Mr5FtRQL4tbmSdIzhx6_m4wkOD7IG-k_eo/edit#gid=1336395716"", ""Science!M:N""), 2, FALSE)"),"#N/A")</f>
        <v>#N/A</v>
      </c>
      <c r="U90" s="11">
        <f ca="1">IFERROR(__xludf.DUMMYFUNCTION("ArrayFormula(VLOOKUP(G90, IMPORTRANGE(""https://docs.google.com/spreadsheets/d/1p7R4vtkWt5VOBim4ltsDG9KTzSjrtKXsMtQGXPHyND0/edit#gid=795171502"", ""'Filter 30_05_2024'!A1:M2000""), {2, 3, 4, 5,6,7,8,9,10,11,12,13}, 0))"),4)</f>
        <v>4</v>
      </c>
      <c r="V90" s="11">
        <f ca="1">IFERROR(__xludf.DUMMYFUNCTION("""COMPUTED_VALUE"""),6)</f>
        <v>6</v>
      </c>
      <c r="W90" s="11">
        <f ca="1">IFERROR(__xludf.DUMMYFUNCTION("""COMPUTED_VALUE"""),2)</f>
        <v>2</v>
      </c>
      <c r="X90" s="11">
        <f ca="1">IFERROR(__xludf.DUMMYFUNCTION("""COMPUTED_VALUE"""),12)</f>
        <v>12</v>
      </c>
      <c r="Y90" s="11">
        <f ca="1">IFERROR(__xludf.DUMMYFUNCTION("""COMPUTED_VALUE"""),4)</f>
        <v>4</v>
      </c>
      <c r="Z90" s="12">
        <f ca="1">IFERROR(__xludf.DUMMYFUNCTION("""COMPUTED_VALUE"""),3)</f>
        <v>3</v>
      </c>
      <c r="AA90" s="12">
        <f ca="1">IFERROR(__xludf.DUMMYFUNCTION("""COMPUTED_VALUE"""),1)</f>
        <v>1</v>
      </c>
      <c r="AB90" s="12">
        <f ca="1">IFERROR(__xludf.DUMMYFUNCTION("""COMPUTED_VALUE"""),8)</f>
        <v>8</v>
      </c>
      <c r="AC90" s="12"/>
      <c r="AD90" s="12"/>
      <c r="AE90" s="12"/>
      <c r="AF90" s="12"/>
      <c r="AG90" s="13" t="str">
        <f ca="1">IFERROR(__xludf.DUMMYFUNCTION("ArrayFormula(VLOOKUP(G90, IMPORTRANGE(""https://docs.google.com/spreadsheets/d/1Co934fvtviyaRiMsrIlT05Jaq7iiYq07aLvRr35KA48/edit?gid=173865642#gid=173865642"", ""'G6_Sci Cur_Pri_LU'!G2:V2000""), {3, 4, 5, 6, 7, 8, 9, 10, 11, 12, 13, 14, 15, 16}, 0))"),"")</f>
        <v/>
      </c>
      <c r="AH90" s="13"/>
      <c r="AI90" s="13"/>
      <c r="AJ90" s="13"/>
      <c r="AK90" s="13"/>
      <c r="AL90" s="13"/>
      <c r="AM90" s="13"/>
      <c r="AN90" s="13"/>
      <c r="AO90" s="13"/>
      <c r="AP90" s="13"/>
      <c r="AQ90" s="13"/>
      <c r="AR90" s="13"/>
      <c r="AS90" s="13"/>
      <c r="AT90" s="13"/>
    </row>
    <row r="91" spans="1:46">
      <c r="A91" s="8" t="s">
        <v>1405</v>
      </c>
      <c r="B91" s="8" t="s">
        <v>47</v>
      </c>
      <c r="C91" s="8" t="s">
        <v>48</v>
      </c>
      <c r="D91" s="8" t="s">
        <v>1441</v>
      </c>
      <c r="E91" s="8" t="s">
        <v>1616</v>
      </c>
      <c r="F91" s="8" t="s">
        <v>1635</v>
      </c>
      <c r="G91" s="8" t="s">
        <v>1640</v>
      </c>
      <c r="H91" s="8" t="s">
        <v>1641</v>
      </c>
      <c r="I91" s="10" t="str">
        <f t="shared" si="0"/>
        <v>LU005993.001</v>
      </c>
      <c r="J91" s="10" t="str">
        <f ca="1">IFERROR(__xludf.DUMMYFUNCTION("VLOOKUP(I91, IMPORTRANGE(""https://docs.google.com/spreadsheets/d/1yDAaXNsi4Mr5FtRQL4tbmSdIzhx6_m4wkOD7IG-k_eo/edit#gid=1336395716"", ""Science!M:N""), 2, FALSE)"),"Identify different types of fuels used in homes, vehicles, machines, and for generating electricity.")</f>
        <v>Identify different types of fuels used in homes, vehicles, machines, and for generating electricity.</v>
      </c>
      <c r="K91" s="10" t="str">
        <f t="shared" si="1"/>
        <v>LU005993.002</v>
      </c>
      <c r="L91" s="10" t="str">
        <f ca="1">IFERROR(__xludf.DUMMYFUNCTION("VLOOKUP(K91, IMPORTRANGE(""https://docs.google.com/spreadsheets/d/1yDAaXNsi4Mr5FtRQL4tbmSdIzhx6_m4wkOD7IG-k_eo/edit#gid=1336395716"", ""Science!M:N""), 2, FALSE)"),"Describe how fuel is used in transportation and its importance.")</f>
        <v>Describe how fuel is used in transportation and its importance.</v>
      </c>
      <c r="M91" s="10" t="str">
        <f t="shared" si="2"/>
        <v>LU005993.003</v>
      </c>
      <c r="N91" s="10" t="str">
        <f ca="1">IFERROR(__xludf.DUMMYFUNCTION("VLOOKUP(M91, IMPORTRANGE(""https://docs.google.com/spreadsheets/d/1yDAaXNsi4Mr5FtRQL4tbmSdIzhx6_m4wkOD7IG-k_eo/edit#gid=1336395716"", ""Science!M:N""), 2, FALSE)"),"Predict the effects of using different types of fuels on the efficiency of machines.")</f>
        <v>Predict the effects of using different types of fuels on the efficiency of machines.</v>
      </c>
      <c r="O91" s="10" t="str">
        <f t="shared" si="3"/>
        <v>LU005993.004</v>
      </c>
      <c r="P91" s="10" t="str">
        <f ca="1">IFERROR(__xludf.DUMMYFUNCTION("VLOOKUP(O91, IMPORTRANGE(""https://docs.google.com/spreadsheets/d/1yDAaXNsi4Mr5FtRQL4tbmSdIzhx6_m4wkOD7IG-k_eo/edit#gid=1336395716"", ""Science!M:N""), 2, FALSE)"),"Compare the advantages and disadvantages of using fossil fuels versus renewable energy sources for electricity generation.")</f>
        <v>Compare the advantages and disadvantages of using fossil fuels versus renewable energy sources for electricity generation.</v>
      </c>
      <c r="Q91" s="10" t="str">
        <f t="shared" si="4"/>
        <v>LU005993.005</v>
      </c>
      <c r="R91" s="10" t="str">
        <f ca="1">IFERROR(__xludf.DUMMYFUNCTION("VLOOKUP(Q91, IMPORTRANGE(""https://docs.google.com/spreadsheets/d/1yDAaXNsi4Mr5FtRQL4tbmSdIzhx6_m4wkOD7IG-k_eo/edit#gid=1336395716"", ""Science!M:N""), 2, FALSE)"),"Assess the impact of fuel choices on air quality and climate change.")</f>
        <v>Assess the impact of fuel choices on air quality and climate change.</v>
      </c>
      <c r="S91" s="10" t="str">
        <f t="shared" si="5"/>
        <v>LU005993.006</v>
      </c>
      <c r="T91" s="10" t="str">
        <f ca="1">IFERROR(__xludf.DUMMYFUNCTION("VLOOKUP(S91, IMPORTRANGE(""https://docs.google.com/spreadsheets/d/1yDAaXNsi4Mr5FtRQL4tbmSdIzhx6_m4wkOD7IG-k_eo/edit#gid=1336395716"", ""Science!M:N""), 2, FALSE)"),"#N/A")</f>
        <v>#N/A</v>
      </c>
      <c r="U91" s="11">
        <f ca="1">IFERROR(__xludf.DUMMYFUNCTION("ArrayFormula(VLOOKUP(G91, IMPORTRANGE(""https://docs.google.com/spreadsheets/d/1p7R4vtkWt5VOBim4ltsDG9KTzSjrtKXsMtQGXPHyND0/edit#gid=795171502"", ""'Filter 30_05_2024'!A1:M2000""), {2, 3, 4, 5,6,7,8,9,10,11,12,13}, 0))"),4)</f>
        <v>4</v>
      </c>
      <c r="V91" s="11">
        <f ca="1">IFERROR(__xludf.DUMMYFUNCTION("""COMPUTED_VALUE"""),6)</f>
        <v>6</v>
      </c>
      <c r="W91" s="11">
        <f ca="1">IFERROR(__xludf.DUMMYFUNCTION("""COMPUTED_VALUE"""),2)</f>
        <v>2</v>
      </c>
      <c r="X91" s="11">
        <f ca="1">IFERROR(__xludf.DUMMYFUNCTION("""COMPUTED_VALUE"""),12)</f>
        <v>12</v>
      </c>
      <c r="Y91" s="11">
        <f ca="1">IFERROR(__xludf.DUMMYFUNCTION("""COMPUTED_VALUE"""),4)</f>
        <v>4</v>
      </c>
      <c r="Z91" s="12">
        <f ca="1">IFERROR(__xludf.DUMMYFUNCTION("""COMPUTED_VALUE"""),3)</f>
        <v>3</v>
      </c>
      <c r="AA91" s="12">
        <f ca="1">IFERROR(__xludf.DUMMYFUNCTION("""COMPUTED_VALUE"""),1)</f>
        <v>1</v>
      </c>
      <c r="AB91" s="12">
        <f ca="1">IFERROR(__xludf.DUMMYFUNCTION("""COMPUTED_VALUE"""),8)</f>
        <v>8</v>
      </c>
      <c r="AC91" s="12"/>
      <c r="AD91" s="12"/>
      <c r="AE91" s="12"/>
      <c r="AF91" s="12"/>
      <c r="AG91" s="13" t="str">
        <f ca="1">IFERROR(__xludf.DUMMYFUNCTION("ArrayFormula(VLOOKUP(G91, IMPORTRANGE(""https://docs.google.com/spreadsheets/d/1Co934fvtviyaRiMsrIlT05Jaq7iiYq07aLvRr35KA48/edit?gid=173865642#gid=173865642"", ""'G6_Sci Cur_Pri_LU'!G2:V2000""), {3, 4, 5, 6, 7, 8, 9, 10, 11, 12, 13, 14, 15, 16}, 0))"),"LU005708")</f>
        <v>LU005708</v>
      </c>
      <c r="AH91" s="13" t="str">
        <f ca="1">IFERROR(__xludf.DUMMYFUNCTION("""COMPUTED_VALUE"""),"Overview of Fossil Fuels (Coal, Petroleum, Natural Gas)")</f>
        <v>Overview of Fossil Fuels (Coal, Petroleum, Natural Gas)</v>
      </c>
      <c r="AI91" s="13"/>
      <c r="AJ91" s="13"/>
      <c r="AK91" s="13"/>
      <c r="AL91" s="13"/>
      <c r="AM91" s="13"/>
      <c r="AN91" s="13"/>
      <c r="AO91" s="13"/>
      <c r="AP91" s="13"/>
      <c r="AQ91" s="13"/>
      <c r="AR91" s="13"/>
      <c r="AS91" s="13"/>
      <c r="AT91" s="13"/>
    </row>
    <row r="92" spans="1:46">
      <c r="A92" s="8" t="s">
        <v>1405</v>
      </c>
      <c r="B92" s="8" t="s">
        <v>47</v>
      </c>
      <c r="C92" s="8" t="s">
        <v>48</v>
      </c>
      <c r="D92" s="8" t="s">
        <v>1441</v>
      </c>
      <c r="E92" s="8" t="s">
        <v>1616</v>
      </c>
      <c r="F92" s="8" t="s">
        <v>1642</v>
      </c>
      <c r="G92" s="8" t="s">
        <v>1643</v>
      </c>
      <c r="H92" s="113" t="s">
        <v>1644</v>
      </c>
      <c r="I92" s="10" t="str">
        <f t="shared" si="0"/>
        <v>LU006438.001</v>
      </c>
      <c r="J92" s="10" t="str">
        <f ca="1">IFERROR(__xludf.DUMMYFUNCTION("VLOOKUP(I92, IMPORTRANGE(""https://docs.google.com/spreadsheets/d/1yDAaXNsi4Mr5FtRQL4tbmSdIzhx6_m4wkOD7IG-k_eo/edit#gid=1336395716"", ""Science!M:N""), 2, FALSE)"),"Recall the definitions of natural, human-made, renewable, and non-renewable resources.")</f>
        <v>Recall the definitions of natural, human-made, renewable, and non-renewable resources.</v>
      </c>
      <c r="K92" s="10" t="str">
        <f t="shared" si="1"/>
        <v>LU006438.002</v>
      </c>
      <c r="L92" s="10" t="str">
        <f ca="1">IFERROR(__xludf.DUMMYFUNCTION("VLOOKUP(K92, IMPORTRANGE(""https://docs.google.com/spreadsheets/d/1yDAaXNsi4Mr5FtRQL4tbmSdIzhx6_m4wkOD7IG-k_eo/edit#gid=1336395716"", ""Science!M:N""), 2, FALSE)"),"Explain the differences between natural and human-made resources and between renewable and non-renewable resources.")</f>
        <v>Explain the differences between natural and human-made resources and between renewable and non-renewable resources.</v>
      </c>
      <c r="M92" s="10" t="str">
        <f t="shared" si="2"/>
        <v>LU006438.003</v>
      </c>
      <c r="N92" s="10" t="str">
        <f ca="1">IFERROR(__xludf.DUMMYFUNCTION("VLOOKUP(M92, IMPORTRANGE(""https://docs.google.com/spreadsheets/d/1yDAaXNsi4Mr5FtRQL4tbmSdIzhx6_m4wkOD7IG-k_eo/edit#gid=1336395716"", ""Science!M:N""), 2, FALSE)"),"Identify examples of natural, human-made, renewable, and non-renewable resources in everyday life.")</f>
        <v>Identify examples of natural, human-made, renewable, and non-renewable resources in everyday life.</v>
      </c>
      <c r="O92" s="10" t="str">
        <f t="shared" si="3"/>
        <v>LU006438.004</v>
      </c>
      <c r="P92" s="10" t="str">
        <f ca="1">IFERROR(__xludf.DUMMYFUNCTION("VLOOKUP(O92, IMPORTRANGE(""https://docs.google.com/spreadsheets/d/1yDAaXNsi4Mr5FtRQL4tbmSdIzhx6_m4wkOD7IG-k_eo/edit#gid=1336395716"", ""Science!M:N""), 2, FALSE)"),"Analyze the impact of using non-renewable resources compared to renewable resources on the environment.")</f>
        <v>Analyze the impact of using non-renewable resources compared to renewable resources on the environment.</v>
      </c>
      <c r="Q92" s="10" t="str">
        <f t="shared" si="4"/>
        <v>LU006438.005</v>
      </c>
      <c r="R92" s="10" t="str">
        <f ca="1">IFERROR(__xludf.DUMMYFUNCTION("VLOOKUP(Q92, IMPORTRANGE(""https://docs.google.com/spreadsheets/d/1yDAaXNsi4Mr5FtRQL4tbmSdIzhx6_m4wkOD7IG-k_eo/edit#gid=1336395716"", ""Science!M:N""), 2, FALSE)"),"Evaluate the sustainability of using different types of resources in various human activities.")</f>
        <v>Evaluate the sustainability of using different types of resources in various human activities.</v>
      </c>
      <c r="S92" s="10" t="str">
        <f t="shared" si="5"/>
        <v>LU006438.006</v>
      </c>
      <c r="T92" s="10" t="str">
        <f ca="1">IFERROR(__xludf.DUMMYFUNCTION("VLOOKUP(S92, IMPORTRANGE(""https://docs.google.com/spreadsheets/d/1yDAaXNsi4Mr5FtRQL4tbmSdIzhx6_m4wkOD7IG-k_eo/edit#gid=1336395716"", ""Science!M:N""), 2, FALSE)"),"Create a plan for using resources in a way that balances the use of renewable and non-renewable resources in daily life.")</f>
        <v>Create a plan for using resources in a way that balances the use of renewable and non-renewable resources in daily life.</v>
      </c>
      <c r="U92" s="11">
        <f ca="1">IFERROR(__xludf.DUMMYFUNCTION("ArrayFormula(VLOOKUP(G92, IMPORTRANGE(""https://docs.google.com/spreadsheets/d/1p7R4vtkWt5VOBim4ltsDG9KTzSjrtKXsMtQGXPHyND0/edit#gid=795171502"", ""'Filter 30_05_2024'!A1:M2000""), {2, 3, 4, 5,6,7,8,9,10,11,12,13}, 0))"),4)</f>
        <v>4</v>
      </c>
      <c r="V92" s="11">
        <f ca="1">IFERROR(__xludf.DUMMYFUNCTION("""COMPUTED_VALUE"""),6)</f>
        <v>6</v>
      </c>
      <c r="W92" s="11">
        <f ca="1">IFERROR(__xludf.DUMMYFUNCTION("""COMPUTED_VALUE"""),2)</f>
        <v>2</v>
      </c>
      <c r="X92" s="11">
        <f ca="1">IFERROR(__xludf.DUMMYFUNCTION("""COMPUTED_VALUE"""),12)</f>
        <v>12</v>
      </c>
      <c r="Y92" s="11">
        <f ca="1">IFERROR(__xludf.DUMMYFUNCTION("""COMPUTED_VALUE"""),4)</f>
        <v>4</v>
      </c>
      <c r="Z92" s="12">
        <f ca="1">IFERROR(__xludf.DUMMYFUNCTION("""COMPUTED_VALUE"""),3)</f>
        <v>3</v>
      </c>
      <c r="AA92" s="12">
        <f ca="1">IFERROR(__xludf.DUMMYFUNCTION("""COMPUTED_VALUE"""),1)</f>
        <v>1</v>
      </c>
      <c r="AB92" s="12">
        <f ca="1">IFERROR(__xludf.DUMMYFUNCTION("""COMPUTED_VALUE"""),8)</f>
        <v>8</v>
      </c>
      <c r="AC92" s="12"/>
      <c r="AD92" s="12"/>
      <c r="AE92" s="12"/>
      <c r="AF92" s="12"/>
      <c r="AG92" s="13" t="str">
        <f ca="1">IFERROR(__xludf.DUMMYFUNCTION("ArrayFormula(VLOOKUP(G92, IMPORTRANGE(""https://docs.google.com/spreadsheets/d/1Co934fvtviyaRiMsrIlT05Jaq7iiYq07aLvRr35KA48/edit?gid=173865642#gid=173865642"", ""'G6_Sci Cur_Pri_LU'!G2:V2000""), {3, 4, 5, 6, 7, 8, 9, 10, 11, 12, 13, 14, 15, 16}, 0))"),"LU005708")</f>
        <v>LU005708</v>
      </c>
      <c r="AH92" s="13" t="str">
        <f ca="1">IFERROR(__xludf.DUMMYFUNCTION("""COMPUTED_VALUE"""),"Overview of Fossil Fuels (Coal, Petroleum, Natural Gas)")</f>
        <v>Overview of Fossil Fuels (Coal, Petroleum, Natural Gas)</v>
      </c>
      <c r="AI92" s="13" t="str">
        <f ca="1">IFERROR(__xludf.DUMMYFUNCTION("""COMPUTED_VALUE"""),"LU005779")</f>
        <v>LU005779</v>
      </c>
      <c r="AJ92" s="13" t="str">
        <f ca="1">IFERROR(__xludf.DUMMYFUNCTION("""COMPUTED_VALUE"""),"Natural Sources of Water")</f>
        <v>Natural Sources of Water</v>
      </c>
      <c r="AK92" s="13" t="str">
        <f ca="1">IFERROR(__xludf.DUMMYFUNCTION("""COMPUTED_VALUE"""),"LU005024")</f>
        <v>LU005024</v>
      </c>
      <c r="AL92" s="13" t="str">
        <f ca="1">IFERROR(__xludf.DUMMYFUNCTION("""COMPUTED_VALUE"""),"Importance of Forests for Sustaining Lives")</f>
        <v>Importance of Forests for Sustaining Lives</v>
      </c>
      <c r="AM92" s="13"/>
      <c r="AN92" s="13"/>
      <c r="AO92" s="13"/>
      <c r="AP92" s="13"/>
      <c r="AQ92" s="13"/>
      <c r="AR92" s="13"/>
      <c r="AS92" s="13"/>
      <c r="AT92" s="13"/>
    </row>
    <row r="93" spans="1:46">
      <c r="A93" s="8" t="s">
        <v>1405</v>
      </c>
      <c r="B93" s="8" t="s">
        <v>47</v>
      </c>
      <c r="C93" s="8" t="s">
        <v>48</v>
      </c>
      <c r="D93" s="8" t="s">
        <v>1441</v>
      </c>
      <c r="E93" s="8" t="s">
        <v>1616</v>
      </c>
      <c r="F93" s="8" t="s">
        <v>1642</v>
      </c>
      <c r="G93" s="8" t="s">
        <v>1645</v>
      </c>
      <c r="H93" s="113" t="s">
        <v>1646</v>
      </c>
      <c r="I93" s="10" t="str">
        <f t="shared" si="0"/>
        <v>LU006439.001</v>
      </c>
      <c r="J93" s="10" t="str">
        <f ca="1">IFERROR(__xludf.DUMMYFUNCTION("VLOOKUP(I93, IMPORTRANGE(""https://docs.google.com/spreadsheets/d/1yDAaXNsi4Mr5FtRQL4tbmSdIzhx6_m4wkOD7IG-k_eo/edit#gid=1336395716"", ""Science!M:N""), 2, FALSE)"),"Recall examples of natural resources (such as water, forests, and minerals) and their uses in daily life.")</f>
        <v>Recall examples of natural resources (such as water, forests, and minerals) and their uses in daily life.</v>
      </c>
      <c r="K93" s="10" t="str">
        <f t="shared" si="1"/>
        <v>LU006439.002</v>
      </c>
      <c r="L93" s="10" t="str">
        <f ca="1">IFERROR(__xludf.DUMMYFUNCTION("VLOOKUP(K93, IMPORTRANGE(""https://docs.google.com/spreadsheets/d/1yDAaXNsi4Mr5FtRQL4tbmSdIzhx6_m4wkOD7IG-k_eo/edit#gid=1336395716"", ""Science!M:N""), 2, FALSE)"),"Explain the importance of using natural resources wisely to ensure their availability for future generations.")</f>
        <v>Explain the importance of using natural resources wisely to ensure their availability for future generations.</v>
      </c>
      <c r="M93" s="10" t="str">
        <f t="shared" si="2"/>
        <v>LU006439.003</v>
      </c>
      <c r="N93" s="10" t="str">
        <f ca="1">IFERROR(__xludf.DUMMYFUNCTION("VLOOKUP(M93, IMPORTRANGE(""https://docs.google.com/spreadsheets/d/1yDAaXNsi4Mr5FtRQL4tbmSdIzhx6_m4wkOD7IG-k_eo/edit#gid=1336395716"", ""Science!M:N""), 2, FALSE)"),"Apply the concept of sustainable practices by suggesting ways to conserve natural resources at home and in the community.")</f>
        <v>Apply the concept of sustainable practices by suggesting ways to conserve natural resources at home and in the community.</v>
      </c>
      <c r="O93" s="10" t="str">
        <f t="shared" si="3"/>
        <v>LU006439.004</v>
      </c>
      <c r="P93" s="10" t="str">
        <f ca="1">IFERROR(__xludf.DUMMYFUNCTION("VLOOKUP(O93, IMPORTRANGE(""https://docs.google.com/spreadsheets/d/1yDAaXNsi4Mr5FtRQL4tbmSdIzhx6_m4wkOD7IG-k_eo/edit#gid=1336395716"", ""Science!M:N""), 2, FALSE)"),"Analyze the impact of overusing or misusing natural resources on the environment and human life.")</f>
        <v>Analyze the impact of overusing or misusing natural resources on the environment and human life.</v>
      </c>
      <c r="Q93" s="10" t="str">
        <f t="shared" si="4"/>
        <v>LU006439.005</v>
      </c>
      <c r="R93" s="10" t="str">
        <f ca="1">IFERROR(__xludf.DUMMYFUNCTION("VLOOKUP(Q93, IMPORTRANGE(""https://docs.google.com/spreadsheets/d/1yDAaXNsi4Mr5FtRQL4tbmSdIzhx6_m4wkOD7IG-k_eo/edit#gid=1336395716"", ""Science!M:N""), 2, FALSE)"),"Evaluate different methods of resource management to determine which practices are most effective in promoting sustainability.")</f>
        <v>Evaluate different methods of resource management to determine which practices are most effective in promoting sustainability.</v>
      </c>
      <c r="S93" s="10" t="str">
        <f t="shared" si="5"/>
        <v>LU006439.006</v>
      </c>
      <c r="T93" s="10" t="str">
        <f ca="1">IFERROR(__xludf.DUMMYFUNCTION("VLOOKUP(S93, IMPORTRANGE(""https://docs.google.com/spreadsheets/d/1yDAaXNsi4Mr5FtRQL4tbmSdIzhx6_m4wkOD7IG-k_eo/edit#gid=1336395716"", ""Science!M:N""), 2, FALSE)"),"Create a simple action plan for the judicial use of natural resources in a school project or community initiative.")</f>
        <v>Create a simple action plan for the judicial use of natural resources in a school project or community initiative.</v>
      </c>
      <c r="U93" s="11">
        <f ca="1">IFERROR(__xludf.DUMMYFUNCTION("ArrayFormula(VLOOKUP(G93, IMPORTRANGE(""https://docs.google.com/spreadsheets/d/1p7R4vtkWt5VOBim4ltsDG9KTzSjrtKXsMtQGXPHyND0/edit#gid=795171502"", ""'Filter 30_05_2024'!A1:M2000""), {2, 3, 4, 5,6,7,8,9,10,11,12,13}, 0))"),4)</f>
        <v>4</v>
      </c>
      <c r="V93" s="11">
        <f ca="1">IFERROR(__xludf.DUMMYFUNCTION("""COMPUTED_VALUE"""),6)</f>
        <v>6</v>
      </c>
      <c r="W93" s="11">
        <f ca="1">IFERROR(__xludf.DUMMYFUNCTION("""COMPUTED_VALUE"""),2)</f>
        <v>2</v>
      </c>
      <c r="X93" s="11">
        <f ca="1">IFERROR(__xludf.DUMMYFUNCTION("""COMPUTED_VALUE"""),12)</f>
        <v>12</v>
      </c>
      <c r="Y93" s="11">
        <f ca="1">IFERROR(__xludf.DUMMYFUNCTION("""COMPUTED_VALUE"""),4)</f>
        <v>4</v>
      </c>
      <c r="Z93" s="12">
        <f ca="1">IFERROR(__xludf.DUMMYFUNCTION("""COMPUTED_VALUE"""),3)</f>
        <v>3</v>
      </c>
      <c r="AA93" s="12">
        <f ca="1">IFERROR(__xludf.DUMMYFUNCTION("""COMPUTED_VALUE"""),1)</f>
        <v>1</v>
      </c>
      <c r="AB93" s="12">
        <f ca="1">IFERROR(__xludf.DUMMYFUNCTION("""COMPUTED_VALUE"""),8)</f>
        <v>8</v>
      </c>
      <c r="AC93" s="12"/>
      <c r="AD93" s="12"/>
      <c r="AE93" s="12"/>
      <c r="AF93" s="12"/>
      <c r="AG93" s="13" t="str">
        <f ca="1">IFERROR(__xludf.DUMMYFUNCTION("ArrayFormula(VLOOKUP(G93, IMPORTRANGE(""https://docs.google.com/spreadsheets/d/1Co934fvtviyaRiMsrIlT05Jaq7iiYq07aLvRr35KA48/edit?gid=173865642#gid=173865642"", ""'G6_Sci Cur_Pri_LU'!G2:V2000""), {3, 4, 5, 6, 7, 8, 9, 10, 11, 12, 13, 14, 15, 16}, 0))"),"LU006438")</f>
        <v>LU006438</v>
      </c>
      <c r="AH93" s="13" t="str">
        <f ca="1">IFERROR(__xludf.DUMMYFUNCTION("""COMPUTED_VALUE"""),"Types of Resources(natural, human made, renewable, and non-renewable)")</f>
        <v>Types of Resources(natural, human made, renewable, and non-renewable)</v>
      </c>
      <c r="AI93" s="13" t="str">
        <f ca="1">IFERROR(__xludf.DUMMYFUNCTION("""COMPUTED_VALUE"""),"LU005993")</f>
        <v>LU005993</v>
      </c>
      <c r="AJ93" s="13" t="str">
        <f ca="1">IFERROR(__xludf.DUMMYFUNCTION("""COMPUTED_VALUE"""),"Uses of fuel (In domestic work, transportation, machines, electricity)")</f>
        <v>Uses of fuel (In domestic work, transportation, machines, electricity)</v>
      </c>
      <c r="AK93" s="13" t="str">
        <f ca="1">IFERROR(__xludf.DUMMYFUNCTION("""COMPUTED_VALUE"""),"LU005024")</f>
        <v>LU005024</v>
      </c>
      <c r="AL93" s="13" t="str">
        <f ca="1">IFERROR(__xludf.DUMMYFUNCTION("""COMPUTED_VALUE"""),"Importance of Forests for Sustaining Lives")</f>
        <v>Importance of Forests for Sustaining Lives</v>
      </c>
      <c r="AM93" s="13"/>
      <c r="AN93" s="13"/>
      <c r="AO93" s="13"/>
      <c r="AP93" s="13"/>
      <c r="AQ93" s="13"/>
      <c r="AR93" s="13"/>
      <c r="AS93" s="13"/>
      <c r="AT93" s="13"/>
    </row>
    <row r="94" spans="1:46">
      <c r="A94" s="8" t="s">
        <v>1405</v>
      </c>
      <c r="B94" s="8" t="s">
        <v>47</v>
      </c>
      <c r="C94" s="8" t="s">
        <v>48</v>
      </c>
      <c r="D94" s="8" t="s">
        <v>1510</v>
      </c>
      <c r="E94" s="8" t="s">
        <v>1647</v>
      </c>
      <c r="F94" s="8" t="s">
        <v>1648</v>
      </c>
      <c r="G94" s="8" t="s">
        <v>1649</v>
      </c>
      <c r="H94" s="8" t="s">
        <v>1650</v>
      </c>
      <c r="I94" s="10" t="str">
        <f t="shared" si="0"/>
        <v>LU006440.001</v>
      </c>
      <c r="J94" s="10" t="str">
        <f ca="1">IFERROR(__xludf.DUMMYFUNCTION("VLOOKUP(I94, IMPORTRANGE(""https://docs.google.com/spreadsheets/d/1yDAaXNsi4Mr5FtRQL4tbmSdIzhx6_m4wkOD7IG-k_eo/edit#gid=1336395716"", ""Science!M:N""), 2, FALSE)"),"Define stars as luminous celestial bodies made up of gases.")</f>
        <v>Define stars as luminous celestial bodies made up of gases.</v>
      </c>
      <c r="K94" s="10" t="str">
        <f t="shared" si="1"/>
        <v>LU006440.002</v>
      </c>
      <c r="L94" s="10" t="str">
        <f ca="1">IFERROR(__xludf.DUMMYFUNCTION("VLOOKUP(K94, IMPORTRANGE(""https://docs.google.com/spreadsheets/d/1yDAaXNsi4Mr5FtRQL4tbmSdIzhx6_m4wkOD7IG-k_eo/edit#gid=1336395716"", ""Science!M:N""), 2, FALSE)"),"Describe how ancient civilizations used constellations for navigation and storytelling.")</f>
        <v>Describe how ancient civilizations used constellations for navigation and storytelling.</v>
      </c>
      <c r="M94" s="10" t="str">
        <f t="shared" si="2"/>
        <v>LU006440.003</v>
      </c>
      <c r="N94" s="10" t="str">
        <f ca="1">IFERROR(__xludf.DUMMYFUNCTION("VLOOKUP(M94, IMPORTRANGE(""https://docs.google.com/spreadsheets/d/1yDAaXNsi4Mr5FtRQL4tbmSdIzhx6_m4wkOD7IG-k_eo/edit#gid=1336395716"", ""Science!M:N""), 2, FALSE)"),"Identify and name some major constellations visible in the night sky (e.g., Orion, Ursa Major).")</f>
        <v>Identify and name some major constellations visible in the night sky (e.g., Orion, Ursa Major).</v>
      </c>
      <c r="O94" s="10" t="str">
        <f t="shared" si="3"/>
        <v>LU006440.004</v>
      </c>
      <c r="P94" s="10" t="str">
        <f ca="1">IFERROR(__xludf.DUMMYFUNCTION("VLOOKUP(O94, IMPORTRANGE(""https://docs.google.com/spreadsheets/d/1yDAaXNsi4Mr5FtRQL4tbmSdIzhx6_m4wkOD7IG-k_eo/edit#gid=1336395716"", ""Science!M:N""), 2, FALSE)"),"Compare the apparent brightness and color of different stars within a constellation. ")</f>
        <v xml:space="preserve">Compare the apparent brightness and color of different stars within a constellation. </v>
      </c>
      <c r="Q94" s="10" t="str">
        <f t="shared" si="4"/>
        <v>LU006440.005</v>
      </c>
      <c r="R94" s="10" t="str">
        <f ca="1">IFERROR(__xludf.DUMMYFUNCTION("VLOOKUP(Q94, IMPORTRANGE(""https://docs.google.com/spreadsheets/d/1yDAaXNsi4Mr5FtRQL4tbmSdIzhx6_m4wkOD7IG-k_eo/edit#gid=1336395716"", ""Science!M:N""), 2, FALSE)"),"Evaluate the importance of constellations in modern astronomy and how they help astronomers map the night sky.")</f>
        <v>Evaluate the importance of constellations in modern astronomy and how they help astronomers map the night sky.</v>
      </c>
      <c r="S94" s="10" t="str">
        <f t="shared" si="5"/>
        <v>LU006440.006</v>
      </c>
      <c r="T94" s="10" t="str">
        <f ca="1">IFERROR(__xludf.DUMMYFUNCTION("VLOOKUP(S94, IMPORTRANGE(""https://docs.google.com/spreadsheets/d/1yDAaXNsi4Mr5FtRQL4tbmSdIzhx6_m4wkOD7IG-k_eo/edit#gid=1336395716"", ""Science!M:N""), 2, FALSE)"),"Create a star map showing the positions of major constellations and stars as they appear in the night sky during a specific season.")</f>
        <v>Create a star map showing the positions of major constellations and stars as they appear in the night sky during a specific season.</v>
      </c>
      <c r="U94" s="11">
        <f ca="1">IFERROR(__xludf.DUMMYFUNCTION("ArrayFormula(VLOOKUP(G94, IMPORTRANGE(""https://docs.google.com/spreadsheets/d/1p7R4vtkWt5VOBim4ltsDG9KTzSjrtKXsMtQGXPHyND0/edit#gid=795171502"", ""'Filter 30_05_2024'!A1:M2000""), {2, 3, 4, 5,6,7,8,9,10,11,12,13}, 0))"),4)</f>
        <v>4</v>
      </c>
      <c r="V94" s="11">
        <f ca="1">IFERROR(__xludf.DUMMYFUNCTION("""COMPUTED_VALUE"""),6)</f>
        <v>6</v>
      </c>
      <c r="W94" s="11">
        <f ca="1">IFERROR(__xludf.DUMMYFUNCTION("""COMPUTED_VALUE"""),2)</f>
        <v>2</v>
      </c>
      <c r="X94" s="11">
        <f ca="1">IFERROR(__xludf.DUMMYFUNCTION("""COMPUTED_VALUE"""),12)</f>
        <v>12</v>
      </c>
      <c r="Y94" s="11">
        <f ca="1">IFERROR(__xludf.DUMMYFUNCTION("""COMPUTED_VALUE"""),4)</f>
        <v>4</v>
      </c>
      <c r="Z94" s="12">
        <f ca="1">IFERROR(__xludf.DUMMYFUNCTION("""COMPUTED_VALUE"""),3)</f>
        <v>3</v>
      </c>
      <c r="AA94" s="12">
        <f ca="1">IFERROR(__xludf.DUMMYFUNCTION("""COMPUTED_VALUE"""),1)</f>
        <v>1</v>
      </c>
      <c r="AB94" s="12">
        <f ca="1">IFERROR(__xludf.DUMMYFUNCTION("""COMPUTED_VALUE"""),8)</f>
        <v>8</v>
      </c>
      <c r="AC94" s="12"/>
      <c r="AD94" s="12"/>
      <c r="AE94" s="12"/>
      <c r="AF94" s="12"/>
      <c r="AG94" s="13" t="str">
        <f ca="1">IFERROR(__xludf.DUMMYFUNCTION("ArrayFormula(VLOOKUP(G94, IMPORTRANGE(""https://docs.google.com/spreadsheets/d/1Co934fvtviyaRiMsrIlT05Jaq7iiYq07aLvRr35KA48/edit?gid=173865642#gid=173865642"", ""'G6_Sci Cur_Pri_LU'!G2:V2000""), {3, 4, 5, 6, 7, 8, 9, 10, 11, 12, 13, 14, 15, 16}, 0))"),"")</f>
        <v/>
      </c>
      <c r="AH94" s="13"/>
      <c r="AI94" s="13"/>
      <c r="AJ94" s="13"/>
      <c r="AK94" s="13"/>
      <c r="AL94" s="13"/>
      <c r="AM94" s="13"/>
      <c r="AN94" s="13"/>
      <c r="AO94" s="13"/>
      <c r="AP94" s="13"/>
      <c r="AQ94" s="13"/>
      <c r="AR94" s="13"/>
      <c r="AS94" s="13"/>
      <c r="AT94" s="13"/>
    </row>
    <row r="95" spans="1:46">
      <c r="A95" s="8" t="s">
        <v>1405</v>
      </c>
      <c r="B95" s="8" t="s">
        <v>47</v>
      </c>
      <c r="C95" s="8" t="s">
        <v>48</v>
      </c>
      <c r="D95" s="8" t="s">
        <v>1510</v>
      </c>
      <c r="E95" s="8" t="s">
        <v>1647</v>
      </c>
      <c r="F95" s="8" t="s">
        <v>1648</v>
      </c>
      <c r="G95" s="8" t="s">
        <v>1651</v>
      </c>
      <c r="H95" s="8" t="s">
        <v>1652</v>
      </c>
      <c r="I95" s="10" t="str">
        <f t="shared" si="0"/>
        <v>LU006441.001</v>
      </c>
      <c r="J95" s="10" t="str">
        <f ca="1">IFERROR(__xludf.DUMMYFUNCTION("VLOOKUP(I95, IMPORTRANGE(""https://docs.google.com/spreadsheets/d/1yDAaXNsi4Mr5FtRQL4tbmSdIzhx6_m4wkOD7IG-k_eo/edit#gid=1336395716"", ""Science!M:N""), 2, FALSE)"),"Define night sky navigation as the method of finding direction by observing celestial objects like stars and constellations.")</f>
        <v>Define night sky navigation as the method of finding direction by observing celestial objects like stars and constellations.</v>
      </c>
      <c r="K95" s="10" t="str">
        <f t="shared" si="1"/>
        <v>LU006441.002</v>
      </c>
      <c r="L95" s="10" t="str">
        <f ca="1">IFERROR(__xludf.DUMMYFUNCTION("VLOOKUP(K95, IMPORTRANGE(""https://docs.google.com/spreadsheets/d/1yDAaXNsi4Mr5FtRQL4tbmSdIzhx6_m4wkOD7IG-k_eo/edit#gid=1336395716"", ""Science!M:N""), 2, FALSE)"),"Explain how the North Star (Polaris) has been historically used for navigation in the Northern Hemisphere.")</f>
        <v>Explain how the North Star (Polaris) has been historically used for navigation in the Northern Hemisphere.</v>
      </c>
      <c r="M95" s="10" t="str">
        <f t="shared" si="2"/>
        <v>LU006441.003</v>
      </c>
      <c r="N95" s="10" t="str">
        <f ca="1">IFERROR(__xludf.DUMMYFUNCTION("VLOOKUP(M95, IMPORTRANGE(""https://docs.google.com/spreadsheets/d/1yDAaXNsi4Mr5FtRQL4tbmSdIzhx6_m4wkOD7IG-k_eo/edit#gid=1336395716"", ""Science!M:N""), 2, FALSE)"),"Demonstrate how to find directions using constellations like the Big Dipper to locate Polaris.")</f>
        <v>Demonstrate how to find directions using constellations like the Big Dipper to locate Polaris.</v>
      </c>
      <c r="O95" s="10" t="str">
        <f t="shared" si="3"/>
        <v>LU006441.004</v>
      </c>
      <c r="P95" s="10" t="str">
        <f ca="1">IFERROR(__xludf.DUMMYFUNCTION("VLOOKUP(O95, IMPORTRANGE(""https://docs.google.com/spreadsheets/d/1yDAaXNsi4Mr5FtRQL4tbmSdIzhx6_m4wkOD7IG-k_eo/edit#gid=1336395716"", ""Science!M:N""), 2, FALSE)"),"Compare the use of celestial navigation with modern navigation tools (e.g., compass, GPS) and discuss their advantages and limitations.")</f>
        <v>Compare the use of celestial navigation with modern navigation tools (e.g., compass, GPS) and discuss their advantages and limitations.</v>
      </c>
      <c r="Q95" s="10" t="str">
        <f t="shared" si="4"/>
        <v>LU006441.005</v>
      </c>
      <c r="R95" s="10" t="str">
        <f ca="1">IFERROR(__xludf.DUMMYFUNCTION("VLOOKUP(Q95, IMPORTRANGE(""https://docs.google.com/spreadsheets/d/1yDAaXNsi4Mr5FtRQL4tbmSdIzhx6_m4wkOD7IG-k_eo/edit#gid=1336395716"", ""Science!M:N""), 2, FALSE)"),"Evaluate the importance of night sky navigation for early explorers and its relevance in today’s world.")</f>
        <v>Evaluate the importance of night sky navigation for early explorers and its relevance in today’s world.</v>
      </c>
      <c r="S95" s="10" t="str">
        <f t="shared" si="5"/>
        <v>LU006441.006</v>
      </c>
      <c r="T95" s="10" t="str">
        <f ca="1">IFERROR(__xludf.DUMMYFUNCTION("VLOOKUP(S95, IMPORTRANGE(""https://docs.google.com/spreadsheets/d/1yDAaXNsi4Mr5FtRQL4tbmSdIzhx6_m4wkOD7IG-k_eo/edit#gid=1336395716"", ""Science!M:N""), 2, FALSE)"),"Create a simple guide or map showing how to use the night sky for navigation, including key constellations and their positions at different times of the year.")</f>
        <v>Create a simple guide or map showing how to use the night sky for navigation, including key constellations and their positions at different times of the year.</v>
      </c>
      <c r="U95" s="11">
        <f ca="1">IFERROR(__xludf.DUMMYFUNCTION("ArrayFormula(VLOOKUP(G95, IMPORTRANGE(""https://docs.google.com/spreadsheets/d/1p7R4vtkWt5VOBim4ltsDG9KTzSjrtKXsMtQGXPHyND0/edit#gid=795171502"", ""'Filter 30_05_2024'!A1:M2000""), {2, 3, 4, 5,6,7,8,9,10,11,12,13}, 0))"),4)</f>
        <v>4</v>
      </c>
      <c r="V95" s="11">
        <f ca="1">IFERROR(__xludf.DUMMYFUNCTION("""COMPUTED_VALUE"""),6)</f>
        <v>6</v>
      </c>
      <c r="W95" s="11">
        <f ca="1">IFERROR(__xludf.DUMMYFUNCTION("""COMPUTED_VALUE"""),2)</f>
        <v>2</v>
      </c>
      <c r="X95" s="11">
        <f ca="1">IFERROR(__xludf.DUMMYFUNCTION("""COMPUTED_VALUE"""),12)</f>
        <v>12</v>
      </c>
      <c r="Y95" s="11">
        <f ca="1">IFERROR(__xludf.DUMMYFUNCTION("""COMPUTED_VALUE"""),4)</f>
        <v>4</v>
      </c>
      <c r="Z95" s="12">
        <f ca="1">IFERROR(__xludf.DUMMYFUNCTION("""COMPUTED_VALUE"""),3)</f>
        <v>3</v>
      </c>
      <c r="AA95" s="12">
        <f ca="1">IFERROR(__xludf.DUMMYFUNCTION("""COMPUTED_VALUE"""),1)</f>
        <v>1</v>
      </c>
      <c r="AB95" s="12">
        <f ca="1">IFERROR(__xludf.DUMMYFUNCTION("""COMPUTED_VALUE"""),8)</f>
        <v>8</v>
      </c>
      <c r="AC95" s="12"/>
      <c r="AD95" s="12"/>
      <c r="AE95" s="12"/>
      <c r="AF95" s="12"/>
      <c r="AG95" s="13" t="str">
        <f ca="1">IFERROR(__xludf.DUMMYFUNCTION("ArrayFormula(VLOOKUP(G95, IMPORTRANGE(""https://docs.google.com/spreadsheets/d/1Co934fvtviyaRiMsrIlT05Jaq7iiYq07aLvRr35KA48/edit?gid=173865642#gid=173865642"", ""'G6_Sci Cur_Pri_LU'!G2:V2000""), {3, 4, 5, 6, 7, 8, 9, 10, 11, 12, 13, 14, 15, 16}, 0))"),"LU006440")</f>
        <v>LU006440</v>
      </c>
      <c r="AH95" s="13" t="str">
        <f ca="1">IFERROR(__xludf.DUMMYFUNCTION("""COMPUTED_VALUE"""),"Stars and Constellation ")</f>
        <v xml:space="preserve">Stars and Constellation </v>
      </c>
      <c r="AI95" s="13"/>
      <c r="AJ95" s="13"/>
      <c r="AK95" s="13"/>
      <c r="AL95" s="13"/>
      <c r="AM95" s="13"/>
      <c r="AN95" s="13"/>
      <c r="AO95" s="13"/>
      <c r="AP95" s="13"/>
      <c r="AQ95" s="13"/>
      <c r="AR95" s="13"/>
      <c r="AS95" s="13"/>
      <c r="AT95" s="13"/>
    </row>
    <row r="96" spans="1:46">
      <c r="A96" s="8" t="s">
        <v>1405</v>
      </c>
      <c r="B96" s="8" t="s">
        <v>47</v>
      </c>
      <c r="C96" s="8" t="s">
        <v>48</v>
      </c>
      <c r="D96" s="8" t="s">
        <v>1510</v>
      </c>
      <c r="E96" s="8" t="s">
        <v>1647</v>
      </c>
      <c r="F96" s="8" t="s">
        <v>1653</v>
      </c>
      <c r="G96" s="8" t="s">
        <v>1654</v>
      </c>
      <c r="H96" s="114" t="s">
        <v>1655</v>
      </c>
      <c r="I96" s="10" t="str">
        <f t="shared" si="0"/>
        <v>LU006443.001</v>
      </c>
      <c r="J96" s="10" t="str">
        <f ca="1">IFERROR(__xludf.DUMMYFUNCTION("VLOOKUP(I96, IMPORTRANGE(""https://docs.google.com/spreadsheets/d/1yDAaXNsi4Mr5FtRQL4tbmSdIzhx6_m4wkOD7IG-k_eo/edit#gid=1336395716"", ""Science!M:N""), 2, FALSE)"),"Define the Sun as the closest star to Eart.")</f>
        <v>Define the Sun as the closest star to Eart.</v>
      </c>
      <c r="K96" s="10" t="str">
        <f t="shared" si="1"/>
        <v>LU006443.002</v>
      </c>
      <c r="L96" s="10" t="str">
        <f ca="1">IFERROR(__xludf.DUMMYFUNCTION("VLOOKUP(K96, IMPORTRANGE(""https://docs.google.com/spreadsheets/d/1yDAaXNsi4Mr5FtRQL4tbmSdIzhx6_m4wkOD7IG-k_eo/edit#gid=1336395716"", ""Science!M:N""), 2, FALSE)"),"Explain the significance of the Sun as the primary source of energy for life on Earth, including its role in climate, and weather patterns.")</f>
        <v>Explain the significance of the Sun as the primary source of energy for life on Earth, including its role in climate, and weather patterns.</v>
      </c>
      <c r="M96" s="10" t="str">
        <f t="shared" si="2"/>
        <v>LU006443.003</v>
      </c>
      <c r="N96" s="10" t="str">
        <f ca="1">IFERROR(__xludf.DUMMYFUNCTION("VLOOKUP(M96, IMPORTRANGE(""https://docs.google.com/spreadsheets/d/1yDAaXNsi4Mr5FtRQL4tbmSdIzhx6_m4wkOD7IG-k_eo/edit#gid=1336395716"", ""Science!M:N""), 2, FALSE)"),"Identify the distance between the Sun and the Earth in astronomical units.")</f>
        <v>Identify the distance between the Sun and the Earth in astronomical units.</v>
      </c>
      <c r="O96" s="10" t="str">
        <f t="shared" si="3"/>
        <v>LU006443.004</v>
      </c>
      <c r="P96" s="10" t="str">
        <f ca="1">IFERROR(__xludf.DUMMYFUNCTION("VLOOKUP(O96, IMPORTRANGE(""https://docs.google.com/spreadsheets/d/1yDAaXNsi4Mr5FtRQL4tbmSdIzhx6_m4wkOD7IG-k_eo/edit#gid=1336395716"", ""Science!M:N""), 2, FALSE)"),"Compare the size of the Sun to Earth and other stars, and explain why the Sun appears larger than other stars despite its average size.")</f>
        <v>Compare the size of the Sun to Earth and other stars, and explain why the Sun appears larger than other stars despite its average size.</v>
      </c>
      <c r="Q96" s="10" t="str">
        <f t="shared" si="4"/>
        <v>LU006443.005</v>
      </c>
      <c r="R96" s="10" t="str">
        <f ca="1">IFERROR(__xludf.DUMMYFUNCTION("VLOOKUP(Q96, IMPORTRANGE(""https://docs.google.com/spreadsheets/d/1yDAaXNsi4Mr5FtRQL4tbmSdIzhx6_m4wkOD7IG-k_eo/edit#gid=1336395716"", ""Science!M:N""), 2, FALSE)"),"Analyze why other stars are not visible during the daytime, highlighting the Sun's brightness and its effect on our ability to observe other celestial objects.")</f>
        <v>Analyze why other stars are not visible during the daytime, highlighting the Sun's brightness and its effect on our ability to observe other celestial objects.</v>
      </c>
      <c r="S96" s="10" t="str">
        <f t="shared" si="5"/>
        <v>LU006443.006</v>
      </c>
      <c r="T96" s="10" t="str">
        <f ca="1">IFERROR(__xludf.DUMMYFUNCTION("VLOOKUP(S96, IMPORTRANGE(""https://docs.google.com/spreadsheets/d/1yDAaXNsi4Mr5FtRQL4tbmSdIzhx6_m4wkOD7IG-k_eo/edit#gid=1336395716"", ""Science!M:N""), 2, FALSE)"),"Default")</f>
        <v>Default</v>
      </c>
      <c r="U96" s="11">
        <f ca="1">IFERROR(__xludf.DUMMYFUNCTION("ArrayFormula(VLOOKUP(G96, IMPORTRANGE(""https://docs.google.com/spreadsheets/d/1p7R4vtkWt5VOBim4ltsDG9KTzSjrtKXsMtQGXPHyND0/edit#gid=795171502"", ""'Filter 30_05_2024'!A1:M2000""), {2, 3, 4, 5,6,7,8,9,10,11,12,13}, 0))"),4)</f>
        <v>4</v>
      </c>
      <c r="V96" s="11">
        <f ca="1">IFERROR(__xludf.DUMMYFUNCTION("""COMPUTED_VALUE"""),6)</f>
        <v>6</v>
      </c>
      <c r="W96" s="11">
        <f ca="1">IFERROR(__xludf.DUMMYFUNCTION("""COMPUTED_VALUE"""),2)</f>
        <v>2</v>
      </c>
      <c r="X96" s="11">
        <f ca="1">IFERROR(__xludf.DUMMYFUNCTION("""COMPUTED_VALUE"""),12)</f>
        <v>12</v>
      </c>
      <c r="Y96" s="11">
        <f ca="1">IFERROR(__xludf.DUMMYFUNCTION("""COMPUTED_VALUE"""),4)</f>
        <v>4</v>
      </c>
      <c r="Z96" s="12">
        <f ca="1">IFERROR(__xludf.DUMMYFUNCTION("""COMPUTED_VALUE"""),3)</f>
        <v>3</v>
      </c>
      <c r="AA96" s="12">
        <f ca="1">IFERROR(__xludf.DUMMYFUNCTION("""COMPUTED_VALUE"""),1)</f>
        <v>1</v>
      </c>
      <c r="AB96" s="12">
        <f ca="1">IFERROR(__xludf.DUMMYFUNCTION("""COMPUTED_VALUE"""),8)</f>
        <v>8</v>
      </c>
      <c r="AC96" s="12"/>
      <c r="AD96" s="12"/>
      <c r="AE96" s="12"/>
      <c r="AF96" s="12"/>
      <c r="AG96" s="13" t="str">
        <f ca="1">IFERROR(__xludf.DUMMYFUNCTION("ArrayFormula(VLOOKUP(G96, IMPORTRANGE(""https://docs.google.com/spreadsheets/d/1Co934fvtviyaRiMsrIlT05Jaq7iiYq07aLvRr35KA48/edit?gid=173865642#gid=173865642"", ""'G6_Sci Cur_Pri_LU'!G2:V2000""), {3, 4, 5, 6, 7, 8, 9, 10, 11, 12, 13, 14, 15, 16}, 0))"),"")</f>
        <v/>
      </c>
      <c r="AH96" s="13"/>
      <c r="AI96" s="13"/>
      <c r="AJ96" s="13"/>
      <c r="AK96" s="13"/>
      <c r="AL96" s="13"/>
      <c r="AM96" s="13"/>
      <c r="AN96" s="13"/>
      <c r="AO96" s="13"/>
      <c r="AP96" s="13"/>
      <c r="AQ96" s="13"/>
      <c r="AR96" s="13"/>
      <c r="AS96" s="13"/>
      <c r="AT96" s="13"/>
    </row>
    <row r="97" spans="1:46">
      <c r="A97" s="8" t="s">
        <v>1405</v>
      </c>
      <c r="B97" s="8" t="s">
        <v>47</v>
      </c>
      <c r="C97" s="8" t="s">
        <v>48</v>
      </c>
      <c r="D97" s="8" t="s">
        <v>1510</v>
      </c>
      <c r="E97" s="8" t="s">
        <v>1647</v>
      </c>
      <c r="F97" s="8" t="s">
        <v>1656</v>
      </c>
      <c r="G97" s="8" t="s">
        <v>1657</v>
      </c>
      <c r="H97" s="114" t="s">
        <v>1658</v>
      </c>
      <c r="I97" s="10" t="str">
        <f t="shared" si="0"/>
        <v>LU006444.001</v>
      </c>
      <c r="J97" s="10" t="str">
        <f ca="1">IFERROR(__xludf.DUMMYFUNCTION("VLOOKUP(I97, IMPORTRANGE(""https://docs.google.com/spreadsheets/d/1yDAaXNsi4Mr5FtRQL4tbmSdIzhx6_m4wkOD7IG-k_eo/edit#gid=1336395716"", ""Science!M:N""), 2, FALSE)"),"Name and list the eight planets of our solar system in order of their distance from the Sun.")</f>
        <v>Name and list the eight planets of our solar system in order of their distance from the Sun.</v>
      </c>
      <c r="K97" s="10" t="str">
        <f t="shared" si="1"/>
        <v>LU006444.002</v>
      </c>
      <c r="L97" s="10" t="str">
        <f ca="1">IFERROR(__xludf.DUMMYFUNCTION("VLOOKUP(K97, IMPORTRANGE(""https://docs.google.com/spreadsheets/d/1yDAaXNsi4Mr5FtRQL4tbmSdIzhx6_m4wkOD7IG-k_eo/edit#gid=1336395716"", ""Science!M:N""), 2, FALSE)"),"Describe the basic characteristics of each planet, including its size, composition (rocky or gas giant), and atmospheric conditions.")</f>
        <v>Describe the basic characteristics of each planet, including its size, composition (rocky or gas giant), and atmospheric conditions.</v>
      </c>
      <c r="M97" s="10" t="str">
        <f t="shared" si="2"/>
        <v>LU006444.003</v>
      </c>
      <c r="N97" s="10" t="str">
        <f ca="1">IFERROR(__xludf.DUMMYFUNCTION("VLOOKUP(M97, IMPORTRANGE(""https://docs.google.com/spreadsheets/d/1yDAaXNsi4Mr5FtRQL4tbmSdIzhx6_m4wkOD7IG-k_eo/edit#gid=1336395716"", ""Science!M:N""), 2, FALSE)"),"Compare the planets in terms of their distance from the Sun, size, and surface conditions (temperature, presence of water, etc.).")</f>
        <v>Compare the planets in terms of their distance from the Sun, size, and surface conditions (temperature, presence of water, etc.).</v>
      </c>
      <c r="O97" s="10" t="str">
        <f t="shared" si="3"/>
        <v>LU006444.004</v>
      </c>
      <c r="P97" s="10" t="str">
        <f ca="1">IFERROR(__xludf.DUMMYFUNCTION("VLOOKUP(O97, IMPORTRANGE(""https://docs.google.com/spreadsheets/d/1yDAaXNsi4Mr5FtRQL4tbmSdIzhx6_m4wkOD7IG-k_eo/edit#gid=1336395716"", ""Science!M:N""), 2, FALSE)"),"Analyze the differences between terrestrial planets (Mercury, Venus, Earth, Mars) and gas giants (Jupiter, Saturn, Uranus, Neptune).")</f>
        <v>Analyze the differences between terrestrial planets (Mercury, Venus, Earth, Mars) and gas giants (Jupiter, Saturn, Uranus, Neptune).</v>
      </c>
      <c r="Q97" s="10" t="str">
        <f t="shared" si="4"/>
        <v>LU006444.005</v>
      </c>
      <c r="R97" s="10" t="str">
        <f ca="1">IFERROR(__xludf.DUMMYFUNCTION("VLOOKUP(Q97, IMPORTRANGE(""https://docs.google.com/spreadsheets/d/1yDAaXNsi4Mr5FtRQL4tbmSdIzhx6_m4wkOD7IG-k_eo/edit#gid=1336395716"", ""Science!M:N""), 2, FALSE)"),"Evaluate the significance of Earth’s position in the solar system for supporting life, compared to other planets.")</f>
        <v>Evaluate the significance of Earth’s position in the solar system for supporting life, compared to other planets.</v>
      </c>
      <c r="S97" s="10" t="str">
        <f t="shared" si="5"/>
        <v>LU006444.006</v>
      </c>
      <c r="T97" s="10" t="str">
        <f ca="1">IFERROR(__xludf.DUMMYFUNCTION("VLOOKUP(S97, IMPORTRANGE(""https://docs.google.com/spreadsheets/d/1yDAaXNsi4Mr5FtRQL4tbmSdIzhx6_m4wkOD7IG-k_eo/edit#gid=1336395716"", ""Science!M:N""), 2, FALSE)"),"Create a scale model of the solar system that shows the relative sizes and distances of the planets from the Sun, incorporating key facts about each planet.")</f>
        <v>Create a scale model of the solar system that shows the relative sizes and distances of the planets from the Sun, incorporating key facts about each planet.</v>
      </c>
      <c r="U97" s="11">
        <f ca="1">IFERROR(__xludf.DUMMYFUNCTION("ArrayFormula(VLOOKUP(G97, IMPORTRANGE(""https://docs.google.com/spreadsheets/d/1p7R4vtkWt5VOBim4ltsDG9KTzSjrtKXsMtQGXPHyND0/edit#gid=795171502"", ""'Filter 30_05_2024'!A1:M2000""), {2, 3, 4, 5,6,7,8,9,10,11,12,13}, 0))"),4)</f>
        <v>4</v>
      </c>
      <c r="V97" s="11">
        <f ca="1">IFERROR(__xludf.DUMMYFUNCTION("""COMPUTED_VALUE"""),6)</f>
        <v>6</v>
      </c>
      <c r="W97" s="11">
        <f ca="1">IFERROR(__xludf.DUMMYFUNCTION("""COMPUTED_VALUE"""),2)</f>
        <v>2</v>
      </c>
      <c r="X97" s="11">
        <f ca="1">IFERROR(__xludf.DUMMYFUNCTION("""COMPUTED_VALUE"""),12)</f>
        <v>12</v>
      </c>
      <c r="Y97" s="11">
        <f ca="1">IFERROR(__xludf.DUMMYFUNCTION("""COMPUTED_VALUE"""),4)</f>
        <v>4</v>
      </c>
      <c r="Z97" s="12">
        <f ca="1">IFERROR(__xludf.DUMMYFUNCTION("""COMPUTED_VALUE"""),3)</f>
        <v>3</v>
      </c>
      <c r="AA97" s="12">
        <f ca="1">IFERROR(__xludf.DUMMYFUNCTION("""COMPUTED_VALUE"""),1)</f>
        <v>1</v>
      </c>
      <c r="AB97" s="12">
        <f ca="1">IFERROR(__xludf.DUMMYFUNCTION("""COMPUTED_VALUE"""),8)</f>
        <v>8</v>
      </c>
      <c r="AC97" s="12"/>
      <c r="AD97" s="12"/>
      <c r="AE97" s="12"/>
      <c r="AF97" s="12"/>
      <c r="AG97" s="13" t="str">
        <f ca="1">IFERROR(__xludf.DUMMYFUNCTION("ArrayFormula(VLOOKUP(G97, IMPORTRANGE(""https://docs.google.com/spreadsheets/d/1Co934fvtviyaRiMsrIlT05Jaq7iiYq07aLvRr35KA48/edit?gid=173865642#gid=173865642"", ""'G6_Sci Cur_Pri_LU'!G2:V2000""), {3, 4, 5, 6, 7, 8, 9, 10, 11, 12, 13, 14, 15, 16}, 0))"),"")</f>
        <v/>
      </c>
      <c r="AH97" s="13"/>
      <c r="AI97" s="13"/>
      <c r="AJ97" s="13"/>
      <c r="AK97" s="13"/>
      <c r="AL97" s="13"/>
      <c r="AM97" s="13"/>
      <c r="AN97" s="13"/>
      <c r="AO97" s="13"/>
      <c r="AP97" s="13"/>
      <c r="AQ97" s="13"/>
      <c r="AR97" s="13"/>
      <c r="AS97" s="13"/>
      <c r="AT97" s="13"/>
    </row>
    <row r="98" spans="1:46">
      <c r="A98" s="8" t="s">
        <v>1405</v>
      </c>
      <c r="B98" s="8" t="s">
        <v>47</v>
      </c>
      <c r="C98" s="8" t="s">
        <v>48</v>
      </c>
      <c r="D98" s="8" t="s">
        <v>1510</v>
      </c>
      <c r="E98" s="8" t="s">
        <v>1647</v>
      </c>
      <c r="F98" s="8" t="s">
        <v>1659</v>
      </c>
      <c r="G98" s="9" t="s">
        <v>1660</v>
      </c>
      <c r="H98" s="8" t="s">
        <v>1661</v>
      </c>
      <c r="I98" s="10" t="str">
        <f t="shared" si="0"/>
        <v>LU006046.001</v>
      </c>
      <c r="J98" s="10" t="str">
        <f ca="1">IFERROR(__xludf.DUMMYFUNCTION("VLOOKUP(I98, IMPORTRANGE(""https://docs.google.com/spreadsheets/d/1yDAaXNsi4Mr5FtRQL4tbmSdIzhx6_m4wkOD7IG-k_eo/edit#gid=1336395716"", ""Science!M:N""), 2, FALSE)"),"Recognize the environmental conditions of the Moon, such as the lack of air, water, and atmosphere.")</f>
        <v>Recognize the environmental conditions of the Moon, such as the lack of air, water, and atmosphere.</v>
      </c>
      <c r="K98" s="10" t="str">
        <f t="shared" si="1"/>
        <v>LU006046.002</v>
      </c>
      <c r="L98" s="10" t="str">
        <f ca="1">IFERROR(__xludf.DUMMYFUNCTION("VLOOKUP(K98, IMPORTRANGE(""https://docs.google.com/spreadsheets/d/1yDAaXNsi4Mr5FtRQL4tbmSdIzhx6_m4wkOD7IG-k_eo/edit#gid=1336395716"", ""Science!M:N""), 2, FALSE)"),"Describe the Moon's gravitational strength relative to Earth and its effects on atmospheric retention.")</f>
        <v>Describe the Moon's gravitational strength relative to Earth and its effects on atmospheric retention.</v>
      </c>
      <c r="M98" s="10" t="str">
        <f t="shared" si="2"/>
        <v>LU006046.003</v>
      </c>
      <c r="N98" s="10" t="str">
        <f ca="1">IFERROR(__xludf.DUMMYFUNCTION("VLOOKUP(M98, IMPORTRANGE(""https://docs.google.com/spreadsheets/d/1yDAaXNsi4Mr5FtRQL4tbmSdIzhx6_m4wkOD7IG-k_eo/edit#gid=1336395716"", ""Science!M:N""), 2, FALSE)"),"Apply knowledge of the Moon's lack of atmosphere to infer the absence of audible sound on its surface.")</f>
        <v>Apply knowledge of the Moon's lack of atmosphere to infer the absence of audible sound on its surface.</v>
      </c>
      <c r="O98" s="10" t="str">
        <f t="shared" si="3"/>
        <v>LU006046.004</v>
      </c>
      <c r="P98" s="10" t="str">
        <f ca="1">IFERROR(__xludf.DUMMYFUNCTION("VLOOKUP(O98, IMPORTRANGE(""https://docs.google.com/spreadsheets/d/1yDAaXNsi4Mr5FtRQL4tbmSdIzhx6_m4wkOD7IG-k_eo/edit#gid=1336395716"", ""Science!M:N""), 2, FALSE)"),"Analyze the temperature extremes on the Moon in relation to its lack of atmospheric insulation.")</f>
        <v>Analyze the temperature extremes on the Moon in relation to its lack of atmospheric insulation.</v>
      </c>
      <c r="Q98" s="10" t="str">
        <f t="shared" si="4"/>
        <v>LU006046.005</v>
      </c>
      <c r="R98" s="10" t="str">
        <f ca="1">IFERROR(__xludf.DUMMYFUNCTION("VLOOKUP(Q98, IMPORTRANGE(""https://docs.google.com/spreadsheets/d/1yDAaXNsi4Mr5FtRQL4tbmSdIzhx6_m4wkOD7IG-k_eo/edit#gid=1336395716"", ""Science!M:N""), 2, FALSE)"),"Evaluate the significance of the Moon's synchronous rotation and how it affects the lunar visibility from Earth.")</f>
        <v>Evaluate the significance of the Moon's synchronous rotation and how it affects the lunar visibility from Earth.</v>
      </c>
      <c r="S98" s="10" t="str">
        <f t="shared" si="5"/>
        <v>LU006046.006</v>
      </c>
      <c r="T98" s="10" t="str">
        <f ca="1">IFERROR(__xludf.DUMMYFUNCTION("VLOOKUP(S98, IMPORTRANGE(""https://docs.google.com/spreadsheets/d/1yDAaXNsi4Mr5FtRQL4tbmSdIzhx6_m4wkOD7IG-k_eo/edit#gid=1336395716"", ""Science!M:N""), 2, FALSE)"),"#N/A")</f>
        <v>#N/A</v>
      </c>
      <c r="U98" s="11">
        <f ca="1">IFERROR(__xludf.DUMMYFUNCTION("ArrayFormula(VLOOKUP(G98, IMPORTRANGE(""https://docs.google.com/spreadsheets/d/1p7R4vtkWt5VOBim4ltsDG9KTzSjrtKXsMtQGXPHyND0/edit#gid=795171502"", ""'Filter 30_05_2024'!A1:M2000""), {2, 3, 4, 5,6,7,8,9,10,11,12,13}, 0))"),4)</f>
        <v>4</v>
      </c>
      <c r="V98" s="11">
        <f ca="1">IFERROR(__xludf.DUMMYFUNCTION("""COMPUTED_VALUE"""),6)</f>
        <v>6</v>
      </c>
      <c r="W98" s="11">
        <f ca="1">IFERROR(__xludf.DUMMYFUNCTION("""COMPUTED_VALUE"""),2)</f>
        <v>2</v>
      </c>
      <c r="X98" s="11">
        <f ca="1">IFERROR(__xludf.DUMMYFUNCTION("""COMPUTED_VALUE"""),12)</f>
        <v>12</v>
      </c>
      <c r="Y98" s="11">
        <f ca="1">IFERROR(__xludf.DUMMYFUNCTION("""COMPUTED_VALUE"""),4)</f>
        <v>4</v>
      </c>
      <c r="Z98" s="12">
        <f ca="1">IFERROR(__xludf.DUMMYFUNCTION("""COMPUTED_VALUE"""),3)</f>
        <v>3</v>
      </c>
      <c r="AA98" s="12">
        <f ca="1">IFERROR(__xludf.DUMMYFUNCTION("""COMPUTED_VALUE"""),1)</f>
        <v>1</v>
      </c>
      <c r="AB98" s="12">
        <f ca="1">IFERROR(__xludf.DUMMYFUNCTION("""COMPUTED_VALUE"""),8)</f>
        <v>8</v>
      </c>
      <c r="AC98" s="12"/>
      <c r="AD98" s="12"/>
      <c r="AE98" s="12"/>
      <c r="AF98" s="12"/>
      <c r="AG98" s="13" t="str">
        <f ca="1">IFERROR(__xludf.DUMMYFUNCTION("ArrayFormula(VLOOKUP(G98, IMPORTRANGE(""https://docs.google.com/spreadsheets/d/1Co934fvtviyaRiMsrIlT05Jaq7iiYq07aLvRr35KA48/edit?gid=173865642#gid=173865642"", ""'G6_Sci Cur_Pri_LU'!G2:V2000""), {3, 4, 5, 6, 7, 8, 9, 10, 11, 12, 13, 14, 15, 16}, 0))"),"LU006441")</f>
        <v>LU006441</v>
      </c>
      <c r="AH98" s="13" t="str">
        <f ca="1">IFERROR(__xludf.DUMMYFUNCTION("""COMPUTED_VALUE"""),"Night Sky Navigation")</f>
        <v>Night Sky Navigation</v>
      </c>
      <c r="AI98" s="13"/>
      <c r="AJ98" s="13"/>
      <c r="AK98" s="13"/>
      <c r="AL98" s="13"/>
      <c r="AM98" s="13"/>
      <c r="AN98" s="13"/>
      <c r="AO98" s="13"/>
      <c r="AP98" s="13"/>
      <c r="AQ98" s="13"/>
      <c r="AR98" s="13"/>
      <c r="AS98" s="13"/>
      <c r="AT98" s="13"/>
    </row>
    <row r="99" spans="1:46">
      <c r="A99" s="8" t="s">
        <v>1405</v>
      </c>
      <c r="B99" s="8" t="s">
        <v>47</v>
      </c>
      <c r="C99" s="8" t="s">
        <v>48</v>
      </c>
      <c r="D99" s="8" t="s">
        <v>1510</v>
      </c>
      <c r="E99" s="8" t="s">
        <v>1647</v>
      </c>
      <c r="F99" s="8" t="s">
        <v>1662</v>
      </c>
      <c r="G99" s="9" t="s">
        <v>1663</v>
      </c>
      <c r="H99" s="13" t="s">
        <v>1664</v>
      </c>
      <c r="I99" s="10" t="str">
        <f t="shared" si="0"/>
        <v>LU005020.001</v>
      </c>
      <c r="J99" s="10" t="str">
        <f ca="1">IFERROR(__xludf.DUMMYFUNCTION("VLOOKUP(I99, IMPORTRANGE(""https://docs.google.com/spreadsheets/d/1yDAaXNsi4Mr5FtRQL4tbmSdIzhx6_m4wkOD7IG-k_eo/edit#gid=1336395716"", ""Science!M:N""), 2, FALSE)"),"List the different types of minor bodies in the solar system.")</f>
        <v>List the different types of minor bodies in the solar system.</v>
      </c>
      <c r="K99" s="10" t="str">
        <f t="shared" si="1"/>
        <v>LU005020.002</v>
      </c>
      <c r="L99" s="10" t="str">
        <f ca="1">IFERROR(__xludf.DUMMYFUNCTION("VLOOKUP(K99, IMPORTRANGE(""https://docs.google.com/spreadsheets/d/1yDAaXNsi4Mr5FtRQL4tbmSdIzhx6_m4wkOD7IG-k_eo/edit#gid=1336395716"", ""Science!M:N""), 2, FALSE)"),"Describe the characteristics and differences between asteroids, comets, meteors, and meteorites.")</f>
        <v>Describe the characteristics and differences between asteroids, comets, meteors, and meteorites.</v>
      </c>
      <c r="M99" s="10" t="str">
        <f t="shared" si="2"/>
        <v>LU005020.003</v>
      </c>
      <c r="N99" s="10" t="str">
        <f ca="1">IFERROR(__xludf.DUMMYFUNCTION("VLOOKUP(M99, IMPORTRANGE(""https://docs.google.com/spreadsheets/d/1yDAaXNsi4Mr5FtRQL4tbmSdIzhx6_m4wkOD7IG-k_eo/edit#gid=1336395716"", ""Science!M:N""), 2, FALSE)"),"Demonstrate how meteors differ from meteorites and the process by which a comet develops a tail.")</f>
        <v>Demonstrate how meteors differ from meteorites and the process by which a comet develops a tail.</v>
      </c>
      <c r="O99" s="10" t="str">
        <f t="shared" si="3"/>
        <v>LU005020.004</v>
      </c>
      <c r="P99" s="10" t="str">
        <f ca="1">IFERROR(__xludf.DUMMYFUNCTION("VLOOKUP(O99, IMPORTRANGE(""https://docs.google.com/spreadsheets/d/1yDAaXNsi4Mr5FtRQL4tbmSdIzhx6_m4wkOD7IG-k_eo/edit#gid=1336395716"", ""Science!M:N""), 2, FALSE)"),"Differentiate between the origins, compositions, and trajectories of asteroids versus comets.")</f>
        <v>Differentiate between the origins, compositions, and trajectories of asteroids versus comets.</v>
      </c>
      <c r="Q99" s="10" t="str">
        <f t="shared" si="4"/>
        <v>LU005020.005</v>
      </c>
      <c r="R99" s="10" t="str">
        <f ca="1">IFERROR(__xludf.DUMMYFUNCTION("VLOOKUP(Q99, IMPORTRANGE(""https://docs.google.com/spreadsheets/d/1yDAaXNsi4Mr5FtRQL4tbmSdIzhx6_m4wkOD7IG-k_eo/edit#gid=1336395716"", ""Science!M:N""), 2, FALSE)"),"Assess the potential impacts and significance of these minor bodies on Earth and its environment.")</f>
        <v>Assess the potential impacts and significance of these minor bodies on Earth and its environment.</v>
      </c>
      <c r="S99" s="10" t="str">
        <f t="shared" si="5"/>
        <v>LU005020.006</v>
      </c>
      <c r="T99" s="10" t="str">
        <f ca="1">IFERROR(__xludf.DUMMYFUNCTION("VLOOKUP(S99, IMPORTRANGE(""https://docs.google.com/spreadsheets/d/1yDAaXNsi4Mr5FtRQL4tbmSdIzhx6_m4wkOD7IG-k_eo/edit#gid=1336395716"", ""Science!M:N""), 2, FALSE)"),"#N/A")</f>
        <v>#N/A</v>
      </c>
      <c r="U99" s="11">
        <f ca="1">IFERROR(__xludf.DUMMYFUNCTION("ArrayFormula(VLOOKUP(G99, IMPORTRANGE(""https://docs.google.com/spreadsheets/d/1p7R4vtkWt5VOBim4ltsDG9KTzSjrtKXsMtQGXPHyND0/edit#gid=795171502"", ""'Filter 30_05_2024'!A1:M2000""), {2, 3, 4, 5,6,7,8,9,10,11,12,13}, 0))"),4)</f>
        <v>4</v>
      </c>
      <c r="V99" s="11">
        <f ca="1">IFERROR(__xludf.DUMMYFUNCTION("""COMPUTED_VALUE"""),7)</f>
        <v>7</v>
      </c>
      <c r="W99" s="11">
        <f ca="1">IFERROR(__xludf.DUMMYFUNCTION("""COMPUTED_VALUE"""),2)</f>
        <v>2</v>
      </c>
      <c r="X99" s="11">
        <f ca="1">IFERROR(__xludf.DUMMYFUNCTION("""COMPUTED_VALUE"""),13)</f>
        <v>13</v>
      </c>
      <c r="Y99" s="11">
        <f ca="1">IFERROR(__xludf.DUMMYFUNCTION("""COMPUTED_VALUE"""),4)</f>
        <v>4</v>
      </c>
      <c r="Z99" s="12">
        <f ca="1">IFERROR(__xludf.DUMMYFUNCTION("""COMPUTED_VALUE"""),2)</f>
        <v>2</v>
      </c>
      <c r="AA99" s="12">
        <f ca="1">IFERROR(__xludf.DUMMYFUNCTION("""COMPUTED_VALUE"""),1)</f>
        <v>1</v>
      </c>
      <c r="AB99" s="12">
        <f ca="1">IFERROR(__xludf.DUMMYFUNCTION("""COMPUTED_VALUE"""),7)</f>
        <v>7</v>
      </c>
      <c r="AC99" s="12"/>
      <c r="AD99" s="12"/>
      <c r="AE99" s="12"/>
      <c r="AF99" s="12"/>
      <c r="AG99" s="13" t="str">
        <f ca="1">IFERROR(__xludf.DUMMYFUNCTION("ArrayFormula(VLOOKUP(G99, IMPORTRANGE(""https://docs.google.com/spreadsheets/d/1Co934fvtviyaRiMsrIlT05Jaq7iiYq07aLvRr35KA48/edit?gid=173865642#gid=173865642"", ""'G6_Sci Cur_Pri_LU'!G2:V2000""), {3, 4, 5, 6, 7, 8, 9, 10, 11, 12, 13, 14, 15, 16}, 0))"),"")</f>
        <v/>
      </c>
      <c r="AH99" s="13"/>
      <c r="AI99" s="13"/>
      <c r="AJ99" s="13"/>
      <c r="AK99" s="13"/>
      <c r="AL99" s="13"/>
      <c r="AM99" s="13"/>
      <c r="AN99" s="13"/>
      <c r="AO99" s="13"/>
      <c r="AP99" s="13"/>
      <c r="AQ99" s="13"/>
      <c r="AR99" s="13"/>
      <c r="AS99" s="13"/>
      <c r="AT99" s="13"/>
    </row>
    <row r="100" spans="1:46">
      <c r="A100" s="8" t="s">
        <v>1405</v>
      </c>
      <c r="B100" s="8" t="s">
        <v>47</v>
      </c>
      <c r="C100" s="8" t="s">
        <v>48</v>
      </c>
      <c r="D100" s="8" t="s">
        <v>1510</v>
      </c>
      <c r="E100" s="8" t="s">
        <v>1647</v>
      </c>
      <c r="F100" s="8" t="s">
        <v>1665</v>
      </c>
      <c r="G100" s="8" t="s">
        <v>1666</v>
      </c>
      <c r="H100" s="8" t="s">
        <v>1667</v>
      </c>
      <c r="I100" s="10" t="str">
        <f t="shared" si="0"/>
        <v>LU006442.001</v>
      </c>
      <c r="J100" s="10" t="str">
        <f ca="1">IFERROR(__xludf.DUMMYFUNCTION("VLOOKUP(I100, IMPORTRANGE(""https://docs.google.com/spreadsheets/d/1yDAaXNsi4Mr5FtRQL4tbmSdIzhx6_m4wkOD7IG-k_eo/edit#gid=1336395716"", ""Science!M:N""), 2, FALSE)"),"Define the solar system as a group of planets and other celestial bodies that orbit the Sun.")</f>
        <v>Define the solar system as a group of planets and other celestial bodies that orbit the Sun.</v>
      </c>
      <c r="K100" s="10" t="str">
        <f t="shared" si="1"/>
        <v>LU006442.002</v>
      </c>
      <c r="L100" s="10" t="str">
        <f ca="1">IFERROR(__xludf.DUMMYFUNCTION("VLOOKUP(K100, IMPORTRANGE(""https://docs.google.com/spreadsheets/d/1yDAaXNsi4Mr5FtRQL4tbmSdIzhx6_m4wkOD7IG-k_eo/edit#gid=1336395716"", ""Science!M:N""), 2, FALSE)"),"Describe the Milky Way galaxy as a large collection of stars, including our solar system, bound together by gravity.")</f>
        <v>Describe the Milky Way galaxy as a large collection of stars, including our solar system, bound together by gravity.</v>
      </c>
      <c r="M100" s="10" t="str">
        <f t="shared" si="2"/>
        <v>LU006442.003</v>
      </c>
      <c r="N100" s="10" t="str">
        <f ca="1">IFERROR(__xludf.DUMMYFUNCTION("VLOOKUP(M100, IMPORTRANGE(""https://docs.google.com/spreadsheets/d/1yDAaXNsi4Mr5FtRQL4tbmSdIzhx6_m4wkOD7IG-k_eo/edit#gid=1336395716"", ""Science!M:N""), 2, FALSE)"),"Explain the concept of the universe as the vast space that contains all galaxies, stars, and celestial bodies.")</f>
        <v>Explain the concept of the universe as the vast space that contains all galaxies, stars, and celestial bodies.</v>
      </c>
      <c r="O100" s="10" t="str">
        <f t="shared" si="3"/>
        <v>LU006442.004</v>
      </c>
      <c r="P100" s="10" t="str">
        <f ca="1">IFERROR(__xludf.DUMMYFUNCTION("VLOOKUP(O100, IMPORTRANGE(""https://docs.google.com/spreadsheets/d/1yDAaXNsi4Mr5FtRQL4tbmSdIzhx6_m4wkOD7IG-k_eo/edit#gid=1336395716"", ""Science!M:N""), 2, FALSE)"),"Compare the scale of the solar system, the Milky Way galaxy, and the universe, illustrating the relative sizes and distances involved.")</f>
        <v>Compare the scale of the solar system, the Milky Way galaxy, and the universe, illustrating the relative sizes and distances involved.</v>
      </c>
      <c r="Q100" s="10" t="str">
        <f t="shared" si="4"/>
        <v>LU006442.005</v>
      </c>
      <c r="R100" s="10" t="str">
        <f ca="1">IFERROR(__xludf.DUMMYFUNCTION("VLOOKUP(Q100, IMPORTRANGE(""https://docs.google.com/spreadsheets/d/1yDAaXNsi4Mr5FtRQL4tbmSdIzhx6_m4wkOD7IG-k_eo/edit#gid=1336395716"", ""Science!M:N""), 2, FALSE)"),"Evaluate the significance of our solar system’s location within the Milky Way galaxy in understanding the universe.")</f>
        <v>Evaluate the significance of our solar system’s location within the Milky Way galaxy in understanding the universe.</v>
      </c>
      <c r="S100" s="10" t="str">
        <f t="shared" si="5"/>
        <v>LU006442.006</v>
      </c>
      <c r="T100" s="10" t="str">
        <f ca="1">IFERROR(__xludf.DUMMYFUNCTION("VLOOKUP(S100, IMPORTRANGE(""https://docs.google.com/spreadsheets/d/1yDAaXNsi4Mr5FtRQL4tbmSdIzhx6_m4wkOD7IG-k_eo/edit#gid=1336395716"", ""Science!M:N""), 2, FALSE)"),"Create a model or diagram that represents the solar system, the Milky Way galaxy, and their place within the universe, showing the relationships and relative sizes.")</f>
        <v>Create a model or diagram that represents the solar system, the Milky Way galaxy, and their place within the universe, showing the relationships and relative sizes.</v>
      </c>
      <c r="U100" s="11">
        <f ca="1">IFERROR(__xludf.DUMMYFUNCTION("ArrayFormula(VLOOKUP(G100, IMPORTRANGE(""https://docs.google.com/spreadsheets/d/1p7R4vtkWt5VOBim4ltsDG9KTzSjrtKXsMtQGXPHyND0/edit#gid=795171502"", ""'Filter 30_05_2024'!A1:M2000""), {2, 3, 4, 5,6,7,8,9,10,11,12,13}, 0))"),4)</f>
        <v>4</v>
      </c>
      <c r="V100" s="11">
        <f ca="1">IFERROR(__xludf.DUMMYFUNCTION("""COMPUTED_VALUE"""),6)</f>
        <v>6</v>
      </c>
      <c r="W100" s="11">
        <f ca="1">IFERROR(__xludf.DUMMYFUNCTION("""COMPUTED_VALUE"""),2)</f>
        <v>2</v>
      </c>
      <c r="X100" s="11">
        <f ca="1">IFERROR(__xludf.DUMMYFUNCTION("""COMPUTED_VALUE"""),12)</f>
        <v>12</v>
      </c>
      <c r="Y100" s="11">
        <f ca="1">IFERROR(__xludf.DUMMYFUNCTION("""COMPUTED_VALUE"""),4)</f>
        <v>4</v>
      </c>
      <c r="Z100" s="12">
        <f ca="1">IFERROR(__xludf.DUMMYFUNCTION("""COMPUTED_VALUE"""),3)</f>
        <v>3</v>
      </c>
      <c r="AA100" s="12">
        <f ca="1">IFERROR(__xludf.DUMMYFUNCTION("""COMPUTED_VALUE"""),1)</f>
        <v>1</v>
      </c>
      <c r="AB100" s="12">
        <f ca="1">IFERROR(__xludf.DUMMYFUNCTION("""COMPUTED_VALUE"""),8)</f>
        <v>8</v>
      </c>
      <c r="AC100" s="12"/>
      <c r="AD100" s="12"/>
      <c r="AE100" s="12"/>
      <c r="AF100" s="12"/>
      <c r="AG100" s="13" t="str">
        <f ca="1">IFERROR(__xludf.DUMMYFUNCTION("ArrayFormula(VLOOKUP(G100, IMPORTRANGE(""https://docs.google.com/spreadsheets/d/1Co934fvtviyaRiMsrIlT05Jaq7iiYq07aLvRr35KA48/edit?gid=173865642#gid=173865642"", ""'G6_Sci Cur_Pri_LU'!G2:V2000""), {3, 4, 5, 6, 7, 8, 9, 10, 11, 12, 13, 14, 15, 16}, 0))"),"LU006443")</f>
        <v>LU006443</v>
      </c>
      <c r="AH100" s="13" t="str">
        <f ca="1">IFERROR(__xludf.DUMMYFUNCTION("""COMPUTED_VALUE"""),"Attributes of Sun ")</f>
        <v xml:space="preserve">Attributes of Sun </v>
      </c>
      <c r="AI100" s="13" t="str">
        <f ca="1">IFERROR(__xludf.DUMMYFUNCTION("""COMPUTED_VALUE"""),"LU006440")</f>
        <v>LU006440</v>
      </c>
      <c r="AJ100" s="13" t="str">
        <f ca="1">IFERROR(__xludf.DUMMYFUNCTION("""COMPUTED_VALUE"""),"Stars and Constellation ")</f>
        <v xml:space="preserve">Stars and Constellation </v>
      </c>
      <c r="AK100" s="13" t="str">
        <f ca="1">IFERROR(__xludf.DUMMYFUNCTION("""COMPUTED_VALUE"""),"LU006444")</f>
        <v>LU006444</v>
      </c>
      <c r="AL100" s="13" t="str">
        <f ca="1">IFERROR(__xludf.DUMMYFUNCTION("""COMPUTED_VALUE"""),"Attributes of Planets ")</f>
        <v xml:space="preserve">Attributes of Planets </v>
      </c>
      <c r="AM100" s="13"/>
      <c r="AN100" s="13"/>
      <c r="AO100" s="13"/>
      <c r="AP100" s="13"/>
      <c r="AQ100" s="13"/>
      <c r="AR100" s="13"/>
      <c r="AS100" s="13"/>
      <c r="AT100" s="13"/>
    </row>
    <row r="101" spans="1:46">
      <c r="A101" s="8" t="s">
        <v>1405</v>
      </c>
      <c r="B101" s="8" t="s">
        <v>47</v>
      </c>
      <c r="C101" s="8" t="s">
        <v>48</v>
      </c>
      <c r="D101" s="8" t="s">
        <v>1406</v>
      </c>
      <c r="E101" s="8" t="s">
        <v>1668</v>
      </c>
      <c r="F101" s="8" t="s">
        <v>1669</v>
      </c>
      <c r="G101" s="106" t="s">
        <v>1670</v>
      </c>
      <c r="H101" s="8" t="s">
        <v>1671</v>
      </c>
      <c r="I101" s="10" t="str">
        <f t="shared" si="0"/>
        <v>LU005265.001</v>
      </c>
      <c r="J101" s="10" t="str">
        <f ca="1">IFERROR(__xludf.DUMMYFUNCTION("VLOOKUP(I101, IMPORTRANGE(""https://docs.google.com/spreadsheets/d/1yDAaXNsi4Mr5FtRQL4tbmSdIzhx6_m4wkOD7IG-k_eo/edit#gid=1336395716"", ""Science!M:N""), 2, FALSE)"),"Students will learn and retain the seven essential characteristics that define living organisms, along with examples that distinguish between living and non-living entities.")</f>
        <v>Students will learn and retain the seven essential characteristics that define living organisms, along with examples that distinguish between living and non-living entities.</v>
      </c>
      <c r="K101" s="10" t="str">
        <f t="shared" si="1"/>
        <v>LU005265.002</v>
      </c>
      <c r="L101" s="10" t="str">
        <f ca="1">IFERROR(__xludf.DUMMYFUNCTION("VLOOKUP(K101, IMPORTRANGE(""https://docs.google.com/spreadsheets/d/1yDAaXNsi4Mr5FtRQL4tbmSdIzhx6_m4wkOD7IG-k_eo/edit#gid=1336395716"", ""Science!M:N""), 2, FALSE)"),"Students will explain in their own words what each characteristic means and why it is essential for life.")</f>
        <v>Students will explain in their own words what each characteristic means and why it is essential for life.</v>
      </c>
      <c r="M101" s="10" t="str">
        <f t="shared" si="2"/>
        <v>LU005265.003</v>
      </c>
      <c r="N101" s="10" t="str">
        <f ca="1">IFERROR(__xludf.DUMMYFUNCTION("VLOOKUP(M101, IMPORTRANGE(""https://docs.google.com/spreadsheets/d/1yDAaXNsi4Mr5FtRQL4tbmSdIzhx6_m4wkOD7IG-k_eo/edit#gid=1336395716"", ""Science!M:N""), 2, FALSE)"),"Students will demonstrate their understanding of these characteristics by providing clear examples from a diverse range of living and non-living things.")</f>
        <v>Students will demonstrate their understanding of these characteristics by providing clear examples from a diverse range of living and non-living things.</v>
      </c>
      <c r="O101" s="10" t="str">
        <f t="shared" si="3"/>
        <v>LU005265.004</v>
      </c>
      <c r="P101" s="10" t="str">
        <f ca="1">IFERROR(__xludf.DUMMYFUNCTION("VLOOKUP(O101, IMPORTRANGE(""https://docs.google.com/spreadsheets/d/1yDAaXNsi4Mr5FtRQL4tbmSdIzhx6_m4wkOD7IG-k_eo/edit#gid=1336395716"", ""Science!M:N""), 2, FALSE)"),"Students will examine different organisms to identify and analyze these fundamental characteristics in action.")</f>
        <v>Students will examine different organisms to identify and analyze these fundamental characteristics in action.</v>
      </c>
      <c r="Q101" s="10" t="str">
        <f t="shared" si="4"/>
        <v>LU005265.005</v>
      </c>
      <c r="R101" s="10" t="str">
        <f ca="1">IFERROR(__xludf.DUMMYFUNCTION("VLOOKUP(Q101, IMPORTRANGE(""https://docs.google.com/spreadsheets/d/1yDAaXNsi4Mr5FtRQL4tbmSdIzhx6_m4wkOD7IG-k_eo/edit#gid=1336395716"", ""Science!M:N""), 2, FALSE)"),"Students will judge the importance of each characteristic for the survival of living organisms and predict the consequences of its absence.")</f>
        <v>Students will judge the importance of each characteristic for the survival of living organisms and predict the consequences of its absence.</v>
      </c>
      <c r="S101" s="10" t="str">
        <f t="shared" si="5"/>
        <v>LU005265.006</v>
      </c>
      <c r="T101" s="10" t="str">
        <f ca="1">IFERROR(__xludf.DUMMYFUNCTION("VLOOKUP(S101, IMPORTRANGE(""https://docs.google.com/spreadsheets/d/1yDAaXNsi4Mr5FtRQL4tbmSdIzhx6_m4wkOD7IG-k_eo/edit#gid=1336395716"", ""Science!M:N""), 2, FALSE)"),"#N/A")</f>
        <v>#N/A</v>
      </c>
      <c r="U101" s="11">
        <f ca="1">IFERROR(__xludf.DUMMYFUNCTION("ArrayFormula(VLOOKUP(G101, IMPORTRANGE(""https://docs.google.com/spreadsheets/d/1p7R4vtkWt5VOBim4ltsDG9KTzSjrtKXsMtQGXPHyND0/edit#gid=795171502"", ""'Filter 30_05_2024'!A1:M2000""), {2, 3, 4, 5,6,7,8,9,10,11,12,13}, 0))"),3)</f>
        <v>3</v>
      </c>
      <c r="V101" s="11">
        <f ca="1">IFERROR(__xludf.DUMMYFUNCTION("""COMPUTED_VALUE"""),6)</f>
        <v>6</v>
      </c>
      <c r="W101" s="11">
        <f ca="1">IFERROR(__xludf.DUMMYFUNCTION("""COMPUTED_VALUE"""),2)</f>
        <v>2</v>
      </c>
      <c r="X101" s="11">
        <f ca="1">IFERROR(__xludf.DUMMYFUNCTION("""COMPUTED_VALUE"""),11)</f>
        <v>11</v>
      </c>
      <c r="Y101" s="11">
        <f ca="1">IFERROR(__xludf.DUMMYFUNCTION("""COMPUTED_VALUE"""),4)</f>
        <v>4</v>
      </c>
      <c r="Z101" s="12">
        <f ca="1">IFERROR(__xludf.DUMMYFUNCTION("""COMPUTED_VALUE"""),6)</f>
        <v>6</v>
      </c>
      <c r="AA101" s="12">
        <f ca="1">IFERROR(__xludf.DUMMYFUNCTION("""COMPUTED_VALUE"""),1)</f>
        <v>1</v>
      </c>
      <c r="AB101" s="12">
        <f ca="1">IFERROR(__xludf.DUMMYFUNCTION("""COMPUTED_VALUE"""),11)</f>
        <v>11</v>
      </c>
      <c r="AC101" s="12"/>
      <c r="AD101" s="12"/>
      <c r="AE101" s="12"/>
      <c r="AF101" s="12"/>
      <c r="AG101" s="13" t="str">
        <f ca="1">IFERROR(__xludf.DUMMYFUNCTION("ArrayFormula(VLOOKUP(G101, IMPORTRANGE(""https://docs.google.com/spreadsheets/d/1Co934fvtviyaRiMsrIlT05Jaq7iiYq07aLvRr35KA48/edit?gid=173865642#gid=173865642"", ""'G6_Sci Cur_Pri_LU'!G2:V2000""), {3, 4, 5, 6, 7, 8, 9, 10, 11, 12, 13, 14, 15, 16}, 0))"),"LU005252")</f>
        <v>LU005252</v>
      </c>
      <c r="AH101" s="13" t="str">
        <f ca="1">IFERROR(__xludf.DUMMYFUNCTION("""COMPUTED_VALUE"""),"Animals, plants, and natural objects in different surroundings")</f>
        <v>Animals, plants, and natural objects in different surroundings</v>
      </c>
      <c r="AI101" s="13" t="str">
        <f ca="1">IFERROR(__xludf.DUMMYFUNCTION("""COMPUTED_VALUE"""),"LU005214")</f>
        <v>LU005214</v>
      </c>
      <c r="AJ101" s="13" t="str">
        <f ca="1">IFERROR(__xludf.DUMMYFUNCTION("""COMPUTED_VALUE"""),"Definition of nutrients, types, and their sources.")</f>
        <v>Definition of nutrients, types, and their sources.</v>
      </c>
      <c r="AK101" s="13" t="str">
        <f ca="1">IFERROR(__xludf.DUMMYFUNCTION("""COMPUTED_VALUE"""),"LU005894")</f>
        <v>LU005894</v>
      </c>
      <c r="AL101" s="13" t="str">
        <f ca="1">IFERROR(__xludf.DUMMYFUNCTION("""COMPUTED_VALUE"""),"Presence of oxygen in water and soil")</f>
        <v>Presence of oxygen in water and soil</v>
      </c>
      <c r="AM101" s="13"/>
      <c r="AN101" s="13"/>
      <c r="AO101" s="13"/>
      <c r="AP101" s="13"/>
      <c r="AQ101" s="13"/>
      <c r="AR101" s="13"/>
      <c r="AS101" s="13"/>
      <c r="AT101" s="13"/>
    </row>
    <row r="102" spans="1:46">
      <c r="A102" s="8" t="s">
        <v>1405</v>
      </c>
      <c r="B102" s="8" t="s">
        <v>47</v>
      </c>
      <c r="C102" s="8" t="s">
        <v>48</v>
      </c>
      <c r="D102" s="8" t="s">
        <v>1406</v>
      </c>
      <c r="E102" s="8" t="s">
        <v>1668</v>
      </c>
      <c r="F102" s="8" t="s">
        <v>1672</v>
      </c>
      <c r="G102" s="8" t="s">
        <v>1673</v>
      </c>
      <c r="H102" s="8" t="s">
        <v>1674</v>
      </c>
      <c r="I102" s="10" t="str">
        <f t="shared" si="0"/>
        <v>LU006431.001</v>
      </c>
      <c r="J102" s="10" t="str">
        <f ca="1">IFERROR(__xludf.DUMMYFUNCTION("VLOOKUP(I102, IMPORTRANGE(""https://docs.google.com/spreadsheets/d/1yDAaXNsi4Mr5FtRQL4tbmSdIzhx6_m4wkOD7IG-k_eo/edit#gid=1336395716"", ""Science!M:N""), 2, FALSE)"),"Recall the essential conditions required for seed germination, such as water, oxygen, and appropriate temperature.")</f>
        <v>Recall the essential conditions required for seed germination, such as water, oxygen, and appropriate temperature.</v>
      </c>
      <c r="K102" s="10" t="str">
        <f t="shared" si="1"/>
        <v>LU006431.002</v>
      </c>
      <c r="L102" s="10" t="str">
        <f ca="1">IFERROR(__xludf.DUMMYFUNCTION("VLOOKUP(K102, IMPORTRANGE(""https://docs.google.com/spreadsheets/d/1yDAaXNsi4Mr5FtRQL4tbmSdIzhx6_m4wkOD7IG-k_eo/edit#gid=1336395716"", ""Science!M:N""), 2, FALSE)"),"Explain how each essential condition (water, oxygen, temperature) contributes to the process of seed germination.")</f>
        <v>Explain how each essential condition (water, oxygen, temperature) contributes to the process of seed germination.</v>
      </c>
      <c r="M102" s="10" t="str">
        <f t="shared" si="2"/>
        <v>LU006431.003</v>
      </c>
      <c r="N102" s="10" t="str">
        <f ca="1">IFERROR(__xludf.DUMMYFUNCTION("VLOOKUP(M102, IMPORTRANGE(""https://docs.google.com/spreadsheets/d/1yDAaXNsi4Mr5FtRQL4tbmSdIzhx6_m4wkOD7IG-k_eo/edit#gid=1336395716"", ""Science!M:N""), 2, FALSE)"),"Demonstrate how seeds germinate by setting up an experiment that provides the necessary conditions for germination.")</f>
        <v>Demonstrate how seeds germinate by setting up an experiment that provides the necessary conditions for germination.</v>
      </c>
      <c r="O102" s="10" t="str">
        <f t="shared" si="3"/>
        <v>LU006431.004</v>
      </c>
      <c r="P102" s="10" t="str">
        <f ca="1">IFERROR(__xludf.DUMMYFUNCTION("VLOOKUP(O102, IMPORTRANGE(""https://docs.google.com/spreadsheets/d/1yDAaXNsi4Mr5FtRQL4tbmSdIzhx6_m4wkOD7IG-k_eo/edit#gid=1336395716"", ""Science!M:N""), 2, FALSE)"),"Compare the germination process under different conditions, analyzing the impact of each condition on the success of seed germination.")</f>
        <v>Compare the germination process under different conditions, analyzing the impact of each condition on the success of seed germination.</v>
      </c>
      <c r="Q102" s="10" t="str">
        <f t="shared" si="4"/>
        <v>LU006431.005</v>
      </c>
      <c r="R102" s="10" t="str">
        <f ca="1">IFERROR(__xludf.DUMMYFUNCTION("VLOOKUP(Q102, IMPORTRANGE(""https://docs.google.com/spreadsheets/d/1yDAaXNsi4Mr5FtRQL4tbmSdIzhx6_m4wkOD7IG-k_eo/edit#gid=1336395716"", ""Science!M:N""), 2, FALSE)"),"Evaluate the importance of maintaining the correct conditions for seed germination and predict the outcome if one condition is missing.")</f>
        <v>Evaluate the importance of maintaining the correct conditions for seed germination and predict the outcome if one condition is missing.</v>
      </c>
      <c r="S102" s="10" t="str">
        <f t="shared" si="5"/>
        <v>LU006431.006</v>
      </c>
      <c r="T102" s="10" t="str">
        <f ca="1">IFERROR(__xludf.DUMMYFUNCTION("VLOOKUP(S102, IMPORTRANGE(""https://docs.google.com/spreadsheets/d/1yDAaXNsi4Mr5FtRQL4tbmSdIzhx6_m4wkOD7IG-k_eo/edit#gid=1336395716"", ""Science!M:N""), 2, FALSE)"),"Design a simple experiment to test the germination of seeds under varying conditions and draw conclusions based on the results.")</f>
        <v>Design a simple experiment to test the germination of seeds under varying conditions and draw conclusions based on the results.</v>
      </c>
      <c r="U102" s="11">
        <f ca="1">IFERROR(__xludf.DUMMYFUNCTION("ArrayFormula(VLOOKUP(G102, IMPORTRANGE(""https://docs.google.com/spreadsheets/d/1p7R4vtkWt5VOBim4ltsDG9KTzSjrtKXsMtQGXPHyND0/edit#gid=795171502"", ""'Filter 30_05_2024'!A1:M2000""), {2, 3, 4, 5,6,7,8,9,10,11,12,13}, 0))"),4)</f>
        <v>4</v>
      </c>
      <c r="V102" s="11">
        <f ca="1">IFERROR(__xludf.DUMMYFUNCTION("""COMPUTED_VALUE"""),6)</f>
        <v>6</v>
      </c>
      <c r="W102" s="11">
        <f ca="1">IFERROR(__xludf.DUMMYFUNCTION("""COMPUTED_VALUE"""),2)</f>
        <v>2</v>
      </c>
      <c r="X102" s="11">
        <f ca="1">IFERROR(__xludf.DUMMYFUNCTION("""COMPUTED_VALUE"""),12)</f>
        <v>12</v>
      </c>
      <c r="Y102" s="11">
        <f ca="1">IFERROR(__xludf.DUMMYFUNCTION("""COMPUTED_VALUE"""),4)</f>
        <v>4</v>
      </c>
      <c r="Z102" s="12">
        <f ca="1">IFERROR(__xludf.DUMMYFUNCTION("""COMPUTED_VALUE"""),3)</f>
        <v>3</v>
      </c>
      <c r="AA102" s="12">
        <f ca="1">IFERROR(__xludf.DUMMYFUNCTION("""COMPUTED_VALUE"""),1)</f>
        <v>1</v>
      </c>
      <c r="AB102" s="12">
        <f ca="1">IFERROR(__xludf.DUMMYFUNCTION("""COMPUTED_VALUE"""),8)</f>
        <v>8</v>
      </c>
      <c r="AC102" s="12"/>
      <c r="AD102" s="12"/>
      <c r="AE102" s="12"/>
      <c r="AF102" s="12"/>
      <c r="AG102" s="13" t="str">
        <f ca="1">IFERROR(__xludf.DUMMYFUNCTION("ArrayFormula(VLOOKUP(G102, IMPORTRANGE(""https://docs.google.com/spreadsheets/d/1Co934fvtviyaRiMsrIlT05Jaq7iiYq07aLvRr35KA48/edit?gid=173865642#gid=173865642"", ""'G6_Sci Cur_Pri_LU'!G2:V2000""), {3, 4, 5, 6, 7, 8, 9, 10, 11, 12, 13, 14, 15, 16}, 0))"),"LU005253")</f>
        <v>LU005253</v>
      </c>
      <c r="AH102" s="13" t="str">
        <f ca="1">IFERROR(__xludf.DUMMYFUNCTION("""COMPUTED_VALUE"""),"Definition of abiotic components")</f>
        <v>Definition of abiotic components</v>
      </c>
      <c r="AI102" s="13" t="str">
        <f ca="1">IFERROR(__xludf.DUMMYFUNCTION("""COMPUTED_VALUE"""),"LU005099")</f>
        <v>LU005099</v>
      </c>
      <c r="AJ102" s="13" t="str">
        <f ca="1">IFERROR(__xludf.DUMMYFUNCTION("""COMPUTED_VALUE"""),"Structure of a Seed")</f>
        <v>Structure of a Seed</v>
      </c>
      <c r="AK102" s="13" t="str">
        <f ca="1">IFERROR(__xludf.DUMMYFUNCTION("""COMPUTED_VALUE"""),"LU005097")</f>
        <v>LU005097</v>
      </c>
      <c r="AL102" s="13" t="str">
        <f ca="1">IFERROR(__xludf.DUMMYFUNCTION("""COMPUTED_VALUE"""),"Seed germination")</f>
        <v>Seed germination</v>
      </c>
      <c r="AM102" s="13"/>
      <c r="AN102" s="13"/>
      <c r="AO102" s="13"/>
      <c r="AP102" s="13"/>
      <c r="AQ102" s="13"/>
      <c r="AR102" s="13"/>
      <c r="AS102" s="13"/>
      <c r="AT102" s="13"/>
    </row>
    <row r="103" spans="1:46">
      <c r="A103" s="8" t="s">
        <v>1405</v>
      </c>
      <c r="B103" s="8" t="s">
        <v>47</v>
      </c>
      <c r="C103" s="8" t="s">
        <v>48</v>
      </c>
      <c r="D103" s="8" t="s">
        <v>1406</v>
      </c>
      <c r="E103" s="8" t="s">
        <v>1668</v>
      </c>
      <c r="F103" s="8" t="s">
        <v>1675</v>
      </c>
      <c r="G103" s="8" t="s">
        <v>1676</v>
      </c>
      <c r="H103" s="8" t="s">
        <v>1675</v>
      </c>
      <c r="I103" s="10" t="str">
        <f t="shared" si="0"/>
        <v>LU006432.001</v>
      </c>
      <c r="J103" s="10" t="str">
        <f ca="1">IFERROR(__xludf.DUMMYFUNCTION("VLOOKUP(I103, IMPORTRANGE(""https://docs.google.com/spreadsheets/d/1yDAaXNsi4Mr5FtRQL4tbmSdIzhx6_m4wkOD7IG-k_eo/edit#gid=1336395716"", ""Science!M:N""), 2, FALSE)"),"Recall the basic processes involved in plant growth and movement, such as photosynthesis and tropism.")</f>
        <v>Recall the basic processes involved in plant growth and movement, such as photosynthesis and tropism.</v>
      </c>
      <c r="K103" s="10" t="str">
        <f t="shared" si="1"/>
        <v>LU006432.002</v>
      </c>
      <c r="L103" s="10" t="str">
        <f ca="1">IFERROR(__xludf.DUMMYFUNCTION("VLOOKUP(K103, IMPORTRANGE(""https://docs.google.com/spreadsheets/d/1yDAaXNsi4Mr5FtRQL4tbmSdIzhx6_m4wkOD7IG-k_eo/edit#gid=1336395716"", ""Science!M:N""), 2, FALSE)"),"Describe how plants grow and move in response to environmental factors like light, water, and gravity.")</f>
        <v>Describe how plants grow and move in response to environmental factors like light, water, and gravity.</v>
      </c>
      <c r="M103" s="10" t="str">
        <f t="shared" si="2"/>
        <v>LU006432.003</v>
      </c>
      <c r="N103" s="10" t="str">
        <f ca="1">IFERROR(__xludf.DUMMYFUNCTION("VLOOKUP(M103, IMPORTRANGE(""https://docs.google.com/spreadsheets/d/1yDAaXNsi4Mr5FtRQL4tbmSdIzhx6_m4wkOD7IG-k_eo/edit#gid=1336395716"", ""Science!M:N""), 2, FALSE)"),"Illustrate the different types of plant movements (e.g., phototropism, geotropism) with examples.")</f>
        <v>Illustrate the different types of plant movements (e.g., phototropism, geotropism) with examples.</v>
      </c>
      <c r="O103" s="10" t="str">
        <f t="shared" si="3"/>
        <v>LU006432.004</v>
      </c>
      <c r="P103" s="10" t="str">
        <f ca="1">IFERROR(__xludf.DUMMYFUNCTION("VLOOKUP(O103, IMPORTRANGE(""https://docs.google.com/spreadsheets/d/1yDAaXNsi4Mr5FtRQL4tbmSdIzhx6_m4wkOD7IG-k_eo/edit#gid=1336395716"", ""Science!M:N""), 2, FALSE)"),"Compare the growth patterns and movement responses of different plants to environmental stimuli.")</f>
        <v>Compare the growth patterns and movement responses of different plants to environmental stimuli.</v>
      </c>
      <c r="Q103" s="10" t="str">
        <f t="shared" si="4"/>
        <v>LU006432.005</v>
      </c>
      <c r="R103" s="10" t="str">
        <f ca="1">IFERROR(__xludf.DUMMYFUNCTION("VLOOKUP(Q103, IMPORTRANGE(""https://docs.google.com/spreadsheets/d/1yDAaXNsi4Mr5FtRQL4tbmSdIzhx6_m4wkOD7IG-k_eo/edit#gid=1336395716"", ""Science!M:N""), 2, FALSE)"),"Evaluate the importance of environmental factors in influencing the growth and movement of plants.")</f>
        <v>Evaluate the importance of environmental factors in influencing the growth and movement of plants.</v>
      </c>
      <c r="S103" s="10" t="str">
        <f t="shared" si="5"/>
        <v>LU006432.006</v>
      </c>
      <c r="T103" s="10" t="str">
        <f ca="1">IFERROR(__xludf.DUMMYFUNCTION("VLOOKUP(S103, IMPORTRANGE(""https://docs.google.com/spreadsheets/d/1yDAaXNsi4Mr5FtRQL4tbmSdIzhx6_m4wkOD7IG-k_eo/edit#gid=1336395716"", ""Science!M:N""), 2, FALSE)"),"Design an experiment to observe and document the growth or movement of a plant in response to a specific stimulus.")</f>
        <v>Design an experiment to observe and document the growth or movement of a plant in response to a specific stimulus.</v>
      </c>
      <c r="U103" s="11">
        <f ca="1">IFERROR(__xludf.DUMMYFUNCTION("ArrayFormula(VLOOKUP(G103, IMPORTRANGE(""https://docs.google.com/spreadsheets/d/1p7R4vtkWt5VOBim4ltsDG9KTzSjrtKXsMtQGXPHyND0/edit#gid=795171502"", ""'Filter 30_05_2024'!A1:M2000""), {2, 3, 4, 5,6,7,8,9,10,11,12,13}, 0))"),4)</f>
        <v>4</v>
      </c>
      <c r="V103" s="11">
        <f ca="1">IFERROR(__xludf.DUMMYFUNCTION("""COMPUTED_VALUE"""),6)</f>
        <v>6</v>
      </c>
      <c r="W103" s="11">
        <f ca="1">IFERROR(__xludf.DUMMYFUNCTION("""COMPUTED_VALUE"""),2)</f>
        <v>2</v>
      </c>
      <c r="X103" s="11">
        <f ca="1">IFERROR(__xludf.DUMMYFUNCTION("""COMPUTED_VALUE"""),12)</f>
        <v>12</v>
      </c>
      <c r="Y103" s="11">
        <f ca="1">IFERROR(__xludf.DUMMYFUNCTION("""COMPUTED_VALUE"""),4)</f>
        <v>4</v>
      </c>
      <c r="Z103" s="12">
        <f ca="1">IFERROR(__xludf.DUMMYFUNCTION("""COMPUTED_VALUE"""),3)</f>
        <v>3</v>
      </c>
      <c r="AA103" s="12">
        <f ca="1">IFERROR(__xludf.DUMMYFUNCTION("""COMPUTED_VALUE"""),1)</f>
        <v>1</v>
      </c>
      <c r="AB103" s="12">
        <f ca="1">IFERROR(__xludf.DUMMYFUNCTION("""COMPUTED_VALUE"""),8)</f>
        <v>8</v>
      </c>
      <c r="AC103" s="12"/>
      <c r="AD103" s="12"/>
      <c r="AE103" s="12"/>
      <c r="AF103" s="12"/>
      <c r="AG103" s="13" t="str">
        <f ca="1">IFERROR(__xludf.DUMMYFUNCTION("ArrayFormula(VLOOKUP(G103, IMPORTRANGE(""https://docs.google.com/spreadsheets/d/1Co934fvtviyaRiMsrIlT05Jaq7iiYq07aLvRr35KA48/edit?gid=173865642#gid=173865642"", ""'G6_Sci Cur_Pri_LU'!G2:V2000""), {3, 4, 5, 6, 7, 8, 9, 10, 11, 12, 13, 14, 15, 16}, 0))"),"LU005237")</f>
        <v>LU005237</v>
      </c>
      <c r="AH103" s="13" t="str">
        <f ca="1">IFERROR(__xludf.DUMMYFUNCTION("""COMPUTED_VALUE"""),"Parts of a typical plant")</f>
        <v>Parts of a typical plant</v>
      </c>
      <c r="AI103" s="13" t="str">
        <f ca="1">IFERROR(__xludf.DUMMYFUNCTION("""COMPUTED_VALUE"""),"LU005253")</f>
        <v>LU005253</v>
      </c>
      <c r="AJ103" s="13" t="str">
        <f ca="1">IFERROR(__xludf.DUMMYFUNCTION("""COMPUTED_VALUE"""),"Definition of abiotic components")</f>
        <v>Definition of abiotic components</v>
      </c>
      <c r="AK103" s="13"/>
      <c r="AL103" s="13"/>
      <c r="AM103" s="13"/>
      <c r="AN103" s="13"/>
      <c r="AO103" s="13"/>
      <c r="AP103" s="13"/>
      <c r="AQ103" s="13"/>
      <c r="AR103" s="13"/>
      <c r="AS103" s="13"/>
      <c r="AT103" s="13"/>
    </row>
    <row r="104" spans="1:46">
      <c r="A104" s="8" t="s">
        <v>1405</v>
      </c>
      <c r="B104" s="8" t="s">
        <v>47</v>
      </c>
      <c r="C104" s="8" t="s">
        <v>48</v>
      </c>
      <c r="D104" s="8" t="s">
        <v>1406</v>
      </c>
      <c r="E104" s="8" t="s">
        <v>1668</v>
      </c>
      <c r="F104" s="8" t="s">
        <v>1677</v>
      </c>
      <c r="G104" s="8" t="s">
        <v>1678</v>
      </c>
      <c r="H104" s="8" t="s">
        <v>1679</v>
      </c>
      <c r="I104" s="10" t="str">
        <f t="shared" si="0"/>
        <v>LU005980.001</v>
      </c>
      <c r="J104" s="10" t="str">
        <f ca="1">IFERROR(__xludf.DUMMYFUNCTION("VLOOKUP(I104, IMPORTRANGE(""https://docs.google.com/spreadsheets/d/1yDAaXNsi4Mr5FtRQL4tbmSdIzhx6_m4wkOD7IG-k_eo/edit#gid=1336395716"", ""Science!M:N""), 2, FALSE)"),"Describe the key stages in the life cycle of a typical flowering plant, including germination, growth, reproduction, and dispersal.")</f>
        <v>Describe the key stages in the life cycle of a typical flowering plant, including germination, growth, reproduction, and dispersal.</v>
      </c>
      <c r="K104" s="10" t="str">
        <f t="shared" si="1"/>
        <v>LU005980.002</v>
      </c>
      <c r="L104" s="10" t="str">
        <f ca="1">IFERROR(__xludf.DUMMYFUNCTION("VLOOKUP(K104, IMPORTRANGE(""https://docs.google.com/spreadsheets/d/1yDAaXNsi4Mr5FtRQL4tbmSdIzhx6_m4wkOD7IG-k_eo/edit#gid=1336395716"", ""Science!M:N""), 2, FALSE)"),"Explain how environmental factors such as light, water, and soil nutrients influence each stage of the life cycle of a flowering plant.")</f>
        <v>Explain how environmental factors such as light, water, and soil nutrients influence each stage of the life cycle of a flowering plant.</v>
      </c>
      <c r="M104" s="10" t="str">
        <f t="shared" si="2"/>
        <v>LU005980.003</v>
      </c>
      <c r="N104" s="10" t="str">
        <f ca="1">IFERROR(__xludf.DUMMYFUNCTION("VLOOKUP(M104, IMPORTRANGE(""https://docs.google.com/spreadsheets/d/1yDAaXNsi4Mr5FtRQL4tbmSdIzhx6_m4wkOD7IG-k_eo/edit#gid=1336395716"", ""Science!M:N""), 2, FALSE)"),"Predict the sequence of events in the life cycle of a flowering plant given specific environmental conditions and resources.")</f>
        <v>Predict the sequence of events in the life cycle of a flowering plant given specific environmental conditions and resources.</v>
      </c>
      <c r="O104" s="10" t="str">
        <f t="shared" si="3"/>
        <v>LU005980.004</v>
      </c>
      <c r="P104" s="10" t="str">
        <f ca="1">IFERROR(__xludf.DUMMYFUNCTION("VLOOKUP(O104, IMPORTRANGE(""https://docs.google.com/spreadsheets/d/1yDAaXNsi4Mr5FtRQL4tbmSdIzhx6_m4wkOD7IG-k_eo/edit#gid=1336395716"", ""Science!M:N""), 2, FALSE)"),"Analyze the adaptations of flowering plants that enable them to survive and reproduce in diverse habitats.")</f>
        <v>Analyze the adaptations of flowering plants that enable them to survive and reproduce in diverse habitats.</v>
      </c>
      <c r="Q104" s="10" t="str">
        <f t="shared" si="4"/>
        <v>LU005980.005</v>
      </c>
      <c r="R104" s="10" t="str">
        <f ca="1">IFERROR(__xludf.DUMMYFUNCTION("VLOOKUP(Q104, IMPORTRANGE(""https://docs.google.com/spreadsheets/d/1yDAaXNsi4Mr5FtRQL4tbmSdIzhx6_m4wkOD7IG-k_eo/edit#gid=1336395716"", ""Science!M:N""), 2, FALSE)"),"Evaluate the importance of pollinators and seed dispersers in the life cycle of flowering plants and their ecosystems.")</f>
        <v>Evaluate the importance of pollinators and seed dispersers in the life cycle of flowering plants and their ecosystems.</v>
      </c>
      <c r="S104" s="10" t="str">
        <f t="shared" si="5"/>
        <v>LU005980.006</v>
      </c>
      <c r="T104" s="10" t="str">
        <f ca="1">IFERROR(__xludf.DUMMYFUNCTION("VLOOKUP(S104, IMPORTRANGE(""https://docs.google.com/spreadsheets/d/1yDAaXNsi4Mr5FtRQL4tbmSdIzhx6_m4wkOD7IG-k_eo/edit#gid=1336395716"", ""Science!M:N""), 2, FALSE)"),"Design an investigation to explore how changes in environmental conditions affect the life cycle of a flowering plant, and propose strategies for conservation and preservation.")</f>
        <v>Design an investigation to explore how changes in environmental conditions affect the life cycle of a flowering plant, and propose strategies for conservation and preservation.</v>
      </c>
      <c r="U104" s="11">
        <f ca="1">IFERROR(__xludf.DUMMYFUNCTION("ArrayFormula(VLOOKUP(G104, IMPORTRANGE(""https://docs.google.com/spreadsheets/d/1p7R4vtkWt5VOBim4ltsDG9KTzSjrtKXsMtQGXPHyND0/edit#gid=795171502"", ""'Filter 30_05_2024'!A1:M2000""), {2, 3, 4, 5,6,7,8,9,10,11,12,13}, 0))"),4)</f>
        <v>4</v>
      </c>
      <c r="V104" s="11">
        <f ca="1">IFERROR(__xludf.DUMMYFUNCTION("""COMPUTED_VALUE"""),6)</f>
        <v>6</v>
      </c>
      <c r="W104" s="11">
        <f ca="1">IFERROR(__xludf.DUMMYFUNCTION("""COMPUTED_VALUE"""),2)</f>
        <v>2</v>
      </c>
      <c r="X104" s="11">
        <f ca="1">IFERROR(__xludf.DUMMYFUNCTION("""COMPUTED_VALUE"""),12)</f>
        <v>12</v>
      </c>
      <c r="Y104" s="11">
        <f ca="1">IFERROR(__xludf.DUMMYFUNCTION("""COMPUTED_VALUE"""),4)</f>
        <v>4</v>
      </c>
      <c r="Z104" s="12">
        <f ca="1">IFERROR(__xludf.DUMMYFUNCTION("""COMPUTED_VALUE"""),3)</f>
        <v>3</v>
      </c>
      <c r="AA104" s="12">
        <f ca="1">IFERROR(__xludf.DUMMYFUNCTION("""COMPUTED_VALUE"""),1)</f>
        <v>1</v>
      </c>
      <c r="AB104" s="12">
        <f ca="1">IFERROR(__xludf.DUMMYFUNCTION("""COMPUTED_VALUE"""),8)</f>
        <v>8</v>
      </c>
      <c r="AC104" s="12"/>
      <c r="AD104" s="12"/>
      <c r="AE104" s="12"/>
      <c r="AF104" s="12"/>
      <c r="AG104" s="13" t="str">
        <f ca="1">IFERROR(__xludf.DUMMYFUNCTION("ArrayFormula(VLOOKUP(G104, IMPORTRANGE(""https://docs.google.com/spreadsheets/d/1Co934fvtviyaRiMsrIlT05Jaq7iiYq07aLvRr35KA48/edit?gid=173865642#gid=173865642"", ""'G6_Sci Cur_Pri_LU'!G2:V2000""), {3, 4, 5, 6, 7, 8, 9, 10, 11, 12, 13, 14, 15, 16}, 0))"),"LU005237")</f>
        <v>LU005237</v>
      </c>
      <c r="AH104" s="13" t="str">
        <f ca="1">IFERROR(__xludf.DUMMYFUNCTION("""COMPUTED_VALUE"""),"Parts of a typical plant")</f>
        <v>Parts of a typical plant</v>
      </c>
      <c r="AI104" s="13" t="str">
        <f ca="1">IFERROR(__xludf.DUMMYFUNCTION("""COMPUTED_VALUE"""),"LU005097")</f>
        <v>LU005097</v>
      </c>
      <c r="AJ104" s="13" t="str">
        <f ca="1">IFERROR(__xludf.DUMMYFUNCTION("""COMPUTED_VALUE"""),"Seed germination")</f>
        <v>Seed germination</v>
      </c>
      <c r="AK104" s="13"/>
      <c r="AL104" s="13"/>
      <c r="AM104" s="13"/>
      <c r="AN104" s="13"/>
      <c r="AO104" s="13"/>
      <c r="AP104" s="13"/>
      <c r="AQ104" s="13"/>
      <c r="AR104" s="13"/>
      <c r="AS104" s="13"/>
      <c r="AT104" s="13"/>
    </row>
    <row r="105" spans="1:46">
      <c r="A105" s="8" t="s">
        <v>1405</v>
      </c>
      <c r="B105" s="8" t="s">
        <v>47</v>
      </c>
      <c r="C105" s="8" t="s">
        <v>48</v>
      </c>
      <c r="D105" s="8" t="s">
        <v>1406</v>
      </c>
      <c r="E105" s="8" t="s">
        <v>1668</v>
      </c>
      <c r="F105" s="8" t="s">
        <v>1680</v>
      </c>
      <c r="G105" s="8" t="s">
        <v>1681</v>
      </c>
      <c r="H105" s="8" t="s">
        <v>1682</v>
      </c>
      <c r="I105" s="10" t="str">
        <f t="shared" si="0"/>
        <v>LU006433.001</v>
      </c>
      <c r="J105" s="10" t="str">
        <f ca="1">IFERROR(__xludf.DUMMYFUNCTION("VLOOKUP(I105, IMPORTRANGE(""https://docs.google.com/spreadsheets/d/1yDAaXNsi4Mr5FtRQL4tbmSdIzhx6_m4wkOD7IG-k_eo/edit#gid=1336395716"", ""Science!M:N""), 2, FALSE)"),"Recall the four stages of the life cycle of mosquitoes (egg, larva, pupa, adult).")</f>
        <v>Recall the four stages of the life cycle of mosquitoes (egg, larva, pupa, adult).</v>
      </c>
      <c r="K105" s="10" t="str">
        <f t="shared" si="1"/>
        <v>LU006433.002</v>
      </c>
      <c r="L105" s="10" t="str">
        <f ca="1">IFERROR(__xludf.DUMMYFUNCTION("VLOOKUP(K105, IMPORTRANGE(""https://docs.google.com/spreadsheets/d/1yDAaXNsi4Mr5FtRQL4tbmSdIzhx6_m4wkOD7IG-k_eo/edit#gid=1336395716"", ""Science!M:N""), 2, FALSE)"),"Describe the characteristics and key differences between each stage of the mosquito's life cycle.")</f>
        <v>Describe the characteristics and key differences between each stage of the mosquito's life cycle.</v>
      </c>
      <c r="M105" s="10" t="str">
        <f t="shared" si="2"/>
        <v>LU006433.003</v>
      </c>
      <c r="N105" s="10" t="str">
        <f ca="1">IFERROR(__xludf.DUMMYFUNCTION("VLOOKUP(M105, IMPORTRANGE(""https://docs.google.com/spreadsheets/d/1yDAaXNsi4Mr5FtRQL4tbmSdIzhx6_m4wkOD7IG-k_eo/edit#gid=1336395716"", ""Science!M:N""), 2, FALSE)"),"Identify and classify the different stages of mosquitoes found in your surroundings or in provided images.")</f>
        <v>Identify and classify the different stages of mosquitoes found in your surroundings or in provided images.</v>
      </c>
      <c r="O105" s="10" t="str">
        <f t="shared" si="3"/>
        <v>LU006433.004</v>
      </c>
      <c r="P105" s="10" t="str">
        <f ca="1">IFERROR(__xludf.DUMMYFUNCTION("VLOOKUP(O105, IMPORTRANGE(""https://docs.google.com/spreadsheets/d/1yDAaXNsi4Mr5FtRQL4tbmSdIzhx6_m4wkOD7IG-k_eo/edit#gid=1336395716"", ""Science!M:N""), 2, FALSE)"),"Compare the life cycle of mosquitoes with that of other insects, noting similarities and differences.")</f>
        <v>Compare the life cycle of mosquitoes with that of other insects, noting similarities and differences.</v>
      </c>
      <c r="Q105" s="10" t="str">
        <f t="shared" si="4"/>
        <v>LU006433.005</v>
      </c>
      <c r="R105" s="10" t="str">
        <f ca="1">IFERROR(__xludf.DUMMYFUNCTION("VLOOKUP(Q105, IMPORTRANGE(""https://docs.google.com/spreadsheets/d/1yDAaXNsi4Mr5FtRQL4tbmSdIzhx6_m4wkOD7IG-k_eo/edit#gid=1336395716"", ""Science!M:N""), 2, FALSE)"),"Evaluate the impact of environmental conditions on the duration and success of each stage in the mosquito's life cycle.")</f>
        <v>Evaluate the impact of environmental conditions on the duration and success of each stage in the mosquito's life cycle.</v>
      </c>
      <c r="S105" s="10" t="str">
        <f t="shared" si="5"/>
        <v>LU006433.006</v>
      </c>
      <c r="T105" s="10" t="str">
        <f ca="1">IFERROR(__xludf.DUMMYFUNCTION("VLOOKUP(S105, IMPORTRANGE(""https://docs.google.com/spreadsheets/d/1yDAaXNsi4Mr5FtRQL4tbmSdIzhx6_m4wkOD7IG-k_eo/edit#gid=1336395716"", ""Science!M:N""), 2, FALSE)"),"Create a visual diagram or model that illustrates the stages of the mosquito's life cycle, including explanations of what occurs at each stage.")</f>
        <v>Create a visual diagram or model that illustrates the stages of the mosquito's life cycle, including explanations of what occurs at each stage.</v>
      </c>
      <c r="U105" s="11">
        <f ca="1">IFERROR(__xludf.DUMMYFUNCTION("ArrayFormula(VLOOKUP(G105, IMPORTRANGE(""https://docs.google.com/spreadsheets/d/1p7R4vtkWt5VOBim4ltsDG9KTzSjrtKXsMtQGXPHyND0/edit#gid=795171502"", ""'Filter 30_05_2024'!A1:M2000""), {2, 3, 4, 5,6,7,8,9,10,11,12,13}, 0))"),4)</f>
        <v>4</v>
      </c>
      <c r="V105" s="11">
        <f ca="1">IFERROR(__xludf.DUMMYFUNCTION("""COMPUTED_VALUE"""),6)</f>
        <v>6</v>
      </c>
      <c r="W105" s="11">
        <f ca="1">IFERROR(__xludf.DUMMYFUNCTION("""COMPUTED_VALUE"""),2)</f>
        <v>2</v>
      </c>
      <c r="X105" s="11">
        <f ca="1">IFERROR(__xludf.DUMMYFUNCTION("""COMPUTED_VALUE"""),12)</f>
        <v>12</v>
      </c>
      <c r="Y105" s="11">
        <f ca="1">IFERROR(__xludf.DUMMYFUNCTION("""COMPUTED_VALUE"""),4)</f>
        <v>4</v>
      </c>
      <c r="Z105" s="12">
        <f ca="1">IFERROR(__xludf.DUMMYFUNCTION("""COMPUTED_VALUE"""),3)</f>
        <v>3</v>
      </c>
      <c r="AA105" s="12">
        <f ca="1">IFERROR(__xludf.DUMMYFUNCTION("""COMPUTED_VALUE"""),1)</f>
        <v>1</v>
      </c>
      <c r="AB105" s="12">
        <f ca="1">IFERROR(__xludf.DUMMYFUNCTION("""COMPUTED_VALUE"""),8)</f>
        <v>8</v>
      </c>
      <c r="AC105" s="12"/>
      <c r="AD105" s="12"/>
      <c r="AE105" s="12"/>
      <c r="AF105" s="12"/>
      <c r="AG105" s="13" t="str">
        <f ca="1">IFERROR(__xludf.DUMMYFUNCTION("ArrayFormula(VLOOKUP(G105, IMPORTRANGE(""https://docs.google.com/spreadsheets/d/1Co934fvtviyaRiMsrIlT05Jaq7iiYq07aLvRr35KA48/edit?gid=173865642#gid=173865642"", ""'G6_Sci Cur_Pri_LU'!G2:V2000""), {3, 4, 5, 6, 7, 8, 9, 10, 11, 12, 13, 14, 15, 16}, 0))"),"LU005258")</f>
        <v>LU005258</v>
      </c>
      <c r="AH105" s="13" t="str">
        <f ca="1">IFERROR(__xludf.DUMMYFUNCTION("""COMPUTED_VALUE"""),"Definition of habitats and adaptations.")</f>
        <v>Definition of habitats and adaptations.</v>
      </c>
      <c r="AI105" s="13"/>
      <c r="AJ105" s="13"/>
      <c r="AK105" s="13"/>
      <c r="AL105" s="13"/>
      <c r="AM105" s="13"/>
      <c r="AN105" s="13"/>
      <c r="AO105" s="13"/>
      <c r="AP105" s="13"/>
      <c r="AQ105" s="13"/>
      <c r="AR105" s="13"/>
      <c r="AS105" s="13"/>
      <c r="AT105" s="13"/>
    </row>
    <row r="106" spans="1:46">
      <c r="A106" s="8" t="s">
        <v>1405</v>
      </c>
      <c r="B106" s="8" t="s">
        <v>47</v>
      </c>
      <c r="C106" s="8" t="s">
        <v>48</v>
      </c>
      <c r="D106" s="8" t="s">
        <v>1406</v>
      </c>
      <c r="E106" s="8" t="s">
        <v>1668</v>
      </c>
      <c r="F106" s="8" t="s">
        <v>1680</v>
      </c>
      <c r="G106" s="8" t="s">
        <v>1683</v>
      </c>
      <c r="H106" s="8" t="s">
        <v>1684</v>
      </c>
      <c r="I106" s="10" t="str">
        <f t="shared" si="0"/>
        <v>LU006434.001</v>
      </c>
      <c r="J106" s="10" t="str">
        <f ca="1">IFERROR(__xludf.DUMMYFUNCTION("VLOOKUP(I106, IMPORTRANGE(""https://docs.google.com/spreadsheets/d/1yDAaXNsi4Mr5FtRQL4tbmSdIzhx6_m4wkOD7IG-k_eo/edit#gid=1336395716"", ""Science!M:N""), 2, FALSE)"),"Recall the stages in the life cycle of a frog (egg, tadpole, froglet, adult frog).")</f>
        <v>Recall the stages in the life cycle of a frog (egg, tadpole, froglet, adult frog).</v>
      </c>
      <c r="K106" s="10" t="str">
        <f t="shared" si="1"/>
        <v>LU006434.002</v>
      </c>
      <c r="L106" s="10" t="str">
        <f ca="1">IFERROR(__xludf.DUMMYFUNCTION("VLOOKUP(K106, IMPORTRANGE(""https://docs.google.com/spreadsheets/d/1yDAaXNsi4Mr5FtRQL4tbmSdIzhx6_m4wkOD7IG-k_eo/edit#gid=1336395716"", ""Science!M:N""), 2, FALSE)"),"Explain the characteristics of each stage in the life cycle of a frog and how a frog changes as it grows.")</f>
        <v>Explain the characteristics of each stage in the life cycle of a frog and how a frog changes as it grows.</v>
      </c>
      <c r="M106" s="10" t="str">
        <f t="shared" si="2"/>
        <v>LU006434.003</v>
      </c>
      <c r="N106" s="10" t="str">
        <f ca="1">IFERROR(__xludf.DUMMYFUNCTION("VLOOKUP(M106, IMPORTRANGE(""https://docs.google.com/spreadsheets/d/1yDAaXNsi4Mr5FtRQL4tbmSdIzhx6_m4wkOD7IG-k_eo/edit#gid=1336395716"", ""Science!M:N""), 2, FALSE)"),"Identify and label the stages of a frog's life cycle in a diagram.")</f>
        <v>Identify and label the stages of a frog's life cycle in a diagram.</v>
      </c>
      <c r="O106" s="10" t="str">
        <f t="shared" si="3"/>
        <v>LU006434.004</v>
      </c>
      <c r="P106" s="10" t="str">
        <f ca="1">IFERROR(__xludf.DUMMYFUNCTION("VLOOKUP(O106, IMPORTRANGE(""https://docs.google.com/spreadsheets/d/1yDAaXNsi4Mr5FtRQL4tbmSdIzhx6_m4wkOD7IG-k_eo/edit#gid=1336395716"", ""Science!M:N""), 2, FALSE)"),"Compare the life cycle of a frog with that of other amphibians or animals, noting similarities and differences.")</f>
        <v>Compare the life cycle of a frog with that of other amphibians or animals, noting similarities and differences.</v>
      </c>
      <c r="Q106" s="10" t="str">
        <f t="shared" si="4"/>
        <v>LU006434.005</v>
      </c>
      <c r="R106" s="10" t="str">
        <f ca="1">IFERROR(__xludf.DUMMYFUNCTION("VLOOKUP(Q106, IMPORTRANGE(""https://docs.google.com/spreadsheets/d/1yDAaXNsi4Mr5FtRQL4tbmSdIzhx6_m4wkOD7IG-k_eo/edit#gid=1336395716"", ""Science!M:N""), 2, FALSE)"),"Evaluate the importance of each stage in the frog's life cycle in ensuring its survival and reproduction.")</f>
        <v>Evaluate the importance of each stage in the frog's life cycle in ensuring its survival and reproduction.</v>
      </c>
      <c r="S106" s="10" t="str">
        <f t="shared" si="5"/>
        <v>LU006434.006</v>
      </c>
      <c r="T106" s="10" t="str">
        <f ca="1">IFERROR(__xludf.DUMMYFUNCTION("VLOOKUP(S106, IMPORTRANGE(""https://docs.google.com/spreadsheets/d/1yDAaXNsi4Mr5FtRQL4tbmSdIzhx6_m4wkOD7IG-k_eo/edit#gid=1336395716"", ""Science!M:N""), 2, FALSE)"),"Create a simple model or illustration showing the stages of the life cycle of a frog and describe each stage.")</f>
        <v>Create a simple model or illustration showing the stages of the life cycle of a frog and describe each stage.</v>
      </c>
      <c r="U106" s="11">
        <f ca="1">IFERROR(__xludf.DUMMYFUNCTION("ArrayFormula(VLOOKUP(G106, IMPORTRANGE(""https://docs.google.com/spreadsheets/d/1p7R4vtkWt5VOBim4ltsDG9KTzSjrtKXsMtQGXPHyND0/edit#gid=795171502"", ""'Filter 30_05_2024'!A1:M2000""), {2, 3, 4, 5,6,7,8,9,10,11,12,13}, 0))"),4)</f>
        <v>4</v>
      </c>
      <c r="V106" s="11">
        <f ca="1">IFERROR(__xludf.DUMMYFUNCTION("""COMPUTED_VALUE"""),6)</f>
        <v>6</v>
      </c>
      <c r="W106" s="11">
        <f ca="1">IFERROR(__xludf.DUMMYFUNCTION("""COMPUTED_VALUE"""),2)</f>
        <v>2</v>
      </c>
      <c r="X106" s="11">
        <f ca="1">IFERROR(__xludf.DUMMYFUNCTION("""COMPUTED_VALUE"""),12)</f>
        <v>12</v>
      </c>
      <c r="Y106" s="11">
        <f ca="1">IFERROR(__xludf.DUMMYFUNCTION("""COMPUTED_VALUE"""),4)</f>
        <v>4</v>
      </c>
      <c r="Z106" s="12">
        <f ca="1">IFERROR(__xludf.DUMMYFUNCTION("""COMPUTED_VALUE"""),3)</f>
        <v>3</v>
      </c>
      <c r="AA106" s="12">
        <f ca="1">IFERROR(__xludf.DUMMYFUNCTION("""COMPUTED_VALUE"""),1)</f>
        <v>1</v>
      </c>
      <c r="AB106" s="12">
        <f ca="1">IFERROR(__xludf.DUMMYFUNCTION("""COMPUTED_VALUE"""),8)</f>
        <v>8</v>
      </c>
      <c r="AC106" s="12"/>
      <c r="AD106" s="12"/>
      <c r="AE106" s="12"/>
      <c r="AF106" s="12"/>
      <c r="AG106" s="13" t="str">
        <f ca="1">IFERROR(__xludf.DUMMYFUNCTION("ArrayFormula(VLOOKUP(G106, IMPORTRANGE(""https://docs.google.com/spreadsheets/d/1Co934fvtviyaRiMsrIlT05Jaq7iiYq07aLvRr35KA48/edit?gid=173865642#gid=173865642"", ""'G6_Sci Cur_Pri_LU'!G2:V2000""), {3, 4, 5, 6, 7, 8, 9, 10, 11, 12, 13, 14, 15, 16}, 0))"),"LU005258")</f>
        <v>LU005258</v>
      </c>
      <c r="AH106" s="13" t="str">
        <f ca="1">IFERROR(__xludf.DUMMYFUNCTION("""COMPUTED_VALUE"""),"Definition of habitats and adaptations.")</f>
        <v>Definition of habitats and adaptations.</v>
      </c>
      <c r="AI106" s="13"/>
      <c r="AJ106" s="13"/>
      <c r="AK106" s="13"/>
      <c r="AL106" s="13"/>
      <c r="AM106" s="13"/>
      <c r="AN106" s="13"/>
      <c r="AO106" s="13"/>
      <c r="AP106" s="13"/>
      <c r="AQ106" s="13"/>
      <c r="AR106" s="13"/>
      <c r="AS106" s="13"/>
      <c r="AT106" s="13"/>
    </row>
    <row r="107" spans="1:46">
      <c r="A107" s="8"/>
      <c r="B107" s="8"/>
      <c r="C107" s="8"/>
      <c r="D107" s="8"/>
      <c r="E107" s="8"/>
      <c r="F107" s="8"/>
      <c r="G107" s="8"/>
      <c r="H107" s="8"/>
      <c r="I107" s="8"/>
      <c r="J107" s="8"/>
      <c r="K107" s="8"/>
      <c r="L107" s="8"/>
      <c r="M107" s="8"/>
      <c r="N107" s="8"/>
      <c r="O107" s="8"/>
      <c r="P107" s="8"/>
      <c r="Q107" s="8"/>
      <c r="R107" s="8"/>
      <c r="S107" s="8"/>
      <c r="T107" s="8"/>
      <c r="U107" s="12"/>
      <c r="V107" s="12"/>
      <c r="W107" s="12"/>
      <c r="X107" s="12"/>
      <c r="Y107" s="12"/>
      <c r="Z107" s="12"/>
      <c r="AA107" s="12"/>
      <c r="AB107" s="12"/>
      <c r="AC107" s="12"/>
      <c r="AD107" s="12"/>
      <c r="AE107" s="12"/>
      <c r="AF107" s="12"/>
    </row>
    <row r="108" spans="1:46">
      <c r="A108" s="8"/>
      <c r="B108" s="8"/>
      <c r="C108" s="8"/>
      <c r="D108" s="8"/>
      <c r="E108" s="8"/>
      <c r="F108" s="30"/>
      <c r="G108" s="30"/>
      <c r="H108" s="30"/>
      <c r="I108" s="8"/>
      <c r="J108" s="8"/>
      <c r="K108" s="8"/>
      <c r="L108" s="8"/>
      <c r="M108" s="8"/>
      <c r="N108" s="8"/>
      <c r="O108" s="8"/>
      <c r="P108" s="8"/>
      <c r="Q108" s="8"/>
      <c r="R108" s="8"/>
      <c r="S108" s="8"/>
      <c r="T108" s="8"/>
      <c r="U108" s="12"/>
      <c r="V108" s="12"/>
      <c r="W108" s="12"/>
      <c r="X108" s="12"/>
      <c r="Y108" s="12"/>
      <c r="Z108" s="12"/>
      <c r="AA108" s="12"/>
      <c r="AB108" s="12"/>
      <c r="AC108" s="12"/>
      <c r="AD108" s="12"/>
      <c r="AE108" s="12"/>
      <c r="AF108" s="12"/>
    </row>
    <row r="109" spans="1:46">
      <c r="A109" s="8"/>
      <c r="B109" s="8"/>
      <c r="C109" s="8"/>
      <c r="D109" s="8"/>
      <c r="E109" s="8"/>
      <c r="F109" s="8"/>
      <c r="G109" s="8"/>
      <c r="H109" s="8"/>
      <c r="I109" s="8"/>
      <c r="J109" s="8"/>
      <c r="K109" s="8"/>
      <c r="L109" s="8"/>
      <c r="M109" s="8"/>
      <c r="N109" s="8"/>
      <c r="O109" s="8"/>
      <c r="P109" s="8"/>
      <c r="Q109" s="8"/>
      <c r="R109" s="8"/>
      <c r="S109" s="8"/>
      <c r="T109" s="8"/>
      <c r="U109" s="12"/>
      <c r="V109" s="12"/>
      <c r="W109" s="12"/>
      <c r="X109" s="12"/>
      <c r="Y109" s="12"/>
      <c r="Z109" s="12"/>
      <c r="AA109" s="12"/>
      <c r="AB109" s="12"/>
      <c r="AC109" s="12"/>
      <c r="AD109" s="12"/>
      <c r="AE109" s="12"/>
      <c r="AF109" s="12"/>
    </row>
    <row r="110" spans="1:46">
      <c r="A110" s="8"/>
      <c r="B110" s="8"/>
      <c r="C110" s="8"/>
      <c r="D110" s="8"/>
      <c r="E110" s="8"/>
      <c r="F110" s="8"/>
      <c r="G110" s="8"/>
      <c r="H110" s="8"/>
      <c r="I110" s="8"/>
      <c r="J110" s="8"/>
      <c r="K110" s="8"/>
      <c r="L110" s="8"/>
      <c r="M110" s="8"/>
      <c r="N110" s="8"/>
      <c r="O110" s="8"/>
      <c r="P110" s="8"/>
      <c r="Q110" s="8"/>
      <c r="R110" s="8"/>
      <c r="S110" s="8"/>
      <c r="T110" s="8"/>
      <c r="U110" s="12"/>
      <c r="V110" s="12"/>
      <c r="W110" s="12"/>
      <c r="X110" s="12"/>
      <c r="Y110" s="12"/>
      <c r="Z110" s="12"/>
      <c r="AA110" s="12"/>
      <c r="AB110" s="12"/>
      <c r="AC110" s="12"/>
      <c r="AD110" s="12"/>
      <c r="AE110" s="12"/>
      <c r="AF110" s="12"/>
    </row>
    <row r="111" spans="1:46">
      <c r="A111" s="8"/>
      <c r="B111" s="8"/>
      <c r="C111" s="8"/>
      <c r="D111" s="8"/>
      <c r="E111" s="8"/>
      <c r="F111" s="8"/>
      <c r="G111" s="8"/>
      <c r="H111" s="8"/>
      <c r="I111" s="8"/>
      <c r="J111" s="8"/>
      <c r="K111" s="8"/>
      <c r="L111" s="8"/>
      <c r="M111" s="8"/>
      <c r="N111" s="8"/>
      <c r="O111" s="8"/>
      <c r="P111" s="8"/>
      <c r="Q111" s="8"/>
      <c r="R111" s="8"/>
      <c r="S111" s="8"/>
      <c r="T111" s="8"/>
      <c r="U111" s="12"/>
      <c r="V111" s="12"/>
      <c r="W111" s="12"/>
      <c r="X111" s="12"/>
      <c r="Y111" s="12"/>
      <c r="Z111" s="12"/>
      <c r="AA111" s="12"/>
      <c r="AB111" s="12"/>
      <c r="AC111" s="12"/>
      <c r="AD111" s="12"/>
      <c r="AE111" s="12"/>
      <c r="AF111" s="12"/>
    </row>
    <row r="112" spans="1:46">
      <c r="A112" s="8"/>
      <c r="B112" s="8"/>
      <c r="C112" s="8"/>
      <c r="D112" s="8"/>
      <c r="E112" s="8"/>
      <c r="F112" s="8"/>
      <c r="G112" s="8"/>
      <c r="H112" s="8"/>
      <c r="I112" s="8"/>
      <c r="J112" s="8"/>
      <c r="K112" s="8"/>
      <c r="L112" s="8"/>
      <c r="M112" s="8"/>
      <c r="N112" s="8"/>
      <c r="O112" s="8"/>
      <c r="P112" s="8"/>
      <c r="Q112" s="8"/>
      <c r="R112" s="8"/>
      <c r="S112" s="8"/>
      <c r="T112" s="8"/>
      <c r="U112" s="12"/>
      <c r="V112" s="12"/>
      <c r="W112" s="12"/>
      <c r="X112" s="12"/>
      <c r="Y112" s="12"/>
      <c r="Z112" s="12"/>
      <c r="AA112" s="12"/>
      <c r="AB112" s="12"/>
      <c r="AC112" s="12"/>
      <c r="AD112" s="12"/>
      <c r="AE112" s="12"/>
      <c r="AF112" s="12"/>
    </row>
    <row r="113" spans="1:32">
      <c r="A113" s="8"/>
      <c r="B113" s="8"/>
      <c r="C113" s="8"/>
      <c r="D113" s="8"/>
      <c r="E113" s="8"/>
      <c r="F113" s="8"/>
      <c r="G113" s="8"/>
      <c r="H113" s="8"/>
      <c r="I113" s="8"/>
      <c r="J113" s="8"/>
      <c r="K113" s="8"/>
      <c r="L113" s="8"/>
      <c r="M113" s="8"/>
      <c r="N113" s="8"/>
      <c r="O113" s="8"/>
      <c r="P113" s="8"/>
      <c r="Q113" s="8"/>
      <c r="R113" s="8"/>
      <c r="S113" s="8"/>
      <c r="T113" s="8"/>
      <c r="U113" s="12"/>
      <c r="V113" s="12"/>
      <c r="W113" s="12"/>
      <c r="X113" s="12"/>
      <c r="Y113" s="12"/>
      <c r="Z113" s="12"/>
      <c r="AA113" s="12"/>
      <c r="AB113" s="12"/>
      <c r="AC113" s="12"/>
      <c r="AD113" s="12"/>
      <c r="AE113" s="12"/>
      <c r="AF113" s="12"/>
    </row>
    <row r="114" spans="1:32">
      <c r="A114" s="8"/>
      <c r="B114" s="8"/>
      <c r="C114" s="8"/>
      <c r="D114" s="8"/>
      <c r="E114" s="8"/>
      <c r="F114" s="8"/>
      <c r="G114" s="8"/>
      <c r="H114" s="8"/>
      <c r="I114" s="8"/>
      <c r="J114" s="8"/>
      <c r="K114" s="8"/>
      <c r="L114" s="8"/>
      <c r="M114" s="8"/>
      <c r="N114" s="8"/>
      <c r="O114" s="8"/>
      <c r="P114" s="8"/>
      <c r="Q114" s="8"/>
      <c r="R114" s="8"/>
      <c r="S114" s="8"/>
      <c r="T114" s="8"/>
      <c r="U114" s="12"/>
      <c r="V114" s="12"/>
      <c r="W114" s="12"/>
      <c r="X114" s="12"/>
      <c r="Y114" s="12"/>
      <c r="Z114" s="12"/>
      <c r="AA114" s="12"/>
      <c r="AB114" s="12"/>
      <c r="AC114" s="12"/>
      <c r="AD114" s="12"/>
      <c r="AE114" s="12"/>
      <c r="AF114" s="12"/>
    </row>
    <row r="115" spans="1:32">
      <c r="A115" s="8"/>
      <c r="B115" s="8"/>
      <c r="C115" s="8"/>
      <c r="D115" s="8"/>
      <c r="E115" s="8"/>
      <c r="F115" s="8"/>
      <c r="G115" s="8"/>
      <c r="H115" s="8"/>
      <c r="I115" s="8"/>
      <c r="J115" s="8"/>
      <c r="K115" s="8"/>
      <c r="L115" s="8"/>
      <c r="M115" s="8"/>
      <c r="N115" s="8"/>
      <c r="O115" s="8"/>
      <c r="P115" s="8"/>
      <c r="Q115" s="8"/>
      <c r="R115" s="8"/>
      <c r="S115" s="8"/>
      <c r="T115" s="8"/>
      <c r="U115" s="12"/>
      <c r="V115" s="12"/>
      <c r="W115" s="12"/>
      <c r="X115" s="12"/>
      <c r="Y115" s="12"/>
      <c r="Z115" s="12"/>
      <c r="AA115" s="12"/>
      <c r="AB115" s="12"/>
      <c r="AC115" s="12"/>
      <c r="AD115" s="12"/>
      <c r="AE115" s="12"/>
      <c r="AF115" s="12"/>
    </row>
    <row r="116" spans="1:32">
      <c r="A116" s="8"/>
      <c r="B116" s="8"/>
      <c r="C116" s="8"/>
      <c r="D116" s="8"/>
      <c r="E116" s="8"/>
      <c r="F116" s="8"/>
      <c r="G116" s="8"/>
      <c r="H116" s="8"/>
      <c r="I116" s="8"/>
      <c r="J116" s="8"/>
      <c r="K116" s="8"/>
      <c r="L116" s="8"/>
      <c r="M116" s="8"/>
      <c r="N116" s="8"/>
      <c r="O116" s="8"/>
      <c r="P116" s="8"/>
      <c r="Q116" s="8"/>
      <c r="R116" s="8"/>
      <c r="S116" s="8"/>
      <c r="T116" s="8"/>
      <c r="U116" s="12"/>
      <c r="V116" s="12"/>
      <c r="W116" s="12"/>
      <c r="X116" s="12"/>
      <c r="Y116" s="12"/>
      <c r="Z116" s="12"/>
      <c r="AA116" s="12"/>
      <c r="AB116" s="12"/>
      <c r="AC116" s="12"/>
      <c r="AD116" s="12"/>
      <c r="AE116" s="12"/>
      <c r="AF116" s="12"/>
    </row>
    <row r="117" spans="1:32">
      <c r="A117" s="8"/>
      <c r="B117" s="8"/>
      <c r="C117" s="8"/>
      <c r="D117" s="8"/>
      <c r="E117" s="8"/>
      <c r="F117" s="8"/>
      <c r="G117" s="8"/>
      <c r="H117" s="8"/>
      <c r="I117" s="8"/>
      <c r="J117" s="8"/>
      <c r="K117" s="8"/>
      <c r="L117" s="8"/>
      <c r="M117" s="8"/>
      <c r="N117" s="8"/>
      <c r="O117" s="8"/>
      <c r="P117" s="8"/>
      <c r="Q117" s="8"/>
      <c r="R117" s="8"/>
      <c r="S117" s="8"/>
      <c r="T117" s="8"/>
      <c r="U117" s="12"/>
      <c r="V117" s="12"/>
      <c r="W117" s="12"/>
      <c r="X117" s="12"/>
      <c r="Y117" s="12"/>
      <c r="Z117" s="12"/>
      <c r="AA117" s="12"/>
      <c r="AB117" s="12"/>
      <c r="AC117" s="12"/>
      <c r="AD117" s="12"/>
      <c r="AE117" s="12"/>
      <c r="AF117" s="12"/>
    </row>
    <row r="118" spans="1:32">
      <c r="A118" s="8"/>
      <c r="B118" s="8"/>
      <c r="C118" s="8"/>
      <c r="D118" s="8"/>
      <c r="E118" s="8"/>
      <c r="F118" s="8"/>
      <c r="G118" s="8"/>
      <c r="H118" s="8"/>
      <c r="I118" s="8"/>
      <c r="J118" s="8"/>
      <c r="K118" s="8"/>
      <c r="L118" s="8"/>
      <c r="M118" s="8"/>
      <c r="N118" s="8"/>
      <c r="O118" s="8"/>
      <c r="P118" s="8"/>
      <c r="Q118" s="8"/>
      <c r="R118" s="8"/>
      <c r="S118" s="8"/>
      <c r="T118" s="8"/>
      <c r="U118" s="12"/>
      <c r="V118" s="12"/>
      <c r="W118" s="12"/>
      <c r="X118" s="12"/>
      <c r="Y118" s="12"/>
      <c r="Z118" s="12"/>
      <c r="AA118" s="12"/>
      <c r="AB118" s="12"/>
      <c r="AC118" s="12"/>
      <c r="AD118" s="12"/>
      <c r="AE118" s="12"/>
      <c r="AF118" s="12"/>
    </row>
    <row r="119" spans="1:32">
      <c r="A119" s="8"/>
      <c r="B119" s="8"/>
      <c r="C119" s="8"/>
      <c r="D119" s="8"/>
      <c r="E119" s="8"/>
      <c r="F119" s="8"/>
      <c r="G119" s="8"/>
      <c r="H119" s="8"/>
      <c r="I119" s="8"/>
      <c r="J119" s="8"/>
      <c r="K119" s="8"/>
      <c r="L119" s="8"/>
      <c r="M119" s="8"/>
      <c r="N119" s="8"/>
      <c r="O119" s="8"/>
      <c r="P119" s="8"/>
      <c r="Q119" s="8"/>
      <c r="R119" s="8"/>
      <c r="S119" s="8"/>
      <c r="T119" s="8"/>
      <c r="U119" s="12"/>
      <c r="V119" s="12"/>
      <c r="W119" s="12"/>
      <c r="X119" s="12"/>
      <c r="Y119" s="12"/>
      <c r="Z119" s="12"/>
      <c r="AA119" s="12"/>
      <c r="AB119" s="12"/>
      <c r="AC119" s="12"/>
      <c r="AD119" s="12"/>
      <c r="AE119" s="12"/>
      <c r="AF119" s="12"/>
    </row>
    <row r="120" spans="1:32">
      <c r="A120" s="8"/>
      <c r="B120" s="8"/>
      <c r="C120" s="8"/>
      <c r="D120" s="8"/>
      <c r="E120" s="8"/>
      <c r="F120" s="8"/>
      <c r="G120" s="8"/>
      <c r="H120" s="8"/>
      <c r="I120" s="8"/>
      <c r="J120" s="8"/>
      <c r="K120" s="8"/>
      <c r="L120" s="8"/>
      <c r="M120" s="8"/>
      <c r="N120" s="8"/>
      <c r="O120" s="8"/>
      <c r="P120" s="8"/>
      <c r="Q120" s="8"/>
      <c r="R120" s="8"/>
      <c r="S120" s="8"/>
      <c r="T120" s="8"/>
      <c r="U120" s="12"/>
      <c r="V120" s="12"/>
      <c r="W120" s="12"/>
      <c r="X120" s="12"/>
      <c r="Y120" s="12"/>
      <c r="Z120" s="12"/>
      <c r="AA120" s="12"/>
      <c r="AB120" s="12"/>
      <c r="AC120" s="12"/>
      <c r="AD120" s="12"/>
      <c r="AE120" s="12"/>
      <c r="AF120" s="12"/>
    </row>
    <row r="121" spans="1:32">
      <c r="A121" s="8"/>
      <c r="B121" s="8"/>
      <c r="C121" s="8"/>
      <c r="D121" s="8"/>
      <c r="E121" s="8"/>
      <c r="F121" s="8"/>
      <c r="G121" s="8"/>
      <c r="H121" s="8"/>
      <c r="I121" s="8"/>
      <c r="J121" s="8"/>
      <c r="K121" s="8"/>
      <c r="L121" s="8"/>
      <c r="M121" s="8"/>
      <c r="N121" s="8"/>
      <c r="O121" s="8"/>
      <c r="P121" s="8"/>
      <c r="Q121" s="8"/>
      <c r="R121" s="8"/>
      <c r="S121" s="8"/>
      <c r="T121" s="8"/>
      <c r="U121" s="12"/>
      <c r="V121" s="12"/>
      <c r="W121" s="12"/>
      <c r="X121" s="12"/>
      <c r="Y121" s="12"/>
      <c r="Z121" s="12"/>
      <c r="AA121" s="12"/>
      <c r="AB121" s="12"/>
      <c r="AC121" s="12"/>
      <c r="AD121" s="12"/>
      <c r="AE121" s="12"/>
      <c r="AF121" s="12"/>
    </row>
    <row r="122" spans="1:32">
      <c r="A122" s="8"/>
      <c r="B122" s="8"/>
      <c r="C122" s="8"/>
      <c r="D122" s="8"/>
      <c r="E122" s="8"/>
      <c r="F122" s="8"/>
      <c r="G122" s="8"/>
      <c r="H122" s="8"/>
      <c r="I122" s="8"/>
      <c r="J122" s="8"/>
      <c r="K122" s="8"/>
      <c r="L122" s="8"/>
      <c r="M122" s="8"/>
      <c r="N122" s="8"/>
      <c r="O122" s="8"/>
      <c r="P122" s="8"/>
      <c r="Q122" s="8"/>
      <c r="R122" s="8"/>
      <c r="S122" s="8"/>
      <c r="T122" s="8"/>
      <c r="U122" s="12"/>
      <c r="V122" s="12"/>
      <c r="W122" s="12"/>
      <c r="X122" s="12"/>
      <c r="Y122" s="12"/>
      <c r="Z122" s="12"/>
      <c r="AA122" s="12"/>
      <c r="AB122" s="12"/>
      <c r="AC122" s="12"/>
      <c r="AD122" s="12"/>
      <c r="AE122" s="12"/>
      <c r="AF122" s="12"/>
    </row>
    <row r="123" spans="1:32">
      <c r="A123" s="8"/>
      <c r="B123" s="8"/>
      <c r="C123" s="8"/>
      <c r="D123" s="8"/>
      <c r="E123" s="8"/>
      <c r="F123" s="8"/>
      <c r="G123" s="8"/>
      <c r="H123" s="8"/>
      <c r="I123" s="8"/>
      <c r="J123" s="8"/>
      <c r="K123" s="8"/>
      <c r="L123" s="8"/>
      <c r="M123" s="8"/>
      <c r="N123" s="8"/>
      <c r="O123" s="8"/>
      <c r="P123" s="8"/>
      <c r="Q123" s="8"/>
      <c r="R123" s="8"/>
      <c r="S123" s="8"/>
      <c r="T123" s="8"/>
      <c r="U123" s="12"/>
      <c r="V123" s="12"/>
      <c r="W123" s="12"/>
      <c r="X123" s="12"/>
      <c r="Y123" s="12"/>
      <c r="Z123" s="12"/>
      <c r="AA123" s="12"/>
      <c r="AB123" s="12"/>
      <c r="AC123" s="12"/>
      <c r="AD123" s="12"/>
      <c r="AE123" s="12"/>
      <c r="AF123" s="12"/>
    </row>
    <row r="124" spans="1:32">
      <c r="A124" s="8"/>
      <c r="B124" s="8"/>
      <c r="C124" s="8"/>
      <c r="D124" s="8"/>
      <c r="E124" s="8"/>
      <c r="F124" s="8"/>
      <c r="G124" s="8"/>
      <c r="H124" s="8"/>
      <c r="I124" s="8"/>
      <c r="J124" s="8"/>
      <c r="K124" s="8"/>
      <c r="L124" s="8"/>
      <c r="M124" s="8"/>
      <c r="N124" s="8"/>
      <c r="O124" s="8"/>
      <c r="P124" s="8"/>
      <c r="Q124" s="8"/>
      <c r="R124" s="8"/>
      <c r="S124" s="8"/>
      <c r="T124" s="8"/>
      <c r="U124" s="12"/>
      <c r="V124" s="12"/>
      <c r="W124" s="12"/>
      <c r="X124" s="12"/>
      <c r="Y124" s="12"/>
      <c r="Z124" s="12"/>
      <c r="AA124" s="12"/>
      <c r="AB124" s="12"/>
      <c r="AC124" s="12"/>
      <c r="AD124" s="12"/>
      <c r="AE124" s="12"/>
      <c r="AF124" s="12"/>
    </row>
    <row r="125" spans="1:32">
      <c r="A125" s="8"/>
      <c r="B125" s="8"/>
      <c r="C125" s="8"/>
      <c r="D125" s="8"/>
      <c r="E125" s="8"/>
      <c r="F125" s="8"/>
      <c r="G125" s="8"/>
      <c r="H125" s="8"/>
      <c r="I125" s="8"/>
      <c r="J125" s="8"/>
      <c r="K125" s="8"/>
      <c r="L125" s="8"/>
      <c r="M125" s="8"/>
      <c r="N125" s="8"/>
      <c r="O125" s="8"/>
      <c r="P125" s="8"/>
      <c r="Q125" s="8"/>
      <c r="R125" s="8"/>
      <c r="S125" s="8"/>
      <c r="T125" s="8"/>
      <c r="U125" s="12"/>
      <c r="V125" s="12"/>
      <c r="W125" s="12"/>
      <c r="X125" s="12"/>
      <c r="Y125" s="12"/>
      <c r="Z125" s="12"/>
      <c r="AA125" s="12"/>
      <c r="AB125" s="12"/>
      <c r="AC125" s="12"/>
      <c r="AD125" s="12"/>
      <c r="AE125" s="12"/>
      <c r="AF125" s="12"/>
    </row>
    <row r="126" spans="1:32">
      <c r="A126" s="8"/>
      <c r="B126" s="8"/>
      <c r="C126" s="8"/>
      <c r="D126" s="8"/>
      <c r="E126" s="8"/>
      <c r="F126" s="8"/>
      <c r="G126" s="8"/>
      <c r="H126" s="8"/>
      <c r="I126" s="8"/>
      <c r="J126" s="8"/>
      <c r="K126" s="8"/>
      <c r="L126" s="8"/>
      <c r="M126" s="8"/>
      <c r="N126" s="8"/>
      <c r="O126" s="8"/>
      <c r="P126" s="8"/>
      <c r="Q126" s="8"/>
      <c r="R126" s="8"/>
      <c r="S126" s="8"/>
      <c r="T126" s="8"/>
      <c r="U126" s="12"/>
      <c r="V126" s="12"/>
      <c r="W126" s="12"/>
      <c r="X126" s="12"/>
      <c r="Y126" s="12"/>
      <c r="Z126" s="12"/>
      <c r="AA126" s="12"/>
      <c r="AB126" s="12"/>
      <c r="AC126" s="12"/>
      <c r="AD126" s="12"/>
      <c r="AE126" s="12"/>
      <c r="AF126" s="12"/>
    </row>
    <row r="127" spans="1:32">
      <c r="A127" s="8"/>
      <c r="B127" s="8"/>
      <c r="C127" s="8"/>
      <c r="D127" s="8"/>
      <c r="E127" s="8"/>
      <c r="F127" s="8"/>
      <c r="G127" s="8"/>
      <c r="H127" s="8"/>
      <c r="I127" s="8"/>
      <c r="J127" s="8"/>
      <c r="K127" s="8"/>
      <c r="L127" s="8"/>
      <c r="M127" s="8"/>
      <c r="N127" s="8"/>
      <c r="O127" s="8"/>
      <c r="P127" s="8"/>
      <c r="Q127" s="8"/>
      <c r="R127" s="8"/>
      <c r="S127" s="8"/>
      <c r="T127" s="8"/>
      <c r="U127" s="12"/>
      <c r="V127" s="12"/>
      <c r="W127" s="12"/>
      <c r="X127" s="12"/>
      <c r="Y127" s="12"/>
      <c r="Z127" s="12"/>
      <c r="AA127" s="12"/>
      <c r="AB127" s="12"/>
      <c r="AC127" s="12"/>
      <c r="AD127" s="12"/>
      <c r="AE127" s="12"/>
      <c r="AF127" s="12"/>
    </row>
    <row r="128" spans="1:32">
      <c r="A128" s="8"/>
      <c r="B128" s="8"/>
      <c r="C128" s="8"/>
      <c r="D128" s="8"/>
      <c r="E128" s="8"/>
      <c r="F128" s="8"/>
      <c r="G128" s="8"/>
      <c r="H128" s="8"/>
      <c r="I128" s="8"/>
      <c r="J128" s="8"/>
      <c r="K128" s="8"/>
      <c r="L128" s="8"/>
      <c r="M128" s="8"/>
      <c r="N128" s="8"/>
      <c r="O128" s="8"/>
      <c r="P128" s="8"/>
      <c r="Q128" s="8"/>
      <c r="R128" s="8"/>
      <c r="S128" s="8"/>
      <c r="T128" s="8"/>
      <c r="U128" s="12"/>
      <c r="V128" s="12"/>
      <c r="W128" s="12"/>
      <c r="X128" s="12"/>
      <c r="Y128" s="12"/>
      <c r="Z128" s="12"/>
      <c r="AA128" s="12"/>
      <c r="AB128" s="12"/>
      <c r="AC128" s="12"/>
      <c r="AD128" s="12"/>
      <c r="AE128" s="12"/>
      <c r="AF128" s="12"/>
    </row>
    <row r="129" spans="1:32">
      <c r="A129" s="8"/>
      <c r="B129" s="8"/>
      <c r="C129" s="8"/>
      <c r="D129" s="8"/>
      <c r="E129" s="8"/>
      <c r="F129" s="8"/>
      <c r="G129" s="8"/>
      <c r="H129" s="8"/>
      <c r="I129" s="8"/>
      <c r="J129" s="8"/>
      <c r="K129" s="8"/>
      <c r="L129" s="8"/>
      <c r="M129" s="8"/>
      <c r="N129" s="8"/>
      <c r="O129" s="8"/>
      <c r="P129" s="8"/>
      <c r="Q129" s="8"/>
      <c r="R129" s="8"/>
      <c r="S129" s="8"/>
      <c r="T129" s="8"/>
      <c r="U129" s="12"/>
      <c r="V129" s="12"/>
      <c r="W129" s="12"/>
      <c r="X129" s="12"/>
      <c r="Y129" s="12"/>
      <c r="Z129" s="12"/>
      <c r="AA129" s="12"/>
      <c r="AB129" s="12"/>
      <c r="AC129" s="12"/>
      <c r="AD129" s="12"/>
      <c r="AE129" s="12"/>
      <c r="AF129" s="12"/>
    </row>
    <row r="130" spans="1:32">
      <c r="A130" s="8"/>
      <c r="B130" s="8"/>
      <c r="C130" s="8"/>
      <c r="D130" s="8"/>
      <c r="E130" s="8"/>
      <c r="F130" s="8"/>
      <c r="G130" s="8"/>
      <c r="H130" s="8"/>
      <c r="I130" s="8"/>
      <c r="J130" s="8"/>
      <c r="K130" s="8"/>
      <c r="L130" s="8"/>
      <c r="M130" s="8"/>
      <c r="N130" s="8"/>
      <c r="O130" s="8"/>
      <c r="P130" s="8"/>
      <c r="Q130" s="8"/>
      <c r="R130" s="8"/>
      <c r="S130" s="8"/>
      <c r="T130" s="8"/>
      <c r="U130" s="12"/>
      <c r="V130" s="12"/>
      <c r="W130" s="12"/>
      <c r="X130" s="12"/>
      <c r="Y130" s="12"/>
      <c r="Z130" s="12"/>
      <c r="AA130" s="12"/>
      <c r="AB130" s="12"/>
      <c r="AC130" s="12"/>
      <c r="AD130" s="12"/>
      <c r="AE130" s="12"/>
      <c r="AF130" s="12"/>
    </row>
    <row r="131" spans="1:32">
      <c r="A131" s="8"/>
      <c r="B131" s="8"/>
      <c r="C131" s="8"/>
      <c r="D131" s="8"/>
      <c r="E131" s="8"/>
      <c r="F131" s="8"/>
      <c r="G131" s="8"/>
      <c r="H131" s="8"/>
      <c r="I131" s="8"/>
      <c r="J131" s="8"/>
      <c r="K131" s="8"/>
      <c r="L131" s="8"/>
      <c r="M131" s="8"/>
      <c r="N131" s="8"/>
      <c r="O131" s="8"/>
      <c r="P131" s="8"/>
      <c r="Q131" s="8"/>
      <c r="R131" s="8"/>
      <c r="S131" s="8"/>
      <c r="T131" s="8"/>
      <c r="U131" s="12"/>
      <c r="V131" s="12"/>
      <c r="W131" s="12"/>
      <c r="X131" s="12"/>
      <c r="Y131" s="12"/>
      <c r="Z131" s="12"/>
      <c r="AA131" s="12"/>
      <c r="AB131" s="12"/>
      <c r="AC131" s="12"/>
      <c r="AD131" s="12"/>
      <c r="AE131" s="12"/>
      <c r="AF131" s="12"/>
    </row>
    <row r="132" spans="1:32">
      <c r="A132" s="8"/>
      <c r="B132" s="8"/>
      <c r="C132" s="8"/>
      <c r="D132" s="8"/>
      <c r="E132" s="8"/>
      <c r="F132" s="8"/>
      <c r="G132" s="8"/>
      <c r="H132" s="8"/>
      <c r="I132" s="8"/>
      <c r="J132" s="8"/>
      <c r="K132" s="8"/>
      <c r="L132" s="8"/>
      <c r="M132" s="8"/>
      <c r="N132" s="8"/>
      <c r="O132" s="8"/>
      <c r="P132" s="8"/>
      <c r="Q132" s="8"/>
      <c r="R132" s="8"/>
      <c r="S132" s="8"/>
      <c r="T132" s="8"/>
      <c r="U132" s="12"/>
      <c r="V132" s="12"/>
      <c r="W132" s="12"/>
      <c r="X132" s="12"/>
      <c r="Y132" s="12"/>
      <c r="Z132" s="12"/>
      <c r="AA132" s="12"/>
      <c r="AB132" s="12"/>
      <c r="AC132" s="12"/>
      <c r="AD132" s="12"/>
      <c r="AE132" s="12"/>
      <c r="AF132" s="12"/>
    </row>
    <row r="133" spans="1:32">
      <c r="A133" s="8"/>
      <c r="B133" s="8"/>
      <c r="C133" s="8"/>
      <c r="D133" s="8"/>
      <c r="E133" s="8"/>
      <c r="F133" s="8"/>
      <c r="G133" s="8"/>
      <c r="H133" s="8"/>
      <c r="I133" s="8"/>
      <c r="J133" s="8"/>
      <c r="K133" s="8"/>
      <c r="L133" s="8"/>
      <c r="M133" s="8"/>
      <c r="N133" s="8"/>
      <c r="O133" s="8"/>
      <c r="P133" s="8"/>
      <c r="Q133" s="8"/>
      <c r="R133" s="8"/>
      <c r="S133" s="8"/>
      <c r="T133" s="8"/>
      <c r="U133" s="12"/>
      <c r="V133" s="12"/>
      <c r="W133" s="12"/>
      <c r="X133" s="12"/>
      <c r="Y133" s="12"/>
      <c r="Z133" s="12"/>
      <c r="AA133" s="12"/>
      <c r="AB133" s="12"/>
      <c r="AC133" s="12"/>
      <c r="AD133" s="12"/>
      <c r="AE133" s="12"/>
      <c r="AF133" s="12"/>
    </row>
    <row r="134" spans="1:32">
      <c r="A134" s="8"/>
      <c r="B134" s="8"/>
      <c r="C134" s="8"/>
      <c r="D134" s="8"/>
      <c r="E134" s="8"/>
      <c r="F134" s="8"/>
      <c r="G134" s="8"/>
      <c r="H134" s="8"/>
      <c r="I134" s="8"/>
      <c r="J134" s="8"/>
      <c r="K134" s="8"/>
      <c r="L134" s="8"/>
      <c r="M134" s="8"/>
      <c r="N134" s="8"/>
      <c r="O134" s="8"/>
      <c r="P134" s="8"/>
      <c r="Q134" s="8"/>
      <c r="R134" s="8"/>
      <c r="S134" s="8"/>
      <c r="T134" s="8"/>
      <c r="U134" s="12"/>
      <c r="V134" s="12"/>
      <c r="W134" s="12"/>
      <c r="X134" s="12"/>
      <c r="Y134" s="12"/>
      <c r="Z134" s="12"/>
      <c r="AA134" s="12"/>
      <c r="AB134" s="12"/>
      <c r="AC134" s="12"/>
      <c r="AD134" s="12"/>
      <c r="AE134" s="12"/>
      <c r="AF134" s="12"/>
    </row>
    <row r="135" spans="1:32">
      <c r="A135" s="8"/>
      <c r="B135" s="8"/>
      <c r="C135" s="8"/>
      <c r="D135" s="8"/>
      <c r="E135" s="8"/>
      <c r="F135" s="8"/>
      <c r="G135" s="8"/>
      <c r="H135" s="8"/>
      <c r="I135" s="8"/>
      <c r="J135" s="8"/>
      <c r="K135" s="8"/>
      <c r="L135" s="8"/>
      <c r="M135" s="8"/>
      <c r="N135" s="8"/>
      <c r="O135" s="8"/>
      <c r="P135" s="8"/>
      <c r="Q135" s="8"/>
      <c r="R135" s="8"/>
      <c r="S135" s="8"/>
      <c r="T135" s="8"/>
      <c r="U135" s="12"/>
      <c r="V135" s="12"/>
      <c r="W135" s="12"/>
      <c r="X135" s="12"/>
      <c r="Y135" s="12"/>
      <c r="Z135" s="12"/>
      <c r="AA135" s="12"/>
      <c r="AB135" s="12"/>
      <c r="AC135" s="12"/>
      <c r="AD135" s="12"/>
      <c r="AE135" s="12"/>
      <c r="AF135" s="12"/>
    </row>
    <row r="136" spans="1:32">
      <c r="A136" s="8"/>
      <c r="B136" s="8"/>
      <c r="C136" s="8"/>
      <c r="D136" s="8"/>
      <c r="E136" s="8"/>
      <c r="F136" s="8"/>
      <c r="G136" s="8"/>
      <c r="H136" s="8"/>
      <c r="I136" s="8"/>
      <c r="J136" s="8"/>
      <c r="K136" s="8"/>
      <c r="L136" s="8"/>
      <c r="M136" s="8"/>
      <c r="N136" s="8"/>
      <c r="O136" s="8"/>
      <c r="P136" s="8"/>
      <c r="Q136" s="8"/>
      <c r="R136" s="8"/>
      <c r="S136" s="8"/>
      <c r="T136" s="8"/>
      <c r="U136" s="12"/>
      <c r="V136" s="12"/>
      <c r="W136" s="12"/>
      <c r="X136" s="12"/>
      <c r="Y136" s="12"/>
      <c r="Z136" s="12"/>
      <c r="AA136" s="12"/>
      <c r="AB136" s="12"/>
      <c r="AC136" s="12"/>
      <c r="AD136" s="12"/>
      <c r="AE136" s="12"/>
      <c r="AF136" s="12"/>
    </row>
    <row r="137" spans="1:32">
      <c r="A137" s="8"/>
      <c r="B137" s="8"/>
      <c r="C137" s="8"/>
      <c r="D137" s="8"/>
      <c r="E137" s="8"/>
      <c r="F137" s="8"/>
      <c r="G137" s="8"/>
      <c r="H137" s="8"/>
      <c r="I137" s="8"/>
      <c r="J137" s="8"/>
      <c r="K137" s="8"/>
      <c r="L137" s="8"/>
      <c r="M137" s="8"/>
      <c r="N137" s="8"/>
      <c r="O137" s="8"/>
      <c r="P137" s="8"/>
      <c r="Q137" s="8"/>
      <c r="R137" s="8"/>
      <c r="S137" s="8"/>
      <c r="T137" s="8"/>
      <c r="U137" s="12"/>
      <c r="V137" s="12"/>
      <c r="W137" s="12"/>
      <c r="X137" s="12"/>
      <c r="Y137" s="12"/>
      <c r="Z137" s="12"/>
      <c r="AA137" s="12"/>
      <c r="AB137" s="12"/>
      <c r="AC137" s="12"/>
      <c r="AD137" s="12"/>
      <c r="AE137" s="12"/>
      <c r="AF137" s="12"/>
    </row>
    <row r="138" spans="1:32">
      <c r="A138" s="8"/>
      <c r="B138" s="8"/>
      <c r="C138" s="8"/>
      <c r="D138" s="8"/>
      <c r="E138" s="8"/>
      <c r="F138" s="8"/>
      <c r="G138" s="8"/>
      <c r="H138" s="8"/>
      <c r="I138" s="8"/>
      <c r="J138" s="8"/>
      <c r="K138" s="8"/>
      <c r="L138" s="8"/>
      <c r="M138" s="8"/>
      <c r="N138" s="8"/>
      <c r="O138" s="8"/>
      <c r="P138" s="8"/>
      <c r="Q138" s="8"/>
      <c r="R138" s="8"/>
      <c r="S138" s="8"/>
      <c r="T138" s="8"/>
      <c r="U138" s="12"/>
      <c r="V138" s="12"/>
      <c r="W138" s="12"/>
      <c r="X138" s="12"/>
      <c r="Y138" s="12"/>
      <c r="Z138" s="12"/>
      <c r="AA138" s="12"/>
      <c r="AB138" s="12"/>
      <c r="AC138" s="12"/>
      <c r="AD138" s="12"/>
      <c r="AE138" s="12"/>
      <c r="AF138" s="12"/>
    </row>
    <row r="139" spans="1:32">
      <c r="A139" s="8"/>
      <c r="B139" s="8"/>
      <c r="C139" s="8"/>
      <c r="D139" s="8"/>
      <c r="E139" s="8"/>
      <c r="F139" s="8"/>
      <c r="G139" s="8"/>
      <c r="H139" s="8"/>
      <c r="I139" s="8"/>
      <c r="J139" s="8"/>
      <c r="K139" s="8"/>
      <c r="L139" s="8"/>
      <c r="M139" s="8"/>
      <c r="N139" s="8"/>
      <c r="O139" s="8"/>
      <c r="P139" s="8"/>
      <c r="Q139" s="8"/>
      <c r="R139" s="8"/>
      <c r="S139" s="8"/>
      <c r="T139" s="8"/>
      <c r="U139" s="12"/>
      <c r="V139" s="12"/>
      <c r="W139" s="12"/>
      <c r="X139" s="12"/>
      <c r="Y139" s="12"/>
      <c r="Z139" s="12"/>
      <c r="AA139" s="12"/>
      <c r="AB139" s="12"/>
      <c r="AC139" s="12"/>
      <c r="AD139" s="12"/>
      <c r="AE139" s="12"/>
      <c r="AF139" s="12"/>
    </row>
    <row r="140" spans="1:32">
      <c r="A140" s="8"/>
      <c r="B140" s="8"/>
      <c r="C140" s="8"/>
      <c r="D140" s="8"/>
      <c r="E140" s="8"/>
      <c r="F140" s="8"/>
      <c r="G140" s="8"/>
      <c r="H140" s="8"/>
      <c r="I140" s="8"/>
      <c r="J140" s="8"/>
      <c r="K140" s="8"/>
      <c r="L140" s="8"/>
      <c r="M140" s="8"/>
      <c r="N140" s="8"/>
      <c r="O140" s="8"/>
      <c r="P140" s="8"/>
      <c r="Q140" s="8"/>
      <c r="R140" s="8"/>
      <c r="S140" s="8"/>
      <c r="T140" s="8"/>
      <c r="U140" s="12"/>
      <c r="V140" s="12"/>
      <c r="W140" s="12"/>
      <c r="X140" s="12"/>
      <c r="Y140" s="12"/>
      <c r="Z140" s="12"/>
      <c r="AA140" s="12"/>
      <c r="AB140" s="12"/>
      <c r="AC140" s="12"/>
      <c r="AD140" s="12"/>
      <c r="AE140" s="12"/>
      <c r="AF140" s="12"/>
    </row>
    <row r="141" spans="1:32">
      <c r="A141" s="8"/>
      <c r="B141" s="8"/>
      <c r="C141" s="8"/>
      <c r="D141" s="8"/>
      <c r="E141" s="8"/>
      <c r="F141" s="8"/>
      <c r="G141" s="8"/>
      <c r="H141" s="8"/>
      <c r="I141" s="8"/>
      <c r="J141" s="8"/>
      <c r="K141" s="8"/>
      <c r="L141" s="8"/>
      <c r="M141" s="8"/>
      <c r="N141" s="8"/>
      <c r="O141" s="8"/>
      <c r="P141" s="8"/>
      <c r="Q141" s="8"/>
      <c r="R141" s="8"/>
      <c r="S141" s="8"/>
      <c r="T141" s="8"/>
      <c r="U141" s="12"/>
      <c r="V141" s="12"/>
      <c r="W141" s="12"/>
      <c r="X141" s="12"/>
      <c r="Y141" s="12"/>
      <c r="Z141" s="12"/>
      <c r="AA141" s="12"/>
      <c r="AB141" s="12"/>
      <c r="AC141" s="12"/>
      <c r="AD141" s="12"/>
      <c r="AE141" s="12"/>
      <c r="AF141" s="12"/>
    </row>
    <row r="142" spans="1:32">
      <c r="A142" s="8"/>
      <c r="B142" s="8"/>
      <c r="C142" s="8"/>
      <c r="D142" s="8"/>
      <c r="E142" s="8"/>
      <c r="F142" s="8"/>
      <c r="G142" s="8"/>
      <c r="H142" s="8"/>
      <c r="I142" s="8"/>
      <c r="J142" s="8"/>
      <c r="K142" s="8"/>
      <c r="L142" s="8"/>
      <c r="M142" s="8"/>
      <c r="N142" s="8"/>
      <c r="O142" s="8"/>
      <c r="P142" s="8"/>
      <c r="Q142" s="8"/>
      <c r="R142" s="8"/>
      <c r="S142" s="8"/>
      <c r="T142" s="8"/>
      <c r="U142" s="12"/>
      <c r="V142" s="12"/>
      <c r="W142" s="12"/>
      <c r="X142" s="12"/>
      <c r="Y142" s="12"/>
      <c r="Z142" s="12"/>
      <c r="AA142" s="12"/>
      <c r="AB142" s="12"/>
      <c r="AC142" s="12"/>
      <c r="AD142" s="12"/>
      <c r="AE142" s="12"/>
      <c r="AF142" s="12"/>
    </row>
    <row r="143" spans="1:32">
      <c r="A143" s="8"/>
      <c r="B143" s="8"/>
      <c r="C143" s="8"/>
      <c r="D143" s="8"/>
      <c r="E143" s="8"/>
      <c r="F143" s="8"/>
      <c r="G143" s="8"/>
      <c r="H143" s="8"/>
      <c r="I143" s="8"/>
      <c r="J143" s="8"/>
      <c r="K143" s="8"/>
      <c r="L143" s="8"/>
      <c r="M143" s="8"/>
      <c r="N143" s="8"/>
      <c r="O143" s="8"/>
      <c r="P143" s="8"/>
      <c r="Q143" s="8"/>
      <c r="R143" s="8"/>
      <c r="S143" s="8"/>
      <c r="T143" s="8"/>
      <c r="U143" s="12"/>
      <c r="V143" s="12"/>
      <c r="W143" s="12"/>
      <c r="X143" s="12"/>
      <c r="Y143" s="12"/>
      <c r="Z143" s="12"/>
      <c r="AA143" s="12"/>
      <c r="AB143" s="12"/>
      <c r="AC143" s="12"/>
      <c r="AD143" s="12"/>
      <c r="AE143" s="12"/>
      <c r="AF143" s="12"/>
    </row>
    <row r="144" spans="1:32">
      <c r="A144" s="8"/>
      <c r="B144" s="8"/>
      <c r="C144" s="8"/>
      <c r="D144" s="8"/>
      <c r="E144" s="8"/>
      <c r="F144" s="8"/>
      <c r="G144" s="8"/>
      <c r="H144" s="8"/>
      <c r="I144" s="8"/>
      <c r="J144" s="8"/>
      <c r="K144" s="8"/>
      <c r="L144" s="8"/>
      <c r="M144" s="8"/>
      <c r="N144" s="8"/>
      <c r="O144" s="8"/>
      <c r="P144" s="8"/>
      <c r="Q144" s="8"/>
      <c r="R144" s="8"/>
      <c r="S144" s="8"/>
      <c r="T144" s="8"/>
      <c r="U144" s="12"/>
      <c r="V144" s="12"/>
      <c r="W144" s="12"/>
      <c r="X144" s="12"/>
      <c r="Y144" s="12"/>
      <c r="Z144" s="12"/>
      <c r="AA144" s="12"/>
      <c r="AB144" s="12"/>
      <c r="AC144" s="12"/>
      <c r="AD144" s="12"/>
      <c r="AE144" s="12"/>
      <c r="AF144" s="12"/>
    </row>
    <row r="145" spans="1:32">
      <c r="A145" s="8"/>
      <c r="B145" s="8"/>
      <c r="C145" s="8"/>
      <c r="D145" s="8"/>
      <c r="E145" s="8"/>
      <c r="F145" s="8"/>
      <c r="G145" s="8"/>
      <c r="H145" s="8"/>
      <c r="I145" s="8"/>
      <c r="J145" s="8"/>
      <c r="K145" s="8"/>
      <c r="L145" s="8"/>
      <c r="M145" s="8"/>
      <c r="N145" s="8"/>
      <c r="O145" s="8"/>
      <c r="P145" s="8"/>
      <c r="Q145" s="8"/>
      <c r="R145" s="8"/>
      <c r="S145" s="8"/>
      <c r="T145" s="8"/>
      <c r="U145" s="12"/>
      <c r="V145" s="12"/>
      <c r="W145" s="12"/>
      <c r="X145" s="12"/>
      <c r="Y145" s="12"/>
      <c r="Z145" s="12"/>
      <c r="AA145" s="12"/>
      <c r="AB145" s="12"/>
      <c r="AC145" s="12"/>
      <c r="AD145" s="12"/>
      <c r="AE145" s="12"/>
      <c r="AF145" s="12"/>
    </row>
    <row r="146" spans="1:32">
      <c r="A146" s="8"/>
      <c r="B146" s="8"/>
      <c r="C146" s="8"/>
      <c r="D146" s="8"/>
      <c r="E146" s="8"/>
      <c r="F146" s="8"/>
      <c r="G146" s="8"/>
      <c r="H146" s="8"/>
      <c r="I146" s="8"/>
      <c r="J146" s="8"/>
      <c r="K146" s="8"/>
      <c r="L146" s="8"/>
      <c r="M146" s="8"/>
      <c r="N146" s="8"/>
      <c r="O146" s="8"/>
      <c r="P146" s="8"/>
      <c r="Q146" s="8"/>
      <c r="R146" s="8"/>
      <c r="S146" s="8"/>
      <c r="T146" s="8"/>
      <c r="U146" s="12"/>
      <c r="V146" s="12"/>
      <c r="W146" s="12"/>
      <c r="X146" s="12"/>
      <c r="Y146" s="12"/>
      <c r="Z146" s="12"/>
      <c r="AA146" s="12"/>
      <c r="AB146" s="12"/>
      <c r="AC146" s="12"/>
      <c r="AD146" s="12"/>
      <c r="AE146" s="12"/>
      <c r="AF146" s="12"/>
    </row>
    <row r="147" spans="1:32">
      <c r="A147" s="8"/>
      <c r="B147" s="8"/>
      <c r="C147" s="8"/>
      <c r="D147" s="8"/>
      <c r="E147" s="8"/>
      <c r="F147" s="8"/>
      <c r="G147" s="8"/>
      <c r="H147" s="8"/>
      <c r="I147" s="8"/>
      <c r="J147" s="8"/>
      <c r="K147" s="8"/>
      <c r="L147" s="8"/>
      <c r="M147" s="8"/>
      <c r="N147" s="8"/>
      <c r="O147" s="8"/>
      <c r="P147" s="8"/>
      <c r="Q147" s="8"/>
      <c r="R147" s="8"/>
      <c r="S147" s="8"/>
      <c r="T147" s="8"/>
      <c r="U147" s="12"/>
      <c r="V147" s="12"/>
      <c r="W147" s="12"/>
      <c r="X147" s="12"/>
      <c r="Y147" s="12"/>
      <c r="Z147" s="12"/>
      <c r="AA147" s="12"/>
      <c r="AB147" s="12"/>
      <c r="AC147" s="12"/>
      <c r="AD147" s="12"/>
      <c r="AE147" s="12"/>
      <c r="AF147" s="12"/>
    </row>
    <row r="148" spans="1:32">
      <c r="A148" s="8"/>
      <c r="B148" s="8"/>
      <c r="C148" s="8"/>
      <c r="D148" s="8"/>
      <c r="E148" s="8"/>
      <c r="F148" s="8"/>
      <c r="G148" s="8"/>
      <c r="H148" s="8"/>
      <c r="I148" s="8"/>
      <c r="J148" s="8"/>
      <c r="K148" s="8"/>
      <c r="L148" s="8"/>
      <c r="M148" s="8"/>
      <c r="N148" s="8"/>
      <c r="O148" s="8"/>
      <c r="P148" s="8"/>
      <c r="Q148" s="8"/>
      <c r="R148" s="8"/>
      <c r="S148" s="8"/>
      <c r="T148" s="8"/>
      <c r="U148" s="12"/>
      <c r="V148" s="12"/>
      <c r="W148" s="12"/>
      <c r="X148" s="12"/>
      <c r="Y148" s="12"/>
      <c r="Z148" s="12"/>
      <c r="AA148" s="12"/>
      <c r="AB148" s="12"/>
      <c r="AC148" s="12"/>
      <c r="AD148" s="12"/>
      <c r="AE148" s="12"/>
      <c r="AF148" s="12"/>
    </row>
    <row r="149" spans="1:32">
      <c r="A149" s="8"/>
      <c r="B149" s="8"/>
      <c r="C149" s="8"/>
      <c r="D149" s="8"/>
      <c r="E149" s="8"/>
      <c r="F149" s="8"/>
      <c r="G149" s="8"/>
      <c r="H149" s="8"/>
      <c r="I149" s="8"/>
      <c r="J149" s="8"/>
      <c r="K149" s="8"/>
      <c r="L149" s="8"/>
      <c r="M149" s="8"/>
      <c r="N149" s="8"/>
      <c r="O149" s="8"/>
      <c r="P149" s="8"/>
      <c r="Q149" s="8"/>
      <c r="R149" s="8"/>
      <c r="S149" s="8"/>
      <c r="T149" s="8"/>
      <c r="U149" s="12"/>
      <c r="V149" s="12"/>
      <c r="W149" s="12"/>
      <c r="X149" s="12"/>
      <c r="Y149" s="12"/>
      <c r="Z149" s="12"/>
      <c r="AA149" s="12"/>
      <c r="AB149" s="12"/>
      <c r="AC149" s="12"/>
      <c r="AD149" s="12"/>
      <c r="AE149" s="12"/>
      <c r="AF149" s="12"/>
    </row>
    <row r="150" spans="1:32">
      <c r="A150" s="8"/>
      <c r="B150" s="8"/>
      <c r="C150" s="8"/>
      <c r="D150" s="8"/>
      <c r="E150" s="8"/>
      <c r="F150" s="8"/>
      <c r="G150" s="8"/>
      <c r="H150" s="8"/>
      <c r="I150" s="8"/>
      <c r="J150" s="8"/>
      <c r="K150" s="8"/>
      <c r="L150" s="8"/>
      <c r="M150" s="8"/>
      <c r="N150" s="8"/>
      <c r="O150" s="8"/>
      <c r="P150" s="8"/>
      <c r="Q150" s="8"/>
      <c r="R150" s="8"/>
      <c r="S150" s="8"/>
      <c r="T150" s="8"/>
      <c r="U150" s="12"/>
      <c r="V150" s="12"/>
      <c r="W150" s="12"/>
      <c r="X150" s="12"/>
      <c r="Y150" s="12"/>
      <c r="Z150" s="12"/>
      <c r="AA150" s="12"/>
      <c r="AB150" s="12"/>
      <c r="AC150" s="12"/>
      <c r="AD150" s="12"/>
      <c r="AE150" s="12"/>
      <c r="AF150" s="12"/>
    </row>
    <row r="151" spans="1:32">
      <c r="A151" s="8"/>
      <c r="B151" s="8"/>
      <c r="C151" s="8"/>
      <c r="D151" s="8"/>
      <c r="E151" s="8"/>
      <c r="F151" s="8"/>
      <c r="G151" s="8"/>
      <c r="H151" s="8"/>
      <c r="I151" s="8"/>
      <c r="J151" s="8"/>
      <c r="K151" s="8"/>
      <c r="L151" s="8"/>
      <c r="M151" s="8"/>
      <c r="N151" s="8"/>
      <c r="O151" s="8"/>
      <c r="P151" s="8"/>
      <c r="Q151" s="8"/>
      <c r="R151" s="8"/>
      <c r="S151" s="8"/>
      <c r="T151" s="8"/>
      <c r="U151" s="12"/>
      <c r="V151" s="12"/>
      <c r="W151" s="12"/>
      <c r="X151" s="12"/>
      <c r="Y151" s="12"/>
      <c r="Z151" s="12"/>
      <c r="AA151" s="12"/>
      <c r="AB151" s="12"/>
      <c r="AC151" s="12"/>
      <c r="AD151" s="12"/>
      <c r="AE151" s="12"/>
      <c r="AF151" s="12"/>
    </row>
    <row r="152" spans="1:32">
      <c r="A152" s="8"/>
      <c r="B152" s="8"/>
      <c r="C152" s="8"/>
      <c r="D152" s="8"/>
      <c r="E152" s="8"/>
      <c r="F152" s="8"/>
      <c r="G152" s="8"/>
      <c r="H152" s="8"/>
      <c r="I152" s="8"/>
      <c r="J152" s="8"/>
      <c r="K152" s="8"/>
      <c r="L152" s="8"/>
      <c r="M152" s="8"/>
      <c r="N152" s="8"/>
      <c r="O152" s="8"/>
      <c r="P152" s="8"/>
      <c r="Q152" s="8"/>
      <c r="R152" s="8"/>
      <c r="S152" s="8"/>
      <c r="T152" s="8"/>
      <c r="U152" s="12"/>
      <c r="V152" s="12"/>
      <c r="W152" s="12"/>
      <c r="X152" s="12"/>
      <c r="Y152" s="12"/>
      <c r="Z152" s="12"/>
      <c r="AA152" s="12"/>
      <c r="AB152" s="12"/>
      <c r="AC152" s="12"/>
      <c r="AD152" s="12"/>
      <c r="AE152" s="12"/>
      <c r="AF152" s="12"/>
    </row>
    <row r="153" spans="1:32">
      <c r="A153" s="8"/>
      <c r="B153" s="8"/>
      <c r="C153" s="8"/>
      <c r="D153" s="8"/>
      <c r="E153" s="8"/>
      <c r="F153" s="8"/>
      <c r="G153" s="8"/>
      <c r="H153" s="8"/>
      <c r="I153" s="8"/>
      <c r="J153" s="8"/>
      <c r="K153" s="8"/>
      <c r="L153" s="8"/>
      <c r="M153" s="8"/>
      <c r="N153" s="8"/>
      <c r="O153" s="8"/>
      <c r="P153" s="8"/>
      <c r="Q153" s="8"/>
      <c r="R153" s="8"/>
      <c r="S153" s="8"/>
      <c r="T153" s="8"/>
      <c r="U153" s="12"/>
      <c r="V153" s="12"/>
      <c r="W153" s="12"/>
      <c r="X153" s="12"/>
      <c r="Y153" s="12"/>
      <c r="Z153" s="12"/>
      <c r="AA153" s="12"/>
      <c r="AB153" s="12"/>
      <c r="AC153" s="12"/>
      <c r="AD153" s="12"/>
      <c r="AE153" s="12"/>
      <c r="AF153" s="12"/>
    </row>
    <row r="154" spans="1:32">
      <c r="A154" s="8"/>
      <c r="B154" s="8"/>
      <c r="C154" s="8"/>
      <c r="D154" s="8"/>
      <c r="E154" s="8"/>
      <c r="F154" s="8"/>
      <c r="G154" s="8"/>
      <c r="H154" s="8"/>
      <c r="I154" s="8"/>
      <c r="J154" s="8"/>
      <c r="K154" s="8"/>
      <c r="L154" s="8"/>
      <c r="M154" s="8"/>
      <c r="N154" s="8"/>
      <c r="O154" s="8"/>
      <c r="P154" s="8"/>
      <c r="Q154" s="8"/>
      <c r="R154" s="8"/>
      <c r="S154" s="8"/>
      <c r="T154" s="8"/>
      <c r="U154" s="12"/>
      <c r="V154" s="12"/>
      <c r="W154" s="12"/>
      <c r="X154" s="12"/>
      <c r="Y154" s="12"/>
      <c r="Z154" s="12"/>
      <c r="AA154" s="12"/>
      <c r="AB154" s="12"/>
      <c r="AC154" s="12"/>
      <c r="AD154" s="12"/>
      <c r="AE154" s="12"/>
      <c r="AF154" s="12"/>
    </row>
    <row r="155" spans="1:32">
      <c r="A155" s="8"/>
      <c r="B155" s="8"/>
      <c r="C155" s="8"/>
      <c r="D155" s="8"/>
      <c r="E155" s="8"/>
      <c r="F155" s="8"/>
      <c r="G155" s="8"/>
      <c r="H155" s="8"/>
      <c r="I155" s="8"/>
      <c r="J155" s="8"/>
      <c r="K155" s="8"/>
      <c r="L155" s="8"/>
      <c r="M155" s="8"/>
      <c r="N155" s="8"/>
      <c r="O155" s="8"/>
      <c r="P155" s="8"/>
      <c r="Q155" s="8"/>
      <c r="R155" s="8"/>
      <c r="S155" s="8"/>
      <c r="T155" s="8"/>
      <c r="U155" s="12"/>
      <c r="V155" s="12"/>
      <c r="W155" s="12"/>
      <c r="X155" s="12"/>
      <c r="Y155" s="12"/>
      <c r="Z155" s="12"/>
      <c r="AA155" s="12"/>
      <c r="AB155" s="12"/>
      <c r="AC155" s="12"/>
      <c r="AD155" s="12"/>
      <c r="AE155" s="12"/>
      <c r="AF155" s="12"/>
    </row>
    <row r="156" spans="1:32">
      <c r="A156" s="8"/>
      <c r="B156" s="8"/>
      <c r="C156" s="8"/>
      <c r="D156" s="8"/>
      <c r="E156" s="8"/>
      <c r="F156" s="8"/>
      <c r="G156" s="8"/>
      <c r="H156" s="8"/>
      <c r="I156" s="8"/>
      <c r="J156" s="8"/>
      <c r="K156" s="8"/>
      <c r="L156" s="8"/>
      <c r="M156" s="8"/>
      <c r="N156" s="8"/>
      <c r="O156" s="8"/>
      <c r="P156" s="8"/>
      <c r="Q156" s="8"/>
      <c r="R156" s="8"/>
      <c r="S156" s="8"/>
      <c r="T156" s="8"/>
      <c r="U156" s="12"/>
      <c r="V156" s="12"/>
      <c r="W156" s="12"/>
      <c r="X156" s="12"/>
      <c r="Y156" s="12"/>
      <c r="Z156" s="12"/>
      <c r="AA156" s="12"/>
      <c r="AB156" s="12"/>
      <c r="AC156" s="12"/>
      <c r="AD156" s="12"/>
      <c r="AE156" s="12"/>
      <c r="AF156" s="12"/>
    </row>
    <row r="157" spans="1:32">
      <c r="A157" s="8"/>
      <c r="B157" s="8"/>
      <c r="C157" s="8"/>
      <c r="D157" s="8"/>
      <c r="E157" s="8"/>
      <c r="F157" s="8"/>
      <c r="G157" s="8"/>
      <c r="H157" s="8"/>
      <c r="I157" s="8"/>
      <c r="J157" s="8"/>
      <c r="K157" s="8"/>
      <c r="L157" s="8"/>
      <c r="M157" s="8"/>
      <c r="N157" s="8"/>
      <c r="O157" s="8"/>
      <c r="P157" s="8"/>
      <c r="Q157" s="8"/>
      <c r="R157" s="8"/>
      <c r="S157" s="8"/>
      <c r="T157" s="8"/>
      <c r="U157" s="12"/>
      <c r="V157" s="12"/>
      <c r="W157" s="12"/>
      <c r="X157" s="12"/>
      <c r="Y157" s="12"/>
      <c r="Z157" s="12"/>
      <c r="AA157" s="12"/>
      <c r="AB157" s="12"/>
      <c r="AC157" s="12"/>
      <c r="AD157" s="12"/>
      <c r="AE157" s="12"/>
      <c r="AF157" s="12"/>
    </row>
    <row r="158" spans="1:32">
      <c r="A158" s="8"/>
      <c r="B158" s="8"/>
      <c r="C158" s="8"/>
      <c r="D158" s="8"/>
      <c r="E158" s="8"/>
      <c r="F158" s="8"/>
      <c r="G158" s="8"/>
      <c r="H158" s="8"/>
      <c r="I158" s="8"/>
      <c r="J158" s="8"/>
      <c r="K158" s="8"/>
      <c r="L158" s="8"/>
      <c r="M158" s="8"/>
      <c r="N158" s="8"/>
      <c r="O158" s="8"/>
      <c r="P158" s="8"/>
      <c r="Q158" s="8"/>
      <c r="R158" s="8"/>
      <c r="S158" s="8"/>
      <c r="T158" s="8"/>
      <c r="U158" s="12"/>
      <c r="V158" s="12"/>
      <c r="W158" s="12"/>
      <c r="X158" s="12"/>
      <c r="Y158" s="12"/>
      <c r="Z158" s="12"/>
      <c r="AA158" s="12"/>
      <c r="AB158" s="12"/>
      <c r="AC158" s="12"/>
      <c r="AD158" s="12"/>
      <c r="AE158" s="12"/>
      <c r="AF158" s="12"/>
    </row>
    <row r="159" spans="1:32">
      <c r="A159" s="8"/>
      <c r="B159" s="8"/>
      <c r="C159" s="8"/>
      <c r="D159" s="8"/>
      <c r="E159" s="8"/>
      <c r="F159" s="8"/>
      <c r="G159" s="8"/>
      <c r="H159" s="8"/>
      <c r="I159" s="8"/>
      <c r="J159" s="8"/>
      <c r="K159" s="8"/>
      <c r="L159" s="8"/>
      <c r="M159" s="8"/>
      <c r="N159" s="8"/>
      <c r="O159" s="8"/>
      <c r="P159" s="8"/>
      <c r="Q159" s="8"/>
      <c r="R159" s="8"/>
      <c r="S159" s="8"/>
      <c r="T159" s="8"/>
      <c r="U159" s="12"/>
      <c r="V159" s="12"/>
      <c r="W159" s="12"/>
      <c r="X159" s="12"/>
      <c r="Y159" s="12"/>
      <c r="Z159" s="12"/>
      <c r="AA159" s="12"/>
      <c r="AB159" s="12"/>
      <c r="AC159" s="12"/>
      <c r="AD159" s="12"/>
      <c r="AE159" s="12"/>
      <c r="AF159" s="12"/>
    </row>
    <row r="160" spans="1:32">
      <c r="A160" s="8"/>
      <c r="B160" s="8"/>
      <c r="C160" s="8"/>
      <c r="D160" s="8"/>
      <c r="E160" s="8"/>
      <c r="F160" s="8"/>
      <c r="G160" s="8"/>
      <c r="H160" s="8"/>
      <c r="I160" s="8"/>
      <c r="J160" s="8"/>
      <c r="K160" s="8"/>
      <c r="L160" s="8"/>
      <c r="M160" s="8"/>
      <c r="N160" s="8"/>
      <c r="O160" s="8"/>
      <c r="P160" s="8"/>
      <c r="Q160" s="8"/>
      <c r="R160" s="8"/>
      <c r="S160" s="8"/>
      <c r="T160" s="8"/>
      <c r="U160" s="12"/>
      <c r="V160" s="12"/>
      <c r="W160" s="12"/>
      <c r="X160" s="12"/>
      <c r="Y160" s="12"/>
      <c r="Z160" s="12"/>
      <c r="AA160" s="12"/>
      <c r="AB160" s="12"/>
      <c r="AC160" s="12"/>
      <c r="AD160" s="12"/>
      <c r="AE160" s="12"/>
      <c r="AF160" s="12"/>
    </row>
    <row r="161" spans="1:32">
      <c r="A161" s="8"/>
      <c r="B161" s="8"/>
      <c r="C161" s="8"/>
      <c r="D161" s="8"/>
      <c r="E161" s="8"/>
      <c r="F161" s="8"/>
      <c r="G161" s="8"/>
      <c r="H161" s="8"/>
      <c r="I161" s="8"/>
      <c r="J161" s="8"/>
      <c r="K161" s="8"/>
      <c r="L161" s="8"/>
      <c r="M161" s="8"/>
      <c r="N161" s="8"/>
      <c r="O161" s="8"/>
      <c r="P161" s="8"/>
      <c r="Q161" s="8"/>
      <c r="R161" s="8"/>
      <c r="S161" s="8"/>
      <c r="T161" s="8"/>
      <c r="U161" s="12"/>
      <c r="V161" s="12"/>
      <c r="W161" s="12"/>
      <c r="X161" s="12"/>
      <c r="Y161" s="12"/>
      <c r="Z161" s="12"/>
      <c r="AA161" s="12"/>
      <c r="AB161" s="12"/>
      <c r="AC161" s="12"/>
      <c r="AD161" s="12"/>
      <c r="AE161" s="12"/>
      <c r="AF161" s="12"/>
    </row>
    <row r="162" spans="1:32">
      <c r="A162" s="8"/>
      <c r="B162" s="8"/>
      <c r="C162" s="8"/>
      <c r="D162" s="8"/>
      <c r="E162" s="8"/>
      <c r="F162" s="8"/>
      <c r="G162" s="8"/>
      <c r="H162" s="8"/>
      <c r="I162" s="8"/>
      <c r="J162" s="8"/>
      <c r="K162" s="8"/>
      <c r="L162" s="8"/>
      <c r="M162" s="8"/>
      <c r="N162" s="8"/>
      <c r="O162" s="8"/>
      <c r="P162" s="8"/>
      <c r="Q162" s="8"/>
      <c r="R162" s="8"/>
      <c r="S162" s="8"/>
      <c r="T162" s="8"/>
      <c r="U162" s="12"/>
      <c r="V162" s="12"/>
      <c r="W162" s="12"/>
      <c r="X162" s="12"/>
      <c r="Y162" s="12"/>
      <c r="Z162" s="12"/>
      <c r="AA162" s="12"/>
      <c r="AB162" s="12"/>
      <c r="AC162" s="12"/>
      <c r="AD162" s="12"/>
      <c r="AE162" s="12"/>
      <c r="AF162" s="12"/>
    </row>
    <row r="163" spans="1:32">
      <c r="A163" s="8"/>
      <c r="B163" s="8"/>
      <c r="C163" s="8"/>
      <c r="D163" s="8"/>
      <c r="E163" s="8"/>
      <c r="F163" s="8"/>
      <c r="G163" s="8"/>
      <c r="H163" s="8"/>
      <c r="I163" s="8"/>
      <c r="J163" s="8"/>
      <c r="K163" s="8"/>
      <c r="L163" s="8"/>
      <c r="M163" s="8"/>
      <c r="N163" s="8"/>
      <c r="O163" s="8"/>
      <c r="P163" s="8"/>
      <c r="Q163" s="8"/>
      <c r="R163" s="8"/>
      <c r="S163" s="8"/>
      <c r="T163" s="8"/>
      <c r="U163" s="12"/>
      <c r="V163" s="12"/>
      <c r="W163" s="12"/>
      <c r="X163" s="12"/>
      <c r="Y163" s="12"/>
      <c r="Z163" s="12"/>
      <c r="AA163" s="12"/>
      <c r="AB163" s="12"/>
      <c r="AC163" s="12"/>
      <c r="AD163" s="12"/>
      <c r="AE163" s="12"/>
      <c r="AF163" s="12"/>
    </row>
    <row r="164" spans="1:32">
      <c r="A164" s="8"/>
      <c r="B164" s="8"/>
      <c r="C164" s="8"/>
      <c r="D164" s="8"/>
      <c r="E164" s="8"/>
      <c r="F164" s="8"/>
      <c r="G164" s="8"/>
      <c r="H164" s="8"/>
      <c r="I164" s="8"/>
      <c r="J164" s="8"/>
      <c r="K164" s="8"/>
      <c r="L164" s="8"/>
      <c r="M164" s="8"/>
      <c r="N164" s="8"/>
      <c r="O164" s="8"/>
      <c r="P164" s="8"/>
      <c r="Q164" s="8"/>
      <c r="R164" s="8"/>
      <c r="S164" s="8"/>
      <c r="T164" s="8"/>
      <c r="U164" s="12"/>
      <c r="V164" s="12"/>
      <c r="W164" s="12"/>
      <c r="X164" s="12"/>
      <c r="Y164" s="12"/>
      <c r="Z164" s="12"/>
      <c r="AA164" s="12"/>
      <c r="AB164" s="12"/>
      <c r="AC164" s="12"/>
      <c r="AD164" s="12"/>
      <c r="AE164" s="12"/>
      <c r="AF164" s="12"/>
    </row>
    <row r="165" spans="1:32">
      <c r="A165" s="8"/>
      <c r="B165" s="8"/>
      <c r="C165" s="8"/>
      <c r="D165" s="8"/>
      <c r="E165" s="8"/>
      <c r="F165" s="8"/>
      <c r="G165" s="8"/>
      <c r="H165" s="8"/>
      <c r="I165" s="8"/>
      <c r="J165" s="8"/>
      <c r="K165" s="8"/>
      <c r="L165" s="8"/>
      <c r="M165" s="8"/>
      <c r="N165" s="8"/>
      <c r="O165" s="8"/>
      <c r="P165" s="8"/>
      <c r="Q165" s="8"/>
      <c r="R165" s="8"/>
      <c r="S165" s="8"/>
      <c r="T165" s="8"/>
      <c r="U165" s="12"/>
      <c r="V165" s="12"/>
      <c r="W165" s="12"/>
      <c r="X165" s="12"/>
      <c r="Y165" s="12"/>
      <c r="Z165" s="12"/>
      <c r="AA165" s="12"/>
      <c r="AB165" s="12"/>
      <c r="AC165" s="12"/>
      <c r="AD165" s="12"/>
      <c r="AE165" s="12"/>
      <c r="AF165" s="12"/>
    </row>
    <row r="166" spans="1:32">
      <c r="A166" s="8"/>
      <c r="B166" s="8"/>
      <c r="C166" s="8"/>
      <c r="D166" s="8"/>
      <c r="E166" s="8"/>
      <c r="F166" s="8"/>
      <c r="G166" s="8"/>
      <c r="H166" s="8"/>
      <c r="I166" s="8"/>
      <c r="J166" s="8"/>
      <c r="K166" s="8"/>
      <c r="L166" s="8"/>
      <c r="M166" s="8"/>
      <c r="N166" s="8"/>
      <c r="O166" s="8"/>
      <c r="P166" s="8"/>
      <c r="Q166" s="8"/>
      <c r="R166" s="8"/>
      <c r="S166" s="8"/>
      <c r="T166" s="8"/>
      <c r="U166" s="12"/>
      <c r="V166" s="12"/>
      <c r="W166" s="12"/>
      <c r="X166" s="12"/>
      <c r="Y166" s="12"/>
      <c r="Z166" s="12"/>
      <c r="AA166" s="12"/>
      <c r="AB166" s="12"/>
      <c r="AC166" s="12"/>
      <c r="AD166" s="12"/>
      <c r="AE166" s="12"/>
      <c r="AF166" s="12"/>
    </row>
    <row r="167" spans="1:32">
      <c r="A167" s="8"/>
      <c r="B167" s="8"/>
      <c r="C167" s="8"/>
      <c r="D167" s="8"/>
      <c r="E167" s="8"/>
      <c r="F167" s="8"/>
      <c r="G167" s="8"/>
      <c r="H167" s="8"/>
      <c r="I167" s="8"/>
      <c r="J167" s="8"/>
      <c r="K167" s="8"/>
      <c r="L167" s="8"/>
      <c r="M167" s="8"/>
      <c r="N167" s="8"/>
      <c r="O167" s="8"/>
      <c r="P167" s="8"/>
      <c r="Q167" s="8"/>
      <c r="R167" s="8"/>
      <c r="S167" s="8"/>
      <c r="T167" s="8"/>
      <c r="U167" s="12"/>
      <c r="V167" s="12"/>
      <c r="W167" s="12"/>
      <c r="X167" s="12"/>
      <c r="Y167" s="12"/>
      <c r="Z167" s="12"/>
      <c r="AA167" s="12"/>
      <c r="AB167" s="12"/>
      <c r="AC167" s="12"/>
      <c r="AD167" s="12"/>
      <c r="AE167" s="12"/>
      <c r="AF167" s="12"/>
    </row>
    <row r="168" spans="1:32">
      <c r="A168" s="8"/>
      <c r="B168" s="8"/>
      <c r="C168" s="8"/>
      <c r="D168" s="8"/>
      <c r="E168" s="8"/>
      <c r="F168" s="8"/>
      <c r="G168" s="8"/>
      <c r="H168" s="8"/>
      <c r="I168" s="8"/>
      <c r="J168" s="8"/>
      <c r="K168" s="8"/>
      <c r="L168" s="8"/>
      <c r="M168" s="8"/>
      <c r="N168" s="8"/>
      <c r="O168" s="8"/>
      <c r="P168" s="8"/>
      <c r="Q168" s="8"/>
      <c r="R168" s="8"/>
      <c r="S168" s="8"/>
      <c r="T168" s="8"/>
      <c r="U168" s="12"/>
      <c r="V168" s="12"/>
      <c r="W168" s="12"/>
      <c r="X168" s="12"/>
      <c r="Y168" s="12"/>
      <c r="Z168" s="12"/>
      <c r="AA168" s="12"/>
      <c r="AB168" s="12"/>
      <c r="AC168" s="12"/>
      <c r="AD168" s="12"/>
      <c r="AE168" s="12"/>
      <c r="AF168" s="12"/>
    </row>
    <row r="169" spans="1:32">
      <c r="A169" s="8"/>
      <c r="B169" s="8"/>
      <c r="C169" s="8"/>
      <c r="D169" s="8"/>
      <c r="E169" s="8"/>
      <c r="F169" s="8"/>
      <c r="G169" s="8"/>
      <c r="H169" s="8"/>
      <c r="I169" s="8"/>
      <c r="J169" s="8"/>
      <c r="K169" s="8"/>
      <c r="L169" s="8"/>
      <c r="M169" s="8"/>
      <c r="N169" s="8"/>
      <c r="O169" s="8"/>
      <c r="P169" s="8"/>
      <c r="Q169" s="8"/>
      <c r="R169" s="8"/>
      <c r="S169" s="8"/>
      <c r="T169" s="8"/>
      <c r="U169" s="12"/>
      <c r="V169" s="12"/>
      <c r="W169" s="12"/>
      <c r="X169" s="12"/>
      <c r="Y169" s="12"/>
      <c r="Z169" s="12"/>
      <c r="AA169" s="12"/>
      <c r="AB169" s="12"/>
      <c r="AC169" s="12"/>
      <c r="AD169" s="12"/>
      <c r="AE169" s="12"/>
      <c r="AF169" s="12"/>
    </row>
    <row r="170" spans="1:32">
      <c r="A170" s="8"/>
      <c r="B170" s="8"/>
      <c r="C170" s="8"/>
      <c r="D170" s="8"/>
      <c r="E170" s="8"/>
      <c r="F170" s="8"/>
      <c r="G170" s="8"/>
      <c r="H170" s="8"/>
      <c r="I170" s="8"/>
      <c r="J170" s="8"/>
      <c r="K170" s="8"/>
      <c r="L170" s="8"/>
      <c r="M170" s="8"/>
      <c r="N170" s="8"/>
      <c r="O170" s="8"/>
      <c r="P170" s="8"/>
      <c r="Q170" s="8"/>
      <c r="R170" s="8"/>
      <c r="S170" s="8"/>
      <c r="T170" s="8"/>
      <c r="U170" s="12"/>
      <c r="V170" s="12"/>
      <c r="W170" s="12"/>
      <c r="X170" s="12"/>
      <c r="Y170" s="12"/>
      <c r="Z170" s="12"/>
      <c r="AA170" s="12"/>
      <c r="AB170" s="12"/>
      <c r="AC170" s="12"/>
      <c r="AD170" s="12"/>
      <c r="AE170" s="12"/>
      <c r="AF170" s="12"/>
    </row>
    <row r="171" spans="1:32">
      <c r="A171" s="8"/>
      <c r="B171" s="8"/>
      <c r="C171" s="8"/>
      <c r="D171" s="8"/>
      <c r="E171" s="8"/>
      <c r="F171" s="8"/>
      <c r="G171" s="8"/>
      <c r="H171" s="8"/>
      <c r="I171" s="8"/>
      <c r="J171" s="8"/>
      <c r="K171" s="8"/>
      <c r="L171" s="8"/>
      <c r="M171" s="8"/>
      <c r="N171" s="8"/>
      <c r="O171" s="8"/>
      <c r="P171" s="8"/>
      <c r="Q171" s="8"/>
      <c r="R171" s="8"/>
      <c r="S171" s="8"/>
      <c r="T171" s="8"/>
      <c r="U171" s="12"/>
      <c r="V171" s="12"/>
      <c r="W171" s="12"/>
      <c r="X171" s="12"/>
      <c r="Y171" s="12"/>
      <c r="Z171" s="12"/>
      <c r="AA171" s="12"/>
      <c r="AB171" s="12"/>
      <c r="AC171" s="12"/>
      <c r="AD171" s="12"/>
      <c r="AE171" s="12"/>
      <c r="AF171" s="12"/>
    </row>
    <row r="172" spans="1:32">
      <c r="A172" s="8"/>
      <c r="B172" s="8"/>
      <c r="C172" s="8"/>
      <c r="D172" s="8"/>
      <c r="E172" s="8"/>
      <c r="F172" s="8"/>
      <c r="G172" s="8"/>
      <c r="H172" s="8"/>
      <c r="I172" s="8"/>
      <c r="J172" s="8"/>
      <c r="K172" s="8"/>
      <c r="L172" s="8"/>
      <c r="M172" s="8"/>
      <c r="N172" s="8"/>
      <c r="O172" s="8"/>
      <c r="P172" s="8"/>
      <c r="Q172" s="8"/>
      <c r="R172" s="8"/>
      <c r="S172" s="8"/>
      <c r="T172" s="8"/>
      <c r="U172" s="12"/>
      <c r="V172" s="12"/>
      <c r="W172" s="12"/>
      <c r="X172" s="12"/>
      <c r="Y172" s="12"/>
      <c r="Z172" s="12"/>
      <c r="AA172" s="12"/>
      <c r="AB172" s="12"/>
      <c r="AC172" s="12"/>
      <c r="AD172" s="12"/>
      <c r="AE172" s="12"/>
      <c r="AF172" s="12"/>
    </row>
    <row r="173" spans="1:32">
      <c r="A173" s="8"/>
      <c r="B173" s="8"/>
      <c r="C173" s="8"/>
      <c r="D173" s="8"/>
      <c r="E173" s="8"/>
      <c r="F173" s="8"/>
      <c r="G173" s="8"/>
      <c r="H173" s="8"/>
      <c r="I173" s="8"/>
      <c r="J173" s="8"/>
      <c r="K173" s="8"/>
      <c r="L173" s="8"/>
      <c r="M173" s="8"/>
      <c r="N173" s="8"/>
      <c r="O173" s="8"/>
      <c r="P173" s="8"/>
      <c r="Q173" s="8"/>
      <c r="R173" s="8"/>
      <c r="S173" s="8"/>
      <c r="T173" s="8"/>
      <c r="U173" s="12"/>
      <c r="V173" s="12"/>
      <c r="W173" s="12"/>
      <c r="X173" s="12"/>
      <c r="Y173" s="12"/>
      <c r="Z173" s="12"/>
      <c r="AA173" s="12"/>
      <c r="AB173" s="12"/>
      <c r="AC173" s="12"/>
      <c r="AD173" s="12"/>
      <c r="AE173" s="12"/>
      <c r="AF173" s="12"/>
    </row>
    <row r="174" spans="1:32">
      <c r="A174" s="8"/>
      <c r="B174" s="8"/>
      <c r="C174" s="8"/>
      <c r="D174" s="8"/>
      <c r="E174" s="8"/>
      <c r="F174" s="8"/>
      <c r="G174" s="8"/>
      <c r="H174" s="8"/>
      <c r="I174" s="8"/>
      <c r="J174" s="8"/>
      <c r="K174" s="8"/>
      <c r="L174" s="8"/>
      <c r="M174" s="8"/>
      <c r="N174" s="8"/>
      <c r="O174" s="8"/>
      <c r="P174" s="8"/>
      <c r="Q174" s="8"/>
      <c r="R174" s="8"/>
      <c r="S174" s="8"/>
      <c r="T174" s="8"/>
      <c r="U174" s="12"/>
      <c r="V174" s="12"/>
      <c r="W174" s="12"/>
      <c r="X174" s="12"/>
      <c r="Y174" s="12"/>
      <c r="Z174" s="12"/>
      <c r="AA174" s="12"/>
      <c r="AB174" s="12"/>
      <c r="AC174" s="12"/>
      <c r="AD174" s="12"/>
      <c r="AE174" s="12"/>
      <c r="AF174" s="12"/>
    </row>
    <row r="175" spans="1:32">
      <c r="A175" s="8"/>
      <c r="B175" s="8"/>
      <c r="C175" s="8"/>
      <c r="D175" s="8"/>
      <c r="E175" s="8"/>
      <c r="F175" s="8"/>
      <c r="G175" s="8"/>
      <c r="H175" s="8"/>
      <c r="I175" s="8"/>
      <c r="J175" s="8"/>
      <c r="K175" s="8"/>
      <c r="L175" s="8"/>
      <c r="M175" s="8"/>
      <c r="N175" s="8"/>
      <c r="O175" s="8"/>
      <c r="P175" s="8"/>
      <c r="Q175" s="8"/>
      <c r="R175" s="8"/>
      <c r="S175" s="8"/>
      <c r="T175" s="8"/>
      <c r="U175" s="12"/>
      <c r="V175" s="12"/>
      <c r="W175" s="12"/>
      <c r="X175" s="12"/>
      <c r="Y175" s="12"/>
      <c r="Z175" s="12"/>
      <c r="AA175" s="12"/>
      <c r="AB175" s="12"/>
      <c r="AC175" s="12"/>
      <c r="AD175" s="12"/>
      <c r="AE175" s="12"/>
      <c r="AF175" s="12"/>
    </row>
    <row r="176" spans="1:32">
      <c r="A176" s="8"/>
      <c r="B176" s="8"/>
      <c r="C176" s="8"/>
      <c r="D176" s="8"/>
      <c r="E176" s="8"/>
      <c r="F176" s="8"/>
      <c r="G176" s="8"/>
      <c r="H176" s="8"/>
      <c r="I176" s="8"/>
      <c r="J176" s="8"/>
      <c r="K176" s="8"/>
      <c r="L176" s="8"/>
      <c r="M176" s="8"/>
      <c r="N176" s="8"/>
      <c r="O176" s="8"/>
      <c r="P176" s="8"/>
      <c r="Q176" s="8"/>
      <c r="R176" s="8"/>
      <c r="S176" s="8"/>
      <c r="T176" s="8"/>
      <c r="U176" s="12"/>
      <c r="V176" s="12"/>
      <c r="W176" s="12"/>
      <c r="X176" s="12"/>
      <c r="Y176" s="12"/>
      <c r="Z176" s="12"/>
      <c r="AA176" s="12"/>
      <c r="AB176" s="12"/>
      <c r="AC176" s="12"/>
      <c r="AD176" s="12"/>
      <c r="AE176" s="12"/>
      <c r="AF176" s="12"/>
    </row>
    <row r="177" spans="1:32">
      <c r="A177" s="8"/>
      <c r="B177" s="8"/>
      <c r="C177" s="8"/>
      <c r="D177" s="8"/>
      <c r="E177" s="8"/>
      <c r="F177" s="8"/>
      <c r="G177" s="8"/>
      <c r="H177" s="8"/>
      <c r="I177" s="8"/>
      <c r="J177" s="8"/>
      <c r="K177" s="8"/>
      <c r="L177" s="8"/>
      <c r="M177" s="8"/>
      <c r="N177" s="8"/>
      <c r="O177" s="8"/>
      <c r="P177" s="8"/>
      <c r="Q177" s="8"/>
      <c r="R177" s="8"/>
      <c r="S177" s="8"/>
      <c r="T177" s="8"/>
      <c r="U177" s="12"/>
      <c r="V177" s="12"/>
      <c r="W177" s="12"/>
      <c r="X177" s="12"/>
      <c r="Y177" s="12"/>
      <c r="Z177" s="12"/>
      <c r="AA177" s="12"/>
      <c r="AB177" s="12"/>
      <c r="AC177" s="12"/>
      <c r="AD177" s="12"/>
      <c r="AE177" s="12"/>
      <c r="AF177" s="12"/>
    </row>
    <row r="178" spans="1:32">
      <c r="A178" s="8"/>
      <c r="B178" s="8"/>
      <c r="C178" s="8"/>
      <c r="D178" s="8"/>
      <c r="E178" s="8"/>
      <c r="F178" s="8"/>
      <c r="G178" s="8"/>
      <c r="H178" s="8"/>
      <c r="I178" s="8"/>
      <c r="J178" s="8"/>
      <c r="K178" s="8"/>
      <c r="L178" s="8"/>
      <c r="M178" s="8"/>
      <c r="N178" s="8"/>
      <c r="O178" s="8"/>
      <c r="P178" s="8"/>
      <c r="Q178" s="8"/>
      <c r="R178" s="8"/>
      <c r="S178" s="8"/>
      <c r="T178" s="8"/>
      <c r="U178" s="12"/>
      <c r="V178" s="12"/>
      <c r="W178" s="12"/>
      <c r="X178" s="12"/>
      <c r="Y178" s="12"/>
      <c r="Z178" s="12"/>
      <c r="AA178" s="12"/>
      <c r="AB178" s="12"/>
      <c r="AC178" s="12"/>
      <c r="AD178" s="12"/>
      <c r="AE178" s="12"/>
      <c r="AF178" s="12"/>
    </row>
    <row r="179" spans="1:32">
      <c r="A179" s="8"/>
      <c r="B179" s="8"/>
      <c r="C179" s="8"/>
      <c r="D179" s="8"/>
      <c r="E179" s="8"/>
      <c r="F179" s="8"/>
      <c r="G179" s="8"/>
      <c r="H179" s="8"/>
      <c r="I179" s="8"/>
      <c r="J179" s="8"/>
      <c r="K179" s="8"/>
      <c r="L179" s="8"/>
      <c r="M179" s="8"/>
      <c r="N179" s="8"/>
      <c r="O179" s="8"/>
      <c r="P179" s="8"/>
      <c r="Q179" s="8"/>
      <c r="R179" s="8"/>
      <c r="S179" s="8"/>
      <c r="T179" s="8"/>
      <c r="U179" s="12"/>
      <c r="V179" s="12"/>
      <c r="W179" s="12"/>
      <c r="X179" s="12"/>
      <c r="Y179" s="12"/>
      <c r="Z179" s="12"/>
      <c r="AA179" s="12"/>
      <c r="AB179" s="12"/>
      <c r="AC179" s="12"/>
      <c r="AD179" s="12"/>
      <c r="AE179" s="12"/>
      <c r="AF179" s="12"/>
    </row>
    <row r="180" spans="1:32">
      <c r="A180" s="8"/>
      <c r="B180" s="8"/>
      <c r="C180" s="8"/>
      <c r="D180" s="8"/>
      <c r="E180" s="8"/>
      <c r="F180" s="8"/>
      <c r="G180" s="8"/>
      <c r="H180" s="8"/>
      <c r="I180" s="8"/>
      <c r="J180" s="8"/>
      <c r="K180" s="8"/>
      <c r="L180" s="8"/>
      <c r="M180" s="8"/>
      <c r="N180" s="8"/>
      <c r="O180" s="8"/>
      <c r="P180" s="8"/>
      <c r="Q180" s="8"/>
      <c r="R180" s="8"/>
      <c r="S180" s="8"/>
      <c r="T180" s="8"/>
      <c r="U180" s="12"/>
      <c r="V180" s="12"/>
      <c r="W180" s="12"/>
      <c r="X180" s="12"/>
      <c r="Y180" s="12"/>
      <c r="Z180" s="12"/>
      <c r="AA180" s="12"/>
      <c r="AB180" s="12"/>
      <c r="AC180" s="12"/>
      <c r="AD180" s="12"/>
      <c r="AE180" s="12"/>
      <c r="AF180" s="12"/>
    </row>
    <row r="181" spans="1:32">
      <c r="A181" s="8"/>
      <c r="B181" s="8"/>
      <c r="C181" s="8"/>
      <c r="D181" s="8"/>
      <c r="E181" s="8"/>
      <c r="F181" s="8"/>
      <c r="G181" s="8"/>
      <c r="H181" s="8"/>
      <c r="I181" s="8"/>
      <c r="J181" s="8"/>
      <c r="K181" s="8"/>
      <c r="L181" s="8"/>
      <c r="M181" s="8"/>
      <c r="N181" s="8"/>
      <c r="O181" s="8"/>
      <c r="P181" s="8"/>
      <c r="Q181" s="8"/>
      <c r="R181" s="8"/>
      <c r="S181" s="8"/>
      <c r="T181" s="8"/>
      <c r="U181" s="12"/>
      <c r="V181" s="12"/>
      <c r="W181" s="12"/>
      <c r="X181" s="12"/>
      <c r="Y181" s="12"/>
      <c r="Z181" s="12"/>
      <c r="AA181" s="12"/>
      <c r="AB181" s="12"/>
      <c r="AC181" s="12"/>
      <c r="AD181" s="12"/>
      <c r="AE181" s="12"/>
      <c r="AF181" s="12"/>
    </row>
    <row r="182" spans="1:32">
      <c r="A182" s="8"/>
      <c r="B182" s="8"/>
      <c r="C182" s="8"/>
      <c r="D182" s="8"/>
      <c r="E182" s="8"/>
      <c r="F182" s="8"/>
      <c r="G182" s="8"/>
      <c r="H182" s="8"/>
      <c r="I182" s="8"/>
      <c r="J182" s="8"/>
      <c r="K182" s="8"/>
      <c r="L182" s="8"/>
      <c r="M182" s="8"/>
      <c r="N182" s="8"/>
      <c r="O182" s="8"/>
      <c r="P182" s="8"/>
      <c r="Q182" s="8"/>
      <c r="R182" s="8"/>
      <c r="S182" s="8"/>
      <c r="T182" s="8"/>
      <c r="U182" s="12"/>
      <c r="V182" s="12"/>
      <c r="W182" s="12"/>
      <c r="X182" s="12"/>
      <c r="Y182" s="12"/>
      <c r="Z182" s="12"/>
      <c r="AA182" s="12"/>
      <c r="AB182" s="12"/>
      <c r="AC182" s="12"/>
      <c r="AD182" s="12"/>
      <c r="AE182" s="12"/>
      <c r="AF182" s="12"/>
    </row>
    <row r="183" spans="1:32">
      <c r="A183" s="8"/>
      <c r="B183" s="8"/>
      <c r="C183" s="8"/>
      <c r="D183" s="8"/>
      <c r="E183" s="8"/>
      <c r="F183" s="8"/>
      <c r="G183" s="8"/>
      <c r="H183" s="8"/>
      <c r="I183" s="8"/>
      <c r="J183" s="8"/>
      <c r="K183" s="8"/>
      <c r="L183" s="8"/>
      <c r="M183" s="8"/>
      <c r="N183" s="8"/>
      <c r="O183" s="8"/>
      <c r="P183" s="8"/>
      <c r="Q183" s="8"/>
      <c r="R183" s="8"/>
      <c r="S183" s="8"/>
      <c r="T183" s="8"/>
      <c r="U183" s="12"/>
      <c r="V183" s="12"/>
      <c r="W183" s="12"/>
      <c r="X183" s="12"/>
      <c r="Y183" s="12"/>
      <c r="Z183" s="12"/>
      <c r="AA183" s="12"/>
      <c r="AB183" s="12"/>
      <c r="AC183" s="12"/>
      <c r="AD183" s="12"/>
      <c r="AE183" s="12"/>
      <c r="AF183" s="12"/>
    </row>
    <row r="184" spans="1:32">
      <c r="A184" s="8"/>
      <c r="B184" s="8"/>
      <c r="C184" s="8"/>
      <c r="D184" s="8"/>
      <c r="E184" s="8"/>
      <c r="F184" s="8"/>
      <c r="G184" s="8"/>
      <c r="H184" s="8"/>
      <c r="I184" s="8"/>
      <c r="J184" s="8"/>
      <c r="K184" s="8"/>
      <c r="L184" s="8"/>
      <c r="M184" s="8"/>
      <c r="N184" s="8"/>
      <c r="O184" s="8"/>
      <c r="P184" s="8"/>
      <c r="Q184" s="8"/>
      <c r="R184" s="8"/>
      <c r="S184" s="8"/>
      <c r="T184" s="8"/>
      <c r="U184" s="12"/>
      <c r="V184" s="12"/>
      <c r="W184" s="12"/>
      <c r="X184" s="12"/>
      <c r="Y184" s="12"/>
      <c r="Z184" s="12"/>
      <c r="AA184" s="12"/>
      <c r="AB184" s="12"/>
      <c r="AC184" s="12"/>
      <c r="AD184" s="12"/>
      <c r="AE184" s="12"/>
      <c r="AF184" s="12"/>
    </row>
    <row r="185" spans="1:32">
      <c r="A185" s="8"/>
      <c r="B185" s="8"/>
      <c r="C185" s="8"/>
      <c r="D185" s="8"/>
      <c r="E185" s="8"/>
      <c r="F185" s="8"/>
      <c r="G185" s="8"/>
      <c r="H185" s="8"/>
      <c r="I185" s="8"/>
      <c r="J185" s="8"/>
      <c r="K185" s="8"/>
      <c r="L185" s="8"/>
      <c r="M185" s="8"/>
      <c r="N185" s="8"/>
      <c r="O185" s="8"/>
      <c r="P185" s="8"/>
      <c r="Q185" s="8"/>
      <c r="R185" s="8"/>
      <c r="S185" s="8"/>
      <c r="T185" s="8"/>
      <c r="U185" s="12"/>
      <c r="V185" s="12"/>
      <c r="W185" s="12"/>
      <c r="X185" s="12"/>
      <c r="Y185" s="12"/>
      <c r="Z185" s="12"/>
      <c r="AA185" s="12"/>
      <c r="AB185" s="12"/>
      <c r="AC185" s="12"/>
      <c r="AD185" s="12"/>
      <c r="AE185" s="12"/>
      <c r="AF185" s="12"/>
    </row>
    <row r="186" spans="1:32">
      <c r="A186" s="8"/>
      <c r="B186" s="8"/>
      <c r="C186" s="8"/>
      <c r="D186" s="8"/>
      <c r="E186" s="8"/>
      <c r="F186" s="8"/>
      <c r="G186" s="8"/>
      <c r="H186" s="8"/>
      <c r="I186" s="8"/>
      <c r="J186" s="8"/>
      <c r="K186" s="8"/>
      <c r="L186" s="8"/>
      <c r="M186" s="8"/>
      <c r="N186" s="8"/>
      <c r="O186" s="8"/>
      <c r="P186" s="8"/>
      <c r="Q186" s="8"/>
      <c r="R186" s="8"/>
      <c r="S186" s="8"/>
      <c r="T186" s="8"/>
      <c r="U186" s="12"/>
      <c r="V186" s="12"/>
      <c r="W186" s="12"/>
      <c r="X186" s="12"/>
      <c r="Y186" s="12"/>
      <c r="Z186" s="12"/>
      <c r="AA186" s="12"/>
      <c r="AB186" s="12"/>
      <c r="AC186" s="12"/>
      <c r="AD186" s="12"/>
      <c r="AE186" s="12"/>
      <c r="AF186" s="12"/>
    </row>
    <row r="187" spans="1:32">
      <c r="A187" s="8"/>
      <c r="B187" s="8"/>
      <c r="C187" s="8"/>
      <c r="D187" s="8"/>
      <c r="E187" s="8"/>
      <c r="F187" s="8"/>
      <c r="G187" s="8"/>
      <c r="H187" s="8"/>
      <c r="I187" s="8"/>
      <c r="J187" s="8"/>
      <c r="K187" s="8"/>
      <c r="L187" s="8"/>
      <c r="M187" s="8"/>
      <c r="N187" s="8"/>
      <c r="O187" s="8"/>
      <c r="P187" s="8"/>
      <c r="Q187" s="8"/>
      <c r="R187" s="8"/>
      <c r="S187" s="8"/>
      <c r="T187" s="8"/>
      <c r="U187" s="12"/>
      <c r="V187" s="12"/>
      <c r="W187" s="12"/>
      <c r="X187" s="12"/>
      <c r="Y187" s="12"/>
      <c r="Z187" s="12"/>
      <c r="AA187" s="12"/>
      <c r="AB187" s="12"/>
      <c r="AC187" s="12"/>
      <c r="AD187" s="12"/>
      <c r="AE187" s="12"/>
      <c r="AF187" s="12"/>
    </row>
    <row r="188" spans="1:32">
      <c r="A188" s="8"/>
      <c r="B188" s="8"/>
      <c r="C188" s="8"/>
      <c r="D188" s="8"/>
      <c r="E188" s="8"/>
      <c r="F188" s="8"/>
      <c r="G188" s="8"/>
      <c r="H188" s="8"/>
      <c r="I188" s="8"/>
      <c r="J188" s="8"/>
      <c r="K188" s="8"/>
      <c r="L188" s="8"/>
      <c r="M188" s="8"/>
      <c r="N188" s="8"/>
      <c r="O188" s="8"/>
      <c r="P188" s="8"/>
      <c r="Q188" s="8"/>
      <c r="R188" s="8"/>
      <c r="S188" s="8"/>
      <c r="T188" s="8"/>
      <c r="U188" s="12"/>
      <c r="V188" s="12"/>
      <c r="W188" s="12"/>
      <c r="X188" s="12"/>
      <c r="Y188" s="12"/>
      <c r="Z188" s="12"/>
      <c r="AA188" s="12"/>
      <c r="AB188" s="12"/>
      <c r="AC188" s="12"/>
      <c r="AD188" s="12"/>
      <c r="AE188" s="12"/>
      <c r="AF188" s="12"/>
    </row>
    <row r="189" spans="1:32">
      <c r="A189" s="8"/>
      <c r="B189" s="8"/>
      <c r="C189" s="8"/>
      <c r="D189" s="8"/>
      <c r="E189" s="8"/>
      <c r="F189" s="8"/>
      <c r="G189" s="8"/>
      <c r="H189" s="8"/>
      <c r="I189" s="8"/>
      <c r="J189" s="8"/>
      <c r="K189" s="8"/>
      <c r="L189" s="8"/>
      <c r="M189" s="8"/>
      <c r="N189" s="8"/>
      <c r="O189" s="8"/>
      <c r="P189" s="8"/>
      <c r="Q189" s="8"/>
      <c r="R189" s="8"/>
      <c r="S189" s="8"/>
      <c r="T189" s="8"/>
      <c r="U189" s="12"/>
      <c r="V189" s="12"/>
      <c r="W189" s="12"/>
      <c r="X189" s="12"/>
      <c r="Y189" s="12"/>
      <c r="Z189" s="12"/>
      <c r="AA189" s="12"/>
      <c r="AB189" s="12"/>
      <c r="AC189" s="12"/>
      <c r="AD189" s="12"/>
      <c r="AE189" s="12"/>
      <c r="AF189" s="12"/>
    </row>
    <row r="190" spans="1:32">
      <c r="A190" s="8"/>
      <c r="B190" s="8"/>
      <c r="C190" s="8"/>
      <c r="D190" s="8"/>
      <c r="E190" s="8"/>
      <c r="F190" s="8"/>
      <c r="G190" s="8"/>
      <c r="H190" s="8"/>
      <c r="I190" s="8"/>
      <c r="J190" s="8"/>
      <c r="K190" s="8"/>
      <c r="L190" s="8"/>
      <c r="M190" s="8"/>
      <c r="N190" s="8"/>
      <c r="O190" s="8"/>
      <c r="P190" s="8"/>
      <c r="Q190" s="8"/>
      <c r="R190" s="8"/>
      <c r="S190" s="8"/>
      <c r="T190" s="8"/>
      <c r="U190" s="12"/>
      <c r="V190" s="12"/>
      <c r="W190" s="12"/>
      <c r="X190" s="12"/>
      <c r="Y190" s="12"/>
      <c r="Z190" s="12"/>
      <c r="AA190" s="12"/>
      <c r="AB190" s="12"/>
      <c r="AC190" s="12"/>
      <c r="AD190" s="12"/>
      <c r="AE190" s="12"/>
      <c r="AF190" s="12"/>
    </row>
    <row r="191" spans="1:32">
      <c r="A191" s="8"/>
      <c r="B191" s="8"/>
      <c r="C191" s="8"/>
      <c r="D191" s="8"/>
      <c r="E191" s="8"/>
      <c r="F191" s="8"/>
      <c r="G191" s="8"/>
      <c r="H191" s="8"/>
      <c r="I191" s="8"/>
      <c r="J191" s="8"/>
      <c r="K191" s="8"/>
      <c r="L191" s="8"/>
      <c r="M191" s="8"/>
      <c r="N191" s="8"/>
      <c r="O191" s="8"/>
      <c r="P191" s="8"/>
      <c r="Q191" s="8"/>
      <c r="R191" s="8"/>
      <c r="S191" s="8"/>
      <c r="T191" s="8"/>
      <c r="U191" s="12"/>
      <c r="V191" s="12"/>
      <c r="W191" s="12"/>
      <c r="X191" s="12"/>
      <c r="Y191" s="12"/>
      <c r="Z191" s="12"/>
      <c r="AA191" s="12"/>
      <c r="AB191" s="12"/>
      <c r="AC191" s="12"/>
      <c r="AD191" s="12"/>
      <c r="AE191" s="12"/>
      <c r="AF191" s="12"/>
    </row>
    <row r="192" spans="1:32">
      <c r="A192" s="8"/>
      <c r="B192" s="8"/>
      <c r="C192" s="8"/>
      <c r="D192" s="8"/>
      <c r="E192" s="8"/>
      <c r="F192" s="8"/>
      <c r="G192" s="8"/>
      <c r="H192" s="8"/>
      <c r="I192" s="8"/>
      <c r="J192" s="8"/>
      <c r="K192" s="8"/>
      <c r="L192" s="8"/>
      <c r="M192" s="8"/>
      <c r="N192" s="8"/>
      <c r="O192" s="8"/>
      <c r="P192" s="8"/>
      <c r="Q192" s="8"/>
      <c r="R192" s="8"/>
      <c r="S192" s="8"/>
      <c r="T192" s="8"/>
      <c r="U192" s="12"/>
      <c r="V192" s="12"/>
      <c r="W192" s="12"/>
      <c r="X192" s="12"/>
      <c r="Y192" s="12"/>
      <c r="Z192" s="12"/>
      <c r="AA192" s="12"/>
      <c r="AB192" s="12"/>
      <c r="AC192" s="12"/>
      <c r="AD192" s="12"/>
      <c r="AE192" s="12"/>
      <c r="AF192" s="12"/>
    </row>
    <row r="193" spans="1:32">
      <c r="A193" s="8"/>
      <c r="B193" s="8"/>
      <c r="C193" s="8"/>
      <c r="D193" s="8"/>
      <c r="E193" s="8"/>
      <c r="F193" s="8"/>
      <c r="G193" s="8"/>
      <c r="H193" s="8"/>
      <c r="I193" s="8"/>
      <c r="J193" s="8"/>
      <c r="K193" s="8"/>
      <c r="L193" s="8"/>
      <c r="M193" s="8"/>
      <c r="N193" s="8"/>
      <c r="O193" s="8"/>
      <c r="P193" s="8"/>
      <c r="Q193" s="8"/>
      <c r="R193" s="8"/>
      <c r="S193" s="8"/>
      <c r="T193" s="8"/>
      <c r="U193" s="12"/>
      <c r="V193" s="12"/>
      <c r="W193" s="12"/>
      <c r="X193" s="12"/>
      <c r="Y193" s="12"/>
      <c r="Z193" s="12"/>
      <c r="AA193" s="12"/>
      <c r="AB193" s="12"/>
      <c r="AC193" s="12"/>
      <c r="AD193" s="12"/>
      <c r="AE193" s="12"/>
      <c r="AF193" s="12"/>
    </row>
    <row r="194" spans="1:32">
      <c r="A194" s="8"/>
      <c r="B194" s="8"/>
      <c r="C194" s="8"/>
      <c r="D194" s="8"/>
      <c r="E194" s="8"/>
      <c r="F194" s="8"/>
      <c r="G194" s="8"/>
      <c r="H194" s="8"/>
      <c r="I194" s="8"/>
      <c r="J194" s="8"/>
      <c r="K194" s="8"/>
      <c r="L194" s="8"/>
      <c r="M194" s="8"/>
      <c r="N194" s="8"/>
      <c r="O194" s="8"/>
      <c r="P194" s="8"/>
      <c r="Q194" s="8"/>
      <c r="R194" s="8"/>
      <c r="S194" s="8"/>
      <c r="T194" s="8"/>
      <c r="U194" s="12"/>
      <c r="V194" s="12"/>
      <c r="W194" s="12"/>
      <c r="X194" s="12"/>
      <c r="Y194" s="12"/>
      <c r="Z194" s="12"/>
      <c r="AA194" s="12"/>
      <c r="AB194" s="12"/>
      <c r="AC194" s="12"/>
      <c r="AD194" s="12"/>
      <c r="AE194" s="12"/>
      <c r="AF194" s="12"/>
    </row>
    <row r="195" spans="1:32">
      <c r="A195" s="8"/>
      <c r="B195" s="8"/>
      <c r="C195" s="8"/>
      <c r="D195" s="8"/>
      <c r="E195" s="8"/>
      <c r="F195" s="8"/>
      <c r="G195" s="8"/>
      <c r="H195" s="8"/>
      <c r="I195" s="8"/>
      <c r="J195" s="8"/>
      <c r="K195" s="8"/>
      <c r="L195" s="8"/>
      <c r="M195" s="8"/>
      <c r="N195" s="8"/>
      <c r="O195" s="8"/>
      <c r="P195" s="8"/>
      <c r="Q195" s="8"/>
      <c r="R195" s="8"/>
      <c r="S195" s="8"/>
      <c r="T195" s="8"/>
      <c r="U195" s="12"/>
      <c r="V195" s="12"/>
      <c r="W195" s="12"/>
      <c r="X195" s="12"/>
      <c r="Y195" s="12"/>
      <c r="Z195" s="12"/>
      <c r="AA195" s="12"/>
      <c r="AB195" s="12"/>
      <c r="AC195" s="12"/>
      <c r="AD195" s="12"/>
      <c r="AE195" s="12"/>
      <c r="AF195" s="12"/>
    </row>
    <row r="196" spans="1:32">
      <c r="A196" s="8"/>
      <c r="B196" s="8"/>
      <c r="C196" s="8"/>
      <c r="D196" s="8"/>
      <c r="E196" s="8"/>
      <c r="F196" s="8"/>
      <c r="G196" s="8"/>
      <c r="H196" s="8"/>
      <c r="I196" s="8"/>
      <c r="J196" s="8"/>
      <c r="K196" s="8"/>
      <c r="L196" s="8"/>
      <c r="M196" s="8"/>
      <c r="N196" s="8"/>
      <c r="O196" s="8"/>
      <c r="P196" s="8"/>
      <c r="Q196" s="8"/>
      <c r="R196" s="8"/>
      <c r="S196" s="8"/>
      <c r="T196" s="8"/>
      <c r="U196" s="12"/>
      <c r="V196" s="12"/>
      <c r="W196" s="12"/>
      <c r="X196" s="12"/>
      <c r="Y196" s="12"/>
      <c r="Z196" s="12"/>
      <c r="AA196" s="12"/>
      <c r="AB196" s="12"/>
      <c r="AC196" s="12"/>
      <c r="AD196" s="12"/>
      <c r="AE196" s="12"/>
      <c r="AF196" s="12"/>
    </row>
    <row r="197" spans="1:32">
      <c r="A197" s="8"/>
      <c r="B197" s="8"/>
      <c r="C197" s="8"/>
      <c r="D197" s="8"/>
      <c r="E197" s="8"/>
      <c r="F197" s="8"/>
      <c r="G197" s="8"/>
      <c r="H197" s="8"/>
      <c r="I197" s="8"/>
      <c r="J197" s="8"/>
      <c r="K197" s="8"/>
      <c r="L197" s="8"/>
      <c r="M197" s="8"/>
      <c r="N197" s="8"/>
      <c r="O197" s="8"/>
      <c r="P197" s="8"/>
      <c r="Q197" s="8"/>
      <c r="R197" s="8"/>
      <c r="S197" s="8"/>
      <c r="T197" s="8"/>
      <c r="U197" s="12"/>
      <c r="V197" s="12"/>
      <c r="W197" s="12"/>
      <c r="X197" s="12"/>
      <c r="Y197" s="12"/>
      <c r="Z197" s="12"/>
      <c r="AA197" s="12"/>
      <c r="AB197" s="12"/>
      <c r="AC197" s="12"/>
      <c r="AD197" s="12"/>
      <c r="AE197" s="12"/>
      <c r="AF197" s="12"/>
    </row>
    <row r="198" spans="1:32">
      <c r="A198" s="8"/>
      <c r="B198" s="8"/>
      <c r="C198" s="8"/>
      <c r="D198" s="8"/>
      <c r="E198" s="8"/>
      <c r="F198" s="8"/>
      <c r="G198" s="8"/>
      <c r="H198" s="8"/>
      <c r="I198" s="8"/>
      <c r="J198" s="8"/>
      <c r="K198" s="8"/>
      <c r="L198" s="8"/>
      <c r="M198" s="8"/>
      <c r="N198" s="8"/>
      <c r="O198" s="8"/>
      <c r="P198" s="8"/>
      <c r="Q198" s="8"/>
      <c r="R198" s="8"/>
      <c r="S198" s="8"/>
      <c r="T198" s="8"/>
      <c r="U198" s="12"/>
      <c r="V198" s="12"/>
      <c r="W198" s="12"/>
      <c r="X198" s="12"/>
      <c r="Y198" s="12"/>
      <c r="Z198" s="12"/>
      <c r="AA198" s="12"/>
      <c r="AB198" s="12"/>
      <c r="AC198" s="12"/>
      <c r="AD198" s="12"/>
      <c r="AE198" s="12"/>
      <c r="AF198" s="12"/>
    </row>
    <row r="199" spans="1:32">
      <c r="A199" s="8"/>
      <c r="B199" s="8"/>
      <c r="C199" s="8"/>
      <c r="D199" s="8"/>
      <c r="E199" s="8"/>
      <c r="F199" s="8"/>
      <c r="G199" s="8"/>
      <c r="H199" s="8"/>
      <c r="I199" s="8"/>
      <c r="J199" s="8"/>
      <c r="K199" s="8"/>
      <c r="L199" s="8"/>
      <c r="M199" s="8"/>
      <c r="N199" s="8"/>
      <c r="O199" s="8"/>
      <c r="P199" s="8"/>
      <c r="Q199" s="8"/>
      <c r="R199" s="8"/>
      <c r="S199" s="8"/>
      <c r="T199" s="8"/>
      <c r="U199" s="12"/>
      <c r="V199" s="12"/>
      <c r="W199" s="12"/>
      <c r="X199" s="12"/>
      <c r="Y199" s="12"/>
      <c r="Z199" s="12"/>
      <c r="AA199" s="12"/>
      <c r="AB199" s="12"/>
      <c r="AC199" s="12"/>
      <c r="AD199" s="12"/>
      <c r="AE199" s="12"/>
      <c r="AF199" s="12"/>
    </row>
    <row r="200" spans="1:32">
      <c r="A200" s="8"/>
      <c r="B200" s="8"/>
      <c r="C200" s="8"/>
      <c r="D200" s="8"/>
      <c r="E200" s="8"/>
      <c r="F200" s="8"/>
      <c r="G200" s="8"/>
      <c r="H200" s="8"/>
      <c r="I200" s="8"/>
      <c r="J200" s="8"/>
      <c r="K200" s="8"/>
      <c r="L200" s="8"/>
      <c r="M200" s="8"/>
      <c r="N200" s="8"/>
      <c r="O200" s="8"/>
      <c r="P200" s="8"/>
      <c r="Q200" s="8"/>
      <c r="R200" s="8"/>
      <c r="S200" s="8"/>
      <c r="T200" s="8"/>
      <c r="U200" s="12"/>
      <c r="V200" s="12"/>
      <c r="W200" s="12"/>
      <c r="X200" s="12"/>
      <c r="Y200" s="12"/>
      <c r="Z200" s="12"/>
      <c r="AA200" s="12"/>
      <c r="AB200" s="12"/>
      <c r="AC200" s="12"/>
      <c r="AD200" s="12"/>
      <c r="AE200" s="12"/>
      <c r="AF200" s="12"/>
    </row>
    <row r="201" spans="1:32">
      <c r="A201" s="8"/>
      <c r="B201" s="8"/>
      <c r="C201" s="8"/>
      <c r="D201" s="8"/>
      <c r="E201" s="8"/>
      <c r="F201" s="8"/>
      <c r="G201" s="8"/>
      <c r="H201" s="8"/>
      <c r="I201" s="8"/>
      <c r="J201" s="8"/>
      <c r="K201" s="8"/>
      <c r="L201" s="8"/>
      <c r="M201" s="8"/>
      <c r="N201" s="8"/>
      <c r="O201" s="8"/>
      <c r="P201" s="8"/>
      <c r="Q201" s="8"/>
      <c r="R201" s="8"/>
      <c r="S201" s="8"/>
      <c r="T201" s="8"/>
      <c r="U201" s="12"/>
      <c r="V201" s="12"/>
      <c r="W201" s="12"/>
      <c r="X201" s="12"/>
      <c r="Y201" s="12"/>
      <c r="Z201" s="12"/>
      <c r="AA201" s="12"/>
      <c r="AB201" s="12"/>
      <c r="AC201" s="12"/>
      <c r="AD201" s="12"/>
      <c r="AE201" s="12"/>
      <c r="AF201" s="12"/>
    </row>
    <row r="202" spans="1:32">
      <c r="A202" s="8"/>
      <c r="B202" s="8"/>
      <c r="C202" s="8"/>
      <c r="D202" s="8"/>
      <c r="E202" s="8"/>
      <c r="F202" s="8"/>
      <c r="G202" s="8"/>
      <c r="H202" s="8"/>
      <c r="I202" s="8"/>
      <c r="J202" s="8"/>
      <c r="K202" s="8"/>
      <c r="L202" s="8"/>
      <c r="M202" s="8"/>
      <c r="N202" s="8"/>
      <c r="O202" s="8"/>
      <c r="P202" s="8"/>
      <c r="Q202" s="8"/>
      <c r="R202" s="8"/>
      <c r="S202" s="8"/>
      <c r="T202" s="8"/>
      <c r="U202" s="12"/>
      <c r="V202" s="12"/>
      <c r="W202" s="12"/>
      <c r="X202" s="12"/>
      <c r="Y202" s="12"/>
      <c r="Z202" s="12"/>
      <c r="AA202" s="12"/>
      <c r="AB202" s="12"/>
      <c r="AC202" s="12"/>
      <c r="AD202" s="12"/>
      <c r="AE202" s="12"/>
      <c r="AF202" s="12"/>
    </row>
    <row r="203" spans="1:32">
      <c r="A203" s="8"/>
      <c r="B203" s="8"/>
      <c r="C203" s="8"/>
      <c r="D203" s="8"/>
      <c r="E203" s="8"/>
      <c r="F203" s="8"/>
      <c r="G203" s="8"/>
      <c r="H203" s="8"/>
      <c r="I203" s="8"/>
      <c r="J203" s="8"/>
      <c r="K203" s="8"/>
      <c r="L203" s="8"/>
      <c r="M203" s="8"/>
      <c r="N203" s="8"/>
      <c r="O203" s="8"/>
      <c r="P203" s="8"/>
      <c r="Q203" s="8"/>
      <c r="R203" s="8"/>
      <c r="S203" s="8"/>
      <c r="T203" s="8"/>
      <c r="U203" s="12"/>
      <c r="V203" s="12"/>
      <c r="W203" s="12"/>
      <c r="X203" s="12"/>
      <c r="Y203" s="12"/>
      <c r="Z203" s="12"/>
      <c r="AA203" s="12"/>
      <c r="AB203" s="12"/>
      <c r="AC203" s="12"/>
      <c r="AD203" s="12"/>
      <c r="AE203" s="12"/>
      <c r="AF203" s="12"/>
    </row>
    <row r="204" spans="1:32">
      <c r="A204" s="8"/>
      <c r="B204" s="8"/>
      <c r="C204" s="8"/>
      <c r="D204" s="8"/>
      <c r="E204" s="8"/>
      <c r="F204" s="8"/>
      <c r="G204" s="8"/>
      <c r="H204" s="8"/>
      <c r="I204" s="8"/>
      <c r="J204" s="8"/>
      <c r="K204" s="8"/>
      <c r="L204" s="8"/>
      <c r="M204" s="8"/>
      <c r="N204" s="8"/>
      <c r="O204" s="8"/>
      <c r="P204" s="8"/>
      <c r="Q204" s="8"/>
      <c r="R204" s="8"/>
      <c r="S204" s="8"/>
      <c r="T204" s="8"/>
      <c r="U204" s="12"/>
      <c r="V204" s="12"/>
      <c r="W204" s="12"/>
      <c r="X204" s="12"/>
      <c r="Y204" s="12"/>
      <c r="Z204" s="12"/>
      <c r="AA204" s="12"/>
      <c r="AB204" s="12"/>
      <c r="AC204" s="12"/>
      <c r="AD204" s="12"/>
      <c r="AE204" s="12"/>
      <c r="AF204" s="12"/>
    </row>
    <row r="205" spans="1:32">
      <c r="A205" s="8"/>
      <c r="B205" s="8"/>
      <c r="C205" s="8"/>
      <c r="D205" s="8"/>
      <c r="E205" s="8"/>
      <c r="F205" s="8"/>
      <c r="G205" s="8"/>
      <c r="H205" s="8"/>
      <c r="I205" s="8"/>
      <c r="J205" s="8"/>
      <c r="K205" s="8"/>
      <c r="L205" s="8"/>
      <c r="M205" s="8"/>
      <c r="N205" s="8"/>
      <c r="O205" s="8"/>
      <c r="P205" s="8"/>
      <c r="Q205" s="8"/>
      <c r="R205" s="8"/>
      <c r="S205" s="8"/>
      <c r="T205" s="8"/>
      <c r="U205" s="12"/>
      <c r="V205" s="12"/>
      <c r="W205" s="12"/>
      <c r="X205" s="12"/>
      <c r="Y205" s="12"/>
      <c r="Z205" s="12"/>
      <c r="AA205" s="12"/>
      <c r="AB205" s="12"/>
      <c r="AC205" s="12"/>
      <c r="AD205" s="12"/>
      <c r="AE205" s="12"/>
      <c r="AF205" s="12"/>
    </row>
    <row r="206" spans="1:32">
      <c r="A206" s="8"/>
      <c r="B206" s="8"/>
      <c r="C206" s="8"/>
      <c r="D206" s="8"/>
      <c r="E206" s="8"/>
      <c r="F206" s="8"/>
      <c r="G206" s="8"/>
      <c r="H206" s="8"/>
      <c r="I206" s="8"/>
      <c r="J206" s="8"/>
      <c r="K206" s="8"/>
      <c r="L206" s="8"/>
      <c r="M206" s="8"/>
      <c r="N206" s="8"/>
      <c r="O206" s="8"/>
      <c r="P206" s="8"/>
      <c r="Q206" s="8"/>
      <c r="R206" s="8"/>
      <c r="S206" s="8"/>
      <c r="T206" s="8"/>
      <c r="U206" s="12"/>
      <c r="V206" s="12"/>
      <c r="W206" s="12"/>
      <c r="X206" s="12"/>
      <c r="Y206" s="12"/>
      <c r="Z206" s="12"/>
      <c r="AA206" s="12"/>
      <c r="AB206" s="12"/>
      <c r="AC206" s="12"/>
      <c r="AD206" s="12"/>
      <c r="AE206" s="12"/>
      <c r="AF206" s="12"/>
    </row>
    <row r="207" spans="1:32">
      <c r="A207" s="8"/>
      <c r="B207" s="8"/>
      <c r="C207" s="8"/>
      <c r="D207" s="8"/>
      <c r="E207" s="8"/>
      <c r="F207" s="8"/>
      <c r="G207" s="8"/>
      <c r="H207" s="8"/>
      <c r="I207" s="8"/>
      <c r="J207" s="8"/>
      <c r="K207" s="8"/>
      <c r="L207" s="8"/>
      <c r="M207" s="8"/>
      <c r="N207" s="8"/>
      <c r="O207" s="8"/>
      <c r="P207" s="8"/>
      <c r="Q207" s="8"/>
      <c r="R207" s="8"/>
      <c r="S207" s="8"/>
      <c r="T207" s="8"/>
      <c r="U207" s="12"/>
      <c r="V207" s="12"/>
      <c r="W207" s="12"/>
      <c r="X207" s="12"/>
      <c r="Y207" s="12"/>
      <c r="Z207" s="12"/>
      <c r="AA207" s="12"/>
      <c r="AB207" s="12"/>
      <c r="AC207" s="12"/>
      <c r="AD207" s="12"/>
      <c r="AE207" s="12"/>
      <c r="AF207" s="12"/>
    </row>
    <row r="208" spans="1:32">
      <c r="A208" s="8"/>
      <c r="B208" s="8"/>
      <c r="C208" s="8"/>
      <c r="D208" s="8"/>
      <c r="E208" s="8"/>
      <c r="F208" s="8"/>
      <c r="G208" s="8"/>
      <c r="H208" s="8"/>
      <c r="I208" s="8"/>
      <c r="J208" s="8"/>
      <c r="K208" s="8"/>
      <c r="L208" s="8"/>
      <c r="M208" s="8"/>
      <c r="N208" s="8"/>
      <c r="O208" s="8"/>
      <c r="P208" s="8"/>
      <c r="Q208" s="8"/>
      <c r="R208" s="8"/>
      <c r="S208" s="8"/>
      <c r="T208" s="8"/>
      <c r="U208" s="12"/>
      <c r="V208" s="12"/>
      <c r="W208" s="12"/>
      <c r="X208" s="12"/>
      <c r="Y208" s="12"/>
      <c r="Z208" s="12"/>
      <c r="AA208" s="12"/>
      <c r="AB208" s="12"/>
      <c r="AC208" s="12"/>
      <c r="AD208" s="12"/>
      <c r="AE208" s="12"/>
      <c r="AF208" s="12"/>
    </row>
    <row r="209" spans="1:32">
      <c r="A209" s="8"/>
      <c r="B209" s="8"/>
      <c r="C209" s="8"/>
      <c r="D209" s="8"/>
      <c r="E209" s="8"/>
      <c r="F209" s="8"/>
      <c r="G209" s="8"/>
      <c r="H209" s="8"/>
      <c r="I209" s="8"/>
      <c r="J209" s="8"/>
      <c r="K209" s="8"/>
      <c r="L209" s="8"/>
      <c r="M209" s="8"/>
      <c r="N209" s="8"/>
      <c r="O209" s="8"/>
      <c r="P209" s="8"/>
      <c r="Q209" s="8"/>
      <c r="R209" s="8"/>
      <c r="S209" s="8"/>
      <c r="T209" s="8"/>
      <c r="U209" s="12"/>
      <c r="V209" s="12"/>
      <c r="W209" s="12"/>
      <c r="X209" s="12"/>
      <c r="Y209" s="12"/>
      <c r="Z209" s="12"/>
      <c r="AA209" s="12"/>
      <c r="AB209" s="12"/>
      <c r="AC209" s="12"/>
      <c r="AD209" s="12"/>
      <c r="AE209" s="12"/>
      <c r="AF209" s="12"/>
    </row>
    <row r="210" spans="1:32">
      <c r="A210" s="8"/>
      <c r="B210" s="8"/>
      <c r="C210" s="8"/>
      <c r="D210" s="8"/>
      <c r="E210" s="8"/>
      <c r="F210" s="8"/>
      <c r="G210" s="8"/>
      <c r="H210" s="8"/>
      <c r="I210" s="8"/>
      <c r="J210" s="8"/>
      <c r="K210" s="8"/>
      <c r="L210" s="8"/>
      <c r="M210" s="8"/>
      <c r="N210" s="8"/>
      <c r="O210" s="8"/>
      <c r="P210" s="8"/>
      <c r="Q210" s="8"/>
      <c r="R210" s="8"/>
      <c r="S210" s="8"/>
      <c r="T210" s="8"/>
      <c r="U210" s="12"/>
      <c r="V210" s="12"/>
      <c r="W210" s="12"/>
      <c r="X210" s="12"/>
      <c r="Y210" s="12"/>
      <c r="Z210" s="12"/>
      <c r="AA210" s="12"/>
      <c r="AB210" s="12"/>
      <c r="AC210" s="12"/>
      <c r="AD210" s="12"/>
      <c r="AE210" s="12"/>
      <c r="AF210" s="12"/>
    </row>
    <row r="211" spans="1:32">
      <c r="A211" s="8"/>
      <c r="B211" s="8"/>
      <c r="C211" s="8"/>
      <c r="D211" s="8"/>
      <c r="E211" s="8"/>
      <c r="F211" s="8"/>
      <c r="G211" s="8"/>
      <c r="H211" s="8"/>
      <c r="I211" s="8"/>
      <c r="J211" s="8"/>
      <c r="K211" s="8"/>
      <c r="L211" s="8"/>
      <c r="M211" s="8"/>
      <c r="N211" s="8"/>
      <c r="O211" s="8"/>
      <c r="P211" s="8"/>
      <c r="Q211" s="8"/>
      <c r="R211" s="8"/>
      <c r="S211" s="8"/>
      <c r="T211" s="8"/>
      <c r="U211" s="12"/>
      <c r="V211" s="12"/>
      <c r="W211" s="12"/>
      <c r="X211" s="12"/>
      <c r="Y211" s="12"/>
      <c r="Z211" s="12"/>
      <c r="AA211" s="12"/>
      <c r="AB211" s="12"/>
      <c r="AC211" s="12"/>
      <c r="AD211" s="12"/>
      <c r="AE211" s="12"/>
      <c r="AF211" s="12"/>
    </row>
    <row r="212" spans="1:32">
      <c r="A212" s="8"/>
      <c r="B212" s="8"/>
      <c r="C212" s="8"/>
      <c r="D212" s="8"/>
      <c r="E212" s="8"/>
      <c r="F212" s="8"/>
      <c r="G212" s="8"/>
      <c r="H212" s="8"/>
      <c r="I212" s="8"/>
      <c r="J212" s="8"/>
      <c r="K212" s="8"/>
      <c r="L212" s="8"/>
      <c r="M212" s="8"/>
      <c r="N212" s="8"/>
      <c r="O212" s="8"/>
      <c r="P212" s="8"/>
      <c r="Q212" s="8"/>
      <c r="R212" s="8"/>
      <c r="S212" s="8"/>
      <c r="T212" s="8"/>
      <c r="U212" s="12"/>
      <c r="V212" s="12"/>
      <c r="W212" s="12"/>
      <c r="X212" s="12"/>
      <c r="Y212" s="12"/>
      <c r="Z212" s="12"/>
      <c r="AA212" s="12"/>
      <c r="AB212" s="12"/>
      <c r="AC212" s="12"/>
      <c r="AD212" s="12"/>
      <c r="AE212" s="12"/>
      <c r="AF212" s="12"/>
    </row>
    <row r="213" spans="1:32">
      <c r="A213" s="8"/>
      <c r="B213" s="8"/>
      <c r="C213" s="8"/>
      <c r="D213" s="8"/>
      <c r="E213" s="8"/>
      <c r="F213" s="8"/>
      <c r="G213" s="8"/>
      <c r="H213" s="8"/>
      <c r="I213" s="8"/>
      <c r="J213" s="8"/>
      <c r="K213" s="8"/>
      <c r="L213" s="8"/>
      <c r="M213" s="8"/>
      <c r="N213" s="8"/>
      <c r="O213" s="8"/>
      <c r="P213" s="8"/>
      <c r="Q213" s="8"/>
      <c r="R213" s="8"/>
      <c r="S213" s="8"/>
      <c r="T213" s="8"/>
      <c r="U213" s="12"/>
      <c r="V213" s="12"/>
      <c r="W213" s="12"/>
      <c r="X213" s="12"/>
      <c r="Y213" s="12"/>
      <c r="Z213" s="12"/>
      <c r="AA213" s="12"/>
      <c r="AB213" s="12"/>
      <c r="AC213" s="12"/>
      <c r="AD213" s="12"/>
      <c r="AE213" s="12"/>
      <c r="AF213" s="12"/>
    </row>
    <row r="214" spans="1:32">
      <c r="A214" s="8"/>
      <c r="B214" s="8"/>
      <c r="C214" s="8"/>
      <c r="D214" s="8"/>
      <c r="E214" s="8"/>
      <c r="F214" s="8"/>
      <c r="G214" s="8"/>
      <c r="H214" s="8"/>
      <c r="I214" s="8"/>
      <c r="J214" s="8"/>
      <c r="K214" s="8"/>
      <c r="L214" s="8"/>
      <c r="M214" s="8"/>
      <c r="N214" s="8"/>
      <c r="O214" s="8"/>
      <c r="P214" s="8"/>
      <c r="Q214" s="8"/>
      <c r="R214" s="8"/>
      <c r="S214" s="8"/>
      <c r="T214" s="8"/>
      <c r="U214" s="12"/>
      <c r="V214" s="12"/>
      <c r="W214" s="12"/>
      <c r="X214" s="12"/>
      <c r="Y214" s="12"/>
      <c r="Z214" s="12"/>
      <c r="AA214" s="12"/>
      <c r="AB214" s="12"/>
      <c r="AC214" s="12"/>
      <c r="AD214" s="12"/>
      <c r="AE214" s="12"/>
      <c r="AF214" s="12"/>
    </row>
    <row r="215" spans="1:32">
      <c r="A215" s="8"/>
      <c r="B215" s="8"/>
      <c r="C215" s="8"/>
      <c r="D215" s="8"/>
      <c r="E215" s="8"/>
      <c r="F215" s="8"/>
      <c r="G215" s="8"/>
      <c r="H215" s="8"/>
      <c r="I215" s="8"/>
      <c r="J215" s="8"/>
      <c r="K215" s="8"/>
      <c r="L215" s="8"/>
      <c r="M215" s="8"/>
      <c r="N215" s="8"/>
      <c r="O215" s="8"/>
      <c r="P215" s="8"/>
      <c r="Q215" s="8"/>
      <c r="R215" s="8"/>
      <c r="S215" s="8"/>
      <c r="T215" s="8"/>
      <c r="U215" s="12"/>
      <c r="V215" s="12"/>
      <c r="W215" s="12"/>
      <c r="X215" s="12"/>
      <c r="Y215" s="12"/>
      <c r="Z215" s="12"/>
      <c r="AA215" s="12"/>
      <c r="AB215" s="12"/>
      <c r="AC215" s="12"/>
      <c r="AD215" s="12"/>
      <c r="AE215" s="12"/>
      <c r="AF215" s="12"/>
    </row>
    <row r="216" spans="1:32">
      <c r="A216" s="8"/>
      <c r="B216" s="8"/>
      <c r="C216" s="8"/>
      <c r="D216" s="8"/>
      <c r="E216" s="8"/>
      <c r="F216" s="8"/>
      <c r="G216" s="8"/>
      <c r="H216" s="8"/>
      <c r="I216" s="8"/>
      <c r="J216" s="8"/>
      <c r="K216" s="8"/>
      <c r="L216" s="8"/>
      <c r="M216" s="8"/>
      <c r="N216" s="8"/>
      <c r="O216" s="8"/>
      <c r="P216" s="8"/>
      <c r="Q216" s="8"/>
      <c r="R216" s="8"/>
      <c r="S216" s="8"/>
      <c r="T216" s="8"/>
      <c r="U216" s="12"/>
      <c r="V216" s="12"/>
      <c r="W216" s="12"/>
      <c r="X216" s="12"/>
      <c r="Y216" s="12"/>
      <c r="Z216" s="12"/>
      <c r="AA216" s="12"/>
      <c r="AB216" s="12"/>
      <c r="AC216" s="12"/>
      <c r="AD216" s="12"/>
      <c r="AE216" s="12"/>
      <c r="AF216" s="12"/>
    </row>
    <row r="217" spans="1:32">
      <c r="A217" s="8"/>
      <c r="B217" s="8"/>
      <c r="C217" s="8"/>
      <c r="D217" s="8"/>
      <c r="E217" s="8"/>
      <c r="F217" s="8"/>
      <c r="G217" s="8"/>
      <c r="H217" s="8"/>
      <c r="I217" s="8"/>
      <c r="J217" s="8"/>
      <c r="K217" s="8"/>
      <c r="L217" s="8"/>
      <c r="M217" s="8"/>
      <c r="N217" s="8"/>
      <c r="O217" s="8"/>
      <c r="P217" s="8"/>
      <c r="Q217" s="8"/>
      <c r="R217" s="8"/>
      <c r="S217" s="8"/>
      <c r="T217" s="8"/>
      <c r="U217" s="12"/>
      <c r="V217" s="12"/>
      <c r="W217" s="12"/>
      <c r="X217" s="12"/>
      <c r="Y217" s="12"/>
      <c r="Z217" s="12"/>
      <c r="AA217" s="12"/>
      <c r="AB217" s="12"/>
      <c r="AC217" s="12"/>
      <c r="AD217" s="12"/>
      <c r="AE217" s="12"/>
      <c r="AF217" s="12"/>
    </row>
    <row r="218" spans="1:32">
      <c r="A218" s="8"/>
      <c r="B218" s="8"/>
      <c r="C218" s="8"/>
      <c r="D218" s="8"/>
      <c r="E218" s="8"/>
      <c r="F218" s="8"/>
      <c r="G218" s="8"/>
      <c r="H218" s="8"/>
      <c r="I218" s="8"/>
      <c r="J218" s="8"/>
      <c r="K218" s="8"/>
      <c r="L218" s="8"/>
      <c r="M218" s="8"/>
      <c r="N218" s="8"/>
      <c r="O218" s="8"/>
      <c r="P218" s="8"/>
      <c r="Q218" s="8"/>
      <c r="R218" s="8"/>
      <c r="S218" s="8"/>
      <c r="T218" s="8"/>
      <c r="U218" s="12"/>
      <c r="V218" s="12"/>
      <c r="W218" s="12"/>
      <c r="X218" s="12"/>
      <c r="Y218" s="12"/>
      <c r="Z218" s="12"/>
      <c r="AA218" s="12"/>
      <c r="AB218" s="12"/>
      <c r="AC218" s="12"/>
      <c r="AD218" s="12"/>
      <c r="AE218" s="12"/>
      <c r="AF218" s="12"/>
    </row>
    <row r="219" spans="1:32">
      <c r="A219" s="8"/>
      <c r="B219" s="8"/>
      <c r="C219" s="8"/>
      <c r="D219" s="8"/>
      <c r="E219" s="8"/>
      <c r="F219" s="8"/>
      <c r="G219" s="8"/>
      <c r="H219" s="8"/>
      <c r="I219" s="8"/>
      <c r="J219" s="8"/>
      <c r="K219" s="8"/>
      <c r="L219" s="8"/>
      <c r="M219" s="8"/>
      <c r="N219" s="8"/>
      <c r="O219" s="8"/>
      <c r="P219" s="8"/>
      <c r="Q219" s="8"/>
      <c r="R219" s="8"/>
      <c r="S219" s="8"/>
      <c r="T219" s="8"/>
      <c r="U219" s="12"/>
      <c r="V219" s="12"/>
      <c r="W219" s="12"/>
      <c r="X219" s="12"/>
      <c r="Y219" s="12"/>
      <c r="Z219" s="12"/>
      <c r="AA219" s="12"/>
      <c r="AB219" s="12"/>
      <c r="AC219" s="12"/>
      <c r="AD219" s="12"/>
      <c r="AE219" s="12"/>
      <c r="AF219" s="12"/>
    </row>
    <row r="220" spans="1:32">
      <c r="A220" s="8"/>
      <c r="B220" s="8"/>
      <c r="C220" s="8"/>
      <c r="D220" s="8"/>
      <c r="E220" s="8"/>
      <c r="F220" s="8"/>
      <c r="G220" s="8"/>
      <c r="H220" s="8"/>
      <c r="I220" s="8"/>
      <c r="J220" s="8"/>
      <c r="K220" s="8"/>
      <c r="L220" s="8"/>
      <c r="M220" s="8"/>
      <c r="N220" s="8"/>
      <c r="O220" s="8"/>
      <c r="P220" s="8"/>
      <c r="Q220" s="8"/>
      <c r="R220" s="8"/>
      <c r="S220" s="8"/>
      <c r="T220" s="8"/>
      <c r="U220" s="12"/>
      <c r="V220" s="12"/>
      <c r="W220" s="12"/>
      <c r="X220" s="12"/>
      <c r="Y220" s="12"/>
      <c r="Z220" s="12"/>
      <c r="AA220" s="12"/>
      <c r="AB220" s="12"/>
      <c r="AC220" s="12"/>
      <c r="AD220" s="12"/>
      <c r="AE220" s="12"/>
      <c r="AF220" s="12"/>
    </row>
    <row r="221" spans="1:32">
      <c r="A221" s="8"/>
      <c r="B221" s="8"/>
      <c r="C221" s="8"/>
      <c r="D221" s="8"/>
      <c r="E221" s="8"/>
      <c r="F221" s="8"/>
      <c r="G221" s="8"/>
      <c r="H221" s="8"/>
      <c r="I221" s="8"/>
      <c r="J221" s="8"/>
      <c r="K221" s="8"/>
      <c r="L221" s="8"/>
      <c r="M221" s="8"/>
      <c r="N221" s="8"/>
      <c r="O221" s="8"/>
      <c r="P221" s="8"/>
      <c r="Q221" s="8"/>
      <c r="R221" s="8"/>
      <c r="S221" s="8"/>
      <c r="T221" s="8"/>
      <c r="U221" s="12"/>
      <c r="V221" s="12"/>
      <c r="W221" s="12"/>
      <c r="X221" s="12"/>
      <c r="Y221" s="12"/>
      <c r="Z221" s="12"/>
      <c r="AA221" s="12"/>
      <c r="AB221" s="12"/>
      <c r="AC221" s="12"/>
      <c r="AD221" s="12"/>
      <c r="AE221" s="12"/>
      <c r="AF221" s="12"/>
    </row>
    <row r="222" spans="1:32">
      <c r="A222" s="8"/>
      <c r="B222" s="8"/>
      <c r="C222" s="8"/>
      <c r="D222" s="8"/>
      <c r="E222" s="8"/>
      <c r="F222" s="8"/>
      <c r="G222" s="8"/>
      <c r="H222" s="8"/>
      <c r="I222" s="8"/>
      <c r="J222" s="8"/>
      <c r="K222" s="8"/>
      <c r="L222" s="8"/>
      <c r="M222" s="8"/>
      <c r="N222" s="8"/>
      <c r="O222" s="8"/>
      <c r="P222" s="8"/>
      <c r="Q222" s="8"/>
      <c r="R222" s="8"/>
      <c r="S222" s="8"/>
      <c r="T222" s="8"/>
      <c r="U222" s="12"/>
      <c r="V222" s="12"/>
      <c r="W222" s="12"/>
      <c r="X222" s="12"/>
      <c r="Y222" s="12"/>
      <c r="Z222" s="12"/>
      <c r="AA222" s="12"/>
      <c r="AB222" s="12"/>
      <c r="AC222" s="12"/>
      <c r="AD222" s="12"/>
      <c r="AE222" s="12"/>
      <c r="AF222" s="12"/>
    </row>
    <row r="223" spans="1:32">
      <c r="A223" s="8"/>
      <c r="B223" s="8"/>
      <c r="C223" s="8"/>
      <c r="D223" s="8"/>
      <c r="E223" s="8"/>
      <c r="F223" s="8"/>
      <c r="G223" s="8"/>
      <c r="H223" s="8"/>
      <c r="I223" s="8"/>
      <c r="J223" s="8"/>
      <c r="K223" s="8"/>
      <c r="L223" s="8"/>
      <c r="M223" s="8"/>
      <c r="N223" s="8"/>
      <c r="O223" s="8"/>
      <c r="P223" s="8"/>
      <c r="Q223" s="8"/>
      <c r="R223" s="8"/>
      <c r="S223" s="8"/>
      <c r="T223" s="8"/>
      <c r="U223" s="12"/>
      <c r="V223" s="12"/>
      <c r="W223" s="12"/>
      <c r="X223" s="12"/>
      <c r="Y223" s="12"/>
      <c r="Z223" s="12"/>
      <c r="AA223" s="12"/>
      <c r="AB223" s="12"/>
      <c r="AC223" s="12"/>
      <c r="AD223" s="12"/>
      <c r="AE223" s="12"/>
      <c r="AF223" s="12"/>
    </row>
    <row r="224" spans="1:32">
      <c r="A224" s="8"/>
      <c r="B224" s="8"/>
      <c r="C224" s="8"/>
      <c r="D224" s="8"/>
      <c r="E224" s="8"/>
      <c r="F224" s="8"/>
      <c r="G224" s="8"/>
      <c r="H224" s="8"/>
      <c r="I224" s="8"/>
      <c r="J224" s="8"/>
      <c r="K224" s="8"/>
      <c r="L224" s="8"/>
      <c r="M224" s="8"/>
      <c r="N224" s="8"/>
      <c r="O224" s="8"/>
      <c r="P224" s="8"/>
      <c r="Q224" s="8"/>
      <c r="R224" s="8"/>
      <c r="S224" s="8"/>
      <c r="T224" s="8"/>
      <c r="U224" s="12"/>
      <c r="V224" s="12"/>
      <c r="W224" s="12"/>
      <c r="X224" s="12"/>
      <c r="Y224" s="12"/>
      <c r="Z224" s="12"/>
      <c r="AA224" s="12"/>
      <c r="AB224" s="12"/>
      <c r="AC224" s="12"/>
      <c r="AD224" s="12"/>
      <c r="AE224" s="12"/>
      <c r="AF224" s="12"/>
    </row>
    <row r="225" spans="1:32">
      <c r="A225" s="8"/>
      <c r="B225" s="8"/>
      <c r="C225" s="8"/>
      <c r="D225" s="8"/>
      <c r="E225" s="8"/>
      <c r="F225" s="8"/>
      <c r="G225" s="8"/>
      <c r="H225" s="8"/>
      <c r="I225" s="8"/>
      <c r="J225" s="8"/>
      <c r="K225" s="8"/>
      <c r="L225" s="8"/>
      <c r="M225" s="8"/>
      <c r="N225" s="8"/>
      <c r="O225" s="8"/>
      <c r="P225" s="8"/>
      <c r="Q225" s="8"/>
      <c r="R225" s="8"/>
      <c r="S225" s="8"/>
      <c r="T225" s="8"/>
      <c r="U225" s="12"/>
      <c r="V225" s="12"/>
      <c r="W225" s="12"/>
      <c r="X225" s="12"/>
      <c r="Y225" s="12"/>
      <c r="Z225" s="12"/>
      <c r="AA225" s="12"/>
      <c r="AB225" s="12"/>
      <c r="AC225" s="12"/>
      <c r="AD225" s="12"/>
      <c r="AE225" s="12"/>
      <c r="AF225" s="12"/>
    </row>
    <row r="226" spans="1:32">
      <c r="A226" s="8"/>
      <c r="B226" s="8"/>
      <c r="C226" s="8"/>
      <c r="D226" s="8"/>
      <c r="E226" s="8"/>
      <c r="F226" s="8"/>
      <c r="G226" s="8"/>
      <c r="H226" s="8"/>
      <c r="I226" s="8"/>
      <c r="J226" s="8"/>
      <c r="K226" s="8"/>
      <c r="L226" s="8"/>
      <c r="M226" s="8"/>
      <c r="N226" s="8"/>
      <c r="O226" s="8"/>
      <c r="P226" s="8"/>
      <c r="Q226" s="8"/>
      <c r="R226" s="8"/>
      <c r="S226" s="8"/>
      <c r="T226" s="8"/>
      <c r="U226" s="12"/>
      <c r="V226" s="12"/>
      <c r="W226" s="12"/>
      <c r="X226" s="12"/>
      <c r="Y226" s="12"/>
      <c r="Z226" s="12"/>
      <c r="AA226" s="12"/>
      <c r="AB226" s="12"/>
      <c r="AC226" s="12"/>
      <c r="AD226" s="12"/>
      <c r="AE226" s="12"/>
      <c r="AF226" s="12"/>
    </row>
    <row r="227" spans="1:32">
      <c r="A227" s="8"/>
      <c r="B227" s="8"/>
      <c r="C227" s="8"/>
      <c r="D227" s="8"/>
      <c r="E227" s="8"/>
      <c r="F227" s="8"/>
      <c r="G227" s="8"/>
      <c r="H227" s="8"/>
      <c r="I227" s="8"/>
      <c r="J227" s="8"/>
      <c r="K227" s="8"/>
      <c r="L227" s="8"/>
      <c r="M227" s="8"/>
      <c r="N227" s="8"/>
      <c r="O227" s="8"/>
      <c r="P227" s="8"/>
      <c r="Q227" s="8"/>
      <c r="R227" s="8"/>
      <c r="S227" s="8"/>
      <c r="T227" s="8"/>
      <c r="U227" s="12"/>
      <c r="V227" s="12"/>
      <c r="W227" s="12"/>
      <c r="X227" s="12"/>
      <c r="Y227" s="12"/>
      <c r="Z227" s="12"/>
      <c r="AA227" s="12"/>
      <c r="AB227" s="12"/>
      <c r="AC227" s="12"/>
      <c r="AD227" s="12"/>
      <c r="AE227" s="12"/>
      <c r="AF227" s="12"/>
    </row>
    <row r="228" spans="1:32">
      <c r="A228" s="8"/>
      <c r="B228" s="8"/>
      <c r="C228" s="8"/>
      <c r="D228" s="8"/>
      <c r="E228" s="8"/>
      <c r="F228" s="8"/>
      <c r="G228" s="8"/>
      <c r="H228" s="8"/>
      <c r="I228" s="8"/>
      <c r="J228" s="8"/>
      <c r="K228" s="8"/>
      <c r="L228" s="8"/>
      <c r="M228" s="8"/>
      <c r="N228" s="8"/>
      <c r="O228" s="8"/>
      <c r="P228" s="8"/>
      <c r="Q228" s="8"/>
      <c r="R228" s="8"/>
      <c r="S228" s="8"/>
      <c r="T228" s="8"/>
      <c r="U228" s="12"/>
      <c r="V228" s="12"/>
      <c r="W228" s="12"/>
      <c r="X228" s="12"/>
      <c r="Y228" s="12"/>
      <c r="Z228" s="12"/>
      <c r="AA228" s="12"/>
      <c r="AB228" s="12"/>
      <c r="AC228" s="12"/>
      <c r="AD228" s="12"/>
      <c r="AE228" s="12"/>
      <c r="AF228" s="12"/>
    </row>
    <row r="229" spans="1:32">
      <c r="A229" s="8"/>
      <c r="B229" s="8"/>
      <c r="C229" s="8"/>
      <c r="D229" s="8"/>
      <c r="E229" s="8"/>
      <c r="F229" s="8"/>
      <c r="G229" s="8"/>
      <c r="H229" s="8"/>
      <c r="I229" s="8"/>
      <c r="J229" s="8"/>
      <c r="K229" s="8"/>
      <c r="L229" s="8"/>
      <c r="M229" s="8"/>
      <c r="N229" s="8"/>
      <c r="O229" s="8"/>
      <c r="P229" s="8"/>
      <c r="Q229" s="8"/>
      <c r="R229" s="8"/>
      <c r="S229" s="8"/>
      <c r="T229" s="8"/>
      <c r="U229" s="12"/>
      <c r="V229" s="12"/>
      <c r="W229" s="12"/>
      <c r="X229" s="12"/>
      <c r="Y229" s="12"/>
      <c r="Z229" s="12"/>
      <c r="AA229" s="12"/>
      <c r="AB229" s="12"/>
      <c r="AC229" s="12"/>
      <c r="AD229" s="12"/>
      <c r="AE229" s="12"/>
      <c r="AF229" s="12"/>
    </row>
    <row r="230" spans="1:32">
      <c r="A230" s="8"/>
      <c r="B230" s="8"/>
      <c r="C230" s="8"/>
      <c r="D230" s="8"/>
      <c r="E230" s="8"/>
      <c r="F230" s="8"/>
      <c r="G230" s="8"/>
      <c r="H230" s="8"/>
      <c r="I230" s="8"/>
      <c r="J230" s="8"/>
      <c r="K230" s="8"/>
      <c r="L230" s="8"/>
      <c r="M230" s="8"/>
      <c r="N230" s="8"/>
      <c r="O230" s="8"/>
      <c r="P230" s="8"/>
      <c r="Q230" s="8"/>
      <c r="R230" s="8"/>
      <c r="S230" s="8"/>
      <c r="T230" s="8"/>
      <c r="U230" s="12"/>
      <c r="V230" s="12"/>
      <c r="W230" s="12"/>
      <c r="X230" s="12"/>
      <c r="Y230" s="12"/>
      <c r="Z230" s="12"/>
      <c r="AA230" s="12"/>
      <c r="AB230" s="12"/>
      <c r="AC230" s="12"/>
      <c r="AD230" s="12"/>
      <c r="AE230" s="12"/>
      <c r="AF230" s="12"/>
    </row>
    <row r="231" spans="1:32">
      <c r="A231" s="8"/>
      <c r="B231" s="8"/>
      <c r="C231" s="8"/>
      <c r="D231" s="8"/>
      <c r="E231" s="8"/>
      <c r="F231" s="8"/>
      <c r="G231" s="8"/>
      <c r="H231" s="8"/>
      <c r="I231" s="8"/>
      <c r="J231" s="8"/>
      <c r="K231" s="8"/>
      <c r="L231" s="8"/>
      <c r="M231" s="8"/>
      <c r="N231" s="8"/>
      <c r="O231" s="8"/>
      <c r="P231" s="8"/>
      <c r="Q231" s="8"/>
      <c r="R231" s="8"/>
      <c r="S231" s="8"/>
      <c r="T231" s="8"/>
      <c r="U231" s="12"/>
      <c r="V231" s="12"/>
      <c r="W231" s="12"/>
      <c r="X231" s="12"/>
      <c r="Y231" s="12"/>
      <c r="Z231" s="12"/>
      <c r="AA231" s="12"/>
      <c r="AB231" s="12"/>
      <c r="AC231" s="12"/>
      <c r="AD231" s="12"/>
      <c r="AE231" s="12"/>
      <c r="AF231" s="12"/>
    </row>
    <row r="232" spans="1:32">
      <c r="A232" s="8"/>
      <c r="B232" s="8"/>
      <c r="C232" s="8"/>
      <c r="D232" s="8"/>
      <c r="E232" s="8"/>
      <c r="F232" s="8"/>
      <c r="G232" s="8"/>
      <c r="H232" s="8"/>
      <c r="I232" s="8"/>
      <c r="J232" s="8"/>
      <c r="K232" s="8"/>
      <c r="L232" s="8"/>
      <c r="M232" s="8"/>
      <c r="N232" s="8"/>
      <c r="O232" s="8"/>
      <c r="P232" s="8"/>
      <c r="Q232" s="8"/>
      <c r="R232" s="8"/>
      <c r="S232" s="8"/>
      <c r="T232" s="8"/>
      <c r="U232" s="12"/>
      <c r="V232" s="12"/>
      <c r="W232" s="12"/>
      <c r="X232" s="12"/>
      <c r="Y232" s="12"/>
      <c r="Z232" s="12"/>
      <c r="AA232" s="12"/>
      <c r="AB232" s="12"/>
      <c r="AC232" s="12"/>
      <c r="AD232" s="12"/>
      <c r="AE232" s="12"/>
      <c r="AF232" s="12"/>
    </row>
    <row r="233" spans="1:32">
      <c r="A233" s="8"/>
      <c r="B233" s="8"/>
      <c r="C233" s="8"/>
      <c r="D233" s="8"/>
      <c r="E233" s="8"/>
      <c r="F233" s="8"/>
      <c r="G233" s="8"/>
      <c r="H233" s="8"/>
      <c r="I233" s="8"/>
      <c r="J233" s="8"/>
      <c r="K233" s="8"/>
      <c r="L233" s="8"/>
      <c r="M233" s="8"/>
      <c r="N233" s="8"/>
      <c r="O233" s="8"/>
      <c r="P233" s="8"/>
      <c r="Q233" s="8"/>
      <c r="R233" s="8"/>
      <c r="S233" s="8"/>
      <c r="T233" s="8"/>
      <c r="U233" s="12"/>
      <c r="V233" s="12"/>
      <c r="W233" s="12"/>
      <c r="X233" s="12"/>
      <c r="Y233" s="12"/>
      <c r="Z233" s="12"/>
      <c r="AA233" s="12"/>
      <c r="AB233" s="12"/>
      <c r="AC233" s="12"/>
      <c r="AD233" s="12"/>
      <c r="AE233" s="12"/>
      <c r="AF233" s="12"/>
    </row>
    <row r="234" spans="1:32">
      <c r="A234" s="8"/>
      <c r="B234" s="8"/>
      <c r="C234" s="8"/>
      <c r="D234" s="8"/>
      <c r="E234" s="8"/>
      <c r="F234" s="8"/>
      <c r="G234" s="8"/>
      <c r="H234" s="8"/>
      <c r="I234" s="8"/>
      <c r="J234" s="8"/>
      <c r="K234" s="8"/>
      <c r="L234" s="8"/>
      <c r="M234" s="8"/>
      <c r="N234" s="8"/>
      <c r="O234" s="8"/>
      <c r="P234" s="8"/>
      <c r="Q234" s="8"/>
      <c r="R234" s="8"/>
      <c r="S234" s="8"/>
      <c r="T234" s="8"/>
      <c r="U234" s="12"/>
      <c r="V234" s="12"/>
      <c r="W234" s="12"/>
      <c r="X234" s="12"/>
      <c r="Y234" s="12"/>
      <c r="Z234" s="12"/>
      <c r="AA234" s="12"/>
      <c r="AB234" s="12"/>
      <c r="AC234" s="12"/>
      <c r="AD234" s="12"/>
      <c r="AE234" s="12"/>
      <c r="AF234" s="12"/>
    </row>
    <row r="235" spans="1:32">
      <c r="A235" s="8"/>
      <c r="B235" s="8"/>
      <c r="C235" s="8"/>
      <c r="D235" s="8"/>
      <c r="E235" s="8"/>
      <c r="F235" s="8"/>
      <c r="G235" s="8"/>
      <c r="H235" s="8"/>
      <c r="I235" s="8"/>
      <c r="J235" s="8"/>
      <c r="K235" s="8"/>
      <c r="L235" s="8"/>
      <c r="M235" s="8"/>
      <c r="N235" s="8"/>
      <c r="O235" s="8"/>
      <c r="P235" s="8"/>
      <c r="Q235" s="8"/>
      <c r="R235" s="8"/>
      <c r="S235" s="8"/>
      <c r="T235" s="8"/>
      <c r="U235" s="12"/>
      <c r="V235" s="12"/>
      <c r="W235" s="12"/>
      <c r="X235" s="12"/>
      <c r="Y235" s="12"/>
      <c r="Z235" s="12"/>
      <c r="AA235" s="12"/>
      <c r="AB235" s="12"/>
      <c r="AC235" s="12"/>
      <c r="AD235" s="12"/>
      <c r="AE235" s="12"/>
      <c r="AF235" s="12"/>
    </row>
    <row r="236" spans="1:32">
      <c r="A236" s="8"/>
      <c r="B236" s="8"/>
      <c r="C236" s="8"/>
      <c r="D236" s="8"/>
      <c r="E236" s="8"/>
      <c r="F236" s="8"/>
      <c r="G236" s="8"/>
      <c r="H236" s="8"/>
      <c r="I236" s="8"/>
      <c r="J236" s="8"/>
      <c r="K236" s="8"/>
      <c r="L236" s="8"/>
      <c r="M236" s="8"/>
      <c r="N236" s="8"/>
      <c r="O236" s="8"/>
      <c r="P236" s="8"/>
      <c r="Q236" s="8"/>
      <c r="R236" s="8"/>
      <c r="S236" s="8"/>
      <c r="T236" s="8"/>
      <c r="U236" s="12"/>
      <c r="V236" s="12"/>
      <c r="W236" s="12"/>
      <c r="X236" s="12"/>
      <c r="Y236" s="12"/>
      <c r="Z236" s="12"/>
      <c r="AA236" s="12"/>
      <c r="AB236" s="12"/>
      <c r="AC236" s="12"/>
      <c r="AD236" s="12"/>
      <c r="AE236" s="12"/>
      <c r="AF236" s="12"/>
    </row>
    <row r="237" spans="1:32">
      <c r="A237" s="8"/>
      <c r="B237" s="8"/>
      <c r="C237" s="8"/>
      <c r="D237" s="8"/>
      <c r="E237" s="8"/>
      <c r="F237" s="8"/>
      <c r="G237" s="8"/>
      <c r="H237" s="8"/>
      <c r="I237" s="8"/>
      <c r="J237" s="8"/>
      <c r="K237" s="8"/>
      <c r="L237" s="8"/>
      <c r="M237" s="8"/>
      <c r="N237" s="8"/>
      <c r="O237" s="8"/>
      <c r="P237" s="8"/>
      <c r="Q237" s="8"/>
      <c r="R237" s="8"/>
      <c r="S237" s="8"/>
      <c r="T237" s="8"/>
      <c r="U237" s="12"/>
      <c r="V237" s="12"/>
      <c r="W237" s="12"/>
      <c r="X237" s="12"/>
      <c r="Y237" s="12"/>
      <c r="Z237" s="12"/>
      <c r="AA237" s="12"/>
      <c r="AB237" s="12"/>
      <c r="AC237" s="12"/>
      <c r="AD237" s="12"/>
      <c r="AE237" s="12"/>
      <c r="AF237" s="12"/>
    </row>
    <row r="238" spans="1:32">
      <c r="A238" s="8"/>
      <c r="B238" s="8"/>
      <c r="C238" s="8"/>
      <c r="D238" s="8"/>
      <c r="E238" s="8"/>
      <c r="F238" s="8"/>
      <c r="G238" s="8"/>
      <c r="H238" s="8"/>
      <c r="I238" s="8"/>
      <c r="J238" s="8"/>
      <c r="K238" s="8"/>
      <c r="L238" s="8"/>
      <c r="M238" s="8"/>
      <c r="N238" s="8"/>
      <c r="O238" s="8"/>
      <c r="P238" s="8"/>
      <c r="Q238" s="8"/>
      <c r="R238" s="8"/>
      <c r="S238" s="8"/>
      <c r="T238" s="8"/>
      <c r="U238" s="12"/>
      <c r="V238" s="12"/>
      <c r="W238" s="12"/>
      <c r="X238" s="12"/>
      <c r="Y238" s="12"/>
      <c r="Z238" s="12"/>
      <c r="AA238" s="12"/>
      <c r="AB238" s="12"/>
      <c r="AC238" s="12"/>
      <c r="AD238" s="12"/>
      <c r="AE238" s="12"/>
      <c r="AF238" s="12"/>
    </row>
    <row r="239" spans="1:32">
      <c r="A239" s="8"/>
      <c r="B239" s="8"/>
      <c r="C239" s="8"/>
      <c r="D239" s="8"/>
      <c r="E239" s="8"/>
      <c r="F239" s="8"/>
      <c r="G239" s="8"/>
      <c r="H239" s="8"/>
      <c r="I239" s="8"/>
      <c r="J239" s="8"/>
      <c r="K239" s="8"/>
      <c r="L239" s="8"/>
      <c r="M239" s="8"/>
      <c r="N239" s="8"/>
      <c r="O239" s="8"/>
      <c r="P239" s="8"/>
      <c r="Q239" s="8"/>
      <c r="R239" s="8"/>
      <c r="S239" s="8"/>
      <c r="T239" s="8"/>
      <c r="U239" s="12"/>
      <c r="V239" s="12"/>
      <c r="W239" s="12"/>
      <c r="X239" s="12"/>
      <c r="Y239" s="12"/>
      <c r="Z239" s="12"/>
      <c r="AA239" s="12"/>
      <c r="AB239" s="12"/>
      <c r="AC239" s="12"/>
      <c r="AD239" s="12"/>
      <c r="AE239" s="12"/>
      <c r="AF239" s="12"/>
    </row>
    <row r="240" spans="1:32">
      <c r="A240" s="8"/>
      <c r="B240" s="8"/>
      <c r="C240" s="8"/>
      <c r="D240" s="8"/>
      <c r="E240" s="8"/>
      <c r="F240" s="8"/>
      <c r="G240" s="8"/>
      <c r="H240" s="8"/>
      <c r="I240" s="8"/>
      <c r="J240" s="8"/>
      <c r="K240" s="8"/>
      <c r="L240" s="8"/>
      <c r="M240" s="8"/>
      <c r="N240" s="8"/>
      <c r="O240" s="8"/>
      <c r="P240" s="8"/>
      <c r="Q240" s="8"/>
      <c r="R240" s="8"/>
      <c r="S240" s="8"/>
      <c r="T240" s="8"/>
      <c r="U240" s="12"/>
      <c r="V240" s="12"/>
      <c r="W240" s="12"/>
      <c r="X240" s="12"/>
      <c r="Y240" s="12"/>
      <c r="Z240" s="12"/>
      <c r="AA240" s="12"/>
      <c r="AB240" s="12"/>
      <c r="AC240" s="12"/>
      <c r="AD240" s="12"/>
      <c r="AE240" s="12"/>
      <c r="AF240" s="12"/>
    </row>
    <row r="241" spans="1:32">
      <c r="A241" s="8"/>
      <c r="B241" s="8"/>
      <c r="C241" s="8"/>
      <c r="D241" s="8"/>
      <c r="E241" s="8"/>
      <c r="F241" s="8"/>
      <c r="G241" s="8"/>
      <c r="H241" s="8"/>
      <c r="I241" s="8"/>
      <c r="J241" s="8"/>
      <c r="K241" s="8"/>
      <c r="L241" s="8"/>
      <c r="M241" s="8"/>
      <c r="N241" s="8"/>
      <c r="O241" s="8"/>
      <c r="P241" s="8"/>
      <c r="Q241" s="8"/>
      <c r="R241" s="8"/>
      <c r="S241" s="8"/>
      <c r="T241" s="8"/>
      <c r="U241" s="12"/>
      <c r="V241" s="12"/>
      <c r="W241" s="12"/>
      <c r="X241" s="12"/>
      <c r="Y241" s="12"/>
      <c r="Z241" s="12"/>
      <c r="AA241" s="12"/>
      <c r="AB241" s="12"/>
      <c r="AC241" s="12"/>
      <c r="AD241" s="12"/>
      <c r="AE241" s="12"/>
      <c r="AF241" s="12"/>
    </row>
    <row r="242" spans="1:32">
      <c r="A242" s="8"/>
      <c r="B242" s="8"/>
      <c r="C242" s="8"/>
      <c r="D242" s="8"/>
      <c r="E242" s="8"/>
      <c r="F242" s="8"/>
      <c r="G242" s="8"/>
      <c r="H242" s="8"/>
      <c r="I242" s="8"/>
      <c r="J242" s="8"/>
      <c r="K242" s="8"/>
      <c r="L242" s="8"/>
      <c r="M242" s="8"/>
      <c r="N242" s="8"/>
      <c r="O242" s="8"/>
      <c r="P242" s="8"/>
      <c r="Q242" s="8"/>
      <c r="R242" s="8"/>
      <c r="S242" s="8"/>
      <c r="T242" s="8"/>
      <c r="U242" s="12"/>
      <c r="V242" s="12"/>
      <c r="W242" s="12"/>
      <c r="X242" s="12"/>
      <c r="Y242" s="12"/>
      <c r="Z242" s="12"/>
      <c r="AA242" s="12"/>
      <c r="AB242" s="12"/>
      <c r="AC242" s="12"/>
      <c r="AD242" s="12"/>
      <c r="AE242" s="12"/>
      <c r="AF242" s="12"/>
    </row>
    <row r="243" spans="1:32">
      <c r="A243" s="8"/>
      <c r="B243" s="8"/>
      <c r="C243" s="8"/>
      <c r="D243" s="8"/>
      <c r="E243" s="8"/>
      <c r="F243" s="8"/>
      <c r="G243" s="8"/>
      <c r="H243" s="8"/>
      <c r="I243" s="8"/>
      <c r="J243" s="8"/>
      <c r="K243" s="8"/>
      <c r="L243" s="8"/>
      <c r="M243" s="8"/>
      <c r="N243" s="8"/>
      <c r="O243" s="8"/>
      <c r="P243" s="8"/>
      <c r="Q243" s="8"/>
      <c r="R243" s="8"/>
      <c r="S243" s="8"/>
      <c r="T243" s="8"/>
      <c r="U243" s="12"/>
      <c r="V243" s="12"/>
      <c r="W243" s="12"/>
      <c r="X243" s="12"/>
      <c r="Y243" s="12"/>
      <c r="Z243" s="12"/>
      <c r="AA243" s="12"/>
      <c r="AB243" s="12"/>
      <c r="AC243" s="12"/>
      <c r="AD243" s="12"/>
      <c r="AE243" s="12"/>
      <c r="AF243" s="12"/>
    </row>
    <row r="244" spans="1:32">
      <c r="A244" s="8"/>
      <c r="B244" s="8"/>
      <c r="C244" s="8"/>
      <c r="D244" s="8"/>
      <c r="E244" s="8"/>
      <c r="F244" s="8"/>
      <c r="G244" s="8"/>
      <c r="H244" s="8"/>
      <c r="I244" s="8"/>
      <c r="J244" s="8"/>
      <c r="K244" s="8"/>
      <c r="L244" s="8"/>
      <c r="M244" s="8"/>
      <c r="N244" s="8"/>
      <c r="O244" s="8"/>
      <c r="P244" s="8"/>
      <c r="Q244" s="8"/>
      <c r="R244" s="8"/>
      <c r="S244" s="8"/>
      <c r="T244" s="8"/>
      <c r="U244" s="12"/>
      <c r="V244" s="12"/>
      <c r="W244" s="12"/>
      <c r="X244" s="12"/>
      <c r="Y244" s="12"/>
      <c r="Z244" s="12"/>
      <c r="AA244" s="12"/>
      <c r="AB244" s="12"/>
      <c r="AC244" s="12"/>
      <c r="AD244" s="12"/>
      <c r="AE244" s="12"/>
      <c r="AF244" s="12"/>
    </row>
    <row r="245" spans="1:32">
      <c r="A245" s="8"/>
      <c r="B245" s="8"/>
      <c r="C245" s="8"/>
      <c r="D245" s="8"/>
      <c r="E245" s="8"/>
      <c r="F245" s="8"/>
      <c r="G245" s="8"/>
      <c r="H245" s="8"/>
      <c r="I245" s="8"/>
      <c r="J245" s="8"/>
      <c r="K245" s="8"/>
      <c r="L245" s="8"/>
      <c r="M245" s="8"/>
      <c r="N245" s="8"/>
      <c r="O245" s="8"/>
      <c r="P245" s="8"/>
      <c r="Q245" s="8"/>
      <c r="R245" s="8"/>
      <c r="S245" s="8"/>
      <c r="T245" s="8"/>
      <c r="U245" s="12"/>
      <c r="V245" s="12"/>
      <c r="W245" s="12"/>
      <c r="X245" s="12"/>
      <c r="Y245" s="12"/>
      <c r="Z245" s="12"/>
      <c r="AA245" s="12"/>
      <c r="AB245" s="12"/>
      <c r="AC245" s="12"/>
      <c r="AD245" s="12"/>
      <c r="AE245" s="12"/>
      <c r="AF245" s="12"/>
    </row>
    <row r="246" spans="1:32">
      <c r="A246" s="8"/>
      <c r="B246" s="8"/>
      <c r="C246" s="8"/>
      <c r="D246" s="8"/>
      <c r="E246" s="8"/>
      <c r="F246" s="8"/>
      <c r="G246" s="8"/>
      <c r="H246" s="8"/>
      <c r="I246" s="8"/>
      <c r="J246" s="8"/>
      <c r="K246" s="8"/>
      <c r="L246" s="8"/>
      <c r="M246" s="8"/>
      <c r="N246" s="8"/>
      <c r="O246" s="8"/>
      <c r="P246" s="8"/>
      <c r="Q246" s="8"/>
      <c r="R246" s="8"/>
      <c r="S246" s="8"/>
      <c r="T246" s="8"/>
      <c r="U246" s="12"/>
      <c r="V246" s="12"/>
      <c r="W246" s="12"/>
      <c r="X246" s="12"/>
      <c r="Y246" s="12"/>
      <c r="Z246" s="12"/>
      <c r="AA246" s="12"/>
      <c r="AB246" s="12"/>
      <c r="AC246" s="12"/>
      <c r="AD246" s="12"/>
      <c r="AE246" s="12"/>
      <c r="AF246" s="12"/>
    </row>
    <row r="247" spans="1:32">
      <c r="A247" s="8"/>
      <c r="B247" s="8"/>
      <c r="C247" s="8"/>
      <c r="D247" s="8"/>
      <c r="E247" s="8"/>
      <c r="F247" s="8"/>
      <c r="G247" s="8"/>
      <c r="H247" s="8"/>
      <c r="I247" s="8"/>
      <c r="J247" s="8"/>
      <c r="K247" s="8"/>
      <c r="L247" s="8"/>
      <c r="M247" s="8"/>
      <c r="N247" s="8"/>
      <c r="O247" s="8"/>
      <c r="P247" s="8"/>
      <c r="Q247" s="8"/>
      <c r="R247" s="8"/>
      <c r="S247" s="8"/>
      <c r="T247" s="8"/>
      <c r="U247" s="12"/>
      <c r="V247" s="12"/>
      <c r="W247" s="12"/>
      <c r="X247" s="12"/>
      <c r="Y247" s="12"/>
      <c r="Z247" s="12"/>
      <c r="AA247" s="12"/>
      <c r="AB247" s="12"/>
      <c r="AC247" s="12"/>
      <c r="AD247" s="12"/>
      <c r="AE247" s="12"/>
      <c r="AF247" s="12"/>
    </row>
    <row r="248" spans="1:32">
      <c r="A248" s="8"/>
      <c r="B248" s="8"/>
      <c r="C248" s="8"/>
      <c r="D248" s="8"/>
      <c r="E248" s="8"/>
      <c r="F248" s="8"/>
      <c r="G248" s="8"/>
      <c r="H248" s="8"/>
      <c r="I248" s="8"/>
      <c r="J248" s="8"/>
      <c r="K248" s="8"/>
      <c r="L248" s="8"/>
      <c r="M248" s="8"/>
      <c r="N248" s="8"/>
      <c r="O248" s="8"/>
      <c r="P248" s="8"/>
      <c r="Q248" s="8"/>
      <c r="R248" s="8"/>
      <c r="S248" s="8"/>
      <c r="T248" s="8"/>
      <c r="U248" s="12"/>
      <c r="V248" s="12"/>
      <c r="W248" s="12"/>
      <c r="X248" s="12"/>
      <c r="Y248" s="12"/>
      <c r="Z248" s="12"/>
      <c r="AA248" s="12"/>
      <c r="AB248" s="12"/>
      <c r="AC248" s="12"/>
      <c r="AD248" s="12"/>
      <c r="AE248" s="12"/>
      <c r="AF248" s="12"/>
    </row>
    <row r="249" spans="1:32">
      <c r="A249" s="8"/>
      <c r="B249" s="8"/>
      <c r="C249" s="8"/>
      <c r="D249" s="8"/>
      <c r="E249" s="8"/>
      <c r="F249" s="8"/>
      <c r="G249" s="8"/>
      <c r="H249" s="8"/>
      <c r="I249" s="8"/>
      <c r="J249" s="8"/>
      <c r="K249" s="8"/>
      <c r="L249" s="8"/>
      <c r="M249" s="8"/>
      <c r="N249" s="8"/>
      <c r="O249" s="8"/>
      <c r="P249" s="8"/>
      <c r="Q249" s="8"/>
      <c r="R249" s="8"/>
      <c r="S249" s="8"/>
      <c r="T249" s="8"/>
      <c r="U249" s="12"/>
      <c r="V249" s="12"/>
      <c r="W249" s="12"/>
      <c r="X249" s="12"/>
      <c r="Y249" s="12"/>
      <c r="Z249" s="12"/>
      <c r="AA249" s="12"/>
      <c r="AB249" s="12"/>
      <c r="AC249" s="12"/>
      <c r="AD249" s="12"/>
      <c r="AE249" s="12"/>
      <c r="AF249" s="12"/>
    </row>
    <row r="250" spans="1:32">
      <c r="A250" s="8"/>
      <c r="B250" s="8"/>
      <c r="C250" s="8"/>
      <c r="D250" s="8"/>
      <c r="E250" s="8"/>
      <c r="F250" s="8"/>
      <c r="G250" s="8"/>
      <c r="H250" s="8"/>
      <c r="I250" s="8"/>
      <c r="J250" s="8"/>
      <c r="K250" s="8"/>
      <c r="L250" s="8"/>
      <c r="M250" s="8"/>
      <c r="N250" s="8"/>
      <c r="O250" s="8"/>
      <c r="P250" s="8"/>
      <c r="Q250" s="8"/>
      <c r="R250" s="8"/>
      <c r="S250" s="8"/>
      <c r="T250" s="8"/>
      <c r="U250" s="12"/>
      <c r="V250" s="12"/>
      <c r="W250" s="12"/>
      <c r="X250" s="12"/>
      <c r="Y250" s="12"/>
      <c r="Z250" s="12"/>
      <c r="AA250" s="12"/>
      <c r="AB250" s="12"/>
      <c r="AC250" s="12"/>
      <c r="AD250" s="12"/>
      <c r="AE250" s="12"/>
      <c r="AF250" s="12"/>
    </row>
    <row r="251" spans="1:32">
      <c r="A251" s="8"/>
      <c r="B251" s="8"/>
      <c r="C251" s="8"/>
      <c r="D251" s="8"/>
      <c r="E251" s="8"/>
      <c r="F251" s="8"/>
      <c r="G251" s="8"/>
      <c r="H251" s="8"/>
      <c r="I251" s="8"/>
      <c r="J251" s="8"/>
      <c r="K251" s="8"/>
      <c r="L251" s="8"/>
      <c r="M251" s="8"/>
      <c r="N251" s="8"/>
      <c r="O251" s="8"/>
      <c r="P251" s="8"/>
      <c r="Q251" s="8"/>
      <c r="R251" s="8"/>
      <c r="S251" s="8"/>
      <c r="T251" s="8"/>
      <c r="U251" s="12"/>
      <c r="V251" s="12"/>
      <c r="W251" s="12"/>
      <c r="X251" s="12"/>
      <c r="Y251" s="12"/>
      <c r="Z251" s="12"/>
      <c r="AA251" s="12"/>
      <c r="AB251" s="12"/>
      <c r="AC251" s="12"/>
      <c r="AD251" s="12"/>
      <c r="AE251" s="12"/>
      <c r="AF251" s="12"/>
    </row>
    <row r="252" spans="1:32">
      <c r="A252" s="8"/>
      <c r="B252" s="8"/>
      <c r="C252" s="8"/>
      <c r="D252" s="8"/>
      <c r="E252" s="8"/>
      <c r="F252" s="8"/>
      <c r="G252" s="8"/>
      <c r="H252" s="8"/>
      <c r="I252" s="8"/>
      <c r="J252" s="8"/>
      <c r="K252" s="8"/>
      <c r="L252" s="8"/>
      <c r="M252" s="8"/>
      <c r="N252" s="8"/>
      <c r="O252" s="8"/>
      <c r="P252" s="8"/>
      <c r="Q252" s="8"/>
      <c r="R252" s="8"/>
      <c r="S252" s="8"/>
      <c r="T252" s="8"/>
      <c r="U252" s="12"/>
      <c r="V252" s="12"/>
      <c r="W252" s="12"/>
      <c r="X252" s="12"/>
      <c r="Y252" s="12"/>
      <c r="Z252" s="12"/>
      <c r="AA252" s="12"/>
      <c r="AB252" s="12"/>
      <c r="AC252" s="12"/>
      <c r="AD252" s="12"/>
      <c r="AE252" s="12"/>
      <c r="AF252" s="12"/>
    </row>
    <row r="253" spans="1:32">
      <c r="A253" s="8"/>
      <c r="B253" s="8"/>
      <c r="C253" s="8"/>
      <c r="D253" s="8"/>
      <c r="E253" s="8"/>
      <c r="F253" s="8"/>
      <c r="G253" s="8"/>
      <c r="H253" s="8"/>
      <c r="I253" s="8"/>
      <c r="J253" s="8"/>
      <c r="K253" s="8"/>
      <c r="L253" s="8"/>
      <c r="M253" s="8"/>
      <c r="N253" s="8"/>
      <c r="O253" s="8"/>
      <c r="P253" s="8"/>
      <c r="Q253" s="8"/>
      <c r="R253" s="8"/>
      <c r="S253" s="8"/>
      <c r="T253" s="8"/>
      <c r="U253" s="12"/>
      <c r="V253" s="12"/>
      <c r="W253" s="12"/>
      <c r="X253" s="12"/>
      <c r="Y253" s="12"/>
      <c r="Z253" s="12"/>
      <c r="AA253" s="12"/>
      <c r="AB253" s="12"/>
      <c r="AC253" s="12"/>
      <c r="AD253" s="12"/>
      <c r="AE253" s="12"/>
      <c r="AF253" s="12"/>
    </row>
    <row r="254" spans="1:32">
      <c r="A254" s="8"/>
      <c r="B254" s="8"/>
      <c r="C254" s="8"/>
      <c r="D254" s="8"/>
      <c r="E254" s="8"/>
      <c r="F254" s="8"/>
      <c r="G254" s="8"/>
      <c r="H254" s="8"/>
      <c r="I254" s="8"/>
      <c r="J254" s="8"/>
      <c r="K254" s="8"/>
      <c r="L254" s="8"/>
      <c r="M254" s="8"/>
      <c r="N254" s="8"/>
      <c r="O254" s="8"/>
      <c r="P254" s="8"/>
      <c r="Q254" s="8"/>
      <c r="R254" s="8"/>
      <c r="S254" s="8"/>
      <c r="T254" s="8"/>
      <c r="U254" s="12"/>
      <c r="V254" s="12"/>
      <c r="W254" s="12"/>
      <c r="X254" s="12"/>
      <c r="Y254" s="12"/>
      <c r="Z254" s="12"/>
      <c r="AA254" s="12"/>
      <c r="AB254" s="12"/>
      <c r="AC254" s="12"/>
      <c r="AD254" s="12"/>
      <c r="AE254" s="12"/>
      <c r="AF254" s="12"/>
    </row>
    <row r="255" spans="1:32">
      <c r="A255" s="8"/>
      <c r="B255" s="8"/>
      <c r="C255" s="8"/>
      <c r="D255" s="8"/>
      <c r="E255" s="8"/>
      <c r="F255" s="8"/>
      <c r="G255" s="8"/>
      <c r="H255" s="8"/>
      <c r="I255" s="8"/>
      <c r="J255" s="8"/>
      <c r="K255" s="8"/>
      <c r="L255" s="8"/>
      <c r="M255" s="8"/>
      <c r="N255" s="8"/>
      <c r="O255" s="8"/>
      <c r="P255" s="8"/>
      <c r="Q255" s="8"/>
      <c r="R255" s="8"/>
      <c r="S255" s="8"/>
      <c r="T255" s="8"/>
      <c r="U255" s="12"/>
      <c r="V255" s="12"/>
      <c r="W255" s="12"/>
      <c r="X255" s="12"/>
      <c r="Y255" s="12"/>
      <c r="Z255" s="12"/>
      <c r="AA255" s="12"/>
      <c r="AB255" s="12"/>
      <c r="AC255" s="12"/>
      <c r="AD255" s="12"/>
      <c r="AE255" s="12"/>
      <c r="AF255" s="12"/>
    </row>
    <row r="256" spans="1:32">
      <c r="A256" s="8"/>
      <c r="B256" s="8"/>
      <c r="C256" s="8"/>
      <c r="D256" s="8"/>
      <c r="E256" s="8"/>
      <c r="F256" s="8"/>
      <c r="G256" s="8"/>
      <c r="H256" s="8"/>
      <c r="I256" s="8"/>
      <c r="J256" s="8"/>
      <c r="K256" s="8"/>
      <c r="L256" s="8"/>
      <c r="M256" s="8"/>
      <c r="N256" s="8"/>
      <c r="O256" s="8"/>
      <c r="P256" s="8"/>
      <c r="Q256" s="8"/>
      <c r="R256" s="8"/>
      <c r="S256" s="8"/>
      <c r="T256" s="8"/>
      <c r="U256" s="12"/>
      <c r="V256" s="12"/>
      <c r="W256" s="12"/>
      <c r="X256" s="12"/>
      <c r="Y256" s="12"/>
      <c r="Z256" s="12"/>
      <c r="AA256" s="12"/>
      <c r="AB256" s="12"/>
      <c r="AC256" s="12"/>
      <c r="AD256" s="12"/>
      <c r="AE256" s="12"/>
      <c r="AF256" s="12"/>
    </row>
    <row r="257" spans="1:32">
      <c r="A257" s="8"/>
      <c r="B257" s="8"/>
      <c r="C257" s="8"/>
      <c r="D257" s="8"/>
      <c r="E257" s="8"/>
      <c r="F257" s="8"/>
      <c r="G257" s="8"/>
      <c r="H257" s="8"/>
      <c r="I257" s="8"/>
      <c r="J257" s="8"/>
      <c r="K257" s="8"/>
      <c r="L257" s="8"/>
      <c r="M257" s="8"/>
      <c r="N257" s="8"/>
      <c r="O257" s="8"/>
      <c r="P257" s="8"/>
      <c r="Q257" s="8"/>
      <c r="R257" s="8"/>
      <c r="S257" s="8"/>
      <c r="T257" s="8"/>
      <c r="U257" s="12"/>
      <c r="V257" s="12"/>
      <c r="W257" s="12"/>
      <c r="X257" s="12"/>
      <c r="Y257" s="12"/>
      <c r="Z257" s="12"/>
      <c r="AA257" s="12"/>
      <c r="AB257" s="12"/>
      <c r="AC257" s="12"/>
      <c r="AD257" s="12"/>
      <c r="AE257" s="12"/>
      <c r="AF257" s="12"/>
    </row>
    <row r="258" spans="1:32">
      <c r="A258" s="8"/>
      <c r="B258" s="8"/>
      <c r="C258" s="8"/>
      <c r="D258" s="8"/>
      <c r="E258" s="8"/>
      <c r="F258" s="8"/>
      <c r="G258" s="8"/>
      <c r="H258" s="8"/>
      <c r="I258" s="8"/>
      <c r="J258" s="8"/>
      <c r="K258" s="8"/>
      <c r="L258" s="8"/>
      <c r="M258" s="8"/>
      <c r="N258" s="8"/>
      <c r="O258" s="8"/>
      <c r="P258" s="8"/>
      <c r="Q258" s="8"/>
      <c r="R258" s="8"/>
      <c r="S258" s="8"/>
      <c r="T258" s="8"/>
      <c r="U258" s="12"/>
      <c r="V258" s="12"/>
      <c r="W258" s="12"/>
      <c r="X258" s="12"/>
      <c r="Y258" s="12"/>
      <c r="Z258" s="12"/>
      <c r="AA258" s="12"/>
      <c r="AB258" s="12"/>
      <c r="AC258" s="12"/>
      <c r="AD258" s="12"/>
      <c r="AE258" s="12"/>
      <c r="AF258" s="12"/>
    </row>
    <row r="259" spans="1:32">
      <c r="A259" s="8"/>
      <c r="B259" s="8"/>
      <c r="C259" s="8"/>
      <c r="D259" s="8"/>
      <c r="E259" s="8"/>
      <c r="F259" s="8"/>
      <c r="G259" s="8"/>
      <c r="H259" s="8"/>
      <c r="I259" s="8"/>
      <c r="J259" s="8"/>
      <c r="K259" s="8"/>
      <c r="L259" s="8"/>
      <c r="M259" s="8"/>
      <c r="N259" s="8"/>
      <c r="O259" s="8"/>
      <c r="P259" s="8"/>
      <c r="Q259" s="8"/>
      <c r="R259" s="8"/>
      <c r="S259" s="8"/>
      <c r="T259" s="8"/>
      <c r="U259" s="12"/>
      <c r="V259" s="12"/>
      <c r="W259" s="12"/>
      <c r="X259" s="12"/>
      <c r="Y259" s="12"/>
      <c r="Z259" s="12"/>
      <c r="AA259" s="12"/>
      <c r="AB259" s="12"/>
      <c r="AC259" s="12"/>
      <c r="AD259" s="12"/>
      <c r="AE259" s="12"/>
      <c r="AF259" s="12"/>
    </row>
    <row r="260" spans="1:32">
      <c r="A260" s="8"/>
      <c r="B260" s="8"/>
      <c r="C260" s="8"/>
      <c r="D260" s="8"/>
      <c r="E260" s="8"/>
      <c r="F260" s="8"/>
      <c r="G260" s="8"/>
      <c r="H260" s="8"/>
      <c r="I260" s="8"/>
      <c r="J260" s="8"/>
      <c r="K260" s="8"/>
      <c r="L260" s="8"/>
      <c r="M260" s="8"/>
      <c r="N260" s="8"/>
      <c r="O260" s="8"/>
      <c r="P260" s="8"/>
      <c r="Q260" s="8"/>
      <c r="R260" s="8"/>
      <c r="S260" s="8"/>
      <c r="T260" s="8"/>
      <c r="U260" s="12"/>
      <c r="V260" s="12"/>
      <c r="W260" s="12"/>
      <c r="X260" s="12"/>
      <c r="Y260" s="12"/>
      <c r="Z260" s="12"/>
      <c r="AA260" s="12"/>
      <c r="AB260" s="12"/>
      <c r="AC260" s="12"/>
      <c r="AD260" s="12"/>
      <c r="AE260" s="12"/>
      <c r="AF260" s="12"/>
    </row>
    <row r="261" spans="1:32">
      <c r="A261" s="8"/>
      <c r="B261" s="8"/>
      <c r="C261" s="8"/>
      <c r="D261" s="8"/>
      <c r="E261" s="8"/>
      <c r="F261" s="8"/>
      <c r="G261" s="8"/>
      <c r="H261" s="8"/>
      <c r="I261" s="8"/>
      <c r="J261" s="8"/>
      <c r="K261" s="8"/>
      <c r="L261" s="8"/>
      <c r="M261" s="8"/>
      <c r="N261" s="8"/>
      <c r="O261" s="8"/>
      <c r="P261" s="8"/>
      <c r="Q261" s="8"/>
      <c r="R261" s="8"/>
      <c r="S261" s="8"/>
      <c r="T261" s="8"/>
      <c r="U261" s="12"/>
      <c r="V261" s="12"/>
      <c r="W261" s="12"/>
      <c r="X261" s="12"/>
      <c r="Y261" s="12"/>
      <c r="Z261" s="12"/>
      <c r="AA261" s="12"/>
      <c r="AB261" s="12"/>
      <c r="AC261" s="12"/>
      <c r="AD261" s="12"/>
      <c r="AE261" s="12"/>
      <c r="AF261" s="12"/>
    </row>
    <row r="262" spans="1:32">
      <c r="A262" s="8"/>
      <c r="B262" s="8"/>
      <c r="C262" s="8"/>
      <c r="D262" s="8"/>
      <c r="E262" s="8"/>
      <c r="F262" s="8"/>
      <c r="G262" s="8"/>
      <c r="H262" s="8"/>
      <c r="I262" s="8"/>
      <c r="J262" s="8"/>
      <c r="K262" s="8"/>
      <c r="L262" s="8"/>
      <c r="M262" s="8"/>
      <c r="N262" s="8"/>
      <c r="O262" s="8"/>
      <c r="P262" s="8"/>
      <c r="Q262" s="8"/>
      <c r="R262" s="8"/>
      <c r="S262" s="8"/>
      <c r="T262" s="8"/>
      <c r="U262" s="12"/>
      <c r="V262" s="12"/>
      <c r="W262" s="12"/>
      <c r="X262" s="12"/>
      <c r="Y262" s="12"/>
      <c r="Z262" s="12"/>
      <c r="AA262" s="12"/>
      <c r="AB262" s="12"/>
      <c r="AC262" s="12"/>
      <c r="AD262" s="12"/>
      <c r="AE262" s="12"/>
      <c r="AF262" s="12"/>
    </row>
    <row r="263" spans="1:32">
      <c r="A263" s="8"/>
      <c r="B263" s="8"/>
      <c r="C263" s="8"/>
      <c r="D263" s="8"/>
      <c r="E263" s="8"/>
      <c r="F263" s="8"/>
      <c r="G263" s="8"/>
      <c r="H263" s="8"/>
      <c r="I263" s="8"/>
      <c r="J263" s="8"/>
      <c r="K263" s="8"/>
      <c r="L263" s="8"/>
      <c r="M263" s="8"/>
      <c r="N263" s="8"/>
      <c r="O263" s="8"/>
      <c r="P263" s="8"/>
      <c r="Q263" s="8"/>
      <c r="R263" s="8"/>
      <c r="S263" s="8"/>
      <c r="T263" s="8"/>
      <c r="U263" s="12"/>
      <c r="V263" s="12"/>
      <c r="W263" s="12"/>
      <c r="X263" s="12"/>
      <c r="Y263" s="12"/>
      <c r="Z263" s="12"/>
      <c r="AA263" s="12"/>
      <c r="AB263" s="12"/>
      <c r="AC263" s="12"/>
      <c r="AD263" s="12"/>
      <c r="AE263" s="12"/>
      <c r="AF263" s="12"/>
    </row>
    <row r="264" spans="1:32">
      <c r="A264" s="8"/>
      <c r="B264" s="8"/>
      <c r="C264" s="8"/>
      <c r="D264" s="8"/>
      <c r="E264" s="8"/>
      <c r="F264" s="8"/>
      <c r="G264" s="8"/>
      <c r="H264" s="8"/>
      <c r="I264" s="8"/>
      <c r="J264" s="8"/>
      <c r="K264" s="8"/>
      <c r="L264" s="8"/>
      <c r="M264" s="8"/>
      <c r="N264" s="8"/>
      <c r="O264" s="8"/>
      <c r="P264" s="8"/>
      <c r="Q264" s="8"/>
      <c r="R264" s="8"/>
      <c r="S264" s="8"/>
      <c r="T264" s="8"/>
      <c r="U264" s="12"/>
      <c r="V264" s="12"/>
      <c r="W264" s="12"/>
      <c r="X264" s="12"/>
      <c r="Y264" s="12"/>
      <c r="Z264" s="12"/>
      <c r="AA264" s="12"/>
      <c r="AB264" s="12"/>
      <c r="AC264" s="12"/>
      <c r="AD264" s="12"/>
      <c r="AE264" s="12"/>
      <c r="AF264" s="12"/>
    </row>
    <row r="265" spans="1:32">
      <c r="A265" s="8"/>
      <c r="B265" s="8"/>
      <c r="C265" s="8"/>
      <c r="D265" s="8"/>
      <c r="E265" s="8"/>
      <c r="F265" s="8"/>
      <c r="G265" s="8"/>
      <c r="H265" s="8"/>
      <c r="I265" s="8"/>
      <c r="J265" s="8"/>
      <c r="K265" s="8"/>
      <c r="L265" s="8"/>
      <c r="M265" s="8"/>
      <c r="N265" s="8"/>
      <c r="O265" s="8"/>
      <c r="P265" s="8"/>
      <c r="Q265" s="8"/>
      <c r="R265" s="8"/>
      <c r="S265" s="8"/>
      <c r="T265" s="8"/>
      <c r="U265" s="12"/>
      <c r="V265" s="12"/>
      <c r="W265" s="12"/>
      <c r="X265" s="12"/>
      <c r="Y265" s="12"/>
      <c r="Z265" s="12"/>
      <c r="AA265" s="12"/>
      <c r="AB265" s="12"/>
      <c r="AC265" s="12"/>
      <c r="AD265" s="12"/>
      <c r="AE265" s="12"/>
      <c r="AF265" s="12"/>
    </row>
    <row r="266" spans="1:32">
      <c r="A266" s="8"/>
      <c r="B266" s="8"/>
      <c r="C266" s="8"/>
      <c r="D266" s="8"/>
      <c r="E266" s="8"/>
      <c r="F266" s="8"/>
      <c r="G266" s="8"/>
      <c r="H266" s="8"/>
      <c r="I266" s="8"/>
      <c r="J266" s="8"/>
      <c r="K266" s="8"/>
      <c r="L266" s="8"/>
      <c r="M266" s="8"/>
      <c r="N266" s="8"/>
      <c r="O266" s="8"/>
      <c r="P266" s="8"/>
      <c r="Q266" s="8"/>
      <c r="R266" s="8"/>
      <c r="S266" s="8"/>
      <c r="T266" s="8"/>
      <c r="U266" s="12"/>
      <c r="V266" s="12"/>
      <c r="W266" s="12"/>
      <c r="X266" s="12"/>
      <c r="Y266" s="12"/>
      <c r="Z266" s="12"/>
      <c r="AA266" s="12"/>
      <c r="AB266" s="12"/>
      <c r="AC266" s="12"/>
      <c r="AD266" s="12"/>
      <c r="AE266" s="12"/>
      <c r="AF266" s="12"/>
    </row>
    <row r="267" spans="1:32">
      <c r="A267" s="8"/>
      <c r="B267" s="8"/>
      <c r="C267" s="8"/>
      <c r="D267" s="8"/>
      <c r="E267" s="8"/>
      <c r="F267" s="8"/>
      <c r="G267" s="8"/>
      <c r="H267" s="8"/>
      <c r="I267" s="8"/>
      <c r="J267" s="8"/>
      <c r="K267" s="8"/>
      <c r="L267" s="8"/>
      <c r="M267" s="8"/>
      <c r="N267" s="8"/>
      <c r="O267" s="8"/>
      <c r="P267" s="8"/>
      <c r="Q267" s="8"/>
      <c r="R267" s="8"/>
      <c r="S267" s="8"/>
      <c r="T267" s="8"/>
      <c r="U267" s="12"/>
      <c r="V267" s="12"/>
      <c r="W267" s="12"/>
      <c r="X267" s="12"/>
      <c r="Y267" s="12"/>
      <c r="Z267" s="12"/>
      <c r="AA267" s="12"/>
      <c r="AB267" s="12"/>
      <c r="AC267" s="12"/>
      <c r="AD267" s="12"/>
      <c r="AE267" s="12"/>
      <c r="AF267" s="12"/>
    </row>
    <row r="268" spans="1:32">
      <c r="A268" s="8"/>
      <c r="B268" s="8"/>
      <c r="C268" s="8"/>
      <c r="D268" s="8"/>
      <c r="E268" s="8"/>
      <c r="F268" s="8"/>
      <c r="G268" s="8"/>
      <c r="H268" s="8"/>
      <c r="I268" s="8"/>
      <c r="J268" s="8"/>
      <c r="K268" s="8"/>
      <c r="L268" s="8"/>
      <c r="M268" s="8"/>
      <c r="N268" s="8"/>
      <c r="O268" s="8"/>
      <c r="P268" s="8"/>
      <c r="Q268" s="8"/>
      <c r="R268" s="8"/>
      <c r="S268" s="8"/>
      <c r="T268" s="8"/>
      <c r="U268" s="12"/>
      <c r="V268" s="12"/>
      <c r="W268" s="12"/>
      <c r="X268" s="12"/>
      <c r="Y268" s="12"/>
      <c r="Z268" s="12"/>
      <c r="AA268" s="12"/>
      <c r="AB268" s="12"/>
      <c r="AC268" s="12"/>
      <c r="AD268" s="12"/>
      <c r="AE268" s="12"/>
      <c r="AF268" s="12"/>
    </row>
    <row r="269" spans="1:32">
      <c r="A269" s="8"/>
      <c r="B269" s="8"/>
      <c r="C269" s="8"/>
      <c r="D269" s="8"/>
      <c r="E269" s="8"/>
      <c r="F269" s="8"/>
      <c r="G269" s="8"/>
      <c r="H269" s="8"/>
      <c r="I269" s="8"/>
      <c r="J269" s="8"/>
      <c r="K269" s="8"/>
      <c r="L269" s="8"/>
      <c r="M269" s="8"/>
      <c r="N269" s="8"/>
      <c r="O269" s="8"/>
      <c r="P269" s="8"/>
      <c r="Q269" s="8"/>
      <c r="R269" s="8"/>
      <c r="S269" s="8"/>
      <c r="T269" s="8"/>
      <c r="U269" s="12"/>
      <c r="V269" s="12"/>
      <c r="W269" s="12"/>
      <c r="X269" s="12"/>
      <c r="Y269" s="12"/>
      <c r="Z269" s="12"/>
      <c r="AA269" s="12"/>
      <c r="AB269" s="12"/>
      <c r="AC269" s="12"/>
      <c r="AD269" s="12"/>
      <c r="AE269" s="12"/>
      <c r="AF269" s="12"/>
    </row>
    <row r="270" spans="1:32">
      <c r="A270" s="8"/>
      <c r="B270" s="8"/>
      <c r="C270" s="8"/>
      <c r="D270" s="8"/>
      <c r="E270" s="8"/>
      <c r="F270" s="8"/>
      <c r="G270" s="8"/>
      <c r="H270" s="8"/>
      <c r="I270" s="8"/>
      <c r="J270" s="8"/>
      <c r="K270" s="8"/>
      <c r="L270" s="8"/>
      <c r="M270" s="8"/>
      <c r="N270" s="8"/>
      <c r="O270" s="8"/>
      <c r="P270" s="8"/>
      <c r="Q270" s="8"/>
      <c r="R270" s="8"/>
      <c r="S270" s="8"/>
      <c r="T270" s="8"/>
      <c r="U270" s="12"/>
      <c r="V270" s="12"/>
      <c r="W270" s="12"/>
      <c r="X270" s="12"/>
      <c r="Y270" s="12"/>
      <c r="Z270" s="12"/>
      <c r="AA270" s="12"/>
      <c r="AB270" s="12"/>
      <c r="AC270" s="12"/>
      <c r="AD270" s="12"/>
      <c r="AE270" s="12"/>
      <c r="AF270" s="12"/>
    </row>
    <row r="271" spans="1:32">
      <c r="A271" s="8"/>
      <c r="B271" s="8"/>
      <c r="C271" s="8"/>
      <c r="D271" s="8"/>
      <c r="E271" s="8"/>
      <c r="F271" s="8"/>
      <c r="G271" s="8"/>
      <c r="H271" s="8"/>
      <c r="I271" s="8"/>
      <c r="J271" s="8"/>
      <c r="K271" s="8"/>
      <c r="L271" s="8"/>
      <c r="M271" s="8"/>
      <c r="N271" s="8"/>
      <c r="O271" s="8"/>
      <c r="P271" s="8"/>
      <c r="Q271" s="8"/>
      <c r="R271" s="8"/>
      <c r="S271" s="8"/>
      <c r="T271" s="8"/>
      <c r="U271" s="12"/>
      <c r="V271" s="12"/>
      <c r="W271" s="12"/>
      <c r="X271" s="12"/>
      <c r="Y271" s="12"/>
      <c r="Z271" s="12"/>
      <c r="AA271" s="12"/>
      <c r="AB271" s="12"/>
      <c r="AC271" s="12"/>
      <c r="AD271" s="12"/>
      <c r="AE271" s="12"/>
      <c r="AF271" s="12"/>
    </row>
    <row r="272" spans="1:32">
      <c r="A272" s="8"/>
      <c r="B272" s="8"/>
      <c r="C272" s="8"/>
      <c r="D272" s="8"/>
      <c r="E272" s="8"/>
      <c r="F272" s="8"/>
      <c r="G272" s="8"/>
      <c r="H272" s="8"/>
      <c r="I272" s="8"/>
      <c r="J272" s="8"/>
      <c r="K272" s="8"/>
      <c r="L272" s="8"/>
      <c r="M272" s="8"/>
      <c r="N272" s="8"/>
      <c r="O272" s="8"/>
      <c r="P272" s="8"/>
      <c r="Q272" s="8"/>
      <c r="R272" s="8"/>
      <c r="S272" s="8"/>
      <c r="T272" s="8"/>
      <c r="U272" s="12"/>
      <c r="V272" s="12"/>
      <c r="W272" s="12"/>
      <c r="X272" s="12"/>
      <c r="Y272" s="12"/>
      <c r="Z272" s="12"/>
      <c r="AA272" s="12"/>
      <c r="AB272" s="12"/>
      <c r="AC272" s="12"/>
      <c r="AD272" s="12"/>
      <c r="AE272" s="12"/>
      <c r="AF272" s="12"/>
    </row>
    <row r="273" spans="1:32">
      <c r="A273" s="8"/>
      <c r="B273" s="8"/>
      <c r="C273" s="8"/>
      <c r="D273" s="8"/>
      <c r="E273" s="8"/>
      <c r="F273" s="8"/>
      <c r="G273" s="8"/>
      <c r="H273" s="8"/>
      <c r="I273" s="8"/>
      <c r="J273" s="8"/>
      <c r="K273" s="8"/>
      <c r="L273" s="8"/>
      <c r="M273" s="8"/>
      <c r="N273" s="8"/>
      <c r="O273" s="8"/>
      <c r="P273" s="8"/>
      <c r="Q273" s="8"/>
      <c r="R273" s="8"/>
      <c r="S273" s="8"/>
      <c r="T273" s="8"/>
      <c r="U273" s="12"/>
      <c r="V273" s="12"/>
      <c r="W273" s="12"/>
      <c r="X273" s="12"/>
      <c r="Y273" s="12"/>
      <c r="Z273" s="12"/>
      <c r="AA273" s="12"/>
      <c r="AB273" s="12"/>
      <c r="AC273" s="12"/>
      <c r="AD273" s="12"/>
      <c r="AE273" s="12"/>
      <c r="AF273" s="12"/>
    </row>
    <row r="274" spans="1:32">
      <c r="A274" s="8"/>
      <c r="B274" s="8"/>
      <c r="C274" s="8"/>
      <c r="D274" s="8"/>
      <c r="E274" s="8"/>
      <c r="F274" s="8"/>
      <c r="G274" s="8"/>
      <c r="H274" s="8"/>
      <c r="I274" s="8"/>
      <c r="J274" s="8"/>
      <c r="K274" s="8"/>
      <c r="L274" s="8"/>
      <c r="M274" s="8"/>
      <c r="N274" s="8"/>
      <c r="O274" s="8"/>
      <c r="P274" s="8"/>
      <c r="Q274" s="8"/>
      <c r="R274" s="8"/>
      <c r="S274" s="8"/>
      <c r="T274" s="8"/>
      <c r="U274" s="12"/>
      <c r="V274" s="12"/>
      <c r="W274" s="12"/>
      <c r="X274" s="12"/>
      <c r="Y274" s="12"/>
      <c r="Z274" s="12"/>
      <c r="AA274" s="12"/>
      <c r="AB274" s="12"/>
      <c r="AC274" s="12"/>
      <c r="AD274" s="12"/>
      <c r="AE274" s="12"/>
      <c r="AF274" s="12"/>
    </row>
    <row r="275" spans="1:32">
      <c r="A275" s="8"/>
      <c r="B275" s="8"/>
      <c r="C275" s="8"/>
      <c r="D275" s="8"/>
      <c r="E275" s="8"/>
      <c r="F275" s="8"/>
      <c r="G275" s="8"/>
      <c r="H275" s="8"/>
      <c r="I275" s="8"/>
      <c r="J275" s="8"/>
      <c r="K275" s="8"/>
      <c r="L275" s="8"/>
      <c r="M275" s="8"/>
      <c r="N275" s="8"/>
      <c r="O275" s="8"/>
      <c r="P275" s="8"/>
      <c r="Q275" s="8"/>
      <c r="R275" s="8"/>
      <c r="S275" s="8"/>
      <c r="T275" s="8"/>
      <c r="U275" s="12"/>
      <c r="V275" s="12"/>
      <c r="W275" s="12"/>
      <c r="X275" s="12"/>
      <c r="Y275" s="12"/>
      <c r="Z275" s="12"/>
      <c r="AA275" s="12"/>
      <c r="AB275" s="12"/>
      <c r="AC275" s="12"/>
      <c r="AD275" s="12"/>
      <c r="AE275" s="12"/>
      <c r="AF275" s="12"/>
    </row>
    <row r="276" spans="1:32">
      <c r="A276" s="8"/>
      <c r="B276" s="8"/>
      <c r="C276" s="8"/>
      <c r="D276" s="8"/>
      <c r="E276" s="8"/>
      <c r="F276" s="8"/>
      <c r="G276" s="8"/>
      <c r="H276" s="8"/>
      <c r="I276" s="8"/>
      <c r="J276" s="8"/>
      <c r="K276" s="8"/>
      <c r="L276" s="8"/>
      <c r="M276" s="8"/>
      <c r="N276" s="8"/>
      <c r="O276" s="8"/>
      <c r="P276" s="8"/>
      <c r="Q276" s="8"/>
      <c r="R276" s="8"/>
      <c r="S276" s="8"/>
      <c r="T276" s="8"/>
      <c r="U276" s="12"/>
      <c r="V276" s="12"/>
      <c r="W276" s="12"/>
      <c r="X276" s="12"/>
      <c r="Y276" s="12"/>
      <c r="Z276" s="12"/>
      <c r="AA276" s="12"/>
      <c r="AB276" s="12"/>
      <c r="AC276" s="12"/>
      <c r="AD276" s="12"/>
      <c r="AE276" s="12"/>
      <c r="AF276" s="12"/>
    </row>
    <row r="277" spans="1:32">
      <c r="A277" s="8"/>
      <c r="B277" s="8"/>
      <c r="C277" s="8"/>
      <c r="D277" s="8"/>
      <c r="E277" s="8"/>
      <c r="F277" s="8"/>
      <c r="G277" s="8"/>
      <c r="H277" s="8"/>
      <c r="I277" s="8"/>
      <c r="J277" s="8"/>
      <c r="K277" s="8"/>
      <c r="L277" s="8"/>
      <c r="M277" s="8"/>
      <c r="N277" s="8"/>
      <c r="O277" s="8"/>
      <c r="P277" s="8"/>
      <c r="Q277" s="8"/>
      <c r="R277" s="8"/>
      <c r="S277" s="8"/>
      <c r="T277" s="8"/>
      <c r="U277" s="12"/>
      <c r="V277" s="12"/>
      <c r="W277" s="12"/>
      <c r="X277" s="12"/>
      <c r="Y277" s="12"/>
      <c r="Z277" s="12"/>
      <c r="AA277" s="12"/>
      <c r="AB277" s="12"/>
      <c r="AC277" s="12"/>
      <c r="AD277" s="12"/>
      <c r="AE277" s="12"/>
      <c r="AF277" s="12"/>
    </row>
    <row r="278" spans="1:32">
      <c r="A278" s="8"/>
      <c r="B278" s="8"/>
      <c r="C278" s="8"/>
      <c r="D278" s="8"/>
      <c r="E278" s="8"/>
      <c r="F278" s="8"/>
      <c r="G278" s="8"/>
      <c r="H278" s="8"/>
      <c r="I278" s="8"/>
      <c r="J278" s="8"/>
      <c r="K278" s="8"/>
      <c r="L278" s="8"/>
      <c r="M278" s="8"/>
      <c r="N278" s="8"/>
      <c r="O278" s="8"/>
      <c r="P278" s="8"/>
      <c r="Q278" s="8"/>
      <c r="R278" s="8"/>
      <c r="S278" s="8"/>
      <c r="T278" s="8"/>
      <c r="U278" s="12"/>
      <c r="V278" s="12"/>
      <c r="W278" s="12"/>
      <c r="X278" s="12"/>
      <c r="Y278" s="12"/>
      <c r="Z278" s="12"/>
      <c r="AA278" s="12"/>
      <c r="AB278" s="12"/>
      <c r="AC278" s="12"/>
      <c r="AD278" s="12"/>
      <c r="AE278" s="12"/>
      <c r="AF278" s="12"/>
    </row>
    <row r="279" spans="1:32">
      <c r="A279" s="8"/>
      <c r="B279" s="8"/>
      <c r="C279" s="8"/>
      <c r="D279" s="8"/>
      <c r="E279" s="8"/>
      <c r="F279" s="8"/>
      <c r="G279" s="8"/>
      <c r="H279" s="8"/>
      <c r="I279" s="8"/>
      <c r="J279" s="8"/>
      <c r="K279" s="8"/>
      <c r="L279" s="8"/>
      <c r="M279" s="8"/>
      <c r="N279" s="8"/>
      <c r="O279" s="8"/>
      <c r="P279" s="8"/>
      <c r="Q279" s="8"/>
      <c r="R279" s="8"/>
      <c r="S279" s="8"/>
      <c r="T279" s="8"/>
      <c r="U279" s="12"/>
      <c r="V279" s="12"/>
      <c r="W279" s="12"/>
      <c r="X279" s="12"/>
      <c r="Y279" s="12"/>
      <c r="Z279" s="12"/>
      <c r="AA279" s="12"/>
      <c r="AB279" s="12"/>
      <c r="AC279" s="12"/>
      <c r="AD279" s="12"/>
      <c r="AE279" s="12"/>
      <c r="AF279" s="12"/>
    </row>
    <row r="280" spans="1:32">
      <c r="A280" s="8"/>
      <c r="B280" s="8"/>
      <c r="C280" s="8"/>
      <c r="D280" s="8"/>
      <c r="E280" s="8"/>
      <c r="F280" s="8"/>
      <c r="G280" s="8"/>
      <c r="H280" s="8"/>
      <c r="I280" s="8"/>
      <c r="J280" s="8"/>
      <c r="K280" s="8"/>
      <c r="L280" s="8"/>
      <c r="M280" s="8"/>
      <c r="N280" s="8"/>
      <c r="O280" s="8"/>
      <c r="P280" s="8"/>
      <c r="Q280" s="8"/>
      <c r="R280" s="8"/>
      <c r="S280" s="8"/>
      <c r="T280" s="8"/>
      <c r="U280" s="12"/>
      <c r="V280" s="12"/>
      <c r="W280" s="12"/>
      <c r="X280" s="12"/>
      <c r="Y280" s="12"/>
      <c r="Z280" s="12"/>
      <c r="AA280" s="12"/>
      <c r="AB280" s="12"/>
      <c r="AC280" s="12"/>
      <c r="AD280" s="12"/>
      <c r="AE280" s="12"/>
      <c r="AF280" s="12"/>
    </row>
    <row r="281" spans="1:32">
      <c r="A281" s="8"/>
      <c r="B281" s="8"/>
      <c r="C281" s="8"/>
      <c r="D281" s="8"/>
      <c r="E281" s="8"/>
      <c r="F281" s="8"/>
      <c r="G281" s="8"/>
      <c r="H281" s="8"/>
      <c r="I281" s="8"/>
      <c r="J281" s="8"/>
      <c r="K281" s="8"/>
      <c r="L281" s="8"/>
      <c r="M281" s="8"/>
      <c r="N281" s="8"/>
      <c r="O281" s="8"/>
      <c r="P281" s="8"/>
      <c r="Q281" s="8"/>
      <c r="R281" s="8"/>
      <c r="S281" s="8"/>
      <c r="T281" s="8"/>
      <c r="U281" s="12"/>
      <c r="V281" s="12"/>
      <c r="W281" s="12"/>
      <c r="X281" s="12"/>
      <c r="Y281" s="12"/>
      <c r="Z281" s="12"/>
      <c r="AA281" s="12"/>
      <c r="AB281" s="12"/>
      <c r="AC281" s="12"/>
      <c r="AD281" s="12"/>
      <c r="AE281" s="12"/>
      <c r="AF281" s="12"/>
    </row>
    <row r="282" spans="1:32">
      <c r="A282" s="8"/>
      <c r="B282" s="8"/>
      <c r="C282" s="8"/>
      <c r="D282" s="8"/>
      <c r="E282" s="8"/>
      <c r="F282" s="8"/>
      <c r="G282" s="8"/>
      <c r="H282" s="8"/>
      <c r="I282" s="8"/>
      <c r="J282" s="8"/>
      <c r="K282" s="8"/>
      <c r="L282" s="8"/>
      <c r="M282" s="8"/>
      <c r="N282" s="8"/>
      <c r="O282" s="8"/>
      <c r="P282" s="8"/>
      <c r="Q282" s="8"/>
      <c r="R282" s="8"/>
      <c r="S282" s="8"/>
      <c r="T282" s="8"/>
      <c r="U282" s="12"/>
      <c r="V282" s="12"/>
      <c r="W282" s="12"/>
      <c r="X282" s="12"/>
      <c r="Y282" s="12"/>
      <c r="Z282" s="12"/>
      <c r="AA282" s="12"/>
      <c r="AB282" s="12"/>
      <c r="AC282" s="12"/>
      <c r="AD282" s="12"/>
      <c r="AE282" s="12"/>
      <c r="AF282" s="12"/>
    </row>
    <row r="283" spans="1:32">
      <c r="A283" s="8"/>
      <c r="B283" s="8"/>
      <c r="C283" s="8"/>
      <c r="D283" s="8"/>
      <c r="E283" s="8"/>
      <c r="F283" s="8"/>
      <c r="G283" s="8"/>
      <c r="H283" s="8"/>
      <c r="I283" s="8"/>
      <c r="J283" s="8"/>
      <c r="K283" s="8"/>
      <c r="L283" s="8"/>
      <c r="M283" s="8"/>
      <c r="N283" s="8"/>
      <c r="O283" s="8"/>
      <c r="P283" s="8"/>
      <c r="Q283" s="8"/>
      <c r="R283" s="8"/>
      <c r="S283" s="8"/>
      <c r="T283" s="8"/>
      <c r="U283" s="12"/>
      <c r="V283" s="12"/>
      <c r="W283" s="12"/>
      <c r="X283" s="12"/>
      <c r="Y283" s="12"/>
      <c r="Z283" s="12"/>
      <c r="AA283" s="12"/>
      <c r="AB283" s="12"/>
      <c r="AC283" s="12"/>
      <c r="AD283" s="12"/>
      <c r="AE283" s="12"/>
      <c r="AF283" s="12"/>
    </row>
    <row r="284" spans="1:32">
      <c r="A284" s="8"/>
      <c r="B284" s="8"/>
      <c r="C284" s="8"/>
      <c r="D284" s="8"/>
      <c r="E284" s="8"/>
      <c r="F284" s="8"/>
      <c r="G284" s="8"/>
      <c r="H284" s="8"/>
      <c r="I284" s="8"/>
      <c r="J284" s="8"/>
      <c r="K284" s="8"/>
      <c r="L284" s="8"/>
      <c r="M284" s="8"/>
      <c r="N284" s="8"/>
      <c r="O284" s="8"/>
      <c r="P284" s="8"/>
      <c r="Q284" s="8"/>
      <c r="R284" s="8"/>
      <c r="S284" s="8"/>
      <c r="T284" s="8"/>
      <c r="U284" s="12"/>
      <c r="V284" s="12"/>
      <c r="W284" s="12"/>
      <c r="X284" s="12"/>
      <c r="Y284" s="12"/>
      <c r="Z284" s="12"/>
      <c r="AA284" s="12"/>
      <c r="AB284" s="12"/>
      <c r="AC284" s="12"/>
      <c r="AD284" s="12"/>
      <c r="AE284" s="12"/>
      <c r="AF284" s="12"/>
    </row>
    <row r="285" spans="1:32">
      <c r="A285" s="8"/>
      <c r="B285" s="8"/>
      <c r="C285" s="8"/>
      <c r="D285" s="8"/>
      <c r="E285" s="8"/>
      <c r="F285" s="8"/>
      <c r="G285" s="8"/>
      <c r="H285" s="8"/>
      <c r="I285" s="8"/>
      <c r="J285" s="8"/>
      <c r="K285" s="8"/>
      <c r="L285" s="8"/>
      <c r="M285" s="8"/>
      <c r="N285" s="8"/>
      <c r="O285" s="8"/>
      <c r="P285" s="8"/>
      <c r="Q285" s="8"/>
      <c r="R285" s="8"/>
      <c r="S285" s="8"/>
      <c r="T285" s="8"/>
      <c r="U285" s="12"/>
      <c r="V285" s="12"/>
      <c r="W285" s="12"/>
      <c r="X285" s="12"/>
      <c r="Y285" s="12"/>
      <c r="Z285" s="12"/>
      <c r="AA285" s="12"/>
      <c r="AB285" s="12"/>
      <c r="AC285" s="12"/>
      <c r="AD285" s="12"/>
      <c r="AE285" s="12"/>
      <c r="AF285" s="12"/>
    </row>
    <row r="286" spans="1:32">
      <c r="A286" s="8"/>
      <c r="B286" s="8"/>
      <c r="C286" s="8"/>
      <c r="D286" s="8"/>
      <c r="E286" s="8"/>
      <c r="F286" s="8"/>
      <c r="G286" s="8"/>
      <c r="H286" s="8"/>
      <c r="I286" s="8"/>
      <c r="J286" s="8"/>
      <c r="K286" s="8"/>
      <c r="L286" s="8"/>
      <c r="M286" s="8"/>
      <c r="N286" s="8"/>
      <c r="O286" s="8"/>
      <c r="P286" s="8"/>
      <c r="Q286" s="8"/>
      <c r="R286" s="8"/>
      <c r="S286" s="8"/>
      <c r="T286" s="8"/>
      <c r="U286" s="12"/>
      <c r="V286" s="12"/>
      <c r="W286" s="12"/>
      <c r="X286" s="12"/>
      <c r="Y286" s="12"/>
      <c r="Z286" s="12"/>
      <c r="AA286" s="12"/>
      <c r="AB286" s="12"/>
      <c r="AC286" s="12"/>
      <c r="AD286" s="12"/>
      <c r="AE286" s="12"/>
      <c r="AF286" s="12"/>
    </row>
    <row r="287" spans="1:32">
      <c r="A287" s="8"/>
      <c r="B287" s="8"/>
      <c r="C287" s="8"/>
      <c r="D287" s="8"/>
      <c r="E287" s="8"/>
      <c r="F287" s="8"/>
      <c r="G287" s="8"/>
      <c r="H287" s="8"/>
      <c r="I287" s="8"/>
      <c r="J287" s="8"/>
      <c r="K287" s="8"/>
      <c r="L287" s="8"/>
      <c r="M287" s="8"/>
      <c r="N287" s="8"/>
      <c r="O287" s="8"/>
      <c r="P287" s="8"/>
      <c r="Q287" s="8"/>
      <c r="R287" s="8"/>
      <c r="S287" s="8"/>
      <c r="T287" s="8"/>
      <c r="U287" s="12"/>
      <c r="V287" s="12"/>
      <c r="W287" s="12"/>
      <c r="X287" s="12"/>
      <c r="Y287" s="12"/>
      <c r="Z287" s="12"/>
      <c r="AA287" s="12"/>
      <c r="AB287" s="12"/>
      <c r="AC287" s="12"/>
      <c r="AD287" s="12"/>
      <c r="AE287" s="12"/>
      <c r="AF287" s="12"/>
    </row>
    <row r="288" spans="1:32">
      <c r="A288" s="8"/>
      <c r="B288" s="8"/>
      <c r="C288" s="8"/>
      <c r="D288" s="8"/>
      <c r="E288" s="8"/>
      <c r="F288" s="8"/>
      <c r="G288" s="8"/>
      <c r="H288" s="8"/>
      <c r="I288" s="8"/>
      <c r="J288" s="8"/>
      <c r="K288" s="8"/>
      <c r="L288" s="8"/>
      <c r="M288" s="8"/>
      <c r="N288" s="8"/>
      <c r="O288" s="8"/>
      <c r="P288" s="8"/>
      <c r="Q288" s="8"/>
      <c r="R288" s="8"/>
      <c r="S288" s="8"/>
      <c r="T288" s="8"/>
      <c r="U288" s="12"/>
      <c r="V288" s="12"/>
      <c r="W288" s="12"/>
      <c r="X288" s="12"/>
      <c r="Y288" s="12"/>
      <c r="Z288" s="12"/>
      <c r="AA288" s="12"/>
      <c r="AB288" s="12"/>
      <c r="AC288" s="12"/>
      <c r="AD288" s="12"/>
      <c r="AE288" s="12"/>
      <c r="AF288" s="12"/>
    </row>
    <row r="289" spans="1:32">
      <c r="A289" s="8"/>
      <c r="B289" s="8"/>
      <c r="C289" s="8"/>
      <c r="D289" s="8"/>
      <c r="E289" s="8"/>
      <c r="F289" s="8"/>
      <c r="G289" s="8"/>
      <c r="H289" s="8"/>
      <c r="I289" s="8"/>
      <c r="J289" s="8"/>
      <c r="K289" s="8"/>
      <c r="L289" s="8"/>
      <c r="M289" s="8"/>
      <c r="N289" s="8"/>
      <c r="O289" s="8"/>
      <c r="P289" s="8"/>
      <c r="Q289" s="8"/>
      <c r="R289" s="8"/>
      <c r="S289" s="8"/>
      <c r="T289" s="8"/>
      <c r="U289" s="12"/>
      <c r="V289" s="12"/>
      <c r="W289" s="12"/>
      <c r="X289" s="12"/>
      <c r="Y289" s="12"/>
      <c r="Z289" s="12"/>
      <c r="AA289" s="12"/>
      <c r="AB289" s="12"/>
      <c r="AC289" s="12"/>
      <c r="AD289" s="12"/>
      <c r="AE289" s="12"/>
      <c r="AF289" s="12"/>
    </row>
    <row r="290" spans="1:32">
      <c r="A290" s="8"/>
      <c r="B290" s="8"/>
      <c r="C290" s="8"/>
      <c r="D290" s="8"/>
      <c r="E290" s="8"/>
      <c r="F290" s="8"/>
      <c r="G290" s="8"/>
      <c r="H290" s="8"/>
      <c r="I290" s="8"/>
      <c r="J290" s="8"/>
      <c r="K290" s="8"/>
      <c r="L290" s="8"/>
      <c r="M290" s="8"/>
      <c r="N290" s="8"/>
      <c r="O290" s="8"/>
      <c r="P290" s="8"/>
      <c r="Q290" s="8"/>
      <c r="R290" s="8"/>
      <c r="S290" s="8"/>
      <c r="T290" s="8"/>
      <c r="U290" s="12"/>
      <c r="V290" s="12"/>
      <c r="W290" s="12"/>
      <c r="X290" s="12"/>
      <c r="Y290" s="12"/>
      <c r="Z290" s="12"/>
      <c r="AA290" s="12"/>
      <c r="AB290" s="12"/>
      <c r="AC290" s="12"/>
      <c r="AD290" s="12"/>
      <c r="AE290" s="12"/>
      <c r="AF290" s="12"/>
    </row>
    <row r="291" spans="1:32">
      <c r="A291" s="8"/>
      <c r="B291" s="8"/>
      <c r="C291" s="8"/>
      <c r="D291" s="8"/>
      <c r="E291" s="8"/>
      <c r="F291" s="8"/>
      <c r="G291" s="8"/>
      <c r="H291" s="8"/>
      <c r="I291" s="8"/>
      <c r="J291" s="8"/>
      <c r="K291" s="8"/>
      <c r="L291" s="8"/>
      <c r="M291" s="8"/>
      <c r="N291" s="8"/>
      <c r="O291" s="8"/>
      <c r="P291" s="8"/>
      <c r="Q291" s="8"/>
      <c r="R291" s="8"/>
      <c r="S291" s="8"/>
      <c r="T291" s="8"/>
      <c r="U291" s="12"/>
      <c r="V291" s="12"/>
      <c r="W291" s="12"/>
      <c r="X291" s="12"/>
      <c r="Y291" s="12"/>
      <c r="Z291" s="12"/>
      <c r="AA291" s="12"/>
      <c r="AB291" s="12"/>
      <c r="AC291" s="12"/>
      <c r="AD291" s="12"/>
      <c r="AE291" s="12"/>
      <c r="AF291" s="12"/>
    </row>
    <row r="292" spans="1:32">
      <c r="A292" s="8"/>
      <c r="B292" s="8"/>
      <c r="C292" s="8"/>
      <c r="D292" s="8"/>
      <c r="E292" s="8"/>
      <c r="F292" s="8"/>
      <c r="G292" s="8"/>
      <c r="H292" s="8"/>
      <c r="I292" s="8"/>
      <c r="J292" s="8"/>
      <c r="K292" s="8"/>
      <c r="L292" s="8"/>
      <c r="M292" s="8"/>
      <c r="N292" s="8"/>
      <c r="O292" s="8"/>
      <c r="P292" s="8"/>
      <c r="Q292" s="8"/>
      <c r="R292" s="8"/>
      <c r="S292" s="8"/>
      <c r="T292" s="8"/>
      <c r="U292" s="12"/>
      <c r="V292" s="12"/>
      <c r="W292" s="12"/>
      <c r="X292" s="12"/>
      <c r="Y292" s="12"/>
      <c r="Z292" s="12"/>
      <c r="AA292" s="12"/>
      <c r="AB292" s="12"/>
      <c r="AC292" s="12"/>
      <c r="AD292" s="12"/>
      <c r="AE292" s="12"/>
      <c r="AF292" s="12"/>
    </row>
    <row r="293" spans="1:32">
      <c r="A293" s="8"/>
      <c r="B293" s="8"/>
      <c r="C293" s="8"/>
      <c r="D293" s="8"/>
      <c r="E293" s="8"/>
      <c r="F293" s="8"/>
      <c r="G293" s="8"/>
      <c r="H293" s="8"/>
      <c r="I293" s="8"/>
      <c r="J293" s="8"/>
      <c r="K293" s="8"/>
      <c r="L293" s="8"/>
      <c r="M293" s="8"/>
      <c r="N293" s="8"/>
      <c r="O293" s="8"/>
      <c r="P293" s="8"/>
      <c r="Q293" s="8"/>
      <c r="R293" s="8"/>
      <c r="S293" s="8"/>
      <c r="T293" s="8"/>
      <c r="U293" s="12"/>
      <c r="V293" s="12"/>
      <c r="W293" s="12"/>
      <c r="X293" s="12"/>
      <c r="Y293" s="12"/>
      <c r="Z293" s="12"/>
      <c r="AA293" s="12"/>
      <c r="AB293" s="12"/>
      <c r="AC293" s="12"/>
      <c r="AD293" s="12"/>
      <c r="AE293" s="12"/>
      <c r="AF293" s="12"/>
    </row>
    <row r="294" spans="1:32">
      <c r="A294" s="8"/>
      <c r="B294" s="8"/>
      <c r="C294" s="8"/>
      <c r="D294" s="8"/>
      <c r="E294" s="8"/>
      <c r="F294" s="8"/>
      <c r="G294" s="8"/>
      <c r="H294" s="8"/>
      <c r="I294" s="8"/>
      <c r="J294" s="8"/>
      <c r="K294" s="8"/>
      <c r="L294" s="8"/>
      <c r="M294" s="8"/>
      <c r="N294" s="8"/>
      <c r="O294" s="8"/>
      <c r="P294" s="8"/>
      <c r="Q294" s="8"/>
      <c r="R294" s="8"/>
      <c r="S294" s="8"/>
      <c r="T294" s="8"/>
      <c r="U294" s="12"/>
      <c r="V294" s="12"/>
      <c r="W294" s="12"/>
      <c r="X294" s="12"/>
      <c r="Y294" s="12"/>
      <c r="Z294" s="12"/>
      <c r="AA294" s="12"/>
      <c r="AB294" s="12"/>
      <c r="AC294" s="12"/>
      <c r="AD294" s="12"/>
      <c r="AE294" s="12"/>
      <c r="AF294" s="12"/>
    </row>
    <row r="295" spans="1:32">
      <c r="A295" s="8"/>
      <c r="B295" s="8"/>
      <c r="C295" s="8"/>
      <c r="D295" s="8"/>
      <c r="E295" s="8"/>
      <c r="F295" s="8"/>
      <c r="G295" s="8"/>
      <c r="H295" s="8"/>
      <c r="I295" s="8"/>
      <c r="J295" s="8"/>
      <c r="K295" s="8"/>
      <c r="L295" s="8"/>
      <c r="M295" s="8"/>
      <c r="N295" s="8"/>
      <c r="O295" s="8"/>
      <c r="P295" s="8"/>
      <c r="Q295" s="8"/>
      <c r="R295" s="8"/>
      <c r="S295" s="8"/>
      <c r="T295" s="8"/>
      <c r="U295" s="12"/>
      <c r="V295" s="12"/>
      <c r="W295" s="12"/>
      <c r="X295" s="12"/>
      <c r="Y295" s="12"/>
      <c r="Z295" s="12"/>
      <c r="AA295" s="12"/>
      <c r="AB295" s="12"/>
      <c r="AC295" s="12"/>
      <c r="AD295" s="12"/>
      <c r="AE295" s="12"/>
      <c r="AF295" s="12"/>
    </row>
    <row r="296" spans="1:32">
      <c r="A296" s="8"/>
      <c r="B296" s="8"/>
      <c r="C296" s="8"/>
      <c r="D296" s="8"/>
      <c r="E296" s="8"/>
      <c r="F296" s="8"/>
      <c r="G296" s="8"/>
      <c r="H296" s="8"/>
      <c r="I296" s="8"/>
      <c r="J296" s="8"/>
      <c r="K296" s="8"/>
      <c r="L296" s="8"/>
      <c r="M296" s="8"/>
      <c r="N296" s="8"/>
      <c r="O296" s="8"/>
      <c r="P296" s="8"/>
      <c r="Q296" s="8"/>
      <c r="R296" s="8"/>
      <c r="S296" s="8"/>
      <c r="T296" s="8"/>
      <c r="U296" s="12"/>
      <c r="V296" s="12"/>
      <c r="W296" s="12"/>
      <c r="X296" s="12"/>
      <c r="Y296" s="12"/>
      <c r="Z296" s="12"/>
      <c r="AA296" s="12"/>
      <c r="AB296" s="12"/>
      <c r="AC296" s="12"/>
      <c r="AD296" s="12"/>
      <c r="AE296" s="12"/>
      <c r="AF296" s="12"/>
    </row>
    <row r="297" spans="1:32">
      <c r="A297" s="8"/>
      <c r="B297" s="8"/>
      <c r="C297" s="8"/>
      <c r="D297" s="8"/>
      <c r="E297" s="8"/>
      <c r="F297" s="8"/>
      <c r="G297" s="8"/>
      <c r="H297" s="8"/>
      <c r="I297" s="8"/>
      <c r="J297" s="8"/>
      <c r="K297" s="8"/>
      <c r="L297" s="8"/>
      <c r="M297" s="8"/>
      <c r="N297" s="8"/>
      <c r="O297" s="8"/>
      <c r="P297" s="8"/>
      <c r="Q297" s="8"/>
      <c r="R297" s="8"/>
      <c r="S297" s="8"/>
      <c r="T297" s="8"/>
      <c r="U297" s="12"/>
      <c r="V297" s="12"/>
      <c r="W297" s="12"/>
      <c r="X297" s="12"/>
      <c r="Y297" s="12"/>
      <c r="Z297" s="12"/>
      <c r="AA297" s="12"/>
      <c r="AB297" s="12"/>
      <c r="AC297" s="12"/>
      <c r="AD297" s="12"/>
      <c r="AE297" s="12"/>
      <c r="AF297" s="12"/>
    </row>
    <row r="298" spans="1:32">
      <c r="A298" s="8"/>
      <c r="B298" s="8"/>
      <c r="C298" s="8"/>
      <c r="D298" s="8"/>
      <c r="E298" s="8"/>
      <c r="F298" s="8"/>
      <c r="G298" s="8"/>
      <c r="H298" s="8"/>
      <c r="I298" s="8"/>
      <c r="J298" s="8"/>
      <c r="K298" s="8"/>
      <c r="L298" s="8"/>
      <c r="M298" s="8"/>
      <c r="N298" s="8"/>
      <c r="O298" s="8"/>
      <c r="P298" s="8"/>
      <c r="Q298" s="8"/>
      <c r="R298" s="8"/>
      <c r="S298" s="8"/>
      <c r="T298" s="8"/>
      <c r="U298" s="12"/>
      <c r="V298" s="12"/>
      <c r="W298" s="12"/>
      <c r="X298" s="12"/>
      <c r="Y298" s="12"/>
      <c r="Z298" s="12"/>
      <c r="AA298" s="12"/>
      <c r="AB298" s="12"/>
      <c r="AC298" s="12"/>
      <c r="AD298" s="12"/>
      <c r="AE298" s="12"/>
      <c r="AF298" s="12"/>
    </row>
    <row r="299" spans="1:32">
      <c r="A299" s="8"/>
      <c r="B299" s="8"/>
      <c r="C299" s="8"/>
      <c r="D299" s="8"/>
      <c r="E299" s="8"/>
      <c r="F299" s="8"/>
      <c r="G299" s="8"/>
      <c r="H299" s="8"/>
      <c r="I299" s="8"/>
      <c r="J299" s="8"/>
      <c r="K299" s="8"/>
      <c r="L299" s="8"/>
      <c r="M299" s="8"/>
      <c r="N299" s="8"/>
      <c r="O299" s="8"/>
      <c r="P299" s="8"/>
      <c r="Q299" s="8"/>
      <c r="R299" s="8"/>
      <c r="S299" s="8"/>
      <c r="T299" s="8"/>
      <c r="U299" s="12"/>
      <c r="V299" s="12"/>
      <c r="W299" s="12"/>
      <c r="X299" s="12"/>
      <c r="Y299" s="12"/>
      <c r="Z299" s="12"/>
      <c r="AA299" s="12"/>
      <c r="AB299" s="12"/>
      <c r="AC299" s="12"/>
      <c r="AD299" s="12"/>
      <c r="AE299" s="12"/>
      <c r="AF299" s="12"/>
    </row>
    <row r="300" spans="1:32">
      <c r="A300" s="8"/>
      <c r="B300" s="8"/>
      <c r="C300" s="8"/>
      <c r="D300" s="8"/>
      <c r="E300" s="8"/>
      <c r="F300" s="8"/>
      <c r="G300" s="8"/>
      <c r="H300" s="8"/>
      <c r="I300" s="8"/>
      <c r="J300" s="8"/>
      <c r="K300" s="8"/>
      <c r="L300" s="8"/>
      <c r="M300" s="8"/>
      <c r="N300" s="8"/>
      <c r="O300" s="8"/>
      <c r="P300" s="8"/>
      <c r="Q300" s="8"/>
      <c r="R300" s="8"/>
      <c r="S300" s="8"/>
      <c r="T300" s="8"/>
      <c r="U300" s="12"/>
      <c r="V300" s="12"/>
      <c r="W300" s="12"/>
      <c r="X300" s="12"/>
      <c r="Y300" s="12"/>
      <c r="Z300" s="12"/>
      <c r="AA300" s="12"/>
      <c r="AB300" s="12"/>
      <c r="AC300" s="12"/>
      <c r="AD300" s="12"/>
      <c r="AE300" s="12"/>
      <c r="AF300" s="12"/>
    </row>
    <row r="301" spans="1:32">
      <c r="A301" s="8"/>
      <c r="B301" s="8"/>
      <c r="C301" s="8"/>
      <c r="D301" s="8"/>
      <c r="E301" s="8"/>
      <c r="F301" s="8"/>
      <c r="G301" s="8"/>
      <c r="H301" s="8"/>
      <c r="I301" s="8"/>
      <c r="J301" s="8"/>
      <c r="K301" s="8"/>
      <c r="L301" s="8"/>
      <c r="M301" s="8"/>
      <c r="N301" s="8"/>
      <c r="O301" s="8"/>
      <c r="P301" s="8"/>
      <c r="Q301" s="8"/>
      <c r="R301" s="8"/>
      <c r="S301" s="8"/>
      <c r="T301" s="8"/>
      <c r="U301" s="12"/>
      <c r="V301" s="12"/>
      <c r="W301" s="12"/>
      <c r="X301" s="12"/>
      <c r="Y301" s="12"/>
      <c r="Z301" s="12"/>
      <c r="AA301" s="12"/>
      <c r="AB301" s="12"/>
      <c r="AC301" s="12"/>
      <c r="AD301" s="12"/>
      <c r="AE301" s="12"/>
      <c r="AF301" s="12"/>
    </row>
    <row r="302" spans="1:32">
      <c r="A302" s="8"/>
      <c r="B302" s="8"/>
      <c r="C302" s="8"/>
      <c r="D302" s="8"/>
      <c r="E302" s="8"/>
      <c r="F302" s="8"/>
      <c r="G302" s="8"/>
      <c r="H302" s="8"/>
      <c r="I302" s="8"/>
      <c r="J302" s="8"/>
      <c r="K302" s="8"/>
      <c r="L302" s="8"/>
      <c r="M302" s="8"/>
      <c r="N302" s="8"/>
      <c r="O302" s="8"/>
      <c r="P302" s="8"/>
      <c r="Q302" s="8"/>
      <c r="R302" s="8"/>
      <c r="S302" s="8"/>
      <c r="T302" s="8"/>
      <c r="U302" s="12"/>
      <c r="V302" s="12"/>
      <c r="W302" s="12"/>
      <c r="X302" s="12"/>
      <c r="Y302" s="12"/>
      <c r="Z302" s="12"/>
      <c r="AA302" s="12"/>
      <c r="AB302" s="12"/>
      <c r="AC302" s="12"/>
      <c r="AD302" s="12"/>
      <c r="AE302" s="12"/>
      <c r="AF302" s="12"/>
    </row>
    <row r="303" spans="1:32">
      <c r="A303" s="8"/>
      <c r="B303" s="8"/>
      <c r="C303" s="8"/>
      <c r="D303" s="8"/>
      <c r="E303" s="8"/>
      <c r="F303" s="8"/>
      <c r="G303" s="8"/>
      <c r="H303" s="8"/>
      <c r="I303" s="8"/>
      <c r="J303" s="8"/>
      <c r="K303" s="8"/>
      <c r="L303" s="8"/>
      <c r="M303" s="8"/>
      <c r="N303" s="8"/>
      <c r="O303" s="8"/>
      <c r="P303" s="8"/>
      <c r="Q303" s="8"/>
      <c r="R303" s="8"/>
      <c r="S303" s="8"/>
      <c r="T303" s="8"/>
      <c r="U303" s="12"/>
      <c r="V303" s="12"/>
      <c r="W303" s="12"/>
      <c r="X303" s="12"/>
      <c r="Y303" s="12"/>
      <c r="Z303" s="12"/>
      <c r="AA303" s="12"/>
      <c r="AB303" s="12"/>
      <c r="AC303" s="12"/>
      <c r="AD303" s="12"/>
      <c r="AE303" s="12"/>
      <c r="AF303" s="12"/>
    </row>
    <row r="304" spans="1:32">
      <c r="A304" s="8"/>
      <c r="B304" s="8"/>
      <c r="C304" s="8"/>
      <c r="D304" s="8"/>
      <c r="E304" s="8"/>
      <c r="F304" s="8"/>
      <c r="G304" s="8"/>
      <c r="H304" s="8"/>
      <c r="I304" s="8"/>
      <c r="J304" s="8"/>
      <c r="K304" s="8"/>
      <c r="L304" s="8"/>
      <c r="M304" s="8"/>
      <c r="N304" s="8"/>
      <c r="O304" s="8"/>
      <c r="P304" s="8"/>
      <c r="Q304" s="8"/>
      <c r="R304" s="8"/>
      <c r="S304" s="8"/>
      <c r="T304" s="8"/>
      <c r="U304" s="12"/>
      <c r="V304" s="12"/>
      <c r="W304" s="12"/>
      <c r="X304" s="12"/>
      <c r="Y304" s="12"/>
      <c r="Z304" s="12"/>
      <c r="AA304" s="12"/>
      <c r="AB304" s="12"/>
      <c r="AC304" s="12"/>
      <c r="AD304" s="12"/>
      <c r="AE304" s="12"/>
      <c r="AF304" s="12"/>
    </row>
    <row r="305" spans="1:32">
      <c r="A305" s="8"/>
      <c r="B305" s="8"/>
      <c r="C305" s="8"/>
      <c r="D305" s="8"/>
      <c r="E305" s="8"/>
      <c r="F305" s="8"/>
      <c r="G305" s="8"/>
      <c r="H305" s="8"/>
      <c r="I305" s="8"/>
      <c r="J305" s="8"/>
      <c r="K305" s="8"/>
      <c r="L305" s="8"/>
      <c r="M305" s="8"/>
      <c r="N305" s="8"/>
      <c r="O305" s="8"/>
      <c r="P305" s="8"/>
      <c r="Q305" s="8"/>
      <c r="R305" s="8"/>
      <c r="S305" s="8"/>
      <c r="T305" s="8"/>
      <c r="U305" s="12"/>
      <c r="V305" s="12"/>
      <c r="W305" s="12"/>
      <c r="X305" s="12"/>
      <c r="Y305" s="12"/>
      <c r="Z305" s="12"/>
      <c r="AA305" s="12"/>
      <c r="AB305" s="12"/>
      <c r="AC305" s="12"/>
      <c r="AD305" s="12"/>
      <c r="AE305" s="12"/>
      <c r="AF305" s="12"/>
    </row>
    <row r="306" spans="1:32">
      <c r="A306" s="8"/>
      <c r="B306" s="8"/>
      <c r="C306" s="8"/>
      <c r="D306" s="8"/>
      <c r="E306" s="8"/>
      <c r="F306" s="8"/>
      <c r="G306" s="8"/>
      <c r="H306" s="8"/>
      <c r="I306" s="8"/>
      <c r="J306" s="8"/>
      <c r="K306" s="8"/>
      <c r="L306" s="8"/>
      <c r="M306" s="8"/>
      <c r="N306" s="8"/>
      <c r="O306" s="8"/>
      <c r="P306" s="8"/>
      <c r="Q306" s="8"/>
      <c r="R306" s="8"/>
      <c r="S306" s="8"/>
      <c r="T306" s="8"/>
      <c r="U306" s="12"/>
      <c r="V306" s="12"/>
      <c r="W306" s="12"/>
      <c r="X306" s="12"/>
      <c r="Y306" s="12"/>
      <c r="Z306" s="12"/>
      <c r="AA306" s="12"/>
      <c r="AB306" s="12"/>
      <c r="AC306" s="12"/>
      <c r="AD306" s="12"/>
      <c r="AE306" s="12"/>
      <c r="AF306" s="12"/>
    </row>
    <row r="307" spans="1:32">
      <c r="A307" s="8"/>
      <c r="B307" s="8"/>
      <c r="C307" s="8"/>
      <c r="D307" s="8"/>
      <c r="E307" s="8"/>
      <c r="F307" s="8"/>
      <c r="G307" s="8"/>
      <c r="H307" s="8"/>
      <c r="I307" s="8"/>
      <c r="J307" s="8"/>
      <c r="K307" s="8"/>
      <c r="L307" s="8"/>
      <c r="M307" s="8"/>
      <c r="N307" s="8"/>
      <c r="O307" s="8"/>
      <c r="P307" s="8"/>
      <c r="Q307" s="8"/>
      <c r="R307" s="8"/>
      <c r="S307" s="8"/>
      <c r="T307" s="8"/>
      <c r="U307" s="12"/>
      <c r="V307" s="12"/>
      <c r="W307" s="12"/>
      <c r="X307" s="12"/>
      <c r="Y307" s="12"/>
      <c r="Z307" s="12"/>
      <c r="AA307" s="12"/>
      <c r="AB307" s="12"/>
      <c r="AC307" s="12"/>
      <c r="AD307" s="12"/>
      <c r="AE307" s="12"/>
      <c r="AF307" s="12"/>
    </row>
    <row r="308" spans="1:32">
      <c r="A308" s="8"/>
      <c r="B308" s="8"/>
      <c r="C308" s="8"/>
      <c r="D308" s="8"/>
      <c r="E308" s="8"/>
      <c r="F308" s="8"/>
      <c r="G308" s="8"/>
      <c r="H308" s="8"/>
      <c r="I308" s="8"/>
      <c r="J308" s="8"/>
      <c r="K308" s="8"/>
      <c r="L308" s="8"/>
      <c r="M308" s="8"/>
      <c r="N308" s="8"/>
      <c r="O308" s="8"/>
      <c r="P308" s="8"/>
      <c r="Q308" s="8"/>
      <c r="R308" s="8"/>
      <c r="S308" s="8"/>
      <c r="T308" s="8"/>
      <c r="U308" s="12"/>
      <c r="V308" s="12"/>
      <c r="W308" s="12"/>
      <c r="X308" s="12"/>
      <c r="Y308" s="12"/>
      <c r="Z308" s="12"/>
      <c r="AA308" s="12"/>
      <c r="AB308" s="12"/>
      <c r="AC308" s="12"/>
      <c r="AD308" s="12"/>
      <c r="AE308" s="12"/>
      <c r="AF308" s="12"/>
    </row>
    <row r="309" spans="1:32">
      <c r="A309" s="8"/>
      <c r="B309" s="8"/>
      <c r="C309" s="8"/>
      <c r="D309" s="8"/>
      <c r="E309" s="8"/>
      <c r="F309" s="8"/>
      <c r="G309" s="8"/>
      <c r="H309" s="8"/>
      <c r="I309" s="8"/>
      <c r="J309" s="8"/>
      <c r="K309" s="8"/>
      <c r="L309" s="8"/>
      <c r="M309" s="8"/>
      <c r="N309" s="8"/>
      <c r="O309" s="8"/>
      <c r="P309" s="8"/>
      <c r="Q309" s="8"/>
      <c r="R309" s="8"/>
      <c r="S309" s="8"/>
      <c r="T309" s="8"/>
      <c r="U309" s="12"/>
      <c r="V309" s="12"/>
      <c r="W309" s="12"/>
      <c r="X309" s="12"/>
      <c r="Y309" s="12"/>
      <c r="Z309" s="12"/>
      <c r="AA309" s="12"/>
      <c r="AB309" s="12"/>
      <c r="AC309" s="12"/>
      <c r="AD309" s="12"/>
      <c r="AE309" s="12"/>
      <c r="AF309" s="12"/>
    </row>
    <row r="310" spans="1:32">
      <c r="A310" s="8"/>
      <c r="B310" s="8"/>
      <c r="C310" s="8"/>
      <c r="D310" s="8"/>
      <c r="E310" s="8"/>
      <c r="F310" s="8"/>
      <c r="G310" s="8"/>
      <c r="H310" s="8"/>
      <c r="I310" s="8"/>
      <c r="J310" s="8"/>
      <c r="K310" s="8"/>
      <c r="L310" s="8"/>
      <c r="M310" s="8"/>
      <c r="N310" s="8"/>
      <c r="O310" s="8"/>
      <c r="P310" s="8"/>
      <c r="Q310" s="8"/>
      <c r="R310" s="8"/>
      <c r="S310" s="8"/>
      <c r="T310" s="8"/>
      <c r="U310" s="12"/>
      <c r="V310" s="12"/>
      <c r="W310" s="12"/>
      <c r="X310" s="12"/>
      <c r="Y310" s="12"/>
      <c r="Z310" s="12"/>
      <c r="AA310" s="12"/>
      <c r="AB310" s="12"/>
      <c r="AC310" s="12"/>
      <c r="AD310" s="12"/>
      <c r="AE310" s="12"/>
      <c r="AF310" s="12"/>
    </row>
    <row r="311" spans="1:32">
      <c r="A311" s="8"/>
      <c r="B311" s="8"/>
      <c r="C311" s="8"/>
      <c r="D311" s="8"/>
      <c r="E311" s="8"/>
      <c r="F311" s="8"/>
      <c r="G311" s="8"/>
      <c r="H311" s="8"/>
      <c r="I311" s="8"/>
      <c r="J311" s="8"/>
      <c r="K311" s="8"/>
      <c r="L311" s="8"/>
      <c r="M311" s="8"/>
      <c r="N311" s="8"/>
      <c r="O311" s="8"/>
      <c r="P311" s="8"/>
      <c r="Q311" s="8"/>
      <c r="R311" s="8"/>
      <c r="S311" s="8"/>
      <c r="T311" s="8"/>
      <c r="U311" s="12"/>
      <c r="V311" s="12"/>
      <c r="W311" s="12"/>
      <c r="X311" s="12"/>
      <c r="Y311" s="12"/>
      <c r="Z311" s="12"/>
      <c r="AA311" s="12"/>
      <c r="AB311" s="12"/>
      <c r="AC311" s="12"/>
      <c r="AD311" s="12"/>
      <c r="AE311" s="12"/>
      <c r="AF311" s="12"/>
    </row>
    <row r="312" spans="1:32">
      <c r="A312" s="8"/>
      <c r="B312" s="8"/>
      <c r="C312" s="8"/>
      <c r="D312" s="8"/>
      <c r="E312" s="8"/>
      <c r="F312" s="8"/>
      <c r="G312" s="8"/>
      <c r="H312" s="8"/>
      <c r="I312" s="8"/>
      <c r="J312" s="8"/>
      <c r="K312" s="8"/>
      <c r="L312" s="8"/>
      <c r="M312" s="8"/>
      <c r="N312" s="8"/>
      <c r="O312" s="8"/>
      <c r="P312" s="8"/>
      <c r="Q312" s="8"/>
      <c r="R312" s="8"/>
      <c r="S312" s="8"/>
      <c r="T312" s="8"/>
      <c r="U312" s="12"/>
      <c r="V312" s="12"/>
      <c r="W312" s="12"/>
      <c r="X312" s="12"/>
      <c r="Y312" s="12"/>
      <c r="Z312" s="12"/>
      <c r="AA312" s="12"/>
      <c r="AB312" s="12"/>
      <c r="AC312" s="12"/>
      <c r="AD312" s="12"/>
      <c r="AE312" s="12"/>
      <c r="AF312" s="12"/>
    </row>
    <row r="313" spans="1:32">
      <c r="A313" s="8"/>
      <c r="B313" s="8"/>
      <c r="C313" s="8"/>
      <c r="D313" s="8"/>
      <c r="E313" s="8"/>
      <c r="F313" s="8"/>
      <c r="G313" s="8"/>
      <c r="H313" s="8"/>
      <c r="I313" s="8"/>
      <c r="J313" s="8"/>
      <c r="K313" s="8"/>
      <c r="L313" s="8"/>
      <c r="M313" s="8"/>
      <c r="N313" s="8"/>
      <c r="O313" s="8"/>
      <c r="P313" s="8"/>
      <c r="Q313" s="8"/>
      <c r="R313" s="8"/>
      <c r="S313" s="8"/>
      <c r="T313" s="8"/>
      <c r="U313" s="12"/>
      <c r="V313" s="12"/>
      <c r="W313" s="12"/>
      <c r="X313" s="12"/>
      <c r="Y313" s="12"/>
      <c r="Z313" s="12"/>
      <c r="AA313" s="12"/>
      <c r="AB313" s="12"/>
      <c r="AC313" s="12"/>
      <c r="AD313" s="12"/>
      <c r="AE313" s="12"/>
      <c r="AF313" s="12"/>
    </row>
    <row r="314" spans="1:32">
      <c r="A314" s="8"/>
      <c r="B314" s="8"/>
      <c r="C314" s="8"/>
      <c r="D314" s="8"/>
      <c r="E314" s="8"/>
      <c r="F314" s="8"/>
      <c r="G314" s="8"/>
      <c r="H314" s="8"/>
      <c r="I314" s="8"/>
      <c r="J314" s="8"/>
      <c r="K314" s="8"/>
      <c r="L314" s="8"/>
      <c r="M314" s="8"/>
      <c r="N314" s="8"/>
      <c r="O314" s="8"/>
      <c r="P314" s="8"/>
      <c r="Q314" s="8"/>
      <c r="R314" s="8"/>
      <c r="S314" s="8"/>
      <c r="T314" s="8"/>
      <c r="U314" s="12"/>
      <c r="V314" s="12"/>
      <c r="W314" s="12"/>
      <c r="X314" s="12"/>
      <c r="Y314" s="12"/>
      <c r="Z314" s="12"/>
      <c r="AA314" s="12"/>
      <c r="AB314" s="12"/>
      <c r="AC314" s="12"/>
      <c r="AD314" s="12"/>
      <c r="AE314" s="12"/>
      <c r="AF314" s="12"/>
    </row>
    <row r="315" spans="1:32">
      <c r="A315" s="8"/>
      <c r="B315" s="8"/>
      <c r="C315" s="8"/>
      <c r="D315" s="8"/>
      <c r="E315" s="8"/>
      <c r="F315" s="8"/>
      <c r="G315" s="8"/>
      <c r="H315" s="8"/>
      <c r="I315" s="8"/>
      <c r="J315" s="8"/>
      <c r="K315" s="8"/>
      <c r="L315" s="8"/>
      <c r="M315" s="8"/>
      <c r="N315" s="8"/>
      <c r="O315" s="8"/>
      <c r="P315" s="8"/>
      <c r="Q315" s="8"/>
      <c r="R315" s="8"/>
      <c r="S315" s="8"/>
      <c r="T315" s="8"/>
      <c r="U315" s="12"/>
      <c r="V315" s="12"/>
      <c r="W315" s="12"/>
      <c r="X315" s="12"/>
      <c r="Y315" s="12"/>
      <c r="Z315" s="12"/>
      <c r="AA315" s="12"/>
      <c r="AB315" s="12"/>
      <c r="AC315" s="12"/>
      <c r="AD315" s="12"/>
      <c r="AE315" s="12"/>
      <c r="AF315" s="12"/>
    </row>
    <row r="316" spans="1:32">
      <c r="A316" s="8"/>
      <c r="B316" s="8"/>
      <c r="C316" s="8"/>
      <c r="D316" s="8"/>
      <c r="E316" s="8"/>
      <c r="F316" s="8"/>
      <c r="G316" s="8"/>
      <c r="H316" s="8"/>
      <c r="I316" s="8"/>
      <c r="J316" s="8"/>
      <c r="K316" s="8"/>
      <c r="L316" s="8"/>
      <c r="M316" s="8"/>
      <c r="N316" s="8"/>
      <c r="O316" s="8"/>
      <c r="P316" s="8"/>
      <c r="Q316" s="8"/>
      <c r="R316" s="8"/>
      <c r="S316" s="8"/>
      <c r="T316" s="8"/>
      <c r="U316" s="12"/>
      <c r="V316" s="12"/>
      <c r="W316" s="12"/>
      <c r="X316" s="12"/>
      <c r="Y316" s="12"/>
      <c r="Z316" s="12"/>
      <c r="AA316" s="12"/>
      <c r="AB316" s="12"/>
      <c r="AC316" s="12"/>
      <c r="AD316" s="12"/>
      <c r="AE316" s="12"/>
      <c r="AF316" s="12"/>
    </row>
    <row r="317" spans="1:32">
      <c r="A317" s="8"/>
      <c r="B317" s="8"/>
      <c r="C317" s="8"/>
      <c r="D317" s="8"/>
      <c r="E317" s="8"/>
      <c r="F317" s="8"/>
      <c r="G317" s="8"/>
      <c r="H317" s="8"/>
      <c r="I317" s="8"/>
      <c r="J317" s="8"/>
      <c r="K317" s="8"/>
      <c r="L317" s="8"/>
      <c r="M317" s="8"/>
      <c r="N317" s="8"/>
      <c r="O317" s="8"/>
      <c r="P317" s="8"/>
      <c r="Q317" s="8"/>
      <c r="R317" s="8"/>
      <c r="S317" s="8"/>
      <c r="T317" s="8"/>
      <c r="U317" s="12"/>
      <c r="V317" s="12"/>
      <c r="W317" s="12"/>
      <c r="X317" s="12"/>
      <c r="Y317" s="12"/>
      <c r="Z317" s="12"/>
      <c r="AA317" s="12"/>
      <c r="AB317" s="12"/>
      <c r="AC317" s="12"/>
      <c r="AD317" s="12"/>
      <c r="AE317" s="12"/>
      <c r="AF317" s="12"/>
    </row>
    <row r="318" spans="1:32">
      <c r="A318" s="8"/>
      <c r="B318" s="8"/>
      <c r="C318" s="8"/>
      <c r="D318" s="8"/>
      <c r="E318" s="8"/>
      <c r="F318" s="8"/>
      <c r="G318" s="8"/>
      <c r="H318" s="8"/>
      <c r="I318" s="8"/>
      <c r="J318" s="8"/>
      <c r="K318" s="8"/>
      <c r="L318" s="8"/>
      <c r="M318" s="8"/>
      <c r="N318" s="8"/>
      <c r="O318" s="8"/>
      <c r="P318" s="8"/>
      <c r="Q318" s="8"/>
      <c r="R318" s="8"/>
      <c r="S318" s="8"/>
      <c r="T318" s="8"/>
      <c r="U318" s="12"/>
      <c r="V318" s="12"/>
      <c r="W318" s="12"/>
      <c r="X318" s="12"/>
      <c r="Y318" s="12"/>
      <c r="Z318" s="12"/>
      <c r="AA318" s="12"/>
      <c r="AB318" s="12"/>
      <c r="AC318" s="12"/>
      <c r="AD318" s="12"/>
      <c r="AE318" s="12"/>
      <c r="AF318" s="12"/>
    </row>
    <row r="319" spans="1:32">
      <c r="A319" s="8"/>
      <c r="B319" s="8"/>
      <c r="C319" s="8"/>
      <c r="D319" s="8"/>
      <c r="E319" s="8"/>
      <c r="F319" s="8"/>
      <c r="G319" s="8"/>
      <c r="H319" s="8"/>
      <c r="I319" s="8"/>
      <c r="J319" s="8"/>
      <c r="K319" s="8"/>
      <c r="L319" s="8"/>
      <c r="M319" s="8"/>
      <c r="N319" s="8"/>
      <c r="O319" s="8"/>
      <c r="P319" s="8"/>
      <c r="Q319" s="8"/>
      <c r="R319" s="8"/>
      <c r="S319" s="8"/>
      <c r="T319" s="8"/>
      <c r="U319" s="12"/>
      <c r="V319" s="12"/>
      <c r="W319" s="12"/>
      <c r="X319" s="12"/>
      <c r="Y319" s="12"/>
      <c r="Z319" s="12"/>
      <c r="AA319" s="12"/>
      <c r="AB319" s="12"/>
      <c r="AC319" s="12"/>
      <c r="AD319" s="12"/>
      <c r="AE319" s="12"/>
      <c r="AF319" s="12"/>
    </row>
    <row r="320" spans="1:32">
      <c r="A320" s="8"/>
      <c r="B320" s="8"/>
      <c r="C320" s="8"/>
      <c r="D320" s="8"/>
      <c r="E320" s="8"/>
      <c r="F320" s="8"/>
      <c r="G320" s="8"/>
      <c r="H320" s="8"/>
      <c r="I320" s="8"/>
      <c r="J320" s="8"/>
      <c r="K320" s="8"/>
      <c r="L320" s="8"/>
      <c r="M320" s="8"/>
      <c r="N320" s="8"/>
      <c r="O320" s="8"/>
      <c r="P320" s="8"/>
      <c r="Q320" s="8"/>
      <c r="R320" s="8"/>
      <c r="S320" s="8"/>
      <c r="T320" s="8"/>
      <c r="U320" s="12"/>
      <c r="V320" s="12"/>
      <c r="W320" s="12"/>
      <c r="X320" s="12"/>
      <c r="Y320" s="12"/>
      <c r="Z320" s="12"/>
      <c r="AA320" s="12"/>
      <c r="AB320" s="12"/>
      <c r="AC320" s="12"/>
      <c r="AD320" s="12"/>
      <c r="AE320" s="12"/>
      <c r="AF320" s="12"/>
    </row>
    <row r="321" spans="1:32">
      <c r="A321" s="8"/>
      <c r="B321" s="8"/>
      <c r="C321" s="8"/>
      <c r="D321" s="8"/>
      <c r="E321" s="8"/>
      <c r="F321" s="8"/>
      <c r="G321" s="8"/>
      <c r="H321" s="8"/>
      <c r="I321" s="8"/>
      <c r="J321" s="8"/>
      <c r="K321" s="8"/>
      <c r="L321" s="8"/>
      <c r="M321" s="8"/>
      <c r="N321" s="8"/>
      <c r="O321" s="8"/>
      <c r="P321" s="8"/>
      <c r="Q321" s="8"/>
      <c r="R321" s="8"/>
      <c r="S321" s="8"/>
      <c r="T321" s="8"/>
      <c r="U321" s="12"/>
      <c r="V321" s="12"/>
      <c r="W321" s="12"/>
      <c r="X321" s="12"/>
      <c r="Y321" s="12"/>
      <c r="Z321" s="12"/>
      <c r="AA321" s="12"/>
      <c r="AB321" s="12"/>
      <c r="AC321" s="12"/>
      <c r="AD321" s="12"/>
      <c r="AE321" s="12"/>
      <c r="AF321" s="12"/>
    </row>
    <row r="322" spans="1:32">
      <c r="A322" s="8"/>
      <c r="B322" s="8"/>
      <c r="C322" s="8"/>
      <c r="D322" s="8"/>
      <c r="E322" s="8"/>
      <c r="F322" s="8"/>
      <c r="G322" s="8"/>
      <c r="H322" s="8"/>
      <c r="I322" s="8"/>
      <c r="J322" s="8"/>
      <c r="K322" s="8"/>
      <c r="L322" s="8"/>
      <c r="M322" s="8"/>
      <c r="N322" s="8"/>
      <c r="O322" s="8"/>
      <c r="P322" s="8"/>
      <c r="Q322" s="8"/>
      <c r="R322" s="8"/>
      <c r="S322" s="8"/>
      <c r="T322" s="8"/>
      <c r="U322" s="12"/>
      <c r="V322" s="12"/>
      <c r="W322" s="12"/>
      <c r="X322" s="12"/>
      <c r="Y322" s="12"/>
      <c r="Z322" s="12"/>
      <c r="AA322" s="12"/>
      <c r="AB322" s="12"/>
      <c r="AC322" s="12"/>
      <c r="AD322" s="12"/>
      <c r="AE322" s="12"/>
      <c r="AF322" s="12"/>
    </row>
    <row r="323" spans="1:32">
      <c r="A323" s="8"/>
      <c r="B323" s="8"/>
      <c r="C323" s="8"/>
      <c r="D323" s="8"/>
      <c r="E323" s="8"/>
      <c r="F323" s="8"/>
      <c r="G323" s="8"/>
      <c r="H323" s="8"/>
      <c r="I323" s="8"/>
      <c r="J323" s="8"/>
      <c r="K323" s="8"/>
      <c r="L323" s="8"/>
      <c r="M323" s="8"/>
      <c r="N323" s="8"/>
      <c r="O323" s="8"/>
      <c r="P323" s="8"/>
      <c r="Q323" s="8"/>
      <c r="R323" s="8"/>
      <c r="S323" s="8"/>
      <c r="T323" s="8"/>
      <c r="U323" s="12"/>
      <c r="V323" s="12"/>
      <c r="W323" s="12"/>
      <c r="X323" s="12"/>
      <c r="Y323" s="12"/>
      <c r="Z323" s="12"/>
      <c r="AA323" s="12"/>
      <c r="AB323" s="12"/>
      <c r="AC323" s="12"/>
      <c r="AD323" s="12"/>
      <c r="AE323" s="12"/>
      <c r="AF323" s="12"/>
    </row>
    <row r="324" spans="1:32">
      <c r="A324" s="8"/>
      <c r="B324" s="8"/>
      <c r="C324" s="8"/>
      <c r="D324" s="8"/>
      <c r="E324" s="8"/>
      <c r="F324" s="8"/>
      <c r="G324" s="8"/>
      <c r="H324" s="8"/>
      <c r="I324" s="8"/>
      <c r="J324" s="8"/>
      <c r="K324" s="8"/>
      <c r="L324" s="8"/>
      <c r="M324" s="8"/>
      <c r="N324" s="8"/>
      <c r="O324" s="8"/>
      <c r="P324" s="8"/>
      <c r="Q324" s="8"/>
      <c r="R324" s="8"/>
      <c r="S324" s="8"/>
      <c r="T324" s="8"/>
      <c r="U324" s="12"/>
      <c r="V324" s="12"/>
      <c r="W324" s="12"/>
      <c r="X324" s="12"/>
      <c r="Y324" s="12"/>
      <c r="Z324" s="12"/>
      <c r="AA324" s="12"/>
      <c r="AB324" s="12"/>
      <c r="AC324" s="12"/>
      <c r="AD324" s="12"/>
      <c r="AE324" s="12"/>
      <c r="AF324" s="12"/>
    </row>
    <row r="325" spans="1:32">
      <c r="A325" s="8"/>
      <c r="B325" s="8"/>
      <c r="C325" s="8"/>
      <c r="D325" s="8"/>
      <c r="E325" s="8"/>
      <c r="F325" s="8"/>
      <c r="G325" s="8"/>
      <c r="H325" s="8"/>
      <c r="I325" s="8"/>
      <c r="J325" s="8"/>
      <c r="K325" s="8"/>
      <c r="L325" s="8"/>
      <c r="M325" s="8"/>
      <c r="N325" s="8"/>
      <c r="O325" s="8"/>
      <c r="P325" s="8"/>
      <c r="Q325" s="8"/>
      <c r="R325" s="8"/>
      <c r="S325" s="8"/>
      <c r="T325" s="8"/>
      <c r="U325" s="12"/>
      <c r="V325" s="12"/>
      <c r="W325" s="12"/>
      <c r="X325" s="12"/>
      <c r="Y325" s="12"/>
      <c r="Z325" s="12"/>
      <c r="AA325" s="12"/>
      <c r="AB325" s="12"/>
      <c r="AC325" s="12"/>
      <c r="AD325" s="12"/>
      <c r="AE325" s="12"/>
      <c r="AF325" s="12"/>
    </row>
    <row r="326" spans="1:32">
      <c r="A326" s="8"/>
      <c r="B326" s="8"/>
      <c r="C326" s="8"/>
      <c r="D326" s="8"/>
      <c r="E326" s="8"/>
      <c r="F326" s="8"/>
      <c r="G326" s="8"/>
      <c r="H326" s="8"/>
      <c r="I326" s="8"/>
      <c r="J326" s="8"/>
      <c r="K326" s="8"/>
      <c r="L326" s="8"/>
      <c r="M326" s="8"/>
      <c r="N326" s="8"/>
      <c r="O326" s="8"/>
      <c r="P326" s="8"/>
      <c r="Q326" s="8"/>
      <c r="R326" s="8"/>
      <c r="S326" s="8"/>
      <c r="T326" s="8"/>
      <c r="U326" s="12"/>
      <c r="V326" s="12"/>
      <c r="W326" s="12"/>
      <c r="X326" s="12"/>
      <c r="Y326" s="12"/>
      <c r="Z326" s="12"/>
      <c r="AA326" s="12"/>
      <c r="AB326" s="12"/>
      <c r="AC326" s="12"/>
      <c r="AD326" s="12"/>
      <c r="AE326" s="12"/>
      <c r="AF326" s="12"/>
    </row>
    <row r="327" spans="1:32">
      <c r="A327" s="8"/>
      <c r="B327" s="8"/>
      <c r="C327" s="8"/>
      <c r="D327" s="8"/>
      <c r="E327" s="8"/>
      <c r="F327" s="8"/>
      <c r="G327" s="8"/>
      <c r="H327" s="8"/>
      <c r="I327" s="8"/>
      <c r="J327" s="8"/>
      <c r="K327" s="8"/>
      <c r="L327" s="8"/>
      <c r="M327" s="8"/>
      <c r="N327" s="8"/>
      <c r="O327" s="8"/>
      <c r="P327" s="8"/>
      <c r="Q327" s="8"/>
      <c r="R327" s="8"/>
      <c r="S327" s="8"/>
      <c r="T327" s="8"/>
      <c r="U327" s="12"/>
      <c r="V327" s="12"/>
      <c r="W327" s="12"/>
      <c r="X327" s="12"/>
      <c r="Y327" s="12"/>
      <c r="Z327" s="12"/>
      <c r="AA327" s="12"/>
      <c r="AB327" s="12"/>
      <c r="AC327" s="12"/>
      <c r="AD327" s="12"/>
      <c r="AE327" s="12"/>
      <c r="AF327" s="12"/>
    </row>
    <row r="328" spans="1:32">
      <c r="A328" s="8"/>
      <c r="B328" s="8"/>
      <c r="C328" s="8"/>
      <c r="D328" s="8"/>
      <c r="E328" s="8"/>
      <c r="F328" s="8"/>
      <c r="G328" s="8"/>
      <c r="H328" s="8"/>
      <c r="I328" s="8"/>
      <c r="J328" s="8"/>
      <c r="K328" s="8"/>
      <c r="L328" s="8"/>
      <c r="M328" s="8"/>
      <c r="N328" s="8"/>
      <c r="O328" s="8"/>
      <c r="P328" s="8"/>
      <c r="Q328" s="8"/>
      <c r="R328" s="8"/>
      <c r="S328" s="8"/>
      <c r="T328" s="8"/>
      <c r="U328" s="12"/>
      <c r="V328" s="12"/>
      <c r="W328" s="12"/>
      <c r="X328" s="12"/>
      <c r="Y328" s="12"/>
      <c r="Z328" s="12"/>
      <c r="AA328" s="12"/>
      <c r="AB328" s="12"/>
      <c r="AC328" s="12"/>
      <c r="AD328" s="12"/>
      <c r="AE328" s="12"/>
      <c r="AF328" s="12"/>
    </row>
    <row r="329" spans="1:32">
      <c r="A329" s="8"/>
      <c r="B329" s="8"/>
      <c r="C329" s="8"/>
      <c r="D329" s="8"/>
      <c r="E329" s="8"/>
      <c r="F329" s="8"/>
      <c r="G329" s="8"/>
      <c r="H329" s="8"/>
      <c r="I329" s="8"/>
      <c r="J329" s="8"/>
      <c r="K329" s="8"/>
      <c r="L329" s="8"/>
      <c r="M329" s="8"/>
      <c r="N329" s="8"/>
      <c r="O329" s="8"/>
      <c r="P329" s="8"/>
      <c r="Q329" s="8"/>
      <c r="R329" s="8"/>
      <c r="S329" s="8"/>
      <c r="T329" s="8"/>
      <c r="U329" s="12"/>
      <c r="V329" s="12"/>
      <c r="W329" s="12"/>
      <c r="X329" s="12"/>
      <c r="Y329" s="12"/>
      <c r="Z329" s="12"/>
      <c r="AA329" s="12"/>
      <c r="AB329" s="12"/>
      <c r="AC329" s="12"/>
      <c r="AD329" s="12"/>
      <c r="AE329" s="12"/>
      <c r="AF329" s="12"/>
    </row>
    <row r="330" spans="1:32">
      <c r="A330" s="8"/>
      <c r="B330" s="8"/>
      <c r="C330" s="8"/>
      <c r="D330" s="8"/>
      <c r="E330" s="8"/>
      <c r="F330" s="8"/>
      <c r="G330" s="8"/>
      <c r="H330" s="8"/>
      <c r="I330" s="8"/>
      <c r="J330" s="8"/>
      <c r="K330" s="8"/>
      <c r="L330" s="8"/>
      <c r="M330" s="8"/>
      <c r="N330" s="8"/>
      <c r="O330" s="8"/>
      <c r="P330" s="8"/>
      <c r="Q330" s="8"/>
      <c r="R330" s="8"/>
      <c r="S330" s="8"/>
      <c r="T330" s="8"/>
      <c r="U330" s="12"/>
      <c r="V330" s="12"/>
      <c r="W330" s="12"/>
      <c r="X330" s="12"/>
      <c r="Y330" s="12"/>
      <c r="Z330" s="12"/>
      <c r="AA330" s="12"/>
      <c r="AB330" s="12"/>
      <c r="AC330" s="12"/>
      <c r="AD330" s="12"/>
      <c r="AE330" s="12"/>
      <c r="AF330" s="12"/>
    </row>
    <row r="331" spans="1:32">
      <c r="A331" s="8"/>
      <c r="B331" s="8"/>
      <c r="C331" s="8"/>
      <c r="D331" s="8"/>
      <c r="E331" s="8"/>
      <c r="F331" s="8"/>
      <c r="G331" s="8"/>
      <c r="H331" s="8"/>
      <c r="I331" s="8"/>
      <c r="J331" s="8"/>
      <c r="K331" s="8"/>
      <c r="L331" s="8"/>
      <c r="M331" s="8"/>
      <c r="N331" s="8"/>
      <c r="O331" s="8"/>
      <c r="P331" s="8"/>
      <c r="Q331" s="8"/>
      <c r="R331" s="8"/>
      <c r="S331" s="8"/>
      <c r="T331" s="8"/>
      <c r="U331" s="12"/>
      <c r="V331" s="12"/>
      <c r="W331" s="12"/>
      <c r="X331" s="12"/>
      <c r="Y331" s="12"/>
      <c r="Z331" s="12"/>
      <c r="AA331" s="12"/>
      <c r="AB331" s="12"/>
      <c r="AC331" s="12"/>
      <c r="AD331" s="12"/>
      <c r="AE331" s="12"/>
      <c r="AF331" s="12"/>
    </row>
    <row r="332" spans="1:32">
      <c r="A332" s="8"/>
      <c r="B332" s="8"/>
      <c r="C332" s="8"/>
      <c r="D332" s="8"/>
      <c r="E332" s="8"/>
      <c r="F332" s="8"/>
      <c r="G332" s="8"/>
      <c r="H332" s="8"/>
      <c r="I332" s="8"/>
      <c r="J332" s="8"/>
      <c r="K332" s="8"/>
      <c r="L332" s="8"/>
      <c r="M332" s="8"/>
      <c r="N332" s="8"/>
      <c r="O332" s="8"/>
      <c r="P332" s="8"/>
      <c r="Q332" s="8"/>
      <c r="R332" s="8"/>
      <c r="S332" s="8"/>
      <c r="T332" s="8"/>
      <c r="U332" s="12"/>
      <c r="V332" s="12"/>
      <c r="W332" s="12"/>
      <c r="X332" s="12"/>
      <c r="Y332" s="12"/>
      <c r="Z332" s="12"/>
      <c r="AA332" s="12"/>
      <c r="AB332" s="12"/>
      <c r="AC332" s="12"/>
      <c r="AD332" s="12"/>
      <c r="AE332" s="12"/>
      <c r="AF332" s="12"/>
    </row>
    <row r="333" spans="1:32">
      <c r="A333" s="8"/>
      <c r="B333" s="8"/>
      <c r="C333" s="8"/>
      <c r="D333" s="8"/>
      <c r="E333" s="8"/>
      <c r="F333" s="8"/>
      <c r="G333" s="8"/>
      <c r="H333" s="8"/>
      <c r="I333" s="8"/>
      <c r="J333" s="8"/>
      <c r="K333" s="8"/>
      <c r="L333" s="8"/>
      <c r="M333" s="8"/>
      <c r="N333" s="8"/>
      <c r="O333" s="8"/>
      <c r="P333" s="8"/>
      <c r="Q333" s="8"/>
      <c r="R333" s="8"/>
      <c r="S333" s="8"/>
      <c r="T333" s="8"/>
      <c r="U333" s="12"/>
      <c r="V333" s="12"/>
      <c r="W333" s="12"/>
      <c r="X333" s="12"/>
      <c r="Y333" s="12"/>
      <c r="Z333" s="12"/>
      <c r="AA333" s="12"/>
      <c r="AB333" s="12"/>
      <c r="AC333" s="12"/>
      <c r="AD333" s="12"/>
      <c r="AE333" s="12"/>
      <c r="AF333" s="12"/>
    </row>
    <row r="334" spans="1:32">
      <c r="A334" s="8"/>
      <c r="B334" s="8"/>
      <c r="C334" s="8"/>
      <c r="D334" s="8"/>
      <c r="E334" s="8"/>
      <c r="F334" s="8"/>
      <c r="G334" s="8"/>
      <c r="H334" s="8"/>
      <c r="I334" s="8"/>
      <c r="J334" s="8"/>
      <c r="K334" s="8"/>
      <c r="L334" s="8"/>
      <c r="M334" s="8"/>
      <c r="N334" s="8"/>
      <c r="O334" s="8"/>
      <c r="P334" s="8"/>
      <c r="Q334" s="8"/>
      <c r="R334" s="8"/>
      <c r="S334" s="8"/>
      <c r="T334" s="8"/>
      <c r="U334" s="12"/>
      <c r="V334" s="12"/>
      <c r="W334" s="12"/>
      <c r="X334" s="12"/>
      <c r="Y334" s="12"/>
      <c r="Z334" s="12"/>
      <c r="AA334" s="12"/>
      <c r="AB334" s="12"/>
      <c r="AC334" s="12"/>
      <c r="AD334" s="12"/>
      <c r="AE334" s="12"/>
      <c r="AF334" s="12"/>
    </row>
    <row r="335" spans="1:32">
      <c r="A335" s="8"/>
      <c r="B335" s="8"/>
      <c r="C335" s="8"/>
      <c r="D335" s="8"/>
      <c r="E335" s="8"/>
      <c r="F335" s="8"/>
      <c r="G335" s="8"/>
      <c r="H335" s="8"/>
      <c r="I335" s="8"/>
      <c r="J335" s="8"/>
      <c r="K335" s="8"/>
      <c r="L335" s="8"/>
      <c r="M335" s="8"/>
      <c r="N335" s="8"/>
      <c r="O335" s="8"/>
      <c r="P335" s="8"/>
      <c r="Q335" s="8"/>
      <c r="R335" s="8"/>
      <c r="S335" s="8"/>
      <c r="T335" s="8"/>
      <c r="U335" s="12"/>
      <c r="V335" s="12"/>
      <c r="W335" s="12"/>
      <c r="X335" s="12"/>
      <c r="Y335" s="12"/>
      <c r="Z335" s="12"/>
      <c r="AA335" s="12"/>
      <c r="AB335" s="12"/>
      <c r="AC335" s="12"/>
      <c r="AD335" s="12"/>
      <c r="AE335" s="12"/>
      <c r="AF335" s="12"/>
    </row>
    <row r="336" spans="1:32">
      <c r="A336" s="8"/>
      <c r="B336" s="8"/>
      <c r="C336" s="8"/>
      <c r="D336" s="8"/>
      <c r="E336" s="8"/>
      <c r="F336" s="8"/>
      <c r="G336" s="8"/>
      <c r="H336" s="8"/>
      <c r="I336" s="8"/>
      <c r="J336" s="8"/>
      <c r="K336" s="8"/>
      <c r="L336" s="8"/>
      <c r="M336" s="8"/>
      <c r="N336" s="8"/>
      <c r="O336" s="8"/>
      <c r="P336" s="8"/>
      <c r="Q336" s="8"/>
      <c r="R336" s="8"/>
      <c r="S336" s="8"/>
      <c r="T336" s="8"/>
      <c r="U336" s="12"/>
      <c r="V336" s="12"/>
      <c r="W336" s="12"/>
      <c r="X336" s="12"/>
      <c r="Y336" s="12"/>
      <c r="Z336" s="12"/>
      <c r="AA336" s="12"/>
      <c r="AB336" s="12"/>
      <c r="AC336" s="12"/>
      <c r="AD336" s="12"/>
      <c r="AE336" s="12"/>
      <c r="AF336" s="12"/>
    </row>
    <row r="337" spans="1:32">
      <c r="A337" s="8"/>
      <c r="B337" s="8"/>
      <c r="C337" s="8"/>
      <c r="D337" s="8"/>
      <c r="E337" s="8"/>
      <c r="F337" s="8"/>
      <c r="G337" s="8"/>
      <c r="H337" s="8"/>
      <c r="I337" s="8"/>
      <c r="J337" s="8"/>
      <c r="K337" s="8"/>
      <c r="L337" s="8"/>
      <c r="M337" s="8"/>
      <c r="N337" s="8"/>
      <c r="O337" s="8"/>
      <c r="P337" s="8"/>
      <c r="Q337" s="8"/>
      <c r="R337" s="8"/>
      <c r="S337" s="8"/>
      <c r="T337" s="8"/>
      <c r="U337" s="12"/>
      <c r="V337" s="12"/>
      <c r="W337" s="12"/>
      <c r="X337" s="12"/>
      <c r="Y337" s="12"/>
      <c r="Z337" s="12"/>
      <c r="AA337" s="12"/>
      <c r="AB337" s="12"/>
      <c r="AC337" s="12"/>
      <c r="AD337" s="12"/>
      <c r="AE337" s="12"/>
      <c r="AF337" s="12"/>
    </row>
    <row r="338" spans="1:32">
      <c r="A338" s="8"/>
      <c r="B338" s="8"/>
      <c r="C338" s="8"/>
      <c r="D338" s="8"/>
      <c r="E338" s="8"/>
      <c r="F338" s="8"/>
      <c r="G338" s="8"/>
      <c r="H338" s="8"/>
      <c r="I338" s="8"/>
      <c r="J338" s="8"/>
      <c r="K338" s="8"/>
      <c r="L338" s="8"/>
      <c r="M338" s="8"/>
      <c r="N338" s="8"/>
      <c r="O338" s="8"/>
      <c r="P338" s="8"/>
      <c r="Q338" s="8"/>
      <c r="R338" s="8"/>
      <c r="S338" s="8"/>
      <c r="T338" s="8"/>
      <c r="U338" s="12"/>
      <c r="V338" s="12"/>
      <c r="W338" s="12"/>
      <c r="X338" s="12"/>
      <c r="Y338" s="12"/>
      <c r="Z338" s="12"/>
      <c r="AA338" s="12"/>
      <c r="AB338" s="12"/>
      <c r="AC338" s="12"/>
      <c r="AD338" s="12"/>
      <c r="AE338" s="12"/>
      <c r="AF338" s="12"/>
    </row>
    <row r="339" spans="1:32">
      <c r="A339" s="8"/>
      <c r="B339" s="8"/>
      <c r="C339" s="8"/>
      <c r="D339" s="8"/>
      <c r="E339" s="8"/>
      <c r="F339" s="8"/>
      <c r="G339" s="8"/>
      <c r="H339" s="8"/>
      <c r="I339" s="8"/>
      <c r="J339" s="8"/>
      <c r="K339" s="8"/>
      <c r="L339" s="8"/>
      <c r="M339" s="8"/>
      <c r="N339" s="8"/>
      <c r="O339" s="8"/>
      <c r="P339" s="8"/>
      <c r="Q339" s="8"/>
      <c r="R339" s="8"/>
      <c r="S339" s="8"/>
      <c r="T339" s="8"/>
      <c r="U339" s="12"/>
      <c r="V339" s="12"/>
      <c r="W339" s="12"/>
      <c r="X339" s="12"/>
      <c r="Y339" s="12"/>
      <c r="Z339" s="12"/>
      <c r="AA339" s="12"/>
      <c r="AB339" s="12"/>
      <c r="AC339" s="12"/>
      <c r="AD339" s="12"/>
      <c r="AE339" s="12"/>
      <c r="AF339" s="12"/>
    </row>
    <row r="340" spans="1:32">
      <c r="A340" s="8"/>
      <c r="B340" s="8"/>
      <c r="C340" s="8"/>
      <c r="D340" s="8"/>
      <c r="E340" s="8"/>
      <c r="F340" s="8"/>
      <c r="G340" s="8"/>
      <c r="H340" s="8"/>
      <c r="I340" s="8"/>
      <c r="J340" s="8"/>
      <c r="K340" s="8"/>
      <c r="L340" s="8"/>
      <c r="M340" s="8"/>
      <c r="N340" s="8"/>
      <c r="O340" s="8"/>
      <c r="P340" s="8"/>
      <c r="Q340" s="8"/>
      <c r="R340" s="8"/>
      <c r="S340" s="8"/>
      <c r="T340" s="8"/>
      <c r="U340" s="12"/>
      <c r="V340" s="12"/>
      <c r="W340" s="12"/>
      <c r="X340" s="12"/>
      <c r="Y340" s="12"/>
      <c r="Z340" s="12"/>
      <c r="AA340" s="12"/>
      <c r="AB340" s="12"/>
      <c r="AC340" s="12"/>
      <c r="AD340" s="12"/>
      <c r="AE340" s="12"/>
      <c r="AF340" s="12"/>
    </row>
    <row r="341" spans="1:32">
      <c r="A341" s="8"/>
      <c r="B341" s="8"/>
      <c r="C341" s="8"/>
      <c r="D341" s="8"/>
      <c r="E341" s="8"/>
      <c r="F341" s="8"/>
      <c r="G341" s="8"/>
      <c r="H341" s="8"/>
      <c r="I341" s="8"/>
      <c r="J341" s="8"/>
      <c r="K341" s="8"/>
      <c r="L341" s="8"/>
      <c r="M341" s="8"/>
      <c r="N341" s="8"/>
      <c r="O341" s="8"/>
      <c r="P341" s="8"/>
      <c r="Q341" s="8"/>
      <c r="R341" s="8"/>
      <c r="S341" s="8"/>
      <c r="T341" s="8"/>
      <c r="U341" s="12"/>
      <c r="V341" s="12"/>
      <c r="W341" s="12"/>
      <c r="X341" s="12"/>
      <c r="Y341" s="12"/>
      <c r="Z341" s="12"/>
      <c r="AA341" s="12"/>
      <c r="AB341" s="12"/>
      <c r="AC341" s="12"/>
      <c r="AD341" s="12"/>
      <c r="AE341" s="12"/>
      <c r="AF341" s="12"/>
    </row>
    <row r="342" spans="1:32">
      <c r="A342" s="8"/>
      <c r="B342" s="8"/>
      <c r="C342" s="8"/>
      <c r="D342" s="8"/>
      <c r="E342" s="8"/>
      <c r="F342" s="8"/>
      <c r="G342" s="8"/>
      <c r="H342" s="8"/>
      <c r="I342" s="8"/>
      <c r="J342" s="8"/>
      <c r="K342" s="8"/>
      <c r="L342" s="8"/>
      <c r="M342" s="8"/>
      <c r="N342" s="8"/>
      <c r="O342" s="8"/>
      <c r="P342" s="8"/>
      <c r="Q342" s="8"/>
      <c r="R342" s="8"/>
      <c r="S342" s="8"/>
      <c r="T342" s="8"/>
      <c r="U342" s="12"/>
      <c r="V342" s="12"/>
      <c r="W342" s="12"/>
      <c r="X342" s="12"/>
      <c r="Y342" s="12"/>
      <c r="Z342" s="12"/>
      <c r="AA342" s="12"/>
      <c r="AB342" s="12"/>
      <c r="AC342" s="12"/>
      <c r="AD342" s="12"/>
      <c r="AE342" s="12"/>
      <c r="AF342" s="12"/>
    </row>
    <row r="343" spans="1:32">
      <c r="A343" s="8"/>
      <c r="B343" s="8"/>
      <c r="C343" s="8"/>
      <c r="D343" s="8"/>
      <c r="E343" s="8"/>
      <c r="F343" s="8"/>
      <c r="G343" s="8"/>
      <c r="H343" s="8"/>
      <c r="I343" s="8"/>
      <c r="J343" s="8"/>
      <c r="K343" s="8"/>
      <c r="L343" s="8"/>
      <c r="M343" s="8"/>
      <c r="N343" s="8"/>
      <c r="O343" s="8"/>
      <c r="P343" s="8"/>
      <c r="Q343" s="8"/>
      <c r="R343" s="8"/>
      <c r="S343" s="8"/>
      <c r="T343" s="8"/>
      <c r="U343" s="12"/>
      <c r="V343" s="12"/>
      <c r="W343" s="12"/>
      <c r="X343" s="12"/>
      <c r="Y343" s="12"/>
      <c r="Z343" s="12"/>
      <c r="AA343" s="12"/>
      <c r="AB343" s="12"/>
      <c r="AC343" s="12"/>
      <c r="AD343" s="12"/>
      <c r="AE343" s="12"/>
      <c r="AF343" s="12"/>
    </row>
    <row r="344" spans="1:32">
      <c r="A344" s="8"/>
      <c r="B344" s="8"/>
      <c r="C344" s="8"/>
      <c r="D344" s="8"/>
      <c r="E344" s="8"/>
      <c r="F344" s="8"/>
      <c r="G344" s="8"/>
      <c r="H344" s="8"/>
      <c r="I344" s="8"/>
      <c r="J344" s="8"/>
      <c r="K344" s="8"/>
      <c r="L344" s="8"/>
      <c r="M344" s="8"/>
      <c r="N344" s="8"/>
      <c r="O344" s="8"/>
      <c r="P344" s="8"/>
      <c r="Q344" s="8"/>
      <c r="R344" s="8"/>
      <c r="S344" s="8"/>
      <c r="T344" s="8"/>
      <c r="U344" s="12"/>
      <c r="V344" s="12"/>
      <c r="W344" s="12"/>
      <c r="X344" s="12"/>
      <c r="Y344" s="12"/>
      <c r="Z344" s="12"/>
      <c r="AA344" s="12"/>
      <c r="AB344" s="12"/>
      <c r="AC344" s="12"/>
      <c r="AD344" s="12"/>
      <c r="AE344" s="12"/>
      <c r="AF344" s="12"/>
    </row>
    <row r="345" spans="1:32">
      <c r="A345" s="8"/>
      <c r="B345" s="8"/>
      <c r="C345" s="8"/>
      <c r="D345" s="8"/>
      <c r="E345" s="8"/>
      <c r="F345" s="8"/>
      <c r="G345" s="8"/>
      <c r="H345" s="8"/>
      <c r="I345" s="8"/>
      <c r="J345" s="8"/>
      <c r="K345" s="8"/>
      <c r="L345" s="8"/>
      <c r="M345" s="8"/>
      <c r="N345" s="8"/>
      <c r="O345" s="8"/>
      <c r="P345" s="8"/>
      <c r="Q345" s="8"/>
      <c r="R345" s="8"/>
      <c r="S345" s="8"/>
      <c r="T345" s="8"/>
      <c r="U345" s="12"/>
      <c r="V345" s="12"/>
      <c r="W345" s="12"/>
      <c r="X345" s="12"/>
      <c r="Y345" s="12"/>
      <c r="Z345" s="12"/>
      <c r="AA345" s="12"/>
      <c r="AB345" s="12"/>
      <c r="AC345" s="12"/>
      <c r="AD345" s="12"/>
      <c r="AE345" s="12"/>
      <c r="AF345" s="12"/>
    </row>
    <row r="346" spans="1:32">
      <c r="A346" s="8"/>
      <c r="B346" s="8"/>
      <c r="C346" s="8"/>
      <c r="D346" s="8"/>
      <c r="E346" s="8"/>
      <c r="F346" s="8"/>
      <c r="G346" s="8"/>
      <c r="H346" s="8"/>
      <c r="I346" s="8"/>
      <c r="J346" s="8"/>
      <c r="K346" s="8"/>
      <c r="L346" s="8"/>
      <c r="M346" s="8"/>
      <c r="N346" s="8"/>
      <c r="O346" s="8"/>
      <c r="P346" s="8"/>
      <c r="Q346" s="8"/>
      <c r="R346" s="8"/>
      <c r="S346" s="8"/>
      <c r="T346" s="8"/>
      <c r="U346" s="12"/>
      <c r="V346" s="12"/>
      <c r="W346" s="12"/>
      <c r="X346" s="12"/>
      <c r="Y346" s="12"/>
      <c r="Z346" s="12"/>
      <c r="AA346" s="12"/>
      <c r="AB346" s="12"/>
      <c r="AC346" s="12"/>
      <c r="AD346" s="12"/>
      <c r="AE346" s="12"/>
      <c r="AF346" s="12"/>
    </row>
    <row r="347" spans="1:32">
      <c r="A347" s="8"/>
      <c r="B347" s="8"/>
      <c r="C347" s="8"/>
      <c r="D347" s="8"/>
      <c r="E347" s="8"/>
      <c r="F347" s="8"/>
      <c r="G347" s="8"/>
      <c r="H347" s="8"/>
      <c r="I347" s="8"/>
      <c r="J347" s="8"/>
      <c r="K347" s="8"/>
      <c r="L347" s="8"/>
      <c r="M347" s="8"/>
      <c r="N347" s="8"/>
      <c r="O347" s="8"/>
      <c r="P347" s="8"/>
      <c r="Q347" s="8"/>
      <c r="R347" s="8"/>
      <c r="S347" s="8"/>
      <c r="T347" s="8"/>
      <c r="U347" s="12"/>
      <c r="V347" s="12"/>
      <c r="W347" s="12"/>
      <c r="X347" s="12"/>
      <c r="Y347" s="12"/>
      <c r="Z347" s="12"/>
      <c r="AA347" s="12"/>
      <c r="AB347" s="12"/>
      <c r="AC347" s="12"/>
      <c r="AD347" s="12"/>
      <c r="AE347" s="12"/>
      <c r="AF347" s="12"/>
    </row>
    <row r="348" spans="1:32">
      <c r="A348" s="8"/>
      <c r="B348" s="8"/>
      <c r="C348" s="8"/>
      <c r="D348" s="8"/>
      <c r="E348" s="8"/>
      <c r="F348" s="8"/>
      <c r="G348" s="8"/>
      <c r="H348" s="8"/>
      <c r="I348" s="8"/>
      <c r="J348" s="8"/>
      <c r="K348" s="8"/>
      <c r="L348" s="8"/>
      <c r="M348" s="8"/>
      <c r="N348" s="8"/>
      <c r="O348" s="8"/>
      <c r="P348" s="8"/>
      <c r="Q348" s="8"/>
      <c r="R348" s="8"/>
      <c r="S348" s="8"/>
      <c r="T348" s="8"/>
      <c r="U348" s="12"/>
      <c r="V348" s="12"/>
      <c r="W348" s="12"/>
      <c r="X348" s="12"/>
      <c r="Y348" s="12"/>
      <c r="Z348" s="12"/>
      <c r="AA348" s="12"/>
      <c r="AB348" s="12"/>
      <c r="AC348" s="12"/>
      <c r="AD348" s="12"/>
      <c r="AE348" s="12"/>
      <c r="AF348" s="12"/>
    </row>
    <row r="349" spans="1:32">
      <c r="A349" s="8"/>
      <c r="B349" s="8"/>
      <c r="C349" s="8"/>
      <c r="D349" s="8"/>
      <c r="E349" s="8"/>
      <c r="F349" s="8"/>
      <c r="G349" s="8"/>
      <c r="H349" s="8"/>
      <c r="I349" s="8"/>
      <c r="J349" s="8"/>
      <c r="K349" s="8"/>
      <c r="L349" s="8"/>
      <c r="M349" s="8"/>
      <c r="N349" s="8"/>
      <c r="O349" s="8"/>
      <c r="P349" s="8"/>
      <c r="Q349" s="8"/>
      <c r="R349" s="8"/>
      <c r="S349" s="8"/>
      <c r="T349" s="8"/>
      <c r="U349" s="12"/>
      <c r="V349" s="12"/>
      <c r="W349" s="12"/>
      <c r="X349" s="12"/>
      <c r="Y349" s="12"/>
      <c r="Z349" s="12"/>
      <c r="AA349" s="12"/>
      <c r="AB349" s="12"/>
      <c r="AC349" s="12"/>
      <c r="AD349" s="12"/>
      <c r="AE349" s="12"/>
      <c r="AF349" s="12"/>
    </row>
    <row r="350" spans="1:32">
      <c r="A350" s="8"/>
      <c r="B350" s="8"/>
      <c r="C350" s="8"/>
      <c r="D350" s="8"/>
      <c r="E350" s="8"/>
      <c r="F350" s="8"/>
      <c r="G350" s="8"/>
      <c r="H350" s="8"/>
      <c r="I350" s="8"/>
      <c r="J350" s="8"/>
      <c r="K350" s="8"/>
      <c r="L350" s="8"/>
      <c r="M350" s="8"/>
      <c r="N350" s="8"/>
      <c r="O350" s="8"/>
      <c r="P350" s="8"/>
      <c r="Q350" s="8"/>
      <c r="R350" s="8"/>
      <c r="S350" s="8"/>
      <c r="T350" s="8"/>
      <c r="U350" s="12"/>
      <c r="V350" s="12"/>
      <c r="W350" s="12"/>
      <c r="X350" s="12"/>
      <c r="Y350" s="12"/>
      <c r="Z350" s="12"/>
      <c r="AA350" s="12"/>
      <c r="AB350" s="12"/>
      <c r="AC350" s="12"/>
      <c r="AD350" s="12"/>
      <c r="AE350" s="12"/>
      <c r="AF350" s="12"/>
    </row>
    <row r="351" spans="1:32">
      <c r="A351" s="8"/>
      <c r="B351" s="8"/>
      <c r="C351" s="8"/>
      <c r="D351" s="8"/>
      <c r="E351" s="8"/>
      <c r="F351" s="8"/>
      <c r="G351" s="8"/>
      <c r="H351" s="8"/>
      <c r="I351" s="8"/>
      <c r="J351" s="8"/>
      <c r="K351" s="8"/>
      <c r="L351" s="8"/>
      <c r="M351" s="8"/>
      <c r="N351" s="8"/>
      <c r="O351" s="8"/>
      <c r="P351" s="8"/>
      <c r="Q351" s="8"/>
      <c r="R351" s="8"/>
      <c r="S351" s="8"/>
      <c r="T351" s="8"/>
      <c r="U351" s="12"/>
      <c r="V351" s="12"/>
      <c r="W351" s="12"/>
      <c r="X351" s="12"/>
      <c r="Y351" s="12"/>
      <c r="Z351" s="12"/>
      <c r="AA351" s="12"/>
      <c r="AB351" s="12"/>
      <c r="AC351" s="12"/>
      <c r="AD351" s="12"/>
      <c r="AE351" s="12"/>
      <c r="AF351" s="12"/>
    </row>
    <row r="352" spans="1:32">
      <c r="A352" s="8"/>
      <c r="B352" s="8"/>
      <c r="C352" s="8"/>
      <c r="D352" s="8"/>
      <c r="E352" s="8"/>
      <c r="F352" s="8"/>
      <c r="G352" s="8"/>
      <c r="H352" s="8"/>
      <c r="I352" s="8"/>
      <c r="J352" s="8"/>
      <c r="K352" s="8"/>
      <c r="L352" s="8"/>
      <c r="M352" s="8"/>
      <c r="N352" s="8"/>
      <c r="O352" s="8"/>
      <c r="P352" s="8"/>
      <c r="Q352" s="8"/>
      <c r="R352" s="8"/>
      <c r="S352" s="8"/>
      <c r="T352" s="8"/>
      <c r="U352" s="12"/>
      <c r="V352" s="12"/>
      <c r="W352" s="12"/>
      <c r="X352" s="12"/>
      <c r="Y352" s="12"/>
      <c r="Z352" s="12"/>
      <c r="AA352" s="12"/>
      <c r="AB352" s="12"/>
      <c r="AC352" s="12"/>
      <c r="AD352" s="12"/>
      <c r="AE352" s="12"/>
      <c r="AF352" s="12"/>
    </row>
    <row r="353" spans="1:32">
      <c r="A353" s="8"/>
      <c r="B353" s="8"/>
      <c r="C353" s="8"/>
      <c r="D353" s="8"/>
      <c r="E353" s="8"/>
      <c r="F353" s="8"/>
      <c r="G353" s="8"/>
      <c r="H353" s="8"/>
      <c r="I353" s="8"/>
      <c r="J353" s="8"/>
      <c r="K353" s="8"/>
      <c r="L353" s="8"/>
      <c r="M353" s="8"/>
      <c r="N353" s="8"/>
      <c r="O353" s="8"/>
      <c r="P353" s="8"/>
      <c r="Q353" s="8"/>
      <c r="R353" s="8"/>
      <c r="S353" s="8"/>
      <c r="T353" s="8"/>
      <c r="U353" s="12"/>
      <c r="V353" s="12"/>
      <c r="W353" s="12"/>
      <c r="X353" s="12"/>
      <c r="Y353" s="12"/>
      <c r="Z353" s="12"/>
      <c r="AA353" s="12"/>
      <c r="AB353" s="12"/>
      <c r="AC353" s="12"/>
      <c r="AD353" s="12"/>
      <c r="AE353" s="12"/>
      <c r="AF353" s="12"/>
    </row>
    <row r="354" spans="1:32">
      <c r="A354" s="8"/>
      <c r="B354" s="8"/>
      <c r="C354" s="8"/>
      <c r="D354" s="8"/>
      <c r="E354" s="8"/>
      <c r="F354" s="8"/>
      <c r="G354" s="8"/>
      <c r="H354" s="8"/>
      <c r="I354" s="8"/>
      <c r="J354" s="8"/>
      <c r="K354" s="8"/>
      <c r="L354" s="8"/>
      <c r="M354" s="8"/>
      <c r="N354" s="8"/>
      <c r="O354" s="8"/>
      <c r="P354" s="8"/>
      <c r="Q354" s="8"/>
      <c r="R354" s="8"/>
      <c r="S354" s="8"/>
      <c r="T354" s="8"/>
      <c r="U354" s="12"/>
      <c r="V354" s="12"/>
      <c r="W354" s="12"/>
      <c r="X354" s="12"/>
      <c r="Y354" s="12"/>
      <c r="Z354" s="12"/>
      <c r="AA354" s="12"/>
      <c r="AB354" s="12"/>
      <c r="AC354" s="12"/>
      <c r="AD354" s="12"/>
      <c r="AE354" s="12"/>
      <c r="AF354" s="12"/>
    </row>
    <row r="355" spans="1:32">
      <c r="A355" s="8"/>
      <c r="B355" s="8"/>
      <c r="C355" s="8"/>
      <c r="D355" s="8"/>
      <c r="E355" s="8"/>
      <c r="F355" s="8"/>
      <c r="G355" s="8"/>
      <c r="H355" s="8"/>
      <c r="I355" s="8"/>
      <c r="J355" s="8"/>
      <c r="K355" s="8"/>
      <c r="L355" s="8"/>
      <c r="M355" s="8"/>
      <c r="N355" s="8"/>
      <c r="O355" s="8"/>
      <c r="P355" s="8"/>
      <c r="Q355" s="8"/>
      <c r="R355" s="8"/>
      <c r="S355" s="8"/>
      <c r="T355" s="8"/>
      <c r="U355" s="12"/>
      <c r="V355" s="12"/>
      <c r="W355" s="12"/>
      <c r="X355" s="12"/>
      <c r="Y355" s="12"/>
      <c r="Z355" s="12"/>
      <c r="AA355" s="12"/>
      <c r="AB355" s="12"/>
      <c r="AC355" s="12"/>
      <c r="AD355" s="12"/>
      <c r="AE355" s="12"/>
      <c r="AF355" s="12"/>
    </row>
    <row r="356" spans="1:32">
      <c r="A356" s="8"/>
      <c r="B356" s="8"/>
      <c r="C356" s="8"/>
      <c r="D356" s="8"/>
      <c r="E356" s="8"/>
      <c r="F356" s="8"/>
      <c r="G356" s="8"/>
      <c r="H356" s="8"/>
      <c r="I356" s="8"/>
      <c r="J356" s="8"/>
      <c r="K356" s="8"/>
      <c r="L356" s="8"/>
      <c r="M356" s="8"/>
      <c r="N356" s="8"/>
      <c r="O356" s="8"/>
      <c r="P356" s="8"/>
      <c r="Q356" s="8"/>
      <c r="R356" s="8"/>
      <c r="S356" s="8"/>
      <c r="T356" s="8"/>
      <c r="U356" s="12"/>
      <c r="V356" s="12"/>
      <c r="W356" s="12"/>
      <c r="X356" s="12"/>
      <c r="Y356" s="12"/>
      <c r="Z356" s="12"/>
      <c r="AA356" s="12"/>
      <c r="AB356" s="12"/>
      <c r="AC356" s="12"/>
      <c r="AD356" s="12"/>
      <c r="AE356" s="12"/>
      <c r="AF356" s="12"/>
    </row>
    <row r="357" spans="1:32">
      <c r="A357" s="8"/>
      <c r="B357" s="8"/>
      <c r="C357" s="8"/>
      <c r="D357" s="8"/>
      <c r="E357" s="8"/>
      <c r="F357" s="8"/>
      <c r="G357" s="8"/>
      <c r="H357" s="8"/>
      <c r="I357" s="8"/>
      <c r="J357" s="8"/>
      <c r="K357" s="8"/>
      <c r="L357" s="8"/>
      <c r="M357" s="8"/>
      <c r="N357" s="8"/>
      <c r="O357" s="8"/>
      <c r="P357" s="8"/>
      <c r="Q357" s="8"/>
      <c r="R357" s="8"/>
      <c r="S357" s="8"/>
      <c r="T357" s="8"/>
      <c r="U357" s="12"/>
      <c r="V357" s="12"/>
      <c r="W357" s="12"/>
      <c r="X357" s="12"/>
      <c r="Y357" s="12"/>
      <c r="Z357" s="12"/>
      <c r="AA357" s="12"/>
      <c r="AB357" s="12"/>
      <c r="AC357" s="12"/>
      <c r="AD357" s="12"/>
      <c r="AE357" s="12"/>
      <c r="AF357" s="12"/>
    </row>
    <row r="358" spans="1:32">
      <c r="A358" s="8"/>
      <c r="B358" s="8"/>
      <c r="C358" s="8"/>
      <c r="D358" s="8"/>
      <c r="E358" s="8"/>
      <c r="F358" s="8"/>
      <c r="G358" s="8"/>
      <c r="H358" s="8"/>
      <c r="I358" s="8"/>
      <c r="J358" s="8"/>
      <c r="K358" s="8"/>
      <c r="L358" s="8"/>
      <c r="M358" s="8"/>
      <c r="N358" s="8"/>
      <c r="O358" s="8"/>
      <c r="P358" s="8"/>
      <c r="Q358" s="8"/>
      <c r="R358" s="8"/>
      <c r="S358" s="8"/>
      <c r="T358" s="8"/>
      <c r="U358" s="12"/>
      <c r="V358" s="12"/>
      <c r="W358" s="12"/>
      <c r="X358" s="12"/>
      <c r="Y358" s="12"/>
      <c r="Z358" s="12"/>
      <c r="AA358" s="12"/>
      <c r="AB358" s="12"/>
      <c r="AC358" s="12"/>
      <c r="AD358" s="12"/>
      <c r="AE358" s="12"/>
      <c r="AF358" s="12"/>
    </row>
    <row r="359" spans="1:32">
      <c r="A359" s="8"/>
      <c r="B359" s="8"/>
      <c r="C359" s="8"/>
      <c r="D359" s="8"/>
      <c r="E359" s="8"/>
      <c r="F359" s="8"/>
      <c r="G359" s="8"/>
      <c r="H359" s="8"/>
      <c r="I359" s="8"/>
      <c r="J359" s="8"/>
      <c r="K359" s="8"/>
      <c r="L359" s="8"/>
      <c r="M359" s="8"/>
      <c r="N359" s="8"/>
      <c r="O359" s="8"/>
      <c r="P359" s="8"/>
      <c r="Q359" s="8"/>
      <c r="R359" s="8"/>
      <c r="S359" s="8"/>
      <c r="T359" s="8"/>
      <c r="U359" s="12"/>
      <c r="V359" s="12"/>
      <c r="W359" s="12"/>
      <c r="X359" s="12"/>
      <c r="Y359" s="12"/>
      <c r="Z359" s="12"/>
      <c r="AA359" s="12"/>
      <c r="AB359" s="12"/>
      <c r="AC359" s="12"/>
      <c r="AD359" s="12"/>
      <c r="AE359" s="12"/>
      <c r="AF359" s="12"/>
    </row>
    <row r="360" spans="1:32">
      <c r="A360" s="8"/>
      <c r="B360" s="8"/>
      <c r="C360" s="8"/>
      <c r="D360" s="8"/>
      <c r="E360" s="8"/>
      <c r="F360" s="8"/>
      <c r="G360" s="8"/>
      <c r="H360" s="8"/>
      <c r="I360" s="8"/>
      <c r="J360" s="8"/>
      <c r="K360" s="8"/>
      <c r="L360" s="8"/>
      <c r="M360" s="8"/>
      <c r="N360" s="8"/>
      <c r="O360" s="8"/>
      <c r="P360" s="8"/>
      <c r="Q360" s="8"/>
      <c r="R360" s="8"/>
      <c r="S360" s="8"/>
      <c r="T360" s="8"/>
      <c r="U360" s="12"/>
      <c r="V360" s="12"/>
      <c r="W360" s="12"/>
      <c r="X360" s="12"/>
      <c r="Y360" s="12"/>
      <c r="Z360" s="12"/>
      <c r="AA360" s="12"/>
      <c r="AB360" s="12"/>
      <c r="AC360" s="12"/>
      <c r="AD360" s="12"/>
      <c r="AE360" s="12"/>
      <c r="AF360" s="12"/>
    </row>
    <row r="361" spans="1:32">
      <c r="A361" s="8"/>
      <c r="B361" s="8"/>
      <c r="C361" s="8"/>
      <c r="D361" s="8"/>
      <c r="E361" s="8"/>
      <c r="F361" s="8"/>
      <c r="G361" s="8"/>
      <c r="H361" s="8"/>
      <c r="I361" s="8"/>
      <c r="J361" s="8"/>
      <c r="K361" s="8"/>
      <c r="L361" s="8"/>
      <c r="M361" s="8"/>
      <c r="N361" s="8"/>
      <c r="O361" s="8"/>
      <c r="P361" s="8"/>
      <c r="Q361" s="8"/>
      <c r="R361" s="8"/>
      <c r="S361" s="8"/>
      <c r="T361" s="8"/>
      <c r="U361" s="12"/>
      <c r="V361" s="12"/>
      <c r="W361" s="12"/>
      <c r="X361" s="12"/>
      <c r="Y361" s="12"/>
      <c r="Z361" s="12"/>
      <c r="AA361" s="12"/>
      <c r="AB361" s="12"/>
      <c r="AC361" s="12"/>
      <c r="AD361" s="12"/>
      <c r="AE361" s="12"/>
      <c r="AF361" s="12"/>
    </row>
    <row r="362" spans="1:32">
      <c r="A362" s="8"/>
      <c r="B362" s="8"/>
      <c r="C362" s="8"/>
      <c r="D362" s="8"/>
      <c r="E362" s="8"/>
      <c r="F362" s="8"/>
      <c r="G362" s="8"/>
      <c r="H362" s="8"/>
      <c r="I362" s="8"/>
      <c r="J362" s="8"/>
      <c r="K362" s="8"/>
      <c r="L362" s="8"/>
      <c r="M362" s="8"/>
      <c r="N362" s="8"/>
      <c r="O362" s="8"/>
      <c r="P362" s="8"/>
      <c r="Q362" s="8"/>
      <c r="R362" s="8"/>
      <c r="S362" s="8"/>
      <c r="T362" s="8"/>
      <c r="U362" s="12"/>
      <c r="V362" s="12"/>
      <c r="W362" s="12"/>
      <c r="X362" s="12"/>
      <c r="Y362" s="12"/>
      <c r="Z362" s="12"/>
      <c r="AA362" s="12"/>
      <c r="AB362" s="12"/>
      <c r="AC362" s="12"/>
      <c r="AD362" s="12"/>
      <c r="AE362" s="12"/>
      <c r="AF362" s="12"/>
    </row>
    <row r="363" spans="1:32">
      <c r="A363" s="8"/>
      <c r="B363" s="8"/>
      <c r="C363" s="8"/>
      <c r="D363" s="8"/>
      <c r="E363" s="8"/>
      <c r="F363" s="8"/>
      <c r="G363" s="8"/>
      <c r="H363" s="8"/>
      <c r="I363" s="8"/>
      <c r="J363" s="8"/>
      <c r="K363" s="8"/>
      <c r="L363" s="8"/>
      <c r="M363" s="8"/>
      <c r="N363" s="8"/>
      <c r="O363" s="8"/>
      <c r="P363" s="8"/>
      <c r="Q363" s="8"/>
      <c r="R363" s="8"/>
      <c r="S363" s="8"/>
      <c r="T363" s="8"/>
      <c r="U363" s="12"/>
      <c r="V363" s="12"/>
      <c r="W363" s="12"/>
      <c r="X363" s="12"/>
      <c r="Y363" s="12"/>
      <c r="Z363" s="12"/>
      <c r="AA363" s="12"/>
      <c r="AB363" s="12"/>
      <c r="AC363" s="12"/>
      <c r="AD363" s="12"/>
      <c r="AE363" s="12"/>
      <c r="AF363" s="12"/>
    </row>
    <row r="364" spans="1:32">
      <c r="A364" s="8"/>
      <c r="B364" s="8"/>
      <c r="C364" s="8"/>
      <c r="D364" s="8"/>
      <c r="E364" s="8"/>
      <c r="F364" s="8"/>
      <c r="G364" s="8"/>
      <c r="H364" s="8"/>
      <c r="I364" s="8"/>
      <c r="J364" s="8"/>
      <c r="K364" s="8"/>
      <c r="L364" s="8"/>
      <c r="M364" s="8"/>
      <c r="N364" s="8"/>
      <c r="O364" s="8"/>
      <c r="P364" s="8"/>
      <c r="Q364" s="8"/>
      <c r="R364" s="8"/>
      <c r="S364" s="8"/>
      <c r="T364" s="8"/>
      <c r="U364" s="12"/>
      <c r="V364" s="12"/>
      <c r="W364" s="12"/>
      <c r="X364" s="12"/>
      <c r="Y364" s="12"/>
      <c r="Z364" s="12"/>
      <c r="AA364" s="12"/>
      <c r="AB364" s="12"/>
      <c r="AC364" s="12"/>
      <c r="AD364" s="12"/>
      <c r="AE364" s="12"/>
      <c r="AF364" s="12"/>
    </row>
    <row r="365" spans="1:32">
      <c r="A365" s="8"/>
      <c r="B365" s="8"/>
      <c r="C365" s="8"/>
      <c r="D365" s="8"/>
      <c r="E365" s="8"/>
      <c r="F365" s="8"/>
      <c r="G365" s="8"/>
      <c r="H365" s="8"/>
      <c r="I365" s="8"/>
      <c r="J365" s="8"/>
      <c r="K365" s="8"/>
      <c r="L365" s="8"/>
      <c r="M365" s="8"/>
      <c r="N365" s="8"/>
      <c r="O365" s="8"/>
      <c r="P365" s="8"/>
      <c r="Q365" s="8"/>
      <c r="R365" s="8"/>
      <c r="S365" s="8"/>
      <c r="T365" s="8"/>
      <c r="U365" s="12"/>
      <c r="V365" s="12"/>
      <c r="W365" s="12"/>
      <c r="X365" s="12"/>
      <c r="Y365" s="12"/>
      <c r="Z365" s="12"/>
      <c r="AA365" s="12"/>
      <c r="AB365" s="12"/>
      <c r="AC365" s="12"/>
      <c r="AD365" s="12"/>
      <c r="AE365" s="12"/>
      <c r="AF365" s="12"/>
    </row>
    <row r="366" spans="1:32">
      <c r="A366" s="8"/>
      <c r="B366" s="8"/>
      <c r="C366" s="8"/>
      <c r="D366" s="8"/>
      <c r="E366" s="8"/>
      <c r="F366" s="8"/>
      <c r="G366" s="8"/>
      <c r="H366" s="8"/>
      <c r="I366" s="8"/>
      <c r="J366" s="8"/>
      <c r="K366" s="8"/>
      <c r="L366" s="8"/>
      <c r="M366" s="8"/>
      <c r="N366" s="8"/>
      <c r="O366" s="8"/>
      <c r="P366" s="8"/>
      <c r="Q366" s="8"/>
      <c r="R366" s="8"/>
      <c r="S366" s="8"/>
      <c r="T366" s="8"/>
      <c r="U366" s="12"/>
      <c r="V366" s="12"/>
      <c r="W366" s="12"/>
      <c r="X366" s="12"/>
      <c r="Y366" s="12"/>
      <c r="Z366" s="12"/>
      <c r="AA366" s="12"/>
      <c r="AB366" s="12"/>
      <c r="AC366" s="12"/>
      <c r="AD366" s="12"/>
      <c r="AE366" s="12"/>
      <c r="AF366" s="12"/>
    </row>
    <row r="367" spans="1:32">
      <c r="A367" s="8"/>
      <c r="B367" s="8"/>
      <c r="C367" s="8"/>
      <c r="D367" s="8"/>
      <c r="E367" s="8"/>
      <c r="F367" s="8"/>
      <c r="G367" s="8"/>
      <c r="H367" s="8"/>
      <c r="I367" s="8"/>
      <c r="J367" s="8"/>
      <c r="K367" s="8"/>
      <c r="L367" s="8"/>
      <c r="M367" s="8"/>
      <c r="N367" s="8"/>
      <c r="O367" s="8"/>
      <c r="P367" s="8"/>
      <c r="Q367" s="8"/>
      <c r="R367" s="8"/>
      <c r="S367" s="8"/>
      <c r="T367" s="8"/>
      <c r="U367" s="12"/>
      <c r="V367" s="12"/>
      <c r="W367" s="12"/>
      <c r="X367" s="12"/>
      <c r="Y367" s="12"/>
      <c r="Z367" s="12"/>
      <c r="AA367" s="12"/>
      <c r="AB367" s="12"/>
      <c r="AC367" s="12"/>
      <c r="AD367" s="12"/>
      <c r="AE367" s="12"/>
      <c r="AF367" s="12"/>
    </row>
    <row r="368" spans="1:32">
      <c r="A368" s="8"/>
      <c r="B368" s="8"/>
      <c r="C368" s="8"/>
      <c r="D368" s="8"/>
      <c r="E368" s="8"/>
      <c r="F368" s="8"/>
      <c r="G368" s="8"/>
      <c r="H368" s="8"/>
      <c r="I368" s="8"/>
      <c r="J368" s="8"/>
      <c r="K368" s="8"/>
      <c r="L368" s="8"/>
      <c r="M368" s="8"/>
      <c r="N368" s="8"/>
      <c r="O368" s="8"/>
      <c r="P368" s="8"/>
      <c r="Q368" s="8"/>
      <c r="R368" s="8"/>
      <c r="S368" s="8"/>
      <c r="T368" s="8"/>
      <c r="U368" s="12"/>
      <c r="V368" s="12"/>
      <c r="W368" s="12"/>
      <c r="X368" s="12"/>
      <c r="Y368" s="12"/>
      <c r="Z368" s="12"/>
      <c r="AA368" s="12"/>
      <c r="AB368" s="12"/>
      <c r="AC368" s="12"/>
      <c r="AD368" s="12"/>
      <c r="AE368" s="12"/>
      <c r="AF368" s="12"/>
    </row>
    <row r="369" spans="1:32">
      <c r="A369" s="8"/>
      <c r="B369" s="8"/>
      <c r="C369" s="8"/>
      <c r="D369" s="8"/>
      <c r="E369" s="8"/>
      <c r="F369" s="8"/>
      <c r="G369" s="8"/>
      <c r="H369" s="8"/>
      <c r="I369" s="8"/>
      <c r="J369" s="8"/>
      <c r="K369" s="8"/>
      <c r="L369" s="8"/>
      <c r="M369" s="8"/>
      <c r="N369" s="8"/>
      <c r="O369" s="8"/>
      <c r="P369" s="8"/>
      <c r="Q369" s="8"/>
      <c r="R369" s="8"/>
      <c r="S369" s="8"/>
      <c r="T369" s="8"/>
      <c r="U369" s="12"/>
      <c r="V369" s="12"/>
      <c r="W369" s="12"/>
      <c r="X369" s="12"/>
      <c r="Y369" s="12"/>
      <c r="Z369" s="12"/>
      <c r="AA369" s="12"/>
      <c r="AB369" s="12"/>
      <c r="AC369" s="12"/>
      <c r="AD369" s="12"/>
      <c r="AE369" s="12"/>
      <c r="AF369" s="12"/>
    </row>
    <row r="370" spans="1:32">
      <c r="A370" s="8"/>
      <c r="B370" s="8"/>
      <c r="C370" s="8"/>
      <c r="D370" s="8"/>
      <c r="E370" s="8"/>
      <c r="F370" s="8"/>
      <c r="G370" s="8"/>
      <c r="H370" s="8"/>
      <c r="I370" s="8"/>
      <c r="J370" s="8"/>
      <c r="K370" s="8"/>
      <c r="L370" s="8"/>
      <c r="M370" s="8"/>
      <c r="N370" s="8"/>
      <c r="O370" s="8"/>
      <c r="P370" s="8"/>
      <c r="Q370" s="8"/>
      <c r="R370" s="8"/>
      <c r="S370" s="8"/>
      <c r="T370" s="8"/>
      <c r="U370" s="12"/>
      <c r="V370" s="12"/>
      <c r="W370" s="12"/>
      <c r="X370" s="12"/>
      <c r="Y370" s="12"/>
      <c r="Z370" s="12"/>
      <c r="AA370" s="12"/>
      <c r="AB370" s="12"/>
      <c r="AC370" s="12"/>
      <c r="AD370" s="12"/>
      <c r="AE370" s="12"/>
      <c r="AF370" s="12"/>
    </row>
    <row r="371" spans="1:32">
      <c r="A371" s="8"/>
      <c r="B371" s="8"/>
      <c r="C371" s="8"/>
      <c r="D371" s="8"/>
      <c r="E371" s="8"/>
      <c r="F371" s="8"/>
      <c r="G371" s="8"/>
      <c r="H371" s="8"/>
      <c r="I371" s="8"/>
      <c r="J371" s="8"/>
      <c r="K371" s="8"/>
      <c r="L371" s="8"/>
      <c r="M371" s="8"/>
      <c r="N371" s="8"/>
      <c r="O371" s="8"/>
      <c r="P371" s="8"/>
      <c r="Q371" s="8"/>
      <c r="R371" s="8"/>
      <c r="S371" s="8"/>
      <c r="T371" s="8"/>
      <c r="U371" s="12"/>
      <c r="V371" s="12"/>
      <c r="W371" s="12"/>
      <c r="X371" s="12"/>
      <c r="Y371" s="12"/>
      <c r="Z371" s="12"/>
      <c r="AA371" s="12"/>
      <c r="AB371" s="12"/>
      <c r="AC371" s="12"/>
      <c r="AD371" s="12"/>
      <c r="AE371" s="12"/>
      <c r="AF371" s="12"/>
    </row>
    <row r="372" spans="1:32">
      <c r="A372" s="8"/>
      <c r="B372" s="8"/>
      <c r="C372" s="8"/>
      <c r="D372" s="8"/>
      <c r="E372" s="8"/>
      <c r="F372" s="8"/>
      <c r="G372" s="8"/>
      <c r="H372" s="8"/>
      <c r="I372" s="8"/>
      <c r="J372" s="8"/>
      <c r="K372" s="8"/>
      <c r="L372" s="8"/>
      <c r="M372" s="8"/>
      <c r="N372" s="8"/>
      <c r="O372" s="8"/>
      <c r="P372" s="8"/>
      <c r="Q372" s="8"/>
      <c r="R372" s="8"/>
      <c r="S372" s="8"/>
      <c r="T372" s="8"/>
      <c r="U372" s="12"/>
      <c r="V372" s="12"/>
      <c r="W372" s="12"/>
      <c r="X372" s="12"/>
      <c r="Y372" s="12"/>
      <c r="Z372" s="12"/>
      <c r="AA372" s="12"/>
      <c r="AB372" s="12"/>
      <c r="AC372" s="12"/>
      <c r="AD372" s="12"/>
      <c r="AE372" s="12"/>
      <c r="AF372" s="12"/>
    </row>
    <row r="373" spans="1:32">
      <c r="A373" s="8"/>
      <c r="B373" s="8"/>
      <c r="C373" s="8"/>
      <c r="D373" s="8"/>
      <c r="E373" s="8"/>
      <c r="F373" s="8"/>
      <c r="G373" s="8"/>
      <c r="H373" s="8"/>
      <c r="I373" s="8"/>
      <c r="J373" s="8"/>
      <c r="K373" s="8"/>
      <c r="L373" s="8"/>
      <c r="M373" s="8"/>
      <c r="N373" s="8"/>
      <c r="O373" s="8"/>
      <c r="P373" s="8"/>
      <c r="Q373" s="8"/>
      <c r="R373" s="8"/>
      <c r="S373" s="8"/>
      <c r="T373" s="8"/>
      <c r="U373" s="12"/>
      <c r="V373" s="12"/>
      <c r="W373" s="12"/>
      <c r="X373" s="12"/>
      <c r="Y373" s="12"/>
      <c r="Z373" s="12"/>
      <c r="AA373" s="12"/>
      <c r="AB373" s="12"/>
      <c r="AC373" s="12"/>
      <c r="AD373" s="12"/>
      <c r="AE373" s="12"/>
      <c r="AF373" s="12"/>
    </row>
    <row r="374" spans="1:32">
      <c r="A374" s="8"/>
      <c r="B374" s="8"/>
      <c r="C374" s="8"/>
      <c r="D374" s="8"/>
      <c r="E374" s="8"/>
      <c r="F374" s="8"/>
      <c r="G374" s="8"/>
      <c r="H374" s="8"/>
      <c r="I374" s="8"/>
      <c r="J374" s="8"/>
      <c r="K374" s="8"/>
      <c r="L374" s="8"/>
      <c r="M374" s="8"/>
      <c r="N374" s="8"/>
      <c r="O374" s="8"/>
      <c r="P374" s="8"/>
      <c r="Q374" s="8"/>
      <c r="R374" s="8"/>
      <c r="S374" s="8"/>
      <c r="T374" s="8"/>
      <c r="U374" s="12"/>
      <c r="V374" s="12"/>
      <c r="W374" s="12"/>
      <c r="X374" s="12"/>
      <c r="Y374" s="12"/>
      <c r="Z374" s="12"/>
      <c r="AA374" s="12"/>
      <c r="AB374" s="12"/>
      <c r="AC374" s="12"/>
      <c r="AD374" s="12"/>
      <c r="AE374" s="12"/>
      <c r="AF374" s="12"/>
    </row>
    <row r="375" spans="1:32">
      <c r="A375" s="8"/>
      <c r="B375" s="8"/>
      <c r="C375" s="8"/>
      <c r="D375" s="8"/>
      <c r="E375" s="8"/>
      <c r="F375" s="8"/>
      <c r="G375" s="8"/>
      <c r="H375" s="8"/>
      <c r="I375" s="8"/>
      <c r="J375" s="8"/>
      <c r="K375" s="8"/>
      <c r="L375" s="8"/>
      <c r="M375" s="8"/>
      <c r="N375" s="8"/>
      <c r="O375" s="8"/>
      <c r="P375" s="8"/>
      <c r="Q375" s="8"/>
      <c r="R375" s="8"/>
      <c r="S375" s="8"/>
      <c r="T375" s="8"/>
      <c r="U375" s="12"/>
      <c r="V375" s="12"/>
      <c r="W375" s="12"/>
      <c r="X375" s="12"/>
      <c r="Y375" s="12"/>
      <c r="Z375" s="12"/>
      <c r="AA375" s="12"/>
      <c r="AB375" s="12"/>
      <c r="AC375" s="12"/>
      <c r="AD375" s="12"/>
      <c r="AE375" s="12"/>
      <c r="AF375" s="12"/>
    </row>
    <row r="376" spans="1:32">
      <c r="A376" s="8"/>
      <c r="B376" s="8"/>
      <c r="C376" s="8"/>
      <c r="D376" s="8"/>
      <c r="E376" s="8"/>
      <c r="F376" s="8"/>
      <c r="G376" s="8"/>
      <c r="H376" s="8"/>
      <c r="I376" s="8"/>
      <c r="J376" s="8"/>
      <c r="K376" s="8"/>
      <c r="L376" s="8"/>
      <c r="M376" s="8"/>
      <c r="N376" s="8"/>
      <c r="O376" s="8"/>
      <c r="P376" s="8"/>
      <c r="Q376" s="8"/>
      <c r="R376" s="8"/>
      <c r="S376" s="8"/>
      <c r="T376" s="8"/>
      <c r="U376" s="12"/>
      <c r="V376" s="12"/>
      <c r="W376" s="12"/>
      <c r="X376" s="12"/>
      <c r="Y376" s="12"/>
      <c r="Z376" s="12"/>
      <c r="AA376" s="12"/>
      <c r="AB376" s="12"/>
      <c r="AC376" s="12"/>
      <c r="AD376" s="12"/>
      <c r="AE376" s="12"/>
      <c r="AF376" s="12"/>
    </row>
    <row r="377" spans="1:32">
      <c r="A377" s="8"/>
      <c r="B377" s="8"/>
      <c r="C377" s="8"/>
      <c r="D377" s="8"/>
      <c r="E377" s="8"/>
      <c r="F377" s="8"/>
      <c r="G377" s="8"/>
      <c r="H377" s="8"/>
      <c r="I377" s="8"/>
      <c r="J377" s="8"/>
      <c r="K377" s="8"/>
      <c r="L377" s="8"/>
      <c r="M377" s="8"/>
      <c r="N377" s="8"/>
      <c r="O377" s="8"/>
      <c r="P377" s="8"/>
      <c r="Q377" s="8"/>
      <c r="R377" s="8"/>
      <c r="S377" s="8"/>
      <c r="T377" s="8"/>
      <c r="U377" s="12"/>
      <c r="V377" s="12"/>
      <c r="W377" s="12"/>
      <c r="X377" s="12"/>
      <c r="Y377" s="12"/>
      <c r="Z377" s="12"/>
      <c r="AA377" s="12"/>
      <c r="AB377" s="12"/>
      <c r="AC377" s="12"/>
      <c r="AD377" s="12"/>
      <c r="AE377" s="12"/>
      <c r="AF377" s="12"/>
    </row>
    <row r="378" spans="1:32">
      <c r="A378" s="8"/>
      <c r="B378" s="8"/>
      <c r="C378" s="8"/>
      <c r="D378" s="8"/>
      <c r="E378" s="8"/>
      <c r="F378" s="8"/>
      <c r="G378" s="8"/>
      <c r="H378" s="8"/>
      <c r="I378" s="8"/>
      <c r="J378" s="8"/>
      <c r="K378" s="8"/>
      <c r="L378" s="8"/>
      <c r="M378" s="8"/>
      <c r="N378" s="8"/>
      <c r="O378" s="8"/>
      <c r="P378" s="8"/>
      <c r="Q378" s="8"/>
      <c r="R378" s="8"/>
      <c r="S378" s="8"/>
      <c r="T378" s="8"/>
      <c r="U378" s="12"/>
      <c r="V378" s="12"/>
      <c r="W378" s="12"/>
      <c r="X378" s="12"/>
      <c r="Y378" s="12"/>
      <c r="Z378" s="12"/>
      <c r="AA378" s="12"/>
      <c r="AB378" s="12"/>
      <c r="AC378" s="12"/>
      <c r="AD378" s="12"/>
      <c r="AE378" s="12"/>
      <c r="AF378" s="12"/>
    </row>
    <row r="379" spans="1:32">
      <c r="A379" s="8"/>
      <c r="B379" s="8"/>
      <c r="C379" s="8"/>
      <c r="D379" s="8"/>
      <c r="E379" s="8"/>
      <c r="F379" s="8"/>
      <c r="G379" s="8"/>
      <c r="H379" s="8"/>
      <c r="I379" s="8"/>
      <c r="J379" s="8"/>
      <c r="K379" s="8"/>
      <c r="L379" s="8"/>
      <c r="M379" s="8"/>
      <c r="N379" s="8"/>
      <c r="O379" s="8"/>
      <c r="P379" s="8"/>
      <c r="Q379" s="8"/>
      <c r="R379" s="8"/>
      <c r="S379" s="8"/>
      <c r="T379" s="8"/>
      <c r="U379" s="12"/>
      <c r="V379" s="12"/>
      <c r="W379" s="12"/>
      <c r="X379" s="12"/>
      <c r="Y379" s="12"/>
      <c r="Z379" s="12"/>
      <c r="AA379" s="12"/>
      <c r="AB379" s="12"/>
      <c r="AC379" s="12"/>
      <c r="AD379" s="12"/>
      <c r="AE379" s="12"/>
      <c r="AF379" s="12"/>
    </row>
    <row r="380" spans="1:32">
      <c r="A380" s="8"/>
      <c r="B380" s="8"/>
      <c r="C380" s="8"/>
      <c r="D380" s="8"/>
      <c r="E380" s="8"/>
      <c r="F380" s="8"/>
      <c r="G380" s="8"/>
      <c r="H380" s="8"/>
      <c r="I380" s="8"/>
      <c r="J380" s="8"/>
      <c r="K380" s="8"/>
      <c r="L380" s="8"/>
      <c r="M380" s="8"/>
      <c r="N380" s="8"/>
      <c r="O380" s="8"/>
      <c r="P380" s="8"/>
      <c r="Q380" s="8"/>
      <c r="R380" s="8"/>
      <c r="S380" s="8"/>
      <c r="T380" s="8"/>
      <c r="U380" s="12"/>
      <c r="V380" s="12"/>
      <c r="W380" s="12"/>
      <c r="X380" s="12"/>
      <c r="Y380" s="12"/>
      <c r="Z380" s="12"/>
      <c r="AA380" s="12"/>
      <c r="AB380" s="12"/>
      <c r="AC380" s="12"/>
      <c r="AD380" s="12"/>
      <c r="AE380" s="12"/>
      <c r="AF380" s="12"/>
    </row>
    <row r="381" spans="1:32">
      <c r="A381" s="8"/>
      <c r="B381" s="8"/>
      <c r="C381" s="8"/>
      <c r="D381" s="8"/>
      <c r="E381" s="8"/>
      <c r="F381" s="8"/>
      <c r="G381" s="8"/>
      <c r="H381" s="8"/>
      <c r="I381" s="8"/>
      <c r="J381" s="8"/>
      <c r="K381" s="8"/>
      <c r="L381" s="8"/>
      <c r="M381" s="8"/>
      <c r="N381" s="8"/>
      <c r="O381" s="8"/>
      <c r="P381" s="8"/>
      <c r="Q381" s="8"/>
      <c r="R381" s="8"/>
      <c r="S381" s="8"/>
      <c r="T381" s="8"/>
      <c r="U381" s="12"/>
      <c r="V381" s="12"/>
      <c r="W381" s="12"/>
      <c r="X381" s="12"/>
      <c r="Y381" s="12"/>
      <c r="Z381" s="12"/>
      <c r="AA381" s="12"/>
      <c r="AB381" s="12"/>
      <c r="AC381" s="12"/>
      <c r="AD381" s="12"/>
      <c r="AE381" s="12"/>
      <c r="AF381" s="12"/>
    </row>
    <row r="382" spans="1:32">
      <c r="A382" s="8"/>
      <c r="B382" s="8"/>
      <c r="C382" s="8"/>
      <c r="D382" s="8"/>
      <c r="E382" s="8"/>
      <c r="F382" s="8"/>
      <c r="G382" s="8"/>
      <c r="H382" s="8"/>
      <c r="I382" s="8"/>
      <c r="J382" s="8"/>
      <c r="K382" s="8"/>
      <c r="L382" s="8"/>
      <c r="M382" s="8"/>
      <c r="N382" s="8"/>
      <c r="O382" s="8"/>
      <c r="P382" s="8"/>
      <c r="Q382" s="8"/>
      <c r="R382" s="8"/>
      <c r="S382" s="8"/>
      <c r="T382" s="8"/>
      <c r="U382" s="12"/>
      <c r="V382" s="12"/>
      <c r="W382" s="12"/>
      <c r="X382" s="12"/>
      <c r="Y382" s="12"/>
      <c r="Z382" s="12"/>
      <c r="AA382" s="12"/>
      <c r="AB382" s="12"/>
      <c r="AC382" s="12"/>
      <c r="AD382" s="12"/>
      <c r="AE382" s="12"/>
      <c r="AF382" s="12"/>
    </row>
    <row r="383" spans="1:32">
      <c r="A383" s="8"/>
      <c r="B383" s="8"/>
      <c r="C383" s="8"/>
      <c r="D383" s="8"/>
      <c r="E383" s="8"/>
      <c r="F383" s="8"/>
      <c r="G383" s="8"/>
      <c r="H383" s="8"/>
      <c r="I383" s="8"/>
      <c r="J383" s="8"/>
      <c r="K383" s="8"/>
      <c r="L383" s="8"/>
      <c r="M383" s="8"/>
      <c r="N383" s="8"/>
      <c r="O383" s="8"/>
      <c r="P383" s="8"/>
      <c r="Q383" s="8"/>
      <c r="R383" s="8"/>
      <c r="S383" s="8"/>
      <c r="T383" s="8"/>
      <c r="U383" s="12"/>
      <c r="V383" s="12"/>
      <c r="W383" s="12"/>
      <c r="X383" s="12"/>
      <c r="Y383" s="12"/>
      <c r="Z383" s="12"/>
      <c r="AA383" s="12"/>
      <c r="AB383" s="12"/>
      <c r="AC383" s="12"/>
      <c r="AD383" s="12"/>
      <c r="AE383" s="12"/>
      <c r="AF383" s="12"/>
    </row>
    <row r="384" spans="1:32">
      <c r="A384" s="8"/>
      <c r="B384" s="8"/>
      <c r="C384" s="8"/>
      <c r="D384" s="8"/>
      <c r="E384" s="8"/>
      <c r="F384" s="8"/>
      <c r="G384" s="8"/>
      <c r="H384" s="8"/>
      <c r="I384" s="8"/>
      <c r="J384" s="8"/>
      <c r="K384" s="8"/>
      <c r="L384" s="8"/>
      <c r="M384" s="8"/>
      <c r="N384" s="8"/>
      <c r="O384" s="8"/>
      <c r="P384" s="8"/>
      <c r="Q384" s="8"/>
      <c r="R384" s="8"/>
      <c r="S384" s="8"/>
      <c r="T384" s="8"/>
      <c r="U384" s="12"/>
      <c r="V384" s="12"/>
      <c r="W384" s="12"/>
      <c r="X384" s="12"/>
      <c r="Y384" s="12"/>
      <c r="Z384" s="12"/>
      <c r="AA384" s="12"/>
      <c r="AB384" s="12"/>
      <c r="AC384" s="12"/>
      <c r="AD384" s="12"/>
      <c r="AE384" s="12"/>
      <c r="AF384" s="12"/>
    </row>
    <row r="385" spans="1:32">
      <c r="A385" s="8"/>
      <c r="B385" s="8"/>
      <c r="C385" s="8"/>
      <c r="D385" s="8"/>
      <c r="E385" s="8"/>
      <c r="F385" s="8"/>
      <c r="G385" s="8"/>
      <c r="H385" s="8"/>
      <c r="I385" s="8"/>
      <c r="J385" s="8"/>
      <c r="K385" s="8"/>
      <c r="L385" s="8"/>
      <c r="M385" s="8"/>
      <c r="N385" s="8"/>
      <c r="O385" s="8"/>
      <c r="P385" s="8"/>
      <c r="Q385" s="8"/>
      <c r="R385" s="8"/>
      <c r="S385" s="8"/>
      <c r="T385" s="8"/>
      <c r="U385" s="12"/>
      <c r="V385" s="12"/>
      <c r="W385" s="12"/>
      <c r="X385" s="12"/>
      <c r="Y385" s="12"/>
      <c r="Z385" s="12"/>
      <c r="AA385" s="12"/>
      <c r="AB385" s="12"/>
      <c r="AC385" s="12"/>
      <c r="AD385" s="12"/>
      <c r="AE385" s="12"/>
      <c r="AF385" s="12"/>
    </row>
    <row r="386" spans="1:32">
      <c r="A386" s="8"/>
      <c r="B386" s="8"/>
      <c r="C386" s="8"/>
      <c r="D386" s="8"/>
      <c r="E386" s="8"/>
      <c r="F386" s="8"/>
      <c r="G386" s="8"/>
      <c r="H386" s="8"/>
      <c r="I386" s="8"/>
      <c r="J386" s="8"/>
      <c r="K386" s="8"/>
      <c r="L386" s="8"/>
      <c r="M386" s="8"/>
      <c r="N386" s="8"/>
      <c r="O386" s="8"/>
      <c r="P386" s="8"/>
      <c r="Q386" s="8"/>
      <c r="R386" s="8"/>
      <c r="S386" s="8"/>
      <c r="T386" s="8"/>
      <c r="U386" s="12"/>
      <c r="V386" s="12"/>
      <c r="W386" s="12"/>
      <c r="X386" s="12"/>
      <c r="Y386" s="12"/>
      <c r="Z386" s="12"/>
      <c r="AA386" s="12"/>
      <c r="AB386" s="12"/>
      <c r="AC386" s="12"/>
      <c r="AD386" s="12"/>
      <c r="AE386" s="12"/>
      <c r="AF386" s="12"/>
    </row>
    <row r="387" spans="1:32">
      <c r="A387" s="8"/>
      <c r="B387" s="8"/>
      <c r="C387" s="8"/>
      <c r="D387" s="8"/>
      <c r="E387" s="8"/>
      <c r="F387" s="8"/>
      <c r="G387" s="8"/>
      <c r="H387" s="8"/>
      <c r="I387" s="8"/>
      <c r="J387" s="8"/>
      <c r="K387" s="8"/>
      <c r="L387" s="8"/>
      <c r="M387" s="8"/>
      <c r="N387" s="8"/>
      <c r="O387" s="8"/>
      <c r="P387" s="8"/>
      <c r="Q387" s="8"/>
      <c r="R387" s="8"/>
      <c r="S387" s="8"/>
      <c r="T387" s="8"/>
      <c r="U387" s="12"/>
      <c r="V387" s="12"/>
      <c r="W387" s="12"/>
      <c r="X387" s="12"/>
      <c r="Y387" s="12"/>
      <c r="Z387" s="12"/>
      <c r="AA387" s="12"/>
      <c r="AB387" s="12"/>
      <c r="AC387" s="12"/>
      <c r="AD387" s="12"/>
      <c r="AE387" s="12"/>
      <c r="AF387" s="12"/>
    </row>
    <row r="388" spans="1:32">
      <c r="A388" s="8"/>
      <c r="B388" s="8"/>
      <c r="C388" s="8"/>
      <c r="D388" s="8"/>
      <c r="E388" s="8"/>
      <c r="F388" s="8"/>
      <c r="G388" s="8"/>
      <c r="H388" s="8"/>
      <c r="I388" s="8"/>
      <c r="J388" s="8"/>
      <c r="K388" s="8"/>
      <c r="L388" s="8"/>
      <c r="M388" s="8"/>
      <c r="N388" s="8"/>
      <c r="O388" s="8"/>
      <c r="P388" s="8"/>
      <c r="Q388" s="8"/>
      <c r="R388" s="8"/>
      <c r="S388" s="8"/>
      <c r="T388" s="8"/>
      <c r="U388" s="12"/>
      <c r="V388" s="12"/>
      <c r="W388" s="12"/>
      <c r="X388" s="12"/>
      <c r="Y388" s="12"/>
      <c r="Z388" s="12"/>
      <c r="AA388" s="12"/>
      <c r="AB388" s="12"/>
      <c r="AC388" s="12"/>
      <c r="AD388" s="12"/>
      <c r="AE388" s="12"/>
      <c r="AF388" s="12"/>
    </row>
    <row r="389" spans="1:32">
      <c r="A389" s="8"/>
      <c r="B389" s="8"/>
      <c r="C389" s="8"/>
      <c r="D389" s="8"/>
      <c r="E389" s="8"/>
      <c r="F389" s="8"/>
      <c r="G389" s="8"/>
      <c r="H389" s="8"/>
      <c r="I389" s="8"/>
      <c r="J389" s="8"/>
      <c r="K389" s="8"/>
      <c r="L389" s="8"/>
      <c r="M389" s="8"/>
      <c r="N389" s="8"/>
      <c r="O389" s="8"/>
      <c r="P389" s="8"/>
      <c r="Q389" s="8"/>
      <c r="R389" s="8"/>
      <c r="S389" s="8"/>
      <c r="T389" s="8"/>
      <c r="U389" s="12"/>
      <c r="V389" s="12"/>
      <c r="W389" s="12"/>
      <c r="X389" s="12"/>
      <c r="Y389" s="12"/>
      <c r="Z389" s="12"/>
      <c r="AA389" s="12"/>
      <c r="AB389" s="12"/>
      <c r="AC389" s="12"/>
      <c r="AD389" s="12"/>
      <c r="AE389" s="12"/>
      <c r="AF389" s="12"/>
    </row>
    <row r="390" spans="1:32">
      <c r="A390" s="8"/>
      <c r="B390" s="8"/>
      <c r="C390" s="8"/>
      <c r="D390" s="8"/>
      <c r="E390" s="8"/>
      <c r="F390" s="8"/>
      <c r="G390" s="8"/>
      <c r="H390" s="8"/>
      <c r="I390" s="8"/>
      <c r="J390" s="8"/>
      <c r="K390" s="8"/>
      <c r="L390" s="8"/>
      <c r="M390" s="8"/>
      <c r="N390" s="8"/>
      <c r="O390" s="8"/>
      <c r="P390" s="8"/>
      <c r="Q390" s="8"/>
      <c r="R390" s="8"/>
      <c r="S390" s="8"/>
      <c r="T390" s="8"/>
      <c r="U390" s="12"/>
      <c r="V390" s="12"/>
      <c r="W390" s="12"/>
      <c r="X390" s="12"/>
      <c r="Y390" s="12"/>
      <c r="Z390" s="12"/>
      <c r="AA390" s="12"/>
      <c r="AB390" s="12"/>
      <c r="AC390" s="12"/>
      <c r="AD390" s="12"/>
      <c r="AE390" s="12"/>
      <c r="AF390" s="12"/>
    </row>
    <row r="391" spans="1:32">
      <c r="A391" s="8"/>
      <c r="B391" s="8"/>
      <c r="C391" s="8"/>
      <c r="D391" s="8"/>
      <c r="E391" s="8"/>
      <c r="F391" s="8"/>
      <c r="G391" s="8"/>
      <c r="H391" s="8"/>
      <c r="I391" s="8"/>
      <c r="J391" s="8"/>
      <c r="K391" s="8"/>
      <c r="L391" s="8"/>
      <c r="M391" s="8"/>
      <c r="N391" s="8"/>
      <c r="O391" s="8"/>
      <c r="P391" s="8"/>
      <c r="Q391" s="8"/>
      <c r="R391" s="8"/>
      <c r="S391" s="8"/>
      <c r="T391" s="8"/>
      <c r="U391" s="12"/>
      <c r="V391" s="12"/>
      <c r="W391" s="12"/>
      <c r="X391" s="12"/>
      <c r="Y391" s="12"/>
      <c r="Z391" s="12"/>
      <c r="AA391" s="12"/>
      <c r="AB391" s="12"/>
      <c r="AC391" s="12"/>
      <c r="AD391" s="12"/>
      <c r="AE391" s="12"/>
      <c r="AF391" s="12"/>
    </row>
    <row r="392" spans="1:32">
      <c r="A392" s="8"/>
      <c r="B392" s="8"/>
      <c r="C392" s="8"/>
      <c r="D392" s="8"/>
      <c r="E392" s="8"/>
      <c r="F392" s="8"/>
      <c r="G392" s="8"/>
      <c r="H392" s="8"/>
      <c r="I392" s="8"/>
      <c r="J392" s="8"/>
      <c r="K392" s="8"/>
      <c r="L392" s="8"/>
      <c r="M392" s="8"/>
      <c r="N392" s="8"/>
      <c r="O392" s="8"/>
      <c r="P392" s="8"/>
      <c r="Q392" s="8"/>
      <c r="R392" s="8"/>
      <c r="S392" s="8"/>
      <c r="T392" s="8"/>
      <c r="U392" s="12"/>
      <c r="V392" s="12"/>
      <c r="W392" s="12"/>
      <c r="X392" s="12"/>
      <c r="Y392" s="12"/>
      <c r="Z392" s="12"/>
      <c r="AA392" s="12"/>
      <c r="AB392" s="12"/>
      <c r="AC392" s="12"/>
      <c r="AD392" s="12"/>
      <c r="AE392" s="12"/>
      <c r="AF392" s="12"/>
    </row>
    <row r="393" spans="1:32">
      <c r="A393" s="8"/>
      <c r="B393" s="8"/>
      <c r="C393" s="8"/>
      <c r="D393" s="8"/>
      <c r="E393" s="8"/>
      <c r="F393" s="8"/>
      <c r="G393" s="8"/>
      <c r="H393" s="8"/>
      <c r="I393" s="8"/>
      <c r="J393" s="8"/>
      <c r="K393" s="8"/>
      <c r="L393" s="8"/>
      <c r="M393" s="8"/>
      <c r="N393" s="8"/>
      <c r="O393" s="8"/>
      <c r="P393" s="8"/>
      <c r="Q393" s="8"/>
      <c r="R393" s="8"/>
      <c r="S393" s="8"/>
      <c r="T393" s="8"/>
      <c r="U393" s="12"/>
      <c r="V393" s="12"/>
      <c r="W393" s="12"/>
      <c r="X393" s="12"/>
      <c r="Y393" s="12"/>
      <c r="Z393" s="12"/>
      <c r="AA393" s="12"/>
      <c r="AB393" s="12"/>
      <c r="AC393" s="12"/>
      <c r="AD393" s="12"/>
      <c r="AE393" s="12"/>
      <c r="AF393" s="12"/>
    </row>
    <row r="394" spans="1:32">
      <c r="A394" s="8"/>
      <c r="B394" s="8"/>
      <c r="C394" s="8"/>
      <c r="D394" s="8"/>
      <c r="E394" s="8"/>
      <c r="F394" s="8"/>
      <c r="G394" s="8"/>
      <c r="H394" s="8"/>
      <c r="I394" s="8"/>
      <c r="J394" s="8"/>
      <c r="K394" s="8"/>
      <c r="L394" s="8"/>
      <c r="M394" s="8"/>
      <c r="N394" s="8"/>
      <c r="O394" s="8"/>
      <c r="P394" s="8"/>
      <c r="Q394" s="8"/>
      <c r="R394" s="8"/>
      <c r="S394" s="8"/>
      <c r="T394" s="8"/>
      <c r="U394" s="12"/>
      <c r="V394" s="12"/>
      <c r="W394" s="12"/>
      <c r="X394" s="12"/>
      <c r="Y394" s="12"/>
      <c r="Z394" s="12"/>
      <c r="AA394" s="12"/>
      <c r="AB394" s="12"/>
      <c r="AC394" s="12"/>
      <c r="AD394" s="12"/>
      <c r="AE394" s="12"/>
      <c r="AF394" s="12"/>
    </row>
    <row r="395" spans="1:32">
      <c r="A395" s="8"/>
      <c r="B395" s="8"/>
      <c r="C395" s="8"/>
      <c r="D395" s="8"/>
      <c r="E395" s="8"/>
      <c r="F395" s="8"/>
      <c r="G395" s="8"/>
      <c r="H395" s="8"/>
      <c r="I395" s="8"/>
      <c r="J395" s="8"/>
      <c r="K395" s="8"/>
      <c r="L395" s="8"/>
      <c r="M395" s="8"/>
      <c r="N395" s="8"/>
      <c r="O395" s="8"/>
      <c r="P395" s="8"/>
      <c r="Q395" s="8"/>
      <c r="R395" s="8"/>
      <c r="S395" s="8"/>
      <c r="T395" s="8"/>
      <c r="U395" s="12"/>
      <c r="V395" s="12"/>
      <c r="W395" s="12"/>
      <c r="X395" s="12"/>
      <c r="Y395" s="12"/>
      <c r="Z395" s="12"/>
      <c r="AA395" s="12"/>
      <c r="AB395" s="12"/>
      <c r="AC395" s="12"/>
      <c r="AD395" s="12"/>
      <c r="AE395" s="12"/>
      <c r="AF395" s="12"/>
    </row>
    <row r="396" spans="1:32">
      <c r="A396" s="8"/>
      <c r="B396" s="8"/>
      <c r="C396" s="8"/>
      <c r="D396" s="8"/>
      <c r="E396" s="8"/>
      <c r="F396" s="8"/>
      <c r="G396" s="8"/>
      <c r="H396" s="8"/>
      <c r="I396" s="8"/>
      <c r="J396" s="8"/>
      <c r="K396" s="8"/>
      <c r="L396" s="8"/>
      <c r="M396" s="8"/>
      <c r="N396" s="8"/>
      <c r="O396" s="8"/>
      <c r="P396" s="8"/>
      <c r="Q396" s="8"/>
      <c r="R396" s="8"/>
      <c r="S396" s="8"/>
      <c r="T396" s="8"/>
      <c r="U396" s="12"/>
      <c r="V396" s="12"/>
      <c r="W396" s="12"/>
      <c r="X396" s="12"/>
      <c r="Y396" s="12"/>
      <c r="Z396" s="12"/>
      <c r="AA396" s="12"/>
      <c r="AB396" s="12"/>
      <c r="AC396" s="12"/>
      <c r="AD396" s="12"/>
      <c r="AE396" s="12"/>
      <c r="AF396" s="12"/>
    </row>
    <row r="397" spans="1:32">
      <c r="A397" s="8"/>
      <c r="B397" s="8"/>
      <c r="C397" s="8"/>
      <c r="D397" s="8"/>
      <c r="E397" s="8"/>
      <c r="F397" s="8"/>
      <c r="G397" s="8"/>
      <c r="H397" s="8"/>
      <c r="I397" s="8"/>
      <c r="J397" s="8"/>
      <c r="K397" s="8"/>
      <c r="L397" s="8"/>
      <c r="M397" s="8"/>
      <c r="N397" s="8"/>
      <c r="O397" s="8"/>
      <c r="P397" s="8"/>
      <c r="Q397" s="8"/>
      <c r="R397" s="8"/>
      <c r="S397" s="8"/>
      <c r="T397" s="8"/>
      <c r="U397" s="12"/>
      <c r="V397" s="12"/>
      <c r="W397" s="12"/>
      <c r="X397" s="12"/>
      <c r="Y397" s="12"/>
      <c r="Z397" s="12"/>
      <c r="AA397" s="12"/>
      <c r="AB397" s="12"/>
      <c r="AC397" s="12"/>
      <c r="AD397" s="12"/>
      <c r="AE397" s="12"/>
      <c r="AF397" s="12"/>
    </row>
    <row r="398" spans="1:32">
      <c r="A398" s="8"/>
      <c r="B398" s="8"/>
      <c r="C398" s="8"/>
      <c r="D398" s="8"/>
      <c r="E398" s="8"/>
      <c r="F398" s="8"/>
      <c r="G398" s="8"/>
      <c r="H398" s="8"/>
      <c r="I398" s="8"/>
      <c r="J398" s="8"/>
      <c r="K398" s="8"/>
      <c r="L398" s="8"/>
      <c r="M398" s="8"/>
      <c r="N398" s="8"/>
      <c r="O398" s="8"/>
      <c r="P398" s="8"/>
      <c r="Q398" s="8"/>
      <c r="R398" s="8"/>
      <c r="S398" s="8"/>
      <c r="T398" s="8"/>
      <c r="U398" s="12"/>
      <c r="V398" s="12"/>
      <c r="W398" s="12"/>
      <c r="X398" s="12"/>
      <c r="Y398" s="12"/>
      <c r="Z398" s="12"/>
      <c r="AA398" s="12"/>
      <c r="AB398" s="12"/>
      <c r="AC398" s="12"/>
      <c r="AD398" s="12"/>
      <c r="AE398" s="12"/>
      <c r="AF398" s="12"/>
    </row>
    <row r="399" spans="1:32">
      <c r="A399" s="8"/>
      <c r="B399" s="8"/>
      <c r="C399" s="8"/>
      <c r="D399" s="8"/>
      <c r="E399" s="8"/>
      <c r="F399" s="8"/>
      <c r="G399" s="8"/>
      <c r="H399" s="8"/>
      <c r="I399" s="8"/>
      <c r="J399" s="8"/>
      <c r="K399" s="8"/>
      <c r="L399" s="8"/>
      <c r="M399" s="8"/>
      <c r="N399" s="8"/>
      <c r="O399" s="8"/>
      <c r="P399" s="8"/>
      <c r="Q399" s="8"/>
      <c r="R399" s="8"/>
      <c r="S399" s="8"/>
      <c r="T399" s="8"/>
      <c r="U399" s="12"/>
      <c r="V399" s="12"/>
      <c r="W399" s="12"/>
      <c r="X399" s="12"/>
      <c r="Y399" s="12"/>
      <c r="Z399" s="12"/>
      <c r="AA399" s="12"/>
      <c r="AB399" s="12"/>
      <c r="AC399" s="12"/>
      <c r="AD399" s="12"/>
      <c r="AE399" s="12"/>
      <c r="AF399" s="12"/>
    </row>
    <row r="400" spans="1:32">
      <c r="A400" s="8"/>
      <c r="B400" s="8"/>
      <c r="C400" s="8"/>
      <c r="D400" s="8"/>
      <c r="E400" s="8"/>
      <c r="F400" s="8"/>
      <c r="G400" s="8"/>
      <c r="H400" s="8"/>
      <c r="I400" s="8"/>
      <c r="J400" s="8"/>
      <c r="K400" s="8"/>
      <c r="L400" s="8"/>
      <c r="M400" s="8"/>
      <c r="N400" s="8"/>
      <c r="O400" s="8"/>
      <c r="P400" s="8"/>
      <c r="Q400" s="8"/>
      <c r="R400" s="8"/>
      <c r="S400" s="8"/>
      <c r="T400" s="8"/>
      <c r="U400" s="12"/>
      <c r="V400" s="12"/>
      <c r="W400" s="12"/>
      <c r="X400" s="12"/>
      <c r="Y400" s="12"/>
      <c r="Z400" s="12"/>
      <c r="AA400" s="12"/>
      <c r="AB400" s="12"/>
      <c r="AC400" s="12"/>
      <c r="AD400" s="12"/>
      <c r="AE400" s="12"/>
      <c r="AF400" s="12"/>
    </row>
    <row r="401" spans="1:32">
      <c r="A401" s="8"/>
      <c r="B401" s="8"/>
      <c r="C401" s="8"/>
      <c r="D401" s="8"/>
      <c r="E401" s="8"/>
      <c r="F401" s="8"/>
      <c r="G401" s="8"/>
      <c r="H401" s="8"/>
      <c r="I401" s="8"/>
      <c r="J401" s="8"/>
      <c r="K401" s="8"/>
      <c r="L401" s="8"/>
      <c r="M401" s="8"/>
      <c r="N401" s="8"/>
      <c r="O401" s="8"/>
      <c r="P401" s="8"/>
      <c r="Q401" s="8"/>
      <c r="R401" s="8"/>
      <c r="S401" s="8"/>
      <c r="T401" s="8"/>
      <c r="U401" s="12"/>
      <c r="V401" s="12"/>
      <c r="W401" s="12"/>
      <c r="X401" s="12"/>
      <c r="Y401" s="12"/>
      <c r="Z401" s="12"/>
      <c r="AA401" s="12"/>
      <c r="AB401" s="12"/>
      <c r="AC401" s="12"/>
      <c r="AD401" s="12"/>
      <c r="AE401" s="12"/>
      <c r="AF401" s="12"/>
    </row>
    <row r="402" spans="1:32">
      <c r="A402" s="8"/>
      <c r="B402" s="8"/>
      <c r="C402" s="8"/>
      <c r="D402" s="8"/>
      <c r="E402" s="8"/>
      <c r="F402" s="8"/>
      <c r="G402" s="8"/>
      <c r="H402" s="8"/>
      <c r="I402" s="8"/>
      <c r="J402" s="8"/>
      <c r="K402" s="8"/>
      <c r="L402" s="8"/>
      <c r="M402" s="8"/>
      <c r="N402" s="8"/>
      <c r="O402" s="8"/>
      <c r="P402" s="8"/>
      <c r="Q402" s="8"/>
      <c r="R402" s="8"/>
      <c r="S402" s="8"/>
      <c r="T402" s="8"/>
      <c r="U402" s="12"/>
      <c r="V402" s="12"/>
      <c r="W402" s="12"/>
      <c r="X402" s="12"/>
      <c r="Y402" s="12"/>
      <c r="Z402" s="12"/>
      <c r="AA402" s="12"/>
      <c r="AB402" s="12"/>
      <c r="AC402" s="12"/>
      <c r="AD402" s="12"/>
      <c r="AE402" s="12"/>
      <c r="AF402" s="12"/>
    </row>
    <row r="403" spans="1:32">
      <c r="A403" s="8"/>
      <c r="B403" s="8"/>
      <c r="C403" s="8"/>
      <c r="D403" s="8"/>
      <c r="E403" s="8"/>
      <c r="F403" s="8"/>
      <c r="G403" s="8"/>
      <c r="H403" s="8"/>
      <c r="I403" s="8"/>
      <c r="J403" s="8"/>
      <c r="K403" s="8"/>
      <c r="L403" s="8"/>
      <c r="M403" s="8"/>
      <c r="N403" s="8"/>
      <c r="O403" s="8"/>
      <c r="P403" s="8"/>
      <c r="Q403" s="8"/>
      <c r="R403" s="8"/>
      <c r="S403" s="8"/>
      <c r="T403" s="8"/>
      <c r="U403" s="12"/>
      <c r="V403" s="12"/>
      <c r="W403" s="12"/>
      <c r="X403" s="12"/>
      <c r="Y403" s="12"/>
      <c r="Z403" s="12"/>
      <c r="AA403" s="12"/>
      <c r="AB403" s="12"/>
      <c r="AC403" s="12"/>
      <c r="AD403" s="12"/>
      <c r="AE403" s="12"/>
      <c r="AF403" s="12"/>
    </row>
    <row r="404" spans="1:32">
      <c r="A404" s="8"/>
      <c r="B404" s="8"/>
      <c r="C404" s="8"/>
      <c r="D404" s="8"/>
      <c r="E404" s="8"/>
      <c r="F404" s="8"/>
      <c r="G404" s="8"/>
      <c r="H404" s="8"/>
      <c r="I404" s="8"/>
      <c r="J404" s="8"/>
      <c r="K404" s="8"/>
      <c r="L404" s="8"/>
      <c r="M404" s="8"/>
      <c r="N404" s="8"/>
      <c r="O404" s="8"/>
      <c r="P404" s="8"/>
      <c r="Q404" s="8"/>
      <c r="R404" s="8"/>
      <c r="S404" s="8"/>
      <c r="T404" s="8"/>
      <c r="U404" s="12"/>
      <c r="V404" s="12"/>
      <c r="W404" s="12"/>
      <c r="X404" s="12"/>
      <c r="Y404" s="12"/>
      <c r="Z404" s="12"/>
      <c r="AA404" s="12"/>
      <c r="AB404" s="12"/>
      <c r="AC404" s="12"/>
      <c r="AD404" s="12"/>
      <c r="AE404" s="12"/>
      <c r="AF404" s="12"/>
    </row>
    <row r="405" spans="1:32">
      <c r="A405" s="8"/>
      <c r="B405" s="8"/>
      <c r="C405" s="8"/>
      <c r="D405" s="8"/>
      <c r="E405" s="8"/>
      <c r="F405" s="8"/>
      <c r="G405" s="8"/>
      <c r="H405" s="8"/>
      <c r="I405" s="8"/>
      <c r="J405" s="8"/>
      <c r="K405" s="8"/>
      <c r="L405" s="8"/>
      <c r="M405" s="8"/>
      <c r="N405" s="8"/>
      <c r="O405" s="8"/>
      <c r="P405" s="8"/>
      <c r="Q405" s="8"/>
      <c r="R405" s="8"/>
      <c r="S405" s="8"/>
      <c r="T405" s="8"/>
      <c r="U405" s="12"/>
      <c r="V405" s="12"/>
      <c r="W405" s="12"/>
      <c r="X405" s="12"/>
      <c r="Y405" s="12"/>
      <c r="Z405" s="12"/>
      <c r="AA405" s="12"/>
      <c r="AB405" s="12"/>
      <c r="AC405" s="12"/>
      <c r="AD405" s="12"/>
      <c r="AE405" s="12"/>
      <c r="AF405" s="12"/>
    </row>
    <row r="406" spans="1:32">
      <c r="A406" s="8"/>
      <c r="B406" s="8"/>
      <c r="C406" s="8"/>
      <c r="D406" s="8"/>
      <c r="E406" s="8"/>
      <c r="F406" s="8"/>
      <c r="G406" s="8"/>
      <c r="H406" s="8"/>
      <c r="I406" s="8"/>
      <c r="J406" s="8"/>
      <c r="K406" s="8"/>
      <c r="L406" s="8"/>
      <c r="M406" s="8"/>
      <c r="N406" s="8"/>
      <c r="O406" s="8"/>
      <c r="P406" s="8"/>
      <c r="Q406" s="8"/>
      <c r="R406" s="8"/>
      <c r="S406" s="8"/>
      <c r="T406" s="8"/>
      <c r="U406" s="12"/>
      <c r="V406" s="12"/>
      <c r="W406" s="12"/>
      <c r="X406" s="12"/>
      <c r="Y406" s="12"/>
      <c r="Z406" s="12"/>
      <c r="AA406" s="12"/>
      <c r="AB406" s="12"/>
      <c r="AC406" s="12"/>
      <c r="AD406" s="12"/>
      <c r="AE406" s="12"/>
      <c r="AF406" s="12"/>
    </row>
    <row r="407" spans="1:32">
      <c r="A407" s="8"/>
      <c r="B407" s="8"/>
      <c r="C407" s="8"/>
      <c r="D407" s="8"/>
      <c r="E407" s="8"/>
      <c r="F407" s="8"/>
      <c r="G407" s="8"/>
      <c r="H407" s="8"/>
      <c r="I407" s="8"/>
      <c r="J407" s="8"/>
      <c r="K407" s="8"/>
      <c r="L407" s="8"/>
      <c r="M407" s="8"/>
      <c r="N407" s="8"/>
      <c r="O407" s="8"/>
      <c r="P407" s="8"/>
      <c r="Q407" s="8"/>
      <c r="R407" s="8"/>
      <c r="S407" s="8"/>
      <c r="T407" s="8"/>
      <c r="U407" s="12"/>
      <c r="V407" s="12"/>
      <c r="W407" s="12"/>
      <c r="X407" s="12"/>
      <c r="Y407" s="12"/>
      <c r="Z407" s="12"/>
      <c r="AA407" s="12"/>
      <c r="AB407" s="12"/>
      <c r="AC407" s="12"/>
      <c r="AD407" s="12"/>
      <c r="AE407" s="12"/>
      <c r="AF407" s="12"/>
    </row>
    <row r="408" spans="1:32">
      <c r="A408" s="8"/>
      <c r="B408" s="8"/>
      <c r="C408" s="8"/>
      <c r="D408" s="8"/>
      <c r="E408" s="8"/>
      <c r="F408" s="8"/>
      <c r="G408" s="8"/>
      <c r="H408" s="8"/>
      <c r="I408" s="8"/>
      <c r="J408" s="8"/>
      <c r="K408" s="8"/>
      <c r="L408" s="8"/>
      <c r="M408" s="8"/>
      <c r="N408" s="8"/>
      <c r="O408" s="8"/>
      <c r="P408" s="8"/>
      <c r="Q408" s="8"/>
      <c r="R408" s="8"/>
      <c r="S408" s="8"/>
      <c r="T408" s="8"/>
      <c r="U408" s="12"/>
      <c r="V408" s="12"/>
      <c r="W408" s="12"/>
      <c r="X408" s="12"/>
      <c r="Y408" s="12"/>
      <c r="Z408" s="12"/>
      <c r="AA408" s="12"/>
      <c r="AB408" s="12"/>
      <c r="AC408" s="12"/>
      <c r="AD408" s="12"/>
      <c r="AE408" s="12"/>
      <c r="AF408" s="12"/>
    </row>
    <row r="409" spans="1:32">
      <c r="A409" s="8"/>
      <c r="B409" s="8"/>
      <c r="C409" s="8"/>
      <c r="D409" s="8"/>
      <c r="E409" s="8"/>
      <c r="F409" s="8"/>
      <c r="G409" s="8"/>
      <c r="H409" s="8"/>
      <c r="I409" s="8"/>
      <c r="J409" s="8"/>
      <c r="K409" s="8"/>
      <c r="L409" s="8"/>
      <c r="M409" s="8"/>
      <c r="N409" s="8"/>
      <c r="O409" s="8"/>
      <c r="P409" s="8"/>
      <c r="Q409" s="8"/>
      <c r="R409" s="8"/>
      <c r="S409" s="8"/>
      <c r="T409" s="8"/>
      <c r="U409" s="12"/>
      <c r="V409" s="12"/>
      <c r="W409" s="12"/>
      <c r="X409" s="12"/>
      <c r="Y409" s="12"/>
      <c r="Z409" s="12"/>
      <c r="AA409" s="12"/>
      <c r="AB409" s="12"/>
      <c r="AC409" s="12"/>
      <c r="AD409" s="12"/>
      <c r="AE409" s="12"/>
      <c r="AF409" s="12"/>
    </row>
    <row r="410" spans="1:32">
      <c r="A410" s="8"/>
      <c r="B410" s="8"/>
      <c r="C410" s="8"/>
      <c r="D410" s="8"/>
      <c r="E410" s="8"/>
      <c r="F410" s="8"/>
      <c r="G410" s="8"/>
      <c r="H410" s="8"/>
      <c r="I410" s="8"/>
      <c r="J410" s="8"/>
      <c r="K410" s="8"/>
      <c r="L410" s="8"/>
      <c r="M410" s="8"/>
      <c r="N410" s="8"/>
      <c r="O410" s="8"/>
      <c r="P410" s="8"/>
      <c r="Q410" s="8"/>
      <c r="R410" s="8"/>
      <c r="S410" s="8"/>
      <c r="T410" s="8"/>
      <c r="U410" s="12"/>
      <c r="V410" s="12"/>
      <c r="W410" s="12"/>
      <c r="X410" s="12"/>
      <c r="Y410" s="12"/>
      <c r="Z410" s="12"/>
      <c r="AA410" s="12"/>
      <c r="AB410" s="12"/>
      <c r="AC410" s="12"/>
      <c r="AD410" s="12"/>
      <c r="AE410" s="12"/>
      <c r="AF410" s="12"/>
    </row>
    <row r="411" spans="1:32">
      <c r="A411" s="8"/>
      <c r="B411" s="8"/>
      <c r="C411" s="8"/>
      <c r="D411" s="8"/>
      <c r="E411" s="8"/>
      <c r="F411" s="8"/>
      <c r="G411" s="8"/>
      <c r="H411" s="8"/>
      <c r="I411" s="8"/>
      <c r="J411" s="8"/>
      <c r="K411" s="8"/>
      <c r="L411" s="8"/>
      <c r="M411" s="8"/>
      <c r="N411" s="8"/>
      <c r="O411" s="8"/>
      <c r="P411" s="8"/>
      <c r="Q411" s="8"/>
      <c r="R411" s="8"/>
      <c r="S411" s="8"/>
      <c r="T411" s="8"/>
      <c r="U411" s="12"/>
      <c r="V411" s="12"/>
      <c r="W411" s="12"/>
      <c r="X411" s="12"/>
      <c r="Y411" s="12"/>
      <c r="Z411" s="12"/>
      <c r="AA411" s="12"/>
      <c r="AB411" s="12"/>
      <c r="AC411" s="12"/>
      <c r="AD411" s="12"/>
      <c r="AE411" s="12"/>
      <c r="AF411" s="12"/>
    </row>
    <row r="412" spans="1:32">
      <c r="A412" s="8"/>
      <c r="B412" s="8"/>
      <c r="C412" s="8"/>
      <c r="D412" s="8"/>
      <c r="E412" s="8"/>
      <c r="F412" s="8"/>
      <c r="G412" s="8"/>
      <c r="H412" s="8"/>
      <c r="I412" s="8"/>
      <c r="J412" s="8"/>
      <c r="K412" s="8"/>
      <c r="L412" s="8"/>
      <c r="M412" s="8"/>
      <c r="N412" s="8"/>
      <c r="O412" s="8"/>
      <c r="P412" s="8"/>
      <c r="Q412" s="8"/>
      <c r="R412" s="8"/>
      <c r="S412" s="8"/>
      <c r="T412" s="8"/>
      <c r="U412" s="12"/>
      <c r="V412" s="12"/>
      <c r="W412" s="12"/>
      <c r="X412" s="12"/>
      <c r="Y412" s="12"/>
      <c r="Z412" s="12"/>
      <c r="AA412" s="12"/>
      <c r="AB412" s="12"/>
      <c r="AC412" s="12"/>
      <c r="AD412" s="12"/>
      <c r="AE412" s="12"/>
      <c r="AF412" s="12"/>
    </row>
    <row r="413" spans="1:32">
      <c r="A413" s="8"/>
      <c r="B413" s="8"/>
      <c r="C413" s="8"/>
      <c r="D413" s="8"/>
      <c r="E413" s="8"/>
      <c r="F413" s="8"/>
      <c r="G413" s="8"/>
      <c r="H413" s="8"/>
      <c r="I413" s="8"/>
      <c r="J413" s="8"/>
      <c r="K413" s="8"/>
      <c r="L413" s="8"/>
      <c r="M413" s="8"/>
      <c r="N413" s="8"/>
      <c r="O413" s="8"/>
      <c r="P413" s="8"/>
      <c r="Q413" s="8"/>
      <c r="R413" s="8"/>
      <c r="S413" s="8"/>
      <c r="T413" s="8"/>
      <c r="U413" s="12"/>
      <c r="V413" s="12"/>
      <c r="W413" s="12"/>
      <c r="X413" s="12"/>
      <c r="Y413" s="12"/>
      <c r="Z413" s="12"/>
      <c r="AA413" s="12"/>
      <c r="AB413" s="12"/>
      <c r="AC413" s="12"/>
      <c r="AD413" s="12"/>
      <c r="AE413" s="12"/>
      <c r="AF413" s="12"/>
    </row>
    <row r="414" spans="1:32">
      <c r="A414" s="8"/>
      <c r="B414" s="8"/>
      <c r="C414" s="8"/>
      <c r="D414" s="8"/>
      <c r="E414" s="8"/>
      <c r="F414" s="8"/>
      <c r="G414" s="8"/>
      <c r="H414" s="8"/>
      <c r="I414" s="8"/>
      <c r="J414" s="8"/>
      <c r="K414" s="8"/>
      <c r="L414" s="8"/>
      <c r="M414" s="8"/>
      <c r="N414" s="8"/>
      <c r="O414" s="8"/>
      <c r="P414" s="8"/>
      <c r="Q414" s="8"/>
      <c r="R414" s="8"/>
      <c r="S414" s="8"/>
      <c r="T414" s="8"/>
      <c r="U414" s="12"/>
      <c r="V414" s="12"/>
      <c r="W414" s="12"/>
      <c r="X414" s="12"/>
      <c r="Y414" s="12"/>
      <c r="Z414" s="12"/>
      <c r="AA414" s="12"/>
      <c r="AB414" s="12"/>
      <c r="AC414" s="12"/>
      <c r="AD414" s="12"/>
      <c r="AE414" s="12"/>
      <c r="AF414" s="12"/>
    </row>
    <row r="415" spans="1:32">
      <c r="A415" s="8"/>
      <c r="B415" s="8"/>
      <c r="C415" s="8"/>
      <c r="D415" s="8"/>
      <c r="E415" s="8"/>
      <c r="F415" s="8"/>
      <c r="G415" s="8"/>
      <c r="H415" s="8"/>
      <c r="I415" s="8"/>
      <c r="J415" s="8"/>
      <c r="K415" s="8"/>
      <c r="L415" s="8"/>
      <c r="M415" s="8"/>
      <c r="N415" s="8"/>
      <c r="O415" s="8"/>
      <c r="P415" s="8"/>
      <c r="Q415" s="8"/>
      <c r="R415" s="8"/>
      <c r="S415" s="8"/>
      <c r="T415" s="8"/>
      <c r="U415" s="12"/>
      <c r="V415" s="12"/>
      <c r="W415" s="12"/>
      <c r="X415" s="12"/>
      <c r="Y415" s="12"/>
      <c r="Z415" s="12"/>
      <c r="AA415" s="12"/>
      <c r="AB415" s="12"/>
      <c r="AC415" s="12"/>
      <c r="AD415" s="12"/>
      <c r="AE415" s="12"/>
      <c r="AF415" s="12"/>
    </row>
    <row r="416" spans="1:32">
      <c r="A416" s="8"/>
      <c r="B416" s="8"/>
      <c r="C416" s="8"/>
      <c r="D416" s="8"/>
      <c r="E416" s="8"/>
      <c r="F416" s="8"/>
      <c r="G416" s="8"/>
      <c r="H416" s="8"/>
      <c r="I416" s="8"/>
      <c r="J416" s="8"/>
      <c r="K416" s="8"/>
      <c r="L416" s="8"/>
      <c r="M416" s="8"/>
      <c r="N416" s="8"/>
      <c r="O416" s="8"/>
      <c r="P416" s="8"/>
      <c r="Q416" s="8"/>
      <c r="R416" s="8"/>
      <c r="S416" s="8"/>
      <c r="T416" s="8"/>
      <c r="U416" s="12"/>
      <c r="V416" s="12"/>
      <c r="W416" s="12"/>
      <c r="X416" s="12"/>
      <c r="Y416" s="12"/>
      <c r="Z416" s="12"/>
      <c r="AA416" s="12"/>
      <c r="AB416" s="12"/>
      <c r="AC416" s="12"/>
      <c r="AD416" s="12"/>
      <c r="AE416" s="12"/>
      <c r="AF416" s="12"/>
    </row>
    <row r="417" spans="1:32">
      <c r="A417" s="8"/>
      <c r="B417" s="8"/>
      <c r="C417" s="8"/>
      <c r="D417" s="8"/>
      <c r="E417" s="8"/>
      <c r="F417" s="8"/>
      <c r="G417" s="8"/>
      <c r="H417" s="8"/>
      <c r="I417" s="8"/>
      <c r="J417" s="8"/>
      <c r="K417" s="8"/>
      <c r="L417" s="8"/>
      <c r="M417" s="8"/>
      <c r="N417" s="8"/>
      <c r="O417" s="8"/>
      <c r="P417" s="8"/>
      <c r="Q417" s="8"/>
      <c r="R417" s="8"/>
      <c r="S417" s="8"/>
      <c r="T417" s="8"/>
      <c r="U417" s="12"/>
      <c r="V417" s="12"/>
      <c r="W417" s="12"/>
      <c r="X417" s="12"/>
      <c r="Y417" s="12"/>
      <c r="Z417" s="12"/>
      <c r="AA417" s="12"/>
      <c r="AB417" s="12"/>
      <c r="AC417" s="12"/>
      <c r="AD417" s="12"/>
      <c r="AE417" s="12"/>
      <c r="AF417" s="12"/>
    </row>
    <row r="418" spans="1:32">
      <c r="A418" s="8"/>
      <c r="B418" s="8"/>
      <c r="C418" s="8"/>
      <c r="D418" s="8"/>
      <c r="E418" s="8"/>
      <c r="F418" s="8"/>
      <c r="G418" s="8"/>
      <c r="H418" s="8"/>
      <c r="I418" s="8"/>
      <c r="J418" s="8"/>
      <c r="K418" s="8"/>
      <c r="L418" s="8"/>
      <c r="M418" s="8"/>
      <c r="N418" s="8"/>
      <c r="O418" s="8"/>
      <c r="P418" s="8"/>
      <c r="Q418" s="8"/>
      <c r="R418" s="8"/>
      <c r="S418" s="8"/>
      <c r="T418" s="8"/>
      <c r="U418" s="12"/>
      <c r="V418" s="12"/>
      <c r="W418" s="12"/>
      <c r="X418" s="12"/>
      <c r="Y418" s="12"/>
      <c r="Z418" s="12"/>
      <c r="AA418" s="12"/>
      <c r="AB418" s="12"/>
      <c r="AC418" s="12"/>
      <c r="AD418" s="12"/>
      <c r="AE418" s="12"/>
      <c r="AF418" s="12"/>
    </row>
    <row r="419" spans="1:32">
      <c r="A419" s="8"/>
      <c r="B419" s="8"/>
      <c r="C419" s="8"/>
      <c r="D419" s="8"/>
      <c r="E419" s="8"/>
      <c r="F419" s="8"/>
      <c r="G419" s="8"/>
      <c r="H419" s="8"/>
      <c r="I419" s="8"/>
      <c r="J419" s="8"/>
      <c r="K419" s="8"/>
      <c r="L419" s="8"/>
      <c r="M419" s="8"/>
      <c r="N419" s="8"/>
      <c r="O419" s="8"/>
      <c r="P419" s="8"/>
      <c r="Q419" s="8"/>
      <c r="R419" s="8"/>
      <c r="S419" s="8"/>
      <c r="T419" s="8"/>
      <c r="U419" s="12"/>
      <c r="V419" s="12"/>
      <c r="W419" s="12"/>
      <c r="X419" s="12"/>
      <c r="Y419" s="12"/>
      <c r="Z419" s="12"/>
      <c r="AA419" s="12"/>
      <c r="AB419" s="12"/>
      <c r="AC419" s="12"/>
      <c r="AD419" s="12"/>
      <c r="AE419" s="12"/>
      <c r="AF419" s="12"/>
    </row>
    <row r="420" spans="1:32">
      <c r="A420" s="8"/>
      <c r="B420" s="8"/>
      <c r="C420" s="8"/>
      <c r="D420" s="8"/>
      <c r="E420" s="8"/>
      <c r="F420" s="8"/>
      <c r="G420" s="8"/>
      <c r="H420" s="8"/>
      <c r="I420" s="8"/>
      <c r="J420" s="8"/>
      <c r="K420" s="8"/>
      <c r="L420" s="8"/>
      <c r="M420" s="8"/>
      <c r="N420" s="8"/>
      <c r="O420" s="8"/>
      <c r="P420" s="8"/>
      <c r="Q420" s="8"/>
      <c r="R420" s="8"/>
      <c r="S420" s="8"/>
      <c r="T420" s="8"/>
      <c r="U420" s="12"/>
      <c r="V420" s="12"/>
      <c r="W420" s="12"/>
      <c r="X420" s="12"/>
      <c r="Y420" s="12"/>
      <c r="Z420" s="12"/>
      <c r="AA420" s="12"/>
      <c r="AB420" s="12"/>
      <c r="AC420" s="12"/>
      <c r="AD420" s="12"/>
      <c r="AE420" s="12"/>
      <c r="AF420" s="12"/>
    </row>
    <row r="421" spans="1:32">
      <c r="A421" s="8"/>
      <c r="B421" s="8"/>
      <c r="C421" s="8"/>
      <c r="D421" s="8"/>
      <c r="E421" s="8"/>
      <c r="F421" s="8"/>
      <c r="G421" s="8"/>
      <c r="H421" s="8"/>
      <c r="I421" s="8"/>
      <c r="J421" s="8"/>
      <c r="K421" s="8"/>
      <c r="L421" s="8"/>
      <c r="M421" s="8"/>
      <c r="N421" s="8"/>
      <c r="O421" s="8"/>
      <c r="P421" s="8"/>
      <c r="Q421" s="8"/>
      <c r="R421" s="8"/>
      <c r="S421" s="8"/>
      <c r="T421" s="8"/>
      <c r="U421" s="12"/>
      <c r="V421" s="12"/>
      <c r="W421" s="12"/>
      <c r="X421" s="12"/>
      <c r="Y421" s="12"/>
      <c r="Z421" s="12"/>
      <c r="AA421" s="12"/>
      <c r="AB421" s="12"/>
      <c r="AC421" s="12"/>
      <c r="AD421" s="12"/>
      <c r="AE421" s="12"/>
      <c r="AF421" s="12"/>
    </row>
    <row r="422" spans="1:32">
      <c r="A422" s="8"/>
      <c r="B422" s="8"/>
      <c r="C422" s="8"/>
      <c r="D422" s="8"/>
      <c r="E422" s="8"/>
      <c r="F422" s="8"/>
      <c r="G422" s="8"/>
      <c r="H422" s="8"/>
      <c r="I422" s="8"/>
      <c r="J422" s="8"/>
      <c r="K422" s="8"/>
      <c r="L422" s="8"/>
      <c r="M422" s="8"/>
      <c r="N422" s="8"/>
      <c r="O422" s="8"/>
      <c r="P422" s="8"/>
      <c r="Q422" s="8"/>
      <c r="R422" s="8"/>
      <c r="S422" s="8"/>
      <c r="T422" s="8"/>
      <c r="U422" s="12"/>
      <c r="V422" s="12"/>
      <c r="W422" s="12"/>
      <c r="X422" s="12"/>
      <c r="Y422" s="12"/>
      <c r="Z422" s="12"/>
      <c r="AA422" s="12"/>
      <c r="AB422" s="12"/>
      <c r="AC422" s="12"/>
      <c r="AD422" s="12"/>
      <c r="AE422" s="12"/>
      <c r="AF422" s="12"/>
    </row>
    <row r="423" spans="1:32">
      <c r="A423" s="8"/>
      <c r="B423" s="8"/>
      <c r="C423" s="8"/>
      <c r="D423" s="8"/>
      <c r="E423" s="8"/>
      <c r="F423" s="8"/>
      <c r="G423" s="8"/>
      <c r="H423" s="8"/>
      <c r="I423" s="8"/>
      <c r="J423" s="8"/>
      <c r="K423" s="8"/>
      <c r="L423" s="8"/>
      <c r="M423" s="8"/>
      <c r="N423" s="8"/>
      <c r="O423" s="8"/>
      <c r="P423" s="8"/>
      <c r="Q423" s="8"/>
      <c r="R423" s="8"/>
      <c r="S423" s="8"/>
      <c r="T423" s="8"/>
      <c r="U423" s="12"/>
      <c r="V423" s="12"/>
      <c r="W423" s="12"/>
      <c r="X423" s="12"/>
      <c r="Y423" s="12"/>
      <c r="Z423" s="12"/>
      <c r="AA423" s="12"/>
      <c r="AB423" s="12"/>
      <c r="AC423" s="12"/>
      <c r="AD423" s="12"/>
      <c r="AE423" s="12"/>
      <c r="AF423" s="12"/>
    </row>
    <row r="424" spans="1:32">
      <c r="A424" s="8"/>
      <c r="B424" s="8"/>
      <c r="C424" s="8"/>
      <c r="D424" s="8"/>
      <c r="E424" s="8"/>
      <c r="F424" s="8"/>
      <c r="G424" s="8"/>
      <c r="H424" s="8"/>
      <c r="I424" s="8"/>
      <c r="J424" s="8"/>
      <c r="K424" s="8"/>
      <c r="L424" s="8"/>
      <c r="M424" s="8"/>
      <c r="N424" s="8"/>
      <c r="O424" s="8"/>
      <c r="P424" s="8"/>
      <c r="Q424" s="8"/>
      <c r="R424" s="8"/>
      <c r="S424" s="8"/>
      <c r="T424" s="8"/>
      <c r="U424" s="12"/>
      <c r="V424" s="12"/>
      <c r="W424" s="12"/>
      <c r="X424" s="12"/>
      <c r="Y424" s="12"/>
      <c r="Z424" s="12"/>
      <c r="AA424" s="12"/>
      <c r="AB424" s="12"/>
      <c r="AC424" s="12"/>
      <c r="AD424" s="12"/>
      <c r="AE424" s="12"/>
      <c r="AF424" s="12"/>
    </row>
    <row r="425" spans="1:32">
      <c r="A425" s="8"/>
      <c r="B425" s="8"/>
      <c r="C425" s="8"/>
      <c r="D425" s="8"/>
      <c r="E425" s="8"/>
      <c r="F425" s="8"/>
      <c r="G425" s="8"/>
      <c r="H425" s="8"/>
      <c r="I425" s="8"/>
      <c r="J425" s="8"/>
      <c r="K425" s="8"/>
      <c r="L425" s="8"/>
      <c r="M425" s="8"/>
      <c r="N425" s="8"/>
      <c r="O425" s="8"/>
      <c r="P425" s="8"/>
      <c r="Q425" s="8"/>
      <c r="R425" s="8"/>
      <c r="S425" s="8"/>
      <c r="T425" s="8"/>
      <c r="U425" s="12"/>
      <c r="V425" s="12"/>
      <c r="W425" s="12"/>
      <c r="X425" s="12"/>
      <c r="Y425" s="12"/>
      <c r="Z425" s="12"/>
      <c r="AA425" s="12"/>
      <c r="AB425" s="12"/>
      <c r="AC425" s="12"/>
      <c r="AD425" s="12"/>
      <c r="AE425" s="12"/>
      <c r="AF425" s="12"/>
    </row>
    <row r="426" spans="1:32">
      <c r="A426" s="8"/>
      <c r="B426" s="8"/>
      <c r="C426" s="8"/>
      <c r="D426" s="8"/>
      <c r="E426" s="8"/>
      <c r="F426" s="8"/>
      <c r="G426" s="8"/>
      <c r="H426" s="8"/>
      <c r="I426" s="8"/>
      <c r="J426" s="8"/>
      <c r="K426" s="8"/>
      <c r="L426" s="8"/>
      <c r="M426" s="8"/>
      <c r="N426" s="8"/>
      <c r="O426" s="8"/>
      <c r="P426" s="8"/>
      <c r="Q426" s="8"/>
      <c r="R426" s="8"/>
      <c r="S426" s="8"/>
      <c r="T426" s="8"/>
      <c r="U426" s="12"/>
      <c r="V426" s="12"/>
      <c r="W426" s="12"/>
      <c r="X426" s="12"/>
      <c r="Y426" s="12"/>
      <c r="Z426" s="12"/>
      <c r="AA426" s="12"/>
      <c r="AB426" s="12"/>
      <c r="AC426" s="12"/>
      <c r="AD426" s="12"/>
      <c r="AE426" s="12"/>
      <c r="AF426" s="12"/>
    </row>
    <row r="427" spans="1:32">
      <c r="A427" s="8"/>
      <c r="B427" s="8"/>
      <c r="C427" s="8"/>
      <c r="D427" s="8"/>
      <c r="E427" s="8"/>
      <c r="F427" s="8"/>
      <c r="G427" s="8"/>
      <c r="H427" s="8"/>
      <c r="I427" s="8"/>
      <c r="J427" s="8"/>
      <c r="K427" s="8"/>
      <c r="L427" s="8"/>
      <c r="M427" s="8"/>
      <c r="N427" s="8"/>
      <c r="O427" s="8"/>
      <c r="P427" s="8"/>
      <c r="Q427" s="8"/>
      <c r="R427" s="8"/>
      <c r="S427" s="8"/>
      <c r="T427" s="8"/>
      <c r="U427" s="12"/>
      <c r="V427" s="12"/>
      <c r="W427" s="12"/>
      <c r="X427" s="12"/>
      <c r="Y427" s="12"/>
      <c r="Z427" s="12"/>
      <c r="AA427" s="12"/>
      <c r="AB427" s="12"/>
      <c r="AC427" s="12"/>
      <c r="AD427" s="12"/>
      <c r="AE427" s="12"/>
      <c r="AF427" s="12"/>
    </row>
    <row r="428" spans="1:32">
      <c r="A428" s="8"/>
      <c r="B428" s="8"/>
      <c r="C428" s="8"/>
      <c r="D428" s="8"/>
      <c r="E428" s="8"/>
      <c r="F428" s="8"/>
      <c r="G428" s="8"/>
      <c r="H428" s="8"/>
      <c r="I428" s="8"/>
      <c r="J428" s="8"/>
      <c r="K428" s="8"/>
      <c r="L428" s="8"/>
      <c r="M428" s="8"/>
      <c r="N428" s="8"/>
      <c r="O428" s="8"/>
      <c r="P428" s="8"/>
      <c r="Q428" s="8"/>
      <c r="R428" s="8"/>
      <c r="S428" s="8"/>
      <c r="T428" s="8"/>
      <c r="U428" s="12"/>
      <c r="V428" s="12"/>
      <c r="W428" s="12"/>
      <c r="X428" s="12"/>
      <c r="Y428" s="12"/>
      <c r="Z428" s="12"/>
      <c r="AA428" s="12"/>
      <c r="AB428" s="12"/>
      <c r="AC428" s="12"/>
      <c r="AD428" s="12"/>
      <c r="AE428" s="12"/>
      <c r="AF428" s="12"/>
    </row>
    <row r="429" spans="1:32">
      <c r="A429" s="8"/>
      <c r="B429" s="8"/>
      <c r="C429" s="8"/>
      <c r="D429" s="8"/>
      <c r="E429" s="8"/>
      <c r="F429" s="8"/>
      <c r="G429" s="8"/>
      <c r="H429" s="8"/>
      <c r="I429" s="8"/>
      <c r="J429" s="8"/>
      <c r="K429" s="8"/>
      <c r="L429" s="8"/>
      <c r="M429" s="8"/>
      <c r="N429" s="8"/>
      <c r="O429" s="8"/>
      <c r="P429" s="8"/>
      <c r="Q429" s="8"/>
      <c r="R429" s="8"/>
      <c r="S429" s="8"/>
      <c r="T429" s="8"/>
      <c r="U429" s="12"/>
      <c r="V429" s="12"/>
      <c r="W429" s="12"/>
      <c r="X429" s="12"/>
      <c r="Y429" s="12"/>
      <c r="Z429" s="12"/>
      <c r="AA429" s="12"/>
      <c r="AB429" s="12"/>
      <c r="AC429" s="12"/>
      <c r="AD429" s="12"/>
      <c r="AE429" s="12"/>
      <c r="AF429" s="12"/>
    </row>
    <row r="430" spans="1:32">
      <c r="A430" s="8"/>
      <c r="B430" s="8"/>
      <c r="C430" s="8"/>
      <c r="D430" s="8"/>
      <c r="E430" s="8"/>
      <c r="F430" s="8"/>
      <c r="G430" s="8"/>
      <c r="H430" s="8"/>
      <c r="I430" s="8"/>
      <c r="J430" s="8"/>
      <c r="K430" s="8"/>
      <c r="L430" s="8"/>
      <c r="M430" s="8"/>
      <c r="N430" s="8"/>
      <c r="O430" s="8"/>
      <c r="P430" s="8"/>
      <c r="Q430" s="8"/>
      <c r="R430" s="8"/>
      <c r="S430" s="8"/>
      <c r="T430" s="8"/>
      <c r="U430" s="12"/>
      <c r="V430" s="12"/>
      <c r="W430" s="12"/>
      <c r="X430" s="12"/>
      <c r="Y430" s="12"/>
      <c r="Z430" s="12"/>
      <c r="AA430" s="12"/>
      <c r="AB430" s="12"/>
      <c r="AC430" s="12"/>
      <c r="AD430" s="12"/>
      <c r="AE430" s="12"/>
      <c r="AF430" s="12"/>
    </row>
    <row r="431" spans="1:32">
      <c r="A431" s="8"/>
      <c r="B431" s="8"/>
      <c r="C431" s="8"/>
      <c r="D431" s="8"/>
      <c r="E431" s="8"/>
      <c r="F431" s="8"/>
      <c r="G431" s="8"/>
      <c r="H431" s="8"/>
      <c r="I431" s="8"/>
      <c r="J431" s="8"/>
      <c r="K431" s="8"/>
      <c r="L431" s="8"/>
      <c r="M431" s="8"/>
      <c r="N431" s="8"/>
      <c r="O431" s="8"/>
      <c r="P431" s="8"/>
      <c r="Q431" s="8"/>
      <c r="R431" s="8"/>
      <c r="S431" s="8"/>
      <c r="T431" s="8"/>
      <c r="U431" s="12"/>
      <c r="V431" s="12"/>
      <c r="W431" s="12"/>
      <c r="X431" s="12"/>
      <c r="Y431" s="12"/>
      <c r="Z431" s="12"/>
      <c r="AA431" s="12"/>
      <c r="AB431" s="12"/>
      <c r="AC431" s="12"/>
      <c r="AD431" s="12"/>
      <c r="AE431" s="12"/>
      <c r="AF431" s="12"/>
    </row>
    <row r="432" spans="1:32">
      <c r="A432" s="8"/>
      <c r="B432" s="8"/>
      <c r="C432" s="8"/>
      <c r="D432" s="8"/>
      <c r="E432" s="8"/>
      <c r="F432" s="8"/>
      <c r="G432" s="8"/>
      <c r="H432" s="8"/>
      <c r="I432" s="8"/>
      <c r="J432" s="8"/>
      <c r="K432" s="8"/>
      <c r="L432" s="8"/>
      <c r="M432" s="8"/>
      <c r="N432" s="8"/>
      <c r="O432" s="8"/>
      <c r="P432" s="8"/>
      <c r="Q432" s="8"/>
      <c r="R432" s="8"/>
      <c r="S432" s="8"/>
      <c r="T432" s="8"/>
      <c r="U432" s="12"/>
      <c r="V432" s="12"/>
      <c r="W432" s="12"/>
      <c r="X432" s="12"/>
      <c r="Y432" s="12"/>
      <c r="Z432" s="12"/>
      <c r="AA432" s="12"/>
      <c r="AB432" s="12"/>
      <c r="AC432" s="12"/>
      <c r="AD432" s="12"/>
      <c r="AE432" s="12"/>
      <c r="AF432" s="12"/>
    </row>
    <row r="433" spans="1:32">
      <c r="A433" s="8"/>
      <c r="B433" s="8"/>
      <c r="C433" s="8"/>
      <c r="D433" s="8"/>
      <c r="E433" s="8"/>
      <c r="F433" s="8"/>
      <c r="G433" s="8"/>
      <c r="H433" s="8"/>
      <c r="I433" s="8"/>
      <c r="J433" s="8"/>
      <c r="K433" s="8"/>
      <c r="L433" s="8"/>
      <c r="M433" s="8"/>
      <c r="N433" s="8"/>
      <c r="O433" s="8"/>
      <c r="P433" s="8"/>
      <c r="Q433" s="8"/>
      <c r="R433" s="8"/>
      <c r="S433" s="8"/>
      <c r="T433" s="8"/>
      <c r="U433" s="12"/>
      <c r="V433" s="12"/>
      <c r="W433" s="12"/>
      <c r="X433" s="12"/>
      <c r="Y433" s="12"/>
      <c r="Z433" s="12"/>
      <c r="AA433" s="12"/>
      <c r="AB433" s="12"/>
      <c r="AC433" s="12"/>
      <c r="AD433" s="12"/>
      <c r="AE433" s="12"/>
      <c r="AF433" s="12"/>
    </row>
    <row r="434" spans="1:32">
      <c r="A434" s="8"/>
      <c r="B434" s="8"/>
      <c r="C434" s="8"/>
      <c r="D434" s="8"/>
      <c r="E434" s="8"/>
      <c r="F434" s="8"/>
      <c r="G434" s="8"/>
      <c r="H434" s="8"/>
      <c r="I434" s="8"/>
      <c r="J434" s="8"/>
      <c r="K434" s="8"/>
      <c r="L434" s="8"/>
      <c r="M434" s="8"/>
      <c r="N434" s="8"/>
      <c r="O434" s="8"/>
      <c r="P434" s="8"/>
      <c r="Q434" s="8"/>
      <c r="R434" s="8"/>
      <c r="S434" s="8"/>
      <c r="T434" s="8"/>
      <c r="U434" s="12"/>
      <c r="V434" s="12"/>
      <c r="W434" s="12"/>
      <c r="X434" s="12"/>
      <c r="Y434" s="12"/>
      <c r="Z434" s="12"/>
      <c r="AA434" s="12"/>
      <c r="AB434" s="12"/>
      <c r="AC434" s="12"/>
      <c r="AD434" s="12"/>
      <c r="AE434" s="12"/>
      <c r="AF434" s="12"/>
    </row>
    <row r="435" spans="1:32">
      <c r="A435" s="8"/>
      <c r="B435" s="8"/>
      <c r="C435" s="8"/>
      <c r="D435" s="8"/>
      <c r="E435" s="8"/>
      <c r="F435" s="8"/>
      <c r="G435" s="8"/>
      <c r="H435" s="8"/>
      <c r="I435" s="8"/>
      <c r="J435" s="8"/>
      <c r="K435" s="8"/>
      <c r="L435" s="8"/>
      <c r="M435" s="8"/>
      <c r="N435" s="8"/>
      <c r="O435" s="8"/>
      <c r="P435" s="8"/>
      <c r="Q435" s="8"/>
      <c r="R435" s="8"/>
      <c r="S435" s="8"/>
      <c r="T435" s="8"/>
      <c r="U435" s="12"/>
      <c r="V435" s="12"/>
      <c r="W435" s="12"/>
      <c r="X435" s="12"/>
      <c r="Y435" s="12"/>
      <c r="Z435" s="12"/>
      <c r="AA435" s="12"/>
      <c r="AB435" s="12"/>
      <c r="AC435" s="12"/>
      <c r="AD435" s="12"/>
      <c r="AE435" s="12"/>
      <c r="AF435" s="12"/>
    </row>
    <row r="436" spans="1:32">
      <c r="A436" s="8"/>
      <c r="B436" s="8"/>
      <c r="C436" s="8"/>
      <c r="D436" s="8"/>
      <c r="E436" s="8"/>
      <c r="F436" s="8"/>
      <c r="G436" s="8"/>
      <c r="H436" s="8"/>
      <c r="I436" s="8"/>
      <c r="J436" s="8"/>
      <c r="K436" s="8"/>
      <c r="L436" s="8"/>
      <c r="M436" s="8"/>
      <c r="N436" s="8"/>
      <c r="O436" s="8"/>
      <c r="P436" s="8"/>
      <c r="Q436" s="8"/>
      <c r="R436" s="8"/>
      <c r="S436" s="8"/>
      <c r="T436" s="8"/>
      <c r="U436" s="12"/>
      <c r="V436" s="12"/>
      <c r="W436" s="12"/>
      <c r="X436" s="12"/>
      <c r="Y436" s="12"/>
      <c r="Z436" s="12"/>
      <c r="AA436" s="12"/>
      <c r="AB436" s="12"/>
      <c r="AC436" s="12"/>
      <c r="AD436" s="12"/>
      <c r="AE436" s="12"/>
      <c r="AF436" s="12"/>
    </row>
    <row r="437" spans="1:32">
      <c r="A437" s="8"/>
      <c r="B437" s="8"/>
      <c r="C437" s="8"/>
      <c r="D437" s="8"/>
      <c r="E437" s="8"/>
      <c r="F437" s="8"/>
      <c r="G437" s="8"/>
      <c r="H437" s="8"/>
      <c r="I437" s="8"/>
      <c r="J437" s="8"/>
      <c r="K437" s="8"/>
      <c r="L437" s="8"/>
      <c r="M437" s="8"/>
      <c r="N437" s="8"/>
      <c r="O437" s="8"/>
      <c r="P437" s="8"/>
      <c r="Q437" s="8"/>
      <c r="R437" s="8"/>
      <c r="S437" s="8"/>
      <c r="T437" s="8"/>
      <c r="U437" s="12"/>
      <c r="V437" s="12"/>
      <c r="W437" s="12"/>
      <c r="X437" s="12"/>
      <c r="Y437" s="12"/>
      <c r="Z437" s="12"/>
      <c r="AA437" s="12"/>
      <c r="AB437" s="12"/>
      <c r="AC437" s="12"/>
      <c r="AD437" s="12"/>
      <c r="AE437" s="12"/>
      <c r="AF437" s="12"/>
    </row>
    <row r="438" spans="1:32">
      <c r="A438" s="8"/>
      <c r="B438" s="8"/>
      <c r="C438" s="8"/>
      <c r="D438" s="8"/>
      <c r="E438" s="8"/>
      <c r="F438" s="8"/>
      <c r="G438" s="8"/>
      <c r="H438" s="8"/>
      <c r="I438" s="8"/>
      <c r="J438" s="8"/>
      <c r="K438" s="8"/>
      <c r="L438" s="8"/>
      <c r="M438" s="8"/>
      <c r="N438" s="8"/>
      <c r="O438" s="8"/>
      <c r="P438" s="8"/>
      <c r="Q438" s="8"/>
      <c r="R438" s="8"/>
      <c r="S438" s="8"/>
      <c r="T438" s="8"/>
      <c r="U438" s="12"/>
      <c r="V438" s="12"/>
      <c r="W438" s="12"/>
      <c r="X438" s="12"/>
      <c r="Y438" s="12"/>
      <c r="Z438" s="12"/>
      <c r="AA438" s="12"/>
      <c r="AB438" s="12"/>
      <c r="AC438" s="12"/>
      <c r="AD438" s="12"/>
      <c r="AE438" s="12"/>
      <c r="AF438" s="12"/>
    </row>
    <row r="439" spans="1:32">
      <c r="A439" s="8"/>
      <c r="B439" s="8"/>
      <c r="C439" s="8"/>
      <c r="D439" s="8"/>
      <c r="E439" s="8"/>
      <c r="F439" s="8"/>
      <c r="G439" s="8"/>
      <c r="H439" s="8"/>
      <c r="I439" s="8"/>
      <c r="J439" s="8"/>
      <c r="K439" s="8"/>
      <c r="L439" s="8"/>
      <c r="M439" s="8"/>
      <c r="N439" s="8"/>
      <c r="O439" s="8"/>
      <c r="P439" s="8"/>
      <c r="Q439" s="8"/>
      <c r="R439" s="8"/>
      <c r="S439" s="8"/>
      <c r="T439" s="8"/>
      <c r="U439" s="12"/>
      <c r="V439" s="12"/>
      <c r="W439" s="12"/>
      <c r="X439" s="12"/>
      <c r="Y439" s="12"/>
      <c r="Z439" s="12"/>
      <c r="AA439" s="12"/>
      <c r="AB439" s="12"/>
      <c r="AC439" s="12"/>
      <c r="AD439" s="12"/>
      <c r="AE439" s="12"/>
      <c r="AF439" s="12"/>
    </row>
    <row r="440" spans="1:32">
      <c r="A440" s="8"/>
      <c r="B440" s="8"/>
      <c r="C440" s="8"/>
      <c r="D440" s="8"/>
      <c r="E440" s="8"/>
      <c r="F440" s="8"/>
      <c r="G440" s="8"/>
      <c r="H440" s="8"/>
      <c r="I440" s="8"/>
      <c r="J440" s="8"/>
      <c r="K440" s="8"/>
      <c r="L440" s="8"/>
      <c r="M440" s="8"/>
      <c r="N440" s="8"/>
      <c r="O440" s="8"/>
      <c r="P440" s="8"/>
      <c r="Q440" s="8"/>
      <c r="R440" s="8"/>
      <c r="S440" s="8"/>
      <c r="T440" s="8"/>
      <c r="U440" s="12"/>
      <c r="V440" s="12"/>
      <c r="W440" s="12"/>
      <c r="X440" s="12"/>
      <c r="Y440" s="12"/>
      <c r="Z440" s="12"/>
      <c r="AA440" s="12"/>
      <c r="AB440" s="12"/>
      <c r="AC440" s="12"/>
      <c r="AD440" s="12"/>
      <c r="AE440" s="12"/>
      <c r="AF440" s="12"/>
    </row>
    <row r="441" spans="1:32">
      <c r="A441" s="8"/>
      <c r="B441" s="8"/>
      <c r="C441" s="8"/>
      <c r="D441" s="8"/>
      <c r="E441" s="8"/>
      <c r="F441" s="8"/>
      <c r="G441" s="8"/>
      <c r="H441" s="8"/>
      <c r="I441" s="8"/>
      <c r="J441" s="8"/>
      <c r="K441" s="8"/>
      <c r="L441" s="8"/>
      <c r="M441" s="8"/>
      <c r="N441" s="8"/>
      <c r="O441" s="8"/>
      <c r="P441" s="8"/>
      <c r="Q441" s="8"/>
      <c r="R441" s="8"/>
      <c r="S441" s="8"/>
      <c r="T441" s="8"/>
      <c r="U441" s="12"/>
      <c r="V441" s="12"/>
      <c r="W441" s="12"/>
      <c r="X441" s="12"/>
      <c r="Y441" s="12"/>
      <c r="Z441" s="12"/>
      <c r="AA441" s="12"/>
      <c r="AB441" s="12"/>
      <c r="AC441" s="12"/>
      <c r="AD441" s="12"/>
      <c r="AE441" s="12"/>
      <c r="AF441" s="12"/>
    </row>
    <row r="442" spans="1:32">
      <c r="A442" s="8"/>
      <c r="B442" s="8"/>
      <c r="C442" s="8"/>
      <c r="D442" s="8"/>
      <c r="E442" s="8"/>
      <c r="F442" s="8"/>
      <c r="G442" s="8"/>
      <c r="H442" s="8"/>
      <c r="I442" s="8"/>
      <c r="J442" s="8"/>
      <c r="K442" s="8"/>
      <c r="L442" s="8"/>
      <c r="M442" s="8"/>
      <c r="N442" s="8"/>
      <c r="O442" s="8"/>
      <c r="P442" s="8"/>
      <c r="Q442" s="8"/>
      <c r="R442" s="8"/>
      <c r="S442" s="8"/>
      <c r="T442" s="8"/>
      <c r="U442" s="12"/>
      <c r="V442" s="12"/>
      <c r="W442" s="12"/>
      <c r="X442" s="12"/>
      <c r="Y442" s="12"/>
      <c r="Z442" s="12"/>
      <c r="AA442" s="12"/>
      <c r="AB442" s="12"/>
      <c r="AC442" s="12"/>
      <c r="AD442" s="12"/>
      <c r="AE442" s="12"/>
      <c r="AF442" s="12"/>
    </row>
    <row r="443" spans="1:32">
      <c r="A443" s="8"/>
      <c r="B443" s="8"/>
      <c r="C443" s="8"/>
      <c r="D443" s="8"/>
      <c r="E443" s="8"/>
      <c r="F443" s="8"/>
      <c r="G443" s="8"/>
      <c r="H443" s="8"/>
      <c r="I443" s="8"/>
      <c r="J443" s="8"/>
      <c r="K443" s="8"/>
      <c r="L443" s="8"/>
      <c r="M443" s="8"/>
      <c r="N443" s="8"/>
      <c r="O443" s="8"/>
      <c r="P443" s="8"/>
      <c r="Q443" s="8"/>
      <c r="R443" s="8"/>
      <c r="S443" s="8"/>
      <c r="T443" s="8"/>
      <c r="U443" s="12"/>
      <c r="V443" s="12"/>
      <c r="W443" s="12"/>
      <c r="X443" s="12"/>
      <c r="Y443" s="12"/>
      <c r="Z443" s="12"/>
      <c r="AA443" s="12"/>
      <c r="AB443" s="12"/>
      <c r="AC443" s="12"/>
      <c r="AD443" s="12"/>
      <c r="AE443" s="12"/>
      <c r="AF443" s="12"/>
    </row>
    <row r="444" spans="1:32">
      <c r="A444" s="8"/>
      <c r="B444" s="8"/>
      <c r="C444" s="8"/>
      <c r="D444" s="8"/>
      <c r="E444" s="8"/>
      <c r="F444" s="8"/>
      <c r="G444" s="8"/>
      <c r="H444" s="8"/>
      <c r="I444" s="8"/>
      <c r="J444" s="8"/>
      <c r="K444" s="8"/>
      <c r="L444" s="8"/>
      <c r="M444" s="8"/>
      <c r="N444" s="8"/>
      <c r="O444" s="8"/>
      <c r="P444" s="8"/>
      <c r="Q444" s="8"/>
      <c r="R444" s="8"/>
      <c r="S444" s="8"/>
      <c r="T444" s="8"/>
      <c r="U444" s="12"/>
      <c r="V444" s="12"/>
      <c r="W444" s="12"/>
      <c r="X444" s="12"/>
      <c r="Y444" s="12"/>
      <c r="Z444" s="12"/>
      <c r="AA444" s="12"/>
      <c r="AB444" s="12"/>
      <c r="AC444" s="12"/>
      <c r="AD444" s="12"/>
      <c r="AE444" s="12"/>
      <c r="AF444" s="12"/>
    </row>
    <row r="445" spans="1:32">
      <c r="A445" s="8"/>
      <c r="B445" s="8"/>
      <c r="C445" s="8"/>
      <c r="D445" s="8"/>
      <c r="E445" s="8"/>
      <c r="F445" s="8"/>
      <c r="G445" s="8"/>
      <c r="H445" s="8"/>
      <c r="I445" s="8"/>
      <c r="J445" s="8"/>
      <c r="K445" s="8"/>
      <c r="L445" s="8"/>
      <c r="M445" s="8"/>
      <c r="N445" s="8"/>
      <c r="O445" s="8"/>
      <c r="P445" s="8"/>
      <c r="Q445" s="8"/>
      <c r="R445" s="8"/>
      <c r="S445" s="8"/>
      <c r="T445" s="8"/>
      <c r="U445" s="12"/>
      <c r="V445" s="12"/>
      <c r="W445" s="12"/>
      <c r="X445" s="12"/>
      <c r="Y445" s="12"/>
      <c r="Z445" s="12"/>
      <c r="AA445" s="12"/>
      <c r="AB445" s="12"/>
      <c r="AC445" s="12"/>
      <c r="AD445" s="12"/>
      <c r="AE445" s="12"/>
      <c r="AF445" s="12"/>
    </row>
    <row r="446" spans="1:32">
      <c r="A446" s="8"/>
      <c r="B446" s="8"/>
      <c r="C446" s="8"/>
      <c r="D446" s="8"/>
      <c r="E446" s="8"/>
      <c r="F446" s="8"/>
      <c r="G446" s="8"/>
      <c r="H446" s="8"/>
      <c r="I446" s="8"/>
      <c r="J446" s="8"/>
      <c r="K446" s="8"/>
      <c r="L446" s="8"/>
      <c r="M446" s="8"/>
      <c r="N446" s="8"/>
      <c r="O446" s="8"/>
      <c r="P446" s="8"/>
      <c r="Q446" s="8"/>
      <c r="R446" s="8"/>
      <c r="S446" s="8"/>
      <c r="T446" s="8"/>
      <c r="U446" s="12"/>
      <c r="V446" s="12"/>
      <c r="W446" s="12"/>
      <c r="X446" s="12"/>
      <c r="Y446" s="12"/>
      <c r="Z446" s="12"/>
      <c r="AA446" s="12"/>
      <c r="AB446" s="12"/>
      <c r="AC446" s="12"/>
      <c r="AD446" s="12"/>
      <c r="AE446" s="12"/>
      <c r="AF446" s="12"/>
    </row>
    <row r="447" spans="1:32">
      <c r="A447" s="8"/>
      <c r="B447" s="8"/>
      <c r="C447" s="8"/>
      <c r="D447" s="8"/>
      <c r="E447" s="8"/>
      <c r="F447" s="8"/>
      <c r="G447" s="8"/>
      <c r="H447" s="8"/>
      <c r="I447" s="8"/>
      <c r="J447" s="8"/>
      <c r="K447" s="8"/>
      <c r="L447" s="8"/>
      <c r="M447" s="8"/>
      <c r="N447" s="8"/>
      <c r="O447" s="8"/>
      <c r="P447" s="8"/>
      <c r="Q447" s="8"/>
      <c r="R447" s="8"/>
      <c r="S447" s="8"/>
      <c r="T447" s="8"/>
      <c r="U447" s="12"/>
      <c r="V447" s="12"/>
      <c r="W447" s="12"/>
      <c r="X447" s="12"/>
      <c r="Y447" s="12"/>
      <c r="Z447" s="12"/>
      <c r="AA447" s="12"/>
      <c r="AB447" s="12"/>
      <c r="AC447" s="12"/>
      <c r="AD447" s="12"/>
      <c r="AE447" s="12"/>
      <c r="AF447" s="12"/>
    </row>
    <row r="448" spans="1:32">
      <c r="A448" s="8"/>
      <c r="B448" s="8"/>
      <c r="C448" s="8"/>
      <c r="D448" s="8"/>
      <c r="E448" s="8"/>
      <c r="F448" s="8"/>
      <c r="G448" s="8"/>
      <c r="H448" s="8"/>
      <c r="I448" s="8"/>
      <c r="J448" s="8"/>
      <c r="K448" s="8"/>
      <c r="L448" s="8"/>
      <c r="M448" s="8"/>
      <c r="N448" s="8"/>
      <c r="O448" s="8"/>
      <c r="P448" s="8"/>
      <c r="Q448" s="8"/>
      <c r="R448" s="8"/>
      <c r="S448" s="8"/>
      <c r="T448" s="8"/>
      <c r="U448" s="12"/>
      <c r="V448" s="12"/>
      <c r="W448" s="12"/>
      <c r="X448" s="12"/>
      <c r="Y448" s="12"/>
      <c r="Z448" s="12"/>
      <c r="AA448" s="12"/>
      <c r="AB448" s="12"/>
      <c r="AC448" s="12"/>
      <c r="AD448" s="12"/>
      <c r="AE448" s="12"/>
      <c r="AF448" s="12"/>
    </row>
    <row r="449" spans="1:32">
      <c r="A449" s="8"/>
      <c r="B449" s="8"/>
      <c r="C449" s="8"/>
      <c r="D449" s="8"/>
      <c r="E449" s="8"/>
      <c r="F449" s="8"/>
      <c r="G449" s="8"/>
      <c r="H449" s="8"/>
      <c r="I449" s="8"/>
      <c r="J449" s="8"/>
      <c r="K449" s="8"/>
      <c r="L449" s="8"/>
      <c r="M449" s="8"/>
      <c r="N449" s="8"/>
      <c r="O449" s="8"/>
      <c r="P449" s="8"/>
      <c r="Q449" s="8"/>
      <c r="R449" s="8"/>
      <c r="S449" s="8"/>
      <c r="T449" s="8"/>
      <c r="U449" s="12"/>
      <c r="V449" s="12"/>
      <c r="W449" s="12"/>
      <c r="X449" s="12"/>
      <c r="Y449" s="12"/>
      <c r="Z449" s="12"/>
      <c r="AA449" s="12"/>
      <c r="AB449" s="12"/>
      <c r="AC449" s="12"/>
      <c r="AD449" s="12"/>
      <c r="AE449" s="12"/>
      <c r="AF449" s="12"/>
    </row>
    <row r="450" spans="1:32">
      <c r="A450" s="8"/>
      <c r="B450" s="8"/>
      <c r="C450" s="8"/>
      <c r="D450" s="8"/>
      <c r="E450" s="8"/>
      <c r="F450" s="8"/>
      <c r="G450" s="8"/>
      <c r="H450" s="8"/>
      <c r="I450" s="8"/>
      <c r="J450" s="8"/>
      <c r="K450" s="8"/>
      <c r="L450" s="8"/>
      <c r="M450" s="8"/>
      <c r="N450" s="8"/>
      <c r="O450" s="8"/>
      <c r="P450" s="8"/>
      <c r="Q450" s="8"/>
      <c r="R450" s="8"/>
      <c r="S450" s="8"/>
      <c r="T450" s="8"/>
      <c r="U450" s="12"/>
      <c r="V450" s="12"/>
      <c r="W450" s="12"/>
      <c r="X450" s="12"/>
      <c r="Y450" s="12"/>
      <c r="Z450" s="12"/>
      <c r="AA450" s="12"/>
      <c r="AB450" s="12"/>
      <c r="AC450" s="12"/>
      <c r="AD450" s="12"/>
      <c r="AE450" s="12"/>
      <c r="AF450" s="12"/>
    </row>
    <row r="451" spans="1:32">
      <c r="A451" s="8"/>
      <c r="B451" s="8"/>
      <c r="C451" s="8"/>
      <c r="D451" s="8"/>
      <c r="E451" s="8"/>
      <c r="F451" s="8"/>
      <c r="G451" s="8"/>
      <c r="H451" s="8"/>
      <c r="I451" s="8"/>
      <c r="J451" s="8"/>
      <c r="K451" s="8"/>
      <c r="L451" s="8"/>
      <c r="M451" s="8"/>
      <c r="N451" s="8"/>
      <c r="O451" s="8"/>
      <c r="P451" s="8"/>
      <c r="Q451" s="8"/>
      <c r="R451" s="8"/>
      <c r="S451" s="8"/>
      <c r="T451" s="8"/>
      <c r="U451" s="12"/>
      <c r="V451" s="12"/>
      <c r="W451" s="12"/>
      <c r="X451" s="12"/>
      <c r="Y451" s="12"/>
      <c r="Z451" s="12"/>
      <c r="AA451" s="12"/>
      <c r="AB451" s="12"/>
      <c r="AC451" s="12"/>
      <c r="AD451" s="12"/>
      <c r="AE451" s="12"/>
      <c r="AF451" s="12"/>
    </row>
    <row r="452" spans="1:32">
      <c r="A452" s="8"/>
      <c r="B452" s="8"/>
      <c r="C452" s="8"/>
      <c r="D452" s="8"/>
      <c r="E452" s="8"/>
      <c r="F452" s="8"/>
      <c r="G452" s="8"/>
      <c r="H452" s="8"/>
      <c r="I452" s="8"/>
      <c r="J452" s="8"/>
      <c r="K452" s="8"/>
      <c r="L452" s="8"/>
      <c r="M452" s="8"/>
      <c r="N452" s="8"/>
      <c r="O452" s="8"/>
      <c r="P452" s="8"/>
      <c r="Q452" s="8"/>
      <c r="R452" s="8"/>
      <c r="S452" s="8"/>
      <c r="T452" s="8"/>
      <c r="U452" s="12"/>
      <c r="V452" s="12"/>
      <c r="W452" s="12"/>
      <c r="X452" s="12"/>
      <c r="Y452" s="12"/>
      <c r="Z452" s="12"/>
      <c r="AA452" s="12"/>
      <c r="AB452" s="12"/>
      <c r="AC452" s="12"/>
      <c r="AD452" s="12"/>
      <c r="AE452" s="12"/>
      <c r="AF452" s="12"/>
    </row>
    <row r="453" spans="1:32">
      <c r="A453" s="8"/>
      <c r="B453" s="8"/>
      <c r="C453" s="8"/>
      <c r="D453" s="8"/>
      <c r="E453" s="8"/>
      <c r="F453" s="8"/>
      <c r="G453" s="8"/>
      <c r="H453" s="8"/>
      <c r="I453" s="8"/>
      <c r="J453" s="8"/>
      <c r="K453" s="8"/>
      <c r="L453" s="8"/>
      <c r="M453" s="8"/>
      <c r="N453" s="8"/>
      <c r="O453" s="8"/>
      <c r="P453" s="8"/>
      <c r="Q453" s="8"/>
      <c r="R453" s="8"/>
      <c r="S453" s="8"/>
      <c r="T453" s="8"/>
      <c r="U453" s="12"/>
      <c r="V453" s="12"/>
      <c r="W453" s="12"/>
      <c r="X453" s="12"/>
      <c r="Y453" s="12"/>
      <c r="Z453" s="12"/>
      <c r="AA453" s="12"/>
      <c r="AB453" s="12"/>
      <c r="AC453" s="12"/>
      <c r="AD453" s="12"/>
      <c r="AE453" s="12"/>
      <c r="AF453" s="12"/>
    </row>
    <row r="454" spans="1:32">
      <c r="A454" s="8"/>
      <c r="B454" s="8"/>
      <c r="C454" s="8"/>
      <c r="D454" s="8"/>
      <c r="E454" s="8"/>
      <c r="F454" s="8"/>
      <c r="G454" s="8"/>
      <c r="H454" s="8"/>
      <c r="I454" s="8"/>
      <c r="J454" s="8"/>
      <c r="K454" s="8"/>
      <c r="L454" s="8"/>
      <c r="M454" s="8"/>
      <c r="N454" s="8"/>
      <c r="O454" s="8"/>
      <c r="P454" s="8"/>
      <c r="Q454" s="8"/>
      <c r="R454" s="8"/>
      <c r="S454" s="8"/>
      <c r="T454" s="8"/>
      <c r="U454" s="12"/>
      <c r="V454" s="12"/>
      <c r="W454" s="12"/>
      <c r="X454" s="12"/>
      <c r="Y454" s="12"/>
      <c r="Z454" s="12"/>
      <c r="AA454" s="12"/>
      <c r="AB454" s="12"/>
      <c r="AC454" s="12"/>
      <c r="AD454" s="12"/>
      <c r="AE454" s="12"/>
      <c r="AF454" s="12"/>
    </row>
    <row r="455" spans="1:32">
      <c r="A455" s="8"/>
      <c r="B455" s="8"/>
      <c r="C455" s="8"/>
      <c r="D455" s="8"/>
      <c r="E455" s="8"/>
      <c r="F455" s="8"/>
      <c r="G455" s="8"/>
      <c r="H455" s="8"/>
      <c r="I455" s="8"/>
      <c r="J455" s="8"/>
      <c r="K455" s="8"/>
      <c r="L455" s="8"/>
      <c r="M455" s="8"/>
      <c r="N455" s="8"/>
      <c r="O455" s="8"/>
      <c r="P455" s="8"/>
      <c r="Q455" s="8"/>
      <c r="R455" s="8"/>
      <c r="S455" s="8"/>
      <c r="T455" s="8"/>
      <c r="U455" s="12"/>
      <c r="V455" s="12"/>
      <c r="W455" s="12"/>
      <c r="X455" s="12"/>
      <c r="Y455" s="12"/>
      <c r="Z455" s="12"/>
      <c r="AA455" s="12"/>
      <c r="AB455" s="12"/>
      <c r="AC455" s="12"/>
      <c r="AD455" s="12"/>
      <c r="AE455" s="12"/>
      <c r="AF455" s="12"/>
    </row>
    <row r="456" spans="1:32">
      <c r="A456" s="8"/>
      <c r="B456" s="8"/>
      <c r="C456" s="8"/>
      <c r="D456" s="8"/>
      <c r="E456" s="8"/>
      <c r="F456" s="8"/>
      <c r="G456" s="8"/>
      <c r="H456" s="8"/>
      <c r="I456" s="8"/>
      <c r="J456" s="8"/>
      <c r="K456" s="8"/>
      <c r="L456" s="8"/>
      <c r="M456" s="8"/>
      <c r="N456" s="8"/>
      <c r="O456" s="8"/>
      <c r="P456" s="8"/>
      <c r="Q456" s="8"/>
      <c r="R456" s="8"/>
      <c r="S456" s="8"/>
      <c r="T456" s="8"/>
      <c r="U456" s="12"/>
      <c r="V456" s="12"/>
      <c r="W456" s="12"/>
      <c r="X456" s="12"/>
      <c r="Y456" s="12"/>
      <c r="Z456" s="12"/>
      <c r="AA456" s="12"/>
      <c r="AB456" s="12"/>
      <c r="AC456" s="12"/>
      <c r="AD456" s="12"/>
      <c r="AE456" s="12"/>
      <c r="AF456" s="12"/>
    </row>
    <row r="457" spans="1:32">
      <c r="A457" s="8"/>
      <c r="B457" s="8"/>
      <c r="C457" s="8"/>
      <c r="D457" s="8"/>
      <c r="E457" s="8"/>
      <c r="F457" s="8"/>
      <c r="G457" s="8"/>
      <c r="H457" s="8"/>
      <c r="I457" s="8"/>
      <c r="J457" s="8"/>
      <c r="K457" s="8"/>
      <c r="L457" s="8"/>
      <c r="M457" s="8"/>
      <c r="N457" s="8"/>
      <c r="O457" s="8"/>
      <c r="P457" s="8"/>
      <c r="Q457" s="8"/>
      <c r="R457" s="8"/>
      <c r="S457" s="8"/>
      <c r="T457" s="8"/>
      <c r="U457" s="12"/>
      <c r="V457" s="12"/>
      <c r="W457" s="12"/>
      <c r="X457" s="12"/>
      <c r="Y457" s="12"/>
      <c r="Z457" s="12"/>
      <c r="AA457" s="12"/>
      <c r="AB457" s="12"/>
      <c r="AC457" s="12"/>
      <c r="AD457" s="12"/>
      <c r="AE457" s="12"/>
      <c r="AF457" s="12"/>
    </row>
    <row r="458" spans="1:32">
      <c r="A458" s="8"/>
      <c r="B458" s="8"/>
      <c r="C458" s="8"/>
      <c r="D458" s="8"/>
      <c r="E458" s="8"/>
      <c r="F458" s="8"/>
      <c r="G458" s="8"/>
      <c r="H458" s="8"/>
      <c r="I458" s="8"/>
      <c r="J458" s="8"/>
      <c r="K458" s="8"/>
      <c r="L458" s="8"/>
      <c r="M458" s="8"/>
      <c r="N458" s="8"/>
      <c r="O458" s="8"/>
      <c r="P458" s="8"/>
      <c r="Q458" s="8"/>
      <c r="R458" s="8"/>
      <c r="S458" s="8"/>
      <c r="T458" s="8"/>
      <c r="U458" s="12"/>
      <c r="V458" s="12"/>
      <c r="W458" s="12"/>
      <c r="X458" s="12"/>
      <c r="Y458" s="12"/>
      <c r="Z458" s="12"/>
      <c r="AA458" s="12"/>
      <c r="AB458" s="12"/>
      <c r="AC458" s="12"/>
      <c r="AD458" s="12"/>
      <c r="AE458" s="12"/>
      <c r="AF458" s="12"/>
    </row>
    <row r="459" spans="1:32">
      <c r="A459" s="8"/>
      <c r="B459" s="8"/>
      <c r="C459" s="8"/>
      <c r="D459" s="8"/>
      <c r="E459" s="8"/>
      <c r="F459" s="8"/>
      <c r="G459" s="8"/>
      <c r="H459" s="8"/>
      <c r="I459" s="8"/>
      <c r="J459" s="8"/>
      <c r="K459" s="8"/>
      <c r="L459" s="8"/>
      <c r="M459" s="8"/>
      <c r="N459" s="8"/>
      <c r="O459" s="8"/>
      <c r="P459" s="8"/>
      <c r="Q459" s="8"/>
      <c r="R459" s="8"/>
      <c r="S459" s="8"/>
      <c r="T459" s="8"/>
      <c r="U459" s="12"/>
      <c r="V459" s="12"/>
      <c r="W459" s="12"/>
      <c r="X459" s="12"/>
      <c r="Y459" s="12"/>
      <c r="Z459" s="12"/>
      <c r="AA459" s="12"/>
      <c r="AB459" s="12"/>
      <c r="AC459" s="12"/>
      <c r="AD459" s="12"/>
      <c r="AE459" s="12"/>
      <c r="AF459" s="12"/>
    </row>
    <row r="460" spans="1:32">
      <c r="A460" s="8"/>
      <c r="B460" s="8"/>
      <c r="C460" s="8"/>
      <c r="D460" s="8"/>
      <c r="E460" s="8"/>
      <c r="F460" s="8"/>
      <c r="G460" s="8"/>
      <c r="H460" s="8"/>
      <c r="I460" s="8"/>
      <c r="J460" s="8"/>
      <c r="K460" s="8"/>
      <c r="L460" s="8"/>
      <c r="M460" s="8"/>
      <c r="N460" s="8"/>
      <c r="O460" s="8"/>
      <c r="P460" s="8"/>
      <c r="Q460" s="8"/>
      <c r="R460" s="8"/>
      <c r="S460" s="8"/>
      <c r="T460" s="8"/>
      <c r="U460" s="12"/>
      <c r="V460" s="12"/>
      <c r="W460" s="12"/>
      <c r="X460" s="12"/>
      <c r="Y460" s="12"/>
      <c r="Z460" s="12"/>
      <c r="AA460" s="12"/>
      <c r="AB460" s="12"/>
      <c r="AC460" s="12"/>
      <c r="AD460" s="12"/>
      <c r="AE460" s="12"/>
      <c r="AF460" s="12"/>
    </row>
    <row r="461" spans="1:32">
      <c r="A461" s="8"/>
      <c r="B461" s="8"/>
      <c r="C461" s="8"/>
      <c r="D461" s="8"/>
      <c r="E461" s="8"/>
      <c r="F461" s="8"/>
      <c r="G461" s="8"/>
      <c r="H461" s="8"/>
      <c r="I461" s="8"/>
      <c r="J461" s="8"/>
      <c r="K461" s="8"/>
      <c r="L461" s="8"/>
      <c r="M461" s="8"/>
      <c r="N461" s="8"/>
      <c r="O461" s="8"/>
      <c r="P461" s="8"/>
      <c r="Q461" s="8"/>
      <c r="R461" s="8"/>
      <c r="S461" s="8"/>
      <c r="T461" s="8"/>
      <c r="U461" s="12"/>
      <c r="V461" s="12"/>
      <c r="W461" s="12"/>
      <c r="X461" s="12"/>
      <c r="Y461" s="12"/>
      <c r="Z461" s="12"/>
      <c r="AA461" s="12"/>
      <c r="AB461" s="12"/>
      <c r="AC461" s="12"/>
      <c r="AD461" s="12"/>
      <c r="AE461" s="12"/>
      <c r="AF461" s="12"/>
    </row>
    <row r="462" spans="1:32">
      <c r="A462" s="8"/>
      <c r="B462" s="8"/>
      <c r="C462" s="8"/>
      <c r="D462" s="8"/>
      <c r="E462" s="8"/>
      <c r="F462" s="8"/>
      <c r="G462" s="8"/>
      <c r="H462" s="8"/>
      <c r="I462" s="8"/>
      <c r="J462" s="8"/>
      <c r="K462" s="8"/>
      <c r="L462" s="8"/>
      <c r="M462" s="8"/>
      <c r="N462" s="8"/>
      <c r="O462" s="8"/>
      <c r="P462" s="8"/>
      <c r="Q462" s="8"/>
      <c r="R462" s="8"/>
      <c r="S462" s="8"/>
      <c r="T462" s="8"/>
      <c r="U462" s="12"/>
      <c r="V462" s="12"/>
      <c r="W462" s="12"/>
      <c r="X462" s="12"/>
      <c r="Y462" s="12"/>
      <c r="Z462" s="12"/>
      <c r="AA462" s="12"/>
      <c r="AB462" s="12"/>
      <c r="AC462" s="12"/>
      <c r="AD462" s="12"/>
      <c r="AE462" s="12"/>
      <c r="AF462" s="12"/>
    </row>
    <row r="463" spans="1:32">
      <c r="A463" s="8"/>
      <c r="B463" s="8"/>
      <c r="C463" s="8"/>
      <c r="D463" s="8"/>
      <c r="E463" s="8"/>
      <c r="F463" s="8"/>
      <c r="G463" s="8"/>
      <c r="H463" s="8"/>
      <c r="I463" s="8"/>
      <c r="J463" s="8"/>
      <c r="K463" s="8"/>
      <c r="L463" s="8"/>
      <c r="M463" s="8"/>
      <c r="N463" s="8"/>
      <c r="O463" s="8"/>
      <c r="P463" s="8"/>
      <c r="Q463" s="8"/>
      <c r="R463" s="8"/>
      <c r="S463" s="8"/>
      <c r="T463" s="8"/>
      <c r="U463" s="12"/>
      <c r="V463" s="12"/>
      <c r="W463" s="12"/>
      <c r="X463" s="12"/>
      <c r="Y463" s="12"/>
      <c r="Z463" s="12"/>
      <c r="AA463" s="12"/>
      <c r="AB463" s="12"/>
      <c r="AC463" s="12"/>
      <c r="AD463" s="12"/>
      <c r="AE463" s="12"/>
      <c r="AF463" s="12"/>
    </row>
    <row r="464" spans="1:32">
      <c r="A464" s="8"/>
      <c r="B464" s="8"/>
      <c r="C464" s="8"/>
      <c r="D464" s="8"/>
      <c r="E464" s="8"/>
      <c r="F464" s="8"/>
      <c r="G464" s="8"/>
      <c r="H464" s="8"/>
      <c r="I464" s="8"/>
      <c r="J464" s="8"/>
      <c r="K464" s="8"/>
      <c r="L464" s="8"/>
      <c r="M464" s="8"/>
      <c r="N464" s="8"/>
      <c r="O464" s="8"/>
      <c r="P464" s="8"/>
      <c r="Q464" s="8"/>
      <c r="R464" s="8"/>
      <c r="S464" s="8"/>
      <c r="T464" s="8"/>
      <c r="U464" s="12"/>
      <c r="V464" s="12"/>
      <c r="W464" s="12"/>
      <c r="X464" s="12"/>
      <c r="Y464" s="12"/>
      <c r="Z464" s="12"/>
      <c r="AA464" s="12"/>
      <c r="AB464" s="12"/>
      <c r="AC464" s="12"/>
      <c r="AD464" s="12"/>
      <c r="AE464" s="12"/>
      <c r="AF464" s="12"/>
    </row>
    <row r="465" spans="1:32">
      <c r="A465" s="8"/>
      <c r="B465" s="8"/>
      <c r="C465" s="8"/>
      <c r="D465" s="8"/>
      <c r="E465" s="8"/>
      <c r="F465" s="8"/>
      <c r="G465" s="8"/>
      <c r="H465" s="8"/>
      <c r="I465" s="8"/>
      <c r="J465" s="8"/>
      <c r="K465" s="8"/>
      <c r="L465" s="8"/>
      <c r="M465" s="8"/>
      <c r="N465" s="8"/>
      <c r="O465" s="8"/>
      <c r="P465" s="8"/>
      <c r="Q465" s="8"/>
      <c r="R465" s="8"/>
      <c r="S465" s="8"/>
      <c r="T465" s="8"/>
      <c r="U465" s="12"/>
      <c r="V465" s="12"/>
      <c r="W465" s="12"/>
      <c r="X465" s="12"/>
      <c r="Y465" s="12"/>
      <c r="Z465" s="12"/>
      <c r="AA465" s="12"/>
      <c r="AB465" s="12"/>
      <c r="AC465" s="12"/>
      <c r="AD465" s="12"/>
      <c r="AE465" s="12"/>
      <c r="AF465" s="12"/>
    </row>
    <row r="466" spans="1:32">
      <c r="A466" s="8"/>
      <c r="B466" s="8"/>
      <c r="C466" s="8"/>
      <c r="D466" s="8"/>
      <c r="E466" s="8"/>
      <c r="F466" s="8"/>
      <c r="G466" s="8"/>
      <c r="H466" s="8"/>
      <c r="I466" s="8"/>
      <c r="J466" s="8"/>
      <c r="K466" s="8"/>
      <c r="L466" s="8"/>
      <c r="M466" s="8"/>
      <c r="N466" s="8"/>
      <c r="O466" s="8"/>
      <c r="P466" s="8"/>
      <c r="Q466" s="8"/>
      <c r="R466" s="8"/>
      <c r="S466" s="8"/>
      <c r="T466" s="8"/>
      <c r="U466" s="12"/>
      <c r="V466" s="12"/>
      <c r="W466" s="12"/>
      <c r="X466" s="12"/>
      <c r="Y466" s="12"/>
      <c r="Z466" s="12"/>
      <c r="AA466" s="12"/>
      <c r="AB466" s="12"/>
      <c r="AC466" s="12"/>
      <c r="AD466" s="12"/>
      <c r="AE466" s="12"/>
      <c r="AF466" s="12"/>
    </row>
    <row r="467" spans="1:32">
      <c r="A467" s="8"/>
      <c r="B467" s="8"/>
      <c r="C467" s="8"/>
      <c r="D467" s="8"/>
      <c r="E467" s="8"/>
      <c r="F467" s="8"/>
      <c r="G467" s="8"/>
      <c r="H467" s="8"/>
      <c r="I467" s="8"/>
      <c r="J467" s="8"/>
      <c r="K467" s="8"/>
      <c r="L467" s="8"/>
      <c r="M467" s="8"/>
      <c r="N467" s="8"/>
      <c r="O467" s="8"/>
      <c r="P467" s="8"/>
      <c r="Q467" s="8"/>
      <c r="R467" s="8"/>
      <c r="S467" s="8"/>
      <c r="T467" s="8"/>
      <c r="U467" s="12"/>
      <c r="V467" s="12"/>
      <c r="W467" s="12"/>
      <c r="X467" s="12"/>
      <c r="Y467" s="12"/>
      <c r="Z467" s="12"/>
      <c r="AA467" s="12"/>
      <c r="AB467" s="12"/>
      <c r="AC467" s="12"/>
      <c r="AD467" s="12"/>
      <c r="AE467" s="12"/>
      <c r="AF467" s="12"/>
    </row>
    <row r="468" spans="1:32">
      <c r="A468" s="8"/>
      <c r="B468" s="8"/>
      <c r="C468" s="8"/>
      <c r="D468" s="8"/>
      <c r="E468" s="8"/>
      <c r="F468" s="8"/>
      <c r="G468" s="8"/>
      <c r="H468" s="8"/>
      <c r="I468" s="8"/>
      <c r="J468" s="8"/>
      <c r="K468" s="8"/>
      <c r="L468" s="8"/>
      <c r="M468" s="8"/>
      <c r="N468" s="8"/>
      <c r="O468" s="8"/>
      <c r="P468" s="8"/>
      <c r="Q468" s="8"/>
      <c r="R468" s="8"/>
      <c r="S468" s="8"/>
      <c r="T468" s="8"/>
      <c r="U468" s="12"/>
      <c r="V468" s="12"/>
      <c r="W468" s="12"/>
      <c r="X468" s="12"/>
      <c r="Y468" s="12"/>
      <c r="Z468" s="12"/>
      <c r="AA468" s="12"/>
      <c r="AB468" s="12"/>
      <c r="AC468" s="12"/>
      <c r="AD468" s="12"/>
      <c r="AE468" s="12"/>
      <c r="AF468" s="12"/>
    </row>
    <row r="469" spans="1:32">
      <c r="A469" s="8"/>
      <c r="B469" s="8"/>
      <c r="C469" s="8"/>
      <c r="D469" s="8"/>
      <c r="E469" s="8"/>
      <c r="F469" s="8"/>
      <c r="G469" s="8"/>
      <c r="H469" s="8"/>
      <c r="I469" s="8"/>
      <c r="J469" s="8"/>
      <c r="K469" s="8"/>
      <c r="L469" s="8"/>
      <c r="M469" s="8"/>
      <c r="N469" s="8"/>
      <c r="O469" s="8"/>
      <c r="P469" s="8"/>
      <c r="Q469" s="8"/>
      <c r="R469" s="8"/>
      <c r="S469" s="8"/>
      <c r="T469" s="8"/>
      <c r="U469" s="12"/>
      <c r="V469" s="12"/>
      <c r="W469" s="12"/>
      <c r="X469" s="12"/>
      <c r="Y469" s="12"/>
      <c r="Z469" s="12"/>
      <c r="AA469" s="12"/>
      <c r="AB469" s="12"/>
      <c r="AC469" s="12"/>
      <c r="AD469" s="12"/>
      <c r="AE469" s="12"/>
      <c r="AF469" s="12"/>
    </row>
    <row r="470" spans="1:32">
      <c r="A470" s="8"/>
      <c r="B470" s="8"/>
      <c r="C470" s="8"/>
      <c r="D470" s="8"/>
      <c r="E470" s="8"/>
      <c r="F470" s="8"/>
      <c r="G470" s="8"/>
      <c r="H470" s="8"/>
      <c r="I470" s="8"/>
      <c r="J470" s="8"/>
      <c r="K470" s="8"/>
      <c r="L470" s="8"/>
      <c r="M470" s="8"/>
      <c r="N470" s="8"/>
      <c r="O470" s="8"/>
      <c r="P470" s="8"/>
      <c r="Q470" s="8"/>
      <c r="R470" s="8"/>
      <c r="S470" s="8"/>
      <c r="T470" s="8"/>
      <c r="U470" s="12"/>
      <c r="V470" s="12"/>
      <c r="W470" s="12"/>
      <c r="X470" s="12"/>
      <c r="Y470" s="12"/>
      <c r="Z470" s="12"/>
      <c r="AA470" s="12"/>
      <c r="AB470" s="12"/>
      <c r="AC470" s="12"/>
      <c r="AD470" s="12"/>
      <c r="AE470" s="12"/>
      <c r="AF470" s="12"/>
    </row>
    <row r="471" spans="1:32">
      <c r="A471" s="8"/>
      <c r="B471" s="8"/>
      <c r="C471" s="8"/>
      <c r="D471" s="8"/>
      <c r="E471" s="8"/>
      <c r="F471" s="8"/>
      <c r="G471" s="8"/>
      <c r="H471" s="8"/>
      <c r="I471" s="8"/>
      <c r="J471" s="8"/>
      <c r="K471" s="8"/>
      <c r="L471" s="8"/>
      <c r="M471" s="8"/>
      <c r="N471" s="8"/>
      <c r="O471" s="8"/>
      <c r="P471" s="8"/>
      <c r="Q471" s="8"/>
      <c r="R471" s="8"/>
      <c r="S471" s="8"/>
      <c r="T471" s="8"/>
      <c r="U471" s="12"/>
      <c r="V471" s="12"/>
      <c r="W471" s="12"/>
      <c r="X471" s="12"/>
      <c r="Y471" s="12"/>
      <c r="Z471" s="12"/>
      <c r="AA471" s="12"/>
      <c r="AB471" s="12"/>
      <c r="AC471" s="12"/>
      <c r="AD471" s="12"/>
      <c r="AE471" s="12"/>
      <c r="AF471" s="12"/>
    </row>
    <row r="472" spans="1:32">
      <c r="A472" s="8"/>
      <c r="B472" s="8"/>
      <c r="C472" s="8"/>
      <c r="D472" s="8"/>
      <c r="E472" s="8"/>
      <c r="F472" s="8"/>
      <c r="G472" s="8"/>
      <c r="H472" s="8"/>
      <c r="I472" s="8"/>
      <c r="J472" s="8"/>
      <c r="K472" s="8"/>
      <c r="L472" s="8"/>
      <c r="M472" s="8"/>
      <c r="N472" s="8"/>
      <c r="O472" s="8"/>
      <c r="P472" s="8"/>
      <c r="Q472" s="8"/>
      <c r="R472" s="8"/>
      <c r="S472" s="8"/>
      <c r="T472" s="8"/>
      <c r="U472" s="12"/>
      <c r="V472" s="12"/>
      <c r="W472" s="12"/>
      <c r="X472" s="12"/>
      <c r="Y472" s="12"/>
      <c r="Z472" s="12"/>
      <c r="AA472" s="12"/>
      <c r="AB472" s="12"/>
      <c r="AC472" s="12"/>
      <c r="AD472" s="12"/>
      <c r="AE472" s="12"/>
      <c r="AF472" s="12"/>
    </row>
    <row r="473" spans="1:32">
      <c r="A473" s="8"/>
      <c r="B473" s="8"/>
      <c r="C473" s="8"/>
      <c r="D473" s="8"/>
      <c r="E473" s="8"/>
      <c r="F473" s="8"/>
      <c r="G473" s="8"/>
      <c r="H473" s="8"/>
      <c r="I473" s="8"/>
      <c r="J473" s="8"/>
      <c r="K473" s="8"/>
      <c r="L473" s="8"/>
      <c r="M473" s="8"/>
      <c r="N473" s="8"/>
      <c r="O473" s="8"/>
      <c r="P473" s="8"/>
      <c r="Q473" s="8"/>
      <c r="R473" s="8"/>
      <c r="S473" s="8"/>
      <c r="T473" s="8"/>
      <c r="U473" s="12"/>
      <c r="V473" s="12"/>
      <c r="W473" s="12"/>
      <c r="X473" s="12"/>
      <c r="Y473" s="12"/>
      <c r="Z473" s="12"/>
      <c r="AA473" s="12"/>
      <c r="AB473" s="12"/>
      <c r="AC473" s="12"/>
      <c r="AD473" s="12"/>
      <c r="AE473" s="12"/>
      <c r="AF473" s="12"/>
    </row>
    <row r="474" spans="1:32">
      <c r="A474" s="8"/>
      <c r="B474" s="8"/>
      <c r="C474" s="8"/>
      <c r="D474" s="8"/>
      <c r="E474" s="8"/>
      <c r="F474" s="8"/>
      <c r="G474" s="8"/>
      <c r="H474" s="8"/>
      <c r="I474" s="8"/>
      <c r="J474" s="8"/>
      <c r="K474" s="8"/>
      <c r="L474" s="8"/>
      <c r="M474" s="8"/>
      <c r="N474" s="8"/>
      <c r="O474" s="8"/>
      <c r="P474" s="8"/>
      <c r="Q474" s="8"/>
      <c r="R474" s="8"/>
      <c r="S474" s="8"/>
      <c r="T474" s="8"/>
      <c r="U474" s="12"/>
      <c r="V474" s="12"/>
      <c r="W474" s="12"/>
      <c r="X474" s="12"/>
      <c r="Y474" s="12"/>
      <c r="Z474" s="12"/>
      <c r="AA474" s="12"/>
      <c r="AB474" s="12"/>
      <c r="AC474" s="12"/>
      <c r="AD474" s="12"/>
      <c r="AE474" s="12"/>
      <c r="AF474" s="12"/>
    </row>
    <row r="475" spans="1:32">
      <c r="A475" s="8"/>
      <c r="B475" s="8"/>
      <c r="C475" s="8"/>
      <c r="D475" s="8"/>
      <c r="E475" s="8"/>
      <c r="F475" s="8"/>
      <c r="G475" s="8"/>
      <c r="H475" s="8"/>
      <c r="I475" s="8"/>
      <c r="J475" s="8"/>
      <c r="K475" s="8"/>
      <c r="L475" s="8"/>
      <c r="M475" s="8"/>
      <c r="N475" s="8"/>
      <c r="O475" s="8"/>
      <c r="P475" s="8"/>
      <c r="Q475" s="8"/>
      <c r="R475" s="8"/>
      <c r="S475" s="8"/>
      <c r="T475" s="8"/>
      <c r="U475" s="12"/>
      <c r="V475" s="12"/>
      <c r="W475" s="12"/>
      <c r="X475" s="12"/>
      <c r="Y475" s="12"/>
      <c r="Z475" s="12"/>
      <c r="AA475" s="12"/>
      <c r="AB475" s="12"/>
      <c r="AC475" s="12"/>
      <c r="AD475" s="12"/>
      <c r="AE475" s="12"/>
      <c r="AF475" s="12"/>
    </row>
    <row r="476" spans="1:32">
      <c r="A476" s="8"/>
      <c r="B476" s="8"/>
      <c r="C476" s="8"/>
      <c r="D476" s="8"/>
      <c r="E476" s="8"/>
      <c r="F476" s="8"/>
      <c r="G476" s="8"/>
      <c r="H476" s="8"/>
      <c r="I476" s="8"/>
      <c r="J476" s="8"/>
      <c r="K476" s="8"/>
      <c r="L476" s="8"/>
      <c r="M476" s="8"/>
      <c r="N476" s="8"/>
      <c r="O476" s="8"/>
      <c r="P476" s="8"/>
      <c r="Q476" s="8"/>
      <c r="R476" s="8"/>
      <c r="S476" s="8"/>
      <c r="T476" s="8"/>
      <c r="U476" s="12"/>
      <c r="V476" s="12"/>
      <c r="W476" s="12"/>
      <c r="X476" s="12"/>
      <c r="Y476" s="12"/>
      <c r="Z476" s="12"/>
      <c r="AA476" s="12"/>
      <c r="AB476" s="12"/>
      <c r="AC476" s="12"/>
      <c r="AD476" s="12"/>
      <c r="AE476" s="12"/>
      <c r="AF476" s="12"/>
    </row>
    <row r="477" spans="1:32">
      <c r="A477" s="8"/>
      <c r="B477" s="8"/>
      <c r="C477" s="8"/>
      <c r="D477" s="8"/>
      <c r="E477" s="8"/>
      <c r="F477" s="8"/>
      <c r="G477" s="8"/>
      <c r="H477" s="8"/>
      <c r="I477" s="8"/>
      <c r="J477" s="8"/>
      <c r="K477" s="8"/>
      <c r="L477" s="8"/>
      <c r="M477" s="8"/>
      <c r="N477" s="8"/>
      <c r="O477" s="8"/>
      <c r="P477" s="8"/>
      <c r="Q477" s="8"/>
      <c r="R477" s="8"/>
      <c r="S477" s="8"/>
      <c r="T477" s="8"/>
      <c r="U477" s="12"/>
      <c r="V477" s="12"/>
      <c r="W477" s="12"/>
      <c r="X477" s="12"/>
      <c r="Y477" s="12"/>
      <c r="Z477" s="12"/>
      <c r="AA477" s="12"/>
      <c r="AB477" s="12"/>
      <c r="AC477" s="12"/>
      <c r="AD477" s="12"/>
      <c r="AE477" s="12"/>
      <c r="AF477" s="12"/>
    </row>
    <row r="478" spans="1:32">
      <c r="A478" s="8"/>
      <c r="B478" s="8"/>
      <c r="C478" s="8"/>
      <c r="D478" s="8"/>
      <c r="E478" s="8"/>
      <c r="F478" s="8"/>
      <c r="G478" s="8"/>
      <c r="H478" s="8"/>
      <c r="I478" s="8"/>
      <c r="J478" s="8"/>
      <c r="K478" s="8"/>
      <c r="L478" s="8"/>
      <c r="M478" s="8"/>
      <c r="N478" s="8"/>
      <c r="O478" s="8"/>
      <c r="P478" s="8"/>
      <c r="Q478" s="8"/>
      <c r="R478" s="8"/>
      <c r="S478" s="8"/>
      <c r="T478" s="8"/>
      <c r="U478" s="12"/>
      <c r="V478" s="12"/>
      <c r="W478" s="12"/>
      <c r="X478" s="12"/>
      <c r="Y478" s="12"/>
      <c r="Z478" s="12"/>
      <c r="AA478" s="12"/>
      <c r="AB478" s="12"/>
      <c r="AC478" s="12"/>
      <c r="AD478" s="12"/>
      <c r="AE478" s="12"/>
      <c r="AF478" s="12"/>
    </row>
    <row r="479" spans="1:32">
      <c r="A479" s="8"/>
      <c r="B479" s="8"/>
      <c r="C479" s="8"/>
      <c r="D479" s="8"/>
      <c r="E479" s="8"/>
      <c r="F479" s="8"/>
      <c r="G479" s="8"/>
      <c r="H479" s="8"/>
      <c r="I479" s="8"/>
      <c r="J479" s="8"/>
      <c r="K479" s="8"/>
      <c r="L479" s="8"/>
      <c r="M479" s="8"/>
      <c r="N479" s="8"/>
      <c r="O479" s="8"/>
      <c r="P479" s="8"/>
      <c r="Q479" s="8"/>
      <c r="R479" s="8"/>
      <c r="S479" s="8"/>
      <c r="T479" s="8"/>
      <c r="U479" s="12"/>
      <c r="V479" s="12"/>
      <c r="W479" s="12"/>
      <c r="X479" s="12"/>
      <c r="Y479" s="12"/>
      <c r="Z479" s="12"/>
      <c r="AA479" s="12"/>
      <c r="AB479" s="12"/>
      <c r="AC479" s="12"/>
      <c r="AD479" s="12"/>
      <c r="AE479" s="12"/>
      <c r="AF479" s="12"/>
    </row>
    <row r="480" spans="1:32">
      <c r="A480" s="8"/>
      <c r="B480" s="8"/>
      <c r="C480" s="8"/>
      <c r="D480" s="8"/>
      <c r="E480" s="8"/>
      <c r="F480" s="8"/>
      <c r="G480" s="8"/>
      <c r="H480" s="8"/>
      <c r="I480" s="8"/>
      <c r="J480" s="8"/>
      <c r="K480" s="8"/>
      <c r="L480" s="8"/>
      <c r="M480" s="8"/>
      <c r="N480" s="8"/>
      <c r="O480" s="8"/>
      <c r="P480" s="8"/>
      <c r="Q480" s="8"/>
      <c r="R480" s="8"/>
      <c r="S480" s="8"/>
      <c r="T480" s="8"/>
      <c r="U480" s="12"/>
      <c r="V480" s="12"/>
      <c r="W480" s="12"/>
      <c r="X480" s="12"/>
      <c r="Y480" s="12"/>
      <c r="Z480" s="12"/>
      <c r="AA480" s="12"/>
      <c r="AB480" s="12"/>
      <c r="AC480" s="12"/>
      <c r="AD480" s="12"/>
      <c r="AE480" s="12"/>
      <c r="AF480" s="12"/>
    </row>
    <row r="481" spans="1:32">
      <c r="A481" s="8"/>
      <c r="B481" s="8"/>
      <c r="C481" s="8"/>
      <c r="D481" s="8"/>
      <c r="E481" s="8"/>
      <c r="F481" s="8"/>
      <c r="G481" s="8"/>
      <c r="H481" s="8"/>
      <c r="I481" s="8"/>
      <c r="J481" s="8"/>
      <c r="K481" s="8"/>
      <c r="L481" s="8"/>
      <c r="M481" s="8"/>
      <c r="N481" s="8"/>
      <c r="O481" s="8"/>
      <c r="P481" s="8"/>
      <c r="Q481" s="8"/>
      <c r="R481" s="8"/>
      <c r="S481" s="8"/>
      <c r="T481" s="8"/>
      <c r="U481" s="12"/>
      <c r="V481" s="12"/>
      <c r="W481" s="12"/>
      <c r="X481" s="12"/>
      <c r="Y481" s="12"/>
      <c r="Z481" s="12"/>
      <c r="AA481" s="12"/>
      <c r="AB481" s="12"/>
      <c r="AC481" s="12"/>
      <c r="AD481" s="12"/>
      <c r="AE481" s="12"/>
      <c r="AF481" s="12"/>
    </row>
    <row r="482" spans="1:32">
      <c r="A482" s="8"/>
      <c r="B482" s="8"/>
      <c r="C482" s="8"/>
      <c r="D482" s="8"/>
      <c r="E482" s="8"/>
      <c r="F482" s="8"/>
      <c r="G482" s="8"/>
      <c r="H482" s="8"/>
      <c r="I482" s="8"/>
      <c r="J482" s="8"/>
      <c r="K482" s="8"/>
      <c r="L482" s="8"/>
      <c r="M482" s="8"/>
      <c r="N482" s="8"/>
      <c r="O482" s="8"/>
      <c r="P482" s="8"/>
      <c r="Q482" s="8"/>
      <c r="R482" s="8"/>
      <c r="S482" s="8"/>
      <c r="T482" s="8"/>
      <c r="U482" s="12"/>
      <c r="V482" s="12"/>
      <c r="W482" s="12"/>
      <c r="X482" s="12"/>
      <c r="Y482" s="12"/>
      <c r="Z482" s="12"/>
      <c r="AA482" s="12"/>
      <c r="AB482" s="12"/>
      <c r="AC482" s="12"/>
      <c r="AD482" s="12"/>
      <c r="AE482" s="12"/>
      <c r="AF482" s="12"/>
    </row>
    <row r="483" spans="1:32">
      <c r="A483" s="8"/>
      <c r="B483" s="8"/>
      <c r="C483" s="8"/>
      <c r="D483" s="8"/>
      <c r="E483" s="8"/>
      <c r="F483" s="8"/>
      <c r="G483" s="8"/>
      <c r="H483" s="8"/>
      <c r="I483" s="8"/>
      <c r="J483" s="8"/>
      <c r="K483" s="8"/>
      <c r="L483" s="8"/>
      <c r="M483" s="8"/>
      <c r="N483" s="8"/>
      <c r="O483" s="8"/>
      <c r="P483" s="8"/>
      <c r="Q483" s="8"/>
      <c r="R483" s="8"/>
      <c r="S483" s="8"/>
      <c r="T483" s="8"/>
      <c r="U483" s="12"/>
      <c r="V483" s="12"/>
      <c r="W483" s="12"/>
      <c r="X483" s="12"/>
      <c r="Y483" s="12"/>
      <c r="Z483" s="12"/>
      <c r="AA483" s="12"/>
      <c r="AB483" s="12"/>
      <c r="AC483" s="12"/>
      <c r="AD483" s="12"/>
      <c r="AE483" s="12"/>
      <c r="AF483" s="12"/>
    </row>
    <row r="484" spans="1:32">
      <c r="A484" s="8"/>
      <c r="B484" s="8"/>
      <c r="C484" s="8"/>
      <c r="D484" s="8"/>
      <c r="E484" s="8"/>
      <c r="F484" s="8"/>
      <c r="G484" s="8"/>
      <c r="H484" s="8"/>
      <c r="I484" s="8"/>
      <c r="J484" s="8"/>
      <c r="K484" s="8"/>
      <c r="L484" s="8"/>
      <c r="M484" s="8"/>
      <c r="N484" s="8"/>
      <c r="O484" s="8"/>
      <c r="P484" s="8"/>
      <c r="Q484" s="8"/>
      <c r="R484" s="8"/>
      <c r="S484" s="8"/>
      <c r="T484" s="8"/>
      <c r="U484" s="12"/>
      <c r="V484" s="12"/>
      <c r="W484" s="12"/>
      <c r="X484" s="12"/>
      <c r="Y484" s="12"/>
      <c r="Z484" s="12"/>
      <c r="AA484" s="12"/>
      <c r="AB484" s="12"/>
      <c r="AC484" s="12"/>
      <c r="AD484" s="12"/>
      <c r="AE484" s="12"/>
      <c r="AF484" s="12"/>
    </row>
    <row r="485" spans="1:32">
      <c r="A485" s="8"/>
      <c r="B485" s="8"/>
      <c r="C485" s="8"/>
      <c r="D485" s="8"/>
      <c r="E485" s="8"/>
      <c r="F485" s="8"/>
      <c r="G485" s="8"/>
      <c r="H485" s="8"/>
      <c r="I485" s="8"/>
      <c r="J485" s="8"/>
      <c r="K485" s="8"/>
      <c r="L485" s="8"/>
      <c r="M485" s="8"/>
      <c r="N485" s="8"/>
      <c r="O485" s="8"/>
      <c r="P485" s="8"/>
      <c r="Q485" s="8"/>
      <c r="R485" s="8"/>
      <c r="S485" s="8"/>
      <c r="T485" s="8"/>
      <c r="U485" s="12"/>
      <c r="V485" s="12"/>
      <c r="W485" s="12"/>
      <c r="X485" s="12"/>
      <c r="Y485" s="12"/>
      <c r="Z485" s="12"/>
      <c r="AA485" s="12"/>
      <c r="AB485" s="12"/>
      <c r="AC485" s="12"/>
      <c r="AD485" s="12"/>
      <c r="AE485" s="12"/>
      <c r="AF485" s="12"/>
    </row>
    <row r="486" spans="1:32">
      <c r="A486" s="8"/>
      <c r="B486" s="8"/>
      <c r="C486" s="8"/>
      <c r="D486" s="8"/>
      <c r="E486" s="8"/>
      <c r="F486" s="8"/>
      <c r="G486" s="8"/>
      <c r="H486" s="8"/>
      <c r="I486" s="8"/>
      <c r="J486" s="8"/>
      <c r="K486" s="8"/>
      <c r="L486" s="8"/>
      <c r="M486" s="8"/>
      <c r="N486" s="8"/>
      <c r="O486" s="8"/>
      <c r="P486" s="8"/>
      <c r="Q486" s="8"/>
      <c r="R486" s="8"/>
      <c r="S486" s="8"/>
      <c r="T486" s="8"/>
      <c r="U486" s="12"/>
      <c r="V486" s="12"/>
      <c r="W486" s="12"/>
      <c r="X486" s="12"/>
      <c r="Y486" s="12"/>
      <c r="Z486" s="12"/>
      <c r="AA486" s="12"/>
      <c r="AB486" s="12"/>
      <c r="AC486" s="12"/>
      <c r="AD486" s="12"/>
      <c r="AE486" s="12"/>
      <c r="AF486" s="12"/>
    </row>
    <row r="487" spans="1:32">
      <c r="A487" s="8"/>
      <c r="B487" s="8"/>
      <c r="C487" s="8"/>
      <c r="D487" s="8"/>
      <c r="E487" s="8"/>
      <c r="F487" s="8"/>
      <c r="G487" s="8"/>
      <c r="H487" s="8"/>
      <c r="I487" s="8"/>
      <c r="J487" s="8"/>
      <c r="K487" s="8"/>
      <c r="L487" s="8"/>
      <c r="M487" s="8"/>
      <c r="N487" s="8"/>
      <c r="O487" s="8"/>
      <c r="P487" s="8"/>
      <c r="Q487" s="8"/>
      <c r="R487" s="8"/>
      <c r="S487" s="8"/>
      <c r="T487" s="8"/>
      <c r="U487" s="12"/>
      <c r="V487" s="12"/>
      <c r="W487" s="12"/>
      <c r="X487" s="12"/>
      <c r="Y487" s="12"/>
      <c r="Z487" s="12"/>
      <c r="AA487" s="12"/>
      <c r="AB487" s="12"/>
      <c r="AC487" s="12"/>
      <c r="AD487" s="12"/>
      <c r="AE487" s="12"/>
      <c r="AF487" s="12"/>
    </row>
    <row r="488" spans="1:32">
      <c r="A488" s="8"/>
      <c r="B488" s="8"/>
      <c r="C488" s="8"/>
      <c r="D488" s="8"/>
      <c r="E488" s="8"/>
      <c r="F488" s="8"/>
      <c r="G488" s="8"/>
      <c r="H488" s="8"/>
      <c r="I488" s="8"/>
      <c r="J488" s="8"/>
      <c r="K488" s="8"/>
      <c r="L488" s="8"/>
      <c r="M488" s="8"/>
      <c r="N488" s="8"/>
      <c r="O488" s="8"/>
      <c r="P488" s="8"/>
      <c r="Q488" s="8"/>
      <c r="R488" s="8"/>
      <c r="S488" s="8"/>
      <c r="T488" s="8"/>
      <c r="U488" s="12"/>
      <c r="V488" s="12"/>
      <c r="W488" s="12"/>
      <c r="X488" s="12"/>
      <c r="Y488" s="12"/>
      <c r="Z488" s="12"/>
      <c r="AA488" s="12"/>
      <c r="AB488" s="12"/>
      <c r="AC488" s="12"/>
      <c r="AD488" s="12"/>
      <c r="AE488" s="12"/>
      <c r="AF488" s="12"/>
    </row>
    <row r="489" spans="1:32">
      <c r="A489" s="8"/>
      <c r="B489" s="8"/>
      <c r="C489" s="8"/>
      <c r="D489" s="8"/>
      <c r="E489" s="8"/>
      <c r="F489" s="8"/>
      <c r="G489" s="8"/>
      <c r="H489" s="8"/>
      <c r="I489" s="8"/>
      <c r="J489" s="8"/>
      <c r="K489" s="8"/>
      <c r="L489" s="8"/>
      <c r="M489" s="8"/>
      <c r="N489" s="8"/>
      <c r="O489" s="8"/>
      <c r="P489" s="8"/>
      <c r="Q489" s="8"/>
      <c r="R489" s="8"/>
      <c r="S489" s="8"/>
      <c r="T489" s="8"/>
      <c r="U489" s="12"/>
      <c r="V489" s="12"/>
      <c r="W489" s="12"/>
      <c r="X489" s="12"/>
      <c r="Y489" s="12"/>
      <c r="Z489" s="12"/>
      <c r="AA489" s="12"/>
      <c r="AB489" s="12"/>
      <c r="AC489" s="12"/>
      <c r="AD489" s="12"/>
      <c r="AE489" s="12"/>
      <c r="AF489" s="12"/>
    </row>
    <row r="490" spans="1:32">
      <c r="A490" s="8"/>
      <c r="B490" s="8"/>
      <c r="C490" s="8"/>
      <c r="D490" s="8"/>
      <c r="E490" s="8"/>
      <c r="F490" s="8"/>
      <c r="G490" s="8"/>
      <c r="H490" s="8"/>
      <c r="I490" s="8"/>
      <c r="J490" s="8"/>
      <c r="K490" s="8"/>
      <c r="L490" s="8"/>
      <c r="M490" s="8"/>
      <c r="N490" s="8"/>
      <c r="O490" s="8"/>
      <c r="P490" s="8"/>
      <c r="Q490" s="8"/>
      <c r="R490" s="8"/>
      <c r="S490" s="8"/>
      <c r="T490" s="8"/>
      <c r="U490" s="12"/>
      <c r="V490" s="12"/>
      <c r="W490" s="12"/>
      <c r="X490" s="12"/>
      <c r="Y490" s="12"/>
      <c r="Z490" s="12"/>
      <c r="AA490" s="12"/>
      <c r="AB490" s="12"/>
      <c r="AC490" s="12"/>
      <c r="AD490" s="12"/>
      <c r="AE490" s="12"/>
      <c r="AF490" s="12"/>
    </row>
    <row r="491" spans="1:32">
      <c r="A491" s="8"/>
      <c r="B491" s="8"/>
      <c r="C491" s="8"/>
      <c r="D491" s="8"/>
      <c r="E491" s="8"/>
      <c r="F491" s="8"/>
      <c r="G491" s="8"/>
      <c r="H491" s="8"/>
      <c r="I491" s="8"/>
      <c r="J491" s="8"/>
      <c r="K491" s="8"/>
      <c r="L491" s="8"/>
      <c r="M491" s="8"/>
      <c r="N491" s="8"/>
      <c r="O491" s="8"/>
      <c r="P491" s="8"/>
      <c r="Q491" s="8"/>
      <c r="R491" s="8"/>
      <c r="S491" s="8"/>
      <c r="T491" s="8"/>
      <c r="U491" s="12"/>
      <c r="V491" s="12"/>
      <c r="W491" s="12"/>
      <c r="X491" s="12"/>
      <c r="Y491" s="12"/>
      <c r="Z491" s="12"/>
      <c r="AA491" s="12"/>
      <c r="AB491" s="12"/>
      <c r="AC491" s="12"/>
      <c r="AD491" s="12"/>
      <c r="AE491" s="12"/>
      <c r="AF491" s="12"/>
    </row>
    <row r="492" spans="1:32">
      <c r="A492" s="8"/>
      <c r="B492" s="8"/>
      <c r="C492" s="8"/>
      <c r="D492" s="8"/>
      <c r="E492" s="8"/>
      <c r="F492" s="8"/>
      <c r="G492" s="8"/>
      <c r="H492" s="8"/>
      <c r="I492" s="8"/>
      <c r="J492" s="8"/>
      <c r="K492" s="8"/>
      <c r="L492" s="8"/>
      <c r="M492" s="8"/>
      <c r="N492" s="8"/>
      <c r="O492" s="8"/>
      <c r="P492" s="8"/>
      <c r="Q492" s="8"/>
      <c r="R492" s="8"/>
      <c r="S492" s="8"/>
      <c r="T492" s="8"/>
      <c r="U492" s="12"/>
      <c r="V492" s="12"/>
      <c r="W492" s="12"/>
      <c r="X492" s="12"/>
      <c r="Y492" s="12"/>
      <c r="Z492" s="12"/>
      <c r="AA492" s="12"/>
      <c r="AB492" s="12"/>
      <c r="AC492" s="12"/>
      <c r="AD492" s="12"/>
      <c r="AE492" s="12"/>
      <c r="AF492" s="12"/>
    </row>
    <row r="493" spans="1:32">
      <c r="A493" s="8"/>
      <c r="B493" s="8"/>
      <c r="C493" s="8"/>
      <c r="D493" s="8"/>
      <c r="E493" s="8"/>
      <c r="F493" s="8"/>
      <c r="G493" s="8"/>
      <c r="H493" s="8"/>
      <c r="I493" s="8"/>
      <c r="J493" s="8"/>
      <c r="K493" s="8"/>
      <c r="L493" s="8"/>
      <c r="M493" s="8"/>
      <c r="N493" s="8"/>
      <c r="O493" s="8"/>
      <c r="P493" s="8"/>
      <c r="Q493" s="8"/>
      <c r="R493" s="8"/>
      <c r="S493" s="8"/>
      <c r="T493" s="8"/>
      <c r="U493" s="12"/>
      <c r="V493" s="12"/>
      <c r="W493" s="12"/>
      <c r="X493" s="12"/>
      <c r="Y493" s="12"/>
      <c r="Z493" s="12"/>
      <c r="AA493" s="12"/>
      <c r="AB493" s="12"/>
      <c r="AC493" s="12"/>
      <c r="AD493" s="12"/>
      <c r="AE493" s="12"/>
      <c r="AF493" s="12"/>
    </row>
    <row r="494" spans="1:32">
      <c r="A494" s="8"/>
      <c r="B494" s="8"/>
      <c r="C494" s="8"/>
      <c r="D494" s="8"/>
      <c r="E494" s="8"/>
      <c r="F494" s="8"/>
      <c r="G494" s="8"/>
      <c r="H494" s="8"/>
      <c r="I494" s="8"/>
      <c r="J494" s="8"/>
      <c r="K494" s="8"/>
      <c r="L494" s="8"/>
      <c r="M494" s="8"/>
      <c r="N494" s="8"/>
      <c r="O494" s="8"/>
      <c r="P494" s="8"/>
      <c r="Q494" s="8"/>
      <c r="R494" s="8"/>
      <c r="S494" s="8"/>
      <c r="T494" s="8"/>
      <c r="U494" s="12"/>
      <c r="V494" s="12"/>
      <c r="W494" s="12"/>
      <c r="X494" s="12"/>
      <c r="Y494" s="12"/>
      <c r="Z494" s="12"/>
      <c r="AA494" s="12"/>
      <c r="AB494" s="12"/>
      <c r="AC494" s="12"/>
      <c r="AD494" s="12"/>
      <c r="AE494" s="12"/>
      <c r="AF494" s="12"/>
    </row>
    <row r="495" spans="1:32">
      <c r="A495" s="8"/>
      <c r="B495" s="8"/>
      <c r="C495" s="8"/>
      <c r="D495" s="8"/>
      <c r="E495" s="8"/>
      <c r="F495" s="8"/>
      <c r="G495" s="8"/>
      <c r="H495" s="8"/>
      <c r="I495" s="8"/>
      <c r="J495" s="8"/>
      <c r="K495" s="8"/>
      <c r="L495" s="8"/>
      <c r="M495" s="8"/>
      <c r="N495" s="8"/>
      <c r="O495" s="8"/>
      <c r="P495" s="8"/>
      <c r="Q495" s="8"/>
      <c r="R495" s="8"/>
      <c r="S495" s="8"/>
      <c r="T495" s="8"/>
      <c r="U495" s="12"/>
      <c r="V495" s="12"/>
      <c r="W495" s="12"/>
      <c r="X495" s="12"/>
      <c r="Y495" s="12"/>
      <c r="Z495" s="12"/>
      <c r="AA495" s="12"/>
      <c r="AB495" s="12"/>
      <c r="AC495" s="12"/>
      <c r="AD495" s="12"/>
      <c r="AE495" s="12"/>
      <c r="AF495" s="12"/>
    </row>
    <row r="496" spans="1:32">
      <c r="A496" s="8"/>
      <c r="B496" s="8"/>
      <c r="C496" s="8"/>
      <c r="D496" s="8"/>
      <c r="E496" s="8"/>
      <c r="F496" s="8"/>
      <c r="G496" s="8"/>
      <c r="H496" s="8"/>
      <c r="I496" s="8"/>
      <c r="J496" s="8"/>
      <c r="K496" s="8"/>
      <c r="L496" s="8"/>
      <c r="M496" s="8"/>
      <c r="N496" s="8"/>
      <c r="O496" s="8"/>
      <c r="P496" s="8"/>
      <c r="Q496" s="8"/>
      <c r="R496" s="8"/>
      <c r="S496" s="8"/>
      <c r="T496" s="8"/>
      <c r="U496" s="12"/>
      <c r="V496" s="12"/>
      <c r="W496" s="12"/>
      <c r="X496" s="12"/>
      <c r="Y496" s="12"/>
      <c r="Z496" s="12"/>
      <c r="AA496" s="12"/>
      <c r="AB496" s="12"/>
      <c r="AC496" s="12"/>
      <c r="AD496" s="12"/>
      <c r="AE496" s="12"/>
      <c r="AF496" s="12"/>
    </row>
    <row r="497" spans="1:32">
      <c r="A497" s="8"/>
      <c r="B497" s="8"/>
      <c r="C497" s="8"/>
      <c r="D497" s="8"/>
      <c r="E497" s="8"/>
      <c r="F497" s="8"/>
      <c r="G497" s="8"/>
      <c r="H497" s="8"/>
      <c r="I497" s="8"/>
      <c r="J497" s="8"/>
      <c r="K497" s="8"/>
      <c r="L497" s="8"/>
      <c r="M497" s="8"/>
      <c r="N497" s="8"/>
      <c r="O497" s="8"/>
      <c r="P497" s="8"/>
      <c r="Q497" s="8"/>
      <c r="R497" s="8"/>
      <c r="S497" s="8"/>
      <c r="T497" s="8"/>
      <c r="U497" s="12"/>
      <c r="V497" s="12"/>
      <c r="W497" s="12"/>
      <c r="X497" s="12"/>
      <c r="Y497" s="12"/>
      <c r="Z497" s="12"/>
      <c r="AA497" s="12"/>
      <c r="AB497" s="12"/>
      <c r="AC497" s="12"/>
      <c r="AD497" s="12"/>
      <c r="AE497" s="12"/>
      <c r="AF497" s="12"/>
    </row>
    <row r="498" spans="1:32">
      <c r="A498" s="8"/>
      <c r="B498" s="8"/>
      <c r="C498" s="8"/>
      <c r="D498" s="8"/>
      <c r="E498" s="8"/>
      <c r="F498" s="8"/>
      <c r="G498" s="8"/>
      <c r="H498" s="8"/>
      <c r="I498" s="8"/>
      <c r="J498" s="8"/>
      <c r="K498" s="8"/>
      <c r="L498" s="8"/>
      <c r="M498" s="8"/>
      <c r="N498" s="8"/>
      <c r="O498" s="8"/>
      <c r="P498" s="8"/>
      <c r="Q498" s="8"/>
      <c r="R498" s="8"/>
      <c r="S498" s="8"/>
      <c r="T498" s="8"/>
      <c r="U498" s="12"/>
      <c r="V498" s="12"/>
      <c r="W498" s="12"/>
      <c r="X498" s="12"/>
      <c r="Y498" s="12"/>
      <c r="Z498" s="12"/>
      <c r="AA498" s="12"/>
      <c r="AB498" s="12"/>
      <c r="AC498" s="12"/>
      <c r="AD498" s="12"/>
      <c r="AE498" s="12"/>
      <c r="AF498" s="12"/>
    </row>
    <row r="499" spans="1:32">
      <c r="A499" s="8"/>
      <c r="B499" s="8"/>
      <c r="C499" s="8"/>
      <c r="D499" s="8"/>
      <c r="E499" s="8"/>
      <c r="F499" s="8"/>
      <c r="G499" s="8"/>
      <c r="H499" s="8"/>
      <c r="I499" s="8"/>
      <c r="J499" s="8"/>
      <c r="K499" s="8"/>
      <c r="L499" s="8"/>
      <c r="M499" s="8"/>
      <c r="N499" s="8"/>
      <c r="O499" s="8"/>
      <c r="P499" s="8"/>
      <c r="Q499" s="8"/>
      <c r="R499" s="8"/>
      <c r="S499" s="8"/>
      <c r="T499" s="8"/>
      <c r="U499" s="12"/>
      <c r="V499" s="12"/>
      <c r="W499" s="12"/>
      <c r="X499" s="12"/>
      <c r="Y499" s="12"/>
      <c r="Z499" s="12"/>
      <c r="AA499" s="12"/>
      <c r="AB499" s="12"/>
      <c r="AC499" s="12"/>
      <c r="AD499" s="12"/>
      <c r="AE499" s="12"/>
      <c r="AF499" s="12"/>
    </row>
    <row r="500" spans="1:32">
      <c r="A500" s="8"/>
      <c r="B500" s="8"/>
      <c r="C500" s="8"/>
      <c r="D500" s="8"/>
      <c r="E500" s="8"/>
      <c r="F500" s="8"/>
      <c r="G500" s="8"/>
      <c r="H500" s="8"/>
      <c r="I500" s="8"/>
      <c r="J500" s="8"/>
      <c r="K500" s="8"/>
      <c r="L500" s="8"/>
      <c r="M500" s="8"/>
      <c r="N500" s="8"/>
      <c r="O500" s="8"/>
      <c r="P500" s="8"/>
      <c r="Q500" s="8"/>
      <c r="R500" s="8"/>
      <c r="S500" s="8"/>
      <c r="T500" s="8"/>
      <c r="U500" s="12"/>
      <c r="V500" s="12"/>
      <c r="W500" s="12"/>
      <c r="X500" s="12"/>
      <c r="Y500" s="12"/>
      <c r="Z500" s="12"/>
      <c r="AA500" s="12"/>
      <c r="AB500" s="12"/>
      <c r="AC500" s="12"/>
      <c r="AD500" s="12"/>
      <c r="AE500" s="12"/>
      <c r="AF500" s="12"/>
    </row>
    <row r="501" spans="1:32">
      <c r="A501" s="8"/>
      <c r="B501" s="8"/>
      <c r="C501" s="8"/>
      <c r="D501" s="8"/>
      <c r="E501" s="8"/>
      <c r="F501" s="8"/>
      <c r="G501" s="8"/>
      <c r="H501" s="8"/>
      <c r="I501" s="8"/>
      <c r="J501" s="8"/>
      <c r="K501" s="8"/>
      <c r="L501" s="8"/>
      <c r="M501" s="8"/>
      <c r="N501" s="8"/>
      <c r="O501" s="8"/>
      <c r="P501" s="8"/>
      <c r="Q501" s="8"/>
      <c r="R501" s="8"/>
      <c r="S501" s="8"/>
      <c r="T501" s="8"/>
      <c r="U501" s="12"/>
      <c r="V501" s="12"/>
      <c r="W501" s="12"/>
      <c r="X501" s="12"/>
      <c r="Y501" s="12"/>
      <c r="Z501" s="12"/>
      <c r="AA501" s="12"/>
      <c r="AB501" s="12"/>
      <c r="AC501" s="12"/>
      <c r="AD501" s="12"/>
      <c r="AE501" s="12"/>
      <c r="AF501" s="12"/>
    </row>
    <row r="502" spans="1:32">
      <c r="A502" s="8"/>
      <c r="B502" s="8"/>
      <c r="C502" s="8"/>
      <c r="D502" s="8"/>
      <c r="E502" s="8"/>
      <c r="F502" s="8"/>
      <c r="G502" s="8"/>
      <c r="H502" s="8"/>
      <c r="I502" s="8"/>
      <c r="J502" s="8"/>
      <c r="K502" s="8"/>
      <c r="L502" s="8"/>
      <c r="M502" s="8"/>
      <c r="N502" s="8"/>
      <c r="O502" s="8"/>
      <c r="P502" s="8"/>
      <c r="Q502" s="8"/>
      <c r="R502" s="8"/>
      <c r="S502" s="8"/>
      <c r="T502" s="8"/>
      <c r="U502" s="12"/>
      <c r="V502" s="12"/>
      <c r="W502" s="12"/>
      <c r="X502" s="12"/>
      <c r="Y502" s="12"/>
      <c r="Z502" s="12"/>
      <c r="AA502" s="12"/>
      <c r="AB502" s="12"/>
      <c r="AC502" s="12"/>
      <c r="AD502" s="12"/>
      <c r="AE502" s="12"/>
      <c r="AF502" s="12"/>
    </row>
    <row r="503" spans="1:32">
      <c r="A503" s="8"/>
      <c r="B503" s="8"/>
      <c r="C503" s="8"/>
      <c r="D503" s="8"/>
      <c r="E503" s="8"/>
      <c r="F503" s="8"/>
      <c r="G503" s="8"/>
      <c r="H503" s="8"/>
      <c r="I503" s="8"/>
      <c r="J503" s="8"/>
      <c r="K503" s="8"/>
      <c r="L503" s="8"/>
      <c r="M503" s="8"/>
      <c r="N503" s="8"/>
      <c r="O503" s="8"/>
      <c r="P503" s="8"/>
      <c r="Q503" s="8"/>
      <c r="R503" s="8"/>
      <c r="S503" s="8"/>
      <c r="T503" s="8"/>
      <c r="U503" s="12"/>
      <c r="V503" s="12"/>
      <c r="W503" s="12"/>
      <c r="X503" s="12"/>
      <c r="Y503" s="12"/>
      <c r="Z503" s="12"/>
      <c r="AA503" s="12"/>
      <c r="AB503" s="12"/>
      <c r="AC503" s="12"/>
      <c r="AD503" s="12"/>
      <c r="AE503" s="12"/>
      <c r="AF503" s="12"/>
    </row>
    <row r="504" spans="1:32">
      <c r="A504" s="8"/>
      <c r="B504" s="8"/>
      <c r="C504" s="8"/>
      <c r="D504" s="8"/>
      <c r="E504" s="8"/>
      <c r="F504" s="8"/>
      <c r="G504" s="8"/>
      <c r="H504" s="8"/>
      <c r="I504" s="8"/>
      <c r="J504" s="8"/>
      <c r="K504" s="8"/>
      <c r="L504" s="8"/>
      <c r="M504" s="8"/>
      <c r="N504" s="8"/>
      <c r="O504" s="8"/>
      <c r="P504" s="8"/>
      <c r="Q504" s="8"/>
      <c r="R504" s="8"/>
      <c r="S504" s="8"/>
      <c r="T504" s="8"/>
      <c r="U504" s="12"/>
      <c r="V504" s="12"/>
      <c r="W504" s="12"/>
      <c r="X504" s="12"/>
      <c r="Y504" s="12"/>
      <c r="Z504" s="12"/>
      <c r="AA504" s="12"/>
      <c r="AB504" s="12"/>
      <c r="AC504" s="12"/>
      <c r="AD504" s="12"/>
      <c r="AE504" s="12"/>
      <c r="AF504" s="12"/>
    </row>
    <row r="505" spans="1:32">
      <c r="A505" s="8"/>
      <c r="B505" s="8"/>
      <c r="C505" s="8"/>
      <c r="D505" s="8"/>
      <c r="E505" s="8"/>
      <c r="F505" s="8"/>
      <c r="G505" s="8"/>
      <c r="H505" s="8"/>
      <c r="I505" s="8"/>
      <c r="J505" s="8"/>
      <c r="K505" s="8"/>
      <c r="L505" s="8"/>
      <c r="M505" s="8"/>
      <c r="N505" s="8"/>
      <c r="O505" s="8"/>
      <c r="P505" s="8"/>
      <c r="Q505" s="8"/>
      <c r="R505" s="8"/>
      <c r="S505" s="8"/>
      <c r="T505" s="8"/>
      <c r="U505" s="12"/>
      <c r="V505" s="12"/>
      <c r="W505" s="12"/>
      <c r="X505" s="12"/>
      <c r="Y505" s="12"/>
      <c r="Z505" s="12"/>
      <c r="AA505" s="12"/>
      <c r="AB505" s="12"/>
      <c r="AC505" s="12"/>
      <c r="AD505" s="12"/>
      <c r="AE505" s="12"/>
      <c r="AF505" s="12"/>
    </row>
    <row r="506" spans="1:32">
      <c r="A506" s="8"/>
      <c r="B506" s="8"/>
      <c r="C506" s="8"/>
      <c r="D506" s="8"/>
      <c r="E506" s="8"/>
      <c r="F506" s="8"/>
      <c r="G506" s="8"/>
      <c r="H506" s="8"/>
      <c r="I506" s="8"/>
      <c r="J506" s="8"/>
      <c r="K506" s="8"/>
      <c r="L506" s="8"/>
      <c r="M506" s="8"/>
      <c r="N506" s="8"/>
      <c r="O506" s="8"/>
      <c r="P506" s="8"/>
      <c r="Q506" s="8"/>
      <c r="R506" s="8"/>
      <c r="S506" s="8"/>
      <c r="T506" s="8"/>
      <c r="U506" s="12"/>
      <c r="V506" s="12"/>
      <c r="W506" s="12"/>
      <c r="X506" s="12"/>
      <c r="Y506" s="12"/>
      <c r="Z506" s="12"/>
      <c r="AA506" s="12"/>
      <c r="AB506" s="12"/>
      <c r="AC506" s="12"/>
      <c r="AD506" s="12"/>
      <c r="AE506" s="12"/>
      <c r="AF506" s="12"/>
    </row>
    <row r="507" spans="1:32">
      <c r="A507" s="8"/>
      <c r="B507" s="8"/>
      <c r="C507" s="8"/>
      <c r="D507" s="8"/>
      <c r="E507" s="8"/>
      <c r="F507" s="8"/>
      <c r="G507" s="8"/>
      <c r="H507" s="8"/>
      <c r="I507" s="8"/>
      <c r="J507" s="8"/>
      <c r="K507" s="8"/>
      <c r="L507" s="8"/>
      <c r="M507" s="8"/>
      <c r="N507" s="8"/>
      <c r="O507" s="8"/>
      <c r="P507" s="8"/>
      <c r="Q507" s="8"/>
      <c r="R507" s="8"/>
      <c r="S507" s="8"/>
      <c r="T507" s="8"/>
      <c r="U507" s="12"/>
      <c r="V507" s="12"/>
      <c r="W507" s="12"/>
      <c r="X507" s="12"/>
      <c r="Y507" s="12"/>
      <c r="Z507" s="12"/>
      <c r="AA507" s="12"/>
      <c r="AB507" s="12"/>
      <c r="AC507" s="12"/>
      <c r="AD507" s="12"/>
      <c r="AE507" s="12"/>
      <c r="AF507" s="12"/>
    </row>
    <row r="508" spans="1:32">
      <c r="A508" s="8"/>
      <c r="B508" s="8"/>
      <c r="C508" s="8"/>
      <c r="D508" s="8"/>
      <c r="E508" s="8"/>
      <c r="F508" s="8"/>
      <c r="G508" s="8"/>
      <c r="H508" s="8"/>
      <c r="I508" s="8"/>
      <c r="J508" s="8"/>
      <c r="K508" s="8"/>
      <c r="L508" s="8"/>
      <c r="M508" s="8"/>
      <c r="N508" s="8"/>
      <c r="O508" s="8"/>
      <c r="P508" s="8"/>
      <c r="Q508" s="8"/>
      <c r="R508" s="8"/>
      <c r="S508" s="8"/>
      <c r="T508" s="8"/>
      <c r="U508" s="12"/>
      <c r="V508" s="12"/>
      <c r="W508" s="12"/>
      <c r="X508" s="12"/>
      <c r="Y508" s="12"/>
      <c r="Z508" s="12"/>
      <c r="AA508" s="12"/>
      <c r="AB508" s="12"/>
      <c r="AC508" s="12"/>
      <c r="AD508" s="12"/>
      <c r="AE508" s="12"/>
      <c r="AF508" s="12"/>
    </row>
    <row r="509" spans="1:32">
      <c r="A509" s="8"/>
      <c r="B509" s="8"/>
      <c r="C509" s="8"/>
      <c r="D509" s="8"/>
      <c r="E509" s="8"/>
      <c r="F509" s="8"/>
      <c r="G509" s="8"/>
      <c r="H509" s="8"/>
      <c r="I509" s="8"/>
      <c r="J509" s="8"/>
      <c r="K509" s="8"/>
      <c r="L509" s="8"/>
      <c r="M509" s="8"/>
      <c r="N509" s="8"/>
      <c r="O509" s="8"/>
      <c r="P509" s="8"/>
      <c r="Q509" s="8"/>
      <c r="R509" s="8"/>
      <c r="S509" s="8"/>
      <c r="T509" s="8"/>
      <c r="U509" s="12"/>
      <c r="V509" s="12"/>
      <c r="W509" s="12"/>
      <c r="X509" s="12"/>
      <c r="Y509" s="12"/>
      <c r="Z509" s="12"/>
      <c r="AA509" s="12"/>
      <c r="AB509" s="12"/>
      <c r="AC509" s="12"/>
      <c r="AD509" s="12"/>
      <c r="AE509" s="12"/>
      <c r="AF509" s="12"/>
    </row>
    <row r="510" spans="1:32">
      <c r="A510" s="8"/>
      <c r="B510" s="8"/>
      <c r="C510" s="8"/>
      <c r="D510" s="8"/>
      <c r="E510" s="8"/>
      <c r="F510" s="8"/>
      <c r="G510" s="8"/>
      <c r="H510" s="8"/>
      <c r="I510" s="8"/>
      <c r="J510" s="8"/>
      <c r="K510" s="8"/>
      <c r="L510" s="8"/>
      <c r="M510" s="8"/>
      <c r="N510" s="8"/>
      <c r="O510" s="8"/>
      <c r="P510" s="8"/>
      <c r="Q510" s="8"/>
      <c r="R510" s="8"/>
      <c r="S510" s="8"/>
      <c r="T510" s="8"/>
      <c r="U510" s="12"/>
      <c r="V510" s="12"/>
      <c r="W510" s="12"/>
      <c r="X510" s="12"/>
      <c r="Y510" s="12"/>
      <c r="Z510" s="12"/>
      <c r="AA510" s="12"/>
      <c r="AB510" s="12"/>
      <c r="AC510" s="12"/>
      <c r="AD510" s="12"/>
      <c r="AE510" s="12"/>
      <c r="AF510" s="12"/>
    </row>
    <row r="511" spans="1:32">
      <c r="A511" s="8"/>
      <c r="B511" s="8"/>
      <c r="C511" s="8"/>
      <c r="D511" s="8"/>
      <c r="E511" s="8"/>
      <c r="F511" s="8"/>
      <c r="G511" s="8"/>
      <c r="H511" s="8"/>
      <c r="I511" s="8"/>
      <c r="J511" s="8"/>
      <c r="K511" s="8"/>
      <c r="L511" s="8"/>
      <c r="M511" s="8"/>
      <c r="N511" s="8"/>
      <c r="O511" s="8"/>
      <c r="P511" s="8"/>
      <c r="Q511" s="8"/>
      <c r="R511" s="8"/>
      <c r="S511" s="8"/>
      <c r="T511" s="8"/>
      <c r="U511" s="12"/>
      <c r="V511" s="12"/>
      <c r="W511" s="12"/>
      <c r="X511" s="12"/>
      <c r="Y511" s="12"/>
      <c r="Z511" s="12"/>
      <c r="AA511" s="12"/>
      <c r="AB511" s="12"/>
      <c r="AC511" s="12"/>
      <c r="AD511" s="12"/>
      <c r="AE511" s="12"/>
      <c r="AF511" s="12"/>
    </row>
    <row r="512" spans="1:32">
      <c r="A512" s="8"/>
      <c r="B512" s="8"/>
      <c r="C512" s="8"/>
      <c r="D512" s="8"/>
      <c r="E512" s="8"/>
      <c r="F512" s="8"/>
      <c r="G512" s="8"/>
      <c r="H512" s="8"/>
      <c r="I512" s="8"/>
      <c r="J512" s="8"/>
      <c r="K512" s="8"/>
      <c r="L512" s="8"/>
      <c r="M512" s="8"/>
      <c r="N512" s="8"/>
      <c r="O512" s="8"/>
      <c r="P512" s="8"/>
      <c r="Q512" s="8"/>
      <c r="R512" s="8"/>
      <c r="S512" s="8"/>
      <c r="T512" s="8"/>
      <c r="U512" s="12"/>
      <c r="V512" s="12"/>
      <c r="W512" s="12"/>
      <c r="X512" s="12"/>
      <c r="Y512" s="12"/>
      <c r="Z512" s="12"/>
      <c r="AA512" s="12"/>
      <c r="AB512" s="12"/>
      <c r="AC512" s="12"/>
      <c r="AD512" s="12"/>
      <c r="AE512" s="12"/>
      <c r="AF512" s="12"/>
    </row>
    <row r="513" spans="1:32">
      <c r="A513" s="8"/>
      <c r="B513" s="8"/>
      <c r="C513" s="8"/>
      <c r="D513" s="8"/>
      <c r="E513" s="8"/>
      <c r="F513" s="8"/>
      <c r="G513" s="8"/>
      <c r="H513" s="8"/>
      <c r="I513" s="8"/>
      <c r="J513" s="8"/>
      <c r="K513" s="8"/>
      <c r="L513" s="8"/>
      <c r="M513" s="8"/>
      <c r="N513" s="8"/>
      <c r="O513" s="8"/>
      <c r="P513" s="8"/>
      <c r="Q513" s="8"/>
      <c r="R513" s="8"/>
      <c r="S513" s="8"/>
      <c r="T513" s="8"/>
      <c r="U513" s="12"/>
      <c r="V513" s="12"/>
      <c r="W513" s="12"/>
      <c r="X513" s="12"/>
      <c r="Y513" s="12"/>
      <c r="Z513" s="12"/>
      <c r="AA513" s="12"/>
      <c r="AB513" s="12"/>
      <c r="AC513" s="12"/>
      <c r="AD513" s="12"/>
      <c r="AE513" s="12"/>
      <c r="AF513" s="12"/>
    </row>
    <row r="514" spans="1:32">
      <c r="A514" s="8"/>
      <c r="B514" s="8"/>
      <c r="C514" s="8"/>
      <c r="D514" s="8"/>
      <c r="E514" s="8"/>
      <c r="F514" s="8"/>
      <c r="G514" s="8"/>
      <c r="H514" s="8"/>
      <c r="I514" s="8"/>
      <c r="J514" s="8"/>
      <c r="K514" s="8"/>
      <c r="L514" s="8"/>
      <c r="M514" s="8"/>
      <c r="N514" s="8"/>
      <c r="O514" s="8"/>
      <c r="P514" s="8"/>
      <c r="Q514" s="8"/>
      <c r="R514" s="8"/>
      <c r="S514" s="8"/>
      <c r="T514" s="8"/>
      <c r="U514" s="12"/>
      <c r="V514" s="12"/>
      <c r="W514" s="12"/>
      <c r="X514" s="12"/>
      <c r="Y514" s="12"/>
      <c r="Z514" s="12"/>
      <c r="AA514" s="12"/>
      <c r="AB514" s="12"/>
      <c r="AC514" s="12"/>
      <c r="AD514" s="12"/>
      <c r="AE514" s="12"/>
      <c r="AF514" s="12"/>
    </row>
    <row r="515" spans="1:32">
      <c r="A515" s="8"/>
      <c r="B515" s="8"/>
      <c r="C515" s="8"/>
      <c r="D515" s="8"/>
      <c r="E515" s="8"/>
      <c r="F515" s="8"/>
      <c r="G515" s="8"/>
      <c r="H515" s="8"/>
      <c r="I515" s="8"/>
      <c r="J515" s="8"/>
      <c r="K515" s="8"/>
      <c r="L515" s="8"/>
      <c r="M515" s="8"/>
      <c r="N515" s="8"/>
      <c r="O515" s="8"/>
      <c r="P515" s="8"/>
      <c r="Q515" s="8"/>
      <c r="R515" s="8"/>
      <c r="S515" s="8"/>
      <c r="T515" s="8"/>
      <c r="U515" s="12"/>
      <c r="V515" s="12"/>
      <c r="W515" s="12"/>
      <c r="X515" s="12"/>
      <c r="Y515" s="12"/>
      <c r="Z515" s="12"/>
      <c r="AA515" s="12"/>
      <c r="AB515" s="12"/>
      <c r="AC515" s="12"/>
      <c r="AD515" s="12"/>
      <c r="AE515" s="12"/>
      <c r="AF515" s="12"/>
    </row>
    <row r="516" spans="1:32">
      <c r="A516" s="8"/>
      <c r="B516" s="8"/>
      <c r="C516" s="8"/>
      <c r="D516" s="8"/>
      <c r="E516" s="8"/>
      <c r="F516" s="8"/>
      <c r="G516" s="8"/>
      <c r="H516" s="8"/>
      <c r="I516" s="8"/>
      <c r="J516" s="8"/>
      <c r="K516" s="8"/>
      <c r="L516" s="8"/>
      <c r="M516" s="8"/>
      <c r="N516" s="8"/>
      <c r="O516" s="8"/>
      <c r="P516" s="8"/>
      <c r="Q516" s="8"/>
      <c r="R516" s="8"/>
      <c r="S516" s="8"/>
      <c r="T516" s="8"/>
      <c r="U516" s="12"/>
      <c r="V516" s="12"/>
      <c r="W516" s="12"/>
      <c r="X516" s="12"/>
      <c r="Y516" s="12"/>
      <c r="Z516" s="12"/>
      <c r="AA516" s="12"/>
      <c r="AB516" s="12"/>
      <c r="AC516" s="12"/>
      <c r="AD516" s="12"/>
      <c r="AE516" s="12"/>
      <c r="AF516" s="12"/>
    </row>
    <row r="517" spans="1:32">
      <c r="A517" s="8"/>
      <c r="B517" s="8"/>
      <c r="C517" s="8"/>
      <c r="D517" s="8"/>
      <c r="E517" s="8"/>
      <c r="F517" s="8"/>
      <c r="G517" s="8"/>
      <c r="H517" s="8"/>
      <c r="I517" s="8"/>
      <c r="J517" s="8"/>
      <c r="K517" s="8"/>
      <c r="L517" s="8"/>
      <c r="M517" s="8"/>
      <c r="N517" s="8"/>
      <c r="O517" s="8"/>
      <c r="P517" s="8"/>
      <c r="Q517" s="8"/>
      <c r="R517" s="8"/>
      <c r="S517" s="8"/>
      <c r="T517" s="8"/>
      <c r="U517" s="12"/>
      <c r="V517" s="12"/>
      <c r="W517" s="12"/>
      <c r="X517" s="12"/>
      <c r="Y517" s="12"/>
      <c r="Z517" s="12"/>
      <c r="AA517" s="12"/>
      <c r="AB517" s="12"/>
      <c r="AC517" s="12"/>
      <c r="AD517" s="12"/>
      <c r="AE517" s="12"/>
      <c r="AF517" s="12"/>
    </row>
    <row r="518" spans="1:32">
      <c r="A518" s="8"/>
      <c r="B518" s="8"/>
      <c r="C518" s="8"/>
      <c r="D518" s="8"/>
      <c r="E518" s="8"/>
      <c r="F518" s="8"/>
      <c r="G518" s="8"/>
      <c r="H518" s="8"/>
      <c r="I518" s="8"/>
      <c r="J518" s="8"/>
      <c r="K518" s="8"/>
      <c r="L518" s="8"/>
      <c r="M518" s="8"/>
      <c r="N518" s="8"/>
      <c r="O518" s="8"/>
      <c r="P518" s="8"/>
      <c r="Q518" s="8"/>
      <c r="R518" s="8"/>
      <c r="S518" s="8"/>
      <c r="T518" s="8"/>
      <c r="U518" s="12"/>
      <c r="V518" s="12"/>
      <c r="W518" s="12"/>
      <c r="X518" s="12"/>
      <c r="Y518" s="12"/>
      <c r="Z518" s="12"/>
      <c r="AA518" s="12"/>
      <c r="AB518" s="12"/>
      <c r="AC518" s="12"/>
      <c r="AD518" s="12"/>
      <c r="AE518" s="12"/>
      <c r="AF518" s="12"/>
    </row>
    <row r="519" spans="1:32">
      <c r="A519" s="8"/>
      <c r="B519" s="8"/>
      <c r="C519" s="8"/>
      <c r="D519" s="8"/>
      <c r="E519" s="8"/>
      <c r="F519" s="8"/>
      <c r="G519" s="8"/>
      <c r="H519" s="8"/>
      <c r="I519" s="8"/>
      <c r="J519" s="8"/>
      <c r="K519" s="8"/>
      <c r="L519" s="8"/>
      <c r="M519" s="8"/>
      <c r="N519" s="8"/>
      <c r="O519" s="8"/>
      <c r="P519" s="8"/>
      <c r="Q519" s="8"/>
      <c r="R519" s="8"/>
      <c r="S519" s="8"/>
      <c r="T519" s="8"/>
      <c r="U519" s="12"/>
      <c r="V519" s="12"/>
      <c r="W519" s="12"/>
      <c r="X519" s="12"/>
      <c r="Y519" s="12"/>
      <c r="Z519" s="12"/>
      <c r="AA519" s="12"/>
      <c r="AB519" s="12"/>
      <c r="AC519" s="12"/>
      <c r="AD519" s="12"/>
      <c r="AE519" s="12"/>
      <c r="AF519" s="12"/>
    </row>
    <row r="520" spans="1:32">
      <c r="A520" s="8"/>
      <c r="B520" s="8"/>
      <c r="C520" s="8"/>
      <c r="D520" s="8"/>
      <c r="E520" s="8"/>
      <c r="F520" s="8"/>
      <c r="G520" s="8"/>
      <c r="H520" s="8"/>
      <c r="I520" s="8"/>
      <c r="J520" s="8"/>
      <c r="K520" s="8"/>
      <c r="L520" s="8"/>
      <c r="M520" s="8"/>
      <c r="N520" s="8"/>
      <c r="O520" s="8"/>
      <c r="P520" s="8"/>
      <c r="Q520" s="8"/>
      <c r="R520" s="8"/>
      <c r="S520" s="8"/>
      <c r="T520" s="8"/>
      <c r="U520" s="12"/>
      <c r="V520" s="12"/>
      <c r="W520" s="12"/>
      <c r="X520" s="12"/>
      <c r="Y520" s="12"/>
      <c r="Z520" s="12"/>
      <c r="AA520" s="12"/>
      <c r="AB520" s="12"/>
      <c r="AC520" s="12"/>
      <c r="AD520" s="12"/>
      <c r="AE520" s="12"/>
      <c r="AF520" s="12"/>
    </row>
    <row r="521" spans="1:32">
      <c r="A521" s="8"/>
      <c r="B521" s="8"/>
      <c r="C521" s="8"/>
      <c r="D521" s="8"/>
      <c r="E521" s="8"/>
      <c r="F521" s="8"/>
      <c r="G521" s="8"/>
      <c r="H521" s="8"/>
      <c r="I521" s="8"/>
      <c r="J521" s="8"/>
      <c r="K521" s="8"/>
      <c r="L521" s="8"/>
      <c r="M521" s="8"/>
      <c r="N521" s="8"/>
      <c r="O521" s="8"/>
      <c r="P521" s="8"/>
      <c r="Q521" s="8"/>
      <c r="R521" s="8"/>
      <c r="S521" s="8"/>
      <c r="T521" s="8"/>
      <c r="U521" s="12"/>
      <c r="V521" s="12"/>
      <c r="W521" s="12"/>
      <c r="X521" s="12"/>
      <c r="Y521" s="12"/>
      <c r="Z521" s="12"/>
      <c r="AA521" s="12"/>
      <c r="AB521" s="12"/>
      <c r="AC521" s="12"/>
      <c r="AD521" s="12"/>
      <c r="AE521" s="12"/>
      <c r="AF521" s="12"/>
    </row>
    <row r="522" spans="1:32">
      <c r="A522" s="8"/>
      <c r="B522" s="8"/>
      <c r="C522" s="8"/>
      <c r="D522" s="8"/>
      <c r="E522" s="8"/>
      <c r="F522" s="8"/>
      <c r="G522" s="8"/>
      <c r="H522" s="8"/>
      <c r="I522" s="8"/>
      <c r="J522" s="8"/>
      <c r="K522" s="8"/>
      <c r="L522" s="8"/>
      <c r="M522" s="8"/>
      <c r="N522" s="8"/>
      <c r="O522" s="8"/>
      <c r="P522" s="8"/>
      <c r="Q522" s="8"/>
      <c r="R522" s="8"/>
      <c r="S522" s="8"/>
      <c r="T522" s="8"/>
      <c r="U522" s="12"/>
      <c r="V522" s="12"/>
      <c r="W522" s="12"/>
      <c r="X522" s="12"/>
      <c r="Y522" s="12"/>
      <c r="Z522" s="12"/>
      <c r="AA522" s="12"/>
      <c r="AB522" s="12"/>
      <c r="AC522" s="12"/>
      <c r="AD522" s="12"/>
      <c r="AE522" s="12"/>
      <c r="AF522" s="12"/>
    </row>
    <row r="523" spans="1:32">
      <c r="A523" s="8"/>
      <c r="B523" s="8"/>
      <c r="C523" s="8"/>
      <c r="D523" s="8"/>
      <c r="E523" s="8"/>
      <c r="F523" s="8"/>
      <c r="G523" s="8"/>
      <c r="H523" s="8"/>
      <c r="I523" s="8"/>
      <c r="J523" s="8"/>
      <c r="K523" s="8"/>
      <c r="L523" s="8"/>
      <c r="M523" s="8"/>
      <c r="N523" s="8"/>
      <c r="O523" s="8"/>
      <c r="P523" s="8"/>
      <c r="Q523" s="8"/>
      <c r="R523" s="8"/>
      <c r="S523" s="8"/>
      <c r="T523" s="8"/>
      <c r="U523" s="12"/>
      <c r="V523" s="12"/>
      <c r="W523" s="12"/>
      <c r="X523" s="12"/>
      <c r="Y523" s="12"/>
      <c r="Z523" s="12"/>
      <c r="AA523" s="12"/>
      <c r="AB523" s="12"/>
      <c r="AC523" s="12"/>
      <c r="AD523" s="12"/>
      <c r="AE523" s="12"/>
      <c r="AF523" s="12"/>
    </row>
    <row r="524" spans="1:32">
      <c r="A524" s="8"/>
      <c r="B524" s="8"/>
      <c r="C524" s="8"/>
      <c r="D524" s="8"/>
      <c r="E524" s="8"/>
      <c r="F524" s="8"/>
      <c r="G524" s="8"/>
      <c r="H524" s="8"/>
      <c r="I524" s="8"/>
      <c r="J524" s="8"/>
      <c r="K524" s="8"/>
      <c r="L524" s="8"/>
      <c r="M524" s="8"/>
      <c r="N524" s="8"/>
      <c r="O524" s="8"/>
      <c r="P524" s="8"/>
      <c r="Q524" s="8"/>
      <c r="R524" s="8"/>
      <c r="S524" s="8"/>
      <c r="T524" s="8"/>
      <c r="U524" s="12"/>
      <c r="V524" s="12"/>
      <c r="W524" s="12"/>
      <c r="X524" s="12"/>
      <c r="Y524" s="12"/>
      <c r="Z524" s="12"/>
      <c r="AA524" s="12"/>
      <c r="AB524" s="12"/>
      <c r="AC524" s="12"/>
      <c r="AD524" s="12"/>
      <c r="AE524" s="12"/>
      <c r="AF524" s="12"/>
    </row>
    <row r="525" spans="1:32">
      <c r="A525" s="8"/>
      <c r="B525" s="8"/>
      <c r="C525" s="8"/>
      <c r="D525" s="8"/>
      <c r="E525" s="8"/>
      <c r="F525" s="8"/>
      <c r="G525" s="8"/>
      <c r="H525" s="8"/>
      <c r="I525" s="8"/>
      <c r="J525" s="8"/>
      <c r="K525" s="8"/>
      <c r="L525" s="8"/>
      <c r="M525" s="8"/>
      <c r="N525" s="8"/>
      <c r="O525" s="8"/>
      <c r="P525" s="8"/>
      <c r="Q525" s="8"/>
      <c r="R525" s="8"/>
      <c r="S525" s="8"/>
      <c r="T525" s="8"/>
      <c r="U525" s="12"/>
      <c r="V525" s="12"/>
      <c r="W525" s="12"/>
      <c r="X525" s="12"/>
      <c r="Y525" s="12"/>
      <c r="Z525" s="12"/>
      <c r="AA525" s="12"/>
      <c r="AB525" s="12"/>
      <c r="AC525" s="12"/>
      <c r="AD525" s="12"/>
      <c r="AE525" s="12"/>
      <c r="AF525" s="12"/>
    </row>
    <row r="526" spans="1:32">
      <c r="A526" s="8"/>
      <c r="B526" s="8"/>
      <c r="C526" s="8"/>
      <c r="D526" s="8"/>
      <c r="E526" s="8"/>
      <c r="F526" s="8"/>
      <c r="G526" s="8"/>
      <c r="H526" s="8"/>
      <c r="I526" s="8"/>
      <c r="J526" s="8"/>
      <c r="K526" s="8"/>
      <c r="L526" s="8"/>
      <c r="M526" s="8"/>
      <c r="N526" s="8"/>
      <c r="O526" s="8"/>
      <c r="P526" s="8"/>
      <c r="Q526" s="8"/>
      <c r="R526" s="8"/>
      <c r="S526" s="8"/>
      <c r="T526" s="8"/>
      <c r="U526" s="12"/>
      <c r="V526" s="12"/>
      <c r="W526" s="12"/>
      <c r="X526" s="12"/>
      <c r="Y526" s="12"/>
      <c r="Z526" s="12"/>
      <c r="AA526" s="12"/>
      <c r="AB526" s="12"/>
      <c r="AC526" s="12"/>
      <c r="AD526" s="12"/>
      <c r="AE526" s="12"/>
      <c r="AF526" s="12"/>
    </row>
    <row r="527" spans="1:32">
      <c r="A527" s="8"/>
      <c r="B527" s="8"/>
      <c r="C527" s="8"/>
      <c r="D527" s="8"/>
      <c r="E527" s="8"/>
      <c r="F527" s="8"/>
      <c r="G527" s="8"/>
      <c r="H527" s="8"/>
      <c r="I527" s="8"/>
      <c r="J527" s="8"/>
      <c r="K527" s="8"/>
      <c r="L527" s="8"/>
      <c r="M527" s="8"/>
      <c r="N527" s="8"/>
      <c r="O527" s="8"/>
      <c r="P527" s="8"/>
      <c r="Q527" s="8"/>
      <c r="R527" s="8"/>
      <c r="S527" s="8"/>
      <c r="T527" s="8"/>
      <c r="U527" s="12"/>
      <c r="V527" s="12"/>
      <c r="W527" s="12"/>
      <c r="X527" s="12"/>
      <c r="Y527" s="12"/>
      <c r="Z527" s="12"/>
      <c r="AA527" s="12"/>
      <c r="AB527" s="12"/>
      <c r="AC527" s="12"/>
      <c r="AD527" s="12"/>
      <c r="AE527" s="12"/>
      <c r="AF527" s="12"/>
    </row>
    <row r="528" spans="1:32">
      <c r="A528" s="8"/>
      <c r="B528" s="8"/>
      <c r="C528" s="8"/>
      <c r="D528" s="8"/>
      <c r="E528" s="8"/>
      <c r="F528" s="8"/>
      <c r="G528" s="8"/>
      <c r="H528" s="8"/>
      <c r="I528" s="8"/>
      <c r="J528" s="8"/>
      <c r="K528" s="8"/>
      <c r="L528" s="8"/>
      <c r="M528" s="8"/>
      <c r="N528" s="8"/>
      <c r="O528" s="8"/>
      <c r="P528" s="8"/>
      <c r="Q528" s="8"/>
      <c r="R528" s="8"/>
      <c r="S528" s="8"/>
      <c r="T528" s="8"/>
      <c r="U528" s="12"/>
      <c r="V528" s="12"/>
      <c r="W528" s="12"/>
      <c r="X528" s="12"/>
      <c r="Y528" s="12"/>
      <c r="Z528" s="12"/>
      <c r="AA528" s="12"/>
      <c r="AB528" s="12"/>
      <c r="AC528" s="12"/>
      <c r="AD528" s="12"/>
      <c r="AE528" s="12"/>
      <c r="AF528" s="12"/>
    </row>
    <row r="529" spans="1:32">
      <c r="A529" s="8"/>
      <c r="B529" s="8"/>
      <c r="C529" s="8"/>
      <c r="D529" s="8"/>
      <c r="E529" s="8"/>
      <c r="F529" s="8"/>
      <c r="G529" s="8"/>
      <c r="H529" s="8"/>
      <c r="I529" s="8"/>
      <c r="J529" s="8"/>
      <c r="K529" s="8"/>
      <c r="L529" s="8"/>
      <c r="M529" s="8"/>
      <c r="N529" s="8"/>
      <c r="O529" s="8"/>
      <c r="P529" s="8"/>
      <c r="Q529" s="8"/>
      <c r="R529" s="8"/>
      <c r="S529" s="8"/>
      <c r="T529" s="8"/>
      <c r="U529" s="12"/>
      <c r="V529" s="12"/>
      <c r="W529" s="12"/>
      <c r="X529" s="12"/>
      <c r="Y529" s="12"/>
      <c r="Z529" s="12"/>
      <c r="AA529" s="12"/>
      <c r="AB529" s="12"/>
      <c r="AC529" s="12"/>
      <c r="AD529" s="12"/>
      <c r="AE529" s="12"/>
      <c r="AF529" s="12"/>
    </row>
    <row r="530" spans="1:32">
      <c r="A530" s="8"/>
      <c r="B530" s="8"/>
      <c r="C530" s="8"/>
      <c r="D530" s="8"/>
      <c r="E530" s="8"/>
      <c r="F530" s="8"/>
      <c r="G530" s="8"/>
      <c r="H530" s="8"/>
      <c r="I530" s="8"/>
      <c r="J530" s="8"/>
      <c r="K530" s="8"/>
      <c r="L530" s="8"/>
      <c r="M530" s="8"/>
      <c r="N530" s="8"/>
      <c r="O530" s="8"/>
      <c r="P530" s="8"/>
      <c r="Q530" s="8"/>
      <c r="R530" s="8"/>
      <c r="S530" s="8"/>
      <c r="T530" s="8"/>
      <c r="U530" s="12"/>
      <c r="V530" s="12"/>
      <c r="W530" s="12"/>
      <c r="X530" s="12"/>
      <c r="Y530" s="12"/>
      <c r="Z530" s="12"/>
      <c r="AA530" s="12"/>
      <c r="AB530" s="12"/>
      <c r="AC530" s="12"/>
      <c r="AD530" s="12"/>
      <c r="AE530" s="12"/>
      <c r="AF530" s="12"/>
    </row>
    <row r="531" spans="1:32">
      <c r="A531" s="8"/>
      <c r="B531" s="8"/>
      <c r="C531" s="8"/>
      <c r="D531" s="8"/>
      <c r="E531" s="8"/>
      <c r="F531" s="8"/>
      <c r="G531" s="8"/>
      <c r="H531" s="8"/>
      <c r="I531" s="8"/>
      <c r="J531" s="8"/>
      <c r="K531" s="8"/>
      <c r="L531" s="8"/>
      <c r="M531" s="8"/>
      <c r="N531" s="8"/>
      <c r="O531" s="8"/>
      <c r="P531" s="8"/>
      <c r="Q531" s="8"/>
      <c r="R531" s="8"/>
      <c r="S531" s="8"/>
      <c r="T531" s="8"/>
      <c r="U531" s="12"/>
      <c r="V531" s="12"/>
      <c r="W531" s="12"/>
      <c r="X531" s="12"/>
      <c r="Y531" s="12"/>
      <c r="Z531" s="12"/>
      <c r="AA531" s="12"/>
      <c r="AB531" s="12"/>
      <c r="AC531" s="12"/>
      <c r="AD531" s="12"/>
      <c r="AE531" s="12"/>
      <c r="AF531" s="12"/>
    </row>
    <row r="532" spans="1:32">
      <c r="A532" s="8"/>
      <c r="B532" s="8"/>
      <c r="C532" s="8"/>
      <c r="D532" s="8"/>
      <c r="E532" s="8"/>
      <c r="F532" s="8"/>
      <c r="G532" s="8"/>
      <c r="H532" s="8"/>
      <c r="I532" s="8"/>
      <c r="J532" s="8"/>
      <c r="K532" s="8"/>
      <c r="L532" s="8"/>
      <c r="M532" s="8"/>
      <c r="N532" s="8"/>
      <c r="O532" s="8"/>
      <c r="P532" s="8"/>
      <c r="Q532" s="8"/>
      <c r="R532" s="8"/>
      <c r="S532" s="8"/>
      <c r="T532" s="8"/>
      <c r="U532" s="12"/>
      <c r="V532" s="12"/>
      <c r="W532" s="12"/>
      <c r="X532" s="12"/>
      <c r="Y532" s="12"/>
      <c r="Z532" s="12"/>
      <c r="AA532" s="12"/>
      <c r="AB532" s="12"/>
      <c r="AC532" s="12"/>
      <c r="AD532" s="12"/>
      <c r="AE532" s="12"/>
      <c r="AF532" s="12"/>
    </row>
    <row r="533" spans="1:32">
      <c r="A533" s="8"/>
      <c r="B533" s="8"/>
      <c r="C533" s="8"/>
      <c r="D533" s="8"/>
      <c r="E533" s="8"/>
      <c r="F533" s="8"/>
      <c r="G533" s="8"/>
      <c r="H533" s="8"/>
      <c r="I533" s="8"/>
      <c r="J533" s="8"/>
      <c r="K533" s="8"/>
      <c r="L533" s="8"/>
      <c r="M533" s="8"/>
      <c r="N533" s="8"/>
      <c r="O533" s="8"/>
      <c r="P533" s="8"/>
      <c r="Q533" s="8"/>
      <c r="R533" s="8"/>
      <c r="S533" s="8"/>
      <c r="T533" s="8"/>
      <c r="U533" s="12"/>
      <c r="V533" s="12"/>
      <c r="W533" s="12"/>
      <c r="X533" s="12"/>
      <c r="Y533" s="12"/>
      <c r="Z533" s="12"/>
      <c r="AA533" s="12"/>
      <c r="AB533" s="12"/>
      <c r="AC533" s="12"/>
      <c r="AD533" s="12"/>
      <c r="AE533" s="12"/>
      <c r="AF533" s="12"/>
    </row>
    <row r="534" spans="1:32">
      <c r="A534" s="8"/>
      <c r="B534" s="8"/>
      <c r="C534" s="8"/>
      <c r="D534" s="8"/>
      <c r="E534" s="8"/>
      <c r="F534" s="8"/>
      <c r="G534" s="8"/>
      <c r="H534" s="8"/>
      <c r="I534" s="8"/>
      <c r="J534" s="8"/>
      <c r="K534" s="8"/>
      <c r="L534" s="8"/>
      <c r="M534" s="8"/>
      <c r="N534" s="8"/>
      <c r="O534" s="8"/>
      <c r="P534" s="8"/>
      <c r="Q534" s="8"/>
      <c r="R534" s="8"/>
      <c r="S534" s="8"/>
      <c r="T534" s="8"/>
      <c r="U534" s="12"/>
      <c r="V534" s="12"/>
      <c r="W534" s="12"/>
      <c r="X534" s="12"/>
      <c r="Y534" s="12"/>
      <c r="Z534" s="12"/>
      <c r="AA534" s="12"/>
      <c r="AB534" s="12"/>
      <c r="AC534" s="12"/>
      <c r="AD534" s="12"/>
      <c r="AE534" s="12"/>
      <c r="AF534" s="12"/>
    </row>
    <row r="535" spans="1:32">
      <c r="A535" s="8"/>
      <c r="B535" s="8"/>
      <c r="C535" s="8"/>
      <c r="D535" s="8"/>
      <c r="E535" s="8"/>
      <c r="F535" s="8"/>
      <c r="G535" s="8"/>
      <c r="H535" s="8"/>
      <c r="I535" s="8"/>
      <c r="J535" s="8"/>
      <c r="K535" s="8"/>
      <c r="L535" s="8"/>
      <c r="M535" s="8"/>
      <c r="N535" s="8"/>
      <c r="O535" s="8"/>
      <c r="P535" s="8"/>
      <c r="Q535" s="8"/>
      <c r="R535" s="8"/>
      <c r="S535" s="8"/>
      <c r="T535" s="8"/>
      <c r="U535" s="12"/>
      <c r="V535" s="12"/>
      <c r="W535" s="12"/>
      <c r="X535" s="12"/>
      <c r="Y535" s="12"/>
      <c r="Z535" s="12"/>
      <c r="AA535" s="12"/>
      <c r="AB535" s="12"/>
      <c r="AC535" s="12"/>
      <c r="AD535" s="12"/>
      <c r="AE535" s="12"/>
      <c r="AF535" s="12"/>
    </row>
    <row r="536" spans="1:32">
      <c r="A536" s="8"/>
      <c r="B536" s="8"/>
      <c r="C536" s="8"/>
      <c r="D536" s="8"/>
      <c r="E536" s="8"/>
      <c r="F536" s="8"/>
      <c r="G536" s="8"/>
      <c r="H536" s="8"/>
      <c r="I536" s="8"/>
      <c r="J536" s="8"/>
      <c r="K536" s="8"/>
      <c r="L536" s="8"/>
      <c r="M536" s="8"/>
      <c r="N536" s="8"/>
      <c r="O536" s="8"/>
      <c r="P536" s="8"/>
      <c r="Q536" s="8"/>
      <c r="R536" s="8"/>
      <c r="S536" s="8"/>
      <c r="T536" s="8"/>
      <c r="U536" s="12"/>
      <c r="V536" s="12"/>
      <c r="W536" s="12"/>
      <c r="X536" s="12"/>
      <c r="Y536" s="12"/>
      <c r="Z536" s="12"/>
      <c r="AA536" s="12"/>
      <c r="AB536" s="12"/>
      <c r="AC536" s="12"/>
      <c r="AD536" s="12"/>
      <c r="AE536" s="12"/>
      <c r="AF536" s="12"/>
    </row>
    <row r="537" spans="1:32">
      <c r="A537" s="8"/>
      <c r="B537" s="8"/>
      <c r="C537" s="8"/>
      <c r="D537" s="8"/>
      <c r="E537" s="8"/>
      <c r="F537" s="8"/>
      <c r="G537" s="8"/>
      <c r="H537" s="8"/>
      <c r="I537" s="8"/>
      <c r="J537" s="8"/>
      <c r="K537" s="8"/>
      <c r="L537" s="8"/>
      <c r="M537" s="8"/>
      <c r="N537" s="8"/>
      <c r="O537" s="8"/>
      <c r="P537" s="8"/>
      <c r="Q537" s="8"/>
      <c r="R537" s="8"/>
      <c r="S537" s="8"/>
      <c r="T537" s="8"/>
      <c r="U537" s="12"/>
      <c r="V537" s="12"/>
      <c r="W537" s="12"/>
      <c r="X537" s="12"/>
      <c r="Y537" s="12"/>
      <c r="Z537" s="12"/>
      <c r="AA537" s="12"/>
      <c r="AB537" s="12"/>
      <c r="AC537" s="12"/>
      <c r="AD537" s="12"/>
      <c r="AE537" s="12"/>
      <c r="AF537" s="12"/>
    </row>
    <row r="538" spans="1:32">
      <c r="A538" s="8"/>
      <c r="B538" s="8"/>
      <c r="C538" s="8"/>
      <c r="D538" s="8"/>
      <c r="E538" s="8"/>
      <c r="F538" s="8"/>
      <c r="G538" s="8"/>
      <c r="H538" s="8"/>
      <c r="I538" s="8"/>
      <c r="J538" s="8"/>
      <c r="K538" s="8"/>
      <c r="L538" s="8"/>
      <c r="M538" s="8"/>
      <c r="N538" s="8"/>
      <c r="O538" s="8"/>
      <c r="P538" s="8"/>
      <c r="Q538" s="8"/>
      <c r="R538" s="8"/>
      <c r="S538" s="8"/>
      <c r="T538" s="8"/>
      <c r="U538" s="12"/>
      <c r="V538" s="12"/>
      <c r="W538" s="12"/>
      <c r="X538" s="12"/>
      <c r="Y538" s="12"/>
      <c r="Z538" s="12"/>
      <c r="AA538" s="12"/>
      <c r="AB538" s="12"/>
      <c r="AC538" s="12"/>
      <c r="AD538" s="12"/>
      <c r="AE538" s="12"/>
      <c r="AF538" s="12"/>
    </row>
    <row r="539" spans="1:32">
      <c r="A539" s="8"/>
      <c r="B539" s="8"/>
      <c r="C539" s="8"/>
      <c r="D539" s="8"/>
      <c r="E539" s="8"/>
      <c r="F539" s="8"/>
      <c r="G539" s="8"/>
      <c r="H539" s="8"/>
      <c r="I539" s="8"/>
      <c r="J539" s="8"/>
      <c r="K539" s="8"/>
      <c r="L539" s="8"/>
      <c r="M539" s="8"/>
      <c r="N539" s="8"/>
      <c r="O539" s="8"/>
      <c r="P539" s="8"/>
      <c r="Q539" s="8"/>
      <c r="R539" s="8"/>
      <c r="S539" s="8"/>
      <c r="T539" s="8"/>
      <c r="U539" s="12"/>
      <c r="V539" s="12"/>
      <c r="W539" s="12"/>
      <c r="X539" s="12"/>
      <c r="Y539" s="12"/>
      <c r="Z539" s="12"/>
      <c r="AA539" s="12"/>
      <c r="AB539" s="12"/>
      <c r="AC539" s="12"/>
      <c r="AD539" s="12"/>
      <c r="AE539" s="12"/>
      <c r="AF539" s="12"/>
    </row>
    <row r="540" spans="1:32">
      <c r="A540" s="8"/>
      <c r="B540" s="8"/>
      <c r="C540" s="8"/>
      <c r="D540" s="8"/>
      <c r="E540" s="8"/>
      <c r="F540" s="8"/>
      <c r="G540" s="8"/>
      <c r="H540" s="8"/>
      <c r="I540" s="8"/>
      <c r="J540" s="8"/>
      <c r="K540" s="8"/>
      <c r="L540" s="8"/>
      <c r="M540" s="8"/>
      <c r="N540" s="8"/>
      <c r="O540" s="8"/>
      <c r="P540" s="8"/>
      <c r="Q540" s="8"/>
      <c r="R540" s="8"/>
      <c r="S540" s="8"/>
      <c r="T540" s="8"/>
      <c r="U540" s="12"/>
      <c r="V540" s="12"/>
      <c r="W540" s="12"/>
      <c r="X540" s="12"/>
      <c r="Y540" s="12"/>
      <c r="Z540" s="12"/>
      <c r="AA540" s="12"/>
      <c r="AB540" s="12"/>
      <c r="AC540" s="12"/>
      <c r="AD540" s="12"/>
      <c r="AE540" s="12"/>
      <c r="AF540" s="12"/>
    </row>
    <row r="541" spans="1:32">
      <c r="A541" s="8"/>
      <c r="B541" s="8"/>
      <c r="C541" s="8"/>
      <c r="D541" s="8"/>
      <c r="E541" s="8"/>
      <c r="F541" s="8"/>
      <c r="G541" s="8"/>
      <c r="H541" s="8"/>
      <c r="I541" s="8"/>
      <c r="J541" s="8"/>
      <c r="K541" s="8"/>
      <c r="L541" s="8"/>
      <c r="M541" s="8"/>
      <c r="N541" s="8"/>
      <c r="O541" s="8"/>
      <c r="P541" s="8"/>
      <c r="Q541" s="8"/>
      <c r="R541" s="8"/>
      <c r="S541" s="8"/>
      <c r="T541" s="8"/>
      <c r="U541" s="12"/>
      <c r="V541" s="12"/>
      <c r="W541" s="12"/>
      <c r="X541" s="12"/>
      <c r="Y541" s="12"/>
      <c r="Z541" s="12"/>
      <c r="AA541" s="12"/>
      <c r="AB541" s="12"/>
      <c r="AC541" s="12"/>
      <c r="AD541" s="12"/>
      <c r="AE541" s="12"/>
      <c r="AF541" s="12"/>
    </row>
    <row r="542" spans="1:32">
      <c r="A542" s="8"/>
      <c r="B542" s="8"/>
      <c r="C542" s="8"/>
      <c r="D542" s="8"/>
      <c r="E542" s="8"/>
      <c r="F542" s="8"/>
      <c r="G542" s="8"/>
      <c r="H542" s="8"/>
      <c r="I542" s="8"/>
      <c r="J542" s="8"/>
      <c r="K542" s="8"/>
      <c r="L542" s="8"/>
      <c r="M542" s="8"/>
      <c r="N542" s="8"/>
      <c r="O542" s="8"/>
      <c r="P542" s="8"/>
      <c r="Q542" s="8"/>
      <c r="R542" s="8"/>
      <c r="S542" s="8"/>
      <c r="T542" s="8"/>
      <c r="U542" s="12"/>
      <c r="V542" s="12"/>
      <c r="W542" s="12"/>
      <c r="X542" s="12"/>
      <c r="Y542" s="12"/>
      <c r="Z542" s="12"/>
      <c r="AA542" s="12"/>
      <c r="AB542" s="12"/>
      <c r="AC542" s="12"/>
      <c r="AD542" s="12"/>
      <c r="AE542" s="12"/>
      <c r="AF542" s="12"/>
    </row>
    <row r="543" spans="1:32">
      <c r="A543" s="8"/>
      <c r="B543" s="8"/>
      <c r="C543" s="8"/>
      <c r="D543" s="8"/>
      <c r="E543" s="8"/>
      <c r="F543" s="8"/>
      <c r="G543" s="8"/>
      <c r="H543" s="8"/>
      <c r="I543" s="8"/>
      <c r="J543" s="8"/>
      <c r="K543" s="8"/>
      <c r="L543" s="8"/>
      <c r="M543" s="8"/>
      <c r="N543" s="8"/>
      <c r="O543" s="8"/>
      <c r="P543" s="8"/>
      <c r="Q543" s="8"/>
      <c r="R543" s="8"/>
      <c r="S543" s="8"/>
      <c r="T543" s="8"/>
      <c r="U543" s="12"/>
      <c r="V543" s="12"/>
      <c r="W543" s="12"/>
      <c r="X543" s="12"/>
      <c r="Y543" s="12"/>
      <c r="Z543" s="12"/>
      <c r="AA543" s="12"/>
      <c r="AB543" s="12"/>
      <c r="AC543" s="12"/>
      <c r="AD543" s="12"/>
      <c r="AE543" s="12"/>
      <c r="AF543" s="12"/>
    </row>
    <row r="544" spans="1:32">
      <c r="A544" s="8"/>
      <c r="B544" s="8"/>
      <c r="C544" s="8"/>
      <c r="D544" s="8"/>
      <c r="E544" s="8"/>
      <c r="F544" s="8"/>
      <c r="G544" s="8"/>
      <c r="H544" s="8"/>
      <c r="I544" s="8"/>
      <c r="J544" s="8"/>
      <c r="K544" s="8"/>
      <c r="L544" s="8"/>
      <c r="M544" s="8"/>
      <c r="N544" s="8"/>
      <c r="O544" s="8"/>
      <c r="P544" s="8"/>
      <c r="Q544" s="8"/>
      <c r="R544" s="8"/>
      <c r="S544" s="8"/>
      <c r="T544" s="8"/>
      <c r="U544" s="12"/>
      <c r="V544" s="12"/>
      <c r="W544" s="12"/>
      <c r="X544" s="12"/>
      <c r="Y544" s="12"/>
      <c r="Z544" s="12"/>
      <c r="AA544" s="12"/>
      <c r="AB544" s="12"/>
      <c r="AC544" s="12"/>
      <c r="AD544" s="12"/>
      <c r="AE544" s="12"/>
      <c r="AF544" s="12"/>
    </row>
    <row r="545" spans="1:32">
      <c r="A545" s="8"/>
      <c r="B545" s="8"/>
      <c r="C545" s="8"/>
      <c r="D545" s="8"/>
      <c r="E545" s="8"/>
      <c r="F545" s="8"/>
      <c r="G545" s="8"/>
      <c r="H545" s="8"/>
      <c r="I545" s="8"/>
      <c r="J545" s="8"/>
      <c r="K545" s="8"/>
      <c r="L545" s="8"/>
      <c r="M545" s="8"/>
      <c r="N545" s="8"/>
      <c r="O545" s="8"/>
      <c r="P545" s="8"/>
      <c r="Q545" s="8"/>
      <c r="R545" s="8"/>
      <c r="S545" s="8"/>
      <c r="T545" s="8"/>
      <c r="U545" s="12"/>
      <c r="V545" s="12"/>
      <c r="W545" s="12"/>
      <c r="X545" s="12"/>
      <c r="Y545" s="12"/>
      <c r="Z545" s="12"/>
      <c r="AA545" s="12"/>
      <c r="AB545" s="12"/>
      <c r="AC545" s="12"/>
      <c r="AD545" s="12"/>
      <c r="AE545" s="12"/>
      <c r="AF545" s="12"/>
    </row>
    <row r="546" spans="1:32">
      <c r="A546" s="8"/>
      <c r="B546" s="8"/>
      <c r="C546" s="8"/>
      <c r="D546" s="8"/>
      <c r="E546" s="8"/>
      <c r="F546" s="8"/>
      <c r="G546" s="8"/>
      <c r="H546" s="8"/>
      <c r="I546" s="8"/>
      <c r="J546" s="8"/>
      <c r="K546" s="8"/>
      <c r="L546" s="8"/>
      <c r="M546" s="8"/>
      <c r="N546" s="8"/>
      <c r="O546" s="8"/>
      <c r="P546" s="8"/>
      <c r="Q546" s="8"/>
      <c r="R546" s="8"/>
      <c r="S546" s="8"/>
      <c r="T546" s="8"/>
      <c r="U546" s="12"/>
      <c r="V546" s="12"/>
      <c r="W546" s="12"/>
      <c r="X546" s="12"/>
      <c r="Y546" s="12"/>
      <c r="Z546" s="12"/>
      <c r="AA546" s="12"/>
      <c r="AB546" s="12"/>
      <c r="AC546" s="12"/>
      <c r="AD546" s="12"/>
      <c r="AE546" s="12"/>
      <c r="AF546" s="12"/>
    </row>
    <row r="547" spans="1:32">
      <c r="A547" s="8"/>
      <c r="B547" s="8"/>
      <c r="C547" s="8"/>
      <c r="D547" s="8"/>
      <c r="E547" s="8"/>
      <c r="F547" s="8"/>
      <c r="G547" s="8"/>
      <c r="H547" s="8"/>
      <c r="I547" s="8"/>
      <c r="J547" s="8"/>
      <c r="K547" s="8"/>
      <c r="L547" s="8"/>
      <c r="M547" s="8"/>
      <c r="N547" s="8"/>
      <c r="O547" s="8"/>
      <c r="P547" s="8"/>
      <c r="Q547" s="8"/>
      <c r="R547" s="8"/>
      <c r="S547" s="8"/>
      <c r="T547" s="8"/>
      <c r="U547" s="12"/>
      <c r="V547" s="12"/>
      <c r="W547" s="12"/>
      <c r="X547" s="12"/>
      <c r="Y547" s="12"/>
      <c r="Z547" s="12"/>
      <c r="AA547" s="12"/>
      <c r="AB547" s="12"/>
      <c r="AC547" s="12"/>
      <c r="AD547" s="12"/>
      <c r="AE547" s="12"/>
      <c r="AF547" s="12"/>
    </row>
    <row r="548" spans="1:32">
      <c r="A548" s="8"/>
      <c r="B548" s="8"/>
      <c r="C548" s="8"/>
      <c r="D548" s="8"/>
      <c r="E548" s="8"/>
      <c r="F548" s="8"/>
      <c r="G548" s="8"/>
      <c r="H548" s="8"/>
      <c r="I548" s="8"/>
      <c r="J548" s="8"/>
      <c r="K548" s="8"/>
      <c r="L548" s="8"/>
      <c r="M548" s="8"/>
      <c r="N548" s="8"/>
      <c r="O548" s="8"/>
      <c r="P548" s="8"/>
      <c r="Q548" s="8"/>
      <c r="R548" s="8"/>
      <c r="S548" s="8"/>
      <c r="T548" s="8"/>
      <c r="U548" s="12"/>
      <c r="V548" s="12"/>
      <c r="W548" s="12"/>
      <c r="X548" s="12"/>
      <c r="Y548" s="12"/>
      <c r="Z548" s="12"/>
      <c r="AA548" s="12"/>
      <c r="AB548" s="12"/>
      <c r="AC548" s="12"/>
      <c r="AD548" s="12"/>
      <c r="AE548" s="12"/>
      <c r="AF548" s="12"/>
    </row>
    <row r="549" spans="1:32">
      <c r="A549" s="8"/>
      <c r="B549" s="8"/>
      <c r="C549" s="8"/>
      <c r="D549" s="8"/>
      <c r="E549" s="8"/>
      <c r="F549" s="8"/>
      <c r="G549" s="8"/>
      <c r="H549" s="8"/>
      <c r="I549" s="8"/>
      <c r="J549" s="8"/>
      <c r="K549" s="8"/>
      <c r="L549" s="8"/>
      <c r="M549" s="8"/>
      <c r="N549" s="8"/>
      <c r="O549" s="8"/>
      <c r="P549" s="8"/>
      <c r="Q549" s="8"/>
      <c r="R549" s="8"/>
      <c r="S549" s="8"/>
      <c r="T549" s="8"/>
      <c r="U549" s="12"/>
      <c r="V549" s="12"/>
      <c r="W549" s="12"/>
      <c r="X549" s="12"/>
      <c r="Y549" s="12"/>
      <c r="Z549" s="12"/>
      <c r="AA549" s="12"/>
      <c r="AB549" s="12"/>
      <c r="AC549" s="12"/>
      <c r="AD549" s="12"/>
      <c r="AE549" s="12"/>
      <c r="AF549" s="12"/>
    </row>
    <row r="550" spans="1:32">
      <c r="A550" s="8"/>
      <c r="B550" s="8"/>
      <c r="C550" s="8"/>
      <c r="D550" s="8"/>
      <c r="E550" s="8"/>
      <c r="F550" s="8"/>
      <c r="G550" s="8"/>
      <c r="H550" s="8"/>
      <c r="I550" s="8"/>
      <c r="J550" s="8"/>
      <c r="K550" s="8"/>
      <c r="L550" s="8"/>
      <c r="M550" s="8"/>
      <c r="N550" s="8"/>
      <c r="O550" s="8"/>
      <c r="P550" s="8"/>
      <c r="Q550" s="8"/>
      <c r="R550" s="8"/>
      <c r="S550" s="8"/>
      <c r="T550" s="8"/>
      <c r="U550" s="12"/>
      <c r="V550" s="12"/>
      <c r="W550" s="12"/>
      <c r="X550" s="12"/>
      <c r="Y550" s="12"/>
      <c r="Z550" s="12"/>
      <c r="AA550" s="12"/>
      <c r="AB550" s="12"/>
      <c r="AC550" s="12"/>
      <c r="AD550" s="12"/>
      <c r="AE550" s="12"/>
      <c r="AF550" s="12"/>
    </row>
    <row r="551" spans="1:32">
      <c r="A551" s="8"/>
      <c r="B551" s="8"/>
      <c r="C551" s="8"/>
      <c r="D551" s="8"/>
      <c r="E551" s="8"/>
      <c r="F551" s="8"/>
      <c r="G551" s="8"/>
      <c r="H551" s="8"/>
      <c r="I551" s="8"/>
      <c r="J551" s="8"/>
      <c r="K551" s="8"/>
      <c r="L551" s="8"/>
      <c r="M551" s="8"/>
      <c r="N551" s="8"/>
      <c r="O551" s="8"/>
      <c r="P551" s="8"/>
      <c r="Q551" s="8"/>
      <c r="R551" s="8"/>
      <c r="S551" s="8"/>
      <c r="T551" s="8"/>
      <c r="U551" s="12"/>
      <c r="V551" s="12"/>
      <c r="W551" s="12"/>
      <c r="X551" s="12"/>
      <c r="Y551" s="12"/>
      <c r="Z551" s="12"/>
      <c r="AA551" s="12"/>
      <c r="AB551" s="12"/>
      <c r="AC551" s="12"/>
      <c r="AD551" s="12"/>
      <c r="AE551" s="12"/>
      <c r="AF551" s="12"/>
    </row>
    <row r="552" spans="1:32">
      <c r="A552" s="8"/>
      <c r="B552" s="8"/>
      <c r="C552" s="8"/>
      <c r="D552" s="8"/>
      <c r="E552" s="8"/>
      <c r="F552" s="8"/>
      <c r="G552" s="8"/>
      <c r="H552" s="8"/>
      <c r="I552" s="8"/>
      <c r="J552" s="8"/>
      <c r="K552" s="8"/>
      <c r="L552" s="8"/>
      <c r="M552" s="8"/>
      <c r="N552" s="8"/>
      <c r="O552" s="8"/>
      <c r="P552" s="8"/>
      <c r="Q552" s="8"/>
      <c r="R552" s="8"/>
      <c r="S552" s="8"/>
      <c r="T552" s="8"/>
      <c r="U552" s="12"/>
      <c r="V552" s="12"/>
      <c r="W552" s="12"/>
      <c r="X552" s="12"/>
      <c r="Y552" s="12"/>
      <c r="Z552" s="12"/>
      <c r="AA552" s="12"/>
      <c r="AB552" s="12"/>
      <c r="AC552" s="12"/>
      <c r="AD552" s="12"/>
      <c r="AE552" s="12"/>
      <c r="AF552" s="12"/>
    </row>
    <row r="553" spans="1:32">
      <c r="A553" s="8"/>
      <c r="B553" s="8"/>
      <c r="C553" s="8"/>
      <c r="D553" s="8"/>
      <c r="E553" s="8"/>
      <c r="F553" s="8"/>
      <c r="G553" s="8"/>
      <c r="H553" s="8"/>
      <c r="I553" s="8"/>
      <c r="J553" s="8"/>
      <c r="K553" s="8"/>
      <c r="L553" s="8"/>
      <c r="M553" s="8"/>
      <c r="N553" s="8"/>
      <c r="O553" s="8"/>
      <c r="P553" s="8"/>
      <c r="Q553" s="8"/>
      <c r="R553" s="8"/>
      <c r="S553" s="8"/>
      <c r="T553" s="8"/>
      <c r="U553" s="12"/>
      <c r="V553" s="12"/>
      <c r="W553" s="12"/>
      <c r="X553" s="12"/>
      <c r="Y553" s="12"/>
      <c r="Z553" s="12"/>
      <c r="AA553" s="12"/>
      <c r="AB553" s="12"/>
      <c r="AC553" s="12"/>
      <c r="AD553" s="12"/>
      <c r="AE553" s="12"/>
      <c r="AF553" s="12"/>
    </row>
    <row r="554" spans="1:32">
      <c r="A554" s="8"/>
      <c r="B554" s="8"/>
      <c r="C554" s="8"/>
      <c r="D554" s="8"/>
      <c r="E554" s="8"/>
      <c r="F554" s="8"/>
      <c r="G554" s="8"/>
      <c r="H554" s="8"/>
      <c r="I554" s="8"/>
      <c r="J554" s="8"/>
      <c r="K554" s="8"/>
      <c r="L554" s="8"/>
      <c r="M554" s="8"/>
      <c r="N554" s="8"/>
      <c r="O554" s="8"/>
      <c r="P554" s="8"/>
      <c r="Q554" s="8"/>
      <c r="R554" s="8"/>
      <c r="S554" s="8"/>
      <c r="T554" s="8"/>
      <c r="U554" s="12"/>
      <c r="V554" s="12"/>
      <c r="W554" s="12"/>
      <c r="X554" s="12"/>
      <c r="Y554" s="12"/>
      <c r="Z554" s="12"/>
      <c r="AA554" s="12"/>
      <c r="AB554" s="12"/>
      <c r="AC554" s="12"/>
      <c r="AD554" s="12"/>
      <c r="AE554" s="12"/>
      <c r="AF554" s="12"/>
    </row>
    <row r="555" spans="1:32">
      <c r="A555" s="8"/>
      <c r="B555" s="8"/>
      <c r="C555" s="8"/>
      <c r="D555" s="8"/>
      <c r="E555" s="8"/>
      <c r="F555" s="8"/>
      <c r="G555" s="8"/>
      <c r="H555" s="8"/>
      <c r="I555" s="8"/>
      <c r="J555" s="8"/>
      <c r="K555" s="8"/>
      <c r="L555" s="8"/>
      <c r="M555" s="8"/>
      <c r="N555" s="8"/>
      <c r="O555" s="8"/>
      <c r="P555" s="8"/>
      <c r="Q555" s="8"/>
      <c r="R555" s="8"/>
      <c r="S555" s="8"/>
      <c r="T555" s="8"/>
      <c r="U555" s="12"/>
      <c r="V555" s="12"/>
      <c r="W555" s="12"/>
      <c r="X555" s="12"/>
      <c r="Y555" s="12"/>
      <c r="Z555" s="12"/>
      <c r="AA555" s="12"/>
      <c r="AB555" s="12"/>
      <c r="AC555" s="12"/>
      <c r="AD555" s="12"/>
      <c r="AE555" s="12"/>
      <c r="AF555" s="12"/>
    </row>
    <row r="556" spans="1:32">
      <c r="A556" s="8"/>
      <c r="B556" s="8"/>
      <c r="C556" s="8"/>
      <c r="D556" s="8"/>
      <c r="E556" s="8"/>
      <c r="F556" s="8"/>
      <c r="G556" s="8"/>
      <c r="H556" s="8"/>
      <c r="I556" s="8"/>
      <c r="J556" s="8"/>
      <c r="K556" s="8"/>
      <c r="L556" s="8"/>
      <c r="M556" s="8"/>
      <c r="N556" s="8"/>
      <c r="O556" s="8"/>
      <c r="P556" s="8"/>
      <c r="Q556" s="8"/>
      <c r="R556" s="8"/>
      <c r="S556" s="8"/>
      <c r="T556" s="8"/>
      <c r="U556" s="12"/>
      <c r="V556" s="12"/>
      <c r="W556" s="12"/>
      <c r="X556" s="12"/>
      <c r="Y556" s="12"/>
      <c r="Z556" s="12"/>
      <c r="AA556" s="12"/>
      <c r="AB556" s="12"/>
      <c r="AC556" s="12"/>
      <c r="AD556" s="12"/>
      <c r="AE556" s="12"/>
      <c r="AF556" s="12"/>
    </row>
    <row r="557" spans="1:32">
      <c r="A557" s="8"/>
      <c r="B557" s="8"/>
      <c r="C557" s="8"/>
      <c r="D557" s="8"/>
      <c r="E557" s="8"/>
      <c r="F557" s="8"/>
      <c r="G557" s="8"/>
      <c r="H557" s="8"/>
      <c r="I557" s="8"/>
      <c r="J557" s="8"/>
      <c r="K557" s="8"/>
      <c r="L557" s="8"/>
      <c r="M557" s="8"/>
      <c r="N557" s="8"/>
      <c r="O557" s="8"/>
      <c r="P557" s="8"/>
      <c r="Q557" s="8"/>
      <c r="R557" s="8"/>
      <c r="S557" s="8"/>
      <c r="T557" s="8"/>
      <c r="U557" s="12"/>
      <c r="V557" s="12"/>
      <c r="W557" s="12"/>
      <c r="X557" s="12"/>
      <c r="Y557" s="12"/>
      <c r="Z557" s="12"/>
      <c r="AA557" s="12"/>
      <c r="AB557" s="12"/>
      <c r="AC557" s="12"/>
      <c r="AD557" s="12"/>
      <c r="AE557" s="12"/>
      <c r="AF557" s="12"/>
    </row>
    <row r="558" spans="1:32">
      <c r="A558" s="8"/>
      <c r="B558" s="8"/>
      <c r="C558" s="8"/>
      <c r="D558" s="8"/>
      <c r="E558" s="8"/>
      <c r="F558" s="8"/>
      <c r="G558" s="8"/>
      <c r="H558" s="8"/>
      <c r="I558" s="8"/>
      <c r="J558" s="8"/>
      <c r="K558" s="8"/>
      <c r="L558" s="8"/>
      <c r="M558" s="8"/>
      <c r="N558" s="8"/>
      <c r="O558" s="8"/>
      <c r="P558" s="8"/>
      <c r="Q558" s="8"/>
      <c r="R558" s="8"/>
      <c r="S558" s="8"/>
      <c r="T558" s="8"/>
      <c r="U558" s="12"/>
      <c r="V558" s="12"/>
      <c r="W558" s="12"/>
      <c r="X558" s="12"/>
      <c r="Y558" s="12"/>
      <c r="Z558" s="12"/>
      <c r="AA558" s="12"/>
      <c r="AB558" s="12"/>
      <c r="AC558" s="12"/>
      <c r="AD558" s="12"/>
      <c r="AE558" s="12"/>
      <c r="AF558" s="12"/>
    </row>
    <row r="559" spans="1:32">
      <c r="A559" s="8"/>
      <c r="B559" s="8"/>
      <c r="C559" s="8"/>
      <c r="D559" s="8"/>
      <c r="E559" s="8"/>
      <c r="F559" s="8"/>
      <c r="G559" s="8"/>
      <c r="H559" s="8"/>
      <c r="I559" s="8"/>
      <c r="J559" s="8"/>
      <c r="K559" s="8"/>
      <c r="L559" s="8"/>
      <c r="M559" s="8"/>
      <c r="N559" s="8"/>
      <c r="O559" s="8"/>
      <c r="P559" s="8"/>
      <c r="Q559" s="8"/>
      <c r="R559" s="8"/>
      <c r="S559" s="8"/>
      <c r="T559" s="8"/>
      <c r="U559" s="12"/>
      <c r="V559" s="12"/>
      <c r="W559" s="12"/>
      <c r="X559" s="12"/>
      <c r="Y559" s="12"/>
      <c r="Z559" s="12"/>
      <c r="AA559" s="12"/>
      <c r="AB559" s="12"/>
      <c r="AC559" s="12"/>
      <c r="AD559" s="12"/>
      <c r="AE559" s="12"/>
      <c r="AF559" s="12"/>
    </row>
    <row r="560" spans="1:32">
      <c r="A560" s="8"/>
      <c r="B560" s="8"/>
      <c r="C560" s="8"/>
      <c r="D560" s="8"/>
      <c r="E560" s="8"/>
      <c r="F560" s="8"/>
      <c r="G560" s="8"/>
      <c r="H560" s="8"/>
      <c r="I560" s="8"/>
      <c r="J560" s="8"/>
      <c r="K560" s="8"/>
      <c r="L560" s="8"/>
      <c r="M560" s="8"/>
      <c r="N560" s="8"/>
      <c r="O560" s="8"/>
      <c r="P560" s="8"/>
      <c r="Q560" s="8"/>
      <c r="R560" s="8"/>
      <c r="S560" s="8"/>
      <c r="T560" s="8"/>
      <c r="U560" s="12"/>
      <c r="V560" s="12"/>
      <c r="W560" s="12"/>
      <c r="X560" s="12"/>
      <c r="Y560" s="12"/>
      <c r="Z560" s="12"/>
      <c r="AA560" s="12"/>
      <c r="AB560" s="12"/>
      <c r="AC560" s="12"/>
      <c r="AD560" s="12"/>
      <c r="AE560" s="12"/>
      <c r="AF560" s="12"/>
    </row>
    <row r="561" spans="1:32">
      <c r="A561" s="8"/>
      <c r="B561" s="8"/>
      <c r="C561" s="8"/>
      <c r="D561" s="8"/>
      <c r="E561" s="8"/>
      <c r="F561" s="8"/>
      <c r="G561" s="8"/>
      <c r="H561" s="8"/>
      <c r="I561" s="8"/>
      <c r="J561" s="8"/>
      <c r="K561" s="8"/>
      <c r="L561" s="8"/>
      <c r="M561" s="8"/>
      <c r="N561" s="8"/>
      <c r="O561" s="8"/>
      <c r="P561" s="8"/>
      <c r="Q561" s="8"/>
      <c r="R561" s="8"/>
      <c r="S561" s="8"/>
      <c r="T561" s="8"/>
      <c r="U561" s="12"/>
      <c r="V561" s="12"/>
      <c r="W561" s="12"/>
      <c r="X561" s="12"/>
      <c r="Y561" s="12"/>
      <c r="Z561" s="12"/>
      <c r="AA561" s="12"/>
      <c r="AB561" s="12"/>
      <c r="AC561" s="12"/>
      <c r="AD561" s="12"/>
      <c r="AE561" s="12"/>
      <c r="AF561" s="12"/>
    </row>
    <row r="562" spans="1:32">
      <c r="A562" s="8"/>
      <c r="B562" s="8"/>
      <c r="C562" s="8"/>
      <c r="D562" s="8"/>
      <c r="E562" s="8"/>
      <c r="F562" s="8"/>
      <c r="G562" s="8"/>
      <c r="H562" s="8"/>
      <c r="I562" s="8"/>
      <c r="J562" s="8"/>
      <c r="K562" s="8"/>
      <c r="L562" s="8"/>
      <c r="M562" s="8"/>
      <c r="N562" s="8"/>
      <c r="O562" s="8"/>
      <c r="P562" s="8"/>
      <c r="Q562" s="8"/>
      <c r="R562" s="8"/>
      <c r="S562" s="8"/>
      <c r="T562" s="8"/>
      <c r="U562" s="12"/>
      <c r="V562" s="12"/>
      <c r="W562" s="12"/>
      <c r="X562" s="12"/>
      <c r="Y562" s="12"/>
      <c r="Z562" s="12"/>
      <c r="AA562" s="12"/>
      <c r="AB562" s="12"/>
      <c r="AC562" s="12"/>
      <c r="AD562" s="12"/>
      <c r="AE562" s="12"/>
      <c r="AF562" s="12"/>
    </row>
    <row r="563" spans="1:32">
      <c r="A563" s="8"/>
      <c r="B563" s="8"/>
      <c r="C563" s="8"/>
      <c r="D563" s="8"/>
      <c r="E563" s="8"/>
      <c r="F563" s="8"/>
      <c r="G563" s="8"/>
      <c r="H563" s="8"/>
      <c r="I563" s="8"/>
      <c r="J563" s="8"/>
      <c r="K563" s="8"/>
      <c r="L563" s="8"/>
      <c r="M563" s="8"/>
      <c r="N563" s="8"/>
      <c r="O563" s="8"/>
      <c r="P563" s="8"/>
      <c r="Q563" s="8"/>
      <c r="R563" s="8"/>
      <c r="S563" s="8"/>
      <c r="T563" s="8"/>
      <c r="U563" s="12"/>
      <c r="V563" s="12"/>
      <c r="W563" s="12"/>
      <c r="X563" s="12"/>
      <c r="Y563" s="12"/>
      <c r="Z563" s="12"/>
      <c r="AA563" s="12"/>
      <c r="AB563" s="12"/>
      <c r="AC563" s="12"/>
      <c r="AD563" s="12"/>
      <c r="AE563" s="12"/>
      <c r="AF563" s="12"/>
    </row>
    <row r="564" spans="1:32">
      <c r="A564" s="8"/>
      <c r="B564" s="8"/>
      <c r="C564" s="8"/>
      <c r="D564" s="8"/>
      <c r="E564" s="8"/>
      <c r="F564" s="8"/>
      <c r="G564" s="8"/>
      <c r="H564" s="8"/>
      <c r="I564" s="8"/>
      <c r="J564" s="8"/>
      <c r="K564" s="8"/>
      <c r="L564" s="8"/>
      <c r="M564" s="8"/>
      <c r="N564" s="8"/>
      <c r="O564" s="8"/>
      <c r="P564" s="8"/>
      <c r="Q564" s="8"/>
      <c r="R564" s="8"/>
      <c r="S564" s="8"/>
      <c r="T564" s="8"/>
      <c r="U564" s="12"/>
      <c r="V564" s="12"/>
      <c r="W564" s="12"/>
      <c r="X564" s="12"/>
      <c r="Y564" s="12"/>
      <c r="Z564" s="12"/>
      <c r="AA564" s="12"/>
      <c r="AB564" s="12"/>
      <c r="AC564" s="12"/>
      <c r="AD564" s="12"/>
      <c r="AE564" s="12"/>
      <c r="AF564" s="12"/>
    </row>
    <row r="565" spans="1:32">
      <c r="A565" s="8"/>
      <c r="B565" s="8"/>
      <c r="C565" s="8"/>
      <c r="D565" s="8"/>
      <c r="E565" s="8"/>
      <c r="F565" s="8"/>
      <c r="G565" s="8"/>
      <c r="H565" s="8"/>
      <c r="I565" s="8"/>
      <c r="J565" s="8"/>
      <c r="K565" s="8"/>
      <c r="L565" s="8"/>
      <c r="M565" s="8"/>
      <c r="N565" s="8"/>
      <c r="O565" s="8"/>
      <c r="P565" s="8"/>
      <c r="Q565" s="8"/>
      <c r="R565" s="8"/>
      <c r="S565" s="8"/>
      <c r="T565" s="8"/>
      <c r="U565" s="12"/>
      <c r="V565" s="12"/>
      <c r="W565" s="12"/>
      <c r="X565" s="12"/>
      <c r="Y565" s="12"/>
      <c r="Z565" s="12"/>
      <c r="AA565" s="12"/>
      <c r="AB565" s="12"/>
      <c r="AC565" s="12"/>
      <c r="AD565" s="12"/>
      <c r="AE565" s="12"/>
      <c r="AF565" s="12"/>
    </row>
    <row r="566" spans="1:32">
      <c r="A566" s="8"/>
      <c r="B566" s="8"/>
      <c r="C566" s="8"/>
      <c r="D566" s="8"/>
      <c r="E566" s="8"/>
      <c r="F566" s="8"/>
      <c r="G566" s="8"/>
      <c r="H566" s="8"/>
      <c r="I566" s="8"/>
      <c r="J566" s="8"/>
      <c r="K566" s="8"/>
      <c r="L566" s="8"/>
      <c r="M566" s="8"/>
      <c r="N566" s="8"/>
      <c r="O566" s="8"/>
      <c r="P566" s="8"/>
      <c r="Q566" s="8"/>
      <c r="R566" s="8"/>
      <c r="S566" s="8"/>
      <c r="T566" s="8"/>
      <c r="U566" s="12"/>
      <c r="V566" s="12"/>
      <c r="W566" s="12"/>
      <c r="X566" s="12"/>
      <c r="Y566" s="12"/>
      <c r="Z566" s="12"/>
      <c r="AA566" s="12"/>
      <c r="AB566" s="12"/>
      <c r="AC566" s="12"/>
      <c r="AD566" s="12"/>
      <c r="AE566" s="12"/>
      <c r="AF566" s="12"/>
    </row>
    <row r="567" spans="1:32">
      <c r="A567" s="8"/>
      <c r="B567" s="8"/>
      <c r="C567" s="8"/>
      <c r="D567" s="8"/>
      <c r="E567" s="8"/>
      <c r="F567" s="8"/>
      <c r="G567" s="8"/>
      <c r="H567" s="8"/>
      <c r="I567" s="8"/>
      <c r="J567" s="8"/>
      <c r="K567" s="8"/>
      <c r="L567" s="8"/>
      <c r="M567" s="8"/>
      <c r="N567" s="8"/>
      <c r="O567" s="8"/>
      <c r="P567" s="8"/>
      <c r="Q567" s="8"/>
      <c r="R567" s="8"/>
      <c r="S567" s="8"/>
      <c r="T567" s="8"/>
      <c r="U567" s="12"/>
      <c r="V567" s="12"/>
      <c r="W567" s="12"/>
      <c r="X567" s="12"/>
      <c r="Y567" s="12"/>
      <c r="Z567" s="12"/>
      <c r="AA567" s="12"/>
      <c r="AB567" s="12"/>
      <c r="AC567" s="12"/>
      <c r="AD567" s="12"/>
      <c r="AE567" s="12"/>
      <c r="AF567" s="12"/>
    </row>
    <row r="568" spans="1:32">
      <c r="A568" s="8"/>
      <c r="B568" s="8"/>
      <c r="C568" s="8"/>
      <c r="D568" s="8"/>
      <c r="E568" s="8"/>
      <c r="F568" s="8"/>
      <c r="G568" s="8"/>
      <c r="H568" s="8"/>
      <c r="I568" s="8"/>
      <c r="J568" s="8"/>
      <c r="K568" s="8"/>
      <c r="L568" s="8"/>
      <c r="M568" s="8"/>
      <c r="N568" s="8"/>
      <c r="O568" s="8"/>
      <c r="P568" s="8"/>
      <c r="Q568" s="8"/>
      <c r="R568" s="8"/>
      <c r="S568" s="8"/>
      <c r="T568" s="8"/>
      <c r="U568" s="12"/>
      <c r="V568" s="12"/>
      <c r="W568" s="12"/>
      <c r="X568" s="12"/>
      <c r="Y568" s="12"/>
      <c r="Z568" s="12"/>
      <c r="AA568" s="12"/>
      <c r="AB568" s="12"/>
      <c r="AC568" s="12"/>
      <c r="AD568" s="12"/>
      <c r="AE568" s="12"/>
      <c r="AF568" s="12"/>
    </row>
    <row r="569" spans="1:32">
      <c r="A569" s="8"/>
      <c r="B569" s="8"/>
      <c r="C569" s="8"/>
      <c r="D569" s="8"/>
      <c r="E569" s="8"/>
      <c r="F569" s="8"/>
      <c r="G569" s="8"/>
      <c r="H569" s="8"/>
      <c r="I569" s="8"/>
      <c r="J569" s="8"/>
      <c r="K569" s="8"/>
      <c r="L569" s="8"/>
      <c r="M569" s="8"/>
      <c r="N569" s="8"/>
      <c r="O569" s="8"/>
      <c r="P569" s="8"/>
      <c r="Q569" s="8"/>
      <c r="R569" s="8"/>
      <c r="S569" s="8"/>
      <c r="T569" s="8"/>
      <c r="U569" s="12"/>
      <c r="V569" s="12"/>
      <c r="W569" s="12"/>
      <c r="X569" s="12"/>
      <c r="Y569" s="12"/>
      <c r="Z569" s="12"/>
      <c r="AA569" s="12"/>
      <c r="AB569" s="12"/>
      <c r="AC569" s="12"/>
      <c r="AD569" s="12"/>
      <c r="AE569" s="12"/>
      <c r="AF569" s="12"/>
    </row>
    <row r="570" spans="1:32">
      <c r="A570" s="8"/>
      <c r="B570" s="8"/>
      <c r="C570" s="8"/>
      <c r="D570" s="8"/>
      <c r="E570" s="8"/>
      <c r="F570" s="8"/>
      <c r="G570" s="8"/>
      <c r="H570" s="8"/>
      <c r="I570" s="8"/>
      <c r="J570" s="8"/>
      <c r="K570" s="8"/>
      <c r="L570" s="8"/>
      <c r="M570" s="8"/>
      <c r="N570" s="8"/>
      <c r="O570" s="8"/>
      <c r="P570" s="8"/>
      <c r="Q570" s="8"/>
      <c r="R570" s="8"/>
      <c r="S570" s="8"/>
      <c r="T570" s="8"/>
      <c r="U570" s="12"/>
      <c r="V570" s="12"/>
      <c r="W570" s="12"/>
      <c r="X570" s="12"/>
      <c r="Y570" s="12"/>
      <c r="Z570" s="12"/>
      <c r="AA570" s="12"/>
      <c r="AB570" s="12"/>
      <c r="AC570" s="12"/>
      <c r="AD570" s="12"/>
      <c r="AE570" s="12"/>
      <c r="AF570" s="12"/>
    </row>
    <row r="571" spans="1:32">
      <c r="A571" s="8"/>
      <c r="B571" s="8"/>
      <c r="C571" s="8"/>
      <c r="D571" s="8"/>
      <c r="E571" s="8"/>
      <c r="F571" s="8"/>
      <c r="G571" s="8"/>
      <c r="H571" s="8"/>
      <c r="I571" s="8"/>
      <c r="J571" s="8"/>
      <c r="K571" s="8"/>
      <c r="L571" s="8"/>
      <c r="M571" s="8"/>
      <c r="N571" s="8"/>
      <c r="O571" s="8"/>
      <c r="P571" s="8"/>
      <c r="Q571" s="8"/>
      <c r="R571" s="8"/>
      <c r="S571" s="8"/>
      <c r="T571" s="8"/>
      <c r="U571" s="12"/>
      <c r="V571" s="12"/>
      <c r="W571" s="12"/>
      <c r="X571" s="12"/>
      <c r="Y571" s="12"/>
      <c r="Z571" s="12"/>
      <c r="AA571" s="12"/>
      <c r="AB571" s="12"/>
      <c r="AC571" s="12"/>
      <c r="AD571" s="12"/>
      <c r="AE571" s="12"/>
      <c r="AF571" s="12"/>
    </row>
    <row r="572" spans="1:32">
      <c r="A572" s="8"/>
      <c r="B572" s="8"/>
      <c r="C572" s="8"/>
      <c r="D572" s="8"/>
      <c r="E572" s="8"/>
      <c r="F572" s="8"/>
      <c r="G572" s="8"/>
      <c r="H572" s="8"/>
      <c r="I572" s="8"/>
      <c r="J572" s="8"/>
      <c r="K572" s="8"/>
      <c r="L572" s="8"/>
      <c r="M572" s="8"/>
      <c r="N572" s="8"/>
      <c r="O572" s="8"/>
      <c r="P572" s="8"/>
      <c r="Q572" s="8"/>
      <c r="R572" s="8"/>
      <c r="S572" s="8"/>
      <c r="T572" s="8"/>
      <c r="U572" s="12"/>
      <c r="V572" s="12"/>
      <c r="W572" s="12"/>
      <c r="X572" s="12"/>
      <c r="Y572" s="12"/>
      <c r="Z572" s="12"/>
      <c r="AA572" s="12"/>
      <c r="AB572" s="12"/>
      <c r="AC572" s="12"/>
      <c r="AD572" s="12"/>
      <c r="AE572" s="12"/>
      <c r="AF572" s="12"/>
    </row>
    <row r="573" spans="1:32">
      <c r="A573" s="8"/>
      <c r="B573" s="8"/>
      <c r="C573" s="8"/>
      <c r="D573" s="8"/>
      <c r="E573" s="8"/>
      <c r="F573" s="8"/>
      <c r="G573" s="8"/>
      <c r="H573" s="8"/>
      <c r="I573" s="8"/>
      <c r="J573" s="8"/>
      <c r="K573" s="8"/>
      <c r="L573" s="8"/>
      <c r="M573" s="8"/>
      <c r="N573" s="8"/>
      <c r="O573" s="8"/>
      <c r="P573" s="8"/>
      <c r="Q573" s="8"/>
      <c r="R573" s="8"/>
      <c r="S573" s="8"/>
      <c r="T573" s="8"/>
      <c r="U573" s="12"/>
      <c r="V573" s="12"/>
      <c r="W573" s="12"/>
      <c r="X573" s="12"/>
      <c r="Y573" s="12"/>
      <c r="Z573" s="12"/>
      <c r="AA573" s="12"/>
      <c r="AB573" s="12"/>
      <c r="AC573" s="12"/>
      <c r="AD573" s="12"/>
      <c r="AE573" s="12"/>
      <c r="AF573" s="12"/>
    </row>
    <row r="574" spans="1:32">
      <c r="A574" s="8"/>
      <c r="B574" s="8"/>
      <c r="C574" s="8"/>
      <c r="D574" s="8"/>
      <c r="E574" s="8"/>
      <c r="F574" s="8"/>
      <c r="G574" s="8"/>
      <c r="H574" s="8"/>
      <c r="I574" s="8"/>
      <c r="J574" s="8"/>
      <c r="K574" s="8"/>
      <c r="L574" s="8"/>
      <c r="M574" s="8"/>
      <c r="N574" s="8"/>
      <c r="O574" s="8"/>
      <c r="P574" s="8"/>
      <c r="Q574" s="8"/>
      <c r="R574" s="8"/>
      <c r="S574" s="8"/>
      <c r="T574" s="8"/>
      <c r="U574" s="12"/>
      <c r="V574" s="12"/>
      <c r="W574" s="12"/>
      <c r="X574" s="12"/>
      <c r="Y574" s="12"/>
      <c r="Z574" s="12"/>
      <c r="AA574" s="12"/>
      <c r="AB574" s="12"/>
      <c r="AC574" s="12"/>
      <c r="AD574" s="12"/>
      <c r="AE574" s="12"/>
      <c r="AF574" s="12"/>
    </row>
    <row r="575" spans="1:32">
      <c r="A575" s="8"/>
      <c r="B575" s="8"/>
      <c r="C575" s="8"/>
      <c r="D575" s="8"/>
      <c r="E575" s="8"/>
      <c r="F575" s="8"/>
      <c r="G575" s="8"/>
      <c r="H575" s="8"/>
      <c r="I575" s="8"/>
      <c r="J575" s="8"/>
      <c r="K575" s="8"/>
      <c r="L575" s="8"/>
      <c r="M575" s="8"/>
      <c r="N575" s="8"/>
      <c r="O575" s="8"/>
      <c r="P575" s="8"/>
      <c r="Q575" s="8"/>
      <c r="R575" s="8"/>
      <c r="S575" s="8"/>
      <c r="T575" s="8"/>
      <c r="U575" s="12"/>
      <c r="V575" s="12"/>
      <c r="W575" s="12"/>
      <c r="X575" s="12"/>
      <c r="Y575" s="12"/>
      <c r="Z575" s="12"/>
      <c r="AA575" s="12"/>
      <c r="AB575" s="12"/>
      <c r="AC575" s="12"/>
      <c r="AD575" s="12"/>
      <c r="AE575" s="12"/>
      <c r="AF575" s="12"/>
    </row>
    <row r="576" spans="1:32">
      <c r="A576" s="8"/>
      <c r="B576" s="8"/>
      <c r="C576" s="8"/>
      <c r="D576" s="8"/>
      <c r="E576" s="8"/>
      <c r="F576" s="8"/>
      <c r="G576" s="8"/>
      <c r="H576" s="8"/>
      <c r="I576" s="8"/>
      <c r="J576" s="8"/>
      <c r="K576" s="8"/>
      <c r="L576" s="8"/>
      <c r="M576" s="8"/>
      <c r="N576" s="8"/>
      <c r="O576" s="8"/>
      <c r="P576" s="8"/>
      <c r="Q576" s="8"/>
      <c r="R576" s="8"/>
      <c r="S576" s="8"/>
      <c r="T576" s="8"/>
      <c r="U576" s="12"/>
      <c r="V576" s="12"/>
      <c r="W576" s="12"/>
      <c r="X576" s="12"/>
      <c r="Y576" s="12"/>
      <c r="Z576" s="12"/>
      <c r="AA576" s="12"/>
      <c r="AB576" s="12"/>
      <c r="AC576" s="12"/>
      <c r="AD576" s="12"/>
      <c r="AE576" s="12"/>
      <c r="AF576" s="12"/>
    </row>
    <row r="577" spans="1:32">
      <c r="A577" s="8"/>
      <c r="B577" s="8"/>
      <c r="C577" s="8"/>
      <c r="D577" s="8"/>
      <c r="E577" s="8"/>
      <c r="F577" s="8"/>
      <c r="G577" s="8"/>
      <c r="H577" s="8"/>
      <c r="I577" s="8"/>
      <c r="J577" s="8"/>
      <c r="K577" s="8"/>
      <c r="L577" s="8"/>
      <c r="M577" s="8"/>
      <c r="N577" s="8"/>
      <c r="O577" s="8"/>
      <c r="P577" s="8"/>
      <c r="Q577" s="8"/>
      <c r="R577" s="8"/>
      <c r="S577" s="8"/>
      <c r="T577" s="8"/>
      <c r="U577" s="12"/>
      <c r="V577" s="12"/>
      <c r="W577" s="12"/>
      <c r="X577" s="12"/>
      <c r="Y577" s="12"/>
      <c r="Z577" s="12"/>
      <c r="AA577" s="12"/>
      <c r="AB577" s="12"/>
      <c r="AC577" s="12"/>
      <c r="AD577" s="12"/>
      <c r="AE577" s="12"/>
      <c r="AF577" s="12"/>
    </row>
    <row r="578" spans="1:32">
      <c r="A578" s="8"/>
      <c r="B578" s="8"/>
      <c r="C578" s="8"/>
      <c r="D578" s="8"/>
      <c r="E578" s="8"/>
      <c r="F578" s="8"/>
      <c r="G578" s="8"/>
      <c r="H578" s="8"/>
      <c r="I578" s="8"/>
      <c r="J578" s="8"/>
      <c r="K578" s="8"/>
      <c r="L578" s="8"/>
      <c r="M578" s="8"/>
      <c r="N578" s="8"/>
      <c r="O578" s="8"/>
      <c r="P578" s="8"/>
      <c r="Q578" s="8"/>
      <c r="R578" s="8"/>
      <c r="S578" s="8"/>
      <c r="T578" s="8"/>
      <c r="U578" s="12"/>
      <c r="V578" s="12"/>
      <c r="W578" s="12"/>
      <c r="X578" s="12"/>
      <c r="Y578" s="12"/>
      <c r="Z578" s="12"/>
      <c r="AA578" s="12"/>
      <c r="AB578" s="12"/>
      <c r="AC578" s="12"/>
      <c r="AD578" s="12"/>
      <c r="AE578" s="12"/>
      <c r="AF578" s="12"/>
    </row>
    <row r="579" spans="1:32">
      <c r="A579" s="8"/>
      <c r="B579" s="8"/>
      <c r="C579" s="8"/>
      <c r="D579" s="8"/>
      <c r="E579" s="8"/>
      <c r="F579" s="8"/>
      <c r="G579" s="8"/>
      <c r="H579" s="8"/>
      <c r="I579" s="8"/>
      <c r="J579" s="8"/>
      <c r="K579" s="8"/>
      <c r="L579" s="8"/>
      <c r="M579" s="8"/>
      <c r="N579" s="8"/>
      <c r="O579" s="8"/>
      <c r="P579" s="8"/>
      <c r="Q579" s="8"/>
      <c r="R579" s="8"/>
      <c r="S579" s="8"/>
      <c r="T579" s="8"/>
      <c r="U579" s="12"/>
      <c r="V579" s="12"/>
      <c r="W579" s="12"/>
      <c r="X579" s="12"/>
      <c r="Y579" s="12"/>
      <c r="Z579" s="12"/>
      <c r="AA579" s="12"/>
      <c r="AB579" s="12"/>
      <c r="AC579" s="12"/>
      <c r="AD579" s="12"/>
      <c r="AE579" s="12"/>
      <c r="AF579" s="12"/>
    </row>
    <row r="580" spans="1:32">
      <c r="A580" s="8"/>
      <c r="B580" s="8"/>
      <c r="C580" s="8"/>
      <c r="D580" s="8"/>
      <c r="E580" s="8"/>
      <c r="F580" s="8"/>
      <c r="G580" s="8"/>
      <c r="H580" s="8"/>
      <c r="I580" s="8"/>
      <c r="J580" s="8"/>
      <c r="K580" s="8"/>
      <c r="L580" s="8"/>
      <c r="M580" s="8"/>
      <c r="N580" s="8"/>
      <c r="O580" s="8"/>
      <c r="P580" s="8"/>
      <c r="Q580" s="8"/>
      <c r="R580" s="8"/>
      <c r="S580" s="8"/>
      <c r="T580" s="8"/>
      <c r="U580" s="12"/>
      <c r="V580" s="12"/>
      <c r="W580" s="12"/>
      <c r="X580" s="12"/>
      <c r="Y580" s="12"/>
      <c r="Z580" s="12"/>
      <c r="AA580" s="12"/>
      <c r="AB580" s="12"/>
      <c r="AC580" s="12"/>
      <c r="AD580" s="12"/>
      <c r="AE580" s="12"/>
      <c r="AF580" s="12"/>
    </row>
    <row r="581" spans="1:32">
      <c r="A581" s="8"/>
      <c r="B581" s="8"/>
      <c r="C581" s="8"/>
      <c r="D581" s="8"/>
      <c r="E581" s="8"/>
      <c r="F581" s="8"/>
      <c r="G581" s="8"/>
      <c r="H581" s="8"/>
      <c r="I581" s="8"/>
      <c r="J581" s="8"/>
      <c r="K581" s="8"/>
      <c r="L581" s="8"/>
      <c r="M581" s="8"/>
      <c r="N581" s="8"/>
      <c r="O581" s="8"/>
      <c r="P581" s="8"/>
      <c r="Q581" s="8"/>
      <c r="R581" s="8"/>
      <c r="S581" s="8"/>
      <c r="T581" s="8"/>
      <c r="U581" s="12"/>
      <c r="V581" s="12"/>
      <c r="W581" s="12"/>
      <c r="X581" s="12"/>
      <c r="Y581" s="12"/>
      <c r="Z581" s="12"/>
      <c r="AA581" s="12"/>
      <c r="AB581" s="12"/>
      <c r="AC581" s="12"/>
      <c r="AD581" s="12"/>
      <c r="AE581" s="12"/>
      <c r="AF581" s="12"/>
    </row>
    <row r="582" spans="1:32">
      <c r="A582" s="8"/>
      <c r="B582" s="8"/>
      <c r="C582" s="8"/>
      <c r="D582" s="8"/>
      <c r="E582" s="8"/>
      <c r="F582" s="8"/>
      <c r="G582" s="8"/>
      <c r="H582" s="8"/>
      <c r="I582" s="8"/>
      <c r="J582" s="8"/>
      <c r="K582" s="8"/>
      <c r="L582" s="8"/>
      <c r="M582" s="8"/>
      <c r="N582" s="8"/>
      <c r="O582" s="8"/>
      <c r="P582" s="8"/>
      <c r="Q582" s="8"/>
      <c r="R582" s="8"/>
      <c r="S582" s="8"/>
      <c r="T582" s="8"/>
      <c r="U582" s="12"/>
      <c r="V582" s="12"/>
      <c r="W582" s="12"/>
      <c r="X582" s="12"/>
      <c r="Y582" s="12"/>
      <c r="Z582" s="12"/>
      <c r="AA582" s="12"/>
      <c r="AB582" s="12"/>
      <c r="AC582" s="12"/>
      <c r="AD582" s="12"/>
      <c r="AE582" s="12"/>
      <c r="AF582" s="12"/>
    </row>
    <row r="583" spans="1:32">
      <c r="A583" s="8"/>
      <c r="B583" s="8"/>
      <c r="C583" s="8"/>
      <c r="D583" s="8"/>
      <c r="E583" s="8"/>
      <c r="F583" s="8"/>
      <c r="G583" s="8"/>
      <c r="H583" s="8"/>
      <c r="I583" s="8"/>
      <c r="J583" s="8"/>
      <c r="K583" s="8"/>
      <c r="L583" s="8"/>
      <c r="M583" s="8"/>
      <c r="N583" s="8"/>
      <c r="O583" s="8"/>
      <c r="P583" s="8"/>
      <c r="Q583" s="8"/>
      <c r="R583" s="8"/>
      <c r="S583" s="8"/>
      <c r="T583" s="8"/>
      <c r="U583" s="12"/>
      <c r="V583" s="12"/>
      <c r="W583" s="12"/>
      <c r="X583" s="12"/>
      <c r="Y583" s="12"/>
      <c r="Z583" s="12"/>
      <c r="AA583" s="12"/>
      <c r="AB583" s="12"/>
      <c r="AC583" s="12"/>
      <c r="AD583" s="12"/>
      <c r="AE583" s="12"/>
      <c r="AF583" s="12"/>
    </row>
    <row r="584" spans="1:32">
      <c r="A584" s="8"/>
      <c r="B584" s="8"/>
      <c r="C584" s="8"/>
      <c r="D584" s="8"/>
      <c r="E584" s="8"/>
      <c r="F584" s="8"/>
      <c r="G584" s="8"/>
      <c r="H584" s="8"/>
      <c r="I584" s="8"/>
      <c r="J584" s="8"/>
      <c r="K584" s="8"/>
      <c r="L584" s="8"/>
      <c r="M584" s="8"/>
      <c r="N584" s="8"/>
      <c r="O584" s="8"/>
      <c r="P584" s="8"/>
      <c r="Q584" s="8"/>
      <c r="R584" s="8"/>
      <c r="S584" s="8"/>
      <c r="T584" s="8"/>
      <c r="U584" s="12"/>
      <c r="V584" s="12"/>
      <c r="W584" s="12"/>
      <c r="X584" s="12"/>
      <c r="Y584" s="12"/>
      <c r="Z584" s="12"/>
      <c r="AA584" s="12"/>
      <c r="AB584" s="12"/>
      <c r="AC584" s="12"/>
      <c r="AD584" s="12"/>
      <c r="AE584" s="12"/>
      <c r="AF584" s="12"/>
    </row>
    <row r="585" spans="1:32">
      <c r="A585" s="8"/>
      <c r="B585" s="8"/>
      <c r="C585" s="8"/>
      <c r="D585" s="8"/>
      <c r="E585" s="8"/>
      <c r="F585" s="8"/>
      <c r="G585" s="8"/>
      <c r="H585" s="8"/>
      <c r="I585" s="8"/>
      <c r="J585" s="8"/>
      <c r="K585" s="8"/>
      <c r="L585" s="8"/>
      <c r="M585" s="8"/>
      <c r="N585" s="8"/>
      <c r="O585" s="8"/>
      <c r="P585" s="8"/>
      <c r="Q585" s="8"/>
      <c r="R585" s="8"/>
      <c r="S585" s="8"/>
      <c r="T585" s="8"/>
      <c r="U585" s="12"/>
      <c r="V585" s="12"/>
      <c r="W585" s="12"/>
      <c r="X585" s="12"/>
      <c r="Y585" s="12"/>
      <c r="Z585" s="12"/>
      <c r="AA585" s="12"/>
      <c r="AB585" s="12"/>
      <c r="AC585" s="12"/>
      <c r="AD585" s="12"/>
      <c r="AE585" s="12"/>
      <c r="AF585" s="12"/>
    </row>
    <row r="586" spans="1:32">
      <c r="A586" s="8"/>
      <c r="B586" s="8"/>
      <c r="C586" s="8"/>
      <c r="D586" s="8"/>
      <c r="E586" s="8"/>
      <c r="F586" s="8"/>
      <c r="G586" s="8"/>
      <c r="H586" s="8"/>
      <c r="I586" s="8"/>
      <c r="J586" s="8"/>
      <c r="K586" s="8"/>
      <c r="L586" s="8"/>
      <c r="M586" s="8"/>
      <c r="N586" s="8"/>
      <c r="O586" s="8"/>
      <c r="P586" s="8"/>
      <c r="Q586" s="8"/>
      <c r="R586" s="8"/>
      <c r="S586" s="8"/>
      <c r="T586" s="8"/>
      <c r="U586" s="12"/>
      <c r="V586" s="12"/>
      <c r="W586" s="12"/>
      <c r="X586" s="12"/>
      <c r="Y586" s="12"/>
      <c r="Z586" s="12"/>
      <c r="AA586" s="12"/>
      <c r="AB586" s="12"/>
      <c r="AC586" s="12"/>
      <c r="AD586" s="12"/>
      <c r="AE586" s="12"/>
      <c r="AF586" s="12"/>
    </row>
    <row r="587" spans="1:32">
      <c r="A587" s="8"/>
      <c r="B587" s="8"/>
      <c r="C587" s="8"/>
      <c r="D587" s="8"/>
      <c r="E587" s="8"/>
      <c r="F587" s="8"/>
      <c r="G587" s="8"/>
      <c r="H587" s="8"/>
      <c r="I587" s="8"/>
      <c r="J587" s="8"/>
      <c r="K587" s="8"/>
      <c r="L587" s="8"/>
      <c r="M587" s="8"/>
      <c r="N587" s="8"/>
      <c r="O587" s="8"/>
      <c r="P587" s="8"/>
      <c r="Q587" s="8"/>
      <c r="R587" s="8"/>
      <c r="S587" s="8"/>
      <c r="T587" s="8"/>
      <c r="U587" s="12"/>
      <c r="V587" s="12"/>
      <c r="W587" s="12"/>
      <c r="X587" s="12"/>
      <c r="Y587" s="12"/>
      <c r="Z587" s="12"/>
      <c r="AA587" s="12"/>
      <c r="AB587" s="12"/>
      <c r="AC587" s="12"/>
      <c r="AD587" s="12"/>
      <c r="AE587" s="12"/>
      <c r="AF587" s="12"/>
    </row>
    <row r="588" spans="1:32">
      <c r="A588" s="8"/>
      <c r="B588" s="8"/>
      <c r="C588" s="8"/>
      <c r="D588" s="8"/>
      <c r="E588" s="8"/>
      <c r="F588" s="8"/>
      <c r="G588" s="8"/>
      <c r="H588" s="8"/>
      <c r="I588" s="8"/>
      <c r="J588" s="8"/>
      <c r="K588" s="8"/>
      <c r="L588" s="8"/>
      <c r="M588" s="8"/>
      <c r="N588" s="8"/>
      <c r="O588" s="8"/>
      <c r="P588" s="8"/>
      <c r="Q588" s="8"/>
      <c r="R588" s="8"/>
      <c r="S588" s="8"/>
      <c r="T588" s="8"/>
      <c r="U588" s="12"/>
      <c r="V588" s="12"/>
      <c r="W588" s="12"/>
      <c r="X588" s="12"/>
      <c r="Y588" s="12"/>
      <c r="Z588" s="12"/>
      <c r="AA588" s="12"/>
      <c r="AB588" s="12"/>
      <c r="AC588" s="12"/>
      <c r="AD588" s="12"/>
      <c r="AE588" s="12"/>
      <c r="AF588" s="12"/>
    </row>
    <row r="589" spans="1:32">
      <c r="A589" s="8"/>
      <c r="B589" s="8"/>
      <c r="C589" s="8"/>
      <c r="D589" s="8"/>
      <c r="E589" s="8"/>
      <c r="F589" s="8"/>
      <c r="G589" s="8"/>
      <c r="H589" s="8"/>
      <c r="I589" s="8"/>
      <c r="J589" s="8"/>
      <c r="K589" s="8"/>
      <c r="L589" s="8"/>
      <c r="M589" s="8"/>
      <c r="N589" s="8"/>
      <c r="O589" s="8"/>
      <c r="P589" s="8"/>
      <c r="Q589" s="8"/>
      <c r="R589" s="8"/>
      <c r="S589" s="8"/>
      <c r="T589" s="8"/>
      <c r="U589" s="12"/>
      <c r="V589" s="12"/>
      <c r="W589" s="12"/>
      <c r="X589" s="12"/>
      <c r="Y589" s="12"/>
      <c r="Z589" s="12"/>
      <c r="AA589" s="12"/>
      <c r="AB589" s="12"/>
      <c r="AC589" s="12"/>
      <c r="AD589" s="12"/>
      <c r="AE589" s="12"/>
      <c r="AF589" s="12"/>
    </row>
    <row r="590" spans="1:32">
      <c r="A590" s="8"/>
      <c r="B590" s="8"/>
      <c r="C590" s="8"/>
      <c r="D590" s="8"/>
      <c r="E590" s="8"/>
      <c r="F590" s="8"/>
      <c r="G590" s="8"/>
      <c r="H590" s="8"/>
      <c r="I590" s="8"/>
      <c r="J590" s="8"/>
      <c r="K590" s="8"/>
      <c r="L590" s="8"/>
      <c r="M590" s="8"/>
      <c r="N590" s="8"/>
      <c r="O590" s="8"/>
      <c r="P590" s="8"/>
      <c r="Q590" s="8"/>
      <c r="R590" s="8"/>
      <c r="S590" s="8"/>
      <c r="T590" s="8"/>
      <c r="U590" s="12"/>
      <c r="V590" s="12"/>
      <c r="W590" s="12"/>
      <c r="X590" s="12"/>
      <c r="Y590" s="12"/>
      <c r="Z590" s="12"/>
      <c r="AA590" s="12"/>
      <c r="AB590" s="12"/>
      <c r="AC590" s="12"/>
      <c r="AD590" s="12"/>
      <c r="AE590" s="12"/>
      <c r="AF590" s="12"/>
    </row>
    <row r="591" spans="1:32">
      <c r="A591" s="8"/>
      <c r="B591" s="8"/>
      <c r="C591" s="8"/>
      <c r="D591" s="8"/>
      <c r="E591" s="8"/>
      <c r="F591" s="8"/>
      <c r="G591" s="8"/>
      <c r="H591" s="8"/>
      <c r="I591" s="8"/>
      <c r="J591" s="8"/>
      <c r="K591" s="8"/>
      <c r="L591" s="8"/>
      <c r="M591" s="8"/>
      <c r="N591" s="8"/>
      <c r="O591" s="8"/>
      <c r="P591" s="8"/>
      <c r="Q591" s="8"/>
      <c r="R591" s="8"/>
      <c r="S591" s="8"/>
      <c r="T591" s="8"/>
      <c r="U591" s="12"/>
      <c r="V591" s="12"/>
      <c r="W591" s="12"/>
      <c r="X591" s="12"/>
      <c r="Y591" s="12"/>
      <c r="Z591" s="12"/>
      <c r="AA591" s="12"/>
      <c r="AB591" s="12"/>
      <c r="AC591" s="12"/>
      <c r="AD591" s="12"/>
      <c r="AE591" s="12"/>
      <c r="AF591" s="12"/>
    </row>
    <row r="592" spans="1:32">
      <c r="A592" s="8"/>
      <c r="B592" s="8"/>
      <c r="C592" s="8"/>
      <c r="D592" s="8"/>
      <c r="E592" s="8"/>
      <c r="F592" s="8"/>
      <c r="G592" s="8"/>
      <c r="H592" s="8"/>
      <c r="I592" s="8"/>
      <c r="J592" s="8"/>
      <c r="K592" s="8"/>
      <c r="L592" s="8"/>
      <c r="M592" s="8"/>
      <c r="N592" s="8"/>
      <c r="O592" s="8"/>
      <c r="P592" s="8"/>
      <c r="Q592" s="8"/>
      <c r="R592" s="8"/>
      <c r="S592" s="8"/>
      <c r="T592" s="8"/>
      <c r="U592" s="12"/>
      <c r="V592" s="12"/>
      <c r="W592" s="12"/>
      <c r="X592" s="12"/>
      <c r="Y592" s="12"/>
      <c r="Z592" s="12"/>
      <c r="AA592" s="12"/>
      <c r="AB592" s="12"/>
      <c r="AC592" s="12"/>
      <c r="AD592" s="12"/>
      <c r="AE592" s="12"/>
      <c r="AF592" s="12"/>
    </row>
    <row r="593" spans="1:32">
      <c r="A593" s="8"/>
      <c r="B593" s="8"/>
      <c r="C593" s="8"/>
      <c r="D593" s="8"/>
      <c r="E593" s="8"/>
      <c r="F593" s="8"/>
      <c r="G593" s="8"/>
      <c r="H593" s="8"/>
      <c r="I593" s="8"/>
      <c r="J593" s="8"/>
      <c r="K593" s="8"/>
      <c r="L593" s="8"/>
      <c r="M593" s="8"/>
      <c r="N593" s="8"/>
      <c r="O593" s="8"/>
      <c r="P593" s="8"/>
      <c r="Q593" s="8"/>
      <c r="R593" s="8"/>
      <c r="S593" s="8"/>
      <c r="T593" s="8"/>
      <c r="U593" s="12"/>
      <c r="V593" s="12"/>
      <c r="W593" s="12"/>
      <c r="X593" s="12"/>
      <c r="Y593" s="12"/>
      <c r="Z593" s="12"/>
      <c r="AA593" s="12"/>
      <c r="AB593" s="12"/>
      <c r="AC593" s="12"/>
      <c r="AD593" s="12"/>
      <c r="AE593" s="12"/>
      <c r="AF593" s="12"/>
    </row>
    <row r="594" spans="1:32">
      <c r="A594" s="8"/>
      <c r="B594" s="8"/>
      <c r="C594" s="8"/>
      <c r="D594" s="8"/>
      <c r="E594" s="8"/>
      <c r="F594" s="8"/>
      <c r="G594" s="8"/>
      <c r="H594" s="8"/>
      <c r="I594" s="8"/>
      <c r="J594" s="8"/>
      <c r="K594" s="8"/>
      <c r="L594" s="8"/>
      <c r="M594" s="8"/>
      <c r="N594" s="8"/>
      <c r="O594" s="8"/>
      <c r="P594" s="8"/>
      <c r="Q594" s="8"/>
      <c r="R594" s="8"/>
      <c r="S594" s="8"/>
      <c r="T594" s="8"/>
      <c r="U594" s="12"/>
      <c r="V594" s="12"/>
      <c r="W594" s="12"/>
      <c r="X594" s="12"/>
      <c r="Y594" s="12"/>
      <c r="Z594" s="12"/>
      <c r="AA594" s="12"/>
      <c r="AB594" s="12"/>
      <c r="AC594" s="12"/>
      <c r="AD594" s="12"/>
      <c r="AE594" s="12"/>
      <c r="AF594" s="12"/>
    </row>
    <row r="595" spans="1:32">
      <c r="A595" s="8"/>
      <c r="B595" s="8"/>
      <c r="C595" s="8"/>
      <c r="D595" s="8"/>
      <c r="E595" s="8"/>
      <c r="F595" s="8"/>
      <c r="G595" s="8"/>
      <c r="H595" s="8"/>
      <c r="I595" s="8"/>
      <c r="J595" s="8"/>
      <c r="K595" s="8"/>
      <c r="L595" s="8"/>
      <c r="M595" s="8"/>
      <c r="N595" s="8"/>
      <c r="O595" s="8"/>
      <c r="P595" s="8"/>
      <c r="Q595" s="8"/>
      <c r="R595" s="8"/>
      <c r="S595" s="8"/>
      <c r="T595" s="8"/>
      <c r="U595" s="12"/>
      <c r="V595" s="12"/>
      <c r="W595" s="12"/>
      <c r="X595" s="12"/>
      <c r="Y595" s="12"/>
      <c r="Z595" s="12"/>
      <c r="AA595" s="12"/>
      <c r="AB595" s="12"/>
      <c r="AC595" s="12"/>
      <c r="AD595" s="12"/>
      <c r="AE595" s="12"/>
      <c r="AF595" s="12"/>
    </row>
    <row r="596" spans="1:32">
      <c r="A596" s="8"/>
      <c r="B596" s="8"/>
      <c r="C596" s="8"/>
      <c r="D596" s="8"/>
      <c r="E596" s="8"/>
      <c r="F596" s="8"/>
      <c r="G596" s="8"/>
      <c r="H596" s="8"/>
      <c r="I596" s="8"/>
      <c r="J596" s="8"/>
      <c r="K596" s="8"/>
      <c r="L596" s="8"/>
      <c r="M596" s="8"/>
      <c r="N596" s="8"/>
      <c r="O596" s="8"/>
      <c r="P596" s="8"/>
      <c r="Q596" s="8"/>
      <c r="R596" s="8"/>
      <c r="S596" s="8"/>
      <c r="T596" s="8"/>
      <c r="U596" s="12"/>
      <c r="V596" s="12"/>
      <c r="W596" s="12"/>
      <c r="X596" s="12"/>
      <c r="Y596" s="12"/>
      <c r="Z596" s="12"/>
      <c r="AA596" s="12"/>
      <c r="AB596" s="12"/>
      <c r="AC596" s="12"/>
      <c r="AD596" s="12"/>
      <c r="AE596" s="12"/>
      <c r="AF596" s="12"/>
    </row>
    <row r="597" spans="1:32">
      <c r="A597" s="8"/>
      <c r="B597" s="8"/>
      <c r="C597" s="8"/>
      <c r="D597" s="8"/>
      <c r="E597" s="8"/>
      <c r="F597" s="8"/>
      <c r="G597" s="8"/>
      <c r="H597" s="8"/>
      <c r="I597" s="8"/>
      <c r="J597" s="8"/>
      <c r="K597" s="8"/>
      <c r="L597" s="8"/>
      <c r="M597" s="8"/>
      <c r="N597" s="8"/>
      <c r="O597" s="8"/>
      <c r="P597" s="8"/>
      <c r="Q597" s="8"/>
      <c r="R597" s="8"/>
      <c r="S597" s="8"/>
      <c r="T597" s="8"/>
      <c r="U597" s="12"/>
      <c r="V597" s="12"/>
      <c r="W597" s="12"/>
      <c r="X597" s="12"/>
      <c r="Y597" s="12"/>
      <c r="Z597" s="12"/>
      <c r="AA597" s="12"/>
      <c r="AB597" s="12"/>
      <c r="AC597" s="12"/>
      <c r="AD597" s="12"/>
      <c r="AE597" s="12"/>
      <c r="AF597" s="12"/>
    </row>
    <row r="598" spans="1:32">
      <c r="A598" s="8"/>
      <c r="B598" s="8"/>
      <c r="C598" s="8"/>
      <c r="D598" s="8"/>
      <c r="E598" s="8"/>
      <c r="F598" s="8"/>
      <c r="G598" s="8"/>
      <c r="H598" s="8"/>
      <c r="I598" s="8"/>
      <c r="J598" s="8"/>
      <c r="K598" s="8"/>
      <c r="L598" s="8"/>
      <c r="M598" s="8"/>
      <c r="N598" s="8"/>
      <c r="O598" s="8"/>
      <c r="P598" s="8"/>
      <c r="Q598" s="8"/>
      <c r="R598" s="8"/>
      <c r="S598" s="8"/>
      <c r="T598" s="8"/>
      <c r="U598" s="12"/>
      <c r="V598" s="12"/>
      <c r="W598" s="12"/>
      <c r="X598" s="12"/>
      <c r="Y598" s="12"/>
      <c r="Z598" s="12"/>
      <c r="AA598" s="12"/>
      <c r="AB598" s="12"/>
      <c r="AC598" s="12"/>
      <c r="AD598" s="12"/>
      <c r="AE598" s="12"/>
      <c r="AF598" s="12"/>
    </row>
    <row r="599" spans="1:32">
      <c r="A599" s="8"/>
      <c r="B599" s="8"/>
      <c r="C599" s="8"/>
      <c r="D599" s="8"/>
      <c r="E599" s="8"/>
      <c r="F599" s="8"/>
      <c r="G599" s="8"/>
      <c r="H599" s="8"/>
      <c r="I599" s="8"/>
      <c r="J599" s="8"/>
      <c r="K599" s="8"/>
      <c r="L599" s="8"/>
      <c r="M599" s="8"/>
      <c r="N599" s="8"/>
      <c r="O599" s="8"/>
      <c r="P599" s="8"/>
      <c r="Q599" s="8"/>
      <c r="R599" s="8"/>
      <c r="S599" s="8"/>
      <c r="T599" s="8"/>
      <c r="U599" s="12"/>
      <c r="V599" s="12"/>
      <c r="W599" s="12"/>
      <c r="X599" s="12"/>
      <c r="Y599" s="12"/>
      <c r="Z599" s="12"/>
      <c r="AA599" s="12"/>
      <c r="AB599" s="12"/>
      <c r="AC599" s="12"/>
      <c r="AD599" s="12"/>
      <c r="AE599" s="12"/>
      <c r="AF599" s="12"/>
    </row>
    <row r="600" spans="1:32">
      <c r="A600" s="8"/>
      <c r="B600" s="8"/>
      <c r="C600" s="8"/>
      <c r="D600" s="8"/>
      <c r="E600" s="8"/>
      <c r="F600" s="8"/>
      <c r="G600" s="8"/>
      <c r="H600" s="8"/>
      <c r="I600" s="8"/>
      <c r="J600" s="8"/>
      <c r="K600" s="8"/>
      <c r="L600" s="8"/>
      <c r="M600" s="8"/>
      <c r="N600" s="8"/>
      <c r="O600" s="8"/>
      <c r="P600" s="8"/>
      <c r="Q600" s="8"/>
      <c r="R600" s="8"/>
      <c r="S600" s="8"/>
      <c r="T600" s="8"/>
      <c r="U600" s="12"/>
      <c r="V600" s="12"/>
      <c r="W600" s="12"/>
      <c r="X600" s="12"/>
      <c r="Y600" s="12"/>
      <c r="Z600" s="12"/>
      <c r="AA600" s="12"/>
      <c r="AB600" s="12"/>
      <c r="AC600" s="12"/>
      <c r="AD600" s="12"/>
      <c r="AE600" s="12"/>
      <c r="AF600" s="12"/>
    </row>
    <row r="601" spans="1:32">
      <c r="A601" s="8"/>
      <c r="B601" s="8"/>
      <c r="C601" s="8"/>
      <c r="D601" s="8"/>
      <c r="E601" s="8"/>
      <c r="F601" s="8"/>
      <c r="G601" s="8"/>
      <c r="H601" s="8"/>
      <c r="I601" s="8"/>
      <c r="J601" s="8"/>
      <c r="K601" s="8"/>
      <c r="L601" s="8"/>
      <c r="M601" s="8"/>
      <c r="N601" s="8"/>
      <c r="O601" s="8"/>
      <c r="P601" s="8"/>
      <c r="Q601" s="8"/>
      <c r="R601" s="8"/>
      <c r="S601" s="8"/>
      <c r="T601" s="8"/>
      <c r="U601" s="12"/>
      <c r="V601" s="12"/>
      <c r="W601" s="12"/>
      <c r="X601" s="12"/>
      <c r="Y601" s="12"/>
      <c r="Z601" s="12"/>
      <c r="AA601" s="12"/>
      <c r="AB601" s="12"/>
      <c r="AC601" s="12"/>
      <c r="AD601" s="12"/>
      <c r="AE601" s="12"/>
      <c r="AF601" s="12"/>
    </row>
    <row r="602" spans="1:32">
      <c r="A602" s="8"/>
      <c r="B602" s="8"/>
      <c r="C602" s="8"/>
      <c r="D602" s="8"/>
      <c r="E602" s="8"/>
      <c r="F602" s="8"/>
      <c r="G602" s="8"/>
      <c r="H602" s="8"/>
      <c r="I602" s="8"/>
      <c r="J602" s="8"/>
      <c r="K602" s="8"/>
      <c r="L602" s="8"/>
      <c r="M602" s="8"/>
      <c r="N602" s="8"/>
      <c r="O602" s="8"/>
      <c r="P602" s="8"/>
      <c r="Q602" s="8"/>
      <c r="R602" s="8"/>
      <c r="S602" s="8"/>
      <c r="T602" s="8"/>
      <c r="U602" s="12"/>
      <c r="V602" s="12"/>
      <c r="W602" s="12"/>
      <c r="X602" s="12"/>
      <c r="Y602" s="12"/>
      <c r="Z602" s="12"/>
      <c r="AA602" s="12"/>
      <c r="AB602" s="12"/>
      <c r="AC602" s="12"/>
      <c r="AD602" s="12"/>
      <c r="AE602" s="12"/>
      <c r="AF602" s="12"/>
    </row>
    <row r="603" spans="1:32">
      <c r="A603" s="8"/>
      <c r="B603" s="8"/>
      <c r="C603" s="8"/>
      <c r="D603" s="8"/>
      <c r="E603" s="8"/>
      <c r="F603" s="8"/>
      <c r="G603" s="8"/>
      <c r="H603" s="8"/>
      <c r="I603" s="8"/>
      <c r="J603" s="8"/>
      <c r="K603" s="8"/>
      <c r="L603" s="8"/>
      <c r="M603" s="8"/>
      <c r="N603" s="8"/>
      <c r="O603" s="8"/>
      <c r="P603" s="8"/>
      <c r="Q603" s="8"/>
      <c r="R603" s="8"/>
      <c r="S603" s="8"/>
      <c r="T603" s="8"/>
      <c r="U603" s="12"/>
      <c r="V603" s="12"/>
      <c r="W603" s="12"/>
      <c r="X603" s="12"/>
      <c r="Y603" s="12"/>
      <c r="Z603" s="12"/>
      <c r="AA603" s="12"/>
      <c r="AB603" s="12"/>
      <c r="AC603" s="12"/>
      <c r="AD603" s="12"/>
      <c r="AE603" s="12"/>
      <c r="AF603" s="12"/>
    </row>
    <row r="604" spans="1:32">
      <c r="A604" s="8"/>
      <c r="B604" s="8"/>
      <c r="C604" s="8"/>
      <c r="D604" s="8"/>
      <c r="E604" s="8"/>
      <c r="F604" s="8"/>
      <c r="G604" s="8"/>
      <c r="H604" s="8"/>
      <c r="I604" s="8"/>
      <c r="J604" s="8"/>
      <c r="K604" s="8"/>
      <c r="L604" s="8"/>
      <c r="M604" s="8"/>
      <c r="N604" s="8"/>
      <c r="O604" s="8"/>
      <c r="P604" s="8"/>
      <c r="Q604" s="8"/>
      <c r="R604" s="8"/>
      <c r="S604" s="8"/>
      <c r="T604" s="8"/>
      <c r="U604" s="12"/>
      <c r="V604" s="12"/>
      <c r="W604" s="12"/>
      <c r="X604" s="12"/>
      <c r="Y604" s="12"/>
      <c r="Z604" s="12"/>
      <c r="AA604" s="12"/>
      <c r="AB604" s="12"/>
      <c r="AC604" s="12"/>
      <c r="AD604" s="12"/>
      <c r="AE604" s="12"/>
      <c r="AF604" s="12"/>
    </row>
    <row r="605" spans="1:32">
      <c r="A605" s="8"/>
      <c r="B605" s="8"/>
      <c r="C605" s="8"/>
      <c r="D605" s="8"/>
      <c r="E605" s="8"/>
      <c r="F605" s="8"/>
      <c r="G605" s="8"/>
      <c r="H605" s="8"/>
      <c r="I605" s="8"/>
      <c r="J605" s="8"/>
      <c r="K605" s="8"/>
      <c r="L605" s="8"/>
      <c r="M605" s="8"/>
      <c r="N605" s="8"/>
      <c r="O605" s="8"/>
      <c r="P605" s="8"/>
      <c r="Q605" s="8"/>
      <c r="R605" s="8"/>
      <c r="S605" s="8"/>
      <c r="T605" s="8"/>
      <c r="U605" s="12"/>
      <c r="V605" s="12"/>
      <c r="W605" s="12"/>
      <c r="X605" s="12"/>
      <c r="Y605" s="12"/>
      <c r="Z605" s="12"/>
      <c r="AA605" s="12"/>
      <c r="AB605" s="12"/>
      <c r="AC605" s="12"/>
      <c r="AD605" s="12"/>
      <c r="AE605" s="12"/>
      <c r="AF605" s="12"/>
    </row>
    <row r="606" spans="1:32">
      <c r="A606" s="8"/>
      <c r="B606" s="8"/>
      <c r="C606" s="8"/>
      <c r="D606" s="8"/>
      <c r="E606" s="8"/>
      <c r="F606" s="8"/>
      <c r="G606" s="8"/>
      <c r="H606" s="8"/>
      <c r="I606" s="8"/>
      <c r="J606" s="8"/>
      <c r="K606" s="8"/>
      <c r="L606" s="8"/>
      <c r="M606" s="8"/>
      <c r="N606" s="8"/>
      <c r="O606" s="8"/>
      <c r="P606" s="8"/>
      <c r="Q606" s="8"/>
      <c r="R606" s="8"/>
      <c r="S606" s="8"/>
      <c r="T606" s="8"/>
      <c r="U606" s="12"/>
      <c r="V606" s="12"/>
      <c r="W606" s="12"/>
      <c r="X606" s="12"/>
      <c r="Y606" s="12"/>
      <c r="Z606" s="12"/>
      <c r="AA606" s="12"/>
      <c r="AB606" s="12"/>
      <c r="AC606" s="12"/>
      <c r="AD606" s="12"/>
      <c r="AE606" s="12"/>
      <c r="AF606" s="12"/>
    </row>
    <row r="607" spans="1:32">
      <c r="A607" s="8"/>
      <c r="B607" s="8"/>
      <c r="C607" s="8"/>
      <c r="D607" s="8"/>
      <c r="E607" s="8"/>
      <c r="F607" s="8"/>
      <c r="G607" s="8"/>
      <c r="H607" s="8"/>
      <c r="I607" s="8"/>
      <c r="J607" s="8"/>
      <c r="K607" s="8"/>
      <c r="L607" s="8"/>
      <c r="M607" s="8"/>
      <c r="N607" s="8"/>
      <c r="O607" s="8"/>
      <c r="P607" s="8"/>
      <c r="Q607" s="8"/>
      <c r="R607" s="8"/>
      <c r="S607" s="8"/>
      <c r="T607" s="8"/>
      <c r="U607" s="12"/>
      <c r="V607" s="12"/>
      <c r="W607" s="12"/>
      <c r="X607" s="12"/>
      <c r="Y607" s="12"/>
      <c r="Z607" s="12"/>
      <c r="AA607" s="12"/>
      <c r="AB607" s="12"/>
      <c r="AC607" s="12"/>
      <c r="AD607" s="12"/>
      <c r="AE607" s="12"/>
      <c r="AF607" s="12"/>
    </row>
    <row r="608" spans="1:32">
      <c r="A608" s="8"/>
      <c r="B608" s="8"/>
      <c r="C608" s="8"/>
      <c r="D608" s="8"/>
      <c r="E608" s="8"/>
      <c r="F608" s="8"/>
      <c r="G608" s="8"/>
      <c r="H608" s="8"/>
      <c r="I608" s="8"/>
      <c r="J608" s="8"/>
      <c r="K608" s="8"/>
      <c r="L608" s="8"/>
      <c r="M608" s="8"/>
      <c r="N608" s="8"/>
      <c r="O608" s="8"/>
      <c r="P608" s="8"/>
      <c r="Q608" s="8"/>
      <c r="R608" s="8"/>
      <c r="S608" s="8"/>
      <c r="T608" s="8"/>
      <c r="U608" s="12"/>
      <c r="V608" s="12"/>
      <c r="W608" s="12"/>
      <c r="X608" s="12"/>
      <c r="Y608" s="12"/>
      <c r="Z608" s="12"/>
      <c r="AA608" s="12"/>
      <c r="AB608" s="12"/>
      <c r="AC608" s="12"/>
      <c r="AD608" s="12"/>
      <c r="AE608" s="12"/>
      <c r="AF608" s="12"/>
    </row>
    <row r="609" spans="1:32">
      <c r="A609" s="8"/>
      <c r="B609" s="8"/>
      <c r="C609" s="8"/>
      <c r="D609" s="8"/>
      <c r="E609" s="8"/>
      <c r="F609" s="8"/>
      <c r="G609" s="8"/>
      <c r="H609" s="8"/>
      <c r="I609" s="8"/>
      <c r="J609" s="8"/>
      <c r="K609" s="8"/>
      <c r="L609" s="8"/>
      <c r="M609" s="8"/>
      <c r="N609" s="8"/>
      <c r="O609" s="8"/>
      <c r="P609" s="8"/>
      <c r="Q609" s="8"/>
      <c r="R609" s="8"/>
      <c r="S609" s="8"/>
      <c r="T609" s="8"/>
      <c r="U609" s="12"/>
      <c r="V609" s="12"/>
      <c r="W609" s="12"/>
      <c r="X609" s="12"/>
      <c r="Y609" s="12"/>
      <c r="Z609" s="12"/>
      <c r="AA609" s="12"/>
      <c r="AB609" s="12"/>
      <c r="AC609" s="12"/>
      <c r="AD609" s="12"/>
      <c r="AE609" s="12"/>
      <c r="AF609" s="12"/>
    </row>
    <row r="610" spans="1:32">
      <c r="A610" s="8"/>
      <c r="B610" s="8"/>
      <c r="C610" s="8"/>
      <c r="D610" s="8"/>
      <c r="E610" s="8"/>
      <c r="F610" s="8"/>
      <c r="G610" s="8"/>
      <c r="H610" s="8"/>
      <c r="I610" s="8"/>
      <c r="J610" s="8"/>
      <c r="K610" s="8"/>
      <c r="L610" s="8"/>
      <c r="M610" s="8"/>
      <c r="N610" s="8"/>
      <c r="O610" s="8"/>
      <c r="P610" s="8"/>
      <c r="Q610" s="8"/>
      <c r="R610" s="8"/>
      <c r="S610" s="8"/>
      <c r="T610" s="8"/>
      <c r="U610" s="12"/>
      <c r="V610" s="12"/>
      <c r="W610" s="12"/>
      <c r="X610" s="12"/>
      <c r="Y610" s="12"/>
      <c r="Z610" s="12"/>
      <c r="AA610" s="12"/>
      <c r="AB610" s="12"/>
      <c r="AC610" s="12"/>
      <c r="AD610" s="12"/>
      <c r="AE610" s="12"/>
      <c r="AF610" s="12"/>
    </row>
    <row r="611" spans="1:32">
      <c r="A611" s="8"/>
      <c r="B611" s="8"/>
      <c r="C611" s="8"/>
      <c r="D611" s="8"/>
      <c r="E611" s="8"/>
      <c r="F611" s="8"/>
      <c r="G611" s="8"/>
      <c r="H611" s="8"/>
      <c r="I611" s="8"/>
      <c r="J611" s="8"/>
      <c r="K611" s="8"/>
      <c r="L611" s="8"/>
      <c r="M611" s="8"/>
      <c r="N611" s="8"/>
      <c r="O611" s="8"/>
      <c r="P611" s="8"/>
      <c r="Q611" s="8"/>
      <c r="R611" s="8"/>
      <c r="S611" s="8"/>
      <c r="T611" s="8"/>
      <c r="U611" s="12"/>
      <c r="V611" s="12"/>
      <c r="W611" s="12"/>
      <c r="X611" s="12"/>
      <c r="Y611" s="12"/>
      <c r="Z611" s="12"/>
      <c r="AA611" s="12"/>
      <c r="AB611" s="12"/>
      <c r="AC611" s="12"/>
      <c r="AD611" s="12"/>
      <c r="AE611" s="12"/>
      <c r="AF611" s="12"/>
    </row>
    <row r="612" spans="1:32">
      <c r="A612" s="8"/>
      <c r="B612" s="8"/>
      <c r="C612" s="8"/>
      <c r="D612" s="8"/>
      <c r="E612" s="8"/>
      <c r="F612" s="8"/>
      <c r="G612" s="8"/>
      <c r="H612" s="8"/>
      <c r="I612" s="8"/>
      <c r="J612" s="8"/>
      <c r="K612" s="8"/>
      <c r="L612" s="8"/>
      <c r="M612" s="8"/>
      <c r="N612" s="8"/>
      <c r="O612" s="8"/>
      <c r="P612" s="8"/>
      <c r="Q612" s="8"/>
      <c r="R612" s="8"/>
      <c r="S612" s="8"/>
      <c r="T612" s="8"/>
      <c r="U612" s="12"/>
      <c r="V612" s="12"/>
      <c r="W612" s="12"/>
      <c r="X612" s="12"/>
      <c r="Y612" s="12"/>
      <c r="Z612" s="12"/>
      <c r="AA612" s="12"/>
      <c r="AB612" s="12"/>
      <c r="AC612" s="12"/>
      <c r="AD612" s="12"/>
      <c r="AE612" s="12"/>
      <c r="AF612" s="12"/>
    </row>
    <row r="613" spans="1:32">
      <c r="A613" s="8"/>
      <c r="B613" s="8"/>
      <c r="C613" s="8"/>
      <c r="D613" s="8"/>
      <c r="E613" s="8"/>
      <c r="F613" s="8"/>
      <c r="G613" s="8"/>
      <c r="H613" s="8"/>
      <c r="I613" s="8"/>
      <c r="J613" s="8"/>
      <c r="K613" s="8"/>
      <c r="L613" s="8"/>
      <c r="M613" s="8"/>
      <c r="N613" s="8"/>
      <c r="O613" s="8"/>
      <c r="P613" s="8"/>
      <c r="Q613" s="8"/>
      <c r="R613" s="8"/>
      <c r="S613" s="8"/>
      <c r="T613" s="8"/>
      <c r="U613" s="12"/>
      <c r="V613" s="12"/>
      <c r="W613" s="12"/>
      <c r="X613" s="12"/>
      <c r="Y613" s="12"/>
      <c r="Z613" s="12"/>
      <c r="AA613" s="12"/>
      <c r="AB613" s="12"/>
      <c r="AC613" s="12"/>
      <c r="AD613" s="12"/>
      <c r="AE613" s="12"/>
      <c r="AF613" s="12"/>
    </row>
    <row r="614" spans="1:32">
      <c r="A614" s="8"/>
      <c r="B614" s="8"/>
      <c r="C614" s="8"/>
      <c r="D614" s="8"/>
      <c r="E614" s="8"/>
      <c r="F614" s="8"/>
      <c r="G614" s="8"/>
      <c r="H614" s="8"/>
      <c r="I614" s="8"/>
      <c r="J614" s="8"/>
      <c r="K614" s="8"/>
      <c r="L614" s="8"/>
      <c r="M614" s="8"/>
      <c r="N614" s="8"/>
      <c r="O614" s="8"/>
      <c r="P614" s="8"/>
      <c r="Q614" s="8"/>
      <c r="R614" s="8"/>
      <c r="S614" s="8"/>
      <c r="T614" s="8"/>
      <c r="U614" s="12"/>
      <c r="V614" s="12"/>
      <c r="W614" s="12"/>
      <c r="X614" s="12"/>
      <c r="Y614" s="12"/>
      <c r="Z614" s="12"/>
      <c r="AA614" s="12"/>
      <c r="AB614" s="12"/>
      <c r="AC614" s="12"/>
      <c r="AD614" s="12"/>
      <c r="AE614" s="12"/>
      <c r="AF614" s="12"/>
    </row>
    <row r="615" spans="1:32">
      <c r="A615" s="8"/>
      <c r="B615" s="8"/>
      <c r="C615" s="8"/>
      <c r="D615" s="8"/>
      <c r="E615" s="8"/>
      <c r="F615" s="8"/>
      <c r="G615" s="8"/>
      <c r="H615" s="8"/>
      <c r="I615" s="8"/>
      <c r="J615" s="8"/>
      <c r="K615" s="8"/>
      <c r="L615" s="8"/>
      <c r="M615" s="8"/>
      <c r="N615" s="8"/>
      <c r="O615" s="8"/>
      <c r="P615" s="8"/>
      <c r="Q615" s="8"/>
      <c r="R615" s="8"/>
      <c r="S615" s="8"/>
      <c r="T615" s="8"/>
      <c r="U615" s="12"/>
      <c r="V615" s="12"/>
      <c r="W615" s="12"/>
      <c r="X615" s="12"/>
      <c r="Y615" s="12"/>
      <c r="Z615" s="12"/>
      <c r="AA615" s="12"/>
      <c r="AB615" s="12"/>
      <c r="AC615" s="12"/>
      <c r="AD615" s="12"/>
      <c r="AE615" s="12"/>
      <c r="AF615" s="12"/>
    </row>
    <row r="616" spans="1:32">
      <c r="A616" s="8"/>
      <c r="B616" s="8"/>
      <c r="C616" s="8"/>
      <c r="D616" s="8"/>
      <c r="E616" s="8"/>
      <c r="F616" s="8"/>
      <c r="G616" s="8"/>
      <c r="H616" s="8"/>
      <c r="I616" s="8"/>
      <c r="J616" s="8"/>
      <c r="K616" s="8"/>
      <c r="L616" s="8"/>
      <c r="M616" s="8"/>
      <c r="N616" s="8"/>
      <c r="O616" s="8"/>
      <c r="P616" s="8"/>
      <c r="Q616" s="8"/>
      <c r="R616" s="8"/>
      <c r="S616" s="8"/>
      <c r="T616" s="8"/>
      <c r="U616" s="12"/>
      <c r="V616" s="12"/>
      <c r="W616" s="12"/>
      <c r="X616" s="12"/>
      <c r="Y616" s="12"/>
      <c r="Z616" s="12"/>
      <c r="AA616" s="12"/>
      <c r="AB616" s="12"/>
      <c r="AC616" s="12"/>
      <c r="AD616" s="12"/>
      <c r="AE616" s="12"/>
      <c r="AF616" s="12"/>
    </row>
    <row r="617" spans="1:32">
      <c r="A617" s="8"/>
      <c r="B617" s="8"/>
      <c r="C617" s="8"/>
      <c r="D617" s="8"/>
      <c r="E617" s="8"/>
      <c r="F617" s="8"/>
      <c r="G617" s="8"/>
      <c r="H617" s="8"/>
      <c r="I617" s="8"/>
      <c r="J617" s="8"/>
      <c r="K617" s="8"/>
      <c r="L617" s="8"/>
      <c r="M617" s="8"/>
      <c r="N617" s="8"/>
      <c r="O617" s="8"/>
      <c r="P617" s="8"/>
      <c r="Q617" s="8"/>
      <c r="R617" s="8"/>
      <c r="S617" s="8"/>
      <c r="T617" s="8"/>
      <c r="U617" s="12"/>
      <c r="V617" s="12"/>
      <c r="W617" s="12"/>
      <c r="X617" s="12"/>
      <c r="Y617" s="12"/>
      <c r="Z617" s="12"/>
      <c r="AA617" s="12"/>
      <c r="AB617" s="12"/>
      <c r="AC617" s="12"/>
      <c r="AD617" s="12"/>
      <c r="AE617" s="12"/>
      <c r="AF617" s="12"/>
    </row>
    <row r="618" spans="1:32">
      <c r="A618" s="8"/>
      <c r="B618" s="8"/>
      <c r="C618" s="8"/>
      <c r="D618" s="8"/>
      <c r="E618" s="8"/>
      <c r="F618" s="8"/>
      <c r="G618" s="8"/>
      <c r="H618" s="8"/>
      <c r="I618" s="8"/>
      <c r="J618" s="8"/>
      <c r="K618" s="8"/>
      <c r="L618" s="8"/>
      <c r="M618" s="8"/>
      <c r="N618" s="8"/>
      <c r="O618" s="8"/>
      <c r="P618" s="8"/>
      <c r="Q618" s="8"/>
      <c r="R618" s="8"/>
      <c r="S618" s="8"/>
      <c r="T618" s="8"/>
      <c r="U618" s="12"/>
      <c r="V618" s="12"/>
      <c r="W618" s="12"/>
      <c r="X618" s="12"/>
      <c r="Y618" s="12"/>
      <c r="Z618" s="12"/>
      <c r="AA618" s="12"/>
      <c r="AB618" s="12"/>
      <c r="AC618" s="12"/>
      <c r="AD618" s="12"/>
      <c r="AE618" s="12"/>
      <c r="AF618" s="12"/>
    </row>
    <row r="619" spans="1:32">
      <c r="A619" s="8"/>
      <c r="B619" s="8"/>
      <c r="C619" s="8"/>
      <c r="D619" s="8"/>
      <c r="E619" s="8"/>
      <c r="F619" s="8"/>
      <c r="G619" s="8"/>
      <c r="H619" s="8"/>
      <c r="I619" s="8"/>
      <c r="J619" s="8"/>
      <c r="K619" s="8"/>
      <c r="L619" s="8"/>
      <c r="M619" s="8"/>
      <c r="N619" s="8"/>
      <c r="O619" s="8"/>
      <c r="P619" s="8"/>
      <c r="Q619" s="8"/>
      <c r="R619" s="8"/>
      <c r="S619" s="8"/>
      <c r="T619" s="8"/>
      <c r="U619" s="12"/>
      <c r="V619" s="12"/>
      <c r="W619" s="12"/>
      <c r="X619" s="12"/>
      <c r="Y619" s="12"/>
      <c r="Z619" s="12"/>
      <c r="AA619" s="12"/>
      <c r="AB619" s="12"/>
      <c r="AC619" s="12"/>
      <c r="AD619" s="12"/>
      <c r="AE619" s="12"/>
      <c r="AF619" s="12"/>
    </row>
    <row r="620" spans="1:32">
      <c r="A620" s="8"/>
      <c r="B620" s="8"/>
      <c r="C620" s="8"/>
      <c r="D620" s="8"/>
      <c r="E620" s="8"/>
      <c r="F620" s="8"/>
      <c r="G620" s="8"/>
      <c r="H620" s="8"/>
      <c r="I620" s="8"/>
      <c r="J620" s="8"/>
      <c r="K620" s="8"/>
      <c r="L620" s="8"/>
      <c r="M620" s="8"/>
      <c r="N620" s="8"/>
      <c r="O620" s="8"/>
      <c r="P620" s="8"/>
      <c r="Q620" s="8"/>
      <c r="R620" s="8"/>
      <c r="S620" s="8"/>
      <c r="T620" s="8"/>
      <c r="U620" s="12"/>
      <c r="V620" s="12"/>
      <c r="W620" s="12"/>
      <c r="X620" s="12"/>
      <c r="Y620" s="12"/>
      <c r="Z620" s="12"/>
      <c r="AA620" s="12"/>
      <c r="AB620" s="12"/>
      <c r="AC620" s="12"/>
      <c r="AD620" s="12"/>
      <c r="AE620" s="12"/>
      <c r="AF620" s="12"/>
    </row>
    <row r="621" spans="1:32">
      <c r="A621" s="8"/>
      <c r="B621" s="8"/>
      <c r="C621" s="8"/>
      <c r="D621" s="8"/>
      <c r="E621" s="8"/>
      <c r="F621" s="8"/>
      <c r="G621" s="8"/>
      <c r="H621" s="8"/>
      <c r="I621" s="8"/>
      <c r="J621" s="8"/>
      <c r="K621" s="8"/>
      <c r="L621" s="8"/>
      <c r="M621" s="8"/>
      <c r="N621" s="8"/>
      <c r="O621" s="8"/>
      <c r="P621" s="8"/>
      <c r="Q621" s="8"/>
      <c r="R621" s="8"/>
      <c r="S621" s="8"/>
      <c r="T621" s="8"/>
      <c r="U621" s="12"/>
      <c r="V621" s="12"/>
      <c r="W621" s="12"/>
      <c r="X621" s="12"/>
      <c r="Y621" s="12"/>
      <c r="Z621" s="12"/>
      <c r="AA621" s="12"/>
      <c r="AB621" s="12"/>
      <c r="AC621" s="12"/>
      <c r="AD621" s="12"/>
      <c r="AE621" s="12"/>
      <c r="AF621" s="12"/>
    </row>
    <row r="622" spans="1:32">
      <c r="A622" s="8"/>
      <c r="B622" s="8"/>
      <c r="C622" s="8"/>
      <c r="D622" s="8"/>
      <c r="E622" s="8"/>
      <c r="F622" s="8"/>
      <c r="G622" s="8"/>
      <c r="H622" s="8"/>
      <c r="I622" s="8"/>
      <c r="J622" s="8"/>
      <c r="K622" s="8"/>
      <c r="L622" s="8"/>
      <c r="M622" s="8"/>
      <c r="N622" s="8"/>
      <c r="O622" s="8"/>
      <c r="P622" s="8"/>
      <c r="Q622" s="8"/>
      <c r="R622" s="8"/>
      <c r="S622" s="8"/>
      <c r="T622" s="8"/>
      <c r="U622" s="12"/>
      <c r="V622" s="12"/>
      <c r="W622" s="12"/>
      <c r="X622" s="12"/>
      <c r="Y622" s="12"/>
      <c r="Z622" s="12"/>
      <c r="AA622" s="12"/>
      <c r="AB622" s="12"/>
      <c r="AC622" s="12"/>
      <c r="AD622" s="12"/>
      <c r="AE622" s="12"/>
      <c r="AF622" s="12"/>
    </row>
    <row r="623" spans="1:32">
      <c r="A623" s="8"/>
      <c r="B623" s="8"/>
      <c r="C623" s="8"/>
      <c r="D623" s="8"/>
      <c r="E623" s="8"/>
      <c r="F623" s="8"/>
      <c r="G623" s="8"/>
      <c r="H623" s="8"/>
      <c r="I623" s="8"/>
      <c r="J623" s="8"/>
      <c r="K623" s="8"/>
      <c r="L623" s="8"/>
      <c r="M623" s="8"/>
      <c r="N623" s="8"/>
      <c r="O623" s="8"/>
      <c r="P623" s="8"/>
      <c r="Q623" s="8"/>
      <c r="R623" s="8"/>
      <c r="S623" s="8"/>
      <c r="T623" s="8"/>
      <c r="U623" s="12"/>
      <c r="V623" s="12"/>
      <c r="W623" s="12"/>
      <c r="X623" s="12"/>
      <c r="Y623" s="12"/>
      <c r="Z623" s="12"/>
      <c r="AA623" s="12"/>
      <c r="AB623" s="12"/>
      <c r="AC623" s="12"/>
      <c r="AD623" s="12"/>
      <c r="AE623" s="12"/>
      <c r="AF623" s="12"/>
    </row>
    <row r="624" spans="1:32">
      <c r="A624" s="8"/>
      <c r="B624" s="8"/>
      <c r="C624" s="8"/>
      <c r="D624" s="8"/>
      <c r="E624" s="8"/>
      <c r="F624" s="8"/>
      <c r="G624" s="8"/>
      <c r="H624" s="8"/>
      <c r="I624" s="8"/>
      <c r="J624" s="8"/>
      <c r="K624" s="8"/>
      <c r="L624" s="8"/>
      <c r="M624" s="8"/>
      <c r="N624" s="8"/>
      <c r="O624" s="8"/>
      <c r="P624" s="8"/>
      <c r="Q624" s="8"/>
      <c r="R624" s="8"/>
      <c r="S624" s="8"/>
      <c r="T624" s="8"/>
      <c r="U624" s="12"/>
      <c r="V624" s="12"/>
      <c r="W624" s="12"/>
      <c r="X624" s="12"/>
      <c r="Y624" s="12"/>
      <c r="Z624" s="12"/>
      <c r="AA624" s="12"/>
      <c r="AB624" s="12"/>
      <c r="AC624" s="12"/>
      <c r="AD624" s="12"/>
      <c r="AE624" s="12"/>
      <c r="AF624" s="12"/>
    </row>
    <row r="625" spans="1:32">
      <c r="A625" s="8"/>
      <c r="B625" s="8"/>
      <c r="C625" s="8"/>
      <c r="D625" s="8"/>
      <c r="E625" s="8"/>
      <c r="F625" s="8"/>
      <c r="G625" s="8"/>
      <c r="H625" s="8"/>
      <c r="I625" s="8"/>
      <c r="J625" s="8"/>
      <c r="K625" s="8"/>
      <c r="L625" s="8"/>
      <c r="M625" s="8"/>
      <c r="N625" s="8"/>
      <c r="O625" s="8"/>
      <c r="P625" s="8"/>
      <c r="Q625" s="8"/>
      <c r="R625" s="8"/>
      <c r="S625" s="8"/>
      <c r="T625" s="8"/>
      <c r="U625" s="12"/>
      <c r="V625" s="12"/>
      <c r="W625" s="12"/>
      <c r="X625" s="12"/>
      <c r="Y625" s="12"/>
      <c r="Z625" s="12"/>
      <c r="AA625" s="12"/>
      <c r="AB625" s="12"/>
      <c r="AC625" s="12"/>
      <c r="AD625" s="12"/>
      <c r="AE625" s="12"/>
      <c r="AF625" s="12"/>
    </row>
    <row r="626" spans="1:32">
      <c r="A626" s="8"/>
      <c r="B626" s="8"/>
      <c r="C626" s="8"/>
      <c r="D626" s="8"/>
      <c r="E626" s="8"/>
      <c r="F626" s="8"/>
      <c r="G626" s="8"/>
      <c r="H626" s="8"/>
      <c r="I626" s="8"/>
      <c r="J626" s="8"/>
      <c r="K626" s="8"/>
      <c r="L626" s="8"/>
      <c r="M626" s="8"/>
      <c r="N626" s="8"/>
      <c r="O626" s="8"/>
      <c r="P626" s="8"/>
      <c r="Q626" s="8"/>
      <c r="R626" s="8"/>
      <c r="S626" s="8"/>
      <c r="T626" s="8"/>
      <c r="U626" s="12"/>
      <c r="V626" s="12"/>
      <c r="W626" s="12"/>
      <c r="X626" s="12"/>
      <c r="Y626" s="12"/>
      <c r="Z626" s="12"/>
      <c r="AA626" s="12"/>
      <c r="AB626" s="12"/>
      <c r="AC626" s="12"/>
      <c r="AD626" s="12"/>
      <c r="AE626" s="12"/>
      <c r="AF626" s="12"/>
    </row>
    <row r="627" spans="1:32">
      <c r="A627" s="8"/>
      <c r="B627" s="8"/>
      <c r="C627" s="8"/>
      <c r="D627" s="8"/>
      <c r="E627" s="8"/>
      <c r="F627" s="8"/>
      <c r="G627" s="8"/>
      <c r="H627" s="8"/>
      <c r="I627" s="8"/>
      <c r="J627" s="8"/>
      <c r="K627" s="8"/>
      <c r="L627" s="8"/>
      <c r="M627" s="8"/>
      <c r="N627" s="8"/>
      <c r="O627" s="8"/>
      <c r="P627" s="8"/>
      <c r="Q627" s="8"/>
      <c r="R627" s="8"/>
      <c r="S627" s="8"/>
      <c r="T627" s="8"/>
      <c r="U627" s="12"/>
      <c r="V627" s="12"/>
      <c r="W627" s="12"/>
      <c r="X627" s="12"/>
      <c r="Y627" s="12"/>
      <c r="Z627" s="12"/>
      <c r="AA627" s="12"/>
      <c r="AB627" s="12"/>
      <c r="AC627" s="12"/>
      <c r="AD627" s="12"/>
      <c r="AE627" s="12"/>
      <c r="AF627" s="12"/>
    </row>
    <row r="628" spans="1:32">
      <c r="A628" s="8"/>
      <c r="B628" s="8"/>
      <c r="C628" s="8"/>
      <c r="D628" s="8"/>
      <c r="E628" s="8"/>
      <c r="F628" s="8"/>
      <c r="G628" s="8"/>
      <c r="H628" s="8"/>
      <c r="I628" s="8"/>
      <c r="J628" s="8"/>
      <c r="K628" s="8"/>
      <c r="L628" s="8"/>
      <c r="M628" s="8"/>
      <c r="N628" s="8"/>
      <c r="O628" s="8"/>
      <c r="P628" s="8"/>
      <c r="Q628" s="8"/>
      <c r="R628" s="8"/>
      <c r="S628" s="8"/>
      <c r="T628" s="8"/>
      <c r="U628" s="12"/>
      <c r="V628" s="12"/>
      <c r="W628" s="12"/>
      <c r="X628" s="12"/>
      <c r="Y628" s="12"/>
      <c r="Z628" s="12"/>
      <c r="AA628" s="12"/>
      <c r="AB628" s="12"/>
      <c r="AC628" s="12"/>
      <c r="AD628" s="12"/>
      <c r="AE628" s="12"/>
      <c r="AF628" s="12"/>
    </row>
    <row r="629" spans="1:32">
      <c r="A629" s="8"/>
      <c r="B629" s="8"/>
      <c r="C629" s="8"/>
      <c r="D629" s="8"/>
      <c r="E629" s="8"/>
      <c r="F629" s="8"/>
      <c r="G629" s="8"/>
      <c r="H629" s="8"/>
      <c r="I629" s="8"/>
      <c r="J629" s="8"/>
      <c r="K629" s="8"/>
      <c r="L629" s="8"/>
      <c r="M629" s="8"/>
      <c r="N629" s="8"/>
      <c r="O629" s="8"/>
      <c r="P629" s="8"/>
      <c r="Q629" s="8"/>
      <c r="R629" s="8"/>
      <c r="S629" s="8"/>
      <c r="T629" s="8"/>
      <c r="U629" s="12"/>
      <c r="V629" s="12"/>
      <c r="W629" s="12"/>
      <c r="X629" s="12"/>
      <c r="Y629" s="12"/>
      <c r="Z629" s="12"/>
      <c r="AA629" s="12"/>
      <c r="AB629" s="12"/>
      <c r="AC629" s="12"/>
      <c r="AD629" s="12"/>
      <c r="AE629" s="12"/>
      <c r="AF629" s="12"/>
    </row>
    <row r="630" spans="1:32">
      <c r="A630" s="8"/>
      <c r="B630" s="8"/>
      <c r="C630" s="8"/>
      <c r="D630" s="8"/>
      <c r="E630" s="8"/>
      <c r="F630" s="8"/>
      <c r="G630" s="8"/>
      <c r="H630" s="8"/>
      <c r="I630" s="8"/>
      <c r="J630" s="8"/>
      <c r="K630" s="8"/>
      <c r="L630" s="8"/>
      <c r="M630" s="8"/>
      <c r="N630" s="8"/>
      <c r="O630" s="8"/>
      <c r="P630" s="8"/>
      <c r="Q630" s="8"/>
      <c r="R630" s="8"/>
      <c r="S630" s="8"/>
      <c r="T630" s="8"/>
      <c r="U630" s="12"/>
      <c r="V630" s="12"/>
      <c r="W630" s="12"/>
      <c r="X630" s="12"/>
      <c r="Y630" s="12"/>
      <c r="Z630" s="12"/>
      <c r="AA630" s="12"/>
      <c r="AB630" s="12"/>
      <c r="AC630" s="12"/>
      <c r="AD630" s="12"/>
      <c r="AE630" s="12"/>
      <c r="AF630" s="12"/>
    </row>
    <row r="631" spans="1:32">
      <c r="A631" s="8"/>
      <c r="B631" s="8"/>
      <c r="C631" s="8"/>
      <c r="D631" s="8"/>
      <c r="E631" s="8"/>
      <c r="F631" s="8"/>
      <c r="G631" s="8"/>
      <c r="H631" s="8"/>
      <c r="I631" s="8"/>
      <c r="J631" s="8"/>
      <c r="K631" s="8"/>
      <c r="L631" s="8"/>
      <c r="M631" s="8"/>
      <c r="N631" s="8"/>
      <c r="O631" s="8"/>
      <c r="P631" s="8"/>
      <c r="Q631" s="8"/>
      <c r="R631" s="8"/>
      <c r="S631" s="8"/>
      <c r="T631" s="8"/>
      <c r="U631" s="12"/>
      <c r="V631" s="12"/>
      <c r="W631" s="12"/>
      <c r="X631" s="12"/>
      <c r="Y631" s="12"/>
      <c r="Z631" s="12"/>
      <c r="AA631" s="12"/>
      <c r="AB631" s="12"/>
      <c r="AC631" s="12"/>
      <c r="AD631" s="12"/>
      <c r="AE631" s="12"/>
      <c r="AF631" s="12"/>
    </row>
    <row r="632" spans="1:32">
      <c r="A632" s="8"/>
      <c r="B632" s="8"/>
      <c r="C632" s="8"/>
      <c r="D632" s="8"/>
      <c r="E632" s="8"/>
      <c r="F632" s="8"/>
      <c r="G632" s="8"/>
      <c r="H632" s="8"/>
      <c r="I632" s="8"/>
      <c r="J632" s="8"/>
      <c r="K632" s="8"/>
      <c r="L632" s="8"/>
      <c r="M632" s="8"/>
      <c r="N632" s="8"/>
      <c r="O632" s="8"/>
      <c r="P632" s="8"/>
      <c r="Q632" s="8"/>
      <c r="R632" s="8"/>
      <c r="S632" s="8"/>
      <c r="T632" s="8"/>
      <c r="U632" s="12"/>
      <c r="V632" s="12"/>
      <c r="W632" s="12"/>
      <c r="X632" s="12"/>
      <c r="Y632" s="12"/>
      <c r="Z632" s="12"/>
      <c r="AA632" s="12"/>
      <c r="AB632" s="12"/>
      <c r="AC632" s="12"/>
      <c r="AD632" s="12"/>
      <c r="AE632" s="12"/>
      <c r="AF632" s="12"/>
    </row>
    <row r="633" spans="1:32">
      <c r="A633" s="8"/>
      <c r="B633" s="8"/>
      <c r="C633" s="8"/>
      <c r="D633" s="8"/>
      <c r="E633" s="8"/>
      <c r="F633" s="8"/>
      <c r="G633" s="8"/>
      <c r="H633" s="8"/>
      <c r="I633" s="8"/>
      <c r="J633" s="8"/>
      <c r="K633" s="8"/>
      <c r="L633" s="8"/>
      <c r="M633" s="8"/>
      <c r="N633" s="8"/>
      <c r="O633" s="8"/>
      <c r="P633" s="8"/>
      <c r="Q633" s="8"/>
      <c r="R633" s="8"/>
      <c r="S633" s="8"/>
      <c r="T633" s="8"/>
      <c r="U633" s="12"/>
      <c r="V633" s="12"/>
      <c r="W633" s="12"/>
      <c r="X633" s="12"/>
      <c r="Y633" s="12"/>
      <c r="Z633" s="12"/>
      <c r="AA633" s="12"/>
      <c r="AB633" s="12"/>
      <c r="AC633" s="12"/>
      <c r="AD633" s="12"/>
      <c r="AE633" s="12"/>
      <c r="AF633" s="12"/>
    </row>
    <row r="634" spans="1:32">
      <c r="A634" s="8"/>
      <c r="B634" s="8"/>
      <c r="C634" s="8"/>
      <c r="D634" s="8"/>
      <c r="E634" s="8"/>
      <c r="F634" s="8"/>
      <c r="G634" s="8"/>
      <c r="H634" s="8"/>
      <c r="I634" s="8"/>
      <c r="J634" s="8"/>
      <c r="K634" s="8"/>
      <c r="L634" s="8"/>
      <c r="M634" s="8"/>
      <c r="N634" s="8"/>
      <c r="O634" s="8"/>
      <c r="P634" s="8"/>
      <c r="Q634" s="8"/>
      <c r="R634" s="8"/>
      <c r="S634" s="8"/>
      <c r="T634" s="8"/>
      <c r="U634" s="12"/>
      <c r="V634" s="12"/>
      <c r="W634" s="12"/>
      <c r="X634" s="12"/>
      <c r="Y634" s="12"/>
      <c r="Z634" s="12"/>
      <c r="AA634" s="12"/>
      <c r="AB634" s="12"/>
      <c r="AC634" s="12"/>
      <c r="AD634" s="12"/>
      <c r="AE634" s="12"/>
      <c r="AF634" s="12"/>
    </row>
    <row r="635" spans="1:32">
      <c r="A635" s="8"/>
      <c r="B635" s="8"/>
      <c r="C635" s="8"/>
      <c r="D635" s="8"/>
      <c r="E635" s="8"/>
      <c r="F635" s="8"/>
      <c r="G635" s="8"/>
      <c r="H635" s="8"/>
      <c r="I635" s="8"/>
      <c r="J635" s="8"/>
      <c r="K635" s="8"/>
      <c r="L635" s="8"/>
      <c r="M635" s="8"/>
      <c r="N635" s="8"/>
      <c r="O635" s="8"/>
      <c r="P635" s="8"/>
      <c r="Q635" s="8"/>
      <c r="R635" s="8"/>
      <c r="S635" s="8"/>
      <c r="T635" s="8"/>
      <c r="U635" s="12"/>
      <c r="V635" s="12"/>
      <c r="W635" s="12"/>
      <c r="X635" s="12"/>
      <c r="Y635" s="12"/>
      <c r="Z635" s="12"/>
      <c r="AA635" s="12"/>
      <c r="AB635" s="12"/>
      <c r="AC635" s="12"/>
      <c r="AD635" s="12"/>
      <c r="AE635" s="12"/>
      <c r="AF635" s="12"/>
    </row>
    <row r="636" spans="1:32">
      <c r="A636" s="8"/>
      <c r="B636" s="8"/>
      <c r="C636" s="8"/>
      <c r="D636" s="8"/>
      <c r="E636" s="8"/>
      <c r="F636" s="8"/>
      <c r="G636" s="8"/>
      <c r="H636" s="8"/>
      <c r="I636" s="8"/>
      <c r="J636" s="8"/>
      <c r="K636" s="8"/>
      <c r="L636" s="8"/>
      <c r="M636" s="8"/>
      <c r="N636" s="8"/>
      <c r="O636" s="8"/>
      <c r="P636" s="8"/>
      <c r="Q636" s="8"/>
      <c r="R636" s="8"/>
      <c r="S636" s="8"/>
      <c r="T636" s="8"/>
      <c r="U636" s="12"/>
      <c r="V636" s="12"/>
      <c r="W636" s="12"/>
      <c r="X636" s="12"/>
      <c r="Y636" s="12"/>
      <c r="Z636" s="12"/>
      <c r="AA636" s="12"/>
      <c r="AB636" s="12"/>
      <c r="AC636" s="12"/>
      <c r="AD636" s="12"/>
      <c r="AE636" s="12"/>
      <c r="AF636" s="12"/>
    </row>
    <row r="637" spans="1:32">
      <c r="A637" s="8"/>
      <c r="B637" s="8"/>
      <c r="C637" s="8"/>
      <c r="D637" s="8"/>
      <c r="E637" s="8"/>
      <c r="F637" s="8"/>
      <c r="G637" s="8"/>
      <c r="H637" s="8"/>
      <c r="I637" s="8"/>
      <c r="J637" s="8"/>
      <c r="K637" s="8"/>
      <c r="L637" s="8"/>
      <c r="M637" s="8"/>
      <c r="N637" s="8"/>
      <c r="O637" s="8"/>
      <c r="P637" s="8"/>
      <c r="Q637" s="8"/>
      <c r="R637" s="8"/>
      <c r="S637" s="8"/>
      <c r="T637" s="8"/>
      <c r="U637" s="12"/>
      <c r="V637" s="12"/>
      <c r="W637" s="12"/>
      <c r="X637" s="12"/>
      <c r="Y637" s="12"/>
      <c r="Z637" s="12"/>
      <c r="AA637" s="12"/>
      <c r="AB637" s="12"/>
      <c r="AC637" s="12"/>
      <c r="AD637" s="12"/>
      <c r="AE637" s="12"/>
      <c r="AF637" s="12"/>
    </row>
    <row r="638" spans="1:32">
      <c r="A638" s="8"/>
      <c r="B638" s="8"/>
      <c r="C638" s="8"/>
      <c r="D638" s="8"/>
      <c r="E638" s="8"/>
      <c r="F638" s="8"/>
      <c r="G638" s="8"/>
      <c r="H638" s="8"/>
      <c r="I638" s="8"/>
      <c r="J638" s="8"/>
      <c r="K638" s="8"/>
      <c r="L638" s="8"/>
      <c r="M638" s="8"/>
      <c r="N638" s="8"/>
      <c r="O638" s="8"/>
      <c r="P638" s="8"/>
      <c r="Q638" s="8"/>
      <c r="R638" s="8"/>
      <c r="S638" s="8"/>
      <c r="T638" s="8"/>
      <c r="U638" s="12"/>
      <c r="V638" s="12"/>
      <c r="W638" s="12"/>
      <c r="X638" s="12"/>
      <c r="Y638" s="12"/>
      <c r="Z638" s="12"/>
      <c r="AA638" s="12"/>
      <c r="AB638" s="12"/>
      <c r="AC638" s="12"/>
      <c r="AD638" s="12"/>
      <c r="AE638" s="12"/>
      <c r="AF638" s="12"/>
    </row>
    <row r="639" spans="1:32">
      <c r="A639" s="8"/>
      <c r="B639" s="8"/>
      <c r="C639" s="8"/>
      <c r="D639" s="8"/>
      <c r="E639" s="8"/>
      <c r="F639" s="8"/>
      <c r="G639" s="8"/>
      <c r="H639" s="8"/>
      <c r="I639" s="8"/>
      <c r="J639" s="8"/>
      <c r="K639" s="8"/>
      <c r="L639" s="8"/>
      <c r="M639" s="8"/>
      <c r="N639" s="8"/>
      <c r="O639" s="8"/>
      <c r="P639" s="8"/>
      <c r="Q639" s="8"/>
      <c r="R639" s="8"/>
      <c r="S639" s="8"/>
      <c r="T639" s="8"/>
      <c r="U639" s="12"/>
      <c r="V639" s="12"/>
      <c r="W639" s="12"/>
      <c r="X639" s="12"/>
      <c r="Y639" s="12"/>
      <c r="Z639" s="12"/>
      <c r="AA639" s="12"/>
      <c r="AB639" s="12"/>
      <c r="AC639" s="12"/>
      <c r="AD639" s="12"/>
      <c r="AE639" s="12"/>
      <c r="AF639" s="12"/>
    </row>
    <row r="640" spans="1:32">
      <c r="A640" s="8"/>
      <c r="B640" s="8"/>
      <c r="C640" s="8"/>
      <c r="D640" s="8"/>
      <c r="E640" s="8"/>
      <c r="F640" s="8"/>
      <c r="G640" s="8"/>
      <c r="H640" s="8"/>
      <c r="I640" s="8"/>
      <c r="J640" s="8"/>
      <c r="K640" s="8"/>
      <c r="L640" s="8"/>
      <c r="M640" s="8"/>
      <c r="N640" s="8"/>
      <c r="O640" s="8"/>
      <c r="P640" s="8"/>
      <c r="Q640" s="8"/>
      <c r="R640" s="8"/>
      <c r="S640" s="8"/>
      <c r="T640" s="8"/>
      <c r="U640" s="12"/>
      <c r="V640" s="12"/>
      <c r="W640" s="12"/>
      <c r="X640" s="12"/>
      <c r="Y640" s="12"/>
      <c r="Z640" s="12"/>
      <c r="AA640" s="12"/>
      <c r="AB640" s="12"/>
      <c r="AC640" s="12"/>
      <c r="AD640" s="12"/>
      <c r="AE640" s="12"/>
      <c r="AF640" s="12"/>
    </row>
    <row r="641" spans="1:32">
      <c r="A641" s="8"/>
      <c r="B641" s="8"/>
      <c r="C641" s="8"/>
      <c r="D641" s="8"/>
      <c r="E641" s="8"/>
      <c r="F641" s="8"/>
      <c r="G641" s="8"/>
      <c r="H641" s="8"/>
      <c r="I641" s="8"/>
      <c r="J641" s="8"/>
      <c r="K641" s="8"/>
      <c r="L641" s="8"/>
      <c r="M641" s="8"/>
      <c r="N641" s="8"/>
      <c r="O641" s="8"/>
      <c r="P641" s="8"/>
      <c r="Q641" s="8"/>
      <c r="R641" s="8"/>
      <c r="S641" s="8"/>
      <c r="T641" s="8"/>
      <c r="U641" s="12"/>
      <c r="V641" s="12"/>
      <c r="W641" s="12"/>
      <c r="X641" s="12"/>
      <c r="Y641" s="12"/>
      <c r="Z641" s="12"/>
      <c r="AA641" s="12"/>
      <c r="AB641" s="12"/>
      <c r="AC641" s="12"/>
      <c r="AD641" s="12"/>
      <c r="AE641" s="12"/>
      <c r="AF641" s="12"/>
    </row>
    <row r="642" spans="1:32">
      <c r="A642" s="8"/>
      <c r="B642" s="8"/>
      <c r="C642" s="8"/>
      <c r="D642" s="8"/>
      <c r="E642" s="8"/>
      <c r="F642" s="8"/>
      <c r="G642" s="8"/>
      <c r="H642" s="8"/>
      <c r="I642" s="8"/>
      <c r="J642" s="8"/>
      <c r="K642" s="8"/>
      <c r="L642" s="8"/>
      <c r="M642" s="8"/>
      <c r="N642" s="8"/>
      <c r="O642" s="8"/>
      <c r="P642" s="8"/>
      <c r="Q642" s="8"/>
      <c r="R642" s="8"/>
      <c r="S642" s="8"/>
      <c r="T642" s="8"/>
      <c r="U642" s="12"/>
      <c r="V642" s="12"/>
      <c r="W642" s="12"/>
      <c r="X642" s="12"/>
      <c r="Y642" s="12"/>
      <c r="Z642" s="12"/>
      <c r="AA642" s="12"/>
      <c r="AB642" s="12"/>
      <c r="AC642" s="12"/>
      <c r="AD642" s="12"/>
      <c r="AE642" s="12"/>
      <c r="AF642" s="12"/>
    </row>
    <row r="643" spans="1:32">
      <c r="A643" s="8"/>
      <c r="B643" s="8"/>
      <c r="C643" s="8"/>
      <c r="D643" s="8"/>
      <c r="E643" s="8"/>
      <c r="F643" s="8"/>
      <c r="G643" s="8"/>
      <c r="H643" s="8"/>
      <c r="I643" s="8"/>
      <c r="J643" s="8"/>
      <c r="K643" s="8"/>
      <c r="L643" s="8"/>
      <c r="M643" s="8"/>
      <c r="N643" s="8"/>
      <c r="O643" s="8"/>
      <c r="P643" s="8"/>
      <c r="Q643" s="8"/>
      <c r="R643" s="8"/>
      <c r="S643" s="8"/>
      <c r="T643" s="8"/>
      <c r="U643" s="12"/>
      <c r="V643" s="12"/>
      <c r="W643" s="12"/>
      <c r="X643" s="12"/>
      <c r="Y643" s="12"/>
      <c r="Z643" s="12"/>
      <c r="AA643" s="12"/>
      <c r="AB643" s="12"/>
      <c r="AC643" s="12"/>
      <c r="AD643" s="12"/>
      <c r="AE643" s="12"/>
      <c r="AF643" s="12"/>
    </row>
    <row r="644" spans="1:32">
      <c r="A644" s="8"/>
      <c r="B644" s="8"/>
      <c r="C644" s="8"/>
      <c r="D644" s="8"/>
      <c r="E644" s="8"/>
      <c r="F644" s="8"/>
      <c r="G644" s="8"/>
      <c r="H644" s="8"/>
      <c r="I644" s="8"/>
      <c r="J644" s="8"/>
      <c r="K644" s="8"/>
      <c r="L644" s="8"/>
      <c r="M644" s="8"/>
      <c r="N644" s="8"/>
      <c r="O644" s="8"/>
      <c r="P644" s="8"/>
      <c r="Q644" s="8"/>
      <c r="R644" s="8"/>
      <c r="S644" s="8"/>
      <c r="T644" s="8"/>
      <c r="U644" s="12"/>
      <c r="V644" s="12"/>
      <c r="W644" s="12"/>
      <c r="X644" s="12"/>
      <c r="Y644" s="12"/>
      <c r="Z644" s="12"/>
      <c r="AA644" s="12"/>
      <c r="AB644" s="12"/>
      <c r="AC644" s="12"/>
      <c r="AD644" s="12"/>
      <c r="AE644" s="12"/>
      <c r="AF644" s="12"/>
    </row>
    <row r="645" spans="1:32">
      <c r="A645" s="8"/>
      <c r="B645" s="8"/>
      <c r="C645" s="8"/>
      <c r="D645" s="8"/>
      <c r="E645" s="8"/>
      <c r="F645" s="8"/>
      <c r="G645" s="8"/>
      <c r="H645" s="8"/>
      <c r="I645" s="8"/>
      <c r="J645" s="8"/>
      <c r="K645" s="8"/>
      <c r="L645" s="8"/>
      <c r="M645" s="8"/>
      <c r="N645" s="8"/>
      <c r="O645" s="8"/>
      <c r="P645" s="8"/>
      <c r="Q645" s="8"/>
      <c r="R645" s="8"/>
      <c r="S645" s="8"/>
      <c r="T645" s="8"/>
      <c r="U645" s="12"/>
      <c r="V645" s="12"/>
      <c r="W645" s="12"/>
      <c r="X645" s="12"/>
      <c r="Y645" s="12"/>
      <c r="Z645" s="12"/>
      <c r="AA645" s="12"/>
      <c r="AB645" s="12"/>
      <c r="AC645" s="12"/>
      <c r="AD645" s="12"/>
      <c r="AE645" s="12"/>
      <c r="AF645" s="12"/>
    </row>
    <row r="646" spans="1:32">
      <c r="A646" s="8"/>
      <c r="B646" s="8"/>
      <c r="C646" s="8"/>
      <c r="D646" s="8"/>
      <c r="E646" s="8"/>
      <c r="F646" s="8"/>
      <c r="G646" s="8"/>
      <c r="H646" s="8"/>
      <c r="I646" s="8"/>
      <c r="J646" s="8"/>
      <c r="K646" s="8"/>
      <c r="L646" s="8"/>
      <c r="M646" s="8"/>
      <c r="N646" s="8"/>
      <c r="O646" s="8"/>
      <c r="P646" s="8"/>
      <c r="Q646" s="8"/>
      <c r="R646" s="8"/>
      <c r="S646" s="8"/>
      <c r="T646" s="8"/>
      <c r="U646" s="12"/>
      <c r="V646" s="12"/>
      <c r="W646" s="12"/>
      <c r="X646" s="12"/>
      <c r="Y646" s="12"/>
      <c r="Z646" s="12"/>
      <c r="AA646" s="12"/>
      <c r="AB646" s="12"/>
      <c r="AC646" s="12"/>
      <c r="AD646" s="12"/>
      <c r="AE646" s="12"/>
      <c r="AF646" s="12"/>
    </row>
    <row r="647" spans="1:32">
      <c r="A647" s="8"/>
      <c r="B647" s="8"/>
      <c r="C647" s="8"/>
      <c r="D647" s="8"/>
      <c r="E647" s="8"/>
      <c r="F647" s="8"/>
      <c r="G647" s="8"/>
      <c r="H647" s="8"/>
      <c r="I647" s="8"/>
      <c r="J647" s="8"/>
      <c r="K647" s="8"/>
      <c r="L647" s="8"/>
      <c r="M647" s="8"/>
      <c r="N647" s="8"/>
      <c r="O647" s="8"/>
      <c r="P647" s="8"/>
      <c r="Q647" s="8"/>
      <c r="R647" s="8"/>
      <c r="S647" s="8"/>
      <c r="T647" s="8"/>
      <c r="U647" s="12"/>
      <c r="V647" s="12"/>
      <c r="W647" s="12"/>
      <c r="X647" s="12"/>
      <c r="Y647" s="12"/>
      <c r="Z647" s="12"/>
      <c r="AA647" s="12"/>
      <c r="AB647" s="12"/>
      <c r="AC647" s="12"/>
      <c r="AD647" s="12"/>
      <c r="AE647" s="12"/>
      <c r="AF647" s="12"/>
    </row>
    <row r="648" spans="1:32">
      <c r="A648" s="8"/>
      <c r="B648" s="8"/>
      <c r="C648" s="8"/>
      <c r="D648" s="8"/>
      <c r="E648" s="8"/>
      <c r="F648" s="8"/>
      <c r="G648" s="8"/>
      <c r="H648" s="8"/>
      <c r="I648" s="8"/>
      <c r="J648" s="8"/>
      <c r="K648" s="8"/>
      <c r="L648" s="8"/>
      <c r="M648" s="8"/>
      <c r="N648" s="8"/>
      <c r="O648" s="8"/>
      <c r="P648" s="8"/>
      <c r="Q648" s="8"/>
      <c r="R648" s="8"/>
      <c r="S648" s="8"/>
      <c r="T648" s="8"/>
      <c r="U648" s="12"/>
      <c r="V648" s="12"/>
      <c r="W648" s="12"/>
      <c r="X648" s="12"/>
      <c r="Y648" s="12"/>
      <c r="Z648" s="12"/>
      <c r="AA648" s="12"/>
      <c r="AB648" s="12"/>
      <c r="AC648" s="12"/>
      <c r="AD648" s="12"/>
      <c r="AE648" s="12"/>
      <c r="AF648" s="12"/>
    </row>
    <row r="649" spans="1:32">
      <c r="A649" s="8"/>
      <c r="B649" s="8"/>
      <c r="C649" s="8"/>
      <c r="D649" s="8"/>
      <c r="E649" s="8"/>
      <c r="F649" s="8"/>
      <c r="G649" s="8"/>
      <c r="H649" s="8"/>
      <c r="I649" s="8"/>
      <c r="J649" s="8"/>
      <c r="K649" s="8"/>
      <c r="L649" s="8"/>
      <c r="M649" s="8"/>
      <c r="N649" s="8"/>
      <c r="O649" s="8"/>
      <c r="P649" s="8"/>
      <c r="Q649" s="8"/>
      <c r="R649" s="8"/>
      <c r="S649" s="8"/>
      <c r="T649" s="8"/>
      <c r="U649" s="12"/>
      <c r="V649" s="12"/>
      <c r="W649" s="12"/>
      <c r="X649" s="12"/>
      <c r="Y649" s="12"/>
      <c r="Z649" s="12"/>
      <c r="AA649" s="12"/>
      <c r="AB649" s="12"/>
      <c r="AC649" s="12"/>
      <c r="AD649" s="12"/>
      <c r="AE649" s="12"/>
      <c r="AF649" s="12"/>
    </row>
    <row r="650" spans="1:32">
      <c r="A650" s="8"/>
      <c r="B650" s="8"/>
      <c r="C650" s="8"/>
      <c r="D650" s="8"/>
      <c r="E650" s="8"/>
      <c r="F650" s="8"/>
      <c r="G650" s="8"/>
      <c r="H650" s="8"/>
      <c r="I650" s="8"/>
      <c r="J650" s="8"/>
      <c r="K650" s="8"/>
      <c r="L650" s="8"/>
      <c r="M650" s="8"/>
      <c r="N650" s="8"/>
      <c r="O650" s="8"/>
      <c r="P650" s="8"/>
      <c r="Q650" s="8"/>
      <c r="R650" s="8"/>
      <c r="S650" s="8"/>
      <c r="T650" s="8"/>
      <c r="U650" s="12"/>
      <c r="V650" s="12"/>
      <c r="W650" s="12"/>
      <c r="X650" s="12"/>
      <c r="Y650" s="12"/>
      <c r="Z650" s="12"/>
      <c r="AA650" s="12"/>
      <c r="AB650" s="12"/>
      <c r="AC650" s="12"/>
      <c r="AD650" s="12"/>
      <c r="AE650" s="12"/>
      <c r="AF650" s="12"/>
    </row>
    <row r="651" spans="1:32">
      <c r="A651" s="8"/>
      <c r="B651" s="8"/>
      <c r="C651" s="8"/>
      <c r="D651" s="8"/>
      <c r="E651" s="8"/>
      <c r="F651" s="8"/>
      <c r="G651" s="8"/>
      <c r="H651" s="8"/>
      <c r="I651" s="8"/>
      <c r="J651" s="8"/>
      <c r="K651" s="8"/>
      <c r="L651" s="8"/>
      <c r="M651" s="8"/>
      <c r="N651" s="8"/>
      <c r="O651" s="8"/>
      <c r="P651" s="8"/>
      <c r="Q651" s="8"/>
      <c r="R651" s="8"/>
      <c r="S651" s="8"/>
      <c r="T651" s="8"/>
      <c r="U651" s="12"/>
      <c r="V651" s="12"/>
      <c r="W651" s="12"/>
      <c r="X651" s="12"/>
      <c r="Y651" s="12"/>
      <c r="Z651" s="12"/>
      <c r="AA651" s="12"/>
      <c r="AB651" s="12"/>
      <c r="AC651" s="12"/>
      <c r="AD651" s="12"/>
      <c r="AE651" s="12"/>
      <c r="AF651" s="12"/>
    </row>
    <row r="652" spans="1:32">
      <c r="A652" s="8"/>
      <c r="B652" s="8"/>
      <c r="C652" s="8"/>
      <c r="D652" s="8"/>
      <c r="E652" s="8"/>
      <c r="F652" s="8"/>
      <c r="G652" s="8"/>
      <c r="H652" s="8"/>
      <c r="I652" s="8"/>
      <c r="J652" s="8"/>
      <c r="K652" s="8"/>
      <c r="L652" s="8"/>
      <c r="M652" s="8"/>
      <c r="N652" s="8"/>
      <c r="O652" s="8"/>
      <c r="P652" s="8"/>
      <c r="Q652" s="8"/>
      <c r="R652" s="8"/>
      <c r="S652" s="8"/>
      <c r="T652" s="8"/>
      <c r="U652" s="12"/>
      <c r="V652" s="12"/>
      <c r="W652" s="12"/>
      <c r="X652" s="12"/>
      <c r="Y652" s="12"/>
      <c r="Z652" s="12"/>
      <c r="AA652" s="12"/>
      <c r="AB652" s="12"/>
      <c r="AC652" s="12"/>
      <c r="AD652" s="12"/>
      <c r="AE652" s="12"/>
      <c r="AF652" s="12"/>
    </row>
    <row r="653" spans="1:32">
      <c r="A653" s="8"/>
      <c r="B653" s="8"/>
      <c r="C653" s="8"/>
      <c r="D653" s="8"/>
      <c r="E653" s="8"/>
      <c r="F653" s="8"/>
      <c r="G653" s="8"/>
      <c r="H653" s="8"/>
      <c r="I653" s="8"/>
      <c r="J653" s="8"/>
      <c r="K653" s="8"/>
      <c r="L653" s="8"/>
      <c r="M653" s="8"/>
      <c r="N653" s="8"/>
      <c r="O653" s="8"/>
      <c r="P653" s="8"/>
      <c r="Q653" s="8"/>
      <c r="R653" s="8"/>
      <c r="S653" s="8"/>
      <c r="T653" s="8"/>
      <c r="U653" s="12"/>
      <c r="V653" s="12"/>
      <c r="W653" s="12"/>
      <c r="X653" s="12"/>
      <c r="Y653" s="12"/>
      <c r="Z653" s="12"/>
      <c r="AA653" s="12"/>
      <c r="AB653" s="12"/>
      <c r="AC653" s="12"/>
      <c r="AD653" s="12"/>
      <c r="AE653" s="12"/>
      <c r="AF653" s="12"/>
    </row>
    <row r="654" spans="1:32">
      <c r="A654" s="8"/>
      <c r="B654" s="8"/>
      <c r="C654" s="8"/>
      <c r="D654" s="8"/>
      <c r="E654" s="8"/>
      <c r="F654" s="8"/>
      <c r="G654" s="8"/>
      <c r="H654" s="8"/>
      <c r="I654" s="8"/>
      <c r="J654" s="8"/>
      <c r="K654" s="8"/>
      <c r="L654" s="8"/>
      <c r="M654" s="8"/>
      <c r="N654" s="8"/>
      <c r="O654" s="8"/>
      <c r="P654" s="8"/>
      <c r="Q654" s="8"/>
      <c r="R654" s="8"/>
      <c r="S654" s="8"/>
      <c r="T654" s="8"/>
      <c r="U654" s="12"/>
      <c r="V654" s="12"/>
      <c r="W654" s="12"/>
      <c r="X654" s="12"/>
      <c r="Y654" s="12"/>
      <c r="Z654" s="12"/>
      <c r="AA654" s="12"/>
      <c r="AB654" s="12"/>
      <c r="AC654" s="12"/>
      <c r="AD654" s="12"/>
      <c r="AE654" s="12"/>
      <c r="AF654" s="12"/>
    </row>
    <row r="655" spans="1:32">
      <c r="A655" s="8"/>
      <c r="B655" s="8"/>
      <c r="C655" s="8"/>
      <c r="D655" s="8"/>
      <c r="E655" s="8"/>
      <c r="F655" s="8"/>
      <c r="G655" s="8"/>
      <c r="H655" s="8"/>
      <c r="I655" s="8"/>
      <c r="J655" s="8"/>
      <c r="K655" s="8"/>
      <c r="L655" s="8"/>
      <c r="M655" s="8"/>
      <c r="N655" s="8"/>
      <c r="O655" s="8"/>
      <c r="P655" s="8"/>
      <c r="Q655" s="8"/>
      <c r="R655" s="8"/>
      <c r="S655" s="8"/>
      <c r="T655" s="8"/>
      <c r="U655" s="12"/>
      <c r="V655" s="12"/>
      <c r="W655" s="12"/>
      <c r="X655" s="12"/>
      <c r="Y655" s="12"/>
      <c r="Z655" s="12"/>
      <c r="AA655" s="12"/>
      <c r="AB655" s="12"/>
      <c r="AC655" s="12"/>
      <c r="AD655" s="12"/>
      <c r="AE655" s="12"/>
      <c r="AF655" s="12"/>
    </row>
    <row r="656" spans="1:32">
      <c r="A656" s="8"/>
      <c r="B656" s="8"/>
      <c r="C656" s="8"/>
      <c r="D656" s="8"/>
      <c r="E656" s="8"/>
      <c r="F656" s="8"/>
      <c r="G656" s="8"/>
      <c r="H656" s="8"/>
      <c r="I656" s="8"/>
      <c r="J656" s="8"/>
      <c r="K656" s="8"/>
      <c r="L656" s="8"/>
      <c r="M656" s="8"/>
      <c r="N656" s="8"/>
      <c r="O656" s="8"/>
      <c r="P656" s="8"/>
      <c r="Q656" s="8"/>
      <c r="R656" s="8"/>
      <c r="S656" s="8"/>
      <c r="T656" s="8"/>
      <c r="U656" s="12"/>
      <c r="V656" s="12"/>
      <c r="W656" s="12"/>
      <c r="X656" s="12"/>
      <c r="Y656" s="12"/>
      <c r="Z656" s="12"/>
      <c r="AA656" s="12"/>
      <c r="AB656" s="12"/>
      <c r="AC656" s="12"/>
      <c r="AD656" s="12"/>
      <c r="AE656" s="12"/>
      <c r="AF656" s="12"/>
    </row>
    <row r="657" spans="1:32">
      <c r="A657" s="8"/>
      <c r="B657" s="8"/>
      <c r="C657" s="8"/>
      <c r="D657" s="8"/>
      <c r="E657" s="8"/>
      <c r="F657" s="8"/>
      <c r="G657" s="8"/>
      <c r="H657" s="8"/>
      <c r="I657" s="8"/>
      <c r="J657" s="8"/>
      <c r="K657" s="8"/>
      <c r="L657" s="8"/>
      <c r="M657" s="8"/>
      <c r="N657" s="8"/>
      <c r="O657" s="8"/>
      <c r="P657" s="8"/>
      <c r="Q657" s="8"/>
      <c r="R657" s="8"/>
      <c r="S657" s="8"/>
      <c r="T657" s="8"/>
      <c r="U657" s="12"/>
      <c r="V657" s="12"/>
      <c r="W657" s="12"/>
      <c r="X657" s="12"/>
      <c r="Y657" s="12"/>
      <c r="Z657" s="12"/>
      <c r="AA657" s="12"/>
      <c r="AB657" s="12"/>
      <c r="AC657" s="12"/>
      <c r="AD657" s="12"/>
      <c r="AE657" s="12"/>
      <c r="AF657" s="12"/>
    </row>
    <row r="658" spans="1:32">
      <c r="A658" s="8"/>
      <c r="B658" s="8"/>
      <c r="C658" s="8"/>
      <c r="D658" s="8"/>
      <c r="E658" s="8"/>
      <c r="F658" s="8"/>
      <c r="G658" s="8"/>
      <c r="H658" s="8"/>
      <c r="I658" s="8"/>
      <c r="J658" s="8"/>
      <c r="K658" s="8"/>
      <c r="L658" s="8"/>
      <c r="M658" s="8"/>
      <c r="N658" s="8"/>
      <c r="O658" s="8"/>
      <c r="P658" s="8"/>
      <c r="Q658" s="8"/>
      <c r="R658" s="8"/>
      <c r="S658" s="8"/>
      <c r="T658" s="8"/>
      <c r="U658" s="12"/>
      <c r="V658" s="12"/>
      <c r="W658" s="12"/>
      <c r="X658" s="12"/>
      <c r="Y658" s="12"/>
      <c r="Z658" s="12"/>
      <c r="AA658" s="12"/>
      <c r="AB658" s="12"/>
      <c r="AC658" s="12"/>
      <c r="AD658" s="12"/>
      <c r="AE658" s="12"/>
      <c r="AF658" s="12"/>
    </row>
    <row r="659" spans="1:32">
      <c r="A659" s="8"/>
      <c r="B659" s="8"/>
      <c r="C659" s="8"/>
      <c r="D659" s="8"/>
      <c r="E659" s="8"/>
      <c r="F659" s="8"/>
      <c r="G659" s="8"/>
      <c r="H659" s="8"/>
      <c r="I659" s="8"/>
      <c r="J659" s="8"/>
      <c r="K659" s="8"/>
      <c r="L659" s="8"/>
      <c r="M659" s="8"/>
      <c r="N659" s="8"/>
      <c r="O659" s="8"/>
      <c r="P659" s="8"/>
      <c r="Q659" s="8"/>
      <c r="R659" s="8"/>
      <c r="S659" s="8"/>
      <c r="T659" s="8"/>
      <c r="U659" s="12"/>
      <c r="V659" s="12"/>
      <c r="W659" s="12"/>
      <c r="X659" s="12"/>
      <c r="Y659" s="12"/>
      <c r="Z659" s="12"/>
      <c r="AA659" s="12"/>
      <c r="AB659" s="12"/>
      <c r="AC659" s="12"/>
      <c r="AD659" s="12"/>
      <c r="AE659" s="12"/>
      <c r="AF659" s="12"/>
    </row>
    <row r="660" spans="1:32">
      <c r="A660" s="8"/>
      <c r="B660" s="8"/>
      <c r="C660" s="8"/>
      <c r="D660" s="8"/>
      <c r="E660" s="8"/>
      <c r="F660" s="8"/>
      <c r="G660" s="8"/>
      <c r="H660" s="8"/>
      <c r="I660" s="8"/>
      <c r="J660" s="8"/>
      <c r="K660" s="8"/>
      <c r="L660" s="8"/>
      <c r="M660" s="8"/>
      <c r="N660" s="8"/>
      <c r="O660" s="8"/>
      <c r="P660" s="8"/>
      <c r="Q660" s="8"/>
      <c r="R660" s="8"/>
      <c r="S660" s="8"/>
      <c r="T660" s="8"/>
      <c r="U660" s="12"/>
      <c r="V660" s="12"/>
      <c r="W660" s="12"/>
      <c r="X660" s="12"/>
      <c r="Y660" s="12"/>
      <c r="Z660" s="12"/>
      <c r="AA660" s="12"/>
      <c r="AB660" s="12"/>
      <c r="AC660" s="12"/>
      <c r="AD660" s="12"/>
      <c r="AE660" s="12"/>
      <c r="AF660" s="12"/>
    </row>
    <row r="661" spans="1:32">
      <c r="A661" s="8"/>
      <c r="B661" s="8"/>
      <c r="C661" s="8"/>
      <c r="D661" s="8"/>
      <c r="E661" s="8"/>
      <c r="F661" s="8"/>
      <c r="G661" s="8"/>
      <c r="H661" s="8"/>
      <c r="I661" s="8"/>
      <c r="J661" s="8"/>
      <c r="K661" s="8"/>
      <c r="L661" s="8"/>
      <c r="M661" s="8"/>
      <c r="N661" s="8"/>
      <c r="O661" s="8"/>
      <c r="P661" s="8"/>
      <c r="Q661" s="8"/>
      <c r="R661" s="8"/>
      <c r="S661" s="8"/>
      <c r="T661" s="8"/>
      <c r="U661" s="12"/>
      <c r="V661" s="12"/>
      <c r="W661" s="12"/>
      <c r="X661" s="12"/>
      <c r="Y661" s="12"/>
      <c r="Z661" s="12"/>
      <c r="AA661" s="12"/>
      <c r="AB661" s="12"/>
      <c r="AC661" s="12"/>
      <c r="AD661" s="12"/>
      <c r="AE661" s="12"/>
      <c r="AF661" s="12"/>
    </row>
    <row r="662" spans="1:32">
      <c r="A662" s="8"/>
      <c r="B662" s="8"/>
      <c r="C662" s="8"/>
      <c r="D662" s="8"/>
      <c r="E662" s="8"/>
      <c r="F662" s="8"/>
      <c r="G662" s="8"/>
      <c r="H662" s="8"/>
      <c r="I662" s="8"/>
      <c r="J662" s="8"/>
      <c r="K662" s="8"/>
      <c r="L662" s="8"/>
      <c r="M662" s="8"/>
      <c r="N662" s="8"/>
      <c r="O662" s="8"/>
      <c r="P662" s="8"/>
      <c r="Q662" s="8"/>
      <c r="R662" s="8"/>
      <c r="S662" s="8"/>
      <c r="T662" s="8"/>
      <c r="U662" s="12"/>
      <c r="V662" s="12"/>
      <c r="W662" s="12"/>
      <c r="X662" s="12"/>
      <c r="Y662" s="12"/>
      <c r="Z662" s="12"/>
      <c r="AA662" s="12"/>
      <c r="AB662" s="12"/>
      <c r="AC662" s="12"/>
      <c r="AD662" s="12"/>
      <c r="AE662" s="12"/>
      <c r="AF662" s="12"/>
    </row>
    <row r="663" spans="1:32">
      <c r="A663" s="8"/>
      <c r="B663" s="8"/>
      <c r="C663" s="8"/>
      <c r="D663" s="8"/>
      <c r="E663" s="8"/>
      <c r="F663" s="8"/>
      <c r="G663" s="8"/>
      <c r="H663" s="8"/>
      <c r="I663" s="8"/>
      <c r="J663" s="8"/>
      <c r="K663" s="8"/>
      <c r="L663" s="8"/>
      <c r="M663" s="8"/>
      <c r="N663" s="8"/>
      <c r="O663" s="8"/>
      <c r="P663" s="8"/>
      <c r="Q663" s="8"/>
      <c r="R663" s="8"/>
      <c r="S663" s="8"/>
      <c r="T663" s="8"/>
      <c r="U663" s="12"/>
      <c r="V663" s="12"/>
      <c r="W663" s="12"/>
      <c r="X663" s="12"/>
      <c r="Y663" s="12"/>
      <c r="Z663" s="12"/>
      <c r="AA663" s="12"/>
      <c r="AB663" s="12"/>
      <c r="AC663" s="12"/>
      <c r="AD663" s="12"/>
      <c r="AE663" s="12"/>
      <c r="AF663" s="12"/>
    </row>
    <row r="664" spans="1:32">
      <c r="A664" s="8"/>
      <c r="B664" s="8"/>
      <c r="C664" s="8"/>
      <c r="D664" s="8"/>
      <c r="E664" s="8"/>
      <c r="F664" s="8"/>
      <c r="G664" s="8"/>
      <c r="H664" s="8"/>
      <c r="I664" s="8"/>
      <c r="J664" s="8"/>
      <c r="K664" s="8"/>
      <c r="L664" s="8"/>
      <c r="M664" s="8"/>
      <c r="N664" s="8"/>
      <c r="O664" s="8"/>
      <c r="P664" s="8"/>
      <c r="Q664" s="8"/>
      <c r="R664" s="8"/>
      <c r="S664" s="8"/>
      <c r="T664" s="8"/>
      <c r="U664" s="12"/>
      <c r="V664" s="12"/>
      <c r="W664" s="12"/>
      <c r="X664" s="12"/>
      <c r="Y664" s="12"/>
      <c r="Z664" s="12"/>
      <c r="AA664" s="12"/>
      <c r="AB664" s="12"/>
      <c r="AC664" s="12"/>
      <c r="AD664" s="12"/>
      <c r="AE664" s="12"/>
      <c r="AF664" s="12"/>
    </row>
    <row r="665" spans="1:32">
      <c r="A665" s="8"/>
      <c r="B665" s="8"/>
      <c r="C665" s="8"/>
      <c r="D665" s="8"/>
      <c r="E665" s="8"/>
      <c r="F665" s="8"/>
      <c r="G665" s="8"/>
      <c r="H665" s="8"/>
      <c r="I665" s="8"/>
      <c r="J665" s="8"/>
      <c r="K665" s="8"/>
      <c r="L665" s="8"/>
      <c r="M665" s="8"/>
      <c r="N665" s="8"/>
      <c r="O665" s="8"/>
      <c r="P665" s="8"/>
      <c r="Q665" s="8"/>
      <c r="R665" s="8"/>
      <c r="S665" s="8"/>
      <c r="T665" s="8"/>
      <c r="U665" s="12"/>
      <c r="V665" s="12"/>
      <c r="W665" s="12"/>
      <c r="X665" s="12"/>
      <c r="Y665" s="12"/>
      <c r="Z665" s="12"/>
      <c r="AA665" s="12"/>
      <c r="AB665" s="12"/>
      <c r="AC665" s="12"/>
      <c r="AD665" s="12"/>
      <c r="AE665" s="12"/>
      <c r="AF665" s="12"/>
    </row>
    <row r="666" spans="1:32">
      <c r="A666" s="8"/>
      <c r="B666" s="8"/>
      <c r="C666" s="8"/>
      <c r="D666" s="8"/>
      <c r="E666" s="8"/>
      <c r="F666" s="8"/>
      <c r="G666" s="8"/>
      <c r="H666" s="8"/>
      <c r="I666" s="8"/>
      <c r="J666" s="8"/>
      <c r="K666" s="8"/>
      <c r="L666" s="8"/>
      <c r="M666" s="8"/>
      <c r="N666" s="8"/>
      <c r="O666" s="8"/>
      <c r="P666" s="8"/>
      <c r="Q666" s="8"/>
      <c r="R666" s="8"/>
      <c r="S666" s="8"/>
      <c r="T666" s="8"/>
      <c r="U666" s="12"/>
      <c r="V666" s="12"/>
      <c r="W666" s="12"/>
      <c r="X666" s="12"/>
      <c r="Y666" s="12"/>
      <c r="Z666" s="12"/>
      <c r="AA666" s="12"/>
      <c r="AB666" s="12"/>
      <c r="AC666" s="12"/>
      <c r="AD666" s="12"/>
      <c r="AE666" s="12"/>
      <c r="AF666" s="12"/>
    </row>
    <row r="667" spans="1:32">
      <c r="A667" s="8"/>
      <c r="B667" s="8"/>
      <c r="C667" s="8"/>
      <c r="D667" s="8"/>
      <c r="E667" s="8"/>
      <c r="F667" s="8"/>
      <c r="G667" s="8"/>
      <c r="H667" s="8"/>
      <c r="I667" s="8"/>
      <c r="J667" s="8"/>
      <c r="K667" s="8"/>
      <c r="L667" s="8"/>
      <c r="M667" s="8"/>
      <c r="N667" s="8"/>
      <c r="O667" s="8"/>
      <c r="P667" s="8"/>
      <c r="Q667" s="8"/>
      <c r="R667" s="8"/>
      <c r="S667" s="8"/>
      <c r="T667" s="8"/>
      <c r="U667" s="12"/>
      <c r="V667" s="12"/>
      <c r="W667" s="12"/>
      <c r="X667" s="12"/>
      <c r="Y667" s="12"/>
      <c r="Z667" s="12"/>
      <c r="AA667" s="12"/>
      <c r="AB667" s="12"/>
      <c r="AC667" s="12"/>
      <c r="AD667" s="12"/>
      <c r="AE667" s="12"/>
      <c r="AF667" s="12"/>
    </row>
    <row r="668" spans="1:32">
      <c r="A668" s="8"/>
      <c r="B668" s="8"/>
      <c r="C668" s="8"/>
      <c r="D668" s="8"/>
      <c r="E668" s="8"/>
      <c r="F668" s="8"/>
      <c r="G668" s="8"/>
      <c r="H668" s="8"/>
      <c r="I668" s="8"/>
      <c r="J668" s="8"/>
      <c r="K668" s="8"/>
      <c r="L668" s="8"/>
      <c r="M668" s="8"/>
      <c r="N668" s="8"/>
      <c r="O668" s="8"/>
      <c r="P668" s="8"/>
      <c r="Q668" s="8"/>
      <c r="R668" s="8"/>
      <c r="S668" s="8"/>
      <c r="T668" s="8"/>
      <c r="U668" s="12"/>
      <c r="V668" s="12"/>
      <c r="W668" s="12"/>
      <c r="X668" s="12"/>
      <c r="Y668" s="12"/>
      <c r="Z668" s="12"/>
      <c r="AA668" s="12"/>
      <c r="AB668" s="12"/>
      <c r="AC668" s="12"/>
      <c r="AD668" s="12"/>
      <c r="AE668" s="12"/>
      <c r="AF668" s="12"/>
    </row>
    <row r="669" spans="1:32">
      <c r="A669" s="8"/>
      <c r="B669" s="8"/>
      <c r="C669" s="8"/>
      <c r="D669" s="8"/>
      <c r="E669" s="8"/>
      <c r="F669" s="8"/>
      <c r="G669" s="8"/>
      <c r="H669" s="8"/>
      <c r="I669" s="8"/>
      <c r="J669" s="8"/>
      <c r="K669" s="8"/>
      <c r="L669" s="8"/>
      <c r="M669" s="8"/>
      <c r="N669" s="8"/>
      <c r="O669" s="8"/>
      <c r="P669" s="8"/>
      <c r="Q669" s="8"/>
      <c r="R669" s="8"/>
      <c r="S669" s="8"/>
      <c r="T669" s="8"/>
      <c r="U669" s="12"/>
      <c r="V669" s="12"/>
      <c r="W669" s="12"/>
      <c r="X669" s="12"/>
      <c r="Y669" s="12"/>
      <c r="Z669" s="12"/>
      <c r="AA669" s="12"/>
      <c r="AB669" s="12"/>
      <c r="AC669" s="12"/>
      <c r="AD669" s="12"/>
      <c r="AE669" s="12"/>
      <c r="AF669" s="12"/>
    </row>
    <row r="670" spans="1:32">
      <c r="A670" s="8"/>
      <c r="B670" s="8"/>
      <c r="C670" s="8"/>
      <c r="D670" s="8"/>
      <c r="E670" s="8"/>
      <c r="F670" s="8"/>
      <c r="G670" s="8"/>
      <c r="H670" s="8"/>
      <c r="I670" s="8"/>
      <c r="J670" s="8"/>
      <c r="K670" s="8"/>
      <c r="L670" s="8"/>
      <c r="M670" s="8"/>
      <c r="N670" s="8"/>
      <c r="O670" s="8"/>
      <c r="P670" s="8"/>
      <c r="Q670" s="8"/>
      <c r="R670" s="8"/>
      <c r="S670" s="8"/>
      <c r="T670" s="8"/>
      <c r="U670" s="12"/>
      <c r="V670" s="12"/>
      <c r="W670" s="12"/>
      <c r="X670" s="12"/>
      <c r="Y670" s="12"/>
      <c r="Z670" s="12"/>
      <c r="AA670" s="12"/>
      <c r="AB670" s="12"/>
      <c r="AC670" s="12"/>
      <c r="AD670" s="12"/>
      <c r="AE670" s="12"/>
      <c r="AF670" s="12"/>
    </row>
    <row r="671" spans="1:32">
      <c r="A671" s="8"/>
      <c r="B671" s="8"/>
      <c r="C671" s="8"/>
      <c r="D671" s="8"/>
      <c r="E671" s="8"/>
      <c r="F671" s="8"/>
      <c r="G671" s="8"/>
      <c r="H671" s="8"/>
      <c r="I671" s="8"/>
      <c r="J671" s="8"/>
      <c r="K671" s="8"/>
      <c r="L671" s="8"/>
      <c r="M671" s="8"/>
      <c r="N671" s="8"/>
      <c r="O671" s="8"/>
      <c r="P671" s="8"/>
      <c r="Q671" s="8"/>
      <c r="R671" s="8"/>
      <c r="S671" s="8"/>
      <c r="T671" s="8"/>
      <c r="U671" s="12"/>
      <c r="V671" s="12"/>
      <c r="W671" s="12"/>
      <c r="X671" s="12"/>
      <c r="Y671" s="12"/>
      <c r="Z671" s="12"/>
      <c r="AA671" s="12"/>
      <c r="AB671" s="12"/>
      <c r="AC671" s="12"/>
      <c r="AD671" s="12"/>
      <c r="AE671" s="12"/>
      <c r="AF671" s="12"/>
    </row>
    <row r="672" spans="1:32">
      <c r="A672" s="8"/>
      <c r="B672" s="8"/>
      <c r="C672" s="8"/>
      <c r="D672" s="8"/>
      <c r="E672" s="8"/>
      <c r="F672" s="8"/>
      <c r="G672" s="8"/>
      <c r="H672" s="8"/>
      <c r="I672" s="8"/>
      <c r="J672" s="8"/>
      <c r="K672" s="8"/>
      <c r="L672" s="8"/>
      <c r="M672" s="8"/>
      <c r="N672" s="8"/>
      <c r="O672" s="8"/>
      <c r="P672" s="8"/>
      <c r="Q672" s="8"/>
      <c r="R672" s="8"/>
      <c r="S672" s="8"/>
      <c r="T672" s="8"/>
      <c r="U672" s="12"/>
      <c r="V672" s="12"/>
      <c r="W672" s="12"/>
      <c r="X672" s="12"/>
      <c r="Y672" s="12"/>
      <c r="Z672" s="12"/>
      <c r="AA672" s="12"/>
      <c r="AB672" s="12"/>
      <c r="AC672" s="12"/>
      <c r="AD672" s="12"/>
      <c r="AE672" s="12"/>
      <c r="AF672" s="12"/>
    </row>
    <row r="673" spans="1:32">
      <c r="A673" s="8"/>
      <c r="B673" s="8"/>
      <c r="C673" s="8"/>
      <c r="D673" s="8"/>
      <c r="E673" s="8"/>
      <c r="F673" s="8"/>
      <c r="G673" s="8"/>
      <c r="H673" s="8"/>
      <c r="I673" s="8"/>
      <c r="J673" s="8"/>
      <c r="K673" s="8"/>
      <c r="L673" s="8"/>
      <c r="M673" s="8"/>
      <c r="N673" s="8"/>
      <c r="O673" s="8"/>
      <c r="P673" s="8"/>
      <c r="Q673" s="8"/>
      <c r="R673" s="8"/>
      <c r="S673" s="8"/>
      <c r="T673" s="8"/>
      <c r="U673" s="12"/>
      <c r="V673" s="12"/>
      <c r="W673" s="12"/>
      <c r="X673" s="12"/>
      <c r="Y673" s="12"/>
      <c r="Z673" s="12"/>
      <c r="AA673" s="12"/>
      <c r="AB673" s="12"/>
      <c r="AC673" s="12"/>
      <c r="AD673" s="12"/>
      <c r="AE673" s="12"/>
      <c r="AF673" s="12"/>
    </row>
    <row r="674" spans="1:32">
      <c r="A674" s="8"/>
      <c r="B674" s="8"/>
      <c r="C674" s="8"/>
      <c r="D674" s="8"/>
      <c r="E674" s="8"/>
      <c r="F674" s="8"/>
      <c r="G674" s="8"/>
      <c r="H674" s="8"/>
      <c r="I674" s="8"/>
      <c r="J674" s="8"/>
      <c r="K674" s="8"/>
      <c r="L674" s="8"/>
      <c r="M674" s="8"/>
      <c r="N674" s="8"/>
      <c r="O674" s="8"/>
      <c r="P674" s="8"/>
      <c r="Q674" s="8"/>
      <c r="R674" s="8"/>
      <c r="S674" s="8"/>
      <c r="T674" s="8"/>
      <c r="U674" s="12"/>
      <c r="V674" s="12"/>
      <c r="W674" s="12"/>
      <c r="X674" s="12"/>
      <c r="Y674" s="12"/>
      <c r="Z674" s="12"/>
      <c r="AA674" s="12"/>
      <c r="AB674" s="12"/>
      <c r="AC674" s="12"/>
      <c r="AD674" s="12"/>
      <c r="AE674" s="12"/>
      <c r="AF674" s="12"/>
    </row>
    <row r="675" spans="1:32">
      <c r="A675" s="8"/>
      <c r="B675" s="8"/>
      <c r="C675" s="8"/>
      <c r="D675" s="8"/>
      <c r="E675" s="8"/>
      <c r="F675" s="8"/>
      <c r="G675" s="8"/>
      <c r="H675" s="8"/>
      <c r="I675" s="8"/>
      <c r="J675" s="8"/>
      <c r="K675" s="8"/>
      <c r="L675" s="8"/>
      <c r="M675" s="8"/>
      <c r="N675" s="8"/>
      <c r="O675" s="8"/>
      <c r="P675" s="8"/>
      <c r="Q675" s="8"/>
      <c r="R675" s="8"/>
      <c r="S675" s="8"/>
      <c r="T675" s="8"/>
      <c r="U675" s="12"/>
      <c r="V675" s="12"/>
      <c r="W675" s="12"/>
      <c r="X675" s="12"/>
      <c r="Y675" s="12"/>
      <c r="Z675" s="12"/>
      <c r="AA675" s="12"/>
      <c r="AB675" s="12"/>
      <c r="AC675" s="12"/>
      <c r="AD675" s="12"/>
      <c r="AE675" s="12"/>
      <c r="AF675" s="12"/>
    </row>
    <row r="676" spans="1:32">
      <c r="A676" s="8"/>
      <c r="B676" s="8"/>
      <c r="C676" s="8"/>
      <c r="D676" s="8"/>
      <c r="E676" s="8"/>
      <c r="F676" s="8"/>
      <c r="G676" s="8"/>
      <c r="H676" s="8"/>
      <c r="I676" s="8"/>
      <c r="J676" s="8"/>
      <c r="K676" s="8"/>
      <c r="L676" s="8"/>
      <c r="M676" s="8"/>
      <c r="N676" s="8"/>
      <c r="O676" s="8"/>
      <c r="P676" s="8"/>
      <c r="Q676" s="8"/>
      <c r="R676" s="8"/>
      <c r="S676" s="8"/>
      <c r="T676" s="8"/>
      <c r="U676" s="12"/>
      <c r="V676" s="12"/>
      <c r="W676" s="12"/>
      <c r="X676" s="12"/>
      <c r="Y676" s="12"/>
      <c r="Z676" s="12"/>
      <c r="AA676" s="12"/>
      <c r="AB676" s="12"/>
      <c r="AC676" s="12"/>
      <c r="AD676" s="12"/>
      <c r="AE676" s="12"/>
      <c r="AF676" s="12"/>
    </row>
    <row r="677" spans="1:32">
      <c r="A677" s="8"/>
      <c r="B677" s="8"/>
      <c r="C677" s="8"/>
      <c r="D677" s="8"/>
      <c r="E677" s="8"/>
      <c r="F677" s="8"/>
      <c r="G677" s="8"/>
      <c r="H677" s="8"/>
      <c r="I677" s="8"/>
      <c r="J677" s="8"/>
      <c r="K677" s="8"/>
      <c r="L677" s="8"/>
      <c r="M677" s="8"/>
      <c r="N677" s="8"/>
      <c r="O677" s="8"/>
      <c r="P677" s="8"/>
      <c r="Q677" s="8"/>
      <c r="R677" s="8"/>
      <c r="S677" s="8"/>
      <c r="T677" s="8"/>
      <c r="U677" s="12"/>
      <c r="V677" s="12"/>
      <c r="W677" s="12"/>
      <c r="X677" s="12"/>
      <c r="Y677" s="12"/>
      <c r="Z677" s="12"/>
      <c r="AA677" s="12"/>
      <c r="AB677" s="12"/>
      <c r="AC677" s="12"/>
      <c r="AD677" s="12"/>
      <c r="AE677" s="12"/>
      <c r="AF677" s="12"/>
    </row>
    <row r="678" spans="1:32">
      <c r="A678" s="8"/>
      <c r="B678" s="8"/>
      <c r="C678" s="8"/>
      <c r="D678" s="8"/>
      <c r="E678" s="8"/>
      <c r="F678" s="8"/>
      <c r="G678" s="8"/>
      <c r="H678" s="8"/>
      <c r="I678" s="8"/>
      <c r="J678" s="8"/>
      <c r="K678" s="8"/>
      <c r="L678" s="8"/>
      <c r="M678" s="8"/>
      <c r="N678" s="8"/>
      <c r="O678" s="8"/>
      <c r="P678" s="8"/>
      <c r="Q678" s="8"/>
      <c r="R678" s="8"/>
      <c r="S678" s="8"/>
      <c r="T678" s="8"/>
      <c r="U678" s="12"/>
      <c r="V678" s="12"/>
      <c r="W678" s="12"/>
      <c r="X678" s="12"/>
      <c r="Y678" s="12"/>
      <c r="Z678" s="12"/>
      <c r="AA678" s="12"/>
      <c r="AB678" s="12"/>
      <c r="AC678" s="12"/>
      <c r="AD678" s="12"/>
      <c r="AE678" s="12"/>
      <c r="AF678" s="12"/>
    </row>
    <row r="679" spans="1:32">
      <c r="A679" s="8"/>
      <c r="B679" s="8"/>
      <c r="C679" s="8"/>
      <c r="D679" s="8"/>
      <c r="E679" s="8"/>
      <c r="F679" s="8"/>
      <c r="G679" s="8"/>
      <c r="H679" s="8"/>
      <c r="I679" s="8"/>
      <c r="J679" s="8"/>
      <c r="K679" s="8"/>
      <c r="L679" s="8"/>
      <c r="M679" s="8"/>
      <c r="N679" s="8"/>
      <c r="O679" s="8"/>
      <c r="P679" s="8"/>
      <c r="Q679" s="8"/>
      <c r="R679" s="8"/>
      <c r="S679" s="8"/>
      <c r="T679" s="8"/>
      <c r="U679" s="12"/>
      <c r="V679" s="12"/>
      <c r="W679" s="12"/>
      <c r="X679" s="12"/>
      <c r="Y679" s="12"/>
      <c r="Z679" s="12"/>
      <c r="AA679" s="12"/>
      <c r="AB679" s="12"/>
      <c r="AC679" s="12"/>
      <c r="AD679" s="12"/>
      <c r="AE679" s="12"/>
      <c r="AF679" s="12"/>
    </row>
    <row r="680" spans="1:32">
      <c r="A680" s="8"/>
      <c r="B680" s="8"/>
      <c r="C680" s="8"/>
      <c r="D680" s="8"/>
      <c r="E680" s="8"/>
      <c r="F680" s="8"/>
      <c r="G680" s="8"/>
      <c r="H680" s="8"/>
      <c r="I680" s="8"/>
      <c r="J680" s="8"/>
      <c r="K680" s="8"/>
      <c r="L680" s="8"/>
      <c r="M680" s="8"/>
      <c r="N680" s="8"/>
      <c r="O680" s="8"/>
      <c r="P680" s="8"/>
      <c r="Q680" s="8"/>
      <c r="R680" s="8"/>
      <c r="S680" s="8"/>
      <c r="T680" s="8"/>
      <c r="U680" s="12"/>
      <c r="V680" s="12"/>
      <c r="W680" s="12"/>
      <c r="X680" s="12"/>
      <c r="Y680" s="12"/>
      <c r="Z680" s="12"/>
      <c r="AA680" s="12"/>
      <c r="AB680" s="12"/>
      <c r="AC680" s="12"/>
      <c r="AD680" s="12"/>
      <c r="AE680" s="12"/>
      <c r="AF680" s="12"/>
    </row>
    <row r="681" spans="1:32">
      <c r="A681" s="8"/>
      <c r="B681" s="8"/>
      <c r="C681" s="8"/>
      <c r="D681" s="8"/>
      <c r="E681" s="8"/>
      <c r="F681" s="8"/>
      <c r="G681" s="8"/>
      <c r="H681" s="8"/>
      <c r="I681" s="8"/>
      <c r="J681" s="8"/>
      <c r="K681" s="8"/>
      <c r="L681" s="8"/>
      <c r="M681" s="8"/>
      <c r="N681" s="8"/>
      <c r="O681" s="8"/>
      <c r="P681" s="8"/>
      <c r="Q681" s="8"/>
      <c r="R681" s="8"/>
      <c r="S681" s="8"/>
      <c r="T681" s="8"/>
      <c r="U681" s="12"/>
      <c r="V681" s="12"/>
      <c r="W681" s="12"/>
      <c r="X681" s="12"/>
      <c r="Y681" s="12"/>
      <c r="Z681" s="12"/>
      <c r="AA681" s="12"/>
      <c r="AB681" s="12"/>
      <c r="AC681" s="12"/>
      <c r="AD681" s="12"/>
      <c r="AE681" s="12"/>
      <c r="AF681" s="12"/>
    </row>
    <row r="682" spans="1:32">
      <c r="A682" s="8"/>
      <c r="B682" s="8"/>
      <c r="C682" s="8"/>
      <c r="D682" s="8"/>
      <c r="E682" s="8"/>
      <c r="F682" s="8"/>
      <c r="G682" s="8"/>
      <c r="H682" s="8"/>
      <c r="I682" s="8"/>
      <c r="J682" s="8"/>
      <c r="K682" s="8"/>
      <c r="L682" s="8"/>
      <c r="M682" s="8"/>
      <c r="N682" s="8"/>
      <c r="O682" s="8"/>
      <c r="P682" s="8"/>
      <c r="Q682" s="8"/>
      <c r="R682" s="8"/>
      <c r="S682" s="8"/>
      <c r="T682" s="8"/>
      <c r="U682" s="12"/>
      <c r="V682" s="12"/>
      <c r="W682" s="12"/>
      <c r="X682" s="12"/>
      <c r="Y682" s="12"/>
      <c r="Z682" s="12"/>
      <c r="AA682" s="12"/>
      <c r="AB682" s="12"/>
      <c r="AC682" s="12"/>
      <c r="AD682" s="12"/>
      <c r="AE682" s="12"/>
      <c r="AF682" s="12"/>
    </row>
    <row r="683" spans="1:32">
      <c r="A683" s="8"/>
      <c r="B683" s="8"/>
      <c r="C683" s="8"/>
      <c r="D683" s="8"/>
      <c r="E683" s="8"/>
      <c r="F683" s="8"/>
      <c r="G683" s="8"/>
      <c r="H683" s="8"/>
      <c r="I683" s="8"/>
      <c r="J683" s="8"/>
      <c r="K683" s="8"/>
      <c r="L683" s="8"/>
      <c r="M683" s="8"/>
      <c r="N683" s="8"/>
      <c r="O683" s="8"/>
      <c r="P683" s="8"/>
      <c r="Q683" s="8"/>
      <c r="R683" s="8"/>
      <c r="S683" s="8"/>
      <c r="T683" s="8"/>
      <c r="U683" s="12"/>
      <c r="V683" s="12"/>
      <c r="W683" s="12"/>
      <c r="X683" s="12"/>
      <c r="Y683" s="12"/>
      <c r="Z683" s="12"/>
      <c r="AA683" s="12"/>
      <c r="AB683" s="12"/>
      <c r="AC683" s="12"/>
      <c r="AD683" s="12"/>
      <c r="AE683" s="12"/>
      <c r="AF683" s="12"/>
    </row>
    <row r="684" spans="1:32">
      <c r="A684" s="8"/>
      <c r="B684" s="8"/>
      <c r="C684" s="8"/>
      <c r="D684" s="8"/>
      <c r="E684" s="8"/>
      <c r="F684" s="8"/>
      <c r="G684" s="8"/>
      <c r="H684" s="8"/>
      <c r="I684" s="8"/>
      <c r="J684" s="8"/>
      <c r="K684" s="8"/>
      <c r="L684" s="8"/>
      <c r="M684" s="8"/>
      <c r="N684" s="8"/>
      <c r="O684" s="8"/>
      <c r="P684" s="8"/>
      <c r="Q684" s="8"/>
      <c r="R684" s="8"/>
      <c r="S684" s="8"/>
      <c r="T684" s="8"/>
      <c r="U684" s="12"/>
      <c r="V684" s="12"/>
      <c r="W684" s="12"/>
      <c r="X684" s="12"/>
      <c r="Y684" s="12"/>
      <c r="Z684" s="12"/>
      <c r="AA684" s="12"/>
      <c r="AB684" s="12"/>
      <c r="AC684" s="12"/>
      <c r="AD684" s="12"/>
      <c r="AE684" s="12"/>
      <c r="AF684" s="12"/>
    </row>
    <row r="685" spans="1:32">
      <c r="A685" s="8"/>
      <c r="B685" s="8"/>
      <c r="C685" s="8"/>
      <c r="D685" s="8"/>
      <c r="E685" s="8"/>
      <c r="F685" s="8"/>
      <c r="G685" s="8"/>
      <c r="H685" s="8"/>
      <c r="I685" s="8"/>
      <c r="J685" s="8"/>
      <c r="K685" s="8"/>
      <c r="L685" s="8"/>
      <c r="M685" s="8"/>
      <c r="N685" s="8"/>
      <c r="O685" s="8"/>
      <c r="P685" s="8"/>
      <c r="Q685" s="8"/>
      <c r="R685" s="8"/>
      <c r="S685" s="8"/>
      <c r="T685" s="8"/>
      <c r="U685" s="12"/>
      <c r="V685" s="12"/>
      <c r="W685" s="12"/>
      <c r="X685" s="12"/>
      <c r="Y685" s="12"/>
      <c r="Z685" s="12"/>
      <c r="AA685" s="12"/>
      <c r="AB685" s="12"/>
      <c r="AC685" s="12"/>
      <c r="AD685" s="12"/>
      <c r="AE685" s="12"/>
      <c r="AF685" s="12"/>
    </row>
    <row r="686" spans="1:32">
      <c r="A686" s="8"/>
      <c r="B686" s="8"/>
      <c r="C686" s="8"/>
      <c r="D686" s="8"/>
      <c r="E686" s="8"/>
      <c r="F686" s="8"/>
      <c r="G686" s="8"/>
      <c r="H686" s="8"/>
      <c r="I686" s="8"/>
      <c r="J686" s="8"/>
      <c r="K686" s="8"/>
      <c r="L686" s="8"/>
      <c r="M686" s="8"/>
      <c r="N686" s="8"/>
      <c r="O686" s="8"/>
      <c r="P686" s="8"/>
      <c r="Q686" s="8"/>
      <c r="R686" s="8"/>
      <c r="S686" s="8"/>
      <c r="T686" s="8"/>
      <c r="U686" s="12"/>
      <c r="V686" s="12"/>
      <c r="W686" s="12"/>
      <c r="X686" s="12"/>
      <c r="Y686" s="12"/>
      <c r="Z686" s="12"/>
      <c r="AA686" s="12"/>
      <c r="AB686" s="12"/>
      <c r="AC686" s="12"/>
      <c r="AD686" s="12"/>
      <c r="AE686" s="12"/>
      <c r="AF686" s="12"/>
    </row>
    <row r="687" spans="1:32">
      <c r="A687" s="8"/>
      <c r="B687" s="8"/>
      <c r="C687" s="8"/>
      <c r="D687" s="8"/>
      <c r="E687" s="8"/>
      <c r="F687" s="8"/>
      <c r="G687" s="8"/>
      <c r="H687" s="8"/>
      <c r="I687" s="8"/>
      <c r="J687" s="8"/>
      <c r="K687" s="8"/>
      <c r="L687" s="8"/>
      <c r="M687" s="8"/>
      <c r="N687" s="8"/>
      <c r="O687" s="8"/>
      <c r="P687" s="8"/>
      <c r="Q687" s="8"/>
      <c r="R687" s="8"/>
      <c r="S687" s="8"/>
      <c r="T687" s="8"/>
      <c r="U687" s="12"/>
      <c r="V687" s="12"/>
      <c r="W687" s="12"/>
      <c r="X687" s="12"/>
      <c r="Y687" s="12"/>
      <c r="Z687" s="12"/>
      <c r="AA687" s="12"/>
      <c r="AB687" s="12"/>
      <c r="AC687" s="12"/>
      <c r="AD687" s="12"/>
      <c r="AE687" s="12"/>
      <c r="AF687" s="12"/>
    </row>
    <row r="688" spans="1:32">
      <c r="A688" s="8"/>
      <c r="B688" s="8"/>
      <c r="C688" s="8"/>
      <c r="D688" s="8"/>
      <c r="E688" s="8"/>
      <c r="F688" s="8"/>
      <c r="G688" s="8"/>
      <c r="H688" s="8"/>
      <c r="I688" s="8"/>
      <c r="J688" s="8"/>
      <c r="K688" s="8"/>
      <c r="L688" s="8"/>
      <c r="M688" s="8"/>
      <c r="N688" s="8"/>
      <c r="O688" s="8"/>
      <c r="P688" s="8"/>
      <c r="Q688" s="8"/>
      <c r="R688" s="8"/>
      <c r="S688" s="8"/>
      <c r="T688" s="8"/>
      <c r="U688" s="12"/>
      <c r="V688" s="12"/>
      <c r="W688" s="12"/>
      <c r="X688" s="12"/>
      <c r="Y688" s="12"/>
      <c r="Z688" s="12"/>
      <c r="AA688" s="12"/>
      <c r="AB688" s="12"/>
      <c r="AC688" s="12"/>
      <c r="AD688" s="12"/>
      <c r="AE688" s="12"/>
      <c r="AF688" s="12"/>
    </row>
    <row r="689" spans="1:32">
      <c r="A689" s="8"/>
      <c r="B689" s="8"/>
      <c r="C689" s="8"/>
      <c r="D689" s="8"/>
      <c r="E689" s="8"/>
      <c r="F689" s="8"/>
      <c r="G689" s="8"/>
      <c r="H689" s="8"/>
      <c r="I689" s="8"/>
      <c r="J689" s="8"/>
      <c r="K689" s="8"/>
      <c r="L689" s="8"/>
      <c r="M689" s="8"/>
      <c r="N689" s="8"/>
      <c r="O689" s="8"/>
      <c r="P689" s="8"/>
      <c r="Q689" s="8"/>
      <c r="R689" s="8"/>
      <c r="S689" s="8"/>
      <c r="T689" s="8"/>
      <c r="U689" s="12"/>
      <c r="V689" s="12"/>
      <c r="W689" s="12"/>
      <c r="X689" s="12"/>
      <c r="Y689" s="12"/>
      <c r="Z689" s="12"/>
      <c r="AA689" s="12"/>
      <c r="AB689" s="12"/>
      <c r="AC689" s="12"/>
      <c r="AD689" s="12"/>
      <c r="AE689" s="12"/>
      <c r="AF689" s="12"/>
    </row>
    <row r="690" spans="1:32">
      <c r="A690" s="8"/>
      <c r="B690" s="8"/>
      <c r="C690" s="8"/>
      <c r="D690" s="8"/>
      <c r="E690" s="8"/>
      <c r="F690" s="8"/>
      <c r="G690" s="8"/>
      <c r="H690" s="8"/>
      <c r="I690" s="8"/>
      <c r="J690" s="8"/>
      <c r="K690" s="8"/>
      <c r="L690" s="8"/>
      <c r="M690" s="8"/>
      <c r="N690" s="8"/>
      <c r="O690" s="8"/>
      <c r="P690" s="8"/>
      <c r="Q690" s="8"/>
      <c r="R690" s="8"/>
      <c r="S690" s="8"/>
      <c r="T690" s="8"/>
      <c r="U690" s="12"/>
      <c r="V690" s="12"/>
      <c r="W690" s="12"/>
      <c r="X690" s="12"/>
      <c r="Y690" s="12"/>
      <c r="Z690" s="12"/>
      <c r="AA690" s="12"/>
      <c r="AB690" s="12"/>
      <c r="AC690" s="12"/>
      <c r="AD690" s="12"/>
      <c r="AE690" s="12"/>
      <c r="AF690" s="12"/>
    </row>
    <row r="691" spans="1:32">
      <c r="A691" s="8"/>
      <c r="B691" s="8"/>
      <c r="C691" s="8"/>
      <c r="D691" s="8"/>
      <c r="E691" s="8"/>
      <c r="F691" s="8"/>
      <c r="G691" s="8"/>
      <c r="H691" s="8"/>
      <c r="I691" s="8"/>
      <c r="J691" s="8"/>
      <c r="K691" s="8"/>
      <c r="L691" s="8"/>
      <c r="M691" s="8"/>
      <c r="N691" s="8"/>
      <c r="O691" s="8"/>
      <c r="P691" s="8"/>
      <c r="Q691" s="8"/>
      <c r="R691" s="8"/>
      <c r="S691" s="8"/>
      <c r="T691" s="8"/>
      <c r="U691" s="12"/>
      <c r="V691" s="12"/>
      <c r="W691" s="12"/>
      <c r="X691" s="12"/>
      <c r="Y691" s="12"/>
      <c r="Z691" s="12"/>
      <c r="AA691" s="12"/>
      <c r="AB691" s="12"/>
      <c r="AC691" s="12"/>
      <c r="AD691" s="12"/>
      <c r="AE691" s="12"/>
      <c r="AF691" s="12"/>
    </row>
    <row r="692" spans="1:32">
      <c r="A692" s="8"/>
      <c r="B692" s="8"/>
      <c r="C692" s="8"/>
      <c r="D692" s="8"/>
      <c r="E692" s="8"/>
      <c r="F692" s="8"/>
      <c r="G692" s="8"/>
      <c r="H692" s="8"/>
      <c r="I692" s="8"/>
      <c r="J692" s="8"/>
      <c r="K692" s="8"/>
      <c r="L692" s="8"/>
      <c r="M692" s="8"/>
      <c r="N692" s="8"/>
      <c r="O692" s="8"/>
      <c r="P692" s="8"/>
      <c r="Q692" s="8"/>
      <c r="R692" s="8"/>
      <c r="S692" s="8"/>
      <c r="T692" s="8"/>
      <c r="U692" s="12"/>
      <c r="V692" s="12"/>
      <c r="W692" s="12"/>
      <c r="X692" s="12"/>
      <c r="Y692" s="12"/>
      <c r="Z692" s="12"/>
      <c r="AA692" s="12"/>
      <c r="AB692" s="12"/>
      <c r="AC692" s="12"/>
      <c r="AD692" s="12"/>
      <c r="AE692" s="12"/>
      <c r="AF692" s="12"/>
    </row>
    <row r="693" spans="1:32">
      <c r="A693" s="8"/>
      <c r="B693" s="8"/>
      <c r="C693" s="8"/>
      <c r="D693" s="8"/>
      <c r="E693" s="8"/>
      <c r="F693" s="8"/>
      <c r="G693" s="8"/>
      <c r="H693" s="8"/>
      <c r="I693" s="8"/>
      <c r="J693" s="8"/>
      <c r="K693" s="8"/>
      <c r="L693" s="8"/>
      <c r="M693" s="8"/>
      <c r="N693" s="8"/>
      <c r="O693" s="8"/>
      <c r="P693" s="8"/>
      <c r="Q693" s="8"/>
      <c r="R693" s="8"/>
      <c r="S693" s="8"/>
      <c r="T693" s="8"/>
      <c r="U693" s="12"/>
      <c r="V693" s="12"/>
      <c r="W693" s="12"/>
      <c r="X693" s="12"/>
      <c r="Y693" s="12"/>
      <c r="Z693" s="12"/>
      <c r="AA693" s="12"/>
      <c r="AB693" s="12"/>
      <c r="AC693" s="12"/>
      <c r="AD693" s="12"/>
      <c r="AE693" s="12"/>
      <c r="AF693" s="12"/>
    </row>
    <row r="694" spans="1:32">
      <c r="A694" s="8"/>
      <c r="B694" s="8"/>
      <c r="C694" s="8"/>
      <c r="D694" s="8"/>
      <c r="E694" s="8"/>
      <c r="F694" s="8"/>
      <c r="G694" s="8"/>
      <c r="H694" s="8"/>
      <c r="I694" s="8"/>
      <c r="J694" s="8"/>
      <c r="K694" s="8"/>
      <c r="L694" s="8"/>
      <c r="M694" s="8"/>
      <c r="N694" s="8"/>
      <c r="O694" s="8"/>
      <c r="P694" s="8"/>
      <c r="Q694" s="8"/>
      <c r="R694" s="8"/>
      <c r="S694" s="8"/>
      <c r="T694" s="8"/>
      <c r="U694" s="12"/>
      <c r="V694" s="12"/>
      <c r="W694" s="12"/>
      <c r="X694" s="12"/>
      <c r="Y694" s="12"/>
      <c r="Z694" s="12"/>
      <c r="AA694" s="12"/>
      <c r="AB694" s="12"/>
      <c r="AC694" s="12"/>
      <c r="AD694" s="12"/>
      <c r="AE694" s="12"/>
      <c r="AF694" s="12"/>
    </row>
    <row r="695" spans="1:32">
      <c r="A695" s="8"/>
      <c r="B695" s="8"/>
      <c r="C695" s="8"/>
      <c r="D695" s="8"/>
      <c r="E695" s="8"/>
      <c r="F695" s="8"/>
      <c r="G695" s="8"/>
      <c r="H695" s="8"/>
      <c r="I695" s="8"/>
      <c r="J695" s="8"/>
      <c r="K695" s="8"/>
      <c r="L695" s="8"/>
      <c r="M695" s="8"/>
      <c r="N695" s="8"/>
      <c r="O695" s="8"/>
      <c r="P695" s="8"/>
      <c r="Q695" s="8"/>
      <c r="R695" s="8"/>
      <c r="S695" s="8"/>
      <c r="T695" s="8"/>
      <c r="U695" s="12"/>
      <c r="V695" s="12"/>
      <c r="W695" s="12"/>
      <c r="X695" s="12"/>
      <c r="Y695" s="12"/>
      <c r="Z695" s="12"/>
      <c r="AA695" s="12"/>
      <c r="AB695" s="12"/>
      <c r="AC695" s="12"/>
      <c r="AD695" s="12"/>
      <c r="AE695" s="12"/>
      <c r="AF695" s="12"/>
    </row>
    <row r="696" spans="1:32">
      <c r="A696" s="8"/>
      <c r="B696" s="8"/>
      <c r="C696" s="8"/>
      <c r="D696" s="8"/>
      <c r="E696" s="8"/>
      <c r="F696" s="8"/>
      <c r="G696" s="8"/>
      <c r="H696" s="8"/>
      <c r="I696" s="8"/>
      <c r="J696" s="8"/>
      <c r="K696" s="8"/>
      <c r="L696" s="8"/>
      <c r="M696" s="8"/>
      <c r="N696" s="8"/>
      <c r="O696" s="8"/>
      <c r="P696" s="8"/>
      <c r="Q696" s="8"/>
      <c r="R696" s="8"/>
      <c r="S696" s="8"/>
      <c r="T696" s="8"/>
      <c r="U696" s="12"/>
      <c r="V696" s="12"/>
      <c r="W696" s="12"/>
      <c r="X696" s="12"/>
      <c r="Y696" s="12"/>
      <c r="Z696" s="12"/>
      <c r="AA696" s="12"/>
      <c r="AB696" s="12"/>
      <c r="AC696" s="12"/>
      <c r="AD696" s="12"/>
      <c r="AE696" s="12"/>
      <c r="AF696" s="12"/>
    </row>
    <row r="697" spans="1:32">
      <c r="A697" s="8"/>
      <c r="B697" s="8"/>
      <c r="C697" s="8"/>
      <c r="D697" s="8"/>
      <c r="E697" s="8"/>
      <c r="F697" s="8"/>
      <c r="G697" s="8"/>
      <c r="H697" s="8"/>
      <c r="I697" s="8"/>
      <c r="J697" s="8"/>
      <c r="K697" s="8"/>
      <c r="L697" s="8"/>
      <c r="M697" s="8"/>
      <c r="N697" s="8"/>
      <c r="O697" s="8"/>
      <c r="P697" s="8"/>
      <c r="Q697" s="8"/>
      <c r="R697" s="8"/>
      <c r="S697" s="8"/>
      <c r="T697" s="8"/>
      <c r="U697" s="12"/>
      <c r="V697" s="12"/>
      <c r="W697" s="12"/>
      <c r="X697" s="12"/>
      <c r="Y697" s="12"/>
      <c r="Z697" s="12"/>
      <c r="AA697" s="12"/>
      <c r="AB697" s="12"/>
      <c r="AC697" s="12"/>
      <c r="AD697" s="12"/>
      <c r="AE697" s="12"/>
      <c r="AF697" s="12"/>
    </row>
    <row r="698" spans="1:32">
      <c r="A698" s="8"/>
      <c r="B698" s="8"/>
      <c r="C698" s="8"/>
      <c r="D698" s="8"/>
      <c r="E698" s="8"/>
      <c r="F698" s="8"/>
      <c r="G698" s="8"/>
      <c r="H698" s="8"/>
      <c r="I698" s="8"/>
      <c r="J698" s="8"/>
      <c r="K698" s="8"/>
      <c r="L698" s="8"/>
      <c r="M698" s="8"/>
      <c r="N698" s="8"/>
      <c r="O698" s="8"/>
      <c r="P698" s="8"/>
      <c r="Q698" s="8"/>
      <c r="R698" s="8"/>
      <c r="S698" s="8"/>
      <c r="T698" s="8"/>
      <c r="U698" s="12"/>
      <c r="V698" s="12"/>
      <c r="W698" s="12"/>
      <c r="X698" s="12"/>
      <c r="Y698" s="12"/>
      <c r="Z698" s="12"/>
      <c r="AA698" s="12"/>
      <c r="AB698" s="12"/>
      <c r="AC698" s="12"/>
      <c r="AD698" s="12"/>
      <c r="AE698" s="12"/>
      <c r="AF698" s="12"/>
    </row>
    <row r="699" spans="1:32">
      <c r="A699" s="8"/>
      <c r="B699" s="8"/>
      <c r="C699" s="8"/>
      <c r="D699" s="8"/>
      <c r="E699" s="8"/>
      <c r="F699" s="8"/>
      <c r="G699" s="8"/>
      <c r="H699" s="8"/>
      <c r="I699" s="8"/>
      <c r="J699" s="8"/>
      <c r="K699" s="8"/>
      <c r="L699" s="8"/>
      <c r="M699" s="8"/>
      <c r="N699" s="8"/>
      <c r="O699" s="8"/>
      <c r="P699" s="8"/>
      <c r="Q699" s="8"/>
      <c r="R699" s="8"/>
      <c r="S699" s="8"/>
      <c r="T699" s="8"/>
      <c r="U699" s="12"/>
      <c r="V699" s="12"/>
      <c r="W699" s="12"/>
      <c r="X699" s="12"/>
      <c r="Y699" s="12"/>
      <c r="Z699" s="12"/>
      <c r="AA699" s="12"/>
      <c r="AB699" s="12"/>
      <c r="AC699" s="12"/>
      <c r="AD699" s="12"/>
      <c r="AE699" s="12"/>
      <c r="AF699" s="12"/>
    </row>
    <row r="700" spans="1:32">
      <c r="A700" s="8"/>
      <c r="B700" s="8"/>
      <c r="C700" s="8"/>
      <c r="D700" s="8"/>
      <c r="E700" s="8"/>
      <c r="F700" s="8"/>
      <c r="G700" s="8"/>
      <c r="H700" s="8"/>
      <c r="I700" s="8"/>
      <c r="J700" s="8"/>
      <c r="K700" s="8"/>
      <c r="L700" s="8"/>
      <c r="M700" s="8"/>
      <c r="N700" s="8"/>
      <c r="O700" s="8"/>
      <c r="P700" s="8"/>
      <c r="Q700" s="8"/>
      <c r="R700" s="8"/>
      <c r="S700" s="8"/>
      <c r="T700" s="8"/>
      <c r="U700" s="12"/>
      <c r="V700" s="12"/>
      <c r="W700" s="12"/>
      <c r="X700" s="12"/>
      <c r="Y700" s="12"/>
      <c r="Z700" s="12"/>
      <c r="AA700" s="12"/>
      <c r="AB700" s="12"/>
      <c r="AC700" s="12"/>
      <c r="AD700" s="12"/>
      <c r="AE700" s="12"/>
      <c r="AF700" s="12"/>
    </row>
    <row r="701" spans="1:32">
      <c r="A701" s="8"/>
      <c r="B701" s="8"/>
      <c r="C701" s="8"/>
      <c r="D701" s="8"/>
      <c r="E701" s="8"/>
      <c r="F701" s="8"/>
      <c r="G701" s="8"/>
      <c r="H701" s="8"/>
      <c r="I701" s="8"/>
      <c r="J701" s="8"/>
      <c r="K701" s="8"/>
      <c r="L701" s="8"/>
      <c r="M701" s="8"/>
      <c r="N701" s="8"/>
      <c r="O701" s="8"/>
      <c r="P701" s="8"/>
      <c r="Q701" s="8"/>
      <c r="R701" s="8"/>
      <c r="S701" s="8"/>
      <c r="T701" s="8"/>
      <c r="U701" s="12"/>
      <c r="V701" s="12"/>
      <c r="W701" s="12"/>
      <c r="X701" s="12"/>
      <c r="Y701" s="12"/>
      <c r="Z701" s="12"/>
      <c r="AA701" s="12"/>
      <c r="AB701" s="12"/>
      <c r="AC701" s="12"/>
      <c r="AD701" s="12"/>
      <c r="AE701" s="12"/>
      <c r="AF701" s="12"/>
    </row>
    <row r="702" spans="1:32">
      <c r="A702" s="8"/>
      <c r="B702" s="8"/>
      <c r="C702" s="8"/>
      <c r="D702" s="8"/>
      <c r="E702" s="8"/>
      <c r="F702" s="8"/>
      <c r="G702" s="8"/>
      <c r="H702" s="8"/>
      <c r="I702" s="8"/>
      <c r="J702" s="8"/>
      <c r="K702" s="8"/>
      <c r="L702" s="8"/>
      <c r="M702" s="8"/>
      <c r="N702" s="8"/>
      <c r="O702" s="8"/>
      <c r="P702" s="8"/>
      <c r="Q702" s="8"/>
      <c r="R702" s="8"/>
      <c r="S702" s="8"/>
      <c r="T702" s="8"/>
      <c r="U702" s="12"/>
      <c r="V702" s="12"/>
      <c r="W702" s="12"/>
      <c r="X702" s="12"/>
      <c r="Y702" s="12"/>
      <c r="Z702" s="12"/>
      <c r="AA702" s="12"/>
      <c r="AB702" s="12"/>
      <c r="AC702" s="12"/>
      <c r="AD702" s="12"/>
      <c r="AE702" s="12"/>
      <c r="AF702" s="12"/>
    </row>
    <row r="703" spans="1:32">
      <c r="A703" s="8"/>
      <c r="B703" s="8"/>
      <c r="C703" s="8"/>
      <c r="D703" s="8"/>
      <c r="E703" s="8"/>
      <c r="F703" s="8"/>
      <c r="G703" s="8"/>
      <c r="H703" s="8"/>
      <c r="I703" s="8"/>
      <c r="J703" s="8"/>
      <c r="K703" s="8"/>
      <c r="L703" s="8"/>
      <c r="M703" s="8"/>
      <c r="N703" s="8"/>
      <c r="O703" s="8"/>
      <c r="P703" s="8"/>
      <c r="Q703" s="8"/>
      <c r="R703" s="8"/>
      <c r="S703" s="8"/>
      <c r="T703" s="8"/>
      <c r="U703" s="12"/>
      <c r="V703" s="12"/>
      <c r="W703" s="12"/>
      <c r="X703" s="12"/>
      <c r="Y703" s="12"/>
      <c r="Z703" s="12"/>
      <c r="AA703" s="12"/>
      <c r="AB703" s="12"/>
      <c r="AC703" s="12"/>
      <c r="AD703" s="12"/>
      <c r="AE703" s="12"/>
      <c r="AF703" s="12"/>
    </row>
    <row r="704" spans="1:32">
      <c r="A704" s="8"/>
      <c r="B704" s="8"/>
      <c r="C704" s="8"/>
      <c r="D704" s="8"/>
      <c r="E704" s="8"/>
      <c r="F704" s="8"/>
      <c r="G704" s="8"/>
      <c r="H704" s="8"/>
      <c r="I704" s="8"/>
      <c r="J704" s="8"/>
      <c r="K704" s="8"/>
      <c r="L704" s="8"/>
      <c r="M704" s="8"/>
      <c r="N704" s="8"/>
      <c r="O704" s="8"/>
      <c r="P704" s="8"/>
      <c r="Q704" s="8"/>
      <c r="R704" s="8"/>
      <c r="S704" s="8"/>
      <c r="T704" s="8"/>
      <c r="U704" s="12"/>
      <c r="V704" s="12"/>
      <c r="W704" s="12"/>
      <c r="X704" s="12"/>
      <c r="Y704" s="12"/>
      <c r="Z704" s="12"/>
      <c r="AA704" s="12"/>
      <c r="AB704" s="12"/>
      <c r="AC704" s="12"/>
      <c r="AD704" s="12"/>
      <c r="AE704" s="12"/>
      <c r="AF704" s="12"/>
    </row>
    <row r="705" spans="1:32">
      <c r="A705" s="8"/>
      <c r="B705" s="8"/>
      <c r="C705" s="8"/>
      <c r="D705" s="8"/>
      <c r="E705" s="8"/>
      <c r="F705" s="8"/>
      <c r="G705" s="8"/>
      <c r="H705" s="8"/>
      <c r="I705" s="8"/>
      <c r="J705" s="8"/>
      <c r="K705" s="8"/>
      <c r="L705" s="8"/>
      <c r="M705" s="8"/>
      <c r="N705" s="8"/>
      <c r="O705" s="8"/>
      <c r="P705" s="8"/>
      <c r="Q705" s="8"/>
      <c r="R705" s="8"/>
      <c r="S705" s="8"/>
      <c r="T705" s="8"/>
      <c r="U705" s="12"/>
      <c r="V705" s="12"/>
      <c r="W705" s="12"/>
      <c r="X705" s="12"/>
      <c r="Y705" s="12"/>
      <c r="Z705" s="12"/>
      <c r="AA705" s="12"/>
      <c r="AB705" s="12"/>
      <c r="AC705" s="12"/>
      <c r="AD705" s="12"/>
      <c r="AE705" s="12"/>
      <c r="AF705" s="12"/>
    </row>
    <row r="706" spans="1:32">
      <c r="A706" s="8"/>
      <c r="B706" s="8"/>
      <c r="C706" s="8"/>
      <c r="D706" s="8"/>
      <c r="E706" s="8"/>
      <c r="F706" s="8"/>
      <c r="G706" s="8"/>
      <c r="H706" s="8"/>
      <c r="I706" s="8"/>
      <c r="J706" s="8"/>
      <c r="K706" s="8"/>
      <c r="L706" s="8"/>
      <c r="M706" s="8"/>
      <c r="N706" s="8"/>
      <c r="O706" s="8"/>
      <c r="P706" s="8"/>
      <c r="Q706" s="8"/>
      <c r="R706" s="8"/>
      <c r="S706" s="8"/>
      <c r="T706" s="8"/>
      <c r="U706" s="12"/>
      <c r="V706" s="12"/>
      <c r="W706" s="12"/>
      <c r="X706" s="12"/>
      <c r="Y706" s="12"/>
      <c r="Z706" s="12"/>
      <c r="AA706" s="12"/>
      <c r="AB706" s="12"/>
      <c r="AC706" s="12"/>
      <c r="AD706" s="12"/>
      <c r="AE706" s="12"/>
      <c r="AF706" s="12"/>
    </row>
    <row r="707" spans="1:32">
      <c r="A707" s="8"/>
      <c r="B707" s="8"/>
      <c r="C707" s="8"/>
      <c r="D707" s="8"/>
      <c r="E707" s="8"/>
      <c r="F707" s="8"/>
      <c r="G707" s="8"/>
      <c r="H707" s="8"/>
      <c r="I707" s="8"/>
      <c r="J707" s="8"/>
      <c r="K707" s="8"/>
      <c r="L707" s="8"/>
      <c r="M707" s="8"/>
      <c r="N707" s="8"/>
      <c r="O707" s="8"/>
      <c r="P707" s="8"/>
      <c r="Q707" s="8"/>
      <c r="R707" s="8"/>
      <c r="S707" s="8"/>
      <c r="T707" s="8"/>
      <c r="U707" s="12"/>
      <c r="V707" s="12"/>
      <c r="W707" s="12"/>
      <c r="X707" s="12"/>
      <c r="Y707" s="12"/>
      <c r="Z707" s="12"/>
      <c r="AA707" s="12"/>
      <c r="AB707" s="12"/>
      <c r="AC707" s="12"/>
      <c r="AD707" s="12"/>
      <c r="AE707" s="12"/>
      <c r="AF707" s="12"/>
    </row>
    <row r="708" spans="1:32">
      <c r="A708" s="8"/>
      <c r="B708" s="8"/>
      <c r="C708" s="8"/>
      <c r="D708" s="8"/>
      <c r="E708" s="8"/>
      <c r="F708" s="8"/>
      <c r="G708" s="8"/>
      <c r="H708" s="8"/>
      <c r="I708" s="8"/>
      <c r="J708" s="8"/>
      <c r="K708" s="8"/>
      <c r="L708" s="8"/>
      <c r="M708" s="8"/>
      <c r="N708" s="8"/>
      <c r="O708" s="8"/>
      <c r="P708" s="8"/>
      <c r="Q708" s="8"/>
      <c r="R708" s="8"/>
      <c r="S708" s="8"/>
      <c r="T708" s="8"/>
      <c r="U708" s="12"/>
      <c r="V708" s="12"/>
      <c r="W708" s="12"/>
      <c r="X708" s="12"/>
      <c r="Y708" s="12"/>
      <c r="Z708" s="12"/>
      <c r="AA708" s="12"/>
      <c r="AB708" s="12"/>
      <c r="AC708" s="12"/>
      <c r="AD708" s="12"/>
      <c r="AE708" s="12"/>
      <c r="AF708" s="12"/>
    </row>
    <row r="709" spans="1:32">
      <c r="A709" s="8"/>
      <c r="B709" s="8"/>
      <c r="C709" s="8"/>
      <c r="D709" s="8"/>
      <c r="E709" s="8"/>
      <c r="F709" s="8"/>
      <c r="G709" s="8"/>
      <c r="H709" s="8"/>
      <c r="I709" s="8"/>
      <c r="J709" s="8"/>
      <c r="K709" s="8"/>
      <c r="L709" s="8"/>
      <c r="M709" s="8"/>
      <c r="N709" s="8"/>
      <c r="O709" s="8"/>
      <c r="P709" s="8"/>
      <c r="Q709" s="8"/>
      <c r="R709" s="8"/>
      <c r="S709" s="8"/>
      <c r="T709" s="8"/>
      <c r="U709" s="12"/>
      <c r="V709" s="12"/>
      <c r="W709" s="12"/>
      <c r="X709" s="12"/>
      <c r="Y709" s="12"/>
      <c r="Z709" s="12"/>
      <c r="AA709" s="12"/>
      <c r="AB709" s="12"/>
      <c r="AC709" s="12"/>
      <c r="AD709" s="12"/>
      <c r="AE709" s="12"/>
      <c r="AF709" s="12"/>
    </row>
    <row r="710" spans="1:32">
      <c r="A710" s="8"/>
      <c r="B710" s="8"/>
      <c r="C710" s="8"/>
      <c r="D710" s="8"/>
      <c r="E710" s="8"/>
      <c r="F710" s="8"/>
      <c r="G710" s="8"/>
      <c r="H710" s="8"/>
      <c r="I710" s="8"/>
      <c r="J710" s="8"/>
      <c r="K710" s="8"/>
      <c r="L710" s="8"/>
      <c r="M710" s="8"/>
      <c r="N710" s="8"/>
      <c r="O710" s="8"/>
      <c r="P710" s="8"/>
      <c r="Q710" s="8"/>
      <c r="R710" s="8"/>
      <c r="S710" s="8"/>
      <c r="T710" s="8"/>
      <c r="U710" s="12"/>
      <c r="V710" s="12"/>
      <c r="W710" s="12"/>
      <c r="X710" s="12"/>
      <c r="Y710" s="12"/>
      <c r="Z710" s="12"/>
      <c r="AA710" s="12"/>
      <c r="AB710" s="12"/>
      <c r="AC710" s="12"/>
      <c r="AD710" s="12"/>
      <c r="AE710" s="12"/>
      <c r="AF710" s="12"/>
    </row>
    <row r="711" spans="1:32">
      <c r="A711" s="8"/>
      <c r="B711" s="8"/>
      <c r="C711" s="8"/>
      <c r="D711" s="8"/>
      <c r="E711" s="8"/>
      <c r="F711" s="8"/>
      <c r="G711" s="8"/>
      <c r="H711" s="8"/>
      <c r="I711" s="8"/>
      <c r="J711" s="8"/>
      <c r="K711" s="8"/>
      <c r="L711" s="8"/>
      <c r="M711" s="8"/>
      <c r="N711" s="8"/>
      <c r="O711" s="8"/>
      <c r="P711" s="8"/>
      <c r="Q711" s="8"/>
      <c r="R711" s="8"/>
      <c r="S711" s="8"/>
      <c r="T711" s="8"/>
      <c r="U711" s="12"/>
      <c r="V711" s="12"/>
      <c r="W711" s="12"/>
      <c r="X711" s="12"/>
      <c r="Y711" s="12"/>
      <c r="Z711" s="12"/>
      <c r="AA711" s="12"/>
      <c r="AB711" s="12"/>
      <c r="AC711" s="12"/>
      <c r="AD711" s="12"/>
      <c r="AE711" s="12"/>
      <c r="AF711" s="12"/>
    </row>
    <row r="712" spans="1:32">
      <c r="A712" s="8"/>
      <c r="B712" s="8"/>
      <c r="C712" s="8"/>
      <c r="D712" s="8"/>
      <c r="E712" s="8"/>
      <c r="F712" s="8"/>
      <c r="G712" s="8"/>
      <c r="H712" s="8"/>
      <c r="I712" s="8"/>
      <c r="J712" s="8"/>
      <c r="K712" s="8"/>
      <c r="L712" s="8"/>
      <c r="M712" s="8"/>
      <c r="N712" s="8"/>
      <c r="O712" s="8"/>
      <c r="P712" s="8"/>
      <c r="Q712" s="8"/>
      <c r="R712" s="8"/>
      <c r="S712" s="8"/>
      <c r="T712" s="8"/>
      <c r="U712" s="12"/>
      <c r="V712" s="12"/>
      <c r="W712" s="12"/>
      <c r="X712" s="12"/>
      <c r="Y712" s="12"/>
      <c r="Z712" s="12"/>
      <c r="AA712" s="12"/>
      <c r="AB712" s="12"/>
      <c r="AC712" s="12"/>
      <c r="AD712" s="12"/>
      <c r="AE712" s="12"/>
      <c r="AF712" s="12"/>
    </row>
    <row r="713" spans="1:32">
      <c r="A713" s="8"/>
      <c r="B713" s="8"/>
      <c r="C713" s="8"/>
      <c r="D713" s="8"/>
      <c r="E713" s="8"/>
      <c r="F713" s="8"/>
      <c r="G713" s="8"/>
      <c r="H713" s="8"/>
      <c r="I713" s="8"/>
      <c r="J713" s="8"/>
      <c r="K713" s="8"/>
      <c r="L713" s="8"/>
      <c r="M713" s="8"/>
      <c r="N713" s="8"/>
      <c r="O713" s="8"/>
      <c r="P713" s="8"/>
      <c r="Q713" s="8"/>
      <c r="R713" s="8"/>
      <c r="S713" s="8"/>
      <c r="T713" s="8"/>
      <c r="U713" s="12"/>
      <c r="V713" s="12"/>
      <c r="W713" s="12"/>
      <c r="X713" s="12"/>
      <c r="Y713" s="12"/>
      <c r="Z713" s="12"/>
      <c r="AA713" s="12"/>
      <c r="AB713" s="12"/>
      <c r="AC713" s="12"/>
      <c r="AD713" s="12"/>
      <c r="AE713" s="12"/>
      <c r="AF713" s="12"/>
    </row>
    <row r="714" spans="1:32">
      <c r="A714" s="8"/>
      <c r="B714" s="8"/>
      <c r="C714" s="8"/>
      <c r="D714" s="8"/>
      <c r="E714" s="8"/>
      <c r="F714" s="8"/>
      <c r="G714" s="8"/>
      <c r="H714" s="8"/>
      <c r="I714" s="8"/>
      <c r="J714" s="8"/>
      <c r="K714" s="8"/>
      <c r="L714" s="8"/>
      <c r="M714" s="8"/>
      <c r="N714" s="8"/>
      <c r="O714" s="8"/>
      <c r="P714" s="8"/>
      <c r="Q714" s="8"/>
      <c r="R714" s="8"/>
      <c r="S714" s="8"/>
      <c r="T714" s="8"/>
      <c r="U714" s="12"/>
      <c r="V714" s="12"/>
      <c r="W714" s="12"/>
      <c r="X714" s="12"/>
      <c r="Y714" s="12"/>
      <c r="Z714" s="12"/>
      <c r="AA714" s="12"/>
      <c r="AB714" s="12"/>
      <c r="AC714" s="12"/>
      <c r="AD714" s="12"/>
      <c r="AE714" s="12"/>
      <c r="AF714" s="12"/>
    </row>
    <row r="715" spans="1:32">
      <c r="A715" s="8"/>
      <c r="B715" s="8"/>
      <c r="C715" s="8"/>
      <c r="D715" s="8"/>
      <c r="E715" s="8"/>
      <c r="F715" s="8"/>
      <c r="G715" s="8"/>
      <c r="H715" s="8"/>
      <c r="I715" s="8"/>
      <c r="J715" s="8"/>
      <c r="K715" s="8"/>
      <c r="L715" s="8"/>
      <c r="M715" s="8"/>
      <c r="N715" s="8"/>
      <c r="O715" s="8"/>
      <c r="P715" s="8"/>
      <c r="Q715" s="8"/>
      <c r="R715" s="8"/>
      <c r="S715" s="8"/>
      <c r="T715" s="8"/>
      <c r="U715" s="12"/>
      <c r="V715" s="12"/>
      <c r="W715" s="12"/>
      <c r="X715" s="12"/>
      <c r="Y715" s="12"/>
      <c r="Z715" s="12"/>
      <c r="AA715" s="12"/>
      <c r="AB715" s="12"/>
      <c r="AC715" s="12"/>
      <c r="AD715" s="12"/>
      <c r="AE715" s="12"/>
      <c r="AF715" s="12"/>
    </row>
    <row r="716" spans="1:32">
      <c r="A716" s="8"/>
      <c r="B716" s="8"/>
      <c r="C716" s="8"/>
      <c r="D716" s="8"/>
      <c r="E716" s="8"/>
      <c r="F716" s="8"/>
      <c r="G716" s="8"/>
      <c r="H716" s="8"/>
      <c r="I716" s="8"/>
      <c r="J716" s="8"/>
      <c r="K716" s="8"/>
      <c r="L716" s="8"/>
      <c r="M716" s="8"/>
      <c r="N716" s="8"/>
      <c r="O716" s="8"/>
      <c r="P716" s="8"/>
      <c r="Q716" s="8"/>
      <c r="R716" s="8"/>
      <c r="S716" s="8"/>
      <c r="T716" s="8"/>
      <c r="U716" s="12"/>
      <c r="V716" s="12"/>
      <c r="W716" s="12"/>
      <c r="X716" s="12"/>
      <c r="Y716" s="12"/>
      <c r="Z716" s="12"/>
      <c r="AA716" s="12"/>
      <c r="AB716" s="12"/>
      <c r="AC716" s="12"/>
      <c r="AD716" s="12"/>
      <c r="AE716" s="12"/>
      <c r="AF716" s="12"/>
    </row>
    <row r="717" spans="1:32">
      <c r="A717" s="8"/>
      <c r="B717" s="8"/>
      <c r="C717" s="8"/>
      <c r="D717" s="8"/>
      <c r="E717" s="8"/>
      <c r="F717" s="8"/>
      <c r="G717" s="8"/>
      <c r="H717" s="8"/>
      <c r="I717" s="8"/>
      <c r="J717" s="8"/>
      <c r="K717" s="8"/>
      <c r="L717" s="8"/>
      <c r="M717" s="8"/>
      <c r="N717" s="8"/>
      <c r="O717" s="8"/>
      <c r="P717" s="8"/>
      <c r="Q717" s="8"/>
      <c r="R717" s="8"/>
      <c r="S717" s="8"/>
      <c r="T717" s="8"/>
      <c r="U717" s="12"/>
      <c r="V717" s="12"/>
      <c r="W717" s="12"/>
      <c r="X717" s="12"/>
      <c r="Y717" s="12"/>
      <c r="Z717" s="12"/>
      <c r="AA717" s="12"/>
      <c r="AB717" s="12"/>
      <c r="AC717" s="12"/>
      <c r="AD717" s="12"/>
      <c r="AE717" s="12"/>
      <c r="AF717" s="12"/>
    </row>
    <row r="718" spans="1:32">
      <c r="A718" s="8"/>
      <c r="B718" s="8"/>
      <c r="C718" s="8"/>
      <c r="D718" s="8"/>
      <c r="E718" s="8"/>
      <c r="F718" s="8"/>
      <c r="G718" s="8"/>
      <c r="H718" s="8"/>
      <c r="I718" s="8"/>
      <c r="J718" s="8"/>
      <c r="K718" s="8"/>
      <c r="L718" s="8"/>
      <c r="M718" s="8"/>
      <c r="N718" s="8"/>
      <c r="O718" s="8"/>
      <c r="P718" s="8"/>
      <c r="Q718" s="8"/>
      <c r="R718" s="8"/>
      <c r="S718" s="8"/>
      <c r="T718" s="8"/>
      <c r="U718" s="12"/>
      <c r="V718" s="12"/>
      <c r="W718" s="12"/>
      <c r="X718" s="12"/>
      <c r="Y718" s="12"/>
      <c r="Z718" s="12"/>
      <c r="AA718" s="12"/>
      <c r="AB718" s="12"/>
      <c r="AC718" s="12"/>
      <c r="AD718" s="12"/>
      <c r="AE718" s="12"/>
      <c r="AF718" s="12"/>
    </row>
    <row r="719" spans="1:32">
      <c r="A719" s="8"/>
      <c r="B719" s="8"/>
      <c r="C719" s="8"/>
      <c r="D719" s="8"/>
      <c r="E719" s="8"/>
      <c r="F719" s="8"/>
      <c r="G719" s="8"/>
      <c r="H719" s="8"/>
      <c r="I719" s="8"/>
      <c r="J719" s="8"/>
      <c r="K719" s="8"/>
      <c r="L719" s="8"/>
      <c r="M719" s="8"/>
      <c r="N719" s="8"/>
      <c r="O719" s="8"/>
      <c r="P719" s="8"/>
      <c r="Q719" s="8"/>
      <c r="R719" s="8"/>
      <c r="S719" s="8"/>
      <c r="T719" s="8"/>
      <c r="U719" s="12"/>
      <c r="V719" s="12"/>
      <c r="W719" s="12"/>
      <c r="X719" s="12"/>
      <c r="Y719" s="12"/>
      <c r="Z719" s="12"/>
      <c r="AA719" s="12"/>
      <c r="AB719" s="12"/>
      <c r="AC719" s="12"/>
      <c r="AD719" s="12"/>
      <c r="AE719" s="12"/>
      <c r="AF719" s="12"/>
    </row>
    <row r="720" spans="1:32">
      <c r="A720" s="8"/>
      <c r="B720" s="8"/>
      <c r="C720" s="8"/>
      <c r="D720" s="8"/>
      <c r="E720" s="8"/>
      <c r="F720" s="8"/>
      <c r="G720" s="8"/>
      <c r="H720" s="8"/>
      <c r="I720" s="8"/>
      <c r="J720" s="8"/>
      <c r="K720" s="8"/>
      <c r="L720" s="8"/>
      <c r="M720" s="8"/>
      <c r="N720" s="8"/>
      <c r="O720" s="8"/>
      <c r="P720" s="8"/>
      <c r="Q720" s="8"/>
      <c r="R720" s="8"/>
      <c r="S720" s="8"/>
      <c r="T720" s="8"/>
      <c r="U720" s="12"/>
      <c r="V720" s="12"/>
      <c r="W720" s="12"/>
      <c r="X720" s="12"/>
      <c r="Y720" s="12"/>
      <c r="Z720" s="12"/>
      <c r="AA720" s="12"/>
      <c r="AB720" s="12"/>
      <c r="AC720" s="12"/>
      <c r="AD720" s="12"/>
      <c r="AE720" s="12"/>
      <c r="AF720" s="12"/>
    </row>
    <row r="721" spans="1:32">
      <c r="A721" s="8"/>
      <c r="B721" s="8"/>
      <c r="C721" s="8"/>
      <c r="D721" s="8"/>
      <c r="E721" s="8"/>
      <c r="F721" s="8"/>
      <c r="G721" s="8"/>
      <c r="H721" s="8"/>
      <c r="I721" s="8"/>
      <c r="J721" s="8"/>
      <c r="K721" s="8"/>
      <c r="L721" s="8"/>
      <c r="M721" s="8"/>
      <c r="N721" s="8"/>
      <c r="O721" s="8"/>
      <c r="P721" s="8"/>
      <c r="Q721" s="8"/>
      <c r="R721" s="8"/>
      <c r="S721" s="8"/>
      <c r="T721" s="8"/>
      <c r="U721" s="12"/>
      <c r="V721" s="12"/>
      <c r="W721" s="12"/>
      <c r="X721" s="12"/>
      <c r="Y721" s="12"/>
      <c r="Z721" s="12"/>
      <c r="AA721" s="12"/>
      <c r="AB721" s="12"/>
      <c r="AC721" s="12"/>
      <c r="AD721" s="12"/>
      <c r="AE721" s="12"/>
      <c r="AF721" s="12"/>
    </row>
    <row r="722" spans="1:32">
      <c r="A722" s="8"/>
      <c r="B722" s="8"/>
      <c r="C722" s="8"/>
      <c r="D722" s="8"/>
      <c r="E722" s="8"/>
      <c r="F722" s="8"/>
      <c r="G722" s="8"/>
      <c r="H722" s="8"/>
      <c r="I722" s="8"/>
      <c r="J722" s="8"/>
      <c r="K722" s="8"/>
      <c r="L722" s="8"/>
      <c r="M722" s="8"/>
      <c r="N722" s="8"/>
      <c r="O722" s="8"/>
      <c r="P722" s="8"/>
      <c r="Q722" s="8"/>
      <c r="R722" s="8"/>
      <c r="S722" s="8"/>
      <c r="T722" s="8"/>
      <c r="U722" s="12"/>
      <c r="V722" s="12"/>
      <c r="W722" s="12"/>
      <c r="X722" s="12"/>
      <c r="Y722" s="12"/>
      <c r="Z722" s="12"/>
      <c r="AA722" s="12"/>
      <c r="AB722" s="12"/>
      <c r="AC722" s="12"/>
      <c r="AD722" s="12"/>
      <c r="AE722" s="12"/>
      <c r="AF722" s="12"/>
    </row>
    <row r="723" spans="1:32">
      <c r="A723" s="8"/>
      <c r="B723" s="8"/>
      <c r="C723" s="8"/>
      <c r="D723" s="8"/>
      <c r="E723" s="8"/>
      <c r="F723" s="8"/>
      <c r="G723" s="8"/>
      <c r="H723" s="8"/>
      <c r="I723" s="8"/>
      <c r="J723" s="8"/>
      <c r="K723" s="8"/>
      <c r="L723" s="8"/>
      <c r="M723" s="8"/>
      <c r="N723" s="8"/>
      <c r="O723" s="8"/>
      <c r="P723" s="8"/>
      <c r="Q723" s="8"/>
      <c r="R723" s="8"/>
      <c r="S723" s="8"/>
      <c r="T723" s="8"/>
      <c r="U723" s="12"/>
      <c r="V723" s="12"/>
      <c r="W723" s="12"/>
      <c r="X723" s="12"/>
      <c r="Y723" s="12"/>
      <c r="Z723" s="12"/>
      <c r="AA723" s="12"/>
      <c r="AB723" s="12"/>
      <c r="AC723" s="12"/>
      <c r="AD723" s="12"/>
      <c r="AE723" s="12"/>
      <c r="AF723" s="12"/>
    </row>
    <row r="724" spans="1:32">
      <c r="A724" s="8"/>
      <c r="B724" s="8"/>
      <c r="C724" s="8"/>
      <c r="D724" s="8"/>
      <c r="E724" s="8"/>
      <c r="F724" s="8"/>
      <c r="G724" s="8"/>
      <c r="H724" s="8"/>
      <c r="I724" s="8"/>
      <c r="J724" s="8"/>
      <c r="K724" s="8"/>
      <c r="L724" s="8"/>
      <c r="M724" s="8"/>
      <c r="N724" s="8"/>
      <c r="O724" s="8"/>
      <c r="P724" s="8"/>
      <c r="Q724" s="8"/>
      <c r="R724" s="8"/>
      <c r="S724" s="8"/>
      <c r="T724" s="8"/>
      <c r="U724" s="12"/>
      <c r="V724" s="12"/>
      <c r="W724" s="12"/>
      <c r="X724" s="12"/>
      <c r="Y724" s="12"/>
      <c r="Z724" s="12"/>
      <c r="AA724" s="12"/>
      <c r="AB724" s="12"/>
      <c r="AC724" s="12"/>
      <c r="AD724" s="12"/>
      <c r="AE724" s="12"/>
      <c r="AF724" s="12"/>
    </row>
    <row r="725" spans="1:32">
      <c r="A725" s="8"/>
      <c r="B725" s="8"/>
      <c r="C725" s="8"/>
      <c r="D725" s="8"/>
      <c r="E725" s="8"/>
      <c r="F725" s="8"/>
      <c r="G725" s="8"/>
      <c r="H725" s="8"/>
      <c r="I725" s="8"/>
      <c r="J725" s="8"/>
      <c r="K725" s="8"/>
      <c r="L725" s="8"/>
      <c r="M725" s="8"/>
      <c r="N725" s="8"/>
      <c r="O725" s="8"/>
      <c r="P725" s="8"/>
      <c r="Q725" s="8"/>
      <c r="R725" s="8"/>
      <c r="S725" s="8"/>
      <c r="T725" s="8"/>
      <c r="U725" s="12"/>
      <c r="V725" s="12"/>
      <c r="W725" s="12"/>
      <c r="X725" s="12"/>
      <c r="Y725" s="12"/>
      <c r="Z725" s="12"/>
      <c r="AA725" s="12"/>
      <c r="AB725" s="12"/>
      <c r="AC725" s="12"/>
      <c r="AD725" s="12"/>
      <c r="AE725" s="12"/>
      <c r="AF725" s="12"/>
    </row>
    <row r="726" spans="1:32">
      <c r="A726" s="8"/>
      <c r="B726" s="8"/>
      <c r="C726" s="8"/>
      <c r="D726" s="8"/>
      <c r="E726" s="8"/>
      <c r="F726" s="8"/>
      <c r="G726" s="8"/>
      <c r="H726" s="8"/>
      <c r="I726" s="8"/>
      <c r="J726" s="8"/>
      <c r="K726" s="8"/>
      <c r="L726" s="8"/>
      <c r="M726" s="8"/>
      <c r="N726" s="8"/>
      <c r="O726" s="8"/>
      <c r="P726" s="8"/>
      <c r="Q726" s="8"/>
      <c r="R726" s="8"/>
      <c r="S726" s="8"/>
      <c r="T726" s="8"/>
      <c r="U726" s="12"/>
      <c r="V726" s="12"/>
      <c r="W726" s="12"/>
      <c r="X726" s="12"/>
      <c r="Y726" s="12"/>
      <c r="Z726" s="12"/>
      <c r="AA726" s="12"/>
      <c r="AB726" s="12"/>
      <c r="AC726" s="12"/>
      <c r="AD726" s="12"/>
      <c r="AE726" s="12"/>
      <c r="AF726" s="12"/>
    </row>
    <row r="727" spans="1:32">
      <c r="A727" s="8"/>
      <c r="B727" s="8"/>
      <c r="C727" s="8"/>
      <c r="D727" s="8"/>
      <c r="E727" s="8"/>
      <c r="F727" s="8"/>
      <c r="G727" s="8"/>
      <c r="H727" s="8"/>
      <c r="I727" s="8"/>
      <c r="J727" s="8"/>
      <c r="K727" s="8"/>
      <c r="L727" s="8"/>
      <c r="M727" s="8"/>
      <c r="N727" s="8"/>
      <c r="O727" s="8"/>
      <c r="P727" s="8"/>
      <c r="Q727" s="8"/>
      <c r="R727" s="8"/>
      <c r="S727" s="8"/>
      <c r="T727" s="8"/>
      <c r="U727" s="12"/>
      <c r="V727" s="12"/>
      <c r="W727" s="12"/>
      <c r="X727" s="12"/>
      <c r="Y727" s="12"/>
      <c r="Z727" s="12"/>
      <c r="AA727" s="12"/>
      <c r="AB727" s="12"/>
      <c r="AC727" s="12"/>
      <c r="AD727" s="12"/>
      <c r="AE727" s="12"/>
      <c r="AF727" s="12"/>
    </row>
    <row r="728" spans="1:32">
      <c r="A728" s="8"/>
      <c r="B728" s="8"/>
      <c r="C728" s="8"/>
      <c r="D728" s="8"/>
      <c r="E728" s="8"/>
      <c r="F728" s="8"/>
      <c r="G728" s="8"/>
      <c r="H728" s="8"/>
      <c r="I728" s="8"/>
      <c r="J728" s="8"/>
      <c r="K728" s="8"/>
      <c r="L728" s="8"/>
      <c r="M728" s="8"/>
      <c r="N728" s="8"/>
      <c r="O728" s="8"/>
      <c r="P728" s="8"/>
      <c r="Q728" s="8"/>
      <c r="R728" s="8"/>
      <c r="S728" s="8"/>
      <c r="T728" s="8"/>
      <c r="U728" s="12"/>
      <c r="V728" s="12"/>
      <c r="W728" s="12"/>
      <c r="X728" s="12"/>
      <c r="Y728" s="12"/>
      <c r="Z728" s="12"/>
      <c r="AA728" s="12"/>
      <c r="AB728" s="12"/>
      <c r="AC728" s="12"/>
      <c r="AD728" s="12"/>
      <c r="AE728" s="12"/>
      <c r="AF728" s="12"/>
    </row>
    <row r="729" spans="1:32">
      <c r="A729" s="8"/>
      <c r="B729" s="8"/>
      <c r="C729" s="8"/>
      <c r="D729" s="8"/>
      <c r="E729" s="8"/>
      <c r="F729" s="8"/>
      <c r="G729" s="8"/>
      <c r="H729" s="8"/>
      <c r="I729" s="8"/>
      <c r="J729" s="8"/>
      <c r="K729" s="8"/>
      <c r="L729" s="8"/>
      <c r="M729" s="8"/>
      <c r="N729" s="8"/>
      <c r="O729" s="8"/>
      <c r="P729" s="8"/>
      <c r="Q729" s="8"/>
      <c r="R729" s="8"/>
      <c r="S729" s="8"/>
      <c r="T729" s="8"/>
      <c r="U729" s="12"/>
      <c r="V729" s="12"/>
      <c r="W729" s="12"/>
      <c r="X729" s="12"/>
      <c r="Y729" s="12"/>
      <c r="Z729" s="12"/>
      <c r="AA729" s="12"/>
      <c r="AB729" s="12"/>
      <c r="AC729" s="12"/>
      <c r="AD729" s="12"/>
      <c r="AE729" s="12"/>
      <c r="AF729" s="12"/>
    </row>
    <row r="730" spans="1:32">
      <c r="A730" s="8"/>
      <c r="B730" s="8"/>
      <c r="C730" s="8"/>
      <c r="D730" s="8"/>
      <c r="E730" s="8"/>
      <c r="F730" s="8"/>
      <c r="G730" s="8"/>
      <c r="H730" s="8"/>
      <c r="I730" s="8"/>
      <c r="J730" s="8"/>
      <c r="K730" s="8"/>
      <c r="L730" s="8"/>
      <c r="M730" s="8"/>
      <c r="N730" s="8"/>
      <c r="O730" s="8"/>
      <c r="P730" s="8"/>
      <c r="Q730" s="8"/>
      <c r="R730" s="8"/>
      <c r="S730" s="8"/>
      <c r="T730" s="8"/>
      <c r="U730" s="12"/>
      <c r="V730" s="12"/>
      <c r="W730" s="12"/>
      <c r="X730" s="12"/>
      <c r="Y730" s="12"/>
      <c r="Z730" s="12"/>
      <c r="AA730" s="12"/>
      <c r="AB730" s="12"/>
      <c r="AC730" s="12"/>
      <c r="AD730" s="12"/>
      <c r="AE730" s="12"/>
      <c r="AF730" s="12"/>
    </row>
    <row r="731" spans="1:32">
      <c r="A731" s="8"/>
      <c r="B731" s="8"/>
      <c r="C731" s="8"/>
      <c r="D731" s="8"/>
      <c r="E731" s="8"/>
      <c r="F731" s="8"/>
      <c r="G731" s="8"/>
      <c r="H731" s="8"/>
      <c r="I731" s="8"/>
      <c r="J731" s="8"/>
      <c r="K731" s="8"/>
      <c r="L731" s="8"/>
      <c r="M731" s="8"/>
      <c r="N731" s="8"/>
      <c r="O731" s="8"/>
      <c r="P731" s="8"/>
      <c r="Q731" s="8"/>
      <c r="R731" s="8"/>
      <c r="S731" s="8"/>
      <c r="T731" s="8"/>
      <c r="U731" s="12"/>
      <c r="V731" s="12"/>
      <c r="W731" s="12"/>
      <c r="X731" s="12"/>
      <c r="Y731" s="12"/>
      <c r="Z731" s="12"/>
      <c r="AA731" s="12"/>
      <c r="AB731" s="12"/>
      <c r="AC731" s="12"/>
      <c r="AD731" s="12"/>
      <c r="AE731" s="12"/>
      <c r="AF731" s="12"/>
    </row>
    <row r="732" spans="1:32">
      <c r="A732" s="8"/>
      <c r="B732" s="8"/>
      <c r="C732" s="8"/>
      <c r="D732" s="8"/>
      <c r="E732" s="8"/>
      <c r="F732" s="8"/>
      <c r="G732" s="8"/>
      <c r="H732" s="8"/>
      <c r="I732" s="8"/>
      <c r="J732" s="8"/>
      <c r="K732" s="8"/>
      <c r="L732" s="8"/>
      <c r="M732" s="8"/>
      <c r="N732" s="8"/>
      <c r="O732" s="8"/>
      <c r="P732" s="8"/>
      <c r="Q732" s="8"/>
      <c r="R732" s="8"/>
      <c r="S732" s="8"/>
      <c r="T732" s="8"/>
      <c r="U732" s="12"/>
      <c r="V732" s="12"/>
      <c r="W732" s="12"/>
      <c r="X732" s="12"/>
      <c r="Y732" s="12"/>
      <c r="Z732" s="12"/>
      <c r="AA732" s="12"/>
      <c r="AB732" s="12"/>
      <c r="AC732" s="12"/>
      <c r="AD732" s="12"/>
      <c r="AE732" s="12"/>
      <c r="AF732" s="12"/>
    </row>
    <row r="733" spans="1:32">
      <c r="A733" s="8"/>
      <c r="B733" s="8"/>
      <c r="C733" s="8"/>
      <c r="D733" s="8"/>
      <c r="E733" s="8"/>
      <c r="F733" s="8"/>
      <c r="G733" s="8"/>
      <c r="H733" s="8"/>
      <c r="I733" s="8"/>
      <c r="J733" s="8"/>
      <c r="K733" s="8"/>
      <c r="L733" s="8"/>
      <c r="M733" s="8"/>
      <c r="N733" s="8"/>
      <c r="O733" s="8"/>
      <c r="P733" s="8"/>
      <c r="Q733" s="8"/>
      <c r="R733" s="8"/>
      <c r="S733" s="8"/>
      <c r="T733" s="8"/>
      <c r="U733" s="12"/>
      <c r="V733" s="12"/>
      <c r="W733" s="12"/>
      <c r="X733" s="12"/>
      <c r="Y733" s="12"/>
      <c r="Z733" s="12"/>
      <c r="AA733" s="12"/>
      <c r="AB733" s="12"/>
      <c r="AC733" s="12"/>
      <c r="AD733" s="12"/>
      <c r="AE733" s="12"/>
      <c r="AF733" s="12"/>
    </row>
    <row r="734" spans="1:32">
      <c r="A734" s="8"/>
      <c r="B734" s="8"/>
      <c r="C734" s="8"/>
      <c r="D734" s="8"/>
      <c r="E734" s="8"/>
      <c r="F734" s="8"/>
      <c r="G734" s="8"/>
      <c r="H734" s="8"/>
      <c r="I734" s="8"/>
      <c r="J734" s="8"/>
      <c r="K734" s="8"/>
      <c r="L734" s="8"/>
      <c r="M734" s="8"/>
      <c r="N734" s="8"/>
      <c r="O734" s="8"/>
      <c r="P734" s="8"/>
      <c r="Q734" s="8"/>
      <c r="R734" s="8"/>
      <c r="S734" s="8"/>
      <c r="T734" s="8"/>
      <c r="U734" s="12"/>
      <c r="V734" s="12"/>
      <c r="W734" s="12"/>
      <c r="X734" s="12"/>
      <c r="Y734" s="12"/>
      <c r="Z734" s="12"/>
      <c r="AA734" s="12"/>
      <c r="AB734" s="12"/>
      <c r="AC734" s="12"/>
      <c r="AD734" s="12"/>
      <c r="AE734" s="12"/>
      <c r="AF734" s="12"/>
    </row>
    <row r="735" spans="1:32">
      <c r="A735" s="8"/>
      <c r="B735" s="8"/>
      <c r="C735" s="8"/>
      <c r="D735" s="8"/>
      <c r="E735" s="8"/>
      <c r="F735" s="8"/>
      <c r="G735" s="8"/>
      <c r="H735" s="8"/>
      <c r="I735" s="8"/>
      <c r="J735" s="8"/>
      <c r="K735" s="8"/>
      <c r="L735" s="8"/>
      <c r="M735" s="8"/>
      <c r="N735" s="8"/>
      <c r="O735" s="8"/>
      <c r="P735" s="8"/>
      <c r="Q735" s="8"/>
      <c r="R735" s="8"/>
      <c r="S735" s="8"/>
      <c r="T735" s="8"/>
      <c r="U735" s="12"/>
      <c r="V735" s="12"/>
      <c r="W735" s="12"/>
      <c r="X735" s="12"/>
      <c r="Y735" s="12"/>
      <c r="Z735" s="12"/>
      <c r="AA735" s="12"/>
      <c r="AB735" s="12"/>
      <c r="AC735" s="12"/>
      <c r="AD735" s="12"/>
      <c r="AE735" s="12"/>
      <c r="AF735" s="12"/>
    </row>
    <row r="736" spans="1:32">
      <c r="A736" s="8"/>
      <c r="B736" s="8"/>
      <c r="C736" s="8"/>
      <c r="D736" s="8"/>
      <c r="E736" s="8"/>
      <c r="F736" s="8"/>
      <c r="G736" s="8"/>
      <c r="H736" s="8"/>
      <c r="I736" s="8"/>
      <c r="J736" s="8"/>
      <c r="K736" s="8"/>
      <c r="L736" s="8"/>
      <c r="M736" s="8"/>
      <c r="N736" s="8"/>
      <c r="O736" s="8"/>
      <c r="P736" s="8"/>
      <c r="Q736" s="8"/>
      <c r="R736" s="8"/>
      <c r="S736" s="8"/>
      <c r="T736" s="8"/>
      <c r="U736" s="12"/>
      <c r="V736" s="12"/>
      <c r="W736" s="12"/>
      <c r="X736" s="12"/>
      <c r="Y736" s="12"/>
      <c r="Z736" s="12"/>
      <c r="AA736" s="12"/>
      <c r="AB736" s="12"/>
      <c r="AC736" s="12"/>
      <c r="AD736" s="12"/>
      <c r="AE736" s="12"/>
      <c r="AF736" s="12"/>
    </row>
    <row r="737" spans="1:32">
      <c r="A737" s="8"/>
      <c r="B737" s="8"/>
      <c r="C737" s="8"/>
      <c r="D737" s="8"/>
      <c r="E737" s="8"/>
      <c r="F737" s="8"/>
      <c r="G737" s="8"/>
      <c r="H737" s="8"/>
      <c r="I737" s="8"/>
      <c r="J737" s="8"/>
      <c r="K737" s="8"/>
      <c r="L737" s="8"/>
      <c r="M737" s="8"/>
      <c r="N737" s="8"/>
      <c r="O737" s="8"/>
      <c r="P737" s="8"/>
      <c r="Q737" s="8"/>
      <c r="R737" s="8"/>
      <c r="S737" s="8"/>
      <c r="T737" s="8"/>
      <c r="U737" s="12"/>
      <c r="V737" s="12"/>
      <c r="W737" s="12"/>
      <c r="X737" s="12"/>
      <c r="Y737" s="12"/>
      <c r="Z737" s="12"/>
      <c r="AA737" s="12"/>
      <c r="AB737" s="12"/>
      <c r="AC737" s="12"/>
      <c r="AD737" s="12"/>
      <c r="AE737" s="12"/>
      <c r="AF737" s="12"/>
    </row>
    <row r="738" spans="1:32">
      <c r="A738" s="8"/>
      <c r="B738" s="8"/>
      <c r="C738" s="8"/>
      <c r="D738" s="8"/>
      <c r="E738" s="8"/>
      <c r="F738" s="8"/>
      <c r="G738" s="8"/>
      <c r="H738" s="8"/>
      <c r="I738" s="8"/>
      <c r="J738" s="8"/>
      <c r="K738" s="8"/>
      <c r="L738" s="8"/>
      <c r="M738" s="8"/>
      <c r="N738" s="8"/>
      <c r="O738" s="8"/>
      <c r="P738" s="8"/>
      <c r="Q738" s="8"/>
      <c r="R738" s="8"/>
      <c r="S738" s="8"/>
      <c r="T738" s="8"/>
      <c r="U738" s="12"/>
      <c r="V738" s="12"/>
      <c r="W738" s="12"/>
      <c r="X738" s="12"/>
      <c r="Y738" s="12"/>
      <c r="Z738" s="12"/>
      <c r="AA738" s="12"/>
      <c r="AB738" s="12"/>
      <c r="AC738" s="12"/>
      <c r="AD738" s="12"/>
      <c r="AE738" s="12"/>
      <c r="AF738" s="12"/>
    </row>
    <row r="739" spans="1:32">
      <c r="A739" s="8"/>
      <c r="B739" s="8"/>
      <c r="C739" s="8"/>
      <c r="D739" s="8"/>
      <c r="E739" s="8"/>
      <c r="F739" s="8"/>
      <c r="G739" s="8"/>
      <c r="H739" s="8"/>
      <c r="I739" s="8"/>
      <c r="J739" s="8"/>
      <c r="K739" s="8"/>
      <c r="L739" s="8"/>
      <c r="M739" s="8"/>
      <c r="N739" s="8"/>
      <c r="O739" s="8"/>
      <c r="P739" s="8"/>
      <c r="Q739" s="8"/>
      <c r="R739" s="8"/>
      <c r="S739" s="8"/>
      <c r="T739" s="8"/>
      <c r="U739" s="12"/>
      <c r="V739" s="12"/>
      <c r="W739" s="12"/>
      <c r="X739" s="12"/>
      <c r="Y739" s="12"/>
      <c r="Z739" s="12"/>
      <c r="AA739" s="12"/>
      <c r="AB739" s="12"/>
      <c r="AC739" s="12"/>
      <c r="AD739" s="12"/>
      <c r="AE739" s="12"/>
      <c r="AF739" s="12"/>
    </row>
    <row r="740" spans="1:32">
      <c r="A740" s="8"/>
      <c r="B740" s="8"/>
      <c r="C740" s="8"/>
      <c r="D740" s="8"/>
      <c r="E740" s="8"/>
      <c r="F740" s="8"/>
      <c r="G740" s="8"/>
      <c r="H740" s="8"/>
      <c r="I740" s="8"/>
      <c r="J740" s="8"/>
      <c r="K740" s="8"/>
      <c r="L740" s="8"/>
      <c r="M740" s="8"/>
      <c r="N740" s="8"/>
      <c r="O740" s="8"/>
      <c r="P740" s="8"/>
      <c r="Q740" s="8"/>
      <c r="R740" s="8"/>
      <c r="S740" s="8"/>
      <c r="T740" s="8"/>
      <c r="U740" s="12"/>
      <c r="V740" s="12"/>
      <c r="W740" s="12"/>
      <c r="X740" s="12"/>
      <c r="Y740" s="12"/>
      <c r="Z740" s="12"/>
      <c r="AA740" s="12"/>
      <c r="AB740" s="12"/>
      <c r="AC740" s="12"/>
      <c r="AD740" s="12"/>
      <c r="AE740" s="12"/>
      <c r="AF740" s="12"/>
    </row>
    <row r="741" spans="1:32">
      <c r="A741" s="8"/>
      <c r="B741" s="8"/>
      <c r="C741" s="8"/>
      <c r="D741" s="8"/>
      <c r="E741" s="8"/>
      <c r="F741" s="8"/>
      <c r="G741" s="8"/>
      <c r="H741" s="8"/>
      <c r="I741" s="8"/>
      <c r="J741" s="8"/>
      <c r="K741" s="8"/>
      <c r="L741" s="8"/>
      <c r="M741" s="8"/>
      <c r="N741" s="8"/>
      <c r="O741" s="8"/>
      <c r="P741" s="8"/>
      <c r="Q741" s="8"/>
      <c r="R741" s="8"/>
      <c r="S741" s="8"/>
      <c r="T741" s="8"/>
      <c r="U741" s="12"/>
      <c r="V741" s="12"/>
      <c r="W741" s="12"/>
      <c r="X741" s="12"/>
      <c r="Y741" s="12"/>
      <c r="Z741" s="12"/>
      <c r="AA741" s="12"/>
      <c r="AB741" s="12"/>
      <c r="AC741" s="12"/>
      <c r="AD741" s="12"/>
      <c r="AE741" s="12"/>
      <c r="AF741" s="12"/>
    </row>
    <row r="742" spans="1:32">
      <c r="A742" s="8"/>
      <c r="B742" s="8"/>
      <c r="C742" s="8"/>
      <c r="D742" s="8"/>
      <c r="E742" s="8"/>
      <c r="F742" s="8"/>
      <c r="G742" s="8"/>
      <c r="H742" s="8"/>
      <c r="I742" s="8"/>
      <c r="J742" s="8"/>
      <c r="K742" s="8"/>
      <c r="L742" s="8"/>
      <c r="M742" s="8"/>
      <c r="N742" s="8"/>
      <c r="O742" s="8"/>
      <c r="P742" s="8"/>
      <c r="Q742" s="8"/>
      <c r="R742" s="8"/>
      <c r="S742" s="8"/>
      <c r="T742" s="8"/>
      <c r="U742" s="12"/>
      <c r="V742" s="12"/>
      <c r="W742" s="12"/>
      <c r="X742" s="12"/>
      <c r="Y742" s="12"/>
      <c r="Z742" s="12"/>
      <c r="AA742" s="12"/>
      <c r="AB742" s="12"/>
      <c r="AC742" s="12"/>
      <c r="AD742" s="12"/>
      <c r="AE742" s="12"/>
      <c r="AF742" s="12"/>
    </row>
    <row r="743" spans="1:32">
      <c r="A743" s="8"/>
      <c r="B743" s="8"/>
      <c r="C743" s="8"/>
      <c r="D743" s="8"/>
      <c r="E743" s="8"/>
      <c r="F743" s="8"/>
      <c r="G743" s="8"/>
      <c r="H743" s="8"/>
      <c r="I743" s="8"/>
      <c r="J743" s="8"/>
      <c r="K743" s="8"/>
      <c r="L743" s="8"/>
      <c r="M743" s="8"/>
      <c r="N743" s="8"/>
      <c r="O743" s="8"/>
      <c r="P743" s="8"/>
      <c r="Q743" s="8"/>
      <c r="R743" s="8"/>
      <c r="S743" s="8"/>
      <c r="T743" s="8"/>
      <c r="U743" s="12"/>
      <c r="V743" s="12"/>
      <c r="W743" s="12"/>
      <c r="X743" s="12"/>
      <c r="Y743" s="12"/>
      <c r="Z743" s="12"/>
      <c r="AA743" s="12"/>
      <c r="AB743" s="12"/>
      <c r="AC743" s="12"/>
      <c r="AD743" s="12"/>
      <c r="AE743" s="12"/>
      <c r="AF743" s="12"/>
    </row>
    <row r="744" spans="1:32">
      <c r="A744" s="8"/>
      <c r="B744" s="8"/>
      <c r="C744" s="8"/>
      <c r="D744" s="8"/>
      <c r="E744" s="8"/>
      <c r="F744" s="8"/>
      <c r="G744" s="8"/>
      <c r="H744" s="8"/>
      <c r="I744" s="8"/>
      <c r="J744" s="8"/>
      <c r="K744" s="8"/>
      <c r="L744" s="8"/>
      <c r="M744" s="8"/>
      <c r="N744" s="8"/>
      <c r="O744" s="8"/>
      <c r="P744" s="8"/>
      <c r="Q744" s="8"/>
      <c r="R744" s="8"/>
      <c r="S744" s="8"/>
      <c r="T744" s="8"/>
      <c r="U744" s="12"/>
      <c r="V744" s="12"/>
      <c r="W744" s="12"/>
      <c r="X744" s="12"/>
      <c r="Y744" s="12"/>
      <c r="Z744" s="12"/>
      <c r="AA744" s="12"/>
      <c r="AB744" s="12"/>
      <c r="AC744" s="12"/>
      <c r="AD744" s="12"/>
      <c r="AE744" s="12"/>
      <c r="AF744" s="12"/>
    </row>
    <row r="745" spans="1:32">
      <c r="A745" s="8"/>
      <c r="B745" s="8"/>
      <c r="C745" s="8"/>
      <c r="D745" s="8"/>
      <c r="E745" s="8"/>
      <c r="F745" s="8"/>
      <c r="G745" s="8"/>
      <c r="H745" s="8"/>
      <c r="I745" s="8"/>
      <c r="J745" s="8"/>
      <c r="K745" s="8"/>
      <c r="L745" s="8"/>
      <c r="M745" s="8"/>
      <c r="N745" s="8"/>
      <c r="O745" s="8"/>
      <c r="P745" s="8"/>
      <c r="Q745" s="8"/>
      <c r="R745" s="8"/>
      <c r="S745" s="8"/>
      <c r="T745" s="8"/>
      <c r="U745" s="12"/>
      <c r="V745" s="12"/>
      <c r="W745" s="12"/>
      <c r="X745" s="12"/>
      <c r="Y745" s="12"/>
      <c r="Z745" s="12"/>
      <c r="AA745" s="12"/>
      <c r="AB745" s="12"/>
      <c r="AC745" s="12"/>
      <c r="AD745" s="12"/>
      <c r="AE745" s="12"/>
      <c r="AF745" s="12"/>
    </row>
    <row r="746" spans="1:32">
      <c r="A746" s="8"/>
      <c r="B746" s="8"/>
      <c r="C746" s="8"/>
      <c r="D746" s="8"/>
      <c r="E746" s="8"/>
      <c r="F746" s="8"/>
      <c r="G746" s="8"/>
      <c r="H746" s="8"/>
      <c r="I746" s="8"/>
      <c r="J746" s="8"/>
      <c r="K746" s="8"/>
      <c r="L746" s="8"/>
      <c r="M746" s="8"/>
      <c r="N746" s="8"/>
      <c r="O746" s="8"/>
      <c r="P746" s="8"/>
      <c r="Q746" s="8"/>
      <c r="R746" s="8"/>
      <c r="S746" s="8"/>
      <c r="T746" s="8"/>
      <c r="U746" s="12"/>
      <c r="V746" s="12"/>
      <c r="W746" s="12"/>
      <c r="X746" s="12"/>
      <c r="Y746" s="12"/>
      <c r="Z746" s="12"/>
      <c r="AA746" s="12"/>
      <c r="AB746" s="12"/>
      <c r="AC746" s="12"/>
      <c r="AD746" s="12"/>
      <c r="AE746" s="12"/>
      <c r="AF746" s="12"/>
    </row>
    <row r="747" spans="1:32">
      <c r="A747" s="8"/>
      <c r="B747" s="8"/>
      <c r="C747" s="8"/>
      <c r="D747" s="8"/>
      <c r="E747" s="8"/>
      <c r="F747" s="8"/>
      <c r="G747" s="8"/>
      <c r="H747" s="8"/>
      <c r="I747" s="8"/>
      <c r="J747" s="8"/>
      <c r="K747" s="8"/>
      <c r="L747" s="8"/>
      <c r="M747" s="8"/>
      <c r="N747" s="8"/>
      <c r="O747" s="8"/>
      <c r="P747" s="8"/>
      <c r="Q747" s="8"/>
      <c r="R747" s="8"/>
      <c r="S747" s="8"/>
      <c r="T747" s="8"/>
      <c r="U747" s="12"/>
      <c r="V747" s="12"/>
      <c r="W747" s="12"/>
      <c r="X747" s="12"/>
      <c r="Y747" s="12"/>
      <c r="Z747" s="12"/>
      <c r="AA747" s="12"/>
      <c r="AB747" s="12"/>
      <c r="AC747" s="12"/>
      <c r="AD747" s="12"/>
      <c r="AE747" s="12"/>
      <c r="AF747" s="12"/>
    </row>
    <row r="748" spans="1:32">
      <c r="A748" s="8"/>
      <c r="B748" s="8"/>
      <c r="C748" s="8"/>
      <c r="D748" s="8"/>
      <c r="E748" s="8"/>
      <c r="F748" s="8"/>
      <c r="G748" s="8"/>
      <c r="H748" s="8"/>
      <c r="I748" s="8"/>
      <c r="J748" s="8"/>
      <c r="K748" s="8"/>
      <c r="L748" s="8"/>
      <c r="M748" s="8"/>
      <c r="N748" s="8"/>
      <c r="O748" s="8"/>
      <c r="P748" s="8"/>
      <c r="Q748" s="8"/>
      <c r="R748" s="8"/>
      <c r="S748" s="8"/>
      <c r="T748" s="8"/>
      <c r="U748" s="12"/>
      <c r="V748" s="12"/>
      <c r="W748" s="12"/>
      <c r="X748" s="12"/>
      <c r="Y748" s="12"/>
      <c r="Z748" s="12"/>
      <c r="AA748" s="12"/>
      <c r="AB748" s="12"/>
      <c r="AC748" s="12"/>
      <c r="AD748" s="12"/>
      <c r="AE748" s="12"/>
      <c r="AF748" s="12"/>
    </row>
    <row r="749" spans="1:32">
      <c r="A749" s="8"/>
      <c r="B749" s="8"/>
      <c r="C749" s="8"/>
      <c r="D749" s="8"/>
      <c r="E749" s="8"/>
      <c r="F749" s="8"/>
      <c r="G749" s="8"/>
      <c r="H749" s="8"/>
      <c r="I749" s="8"/>
      <c r="J749" s="8"/>
      <c r="K749" s="8"/>
      <c r="L749" s="8"/>
      <c r="M749" s="8"/>
      <c r="N749" s="8"/>
      <c r="O749" s="8"/>
      <c r="P749" s="8"/>
      <c r="Q749" s="8"/>
      <c r="R749" s="8"/>
      <c r="S749" s="8"/>
      <c r="T749" s="8"/>
      <c r="U749" s="12"/>
      <c r="V749" s="12"/>
      <c r="W749" s="12"/>
      <c r="X749" s="12"/>
      <c r="Y749" s="12"/>
      <c r="Z749" s="12"/>
      <c r="AA749" s="12"/>
      <c r="AB749" s="12"/>
      <c r="AC749" s="12"/>
      <c r="AD749" s="12"/>
      <c r="AE749" s="12"/>
      <c r="AF749" s="12"/>
    </row>
    <row r="750" spans="1:32">
      <c r="A750" s="8"/>
      <c r="B750" s="8"/>
      <c r="C750" s="8"/>
      <c r="D750" s="8"/>
      <c r="E750" s="8"/>
      <c r="F750" s="8"/>
      <c r="G750" s="8"/>
      <c r="H750" s="8"/>
      <c r="I750" s="8"/>
      <c r="J750" s="8"/>
      <c r="K750" s="8"/>
      <c r="L750" s="8"/>
      <c r="M750" s="8"/>
      <c r="N750" s="8"/>
      <c r="O750" s="8"/>
      <c r="P750" s="8"/>
      <c r="Q750" s="8"/>
      <c r="R750" s="8"/>
      <c r="S750" s="8"/>
      <c r="T750" s="8"/>
      <c r="U750" s="12"/>
      <c r="V750" s="12"/>
      <c r="W750" s="12"/>
      <c r="X750" s="12"/>
      <c r="Y750" s="12"/>
      <c r="Z750" s="12"/>
      <c r="AA750" s="12"/>
      <c r="AB750" s="12"/>
      <c r="AC750" s="12"/>
      <c r="AD750" s="12"/>
      <c r="AE750" s="12"/>
      <c r="AF750" s="12"/>
    </row>
    <row r="751" spans="1:32">
      <c r="A751" s="8"/>
      <c r="B751" s="8"/>
      <c r="C751" s="8"/>
      <c r="D751" s="8"/>
      <c r="E751" s="8"/>
      <c r="F751" s="8"/>
      <c r="G751" s="8"/>
      <c r="H751" s="8"/>
      <c r="I751" s="8"/>
      <c r="J751" s="8"/>
      <c r="K751" s="8"/>
      <c r="L751" s="8"/>
      <c r="M751" s="8"/>
      <c r="N751" s="8"/>
      <c r="O751" s="8"/>
      <c r="P751" s="8"/>
      <c r="Q751" s="8"/>
      <c r="R751" s="8"/>
      <c r="S751" s="8"/>
      <c r="T751" s="8"/>
      <c r="U751" s="12"/>
      <c r="V751" s="12"/>
      <c r="W751" s="12"/>
      <c r="X751" s="12"/>
      <c r="Y751" s="12"/>
      <c r="Z751" s="12"/>
      <c r="AA751" s="12"/>
      <c r="AB751" s="12"/>
      <c r="AC751" s="12"/>
      <c r="AD751" s="12"/>
      <c r="AE751" s="12"/>
      <c r="AF751" s="12"/>
    </row>
    <row r="752" spans="1:32">
      <c r="A752" s="8"/>
      <c r="B752" s="8"/>
      <c r="C752" s="8"/>
      <c r="D752" s="8"/>
      <c r="E752" s="8"/>
      <c r="F752" s="8"/>
      <c r="G752" s="8"/>
      <c r="H752" s="8"/>
      <c r="I752" s="8"/>
      <c r="J752" s="8"/>
      <c r="K752" s="8"/>
      <c r="L752" s="8"/>
      <c r="M752" s="8"/>
      <c r="N752" s="8"/>
      <c r="O752" s="8"/>
      <c r="P752" s="8"/>
      <c r="Q752" s="8"/>
      <c r="R752" s="8"/>
      <c r="S752" s="8"/>
      <c r="T752" s="8"/>
      <c r="U752" s="12"/>
      <c r="V752" s="12"/>
      <c r="W752" s="12"/>
      <c r="X752" s="12"/>
      <c r="Y752" s="12"/>
      <c r="Z752" s="12"/>
      <c r="AA752" s="12"/>
      <c r="AB752" s="12"/>
      <c r="AC752" s="12"/>
      <c r="AD752" s="12"/>
      <c r="AE752" s="12"/>
      <c r="AF752" s="12"/>
    </row>
    <row r="753" spans="1:32">
      <c r="A753" s="8"/>
      <c r="B753" s="8"/>
      <c r="C753" s="8"/>
      <c r="D753" s="8"/>
      <c r="E753" s="8"/>
      <c r="F753" s="8"/>
      <c r="G753" s="8"/>
      <c r="H753" s="8"/>
      <c r="I753" s="8"/>
      <c r="J753" s="8"/>
      <c r="K753" s="8"/>
      <c r="L753" s="8"/>
      <c r="M753" s="8"/>
      <c r="N753" s="8"/>
      <c r="O753" s="8"/>
      <c r="P753" s="8"/>
      <c r="Q753" s="8"/>
      <c r="R753" s="8"/>
      <c r="S753" s="8"/>
      <c r="T753" s="8"/>
      <c r="U753" s="12"/>
      <c r="V753" s="12"/>
      <c r="W753" s="12"/>
      <c r="X753" s="12"/>
      <c r="Y753" s="12"/>
      <c r="Z753" s="12"/>
      <c r="AA753" s="12"/>
      <c r="AB753" s="12"/>
      <c r="AC753" s="12"/>
      <c r="AD753" s="12"/>
      <c r="AE753" s="12"/>
      <c r="AF753" s="12"/>
    </row>
    <row r="754" spans="1:32">
      <c r="A754" s="8"/>
      <c r="B754" s="8"/>
      <c r="C754" s="8"/>
      <c r="D754" s="8"/>
      <c r="E754" s="8"/>
      <c r="F754" s="8"/>
      <c r="G754" s="8"/>
      <c r="H754" s="8"/>
      <c r="I754" s="8"/>
      <c r="J754" s="8"/>
      <c r="K754" s="8"/>
      <c r="L754" s="8"/>
      <c r="M754" s="8"/>
      <c r="N754" s="8"/>
      <c r="O754" s="8"/>
      <c r="P754" s="8"/>
      <c r="Q754" s="8"/>
      <c r="R754" s="8"/>
      <c r="S754" s="8"/>
      <c r="T754" s="8"/>
      <c r="U754" s="12"/>
      <c r="V754" s="12"/>
      <c r="W754" s="12"/>
      <c r="X754" s="12"/>
      <c r="Y754" s="12"/>
      <c r="Z754" s="12"/>
      <c r="AA754" s="12"/>
      <c r="AB754" s="12"/>
      <c r="AC754" s="12"/>
      <c r="AD754" s="12"/>
      <c r="AE754" s="12"/>
      <c r="AF754" s="12"/>
    </row>
    <row r="755" spans="1:32">
      <c r="A755" s="8"/>
      <c r="B755" s="8"/>
      <c r="C755" s="8"/>
      <c r="D755" s="8"/>
      <c r="E755" s="8"/>
      <c r="F755" s="8"/>
      <c r="G755" s="8"/>
      <c r="H755" s="8"/>
      <c r="I755" s="8"/>
      <c r="J755" s="8"/>
      <c r="K755" s="8"/>
      <c r="L755" s="8"/>
      <c r="M755" s="8"/>
      <c r="N755" s="8"/>
      <c r="O755" s="8"/>
      <c r="P755" s="8"/>
      <c r="Q755" s="8"/>
      <c r="R755" s="8"/>
      <c r="S755" s="8"/>
      <c r="T755" s="8"/>
      <c r="U755" s="12"/>
      <c r="V755" s="12"/>
      <c r="W755" s="12"/>
      <c r="X755" s="12"/>
      <c r="Y755" s="12"/>
      <c r="Z755" s="12"/>
      <c r="AA755" s="12"/>
      <c r="AB755" s="12"/>
      <c r="AC755" s="12"/>
      <c r="AD755" s="12"/>
      <c r="AE755" s="12"/>
      <c r="AF755" s="12"/>
    </row>
    <row r="756" spans="1:32">
      <c r="A756" s="8"/>
      <c r="B756" s="8"/>
      <c r="C756" s="8"/>
      <c r="D756" s="8"/>
      <c r="E756" s="8"/>
      <c r="F756" s="8"/>
      <c r="G756" s="8"/>
      <c r="H756" s="8"/>
      <c r="I756" s="8"/>
      <c r="J756" s="8"/>
      <c r="K756" s="8"/>
      <c r="L756" s="8"/>
      <c r="M756" s="8"/>
      <c r="N756" s="8"/>
      <c r="O756" s="8"/>
      <c r="P756" s="8"/>
      <c r="Q756" s="8"/>
      <c r="R756" s="8"/>
      <c r="S756" s="8"/>
      <c r="T756" s="8"/>
      <c r="U756" s="12"/>
      <c r="V756" s="12"/>
      <c r="W756" s="12"/>
      <c r="X756" s="12"/>
      <c r="Y756" s="12"/>
      <c r="Z756" s="12"/>
      <c r="AA756" s="12"/>
      <c r="AB756" s="12"/>
      <c r="AC756" s="12"/>
      <c r="AD756" s="12"/>
      <c r="AE756" s="12"/>
      <c r="AF756" s="12"/>
    </row>
    <row r="757" spans="1:32">
      <c r="A757" s="8"/>
      <c r="B757" s="8"/>
      <c r="C757" s="8"/>
      <c r="D757" s="8"/>
      <c r="E757" s="8"/>
      <c r="F757" s="8"/>
      <c r="G757" s="8"/>
      <c r="H757" s="8"/>
      <c r="I757" s="8"/>
      <c r="J757" s="8"/>
      <c r="K757" s="8"/>
      <c r="L757" s="8"/>
      <c r="M757" s="8"/>
      <c r="N757" s="8"/>
      <c r="O757" s="8"/>
      <c r="P757" s="8"/>
      <c r="Q757" s="8"/>
      <c r="R757" s="8"/>
      <c r="S757" s="8"/>
      <c r="T757" s="8"/>
      <c r="U757" s="12"/>
      <c r="V757" s="12"/>
      <c r="W757" s="12"/>
      <c r="X757" s="12"/>
      <c r="Y757" s="12"/>
      <c r="Z757" s="12"/>
      <c r="AA757" s="12"/>
      <c r="AB757" s="12"/>
      <c r="AC757" s="12"/>
      <c r="AD757" s="12"/>
      <c r="AE757" s="12"/>
      <c r="AF757" s="12"/>
    </row>
    <row r="758" spans="1:32">
      <c r="A758" s="8"/>
      <c r="B758" s="8"/>
      <c r="C758" s="8"/>
      <c r="D758" s="8"/>
      <c r="E758" s="8"/>
      <c r="F758" s="8"/>
      <c r="G758" s="8"/>
      <c r="H758" s="8"/>
      <c r="I758" s="8"/>
      <c r="J758" s="8"/>
      <c r="K758" s="8"/>
      <c r="L758" s="8"/>
      <c r="M758" s="8"/>
      <c r="N758" s="8"/>
      <c r="O758" s="8"/>
      <c r="P758" s="8"/>
      <c r="Q758" s="8"/>
      <c r="R758" s="8"/>
      <c r="S758" s="8"/>
      <c r="T758" s="8"/>
      <c r="U758" s="12"/>
      <c r="V758" s="12"/>
      <c r="W758" s="12"/>
      <c r="X758" s="12"/>
      <c r="Y758" s="12"/>
      <c r="Z758" s="12"/>
      <c r="AA758" s="12"/>
      <c r="AB758" s="12"/>
      <c r="AC758" s="12"/>
      <c r="AD758" s="12"/>
      <c r="AE758" s="12"/>
      <c r="AF758" s="12"/>
    </row>
    <row r="759" spans="1:32">
      <c r="A759" s="8"/>
      <c r="B759" s="8"/>
      <c r="C759" s="8"/>
      <c r="D759" s="8"/>
      <c r="E759" s="8"/>
      <c r="F759" s="8"/>
      <c r="G759" s="8"/>
      <c r="H759" s="8"/>
      <c r="I759" s="8"/>
      <c r="J759" s="8"/>
      <c r="K759" s="8"/>
      <c r="L759" s="8"/>
      <c r="M759" s="8"/>
      <c r="N759" s="8"/>
      <c r="O759" s="8"/>
      <c r="P759" s="8"/>
      <c r="Q759" s="8"/>
      <c r="R759" s="8"/>
      <c r="S759" s="8"/>
      <c r="T759" s="8"/>
      <c r="U759" s="12"/>
      <c r="V759" s="12"/>
      <c r="W759" s="12"/>
      <c r="X759" s="12"/>
      <c r="Y759" s="12"/>
      <c r="Z759" s="12"/>
      <c r="AA759" s="12"/>
      <c r="AB759" s="12"/>
      <c r="AC759" s="12"/>
      <c r="AD759" s="12"/>
      <c r="AE759" s="12"/>
      <c r="AF759" s="12"/>
    </row>
    <row r="760" spans="1:32">
      <c r="A760" s="8"/>
      <c r="B760" s="8"/>
      <c r="C760" s="8"/>
      <c r="D760" s="8"/>
      <c r="E760" s="8"/>
      <c r="F760" s="8"/>
      <c r="G760" s="8"/>
      <c r="H760" s="8"/>
      <c r="I760" s="8"/>
      <c r="J760" s="8"/>
      <c r="K760" s="8"/>
      <c r="L760" s="8"/>
      <c r="M760" s="8"/>
      <c r="N760" s="8"/>
      <c r="O760" s="8"/>
      <c r="P760" s="8"/>
      <c r="Q760" s="8"/>
      <c r="R760" s="8"/>
      <c r="S760" s="8"/>
      <c r="T760" s="8"/>
      <c r="U760" s="12"/>
      <c r="V760" s="12"/>
      <c r="W760" s="12"/>
      <c r="X760" s="12"/>
      <c r="Y760" s="12"/>
      <c r="Z760" s="12"/>
      <c r="AA760" s="12"/>
      <c r="AB760" s="12"/>
      <c r="AC760" s="12"/>
      <c r="AD760" s="12"/>
      <c r="AE760" s="12"/>
      <c r="AF760" s="12"/>
    </row>
    <row r="761" spans="1:32">
      <c r="A761" s="8"/>
      <c r="B761" s="8"/>
      <c r="C761" s="8"/>
      <c r="D761" s="8"/>
      <c r="E761" s="8"/>
      <c r="F761" s="8"/>
      <c r="G761" s="8"/>
      <c r="H761" s="8"/>
      <c r="I761" s="8"/>
      <c r="J761" s="8"/>
      <c r="K761" s="8"/>
      <c r="L761" s="8"/>
      <c r="M761" s="8"/>
      <c r="N761" s="8"/>
      <c r="O761" s="8"/>
      <c r="P761" s="8"/>
      <c r="Q761" s="8"/>
      <c r="R761" s="8"/>
      <c r="S761" s="8"/>
      <c r="T761" s="8"/>
      <c r="U761" s="12"/>
      <c r="V761" s="12"/>
      <c r="W761" s="12"/>
      <c r="X761" s="12"/>
      <c r="Y761" s="12"/>
      <c r="Z761" s="12"/>
      <c r="AA761" s="12"/>
      <c r="AB761" s="12"/>
      <c r="AC761" s="12"/>
      <c r="AD761" s="12"/>
      <c r="AE761" s="12"/>
      <c r="AF761" s="12"/>
    </row>
    <row r="762" spans="1:32">
      <c r="A762" s="8"/>
      <c r="B762" s="8"/>
      <c r="C762" s="8"/>
      <c r="D762" s="8"/>
      <c r="E762" s="8"/>
      <c r="F762" s="8"/>
      <c r="G762" s="8"/>
      <c r="H762" s="8"/>
      <c r="I762" s="8"/>
      <c r="J762" s="8"/>
      <c r="K762" s="8"/>
      <c r="L762" s="8"/>
      <c r="M762" s="8"/>
      <c r="N762" s="8"/>
      <c r="O762" s="8"/>
      <c r="P762" s="8"/>
      <c r="Q762" s="8"/>
      <c r="R762" s="8"/>
      <c r="S762" s="8"/>
      <c r="T762" s="8"/>
      <c r="U762" s="12"/>
      <c r="V762" s="12"/>
      <c r="W762" s="12"/>
      <c r="X762" s="12"/>
      <c r="Y762" s="12"/>
      <c r="Z762" s="12"/>
      <c r="AA762" s="12"/>
      <c r="AB762" s="12"/>
      <c r="AC762" s="12"/>
      <c r="AD762" s="12"/>
      <c r="AE762" s="12"/>
      <c r="AF762" s="12"/>
    </row>
    <row r="763" spans="1:32">
      <c r="A763" s="8"/>
      <c r="B763" s="8"/>
      <c r="C763" s="8"/>
      <c r="D763" s="8"/>
      <c r="E763" s="8"/>
      <c r="F763" s="8"/>
      <c r="G763" s="8"/>
      <c r="H763" s="8"/>
      <c r="I763" s="8"/>
      <c r="J763" s="8"/>
      <c r="K763" s="8"/>
      <c r="L763" s="8"/>
      <c r="M763" s="8"/>
      <c r="N763" s="8"/>
      <c r="O763" s="8"/>
      <c r="P763" s="8"/>
      <c r="Q763" s="8"/>
      <c r="R763" s="8"/>
      <c r="S763" s="8"/>
      <c r="T763" s="8"/>
      <c r="U763" s="12"/>
      <c r="V763" s="12"/>
      <c r="W763" s="12"/>
      <c r="X763" s="12"/>
      <c r="Y763" s="12"/>
      <c r="Z763" s="12"/>
      <c r="AA763" s="12"/>
      <c r="AB763" s="12"/>
      <c r="AC763" s="12"/>
      <c r="AD763" s="12"/>
      <c r="AE763" s="12"/>
      <c r="AF763" s="12"/>
    </row>
    <row r="764" spans="1:32">
      <c r="A764" s="8"/>
      <c r="B764" s="8"/>
      <c r="C764" s="8"/>
      <c r="D764" s="8"/>
      <c r="E764" s="8"/>
      <c r="F764" s="8"/>
      <c r="G764" s="8"/>
      <c r="H764" s="8"/>
      <c r="I764" s="8"/>
      <c r="J764" s="8"/>
      <c r="K764" s="8"/>
      <c r="L764" s="8"/>
      <c r="M764" s="8"/>
      <c r="N764" s="8"/>
      <c r="O764" s="8"/>
      <c r="P764" s="8"/>
      <c r="Q764" s="8"/>
      <c r="R764" s="8"/>
      <c r="S764" s="8"/>
      <c r="T764" s="8"/>
      <c r="U764" s="12"/>
      <c r="V764" s="12"/>
      <c r="W764" s="12"/>
      <c r="X764" s="12"/>
      <c r="Y764" s="12"/>
      <c r="Z764" s="12"/>
      <c r="AA764" s="12"/>
      <c r="AB764" s="12"/>
      <c r="AC764" s="12"/>
      <c r="AD764" s="12"/>
      <c r="AE764" s="12"/>
      <c r="AF764" s="12"/>
    </row>
    <row r="765" spans="1:32">
      <c r="A765" s="8"/>
      <c r="B765" s="8"/>
      <c r="C765" s="8"/>
      <c r="D765" s="8"/>
      <c r="E765" s="8"/>
      <c r="F765" s="8"/>
      <c r="G765" s="8"/>
      <c r="H765" s="8"/>
      <c r="I765" s="8"/>
      <c r="J765" s="8"/>
      <c r="K765" s="8"/>
      <c r="L765" s="8"/>
      <c r="M765" s="8"/>
      <c r="N765" s="8"/>
      <c r="O765" s="8"/>
      <c r="P765" s="8"/>
      <c r="Q765" s="8"/>
      <c r="R765" s="8"/>
      <c r="S765" s="8"/>
      <c r="T765" s="8"/>
      <c r="U765" s="12"/>
      <c r="V765" s="12"/>
      <c r="W765" s="12"/>
      <c r="X765" s="12"/>
      <c r="Y765" s="12"/>
      <c r="Z765" s="12"/>
      <c r="AA765" s="12"/>
      <c r="AB765" s="12"/>
      <c r="AC765" s="12"/>
      <c r="AD765" s="12"/>
      <c r="AE765" s="12"/>
      <c r="AF765" s="12"/>
    </row>
    <row r="766" spans="1:32">
      <c r="A766" s="8"/>
      <c r="B766" s="8"/>
      <c r="C766" s="8"/>
      <c r="D766" s="8"/>
      <c r="E766" s="8"/>
      <c r="F766" s="8"/>
      <c r="G766" s="8"/>
      <c r="H766" s="8"/>
      <c r="I766" s="8"/>
      <c r="J766" s="8"/>
      <c r="K766" s="8"/>
      <c r="L766" s="8"/>
      <c r="M766" s="8"/>
      <c r="N766" s="8"/>
      <c r="O766" s="8"/>
      <c r="P766" s="8"/>
      <c r="Q766" s="8"/>
      <c r="R766" s="8"/>
      <c r="S766" s="8"/>
      <c r="T766" s="8"/>
      <c r="U766" s="12"/>
      <c r="V766" s="12"/>
      <c r="W766" s="12"/>
      <c r="X766" s="12"/>
      <c r="Y766" s="12"/>
      <c r="Z766" s="12"/>
      <c r="AA766" s="12"/>
      <c r="AB766" s="12"/>
      <c r="AC766" s="12"/>
      <c r="AD766" s="12"/>
      <c r="AE766" s="12"/>
      <c r="AF766" s="12"/>
    </row>
    <row r="767" spans="1:32">
      <c r="A767" s="8"/>
      <c r="B767" s="8"/>
      <c r="C767" s="8"/>
      <c r="D767" s="8"/>
      <c r="E767" s="8"/>
      <c r="F767" s="8"/>
      <c r="G767" s="8"/>
      <c r="H767" s="8"/>
      <c r="I767" s="8"/>
      <c r="J767" s="8"/>
      <c r="K767" s="8"/>
      <c r="L767" s="8"/>
      <c r="M767" s="8"/>
      <c r="N767" s="8"/>
      <c r="O767" s="8"/>
      <c r="P767" s="8"/>
      <c r="Q767" s="8"/>
      <c r="R767" s="8"/>
      <c r="S767" s="8"/>
      <c r="T767" s="8"/>
      <c r="U767" s="12"/>
      <c r="V767" s="12"/>
      <c r="W767" s="12"/>
      <c r="X767" s="12"/>
      <c r="Y767" s="12"/>
      <c r="Z767" s="12"/>
      <c r="AA767" s="12"/>
      <c r="AB767" s="12"/>
      <c r="AC767" s="12"/>
      <c r="AD767" s="12"/>
      <c r="AE767" s="12"/>
      <c r="AF767" s="12"/>
    </row>
    <row r="768" spans="1:32">
      <c r="A768" s="8"/>
      <c r="B768" s="8"/>
      <c r="C768" s="8"/>
      <c r="D768" s="8"/>
      <c r="E768" s="8"/>
      <c r="F768" s="8"/>
      <c r="G768" s="8"/>
      <c r="H768" s="8"/>
      <c r="I768" s="8"/>
      <c r="J768" s="8"/>
      <c r="K768" s="8"/>
      <c r="L768" s="8"/>
      <c r="M768" s="8"/>
      <c r="N768" s="8"/>
      <c r="O768" s="8"/>
      <c r="P768" s="8"/>
      <c r="Q768" s="8"/>
      <c r="R768" s="8"/>
      <c r="S768" s="8"/>
      <c r="T768" s="8"/>
      <c r="U768" s="12"/>
      <c r="V768" s="12"/>
      <c r="W768" s="12"/>
      <c r="X768" s="12"/>
      <c r="Y768" s="12"/>
      <c r="Z768" s="12"/>
      <c r="AA768" s="12"/>
      <c r="AB768" s="12"/>
      <c r="AC768" s="12"/>
      <c r="AD768" s="12"/>
      <c r="AE768" s="12"/>
      <c r="AF768" s="12"/>
    </row>
    <row r="769" spans="1:32">
      <c r="A769" s="8"/>
      <c r="B769" s="8"/>
      <c r="C769" s="8"/>
      <c r="D769" s="8"/>
      <c r="E769" s="8"/>
      <c r="F769" s="8"/>
      <c r="G769" s="8"/>
      <c r="H769" s="8"/>
      <c r="I769" s="8"/>
      <c r="J769" s="8"/>
      <c r="K769" s="8"/>
      <c r="L769" s="8"/>
      <c r="M769" s="8"/>
      <c r="N769" s="8"/>
      <c r="O769" s="8"/>
      <c r="P769" s="8"/>
      <c r="Q769" s="8"/>
      <c r="R769" s="8"/>
      <c r="S769" s="8"/>
      <c r="T769" s="8"/>
      <c r="U769" s="12"/>
      <c r="V769" s="12"/>
      <c r="W769" s="12"/>
      <c r="X769" s="12"/>
      <c r="Y769" s="12"/>
      <c r="Z769" s="12"/>
      <c r="AA769" s="12"/>
      <c r="AB769" s="12"/>
      <c r="AC769" s="12"/>
      <c r="AD769" s="12"/>
      <c r="AE769" s="12"/>
      <c r="AF769" s="12"/>
    </row>
    <row r="770" spans="1:32">
      <c r="A770" s="8"/>
      <c r="B770" s="8"/>
      <c r="C770" s="8"/>
      <c r="D770" s="8"/>
      <c r="E770" s="8"/>
      <c r="F770" s="8"/>
      <c r="G770" s="8"/>
      <c r="H770" s="8"/>
      <c r="I770" s="8"/>
      <c r="J770" s="8"/>
      <c r="K770" s="8"/>
      <c r="L770" s="8"/>
      <c r="M770" s="8"/>
      <c r="N770" s="8"/>
      <c r="O770" s="8"/>
      <c r="P770" s="8"/>
      <c r="Q770" s="8"/>
      <c r="R770" s="8"/>
      <c r="S770" s="8"/>
      <c r="T770" s="8"/>
      <c r="U770" s="12"/>
      <c r="V770" s="12"/>
      <c r="W770" s="12"/>
      <c r="X770" s="12"/>
      <c r="Y770" s="12"/>
      <c r="Z770" s="12"/>
      <c r="AA770" s="12"/>
      <c r="AB770" s="12"/>
      <c r="AC770" s="12"/>
      <c r="AD770" s="12"/>
      <c r="AE770" s="12"/>
      <c r="AF770" s="12"/>
    </row>
    <row r="771" spans="1:32">
      <c r="A771" s="8"/>
      <c r="B771" s="8"/>
      <c r="C771" s="8"/>
      <c r="D771" s="8"/>
      <c r="E771" s="8"/>
      <c r="F771" s="8"/>
      <c r="G771" s="8"/>
      <c r="H771" s="8"/>
      <c r="I771" s="8"/>
      <c r="J771" s="8"/>
      <c r="K771" s="8"/>
      <c r="L771" s="8"/>
      <c r="M771" s="8"/>
      <c r="N771" s="8"/>
      <c r="O771" s="8"/>
      <c r="P771" s="8"/>
      <c r="Q771" s="8"/>
      <c r="R771" s="8"/>
      <c r="S771" s="8"/>
      <c r="T771" s="8"/>
      <c r="U771" s="12"/>
      <c r="V771" s="12"/>
      <c r="W771" s="12"/>
      <c r="X771" s="12"/>
      <c r="Y771" s="12"/>
      <c r="Z771" s="12"/>
      <c r="AA771" s="12"/>
      <c r="AB771" s="12"/>
      <c r="AC771" s="12"/>
      <c r="AD771" s="12"/>
      <c r="AE771" s="12"/>
      <c r="AF771" s="12"/>
    </row>
    <row r="772" spans="1:32">
      <c r="A772" s="8"/>
      <c r="B772" s="8"/>
      <c r="C772" s="8"/>
      <c r="D772" s="8"/>
      <c r="E772" s="8"/>
      <c r="F772" s="8"/>
      <c r="G772" s="8"/>
      <c r="H772" s="8"/>
      <c r="I772" s="8"/>
      <c r="J772" s="8"/>
      <c r="K772" s="8"/>
      <c r="L772" s="8"/>
      <c r="M772" s="8"/>
      <c r="N772" s="8"/>
      <c r="O772" s="8"/>
      <c r="P772" s="8"/>
      <c r="Q772" s="8"/>
      <c r="R772" s="8"/>
      <c r="S772" s="8"/>
      <c r="T772" s="8"/>
      <c r="U772" s="12"/>
      <c r="V772" s="12"/>
      <c r="W772" s="12"/>
      <c r="X772" s="12"/>
      <c r="Y772" s="12"/>
      <c r="Z772" s="12"/>
      <c r="AA772" s="12"/>
      <c r="AB772" s="12"/>
      <c r="AC772" s="12"/>
      <c r="AD772" s="12"/>
      <c r="AE772" s="12"/>
      <c r="AF772" s="12"/>
    </row>
    <row r="773" spans="1:32">
      <c r="A773" s="8"/>
      <c r="B773" s="8"/>
      <c r="C773" s="8"/>
      <c r="D773" s="8"/>
      <c r="E773" s="8"/>
      <c r="F773" s="8"/>
      <c r="G773" s="8"/>
      <c r="H773" s="8"/>
      <c r="I773" s="8"/>
      <c r="J773" s="8"/>
      <c r="K773" s="8"/>
      <c r="L773" s="8"/>
      <c r="M773" s="8"/>
      <c r="N773" s="8"/>
      <c r="O773" s="8"/>
      <c r="P773" s="8"/>
      <c r="Q773" s="8"/>
      <c r="R773" s="8"/>
      <c r="S773" s="8"/>
      <c r="T773" s="8"/>
      <c r="U773" s="12"/>
      <c r="V773" s="12"/>
      <c r="W773" s="12"/>
      <c r="X773" s="12"/>
      <c r="Y773" s="12"/>
      <c r="Z773" s="12"/>
      <c r="AA773" s="12"/>
      <c r="AB773" s="12"/>
      <c r="AC773" s="12"/>
      <c r="AD773" s="12"/>
      <c r="AE773" s="12"/>
      <c r="AF773" s="12"/>
    </row>
    <row r="774" spans="1:32">
      <c r="A774" s="8"/>
      <c r="B774" s="8"/>
      <c r="C774" s="8"/>
      <c r="D774" s="8"/>
      <c r="E774" s="8"/>
      <c r="F774" s="8"/>
      <c r="G774" s="8"/>
      <c r="H774" s="8"/>
      <c r="I774" s="8"/>
      <c r="J774" s="8"/>
      <c r="K774" s="8"/>
      <c r="L774" s="8"/>
      <c r="M774" s="8"/>
      <c r="N774" s="8"/>
      <c r="O774" s="8"/>
      <c r="P774" s="8"/>
      <c r="Q774" s="8"/>
      <c r="R774" s="8"/>
      <c r="S774" s="8"/>
      <c r="T774" s="8"/>
      <c r="U774" s="12"/>
      <c r="V774" s="12"/>
      <c r="W774" s="12"/>
      <c r="X774" s="12"/>
      <c r="Y774" s="12"/>
      <c r="Z774" s="12"/>
      <c r="AA774" s="12"/>
      <c r="AB774" s="12"/>
      <c r="AC774" s="12"/>
      <c r="AD774" s="12"/>
      <c r="AE774" s="12"/>
      <c r="AF774" s="12"/>
    </row>
    <row r="775" spans="1:32">
      <c r="A775" s="8"/>
      <c r="B775" s="8"/>
      <c r="C775" s="8"/>
      <c r="D775" s="8"/>
      <c r="E775" s="8"/>
      <c r="F775" s="8"/>
      <c r="G775" s="8"/>
      <c r="H775" s="8"/>
      <c r="I775" s="8"/>
      <c r="J775" s="8"/>
      <c r="K775" s="8"/>
      <c r="L775" s="8"/>
      <c r="M775" s="8"/>
      <c r="N775" s="8"/>
      <c r="O775" s="8"/>
      <c r="P775" s="8"/>
      <c r="Q775" s="8"/>
      <c r="R775" s="8"/>
      <c r="S775" s="8"/>
      <c r="T775" s="8"/>
      <c r="U775" s="12"/>
      <c r="V775" s="12"/>
      <c r="W775" s="12"/>
      <c r="X775" s="12"/>
      <c r="Y775" s="12"/>
      <c r="Z775" s="12"/>
      <c r="AA775" s="12"/>
      <c r="AB775" s="12"/>
      <c r="AC775" s="12"/>
      <c r="AD775" s="12"/>
      <c r="AE775" s="12"/>
      <c r="AF775" s="12"/>
    </row>
    <row r="776" spans="1:32">
      <c r="A776" s="8"/>
      <c r="B776" s="8"/>
      <c r="C776" s="8"/>
      <c r="D776" s="8"/>
      <c r="E776" s="8"/>
      <c r="F776" s="8"/>
      <c r="G776" s="8"/>
      <c r="H776" s="8"/>
      <c r="I776" s="8"/>
      <c r="J776" s="8"/>
      <c r="K776" s="8"/>
      <c r="L776" s="8"/>
      <c r="M776" s="8"/>
      <c r="N776" s="8"/>
      <c r="O776" s="8"/>
      <c r="P776" s="8"/>
      <c r="Q776" s="8"/>
      <c r="R776" s="8"/>
      <c r="S776" s="8"/>
      <c r="T776" s="8"/>
      <c r="U776" s="12"/>
      <c r="V776" s="12"/>
      <c r="W776" s="12"/>
      <c r="X776" s="12"/>
      <c r="Y776" s="12"/>
      <c r="Z776" s="12"/>
      <c r="AA776" s="12"/>
      <c r="AB776" s="12"/>
      <c r="AC776" s="12"/>
      <c r="AD776" s="12"/>
      <c r="AE776" s="12"/>
      <c r="AF776" s="12"/>
    </row>
    <row r="777" spans="1:32">
      <c r="A777" s="8"/>
      <c r="B777" s="8"/>
      <c r="C777" s="8"/>
      <c r="D777" s="8"/>
      <c r="E777" s="8"/>
      <c r="F777" s="8"/>
      <c r="G777" s="8"/>
      <c r="H777" s="8"/>
      <c r="I777" s="8"/>
      <c r="J777" s="8"/>
      <c r="K777" s="8"/>
      <c r="L777" s="8"/>
      <c r="M777" s="8"/>
      <c r="N777" s="8"/>
      <c r="O777" s="8"/>
      <c r="P777" s="8"/>
      <c r="Q777" s="8"/>
      <c r="R777" s="8"/>
      <c r="S777" s="8"/>
      <c r="T777" s="8"/>
      <c r="U777" s="12"/>
      <c r="V777" s="12"/>
      <c r="W777" s="12"/>
      <c r="X777" s="12"/>
      <c r="Y777" s="12"/>
      <c r="Z777" s="12"/>
      <c r="AA777" s="12"/>
      <c r="AB777" s="12"/>
      <c r="AC777" s="12"/>
      <c r="AD777" s="12"/>
      <c r="AE777" s="12"/>
      <c r="AF777" s="12"/>
    </row>
    <row r="778" spans="1:32">
      <c r="A778" s="8"/>
      <c r="B778" s="8"/>
      <c r="C778" s="8"/>
      <c r="D778" s="8"/>
      <c r="E778" s="8"/>
      <c r="F778" s="8"/>
      <c r="G778" s="8"/>
      <c r="H778" s="8"/>
      <c r="I778" s="8"/>
      <c r="J778" s="8"/>
      <c r="K778" s="8"/>
      <c r="L778" s="8"/>
      <c r="M778" s="8"/>
      <c r="N778" s="8"/>
      <c r="O778" s="8"/>
      <c r="P778" s="8"/>
      <c r="Q778" s="8"/>
      <c r="R778" s="8"/>
      <c r="S778" s="8"/>
      <c r="T778" s="8"/>
      <c r="U778" s="12"/>
      <c r="V778" s="12"/>
      <c r="W778" s="12"/>
      <c r="X778" s="12"/>
      <c r="Y778" s="12"/>
      <c r="Z778" s="12"/>
      <c r="AA778" s="12"/>
      <c r="AB778" s="12"/>
      <c r="AC778" s="12"/>
      <c r="AD778" s="12"/>
      <c r="AE778" s="12"/>
      <c r="AF778" s="12"/>
    </row>
    <row r="779" spans="1:32">
      <c r="A779" s="8"/>
      <c r="B779" s="8"/>
      <c r="C779" s="8"/>
      <c r="D779" s="8"/>
      <c r="E779" s="8"/>
      <c r="F779" s="8"/>
      <c r="G779" s="8"/>
      <c r="H779" s="8"/>
      <c r="I779" s="8"/>
      <c r="J779" s="8"/>
      <c r="K779" s="8"/>
      <c r="L779" s="8"/>
      <c r="M779" s="8"/>
      <c r="N779" s="8"/>
      <c r="O779" s="8"/>
      <c r="P779" s="8"/>
      <c r="Q779" s="8"/>
      <c r="R779" s="8"/>
      <c r="S779" s="8"/>
      <c r="T779" s="8"/>
      <c r="U779" s="12"/>
      <c r="V779" s="12"/>
      <c r="W779" s="12"/>
      <c r="X779" s="12"/>
      <c r="Y779" s="12"/>
      <c r="Z779" s="12"/>
      <c r="AA779" s="12"/>
      <c r="AB779" s="12"/>
      <c r="AC779" s="12"/>
      <c r="AD779" s="12"/>
      <c r="AE779" s="12"/>
      <c r="AF779" s="12"/>
    </row>
    <row r="780" spans="1:32">
      <c r="A780" s="8"/>
      <c r="B780" s="8"/>
      <c r="C780" s="8"/>
      <c r="D780" s="8"/>
      <c r="E780" s="8"/>
      <c r="F780" s="8"/>
      <c r="G780" s="8"/>
      <c r="H780" s="8"/>
      <c r="I780" s="8"/>
      <c r="J780" s="8"/>
      <c r="K780" s="8"/>
      <c r="L780" s="8"/>
      <c r="M780" s="8"/>
      <c r="N780" s="8"/>
      <c r="O780" s="8"/>
      <c r="P780" s="8"/>
      <c r="Q780" s="8"/>
      <c r="R780" s="8"/>
      <c r="S780" s="8"/>
      <c r="T780" s="8"/>
      <c r="U780" s="12"/>
      <c r="V780" s="12"/>
      <c r="W780" s="12"/>
      <c r="X780" s="12"/>
      <c r="Y780" s="12"/>
      <c r="Z780" s="12"/>
      <c r="AA780" s="12"/>
      <c r="AB780" s="12"/>
      <c r="AC780" s="12"/>
      <c r="AD780" s="12"/>
      <c r="AE780" s="12"/>
      <c r="AF780" s="12"/>
    </row>
    <row r="781" spans="1:32">
      <c r="A781" s="8"/>
      <c r="B781" s="8"/>
      <c r="C781" s="8"/>
      <c r="D781" s="8"/>
      <c r="E781" s="8"/>
      <c r="F781" s="8"/>
      <c r="G781" s="8"/>
      <c r="H781" s="8"/>
      <c r="I781" s="8"/>
      <c r="J781" s="8"/>
      <c r="K781" s="8"/>
      <c r="L781" s="8"/>
      <c r="M781" s="8"/>
      <c r="N781" s="8"/>
      <c r="O781" s="8"/>
      <c r="P781" s="8"/>
      <c r="Q781" s="8"/>
      <c r="R781" s="8"/>
      <c r="S781" s="8"/>
      <c r="T781" s="8"/>
      <c r="U781" s="12"/>
      <c r="V781" s="12"/>
      <c r="W781" s="12"/>
      <c r="X781" s="12"/>
      <c r="Y781" s="12"/>
      <c r="Z781" s="12"/>
      <c r="AA781" s="12"/>
      <c r="AB781" s="12"/>
      <c r="AC781" s="12"/>
      <c r="AD781" s="12"/>
      <c r="AE781" s="12"/>
      <c r="AF781" s="12"/>
    </row>
    <row r="782" spans="1:32">
      <c r="A782" s="8"/>
      <c r="B782" s="8"/>
      <c r="C782" s="8"/>
      <c r="D782" s="8"/>
      <c r="E782" s="8"/>
      <c r="F782" s="8"/>
      <c r="G782" s="8"/>
      <c r="H782" s="8"/>
      <c r="I782" s="8"/>
      <c r="J782" s="8"/>
      <c r="K782" s="8"/>
      <c r="L782" s="8"/>
      <c r="M782" s="8"/>
      <c r="N782" s="8"/>
      <c r="O782" s="8"/>
      <c r="P782" s="8"/>
      <c r="Q782" s="8"/>
      <c r="R782" s="8"/>
      <c r="S782" s="8"/>
      <c r="T782" s="8"/>
      <c r="U782" s="12"/>
      <c r="V782" s="12"/>
      <c r="W782" s="12"/>
      <c r="X782" s="12"/>
      <c r="Y782" s="12"/>
      <c r="Z782" s="12"/>
      <c r="AA782" s="12"/>
      <c r="AB782" s="12"/>
      <c r="AC782" s="12"/>
      <c r="AD782" s="12"/>
      <c r="AE782" s="12"/>
      <c r="AF782" s="12"/>
    </row>
    <row r="783" spans="1:32">
      <c r="A783" s="8"/>
      <c r="B783" s="8"/>
      <c r="C783" s="8"/>
      <c r="D783" s="8"/>
      <c r="E783" s="8"/>
      <c r="F783" s="8"/>
      <c r="G783" s="8"/>
      <c r="H783" s="8"/>
      <c r="I783" s="8"/>
      <c r="J783" s="8"/>
      <c r="K783" s="8"/>
      <c r="L783" s="8"/>
      <c r="M783" s="8"/>
      <c r="N783" s="8"/>
      <c r="O783" s="8"/>
      <c r="P783" s="8"/>
      <c r="Q783" s="8"/>
      <c r="R783" s="8"/>
      <c r="S783" s="8"/>
      <c r="T783" s="8"/>
      <c r="U783" s="12"/>
      <c r="V783" s="12"/>
      <c r="W783" s="12"/>
      <c r="X783" s="12"/>
      <c r="Y783" s="12"/>
      <c r="Z783" s="12"/>
      <c r="AA783" s="12"/>
      <c r="AB783" s="12"/>
      <c r="AC783" s="12"/>
      <c r="AD783" s="12"/>
      <c r="AE783" s="12"/>
      <c r="AF783" s="12"/>
    </row>
    <row r="784" spans="1:32">
      <c r="A784" s="8"/>
      <c r="B784" s="8"/>
      <c r="C784" s="8"/>
      <c r="D784" s="8"/>
      <c r="E784" s="8"/>
      <c r="F784" s="8"/>
      <c r="G784" s="8"/>
      <c r="H784" s="8"/>
      <c r="I784" s="8"/>
      <c r="J784" s="8"/>
      <c r="K784" s="8"/>
      <c r="L784" s="8"/>
      <c r="M784" s="8"/>
      <c r="N784" s="8"/>
      <c r="O784" s="8"/>
      <c r="P784" s="8"/>
      <c r="Q784" s="8"/>
      <c r="R784" s="8"/>
      <c r="S784" s="8"/>
      <c r="T784" s="8"/>
      <c r="U784" s="12"/>
      <c r="V784" s="12"/>
      <c r="W784" s="12"/>
      <c r="X784" s="12"/>
      <c r="Y784" s="12"/>
      <c r="Z784" s="12"/>
      <c r="AA784" s="12"/>
      <c r="AB784" s="12"/>
      <c r="AC784" s="12"/>
      <c r="AD784" s="12"/>
      <c r="AE784" s="12"/>
      <c r="AF784" s="12"/>
    </row>
    <row r="785" spans="1:32">
      <c r="A785" s="8"/>
      <c r="B785" s="8"/>
      <c r="C785" s="8"/>
      <c r="D785" s="8"/>
      <c r="E785" s="8"/>
      <c r="F785" s="8"/>
      <c r="G785" s="8"/>
      <c r="H785" s="8"/>
      <c r="I785" s="8"/>
      <c r="J785" s="8"/>
      <c r="K785" s="8"/>
      <c r="L785" s="8"/>
      <c r="M785" s="8"/>
      <c r="N785" s="8"/>
      <c r="O785" s="8"/>
      <c r="P785" s="8"/>
      <c r="Q785" s="8"/>
      <c r="R785" s="8"/>
      <c r="S785" s="8"/>
      <c r="T785" s="8"/>
      <c r="U785" s="12"/>
      <c r="V785" s="12"/>
      <c r="W785" s="12"/>
      <c r="X785" s="12"/>
      <c r="Y785" s="12"/>
      <c r="Z785" s="12"/>
      <c r="AA785" s="12"/>
      <c r="AB785" s="12"/>
      <c r="AC785" s="12"/>
      <c r="AD785" s="12"/>
      <c r="AE785" s="12"/>
      <c r="AF785" s="12"/>
    </row>
    <row r="786" spans="1:32">
      <c r="A786" s="8"/>
      <c r="B786" s="8"/>
      <c r="C786" s="8"/>
      <c r="D786" s="8"/>
      <c r="E786" s="8"/>
      <c r="F786" s="8"/>
      <c r="G786" s="8"/>
      <c r="H786" s="8"/>
      <c r="I786" s="8"/>
      <c r="J786" s="8"/>
      <c r="K786" s="8"/>
      <c r="L786" s="8"/>
      <c r="M786" s="8"/>
      <c r="N786" s="8"/>
      <c r="O786" s="8"/>
      <c r="P786" s="8"/>
      <c r="Q786" s="8"/>
      <c r="R786" s="8"/>
      <c r="S786" s="8"/>
      <c r="T786" s="8"/>
      <c r="U786" s="12"/>
      <c r="V786" s="12"/>
      <c r="W786" s="12"/>
      <c r="X786" s="12"/>
      <c r="Y786" s="12"/>
      <c r="Z786" s="12"/>
      <c r="AA786" s="12"/>
      <c r="AB786" s="12"/>
      <c r="AC786" s="12"/>
      <c r="AD786" s="12"/>
      <c r="AE786" s="12"/>
      <c r="AF786" s="12"/>
    </row>
    <row r="787" spans="1:32">
      <c r="A787" s="8"/>
      <c r="B787" s="8"/>
      <c r="C787" s="8"/>
      <c r="D787" s="8"/>
      <c r="E787" s="8"/>
      <c r="F787" s="8"/>
      <c r="G787" s="8"/>
      <c r="H787" s="8"/>
      <c r="I787" s="8"/>
      <c r="J787" s="8"/>
      <c r="K787" s="8"/>
      <c r="L787" s="8"/>
      <c r="M787" s="8"/>
      <c r="N787" s="8"/>
      <c r="O787" s="8"/>
      <c r="P787" s="8"/>
      <c r="Q787" s="8"/>
      <c r="R787" s="8"/>
      <c r="S787" s="8"/>
      <c r="T787" s="8"/>
      <c r="U787" s="12"/>
      <c r="V787" s="12"/>
      <c r="W787" s="12"/>
      <c r="X787" s="12"/>
      <c r="Y787" s="12"/>
      <c r="Z787" s="12"/>
      <c r="AA787" s="12"/>
      <c r="AB787" s="12"/>
      <c r="AC787" s="12"/>
      <c r="AD787" s="12"/>
      <c r="AE787" s="12"/>
      <c r="AF787" s="12"/>
    </row>
    <row r="788" spans="1:32">
      <c r="A788" s="8"/>
      <c r="B788" s="8"/>
      <c r="C788" s="8"/>
      <c r="D788" s="8"/>
      <c r="E788" s="8"/>
      <c r="F788" s="8"/>
      <c r="G788" s="8"/>
      <c r="H788" s="8"/>
      <c r="I788" s="8"/>
      <c r="J788" s="8"/>
      <c r="K788" s="8"/>
      <c r="L788" s="8"/>
      <c r="M788" s="8"/>
      <c r="N788" s="8"/>
      <c r="O788" s="8"/>
      <c r="P788" s="8"/>
      <c r="Q788" s="8"/>
      <c r="R788" s="8"/>
      <c r="S788" s="8"/>
      <c r="T788" s="8"/>
      <c r="U788" s="12"/>
      <c r="V788" s="12"/>
      <c r="W788" s="12"/>
      <c r="X788" s="12"/>
      <c r="Y788" s="12"/>
      <c r="Z788" s="12"/>
      <c r="AA788" s="12"/>
      <c r="AB788" s="12"/>
      <c r="AC788" s="12"/>
      <c r="AD788" s="12"/>
      <c r="AE788" s="12"/>
      <c r="AF788" s="12"/>
    </row>
    <row r="789" spans="1:32">
      <c r="A789" s="8"/>
      <c r="B789" s="8"/>
      <c r="C789" s="8"/>
      <c r="D789" s="8"/>
      <c r="E789" s="8"/>
      <c r="F789" s="8"/>
      <c r="G789" s="8"/>
      <c r="H789" s="8"/>
      <c r="I789" s="8"/>
      <c r="J789" s="8"/>
      <c r="K789" s="8"/>
      <c r="L789" s="8"/>
      <c r="M789" s="8"/>
      <c r="N789" s="8"/>
      <c r="O789" s="8"/>
      <c r="P789" s="8"/>
      <c r="Q789" s="8"/>
      <c r="R789" s="8"/>
      <c r="S789" s="8"/>
      <c r="T789" s="8"/>
      <c r="U789" s="12"/>
      <c r="V789" s="12"/>
      <c r="W789" s="12"/>
      <c r="X789" s="12"/>
      <c r="Y789" s="12"/>
      <c r="Z789" s="12"/>
      <c r="AA789" s="12"/>
      <c r="AB789" s="12"/>
      <c r="AC789" s="12"/>
      <c r="AD789" s="12"/>
      <c r="AE789" s="12"/>
      <c r="AF789" s="12"/>
    </row>
    <row r="790" spans="1:32">
      <c r="A790" s="8"/>
      <c r="B790" s="8"/>
      <c r="C790" s="8"/>
      <c r="D790" s="8"/>
      <c r="E790" s="8"/>
      <c r="F790" s="8"/>
      <c r="G790" s="8"/>
      <c r="H790" s="8"/>
      <c r="I790" s="8"/>
      <c r="J790" s="8"/>
      <c r="K790" s="8"/>
      <c r="L790" s="8"/>
      <c r="M790" s="8"/>
      <c r="N790" s="8"/>
      <c r="O790" s="8"/>
      <c r="P790" s="8"/>
      <c r="Q790" s="8"/>
      <c r="R790" s="8"/>
      <c r="S790" s="8"/>
      <c r="T790" s="8"/>
      <c r="U790" s="12"/>
      <c r="V790" s="12"/>
      <c r="W790" s="12"/>
      <c r="X790" s="12"/>
      <c r="Y790" s="12"/>
      <c r="Z790" s="12"/>
      <c r="AA790" s="12"/>
      <c r="AB790" s="12"/>
      <c r="AC790" s="12"/>
      <c r="AD790" s="12"/>
      <c r="AE790" s="12"/>
      <c r="AF790" s="12"/>
    </row>
    <row r="791" spans="1:32">
      <c r="A791" s="8"/>
      <c r="B791" s="8"/>
      <c r="C791" s="8"/>
      <c r="D791" s="8"/>
      <c r="E791" s="8"/>
      <c r="F791" s="8"/>
      <c r="G791" s="8"/>
      <c r="H791" s="8"/>
      <c r="I791" s="8"/>
      <c r="J791" s="8"/>
      <c r="K791" s="8"/>
      <c r="L791" s="8"/>
      <c r="M791" s="8"/>
      <c r="N791" s="8"/>
      <c r="O791" s="8"/>
      <c r="P791" s="8"/>
      <c r="Q791" s="8"/>
      <c r="R791" s="8"/>
      <c r="S791" s="8"/>
      <c r="T791" s="8"/>
      <c r="U791" s="12"/>
      <c r="V791" s="12"/>
      <c r="W791" s="12"/>
      <c r="X791" s="12"/>
      <c r="Y791" s="12"/>
      <c r="Z791" s="12"/>
      <c r="AA791" s="12"/>
      <c r="AB791" s="12"/>
      <c r="AC791" s="12"/>
      <c r="AD791" s="12"/>
      <c r="AE791" s="12"/>
      <c r="AF791" s="12"/>
    </row>
    <row r="792" spans="1:32">
      <c r="A792" s="8"/>
      <c r="B792" s="8"/>
      <c r="C792" s="8"/>
      <c r="D792" s="8"/>
      <c r="E792" s="8"/>
      <c r="F792" s="8"/>
      <c r="G792" s="8"/>
      <c r="H792" s="8"/>
      <c r="I792" s="8"/>
      <c r="J792" s="8"/>
      <c r="K792" s="8"/>
      <c r="L792" s="8"/>
      <c r="M792" s="8"/>
      <c r="N792" s="8"/>
      <c r="O792" s="8"/>
      <c r="P792" s="8"/>
      <c r="Q792" s="8"/>
      <c r="R792" s="8"/>
      <c r="S792" s="8"/>
      <c r="T792" s="8"/>
      <c r="U792" s="12"/>
      <c r="V792" s="12"/>
      <c r="W792" s="12"/>
      <c r="X792" s="12"/>
      <c r="Y792" s="12"/>
      <c r="Z792" s="12"/>
      <c r="AA792" s="12"/>
      <c r="AB792" s="12"/>
      <c r="AC792" s="12"/>
      <c r="AD792" s="12"/>
      <c r="AE792" s="12"/>
      <c r="AF792" s="12"/>
    </row>
    <row r="793" spans="1:32">
      <c r="A793" s="8"/>
      <c r="B793" s="8"/>
      <c r="C793" s="8"/>
      <c r="D793" s="8"/>
      <c r="E793" s="8"/>
      <c r="F793" s="8"/>
      <c r="G793" s="8"/>
      <c r="H793" s="8"/>
      <c r="I793" s="8"/>
      <c r="J793" s="8"/>
      <c r="K793" s="8"/>
      <c r="L793" s="8"/>
      <c r="M793" s="8"/>
      <c r="N793" s="8"/>
      <c r="O793" s="8"/>
      <c r="P793" s="8"/>
      <c r="Q793" s="8"/>
      <c r="R793" s="8"/>
      <c r="S793" s="8"/>
      <c r="T793" s="8"/>
      <c r="U793" s="12"/>
      <c r="V793" s="12"/>
      <c r="W793" s="12"/>
      <c r="X793" s="12"/>
      <c r="Y793" s="12"/>
      <c r="Z793" s="12"/>
      <c r="AA793" s="12"/>
      <c r="AB793" s="12"/>
      <c r="AC793" s="12"/>
      <c r="AD793" s="12"/>
      <c r="AE793" s="12"/>
      <c r="AF793" s="12"/>
    </row>
    <row r="794" spans="1:32">
      <c r="A794" s="8"/>
      <c r="B794" s="8"/>
      <c r="C794" s="8"/>
      <c r="D794" s="8"/>
      <c r="E794" s="8"/>
      <c r="F794" s="8"/>
      <c r="G794" s="8"/>
      <c r="H794" s="8"/>
      <c r="I794" s="8"/>
      <c r="J794" s="8"/>
      <c r="K794" s="8"/>
      <c r="L794" s="8"/>
      <c r="M794" s="8"/>
      <c r="N794" s="8"/>
      <c r="O794" s="8"/>
      <c r="P794" s="8"/>
      <c r="Q794" s="8"/>
      <c r="R794" s="8"/>
      <c r="S794" s="8"/>
      <c r="T794" s="8"/>
      <c r="U794" s="12"/>
      <c r="V794" s="12"/>
      <c r="W794" s="12"/>
      <c r="X794" s="12"/>
      <c r="Y794" s="12"/>
      <c r="Z794" s="12"/>
      <c r="AA794" s="12"/>
      <c r="AB794" s="12"/>
      <c r="AC794" s="12"/>
      <c r="AD794" s="12"/>
      <c r="AE794" s="12"/>
      <c r="AF794" s="12"/>
    </row>
    <row r="795" spans="1:32">
      <c r="A795" s="8"/>
      <c r="B795" s="8"/>
      <c r="C795" s="8"/>
      <c r="D795" s="8"/>
      <c r="E795" s="8"/>
      <c r="F795" s="8"/>
      <c r="G795" s="8"/>
      <c r="H795" s="8"/>
      <c r="I795" s="8"/>
      <c r="J795" s="8"/>
      <c r="K795" s="8"/>
      <c r="L795" s="8"/>
      <c r="M795" s="8"/>
      <c r="N795" s="8"/>
      <c r="O795" s="8"/>
      <c r="P795" s="8"/>
      <c r="Q795" s="8"/>
      <c r="R795" s="8"/>
      <c r="S795" s="8"/>
      <c r="T795" s="8"/>
      <c r="U795" s="12"/>
      <c r="V795" s="12"/>
      <c r="W795" s="12"/>
      <c r="X795" s="12"/>
      <c r="Y795" s="12"/>
      <c r="Z795" s="12"/>
      <c r="AA795" s="12"/>
      <c r="AB795" s="12"/>
      <c r="AC795" s="12"/>
      <c r="AD795" s="12"/>
      <c r="AE795" s="12"/>
      <c r="AF795" s="12"/>
    </row>
    <row r="796" spans="1:32">
      <c r="A796" s="8"/>
      <c r="B796" s="8"/>
      <c r="C796" s="8"/>
      <c r="D796" s="8"/>
      <c r="E796" s="8"/>
      <c r="F796" s="8"/>
      <c r="G796" s="8"/>
      <c r="H796" s="8"/>
      <c r="I796" s="8"/>
      <c r="J796" s="8"/>
      <c r="K796" s="8"/>
      <c r="L796" s="8"/>
      <c r="M796" s="8"/>
      <c r="N796" s="8"/>
      <c r="O796" s="8"/>
      <c r="P796" s="8"/>
      <c r="Q796" s="8"/>
      <c r="R796" s="8"/>
      <c r="S796" s="8"/>
      <c r="T796" s="8"/>
      <c r="U796" s="12"/>
      <c r="V796" s="12"/>
      <c r="W796" s="12"/>
      <c r="X796" s="12"/>
      <c r="Y796" s="12"/>
      <c r="Z796" s="12"/>
      <c r="AA796" s="12"/>
      <c r="AB796" s="12"/>
      <c r="AC796" s="12"/>
      <c r="AD796" s="12"/>
      <c r="AE796" s="12"/>
      <c r="AF796" s="12"/>
    </row>
    <row r="797" spans="1:32">
      <c r="A797" s="8"/>
      <c r="B797" s="8"/>
      <c r="C797" s="8"/>
      <c r="D797" s="8"/>
      <c r="E797" s="8"/>
      <c r="F797" s="8"/>
      <c r="G797" s="8"/>
      <c r="H797" s="8"/>
      <c r="I797" s="8"/>
      <c r="J797" s="8"/>
      <c r="K797" s="8"/>
      <c r="L797" s="8"/>
      <c r="M797" s="8"/>
      <c r="N797" s="8"/>
      <c r="O797" s="8"/>
      <c r="P797" s="8"/>
      <c r="Q797" s="8"/>
      <c r="R797" s="8"/>
      <c r="S797" s="8"/>
      <c r="T797" s="8"/>
      <c r="U797" s="12"/>
      <c r="V797" s="12"/>
      <c r="W797" s="12"/>
      <c r="X797" s="12"/>
      <c r="Y797" s="12"/>
      <c r="Z797" s="12"/>
      <c r="AA797" s="12"/>
      <c r="AB797" s="12"/>
      <c r="AC797" s="12"/>
      <c r="AD797" s="12"/>
      <c r="AE797" s="12"/>
      <c r="AF797" s="12"/>
    </row>
    <row r="798" spans="1:32">
      <c r="A798" s="8"/>
      <c r="B798" s="8"/>
      <c r="C798" s="8"/>
      <c r="D798" s="8"/>
      <c r="E798" s="8"/>
      <c r="F798" s="8"/>
      <c r="G798" s="8"/>
      <c r="H798" s="8"/>
      <c r="I798" s="8"/>
      <c r="J798" s="8"/>
      <c r="K798" s="8"/>
      <c r="L798" s="8"/>
      <c r="M798" s="8"/>
      <c r="N798" s="8"/>
      <c r="O798" s="8"/>
      <c r="P798" s="8"/>
      <c r="Q798" s="8"/>
      <c r="R798" s="8"/>
      <c r="S798" s="8"/>
      <c r="T798" s="8"/>
      <c r="U798" s="12"/>
      <c r="V798" s="12"/>
      <c r="W798" s="12"/>
      <c r="X798" s="12"/>
      <c r="Y798" s="12"/>
      <c r="Z798" s="12"/>
      <c r="AA798" s="12"/>
      <c r="AB798" s="12"/>
      <c r="AC798" s="12"/>
      <c r="AD798" s="12"/>
      <c r="AE798" s="12"/>
      <c r="AF798" s="12"/>
    </row>
    <row r="799" spans="1:32">
      <c r="A799" s="8"/>
      <c r="B799" s="8"/>
      <c r="C799" s="8"/>
      <c r="D799" s="8"/>
      <c r="E799" s="8"/>
      <c r="F799" s="8"/>
      <c r="G799" s="8"/>
      <c r="H799" s="8"/>
      <c r="I799" s="8"/>
      <c r="J799" s="8"/>
      <c r="K799" s="8"/>
      <c r="L799" s="8"/>
      <c r="M799" s="8"/>
      <c r="N799" s="8"/>
      <c r="O799" s="8"/>
      <c r="P799" s="8"/>
      <c r="Q799" s="8"/>
      <c r="R799" s="8"/>
      <c r="S799" s="8"/>
      <c r="T799" s="8"/>
      <c r="U799" s="12"/>
      <c r="V799" s="12"/>
      <c r="W799" s="12"/>
      <c r="X799" s="12"/>
      <c r="Y799" s="12"/>
      <c r="Z799" s="12"/>
      <c r="AA799" s="12"/>
      <c r="AB799" s="12"/>
      <c r="AC799" s="12"/>
      <c r="AD799" s="12"/>
      <c r="AE799" s="12"/>
      <c r="AF799" s="12"/>
    </row>
    <row r="800" spans="1:32">
      <c r="A800" s="8"/>
      <c r="B800" s="8"/>
      <c r="C800" s="8"/>
      <c r="D800" s="8"/>
      <c r="E800" s="8"/>
      <c r="F800" s="8"/>
      <c r="G800" s="8"/>
      <c r="H800" s="8"/>
      <c r="I800" s="8"/>
      <c r="J800" s="8"/>
      <c r="K800" s="8"/>
      <c r="L800" s="8"/>
      <c r="M800" s="8"/>
      <c r="N800" s="8"/>
      <c r="O800" s="8"/>
      <c r="P800" s="8"/>
      <c r="Q800" s="8"/>
      <c r="R800" s="8"/>
      <c r="S800" s="8"/>
      <c r="T800" s="8"/>
      <c r="U800" s="12"/>
      <c r="V800" s="12"/>
      <c r="W800" s="12"/>
      <c r="X800" s="12"/>
      <c r="Y800" s="12"/>
      <c r="Z800" s="12"/>
      <c r="AA800" s="12"/>
      <c r="AB800" s="12"/>
      <c r="AC800" s="12"/>
      <c r="AD800" s="12"/>
      <c r="AE800" s="12"/>
      <c r="AF800" s="12"/>
    </row>
    <row r="801" spans="1:32">
      <c r="A801" s="8"/>
      <c r="B801" s="8"/>
      <c r="C801" s="8"/>
      <c r="D801" s="8"/>
      <c r="E801" s="8"/>
      <c r="F801" s="8"/>
      <c r="G801" s="8"/>
      <c r="H801" s="8"/>
      <c r="I801" s="8"/>
      <c r="J801" s="8"/>
      <c r="K801" s="8"/>
      <c r="L801" s="8"/>
      <c r="M801" s="8"/>
      <c r="N801" s="8"/>
      <c r="O801" s="8"/>
      <c r="P801" s="8"/>
      <c r="Q801" s="8"/>
      <c r="R801" s="8"/>
      <c r="S801" s="8"/>
      <c r="T801" s="8"/>
      <c r="U801" s="12"/>
      <c r="V801" s="12"/>
      <c r="W801" s="12"/>
      <c r="X801" s="12"/>
      <c r="Y801" s="12"/>
      <c r="Z801" s="12"/>
      <c r="AA801" s="12"/>
      <c r="AB801" s="12"/>
      <c r="AC801" s="12"/>
      <c r="AD801" s="12"/>
      <c r="AE801" s="12"/>
      <c r="AF801" s="12"/>
    </row>
    <row r="802" spans="1:32">
      <c r="A802" s="8"/>
      <c r="B802" s="8"/>
      <c r="C802" s="8"/>
      <c r="D802" s="8"/>
      <c r="E802" s="8"/>
      <c r="F802" s="8"/>
      <c r="G802" s="8"/>
      <c r="H802" s="8"/>
      <c r="I802" s="8"/>
      <c r="J802" s="8"/>
      <c r="K802" s="8"/>
      <c r="L802" s="8"/>
      <c r="M802" s="8"/>
      <c r="N802" s="8"/>
      <c r="O802" s="8"/>
      <c r="P802" s="8"/>
      <c r="Q802" s="8"/>
      <c r="R802" s="8"/>
      <c r="S802" s="8"/>
      <c r="T802" s="8"/>
      <c r="U802" s="12"/>
      <c r="V802" s="12"/>
      <c r="W802" s="12"/>
      <c r="X802" s="12"/>
      <c r="Y802" s="12"/>
      <c r="Z802" s="12"/>
      <c r="AA802" s="12"/>
      <c r="AB802" s="12"/>
      <c r="AC802" s="12"/>
      <c r="AD802" s="12"/>
      <c r="AE802" s="12"/>
      <c r="AF802" s="12"/>
    </row>
    <row r="803" spans="1:32">
      <c r="A803" s="8"/>
      <c r="B803" s="8"/>
      <c r="C803" s="8"/>
      <c r="D803" s="8"/>
      <c r="E803" s="8"/>
      <c r="F803" s="8"/>
      <c r="G803" s="8"/>
      <c r="H803" s="8"/>
      <c r="I803" s="8"/>
      <c r="J803" s="8"/>
      <c r="K803" s="8"/>
      <c r="L803" s="8"/>
      <c r="M803" s="8"/>
      <c r="N803" s="8"/>
      <c r="O803" s="8"/>
      <c r="P803" s="8"/>
      <c r="Q803" s="8"/>
      <c r="R803" s="8"/>
      <c r="S803" s="8"/>
      <c r="T803" s="8"/>
      <c r="U803" s="12"/>
      <c r="V803" s="12"/>
      <c r="W803" s="12"/>
      <c r="X803" s="12"/>
      <c r="Y803" s="12"/>
      <c r="Z803" s="12"/>
      <c r="AA803" s="12"/>
      <c r="AB803" s="12"/>
      <c r="AC803" s="12"/>
      <c r="AD803" s="12"/>
      <c r="AE803" s="12"/>
      <c r="AF803" s="12"/>
    </row>
    <row r="804" spans="1:32">
      <c r="A804" s="8"/>
      <c r="B804" s="8"/>
      <c r="C804" s="8"/>
      <c r="D804" s="8"/>
      <c r="E804" s="8"/>
      <c r="F804" s="8"/>
      <c r="G804" s="8"/>
      <c r="H804" s="8"/>
      <c r="I804" s="8"/>
      <c r="J804" s="8"/>
      <c r="K804" s="8"/>
      <c r="L804" s="8"/>
      <c r="M804" s="8"/>
      <c r="N804" s="8"/>
      <c r="O804" s="8"/>
      <c r="P804" s="8"/>
      <c r="Q804" s="8"/>
      <c r="R804" s="8"/>
      <c r="S804" s="8"/>
      <c r="T804" s="8"/>
      <c r="U804" s="12"/>
      <c r="V804" s="12"/>
      <c r="W804" s="12"/>
      <c r="X804" s="12"/>
      <c r="Y804" s="12"/>
      <c r="Z804" s="12"/>
      <c r="AA804" s="12"/>
      <c r="AB804" s="12"/>
      <c r="AC804" s="12"/>
      <c r="AD804" s="12"/>
      <c r="AE804" s="12"/>
      <c r="AF804" s="12"/>
    </row>
    <row r="805" spans="1:32">
      <c r="A805" s="8"/>
      <c r="B805" s="8"/>
      <c r="C805" s="8"/>
      <c r="D805" s="8"/>
      <c r="E805" s="8"/>
      <c r="F805" s="8"/>
      <c r="G805" s="8"/>
      <c r="H805" s="8"/>
      <c r="I805" s="8"/>
      <c r="J805" s="8"/>
      <c r="K805" s="8"/>
      <c r="L805" s="8"/>
      <c r="M805" s="8"/>
      <c r="N805" s="8"/>
      <c r="O805" s="8"/>
      <c r="P805" s="8"/>
      <c r="Q805" s="8"/>
      <c r="R805" s="8"/>
      <c r="S805" s="8"/>
      <c r="T805" s="8"/>
      <c r="U805" s="12"/>
      <c r="V805" s="12"/>
      <c r="W805" s="12"/>
      <c r="X805" s="12"/>
      <c r="Y805" s="12"/>
      <c r="Z805" s="12"/>
      <c r="AA805" s="12"/>
      <c r="AB805" s="12"/>
      <c r="AC805" s="12"/>
      <c r="AD805" s="12"/>
      <c r="AE805" s="12"/>
      <c r="AF805" s="12"/>
    </row>
    <row r="806" spans="1:32">
      <c r="A806" s="8"/>
      <c r="B806" s="8"/>
      <c r="C806" s="8"/>
      <c r="D806" s="8"/>
      <c r="E806" s="8"/>
      <c r="F806" s="8"/>
      <c r="G806" s="8"/>
      <c r="H806" s="8"/>
      <c r="I806" s="8"/>
      <c r="J806" s="8"/>
      <c r="K806" s="8"/>
      <c r="L806" s="8"/>
      <c r="M806" s="8"/>
      <c r="N806" s="8"/>
      <c r="O806" s="8"/>
      <c r="P806" s="8"/>
      <c r="Q806" s="8"/>
      <c r="R806" s="8"/>
      <c r="S806" s="8"/>
      <c r="T806" s="8"/>
      <c r="U806" s="12"/>
      <c r="V806" s="12"/>
      <c r="W806" s="12"/>
      <c r="X806" s="12"/>
      <c r="Y806" s="12"/>
      <c r="Z806" s="12"/>
      <c r="AA806" s="12"/>
      <c r="AB806" s="12"/>
      <c r="AC806" s="12"/>
      <c r="AD806" s="12"/>
      <c r="AE806" s="12"/>
      <c r="AF806" s="12"/>
    </row>
    <row r="807" spans="1:32">
      <c r="A807" s="8"/>
      <c r="B807" s="8"/>
      <c r="C807" s="8"/>
      <c r="D807" s="8"/>
      <c r="E807" s="8"/>
      <c r="F807" s="8"/>
      <c r="G807" s="8"/>
      <c r="H807" s="8"/>
      <c r="I807" s="8"/>
      <c r="J807" s="8"/>
      <c r="K807" s="8"/>
      <c r="L807" s="8"/>
      <c r="M807" s="8"/>
      <c r="N807" s="8"/>
      <c r="O807" s="8"/>
      <c r="P807" s="8"/>
      <c r="Q807" s="8"/>
      <c r="R807" s="8"/>
      <c r="S807" s="8"/>
      <c r="T807" s="8"/>
      <c r="U807" s="12"/>
      <c r="V807" s="12"/>
      <c r="W807" s="12"/>
      <c r="X807" s="12"/>
      <c r="Y807" s="12"/>
      <c r="Z807" s="12"/>
      <c r="AA807" s="12"/>
      <c r="AB807" s="12"/>
      <c r="AC807" s="12"/>
      <c r="AD807" s="12"/>
      <c r="AE807" s="12"/>
      <c r="AF807" s="12"/>
    </row>
    <row r="808" spans="1:32">
      <c r="A808" s="8"/>
      <c r="B808" s="8"/>
      <c r="C808" s="8"/>
      <c r="D808" s="8"/>
      <c r="E808" s="8"/>
      <c r="F808" s="8"/>
      <c r="G808" s="8"/>
      <c r="H808" s="8"/>
      <c r="I808" s="8"/>
      <c r="J808" s="8"/>
      <c r="K808" s="8"/>
      <c r="L808" s="8"/>
      <c r="M808" s="8"/>
      <c r="N808" s="8"/>
      <c r="O808" s="8"/>
      <c r="P808" s="8"/>
      <c r="Q808" s="8"/>
      <c r="R808" s="8"/>
      <c r="S808" s="8"/>
      <c r="T808" s="8"/>
      <c r="U808" s="12"/>
      <c r="V808" s="12"/>
      <c r="W808" s="12"/>
      <c r="X808" s="12"/>
      <c r="Y808" s="12"/>
      <c r="Z808" s="12"/>
      <c r="AA808" s="12"/>
      <c r="AB808" s="12"/>
      <c r="AC808" s="12"/>
      <c r="AD808" s="12"/>
      <c r="AE808" s="12"/>
      <c r="AF808" s="12"/>
    </row>
    <row r="809" spans="1:32">
      <c r="A809" s="8"/>
      <c r="B809" s="8"/>
      <c r="C809" s="8"/>
      <c r="D809" s="8"/>
      <c r="E809" s="8"/>
      <c r="F809" s="8"/>
      <c r="G809" s="8"/>
      <c r="H809" s="8"/>
      <c r="I809" s="8"/>
      <c r="J809" s="8"/>
      <c r="K809" s="8"/>
      <c r="L809" s="8"/>
      <c r="M809" s="8"/>
      <c r="N809" s="8"/>
      <c r="O809" s="8"/>
      <c r="P809" s="8"/>
      <c r="Q809" s="8"/>
      <c r="R809" s="8"/>
      <c r="S809" s="8"/>
      <c r="T809" s="8"/>
      <c r="U809" s="12"/>
      <c r="V809" s="12"/>
      <c r="W809" s="12"/>
      <c r="X809" s="12"/>
      <c r="Y809" s="12"/>
      <c r="Z809" s="12"/>
      <c r="AA809" s="12"/>
      <c r="AB809" s="12"/>
      <c r="AC809" s="12"/>
      <c r="AD809" s="12"/>
      <c r="AE809" s="12"/>
      <c r="AF809" s="12"/>
    </row>
    <row r="810" spans="1:32">
      <c r="A810" s="8"/>
      <c r="B810" s="8"/>
      <c r="C810" s="8"/>
      <c r="D810" s="8"/>
      <c r="E810" s="8"/>
      <c r="F810" s="8"/>
      <c r="G810" s="8"/>
      <c r="H810" s="8"/>
      <c r="I810" s="8"/>
      <c r="J810" s="8"/>
      <c r="K810" s="8"/>
      <c r="L810" s="8"/>
      <c r="M810" s="8"/>
      <c r="N810" s="8"/>
      <c r="O810" s="8"/>
      <c r="P810" s="8"/>
      <c r="Q810" s="8"/>
      <c r="R810" s="8"/>
      <c r="S810" s="8"/>
      <c r="T810" s="8"/>
      <c r="U810" s="12"/>
      <c r="V810" s="12"/>
      <c r="W810" s="12"/>
      <c r="X810" s="12"/>
      <c r="Y810" s="12"/>
      <c r="Z810" s="12"/>
      <c r="AA810" s="12"/>
      <c r="AB810" s="12"/>
      <c r="AC810" s="12"/>
      <c r="AD810" s="12"/>
      <c r="AE810" s="12"/>
      <c r="AF810" s="12"/>
    </row>
    <row r="811" spans="1:32">
      <c r="A811" s="8"/>
      <c r="B811" s="8"/>
      <c r="C811" s="8"/>
      <c r="D811" s="8"/>
      <c r="E811" s="8"/>
      <c r="F811" s="8"/>
      <c r="G811" s="8"/>
      <c r="H811" s="8"/>
      <c r="I811" s="8"/>
      <c r="J811" s="8"/>
      <c r="K811" s="8"/>
      <c r="L811" s="8"/>
      <c r="M811" s="8"/>
      <c r="N811" s="8"/>
      <c r="O811" s="8"/>
      <c r="P811" s="8"/>
      <c r="Q811" s="8"/>
      <c r="R811" s="8"/>
      <c r="S811" s="8"/>
      <c r="T811" s="8"/>
      <c r="U811" s="12"/>
      <c r="V811" s="12"/>
      <c r="W811" s="12"/>
      <c r="X811" s="12"/>
      <c r="Y811" s="12"/>
      <c r="Z811" s="12"/>
      <c r="AA811" s="12"/>
      <c r="AB811" s="12"/>
      <c r="AC811" s="12"/>
      <c r="AD811" s="12"/>
      <c r="AE811" s="12"/>
      <c r="AF811" s="12"/>
    </row>
    <row r="812" spans="1:32">
      <c r="A812" s="8"/>
      <c r="B812" s="8"/>
      <c r="C812" s="8"/>
      <c r="D812" s="8"/>
      <c r="E812" s="8"/>
      <c r="F812" s="8"/>
      <c r="G812" s="8"/>
      <c r="H812" s="8"/>
      <c r="I812" s="8"/>
      <c r="J812" s="8"/>
      <c r="K812" s="8"/>
      <c r="L812" s="8"/>
      <c r="M812" s="8"/>
      <c r="N812" s="8"/>
      <c r="O812" s="8"/>
      <c r="P812" s="8"/>
      <c r="Q812" s="8"/>
      <c r="R812" s="8"/>
      <c r="S812" s="8"/>
      <c r="T812" s="8"/>
      <c r="U812" s="12"/>
      <c r="V812" s="12"/>
      <c r="W812" s="12"/>
      <c r="X812" s="12"/>
      <c r="Y812" s="12"/>
      <c r="Z812" s="12"/>
      <c r="AA812" s="12"/>
      <c r="AB812" s="12"/>
      <c r="AC812" s="12"/>
      <c r="AD812" s="12"/>
      <c r="AE812" s="12"/>
      <c r="AF812" s="12"/>
    </row>
    <row r="813" spans="1:32">
      <c r="A813" s="8"/>
      <c r="B813" s="8"/>
      <c r="C813" s="8"/>
      <c r="D813" s="8"/>
      <c r="E813" s="8"/>
      <c r="F813" s="8"/>
      <c r="G813" s="8"/>
      <c r="H813" s="8"/>
      <c r="I813" s="8"/>
      <c r="J813" s="8"/>
      <c r="K813" s="8"/>
      <c r="L813" s="8"/>
      <c r="M813" s="8"/>
      <c r="N813" s="8"/>
      <c r="O813" s="8"/>
      <c r="P813" s="8"/>
      <c r="Q813" s="8"/>
      <c r="R813" s="8"/>
      <c r="S813" s="8"/>
      <c r="T813" s="8"/>
      <c r="U813" s="12"/>
      <c r="V813" s="12"/>
      <c r="W813" s="12"/>
      <c r="X813" s="12"/>
      <c r="Y813" s="12"/>
      <c r="Z813" s="12"/>
      <c r="AA813" s="12"/>
      <c r="AB813" s="12"/>
      <c r="AC813" s="12"/>
      <c r="AD813" s="12"/>
      <c r="AE813" s="12"/>
      <c r="AF813" s="12"/>
    </row>
    <row r="814" spans="1:32">
      <c r="A814" s="8"/>
      <c r="B814" s="8"/>
      <c r="C814" s="8"/>
      <c r="D814" s="8"/>
      <c r="E814" s="8"/>
      <c r="F814" s="8"/>
      <c r="G814" s="8"/>
      <c r="H814" s="8"/>
      <c r="I814" s="8"/>
      <c r="J814" s="8"/>
      <c r="K814" s="8"/>
      <c r="L814" s="8"/>
      <c r="M814" s="8"/>
      <c r="N814" s="8"/>
      <c r="O814" s="8"/>
      <c r="P814" s="8"/>
      <c r="Q814" s="8"/>
      <c r="R814" s="8"/>
      <c r="S814" s="8"/>
      <c r="T814" s="8"/>
      <c r="U814" s="12"/>
      <c r="V814" s="12"/>
      <c r="W814" s="12"/>
      <c r="X814" s="12"/>
      <c r="Y814" s="12"/>
      <c r="Z814" s="12"/>
      <c r="AA814" s="12"/>
      <c r="AB814" s="12"/>
      <c r="AC814" s="12"/>
      <c r="AD814" s="12"/>
      <c r="AE814" s="12"/>
      <c r="AF814" s="12"/>
    </row>
    <row r="815" spans="1:32">
      <c r="A815" s="8"/>
      <c r="B815" s="8"/>
      <c r="C815" s="8"/>
      <c r="D815" s="8"/>
      <c r="E815" s="8"/>
      <c r="F815" s="8"/>
      <c r="G815" s="8"/>
      <c r="H815" s="8"/>
      <c r="I815" s="8"/>
      <c r="J815" s="8"/>
      <c r="K815" s="8"/>
      <c r="L815" s="8"/>
      <c r="M815" s="8"/>
      <c r="N815" s="8"/>
      <c r="O815" s="8"/>
      <c r="P815" s="8"/>
      <c r="Q815" s="8"/>
      <c r="R815" s="8"/>
      <c r="S815" s="8"/>
      <c r="T815" s="8"/>
      <c r="U815" s="12"/>
      <c r="V815" s="12"/>
      <c r="W815" s="12"/>
      <c r="X815" s="12"/>
      <c r="Y815" s="12"/>
      <c r="Z815" s="12"/>
      <c r="AA815" s="12"/>
      <c r="AB815" s="12"/>
      <c r="AC815" s="12"/>
      <c r="AD815" s="12"/>
      <c r="AE815" s="12"/>
      <c r="AF815" s="12"/>
    </row>
    <row r="816" spans="1:32">
      <c r="A816" s="8"/>
      <c r="B816" s="8"/>
      <c r="C816" s="8"/>
      <c r="D816" s="8"/>
      <c r="E816" s="8"/>
      <c r="F816" s="8"/>
      <c r="G816" s="8"/>
      <c r="H816" s="8"/>
      <c r="I816" s="8"/>
      <c r="J816" s="8"/>
      <c r="K816" s="8"/>
      <c r="L816" s="8"/>
      <c r="M816" s="8"/>
      <c r="N816" s="8"/>
      <c r="O816" s="8"/>
      <c r="P816" s="8"/>
      <c r="Q816" s="8"/>
      <c r="R816" s="8"/>
      <c r="S816" s="8"/>
      <c r="T816" s="8"/>
      <c r="U816" s="12"/>
      <c r="V816" s="12"/>
      <c r="W816" s="12"/>
      <c r="X816" s="12"/>
      <c r="Y816" s="12"/>
      <c r="Z816" s="12"/>
      <c r="AA816" s="12"/>
      <c r="AB816" s="12"/>
      <c r="AC816" s="12"/>
      <c r="AD816" s="12"/>
      <c r="AE816" s="12"/>
      <c r="AF816" s="12"/>
    </row>
    <row r="817" spans="1:32">
      <c r="A817" s="8"/>
      <c r="B817" s="8"/>
      <c r="C817" s="8"/>
      <c r="D817" s="8"/>
      <c r="E817" s="8"/>
      <c r="F817" s="8"/>
      <c r="G817" s="8"/>
      <c r="H817" s="8"/>
      <c r="I817" s="8"/>
      <c r="J817" s="8"/>
      <c r="K817" s="8"/>
      <c r="L817" s="8"/>
      <c r="M817" s="8"/>
      <c r="N817" s="8"/>
      <c r="O817" s="8"/>
      <c r="P817" s="8"/>
      <c r="Q817" s="8"/>
      <c r="R817" s="8"/>
      <c r="S817" s="8"/>
      <c r="T817" s="8"/>
      <c r="U817" s="12"/>
      <c r="V817" s="12"/>
      <c r="W817" s="12"/>
      <c r="X817" s="12"/>
      <c r="Y817" s="12"/>
      <c r="Z817" s="12"/>
      <c r="AA817" s="12"/>
      <c r="AB817" s="12"/>
      <c r="AC817" s="12"/>
      <c r="AD817" s="12"/>
      <c r="AE817" s="12"/>
      <c r="AF817" s="12"/>
    </row>
    <row r="818" spans="1:32">
      <c r="A818" s="8"/>
      <c r="B818" s="8"/>
      <c r="C818" s="8"/>
      <c r="D818" s="8"/>
      <c r="E818" s="8"/>
      <c r="F818" s="8"/>
      <c r="G818" s="8"/>
      <c r="H818" s="8"/>
      <c r="I818" s="8"/>
      <c r="J818" s="8"/>
      <c r="K818" s="8"/>
      <c r="L818" s="8"/>
      <c r="M818" s="8"/>
      <c r="N818" s="8"/>
      <c r="O818" s="8"/>
      <c r="P818" s="8"/>
      <c r="Q818" s="8"/>
      <c r="R818" s="8"/>
      <c r="S818" s="8"/>
      <c r="T818" s="8"/>
      <c r="U818" s="12"/>
      <c r="V818" s="12"/>
      <c r="W818" s="12"/>
      <c r="X818" s="12"/>
      <c r="Y818" s="12"/>
      <c r="Z818" s="12"/>
      <c r="AA818" s="12"/>
      <c r="AB818" s="12"/>
      <c r="AC818" s="12"/>
      <c r="AD818" s="12"/>
      <c r="AE818" s="12"/>
      <c r="AF818" s="12"/>
    </row>
    <row r="819" spans="1:32">
      <c r="A819" s="8"/>
      <c r="B819" s="8"/>
      <c r="C819" s="8"/>
      <c r="D819" s="8"/>
      <c r="E819" s="8"/>
      <c r="F819" s="8"/>
      <c r="G819" s="8"/>
      <c r="H819" s="8"/>
      <c r="I819" s="8"/>
      <c r="J819" s="8"/>
      <c r="K819" s="8"/>
      <c r="L819" s="8"/>
      <c r="M819" s="8"/>
      <c r="N819" s="8"/>
      <c r="O819" s="8"/>
      <c r="P819" s="8"/>
      <c r="Q819" s="8"/>
      <c r="R819" s="8"/>
      <c r="S819" s="8"/>
      <c r="T819" s="8"/>
      <c r="U819" s="12"/>
      <c r="V819" s="12"/>
      <c r="W819" s="12"/>
      <c r="X819" s="12"/>
      <c r="Y819" s="12"/>
      <c r="Z819" s="12"/>
      <c r="AA819" s="12"/>
      <c r="AB819" s="12"/>
      <c r="AC819" s="12"/>
      <c r="AD819" s="12"/>
      <c r="AE819" s="12"/>
      <c r="AF819" s="12"/>
    </row>
    <row r="820" spans="1:32">
      <c r="A820" s="8"/>
      <c r="B820" s="8"/>
      <c r="C820" s="8"/>
      <c r="D820" s="8"/>
      <c r="E820" s="8"/>
      <c r="F820" s="8"/>
      <c r="G820" s="8"/>
      <c r="H820" s="8"/>
      <c r="I820" s="8"/>
      <c r="J820" s="8"/>
      <c r="K820" s="8"/>
      <c r="L820" s="8"/>
      <c r="M820" s="8"/>
      <c r="N820" s="8"/>
      <c r="O820" s="8"/>
      <c r="P820" s="8"/>
      <c r="Q820" s="8"/>
      <c r="R820" s="8"/>
      <c r="S820" s="8"/>
      <c r="T820" s="8"/>
      <c r="U820" s="12"/>
      <c r="V820" s="12"/>
      <c r="W820" s="12"/>
      <c r="X820" s="12"/>
      <c r="Y820" s="12"/>
      <c r="Z820" s="12"/>
      <c r="AA820" s="12"/>
      <c r="AB820" s="12"/>
      <c r="AC820" s="12"/>
      <c r="AD820" s="12"/>
      <c r="AE820" s="12"/>
      <c r="AF820" s="12"/>
    </row>
    <row r="821" spans="1:32">
      <c r="A821" s="8"/>
      <c r="B821" s="8"/>
      <c r="C821" s="8"/>
      <c r="D821" s="8"/>
      <c r="E821" s="8"/>
      <c r="F821" s="8"/>
      <c r="G821" s="8"/>
      <c r="H821" s="8"/>
      <c r="I821" s="8"/>
      <c r="J821" s="8"/>
      <c r="K821" s="8"/>
      <c r="L821" s="8"/>
      <c r="M821" s="8"/>
      <c r="N821" s="8"/>
      <c r="O821" s="8"/>
      <c r="P821" s="8"/>
      <c r="Q821" s="8"/>
      <c r="R821" s="8"/>
      <c r="S821" s="8"/>
      <c r="T821" s="8"/>
      <c r="U821" s="12"/>
      <c r="V821" s="12"/>
      <c r="W821" s="12"/>
      <c r="X821" s="12"/>
      <c r="Y821" s="12"/>
      <c r="Z821" s="12"/>
      <c r="AA821" s="12"/>
      <c r="AB821" s="12"/>
      <c r="AC821" s="12"/>
      <c r="AD821" s="12"/>
      <c r="AE821" s="12"/>
      <c r="AF821" s="12"/>
    </row>
    <row r="822" spans="1:32">
      <c r="A822" s="8"/>
      <c r="B822" s="8"/>
      <c r="C822" s="8"/>
      <c r="D822" s="8"/>
      <c r="E822" s="8"/>
      <c r="F822" s="8"/>
      <c r="G822" s="8"/>
      <c r="H822" s="8"/>
      <c r="I822" s="8"/>
      <c r="J822" s="8"/>
      <c r="K822" s="8"/>
      <c r="L822" s="8"/>
      <c r="M822" s="8"/>
      <c r="N822" s="8"/>
      <c r="O822" s="8"/>
      <c r="P822" s="8"/>
      <c r="Q822" s="8"/>
      <c r="R822" s="8"/>
      <c r="S822" s="8"/>
      <c r="T822" s="8"/>
      <c r="U822" s="12"/>
      <c r="V822" s="12"/>
      <c r="W822" s="12"/>
      <c r="X822" s="12"/>
      <c r="Y822" s="12"/>
      <c r="Z822" s="12"/>
      <c r="AA822" s="12"/>
      <c r="AB822" s="12"/>
      <c r="AC822" s="12"/>
      <c r="AD822" s="12"/>
      <c r="AE822" s="12"/>
      <c r="AF822" s="12"/>
    </row>
    <row r="823" spans="1:32">
      <c r="A823" s="8"/>
      <c r="B823" s="8"/>
      <c r="C823" s="8"/>
      <c r="D823" s="8"/>
      <c r="E823" s="8"/>
      <c r="F823" s="8"/>
      <c r="G823" s="8"/>
      <c r="H823" s="8"/>
      <c r="I823" s="8"/>
      <c r="J823" s="8"/>
      <c r="K823" s="8"/>
      <c r="L823" s="8"/>
      <c r="M823" s="8"/>
      <c r="N823" s="8"/>
      <c r="O823" s="8"/>
      <c r="P823" s="8"/>
      <c r="Q823" s="8"/>
      <c r="R823" s="8"/>
      <c r="S823" s="8"/>
      <c r="T823" s="8"/>
      <c r="U823" s="12"/>
      <c r="V823" s="12"/>
      <c r="W823" s="12"/>
      <c r="X823" s="12"/>
      <c r="Y823" s="12"/>
      <c r="Z823" s="12"/>
      <c r="AA823" s="12"/>
      <c r="AB823" s="12"/>
      <c r="AC823" s="12"/>
      <c r="AD823" s="12"/>
      <c r="AE823" s="12"/>
      <c r="AF823" s="12"/>
    </row>
    <row r="824" spans="1:32">
      <c r="A824" s="8"/>
      <c r="B824" s="8"/>
      <c r="C824" s="8"/>
      <c r="D824" s="8"/>
      <c r="E824" s="8"/>
      <c r="F824" s="8"/>
      <c r="G824" s="8"/>
      <c r="H824" s="8"/>
      <c r="I824" s="8"/>
      <c r="J824" s="8"/>
      <c r="K824" s="8"/>
      <c r="L824" s="8"/>
      <c r="M824" s="8"/>
      <c r="N824" s="8"/>
      <c r="O824" s="8"/>
      <c r="P824" s="8"/>
      <c r="Q824" s="8"/>
      <c r="R824" s="8"/>
      <c r="S824" s="8"/>
      <c r="T824" s="8"/>
      <c r="U824" s="12"/>
      <c r="V824" s="12"/>
      <c r="W824" s="12"/>
      <c r="X824" s="12"/>
      <c r="Y824" s="12"/>
      <c r="Z824" s="12"/>
      <c r="AA824" s="12"/>
      <c r="AB824" s="12"/>
      <c r="AC824" s="12"/>
      <c r="AD824" s="12"/>
      <c r="AE824" s="12"/>
      <c r="AF824" s="12"/>
    </row>
    <row r="825" spans="1:32">
      <c r="A825" s="8"/>
      <c r="B825" s="8"/>
      <c r="C825" s="8"/>
      <c r="D825" s="8"/>
      <c r="E825" s="8"/>
      <c r="F825" s="8"/>
      <c r="G825" s="8"/>
      <c r="H825" s="8"/>
      <c r="I825" s="8"/>
      <c r="J825" s="8"/>
      <c r="K825" s="8"/>
      <c r="L825" s="8"/>
      <c r="M825" s="8"/>
      <c r="N825" s="8"/>
      <c r="O825" s="8"/>
      <c r="P825" s="8"/>
      <c r="Q825" s="8"/>
      <c r="R825" s="8"/>
      <c r="S825" s="8"/>
      <c r="T825" s="8"/>
      <c r="U825" s="12"/>
      <c r="V825" s="12"/>
      <c r="W825" s="12"/>
      <c r="X825" s="12"/>
      <c r="Y825" s="12"/>
      <c r="Z825" s="12"/>
      <c r="AA825" s="12"/>
      <c r="AB825" s="12"/>
      <c r="AC825" s="12"/>
      <c r="AD825" s="12"/>
      <c r="AE825" s="12"/>
      <c r="AF825" s="12"/>
    </row>
    <row r="826" spans="1:32">
      <c r="A826" s="8"/>
      <c r="B826" s="8"/>
      <c r="C826" s="8"/>
      <c r="D826" s="8"/>
      <c r="E826" s="8"/>
      <c r="F826" s="8"/>
      <c r="G826" s="8"/>
      <c r="H826" s="8"/>
      <c r="I826" s="8"/>
      <c r="J826" s="8"/>
      <c r="K826" s="8"/>
      <c r="L826" s="8"/>
      <c r="M826" s="8"/>
      <c r="N826" s="8"/>
      <c r="O826" s="8"/>
      <c r="P826" s="8"/>
      <c r="Q826" s="8"/>
      <c r="R826" s="8"/>
      <c r="S826" s="8"/>
      <c r="T826" s="8"/>
      <c r="U826" s="12"/>
      <c r="V826" s="12"/>
      <c r="W826" s="12"/>
      <c r="X826" s="12"/>
      <c r="Y826" s="12"/>
      <c r="Z826" s="12"/>
      <c r="AA826" s="12"/>
      <c r="AB826" s="12"/>
      <c r="AC826" s="12"/>
      <c r="AD826" s="12"/>
      <c r="AE826" s="12"/>
      <c r="AF826" s="12"/>
    </row>
    <row r="827" spans="1:32">
      <c r="A827" s="8"/>
      <c r="B827" s="8"/>
      <c r="C827" s="8"/>
      <c r="D827" s="8"/>
      <c r="E827" s="8"/>
      <c r="F827" s="8"/>
      <c r="G827" s="8"/>
      <c r="H827" s="8"/>
      <c r="I827" s="8"/>
      <c r="J827" s="8"/>
      <c r="K827" s="8"/>
      <c r="L827" s="8"/>
      <c r="M827" s="8"/>
      <c r="N827" s="8"/>
      <c r="O827" s="8"/>
      <c r="P827" s="8"/>
      <c r="Q827" s="8"/>
      <c r="R827" s="8"/>
      <c r="S827" s="8"/>
      <c r="T827" s="8"/>
      <c r="U827" s="12"/>
      <c r="V827" s="12"/>
      <c r="W827" s="12"/>
      <c r="X827" s="12"/>
      <c r="Y827" s="12"/>
      <c r="Z827" s="12"/>
      <c r="AA827" s="12"/>
      <c r="AB827" s="12"/>
      <c r="AC827" s="12"/>
      <c r="AD827" s="12"/>
      <c r="AE827" s="12"/>
      <c r="AF827" s="12"/>
    </row>
    <row r="828" spans="1:32">
      <c r="A828" s="8"/>
      <c r="B828" s="8"/>
      <c r="C828" s="8"/>
      <c r="D828" s="8"/>
      <c r="E828" s="8"/>
      <c r="F828" s="8"/>
      <c r="G828" s="8"/>
      <c r="H828" s="8"/>
      <c r="I828" s="8"/>
      <c r="J828" s="8"/>
      <c r="K828" s="8"/>
      <c r="L828" s="8"/>
      <c r="M828" s="8"/>
      <c r="N828" s="8"/>
      <c r="O828" s="8"/>
      <c r="P828" s="8"/>
      <c r="Q828" s="8"/>
      <c r="R828" s="8"/>
      <c r="S828" s="8"/>
      <c r="T828" s="8"/>
      <c r="U828" s="12"/>
      <c r="V828" s="12"/>
      <c r="W828" s="12"/>
      <c r="X828" s="12"/>
      <c r="Y828" s="12"/>
      <c r="Z828" s="12"/>
      <c r="AA828" s="12"/>
      <c r="AB828" s="12"/>
      <c r="AC828" s="12"/>
      <c r="AD828" s="12"/>
      <c r="AE828" s="12"/>
      <c r="AF828" s="12"/>
    </row>
    <row r="829" spans="1:32">
      <c r="A829" s="8"/>
      <c r="B829" s="8"/>
      <c r="C829" s="8"/>
      <c r="D829" s="8"/>
      <c r="E829" s="8"/>
      <c r="F829" s="8"/>
      <c r="G829" s="8"/>
      <c r="H829" s="8"/>
      <c r="I829" s="8"/>
      <c r="J829" s="8"/>
      <c r="K829" s="8"/>
      <c r="L829" s="8"/>
      <c r="M829" s="8"/>
      <c r="N829" s="8"/>
      <c r="O829" s="8"/>
      <c r="P829" s="8"/>
      <c r="Q829" s="8"/>
      <c r="R829" s="8"/>
      <c r="S829" s="8"/>
      <c r="T829" s="8"/>
      <c r="U829" s="12"/>
      <c r="V829" s="12"/>
      <c r="W829" s="12"/>
      <c r="X829" s="12"/>
      <c r="Y829" s="12"/>
      <c r="Z829" s="12"/>
      <c r="AA829" s="12"/>
      <c r="AB829" s="12"/>
      <c r="AC829" s="12"/>
      <c r="AD829" s="12"/>
      <c r="AE829" s="12"/>
      <c r="AF829" s="12"/>
    </row>
    <row r="830" spans="1:32">
      <c r="A830" s="8"/>
      <c r="B830" s="8"/>
      <c r="C830" s="8"/>
      <c r="D830" s="8"/>
      <c r="E830" s="8"/>
      <c r="F830" s="8"/>
      <c r="G830" s="8"/>
      <c r="H830" s="8"/>
      <c r="I830" s="8"/>
      <c r="J830" s="8"/>
      <c r="K830" s="8"/>
      <c r="L830" s="8"/>
      <c r="M830" s="8"/>
      <c r="N830" s="8"/>
      <c r="O830" s="8"/>
      <c r="P830" s="8"/>
      <c r="Q830" s="8"/>
      <c r="R830" s="8"/>
      <c r="S830" s="8"/>
      <c r="T830" s="8"/>
      <c r="U830" s="12"/>
      <c r="V830" s="12"/>
      <c r="W830" s="12"/>
      <c r="X830" s="12"/>
      <c r="Y830" s="12"/>
      <c r="Z830" s="12"/>
      <c r="AA830" s="12"/>
      <c r="AB830" s="12"/>
      <c r="AC830" s="12"/>
      <c r="AD830" s="12"/>
      <c r="AE830" s="12"/>
      <c r="AF830" s="12"/>
    </row>
    <row r="831" spans="1:32">
      <c r="A831" s="8"/>
      <c r="B831" s="8"/>
      <c r="C831" s="8"/>
      <c r="D831" s="8"/>
      <c r="E831" s="8"/>
      <c r="F831" s="8"/>
      <c r="G831" s="8"/>
      <c r="H831" s="8"/>
      <c r="I831" s="8"/>
      <c r="J831" s="8"/>
      <c r="K831" s="8"/>
      <c r="L831" s="8"/>
      <c r="M831" s="8"/>
      <c r="N831" s="8"/>
      <c r="O831" s="8"/>
      <c r="P831" s="8"/>
      <c r="Q831" s="8"/>
      <c r="R831" s="8"/>
      <c r="S831" s="8"/>
      <c r="T831" s="8"/>
      <c r="U831" s="12"/>
      <c r="V831" s="12"/>
      <c r="W831" s="12"/>
      <c r="X831" s="12"/>
      <c r="Y831" s="12"/>
      <c r="Z831" s="12"/>
      <c r="AA831" s="12"/>
      <c r="AB831" s="12"/>
      <c r="AC831" s="12"/>
      <c r="AD831" s="12"/>
      <c r="AE831" s="12"/>
      <c r="AF831" s="12"/>
    </row>
    <row r="832" spans="1:32">
      <c r="A832" s="8"/>
      <c r="B832" s="8"/>
      <c r="C832" s="8"/>
      <c r="D832" s="8"/>
      <c r="E832" s="8"/>
      <c r="F832" s="8"/>
      <c r="G832" s="8"/>
      <c r="H832" s="8"/>
      <c r="I832" s="8"/>
      <c r="J832" s="8"/>
      <c r="K832" s="8"/>
      <c r="L832" s="8"/>
      <c r="M832" s="8"/>
      <c r="N832" s="8"/>
      <c r="O832" s="8"/>
      <c r="P832" s="8"/>
      <c r="Q832" s="8"/>
      <c r="R832" s="8"/>
      <c r="S832" s="8"/>
      <c r="T832" s="8"/>
      <c r="U832" s="12"/>
      <c r="V832" s="12"/>
      <c r="W832" s="12"/>
      <c r="X832" s="12"/>
      <c r="Y832" s="12"/>
      <c r="Z832" s="12"/>
      <c r="AA832" s="12"/>
      <c r="AB832" s="12"/>
      <c r="AC832" s="12"/>
      <c r="AD832" s="12"/>
      <c r="AE832" s="12"/>
      <c r="AF832" s="12"/>
    </row>
    <row r="833" spans="1:32">
      <c r="A833" s="8"/>
      <c r="B833" s="8"/>
      <c r="C833" s="8"/>
      <c r="D833" s="8"/>
      <c r="E833" s="8"/>
      <c r="F833" s="8"/>
      <c r="G833" s="8"/>
      <c r="H833" s="8"/>
      <c r="I833" s="8"/>
      <c r="J833" s="8"/>
      <c r="K833" s="8"/>
      <c r="L833" s="8"/>
      <c r="M833" s="8"/>
      <c r="N833" s="8"/>
      <c r="O833" s="8"/>
      <c r="P833" s="8"/>
      <c r="Q833" s="8"/>
      <c r="R833" s="8"/>
      <c r="S833" s="8"/>
      <c r="T833" s="8"/>
      <c r="U833" s="12"/>
      <c r="V833" s="12"/>
      <c r="W833" s="12"/>
      <c r="X833" s="12"/>
      <c r="Y833" s="12"/>
      <c r="Z833" s="12"/>
      <c r="AA833" s="12"/>
      <c r="AB833" s="12"/>
      <c r="AC833" s="12"/>
      <c r="AD833" s="12"/>
      <c r="AE833" s="12"/>
      <c r="AF833" s="12"/>
    </row>
    <row r="834" spans="1:32">
      <c r="A834" s="8"/>
      <c r="B834" s="8"/>
      <c r="C834" s="8"/>
      <c r="D834" s="8"/>
      <c r="E834" s="8"/>
      <c r="F834" s="8"/>
      <c r="G834" s="8"/>
      <c r="H834" s="8"/>
      <c r="I834" s="8"/>
      <c r="J834" s="8"/>
      <c r="K834" s="8"/>
      <c r="L834" s="8"/>
      <c r="M834" s="8"/>
      <c r="N834" s="8"/>
      <c r="O834" s="8"/>
      <c r="P834" s="8"/>
      <c r="Q834" s="8"/>
      <c r="R834" s="8"/>
      <c r="S834" s="8"/>
      <c r="T834" s="8"/>
      <c r="U834" s="12"/>
      <c r="V834" s="12"/>
      <c r="W834" s="12"/>
      <c r="X834" s="12"/>
      <c r="Y834" s="12"/>
      <c r="Z834" s="12"/>
      <c r="AA834" s="12"/>
      <c r="AB834" s="12"/>
      <c r="AC834" s="12"/>
      <c r="AD834" s="12"/>
      <c r="AE834" s="12"/>
      <c r="AF834" s="12"/>
    </row>
    <row r="835" spans="1:32">
      <c r="A835" s="8"/>
      <c r="B835" s="8"/>
      <c r="C835" s="8"/>
      <c r="D835" s="8"/>
      <c r="E835" s="8"/>
      <c r="F835" s="8"/>
      <c r="G835" s="8"/>
      <c r="H835" s="8"/>
      <c r="I835" s="8"/>
      <c r="J835" s="8"/>
      <c r="K835" s="8"/>
      <c r="L835" s="8"/>
      <c r="M835" s="8"/>
      <c r="N835" s="8"/>
      <c r="O835" s="8"/>
      <c r="P835" s="8"/>
      <c r="Q835" s="8"/>
      <c r="R835" s="8"/>
      <c r="S835" s="8"/>
      <c r="T835" s="8"/>
      <c r="U835" s="12"/>
      <c r="V835" s="12"/>
      <c r="W835" s="12"/>
      <c r="X835" s="12"/>
      <c r="Y835" s="12"/>
      <c r="Z835" s="12"/>
      <c r="AA835" s="12"/>
      <c r="AB835" s="12"/>
      <c r="AC835" s="12"/>
      <c r="AD835" s="12"/>
      <c r="AE835" s="12"/>
      <c r="AF835" s="12"/>
    </row>
    <row r="836" spans="1:32">
      <c r="A836" s="8"/>
      <c r="B836" s="8"/>
      <c r="C836" s="8"/>
      <c r="D836" s="8"/>
      <c r="E836" s="8"/>
      <c r="F836" s="8"/>
      <c r="G836" s="8"/>
      <c r="H836" s="8"/>
      <c r="I836" s="8"/>
      <c r="J836" s="8"/>
      <c r="K836" s="8"/>
      <c r="L836" s="8"/>
      <c r="M836" s="8"/>
      <c r="N836" s="8"/>
      <c r="O836" s="8"/>
      <c r="P836" s="8"/>
      <c r="Q836" s="8"/>
      <c r="R836" s="8"/>
      <c r="S836" s="8"/>
      <c r="T836" s="8"/>
      <c r="U836" s="12"/>
      <c r="V836" s="12"/>
      <c r="W836" s="12"/>
      <c r="X836" s="12"/>
      <c r="Y836" s="12"/>
      <c r="Z836" s="12"/>
      <c r="AA836" s="12"/>
      <c r="AB836" s="12"/>
      <c r="AC836" s="12"/>
      <c r="AD836" s="12"/>
      <c r="AE836" s="12"/>
      <c r="AF836" s="12"/>
    </row>
    <row r="837" spans="1:32">
      <c r="A837" s="8"/>
      <c r="B837" s="8"/>
      <c r="C837" s="8"/>
      <c r="D837" s="8"/>
      <c r="E837" s="8"/>
      <c r="F837" s="8"/>
      <c r="G837" s="8"/>
      <c r="H837" s="8"/>
      <c r="I837" s="8"/>
      <c r="J837" s="8"/>
      <c r="K837" s="8"/>
      <c r="L837" s="8"/>
      <c r="M837" s="8"/>
      <c r="N837" s="8"/>
      <c r="O837" s="8"/>
      <c r="P837" s="8"/>
      <c r="Q837" s="8"/>
      <c r="R837" s="8"/>
      <c r="S837" s="8"/>
      <c r="T837" s="8"/>
      <c r="U837" s="12"/>
      <c r="V837" s="12"/>
      <c r="W837" s="12"/>
      <c r="X837" s="12"/>
      <c r="Y837" s="12"/>
      <c r="Z837" s="12"/>
      <c r="AA837" s="12"/>
      <c r="AB837" s="12"/>
      <c r="AC837" s="12"/>
      <c r="AD837" s="12"/>
      <c r="AE837" s="12"/>
      <c r="AF837" s="12"/>
    </row>
    <row r="838" spans="1:32">
      <c r="A838" s="8"/>
      <c r="B838" s="8"/>
      <c r="C838" s="8"/>
      <c r="D838" s="8"/>
      <c r="E838" s="8"/>
      <c r="F838" s="8"/>
      <c r="G838" s="8"/>
      <c r="H838" s="8"/>
      <c r="I838" s="8"/>
      <c r="J838" s="8"/>
      <c r="K838" s="8"/>
      <c r="L838" s="8"/>
      <c r="M838" s="8"/>
      <c r="N838" s="8"/>
      <c r="O838" s="8"/>
      <c r="P838" s="8"/>
      <c r="Q838" s="8"/>
      <c r="R838" s="8"/>
      <c r="S838" s="8"/>
      <c r="T838" s="8"/>
      <c r="U838" s="12"/>
      <c r="V838" s="12"/>
      <c r="W838" s="12"/>
      <c r="X838" s="12"/>
      <c r="Y838" s="12"/>
      <c r="Z838" s="12"/>
      <c r="AA838" s="12"/>
      <c r="AB838" s="12"/>
      <c r="AC838" s="12"/>
      <c r="AD838" s="12"/>
      <c r="AE838" s="12"/>
      <c r="AF838" s="12"/>
    </row>
    <row r="839" spans="1:32">
      <c r="A839" s="8"/>
      <c r="B839" s="8"/>
      <c r="C839" s="8"/>
      <c r="D839" s="8"/>
      <c r="E839" s="8"/>
      <c r="F839" s="8"/>
      <c r="G839" s="8"/>
      <c r="H839" s="8"/>
      <c r="I839" s="8"/>
      <c r="J839" s="8"/>
      <c r="K839" s="8"/>
      <c r="L839" s="8"/>
      <c r="M839" s="8"/>
      <c r="N839" s="8"/>
      <c r="O839" s="8"/>
      <c r="P839" s="8"/>
      <c r="Q839" s="8"/>
      <c r="R839" s="8"/>
      <c r="S839" s="8"/>
      <c r="T839" s="8"/>
      <c r="U839" s="12"/>
      <c r="V839" s="12"/>
      <c r="W839" s="12"/>
      <c r="X839" s="12"/>
      <c r="Y839" s="12"/>
      <c r="Z839" s="12"/>
      <c r="AA839" s="12"/>
      <c r="AB839" s="12"/>
      <c r="AC839" s="12"/>
      <c r="AD839" s="12"/>
      <c r="AE839" s="12"/>
      <c r="AF839" s="12"/>
    </row>
    <row r="840" spans="1:32">
      <c r="A840" s="8"/>
      <c r="B840" s="8"/>
      <c r="C840" s="8"/>
      <c r="D840" s="8"/>
      <c r="E840" s="8"/>
      <c r="F840" s="8"/>
      <c r="G840" s="8"/>
      <c r="H840" s="8"/>
      <c r="I840" s="8"/>
      <c r="J840" s="8"/>
      <c r="K840" s="8"/>
      <c r="L840" s="8"/>
      <c r="M840" s="8"/>
      <c r="N840" s="8"/>
      <c r="O840" s="8"/>
      <c r="P840" s="8"/>
      <c r="Q840" s="8"/>
      <c r="R840" s="8"/>
      <c r="S840" s="8"/>
      <c r="T840" s="8"/>
      <c r="U840" s="12"/>
      <c r="V840" s="12"/>
      <c r="W840" s="12"/>
      <c r="X840" s="12"/>
      <c r="Y840" s="12"/>
      <c r="Z840" s="12"/>
      <c r="AA840" s="12"/>
      <c r="AB840" s="12"/>
      <c r="AC840" s="12"/>
      <c r="AD840" s="12"/>
      <c r="AE840" s="12"/>
      <c r="AF840" s="12"/>
    </row>
    <row r="841" spans="1:32">
      <c r="A841" s="8"/>
      <c r="B841" s="8"/>
      <c r="C841" s="8"/>
      <c r="D841" s="8"/>
      <c r="E841" s="8"/>
      <c r="F841" s="8"/>
      <c r="G841" s="8"/>
      <c r="H841" s="8"/>
      <c r="I841" s="8"/>
      <c r="J841" s="8"/>
      <c r="K841" s="8"/>
      <c r="L841" s="8"/>
      <c r="M841" s="8"/>
      <c r="N841" s="8"/>
      <c r="O841" s="8"/>
      <c r="P841" s="8"/>
      <c r="Q841" s="8"/>
      <c r="R841" s="8"/>
      <c r="S841" s="8"/>
      <c r="T841" s="8"/>
      <c r="U841" s="12"/>
      <c r="V841" s="12"/>
      <c r="W841" s="12"/>
      <c r="X841" s="12"/>
      <c r="Y841" s="12"/>
      <c r="Z841" s="12"/>
      <c r="AA841" s="12"/>
      <c r="AB841" s="12"/>
      <c r="AC841" s="12"/>
      <c r="AD841" s="12"/>
      <c r="AE841" s="12"/>
      <c r="AF841" s="12"/>
    </row>
    <row r="842" spans="1:32">
      <c r="A842" s="8"/>
      <c r="B842" s="8"/>
      <c r="C842" s="8"/>
      <c r="D842" s="8"/>
      <c r="E842" s="8"/>
      <c r="F842" s="8"/>
      <c r="G842" s="8"/>
      <c r="H842" s="8"/>
      <c r="I842" s="8"/>
      <c r="J842" s="8"/>
      <c r="K842" s="8"/>
      <c r="L842" s="8"/>
      <c r="M842" s="8"/>
      <c r="N842" s="8"/>
      <c r="O842" s="8"/>
      <c r="P842" s="8"/>
      <c r="Q842" s="8"/>
      <c r="R842" s="8"/>
      <c r="S842" s="8"/>
      <c r="T842" s="8"/>
      <c r="U842" s="12"/>
      <c r="V842" s="12"/>
      <c r="W842" s="12"/>
      <c r="X842" s="12"/>
      <c r="Y842" s="12"/>
      <c r="Z842" s="12"/>
      <c r="AA842" s="12"/>
      <c r="AB842" s="12"/>
      <c r="AC842" s="12"/>
      <c r="AD842" s="12"/>
      <c r="AE842" s="12"/>
      <c r="AF842" s="12"/>
    </row>
    <row r="843" spans="1:32">
      <c r="A843" s="8"/>
      <c r="B843" s="8"/>
      <c r="C843" s="8"/>
      <c r="D843" s="8"/>
      <c r="E843" s="8"/>
      <c r="F843" s="8"/>
      <c r="G843" s="8"/>
      <c r="H843" s="8"/>
      <c r="I843" s="8"/>
      <c r="J843" s="8"/>
      <c r="K843" s="8"/>
      <c r="L843" s="8"/>
      <c r="M843" s="8"/>
      <c r="N843" s="8"/>
      <c r="O843" s="8"/>
      <c r="P843" s="8"/>
      <c r="Q843" s="8"/>
      <c r="R843" s="8"/>
      <c r="S843" s="8"/>
      <c r="T843" s="8"/>
      <c r="U843" s="12"/>
      <c r="V843" s="12"/>
      <c r="W843" s="12"/>
      <c r="X843" s="12"/>
      <c r="Y843" s="12"/>
      <c r="Z843" s="12"/>
      <c r="AA843" s="12"/>
      <c r="AB843" s="12"/>
      <c r="AC843" s="12"/>
      <c r="AD843" s="12"/>
      <c r="AE843" s="12"/>
      <c r="AF843" s="12"/>
    </row>
    <row r="844" spans="1:32">
      <c r="A844" s="8"/>
      <c r="B844" s="8"/>
      <c r="C844" s="8"/>
      <c r="D844" s="8"/>
      <c r="E844" s="8"/>
      <c r="F844" s="8"/>
      <c r="G844" s="8"/>
      <c r="H844" s="8"/>
      <c r="I844" s="8"/>
      <c r="J844" s="8"/>
      <c r="K844" s="8"/>
      <c r="L844" s="8"/>
      <c r="M844" s="8"/>
      <c r="N844" s="8"/>
      <c r="O844" s="8"/>
      <c r="P844" s="8"/>
      <c r="Q844" s="8"/>
      <c r="R844" s="8"/>
      <c r="S844" s="8"/>
      <c r="T844" s="8"/>
      <c r="U844" s="12"/>
      <c r="V844" s="12"/>
      <c r="W844" s="12"/>
      <c r="X844" s="12"/>
      <c r="Y844" s="12"/>
      <c r="Z844" s="12"/>
      <c r="AA844" s="12"/>
      <c r="AB844" s="12"/>
      <c r="AC844" s="12"/>
      <c r="AD844" s="12"/>
      <c r="AE844" s="12"/>
      <c r="AF844" s="12"/>
    </row>
    <row r="845" spans="1:32">
      <c r="A845" s="8"/>
      <c r="B845" s="8"/>
      <c r="C845" s="8"/>
      <c r="D845" s="8"/>
      <c r="E845" s="8"/>
      <c r="F845" s="8"/>
      <c r="G845" s="8"/>
      <c r="H845" s="8"/>
      <c r="I845" s="8"/>
      <c r="J845" s="8"/>
      <c r="K845" s="8"/>
      <c r="L845" s="8"/>
      <c r="M845" s="8"/>
      <c r="N845" s="8"/>
      <c r="O845" s="8"/>
      <c r="P845" s="8"/>
      <c r="Q845" s="8"/>
      <c r="R845" s="8"/>
      <c r="S845" s="8"/>
      <c r="T845" s="8"/>
      <c r="U845" s="12"/>
      <c r="V845" s="12"/>
      <c r="W845" s="12"/>
      <c r="X845" s="12"/>
      <c r="Y845" s="12"/>
      <c r="Z845" s="12"/>
      <c r="AA845" s="12"/>
      <c r="AB845" s="12"/>
      <c r="AC845" s="12"/>
      <c r="AD845" s="12"/>
      <c r="AE845" s="12"/>
      <c r="AF845" s="12"/>
    </row>
    <row r="846" spans="1:32">
      <c r="A846" s="8"/>
      <c r="B846" s="8"/>
      <c r="C846" s="8"/>
      <c r="D846" s="8"/>
      <c r="E846" s="8"/>
      <c r="F846" s="8"/>
      <c r="G846" s="8"/>
      <c r="H846" s="8"/>
      <c r="I846" s="8"/>
      <c r="J846" s="8"/>
      <c r="K846" s="8"/>
      <c r="L846" s="8"/>
      <c r="M846" s="8"/>
      <c r="N846" s="8"/>
      <c r="O846" s="8"/>
      <c r="P846" s="8"/>
      <c r="Q846" s="8"/>
      <c r="R846" s="8"/>
      <c r="S846" s="8"/>
      <c r="T846" s="8"/>
      <c r="U846" s="12"/>
      <c r="V846" s="12"/>
      <c r="W846" s="12"/>
      <c r="X846" s="12"/>
      <c r="Y846" s="12"/>
      <c r="Z846" s="12"/>
      <c r="AA846" s="12"/>
      <c r="AB846" s="12"/>
      <c r="AC846" s="12"/>
      <c r="AD846" s="12"/>
      <c r="AE846" s="12"/>
      <c r="AF846" s="12"/>
    </row>
    <row r="847" spans="1:32">
      <c r="A847" s="8"/>
      <c r="B847" s="8"/>
      <c r="C847" s="8"/>
      <c r="D847" s="8"/>
      <c r="E847" s="8"/>
      <c r="F847" s="8"/>
      <c r="G847" s="8"/>
      <c r="H847" s="8"/>
      <c r="I847" s="8"/>
      <c r="J847" s="8"/>
      <c r="K847" s="8"/>
      <c r="L847" s="8"/>
      <c r="M847" s="8"/>
      <c r="N847" s="8"/>
      <c r="O847" s="8"/>
      <c r="P847" s="8"/>
      <c r="Q847" s="8"/>
      <c r="R847" s="8"/>
      <c r="S847" s="8"/>
      <c r="T847" s="8"/>
      <c r="U847" s="12"/>
      <c r="V847" s="12"/>
      <c r="W847" s="12"/>
      <c r="X847" s="12"/>
      <c r="Y847" s="12"/>
      <c r="Z847" s="12"/>
      <c r="AA847" s="12"/>
      <c r="AB847" s="12"/>
      <c r="AC847" s="12"/>
      <c r="AD847" s="12"/>
      <c r="AE847" s="12"/>
      <c r="AF847" s="12"/>
    </row>
    <row r="848" spans="1:32">
      <c r="A848" s="8"/>
      <c r="B848" s="8"/>
      <c r="C848" s="8"/>
      <c r="D848" s="8"/>
      <c r="E848" s="8"/>
      <c r="F848" s="8"/>
      <c r="G848" s="8"/>
      <c r="H848" s="8"/>
      <c r="I848" s="8"/>
      <c r="J848" s="8"/>
      <c r="K848" s="8"/>
      <c r="L848" s="8"/>
      <c r="M848" s="8"/>
      <c r="N848" s="8"/>
      <c r="O848" s="8"/>
      <c r="P848" s="8"/>
      <c r="Q848" s="8"/>
      <c r="R848" s="8"/>
      <c r="S848" s="8"/>
      <c r="T848" s="8"/>
      <c r="U848" s="12"/>
      <c r="V848" s="12"/>
      <c r="W848" s="12"/>
      <c r="X848" s="12"/>
      <c r="Y848" s="12"/>
      <c r="Z848" s="12"/>
      <c r="AA848" s="12"/>
      <c r="AB848" s="12"/>
      <c r="AC848" s="12"/>
      <c r="AD848" s="12"/>
      <c r="AE848" s="12"/>
      <c r="AF848" s="12"/>
    </row>
    <row r="849" spans="1:32">
      <c r="A849" s="8"/>
      <c r="B849" s="8"/>
      <c r="C849" s="8"/>
      <c r="D849" s="8"/>
      <c r="E849" s="8"/>
      <c r="F849" s="8"/>
      <c r="G849" s="8"/>
      <c r="H849" s="8"/>
      <c r="I849" s="8"/>
      <c r="J849" s="8"/>
      <c r="K849" s="8"/>
      <c r="L849" s="8"/>
      <c r="M849" s="8"/>
      <c r="N849" s="8"/>
      <c r="O849" s="8"/>
      <c r="P849" s="8"/>
      <c r="Q849" s="8"/>
      <c r="R849" s="8"/>
      <c r="S849" s="8"/>
      <c r="T849" s="8"/>
      <c r="U849" s="12"/>
      <c r="V849" s="12"/>
      <c r="W849" s="12"/>
      <c r="X849" s="12"/>
      <c r="Y849" s="12"/>
      <c r="Z849" s="12"/>
      <c r="AA849" s="12"/>
      <c r="AB849" s="12"/>
      <c r="AC849" s="12"/>
      <c r="AD849" s="12"/>
      <c r="AE849" s="12"/>
      <c r="AF849" s="12"/>
    </row>
    <row r="850" spans="1:32">
      <c r="A850" s="8"/>
      <c r="B850" s="8"/>
      <c r="C850" s="8"/>
      <c r="D850" s="8"/>
      <c r="E850" s="8"/>
      <c r="F850" s="8"/>
      <c r="G850" s="8"/>
      <c r="H850" s="8"/>
      <c r="I850" s="8"/>
      <c r="J850" s="8"/>
      <c r="K850" s="8"/>
      <c r="L850" s="8"/>
      <c r="M850" s="8"/>
      <c r="N850" s="8"/>
      <c r="O850" s="8"/>
      <c r="P850" s="8"/>
      <c r="Q850" s="8"/>
      <c r="R850" s="8"/>
      <c r="S850" s="8"/>
      <c r="T850" s="8"/>
      <c r="U850" s="12"/>
      <c r="V850" s="12"/>
      <c r="W850" s="12"/>
      <c r="X850" s="12"/>
      <c r="Y850" s="12"/>
      <c r="Z850" s="12"/>
      <c r="AA850" s="12"/>
      <c r="AB850" s="12"/>
      <c r="AC850" s="12"/>
      <c r="AD850" s="12"/>
      <c r="AE850" s="12"/>
      <c r="AF850" s="12"/>
    </row>
    <row r="851" spans="1:32">
      <c r="A851" s="8"/>
      <c r="B851" s="8"/>
      <c r="C851" s="8"/>
      <c r="D851" s="8"/>
      <c r="E851" s="8"/>
      <c r="F851" s="8"/>
      <c r="G851" s="8"/>
      <c r="H851" s="8"/>
      <c r="I851" s="8"/>
      <c r="J851" s="8"/>
      <c r="K851" s="8"/>
      <c r="L851" s="8"/>
      <c r="M851" s="8"/>
      <c r="N851" s="8"/>
      <c r="O851" s="8"/>
      <c r="P851" s="8"/>
      <c r="Q851" s="8"/>
      <c r="R851" s="8"/>
      <c r="S851" s="8"/>
      <c r="T851" s="8"/>
      <c r="U851" s="12"/>
      <c r="V851" s="12"/>
      <c r="W851" s="12"/>
      <c r="X851" s="12"/>
      <c r="Y851" s="12"/>
      <c r="Z851" s="12"/>
      <c r="AA851" s="12"/>
      <c r="AB851" s="12"/>
      <c r="AC851" s="12"/>
      <c r="AD851" s="12"/>
      <c r="AE851" s="12"/>
      <c r="AF851" s="12"/>
    </row>
    <row r="852" spans="1:32">
      <c r="A852" s="8"/>
      <c r="B852" s="8"/>
      <c r="C852" s="8"/>
      <c r="D852" s="8"/>
      <c r="E852" s="8"/>
      <c r="F852" s="8"/>
      <c r="G852" s="8"/>
      <c r="H852" s="8"/>
      <c r="I852" s="8"/>
      <c r="J852" s="8"/>
      <c r="K852" s="8"/>
      <c r="L852" s="8"/>
      <c r="M852" s="8"/>
      <c r="N852" s="8"/>
      <c r="O852" s="8"/>
      <c r="P852" s="8"/>
      <c r="Q852" s="8"/>
      <c r="R852" s="8"/>
      <c r="S852" s="8"/>
      <c r="T852" s="8"/>
      <c r="U852" s="12"/>
      <c r="V852" s="12"/>
      <c r="W852" s="12"/>
      <c r="X852" s="12"/>
      <c r="Y852" s="12"/>
      <c r="Z852" s="12"/>
      <c r="AA852" s="12"/>
      <c r="AB852" s="12"/>
      <c r="AC852" s="12"/>
      <c r="AD852" s="12"/>
      <c r="AE852" s="12"/>
      <c r="AF852" s="12"/>
    </row>
    <row r="853" spans="1:32">
      <c r="A853" s="8"/>
      <c r="B853" s="8"/>
      <c r="C853" s="8"/>
      <c r="D853" s="8"/>
      <c r="E853" s="8"/>
      <c r="F853" s="8"/>
      <c r="G853" s="8"/>
      <c r="H853" s="8"/>
      <c r="I853" s="8"/>
      <c r="J853" s="8"/>
      <c r="K853" s="8"/>
      <c r="L853" s="8"/>
      <c r="M853" s="8"/>
      <c r="N853" s="8"/>
      <c r="O853" s="8"/>
      <c r="P853" s="8"/>
      <c r="Q853" s="8"/>
      <c r="R853" s="8"/>
      <c r="S853" s="8"/>
      <c r="T853" s="8"/>
      <c r="U853" s="12"/>
      <c r="V853" s="12"/>
      <c r="W853" s="12"/>
      <c r="X853" s="12"/>
      <c r="Y853" s="12"/>
      <c r="Z853" s="12"/>
      <c r="AA853" s="12"/>
      <c r="AB853" s="12"/>
      <c r="AC853" s="12"/>
      <c r="AD853" s="12"/>
      <c r="AE853" s="12"/>
      <c r="AF853" s="12"/>
    </row>
    <row r="854" spans="1:32">
      <c r="A854" s="8"/>
      <c r="B854" s="8"/>
      <c r="C854" s="8"/>
      <c r="D854" s="8"/>
      <c r="E854" s="8"/>
      <c r="F854" s="8"/>
      <c r="G854" s="8"/>
      <c r="H854" s="8"/>
      <c r="I854" s="8"/>
      <c r="J854" s="8"/>
      <c r="K854" s="8"/>
      <c r="L854" s="8"/>
      <c r="M854" s="8"/>
      <c r="N854" s="8"/>
      <c r="O854" s="8"/>
      <c r="P854" s="8"/>
      <c r="Q854" s="8"/>
      <c r="R854" s="8"/>
      <c r="S854" s="8"/>
      <c r="T854" s="8"/>
      <c r="U854" s="12"/>
      <c r="V854" s="12"/>
      <c r="W854" s="12"/>
      <c r="X854" s="12"/>
      <c r="Y854" s="12"/>
      <c r="Z854" s="12"/>
      <c r="AA854" s="12"/>
      <c r="AB854" s="12"/>
      <c r="AC854" s="12"/>
      <c r="AD854" s="12"/>
      <c r="AE854" s="12"/>
      <c r="AF854" s="12"/>
    </row>
    <row r="855" spans="1:32">
      <c r="A855" s="8"/>
      <c r="B855" s="8"/>
      <c r="C855" s="8"/>
      <c r="D855" s="8"/>
      <c r="E855" s="8"/>
      <c r="F855" s="8"/>
      <c r="G855" s="8"/>
      <c r="H855" s="8"/>
      <c r="I855" s="8"/>
      <c r="J855" s="8"/>
      <c r="K855" s="8"/>
      <c r="L855" s="8"/>
      <c r="M855" s="8"/>
      <c r="N855" s="8"/>
      <c r="O855" s="8"/>
      <c r="P855" s="8"/>
      <c r="Q855" s="8"/>
      <c r="R855" s="8"/>
      <c r="S855" s="8"/>
      <c r="T855" s="8"/>
      <c r="U855" s="12"/>
      <c r="V855" s="12"/>
      <c r="W855" s="12"/>
      <c r="X855" s="12"/>
      <c r="Y855" s="12"/>
      <c r="Z855" s="12"/>
      <c r="AA855" s="12"/>
      <c r="AB855" s="12"/>
      <c r="AC855" s="12"/>
      <c r="AD855" s="12"/>
      <c r="AE855" s="12"/>
      <c r="AF855" s="12"/>
    </row>
    <row r="856" spans="1:32">
      <c r="A856" s="8"/>
      <c r="B856" s="8"/>
      <c r="C856" s="8"/>
      <c r="D856" s="8"/>
      <c r="E856" s="8"/>
      <c r="F856" s="8"/>
      <c r="G856" s="8"/>
      <c r="H856" s="8"/>
      <c r="I856" s="8"/>
      <c r="J856" s="8"/>
      <c r="K856" s="8"/>
      <c r="L856" s="8"/>
      <c r="M856" s="8"/>
      <c r="N856" s="8"/>
      <c r="O856" s="8"/>
      <c r="P856" s="8"/>
      <c r="Q856" s="8"/>
      <c r="R856" s="8"/>
      <c r="S856" s="8"/>
      <c r="T856" s="8"/>
      <c r="U856" s="12"/>
      <c r="V856" s="12"/>
      <c r="W856" s="12"/>
      <c r="X856" s="12"/>
      <c r="Y856" s="12"/>
      <c r="Z856" s="12"/>
      <c r="AA856" s="12"/>
      <c r="AB856" s="12"/>
      <c r="AC856" s="12"/>
      <c r="AD856" s="12"/>
      <c r="AE856" s="12"/>
      <c r="AF856" s="12"/>
    </row>
    <row r="857" spans="1:32">
      <c r="A857" s="8"/>
      <c r="B857" s="8"/>
      <c r="C857" s="8"/>
      <c r="D857" s="8"/>
      <c r="E857" s="8"/>
      <c r="F857" s="8"/>
      <c r="G857" s="8"/>
      <c r="H857" s="8"/>
      <c r="I857" s="8"/>
      <c r="J857" s="8"/>
      <c r="K857" s="8"/>
      <c r="L857" s="8"/>
      <c r="M857" s="8"/>
      <c r="N857" s="8"/>
      <c r="O857" s="8"/>
      <c r="P857" s="8"/>
      <c r="Q857" s="8"/>
      <c r="R857" s="8"/>
      <c r="S857" s="8"/>
      <c r="T857" s="8"/>
      <c r="U857" s="12"/>
      <c r="V857" s="12"/>
      <c r="W857" s="12"/>
      <c r="X857" s="12"/>
      <c r="Y857" s="12"/>
      <c r="Z857" s="12"/>
      <c r="AA857" s="12"/>
      <c r="AB857" s="12"/>
      <c r="AC857" s="12"/>
      <c r="AD857" s="12"/>
      <c r="AE857" s="12"/>
      <c r="AF857" s="12"/>
    </row>
    <row r="858" spans="1:32">
      <c r="A858" s="8"/>
      <c r="B858" s="8"/>
      <c r="C858" s="8"/>
      <c r="D858" s="8"/>
      <c r="E858" s="8"/>
      <c r="F858" s="8"/>
      <c r="G858" s="8"/>
      <c r="H858" s="8"/>
      <c r="I858" s="8"/>
      <c r="J858" s="8"/>
      <c r="K858" s="8"/>
      <c r="L858" s="8"/>
      <c r="M858" s="8"/>
      <c r="N858" s="8"/>
      <c r="O858" s="8"/>
      <c r="P858" s="8"/>
      <c r="Q858" s="8"/>
      <c r="R858" s="8"/>
      <c r="S858" s="8"/>
      <c r="T858" s="8"/>
      <c r="U858" s="12"/>
      <c r="V858" s="12"/>
      <c r="W858" s="12"/>
      <c r="X858" s="12"/>
      <c r="Y858" s="12"/>
      <c r="Z858" s="12"/>
      <c r="AA858" s="12"/>
      <c r="AB858" s="12"/>
      <c r="AC858" s="12"/>
      <c r="AD858" s="12"/>
      <c r="AE858" s="12"/>
      <c r="AF858" s="12"/>
    </row>
    <row r="859" spans="1:32">
      <c r="A859" s="8"/>
      <c r="B859" s="8"/>
      <c r="C859" s="8"/>
      <c r="D859" s="8"/>
      <c r="E859" s="8"/>
      <c r="F859" s="8"/>
      <c r="G859" s="8"/>
      <c r="H859" s="8"/>
      <c r="I859" s="8"/>
      <c r="J859" s="8"/>
      <c r="K859" s="8"/>
      <c r="L859" s="8"/>
      <c r="M859" s="8"/>
      <c r="N859" s="8"/>
      <c r="O859" s="8"/>
      <c r="P859" s="8"/>
      <c r="Q859" s="8"/>
      <c r="R859" s="8"/>
      <c r="S859" s="8"/>
      <c r="T859" s="8"/>
      <c r="U859" s="12"/>
      <c r="V859" s="12"/>
      <c r="W859" s="12"/>
      <c r="X859" s="12"/>
      <c r="Y859" s="12"/>
      <c r="Z859" s="12"/>
      <c r="AA859" s="12"/>
      <c r="AB859" s="12"/>
      <c r="AC859" s="12"/>
      <c r="AD859" s="12"/>
      <c r="AE859" s="12"/>
      <c r="AF859" s="12"/>
    </row>
    <row r="860" spans="1:32">
      <c r="A860" s="8"/>
      <c r="B860" s="8"/>
      <c r="C860" s="8"/>
      <c r="D860" s="8"/>
      <c r="E860" s="8"/>
      <c r="F860" s="8"/>
      <c r="G860" s="8"/>
      <c r="H860" s="8"/>
      <c r="I860" s="8"/>
      <c r="J860" s="8"/>
      <c r="K860" s="8"/>
      <c r="L860" s="8"/>
      <c r="M860" s="8"/>
      <c r="N860" s="8"/>
      <c r="O860" s="8"/>
      <c r="P860" s="8"/>
      <c r="Q860" s="8"/>
      <c r="R860" s="8"/>
      <c r="S860" s="8"/>
      <c r="T860" s="8"/>
      <c r="U860" s="12"/>
      <c r="V860" s="12"/>
      <c r="W860" s="12"/>
      <c r="X860" s="12"/>
      <c r="Y860" s="12"/>
      <c r="Z860" s="12"/>
      <c r="AA860" s="12"/>
      <c r="AB860" s="12"/>
      <c r="AC860" s="12"/>
      <c r="AD860" s="12"/>
      <c r="AE860" s="12"/>
      <c r="AF860" s="12"/>
    </row>
    <row r="861" spans="1:32">
      <c r="A861" s="8"/>
      <c r="B861" s="8"/>
      <c r="C861" s="8"/>
      <c r="D861" s="8"/>
      <c r="E861" s="8"/>
      <c r="F861" s="8"/>
      <c r="G861" s="8"/>
      <c r="H861" s="8"/>
      <c r="I861" s="8"/>
      <c r="J861" s="8"/>
      <c r="K861" s="8"/>
      <c r="L861" s="8"/>
      <c r="M861" s="8"/>
      <c r="N861" s="8"/>
      <c r="O861" s="8"/>
      <c r="P861" s="8"/>
      <c r="Q861" s="8"/>
      <c r="R861" s="8"/>
      <c r="S861" s="8"/>
      <c r="T861" s="8"/>
      <c r="U861" s="12"/>
      <c r="V861" s="12"/>
      <c r="W861" s="12"/>
      <c r="X861" s="12"/>
      <c r="Y861" s="12"/>
      <c r="Z861" s="12"/>
      <c r="AA861" s="12"/>
      <c r="AB861" s="12"/>
      <c r="AC861" s="12"/>
      <c r="AD861" s="12"/>
      <c r="AE861" s="12"/>
      <c r="AF861" s="12"/>
    </row>
    <row r="862" spans="1:32">
      <c r="A862" s="8"/>
      <c r="B862" s="8"/>
      <c r="C862" s="8"/>
      <c r="D862" s="8"/>
      <c r="E862" s="8"/>
      <c r="F862" s="8"/>
      <c r="G862" s="8"/>
      <c r="H862" s="8"/>
      <c r="I862" s="8"/>
      <c r="J862" s="8"/>
      <c r="K862" s="8"/>
      <c r="L862" s="8"/>
      <c r="M862" s="8"/>
      <c r="N862" s="8"/>
      <c r="O862" s="8"/>
      <c r="P862" s="8"/>
      <c r="Q862" s="8"/>
      <c r="R862" s="8"/>
      <c r="S862" s="8"/>
      <c r="T862" s="8"/>
      <c r="U862" s="12"/>
      <c r="V862" s="12"/>
      <c r="W862" s="12"/>
      <c r="X862" s="12"/>
      <c r="Y862" s="12"/>
      <c r="Z862" s="12"/>
      <c r="AA862" s="12"/>
      <c r="AB862" s="12"/>
      <c r="AC862" s="12"/>
      <c r="AD862" s="12"/>
      <c r="AE862" s="12"/>
      <c r="AF862" s="12"/>
    </row>
    <row r="863" spans="1:32">
      <c r="A863" s="8"/>
      <c r="B863" s="8"/>
      <c r="C863" s="8"/>
      <c r="D863" s="8"/>
      <c r="E863" s="8"/>
      <c r="F863" s="8"/>
      <c r="G863" s="8"/>
      <c r="H863" s="8"/>
      <c r="I863" s="8"/>
      <c r="J863" s="8"/>
      <c r="K863" s="8"/>
      <c r="L863" s="8"/>
      <c r="M863" s="8"/>
      <c r="N863" s="8"/>
      <c r="O863" s="8"/>
      <c r="P863" s="8"/>
      <c r="Q863" s="8"/>
      <c r="R863" s="8"/>
      <c r="S863" s="8"/>
      <c r="T863" s="8"/>
      <c r="U863" s="12"/>
      <c r="V863" s="12"/>
      <c r="W863" s="12"/>
      <c r="X863" s="12"/>
      <c r="Y863" s="12"/>
      <c r="Z863" s="12"/>
      <c r="AA863" s="12"/>
      <c r="AB863" s="12"/>
      <c r="AC863" s="12"/>
      <c r="AD863" s="12"/>
      <c r="AE863" s="12"/>
      <c r="AF863" s="12"/>
    </row>
    <row r="864" spans="1:32">
      <c r="A864" s="8"/>
      <c r="B864" s="8"/>
      <c r="C864" s="8"/>
      <c r="D864" s="8"/>
      <c r="E864" s="8"/>
      <c r="F864" s="8"/>
      <c r="G864" s="8"/>
      <c r="H864" s="8"/>
      <c r="I864" s="8"/>
      <c r="J864" s="8"/>
      <c r="K864" s="8"/>
      <c r="L864" s="8"/>
      <c r="M864" s="8"/>
      <c r="N864" s="8"/>
      <c r="O864" s="8"/>
      <c r="P864" s="8"/>
      <c r="Q864" s="8"/>
      <c r="R864" s="8"/>
      <c r="S864" s="8"/>
      <c r="T864" s="8"/>
      <c r="U864" s="12"/>
      <c r="V864" s="12"/>
      <c r="W864" s="12"/>
      <c r="X864" s="12"/>
      <c r="Y864" s="12"/>
      <c r="Z864" s="12"/>
      <c r="AA864" s="12"/>
      <c r="AB864" s="12"/>
      <c r="AC864" s="12"/>
      <c r="AD864" s="12"/>
      <c r="AE864" s="12"/>
      <c r="AF864" s="12"/>
    </row>
    <row r="865" spans="1:32">
      <c r="A865" s="8"/>
      <c r="B865" s="8"/>
      <c r="C865" s="8"/>
      <c r="D865" s="8"/>
      <c r="E865" s="8"/>
      <c r="F865" s="8"/>
      <c r="G865" s="8"/>
      <c r="H865" s="8"/>
      <c r="I865" s="8"/>
      <c r="J865" s="8"/>
      <c r="K865" s="8"/>
      <c r="L865" s="8"/>
      <c r="M865" s="8"/>
      <c r="N865" s="8"/>
      <c r="O865" s="8"/>
      <c r="P865" s="8"/>
      <c r="Q865" s="8"/>
      <c r="R865" s="8"/>
      <c r="S865" s="8"/>
      <c r="T865" s="8"/>
      <c r="U865" s="12"/>
      <c r="V865" s="12"/>
      <c r="W865" s="12"/>
      <c r="X865" s="12"/>
      <c r="Y865" s="12"/>
      <c r="Z865" s="12"/>
      <c r="AA865" s="12"/>
      <c r="AB865" s="12"/>
      <c r="AC865" s="12"/>
      <c r="AD865" s="12"/>
      <c r="AE865" s="12"/>
      <c r="AF865" s="12"/>
    </row>
    <row r="866" spans="1:32">
      <c r="A866" s="8"/>
      <c r="B866" s="8"/>
      <c r="C866" s="8"/>
      <c r="D866" s="8"/>
      <c r="E866" s="8"/>
      <c r="F866" s="8"/>
      <c r="G866" s="8"/>
      <c r="H866" s="8"/>
      <c r="I866" s="8"/>
      <c r="J866" s="8"/>
      <c r="K866" s="8"/>
      <c r="L866" s="8"/>
      <c r="M866" s="8"/>
      <c r="N866" s="8"/>
      <c r="O866" s="8"/>
      <c r="P866" s="8"/>
      <c r="Q866" s="8"/>
      <c r="R866" s="8"/>
      <c r="S866" s="8"/>
      <c r="T866" s="8"/>
      <c r="U866" s="12"/>
      <c r="V866" s="12"/>
      <c r="W866" s="12"/>
      <c r="X866" s="12"/>
      <c r="Y866" s="12"/>
      <c r="Z866" s="12"/>
      <c r="AA866" s="12"/>
      <c r="AB866" s="12"/>
      <c r="AC866" s="12"/>
      <c r="AD866" s="12"/>
      <c r="AE866" s="12"/>
      <c r="AF866" s="12"/>
    </row>
    <row r="867" spans="1:32">
      <c r="A867" s="8"/>
      <c r="B867" s="8"/>
      <c r="C867" s="8"/>
      <c r="D867" s="8"/>
      <c r="E867" s="8"/>
      <c r="F867" s="8"/>
      <c r="G867" s="8"/>
      <c r="H867" s="8"/>
      <c r="I867" s="8"/>
      <c r="J867" s="8"/>
      <c r="K867" s="8"/>
      <c r="L867" s="8"/>
      <c r="M867" s="8"/>
      <c r="N867" s="8"/>
      <c r="O867" s="8"/>
      <c r="P867" s="8"/>
      <c r="Q867" s="8"/>
      <c r="R867" s="8"/>
      <c r="S867" s="8"/>
      <c r="T867" s="8"/>
      <c r="U867" s="12"/>
      <c r="V867" s="12"/>
      <c r="W867" s="12"/>
      <c r="X867" s="12"/>
      <c r="Y867" s="12"/>
      <c r="Z867" s="12"/>
      <c r="AA867" s="12"/>
      <c r="AB867" s="12"/>
      <c r="AC867" s="12"/>
      <c r="AD867" s="12"/>
      <c r="AE867" s="12"/>
      <c r="AF867" s="12"/>
    </row>
    <row r="868" spans="1:32">
      <c r="A868" s="8"/>
      <c r="B868" s="8"/>
      <c r="C868" s="8"/>
      <c r="D868" s="8"/>
      <c r="E868" s="8"/>
      <c r="F868" s="8"/>
      <c r="G868" s="8"/>
      <c r="H868" s="8"/>
      <c r="I868" s="8"/>
      <c r="J868" s="8"/>
      <c r="K868" s="8"/>
      <c r="L868" s="8"/>
      <c r="M868" s="8"/>
      <c r="N868" s="8"/>
      <c r="O868" s="8"/>
      <c r="P868" s="8"/>
      <c r="Q868" s="8"/>
      <c r="R868" s="8"/>
      <c r="S868" s="8"/>
      <c r="T868" s="8"/>
      <c r="U868" s="12"/>
      <c r="V868" s="12"/>
      <c r="W868" s="12"/>
      <c r="X868" s="12"/>
      <c r="Y868" s="12"/>
      <c r="Z868" s="12"/>
      <c r="AA868" s="12"/>
      <c r="AB868" s="12"/>
      <c r="AC868" s="12"/>
      <c r="AD868" s="12"/>
      <c r="AE868" s="12"/>
      <c r="AF868" s="12"/>
    </row>
    <row r="869" spans="1:32">
      <c r="A869" s="8"/>
      <c r="B869" s="8"/>
      <c r="C869" s="8"/>
      <c r="D869" s="8"/>
      <c r="E869" s="8"/>
      <c r="F869" s="8"/>
      <c r="G869" s="8"/>
      <c r="H869" s="8"/>
      <c r="I869" s="8"/>
      <c r="J869" s="8"/>
      <c r="K869" s="8"/>
      <c r="L869" s="8"/>
      <c r="M869" s="8"/>
      <c r="N869" s="8"/>
      <c r="O869" s="8"/>
      <c r="P869" s="8"/>
      <c r="Q869" s="8"/>
      <c r="R869" s="8"/>
      <c r="S869" s="8"/>
      <c r="T869" s="8"/>
      <c r="U869" s="12"/>
      <c r="V869" s="12"/>
      <c r="W869" s="12"/>
      <c r="X869" s="12"/>
      <c r="Y869" s="12"/>
      <c r="Z869" s="12"/>
      <c r="AA869" s="12"/>
      <c r="AB869" s="12"/>
      <c r="AC869" s="12"/>
      <c r="AD869" s="12"/>
      <c r="AE869" s="12"/>
      <c r="AF869" s="12"/>
    </row>
    <row r="870" spans="1:32">
      <c r="A870" s="8"/>
      <c r="B870" s="8"/>
      <c r="C870" s="8"/>
      <c r="D870" s="8"/>
      <c r="E870" s="8"/>
      <c r="F870" s="8"/>
      <c r="G870" s="8"/>
      <c r="H870" s="8"/>
      <c r="I870" s="8"/>
      <c r="J870" s="8"/>
      <c r="K870" s="8"/>
      <c r="L870" s="8"/>
      <c r="M870" s="8"/>
      <c r="N870" s="8"/>
      <c r="O870" s="8"/>
      <c r="P870" s="8"/>
      <c r="Q870" s="8"/>
      <c r="R870" s="8"/>
      <c r="S870" s="8"/>
      <c r="T870" s="8"/>
      <c r="U870" s="12"/>
      <c r="V870" s="12"/>
      <c r="W870" s="12"/>
      <c r="X870" s="12"/>
      <c r="Y870" s="12"/>
      <c r="Z870" s="12"/>
      <c r="AA870" s="12"/>
      <c r="AB870" s="12"/>
      <c r="AC870" s="12"/>
      <c r="AD870" s="12"/>
      <c r="AE870" s="12"/>
      <c r="AF870" s="12"/>
    </row>
    <row r="871" spans="1:32">
      <c r="A871" s="8"/>
      <c r="B871" s="8"/>
      <c r="C871" s="8"/>
      <c r="D871" s="8"/>
      <c r="E871" s="8"/>
      <c r="F871" s="8"/>
      <c r="G871" s="8"/>
      <c r="H871" s="8"/>
      <c r="I871" s="8"/>
      <c r="J871" s="8"/>
      <c r="K871" s="8"/>
      <c r="L871" s="8"/>
      <c r="M871" s="8"/>
      <c r="N871" s="8"/>
      <c r="O871" s="8"/>
      <c r="P871" s="8"/>
      <c r="Q871" s="8"/>
      <c r="R871" s="8"/>
      <c r="S871" s="8"/>
      <c r="T871" s="8"/>
      <c r="U871" s="12"/>
      <c r="V871" s="12"/>
      <c r="W871" s="12"/>
      <c r="X871" s="12"/>
      <c r="Y871" s="12"/>
      <c r="Z871" s="12"/>
      <c r="AA871" s="12"/>
      <c r="AB871" s="12"/>
      <c r="AC871" s="12"/>
      <c r="AD871" s="12"/>
      <c r="AE871" s="12"/>
      <c r="AF871" s="12"/>
    </row>
    <row r="872" spans="1:32">
      <c r="A872" s="8"/>
      <c r="B872" s="8"/>
      <c r="C872" s="8"/>
      <c r="D872" s="8"/>
      <c r="E872" s="8"/>
      <c r="F872" s="8"/>
      <c r="G872" s="8"/>
      <c r="H872" s="8"/>
      <c r="I872" s="8"/>
      <c r="J872" s="8"/>
      <c r="K872" s="8"/>
      <c r="L872" s="8"/>
      <c r="M872" s="8"/>
      <c r="N872" s="8"/>
      <c r="O872" s="8"/>
      <c r="P872" s="8"/>
      <c r="Q872" s="8"/>
      <c r="R872" s="8"/>
      <c r="S872" s="8"/>
      <c r="T872" s="8"/>
      <c r="U872" s="12"/>
      <c r="V872" s="12"/>
      <c r="W872" s="12"/>
      <c r="X872" s="12"/>
      <c r="Y872" s="12"/>
      <c r="Z872" s="12"/>
      <c r="AA872" s="12"/>
      <c r="AB872" s="12"/>
      <c r="AC872" s="12"/>
      <c r="AD872" s="12"/>
      <c r="AE872" s="12"/>
      <c r="AF872" s="12"/>
    </row>
    <row r="873" spans="1:32">
      <c r="A873" s="8"/>
      <c r="B873" s="8"/>
      <c r="C873" s="8"/>
      <c r="D873" s="8"/>
      <c r="E873" s="8"/>
      <c r="F873" s="8"/>
      <c r="G873" s="8"/>
      <c r="H873" s="8"/>
      <c r="I873" s="8"/>
      <c r="J873" s="8"/>
      <c r="K873" s="8"/>
      <c r="L873" s="8"/>
      <c r="M873" s="8"/>
      <c r="N873" s="8"/>
      <c r="O873" s="8"/>
      <c r="P873" s="8"/>
      <c r="Q873" s="8"/>
      <c r="R873" s="8"/>
      <c r="S873" s="8"/>
      <c r="T873" s="8"/>
      <c r="U873" s="12"/>
      <c r="V873" s="12"/>
      <c r="W873" s="12"/>
      <c r="X873" s="12"/>
      <c r="Y873" s="12"/>
      <c r="Z873" s="12"/>
      <c r="AA873" s="12"/>
      <c r="AB873" s="12"/>
      <c r="AC873" s="12"/>
      <c r="AD873" s="12"/>
      <c r="AE873" s="12"/>
      <c r="AF873" s="12"/>
    </row>
    <row r="874" spans="1:32">
      <c r="A874" s="8"/>
      <c r="B874" s="8"/>
      <c r="C874" s="8"/>
      <c r="D874" s="8"/>
      <c r="E874" s="8"/>
      <c r="F874" s="8"/>
      <c r="G874" s="8"/>
      <c r="H874" s="8"/>
      <c r="I874" s="8"/>
      <c r="J874" s="8"/>
      <c r="K874" s="8"/>
      <c r="L874" s="8"/>
      <c r="M874" s="8"/>
      <c r="N874" s="8"/>
      <c r="O874" s="8"/>
      <c r="P874" s="8"/>
      <c r="Q874" s="8"/>
      <c r="R874" s="8"/>
      <c r="S874" s="8"/>
      <c r="T874" s="8"/>
      <c r="U874" s="12"/>
      <c r="V874" s="12"/>
      <c r="W874" s="12"/>
      <c r="X874" s="12"/>
      <c r="Y874" s="12"/>
      <c r="Z874" s="12"/>
      <c r="AA874" s="12"/>
      <c r="AB874" s="12"/>
      <c r="AC874" s="12"/>
      <c r="AD874" s="12"/>
      <c r="AE874" s="12"/>
      <c r="AF874" s="12"/>
    </row>
    <row r="875" spans="1:32">
      <c r="A875" s="8"/>
      <c r="B875" s="8"/>
      <c r="C875" s="8"/>
      <c r="D875" s="8"/>
      <c r="E875" s="8"/>
      <c r="F875" s="8"/>
      <c r="G875" s="8"/>
      <c r="H875" s="8"/>
      <c r="I875" s="8"/>
      <c r="J875" s="8"/>
      <c r="K875" s="8"/>
      <c r="L875" s="8"/>
      <c r="M875" s="8"/>
      <c r="N875" s="8"/>
      <c r="O875" s="8"/>
      <c r="P875" s="8"/>
      <c r="Q875" s="8"/>
      <c r="R875" s="8"/>
      <c r="S875" s="8"/>
      <c r="T875" s="8"/>
      <c r="U875" s="12"/>
      <c r="V875" s="12"/>
      <c r="W875" s="12"/>
      <c r="X875" s="12"/>
      <c r="Y875" s="12"/>
      <c r="Z875" s="12"/>
      <c r="AA875" s="12"/>
      <c r="AB875" s="12"/>
      <c r="AC875" s="12"/>
      <c r="AD875" s="12"/>
      <c r="AE875" s="12"/>
      <c r="AF875" s="12"/>
    </row>
    <row r="876" spans="1:32">
      <c r="A876" s="8"/>
      <c r="B876" s="8"/>
      <c r="C876" s="8"/>
      <c r="D876" s="8"/>
      <c r="E876" s="8"/>
      <c r="F876" s="8"/>
      <c r="G876" s="8"/>
      <c r="H876" s="8"/>
      <c r="I876" s="8"/>
      <c r="J876" s="8"/>
      <c r="K876" s="8"/>
      <c r="L876" s="8"/>
      <c r="M876" s="8"/>
      <c r="N876" s="8"/>
      <c r="O876" s="8"/>
      <c r="P876" s="8"/>
      <c r="Q876" s="8"/>
      <c r="R876" s="8"/>
      <c r="S876" s="8"/>
      <c r="T876" s="8"/>
      <c r="U876" s="12"/>
      <c r="V876" s="12"/>
      <c r="W876" s="12"/>
      <c r="X876" s="12"/>
      <c r="Y876" s="12"/>
      <c r="Z876" s="12"/>
      <c r="AA876" s="12"/>
      <c r="AB876" s="12"/>
      <c r="AC876" s="12"/>
      <c r="AD876" s="12"/>
      <c r="AE876" s="12"/>
      <c r="AF876" s="12"/>
    </row>
    <row r="877" spans="1:32">
      <c r="A877" s="8"/>
      <c r="B877" s="8"/>
      <c r="C877" s="8"/>
      <c r="D877" s="8"/>
      <c r="E877" s="8"/>
      <c r="F877" s="8"/>
      <c r="G877" s="8"/>
      <c r="H877" s="8"/>
      <c r="I877" s="8"/>
      <c r="J877" s="8"/>
      <c r="K877" s="8"/>
      <c r="L877" s="8"/>
      <c r="M877" s="8"/>
      <c r="N877" s="8"/>
      <c r="O877" s="8"/>
      <c r="P877" s="8"/>
      <c r="Q877" s="8"/>
      <c r="R877" s="8"/>
      <c r="S877" s="8"/>
      <c r="T877" s="8"/>
      <c r="U877" s="12"/>
      <c r="V877" s="12"/>
      <c r="W877" s="12"/>
      <c r="X877" s="12"/>
      <c r="Y877" s="12"/>
      <c r="Z877" s="12"/>
      <c r="AA877" s="12"/>
      <c r="AB877" s="12"/>
      <c r="AC877" s="12"/>
      <c r="AD877" s="12"/>
      <c r="AE877" s="12"/>
      <c r="AF877" s="12"/>
    </row>
    <row r="878" spans="1:32">
      <c r="A878" s="8"/>
      <c r="B878" s="8"/>
      <c r="C878" s="8"/>
      <c r="D878" s="8"/>
      <c r="E878" s="8"/>
      <c r="F878" s="8"/>
      <c r="G878" s="8"/>
      <c r="H878" s="8"/>
      <c r="I878" s="8"/>
      <c r="J878" s="8"/>
      <c r="K878" s="8"/>
      <c r="L878" s="8"/>
      <c r="M878" s="8"/>
      <c r="N878" s="8"/>
      <c r="O878" s="8"/>
      <c r="P878" s="8"/>
      <c r="Q878" s="8"/>
      <c r="R878" s="8"/>
      <c r="S878" s="8"/>
      <c r="T878" s="8"/>
      <c r="U878" s="12"/>
      <c r="V878" s="12"/>
      <c r="W878" s="12"/>
      <c r="X878" s="12"/>
      <c r="Y878" s="12"/>
      <c r="Z878" s="12"/>
      <c r="AA878" s="12"/>
      <c r="AB878" s="12"/>
      <c r="AC878" s="12"/>
      <c r="AD878" s="12"/>
      <c r="AE878" s="12"/>
      <c r="AF878" s="12"/>
    </row>
    <row r="879" spans="1:32">
      <c r="A879" s="8"/>
      <c r="B879" s="8"/>
      <c r="C879" s="8"/>
      <c r="D879" s="8"/>
      <c r="E879" s="8"/>
      <c r="F879" s="8"/>
      <c r="G879" s="8"/>
      <c r="H879" s="8"/>
      <c r="I879" s="8"/>
      <c r="J879" s="8"/>
      <c r="K879" s="8"/>
      <c r="L879" s="8"/>
      <c r="M879" s="8"/>
      <c r="N879" s="8"/>
      <c r="O879" s="8"/>
      <c r="P879" s="8"/>
      <c r="Q879" s="8"/>
      <c r="R879" s="8"/>
      <c r="S879" s="8"/>
      <c r="T879" s="8"/>
      <c r="U879" s="12"/>
      <c r="V879" s="12"/>
      <c r="W879" s="12"/>
      <c r="X879" s="12"/>
      <c r="Y879" s="12"/>
      <c r="Z879" s="12"/>
      <c r="AA879" s="12"/>
      <c r="AB879" s="12"/>
      <c r="AC879" s="12"/>
      <c r="AD879" s="12"/>
      <c r="AE879" s="12"/>
      <c r="AF879" s="12"/>
    </row>
    <row r="880" spans="1:32">
      <c r="A880" s="8"/>
      <c r="B880" s="8"/>
      <c r="C880" s="8"/>
      <c r="D880" s="8"/>
      <c r="E880" s="8"/>
      <c r="F880" s="8"/>
      <c r="G880" s="8"/>
      <c r="H880" s="8"/>
      <c r="I880" s="8"/>
      <c r="J880" s="8"/>
      <c r="K880" s="8"/>
      <c r="L880" s="8"/>
      <c r="M880" s="8"/>
      <c r="N880" s="8"/>
      <c r="O880" s="8"/>
      <c r="P880" s="8"/>
      <c r="Q880" s="8"/>
      <c r="R880" s="8"/>
      <c r="S880" s="8"/>
      <c r="T880" s="8"/>
      <c r="U880" s="12"/>
      <c r="V880" s="12"/>
      <c r="W880" s="12"/>
      <c r="X880" s="12"/>
      <c r="Y880" s="12"/>
      <c r="Z880" s="12"/>
      <c r="AA880" s="12"/>
      <c r="AB880" s="12"/>
      <c r="AC880" s="12"/>
      <c r="AD880" s="12"/>
      <c r="AE880" s="12"/>
      <c r="AF880" s="12"/>
    </row>
    <row r="881" spans="1:32">
      <c r="A881" s="8"/>
      <c r="B881" s="8"/>
      <c r="C881" s="8"/>
      <c r="D881" s="8"/>
      <c r="E881" s="8"/>
      <c r="F881" s="8"/>
      <c r="G881" s="8"/>
      <c r="H881" s="8"/>
      <c r="I881" s="8"/>
      <c r="J881" s="8"/>
      <c r="K881" s="8"/>
      <c r="L881" s="8"/>
      <c r="M881" s="8"/>
      <c r="N881" s="8"/>
      <c r="O881" s="8"/>
      <c r="P881" s="8"/>
      <c r="Q881" s="8"/>
      <c r="R881" s="8"/>
      <c r="S881" s="8"/>
      <c r="T881" s="8"/>
      <c r="U881" s="12"/>
      <c r="V881" s="12"/>
      <c r="W881" s="12"/>
      <c r="X881" s="12"/>
      <c r="Y881" s="12"/>
      <c r="Z881" s="12"/>
      <c r="AA881" s="12"/>
      <c r="AB881" s="12"/>
      <c r="AC881" s="12"/>
      <c r="AD881" s="12"/>
      <c r="AE881" s="12"/>
      <c r="AF881" s="12"/>
    </row>
    <row r="882" spans="1:32">
      <c r="A882" s="8"/>
      <c r="B882" s="8"/>
      <c r="C882" s="8"/>
      <c r="D882" s="8"/>
      <c r="E882" s="8"/>
      <c r="F882" s="8"/>
      <c r="G882" s="8"/>
      <c r="H882" s="8"/>
      <c r="I882" s="8"/>
      <c r="J882" s="8"/>
      <c r="K882" s="8"/>
      <c r="L882" s="8"/>
      <c r="M882" s="8"/>
      <c r="N882" s="8"/>
      <c r="O882" s="8"/>
      <c r="P882" s="8"/>
      <c r="Q882" s="8"/>
      <c r="R882" s="8"/>
      <c r="S882" s="8"/>
      <c r="T882" s="8"/>
      <c r="U882" s="12"/>
      <c r="V882" s="12"/>
      <c r="W882" s="12"/>
      <c r="X882" s="12"/>
      <c r="Y882" s="12"/>
      <c r="Z882" s="12"/>
      <c r="AA882" s="12"/>
      <c r="AB882" s="12"/>
      <c r="AC882" s="12"/>
      <c r="AD882" s="12"/>
      <c r="AE882" s="12"/>
      <c r="AF882" s="12"/>
    </row>
    <row r="883" spans="1:32">
      <c r="A883" s="8"/>
      <c r="B883" s="8"/>
      <c r="C883" s="8"/>
      <c r="D883" s="8"/>
      <c r="E883" s="8"/>
      <c r="F883" s="8"/>
      <c r="G883" s="8"/>
      <c r="H883" s="8"/>
      <c r="I883" s="8"/>
      <c r="J883" s="8"/>
      <c r="K883" s="8"/>
      <c r="L883" s="8"/>
      <c r="M883" s="8"/>
      <c r="N883" s="8"/>
      <c r="O883" s="8"/>
      <c r="P883" s="8"/>
      <c r="Q883" s="8"/>
      <c r="R883" s="8"/>
      <c r="S883" s="8"/>
      <c r="T883" s="8"/>
      <c r="U883" s="12"/>
      <c r="V883" s="12"/>
      <c r="W883" s="12"/>
      <c r="X883" s="12"/>
      <c r="Y883" s="12"/>
      <c r="Z883" s="12"/>
      <c r="AA883" s="12"/>
      <c r="AB883" s="12"/>
      <c r="AC883" s="12"/>
      <c r="AD883" s="12"/>
      <c r="AE883" s="12"/>
      <c r="AF883" s="12"/>
    </row>
    <row r="884" spans="1:32">
      <c r="A884" s="8"/>
      <c r="B884" s="8"/>
      <c r="C884" s="8"/>
      <c r="D884" s="8"/>
      <c r="E884" s="8"/>
      <c r="F884" s="8"/>
      <c r="G884" s="8"/>
      <c r="H884" s="8"/>
      <c r="I884" s="8"/>
      <c r="J884" s="8"/>
      <c r="K884" s="8"/>
      <c r="L884" s="8"/>
      <c r="M884" s="8"/>
      <c r="N884" s="8"/>
      <c r="O884" s="8"/>
      <c r="P884" s="8"/>
      <c r="Q884" s="8"/>
      <c r="R884" s="8"/>
      <c r="S884" s="8"/>
      <c r="T884" s="8"/>
      <c r="U884" s="12"/>
      <c r="V884" s="12"/>
      <c r="W884" s="12"/>
      <c r="X884" s="12"/>
      <c r="Y884" s="12"/>
      <c r="Z884" s="12"/>
      <c r="AA884" s="12"/>
      <c r="AB884" s="12"/>
      <c r="AC884" s="12"/>
      <c r="AD884" s="12"/>
      <c r="AE884" s="12"/>
      <c r="AF884" s="12"/>
    </row>
    <row r="885" spans="1:32">
      <c r="A885" s="8"/>
      <c r="B885" s="8"/>
      <c r="C885" s="8"/>
      <c r="D885" s="8"/>
      <c r="E885" s="8"/>
      <c r="F885" s="8"/>
      <c r="G885" s="8"/>
      <c r="H885" s="8"/>
      <c r="I885" s="8"/>
      <c r="J885" s="8"/>
      <c r="K885" s="8"/>
      <c r="L885" s="8"/>
      <c r="M885" s="8"/>
      <c r="N885" s="8"/>
      <c r="O885" s="8"/>
      <c r="P885" s="8"/>
      <c r="Q885" s="8"/>
      <c r="R885" s="8"/>
      <c r="S885" s="8"/>
      <c r="T885" s="8"/>
      <c r="U885" s="12"/>
      <c r="V885" s="12"/>
      <c r="W885" s="12"/>
      <c r="X885" s="12"/>
      <c r="Y885" s="12"/>
      <c r="Z885" s="12"/>
      <c r="AA885" s="12"/>
      <c r="AB885" s="12"/>
      <c r="AC885" s="12"/>
      <c r="AD885" s="12"/>
      <c r="AE885" s="12"/>
      <c r="AF885" s="12"/>
    </row>
    <row r="886" spans="1:32">
      <c r="A886" s="8"/>
      <c r="B886" s="8"/>
      <c r="C886" s="8"/>
      <c r="D886" s="8"/>
      <c r="E886" s="8"/>
      <c r="F886" s="8"/>
      <c r="G886" s="8"/>
      <c r="H886" s="8"/>
      <c r="I886" s="8"/>
      <c r="J886" s="8"/>
      <c r="K886" s="8"/>
      <c r="L886" s="8"/>
      <c r="M886" s="8"/>
      <c r="N886" s="8"/>
      <c r="O886" s="8"/>
      <c r="P886" s="8"/>
      <c r="Q886" s="8"/>
      <c r="R886" s="8"/>
      <c r="S886" s="8"/>
      <c r="T886" s="8"/>
      <c r="U886" s="12"/>
      <c r="V886" s="12"/>
      <c r="W886" s="12"/>
      <c r="X886" s="12"/>
      <c r="Y886" s="12"/>
      <c r="Z886" s="12"/>
      <c r="AA886" s="12"/>
      <c r="AB886" s="12"/>
      <c r="AC886" s="12"/>
      <c r="AD886" s="12"/>
      <c r="AE886" s="12"/>
      <c r="AF886" s="12"/>
    </row>
    <row r="887" spans="1:32">
      <c r="A887" s="8"/>
      <c r="B887" s="8"/>
      <c r="C887" s="8"/>
      <c r="D887" s="8"/>
      <c r="E887" s="8"/>
      <c r="F887" s="8"/>
      <c r="G887" s="8"/>
      <c r="H887" s="8"/>
      <c r="I887" s="8"/>
      <c r="J887" s="8"/>
      <c r="K887" s="8"/>
      <c r="L887" s="8"/>
      <c r="M887" s="8"/>
      <c r="N887" s="8"/>
      <c r="O887" s="8"/>
      <c r="P887" s="8"/>
      <c r="Q887" s="8"/>
      <c r="R887" s="8"/>
      <c r="S887" s="8"/>
      <c r="T887" s="8"/>
      <c r="U887" s="12"/>
      <c r="V887" s="12"/>
      <c r="W887" s="12"/>
      <c r="X887" s="12"/>
      <c r="Y887" s="12"/>
      <c r="Z887" s="12"/>
      <c r="AA887" s="12"/>
      <c r="AB887" s="12"/>
      <c r="AC887" s="12"/>
      <c r="AD887" s="12"/>
      <c r="AE887" s="12"/>
      <c r="AF887" s="12"/>
    </row>
    <row r="888" spans="1:32">
      <c r="A888" s="8"/>
      <c r="B888" s="8"/>
      <c r="C888" s="8"/>
      <c r="D888" s="8"/>
      <c r="E888" s="8"/>
      <c r="F888" s="8"/>
      <c r="G888" s="8"/>
      <c r="H888" s="8"/>
      <c r="I888" s="8"/>
      <c r="J888" s="8"/>
      <c r="K888" s="8"/>
      <c r="L888" s="8"/>
      <c r="M888" s="8"/>
      <c r="N888" s="8"/>
      <c r="O888" s="8"/>
      <c r="P888" s="8"/>
      <c r="Q888" s="8"/>
      <c r="R888" s="8"/>
      <c r="S888" s="8"/>
      <c r="T888" s="8"/>
      <c r="U888" s="12"/>
      <c r="V888" s="12"/>
      <c r="W888" s="12"/>
      <c r="X888" s="12"/>
      <c r="Y888" s="12"/>
      <c r="Z888" s="12"/>
      <c r="AA888" s="12"/>
      <c r="AB888" s="12"/>
      <c r="AC888" s="12"/>
      <c r="AD888" s="12"/>
      <c r="AE888" s="12"/>
      <c r="AF888" s="12"/>
    </row>
    <row r="889" spans="1:32">
      <c r="A889" s="8"/>
      <c r="B889" s="8"/>
      <c r="C889" s="8"/>
      <c r="D889" s="8"/>
      <c r="E889" s="8"/>
      <c r="F889" s="8"/>
      <c r="G889" s="8"/>
      <c r="H889" s="8"/>
      <c r="I889" s="8"/>
      <c r="J889" s="8"/>
      <c r="K889" s="8"/>
      <c r="L889" s="8"/>
      <c r="M889" s="8"/>
      <c r="N889" s="8"/>
      <c r="O889" s="8"/>
      <c r="P889" s="8"/>
      <c r="Q889" s="8"/>
      <c r="R889" s="8"/>
      <c r="S889" s="8"/>
      <c r="T889" s="8"/>
      <c r="U889" s="12"/>
      <c r="V889" s="12"/>
      <c r="W889" s="12"/>
      <c r="X889" s="12"/>
      <c r="Y889" s="12"/>
      <c r="Z889" s="12"/>
      <c r="AA889" s="12"/>
      <c r="AB889" s="12"/>
      <c r="AC889" s="12"/>
      <c r="AD889" s="12"/>
      <c r="AE889" s="12"/>
      <c r="AF889" s="12"/>
    </row>
    <row r="890" spans="1:32">
      <c r="A890" s="8"/>
      <c r="B890" s="8"/>
      <c r="C890" s="8"/>
      <c r="D890" s="8"/>
      <c r="E890" s="8"/>
      <c r="F890" s="8"/>
      <c r="G890" s="8"/>
      <c r="H890" s="8"/>
      <c r="I890" s="8"/>
      <c r="J890" s="8"/>
      <c r="K890" s="8"/>
      <c r="L890" s="8"/>
      <c r="M890" s="8"/>
      <c r="N890" s="8"/>
      <c r="O890" s="8"/>
      <c r="P890" s="8"/>
      <c r="Q890" s="8"/>
      <c r="R890" s="8"/>
      <c r="S890" s="8"/>
      <c r="T890" s="8"/>
      <c r="U890" s="12"/>
      <c r="V890" s="12"/>
      <c r="W890" s="12"/>
      <c r="X890" s="12"/>
      <c r="Y890" s="12"/>
      <c r="Z890" s="12"/>
      <c r="AA890" s="12"/>
      <c r="AB890" s="12"/>
      <c r="AC890" s="12"/>
      <c r="AD890" s="12"/>
      <c r="AE890" s="12"/>
      <c r="AF890" s="12"/>
    </row>
    <row r="891" spans="1:32">
      <c r="A891" s="8"/>
      <c r="B891" s="8"/>
      <c r="C891" s="8"/>
      <c r="D891" s="8"/>
      <c r="E891" s="8"/>
      <c r="F891" s="8"/>
      <c r="G891" s="8"/>
      <c r="H891" s="8"/>
      <c r="I891" s="8"/>
      <c r="J891" s="8"/>
      <c r="K891" s="8"/>
      <c r="L891" s="8"/>
      <c r="M891" s="8"/>
      <c r="N891" s="8"/>
      <c r="O891" s="8"/>
      <c r="P891" s="8"/>
      <c r="Q891" s="8"/>
      <c r="R891" s="8"/>
      <c r="S891" s="8"/>
      <c r="T891" s="8"/>
      <c r="U891" s="12"/>
      <c r="V891" s="12"/>
      <c r="W891" s="12"/>
      <c r="X891" s="12"/>
      <c r="Y891" s="12"/>
      <c r="Z891" s="12"/>
      <c r="AA891" s="12"/>
      <c r="AB891" s="12"/>
      <c r="AC891" s="12"/>
      <c r="AD891" s="12"/>
      <c r="AE891" s="12"/>
      <c r="AF891" s="12"/>
    </row>
    <row r="892" spans="1:32">
      <c r="A892" s="8"/>
      <c r="B892" s="8"/>
      <c r="C892" s="8"/>
      <c r="D892" s="8"/>
      <c r="E892" s="8"/>
      <c r="F892" s="8"/>
      <c r="G892" s="8"/>
      <c r="H892" s="8"/>
      <c r="I892" s="8"/>
      <c r="J892" s="8"/>
      <c r="K892" s="8"/>
      <c r="L892" s="8"/>
      <c r="M892" s="8"/>
      <c r="N892" s="8"/>
      <c r="O892" s="8"/>
      <c r="P892" s="8"/>
      <c r="Q892" s="8"/>
      <c r="R892" s="8"/>
      <c r="S892" s="8"/>
      <c r="T892" s="8"/>
      <c r="U892" s="12"/>
      <c r="V892" s="12"/>
      <c r="W892" s="12"/>
      <c r="X892" s="12"/>
      <c r="Y892" s="12"/>
      <c r="Z892" s="12"/>
      <c r="AA892" s="12"/>
      <c r="AB892" s="12"/>
      <c r="AC892" s="12"/>
      <c r="AD892" s="12"/>
      <c r="AE892" s="12"/>
      <c r="AF892" s="12"/>
    </row>
    <row r="893" spans="1:32">
      <c r="A893" s="8"/>
      <c r="B893" s="8"/>
      <c r="C893" s="8"/>
      <c r="D893" s="8"/>
      <c r="E893" s="8"/>
      <c r="F893" s="8"/>
      <c r="G893" s="8"/>
      <c r="H893" s="8"/>
      <c r="I893" s="8"/>
      <c r="J893" s="8"/>
      <c r="K893" s="8"/>
      <c r="L893" s="8"/>
      <c r="M893" s="8"/>
      <c r="N893" s="8"/>
      <c r="O893" s="8"/>
      <c r="P893" s="8"/>
      <c r="Q893" s="8"/>
      <c r="R893" s="8"/>
      <c r="S893" s="8"/>
      <c r="T893" s="8"/>
      <c r="U893" s="12"/>
      <c r="V893" s="12"/>
      <c r="W893" s="12"/>
      <c r="X893" s="12"/>
      <c r="Y893" s="12"/>
      <c r="Z893" s="12"/>
      <c r="AA893" s="12"/>
      <c r="AB893" s="12"/>
      <c r="AC893" s="12"/>
      <c r="AD893" s="12"/>
      <c r="AE893" s="12"/>
      <c r="AF893" s="12"/>
    </row>
    <row r="894" spans="1:32">
      <c r="A894" s="8"/>
      <c r="B894" s="8"/>
      <c r="C894" s="8"/>
      <c r="D894" s="8"/>
      <c r="E894" s="8"/>
      <c r="F894" s="8"/>
      <c r="G894" s="8"/>
      <c r="H894" s="8"/>
      <c r="I894" s="8"/>
      <c r="J894" s="8"/>
      <c r="K894" s="8"/>
      <c r="L894" s="8"/>
      <c r="M894" s="8"/>
      <c r="N894" s="8"/>
      <c r="O894" s="8"/>
      <c r="P894" s="8"/>
      <c r="Q894" s="8"/>
      <c r="R894" s="8"/>
      <c r="S894" s="8"/>
      <c r="T894" s="8"/>
      <c r="U894" s="12"/>
      <c r="V894" s="12"/>
      <c r="W894" s="12"/>
      <c r="X894" s="12"/>
      <c r="Y894" s="12"/>
      <c r="Z894" s="12"/>
      <c r="AA894" s="12"/>
      <c r="AB894" s="12"/>
      <c r="AC894" s="12"/>
      <c r="AD894" s="12"/>
      <c r="AE894" s="12"/>
      <c r="AF894" s="12"/>
    </row>
    <row r="895" spans="1:32">
      <c r="A895" s="8"/>
      <c r="B895" s="8"/>
      <c r="C895" s="8"/>
      <c r="D895" s="8"/>
      <c r="E895" s="8"/>
      <c r="F895" s="8"/>
      <c r="G895" s="8"/>
      <c r="H895" s="8"/>
      <c r="I895" s="8"/>
      <c r="J895" s="8"/>
      <c r="K895" s="8"/>
      <c r="L895" s="8"/>
      <c r="M895" s="8"/>
      <c r="N895" s="8"/>
      <c r="O895" s="8"/>
      <c r="P895" s="8"/>
      <c r="Q895" s="8"/>
      <c r="R895" s="8"/>
      <c r="S895" s="8"/>
      <c r="T895" s="8"/>
      <c r="U895" s="12"/>
      <c r="V895" s="12"/>
      <c r="W895" s="12"/>
      <c r="X895" s="12"/>
      <c r="Y895" s="12"/>
      <c r="Z895" s="12"/>
      <c r="AA895" s="12"/>
      <c r="AB895" s="12"/>
      <c r="AC895" s="12"/>
      <c r="AD895" s="12"/>
      <c r="AE895" s="12"/>
      <c r="AF895" s="12"/>
    </row>
    <row r="896" spans="1:32">
      <c r="A896" s="8"/>
      <c r="B896" s="8"/>
      <c r="C896" s="8"/>
      <c r="D896" s="8"/>
      <c r="E896" s="8"/>
      <c r="F896" s="8"/>
      <c r="G896" s="8"/>
      <c r="H896" s="8"/>
      <c r="I896" s="8"/>
      <c r="J896" s="8"/>
      <c r="K896" s="8"/>
      <c r="L896" s="8"/>
      <c r="M896" s="8"/>
      <c r="N896" s="8"/>
      <c r="O896" s="8"/>
      <c r="P896" s="8"/>
      <c r="Q896" s="8"/>
      <c r="R896" s="8"/>
      <c r="S896" s="8"/>
      <c r="T896" s="8"/>
      <c r="U896" s="12"/>
      <c r="V896" s="12"/>
      <c r="W896" s="12"/>
      <c r="X896" s="12"/>
      <c r="Y896" s="12"/>
      <c r="Z896" s="12"/>
      <c r="AA896" s="12"/>
      <c r="AB896" s="12"/>
      <c r="AC896" s="12"/>
      <c r="AD896" s="12"/>
      <c r="AE896" s="12"/>
      <c r="AF896" s="12"/>
    </row>
    <row r="897" spans="1:32">
      <c r="A897" s="8"/>
      <c r="B897" s="8"/>
      <c r="C897" s="8"/>
      <c r="D897" s="8"/>
      <c r="E897" s="8"/>
      <c r="F897" s="8"/>
      <c r="G897" s="8"/>
      <c r="H897" s="8"/>
      <c r="I897" s="8"/>
      <c r="J897" s="8"/>
      <c r="K897" s="8"/>
      <c r="L897" s="8"/>
      <c r="M897" s="8"/>
      <c r="N897" s="8"/>
      <c r="O897" s="8"/>
      <c r="P897" s="8"/>
      <c r="Q897" s="8"/>
      <c r="R897" s="8"/>
      <c r="S897" s="8"/>
      <c r="T897" s="8"/>
      <c r="U897" s="12"/>
      <c r="V897" s="12"/>
      <c r="W897" s="12"/>
      <c r="X897" s="12"/>
      <c r="Y897" s="12"/>
      <c r="Z897" s="12"/>
      <c r="AA897" s="12"/>
      <c r="AB897" s="12"/>
      <c r="AC897" s="12"/>
      <c r="AD897" s="12"/>
      <c r="AE897" s="12"/>
      <c r="AF897" s="12"/>
    </row>
    <row r="898" spans="1:32">
      <c r="A898" s="8"/>
      <c r="B898" s="8"/>
      <c r="C898" s="8"/>
      <c r="D898" s="8"/>
      <c r="E898" s="8"/>
      <c r="F898" s="8"/>
      <c r="G898" s="8"/>
      <c r="H898" s="8"/>
      <c r="I898" s="8"/>
      <c r="J898" s="8"/>
      <c r="K898" s="8"/>
      <c r="L898" s="8"/>
      <c r="M898" s="8"/>
      <c r="N898" s="8"/>
      <c r="O898" s="8"/>
      <c r="P898" s="8"/>
      <c r="Q898" s="8"/>
      <c r="R898" s="8"/>
      <c r="S898" s="8"/>
      <c r="T898" s="8"/>
      <c r="U898" s="12"/>
      <c r="V898" s="12"/>
      <c r="W898" s="12"/>
      <c r="X898" s="12"/>
      <c r="Y898" s="12"/>
      <c r="Z898" s="12"/>
      <c r="AA898" s="12"/>
      <c r="AB898" s="12"/>
      <c r="AC898" s="12"/>
      <c r="AD898" s="12"/>
      <c r="AE898" s="12"/>
      <c r="AF898" s="12"/>
    </row>
    <row r="899" spans="1:32">
      <c r="A899" s="8"/>
      <c r="B899" s="8"/>
      <c r="C899" s="8"/>
      <c r="D899" s="8"/>
      <c r="E899" s="8"/>
      <c r="F899" s="8"/>
      <c r="G899" s="8"/>
      <c r="H899" s="8"/>
      <c r="I899" s="8"/>
      <c r="J899" s="8"/>
      <c r="K899" s="8"/>
      <c r="L899" s="8"/>
      <c r="M899" s="8"/>
      <c r="N899" s="8"/>
      <c r="O899" s="8"/>
      <c r="P899" s="8"/>
      <c r="Q899" s="8"/>
      <c r="R899" s="8"/>
      <c r="S899" s="8"/>
      <c r="T899" s="8"/>
      <c r="U899" s="12"/>
      <c r="V899" s="12"/>
      <c r="W899" s="12"/>
      <c r="X899" s="12"/>
      <c r="Y899" s="12"/>
      <c r="Z899" s="12"/>
      <c r="AA899" s="12"/>
      <c r="AB899" s="12"/>
      <c r="AC899" s="12"/>
      <c r="AD899" s="12"/>
      <c r="AE899" s="12"/>
      <c r="AF899" s="12"/>
    </row>
    <row r="900" spans="1:32">
      <c r="A900" s="8"/>
      <c r="B900" s="8"/>
      <c r="C900" s="8"/>
      <c r="D900" s="8"/>
      <c r="E900" s="8"/>
      <c r="F900" s="8"/>
      <c r="G900" s="8"/>
      <c r="H900" s="8"/>
      <c r="I900" s="8"/>
      <c r="J900" s="8"/>
      <c r="K900" s="8"/>
      <c r="L900" s="8"/>
      <c r="M900" s="8"/>
      <c r="N900" s="8"/>
      <c r="O900" s="8"/>
      <c r="P900" s="8"/>
      <c r="Q900" s="8"/>
      <c r="R900" s="8"/>
      <c r="S900" s="8"/>
      <c r="T900" s="8"/>
      <c r="U900" s="12"/>
      <c r="V900" s="12"/>
      <c r="W900" s="12"/>
      <c r="X900" s="12"/>
      <c r="Y900" s="12"/>
      <c r="Z900" s="12"/>
      <c r="AA900" s="12"/>
      <c r="AB900" s="12"/>
      <c r="AC900" s="12"/>
      <c r="AD900" s="12"/>
      <c r="AE900" s="12"/>
      <c r="AF900" s="12"/>
    </row>
    <row r="901" spans="1:32">
      <c r="A901" s="8"/>
      <c r="B901" s="8"/>
      <c r="C901" s="8"/>
      <c r="D901" s="8"/>
      <c r="E901" s="8"/>
      <c r="F901" s="8"/>
      <c r="G901" s="8"/>
      <c r="H901" s="8"/>
      <c r="I901" s="8"/>
      <c r="J901" s="8"/>
      <c r="K901" s="8"/>
      <c r="L901" s="8"/>
      <c r="M901" s="8"/>
      <c r="N901" s="8"/>
      <c r="O901" s="8"/>
      <c r="P901" s="8"/>
      <c r="Q901" s="8"/>
      <c r="R901" s="8"/>
      <c r="S901" s="8"/>
      <c r="T901" s="8"/>
      <c r="U901" s="12"/>
      <c r="V901" s="12"/>
      <c r="W901" s="12"/>
      <c r="X901" s="12"/>
      <c r="Y901" s="12"/>
      <c r="Z901" s="12"/>
      <c r="AA901" s="12"/>
      <c r="AB901" s="12"/>
      <c r="AC901" s="12"/>
      <c r="AD901" s="12"/>
      <c r="AE901" s="12"/>
      <c r="AF901" s="12"/>
    </row>
    <row r="902" spans="1:32">
      <c r="A902" s="8"/>
      <c r="B902" s="8"/>
      <c r="C902" s="8"/>
      <c r="D902" s="8"/>
      <c r="E902" s="8"/>
      <c r="F902" s="8"/>
      <c r="G902" s="8"/>
      <c r="H902" s="8"/>
      <c r="I902" s="8"/>
      <c r="J902" s="8"/>
      <c r="K902" s="8"/>
      <c r="L902" s="8"/>
      <c r="M902" s="8"/>
      <c r="N902" s="8"/>
      <c r="O902" s="8"/>
      <c r="P902" s="8"/>
      <c r="Q902" s="8"/>
      <c r="R902" s="8"/>
      <c r="S902" s="8"/>
      <c r="T902" s="8"/>
      <c r="U902" s="12"/>
      <c r="V902" s="12"/>
      <c r="W902" s="12"/>
      <c r="X902" s="12"/>
      <c r="Y902" s="12"/>
      <c r="Z902" s="12"/>
      <c r="AA902" s="12"/>
      <c r="AB902" s="12"/>
      <c r="AC902" s="12"/>
      <c r="AD902" s="12"/>
      <c r="AE902" s="12"/>
      <c r="AF902" s="12"/>
    </row>
    <row r="903" spans="1:32">
      <c r="A903" s="8"/>
      <c r="B903" s="8"/>
      <c r="C903" s="8"/>
      <c r="D903" s="8"/>
      <c r="E903" s="8"/>
      <c r="F903" s="8"/>
      <c r="G903" s="8"/>
      <c r="H903" s="8"/>
      <c r="I903" s="8"/>
      <c r="J903" s="8"/>
      <c r="K903" s="8"/>
      <c r="L903" s="8"/>
      <c r="M903" s="8"/>
      <c r="N903" s="8"/>
      <c r="O903" s="8"/>
      <c r="P903" s="8"/>
      <c r="Q903" s="8"/>
      <c r="R903" s="8"/>
      <c r="S903" s="8"/>
      <c r="T903" s="8"/>
      <c r="U903" s="12"/>
      <c r="V903" s="12"/>
      <c r="W903" s="12"/>
      <c r="X903" s="12"/>
      <c r="Y903" s="12"/>
      <c r="Z903" s="12"/>
      <c r="AA903" s="12"/>
      <c r="AB903" s="12"/>
      <c r="AC903" s="12"/>
      <c r="AD903" s="12"/>
      <c r="AE903" s="12"/>
      <c r="AF903" s="12"/>
    </row>
    <row r="904" spans="1:32">
      <c r="A904" s="8"/>
      <c r="B904" s="8"/>
      <c r="C904" s="8"/>
      <c r="D904" s="8"/>
      <c r="E904" s="8"/>
      <c r="F904" s="8"/>
      <c r="G904" s="8"/>
      <c r="H904" s="8"/>
      <c r="I904" s="8"/>
      <c r="J904" s="8"/>
      <c r="K904" s="8"/>
      <c r="L904" s="8"/>
      <c r="M904" s="8"/>
      <c r="N904" s="8"/>
      <c r="O904" s="8"/>
      <c r="P904" s="8"/>
      <c r="Q904" s="8"/>
      <c r="R904" s="8"/>
      <c r="S904" s="8"/>
      <c r="T904" s="8"/>
      <c r="U904" s="12"/>
      <c r="V904" s="12"/>
      <c r="W904" s="12"/>
      <c r="X904" s="12"/>
      <c r="Y904" s="12"/>
      <c r="Z904" s="12"/>
      <c r="AA904" s="12"/>
      <c r="AB904" s="12"/>
      <c r="AC904" s="12"/>
      <c r="AD904" s="12"/>
      <c r="AE904" s="12"/>
      <c r="AF904" s="12"/>
    </row>
    <row r="905" spans="1:32">
      <c r="A905" s="8"/>
      <c r="B905" s="8"/>
      <c r="C905" s="8"/>
      <c r="D905" s="8"/>
      <c r="E905" s="8"/>
      <c r="F905" s="8"/>
      <c r="G905" s="8"/>
      <c r="H905" s="8"/>
      <c r="I905" s="8"/>
      <c r="J905" s="8"/>
      <c r="K905" s="8"/>
      <c r="L905" s="8"/>
      <c r="M905" s="8"/>
      <c r="N905" s="8"/>
      <c r="O905" s="8"/>
      <c r="P905" s="8"/>
      <c r="Q905" s="8"/>
      <c r="R905" s="8"/>
      <c r="S905" s="8"/>
      <c r="T905" s="8"/>
      <c r="U905" s="12"/>
      <c r="V905" s="12"/>
      <c r="W905" s="12"/>
      <c r="X905" s="12"/>
      <c r="Y905" s="12"/>
      <c r="Z905" s="12"/>
      <c r="AA905" s="12"/>
      <c r="AB905" s="12"/>
      <c r="AC905" s="12"/>
      <c r="AD905" s="12"/>
      <c r="AE905" s="12"/>
      <c r="AF905" s="12"/>
    </row>
    <row r="906" spans="1:32">
      <c r="A906" s="8"/>
      <c r="B906" s="8"/>
      <c r="C906" s="8"/>
      <c r="D906" s="8"/>
      <c r="E906" s="8"/>
      <c r="F906" s="8"/>
      <c r="G906" s="8"/>
      <c r="H906" s="8"/>
      <c r="I906" s="8"/>
      <c r="J906" s="8"/>
      <c r="K906" s="8"/>
      <c r="L906" s="8"/>
      <c r="M906" s="8"/>
      <c r="N906" s="8"/>
      <c r="O906" s="8"/>
      <c r="P906" s="8"/>
      <c r="Q906" s="8"/>
      <c r="R906" s="8"/>
      <c r="S906" s="8"/>
      <c r="T906" s="8"/>
      <c r="U906" s="12"/>
      <c r="V906" s="12"/>
      <c r="W906" s="12"/>
      <c r="X906" s="12"/>
      <c r="Y906" s="12"/>
      <c r="Z906" s="12"/>
      <c r="AA906" s="12"/>
      <c r="AB906" s="12"/>
      <c r="AC906" s="12"/>
      <c r="AD906" s="12"/>
      <c r="AE906" s="12"/>
      <c r="AF906" s="12"/>
    </row>
    <row r="907" spans="1:32">
      <c r="A907" s="8"/>
      <c r="B907" s="8"/>
      <c r="C907" s="8"/>
      <c r="D907" s="8"/>
      <c r="E907" s="8"/>
      <c r="F907" s="8"/>
      <c r="G907" s="8"/>
      <c r="H907" s="8"/>
      <c r="I907" s="8"/>
      <c r="J907" s="8"/>
      <c r="K907" s="8"/>
      <c r="L907" s="8"/>
      <c r="M907" s="8"/>
      <c r="N907" s="8"/>
      <c r="O907" s="8"/>
      <c r="P907" s="8"/>
      <c r="Q907" s="8"/>
      <c r="R907" s="8"/>
      <c r="S907" s="8"/>
      <c r="T907" s="8"/>
      <c r="U907" s="12"/>
      <c r="V907" s="12"/>
      <c r="W907" s="12"/>
      <c r="X907" s="12"/>
      <c r="Y907" s="12"/>
      <c r="Z907" s="12"/>
      <c r="AA907" s="12"/>
      <c r="AB907" s="12"/>
      <c r="AC907" s="12"/>
      <c r="AD907" s="12"/>
      <c r="AE907" s="12"/>
      <c r="AF907" s="12"/>
    </row>
    <row r="908" spans="1:32">
      <c r="A908" s="8"/>
      <c r="B908" s="8"/>
      <c r="C908" s="8"/>
      <c r="D908" s="8"/>
      <c r="E908" s="8"/>
      <c r="F908" s="8"/>
      <c r="G908" s="8"/>
      <c r="H908" s="8"/>
      <c r="I908" s="8"/>
      <c r="J908" s="8"/>
      <c r="K908" s="8"/>
      <c r="L908" s="8"/>
      <c r="M908" s="8"/>
      <c r="N908" s="8"/>
      <c r="O908" s="8"/>
      <c r="P908" s="8"/>
      <c r="Q908" s="8"/>
      <c r="R908" s="8"/>
      <c r="S908" s="8"/>
      <c r="T908" s="8"/>
      <c r="U908" s="12"/>
      <c r="V908" s="12"/>
      <c r="W908" s="12"/>
      <c r="X908" s="12"/>
      <c r="Y908" s="12"/>
      <c r="Z908" s="12"/>
      <c r="AA908" s="12"/>
      <c r="AB908" s="12"/>
      <c r="AC908" s="12"/>
      <c r="AD908" s="12"/>
      <c r="AE908" s="12"/>
      <c r="AF908" s="12"/>
    </row>
    <row r="909" spans="1:32">
      <c r="A909" s="8"/>
      <c r="B909" s="8"/>
      <c r="C909" s="8"/>
      <c r="D909" s="8"/>
      <c r="E909" s="8"/>
      <c r="F909" s="8"/>
      <c r="G909" s="8"/>
      <c r="H909" s="8"/>
      <c r="I909" s="8"/>
      <c r="J909" s="8"/>
      <c r="K909" s="8"/>
      <c r="L909" s="8"/>
      <c r="M909" s="8"/>
      <c r="N909" s="8"/>
      <c r="O909" s="8"/>
      <c r="P909" s="8"/>
      <c r="Q909" s="8"/>
      <c r="R909" s="8"/>
      <c r="S909" s="8"/>
      <c r="T909" s="8"/>
      <c r="U909" s="12"/>
      <c r="V909" s="12"/>
      <c r="W909" s="12"/>
      <c r="X909" s="12"/>
      <c r="Y909" s="12"/>
      <c r="Z909" s="12"/>
      <c r="AA909" s="12"/>
      <c r="AB909" s="12"/>
      <c r="AC909" s="12"/>
      <c r="AD909" s="12"/>
      <c r="AE909" s="12"/>
      <c r="AF909" s="12"/>
    </row>
    <row r="910" spans="1:32">
      <c r="A910" s="8"/>
      <c r="B910" s="8"/>
      <c r="C910" s="8"/>
      <c r="D910" s="8"/>
      <c r="E910" s="8"/>
      <c r="F910" s="8"/>
      <c r="G910" s="8"/>
      <c r="H910" s="8"/>
      <c r="I910" s="8"/>
      <c r="J910" s="8"/>
      <c r="K910" s="8"/>
      <c r="L910" s="8"/>
      <c r="M910" s="8"/>
      <c r="N910" s="8"/>
      <c r="O910" s="8"/>
      <c r="P910" s="8"/>
      <c r="Q910" s="8"/>
      <c r="R910" s="8"/>
      <c r="S910" s="8"/>
      <c r="T910" s="8"/>
      <c r="U910" s="12"/>
      <c r="V910" s="12"/>
      <c r="W910" s="12"/>
      <c r="X910" s="12"/>
      <c r="Y910" s="12"/>
      <c r="Z910" s="12"/>
      <c r="AA910" s="12"/>
      <c r="AB910" s="12"/>
      <c r="AC910" s="12"/>
      <c r="AD910" s="12"/>
      <c r="AE910" s="12"/>
      <c r="AF910" s="12"/>
    </row>
    <row r="911" spans="1:32">
      <c r="A911" s="8"/>
      <c r="B911" s="8"/>
      <c r="C911" s="8"/>
      <c r="D911" s="8"/>
      <c r="E911" s="8"/>
      <c r="F911" s="8"/>
      <c r="G911" s="8"/>
      <c r="H911" s="8"/>
      <c r="I911" s="8"/>
      <c r="J911" s="8"/>
      <c r="K911" s="8"/>
      <c r="L911" s="8"/>
      <c r="M911" s="8"/>
      <c r="N911" s="8"/>
      <c r="O911" s="8"/>
      <c r="P911" s="8"/>
      <c r="Q911" s="8"/>
      <c r="R911" s="8"/>
      <c r="S911" s="8"/>
      <c r="T911" s="8"/>
      <c r="U911" s="12"/>
      <c r="V911" s="12"/>
      <c r="W911" s="12"/>
      <c r="X911" s="12"/>
      <c r="Y911" s="12"/>
      <c r="Z911" s="12"/>
      <c r="AA911" s="12"/>
      <c r="AB911" s="12"/>
      <c r="AC911" s="12"/>
      <c r="AD911" s="12"/>
      <c r="AE911" s="12"/>
      <c r="AF911" s="12"/>
    </row>
    <row r="912" spans="1:32">
      <c r="A912" s="8"/>
      <c r="B912" s="8"/>
      <c r="C912" s="8"/>
      <c r="D912" s="8"/>
      <c r="E912" s="8"/>
      <c r="F912" s="8"/>
      <c r="G912" s="8"/>
      <c r="H912" s="8"/>
      <c r="I912" s="8"/>
      <c r="J912" s="8"/>
      <c r="K912" s="8"/>
      <c r="L912" s="8"/>
      <c r="M912" s="8"/>
      <c r="N912" s="8"/>
      <c r="O912" s="8"/>
      <c r="P912" s="8"/>
      <c r="Q912" s="8"/>
      <c r="R912" s="8"/>
      <c r="S912" s="8"/>
      <c r="T912" s="8"/>
      <c r="U912" s="12"/>
      <c r="V912" s="12"/>
      <c r="W912" s="12"/>
      <c r="X912" s="12"/>
      <c r="Y912" s="12"/>
      <c r="Z912" s="12"/>
      <c r="AA912" s="12"/>
      <c r="AB912" s="12"/>
      <c r="AC912" s="12"/>
      <c r="AD912" s="12"/>
      <c r="AE912" s="12"/>
      <c r="AF912" s="12"/>
    </row>
    <row r="913" spans="1:32">
      <c r="A913" s="8"/>
      <c r="B913" s="8"/>
      <c r="C913" s="8"/>
      <c r="D913" s="8"/>
      <c r="E913" s="8"/>
      <c r="F913" s="8"/>
      <c r="G913" s="8"/>
      <c r="H913" s="8"/>
      <c r="I913" s="8"/>
      <c r="J913" s="8"/>
      <c r="K913" s="8"/>
      <c r="L913" s="8"/>
      <c r="M913" s="8"/>
      <c r="N913" s="8"/>
      <c r="O913" s="8"/>
      <c r="P913" s="8"/>
      <c r="Q913" s="8"/>
      <c r="R913" s="8"/>
      <c r="S913" s="8"/>
      <c r="T913" s="8"/>
      <c r="U913" s="12"/>
      <c r="V913" s="12"/>
      <c r="W913" s="12"/>
      <c r="X913" s="12"/>
      <c r="Y913" s="12"/>
      <c r="Z913" s="12"/>
      <c r="AA913" s="12"/>
      <c r="AB913" s="12"/>
      <c r="AC913" s="12"/>
      <c r="AD913" s="12"/>
      <c r="AE913" s="12"/>
      <c r="AF913" s="12"/>
    </row>
    <row r="914" spans="1:32">
      <c r="A914" s="8"/>
      <c r="B914" s="8"/>
      <c r="C914" s="8"/>
      <c r="D914" s="8"/>
      <c r="E914" s="8"/>
      <c r="F914" s="8"/>
      <c r="G914" s="8"/>
      <c r="H914" s="8"/>
      <c r="I914" s="8"/>
      <c r="J914" s="8"/>
      <c r="K914" s="8"/>
      <c r="L914" s="8"/>
      <c r="M914" s="8"/>
      <c r="N914" s="8"/>
      <c r="O914" s="8"/>
      <c r="P914" s="8"/>
      <c r="Q914" s="8"/>
      <c r="R914" s="8"/>
      <c r="S914" s="8"/>
      <c r="T914" s="8"/>
      <c r="U914" s="12"/>
      <c r="V914" s="12"/>
      <c r="W914" s="12"/>
      <c r="X914" s="12"/>
      <c r="Y914" s="12"/>
      <c r="Z914" s="12"/>
      <c r="AA914" s="12"/>
      <c r="AB914" s="12"/>
      <c r="AC914" s="12"/>
      <c r="AD914" s="12"/>
      <c r="AE914" s="12"/>
      <c r="AF914" s="12"/>
    </row>
    <row r="915" spans="1:32">
      <c r="A915" s="8"/>
      <c r="B915" s="8"/>
      <c r="C915" s="8"/>
      <c r="D915" s="8"/>
      <c r="E915" s="8"/>
      <c r="F915" s="8"/>
      <c r="G915" s="8"/>
      <c r="H915" s="8"/>
      <c r="I915" s="8"/>
      <c r="J915" s="8"/>
      <c r="K915" s="8"/>
      <c r="L915" s="8"/>
      <c r="M915" s="8"/>
      <c r="N915" s="8"/>
      <c r="O915" s="8"/>
      <c r="P915" s="8"/>
      <c r="Q915" s="8"/>
      <c r="R915" s="8"/>
      <c r="S915" s="8"/>
      <c r="T915" s="8"/>
      <c r="U915" s="12"/>
      <c r="V915" s="12"/>
      <c r="W915" s="12"/>
      <c r="X915" s="12"/>
      <c r="Y915" s="12"/>
      <c r="Z915" s="12"/>
      <c r="AA915" s="12"/>
      <c r="AB915" s="12"/>
      <c r="AC915" s="12"/>
      <c r="AD915" s="12"/>
      <c r="AE915" s="12"/>
      <c r="AF915" s="12"/>
    </row>
    <row r="916" spans="1:32">
      <c r="A916" s="8"/>
      <c r="B916" s="8"/>
      <c r="C916" s="8"/>
      <c r="D916" s="8"/>
      <c r="E916" s="8"/>
      <c r="F916" s="8"/>
      <c r="G916" s="8"/>
      <c r="H916" s="8"/>
      <c r="I916" s="8"/>
      <c r="J916" s="8"/>
      <c r="K916" s="8"/>
      <c r="L916" s="8"/>
      <c r="M916" s="8"/>
      <c r="N916" s="8"/>
      <c r="O916" s="8"/>
      <c r="P916" s="8"/>
      <c r="Q916" s="8"/>
      <c r="R916" s="8"/>
      <c r="S916" s="8"/>
      <c r="T916" s="8"/>
      <c r="U916" s="12"/>
      <c r="V916" s="12"/>
      <c r="W916" s="12"/>
      <c r="X916" s="12"/>
      <c r="Y916" s="12"/>
      <c r="Z916" s="12"/>
      <c r="AA916" s="12"/>
      <c r="AB916" s="12"/>
      <c r="AC916" s="12"/>
      <c r="AD916" s="12"/>
      <c r="AE916" s="12"/>
      <c r="AF916" s="12"/>
    </row>
    <row r="917" spans="1:32">
      <c r="A917" s="8"/>
      <c r="B917" s="8"/>
      <c r="C917" s="8"/>
      <c r="D917" s="8"/>
      <c r="E917" s="8"/>
      <c r="F917" s="8"/>
      <c r="G917" s="8"/>
      <c r="H917" s="8"/>
      <c r="I917" s="8"/>
      <c r="J917" s="8"/>
      <c r="K917" s="8"/>
      <c r="L917" s="8"/>
      <c r="M917" s="8"/>
      <c r="N917" s="8"/>
      <c r="O917" s="8"/>
      <c r="P917" s="8"/>
      <c r="Q917" s="8"/>
      <c r="R917" s="8"/>
      <c r="S917" s="8"/>
      <c r="T917" s="8"/>
      <c r="U917" s="12"/>
      <c r="V917" s="12"/>
      <c r="W917" s="12"/>
      <c r="X917" s="12"/>
      <c r="Y917" s="12"/>
      <c r="Z917" s="12"/>
      <c r="AA917" s="12"/>
      <c r="AB917" s="12"/>
      <c r="AC917" s="12"/>
      <c r="AD917" s="12"/>
      <c r="AE917" s="12"/>
      <c r="AF917" s="12"/>
    </row>
    <row r="918" spans="1:32">
      <c r="A918" s="8"/>
      <c r="B918" s="8"/>
      <c r="C918" s="8"/>
      <c r="D918" s="8"/>
      <c r="E918" s="8"/>
      <c r="F918" s="8"/>
      <c r="G918" s="8"/>
      <c r="H918" s="8"/>
      <c r="I918" s="8"/>
      <c r="J918" s="8"/>
      <c r="K918" s="8"/>
      <c r="L918" s="8"/>
      <c r="M918" s="8"/>
      <c r="N918" s="8"/>
      <c r="O918" s="8"/>
      <c r="P918" s="8"/>
      <c r="Q918" s="8"/>
      <c r="R918" s="8"/>
      <c r="S918" s="8"/>
      <c r="T918" s="8"/>
      <c r="U918" s="12"/>
      <c r="V918" s="12"/>
      <c r="W918" s="12"/>
      <c r="X918" s="12"/>
      <c r="Y918" s="12"/>
      <c r="Z918" s="12"/>
      <c r="AA918" s="12"/>
      <c r="AB918" s="12"/>
      <c r="AC918" s="12"/>
      <c r="AD918" s="12"/>
      <c r="AE918" s="12"/>
      <c r="AF918" s="12"/>
    </row>
    <row r="919" spans="1:32">
      <c r="A919" s="8"/>
      <c r="B919" s="8"/>
      <c r="C919" s="8"/>
      <c r="D919" s="8"/>
      <c r="E919" s="8"/>
      <c r="F919" s="8"/>
      <c r="G919" s="8"/>
      <c r="H919" s="8"/>
      <c r="I919" s="8"/>
      <c r="J919" s="8"/>
      <c r="K919" s="8"/>
      <c r="L919" s="8"/>
      <c r="M919" s="8"/>
      <c r="N919" s="8"/>
      <c r="O919" s="8"/>
      <c r="P919" s="8"/>
      <c r="Q919" s="8"/>
      <c r="R919" s="8"/>
      <c r="S919" s="8"/>
      <c r="T919" s="8"/>
      <c r="U919" s="12"/>
      <c r="V919" s="12"/>
      <c r="W919" s="12"/>
      <c r="X919" s="12"/>
      <c r="Y919" s="12"/>
      <c r="Z919" s="12"/>
      <c r="AA919" s="12"/>
      <c r="AB919" s="12"/>
      <c r="AC919" s="12"/>
      <c r="AD919" s="12"/>
      <c r="AE919" s="12"/>
      <c r="AF919" s="12"/>
    </row>
    <row r="920" spans="1:32">
      <c r="A920" s="8"/>
      <c r="B920" s="8"/>
      <c r="C920" s="8"/>
      <c r="D920" s="8"/>
      <c r="E920" s="8"/>
      <c r="F920" s="8"/>
      <c r="G920" s="8"/>
      <c r="H920" s="8"/>
      <c r="I920" s="8"/>
      <c r="J920" s="8"/>
      <c r="K920" s="8"/>
      <c r="L920" s="8"/>
      <c r="M920" s="8"/>
      <c r="N920" s="8"/>
      <c r="O920" s="8"/>
      <c r="P920" s="8"/>
      <c r="Q920" s="8"/>
      <c r="R920" s="8"/>
      <c r="S920" s="8"/>
      <c r="T920" s="8"/>
      <c r="U920" s="12"/>
      <c r="V920" s="12"/>
      <c r="W920" s="12"/>
      <c r="X920" s="12"/>
      <c r="Y920" s="12"/>
      <c r="Z920" s="12"/>
      <c r="AA920" s="12"/>
      <c r="AB920" s="12"/>
      <c r="AC920" s="12"/>
      <c r="AD920" s="12"/>
      <c r="AE920" s="12"/>
      <c r="AF920" s="12"/>
    </row>
    <row r="921" spans="1:32">
      <c r="A921" s="8"/>
      <c r="B921" s="8"/>
      <c r="C921" s="8"/>
      <c r="D921" s="8"/>
      <c r="E921" s="8"/>
      <c r="F921" s="8"/>
      <c r="G921" s="8"/>
      <c r="H921" s="8"/>
      <c r="I921" s="8"/>
      <c r="J921" s="8"/>
      <c r="K921" s="8"/>
      <c r="L921" s="8"/>
      <c r="M921" s="8"/>
      <c r="N921" s="8"/>
      <c r="O921" s="8"/>
      <c r="P921" s="8"/>
      <c r="Q921" s="8"/>
      <c r="R921" s="8"/>
      <c r="S921" s="8"/>
      <c r="T921" s="8"/>
      <c r="U921" s="12"/>
      <c r="V921" s="12"/>
      <c r="W921" s="12"/>
      <c r="X921" s="12"/>
      <c r="Y921" s="12"/>
      <c r="Z921" s="12"/>
      <c r="AA921" s="12"/>
      <c r="AB921" s="12"/>
      <c r="AC921" s="12"/>
      <c r="AD921" s="12"/>
      <c r="AE921" s="12"/>
      <c r="AF921" s="12"/>
    </row>
    <row r="922" spans="1:32">
      <c r="A922" s="8"/>
      <c r="B922" s="8"/>
      <c r="C922" s="8"/>
      <c r="D922" s="8"/>
      <c r="E922" s="8"/>
      <c r="F922" s="8"/>
      <c r="G922" s="8"/>
      <c r="H922" s="8"/>
      <c r="I922" s="8"/>
      <c r="J922" s="8"/>
      <c r="K922" s="8"/>
      <c r="L922" s="8"/>
      <c r="M922" s="8"/>
      <c r="N922" s="8"/>
      <c r="O922" s="8"/>
      <c r="P922" s="8"/>
      <c r="Q922" s="8"/>
      <c r="R922" s="8"/>
      <c r="S922" s="8"/>
      <c r="T922" s="8"/>
      <c r="U922" s="12"/>
      <c r="V922" s="12"/>
      <c r="W922" s="12"/>
      <c r="X922" s="12"/>
      <c r="Y922" s="12"/>
      <c r="Z922" s="12"/>
      <c r="AA922" s="12"/>
      <c r="AB922" s="12"/>
      <c r="AC922" s="12"/>
      <c r="AD922" s="12"/>
      <c r="AE922" s="12"/>
      <c r="AF922" s="12"/>
    </row>
    <row r="923" spans="1:32">
      <c r="A923" s="8"/>
      <c r="B923" s="8"/>
      <c r="C923" s="8"/>
      <c r="D923" s="8"/>
      <c r="E923" s="8"/>
      <c r="F923" s="8"/>
      <c r="G923" s="8"/>
      <c r="H923" s="8"/>
      <c r="I923" s="8"/>
      <c r="J923" s="8"/>
      <c r="K923" s="8"/>
      <c r="L923" s="8"/>
      <c r="M923" s="8"/>
      <c r="N923" s="8"/>
      <c r="O923" s="8"/>
      <c r="P923" s="8"/>
      <c r="Q923" s="8"/>
      <c r="R923" s="8"/>
      <c r="S923" s="8"/>
      <c r="T923" s="8"/>
      <c r="U923" s="12"/>
      <c r="V923" s="12"/>
      <c r="W923" s="12"/>
      <c r="X923" s="12"/>
      <c r="Y923" s="12"/>
      <c r="Z923" s="12"/>
      <c r="AA923" s="12"/>
      <c r="AB923" s="12"/>
      <c r="AC923" s="12"/>
      <c r="AD923" s="12"/>
      <c r="AE923" s="12"/>
      <c r="AF923" s="12"/>
    </row>
    <row r="924" spans="1:32">
      <c r="A924" s="8"/>
      <c r="B924" s="8"/>
      <c r="C924" s="8"/>
      <c r="D924" s="8"/>
      <c r="E924" s="8"/>
      <c r="F924" s="8"/>
      <c r="G924" s="8"/>
      <c r="H924" s="8"/>
      <c r="I924" s="8"/>
      <c r="J924" s="8"/>
      <c r="K924" s="8"/>
      <c r="L924" s="8"/>
      <c r="M924" s="8"/>
      <c r="N924" s="8"/>
      <c r="O924" s="8"/>
      <c r="P924" s="8"/>
      <c r="Q924" s="8"/>
      <c r="R924" s="8"/>
      <c r="S924" s="8"/>
      <c r="T924" s="8"/>
      <c r="U924" s="12"/>
      <c r="V924" s="12"/>
      <c r="W924" s="12"/>
      <c r="X924" s="12"/>
      <c r="Y924" s="12"/>
      <c r="Z924" s="12"/>
      <c r="AA924" s="12"/>
      <c r="AB924" s="12"/>
      <c r="AC924" s="12"/>
      <c r="AD924" s="12"/>
      <c r="AE924" s="12"/>
      <c r="AF924" s="12"/>
    </row>
    <row r="925" spans="1:32">
      <c r="A925" s="8"/>
      <c r="B925" s="8"/>
      <c r="C925" s="8"/>
      <c r="D925" s="8"/>
      <c r="E925" s="8"/>
      <c r="F925" s="8"/>
      <c r="G925" s="8"/>
      <c r="H925" s="8"/>
      <c r="I925" s="8"/>
      <c r="J925" s="8"/>
      <c r="K925" s="8"/>
      <c r="L925" s="8"/>
      <c r="M925" s="8"/>
      <c r="N925" s="8"/>
      <c r="O925" s="8"/>
      <c r="P925" s="8"/>
      <c r="Q925" s="8"/>
      <c r="R925" s="8"/>
      <c r="S925" s="8"/>
      <c r="T925" s="8"/>
      <c r="U925" s="12"/>
      <c r="V925" s="12"/>
      <c r="W925" s="12"/>
      <c r="X925" s="12"/>
      <c r="Y925" s="12"/>
      <c r="Z925" s="12"/>
      <c r="AA925" s="12"/>
      <c r="AB925" s="12"/>
      <c r="AC925" s="12"/>
      <c r="AD925" s="12"/>
      <c r="AE925" s="12"/>
      <c r="AF925" s="12"/>
    </row>
    <row r="926" spans="1:32">
      <c r="A926" s="8"/>
      <c r="B926" s="8"/>
      <c r="C926" s="8"/>
      <c r="D926" s="8"/>
      <c r="E926" s="8"/>
      <c r="F926" s="8"/>
      <c r="G926" s="8"/>
      <c r="H926" s="8"/>
      <c r="I926" s="8"/>
      <c r="J926" s="8"/>
      <c r="K926" s="8"/>
      <c r="L926" s="8"/>
      <c r="M926" s="8"/>
      <c r="N926" s="8"/>
      <c r="O926" s="8"/>
      <c r="P926" s="8"/>
      <c r="Q926" s="8"/>
      <c r="R926" s="8"/>
      <c r="S926" s="8"/>
      <c r="T926" s="8"/>
      <c r="U926" s="12"/>
      <c r="V926" s="12"/>
      <c r="W926" s="12"/>
      <c r="X926" s="12"/>
      <c r="Y926" s="12"/>
      <c r="Z926" s="12"/>
      <c r="AA926" s="12"/>
      <c r="AB926" s="12"/>
      <c r="AC926" s="12"/>
      <c r="AD926" s="12"/>
      <c r="AE926" s="12"/>
      <c r="AF926" s="12"/>
    </row>
    <row r="927" spans="1:32">
      <c r="A927" s="8"/>
      <c r="B927" s="8"/>
      <c r="C927" s="8"/>
      <c r="D927" s="8"/>
      <c r="E927" s="8"/>
      <c r="F927" s="8"/>
      <c r="G927" s="8"/>
      <c r="H927" s="8"/>
      <c r="I927" s="8"/>
      <c r="J927" s="8"/>
      <c r="K927" s="8"/>
      <c r="L927" s="8"/>
      <c r="M927" s="8"/>
      <c r="N927" s="8"/>
      <c r="O927" s="8"/>
      <c r="P927" s="8"/>
      <c r="Q927" s="8"/>
      <c r="R927" s="8"/>
      <c r="S927" s="8"/>
      <c r="T927" s="8"/>
      <c r="U927" s="12"/>
      <c r="V927" s="12"/>
      <c r="W927" s="12"/>
      <c r="X927" s="12"/>
      <c r="Y927" s="12"/>
      <c r="Z927" s="12"/>
      <c r="AA927" s="12"/>
      <c r="AB927" s="12"/>
      <c r="AC927" s="12"/>
      <c r="AD927" s="12"/>
      <c r="AE927" s="12"/>
      <c r="AF927" s="12"/>
    </row>
    <row r="928" spans="1:32">
      <c r="A928" s="8"/>
      <c r="B928" s="8"/>
      <c r="C928" s="8"/>
      <c r="D928" s="8"/>
      <c r="E928" s="8"/>
      <c r="F928" s="8"/>
      <c r="G928" s="8"/>
      <c r="H928" s="8"/>
      <c r="I928" s="8"/>
      <c r="J928" s="8"/>
      <c r="K928" s="8"/>
      <c r="L928" s="8"/>
      <c r="M928" s="8"/>
      <c r="N928" s="8"/>
      <c r="O928" s="8"/>
      <c r="P928" s="8"/>
      <c r="Q928" s="8"/>
      <c r="R928" s="8"/>
      <c r="S928" s="8"/>
      <c r="T928" s="8"/>
      <c r="U928" s="12"/>
      <c r="V928" s="12"/>
      <c r="W928" s="12"/>
      <c r="X928" s="12"/>
      <c r="Y928" s="12"/>
      <c r="Z928" s="12"/>
      <c r="AA928" s="12"/>
      <c r="AB928" s="12"/>
      <c r="AC928" s="12"/>
      <c r="AD928" s="12"/>
      <c r="AE928" s="12"/>
      <c r="AF928" s="12"/>
    </row>
    <row r="929" spans="1:32">
      <c r="A929" s="8"/>
      <c r="B929" s="8"/>
      <c r="C929" s="8"/>
      <c r="D929" s="8"/>
      <c r="E929" s="8"/>
      <c r="F929" s="8"/>
      <c r="G929" s="8"/>
      <c r="H929" s="8"/>
      <c r="I929" s="8"/>
      <c r="J929" s="8"/>
      <c r="K929" s="8"/>
      <c r="L929" s="8"/>
      <c r="M929" s="8"/>
      <c r="N929" s="8"/>
      <c r="O929" s="8"/>
      <c r="P929" s="8"/>
      <c r="Q929" s="8"/>
      <c r="R929" s="8"/>
      <c r="S929" s="8"/>
      <c r="T929" s="8"/>
      <c r="U929" s="12"/>
      <c r="V929" s="12"/>
      <c r="W929" s="12"/>
      <c r="X929" s="12"/>
      <c r="Y929" s="12"/>
      <c r="Z929" s="12"/>
      <c r="AA929" s="12"/>
      <c r="AB929" s="12"/>
      <c r="AC929" s="12"/>
      <c r="AD929" s="12"/>
      <c r="AE929" s="12"/>
      <c r="AF929" s="12"/>
    </row>
    <row r="930" spans="1:32">
      <c r="A930" s="8"/>
      <c r="B930" s="8"/>
      <c r="C930" s="8"/>
      <c r="D930" s="8"/>
      <c r="E930" s="8"/>
      <c r="F930" s="8"/>
      <c r="G930" s="8"/>
      <c r="H930" s="8"/>
      <c r="I930" s="8"/>
      <c r="J930" s="8"/>
      <c r="K930" s="8"/>
      <c r="L930" s="8"/>
      <c r="M930" s="8"/>
      <c r="N930" s="8"/>
      <c r="O930" s="8"/>
      <c r="P930" s="8"/>
      <c r="Q930" s="8"/>
      <c r="R930" s="8"/>
      <c r="S930" s="8"/>
      <c r="T930" s="8"/>
      <c r="U930" s="12"/>
      <c r="V930" s="12"/>
      <c r="W930" s="12"/>
      <c r="X930" s="12"/>
      <c r="Y930" s="12"/>
      <c r="Z930" s="12"/>
      <c r="AA930" s="12"/>
      <c r="AB930" s="12"/>
      <c r="AC930" s="12"/>
      <c r="AD930" s="12"/>
      <c r="AE930" s="12"/>
      <c r="AF930" s="12"/>
    </row>
    <row r="931" spans="1:32">
      <c r="A931" s="8"/>
      <c r="B931" s="8"/>
      <c r="C931" s="8"/>
      <c r="D931" s="8"/>
      <c r="E931" s="8"/>
      <c r="F931" s="8"/>
      <c r="G931" s="8"/>
      <c r="H931" s="8"/>
      <c r="I931" s="8"/>
      <c r="J931" s="8"/>
      <c r="K931" s="8"/>
      <c r="L931" s="8"/>
      <c r="M931" s="8"/>
      <c r="N931" s="8"/>
      <c r="O931" s="8"/>
      <c r="P931" s="8"/>
      <c r="Q931" s="8"/>
      <c r="R931" s="8"/>
      <c r="S931" s="8"/>
      <c r="T931" s="8"/>
      <c r="U931" s="12"/>
      <c r="V931" s="12"/>
      <c r="W931" s="12"/>
      <c r="X931" s="12"/>
      <c r="Y931" s="12"/>
      <c r="Z931" s="12"/>
      <c r="AA931" s="12"/>
      <c r="AB931" s="12"/>
      <c r="AC931" s="12"/>
      <c r="AD931" s="12"/>
      <c r="AE931" s="12"/>
      <c r="AF931" s="12"/>
    </row>
    <row r="932" spans="1:32">
      <c r="A932" s="8"/>
      <c r="B932" s="8"/>
      <c r="C932" s="8"/>
      <c r="D932" s="8"/>
      <c r="E932" s="8"/>
      <c r="F932" s="8"/>
      <c r="G932" s="8"/>
      <c r="H932" s="8"/>
      <c r="I932" s="8"/>
      <c r="J932" s="8"/>
      <c r="K932" s="8"/>
      <c r="L932" s="8"/>
      <c r="M932" s="8"/>
      <c r="N932" s="8"/>
      <c r="O932" s="8"/>
      <c r="P932" s="8"/>
      <c r="Q932" s="8"/>
      <c r="R932" s="8"/>
      <c r="S932" s="8"/>
      <c r="T932" s="8"/>
      <c r="U932" s="12"/>
      <c r="V932" s="12"/>
      <c r="W932" s="12"/>
      <c r="X932" s="12"/>
      <c r="Y932" s="12"/>
      <c r="Z932" s="12"/>
      <c r="AA932" s="12"/>
      <c r="AB932" s="12"/>
      <c r="AC932" s="12"/>
      <c r="AD932" s="12"/>
      <c r="AE932" s="12"/>
      <c r="AF932" s="12"/>
    </row>
    <row r="933" spans="1:32">
      <c r="A933" s="8"/>
      <c r="B933" s="8"/>
      <c r="C933" s="8"/>
      <c r="D933" s="8"/>
      <c r="E933" s="8"/>
      <c r="F933" s="8"/>
      <c r="G933" s="8"/>
      <c r="H933" s="8"/>
      <c r="I933" s="8"/>
      <c r="J933" s="8"/>
      <c r="K933" s="8"/>
      <c r="L933" s="8"/>
      <c r="M933" s="8"/>
      <c r="N933" s="8"/>
      <c r="O933" s="8"/>
      <c r="P933" s="8"/>
      <c r="Q933" s="8"/>
      <c r="R933" s="8"/>
      <c r="S933" s="8"/>
      <c r="T933" s="8"/>
      <c r="U933" s="12"/>
      <c r="V933" s="12"/>
      <c r="W933" s="12"/>
      <c r="X933" s="12"/>
      <c r="Y933" s="12"/>
      <c r="Z933" s="12"/>
      <c r="AA933" s="12"/>
      <c r="AB933" s="12"/>
      <c r="AC933" s="12"/>
      <c r="AD933" s="12"/>
      <c r="AE933" s="12"/>
      <c r="AF933" s="12"/>
    </row>
    <row r="934" spans="1:32">
      <c r="A934" s="8"/>
      <c r="B934" s="8"/>
      <c r="C934" s="8"/>
      <c r="D934" s="8"/>
      <c r="E934" s="8"/>
      <c r="F934" s="8"/>
      <c r="G934" s="8"/>
      <c r="H934" s="8"/>
      <c r="I934" s="8"/>
      <c r="J934" s="8"/>
      <c r="K934" s="8"/>
      <c r="L934" s="8"/>
      <c r="M934" s="8"/>
      <c r="N934" s="8"/>
      <c r="O934" s="8"/>
      <c r="P934" s="8"/>
      <c r="Q934" s="8"/>
      <c r="R934" s="8"/>
      <c r="S934" s="8"/>
      <c r="T934" s="8"/>
      <c r="U934" s="12"/>
      <c r="V934" s="12"/>
      <c r="W934" s="12"/>
      <c r="X934" s="12"/>
      <c r="Y934" s="12"/>
      <c r="Z934" s="12"/>
      <c r="AA934" s="12"/>
      <c r="AB934" s="12"/>
      <c r="AC934" s="12"/>
      <c r="AD934" s="12"/>
      <c r="AE934" s="12"/>
      <c r="AF934" s="12"/>
    </row>
    <row r="935" spans="1:32">
      <c r="A935" s="8"/>
      <c r="B935" s="8"/>
      <c r="C935" s="8"/>
      <c r="D935" s="8"/>
      <c r="E935" s="8"/>
      <c r="F935" s="8"/>
      <c r="G935" s="8"/>
      <c r="H935" s="8"/>
      <c r="I935" s="8"/>
      <c r="J935" s="8"/>
      <c r="K935" s="8"/>
      <c r="L935" s="8"/>
      <c r="M935" s="8"/>
      <c r="N935" s="8"/>
      <c r="O935" s="8"/>
      <c r="P935" s="8"/>
      <c r="Q935" s="8"/>
      <c r="R935" s="8"/>
      <c r="S935" s="8"/>
      <c r="T935" s="8"/>
      <c r="U935" s="12"/>
      <c r="V935" s="12"/>
      <c r="W935" s="12"/>
      <c r="X935" s="12"/>
      <c r="Y935" s="12"/>
      <c r="Z935" s="12"/>
      <c r="AA935" s="12"/>
      <c r="AB935" s="12"/>
      <c r="AC935" s="12"/>
      <c r="AD935" s="12"/>
      <c r="AE935" s="12"/>
      <c r="AF935" s="12"/>
    </row>
    <row r="936" spans="1:32">
      <c r="A936" s="8"/>
      <c r="B936" s="8"/>
      <c r="C936" s="8"/>
      <c r="D936" s="8"/>
      <c r="E936" s="8"/>
      <c r="F936" s="8"/>
      <c r="G936" s="8"/>
      <c r="H936" s="8"/>
      <c r="I936" s="8"/>
      <c r="J936" s="8"/>
      <c r="K936" s="8"/>
      <c r="L936" s="8"/>
      <c r="M936" s="8"/>
      <c r="N936" s="8"/>
      <c r="O936" s="8"/>
      <c r="P936" s="8"/>
      <c r="Q936" s="8"/>
      <c r="R936" s="8"/>
      <c r="S936" s="8"/>
      <c r="T936" s="8"/>
      <c r="U936" s="12"/>
      <c r="V936" s="12"/>
      <c r="W936" s="12"/>
      <c r="X936" s="12"/>
      <c r="Y936" s="12"/>
      <c r="Z936" s="12"/>
      <c r="AA936" s="12"/>
      <c r="AB936" s="12"/>
      <c r="AC936" s="12"/>
      <c r="AD936" s="12"/>
      <c r="AE936" s="12"/>
      <c r="AF936" s="12"/>
    </row>
    <row r="937" spans="1:32">
      <c r="A937" s="8"/>
      <c r="B937" s="8"/>
      <c r="C937" s="8"/>
      <c r="D937" s="8"/>
      <c r="E937" s="8"/>
      <c r="F937" s="8"/>
      <c r="G937" s="8"/>
      <c r="H937" s="8"/>
      <c r="I937" s="8"/>
      <c r="J937" s="8"/>
      <c r="K937" s="8"/>
      <c r="L937" s="8"/>
      <c r="M937" s="8"/>
      <c r="N937" s="8"/>
      <c r="O937" s="8"/>
      <c r="P937" s="8"/>
      <c r="Q937" s="8"/>
      <c r="R937" s="8"/>
      <c r="S937" s="8"/>
      <c r="T937" s="8"/>
      <c r="U937" s="12"/>
      <c r="V937" s="12"/>
      <c r="W937" s="12"/>
      <c r="X937" s="12"/>
      <c r="Y937" s="12"/>
      <c r="Z937" s="12"/>
      <c r="AA937" s="12"/>
      <c r="AB937" s="12"/>
      <c r="AC937" s="12"/>
      <c r="AD937" s="12"/>
      <c r="AE937" s="12"/>
      <c r="AF937" s="12"/>
    </row>
    <row r="938" spans="1:32">
      <c r="A938" s="8"/>
      <c r="B938" s="8"/>
      <c r="C938" s="8"/>
      <c r="D938" s="8"/>
      <c r="E938" s="8"/>
      <c r="F938" s="8"/>
      <c r="G938" s="8"/>
      <c r="H938" s="8"/>
      <c r="I938" s="8"/>
      <c r="J938" s="8"/>
      <c r="K938" s="8"/>
      <c r="L938" s="8"/>
      <c r="M938" s="8"/>
      <c r="N938" s="8"/>
      <c r="O938" s="8"/>
      <c r="P938" s="8"/>
      <c r="Q938" s="8"/>
      <c r="R938" s="8"/>
      <c r="S938" s="8"/>
      <c r="T938" s="8"/>
      <c r="U938" s="12"/>
      <c r="V938" s="12"/>
      <c r="W938" s="12"/>
      <c r="X938" s="12"/>
      <c r="Y938" s="12"/>
      <c r="Z938" s="12"/>
      <c r="AA938" s="12"/>
      <c r="AB938" s="12"/>
      <c r="AC938" s="12"/>
      <c r="AD938" s="12"/>
      <c r="AE938" s="12"/>
      <c r="AF938" s="12"/>
    </row>
    <row r="939" spans="1:32">
      <c r="A939" s="8"/>
      <c r="B939" s="8"/>
      <c r="C939" s="8"/>
      <c r="D939" s="8"/>
      <c r="E939" s="8"/>
      <c r="F939" s="8"/>
      <c r="G939" s="8"/>
      <c r="H939" s="8"/>
      <c r="I939" s="8"/>
      <c r="J939" s="8"/>
      <c r="K939" s="8"/>
      <c r="L939" s="8"/>
      <c r="M939" s="8"/>
      <c r="N939" s="8"/>
      <c r="O939" s="8"/>
      <c r="P939" s="8"/>
      <c r="Q939" s="8"/>
      <c r="R939" s="8"/>
      <c r="S939" s="8"/>
      <c r="T939" s="8"/>
      <c r="U939" s="12"/>
      <c r="V939" s="12"/>
      <c r="W939" s="12"/>
      <c r="X939" s="12"/>
      <c r="Y939" s="12"/>
      <c r="Z939" s="12"/>
      <c r="AA939" s="12"/>
      <c r="AB939" s="12"/>
      <c r="AC939" s="12"/>
      <c r="AD939" s="12"/>
      <c r="AE939" s="12"/>
      <c r="AF939" s="12"/>
    </row>
    <row r="940" spans="1:32">
      <c r="A940" s="8"/>
      <c r="B940" s="8"/>
      <c r="C940" s="8"/>
      <c r="D940" s="8"/>
      <c r="E940" s="8"/>
      <c r="F940" s="8"/>
      <c r="G940" s="8"/>
      <c r="H940" s="8"/>
      <c r="I940" s="8"/>
      <c r="J940" s="8"/>
      <c r="K940" s="8"/>
      <c r="L940" s="8"/>
      <c r="M940" s="8"/>
      <c r="N940" s="8"/>
      <c r="O940" s="8"/>
      <c r="P940" s="8"/>
      <c r="Q940" s="8"/>
      <c r="R940" s="8"/>
      <c r="S940" s="8"/>
      <c r="T940" s="8"/>
      <c r="U940" s="12"/>
      <c r="V940" s="12"/>
      <c r="W940" s="12"/>
      <c r="X940" s="12"/>
      <c r="Y940" s="12"/>
      <c r="Z940" s="12"/>
      <c r="AA940" s="12"/>
      <c r="AB940" s="12"/>
      <c r="AC940" s="12"/>
      <c r="AD940" s="12"/>
      <c r="AE940" s="12"/>
      <c r="AF940" s="12"/>
    </row>
    <row r="941" spans="1:32">
      <c r="A941" s="8"/>
      <c r="B941" s="8"/>
      <c r="C941" s="8"/>
      <c r="D941" s="8"/>
      <c r="E941" s="8"/>
      <c r="F941" s="8"/>
      <c r="G941" s="8"/>
      <c r="H941" s="8"/>
      <c r="I941" s="8"/>
      <c r="J941" s="8"/>
      <c r="K941" s="8"/>
      <c r="L941" s="8"/>
      <c r="M941" s="8"/>
      <c r="N941" s="8"/>
      <c r="O941" s="8"/>
      <c r="P941" s="8"/>
      <c r="Q941" s="8"/>
      <c r="R941" s="8"/>
      <c r="S941" s="8"/>
      <c r="T941" s="8"/>
      <c r="U941" s="12"/>
      <c r="V941" s="12"/>
      <c r="W941" s="12"/>
      <c r="X941" s="12"/>
      <c r="Y941" s="12"/>
      <c r="Z941" s="12"/>
      <c r="AA941" s="12"/>
      <c r="AB941" s="12"/>
      <c r="AC941" s="12"/>
      <c r="AD941" s="12"/>
      <c r="AE941" s="12"/>
      <c r="AF941" s="12"/>
    </row>
    <row r="942" spans="1:32">
      <c r="A942" s="8"/>
      <c r="B942" s="8"/>
      <c r="C942" s="8"/>
      <c r="D942" s="8"/>
      <c r="E942" s="8"/>
      <c r="F942" s="8"/>
      <c r="G942" s="8"/>
      <c r="H942" s="8"/>
      <c r="I942" s="8"/>
      <c r="J942" s="8"/>
      <c r="K942" s="8"/>
      <c r="L942" s="8"/>
      <c r="M942" s="8"/>
      <c r="N942" s="8"/>
      <c r="O942" s="8"/>
      <c r="P942" s="8"/>
      <c r="Q942" s="8"/>
      <c r="R942" s="8"/>
      <c r="S942" s="8"/>
      <c r="T942" s="8"/>
      <c r="U942" s="12"/>
      <c r="V942" s="12"/>
      <c r="W942" s="12"/>
      <c r="X942" s="12"/>
      <c r="Y942" s="12"/>
      <c r="Z942" s="12"/>
      <c r="AA942" s="12"/>
      <c r="AB942" s="12"/>
      <c r="AC942" s="12"/>
      <c r="AD942" s="12"/>
      <c r="AE942" s="12"/>
      <c r="AF942" s="12"/>
    </row>
    <row r="943" spans="1:32">
      <c r="A943" s="8"/>
      <c r="B943" s="8"/>
      <c r="C943" s="8"/>
      <c r="D943" s="8"/>
      <c r="E943" s="8"/>
      <c r="F943" s="8"/>
      <c r="G943" s="8"/>
      <c r="H943" s="8"/>
      <c r="I943" s="8"/>
      <c r="J943" s="8"/>
      <c r="K943" s="8"/>
      <c r="L943" s="8"/>
      <c r="M943" s="8"/>
      <c r="N943" s="8"/>
      <c r="O943" s="8"/>
      <c r="P943" s="8"/>
      <c r="Q943" s="8"/>
      <c r="R943" s="8"/>
      <c r="S943" s="8"/>
      <c r="T943" s="8"/>
      <c r="U943" s="12"/>
      <c r="V943" s="12"/>
      <c r="W943" s="12"/>
      <c r="X943" s="12"/>
      <c r="Y943" s="12"/>
      <c r="Z943" s="12"/>
      <c r="AA943" s="12"/>
      <c r="AB943" s="12"/>
      <c r="AC943" s="12"/>
      <c r="AD943" s="12"/>
      <c r="AE943" s="12"/>
      <c r="AF943" s="12"/>
    </row>
    <row r="944" spans="1:32">
      <c r="A944" s="8"/>
      <c r="B944" s="8"/>
      <c r="C944" s="8"/>
      <c r="D944" s="8"/>
      <c r="E944" s="8"/>
      <c r="F944" s="8"/>
      <c r="G944" s="8"/>
      <c r="H944" s="8"/>
      <c r="I944" s="8"/>
      <c r="J944" s="8"/>
      <c r="K944" s="8"/>
      <c r="L944" s="8"/>
      <c r="M944" s="8"/>
      <c r="N944" s="8"/>
      <c r="O944" s="8"/>
      <c r="P944" s="8"/>
      <c r="Q944" s="8"/>
      <c r="R944" s="8"/>
      <c r="S944" s="8"/>
      <c r="T944" s="8"/>
      <c r="U944" s="12"/>
      <c r="V944" s="12"/>
      <c r="W944" s="12"/>
      <c r="X944" s="12"/>
      <c r="Y944" s="12"/>
      <c r="Z944" s="12"/>
      <c r="AA944" s="12"/>
      <c r="AB944" s="12"/>
      <c r="AC944" s="12"/>
      <c r="AD944" s="12"/>
      <c r="AE944" s="12"/>
      <c r="AF944" s="12"/>
    </row>
    <row r="945" spans="1:32">
      <c r="A945" s="8"/>
      <c r="B945" s="8"/>
      <c r="C945" s="8"/>
      <c r="D945" s="8"/>
      <c r="E945" s="8"/>
      <c r="F945" s="8"/>
      <c r="G945" s="8"/>
      <c r="H945" s="8"/>
      <c r="I945" s="8"/>
      <c r="J945" s="8"/>
      <c r="K945" s="8"/>
      <c r="L945" s="8"/>
      <c r="M945" s="8"/>
      <c r="N945" s="8"/>
      <c r="O945" s="8"/>
      <c r="P945" s="8"/>
      <c r="Q945" s="8"/>
      <c r="R945" s="8"/>
      <c r="S945" s="8"/>
      <c r="T945" s="8"/>
      <c r="U945" s="12"/>
      <c r="V945" s="12"/>
      <c r="W945" s="12"/>
      <c r="X945" s="12"/>
      <c r="Y945" s="12"/>
      <c r="Z945" s="12"/>
      <c r="AA945" s="12"/>
      <c r="AB945" s="12"/>
      <c r="AC945" s="12"/>
      <c r="AD945" s="12"/>
      <c r="AE945" s="12"/>
      <c r="AF945" s="12"/>
    </row>
    <row r="946" spans="1:32">
      <c r="A946" s="8"/>
      <c r="B946" s="8"/>
      <c r="C946" s="8"/>
      <c r="D946" s="8"/>
      <c r="E946" s="8"/>
      <c r="F946" s="8"/>
      <c r="G946" s="8"/>
      <c r="H946" s="8"/>
      <c r="I946" s="8"/>
      <c r="J946" s="8"/>
      <c r="K946" s="8"/>
      <c r="L946" s="8"/>
      <c r="M946" s="8"/>
      <c r="N946" s="8"/>
      <c r="O946" s="8"/>
      <c r="P946" s="8"/>
      <c r="Q946" s="8"/>
      <c r="R946" s="8"/>
      <c r="S946" s="8"/>
      <c r="T946" s="8"/>
      <c r="U946" s="12"/>
      <c r="V946" s="12"/>
      <c r="W946" s="12"/>
      <c r="X946" s="12"/>
      <c r="Y946" s="12"/>
      <c r="Z946" s="12"/>
      <c r="AA946" s="12"/>
      <c r="AB946" s="12"/>
      <c r="AC946" s="12"/>
      <c r="AD946" s="12"/>
      <c r="AE946" s="12"/>
      <c r="AF946" s="12"/>
    </row>
    <row r="947" spans="1:32">
      <c r="A947" s="8"/>
      <c r="B947" s="8"/>
      <c r="C947" s="8"/>
      <c r="D947" s="8"/>
      <c r="E947" s="8"/>
      <c r="F947" s="8"/>
      <c r="G947" s="8"/>
      <c r="H947" s="8"/>
      <c r="I947" s="8"/>
      <c r="J947" s="8"/>
      <c r="K947" s="8"/>
      <c r="L947" s="8"/>
      <c r="M947" s="8"/>
      <c r="N947" s="8"/>
      <c r="O947" s="8"/>
      <c r="P947" s="8"/>
      <c r="Q947" s="8"/>
      <c r="R947" s="8"/>
      <c r="S947" s="8"/>
      <c r="T947" s="8"/>
      <c r="U947" s="12"/>
      <c r="V947" s="12"/>
      <c r="W947" s="12"/>
      <c r="X947" s="12"/>
      <c r="Y947" s="12"/>
      <c r="Z947" s="12"/>
      <c r="AA947" s="12"/>
      <c r="AB947" s="12"/>
      <c r="AC947" s="12"/>
      <c r="AD947" s="12"/>
      <c r="AE947" s="12"/>
      <c r="AF947" s="12"/>
    </row>
    <row r="948" spans="1:32">
      <c r="A948" s="8"/>
      <c r="B948" s="8"/>
      <c r="C948" s="8"/>
      <c r="D948" s="8"/>
      <c r="E948" s="8"/>
      <c r="F948" s="8"/>
      <c r="G948" s="8"/>
      <c r="H948" s="8"/>
      <c r="I948" s="8"/>
      <c r="J948" s="8"/>
      <c r="K948" s="8"/>
      <c r="L948" s="8"/>
      <c r="M948" s="8"/>
      <c r="N948" s="8"/>
      <c r="O948" s="8"/>
      <c r="P948" s="8"/>
      <c r="Q948" s="8"/>
      <c r="R948" s="8"/>
      <c r="S948" s="8"/>
      <c r="T948" s="8"/>
      <c r="U948" s="12"/>
      <c r="V948" s="12"/>
      <c r="W948" s="12"/>
      <c r="X948" s="12"/>
      <c r="Y948" s="12"/>
      <c r="Z948" s="12"/>
      <c r="AA948" s="12"/>
      <c r="AB948" s="12"/>
      <c r="AC948" s="12"/>
      <c r="AD948" s="12"/>
      <c r="AE948" s="12"/>
      <c r="AF948" s="12"/>
    </row>
    <row r="949" spans="1:32">
      <c r="A949" s="8"/>
      <c r="B949" s="8"/>
      <c r="C949" s="8"/>
      <c r="D949" s="8"/>
      <c r="E949" s="8"/>
      <c r="F949" s="8"/>
      <c r="G949" s="8"/>
      <c r="H949" s="8"/>
      <c r="I949" s="8"/>
      <c r="J949" s="8"/>
      <c r="K949" s="8"/>
      <c r="L949" s="8"/>
      <c r="M949" s="8"/>
      <c r="N949" s="8"/>
      <c r="O949" s="8"/>
      <c r="P949" s="8"/>
      <c r="Q949" s="8"/>
      <c r="R949" s="8"/>
      <c r="S949" s="8"/>
      <c r="T949" s="8"/>
      <c r="U949" s="12"/>
      <c r="V949" s="12"/>
      <c r="W949" s="12"/>
      <c r="X949" s="12"/>
      <c r="Y949" s="12"/>
      <c r="Z949" s="12"/>
      <c r="AA949" s="12"/>
      <c r="AB949" s="12"/>
      <c r="AC949" s="12"/>
      <c r="AD949" s="12"/>
      <c r="AE949" s="12"/>
      <c r="AF949" s="12"/>
    </row>
    <row r="950" spans="1:32">
      <c r="A950" s="8"/>
      <c r="B950" s="8"/>
      <c r="C950" s="8"/>
      <c r="D950" s="8"/>
      <c r="E950" s="8"/>
      <c r="F950" s="8"/>
      <c r="G950" s="8"/>
      <c r="H950" s="8"/>
      <c r="I950" s="8"/>
      <c r="J950" s="8"/>
      <c r="K950" s="8"/>
      <c r="L950" s="8"/>
      <c r="M950" s="8"/>
      <c r="N950" s="8"/>
      <c r="O950" s="8"/>
      <c r="P950" s="8"/>
      <c r="Q950" s="8"/>
      <c r="R950" s="8"/>
      <c r="S950" s="8"/>
      <c r="T950" s="8"/>
      <c r="U950" s="12"/>
      <c r="V950" s="12"/>
      <c r="W950" s="12"/>
      <c r="X950" s="12"/>
      <c r="Y950" s="12"/>
      <c r="Z950" s="12"/>
      <c r="AA950" s="12"/>
      <c r="AB950" s="12"/>
      <c r="AC950" s="12"/>
      <c r="AD950" s="12"/>
      <c r="AE950" s="12"/>
      <c r="AF950" s="12"/>
    </row>
    <row r="951" spans="1:32">
      <c r="A951" s="8"/>
      <c r="B951" s="8"/>
      <c r="C951" s="8"/>
      <c r="D951" s="8"/>
      <c r="E951" s="8"/>
      <c r="F951" s="8"/>
      <c r="G951" s="8"/>
      <c r="H951" s="8"/>
      <c r="I951" s="8"/>
      <c r="J951" s="8"/>
      <c r="K951" s="8"/>
      <c r="L951" s="8"/>
      <c r="M951" s="8"/>
      <c r="N951" s="8"/>
      <c r="O951" s="8"/>
      <c r="P951" s="8"/>
      <c r="Q951" s="8"/>
      <c r="R951" s="8"/>
      <c r="S951" s="8"/>
      <c r="T951" s="8"/>
      <c r="U951" s="12"/>
      <c r="V951" s="12"/>
      <c r="W951" s="12"/>
      <c r="X951" s="12"/>
      <c r="Y951" s="12"/>
      <c r="Z951" s="12"/>
      <c r="AA951" s="12"/>
      <c r="AB951" s="12"/>
      <c r="AC951" s="12"/>
      <c r="AD951" s="12"/>
      <c r="AE951" s="12"/>
      <c r="AF951" s="12"/>
    </row>
    <row r="952" spans="1:32">
      <c r="A952" s="8"/>
      <c r="B952" s="8"/>
      <c r="C952" s="8"/>
      <c r="D952" s="8"/>
      <c r="E952" s="8"/>
      <c r="F952" s="8"/>
      <c r="G952" s="8"/>
      <c r="H952" s="8"/>
      <c r="I952" s="8"/>
      <c r="J952" s="8"/>
      <c r="K952" s="8"/>
      <c r="L952" s="8"/>
      <c r="M952" s="8"/>
      <c r="N952" s="8"/>
      <c r="O952" s="8"/>
      <c r="P952" s="8"/>
      <c r="Q952" s="8"/>
      <c r="R952" s="8"/>
      <c r="S952" s="8"/>
      <c r="T952" s="8"/>
      <c r="U952" s="12"/>
      <c r="V952" s="12"/>
      <c r="W952" s="12"/>
      <c r="X952" s="12"/>
      <c r="Y952" s="12"/>
      <c r="Z952" s="12"/>
      <c r="AA952" s="12"/>
      <c r="AB952" s="12"/>
      <c r="AC952" s="12"/>
      <c r="AD952" s="12"/>
      <c r="AE952" s="12"/>
      <c r="AF952" s="12"/>
    </row>
    <row r="953" spans="1:32">
      <c r="A953" s="8"/>
      <c r="B953" s="8"/>
      <c r="C953" s="8"/>
      <c r="D953" s="8"/>
      <c r="E953" s="8"/>
      <c r="F953" s="8"/>
      <c r="G953" s="8"/>
      <c r="H953" s="8"/>
      <c r="I953" s="8"/>
      <c r="J953" s="8"/>
      <c r="K953" s="8"/>
      <c r="L953" s="8"/>
      <c r="M953" s="8"/>
      <c r="N953" s="8"/>
      <c r="O953" s="8"/>
      <c r="P953" s="8"/>
      <c r="Q953" s="8"/>
      <c r="R953" s="8"/>
      <c r="S953" s="8"/>
      <c r="T953" s="8"/>
      <c r="U953" s="12"/>
      <c r="V953" s="12"/>
      <c r="W953" s="12"/>
      <c r="X953" s="12"/>
      <c r="Y953" s="12"/>
      <c r="Z953" s="12"/>
      <c r="AA953" s="12"/>
      <c r="AB953" s="12"/>
      <c r="AC953" s="12"/>
      <c r="AD953" s="12"/>
      <c r="AE953" s="12"/>
      <c r="AF953" s="12"/>
    </row>
    <row r="954" spans="1:32">
      <c r="A954" s="8"/>
      <c r="B954" s="8"/>
      <c r="C954" s="8"/>
      <c r="D954" s="8"/>
      <c r="E954" s="8"/>
      <c r="F954" s="8"/>
      <c r="G954" s="8"/>
      <c r="H954" s="8"/>
      <c r="I954" s="8"/>
      <c r="J954" s="8"/>
      <c r="K954" s="8"/>
      <c r="L954" s="8"/>
      <c r="M954" s="8"/>
      <c r="N954" s="8"/>
      <c r="O954" s="8"/>
      <c r="P954" s="8"/>
      <c r="Q954" s="8"/>
      <c r="R954" s="8"/>
      <c r="S954" s="8"/>
      <c r="T954" s="8"/>
      <c r="U954" s="12"/>
      <c r="V954" s="12"/>
      <c r="W954" s="12"/>
      <c r="X954" s="12"/>
      <c r="Y954" s="12"/>
      <c r="Z954" s="12"/>
      <c r="AA954" s="12"/>
      <c r="AB954" s="12"/>
      <c r="AC954" s="12"/>
      <c r="AD954" s="12"/>
      <c r="AE954" s="12"/>
      <c r="AF954" s="12"/>
    </row>
    <row r="955" spans="1:32">
      <c r="A955" s="8"/>
      <c r="B955" s="8"/>
      <c r="C955" s="8"/>
      <c r="D955" s="8"/>
      <c r="E955" s="8"/>
      <c r="F955" s="8"/>
      <c r="G955" s="8"/>
      <c r="H955" s="8"/>
      <c r="I955" s="8"/>
      <c r="J955" s="8"/>
      <c r="K955" s="8"/>
      <c r="L955" s="8"/>
      <c r="M955" s="8"/>
      <c r="N955" s="8"/>
      <c r="O955" s="8"/>
      <c r="P955" s="8"/>
      <c r="Q955" s="8"/>
      <c r="R955" s="8"/>
      <c r="S955" s="8"/>
      <c r="T955" s="8"/>
      <c r="U955" s="12"/>
      <c r="V955" s="12"/>
      <c r="W955" s="12"/>
      <c r="X955" s="12"/>
      <c r="Y955" s="12"/>
      <c r="Z955" s="12"/>
      <c r="AA955" s="12"/>
      <c r="AB955" s="12"/>
      <c r="AC955" s="12"/>
      <c r="AD955" s="12"/>
      <c r="AE955" s="12"/>
      <c r="AF955" s="12"/>
    </row>
    <row r="956" spans="1:32">
      <c r="A956" s="8"/>
      <c r="B956" s="8"/>
      <c r="C956" s="8"/>
      <c r="D956" s="8"/>
      <c r="E956" s="8"/>
      <c r="F956" s="8"/>
      <c r="G956" s="8"/>
      <c r="H956" s="8"/>
      <c r="I956" s="8"/>
      <c r="J956" s="8"/>
      <c r="K956" s="8"/>
      <c r="L956" s="8"/>
      <c r="M956" s="8"/>
      <c r="N956" s="8"/>
      <c r="O956" s="8"/>
      <c r="P956" s="8"/>
      <c r="Q956" s="8"/>
      <c r="R956" s="8"/>
      <c r="S956" s="8"/>
      <c r="T956" s="8"/>
      <c r="U956" s="12"/>
      <c r="V956" s="12"/>
      <c r="W956" s="12"/>
      <c r="X956" s="12"/>
      <c r="Y956" s="12"/>
      <c r="Z956" s="12"/>
      <c r="AA956" s="12"/>
      <c r="AB956" s="12"/>
      <c r="AC956" s="12"/>
      <c r="AD956" s="12"/>
      <c r="AE956" s="12"/>
      <c r="AF956" s="12"/>
    </row>
    <row r="957" spans="1:32">
      <c r="A957" s="8"/>
      <c r="B957" s="8"/>
      <c r="C957" s="8"/>
      <c r="D957" s="8"/>
      <c r="E957" s="8"/>
      <c r="F957" s="8"/>
      <c r="G957" s="8"/>
      <c r="H957" s="8"/>
      <c r="I957" s="8"/>
      <c r="J957" s="8"/>
      <c r="K957" s="8"/>
      <c r="L957" s="8"/>
      <c r="M957" s="8"/>
      <c r="N957" s="8"/>
      <c r="O957" s="8"/>
      <c r="P957" s="8"/>
      <c r="Q957" s="8"/>
      <c r="R957" s="8"/>
      <c r="S957" s="8"/>
      <c r="T957" s="8"/>
      <c r="U957" s="12"/>
      <c r="V957" s="12"/>
      <c r="W957" s="12"/>
      <c r="X957" s="12"/>
      <c r="Y957" s="12"/>
      <c r="Z957" s="12"/>
      <c r="AA957" s="12"/>
      <c r="AB957" s="12"/>
      <c r="AC957" s="12"/>
      <c r="AD957" s="12"/>
      <c r="AE957" s="12"/>
      <c r="AF957" s="12"/>
    </row>
    <row r="958" spans="1:32">
      <c r="A958" s="8"/>
      <c r="B958" s="8"/>
      <c r="C958" s="8"/>
      <c r="D958" s="8"/>
      <c r="E958" s="8"/>
      <c r="F958" s="8"/>
      <c r="G958" s="8"/>
      <c r="H958" s="8"/>
      <c r="I958" s="8"/>
      <c r="J958" s="8"/>
      <c r="K958" s="8"/>
      <c r="L958" s="8"/>
      <c r="M958" s="8"/>
      <c r="N958" s="8"/>
      <c r="O958" s="8"/>
      <c r="P958" s="8"/>
      <c r="Q958" s="8"/>
      <c r="R958" s="8"/>
      <c r="S958" s="8"/>
      <c r="T958" s="8"/>
      <c r="U958" s="12"/>
      <c r="V958" s="12"/>
      <c r="W958" s="12"/>
      <c r="X958" s="12"/>
      <c r="Y958" s="12"/>
      <c r="Z958" s="12"/>
      <c r="AA958" s="12"/>
      <c r="AB958" s="12"/>
      <c r="AC958" s="12"/>
      <c r="AD958" s="12"/>
      <c r="AE958" s="12"/>
      <c r="AF958" s="12"/>
    </row>
    <row r="959" spans="1:32">
      <c r="A959" s="8"/>
      <c r="B959" s="8"/>
      <c r="C959" s="8"/>
      <c r="D959" s="8"/>
      <c r="E959" s="8"/>
      <c r="F959" s="8"/>
      <c r="G959" s="8"/>
      <c r="H959" s="8"/>
      <c r="I959" s="8"/>
      <c r="J959" s="8"/>
      <c r="K959" s="8"/>
      <c r="L959" s="8"/>
      <c r="M959" s="8"/>
      <c r="N959" s="8"/>
      <c r="O959" s="8"/>
      <c r="P959" s="8"/>
      <c r="Q959" s="8"/>
      <c r="R959" s="8"/>
      <c r="S959" s="8"/>
      <c r="T959" s="8"/>
      <c r="U959" s="12"/>
      <c r="V959" s="12"/>
      <c r="W959" s="12"/>
      <c r="X959" s="12"/>
      <c r="Y959" s="12"/>
      <c r="Z959" s="12"/>
      <c r="AA959" s="12"/>
      <c r="AB959" s="12"/>
      <c r="AC959" s="12"/>
      <c r="AD959" s="12"/>
      <c r="AE959" s="12"/>
      <c r="AF959" s="12"/>
    </row>
    <row r="960" spans="1:32">
      <c r="A960" s="8"/>
      <c r="B960" s="8"/>
      <c r="C960" s="8"/>
      <c r="D960" s="8"/>
      <c r="E960" s="8"/>
      <c r="F960" s="8"/>
      <c r="G960" s="8"/>
      <c r="H960" s="8"/>
      <c r="I960" s="8"/>
      <c r="J960" s="8"/>
      <c r="K960" s="8"/>
      <c r="L960" s="8"/>
      <c r="M960" s="8"/>
      <c r="N960" s="8"/>
      <c r="O960" s="8"/>
      <c r="P960" s="8"/>
      <c r="Q960" s="8"/>
      <c r="R960" s="8"/>
      <c r="S960" s="8"/>
      <c r="T960" s="8"/>
      <c r="U960" s="12"/>
      <c r="V960" s="12"/>
      <c r="W960" s="12"/>
      <c r="X960" s="12"/>
      <c r="Y960" s="12"/>
      <c r="Z960" s="12"/>
      <c r="AA960" s="12"/>
      <c r="AB960" s="12"/>
      <c r="AC960" s="12"/>
      <c r="AD960" s="12"/>
      <c r="AE960" s="12"/>
      <c r="AF960" s="12"/>
    </row>
    <row r="961" spans="1:32">
      <c r="A961" s="8"/>
      <c r="B961" s="8"/>
      <c r="C961" s="8"/>
      <c r="D961" s="8"/>
      <c r="E961" s="8"/>
      <c r="F961" s="8"/>
      <c r="G961" s="8"/>
      <c r="H961" s="8"/>
      <c r="I961" s="8"/>
      <c r="J961" s="8"/>
      <c r="K961" s="8"/>
      <c r="L961" s="8"/>
      <c r="M961" s="8"/>
      <c r="N961" s="8"/>
      <c r="O961" s="8"/>
      <c r="P961" s="8"/>
      <c r="Q961" s="8"/>
      <c r="R961" s="8"/>
      <c r="S961" s="8"/>
      <c r="T961" s="8"/>
      <c r="U961" s="12"/>
      <c r="V961" s="12"/>
      <c r="W961" s="12"/>
      <c r="X961" s="12"/>
      <c r="Y961" s="12"/>
      <c r="Z961" s="12"/>
      <c r="AA961" s="12"/>
      <c r="AB961" s="12"/>
      <c r="AC961" s="12"/>
      <c r="AD961" s="12"/>
      <c r="AE961" s="12"/>
      <c r="AF961" s="12"/>
    </row>
    <row r="962" spans="1:32">
      <c r="A962" s="8"/>
      <c r="B962" s="8"/>
      <c r="C962" s="8"/>
      <c r="D962" s="8"/>
      <c r="E962" s="8"/>
      <c r="F962" s="8"/>
      <c r="G962" s="8"/>
      <c r="H962" s="8"/>
      <c r="I962" s="8"/>
      <c r="J962" s="8"/>
      <c r="K962" s="8"/>
      <c r="L962" s="8"/>
      <c r="M962" s="8"/>
      <c r="N962" s="8"/>
      <c r="O962" s="8"/>
      <c r="P962" s="8"/>
      <c r="Q962" s="8"/>
      <c r="R962" s="8"/>
      <c r="S962" s="8"/>
      <c r="T962" s="8"/>
      <c r="U962" s="12"/>
      <c r="V962" s="12"/>
      <c r="W962" s="12"/>
      <c r="X962" s="12"/>
      <c r="Y962" s="12"/>
      <c r="Z962" s="12"/>
      <c r="AA962" s="12"/>
      <c r="AB962" s="12"/>
      <c r="AC962" s="12"/>
      <c r="AD962" s="12"/>
      <c r="AE962" s="12"/>
      <c r="AF962" s="12"/>
    </row>
    <row r="963" spans="1:32">
      <c r="A963" s="8"/>
      <c r="B963" s="8"/>
      <c r="C963" s="8"/>
      <c r="D963" s="8"/>
      <c r="E963" s="8"/>
      <c r="F963" s="8"/>
      <c r="G963" s="8"/>
      <c r="H963" s="8"/>
      <c r="I963" s="8"/>
      <c r="J963" s="8"/>
      <c r="K963" s="8"/>
      <c r="L963" s="8"/>
      <c r="M963" s="8"/>
      <c r="N963" s="8"/>
      <c r="O963" s="8"/>
      <c r="P963" s="8"/>
      <c r="Q963" s="8"/>
      <c r="R963" s="8"/>
      <c r="S963" s="8"/>
      <c r="T963" s="8"/>
      <c r="U963" s="12"/>
      <c r="V963" s="12"/>
      <c r="W963" s="12"/>
      <c r="X963" s="12"/>
      <c r="Y963" s="12"/>
      <c r="Z963" s="12"/>
      <c r="AA963" s="12"/>
      <c r="AB963" s="12"/>
      <c r="AC963" s="12"/>
      <c r="AD963" s="12"/>
      <c r="AE963" s="12"/>
      <c r="AF963" s="12"/>
    </row>
    <row r="964" spans="1:32">
      <c r="A964" s="8"/>
      <c r="B964" s="8"/>
      <c r="C964" s="8"/>
      <c r="D964" s="8"/>
      <c r="E964" s="8"/>
      <c r="F964" s="8"/>
      <c r="G964" s="8"/>
      <c r="H964" s="8"/>
      <c r="I964" s="8"/>
      <c r="J964" s="8"/>
      <c r="K964" s="8"/>
      <c r="L964" s="8"/>
      <c r="M964" s="8"/>
      <c r="N964" s="8"/>
      <c r="O964" s="8"/>
      <c r="P964" s="8"/>
      <c r="Q964" s="8"/>
      <c r="R964" s="8"/>
      <c r="S964" s="8"/>
      <c r="T964" s="8"/>
      <c r="U964" s="12"/>
      <c r="V964" s="12"/>
      <c r="W964" s="12"/>
      <c r="X964" s="12"/>
      <c r="Y964" s="12"/>
      <c r="Z964" s="12"/>
      <c r="AA964" s="12"/>
      <c r="AB964" s="12"/>
      <c r="AC964" s="12"/>
      <c r="AD964" s="12"/>
      <c r="AE964" s="12"/>
      <c r="AF964" s="12"/>
    </row>
    <row r="965" spans="1:32">
      <c r="A965" s="8"/>
      <c r="B965" s="8"/>
      <c r="C965" s="8"/>
      <c r="D965" s="8"/>
      <c r="E965" s="8"/>
      <c r="F965" s="8"/>
      <c r="G965" s="8"/>
      <c r="H965" s="8"/>
      <c r="I965" s="8"/>
      <c r="J965" s="8"/>
      <c r="K965" s="8"/>
      <c r="L965" s="8"/>
      <c r="M965" s="8"/>
      <c r="N965" s="8"/>
      <c r="O965" s="8"/>
      <c r="P965" s="8"/>
      <c r="Q965" s="8"/>
      <c r="R965" s="8"/>
      <c r="S965" s="8"/>
      <c r="T965" s="8"/>
      <c r="U965" s="12"/>
      <c r="V965" s="12"/>
      <c r="W965" s="12"/>
      <c r="X965" s="12"/>
      <c r="Y965" s="12"/>
      <c r="Z965" s="12"/>
      <c r="AA965" s="12"/>
      <c r="AB965" s="12"/>
      <c r="AC965" s="12"/>
      <c r="AD965" s="12"/>
      <c r="AE965" s="12"/>
      <c r="AF965" s="12"/>
    </row>
    <row r="966" spans="1:32">
      <c r="A966" s="8"/>
      <c r="B966" s="8"/>
      <c r="C966" s="8"/>
      <c r="D966" s="8"/>
      <c r="E966" s="8"/>
      <c r="F966" s="8"/>
      <c r="G966" s="8"/>
      <c r="H966" s="8"/>
      <c r="I966" s="8"/>
      <c r="J966" s="8"/>
      <c r="K966" s="8"/>
      <c r="L966" s="8"/>
      <c r="M966" s="8"/>
      <c r="N966" s="8"/>
      <c r="O966" s="8"/>
      <c r="P966" s="8"/>
      <c r="Q966" s="8"/>
      <c r="R966" s="8"/>
      <c r="S966" s="8"/>
      <c r="T966" s="8"/>
      <c r="U966" s="12"/>
      <c r="V966" s="12"/>
      <c r="W966" s="12"/>
      <c r="X966" s="12"/>
      <c r="Y966" s="12"/>
      <c r="Z966" s="12"/>
      <c r="AA966" s="12"/>
      <c r="AB966" s="12"/>
      <c r="AC966" s="12"/>
      <c r="AD966" s="12"/>
      <c r="AE966" s="12"/>
      <c r="AF966" s="12"/>
    </row>
    <row r="967" spans="1:32">
      <c r="A967" s="8"/>
      <c r="B967" s="8"/>
      <c r="C967" s="8"/>
      <c r="D967" s="8"/>
      <c r="E967" s="8"/>
      <c r="F967" s="8"/>
      <c r="G967" s="8"/>
      <c r="H967" s="8"/>
      <c r="I967" s="8"/>
      <c r="J967" s="8"/>
      <c r="K967" s="8"/>
      <c r="L967" s="8"/>
      <c r="M967" s="8"/>
      <c r="N967" s="8"/>
      <c r="O967" s="8"/>
      <c r="P967" s="8"/>
      <c r="Q967" s="8"/>
      <c r="R967" s="8"/>
      <c r="S967" s="8"/>
      <c r="T967" s="8"/>
      <c r="U967" s="12"/>
      <c r="V967" s="12"/>
      <c r="W967" s="12"/>
      <c r="X967" s="12"/>
      <c r="Y967" s="12"/>
      <c r="Z967" s="12"/>
      <c r="AA967" s="12"/>
      <c r="AB967" s="12"/>
      <c r="AC967" s="12"/>
      <c r="AD967" s="12"/>
      <c r="AE967" s="12"/>
      <c r="AF967" s="12"/>
    </row>
    <row r="968" spans="1:32">
      <c r="A968" s="8"/>
      <c r="B968" s="8"/>
      <c r="C968" s="8"/>
      <c r="D968" s="8"/>
      <c r="E968" s="8"/>
      <c r="F968" s="8"/>
      <c r="G968" s="8"/>
      <c r="H968" s="8"/>
      <c r="I968" s="8"/>
      <c r="J968" s="8"/>
      <c r="K968" s="8"/>
      <c r="L968" s="8"/>
      <c r="M968" s="8"/>
      <c r="N968" s="8"/>
      <c r="O968" s="8"/>
      <c r="P968" s="8"/>
      <c r="Q968" s="8"/>
      <c r="R968" s="8"/>
      <c r="S968" s="8"/>
      <c r="T968" s="8"/>
      <c r="U968" s="12"/>
      <c r="V968" s="12"/>
      <c r="W968" s="12"/>
      <c r="X968" s="12"/>
      <c r="Y968" s="12"/>
      <c r="Z968" s="12"/>
      <c r="AA968" s="12"/>
      <c r="AB968" s="12"/>
      <c r="AC968" s="12"/>
      <c r="AD968" s="12"/>
      <c r="AE968" s="12"/>
      <c r="AF968" s="12"/>
    </row>
    <row r="969" spans="1:32">
      <c r="A969" s="8"/>
      <c r="B969" s="8"/>
      <c r="C969" s="8"/>
      <c r="D969" s="8"/>
      <c r="E969" s="8"/>
      <c r="F969" s="8"/>
      <c r="G969" s="8"/>
      <c r="H969" s="8"/>
      <c r="I969" s="8"/>
      <c r="J969" s="8"/>
      <c r="K969" s="8"/>
      <c r="L969" s="8"/>
      <c r="M969" s="8"/>
      <c r="N969" s="8"/>
      <c r="O969" s="8"/>
      <c r="P969" s="8"/>
      <c r="Q969" s="8"/>
      <c r="R969" s="8"/>
      <c r="S969" s="8"/>
      <c r="T969" s="8"/>
      <c r="U969" s="12"/>
      <c r="V969" s="12"/>
      <c r="W969" s="12"/>
      <c r="X969" s="12"/>
      <c r="Y969" s="12"/>
      <c r="Z969" s="12"/>
      <c r="AA969" s="12"/>
      <c r="AB969" s="12"/>
      <c r="AC969" s="12"/>
      <c r="AD969" s="12"/>
      <c r="AE969" s="12"/>
      <c r="AF969" s="12"/>
    </row>
    <row r="970" spans="1:32">
      <c r="A970" s="8"/>
      <c r="B970" s="8"/>
      <c r="C970" s="8"/>
      <c r="D970" s="8"/>
      <c r="E970" s="8"/>
      <c r="F970" s="8"/>
      <c r="G970" s="8"/>
      <c r="H970" s="8"/>
      <c r="I970" s="8"/>
      <c r="J970" s="8"/>
      <c r="K970" s="8"/>
      <c r="L970" s="8"/>
      <c r="M970" s="8"/>
      <c r="N970" s="8"/>
      <c r="O970" s="8"/>
      <c r="P970" s="8"/>
      <c r="Q970" s="8"/>
      <c r="R970" s="8"/>
      <c r="S970" s="8"/>
      <c r="T970" s="8"/>
      <c r="U970" s="12"/>
      <c r="V970" s="12"/>
      <c r="W970" s="12"/>
      <c r="X970" s="12"/>
      <c r="Y970" s="12"/>
      <c r="Z970" s="12"/>
      <c r="AA970" s="12"/>
      <c r="AB970" s="12"/>
      <c r="AC970" s="12"/>
      <c r="AD970" s="12"/>
      <c r="AE970" s="12"/>
      <c r="AF970" s="12"/>
    </row>
    <row r="971" spans="1:32">
      <c r="A971" s="8"/>
      <c r="B971" s="8"/>
      <c r="C971" s="8"/>
      <c r="D971" s="8"/>
      <c r="E971" s="8"/>
      <c r="F971" s="8"/>
      <c r="G971" s="8"/>
      <c r="H971" s="8"/>
      <c r="I971" s="8"/>
      <c r="J971" s="8"/>
      <c r="K971" s="8"/>
      <c r="L971" s="8"/>
      <c r="M971" s="8"/>
      <c r="N971" s="8"/>
      <c r="O971" s="8"/>
      <c r="P971" s="8"/>
      <c r="Q971" s="8"/>
      <c r="R971" s="8"/>
      <c r="S971" s="8"/>
      <c r="T971" s="8"/>
      <c r="U971" s="12"/>
      <c r="V971" s="12"/>
      <c r="W971" s="12"/>
      <c r="X971" s="12"/>
      <c r="Y971" s="12"/>
      <c r="Z971" s="12"/>
      <c r="AA971" s="12"/>
      <c r="AB971" s="12"/>
      <c r="AC971" s="12"/>
      <c r="AD971" s="12"/>
      <c r="AE971" s="12"/>
      <c r="AF971" s="12"/>
    </row>
    <row r="972" spans="1:32">
      <c r="A972" s="8"/>
      <c r="B972" s="8"/>
      <c r="C972" s="8"/>
      <c r="D972" s="8"/>
      <c r="E972" s="8"/>
      <c r="F972" s="8"/>
      <c r="G972" s="8"/>
      <c r="H972" s="8"/>
      <c r="I972" s="8"/>
      <c r="J972" s="8"/>
      <c r="K972" s="8"/>
      <c r="L972" s="8"/>
      <c r="M972" s="8"/>
      <c r="N972" s="8"/>
      <c r="O972" s="8"/>
      <c r="P972" s="8"/>
      <c r="Q972" s="8"/>
      <c r="R972" s="8"/>
      <c r="S972" s="8"/>
      <c r="T972" s="8"/>
      <c r="U972" s="12"/>
      <c r="V972" s="12"/>
      <c r="W972" s="12"/>
      <c r="X972" s="12"/>
      <c r="Y972" s="12"/>
      <c r="Z972" s="12"/>
      <c r="AA972" s="12"/>
      <c r="AB972" s="12"/>
      <c r="AC972" s="12"/>
      <c r="AD972" s="12"/>
      <c r="AE972" s="12"/>
      <c r="AF972" s="12"/>
    </row>
    <row r="973" spans="1:32">
      <c r="A973" s="8"/>
      <c r="B973" s="8"/>
      <c r="C973" s="8"/>
      <c r="D973" s="8"/>
      <c r="E973" s="8"/>
      <c r="F973" s="8"/>
      <c r="G973" s="8"/>
      <c r="H973" s="8"/>
      <c r="I973" s="8"/>
      <c r="J973" s="8"/>
      <c r="K973" s="8"/>
      <c r="L973" s="8"/>
      <c r="M973" s="8"/>
      <c r="N973" s="8"/>
      <c r="O973" s="8"/>
      <c r="P973" s="8"/>
      <c r="Q973" s="8"/>
      <c r="R973" s="8"/>
      <c r="S973" s="8"/>
      <c r="T973" s="8"/>
      <c r="U973" s="12"/>
      <c r="V973" s="12"/>
      <c r="W973" s="12"/>
      <c r="X973" s="12"/>
      <c r="Y973" s="12"/>
      <c r="Z973" s="12"/>
      <c r="AA973" s="12"/>
      <c r="AB973" s="12"/>
      <c r="AC973" s="12"/>
      <c r="AD973" s="12"/>
      <c r="AE973" s="12"/>
      <c r="AF973" s="12"/>
    </row>
    <row r="974" spans="1:32">
      <c r="A974" s="8"/>
      <c r="B974" s="8"/>
      <c r="C974" s="8"/>
      <c r="D974" s="8"/>
      <c r="E974" s="8"/>
      <c r="F974" s="8"/>
      <c r="G974" s="8"/>
      <c r="H974" s="8"/>
      <c r="I974" s="8"/>
      <c r="J974" s="8"/>
      <c r="K974" s="8"/>
      <c r="L974" s="8"/>
      <c r="M974" s="8"/>
      <c r="N974" s="8"/>
      <c r="O974" s="8"/>
      <c r="P974" s="8"/>
      <c r="Q974" s="8"/>
      <c r="R974" s="8"/>
      <c r="S974" s="8"/>
      <c r="T974" s="8"/>
      <c r="U974" s="12"/>
      <c r="V974" s="12"/>
      <c r="W974" s="12"/>
      <c r="X974" s="12"/>
      <c r="Y974" s="12"/>
      <c r="Z974" s="12"/>
      <c r="AA974" s="12"/>
      <c r="AB974" s="12"/>
      <c r="AC974" s="12"/>
      <c r="AD974" s="12"/>
      <c r="AE974" s="12"/>
      <c r="AF974" s="12"/>
    </row>
    <row r="975" spans="1:32">
      <c r="A975" s="8"/>
      <c r="B975" s="8"/>
      <c r="C975" s="8"/>
      <c r="D975" s="8"/>
      <c r="E975" s="8"/>
      <c r="F975" s="8"/>
      <c r="G975" s="8"/>
      <c r="H975" s="8"/>
      <c r="I975" s="8"/>
      <c r="J975" s="8"/>
      <c r="K975" s="8"/>
      <c r="L975" s="8"/>
      <c r="M975" s="8"/>
      <c r="N975" s="8"/>
      <c r="O975" s="8"/>
      <c r="P975" s="8"/>
      <c r="Q975" s="8"/>
      <c r="R975" s="8"/>
      <c r="S975" s="8"/>
      <c r="T975" s="8"/>
      <c r="U975" s="12"/>
      <c r="V975" s="12"/>
      <c r="W975" s="12"/>
      <c r="X975" s="12"/>
      <c r="Y975" s="12"/>
      <c r="Z975" s="12"/>
      <c r="AA975" s="12"/>
      <c r="AB975" s="12"/>
      <c r="AC975" s="12"/>
      <c r="AD975" s="12"/>
      <c r="AE975" s="12"/>
      <c r="AF975" s="12"/>
    </row>
    <row r="976" spans="1:32">
      <c r="A976" s="8"/>
      <c r="B976" s="8"/>
      <c r="C976" s="8"/>
      <c r="D976" s="8"/>
      <c r="E976" s="8"/>
      <c r="F976" s="8"/>
      <c r="G976" s="8"/>
      <c r="H976" s="8"/>
      <c r="I976" s="8"/>
      <c r="J976" s="8"/>
      <c r="K976" s="8"/>
      <c r="L976" s="8"/>
      <c r="M976" s="8"/>
      <c r="N976" s="8"/>
      <c r="O976" s="8"/>
      <c r="P976" s="8"/>
      <c r="Q976" s="8"/>
      <c r="R976" s="8"/>
      <c r="S976" s="8"/>
      <c r="T976" s="8"/>
      <c r="U976" s="12"/>
      <c r="V976" s="12"/>
      <c r="W976" s="12"/>
      <c r="X976" s="12"/>
      <c r="Y976" s="12"/>
      <c r="Z976" s="12"/>
      <c r="AA976" s="12"/>
      <c r="AB976" s="12"/>
      <c r="AC976" s="12"/>
      <c r="AD976" s="12"/>
      <c r="AE976" s="12"/>
      <c r="AF976" s="12"/>
    </row>
    <row r="977" spans="1:32">
      <c r="A977" s="8"/>
      <c r="B977" s="8"/>
      <c r="C977" s="8"/>
      <c r="D977" s="8"/>
      <c r="E977" s="8"/>
      <c r="F977" s="8"/>
      <c r="G977" s="8"/>
      <c r="H977" s="8"/>
      <c r="I977" s="8"/>
      <c r="J977" s="8"/>
      <c r="K977" s="8"/>
      <c r="L977" s="8"/>
      <c r="M977" s="8"/>
      <c r="N977" s="8"/>
      <c r="O977" s="8"/>
      <c r="P977" s="8"/>
      <c r="Q977" s="8"/>
      <c r="R977" s="8"/>
      <c r="S977" s="8"/>
      <c r="T977" s="8"/>
      <c r="U977" s="12"/>
      <c r="V977" s="12"/>
      <c r="W977" s="12"/>
      <c r="X977" s="12"/>
      <c r="Y977" s="12"/>
      <c r="Z977" s="12"/>
      <c r="AA977" s="12"/>
      <c r="AB977" s="12"/>
      <c r="AC977" s="12"/>
      <c r="AD977" s="12"/>
      <c r="AE977" s="12"/>
      <c r="AF977" s="12"/>
    </row>
    <row r="978" spans="1:32">
      <c r="A978" s="8"/>
      <c r="B978" s="8"/>
      <c r="C978" s="8"/>
      <c r="D978" s="8"/>
      <c r="E978" s="8"/>
      <c r="F978" s="8"/>
      <c r="G978" s="8"/>
      <c r="H978" s="8"/>
      <c r="I978" s="8"/>
      <c r="J978" s="8"/>
      <c r="K978" s="8"/>
      <c r="L978" s="8"/>
      <c r="M978" s="8"/>
      <c r="N978" s="8"/>
      <c r="O978" s="8"/>
      <c r="P978" s="8"/>
      <c r="Q978" s="8"/>
      <c r="R978" s="8"/>
      <c r="S978" s="8"/>
      <c r="T978" s="8"/>
      <c r="U978" s="12"/>
      <c r="V978" s="12"/>
      <c r="W978" s="12"/>
      <c r="X978" s="12"/>
      <c r="Y978" s="12"/>
      <c r="Z978" s="12"/>
      <c r="AA978" s="12"/>
      <c r="AB978" s="12"/>
      <c r="AC978" s="12"/>
      <c r="AD978" s="12"/>
      <c r="AE978" s="12"/>
      <c r="AF978" s="12"/>
    </row>
    <row r="979" spans="1:32">
      <c r="A979" s="8"/>
      <c r="B979" s="8"/>
      <c r="C979" s="8"/>
      <c r="D979" s="8"/>
      <c r="E979" s="8"/>
      <c r="F979" s="8"/>
      <c r="G979" s="8"/>
      <c r="H979" s="8"/>
      <c r="I979" s="8"/>
      <c r="J979" s="8"/>
      <c r="K979" s="8"/>
      <c r="L979" s="8"/>
      <c r="M979" s="8"/>
      <c r="N979" s="8"/>
      <c r="O979" s="8"/>
      <c r="P979" s="8"/>
      <c r="Q979" s="8"/>
      <c r="R979" s="8"/>
      <c r="S979" s="8"/>
      <c r="T979" s="8"/>
      <c r="U979" s="12"/>
      <c r="V979" s="12"/>
      <c r="W979" s="12"/>
      <c r="X979" s="12"/>
      <c r="Y979" s="12"/>
      <c r="Z979" s="12"/>
      <c r="AA979" s="12"/>
      <c r="AB979" s="12"/>
      <c r="AC979" s="12"/>
      <c r="AD979" s="12"/>
      <c r="AE979" s="12"/>
      <c r="AF979" s="12"/>
    </row>
    <row r="980" spans="1:32">
      <c r="A980" s="8"/>
      <c r="B980" s="8"/>
      <c r="C980" s="8"/>
      <c r="D980" s="8"/>
      <c r="E980" s="8"/>
      <c r="F980" s="8"/>
      <c r="G980" s="8"/>
      <c r="H980" s="8"/>
      <c r="I980" s="8"/>
      <c r="J980" s="8"/>
      <c r="K980" s="8"/>
      <c r="L980" s="8"/>
      <c r="M980" s="8"/>
      <c r="N980" s="8"/>
      <c r="O980" s="8"/>
      <c r="P980" s="8"/>
      <c r="Q980" s="8"/>
      <c r="R980" s="8"/>
      <c r="S980" s="8"/>
      <c r="T980" s="8"/>
      <c r="U980" s="12"/>
      <c r="V980" s="12"/>
      <c r="W980" s="12"/>
      <c r="X980" s="12"/>
      <c r="Y980" s="12"/>
      <c r="Z980" s="12"/>
      <c r="AA980" s="12"/>
      <c r="AB980" s="12"/>
      <c r="AC980" s="12"/>
      <c r="AD980" s="12"/>
      <c r="AE980" s="12"/>
      <c r="AF980" s="12"/>
    </row>
    <row r="981" spans="1:32">
      <c r="A981" s="8"/>
      <c r="B981" s="8"/>
      <c r="C981" s="8"/>
      <c r="D981" s="8"/>
      <c r="E981" s="8"/>
      <c r="F981" s="8"/>
      <c r="G981" s="8"/>
      <c r="H981" s="8"/>
      <c r="I981" s="8"/>
      <c r="J981" s="8"/>
      <c r="K981" s="8"/>
      <c r="L981" s="8"/>
      <c r="M981" s="8"/>
      <c r="N981" s="8"/>
      <c r="O981" s="8"/>
      <c r="P981" s="8"/>
      <c r="Q981" s="8"/>
      <c r="R981" s="8"/>
      <c r="S981" s="8"/>
      <c r="T981" s="8"/>
      <c r="U981" s="12"/>
      <c r="V981" s="12"/>
      <c r="W981" s="12"/>
      <c r="X981" s="12"/>
      <c r="Y981" s="12"/>
      <c r="Z981" s="12"/>
      <c r="AA981" s="12"/>
      <c r="AB981" s="12"/>
      <c r="AC981" s="12"/>
      <c r="AD981" s="12"/>
      <c r="AE981" s="12"/>
      <c r="AF981" s="12"/>
    </row>
    <row r="982" spans="1:32">
      <c r="A982" s="8"/>
      <c r="B982" s="8"/>
      <c r="C982" s="8"/>
      <c r="D982" s="8"/>
      <c r="E982" s="8"/>
      <c r="F982" s="8"/>
      <c r="G982" s="8"/>
      <c r="H982" s="8"/>
      <c r="I982" s="8"/>
      <c r="J982" s="8"/>
      <c r="K982" s="8"/>
      <c r="L982" s="8"/>
      <c r="M982" s="8"/>
      <c r="N982" s="8"/>
      <c r="O982" s="8"/>
      <c r="P982" s="8"/>
      <c r="Q982" s="8"/>
      <c r="R982" s="8"/>
      <c r="S982" s="8"/>
      <c r="T982" s="8"/>
      <c r="U982" s="12"/>
      <c r="V982" s="12"/>
      <c r="W982" s="12"/>
      <c r="X982" s="12"/>
      <c r="Y982" s="12"/>
      <c r="Z982" s="12"/>
      <c r="AA982" s="12"/>
      <c r="AB982" s="12"/>
      <c r="AC982" s="12"/>
      <c r="AD982" s="12"/>
      <c r="AE982" s="12"/>
      <c r="AF982" s="12"/>
    </row>
    <row r="983" spans="1:32">
      <c r="A983" s="8"/>
      <c r="B983" s="8"/>
      <c r="C983" s="8"/>
      <c r="D983" s="8"/>
      <c r="E983" s="8"/>
      <c r="F983" s="8"/>
      <c r="G983" s="8"/>
      <c r="H983" s="8"/>
      <c r="I983" s="8"/>
      <c r="J983" s="8"/>
      <c r="K983" s="8"/>
      <c r="L983" s="8"/>
      <c r="M983" s="8"/>
      <c r="N983" s="8"/>
      <c r="O983" s="8"/>
      <c r="P983" s="8"/>
      <c r="Q983" s="8"/>
      <c r="R983" s="8"/>
      <c r="S983" s="8"/>
      <c r="T983" s="8"/>
      <c r="U983" s="12"/>
      <c r="V983" s="12"/>
      <c r="W983" s="12"/>
      <c r="X983" s="12"/>
      <c r="Y983" s="12"/>
      <c r="Z983" s="12"/>
      <c r="AA983" s="12"/>
      <c r="AB983" s="12"/>
      <c r="AC983" s="12"/>
      <c r="AD983" s="12"/>
      <c r="AE983" s="12"/>
      <c r="AF983" s="12"/>
    </row>
    <row r="984" spans="1:32">
      <c r="A984" s="8"/>
      <c r="B984" s="8"/>
      <c r="C984" s="8"/>
      <c r="D984" s="8"/>
      <c r="E984" s="8"/>
      <c r="F984" s="8"/>
      <c r="G984" s="8"/>
      <c r="H984" s="8"/>
      <c r="I984" s="8"/>
      <c r="J984" s="8"/>
      <c r="K984" s="8"/>
      <c r="L984" s="8"/>
      <c r="M984" s="8"/>
      <c r="N984" s="8"/>
      <c r="O984" s="8"/>
      <c r="P984" s="8"/>
      <c r="Q984" s="8"/>
      <c r="R984" s="8"/>
      <c r="S984" s="8"/>
      <c r="T984" s="8"/>
      <c r="U984" s="12"/>
      <c r="V984" s="12"/>
      <c r="W984" s="12"/>
      <c r="X984" s="12"/>
      <c r="Y984" s="12"/>
      <c r="Z984" s="12"/>
      <c r="AA984" s="12"/>
      <c r="AB984" s="12"/>
      <c r="AC984" s="12"/>
      <c r="AD984" s="12"/>
      <c r="AE984" s="12"/>
      <c r="AF984" s="12"/>
    </row>
    <row r="985" spans="1:32">
      <c r="A985" s="8"/>
      <c r="B985" s="8"/>
      <c r="C985" s="8"/>
      <c r="D985" s="8"/>
      <c r="E985" s="8"/>
      <c r="F985" s="8"/>
      <c r="G985" s="8"/>
      <c r="H985" s="8"/>
      <c r="I985" s="8"/>
      <c r="J985" s="8"/>
      <c r="K985" s="8"/>
      <c r="L985" s="8"/>
      <c r="M985" s="8"/>
      <c r="N985" s="8"/>
      <c r="O985" s="8"/>
      <c r="P985" s="8"/>
      <c r="Q985" s="8"/>
      <c r="R985" s="8"/>
      <c r="S985" s="8"/>
      <c r="T985" s="8"/>
      <c r="U985" s="12"/>
      <c r="V985" s="12"/>
      <c r="W985" s="12"/>
      <c r="X985" s="12"/>
      <c r="Y985" s="12"/>
      <c r="Z985" s="12"/>
      <c r="AA985" s="12"/>
      <c r="AB985" s="12"/>
      <c r="AC985" s="12"/>
      <c r="AD985" s="12"/>
      <c r="AE985" s="12"/>
      <c r="AF985" s="12"/>
    </row>
    <row r="986" spans="1:32">
      <c r="A986" s="8"/>
      <c r="B986" s="8"/>
      <c r="C986" s="8"/>
      <c r="D986" s="8"/>
      <c r="E986" s="8"/>
      <c r="F986" s="8"/>
      <c r="G986" s="8"/>
      <c r="H986" s="8"/>
      <c r="I986" s="8"/>
      <c r="J986" s="8"/>
      <c r="K986" s="8"/>
      <c r="L986" s="8"/>
      <c r="M986" s="8"/>
      <c r="N986" s="8"/>
      <c r="O986" s="8"/>
      <c r="P986" s="8"/>
      <c r="Q986" s="8"/>
      <c r="R986" s="8"/>
      <c r="S986" s="8"/>
      <c r="T986" s="8"/>
      <c r="U986" s="12"/>
      <c r="V986" s="12"/>
      <c r="W986" s="12"/>
      <c r="X986" s="12"/>
      <c r="Y986" s="12"/>
      <c r="Z986" s="12"/>
      <c r="AA986" s="12"/>
      <c r="AB986" s="12"/>
      <c r="AC986" s="12"/>
      <c r="AD986" s="12"/>
      <c r="AE986" s="12"/>
      <c r="AF986" s="12"/>
    </row>
    <row r="987" spans="1:32">
      <c r="A987" s="8"/>
      <c r="B987" s="8"/>
      <c r="C987" s="8"/>
      <c r="D987" s="8"/>
      <c r="E987" s="8"/>
      <c r="F987" s="8"/>
      <c r="G987" s="8"/>
      <c r="H987" s="8"/>
      <c r="I987" s="8"/>
      <c r="J987" s="8"/>
      <c r="K987" s="8"/>
      <c r="L987" s="8"/>
      <c r="M987" s="8"/>
      <c r="N987" s="8"/>
      <c r="O987" s="8"/>
      <c r="P987" s="8"/>
      <c r="Q987" s="8"/>
      <c r="R987" s="8"/>
      <c r="S987" s="8"/>
      <c r="T987" s="8"/>
      <c r="U987" s="12"/>
      <c r="V987" s="12"/>
      <c r="W987" s="12"/>
      <c r="X987" s="12"/>
      <c r="Y987" s="12"/>
      <c r="Z987" s="12"/>
      <c r="AA987" s="12"/>
      <c r="AB987" s="12"/>
      <c r="AC987" s="12"/>
      <c r="AD987" s="12"/>
      <c r="AE987" s="12"/>
      <c r="AF987" s="12"/>
    </row>
    <row r="988" spans="1:32">
      <c r="A988" s="8"/>
      <c r="B988" s="8"/>
      <c r="C988" s="8"/>
      <c r="D988" s="8"/>
      <c r="E988" s="8"/>
      <c r="F988" s="8"/>
      <c r="G988" s="8"/>
      <c r="H988" s="8"/>
      <c r="I988" s="8"/>
      <c r="J988" s="8"/>
      <c r="K988" s="8"/>
      <c r="L988" s="8"/>
      <c r="M988" s="8"/>
      <c r="N988" s="8"/>
      <c r="O988" s="8"/>
      <c r="P988" s="8"/>
      <c r="Q988" s="8"/>
      <c r="R988" s="8"/>
      <c r="S988" s="8"/>
      <c r="T988" s="8"/>
      <c r="U988" s="12"/>
      <c r="V988" s="12"/>
      <c r="W988" s="12"/>
      <c r="X988" s="12"/>
      <c r="Y988" s="12"/>
      <c r="Z988" s="12"/>
      <c r="AA988" s="12"/>
      <c r="AB988" s="12"/>
      <c r="AC988" s="12"/>
      <c r="AD988" s="12"/>
      <c r="AE988" s="12"/>
      <c r="AF988" s="12"/>
    </row>
    <row r="989" spans="1:32">
      <c r="A989" s="8"/>
      <c r="B989" s="8"/>
      <c r="C989" s="8"/>
      <c r="D989" s="8"/>
      <c r="E989" s="8"/>
      <c r="F989" s="8"/>
      <c r="G989" s="8"/>
      <c r="H989" s="8"/>
      <c r="I989" s="8"/>
      <c r="J989" s="8"/>
      <c r="K989" s="8"/>
      <c r="L989" s="8"/>
      <c r="M989" s="8"/>
      <c r="N989" s="8"/>
      <c r="O989" s="8"/>
      <c r="P989" s="8"/>
      <c r="Q989" s="8"/>
      <c r="R989" s="8"/>
      <c r="S989" s="8"/>
      <c r="T989" s="8"/>
      <c r="U989" s="12"/>
      <c r="V989" s="12"/>
      <c r="W989" s="12"/>
      <c r="X989" s="12"/>
      <c r="Y989" s="12"/>
      <c r="Z989" s="12"/>
      <c r="AA989" s="12"/>
      <c r="AB989" s="12"/>
      <c r="AC989" s="12"/>
      <c r="AD989" s="12"/>
      <c r="AE989" s="12"/>
      <c r="AF989" s="12"/>
    </row>
    <row r="990" spans="1:32">
      <c r="A990" s="8"/>
      <c r="B990" s="8"/>
      <c r="C990" s="8"/>
      <c r="D990" s="8"/>
      <c r="E990" s="8"/>
      <c r="F990" s="8"/>
      <c r="G990" s="8"/>
      <c r="H990" s="8"/>
      <c r="I990" s="8"/>
      <c r="J990" s="8"/>
      <c r="K990" s="8"/>
      <c r="L990" s="8"/>
      <c r="M990" s="8"/>
      <c r="N990" s="8"/>
      <c r="O990" s="8"/>
      <c r="P990" s="8"/>
      <c r="Q990" s="8"/>
      <c r="R990" s="8"/>
      <c r="S990" s="8"/>
      <c r="T990" s="8"/>
      <c r="U990" s="12"/>
      <c r="V990" s="12"/>
      <c r="W990" s="12"/>
      <c r="X990" s="12"/>
      <c r="Y990" s="12"/>
      <c r="Z990" s="12"/>
      <c r="AA990" s="12"/>
      <c r="AB990" s="12"/>
      <c r="AC990" s="12"/>
      <c r="AD990" s="12"/>
      <c r="AE990" s="12"/>
      <c r="AF990" s="12"/>
    </row>
    <row r="991" spans="1:32">
      <c r="A991" s="8"/>
      <c r="B991" s="8"/>
      <c r="C991" s="8"/>
      <c r="D991" s="8"/>
      <c r="E991" s="8"/>
      <c r="F991" s="8"/>
      <c r="G991" s="8"/>
      <c r="H991" s="8"/>
      <c r="I991" s="8"/>
      <c r="J991" s="8"/>
      <c r="K991" s="8"/>
      <c r="L991" s="8"/>
      <c r="M991" s="8"/>
      <c r="N991" s="8"/>
      <c r="O991" s="8"/>
      <c r="P991" s="8"/>
      <c r="Q991" s="8"/>
      <c r="R991" s="8"/>
      <c r="S991" s="8"/>
      <c r="T991" s="8"/>
      <c r="U991" s="12"/>
      <c r="V991" s="12"/>
      <c r="W991" s="12"/>
      <c r="X991" s="12"/>
      <c r="Y991" s="12"/>
      <c r="Z991" s="12"/>
      <c r="AA991" s="12"/>
      <c r="AB991" s="12"/>
      <c r="AC991" s="12"/>
      <c r="AD991" s="12"/>
      <c r="AE991" s="12"/>
      <c r="AF991" s="12"/>
    </row>
    <row r="992" spans="1:32">
      <c r="A992" s="8"/>
      <c r="B992" s="8"/>
      <c r="C992" s="8"/>
      <c r="D992" s="8"/>
      <c r="E992" s="8"/>
      <c r="F992" s="8"/>
      <c r="G992" s="8"/>
      <c r="H992" s="8"/>
      <c r="I992" s="8"/>
      <c r="J992" s="8"/>
      <c r="K992" s="8"/>
      <c r="L992" s="8"/>
      <c r="M992" s="8"/>
      <c r="N992" s="8"/>
      <c r="O992" s="8"/>
      <c r="P992" s="8"/>
      <c r="Q992" s="8"/>
      <c r="R992" s="8"/>
      <c r="S992" s="8"/>
      <c r="T992" s="8"/>
      <c r="U992" s="12"/>
      <c r="V992" s="12"/>
      <c r="W992" s="12"/>
      <c r="X992" s="12"/>
      <c r="Y992" s="12"/>
      <c r="Z992" s="12"/>
      <c r="AA992" s="12"/>
      <c r="AB992" s="12"/>
      <c r="AC992" s="12"/>
      <c r="AD992" s="12"/>
      <c r="AE992" s="12"/>
      <c r="AF992" s="12"/>
    </row>
    <row r="993" spans="1:32">
      <c r="A993" s="8"/>
      <c r="B993" s="8"/>
      <c r="C993" s="8"/>
      <c r="D993" s="8"/>
      <c r="E993" s="8"/>
      <c r="F993" s="8"/>
      <c r="G993" s="8"/>
      <c r="H993" s="8"/>
      <c r="I993" s="8"/>
      <c r="J993" s="8"/>
      <c r="K993" s="8"/>
      <c r="L993" s="8"/>
      <c r="M993" s="8"/>
      <c r="N993" s="8"/>
      <c r="O993" s="8"/>
      <c r="P993" s="8"/>
      <c r="Q993" s="8"/>
      <c r="R993" s="8"/>
      <c r="S993" s="8"/>
      <c r="T993" s="8"/>
      <c r="U993" s="12"/>
      <c r="V993" s="12"/>
      <c r="W993" s="12"/>
      <c r="X993" s="12"/>
      <c r="Y993" s="12"/>
      <c r="Z993" s="12"/>
      <c r="AA993" s="12"/>
      <c r="AB993" s="12"/>
      <c r="AC993" s="12"/>
      <c r="AD993" s="12"/>
      <c r="AE993" s="12"/>
      <c r="AF993" s="12"/>
    </row>
    <row r="994" spans="1:32">
      <c r="A994" s="8"/>
      <c r="B994" s="8"/>
      <c r="C994" s="8"/>
      <c r="D994" s="8"/>
      <c r="E994" s="8"/>
      <c r="F994" s="8"/>
      <c r="G994" s="8"/>
      <c r="H994" s="8"/>
      <c r="I994" s="8"/>
      <c r="J994" s="8"/>
      <c r="K994" s="8"/>
      <c r="L994" s="8"/>
      <c r="M994" s="8"/>
      <c r="N994" s="8"/>
      <c r="O994" s="8"/>
      <c r="P994" s="8"/>
      <c r="Q994" s="8"/>
      <c r="R994" s="8"/>
      <c r="S994" s="8"/>
      <c r="T994" s="8"/>
      <c r="U994" s="12"/>
      <c r="V994" s="12"/>
      <c r="W994" s="12"/>
      <c r="X994" s="12"/>
      <c r="Y994" s="12"/>
      <c r="Z994" s="12"/>
      <c r="AA994" s="12"/>
      <c r="AB994" s="12"/>
      <c r="AC994" s="12"/>
      <c r="AD994" s="12"/>
      <c r="AE994" s="12"/>
      <c r="AF994" s="12"/>
    </row>
    <row r="995" spans="1:32">
      <c r="A995" s="8"/>
      <c r="B995" s="8"/>
      <c r="C995" s="8"/>
      <c r="D995" s="8"/>
      <c r="E995" s="8"/>
      <c r="F995" s="8"/>
      <c r="G995" s="8"/>
      <c r="H995" s="8"/>
      <c r="I995" s="8"/>
      <c r="J995" s="8"/>
      <c r="K995" s="8"/>
      <c r="L995" s="8"/>
      <c r="M995" s="8"/>
      <c r="N995" s="8"/>
      <c r="O995" s="8"/>
      <c r="P995" s="8"/>
      <c r="Q995" s="8"/>
      <c r="R995" s="8"/>
      <c r="S995" s="8"/>
      <c r="T995" s="8"/>
      <c r="U995" s="12"/>
      <c r="V995" s="12"/>
      <c r="W995" s="12"/>
      <c r="X995" s="12"/>
      <c r="Y995" s="12"/>
      <c r="Z995" s="12"/>
      <c r="AA995" s="12"/>
      <c r="AB995" s="12"/>
      <c r="AC995" s="12"/>
      <c r="AD995" s="12"/>
      <c r="AE995" s="12"/>
      <c r="AF995" s="12"/>
    </row>
    <row r="996" spans="1:32">
      <c r="A996" s="8"/>
      <c r="B996" s="8"/>
      <c r="C996" s="8"/>
      <c r="D996" s="8"/>
      <c r="E996" s="8"/>
      <c r="F996" s="8"/>
      <c r="G996" s="8"/>
      <c r="H996" s="8"/>
      <c r="I996" s="8"/>
      <c r="J996" s="8"/>
      <c r="K996" s="8"/>
      <c r="L996" s="8"/>
      <c r="M996" s="8"/>
      <c r="N996" s="8"/>
      <c r="O996" s="8"/>
      <c r="P996" s="8"/>
      <c r="Q996" s="8"/>
      <c r="R996" s="8"/>
      <c r="S996" s="8"/>
      <c r="T996" s="8"/>
      <c r="U996" s="12"/>
      <c r="V996" s="12"/>
      <c r="W996" s="12"/>
      <c r="X996" s="12"/>
      <c r="Y996" s="12"/>
      <c r="Z996" s="12"/>
      <c r="AA996" s="12"/>
      <c r="AB996" s="12"/>
      <c r="AC996" s="12"/>
      <c r="AD996" s="12"/>
      <c r="AE996" s="12"/>
      <c r="AF996" s="12"/>
    </row>
    <row r="997" spans="1:32">
      <c r="A997" s="8"/>
      <c r="B997" s="8"/>
      <c r="C997" s="8"/>
      <c r="D997" s="8"/>
      <c r="E997" s="8"/>
      <c r="F997" s="8"/>
      <c r="G997" s="8"/>
      <c r="H997" s="8"/>
      <c r="I997" s="8"/>
      <c r="J997" s="8"/>
      <c r="K997" s="8"/>
      <c r="L997" s="8"/>
      <c r="M997" s="8"/>
      <c r="N997" s="8"/>
      <c r="O997" s="8"/>
      <c r="P997" s="8"/>
      <c r="Q997" s="8"/>
      <c r="R997" s="8"/>
      <c r="S997" s="8"/>
      <c r="T997" s="8"/>
      <c r="U997" s="12"/>
      <c r="V997" s="12"/>
      <c r="W997" s="12"/>
      <c r="X997" s="12"/>
      <c r="Y997" s="12"/>
      <c r="Z997" s="12"/>
      <c r="AA997" s="12"/>
      <c r="AB997" s="12"/>
      <c r="AC997" s="12"/>
      <c r="AD997" s="12"/>
      <c r="AE997" s="12"/>
      <c r="AF997" s="12"/>
    </row>
    <row r="998" spans="1:32">
      <c r="A998" s="8"/>
      <c r="B998" s="8"/>
      <c r="C998" s="8"/>
      <c r="D998" s="8"/>
      <c r="E998" s="8"/>
      <c r="F998" s="8"/>
      <c r="G998" s="8"/>
      <c r="H998" s="8"/>
      <c r="I998" s="8"/>
      <c r="J998" s="8"/>
      <c r="K998" s="8"/>
      <c r="L998" s="8"/>
      <c r="M998" s="8"/>
      <c r="N998" s="8"/>
      <c r="O998" s="8"/>
      <c r="P998" s="8"/>
      <c r="Q998" s="8"/>
      <c r="R998" s="8"/>
      <c r="S998" s="8"/>
      <c r="T998" s="8"/>
      <c r="U998" s="12"/>
      <c r="V998" s="12"/>
      <c r="W998" s="12"/>
      <c r="X998" s="12"/>
      <c r="Y998" s="12"/>
      <c r="Z998" s="12"/>
      <c r="AA998" s="12"/>
      <c r="AB998" s="12"/>
      <c r="AC998" s="12"/>
      <c r="AD998" s="12"/>
      <c r="AE998" s="12"/>
      <c r="AF998" s="12"/>
    </row>
    <row r="999" spans="1:32">
      <c r="A999" s="8"/>
      <c r="B999" s="8"/>
      <c r="C999" s="8"/>
      <c r="D999" s="8"/>
      <c r="E999" s="8"/>
      <c r="F999" s="8"/>
      <c r="G999" s="8"/>
      <c r="H999" s="8"/>
      <c r="I999" s="8"/>
      <c r="J999" s="8"/>
      <c r="K999" s="8"/>
      <c r="L999" s="8"/>
      <c r="M999" s="8"/>
      <c r="N999" s="8"/>
      <c r="O999" s="8"/>
      <c r="P999" s="8"/>
      <c r="Q999" s="8"/>
      <c r="R999" s="8"/>
      <c r="S999" s="8"/>
      <c r="T999" s="8"/>
      <c r="U999" s="12"/>
      <c r="V999" s="12"/>
      <c r="W999" s="12"/>
      <c r="X999" s="12"/>
      <c r="Y999" s="12"/>
      <c r="Z999" s="12"/>
      <c r="AA999" s="12"/>
      <c r="AB999" s="12"/>
      <c r="AC999" s="12"/>
      <c r="AD999" s="12"/>
      <c r="AE999" s="12"/>
      <c r="AF999" s="12"/>
    </row>
    <row r="1000" spans="1:32">
      <c r="A1000" s="8"/>
      <c r="B1000" s="8"/>
      <c r="C1000" s="8"/>
      <c r="D1000" s="8"/>
      <c r="E1000" s="8"/>
      <c r="F1000" s="8"/>
      <c r="G1000" s="8"/>
      <c r="H1000" s="8"/>
      <c r="I1000" s="8"/>
      <c r="J1000" s="8"/>
      <c r="K1000" s="8"/>
      <c r="L1000" s="8"/>
      <c r="M1000" s="8"/>
      <c r="N1000" s="8"/>
      <c r="O1000" s="8"/>
      <c r="P1000" s="8"/>
      <c r="Q1000" s="8"/>
      <c r="R1000" s="8"/>
      <c r="S1000" s="8"/>
      <c r="T1000" s="8"/>
      <c r="U1000" s="12"/>
      <c r="V1000" s="12"/>
      <c r="W1000" s="12"/>
      <c r="X1000" s="12"/>
      <c r="Y1000" s="12"/>
      <c r="Z1000" s="12"/>
      <c r="AA1000" s="12"/>
      <c r="AB1000" s="12"/>
      <c r="AC1000" s="12"/>
      <c r="AD1000" s="12"/>
      <c r="AE1000" s="12"/>
      <c r="AF1000" s="12"/>
    </row>
  </sheetData>
  <customSheetViews>
    <customSheetView guid="{8E5FD777-F8E9-423F-B70C-DD1B63F38FB2}" filter="1" showAutoFilter="1">
      <pageMargins left="0.7" right="0.7" top="0.75" bottom="0.75" header="0.3" footer="0.3"/>
      <autoFilter ref="A1:T106" xr:uid="{5319DE6C-4E3D-47E8-A3FA-DE02690EB614}">
        <filterColumn colId="3">
          <filters>
            <filter val="Physics"/>
          </filters>
        </filterColumn>
      </autoFilter>
    </customSheetView>
  </customSheetView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AT999"/>
  <sheetViews>
    <sheetView workbookViewId="0">
      <pane ySplit="1" topLeftCell="A2" activePane="bottomLeft" state="frozen"/>
      <selection pane="bottomLeft" activeCell="B3" sqref="B3"/>
    </sheetView>
  </sheetViews>
  <sheetFormatPr defaultColWidth="12.6640625" defaultRowHeight="15.75" customHeight="1"/>
  <cols>
    <col min="1" max="1" width="10.6640625" customWidth="1"/>
    <col min="2" max="2" width="9.6640625" customWidth="1"/>
    <col min="3" max="3" width="10" customWidth="1"/>
    <col min="4" max="4" width="9.6640625" customWidth="1"/>
    <col min="5" max="5" width="21" customWidth="1"/>
    <col min="6" max="6" width="22.21875" customWidth="1"/>
    <col min="8" max="8" width="36.77734375" customWidth="1"/>
    <col min="10" max="10" width="38.33203125" customWidth="1"/>
    <col min="12" max="12" width="41" customWidth="1"/>
    <col min="14" max="14" width="41.33203125" customWidth="1"/>
    <col min="16" max="16" width="38.44140625" customWidth="1"/>
    <col min="18" max="18" width="38.44140625" customWidth="1"/>
    <col min="20" max="20" width="38" customWidth="1"/>
  </cols>
  <sheetData>
    <row r="1" spans="1:46">
      <c r="A1" s="31" t="s">
        <v>0</v>
      </c>
      <c r="B1" s="31" t="s">
        <v>1</v>
      </c>
      <c r="C1" s="31" t="s">
        <v>2</v>
      </c>
      <c r="D1" s="32" t="s">
        <v>3</v>
      </c>
      <c r="E1" s="32" t="s">
        <v>4</v>
      </c>
      <c r="F1" s="32" t="s">
        <v>5</v>
      </c>
      <c r="G1" s="32" t="s">
        <v>6</v>
      </c>
      <c r="H1" s="32" t="s">
        <v>7</v>
      </c>
      <c r="I1" s="39" t="s">
        <v>8</v>
      </c>
      <c r="J1" s="39" t="s">
        <v>9</v>
      </c>
      <c r="K1" s="39" t="s">
        <v>10</v>
      </c>
      <c r="L1" s="39" t="s">
        <v>11</v>
      </c>
      <c r="M1" s="39" t="s">
        <v>12</v>
      </c>
      <c r="N1" s="39" t="s">
        <v>13</v>
      </c>
      <c r="O1" s="39" t="s">
        <v>14</v>
      </c>
      <c r="P1" s="39" t="s">
        <v>15</v>
      </c>
      <c r="Q1" s="39" t="s">
        <v>16</v>
      </c>
      <c r="R1" s="39" t="s">
        <v>17</v>
      </c>
      <c r="S1" s="39" t="s">
        <v>18</v>
      </c>
      <c r="T1" s="39" t="s">
        <v>19</v>
      </c>
      <c r="U1" s="33" t="s">
        <v>20</v>
      </c>
      <c r="V1" s="33" t="s">
        <v>21</v>
      </c>
      <c r="W1" s="33" t="s">
        <v>22</v>
      </c>
      <c r="X1" s="33" t="s">
        <v>23</v>
      </c>
      <c r="Y1" s="33" t="s">
        <v>24</v>
      </c>
      <c r="Z1" s="33" t="s">
        <v>25</v>
      </c>
      <c r="AA1" s="33" t="s">
        <v>26</v>
      </c>
      <c r="AB1" s="35" t="s">
        <v>27</v>
      </c>
      <c r="AC1" s="36" t="s">
        <v>28</v>
      </c>
      <c r="AD1" s="36" t="s">
        <v>29</v>
      </c>
      <c r="AE1" s="36" t="s">
        <v>30</v>
      </c>
      <c r="AF1" s="37" t="s">
        <v>415</v>
      </c>
      <c r="AG1" s="6" t="s">
        <v>32</v>
      </c>
      <c r="AH1" s="7" t="s">
        <v>33</v>
      </c>
      <c r="AI1" s="6" t="s">
        <v>34</v>
      </c>
      <c r="AJ1" s="7" t="s">
        <v>35</v>
      </c>
      <c r="AK1" s="6" t="s">
        <v>36</v>
      </c>
      <c r="AL1" s="7" t="s">
        <v>37</v>
      </c>
      <c r="AM1" s="6" t="s">
        <v>38</v>
      </c>
      <c r="AN1" s="7" t="s">
        <v>39</v>
      </c>
      <c r="AO1" s="6" t="s">
        <v>40</v>
      </c>
      <c r="AP1" s="7" t="s">
        <v>41</v>
      </c>
      <c r="AQ1" s="6" t="s">
        <v>42</v>
      </c>
      <c r="AR1" s="7" t="s">
        <v>43</v>
      </c>
      <c r="AS1" s="6" t="s">
        <v>44</v>
      </c>
      <c r="AT1" s="7" t="s">
        <v>45</v>
      </c>
    </row>
    <row r="2" spans="1:46">
      <c r="A2" s="8" t="s">
        <v>247</v>
      </c>
      <c r="B2" s="8" t="s">
        <v>47</v>
      </c>
      <c r="C2" s="8" t="s">
        <v>48</v>
      </c>
      <c r="D2" s="8" t="s">
        <v>1406</v>
      </c>
      <c r="E2" s="8" t="s">
        <v>1685</v>
      </c>
      <c r="F2" s="8" t="s">
        <v>1686</v>
      </c>
      <c r="G2" s="8" t="s">
        <v>1416</v>
      </c>
      <c r="H2" s="8" t="str">
        <f ca="1">IFERROR(__xludf.DUMMYFUNCTION("VLOOKUP(G2, IMPORTRANGE(""https://docs.google.com/spreadsheets/d/14deopnvwcrKtEGCKuYXdUHJbeLDZlkiSSWWT0g7x2pM/edit#gid=849066331"", ""LU List Science (Filter)!A:B""), 2, FALSE)"),"Definition of nutrients, types, and their sources.")</f>
        <v>Definition of nutrients, types, and their sources.</v>
      </c>
      <c r="I2" s="10" t="str">
        <f t="shared" ref="I2:I105" si="0">G2 &amp; ".001"</f>
        <v>LU005214.001</v>
      </c>
      <c r="J2" s="10" t="str">
        <f ca="1">IFERROR(__xludf.DUMMYFUNCTION("VLOOKUP(I2, IMPORTRANGE(""https://docs.google.com/spreadsheets/d/1yDAaXNsi4Mr5FtRQL4tbmSdIzhx6_m4wkOD7IG-k_eo/edit#gid=1336395716"", ""Science!M:N""), 2, FALSE)"),"Students will list the major types of nutrients and their primary sources in food.")</f>
        <v>Students will list the major types of nutrients and their primary sources in food.</v>
      </c>
      <c r="K2" s="10" t="str">
        <f t="shared" ref="K2:K105" si="1">G2 &amp; ".002"</f>
        <v>LU005214.002</v>
      </c>
      <c r="L2" s="10" t="str">
        <f ca="1">IFERROR(__xludf.DUMMYFUNCTION("VLOOKUP(K2, IMPORTRANGE(""https://docs.google.com/spreadsheets/d/1yDAaXNsi4Mr5FtRQL4tbmSdIzhx6_m4wkOD7IG-k_eo/edit#gid=1336395716"", ""Science!M:N""), 2, FALSE)"),"Students will summarize the role of different nutrients in maintaining good health.")</f>
        <v>Students will summarize the role of different nutrients in maintaining good health.</v>
      </c>
      <c r="M2" s="10" t="str">
        <f t="shared" ref="M2:M105" si="2">G2 &amp; ".003"</f>
        <v>LU005214.003</v>
      </c>
      <c r="N2" s="10" t="str">
        <f ca="1">IFERROR(__xludf.DUMMYFUNCTION("VLOOKUP(M2, IMPORTRANGE(""https://docs.google.com/spreadsheets/d/1yDAaXNsi4Mr5FtRQL4tbmSdIzhx6_m4wkOD7IG-k_eo/edit#gid=1336395716"", ""Science!M:N""), 2, FALSE)"),"Students will apply knowledge of nutrients-rich food requirements in real-life scenario.")</f>
        <v>Students will apply knowledge of nutrients-rich food requirements in real-life scenario.</v>
      </c>
      <c r="O2" s="10" t="str">
        <f t="shared" ref="O2:O105" si="3">G2 &amp; ".004"</f>
        <v>LU005214.004</v>
      </c>
      <c r="P2" s="10" t="str">
        <f ca="1">IFERROR(__xludf.DUMMYFUNCTION("VLOOKUP(O2, IMPORTRANGE(""https://docs.google.com/spreadsheets/d/1yDAaXNsi4Mr5FtRQL4tbmSdIzhx6_m4wkOD7IG-k_eo/edit#gid=1336395716"", ""Science!M:N""), 2, FALSE)"),"#N/A")</f>
        <v>#N/A</v>
      </c>
      <c r="Q2" s="10" t="str">
        <f t="shared" ref="Q2:Q105" si="4">G2 &amp; ".005"</f>
        <v>LU005214.005</v>
      </c>
      <c r="R2" s="10" t="str">
        <f ca="1">IFERROR(__xludf.DUMMYFUNCTION("VLOOKUP(Q2, IMPORTRANGE(""https://docs.google.com/spreadsheets/d/1yDAaXNsi4Mr5FtRQL4tbmSdIzhx6_m4wkOD7IG-k_eo/edit#gid=1336395716"", ""Science!M:N""), 2, FALSE)"),"#N/A")</f>
        <v>#N/A</v>
      </c>
      <c r="S2" s="10" t="str">
        <f t="shared" ref="S2:S105" si="5">G2 &amp; ".006"</f>
        <v>LU005214.006</v>
      </c>
      <c r="T2" s="10" t="str">
        <f ca="1">IFERROR(__xludf.DUMMYFUNCTION("VLOOKUP(S2, IMPORTRANGE(""https://docs.google.com/spreadsheets/d/1yDAaXNsi4Mr5FtRQL4tbmSdIzhx6_m4wkOD7IG-k_eo/edit#gid=1336395716"", ""Science!M:N""), 2, FALSE)"),"#N/A")</f>
        <v>#N/A</v>
      </c>
      <c r="U2" s="11">
        <f ca="1">IFERROR(__xludf.DUMMYFUNCTION("ArrayFormula(VLOOKUP(G2, IMPORTRANGE(""https://docs.google.com/spreadsheets/d/1p7R4vtkWt5VOBim4ltsDG9KTzSjrtKXsMtQGXPHyND0/edit#gid=795171502"", ""'Filter 30_05_2024'!A1:M2000""), {2, 3, 4, 5,6,7,8,9,10,11,12,13}, 0))"),52)</f>
        <v>52</v>
      </c>
      <c r="V2" s="38">
        <f ca="1">IFERROR(__xludf.DUMMYFUNCTION("""COMPUTED_VALUE"""),6)</f>
        <v>6</v>
      </c>
      <c r="W2" s="11">
        <f ca="1">IFERROR(__xludf.DUMMYFUNCTION("""COMPUTED_VALUE"""),2)</f>
        <v>2</v>
      </c>
      <c r="X2" s="11">
        <f ca="1">IFERROR(__xludf.DUMMYFUNCTION("""COMPUTED_VALUE"""),60)</f>
        <v>60</v>
      </c>
      <c r="Y2" s="11">
        <f ca="1">IFERROR(__xludf.DUMMYFUNCTION("""COMPUTED_VALUE"""),12)</f>
        <v>12</v>
      </c>
      <c r="Z2" s="12">
        <f ca="1">IFERROR(__xludf.DUMMYFUNCTION("""COMPUTED_VALUE"""),3)</f>
        <v>3</v>
      </c>
      <c r="AA2" s="12">
        <f ca="1">IFERROR(__xludf.DUMMYFUNCTION("""COMPUTED_VALUE"""),1)</f>
        <v>1</v>
      </c>
      <c r="AB2" s="12">
        <f ca="1">IFERROR(__xludf.DUMMYFUNCTION("""COMPUTED_VALUE"""),16)</f>
        <v>16</v>
      </c>
      <c r="AC2" s="12"/>
      <c r="AD2" s="12"/>
      <c r="AE2" s="12"/>
      <c r="AF2" s="12"/>
      <c r="AG2" s="13" t="str">
        <f ca="1">IFERROR(__xludf.DUMMYFUNCTION("ArrayFormula(VLOOKUP(G2, IMPORTRANGE(""https://docs.google.com/spreadsheets/d/1Co934fvtviyaRiMsrIlT05Jaq7iiYq07aLvRr35KA48/edit?gid=173865642#gid=173865642"", ""'G6_Sci_Pri_LU'!G2:V2000""), {3, 4, 5, 6, 7, 8, 9, 10, 11, 12, 13, 14, 15, 16}, 0))"),"LU005236")</f>
        <v>LU005236</v>
      </c>
      <c r="AH2" s="13" t="str">
        <f ca="1">IFERROR(__xludf.DUMMYFUNCTION("""COMPUTED_VALUE"""),"Variety of Food and Ingredients")</f>
        <v>Variety of Food and Ingredients</v>
      </c>
      <c r="AI2" s="13" t="str">
        <f ca="1">IFERROR(__xludf.DUMMYFUNCTION("""COMPUTED_VALUE"""),"LU005235")</f>
        <v>LU005235</v>
      </c>
      <c r="AJ2" s="13" t="str">
        <f ca="1">IFERROR(__xludf.DUMMYFUNCTION("""COMPUTED_VALUE"""),"Plants and animals-based food sources")</f>
        <v>Plants and animals-based food sources</v>
      </c>
      <c r="AK2" s="13" t="str">
        <f ca="1">IFERROR(__xludf.DUMMYFUNCTION("""COMPUTED_VALUE"""),"LU005089")</f>
        <v>LU005089</v>
      </c>
      <c r="AL2" s="13" t="str">
        <f ca="1">IFERROR(__xludf.DUMMYFUNCTION("""COMPUTED_VALUE"""),"Definition of health")</f>
        <v>Definition of health</v>
      </c>
      <c r="AM2" s="13"/>
      <c r="AN2" s="13"/>
      <c r="AO2" s="13"/>
      <c r="AP2" s="13"/>
      <c r="AQ2" s="13"/>
      <c r="AR2" s="13"/>
      <c r="AS2" s="13"/>
      <c r="AT2" s="13"/>
    </row>
    <row r="3" spans="1:46">
      <c r="A3" s="8" t="s">
        <v>247</v>
      </c>
      <c r="B3" s="8" t="s">
        <v>47</v>
      </c>
      <c r="C3" s="8" t="s">
        <v>48</v>
      </c>
      <c r="D3" s="8" t="s">
        <v>1406</v>
      </c>
      <c r="E3" s="8" t="s">
        <v>1685</v>
      </c>
      <c r="F3" s="8" t="s">
        <v>1687</v>
      </c>
      <c r="G3" s="8" t="s">
        <v>1418</v>
      </c>
      <c r="H3" s="8" t="str">
        <f ca="1">IFERROR(__xludf.DUMMYFUNCTION("VLOOKUP(G3, IMPORTRANGE(""https://docs.google.com/spreadsheets/d/14deopnvwcrKtEGCKuYXdUHJbeLDZlkiSSWWT0g7x2pM/edit#gid=849066331"", ""LU List Science (Filter)!A:B""), 2, FALSE)"),"Definition of carbohydrates and its qualitative tests.")</f>
        <v>Definition of carbohydrates and its qualitative tests.</v>
      </c>
      <c r="I3" s="10" t="str">
        <f t="shared" si="0"/>
        <v>LU005938.001</v>
      </c>
      <c r="J3" s="10" t="str">
        <f ca="1">IFERROR(__xludf.DUMMYFUNCTION("VLOOKUP(I3, IMPORTRANGE(""https://docs.google.com/spreadsheets/d/1yDAaXNsi4Mr5FtRQL4tbmSdIzhx6_m4wkOD7IG-k_eo/edit#gid=1336395716"", ""Science!M:N""), 2, FALSE)"),"Identify the method for testing the presence of starch in food.")</f>
        <v>Identify the method for testing the presence of starch in food.</v>
      </c>
      <c r="K3" s="10" t="str">
        <f t="shared" si="1"/>
        <v>LU005938.002</v>
      </c>
      <c r="L3" s="10" t="str">
        <f ca="1">IFERROR(__xludf.DUMMYFUNCTION("VLOOKUP(K3, IMPORTRANGE(""https://docs.google.com/spreadsheets/d/1yDAaXNsi4Mr5FtRQL4tbmSdIzhx6_m4wkOD7IG-k_eo/edit#gid=1336395716"", ""Science!M:N""), 2, FALSE)"),"Recognize the substances that are more likely to show positive starch test.")</f>
        <v>Recognize the substances that are more likely to show positive starch test.</v>
      </c>
      <c r="M3" s="10" t="str">
        <f t="shared" si="2"/>
        <v>LU005938.003</v>
      </c>
      <c r="N3" s="10" t="str">
        <f ca="1">IFERROR(__xludf.DUMMYFUNCTION("VLOOKUP(M3, IMPORTRANGE(""https://docs.google.com/spreadsheets/d/1yDAaXNsi4Mr5FtRQL4tbmSdIzhx6_m4wkOD7IG-k_eo/edit#gid=1336395716"", ""Science!M:N""), 2, FALSE)"),"Perform a basic test to identify the presence of carbohydrates in different food samples")</f>
        <v>Perform a basic test to identify the presence of carbohydrates in different food samples</v>
      </c>
      <c r="O3" s="10" t="str">
        <f t="shared" si="3"/>
        <v>LU005938.004</v>
      </c>
      <c r="P3" s="10" t="str">
        <f ca="1">IFERROR(__xludf.DUMMYFUNCTION("VLOOKUP(O3, IMPORTRANGE(""https://docs.google.com/spreadsheets/d/1yDAaXNsi4Mr5FtRQL4tbmSdIzhx6_m4wkOD7IG-k_eo/edit#gid=1336395716"", ""Science!M:N""), 2, FALSE)"),"#N/A")</f>
        <v>#N/A</v>
      </c>
      <c r="Q3" s="10" t="str">
        <f t="shared" si="4"/>
        <v>LU005938.005</v>
      </c>
      <c r="R3" s="10" t="str">
        <f ca="1">IFERROR(__xludf.DUMMYFUNCTION("VLOOKUP(Q3, IMPORTRANGE(""https://docs.google.com/spreadsheets/d/1yDAaXNsi4Mr5FtRQL4tbmSdIzhx6_m4wkOD7IG-k_eo/edit#gid=1336395716"", ""Science!M:N""), 2, FALSE)"),"#N/A")</f>
        <v>#N/A</v>
      </c>
      <c r="S3" s="10" t="str">
        <f t="shared" si="5"/>
        <v>LU005938.006</v>
      </c>
      <c r="T3" s="10" t="str">
        <f ca="1">IFERROR(__xludf.DUMMYFUNCTION("VLOOKUP(S3, IMPORTRANGE(""https://docs.google.com/spreadsheets/d/1yDAaXNsi4Mr5FtRQL4tbmSdIzhx6_m4wkOD7IG-k_eo/edit#gid=1336395716"", ""Science!M:N""), 2, FALSE)"),"#N/A")</f>
        <v>#N/A</v>
      </c>
      <c r="U3" s="11">
        <f ca="1">IFERROR(__xludf.DUMMYFUNCTION("ArrayFormula(VLOOKUP(G3, IMPORTRANGE(""https://docs.google.com/spreadsheets/d/1p7R4vtkWt5VOBim4ltsDG9KTzSjrtKXsMtQGXPHyND0/edit#gid=795171502"", ""'Filter 30_05_2024'!A1:M2000""), {2, 3, 4, 5,6,7,8,9,10,11,12,13}, 0))"),19)</f>
        <v>19</v>
      </c>
      <c r="V3" s="11">
        <f ca="1">IFERROR(__xludf.DUMMYFUNCTION("""COMPUTED_VALUE"""),10)</f>
        <v>10</v>
      </c>
      <c r="W3" s="11">
        <f ca="1">IFERROR(__xludf.DUMMYFUNCTION("""COMPUTED_VALUE"""),3)</f>
        <v>3</v>
      </c>
      <c r="X3" s="11">
        <f ca="1">IFERROR(__xludf.DUMMYFUNCTION("""COMPUTED_VALUE"""),32)</f>
        <v>32</v>
      </c>
      <c r="Y3" s="11">
        <f ca="1">IFERROR(__xludf.DUMMYFUNCTION("""COMPUTED_VALUE"""),6)</f>
        <v>6</v>
      </c>
      <c r="Z3" s="12">
        <f ca="1">IFERROR(__xludf.DUMMYFUNCTION("""COMPUTED_VALUE"""),8)</f>
        <v>8</v>
      </c>
      <c r="AA3" s="115"/>
      <c r="AB3" s="12">
        <f ca="1">IFERROR(__xludf.DUMMYFUNCTION("""COMPUTED_VALUE"""),14)</f>
        <v>14</v>
      </c>
      <c r="AC3" s="12"/>
      <c r="AD3" s="12"/>
      <c r="AE3" s="12"/>
      <c r="AF3" s="12"/>
      <c r="AG3" s="13" t="str">
        <f ca="1">IFERROR(__xludf.DUMMYFUNCTION("ArrayFormula(VLOOKUP(G3, IMPORTRANGE(""https://docs.google.com/spreadsheets/d/1Co934fvtviyaRiMsrIlT05Jaq7iiYq07aLvRr35KA48/edit?gid=173865642#gid=173865642"", ""'G6_Sci_Pri_LU'!G2:V2000""), {3, 4, 5, 6, 7, 8, 9, 10, 11, 12, 13, 14, 15, 16}, 0))"),"LU005214")</f>
        <v>LU005214</v>
      </c>
      <c r="AH3" s="13" t="str">
        <f ca="1">IFERROR(__xludf.DUMMYFUNCTION("""COMPUTED_VALUE"""),"Definition of nutrients, types, and their sources.")</f>
        <v>Definition of nutrients, types, and their sources.</v>
      </c>
      <c r="AI3" s="13" t="str">
        <f ca="1">IFERROR(__xludf.DUMMYFUNCTION("""COMPUTED_VALUE"""),"LU005235")</f>
        <v>LU005235</v>
      </c>
      <c r="AJ3" s="13" t="str">
        <f ca="1">IFERROR(__xludf.DUMMYFUNCTION("""COMPUTED_VALUE"""),"Plants and animals-based food sources")</f>
        <v>Plants and animals-based food sources</v>
      </c>
      <c r="AK3" s="13"/>
      <c r="AL3" s="13"/>
      <c r="AM3" s="13"/>
      <c r="AN3" s="13"/>
      <c r="AO3" s="13"/>
      <c r="AP3" s="13"/>
      <c r="AQ3" s="13"/>
      <c r="AR3" s="13"/>
      <c r="AS3" s="13"/>
      <c r="AT3" s="13"/>
    </row>
    <row r="4" spans="1:46">
      <c r="A4" s="8" t="s">
        <v>247</v>
      </c>
      <c r="B4" s="8" t="s">
        <v>47</v>
      </c>
      <c r="C4" s="8" t="s">
        <v>48</v>
      </c>
      <c r="D4" s="8" t="s">
        <v>1406</v>
      </c>
      <c r="E4" s="8" t="s">
        <v>1685</v>
      </c>
      <c r="F4" s="8" t="s">
        <v>1687</v>
      </c>
      <c r="G4" s="8" t="s">
        <v>1420</v>
      </c>
      <c r="H4" s="8" t="str">
        <f ca="1">IFERROR(__xludf.DUMMYFUNCTION("VLOOKUP(G4, IMPORTRANGE(""https://docs.google.com/spreadsheets/d/14deopnvwcrKtEGCKuYXdUHJbeLDZlkiSSWWT0g7x2pM/edit#gid=849066331"", ""LU List Science (Filter)!A:B""), 2, FALSE)"),"Definition of fats and its qualitative tests.")</f>
        <v>Definition of fats and its qualitative tests.</v>
      </c>
      <c r="I4" s="10" t="str">
        <f t="shared" si="0"/>
        <v>LU005939.001</v>
      </c>
      <c r="J4" s="10" t="str">
        <f ca="1">IFERROR(__xludf.DUMMYFUNCTION("VLOOKUP(I4, IMPORTRANGE(""https://docs.google.com/spreadsheets/d/1yDAaXNsi4Mr5FtRQL4tbmSdIzhx6_m4wkOD7IG-k_eo/edit#gid=1336395716"", ""Science!M:N""), 2, FALSE)"),"Recall the composition of fats and identify the method for testing the presence of fats in food.")</f>
        <v>Recall the composition of fats and identify the method for testing the presence of fats in food.</v>
      </c>
      <c r="K4" s="10" t="str">
        <f t="shared" si="1"/>
        <v>LU005939.002</v>
      </c>
      <c r="L4" s="10" t="str">
        <f ca="1">IFERROR(__xludf.DUMMYFUNCTION("VLOOKUP(K4, IMPORTRANGE(""https://docs.google.com/spreadsheets/d/1yDAaXNsi4Mr5FtRQL4tbmSdIzhx6_m4wkOD7IG-k_eo/edit#gid=1336395716"", ""Science!M:N""), 2, FALSE)"),"Recognize the substances that are more likely to show the presence of fats.")</f>
        <v>Recognize the substances that are more likely to show the presence of fats.</v>
      </c>
      <c r="M4" s="10" t="str">
        <f t="shared" si="2"/>
        <v>LU005939.003</v>
      </c>
      <c r="N4" s="10" t="str">
        <f ca="1">IFERROR(__xludf.DUMMYFUNCTION("VLOOKUP(M4, IMPORTRANGE(""https://docs.google.com/spreadsheets/d/1yDAaXNsi4Mr5FtRQL4tbmSdIzhx6_m4wkOD7IG-k_eo/edit#gid=1336395716"", ""Science!M:N""), 2, FALSE)"),"Perform a test to detect the presence of fats in different food samples.")</f>
        <v>Perform a test to detect the presence of fats in different food samples.</v>
      </c>
      <c r="O4" s="10" t="str">
        <f t="shared" si="3"/>
        <v>LU005939.004</v>
      </c>
      <c r="P4" s="10" t="str">
        <f ca="1">IFERROR(__xludf.DUMMYFUNCTION("VLOOKUP(O4, IMPORTRANGE(""https://docs.google.com/spreadsheets/d/1yDAaXNsi4Mr5FtRQL4tbmSdIzhx6_m4wkOD7IG-k_eo/edit#gid=1336395716"", ""Science!M:N""), 2, FALSE)"),"Analyze the results of a fats test to determine the presence of fats in different food items.")</f>
        <v>Analyze the results of a fats test to determine the presence of fats in different food items.</v>
      </c>
      <c r="Q4" s="10" t="str">
        <f t="shared" si="4"/>
        <v>LU005939.005</v>
      </c>
      <c r="R4" s="10" t="str">
        <f ca="1">IFERROR(__xludf.DUMMYFUNCTION("VLOOKUP(Q4, IMPORTRANGE(""https://docs.google.com/spreadsheets/d/1yDAaXNsi4Mr5FtRQL4tbmSdIzhx6_m4wkOD7IG-k_eo/edit#gid=1336395716"", ""Science!M:N""), 2, FALSE)"),"Judge the reliability of different qualitative tests for fats in food samples.")</f>
        <v>Judge the reliability of different qualitative tests for fats in food samples.</v>
      </c>
      <c r="S4" s="10" t="str">
        <f t="shared" si="5"/>
        <v>LU005939.006</v>
      </c>
      <c r="T4" s="10" t="str">
        <f ca="1">IFERROR(__xludf.DUMMYFUNCTION("VLOOKUP(S4, IMPORTRANGE(""https://docs.google.com/spreadsheets/d/1yDAaXNsi4Mr5FtRQL4tbmSdIzhx6_m4wkOD7IG-k_eo/edit#gid=1336395716"", ""Science!M:N""), 2, FALSE)"),"Propose a simple experiment to demonstrate the presence of fats using household materials.")</f>
        <v>Propose a simple experiment to demonstrate the presence of fats using household materials.</v>
      </c>
      <c r="U4" s="11">
        <f ca="1">IFERROR(__xludf.DUMMYFUNCTION("ArrayFormula(VLOOKUP(G4, IMPORTRANGE(""https://docs.google.com/spreadsheets/d/1p7R4vtkWt5VOBim4ltsDG9KTzSjrtKXsMtQGXPHyND0/edit#gid=795171502"", ""'Filter 30_05_2024'!A1:M2000""), {2, 3, 4, 5,6,7,8,9,10,11,12,13}, 0))"),16)</f>
        <v>16</v>
      </c>
      <c r="V4" s="11">
        <f ca="1">IFERROR(__xludf.DUMMYFUNCTION("""COMPUTED_VALUE"""),14)</f>
        <v>14</v>
      </c>
      <c r="W4" s="11">
        <f ca="1">IFERROR(__xludf.DUMMYFUNCTION("""COMPUTED_VALUE"""),2)</f>
        <v>2</v>
      </c>
      <c r="X4" s="11">
        <f ca="1">IFERROR(__xludf.DUMMYFUNCTION("""COMPUTED_VALUE"""),32)</f>
        <v>32</v>
      </c>
      <c r="Y4" s="11">
        <f ca="1">IFERROR(__xludf.DUMMYFUNCTION("""COMPUTED_VALUE"""),4)</f>
        <v>4</v>
      </c>
      <c r="Z4" s="12">
        <f ca="1">IFERROR(__xludf.DUMMYFUNCTION("""COMPUTED_VALUE"""),6)</f>
        <v>6</v>
      </c>
      <c r="AA4" s="12">
        <f ca="1">IFERROR(__xludf.DUMMYFUNCTION("""COMPUTED_VALUE"""),2)</f>
        <v>2</v>
      </c>
      <c r="AB4" s="12">
        <f ca="1">IFERROR(__xludf.DUMMYFUNCTION("""COMPUTED_VALUE"""),12)</f>
        <v>12</v>
      </c>
      <c r="AC4" s="12"/>
      <c r="AD4" s="12"/>
      <c r="AE4" s="12"/>
      <c r="AF4" s="12"/>
      <c r="AG4" s="13" t="str">
        <f ca="1">IFERROR(__xludf.DUMMYFUNCTION("ArrayFormula(VLOOKUP(G4, IMPORTRANGE(""https://docs.google.com/spreadsheets/d/1Co934fvtviyaRiMsrIlT05Jaq7iiYq07aLvRr35KA48/edit?gid=173865642#gid=173865642"", ""'G6_Sci_Pri_LU'!G2:V2000""), {3, 4, 5, 6, 7, 8, 9, 10, 11, 12, 13, 14, 15, 16}, 0))"),"LU005214")</f>
        <v>LU005214</v>
      </c>
      <c r="AH4" s="13" t="str">
        <f ca="1">IFERROR(__xludf.DUMMYFUNCTION("""COMPUTED_VALUE"""),"Definition of nutrients, types, and their sources.")</f>
        <v>Definition of nutrients, types, and their sources.</v>
      </c>
      <c r="AI4" s="13" t="str">
        <f ca="1">IFERROR(__xludf.DUMMYFUNCTION("""COMPUTED_VALUE"""),"LU005235")</f>
        <v>LU005235</v>
      </c>
      <c r="AJ4" s="13" t="str">
        <f ca="1">IFERROR(__xludf.DUMMYFUNCTION("""COMPUTED_VALUE"""),"Plants and animals-based food sources")</f>
        <v>Plants and animals-based food sources</v>
      </c>
      <c r="AK4" s="13"/>
      <c r="AL4" s="13"/>
      <c r="AM4" s="13"/>
      <c r="AN4" s="13"/>
      <c r="AO4" s="13"/>
      <c r="AP4" s="13"/>
      <c r="AQ4" s="13"/>
      <c r="AR4" s="13"/>
      <c r="AS4" s="13"/>
      <c r="AT4" s="13"/>
    </row>
    <row r="5" spans="1:46">
      <c r="A5" s="8" t="s">
        <v>247</v>
      </c>
      <c r="B5" s="8" t="s">
        <v>47</v>
      </c>
      <c r="C5" s="8" t="s">
        <v>48</v>
      </c>
      <c r="D5" s="8" t="s">
        <v>1406</v>
      </c>
      <c r="E5" s="8" t="s">
        <v>1685</v>
      </c>
      <c r="F5" s="8" t="s">
        <v>1687</v>
      </c>
      <c r="G5" s="8" t="s">
        <v>1423</v>
      </c>
      <c r="H5" s="8" t="str">
        <f ca="1">IFERROR(__xludf.DUMMYFUNCTION("VLOOKUP(G5, IMPORTRANGE(""https://docs.google.com/spreadsheets/d/14deopnvwcrKtEGCKuYXdUHJbeLDZlkiSSWWT0g7x2pM/edit#gid=849066331"", ""LU List Science (Filter)!A:B""), 2, FALSE)"),"Definition of proteins and its qualitative tests.")</f>
        <v>Definition of proteins and its qualitative tests.</v>
      </c>
      <c r="I5" s="10" t="str">
        <f t="shared" si="0"/>
        <v>LU005940.001</v>
      </c>
      <c r="J5" s="10" t="str">
        <f ca="1">IFERROR(__xludf.DUMMYFUNCTION("VLOOKUP(I5, IMPORTRANGE(""https://docs.google.com/spreadsheets/d/1yDAaXNsi4Mr5FtRQL4tbmSdIzhx6_m4wkOD7IG-k_eo/edit#gid=1336395716"", ""Science!M:N""), 2, FALSE)"),"List the basic components that make up proteins and identify the method for testing the presence of proteins in food.")</f>
        <v>List the basic components that make up proteins and identify the method for testing the presence of proteins in food.</v>
      </c>
      <c r="K5" s="10" t="str">
        <f t="shared" si="1"/>
        <v>LU005940.002</v>
      </c>
      <c r="L5" s="10" t="str">
        <f ca="1">IFERROR(__xludf.DUMMYFUNCTION("VLOOKUP(K5, IMPORTRANGE(""https://docs.google.com/spreadsheets/d/1yDAaXNsi4Mr5FtRQL4tbmSdIzhx6_m4wkOD7IG-k_eo/edit#gid=1336395716"", ""Science!M:N""), 2, FALSE)"),"Recognize the substances that are more likely to show the presence of proteins.")</f>
        <v>Recognize the substances that are more likely to show the presence of proteins.</v>
      </c>
      <c r="M5" s="10" t="str">
        <f t="shared" si="2"/>
        <v>LU005940.003</v>
      </c>
      <c r="N5" s="10" t="str">
        <f ca="1">IFERROR(__xludf.DUMMYFUNCTION("VLOOKUP(M5, IMPORTRANGE(""https://docs.google.com/spreadsheets/d/1yDAaXNsi4Mr5FtRQL4tbmSdIzhx6_m4wkOD7IG-k_eo/edit#gid=1336395716"", ""Science!M:N""), 2, FALSE)"),"Demonstrate the process of testing proteins in different food samples.")</f>
        <v>Demonstrate the process of testing proteins in different food samples.</v>
      </c>
      <c r="O5" s="10" t="str">
        <f t="shared" si="3"/>
        <v>LU005940.004</v>
      </c>
      <c r="P5" s="10" t="str">
        <f ca="1">IFERROR(__xludf.DUMMYFUNCTION("VLOOKUP(O5, IMPORTRANGE(""https://docs.google.com/spreadsheets/d/1yDAaXNsi4Mr5FtRQL4tbmSdIzhx6_m4wkOD7IG-k_eo/edit#gid=1336395716"", ""Science!M:N""), 2, FALSE)"),"Analyze the results of a protein test to determine the presence of proteins in different food items.")</f>
        <v>Analyze the results of a protein test to determine the presence of proteins in different food items.</v>
      </c>
      <c r="Q5" s="10" t="str">
        <f t="shared" si="4"/>
        <v>LU005940.005</v>
      </c>
      <c r="R5" s="10" t="str">
        <f ca="1">IFERROR(__xludf.DUMMYFUNCTION("VLOOKUP(Q5, IMPORTRANGE(""https://docs.google.com/spreadsheets/d/1yDAaXNsi4Mr5FtRQL4tbmSdIzhx6_m4wkOD7IG-k_eo/edit#gid=1336395716"", ""Science!M:N""), 2, FALSE)"),"Judge the reliability of various qualitative tests for protein detection.")</f>
        <v>Judge the reliability of various qualitative tests for protein detection.</v>
      </c>
      <c r="S5" s="10" t="str">
        <f t="shared" si="5"/>
        <v>LU005940.006</v>
      </c>
      <c r="T5" s="10" t="str">
        <f ca="1">IFERROR(__xludf.DUMMYFUNCTION("VLOOKUP(S5, IMPORTRANGE(""https://docs.google.com/spreadsheets/d/1yDAaXNsi4Mr5FtRQL4tbmSdIzhx6_m4wkOD7IG-k_eo/edit#gid=1336395716"", ""Science!M:N""), 2, FALSE)"),"Devise a simple experiment to compare protein content in various foods using a qualitative test.")</f>
        <v>Devise a simple experiment to compare protein content in various foods using a qualitative test.</v>
      </c>
      <c r="U5" s="38">
        <f ca="1">IFERROR(__xludf.DUMMYFUNCTION("ArrayFormula(VLOOKUP(G5, IMPORTRANGE(""https://docs.google.com/spreadsheets/d/1p7R4vtkWt5VOBim4ltsDG9KTzSjrtKXsMtQGXPHyND0/edit#gid=795171502"", ""'Filter 30_05_2024'!A1:M2000""), {2, 3, 4, 5,6,7,8,9,10,11,12,13}, 0))"),4)</f>
        <v>4</v>
      </c>
      <c r="V5" s="38">
        <f ca="1">IFERROR(__xludf.DUMMYFUNCTION("""COMPUTED_VALUE"""),6)</f>
        <v>6</v>
      </c>
      <c r="W5" s="11">
        <f ca="1">IFERROR(__xludf.DUMMYFUNCTION("""COMPUTED_VALUE"""),2)</f>
        <v>2</v>
      </c>
      <c r="X5" s="11">
        <f ca="1">IFERROR(__xludf.DUMMYFUNCTION("""COMPUTED_VALUE"""),12)</f>
        <v>12</v>
      </c>
      <c r="Y5" s="11">
        <f ca="1">IFERROR(__xludf.DUMMYFUNCTION("""COMPUTED_VALUE"""),4)</f>
        <v>4</v>
      </c>
      <c r="Z5" s="12">
        <f ca="1">IFERROR(__xludf.DUMMYFUNCTION("""COMPUTED_VALUE"""),3)</f>
        <v>3</v>
      </c>
      <c r="AA5" s="12">
        <f ca="1">IFERROR(__xludf.DUMMYFUNCTION("""COMPUTED_VALUE"""),2)</f>
        <v>2</v>
      </c>
      <c r="AB5" s="12">
        <f ca="1">IFERROR(__xludf.DUMMYFUNCTION("""COMPUTED_VALUE"""),9)</f>
        <v>9</v>
      </c>
      <c r="AC5" s="12"/>
      <c r="AD5" s="12"/>
      <c r="AE5" s="12"/>
      <c r="AF5" s="12"/>
      <c r="AG5" s="13" t="str">
        <f ca="1">IFERROR(__xludf.DUMMYFUNCTION("ArrayFormula(VLOOKUP(G5, IMPORTRANGE(""https://docs.google.com/spreadsheets/d/1Co934fvtviyaRiMsrIlT05Jaq7iiYq07aLvRr35KA48/edit?gid=173865642#gid=173865642"", ""'G6_Sci_Pri_LU'!G2:V2000""), {3, 4, 5, 6, 7, 8, 9, 10, 11, 12, 13, 14, 15, 16}, 0))"),"LU005214")</f>
        <v>LU005214</v>
      </c>
      <c r="AH5" s="13" t="str">
        <f ca="1">IFERROR(__xludf.DUMMYFUNCTION("""COMPUTED_VALUE"""),"Definition of nutrients, types, and their sources.")</f>
        <v>Definition of nutrients, types, and their sources.</v>
      </c>
      <c r="AI5" s="13" t="str">
        <f ca="1">IFERROR(__xludf.DUMMYFUNCTION("""COMPUTED_VALUE"""),"LU005235")</f>
        <v>LU005235</v>
      </c>
      <c r="AJ5" s="13" t="str">
        <f ca="1">IFERROR(__xludf.DUMMYFUNCTION("""COMPUTED_VALUE"""),"Plants and animals-based food sources")</f>
        <v>Plants and animals-based food sources</v>
      </c>
      <c r="AK5" s="13"/>
      <c r="AL5" s="13"/>
      <c r="AM5" s="13"/>
      <c r="AN5" s="13"/>
      <c r="AO5" s="13"/>
      <c r="AP5" s="13"/>
      <c r="AQ5" s="13"/>
      <c r="AR5" s="13"/>
      <c r="AS5" s="13"/>
      <c r="AT5" s="13"/>
    </row>
    <row r="6" spans="1:46">
      <c r="A6" s="8" t="s">
        <v>247</v>
      </c>
      <c r="B6" s="8" t="s">
        <v>47</v>
      </c>
      <c r="C6" s="8" t="s">
        <v>48</v>
      </c>
      <c r="D6" s="8" t="s">
        <v>1406</v>
      </c>
      <c r="E6" s="8" t="s">
        <v>1685</v>
      </c>
      <c r="F6" s="8" t="s">
        <v>1688</v>
      </c>
      <c r="G6" s="8" t="s">
        <v>1425</v>
      </c>
      <c r="H6" s="8" t="str">
        <f ca="1">IFERROR(__xludf.DUMMYFUNCTION("VLOOKUP(G6, IMPORTRANGE(""https://docs.google.com/spreadsheets/d/14deopnvwcrKtEGCKuYXdUHJbeLDZlkiSSWWT0g7x2pM/edit#gid=849066331"", ""LU List Science (Filter)!A:B""), 2, FALSE)"),"Definition of vitamins, types, functions and sources")</f>
        <v>Definition of vitamins, types, functions and sources</v>
      </c>
      <c r="I6" s="10" t="str">
        <f t="shared" si="0"/>
        <v>LU005216.001</v>
      </c>
      <c r="J6" s="10" t="str">
        <f ca="1">IFERROR(__xludf.DUMMYFUNCTION("VLOOKUP(I6, IMPORTRANGE(""https://docs.google.com/spreadsheets/d/1yDAaXNsi4Mr5FtRQL4tbmSdIzhx6_m4wkOD7IG-k_eo/edit#gid=1336395716"", ""Science!M:N""), 2, FALSE)"),"Students will define vitamins, and list the different types of vitamins and their food sources.")</f>
        <v>Students will define vitamins, and list the different types of vitamins and their food sources.</v>
      </c>
      <c r="K6" s="10" t="str">
        <f t="shared" si="1"/>
        <v>LU005216.002</v>
      </c>
      <c r="L6" s="10" t="str">
        <f ca="1">IFERROR(__xludf.DUMMYFUNCTION("VLOOKUP(K6, IMPORTRANGE(""https://docs.google.com/spreadsheets/d/1yDAaXNsi4Mr5FtRQL4tbmSdIzhx6_m4wkOD7IG-k_eo/edit#gid=1336395716"", ""Science!M:N""), 2, FALSE)"),"Students will summarize the functions of each type of vitamin in the body.")</f>
        <v>Students will summarize the functions of each type of vitamin in the body.</v>
      </c>
      <c r="M6" s="10" t="str">
        <f t="shared" si="2"/>
        <v>LU005216.003</v>
      </c>
      <c r="N6" s="10" t="str">
        <f ca="1">IFERROR(__xludf.DUMMYFUNCTION("VLOOKUP(M6, IMPORTRANGE(""https://docs.google.com/spreadsheets/d/1yDAaXNsi4Mr5FtRQL4tbmSdIzhx6_m4wkOD7IG-k_eo/edit#gid=1336395716"", ""Science!M:N""), 2, FALSE)"),"Students will match vitamins to their corresponding deficiency diseases.")</f>
        <v>Students will match vitamins to their corresponding deficiency diseases.</v>
      </c>
      <c r="O6" s="10" t="str">
        <f t="shared" si="3"/>
        <v>LU005216.004</v>
      </c>
      <c r="P6" s="10" t="str">
        <f ca="1">IFERROR(__xludf.DUMMYFUNCTION("VLOOKUP(O6, IMPORTRANGE(""https://docs.google.com/spreadsheets/d/1yDAaXNsi4Mr5FtRQL4tbmSdIzhx6_m4wkOD7IG-k_eo/edit#gid=1336395716"", ""Science!M:N""), 2, FALSE)"),"Students will differentiate between fat-soluble and water-soluble vitamins based on their properties and functions.")</f>
        <v>Students will differentiate between fat-soluble and water-soluble vitamins based on their properties and functions.</v>
      </c>
      <c r="Q6" s="10" t="str">
        <f t="shared" si="4"/>
        <v>LU005216.005</v>
      </c>
      <c r="R6" s="10" t="str">
        <f ca="1">IFERROR(__xludf.DUMMYFUNCTION("VLOOKUP(Q6, IMPORTRANGE(""https://docs.google.com/spreadsheets/d/1yDAaXNsi4Mr5FtRQL4tbmSdIzhx6_m4wkOD7IG-k_eo/edit#gid=1336395716"", ""Science!M:N""), 2, FALSE)"),"#N/A")</f>
        <v>#N/A</v>
      </c>
      <c r="S6" s="10" t="str">
        <f t="shared" si="5"/>
        <v>LU005216.006</v>
      </c>
      <c r="T6" s="10" t="str">
        <f ca="1">IFERROR(__xludf.DUMMYFUNCTION("VLOOKUP(S6, IMPORTRANGE(""https://docs.google.com/spreadsheets/d/1yDAaXNsi4Mr5FtRQL4tbmSdIzhx6_m4wkOD7IG-k_eo/edit#gid=1336395716"", ""Science!M:N""), 2, FALSE)"),"#N/A")</f>
        <v>#N/A</v>
      </c>
      <c r="U6" s="11">
        <f ca="1">IFERROR(__xludf.DUMMYFUNCTION("ArrayFormula(VLOOKUP(G6, IMPORTRANGE(""https://docs.google.com/spreadsheets/d/1p7R4vtkWt5VOBim4ltsDG9KTzSjrtKXsMtQGXPHyND0/edit#gid=795171502"", ""'Filter 30_05_2024'!A1:M2000""), {2, 3, 4, 5,6,7,8,9,10,11,12,13}, 0))"),7)</f>
        <v>7</v>
      </c>
      <c r="V6" s="11">
        <f ca="1">IFERROR(__xludf.DUMMYFUNCTION("""COMPUTED_VALUE"""),6)</f>
        <v>6</v>
      </c>
      <c r="W6" s="11">
        <f ca="1">IFERROR(__xludf.DUMMYFUNCTION("""COMPUTED_VALUE"""),2)</f>
        <v>2</v>
      </c>
      <c r="X6" s="11">
        <f ca="1">IFERROR(__xludf.DUMMYFUNCTION("""COMPUTED_VALUE"""),15)</f>
        <v>15</v>
      </c>
      <c r="Y6" s="11">
        <f ca="1">IFERROR(__xludf.DUMMYFUNCTION("""COMPUTED_VALUE"""),4)</f>
        <v>4</v>
      </c>
      <c r="Z6" s="12">
        <f ca="1">IFERROR(__xludf.DUMMYFUNCTION("""COMPUTED_VALUE"""),3)</f>
        <v>3</v>
      </c>
      <c r="AA6" s="12">
        <f ca="1">IFERROR(__xludf.DUMMYFUNCTION("""COMPUTED_VALUE"""),1)</f>
        <v>1</v>
      </c>
      <c r="AB6" s="12">
        <f ca="1">IFERROR(__xludf.DUMMYFUNCTION("""COMPUTED_VALUE"""),8)</f>
        <v>8</v>
      </c>
      <c r="AC6" s="12"/>
      <c r="AD6" s="12"/>
      <c r="AE6" s="12"/>
      <c r="AF6" s="12"/>
      <c r="AG6" s="13" t="str">
        <f ca="1">IFERROR(__xludf.DUMMYFUNCTION("ArrayFormula(VLOOKUP(G6, IMPORTRANGE(""https://docs.google.com/spreadsheets/d/1Co934fvtviyaRiMsrIlT05Jaq7iiYq07aLvRr35KA48/edit?gid=173865642#gid=173865642"", ""'G6_Sci_Pri_LU'!G2:V2000""), {3, 4, 5, 6, 7, 8, 9, 10, 11, 12, 13, 14, 15, 16}, 0))"),"LU005214")</f>
        <v>LU005214</v>
      </c>
      <c r="AH6" s="13" t="str">
        <f ca="1">IFERROR(__xludf.DUMMYFUNCTION("""COMPUTED_VALUE"""),"Definition of nutrients, types, and their sources.")</f>
        <v>Definition of nutrients, types, and their sources.</v>
      </c>
      <c r="AI6" s="13" t="str">
        <f ca="1">IFERROR(__xludf.DUMMYFUNCTION("""COMPUTED_VALUE"""),"LU005235")</f>
        <v>LU005235</v>
      </c>
      <c r="AJ6" s="13" t="str">
        <f ca="1">IFERROR(__xludf.DUMMYFUNCTION("""COMPUTED_VALUE"""),"Plants and animals-based food sources")</f>
        <v>Plants and animals-based food sources</v>
      </c>
      <c r="AK6" s="13"/>
      <c r="AL6" s="13"/>
      <c r="AM6" s="13"/>
      <c r="AN6" s="13"/>
      <c r="AO6" s="13"/>
      <c r="AP6" s="13"/>
      <c r="AQ6" s="13"/>
      <c r="AR6" s="13"/>
      <c r="AS6" s="13"/>
      <c r="AT6" s="13"/>
    </row>
    <row r="7" spans="1:46">
      <c r="A7" s="8" t="s">
        <v>247</v>
      </c>
      <c r="B7" s="8" t="s">
        <v>47</v>
      </c>
      <c r="C7" s="8" t="s">
        <v>48</v>
      </c>
      <c r="D7" s="8" t="s">
        <v>1406</v>
      </c>
      <c r="E7" s="8" t="s">
        <v>1685</v>
      </c>
      <c r="F7" s="8" t="s">
        <v>1688</v>
      </c>
      <c r="G7" s="8" t="s">
        <v>1430</v>
      </c>
      <c r="H7" s="8" t="str">
        <f ca="1">IFERROR(__xludf.DUMMYFUNCTION("VLOOKUP(G7, IMPORTRANGE(""https://docs.google.com/spreadsheets/d/14deopnvwcrKtEGCKuYXdUHJbeLDZlkiSSWWT0g7x2pM/edit#gid=849066331"", ""LU List Science (Filter)!A:B""), 2, FALSE)"),"Roughage and water's function and source for human body")</f>
        <v>Roughage and water's function and source for human body</v>
      </c>
      <c r="I7" s="10" t="str">
        <f t="shared" si="0"/>
        <v>LU005941.001</v>
      </c>
      <c r="J7" s="10" t="str">
        <f ca="1">IFERROR(__xludf.DUMMYFUNCTION("VLOOKUP(I7, IMPORTRANGE(""https://docs.google.com/spreadsheets/d/1yDAaXNsi4Mr5FtRQL4tbmSdIzhx6_m4wkOD7IG-k_eo/edit#gid=1336395716"", ""Science!M:N""), 2, FALSE)"),"Recall the functions of roughage/dietary fibers and water in the human body.")</f>
        <v>Recall the functions of roughage/dietary fibers and water in the human body.</v>
      </c>
      <c r="K7" s="10" t="str">
        <f t="shared" si="1"/>
        <v>LU005941.002</v>
      </c>
      <c r="L7" s="10" t="str">
        <f ca="1">IFERROR(__xludf.DUMMYFUNCTION("VLOOKUP(K7, IMPORTRANGE(""https://docs.google.com/spreadsheets/d/1yDAaXNsi4Mr5FtRQL4tbmSdIzhx6_m4wkOD7IG-k_eo/edit#gid=1336395716"", ""Science!M:N""), 2, FALSE)"),"Describe how roughage/dietary fibers and water aid in the digestive system.")</f>
        <v>Describe how roughage/dietary fibers and water aid in the digestive system.</v>
      </c>
      <c r="M7" s="10" t="str">
        <f t="shared" si="2"/>
        <v>LU005941.003</v>
      </c>
      <c r="N7" s="10" t="str">
        <f ca="1">IFERROR(__xludf.DUMMYFUNCTION("VLOOKUP(M7, IMPORTRANGE(""https://docs.google.com/spreadsheets/d/1yDAaXNsi4Mr5FtRQL4tbmSdIzhx6_m4wkOD7IG-k_eo/edit#gid=1336395716"", ""Science!M:N""), 2, FALSE)"),"Apply knowledge of roughage and water to choose appropriate food items that fulfill the body's requirements.")</f>
        <v>Apply knowledge of roughage and water to choose appropriate food items that fulfill the body's requirements.</v>
      </c>
      <c r="O7" s="10" t="str">
        <f t="shared" si="3"/>
        <v>LU005941.004</v>
      </c>
      <c r="P7" s="10" t="str">
        <f ca="1">IFERROR(__xludf.DUMMYFUNCTION("VLOOKUP(O7, IMPORTRANGE(""https://docs.google.com/spreadsheets/d/1yDAaXNsi4Mr5FtRQL4tbmSdIzhx6_m4wkOD7IG-k_eo/edit#gid=1336395716"", ""Science!M:N""), 2, FALSE)"),"#N/A")</f>
        <v>#N/A</v>
      </c>
      <c r="Q7" s="10" t="str">
        <f t="shared" si="4"/>
        <v>LU005941.005</v>
      </c>
      <c r="R7" s="10" t="str">
        <f ca="1">IFERROR(__xludf.DUMMYFUNCTION("VLOOKUP(Q7, IMPORTRANGE(""https://docs.google.com/spreadsheets/d/1yDAaXNsi4Mr5FtRQL4tbmSdIzhx6_m4wkOD7IG-k_eo/edit#gid=1336395716"", ""Science!M:N""), 2, FALSE)"),"#N/A")</f>
        <v>#N/A</v>
      </c>
      <c r="S7" s="10" t="str">
        <f t="shared" si="5"/>
        <v>LU005941.006</v>
      </c>
      <c r="T7" s="10" t="str">
        <f ca="1">IFERROR(__xludf.DUMMYFUNCTION("VLOOKUP(S7, IMPORTRANGE(""https://docs.google.com/spreadsheets/d/1yDAaXNsi4Mr5FtRQL4tbmSdIzhx6_m4wkOD7IG-k_eo/edit#gid=1336395716"", ""Science!M:N""), 2, FALSE)"),"#N/A")</f>
        <v>#N/A</v>
      </c>
      <c r="U7" s="11">
        <f ca="1">IFERROR(__xludf.DUMMYFUNCTION("ArrayFormula(VLOOKUP(G7, IMPORTRANGE(""https://docs.google.com/spreadsheets/d/1p7R4vtkWt5VOBim4ltsDG9KTzSjrtKXsMtQGXPHyND0/edit#gid=795171502"", ""'Filter 30_05_2024'!A1:M2000""), {2, 3, 4, 5,6,7,8,9,10,11,12,13}, 0))"),6)</f>
        <v>6</v>
      </c>
      <c r="V7" s="11">
        <f ca="1">IFERROR(__xludf.DUMMYFUNCTION("""COMPUTED_VALUE"""),6)</f>
        <v>6</v>
      </c>
      <c r="W7" s="11">
        <f ca="1">IFERROR(__xludf.DUMMYFUNCTION("""COMPUTED_VALUE"""),2)</f>
        <v>2</v>
      </c>
      <c r="X7" s="11">
        <f ca="1">IFERROR(__xludf.DUMMYFUNCTION("""COMPUTED_VALUE"""),14)</f>
        <v>14</v>
      </c>
      <c r="Y7" s="11">
        <f ca="1">IFERROR(__xludf.DUMMYFUNCTION("""COMPUTED_VALUE"""),4)</f>
        <v>4</v>
      </c>
      <c r="Z7" s="12">
        <f ca="1">IFERROR(__xludf.DUMMYFUNCTION("""COMPUTED_VALUE"""),3)</f>
        <v>3</v>
      </c>
      <c r="AA7" s="12">
        <f ca="1">IFERROR(__xludf.DUMMYFUNCTION("""COMPUTED_VALUE"""),1)</f>
        <v>1</v>
      </c>
      <c r="AB7" s="12">
        <f ca="1">IFERROR(__xludf.DUMMYFUNCTION("""COMPUTED_VALUE"""),8)</f>
        <v>8</v>
      </c>
      <c r="AC7" s="12"/>
      <c r="AD7" s="12"/>
      <c r="AE7" s="12"/>
      <c r="AF7" s="12"/>
      <c r="AG7" s="13" t="str">
        <f ca="1">IFERROR(__xludf.DUMMYFUNCTION("ArrayFormula(VLOOKUP(G7, IMPORTRANGE(""https://docs.google.com/spreadsheets/d/1Co934fvtviyaRiMsrIlT05Jaq7iiYq07aLvRr35KA48/edit?gid=173865642#gid=173865642"", ""'G6_Sci_Pri_LU'!G2:V2000""), {3, 4, 5, 6, 7, 8, 9, 10, 11, 12, 13, 14, 15, 16}, 0))"),"LU005214")</f>
        <v>LU005214</v>
      </c>
      <c r="AH7" s="13" t="str">
        <f ca="1">IFERROR(__xludf.DUMMYFUNCTION("""COMPUTED_VALUE"""),"Definition of nutrients, types, and their sources.")</f>
        <v>Definition of nutrients, types, and their sources.</v>
      </c>
      <c r="AI7" s="13" t="str">
        <f ca="1">IFERROR(__xludf.DUMMYFUNCTION("""COMPUTED_VALUE"""),"LU005089")</f>
        <v>LU005089</v>
      </c>
      <c r="AJ7" s="13" t="str">
        <f ca="1">IFERROR(__xludf.DUMMYFUNCTION("""COMPUTED_VALUE"""),"Definition of health")</f>
        <v>Definition of health</v>
      </c>
      <c r="AK7" s="13"/>
      <c r="AL7" s="13"/>
      <c r="AM7" s="13"/>
      <c r="AN7" s="13"/>
      <c r="AO7" s="13"/>
      <c r="AP7" s="13"/>
      <c r="AQ7" s="13"/>
      <c r="AR7" s="13"/>
      <c r="AS7" s="13"/>
      <c r="AT7" s="13"/>
    </row>
    <row r="8" spans="1:46">
      <c r="A8" s="8" t="s">
        <v>247</v>
      </c>
      <c r="B8" s="8" t="s">
        <v>47</v>
      </c>
      <c r="C8" s="8" t="s">
        <v>48</v>
      </c>
      <c r="D8" s="8" t="s">
        <v>1406</v>
      </c>
      <c r="E8" s="8" t="s">
        <v>1685</v>
      </c>
      <c r="F8" s="8" t="s">
        <v>1688</v>
      </c>
      <c r="G8" s="8" t="s">
        <v>1427</v>
      </c>
      <c r="H8" s="8" t="str">
        <f ca="1">IFERROR(__xludf.DUMMYFUNCTION("VLOOKUP(G8, IMPORTRANGE(""https://docs.google.com/spreadsheets/d/14deopnvwcrKtEGCKuYXdUHJbeLDZlkiSSWWT0g7x2pM/edit#gid=849066331"", ""LU List Science (Filter)!A:B""), 2, FALSE)"),"Minerals' functions and sources for human body")</f>
        <v>Minerals' functions and sources for human body</v>
      </c>
      <c r="I8" s="10" t="str">
        <f t="shared" si="0"/>
        <v>LU005942.001</v>
      </c>
      <c r="J8" s="10" t="str">
        <f ca="1">IFERROR(__xludf.DUMMYFUNCTION("VLOOKUP(I8, IMPORTRANGE(""https://docs.google.com/spreadsheets/d/1yDAaXNsi4Mr5FtRQL4tbmSdIzhx6_m4wkOD7IG-k_eo/edit#gid=1336395716"", ""Science!M:N""), 2, FALSE)"),"List common minerals essential for the human body and their food sources.")</f>
        <v>List common minerals essential for the human body and their food sources.</v>
      </c>
      <c r="K8" s="10" t="str">
        <f t="shared" si="1"/>
        <v>LU005942.002</v>
      </c>
      <c r="L8" s="10" t="str">
        <f ca="1">IFERROR(__xludf.DUMMYFUNCTION("VLOOKUP(K8, IMPORTRANGE(""https://docs.google.com/spreadsheets/d/1yDAaXNsi4Mr5FtRQL4tbmSdIzhx6_m4wkOD7IG-k_eo/edit#gid=1336395716"", ""Science!M:N""), 2, FALSE)"),"Describe the role of different minerals in maintaining good health.")</f>
        <v>Describe the role of different minerals in maintaining good health.</v>
      </c>
      <c r="M8" s="10" t="str">
        <f t="shared" si="2"/>
        <v>LU005942.003</v>
      </c>
      <c r="N8" s="10" t="str">
        <f ca="1">IFERROR(__xludf.DUMMYFUNCTION("VLOOKUP(M8, IMPORTRANGE(""https://docs.google.com/spreadsheets/d/1yDAaXNsi4Mr5FtRQL4tbmSdIzhx6_m4wkOD7IG-k_eo/edit#gid=1336395716"", ""Science!M:N""), 2, FALSE)"),"Apply knowledge of minerals to choose appropriate foods for a balanced diet.")</f>
        <v>Apply knowledge of minerals to choose appropriate foods for a balanced diet.</v>
      </c>
      <c r="O8" s="10" t="str">
        <f t="shared" si="3"/>
        <v>LU005942.004</v>
      </c>
      <c r="P8" s="10" t="str">
        <f ca="1">IFERROR(__xludf.DUMMYFUNCTION("VLOOKUP(O8, IMPORTRANGE(""https://docs.google.com/spreadsheets/d/1yDAaXNsi4Mr5FtRQL4tbmSdIzhx6_m4wkOD7IG-k_eo/edit#gid=1336395716"", ""Science!M:N""), 2, FALSE)"),"Analyze a diet plan to evaluate its mineral content and its potential effects on health.")</f>
        <v>Analyze a diet plan to evaluate its mineral content and its potential effects on health.</v>
      </c>
      <c r="Q8" s="10" t="str">
        <f t="shared" si="4"/>
        <v>LU005942.005</v>
      </c>
      <c r="R8" s="10" t="str">
        <f ca="1">IFERROR(__xludf.DUMMYFUNCTION("VLOOKUP(Q8, IMPORTRANGE(""https://docs.google.com/spreadsheets/d/1yDAaXNsi4Mr5FtRQL4tbmSdIzhx6_m4wkOD7IG-k_eo/edit#gid=1336395716"", ""Science!M:N""), 2, FALSE)"),"Justify the need for mineral supplementation in certain health conditions or dietary restrictions.")</f>
        <v>Justify the need for mineral supplementation in certain health conditions or dietary restrictions.</v>
      </c>
      <c r="S8" s="10" t="str">
        <f t="shared" si="5"/>
        <v>LU005942.006</v>
      </c>
      <c r="T8" s="10" t="str">
        <f ca="1">IFERROR(__xludf.DUMMYFUNCTION("VLOOKUP(S8, IMPORTRANGE(""https://docs.google.com/spreadsheets/d/1yDAaXNsi4Mr5FtRQL4tbmSdIzhx6_m4wkOD7IG-k_eo/edit#gid=1336395716"", ""Science!M:N""), 2, FALSE)"),"Construct a weekly meal plan that ensures an adequate intake of essential minerals for a peer with specific dietary needs.")</f>
        <v>Construct a weekly meal plan that ensures an adequate intake of essential minerals for a peer with specific dietary needs.</v>
      </c>
      <c r="U8" s="11">
        <f ca="1">IFERROR(__xludf.DUMMYFUNCTION("ArrayFormula(VLOOKUP(G8, IMPORTRANGE(""https://docs.google.com/spreadsheets/d/1p7R4vtkWt5VOBim4ltsDG9KTzSjrtKXsMtQGXPHyND0/edit#gid=795171502"", ""'Filter 30_05_2024'!A1:M2000""), {2, 3, 4, 5,6,7,8,9,10,11,12,13}, 0))"),4)</f>
        <v>4</v>
      </c>
      <c r="V8" s="38">
        <f ca="1">IFERROR(__xludf.DUMMYFUNCTION("""COMPUTED_VALUE"""),4)</f>
        <v>4</v>
      </c>
      <c r="W8" s="116">
        <f ca="1">IFERROR(__xludf.DUMMYFUNCTION("""COMPUTED_VALUE"""),2)</f>
        <v>2</v>
      </c>
      <c r="X8" s="11">
        <f ca="1">IFERROR(__xludf.DUMMYFUNCTION("""COMPUTED_VALUE"""),10)</f>
        <v>10</v>
      </c>
      <c r="Y8" s="11">
        <f ca="1">IFERROR(__xludf.DUMMYFUNCTION("""COMPUTED_VALUE"""),4)</f>
        <v>4</v>
      </c>
      <c r="Z8" s="115">
        <f ca="1">IFERROR(__xludf.DUMMYFUNCTION("""COMPUTED_VALUE"""),3)</f>
        <v>3</v>
      </c>
      <c r="AA8" s="12">
        <f ca="1">IFERROR(__xludf.DUMMYFUNCTION("""COMPUTED_VALUE"""),1)</f>
        <v>1</v>
      </c>
      <c r="AB8" s="12">
        <f ca="1">IFERROR(__xludf.DUMMYFUNCTION("""COMPUTED_VALUE"""),8)</f>
        <v>8</v>
      </c>
      <c r="AC8" s="12"/>
      <c r="AD8" s="12"/>
      <c r="AE8" s="12"/>
      <c r="AF8" s="12"/>
      <c r="AG8" s="13" t="str">
        <f ca="1">IFERROR(__xludf.DUMMYFUNCTION("ArrayFormula(VLOOKUP(G8, IMPORTRANGE(""https://docs.google.com/spreadsheets/d/1Co934fvtviyaRiMsrIlT05Jaq7iiYq07aLvRr35KA48/edit?gid=173865642#gid=173865642"", ""'G6_Sci_Pri_LU'!G2:V2000""), {3, 4, 5, 6, 7, 8, 9, 10, 11, 12, 13, 14, 15, 16}, 0))"),"LU005214")</f>
        <v>LU005214</v>
      </c>
      <c r="AH8" s="13" t="str">
        <f ca="1">IFERROR(__xludf.DUMMYFUNCTION("""COMPUTED_VALUE"""),"Definition of nutrients, types, and their sources.")</f>
        <v>Definition of nutrients, types, and their sources.</v>
      </c>
      <c r="AI8" s="13" t="str">
        <f ca="1">IFERROR(__xludf.DUMMYFUNCTION("""COMPUTED_VALUE"""),"LU005216")</f>
        <v>LU005216</v>
      </c>
      <c r="AJ8" s="13" t="str">
        <f ca="1">IFERROR(__xludf.DUMMYFUNCTION("""COMPUTED_VALUE"""),"Definition of vitamins, types, functions and sources")</f>
        <v>Definition of vitamins, types, functions and sources</v>
      </c>
      <c r="AK8" s="13"/>
      <c r="AL8" s="13"/>
      <c r="AM8" s="13"/>
      <c r="AN8" s="13"/>
      <c r="AO8" s="13"/>
      <c r="AP8" s="13"/>
      <c r="AQ8" s="13"/>
      <c r="AR8" s="13"/>
      <c r="AS8" s="13"/>
      <c r="AT8" s="13"/>
    </row>
    <row r="9" spans="1:46">
      <c r="A9" s="8" t="s">
        <v>247</v>
      </c>
      <c r="B9" s="8" t="s">
        <v>47</v>
      </c>
      <c r="C9" s="8" t="s">
        <v>48</v>
      </c>
      <c r="D9" s="8" t="s">
        <v>1406</v>
      </c>
      <c r="E9" s="8" t="s">
        <v>1685</v>
      </c>
      <c r="F9" s="8" t="s">
        <v>1689</v>
      </c>
      <c r="G9" s="8" t="s">
        <v>1432</v>
      </c>
      <c r="H9" s="8" t="str">
        <f ca="1">IFERROR(__xludf.DUMMYFUNCTION("VLOOKUP(G9, IMPORTRANGE(""https://docs.google.com/spreadsheets/d/14deopnvwcrKtEGCKuYXdUHJbeLDZlkiSSWWT0g7x2pM/edit#gid=849066331"", ""LU List Science (Filter)!A:B""), 2, FALSE)"),"Concept and constituents of balanced diet")</f>
        <v>Concept and constituents of balanced diet</v>
      </c>
      <c r="I9" s="10" t="str">
        <f t="shared" si="0"/>
        <v>LU005218.001</v>
      </c>
      <c r="J9" s="10" t="str">
        <f ca="1">IFERROR(__xludf.DUMMYFUNCTION("VLOOKUP(I9, IMPORTRANGE(""https://docs.google.com/spreadsheets/d/1yDAaXNsi4Mr5FtRQL4tbmSdIzhx6_m4wkOD7IG-k_eo/edit#gid=1336395716"", ""Science!M:N""), 2, FALSE)"),"Recall the concept of a balanced diet and loss of nutrients during food preparation.")</f>
        <v>Recall the concept of a balanced diet and loss of nutrients during food preparation.</v>
      </c>
      <c r="K9" s="10" t="str">
        <f t="shared" si="1"/>
        <v>LU005218.002</v>
      </c>
      <c r="L9" s="10" t="str">
        <f ca="1">IFERROR(__xludf.DUMMYFUNCTION("VLOOKUP(K9, IMPORTRANGE(""https://docs.google.com/spreadsheets/d/1yDAaXNsi4Mr5FtRQL4tbmSdIzhx6_m4wkOD7IG-k_eo/edit#gid=1336395716"", ""Science!M:N""), 2, FALSE)"),"Explain why a balanced diet is essential for overall health and well-being and also loss of nutrients during food preparation.")</f>
        <v>Explain why a balanced diet is essential for overall health and well-being and also loss of nutrients during food preparation.</v>
      </c>
      <c r="M9" s="10" t="str">
        <f t="shared" si="2"/>
        <v>LU005218.003</v>
      </c>
      <c r="N9" s="10" t="str">
        <f ca="1">IFERROR(__xludf.DUMMYFUNCTION("VLOOKUP(M9, IMPORTRANGE(""https://docs.google.com/spreadsheets/d/1yDAaXNsi4Mr5FtRQL4tbmSdIzhx6_m4wkOD7IG-k_eo/edit#gid=1336395716"", ""Science!M:N""), 2, FALSE)"),"Identify examples of foods from different food groups that contribute to a balanced diet and conditions which involve loss of nutrients during food preparation.")</f>
        <v>Identify examples of foods from different food groups that contribute to a balanced diet and conditions which involve loss of nutrients during food preparation.</v>
      </c>
      <c r="O9" s="10" t="str">
        <f t="shared" si="3"/>
        <v>LU005218.004</v>
      </c>
      <c r="P9" s="10" t="str">
        <f ca="1">IFERROR(__xludf.DUMMYFUNCTION("VLOOKUP(O9, IMPORTRANGE(""https://docs.google.com/spreadsheets/d/1yDAaXNsi4Mr5FtRQL4tbmSdIzhx6_m4wkOD7IG-k_eo/edit#gid=1336395716"", ""Science!M:N""), 2, FALSE)"),"Analyze the nutritional content of a typical meal to determine if it meets the criteria of a balanced diet and conditions which can contribute to loss of nutrients during food preparation.")</f>
        <v>Analyze the nutritional content of a typical meal to determine if it meets the criteria of a balanced diet and conditions which can contribute to loss of nutrients during food preparation.</v>
      </c>
      <c r="Q9" s="10" t="str">
        <f t="shared" si="4"/>
        <v>LU005218.005</v>
      </c>
      <c r="R9" s="10" t="str">
        <f ca="1">IFERROR(__xludf.DUMMYFUNCTION("VLOOKUP(Q9, IMPORTRANGE(""https://docs.google.com/spreadsheets/d/1yDAaXNsi4Mr5FtRQL4tbmSdIzhx6_m4wkOD7IG-k_eo/edit#gid=1336395716"", ""Science!M:N""), 2, FALSE)"),"Evaluate the benefits of adhering to a balanced diet in preventing nutritional deficiencies and discuss the challenges individuals might face in maintaining such a diet.")</f>
        <v>Evaluate the benefits of adhering to a balanced diet in preventing nutritional deficiencies and discuss the challenges individuals might face in maintaining such a diet.</v>
      </c>
      <c r="S9" s="10" t="str">
        <f t="shared" si="5"/>
        <v>LU005218.006</v>
      </c>
      <c r="T9" s="10" t="str">
        <f ca="1">IFERROR(__xludf.DUMMYFUNCTION("VLOOKUP(S9, IMPORTRANGE(""https://docs.google.com/spreadsheets/d/1yDAaXNsi4Mr5FtRQL4tbmSdIzhx6_m4wkOD7IG-k_eo/edit#gid=1336395716"", ""Science!M:N""), 2, FALSE)"),"#N/A")</f>
        <v>#N/A</v>
      </c>
      <c r="U9" s="11">
        <f ca="1">IFERROR(__xludf.DUMMYFUNCTION("ArrayFormula(VLOOKUP(G9, IMPORTRANGE(""https://docs.google.com/spreadsheets/d/1p7R4vtkWt5VOBim4ltsDG9KTzSjrtKXsMtQGXPHyND0/edit#gid=795171502"", ""'Filter 30_05_2024'!A1:M2000""), {2, 3, 4, 5,6,7,8,9,10,11,12,13}, 0))"),4)</f>
        <v>4</v>
      </c>
      <c r="V9" s="11">
        <f ca="1">IFERROR(__xludf.DUMMYFUNCTION("""COMPUTED_VALUE"""),6)</f>
        <v>6</v>
      </c>
      <c r="W9" s="11">
        <f ca="1">IFERROR(__xludf.DUMMYFUNCTION("""COMPUTED_VALUE"""),2)</f>
        <v>2</v>
      </c>
      <c r="X9" s="11">
        <f ca="1">IFERROR(__xludf.DUMMYFUNCTION("""COMPUTED_VALUE"""),12)</f>
        <v>12</v>
      </c>
      <c r="Y9" s="11">
        <f ca="1">IFERROR(__xludf.DUMMYFUNCTION("""COMPUTED_VALUE"""),5)</f>
        <v>5</v>
      </c>
      <c r="Z9" s="12">
        <f ca="1">IFERROR(__xludf.DUMMYFUNCTION("""COMPUTED_VALUE"""),3)</f>
        <v>3</v>
      </c>
      <c r="AA9" s="12">
        <f ca="1">IFERROR(__xludf.DUMMYFUNCTION("""COMPUTED_VALUE"""),3)</f>
        <v>3</v>
      </c>
      <c r="AB9" s="12">
        <f ca="1">IFERROR(__xludf.DUMMYFUNCTION("""COMPUTED_VALUE"""),11)</f>
        <v>11</v>
      </c>
      <c r="AC9" s="12"/>
      <c r="AD9" s="12"/>
      <c r="AE9" s="12"/>
      <c r="AF9" s="12"/>
      <c r="AG9" s="13" t="str">
        <f ca="1">IFERROR(__xludf.DUMMYFUNCTION("ArrayFormula(VLOOKUP(G9, IMPORTRANGE(""https://docs.google.com/spreadsheets/d/1Co934fvtviyaRiMsrIlT05Jaq7iiYq07aLvRr35KA48/edit?gid=173865642#gid=173865642"", ""'G6_Sci_Pri_LU'!G2:V2000""), {3, 4, 5, 6, 7, 8, 9, 10, 11, 12, 13, 14, 15, 16}, 0))"),"LU005942")</f>
        <v>LU005942</v>
      </c>
      <c r="AH9" s="13" t="str">
        <f ca="1">IFERROR(__xludf.DUMMYFUNCTION("""COMPUTED_VALUE"""),"Minerals' functions and sources for human body")</f>
        <v>Minerals' functions and sources for human body</v>
      </c>
      <c r="AI9" s="13" t="str">
        <f ca="1">IFERROR(__xludf.DUMMYFUNCTION("""COMPUTED_VALUE"""),"LU005216")</f>
        <v>LU005216</v>
      </c>
      <c r="AJ9" s="13" t="str">
        <f ca="1">IFERROR(__xludf.DUMMYFUNCTION("""COMPUTED_VALUE"""),"Definition of vitamins, types, functions and sources")</f>
        <v>Definition of vitamins, types, functions and sources</v>
      </c>
      <c r="AK9" s="13" t="str">
        <f ca="1">IFERROR(__xludf.DUMMYFUNCTION("""COMPUTED_VALUE"""),"LU005941")</f>
        <v>LU005941</v>
      </c>
      <c r="AL9" s="13" t="str">
        <f ca="1">IFERROR(__xludf.DUMMYFUNCTION("""COMPUTED_VALUE"""),"Roughage and water's function and source for human body")</f>
        <v>Roughage and water's function and source for human body</v>
      </c>
      <c r="AM9" s="13" t="str">
        <f ca="1">IFERROR(__xludf.DUMMYFUNCTION("""COMPUTED_VALUE"""),"LU005214")</f>
        <v>LU005214</v>
      </c>
      <c r="AN9" s="13" t="str">
        <f ca="1">IFERROR(__xludf.DUMMYFUNCTION("""COMPUTED_VALUE"""),"Definition of nutrients, types, and their sources.")</f>
        <v>Definition of nutrients, types, and their sources.</v>
      </c>
      <c r="AO9" s="13"/>
      <c r="AP9" s="13"/>
      <c r="AQ9" s="13"/>
      <c r="AR9" s="13"/>
      <c r="AS9" s="13"/>
      <c r="AT9" s="13"/>
    </row>
    <row r="10" spans="1:46">
      <c r="A10" s="8" t="s">
        <v>247</v>
      </c>
      <c r="B10" s="8" t="s">
        <v>47</v>
      </c>
      <c r="C10" s="8" t="s">
        <v>48</v>
      </c>
      <c r="D10" s="8" t="s">
        <v>1406</v>
      </c>
      <c r="E10" s="8" t="s">
        <v>1685</v>
      </c>
      <c r="F10" s="8" t="s">
        <v>1689</v>
      </c>
      <c r="G10" s="8" t="s">
        <v>1690</v>
      </c>
      <c r="H10" s="8" t="str">
        <f ca="1">IFERROR(__xludf.DUMMYFUNCTION("VLOOKUP(G10, IMPORTRANGE(""https://docs.google.com/spreadsheets/d/14deopnvwcrKtEGCKuYXdUHJbeLDZlkiSSWWT0g7x2pM/edit#gid=849066331"", ""LU List Science (Filter)!A:B""), 2, FALSE)"),"Definition of malnutrition and obesity")</f>
        <v>Definition of malnutrition and obesity</v>
      </c>
      <c r="I10" s="10" t="str">
        <f t="shared" si="0"/>
        <v>LU005220.001</v>
      </c>
      <c r="J10" s="10" t="str">
        <f ca="1">IFERROR(__xludf.DUMMYFUNCTION("VLOOKUP(I10, IMPORTRANGE(""https://docs.google.com/spreadsheets/d/1yDAaXNsi4Mr5FtRQL4tbmSdIzhx6_m4wkOD7IG-k_eo/edit#gid=1336395716"", ""Science!M:N""), 2, FALSE)"),"Students will recall the definitions of malnutrition and obesity.")</f>
        <v>Students will recall the definitions of malnutrition and obesity.</v>
      </c>
      <c r="K10" s="10" t="str">
        <f t="shared" si="1"/>
        <v>LU005220.002</v>
      </c>
      <c r="L10" s="10" t="str">
        <f ca="1">IFERROR(__xludf.DUMMYFUNCTION("VLOOKUP(K10, IMPORTRANGE(""https://docs.google.com/spreadsheets/d/1yDAaXNsi4Mr5FtRQL4tbmSdIzhx6_m4wkOD7IG-k_eo/edit#gid=1336395716"", ""Science!M:N""), 2, FALSE)"),"Students will summarize the causes and effects of malnutrition and obesity.")</f>
        <v>Students will summarize the causes and effects of malnutrition and obesity.</v>
      </c>
      <c r="M10" s="10" t="str">
        <f t="shared" si="2"/>
        <v>LU005220.003</v>
      </c>
      <c r="N10" s="10" t="str">
        <f ca="1">IFERROR(__xludf.DUMMYFUNCTION("VLOOKUP(M10, IMPORTRANGE(""https://docs.google.com/spreadsheets/d/1yDAaXNsi4Mr5FtRQL4tbmSdIzhx6_m4wkOD7IG-k_eo/edit#gid=1336395716"", ""Science!M:N""), 2, FALSE)"),"Students will apply knowledge of malnutrition and obesity to identify healthy and unhealthy food choices.")</f>
        <v>Students will apply knowledge of malnutrition and obesity to identify healthy and unhealthy food choices.</v>
      </c>
      <c r="O10" s="10" t="str">
        <f t="shared" si="3"/>
        <v>LU005220.004</v>
      </c>
      <c r="P10" s="10" t="str">
        <f ca="1">IFERROR(__xludf.DUMMYFUNCTION("VLOOKUP(O10, IMPORTRANGE(""https://docs.google.com/spreadsheets/d/1yDAaXNsi4Mr5FtRQL4tbmSdIzhx6_m4wkOD7IG-k_eo/edit#gid=1336395716"", ""Science!M:N""), 2, FALSE)"),"Students will distinguish between malnutrition and obesity by analyzing diet and lifestyle factors contributing to each condition.")</f>
        <v>Students will distinguish between malnutrition and obesity by analyzing diet and lifestyle factors contributing to each condition.</v>
      </c>
      <c r="Q10" s="10" t="str">
        <f t="shared" si="4"/>
        <v>LU005220.005</v>
      </c>
      <c r="R10" s="10" t="str">
        <f ca="1">IFERROR(__xludf.DUMMYFUNCTION("VLOOKUP(Q10, IMPORTRANGE(""https://docs.google.com/spreadsheets/d/1yDAaXNsi4Mr5FtRQL4tbmSdIzhx6_m4wkOD7IG-k_eo/edit#gid=1336395716"", ""Science!M:N""), 2, FALSE)"),"Students will argue the importance of a balanced diet in preventing malnutrition and obesity.")</f>
        <v>Students will argue the importance of a balanced diet in preventing malnutrition and obesity.</v>
      </c>
      <c r="S10" s="10" t="str">
        <f t="shared" si="5"/>
        <v>LU005220.006</v>
      </c>
      <c r="T10" s="10" t="str">
        <f ca="1">IFERROR(__xludf.DUMMYFUNCTION("VLOOKUP(S10, IMPORTRANGE(""https://docs.google.com/spreadsheets/d/1yDAaXNsi4Mr5FtRQL4tbmSdIzhx6_m4wkOD7IG-k_eo/edit#gid=1336395716"", ""Science!M:N""), 2, FALSE)"),"Students will design a weekly balanced meal plan that aims to address and prevent malnutrition and obesity.")</f>
        <v>Students will design a weekly balanced meal plan that aims to address and prevent malnutrition and obesity.</v>
      </c>
      <c r="U10" s="38">
        <f ca="1">IFERROR(__xludf.DUMMYFUNCTION("ArrayFormula(VLOOKUP(G10, IMPORTRANGE(""https://docs.google.com/spreadsheets/d/1p7R4vtkWt5VOBim4ltsDG9KTzSjrtKXsMtQGXPHyND0/edit#gid=795171502"", ""'Filter 30_05_2024'!A1:M2000""), {2, 3, 4, 5,6,7,8,9,10,11,12,13}, 0))"),3)</f>
        <v>3</v>
      </c>
      <c r="V10" s="11">
        <f ca="1">IFERROR(__xludf.DUMMYFUNCTION("""COMPUTED_VALUE"""),6)</f>
        <v>6</v>
      </c>
      <c r="W10" s="11">
        <f ca="1">IFERROR(__xludf.DUMMYFUNCTION("""COMPUTED_VALUE"""),2)</f>
        <v>2</v>
      </c>
      <c r="X10" s="11">
        <f ca="1">IFERROR(__xludf.DUMMYFUNCTION("""COMPUTED_VALUE"""),11)</f>
        <v>11</v>
      </c>
      <c r="Y10" s="11">
        <f ca="1">IFERROR(__xludf.DUMMYFUNCTION("""COMPUTED_VALUE"""),4)</f>
        <v>4</v>
      </c>
      <c r="Z10" s="12">
        <f ca="1">IFERROR(__xludf.DUMMYFUNCTION("""COMPUTED_VALUE"""),3)</f>
        <v>3</v>
      </c>
      <c r="AA10" s="12">
        <f ca="1">IFERROR(__xludf.DUMMYFUNCTION("""COMPUTED_VALUE"""),1)</f>
        <v>1</v>
      </c>
      <c r="AB10" s="12">
        <f ca="1">IFERROR(__xludf.DUMMYFUNCTION("""COMPUTED_VALUE"""),8)</f>
        <v>8</v>
      </c>
      <c r="AC10" s="12"/>
      <c r="AD10" s="12"/>
      <c r="AE10" s="12"/>
      <c r="AF10" s="12"/>
      <c r="AG10" s="13" t="str">
        <f ca="1">IFERROR(__xludf.DUMMYFUNCTION("ArrayFormula(VLOOKUP(G10, IMPORTRANGE(""https://docs.google.com/spreadsheets/d/1Co934fvtviyaRiMsrIlT05Jaq7iiYq07aLvRr35KA48/edit?gid=173865642#gid=173865642"", ""'G6_Sci_Pri_LU'!G2:V2000""), {3, 4, 5, 6, 7, 8, 9, 10, 11, 12, 13, 14, 15, 16}, 0))"),"LU005218")</f>
        <v>LU005218</v>
      </c>
      <c r="AH10" s="13" t="str">
        <f ca="1">IFERROR(__xludf.DUMMYFUNCTION("""COMPUTED_VALUE"""),"Concept and constituents of balanced diet")</f>
        <v>Concept and constituents of balanced diet</v>
      </c>
      <c r="AI10" s="13" t="str">
        <f ca="1">IFERROR(__xludf.DUMMYFUNCTION("""COMPUTED_VALUE"""),"LU005939")</f>
        <v>LU005939</v>
      </c>
      <c r="AJ10" s="13" t="str">
        <f ca="1">IFERROR(__xludf.DUMMYFUNCTION("""COMPUTED_VALUE"""),"Definition of fats and its qualitative tests.")</f>
        <v>Definition of fats and its qualitative tests.</v>
      </c>
      <c r="AK10" s="13" t="str">
        <f ca="1">IFERROR(__xludf.DUMMYFUNCTION("""COMPUTED_VALUE"""),"LU005938")</f>
        <v>LU005938</v>
      </c>
      <c r="AL10" s="13" t="str">
        <f ca="1">IFERROR(__xludf.DUMMYFUNCTION("""COMPUTED_VALUE"""),"Definition of carbohydrates and its qualitative tests.")</f>
        <v>Definition of carbohydrates and its qualitative tests.</v>
      </c>
      <c r="AM10" s="13" t="str">
        <f ca="1">IFERROR(__xludf.DUMMYFUNCTION("""COMPUTED_VALUE"""),"LU005093")</f>
        <v>LU005093</v>
      </c>
      <c r="AN10" s="13" t="str">
        <f ca="1">IFERROR(__xludf.DUMMYFUNCTION("""COMPUTED_VALUE"""),"Two Types of Diseases - Communicable and Non-Communicable Diseases (with Examples)")</f>
        <v>Two Types of Diseases - Communicable and Non-Communicable Diseases (with Examples)</v>
      </c>
      <c r="AO10" s="13"/>
      <c r="AP10" s="13"/>
      <c r="AQ10" s="13"/>
      <c r="AR10" s="13"/>
      <c r="AS10" s="13"/>
      <c r="AT10" s="13"/>
    </row>
    <row r="11" spans="1:46">
      <c r="A11" s="8" t="s">
        <v>247</v>
      </c>
      <c r="B11" s="8" t="s">
        <v>47</v>
      </c>
      <c r="C11" s="8" t="s">
        <v>48</v>
      </c>
      <c r="D11" s="8" t="s">
        <v>1406</v>
      </c>
      <c r="E11" s="8" t="s">
        <v>1685</v>
      </c>
      <c r="F11" s="8" t="s">
        <v>1689</v>
      </c>
      <c r="G11" s="8" t="s">
        <v>1434</v>
      </c>
      <c r="H11" s="8" t="str">
        <f ca="1">IFERROR(__xludf.DUMMYFUNCTION("VLOOKUP(G11, IMPORTRANGE(""https://docs.google.com/spreadsheets/d/14deopnvwcrKtEGCKuYXdUHJbeLDZlkiSSWWT0g7x2pM/edit#gid=849066331"", ""LU List Science (Filter)!A:B""), 2, FALSE)"),"Definition of deficiency diseases")</f>
        <v>Definition of deficiency diseases</v>
      </c>
      <c r="I11" s="10" t="str">
        <f t="shared" si="0"/>
        <v>LU005219.001</v>
      </c>
      <c r="J11" s="10" t="str">
        <f ca="1">IFERROR(__xludf.DUMMYFUNCTION("VLOOKUP(I11, IMPORTRANGE(""https://docs.google.com/spreadsheets/d/1yDAaXNsi4Mr5FtRQL4tbmSdIzhx6_m4wkOD7IG-k_eo/edit#gid=1336395716"", ""Science!M:N""), 2, FALSE)"),"Recall the definition of deficiency diseases.")</f>
        <v>Recall the definition of deficiency diseases.</v>
      </c>
      <c r="K11" s="10" t="str">
        <f t="shared" si="1"/>
        <v>LU005219.002</v>
      </c>
      <c r="L11" s="10" t="str">
        <f ca="1">IFERROR(__xludf.DUMMYFUNCTION("VLOOKUP(K11, IMPORTRANGE(""https://docs.google.com/spreadsheets/d/1yDAaXNsi4Mr5FtRQL4tbmSdIzhx6_m4wkOD7IG-k_eo/edit#gid=1336395716"", ""Science!M:N""), 2, FALSE)"),"Identify deficiency diseases associated with particular nutrient deficiencies from a provided list.")</f>
        <v>Identify deficiency diseases associated with particular nutrient deficiencies from a provided list.</v>
      </c>
      <c r="M11" s="10" t="str">
        <f t="shared" si="2"/>
        <v>LU005219.003</v>
      </c>
      <c r="N11" s="10" t="str">
        <f ca="1">IFERROR(__xludf.DUMMYFUNCTION("VLOOKUP(M11, IMPORTRANGE(""https://docs.google.com/spreadsheets/d/1yDAaXNsi4Mr5FtRQL4tbmSdIzhx6_m4wkOD7IG-k_eo/edit#gid=1336395716"", ""Science!M:N""), 2, FALSE)"),"Apply the knowledge of various deficiency diseases, their causes, symptoms, and potential prevention strategies.")</f>
        <v>Apply the knowledge of various deficiency diseases, their causes, symptoms, and potential prevention strategies.</v>
      </c>
      <c r="O11" s="10" t="str">
        <f t="shared" si="3"/>
        <v>LU005219.004</v>
      </c>
      <c r="P11" s="10" t="str">
        <f ca="1">IFERROR(__xludf.DUMMYFUNCTION("VLOOKUP(O11, IMPORTRANGE(""https://docs.google.com/spreadsheets/d/1yDAaXNsi4Mr5FtRQL4tbmSdIzhx6_m4wkOD7IG-k_eo/edit#gid=1336395716"", ""Science!M:N""), 2, FALSE)"),"Analyze the symptoms of a specific deficiency disease and link them to the nutrient that is lacking.")</f>
        <v>Analyze the symptoms of a specific deficiency disease and link them to the nutrient that is lacking.</v>
      </c>
      <c r="Q11" s="10" t="str">
        <f t="shared" si="4"/>
        <v>LU005219.005</v>
      </c>
      <c r="R11" s="10" t="str">
        <f ca="1">IFERROR(__xludf.DUMMYFUNCTION("VLOOKUP(Q11, IMPORTRANGE(""https://docs.google.com/spreadsheets/d/1yDAaXNsi4Mr5FtRQL4tbmSdIzhx6_m4wkOD7IG-k_eo/edit#gid=1336395716"", ""Science!M:N""), 2, FALSE)"),"#N/A")</f>
        <v>#N/A</v>
      </c>
      <c r="S11" s="10" t="str">
        <f t="shared" si="5"/>
        <v>LU005219.006</v>
      </c>
      <c r="T11" s="10" t="str">
        <f ca="1">IFERROR(__xludf.DUMMYFUNCTION("VLOOKUP(S11, IMPORTRANGE(""https://docs.google.com/spreadsheets/d/1yDAaXNsi4Mr5FtRQL4tbmSdIzhx6_m4wkOD7IG-k_eo/edit#gid=1336395716"", ""Science!M:N""), 2, FALSE)"),"#N/A")</f>
        <v>#N/A</v>
      </c>
      <c r="U11" s="11">
        <f ca="1">IFERROR(__xludf.DUMMYFUNCTION("ArrayFormula(VLOOKUP(G11, IMPORTRANGE(""https://docs.google.com/spreadsheets/d/1p7R4vtkWt5VOBim4ltsDG9KTzSjrtKXsMtQGXPHyND0/edit#gid=795171502"", ""'Filter 30_05_2024'!A1:M2000""), {2, 3, 4, 5,6,7,8,9,10,11,12,13}, 0))"),21)</f>
        <v>21</v>
      </c>
      <c r="V11" s="11">
        <f ca="1">IFERROR(__xludf.DUMMYFUNCTION("""COMPUTED_VALUE"""),11)</f>
        <v>11</v>
      </c>
      <c r="W11" s="11">
        <f ca="1">IFERROR(__xludf.DUMMYFUNCTION("""COMPUTED_VALUE"""),2)</f>
        <v>2</v>
      </c>
      <c r="X11" s="11">
        <f ca="1">IFERROR(__xludf.DUMMYFUNCTION("""COMPUTED_VALUE"""),34)</f>
        <v>34</v>
      </c>
      <c r="Y11" s="11">
        <f ca="1">IFERROR(__xludf.DUMMYFUNCTION("""COMPUTED_VALUE"""),5)</f>
        <v>5</v>
      </c>
      <c r="Z11" s="12">
        <f ca="1">IFERROR(__xludf.DUMMYFUNCTION("""COMPUTED_VALUE"""),8)</f>
        <v>8</v>
      </c>
      <c r="AA11" s="12">
        <f ca="1">IFERROR(__xludf.DUMMYFUNCTION("""COMPUTED_VALUE"""),3)</f>
        <v>3</v>
      </c>
      <c r="AB11" s="12">
        <f ca="1">IFERROR(__xludf.DUMMYFUNCTION("""COMPUTED_VALUE"""),16)</f>
        <v>16</v>
      </c>
      <c r="AC11" s="12"/>
      <c r="AD11" s="12"/>
      <c r="AE11" s="12"/>
      <c r="AF11" s="12"/>
      <c r="AG11" s="13" t="str">
        <f ca="1">IFERROR(__xludf.DUMMYFUNCTION("ArrayFormula(VLOOKUP(G11, IMPORTRANGE(""https://docs.google.com/spreadsheets/d/1Co934fvtviyaRiMsrIlT05Jaq7iiYq07aLvRr35KA48/edit?gid=173865642#gid=173865642"", ""'G6_Sci_Pri_LU'!G2:V2000""), {3, 4, 5, 6, 7, 8, 9, 10, 11, 12, 13, 14, 15, 16}, 0))"),"LU005218")</f>
        <v>LU005218</v>
      </c>
      <c r="AH11" s="13" t="str">
        <f ca="1">IFERROR(__xludf.DUMMYFUNCTION("""COMPUTED_VALUE"""),"Concept and constituents of balanced diet")</f>
        <v>Concept and constituents of balanced diet</v>
      </c>
      <c r="AI11" s="13" t="str">
        <f ca="1">IFERROR(__xludf.DUMMYFUNCTION("""COMPUTED_VALUE"""),"LU005942")</f>
        <v>LU005942</v>
      </c>
      <c r="AJ11" s="13" t="str">
        <f ca="1">IFERROR(__xludf.DUMMYFUNCTION("""COMPUTED_VALUE"""),"Minerals' functions and sources for human body")</f>
        <v>Minerals' functions and sources for human body</v>
      </c>
      <c r="AK11" s="13" t="str">
        <f ca="1">IFERROR(__xludf.DUMMYFUNCTION("""COMPUTED_VALUE"""),"LU005216")</f>
        <v>LU005216</v>
      </c>
      <c r="AL11" s="13" t="str">
        <f ca="1">IFERROR(__xludf.DUMMYFUNCTION("""COMPUTED_VALUE"""),"Definition of vitamins, types, functions and sources")</f>
        <v>Definition of vitamins, types, functions and sources</v>
      </c>
      <c r="AM11" s="13" t="str">
        <f ca="1">IFERROR(__xludf.DUMMYFUNCTION("""COMPUTED_VALUE"""),"LU005093")</f>
        <v>LU005093</v>
      </c>
      <c r="AN11" s="13" t="str">
        <f ca="1">IFERROR(__xludf.DUMMYFUNCTION("""COMPUTED_VALUE"""),"Two Types of Diseases - Communicable and Non-Communicable Diseases (with Examples)")</f>
        <v>Two Types of Diseases - Communicable and Non-Communicable Diseases (with Examples)</v>
      </c>
      <c r="AO11" s="13"/>
      <c r="AP11" s="13"/>
      <c r="AQ11" s="13"/>
      <c r="AR11" s="13"/>
      <c r="AS11" s="13"/>
      <c r="AT11" s="13"/>
    </row>
    <row r="12" spans="1:46">
      <c r="A12" s="8" t="s">
        <v>247</v>
      </c>
      <c r="B12" s="8" t="s">
        <v>47</v>
      </c>
      <c r="C12" s="8" t="s">
        <v>48</v>
      </c>
      <c r="D12" s="8" t="s">
        <v>1441</v>
      </c>
      <c r="E12" s="8" t="s">
        <v>1691</v>
      </c>
      <c r="F12" s="8" t="s">
        <v>1692</v>
      </c>
      <c r="G12" s="40" t="s">
        <v>1444</v>
      </c>
      <c r="H12" s="40" t="str">
        <f ca="1">IFERROR(__xludf.DUMMYFUNCTION("VLOOKUP(G12, IMPORTRANGE(""https://docs.google.com/spreadsheets/d/14deopnvwcrKtEGCKuYXdUHJbeLDZlkiSSWWT0g7x2pM/edit#gid=849066331"", ""LU List Science (Filter)!A:B""), 2, FALSE)"),"Nature of objects around us at material level and grouping of materials")</f>
        <v>Nature of objects around us at material level and grouping of materials</v>
      </c>
      <c r="I12" s="10" t="str">
        <f t="shared" si="0"/>
        <v>LU005313.001</v>
      </c>
      <c r="J12" s="10" t="str">
        <f ca="1">IFERROR(__xludf.DUMMYFUNCTION("VLOOKUP(I12, IMPORTRANGE(""https://docs.google.com/spreadsheets/d/1yDAaXNsi4Mr5FtRQL4tbmSdIzhx6_m4wkOD7IG-k_eo/edit#gid=1336395716"", ""Science!M:N""), 2, FALSE)"),"Define the terms ""objects"" and ""materials"" with relevant examples.")</f>
        <v>Define the terms "objects" and "materials" with relevant examples.</v>
      </c>
      <c r="K12" s="10" t="str">
        <f t="shared" si="1"/>
        <v>LU005313.002</v>
      </c>
      <c r="L12" s="10" t="str">
        <f ca="1">IFERROR(__xludf.DUMMYFUNCTION("VLOOKUP(K12, IMPORTRANGE(""https://docs.google.com/spreadsheets/d/1yDAaXNsi4Mr5FtRQL4tbmSdIzhx6_m4wkOD7IG-k_eo/edit#gid=1336395716"", ""Science!M:N""), 2, FALSE)"),"Differentiate between objects made of a single material and those composed of multiple materials.")</f>
        <v>Differentiate between objects made of a single material and those composed of multiple materials.</v>
      </c>
      <c r="M12" s="10" t="str">
        <f t="shared" si="2"/>
        <v>LU005313.003</v>
      </c>
      <c r="N12" s="10" t="str">
        <f ca="1">IFERROR(__xludf.DUMMYFUNCTION("VLOOKUP(M12, IMPORTRANGE(""https://docs.google.com/spreadsheets/d/1yDAaXNsi4Mr5FtRQL4tbmSdIzhx6_m4wkOD7IG-k_eo/edit#gid=1336395716"", ""Science!M:N""), 2, FALSE)"),"Create a comprehensive list of items from your environment, categorizing them by the materials they are made of.")</f>
        <v>Create a comprehensive list of items from your environment, categorizing them by the materials they are made of.</v>
      </c>
      <c r="O12" s="10" t="str">
        <f t="shared" si="3"/>
        <v>LU005313.004</v>
      </c>
      <c r="P12" s="10" t="str">
        <f ca="1">IFERROR(__xludf.DUMMYFUNCTION("VLOOKUP(O12, IMPORTRANGE(""https://docs.google.com/spreadsheets/d/1yDAaXNsi4Mr5FtRQL4tbmSdIzhx6_m4wkOD7IG-k_eo/edit#gid=1336395716"", ""Science!M:N""), 2, FALSE)"),"Analyze a selection of items around you to identify those that are made up of multiple types of materials.")</f>
        <v>Analyze a selection of items around you to identify those that are made up of multiple types of materials.</v>
      </c>
      <c r="Q12" s="10" t="str">
        <f t="shared" si="4"/>
        <v>LU005313.005</v>
      </c>
      <c r="R12" s="10" t="str">
        <f ca="1">IFERROR(__xludf.DUMMYFUNCTION("VLOOKUP(Q12, IMPORTRANGE(""https://docs.google.com/spreadsheets/d/1yDAaXNsi4Mr5FtRQL4tbmSdIzhx6_m4wkOD7IG-k_eo/edit#gid=1336395716"", ""Science!M:N""), 2, FALSE)"),"#N/A")</f>
        <v>#N/A</v>
      </c>
      <c r="S12" s="10" t="str">
        <f t="shared" si="5"/>
        <v>LU005313.006</v>
      </c>
      <c r="T12" s="10" t="str">
        <f ca="1">IFERROR(__xludf.DUMMYFUNCTION("VLOOKUP(S12, IMPORTRANGE(""https://docs.google.com/spreadsheets/d/1yDAaXNsi4Mr5FtRQL4tbmSdIzhx6_m4wkOD7IG-k_eo/edit#gid=1336395716"", ""Science!M:N""), 2, FALSE)"),"#N/A")</f>
        <v>#N/A</v>
      </c>
      <c r="U12" s="11">
        <f ca="1">IFERROR(__xludf.DUMMYFUNCTION("ArrayFormula(VLOOKUP(G12, IMPORTRANGE(""https://docs.google.com/spreadsheets/d/1p7R4vtkWt5VOBim4ltsDG9KTzSjrtKXsMtQGXPHyND0/edit#gid=795171502"", ""'Filter 30_05_2024'!A1:M2000""), {2, 3, 4, 5,6,7,8,9,10,11,12,13}, 0))"),24)</f>
        <v>24</v>
      </c>
      <c r="V12" s="11">
        <f ca="1">IFERROR(__xludf.DUMMYFUNCTION("""COMPUTED_VALUE"""),6)</f>
        <v>6</v>
      </c>
      <c r="W12" s="11">
        <f ca="1">IFERROR(__xludf.DUMMYFUNCTION("""COMPUTED_VALUE"""),2)</f>
        <v>2</v>
      </c>
      <c r="X12" s="11">
        <f ca="1">IFERROR(__xludf.DUMMYFUNCTION("""COMPUTED_VALUE"""),32)</f>
        <v>32</v>
      </c>
      <c r="Y12" s="11">
        <f ca="1">IFERROR(__xludf.DUMMYFUNCTION("""COMPUTED_VALUE"""),8)</f>
        <v>8</v>
      </c>
      <c r="Z12" s="12">
        <f ca="1">IFERROR(__xludf.DUMMYFUNCTION("""COMPUTED_VALUE"""),5)</f>
        <v>5</v>
      </c>
      <c r="AA12" s="12">
        <f ca="1">IFERROR(__xludf.DUMMYFUNCTION("""COMPUTED_VALUE"""),1)</f>
        <v>1</v>
      </c>
      <c r="AB12" s="12">
        <f ca="1">IFERROR(__xludf.DUMMYFUNCTION("""COMPUTED_VALUE"""),14)</f>
        <v>14</v>
      </c>
      <c r="AC12" s="12"/>
      <c r="AD12" s="12"/>
      <c r="AE12" s="12"/>
      <c r="AF12" s="12"/>
      <c r="AG12" s="13" t="str">
        <f ca="1">IFERROR(__xludf.DUMMYFUNCTION("ArrayFormula(VLOOKUP(G12, IMPORTRANGE(""https://docs.google.com/spreadsheets/d/1Co934fvtviyaRiMsrIlT05Jaq7iiYq07aLvRr35KA48/edit?gid=173865642#gid=173865642"", ""'G6_Sci_Pri_LU'!G2:V2000""), {3, 4, 5, 6, 7, 8, 9, 10, 11, 12, 13, 14, 15, 16}, 0))"),"")</f>
        <v/>
      </c>
      <c r="AH12" s="13"/>
      <c r="AI12" s="13"/>
      <c r="AJ12" s="13"/>
      <c r="AK12" s="13"/>
      <c r="AL12" s="13"/>
      <c r="AM12" s="13"/>
      <c r="AN12" s="13"/>
      <c r="AO12" s="13"/>
      <c r="AP12" s="13"/>
      <c r="AQ12" s="13"/>
      <c r="AR12" s="13"/>
      <c r="AS12" s="13"/>
      <c r="AT12" s="13"/>
    </row>
    <row r="13" spans="1:46">
      <c r="A13" s="8" t="s">
        <v>247</v>
      </c>
      <c r="B13" s="8" t="s">
        <v>47</v>
      </c>
      <c r="C13" s="8" t="s">
        <v>48</v>
      </c>
      <c r="D13" s="8" t="s">
        <v>1441</v>
      </c>
      <c r="E13" s="8" t="s">
        <v>1691</v>
      </c>
      <c r="F13" s="8" t="s">
        <v>1693</v>
      </c>
      <c r="G13" s="8" t="s">
        <v>1447</v>
      </c>
      <c r="H13" s="8" t="str">
        <f ca="1">IFERROR(__xludf.DUMMYFUNCTION("VLOOKUP(G13, IMPORTRANGE(""https://docs.google.com/spreadsheets/d/14deopnvwcrKtEGCKuYXdUHJbeLDZlkiSSWWT0g7x2pM/edit#gid=849066331"", ""LU List Science (Filter)!A:B""), 2, FALSE)"),"Properties of materials-Appearance and Feel")</f>
        <v>Properties of materials-Appearance and Feel</v>
      </c>
      <c r="I13" s="10" t="str">
        <f t="shared" si="0"/>
        <v>LU005314.001</v>
      </c>
      <c r="J13" s="10" t="str">
        <f ca="1">IFERROR(__xludf.DUMMYFUNCTION("VLOOKUP(I13, IMPORTRANGE(""https://docs.google.com/spreadsheets/d/1yDAaXNsi4Mr5FtRQL4tbmSdIzhx6_m4wkOD7IG-k_eo/edit#gid=1336395716"", ""Science!M:N""), 2, FALSE)"),"Recall/Identify the properties of materials related to their appearance and texture.")</f>
        <v>Recall/Identify the properties of materials related to their appearance and texture.</v>
      </c>
      <c r="K13" s="10" t="str">
        <f t="shared" si="1"/>
        <v>LU005314.002</v>
      </c>
      <c r="L13" s="10" t="str">
        <f ca="1">IFERROR(__xludf.DUMMYFUNCTION("VLOOKUP(K13, IMPORTRANGE(""https://docs.google.com/spreadsheets/d/1yDAaXNsi4Mr5FtRQL4tbmSdIzhx6_m4wkOD7IG-k_eo/edit#gid=1336395716"", ""Science!M:N""), 2, FALSE)"),"Explain how the appearance and feel of materials can be used to categorize and group them.")</f>
        <v>Explain how the appearance and feel of materials can be used to categorize and group them.</v>
      </c>
      <c r="M13" s="10" t="str">
        <f t="shared" si="2"/>
        <v>LU005314.003</v>
      </c>
      <c r="N13" s="10" t="str">
        <f ca="1">IFERROR(__xludf.DUMMYFUNCTION("VLOOKUP(M13, IMPORTRANGE(""https://docs.google.com/spreadsheets/d/1yDAaXNsi4Mr5FtRQL4tbmSdIzhx6_m4wkOD7IG-k_eo/edit#gid=1336395716"", ""Science!M:N""), 2, FALSE)"),"Apply your understanding to classify a variety of materials based on their appearance and tactile qualities.")</f>
        <v>Apply your understanding to classify a variety of materials based on their appearance and tactile qualities.</v>
      </c>
      <c r="O13" s="10" t="str">
        <f t="shared" si="3"/>
        <v>LU005314.004</v>
      </c>
      <c r="P13" s="10" t="str">
        <f ca="1">IFERROR(__xludf.DUMMYFUNCTION("VLOOKUP(O13, IMPORTRANGE(""https://docs.google.com/spreadsheets/d/1yDAaXNsi4Mr5FtRQL4tbmSdIzhx6_m4wkOD7IG-k_eo/edit#gid=1336395716"", ""Science!M:N""), 2, FALSE)"),"Analyze the role of appearance and feel in identifying and sorting materials, discussing how these properties help distinguish between different materials.")</f>
        <v>Analyze the role of appearance and feel in identifying and sorting materials, discussing how these properties help distinguish between different materials.</v>
      </c>
      <c r="Q13" s="10" t="str">
        <f t="shared" si="4"/>
        <v>LU005314.005</v>
      </c>
      <c r="R13" s="10" t="str">
        <f ca="1">IFERROR(__xludf.DUMMYFUNCTION("VLOOKUP(Q13, IMPORTRANGE(""https://docs.google.com/spreadsheets/d/1yDAaXNsi4Mr5FtRQL4tbmSdIzhx6_m4wkOD7IG-k_eo/edit#gid=1336395716"", ""Science!M:N""), 2, FALSE)"),"Evaluate the effectiveness of using appearance and feel as properties for sorting materials, discussing their advantages and limitations in classifying diverse materials.")</f>
        <v>Evaluate the effectiveness of using appearance and feel as properties for sorting materials, discussing their advantages and limitations in classifying diverse materials.</v>
      </c>
      <c r="S13" s="10" t="str">
        <f t="shared" si="5"/>
        <v>LU005314.006</v>
      </c>
      <c r="T13" s="10" t="str">
        <f ca="1">IFERROR(__xludf.DUMMYFUNCTION("VLOOKUP(S13, IMPORTRANGE(""https://docs.google.com/spreadsheets/d/1yDAaXNsi4Mr5FtRQL4tbmSdIzhx6_m4wkOD7IG-k_eo/edit#gid=1336395716"", ""Science!M:N""), 2, FALSE)"),"#N/A")</f>
        <v>#N/A</v>
      </c>
      <c r="U13" s="38">
        <f ca="1">IFERROR(__xludf.DUMMYFUNCTION("ArrayFormula(VLOOKUP(G13, IMPORTRANGE(""https://docs.google.com/spreadsheets/d/1p7R4vtkWt5VOBim4ltsDG9KTzSjrtKXsMtQGXPHyND0/edit#gid=795171502"", ""'Filter 30_05_2024'!A1:M2000""), {2, 3, 4, 5,6,7,8,9,10,11,12,13}, 0))"),4)</f>
        <v>4</v>
      </c>
      <c r="V13" s="11">
        <f ca="1">IFERROR(__xludf.DUMMYFUNCTION("""COMPUTED_VALUE"""),5)</f>
        <v>5</v>
      </c>
      <c r="W13" s="11">
        <f ca="1">IFERROR(__xludf.DUMMYFUNCTION("""COMPUTED_VALUE"""),2)</f>
        <v>2</v>
      </c>
      <c r="X13" s="11">
        <f ca="1">IFERROR(__xludf.DUMMYFUNCTION("""COMPUTED_VALUE"""),11)</f>
        <v>11</v>
      </c>
      <c r="Y13" s="11">
        <f ca="1">IFERROR(__xludf.DUMMYFUNCTION("""COMPUTED_VALUE"""),4)</f>
        <v>4</v>
      </c>
      <c r="Z13" s="12">
        <f ca="1">IFERROR(__xludf.DUMMYFUNCTION("""COMPUTED_VALUE"""),7)</f>
        <v>7</v>
      </c>
      <c r="AA13" s="12">
        <f ca="1">IFERROR(__xludf.DUMMYFUNCTION("""COMPUTED_VALUE"""),1)</f>
        <v>1</v>
      </c>
      <c r="AB13" s="12">
        <f ca="1">IFERROR(__xludf.DUMMYFUNCTION("""COMPUTED_VALUE"""),12)</f>
        <v>12</v>
      </c>
      <c r="AC13" s="12"/>
      <c r="AD13" s="12"/>
      <c r="AE13" s="12"/>
      <c r="AF13" s="12"/>
      <c r="AG13" s="13" t="str">
        <f ca="1">IFERROR(__xludf.DUMMYFUNCTION("ArrayFormula(VLOOKUP(G13, IMPORTRANGE(""https://docs.google.com/spreadsheets/d/1Co934fvtviyaRiMsrIlT05Jaq7iiYq07aLvRr35KA48/edit?gid=173865642#gid=173865642"", ""'G6_Sci_Pri_LU'!G2:V2000""), {3, 4, 5, 6, 7, 8, 9, 10, 11, 12, 13, 14, 15, 16}, 0))"),"LU005313")</f>
        <v>LU005313</v>
      </c>
      <c r="AH13" s="13" t="str">
        <f ca="1">IFERROR(__xludf.DUMMYFUNCTION("""COMPUTED_VALUE"""),"Nature of objects around us at material level and grouping of materials")</f>
        <v>Nature of objects around us at material level and grouping of materials</v>
      </c>
      <c r="AI13" s="13"/>
      <c r="AJ13" s="13"/>
      <c r="AK13" s="13"/>
      <c r="AL13" s="13"/>
      <c r="AM13" s="13"/>
      <c r="AN13" s="13"/>
      <c r="AO13" s="13"/>
      <c r="AP13" s="13"/>
      <c r="AQ13" s="13"/>
      <c r="AR13" s="13"/>
      <c r="AS13" s="13"/>
      <c r="AT13" s="13"/>
    </row>
    <row r="14" spans="1:46">
      <c r="A14" s="8" t="s">
        <v>247</v>
      </c>
      <c r="B14" s="8" t="s">
        <v>47</v>
      </c>
      <c r="C14" s="8" t="s">
        <v>48</v>
      </c>
      <c r="D14" s="8" t="s">
        <v>1441</v>
      </c>
      <c r="E14" s="8" t="s">
        <v>1691</v>
      </c>
      <c r="F14" s="8" t="s">
        <v>1693</v>
      </c>
      <c r="G14" s="8" t="s">
        <v>1449</v>
      </c>
      <c r="H14" s="42" t="str">
        <f ca="1">IFERROR(__xludf.DUMMYFUNCTION("VLOOKUP(G14, IMPORTRANGE(""https://docs.google.com/spreadsheets/d/14deopnvwcrKtEGCKuYXdUHJbeLDZlkiSSWWT0g7x2pM/edit#gid=849066331"", ""LU List Science (Filter)!A:B""), 2, FALSE)"),"Properties of materials-Hardness")</f>
        <v>Properties of materials-Hardness</v>
      </c>
      <c r="I14" s="10" t="str">
        <f t="shared" si="0"/>
        <v>LU005316.001</v>
      </c>
      <c r="J14" s="10" t="str">
        <f ca="1">IFERROR(__xludf.DUMMYFUNCTION("VLOOKUP(I14, IMPORTRANGE(""https://docs.google.com/spreadsheets/d/1yDAaXNsi4Mr5FtRQL4tbmSdIzhx6_m4wkOD7IG-k_eo/edit#gid=1336395716"", ""Science!M:N""), 2, FALSE)"),"Recall/Identify the properties of materials related to their hardness and softness.")</f>
        <v>Recall/Identify the properties of materials related to their hardness and softness.</v>
      </c>
      <c r="K14" s="10" t="str">
        <f t="shared" si="1"/>
        <v>LU005316.002</v>
      </c>
      <c r="L14" s="10" t="str">
        <f ca="1">IFERROR(__xludf.DUMMYFUNCTION("VLOOKUP(K14, IMPORTRANGE(""https://docs.google.com/spreadsheets/d/1yDAaXNsi4Mr5FtRQL4tbmSdIzhx6_m4wkOD7IG-k_eo/edit#gid=1336395716"", ""Science!M:N""), 2, FALSE)"),"Explain how the property of hardness or softness can be used to categorize and group materials.")</f>
        <v>Explain how the property of hardness or softness can be used to categorize and group materials.</v>
      </c>
      <c r="M14" s="10" t="str">
        <f t="shared" si="2"/>
        <v>LU005316.003</v>
      </c>
      <c r="N14" s="10" t="str">
        <f ca="1">IFERROR(__xludf.DUMMYFUNCTION("VLOOKUP(M14, IMPORTRANGE(""https://docs.google.com/spreadsheets/d/1yDAaXNsi4Mr5FtRQL4tbmSdIzhx6_m4wkOD7IG-k_eo/edit#gid=1336395716"", ""Science!M:N""), 2, FALSE)"),"Apply your understanding to classify a range of materials based on their hardness and softness characteristics.")</f>
        <v>Apply your understanding to classify a range of materials based on their hardness and softness characteristics.</v>
      </c>
      <c r="O14" s="10" t="str">
        <f t="shared" si="3"/>
        <v>LU005316.004</v>
      </c>
      <c r="P14" s="10" t="str">
        <f ca="1">IFERROR(__xludf.DUMMYFUNCTION("VLOOKUP(O14, IMPORTRANGE(""https://docs.google.com/spreadsheets/d/1yDAaXNsi4Mr5FtRQL4tbmSdIzhx6_m4wkOD7IG-k_eo/edit#gid=1336395716"", ""Science!M:N""), 2, FALSE)"),"Analyze the significance of hardness and softness as properties for identifying and sorting materials, discussing how these traits contribute to material classification.")</f>
        <v>Analyze the significance of hardness and softness as properties for identifying and sorting materials, discussing how these traits contribute to material classification.</v>
      </c>
      <c r="Q14" s="10" t="str">
        <f t="shared" si="4"/>
        <v>LU005316.005</v>
      </c>
      <c r="R14" s="10" t="str">
        <f ca="1">IFERROR(__xludf.DUMMYFUNCTION("VLOOKUP(Q14, IMPORTRANGE(""https://docs.google.com/spreadsheets/d/1yDAaXNsi4Mr5FtRQL4tbmSdIzhx6_m4wkOD7IG-k_eo/edit#gid=1336395716"", ""Science!M:N""), 2, FALSE)"),"Design an experiment where students test the hardness of different materials using common objects.")</f>
        <v>Design an experiment where students test the hardness of different materials using common objects.</v>
      </c>
      <c r="S14" s="10" t="str">
        <f t="shared" si="5"/>
        <v>LU005316.006</v>
      </c>
      <c r="T14" s="10" t="str">
        <f ca="1">IFERROR(__xludf.DUMMYFUNCTION("VLOOKUP(S14, IMPORTRANGE(""https://docs.google.com/spreadsheets/d/1yDAaXNsi4Mr5FtRQL4tbmSdIzhx6_m4wkOD7IG-k_eo/edit#gid=1336395716"", ""Science!M:N""), 2, FALSE)"),"Evaluate the effectiveness of using hardness and softness as properties for sorting materials, discussing their practical implications and how these properties help in categorizing objects.")</f>
        <v>Evaluate the effectiveness of using hardness and softness as properties for sorting materials, discussing their practical implications and how these properties help in categorizing objects.</v>
      </c>
      <c r="U14" s="38">
        <f ca="1">IFERROR(__xludf.DUMMYFUNCTION("ArrayFormula(VLOOKUP(G14, IMPORTRANGE(""https://docs.google.com/spreadsheets/d/1p7R4vtkWt5VOBim4ltsDG9KTzSjrtKXsMtQGXPHyND0/edit#gid=795171502"", ""'Filter 30_05_2024'!A1:M2000""), {2, 3, 4, 5,6,7,8,9,10,11,12,13}, 0))"),1)</f>
        <v>1</v>
      </c>
      <c r="V14" s="38">
        <f ca="1">IFERROR(__xludf.DUMMYFUNCTION("""COMPUTED_VALUE"""),2)</f>
        <v>2</v>
      </c>
      <c r="W14" s="11">
        <f ca="1">IFERROR(__xludf.DUMMYFUNCTION("""COMPUTED_VALUE"""),2)</f>
        <v>2</v>
      </c>
      <c r="X14" s="11">
        <f ca="1">IFERROR(__xludf.DUMMYFUNCTION("""COMPUTED_VALUE"""),5)</f>
        <v>5</v>
      </c>
      <c r="Y14" s="11">
        <f ca="1">IFERROR(__xludf.DUMMYFUNCTION("""COMPUTED_VALUE"""),4)</f>
        <v>4</v>
      </c>
      <c r="Z14" s="12">
        <f ca="1">IFERROR(__xludf.DUMMYFUNCTION("""COMPUTED_VALUE"""),4)</f>
        <v>4</v>
      </c>
      <c r="AA14" s="12">
        <f ca="1">IFERROR(__xludf.DUMMYFUNCTION("""COMPUTED_VALUE"""),1)</f>
        <v>1</v>
      </c>
      <c r="AB14" s="12">
        <f ca="1">IFERROR(__xludf.DUMMYFUNCTION("""COMPUTED_VALUE"""),9)</f>
        <v>9</v>
      </c>
      <c r="AC14" s="12"/>
      <c r="AD14" s="12"/>
      <c r="AE14" s="12"/>
      <c r="AF14" s="12"/>
      <c r="AG14" s="13" t="str">
        <f ca="1">IFERROR(__xludf.DUMMYFUNCTION("ArrayFormula(VLOOKUP(G14, IMPORTRANGE(""https://docs.google.com/spreadsheets/d/1Co934fvtviyaRiMsrIlT05Jaq7iiYq07aLvRr35KA48/edit?gid=173865642#gid=173865642"", ""'G6_Sci_Pri_LU'!G2:V2000""), {3, 4, 5, 6, 7, 8, 9, 10, 11, 12, 13, 14, 15, 16}, 0))"),"LU005314")</f>
        <v>LU005314</v>
      </c>
      <c r="AH14" s="13" t="str">
        <f ca="1">IFERROR(__xludf.DUMMYFUNCTION("""COMPUTED_VALUE"""),"Properties of materials-Appearance and Feel")</f>
        <v>Properties of materials-Appearance and Feel</v>
      </c>
      <c r="AI14" s="13" t="str">
        <f ca="1">IFERROR(__xludf.DUMMYFUNCTION("""COMPUTED_VALUE"""),"LU005313")</f>
        <v>LU005313</v>
      </c>
      <c r="AJ14" s="13" t="str">
        <f ca="1">IFERROR(__xludf.DUMMYFUNCTION("""COMPUTED_VALUE"""),"Nature of objects around us at material level and grouping of materials")</f>
        <v>Nature of objects around us at material level and grouping of materials</v>
      </c>
      <c r="AK14" s="13"/>
      <c r="AL14" s="13"/>
      <c r="AM14" s="13"/>
      <c r="AN14" s="13"/>
      <c r="AO14" s="13"/>
      <c r="AP14" s="13"/>
      <c r="AQ14" s="13"/>
      <c r="AR14" s="13"/>
      <c r="AS14" s="13"/>
      <c r="AT14" s="13"/>
    </row>
    <row r="15" spans="1:46">
      <c r="A15" s="8" t="s">
        <v>247</v>
      </c>
      <c r="B15" s="8" t="s">
        <v>47</v>
      </c>
      <c r="C15" s="8" t="s">
        <v>48</v>
      </c>
      <c r="D15" s="8" t="s">
        <v>1441</v>
      </c>
      <c r="E15" s="8" t="s">
        <v>1691</v>
      </c>
      <c r="F15" s="8" t="s">
        <v>1694</v>
      </c>
      <c r="G15" s="8" t="s">
        <v>1454</v>
      </c>
      <c r="H15" s="8" t="str">
        <f ca="1">IFERROR(__xludf.DUMMYFUNCTION("VLOOKUP(G15, IMPORTRANGE(""https://docs.google.com/spreadsheets/d/14deopnvwcrKtEGCKuYXdUHJbeLDZlkiSSWWT0g7x2pM/edit#gid=849066331"", ""LU List Science (Filter)!A:B""), 2, FALSE)"),"Properties of materials-Solubility in water")</f>
        <v>Properties of materials-Solubility in water</v>
      </c>
      <c r="I15" s="10" t="str">
        <f t="shared" si="0"/>
        <v>LU005317.001</v>
      </c>
      <c r="J15" s="10" t="str">
        <f ca="1">IFERROR(__xludf.DUMMYFUNCTION("VLOOKUP(I15, IMPORTRANGE(""https://docs.google.com/spreadsheets/d/1yDAaXNsi4Mr5FtRQL4tbmSdIzhx6_m4wkOD7IG-k_eo/edit#gid=1336395716"", ""Science!M:N""), 2, FALSE)"),"Recall the property of solubility in water and its significance for sorting materials.")</f>
        <v>Recall the property of solubility in water and its significance for sorting materials.</v>
      </c>
      <c r="K15" s="10" t="str">
        <f t="shared" si="1"/>
        <v>LU005317.002</v>
      </c>
      <c r="L15" s="10" t="str">
        <f ca="1">IFERROR(__xludf.DUMMYFUNCTION("VLOOKUP(K15, IMPORTRANGE(""https://docs.google.com/spreadsheets/d/1yDAaXNsi4Mr5FtRQL4tbmSdIzhx6_m4wkOD7IG-k_eo/edit#gid=1336395716"", ""Science!M:N""), 2, FALSE)"),"Explain how the property of solubility in water can be used to categorize and group materials.")</f>
        <v>Explain how the property of solubility in water can be used to categorize and group materials.</v>
      </c>
      <c r="M15" s="10" t="str">
        <f t="shared" si="2"/>
        <v>LU005317.003</v>
      </c>
      <c r="N15" s="10" t="str">
        <f ca="1">IFERROR(__xludf.DUMMYFUNCTION("VLOOKUP(M15, IMPORTRANGE(""https://docs.google.com/spreadsheets/d/1yDAaXNsi4Mr5FtRQL4tbmSdIzhx6_m4wkOD7IG-k_eo/edit#gid=1336395716"", ""Science!M:N""), 2, FALSE)"),"Apply/Demonstrate your understanding to classify various materials based on their solubility in water.")</f>
        <v>Apply/Demonstrate your understanding to classify various materials based on their solubility in water.</v>
      </c>
      <c r="O15" s="10" t="str">
        <f t="shared" si="3"/>
        <v>LU005317.004</v>
      </c>
      <c r="P15" s="10" t="str">
        <f ca="1">IFERROR(__xludf.DUMMYFUNCTION("VLOOKUP(O15, IMPORTRANGE(""https://docs.google.com/spreadsheets/d/1yDAaXNsi4Mr5FtRQL4tbmSdIzhx6_m4wkOD7IG-k_eo/edit#gid=1336395716"", ""Science!M:N""), 2, FALSE)"),"Analyze the role of solubility in water as a property for identifying and categorizing materials, discussing how it reflects the behavior of different substances in water.")</f>
        <v>Analyze the role of solubility in water as a property for identifying and categorizing materials, discussing how it reflects the behavior of different substances in water.</v>
      </c>
      <c r="Q15" s="10" t="str">
        <f t="shared" si="4"/>
        <v>LU005317.005</v>
      </c>
      <c r="R15" s="10" t="str">
        <f ca="1">IFERROR(__xludf.DUMMYFUNCTION("VLOOKUP(Q15, IMPORTRANGE(""https://docs.google.com/spreadsheets/d/1yDAaXNsi4Mr5FtRQL4tbmSdIzhx6_m4wkOD7IG-k_eo/edit#gid=1336395716"", ""Science!M:N""), 2, FALSE)"),"Evaluate the significance of using solubility in water as a property for sorting materials, discussing how this property aids in understanding material behavior and practical applications in daily life.")</f>
        <v>Evaluate the significance of using solubility in water as a property for sorting materials, discussing how this property aids in understanding material behavior and practical applications in daily life.</v>
      </c>
      <c r="S15" s="10" t="str">
        <f t="shared" si="5"/>
        <v>LU005317.006</v>
      </c>
      <c r="T15" s="10" t="str">
        <f ca="1">IFERROR(__xludf.DUMMYFUNCTION("VLOOKUP(S15, IMPORTRANGE(""https://docs.google.com/spreadsheets/d/1yDAaXNsi4Mr5FtRQL4tbmSdIzhx6_m4wkOD7IG-k_eo/edit#gid=1336395716"", ""Science!M:N""), 2, FALSE)"),"#N/A")</f>
        <v>#N/A</v>
      </c>
      <c r="U15" s="38">
        <f ca="1">IFERROR(__xludf.DUMMYFUNCTION("ArrayFormula(VLOOKUP(G15, IMPORTRANGE(""https://docs.google.com/spreadsheets/d/1p7R4vtkWt5VOBim4ltsDG9KTzSjrtKXsMtQGXPHyND0/edit#gid=795171502"", ""'Filter 30_05_2024'!A1:M2000""), {2, 3, 4, 5,6,7,8,9,10,11,12,13}, 0))"),4)</f>
        <v>4</v>
      </c>
      <c r="V15" s="11">
        <f ca="1">IFERROR(__xludf.DUMMYFUNCTION("""COMPUTED_VALUE"""),9)</f>
        <v>9</v>
      </c>
      <c r="W15" s="11">
        <f ca="1">IFERROR(__xludf.DUMMYFUNCTION("""COMPUTED_VALUE"""),5)</f>
        <v>5</v>
      </c>
      <c r="X15" s="11">
        <f ca="1">IFERROR(__xludf.DUMMYFUNCTION("""COMPUTED_VALUE"""),18)</f>
        <v>18</v>
      </c>
      <c r="Y15" s="11">
        <f ca="1">IFERROR(__xludf.DUMMYFUNCTION("""COMPUTED_VALUE"""),6)</f>
        <v>6</v>
      </c>
      <c r="Z15" s="12">
        <f ca="1">IFERROR(__xludf.DUMMYFUNCTION("""COMPUTED_VALUE"""),4)</f>
        <v>4</v>
      </c>
      <c r="AA15" s="12">
        <f ca="1">IFERROR(__xludf.DUMMYFUNCTION("""COMPUTED_VALUE"""),3)</f>
        <v>3</v>
      </c>
      <c r="AB15" s="12">
        <f ca="1">IFERROR(__xludf.DUMMYFUNCTION("""COMPUTED_VALUE"""),13)</f>
        <v>13</v>
      </c>
      <c r="AC15" s="12"/>
      <c r="AD15" s="12">
        <f ca="1">IFERROR(__xludf.DUMMYFUNCTION("""COMPUTED_VALUE"""),2)</f>
        <v>2</v>
      </c>
      <c r="AE15" s="12"/>
      <c r="AF15" s="12">
        <f ca="1">IFERROR(__xludf.DUMMYFUNCTION("""COMPUTED_VALUE"""),2)</f>
        <v>2</v>
      </c>
      <c r="AG15" s="13" t="str">
        <f ca="1">IFERROR(__xludf.DUMMYFUNCTION("ArrayFormula(VLOOKUP(G15, IMPORTRANGE(""https://docs.google.com/spreadsheets/d/1Co934fvtviyaRiMsrIlT05Jaq7iiYq07aLvRr35KA48/edit?gid=173865642#gid=173865642"", ""'G6_Sci_Pri_LU'!G2:V2000""), {3, 4, 5, 6, 7, 8, 9, 10, 11, 12, 13, 14, 15, 16}, 0))"),"LU005313")</f>
        <v>LU005313</v>
      </c>
      <c r="AH15" s="13" t="str">
        <f ca="1">IFERROR(__xludf.DUMMYFUNCTION("""COMPUTED_VALUE"""),"Nature of objects around us at material level and grouping of materials")</f>
        <v>Nature of objects around us at material level and grouping of materials</v>
      </c>
      <c r="AI15" s="13"/>
      <c r="AJ15" s="13"/>
      <c r="AK15" s="13"/>
      <c r="AL15" s="13"/>
      <c r="AM15" s="13"/>
      <c r="AN15" s="13"/>
      <c r="AO15" s="13"/>
      <c r="AP15" s="13"/>
      <c r="AQ15" s="13"/>
      <c r="AR15" s="13"/>
      <c r="AS15" s="13"/>
      <c r="AT15" s="13"/>
    </row>
    <row r="16" spans="1:46">
      <c r="A16" s="8" t="s">
        <v>247</v>
      </c>
      <c r="B16" s="8" t="s">
        <v>47</v>
      </c>
      <c r="C16" s="8" t="s">
        <v>48</v>
      </c>
      <c r="D16" s="8" t="s">
        <v>1441</v>
      </c>
      <c r="E16" s="8" t="s">
        <v>1691</v>
      </c>
      <c r="F16" s="8" t="s">
        <v>1694</v>
      </c>
      <c r="G16" s="8" t="s">
        <v>1456</v>
      </c>
      <c r="H16" s="42" t="str">
        <f ca="1">IFERROR(__xludf.DUMMYFUNCTION("VLOOKUP(G16, IMPORTRANGE(""https://docs.google.com/spreadsheets/d/14deopnvwcrKtEGCKuYXdUHJbeLDZlkiSSWWT0g7x2pM/edit#gid=849066331"", ""LU List Science (Filter)!A:B""), 2, FALSE)"),"Significance of Solubility of Gases in Water")</f>
        <v>Significance of Solubility of Gases in Water</v>
      </c>
      <c r="I16" s="10" t="str">
        <f t="shared" si="0"/>
        <v>LU005319.001</v>
      </c>
      <c r="J16" s="10" t="str">
        <f ca="1">IFERROR(__xludf.DUMMYFUNCTION("VLOOKUP(I16, IMPORTRANGE(""https://docs.google.com/spreadsheets/d/1yDAaXNsi4Mr5FtRQL4tbmSdIzhx6_m4wkOD7IG-k_eo/edit#gid=1336395716"", ""Science!M:N""), 2, FALSE)"),"Recall the concept of solubility of gases in water and its importance in various contexts.")</f>
        <v>Recall the concept of solubility of gases in water and its importance in various contexts.</v>
      </c>
      <c r="K16" s="10" t="str">
        <f t="shared" si="1"/>
        <v>LU005319.002</v>
      </c>
      <c r="L16" s="10" t="str">
        <f ca="1">IFERROR(__xludf.DUMMYFUNCTION("VLOOKUP(K16, IMPORTRANGE(""https://docs.google.com/spreadsheets/d/1yDAaXNsi4Mr5FtRQL4tbmSdIzhx6_m4wkOD7IG-k_eo/edit#gid=1336395716"", ""Science!M:N""), 2, FALSE)"),"Explain why the solubility of gases in water is significant and how it impacts aquatic living organisms.")</f>
        <v>Explain why the solubility of gases in water is significant and how it impacts aquatic living organisms.</v>
      </c>
      <c r="M16" s="10" t="str">
        <f t="shared" si="2"/>
        <v>LU005319.003</v>
      </c>
      <c r="N16" s="10" t="str">
        <f ca="1">IFERROR(__xludf.DUMMYFUNCTION("VLOOKUP(M16, IMPORTRANGE(""https://docs.google.com/spreadsheets/d/1yDAaXNsi4Mr5FtRQL4tbmSdIzhx6_m4wkOD7IG-k_eo/edit#gid=1336395716"", ""Science!M:N""), 2, FALSE)"),"Apply your understanding to identify specific instances where the solubility of gases in water affects natural processes or human practices.")</f>
        <v>Apply your understanding to identify specific instances where the solubility of gases in water affects natural processes or human practices.</v>
      </c>
      <c r="O16" s="10" t="str">
        <f t="shared" si="3"/>
        <v>LU005319.004</v>
      </c>
      <c r="P16" s="10" t="str">
        <f ca="1">IFERROR(__xludf.DUMMYFUNCTION("VLOOKUP(O16, IMPORTRANGE(""https://docs.google.com/spreadsheets/d/1yDAaXNsi4Mr5FtRQL4tbmSdIzhx6_m4wkOD7IG-k_eo/edit#gid=1336395716"", ""Science!M:N""), 2, FALSE)"),"Analyse the significance of solubility of gases in water and the aquatic  health.")</f>
        <v>Analyse the significance of solubility of gases in water and the aquatic  health.</v>
      </c>
      <c r="Q16" s="10" t="str">
        <f t="shared" si="4"/>
        <v>LU005319.005</v>
      </c>
      <c r="R16" s="10" t="str">
        <f ca="1">IFERROR(__xludf.DUMMYFUNCTION("VLOOKUP(Q16, IMPORTRANGE(""https://docs.google.com/spreadsheets/d/1yDAaXNsi4Mr5FtRQL4tbmSdIzhx6_m4wkOD7IG-k_eo/edit#gid=1336395716"", ""Science!M:N""), 2, FALSE)"),"#N/A")</f>
        <v>#N/A</v>
      </c>
      <c r="S16" s="10" t="str">
        <f t="shared" si="5"/>
        <v>LU005319.006</v>
      </c>
      <c r="T16" s="10" t="str">
        <f ca="1">IFERROR(__xludf.DUMMYFUNCTION("VLOOKUP(S16, IMPORTRANGE(""https://docs.google.com/spreadsheets/d/1yDAaXNsi4Mr5FtRQL4tbmSdIzhx6_m4wkOD7IG-k_eo/edit#gid=1336395716"", ""Science!M:N""), 2, FALSE)"),"#N/A")</f>
        <v>#N/A</v>
      </c>
      <c r="U16" s="11">
        <f ca="1">IFERROR(__xludf.DUMMYFUNCTION("ArrayFormula(VLOOKUP(G16, IMPORTRANGE(""https://docs.google.com/spreadsheets/d/1p7R4vtkWt5VOBim4ltsDG9KTzSjrtKXsMtQGXPHyND0/edit#gid=795171502"", ""'Filter 30_05_2024'!A1:M2000""), {2, 3, 4, 5,6,7,8,9,10,11,12,13}, 0))"),15)</f>
        <v>15</v>
      </c>
      <c r="V16" s="38">
        <f ca="1">IFERROR(__xludf.DUMMYFUNCTION("""COMPUTED_VALUE"""),4)</f>
        <v>4</v>
      </c>
      <c r="W16" s="11">
        <f ca="1">IFERROR(__xludf.DUMMYFUNCTION("""COMPUTED_VALUE"""),2)</f>
        <v>2</v>
      </c>
      <c r="X16" s="11">
        <f ca="1">IFERROR(__xludf.DUMMYFUNCTION("""COMPUTED_VALUE"""),21)</f>
        <v>21</v>
      </c>
      <c r="Y16" s="11">
        <f ca="1">IFERROR(__xludf.DUMMYFUNCTION("""COMPUTED_VALUE"""),3)</f>
        <v>3</v>
      </c>
      <c r="Z16" s="12">
        <f ca="1">IFERROR(__xludf.DUMMYFUNCTION("""COMPUTED_VALUE"""),3)</f>
        <v>3</v>
      </c>
      <c r="AA16" s="12">
        <f ca="1">IFERROR(__xludf.DUMMYFUNCTION("""COMPUTED_VALUE"""),1)</f>
        <v>1</v>
      </c>
      <c r="AB16" s="12">
        <f ca="1">IFERROR(__xludf.DUMMYFUNCTION("""COMPUTED_VALUE"""),7)</f>
        <v>7</v>
      </c>
      <c r="AC16" s="12"/>
      <c r="AD16" s="12">
        <f ca="1">IFERROR(__xludf.DUMMYFUNCTION("""COMPUTED_VALUE"""),1)</f>
        <v>1</v>
      </c>
      <c r="AE16" s="12"/>
      <c r="AF16" s="12">
        <f ca="1">IFERROR(__xludf.DUMMYFUNCTION("""COMPUTED_VALUE"""),1)</f>
        <v>1</v>
      </c>
      <c r="AG16" s="13" t="str">
        <f ca="1">IFERROR(__xludf.DUMMYFUNCTION("ArrayFormula(VLOOKUP(G16, IMPORTRANGE(""https://docs.google.com/spreadsheets/d/1Co934fvtviyaRiMsrIlT05Jaq7iiYq07aLvRr35KA48/edit?gid=173865642#gid=173865642"", ""'G6_Sci_Pri_LU'!G2:V2000""), {3, 4, 5, 6, 7, 8, 9, 10, 11, 12, 13, 14, 15, 16}, 0))"),"LU005317")</f>
        <v>LU005317</v>
      </c>
      <c r="AH16" s="13" t="str">
        <f ca="1">IFERROR(__xludf.DUMMYFUNCTION("""COMPUTED_VALUE"""),"Properties of materials-Solubility in water")</f>
        <v>Properties of materials-Solubility in water</v>
      </c>
      <c r="AI16" s="13"/>
      <c r="AJ16" s="13"/>
      <c r="AK16" s="13"/>
      <c r="AL16" s="13"/>
      <c r="AM16" s="13"/>
      <c r="AN16" s="13"/>
      <c r="AO16" s="13"/>
      <c r="AP16" s="13"/>
      <c r="AQ16" s="13"/>
      <c r="AR16" s="13"/>
      <c r="AS16" s="13"/>
      <c r="AT16" s="13"/>
    </row>
    <row r="17" spans="1:46">
      <c r="A17" s="8" t="s">
        <v>247</v>
      </c>
      <c r="B17" s="8" t="s">
        <v>47</v>
      </c>
      <c r="C17" s="8" t="s">
        <v>48</v>
      </c>
      <c r="D17" s="8" t="s">
        <v>1441</v>
      </c>
      <c r="E17" s="8" t="s">
        <v>1691</v>
      </c>
      <c r="F17" s="8" t="s">
        <v>1694</v>
      </c>
      <c r="G17" s="8" t="s">
        <v>1695</v>
      </c>
      <c r="H17" s="42" t="str">
        <f ca="1">IFERROR(__xludf.DUMMYFUNCTION("VLOOKUP(G17, IMPORTRANGE(""https://docs.google.com/spreadsheets/d/14deopnvwcrKtEGCKuYXdUHJbeLDZlkiSSWWT0g7x2pM/edit#gid=849066331"", ""LU List Science (Filter)!A:B""), 2, FALSE)"),"Properties of materials-Floats or sinks in water")</f>
        <v>Properties of materials-Floats or sinks in water</v>
      </c>
      <c r="I17" s="10" t="str">
        <f t="shared" si="0"/>
        <v>LU005315.001</v>
      </c>
      <c r="J17" s="10" t="str">
        <f ca="1">IFERROR(__xludf.DUMMYFUNCTION("VLOOKUP(I17, IMPORTRANGE(""https://docs.google.com/spreadsheets/d/1yDAaXNsi4Mr5FtRQL4tbmSdIzhx6_m4wkOD7IG-k_eo/edit#gid=1336395716"", ""Science!M:N""), 2, FALSE)"),"Remember that ability to float on water or sink in water are important characteristics used for sorting and classifying materials.")</f>
        <v>Remember that ability to float on water or sink in water are important characteristics used for sorting and classifying materials.</v>
      </c>
      <c r="K17" s="10" t="str">
        <f t="shared" si="1"/>
        <v>LU005315.002</v>
      </c>
      <c r="L17" s="10" t="str">
        <f ca="1">IFERROR(__xludf.DUMMYFUNCTION("VLOOKUP(K17, IMPORTRANGE(""https://docs.google.com/spreadsheets/d/1yDAaXNsi4Mr5FtRQL4tbmSdIzhx6_m4wkOD7IG-k_eo/edit#gid=1336395716"", ""Science!M:N""), 2, FALSE)"),"Apply the knowledge of the ability to float on water or sink in water to select appropriate materials for specific applications.")</f>
        <v>Apply the knowledge of the ability to float on water or sink in water to select appropriate materials for specific applications.</v>
      </c>
      <c r="M17" s="10" t="str">
        <f t="shared" si="2"/>
        <v>LU005315.003</v>
      </c>
      <c r="N17" s="10" t="str">
        <f ca="1">IFERROR(__xludf.DUMMYFUNCTION("VLOOKUP(M17, IMPORTRANGE(""https://docs.google.com/spreadsheets/d/1yDAaXNsi4Mr5FtRQL4tbmSdIzhx6_m4wkOD7IG-k_eo/edit#gid=1336395716"", ""Science!M:N""), 2, FALSE)"),"Compare and contrast the floating and sinking behaviors of different objects and identify patterns.")</f>
        <v>Compare and contrast the floating and sinking behaviors of different objects and identify patterns.</v>
      </c>
      <c r="O17" s="10" t="str">
        <f t="shared" si="3"/>
        <v>LU005315.004</v>
      </c>
      <c r="P17" s="10" t="str">
        <f ca="1">IFERROR(__xludf.DUMMYFUNCTION("VLOOKUP(O17, IMPORTRANGE(""https://docs.google.com/spreadsheets/d/1yDAaXNsi4Mr5FtRQL4tbmSdIzhx6_m4wkOD7IG-k_eo/edit#gid=1336395716"", ""Science!M:N""), 2, FALSE)"),"#N/A")</f>
        <v>#N/A</v>
      </c>
      <c r="Q17" s="10" t="str">
        <f t="shared" si="4"/>
        <v>LU005315.005</v>
      </c>
      <c r="R17" s="10" t="str">
        <f ca="1">IFERROR(__xludf.DUMMYFUNCTION("VLOOKUP(Q17, IMPORTRANGE(""https://docs.google.com/spreadsheets/d/1yDAaXNsi4Mr5FtRQL4tbmSdIzhx6_m4wkOD7IG-k_eo/edit#gid=1336395716"", ""Science!M:N""), 2, FALSE)"),"#N/A")</f>
        <v>#N/A</v>
      </c>
      <c r="S17" s="10" t="str">
        <f t="shared" si="5"/>
        <v>LU005315.006</v>
      </c>
      <c r="T17" s="10" t="str">
        <f ca="1">IFERROR(__xludf.DUMMYFUNCTION("VLOOKUP(S17, IMPORTRANGE(""https://docs.google.com/spreadsheets/d/1yDAaXNsi4Mr5FtRQL4tbmSdIzhx6_m4wkOD7IG-k_eo/edit#gid=1336395716"", ""Science!M:N""), 2, FALSE)"),"#N/A")</f>
        <v>#N/A</v>
      </c>
      <c r="U17" s="11">
        <f ca="1">IFERROR(__xludf.DUMMYFUNCTION("ArrayFormula(VLOOKUP(G17, IMPORTRANGE(""https://docs.google.com/spreadsheets/d/1p7R4vtkWt5VOBim4ltsDG9KTzSjrtKXsMtQGXPHyND0/edit#gid=795171502"", ""'Filter 30_05_2024'!A1:M2000""), {2, 3, 4, 5,6,7,8,9,10,11,12,13}, 0))"),4)</f>
        <v>4</v>
      </c>
      <c r="V17" s="38">
        <f ca="1">IFERROR(__xludf.DUMMYFUNCTION("""COMPUTED_VALUE"""),5)</f>
        <v>5</v>
      </c>
      <c r="W17" s="11">
        <f ca="1">IFERROR(__xludf.DUMMYFUNCTION("""COMPUTED_VALUE"""),2)</f>
        <v>2</v>
      </c>
      <c r="X17" s="11">
        <f ca="1">IFERROR(__xludf.DUMMYFUNCTION("""COMPUTED_VALUE"""),11)</f>
        <v>11</v>
      </c>
      <c r="Y17" s="11">
        <f ca="1">IFERROR(__xludf.DUMMYFUNCTION("""COMPUTED_VALUE"""),4)</f>
        <v>4</v>
      </c>
      <c r="Z17" s="12">
        <f ca="1">IFERROR(__xludf.DUMMYFUNCTION("""COMPUTED_VALUE"""),4)</f>
        <v>4</v>
      </c>
      <c r="AA17" s="12">
        <f ca="1">IFERROR(__xludf.DUMMYFUNCTION("""COMPUTED_VALUE"""),1)</f>
        <v>1</v>
      </c>
      <c r="AB17" s="12">
        <f ca="1">IFERROR(__xludf.DUMMYFUNCTION("""COMPUTED_VALUE"""),9)</f>
        <v>9</v>
      </c>
      <c r="AC17" s="12"/>
      <c r="AD17" s="12"/>
      <c r="AE17" s="12"/>
      <c r="AF17" s="12"/>
      <c r="AG17" s="13" t="str">
        <f ca="1">IFERROR(__xludf.DUMMYFUNCTION("ArrayFormula(VLOOKUP(G17, IMPORTRANGE(""https://docs.google.com/spreadsheets/d/1Co934fvtviyaRiMsrIlT05Jaq7iiYq07aLvRr35KA48/edit?gid=173865642#gid=173865642"", ""'G6_Sci_Pri_LU'!G2:V2000""), {3, 4, 5, 6, 7, 8, 9, 10, 11, 12, 13, 14, 15, 16}, 0))"),"LU005313")</f>
        <v>LU005313</v>
      </c>
      <c r="AH17" s="13" t="str">
        <f ca="1">IFERROR(__xludf.DUMMYFUNCTION("""COMPUTED_VALUE"""),"Nature of objects around us at material level and grouping of materials")</f>
        <v>Nature of objects around us at material level and grouping of materials</v>
      </c>
      <c r="AI17" s="13" t="str">
        <f ca="1">IFERROR(__xludf.DUMMYFUNCTION("""COMPUTED_VALUE"""),"LU005317")</f>
        <v>LU005317</v>
      </c>
      <c r="AJ17" s="13" t="str">
        <f ca="1">IFERROR(__xludf.DUMMYFUNCTION("""COMPUTED_VALUE"""),"Properties of materials-Solubility in water")</f>
        <v>Properties of materials-Solubility in water</v>
      </c>
      <c r="AK17" s="13"/>
      <c r="AL17" s="13"/>
      <c r="AM17" s="13"/>
      <c r="AN17" s="13"/>
      <c r="AO17" s="13"/>
      <c r="AP17" s="13"/>
      <c r="AQ17" s="13"/>
      <c r="AR17" s="13"/>
      <c r="AS17" s="13"/>
      <c r="AT17" s="13"/>
    </row>
    <row r="18" spans="1:46">
      <c r="A18" s="8" t="s">
        <v>247</v>
      </c>
      <c r="B18" s="8" t="s">
        <v>47</v>
      </c>
      <c r="C18" s="8" t="s">
        <v>48</v>
      </c>
      <c r="D18" s="8" t="s">
        <v>1441</v>
      </c>
      <c r="E18" s="8" t="s">
        <v>1691</v>
      </c>
      <c r="F18" s="8" t="s">
        <v>1696</v>
      </c>
      <c r="G18" s="8" t="s">
        <v>1451</v>
      </c>
      <c r="H18" s="42" t="str">
        <f ca="1">IFERROR(__xludf.DUMMYFUNCTION("VLOOKUP(G18, IMPORTRANGE(""https://docs.google.com/spreadsheets/d/14deopnvwcrKtEGCKuYXdUHJbeLDZlkiSSWWT0g7x2pM/edit#gid=849066331"", ""LU List Science (Filter)!A:B""), 2, FALSE)"),"Properties of materials-Transparency")</f>
        <v>Properties of materials-Transparency</v>
      </c>
      <c r="I18" s="10" t="str">
        <f t="shared" si="0"/>
        <v>LU005318.001</v>
      </c>
      <c r="J18" s="10" t="str">
        <f ca="1">IFERROR(__xludf.DUMMYFUNCTION("VLOOKUP(I18, IMPORTRANGE(""https://docs.google.com/spreadsheets/d/1yDAaXNsi4Mr5FtRQL4tbmSdIzhx6_m4wkOD7IG-k_eo/edit#gid=1336395716"", ""Science!M:N""), 2, FALSE)"),"Recall the concept of transparency in materials and its significance.")</f>
        <v>Recall the concept of transparency in materials and its significance.</v>
      </c>
      <c r="K18" s="10" t="str">
        <f t="shared" si="1"/>
        <v>LU005318.002</v>
      </c>
      <c r="L18" s="10" t="str">
        <f ca="1">IFERROR(__xludf.DUMMYFUNCTION("VLOOKUP(K18, IMPORTRANGE(""https://docs.google.com/spreadsheets/d/1yDAaXNsi4Mr5FtRQL4tbmSdIzhx6_m4wkOD7IG-k_eo/edit#gid=1336395716"", ""Science!M:N""), 2, FALSE)"),"Explain how the property of transparency can be used to categorize and group materials.")</f>
        <v>Explain how the property of transparency can be used to categorize and group materials.</v>
      </c>
      <c r="M18" s="10" t="str">
        <f t="shared" si="2"/>
        <v>LU005318.003</v>
      </c>
      <c r="N18" s="10" t="str">
        <f ca="1">IFERROR(__xludf.DUMMYFUNCTION("VLOOKUP(M18, IMPORTRANGE(""https://docs.google.com/spreadsheets/d/1yDAaXNsi4Mr5FtRQL4tbmSdIzhx6_m4wkOD7IG-k_eo/edit#gid=1336395716"", ""Science!M:N""), 2, FALSE)"),"Apply your understanding to classify a variety of materials based on their transparency or opacity.")</f>
        <v>Apply your understanding to classify a variety of materials based on their transparency or opacity.</v>
      </c>
      <c r="O18" s="10" t="str">
        <f t="shared" si="3"/>
        <v>LU005318.004</v>
      </c>
      <c r="P18" s="10" t="str">
        <f ca="1">IFERROR(__xludf.DUMMYFUNCTION("VLOOKUP(O18, IMPORTRANGE(""https://docs.google.com/spreadsheets/d/1yDAaXNsi4Mr5FtRQL4tbmSdIzhx6_m4wkOD7IG-k_eo/edit#gid=1336395716"", ""Science!M:N""), 2, FALSE)"),"#N/A")</f>
        <v>#N/A</v>
      </c>
      <c r="Q18" s="10" t="str">
        <f t="shared" si="4"/>
        <v>LU005318.005</v>
      </c>
      <c r="R18" s="10" t="str">
        <f ca="1">IFERROR(__xludf.DUMMYFUNCTION("VLOOKUP(Q18, IMPORTRANGE(""https://docs.google.com/spreadsheets/d/1yDAaXNsi4Mr5FtRQL4tbmSdIzhx6_m4wkOD7IG-k_eo/edit#gid=1336395716"", ""Science!M:N""), 2, FALSE)"),"#N/A")</f>
        <v>#N/A</v>
      </c>
      <c r="S18" s="10" t="str">
        <f t="shared" si="5"/>
        <v>LU005318.006</v>
      </c>
      <c r="T18" s="10" t="str">
        <f ca="1">IFERROR(__xludf.DUMMYFUNCTION("VLOOKUP(S18, IMPORTRANGE(""https://docs.google.com/spreadsheets/d/1yDAaXNsi4Mr5FtRQL4tbmSdIzhx6_m4wkOD7IG-k_eo/edit#gid=1336395716"", ""Science!M:N""), 2, FALSE)"),"#N/A")</f>
        <v>#N/A</v>
      </c>
      <c r="U18" s="11">
        <f ca="1">IFERROR(__xludf.DUMMYFUNCTION("ArrayFormula(VLOOKUP(G18, IMPORTRANGE(""https://docs.google.com/spreadsheets/d/1p7R4vtkWt5VOBim4ltsDG9KTzSjrtKXsMtQGXPHyND0/edit#gid=795171502"", ""'Filter 30_05_2024'!A1:M2000""), {2, 3, 4, 5,6,7,8,9,10,11,12,13}, 0))"),4)</f>
        <v>4</v>
      </c>
      <c r="V18" s="11">
        <f ca="1">IFERROR(__xludf.DUMMYFUNCTION("""COMPUTED_VALUE"""),7)</f>
        <v>7</v>
      </c>
      <c r="W18" s="38">
        <f ca="1">IFERROR(__xludf.DUMMYFUNCTION("""COMPUTED_VALUE"""),2)</f>
        <v>2</v>
      </c>
      <c r="X18" s="11">
        <f ca="1">IFERROR(__xludf.DUMMYFUNCTION("""COMPUTED_VALUE"""),13)</f>
        <v>13</v>
      </c>
      <c r="Y18" s="11">
        <f ca="1">IFERROR(__xludf.DUMMYFUNCTION("""COMPUTED_VALUE"""),4)</f>
        <v>4</v>
      </c>
      <c r="Z18" s="12">
        <f ca="1">IFERROR(__xludf.DUMMYFUNCTION("""COMPUTED_VALUE"""),9)</f>
        <v>9</v>
      </c>
      <c r="AA18" s="12">
        <f ca="1">IFERROR(__xludf.DUMMYFUNCTION("""COMPUTED_VALUE"""),1)</f>
        <v>1</v>
      </c>
      <c r="AB18" s="12">
        <f ca="1">IFERROR(__xludf.DUMMYFUNCTION("""COMPUTED_VALUE"""),14)</f>
        <v>14</v>
      </c>
      <c r="AC18" s="12"/>
      <c r="AD18" s="12"/>
      <c r="AE18" s="12"/>
      <c r="AF18" s="12"/>
      <c r="AG18" s="13" t="str">
        <f ca="1">IFERROR(__xludf.DUMMYFUNCTION("ArrayFormula(VLOOKUP(G18, IMPORTRANGE(""https://docs.google.com/spreadsheets/d/1Co934fvtviyaRiMsrIlT05Jaq7iiYq07aLvRr35KA48/edit?gid=173865642#gid=173865642"", ""'G6_Sci_Pri_LU'!G2:V2000""), {3, 4, 5, 6, 7, 8, 9, 10, 11, 12, 13, 14, 15, 16}, 0))"),"LU005314")</f>
        <v>LU005314</v>
      </c>
      <c r="AH18" s="13" t="str">
        <f ca="1">IFERROR(__xludf.DUMMYFUNCTION("""COMPUTED_VALUE"""),"Properties of materials-Appearance and Feel")</f>
        <v>Properties of materials-Appearance and Feel</v>
      </c>
      <c r="AI18" s="13" t="str">
        <f ca="1">IFERROR(__xludf.DUMMYFUNCTION("""COMPUTED_VALUE"""),"LU005313")</f>
        <v>LU005313</v>
      </c>
      <c r="AJ18" s="13" t="str">
        <f ca="1">IFERROR(__xludf.DUMMYFUNCTION("""COMPUTED_VALUE"""),"Nature of objects around us at material level and grouping of materials")</f>
        <v>Nature of objects around us at material level and grouping of materials</v>
      </c>
      <c r="AK18" s="13"/>
      <c r="AL18" s="13"/>
      <c r="AM18" s="13"/>
      <c r="AN18" s="13"/>
      <c r="AO18" s="13"/>
      <c r="AP18" s="13"/>
      <c r="AQ18" s="13"/>
      <c r="AR18" s="13"/>
      <c r="AS18" s="13"/>
      <c r="AT18" s="13"/>
    </row>
    <row r="19" spans="1:46">
      <c r="A19" s="8" t="s">
        <v>247</v>
      </c>
      <c r="B19" s="8" t="s">
        <v>47</v>
      </c>
      <c r="C19" s="8" t="s">
        <v>48</v>
      </c>
      <c r="D19" s="8" t="s">
        <v>1441</v>
      </c>
      <c r="E19" s="8" t="s">
        <v>1697</v>
      </c>
      <c r="F19" s="8" t="s">
        <v>1698</v>
      </c>
      <c r="G19" s="8" t="s">
        <v>1467</v>
      </c>
      <c r="H19" s="8" t="str">
        <f ca="1">IFERROR(__xludf.DUMMYFUNCTION("VLOOKUP(G19, IMPORTRANGE(""https://docs.google.com/spreadsheets/d/14deopnvwcrKtEGCKuYXdUHJbeLDZlkiSSWWT0g7x2pM/edit#gid=849066331"", ""LU List Science (Filter)!A:B""), 2, FALSE)"),"Purpose for the separation of substances")</f>
        <v>Purpose for the separation of substances</v>
      </c>
      <c r="I19" s="10" t="str">
        <f t="shared" si="0"/>
        <v>LU005293.001</v>
      </c>
      <c r="J19" s="10" t="str">
        <f ca="1">IFERROR(__xludf.DUMMYFUNCTION("VLOOKUP(I19, IMPORTRANGE(""https://docs.google.com/spreadsheets/d/1yDAaXNsi4Mr5FtRQL4tbmSdIzhx6_m4wkOD7IG-k_eo/edit#gid=1336395716"", ""Science!M:N""), 2, FALSE)"),"List common reasons for substance separation in different situations.")</f>
        <v>List common reasons for substance separation in different situations.</v>
      </c>
      <c r="K19" s="10" t="str">
        <f t="shared" si="1"/>
        <v>LU005293.002</v>
      </c>
      <c r="L19" s="10" t="str">
        <f ca="1">IFERROR(__xludf.DUMMYFUNCTION("VLOOKUP(K19, IMPORTRANGE(""https://docs.google.com/spreadsheets/d/1yDAaXNsi4Mr5FtRQL4tbmSdIzhx6_m4wkOD7IG-k_eo/edit#gid=1336395716"", ""Science!M:N""), 2, FALSE)"),"Recognize scenarios requiring substance separation.")</f>
        <v>Recognize scenarios requiring substance separation.</v>
      </c>
      <c r="M19" s="10" t="str">
        <f t="shared" si="2"/>
        <v>LU005293.003</v>
      </c>
      <c r="N19" s="10" t="str">
        <f ca="1">IFERROR(__xludf.DUMMYFUNCTION("VLOOKUP(M19, IMPORTRANGE(""https://docs.google.com/spreadsheets/d/1yDAaXNsi4Mr5FtRQL4tbmSdIzhx6_m4wkOD7IG-k_eo/edit#gid=1336395716"", ""Science!M:N""), 2, FALSE)"),"Demonstrate the importance of substance separation in obtaining valuable components.")</f>
        <v>Demonstrate the importance of substance separation in obtaining valuable components.</v>
      </c>
      <c r="O19" s="10" t="str">
        <f t="shared" si="3"/>
        <v>LU005293.004</v>
      </c>
      <c r="P19" s="10" t="str">
        <f ca="1">IFERROR(__xludf.DUMMYFUNCTION("VLOOKUP(O19, IMPORTRANGE(""https://docs.google.com/spreadsheets/d/1yDAaXNsi4Mr5FtRQL4tbmSdIzhx6_m4wkOD7IG-k_eo/edit#gid=1336395716"", ""Science!M:N""), 2, FALSE)"),"Examine the application of separation techniques across daily life and industries.")</f>
        <v>Examine the application of separation techniques across daily life and industries.</v>
      </c>
      <c r="Q19" s="10" t="str">
        <f t="shared" si="4"/>
        <v>LU005293.005</v>
      </c>
      <c r="R19" s="10" t="str">
        <f ca="1">IFERROR(__xludf.DUMMYFUNCTION("VLOOKUP(Q19, IMPORTRANGE(""https://docs.google.com/spreadsheets/d/1yDAaXNsi4Mr5FtRQL4tbmSdIzhx6_m4wkOD7IG-k_eo/edit#gid=1336395716"", ""Science!M:N""), 2, FALSE)"),"Invent a unique separation situation to separate substances, considering the intended outcome.")</f>
        <v>Invent a unique separation situation to separate substances, considering the intended outcome.</v>
      </c>
      <c r="S19" s="10" t="str">
        <f t="shared" si="5"/>
        <v>LU005293.006</v>
      </c>
      <c r="T19" s="10" t="str">
        <f ca="1">IFERROR(__xludf.DUMMYFUNCTION("VLOOKUP(S19, IMPORTRANGE(""https://docs.google.com/spreadsheets/d/1yDAaXNsi4Mr5FtRQL4tbmSdIzhx6_m4wkOD7IG-k_eo/edit#gid=1336395716"", ""Science!M:N""), 2, FALSE)"),"#N/A")</f>
        <v>#N/A</v>
      </c>
      <c r="U19" s="11">
        <f ca="1">IFERROR(__xludf.DUMMYFUNCTION("ArrayFormula(VLOOKUP(G19, IMPORTRANGE(""https://docs.google.com/spreadsheets/d/1p7R4vtkWt5VOBim4ltsDG9KTzSjrtKXsMtQGXPHyND0/edit#gid=795171502"", ""'Filter 30_05_2024'!A1:M2000""), {2, 3, 4, 5,6,7,8,9,10,11,12,13}, 0))"),5)</f>
        <v>5</v>
      </c>
      <c r="V19" s="11">
        <f ca="1">IFERROR(__xludf.DUMMYFUNCTION("""COMPUTED_VALUE"""),6)</f>
        <v>6</v>
      </c>
      <c r="W19" s="11">
        <f ca="1">IFERROR(__xludf.DUMMYFUNCTION("""COMPUTED_VALUE"""),2)</f>
        <v>2</v>
      </c>
      <c r="X19" s="11">
        <f ca="1">IFERROR(__xludf.DUMMYFUNCTION("""COMPUTED_VALUE"""),13)</f>
        <v>13</v>
      </c>
      <c r="Y19" s="11">
        <f ca="1">IFERROR(__xludf.DUMMYFUNCTION("""COMPUTED_VALUE"""),4)</f>
        <v>4</v>
      </c>
      <c r="Z19" s="12">
        <f ca="1">IFERROR(__xludf.DUMMYFUNCTION("""COMPUTED_VALUE"""),3)</f>
        <v>3</v>
      </c>
      <c r="AA19" s="12">
        <f ca="1">IFERROR(__xludf.DUMMYFUNCTION("""COMPUTED_VALUE"""),1)</f>
        <v>1</v>
      </c>
      <c r="AB19" s="12">
        <f ca="1">IFERROR(__xludf.DUMMYFUNCTION("""COMPUTED_VALUE"""),8)</f>
        <v>8</v>
      </c>
      <c r="AC19" s="12"/>
      <c r="AD19" s="12"/>
      <c r="AE19" s="12"/>
      <c r="AF19" s="12"/>
      <c r="AG19" s="13" t="str">
        <f ca="1">IFERROR(__xludf.DUMMYFUNCTION("ArrayFormula(VLOOKUP(G19, IMPORTRANGE(""https://docs.google.com/spreadsheets/d/1Co934fvtviyaRiMsrIlT05Jaq7iiYq07aLvRr35KA48/edit?gid=173865642#gid=173865642"", ""'G6_Sci_Pri_LU'!G2:V2000""), {3, 4, 5, 6, 7, 8, 9, 10, 11, 12, 13, 14, 15, 16}, 0))"),"LU005313")</f>
        <v>LU005313</v>
      </c>
      <c r="AH19" s="13" t="str">
        <f ca="1">IFERROR(__xludf.DUMMYFUNCTION("""COMPUTED_VALUE"""),"Nature of objects around us at material level and grouping of materials")</f>
        <v>Nature of objects around us at material level and grouping of materials</v>
      </c>
      <c r="AI19" s="13"/>
      <c r="AJ19" s="13"/>
      <c r="AK19" s="13"/>
      <c r="AL19" s="13"/>
      <c r="AM19" s="13"/>
      <c r="AN19" s="13"/>
      <c r="AO19" s="13"/>
      <c r="AP19" s="13"/>
      <c r="AQ19" s="13"/>
      <c r="AR19" s="13"/>
      <c r="AS19" s="13"/>
      <c r="AT19" s="13"/>
    </row>
    <row r="20" spans="1:46">
      <c r="A20" s="8" t="s">
        <v>247</v>
      </c>
      <c r="B20" s="8" t="s">
        <v>47</v>
      </c>
      <c r="C20" s="8" t="s">
        <v>48</v>
      </c>
      <c r="D20" s="8" t="s">
        <v>1441</v>
      </c>
      <c r="E20" s="8" t="s">
        <v>1697</v>
      </c>
      <c r="F20" s="8" t="s">
        <v>1471</v>
      </c>
      <c r="G20" s="8" t="s">
        <v>1470</v>
      </c>
      <c r="H20" s="8" t="str">
        <f ca="1">IFERROR(__xludf.DUMMYFUNCTION("VLOOKUP(G20, IMPORTRANGE(""https://docs.google.com/spreadsheets/d/14deopnvwcrKtEGCKuYXdUHJbeLDZlkiSSWWT0g7x2pM/edit#gid=849066331"", ""LU List Science (Filter)!A:B""), 2, FALSE)"),"Handpicking, threshing, winnowing, and sieving")</f>
        <v>Handpicking, threshing, winnowing, and sieving</v>
      </c>
      <c r="I20" s="10" t="str">
        <f t="shared" si="0"/>
        <v>LU005294.001</v>
      </c>
      <c r="J20" s="10" t="str">
        <f ca="1">IFERROR(__xludf.DUMMYFUNCTION("VLOOKUP(I20, IMPORTRANGE(""https://docs.google.com/spreadsheets/d/1yDAaXNsi4Mr5FtRQL4tbmSdIzhx6_m4wkOD7IG-k_eo/edit#gid=1336395716"", ""Science!M:N""), 2, FALSE)"),"Students will identify handpicking, threshing, winnowing, and sieving as methods of separating substances.")</f>
        <v>Students will identify handpicking, threshing, winnowing, and sieving as methods of separating substances.</v>
      </c>
      <c r="K20" s="10" t="str">
        <f t="shared" si="1"/>
        <v>LU005294.002</v>
      </c>
      <c r="L20" s="10" t="str">
        <f ca="1">IFERROR(__xludf.DUMMYFUNCTION("VLOOKUP(K20, IMPORTRANGE(""https://docs.google.com/spreadsheets/d/1yDAaXNsi4Mr5FtRQL4tbmSdIzhx6_m4wkOD7IG-k_eo/edit#gid=1336395716"", ""Science!M:N""), 2, FALSE)"),"Students will describe the principle behind each method of separation.")</f>
        <v>Students will describe the principle behind each method of separation.</v>
      </c>
      <c r="M20" s="10" t="str">
        <f t="shared" si="2"/>
        <v>LU005294.003</v>
      </c>
      <c r="N20" s="10" t="str">
        <f ca="1">IFERROR(__xludf.DUMMYFUNCTION("VLOOKUP(M20, IMPORTRANGE(""https://docs.google.com/spreadsheets/d/1yDAaXNsi4Mr5FtRQL4tbmSdIzhx6_m4wkOD7IG-k_eo/edit#gid=1336395716"", ""Science!M:N""), 2, FALSE)"),"Students will apply the appropriate method of separation to a mixture of substances.")</f>
        <v>Students will apply the appropriate method of separation to a mixture of substances.</v>
      </c>
      <c r="O20" s="10" t="str">
        <f t="shared" si="3"/>
        <v>LU005294.004</v>
      </c>
      <c r="P20" s="10" t="str">
        <f ca="1">IFERROR(__xludf.DUMMYFUNCTION("VLOOKUP(O20, IMPORTRANGE(""https://docs.google.com/spreadsheets/d/1yDAaXNsi4Mr5FtRQL4tbmSdIzhx6_m4wkOD7IG-k_eo/edit#gid=1336395716"", ""Science!M:N""), 2, FALSE)"),"Students will analyze a mixture and choose the most effective method of separation, explaining why it is suitable.")</f>
        <v>Students will analyze a mixture and choose the most effective method of separation, explaining why it is suitable.</v>
      </c>
      <c r="Q20" s="10" t="str">
        <f t="shared" si="4"/>
        <v>LU005294.005</v>
      </c>
      <c r="R20" s="10" t="str">
        <f ca="1">IFERROR(__xludf.DUMMYFUNCTION("VLOOKUP(Q20, IMPORTRANGE(""https://docs.google.com/spreadsheets/d/1yDAaXNsi4Mr5FtRQL4tbmSdIzhx6_m4wkOD7IG-k_eo/edit#gid=1336395716"", ""Science!M:N""), 2, FALSE)"),"Students will evaluate the efficiency and practicality of different separation methods in various scenarios.")</f>
        <v>Students will evaluate the efficiency and practicality of different separation methods in various scenarios.</v>
      </c>
      <c r="S20" s="10" t="str">
        <f t="shared" si="5"/>
        <v>LU005294.006</v>
      </c>
      <c r="T20" s="10" t="str">
        <f ca="1">IFERROR(__xludf.DUMMYFUNCTION("VLOOKUP(S20, IMPORTRANGE(""https://docs.google.com/spreadsheets/d/1yDAaXNsi4Mr5FtRQL4tbmSdIzhx6_m4wkOD7IG-k_eo/edit#gid=1336395716"", ""Science!M:N""), 2, FALSE)"),"#N/A")</f>
        <v>#N/A</v>
      </c>
      <c r="U20" s="11">
        <f ca="1">IFERROR(__xludf.DUMMYFUNCTION("ArrayFormula(VLOOKUP(G20, IMPORTRANGE(""https://docs.google.com/spreadsheets/d/1p7R4vtkWt5VOBim4ltsDG9KTzSjrtKXsMtQGXPHyND0/edit#gid=795171502"", ""'Filter 30_05_2024'!A1:M2000""), {2, 3, 4, 5,6,7,8,9,10,11,12,13}, 0))"),18)</f>
        <v>18</v>
      </c>
      <c r="V20" s="11">
        <f ca="1">IFERROR(__xludf.DUMMYFUNCTION("""COMPUTED_VALUE"""),10)</f>
        <v>10</v>
      </c>
      <c r="W20" s="11">
        <f ca="1">IFERROR(__xludf.DUMMYFUNCTION("""COMPUTED_VALUE"""),2)</f>
        <v>2</v>
      </c>
      <c r="X20" s="11">
        <f ca="1">IFERROR(__xludf.DUMMYFUNCTION("""COMPUTED_VALUE"""),30)</f>
        <v>30</v>
      </c>
      <c r="Y20" s="11">
        <f ca="1">IFERROR(__xludf.DUMMYFUNCTION("""COMPUTED_VALUE"""),7)</f>
        <v>7</v>
      </c>
      <c r="Z20" s="12">
        <f ca="1">IFERROR(__xludf.DUMMYFUNCTION("""COMPUTED_VALUE"""),5)</f>
        <v>5</v>
      </c>
      <c r="AA20" s="12">
        <f ca="1">IFERROR(__xludf.DUMMYFUNCTION("""COMPUTED_VALUE"""),1)</f>
        <v>1</v>
      </c>
      <c r="AB20" s="12">
        <f ca="1">IFERROR(__xludf.DUMMYFUNCTION("""COMPUTED_VALUE"""),13)</f>
        <v>13</v>
      </c>
      <c r="AC20" s="12"/>
      <c r="AD20" s="12"/>
      <c r="AE20" s="12"/>
      <c r="AF20" s="12"/>
      <c r="AG20" s="13" t="str">
        <f ca="1">IFERROR(__xludf.DUMMYFUNCTION("ArrayFormula(VLOOKUP(G20, IMPORTRANGE(""https://docs.google.com/spreadsheets/d/1Co934fvtviyaRiMsrIlT05Jaq7iiYq07aLvRr35KA48/edit?gid=173865642#gid=173865642"", ""'G6_Sci_Pri_LU'!G2:V2000""), {3, 4, 5, 6, 7, 8, 9, 10, 11, 12, 13, 14, 15, 16}, 0))"),"LU005293")</f>
        <v>LU005293</v>
      </c>
      <c r="AH20" s="13" t="str">
        <f ca="1">IFERROR(__xludf.DUMMYFUNCTION("""COMPUTED_VALUE"""),"Purpose for the separation of substances")</f>
        <v>Purpose for the separation of substances</v>
      </c>
      <c r="AI20" s="13" t="str">
        <f ca="1">IFERROR(__xludf.DUMMYFUNCTION("""COMPUTED_VALUE"""),"LU005313")</f>
        <v>LU005313</v>
      </c>
      <c r="AJ20" s="13" t="str">
        <f ca="1">IFERROR(__xludf.DUMMYFUNCTION("""COMPUTED_VALUE"""),"Nature of objects around us at material level and grouping of materials")</f>
        <v>Nature of objects around us at material level and grouping of materials</v>
      </c>
      <c r="AK20" s="13"/>
      <c r="AL20" s="13"/>
      <c r="AM20" s="13"/>
      <c r="AN20" s="13"/>
      <c r="AO20" s="13"/>
      <c r="AP20" s="13"/>
      <c r="AQ20" s="13"/>
      <c r="AR20" s="13"/>
      <c r="AS20" s="13"/>
      <c r="AT20" s="13"/>
    </row>
    <row r="21" spans="1:46">
      <c r="A21" s="8" t="s">
        <v>247</v>
      </c>
      <c r="B21" s="8" t="s">
        <v>47</v>
      </c>
      <c r="C21" s="8" t="s">
        <v>48</v>
      </c>
      <c r="D21" s="8" t="s">
        <v>1441</v>
      </c>
      <c r="E21" s="8" t="s">
        <v>1697</v>
      </c>
      <c r="F21" s="8" t="s">
        <v>1699</v>
      </c>
      <c r="G21" s="8" t="s">
        <v>1476</v>
      </c>
      <c r="H21" s="42" t="str">
        <f ca="1">IFERROR(__xludf.DUMMYFUNCTION("VLOOKUP(G21, IMPORTRANGE(""https://docs.google.com/spreadsheets/d/14deopnvwcrKtEGCKuYXdUHJbeLDZlkiSSWWT0g7x2pM/edit#gid=849066331"", ""LU List Science (Filter)!A:B""), 2, FALSE)"),"Sedimentation, decantation and filtration")</f>
        <v>Sedimentation, decantation and filtration</v>
      </c>
      <c r="I21" s="10" t="str">
        <f t="shared" si="0"/>
        <v>LU005295.001</v>
      </c>
      <c r="J21" s="10" t="str">
        <f ca="1">IFERROR(__xludf.DUMMYFUNCTION("VLOOKUP(I21, IMPORTRANGE(""https://docs.google.com/spreadsheets/d/1yDAaXNsi4Mr5FtRQL4tbmSdIzhx6_m4wkOD7IG-k_eo/edit#gid=1336395716"", ""Science!M:N""), 2, FALSE)"),"Students will define sedimentation, loading, decantation, and filtration.")</f>
        <v>Students will define sedimentation, loading, decantation, and filtration.</v>
      </c>
      <c r="K21" s="10" t="str">
        <f t="shared" si="1"/>
        <v>LU005295.002</v>
      </c>
      <c r="L21" s="10" t="str">
        <f ca="1">IFERROR(__xludf.DUMMYFUNCTION("VLOOKUP(K21, IMPORTRANGE(""https://docs.google.com/spreadsheets/d/1yDAaXNsi4Mr5FtRQL4tbmSdIzhx6_m4wkOD7IG-k_eo/edit#gid=1336395716"", ""Science!M:N""), 2, FALSE)"),"Students will describe the situations where sedimentation, decantation, and filtration are used.")</f>
        <v>Students will describe the situations where sedimentation, decantation, and filtration are used.</v>
      </c>
      <c r="M21" s="10" t="str">
        <f t="shared" si="2"/>
        <v>LU005295.003</v>
      </c>
      <c r="N21" s="10" t="str">
        <f ca="1">IFERROR(__xludf.DUMMYFUNCTION("VLOOKUP(M21, IMPORTRANGE(""https://docs.google.com/spreadsheets/d/1yDAaXNsi4Mr5FtRQL4tbmSdIzhx6_m4wkOD7IG-k_eo/edit#gid=1336395716"", ""Science!M:N""), 2, FALSE)"),"Students will demonstrate the methods of sedimentation, loading, decantation, and filtration using simple materials.")</f>
        <v>Students will demonstrate the methods of sedimentation, loading, decantation, and filtration using simple materials.</v>
      </c>
      <c r="O21" s="10" t="str">
        <f t="shared" si="3"/>
        <v>LU005295.004</v>
      </c>
      <c r="P21" s="10" t="str">
        <f ca="1">IFERROR(__xludf.DUMMYFUNCTION("VLOOKUP(O21, IMPORTRANGE(""https://docs.google.com/spreadsheets/d/1yDAaXNsi4Mr5FtRQL4tbmSdIzhx6_m4wkOD7IG-k_eo/edit#gid=1336395716"", ""Science!M:N""), 2, FALSE)"),"Students will differentiate between sedimentation, loading, decantation, and filtration based on their purpose and method.")</f>
        <v>Students will differentiate between sedimentation, loading, decantation, and filtration based on their purpose and method.</v>
      </c>
      <c r="Q21" s="10" t="str">
        <f t="shared" si="4"/>
        <v>LU005295.005</v>
      </c>
      <c r="R21" s="10" t="str">
        <f ca="1">IFERROR(__xludf.DUMMYFUNCTION("VLOOKUP(Q21, IMPORTRANGE(""https://docs.google.com/spreadsheets/d/1yDAaXNsi4Mr5FtRQL4tbmSdIzhx6_m4wkOD7IG-k_eo/edit#gid=1336395716"", ""Science!M:N""), 2, FALSE)"),"Students will evaluate the effectiveness of each separation method in different scenarios.")</f>
        <v>Students will evaluate the effectiveness of each separation method in different scenarios.</v>
      </c>
      <c r="S21" s="10" t="str">
        <f t="shared" si="5"/>
        <v>LU005295.006</v>
      </c>
      <c r="T21" s="10" t="str">
        <f ca="1">IFERROR(__xludf.DUMMYFUNCTION("VLOOKUP(S21, IMPORTRANGE(""https://docs.google.com/spreadsheets/d/1yDAaXNsi4Mr5FtRQL4tbmSdIzhx6_m4wkOD7IG-k_eo/edit#gid=1336395716"", ""Science!M:N""), 2, FALSE)"),"Students will design an experiment that combines these methods to separate a complex mixture.")</f>
        <v>Students will design an experiment that combines these methods to separate a complex mixture.</v>
      </c>
      <c r="U21" s="11">
        <f ca="1">IFERROR(__xludf.DUMMYFUNCTION("ArrayFormula(VLOOKUP(G21, IMPORTRANGE(""https://docs.google.com/spreadsheets/d/1p7R4vtkWt5VOBim4ltsDG9KTzSjrtKXsMtQGXPHyND0/edit#gid=795171502"", ""'Filter 30_05_2024'!A1:M2000""), {2, 3, 4, 5,6,7,8,9,10,11,12,13}, 0))"),14)</f>
        <v>14</v>
      </c>
      <c r="V21" s="11">
        <f ca="1">IFERROR(__xludf.DUMMYFUNCTION("""COMPUTED_VALUE"""),14)</f>
        <v>14</v>
      </c>
      <c r="W21" s="11">
        <f ca="1">IFERROR(__xludf.DUMMYFUNCTION("""COMPUTED_VALUE"""),6)</f>
        <v>6</v>
      </c>
      <c r="X21" s="11">
        <f ca="1">IFERROR(__xludf.DUMMYFUNCTION("""COMPUTED_VALUE"""),34)</f>
        <v>34</v>
      </c>
      <c r="Y21" s="11">
        <f ca="1">IFERROR(__xludf.DUMMYFUNCTION("""COMPUTED_VALUE"""),8)</f>
        <v>8</v>
      </c>
      <c r="Z21" s="12">
        <f ca="1">IFERROR(__xludf.DUMMYFUNCTION("""COMPUTED_VALUE"""),3)</f>
        <v>3</v>
      </c>
      <c r="AA21" s="12">
        <f ca="1">IFERROR(__xludf.DUMMYFUNCTION("""COMPUTED_VALUE"""),2)</f>
        <v>2</v>
      </c>
      <c r="AB21" s="12">
        <f ca="1">IFERROR(__xludf.DUMMYFUNCTION("""COMPUTED_VALUE"""),13)</f>
        <v>13</v>
      </c>
      <c r="AC21" s="12"/>
      <c r="AD21" s="12"/>
      <c r="AE21" s="12"/>
      <c r="AF21" s="12"/>
      <c r="AG21" s="13" t="str">
        <f ca="1">IFERROR(__xludf.DUMMYFUNCTION("ArrayFormula(VLOOKUP(G21, IMPORTRANGE(""https://docs.google.com/spreadsheets/d/1Co934fvtviyaRiMsrIlT05Jaq7iiYq07aLvRr35KA48/edit?gid=173865642#gid=173865642"", ""'G6_Sci_Pri_LU'!G2:V2000""), {3, 4, 5, 6, 7, 8, 9, 10, 11, 12, 13, 14, 15, 16}, 0))"),"LU005315")</f>
        <v>LU005315</v>
      </c>
      <c r="AH21" s="13" t="str">
        <f ca="1">IFERROR(__xludf.DUMMYFUNCTION("""COMPUTED_VALUE"""),"Properties of materials-Floats or sinks in water")</f>
        <v>Properties of materials-Floats or sinks in water</v>
      </c>
      <c r="AI21" s="13" t="str">
        <f ca="1">IFERROR(__xludf.DUMMYFUNCTION("""COMPUTED_VALUE"""),"LU005317")</f>
        <v>LU005317</v>
      </c>
      <c r="AJ21" s="13" t="str">
        <f ca="1">IFERROR(__xludf.DUMMYFUNCTION("""COMPUTED_VALUE"""),"Properties of materials-Solubility in water")</f>
        <v>Properties of materials-Solubility in water</v>
      </c>
      <c r="AK21" s="13" t="str">
        <f ca="1">IFERROR(__xludf.DUMMYFUNCTION("""COMPUTED_VALUE"""),"LU005293")</f>
        <v>LU005293</v>
      </c>
      <c r="AL21" s="13" t="str">
        <f ca="1">IFERROR(__xludf.DUMMYFUNCTION("""COMPUTED_VALUE"""),"Purpose for the separation of substances")</f>
        <v>Purpose for the separation of substances</v>
      </c>
      <c r="AM21" s="13"/>
      <c r="AN21" s="13"/>
      <c r="AO21" s="13"/>
      <c r="AP21" s="13"/>
      <c r="AQ21" s="13"/>
      <c r="AR21" s="13"/>
      <c r="AS21" s="13"/>
      <c r="AT21" s="13"/>
    </row>
    <row r="22" spans="1:46">
      <c r="A22" s="8" t="s">
        <v>247</v>
      </c>
      <c r="B22" s="8" t="s">
        <v>47</v>
      </c>
      <c r="C22" s="8" t="s">
        <v>48</v>
      </c>
      <c r="D22" s="8" t="s">
        <v>1441</v>
      </c>
      <c r="E22" s="8" t="s">
        <v>1697</v>
      </c>
      <c r="F22" s="8" t="s">
        <v>1700</v>
      </c>
      <c r="G22" s="8" t="s">
        <v>1473</v>
      </c>
      <c r="H22" s="8" t="str">
        <f ca="1">IFERROR(__xludf.DUMMYFUNCTION("VLOOKUP(G22, IMPORTRANGE(""https://docs.google.com/spreadsheets/d/14deopnvwcrKtEGCKuYXdUHJbeLDZlkiSSWWT0g7x2pM/edit#gid=849066331"", ""LU List Science (Filter)!A:B""), 2, FALSE)"),"Evaporation and condensation as the methods of separation")</f>
        <v>Evaporation and condensation as the methods of separation</v>
      </c>
      <c r="I22" s="10" t="str">
        <f t="shared" si="0"/>
        <v>LU005296.001</v>
      </c>
      <c r="J22" s="10" t="str">
        <f ca="1">IFERROR(__xludf.DUMMYFUNCTION("VLOOKUP(I22, IMPORTRANGE(""https://docs.google.com/spreadsheets/d/1yDAaXNsi4Mr5FtRQL4tbmSdIzhx6_m4wkOD7IG-k_eo/edit#gid=1336395716"", ""Science!M:N""), 2, FALSE)"),"Students will define evaporation and condensation in the context of separating mixtures.")</f>
        <v>Students will define evaporation and condensation in the context of separating mixtures.</v>
      </c>
      <c r="K22" s="10" t="str">
        <f t="shared" si="1"/>
        <v>LU005296.002</v>
      </c>
      <c r="L22" s="10" t="str">
        <f ca="1">IFERROR(__xludf.DUMMYFUNCTION("VLOOKUP(K22, IMPORTRANGE(""https://docs.google.com/spreadsheets/d/1yDAaXNsi4Mr5FtRQL4tbmSdIzhx6_m4wkOD7IG-k_eo/edit#gid=1336395716"", ""Science!M:N""), 2, FALSE)"),"Students will explain the circumstances where evaporation and condensation can be used to separate substances.")</f>
        <v>Students will explain the circumstances where evaporation and condensation can be used to separate substances.</v>
      </c>
      <c r="M22" s="10" t="str">
        <f t="shared" si="2"/>
        <v>LU005296.003</v>
      </c>
      <c r="N22" s="10" t="str">
        <f ca="1">IFERROR(__xludf.DUMMYFUNCTION("VLOOKUP(M22, IMPORTRANGE(""https://docs.google.com/spreadsheets/d/1yDAaXNsi4Mr5FtRQL4tbmSdIzhx6_m4wkOD7IG-k_eo/edit#gid=1336395716"", ""Science!M:N""), 2, FALSE)"),"Students will perform a simple experiment to separate a mixture using evaporation and condensation.")</f>
        <v>Students will perform a simple experiment to separate a mixture using evaporation and condensation.</v>
      </c>
      <c r="O22" s="10" t="str">
        <f t="shared" si="3"/>
        <v>LU005296.004</v>
      </c>
      <c r="P22" s="10" t="str">
        <f ca="1">IFERROR(__xludf.DUMMYFUNCTION("VLOOKUP(O22, IMPORTRANGE(""https://docs.google.com/spreadsheets/d/1yDAaXNsi4Mr5FtRQL4tbmSdIzhx6_m4wkOD7IG-k_eo/edit#gid=1336395716"", ""Science!M:N""), 2, FALSE)"),"Students will analyze results from experiments to identify the effectiveness of evaporation and condensation in separating different types of mixtures.")</f>
        <v>Students will analyze results from experiments to identify the effectiveness of evaporation and condensation in separating different types of mixtures.</v>
      </c>
      <c r="Q22" s="10" t="str">
        <f t="shared" si="4"/>
        <v>LU005296.005</v>
      </c>
      <c r="R22" s="10" t="str">
        <f ca="1">IFERROR(__xludf.DUMMYFUNCTION("VLOOKUP(Q22, IMPORTRANGE(""https://docs.google.com/spreadsheets/d/1yDAaXNsi4Mr5FtRQL4tbmSdIzhx6_m4wkOD7IG-k_eo/edit#gid=1336395716"", ""Science!M:N""), 2, FALSE)"),"Students will evaluate the advantages and limitations of using evaporation and condensation as separation techniques.")</f>
        <v>Students will evaluate the advantages and limitations of using evaporation and condensation as separation techniques.</v>
      </c>
      <c r="S22" s="10" t="str">
        <f t="shared" si="5"/>
        <v>LU005296.006</v>
      </c>
      <c r="T22" s="10" t="str">
        <f ca="1">IFERROR(__xludf.DUMMYFUNCTION("VLOOKUP(S22, IMPORTRANGE(""https://docs.google.com/spreadsheets/d/1yDAaXNsi4Mr5FtRQL4tbmSdIzhx6_m4wkOD7IG-k_eo/edit#gid=1336395716"", ""Science!M:N""), 2, FALSE)"),"#N/A")</f>
        <v>#N/A</v>
      </c>
      <c r="U22" s="38">
        <f ca="1">IFERROR(__xludf.DUMMYFUNCTION("ArrayFormula(VLOOKUP(G22, IMPORTRANGE(""https://docs.google.com/spreadsheets/d/1p7R4vtkWt5VOBim4ltsDG9KTzSjrtKXsMtQGXPHyND0/edit#gid=795171502"", ""'Filter 30_05_2024'!A1:M2000""), {2, 3, 4, 5,6,7,8,9,10,11,12,13}, 0))"),4)</f>
        <v>4</v>
      </c>
      <c r="V22" s="38">
        <f ca="1">IFERROR(__xludf.DUMMYFUNCTION("""COMPUTED_VALUE"""),6)</f>
        <v>6</v>
      </c>
      <c r="W22" s="11">
        <f ca="1">IFERROR(__xludf.DUMMYFUNCTION("""COMPUTED_VALUE"""),2)</f>
        <v>2</v>
      </c>
      <c r="X22" s="11">
        <f ca="1">IFERROR(__xludf.DUMMYFUNCTION("""COMPUTED_VALUE"""),12)</f>
        <v>12</v>
      </c>
      <c r="Y22" s="11">
        <f ca="1">IFERROR(__xludf.DUMMYFUNCTION("""COMPUTED_VALUE"""),5)</f>
        <v>5</v>
      </c>
      <c r="Z22" s="12">
        <f ca="1">IFERROR(__xludf.DUMMYFUNCTION("""COMPUTED_VALUE"""),3)</f>
        <v>3</v>
      </c>
      <c r="AA22" s="12">
        <f ca="1">IFERROR(__xludf.DUMMYFUNCTION("""COMPUTED_VALUE"""),1)</f>
        <v>1</v>
      </c>
      <c r="AB22" s="12">
        <f ca="1">IFERROR(__xludf.DUMMYFUNCTION("""COMPUTED_VALUE"""),9)</f>
        <v>9</v>
      </c>
      <c r="AC22" s="12"/>
      <c r="AD22" s="12"/>
      <c r="AE22" s="12"/>
      <c r="AF22" s="12"/>
      <c r="AG22" s="13" t="str">
        <f ca="1">IFERROR(__xludf.DUMMYFUNCTION("ArrayFormula(VLOOKUP(G22, IMPORTRANGE(""https://docs.google.com/spreadsheets/d/1Co934fvtviyaRiMsrIlT05Jaq7iiYq07aLvRr35KA48/edit?gid=173865642#gid=173865642"", ""'G6_Sci_Pri_LU'!G2:V2000""), {3, 4, 5, 6, 7, 8, 9, 10, 11, 12, 13, 14, 15, 16}, 0))"),"LU005317")</f>
        <v>LU005317</v>
      </c>
      <c r="AH22" s="13" t="str">
        <f ca="1">IFERROR(__xludf.DUMMYFUNCTION("""COMPUTED_VALUE"""),"Properties of materials-Solubility in water")</f>
        <v>Properties of materials-Solubility in water</v>
      </c>
      <c r="AI22" s="13" t="str">
        <f ca="1">IFERROR(__xludf.DUMMYFUNCTION("""COMPUTED_VALUE"""),"LU005293")</f>
        <v>LU005293</v>
      </c>
      <c r="AJ22" s="13" t="str">
        <f ca="1">IFERROR(__xludf.DUMMYFUNCTION("""COMPUTED_VALUE"""),"Purpose for the separation of substances")</f>
        <v>Purpose for the separation of substances</v>
      </c>
      <c r="AK22" s="13"/>
      <c r="AL22" s="13"/>
      <c r="AM22" s="13"/>
      <c r="AN22" s="13"/>
      <c r="AO22" s="13"/>
      <c r="AP22" s="13"/>
      <c r="AQ22" s="13"/>
      <c r="AR22" s="13"/>
      <c r="AS22" s="13"/>
      <c r="AT22" s="13"/>
    </row>
    <row r="23" spans="1:46">
      <c r="A23" s="8" t="s">
        <v>247</v>
      </c>
      <c r="B23" s="8" t="s">
        <v>47</v>
      </c>
      <c r="C23" s="8" t="s">
        <v>48</v>
      </c>
      <c r="D23" s="8" t="s">
        <v>1441</v>
      </c>
      <c r="E23" s="8" t="s">
        <v>1697</v>
      </c>
      <c r="F23" s="8" t="s">
        <v>1701</v>
      </c>
      <c r="G23" s="8" t="s">
        <v>1481</v>
      </c>
      <c r="H23" s="42" t="str">
        <f ca="1">IFERROR(__xludf.DUMMYFUNCTION("VLOOKUP(G23, IMPORTRANGE(""https://docs.google.com/spreadsheets/d/14deopnvwcrKtEGCKuYXdUHJbeLDZlkiSSWWT0g7x2pM/edit#gid=849066331"", ""LU List Science (Filter)!A:B""), 2, FALSE)"),"Using more than one method of separation")</f>
        <v>Using more than one method of separation</v>
      </c>
      <c r="I23" s="10" t="str">
        <f t="shared" si="0"/>
        <v>LU005297.001</v>
      </c>
      <c r="J23" s="10" t="str">
        <f ca="1">IFERROR(__xludf.DUMMYFUNCTION("VLOOKUP(I23, IMPORTRANGE(""https://docs.google.com/spreadsheets/d/1yDAaXNsi4Mr5FtRQL4tbmSdIzhx6_m4wkOD7IG-k_eo/edit#gid=1336395716"", ""Science!M:N""), 2, FALSE)"),"List different methods of separation and describe how they can be combined in the use of more than one method for effective separation.")</f>
        <v>List different methods of separation and describe how they can be combined in the use of more than one method for effective separation.</v>
      </c>
      <c r="K23" s="10" t="str">
        <f t="shared" si="1"/>
        <v>LU005297.002</v>
      </c>
      <c r="L23" s="10" t="str">
        <f ca="1">IFERROR(__xludf.DUMMYFUNCTION("VLOOKUP(K23, IMPORTRANGE(""https://docs.google.com/spreadsheets/d/1yDAaXNsi4Mr5FtRQL4tbmSdIzhx6_m4wkOD7IG-k_eo/edit#gid=1336395716"", ""Science!M:N""), 2, FALSE)"),"Comprehend the rationale behind using multiple methods of separation in tandem and explain how their combination enhances the separation process.")</f>
        <v>Comprehend the rationale behind using multiple methods of separation in tandem and explain how their combination enhances the separation process.</v>
      </c>
      <c r="M23" s="10" t="str">
        <f t="shared" si="2"/>
        <v>LU005297.003</v>
      </c>
      <c r="N23" s="10" t="str">
        <f ca="1">IFERROR(__xludf.DUMMYFUNCTION("VLOOKUP(M23, IMPORTRANGE(""https://docs.google.com/spreadsheets/d/1yDAaXNsi4Mr5FtRQL4tbmSdIzhx6_m4wkOD7IG-k_eo/edit#gid=1336395716"", ""Science!M:N""), 2, FALSE)"),"Utilize your knowledge of various separation techniques to propose a scenario where combining two or more methods would achieve better separation results.")</f>
        <v>Utilize your knowledge of various separation techniques to propose a scenario where combining two or more methods would achieve better separation results.</v>
      </c>
      <c r="O23" s="10" t="str">
        <f t="shared" si="3"/>
        <v>LU005297.004</v>
      </c>
      <c r="P23" s="10" t="str">
        <f ca="1">IFERROR(__xludf.DUMMYFUNCTION("VLOOKUP(O23, IMPORTRANGE(""https://docs.google.com/spreadsheets/d/1yDAaXNsi4Mr5FtRQL4tbmSdIzhx6_m4wkOD7IG-k_eo/edit#gid=1336395716"", ""Science!M:N""), 2, FALSE)"),"Analyze the factors that determine the appropriateness of using more than one method of separation, considering the properties of the mixture and the characteristics of the substances.")</f>
        <v>Analyze the factors that determine the appropriateness of using more than one method of separation, considering the properties of the mixture and the characteristics of the substances.</v>
      </c>
      <c r="Q23" s="10" t="str">
        <f t="shared" si="4"/>
        <v>LU005297.005</v>
      </c>
      <c r="R23" s="10" t="str">
        <f ca="1">IFERROR(__xludf.DUMMYFUNCTION("VLOOKUP(Q23, IMPORTRANGE(""https://docs.google.com/spreadsheets/d/1yDAaXNsi4Mr5FtRQL4tbmSdIzhx6_m4wkOD7IG-k_eo/edit#gid=1336395716"", ""Science!M:N""), 2, FALSE)"),"Evaluate the advantages and limitations of employing a combination of separation methods, comparing the efficiency of multiple methods with single methods.")</f>
        <v>Evaluate the advantages and limitations of employing a combination of separation methods, comparing the efficiency of multiple methods with single methods.</v>
      </c>
      <c r="S23" s="10" t="str">
        <f t="shared" si="5"/>
        <v>LU005297.006</v>
      </c>
      <c r="T23" s="10" t="str">
        <f ca="1">IFERROR(__xludf.DUMMYFUNCTION("VLOOKUP(S23, IMPORTRANGE(""https://docs.google.com/spreadsheets/d/1yDAaXNsi4Mr5FtRQL4tbmSdIzhx6_m4wkOD7IG-k_eo/edit#gid=1336395716"", ""Science!M:N""), 2, FALSE)"),"Devise a complex mixture scenario and propose a comprehensive strategy that combines several separation methods to achieve complete separation. Justify your choice based on the properties of the mixture and the principles of the methods.")</f>
        <v>Devise a complex mixture scenario and propose a comprehensive strategy that combines several separation methods to achieve complete separation. Justify your choice based on the properties of the mixture and the principles of the methods.</v>
      </c>
      <c r="U23" s="11">
        <f ca="1">IFERROR(__xludf.DUMMYFUNCTION("ArrayFormula(VLOOKUP(G23, IMPORTRANGE(""https://docs.google.com/spreadsheets/d/1p7R4vtkWt5VOBim4ltsDG9KTzSjrtKXsMtQGXPHyND0/edit#gid=795171502"", ""'Filter 30_05_2024'!A1:M2000""), {2, 3, 4, 5,6,7,8,9,10,11,12,13}, 0))"),4)</f>
        <v>4</v>
      </c>
      <c r="V23" s="11">
        <f ca="1">IFERROR(__xludf.DUMMYFUNCTION("""COMPUTED_VALUE"""),30)</f>
        <v>30</v>
      </c>
      <c r="W23" s="11">
        <f ca="1">IFERROR(__xludf.DUMMYFUNCTION("""COMPUTED_VALUE"""),2)</f>
        <v>2</v>
      </c>
      <c r="X23" s="11">
        <f ca="1">IFERROR(__xludf.DUMMYFUNCTION("""COMPUTED_VALUE"""),36)</f>
        <v>36</v>
      </c>
      <c r="Y23" s="11">
        <f ca="1">IFERROR(__xludf.DUMMYFUNCTION("""COMPUTED_VALUE"""),5)</f>
        <v>5</v>
      </c>
      <c r="Z23" s="12">
        <f ca="1">IFERROR(__xludf.DUMMYFUNCTION("""COMPUTED_VALUE"""),10)</f>
        <v>10</v>
      </c>
      <c r="AA23" s="12">
        <f ca="1">IFERROR(__xludf.DUMMYFUNCTION("""COMPUTED_VALUE"""),1)</f>
        <v>1</v>
      </c>
      <c r="AB23" s="12">
        <f ca="1">IFERROR(__xludf.DUMMYFUNCTION("""COMPUTED_VALUE"""),16)</f>
        <v>16</v>
      </c>
      <c r="AC23" s="12"/>
      <c r="AD23" s="12"/>
      <c r="AE23" s="12"/>
      <c r="AF23" s="12"/>
      <c r="AG23" s="13" t="str">
        <f ca="1">IFERROR(__xludf.DUMMYFUNCTION("ArrayFormula(VLOOKUP(G23, IMPORTRANGE(""https://docs.google.com/spreadsheets/d/1Co934fvtviyaRiMsrIlT05Jaq7iiYq07aLvRr35KA48/edit?gid=173865642#gid=173865642"", ""'G6_Sci_Pri_LU'!G2:V2000""), {3, 4, 5, 6, 7, 8, 9, 10, 11, 12, 13, 14, 15, 16}, 0))"),"LU005295")</f>
        <v>LU005295</v>
      </c>
      <c r="AH23" s="13" t="str">
        <f ca="1">IFERROR(__xludf.DUMMYFUNCTION("""COMPUTED_VALUE"""),"Sedimentation, decantation and filtration")</f>
        <v>Sedimentation, decantation and filtration</v>
      </c>
      <c r="AI23" s="13" t="str">
        <f ca="1">IFERROR(__xludf.DUMMYFUNCTION("""COMPUTED_VALUE"""),"LU005296")</f>
        <v>LU005296</v>
      </c>
      <c r="AJ23" s="13" t="str">
        <f ca="1">IFERROR(__xludf.DUMMYFUNCTION("""COMPUTED_VALUE"""),"Evaporation and condensation as the methods of separation")</f>
        <v>Evaporation and condensation as the methods of separation</v>
      </c>
      <c r="AK23" s="13" t="str">
        <f ca="1">IFERROR(__xludf.DUMMYFUNCTION("""COMPUTED_VALUE"""),"LU005293")</f>
        <v>LU005293</v>
      </c>
      <c r="AL23" s="13" t="str">
        <f ca="1">IFERROR(__xludf.DUMMYFUNCTION("""COMPUTED_VALUE"""),"Purpose for the separation of substances")</f>
        <v>Purpose for the separation of substances</v>
      </c>
      <c r="AM23" s="13"/>
      <c r="AN23" s="13"/>
      <c r="AO23" s="13"/>
      <c r="AP23" s="13"/>
      <c r="AQ23" s="13"/>
      <c r="AR23" s="13"/>
      <c r="AS23" s="13"/>
      <c r="AT23" s="13"/>
    </row>
    <row r="24" spans="1:46">
      <c r="A24" s="8" t="s">
        <v>247</v>
      </c>
      <c r="B24" s="8" t="s">
        <v>47</v>
      </c>
      <c r="C24" s="8" t="s">
        <v>48</v>
      </c>
      <c r="D24" s="8" t="s">
        <v>1441</v>
      </c>
      <c r="E24" s="8" t="s">
        <v>1697</v>
      </c>
      <c r="F24" s="8" t="s">
        <v>1702</v>
      </c>
      <c r="G24" s="8" t="s">
        <v>1703</v>
      </c>
      <c r="H24" s="42" t="str">
        <f ca="1">IFERROR(__xludf.DUMMYFUNCTION("VLOOKUP(G24, IMPORTRANGE(""https://docs.google.com/spreadsheets/d/14deopnvwcrKtEGCKuYXdUHJbeLDZlkiSSWWT0g7x2pM/edit#gid=849066331"", ""LU List Science (Filter)!A:B""), 2, FALSE)"),"Definition of saturated and unsaturated solutions.")</f>
        <v>Definition of saturated and unsaturated solutions.</v>
      </c>
      <c r="I24" s="10" t="str">
        <f t="shared" si="0"/>
        <v>LU005298.001</v>
      </c>
      <c r="J24" s="10" t="str">
        <f ca="1">IFERROR(__xludf.DUMMYFUNCTION("VLOOKUP(I24, IMPORTRANGE(""https://docs.google.com/spreadsheets/d/1yDAaXNsi4Mr5FtRQL4tbmSdIzhx6_m4wkOD7IG-k_eo/edit#gid=1336395716"", ""Science!M:N""), 2, FALSE)"),"Students will identify definitions of saturated and unsaturated solutions.")</f>
        <v>Students will identify definitions of saturated and unsaturated solutions.</v>
      </c>
      <c r="K24" s="10" t="str">
        <f t="shared" si="1"/>
        <v>LU005298.002</v>
      </c>
      <c r="L24" s="10" t="str">
        <f ca="1">IFERROR(__xludf.DUMMYFUNCTION("VLOOKUP(K24, IMPORTRANGE(""https://docs.google.com/spreadsheets/d/1yDAaXNsi4Mr5FtRQL4tbmSdIzhx6_m4wkOD7IG-k_eo/edit#gid=1336395716"", ""Science!M:N""), 2, FALSE)"),"Students will describe the differences between saturated and unsaturated solutions.")</f>
        <v>Students will describe the differences between saturated and unsaturated solutions.</v>
      </c>
      <c r="M24" s="10" t="str">
        <f t="shared" si="2"/>
        <v>LU005298.003</v>
      </c>
      <c r="N24" s="10" t="str">
        <f ca="1">IFERROR(__xludf.DUMMYFUNCTION("VLOOKUP(M24, IMPORTRANGE(""https://docs.google.com/spreadsheets/d/1yDAaXNsi4Mr5FtRQL4tbmSdIzhx6_m4wkOD7IG-k_eo/edit#gid=1336395716"", ""Science!M:N""), 2, FALSE)"),"Students will demonstrate the process of creating a saturated solution.")</f>
        <v>Students will demonstrate the process of creating a saturated solution.</v>
      </c>
      <c r="O24" s="10" t="str">
        <f t="shared" si="3"/>
        <v>LU005298.004</v>
      </c>
      <c r="P24" s="10" t="str">
        <f ca="1">IFERROR(__xludf.DUMMYFUNCTION("VLOOKUP(O24, IMPORTRANGE(""https://docs.google.com/spreadsheets/d/1yDAaXNsi4Mr5FtRQL4tbmSdIzhx6_m4wkOD7IG-k_eo/edit#gid=1336395716"", ""Science!M:N""), 2, FALSE)"),"Students will analyze the changes in saturation levels when temperature or amount of solute is altered.")</f>
        <v>Students will analyze the changes in saturation levels when temperature or amount of solute is altered.</v>
      </c>
      <c r="Q24" s="10" t="str">
        <f t="shared" si="4"/>
        <v>LU005298.005</v>
      </c>
      <c r="R24" s="10" t="str">
        <f ca="1">IFERROR(__xludf.DUMMYFUNCTION("VLOOKUP(Q24, IMPORTRANGE(""https://docs.google.com/spreadsheets/d/1yDAaXNsi4Mr5FtRQL4tbmSdIzhx6_m4wkOD7IG-k_eo/edit#gid=1336395716"", ""Science!M:N""), 2, FALSE)"),"#N/A")</f>
        <v>#N/A</v>
      </c>
      <c r="S24" s="10" t="str">
        <f t="shared" si="5"/>
        <v>LU005298.006</v>
      </c>
      <c r="T24" s="10" t="str">
        <f ca="1">IFERROR(__xludf.DUMMYFUNCTION("VLOOKUP(S24, IMPORTRANGE(""https://docs.google.com/spreadsheets/d/1yDAaXNsi4Mr5FtRQL4tbmSdIzhx6_m4wkOD7IG-k_eo/edit#gid=1336395716"", ""Science!M:N""), 2, FALSE)"),"#N/A")</f>
        <v>#N/A</v>
      </c>
      <c r="U24" s="38">
        <f ca="1">IFERROR(__xludf.DUMMYFUNCTION("ArrayFormula(VLOOKUP(G24, IMPORTRANGE(""https://docs.google.com/spreadsheets/d/1p7R4vtkWt5VOBim4ltsDG9KTzSjrtKXsMtQGXPHyND0/edit#gid=795171502"", ""'Filter 30_05_2024'!A1:M2000""), {2, 3, 4, 5,6,7,8,9,10,11,12,13}, 0))"),1)</f>
        <v>1</v>
      </c>
      <c r="V24" s="38">
        <f ca="1">IFERROR(__xludf.DUMMYFUNCTION("""COMPUTED_VALUE"""),6)</f>
        <v>6</v>
      </c>
      <c r="W24" s="11">
        <f ca="1">IFERROR(__xludf.DUMMYFUNCTION("""COMPUTED_VALUE"""),2)</f>
        <v>2</v>
      </c>
      <c r="X24" s="11">
        <f ca="1">IFERROR(__xludf.DUMMYFUNCTION("""COMPUTED_VALUE"""),9)</f>
        <v>9</v>
      </c>
      <c r="Y24" s="11">
        <f ca="1">IFERROR(__xludf.DUMMYFUNCTION("""COMPUTED_VALUE"""),3)</f>
        <v>3</v>
      </c>
      <c r="Z24" s="12">
        <f ca="1">IFERROR(__xludf.DUMMYFUNCTION("""COMPUTED_VALUE"""),4)</f>
        <v>4</v>
      </c>
      <c r="AA24" s="12">
        <f ca="1">IFERROR(__xludf.DUMMYFUNCTION("""COMPUTED_VALUE"""),2)</f>
        <v>2</v>
      </c>
      <c r="AB24" s="12">
        <f ca="1">IFERROR(__xludf.DUMMYFUNCTION("""COMPUTED_VALUE"""),9)</f>
        <v>9</v>
      </c>
      <c r="AC24" s="12">
        <f ca="1">IFERROR(__xludf.DUMMYFUNCTION("""COMPUTED_VALUE"""),1)</f>
        <v>1</v>
      </c>
      <c r="AD24" s="12"/>
      <c r="AE24" s="12"/>
      <c r="AF24" s="12">
        <f ca="1">IFERROR(__xludf.DUMMYFUNCTION("""COMPUTED_VALUE"""),1)</f>
        <v>1</v>
      </c>
      <c r="AG24" s="13" t="str">
        <f ca="1">IFERROR(__xludf.DUMMYFUNCTION("ArrayFormula(VLOOKUP(G24, IMPORTRANGE(""https://docs.google.com/spreadsheets/d/1Co934fvtviyaRiMsrIlT05Jaq7iiYq07aLvRr35KA48/edit?gid=173865642#gid=173865642"", ""'G6_Sci_Pri_LU'!G2:V2000""), {3, 4, 5, 6, 7, 8, 9, 10, 11, 12, 13, 14, 15, 16}, 0))"),"LU005317")</f>
        <v>LU005317</v>
      </c>
      <c r="AH24" s="13" t="str">
        <f ca="1">IFERROR(__xludf.DUMMYFUNCTION("""COMPUTED_VALUE"""),"Properties of materials-Solubility in water")</f>
        <v>Properties of materials-Solubility in water</v>
      </c>
      <c r="AI24" s="13"/>
      <c r="AJ24" s="13"/>
      <c r="AK24" s="13"/>
      <c r="AL24" s="13"/>
      <c r="AM24" s="13"/>
      <c r="AN24" s="13"/>
      <c r="AO24" s="13"/>
      <c r="AP24" s="13"/>
      <c r="AQ24" s="13"/>
      <c r="AR24" s="13"/>
      <c r="AS24" s="13"/>
      <c r="AT24" s="13"/>
    </row>
    <row r="25" spans="1:46">
      <c r="A25" s="8" t="s">
        <v>247</v>
      </c>
      <c r="B25" s="8" t="s">
        <v>47</v>
      </c>
      <c r="C25" s="8" t="s">
        <v>48</v>
      </c>
      <c r="D25" s="8" t="s">
        <v>1406</v>
      </c>
      <c r="E25" s="8" t="s">
        <v>1704</v>
      </c>
      <c r="F25" s="8" t="s">
        <v>1705</v>
      </c>
      <c r="G25" s="8" t="s">
        <v>1706</v>
      </c>
      <c r="H25" s="8" t="str">
        <f ca="1">IFERROR(__xludf.DUMMYFUNCTION("VLOOKUP(G25, IMPORTRANGE(""https://docs.google.com/spreadsheets/d/14deopnvwcrKtEGCKuYXdUHJbeLDZlkiSSWWT0g7x2pM/edit#gid=849066331"", ""LU List Science (Filter)!A:B""), 2, FALSE)"),"Parts of a typical plant")</f>
        <v>Parts of a typical plant</v>
      </c>
      <c r="I25" s="10" t="str">
        <f t="shared" si="0"/>
        <v>LU005237.001</v>
      </c>
      <c r="J25" s="10" t="str">
        <f ca="1">IFERROR(__xludf.DUMMYFUNCTION("VLOOKUP(I25, IMPORTRANGE(""https://docs.google.com/spreadsheets/d/1yDAaXNsi4Mr5FtRQL4tbmSdIzhx6_m4wkOD7IG-k_eo/edit#gid=1336395716"", ""Science!M:N""), 2, FALSE)"),"Recall the main parts of a typical plant.")</f>
        <v>Recall the main parts of a typical plant.</v>
      </c>
      <c r="K25" s="10" t="str">
        <f t="shared" si="1"/>
        <v>LU005237.002</v>
      </c>
      <c r="L25" s="10" t="str">
        <f ca="1">IFERROR(__xludf.DUMMYFUNCTION("VLOOKUP(K25, IMPORTRANGE(""https://docs.google.com/spreadsheets/d/1yDAaXNsi4Mr5FtRQL4tbmSdIzhx6_m4wkOD7IG-k_eo/edit#gid=1336395716"", ""Science!M:N""), 2, FALSE)"),"Explain the functions of a typical plant's parts.")</f>
        <v>Explain the functions of a typical plant's parts.</v>
      </c>
      <c r="M25" s="10" t="str">
        <f t="shared" si="2"/>
        <v>LU005237.003</v>
      </c>
      <c r="N25" s="10" t="str">
        <f ca="1">IFERROR(__xludf.DUMMYFUNCTION("VLOOKUP(M25, IMPORTRANGE(""https://docs.google.com/spreadsheets/d/1yDAaXNsi4Mr5FtRQL4tbmSdIzhx6_m4wkOD7IG-k_eo/edit#gid=1336395716"", ""Science!M:N""), 2, FALSE)"),"Apply the understanding of different plant parts in various real-life plant specimens.")</f>
        <v>Apply the understanding of different plant parts in various real-life plant specimens.</v>
      </c>
      <c r="O25" s="10" t="str">
        <f t="shared" si="3"/>
        <v>LU005237.004</v>
      </c>
      <c r="P25" s="10" t="str">
        <f ca="1">IFERROR(__xludf.DUMMYFUNCTION("VLOOKUP(O25, IMPORTRANGE(""https://docs.google.com/spreadsheets/d/1yDAaXNsi4Mr5FtRQL4tbmSdIzhx6_m4wkOD7IG-k_eo/edit#gid=1336395716"", ""Science!M:N""), 2, FALSE)"),"Compare the roles of various parts of a typical plant.")</f>
        <v>Compare the roles of various parts of a typical plant.</v>
      </c>
      <c r="Q25" s="10" t="str">
        <f t="shared" si="4"/>
        <v>LU005237.005</v>
      </c>
      <c r="R25" s="10" t="str">
        <f ca="1">IFERROR(__xludf.DUMMYFUNCTION("VLOOKUP(Q25, IMPORTRANGE(""https://docs.google.com/spreadsheets/d/1yDAaXNsi4Mr5FtRQL4tbmSdIzhx6_m4wkOD7IG-k_eo/edit#gid=1336395716"", ""Science!M:N""), 2, FALSE)"),"Evaluate the importance of each plant part for the overall growth and survival of a plant.")</f>
        <v>Evaluate the importance of each plant part for the overall growth and survival of a plant.</v>
      </c>
      <c r="S25" s="10" t="str">
        <f t="shared" si="5"/>
        <v>LU005237.006</v>
      </c>
      <c r="T25" s="10" t="str">
        <f ca="1">IFERROR(__xludf.DUMMYFUNCTION("VLOOKUP(S25, IMPORTRANGE(""https://docs.google.com/spreadsheets/d/1yDAaXNsi4Mr5FtRQL4tbmSdIzhx6_m4wkOD7IG-k_eo/edit#gid=1336395716"", ""Science!M:N""), 2, FALSE)"),"Design an experiment to investigate the effect of different environmental factors (e.g., light, water, nutrients) on specific plant parts.")</f>
        <v>Design an experiment to investigate the effect of different environmental factors (e.g., light, water, nutrients) on specific plant parts.</v>
      </c>
      <c r="U25" s="11">
        <f ca="1">IFERROR(__xludf.DUMMYFUNCTION("ArrayFormula(VLOOKUP(G25, IMPORTRANGE(""https://docs.google.com/spreadsheets/d/1p7R4vtkWt5VOBim4ltsDG9KTzSjrtKXsMtQGXPHyND0/edit#gid=795171502"", ""'Filter 30_05_2024'!A1:M2000""), {2, 3, 4, 5,6,7,8,9,10,11,12,13}, 0))"),10)</f>
        <v>10</v>
      </c>
      <c r="V25" s="38">
        <f ca="1">IFERROR(__xludf.DUMMYFUNCTION("""COMPUTED_VALUE"""),4)</f>
        <v>4</v>
      </c>
      <c r="W25" s="38">
        <f ca="1">IFERROR(__xludf.DUMMYFUNCTION("""COMPUTED_VALUE"""),1)</f>
        <v>1</v>
      </c>
      <c r="X25" s="11">
        <f ca="1">IFERROR(__xludf.DUMMYFUNCTION("""COMPUTED_VALUE"""),15)</f>
        <v>15</v>
      </c>
      <c r="Y25" s="11">
        <f ca="1">IFERROR(__xludf.DUMMYFUNCTION("""COMPUTED_VALUE"""),7)</f>
        <v>7</v>
      </c>
      <c r="Z25" s="12">
        <f ca="1">IFERROR(__xludf.DUMMYFUNCTION("""COMPUTED_VALUE"""),5)</f>
        <v>5</v>
      </c>
      <c r="AA25" s="12">
        <f ca="1">IFERROR(__xludf.DUMMYFUNCTION("""COMPUTED_VALUE"""),2)</f>
        <v>2</v>
      </c>
      <c r="AB25" s="12">
        <f ca="1">IFERROR(__xludf.DUMMYFUNCTION("""COMPUTED_VALUE"""),14)</f>
        <v>14</v>
      </c>
      <c r="AC25" s="12"/>
      <c r="AD25" s="12"/>
      <c r="AE25" s="12"/>
      <c r="AF25" s="12"/>
      <c r="AG25" s="13" t="str">
        <f ca="1">IFERROR(__xludf.DUMMYFUNCTION("ArrayFormula(VLOOKUP(G25, IMPORTRANGE(""https://docs.google.com/spreadsheets/d/1Co934fvtviyaRiMsrIlT05Jaq7iiYq07aLvRr35KA48/edit?gid=173865642#gid=173865642"", ""'G6_Sci_Pri_LU'!G2:V2000""), {3, 4, 5, 6, 7, 8, 9, 10, 11, 12, 13, 14, 15, 16}, 0))"),"")</f>
        <v/>
      </c>
      <c r="AH25" s="13"/>
      <c r="AI25" s="13"/>
      <c r="AJ25" s="13"/>
      <c r="AK25" s="13"/>
      <c r="AL25" s="13"/>
      <c r="AM25" s="13"/>
      <c r="AN25" s="13"/>
      <c r="AO25" s="13"/>
      <c r="AP25" s="13"/>
      <c r="AQ25" s="13"/>
      <c r="AR25" s="13"/>
      <c r="AS25" s="13"/>
      <c r="AT25" s="13"/>
    </row>
    <row r="26" spans="1:46">
      <c r="A26" s="8" t="s">
        <v>247</v>
      </c>
      <c r="B26" s="8" t="s">
        <v>47</v>
      </c>
      <c r="C26" s="8" t="s">
        <v>48</v>
      </c>
      <c r="D26" s="8" t="s">
        <v>1406</v>
      </c>
      <c r="E26" s="8" t="s">
        <v>1704</v>
      </c>
      <c r="F26" s="8" t="s">
        <v>1705</v>
      </c>
      <c r="G26" s="8" t="s">
        <v>1490</v>
      </c>
      <c r="H26" s="8" t="str">
        <f ca="1">IFERROR(__xludf.DUMMYFUNCTION("VLOOKUP(G26, IMPORTRANGE(""https://docs.google.com/spreadsheets/d/14deopnvwcrKtEGCKuYXdUHJbeLDZlkiSSWWT0g7x2pM/edit#gid=849066331"", ""LU List Science (Filter)!A:B""), 2, FALSE)"),"Herbs, shrubs, trees, and creepers and climbers.")</f>
        <v>Herbs, shrubs, trees, and creepers and climbers.</v>
      </c>
      <c r="I26" s="10" t="str">
        <f t="shared" si="0"/>
        <v>LU005238.001</v>
      </c>
      <c r="J26" s="10" t="str">
        <f ca="1">IFERROR(__xludf.DUMMYFUNCTION("VLOOKUP(I26, IMPORTRANGE(""https://docs.google.com/spreadsheets/d/1yDAaXNsi4Mr5FtRQL4tbmSdIzhx6_m4wkOD7IG-k_eo/edit#gid=1336395716"", ""Science!M:N""), 2, FALSE)"),"Students will list examples of herbs, shrubs, trees, and creepers and climbers.")</f>
        <v>Students will list examples of herbs, shrubs, trees, and creepers and climbers.</v>
      </c>
      <c r="K26" s="10" t="str">
        <f t="shared" si="1"/>
        <v>LU005238.002</v>
      </c>
      <c r="L26" s="10" t="str">
        <f ca="1">IFERROR(__xludf.DUMMYFUNCTION("VLOOKUP(K26, IMPORTRANGE(""https://docs.google.com/spreadsheets/d/1yDAaXNsi4Mr5FtRQL4tbmSdIzhx6_m4wkOD7IG-k_eo/edit#gid=1336395716"", ""Science!M:N""), 2, FALSE)"),"Students will explain the characteristics that distinguish herbs, shrubs, trees, and creepers and climbers.")</f>
        <v>Students will explain the characteristics that distinguish herbs, shrubs, trees, and creepers and climbers.</v>
      </c>
      <c r="M26" s="10" t="str">
        <f t="shared" si="2"/>
        <v>LU005238.003</v>
      </c>
      <c r="N26" s="10" t="str">
        <f ca="1">IFERROR(__xludf.DUMMYFUNCTION("VLOOKUP(M26, IMPORTRANGE(""https://docs.google.com/spreadsheets/d/1yDAaXNsi4Mr5FtRQL4tbmSdIzhx6_m4wkOD7IG-k_eo/edit#gid=1336395716"", ""Science!M:N""), 2, FALSE)"),"Students will classify a variety of local plants into the categories of herbs, shrubs, trees, and creepers and climbers.")</f>
        <v>Students will classify a variety of local plants into the categories of herbs, shrubs, trees, and creepers and climbers.</v>
      </c>
      <c r="O26" s="10" t="str">
        <f t="shared" si="3"/>
        <v>LU005238.004</v>
      </c>
      <c r="P26" s="10" t="str">
        <f ca="1">IFERROR(__xludf.DUMMYFUNCTION("VLOOKUP(O26, IMPORTRANGE(""https://docs.google.com/spreadsheets/d/1yDAaXNsi4Mr5FtRQL4tbmSdIzhx6_m4wkOD7IG-k_eo/edit#gid=1336395716"", ""Science!M:N""), 2, FALSE)"),"Students will compare and contrast the structural differences between herbs, shrubs, trees, and creepers and climbers.")</f>
        <v>Students will compare and contrast the structural differences between herbs, shrubs, trees, and creepers and climbers.</v>
      </c>
      <c r="Q26" s="10" t="str">
        <f t="shared" si="4"/>
        <v>LU005238.005</v>
      </c>
      <c r="R26" s="10" t="str">
        <f ca="1">IFERROR(__xludf.DUMMYFUNCTION("VLOOKUP(Q26, IMPORTRANGE(""https://docs.google.com/spreadsheets/d/1yDAaXNsi4Mr5FtRQL4tbmSdIzhx6_m4wkOD7IG-k_eo/edit#gid=1336395716"", ""Science!M:N""), 2, FALSE)"),"Students will assess the advantages and disadvantages of each plant category in a specific habitat.")</f>
        <v>Students will assess the advantages and disadvantages of each plant category in a specific habitat.</v>
      </c>
      <c r="S26" s="10" t="str">
        <f t="shared" si="5"/>
        <v>LU005238.006</v>
      </c>
      <c r="T26" s="10" t="str">
        <f ca="1">IFERROR(__xludf.DUMMYFUNCTION("VLOOKUP(S26, IMPORTRANGE(""https://docs.google.com/spreadsheets/d/1yDAaXNsi4Mr5FtRQL4tbmSdIzhx6_m4wkOD7IG-k_eo/edit#gid=1336395716"", ""Science!M:N""), 2, FALSE)"),"#N/A")</f>
        <v>#N/A</v>
      </c>
      <c r="U26" s="11">
        <f ca="1">IFERROR(__xludf.DUMMYFUNCTION("ArrayFormula(VLOOKUP(G26, IMPORTRANGE(""https://docs.google.com/spreadsheets/d/1p7R4vtkWt5VOBim4ltsDG9KTzSjrtKXsMtQGXPHyND0/edit#gid=795171502"", ""'Filter 30_05_2024'!A1:M2000""), {2, 3, 4, 5,6,7,8,9,10,11,12,13}, 0))"),19)</f>
        <v>19</v>
      </c>
      <c r="V26" s="11">
        <f ca="1">IFERROR(__xludf.DUMMYFUNCTION("""COMPUTED_VALUE"""),9)</f>
        <v>9</v>
      </c>
      <c r="W26" s="11">
        <f ca="1">IFERROR(__xludf.DUMMYFUNCTION("""COMPUTED_VALUE"""),11)</f>
        <v>11</v>
      </c>
      <c r="X26" s="11">
        <f ca="1">IFERROR(__xludf.DUMMYFUNCTION("""COMPUTED_VALUE"""),39)</f>
        <v>39</v>
      </c>
      <c r="Y26" s="11">
        <f ca="1">IFERROR(__xludf.DUMMYFUNCTION("""COMPUTED_VALUE"""),4)</f>
        <v>4</v>
      </c>
      <c r="Z26" s="12">
        <f ca="1">IFERROR(__xludf.DUMMYFUNCTION("""COMPUTED_VALUE"""),5)</f>
        <v>5</v>
      </c>
      <c r="AA26" s="12">
        <f ca="1">IFERROR(__xludf.DUMMYFUNCTION("""COMPUTED_VALUE"""),4)</f>
        <v>4</v>
      </c>
      <c r="AB26" s="12">
        <f ca="1">IFERROR(__xludf.DUMMYFUNCTION("""COMPUTED_VALUE"""),13)</f>
        <v>13</v>
      </c>
      <c r="AC26" s="12"/>
      <c r="AD26" s="12"/>
      <c r="AE26" s="12"/>
      <c r="AF26" s="12"/>
      <c r="AG26" s="13" t="str">
        <f ca="1">IFERROR(__xludf.DUMMYFUNCTION("ArrayFormula(VLOOKUP(G26, IMPORTRANGE(""https://docs.google.com/spreadsheets/d/1Co934fvtviyaRiMsrIlT05Jaq7iiYq07aLvRr35KA48/edit?gid=173865642#gid=173865642"", ""'G6_Sci_Pri_LU'!G2:V2000""), {3, 4, 5, 6, 7, 8, 9, 10, 11, 12, 13, 14, 15, 16}, 0))"),"LU005237")</f>
        <v>LU005237</v>
      </c>
      <c r="AH26" s="13" t="str">
        <f ca="1">IFERROR(__xludf.DUMMYFUNCTION("""COMPUTED_VALUE"""),"Parts of a typical plant")</f>
        <v>Parts of a typical plant</v>
      </c>
      <c r="AI26" s="13"/>
      <c r="AJ26" s="13"/>
      <c r="AK26" s="13"/>
      <c r="AL26" s="13"/>
      <c r="AM26" s="13"/>
      <c r="AN26" s="13"/>
      <c r="AO26" s="13"/>
      <c r="AP26" s="13"/>
      <c r="AQ26" s="13"/>
      <c r="AR26" s="13"/>
      <c r="AS26" s="13"/>
      <c r="AT26" s="13"/>
    </row>
    <row r="27" spans="1:46">
      <c r="A27" s="8" t="s">
        <v>247</v>
      </c>
      <c r="B27" s="8" t="s">
        <v>47</v>
      </c>
      <c r="C27" s="8" t="s">
        <v>48</v>
      </c>
      <c r="D27" s="8" t="s">
        <v>1406</v>
      </c>
      <c r="E27" s="8" t="s">
        <v>1704</v>
      </c>
      <c r="F27" s="8" t="s">
        <v>1707</v>
      </c>
      <c r="G27" s="8" t="s">
        <v>1708</v>
      </c>
      <c r="H27" s="8" t="str">
        <f ca="1">IFERROR(__xludf.DUMMYFUNCTION("VLOOKUP(G27, IMPORTRANGE(""https://docs.google.com/spreadsheets/d/14deopnvwcrKtEGCKuYXdUHJbeLDZlkiSSWWT0g7x2pM/edit#gid=849066331"", ""LU List Science (Filter)!A:B""), 2, FALSE)"),"Plant's stem structure and functions")</f>
        <v>Plant's stem structure and functions</v>
      </c>
      <c r="I27" s="10" t="str">
        <f t="shared" si="0"/>
        <v>LU005239.001</v>
      </c>
      <c r="J27" s="10" t="str">
        <f ca="1">IFERROR(__xludf.DUMMYFUNCTION("VLOOKUP(I27, IMPORTRANGE(""https://docs.google.com/spreadsheets/d/1yDAaXNsi4Mr5FtRQL4tbmSdIzhx6_m4wkOD7IG-k_eo/edit#gid=1336395716"", ""Science!M:N""), 2, FALSE)"),"Recall the basic definition of a plant's stem and list a few common examples of plants with different types of stems.")</f>
        <v>Recall the basic definition of a plant's stem and list a few common examples of plants with different types of stems.</v>
      </c>
      <c r="K27" s="10" t="str">
        <f t="shared" si="1"/>
        <v>LU005239.002</v>
      </c>
      <c r="L27" s="10" t="str">
        <f ca="1">IFERROR(__xludf.DUMMYFUNCTION("VLOOKUP(K27, IMPORTRANGE(""https://docs.google.com/spreadsheets/d/1yDAaXNsi4Mr5FtRQL4tbmSdIzhx6_m4wkOD7IG-k_eo/edit#gid=1336395716"", ""Science!M:N""), 2, FALSE)"),"Explain the function of a typical plant's stem.")</f>
        <v>Explain the function of a typical plant's stem.</v>
      </c>
      <c r="M27" s="10" t="str">
        <f t="shared" si="2"/>
        <v>LU005239.003</v>
      </c>
      <c r="N27" s="10" t="str">
        <f ca="1">IFERROR(__xludf.DUMMYFUNCTION("VLOOKUP(M27, IMPORTRANGE(""https://docs.google.com/spreadsheets/d/1yDAaXNsi4Mr5FtRQL4tbmSdIzhx6_m4wkOD7IG-k_eo/edit#gid=1336395716"", ""Science!M:N""), 2, FALSE)"),"Demonstrate functions of a typical plant's stem.")</f>
        <v>Demonstrate functions of a typical plant's stem.</v>
      </c>
      <c r="O27" s="10" t="str">
        <f t="shared" si="3"/>
        <v>LU005239.004</v>
      </c>
      <c r="P27" s="10" t="str">
        <f ca="1">IFERROR(__xludf.DUMMYFUNCTION("VLOOKUP(O27, IMPORTRANGE(""https://docs.google.com/spreadsheets/d/1yDAaXNsi4Mr5FtRQL4tbmSdIzhx6_m4wkOD7IG-k_eo/edit#gid=1336395716"", ""Science!M:N""), 2, FALSE)"),"Analyse the significance of a typical plant's stem function and health.")</f>
        <v>Analyse the significance of a typical plant's stem function and health.</v>
      </c>
      <c r="Q27" s="10" t="str">
        <f t="shared" si="4"/>
        <v>LU005239.005</v>
      </c>
      <c r="R27" s="10" t="str">
        <f ca="1">IFERROR(__xludf.DUMMYFUNCTION("VLOOKUP(Q27, IMPORTRANGE(""https://docs.google.com/spreadsheets/d/1yDAaXNsi4Mr5FtRQL4tbmSdIzhx6_m4wkOD7IG-k_eo/edit#gid=1336395716"", ""Science!M:N""), 2, FALSE)"),"Evaluate the consequences of weak or damaged stems on a plant's health.")</f>
        <v>Evaluate the consequences of weak or damaged stems on a plant's health.</v>
      </c>
      <c r="S27" s="10" t="str">
        <f t="shared" si="5"/>
        <v>LU005239.006</v>
      </c>
      <c r="T27" s="10" t="str">
        <f ca="1">IFERROR(__xludf.DUMMYFUNCTION("VLOOKUP(S27, IMPORTRANGE(""https://docs.google.com/spreadsheets/d/1yDAaXNsi4Mr5FtRQL4tbmSdIzhx6_m4wkOD7IG-k_eo/edit#gid=1336395716"", ""Science!M:N""), 2, FALSE)"),"Design an experiment to investigate the effect of light direction on stem growth in plants.")</f>
        <v>Design an experiment to investigate the effect of light direction on stem growth in plants.</v>
      </c>
      <c r="U27" s="11">
        <f ca="1">IFERROR(__xludf.DUMMYFUNCTION("ArrayFormula(VLOOKUP(G27, IMPORTRANGE(""https://docs.google.com/spreadsheets/d/1p7R4vtkWt5VOBim4ltsDG9KTzSjrtKXsMtQGXPHyND0/edit#gid=795171502"", ""'Filter 30_05_2024'!A1:M2000""), {2, 3, 4, 5,6,7,8,9,10,11,12,13}, 0))"),14)</f>
        <v>14</v>
      </c>
      <c r="V27" s="38">
        <f ca="1">IFERROR(__xludf.DUMMYFUNCTION("""COMPUTED_VALUE"""),9)</f>
        <v>9</v>
      </c>
      <c r="W27" s="38">
        <f ca="1">IFERROR(__xludf.DUMMYFUNCTION("""COMPUTED_VALUE"""),2)</f>
        <v>2</v>
      </c>
      <c r="X27" s="11">
        <f ca="1">IFERROR(__xludf.DUMMYFUNCTION("""COMPUTED_VALUE"""),25)</f>
        <v>25</v>
      </c>
      <c r="Y27" s="11">
        <f ca="1">IFERROR(__xludf.DUMMYFUNCTION("""COMPUTED_VALUE"""),4)</f>
        <v>4</v>
      </c>
      <c r="Z27" s="12">
        <f ca="1">IFERROR(__xludf.DUMMYFUNCTION("""COMPUTED_VALUE"""),3)</f>
        <v>3</v>
      </c>
      <c r="AA27" s="12">
        <f ca="1">IFERROR(__xludf.DUMMYFUNCTION("""COMPUTED_VALUE"""),1)</f>
        <v>1</v>
      </c>
      <c r="AB27" s="12">
        <f ca="1">IFERROR(__xludf.DUMMYFUNCTION("""COMPUTED_VALUE"""),8)</f>
        <v>8</v>
      </c>
      <c r="AC27" s="12"/>
      <c r="AD27" s="12"/>
      <c r="AE27" s="12"/>
      <c r="AF27" s="12"/>
      <c r="AG27" s="13" t="str">
        <f ca="1">IFERROR(__xludf.DUMMYFUNCTION("ArrayFormula(VLOOKUP(G27, IMPORTRANGE(""https://docs.google.com/spreadsheets/d/1Co934fvtviyaRiMsrIlT05Jaq7iiYq07aLvRr35KA48/edit?gid=173865642#gid=173865642"", ""'G6_Sci_Pri_LU'!G2:V2000""), {3, 4, 5, 6, 7, 8, 9, 10, 11, 12, 13, 14, 15, 16}, 0))"),"LU005237")</f>
        <v>LU005237</v>
      </c>
      <c r="AH27" s="13" t="str">
        <f ca="1">IFERROR(__xludf.DUMMYFUNCTION("""COMPUTED_VALUE"""),"Parts of a typical plant")</f>
        <v>Parts of a typical plant</v>
      </c>
      <c r="AI27" s="13"/>
      <c r="AJ27" s="13"/>
      <c r="AK27" s="13"/>
      <c r="AL27" s="13"/>
      <c r="AM27" s="13"/>
      <c r="AN27" s="13"/>
      <c r="AO27" s="13"/>
      <c r="AP27" s="13"/>
      <c r="AQ27" s="13"/>
      <c r="AR27" s="13"/>
      <c r="AS27" s="13"/>
      <c r="AT27" s="13"/>
    </row>
    <row r="28" spans="1:46">
      <c r="A28" s="8" t="s">
        <v>247</v>
      </c>
      <c r="B28" s="8" t="s">
        <v>47</v>
      </c>
      <c r="C28" s="8" t="s">
        <v>48</v>
      </c>
      <c r="D28" s="8" t="s">
        <v>1406</v>
      </c>
      <c r="E28" s="8" t="s">
        <v>1704</v>
      </c>
      <c r="F28" s="8" t="s">
        <v>1709</v>
      </c>
      <c r="G28" s="8" t="s">
        <v>1493</v>
      </c>
      <c r="H28" s="8" t="str">
        <f ca="1">IFERROR(__xludf.DUMMYFUNCTION("VLOOKUP(G28, IMPORTRANGE(""https://docs.google.com/spreadsheets/d/14deopnvwcrKtEGCKuYXdUHJbeLDZlkiSSWWT0g7x2pM/edit#gid=849066331"", ""LU List Science (Filter)!A:B""), 2, FALSE)"),"Plant's leaf structure and venation pattern")</f>
        <v>Plant's leaf structure and venation pattern</v>
      </c>
      <c r="I28" s="10" t="str">
        <f t="shared" si="0"/>
        <v>LU005943.001</v>
      </c>
      <c r="J28" s="10" t="str">
        <f ca="1">IFERROR(__xludf.DUMMYFUNCTION("VLOOKUP(I28, IMPORTRANGE(""https://docs.google.com/spreadsheets/d/1yDAaXNsi4Mr5FtRQL4tbmSdIzhx6_m4wkOD7IG-k_eo/edit#gid=1336395716"", ""Science!M:N""), 2, FALSE)"),"Identify/Recall the key parts of a leaf and different venation patterns found in plant leaves.")</f>
        <v>Identify/Recall the key parts of a leaf and different venation patterns found in plant leaves.</v>
      </c>
      <c r="K28" s="10" t="str">
        <f t="shared" si="1"/>
        <v>LU005943.002</v>
      </c>
      <c r="L28" s="10" t="str">
        <f ca="1">IFERROR(__xludf.DUMMYFUNCTION("VLOOKUP(K28, IMPORTRANGE(""https://docs.google.com/spreadsheets/d/1yDAaXNsi4Mr5FtRQL4tbmSdIzhx6_m4wkOD7IG-k_eo/edit#gid=1336395716"", ""Science!M:N""), 2, FALSE)"),"Identify the key parts of a leaf and describe the different venation patterns found in plant leaves.")</f>
        <v>Identify the key parts of a leaf and describe the different venation patterns found in plant leaves.</v>
      </c>
      <c r="M28" s="10" t="str">
        <f t="shared" si="2"/>
        <v>LU005943.003</v>
      </c>
      <c r="N28" s="10" t="str">
        <f ca="1">IFERROR(__xludf.DUMMYFUNCTION("VLOOKUP(M28, IMPORTRANGE(""https://docs.google.com/spreadsheets/d/1yDAaXNsi4Mr5FtRQL4tbmSdIzhx6_m4wkOD7IG-k_eo/edit#gid=1336395716"", ""Science!M:N""), 2, FALSE)"),"Apply knowledge of leaf structure to determine the health of a plant in a given environment.")</f>
        <v>Apply knowledge of leaf structure to determine the health of a plant in a given environment.</v>
      </c>
      <c r="O28" s="10" t="str">
        <f t="shared" si="3"/>
        <v>LU005943.004</v>
      </c>
      <c r="P28" s="10" t="str">
        <f ca="1">IFERROR(__xludf.DUMMYFUNCTION("VLOOKUP(O28, IMPORTRANGE(""https://docs.google.com/spreadsheets/d/1yDAaXNsi4Mr5FtRQL4tbmSdIzhx6_m4wkOD7IG-k_eo/edit#gid=1336395716"", ""Science!M:N""), 2, FALSE)"),"#N/A")</f>
        <v>#N/A</v>
      </c>
      <c r="Q28" s="10" t="str">
        <f t="shared" si="4"/>
        <v>LU005943.005</v>
      </c>
      <c r="R28" s="10" t="str">
        <f ca="1">IFERROR(__xludf.DUMMYFUNCTION("VLOOKUP(Q28, IMPORTRANGE(""https://docs.google.com/spreadsheets/d/1yDAaXNsi4Mr5FtRQL4tbmSdIzhx6_m4wkOD7IG-k_eo/edit#gid=1336395716"", ""Science!M:N""), 2, FALSE)"),"#N/A")</f>
        <v>#N/A</v>
      </c>
      <c r="S28" s="10" t="str">
        <f t="shared" si="5"/>
        <v>LU005943.006</v>
      </c>
      <c r="T28" s="10" t="str">
        <f ca="1">IFERROR(__xludf.DUMMYFUNCTION("VLOOKUP(S28, IMPORTRANGE(""https://docs.google.com/spreadsheets/d/1yDAaXNsi4Mr5FtRQL4tbmSdIzhx6_m4wkOD7IG-k_eo/edit#gid=1336395716"", ""Science!M:N""), 2, FALSE)"),"#N/A")</f>
        <v>#N/A</v>
      </c>
      <c r="U28" s="38">
        <f ca="1">IFERROR(__xludf.DUMMYFUNCTION("ArrayFormula(VLOOKUP(G28, IMPORTRANGE(""https://docs.google.com/spreadsheets/d/1p7R4vtkWt5VOBim4ltsDG9KTzSjrtKXsMtQGXPHyND0/edit#gid=795171502"", ""'Filter 30_05_2024'!A1:M2000""), {2, 3, 4, 5,6,7,8,9,10,11,12,13}, 0))"),3)</f>
        <v>3</v>
      </c>
      <c r="V28" s="38">
        <f ca="1">IFERROR(__xludf.DUMMYFUNCTION("""COMPUTED_VALUE"""),5)</f>
        <v>5</v>
      </c>
      <c r="W28" s="11">
        <f ca="1">IFERROR(__xludf.DUMMYFUNCTION("""COMPUTED_VALUE"""),2)</f>
        <v>2</v>
      </c>
      <c r="X28" s="11">
        <f ca="1">IFERROR(__xludf.DUMMYFUNCTION("""COMPUTED_VALUE"""),10)</f>
        <v>10</v>
      </c>
      <c r="Y28" s="11">
        <f ca="1">IFERROR(__xludf.DUMMYFUNCTION("""COMPUTED_VALUE"""),5)</f>
        <v>5</v>
      </c>
      <c r="Z28" s="12">
        <f ca="1">IFERROR(__xludf.DUMMYFUNCTION("""COMPUTED_VALUE"""),4)</f>
        <v>4</v>
      </c>
      <c r="AA28" s="12">
        <f ca="1">IFERROR(__xludf.DUMMYFUNCTION("""COMPUTED_VALUE"""),1)</f>
        <v>1</v>
      </c>
      <c r="AB28" s="12">
        <f ca="1">IFERROR(__xludf.DUMMYFUNCTION("""COMPUTED_VALUE"""),10)</f>
        <v>10</v>
      </c>
      <c r="AC28" s="12"/>
      <c r="AD28" s="12"/>
      <c r="AE28" s="12"/>
      <c r="AF28" s="12"/>
      <c r="AG28" s="13" t="str">
        <f ca="1">IFERROR(__xludf.DUMMYFUNCTION("ArrayFormula(VLOOKUP(G28, IMPORTRANGE(""https://docs.google.com/spreadsheets/d/1Co934fvtviyaRiMsrIlT05Jaq7iiYq07aLvRr35KA48/edit?gid=173865642#gid=173865642"", ""'G6_Sci_Pri_LU'!G2:V2000""), {3, 4, 5, 6, 7, 8, 9, 10, 11, 12, 13, 14, 15, 16}, 0))"),"LU005237")</f>
        <v>LU005237</v>
      </c>
      <c r="AH28" s="13" t="str">
        <f ca="1">IFERROR(__xludf.DUMMYFUNCTION("""COMPUTED_VALUE"""),"Parts of a typical plant")</f>
        <v>Parts of a typical plant</v>
      </c>
      <c r="AI28" s="13"/>
      <c r="AJ28" s="13"/>
      <c r="AK28" s="13"/>
      <c r="AL28" s="13"/>
      <c r="AM28" s="13"/>
      <c r="AN28" s="13"/>
      <c r="AO28" s="13"/>
      <c r="AP28" s="13"/>
      <c r="AQ28" s="13"/>
      <c r="AR28" s="13"/>
      <c r="AS28" s="13"/>
      <c r="AT28" s="13"/>
    </row>
    <row r="29" spans="1:46">
      <c r="A29" s="8" t="s">
        <v>247</v>
      </c>
      <c r="B29" s="8" t="s">
        <v>47</v>
      </c>
      <c r="C29" s="8" t="s">
        <v>48</v>
      </c>
      <c r="D29" s="8" t="s">
        <v>1406</v>
      </c>
      <c r="E29" s="8" t="s">
        <v>1704</v>
      </c>
      <c r="F29" s="8" t="s">
        <v>1709</v>
      </c>
      <c r="G29" s="117" t="s">
        <v>1710</v>
      </c>
      <c r="H29" s="117" t="str">
        <f ca="1">IFERROR(__xludf.DUMMYFUNCTION("VLOOKUP(G29, IMPORTRANGE(""https://docs.google.com/spreadsheets/d/14deopnvwcrKtEGCKuYXdUHJbeLDZlkiSSWWT0g7x2pM/edit#gid=849066331"", ""LU List Science (Filter)!A:B""), 2, FALSE)"),"Introduction to photosynthesis process in plants")</f>
        <v>Introduction to photosynthesis process in plants</v>
      </c>
      <c r="I29" s="10" t="str">
        <f t="shared" si="0"/>
        <v>LU005944.001</v>
      </c>
      <c r="J29" s="10" t="str">
        <f ca="1">IFERROR(__xludf.DUMMYFUNCTION("VLOOKUP(I29, IMPORTRANGE(""https://docs.google.com/spreadsheets/d/1yDAaXNsi4Mr5FtRQL4tbmSdIzhx6_m4wkOD7IG-k_eo/edit#gid=1336395716"", ""Science!M:N""), 2, FALSE)"),"List the basic requirements for photosynthesis to occur in plants.")</f>
        <v>List the basic requirements for photosynthesis to occur in plants.</v>
      </c>
      <c r="K29" s="10" t="str">
        <f t="shared" si="1"/>
        <v>LU005944.002</v>
      </c>
      <c r="L29" s="10" t="str">
        <f ca="1">IFERROR(__xludf.DUMMYFUNCTION("VLOOKUP(K29, IMPORTRANGE(""https://docs.google.com/spreadsheets/d/1yDAaXNsi4Mr5FtRQL4tbmSdIzhx6_m4wkOD7IG-k_eo/edit#gid=1336395716"", ""Science!M:N""), 2, FALSE)"),"Describe the process of photosynthesis and its purpose in plants.")</f>
        <v>Describe the process of photosynthesis and its purpose in plants.</v>
      </c>
      <c r="M29" s="10" t="str">
        <f t="shared" si="2"/>
        <v>LU005944.003</v>
      </c>
      <c r="N29" s="10" t="str">
        <f ca="1">IFERROR(__xludf.DUMMYFUNCTION("VLOOKUP(M29, IMPORTRANGE(""https://docs.google.com/spreadsheets/d/1yDAaXNsi4Mr5FtRQL4tbmSdIzhx6_m4wkOD7IG-k_eo/edit#gid=1336395716"", ""Science!M:N""), 2, FALSE)"),"Apply the knowledge of photosynthesis to infer why plants need sunlight.")</f>
        <v>Apply the knowledge of photosynthesis to infer why plants need sunlight.</v>
      </c>
      <c r="O29" s="10" t="str">
        <f t="shared" si="3"/>
        <v>LU005944.004</v>
      </c>
      <c r="P29" s="10" t="str">
        <f ca="1">IFERROR(__xludf.DUMMYFUNCTION("VLOOKUP(O29, IMPORTRANGE(""https://docs.google.com/spreadsheets/d/1yDAaXNsi4Mr5FtRQL4tbmSdIzhx6_m4wkOD7IG-k_eo/edit#gid=1336395716"", ""Science!M:N""), 2, FALSE)"),"Analyze the impact of photosynthesis on the life on Earth and the impact of varying light intensities on the rate of photosynthesis.")</f>
        <v>Analyze the impact of photosynthesis on the life on Earth and the impact of varying light intensities on the rate of photosynthesis.</v>
      </c>
      <c r="Q29" s="10" t="str">
        <f t="shared" si="4"/>
        <v>LU005944.005</v>
      </c>
      <c r="R29" s="10" t="str">
        <f ca="1">IFERROR(__xludf.DUMMYFUNCTION("VLOOKUP(Q29, IMPORTRANGE(""https://docs.google.com/spreadsheets/d/1yDAaXNsi4Mr5FtRQL4tbmSdIzhx6_m4wkOD7IG-k_eo/edit#gid=1336395716"", ""Science!M:N""), 2, FALSE)"),"Assess the impact of photosynthesis on the life on Earth.")</f>
        <v>Assess the impact of photosynthesis on the life on Earth.</v>
      </c>
      <c r="S29" s="10" t="str">
        <f t="shared" si="5"/>
        <v>LU005944.006</v>
      </c>
      <c r="T29" s="10" t="str">
        <f ca="1">IFERROR(__xludf.DUMMYFUNCTION("VLOOKUP(S29, IMPORTRANGE(""https://docs.google.com/spreadsheets/d/1yDAaXNsi4Mr5FtRQL4tbmSdIzhx6_m4wkOD7IG-k_eo/edit#gid=1336395716"", ""Science!M:N""), 2, FALSE)"),"Construct a simple experiment to demonstrate the effects of photosynthesis using household materials.")</f>
        <v>Construct a simple experiment to demonstrate the effects of photosynthesis using household materials.</v>
      </c>
      <c r="U29" s="11">
        <f ca="1">IFERROR(__xludf.DUMMYFUNCTION("ArrayFormula(VLOOKUP(G29, IMPORTRANGE(""https://docs.google.com/spreadsheets/d/1p7R4vtkWt5VOBim4ltsDG9KTzSjrtKXsMtQGXPHyND0/edit#gid=795171502"", ""'Filter 30_05_2024'!A1:M2000""), {2, 3, 4, 5,6,7,8,9,10,11,12,13}, 0))"),17)</f>
        <v>17</v>
      </c>
      <c r="V29" s="38">
        <f ca="1">IFERROR(__xludf.DUMMYFUNCTION("""COMPUTED_VALUE"""),6)</f>
        <v>6</v>
      </c>
      <c r="W29" s="11">
        <f ca="1">IFERROR(__xludf.DUMMYFUNCTION("""COMPUTED_VALUE"""),10)</f>
        <v>10</v>
      </c>
      <c r="X29" s="11">
        <f ca="1">IFERROR(__xludf.DUMMYFUNCTION("""COMPUTED_VALUE"""),33)</f>
        <v>33</v>
      </c>
      <c r="Y29" s="11">
        <f ca="1">IFERROR(__xludf.DUMMYFUNCTION("""COMPUTED_VALUE"""),9)</f>
        <v>9</v>
      </c>
      <c r="Z29" s="12">
        <f ca="1">IFERROR(__xludf.DUMMYFUNCTION("""COMPUTED_VALUE"""),4)</f>
        <v>4</v>
      </c>
      <c r="AA29" s="12">
        <f ca="1">IFERROR(__xludf.DUMMYFUNCTION("""COMPUTED_VALUE"""),6)</f>
        <v>6</v>
      </c>
      <c r="AB29" s="12">
        <f ca="1">IFERROR(__xludf.DUMMYFUNCTION("""COMPUTED_VALUE"""),19)</f>
        <v>19</v>
      </c>
      <c r="AC29" s="12"/>
      <c r="AD29" s="12"/>
      <c r="AE29" s="12"/>
      <c r="AF29" s="12"/>
      <c r="AG29" s="13" t="str">
        <f ca="1">IFERROR(__xludf.DUMMYFUNCTION("ArrayFormula(VLOOKUP(G29, IMPORTRANGE(""https://docs.google.com/spreadsheets/d/1Co934fvtviyaRiMsrIlT05Jaq7iiYq07aLvRr35KA48/edit?gid=173865642#gid=173865642"", ""'G6_Sci_Pri_LU'!G2:V2000""), {3, 4, 5, 6, 7, 8, 9, 10, 11, 12, 13, 14, 15, 16}, 0))"),"LU005237")</f>
        <v>LU005237</v>
      </c>
      <c r="AH29" s="13" t="str">
        <f ca="1">IFERROR(__xludf.DUMMYFUNCTION("""COMPUTED_VALUE"""),"Parts of a typical plant")</f>
        <v>Parts of a typical plant</v>
      </c>
      <c r="AI29" s="13" t="str">
        <f ca="1">IFERROR(__xludf.DUMMYFUNCTION("""COMPUTED_VALUE"""),"LU005943")</f>
        <v>LU005943</v>
      </c>
      <c r="AJ29" s="13" t="str">
        <f ca="1">IFERROR(__xludf.DUMMYFUNCTION("""COMPUTED_VALUE"""),"Plant's leaf structure and venation pattern")</f>
        <v>Plant's leaf structure and venation pattern</v>
      </c>
      <c r="AK29" s="13"/>
      <c r="AL29" s="13"/>
      <c r="AM29" s="13"/>
      <c r="AN29" s="13"/>
      <c r="AO29" s="13"/>
      <c r="AP29" s="13"/>
      <c r="AQ29" s="13"/>
      <c r="AR29" s="13"/>
      <c r="AS29" s="13"/>
      <c r="AT29" s="13"/>
    </row>
    <row r="30" spans="1:46">
      <c r="A30" s="8" t="s">
        <v>247</v>
      </c>
      <c r="B30" s="8" t="s">
        <v>47</v>
      </c>
      <c r="C30" s="8" t="s">
        <v>48</v>
      </c>
      <c r="D30" s="8" t="s">
        <v>1406</v>
      </c>
      <c r="E30" s="8" t="s">
        <v>1704</v>
      </c>
      <c r="F30" s="8" t="s">
        <v>1709</v>
      </c>
      <c r="G30" s="8" t="s">
        <v>1711</v>
      </c>
      <c r="H30" s="8" t="str">
        <f ca="1">IFERROR(__xludf.DUMMYFUNCTION("VLOOKUP(G30, IMPORTRANGE(""https://docs.google.com/spreadsheets/d/14deopnvwcrKtEGCKuYXdUHJbeLDZlkiSSWWT0g7x2pM/edit#gid=849066331"", ""LU List Science (Filter)!A:B""), 2, FALSE)"),"Introduction to transpiration process in plants")</f>
        <v>Introduction to transpiration process in plants</v>
      </c>
      <c r="I30" s="10" t="str">
        <f t="shared" si="0"/>
        <v>LU005945.001</v>
      </c>
      <c r="J30" s="10" t="str">
        <f ca="1">IFERROR(__xludf.DUMMYFUNCTION("VLOOKUP(I30, IMPORTRANGE(""https://docs.google.com/spreadsheets/d/1yDAaXNsi4Mr5FtRQL4tbmSdIzhx6_m4wkOD7IG-k_eo/edit#gid=1336395716"", ""Science!M:N""), 2, FALSE)"),"Define transpiration, label the parts of a plant and indicate where transpiration occurs.")</f>
        <v>Define transpiration, label the parts of a plant and indicate where transpiration occurs.</v>
      </c>
      <c r="K30" s="10" t="str">
        <f t="shared" si="1"/>
        <v>LU005945.002</v>
      </c>
      <c r="L30" s="10" t="str">
        <f ca="1">IFERROR(__xludf.DUMMYFUNCTION("VLOOKUP(K30, IMPORTRANGE(""https://docs.google.com/spreadsheets/d/1yDAaXNsi4Mr5FtRQL4tbmSdIzhx6_m4wkOD7IG-k_eo/edit#gid=1336395716"", ""Science!M:N""), 2, FALSE)"),"Summarize how transpiration helps plants maintain water balance.")</f>
        <v>Summarize how transpiration helps plants maintain water balance.</v>
      </c>
      <c r="M30" s="10" t="str">
        <f t="shared" si="2"/>
        <v>LU005945.003</v>
      </c>
      <c r="N30" s="10" t="str">
        <f ca="1">IFERROR(__xludf.DUMMYFUNCTION("VLOOKUP(M30, IMPORTRANGE(""https://docs.google.com/spreadsheets/d/1yDAaXNsi4Mr5FtRQL4tbmSdIzhx6_m4wkOD7IG-k_eo/edit#gid=1336395716"", ""Science!M:N""), 2, FALSE)"),"Predict the outcome of a transpiration experiment involving different environmental conditions.")</f>
        <v>Predict the outcome of a transpiration experiment involving different environmental conditions.</v>
      </c>
      <c r="O30" s="10" t="str">
        <f t="shared" si="3"/>
        <v>LU005945.004</v>
      </c>
      <c r="P30" s="10" t="str">
        <f ca="1">IFERROR(__xludf.DUMMYFUNCTION("VLOOKUP(O30, IMPORTRANGE(""https://docs.google.com/spreadsheets/d/1yDAaXNsi4Mr5FtRQL4tbmSdIzhx6_m4wkOD7IG-k_eo/edit#gid=1336395716"", ""Science!M:N""), 2, FALSE)"),"Infer the rate of transpiration based on observable changes in a simple experiment with a potted plant.")</f>
        <v>Infer the rate of transpiration based on observable changes in a simple experiment with a potted plant.</v>
      </c>
      <c r="Q30" s="10" t="str">
        <f t="shared" si="4"/>
        <v>LU005945.005</v>
      </c>
      <c r="R30" s="10" t="str">
        <f ca="1">IFERROR(__xludf.DUMMYFUNCTION("VLOOKUP(Q30, IMPORTRANGE(""https://docs.google.com/spreadsheets/d/1yDAaXNsi4Mr5FtRQL4tbmSdIzhx6_m4wkOD7IG-k_eo/edit#gid=1336395716"", ""Science!M:N""), 2, FALSE)"),"Evaluate the results of a classroom transpiration experiment to determine factors that increase water loss in plants.")</f>
        <v>Evaluate the results of a classroom transpiration experiment to determine factors that increase water loss in plants.</v>
      </c>
      <c r="S30" s="10" t="str">
        <f t="shared" si="5"/>
        <v>LU005945.006</v>
      </c>
      <c r="T30" s="10" t="str">
        <f ca="1">IFERROR(__xludf.DUMMYFUNCTION("VLOOKUP(S30, IMPORTRANGE(""https://docs.google.com/spreadsheets/d/1yDAaXNsi4Mr5FtRQL4tbmSdIzhx6_m4wkOD7IG-k_eo/edit#gid=1336395716"", ""Science!M:N""), 2, FALSE)"),"Design a simple experiment to test how wind or heat affects transpiration in a leafy twig.")</f>
        <v>Design a simple experiment to test how wind or heat affects transpiration in a leafy twig.</v>
      </c>
      <c r="U30" s="11">
        <f ca="1">IFERROR(__xludf.DUMMYFUNCTION("ArrayFormula(VLOOKUP(G30, IMPORTRANGE(""https://docs.google.com/spreadsheets/d/1p7R4vtkWt5VOBim4ltsDG9KTzSjrtKXsMtQGXPHyND0/edit#gid=795171502"", ""'Filter 30_05_2024'!A1:M2000""), {2, 3, 4, 5,6,7,8,9,10,11,12,13}, 0))"),17)</f>
        <v>17</v>
      </c>
      <c r="V30" s="38">
        <f ca="1">IFERROR(__xludf.DUMMYFUNCTION("""COMPUTED_VALUE"""),6)</f>
        <v>6</v>
      </c>
      <c r="W30" s="38">
        <f ca="1">IFERROR(__xludf.DUMMYFUNCTION("""COMPUTED_VALUE"""),2)</f>
        <v>2</v>
      </c>
      <c r="X30" s="11">
        <f ca="1">IFERROR(__xludf.DUMMYFUNCTION("""COMPUTED_VALUE"""),25)</f>
        <v>25</v>
      </c>
      <c r="Y30" s="11">
        <f ca="1">IFERROR(__xludf.DUMMYFUNCTION("""COMPUTED_VALUE"""),8)</f>
        <v>8</v>
      </c>
      <c r="Z30" s="12">
        <f ca="1">IFERROR(__xludf.DUMMYFUNCTION("""COMPUTED_VALUE"""),3)</f>
        <v>3</v>
      </c>
      <c r="AA30" s="12">
        <f ca="1">IFERROR(__xludf.DUMMYFUNCTION("""COMPUTED_VALUE"""),1)</f>
        <v>1</v>
      </c>
      <c r="AB30" s="12">
        <f ca="1">IFERROR(__xludf.DUMMYFUNCTION("""COMPUTED_VALUE"""),12)</f>
        <v>12</v>
      </c>
      <c r="AC30" s="12"/>
      <c r="AD30" s="12"/>
      <c r="AE30" s="12"/>
      <c r="AF30" s="12"/>
      <c r="AG30" s="13" t="str">
        <f ca="1">IFERROR(__xludf.DUMMYFUNCTION("ArrayFormula(VLOOKUP(G30, IMPORTRANGE(""https://docs.google.com/spreadsheets/d/1Co934fvtviyaRiMsrIlT05Jaq7iiYq07aLvRr35KA48/edit?gid=173865642#gid=173865642"", ""'G6_Sci_Pri_LU'!G2:V2000""), {3, 4, 5, 6, 7, 8, 9, 10, 11, 12, 13, 14, 15, 16}, 0))"),"LU005944")</f>
        <v>LU005944</v>
      </c>
      <c r="AH30" s="13" t="str">
        <f ca="1">IFERROR(__xludf.DUMMYFUNCTION("""COMPUTED_VALUE"""),"Introduction to photosynthesis process in plants")</f>
        <v>Introduction to photosynthesis process in plants</v>
      </c>
      <c r="AI30" s="13" t="str">
        <f ca="1">IFERROR(__xludf.DUMMYFUNCTION("""COMPUTED_VALUE"""),"LU005239")</f>
        <v>LU005239</v>
      </c>
      <c r="AJ30" s="13" t="str">
        <f ca="1">IFERROR(__xludf.DUMMYFUNCTION("""COMPUTED_VALUE"""),"Plant's stem structure and functions")</f>
        <v>Plant's stem structure and functions</v>
      </c>
      <c r="AK30" s="13" t="str">
        <f ca="1">IFERROR(__xludf.DUMMYFUNCTION("""COMPUTED_VALUE"""),"LU005943")</f>
        <v>LU005943</v>
      </c>
      <c r="AL30" s="13" t="str">
        <f ca="1">IFERROR(__xludf.DUMMYFUNCTION("""COMPUTED_VALUE"""),"Plant's leaf structure and venation pattern")</f>
        <v>Plant's leaf structure and venation pattern</v>
      </c>
      <c r="AM30" s="13"/>
      <c r="AN30" s="13"/>
      <c r="AO30" s="13"/>
      <c r="AP30" s="13"/>
      <c r="AQ30" s="13"/>
      <c r="AR30" s="13"/>
      <c r="AS30" s="13"/>
      <c r="AT30" s="13"/>
    </row>
    <row r="31" spans="1:46">
      <c r="A31" s="8" t="s">
        <v>247</v>
      </c>
      <c r="B31" s="8" t="s">
        <v>47</v>
      </c>
      <c r="C31" s="8" t="s">
        <v>48</v>
      </c>
      <c r="D31" s="8" t="s">
        <v>1406</v>
      </c>
      <c r="E31" s="8" t="s">
        <v>1704</v>
      </c>
      <c r="F31" s="8" t="s">
        <v>1712</v>
      </c>
      <c r="G31" s="8" t="s">
        <v>1713</v>
      </c>
      <c r="H31" s="8" t="str">
        <f ca="1">IFERROR(__xludf.DUMMYFUNCTION("VLOOKUP(G31, IMPORTRANGE(""https://docs.google.com/spreadsheets/d/14deopnvwcrKtEGCKuYXdUHJbeLDZlkiSSWWT0g7x2pM/edit#gid=849066331"", ""LU List Science (Filter)!A:B""), 2, FALSE)"),"A typical plant root's function")</f>
        <v>A typical plant root's function</v>
      </c>
      <c r="I31" s="10" t="str">
        <f t="shared" si="0"/>
        <v>LU005946.001</v>
      </c>
      <c r="J31" s="10" t="str">
        <f ca="1">IFERROR(__xludf.DUMMYFUNCTION("VLOOKUP(I31, IMPORTRANGE(""https://docs.google.com/spreadsheets/d/1yDAaXNsi4Mr5FtRQL4tbmSdIzhx6_m4wkOD7IG-k_eo/edit#gid=1336395716"", ""Science!M:N""), 2, FALSE)"),"Recall the primary functions of a typical plant root.")</f>
        <v>Recall the primary functions of a typical plant root.</v>
      </c>
      <c r="K31" s="10" t="str">
        <f t="shared" si="1"/>
        <v>LU005946.002</v>
      </c>
      <c r="L31" s="10" t="str">
        <f ca="1">IFERROR(__xludf.DUMMYFUNCTION("VLOOKUP(K31, IMPORTRANGE(""https://docs.google.com/spreadsheets/d/1yDAaXNsi4Mr5FtRQL4tbmSdIzhx6_m4wkOD7IG-k_eo/edit#gid=1336395716"", ""Science!M:N""), 2, FALSE)"),"Summarize how roots contribute to a plant's overall health and growth.")</f>
        <v>Summarize how roots contribute to a plant's overall health and growth.</v>
      </c>
      <c r="M31" s="10" t="str">
        <f t="shared" si="2"/>
        <v>LU005946.003</v>
      </c>
      <c r="N31" s="10" t="str">
        <f ca="1">IFERROR(__xludf.DUMMYFUNCTION("VLOOKUP(M31, IMPORTRANGE(""https://docs.google.com/spreadsheets/d/1yDAaXNsi4Mr5FtRQL4tbmSdIzhx6_m4wkOD7IG-k_eo/edit#gid=1336395716"", ""Science!M:N""), 2, FALSE)"),"Apply knowledge of root functions to identify problems in a plant's health.")</f>
        <v>Apply knowledge of root functions to identify problems in a plant's health.</v>
      </c>
      <c r="O31" s="10" t="str">
        <f t="shared" si="3"/>
        <v>LU005946.004</v>
      </c>
      <c r="P31" s="10" t="str">
        <f ca="1">IFERROR(__xludf.DUMMYFUNCTION("VLOOKUP(O31, IMPORTRANGE(""https://docs.google.com/spreadsheets/d/1yDAaXNsi4Mr5FtRQL4tbmSdIzhx6_m4wkOD7IG-k_eo/edit#gid=1336395716"", ""Science!M:N""), 2, FALSE)"),"Analyse a given set of information to determine the root functions of a typical plant.")</f>
        <v>Analyse a given set of information to determine the root functions of a typical plant.</v>
      </c>
      <c r="Q31" s="10" t="str">
        <f t="shared" si="4"/>
        <v>LU005946.005</v>
      </c>
      <c r="R31" s="10" t="str">
        <f ca="1">IFERROR(__xludf.DUMMYFUNCTION("VLOOKUP(Q31, IMPORTRANGE(""https://docs.google.com/spreadsheets/d/1yDAaXNsi4Mr5FtRQL4tbmSdIzhx6_m4wkOD7IG-k_eo/edit#gid=1336395716"", ""Science!M:N""), 2, FALSE)"),"Evaluate a given set of information to determine the root functions of a typical plant.")</f>
        <v>Evaluate a given set of information to determine the root functions of a typical plant.</v>
      </c>
      <c r="S31" s="10" t="str">
        <f t="shared" si="5"/>
        <v>LU005946.006</v>
      </c>
      <c r="T31" s="10" t="str">
        <f ca="1">IFERROR(__xludf.DUMMYFUNCTION("VLOOKUP(S31, IMPORTRANGE(""https://docs.google.com/spreadsheets/d/1yDAaXNsi4Mr5FtRQL4tbmSdIzhx6_m4wkOD7IG-k_eo/edit#gid=1336395716"", ""Science!M:N""), 2, FALSE)"),"Design a simple experiment to test the effects of water availability on root development.")</f>
        <v>Design a simple experiment to test the effects of water availability on root development.</v>
      </c>
      <c r="U31" s="38">
        <f ca="1">IFERROR(__xludf.DUMMYFUNCTION("ArrayFormula(VLOOKUP(G31, IMPORTRANGE(""https://docs.google.com/spreadsheets/d/1p7R4vtkWt5VOBim4ltsDG9KTzSjrtKXsMtQGXPHyND0/edit#gid=795171502"", ""'Filter 30_05_2024'!A1:M2000""), {2, 3, 4, 5,6,7,8,9,10,11,12,13}, 0))"),2)</f>
        <v>2</v>
      </c>
      <c r="V31" s="116">
        <f ca="1">IFERROR(__xludf.DUMMYFUNCTION("""COMPUTED_VALUE"""),6)</f>
        <v>6</v>
      </c>
      <c r="W31" s="38">
        <f ca="1">IFERROR(__xludf.DUMMYFUNCTION("""COMPUTED_VALUE"""),2)</f>
        <v>2</v>
      </c>
      <c r="X31" s="11">
        <f ca="1">IFERROR(__xludf.DUMMYFUNCTION("""COMPUTED_VALUE"""),10)</f>
        <v>10</v>
      </c>
      <c r="Y31" s="11">
        <f ca="1">IFERROR(__xludf.DUMMYFUNCTION("""COMPUTED_VALUE"""),5)</f>
        <v>5</v>
      </c>
      <c r="Z31" s="12">
        <f ca="1">IFERROR(__xludf.DUMMYFUNCTION("""COMPUTED_VALUE"""),3)</f>
        <v>3</v>
      </c>
      <c r="AA31" s="12">
        <f ca="1">IFERROR(__xludf.DUMMYFUNCTION("""COMPUTED_VALUE"""),2)</f>
        <v>2</v>
      </c>
      <c r="AB31" s="12">
        <f ca="1">IFERROR(__xludf.DUMMYFUNCTION("""COMPUTED_VALUE"""),10)</f>
        <v>10</v>
      </c>
      <c r="AC31" s="12"/>
      <c r="AD31" s="12"/>
      <c r="AE31" s="12"/>
      <c r="AF31" s="12"/>
      <c r="AG31" s="13" t="str">
        <f ca="1">IFERROR(__xludf.DUMMYFUNCTION("ArrayFormula(VLOOKUP(G31, IMPORTRANGE(""https://docs.google.com/spreadsheets/d/1Co934fvtviyaRiMsrIlT05Jaq7iiYq07aLvRr35KA48/edit?gid=173865642#gid=173865642"", ""'G6_Sci_Pri_LU'!G2:V2000""), {3, 4, 5, 6, 7, 8, 9, 10, 11, 12, 13, 14, 15, 16}, 0))"),"LU005239")</f>
        <v>LU005239</v>
      </c>
      <c r="AH31" s="13" t="str">
        <f ca="1">IFERROR(__xludf.DUMMYFUNCTION("""COMPUTED_VALUE"""),"Plant's stem structure and functions")</f>
        <v>Plant's stem structure and functions</v>
      </c>
      <c r="AI31" s="13" t="str">
        <f ca="1">IFERROR(__xludf.DUMMYFUNCTION("""COMPUTED_VALUE"""),"LU005944")</f>
        <v>LU005944</v>
      </c>
      <c r="AJ31" s="13" t="str">
        <f ca="1">IFERROR(__xludf.DUMMYFUNCTION("""COMPUTED_VALUE"""),"Introduction to photosynthesis process in plants")</f>
        <v>Introduction to photosynthesis process in plants</v>
      </c>
      <c r="AK31" s="13" t="str">
        <f ca="1">IFERROR(__xludf.DUMMYFUNCTION("""COMPUTED_VALUE"""),"LU005945")</f>
        <v>LU005945</v>
      </c>
      <c r="AL31" s="13" t="str">
        <f ca="1">IFERROR(__xludf.DUMMYFUNCTION("""COMPUTED_VALUE"""),"Introduction to transpiration process in plants")</f>
        <v>Introduction to transpiration process in plants</v>
      </c>
      <c r="AM31" s="13"/>
      <c r="AN31" s="13"/>
      <c r="AO31" s="13"/>
      <c r="AP31" s="13"/>
      <c r="AQ31" s="13"/>
      <c r="AR31" s="13"/>
      <c r="AS31" s="13"/>
      <c r="AT31" s="13"/>
    </row>
    <row r="32" spans="1:46">
      <c r="A32" s="8" t="s">
        <v>247</v>
      </c>
      <c r="B32" s="8" t="s">
        <v>47</v>
      </c>
      <c r="C32" s="8" t="s">
        <v>48</v>
      </c>
      <c r="D32" s="8" t="s">
        <v>1406</v>
      </c>
      <c r="E32" s="8" t="s">
        <v>1704</v>
      </c>
      <c r="F32" s="8" t="s">
        <v>1712</v>
      </c>
      <c r="G32" s="8" t="s">
        <v>1495</v>
      </c>
      <c r="H32" s="8" t="str">
        <f ca="1">IFERROR(__xludf.DUMMYFUNCTION("VLOOKUP(G32, IMPORTRANGE(""https://docs.google.com/spreadsheets/d/14deopnvwcrKtEGCKuYXdUHJbeLDZlkiSSWWT0g7x2pM/edit#gid=849066331"", ""LU List Science (Filter)!A:B""), 2, FALSE)"),"Types of plant's root")</f>
        <v>Types of plant's root</v>
      </c>
      <c r="I32" s="10" t="str">
        <f t="shared" si="0"/>
        <v>LU005947.001</v>
      </c>
      <c r="J32" s="10" t="str">
        <f ca="1">IFERROR(__xludf.DUMMYFUNCTION("VLOOKUP(I32, IMPORTRANGE(""https://docs.google.com/spreadsheets/d/1yDAaXNsi4Mr5FtRQL4tbmSdIzhx6_m4wkOD7IG-k_eo/edit#gid=1336395716"", ""Science!M:N""), 2, FALSE)"),"Recall and list the different types of plant roots.")</f>
        <v>Recall and list the different types of plant roots.</v>
      </c>
      <c r="K32" s="10" t="str">
        <f t="shared" si="1"/>
        <v>LU005947.002</v>
      </c>
      <c r="L32" s="10" t="str">
        <f ca="1">IFERROR(__xludf.DUMMYFUNCTION("VLOOKUP(K32, IMPORTRANGE(""https://docs.google.com/spreadsheets/d/1yDAaXNsi4Mr5FtRQL4tbmSdIzhx6_m4wkOD7IG-k_eo/edit#gid=1336395716"", ""Science!M:N""), 2, FALSE)"),"Differentiate between the structures of taproots and fibrous roots.")</f>
        <v>Differentiate between the structures of taproots and fibrous roots.</v>
      </c>
      <c r="M32" s="10" t="str">
        <f t="shared" si="2"/>
        <v>LU005947.003</v>
      </c>
      <c r="N32" s="10" t="str">
        <f ca="1">IFERROR(__xludf.DUMMYFUNCTION("VLOOKUP(M32, IMPORTRANGE(""https://docs.google.com/spreadsheets/d/1yDAaXNsi4Mr5FtRQL4tbmSdIzhx6_m4wkOD7IG-k_eo/edit#gid=1336395716"", ""Science!M:N""), 2, FALSE)"),"Apply knowledge of root types to categorize examples of plants.")</f>
        <v>Apply knowledge of root types to categorize examples of plants.</v>
      </c>
      <c r="O32" s="10" t="str">
        <f t="shared" si="3"/>
        <v>LU005947.004</v>
      </c>
      <c r="P32" s="10" t="str">
        <f ca="1">IFERROR(__xludf.DUMMYFUNCTION("VLOOKUP(O32, IMPORTRANGE(""https://docs.google.com/spreadsheets/d/1yDAaXNsi4Mr5FtRQL4tbmSdIzhx6_m4wkOD7IG-k_eo/edit#gid=1336395716"", ""Science!M:N""), 2, FALSE)"),"#N/A")</f>
        <v>#N/A</v>
      </c>
      <c r="Q32" s="10" t="str">
        <f t="shared" si="4"/>
        <v>LU005947.005</v>
      </c>
      <c r="R32" s="10" t="str">
        <f ca="1">IFERROR(__xludf.DUMMYFUNCTION("VLOOKUP(Q32, IMPORTRANGE(""https://docs.google.com/spreadsheets/d/1yDAaXNsi4Mr5FtRQL4tbmSdIzhx6_m4wkOD7IG-k_eo/edit#gid=1336395716"", ""Science!M:N""), 2, FALSE)"),"#N/A")</f>
        <v>#N/A</v>
      </c>
      <c r="S32" s="10" t="str">
        <f t="shared" si="5"/>
        <v>LU005947.006</v>
      </c>
      <c r="T32" s="10" t="str">
        <f ca="1">IFERROR(__xludf.DUMMYFUNCTION("VLOOKUP(S32, IMPORTRANGE(""https://docs.google.com/spreadsheets/d/1yDAaXNsi4Mr5FtRQL4tbmSdIzhx6_m4wkOD7IG-k_eo/edit#gid=1336395716"", ""Science!M:N""), 2, FALSE)"),"#N/A")</f>
        <v>#N/A</v>
      </c>
      <c r="U32" s="11">
        <f ca="1">IFERROR(__xludf.DUMMYFUNCTION("ArrayFormula(VLOOKUP(G32, IMPORTRANGE(""https://docs.google.com/spreadsheets/d/1p7R4vtkWt5VOBim4ltsDG9KTzSjrtKXsMtQGXPHyND0/edit#gid=795171502"", ""'Filter 30_05_2024'!A1:M2000""), {2, 3, 4, 5,6,7,8,9,10,11,12,13}, 0))"),21)</f>
        <v>21</v>
      </c>
      <c r="V32" s="11">
        <f ca="1">IFERROR(__xludf.DUMMYFUNCTION("""COMPUTED_VALUE"""),13)</f>
        <v>13</v>
      </c>
      <c r="W32" s="38">
        <f ca="1">IFERROR(__xludf.DUMMYFUNCTION("""COMPUTED_VALUE"""),2)</f>
        <v>2</v>
      </c>
      <c r="X32" s="11">
        <f ca="1">IFERROR(__xludf.DUMMYFUNCTION("""COMPUTED_VALUE"""),36)</f>
        <v>36</v>
      </c>
      <c r="Y32" s="11">
        <f ca="1">IFERROR(__xludf.DUMMYFUNCTION("""COMPUTED_VALUE"""),9)</f>
        <v>9</v>
      </c>
      <c r="Z32" s="12">
        <f ca="1">IFERROR(__xludf.DUMMYFUNCTION("""COMPUTED_VALUE"""),7)</f>
        <v>7</v>
      </c>
      <c r="AA32" s="12">
        <f ca="1">IFERROR(__xludf.DUMMYFUNCTION("""COMPUTED_VALUE"""),1)</f>
        <v>1</v>
      </c>
      <c r="AB32" s="12">
        <f ca="1">IFERROR(__xludf.DUMMYFUNCTION("""COMPUTED_VALUE"""),17)</f>
        <v>17</v>
      </c>
      <c r="AC32" s="12"/>
      <c r="AD32" s="12"/>
      <c r="AE32" s="12"/>
      <c r="AF32" s="12"/>
      <c r="AG32" s="13" t="str">
        <f ca="1">IFERROR(__xludf.DUMMYFUNCTION("ArrayFormula(VLOOKUP(G32, IMPORTRANGE(""https://docs.google.com/spreadsheets/d/1Co934fvtviyaRiMsrIlT05Jaq7iiYq07aLvRr35KA48/edit?gid=173865642#gid=173865642"", ""'G6_Sci_Pri_LU'!G2:V2000""), {3, 4, 5, 6, 7, 8, 9, 10, 11, 12, 13, 14, 15, 16}, 0))"),"LU005237")</f>
        <v>LU005237</v>
      </c>
      <c r="AH32" s="13" t="str">
        <f ca="1">IFERROR(__xludf.DUMMYFUNCTION("""COMPUTED_VALUE"""),"Parts of a typical plant")</f>
        <v>Parts of a typical plant</v>
      </c>
      <c r="AI32" s="13"/>
      <c r="AJ32" s="13"/>
      <c r="AK32" s="13"/>
      <c r="AL32" s="13"/>
      <c r="AM32" s="13"/>
      <c r="AN32" s="13"/>
      <c r="AO32" s="13"/>
      <c r="AP32" s="13"/>
      <c r="AQ32" s="13"/>
      <c r="AR32" s="13"/>
      <c r="AS32" s="13"/>
      <c r="AT32" s="13"/>
    </row>
    <row r="33" spans="1:46">
      <c r="A33" s="8" t="s">
        <v>247</v>
      </c>
      <c r="B33" s="8" t="s">
        <v>47</v>
      </c>
      <c r="C33" s="8" t="s">
        <v>48</v>
      </c>
      <c r="D33" s="8" t="s">
        <v>1406</v>
      </c>
      <c r="E33" s="8" t="s">
        <v>1704</v>
      </c>
      <c r="F33" s="8" t="s">
        <v>1714</v>
      </c>
      <c r="G33" s="8" t="s">
        <v>1715</v>
      </c>
      <c r="H33" s="8" t="str">
        <f ca="1">IFERROR(__xludf.DUMMYFUNCTION("VLOOKUP(G33, IMPORTRANGE(""https://docs.google.com/spreadsheets/d/14deopnvwcrKtEGCKuYXdUHJbeLDZlkiSSWWT0g7x2pM/edit#gid=849066331"", ""LU List Science (Filter)!A:B""), 2, FALSE)"),"A typical plant's flower-structure and function")</f>
        <v>A typical plant's flower-structure and function</v>
      </c>
      <c r="I33" s="10" t="str">
        <f t="shared" si="0"/>
        <v>LU005242.001</v>
      </c>
      <c r="J33" s="10" t="str">
        <f ca="1">IFERROR(__xludf.DUMMYFUNCTION("VLOOKUP(I33, IMPORTRANGE(""https://docs.google.com/spreadsheets/d/1yDAaXNsi4Mr5FtRQL4tbmSdIzhx6_m4wkOD7IG-k_eo/edit#gid=1336395716"", ""Science!M:N""), 2, FALSE)"),"Define a typical flower in a plant.")</f>
        <v>Define a typical flower in a plant.</v>
      </c>
      <c r="K33" s="10" t="str">
        <f t="shared" si="1"/>
        <v>LU005242.002</v>
      </c>
      <c r="L33" s="10" t="str">
        <f ca="1">IFERROR(__xludf.DUMMYFUNCTION("VLOOKUP(K33, IMPORTRANGE(""https://docs.google.com/spreadsheets/d/1yDAaXNsi4Mr5FtRQL4tbmSdIzhx6_m4wkOD7IG-k_eo/edit#gid=1336395716"", ""Science!M:N""), 2, FALSE)"),"Give all the functions of a typical flower.")</f>
        <v>Give all the functions of a typical flower.</v>
      </c>
      <c r="M33" s="10" t="str">
        <f t="shared" si="2"/>
        <v>LU005242.003</v>
      </c>
      <c r="N33" s="10" t="str">
        <f ca="1">IFERROR(__xludf.DUMMYFUNCTION("VLOOKUP(M33, IMPORTRANGE(""https://docs.google.com/spreadsheets/d/1yDAaXNsi4Mr5FtRQL4tbmSdIzhx6_m4wkOD7IG-k_eo/edit#gid=1336395716"", ""Science!M:N""), 2, FALSE)"),"Examine a flower specimen and correctly identify its various parts.")</f>
        <v>Examine a flower specimen and correctly identify its various parts.</v>
      </c>
      <c r="O33" s="10" t="str">
        <f t="shared" si="3"/>
        <v>LU005242.004</v>
      </c>
      <c r="P33" s="10" t="str">
        <f ca="1">IFERROR(__xludf.DUMMYFUNCTION("VLOOKUP(O33, IMPORTRANGE(""https://docs.google.com/spreadsheets/d/1yDAaXNsi4Mr5FtRQL4tbmSdIzhx6_m4wkOD7IG-k_eo/edit#gid=1336395716"", ""Science!M:N""), 2, FALSE)"),"Compare the various parts of a flower(using both visual and textual representation).")</f>
        <v>Compare the various parts of a flower(using both visual and textual representation).</v>
      </c>
      <c r="Q33" s="10" t="str">
        <f t="shared" si="4"/>
        <v>LU005242.005</v>
      </c>
      <c r="R33" s="10" t="str">
        <f ca="1">IFERROR(__xludf.DUMMYFUNCTION("VLOOKUP(Q33, IMPORTRANGE(""https://docs.google.com/spreadsheets/d/1yDAaXNsi4Mr5FtRQL4tbmSdIzhx6_m4wkOD7IG-k_eo/edit#gid=1336395716"", ""Science!M:N""), 2, FALSE)"),"Evaluate features of all the main parts and subparts of a typical flower with their functions.")</f>
        <v>Evaluate features of all the main parts and subparts of a typical flower with their functions.</v>
      </c>
      <c r="S33" s="10" t="str">
        <f t="shared" si="5"/>
        <v>LU005242.006</v>
      </c>
      <c r="T33" s="10" t="str">
        <f ca="1">IFERROR(__xludf.DUMMYFUNCTION("VLOOKUP(S33, IMPORTRANGE(""https://docs.google.com/spreadsheets/d/1yDAaXNsi4Mr5FtRQL4tbmSdIzhx6_m4wkOD7IG-k_eo/edit#gid=1336395716"", ""Science!M:N""), 2, FALSE)"),"#N/A")</f>
        <v>#N/A</v>
      </c>
      <c r="U33" s="11">
        <f ca="1">IFERROR(__xludf.DUMMYFUNCTION("ArrayFormula(VLOOKUP(G33, IMPORTRANGE(""https://docs.google.com/spreadsheets/d/1p7R4vtkWt5VOBim4ltsDG9KTzSjrtKXsMtQGXPHyND0/edit#gid=795171502"", ""'Filter 30_05_2024'!A1:M2000""), {2, 3, 4, 5,6,7,8,9,10,11,12,13}, 0))"),21)</f>
        <v>21</v>
      </c>
      <c r="V33" s="11">
        <f ca="1">IFERROR(__xludf.DUMMYFUNCTION("""COMPUTED_VALUE"""),13)</f>
        <v>13</v>
      </c>
      <c r="W33" s="38">
        <f ca="1">IFERROR(__xludf.DUMMYFUNCTION("""COMPUTED_VALUE"""),2)</f>
        <v>2</v>
      </c>
      <c r="X33" s="11">
        <f ca="1">IFERROR(__xludf.DUMMYFUNCTION("""COMPUTED_VALUE"""),36)</f>
        <v>36</v>
      </c>
      <c r="Y33" s="11">
        <f ca="1">IFERROR(__xludf.DUMMYFUNCTION("""COMPUTED_VALUE"""),7)</f>
        <v>7</v>
      </c>
      <c r="Z33" s="12">
        <f ca="1">IFERROR(__xludf.DUMMYFUNCTION("""COMPUTED_VALUE"""),11)</f>
        <v>11</v>
      </c>
      <c r="AA33" s="12">
        <f ca="1">IFERROR(__xludf.DUMMYFUNCTION("""COMPUTED_VALUE"""),1)</f>
        <v>1</v>
      </c>
      <c r="AB33" s="12">
        <f ca="1">IFERROR(__xludf.DUMMYFUNCTION("""COMPUTED_VALUE"""),19)</f>
        <v>19</v>
      </c>
      <c r="AC33" s="12"/>
      <c r="AD33" s="12"/>
      <c r="AE33" s="12"/>
      <c r="AF33" s="12"/>
      <c r="AG33" s="13" t="str">
        <f ca="1">IFERROR(__xludf.DUMMYFUNCTION("ArrayFormula(VLOOKUP(G33, IMPORTRANGE(""https://docs.google.com/spreadsheets/d/1Co934fvtviyaRiMsrIlT05Jaq7iiYq07aLvRr35KA48/edit?gid=173865642#gid=173865642"", ""'G6_Sci_Pri_LU'!G2:V2000""), {3, 4, 5, 6, 7, 8, 9, 10, 11, 12, 13, 14, 15, 16}, 0))"),"LU005237")</f>
        <v>LU005237</v>
      </c>
      <c r="AH33" s="13" t="str">
        <f ca="1">IFERROR(__xludf.DUMMYFUNCTION("""COMPUTED_VALUE"""),"Parts of a typical plant")</f>
        <v>Parts of a typical plant</v>
      </c>
      <c r="AI33" s="13" t="str">
        <f ca="1">IFERROR(__xludf.DUMMYFUNCTION("""COMPUTED_VALUE"""),"LU005943")</f>
        <v>LU005943</v>
      </c>
      <c r="AJ33" s="13" t="str">
        <f ca="1">IFERROR(__xludf.DUMMYFUNCTION("""COMPUTED_VALUE"""),"Plant's leaf structure and venation pattern")</f>
        <v>Plant's leaf structure and venation pattern</v>
      </c>
      <c r="AK33" s="13"/>
      <c r="AL33" s="13"/>
      <c r="AM33" s="13"/>
      <c r="AN33" s="13"/>
      <c r="AO33" s="13"/>
      <c r="AP33" s="13"/>
      <c r="AQ33" s="13"/>
      <c r="AR33" s="13"/>
      <c r="AS33" s="13"/>
      <c r="AT33" s="13"/>
    </row>
    <row r="34" spans="1:46">
      <c r="A34" s="8" t="s">
        <v>247</v>
      </c>
      <c r="B34" s="8" t="s">
        <v>47</v>
      </c>
      <c r="C34" s="8" t="s">
        <v>48</v>
      </c>
      <c r="D34" s="8" t="s">
        <v>1510</v>
      </c>
      <c r="E34" s="8" t="s">
        <v>1716</v>
      </c>
      <c r="F34" s="118" t="s">
        <v>1717</v>
      </c>
      <c r="G34" s="118" t="s">
        <v>1718</v>
      </c>
      <c r="H34" s="118" t="str">
        <f ca="1">IFERROR(__xludf.DUMMYFUNCTION("VLOOKUP(G34, IMPORTRANGE(""https://docs.google.com/spreadsheets/d/14deopnvwcrKtEGCKuYXdUHJbeLDZlkiSSWWT0g7x2pM/edit#gid=849066331"", ""LU List Science (Filter)!A:B""), 2, FALSE)"),"Evolution of Transportation")</f>
        <v>Evolution of Transportation</v>
      </c>
      <c r="I34" s="10" t="str">
        <f t="shared" si="0"/>
        <v>LU005171.001</v>
      </c>
      <c r="J34" s="10" t="str">
        <f ca="1">IFERROR(__xludf.DUMMYFUNCTION("VLOOKUP(I34, IMPORTRANGE(""https://docs.google.com/spreadsheets/d/1yDAaXNsi4Mr5FtRQL4tbmSdIzhx6_m4wkOD7IG-k_eo/edit#gid=1336395716"", ""Science!M:N""), 2, FALSE)"),"Recall the chronological order of transportation advancements.")</f>
        <v>Recall the chronological order of transportation advancements.</v>
      </c>
      <c r="K34" s="10" t="str">
        <f t="shared" si="1"/>
        <v>LU005171.002</v>
      </c>
      <c r="L34" s="10" t="str">
        <f ca="1">IFERROR(__xludf.DUMMYFUNCTION("VLOOKUP(K34, IMPORTRANGE(""https://docs.google.com/spreadsheets/d/1yDAaXNsi4Mr5FtRQL4tbmSdIzhx6_m4wkOD7IG-k_eo/edit#gid=1336395716"", ""Science!M:N""), 2, FALSE)"),"Describe the transition from animal-based to machine-based transport.")</f>
        <v>Describe the transition from animal-based to machine-based transport.</v>
      </c>
      <c r="M34" s="10" t="str">
        <f t="shared" si="2"/>
        <v>LU005171.003</v>
      </c>
      <c r="N34" s="10" t="str">
        <f ca="1">IFERROR(__xludf.DUMMYFUNCTION("VLOOKUP(M34, IMPORTRANGE(""https://docs.google.com/spreadsheets/d/1yDAaXNsi4Mr5FtRQL4tbmSdIzhx6_m4wkOD7IG-k_eo/edit#gid=1336395716"", ""Science!M:N""), 2, FALSE)"),"Illustrate the impact of the wheel's invention on daily life.")</f>
        <v>Illustrate the impact of the wheel's invention on daily life.</v>
      </c>
      <c r="O34" s="10" t="str">
        <f t="shared" si="3"/>
        <v>LU005171.004</v>
      </c>
      <c r="P34" s="10" t="str">
        <f ca="1">IFERROR(__xludf.DUMMYFUNCTION("VLOOKUP(O34, IMPORTRANGE(""https://docs.google.com/spreadsheets/d/1yDAaXNsi4Mr5FtRQL4tbmSdIzhx6_m4wkOD7IG-k_eo/edit#gid=1336395716"", ""Science!M:N""), 2, FALSE)"),"Compare the benefits and drawbacks of different transportation modes.")</f>
        <v>Compare the benefits and drawbacks of different transportation modes.</v>
      </c>
      <c r="Q34" s="10" t="str">
        <f t="shared" si="4"/>
        <v>LU005171.005</v>
      </c>
      <c r="R34" s="10" t="str">
        <f ca="1">IFERROR(__xludf.DUMMYFUNCTION("VLOOKUP(Q34, IMPORTRANGE(""https://docs.google.com/spreadsheets/d/1yDAaXNsi4Mr5FtRQL4tbmSdIzhx6_m4wkOD7IG-k_eo/edit#gid=1336395716"", ""Science!M:N""), 2, FALSE)"),"Assess the environmental impact of modern transportation methods.")</f>
        <v>Assess the environmental impact of modern transportation methods.</v>
      </c>
      <c r="S34" s="10" t="str">
        <f t="shared" si="5"/>
        <v>LU005171.006</v>
      </c>
      <c r="T34" s="10" t="str">
        <f ca="1">IFERROR(__xludf.DUMMYFUNCTION("VLOOKUP(S34, IMPORTRANGE(""https://docs.google.com/spreadsheets/d/1yDAaXNsi4Mr5FtRQL4tbmSdIzhx6_m4wkOD7IG-k_eo/edit#gid=1336395716"", ""Science!M:N""), 2, FALSE)"),"#N/A")</f>
        <v>#N/A</v>
      </c>
      <c r="U34" s="11">
        <f ca="1">IFERROR(__xludf.DUMMYFUNCTION("ArrayFormula(VLOOKUP(G34, IMPORTRANGE(""https://docs.google.com/spreadsheets/d/1p7R4vtkWt5VOBim4ltsDG9KTzSjrtKXsMtQGXPHyND0/edit#gid=795171502"", ""'Filter 30_05_2024'!A1:M2000""), {2, 3, 4, 5,6,7,8,9,10,11,12,13}, 0))"),6)</f>
        <v>6</v>
      </c>
      <c r="V34" s="38">
        <f ca="1">IFERROR(__xludf.DUMMYFUNCTION("""COMPUTED_VALUE"""),5)</f>
        <v>5</v>
      </c>
      <c r="W34" s="11">
        <f ca="1">IFERROR(__xludf.DUMMYFUNCTION("""COMPUTED_VALUE"""),3)</f>
        <v>3</v>
      </c>
      <c r="X34" s="11">
        <f ca="1">IFERROR(__xludf.DUMMYFUNCTION("""COMPUTED_VALUE"""),14)</f>
        <v>14</v>
      </c>
      <c r="Y34" s="11">
        <f ca="1">IFERROR(__xludf.DUMMYFUNCTION("""COMPUTED_VALUE"""),4)</f>
        <v>4</v>
      </c>
      <c r="Z34" s="115">
        <f ca="1">IFERROR(__xludf.DUMMYFUNCTION("""COMPUTED_VALUE"""),2)</f>
        <v>2</v>
      </c>
      <c r="AA34" s="12">
        <f ca="1">IFERROR(__xludf.DUMMYFUNCTION("""COMPUTED_VALUE"""),1)</f>
        <v>1</v>
      </c>
      <c r="AB34" s="12">
        <f ca="1">IFERROR(__xludf.DUMMYFUNCTION("""COMPUTED_VALUE"""),7)</f>
        <v>7</v>
      </c>
      <c r="AC34" s="12"/>
      <c r="AD34" s="12"/>
      <c r="AE34" s="12"/>
      <c r="AF34" s="12"/>
      <c r="AG34" s="13" t="str">
        <f ca="1">IFERROR(__xludf.DUMMYFUNCTION("ArrayFormula(VLOOKUP(G34, IMPORTRANGE(""https://docs.google.com/spreadsheets/d/1Co934fvtviyaRiMsrIlT05Jaq7iiYq07aLvRr35KA48/edit?gid=173865642#gid=173865642"", ""'G6_Sci_Pri_LU'!G2:V2000""), {3, 4, 5, 6, 7, 8, 9, 10, 11, 12, 13, 14, 15, 16}, 0))"),"LU005907")</f>
        <v>LU005907</v>
      </c>
      <c r="AH34" s="13" t="str">
        <f ca="1">IFERROR(__xludf.DUMMYFUNCTION("""COMPUTED_VALUE"""),"Identifying and categorizing different types of transportation ")</f>
        <v xml:space="preserve">Identifying and categorizing different types of transportation </v>
      </c>
      <c r="AI34" s="13"/>
      <c r="AJ34" s="13"/>
      <c r="AK34" s="13"/>
      <c r="AL34" s="13"/>
      <c r="AM34" s="13"/>
      <c r="AN34" s="13"/>
      <c r="AO34" s="13"/>
      <c r="AP34" s="13"/>
      <c r="AQ34" s="13"/>
      <c r="AR34" s="13"/>
      <c r="AS34" s="13"/>
      <c r="AT34" s="13"/>
    </row>
    <row r="35" spans="1:46">
      <c r="A35" s="8" t="s">
        <v>247</v>
      </c>
      <c r="B35" s="8" t="s">
        <v>47</v>
      </c>
      <c r="C35" s="8" t="s">
        <v>48</v>
      </c>
      <c r="D35" s="8" t="s">
        <v>1510</v>
      </c>
      <c r="E35" s="8" t="s">
        <v>1716</v>
      </c>
      <c r="F35" s="118" t="s">
        <v>1717</v>
      </c>
      <c r="G35" s="118" t="s">
        <v>1719</v>
      </c>
      <c r="H35" s="118" t="str">
        <f ca="1">IFERROR(__xludf.DUMMYFUNCTION("VLOOKUP(G35, IMPORTRANGE(""https://docs.google.com/spreadsheets/d/14deopnvwcrKtEGCKuYXdUHJbeLDZlkiSSWWT0g7x2pM/edit#gid=849066331"", ""LU List Science (Filter)!A:B""), 2, FALSE)"),"Importance of Distance and Measurement")</f>
        <v>Importance of Distance and Measurement</v>
      </c>
      <c r="I35" s="10" t="str">
        <f t="shared" si="0"/>
        <v>LU005181.001</v>
      </c>
      <c r="J35" s="10" t="str">
        <f ca="1">IFERROR(__xludf.DUMMYFUNCTION("VLOOKUP(I35, IMPORTRANGE(""https://docs.google.com/spreadsheets/d/1yDAaXNsi4Mr5FtRQL4tbmSdIzhx6_m4wkOD7IG-k_eo/edit#gid=1336395716"", ""Science!M:N""), 2, FALSE)"),"List common uses of distance measurement in everyday life.")</f>
        <v>List common uses of distance measurement in everyday life.</v>
      </c>
      <c r="K35" s="10" t="str">
        <f t="shared" si="1"/>
        <v>LU005181.002</v>
      </c>
      <c r="L35" s="10" t="str">
        <f ca="1">IFERROR(__xludf.DUMMYFUNCTION("VLOOKUP(K35, IMPORTRANGE(""https://docs.google.com/spreadsheets/d/1yDAaXNsi4Mr5FtRQL4tbmSdIzhx6_m4wkOD7IG-k_eo/edit#gid=1336395716"", ""Science!M:N""), 2, FALSE)"),"Explain why distance measurement is crucial in certain professions.")</f>
        <v>Explain why distance measurement is crucial in certain professions.</v>
      </c>
      <c r="M35" s="10" t="str">
        <f t="shared" si="2"/>
        <v>LU005181.003</v>
      </c>
      <c r="N35" s="10" t="str">
        <f ca="1">IFERROR(__xludf.DUMMYFUNCTION("VLOOKUP(M35, IMPORTRANGE(""https://docs.google.com/spreadsheets/d/1yDAaXNsi4Mr5FtRQL4tbmSdIzhx6_m4wkOD7IG-k_eo/edit#gid=1336395716"", ""Science!M:N""), 2, FALSE)"),"Determine transportation mode based on distance.")</f>
        <v>Determine transportation mode based on distance.</v>
      </c>
      <c r="O35" s="10" t="str">
        <f t="shared" si="3"/>
        <v>LU005181.004</v>
      </c>
      <c r="P35" s="10" t="str">
        <f ca="1">IFERROR(__xludf.DUMMYFUNCTION("VLOOKUP(O35, IMPORTRANGE(""https://docs.google.com/spreadsheets/d/1yDAaXNsi4Mr5FtRQL4tbmSdIzhx6_m4wkOD7IG-k_eo/edit#gid=1336395716"", ""Science!M:N""), 2, FALSE)"),"Differentiate between scenarios requiring precise vs. approximate measurements.")</f>
        <v>Differentiate between scenarios requiring precise vs. approximate measurements.</v>
      </c>
      <c r="Q35" s="10" t="str">
        <f t="shared" si="4"/>
        <v>LU005181.005</v>
      </c>
      <c r="R35" s="10" t="str">
        <f ca="1">IFERROR(__xludf.DUMMYFUNCTION("VLOOKUP(Q35, IMPORTRANGE(""https://docs.google.com/spreadsheets/d/1yDAaXNsi4Mr5FtRQL4tbmSdIzhx6_m4wkOD7IG-k_eo/edit#gid=1336395716"", ""Science!M:N""), 2, FALSE)"),"Evaluate the significance of accurate distance measurement in various everyday situations, illustrating its impact on daily life.")</f>
        <v>Evaluate the significance of accurate distance measurement in various everyday situations, illustrating its impact on daily life.</v>
      </c>
      <c r="S35" s="10" t="str">
        <f t="shared" si="5"/>
        <v>LU005181.006</v>
      </c>
      <c r="T35" s="10" t="str">
        <f ca="1">IFERROR(__xludf.DUMMYFUNCTION("VLOOKUP(S35, IMPORTRANGE(""https://docs.google.com/spreadsheets/d/1yDAaXNsi4Mr5FtRQL4tbmSdIzhx6_m4wkOD7IG-k_eo/edit#gid=1336395716"", ""Science!M:N""), 2, FALSE)"),"#N/A")</f>
        <v>#N/A</v>
      </c>
      <c r="U35" s="11">
        <f ca="1">IFERROR(__xludf.DUMMYFUNCTION("ArrayFormula(VLOOKUP(G35, IMPORTRANGE(""https://docs.google.com/spreadsheets/d/1p7R4vtkWt5VOBim4ltsDG9KTzSjrtKXsMtQGXPHyND0/edit#gid=795171502"", ""'Filter 30_05_2024'!A1:M2000""), {2, 3, 4, 5,6,7,8,9,10,11,12,13}, 0))"),4)</f>
        <v>4</v>
      </c>
      <c r="V35" s="11">
        <f ca="1">IFERROR(__xludf.DUMMYFUNCTION("""COMPUTED_VALUE"""),8)</f>
        <v>8</v>
      </c>
      <c r="W35" s="11">
        <f ca="1">IFERROR(__xludf.DUMMYFUNCTION("""COMPUTED_VALUE"""),2)</f>
        <v>2</v>
      </c>
      <c r="X35" s="11">
        <f ca="1">IFERROR(__xludf.DUMMYFUNCTION("""COMPUTED_VALUE"""),14)</f>
        <v>14</v>
      </c>
      <c r="Y35" s="11">
        <f ca="1">IFERROR(__xludf.DUMMYFUNCTION("""COMPUTED_VALUE"""),4)</f>
        <v>4</v>
      </c>
      <c r="Z35" s="12">
        <f ca="1">IFERROR(__xludf.DUMMYFUNCTION("""COMPUTED_VALUE"""),3)</f>
        <v>3</v>
      </c>
      <c r="AA35" s="12">
        <f ca="1">IFERROR(__xludf.DUMMYFUNCTION("""COMPUTED_VALUE"""),1)</f>
        <v>1</v>
      </c>
      <c r="AB35" s="12">
        <f ca="1">IFERROR(__xludf.DUMMYFUNCTION("""COMPUTED_VALUE"""),8)</f>
        <v>8</v>
      </c>
      <c r="AC35" s="12"/>
      <c r="AD35" s="12"/>
      <c r="AE35" s="12"/>
      <c r="AF35" s="12"/>
      <c r="AG35" s="13" t="str">
        <f ca="1">IFERROR(__xludf.DUMMYFUNCTION("ArrayFormula(VLOOKUP(G35, IMPORTRANGE(""https://docs.google.com/spreadsheets/d/1Co934fvtviyaRiMsrIlT05Jaq7iiYq07aLvRr35KA48/edit?gid=173865642#gid=173865642"", ""'G6_Sci_Pri_LU'!G2:V2000""), {3, 4, 5, 6, 7, 8, 9, 10, 11, 12, 13, 14, 15, 16}, 0))"),"")</f>
        <v/>
      </c>
      <c r="AH35" s="13"/>
      <c r="AI35" s="13"/>
      <c r="AJ35" s="13"/>
      <c r="AK35" s="13"/>
      <c r="AL35" s="13"/>
      <c r="AM35" s="13"/>
      <c r="AN35" s="13"/>
      <c r="AO35" s="13"/>
      <c r="AP35" s="13"/>
      <c r="AQ35" s="13"/>
      <c r="AR35" s="13"/>
      <c r="AS35" s="13"/>
      <c r="AT35" s="13"/>
    </row>
    <row r="36" spans="1:46">
      <c r="A36" s="8" t="s">
        <v>247</v>
      </c>
      <c r="B36" s="8" t="s">
        <v>47</v>
      </c>
      <c r="C36" s="8" t="s">
        <v>48</v>
      </c>
      <c r="D36" s="8" t="s">
        <v>1510</v>
      </c>
      <c r="E36" s="8" t="s">
        <v>1716</v>
      </c>
      <c r="F36" s="118" t="s">
        <v>1720</v>
      </c>
      <c r="G36" s="118" t="s">
        <v>1513</v>
      </c>
      <c r="H36" s="118" t="str">
        <f ca="1">IFERROR(__xludf.DUMMYFUNCTION("VLOOKUP(G36, IMPORTRANGE(""https://docs.google.com/spreadsheets/d/14deopnvwcrKtEGCKuYXdUHJbeLDZlkiSSWWT0g7x2pM/edit#gid=849066331"", ""LU List Science (Filter)!A:B""), 2, FALSE)"),"Measurement of length using non-standard devices")</f>
        <v>Measurement of length using non-standard devices</v>
      </c>
      <c r="I36" s="10" t="str">
        <f t="shared" si="0"/>
        <v>LU005928.001</v>
      </c>
      <c r="J36" s="10" t="str">
        <f ca="1">IFERROR(__xludf.DUMMYFUNCTION("VLOOKUP(I36, IMPORTRANGE(""https://docs.google.com/spreadsheets/d/1yDAaXNsi4Mr5FtRQL4tbmSdIzhx6_m4wkOD7IG-k_eo/edit#gid=1336395716"", ""Science!M:N""), 2, FALSE)"),"Recall the names of non-standard devices used for measuring length.")</f>
        <v>Recall the names of non-standard devices used for measuring length.</v>
      </c>
      <c r="K36" s="10" t="str">
        <f t="shared" si="1"/>
        <v>LU005928.002</v>
      </c>
      <c r="L36" s="10" t="str">
        <f ca="1">IFERROR(__xludf.DUMMYFUNCTION("VLOOKUP(K36, IMPORTRANGE(""https://docs.google.com/spreadsheets/d/1yDAaXNsi4Mr5FtRQL4tbmSdIzhx6_m4wkOD7IG-k_eo/edit#gid=1336395716"", ""Science!M:N""), 2, FALSE)"),"Explain the principles behind the operation of non-standard devices for length measurement.")</f>
        <v>Explain the principles behind the operation of non-standard devices for length measurement.</v>
      </c>
      <c r="M36" s="10" t="str">
        <f t="shared" si="2"/>
        <v>LU005928.003</v>
      </c>
      <c r="N36" s="10" t="str">
        <f ca="1">IFERROR(__xludf.DUMMYFUNCTION("VLOOKUP(M36, IMPORTRANGE(""https://docs.google.com/spreadsheets/d/1yDAaXNsi4Mr5FtRQL4tbmSdIzhx6_m4wkOD7IG-k_eo/edit#gid=1336395716"", ""Science!M:N""), 2, FALSE)"),"Utilize non-standard devices to measure the length of objects accurately.")</f>
        <v>Utilize non-standard devices to measure the length of objects accurately.</v>
      </c>
      <c r="O36" s="10" t="str">
        <f t="shared" si="3"/>
        <v>LU005928.004</v>
      </c>
      <c r="P36" s="10" t="str">
        <f ca="1">IFERROR(__xludf.DUMMYFUNCTION("VLOOKUP(O36, IMPORTRANGE(""https://docs.google.com/spreadsheets/d/1yDAaXNsi4Mr5FtRQL4tbmSdIzhx6_m4wkOD7IG-k_eo/edit#gid=1336395716"", ""Science!M:N""), 2, FALSE)"),"Examine the advantages and limitations of measuring length using non-standard devices.")</f>
        <v>Examine the advantages and limitations of measuring length using non-standard devices.</v>
      </c>
      <c r="Q36" s="10" t="str">
        <f t="shared" si="4"/>
        <v>LU005928.005</v>
      </c>
      <c r="R36" s="10" t="str">
        <f ca="1">IFERROR(__xludf.DUMMYFUNCTION("VLOOKUP(Q36, IMPORTRANGE(""https://docs.google.com/spreadsheets/d/1yDAaXNsi4Mr5FtRQL4tbmSdIzhx6_m4wkOD7IG-k_eo/edit#gid=1336395716"", ""Science!M:N""), 2, FALSE)"),"Assess the suitability of non-standard devices for different measurement tasks.")</f>
        <v>Assess the suitability of non-standard devices for different measurement tasks.</v>
      </c>
      <c r="S36" s="10" t="str">
        <f t="shared" si="5"/>
        <v>LU005928.006</v>
      </c>
      <c r="T36" s="10" t="str">
        <f ca="1">IFERROR(__xludf.DUMMYFUNCTION("VLOOKUP(S36, IMPORTRANGE(""https://docs.google.com/spreadsheets/d/1yDAaXNsi4Mr5FtRQL4tbmSdIzhx6_m4wkOD7IG-k_eo/edit#gid=1336395716"", ""Science!M:N""), 2, FALSE)"),"#N/A")</f>
        <v>#N/A</v>
      </c>
      <c r="U36" s="11">
        <f ca="1">IFERROR(__xludf.DUMMYFUNCTION("ArrayFormula(VLOOKUP(G36, IMPORTRANGE(""https://docs.google.com/spreadsheets/d/1p7R4vtkWt5VOBim4ltsDG9KTzSjrtKXsMtQGXPHyND0/edit#gid=795171502"", ""'Filter 30_05_2024'!A1:M2000""), {2, 3, 4, 5,6,7,8,9,10,11,12,13}, 0))"),4)</f>
        <v>4</v>
      </c>
      <c r="V36" s="11">
        <f ca="1">IFERROR(__xludf.DUMMYFUNCTION("""COMPUTED_VALUE"""),15)</f>
        <v>15</v>
      </c>
      <c r="W36" s="11">
        <f ca="1">IFERROR(__xludf.DUMMYFUNCTION("""COMPUTED_VALUE"""),2)</f>
        <v>2</v>
      </c>
      <c r="X36" s="11">
        <f ca="1">IFERROR(__xludf.DUMMYFUNCTION("""COMPUTED_VALUE"""),21)</f>
        <v>21</v>
      </c>
      <c r="Y36" s="11">
        <f ca="1">IFERROR(__xludf.DUMMYFUNCTION("""COMPUTED_VALUE"""),4)</f>
        <v>4</v>
      </c>
      <c r="Z36" s="12">
        <f ca="1">IFERROR(__xludf.DUMMYFUNCTION("""COMPUTED_VALUE"""),5)</f>
        <v>5</v>
      </c>
      <c r="AA36" s="12">
        <f ca="1">IFERROR(__xludf.DUMMYFUNCTION("""COMPUTED_VALUE"""),1)</f>
        <v>1</v>
      </c>
      <c r="AB36" s="12">
        <f ca="1">IFERROR(__xludf.DUMMYFUNCTION("""COMPUTED_VALUE"""),10)</f>
        <v>10</v>
      </c>
      <c r="AC36" s="12"/>
      <c r="AD36" s="12"/>
      <c r="AE36" s="12"/>
      <c r="AF36" s="12"/>
      <c r="AG36" s="13" t="str">
        <f ca="1">IFERROR(__xludf.DUMMYFUNCTION("ArrayFormula(VLOOKUP(G36, IMPORTRANGE(""https://docs.google.com/spreadsheets/d/1Co934fvtviyaRiMsrIlT05Jaq7iiYq07aLvRr35KA48/edit?gid=173865642#gid=173865642"", ""'G6_Sci_Pri_LU'!G2:V2000""), {3, 4, 5, 6, 7, 8, 9, 10, 11, 12, 13, 14, 15, 16}, 0))"),"LU005181")</f>
        <v>LU005181</v>
      </c>
      <c r="AH36" s="13" t="str">
        <f ca="1">IFERROR(__xludf.DUMMYFUNCTION("""COMPUTED_VALUE"""),"Importance of Distance and Measurement")</f>
        <v>Importance of Distance and Measurement</v>
      </c>
      <c r="AI36" s="13"/>
      <c r="AJ36" s="13"/>
      <c r="AK36" s="13"/>
      <c r="AL36" s="13"/>
      <c r="AM36" s="13"/>
      <c r="AN36" s="13"/>
      <c r="AO36" s="13"/>
      <c r="AP36" s="13"/>
      <c r="AQ36" s="13"/>
      <c r="AR36" s="13"/>
      <c r="AS36" s="13"/>
      <c r="AT36" s="13"/>
    </row>
    <row r="37" spans="1:46">
      <c r="A37" s="8" t="s">
        <v>247</v>
      </c>
      <c r="B37" s="8" t="s">
        <v>47</v>
      </c>
      <c r="C37" s="8" t="s">
        <v>48</v>
      </c>
      <c r="D37" s="8" t="s">
        <v>1510</v>
      </c>
      <c r="E37" s="8" t="s">
        <v>1716</v>
      </c>
      <c r="F37" s="118" t="s">
        <v>1720</v>
      </c>
      <c r="G37" s="118" t="s">
        <v>1515</v>
      </c>
      <c r="H37" s="118" t="str">
        <f ca="1">IFERROR(__xludf.DUMMYFUNCTION("VLOOKUP(G37, IMPORTRANGE(""https://docs.google.com/spreadsheets/d/14deopnvwcrKtEGCKuYXdUHJbeLDZlkiSSWWT0g7x2pM/edit#gid=849066331"", ""LU List Science (Filter)!A:B""), 2, FALSE)"),"Limitation of Measuring length using non-standard devices")</f>
        <v>Limitation of Measuring length using non-standard devices</v>
      </c>
      <c r="I37" s="10" t="str">
        <f t="shared" si="0"/>
        <v>LU005929.001</v>
      </c>
      <c r="J37" s="10" t="str">
        <f ca="1">IFERROR(__xludf.DUMMYFUNCTION("VLOOKUP(I37, IMPORTRANGE(""https://docs.google.com/spreadsheets/d/1yDAaXNsi4Mr5FtRQL4tbmSdIzhx6_m4wkOD7IG-k_eo/edit#gid=1336395716"", ""Science!M:N""), 2, FALSE)"),"List the limitations associated with using non-standard devices for length measurement.")</f>
        <v>List the limitations associated with using non-standard devices for length measurement.</v>
      </c>
      <c r="K37" s="10" t="str">
        <f t="shared" si="1"/>
        <v>LU005929.002</v>
      </c>
      <c r="L37" s="10" t="str">
        <f ca="1">IFERROR(__xludf.DUMMYFUNCTION("VLOOKUP(K37, IMPORTRANGE(""https://docs.google.com/spreadsheets/d/1yDAaXNsi4Mr5FtRQL4tbmSdIzhx6_m4wkOD7IG-k_eo/edit#gid=1336395716"", ""Science!M:N""), 2, FALSE)"),"Describe how variations in non-standard devices can impact the accuracy of length measurements.")</f>
        <v>Describe how variations in non-standard devices can impact the accuracy of length measurements.</v>
      </c>
      <c r="M37" s="10" t="str">
        <f t="shared" si="2"/>
        <v>LU005929.003</v>
      </c>
      <c r="N37" s="10" t="str">
        <f ca="1">IFERROR(__xludf.DUMMYFUNCTION("VLOOKUP(M37, IMPORTRANGE(""https://docs.google.com/spreadsheets/d/1yDAaXNsi4Mr5FtRQL4tbmSdIzhx6_m4wkOD7IG-k_eo/edit#gid=1336395716"", ""Science!M:N""), 2, FALSE)"),"Utilize knowledge of limitations to evaluate the reliability of length measurements obtained with non-standard devices.")</f>
        <v>Utilize knowledge of limitations to evaluate the reliability of length measurements obtained with non-standard devices.</v>
      </c>
      <c r="O37" s="10" t="str">
        <f t="shared" si="3"/>
        <v>LU005929.004</v>
      </c>
      <c r="P37" s="10" t="str">
        <f ca="1">IFERROR(__xludf.DUMMYFUNCTION("VLOOKUP(O37, IMPORTRANGE(""https://docs.google.com/spreadsheets/d/1yDAaXNsi4Mr5FtRQL4tbmSdIzhx6_m4wkOD7IG-k_eo/edit#gid=1336395716"", ""Science!M:N""), 2, FALSE)"),"Examine scenarios where the use of non-standard devices may result in inaccurate length measurements.")</f>
        <v>Examine scenarios where the use of non-standard devices may result in inaccurate length measurements.</v>
      </c>
      <c r="Q37" s="10" t="str">
        <f t="shared" si="4"/>
        <v>LU005929.005</v>
      </c>
      <c r="R37" s="10" t="str">
        <f ca="1">IFERROR(__xludf.DUMMYFUNCTION("VLOOKUP(Q37, IMPORTRANGE(""https://docs.google.com/spreadsheets/d/1yDAaXNsi4Mr5FtRQL4tbmSdIzhx6_m4wkOD7IG-k_eo/edit#gid=1336395716"", ""Science!M:N""), 2, FALSE)"),"Assess the practical constraints and challenges of relying solely on non-standard measuring methods.")</f>
        <v>Assess the practical constraints and challenges of relying solely on non-standard measuring methods.</v>
      </c>
      <c r="S37" s="10" t="str">
        <f t="shared" si="5"/>
        <v>LU005929.006</v>
      </c>
      <c r="T37" s="10" t="str">
        <f ca="1">IFERROR(__xludf.DUMMYFUNCTION("VLOOKUP(S37, IMPORTRANGE(""https://docs.google.com/spreadsheets/d/1yDAaXNsi4Mr5FtRQL4tbmSdIzhx6_m4wkOD7IG-k_eo/edit#gid=1336395716"", ""Science!M:N""), 2, FALSE)"),"#N/A")</f>
        <v>#N/A</v>
      </c>
      <c r="U37" s="11">
        <f ca="1">IFERROR(__xludf.DUMMYFUNCTION("ArrayFormula(VLOOKUP(G37, IMPORTRANGE(""https://docs.google.com/spreadsheets/d/1p7R4vtkWt5VOBim4ltsDG9KTzSjrtKXsMtQGXPHyND0/edit#gid=795171502"", ""'Filter 30_05_2024'!A1:M2000""), {2, 3, 4, 5,6,7,8,9,10,11,12,13}, 0))"),6)</f>
        <v>6</v>
      </c>
      <c r="V37" s="38">
        <f ca="1">IFERROR(__xludf.DUMMYFUNCTION("""COMPUTED_VALUE"""),4)</f>
        <v>4</v>
      </c>
      <c r="W37" s="38"/>
      <c r="X37" s="11">
        <f ca="1">IFERROR(__xludf.DUMMYFUNCTION("""COMPUTED_VALUE"""),10)</f>
        <v>10</v>
      </c>
      <c r="Y37" s="11">
        <f ca="1">IFERROR(__xludf.DUMMYFUNCTION("""COMPUTED_VALUE"""),4)</f>
        <v>4</v>
      </c>
      <c r="Z37" s="115">
        <f ca="1">IFERROR(__xludf.DUMMYFUNCTION("""COMPUTED_VALUE"""),1)</f>
        <v>1</v>
      </c>
      <c r="AA37" s="12">
        <f ca="1">IFERROR(__xludf.DUMMYFUNCTION("""COMPUTED_VALUE"""),1)</f>
        <v>1</v>
      </c>
      <c r="AB37" s="12">
        <f ca="1">IFERROR(__xludf.DUMMYFUNCTION("""COMPUTED_VALUE"""),6)</f>
        <v>6</v>
      </c>
      <c r="AC37" s="12"/>
      <c r="AD37" s="12"/>
      <c r="AE37" s="12"/>
      <c r="AF37" s="12"/>
      <c r="AG37" s="13" t="str">
        <f ca="1">IFERROR(__xludf.DUMMYFUNCTION("ArrayFormula(VLOOKUP(G37, IMPORTRANGE(""https://docs.google.com/spreadsheets/d/1Co934fvtviyaRiMsrIlT05Jaq7iiYq07aLvRr35KA48/edit?gid=173865642#gid=173865642"", ""'G6_Sci_Pri_LU'!G2:V2000""), {3, 4, 5, 6, 7, 8, 9, 10, 11, 12, 13, 14, 15, 16}, 0))"),"LU005928")</f>
        <v>LU005928</v>
      </c>
      <c r="AH37" s="13" t="str">
        <f ca="1">IFERROR(__xludf.DUMMYFUNCTION("""COMPUTED_VALUE"""),"Measurement of length using non-standard devices")</f>
        <v>Measurement of length using non-standard devices</v>
      </c>
      <c r="AI37" s="13"/>
      <c r="AJ37" s="13"/>
      <c r="AK37" s="13"/>
      <c r="AL37" s="13"/>
      <c r="AM37" s="13"/>
      <c r="AN37" s="13"/>
      <c r="AO37" s="13"/>
      <c r="AP37" s="13"/>
      <c r="AQ37" s="13"/>
      <c r="AR37" s="13"/>
      <c r="AS37" s="13"/>
      <c r="AT37" s="13"/>
    </row>
    <row r="38" spans="1:46">
      <c r="A38" s="8" t="s">
        <v>247</v>
      </c>
      <c r="B38" s="8" t="s">
        <v>47</v>
      </c>
      <c r="C38" s="8" t="s">
        <v>48</v>
      </c>
      <c r="D38" s="8" t="s">
        <v>1510</v>
      </c>
      <c r="E38" s="8" t="s">
        <v>1716</v>
      </c>
      <c r="F38" s="8" t="s">
        <v>1721</v>
      </c>
      <c r="G38" s="8" t="s">
        <v>1722</v>
      </c>
      <c r="H38" s="8" t="str">
        <f ca="1">IFERROR(__xludf.DUMMYFUNCTION("VLOOKUP(G38, IMPORTRANGE(""https://docs.google.com/spreadsheets/d/14deopnvwcrKtEGCKuYXdUHJbeLDZlkiSSWWT0g7x2pM/edit#gid=849066331"", ""LU List Science (Filter)!A:B""), 2, FALSE)"),"Purpose of standard mode of measurement")</f>
        <v>Purpose of standard mode of measurement</v>
      </c>
      <c r="I38" s="10" t="str">
        <f t="shared" si="0"/>
        <v>LU005930.001</v>
      </c>
      <c r="J38" s="10" t="str">
        <f ca="1">IFERROR(__xludf.DUMMYFUNCTION("VLOOKUP(I38, IMPORTRANGE(""https://docs.google.com/spreadsheets/d/1yDAaXNsi4Mr5FtRQL4tbmSdIzhx6_m4wkOD7IG-k_eo/edit#gid=1336395716"", ""Science!M:N""), 2, FALSE)"),"Recall the concept of standard measurement and its significance.")</f>
        <v>Recall the concept of standard measurement and its significance.</v>
      </c>
      <c r="K38" s="10" t="str">
        <f t="shared" si="1"/>
        <v>LU005930.002</v>
      </c>
      <c r="L38" s="10" t="str">
        <f ca="1">IFERROR(__xludf.DUMMYFUNCTION("VLOOKUP(K38, IMPORTRANGE(""https://docs.google.com/spreadsheets/d/1yDAaXNsi4Mr5FtRQL4tbmSdIzhx6_m4wkOD7IG-k_eo/edit#gid=1336395716"", ""Science!M:N""), 2, FALSE)"),"Explain the role of standard units and instruments in ensuring consistent and accurate measurements.")</f>
        <v>Explain the role of standard units and instruments in ensuring consistent and accurate measurements.</v>
      </c>
      <c r="M38" s="10" t="str">
        <f t="shared" si="2"/>
        <v>LU005930.003</v>
      </c>
      <c r="N38" s="10" t="str">
        <f ca="1">IFERROR(__xludf.DUMMYFUNCTION("VLOOKUP(M38, IMPORTRANGE(""https://docs.google.com/spreadsheets/d/1yDAaXNsi4Mr5FtRQL4tbmSdIzhx6_m4wkOD7IG-k_eo/edit#gid=1336395716"", ""Science!M:N""), 2, FALSE)"),"Utilize knowledge of standard measurement to emphasize its importance in promoting precision and reliability.")</f>
        <v>Utilize knowledge of standard measurement to emphasize its importance in promoting precision and reliability.</v>
      </c>
      <c r="O38" s="10" t="str">
        <f t="shared" si="3"/>
        <v>LU005930.004</v>
      </c>
      <c r="P38" s="10" t="str">
        <f ca="1">IFERROR(__xludf.DUMMYFUNCTION("VLOOKUP(O38, IMPORTRANGE(""https://docs.google.com/spreadsheets/d/1yDAaXNsi4Mr5FtRQL4tbmSdIzhx6_m4wkOD7IG-k_eo/edit#gid=1336395716"", ""Science!M:N""), 2, FALSE)"),"Examine situations where a standard mode of measurement is essential for consistency and fairness.")</f>
        <v>Examine situations where a standard mode of measurement is essential for consistency and fairness.</v>
      </c>
      <c r="Q38" s="10" t="str">
        <f t="shared" si="4"/>
        <v>LU005930.005</v>
      </c>
      <c r="R38" s="10" t="str">
        <f ca="1">IFERROR(__xludf.DUMMYFUNCTION("VLOOKUP(Q38, IMPORTRANGE(""https://docs.google.com/spreadsheets/d/1yDAaXNsi4Mr5FtRQL4tbmSdIzhx6_m4wkOD7IG-k_eo/edit#gid=1336395716"", ""Science!M:N""), 2, FALSE)"),"Assess the impact of standardized measurements on fields like trade, science, and engineering.")</f>
        <v>Assess the impact of standardized measurements on fields like trade, science, and engineering.</v>
      </c>
      <c r="S38" s="10" t="str">
        <f t="shared" si="5"/>
        <v>LU005930.006</v>
      </c>
      <c r="T38" s="10" t="str">
        <f ca="1">IFERROR(__xludf.DUMMYFUNCTION("VLOOKUP(S38, IMPORTRANGE(""https://docs.google.com/spreadsheets/d/1yDAaXNsi4Mr5FtRQL4tbmSdIzhx6_m4wkOD7IG-k_eo/edit#gid=1336395716"", ""Science!M:N""), 2, FALSE)"),"#N/A")</f>
        <v>#N/A</v>
      </c>
      <c r="U38" s="11">
        <f ca="1">IFERROR(__xludf.DUMMYFUNCTION("ArrayFormula(VLOOKUP(G38, IMPORTRANGE(""https://docs.google.com/spreadsheets/d/1p7R4vtkWt5VOBim4ltsDG9KTzSjrtKXsMtQGXPHyND0/edit#gid=795171502"", ""'Filter 30_05_2024'!A1:M2000""), {2, 3, 4, 5,6,7,8,9,10,11,12,13}, 0))"),4)</f>
        <v>4</v>
      </c>
      <c r="V38" s="11">
        <f ca="1">IFERROR(__xludf.DUMMYFUNCTION("""COMPUTED_VALUE"""),6)</f>
        <v>6</v>
      </c>
      <c r="W38" s="11">
        <f ca="1">IFERROR(__xludf.DUMMYFUNCTION("""COMPUTED_VALUE"""),2)</f>
        <v>2</v>
      </c>
      <c r="X38" s="11">
        <f ca="1">IFERROR(__xludf.DUMMYFUNCTION("""COMPUTED_VALUE"""),12)</f>
        <v>12</v>
      </c>
      <c r="Y38" s="11">
        <f ca="1">IFERROR(__xludf.DUMMYFUNCTION("""COMPUTED_VALUE"""),5)</f>
        <v>5</v>
      </c>
      <c r="Z38" s="12">
        <f ca="1">IFERROR(__xludf.DUMMYFUNCTION("""COMPUTED_VALUE"""),3)</f>
        <v>3</v>
      </c>
      <c r="AA38" s="12">
        <f ca="1">IFERROR(__xludf.DUMMYFUNCTION("""COMPUTED_VALUE"""),1)</f>
        <v>1</v>
      </c>
      <c r="AB38" s="12">
        <f ca="1">IFERROR(__xludf.DUMMYFUNCTION("""COMPUTED_VALUE"""),9)</f>
        <v>9</v>
      </c>
      <c r="AC38" s="12"/>
      <c r="AD38" s="12"/>
      <c r="AE38" s="12"/>
      <c r="AF38" s="12"/>
      <c r="AG38" s="13" t="str">
        <f ca="1">IFERROR(__xludf.DUMMYFUNCTION("ArrayFormula(VLOOKUP(G38, IMPORTRANGE(""https://docs.google.com/spreadsheets/d/1Co934fvtviyaRiMsrIlT05Jaq7iiYq07aLvRr35KA48/edit?gid=173865642#gid=173865642"", ""'G6_Sci_Pri_LU'!G2:V2000""), {3, 4, 5, 6, 7, 8, 9, 10, 11, 12, 13, 14, 15, 16}, 0))"),"LU005929")</f>
        <v>LU005929</v>
      </c>
      <c r="AH38" s="13" t="str">
        <f ca="1">IFERROR(__xludf.DUMMYFUNCTION("""COMPUTED_VALUE"""),"Limitation of Measuring length using non-standard devices")</f>
        <v>Limitation of Measuring length using non-standard devices</v>
      </c>
      <c r="AI38" s="13"/>
      <c r="AJ38" s="13"/>
      <c r="AK38" s="13"/>
      <c r="AL38" s="13"/>
      <c r="AM38" s="13"/>
      <c r="AN38" s="13"/>
      <c r="AO38" s="13"/>
      <c r="AP38" s="13"/>
      <c r="AQ38" s="13"/>
      <c r="AR38" s="13"/>
      <c r="AS38" s="13"/>
      <c r="AT38" s="13"/>
    </row>
    <row r="39" spans="1:46">
      <c r="A39" s="8" t="s">
        <v>247</v>
      </c>
      <c r="B39" s="8" t="s">
        <v>47</v>
      </c>
      <c r="C39" s="8" t="s">
        <v>48</v>
      </c>
      <c r="D39" s="8" t="s">
        <v>1510</v>
      </c>
      <c r="E39" s="8" t="s">
        <v>1716</v>
      </c>
      <c r="F39" s="8" t="s">
        <v>1721</v>
      </c>
      <c r="G39" s="8" t="s">
        <v>1518</v>
      </c>
      <c r="H39" s="8" t="str">
        <f ca="1">IFERROR(__xludf.DUMMYFUNCTION("VLOOKUP(G39, IMPORTRANGE(""https://docs.google.com/spreadsheets/d/14deopnvwcrKtEGCKuYXdUHJbeLDZlkiSSWWT0g7x2pM/edit#gid=849066331"", ""LU List Science (Filter)!A:B""), 2, FALSE)"),"Definition and Importance of Unit in Measurement")</f>
        <v>Definition and Importance of Unit in Measurement</v>
      </c>
      <c r="I39" s="10" t="str">
        <f t="shared" si="0"/>
        <v>LU005182.001</v>
      </c>
      <c r="J39" s="10" t="str">
        <f ca="1">IFERROR(__xludf.DUMMYFUNCTION("VLOOKUP(I39, IMPORTRANGE(""https://docs.google.com/spreadsheets/d/1yDAaXNsi4Mr5FtRQL4tbmSdIzhx6_m4wkOD7IG-k_eo/edit#gid=1336395716"", ""Science!M:N""), 2, FALSE)"),"Recall the definition of a unit in measurement.")</f>
        <v>Recall the definition of a unit in measurement.</v>
      </c>
      <c r="K39" s="10" t="str">
        <f t="shared" si="1"/>
        <v>LU005182.002</v>
      </c>
      <c r="L39" s="10" t="str">
        <f ca="1">IFERROR(__xludf.DUMMYFUNCTION("VLOOKUP(K39, IMPORTRANGE(""https://docs.google.com/spreadsheets/d/1yDAaXNsi4Mr5FtRQL4tbmSdIzhx6_m4wkOD7IG-k_eo/edit#gid=1336395716"", ""Science!M:N""), 2, FALSE)"),"Explain why units are fundamental in measurements.")</f>
        <v>Explain why units are fundamental in measurements.</v>
      </c>
      <c r="M39" s="10" t="str">
        <f t="shared" si="2"/>
        <v>LU005182.003</v>
      </c>
      <c r="N39" s="10" t="str">
        <f ca="1">IFERROR(__xludf.DUMMYFUNCTION("VLOOKUP(M39, IMPORTRANGE(""https://docs.google.com/spreadsheets/d/1yDAaXNsi4Mr5FtRQL4tbmSdIzhx6_m4wkOD7IG-k_eo/edit#gid=1336395716"", ""Science!M:N""), 2, FALSE)"),"Differentiate between standardized and non-standardized units.")</f>
        <v>Differentiate between standardized and non-standardized units.</v>
      </c>
      <c r="O39" s="10" t="str">
        <f t="shared" si="3"/>
        <v>LU005182.004</v>
      </c>
      <c r="P39" s="10" t="str">
        <f ca="1">IFERROR(__xludf.DUMMYFUNCTION("VLOOKUP(O39, IMPORTRANGE(""https://docs.google.com/spreadsheets/d/1yDAaXNsi4Mr5FtRQL4tbmSdIzhx6_m4wkOD7IG-k_eo/edit#gid=1336395716"", ""Science!M:N""), 2, FALSE)"),"Analyze the role of different units in measurement to ensure accuracy and consistency in various contexts.")</f>
        <v>Analyze the role of different units in measurement to ensure accuracy and consistency in various contexts.</v>
      </c>
      <c r="Q39" s="10" t="str">
        <f t="shared" si="4"/>
        <v>LU005182.005</v>
      </c>
      <c r="R39" s="10" t="str">
        <f ca="1">IFERROR(__xludf.DUMMYFUNCTION("VLOOKUP(Q39, IMPORTRANGE(""https://docs.google.com/spreadsheets/d/1yDAaXNsi4Mr5FtRQL4tbmSdIzhx6_m4wkOD7IG-k_eo/edit#gid=1336395716"", ""Science!M:N""), 2, FALSE)"),"Evaluate the role of units in scientific research and innovations.")</f>
        <v>Evaluate the role of units in scientific research and innovations.</v>
      </c>
      <c r="S39" s="10" t="str">
        <f t="shared" si="5"/>
        <v>LU005182.006</v>
      </c>
      <c r="T39" s="10" t="str">
        <f ca="1">IFERROR(__xludf.DUMMYFUNCTION("VLOOKUP(S39, IMPORTRANGE(""https://docs.google.com/spreadsheets/d/1yDAaXNsi4Mr5FtRQL4tbmSdIzhx6_m4wkOD7IG-k_eo/edit#gid=1336395716"", ""Science!M:N""), 2, FALSE)"),"#N/A")</f>
        <v>#N/A</v>
      </c>
      <c r="U39" s="11">
        <f ca="1">IFERROR(__xludf.DUMMYFUNCTION("ArrayFormula(VLOOKUP(G39, IMPORTRANGE(""https://docs.google.com/spreadsheets/d/1p7R4vtkWt5VOBim4ltsDG9KTzSjrtKXsMtQGXPHyND0/edit#gid=795171502"", ""'Filter 30_05_2024'!A1:M2000""), {2, 3, 4, 5,6,7,8,9,10,11,12,13}, 0))"),5)</f>
        <v>5</v>
      </c>
      <c r="V39" s="11">
        <f ca="1">IFERROR(__xludf.DUMMYFUNCTION("""COMPUTED_VALUE"""),6)</f>
        <v>6</v>
      </c>
      <c r="W39" s="11">
        <f ca="1">IFERROR(__xludf.DUMMYFUNCTION("""COMPUTED_VALUE"""),2)</f>
        <v>2</v>
      </c>
      <c r="X39" s="11">
        <f ca="1">IFERROR(__xludf.DUMMYFUNCTION("""COMPUTED_VALUE"""),13)</f>
        <v>13</v>
      </c>
      <c r="Y39" s="11">
        <f ca="1">IFERROR(__xludf.DUMMYFUNCTION("""COMPUTED_VALUE"""),5)</f>
        <v>5</v>
      </c>
      <c r="Z39" s="12">
        <f ca="1">IFERROR(__xludf.DUMMYFUNCTION("""COMPUTED_VALUE"""),3)</f>
        <v>3</v>
      </c>
      <c r="AA39" s="12">
        <f ca="1">IFERROR(__xludf.DUMMYFUNCTION("""COMPUTED_VALUE"""),1)</f>
        <v>1</v>
      </c>
      <c r="AB39" s="12">
        <f ca="1">IFERROR(__xludf.DUMMYFUNCTION("""COMPUTED_VALUE"""),9)</f>
        <v>9</v>
      </c>
      <c r="AC39" s="12"/>
      <c r="AD39" s="12"/>
      <c r="AE39" s="12"/>
      <c r="AF39" s="12"/>
      <c r="AG39" s="13" t="str">
        <f ca="1">IFERROR(__xludf.DUMMYFUNCTION("ArrayFormula(VLOOKUP(G39, IMPORTRANGE(""https://docs.google.com/spreadsheets/d/1Co934fvtviyaRiMsrIlT05Jaq7iiYq07aLvRr35KA48/edit?gid=173865642#gid=173865642"", ""'G6_Sci_Pri_LU'!G2:V2000""), {3, 4, 5, 6, 7, 8, 9, 10, 11, 12, 13, 14, 15, 16}, 0))"),"LU005181")</f>
        <v>LU005181</v>
      </c>
      <c r="AH39" s="13" t="str">
        <f ca="1">IFERROR(__xludf.DUMMYFUNCTION("""COMPUTED_VALUE"""),"Importance of Distance and Measurement")</f>
        <v>Importance of Distance and Measurement</v>
      </c>
      <c r="AI39" s="13"/>
      <c r="AJ39" s="13"/>
      <c r="AK39" s="13"/>
      <c r="AL39" s="13"/>
      <c r="AM39" s="13"/>
      <c r="AN39" s="13"/>
      <c r="AO39" s="13"/>
      <c r="AP39" s="13"/>
      <c r="AQ39" s="13"/>
      <c r="AR39" s="13"/>
      <c r="AS39" s="13"/>
      <c r="AT39" s="13"/>
    </row>
    <row r="40" spans="1:46">
      <c r="A40" s="8" t="s">
        <v>247</v>
      </c>
      <c r="B40" s="8" t="s">
        <v>47</v>
      </c>
      <c r="C40" s="8" t="s">
        <v>48</v>
      </c>
      <c r="D40" s="8" t="s">
        <v>1510</v>
      </c>
      <c r="E40" s="8" t="s">
        <v>1716</v>
      </c>
      <c r="F40" s="8" t="s">
        <v>1721</v>
      </c>
      <c r="G40" s="8" t="s">
        <v>1520</v>
      </c>
      <c r="H40" s="8" t="str">
        <f ca="1">IFERROR(__xludf.DUMMYFUNCTION("VLOOKUP(G40, IMPORTRANGE(""https://docs.google.com/spreadsheets/d/14deopnvwcrKtEGCKuYXdUHJbeLDZlkiSSWWT0g7x2pM/edit#gid=849066331"", ""LU List Science (Filter)!A:B""), 2, FALSE)"),"Units of length")</f>
        <v>Units of length</v>
      </c>
      <c r="I40" s="10" t="str">
        <f t="shared" si="0"/>
        <v>LU005174.001</v>
      </c>
      <c r="J40" s="10" t="str">
        <f ca="1">IFERROR(__xludf.DUMMYFUNCTION("VLOOKUP(I40, IMPORTRANGE(""https://docs.google.com/spreadsheets/d/1yDAaXNsi4Mr5FtRQL4tbmSdIzhx6_m4wkOD7IG-k_eo/edit#gid=1336395716"", ""Science!M:N""), 2, FALSE)"),"Identify the basic units used to measure length.")</f>
        <v>Identify the basic units used to measure length.</v>
      </c>
      <c r="K40" s="10" t="str">
        <f t="shared" si="1"/>
        <v>LU005174.002</v>
      </c>
      <c r="L40" s="10" t="str">
        <f ca="1">IFERROR(__xludf.DUMMYFUNCTION("VLOOKUP(K40, IMPORTRANGE(""https://docs.google.com/spreadsheets/d/1yDAaXNsi4Mr5FtRQL4tbmSdIzhx6_m4wkOD7IG-k_eo/edit#gid=1336395716"", ""Science!M:N""), 2, FALSE)"),"Explain the relationship between different length units (e.g., centimeters and meters).")</f>
        <v>Explain the relationship between different length units (e.g., centimeters and meters).</v>
      </c>
      <c r="M40" s="10" t="str">
        <f t="shared" si="2"/>
        <v>LU005174.003</v>
      </c>
      <c r="N40" s="10" t="str">
        <f ca="1">IFERROR(__xludf.DUMMYFUNCTION("VLOOKUP(M40, IMPORTRANGE(""https://docs.google.com/spreadsheets/d/1yDAaXNsi4Mr5FtRQL4tbmSdIzhx6_m4wkOD7IG-k_eo/edit#gid=1336395716"", ""Science!M:N""), 2, FALSE)"),"Convert between various units of length.")</f>
        <v>Convert between various units of length.</v>
      </c>
      <c r="O40" s="10" t="str">
        <f t="shared" si="3"/>
        <v>LU005174.004</v>
      </c>
      <c r="P40" s="10" t="str">
        <f ca="1">IFERROR(__xludf.DUMMYFUNCTION("VLOOKUP(O40, IMPORTRANGE(""https://docs.google.com/spreadsheets/d/1yDAaXNsi4Mr5FtRQL4tbmSdIzhx6_m4wkOD7IG-k_eo/edit#gid=1336395716"", ""Science!M:N""), 2, FALSE)"),"Describe real-world scenarios where specific length units are commonly used.")</f>
        <v>Describe real-world scenarios where specific length units are commonly used.</v>
      </c>
      <c r="Q40" s="10" t="str">
        <f t="shared" si="4"/>
        <v>LU005174.005</v>
      </c>
      <c r="R40" s="10" t="str">
        <f ca="1">IFERROR(__xludf.DUMMYFUNCTION("VLOOKUP(Q40, IMPORTRANGE(""https://docs.google.com/spreadsheets/d/1yDAaXNsi4Mr5FtRQL4tbmSdIzhx6_m4wkOD7IG-k_eo/edit#gid=1336395716"", ""Science!M:N""), 2, FALSE)"),"Judge the effectiveness of different units of length in solving practical measurement problems.")</f>
        <v>Judge the effectiveness of different units of length in solving practical measurement problems.</v>
      </c>
      <c r="S40" s="10" t="str">
        <f t="shared" si="5"/>
        <v>LU005174.006</v>
      </c>
      <c r="T40" s="10" t="str">
        <f ca="1">IFERROR(__xludf.DUMMYFUNCTION("VLOOKUP(S40, IMPORTRANGE(""https://docs.google.com/spreadsheets/d/1yDAaXNsi4Mr5FtRQL4tbmSdIzhx6_m4wkOD7IG-k_eo/edit#gid=1336395716"", ""Science!M:N""), 2, FALSE)"),"Develop a hands-on classroom activity illustrating the use of different length units in daily life.")</f>
        <v>Develop a hands-on classroom activity illustrating the use of different length units in daily life.</v>
      </c>
      <c r="U40" s="11">
        <f ca="1">IFERROR(__xludf.DUMMYFUNCTION("ArrayFormula(VLOOKUP(G40, IMPORTRANGE(""https://docs.google.com/spreadsheets/d/1p7R4vtkWt5VOBim4ltsDG9KTzSjrtKXsMtQGXPHyND0/edit#gid=795171502"", ""'Filter 30_05_2024'!A1:M2000""), {2, 3, 4, 5,6,7,8,9,10,11,12,13}, 0))"),5)</f>
        <v>5</v>
      </c>
      <c r="V40" s="11">
        <f ca="1">IFERROR(__xludf.DUMMYFUNCTION("""COMPUTED_VALUE"""),6)</f>
        <v>6</v>
      </c>
      <c r="W40" s="11">
        <f ca="1">IFERROR(__xludf.DUMMYFUNCTION("""COMPUTED_VALUE"""),6)</f>
        <v>6</v>
      </c>
      <c r="X40" s="11">
        <f ca="1">IFERROR(__xludf.DUMMYFUNCTION("""COMPUTED_VALUE"""),17)</f>
        <v>17</v>
      </c>
      <c r="Y40" s="11">
        <f ca="1">IFERROR(__xludf.DUMMYFUNCTION("""COMPUTED_VALUE"""),5)</f>
        <v>5</v>
      </c>
      <c r="Z40" s="12">
        <f ca="1">IFERROR(__xludf.DUMMYFUNCTION("""COMPUTED_VALUE"""),3)</f>
        <v>3</v>
      </c>
      <c r="AA40" s="12">
        <f ca="1">IFERROR(__xludf.DUMMYFUNCTION("""COMPUTED_VALUE"""),2)</f>
        <v>2</v>
      </c>
      <c r="AB40" s="12">
        <f ca="1">IFERROR(__xludf.DUMMYFUNCTION("""COMPUTED_VALUE"""),10)</f>
        <v>10</v>
      </c>
      <c r="AC40" s="12"/>
      <c r="AD40" s="12"/>
      <c r="AE40" s="12"/>
      <c r="AF40" s="12"/>
      <c r="AG40" s="13" t="str">
        <f ca="1">IFERROR(__xludf.DUMMYFUNCTION("ArrayFormula(VLOOKUP(G40, IMPORTRANGE(""https://docs.google.com/spreadsheets/d/1Co934fvtviyaRiMsrIlT05Jaq7iiYq07aLvRr35KA48/edit?gid=173865642#gid=173865642"", ""'G6_Sci_Pri_LU'!G2:V2000""), {3, 4, 5, 6, 7, 8, 9, 10, 11, 12, 13, 14, 15, 16}, 0))"),"LU005182")</f>
        <v>LU005182</v>
      </c>
      <c r="AH40" s="13" t="str">
        <f ca="1">IFERROR(__xludf.DUMMYFUNCTION("""COMPUTED_VALUE"""),"Definition and Importance of Unit in Measurement")</f>
        <v>Definition and Importance of Unit in Measurement</v>
      </c>
      <c r="AI40" s="13"/>
      <c r="AJ40" s="13"/>
      <c r="AK40" s="13"/>
      <c r="AL40" s="13"/>
      <c r="AM40" s="13"/>
      <c r="AN40" s="13"/>
      <c r="AO40" s="13"/>
      <c r="AP40" s="13"/>
      <c r="AQ40" s="13"/>
      <c r="AR40" s="13"/>
      <c r="AS40" s="13"/>
      <c r="AT40" s="13"/>
    </row>
    <row r="41" spans="1:46">
      <c r="A41" s="8" t="s">
        <v>247</v>
      </c>
      <c r="B41" s="8" t="s">
        <v>47</v>
      </c>
      <c r="C41" s="8" t="s">
        <v>48</v>
      </c>
      <c r="D41" s="8" t="s">
        <v>1510</v>
      </c>
      <c r="E41" s="8" t="s">
        <v>1716</v>
      </c>
      <c r="F41" s="8" t="s">
        <v>1723</v>
      </c>
      <c r="G41" s="8" t="s">
        <v>1523</v>
      </c>
      <c r="H41" s="8" t="str">
        <f ca="1">IFERROR(__xludf.DUMMYFUNCTION("VLOOKUP(G41, IMPORTRANGE(""https://docs.google.com/spreadsheets/d/14deopnvwcrKtEGCKuYXdUHJbeLDZlkiSSWWT0g7x2pM/edit#gid=849066331"", ""LU List Science (Filter)!A:B""), 2, FALSE)"),"Measurement of length using ruler")</f>
        <v>Measurement of length using ruler</v>
      </c>
      <c r="I41" s="10" t="str">
        <f t="shared" si="0"/>
        <v>LU005175.001</v>
      </c>
      <c r="J41" s="10" t="str">
        <f ca="1">IFERROR(__xludf.DUMMYFUNCTION("VLOOKUP(I41, IMPORTRANGE(""https://docs.google.com/spreadsheets/d/1yDAaXNsi4Mr5FtRQL4tbmSdIzhx6_m4wkOD7IG-k_eo/edit#gid=1336395716"", ""Science!M:N""), 2, FALSE)"),"List the common errors while measuring.  ")</f>
        <v xml:space="preserve">List the common errors while measuring.  </v>
      </c>
      <c r="K41" s="10" t="str">
        <f t="shared" si="1"/>
        <v>LU005175.002</v>
      </c>
      <c r="L41" s="10" t="str">
        <f ca="1">IFERROR(__xludf.DUMMYFUNCTION("VLOOKUP(K41, IMPORTRANGE(""https://docs.google.com/spreadsheets/d/1yDAaXNsi4Mr5FtRQL4tbmSdIzhx6_m4wkOD7IG-k_eo/edit#gid=1336395716"", ""Science!M:N""), 2, FALSE)"),"Explain the steps for measuring the length of any object using a scale. ")</f>
        <v xml:space="preserve">Explain the steps for measuring the length of any object using a scale. </v>
      </c>
      <c r="M41" s="10" t="str">
        <f t="shared" si="2"/>
        <v>LU005175.003</v>
      </c>
      <c r="N41" s="10" t="str">
        <f ca="1">IFERROR(__xludf.DUMMYFUNCTION("VLOOKUP(M41, IMPORTRANGE(""https://docs.google.com/spreadsheets/d/1yDAaXNsi4Mr5FtRQL4tbmSdIzhx6_m4wkOD7IG-k_eo/edit#gid=1336395716"", ""Science!M:N""), 2, FALSE)"),"Measure an object starting from 0, 1 and 2 cm marks on the scale.")</f>
        <v>Measure an object starting from 0, 1 and 2 cm marks on the scale.</v>
      </c>
      <c r="O41" s="10" t="str">
        <f t="shared" si="3"/>
        <v>LU005175.004</v>
      </c>
      <c r="P41" s="10" t="str">
        <f ca="1">IFERROR(__xludf.DUMMYFUNCTION("VLOOKUP(O41, IMPORTRANGE(""https://docs.google.com/spreadsheets/d/1yDAaXNsi4Mr5FtRQL4tbmSdIzhx6_m4wkOD7IG-k_eo/edit#gid=1336395716"", ""Science!M:N""), 2, FALSE)"),"Compare the measurements of the same object using different scales (e.g., centimeter vs. inch)")</f>
        <v>Compare the measurements of the same object using different scales (e.g., centimeter vs. inch)</v>
      </c>
      <c r="Q41" s="10" t="str">
        <f t="shared" si="4"/>
        <v>LU005175.005</v>
      </c>
      <c r="R41" s="10" t="str">
        <f ca="1">IFERROR(__xludf.DUMMYFUNCTION("VLOOKUP(Q41, IMPORTRANGE(""https://docs.google.com/spreadsheets/d/1yDAaXNsi4Mr5FtRQL4tbmSdIzhx6_m4wkOD7IG-k_eo/edit#gid=1336395716"", ""Science!M:N""), 2, FALSE)"),"Judge the accuracy of a measurement by identifying and accounting for potential sources of error when using a scale")</f>
        <v>Judge the accuracy of a measurement by identifying and accounting for potential sources of error when using a scale</v>
      </c>
      <c r="S41" s="10" t="str">
        <f t="shared" si="5"/>
        <v>LU005175.006</v>
      </c>
      <c r="T41" s="10" t="str">
        <f ca="1">IFERROR(__xludf.DUMMYFUNCTION("VLOOKUP(S41, IMPORTRANGE(""https://docs.google.com/spreadsheets/d/1yDAaXNsi4Mr5FtRQL4tbmSdIzhx6_m4wkOD7IG-k_eo/edit#gid=1336395716"", ""Science!M:N""), 2, FALSE)"),"#N/A")</f>
        <v>#N/A</v>
      </c>
      <c r="U41" s="38">
        <f ca="1">IFERROR(__xludf.DUMMYFUNCTION("ArrayFormula(VLOOKUP(G41, IMPORTRANGE(""https://docs.google.com/spreadsheets/d/1p7R4vtkWt5VOBim4ltsDG9KTzSjrtKXsMtQGXPHyND0/edit#gid=795171502"", ""'Filter 30_05_2024'!A1:M2000""), {2, 3, 4, 5,6,7,8,9,10,11,12,13}, 0))"),4)</f>
        <v>4</v>
      </c>
      <c r="V41" s="38">
        <f ca="1">IFERROR(__xludf.DUMMYFUNCTION("""COMPUTED_VALUE"""),6)</f>
        <v>6</v>
      </c>
      <c r="W41" s="11">
        <f ca="1">IFERROR(__xludf.DUMMYFUNCTION("""COMPUTED_VALUE"""),2)</f>
        <v>2</v>
      </c>
      <c r="X41" s="11">
        <f ca="1">IFERROR(__xludf.DUMMYFUNCTION("""COMPUTED_VALUE"""),12)</f>
        <v>12</v>
      </c>
      <c r="Y41" s="11">
        <f ca="1">IFERROR(__xludf.DUMMYFUNCTION("""COMPUTED_VALUE"""),6)</f>
        <v>6</v>
      </c>
      <c r="Z41" s="12">
        <f ca="1">IFERROR(__xludf.DUMMYFUNCTION("""COMPUTED_VALUE"""),4)</f>
        <v>4</v>
      </c>
      <c r="AA41" s="12">
        <f ca="1">IFERROR(__xludf.DUMMYFUNCTION("""COMPUTED_VALUE"""),1)</f>
        <v>1</v>
      </c>
      <c r="AB41" s="12">
        <f ca="1">IFERROR(__xludf.DUMMYFUNCTION("""COMPUTED_VALUE"""),11)</f>
        <v>11</v>
      </c>
      <c r="AC41" s="12"/>
      <c r="AD41" s="12"/>
      <c r="AE41" s="12"/>
      <c r="AF41" s="12"/>
      <c r="AG41" s="13" t="str">
        <f ca="1">IFERROR(__xludf.DUMMYFUNCTION("ArrayFormula(VLOOKUP(G41, IMPORTRANGE(""https://docs.google.com/spreadsheets/d/1Co934fvtviyaRiMsrIlT05Jaq7iiYq07aLvRr35KA48/edit?gid=173865642#gid=173865642"", ""'G6_Sci_Pri_LU'!G2:V2000""), {3, 4, 5, 6, 7, 8, 9, 10, 11, 12, 13, 14, 15, 16}, 0))"),"LU005174")</f>
        <v>LU005174</v>
      </c>
      <c r="AH41" s="13" t="str">
        <f ca="1">IFERROR(__xludf.DUMMYFUNCTION("""COMPUTED_VALUE"""),"Units of length")</f>
        <v>Units of length</v>
      </c>
      <c r="AI41" s="13" t="str">
        <f ca="1">IFERROR(__xludf.DUMMYFUNCTION("""COMPUTED_VALUE"""),"LU005182")</f>
        <v>LU005182</v>
      </c>
      <c r="AJ41" s="13" t="str">
        <f ca="1">IFERROR(__xludf.DUMMYFUNCTION("""COMPUTED_VALUE"""),"Definition and Importance of Unit in Measurement")</f>
        <v>Definition and Importance of Unit in Measurement</v>
      </c>
      <c r="AK41" s="13"/>
      <c r="AL41" s="13"/>
      <c r="AM41" s="13"/>
      <c r="AN41" s="13"/>
      <c r="AO41" s="13"/>
      <c r="AP41" s="13"/>
      <c r="AQ41" s="13"/>
      <c r="AR41" s="13"/>
      <c r="AS41" s="13"/>
      <c r="AT41" s="13"/>
    </row>
    <row r="42" spans="1:46">
      <c r="A42" s="8" t="s">
        <v>247</v>
      </c>
      <c r="B42" s="8" t="s">
        <v>47</v>
      </c>
      <c r="C42" s="8" t="s">
        <v>48</v>
      </c>
      <c r="D42" s="8" t="s">
        <v>1510</v>
      </c>
      <c r="E42" s="8" t="s">
        <v>1716</v>
      </c>
      <c r="F42" s="8" t="s">
        <v>1723</v>
      </c>
      <c r="G42" s="8" t="s">
        <v>1724</v>
      </c>
      <c r="H42" s="8" t="str">
        <f ca="1">IFERROR(__xludf.DUMMYFUNCTION("VLOOKUP(G42, IMPORTRANGE(""https://docs.google.com/spreadsheets/d/14deopnvwcrKtEGCKuYXdUHJbeLDZlkiSSWWT0g7x2pM/edit#gid=849066331"", ""LU List Science (Filter)!A:B""), 2, FALSE)"),"Comparison between standard and non-standard measurement device")</f>
        <v>Comparison between standard and non-standard measurement device</v>
      </c>
      <c r="I42" s="10" t="str">
        <f t="shared" si="0"/>
        <v>LU005931.001</v>
      </c>
      <c r="J42" s="10" t="str">
        <f ca="1">IFERROR(__xludf.DUMMYFUNCTION("VLOOKUP(I42, IMPORTRANGE(""https://docs.google.com/spreadsheets/d/1yDAaXNsi4Mr5FtRQL4tbmSdIzhx6_m4wkOD7IG-k_eo/edit#gid=1336395716"", ""Science!M:N""), 2, FALSE)"),"Recall the differences between standard and non-standard measurement devices.")</f>
        <v>Recall the differences between standard and non-standard measurement devices.</v>
      </c>
      <c r="K42" s="10" t="str">
        <f t="shared" si="1"/>
        <v>LU005931.002</v>
      </c>
      <c r="L42" s="10" t="str">
        <f ca="1">IFERROR(__xludf.DUMMYFUNCTION("VLOOKUP(K42, IMPORTRANGE(""https://docs.google.com/spreadsheets/d/1yDAaXNsi4Mr5FtRQL4tbmSdIzhx6_m4wkOD7IG-k_eo/edit#gid=1336395716"", ""Science!M:N""), 2, FALSE)"),"Explain how standard measurement devices contribute to consistent and universally accepted measurements.")</f>
        <v>Explain how standard measurement devices contribute to consistent and universally accepted measurements.</v>
      </c>
      <c r="M42" s="10" t="str">
        <f t="shared" si="2"/>
        <v>LU005931.003</v>
      </c>
      <c r="N42" s="10" t="str">
        <f ca="1">IFERROR(__xludf.DUMMYFUNCTION("VLOOKUP(M42, IMPORTRANGE(""https://docs.google.com/spreadsheets/d/1yDAaXNsi4Mr5FtRQL4tbmSdIzhx6_m4wkOD7IG-k_eo/edit#gid=1336395716"", ""Science!M:N""), 2, FALSE)"),"Utilize knowledge of both types of devices to evaluate their suitability for specific measuring tasks.")</f>
        <v>Utilize knowledge of both types of devices to evaluate their suitability for specific measuring tasks.</v>
      </c>
      <c r="O42" s="10" t="str">
        <f t="shared" si="3"/>
        <v>LU005931.004</v>
      </c>
      <c r="P42" s="10" t="str">
        <f ca="1">IFERROR(__xludf.DUMMYFUNCTION("VLOOKUP(O42, IMPORTRANGE(""https://docs.google.com/spreadsheets/d/1yDAaXNsi4Mr5FtRQL4tbmSdIzhx6_m4wkOD7IG-k_eo/edit#gid=1336395716"", ""Science!M:N""), 2, FALSE)"),"Examine scenarios where standard devices are preferable for achieving reliable measurements.")</f>
        <v>Examine scenarios where standard devices are preferable for achieving reliable measurements.</v>
      </c>
      <c r="Q42" s="10" t="str">
        <f t="shared" si="4"/>
        <v>LU005931.005</v>
      </c>
      <c r="R42" s="10" t="str">
        <f ca="1">IFERROR(__xludf.DUMMYFUNCTION("VLOOKUP(Q42, IMPORTRANGE(""https://docs.google.com/spreadsheets/d/1yDAaXNsi4Mr5FtRQL4tbmSdIzhx6_m4wkOD7IG-k_eo/edit#gid=1336395716"", ""Science!M:N""), 2, FALSE)"),"Assess the advantages and disadvantages of using non-standard devices in comparison to standard ones.")</f>
        <v>Assess the advantages and disadvantages of using non-standard devices in comparison to standard ones.</v>
      </c>
      <c r="S42" s="10" t="str">
        <f t="shared" si="5"/>
        <v>LU005931.006</v>
      </c>
      <c r="T42" s="10" t="str">
        <f ca="1">IFERROR(__xludf.DUMMYFUNCTION("VLOOKUP(S42, IMPORTRANGE(""https://docs.google.com/spreadsheets/d/1yDAaXNsi4Mr5FtRQL4tbmSdIzhx6_m4wkOD7IG-k_eo/edit#gid=1336395716"", ""Science!M:N""), 2, FALSE)"),"#N/A")</f>
        <v>#N/A</v>
      </c>
      <c r="U42" s="11">
        <f ca="1">IFERROR(__xludf.DUMMYFUNCTION("ArrayFormula(VLOOKUP(G42, IMPORTRANGE(""https://docs.google.com/spreadsheets/d/1p7R4vtkWt5VOBim4ltsDG9KTzSjrtKXsMtQGXPHyND0/edit#gid=795171502"", ""'Filter 30_05_2024'!A1:M2000""), {2, 3, 4, 5,6,7,8,9,10,11,12,13}, 0))"),6)</f>
        <v>6</v>
      </c>
      <c r="V42" s="11">
        <f ca="1">IFERROR(__xludf.DUMMYFUNCTION("""COMPUTED_VALUE"""),12)</f>
        <v>12</v>
      </c>
      <c r="W42" s="11">
        <f ca="1">IFERROR(__xludf.DUMMYFUNCTION("""COMPUTED_VALUE"""),2)</f>
        <v>2</v>
      </c>
      <c r="X42" s="11">
        <f ca="1">IFERROR(__xludf.DUMMYFUNCTION("""COMPUTED_VALUE"""),20)</f>
        <v>20</v>
      </c>
      <c r="Y42" s="11">
        <f ca="1">IFERROR(__xludf.DUMMYFUNCTION("""COMPUTED_VALUE"""),4)</f>
        <v>4</v>
      </c>
      <c r="Z42" s="12">
        <f ca="1">IFERROR(__xludf.DUMMYFUNCTION("""COMPUTED_VALUE"""),3)</f>
        <v>3</v>
      </c>
      <c r="AA42" s="12">
        <f ca="1">IFERROR(__xludf.DUMMYFUNCTION("""COMPUTED_VALUE"""),1)</f>
        <v>1</v>
      </c>
      <c r="AB42" s="12">
        <f ca="1">IFERROR(__xludf.DUMMYFUNCTION("""COMPUTED_VALUE"""),8)</f>
        <v>8</v>
      </c>
      <c r="AC42" s="12"/>
      <c r="AD42" s="12"/>
      <c r="AE42" s="12"/>
      <c r="AF42" s="12"/>
      <c r="AG42" s="13" t="str">
        <f ca="1">IFERROR(__xludf.DUMMYFUNCTION("ArrayFormula(VLOOKUP(G42, IMPORTRANGE(""https://docs.google.com/spreadsheets/d/1Co934fvtviyaRiMsrIlT05Jaq7iiYq07aLvRr35KA48/edit?gid=173865642#gid=173865642"", ""'G6_Sci_Pri_LU'!G2:V2000""), {3, 4, 5, 6, 7, 8, 9, 10, 11, 12, 13, 14, 15, 16}, 0))"),"LU005928")</f>
        <v>LU005928</v>
      </c>
      <c r="AH42" s="13" t="str">
        <f ca="1">IFERROR(__xludf.DUMMYFUNCTION("""COMPUTED_VALUE"""),"Measurement of length using non-standard devices")</f>
        <v>Measurement of length using non-standard devices</v>
      </c>
      <c r="AI42" s="13" t="str">
        <f ca="1">IFERROR(__xludf.DUMMYFUNCTION("""COMPUTED_VALUE"""),"LU005175")</f>
        <v>LU005175</v>
      </c>
      <c r="AJ42" s="13" t="str">
        <f ca="1">IFERROR(__xludf.DUMMYFUNCTION("""COMPUTED_VALUE"""),"Measurement of length using ruler")</f>
        <v>Measurement of length using ruler</v>
      </c>
      <c r="AK42" s="13"/>
      <c r="AL42" s="13"/>
      <c r="AM42" s="13"/>
      <c r="AN42" s="13"/>
      <c r="AO42" s="13"/>
      <c r="AP42" s="13"/>
      <c r="AQ42" s="13"/>
      <c r="AR42" s="13"/>
      <c r="AS42" s="13"/>
      <c r="AT42" s="13"/>
    </row>
    <row r="43" spans="1:46">
      <c r="A43" s="8" t="s">
        <v>247</v>
      </c>
      <c r="B43" s="8" t="s">
        <v>47</v>
      </c>
      <c r="C43" s="8" t="s">
        <v>48</v>
      </c>
      <c r="D43" s="8" t="s">
        <v>1510</v>
      </c>
      <c r="E43" s="8" t="s">
        <v>1716</v>
      </c>
      <c r="F43" s="8" t="s">
        <v>1725</v>
      </c>
      <c r="G43" s="8" t="s">
        <v>1525</v>
      </c>
      <c r="H43" s="8" t="str">
        <f ca="1">IFERROR(__xludf.DUMMYFUNCTION("VLOOKUP(G43, IMPORTRANGE(""https://docs.google.com/spreadsheets/d/14deopnvwcrKtEGCKuYXdUHJbeLDZlkiSSWWT0g7x2pM/edit#gid=849066331"", ""LU List Science (Filter)!A:B""), 2, FALSE)"),"Measurement of curved line")</f>
        <v>Measurement of curved line</v>
      </c>
      <c r="I43" s="10" t="str">
        <f t="shared" si="0"/>
        <v>LU005176.001</v>
      </c>
      <c r="J43" s="10" t="str">
        <f ca="1">IFERROR(__xludf.DUMMYFUNCTION("VLOOKUP(I43, IMPORTRANGE(""https://docs.google.com/spreadsheets/d/1yDAaXNsi4Mr5FtRQL4tbmSdIzhx6_m4wkOD7IG-k_eo/edit#gid=1336395716"", ""Science!M:N""), 2, FALSE)"),"Identify the tools and methods used for measuring curved lines.")</f>
        <v>Identify the tools and methods used for measuring curved lines.</v>
      </c>
      <c r="K43" s="10" t="str">
        <f t="shared" si="1"/>
        <v>LU005176.002</v>
      </c>
      <c r="L43" s="10" t="str">
        <f ca="1">IFERROR(__xludf.DUMMYFUNCTION("VLOOKUP(K43, IMPORTRANGE(""https://docs.google.com/spreadsheets/d/1yDAaXNsi4Mr5FtRQL4tbmSdIzhx6_m4wkOD7IG-k_eo/edit#gid=1336395716"", ""Science!M:N""), 2, FALSE)"),"Explain the process of measuring the length of a curved line.")</f>
        <v>Explain the process of measuring the length of a curved line.</v>
      </c>
      <c r="M43" s="10" t="str">
        <f t="shared" si="2"/>
        <v>LU005176.003</v>
      </c>
      <c r="N43" s="10" t="str">
        <f ca="1">IFERROR(__xludf.DUMMYFUNCTION("VLOOKUP(M43, IMPORTRANGE(""https://docs.google.com/spreadsheets/d/1yDAaXNsi4Mr5FtRQL4tbmSdIzhx6_m4wkOD7IG-k_eo/edit#gid=1336395716"", ""Science!M:N""), 2, FALSE)"),"Use a string and ruler to measure the length of a curved line on a given object or surface.")</f>
        <v>Use a string and ruler to measure the length of a curved line on a given object or surface.</v>
      </c>
      <c r="O43" s="10" t="str">
        <f t="shared" si="3"/>
        <v>LU005176.004</v>
      </c>
      <c r="P43" s="10" t="str">
        <f ca="1">IFERROR(__xludf.DUMMYFUNCTION("VLOOKUP(O43, IMPORTRANGE(""https://docs.google.com/spreadsheets/d/1yDAaXNsi4Mr5FtRQL4tbmSdIzhx6_m4wkOD7IG-k_eo/edit#gid=1336395716"", ""Science!M:N""), 2, FALSE)"),"Analyze the challenges in measuring curved lines accurately and propose strategies to improve measurement precision.")</f>
        <v>Analyze the challenges in measuring curved lines accurately and propose strategies to improve measurement precision.</v>
      </c>
      <c r="Q43" s="10" t="str">
        <f t="shared" si="4"/>
        <v>LU005176.005</v>
      </c>
      <c r="R43" s="10" t="str">
        <f ca="1">IFERROR(__xludf.DUMMYFUNCTION("VLOOKUP(Q43, IMPORTRANGE(""https://docs.google.com/spreadsheets/d/1yDAaXNsi4Mr5FtRQL4tbmSdIzhx6_m4wkOD7IG-k_eo/edit#gid=1336395716"", ""Science!M:N""), 2, FALSE)"),"Assess the accuracy of different methods used for measuring curved lines.")</f>
        <v>Assess the accuracy of different methods used for measuring curved lines.</v>
      </c>
      <c r="S43" s="10" t="str">
        <f t="shared" si="5"/>
        <v>LU005176.006</v>
      </c>
      <c r="T43" s="10" t="str">
        <f ca="1">IFERROR(__xludf.DUMMYFUNCTION("VLOOKUP(S43, IMPORTRANGE(""https://docs.google.com/spreadsheets/d/1yDAaXNsi4Mr5FtRQL4tbmSdIzhx6_m4wkOD7IG-k_eo/edit#gid=1336395716"", ""Science!M:N""), 2, FALSE)"),"Design a step-by-step guide for measuring complex curved lines and shapes, including techniques for handling irregular curves.")</f>
        <v>Design a step-by-step guide for measuring complex curved lines and shapes, including techniques for handling irregular curves.</v>
      </c>
      <c r="U43" s="11">
        <f ca="1">IFERROR(__xludf.DUMMYFUNCTION("ArrayFormula(VLOOKUP(G43, IMPORTRANGE(""https://docs.google.com/spreadsheets/d/1p7R4vtkWt5VOBim4ltsDG9KTzSjrtKXsMtQGXPHyND0/edit#gid=795171502"", ""'Filter 30_05_2024'!A1:M2000""), {2, 3, 4, 5,6,7,8,9,10,11,12,13}, 0))"),7)</f>
        <v>7</v>
      </c>
      <c r="V43" s="11">
        <f ca="1">IFERROR(__xludf.DUMMYFUNCTION("""COMPUTED_VALUE"""),6)</f>
        <v>6</v>
      </c>
      <c r="W43" s="11">
        <f ca="1">IFERROR(__xludf.DUMMYFUNCTION("""COMPUTED_VALUE"""),3)</f>
        <v>3</v>
      </c>
      <c r="X43" s="11">
        <f ca="1">IFERROR(__xludf.DUMMYFUNCTION("""COMPUTED_VALUE"""),16)</f>
        <v>16</v>
      </c>
      <c r="Y43" s="11">
        <f ca="1">IFERROR(__xludf.DUMMYFUNCTION("""COMPUTED_VALUE"""),4)</f>
        <v>4</v>
      </c>
      <c r="Z43" s="12">
        <f ca="1">IFERROR(__xludf.DUMMYFUNCTION("""COMPUTED_VALUE"""),3)</f>
        <v>3</v>
      </c>
      <c r="AA43" s="12">
        <f ca="1">IFERROR(__xludf.DUMMYFUNCTION("""COMPUTED_VALUE"""),1)</f>
        <v>1</v>
      </c>
      <c r="AB43" s="12">
        <f ca="1">IFERROR(__xludf.DUMMYFUNCTION("""COMPUTED_VALUE"""),8)</f>
        <v>8</v>
      </c>
      <c r="AC43" s="12">
        <f ca="1">IFERROR(__xludf.DUMMYFUNCTION("""COMPUTED_VALUE"""),1)</f>
        <v>1</v>
      </c>
      <c r="AD43" s="12"/>
      <c r="AE43" s="12"/>
      <c r="AF43" s="12">
        <f ca="1">IFERROR(__xludf.DUMMYFUNCTION("""COMPUTED_VALUE"""),1)</f>
        <v>1</v>
      </c>
      <c r="AG43" s="13" t="str">
        <f ca="1">IFERROR(__xludf.DUMMYFUNCTION("ArrayFormula(VLOOKUP(G43, IMPORTRANGE(""https://docs.google.com/spreadsheets/d/1Co934fvtviyaRiMsrIlT05Jaq7iiYq07aLvRr35KA48/edit?gid=173865642#gid=173865642"", ""'G6_Sci_Pri_LU'!G2:V2000""), {3, 4, 5, 6, 7, 8, 9, 10, 11, 12, 13, 14, 15, 16}, 0))"),"LU005175")</f>
        <v>LU005175</v>
      </c>
      <c r="AH43" s="13" t="str">
        <f ca="1">IFERROR(__xludf.DUMMYFUNCTION("""COMPUTED_VALUE"""),"Measurement of length using ruler")</f>
        <v>Measurement of length using ruler</v>
      </c>
      <c r="AI43" s="13" t="str">
        <f ca="1">IFERROR(__xludf.DUMMYFUNCTION("""COMPUTED_VALUE"""),"LU005174")</f>
        <v>LU005174</v>
      </c>
      <c r="AJ43" s="13" t="str">
        <f ca="1">IFERROR(__xludf.DUMMYFUNCTION("""COMPUTED_VALUE"""),"Units of length")</f>
        <v>Units of length</v>
      </c>
      <c r="AK43" s="13"/>
      <c r="AL43" s="13"/>
      <c r="AM43" s="13"/>
      <c r="AN43" s="13"/>
      <c r="AO43" s="13"/>
      <c r="AP43" s="13"/>
      <c r="AQ43" s="13"/>
      <c r="AR43" s="13"/>
      <c r="AS43" s="13"/>
      <c r="AT43" s="13"/>
    </row>
    <row r="44" spans="1:46">
      <c r="A44" s="8" t="s">
        <v>247</v>
      </c>
      <c r="B44" s="8" t="s">
        <v>47</v>
      </c>
      <c r="C44" s="8" t="s">
        <v>48</v>
      </c>
      <c r="D44" s="8" t="s">
        <v>1510</v>
      </c>
      <c r="E44" s="8" t="s">
        <v>1716</v>
      </c>
      <c r="F44" s="8" t="s">
        <v>1725</v>
      </c>
      <c r="G44" s="8" t="s">
        <v>1530</v>
      </c>
      <c r="H44" s="8" t="str">
        <f ca="1">IFERROR(__xludf.DUMMYFUNCTION("VLOOKUP(G44, IMPORTRANGE(""https://docs.google.com/spreadsheets/d/14deopnvwcrKtEGCKuYXdUHJbeLDZlkiSSWWT0g7x2pM/edit#gid=849066331"", ""LU List Science (Filter)!A:B""), 2, FALSE)"),"Comparison of object in the State of rest vs State of Motion")</f>
        <v>Comparison of object in the State of rest vs State of Motion</v>
      </c>
      <c r="I44" s="10" t="str">
        <f t="shared" si="0"/>
        <v>LU005177.001</v>
      </c>
      <c r="J44" s="10" t="str">
        <f ca="1">IFERROR(__xludf.DUMMYFUNCTION("VLOOKUP(I44, IMPORTRANGE(""https://docs.google.com/spreadsheets/d/1yDAaXNsi4Mr5FtRQL4tbmSdIzhx6_m4wkOD7IG-k_eo/edit#gid=1336395716"", ""Science!M:N""), 2, FALSE)"),"Identify objects from daily life that are in motion and those that are at rest.")</f>
        <v>Identify objects from daily life that are in motion and those that are at rest.</v>
      </c>
      <c r="K44" s="10" t="str">
        <f t="shared" si="1"/>
        <v>LU005177.002</v>
      </c>
      <c r="L44" s="10" t="str">
        <f ca="1">IFERROR(__xludf.DUMMYFUNCTION("VLOOKUP(K44, IMPORTRANGE(""https://docs.google.com/spreadsheets/d/1yDAaXNsi4Mr5FtRQL4tbmSdIzhx6_m4wkOD7IG-k_eo/edit#gid=1336395716"", ""Science!M:N""), 2, FALSE)"),"Describe the basis on which decisions about an object's motion or rest are made.")</f>
        <v>Describe the basis on which decisions about an object's motion or rest are made.</v>
      </c>
      <c r="M44" s="10" t="str">
        <f t="shared" si="2"/>
        <v>LU005177.003</v>
      </c>
      <c r="N44" s="10" t="str">
        <f ca="1">IFERROR(__xludf.DUMMYFUNCTION("VLOOKUP(M44, IMPORTRANGE(""https://docs.google.com/spreadsheets/d/1yDAaXNsi4Mr5FtRQL4tbmSdIzhx6_m4wkOD7IG-k_eo/edit#gid=1336395716"", ""Science!M:N""), 2, FALSE)"),"Classify observed objects based on their state of motion or rest.")</f>
        <v>Classify observed objects based on their state of motion or rest.</v>
      </c>
      <c r="O44" s="10" t="str">
        <f t="shared" si="3"/>
        <v>LU005177.004</v>
      </c>
      <c r="P44" s="10" t="str">
        <f ca="1">IFERROR(__xludf.DUMMYFUNCTION("VLOOKUP(O44, IMPORTRANGE(""https://docs.google.com/spreadsheets/d/1yDAaXNsi4Mr5FtRQL4tbmSdIzhx6_m4wkOD7IG-k_eo/edit#gid=1336395716"", ""Science!M:N""), 2, FALSE)"),"Analyze the characteristics of objects in both states of rest and motion")</f>
        <v>Analyze the characteristics of objects in both states of rest and motion</v>
      </c>
      <c r="Q44" s="10" t="str">
        <f t="shared" si="4"/>
        <v>LU005177.005</v>
      </c>
      <c r="R44" s="10" t="str">
        <f ca="1">IFERROR(__xludf.DUMMYFUNCTION("VLOOKUP(Q44, IMPORTRANGE(""https://docs.google.com/spreadsheets/d/1yDAaXNsi4Mr5FtRQL4tbmSdIzhx6_m4wkOD7IG-k_eo/edit#gid=1336395716"", ""Science!M:N""), 2, FALSE)"),"Evaluate the differences between objects in the state of rest and objects in the state of motion")</f>
        <v>Evaluate the differences between objects in the state of rest and objects in the state of motion</v>
      </c>
      <c r="S44" s="10" t="str">
        <f t="shared" si="5"/>
        <v>LU005177.006</v>
      </c>
      <c r="T44" s="10" t="str">
        <f ca="1">IFERROR(__xludf.DUMMYFUNCTION("VLOOKUP(S44, IMPORTRANGE(""https://docs.google.com/spreadsheets/d/1yDAaXNsi4Mr5FtRQL4tbmSdIzhx6_m4wkOD7IG-k_eo/edit#gid=1336395716"", ""Science!M:N""), 2, FALSE)"),"#N/A")</f>
        <v>#N/A</v>
      </c>
      <c r="U44" s="38">
        <f ca="1">IFERROR(__xludf.DUMMYFUNCTION("ArrayFormula(VLOOKUP(G44, IMPORTRANGE(""https://docs.google.com/spreadsheets/d/1p7R4vtkWt5VOBim4ltsDG9KTzSjrtKXsMtQGXPHyND0/edit#gid=795171502"", ""'Filter 30_05_2024'!A1:M2000""), {2, 3, 4, 5,6,7,8,9,10,11,12,13}, 0))"),4)</f>
        <v>4</v>
      </c>
      <c r="V44" s="11">
        <f ca="1">IFERROR(__xludf.DUMMYFUNCTION("""COMPUTED_VALUE"""),6)</f>
        <v>6</v>
      </c>
      <c r="W44" s="11">
        <f ca="1">IFERROR(__xludf.DUMMYFUNCTION("""COMPUTED_VALUE"""),2)</f>
        <v>2</v>
      </c>
      <c r="X44" s="11">
        <f ca="1">IFERROR(__xludf.DUMMYFUNCTION("""COMPUTED_VALUE"""),12)</f>
        <v>12</v>
      </c>
      <c r="Y44" s="11">
        <f ca="1">IFERROR(__xludf.DUMMYFUNCTION("""COMPUTED_VALUE"""),4)</f>
        <v>4</v>
      </c>
      <c r="Z44" s="115">
        <f ca="1">IFERROR(__xludf.DUMMYFUNCTION("""COMPUTED_VALUE"""),3)</f>
        <v>3</v>
      </c>
      <c r="AA44" s="12">
        <f ca="1">IFERROR(__xludf.DUMMYFUNCTION("""COMPUTED_VALUE"""),1)</f>
        <v>1</v>
      </c>
      <c r="AB44" s="12">
        <f ca="1">IFERROR(__xludf.DUMMYFUNCTION("""COMPUTED_VALUE"""),8)</f>
        <v>8</v>
      </c>
      <c r="AC44" s="12"/>
      <c r="AD44" s="12"/>
      <c r="AE44" s="12"/>
      <c r="AF44" s="12"/>
      <c r="AG44" s="13" t="str">
        <f ca="1">IFERROR(__xludf.DUMMYFUNCTION("ArrayFormula(VLOOKUP(G44, IMPORTRANGE(""https://docs.google.com/spreadsheets/d/1Co934fvtviyaRiMsrIlT05Jaq7iiYq07aLvRr35KA48/edit?gid=173865642#gid=173865642"", ""'G6_Sci_Pri_LU'!G2:V2000""), {3, 4, 5, 6, 7, 8, 9, 10, 11, 12, 13, 14, 15, 16}, 0))"),"")</f>
        <v/>
      </c>
      <c r="AH44" s="13"/>
      <c r="AI44" s="13"/>
      <c r="AJ44" s="13"/>
      <c r="AK44" s="13"/>
      <c r="AL44" s="13"/>
      <c r="AM44" s="13"/>
      <c r="AN44" s="13"/>
      <c r="AO44" s="13"/>
      <c r="AP44" s="13"/>
      <c r="AQ44" s="13"/>
      <c r="AR44" s="13"/>
      <c r="AS44" s="13"/>
      <c r="AT44" s="13"/>
    </row>
    <row r="45" spans="1:46">
      <c r="A45" s="8" t="s">
        <v>247</v>
      </c>
      <c r="B45" s="8" t="s">
        <v>47</v>
      </c>
      <c r="C45" s="8" t="s">
        <v>48</v>
      </c>
      <c r="D45" s="8" t="s">
        <v>1510</v>
      </c>
      <c r="E45" s="8" t="s">
        <v>1716</v>
      </c>
      <c r="F45" s="118" t="s">
        <v>1726</v>
      </c>
      <c r="G45" s="118" t="s">
        <v>1533</v>
      </c>
      <c r="H45" s="118" t="str">
        <f ca="1">IFERROR(__xludf.DUMMYFUNCTION("VLOOKUP(G45, IMPORTRANGE(""https://docs.google.com/spreadsheets/d/14deopnvwcrKtEGCKuYXdUHJbeLDZlkiSSWWT0g7x2pM/edit#gid=849066331"", ""LU List Science (Filter)!A:B""), 2, FALSE)"),"Motion in Straight Line")</f>
        <v>Motion in Straight Line</v>
      </c>
      <c r="I45" s="10" t="str">
        <f t="shared" si="0"/>
        <v>LU005186.001</v>
      </c>
      <c r="J45" s="10" t="str">
        <f ca="1">IFERROR(__xludf.DUMMYFUNCTION("VLOOKUP(I45, IMPORTRANGE(""https://docs.google.com/spreadsheets/d/1yDAaXNsi4Mr5FtRQL4tbmSdIzhx6_m4wkOD7IG-k_eo/edit#gid=1336395716"", ""Science!M:N""), 2, FALSE)"),"Identify real-world examples of objects moving in a straight line.")</f>
        <v>Identify real-world examples of objects moving in a straight line.</v>
      </c>
      <c r="K45" s="10" t="str">
        <f t="shared" si="1"/>
        <v>LU005186.002</v>
      </c>
      <c r="L45" s="10" t="str">
        <f ca="1">IFERROR(__xludf.DUMMYFUNCTION("VLOOKUP(K45, IMPORTRANGE(""https://docs.google.com/spreadsheets/d/1yDAaXNsi4Mr5FtRQL4tbmSdIzhx6_m4wkOD7IG-k_eo/edit#gid=1336395716"", ""Science!M:N""), 2, FALSE)"),"Describe the characteristics of motion in a straight line.")</f>
        <v>Describe the characteristics of motion in a straight line.</v>
      </c>
      <c r="M45" s="10" t="str">
        <f t="shared" si="2"/>
        <v>LU005186.003</v>
      </c>
      <c r="N45" s="10" t="str">
        <f ca="1">IFERROR(__xludf.DUMMYFUNCTION("VLOOKUP(M45, IMPORTRANGE(""https://docs.google.com/spreadsheets/d/1yDAaXNsi4Mr5FtRQL4tbmSdIzhx6_m4wkOD7IG-k_eo/edit#gid=1336395716"", ""Science!M:N""), 2, FALSE)"),"Apply knowledge of straight-line motion to predict the path of moving objects in controlled scenarios.")</f>
        <v>Apply knowledge of straight-line motion to predict the path of moving objects in controlled scenarios.</v>
      </c>
      <c r="O45" s="10" t="str">
        <f t="shared" si="3"/>
        <v>LU005186.004</v>
      </c>
      <c r="P45" s="10" t="str">
        <f ca="1">IFERROR(__xludf.DUMMYFUNCTION("VLOOKUP(O45, IMPORTRANGE(""https://docs.google.com/spreadsheets/d/1yDAaXNsi4Mr5FtRQL4tbmSdIzhx6_m4wkOD7IG-k_eo/edit#gid=1336395716"", ""Science!M:N""), 2, FALSE)"),"Analyze the factors that ensure an object's motion remains rectilinear.")</f>
        <v>Analyze the factors that ensure an object's motion remains rectilinear.</v>
      </c>
      <c r="Q45" s="10" t="str">
        <f t="shared" si="4"/>
        <v>LU005186.005</v>
      </c>
      <c r="R45" s="10" t="str">
        <f ca="1">IFERROR(__xludf.DUMMYFUNCTION("VLOOKUP(Q45, IMPORTRANGE(""https://docs.google.com/spreadsheets/d/1yDAaXNsi4Mr5FtRQL4tbmSdIzhx6_m4wkOD7IG-k_eo/edit#gid=1336395716"", ""Science!M:N""), 2, FALSE)"),"Evaluate different types of motion in a straight line and their practical applications in daily life.")</f>
        <v>Evaluate different types of motion in a straight line and their practical applications in daily life.</v>
      </c>
      <c r="S45" s="10" t="str">
        <f t="shared" si="5"/>
        <v>LU005186.006</v>
      </c>
      <c r="T45" s="10" t="str">
        <f ca="1">IFERROR(__xludf.DUMMYFUNCTION("VLOOKUP(S45, IMPORTRANGE(""https://docs.google.com/spreadsheets/d/1yDAaXNsi4Mr5FtRQL4tbmSdIzhx6_m4wkOD7IG-k_eo/edit#gid=1336395716"", ""Science!M:N""), 2, FALSE)"),"#N/A")</f>
        <v>#N/A</v>
      </c>
      <c r="U45" s="38">
        <f ca="1">IFERROR(__xludf.DUMMYFUNCTION("ArrayFormula(VLOOKUP(G45, IMPORTRANGE(""https://docs.google.com/spreadsheets/d/1p7R4vtkWt5VOBim4ltsDG9KTzSjrtKXsMtQGXPHyND0/edit#gid=795171502"", ""'Filter 30_05_2024'!A1:M2000""), {2, 3, 4, 5,6,7,8,9,10,11,12,13}, 0))"),4)</f>
        <v>4</v>
      </c>
      <c r="V45" s="11">
        <f ca="1">IFERROR(__xludf.DUMMYFUNCTION("""COMPUTED_VALUE"""),6)</f>
        <v>6</v>
      </c>
      <c r="W45" s="11">
        <f ca="1">IFERROR(__xludf.DUMMYFUNCTION("""COMPUTED_VALUE"""),2)</f>
        <v>2</v>
      </c>
      <c r="X45" s="11">
        <f ca="1">IFERROR(__xludf.DUMMYFUNCTION("""COMPUTED_VALUE"""),12)</f>
        <v>12</v>
      </c>
      <c r="Y45" s="11">
        <f ca="1">IFERROR(__xludf.DUMMYFUNCTION("""COMPUTED_VALUE"""),4)</f>
        <v>4</v>
      </c>
      <c r="Z45" s="12">
        <f ca="1">IFERROR(__xludf.DUMMYFUNCTION("""COMPUTED_VALUE"""),3)</f>
        <v>3</v>
      </c>
      <c r="AA45" s="12">
        <f ca="1">IFERROR(__xludf.DUMMYFUNCTION("""COMPUTED_VALUE"""),1)</f>
        <v>1</v>
      </c>
      <c r="AB45" s="12">
        <f ca="1">IFERROR(__xludf.DUMMYFUNCTION("""COMPUTED_VALUE"""),8)</f>
        <v>8</v>
      </c>
      <c r="AC45" s="12"/>
      <c r="AD45" s="12"/>
      <c r="AE45" s="12"/>
      <c r="AF45" s="12"/>
      <c r="AG45" s="13" t="str">
        <f ca="1">IFERROR(__xludf.DUMMYFUNCTION("ArrayFormula(VLOOKUP(G45, IMPORTRANGE(""https://docs.google.com/spreadsheets/d/1Co934fvtviyaRiMsrIlT05Jaq7iiYq07aLvRr35KA48/edit?gid=173865642#gid=173865642"", ""'G6_Sci_Pri_LU'!G2:V2000""), {3, 4, 5, 6, 7, 8, 9, 10, 11, 12, 13, 14, 15, 16}, 0))"),"LU005177")</f>
        <v>LU005177</v>
      </c>
      <c r="AH45" s="13" t="str">
        <f ca="1">IFERROR(__xludf.DUMMYFUNCTION("""COMPUTED_VALUE"""),"Comparison of object in the State of rest vs State of Motion")</f>
        <v>Comparison of object in the State of rest vs State of Motion</v>
      </c>
      <c r="AI45" s="13"/>
      <c r="AJ45" s="13"/>
      <c r="AK45" s="13"/>
      <c r="AL45" s="13"/>
      <c r="AM45" s="13"/>
      <c r="AN45" s="13"/>
      <c r="AO45" s="13"/>
      <c r="AP45" s="13"/>
      <c r="AQ45" s="13"/>
      <c r="AR45" s="13"/>
      <c r="AS45" s="13"/>
      <c r="AT45" s="13"/>
    </row>
    <row r="46" spans="1:46">
      <c r="A46" s="8" t="s">
        <v>247</v>
      </c>
      <c r="B46" s="8" t="s">
        <v>47</v>
      </c>
      <c r="C46" s="8" t="s">
        <v>48</v>
      </c>
      <c r="D46" s="8" t="s">
        <v>1510</v>
      </c>
      <c r="E46" s="8" t="s">
        <v>1716</v>
      </c>
      <c r="F46" s="118" t="s">
        <v>1726</v>
      </c>
      <c r="G46" s="118" t="s">
        <v>1535</v>
      </c>
      <c r="H46" s="118" t="str">
        <f ca="1">IFERROR(__xludf.DUMMYFUNCTION("VLOOKUP(G46, IMPORTRANGE(""https://docs.google.com/spreadsheets/d/14deopnvwcrKtEGCKuYXdUHJbeLDZlkiSSWWT0g7x2pM/edit#gid=849066331"", ""LU List Science (Filter)!A:B""), 2, FALSE)"),"Understanding the Basics of Circular Motion")</f>
        <v>Understanding the Basics of Circular Motion</v>
      </c>
      <c r="I46" s="10" t="str">
        <f t="shared" si="0"/>
        <v>LU005187.001</v>
      </c>
      <c r="J46" s="10" t="str">
        <f ca="1">IFERROR(__xludf.DUMMYFUNCTION("VLOOKUP(I46, IMPORTRANGE(""https://docs.google.com/spreadsheets/d/1yDAaXNsi4Mr5FtRQL4tbmSdIzhx6_m4wkOD7IG-k_eo/edit#gid=1336395716"", ""Science!M:N""), 2, FALSE)"),"Define what circular motion means.")</f>
        <v>Define what circular motion means.</v>
      </c>
      <c r="K46" s="10" t="str">
        <f t="shared" si="1"/>
        <v>LU005187.002</v>
      </c>
      <c r="L46" s="10" t="str">
        <f ca="1">IFERROR(__xludf.DUMMYFUNCTION("VLOOKUP(K46, IMPORTRANGE(""https://docs.google.com/spreadsheets/d/1yDAaXNsi4Mr5FtRQL4tbmSdIzhx6_m4wkOD7IG-k_eo/edit#gid=1336395716"", ""Science!M:N""), 2, FALSE)"),"Point out everyday examples of circular motion. ")</f>
        <v xml:space="preserve">Point out everyday examples of circular motion. </v>
      </c>
      <c r="M46" s="10" t="str">
        <f t="shared" si="2"/>
        <v>LU005187.003</v>
      </c>
      <c r="N46" s="10" t="str">
        <f ca="1">IFERROR(__xludf.DUMMYFUNCTION("VLOOKUP(M46, IMPORTRANGE(""https://docs.google.com/spreadsheets/d/1yDAaXNsi4Mr5FtRQL4tbmSdIzhx6_m4wkOD7IG-k_eo/edit#gid=1336395716"", ""Science!M:N""), 2, FALSE)"),"Compare circular with other types of motion.")</f>
        <v>Compare circular with other types of motion.</v>
      </c>
      <c r="O46" s="10" t="str">
        <f t="shared" si="3"/>
        <v>LU005187.004</v>
      </c>
      <c r="P46" s="10" t="str">
        <f ca="1">IFERROR(__xludf.DUMMYFUNCTION("VLOOKUP(O46, IMPORTRANGE(""https://docs.google.com/spreadsheets/d/1yDAaXNsi4Mr5FtRQL4tbmSdIzhx6_m4wkOD7IG-k_eo/edit#gid=1336395716"", ""Science!M:N""), 2, FALSE)"),"Demonstrate circular motion with hands or with toys.")</f>
        <v>Demonstrate circular motion with hands or with toys.</v>
      </c>
      <c r="Q46" s="10" t="str">
        <f t="shared" si="4"/>
        <v>LU005187.005</v>
      </c>
      <c r="R46" s="10" t="str">
        <f ca="1">IFERROR(__xludf.DUMMYFUNCTION("VLOOKUP(Q46, IMPORTRANGE(""https://docs.google.com/spreadsheets/d/1yDAaXNsi4Mr5FtRQL4tbmSdIzhx6_m4wkOD7IG-k_eo/edit#gid=1336395716"", ""Science!M:N""), 2, FALSE)"),"Assess how circular motion affects objects and its relevance to activities like amusement park rides.")</f>
        <v>Assess how circular motion affects objects and its relevance to activities like amusement park rides.</v>
      </c>
      <c r="S46" s="10" t="str">
        <f t="shared" si="5"/>
        <v>LU005187.006</v>
      </c>
      <c r="T46" s="10" t="str">
        <f ca="1">IFERROR(__xludf.DUMMYFUNCTION("VLOOKUP(S46, IMPORTRANGE(""https://docs.google.com/spreadsheets/d/1yDAaXNsi4Mr5FtRQL4tbmSdIzhx6_m4wkOD7IG-k_eo/edit#gid=1336395716"", ""Science!M:N""), 2, FALSE)"),"#N/A")</f>
        <v>#N/A</v>
      </c>
      <c r="U46" s="38">
        <f ca="1">IFERROR(__xludf.DUMMYFUNCTION("ArrayFormula(VLOOKUP(G46, IMPORTRANGE(""https://docs.google.com/spreadsheets/d/1p7R4vtkWt5VOBim4ltsDG9KTzSjrtKXsMtQGXPHyND0/edit#gid=795171502"", ""'Filter 30_05_2024'!A1:M2000""), {2, 3, 4, 5,6,7,8,9,10,11,12,13}, 0))"),3)</f>
        <v>3</v>
      </c>
      <c r="V46" s="38">
        <f ca="1">IFERROR(__xludf.DUMMYFUNCTION("""COMPUTED_VALUE"""),3)</f>
        <v>3</v>
      </c>
      <c r="W46" s="11">
        <f ca="1">IFERROR(__xludf.DUMMYFUNCTION("""COMPUTED_VALUE"""),2)</f>
        <v>2</v>
      </c>
      <c r="X46" s="11">
        <f ca="1">IFERROR(__xludf.DUMMYFUNCTION("""COMPUTED_VALUE"""),8)</f>
        <v>8</v>
      </c>
      <c r="Y46" s="11">
        <f ca="1">IFERROR(__xludf.DUMMYFUNCTION("""COMPUTED_VALUE"""),5)</f>
        <v>5</v>
      </c>
      <c r="Z46" s="12">
        <f ca="1">IFERROR(__xludf.DUMMYFUNCTION("""COMPUTED_VALUE"""),3)</f>
        <v>3</v>
      </c>
      <c r="AA46" s="12">
        <f ca="1">IFERROR(__xludf.DUMMYFUNCTION("""COMPUTED_VALUE"""),1)</f>
        <v>1</v>
      </c>
      <c r="AB46" s="12">
        <f ca="1">IFERROR(__xludf.DUMMYFUNCTION("""COMPUTED_VALUE"""),9)</f>
        <v>9</v>
      </c>
      <c r="AC46" s="12"/>
      <c r="AD46" s="12"/>
      <c r="AE46" s="12"/>
      <c r="AF46" s="12"/>
      <c r="AG46" s="13" t="str">
        <f ca="1">IFERROR(__xludf.DUMMYFUNCTION("ArrayFormula(VLOOKUP(G46, IMPORTRANGE(""https://docs.google.com/spreadsheets/d/1Co934fvtviyaRiMsrIlT05Jaq7iiYq07aLvRr35KA48/edit?gid=173865642#gid=173865642"", ""'G6_Sci_Pri_LU'!G2:V2000""), {3, 4, 5, 6, 7, 8, 9, 10, 11, 12, 13, 14, 15, 16}, 0))"),"LU005177")</f>
        <v>LU005177</v>
      </c>
      <c r="AH46" s="13" t="str">
        <f ca="1">IFERROR(__xludf.DUMMYFUNCTION("""COMPUTED_VALUE"""),"Comparison of object in the State of rest vs State of Motion")</f>
        <v>Comparison of object in the State of rest vs State of Motion</v>
      </c>
      <c r="AI46" s="13"/>
      <c r="AJ46" s="13"/>
      <c r="AK46" s="13"/>
      <c r="AL46" s="13"/>
      <c r="AM46" s="13"/>
      <c r="AN46" s="13"/>
      <c r="AO46" s="13"/>
      <c r="AP46" s="13"/>
      <c r="AQ46" s="13"/>
      <c r="AR46" s="13"/>
      <c r="AS46" s="13"/>
      <c r="AT46" s="13"/>
    </row>
    <row r="47" spans="1:46">
      <c r="A47" s="8" t="s">
        <v>247</v>
      </c>
      <c r="B47" s="8" t="s">
        <v>47</v>
      </c>
      <c r="C47" s="8" t="s">
        <v>48</v>
      </c>
      <c r="D47" s="8" t="s">
        <v>1510</v>
      </c>
      <c r="E47" s="8" t="s">
        <v>1716</v>
      </c>
      <c r="F47" s="118" t="s">
        <v>1727</v>
      </c>
      <c r="G47" s="118" t="s">
        <v>1728</v>
      </c>
      <c r="H47" s="118" t="str">
        <f ca="1">IFERROR(__xludf.DUMMYFUNCTION("VLOOKUP(G47, IMPORTRANGE(""https://docs.google.com/spreadsheets/d/14deopnvwcrKtEGCKuYXdUHJbeLDZlkiSSWWT0g7x2pM/edit#gid=849066331"", ""LU List Science (Filter)!A:B""), 2, FALSE)"),"Understanding the Basics of Rotational Motion")</f>
        <v>Understanding the Basics of Rotational Motion</v>
      </c>
      <c r="I47" s="10" t="str">
        <f t="shared" si="0"/>
        <v>LU005188.001</v>
      </c>
      <c r="J47" s="10" t="str">
        <f ca="1">IFERROR(__xludf.DUMMYFUNCTION("VLOOKUP(I47, IMPORTRANGE(""https://docs.google.com/spreadsheets/d/1yDAaXNsi4Mr5FtRQL4tbmSdIzhx6_m4wkOD7IG-k_eo/edit#gid=1336395716"", ""Science!M:N""), 2, FALSE)"),"Identify things that spin or rotate in daily life.")</f>
        <v>Identify things that spin or rotate in daily life.</v>
      </c>
      <c r="K47" s="10" t="str">
        <f t="shared" si="1"/>
        <v>LU005188.002</v>
      </c>
      <c r="L47" s="10" t="str">
        <f ca="1">IFERROR(__xludf.DUMMYFUNCTION("VLOOKUP(K47, IMPORTRANGE(""https://docs.google.com/spreadsheets/d/1yDAaXNsi4Mr5FtRQL4tbmSdIzhx6_m4wkOD7IG-k_eo/edit#gid=1336395716"", ""Science!M:N""), 2, FALSE)"),"Describe rotational motion using simple language.")</f>
        <v>Describe rotational motion using simple language.</v>
      </c>
      <c r="M47" s="10" t="str">
        <f t="shared" si="2"/>
        <v>LU005188.003</v>
      </c>
      <c r="N47" s="10" t="str">
        <f ca="1">IFERROR(__xludf.DUMMYFUNCTION("VLOOKUP(M47, IMPORTRANGE(""https://docs.google.com/spreadsheets/d/1yDAaXNsi4Mr5FtRQL4tbmSdIzhx6_m4wkOD7IG-k_eo/edit#gid=1336395716"", ""Science!M:N""), 2, FALSE)"),"Show examples of rotational motion using hands or household items.")</f>
        <v>Show examples of rotational motion using hands or household items.</v>
      </c>
      <c r="O47" s="10" t="str">
        <f t="shared" si="3"/>
        <v>LU005188.004</v>
      </c>
      <c r="P47" s="10" t="str">
        <f ca="1">IFERROR(__xludf.DUMMYFUNCTION("VLOOKUP(O47, IMPORTRANGE(""https://docs.google.com/spreadsheets/d/1yDAaXNsi4Mr5FtRQL4tbmSdIzhx6_m4wkOD7IG-k_eo/edit#gid=1336395716"", ""Science!M:N""), 2, FALSE)"),"Differentiate between spinning and non-spinning movements.")</f>
        <v>Differentiate between spinning and non-spinning movements.</v>
      </c>
      <c r="Q47" s="10" t="str">
        <f t="shared" si="4"/>
        <v>LU005188.005</v>
      </c>
      <c r="R47" s="10" t="str">
        <f ca="1">IFERROR(__xludf.DUMMYFUNCTION("VLOOKUP(Q47, IMPORTRANGE(""https://docs.google.com/spreadsheets/d/1yDAaXNsi4Mr5FtRQL4tbmSdIzhx6_m4wkOD7IG-k_eo/edit#gid=1336395716"", ""Science!M:N""), 2, FALSE)"),"Assess where rotational motion occurs in everyday situations and explain its characteristics.")</f>
        <v>Assess where rotational motion occurs in everyday situations and explain its characteristics.</v>
      </c>
      <c r="S47" s="10" t="str">
        <f t="shared" si="5"/>
        <v>LU005188.006</v>
      </c>
      <c r="T47" s="10" t="str">
        <f ca="1">IFERROR(__xludf.DUMMYFUNCTION("VLOOKUP(S47, IMPORTRANGE(""https://docs.google.com/spreadsheets/d/1yDAaXNsi4Mr5FtRQL4tbmSdIzhx6_m4wkOD7IG-k_eo/edit#gid=1336395716"", ""Science!M:N""), 2, FALSE)"),"#N/A")</f>
        <v>#N/A</v>
      </c>
      <c r="U47" s="38">
        <f ca="1">IFERROR(__xludf.DUMMYFUNCTION("ArrayFormula(VLOOKUP(G47, IMPORTRANGE(""https://docs.google.com/spreadsheets/d/1p7R4vtkWt5VOBim4ltsDG9KTzSjrtKXsMtQGXPHyND0/edit#gid=795171502"", ""'Filter 30_05_2024'!A1:M2000""), {2, 3, 4, 5,6,7,8,9,10,11,12,13}, 0))"),3)</f>
        <v>3</v>
      </c>
      <c r="V47" s="11">
        <f ca="1">IFERROR(__xludf.DUMMYFUNCTION("""COMPUTED_VALUE"""),6)</f>
        <v>6</v>
      </c>
      <c r="W47" s="38">
        <f ca="1">IFERROR(__xludf.DUMMYFUNCTION("""COMPUTED_VALUE"""),1)</f>
        <v>1</v>
      </c>
      <c r="X47" s="11">
        <f ca="1">IFERROR(__xludf.DUMMYFUNCTION("""COMPUTED_VALUE"""),10)</f>
        <v>10</v>
      </c>
      <c r="Y47" s="11">
        <f ca="1">IFERROR(__xludf.DUMMYFUNCTION("""COMPUTED_VALUE"""),4)</f>
        <v>4</v>
      </c>
      <c r="Z47" s="12">
        <f ca="1">IFERROR(__xludf.DUMMYFUNCTION("""COMPUTED_VALUE"""),3)</f>
        <v>3</v>
      </c>
      <c r="AA47" s="115"/>
      <c r="AB47" s="12">
        <f ca="1">IFERROR(__xludf.DUMMYFUNCTION("""COMPUTED_VALUE"""),7)</f>
        <v>7</v>
      </c>
      <c r="AC47" s="12"/>
      <c r="AD47" s="12"/>
      <c r="AE47" s="12"/>
      <c r="AF47" s="12"/>
      <c r="AG47" s="13" t="str">
        <f ca="1">IFERROR(__xludf.DUMMYFUNCTION("ArrayFormula(VLOOKUP(G47, IMPORTRANGE(""https://docs.google.com/spreadsheets/d/1Co934fvtviyaRiMsrIlT05Jaq7iiYq07aLvRr35KA48/edit?gid=173865642#gid=173865642"", ""'G6_Sci_Pri_LU'!G2:V2000""), {3, 4, 5, 6, 7, 8, 9, 10, 11, 12, 13, 14, 15, 16}, 0))"),"LU005187")</f>
        <v>LU005187</v>
      </c>
      <c r="AH47" s="13" t="str">
        <f ca="1">IFERROR(__xludf.DUMMYFUNCTION("""COMPUTED_VALUE"""),"Understanding the Basics of Circular Motion")</f>
        <v>Understanding the Basics of Circular Motion</v>
      </c>
      <c r="AI47" s="13" t="str">
        <f ca="1">IFERROR(__xludf.DUMMYFUNCTION("""COMPUTED_VALUE"""),"LU005177")</f>
        <v>LU005177</v>
      </c>
      <c r="AJ47" s="13" t="str">
        <f ca="1">IFERROR(__xludf.DUMMYFUNCTION("""COMPUTED_VALUE"""),"Comparison of object in the State of rest vs State of Motion")</f>
        <v>Comparison of object in the State of rest vs State of Motion</v>
      </c>
      <c r="AK47" s="13"/>
      <c r="AL47" s="13"/>
      <c r="AM47" s="13"/>
      <c r="AN47" s="13"/>
      <c r="AO47" s="13"/>
      <c r="AP47" s="13"/>
      <c r="AQ47" s="13"/>
      <c r="AR47" s="13"/>
      <c r="AS47" s="13"/>
      <c r="AT47" s="13"/>
    </row>
    <row r="48" spans="1:46">
      <c r="A48" s="8" t="s">
        <v>247</v>
      </c>
      <c r="B48" s="8" t="s">
        <v>47</v>
      </c>
      <c r="C48" s="8" t="s">
        <v>48</v>
      </c>
      <c r="D48" s="8" t="s">
        <v>1510</v>
      </c>
      <c r="E48" s="8" t="s">
        <v>1716</v>
      </c>
      <c r="F48" s="118" t="s">
        <v>1727</v>
      </c>
      <c r="G48" s="118" t="s">
        <v>1540</v>
      </c>
      <c r="H48" s="118" t="str">
        <f ca="1">IFERROR(__xludf.DUMMYFUNCTION("VLOOKUP(G48, IMPORTRANGE(""https://docs.google.com/spreadsheets/d/14deopnvwcrKtEGCKuYXdUHJbeLDZlkiSSWWT0g7x2pM/edit#gid=849066331"", ""LU List Science (Filter)!A:B""), 2, FALSE)"),"Understanding the Basics of Periodic and Non-Periodic Motion")</f>
        <v>Understanding the Basics of Periodic and Non-Periodic Motion</v>
      </c>
      <c r="I48" s="10" t="str">
        <f t="shared" si="0"/>
        <v>LU005189.001</v>
      </c>
      <c r="J48" s="10" t="str">
        <f ca="1">IFERROR(__xludf.DUMMYFUNCTION("VLOOKUP(I48, IMPORTRANGE(""https://docs.google.com/spreadsheets/d/1yDAaXNsi4Mr5FtRQL4tbmSdIzhx6_m4wkOD7IG-k_eo/edit#gid=1336395716"", ""Science!M:N""), 2, FALSE)"),"Define periodic and non-periodic motion in simple terms.")</f>
        <v>Define periodic and non-periodic motion in simple terms.</v>
      </c>
      <c r="K48" s="10" t="str">
        <f t="shared" si="1"/>
        <v>LU005189.002</v>
      </c>
      <c r="L48" s="10" t="str">
        <f ca="1">IFERROR(__xludf.DUMMYFUNCTION("VLOOKUP(K48, IMPORTRANGE(""https://docs.google.com/spreadsheets/d/1yDAaXNsi4Mr5FtRQL4tbmSdIzhx6_m4wkOD7IG-k_eo/edit#gid=1336395716"", ""Science!M:N""), 2, FALSE)"),"Identify everyday examples of periodic and non-periodic motions.")</f>
        <v>Identify everyday examples of periodic and non-periodic motions.</v>
      </c>
      <c r="M48" s="10" t="str">
        <f t="shared" si="2"/>
        <v>LU005189.003</v>
      </c>
      <c r="N48" s="10" t="str">
        <f ca="1">IFERROR(__xludf.DUMMYFUNCTION("VLOOKUP(M48, IMPORTRANGE(""https://docs.google.com/spreadsheets/d/1yDAaXNsi4Mr5FtRQL4tbmSdIzhx6_m4wkOD7IG-k_eo/edit#gid=1336395716"", ""Science!M:N""), 2, FALSE)"),"Classify observed movements as periodic or non-periodic.")</f>
        <v>Classify observed movements as periodic or non-periodic.</v>
      </c>
      <c r="O48" s="10" t="str">
        <f t="shared" si="3"/>
        <v>LU005189.004</v>
      </c>
      <c r="P48" s="10" t="str">
        <f ca="1">IFERROR(__xludf.DUMMYFUNCTION("VLOOKUP(O48, IMPORTRANGE(""https://docs.google.com/spreadsheets/d/1yDAaXNsi4Mr5FtRQL4tbmSdIzhx6_m4wkOD7IG-k_eo/edit#gid=1336395716"", ""Science!M:N""), 2, FALSE)"),"Demonstrate an example of each type of motion.")</f>
        <v>Demonstrate an example of each type of motion.</v>
      </c>
      <c r="Q48" s="10" t="str">
        <f t="shared" si="4"/>
        <v>LU005189.005</v>
      </c>
      <c r="R48" s="10" t="str">
        <f ca="1">IFERROR(__xludf.DUMMYFUNCTION("VLOOKUP(Q48, IMPORTRANGE(""https://docs.google.com/spreadsheets/d/1yDAaXNsi4Mr5FtRQL4tbmSdIzhx6_m4wkOD7IG-k_eo/edit#gid=1336395716"", ""Science!M:N""), 2, FALSE)"),"Compare the differences between periodic and non-periodic motion using examples, and discuss their significance.")</f>
        <v>Compare the differences between periodic and non-periodic motion using examples, and discuss their significance.</v>
      </c>
      <c r="S48" s="10" t="str">
        <f t="shared" si="5"/>
        <v>LU005189.006</v>
      </c>
      <c r="T48" s="10" t="str">
        <f ca="1">IFERROR(__xludf.DUMMYFUNCTION("VLOOKUP(S48, IMPORTRANGE(""https://docs.google.com/spreadsheets/d/1yDAaXNsi4Mr5FtRQL4tbmSdIzhx6_m4wkOD7IG-k_eo/edit#gid=1336395716"", ""Science!M:N""), 2, FALSE)"),"#N/A")</f>
        <v>#N/A</v>
      </c>
      <c r="U48" s="38">
        <f ca="1">IFERROR(__xludf.DUMMYFUNCTION("ArrayFormula(VLOOKUP(G48, IMPORTRANGE(""https://docs.google.com/spreadsheets/d/1p7R4vtkWt5VOBim4ltsDG9KTzSjrtKXsMtQGXPHyND0/edit#gid=795171502"", ""'Filter 30_05_2024'!A1:M2000""), {2, 3, 4, 5,6,7,8,9,10,11,12,13}, 0))"),4)</f>
        <v>4</v>
      </c>
      <c r="V48" s="38">
        <f ca="1">IFERROR(__xludf.DUMMYFUNCTION("""COMPUTED_VALUE"""),6)</f>
        <v>6</v>
      </c>
      <c r="W48" s="38">
        <f ca="1">IFERROR(__xludf.DUMMYFUNCTION("""COMPUTED_VALUE"""),2)</f>
        <v>2</v>
      </c>
      <c r="X48" s="11">
        <f ca="1">IFERROR(__xludf.DUMMYFUNCTION("""COMPUTED_VALUE"""),12)</f>
        <v>12</v>
      </c>
      <c r="Y48" s="11">
        <f ca="1">IFERROR(__xludf.DUMMYFUNCTION("""COMPUTED_VALUE"""),4)</f>
        <v>4</v>
      </c>
      <c r="Z48" s="12">
        <f ca="1">IFERROR(__xludf.DUMMYFUNCTION("""COMPUTED_VALUE"""),3)</f>
        <v>3</v>
      </c>
      <c r="AA48" s="12">
        <f ca="1">IFERROR(__xludf.DUMMYFUNCTION("""COMPUTED_VALUE"""),1)</f>
        <v>1</v>
      </c>
      <c r="AB48" s="12">
        <f ca="1">IFERROR(__xludf.DUMMYFUNCTION("""COMPUTED_VALUE"""),8)</f>
        <v>8</v>
      </c>
      <c r="AC48" s="12"/>
      <c r="AD48" s="12"/>
      <c r="AE48" s="12"/>
      <c r="AF48" s="12"/>
      <c r="AG48" s="13" t="str">
        <f ca="1">IFERROR(__xludf.DUMMYFUNCTION("ArrayFormula(VLOOKUP(G48, IMPORTRANGE(""https://docs.google.com/spreadsheets/d/1Co934fvtviyaRiMsrIlT05Jaq7iiYq07aLvRr35KA48/edit?gid=173865642#gid=173865642"", ""'G6_Sci_Pri_LU'!G2:V2000""), {3, 4, 5, 6, 7, 8, 9, 10, 11, 12, 13, 14, 15, 16}, 0))"),"LU005190")</f>
        <v>LU005190</v>
      </c>
      <c r="AH48" s="13" t="str">
        <f ca="1">IFERROR(__xludf.DUMMYFUNCTION("""COMPUTED_VALUE"""),"Understanding the Basics of Oscillatory Motion")</f>
        <v>Understanding the Basics of Oscillatory Motion</v>
      </c>
      <c r="AI48" s="13" t="str">
        <f ca="1">IFERROR(__xludf.DUMMYFUNCTION("""COMPUTED_VALUE"""),"LU005187")</f>
        <v>LU005187</v>
      </c>
      <c r="AJ48" s="13" t="str">
        <f ca="1">IFERROR(__xludf.DUMMYFUNCTION("""COMPUTED_VALUE"""),"Understanding the Basics of Circular Motion")</f>
        <v>Understanding the Basics of Circular Motion</v>
      </c>
      <c r="AK48" s="13"/>
      <c r="AL48" s="13"/>
      <c r="AM48" s="13"/>
      <c r="AN48" s="13"/>
      <c r="AO48" s="13"/>
      <c r="AP48" s="13"/>
      <c r="AQ48" s="13"/>
      <c r="AR48" s="13"/>
      <c r="AS48" s="13"/>
      <c r="AT48" s="13"/>
    </row>
    <row r="49" spans="1:46">
      <c r="A49" s="8" t="s">
        <v>247</v>
      </c>
      <c r="B49" s="8" t="s">
        <v>47</v>
      </c>
      <c r="C49" s="8" t="s">
        <v>48</v>
      </c>
      <c r="D49" s="8" t="s">
        <v>1510</v>
      </c>
      <c r="E49" s="8" t="s">
        <v>1716</v>
      </c>
      <c r="F49" s="118" t="s">
        <v>1727</v>
      </c>
      <c r="G49" s="118" t="s">
        <v>1729</v>
      </c>
      <c r="H49" s="118" t="str">
        <f ca="1">IFERROR(__xludf.DUMMYFUNCTION("VLOOKUP(G49, IMPORTRANGE(""https://docs.google.com/spreadsheets/d/14deopnvwcrKtEGCKuYXdUHJbeLDZlkiSSWWT0g7x2pM/edit#gid=849066331"", ""LU List Science (Filter)!A:B""), 2, FALSE)"),"Observing Combination of Motion in Everyday Life")</f>
        <v>Observing Combination of Motion in Everyday Life</v>
      </c>
      <c r="I49" s="10" t="str">
        <f t="shared" si="0"/>
        <v>LU005178.001</v>
      </c>
      <c r="J49" s="10" t="str">
        <f ca="1">IFERROR(__xludf.DUMMYFUNCTION("VLOOKUP(I49, IMPORTRANGE(""https://docs.google.com/spreadsheets/d/1yDAaXNsi4Mr5FtRQL4tbmSdIzhx6_m4wkOD7IG-k_eo/edit#gid=1336395716"", ""Science!M:N""), 2, FALSE)"),"Identify common objects or scenarios in daily life that exhibit a combination of motions.")</f>
        <v>Identify common objects or scenarios in daily life that exhibit a combination of motions.</v>
      </c>
      <c r="K49" s="10" t="str">
        <f t="shared" si="1"/>
        <v>LU005178.002</v>
      </c>
      <c r="L49" s="10" t="str">
        <f ca="1">IFERROR(__xludf.DUMMYFUNCTION("VLOOKUP(K49, IMPORTRANGE(""https://docs.google.com/spreadsheets/d/1yDAaXNsi4Mr5FtRQL4tbmSdIzhx6_m4wkOD7IG-k_eo/edit#gid=1336395716"", ""Science!M:N""), 2, FALSE)"),"Describe in simple terms what it means for an object to have more than one type of motion at the same time.")</f>
        <v>Describe in simple terms what it means for an object to have more than one type of motion at the same time.</v>
      </c>
      <c r="M49" s="10" t="str">
        <f t="shared" si="2"/>
        <v>LU005178.003</v>
      </c>
      <c r="N49" s="10" t="str">
        <f ca="1">IFERROR(__xludf.DUMMYFUNCTION("VLOOKUP(M49, IMPORTRANGE(""https://docs.google.com/spreadsheets/d/1yDAaXNsi4Mr5FtRQL4tbmSdIzhx6_m4wkOD7IG-k_eo/edit#gid=1336395716"", ""Science!M:N""), 2, FALSE)"),"Point out specific parts of objects that are moving in different ways, like wheels of a toy car spinning (rotational) as the car moves forward (straight line).")</f>
        <v>Point out specific parts of objects that are moving in different ways, like wheels of a toy car spinning (rotational) as the car moves forward (straight line).</v>
      </c>
      <c r="O49" s="10" t="str">
        <f t="shared" si="3"/>
        <v>LU005178.004</v>
      </c>
      <c r="P49" s="10" t="str">
        <f ca="1">IFERROR(__xludf.DUMMYFUNCTION("VLOOKUP(O49, IMPORTRANGE(""https://docs.google.com/spreadsheets/d/1yDAaXNsi4Mr5FtRQL4tbmSdIzhx6_m4wkOD7IG-k_eo/edit#gid=1336395716"", ""Science!M:N""), 2, FALSE)"),"Demonstrate combined motions using hands, toys, or classroom materials.")</f>
        <v>Demonstrate combined motions using hands, toys, or classroom materials.</v>
      </c>
      <c r="Q49" s="10" t="str">
        <f t="shared" si="4"/>
        <v>LU005178.005</v>
      </c>
      <c r="R49" s="10" t="str">
        <f ca="1">IFERROR(__xludf.DUMMYFUNCTION("VLOOKUP(Q49, IMPORTRANGE(""https://docs.google.com/spreadsheets/d/1yDAaXNsi4Mr5FtRQL4tbmSdIzhx6_m4wkOD7IG-k_eo/edit#gid=1336395716"", ""Science!M:N""), 2, FALSE)"),"Evaluate how different types of motion combine in activities you observe or participate in daily, providing examples to support your evaluation.")</f>
        <v>Evaluate how different types of motion combine in activities you observe or participate in daily, providing examples to support your evaluation.</v>
      </c>
      <c r="S49" s="10" t="str">
        <f t="shared" si="5"/>
        <v>LU005178.006</v>
      </c>
      <c r="T49" s="10" t="str">
        <f ca="1">IFERROR(__xludf.DUMMYFUNCTION("VLOOKUP(S49, IMPORTRANGE(""https://docs.google.com/spreadsheets/d/1yDAaXNsi4Mr5FtRQL4tbmSdIzhx6_m4wkOD7IG-k_eo/edit#gid=1336395716"", ""Science!M:N""), 2, FALSE)"),"#N/A")</f>
        <v>#N/A</v>
      </c>
      <c r="U49" s="38">
        <f ca="1">IFERROR(__xludf.DUMMYFUNCTION("ArrayFormula(VLOOKUP(G49, IMPORTRANGE(""https://docs.google.com/spreadsheets/d/1p7R4vtkWt5VOBim4ltsDG9KTzSjrtKXsMtQGXPHyND0/edit#gid=795171502"", ""'Filter 30_05_2024'!A1:M2000""), {2, 3, 4, 5,6,7,8,9,10,11,12,13}, 0))"),4)</f>
        <v>4</v>
      </c>
      <c r="V49" s="11">
        <f ca="1">IFERROR(__xludf.DUMMYFUNCTION("""COMPUTED_VALUE"""),6)</f>
        <v>6</v>
      </c>
      <c r="W49" s="11">
        <f ca="1">IFERROR(__xludf.DUMMYFUNCTION("""COMPUTED_VALUE"""),2)</f>
        <v>2</v>
      </c>
      <c r="X49" s="11">
        <f ca="1">IFERROR(__xludf.DUMMYFUNCTION("""COMPUTED_VALUE"""),12)</f>
        <v>12</v>
      </c>
      <c r="Y49" s="11">
        <f ca="1">IFERROR(__xludf.DUMMYFUNCTION("""COMPUTED_VALUE"""),6)</f>
        <v>6</v>
      </c>
      <c r="Z49" s="12">
        <f ca="1">IFERROR(__xludf.DUMMYFUNCTION("""COMPUTED_VALUE"""),3)</f>
        <v>3</v>
      </c>
      <c r="AA49" s="12">
        <f ca="1">IFERROR(__xludf.DUMMYFUNCTION("""COMPUTED_VALUE"""),1)</f>
        <v>1</v>
      </c>
      <c r="AB49" s="12">
        <f ca="1">IFERROR(__xludf.DUMMYFUNCTION("""COMPUTED_VALUE"""),10)</f>
        <v>10</v>
      </c>
      <c r="AC49" s="12"/>
      <c r="AD49" s="12"/>
      <c r="AE49" s="12"/>
      <c r="AF49" s="12"/>
      <c r="AG49" s="13" t="str">
        <f ca="1">IFERROR(__xludf.DUMMYFUNCTION("ArrayFormula(VLOOKUP(G49, IMPORTRANGE(""https://docs.google.com/spreadsheets/d/1Co934fvtviyaRiMsrIlT05Jaq7iiYq07aLvRr35KA48/edit?gid=173865642#gid=173865642"", ""'G6_Sci_Pri_LU'!G2:V2000""), {3, 4, 5, 6, 7, 8, 9, 10, 11, 12, 13, 14, 15, 16}, 0))"),"LU005188")</f>
        <v>LU005188</v>
      </c>
      <c r="AH49" s="13" t="str">
        <f ca="1">IFERROR(__xludf.DUMMYFUNCTION("""COMPUTED_VALUE"""),"Understanding the Basics of Rotational Motion")</f>
        <v>Understanding the Basics of Rotational Motion</v>
      </c>
      <c r="AI49" s="13" t="str">
        <f ca="1">IFERROR(__xludf.DUMMYFUNCTION("""COMPUTED_VALUE"""),"LU005189")</f>
        <v>LU005189</v>
      </c>
      <c r="AJ49" s="13" t="str">
        <f ca="1">IFERROR(__xludf.DUMMYFUNCTION("""COMPUTED_VALUE"""),"Understanding the Basics of Periodic and Non-Periodic Motion")</f>
        <v>Understanding the Basics of Periodic and Non-Periodic Motion</v>
      </c>
      <c r="AK49" s="13" t="str">
        <f ca="1">IFERROR(__xludf.DUMMYFUNCTION("""COMPUTED_VALUE"""),"LU005187")</f>
        <v>LU005187</v>
      </c>
      <c r="AL49" s="13" t="str">
        <f ca="1">IFERROR(__xludf.DUMMYFUNCTION("""COMPUTED_VALUE"""),"Understanding the Basics of Circular Motion")</f>
        <v>Understanding the Basics of Circular Motion</v>
      </c>
      <c r="AM49" s="13"/>
      <c r="AN49" s="13"/>
      <c r="AO49" s="13"/>
      <c r="AP49" s="13"/>
      <c r="AQ49" s="13"/>
      <c r="AR49" s="13"/>
      <c r="AS49" s="13"/>
      <c r="AT49" s="13"/>
    </row>
    <row r="50" spans="1:46">
      <c r="A50" s="8" t="s">
        <v>247</v>
      </c>
      <c r="B50" s="8" t="s">
        <v>47</v>
      </c>
      <c r="C50" s="8" t="s">
        <v>48</v>
      </c>
      <c r="D50" s="8" t="s">
        <v>1510</v>
      </c>
      <c r="E50" s="8" t="s">
        <v>1730</v>
      </c>
      <c r="F50" s="118" t="s">
        <v>1731</v>
      </c>
      <c r="G50" s="118" t="s">
        <v>1732</v>
      </c>
      <c r="H50" s="118" t="str">
        <f ca="1">IFERROR(__xludf.DUMMYFUNCTION("VLOOKUP(G50, IMPORTRANGE(""https://docs.google.com/spreadsheets/d/14deopnvwcrKtEGCKuYXdUHJbeLDZlkiSSWWT0g7x2pM/edit#gid=849066331"", ""LU List Science (Filter)!A:B""), 2, FALSE)"),"Definition and examples of transparent objects")</f>
        <v>Definition and examples of transparent objects</v>
      </c>
      <c r="I50" s="10" t="str">
        <f t="shared" si="0"/>
        <v>LU005170.001</v>
      </c>
      <c r="J50" s="10" t="str">
        <f ca="1">IFERROR(__xludf.DUMMYFUNCTION("VLOOKUP(I50, IMPORTRANGE(""https://docs.google.com/spreadsheets/d/1yDAaXNsi4Mr5FtRQL4tbmSdIzhx6_m4wkOD7IG-k_eo/edit#gid=1336395716"", ""Science!M:N""), 2, FALSE)"),"Define transparent objects.")</f>
        <v>Define transparent objects.</v>
      </c>
      <c r="K50" s="10" t="str">
        <f t="shared" si="1"/>
        <v>LU005170.002</v>
      </c>
      <c r="L50" s="10" t="str">
        <f ca="1">IFERROR(__xludf.DUMMYFUNCTION("VLOOKUP(K50, IMPORTRANGE(""https://docs.google.com/spreadsheets/d/1yDAaXNsi4Mr5FtRQL4tbmSdIzhx6_m4wkOD7IG-k_eo/edit#gid=1336395716"", ""Science!M:N""), 2, FALSE)"),"Describe how transparent objects affect light.")</f>
        <v>Describe how transparent objects affect light.</v>
      </c>
      <c r="M50" s="10" t="str">
        <f t="shared" si="2"/>
        <v>LU005170.003</v>
      </c>
      <c r="N50" s="10" t="str">
        <f ca="1">IFERROR(__xludf.DUMMYFUNCTION("VLOOKUP(M50, IMPORTRANGE(""https://docs.google.com/spreadsheets/d/1yDAaXNsi4Mr5FtRQL4tbmSdIzhx6_m4wkOD7IG-k_eo/edit#gid=1336395716"", ""Science!M:N""), 2, FALSE)"),"Categorize given materials as transparent or non-transparent.")</f>
        <v>Categorize given materials as transparent or non-transparent.</v>
      </c>
      <c r="O50" s="10" t="str">
        <f t="shared" si="3"/>
        <v>LU005170.004</v>
      </c>
      <c r="P50" s="10" t="str">
        <f ca="1">IFERROR(__xludf.DUMMYFUNCTION("VLOOKUP(O50, IMPORTRANGE(""https://docs.google.com/spreadsheets/d/1yDAaXNsi4Mr5FtRQL4tbmSdIzhx6_m4wkOD7IG-k_eo/edit#gid=1336395716"", ""Science!M:N""), 2, FALSE)"),"Contrast transparent objects with opaque ones based on light transmission.")</f>
        <v>Contrast transparent objects with opaque ones based on light transmission.</v>
      </c>
      <c r="Q50" s="10" t="str">
        <f t="shared" si="4"/>
        <v>LU005170.005</v>
      </c>
      <c r="R50" s="10" t="str">
        <f ca="1">IFERROR(__xludf.DUMMYFUNCTION("VLOOKUP(Q50, IMPORTRANGE(""https://docs.google.com/spreadsheets/d/1yDAaXNsi4Mr5FtRQL4tbmSdIzhx6_m4wkOD7IG-k_eo/edit#gid=1336395716"", ""Science!M:N""), 2, FALSE)"),"Judge the suitability of using transparent materials in specific architectural designs.")</f>
        <v>Judge the suitability of using transparent materials in specific architectural designs.</v>
      </c>
      <c r="S50" s="10" t="str">
        <f t="shared" si="5"/>
        <v>LU005170.006</v>
      </c>
      <c r="T50" s="10" t="str">
        <f ca="1">IFERROR(__xludf.DUMMYFUNCTION("VLOOKUP(S50, IMPORTRANGE(""https://docs.google.com/spreadsheets/d/1yDAaXNsi4Mr5FtRQL4tbmSdIzhx6_m4wkOD7IG-k_eo/edit#gid=1336395716"", ""Science!M:N""), 2, FALSE)"),"Design a model utilizing the properties of transparent materials.")</f>
        <v>Design a model utilizing the properties of transparent materials.</v>
      </c>
      <c r="U50" s="11">
        <f ca="1">IFERROR(__xludf.DUMMYFUNCTION("ArrayFormula(VLOOKUP(G50, IMPORTRANGE(""https://docs.google.com/spreadsheets/d/1p7R4vtkWt5VOBim4ltsDG9KTzSjrtKXsMtQGXPHyND0/edit#gid=795171502"", ""'Filter 30_05_2024'!A1:M2000""), {2, 3, 4, 5,6,7,8,9,10,11,12,13}, 0))"),4)</f>
        <v>4</v>
      </c>
      <c r="V50" s="11">
        <f ca="1">IFERROR(__xludf.DUMMYFUNCTION("""COMPUTED_VALUE"""),6)</f>
        <v>6</v>
      </c>
      <c r="W50" s="11">
        <f ca="1">IFERROR(__xludf.DUMMYFUNCTION("""COMPUTED_VALUE"""),2)</f>
        <v>2</v>
      </c>
      <c r="X50" s="11">
        <f ca="1">IFERROR(__xludf.DUMMYFUNCTION("""COMPUTED_VALUE"""),12)</f>
        <v>12</v>
      </c>
      <c r="Y50" s="11">
        <f ca="1">IFERROR(__xludf.DUMMYFUNCTION("""COMPUTED_VALUE"""),4)</f>
        <v>4</v>
      </c>
      <c r="Z50" s="12">
        <f ca="1">IFERROR(__xludf.DUMMYFUNCTION("""COMPUTED_VALUE"""),5)</f>
        <v>5</v>
      </c>
      <c r="AA50" s="12">
        <f ca="1">IFERROR(__xludf.DUMMYFUNCTION("""COMPUTED_VALUE"""),1)</f>
        <v>1</v>
      </c>
      <c r="AB50" s="12">
        <f ca="1">IFERROR(__xludf.DUMMYFUNCTION("""COMPUTED_VALUE"""),10)</f>
        <v>10</v>
      </c>
      <c r="AC50" s="12"/>
      <c r="AD50" s="12"/>
      <c r="AE50" s="12"/>
      <c r="AF50" s="12"/>
      <c r="AG50" s="13" t="str">
        <f ca="1">IFERROR(__xludf.DUMMYFUNCTION("ArrayFormula(VLOOKUP(G50, IMPORTRANGE(""https://docs.google.com/spreadsheets/d/1Co934fvtviyaRiMsrIlT05Jaq7iiYq07aLvRr35KA48/edit?gid=173865642#gid=173865642"", ""'G6_Sci_Pri_LU'!G2:V2000""), {3, 4, 5, 6, 7, 8, 9, 10, 11, 12, 13, 14, 15, 16}, 0))"),"LU005318")</f>
        <v>LU005318</v>
      </c>
      <c r="AH50" s="13" t="str">
        <f ca="1">IFERROR(__xludf.DUMMYFUNCTION("""COMPUTED_VALUE"""),"Properties of materials-Transparency")</f>
        <v>Properties of materials-Transparency</v>
      </c>
      <c r="AI50" s="13"/>
      <c r="AJ50" s="13"/>
      <c r="AK50" s="13"/>
      <c r="AL50" s="13"/>
      <c r="AM50" s="13"/>
      <c r="AN50" s="13"/>
      <c r="AO50" s="13"/>
      <c r="AP50" s="13"/>
      <c r="AQ50" s="13"/>
      <c r="AR50" s="13"/>
      <c r="AS50" s="13"/>
      <c r="AT50" s="13"/>
    </row>
    <row r="51" spans="1:46">
      <c r="A51" s="8" t="s">
        <v>247</v>
      </c>
      <c r="B51" s="8" t="s">
        <v>47</v>
      </c>
      <c r="C51" s="8" t="s">
        <v>48</v>
      </c>
      <c r="D51" s="8" t="s">
        <v>1510</v>
      </c>
      <c r="E51" s="8" t="s">
        <v>1730</v>
      </c>
      <c r="F51" s="118" t="s">
        <v>1731</v>
      </c>
      <c r="G51" s="118" t="s">
        <v>1733</v>
      </c>
      <c r="H51" s="118" t="str">
        <f ca="1">IFERROR(__xludf.DUMMYFUNCTION("VLOOKUP(G51, IMPORTRANGE(""https://docs.google.com/spreadsheets/d/14deopnvwcrKtEGCKuYXdUHJbeLDZlkiSSWWT0g7x2pM/edit#gid=849066331"", ""LU List Science (Filter)!A:B""), 2, FALSE)"),"Definition and examples of translucent objects")</f>
        <v>Definition and examples of translucent objects</v>
      </c>
      <c r="I51" s="10" t="str">
        <f t="shared" si="0"/>
        <v>LU005831.001</v>
      </c>
      <c r="J51" s="10" t="str">
        <f ca="1">IFERROR(__xludf.DUMMYFUNCTION("VLOOKUP(I51, IMPORTRANGE(""https://docs.google.com/spreadsheets/d/1yDAaXNsi4Mr5FtRQL4tbmSdIzhx6_m4wkOD7IG-k_eo/edit#gid=1336395716"", ""Science!M:N""), 2, FALSE)"),"Define translucent objects.")</f>
        <v>Define translucent objects.</v>
      </c>
      <c r="K51" s="10" t="str">
        <f t="shared" si="1"/>
        <v>LU005831.002</v>
      </c>
      <c r="L51" s="10" t="str">
        <f ca="1">IFERROR(__xludf.DUMMYFUNCTION("VLOOKUP(K51, IMPORTRANGE(""https://docs.google.com/spreadsheets/d/1yDAaXNsi4Mr5FtRQL4tbmSdIzhx6_m4wkOD7IG-k_eo/edit#gid=1336395716"", ""Science!M:N""), 2, FALSE)"),"Explain how translucent objects modulate light.")</f>
        <v>Explain how translucent objects modulate light.</v>
      </c>
      <c r="M51" s="10" t="str">
        <f t="shared" si="2"/>
        <v>LU005831.003</v>
      </c>
      <c r="N51" s="10" t="str">
        <f ca="1">IFERROR(__xludf.DUMMYFUNCTION("VLOOKUP(M51, IMPORTRANGE(""https://docs.google.com/spreadsheets/d/1yDAaXNsi4Mr5FtRQL4tbmSdIzhx6_m4wkOD7IG-k_eo/edit#gid=1336395716"", ""Science!M:N""), 2, FALSE)"),"Identify translucent objects in a given set of materials.")</f>
        <v>Identify translucent objects in a given set of materials.</v>
      </c>
      <c r="O51" s="10" t="str">
        <f t="shared" si="3"/>
        <v>LU005831.004</v>
      </c>
      <c r="P51" s="10" t="str">
        <f ca="1">IFERROR(__xludf.DUMMYFUNCTION("VLOOKUP(O51, IMPORTRANGE(""https://docs.google.com/spreadsheets/d/1yDAaXNsi4Mr5FtRQL4tbmSdIzhx6_m4wkOD7IG-k_eo/edit#gid=1336395716"", ""Science!M:N""), 2, FALSE)"),"Contrast translucent objects with transparent and opaque ones.")</f>
        <v>Contrast translucent objects with transparent and opaque ones.</v>
      </c>
      <c r="Q51" s="10" t="str">
        <f t="shared" si="4"/>
        <v>LU005831.005</v>
      </c>
      <c r="R51" s="10" t="str">
        <f ca="1">IFERROR(__xludf.DUMMYFUNCTION("VLOOKUP(Q51, IMPORTRANGE(""https://docs.google.com/spreadsheets/d/1yDAaXNsi4Mr5FtRQL4tbmSdIzhx6_m4wkOD7IG-k_eo/edit#gid=1336395716"", ""Science!M:N""), 2, FALSE)"),"Judge the appropriateness of using translucent materials in a specific design scenario.")</f>
        <v>Judge the appropriateness of using translucent materials in a specific design scenario.</v>
      </c>
      <c r="S51" s="10" t="str">
        <f t="shared" si="5"/>
        <v>LU005831.006</v>
      </c>
      <c r="T51" s="10" t="str">
        <f ca="1">IFERROR(__xludf.DUMMYFUNCTION("VLOOKUP(S51, IMPORTRANGE(""https://docs.google.com/spreadsheets/d/1yDAaXNsi4Mr5FtRQL4tbmSdIzhx6_m4wkOD7IG-k_eo/edit#gid=1336395716"", ""Science!M:N""), 2, FALSE)"),"Design an art piece emphasizing the unique properties of translucent materials.")</f>
        <v>Design an art piece emphasizing the unique properties of translucent materials.</v>
      </c>
      <c r="U51" s="11">
        <f ca="1">IFERROR(__xludf.DUMMYFUNCTION("ArrayFormula(VLOOKUP(G51, IMPORTRANGE(""https://docs.google.com/spreadsheets/d/1p7R4vtkWt5VOBim4ltsDG9KTzSjrtKXsMtQGXPHyND0/edit#gid=795171502"", ""'Filter 30_05_2024'!A1:M2000""), {2, 3, 4, 5,6,7,8,9,10,11,12,13}, 0))"),4)</f>
        <v>4</v>
      </c>
      <c r="V51" s="11">
        <f ca="1">IFERROR(__xludf.DUMMYFUNCTION("""COMPUTED_VALUE"""),10)</f>
        <v>10</v>
      </c>
      <c r="W51" s="11">
        <f ca="1">IFERROR(__xludf.DUMMYFUNCTION("""COMPUTED_VALUE"""),5)</f>
        <v>5</v>
      </c>
      <c r="X51" s="11">
        <f ca="1">IFERROR(__xludf.DUMMYFUNCTION("""COMPUTED_VALUE"""),19)</f>
        <v>19</v>
      </c>
      <c r="Y51" s="11">
        <f ca="1">IFERROR(__xludf.DUMMYFUNCTION("""COMPUTED_VALUE"""),7)</f>
        <v>7</v>
      </c>
      <c r="Z51" s="12">
        <f ca="1">IFERROR(__xludf.DUMMYFUNCTION("""COMPUTED_VALUE"""),4)</f>
        <v>4</v>
      </c>
      <c r="AA51" s="12">
        <f ca="1">IFERROR(__xludf.DUMMYFUNCTION("""COMPUTED_VALUE"""),1)</f>
        <v>1</v>
      </c>
      <c r="AB51" s="12">
        <f ca="1">IFERROR(__xludf.DUMMYFUNCTION("""COMPUTED_VALUE"""),12)</f>
        <v>12</v>
      </c>
      <c r="AC51" s="12"/>
      <c r="AD51" s="12"/>
      <c r="AE51" s="12"/>
      <c r="AF51" s="12"/>
      <c r="AG51" s="13" t="str">
        <f ca="1">IFERROR(__xludf.DUMMYFUNCTION("ArrayFormula(VLOOKUP(G51, IMPORTRANGE(""https://docs.google.com/spreadsheets/d/1Co934fvtviyaRiMsrIlT05Jaq7iiYq07aLvRr35KA48/edit?gid=173865642#gid=173865642"", ""'G6_Sci_Pri_LU'!G2:V2000""), {3, 4, 5, 6, 7, 8, 9, 10, 11, 12, 13, 14, 15, 16}, 0))"),"LU005318")</f>
        <v>LU005318</v>
      </c>
      <c r="AH51" s="13" t="str">
        <f ca="1">IFERROR(__xludf.DUMMYFUNCTION("""COMPUTED_VALUE"""),"Properties of materials-Transparency")</f>
        <v>Properties of materials-Transparency</v>
      </c>
      <c r="AI51" s="13"/>
      <c r="AJ51" s="13"/>
      <c r="AK51" s="13"/>
      <c r="AL51" s="13"/>
      <c r="AM51" s="13"/>
      <c r="AN51" s="13"/>
      <c r="AO51" s="13"/>
      <c r="AP51" s="13"/>
      <c r="AQ51" s="13"/>
      <c r="AR51" s="13"/>
      <c r="AS51" s="13"/>
      <c r="AT51" s="13"/>
    </row>
    <row r="52" spans="1:46">
      <c r="A52" s="8" t="s">
        <v>247</v>
      </c>
      <c r="B52" s="8" t="s">
        <v>47</v>
      </c>
      <c r="C52" s="8" t="s">
        <v>48</v>
      </c>
      <c r="D52" s="8" t="s">
        <v>1510</v>
      </c>
      <c r="E52" s="8" t="s">
        <v>1730</v>
      </c>
      <c r="F52" s="118" t="s">
        <v>1731</v>
      </c>
      <c r="G52" s="118" t="s">
        <v>1734</v>
      </c>
      <c r="H52" s="118" t="str">
        <f ca="1">IFERROR(__xludf.DUMMYFUNCTION("VLOOKUP(G52, IMPORTRANGE(""https://docs.google.com/spreadsheets/d/14deopnvwcrKtEGCKuYXdUHJbeLDZlkiSSWWT0g7x2pM/edit#gid=849066331"", ""LU List Science (Filter)!A:B""), 2, FALSE)"),"Definition and examples of opaque objects")</f>
        <v>Definition and examples of opaque objects</v>
      </c>
      <c r="I52" s="10" t="str">
        <f t="shared" si="0"/>
        <v>LU005832.001</v>
      </c>
      <c r="J52" s="10" t="str">
        <f ca="1">IFERROR(__xludf.DUMMYFUNCTION("VLOOKUP(I52, IMPORTRANGE(""https://docs.google.com/spreadsheets/d/1yDAaXNsi4Mr5FtRQL4tbmSdIzhx6_m4wkOD7IG-k_eo/edit#gid=1336395716"", ""Science!M:N""), 2, FALSE)"),"Define opaque objects.")</f>
        <v>Define opaque objects.</v>
      </c>
      <c r="K52" s="10" t="str">
        <f t="shared" si="1"/>
        <v>LU005832.002</v>
      </c>
      <c r="L52" s="10" t="str">
        <f ca="1">IFERROR(__xludf.DUMMYFUNCTION("VLOOKUP(K52, IMPORTRANGE(""https://docs.google.com/spreadsheets/d/1yDAaXNsi4Mr5FtRQL4tbmSdIzhx6_m4wkOD7IG-k_eo/edit#gid=1336395716"", ""Science!M:N""), 2, FALSE)"),"Describe the characteristics of opaque objects in terms of light interaction.")</f>
        <v>Describe the characteristics of opaque objects in terms of light interaction.</v>
      </c>
      <c r="M52" s="10" t="str">
        <f t="shared" si="2"/>
        <v>LU005832.003</v>
      </c>
      <c r="N52" s="10" t="str">
        <f ca="1">IFERROR(__xludf.DUMMYFUNCTION("VLOOKUP(M52, IMPORTRANGE(""https://docs.google.com/spreadsheets/d/1yDAaXNsi4Mr5FtRQL4tbmSdIzhx6_m4wkOD7IG-k_eo/edit#gid=1336395716"", ""Science!M:N""), 2, FALSE)"),"Classify objects as opaque or non-opaque from a given set.")</f>
        <v>Classify objects as opaque or non-opaque from a given set.</v>
      </c>
      <c r="O52" s="10" t="str">
        <f t="shared" si="3"/>
        <v>LU005832.004</v>
      </c>
      <c r="P52" s="10" t="str">
        <f ca="1">IFERROR(__xludf.DUMMYFUNCTION("VLOOKUP(O52, IMPORTRANGE(""https://docs.google.com/spreadsheets/d/1yDAaXNsi4Mr5FtRQL4tbmSdIzhx6_m4wkOD7IG-k_eo/edit#gid=1336395716"", ""Science!M:N""), 2, FALSE)"),"Analyze the situations where opaque objects are preferred over translucent or transparent ones.")</f>
        <v>Analyze the situations where opaque objects are preferred over translucent or transparent ones.</v>
      </c>
      <c r="Q52" s="10" t="str">
        <f t="shared" si="4"/>
        <v>LU005832.005</v>
      </c>
      <c r="R52" s="10" t="str">
        <f ca="1">IFERROR(__xludf.DUMMYFUNCTION("VLOOKUP(Q52, IMPORTRANGE(""https://docs.google.com/spreadsheets/d/1yDAaXNsi4Mr5FtRQL4tbmSdIzhx6_m4wkOD7IG-k_eo/edit#gid=1336395716"", ""Science!M:N""), 2, FALSE)"),"Evaluate the efficiency of opaque objects in light blocking scenarios.")</f>
        <v>Evaluate the efficiency of opaque objects in light blocking scenarios.</v>
      </c>
      <c r="S52" s="10" t="str">
        <f t="shared" si="5"/>
        <v>LU005832.006</v>
      </c>
      <c r="T52" s="10" t="str">
        <f ca="1">IFERROR(__xludf.DUMMYFUNCTION("VLOOKUP(S52, IMPORTRANGE(""https://docs.google.com/spreadsheets/d/1yDAaXNsi4Mr5FtRQL4tbmSdIzhx6_m4wkOD7IG-k_eo/edit#gid=1336395716"", ""Science!M:N""), 2, FALSE)"),"Design a living space utilizing the properties of opaque materials for privacy.")</f>
        <v>Design a living space utilizing the properties of opaque materials for privacy.</v>
      </c>
      <c r="U52" s="11">
        <f ca="1">IFERROR(__xludf.DUMMYFUNCTION("ArrayFormula(VLOOKUP(G52, IMPORTRANGE(""https://docs.google.com/spreadsheets/d/1p7R4vtkWt5VOBim4ltsDG9KTzSjrtKXsMtQGXPHyND0/edit#gid=795171502"", ""'Filter 30_05_2024'!A1:M2000""), {2, 3, 4, 5,6,7,8,9,10,11,12,13}, 0))"),4)</f>
        <v>4</v>
      </c>
      <c r="V52" s="11">
        <f ca="1">IFERROR(__xludf.DUMMYFUNCTION("""COMPUTED_VALUE"""),6)</f>
        <v>6</v>
      </c>
      <c r="W52" s="11">
        <f ca="1">IFERROR(__xludf.DUMMYFUNCTION("""COMPUTED_VALUE"""),2)</f>
        <v>2</v>
      </c>
      <c r="X52" s="11">
        <f ca="1">IFERROR(__xludf.DUMMYFUNCTION("""COMPUTED_VALUE"""),12)</f>
        <v>12</v>
      </c>
      <c r="Y52" s="11">
        <f ca="1">IFERROR(__xludf.DUMMYFUNCTION("""COMPUTED_VALUE"""),5)</f>
        <v>5</v>
      </c>
      <c r="Z52" s="12">
        <f ca="1">IFERROR(__xludf.DUMMYFUNCTION("""COMPUTED_VALUE"""),3)</f>
        <v>3</v>
      </c>
      <c r="AA52" s="12">
        <f ca="1">IFERROR(__xludf.DUMMYFUNCTION("""COMPUTED_VALUE"""),1)</f>
        <v>1</v>
      </c>
      <c r="AB52" s="12">
        <f ca="1">IFERROR(__xludf.DUMMYFUNCTION("""COMPUTED_VALUE"""),9)</f>
        <v>9</v>
      </c>
      <c r="AC52" s="12"/>
      <c r="AD52" s="12"/>
      <c r="AE52" s="12"/>
      <c r="AF52" s="12"/>
      <c r="AG52" s="13" t="str">
        <f ca="1">IFERROR(__xludf.DUMMYFUNCTION("ArrayFormula(VLOOKUP(G52, IMPORTRANGE(""https://docs.google.com/spreadsheets/d/1Co934fvtviyaRiMsrIlT05Jaq7iiYq07aLvRr35KA48/edit?gid=173865642#gid=173865642"", ""'G6_Sci_Pri_LU'!G2:V2000""), {3, 4, 5, 6, 7, 8, 9, 10, 11, 12, 13, 14, 15, 16}, 0))"),"LU005318")</f>
        <v>LU005318</v>
      </c>
      <c r="AH52" s="13" t="str">
        <f ca="1">IFERROR(__xludf.DUMMYFUNCTION("""COMPUTED_VALUE"""),"Properties of materials-Transparency")</f>
        <v>Properties of materials-Transparency</v>
      </c>
      <c r="AI52" s="13"/>
      <c r="AJ52" s="13"/>
      <c r="AK52" s="13"/>
      <c r="AL52" s="13"/>
      <c r="AM52" s="13"/>
      <c r="AN52" s="13"/>
      <c r="AO52" s="13"/>
      <c r="AP52" s="13"/>
      <c r="AQ52" s="13"/>
      <c r="AR52" s="13"/>
      <c r="AS52" s="13"/>
      <c r="AT52" s="13"/>
    </row>
    <row r="53" spans="1:46">
      <c r="A53" s="8" t="s">
        <v>247</v>
      </c>
      <c r="B53" s="8" t="s">
        <v>47</v>
      </c>
      <c r="C53" s="8" t="s">
        <v>48</v>
      </c>
      <c r="D53" s="8" t="s">
        <v>1510</v>
      </c>
      <c r="E53" s="8" t="s">
        <v>1730</v>
      </c>
      <c r="F53" s="118" t="s">
        <v>1735</v>
      </c>
      <c r="G53" s="118" t="s">
        <v>1736</v>
      </c>
      <c r="H53" s="118" t="s">
        <v>1737</v>
      </c>
      <c r="I53" s="10" t="str">
        <f t="shared" si="0"/>
        <v>LU005836.001</v>
      </c>
      <c r="J53" s="10" t="str">
        <f ca="1">IFERROR(__xludf.DUMMYFUNCTION("VLOOKUP(I53, IMPORTRANGE(""https://docs.google.com/spreadsheets/d/1yDAaXNsi4Mr5FtRQL4tbmSdIzhx6_m4wkOD7IG-k_eo/edit#gid=1336395716"", ""Science!M:N""), 2, FALSE)"),"Identify types of light sources: natural, artificial, luminous, and non-luminous.")</f>
        <v>Identify types of light sources: natural, artificial, luminous, and non-luminous.</v>
      </c>
      <c r="K53" s="10" t="str">
        <f t="shared" si="1"/>
        <v>LU005836.002</v>
      </c>
      <c r="L53" s="10" t="str">
        <f ca="1">IFERROR(__xludf.DUMMYFUNCTION("VLOOKUP(K53, IMPORTRANGE(""https://docs.google.com/spreadsheets/d/1yDAaXNsi4Mr5FtRQL4tbmSdIzhx6_m4wkOD7IG-k_eo/edit#gid=1336395716"", ""Science!M:N""), 2, FALSE)"),"Explain differences between natural and artificial light.")</f>
        <v>Explain differences between natural and artificial light.</v>
      </c>
      <c r="M53" s="10" t="str">
        <f t="shared" si="2"/>
        <v>LU005836.003</v>
      </c>
      <c r="N53" s="10" t="str">
        <f ca="1">IFERROR(__xludf.DUMMYFUNCTION("VLOOKUP(M53, IMPORTRANGE(""https://docs.google.com/spreadsheets/d/1yDAaXNsi4Mr5FtRQL4tbmSdIzhx6_m4wkOD7IG-k_eo/edit#gid=1336395716"", ""Science!M:N""), 2, FALSE)"),"Default")</f>
        <v>Default</v>
      </c>
      <c r="O53" s="10" t="str">
        <f t="shared" si="3"/>
        <v>LU005836.004</v>
      </c>
      <c r="P53" s="10" t="str">
        <f ca="1">IFERROR(__xludf.DUMMYFUNCTION("VLOOKUP(O53, IMPORTRANGE(""https://docs.google.com/spreadsheets/d/1yDAaXNsi4Mr5FtRQL4tbmSdIzhx6_m4wkOD7IG-k_eo/edit#gid=1336395716"", ""Science!M:N""), 2, FALSE)"),"Compare artificial light sources (incandescent, fluorescent, LED) for efficiency.")</f>
        <v>Compare artificial light sources (incandescent, fluorescent, LED) for efficiency.</v>
      </c>
      <c r="Q53" s="10" t="str">
        <f t="shared" si="4"/>
        <v>LU005836.005</v>
      </c>
      <c r="R53" s="10" t="str">
        <f ca="1">IFERROR(__xludf.DUMMYFUNCTION("VLOOKUP(Q53, IMPORTRANGE(""https://docs.google.com/spreadsheets/d/1yDAaXNsi4Mr5FtRQL4tbmSdIzhx6_m4wkOD7IG-k_eo/edit#gid=1336395716"", ""Science!M:N""), 2, FALSE)"),"Assess light sources for use in different environments based on cost and impact.")</f>
        <v>Assess light sources for use in different environments based on cost and impact.</v>
      </c>
      <c r="S53" s="10" t="str">
        <f t="shared" si="5"/>
        <v>LU005836.006</v>
      </c>
      <c r="T53" s="10" t="str">
        <f ca="1">IFERROR(__xludf.DUMMYFUNCTION("VLOOKUP(S53, IMPORTRANGE(""https://docs.google.com/spreadsheets/d/1yDAaXNsi4Mr5FtRQL4tbmSdIzhx6_m4wkOD7IG-k_eo/edit#gid=1336395716"", ""Science!M:N""), 2, FALSE)"),"Design a lighting plan that combines natural and artificial light efficiently.")</f>
        <v>Design a lighting plan that combines natural and artificial light efficiently.</v>
      </c>
      <c r="U53" s="11">
        <f ca="1">IFERROR(__xludf.DUMMYFUNCTION("ArrayFormula(VLOOKUP(G53, IMPORTRANGE(""https://docs.google.com/spreadsheets/d/1p7R4vtkWt5VOBim4ltsDG9KTzSjrtKXsMtQGXPHyND0/edit#gid=795171502"", ""'Filter 30_05_2024'!A1:M2000""), {2, 3, 4, 5,6,7,8,9,10,11,12,13}, 0))"),6)</f>
        <v>6</v>
      </c>
      <c r="V53" s="11">
        <f ca="1">IFERROR(__xludf.DUMMYFUNCTION("""COMPUTED_VALUE"""),6)</f>
        <v>6</v>
      </c>
      <c r="W53" s="11">
        <f ca="1">IFERROR(__xludf.DUMMYFUNCTION("""COMPUTED_VALUE"""),2)</f>
        <v>2</v>
      </c>
      <c r="X53" s="11">
        <f ca="1">IFERROR(__xludf.DUMMYFUNCTION("""COMPUTED_VALUE"""),14)</f>
        <v>14</v>
      </c>
      <c r="Y53" s="11">
        <f ca="1">IFERROR(__xludf.DUMMYFUNCTION("""COMPUTED_VALUE"""),5)</f>
        <v>5</v>
      </c>
      <c r="Z53" s="12">
        <f ca="1">IFERROR(__xludf.DUMMYFUNCTION("""COMPUTED_VALUE"""),3)</f>
        <v>3</v>
      </c>
      <c r="AA53" s="12">
        <f ca="1">IFERROR(__xludf.DUMMYFUNCTION("""COMPUTED_VALUE"""),1)</f>
        <v>1</v>
      </c>
      <c r="AB53" s="12">
        <f ca="1">IFERROR(__xludf.DUMMYFUNCTION("""COMPUTED_VALUE"""),9)</f>
        <v>9</v>
      </c>
      <c r="AC53" s="12"/>
      <c r="AD53" s="12"/>
      <c r="AE53" s="12"/>
      <c r="AF53" s="12"/>
      <c r="AG53" s="13" t="str">
        <f ca="1">IFERROR(__xludf.DUMMYFUNCTION("ArrayFormula(VLOOKUP(G53, IMPORTRANGE(""https://docs.google.com/spreadsheets/d/1Co934fvtviyaRiMsrIlT05Jaq7iiYq07aLvRr35KA48/edit?gid=173865642#gid=173865642"", ""'G6_Sci_Pri_LU'!G2:V2000""), {3, 4, 5, 6, 7, 8, 9, 10, 11, 12, 13, 14, 15, 16}, 0))"),"")</f>
        <v/>
      </c>
      <c r="AH53" s="13"/>
      <c r="AI53" s="13"/>
      <c r="AJ53" s="13"/>
      <c r="AK53" s="13"/>
      <c r="AL53" s="13"/>
      <c r="AM53" s="13"/>
      <c r="AN53" s="13"/>
      <c r="AO53" s="13"/>
      <c r="AP53" s="13"/>
      <c r="AQ53" s="13"/>
      <c r="AR53" s="13"/>
      <c r="AS53" s="13"/>
      <c r="AT53" s="13"/>
    </row>
    <row r="54" spans="1:46">
      <c r="A54" s="8" t="s">
        <v>247</v>
      </c>
      <c r="B54" s="8" t="s">
        <v>47</v>
      </c>
      <c r="C54" s="8" t="s">
        <v>48</v>
      </c>
      <c r="D54" s="8" t="s">
        <v>1510</v>
      </c>
      <c r="E54" s="8" t="s">
        <v>1730</v>
      </c>
      <c r="F54" s="118" t="s">
        <v>1738</v>
      </c>
      <c r="G54" s="118" t="s">
        <v>1739</v>
      </c>
      <c r="H54" s="118" t="str">
        <f ca="1">IFERROR(__xludf.DUMMYFUNCTION("VLOOKUP(G54, IMPORTRANGE(""https://docs.google.com/spreadsheets/d/14deopnvwcrKtEGCKuYXdUHJbeLDZlkiSSWWT0g7x2pM/edit#gid=849066331"", ""LU List Science (Filter)!A:B""), 2, FALSE)"),"Definition of shadow")</f>
        <v>Definition of shadow</v>
      </c>
      <c r="I54" s="10" t="str">
        <f t="shared" si="0"/>
        <v>LU005169.001</v>
      </c>
      <c r="J54" s="10" t="str">
        <f ca="1">IFERROR(__xludf.DUMMYFUNCTION("VLOOKUP(I54, IMPORTRANGE(""https://docs.google.com/spreadsheets/d/1yDAaXNsi4Mr5FtRQL4tbmSdIzhx6_m4wkOD7IG-k_eo/edit#gid=1336395716"", ""Science!M:N""), 2, FALSE)"),"Define what a shadow is.")</f>
        <v>Define what a shadow is.</v>
      </c>
      <c r="K54" s="10" t="str">
        <f t="shared" si="1"/>
        <v>LU005169.002</v>
      </c>
      <c r="L54" s="10" t="str">
        <f ca="1">IFERROR(__xludf.DUMMYFUNCTION("VLOOKUP(K54, IMPORTRANGE(""https://docs.google.com/spreadsheets/d/1yDAaXNsi4Mr5FtRQL4tbmSdIzhx6_m4wkOD7IG-k_eo/edit#gid=1336395716"", ""Science!M:N""), 2, FALSE)"),"Explain the formation of shadows.")</f>
        <v>Explain the formation of shadows.</v>
      </c>
      <c r="M54" s="10" t="str">
        <f t="shared" si="2"/>
        <v>LU005169.003</v>
      </c>
      <c r="N54" s="10" t="str">
        <f ca="1">IFERROR(__xludf.DUMMYFUNCTION("VLOOKUP(M54, IMPORTRANGE(""https://docs.google.com/spreadsheets/d/1yDAaXNsi4Mr5FtRQL4tbmSdIzhx6_m4wkOD7IG-k_eo/edit#gid=1336395716"", ""Science!M:N""), 2, FALSE)"),"Produce shadows using a light source and various objects.")</f>
        <v>Produce shadows using a light source and various objects.</v>
      </c>
      <c r="O54" s="10" t="str">
        <f t="shared" si="3"/>
        <v>LU005169.004</v>
      </c>
      <c r="P54" s="10" t="str">
        <f ca="1">IFERROR(__xludf.DUMMYFUNCTION("VLOOKUP(O54, IMPORTRANGE(""https://docs.google.com/spreadsheets/d/1yDAaXNsi4Mr5FtRQL4tbmSdIzhx6_m4wkOD7IG-k_eo/edit#gid=1336395716"", ""Science!M:N""), 2, FALSE)"),"Analyze the use of shadow in various art forms or designs, explaining how shadows contribute to the overall effect and mood of the artwork.")</f>
        <v>Analyze the use of shadow in various art forms or designs, explaining how shadows contribute to the overall effect and mood of the artwork.</v>
      </c>
      <c r="Q54" s="10" t="str">
        <f t="shared" si="4"/>
        <v>LU005169.005</v>
      </c>
      <c r="R54" s="10" t="str">
        <f ca="1">IFERROR(__xludf.DUMMYFUNCTION("VLOOKUP(Q54, IMPORTRANGE(""https://docs.google.com/spreadsheets/d/1yDAaXNsi4Mr5FtRQL4tbmSdIzhx6_m4wkOD7IG-k_eo/edit#gid=1336395716"", ""Science!M:N""), 2, FALSE)"),"Evaluate the importance of understanding shadows in architecture and environmental design, discussing the implications for energy efficiency, aesthetics, and functionality.")</f>
        <v>Evaluate the importance of understanding shadows in architecture and environmental design, discussing the implications for energy efficiency, aesthetics, and functionality.</v>
      </c>
      <c r="S54" s="10" t="str">
        <f t="shared" si="5"/>
        <v>LU005169.006</v>
      </c>
      <c r="T54" s="10" t="str">
        <f ca="1">IFERROR(__xludf.DUMMYFUNCTION("VLOOKUP(S54, IMPORTRANGE(""https://docs.google.com/spreadsheets/d/1yDAaXNsi4Mr5FtRQL4tbmSdIzhx6_m4wkOD7IG-k_eo/edit#gid=1336395716"", ""Science!M:N""), 2, FALSE)"),"Design a shadow puppet show to tell a story.")</f>
        <v>Design a shadow puppet show to tell a story.</v>
      </c>
      <c r="U54" s="11">
        <f ca="1">IFERROR(__xludf.DUMMYFUNCTION("ArrayFormula(VLOOKUP(G54, IMPORTRANGE(""https://docs.google.com/spreadsheets/d/1p7R4vtkWt5VOBim4ltsDG9KTzSjrtKXsMtQGXPHyND0/edit#gid=795171502"", ""'Filter 30_05_2024'!A1:M2000""), {2, 3, 4, 5,6,7,8,9,10,11,12,13}, 0))"),8)</f>
        <v>8</v>
      </c>
      <c r="V54" s="11">
        <f ca="1">IFERROR(__xludf.DUMMYFUNCTION("""COMPUTED_VALUE"""),6)</f>
        <v>6</v>
      </c>
      <c r="W54" s="11">
        <f ca="1">IFERROR(__xludf.DUMMYFUNCTION("""COMPUTED_VALUE"""),2)</f>
        <v>2</v>
      </c>
      <c r="X54" s="11">
        <f ca="1">IFERROR(__xludf.DUMMYFUNCTION("""COMPUTED_VALUE"""),16)</f>
        <v>16</v>
      </c>
      <c r="Y54" s="11">
        <f ca="1">IFERROR(__xludf.DUMMYFUNCTION("""COMPUTED_VALUE"""),4)</f>
        <v>4</v>
      </c>
      <c r="Z54" s="12">
        <f ca="1">IFERROR(__xludf.DUMMYFUNCTION("""COMPUTED_VALUE"""),3)</f>
        <v>3</v>
      </c>
      <c r="AA54" s="12">
        <f ca="1">IFERROR(__xludf.DUMMYFUNCTION("""COMPUTED_VALUE"""),1)</f>
        <v>1</v>
      </c>
      <c r="AB54" s="12">
        <f ca="1">IFERROR(__xludf.DUMMYFUNCTION("""COMPUTED_VALUE"""),8)</f>
        <v>8</v>
      </c>
      <c r="AC54" s="12"/>
      <c r="AD54" s="12"/>
      <c r="AE54" s="12"/>
      <c r="AF54" s="12"/>
      <c r="AG54" s="13" t="str">
        <f ca="1">IFERROR(__xludf.DUMMYFUNCTION("ArrayFormula(VLOOKUP(G54, IMPORTRANGE(""https://docs.google.com/spreadsheets/d/1Co934fvtviyaRiMsrIlT05Jaq7iiYq07aLvRr35KA48/edit?gid=173865642#gid=173865642"", ""'G6_Sci_Pri_LU'!G2:V2000""), {3, 4, 5, 6, 7, 8, 9, 10, 11, 12, 13, 14, 15, 16}, 0))"),"LU005836")</f>
        <v>LU005836</v>
      </c>
      <c r="AH54" s="13" t="str">
        <f ca="1">IFERROR(__xludf.DUMMYFUNCTION("""COMPUTED_VALUE"""),"Light and its sources (natural, artificial, luminous and non luminous)")</f>
        <v>Light and its sources (natural, artificial, luminous and non luminous)</v>
      </c>
      <c r="AI54" s="13" t="str">
        <f ca="1">IFERROR(__xludf.DUMMYFUNCTION("""COMPUTED_VALUE"""),"LU005832")</f>
        <v>LU005832</v>
      </c>
      <c r="AJ54" s="13" t="str">
        <f ca="1">IFERROR(__xludf.DUMMYFUNCTION("""COMPUTED_VALUE"""),"Definition and examples of opaque objects")</f>
        <v>Definition and examples of opaque objects</v>
      </c>
      <c r="AK54" s="13"/>
      <c r="AL54" s="13"/>
      <c r="AM54" s="13"/>
      <c r="AN54" s="13"/>
      <c r="AO54" s="13"/>
      <c r="AP54" s="13"/>
      <c r="AQ54" s="13"/>
      <c r="AR54" s="13"/>
      <c r="AS54" s="13"/>
      <c r="AT54" s="13"/>
    </row>
    <row r="55" spans="1:46">
      <c r="A55" s="8" t="s">
        <v>247</v>
      </c>
      <c r="B55" s="8" t="s">
        <v>47</v>
      </c>
      <c r="C55" s="8" t="s">
        <v>48</v>
      </c>
      <c r="D55" s="8" t="s">
        <v>1510</v>
      </c>
      <c r="E55" s="8" t="s">
        <v>1730</v>
      </c>
      <c r="F55" s="118" t="s">
        <v>1738</v>
      </c>
      <c r="G55" s="118" t="s">
        <v>1740</v>
      </c>
      <c r="H55" s="118" t="str">
        <f ca="1">IFERROR(__xludf.DUMMYFUNCTION("VLOOKUP(G55, IMPORTRANGE(""https://docs.google.com/spreadsheets/d/14deopnvwcrKtEGCKuYXdUHJbeLDZlkiSSWWT0g7x2pM/edit#gid=849066331"", ""LU List Science (Filter)!A:B""), 2, FALSE)"),"Factors Required for a Shadow to Form")</f>
        <v>Factors Required for a Shadow to Form</v>
      </c>
      <c r="I55" s="10" t="str">
        <f t="shared" si="0"/>
        <v>LU005833.001</v>
      </c>
      <c r="J55" s="10" t="str">
        <f ca="1">IFERROR(__xludf.DUMMYFUNCTION("VLOOKUP(I55, IMPORTRANGE(""https://docs.google.com/spreadsheets/d/1yDAaXNsi4Mr5FtRQL4tbmSdIzhx6_m4wkOD7IG-k_eo/edit#gid=1336395716"", ""Science!M:N""), 2, FALSE)"),"List the factors essential for shadow formation.")</f>
        <v>List the factors essential for shadow formation.</v>
      </c>
      <c r="K55" s="10" t="str">
        <f t="shared" si="1"/>
        <v>LU005833.002</v>
      </c>
      <c r="L55" s="10" t="str">
        <f ca="1">IFERROR(__xludf.DUMMYFUNCTION("VLOOKUP(K55, IMPORTRANGE(""https://docs.google.com/spreadsheets/d/1yDAaXNsi4Mr5FtRQL4tbmSdIzhx6_m4wkOD7IG-k_eo/edit#gid=1336395716"", ""Science!M:N""), 2, FALSE)"),"Explain how different factors affect the formation of shadow.")</f>
        <v>Explain how different factors affect the formation of shadow.</v>
      </c>
      <c r="M55" s="10" t="str">
        <f t="shared" si="2"/>
        <v>LU005833.003</v>
      </c>
      <c r="N55" s="10" t="str">
        <f ca="1">IFERROR(__xludf.DUMMYFUNCTION("VLOOKUP(M55, IMPORTRANGE(""https://docs.google.com/spreadsheets/d/1yDAaXNsi4Mr5FtRQL4tbmSdIzhx6_m4wkOD7IG-k_eo/edit#gid=1336395716"", ""Science!M:N""), 2, FALSE)"),"Predict the type of shadow based on different combinations of factors.")</f>
        <v>Predict the type of shadow based on different combinations of factors.</v>
      </c>
      <c r="O55" s="10" t="str">
        <f t="shared" si="3"/>
        <v>LU005833.004</v>
      </c>
      <c r="P55" s="10" t="str">
        <f ca="1">IFERROR(__xludf.DUMMYFUNCTION("VLOOKUP(O55, IMPORTRANGE(""https://docs.google.com/spreadsheets/d/1yDAaXNsi4Mr5FtRQL4tbmSdIzhx6_m4wkOD7IG-k_eo/edit#gid=1336395716"", ""Science!M:N""), 2, FALSE)"),"Analyze scenarios where certain shadows are formed to deduce the light source and object properties.")</f>
        <v>Analyze scenarios where certain shadows are formed to deduce the light source and object properties.</v>
      </c>
      <c r="Q55" s="10" t="str">
        <f t="shared" si="4"/>
        <v>LU005833.005</v>
      </c>
      <c r="R55" s="10" t="str">
        <f ca="1">IFERROR(__xludf.DUMMYFUNCTION("VLOOKUP(Q55, IMPORTRANGE(""https://docs.google.com/spreadsheets/d/1yDAaXNsi4Mr5FtRQL4tbmSdIzhx6_m4wkOD7IG-k_eo/edit#gid=1336395716"", ""Science!M:N""), 2, FALSE)"),"Evaluate the clarity of shadows in various environments.")</f>
        <v>Evaluate the clarity of shadows in various environments.</v>
      </c>
      <c r="S55" s="10" t="str">
        <f t="shared" si="5"/>
        <v>LU005833.006</v>
      </c>
      <c r="T55" s="10" t="str">
        <f ca="1">IFERROR(__xludf.DUMMYFUNCTION("VLOOKUP(S55, IMPORTRANGE(""https://docs.google.com/spreadsheets/d/1yDAaXNsi4Mr5FtRQL4tbmSdIzhx6_m4wkOD7IG-k_eo/edit#gid=1336395716"", ""Science!M:N""), 2, FALSE)"),"#N/A")</f>
        <v>#N/A</v>
      </c>
      <c r="U55" s="11">
        <f ca="1">IFERROR(__xludf.DUMMYFUNCTION("ArrayFormula(VLOOKUP(G55, IMPORTRANGE(""https://docs.google.com/spreadsheets/d/1p7R4vtkWt5VOBim4ltsDG9KTzSjrtKXsMtQGXPHyND0/edit#gid=795171502"", ""'Filter 30_05_2024'!A1:M2000""), {2, 3, 4, 5,6,7,8,9,10,11,12,13}, 0))"),14)</f>
        <v>14</v>
      </c>
      <c r="V55" s="11">
        <f ca="1">IFERROR(__xludf.DUMMYFUNCTION("""COMPUTED_VALUE"""),6)</f>
        <v>6</v>
      </c>
      <c r="W55" s="11">
        <f ca="1">IFERROR(__xludf.DUMMYFUNCTION("""COMPUTED_VALUE"""),8)</f>
        <v>8</v>
      </c>
      <c r="X55" s="11">
        <f ca="1">IFERROR(__xludf.DUMMYFUNCTION("""COMPUTED_VALUE"""),28)</f>
        <v>28</v>
      </c>
      <c r="Y55" s="11">
        <f ca="1">IFERROR(__xludf.DUMMYFUNCTION("""COMPUTED_VALUE"""),4)</f>
        <v>4</v>
      </c>
      <c r="Z55" s="115">
        <f ca="1">IFERROR(__xludf.DUMMYFUNCTION("""COMPUTED_VALUE"""),3)</f>
        <v>3</v>
      </c>
      <c r="AA55" s="12">
        <f ca="1">IFERROR(__xludf.DUMMYFUNCTION("""COMPUTED_VALUE"""),2)</f>
        <v>2</v>
      </c>
      <c r="AB55" s="12">
        <f ca="1">IFERROR(__xludf.DUMMYFUNCTION("""COMPUTED_VALUE"""),9)</f>
        <v>9</v>
      </c>
      <c r="AC55" s="12"/>
      <c r="AD55" s="12"/>
      <c r="AE55" s="12"/>
      <c r="AF55" s="12"/>
      <c r="AG55" s="13" t="str">
        <f ca="1">IFERROR(__xludf.DUMMYFUNCTION("ArrayFormula(VLOOKUP(G55, IMPORTRANGE(""https://docs.google.com/spreadsheets/d/1Co934fvtviyaRiMsrIlT05Jaq7iiYq07aLvRr35KA48/edit?gid=173865642#gid=173865642"", ""'G6_Sci_Pri_LU'!G2:V2000""), {3, 4, 5, 6, 7, 8, 9, 10, 11, 12, 13, 14, 15, 16}, 0))"),"LU005832")</f>
        <v>LU005832</v>
      </c>
      <c r="AH55" s="13" t="str">
        <f ca="1">IFERROR(__xludf.DUMMYFUNCTION("""COMPUTED_VALUE"""),"Definition and examples of opaque objects")</f>
        <v>Definition and examples of opaque objects</v>
      </c>
      <c r="AI55" s="13" t="str">
        <f ca="1">IFERROR(__xludf.DUMMYFUNCTION("""COMPUTED_VALUE"""),"LU005836")</f>
        <v>LU005836</v>
      </c>
      <c r="AJ55" s="13" t="str">
        <f ca="1">IFERROR(__xludf.DUMMYFUNCTION("""COMPUTED_VALUE"""),"Light and its sources (natural, artificial, luminous and non luminous)")</f>
        <v>Light and its sources (natural, artificial, luminous and non luminous)</v>
      </c>
      <c r="AK55" s="13" t="str">
        <f ca="1">IFERROR(__xludf.DUMMYFUNCTION("""COMPUTED_VALUE"""),"LU005169")</f>
        <v>LU005169</v>
      </c>
      <c r="AL55" s="13" t="str">
        <f ca="1">IFERROR(__xludf.DUMMYFUNCTION("""COMPUTED_VALUE"""),"Definition of shadow")</f>
        <v>Definition of shadow</v>
      </c>
      <c r="AM55" s="13"/>
      <c r="AN55" s="13"/>
      <c r="AO55" s="13"/>
      <c r="AP55" s="13"/>
      <c r="AQ55" s="13"/>
      <c r="AR55" s="13"/>
      <c r="AS55" s="13"/>
      <c r="AT55" s="13"/>
    </row>
    <row r="56" spans="1:46">
      <c r="A56" s="8" t="s">
        <v>247</v>
      </c>
      <c r="B56" s="8" t="s">
        <v>47</v>
      </c>
      <c r="C56" s="8" t="s">
        <v>48</v>
      </c>
      <c r="D56" s="8" t="s">
        <v>1510</v>
      </c>
      <c r="E56" s="8" t="s">
        <v>1730</v>
      </c>
      <c r="F56" s="118" t="s">
        <v>1738</v>
      </c>
      <c r="G56" s="118" t="s">
        <v>1741</v>
      </c>
      <c r="H56" s="118" t="str">
        <f ca="1">IFERROR(__xludf.DUMMYFUNCTION("VLOOKUP(G56, IMPORTRANGE(""https://docs.google.com/spreadsheets/d/14deopnvwcrKtEGCKuYXdUHJbeLDZlkiSSWWT0g7x2pM/edit#gid=849066331"", ""LU List Science (Filter)!A:B""), 2, FALSE)"),"Characteristics of Shadows")</f>
        <v>Characteristics of Shadows</v>
      </c>
      <c r="I56" s="10" t="str">
        <f t="shared" si="0"/>
        <v>LU005837.001</v>
      </c>
      <c r="J56" s="10" t="str">
        <f ca="1">IFERROR(__xludf.DUMMYFUNCTION("VLOOKUP(I56, IMPORTRANGE(""https://docs.google.com/spreadsheets/d/1yDAaXNsi4Mr5FtRQL4tbmSdIzhx6_m4wkOD7IG-k_eo/edit#gid=1336395716"", ""Science!M:N""), 2, FALSE)"),"Define the characteristics that can be observed in shadows.")</f>
        <v>Define the characteristics that can be observed in shadows.</v>
      </c>
      <c r="K56" s="10" t="str">
        <f t="shared" si="1"/>
        <v>LU005837.002</v>
      </c>
      <c r="L56" s="10" t="str">
        <f ca="1">IFERROR(__xludf.DUMMYFUNCTION("VLOOKUP(K56, IMPORTRANGE(""https://docs.google.com/spreadsheets/d/1yDAaXNsi4Mr5FtRQL4tbmSdIzhx6_m4wkOD7IG-k_eo/edit#gid=1336395716"", ""Science!M:N""), 2, FALSE)"),"Describe how the position of the light source, screen and object affect the characteristics of shadows.")</f>
        <v>Describe how the position of the light source, screen and object affect the characteristics of shadows.</v>
      </c>
      <c r="M56" s="10" t="str">
        <f t="shared" si="2"/>
        <v>LU005837.003</v>
      </c>
      <c r="N56" s="10" t="str">
        <f ca="1">IFERROR(__xludf.DUMMYFUNCTION("VLOOKUP(M56, IMPORTRANGE(""https://docs.google.com/spreadsheets/d/1yDAaXNsi4Mr5FtRQL4tbmSdIzhx6_m4wkOD7IG-k_eo/edit#gid=1336395716"", ""Science!M:N""), 2, FALSE)"),"Observe and document different shadows based on varying position and angle of light source and object .")</f>
        <v>Observe and document different shadows based on varying position and angle of light source and object .</v>
      </c>
      <c r="O56" s="10" t="str">
        <f t="shared" si="3"/>
        <v>LU005837.004</v>
      </c>
      <c r="P56" s="10" t="str">
        <f ca="1">IFERROR(__xludf.DUMMYFUNCTION("VLOOKUP(O56, IMPORTRANGE(""https://docs.google.com/spreadsheets/d/1yDAaXNsi4Mr5FtRQL4tbmSdIzhx6_m4wkOD7IG-k_eo/edit#gid=1336395716"", ""Science!M:N""), 2, FALSE)"),"Analyze the factors that lead to sharp or blurry shadow boundaries.")</f>
        <v>Analyze the factors that lead to sharp or blurry shadow boundaries.</v>
      </c>
      <c r="Q56" s="10" t="str">
        <f t="shared" si="4"/>
        <v>LU005837.005</v>
      </c>
      <c r="R56" s="10" t="str">
        <f ca="1">IFERROR(__xludf.DUMMYFUNCTION("VLOOKUP(Q56, IMPORTRANGE(""https://docs.google.com/spreadsheets/d/1yDAaXNsi4Mr5FtRQL4tbmSdIzhx6_m4wkOD7IG-k_eo/edit#gid=1336395716"", ""Science!M:N""), 2, FALSE)"),"Evaluate how different surfaces or backdrops affect shadow clarity and definition.")</f>
        <v>Evaluate how different surfaces or backdrops affect shadow clarity and definition.</v>
      </c>
      <c r="S56" s="10" t="str">
        <f t="shared" si="5"/>
        <v>LU005837.006</v>
      </c>
      <c r="T56" s="10" t="str">
        <f ca="1">IFERROR(__xludf.DUMMYFUNCTION("VLOOKUP(S56, IMPORTRANGE(""https://docs.google.com/spreadsheets/d/1yDAaXNsi4Mr5FtRQL4tbmSdIzhx6_m4wkOD7IG-k_eo/edit#gid=1336395716"", ""Science!M:N""), 2, FALSE)"),"#N/A")</f>
        <v>#N/A</v>
      </c>
      <c r="U56" s="11">
        <f ca="1">IFERROR(__xludf.DUMMYFUNCTION("ArrayFormula(VLOOKUP(G56, IMPORTRANGE(""https://docs.google.com/spreadsheets/d/1p7R4vtkWt5VOBim4ltsDG9KTzSjrtKXsMtQGXPHyND0/edit#gid=795171502"", ""'Filter 30_05_2024'!A1:M2000""), {2, 3, 4, 5,6,7,8,9,10,11,12,13}, 0))"),6)</f>
        <v>6</v>
      </c>
      <c r="V56" s="11">
        <f ca="1">IFERROR(__xludf.DUMMYFUNCTION("""COMPUTED_VALUE"""),4)</f>
        <v>4</v>
      </c>
      <c r="W56" s="38">
        <f ca="1">IFERROR(__xludf.DUMMYFUNCTION("""COMPUTED_VALUE"""),2)</f>
        <v>2</v>
      </c>
      <c r="X56" s="11">
        <f ca="1">IFERROR(__xludf.DUMMYFUNCTION("""COMPUTED_VALUE"""),12)</f>
        <v>12</v>
      </c>
      <c r="Y56" s="11">
        <f ca="1">IFERROR(__xludf.DUMMYFUNCTION("""COMPUTED_VALUE"""),8)</f>
        <v>8</v>
      </c>
      <c r="Z56" s="12">
        <f ca="1">IFERROR(__xludf.DUMMYFUNCTION("""COMPUTED_VALUE"""),6)</f>
        <v>6</v>
      </c>
      <c r="AA56" s="115"/>
      <c r="AB56" s="12">
        <f ca="1">IFERROR(__xludf.DUMMYFUNCTION("""COMPUTED_VALUE"""),14)</f>
        <v>14</v>
      </c>
      <c r="AC56" s="12"/>
      <c r="AD56" s="12"/>
      <c r="AE56" s="12">
        <f ca="1">IFERROR(__xludf.DUMMYFUNCTION("""COMPUTED_VALUE"""),1)</f>
        <v>1</v>
      </c>
      <c r="AF56" s="12">
        <f ca="1">IFERROR(__xludf.DUMMYFUNCTION("""COMPUTED_VALUE"""),1)</f>
        <v>1</v>
      </c>
      <c r="AG56" s="13" t="str">
        <f ca="1">IFERROR(__xludf.DUMMYFUNCTION("ArrayFormula(VLOOKUP(G56, IMPORTRANGE(""https://docs.google.com/spreadsheets/d/1Co934fvtviyaRiMsrIlT05Jaq7iiYq07aLvRr35KA48/edit?gid=173865642#gid=173865642"", ""'G6_Sci_Pri_LU'!G2:V2000""), {3, 4, 5, 6, 7, 8, 9, 10, 11, 12, 13, 14, 15, 16}, 0))"),"LU005169")</f>
        <v>LU005169</v>
      </c>
      <c r="AH56" s="13" t="str">
        <f ca="1">IFERROR(__xludf.DUMMYFUNCTION("""COMPUTED_VALUE"""),"Definition of shadow")</f>
        <v>Definition of shadow</v>
      </c>
      <c r="AI56" s="13" t="str">
        <f ca="1">IFERROR(__xludf.DUMMYFUNCTION("""COMPUTED_VALUE"""),"LU005833")</f>
        <v>LU005833</v>
      </c>
      <c r="AJ56" s="13" t="str">
        <f ca="1">IFERROR(__xludf.DUMMYFUNCTION("""COMPUTED_VALUE"""),"Factors Required for a Shadow to Form")</f>
        <v>Factors Required for a Shadow to Form</v>
      </c>
      <c r="AK56" s="13"/>
      <c r="AL56" s="13"/>
      <c r="AM56" s="13"/>
      <c r="AN56" s="13"/>
      <c r="AO56" s="13"/>
      <c r="AP56" s="13"/>
      <c r="AQ56" s="13"/>
      <c r="AR56" s="13"/>
      <c r="AS56" s="13"/>
      <c r="AT56" s="13"/>
    </row>
    <row r="57" spans="1:46">
      <c r="A57" s="8" t="s">
        <v>247</v>
      </c>
      <c r="B57" s="8" t="s">
        <v>47</v>
      </c>
      <c r="C57" s="8" t="s">
        <v>48</v>
      </c>
      <c r="D57" s="8" t="s">
        <v>1510</v>
      </c>
      <c r="E57" s="8" t="s">
        <v>1730</v>
      </c>
      <c r="F57" s="118" t="s">
        <v>1742</v>
      </c>
      <c r="G57" s="118" t="s">
        <v>1743</v>
      </c>
      <c r="H57" s="118" t="str">
        <f ca="1">IFERROR(__xludf.DUMMYFUNCTION("VLOOKUP(G57, IMPORTRANGE(""https://docs.google.com/spreadsheets/d/14deopnvwcrKtEGCKuYXdUHJbeLDZlkiSSWWT0g7x2pM/edit#gid=849066331"", ""LU List Science (Filter)!A:B""), 2, FALSE)"),"Light travels in straight line")</f>
        <v>Light travels in straight line</v>
      </c>
      <c r="I57" s="10" t="str">
        <f t="shared" si="0"/>
        <v>LU005166.001</v>
      </c>
      <c r="J57" s="10" t="str">
        <f ca="1">IFERROR(__xludf.DUMMYFUNCTION("VLOOKUP(I57, IMPORTRANGE(""https://docs.google.com/spreadsheets/d/1yDAaXNsi4Mr5FtRQL4tbmSdIzhx6_m4wkOD7IG-k_eo/edit#gid=1336395716"", ""Science!M:N""), 2, FALSE)"),"Recall the principle that light travels in straight lines.")</f>
        <v>Recall the principle that light travels in straight lines.</v>
      </c>
      <c r="K57" s="10" t="str">
        <f t="shared" si="1"/>
        <v>LU005166.002</v>
      </c>
      <c r="L57" s="10" t="str">
        <f ca="1">IFERROR(__xludf.DUMMYFUNCTION("VLOOKUP(K57, IMPORTRANGE(""https://docs.google.com/spreadsheets/d/1yDAaXNsi4Mr5FtRQL4tbmSdIzhx6_m4wkOD7IG-k_eo/edit#gid=1336395716"", ""Science!M:N""), 2, FALSE)"),"Explain how the straight-line propagation of light results in the formation of shadows")</f>
        <v>Explain how the straight-line propagation of light results in the formation of shadows</v>
      </c>
      <c r="M57" s="10" t="str">
        <f t="shared" si="2"/>
        <v>LU005166.003</v>
      </c>
      <c r="N57" s="10" t="str">
        <f ca="1">IFERROR(__xludf.DUMMYFUNCTION("VLOOKUP(M57, IMPORTRANGE(""https://docs.google.com/spreadsheets/d/1yDAaXNsi4Mr5FtRQL4tbmSdIzhx6_m4wkOD7IG-k_eo/edit#gid=1336395716"", ""Science!M:N""), 2, FALSE)"),"Demonstrate the principle of light travelling in a straight line using a simple experiment involving a torch and straight-edged objects.")</f>
        <v>Demonstrate the principle of light travelling in a straight line using a simple experiment involving a torch and straight-edged objects.</v>
      </c>
      <c r="O57" s="10" t="str">
        <f t="shared" si="3"/>
        <v>LU005166.004</v>
      </c>
      <c r="P57" s="10" t="str">
        <f ca="1">IFERROR(__xludf.DUMMYFUNCTION("VLOOKUP(O57, IMPORTRANGE(""https://docs.google.com/spreadsheets/d/1yDAaXNsi4Mr5FtRQL4tbmSdIzhx6_m4wkOD7IG-k_eo/edit#gid=1336395716"", ""Science!M:N""), 2, FALSE)"),"Interpret how the principle of light travelling in straight lines can be used to explain the occurrence of solar and lunar eclipses")</f>
        <v>Interpret how the principle of light travelling in straight lines can be used to explain the occurrence of solar and lunar eclipses</v>
      </c>
      <c r="Q57" s="10" t="str">
        <f t="shared" si="4"/>
        <v>LU005166.005</v>
      </c>
      <c r="R57" s="10" t="str">
        <f ca="1">IFERROR(__xludf.DUMMYFUNCTION("VLOOKUP(Q57, IMPORTRANGE(""https://docs.google.com/spreadsheets/d/1yDAaXNsi4Mr5FtRQL4tbmSdIzhx6_m4wkOD7IG-k_eo/edit#gid=1336395716"", ""Science!M:N""), 2, FALSE)"),"#N/A")</f>
        <v>#N/A</v>
      </c>
      <c r="S57" s="10" t="str">
        <f t="shared" si="5"/>
        <v>LU005166.006</v>
      </c>
      <c r="T57" s="10" t="str">
        <f ca="1">IFERROR(__xludf.DUMMYFUNCTION("VLOOKUP(S57, IMPORTRANGE(""https://docs.google.com/spreadsheets/d/1yDAaXNsi4Mr5FtRQL4tbmSdIzhx6_m4wkOD7IG-k_eo/edit#gid=1336395716"", ""Science!M:N""), 2, FALSE)"),"#N/A")</f>
        <v>#N/A</v>
      </c>
      <c r="U57" s="38">
        <f ca="1">IFERROR(__xludf.DUMMYFUNCTION("ArrayFormula(VLOOKUP(G57, IMPORTRANGE(""https://docs.google.com/spreadsheets/d/1p7R4vtkWt5VOBim4ltsDG9KTzSjrtKXsMtQGXPHyND0/edit#gid=795171502"", ""'Filter 30_05_2024'!A1:M2000""), {2, 3, 4, 5,6,7,8,9,10,11,12,13}, 0))"),4)</f>
        <v>4</v>
      </c>
      <c r="V57" s="11">
        <f ca="1">IFERROR(__xludf.DUMMYFUNCTION("""COMPUTED_VALUE"""),10)</f>
        <v>10</v>
      </c>
      <c r="W57" s="11"/>
      <c r="X57" s="11">
        <f ca="1">IFERROR(__xludf.DUMMYFUNCTION("""COMPUTED_VALUE"""),14)</f>
        <v>14</v>
      </c>
      <c r="Y57" s="11">
        <f ca="1">IFERROR(__xludf.DUMMYFUNCTION("""COMPUTED_VALUE"""),4)</f>
        <v>4</v>
      </c>
      <c r="Z57" s="12">
        <f ca="1">IFERROR(__xludf.DUMMYFUNCTION("""COMPUTED_VALUE"""),3)</f>
        <v>3</v>
      </c>
      <c r="AA57" s="12">
        <f ca="1">IFERROR(__xludf.DUMMYFUNCTION("""COMPUTED_VALUE"""),1)</f>
        <v>1</v>
      </c>
      <c r="AB57" s="12">
        <f ca="1">IFERROR(__xludf.DUMMYFUNCTION("""COMPUTED_VALUE"""),8)</f>
        <v>8</v>
      </c>
      <c r="AC57" s="12">
        <f ca="1">IFERROR(__xludf.DUMMYFUNCTION("""COMPUTED_VALUE"""),1)</f>
        <v>1</v>
      </c>
      <c r="AD57" s="12"/>
      <c r="AE57" s="12"/>
      <c r="AF57" s="12">
        <f ca="1">IFERROR(__xludf.DUMMYFUNCTION("""COMPUTED_VALUE"""),1)</f>
        <v>1</v>
      </c>
      <c r="AG57" s="13" t="str">
        <f ca="1">IFERROR(__xludf.DUMMYFUNCTION("ArrayFormula(VLOOKUP(G57, IMPORTRANGE(""https://docs.google.com/spreadsheets/d/1Co934fvtviyaRiMsrIlT05Jaq7iiYq07aLvRr35KA48/edit?gid=173865642#gid=173865642"", ""'G6_Sci_Pri_LU'!G2:V2000""), {3, 4, 5, 6, 7, 8, 9, 10, 11, 12, 13, 14, 15, 16}, 0))"),"")</f>
        <v/>
      </c>
      <c r="AH57" s="13"/>
      <c r="AI57" s="13"/>
      <c r="AJ57" s="13"/>
      <c r="AK57" s="13"/>
      <c r="AL57" s="13"/>
      <c r="AM57" s="13"/>
      <c r="AN57" s="13"/>
      <c r="AO57" s="13"/>
      <c r="AP57" s="13"/>
      <c r="AQ57" s="13"/>
      <c r="AR57" s="13"/>
      <c r="AS57" s="13"/>
      <c r="AT57" s="13"/>
    </row>
    <row r="58" spans="1:46">
      <c r="A58" s="8" t="s">
        <v>247</v>
      </c>
      <c r="B58" s="8" t="s">
        <v>47</v>
      </c>
      <c r="C58" s="8" t="s">
        <v>48</v>
      </c>
      <c r="D58" s="8" t="s">
        <v>1510</v>
      </c>
      <c r="E58" s="8" t="s">
        <v>1730</v>
      </c>
      <c r="F58" s="8" t="s">
        <v>1744</v>
      </c>
      <c r="G58" s="8" t="s">
        <v>1745</v>
      </c>
      <c r="H58" s="8" t="str">
        <f ca="1">IFERROR(__xludf.DUMMYFUNCTION("VLOOKUP(G58, IMPORTRANGE(""https://docs.google.com/spreadsheets/d/14deopnvwcrKtEGCKuYXdUHJbeLDZlkiSSWWT0g7x2pM/edit#gid=849066331"", ""LU List Science (Filter)!A:B""), 2, FALSE)"),"Construction of Pinhole camera")</f>
        <v>Construction of Pinhole camera</v>
      </c>
      <c r="I58" s="10" t="str">
        <f t="shared" si="0"/>
        <v>LU005167.001</v>
      </c>
      <c r="J58" s="10" t="str">
        <f ca="1">IFERROR(__xludf.DUMMYFUNCTION("VLOOKUP(I58, IMPORTRANGE(""https://docs.google.com/spreadsheets/d/1yDAaXNsi4Mr5FtRQL4tbmSdIzhx6_m4wkOD7IG-k_eo/edit#gid=1336395716"", ""Science!M:N""), 2, FALSE)"),"Define what a pinhole camera is.")</f>
        <v>Define what a pinhole camera is.</v>
      </c>
      <c r="K58" s="10" t="str">
        <f t="shared" si="1"/>
        <v>LU005167.002</v>
      </c>
      <c r="L58" s="10" t="str">
        <f ca="1">IFERROR(__xludf.DUMMYFUNCTION("VLOOKUP(K58, IMPORTRANGE(""https://docs.google.com/spreadsheets/d/1yDAaXNsi4Mr5FtRQL4tbmSdIzhx6_m4wkOD7IG-k_eo/edit#gid=1336395716"", ""Science!M:N""), 2, FALSE)"),"Describe the working of a pinhole camera.")</f>
        <v>Describe the working of a pinhole camera.</v>
      </c>
      <c r="M58" s="10" t="str">
        <f t="shared" si="2"/>
        <v>LU005167.003</v>
      </c>
      <c r="N58" s="10" t="str">
        <f ca="1">IFERROR(__xludf.DUMMYFUNCTION("VLOOKUP(M58, IMPORTRANGE(""https://docs.google.com/spreadsheets/d/1yDAaXNsi4Mr5FtRQL4tbmSdIzhx6_m4wkOD7IG-k_eo/edit#gid=1336395716"", ""Science!M:N""), 2, FALSE)"),"Construct a basic pinhole camera using household materials.")</f>
        <v>Construct a basic pinhole camera using household materials.</v>
      </c>
      <c r="O58" s="10" t="str">
        <f t="shared" si="3"/>
        <v>LU005167.004</v>
      </c>
      <c r="P58" s="10" t="str">
        <f ca="1">IFERROR(__xludf.DUMMYFUNCTION("VLOOKUP(O58, IMPORTRANGE(""https://docs.google.com/spreadsheets/d/1yDAaXNsi4Mr5FtRQL4tbmSdIzhx6_m4wkOD7IG-k_eo/edit#gid=1336395716"", ""Science!M:N""), 2, FALSE)"),"Dissect the key components of a pinhole camera and explain how each part contributes to the image formation process")</f>
        <v>Dissect the key components of a pinhole camera and explain how each part contributes to the image formation process</v>
      </c>
      <c r="Q58" s="10" t="str">
        <f t="shared" si="4"/>
        <v>LU005167.005</v>
      </c>
      <c r="R58" s="10" t="str">
        <f ca="1">IFERROR(__xludf.DUMMYFUNCTION("VLOOKUP(Q58, IMPORTRANGE(""https://docs.google.com/spreadsheets/d/1yDAaXNsi4Mr5FtRQL4tbmSdIzhx6_m4wkOD7IG-k_eo/edit#gid=1336395716"", ""Science!M:N""), 2, FALSE)"),"Evaluate the effectiveness of pinhole cameras in capturing detailed images.")</f>
        <v>Evaluate the effectiveness of pinhole cameras in capturing detailed images.</v>
      </c>
      <c r="S58" s="10" t="str">
        <f t="shared" si="5"/>
        <v>LU005167.006</v>
      </c>
      <c r="T58" s="10" t="str">
        <f ca="1">IFERROR(__xludf.DUMMYFUNCTION("VLOOKUP(S58, IMPORTRANGE(""https://docs.google.com/spreadsheets/d/1yDAaXNsi4Mr5FtRQL4tbmSdIzhx6_m4wkOD7IG-k_eo/edit#gid=1336395716"", ""Science!M:N""), 2, FALSE)"),"Design an improved pinhole camera model incorporating lenses or multiple pinholes.")</f>
        <v>Design an improved pinhole camera model incorporating lenses or multiple pinholes.</v>
      </c>
      <c r="U58" s="11">
        <f ca="1">IFERROR(__xludf.DUMMYFUNCTION("ArrayFormula(VLOOKUP(G58, IMPORTRANGE(""https://docs.google.com/spreadsheets/d/1p7R4vtkWt5VOBim4ltsDG9KTzSjrtKXsMtQGXPHyND0/edit#gid=795171502"", ""'Filter 30_05_2024'!A1:M2000""), {2, 3, 4, 5,6,7,8,9,10,11,12,13}, 0))"),4)</f>
        <v>4</v>
      </c>
      <c r="V58" s="11">
        <f ca="1">IFERROR(__xludf.DUMMYFUNCTION("""COMPUTED_VALUE"""),7)</f>
        <v>7</v>
      </c>
      <c r="W58" s="38"/>
      <c r="X58" s="11">
        <f ca="1">IFERROR(__xludf.DUMMYFUNCTION("""COMPUTED_VALUE"""),11)</f>
        <v>11</v>
      </c>
      <c r="Y58" s="11">
        <f ca="1">IFERROR(__xludf.DUMMYFUNCTION("""COMPUTED_VALUE"""),7)</f>
        <v>7</v>
      </c>
      <c r="Z58" s="12">
        <f ca="1">IFERROR(__xludf.DUMMYFUNCTION("""COMPUTED_VALUE"""),3)</f>
        <v>3</v>
      </c>
      <c r="AA58" s="115"/>
      <c r="AB58" s="12">
        <f ca="1">IFERROR(__xludf.DUMMYFUNCTION("""COMPUTED_VALUE"""),10)</f>
        <v>10</v>
      </c>
      <c r="AC58" s="12"/>
      <c r="AD58" s="12"/>
      <c r="AE58" s="12"/>
      <c r="AF58" s="12"/>
      <c r="AG58" s="13" t="str">
        <f ca="1">IFERROR(__xludf.DUMMYFUNCTION("ArrayFormula(VLOOKUP(G58, IMPORTRANGE(""https://docs.google.com/spreadsheets/d/1Co934fvtviyaRiMsrIlT05Jaq7iiYq07aLvRr35KA48/edit?gid=173865642#gid=173865642"", ""'G6_Sci_Pri_LU'!G2:V2000""), {3, 4, 5, 6, 7, 8, 9, 10, 11, 12, 13, 14, 15, 16}, 0))"),"LU005832")</f>
        <v>LU005832</v>
      </c>
      <c r="AH58" s="13" t="str">
        <f ca="1">IFERROR(__xludf.DUMMYFUNCTION("""COMPUTED_VALUE"""),"Definition and examples of opaque objects")</f>
        <v>Definition and examples of opaque objects</v>
      </c>
      <c r="AI58" s="13" t="str">
        <f ca="1">IFERROR(__xludf.DUMMYFUNCTION("""COMPUTED_VALUE"""),"LU005166")</f>
        <v>LU005166</v>
      </c>
      <c r="AJ58" s="13" t="str">
        <f ca="1">IFERROR(__xludf.DUMMYFUNCTION("""COMPUTED_VALUE"""),"Light travels in straight line")</f>
        <v>Light travels in straight line</v>
      </c>
      <c r="AK58" s="13"/>
      <c r="AL58" s="13"/>
      <c r="AM58" s="13"/>
      <c r="AN58" s="13"/>
      <c r="AO58" s="13"/>
      <c r="AP58" s="13"/>
      <c r="AQ58" s="13"/>
      <c r="AR58" s="13"/>
      <c r="AS58" s="13"/>
      <c r="AT58" s="13"/>
    </row>
    <row r="59" spans="1:46">
      <c r="A59" s="8" t="s">
        <v>247</v>
      </c>
      <c r="B59" s="8" t="s">
        <v>47</v>
      </c>
      <c r="C59" s="8" t="s">
        <v>48</v>
      </c>
      <c r="D59" s="8" t="s">
        <v>1510</v>
      </c>
      <c r="E59" s="8" t="s">
        <v>1730</v>
      </c>
      <c r="F59" s="8" t="s">
        <v>1744</v>
      </c>
      <c r="G59" s="8" t="s">
        <v>1746</v>
      </c>
      <c r="H59" s="8" t="str">
        <f ca="1">IFERROR(__xludf.DUMMYFUNCTION("VLOOKUP(G59, IMPORTRANGE(""https://docs.google.com/spreadsheets/d/14deopnvwcrKtEGCKuYXdUHJbeLDZlkiSSWWT0g7x2pM/edit#gid=849066331"", ""LU List Science (Filter)!A:B""), 2, FALSE)"),"Characteristics of Pinhole Images")</f>
        <v>Characteristics of Pinhole Images</v>
      </c>
      <c r="I59" s="10" t="str">
        <f t="shared" si="0"/>
        <v>LU005834.001</v>
      </c>
      <c r="J59" s="10" t="str">
        <f ca="1">IFERROR(__xludf.DUMMYFUNCTION("VLOOKUP(I59, IMPORTRANGE(""https://docs.google.com/spreadsheets/d/1yDAaXNsi4Mr5FtRQL4tbmSdIzhx6_m4wkOD7IG-k_eo/edit#gid=1336395716"", ""Science!M:N""), 2, FALSE)"),"Describe the nature of images formed by a pinhole camera.")</f>
        <v>Describe the nature of images formed by a pinhole camera.</v>
      </c>
      <c r="K59" s="10" t="str">
        <f t="shared" si="1"/>
        <v>LU005834.002</v>
      </c>
      <c r="L59" s="10" t="str">
        <f ca="1">IFERROR(__xludf.DUMMYFUNCTION("VLOOKUP(K59, IMPORTRANGE(""https://docs.google.com/spreadsheets/d/1yDAaXNsi4Mr5FtRQL4tbmSdIzhx6_m4wkOD7IG-k_eo/edit#gid=1336395716"", ""Science!M:N""), 2, FALSE)"),"Explain why pinhole camera images are inverted.")</f>
        <v>Explain why pinhole camera images are inverted.</v>
      </c>
      <c r="M59" s="10" t="str">
        <f t="shared" si="2"/>
        <v>LU005834.003</v>
      </c>
      <c r="N59" s="10" t="str">
        <f ca="1">IFERROR(__xludf.DUMMYFUNCTION("VLOOKUP(M59, IMPORTRANGE(""https://docs.google.com/spreadsheets/d/1yDAaXNsi4Mr5FtRQL4tbmSdIzhx6_m4wkOD7IG-k_eo/edit#gid=1336395716"", ""Science!M:N""), 2, FALSE)"),"Differentiate pinhole images from regular camera images.")</f>
        <v>Differentiate pinhole images from regular camera images.</v>
      </c>
      <c r="O59" s="10" t="str">
        <f t="shared" si="3"/>
        <v>LU005834.004</v>
      </c>
      <c r="P59" s="10" t="str">
        <f ca="1">IFERROR(__xludf.DUMMYFUNCTION("VLOOKUP(O59, IMPORTRANGE(""https://docs.google.com/spreadsheets/d/1yDAaXNsi4Mr5FtRQL4tbmSdIzhx6_m4wkOD7IG-k_eo/edit#gid=1336395716"", ""Science!M:N""), 2, FALSE)"),"Analyze the factors affecting the clarity and size of pinhole images.")</f>
        <v>Analyze the factors affecting the clarity and size of pinhole images.</v>
      </c>
      <c r="Q59" s="10" t="str">
        <f t="shared" si="4"/>
        <v>LU005834.005</v>
      </c>
      <c r="R59" s="10" t="str">
        <f ca="1">IFERROR(__xludf.DUMMYFUNCTION("VLOOKUP(Q59, IMPORTRANGE(""https://docs.google.com/spreadsheets/d/1yDAaXNsi4Mr5FtRQL4tbmSdIzhx6_m4wkOD7IG-k_eo/edit#gid=1336395716"", ""Science!M:N""), 2, FALSE)"),"Judge the fidelity of pinhole images in representing real-world objects.")</f>
        <v>Judge the fidelity of pinhole images in representing real-world objects.</v>
      </c>
      <c r="S59" s="10" t="str">
        <f t="shared" si="5"/>
        <v>LU005834.006</v>
      </c>
      <c r="T59" s="10" t="str">
        <f ca="1">IFERROR(__xludf.DUMMYFUNCTION("VLOOKUP(S59, IMPORTRANGE(""https://docs.google.com/spreadsheets/d/1yDAaXNsi4Mr5FtRQL4tbmSdIzhx6_m4wkOD7IG-k_eo/edit#gid=1336395716"", ""Science!M:N""), 2, FALSE)"),"Devise methods to enhance the resolution of pinhole camera images")</f>
        <v>Devise methods to enhance the resolution of pinhole camera images</v>
      </c>
      <c r="U59" s="11">
        <f ca="1">IFERROR(__xludf.DUMMYFUNCTION("ArrayFormula(VLOOKUP(G59, IMPORTRANGE(""https://docs.google.com/spreadsheets/d/1p7R4vtkWt5VOBim4ltsDG9KTzSjrtKXsMtQGXPHyND0/edit#gid=795171502"", ""'Filter 30_05_2024'!A1:M2000""), {2, 3, 4, 5,6,7,8,9,10,11,12,13}, 0))"),10)</f>
        <v>10</v>
      </c>
      <c r="V59" s="11">
        <f ca="1">IFERROR(__xludf.DUMMYFUNCTION("""COMPUTED_VALUE"""),6)</f>
        <v>6</v>
      </c>
      <c r="W59" s="11">
        <f ca="1">IFERROR(__xludf.DUMMYFUNCTION("""COMPUTED_VALUE"""),7)</f>
        <v>7</v>
      </c>
      <c r="X59" s="11">
        <f ca="1">IFERROR(__xludf.DUMMYFUNCTION("""COMPUTED_VALUE"""),23)</f>
        <v>23</v>
      </c>
      <c r="Y59" s="11">
        <f ca="1">IFERROR(__xludf.DUMMYFUNCTION("""COMPUTED_VALUE"""),5)</f>
        <v>5</v>
      </c>
      <c r="Z59" s="12">
        <f ca="1">IFERROR(__xludf.DUMMYFUNCTION("""COMPUTED_VALUE"""),3)</f>
        <v>3</v>
      </c>
      <c r="AA59" s="12">
        <f ca="1">IFERROR(__xludf.DUMMYFUNCTION("""COMPUTED_VALUE"""),1)</f>
        <v>1</v>
      </c>
      <c r="AB59" s="12">
        <f ca="1">IFERROR(__xludf.DUMMYFUNCTION("""COMPUTED_VALUE"""),9)</f>
        <v>9</v>
      </c>
      <c r="AC59" s="12"/>
      <c r="AD59" s="12"/>
      <c r="AE59" s="12"/>
      <c r="AF59" s="12"/>
      <c r="AG59" s="13" t="str">
        <f ca="1">IFERROR(__xludf.DUMMYFUNCTION("ArrayFormula(VLOOKUP(G59, IMPORTRANGE(""https://docs.google.com/spreadsheets/d/1Co934fvtviyaRiMsrIlT05Jaq7iiYq07aLvRr35KA48/edit?gid=173865642#gid=173865642"", ""'G6_Sci_Pri_LU'!G2:V2000""), {3, 4, 5, 6, 7, 8, 9, 10, 11, 12, 13, 14, 15, 16}, 0))"),"LU005166")</f>
        <v>LU005166</v>
      </c>
      <c r="AH59" s="13" t="str">
        <f ca="1">IFERROR(__xludf.DUMMYFUNCTION("""COMPUTED_VALUE"""),"Light travels in straight line")</f>
        <v>Light travels in straight line</v>
      </c>
      <c r="AI59" s="13" t="str">
        <f ca="1">IFERROR(__xludf.DUMMYFUNCTION("""COMPUTED_VALUE"""),"LU005167")</f>
        <v>LU005167</v>
      </c>
      <c r="AJ59" s="13" t="str">
        <f ca="1">IFERROR(__xludf.DUMMYFUNCTION("""COMPUTED_VALUE"""),"Construction of Pinhole camera")</f>
        <v>Construction of Pinhole camera</v>
      </c>
      <c r="AK59" s="13"/>
      <c r="AL59" s="13"/>
      <c r="AM59" s="13"/>
      <c r="AN59" s="13"/>
      <c r="AO59" s="13"/>
      <c r="AP59" s="13"/>
      <c r="AQ59" s="13"/>
      <c r="AR59" s="13"/>
      <c r="AS59" s="13"/>
      <c r="AT59" s="13"/>
    </row>
    <row r="60" spans="1:46">
      <c r="A60" s="8" t="s">
        <v>247</v>
      </c>
      <c r="B60" s="8" t="s">
        <v>47</v>
      </c>
      <c r="C60" s="8" t="s">
        <v>48</v>
      </c>
      <c r="D60" s="8" t="s">
        <v>1510</v>
      </c>
      <c r="E60" s="8" t="s">
        <v>1730</v>
      </c>
      <c r="F60" s="8" t="s">
        <v>1744</v>
      </c>
      <c r="G60" s="8" t="s">
        <v>1747</v>
      </c>
      <c r="H60" s="8" t="str">
        <f ca="1">IFERROR(__xludf.DUMMYFUNCTION("VLOOKUP(G60, IMPORTRANGE(""https://docs.google.com/spreadsheets/d/14deopnvwcrKtEGCKuYXdUHJbeLDZlkiSSWWT0g7x2pM/edit#gid=849066331"", ""LU List Science (Filter)!A:B""), 2, FALSE)"),"Natural Pinhole camera")</f>
        <v>Natural Pinhole camera</v>
      </c>
      <c r="I60" s="10" t="str">
        <f t="shared" si="0"/>
        <v>LU005835.001</v>
      </c>
      <c r="J60" s="10" t="str">
        <f ca="1">IFERROR(__xludf.DUMMYFUNCTION("VLOOKUP(I60, IMPORTRANGE(""https://docs.google.com/spreadsheets/d/1yDAaXNsi4Mr5FtRQL4tbmSdIzhx6_m4wkOD7IG-k_eo/edit#gid=1336395716"", ""Science!M:N""), 2, FALSE)"),"List some examples of pinhole cameras in nature.")</f>
        <v>List some examples of pinhole cameras in nature.</v>
      </c>
      <c r="K60" s="10" t="str">
        <f t="shared" si="1"/>
        <v>LU005835.002</v>
      </c>
      <c r="L60" s="10" t="str">
        <f ca="1">IFERROR(__xludf.DUMMYFUNCTION("VLOOKUP(K60, IMPORTRANGE(""https://docs.google.com/spreadsheets/d/1yDAaXNsi4Mr5FtRQL4tbmSdIzhx6_m4wkOD7IG-k_eo/edit#gid=1336395716"", ""Science!M:N""), 2, FALSE)"),"Explain the formation of pinhole images using gaps between leaves.")</f>
        <v>Explain the formation of pinhole images using gaps between leaves.</v>
      </c>
      <c r="M60" s="10" t="str">
        <f t="shared" si="2"/>
        <v>LU005835.003</v>
      </c>
      <c r="N60" s="10" t="str">
        <f ca="1">IFERROR(__xludf.DUMMYFUNCTION("VLOOKUP(M60, IMPORTRANGE(""https://docs.google.com/spreadsheets/d/1yDAaXNsi4Mr5FtRQL4tbmSdIzhx6_m4wkOD7IG-k_eo/edit#gid=1336395716"", ""Science!M:N""), 2, FALSE)"),"Observe and document pinhole images in natural settings.")</f>
        <v>Observe and document pinhole images in natural settings.</v>
      </c>
      <c r="O60" s="10" t="str">
        <f t="shared" si="3"/>
        <v>LU005835.004</v>
      </c>
      <c r="P60" s="10" t="str">
        <f ca="1">IFERROR(__xludf.DUMMYFUNCTION("VLOOKUP(O60, IMPORTRANGE(""https://docs.google.com/spreadsheets/d/1yDAaXNsi4Mr5FtRQL4tbmSdIzhx6_m4wkOD7IG-k_eo/edit#gid=1336395716"", ""Science!M:N""), 2, FALSE)"),"Analyze why gaps of any shape produce roughly circular images of the sun.")</f>
        <v>Analyze why gaps of any shape produce roughly circular images of the sun.</v>
      </c>
      <c r="Q60" s="10" t="str">
        <f t="shared" si="4"/>
        <v>LU005835.005</v>
      </c>
      <c r="R60" s="10" t="str">
        <f ca="1">IFERROR(__xludf.DUMMYFUNCTION("VLOOKUP(Q60, IMPORTRANGE(""https://docs.google.com/spreadsheets/d/1yDAaXNsi4Mr5FtRQL4tbmSdIzhx6_m4wkOD7IG-k_eo/edit#gid=1336395716"", ""Science!M:N""), 2, FALSE)"),"Evaluate the clarity of natural pinhole images versus man-made ones.")</f>
        <v>Evaluate the clarity of natural pinhole images versus man-made ones.</v>
      </c>
      <c r="S60" s="10" t="str">
        <f t="shared" si="5"/>
        <v>LU005835.006</v>
      </c>
      <c r="T60" s="10" t="str">
        <f ca="1">IFERROR(__xludf.DUMMYFUNCTION("VLOOKUP(S60, IMPORTRANGE(""https://docs.google.com/spreadsheets/d/1yDAaXNsi4Mr5FtRQL4tbmSdIzhx6_m4wkOD7IG-k_eo/edit#gid=1336395716"", ""Science!M:N""), 2, FALSE)"),"Design a setup to maximize the clarity of natural pinhole images during events like solar eclipses.")</f>
        <v>Design a setup to maximize the clarity of natural pinhole images during events like solar eclipses.</v>
      </c>
      <c r="U60" s="11">
        <f ca="1">IFERROR(__xludf.DUMMYFUNCTION("ArrayFormula(VLOOKUP(G60, IMPORTRANGE(""https://docs.google.com/spreadsheets/d/1p7R4vtkWt5VOBim4ltsDG9KTzSjrtKXsMtQGXPHyND0/edit#gid=795171502"", ""'Filter 30_05_2024'!A1:M2000""), {2, 3, 4, 5,6,7,8,9,10,11,12,13}, 0))"),5)</f>
        <v>5</v>
      </c>
      <c r="V60" s="38">
        <f ca="1">IFERROR(__xludf.DUMMYFUNCTION("""COMPUTED_VALUE"""),1)</f>
        <v>1</v>
      </c>
      <c r="W60" s="11">
        <f ca="1">IFERROR(__xludf.DUMMYFUNCTION("""COMPUTED_VALUE"""),2)</f>
        <v>2</v>
      </c>
      <c r="X60" s="11">
        <f ca="1">IFERROR(__xludf.DUMMYFUNCTION("""COMPUTED_VALUE"""),8)</f>
        <v>8</v>
      </c>
      <c r="Y60" s="11">
        <f ca="1">IFERROR(__xludf.DUMMYFUNCTION("""COMPUTED_VALUE"""),7)</f>
        <v>7</v>
      </c>
      <c r="Z60" s="12">
        <f ca="1">IFERROR(__xludf.DUMMYFUNCTION("""COMPUTED_VALUE"""),3)</f>
        <v>3</v>
      </c>
      <c r="AA60" s="12">
        <f ca="1">IFERROR(__xludf.DUMMYFUNCTION("""COMPUTED_VALUE"""),2)</f>
        <v>2</v>
      </c>
      <c r="AB60" s="12">
        <f ca="1">IFERROR(__xludf.DUMMYFUNCTION("""COMPUTED_VALUE"""),12)</f>
        <v>12</v>
      </c>
      <c r="AC60" s="12"/>
      <c r="AD60" s="12"/>
      <c r="AE60" s="12"/>
      <c r="AF60" s="12"/>
      <c r="AG60" s="13" t="str">
        <f ca="1">IFERROR(__xludf.DUMMYFUNCTION("ArrayFormula(VLOOKUP(G60, IMPORTRANGE(""https://docs.google.com/spreadsheets/d/1Co934fvtviyaRiMsrIlT05Jaq7iiYq07aLvRr35KA48/edit?gid=173865642#gid=173865642"", ""'G6_Sci_Pri_LU'!G2:V2000""), {3, 4, 5, 6, 7, 8, 9, 10, 11, 12, 13, 14, 15, 16}, 0))"),"LU005834")</f>
        <v>LU005834</v>
      </c>
      <c r="AH60" s="13" t="str">
        <f ca="1">IFERROR(__xludf.DUMMYFUNCTION("""COMPUTED_VALUE"""),"Characteristics of Pinhole Images")</f>
        <v>Characteristics of Pinhole Images</v>
      </c>
      <c r="AI60" s="13"/>
      <c r="AJ60" s="13"/>
      <c r="AK60" s="13"/>
      <c r="AL60" s="13"/>
      <c r="AM60" s="13"/>
      <c r="AN60" s="13"/>
      <c r="AO60" s="13"/>
      <c r="AP60" s="13"/>
      <c r="AQ60" s="13"/>
      <c r="AR60" s="13"/>
      <c r="AS60" s="13"/>
      <c r="AT60" s="13"/>
    </row>
    <row r="61" spans="1:46">
      <c r="A61" s="8" t="s">
        <v>247</v>
      </c>
      <c r="B61" s="8" t="s">
        <v>47</v>
      </c>
      <c r="C61" s="8" t="s">
        <v>48</v>
      </c>
      <c r="D61" s="8" t="s">
        <v>1510</v>
      </c>
      <c r="E61" s="8" t="s">
        <v>1730</v>
      </c>
      <c r="F61" s="8" t="s">
        <v>1748</v>
      </c>
      <c r="G61" s="117" t="s">
        <v>1749</v>
      </c>
      <c r="H61" s="117" t="str">
        <f ca="1">IFERROR(__xludf.DUMMYFUNCTION("VLOOKUP(G61, IMPORTRANGE(""https://docs.google.com/spreadsheets/d/14deopnvwcrKtEGCKuYXdUHJbeLDZlkiSSWWT0g7x2pM/edit#gid=849066331"", ""LU List Science (Filter)!A:B""), 2, FALSE)"),"Definition of Reflection of Light")</f>
        <v>Definition of Reflection of Light</v>
      </c>
      <c r="I61" s="10" t="str">
        <f t="shared" si="0"/>
        <v>LU005838.001</v>
      </c>
      <c r="J61" s="10" t="str">
        <f ca="1">IFERROR(__xludf.DUMMYFUNCTION("VLOOKUP(I61, IMPORTRANGE(""https://docs.google.com/spreadsheets/d/1yDAaXNsi4Mr5FtRQL4tbmSdIzhx6_m4wkOD7IG-k_eo/edit#gid=1336395716"", ""Science!M:N""), 2, FALSE)"),"Define the term ""reflection"" in the context of light.")</f>
        <v>Define the term "reflection" in the context of light.</v>
      </c>
      <c r="K61" s="10" t="str">
        <f t="shared" si="1"/>
        <v>LU005838.002</v>
      </c>
      <c r="L61" s="10" t="str">
        <f ca="1">IFERROR(__xludf.DUMMYFUNCTION("VLOOKUP(K61, IMPORTRANGE(""https://docs.google.com/spreadsheets/d/1yDAaXNsi4Mr5FtRQL4tbmSdIzhx6_m4wkOD7IG-k_eo/edit#gid=1336395716"", ""Science!M:N""), 2, FALSE)"),"Explain the basic principles underlying the reflection of light.")</f>
        <v>Explain the basic principles underlying the reflection of light.</v>
      </c>
      <c r="M61" s="10" t="str">
        <f t="shared" si="2"/>
        <v>LU005838.003</v>
      </c>
      <c r="N61" s="10" t="str">
        <f ca="1">IFERROR(__xludf.DUMMYFUNCTION("VLOOKUP(M61, IMPORTRANGE(""https://docs.google.com/spreadsheets/d/1yDAaXNsi4Mr5FtRQL4tbmSdIzhx6_m4wkOD7IG-k_eo/edit#gid=1336395716"", ""Science!M:N""), 2, FALSE)"),"Identify examples in everyday life where light reflection is evident.")</f>
        <v>Identify examples in everyday life where light reflection is evident.</v>
      </c>
      <c r="O61" s="10" t="str">
        <f t="shared" si="3"/>
        <v>LU005838.004</v>
      </c>
      <c r="P61" s="10" t="str">
        <f ca="1">IFERROR(__xludf.DUMMYFUNCTION("VLOOKUP(O61, IMPORTRANGE(""https://docs.google.com/spreadsheets/d/1yDAaXNsi4Mr5FtRQL4tbmSdIzhx6_m4wkOD7IG-k_eo/edit#gid=1336395716"", ""Science!M:N""), 2, FALSE)"),"Differentiate reflection of light from other optical behaviors, such as absorption or transmission.")</f>
        <v>Differentiate reflection of light from other optical behaviors, such as absorption or transmission.</v>
      </c>
      <c r="Q61" s="10" t="str">
        <f t="shared" si="4"/>
        <v>LU005838.005</v>
      </c>
      <c r="R61" s="10" t="str">
        <f ca="1">IFERROR(__xludf.DUMMYFUNCTION("VLOOKUP(Q61, IMPORTRANGE(""https://docs.google.com/spreadsheets/d/1yDAaXNsi4Mr5FtRQL4tbmSdIzhx6_m4wkOD7IG-k_eo/edit#gid=1336395716"", ""Science!M:N""), 2, FALSE)"),"Evaluate the clarity of different definitions of light reflection from various sources.")</f>
        <v>Evaluate the clarity of different definitions of light reflection from various sources.</v>
      </c>
      <c r="S61" s="10" t="str">
        <f t="shared" si="5"/>
        <v>LU005838.006</v>
      </c>
      <c r="T61" s="10" t="str">
        <f ca="1">IFERROR(__xludf.DUMMYFUNCTION("VLOOKUP(S61, IMPORTRANGE(""https://docs.google.com/spreadsheets/d/1yDAaXNsi4Mr5FtRQL4tbmSdIzhx6_m4wkOD7IG-k_eo/edit#gid=1336395716"", ""Science!M:N""), 2, FALSE)"),"Construct a simple diagram or model illustrating the reflection of light")</f>
        <v>Construct a simple diagram or model illustrating the reflection of light</v>
      </c>
      <c r="U61" s="11">
        <f ca="1">IFERROR(__xludf.DUMMYFUNCTION("ArrayFormula(VLOOKUP(G61, IMPORTRANGE(""https://docs.google.com/spreadsheets/d/1p7R4vtkWt5VOBim4ltsDG9KTzSjrtKXsMtQGXPHyND0/edit#gid=795171502"", ""'Filter 30_05_2024'!A1:M2000""), {2, 3, 4, 5,6,7,8,9,10,11,12,13}, 0))"),4)</f>
        <v>4</v>
      </c>
      <c r="V61" s="11">
        <f ca="1">IFERROR(__xludf.DUMMYFUNCTION("""COMPUTED_VALUE"""),6)</f>
        <v>6</v>
      </c>
      <c r="W61" s="11">
        <f ca="1">IFERROR(__xludf.DUMMYFUNCTION("""COMPUTED_VALUE"""),2)</f>
        <v>2</v>
      </c>
      <c r="X61" s="11">
        <f ca="1">IFERROR(__xludf.DUMMYFUNCTION("""COMPUTED_VALUE"""),12)</f>
        <v>12</v>
      </c>
      <c r="Y61" s="11">
        <f ca="1">IFERROR(__xludf.DUMMYFUNCTION("""COMPUTED_VALUE"""),6)</f>
        <v>6</v>
      </c>
      <c r="Z61" s="12">
        <f ca="1">IFERROR(__xludf.DUMMYFUNCTION("""COMPUTED_VALUE"""),3)</f>
        <v>3</v>
      </c>
      <c r="AA61" s="12">
        <f ca="1">IFERROR(__xludf.DUMMYFUNCTION("""COMPUTED_VALUE"""),1)</f>
        <v>1</v>
      </c>
      <c r="AB61" s="12">
        <f ca="1">IFERROR(__xludf.DUMMYFUNCTION("""COMPUTED_VALUE"""),10)</f>
        <v>10</v>
      </c>
      <c r="AC61" s="12"/>
      <c r="AD61" s="12"/>
      <c r="AE61" s="12"/>
      <c r="AF61" s="12"/>
      <c r="AG61" s="13" t="str">
        <f ca="1">IFERROR(__xludf.DUMMYFUNCTION("ArrayFormula(VLOOKUP(G61, IMPORTRANGE(""https://docs.google.com/spreadsheets/d/1Co934fvtviyaRiMsrIlT05Jaq7iiYq07aLvRr35KA48/edit?gid=173865642#gid=173865642"", ""'G6_Sci_Pri_LU'!G2:V2000""), {3, 4, 5, 6, 7, 8, 9, 10, 11, 12, 13, 14, 15, 16}, 0))"),"LU005166")</f>
        <v>LU005166</v>
      </c>
      <c r="AH61" s="13" t="str">
        <f ca="1">IFERROR(__xludf.DUMMYFUNCTION("""COMPUTED_VALUE"""),"Light travels in straight line")</f>
        <v>Light travels in straight line</v>
      </c>
      <c r="AI61" s="13" t="str">
        <f ca="1">IFERROR(__xludf.DUMMYFUNCTION("""COMPUTED_VALUE"""),"LU005836")</f>
        <v>LU005836</v>
      </c>
      <c r="AJ61" s="13" t="str">
        <f ca="1">IFERROR(__xludf.DUMMYFUNCTION("""COMPUTED_VALUE"""),"Light and its sources (natural, artificial, luminous and non luminous)")</f>
        <v>Light and its sources (natural, artificial, luminous and non luminous)</v>
      </c>
      <c r="AK61" s="13"/>
      <c r="AL61" s="13"/>
      <c r="AM61" s="13"/>
      <c r="AN61" s="13"/>
      <c r="AO61" s="13"/>
      <c r="AP61" s="13"/>
      <c r="AQ61" s="13"/>
      <c r="AR61" s="13"/>
      <c r="AS61" s="13"/>
      <c r="AT61" s="13"/>
    </row>
    <row r="62" spans="1:46">
      <c r="A62" s="8" t="s">
        <v>247</v>
      </c>
      <c r="B62" s="8" t="s">
        <v>47</v>
      </c>
      <c r="C62" s="8" t="s">
        <v>48</v>
      </c>
      <c r="D62" s="8" t="s">
        <v>1510</v>
      </c>
      <c r="E62" s="8" t="s">
        <v>1730</v>
      </c>
      <c r="F62" s="8" t="s">
        <v>1748</v>
      </c>
      <c r="G62" s="117" t="s">
        <v>1750</v>
      </c>
      <c r="H62" s="117" t="str">
        <f ca="1">IFERROR(__xludf.DUMMYFUNCTION("VLOOKUP(G62, IMPORTRANGE(""https://docs.google.com/spreadsheets/d/14deopnvwcrKtEGCKuYXdUHJbeLDZlkiSSWWT0g7x2pM/edit#gid=849066331"", ""LU List Science (Filter)!A:B""), 2, FALSE)"),"Demonstration of reflection of light")</f>
        <v>Demonstration of reflection of light</v>
      </c>
      <c r="I62" s="10" t="str">
        <f t="shared" si="0"/>
        <v>LU005164.001</v>
      </c>
      <c r="J62" s="10" t="str">
        <f ca="1">IFERROR(__xludf.DUMMYFUNCTION("VLOOKUP(I62, IMPORTRANGE(""https://docs.google.com/spreadsheets/d/1yDAaXNsi4Mr5FtRQL4tbmSdIzhx6_m4wkOD7IG-k_eo/edit#gid=1336395716"", ""Science!M:N""), 2, FALSE)"),"List the materials needed for a basic demonstration of reflection of light.")</f>
        <v>List the materials needed for a basic demonstration of reflection of light.</v>
      </c>
      <c r="K62" s="10" t="str">
        <f t="shared" si="1"/>
        <v>LU005164.002</v>
      </c>
      <c r="L62" s="10" t="str">
        <f ca="1">IFERROR(__xludf.DUMMYFUNCTION("VLOOKUP(K62, IMPORTRANGE(""https://docs.google.com/spreadsheets/d/1yDAaXNsi4Mr5FtRQL4tbmSdIzhx6_m4wkOD7IG-k_eo/edit#gid=1336395716"", ""Science!M:N""), 2, FALSE)"),"Illustrate how a mirror changes the direction of light.")</f>
        <v>Illustrate how a mirror changes the direction of light.</v>
      </c>
      <c r="M62" s="10" t="str">
        <f t="shared" si="2"/>
        <v>LU005164.003</v>
      </c>
      <c r="N62" s="10" t="str">
        <f ca="1">IFERROR(__xludf.DUMMYFUNCTION("VLOOKUP(M62, IMPORTRANGE(""https://docs.google.com/spreadsheets/d/1yDAaXNsi4Mr5FtRQL4tbmSdIzhx6_m4wkOD7IG-k_eo/edit#gid=1336395716"", ""Science!M:N""), 2, FALSE)"),"Perform an experiment using a mirror and a flashlight to show how light changes direction after hitting the mirror.")</f>
        <v>Perform an experiment using a mirror and a flashlight to show how light changes direction after hitting the mirror.</v>
      </c>
      <c r="O62" s="10" t="str">
        <f t="shared" si="3"/>
        <v>LU005164.004</v>
      </c>
      <c r="P62" s="10" t="str">
        <f ca="1">IFERROR(__xludf.DUMMYFUNCTION("VLOOKUP(O62, IMPORTRANGE(""https://docs.google.com/spreadsheets/d/1yDAaXNsi4Mr5FtRQL4tbmSdIzhx6_m4wkOD7IG-k_eo/edit#gid=1336395716"", ""Science!M:N""), 2, FALSE)"),"Investigate through an activity that a mirror changes the direction of light that falls on it.")</f>
        <v>Investigate through an activity that a mirror changes the direction of light that falls on it.</v>
      </c>
      <c r="Q62" s="10" t="str">
        <f t="shared" si="4"/>
        <v>LU005164.005</v>
      </c>
      <c r="R62" s="10" t="str">
        <f ca="1">IFERROR(__xludf.DUMMYFUNCTION("VLOOKUP(Q62, IMPORTRANGE(""https://docs.google.com/spreadsheets/d/1yDAaXNsi4Mr5FtRQL4tbmSdIzhx6_m4wkOD7IG-k_eo/edit#gid=1336395716"", ""Science!M:N""), 2, FALSE)"),"Evaluate the accuracy and reliability of the mirror activity as a method to demonstrate the change in the direction of light, suggesting improvements for more precise results.")</f>
        <v>Evaluate the accuracy and reliability of the mirror activity as a method to demonstrate the change in the direction of light, suggesting improvements for more precise results.</v>
      </c>
      <c r="S62" s="10" t="str">
        <f t="shared" si="5"/>
        <v>LU005164.006</v>
      </c>
      <c r="T62" s="10" t="str">
        <f ca="1">IFERROR(__xludf.DUMMYFUNCTION("VLOOKUP(S62, IMPORTRANGE(""https://docs.google.com/spreadsheets/d/1yDAaXNsi4Mr5FtRQL4tbmSdIzhx6_m4wkOD7IG-k_eo/edit#gid=1336395716"", ""Science!M:N""), 2, FALSE)"),"#N/A")</f>
        <v>#N/A</v>
      </c>
      <c r="U62" s="11">
        <f ca="1">IFERROR(__xludf.DUMMYFUNCTION("ArrayFormula(VLOOKUP(G62, IMPORTRANGE(""https://docs.google.com/spreadsheets/d/1p7R4vtkWt5VOBim4ltsDG9KTzSjrtKXsMtQGXPHyND0/edit#gid=795171502"", ""'Filter 30_05_2024'!A1:M2000""), {2, 3, 4, 5,6,7,8,9,10,11,12,13}, 0))"),14)</f>
        <v>14</v>
      </c>
      <c r="V62" s="11">
        <f ca="1">IFERROR(__xludf.DUMMYFUNCTION("""COMPUTED_VALUE"""),9)</f>
        <v>9</v>
      </c>
      <c r="W62" s="11">
        <f ca="1">IFERROR(__xludf.DUMMYFUNCTION("""COMPUTED_VALUE"""),2)</f>
        <v>2</v>
      </c>
      <c r="X62" s="11">
        <f ca="1">IFERROR(__xludf.DUMMYFUNCTION("""COMPUTED_VALUE"""),25)</f>
        <v>25</v>
      </c>
      <c r="Y62" s="11">
        <f ca="1">IFERROR(__xludf.DUMMYFUNCTION("""COMPUTED_VALUE"""),4)</f>
        <v>4</v>
      </c>
      <c r="Z62" s="12">
        <f ca="1">IFERROR(__xludf.DUMMYFUNCTION("""COMPUTED_VALUE"""),3)</f>
        <v>3</v>
      </c>
      <c r="AA62" s="12">
        <f ca="1">IFERROR(__xludf.DUMMYFUNCTION("""COMPUTED_VALUE"""),1)</f>
        <v>1</v>
      </c>
      <c r="AB62" s="12">
        <f ca="1">IFERROR(__xludf.DUMMYFUNCTION("""COMPUTED_VALUE"""),8)</f>
        <v>8</v>
      </c>
      <c r="AC62" s="12"/>
      <c r="AD62" s="12"/>
      <c r="AE62" s="12"/>
      <c r="AF62" s="12"/>
      <c r="AG62" s="13" t="str">
        <f ca="1">IFERROR(__xludf.DUMMYFUNCTION("ArrayFormula(VLOOKUP(G62, IMPORTRANGE(""https://docs.google.com/spreadsheets/d/1Co934fvtviyaRiMsrIlT05Jaq7iiYq07aLvRr35KA48/edit?gid=173865642#gid=173865642"", ""'G6_Sci_Pri_LU'!G2:V2000""), {3, 4, 5, 6, 7, 8, 9, 10, 11, 12, 13, 14, 15, 16}, 0))"),"LU005838")</f>
        <v>LU005838</v>
      </c>
      <c r="AH62" s="13" t="str">
        <f ca="1">IFERROR(__xludf.DUMMYFUNCTION("""COMPUTED_VALUE"""),"Definition of Reflection of Light")</f>
        <v>Definition of Reflection of Light</v>
      </c>
      <c r="AI62" s="13" t="str">
        <f ca="1">IFERROR(__xludf.DUMMYFUNCTION("""COMPUTED_VALUE"""),"LU005166")</f>
        <v>LU005166</v>
      </c>
      <c r="AJ62" s="13" t="str">
        <f ca="1">IFERROR(__xludf.DUMMYFUNCTION("""COMPUTED_VALUE"""),"Light travels in straight line")</f>
        <v>Light travels in straight line</v>
      </c>
      <c r="AK62" s="13"/>
      <c r="AL62" s="13"/>
      <c r="AM62" s="13"/>
      <c r="AN62" s="13"/>
      <c r="AO62" s="13"/>
      <c r="AP62" s="13"/>
      <c r="AQ62" s="13"/>
      <c r="AR62" s="13"/>
      <c r="AS62" s="13"/>
      <c r="AT62" s="13"/>
    </row>
    <row r="63" spans="1:46">
      <c r="A63" s="8" t="s">
        <v>247</v>
      </c>
      <c r="B63" s="8" t="s">
        <v>47</v>
      </c>
      <c r="C63" s="8" t="s">
        <v>48</v>
      </c>
      <c r="D63" s="8" t="s">
        <v>1510</v>
      </c>
      <c r="E63" s="8" t="s">
        <v>1751</v>
      </c>
      <c r="F63" s="8" t="s">
        <v>1752</v>
      </c>
      <c r="G63" s="8" t="s">
        <v>1753</v>
      </c>
      <c r="H63" s="8" t="str">
        <f ca="1">IFERROR(__xludf.DUMMYFUNCTION("VLOOKUP(G63, IMPORTRANGE(""https://docs.google.com/spreadsheets/d/14deopnvwcrKtEGCKuYXdUHJbeLDZlkiSSWWT0g7x2pM/edit#gid=849066331"", ""LU List Science (Filter)!A:B""), 2, FALSE)"),"Usage of electricity in daily life")</f>
        <v>Usage of electricity in daily life</v>
      </c>
      <c r="I63" s="10" t="str">
        <f t="shared" si="0"/>
        <v>LU005156.001</v>
      </c>
      <c r="J63" s="10" t="str">
        <f ca="1">IFERROR(__xludf.DUMMYFUNCTION("VLOOKUP(I63, IMPORTRANGE(""https://docs.google.com/spreadsheets/d/1yDAaXNsi4Mr5FtRQL4tbmSdIzhx6_m4wkOD7IG-k_eo/edit#gid=1336395716"", ""Science!M:N""), 2, FALSE)"),"Identify common appliances and devices in daily life that use electricity.")</f>
        <v>Identify common appliances and devices in daily life that use electricity.</v>
      </c>
      <c r="K63" s="10" t="str">
        <f t="shared" si="1"/>
        <v>LU005156.002</v>
      </c>
      <c r="L63" s="10" t="str">
        <f ca="1">IFERROR(__xludf.DUMMYFUNCTION("VLOOKUP(K63, IMPORTRANGE(""https://docs.google.com/spreadsheets/d/1yDAaXNsi4Mr5FtRQL4tbmSdIzhx6_m4wkOD7IG-k_eo/edit#gid=1336395716"", ""Science!M:N""), 2, FALSE)"),"Illustrate the flow of electricity from the power source to the appliances in a home.")</f>
        <v>Illustrate the flow of electricity from the power source to the appliances in a home.</v>
      </c>
      <c r="M63" s="10" t="str">
        <f t="shared" si="2"/>
        <v>LU005156.003</v>
      </c>
      <c r="N63" s="10" t="str">
        <f ca="1">IFERROR(__xludf.DUMMYFUNCTION("VLOOKUP(M63, IMPORTRANGE(""https://docs.google.com/spreadsheets/d/1yDAaXNsi4Mr5FtRQL4tbmSdIzhx6_m4wkOD7IG-k_eo/edit#gid=1336395716"", ""Science!M:N""), 2, FALSE)"),"Predict the impact on daily life of a power outage, considering various electric-powered devices")</f>
        <v>Predict the impact on daily life of a power outage, considering various electric-powered devices</v>
      </c>
      <c r="O63" s="10" t="str">
        <f t="shared" si="3"/>
        <v>LU005156.004</v>
      </c>
      <c r="P63" s="10" t="str">
        <f ca="1">IFERROR(__xludf.DUMMYFUNCTION("VLOOKUP(O63, IMPORTRANGE(""https://docs.google.com/spreadsheets/d/1yDAaXNsi4Mr5FtRQL4tbmSdIzhx6_m4wkOD7IG-k_eo/edit#gid=1336395716"", ""Science!M:N""), 2, FALSE)"),"Compare the energy usage of different electrical appliances.")</f>
        <v>Compare the energy usage of different electrical appliances.</v>
      </c>
      <c r="Q63" s="10" t="str">
        <f t="shared" si="4"/>
        <v>LU005156.005</v>
      </c>
      <c r="R63" s="10" t="str">
        <f ca="1">IFERROR(__xludf.DUMMYFUNCTION("VLOOKUP(Q63, IMPORTRANGE(""https://docs.google.com/spreadsheets/d/1yDAaXNsi4Mr5FtRQL4tbmSdIzhx6_m4wkOD7IG-k_eo/edit#gid=1336395716"", ""Science!M:N""), 2, FALSE)"),"Evaluate the impact of electricity usage on the environment and personal energy costs.")</f>
        <v>Evaluate the impact of electricity usage on the environment and personal energy costs.</v>
      </c>
      <c r="S63" s="10" t="str">
        <f t="shared" si="5"/>
        <v>LU005156.006</v>
      </c>
      <c r="T63" s="10" t="str">
        <f ca="1">IFERROR(__xludf.DUMMYFUNCTION("VLOOKUP(S63, IMPORTRANGE(""https://docs.google.com/spreadsheets/d/1yDAaXNsi4Mr5FtRQL4tbmSdIzhx6_m4wkOD7IG-k_eo/edit#gid=1336395716"", ""Science!M:N""), 2, FALSE)"),"Design a daily schedule minimizing the use of electricity while maintaining necessary activities, reflecting on energy conservation.")</f>
        <v>Design a daily schedule minimizing the use of electricity while maintaining necessary activities, reflecting on energy conservation.</v>
      </c>
      <c r="U63" s="11">
        <f ca="1">IFERROR(__xludf.DUMMYFUNCTION("ArrayFormula(VLOOKUP(G63, IMPORTRANGE(""https://docs.google.com/spreadsheets/d/1p7R4vtkWt5VOBim4ltsDG9KTzSjrtKXsMtQGXPHyND0/edit#gid=795171502"", ""'Filter 30_05_2024'!A1:M2000""), {2, 3, 4, 5,6,7,8,9,10,11,12,13}, 0))"),5)</f>
        <v>5</v>
      </c>
      <c r="V63" s="11">
        <f ca="1">IFERROR(__xludf.DUMMYFUNCTION("""COMPUTED_VALUE"""),6)</f>
        <v>6</v>
      </c>
      <c r="W63" s="11">
        <f ca="1">IFERROR(__xludf.DUMMYFUNCTION("""COMPUTED_VALUE"""),2)</f>
        <v>2</v>
      </c>
      <c r="X63" s="11">
        <f ca="1">IFERROR(__xludf.DUMMYFUNCTION("""COMPUTED_VALUE"""),13)</f>
        <v>13</v>
      </c>
      <c r="Y63" s="11">
        <f ca="1">IFERROR(__xludf.DUMMYFUNCTION("""COMPUTED_VALUE"""),6)</f>
        <v>6</v>
      </c>
      <c r="Z63" s="12">
        <f ca="1">IFERROR(__xludf.DUMMYFUNCTION("""COMPUTED_VALUE"""),3)</f>
        <v>3</v>
      </c>
      <c r="AA63" s="12">
        <f ca="1">IFERROR(__xludf.DUMMYFUNCTION("""COMPUTED_VALUE"""),1)</f>
        <v>1</v>
      </c>
      <c r="AB63" s="12">
        <f ca="1">IFERROR(__xludf.DUMMYFUNCTION("""COMPUTED_VALUE"""),10)</f>
        <v>10</v>
      </c>
      <c r="AC63" s="12"/>
      <c r="AD63" s="12"/>
      <c r="AE63" s="12"/>
      <c r="AF63" s="12"/>
      <c r="AG63" s="13" t="str">
        <f ca="1">IFERROR(__xludf.DUMMYFUNCTION("ArrayFormula(VLOOKUP(G63, IMPORTRANGE(""https://docs.google.com/spreadsheets/d/1Co934fvtviyaRiMsrIlT05Jaq7iiYq07aLvRr35KA48/edit?gid=173865642#gid=173865642"", ""'G6_Sci_Pri_LU'!G2:V2000""), {3, 4, 5, 6, 7, 8, 9, 10, 11, 12, 13, 14, 15, 16}, 0))"),"")</f>
        <v/>
      </c>
      <c r="AH63" s="13"/>
      <c r="AI63" s="13"/>
      <c r="AJ63" s="13"/>
      <c r="AK63" s="13"/>
      <c r="AL63" s="13"/>
      <c r="AM63" s="13"/>
      <c r="AN63" s="13"/>
      <c r="AO63" s="13"/>
      <c r="AP63" s="13"/>
      <c r="AQ63" s="13"/>
      <c r="AR63" s="13"/>
      <c r="AS63" s="13"/>
      <c r="AT63" s="13"/>
    </row>
    <row r="64" spans="1:46">
      <c r="A64" s="8" t="s">
        <v>247</v>
      </c>
      <c r="B64" s="8" t="s">
        <v>47</v>
      </c>
      <c r="C64" s="8" t="s">
        <v>48</v>
      </c>
      <c r="D64" s="8" t="s">
        <v>1510</v>
      </c>
      <c r="E64" s="8" t="s">
        <v>1751</v>
      </c>
      <c r="F64" s="8" t="s">
        <v>1752</v>
      </c>
      <c r="G64" s="8" t="s">
        <v>1754</v>
      </c>
      <c r="H64" s="8" t="str">
        <f ca="1">IFERROR(__xludf.DUMMYFUNCTION("VLOOKUP(G64, IMPORTRANGE(""https://docs.google.com/spreadsheets/d/14deopnvwcrKtEGCKuYXdUHJbeLDZlkiSSWWT0g7x2pM/edit#gid=849066331"", ""LU List Science (Filter)!A:B""), 2, FALSE)"),"Electrical Safety and Hazard Awareness")</f>
        <v>Electrical Safety and Hazard Awareness</v>
      </c>
      <c r="I64" s="10" t="str">
        <f t="shared" si="0"/>
        <v>LU005914.001</v>
      </c>
      <c r="J64" s="10" t="str">
        <f ca="1">IFERROR(__xludf.DUMMYFUNCTION("VLOOKUP(I64, IMPORTRANGE(""https://docs.google.com/spreadsheets/d/1yDAaXNsi4Mr5FtRQL4tbmSdIzhx6_m4wkOD7IG-k_eo/edit#gid=1336395716"", ""Science!M:N""), 2, FALSE)"),"Identify common electrical hazards in everyday environments.")</f>
        <v>Identify common electrical hazards in everyday environments.</v>
      </c>
      <c r="K64" s="10" t="str">
        <f t="shared" si="1"/>
        <v>LU005914.002</v>
      </c>
      <c r="L64" s="10" t="str">
        <f ca="1">IFERROR(__xludf.DUMMYFUNCTION("VLOOKUP(K64, IMPORTRANGE(""https://docs.google.com/spreadsheets/d/1yDAaXNsi4Mr5FtRQL4tbmSdIzhx6_m4wkOD7IG-k_eo/edit#gid=1336395716"", ""Science!M:N""), 2, FALSE)"),"Explain the principles of safe electrical handling in a home setting.")</f>
        <v>Explain the principles of safe electrical handling in a home setting.</v>
      </c>
      <c r="M64" s="10" t="str">
        <f t="shared" si="2"/>
        <v>LU005914.003</v>
      </c>
      <c r="N64" s="10" t="str">
        <f ca="1">IFERROR(__xludf.DUMMYFUNCTION("VLOOKUP(M64, IMPORTRANGE(""https://docs.google.com/spreadsheets/d/1yDAaXNsi4Mr5FtRQL4tbmSdIzhx6_m4wkOD7IG-k_eo/edit#gid=1336395716"", ""Science!M:N""), 2, FALSE)"),"Demonstrate correct procedures for using electrical devices safely.")</f>
        <v>Demonstrate correct procedures for using electrical devices safely.</v>
      </c>
      <c r="O64" s="10" t="str">
        <f t="shared" si="3"/>
        <v>LU005914.004</v>
      </c>
      <c r="P64" s="10" t="str">
        <f ca="1">IFERROR(__xludf.DUMMYFUNCTION("VLOOKUP(O64, IMPORTRANGE(""https://docs.google.com/spreadsheets/d/1yDAaXNsi4Mr5FtRQL4tbmSdIzhx6_m4wkOD7IG-k_eo/edit#gid=1336395716"", ""Science!M:N""), 2, FALSE)"),"Compare and contrast the safety features of different electrical appliances.")</f>
        <v>Compare and contrast the safety features of different electrical appliances.</v>
      </c>
      <c r="Q64" s="10" t="str">
        <f t="shared" si="4"/>
        <v>LU005914.005</v>
      </c>
      <c r="R64" s="10" t="str">
        <f ca="1">IFERROR(__xludf.DUMMYFUNCTION("VLOOKUP(Q64, IMPORTRANGE(""https://docs.google.com/spreadsheets/d/1yDAaXNsi4Mr5FtRQL4tbmSdIzhx6_m4wkOD7IG-k_eo/edit#gid=1336395716"", ""Science!M:N""), 2, FALSE)"),"Assess the effectiveness of a workplace's electrical safety protocols.")</f>
        <v>Assess the effectiveness of a workplace's electrical safety protocols.</v>
      </c>
      <c r="S64" s="10" t="str">
        <f t="shared" si="5"/>
        <v>LU005914.006</v>
      </c>
      <c r="T64" s="10" t="str">
        <f ca="1">IFERROR(__xludf.DUMMYFUNCTION("VLOOKUP(S64, IMPORTRANGE(""https://docs.google.com/spreadsheets/d/1yDAaXNsi4Mr5FtRQL4tbmSdIzhx6_m4wkOD7IG-k_eo/edit#gid=1336395716"", ""Science!M:N""), 2, FALSE)"),"Design a safety checklist for handling electrical devices in a school laboratory.")</f>
        <v>Design a safety checklist for handling electrical devices in a school laboratory.</v>
      </c>
      <c r="U64" s="11">
        <f ca="1">IFERROR(__xludf.DUMMYFUNCTION("ArrayFormula(VLOOKUP(G64, IMPORTRANGE(""https://docs.google.com/spreadsheets/d/1p7R4vtkWt5VOBim4ltsDG9KTzSjrtKXsMtQGXPHyND0/edit#gid=795171502"", ""'Filter 30_05_2024'!A1:M2000""), {2, 3, 4, 5,6,7,8,9,10,11,12,13}, 0))"),9)</f>
        <v>9</v>
      </c>
      <c r="V64" s="38">
        <f ca="1">IFERROR(__xludf.DUMMYFUNCTION("""COMPUTED_VALUE"""),4)</f>
        <v>4</v>
      </c>
      <c r="W64" s="11">
        <f ca="1">IFERROR(__xludf.DUMMYFUNCTION("""COMPUTED_VALUE"""),2)</f>
        <v>2</v>
      </c>
      <c r="X64" s="11">
        <f ca="1">IFERROR(__xludf.DUMMYFUNCTION("""COMPUTED_VALUE"""),15)</f>
        <v>15</v>
      </c>
      <c r="Y64" s="11">
        <f ca="1">IFERROR(__xludf.DUMMYFUNCTION("""COMPUTED_VALUE"""),4)</f>
        <v>4</v>
      </c>
      <c r="Z64" s="115">
        <f ca="1">IFERROR(__xludf.DUMMYFUNCTION("""COMPUTED_VALUE"""),2)</f>
        <v>2</v>
      </c>
      <c r="AA64" s="12">
        <f ca="1">IFERROR(__xludf.DUMMYFUNCTION("""COMPUTED_VALUE"""),2)</f>
        <v>2</v>
      </c>
      <c r="AB64" s="12">
        <f ca="1">IFERROR(__xludf.DUMMYFUNCTION("""COMPUTED_VALUE"""),8)</f>
        <v>8</v>
      </c>
      <c r="AC64" s="12"/>
      <c r="AD64" s="12"/>
      <c r="AE64" s="12"/>
      <c r="AF64" s="12"/>
      <c r="AG64" s="13" t="str">
        <f ca="1">IFERROR(__xludf.DUMMYFUNCTION("ArrayFormula(VLOOKUP(G64, IMPORTRANGE(""https://docs.google.com/spreadsheets/d/1Co934fvtviyaRiMsrIlT05Jaq7iiYq07aLvRr35KA48/edit?gid=173865642#gid=173865642"", ""'G6_Sci_Pri_LU'!G2:V2000""), {3, 4, 5, 6, 7, 8, 9, 10, 11, 12, 13, 14, 15, 16}, 0))"),"LU005156")</f>
        <v>LU005156</v>
      </c>
      <c r="AH64" s="13" t="str">
        <f ca="1">IFERROR(__xludf.DUMMYFUNCTION("""COMPUTED_VALUE"""),"Usage of electricity in daily life")</f>
        <v>Usage of electricity in daily life</v>
      </c>
      <c r="AI64" s="13"/>
      <c r="AJ64" s="13"/>
      <c r="AK64" s="13"/>
      <c r="AL64" s="13"/>
      <c r="AM64" s="13"/>
      <c r="AN64" s="13"/>
      <c r="AO64" s="13"/>
      <c r="AP64" s="13"/>
      <c r="AQ64" s="13"/>
      <c r="AR64" s="13"/>
      <c r="AS64" s="13"/>
      <c r="AT64" s="13"/>
    </row>
    <row r="65" spans="1:46">
      <c r="A65" s="8" t="s">
        <v>247</v>
      </c>
      <c r="B65" s="8" t="s">
        <v>47</v>
      </c>
      <c r="C65" s="8" t="s">
        <v>48</v>
      </c>
      <c r="D65" s="8" t="s">
        <v>1510</v>
      </c>
      <c r="E65" s="8" t="s">
        <v>1751</v>
      </c>
      <c r="F65" s="8" t="s">
        <v>1755</v>
      </c>
      <c r="G65" s="8" t="s">
        <v>1756</v>
      </c>
      <c r="H65" s="8" t="str">
        <f ca="1">IFERROR(__xludf.DUMMYFUNCTION("VLOOKUP(G65, IMPORTRANGE(""https://docs.google.com/spreadsheets/d/14deopnvwcrKtEGCKuYXdUHJbeLDZlkiSSWWT0g7x2pM/edit#gid=849066331"", ""LU List Science (Filter)!A:B""), 2, FALSE)"),"Structure and function of electric cell")</f>
        <v>Structure and function of electric cell</v>
      </c>
      <c r="I65" s="10" t="str">
        <f t="shared" si="0"/>
        <v>LU005155.001</v>
      </c>
      <c r="J65" s="10" t="str">
        <f ca="1">IFERROR(__xludf.DUMMYFUNCTION("VLOOKUP(I65, IMPORTRANGE(""https://docs.google.com/spreadsheets/d/1yDAaXNsi4Mr5FtRQL4tbmSdIzhx6_m4wkOD7IG-k_eo/edit#gid=1336395716"", ""Science!M:N""), 2, FALSE)"),"Identify the positive and negative terminals of an electric cell.")</f>
        <v>Identify the positive and negative terminals of an electric cell.</v>
      </c>
      <c r="K65" s="10" t="str">
        <f t="shared" si="1"/>
        <v>LU005155.002</v>
      </c>
      <c r="L65" s="10" t="str">
        <f ca="1">IFERROR(__xludf.DUMMYFUNCTION("VLOOKUP(K65, IMPORTRANGE(""https://docs.google.com/spreadsheets/d/1yDAaXNsi4Mr5FtRQL4tbmSdIzhx6_m4wkOD7IG-k_eo/edit#gid=1336395716"", ""Science!M:N""), 2, FALSE)"),"""Describe the structure of electric cell and how an electric cell provides power to a circuit.""")</f>
        <v>"Describe the structure of electric cell and how an electric cell provides power to a circuit."</v>
      </c>
      <c r="M65" s="10" t="str">
        <f t="shared" si="2"/>
        <v>LU005155.003</v>
      </c>
      <c r="N65" s="10" t="str">
        <f ca="1">IFERROR(__xludf.DUMMYFUNCTION("VLOOKUP(M65, IMPORTRANGE(""https://docs.google.com/spreadsheets/d/1yDAaXNsi4Mr5FtRQL4tbmSdIzhx6_m4wkOD7IG-k_eo/edit#gid=1336395716"", ""Science!M:N""), 2, FALSE)"),"#N/A")</f>
        <v>#N/A</v>
      </c>
      <c r="O65" s="10" t="str">
        <f t="shared" si="3"/>
        <v>LU005155.004</v>
      </c>
      <c r="P65" s="10" t="str">
        <f ca="1">IFERROR(__xludf.DUMMYFUNCTION("VLOOKUP(O65, IMPORTRANGE(""https://docs.google.com/spreadsheets/d/1yDAaXNsi4Mr5FtRQL4tbmSdIzhx6_m4wkOD7IG-k_eo/edit#gid=1336395716"", ""Science!M:N""), 2, FALSE)"),"#N/A")</f>
        <v>#N/A</v>
      </c>
      <c r="Q65" s="10" t="str">
        <f t="shared" si="4"/>
        <v>LU005155.005</v>
      </c>
      <c r="R65" s="10" t="str">
        <f ca="1">IFERROR(__xludf.DUMMYFUNCTION("VLOOKUP(Q65, IMPORTRANGE(""https://docs.google.com/spreadsheets/d/1yDAaXNsi4Mr5FtRQL4tbmSdIzhx6_m4wkOD7IG-k_eo/edit#gid=1336395716"", ""Science!M:N""), 2, FALSE)"),"Judge the efficiency of different types of electric cells based on their structure and function.")</f>
        <v>Judge the efficiency of different types of electric cells based on their structure and function.</v>
      </c>
      <c r="S65" s="10" t="str">
        <f t="shared" si="5"/>
        <v>LU005155.006</v>
      </c>
      <c r="T65" s="10" t="str">
        <f ca="1">IFERROR(__xludf.DUMMYFUNCTION("VLOOKUP(S65, IMPORTRANGE(""https://docs.google.com/spreadsheets/d/1yDAaXNsi4Mr5FtRQL4tbmSdIzhx6_m4wkOD7IG-k_eo/edit#gid=1336395716"", ""Science!M:N""), 2, FALSE)"),"#N/A")</f>
        <v>#N/A</v>
      </c>
      <c r="U65" s="11">
        <f ca="1">IFERROR(__xludf.DUMMYFUNCTION("ArrayFormula(VLOOKUP(G65, IMPORTRANGE(""https://docs.google.com/spreadsheets/d/1p7R4vtkWt5VOBim4ltsDG9KTzSjrtKXsMtQGXPHyND0/edit#gid=795171502"", ""'Filter 30_05_2024'!A1:M2000""), {2, 3, 4, 5,6,7,8,9,10,11,12,13}, 0))"),16)</f>
        <v>16</v>
      </c>
      <c r="V65" s="38">
        <f ca="1">IFERROR(__xludf.DUMMYFUNCTION("""COMPUTED_VALUE"""),4)</f>
        <v>4</v>
      </c>
      <c r="W65" s="11">
        <f ca="1">IFERROR(__xludf.DUMMYFUNCTION("""COMPUTED_VALUE"""),2)</f>
        <v>2</v>
      </c>
      <c r="X65" s="11">
        <f ca="1">IFERROR(__xludf.DUMMYFUNCTION("""COMPUTED_VALUE"""),22)</f>
        <v>22</v>
      </c>
      <c r="Y65" s="11">
        <f ca="1">IFERROR(__xludf.DUMMYFUNCTION("""COMPUTED_VALUE"""),10)</f>
        <v>10</v>
      </c>
      <c r="Z65" s="115">
        <f ca="1">IFERROR(__xludf.DUMMYFUNCTION("""COMPUTED_VALUE"""),1)</f>
        <v>1</v>
      </c>
      <c r="AA65" s="12">
        <f ca="1">IFERROR(__xludf.DUMMYFUNCTION("""COMPUTED_VALUE"""),1)</f>
        <v>1</v>
      </c>
      <c r="AB65" s="12">
        <f ca="1">IFERROR(__xludf.DUMMYFUNCTION("""COMPUTED_VALUE"""),12)</f>
        <v>12</v>
      </c>
      <c r="AC65" s="12"/>
      <c r="AD65" s="12"/>
      <c r="AE65" s="12"/>
      <c r="AF65" s="12"/>
      <c r="AG65" s="13" t="str">
        <f ca="1">IFERROR(__xludf.DUMMYFUNCTION("ArrayFormula(VLOOKUP(G65, IMPORTRANGE(""https://docs.google.com/spreadsheets/d/1Co934fvtviyaRiMsrIlT05Jaq7iiYq07aLvRr35KA48/edit?gid=173865642#gid=173865642"", ""'G6_Sci_Pri_LU'!G2:V2000""), {3, 4, 5, 6, 7, 8, 9, 10, 11, 12, 13, 14, 15, 16}, 0))"),"LU005156")</f>
        <v>LU005156</v>
      </c>
      <c r="AH65" s="13" t="str">
        <f ca="1">IFERROR(__xludf.DUMMYFUNCTION("""COMPUTED_VALUE"""),"Usage of electricity in daily life")</f>
        <v>Usage of electricity in daily life</v>
      </c>
      <c r="AI65" s="13"/>
      <c r="AJ65" s="13"/>
      <c r="AK65" s="13"/>
      <c r="AL65" s="13"/>
      <c r="AM65" s="13"/>
      <c r="AN65" s="13"/>
      <c r="AO65" s="13"/>
      <c r="AP65" s="13"/>
      <c r="AQ65" s="13"/>
      <c r="AR65" s="13"/>
      <c r="AS65" s="13"/>
      <c r="AT65" s="13"/>
    </row>
    <row r="66" spans="1:46">
      <c r="A66" s="8" t="s">
        <v>247</v>
      </c>
      <c r="B66" s="8" t="s">
        <v>47</v>
      </c>
      <c r="C66" s="8" t="s">
        <v>48</v>
      </c>
      <c r="D66" s="8" t="s">
        <v>1510</v>
      </c>
      <c r="E66" s="8" t="s">
        <v>1751</v>
      </c>
      <c r="F66" s="8" t="s">
        <v>1755</v>
      </c>
      <c r="G66" s="8" t="s">
        <v>1757</v>
      </c>
      <c r="H66" s="8" t="str">
        <f ca="1">IFERROR(__xludf.DUMMYFUNCTION("VLOOKUP(G66, IMPORTRANGE(""https://docs.google.com/spreadsheets/d/14deopnvwcrKtEGCKuYXdUHJbeLDZlkiSSWWT0g7x2pM/edit#gid=849066331"", ""LU List Science (Filter)!A:B""), 2, FALSE)"),"Structure and function of electric bulb")</f>
        <v>Structure and function of electric bulb</v>
      </c>
      <c r="I66" s="10" t="str">
        <f t="shared" si="0"/>
        <v>LU005154.001</v>
      </c>
      <c r="J66" s="10" t="str">
        <f ca="1">IFERROR(__xludf.DUMMYFUNCTION("VLOOKUP(I66, IMPORTRANGE(""https://docs.google.com/spreadsheets/d/1yDAaXNsi4Mr5FtRQL4tbmSdIzhx6_m4wkOD7IG-k_eo/edit#gid=1336395716"", ""Science!M:N""), 2, FALSE)"),"Identify the key components of an electric bulb and their materials.")</f>
        <v>Identify the key components of an electric bulb and their materials.</v>
      </c>
      <c r="K66" s="10" t="str">
        <f t="shared" si="1"/>
        <v>LU005154.002</v>
      </c>
      <c r="L66" s="10" t="str">
        <f ca="1">IFERROR(__xludf.DUMMYFUNCTION("VLOOKUP(K66, IMPORTRANGE(""https://docs.google.com/spreadsheets/d/1yDAaXNsi4Mr5FtRQL4tbmSdIzhx6_m4wkOD7IG-k_eo/edit#gid=1336395716"", ""Science!M:N""), 2, FALSE)"),"Discuss the function of each component of electric bulb and how a bulb is connected in the circuit.")</f>
        <v>Discuss the function of each component of electric bulb and how a bulb is connected in the circuit.</v>
      </c>
      <c r="M66" s="10" t="str">
        <f t="shared" si="2"/>
        <v>LU005154.003</v>
      </c>
      <c r="N66" s="10" t="str">
        <f ca="1">IFERROR(__xludf.DUMMYFUNCTION("VLOOKUP(M66, IMPORTRANGE(""https://docs.google.com/spreadsheets/d/1yDAaXNsi4Mr5FtRQL4tbmSdIzhx6_m4wkOD7IG-k_eo/edit#gid=1336395716"", ""Science!M:N""), 2, FALSE)"),"Classify various light sources as traditional bulbs, LEDs, or CFLs.")</f>
        <v>Classify various light sources as traditional bulbs, LEDs, or CFLs.</v>
      </c>
      <c r="O66" s="10" t="str">
        <f t="shared" si="3"/>
        <v>LU005154.004</v>
      </c>
      <c r="P66" s="10" t="str">
        <f ca="1">IFERROR(__xludf.DUMMYFUNCTION("VLOOKUP(O66, IMPORTRANGE(""https://docs.google.com/spreadsheets/d/1yDAaXNsi4Mr5FtRQL4tbmSdIzhx6_m4wkOD7IG-k_eo/edit#gid=1336395716"", ""Science!M:N""), 2, FALSE)"),"Assess a given situation to determine the most appropriate bulb type, considering factors like brightness, energy consumption, and lifespan.")</f>
        <v>Assess a given situation to determine the most appropriate bulb type, considering factors like brightness, energy consumption, and lifespan.</v>
      </c>
      <c r="Q66" s="10" t="str">
        <f t="shared" si="4"/>
        <v>LU005154.005</v>
      </c>
      <c r="R66" s="10" t="str">
        <f ca="1">IFERROR(__xludf.DUMMYFUNCTION("VLOOKUP(Q66, IMPORTRANGE(""https://docs.google.com/spreadsheets/d/1yDAaXNsi4Mr5FtRQL4tbmSdIzhx6_m4wkOD7IG-k_eo/edit#gid=1336395716"", ""Science!M:N""), 2, FALSE)"),"Recommend the best light source for specific scenarios, such as household lighting, flashlights, or outdoor lighting, based on their advantages and disadvantages.")</f>
        <v>Recommend the best light source for specific scenarios, such as household lighting, flashlights, or outdoor lighting, based on their advantages and disadvantages.</v>
      </c>
      <c r="S66" s="10" t="str">
        <f t="shared" si="5"/>
        <v>LU005154.006</v>
      </c>
      <c r="T66" s="10" t="str">
        <f ca="1">IFERROR(__xludf.DUMMYFUNCTION("VLOOKUP(S66, IMPORTRANGE(""https://docs.google.com/spreadsheets/d/1yDAaXNsi4Mr5FtRQL4tbmSdIzhx6_m4wkOD7IG-k_eo/edit#gid=1336395716"", ""Science!M:N""), 2, FALSE)"),"#N/A")</f>
        <v>#N/A</v>
      </c>
      <c r="U66" s="11">
        <f ca="1">IFERROR(__xludf.DUMMYFUNCTION("ArrayFormula(VLOOKUP(G66, IMPORTRANGE(""https://docs.google.com/spreadsheets/d/1p7R4vtkWt5VOBim4ltsDG9KTzSjrtKXsMtQGXPHyND0/edit#gid=795171502"", ""'Filter 30_05_2024'!A1:M2000""), {2, 3, 4, 5,6,7,8,9,10,11,12,13}, 0))"),19)</f>
        <v>19</v>
      </c>
      <c r="V66" s="38">
        <f ca="1">IFERROR(__xludf.DUMMYFUNCTION("""COMPUTED_VALUE"""),6)</f>
        <v>6</v>
      </c>
      <c r="W66" s="11">
        <f ca="1">IFERROR(__xludf.DUMMYFUNCTION("""COMPUTED_VALUE"""),2)</f>
        <v>2</v>
      </c>
      <c r="X66" s="11">
        <f ca="1">IFERROR(__xludf.DUMMYFUNCTION("""COMPUTED_VALUE"""),27)</f>
        <v>27</v>
      </c>
      <c r="Y66" s="11">
        <f ca="1">IFERROR(__xludf.DUMMYFUNCTION("""COMPUTED_VALUE"""),9)</f>
        <v>9</v>
      </c>
      <c r="Z66" s="12">
        <f ca="1">IFERROR(__xludf.DUMMYFUNCTION("""COMPUTED_VALUE"""),3)</f>
        <v>3</v>
      </c>
      <c r="AA66" s="12">
        <f ca="1">IFERROR(__xludf.DUMMYFUNCTION("""COMPUTED_VALUE"""),2)</f>
        <v>2</v>
      </c>
      <c r="AB66" s="12">
        <f ca="1">IFERROR(__xludf.DUMMYFUNCTION("""COMPUTED_VALUE"""),14)</f>
        <v>14</v>
      </c>
      <c r="AC66" s="12"/>
      <c r="AD66" s="12"/>
      <c r="AE66" s="12"/>
      <c r="AF66" s="12"/>
      <c r="AG66" s="13" t="str">
        <f ca="1">IFERROR(__xludf.DUMMYFUNCTION("ArrayFormula(VLOOKUP(G66, IMPORTRANGE(""https://docs.google.com/spreadsheets/d/1Co934fvtviyaRiMsrIlT05Jaq7iiYq07aLvRr35KA48/edit?gid=173865642#gid=173865642"", ""'G6_Sci_Pri_LU'!G2:V2000""), {3, 4, 5, 6, 7, 8, 9, 10, 11, 12, 13, 14, 15, 16}, 0))"),"LU005156")</f>
        <v>LU005156</v>
      </c>
      <c r="AH66" s="13" t="str">
        <f ca="1">IFERROR(__xludf.DUMMYFUNCTION("""COMPUTED_VALUE"""),"Usage of electricity in daily life")</f>
        <v>Usage of electricity in daily life</v>
      </c>
      <c r="AI66" s="13"/>
      <c r="AJ66" s="13"/>
      <c r="AK66" s="13"/>
      <c r="AL66" s="13"/>
      <c r="AM66" s="13"/>
      <c r="AN66" s="13"/>
      <c r="AO66" s="13"/>
      <c r="AP66" s="13"/>
      <c r="AQ66" s="13"/>
      <c r="AR66" s="13"/>
      <c r="AS66" s="13"/>
      <c r="AT66" s="13"/>
    </row>
    <row r="67" spans="1:46">
      <c r="A67" s="8" t="s">
        <v>247</v>
      </c>
      <c r="B67" s="8" t="s">
        <v>47</v>
      </c>
      <c r="C67" s="8" t="s">
        <v>48</v>
      </c>
      <c r="D67" s="8" t="s">
        <v>1510</v>
      </c>
      <c r="E67" s="8" t="s">
        <v>1751</v>
      </c>
      <c r="F67" s="8" t="s">
        <v>1758</v>
      </c>
      <c r="G67" s="8" t="s">
        <v>1759</v>
      </c>
      <c r="H67" s="8" t="str">
        <f ca="1">IFERROR(__xludf.DUMMYFUNCTION("VLOOKUP(G67, IMPORTRANGE(""https://docs.google.com/spreadsheets/d/14deopnvwcrKtEGCKuYXdUHJbeLDZlkiSSWWT0g7x2pM/edit#gid=849066331"", ""LU List Science (Filter)!A:B""), 2, FALSE)"),"Description of electric circuit and flow of current through it")</f>
        <v>Description of electric circuit and flow of current through it</v>
      </c>
      <c r="I67" s="10" t="str">
        <f t="shared" si="0"/>
        <v>LU005153.001</v>
      </c>
      <c r="J67" s="10" t="str">
        <f ca="1">IFERROR(__xludf.DUMMYFUNCTION("VLOOKUP(I67, IMPORTRANGE(""https://docs.google.com/spreadsheets/d/1yDAaXNsi4Mr5FtRQL4tbmSdIzhx6_m4wkOD7IG-k_eo/edit#gid=1336395716"", ""Science!M:N""), 2, FALSE)"),"Identify how the two terminals of an electric cell are connected to the terminals of an electric bulb in a circuit.")</f>
        <v>Identify how the two terminals of an electric cell are connected to the terminals of an electric bulb in a circuit.</v>
      </c>
      <c r="K67" s="10" t="str">
        <f t="shared" si="1"/>
        <v>LU005153.002</v>
      </c>
      <c r="L67" s="10" t="str">
        <f ca="1">IFERROR(__xludf.DUMMYFUNCTION("VLOOKUP(K67, IMPORTRANGE(""https://docs.google.com/spreadsheets/d/1yDAaXNsi4Mr5FtRQL4tbmSdIzhx6_m4wkOD7IG-k_eo/edit#gid=1336395716"", ""Science!M:N""), 2, FALSE)"),"Illustrate the direction of current in an electric circuit.")</f>
        <v>Illustrate the direction of current in an electric circuit.</v>
      </c>
      <c r="M67" s="10" t="str">
        <f t="shared" si="2"/>
        <v>LU005153.003</v>
      </c>
      <c r="N67" s="10" t="str">
        <f ca="1">IFERROR(__xludf.DUMMYFUNCTION("VLOOKUP(M67, IMPORTRANGE(""https://docs.google.com/spreadsheets/d/1yDAaXNsi4Mr5FtRQL4tbmSdIzhx6_m4wkOD7IG-k_eo/edit#gid=1336395716"", ""Science!M:N""), 2, FALSE)"),"""Construct a basic electric circuit using given components, while adhering to a list of safety precautions.""")</f>
        <v>"Construct a basic electric circuit using given components, while adhering to a list of safety precautions."</v>
      </c>
      <c r="O67" s="10" t="str">
        <f t="shared" si="3"/>
        <v>LU005153.004</v>
      </c>
      <c r="P67" s="10" t="str">
        <f ca="1">IFERROR(__xludf.DUMMYFUNCTION("VLOOKUP(O67, IMPORTRANGE(""https://docs.google.com/spreadsheets/d/1yDAaXNsi4Mr5FtRQL4tbmSdIzhx6_m4wkOD7IG-k_eo/edit#gid=1336395716"", ""Science!M:N""), 2, FALSE)"),"Compare and contrast different types of electric circuits.")</f>
        <v>Compare and contrast different types of electric circuits.</v>
      </c>
      <c r="Q67" s="10" t="str">
        <f t="shared" si="4"/>
        <v>LU005153.005</v>
      </c>
      <c r="R67" s="10" t="str">
        <f ca="1">IFERROR(__xludf.DUMMYFUNCTION("VLOOKUP(Q67, IMPORTRANGE(""https://docs.google.com/spreadsheets/d/1yDAaXNsi4Mr5FtRQL4tbmSdIzhx6_m4wkOD7IG-k_eo/edit#gid=1336395716"", ""Science!M:N""), 2, FALSE)"),"Recommend improvements to the design of electric circuits.")</f>
        <v>Recommend improvements to the design of electric circuits.</v>
      </c>
      <c r="S67" s="10" t="str">
        <f t="shared" si="5"/>
        <v>LU005153.006</v>
      </c>
      <c r="T67" s="10" t="str">
        <f ca="1">IFERROR(__xludf.DUMMYFUNCTION("VLOOKUP(S67, IMPORTRANGE(""https://docs.google.com/spreadsheets/d/1yDAaXNsi4Mr5FtRQL4tbmSdIzhx6_m4wkOD7IG-k_eo/edit#gid=1336395716"", ""Science!M:N""), 2, FALSE)"),"#N/A")</f>
        <v>#N/A</v>
      </c>
      <c r="U67" s="11">
        <f ca="1">IFERROR(__xludf.DUMMYFUNCTION("ArrayFormula(VLOOKUP(G67, IMPORTRANGE(""https://docs.google.com/spreadsheets/d/1p7R4vtkWt5VOBim4ltsDG9KTzSjrtKXsMtQGXPHyND0/edit#gid=795171502"", ""'Filter 30_05_2024'!A1:M2000""), {2, 3, 4, 5,6,7,8,9,10,11,12,13}, 0))"),13)</f>
        <v>13</v>
      </c>
      <c r="V67" s="11">
        <f ca="1">IFERROR(__xludf.DUMMYFUNCTION("""COMPUTED_VALUE"""),7)</f>
        <v>7</v>
      </c>
      <c r="W67" s="11">
        <f ca="1">IFERROR(__xludf.DUMMYFUNCTION("""COMPUTED_VALUE"""),11)</f>
        <v>11</v>
      </c>
      <c r="X67" s="11">
        <f ca="1">IFERROR(__xludf.DUMMYFUNCTION("""COMPUTED_VALUE"""),31)</f>
        <v>31</v>
      </c>
      <c r="Y67" s="11">
        <f ca="1">IFERROR(__xludf.DUMMYFUNCTION("""COMPUTED_VALUE"""),9)</f>
        <v>9</v>
      </c>
      <c r="Z67" s="12">
        <f ca="1">IFERROR(__xludf.DUMMYFUNCTION("""COMPUTED_VALUE"""),6)</f>
        <v>6</v>
      </c>
      <c r="AA67" s="12">
        <f ca="1">IFERROR(__xludf.DUMMYFUNCTION("""COMPUTED_VALUE"""),4)</f>
        <v>4</v>
      </c>
      <c r="AB67" s="12">
        <f ca="1">IFERROR(__xludf.DUMMYFUNCTION("""COMPUTED_VALUE"""),19)</f>
        <v>19</v>
      </c>
      <c r="AC67" s="12"/>
      <c r="AD67" s="12"/>
      <c r="AE67" s="12"/>
      <c r="AF67" s="12"/>
      <c r="AG67" s="13" t="str">
        <f ca="1">IFERROR(__xludf.DUMMYFUNCTION("ArrayFormula(VLOOKUP(G67, IMPORTRANGE(""https://docs.google.com/spreadsheets/d/1Co934fvtviyaRiMsrIlT05Jaq7iiYq07aLvRr35KA48/edit?gid=173865642#gid=173865642"", ""'G6_Sci_Pri_LU'!G2:V2000""), {3, 4, 5, 6, 7, 8, 9, 10, 11, 12, 13, 14, 15, 16}, 0))"),"LU005155")</f>
        <v>LU005155</v>
      </c>
      <c r="AH67" s="13" t="str">
        <f ca="1">IFERROR(__xludf.DUMMYFUNCTION("""COMPUTED_VALUE"""),"Structure and function of electric cell")</f>
        <v>Structure and function of electric cell</v>
      </c>
      <c r="AI67" s="13" t="str">
        <f ca="1">IFERROR(__xludf.DUMMYFUNCTION("""COMPUTED_VALUE"""),"LU005154")</f>
        <v>LU005154</v>
      </c>
      <c r="AJ67" s="13" t="str">
        <f ca="1">IFERROR(__xludf.DUMMYFUNCTION("""COMPUTED_VALUE"""),"Structure and function of electric bulb")</f>
        <v>Structure and function of electric bulb</v>
      </c>
      <c r="AK67" s="13"/>
      <c r="AL67" s="13"/>
      <c r="AM67" s="13"/>
      <c r="AN67" s="13"/>
      <c r="AO67" s="13"/>
      <c r="AP67" s="13"/>
      <c r="AQ67" s="13"/>
      <c r="AR67" s="13"/>
      <c r="AS67" s="13"/>
      <c r="AT67" s="13"/>
    </row>
    <row r="68" spans="1:46">
      <c r="A68" s="8" t="s">
        <v>247</v>
      </c>
      <c r="B68" s="8" t="s">
        <v>47</v>
      </c>
      <c r="C68" s="8" t="s">
        <v>48</v>
      </c>
      <c r="D68" s="8" t="s">
        <v>1510</v>
      </c>
      <c r="E68" s="8" t="s">
        <v>1751</v>
      </c>
      <c r="F68" s="8" t="s">
        <v>1760</v>
      </c>
      <c r="G68" s="8" t="s">
        <v>1761</v>
      </c>
      <c r="H68" s="8" t="str">
        <f ca="1">IFERROR(__xludf.DUMMYFUNCTION("VLOOKUP(G68, IMPORTRANGE(""https://docs.google.com/spreadsheets/d/14deopnvwcrKtEGCKuYXdUHJbeLDZlkiSSWWT0g7x2pM/edit#gid=849066331"", ""LU List Science (Filter)!A:B""), 2, FALSE)"),"Basic Circuit Design with Switches")</f>
        <v>Basic Circuit Design with Switches</v>
      </c>
      <c r="I68" s="10" t="str">
        <f t="shared" si="0"/>
        <v>LU005151.001</v>
      </c>
      <c r="J68" s="10" t="str">
        <f ca="1">IFERROR(__xludf.DUMMYFUNCTION("VLOOKUP(I68, IMPORTRANGE(""https://docs.google.com/spreadsheets/d/1yDAaXNsi4Mr5FtRQL4tbmSdIzhx6_m4wkOD7IG-k_eo/edit#gid=1336395716"", ""Science!M:N""), 2, FALSE)"),"Recognize the standard symbol for an electric switch in circuit diagrams.")</f>
        <v>Recognize the standard symbol for an electric switch in circuit diagrams.</v>
      </c>
      <c r="K68" s="10" t="str">
        <f t="shared" si="1"/>
        <v>LU005151.002</v>
      </c>
      <c r="L68" s="10" t="str">
        <f ca="1">IFERROR(__xludf.DUMMYFUNCTION("VLOOKUP(K68, IMPORTRANGE(""https://docs.google.com/spreadsheets/d/1yDAaXNsi4Mr5FtRQL4tbmSdIzhx6_m4wkOD7IG-k_eo/edit#gid=1336395716"", ""Science!M:N""), 2, FALSE)"),"Illustrate how an electric switch can open or close a circuit")</f>
        <v>Illustrate how an electric switch can open or close a circuit</v>
      </c>
      <c r="M68" s="10" t="str">
        <f t="shared" si="2"/>
        <v>LU005151.003</v>
      </c>
      <c r="N68" s="10" t="str">
        <f ca="1">IFERROR(__xludf.DUMMYFUNCTION("VLOOKUP(M68, IMPORTRANGE(""https://docs.google.com/spreadsheets/d/1yDAaXNsi4Mr5FtRQL4tbmSdIzhx6_m4wkOD7IG-k_eo/edit#gid=1336395716"", ""Science!M:N""), 2, FALSE)"),"Demonstrate how to integrate a switch into a simple circuit to control a light bulb.")</f>
        <v>Demonstrate how to integrate a switch into a simple circuit to control a light bulb.</v>
      </c>
      <c r="O68" s="10" t="str">
        <f t="shared" si="3"/>
        <v>LU005151.004</v>
      </c>
      <c r="P68" s="10" t="str">
        <f ca="1">IFERROR(__xludf.DUMMYFUNCTION("VLOOKUP(O68, IMPORTRANGE(""https://docs.google.com/spreadsheets/d/1yDAaXNsi4Mr5FtRQL4tbmSdIzhx6_m4wkOD7IG-k_eo/edit#gid=1336395716"", ""Science!M:N""), 2, FALSE)"),"#N/A")</f>
        <v>#N/A</v>
      </c>
      <c r="Q68" s="10" t="str">
        <f t="shared" si="4"/>
        <v>LU005151.005</v>
      </c>
      <c r="R68" s="10" t="str">
        <f ca="1">IFERROR(__xludf.DUMMYFUNCTION("VLOOKUP(Q68, IMPORTRANGE(""https://docs.google.com/spreadsheets/d/1yDAaXNsi4Mr5FtRQL4tbmSdIzhx6_m4wkOD7IG-k_eo/edit#gid=1336395716"", ""Science!M:N""), 2, FALSE)"),"Assess the necessity of switches in household electrical systems for safety and control.")</f>
        <v>Assess the necessity of switches in household electrical systems for safety and control.</v>
      </c>
      <c r="S68" s="10" t="str">
        <f t="shared" si="5"/>
        <v>LU005151.006</v>
      </c>
      <c r="T68" s="10" t="str">
        <f ca="1">IFERROR(__xludf.DUMMYFUNCTION("VLOOKUP(S68, IMPORTRANGE(""https://docs.google.com/spreadsheets/d/1yDAaXNsi4Mr5FtRQL4tbmSdIzhx6_m4wkOD7IG-k_eo/edit#gid=1336395716"", ""Science!M:N""), 2, FALSE)"),"#N/A")</f>
        <v>#N/A</v>
      </c>
      <c r="U68" s="11">
        <f ca="1">IFERROR(__xludf.DUMMYFUNCTION("ArrayFormula(VLOOKUP(G68, IMPORTRANGE(""https://docs.google.com/spreadsheets/d/1p7R4vtkWt5VOBim4ltsDG9KTzSjrtKXsMtQGXPHyND0/edit#gid=795171502"", ""'Filter 30_05_2024'!A1:M2000""), {2, 3, 4, 5,6,7,8,9,10,11,12,13}, 0))"),6)</f>
        <v>6</v>
      </c>
      <c r="V68" s="38">
        <f ca="1">IFERROR(__xludf.DUMMYFUNCTION("""COMPUTED_VALUE"""),6)</f>
        <v>6</v>
      </c>
      <c r="W68" s="11">
        <f ca="1">IFERROR(__xludf.DUMMYFUNCTION("""COMPUTED_VALUE"""),2)</f>
        <v>2</v>
      </c>
      <c r="X68" s="11">
        <f ca="1">IFERROR(__xludf.DUMMYFUNCTION("""COMPUTED_VALUE"""),14)</f>
        <v>14</v>
      </c>
      <c r="Y68" s="11">
        <f ca="1">IFERROR(__xludf.DUMMYFUNCTION("""COMPUTED_VALUE"""),5)</f>
        <v>5</v>
      </c>
      <c r="Z68" s="12">
        <f ca="1">IFERROR(__xludf.DUMMYFUNCTION("""COMPUTED_VALUE"""),3)</f>
        <v>3</v>
      </c>
      <c r="AA68" s="12">
        <f ca="1">IFERROR(__xludf.DUMMYFUNCTION("""COMPUTED_VALUE"""),1)</f>
        <v>1</v>
      </c>
      <c r="AB68" s="12">
        <f ca="1">IFERROR(__xludf.DUMMYFUNCTION("""COMPUTED_VALUE"""),9)</f>
        <v>9</v>
      </c>
      <c r="AC68" s="12"/>
      <c r="AD68" s="12"/>
      <c r="AE68" s="12"/>
      <c r="AF68" s="12"/>
      <c r="AG68" s="13" t="str">
        <f ca="1">IFERROR(__xludf.DUMMYFUNCTION("ArrayFormula(VLOOKUP(G68, IMPORTRANGE(""https://docs.google.com/spreadsheets/d/1Co934fvtviyaRiMsrIlT05Jaq7iiYq07aLvRr35KA48/edit?gid=173865642#gid=173865642"", ""'G6_Sci_Pri_LU'!G2:V2000""), {3, 4, 5, 6, 7, 8, 9, 10, 11, 12, 13, 14, 15, 16}, 0))"),"LU005153")</f>
        <v>LU005153</v>
      </c>
      <c r="AH68" s="13" t="str">
        <f ca="1">IFERROR(__xludf.DUMMYFUNCTION("""COMPUTED_VALUE"""),"Description of electric circuit and flow of current through it")</f>
        <v>Description of electric circuit and flow of current through it</v>
      </c>
      <c r="AI68" s="13" t="str">
        <f ca="1">IFERROR(__xludf.DUMMYFUNCTION("""COMPUTED_VALUE"""),"LU005155")</f>
        <v>LU005155</v>
      </c>
      <c r="AJ68" s="13" t="str">
        <f ca="1">IFERROR(__xludf.DUMMYFUNCTION("""COMPUTED_VALUE"""),"Structure and function of electric cell")</f>
        <v>Structure and function of electric cell</v>
      </c>
      <c r="AK68" s="13" t="str">
        <f ca="1">IFERROR(__xludf.DUMMYFUNCTION("""COMPUTED_VALUE"""),"LU005154")</f>
        <v>LU005154</v>
      </c>
      <c r="AL68" s="13" t="str">
        <f ca="1">IFERROR(__xludf.DUMMYFUNCTION("""COMPUTED_VALUE"""),"Structure and function of electric bulb")</f>
        <v>Structure and function of electric bulb</v>
      </c>
      <c r="AM68" s="13"/>
      <c r="AN68" s="13"/>
      <c r="AO68" s="13"/>
      <c r="AP68" s="13"/>
      <c r="AQ68" s="13"/>
      <c r="AR68" s="13"/>
      <c r="AS68" s="13"/>
      <c r="AT68" s="13"/>
    </row>
    <row r="69" spans="1:46">
      <c r="A69" s="8" t="s">
        <v>247</v>
      </c>
      <c r="B69" s="8" t="s">
        <v>47</v>
      </c>
      <c r="C69" s="8" t="s">
        <v>48</v>
      </c>
      <c r="D69" s="8" t="s">
        <v>1510</v>
      </c>
      <c r="E69" s="8" t="s">
        <v>1751</v>
      </c>
      <c r="F69" s="8" t="s">
        <v>1760</v>
      </c>
      <c r="G69" s="8" t="s">
        <v>1762</v>
      </c>
      <c r="H69" s="8" t="str">
        <f ca="1">IFERROR(__xludf.DUMMYFUNCTION("VLOOKUP(G69, IMPORTRANGE(""https://docs.google.com/spreadsheets/d/14deopnvwcrKtEGCKuYXdUHJbeLDZlkiSSWWT0g7x2pM/edit#gid=849066331"", ""LU List Science (Filter)!A:B""), 2, FALSE)"),"Electric Conductors and Insulators: Definition and Application")</f>
        <v>Electric Conductors and Insulators: Definition and Application</v>
      </c>
      <c r="I69" s="10" t="str">
        <f t="shared" si="0"/>
        <v>LU005152.001</v>
      </c>
      <c r="J69" s="10" t="str">
        <f ca="1">IFERROR(__xludf.DUMMYFUNCTION("VLOOKUP(I69, IMPORTRANGE(""https://docs.google.com/spreadsheets/d/1yDAaXNsi4Mr5FtRQL4tbmSdIzhx6_m4wkOD7IG-k_eo/edit#gid=1336395716"", ""Science!M:N""), 2, FALSE)"),"Define electrical conductors and insulators with help of examples. ")</f>
        <v xml:space="preserve">Define electrical conductors and insulators with help of examples. </v>
      </c>
      <c r="K69" s="10" t="str">
        <f t="shared" si="1"/>
        <v>LU005152.002</v>
      </c>
      <c r="L69" s="10" t="str">
        <f ca="1">IFERROR(__xludf.DUMMYFUNCTION("VLOOKUP(K69, IMPORTRANGE(""https://docs.google.com/spreadsheets/d/1yDAaXNsi4Mr5FtRQL4tbmSdIzhx6_m4wkOD7IG-k_eo/edit#gid=1336395716"", ""Science!M:N""), 2, FALSE)"),"Articulate the key differences between conductors and insulators in terms of their ability to conduct electricity.")</f>
        <v>Articulate the key differences between conductors and insulators in terms of their ability to conduct electricity.</v>
      </c>
      <c r="M69" s="10" t="str">
        <f t="shared" si="2"/>
        <v>LU005152.003</v>
      </c>
      <c r="N69" s="10" t="str">
        <f ca="1">IFERROR(__xludf.DUMMYFUNCTION("VLOOKUP(M69, IMPORTRANGE(""https://docs.google.com/spreadsheets/d/1yDAaXNsi4Mr5FtRQL4tbmSdIzhx6_m4wkOD7IG-k_eo/edit#gid=1336395716"", ""Science!M:N""), 2, FALSE)"),"Classify given materials as conductors or insulators based on their properties.")</f>
        <v>Classify given materials as conductors or insulators based on their properties.</v>
      </c>
      <c r="O69" s="10" t="str">
        <f t="shared" si="3"/>
        <v>LU005152.004</v>
      </c>
      <c r="P69" s="10" t="str">
        <f ca="1">IFERROR(__xludf.DUMMYFUNCTION("VLOOKUP(O69, IMPORTRANGE(""https://docs.google.com/spreadsheets/d/1yDAaXNsi4Mr5FtRQL4tbmSdIzhx6_m4wkOD7IG-k_eo/edit#gid=1336395716"", ""Science!M:N""), 2, FALSE)"),"""Analyze the significance of conductors and insulators in everyday situations..""")</f>
        <v>"Analyze the significance of conductors and insulators in everyday situations.."</v>
      </c>
      <c r="Q69" s="10" t="str">
        <f t="shared" si="4"/>
        <v>LU005152.005</v>
      </c>
      <c r="R69" s="10" t="str">
        <f ca="1">IFERROR(__xludf.DUMMYFUNCTION("VLOOKUP(Q69, IMPORTRANGE(""https://docs.google.com/spreadsheets/d/1yDAaXNsi4Mr5FtRQL4tbmSdIzhx6_m4wkOD7IG-k_eo/edit#gid=1336395716"", ""Science!M:N""), 2, FALSE)"),"Evaluate electrical systems, such as home wiring or electronic devices, in terms of efficiency and safety, considering the roles and choices of conductors and insulators used.")</f>
        <v>Evaluate electrical systems, such as home wiring or electronic devices, in terms of efficiency and safety, considering the roles and choices of conductors and insulators used.</v>
      </c>
      <c r="S69" s="10" t="str">
        <f t="shared" si="5"/>
        <v>LU005152.006</v>
      </c>
      <c r="T69" s="10" t="str">
        <f ca="1">IFERROR(__xludf.DUMMYFUNCTION("VLOOKUP(S69, IMPORTRANGE(""https://docs.google.com/spreadsheets/d/1yDAaXNsi4Mr5FtRQL4tbmSdIzhx6_m4wkOD7IG-k_eo/edit#gid=1336395716"", ""Science!M:N""), 2, FALSE)"),"Design an experiment to test the conductivity of various materials.")</f>
        <v>Design an experiment to test the conductivity of various materials.</v>
      </c>
      <c r="U69" s="38">
        <f ca="1">IFERROR(__xludf.DUMMYFUNCTION("ArrayFormula(VLOOKUP(G69, IMPORTRANGE(""https://docs.google.com/spreadsheets/d/1p7R4vtkWt5VOBim4ltsDG9KTzSjrtKXsMtQGXPHyND0/edit#gid=795171502"", ""'Filter 30_05_2024'!A1:M2000""), {2, 3, 4, 5,6,7,8,9,10,11,12,13}, 0))"),3)</f>
        <v>3</v>
      </c>
      <c r="V69" s="11">
        <f ca="1">IFERROR(__xludf.DUMMYFUNCTION("""COMPUTED_VALUE"""),8)</f>
        <v>8</v>
      </c>
      <c r="W69" s="11">
        <f ca="1">IFERROR(__xludf.DUMMYFUNCTION("""COMPUTED_VALUE"""),2)</f>
        <v>2</v>
      </c>
      <c r="X69" s="11">
        <f ca="1">IFERROR(__xludf.DUMMYFUNCTION("""COMPUTED_VALUE"""),13)</f>
        <v>13</v>
      </c>
      <c r="Y69" s="11">
        <f ca="1">IFERROR(__xludf.DUMMYFUNCTION("""COMPUTED_VALUE"""),6)</f>
        <v>6</v>
      </c>
      <c r="Z69" s="12">
        <f ca="1">IFERROR(__xludf.DUMMYFUNCTION("""COMPUTED_VALUE"""),3)</f>
        <v>3</v>
      </c>
      <c r="AA69" s="12">
        <f ca="1">IFERROR(__xludf.DUMMYFUNCTION("""COMPUTED_VALUE"""),1)</f>
        <v>1</v>
      </c>
      <c r="AB69" s="12">
        <f ca="1">IFERROR(__xludf.DUMMYFUNCTION("""COMPUTED_VALUE"""),10)</f>
        <v>10</v>
      </c>
      <c r="AC69" s="12">
        <f ca="1">IFERROR(__xludf.DUMMYFUNCTION("""COMPUTED_VALUE"""),1)</f>
        <v>1</v>
      </c>
      <c r="AD69" s="12">
        <f ca="1">IFERROR(__xludf.DUMMYFUNCTION("""COMPUTED_VALUE"""),1)</f>
        <v>1</v>
      </c>
      <c r="AE69" s="12"/>
      <c r="AF69" s="12">
        <f ca="1">IFERROR(__xludf.DUMMYFUNCTION("""COMPUTED_VALUE"""),2)</f>
        <v>2</v>
      </c>
      <c r="AG69" s="13" t="str">
        <f ca="1">IFERROR(__xludf.DUMMYFUNCTION("ArrayFormula(VLOOKUP(G69, IMPORTRANGE(""https://docs.google.com/spreadsheets/d/1Co934fvtviyaRiMsrIlT05Jaq7iiYq07aLvRr35KA48/edit?gid=173865642#gid=173865642"", ""'G6_Sci_Pri_LU'!G2:V2000""), {3, 4, 5, 6, 7, 8, 9, 10, 11, 12, 13, 14, 15, 16}, 0))"),"LU005153")</f>
        <v>LU005153</v>
      </c>
      <c r="AH69" s="13" t="str">
        <f ca="1">IFERROR(__xludf.DUMMYFUNCTION("""COMPUTED_VALUE"""),"Description of electric circuit and flow of current through it")</f>
        <v>Description of electric circuit and flow of current through it</v>
      </c>
      <c r="AI69" s="13"/>
      <c r="AJ69" s="13"/>
      <c r="AK69" s="13"/>
      <c r="AL69" s="13"/>
      <c r="AM69" s="13"/>
      <c r="AN69" s="13"/>
      <c r="AO69" s="13"/>
      <c r="AP69" s="13"/>
      <c r="AQ69" s="13"/>
      <c r="AR69" s="13"/>
      <c r="AS69" s="13"/>
      <c r="AT69" s="13"/>
    </row>
    <row r="70" spans="1:46">
      <c r="A70" s="8" t="s">
        <v>247</v>
      </c>
      <c r="B70" s="8" t="s">
        <v>47</v>
      </c>
      <c r="C70" s="8" t="s">
        <v>48</v>
      </c>
      <c r="D70" s="8" t="s">
        <v>1510</v>
      </c>
      <c r="E70" s="8" t="s">
        <v>1763</v>
      </c>
      <c r="F70" s="8" t="s">
        <v>1589</v>
      </c>
      <c r="G70" s="8" t="s">
        <v>1590</v>
      </c>
      <c r="H70" s="8" t="str">
        <f ca="1">IFERROR(__xludf.DUMMYFUNCTION("VLOOKUP(G70, IMPORTRANGE(""https://docs.google.com/spreadsheets/d/14deopnvwcrKtEGCKuYXdUHJbeLDZlkiSSWWT0g7x2pM/edit#gid=849066331"", ""LU List Science (Filter)!A:B""), 2, FALSE)"),"Classification of magnets as natural and artificial magnets ")</f>
        <v xml:space="preserve">Classification of magnets as natural and artificial magnets </v>
      </c>
      <c r="I70" s="10" t="str">
        <f t="shared" si="0"/>
        <v>LU005932.001</v>
      </c>
      <c r="J70" s="10" t="str">
        <f ca="1">IFERROR(__xludf.DUMMYFUNCTION("VLOOKUP(I70, IMPORTRANGE(""https://docs.google.com/spreadsheets/d/1yDAaXNsi4Mr5FtRQL4tbmSdIzhx6_m4wkOD7IG-k_eo/edit#gid=1336395716"", ""Science!M:N""), 2, FALSE)"),"Distinguish between natural and artificial magnets, identifying their key characteristics.")</f>
        <v>Distinguish between natural and artificial magnets, identifying their key characteristics.</v>
      </c>
      <c r="K70" s="10" t="str">
        <f t="shared" si="1"/>
        <v>LU005932.002</v>
      </c>
      <c r="L70" s="10" t="str">
        <f ca="1">IFERROR(__xludf.DUMMYFUNCTION("VLOOKUP(K70, IMPORTRANGE(""https://docs.google.com/spreadsheets/d/1yDAaXNsi4Mr5FtRQL4tbmSdIzhx6_m4wkOD7IG-k_eo/edit#gid=1336395716"", ""Science!M:N""), 2, FALSE)"),"Explain the origin of natural magnets and how they are formed.")</f>
        <v>Explain the origin of natural magnets and how they are formed.</v>
      </c>
      <c r="M70" s="10" t="str">
        <f t="shared" si="2"/>
        <v>LU005932.003</v>
      </c>
      <c r="N70" s="10" t="str">
        <f ca="1">IFERROR(__xludf.DUMMYFUNCTION("VLOOKUP(M70, IMPORTRANGE(""https://docs.google.com/spreadsheets/d/1yDAaXNsi4Mr5FtRQL4tbmSdIzhx6_m4wkOD7IG-k_eo/edit#gid=1336395716"", ""Science!M:N""), 2, FALSE)"),"Describe the process of manufacturing artificial magnets and their common uses.")</f>
        <v>Describe the process of manufacturing artificial magnets and their common uses.</v>
      </c>
      <c r="O70" s="10" t="str">
        <f t="shared" si="3"/>
        <v>LU005932.004</v>
      </c>
      <c r="P70" s="10" t="str">
        <f ca="1">IFERROR(__xludf.DUMMYFUNCTION("VLOOKUP(O70, IMPORTRANGE(""https://docs.google.com/spreadsheets/d/1yDAaXNsi4Mr5FtRQL4tbmSdIzhx6_m4wkOD7IG-k_eo/edit#gid=1336395716"", ""Science!M:N""), 2, FALSE)"),"Analyze the differences in magnetic properties between natural and artificial magnets.")</f>
        <v>Analyze the differences in magnetic properties between natural and artificial magnets.</v>
      </c>
      <c r="Q70" s="10" t="str">
        <f t="shared" si="4"/>
        <v>LU005932.005</v>
      </c>
      <c r="R70" s="10" t="str">
        <f ca="1">IFERROR(__xludf.DUMMYFUNCTION("VLOOKUP(Q70, IMPORTRANGE(""https://docs.google.com/spreadsheets/d/1yDAaXNsi4Mr5FtRQL4tbmSdIzhx6_m4wkOD7IG-k_eo/edit#gid=1336395716"", ""Science!M:N""), 2, FALSE)"),"Evaluate the significance of classifying magnets into natural and artificial categories.")</f>
        <v>Evaluate the significance of classifying magnets into natural and artificial categories.</v>
      </c>
      <c r="S70" s="10" t="str">
        <f t="shared" si="5"/>
        <v>LU005932.006</v>
      </c>
      <c r="T70" s="10" t="str">
        <f ca="1">IFERROR(__xludf.DUMMYFUNCTION("VLOOKUP(S70, IMPORTRANGE(""https://docs.google.com/spreadsheets/d/1yDAaXNsi4Mr5FtRQL4tbmSdIzhx6_m4wkOD7IG-k_eo/edit#gid=1336395716"", ""Science!M:N""), 2, FALSE)"),"#N/A")</f>
        <v>#N/A</v>
      </c>
      <c r="U70" s="11">
        <f ca="1">IFERROR(__xludf.DUMMYFUNCTION("ArrayFormula(VLOOKUP(G70, IMPORTRANGE(""https://docs.google.com/spreadsheets/d/1p7R4vtkWt5VOBim4ltsDG9KTzSjrtKXsMtQGXPHyND0/edit#gid=795171502"", ""'Filter 30_05_2024'!A1:M2000""), {2, 3, 4, 5,6,7,8,9,10,11,12,13}, 0))"),6)</f>
        <v>6</v>
      </c>
      <c r="V70" s="11">
        <f ca="1">IFERROR(__xludf.DUMMYFUNCTION("""COMPUTED_VALUE"""),6)</f>
        <v>6</v>
      </c>
      <c r="W70" s="11">
        <f ca="1">IFERROR(__xludf.DUMMYFUNCTION("""COMPUTED_VALUE"""),2)</f>
        <v>2</v>
      </c>
      <c r="X70" s="11">
        <f ca="1">IFERROR(__xludf.DUMMYFUNCTION("""COMPUTED_VALUE"""),14)</f>
        <v>14</v>
      </c>
      <c r="Y70" s="11">
        <f ca="1">IFERROR(__xludf.DUMMYFUNCTION("""COMPUTED_VALUE"""),4)</f>
        <v>4</v>
      </c>
      <c r="Z70" s="12">
        <f ca="1">IFERROR(__xludf.DUMMYFUNCTION("""COMPUTED_VALUE"""),3)</f>
        <v>3</v>
      </c>
      <c r="AA70" s="12">
        <f ca="1">IFERROR(__xludf.DUMMYFUNCTION("""COMPUTED_VALUE"""),1)</f>
        <v>1</v>
      </c>
      <c r="AB70" s="12">
        <f ca="1">IFERROR(__xludf.DUMMYFUNCTION("""COMPUTED_VALUE"""),8)</f>
        <v>8</v>
      </c>
      <c r="AC70" s="12"/>
      <c r="AD70" s="12"/>
      <c r="AE70" s="12"/>
      <c r="AF70" s="12"/>
      <c r="AG70" s="13" t="str">
        <f ca="1">IFERROR(__xludf.DUMMYFUNCTION("ArrayFormula(VLOOKUP(G70, IMPORTRANGE(""https://docs.google.com/spreadsheets/d/1Co934fvtviyaRiMsrIlT05Jaq7iiYq07aLvRr35KA48/edit?gid=173865642#gid=173865642"", ""'G6_Sci_Pri_LU'!G2:V2000""), {3, 4, 5, 6, 7, 8, 9, 10, 11, 12, 13, 14, 15, 16}, 0))"),"")</f>
        <v/>
      </c>
      <c r="AH70" s="13"/>
      <c r="AI70" s="13"/>
      <c r="AJ70" s="13"/>
      <c r="AK70" s="13"/>
      <c r="AL70" s="13"/>
      <c r="AM70" s="13"/>
      <c r="AN70" s="13"/>
      <c r="AO70" s="13"/>
      <c r="AP70" s="13"/>
      <c r="AQ70" s="13"/>
      <c r="AR70" s="13"/>
      <c r="AS70" s="13"/>
      <c r="AT70" s="13"/>
    </row>
    <row r="71" spans="1:46">
      <c r="A71" s="8" t="s">
        <v>247</v>
      </c>
      <c r="B71" s="8" t="s">
        <v>47</v>
      </c>
      <c r="C71" s="8" t="s">
        <v>48</v>
      </c>
      <c r="D71" s="8" t="s">
        <v>1510</v>
      </c>
      <c r="E71" s="8" t="s">
        <v>1763</v>
      </c>
      <c r="F71" s="8" t="s">
        <v>1589</v>
      </c>
      <c r="G71" s="8" t="s">
        <v>1592</v>
      </c>
      <c r="H71" s="8" t="str">
        <f ca="1">IFERROR(__xludf.DUMMYFUNCTION("VLOOKUP(G71, IMPORTRANGE(""https://docs.google.com/spreadsheets/d/14deopnvwcrKtEGCKuYXdUHJbeLDZlkiSSWWT0g7x2pM/edit#gid=849066331"", ""LU List Science (Filter)!A:B""), 2, FALSE)"),"Identification of types of artificial magnets ")</f>
        <v xml:space="preserve">Identification of types of artificial magnets </v>
      </c>
      <c r="I71" s="10" t="str">
        <f t="shared" si="0"/>
        <v>LU005933.001</v>
      </c>
      <c r="J71" s="10" t="str">
        <f ca="1">IFERROR(__xludf.DUMMYFUNCTION("VLOOKUP(I71, IMPORTRANGE(""https://docs.google.com/spreadsheets/d/1yDAaXNsi4Mr5FtRQL4tbmSdIzhx6_m4wkOD7IG-k_eo/edit#gid=1336395716"", ""Science!M:N""), 2, FALSE)"),"List and identify various types of artificial magnets, such as bar magnets, horseshoe magnets, and electromagnets.")</f>
        <v>List and identify various types of artificial magnets, such as bar magnets, horseshoe magnets, and electromagnets.</v>
      </c>
      <c r="K71" s="10" t="str">
        <f t="shared" si="1"/>
        <v>LU005933.002</v>
      </c>
      <c r="L71" s="10" t="str">
        <f ca="1">IFERROR(__xludf.DUMMYFUNCTION("VLOOKUP(K71, IMPORTRANGE(""https://docs.google.com/spreadsheets/d/1yDAaXNsi4Mr5FtRQL4tbmSdIzhx6_m4wkOD7IG-k_eo/edit#gid=1336395716"", ""Science!M:N""), 2, FALSE)"),"Describe the characteristics and applications of each type of artificial magnet.")</f>
        <v>Describe the characteristics and applications of each type of artificial magnet.</v>
      </c>
      <c r="M71" s="10" t="str">
        <f t="shared" si="2"/>
        <v>LU005933.003</v>
      </c>
      <c r="N71" s="10" t="str">
        <f ca="1">IFERROR(__xludf.DUMMYFUNCTION("VLOOKUP(M71, IMPORTRANGE(""https://docs.google.com/spreadsheets/d/1yDAaXNsi4Mr5FtRQL4tbmSdIzhx6_m4wkOD7IG-k_eo/edit#gid=1336395716"", ""Science!M:N""), 2, FALSE)"),"Explain the principles behind the functioning of different types of artificial magnets.")</f>
        <v>Explain the principles behind the functioning of different types of artificial magnets.</v>
      </c>
      <c r="O71" s="10" t="str">
        <f t="shared" si="3"/>
        <v>LU005933.004</v>
      </c>
      <c r="P71" s="10" t="str">
        <f ca="1">IFERROR(__xludf.DUMMYFUNCTION("VLOOKUP(O71, IMPORTRANGE(""https://docs.google.com/spreadsheets/d/1yDAaXNsi4Mr5FtRQL4tbmSdIzhx6_m4wkOD7IG-k_eo/edit#gid=1336395716"", ""Science!M:N""), 2, FALSE)"),"Analyze the advantages and disadvantages of using specific types of artificial magnets for various purposes.")</f>
        <v>Analyze the advantages and disadvantages of using specific types of artificial magnets for various purposes.</v>
      </c>
      <c r="Q71" s="10" t="str">
        <f t="shared" si="4"/>
        <v>LU005933.005</v>
      </c>
      <c r="R71" s="10" t="str">
        <f ca="1">IFERROR(__xludf.DUMMYFUNCTION("VLOOKUP(Q71, IMPORTRANGE(""https://docs.google.com/spreadsheets/d/1yDAaXNsi4Mr5FtRQL4tbmSdIzhx6_m4wkOD7IG-k_eo/edit#gid=1336395716"", ""Science!M:N""), 2, FALSE)"),"Evaluate the suitability of different artificial magnets for specific tasks.")</f>
        <v>Evaluate the suitability of different artificial magnets for specific tasks.</v>
      </c>
      <c r="S71" s="10" t="str">
        <f t="shared" si="5"/>
        <v>LU005933.006</v>
      </c>
      <c r="T71" s="10" t="str">
        <f ca="1">IFERROR(__xludf.DUMMYFUNCTION("VLOOKUP(S71, IMPORTRANGE(""https://docs.google.com/spreadsheets/d/1yDAaXNsi4Mr5FtRQL4tbmSdIzhx6_m4wkOD7IG-k_eo/edit#gid=1336395716"", ""Science!M:N""), 2, FALSE)"),"#N/A")</f>
        <v>#N/A</v>
      </c>
      <c r="U71" s="11">
        <f ca="1">IFERROR(__xludf.DUMMYFUNCTION("ArrayFormula(VLOOKUP(G71, IMPORTRANGE(""https://docs.google.com/spreadsheets/d/1p7R4vtkWt5VOBim4ltsDG9KTzSjrtKXsMtQGXPHyND0/edit#gid=795171502"", ""'Filter 30_05_2024'!A1:M2000""), {2, 3, 4, 5,6,7,8,9,10,11,12,13}, 0))"),4)</f>
        <v>4</v>
      </c>
      <c r="V71" s="11">
        <f ca="1">IFERROR(__xludf.DUMMYFUNCTION("""COMPUTED_VALUE"""),6)</f>
        <v>6</v>
      </c>
      <c r="W71" s="11">
        <f ca="1">IFERROR(__xludf.DUMMYFUNCTION("""COMPUTED_VALUE"""),2)</f>
        <v>2</v>
      </c>
      <c r="X71" s="11">
        <f ca="1">IFERROR(__xludf.DUMMYFUNCTION("""COMPUTED_VALUE"""),12)</f>
        <v>12</v>
      </c>
      <c r="Y71" s="11">
        <f ca="1">IFERROR(__xludf.DUMMYFUNCTION("""COMPUTED_VALUE"""),4)</f>
        <v>4</v>
      </c>
      <c r="Z71" s="12">
        <f ca="1">IFERROR(__xludf.DUMMYFUNCTION("""COMPUTED_VALUE"""),3)</f>
        <v>3</v>
      </c>
      <c r="AA71" s="12">
        <f ca="1">IFERROR(__xludf.DUMMYFUNCTION("""COMPUTED_VALUE"""),1)</f>
        <v>1</v>
      </c>
      <c r="AB71" s="12">
        <f ca="1">IFERROR(__xludf.DUMMYFUNCTION("""COMPUTED_VALUE"""),8)</f>
        <v>8</v>
      </c>
      <c r="AC71" s="12"/>
      <c r="AD71" s="12"/>
      <c r="AE71" s="12"/>
      <c r="AF71" s="12"/>
      <c r="AG71" s="13" t="str">
        <f ca="1">IFERROR(__xludf.DUMMYFUNCTION("ArrayFormula(VLOOKUP(G71, IMPORTRANGE(""https://docs.google.com/spreadsheets/d/1Co934fvtviyaRiMsrIlT05Jaq7iiYq07aLvRr35KA48/edit?gid=173865642#gid=173865642"", ""'G6_Sci_Pri_LU'!G2:V2000""), {3, 4, 5, 6, 7, 8, 9, 10, 11, 12, 13, 14, 15, 16}, 0))"),"LU005932")</f>
        <v>LU005932</v>
      </c>
      <c r="AH71" s="13" t="str">
        <f ca="1">IFERROR(__xludf.DUMMYFUNCTION("""COMPUTED_VALUE"""),"Classification of magnets as natural and artificial magnets ")</f>
        <v xml:space="preserve">Classification of magnets as natural and artificial magnets </v>
      </c>
      <c r="AI71" s="13"/>
      <c r="AJ71" s="13"/>
      <c r="AK71" s="13"/>
      <c r="AL71" s="13"/>
      <c r="AM71" s="13"/>
      <c r="AN71" s="13"/>
      <c r="AO71" s="13"/>
      <c r="AP71" s="13"/>
      <c r="AQ71" s="13"/>
      <c r="AR71" s="13"/>
      <c r="AS71" s="13"/>
      <c r="AT71" s="13"/>
    </row>
    <row r="72" spans="1:46">
      <c r="A72" s="8" t="s">
        <v>247</v>
      </c>
      <c r="B72" s="8" t="s">
        <v>47</v>
      </c>
      <c r="C72" s="8" t="s">
        <v>48</v>
      </c>
      <c r="D72" s="8" t="s">
        <v>1510</v>
      </c>
      <c r="E72" s="8" t="s">
        <v>1763</v>
      </c>
      <c r="F72" s="8" t="s">
        <v>1589</v>
      </c>
      <c r="G72" s="8" t="s">
        <v>1594</v>
      </c>
      <c r="H72" s="8" t="str">
        <f ca="1">IFERROR(__xludf.DUMMYFUNCTION("VLOOKUP(G72, IMPORTRANGE(""https://docs.google.com/spreadsheets/d/14deopnvwcrKtEGCKuYXdUHJbeLDZlkiSSWWT0g7x2pM/edit#gid=849066331"", ""LU List Science (Filter)!A:B""), 2, FALSE)"),"Magnetic and Non-magnetic material")</f>
        <v>Magnetic and Non-magnetic material</v>
      </c>
      <c r="I72" s="10" t="str">
        <f t="shared" si="0"/>
        <v>LU005161.001</v>
      </c>
      <c r="J72" s="10" t="str">
        <f ca="1">IFERROR(__xludf.DUMMYFUNCTION("VLOOKUP(I72, IMPORTRANGE(""https://docs.google.com/spreadsheets/d/1yDAaXNsi4Mr5FtRQL4tbmSdIzhx6_m4wkOD7IG-k_eo/edit#gid=1336395716"", ""Science!M:N""), 2, FALSE)"),"Define magnetic and non magnetic materials with examples. ")</f>
        <v xml:space="preserve">Define magnetic and non magnetic materials with examples. </v>
      </c>
      <c r="K72" s="10" t="str">
        <f t="shared" si="1"/>
        <v>LU005161.002</v>
      </c>
      <c r="L72" s="10" t="str">
        <f ca="1">IFERROR(__xludf.DUMMYFUNCTION("VLOOKUP(K72, IMPORTRANGE(""https://docs.google.com/spreadsheets/d/1yDAaXNsi4Mr5FtRQL4tbmSdIzhx6_m4wkOD7IG-k_eo/edit#gid=1336395716"", ""Science!M:N""), 2, FALSE)"),"Explain the reasons why some materials are magnetic and others are not.")</f>
        <v>Explain the reasons why some materials are magnetic and others are not.</v>
      </c>
      <c r="M72" s="10" t="str">
        <f t="shared" si="2"/>
        <v>LU005161.003</v>
      </c>
      <c r="N72" s="10" t="str">
        <f ca="1">IFERROR(__xludf.DUMMYFUNCTION("VLOOKUP(M72, IMPORTRANGE(""https://docs.google.com/spreadsheets/d/1yDAaXNsi4Mr5FtRQL4tbmSdIzhx6_m4wkOD7IG-k_eo/edit#gid=1336395716"", ""Science!M:N""), 2, FALSE)"),"Classify the given materials as magnetic and non magnetic materials based on their ability to be attracted by magnet.")</f>
        <v>Classify the given materials as magnetic and non magnetic materials based on their ability to be attracted by magnet.</v>
      </c>
      <c r="O72" s="10" t="str">
        <f t="shared" si="3"/>
        <v>LU005161.004</v>
      </c>
      <c r="P72" s="10" t="str">
        <f ca="1">IFERROR(__xludf.DUMMYFUNCTION("VLOOKUP(O72, IMPORTRANGE(""https://docs.google.com/spreadsheets/d/1yDAaXNsi4Mr5FtRQL4tbmSdIzhx6_m4wkOD7IG-k_eo/edit#gid=1336395716"", ""Science!M:N""), 2, FALSE)"),"Compare and contrast various magnetic materials based on their strength of attraction to a magnet.")</f>
        <v>Compare and contrast various magnetic materials based on their strength of attraction to a magnet.</v>
      </c>
      <c r="Q72" s="10" t="str">
        <f t="shared" si="4"/>
        <v>LU005161.005</v>
      </c>
      <c r="R72" s="10" t="str">
        <f ca="1">IFERROR(__xludf.DUMMYFUNCTION("VLOOKUP(Q72, IMPORTRANGE(""https://docs.google.com/spreadsheets/d/1yDAaXNsi4Mr5FtRQL4tbmSdIzhx6_m4wkOD7IG-k_eo/edit#gid=1336395716"", ""Science!M:N""), 2, FALSE)"),"#N/A")</f>
        <v>#N/A</v>
      </c>
      <c r="S72" s="10" t="str">
        <f t="shared" si="5"/>
        <v>LU005161.006</v>
      </c>
      <c r="T72" s="10" t="str">
        <f ca="1">IFERROR(__xludf.DUMMYFUNCTION("VLOOKUP(S72, IMPORTRANGE(""https://docs.google.com/spreadsheets/d/1yDAaXNsi4Mr5FtRQL4tbmSdIzhx6_m4wkOD7IG-k_eo/edit#gid=1336395716"", ""Science!M:N""), 2, FALSE)"),"#N/A")</f>
        <v>#N/A</v>
      </c>
      <c r="U72" s="11">
        <f ca="1">IFERROR(__xludf.DUMMYFUNCTION("ArrayFormula(VLOOKUP(G72, IMPORTRANGE(""https://docs.google.com/spreadsheets/d/1p7R4vtkWt5VOBim4ltsDG9KTzSjrtKXsMtQGXPHyND0/edit#gid=795171502"", ""'Filter 30_05_2024'!A1:M2000""), {2, 3, 4, 5,6,7,8,9,10,11,12,13}, 0))"),10)</f>
        <v>10</v>
      </c>
      <c r="V72" s="11">
        <f ca="1">IFERROR(__xludf.DUMMYFUNCTION("""COMPUTED_VALUE"""),16)</f>
        <v>16</v>
      </c>
      <c r="W72" s="11">
        <f ca="1">IFERROR(__xludf.DUMMYFUNCTION("""COMPUTED_VALUE"""),2)</f>
        <v>2</v>
      </c>
      <c r="X72" s="11">
        <f ca="1">IFERROR(__xludf.DUMMYFUNCTION("""COMPUTED_VALUE"""),28)</f>
        <v>28</v>
      </c>
      <c r="Y72" s="11">
        <f ca="1">IFERROR(__xludf.DUMMYFUNCTION("""COMPUTED_VALUE"""),5)</f>
        <v>5</v>
      </c>
      <c r="Z72" s="12">
        <f ca="1">IFERROR(__xludf.DUMMYFUNCTION("""COMPUTED_VALUE"""),7)</f>
        <v>7</v>
      </c>
      <c r="AA72" s="12">
        <f ca="1">IFERROR(__xludf.DUMMYFUNCTION("""COMPUTED_VALUE"""),1)</f>
        <v>1</v>
      </c>
      <c r="AB72" s="12">
        <f ca="1">IFERROR(__xludf.DUMMYFUNCTION("""COMPUTED_VALUE"""),13)</f>
        <v>13</v>
      </c>
      <c r="AC72" s="12"/>
      <c r="AD72" s="12"/>
      <c r="AE72" s="12"/>
      <c r="AF72" s="12"/>
      <c r="AG72" s="13" t="str">
        <f ca="1">IFERROR(__xludf.DUMMYFUNCTION("ArrayFormula(VLOOKUP(G72, IMPORTRANGE(""https://docs.google.com/spreadsheets/d/1Co934fvtviyaRiMsrIlT05Jaq7iiYq07aLvRr35KA48/edit?gid=173865642#gid=173865642"", ""'G6_Sci_Pri_LU'!G2:V2000""), {3, 4, 5, 6, 7, 8, 9, 10, 11, 12, 13, 14, 15, 16}, 0))"),"")</f>
        <v/>
      </c>
      <c r="AH72" s="13"/>
      <c r="AI72" s="13"/>
      <c r="AJ72" s="13"/>
      <c r="AK72" s="13"/>
      <c r="AL72" s="13"/>
      <c r="AM72" s="13"/>
      <c r="AN72" s="13"/>
      <c r="AO72" s="13"/>
      <c r="AP72" s="13"/>
      <c r="AQ72" s="13"/>
      <c r="AR72" s="13"/>
      <c r="AS72" s="13"/>
      <c r="AT72" s="13"/>
    </row>
    <row r="73" spans="1:46">
      <c r="A73" s="8" t="s">
        <v>247</v>
      </c>
      <c r="B73" s="8" t="s">
        <v>47</v>
      </c>
      <c r="C73" s="8" t="s">
        <v>48</v>
      </c>
      <c r="D73" s="8" t="s">
        <v>1510</v>
      </c>
      <c r="E73" s="8" t="s">
        <v>1763</v>
      </c>
      <c r="F73" s="8" t="s">
        <v>1596</v>
      </c>
      <c r="G73" s="8" t="s">
        <v>1597</v>
      </c>
      <c r="H73" s="8" t="str">
        <f ca="1">IFERROR(__xludf.DUMMYFUNCTION("VLOOKUP(G73, IMPORTRANGE(""https://docs.google.com/spreadsheets/d/14deopnvwcrKtEGCKuYXdUHJbeLDZlkiSSWWT0g7x2pM/edit#gid=849066331"", ""LU List Science (Filter)!A:B""), 2, FALSE)"),"Identification of poles of different magnets")</f>
        <v>Identification of poles of different magnets</v>
      </c>
      <c r="I73" s="10" t="str">
        <f t="shared" si="0"/>
        <v>LU005934.001</v>
      </c>
      <c r="J73" s="10" t="str">
        <f ca="1">IFERROR(__xludf.DUMMYFUNCTION("VLOOKUP(I73, IMPORTRANGE(""https://docs.google.com/spreadsheets/d/1yDAaXNsi4Mr5FtRQL4tbmSdIzhx6_m4wkOD7IG-k_eo/edit#gid=1336395716"", ""Science!M:N""), 2, FALSE)"),"Identify the poles (north and south) of different magnets, including natural and artificial magnets.")</f>
        <v>Identify the poles (north and south) of different magnets, including natural and artificial magnets.</v>
      </c>
      <c r="K73" s="10" t="str">
        <f t="shared" si="1"/>
        <v>LU005934.002</v>
      </c>
      <c r="L73" s="10" t="str">
        <f ca="1">IFERROR(__xludf.DUMMYFUNCTION("VLOOKUP(K73, IMPORTRANGE(""https://docs.google.com/spreadsheets/d/1yDAaXNsi4Mr5FtRQL4tbmSdIzhx6_m4wkOD7IG-k_eo/edit#gid=1336395716"", ""Science!M:N""), 2, FALSE)"),"Explain how to determine the poles of a magnet using a simple compass.")</f>
        <v>Explain how to determine the poles of a magnet using a simple compass.</v>
      </c>
      <c r="M73" s="10" t="str">
        <f t="shared" si="2"/>
        <v>LU005934.003</v>
      </c>
      <c r="N73" s="10" t="str">
        <f ca="1">IFERROR(__xludf.DUMMYFUNCTION("VLOOKUP(M73, IMPORTRANGE(""https://docs.google.com/spreadsheets/d/1yDAaXNsi4Mr5FtRQL4tbmSdIzhx6_m4wkOD7IG-k_eo/edit#gid=1336395716"", ""Science!M:N""), 2, FALSE)"),"Suggest an activity to locate the poles of magnets in different shapes.")</f>
        <v>Suggest an activity to locate the poles of magnets in different shapes.</v>
      </c>
      <c r="O73" s="10" t="str">
        <f t="shared" si="3"/>
        <v>LU005934.004</v>
      </c>
      <c r="P73" s="10" t="str">
        <f ca="1">IFERROR(__xludf.DUMMYFUNCTION("VLOOKUP(O73, IMPORTRANGE(""https://docs.google.com/spreadsheets/d/1yDAaXNsi4Mr5FtRQL4tbmSdIzhx6_m4wkOD7IG-k_eo/edit#gid=1336395716"", ""Science!M:N""), 2, FALSE)"),"Analyse the effect on the poles of magnets on breaking them into pieces. ")</f>
        <v xml:space="preserve">Analyse the effect on the poles of magnets on breaking them into pieces. </v>
      </c>
      <c r="Q73" s="10" t="str">
        <f t="shared" si="4"/>
        <v>LU005934.005</v>
      </c>
      <c r="R73" s="10" t="str">
        <f ca="1">IFERROR(__xludf.DUMMYFUNCTION("VLOOKUP(Q73, IMPORTRANGE(""https://docs.google.com/spreadsheets/d/1yDAaXNsi4Mr5FtRQL4tbmSdIzhx6_m4wkOD7IG-k_eo/edit#gid=1336395716"", ""Science!M:N""), 2, FALSE)"),"Evaluate the practical significance of knowing the poles of magnets in various applications.")</f>
        <v>Evaluate the practical significance of knowing the poles of magnets in various applications.</v>
      </c>
      <c r="S73" s="10" t="str">
        <f t="shared" si="5"/>
        <v>LU005934.006</v>
      </c>
      <c r="T73" s="10" t="str">
        <f ca="1">IFERROR(__xludf.DUMMYFUNCTION("VLOOKUP(S73, IMPORTRANGE(""https://docs.google.com/spreadsheets/d/1yDAaXNsi4Mr5FtRQL4tbmSdIzhx6_m4wkOD7IG-k_eo/edit#gid=1336395716"", ""Science!M:N""), 2, FALSE)"),"#N/A")</f>
        <v>#N/A</v>
      </c>
      <c r="U73" s="11">
        <f ca="1">IFERROR(__xludf.DUMMYFUNCTION("ArrayFormula(VLOOKUP(G73, IMPORTRANGE(""https://docs.google.com/spreadsheets/d/1p7R4vtkWt5VOBim4ltsDG9KTzSjrtKXsMtQGXPHyND0/edit#gid=795171502"", ""'Filter 30_05_2024'!A1:M2000""), {2, 3, 4, 5,6,7,8,9,10,11,12,13}, 0))"),6)</f>
        <v>6</v>
      </c>
      <c r="V73" s="11">
        <f ca="1">IFERROR(__xludf.DUMMYFUNCTION("""COMPUTED_VALUE"""),9)</f>
        <v>9</v>
      </c>
      <c r="W73" s="11">
        <f ca="1">IFERROR(__xludf.DUMMYFUNCTION("""COMPUTED_VALUE"""),2)</f>
        <v>2</v>
      </c>
      <c r="X73" s="11">
        <f ca="1">IFERROR(__xludf.DUMMYFUNCTION("""COMPUTED_VALUE"""),17)</f>
        <v>17</v>
      </c>
      <c r="Y73" s="11">
        <f ca="1">IFERROR(__xludf.DUMMYFUNCTION("""COMPUTED_VALUE"""),4)</f>
        <v>4</v>
      </c>
      <c r="Z73" s="12">
        <f ca="1">IFERROR(__xludf.DUMMYFUNCTION("""COMPUTED_VALUE"""),3)</f>
        <v>3</v>
      </c>
      <c r="AA73" s="12">
        <f ca="1">IFERROR(__xludf.DUMMYFUNCTION("""COMPUTED_VALUE"""),3)</f>
        <v>3</v>
      </c>
      <c r="AB73" s="12">
        <f ca="1">IFERROR(__xludf.DUMMYFUNCTION("""COMPUTED_VALUE"""),10)</f>
        <v>10</v>
      </c>
      <c r="AC73" s="12"/>
      <c r="AD73" s="12"/>
      <c r="AE73" s="12"/>
      <c r="AF73" s="12"/>
      <c r="AG73" s="13" t="str">
        <f ca="1">IFERROR(__xludf.DUMMYFUNCTION("ArrayFormula(VLOOKUP(G73, IMPORTRANGE(""https://docs.google.com/spreadsheets/d/1Co934fvtviyaRiMsrIlT05Jaq7iiYq07aLvRr35KA48/edit?gid=173865642#gid=173865642"", ""'G6_Sci_Pri_LU'!G2:V2000""), {3, 4, 5, 6, 7, 8, 9, 10, 11, 12, 13, 14, 15, 16}, 0))"),"LU005933")</f>
        <v>LU005933</v>
      </c>
      <c r="AH73" s="13" t="str">
        <f ca="1">IFERROR(__xludf.DUMMYFUNCTION("""COMPUTED_VALUE"""),"Identification of types of artificial magnets ")</f>
        <v xml:space="preserve">Identification of types of artificial magnets </v>
      </c>
      <c r="AI73" s="13" t="str">
        <f ca="1">IFERROR(__xludf.DUMMYFUNCTION("""COMPUTED_VALUE"""),"LU005161")</f>
        <v>LU005161</v>
      </c>
      <c r="AJ73" s="13" t="str">
        <f ca="1">IFERROR(__xludf.DUMMYFUNCTION("""COMPUTED_VALUE"""),"Magnetic and Non-magnetic material")</f>
        <v>Magnetic and Non-magnetic material</v>
      </c>
      <c r="AK73" s="13"/>
      <c r="AL73" s="13"/>
      <c r="AM73" s="13"/>
      <c r="AN73" s="13"/>
      <c r="AO73" s="13"/>
      <c r="AP73" s="13"/>
      <c r="AQ73" s="13"/>
      <c r="AR73" s="13"/>
      <c r="AS73" s="13"/>
      <c r="AT73" s="13"/>
    </row>
    <row r="74" spans="1:46">
      <c r="A74" s="8" t="s">
        <v>247</v>
      </c>
      <c r="B74" s="8" t="s">
        <v>47</v>
      </c>
      <c r="C74" s="8" t="s">
        <v>48</v>
      </c>
      <c r="D74" s="8" t="s">
        <v>1510</v>
      </c>
      <c r="E74" s="8" t="s">
        <v>1763</v>
      </c>
      <c r="F74" s="8" t="s">
        <v>1596</v>
      </c>
      <c r="G74" s="8" t="s">
        <v>1599</v>
      </c>
      <c r="H74" s="8" t="str">
        <f ca="1">IFERROR(__xludf.DUMMYFUNCTION("VLOOKUP(G74, IMPORTRANGE(""https://docs.google.com/spreadsheets/d/14deopnvwcrKtEGCKuYXdUHJbeLDZlkiSSWWT0g7x2pM/edit#gid=849066331"", ""LU List Science (Filter)!A:B""), 2, FALSE)"),"Distribution of magnetic strength in different magnets ")</f>
        <v xml:space="preserve">Distribution of magnetic strength in different magnets </v>
      </c>
      <c r="I74" s="10" t="str">
        <f t="shared" si="0"/>
        <v>LU005935.001</v>
      </c>
      <c r="J74" s="10" t="str">
        <f ca="1">IFERROR(__xludf.DUMMYFUNCTION("VLOOKUP(I74, IMPORTRANGE(""https://docs.google.com/spreadsheets/d/1yDAaXNsi4Mr5FtRQL4tbmSdIzhx6_m4wkOD7IG-k_eo/edit#gid=1336395716"", ""Science!M:N""), 2, FALSE)"),"Default")</f>
        <v>Default</v>
      </c>
      <c r="K74" s="10" t="str">
        <f t="shared" si="1"/>
        <v>LU005935.002</v>
      </c>
      <c r="L74" s="10" t="str">
        <f ca="1">IFERROR(__xludf.DUMMYFUNCTION("VLOOKUP(K74, IMPORTRANGE(""https://docs.google.com/spreadsheets/d/1yDAaXNsi4Mr5FtRQL4tbmSdIzhx6_m4wkOD7IG-k_eo/edit#gid=1336395716"", ""Science!M:N""), 2, FALSE)"),"Describe the distribution of magnetic strength within various types of magnets.")</f>
        <v>Describe the distribution of magnetic strength within various types of magnets.</v>
      </c>
      <c r="M74" s="10" t="str">
        <f t="shared" si="2"/>
        <v>LU005935.003</v>
      </c>
      <c r="N74" s="10" t="str">
        <f ca="1">IFERROR(__xludf.DUMMYFUNCTION("VLOOKUP(M74, IMPORTRANGE(""https://docs.google.com/spreadsheets/d/1yDAaXNsi4Mr5FtRQL4tbmSdIzhx6_m4wkOD7IG-k_eo/edit#gid=1336395716"", ""Science!M:N""), 2, FALSE)"),"Demonstrate an activity to conclude that maximum magnetic strength is at the poles.")</f>
        <v>Demonstrate an activity to conclude that maximum magnetic strength is at the poles.</v>
      </c>
      <c r="O74" s="10" t="str">
        <f t="shared" si="3"/>
        <v>LU005935.004</v>
      </c>
      <c r="P74" s="10" t="str">
        <f ca="1">IFERROR(__xludf.DUMMYFUNCTION("VLOOKUP(O74, IMPORTRANGE(""https://docs.google.com/spreadsheets/d/1yDAaXNsi4Mr5FtRQL4tbmSdIzhx6_m4wkOD7IG-k_eo/edit#gid=1336395716"", ""Science!M:N""), 2, FALSE)"),"Analyze the factors that influence the magnetic strength of magnets, such as size and material.")</f>
        <v>Analyze the factors that influence the magnetic strength of magnets, such as size and material.</v>
      </c>
      <c r="Q74" s="10" t="str">
        <f t="shared" si="4"/>
        <v>LU005935.005</v>
      </c>
      <c r="R74" s="10" t="str">
        <f ca="1">IFERROR(__xludf.DUMMYFUNCTION("VLOOKUP(Q74, IMPORTRANGE(""https://docs.google.com/spreadsheets/d/1yDAaXNsi4Mr5FtRQL4tbmSdIzhx6_m4wkOD7IG-k_eo/edit#gid=1336395716"", ""Science!M:N""), 2, FALSE)"),"Evaluate the implications of magnetic strength distribution on the performance of magnets in specific applications.")</f>
        <v>Evaluate the implications of magnetic strength distribution on the performance of magnets in specific applications.</v>
      </c>
      <c r="S74" s="10" t="str">
        <f t="shared" si="5"/>
        <v>LU005935.006</v>
      </c>
      <c r="T74" s="10" t="str">
        <f ca="1">IFERROR(__xludf.DUMMYFUNCTION("VLOOKUP(S74, IMPORTRANGE(""https://docs.google.com/spreadsheets/d/1yDAaXNsi4Mr5FtRQL4tbmSdIzhx6_m4wkOD7IG-k_eo/edit#gid=1336395716"", ""Science!M:N""), 2, FALSE)"),"#N/A")</f>
        <v>#N/A</v>
      </c>
      <c r="U74" s="11">
        <f ca="1">IFERROR(__xludf.DUMMYFUNCTION("ArrayFormula(VLOOKUP(G74, IMPORTRANGE(""https://docs.google.com/spreadsheets/d/1p7R4vtkWt5VOBim4ltsDG9KTzSjrtKXsMtQGXPHyND0/edit#gid=795171502"", ""'Filter 30_05_2024'!A1:M2000""), {2, 3, 4, 5,6,7,8,9,10,11,12,13}, 0))"),4)</f>
        <v>4</v>
      </c>
      <c r="V74" s="11">
        <f ca="1">IFERROR(__xludf.DUMMYFUNCTION("""COMPUTED_VALUE"""),10)</f>
        <v>10</v>
      </c>
      <c r="W74" s="11">
        <f ca="1">IFERROR(__xludf.DUMMYFUNCTION("""COMPUTED_VALUE"""),2)</f>
        <v>2</v>
      </c>
      <c r="X74" s="11">
        <f ca="1">IFERROR(__xludf.DUMMYFUNCTION("""COMPUTED_VALUE"""),16)</f>
        <v>16</v>
      </c>
      <c r="Y74" s="11">
        <f ca="1">IFERROR(__xludf.DUMMYFUNCTION("""COMPUTED_VALUE"""),4)</f>
        <v>4</v>
      </c>
      <c r="Z74" s="12">
        <f ca="1">IFERROR(__xludf.DUMMYFUNCTION("""COMPUTED_VALUE"""),3)</f>
        <v>3</v>
      </c>
      <c r="AA74" s="12">
        <f ca="1">IFERROR(__xludf.DUMMYFUNCTION("""COMPUTED_VALUE"""),1)</f>
        <v>1</v>
      </c>
      <c r="AB74" s="12">
        <f ca="1">IFERROR(__xludf.DUMMYFUNCTION("""COMPUTED_VALUE"""),8)</f>
        <v>8</v>
      </c>
      <c r="AC74" s="12"/>
      <c r="AD74" s="12"/>
      <c r="AE74" s="12"/>
      <c r="AF74" s="12"/>
      <c r="AG74" s="13" t="str">
        <f ca="1">IFERROR(__xludf.DUMMYFUNCTION("ArrayFormula(VLOOKUP(G74, IMPORTRANGE(""https://docs.google.com/spreadsheets/d/1Co934fvtviyaRiMsrIlT05Jaq7iiYq07aLvRr35KA48/edit?gid=173865642#gid=173865642"", ""'G6_Sci_Pri_LU'!G2:V2000""), {3, 4, 5, 6, 7, 8, 9, 10, 11, 12, 13, 14, 15, 16}, 0))"),"LU005934")</f>
        <v>LU005934</v>
      </c>
      <c r="AH74" s="13" t="str">
        <f ca="1">IFERROR(__xludf.DUMMYFUNCTION("""COMPUTED_VALUE"""),"Identification of poles of different magnets")</f>
        <v>Identification of poles of different magnets</v>
      </c>
      <c r="AI74" s="13" t="str">
        <f ca="1">IFERROR(__xludf.DUMMYFUNCTION("""COMPUTED_VALUE"""),"LU005933")</f>
        <v>LU005933</v>
      </c>
      <c r="AJ74" s="13" t="str">
        <f ca="1">IFERROR(__xludf.DUMMYFUNCTION("""COMPUTED_VALUE"""),"Identification of types of artificial magnets ")</f>
        <v xml:space="preserve">Identification of types of artificial magnets </v>
      </c>
      <c r="AK74" s="13"/>
      <c r="AL74" s="13"/>
      <c r="AM74" s="13"/>
      <c r="AN74" s="13"/>
      <c r="AO74" s="13"/>
      <c r="AP74" s="13"/>
      <c r="AQ74" s="13"/>
      <c r="AR74" s="13"/>
      <c r="AS74" s="13"/>
      <c r="AT74" s="13"/>
    </row>
    <row r="75" spans="1:46">
      <c r="A75" s="8" t="s">
        <v>247</v>
      </c>
      <c r="B75" s="8" t="s">
        <v>47</v>
      </c>
      <c r="C75" s="8" t="s">
        <v>48</v>
      </c>
      <c r="D75" s="8" t="s">
        <v>1510</v>
      </c>
      <c r="E75" s="8" t="s">
        <v>1763</v>
      </c>
      <c r="F75" s="8" t="s">
        <v>1601</v>
      </c>
      <c r="G75" s="8" t="s">
        <v>1602</v>
      </c>
      <c r="H75" s="8" t="str">
        <f ca="1">IFERROR(__xludf.DUMMYFUNCTION("VLOOKUP(G75, IMPORTRANGE(""https://docs.google.com/spreadsheets/d/14deopnvwcrKtEGCKuYXdUHJbeLDZlkiSSWWT0g7x2pM/edit#gid=849066331"", ""LU List Science (Filter)!A:B""), 2, FALSE)"),"Directive Property of a Bar Magnet")</f>
        <v>Directive Property of a Bar Magnet</v>
      </c>
      <c r="I75" s="10" t="str">
        <f t="shared" si="0"/>
        <v>LU005936.001</v>
      </c>
      <c r="J75" s="10" t="str">
        <f ca="1">IFERROR(__xludf.DUMMYFUNCTION("VLOOKUP(I75, IMPORTRANGE(""https://docs.google.com/spreadsheets/d/1yDAaXNsi4Mr5FtRQL4tbmSdIzhx6_m4wkOD7IG-k_eo/edit#gid=1336395716"", ""Science!M:N""), 2, FALSE)"),"Define and explain the concept of the directive property of a bar magnet.")</f>
        <v>Define and explain the concept of the directive property of a bar magnet.</v>
      </c>
      <c r="K75" s="10" t="str">
        <f t="shared" si="1"/>
        <v>LU005936.002</v>
      </c>
      <c r="L75" s="10" t="str">
        <f ca="1">IFERROR(__xludf.DUMMYFUNCTION("VLOOKUP(K75, IMPORTRANGE(""https://docs.google.com/spreadsheets/d/1yDAaXNsi4Mr5FtRQL4tbmSdIzhx6_m4wkOD7IG-k_eo/edit#gid=1336395716"", ""Science!M:N""), 2, FALSE)"),"Describe how a freely suspended bar magnet aligns itself with the Earth's magnetic field.")</f>
        <v>Describe how a freely suspended bar magnet aligns itself with the Earth's magnetic field.</v>
      </c>
      <c r="M75" s="10" t="str">
        <f t="shared" si="2"/>
        <v>LU005936.003</v>
      </c>
      <c r="N75" s="10" t="str">
        <f ca="1">IFERROR(__xludf.DUMMYFUNCTION("VLOOKUP(M75, IMPORTRANGE(""https://docs.google.com/spreadsheets/d/1yDAaXNsi4Mr5FtRQL4tbmSdIzhx6_m4wkOD7IG-k_eo/edit#gid=1336395716"", ""Science!M:N""), 2, FALSE)"),"Analyze the role of the Earth's magnetic field in determining the orientation of a bar magnet.")</f>
        <v>Analyze the role of the Earth's magnetic field in determining the orientation of a bar magnet.</v>
      </c>
      <c r="O75" s="10" t="str">
        <f t="shared" si="3"/>
        <v>LU005936.004</v>
      </c>
      <c r="P75" s="10" t="str">
        <f ca="1">IFERROR(__xludf.DUMMYFUNCTION("VLOOKUP(O75, IMPORTRANGE(""https://docs.google.com/spreadsheets/d/1yDAaXNsi4Mr5FtRQL4tbmSdIzhx6_m4wkOD7IG-k_eo/edit#gid=1336395716"", ""Science!M:N""), 2, FALSE)"),"Explain the practical significance of the directive property in navigation and compass design.")</f>
        <v>Explain the practical significance of the directive property in navigation and compass design.</v>
      </c>
      <c r="Q75" s="10" t="str">
        <f t="shared" si="4"/>
        <v>LU005936.005</v>
      </c>
      <c r="R75" s="10" t="str">
        <f ca="1">IFERROR(__xludf.DUMMYFUNCTION("VLOOKUP(Q75, IMPORTRANGE(""https://docs.google.com/spreadsheets/d/1yDAaXNsi4Mr5FtRQL4tbmSdIzhx6_m4wkOD7IG-k_eo/edit#gid=1336395716"", ""Science!M:N""), 2, FALSE)"),"Evaluate the factors that can affect the effectiveness of a bar magnet as a compass.")</f>
        <v>Evaluate the factors that can affect the effectiveness of a bar magnet as a compass.</v>
      </c>
      <c r="S75" s="10" t="str">
        <f t="shared" si="5"/>
        <v>LU005936.006</v>
      </c>
      <c r="T75" s="10" t="str">
        <f ca="1">IFERROR(__xludf.DUMMYFUNCTION("VLOOKUP(S75, IMPORTRANGE(""https://docs.google.com/spreadsheets/d/1yDAaXNsi4Mr5FtRQL4tbmSdIzhx6_m4wkOD7IG-k_eo/edit#gid=1336395716"", ""Science!M:N""), 2, FALSE)"),"#N/A")</f>
        <v>#N/A</v>
      </c>
      <c r="U75" s="38">
        <f ca="1">IFERROR(__xludf.DUMMYFUNCTION("ArrayFormula(VLOOKUP(G75, IMPORTRANGE(""https://docs.google.com/spreadsheets/d/1p7R4vtkWt5VOBim4ltsDG9KTzSjrtKXsMtQGXPHyND0/edit#gid=795171502"", ""'Filter 30_05_2024'!A1:M2000""), {2, 3, 4, 5,6,7,8,9,10,11,12,13}, 0))"),3)</f>
        <v>3</v>
      </c>
      <c r="V75" s="11">
        <f ca="1">IFERROR(__xludf.DUMMYFUNCTION("""COMPUTED_VALUE"""),6)</f>
        <v>6</v>
      </c>
      <c r="W75" s="11">
        <f ca="1">IFERROR(__xludf.DUMMYFUNCTION("""COMPUTED_VALUE"""),2)</f>
        <v>2</v>
      </c>
      <c r="X75" s="11">
        <f ca="1">IFERROR(__xludf.DUMMYFUNCTION("""COMPUTED_VALUE"""),11)</f>
        <v>11</v>
      </c>
      <c r="Y75" s="11">
        <f ca="1">IFERROR(__xludf.DUMMYFUNCTION("""COMPUTED_VALUE"""),4)</f>
        <v>4</v>
      </c>
      <c r="Z75" s="115">
        <f ca="1">IFERROR(__xludf.DUMMYFUNCTION("""COMPUTED_VALUE"""),1)</f>
        <v>1</v>
      </c>
      <c r="AA75" s="12">
        <f ca="1">IFERROR(__xludf.DUMMYFUNCTION("""COMPUTED_VALUE"""),1)</f>
        <v>1</v>
      </c>
      <c r="AB75" s="12">
        <f ca="1">IFERROR(__xludf.DUMMYFUNCTION("""COMPUTED_VALUE"""),6)</f>
        <v>6</v>
      </c>
      <c r="AC75" s="12"/>
      <c r="AD75" s="12"/>
      <c r="AE75" s="12"/>
      <c r="AF75" s="12"/>
      <c r="AG75" s="13" t="str">
        <f ca="1">IFERROR(__xludf.DUMMYFUNCTION("ArrayFormula(VLOOKUP(G75, IMPORTRANGE(""https://docs.google.com/spreadsheets/d/1Co934fvtviyaRiMsrIlT05Jaq7iiYq07aLvRr35KA48/edit?gid=173865642#gid=173865642"", ""'G6_Sci_Pri_LU'!G2:V2000""), {3, 4, 5, 6, 7, 8, 9, 10, 11, 12, 13, 14, 15, 16}, 0))"),"LU005934")</f>
        <v>LU005934</v>
      </c>
      <c r="AH75" s="13" t="str">
        <f ca="1">IFERROR(__xludf.DUMMYFUNCTION("""COMPUTED_VALUE"""),"Identification of poles of different magnets")</f>
        <v>Identification of poles of different magnets</v>
      </c>
      <c r="AI75" s="13" t="str">
        <f ca="1">IFERROR(__xludf.DUMMYFUNCTION("""COMPUTED_VALUE"""),"LU005933")</f>
        <v>LU005933</v>
      </c>
      <c r="AJ75" s="13" t="str">
        <f ca="1">IFERROR(__xludf.DUMMYFUNCTION("""COMPUTED_VALUE"""),"Identification of types of artificial magnets ")</f>
        <v xml:space="preserve">Identification of types of artificial magnets </v>
      </c>
      <c r="AK75" s="13"/>
      <c r="AL75" s="13"/>
      <c r="AM75" s="13"/>
      <c r="AN75" s="13"/>
      <c r="AO75" s="13"/>
      <c r="AP75" s="13"/>
      <c r="AQ75" s="13"/>
      <c r="AR75" s="13"/>
      <c r="AS75" s="13"/>
      <c r="AT75" s="13"/>
    </row>
    <row r="76" spans="1:46">
      <c r="A76" s="8" t="s">
        <v>247</v>
      </c>
      <c r="B76" s="8" t="s">
        <v>47</v>
      </c>
      <c r="C76" s="8" t="s">
        <v>48</v>
      </c>
      <c r="D76" s="8" t="s">
        <v>1510</v>
      </c>
      <c r="E76" s="8" t="s">
        <v>1763</v>
      </c>
      <c r="F76" s="8" t="s">
        <v>1601</v>
      </c>
      <c r="G76" s="8" t="s">
        <v>1603</v>
      </c>
      <c r="H76" s="8" t="str">
        <f ca="1">IFERROR(__xludf.DUMMYFUNCTION("VLOOKUP(G76, IMPORTRANGE(""https://docs.google.com/spreadsheets/d/14deopnvwcrKtEGCKuYXdUHJbeLDZlkiSSWWT0g7x2pM/edit#gid=849066331"", ""LU List Science (Filter)!A:B""), 2, FALSE)"),"Magnetic compass and its uses")</f>
        <v>Magnetic compass and its uses</v>
      </c>
      <c r="I76" s="10" t="str">
        <f t="shared" si="0"/>
        <v>LU005937.001</v>
      </c>
      <c r="J76" s="10" t="str">
        <f ca="1">IFERROR(__xludf.DUMMYFUNCTION("VLOOKUP(I76, IMPORTRANGE(""https://docs.google.com/spreadsheets/d/1yDAaXNsi4Mr5FtRQL4tbmSdIzhx6_m4wkOD7IG-k_eo/edit#gid=1336395716"", ""Science!M:N""), 2, FALSE)"),"Identify and list the components of a magnetic compass, including the magnetic needle and housing.")</f>
        <v>Identify and list the components of a magnetic compass, including the magnetic needle and housing.</v>
      </c>
      <c r="K76" s="10" t="str">
        <f t="shared" si="1"/>
        <v>LU005937.002</v>
      </c>
      <c r="L76" s="10" t="str">
        <f ca="1">IFERROR(__xludf.DUMMYFUNCTION("VLOOKUP(K76, IMPORTRANGE(""https://docs.google.com/spreadsheets/d/1yDAaXNsi4Mr5FtRQL4tbmSdIzhx6_m4wkOD7IG-k_eo/edit#gid=1336395716"", ""Science!M:N""), 2, FALSE)"),"Explain the principle of operation of a magnetic compass, highlighting the role of the Earth's magnetic field.")</f>
        <v>Explain the principle of operation of a magnetic compass, highlighting the role of the Earth's magnetic field.</v>
      </c>
      <c r="M76" s="10" t="str">
        <f t="shared" si="2"/>
        <v>LU005937.003</v>
      </c>
      <c r="N76" s="10" t="str">
        <f ca="1">IFERROR(__xludf.DUMMYFUNCTION("VLOOKUP(M76, IMPORTRANGE(""https://docs.google.com/spreadsheets/d/1yDAaXNsi4Mr5FtRQL4tbmSdIzhx6_m4wkOD7IG-k_eo/edit#gid=1336395716"", ""Science!M:N""), 2, FALSE)"),"Describe the cardinal directions (north, south, east, west) indicated by a magnetic compass.")</f>
        <v>Describe the cardinal directions (north, south, east, west) indicated by a magnetic compass.</v>
      </c>
      <c r="O76" s="10" t="str">
        <f t="shared" si="3"/>
        <v>LU005937.004</v>
      </c>
      <c r="P76" s="10" t="str">
        <f ca="1">IFERROR(__xludf.DUMMYFUNCTION("VLOOKUP(O76, IMPORTRANGE(""https://docs.google.com/spreadsheets/d/1yDAaXNsi4Mr5FtRQL4tbmSdIzhx6_m4wkOD7IG-k_eo/edit#gid=1336395716"", ""Science!M:N""), 2, FALSE)"),"Analyze the various applications of magnetic compasses in navigation, orientation, and map reading.")</f>
        <v>Analyze the various applications of magnetic compasses in navigation, orientation, and map reading.</v>
      </c>
      <c r="Q76" s="10" t="str">
        <f t="shared" si="4"/>
        <v>LU005937.005</v>
      </c>
      <c r="R76" s="10" t="str">
        <f ca="1">IFERROR(__xludf.DUMMYFUNCTION("VLOOKUP(Q76, IMPORTRANGE(""https://docs.google.com/spreadsheets/d/1yDAaXNsi4Mr5FtRQL4tbmSdIzhx6_m4wkOD7IG-k_eo/edit#gid=1336395716"", ""Science!M:N""), 2, FALSE)"),"Evaluate the importance of using a magnetic compass in outdoor activities and maritime navigation.")</f>
        <v>Evaluate the importance of using a magnetic compass in outdoor activities and maritime navigation.</v>
      </c>
      <c r="S76" s="10" t="str">
        <f t="shared" si="5"/>
        <v>LU005937.006</v>
      </c>
      <c r="T76" s="10" t="str">
        <f ca="1">IFERROR(__xludf.DUMMYFUNCTION("VLOOKUP(S76, IMPORTRANGE(""https://docs.google.com/spreadsheets/d/1yDAaXNsi4Mr5FtRQL4tbmSdIzhx6_m4wkOD7IG-k_eo/edit#gid=1336395716"", ""Science!M:N""), 2, FALSE)"),"#N/A")</f>
        <v>#N/A</v>
      </c>
      <c r="U76" s="11">
        <f ca="1">IFERROR(__xludf.DUMMYFUNCTION("ArrayFormula(VLOOKUP(G76, IMPORTRANGE(""https://docs.google.com/spreadsheets/d/1p7R4vtkWt5VOBim4ltsDG9KTzSjrtKXsMtQGXPHyND0/edit#gid=795171502"", ""'Filter 30_05_2024'!A1:M2000""), {2, 3, 4, 5,6,7,8,9,10,11,12,13}, 0))"),7)</f>
        <v>7</v>
      </c>
      <c r="V76" s="38">
        <f ca="1">IFERROR(__xludf.DUMMYFUNCTION("""COMPUTED_VALUE"""),2)</f>
        <v>2</v>
      </c>
      <c r="W76" s="11">
        <f ca="1">IFERROR(__xludf.DUMMYFUNCTION("""COMPUTED_VALUE"""),2)</f>
        <v>2</v>
      </c>
      <c r="X76" s="11">
        <f ca="1">IFERROR(__xludf.DUMMYFUNCTION("""COMPUTED_VALUE"""),11)</f>
        <v>11</v>
      </c>
      <c r="Y76" s="11">
        <f ca="1">IFERROR(__xludf.DUMMYFUNCTION("""COMPUTED_VALUE"""),4)</f>
        <v>4</v>
      </c>
      <c r="Z76" s="12">
        <f ca="1">IFERROR(__xludf.DUMMYFUNCTION("""COMPUTED_VALUE"""),3)</f>
        <v>3</v>
      </c>
      <c r="AA76" s="115">
        <f ca="1">IFERROR(__xludf.DUMMYFUNCTION("""COMPUTED_VALUE"""),1)</f>
        <v>1</v>
      </c>
      <c r="AB76" s="12">
        <f ca="1">IFERROR(__xludf.DUMMYFUNCTION("""COMPUTED_VALUE"""),8)</f>
        <v>8</v>
      </c>
      <c r="AC76" s="12">
        <f ca="1">IFERROR(__xludf.DUMMYFUNCTION("""COMPUTED_VALUE"""),1)</f>
        <v>1</v>
      </c>
      <c r="AD76" s="12"/>
      <c r="AE76" s="12"/>
      <c r="AF76" s="12">
        <f ca="1">IFERROR(__xludf.DUMMYFUNCTION("""COMPUTED_VALUE"""),1)</f>
        <v>1</v>
      </c>
      <c r="AG76" s="13" t="str">
        <f ca="1">IFERROR(__xludf.DUMMYFUNCTION("ArrayFormula(VLOOKUP(G76, IMPORTRANGE(""https://docs.google.com/spreadsheets/d/1Co934fvtviyaRiMsrIlT05Jaq7iiYq07aLvRr35KA48/edit?gid=173865642#gid=173865642"", ""'G6_Sci_Pri_LU'!G2:V2000""), {3, 4, 5, 6, 7, 8, 9, 10, 11, 12, 13, 14, 15, 16}, 0))"),"LU005936")</f>
        <v>LU005936</v>
      </c>
      <c r="AH76" s="13" t="str">
        <f ca="1">IFERROR(__xludf.DUMMYFUNCTION("""COMPUTED_VALUE"""),"Directive Property of a Bar Magnet")</f>
        <v>Directive Property of a Bar Magnet</v>
      </c>
      <c r="AI76" s="13" t="str">
        <f ca="1">IFERROR(__xludf.DUMMYFUNCTION("""COMPUTED_VALUE"""),"LU005934")</f>
        <v>LU005934</v>
      </c>
      <c r="AJ76" s="13" t="str">
        <f ca="1">IFERROR(__xludf.DUMMYFUNCTION("""COMPUTED_VALUE"""),"Identification of poles of different magnets")</f>
        <v>Identification of poles of different magnets</v>
      </c>
      <c r="AK76" s="13" t="str">
        <f ca="1">IFERROR(__xludf.DUMMYFUNCTION("""COMPUTED_VALUE"""),"LU005933")</f>
        <v>LU005933</v>
      </c>
      <c r="AL76" s="13" t="str">
        <f ca="1">IFERROR(__xludf.DUMMYFUNCTION("""COMPUTED_VALUE"""),"Identification of types of artificial magnets ")</f>
        <v xml:space="preserve">Identification of types of artificial magnets </v>
      </c>
      <c r="AM76" s="13"/>
      <c r="AN76" s="13"/>
      <c r="AO76" s="13"/>
      <c r="AP76" s="13"/>
      <c r="AQ76" s="13"/>
      <c r="AR76" s="13"/>
      <c r="AS76" s="13"/>
      <c r="AT76" s="13"/>
    </row>
    <row r="77" spans="1:46">
      <c r="A77" s="8" t="s">
        <v>247</v>
      </c>
      <c r="B77" s="8" t="s">
        <v>47</v>
      </c>
      <c r="C77" s="8" t="s">
        <v>48</v>
      </c>
      <c r="D77" s="8" t="s">
        <v>1510</v>
      </c>
      <c r="E77" s="8" t="s">
        <v>1763</v>
      </c>
      <c r="F77" s="8" t="s">
        <v>1605</v>
      </c>
      <c r="G77" s="8" t="s">
        <v>1606</v>
      </c>
      <c r="H77" s="8" t="str">
        <f ca="1">IFERROR(__xludf.DUMMYFUNCTION("VLOOKUP(G77, IMPORTRANGE(""https://docs.google.com/spreadsheets/d/14deopnvwcrKtEGCKuYXdUHJbeLDZlkiSSWWT0g7x2pM/edit#gid=849066331"", ""LU List Science (Filter)!A:B""), 2, FALSE)"),"Lexical explanation of Permanent and temporary magnet")</f>
        <v>Lexical explanation of Permanent and temporary magnet</v>
      </c>
      <c r="I77" s="10" t="str">
        <f t="shared" si="0"/>
        <v>LU005160.001</v>
      </c>
      <c r="J77" s="10" t="str">
        <f ca="1">IFERROR(__xludf.DUMMYFUNCTION("VLOOKUP(I77, IMPORTRANGE(""https://docs.google.com/spreadsheets/d/1yDAaXNsi4Mr5FtRQL4tbmSdIzhx6_m4wkOD7IG-k_eo/edit#gid=1336395716"", ""Science!M:N""), 2, FALSE)"),"Define the term ""permanent"" and ""temporary"" magnets.")</f>
        <v>Define the term "permanent" and "temporary" magnets.</v>
      </c>
      <c r="K77" s="10" t="str">
        <f t="shared" si="1"/>
        <v>LU005160.002</v>
      </c>
      <c r="L77" s="10" t="str">
        <f ca="1">IFERROR(__xludf.DUMMYFUNCTION("VLOOKUP(K77, IMPORTRANGE(""https://docs.google.com/spreadsheets/d/1yDAaXNsi4Mr5FtRQL4tbmSdIzhx6_m4wkOD7IG-k_eo/edit#gid=1336395716"", ""Science!M:N""), 2, FALSE)"),"Explain the differences between permanent and temporary magnets in terms of magnetic strength and longevity.")</f>
        <v>Explain the differences between permanent and temporary magnets in terms of magnetic strength and longevity.</v>
      </c>
      <c r="M77" s="10" t="str">
        <f t="shared" si="2"/>
        <v>LU005160.003</v>
      </c>
      <c r="N77" s="10" t="str">
        <f ca="1">IFERROR(__xludf.DUMMYFUNCTION("VLOOKUP(M77, IMPORTRANGE(""https://docs.google.com/spreadsheets/d/1yDAaXNsi4Mr5FtRQL4tbmSdIzhx6_m4wkOD7IG-k_eo/edit#gid=1336395716"", ""Science!M:N""), 2, FALSE)"),"Demonstrate the creation of a temporary magnet using an iron nail and a permanent magnet.")</f>
        <v>Demonstrate the creation of a temporary magnet using an iron nail and a permanent magnet.</v>
      </c>
      <c r="O77" s="10" t="str">
        <f t="shared" si="3"/>
        <v>LU005160.004</v>
      </c>
      <c r="P77" s="10" t="str">
        <f ca="1">IFERROR(__xludf.DUMMYFUNCTION("VLOOKUP(O77, IMPORTRANGE(""https://docs.google.com/spreadsheets/d/1yDAaXNsi4Mr5FtRQL4tbmSdIzhx6_m4wkOD7IG-k_eo/edit#gid=1336395716"", ""Science!M:N""), 2, FALSE)"),"#N/A")</f>
        <v>#N/A</v>
      </c>
      <c r="Q77" s="10" t="str">
        <f t="shared" si="4"/>
        <v>LU005160.005</v>
      </c>
      <c r="R77" s="10" t="str">
        <f ca="1">IFERROR(__xludf.DUMMYFUNCTION("VLOOKUP(Q77, IMPORTRANGE(""https://docs.google.com/spreadsheets/d/1yDAaXNsi4Mr5FtRQL4tbmSdIzhx6_m4wkOD7IG-k_eo/edit#gid=1336395716"", ""Science!M:N""), 2, FALSE)"),"Judge when it would be more appropriate to use a permanent magnet over a temporary one in practical scenarios.")</f>
        <v>Judge when it would be more appropriate to use a permanent magnet over a temporary one in practical scenarios.</v>
      </c>
      <c r="S77" s="10" t="str">
        <f t="shared" si="5"/>
        <v>LU005160.006</v>
      </c>
      <c r="T77" s="10" t="str">
        <f ca="1">IFERROR(__xludf.DUMMYFUNCTION("VLOOKUP(S77, IMPORTRANGE(""https://docs.google.com/spreadsheets/d/1yDAaXNsi4Mr5FtRQL4tbmSdIzhx6_m4wkOD7IG-k_eo/edit#gid=1336395716"", ""Science!M:N""), 2, FALSE)"),"#N/A")</f>
        <v>#N/A</v>
      </c>
      <c r="U77" s="11">
        <f ca="1">IFERROR(__xludf.DUMMYFUNCTION("ArrayFormula(VLOOKUP(G77, IMPORTRANGE(""https://docs.google.com/spreadsheets/d/1p7R4vtkWt5VOBim4ltsDG9KTzSjrtKXsMtQGXPHyND0/edit#gid=795171502"", ""'Filter 30_05_2024'!A1:M2000""), {2, 3, 4, 5,6,7,8,9,10,11,12,13}, 0))"),4)</f>
        <v>4</v>
      </c>
      <c r="V77" s="11">
        <f ca="1">IFERROR(__xludf.DUMMYFUNCTION("""COMPUTED_VALUE"""),6)</f>
        <v>6</v>
      </c>
      <c r="W77" s="11">
        <f ca="1">IFERROR(__xludf.DUMMYFUNCTION("""COMPUTED_VALUE"""),2)</f>
        <v>2</v>
      </c>
      <c r="X77" s="11">
        <f ca="1">IFERROR(__xludf.DUMMYFUNCTION("""COMPUTED_VALUE"""),12)</f>
        <v>12</v>
      </c>
      <c r="Y77" s="11">
        <f ca="1">IFERROR(__xludf.DUMMYFUNCTION("""COMPUTED_VALUE"""),5)</f>
        <v>5</v>
      </c>
      <c r="Z77" s="12">
        <f ca="1">IFERROR(__xludf.DUMMYFUNCTION("""COMPUTED_VALUE"""),3)</f>
        <v>3</v>
      </c>
      <c r="AA77" s="12">
        <f ca="1">IFERROR(__xludf.DUMMYFUNCTION("""COMPUTED_VALUE"""),1)</f>
        <v>1</v>
      </c>
      <c r="AB77" s="12">
        <f ca="1">IFERROR(__xludf.DUMMYFUNCTION("""COMPUTED_VALUE"""),9)</f>
        <v>9</v>
      </c>
      <c r="AC77" s="12"/>
      <c r="AD77" s="12"/>
      <c r="AE77" s="12"/>
      <c r="AF77" s="12"/>
      <c r="AG77" s="13" t="str">
        <f ca="1">IFERROR(__xludf.DUMMYFUNCTION("ArrayFormula(VLOOKUP(G77, IMPORTRANGE(""https://docs.google.com/spreadsheets/d/1Co934fvtviyaRiMsrIlT05Jaq7iiYq07aLvRr35KA48/edit?gid=173865642#gid=173865642"", ""'G6_Sci_Pri_LU'!G2:V2000""), {3, 4, 5, 6, 7, 8, 9, 10, 11, 12, 13, 14, 15, 16}, 0))"),"LU005161")</f>
        <v>LU005161</v>
      </c>
      <c r="AH77" s="13" t="str">
        <f ca="1">IFERROR(__xludf.DUMMYFUNCTION("""COMPUTED_VALUE"""),"Magnetic and Non-magnetic material")</f>
        <v>Magnetic and Non-magnetic material</v>
      </c>
      <c r="AI77" s="13" t="str">
        <f ca="1">IFERROR(__xludf.DUMMYFUNCTION("""COMPUTED_VALUE"""),"LU005933")</f>
        <v>LU005933</v>
      </c>
      <c r="AJ77" s="13" t="str">
        <f ca="1">IFERROR(__xludf.DUMMYFUNCTION("""COMPUTED_VALUE"""),"Identification of types of artificial magnets ")</f>
        <v xml:space="preserve">Identification of types of artificial magnets </v>
      </c>
      <c r="AK77" s="13"/>
      <c r="AL77" s="13"/>
      <c r="AM77" s="13"/>
      <c r="AN77" s="13"/>
      <c r="AO77" s="13"/>
      <c r="AP77" s="13"/>
      <c r="AQ77" s="13"/>
      <c r="AR77" s="13"/>
      <c r="AS77" s="13"/>
      <c r="AT77" s="13"/>
    </row>
    <row r="78" spans="1:46">
      <c r="A78" s="8" t="s">
        <v>247</v>
      </c>
      <c r="B78" s="8" t="s">
        <v>47</v>
      </c>
      <c r="C78" s="8" t="s">
        <v>48</v>
      </c>
      <c r="D78" s="8" t="s">
        <v>1510</v>
      </c>
      <c r="E78" s="8" t="s">
        <v>1763</v>
      </c>
      <c r="F78" s="8" t="s">
        <v>1608</v>
      </c>
      <c r="G78" s="8" t="s">
        <v>1609</v>
      </c>
      <c r="H78" s="8" t="str">
        <f ca="1">IFERROR(__xludf.DUMMYFUNCTION("VLOOKUP(G78, IMPORTRANGE(""https://docs.google.com/spreadsheets/d/14deopnvwcrKtEGCKuYXdUHJbeLDZlkiSSWWT0g7x2pM/edit#gid=849066331"", ""LU List Science (Filter)!A:B""), 2, FALSE)"),"Interaction between magnets")</f>
        <v>Interaction between magnets</v>
      </c>
      <c r="I78" s="10" t="str">
        <f t="shared" si="0"/>
        <v>LU005159.001</v>
      </c>
      <c r="J78" s="10" t="str">
        <f ca="1">IFERROR(__xludf.DUMMYFUNCTION("VLOOKUP(I78, IMPORTRANGE(""https://docs.google.com/spreadsheets/d/1yDAaXNsi4Mr5FtRQL4tbmSdIzhx6_m4wkOD7IG-k_eo/edit#gid=1336395716"", ""Science!M:N""), 2, FALSE)"),"State the fundamental laws of how magnets interact (like poles repel and unlike poles attract).")</f>
        <v>State the fundamental laws of how magnets interact (like poles repel and unlike poles attract).</v>
      </c>
      <c r="K78" s="10" t="str">
        <f t="shared" si="1"/>
        <v>LU005159.002</v>
      </c>
      <c r="L78" s="10" t="str">
        <f ca="1">IFERROR(__xludf.DUMMYFUNCTION("VLOOKUP(K78, IMPORTRANGE(""https://docs.google.com/spreadsheets/d/1yDAaXNsi4Mr5FtRQL4tbmSdIzhx6_m4wkOD7IG-k_eo/edit#gid=1336395716"", ""Science!M:N""), 2, FALSE)"),"Describe the behavior of magnets when different poles are brought close to each other.")</f>
        <v>Describe the behavior of magnets when different poles are brought close to each other.</v>
      </c>
      <c r="M78" s="10" t="str">
        <f t="shared" si="2"/>
        <v>LU005159.003</v>
      </c>
      <c r="N78" s="10" t="str">
        <f ca="1">IFERROR(__xludf.DUMMYFUNCTION("VLOOKUP(M78, IMPORTRANGE(""https://docs.google.com/spreadsheets/d/1yDAaXNsi4Mr5FtRQL4tbmSdIzhx6_m4wkOD7IG-k_eo/edit#gid=1336395716"", ""Science!M:N""), 2, FALSE)"),"Demonstrate the repulsion and attraction between different poles of magnets using a simple experiment.")</f>
        <v>Demonstrate the repulsion and attraction between different poles of magnets using a simple experiment.</v>
      </c>
      <c r="O78" s="10" t="str">
        <f t="shared" si="3"/>
        <v>LU005159.004</v>
      </c>
      <c r="P78" s="10" t="str">
        <f ca="1">IFERROR(__xludf.DUMMYFUNCTION("VLOOKUP(O78, IMPORTRANGE(""https://docs.google.com/spreadsheets/d/1yDAaXNsi4Mr5FtRQL4tbmSdIzhx6_m4wkOD7IG-k_eo/edit#gid=1336395716"", ""Science!M:N""), 2, FALSE)"),"Compare the strength of interaction when different types and sizes of magnets are used.")</f>
        <v>Compare the strength of interaction when different types and sizes of magnets are used.</v>
      </c>
      <c r="Q78" s="10" t="str">
        <f t="shared" si="4"/>
        <v>LU005159.005</v>
      </c>
      <c r="R78" s="10" t="str">
        <f ca="1">IFERROR(__xludf.DUMMYFUNCTION("VLOOKUP(Q78, IMPORTRANGE(""https://docs.google.com/spreadsheets/d/1yDAaXNsi4Mr5FtRQL4tbmSdIzhx6_m4wkOD7IG-k_eo/edit#gid=1336395716"", ""Science!M:N""), 2, FALSE)"),"#N/A")</f>
        <v>#N/A</v>
      </c>
      <c r="S78" s="10" t="str">
        <f t="shared" si="5"/>
        <v>LU005159.006</v>
      </c>
      <c r="T78" s="10" t="str">
        <f ca="1">IFERROR(__xludf.DUMMYFUNCTION("VLOOKUP(S78, IMPORTRANGE(""https://docs.google.com/spreadsheets/d/1yDAaXNsi4Mr5FtRQL4tbmSdIzhx6_m4wkOD7IG-k_eo/edit#gid=1336395716"", ""Science!M:N""), 2, FALSE)"),"Devise a simple game or activity that uses the principles of magnetic interaction.")</f>
        <v>Devise a simple game or activity that uses the principles of magnetic interaction.</v>
      </c>
      <c r="U78" s="11">
        <f ca="1">IFERROR(__xludf.DUMMYFUNCTION("ArrayFormula(VLOOKUP(G78, IMPORTRANGE(""https://docs.google.com/spreadsheets/d/1p7R4vtkWt5VOBim4ltsDG9KTzSjrtKXsMtQGXPHyND0/edit#gid=795171502"", ""'Filter 30_05_2024'!A1:M2000""), {2, 3, 4, 5,6,7,8,9,10,11,12,13}, 0))"),7)</f>
        <v>7</v>
      </c>
      <c r="V78" s="11">
        <f ca="1">IFERROR(__xludf.DUMMYFUNCTION("""COMPUTED_VALUE"""),15)</f>
        <v>15</v>
      </c>
      <c r="W78" s="11">
        <f ca="1">IFERROR(__xludf.DUMMYFUNCTION("""COMPUTED_VALUE"""),3)</f>
        <v>3</v>
      </c>
      <c r="X78" s="11">
        <f ca="1">IFERROR(__xludf.DUMMYFUNCTION("""COMPUTED_VALUE"""),25)</f>
        <v>25</v>
      </c>
      <c r="Y78" s="11">
        <f ca="1">IFERROR(__xludf.DUMMYFUNCTION("""COMPUTED_VALUE"""),6)</f>
        <v>6</v>
      </c>
      <c r="Z78" s="12">
        <f ca="1">IFERROR(__xludf.DUMMYFUNCTION("""COMPUTED_VALUE"""),6)</f>
        <v>6</v>
      </c>
      <c r="AA78" s="12">
        <f ca="1">IFERROR(__xludf.DUMMYFUNCTION("""COMPUTED_VALUE"""),1)</f>
        <v>1</v>
      </c>
      <c r="AB78" s="12">
        <f ca="1">IFERROR(__xludf.DUMMYFUNCTION("""COMPUTED_VALUE"""),13)</f>
        <v>13</v>
      </c>
      <c r="AC78" s="12"/>
      <c r="AD78" s="12"/>
      <c r="AE78" s="12"/>
      <c r="AF78" s="12"/>
      <c r="AG78" s="13" t="str">
        <f ca="1">IFERROR(__xludf.DUMMYFUNCTION("ArrayFormula(VLOOKUP(G78, IMPORTRANGE(""https://docs.google.com/spreadsheets/d/1Co934fvtviyaRiMsrIlT05Jaq7iiYq07aLvRr35KA48/edit?gid=173865642#gid=173865642"", ""'G6_Sci_Pri_LU'!G2:V2000""), {3, 4, 5, 6, 7, 8, 9, 10, 11, 12, 13, 14, 15, 16}, 0))"),"LU005934")</f>
        <v>LU005934</v>
      </c>
      <c r="AH78" s="13" t="str">
        <f ca="1">IFERROR(__xludf.DUMMYFUNCTION("""COMPUTED_VALUE"""),"Identification of poles of different magnets")</f>
        <v>Identification of poles of different magnets</v>
      </c>
      <c r="AI78" s="13" t="str">
        <f ca="1">IFERROR(__xludf.DUMMYFUNCTION("""COMPUTED_VALUE"""),"LU005935")</f>
        <v>LU005935</v>
      </c>
      <c r="AJ78" s="13" t="str">
        <f ca="1">IFERROR(__xludf.DUMMYFUNCTION("""COMPUTED_VALUE"""),"Distribution of magnetic strength in different magnets ")</f>
        <v xml:space="preserve">Distribution of magnetic strength in different magnets </v>
      </c>
      <c r="AK78" s="13"/>
      <c r="AL78" s="13"/>
      <c r="AM78" s="13"/>
      <c r="AN78" s="13"/>
      <c r="AO78" s="13"/>
      <c r="AP78" s="13"/>
      <c r="AQ78" s="13"/>
      <c r="AR78" s="13"/>
      <c r="AS78" s="13"/>
      <c r="AT78" s="13"/>
    </row>
    <row r="79" spans="1:46">
      <c r="A79" s="8" t="s">
        <v>247</v>
      </c>
      <c r="B79" s="8" t="s">
        <v>47</v>
      </c>
      <c r="C79" s="8" t="s">
        <v>48</v>
      </c>
      <c r="D79" s="8" t="s">
        <v>1510</v>
      </c>
      <c r="E79" s="8" t="s">
        <v>1763</v>
      </c>
      <c r="F79" s="8" t="s">
        <v>1608</v>
      </c>
      <c r="G79" s="8" t="s">
        <v>1614</v>
      </c>
      <c r="H79" s="8" t="str">
        <f ca="1">IFERROR(__xludf.DUMMYFUNCTION("VLOOKUP(G79, IMPORTRANGE(""https://docs.google.com/spreadsheets/d/14deopnvwcrKtEGCKuYXdUHJbeLDZlkiSSWWT0g7x2pM/edit#gid=849066331"", ""LU List Science (Filter)!A:B""), 2, FALSE)"),"Correct way of storing and handling magnets")</f>
        <v>Correct way of storing and handling magnets</v>
      </c>
      <c r="I79" s="10" t="str">
        <f t="shared" si="0"/>
        <v>LU005157.001</v>
      </c>
      <c r="J79" s="10" t="str">
        <f ca="1">IFERROR(__xludf.DUMMYFUNCTION("VLOOKUP(I79, IMPORTRANGE(""https://docs.google.com/spreadsheets/d/1yDAaXNsi4Mr5FtRQL4tbmSdIzhx6_m4wkOD7IG-k_eo/edit#gid=1336395716"", ""Science!M:N""), 2, FALSE)"),"Identify the correct ways to store magnets.")</f>
        <v>Identify the correct ways to store magnets.</v>
      </c>
      <c r="K79" s="10" t="str">
        <f t="shared" si="1"/>
        <v>LU005157.002</v>
      </c>
      <c r="L79" s="10" t="str">
        <f ca="1">IFERROR(__xludf.DUMMYFUNCTION("VLOOKUP(K79, IMPORTRANGE(""https://docs.google.com/spreadsheets/d/1yDAaXNsi4Mr5FtRQL4tbmSdIzhx6_m4wkOD7IG-k_eo/edit#gid=1336395716"", ""Science!M:N""), 2, FALSE)"),"Explain the factors that can cause a magnet to lose its magnetic properties.")</f>
        <v>Explain the factors that can cause a magnet to lose its magnetic properties.</v>
      </c>
      <c r="M79" s="10" t="str">
        <f t="shared" si="2"/>
        <v>LU005157.003</v>
      </c>
      <c r="N79" s="10" t="str">
        <f ca="1">IFERROR(__xludf.DUMMYFUNCTION("VLOOKUP(M79, IMPORTRANGE(""https://docs.google.com/spreadsheets/d/1yDAaXNsi4Mr5FtRQL4tbmSdIzhx6_m4wkOD7IG-k_eo/edit#gid=1336395716"", ""Science!M:N""), 2, FALSE)"),"Implement proper storage techniques for different types of magnets.")</f>
        <v>Implement proper storage techniques for different types of magnets.</v>
      </c>
      <c r="O79" s="10" t="str">
        <f t="shared" si="3"/>
        <v>LU005157.004</v>
      </c>
      <c r="P79" s="10" t="str">
        <f ca="1">IFERROR(__xludf.DUMMYFUNCTION("VLOOKUP(O79, IMPORTRANGE(""https://docs.google.com/spreadsheets/d/1yDAaXNsi4Mr5FtRQL4tbmSdIzhx6_m4wkOD7IG-k_eo/edit#gid=1336395716"", ""Science!M:N""), 2, FALSE)"),"Compare and contrast the effects of different storage conditions on a magnet's strength and longevity.")</f>
        <v>Compare and contrast the effects of different storage conditions on a magnet's strength and longevity.</v>
      </c>
      <c r="Q79" s="10" t="str">
        <f t="shared" si="4"/>
        <v>LU005157.005</v>
      </c>
      <c r="R79" s="10" t="str">
        <f ca="1">IFERROR(__xludf.DUMMYFUNCTION("VLOOKUP(Q79, IMPORTRANGE(""https://docs.google.com/spreadsheets/d/1yDAaXNsi4Mr5FtRQL4tbmSdIzhx6_m4wkOD7IG-k_eo/edit#gid=1336395716"", ""Science!M:N""), 2, FALSE)"),"#N/A")</f>
        <v>#N/A</v>
      </c>
      <c r="S79" s="10" t="str">
        <f t="shared" si="5"/>
        <v>LU005157.006</v>
      </c>
      <c r="T79" s="10" t="str">
        <f ca="1">IFERROR(__xludf.DUMMYFUNCTION("VLOOKUP(S79, IMPORTRANGE(""https://docs.google.com/spreadsheets/d/1yDAaXNsi4Mr5FtRQL4tbmSdIzhx6_m4wkOD7IG-k_eo/edit#gid=1336395716"", ""Science!M:N""), 2, FALSE)"),"Design a safety protocol for handling and storing magnets so that they do not lose their magnetic properties.")</f>
        <v>Design a safety protocol for handling and storing magnets so that they do not lose their magnetic properties.</v>
      </c>
      <c r="U79" s="11">
        <f ca="1">IFERROR(__xludf.DUMMYFUNCTION("ArrayFormula(VLOOKUP(G79, IMPORTRANGE(""https://docs.google.com/spreadsheets/d/1p7R4vtkWt5VOBim4ltsDG9KTzSjrtKXsMtQGXPHyND0/edit#gid=795171502"", ""'Filter 30_05_2024'!A1:M2000""), {2, 3, 4, 5,6,7,8,9,10,11,12,13}, 0))"),5)</f>
        <v>5</v>
      </c>
      <c r="V79" s="38">
        <f ca="1">IFERROR(__xludf.DUMMYFUNCTION("""COMPUTED_VALUE"""),4)</f>
        <v>4</v>
      </c>
      <c r="W79" s="11">
        <f ca="1">IFERROR(__xludf.DUMMYFUNCTION("""COMPUTED_VALUE"""),2)</f>
        <v>2</v>
      </c>
      <c r="X79" s="11">
        <f ca="1">IFERROR(__xludf.DUMMYFUNCTION("""COMPUTED_VALUE"""),11)</f>
        <v>11</v>
      </c>
      <c r="Y79" s="11">
        <f ca="1">IFERROR(__xludf.DUMMYFUNCTION("""COMPUTED_VALUE"""),5)</f>
        <v>5</v>
      </c>
      <c r="Z79" s="12">
        <f ca="1">IFERROR(__xludf.DUMMYFUNCTION("""COMPUTED_VALUE"""),4)</f>
        <v>4</v>
      </c>
      <c r="AA79" s="12">
        <f ca="1">IFERROR(__xludf.DUMMYFUNCTION("""COMPUTED_VALUE"""),1)</f>
        <v>1</v>
      </c>
      <c r="AB79" s="12">
        <f ca="1">IFERROR(__xludf.DUMMYFUNCTION("""COMPUTED_VALUE"""),10)</f>
        <v>10</v>
      </c>
      <c r="AC79" s="12"/>
      <c r="AD79" s="12"/>
      <c r="AE79" s="12"/>
      <c r="AF79" s="12"/>
      <c r="AG79" s="13" t="str">
        <f ca="1">IFERROR(__xludf.DUMMYFUNCTION("ArrayFormula(VLOOKUP(G79, IMPORTRANGE(""https://docs.google.com/spreadsheets/d/1Co934fvtviyaRiMsrIlT05Jaq7iiYq07aLvRr35KA48/edit?gid=173865642#gid=173865642"", ""'G6_Sci_Pri_LU'!G2:V2000""), {3, 4, 5, 6, 7, 8, 9, 10, 11, 12, 13, 14, 15, 16}, 0))"),"LU005934")</f>
        <v>LU005934</v>
      </c>
      <c r="AH79" s="13" t="str">
        <f ca="1">IFERROR(__xludf.DUMMYFUNCTION("""COMPUTED_VALUE"""),"Identification of poles of different magnets")</f>
        <v>Identification of poles of different magnets</v>
      </c>
      <c r="AI79" s="13"/>
      <c r="AJ79" s="13"/>
      <c r="AK79" s="13"/>
      <c r="AL79" s="13"/>
      <c r="AM79" s="13"/>
      <c r="AN79" s="13"/>
      <c r="AO79" s="13"/>
      <c r="AP79" s="13"/>
      <c r="AQ79" s="13"/>
      <c r="AR79" s="13"/>
      <c r="AS79" s="13"/>
      <c r="AT79" s="13"/>
    </row>
    <row r="80" spans="1:46">
      <c r="A80" s="8" t="s">
        <v>247</v>
      </c>
      <c r="B80" s="8" t="s">
        <v>47</v>
      </c>
      <c r="C80" s="8" t="s">
        <v>48</v>
      </c>
      <c r="D80" s="8" t="s">
        <v>1441</v>
      </c>
      <c r="E80" s="8" t="s">
        <v>1764</v>
      </c>
      <c r="F80" s="8" t="s">
        <v>1765</v>
      </c>
      <c r="G80" s="8" t="s">
        <v>1766</v>
      </c>
      <c r="H80" s="8" t="str">
        <f ca="1">IFERROR(__xludf.DUMMYFUNCTION("VLOOKUP(G80, IMPORTRANGE(""https://docs.google.com/spreadsheets/d/14deopnvwcrKtEGCKuYXdUHJbeLDZlkiSSWWT0g7x2pM/edit#gid=849066331"", ""LU List Science (Filter)!A:B""), 2, FALSE)"),"Moving air and Atmosphere")</f>
        <v>Moving air and Atmosphere</v>
      </c>
      <c r="I80" s="10" t="str">
        <f t="shared" si="0"/>
        <v>LU005891.001</v>
      </c>
      <c r="J80" s="10" t="str">
        <f ca="1">IFERROR(__xludf.DUMMYFUNCTION("VLOOKUP(I80, IMPORTRANGE(""https://docs.google.com/spreadsheets/d/1yDAaXNsi4Mr5FtRQL4tbmSdIzhx6_m4wkOD7IG-k_eo/edit#gid=1336395716"", ""Science!M:N""), 2, FALSE)"),"Identify different ways in which the presence of air can be observed.")</f>
        <v>Identify different ways in which the presence of air can be observed.</v>
      </c>
      <c r="K80" s="10" t="str">
        <f t="shared" si="1"/>
        <v>LU005891.002</v>
      </c>
      <c r="L80" s="10" t="str">
        <f ca="1">IFERROR(__xludf.DUMMYFUNCTION("VLOOKUP(K80, IMPORTRANGE(""https://docs.google.com/spreadsheets/d/1yDAaXNsi4Mr5FtRQL4tbmSdIzhx6_m4wkOD7IG-k_eo/edit#gid=1336395716"", ""Science!M:N""), 2, FALSE)"),"Define atmosphere.")</f>
        <v>Define atmosphere.</v>
      </c>
      <c r="M80" s="10" t="str">
        <f t="shared" si="2"/>
        <v>LU005891.003</v>
      </c>
      <c r="N80" s="10" t="str">
        <f ca="1">IFERROR(__xludf.DUMMYFUNCTION("VLOOKUP(M80, IMPORTRANGE(""https://docs.google.com/spreadsheets/d/1yDAaXNsi4Mr5FtRQL4tbmSdIzhx6_m4wkOD7IG-k_eo/edit#gid=1336395716"", ""Science!M:N""), 2, FALSE)"),"Describe the changes in the atmosphere as one moves higher.")</f>
        <v>Describe the changes in the atmosphere as one moves higher.</v>
      </c>
      <c r="O80" s="10" t="str">
        <f t="shared" si="3"/>
        <v>LU005891.004</v>
      </c>
      <c r="P80" s="10" t="str">
        <f ca="1">IFERROR(__xludf.DUMMYFUNCTION("VLOOKUP(O80, IMPORTRANGE(""https://docs.google.com/spreadsheets/d/1yDAaXNsi4Mr5FtRQL4tbmSdIzhx6_m4wkOD7IG-k_eo/edit#gid=1336395716"", ""Science!M:N""), 2, FALSE)"),"Examine the relationship between altitude and the rarity of air.")</f>
        <v>Examine the relationship between altitude and the rarity of air.</v>
      </c>
      <c r="Q80" s="10" t="str">
        <f t="shared" si="4"/>
        <v>LU005891.005</v>
      </c>
      <c r="R80" s="10" t="str">
        <f ca="1">IFERROR(__xludf.DUMMYFUNCTION("VLOOKUP(Q80, IMPORTRANGE(""https://docs.google.com/spreadsheets/d/1yDAaXNsi4Mr5FtRQL4tbmSdIzhx6_m4wkOD7IG-k_eo/edit#gid=1336395716"", ""Science!M:N""), 2, FALSE)"),"Justify the need for mountaineers to carry oxygen cylinders at high altitudes")</f>
        <v>Justify the need for mountaineers to carry oxygen cylinders at high altitudes</v>
      </c>
      <c r="S80" s="10" t="str">
        <f t="shared" si="5"/>
        <v>LU005891.006</v>
      </c>
      <c r="T80" s="10" t="str">
        <f ca="1">IFERROR(__xludf.DUMMYFUNCTION("VLOOKUP(S80, IMPORTRANGE(""https://docs.google.com/spreadsheets/d/1yDAaXNsi4Mr5FtRQL4tbmSdIzhx6_m4wkOD7IG-k_eo/edit#gid=1336395716"", ""Science!M:N""), 2, FALSE)"),"#N/A")</f>
        <v>#N/A</v>
      </c>
      <c r="U80" s="11">
        <f ca="1">IFERROR(__xludf.DUMMYFUNCTION("ArrayFormula(VLOOKUP(G80, IMPORTRANGE(""https://docs.google.com/spreadsheets/d/1p7R4vtkWt5VOBim4ltsDG9KTzSjrtKXsMtQGXPHyND0/edit#gid=795171502"", ""'Filter 30_05_2024'!A1:M2000""), {2, 3, 4, 5,6,7,8,9,10,11,12,13}, 0))"),12)</f>
        <v>12</v>
      </c>
      <c r="V80" s="11">
        <f ca="1">IFERROR(__xludf.DUMMYFUNCTION("""COMPUTED_VALUE"""),8)</f>
        <v>8</v>
      </c>
      <c r="W80" s="11">
        <f ca="1">IFERROR(__xludf.DUMMYFUNCTION("""COMPUTED_VALUE"""),7)</f>
        <v>7</v>
      </c>
      <c r="X80" s="11">
        <f ca="1">IFERROR(__xludf.DUMMYFUNCTION("""COMPUTED_VALUE"""),27)</f>
        <v>27</v>
      </c>
      <c r="Y80" s="11">
        <f ca="1">IFERROR(__xludf.DUMMYFUNCTION("""COMPUTED_VALUE"""),5)</f>
        <v>5</v>
      </c>
      <c r="Z80" s="12">
        <f ca="1">IFERROR(__xludf.DUMMYFUNCTION("""COMPUTED_VALUE"""),4)</f>
        <v>4</v>
      </c>
      <c r="AA80" s="12">
        <f ca="1">IFERROR(__xludf.DUMMYFUNCTION("""COMPUTED_VALUE"""),2)</f>
        <v>2</v>
      </c>
      <c r="AB80" s="12">
        <f ca="1">IFERROR(__xludf.DUMMYFUNCTION("""COMPUTED_VALUE"""),11)</f>
        <v>11</v>
      </c>
      <c r="AC80" s="12"/>
      <c r="AD80" s="12"/>
      <c r="AE80" s="12"/>
      <c r="AF80" s="12"/>
      <c r="AG80" s="13" t="str">
        <f ca="1">IFERROR(__xludf.DUMMYFUNCTION("ArrayFormula(VLOOKUP(G80, IMPORTRANGE(""https://docs.google.com/spreadsheets/d/1Co934fvtviyaRiMsrIlT05Jaq7iiYq07aLvRr35KA48/edit?gid=173865642#gid=173865642"", ""'G6_Sci_Pri_LU'!G2:V2000""), {3, 4, 5, 6, 7, 8, 9, 10, 11, 12, 13, 14, 15, 16}, 0))"),"LU005882")</f>
        <v>LU005882</v>
      </c>
      <c r="AH80" s="13" t="str">
        <f ca="1">IFERROR(__xludf.DUMMYFUNCTION("""COMPUTED_VALUE"""),"Recognizing the Significance of Air for Life and Nature")</f>
        <v>Recognizing the Significance of Air for Life and Nature</v>
      </c>
      <c r="AI80" s="13"/>
      <c r="AJ80" s="13"/>
      <c r="AK80" s="13"/>
      <c r="AL80" s="13"/>
      <c r="AM80" s="13"/>
      <c r="AN80" s="13"/>
      <c r="AO80" s="13"/>
      <c r="AP80" s="13"/>
      <c r="AQ80" s="13"/>
      <c r="AR80" s="13"/>
      <c r="AS80" s="13"/>
      <c r="AT80" s="13"/>
    </row>
    <row r="81" spans="1:46">
      <c r="A81" s="8" t="s">
        <v>247</v>
      </c>
      <c r="B81" s="8" t="s">
        <v>47</v>
      </c>
      <c r="C81" s="8" t="s">
        <v>48</v>
      </c>
      <c r="D81" s="8" t="s">
        <v>1441</v>
      </c>
      <c r="E81" s="8" t="s">
        <v>1764</v>
      </c>
      <c r="F81" s="8" t="s">
        <v>1765</v>
      </c>
      <c r="G81" s="8" t="s">
        <v>1767</v>
      </c>
      <c r="H81" s="42" t="str">
        <f ca="1">IFERROR(__xludf.DUMMYFUNCTION("VLOOKUP(G81, IMPORTRANGE(""https://docs.google.com/spreadsheets/d/14deopnvwcrKtEGCKuYXdUHJbeLDZlkiSSWWT0g7x2pM/edit#gid=849066331"", ""LU List Science (Filter)!A:B""), 2, FALSE)"),"Properties of air")</f>
        <v>Properties of air</v>
      </c>
      <c r="I81" s="10" t="str">
        <f t="shared" si="0"/>
        <v>LU005892.001</v>
      </c>
      <c r="J81" s="10" t="str">
        <f ca="1">IFERROR(__xludf.DUMMYFUNCTION("VLOOKUP(I81, IMPORTRANGE(""https://docs.google.com/spreadsheets/d/1yDAaXNsi4Mr5FtRQL4tbmSdIzhx6_m4wkOD7IG-k_eo/edit#gid=1336395716"", ""Science!M:N""), 2, FALSE)"),"List the properties of air.")</f>
        <v>List the properties of air.</v>
      </c>
      <c r="K81" s="10" t="str">
        <f t="shared" si="1"/>
        <v>LU005892.002</v>
      </c>
      <c r="L81" s="10" t="str">
        <f ca="1">IFERROR(__xludf.DUMMYFUNCTION("VLOOKUP(K81, IMPORTRANGE(""https://docs.google.com/spreadsheets/d/1yDAaXNsi4Mr5FtRQL4tbmSdIzhx6_m4wkOD7IG-k_eo/edit#gid=1336395716"", ""Science!M:N""), 2, FALSE)"),"Explain how we can determine that air occupies space.")</f>
        <v>Explain how we can determine that air occupies space.</v>
      </c>
      <c r="M81" s="10" t="str">
        <f t="shared" si="2"/>
        <v>LU005892.003</v>
      </c>
      <c r="N81" s="10" t="str">
        <f ca="1">IFERROR(__xludf.DUMMYFUNCTION("VLOOKUP(M81, IMPORTRANGE(""https://docs.google.com/spreadsheets/d/1yDAaXNsi4Mr5FtRQL4tbmSdIzhx6_m4wkOD7IG-k_eo/edit#gid=1336395716"", ""Science!M:N""), 2, FALSE)"),"Demonstrate a simple experiment showcasing that air occupies space.")</f>
        <v>Demonstrate a simple experiment showcasing that air occupies space.</v>
      </c>
      <c r="O81" s="10" t="str">
        <f t="shared" si="3"/>
        <v>LU005892.004</v>
      </c>
      <c r="P81" s="10" t="str">
        <f ca="1">IFERROR(__xludf.DUMMYFUNCTION("VLOOKUP(O81, IMPORTRANGE(""https://docs.google.com/spreadsheets/d/1yDAaXNsi4Mr5FtRQL4tbmSdIzhx6_m4wkOD7IG-k_eo/edit#gid=1336395716"", ""Science!M:N""), 2, FALSE)"),"Examine situations where the properties of air play a crucial role (e.g., why a balloon inflates).")</f>
        <v>Examine situations where the properties of air play a crucial role (e.g., why a balloon inflates).</v>
      </c>
      <c r="Q81" s="10" t="str">
        <f t="shared" si="4"/>
        <v>LU005892.005</v>
      </c>
      <c r="R81" s="10" t="str">
        <f ca="1">IFERROR(__xludf.DUMMYFUNCTION("VLOOKUP(Q81, IMPORTRANGE(""https://docs.google.com/spreadsheets/d/1yDAaXNsi4Mr5FtRQL4tbmSdIzhx6_m4wkOD7IG-k_eo/edit#gid=1336395716"", ""Science!M:N""), 2, FALSE)"),"Assess the importance of understanding the properties of air in everyday life and scientific contexts.")</f>
        <v>Assess the importance of understanding the properties of air in everyday life and scientific contexts.</v>
      </c>
      <c r="S81" s="10" t="str">
        <f t="shared" si="5"/>
        <v>LU005892.006</v>
      </c>
      <c r="T81" s="10" t="str">
        <f ca="1">IFERROR(__xludf.DUMMYFUNCTION("VLOOKUP(S81, IMPORTRANGE(""https://docs.google.com/spreadsheets/d/1yDAaXNsi4Mr5FtRQL4tbmSdIzhx6_m4wkOD7IG-k_eo/edit#gid=1336395716"", ""Science!M:N""), 2, FALSE)"),"Design a series of experiments or demonstrations to visually represent each property of air.")</f>
        <v>Design a series of experiments or demonstrations to visually represent each property of air.</v>
      </c>
      <c r="U81" s="11">
        <f ca="1">IFERROR(__xludf.DUMMYFUNCTION("ArrayFormula(VLOOKUP(G81, IMPORTRANGE(""https://docs.google.com/spreadsheets/d/1p7R4vtkWt5VOBim4ltsDG9KTzSjrtKXsMtQGXPHyND0/edit#gid=795171502"", ""'Filter 30_05_2024'!A1:M2000""), {2, 3, 4, 5,6,7,8,9,10,11,12,13}, 0))"),6)</f>
        <v>6</v>
      </c>
      <c r="V81" s="11">
        <f ca="1">IFERROR(__xludf.DUMMYFUNCTION("""COMPUTED_VALUE"""),6)</f>
        <v>6</v>
      </c>
      <c r="W81" s="11">
        <f ca="1">IFERROR(__xludf.DUMMYFUNCTION("""COMPUTED_VALUE"""),3)</f>
        <v>3</v>
      </c>
      <c r="X81" s="11">
        <f ca="1">IFERROR(__xludf.DUMMYFUNCTION("""COMPUTED_VALUE"""),15)</f>
        <v>15</v>
      </c>
      <c r="Y81" s="11">
        <f ca="1">IFERROR(__xludf.DUMMYFUNCTION("""COMPUTED_VALUE"""),4)</f>
        <v>4</v>
      </c>
      <c r="Z81" s="12">
        <f ca="1">IFERROR(__xludf.DUMMYFUNCTION("""COMPUTED_VALUE"""),3)</f>
        <v>3</v>
      </c>
      <c r="AA81" s="12">
        <f ca="1">IFERROR(__xludf.DUMMYFUNCTION("""COMPUTED_VALUE"""),5)</f>
        <v>5</v>
      </c>
      <c r="AB81" s="12">
        <f ca="1">IFERROR(__xludf.DUMMYFUNCTION("""COMPUTED_VALUE"""),12)</f>
        <v>12</v>
      </c>
      <c r="AC81" s="12"/>
      <c r="AD81" s="12"/>
      <c r="AE81" s="12"/>
      <c r="AF81" s="12"/>
      <c r="AG81" s="13" t="str">
        <f ca="1">IFERROR(__xludf.DUMMYFUNCTION("ArrayFormula(VLOOKUP(G81, IMPORTRANGE(""https://docs.google.com/spreadsheets/d/1Co934fvtviyaRiMsrIlT05Jaq7iiYq07aLvRr35KA48/edit?gid=173865642#gid=173865642"", ""'G6_Sci_Pri_LU'!G2:V2000""), {3, 4, 5, 6, 7, 8, 9, 10, 11, 12, 13, 14, 15, 16}, 0))"),"LU005882")</f>
        <v>LU005882</v>
      </c>
      <c r="AH81" s="13" t="str">
        <f ca="1">IFERROR(__xludf.DUMMYFUNCTION("""COMPUTED_VALUE"""),"Recognizing the Significance of Air for Life and Nature")</f>
        <v>Recognizing the Significance of Air for Life and Nature</v>
      </c>
      <c r="AI81" s="13" t="str">
        <f ca="1">IFERROR(__xludf.DUMMYFUNCTION("""COMPUTED_VALUE"""),"LU005891")</f>
        <v>LU005891</v>
      </c>
      <c r="AJ81" s="13" t="str">
        <f ca="1">IFERROR(__xludf.DUMMYFUNCTION("""COMPUTED_VALUE"""),"Moving air and Atmosphere")</f>
        <v>Moving air and Atmosphere</v>
      </c>
      <c r="AK81" s="13"/>
      <c r="AL81" s="13"/>
      <c r="AM81" s="13"/>
      <c r="AN81" s="13"/>
      <c r="AO81" s="13"/>
      <c r="AP81" s="13"/>
      <c r="AQ81" s="13"/>
      <c r="AR81" s="13"/>
      <c r="AS81" s="13"/>
      <c r="AT81" s="13"/>
    </row>
    <row r="82" spans="1:46">
      <c r="A82" s="8" t="s">
        <v>247</v>
      </c>
      <c r="B82" s="8" t="s">
        <v>47</v>
      </c>
      <c r="C82" s="8" t="s">
        <v>48</v>
      </c>
      <c r="D82" s="8" t="s">
        <v>1441</v>
      </c>
      <c r="E82" s="8" t="s">
        <v>1764</v>
      </c>
      <c r="F82" s="8" t="s">
        <v>1768</v>
      </c>
      <c r="G82" s="8" t="s">
        <v>1769</v>
      </c>
      <c r="H82" s="8" t="str">
        <f ca="1">IFERROR(__xludf.DUMMYFUNCTION("VLOOKUP(G82, IMPORTRANGE(""https://docs.google.com/spreadsheets/d/14deopnvwcrKtEGCKuYXdUHJbeLDZlkiSSWWT0g7x2pM/edit#gid=849066331"", ""LU List Science (Filter)!A:B""), 2, FALSE)"),"Understanding What Makes Up the Air (Nitrogen, oxygen, other gases)")</f>
        <v>Understanding What Makes Up the Air (Nitrogen, oxygen, other gases)</v>
      </c>
      <c r="I82" s="10" t="str">
        <f t="shared" si="0"/>
        <v>LU005881.001</v>
      </c>
      <c r="J82" s="10" t="str">
        <f ca="1">IFERROR(__xludf.DUMMYFUNCTION("VLOOKUP(I82, IMPORTRANGE(""https://docs.google.com/spreadsheets/d/1yDAaXNsi4Mr5FtRQL4tbmSdIzhx6_m4wkOD7IG-k_eo/edit#gid=1336395716"", ""Science!M:N""), 2, FALSE)"),"List the primary components of air.")</f>
        <v>List the primary components of air.</v>
      </c>
      <c r="K82" s="10" t="str">
        <f t="shared" si="1"/>
        <v>LU005881.002</v>
      </c>
      <c r="L82" s="10" t="str">
        <f ca="1">IFERROR(__xludf.DUMMYFUNCTION("VLOOKUP(K82, IMPORTRANGE(""https://docs.google.com/spreadsheets/d/1yDAaXNsi4Mr5FtRQL4tbmSdIzhx6_m4wkOD7IG-k_eo/edit#gid=1336395716"", ""Science!M:N""), 2, FALSE)"),"Explain the role of each component in the air.")</f>
        <v>Explain the role of each component in the air.</v>
      </c>
      <c r="M82" s="10" t="str">
        <f t="shared" si="2"/>
        <v>LU005881.003</v>
      </c>
      <c r="N82" s="10" t="str">
        <f ca="1">IFERROR(__xludf.DUMMYFUNCTION("VLOOKUP(M82, IMPORTRANGE(""https://docs.google.com/spreadsheets/d/1yDAaXNsi4Mr5FtRQL4tbmSdIzhx6_m4wkOD7IG-k_eo/edit#gid=1336395716"", ""Science!M:N""), 2, FALSE)"),"Illustrate a diagram showing the percentage of different gases in the air.")</f>
        <v>Illustrate a diagram showing the percentage of different gases in the air.</v>
      </c>
      <c r="O82" s="10" t="str">
        <f t="shared" si="3"/>
        <v>LU005881.004</v>
      </c>
      <c r="P82" s="10" t="str">
        <f ca="1">IFERROR(__xludf.DUMMYFUNCTION("VLOOKUP(O82, IMPORTRANGE(""https://docs.google.com/spreadsheets/d/1yDAaXNsi4Mr5FtRQL4tbmSdIzhx6_m4wkOD7IG-k_eo/edit#gid=1336395716"", ""Science!M:N""), 2, FALSE)"),"Analyze a pie chart of atmospheric composition to determine the most abundant gases.")</f>
        <v>Analyze a pie chart of atmospheric composition to determine the most abundant gases.</v>
      </c>
      <c r="Q82" s="10" t="str">
        <f t="shared" si="4"/>
        <v>LU005881.005</v>
      </c>
      <c r="R82" s="10" t="str">
        <f ca="1">IFERROR(__xludf.DUMMYFUNCTION("VLOOKUP(Q82, IMPORTRANGE(""https://docs.google.com/spreadsheets/d/1yDAaXNsi4Mr5FtRQL4tbmSdIzhx6_m4wkOD7IG-k_eo/edit#gid=1336395716"", ""Science!M:N""), 2, FALSE)"),"Evaluate the importance of maintaining the balance of gases in the atmosphere.")</f>
        <v>Evaluate the importance of maintaining the balance of gases in the atmosphere.</v>
      </c>
      <c r="S82" s="10" t="str">
        <f t="shared" si="5"/>
        <v>LU005881.006</v>
      </c>
      <c r="T82" s="10" t="str">
        <f ca="1">IFERROR(__xludf.DUMMYFUNCTION("VLOOKUP(S82, IMPORTRANGE(""https://docs.google.com/spreadsheets/d/1yDAaXNsi4Mr5FtRQL4tbmSdIzhx6_m4wkOD7IG-k_eo/edit#gid=1336395716"", ""Science!M:N""), 2, FALSE)"),"#N/A")</f>
        <v>#N/A</v>
      </c>
      <c r="U82" s="11">
        <f ca="1">IFERROR(__xludf.DUMMYFUNCTION("ArrayFormula(VLOOKUP(G82, IMPORTRANGE(""https://docs.google.com/spreadsheets/d/1p7R4vtkWt5VOBim4ltsDG9KTzSjrtKXsMtQGXPHyND0/edit#gid=795171502"", ""'Filter 30_05_2024'!A1:M2000""), {2, 3, 4, 5,6,7,8,9,10,11,12,13}, 0))"),4)</f>
        <v>4</v>
      </c>
      <c r="V82" s="11">
        <f ca="1">IFERROR(__xludf.DUMMYFUNCTION("""COMPUTED_VALUE"""),6)</f>
        <v>6</v>
      </c>
      <c r="W82" s="38">
        <f ca="1">IFERROR(__xludf.DUMMYFUNCTION("""COMPUTED_VALUE"""),2)</f>
        <v>2</v>
      </c>
      <c r="X82" s="11">
        <f ca="1">IFERROR(__xludf.DUMMYFUNCTION("""COMPUTED_VALUE"""),12)</f>
        <v>12</v>
      </c>
      <c r="Y82" s="11">
        <f ca="1">IFERROR(__xludf.DUMMYFUNCTION("""COMPUTED_VALUE"""),8)</f>
        <v>8</v>
      </c>
      <c r="Z82" s="12">
        <f ca="1">IFERROR(__xludf.DUMMYFUNCTION("""COMPUTED_VALUE"""),3)</f>
        <v>3</v>
      </c>
      <c r="AA82" s="12">
        <f ca="1">IFERROR(__xludf.DUMMYFUNCTION("""COMPUTED_VALUE"""),2)</f>
        <v>2</v>
      </c>
      <c r="AB82" s="12">
        <f ca="1">IFERROR(__xludf.DUMMYFUNCTION("""COMPUTED_VALUE"""),13)</f>
        <v>13</v>
      </c>
      <c r="AC82" s="12"/>
      <c r="AD82" s="12"/>
      <c r="AE82" s="12"/>
      <c r="AF82" s="12"/>
      <c r="AG82" s="13" t="str">
        <f ca="1">IFERROR(__xludf.DUMMYFUNCTION("ArrayFormula(VLOOKUP(G82, IMPORTRANGE(""https://docs.google.com/spreadsheets/d/1Co934fvtviyaRiMsrIlT05Jaq7iiYq07aLvRr35KA48/edit?gid=173865642#gid=173865642"", ""'G6_Sci_Pri_LU'!G2:V2000""), {3, 4, 5, 6, 7, 8, 9, 10, 11, 12, 13, 14, 15, 16}, 0))"),"")</f>
        <v/>
      </c>
      <c r="AH82" s="13"/>
      <c r="AI82" s="13"/>
      <c r="AJ82" s="13"/>
      <c r="AK82" s="13"/>
      <c r="AL82" s="13"/>
      <c r="AM82" s="13"/>
      <c r="AN82" s="13"/>
      <c r="AO82" s="13"/>
      <c r="AP82" s="13"/>
      <c r="AQ82" s="13"/>
      <c r="AR82" s="13"/>
      <c r="AS82" s="13"/>
      <c r="AT82" s="13"/>
    </row>
    <row r="83" spans="1:46">
      <c r="A83" s="8" t="s">
        <v>247</v>
      </c>
      <c r="B83" s="8" t="s">
        <v>47</v>
      </c>
      <c r="C83" s="8" t="s">
        <v>48</v>
      </c>
      <c r="D83" s="8" t="s">
        <v>1441</v>
      </c>
      <c r="E83" s="8" t="s">
        <v>1764</v>
      </c>
      <c r="F83" s="8" t="s">
        <v>1770</v>
      </c>
      <c r="G83" s="8" t="s">
        <v>1771</v>
      </c>
      <c r="H83" s="42" t="str">
        <f ca="1">IFERROR(__xludf.DUMMYFUNCTION("VLOOKUP(G83, IMPORTRANGE(""https://docs.google.com/spreadsheets/d/14deopnvwcrKtEGCKuYXdUHJbeLDZlkiSSWWT0g7x2pM/edit#gid=849066331"", ""LU List Science (Filter)!A:B""), 2, FALSE)"),"Presence of oxygen in water and soil")</f>
        <v>Presence of oxygen in water and soil</v>
      </c>
      <c r="I83" s="10" t="str">
        <f t="shared" si="0"/>
        <v>LU005894.001</v>
      </c>
      <c r="J83" s="10" t="str">
        <f ca="1">IFERROR(__xludf.DUMMYFUNCTION("VLOOKUP(I83, IMPORTRANGE(""https://docs.google.com/spreadsheets/d/1yDAaXNsi4Mr5FtRQL4tbmSdIzhx6_m4wkOD7IG-k_eo/edit#gid=1336395716"", ""Science!M:N""), 2, FALSE)"),"List the sources of oxygen in water and soil.")</f>
        <v>List the sources of oxygen in water and soil.</v>
      </c>
      <c r="K83" s="10" t="str">
        <f t="shared" si="1"/>
        <v>LU005894.002</v>
      </c>
      <c r="L83" s="10" t="str">
        <f ca="1">IFERROR(__xludf.DUMMYFUNCTION("VLOOKUP(K83, IMPORTRANGE(""https://docs.google.com/spreadsheets/d/1yDAaXNsi4Mr5FtRQL4tbmSdIzhx6_m4wkOD7IG-k_eo/edit#gid=1336395716"", ""Science!M:N""), 2, FALSE)"),"Explain how does oxygen become available to animals and plants living in water and soil.")</f>
        <v>Explain how does oxygen become available to animals and plants living in water and soil.</v>
      </c>
      <c r="M83" s="10" t="str">
        <f t="shared" si="2"/>
        <v>LU005894.003</v>
      </c>
      <c r="N83" s="10" t="str">
        <f ca="1">IFERROR(__xludf.DUMMYFUNCTION("VLOOKUP(M83, IMPORTRANGE(""https://docs.google.com/spreadsheets/d/1yDAaXNsi4Mr5FtRQL4tbmSdIzhx6_m4wkOD7IG-k_eo/edit#gid=1336395716"", ""Science!M:N""), 2, FALSE)"),"Demonstrate the presence of air in water and soil.")</f>
        <v>Demonstrate the presence of air in water and soil.</v>
      </c>
      <c r="O83" s="10" t="str">
        <f t="shared" si="3"/>
        <v>LU005894.004</v>
      </c>
      <c r="P83" s="10" t="str">
        <f ca="1">IFERROR(__xludf.DUMMYFUNCTION("VLOOKUP(O83, IMPORTRANGE(""https://docs.google.com/spreadsheets/d/1yDAaXNsi4Mr5FtRQL4tbmSdIzhx6_m4wkOD7IG-k_eo/edit#gid=1336395716"", ""Science!M:N""), 2, FALSE)"),"Compare different scenarios in order to understand the significance of oxygen in water and soil.")</f>
        <v>Compare different scenarios in order to understand the significance of oxygen in water and soil.</v>
      </c>
      <c r="Q83" s="10" t="str">
        <f t="shared" si="4"/>
        <v>LU005894.005</v>
      </c>
      <c r="R83" s="10" t="str">
        <f ca="1">IFERROR(__xludf.DUMMYFUNCTION("VLOOKUP(Q83, IMPORTRANGE(""https://docs.google.com/spreadsheets/d/1yDAaXNsi4Mr5FtRQL4tbmSdIzhx6_m4wkOD7IG-k_eo/edit#gid=1336395716"", ""Science!M:N""), 2, FALSE)"),"Evaluate real-world scenarios or case studies where oxygen imbalances led to environmental problems and propose potential solutions.")</f>
        <v>Evaluate real-world scenarios or case studies where oxygen imbalances led to environmental problems and propose potential solutions.</v>
      </c>
      <c r="S83" s="10" t="str">
        <f t="shared" si="5"/>
        <v>LU005894.006</v>
      </c>
      <c r="T83" s="10" t="str">
        <f ca="1">IFERROR(__xludf.DUMMYFUNCTION("VLOOKUP(S83, IMPORTRANGE(""https://docs.google.com/spreadsheets/d/1yDAaXNsi4Mr5FtRQL4tbmSdIzhx6_m4wkOD7IG-k_eo/edit#gid=1336395716"", ""Science!M:N""), 2, FALSE)"),"Construct a diagram or flowchart to illustrate the movement of oxygen in water and soil ecosystems.")</f>
        <v>Construct a diagram or flowchart to illustrate the movement of oxygen in water and soil ecosystems.</v>
      </c>
      <c r="U83" s="11">
        <f ca="1">IFERROR(__xludf.DUMMYFUNCTION("ArrayFormula(VLOOKUP(G83, IMPORTRANGE(""https://docs.google.com/spreadsheets/d/1p7R4vtkWt5VOBim4ltsDG9KTzSjrtKXsMtQGXPHyND0/edit#gid=795171502"", ""'Filter 30_05_2024'!A1:M2000""), {2, 3, 4, 5,6,7,8,9,10,11,12,13}, 0))"),20)</f>
        <v>20</v>
      </c>
      <c r="V83" s="11">
        <f ca="1">IFERROR(__xludf.DUMMYFUNCTION("""COMPUTED_VALUE"""),8)</f>
        <v>8</v>
      </c>
      <c r="W83" s="11">
        <f ca="1">IFERROR(__xludf.DUMMYFUNCTION("""COMPUTED_VALUE"""),4)</f>
        <v>4</v>
      </c>
      <c r="X83" s="11">
        <f ca="1">IFERROR(__xludf.DUMMYFUNCTION("""COMPUTED_VALUE"""),32)</f>
        <v>32</v>
      </c>
      <c r="Y83" s="11">
        <f ca="1">IFERROR(__xludf.DUMMYFUNCTION("""COMPUTED_VALUE"""),8)</f>
        <v>8</v>
      </c>
      <c r="Z83" s="12">
        <f ca="1">IFERROR(__xludf.DUMMYFUNCTION("""COMPUTED_VALUE"""),3)</f>
        <v>3</v>
      </c>
      <c r="AA83" s="12">
        <f ca="1">IFERROR(__xludf.DUMMYFUNCTION("""COMPUTED_VALUE"""),2)</f>
        <v>2</v>
      </c>
      <c r="AB83" s="12">
        <f ca="1">IFERROR(__xludf.DUMMYFUNCTION("""COMPUTED_VALUE"""),13)</f>
        <v>13</v>
      </c>
      <c r="AC83" s="12"/>
      <c r="AD83" s="12"/>
      <c r="AE83" s="12"/>
      <c r="AF83" s="12"/>
      <c r="AG83" s="13" t="str">
        <f ca="1">IFERROR(__xludf.DUMMYFUNCTION("ArrayFormula(VLOOKUP(G83, IMPORTRANGE(""https://docs.google.com/spreadsheets/d/1Co934fvtviyaRiMsrIlT05Jaq7iiYq07aLvRr35KA48/edit?gid=173865642#gid=173865642"", ""'G6_Sci_Pri_LU'!G2:V2000""), {3, 4, 5, 6, 7, 8, 9, 10, 11, 12, 13, 14, 15, 16}, 0))"),"LU005881")</f>
        <v>LU005881</v>
      </c>
      <c r="AH83" s="13" t="str">
        <f ca="1">IFERROR(__xludf.DUMMYFUNCTION("""COMPUTED_VALUE"""),"Understanding What Makes Up the Air (Nitrogen, oxygen, other gases)")</f>
        <v>Understanding What Makes Up the Air (Nitrogen, oxygen, other gases)</v>
      </c>
      <c r="AI83" s="13"/>
      <c r="AJ83" s="13"/>
      <c r="AK83" s="13"/>
      <c r="AL83" s="13"/>
      <c r="AM83" s="13"/>
      <c r="AN83" s="13"/>
      <c r="AO83" s="13"/>
      <c r="AP83" s="13"/>
      <c r="AQ83" s="13"/>
      <c r="AR83" s="13"/>
      <c r="AS83" s="13"/>
      <c r="AT83" s="13"/>
    </row>
    <row r="84" spans="1:46">
      <c r="A84" s="8" t="s">
        <v>247</v>
      </c>
      <c r="B84" s="8" t="s">
        <v>47</v>
      </c>
      <c r="C84" s="8" t="s">
        <v>48</v>
      </c>
      <c r="D84" s="8" t="s">
        <v>1441</v>
      </c>
      <c r="E84" s="8" t="s">
        <v>1764</v>
      </c>
      <c r="F84" s="8" t="s">
        <v>1772</v>
      </c>
      <c r="G84" s="8" t="s">
        <v>1773</v>
      </c>
      <c r="H84" s="42" t="str">
        <f ca="1">IFERROR(__xludf.DUMMYFUNCTION("VLOOKUP(G84, IMPORTRANGE(""https://docs.google.com/spreadsheets/d/14deopnvwcrKtEGCKuYXdUHJbeLDZlkiSSWWT0g7x2pM/edit#gid=849066331"", ""LU List Science (Filter)!A:B""), 2, FALSE)"),"Replacement of oxygen in air")</f>
        <v>Replacement of oxygen in air</v>
      </c>
      <c r="I84" s="10" t="str">
        <f t="shared" si="0"/>
        <v>LU005893.001</v>
      </c>
      <c r="J84" s="10" t="str">
        <f ca="1">IFERROR(__xludf.DUMMYFUNCTION("VLOOKUP(I84, IMPORTRANGE(""https://docs.google.com/spreadsheets/d/1yDAaXNsi4Mr5FtRQL4tbmSdIzhx6_m4wkOD7IG-k_eo/edit#gid=1336395716"", ""Science!M:N""), 2, FALSE)"),"List the primary sources that contribute to oxygen replacement in the atmosphere.")</f>
        <v>List the primary sources that contribute to oxygen replacement in the atmosphere.</v>
      </c>
      <c r="K84" s="10" t="str">
        <f t="shared" si="1"/>
        <v>LU005893.002</v>
      </c>
      <c r="L84" s="10" t="str">
        <f ca="1">IFERROR(__xludf.DUMMYFUNCTION("VLOOKUP(K84, IMPORTRANGE(""https://docs.google.com/spreadsheets/d/1yDAaXNsi4Mr5FtRQL4tbmSdIzhx6_m4wkOD7IG-k_eo/edit#gid=1336395716"", ""Science!M:N""), 2, FALSE)"),"""Describe the role of plants and animals in maintaining the balance of oxygen and carbon dioxide in the atmosphere.""")</f>
        <v>"Describe the role of plants and animals in maintaining the balance of oxygen and carbon dioxide in the atmosphere."</v>
      </c>
      <c r="M84" s="10" t="str">
        <f t="shared" si="2"/>
        <v>LU005893.003</v>
      </c>
      <c r="N84" s="10" t="str">
        <f ca="1">IFERROR(__xludf.DUMMYFUNCTION("VLOOKUP(M84, IMPORTRANGE(""https://docs.google.com/spreadsheets/d/1yDAaXNsi4Mr5FtRQL4tbmSdIzhx6_m4wkOD7IG-k_eo/edit#gid=1336395716"", ""Science!M:N""), 2, FALSE)"),"Predict the effects on the atmosphere if oxygen-replenishing processes were interrupted.")</f>
        <v>Predict the effects on the atmosphere if oxygen-replenishing processes were interrupted.</v>
      </c>
      <c r="O84" s="10" t="str">
        <f t="shared" si="3"/>
        <v>LU005893.004</v>
      </c>
      <c r="P84" s="10" t="str">
        <f ca="1">IFERROR(__xludf.DUMMYFUNCTION("VLOOKUP(O84, IMPORTRANGE(""https://docs.google.com/spreadsheets/d/1yDAaXNsi4Mr5FtRQL4tbmSdIzhx6_m4wkOD7IG-k_eo/edit#gid=1336395716"", ""Science!M:N""), 2, FALSE)"),"""Compare and contrast the processes of photosynthesis and respiration in terms of maintaining the balance of oxygen and carbon dioxide in the atmosphere.""")</f>
        <v>"Compare and contrast the processes of photosynthesis and respiration in terms of maintaining the balance of oxygen and carbon dioxide in the atmosphere."</v>
      </c>
      <c r="Q84" s="10" t="str">
        <f t="shared" si="4"/>
        <v>LU005893.005</v>
      </c>
      <c r="R84" s="10" t="str">
        <f ca="1">IFERROR(__xludf.DUMMYFUNCTION("VLOOKUP(Q84, IMPORTRANGE(""https://docs.google.com/spreadsheets/d/1yDAaXNsi4Mr5FtRQL4tbmSdIzhx6_m4wkOD7IG-k_eo/edit#gid=1336395716"", ""Science!M:N""), 2, FALSE)"),"Evaluate the importance of preserving forests and green spaces for maintaining the oxygen balance.")</f>
        <v>Evaluate the importance of preserving forests and green spaces for maintaining the oxygen balance.</v>
      </c>
      <c r="S84" s="10" t="str">
        <f t="shared" si="5"/>
        <v>LU005893.006</v>
      </c>
      <c r="T84" s="10" t="str">
        <f ca="1">IFERROR(__xludf.DUMMYFUNCTION("VLOOKUP(S84, IMPORTRANGE(""https://docs.google.com/spreadsheets/d/1yDAaXNsi4Mr5FtRQL4tbmSdIzhx6_m4wkOD7IG-k_eo/edit#gid=1336395716"", ""Science!M:N""), 2, FALSE)"),"Design a project or campaign to spread awareness about the significance of oxygen replenishment and its sources.")</f>
        <v>Design a project or campaign to spread awareness about the significance of oxygen replenishment and its sources.</v>
      </c>
      <c r="U84" s="11">
        <f ca="1">IFERROR(__xludf.DUMMYFUNCTION("ArrayFormula(VLOOKUP(G84, IMPORTRANGE(""https://docs.google.com/spreadsheets/d/1p7R4vtkWt5VOBim4ltsDG9KTzSjrtKXsMtQGXPHyND0/edit#gid=795171502"", ""'Filter 30_05_2024'!A1:M2000""), {2, 3, 4, 5,6,7,8,9,10,11,12,13}, 0))"),4)</f>
        <v>4</v>
      </c>
      <c r="V84" s="11">
        <f ca="1">IFERROR(__xludf.DUMMYFUNCTION("""COMPUTED_VALUE"""),6)</f>
        <v>6</v>
      </c>
      <c r="W84" s="11">
        <f ca="1">IFERROR(__xludf.DUMMYFUNCTION("""COMPUTED_VALUE"""),2)</f>
        <v>2</v>
      </c>
      <c r="X84" s="11">
        <f ca="1">IFERROR(__xludf.DUMMYFUNCTION("""COMPUTED_VALUE"""),12)</f>
        <v>12</v>
      </c>
      <c r="Y84" s="11">
        <f ca="1">IFERROR(__xludf.DUMMYFUNCTION("""COMPUTED_VALUE"""),4)</f>
        <v>4</v>
      </c>
      <c r="Z84" s="12">
        <f ca="1">IFERROR(__xludf.DUMMYFUNCTION("""COMPUTED_VALUE"""),3)</f>
        <v>3</v>
      </c>
      <c r="AA84" s="12">
        <f ca="1">IFERROR(__xludf.DUMMYFUNCTION("""COMPUTED_VALUE"""),3)</f>
        <v>3</v>
      </c>
      <c r="AB84" s="12">
        <f ca="1">IFERROR(__xludf.DUMMYFUNCTION("""COMPUTED_VALUE"""),10)</f>
        <v>10</v>
      </c>
      <c r="AC84" s="12"/>
      <c r="AD84" s="12"/>
      <c r="AE84" s="12"/>
      <c r="AF84" s="12"/>
      <c r="AG84" s="13" t="str">
        <f ca="1">IFERROR(__xludf.DUMMYFUNCTION("ArrayFormula(VLOOKUP(G84, IMPORTRANGE(""https://docs.google.com/spreadsheets/d/1Co934fvtviyaRiMsrIlT05Jaq7iiYq07aLvRr35KA48/edit?gid=173865642#gid=173865642"", ""'G6_Sci_Pri_LU'!G2:V2000""), {3, 4, 5, 6, 7, 8, 9, 10, 11, 12, 13, 14, 15, 16}, 0))"),"LU005881")</f>
        <v>LU005881</v>
      </c>
      <c r="AH84" s="13" t="str">
        <f ca="1">IFERROR(__xludf.DUMMYFUNCTION("""COMPUTED_VALUE"""),"Understanding What Makes Up the Air (Nitrogen, oxygen, other gases)")</f>
        <v>Understanding What Makes Up the Air (Nitrogen, oxygen, other gases)</v>
      </c>
      <c r="AI84" s="13"/>
      <c r="AJ84" s="13"/>
      <c r="AK84" s="13"/>
      <c r="AL84" s="13"/>
      <c r="AM84" s="13"/>
      <c r="AN84" s="13"/>
      <c r="AO84" s="13"/>
      <c r="AP84" s="13"/>
      <c r="AQ84" s="13"/>
      <c r="AR84" s="13"/>
      <c r="AS84" s="13"/>
      <c r="AT84" s="13"/>
    </row>
    <row r="85" spans="1:46">
      <c r="A85" s="8" t="s">
        <v>247</v>
      </c>
      <c r="B85" s="8" t="s">
        <v>47</v>
      </c>
      <c r="C85" s="8" t="s">
        <v>48</v>
      </c>
      <c r="D85" s="8" t="s">
        <v>1406</v>
      </c>
      <c r="E85" s="8" t="s">
        <v>1774</v>
      </c>
      <c r="F85" s="8" t="s">
        <v>1775</v>
      </c>
      <c r="G85" s="8" t="s">
        <v>1776</v>
      </c>
      <c r="H85" s="8" t="str">
        <f ca="1">IFERROR(__xludf.DUMMYFUNCTION("VLOOKUP(G85, IMPORTRANGE(""https://docs.google.com/spreadsheets/d/14deopnvwcrKtEGCKuYXdUHJbeLDZlkiSSWWT0g7x2pM/edit#gid=849066331"", ""LU List Science (Filter)!A:B""), 2, FALSE)"),"Definition of Joints in Humans")</f>
        <v>Definition of Joints in Humans</v>
      </c>
      <c r="I85" s="10" t="str">
        <f t="shared" si="0"/>
        <v>LU005102.001</v>
      </c>
      <c r="J85" s="10" t="str">
        <f ca="1">IFERROR(__xludf.DUMMYFUNCTION("VLOOKUP(I85, IMPORTRANGE(""https://docs.google.com/spreadsheets/d/1yDAaXNsi4Mr5FtRQL4tbmSdIzhx6_m4wkOD7IG-k_eo/edit#gid=1336395716"", ""Science!M:N""), 2, FALSE)"),"Recall and state what a ""joint"" is in the context of the human body, using simple language.")</f>
        <v>Recall and state what a "joint" is in the context of the human body, using simple language.</v>
      </c>
      <c r="K85" s="10" t="str">
        <f t="shared" si="1"/>
        <v>LU005102.002</v>
      </c>
      <c r="L85" s="10" t="str">
        <f ca="1">IFERROR(__xludf.DUMMYFUNCTION("VLOOKUP(K85, IMPORTRANGE(""https://docs.google.com/spreadsheets/d/1yDAaXNsi4Mr5FtRQL4tbmSdIzhx6_m4wkOD7IG-k_eo/edit#gid=1336395716"", ""Science!M:N""), 2, FALSE)"),"Explain, in simple terms, why joints are important for our body's ability to move and perform various activities.")</f>
        <v>Explain, in simple terms, why joints are important for our body's ability to move and perform various activities.</v>
      </c>
      <c r="M85" s="10" t="str">
        <f t="shared" si="2"/>
        <v>LU005102.003</v>
      </c>
      <c r="N85" s="10" t="str">
        <f ca="1">IFERROR(__xludf.DUMMYFUNCTION("VLOOKUP(M85, IMPORTRANGE(""https://docs.google.com/spreadsheets/d/1yDAaXNsi4Mr5FtRQL4tbmSdIzhx6_m4wkOD7IG-k_eo/edit#gid=1336395716"", ""Science!M:N""), 2, FALSE)"),"Apply your knowledge by identifying and naming at least three different types of joints found in the human body, such as ball-and-socket, hinge, and pivot joints.")</f>
        <v>Apply your knowledge by identifying and naming at least three different types of joints found in the human body, such as ball-and-socket, hinge, and pivot joints.</v>
      </c>
      <c r="O85" s="10" t="str">
        <f t="shared" si="3"/>
        <v>LU005102.004</v>
      </c>
      <c r="P85" s="10" t="str">
        <f ca="1">IFERROR(__xludf.DUMMYFUNCTION("VLOOKUP(O85, IMPORTRANGE(""https://docs.google.com/spreadsheets/d/1yDAaXNsi4Mr5FtRQL4tbmSdIzhx6_m4wkOD7IG-k_eo/edit#gid=1336395716"", ""Science!M:N""), 2, FALSE)"),"Analyze the function of one specific type of joint, like the hinge joint in the elbow, and describe how its structure allows for specific movements.")</f>
        <v>Analyze the function of one specific type of joint, like the hinge joint in the elbow, and describe how its structure allows for specific movements.</v>
      </c>
      <c r="Q85" s="10" t="str">
        <f t="shared" si="4"/>
        <v>LU005102.005</v>
      </c>
      <c r="R85" s="10" t="str">
        <f ca="1">IFERROR(__xludf.DUMMYFUNCTION("VLOOKUP(Q85, IMPORTRANGE(""https://docs.google.com/spreadsheets/d/1yDAaXNsi4Mr5FtRQL4tbmSdIzhx6_m4wkOD7IG-k_eo/edit#gid=1336395716"", ""Science!M:N""), 2, FALSE)"),"Evaluate the significance of protecting and taking care of our joints to maintain mobility and overall health, and explain why this is important.")</f>
        <v>Evaluate the significance of protecting and taking care of our joints to maintain mobility and overall health, and explain why this is important.</v>
      </c>
      <c r="S85" s="10" t="str">
        <f t="shared" si="5"/>
        <v>LU005102.006</v>
      </c>
      <c r="T85" s="10" t="str">
        <f ca="1">IFERROR(__xludf.DUMMYFUNCTION("VLOOKUP(S85, IMPORTRANGE(""https://docs.google.com/spreadsheets/d/1yDAaXNsi4Mr5FtRQL4tbmSdIzhx6_m4wkOD7IG-k_eo/edit#gid=1336395716"", ""Science!M:N""), 2, FALSE)"),"#N/A")</f>
        <v>#N/A</v>
      </c>
      <c r="U85" s="11">
        <f ca="1">IFERROR(__xludf.DUMMYFUNCTION("ArrayFormula(VLOOKUP(G85, IMPORTRANGE(""https://docs.google.com/spreadsheets/d/1p7R4vtkWt5VOBim4ltsDG9KTzSjrtKXsMtQGXPHyND0/edit#gid=795171502"", ""'Filter 30_05_2024'!A1:M2000""), {2, 3, 4, 5,6,7,8,9,10,11,12,13}, 0))"),8)</f>
        <v>8</v>
      </c>
      <c r="V85" s="11">
        <f ca="1">IFERROR(__xludf.DUMMYFUNCTION("""COMPUTED_VALUE"""),6)</f>
        <v>6</v>
      </c>
      <c r="W85" s="11">
        <f ca="1">IFERROR(__xludf.DUMMYFUNCTION("""COMPUTED_VALUE"""),2)</f>
        <v>2</v>
      </c>
      <c r="X85" s="11">
        <f ca="1">IFERROR(__xludf.DUMMYFUNCTION("""COMPUTED_VALUE"""),16)</f>
        <v>16</v>
      </c>
      <c r="Y85" s="11">
        <f ca="1">IFERROR(__xludf.DUMMYFUNCTION("""COMPUTED_VALUE"""),4)</f>
        <v>4</v>
      </c>
      <c r="Z85" s="12">
        <f ca="1">IFERROR(__xludf.DUMMYFUNCTION("""COMPUTED_VALUE"""),3)</f>
        <v>3</v>
      </c>
      <c r="AA85" s="12">
        <f ca="1">IFERROR(__xludf.DUMMYFUNCTION("""COMPUTED_VALUE"""),1)</f>
        <v>1</v>
      </c>
      <c r="AB85" s="12">
        <f ca="1">IFERROR(__xludf.DUMMYFUNCTION("""COMPUTED_VALUE"""),8)</f>
        <v>8</v>
      </c>
      <c r="AC85" s="12"/>
      <c r="AD85" s="12"/>
      <c r="AE85" s="12"/>
      <c r="AF85" s="12"/>
      <c r="AG85" s="13" t="str">
        <f ca="1">IFERROR(__xludf.DUMMYFUNCTION("ArrayFormula(VLOOKUP(G85, IMPORTRANGE(""https://docs.google.com/spreadsheets/d/1Co934fvtviyaRiMsrIlT05Jaq7iiYq07aLvRr35KA48/edit?gid=173865642#gid=173865642"", ""'G6_Sci_Pri_LU'!G2:V2000""), {3, 4, 5, 6, 7, 8, 9, 10, 11, 12, 13, 14, 15, 16}, 0))"),"LU005105")</f>
        <v>LU005105</v>
      </c>
      <c r="AH85" s="13" t="str">
        <f ca="1">IFERROR(__xludf.DUMMYFUNCTION("""COMPUTED_VALUE"""),"Definition of Skeletal System")</f>
        <v>Definition of Skeletal System</v>
      </c>
      <c r="AI85" s="13"/>
      <c r="AJ85" s="13"/>
      <c r="AK85" s="13"/>
      <c r="AL85" s="13"/>
      <c r="AM85" s="13"/>
      <c r="AN85" s="13"/>
      <c r="AO85" s="13"/>
      <c r="AP85" s="13"/>
      <c r="AQ85" s="13"/>
      <c r="AR85" s="13"/>
      <c r="AS85" s="13"/>
      <c r="AT85" s="13"/>
    </row>
    <row r="86" spans="1:46">
      <c r="A86" s="8" t="s">
        <v>247</v>
      </c>
      <c r="B86" s="8" t="s">
        <v>47</v>
      </c>
      <c r="C86" s="8" t="s">
        <v>48</v>
      </c>
      <c r="D86" s="8" t="s">
        <v>1406</v>
      </c>
      <c r="E86" s="8" t="s">
        <v>1774</v>
      </c>
      <c r="F86" s="8" t="s">
        <v>1775</v>
      </c>
      <c r="G86" s="8" t="s">
        <v>1777</v>
      </c>
      <c r="H86" s="8" t="str">
        <f ca="1">IFERROR(__xludf.DUMMYFUNCTION("VLOOKUP(G86, IMPORTRANGE(""https://docs.google.com/spreadsheets/d/14deopnvwcrKtEGCKuYXdUHJbeLDZlkiSSWWT0g7x2pM/edit#gid=849066331"", ""LU List Science (Filter)!A:B""), 2, FALSE)"),"Mobility in joints")</f>
        <v>Mobility in joints</v>
      </c>
      <c r="I86" s="10" t="str">
        <f t="shared" si="0"/>
        <v>LU005193.001</v>
      </c>
      <c r="J86" s="10" t="str">
        <f ca="1">IFERROR(__xludf.DUMMYFUNCTION("VLOOKUP(I86, IMPORTRANGE(""https://docs.google.com/spreadsheets/d/1yDAaXNsi4Mr5FtRQL4tbmSdIzhx6_m4wkOD7IG-k_eo/edit#gid=1336395716"", ""Science!M:N""), 2, FALSE)"),"Recall the concept of joint mobility, involving the range of movement allowed by different types of joints.")</f>
        <v>Recall the concept of joint mobility, involving the range of movement allowed by different types of joints.</v>
      </c>
      <c r="K86" s="10" t="str">
        <f t="shared" si="1"/>
        <v>LU005193.002</v>
      </c>
      <c r="L86" s="10" t="str">
        <f ca="1">IFERROR(__xludf.DUMMYFUNCTION("VLOOKUP(K86, IMPORTRANGE(""https://docs.google.com/spreadsheets/d/1yDAaXNsi4Mr5FtRQL4tbmSdIzhx6_m4wkOD7IG-k_eo/edit#gid=1336395716"", ""Science!M:N""), 2, FALSE)"),"Explain how different joints provide varying degrees of mobility, influencing the range of motion in body parts.")</f>
        <v>Explain how different joints provide varying degrees of mobility, influencing the range of motion in body parts.</v>
      </c>
      <c r="M86" s="10" t="str">
        <f t="shared" si="2"/>
        <v>LU005193.003</v>
      </c>
      <c r="N86" s="10" t="str">
        <f ca="1">IFERROR(__xludf.DUMMYFUNCTION("VLOOKUP(M86, IMPORTRANGE(""https://docs.google.com/spreadsheets/d/1yDAaXNsi4Mr5FtRQL4tbmSdIzhx6_m4wkOD7IG-k_eo/edit#gid=1336395716"", ""Science!M:N""), 2, FALSE)"),"Demonstrate the flexibility of different joints by showcasing their specific ranges of movement through physical activities.")</f>
        <v>Demonstrate the flexibility of different joints by showcasing their specific ranges of movement through physical activities.</v>
      </c>
      <c r="O86" s="10" t="str">
        <f t="shared" si="3"/>
        <v>LU005193.004</v>
      </c>
      <c r="P86" s="10" t="str">
        <f ca="1">IFERROR(__xludf.DUMMYFUNCTION("VLOOKUP(O86, IMPORTRANGE(""https://docs.google.com/spreadsheets/d/1yDAaXNsi4Mr5FtRQL4tbmSdIzhx6_m4wkOD7IG-k_eo/edit#gid=1336395716"", ""Science!M:N""), 2, FALSE)"),"Compare the mobility of different joint types, considering how they impact various human movements and activities.")</f>
        <v>Compare the mobility of different joint types, considering how they impact various human movements and activities.</v>
      </c>
      <c r="Q86" s="10" t="str">
        <f t="shared" si="4"/>
        <v>LU005193.005</v>
      </c>
      <c r="R86" s="10" t="str">
        <f ca="1">IFERROR(__xludf.DUMMYFUNCTION("VLOOKUP(Q86, IMPORTRANGE(""https://docs.google.com/spreadsheets/d/1yDAaXNsi4Mr5FtRQL4tbmSdIzhx6_m4wkOD7IG-k_eo/edit#gid=1336395716"", ""Science!M:N""), 2, FALSE)"),"Judge the significance of joint mobility for overall body functionality and its role in performing daily tasks.")</f>
        <v>Judge the significance of joint mobility for overall body functionality and its role in performing daily tasks.</v>
      </c>
      <c r="S86" s="10" t="str">
        <f t="shared" si="5"/>
        <v>LU005193.006</v>
      </c>
      <c r="T86" s="10" t="str">
        <f ca="1">IFERROR(__xludf.DUMMYFUNCTION("VLOOKUP(S86, IMPORTRANGE(""https://docs.google.com/spreadsheets/d/1yDAaXNsi4Mr5FtRQL4tbmSdIzhx6_m4wkOD7IG-k_eo/edit#gid=1336395716"", ""Science!M:N""), 2, FALSE)"),"Devise a simple workout routine that targets the mobility of different joints, highlighting the importance of maintaining joint flexibility for a healthy lifestyle.")</f>
        <v>Devise a simple workout routine that targets the mobility of different joints, highlighting the importance of maintaining joint flexibility for a healthy lifestyle.</v>
      </c>
      <c r="U86" s="11">
        <f ca="1">IFERROR(__xludf.DUMMYFUNCTION("ArrayFormula(VLOOKUP(G86, IMPORTRANGE(""https://docs.google.com/spreadsheets/d/1p7R4vtkWt5VOBim4ltsDG9KTzSjrtKXsMtQGXPHyND0/edit#gid=795171502"", ""'Filter 30_05_2024'!A1:M2000""), {2, 3, 4, 5,6,7,8,9,10,11,12,13}, 0))"),11)</f>
        <v>11</v>
      </c>
      <c r="V86" s="38">
        <f ca="1">IFERROR(__xludf.DUMMYFUNCTION("""COMPUTED_VALUE"""),5)</f>
        <v>5</v>
      </c>
      <c r="W86" s="11">
        <f ca="1">IFERROR(__xludf.DUMMYFUNCTION("""COMPUTED_VALUE"""),4)</f>
        <v>4</v>
      </c>
      <c r="X86" s="11">
        <f ca="1">IFERROR(__xludf.DUMMYFUNCTION("""COMPUTED_VALUE"""),20)</f>
        <v>20</v>
      </c>
      <c r="Y86" s="11">
        <f ca="1">IFERROR(__xludf.DUMMYFUNCTION("""COMPUTED_VALUE"""),4)</f>
        <v>4</v>
      </c>
      <c r="Z86" s="12">
        <f ca="1">IFERROR(__xludf.DUMMYFUNCTION("""COMPUTED_VALUE"""),4)</f>
        <v>4</v>
      </c>
      <c r="AA86" s="12">
        <f ca="1">IFERROR(__xludf.DUMMYFUNCTION("""COMPUTED_VALUE"""),3)</f>
        <v>3</v>
      </c>
      <c r="AB86" s="12">
        <f ca="1">IFERROR(__xludf.DUMMYFUNCTION("""COMPUTED_VALUE"""),11)</f>
        <v>11</v>
      </c>
      <c r="AC86" s="12"/>
      <c r="AD86" s="12"/>
      <c r="AE86" s="12"/>
      <c r="AF86" s="12"/>
      <c r="AG86" s="13" t="str">
        <f ca="1">IFERROR(__xludf.DUMMYFUNCTION("ArrayFormula(VLOOKUP(G86, IMPORTRANGE(""https://docs.google.com/spreadsheets/d/1Co934fvtviyaRiMsrIlT05Jaq7iiYq07aLvRr35KA48/edit?gid=173865642#gid=173865642"", ""'G6_Sci_Pri_LU'!G2:V2000""), {3, 4, 5, 6, 7, 8, 9, 10, 11, 12, 13, 14, 15, 16}, 0))"),"LU005102")</f>
        <v>LU005102</v>
      </c>
      <c r="AH86" s="13" t="str">
        <f ca="1">IFERROR(__xludf.DUMMYFUNCTION("""COMPUTED_VALUE"""),"Definition of Joints in Humans")</f>
        <v>Definition of Joints in Humans</v>
      </c>
      <c r="AI86" s="13"/>
      <c r="AJ86" s="13"/>
      <c r="AK86" s="13"/>
      <c r="AL86" s="13"/>
      <c r="AM86" s="13"/>
      <c r="AN86" s="13"/>
      <c r="AO86" s="13"/>
      <c r="AP86" s="13"/>
      <c r="AQ86" s="13"/>
      <c r="AR86" s="13"/>
      <c r="AS86" s="13"/>
      <c r="AT86" s="13"/>
    </row>
    <row r="87" spans="1:46">
      <c r="A87" s="8" t="s">
        <v>247</v>
      </c>
      <c r="B87" s="8" t="s">
        <v>47</v>
      </c>
      <c r="C87" s="8" t="s">
        <v>48</v>
      </c>
      <c r="D87" s="8" t="s">
        <v>1406</v>
      </c>
      <c r="E87" s="8" t="s">
        <v>1774</v>
      </c>
      <c r="F87" s="8" t="s">
        <v>1778</v>
      </c>
      <c r="G87" s="8" t="s">
        <v>1779</v>
      </c>
      <c r="H87" s="8" t="str">
        <f ca="1">IFERROR(__xludf.DUMMYFUNCTION("VLOOKUP(G87, IMPORTRANGE(""https://docs.google.com/spreadsheets/d/14deopnvwcrKtEGCKuYXdUHJbeLDZlkiSSWWT0g7x2pM/edit#gid=849066331"", ""LU List Science (Filter)!A:B""), 2, FALSE)"),"Hinge, pivotal, fixed, gliding, and ball and socket.")</f>
        <v>Hinge, pivotal, fixed, gliding, and ball and socket.</v>
      </c>
      <c r="I87" s="10" t="str">
        <f t="shared" si="0"/>
        <v>LU005194.001</v>
      </c>
      <c r="J87" s="10" t="str">
        <f ca="1">IFERROR(__xludf.DUMMYFUNCTION("VLOOKUP(I87, IMPORTRANGE(""https://docs.google.com/spreadsheets/d/1yDAaXNsi4Mr5FtRQL4tbmSdIzhx6_m4wkOD7IG-k_eo/edit#gid=1336395716"", ""Science!M:N""), 2, FALSE)"),"Students will identify and name the five types of joints: hinge, pivotal, fixed, gliding, and ball and socket.")</f>
        <v>Students will identify and name the five types of joints: hinge, pivotal, fixed, gliding, and ball and socket.</v>
      </c>
      <c r="K87" s="10" t="str">
        <f t="shared" si="1"/>
        <v>LU005194.002</v>
      </c>
      <c r="L87" s="10" t="str">
        <f ca="1">IFERROR(__xludf.DUMMYFUNCTION("VLOOKUP(K87, IMPORTRANGE(""https://docs.google.com/spreadsheets/d/1yDAaXNsi4Mr5FtRQL4tbmSdIzhx6_m4wkOD7IG-k_eo/edit#gid=1336395716"", ""Science!M:N""), 2, FALSE)"),"Students will describe the characteristics and functions of hinge, pivotal, fixed, gliding, and ball and socket joints.")</f>
        <v>Students will describe the characteristics and functions of hinge, pivotal, fixed, gliding, and ball and socket joints.</v>
      </c>
      <c r="M87" s="10" t="str">
        <f t="shared" si="2"/>
        <v>LU005194.003</v>
      </c>
      <c r="N87" s="10" t="str">
        <f ca="1">IFERROR(__xludf.DUMMYFUNCTION("VLOOKUP(M87, IMPORTRANGE(""https://docs.google.com/spreadsheets/d/1yDAaXNsi4Mr5FtRQL4tbmSdIzhx6_m4wkOD7IG-k_eo/edit#gid=1336395716"", ""Science!M:N""), 2, FALSE)"),"Students will associate various types of joints with corresponding human body movements.")</f>
        <v>Students will associate various types of joints with corresponding human body movements.</v>
      </c>
      <c r="O87" s="10" t="str">
        <f t="shared" si="3"/>
        <v>LU005194.004</v>
      </c>
      <c r="P87" s="10" t="str">
        <f ca="1">IFERROR(__xludf.DUMMYFUNCTION("VLOOKUP(O87, IMPORTRANGE(""https://docs.google.com/spreadsheets/d/1yDAaXNsi4Mr5FtRQL4tbmSdIzhx6_m4wkOD7IG-k_eo/edit#gid=1336395716"", ""Science!M:N""), 2, FALSE)"),"Students will differentiate between the types of joints by analyzing their structures and movements.")</f>
        <v>Students will differentiate between the types of joints by analyzing their structures and movements.</v>
      </c>
      <c r="Q87" s="10" t="str">
        <f t="shared" si="4"/>
        <v>LU005194.005</v>
      </c>
      <c r="R87" s="10" t="str">
        <f ca="1">IFERROR(__xludf.DUMMYFUNCTION("VLOOKUP(Q87, IMPORTRANGE(""https://docs.google.com/spreadsheets/d/1yDAaXNsi4Mr5FtRQL4tbmSdIzhx6_m4wkOD7IG-k_eo/edit#gid=1336395716"", ""Science!M:N""), 2, FALSE)"),"Students will evaluate the importance of different types of joints in various physical activities and how they contribute to movement efficiency.")</f>
        <v>Students will evaluate the importance of different types of joints in various physical activities and how they contribute to movement efficiency.</v>
      </c>
      <c r="S87" s="10" t="str">
        <f t="shared" si="5"/>
        <v>LU005194.006</v>
      </c>
      <c r="T87" s="10" t="str">
        <f ca="1">IFERROR(__xludf.DUMMYFUNCTION("VLOOKUP(S87, IMPORTRANGE(""https://docs.google.com/spreadsheets/d/1yDAaXNsi4Mr5FtRQL4tbmSdIzhx6_m4wkOD7IG-k_eo/edit#gid=1336395716"", ""Science!M:N""), 2, FALSE)"),"Students will construct a model or a diagram that demonstrates the mechanics of each type of joint in motion.")</f>
        <v>Students will construct a model or a diagram that demonstrates the mechanics of each type of joint in motion.</v>
      </c>
      <c r="U87" s="11">
        <f ca="1">IFERROR(__xludf.DUMMYFUNCTION("ArrayFormula(VLOOKUP(G87, IMPORTRANGE(""https://docs.google.com/spreadsheets/d/1p7R4vtkWt5VOBim4ltsDG9KTzSjrtKXsMtQGXPHyND0/edit#gid=795171502"", ""'Filter 30_05_2024'!A1:M2000""), {2, 3, 4, 5,6,7,8,9,10,11,12,13}, 0))"),25)</f>
        <v>25</v>
      </c>
      <c r="V87" s="11">
        <f ca="1">IFERROR(__xludf.DUMMYFUNCTION("""COMPUTED_VALUE"""),7)</f>
        <v>7</v>
      </c>
      <c r="W87" s="11">
        <f ca="1">IFERROR(__xludf.DUMMYFUNCTION("""COMPUTED_VALUE"""),3)</f>
        <v>3</v>
      </c>
      <c r="X87" s="11">
        <f ca="1">IFERROR(__xludf.DUMMYFUNCTION("""COMPUTED_VALUE"""),35)</f>
        <v>35</v>
      </c>
      <c r="Y87" s="11">
        <f ca="1">IFERROR(__xludf.DUMMYFUNCTION("""COMPUTED_VALUE"""),13)</f>
        <v>13</v>
      </c>
      <c r="Z87" s="12">
        <f ca="1">IFERROR(__xludf.DUMMYFUNCTION("""COMPUTED_VALUE"""),6)</f>
        <v>6</v>
      </c>
      <c r="AA87" s="12">
        <f ca="1">IFERROR(__xludf.DUMMYFUNCTION("""COMPUTED_VALUE"""),3)</f>
        <v>3</v>
      </c>
      <c r="AB87" s="12">
        <f ca="1">IFERROR(__xludf.DUMMYFUNCTION("""COMPUTED_VALUE"""),22)</f>
        <v>22</v>
      </c>
      <c r="AC87" s="12"/>
      <c r="AD87" s="12"/>
      <c r="AE87" s="12"/>
      <c r="AF87" s="12"/>
      <c r="AG87" s="13" t="str">
        <f ca="1">IFERROR(__xludf.DUMMYFUNCTION("ArrayFormula(VLOOKUP(G87, IMPORTRANGE(""https://docs.google.com/spreadsheets/d/1Co934fvtviyaRiMsrIlT05Jaq7iiYq07aLvRr35KA48/edit?gid=173865642#gid=173865642"", ""'G6_Sci_Pri_LU'!G2:V2000""), {3, 4, 5, 6, 7, 8, 9, 10, 11, 12, 13, 14, 15, 16}, 0))"),"LU005102")</f>
        <v>LU005102</v>
      </c>
      <c r="AH87" s="13" t="str">
        <f ca="1">IFERROR(__xludf.DUMMYFUNCTION("""COMPUTED_VALUE"""),"Definition of Joints in Humans")</f>
        <v>Definition of Joints in Humans</v>
      </c>
      <c r="AI87" s="13" t="str">
        <f ca="1">IFERROR(__xludf.DUMMYFUNCTION("""COMPUTED_VALUE"""),"LU005193")</f>
        <v>LU005193</v>
      </c>
      <c r="AJ87" s="13" t="str">
        <f ca="1">IFERROR(__xludf.DUMMYFUNCTION("""COMPUTED_VALUE"""),"Mobility in joints")</f>
        <v>Mobility in joints</v>
      </c>
      <c r="AK87" s="13"/>
      <c r="AL87" s="13"/>
      <c r="AM87" s="13"/>
      <c r="AN87" s="13"/>
      <c r="AO87" s="13"/>
      <c r="AP87" s="13"/>
      <c r="AQ87" s="13"/>
      <c r="AR87" s="13"/>
      <c r="AS87" s="13"/>
      <c r="AT87" s="13"/>
    </row>
    <row r="88" spans="1:46">
      <c r="A88" s="8" t="s">
        <v>247</v>
      </c>
      <c r="B88" s="8" t="s">
        <v>47</v>
      </c>
      <c r="C88" s="8" t="s">
        <v>48</v>
      </c>
      <c r="D88" s="8" t="s">
        <v>1406</v>
      </c>
      <c r="E88" s="8" t="s">
        <v>1774</v>
      </c>
      <c r="F88" s="8" t="s">
        <v>1780</v>
      </c>
      <c r="G88" s="8" t="s">
        <v>1781</v>
      </c>
      <c r="H88" s="8" t="str">
        <f ca="1">IFERROR(__xludf.DUMMYFUNCTION("VLOOKUP(G88, IMPORTRANGE(""https://docs.google.com/spreadsheets/d/14deopnvwcrKtEGCKuYXdUHJbeLDZlkiSSWWT0g7x2pM/edit#gid=849066331"", ""LU List Science (Filter)!A:B""), 2, FALSE)"),"Human skeleton(bones and cartilage)")</f>
        <v>Human skeleton(bones and cartilage)</v>
      </c>
      <c r="I88" s="10" t="str">
        <f t="shared" si="0"/>
        <v>LU005965.001</v>
      </c>
      <c r="J88" s="10" t="str">
        <f ca="1">IFERROR(__xludf.DUMMYFUNCTION("VLOOKUP(I88, IMPORTRANGE(""https://docs.google.com/spreadsheets/d/1yDAaXNsi4Mr5FtRQL4tbmSdIzhx6_m4wkOD7IG-k_eo/edit#gid=1336395716"", ""Science!M:N""), 2, FALSE)"),"Recall the basic functions and characteristics of the human skeleton, bones and cartilage.")</f>
        <v>Recall the basic functions and characteristics of the human skeleton, bones and cartilage.</v>
      </c>
      <c r="K88" s="10" t="str">
        <f t="shared" si="1"/>
        <v>LU005965.002</v>
      </c>
      <c r="L88" s="10" t="str">
        <f ca="1">IFERROR(__xludf.DUMMYFUNCTION("VLOOKUP(K88, IMPORTRANGE(""https://docs.google.com/spreadsheets/d/1yDAaXNsi4Mr5FtRQL4tbmSdIzhx6_m4wkOD7IG-k_eo/edit#gid=1336395716"", ""Science!M:N""), 2, FALSE)"),"Describe the basic functions and characteristics of the human skeleton, bones and cartilage.")</f>
        <v>Describe the basic functions and characteristics of the human skeleton, bones and cartilage.</v>
      </c>
      <c r="M88" s="10" t="str">
        <f t="shared" si="2"/>
        <v>LU005965.003</v>
      </c>
      <c r="N88" s="10" t="str">
        <f ca="1">IFERROR(__xludf.DUMMYFUNCTION("VLOOKUP(M88, IMPORTRANGE(""https://docs.google.com/spreadsheets/d/1yDAaXNsi4Mr5FtRQL4tbmSdIzhx6_m4wkOD7IG-k_eo/edit#gid=1336395716"", ""Science!M:N""), 2, FALSE)"),"Apply knowledge of the human skeleton to label a diagram with bones and cartilage.")</f>
        <v>Apply knowledge of the human skeleton to label a diagram with bones and cartilage.</v>
      </c>
      <c r="O88" s="10" t="str">
        <f t="shared" si="3"/>
        <v>LU005965.004</v>
      </c>
      <c r="P88" s="10" t="str">
        <f ca="1">IFERROR(__xludf.DUMMYFUNCTION("VLOOKUP(O88, IMPORTRANGE(""https://docs.google.com/spreadsheets/d/1yDAaXNsi4Mr5FtRQL4tbmSdIzhx6_m4wkOD7IG-k_eo/edit#gid=1336395716"", ""Science!M:N""), 2, FALSE)"),"Analyze the relationship between the structure of bones and cartilage and their functions in body movement.")</f>
        <v>Analyze the relationship between the structure of bones and cartilage and their functions in body movement.</v>
      </c>
      <c r="Q88" s="10" t="str">
        <f t="shared" si="4"/>
        <v>LU005965.005</v>
      </c>
      <c r="R88" s="10" t="str">
        <f ca="1">IFERROR(__xludf.DUMMYFUNCTION("VLOOKUP(Q88, IMPORTRANGE(""https://docs.google.com/spreadsheets/d/1yDAaXNsi4Mr5FtRQL4tbmSdIzhx6_m4wkOD7IG-k_eo/edit#gid=1336395716"", ""Science!M:N""), 2, FALSE)"),"Evaluate the impact of nutrition and exercise on bone and cartilage health.")</f>
        <v>Evaluate the impact of nutrition and exercise on bone and cartilage health.</v>
      </c>
      <c r="S88" s="10" t="str">
        <f t="shared" si="5"/>
        <v>LU005965.006</v>
      </c>
      <c r="T88" s="10" t="str">
        <f ca="1">IFERROR(__xludf.DUMMYFUNCTION("VLOOKUP(S88, IMPORTRANGE(""https://docs.google.com/spreadsheets/d/1yDAaXNsi4Mr5FtRQL4tbmSdIzhx6_m4wkOD7IG-k_eo/edit#gid=1336395716"", ""Science!M:N""), 2, FALSE)"),"#N/A")</f>
        <v>#N/A</v>
      </c>
      <c r="U88" s="11">
        <f ca="1">IFERROR(__xludf.DUMMYFUNCTION("ArrayFormula(VLOOKUP(G88, IMPORTRANGE(""https://docs.google.com/spreadsheets/d/1p7R4vtkWt5VOBim4ltsDG9KTzSjrtKXsMtQGXPHyND0/edit#gid=795171502"", ""'Filter 30_05_2024'!A1:M2000""), {2, 3, 4, 5,6,7,8,9,10,11,12,13}, 0))"),13)</f>
        <v>13</v>
      </c>
      <c r="V88" s="11">
        <f ca="1">IFERROR(__xludf.DUMMYFUNCTION("""COMPUTED_VALUE"""),7)</f>
        <v>7</v>
      </c>
      <c r="W88" s="11">
        <f ca="1">IFERROR(__xludf.DUMMYFUNCTION("""COMPUTED_VALUE"""),2)</f>
        <v>2</v>
      </c>
      <c r="X88" s="11">
        <f ca="1">IFERROR(__xludf.DUMMYFUNCTION("""COMPUTED_VALUE"""),22)</f>
        <v>22</v>
      </c>
      <c r="Y88" s="11">
        <f ca="1">IFERROR(__xludf.DUMMYFUNCTION("""COMPUTED_VALUE"""),7)</f>
        <v>7</v>
      </c>
      <c r="Z88" s="12">
        <f ca="1">IFERROR(__xludf.DUMMYFUNCTION("""COMPUTED_VALUE"""),3)</f>
        <v>3</v>
      </c>
      <c r="AA88" s="12">
        <f ca="1">IFERROR(__xludf.DUMMYFUNCTION("""COMPUTED_VALUE"""),1)</f>
        <v>1</v>
      </c>
      <c r="AB88" s="12">
        <f ca="1">IFERROR(__xludf.DUMMYFUNCTION("""COMPUTED_VALUE"""),11)</f>
        <v>11</v>
      </c>
      <c r="AC88" s="12"/>
      <c r="AD88" s="12"/>
      <c r="AE88" s="12"/>
      <c r="AF88" s="12"/>
      <c r="AG88" s="13" t="str">
        <f ca="1">IFERROR(__xludf.DUMMYFUNCTION("ArrayFormula(VLOOKUP(G88, IMPORTRANGE(""https://docs.google.com/spreadsheets/d/1Co934fvtviyaRiMsrIlT05Jaq7iiYq07aLvRr35KA48/edit?gid=173865642#gid=173865642"", ""'G6_Sci_Pri_LU'!G2:V2000""), {3, 4, 5, 6, 7, 8, 9, 10, 11, 12, 13, 14, 15, 16}, 0))"),"LU005102")</f>
        <v>LU005102</v>
      </c>
      <c r="AH88" s="13" t="str">
        <f ca="1">IFERROR(__xludf.DUMMYFUNCTION("""COMPUTED_VALUE"""),"Definition of Joints in Humans")</f>
        <v>Definition of Joints in Humans</v>
      </c>
      <c r="AI88" s="13" t="str">
        <f ca="1">IFERROR(__xludf.DUMMYFUNCTION("""COMPUTED_VALUE"""),"LU005105")</f>
        <v>LU005105</v>
      </c>
      <c r="AJ88" s="13" t="str">
        <f ca="1">IFERROR(__xludf.DUMMYFUNCTION("""COMPUTED_VALUE"""),"Definition of Skeletal System")</f>
        <v>Definition of Skeletal System</v>
      </c>
      <c r="AK88" s="13"/>
      <c r="AL88" s="13"/>
      <c r="AM88" s="13"/>
      <c r="AN88" s="13"/>
      <c r="AO88" s="13"/>
      <c r="AP88" s="13"/>
      <c r="AQ88" s="13"/>
      <c r="AR88" s="13"/>
      <c r="AS88" s="13"/>
      <c r="AT88" s="13"/>
    </row>
    <row r="89" spans="1:46">
      <c r="A89" s="8" t="s">
        <v>247</v>
      </c>
      <c r="B89" s="8" t="s">
        <v>47</v>
      </c>
      <c r="C89" s="8" t="s">
        <v>48</v>
      </c>
      <c r="D89" s="8" t="s">
        <v>1406</v>
      </c>
      <c r="E89" s="8" t="s">
        <v>1774</v>
      </c>
      <c r="F89" s="8" t="s">
        <v>1780</v>
      </c>
      <c r="G89" s="8" t="s">
        <v>1782</v>
      </c>
      <c r="H89" s="8" t="str">
        <f ca="1">IFERROR(__xludf.DUMMYFUNCTION("VLOOKUP(G89, IMPORTRANGE(""https://docs.google.com/spreadsheets/d/14deopnvwcrKtEGCKuYXdUHJbeLDZlkiSSWWT0g7x2pM/edit#gid=849066331"", ""LU List Science (Filter)!A:B""), 2, FALSE)"),"Human bones (carpel, shoulder, pelvic, rib cage, back, skull)")</f>
        <v>Human bones (carpel, shoulder, pelvic, rib cage, back, skull)</v>
      </c>
      <c r="I89" s="10" t="str">
        <f t="shared" si="0"/>
        <v>LU005196.001</v>
      </c>
      <c r="J89" s="10" t="str">
        <f ca="1">IFERROR(__xludf.DUMMYFUNCTION("VLOOKUP(I89, IMPORTRANGE(""https://docs.google.com/spreadsheets/d/1yDAaXNsi4Mr5FtRQL4tbmSdIzhx6_m4wkOD7IG-k_eo/edit#gid=1336395716"", ""Science!M:N""), 2, FALSE)"),"Students will identify and name the carpel bones, shoulder bones, pelvic bones, rib cage bones, backbones, and skull bones.")</f>
        <v>Students will identify and name the carpel bones, shoulder bones, pelvic bones, rib cage bones, backbones, and skull bones.</v>
      </c>
      <c r="K89" s="10" t="str">
        <f t="shared" si="1"/>
        <v>LU005196.002</v>
      </c>
      <c r="L89" s="10" t="str">
        <f ca="1">IFERROR(__xludf.DUMMYFUNCTION("VLOOKUP(K89, IMPORTRANGE(""https://docs.google.com/spreadsheets/d/1yDAaXNsi4Mr5FtRQL4tbmSdIzhx6_m4wkOD7IG-k_eo/edit#gid=1336395716"", ""Science!M:N""), 2, FALSE)"),"Students will describe the function of each type of bone within the human skeletal system.")</f>
        <v>Students will describe the function of each type of bone within the human skeletal system.</v>
      </c>
      <c r="M89" s="10" t="str">
        <f t="shared" si="2"/>
        <v>LU005196.003</v>
      </c>
      <c r="N89" s="10" t="str">
        <f ca="1">IFERROR(__xludf.DUMMYFUNCTION("VLOOKUP(M89, IMPORTRANGE(""https://docs.google.com/spreadsheets/d/1yDAaXNsi4Mr5FtRQL4tbmSdIzhx6_m4wkOD7IG-k_eo/edit#gid=1336395716"", ""Science!M:N""), 2, FALSE)"),"Students will categorize the bones based on their location and function in the body.")</f>
        <v>Students will categorize the bones based on their location and function in the body.</v>
      </c>
      <c r="O89" s="10" t="str">
        <f t="shared" si="3"/>
        <v>LU005196.004</v>
      </c>
      <c r="P89" s="10" t="str">
        <f ca="1">IFERROR(__xludf.DUMMYFUNCTION("VLOOKUP(O89, IMPORTRANGE(""https://docs.google.com/spreadsheets/d/1yDAaXNsi4Mr5FtRQL4tbmSdIzhx6_m4wkOD7IG-k_eo/edit#gid=1336395716"", ""Science!M:N""), 2, FALSE)"),"Students will analyze the relationship between the structure of various human bones and their role in movement and support.")</f>
        <v>Students will analyze the relationship between the structure of various human bones and their role in movement and support.</v>
      </c>
      <c r="Q89" s="10" t="str">
        <f t="shared" si="4"/>
        <v>LU005196.005</v>
      </c>
      <c r="R89" s="10" t="str">
        <f ca="1">IFERROR(__xludf.DUMMYFUNCTION("VLOOKUP(Q89, IMPORTRANGE(""https://docs.google.com/spreadsheets/d/1yDAaXNsi4Mr5FtRQL4tbmSdIzhx6_m4wkOD7IG-k_eo/edit#gid=1336395716"", ""Science!M:N""), 2, FALSE)"),"Students will evaluate the impact of diet and exercise on the health and strength of bones.")</f>
        <v>Students will evaluate the impact of diet and exercise on the health and strength of bones.</v>
      </c>
      <c r="S89" s="10" t="str">
        <f t="shared" si="5"/>
        <v>LU005196.006</v>
      </c>
      <c r="T89" s="10" t="str">
        <f ca="1">IFERROR(__xludf.DUMMYFUNCTION("VLOOKUP(S89, IMPORTRANGE(""https://docs.google.com/spreadsheets/d/1yDAaXNsi4Mr5FtRQL4tbmSdIzhx6_m4wkOD7IG-k_eo/edit#gid=1336395716"", ""Science!M:N""), 2, FALSE)"),"#N/A")</f>
        <v>#N/A</v>
      </c>
      <c r="U89" s="11">
        <f ca="1">IFERROR(__xludf.DUMMYFUNCTION("ArrayFormula(VLOOKUP(G89, IMPORTRANGE(""https://docs.google.com/spreadsheets/d/1p7R4vtkWt5VOBim4ltsDG9KTzSjrtKXsMtQGXPHyND0/edit#gid=795171502"", ""'Filter 30_05_2024'!A1:M2000""), {2, 3, 4, 5,6,7,8,9,10,11,12,13}, 0))"),31)</f>
        <v>31</v>
      </c>
      <c r="V89" s="11">
        <f ca="1">IFERROR(__xludf.DUMMYFUNCTION("""COMPUTED_VALUE"""),6)</f>
        <v>6</v>
      </c>
      <c r="W89" s="11">
        <f ca="1">IFERROR(__xludf.DUMMYFUNCTION("""COMPUTED_VALUE"""),2)</f>
        <v>2</v>
      </c>
      <c r="X89" s="11">
        <f ca="1">IFERROR(__xludf.DUMMYFUNCTION("""COMPUTED_VALUE"""),39)</f>
        <v>39</v>
      </c>
      <c r="Y89" s="11">
        <f ca="1">IFERROR(__xludf.DUMMYFUNCTION("""COMPUTED_VALUE"""),10)</f>
        <v>10</v>
      </c>
      <c r="Z89" s="12">
        <f ca="1">IFERROR(__xludf.DUMMYFUNCTION("""COMPUTED_VALUE"""),3)</f>
        <v>3</v>
      </c>
      <c r="AA89" s="12">
        <f ca="1">IFERROR(__xludf.DUMMYFUNCTION("""COMPUTED_VALUE"""),1)</f>
        <v>1</v>
      </c>
      <c r="AB89" s="12">
        <f ca="1">IFERROR(__xludf.DUMMYFUNCTION("""COMPUTED_VALUE"""),14)</f>
        <v>14</v>
      </c>
      <c r="AC89" s="12"/>
      <c r="AD89" s="12"/>
      <c r="AE89" s="12"/>
      <c r="AF89" s="12"/>
      <c r="AG89" s="13" t="str">
        <f ca="1">IFERROR(__xludf.DUMMYFUNCTION("ArrayFormula(VLOOKUP(G89, IMPORTRANGE(""https://docs.google.com/spreadsheets/d/1Co934fvtviyaRiMsrIlT05Jaq7iiYq07aLvRr35KA48/edit?gid=173865642#gid=173865642"", ""'G6_Sci_Pri_LU'!G2:V2000""), {3, 4, 5, 6, 7, 8, 9, 10, 11, 12, 13, 14, 15, 16}, 0))"),"LU005965")</f>
        <v>LU005965</v>
      </c>
      <c r="AH89" s="13" t="str">
        <f ca="1">IFERROR(__xludf.DUMMYFUNCTION("""COMPUTED_VALUE"""),"Human skeleton(bones and cartilage)")</f>
        <v>Human skeleton(bones and cartilage)</v>
      </c>
      <c r="AI89" s="13" t="str">
        <f ca="1">IFERROR(__xludf.DUMMYFUNCTION("""COMPUTED_VALUE"""),"LU005111")</f>
        <v>LU005111</v>
      </c>
      <c r="AJ89" s="13" t="str">
        <f ca="1">IFERROR(__xludf.DUMMYFUNCTION("""COMPUTED_VALUE"""),"Major Limb Bones in Humans")</f>
        <v>Major Limb Bones in Humans</v>
      </c>
      <c r="AK89" s="13"/>
      <c r="AL89" s="13"/>
      <c r="AM89" s="13"/>
      <c r="AN89" s="13"/>
      <c r="AO89" s="13"/>
      <c r="AP89" s="13"/>
      <c r="AQ89" s="13"/>
      <c r="AR89" s="13"/>
      <c r="AS89" s="13"/>
      <c r="AT89" s="13"/>
    </row>
    <row r="90" spans="1:46">
      <c r="A90" s="8" t="s">
        <v>247</v>
      </c>
      <c r="B90" s="8" t="s">
        <v>47</v>
      </c>
      <c r="C90" s="8" t="s">
        <v>48</v>
      </c>
      <c r="D90" s="8" t="s">
        <v>1406</v>
      </c>
      <c r="E90" s="8" t="s">
        <v>1774</v>
      </c>
      <c r="F90" s="118" t="s">
        <v>1783</v>
      </c>
      <c r="G90" s="8" t="s">
        <v>1784</v>
      </c>
      <c r="H90" s="8" t="str">
        <f ca="1">IFERROR(__xludf.DUMMYFUNCTION("VLOOKUP(G90, IMPORTRANGE(""https://docs.google.com/spreadsheets/d/14deopnvwcrKtEGCKuYXdUHJbeLDZlkiSSWWT0g7x2pM/edit#gid=849066331"", ""LU List Science (Filter)!A:B""), 2, FALSE)"),"Usage of X-ray images to study human bones and joints")</f>
        <v>Usage of X-ray images to study human bones and joints</v>
      </c>
      <c r="I90" s="10" t="str">
        <f t="shared" si="0"/>
        <v>LU005195.001</v>
      </c>
      <c r="J90" s="10" t="str">
        <f ca="1">IFERROR(__xludf.DUMMYFUNCTION("VLOOKUP(I90, IMPORTRANGE(""https://docs.google.com/spreadsheets/d/1yDAaXNsi4Mr5FtRQL4tbmSdIzhx6_m4wkOD7IG-k_eo/edit#gid=1336395716"", ""Science!M:N""), 2, FALSE)"),"List the types of bones and joints in the human body that can be examined using X-ray images.")</f>
        <v>List the types of bones and joints in the human body that can be examined using X-ray images.</v>
      </c>
      <c r="K90" s="10" t="str">
        <f t="shared" si="1"/>
        <v>LU005195.002</v>
      </c>
      <c r="L90" s="10" t="str">
        <f ca="1">IFERROR(__xludf.DUMMYFUNCTION("VLOOKUP(K90, IMPORTRANGE(""https://docs.google.com/spreadsheets/d/1yDAaXNsi4Mr5FtRQL4tbmSdIzhx6_m4wkOD7IG-k_eo/edit#gid=1336395716"", ""Science!M:N""), 2, FALSE)"),"Describe how X-ray imaging helps in studying human bones and joints.")</f>
        <v>Describe how X-ray imaging helps in studying human bones and joints.</v>
      </c>
      <c r="M90" s="10" t="str">
        <f t="shared" si="2"/>
        <v>LU005195.003</v>
      </c>
      <c r="N90" s="10" t="str">
        <f ca="1">IFERROR(__xludf.DUMMYFUNCTION("VLOOKUP(M90, IMPORTRANGE(""https://docs.google.com/spreadsheets/d/1yDAaXNsi4Mr5FtRQL4tbmSdIzhx6_m4wkOD7IG-k_eo/edit#gid=1336395716"", ""Science!M:N""), 2, FALSE)"),"Apply knowledge of X-ray imaging to identify bones and joints in given X-ray images.")</f>
        <v>Apply knowledge of X-ray imaging to identify bones and joints in given X-ray images.</v>
      </c>
      <c r="O90" s="10" t="str">
        <f t="shared" si="3"/>
        <v>LU005195.004</v>
      </c>
      <c r="P90" s="10" t="str">
        <f ca="1">IFERROR(__xludf.DUMMYFUNCTION("VLOOKUP(O90, IMPORTRANGE(""https://docs.google.com/spreadsheets/d/1yDAaXNsi4Mr5FtRQL4tbmSdIzhx6_m4wkOD7IG-k_eo/edit#gid=1336395716"", ""Science!M:N""), 2, FALSE)"),"Analyze X-ray images to differentiate between healthy and unhealthy bone structures.")</f>
        <v>Analyze X-ray images to differentiate between healthy and unhealthy bone structures.</v>
      </c>
      <c r="Q90" s="10" t="str">
        <f t="shared" si="4"/>
        <v>LU005195.005</v>
      </c>
      <c r="R90" s="10" t="str">
        <f ca="1">IFERROR(__xludf.DUMMYFUNCTION("VLOOKUP(Q90, IMPORTRANGE(""https://docs.google.com/spreadsheets/d/1yDAaXNsi4Mr5FtRQL4tbmSdIzhx6_m4wkOD7IG-k_eo/edit#gid=1336395716"", ""Science!M:N""), 2, FALSE)"),"Evaluate the effectiveness of X-ray imaging in diagnosing joint and bone-related injuries.")</f>
        <v>Evaluate the effectiveness of X-ray imaging in diagnosing joint and bone-related injuries.</v>
      </c>
      <c r="S90" s="10" t="str">
        <f t="shared" si="5"/>
        <v>LU005195.006</v>
      </c>
      <c r="T90" s="10" t="str">
        <f ca="1">IFERROR(__xludf.DUMMYFUNCTION("VLOOKUP(S90, IMPORTRANGE(""https://docs.google.com/spreadsheets/d/1yDAaXNsi4Mr5FtRQL4tbmSdIzhx6_m4wkOD7IG-k_eo/edit#gid=1336395716"", ""Science!M:N""), 2, FALSE)"),"#N/A")</f>
        <v>#N/A</v>
      </c>
      <c r="U90" s="11">
        <f ca="1">IFERROR(__xludf.DUMMYFUNCTION("ArrayFormula(VLOOKUP(G90, IMPORTRANGE(""https://docs.google.com/spreadsheets/d/1p7R4vtkWt5VOBim4ltsDG9KTzSjrtKXsMtQGXPHyND0/edit#gid=795171502"", ""'Filter 30_05_2024'!A1:M2000""), {2, 3, 4, 5,6,7,8,9,10,11,12,13}, 0))"),3)</f>
        <v>3</v>
      </c>
      <c r="V90" s="11">
        <f ca="1">IFERROR(__xludf.DUMMYFUNCTION("""COMPUTED_VALUE"""),11)</f>
        <v>11</v>
      </c>
      <c r="W90" s="11">
        <f ca="1">IFERROR(__xludf.DUMMYFUNCTION("""COMPUTED_VALUE"""),2)</f>
        <v>2</v>
      </c>
      <c r="X90" s="11">
        <f ca="1">IFERROR(__xludf.DUMMYFUNCTION("""COMPUTED_VALUE"""),16)</f>
        <v>16</v>
      </c>
      <c r="Y90" s="11">
        <f ca="1">IFERROR(__xludf.DUMMYFUNCTION("""COMPUTED_VALUE"""),5)</f>
        <v>5</v>
      </c>
      <c r="Z90" s="115">
        <f ca="1">IFERROR(__xludf.DUMMYFUNCTION("""COMPUTED_VALUE"""),2)</f>
        <v>2</v>
      </c>
      <c r="AA90" s="12">
        <f ca="1">IFERROR(__xludf.DUMMYFUNCTION("""COMPUTED_VALUE"""),1)</f>
        <v>1</v>
      </c>
      <c r="AB90" s="12">
        <f ca="1">IFERROR(__xludf.DUMMYFUNCTION("""COMPUTED_VALUE"""),8)</f>
        <v>8</v>
      </c>
      <c r="AC90" s="12"/>
      <c r="AD90" s="12"/>
      <c r="AE90" s="12"/>
      <c r="AF90" s="12"/>
      <c r="AG90" s="13" t="str">
        <f ca="1">IFERROR(__xludf.DUMMYFUNCTION("ArrayFormula(VLOOKUP(G90, IMPORTRANGE(""https://docs.google.com/spreadsheets/d/1Co934fvtviyaRiMsrIlT05Jaq7iiYq07aLvRr35KA48/edit?gid=173865642#gid=173865642"", ""'G6_Sci_Pri_LU'!G2:V2000""), {3, 4, 5, 6, 7, 8, 9, 10, 11, 12, 13, 14, 15, 16}, 0))"),"LU005965")</f>
        <v>LU005965</v>
      </c>
      <c r="AH90" s="13" t="str">
        <f ca="1">IFERROR(__xludf.DUMMYFUNCTION("""COMPUTED_VALUE"""),"Human skeleton(bones and cartilage)")</f>
        <v>Human skeleton(bones and cartilage)</v>
      </c>
      <c r="AI90" s="13" t="str">
        <f ca="1">IFERROR(__xludf.DUMMYFUNCTION("""COMPUTED_VALUE"""),"LU005194")</f>
        <v>LU005194</v>
      </c>
      <c r="AJ90" s="13" t="str">
        <f ca="1">IFERROR(__xludf.DUMMYFUNCTION("""COMPUTED_VALUE"""),"Hinge, pivotal, fixed, gliding, and ball and socket.")</f>
        <v>Hinge, pivotal, fixed, gliding, and ball and socket.</v>
      </c>
      <c r="AK90" s="13" t="str">
        <f ca="1">IFERROR(__xludf.DUMMYFUNCTION("""COMPUTED_VALUE"""),"LU005196")</f>
        <v>LU005196</v>
      </c>
      <c r="AL90" s="13" t="str">
        <f ca="1">IFERROR(__xludf.DUMMYFUNCTION("""COMPUTED_VALUE"""),"Human bones (carpel, shoulder, pelvic, rib cage, back, skull)")</f>
        <v>Human bones (carpel, shoulder, pelvic, rib cage, back, skull)</v>
      </c>
      <c r="AM90" s="13"/>
      <c r="AN90" s="13"/>
      <c r="AO90" s="13"/>
      <c r="AP90" s="13"/>
      <c r="AQ90" s="13"/>
      <c r="AR90" s="13"/>
      <c r="AS90" s="13"/>
      <c r="AT90" s="13"/>
    </row>
    <row r="91" spans="1:46">
      <c r="A91" s="8" t="s">
        <v>247</v>
      </c>
      <c r="B91" s="8" t="s">
        <v>47</v>
      </c>
      <c r="C91" s="8" t="s">
        <v>48</v>
      </c>
      <c r="D91" s="8" t="s">
        <v>1406</v>
      </c>
      <c r="E91" s="8" t="s">
        <v>1774</v>
      </c>
      <c r="F91" s="118" t="s">
        <v>1783</v>
      </c>
      <c r="G91" s="8" t="s">
        <v>1785</v>
      </c>
      <c r="H91" s="8" t="str">
        <f ca="1">IFERROR(__xludf.DUMMYFUNCTION("VLOOKUP(G91, IMPORTRANGE(""https://docs.google.com/spreadsheets/d/14deopnvwcrKtEGCKuYXdUHJbeLDZlkiSSWWT0g7x2pM/edit#gid=849066331"", ""LU List Science (Filter)!A:B""), 2, FALSE)"),"Muscles(skeletal muscles)-definition, function, characteristics")</f>
        <v>Muscles(skeletal muscles)-definition, function, characteristics</v>
      </c>
      <c r="I91" s="10" t="str">
        <f t="shared" si="0"/>
        <v>LU005197.001</v>
      </c>
      <c r="J91" s="10" t="str">
        <f ca="1">IFERROR(__xludf.DUMMYFUNCTION("VLOOKUP(I91, IMPORTRANGE(""https://docs.google.com/spreadsheets/d/1yDAaXNsi4Mr5FtRQL4tbmSdIzhx6_m4wkOD7IG-k_eo/edit#gid=1336395716"", ""Science!M:N""), 2, FALSE)"),"Recall that muscles are parts of our body that help us move.")</f>
        <v>Recall that muscles are parts of our body that help us move.</v>
      </c>
      <c r="K91" s="10" t="str">
        <f t="shared" si="1"/>
        <v>LU005197.002</v>
      </c>
      <c r="L91" s="10" t="str">
        <f ca="1">IFERROR(__xludf.DUMMYFUNCTION("VLOOKUP(K91, IMPORTRANGE(""https://docs.google.com/spreadsheets/d/1yDAaXNsi4Mr5FtRQL4tbmSdIzhx6_m4wkOD7IG-k_eo/edit#gid=1336395716"", ""Science!M:N""), 2, FALSE)"),"Explain how muscles work together with bones to create movement.")</f>
        <v>Explain how muscles work together with bones to create movement.</v>
      </c>
      <c r="M91" s="10" t="str">
        <f t="shared" si="2"/>
        <v>LU005197.003</v>
      </c>
      <c r="N91" s="10" t="str">
        <f ca="1">IFERROR(__xludf.DUMMYFUNCTION("VLOOKUP(M91, IMPORTRANGE(""https://docs.google.com/spreadsheets/d/1yDAaXNsi4Mr5FtRQL4tbmSdIzhx6_m4wkOD7IG-k_eo/edit#gid=1336395716"", ""Science!M:N""), 2, FALSE)"),"Identify examples of muscles and describe how they function to allow us to perform different actions.")</f>
        <v>Identify examples of muscles and describe how they function to allow us to perform different actions.</v>
      </c>
      <c r="O91" s="10" t="str">
        <f t="shared" si="3"/>
        <v>LU005197.004</v>
      </c>
      <c r="P91" s="10" t="str">
        <f ca="1">IFERROR(__xludf.DUMMYFUNCTION("VLOOKUP(O91, IMPORTRANGE(""https://docs.google.com/spreadsheets/d/1yDAaXNsi4Mr5FtRQL4tbmSdIzhx6_m4wkOD7IG-k_eo/edit#gid=1336395716"", ""Science!M:N""), 2, FALSE)"),"Compare the features of muscles with other parts of the body, understanding their role in enabling motion.")</f>
        <v>Compare the features of muscles with other parts of the body, understanding their role in enabling motion.</v>
      </c>
      <c r="Q91" s="10" t="str">
        <f t="shared" si="4"/>
        <v>LU005197.005</v>
      </c>
      <c r="R91" s="10" t="str">
        <f ca="1">IFERROR(__xludf.DUMMYFUNCTION("VLOOKUP(Q91, IMPORTRANGE(""https://docs.google.com/spreadsheets/d/1yDAaXNsi4Mr5FtRQL4tbmSdIzhx6_m4wkOD7IG-k_eo/edit#gid=1336395716"", ""Science!M:N""), 2, FALSE)"),"Judge the importance of muscles in everyday activities, supporting our body, and enabling various tasks.")</f>
        <v>Judge the importance of muscles in everyday activities, supporting our body, and enabling various tasks.</v>
      </c>
      <c r="S91" s="10" t="str">
        <f t="shared" si="5"/>
        <v>LU005197.006</v>
      </c>
      <c r="T91" s="10" t="str">
        <f ca="1">IFERROR(__xludf.DUMMYFUNCTION("VLOOKUP(S91, IMPORTRANGE(""https://docs.google.com/spreadsheets/d/1yDAaXNsi4Mr5FtRQL4tbmSdIzhx6_m4wkOD7IG-k_eo/edit#gid=1336395716"", ""Science!M:N""), 2, FALSE)"),"#N/A")</f>
        <v>#N/A</v>
      </c>
      <c r="U91" s="11">
        <f ca="1">IFERROR(__xludf.DUMMYFUNCTION("ArrayFormula(VLOOKUP(G91, IMPORTRANGE(""https://docs.google.com/spreadsheets/d/1p7R4vtkWt5VOBim4ltsDG9KTzSjrtKXsMtQGXPHyND0/edit#gid=795171502"", ""'Filter 30_05_2024'!A1:M2000""), {2, 3, 4, 5,6,7,8,9,10,11,12,13}, 0))"),7)</f>
        <v>7</v>
      </c>
      <c r="V91" s="11">
        <f ca="1">IFERROR(__xludf.DUMMYFUNCTION("""COMPUTED_VALUE"""),6)</f>
        <v>6</v>
      </c>
      <c r="W91" s="11">
        <f ca="1">IFERROR(__xludf.DUMMYFUNCTION("""COMPUTED_VALUE"""),2)</f>
        <v>2</v>
      </c>
      <c r="X91" s="11">
        <f ca="1">IFERROR(__xludf.DUMMYFUNCTION("""COMPUTED_VALUE"""),15)</f>
        <v>15</v>
      </c>
      <c r="Y91" s="11">
        <f ca="1">IFERROR(__xludf.DUMMYFUNCTION("""COMPUTED_VALUE"""),5)</f>
        <v>5</v>
      </c>
      <c r="Z91" s="12">
        <f ca="1">IFERROR(__xludf.DUMMYFUNCTION("""COMPUTED_VALUE"""),3)</f>
        <v>3</v>
      </c>
      <c r="AA91" s="12">
        <f ca="1">IFERROR(__xludf.DUMMYFUNCTION("""COMPUTED_VALUE"""),1)</f>
        <v>1</v>
      </c>
      <c r="AB91" s="12">
        <f ca="1">IFERROR(__xludf.DUMMYFUNCTION("""COMPUTED_VALUE"""),9)</f>
        <v>9</v>
      </c>
      <c r="AC91" s="12"/>
      <c r="AD91" s="12"/>
      <c r="AE91" s="12"/>
      <c r="AF91" s="12"/>
      <c r="AG91" s="13" t="str">
        <f ca="1">IFERROR(__xludf.DUMMYFUNCTION("ArrayFormula(VLOOKUP(G91, IMPORTRANGE(""https://docs.google.com/spreadsheets/d/1Co934fvtviyaRiMsrIlT05Jaq7iiYq07aLvRr35KA48/edit?gid=173865642#gid=173865642"", ""'G6_Sci_Pri_LU'!G2:V2000""), {3, 4, 5, 6, 7, 8, 9, 10, 11, 12, 13, 14, 15, 16}, 0))"),"LU005965")</f>
        <v>LU005965</v>
      </c>
      <c r="AH91" s="13" t="str">
        <f ca="1">IFERROR(__xludf.DUMMYFUNCTION("""COMPUTED_VALUE"""),"Human skeleton(bones and cartilage)")</f>
        <v>Human skeleton(bones and cartilage)</v>
      </c>
      <c r="AI91" s="13"/>
      <c r="AJ91" s="13"/>
      <c r="AK91" s="13"/>
      <c r="AL91" s="13"/>
      <c r="AM91" s="13"/>
      <c r="AN91" s="13"/>
      <c r="AO91" s="13"/>
      <c r="AP91" s="13"/>
      <c r="AQ91" s="13"/>
      <c r="AR91" s="13"/>
      <c r="AS91" s="13"/>
      <c r="AT91" s="13"/>
    </row>
    <row r="92" spans="1:46">
      <c r="A92" s="8" t="s">
        <v>247</v>
      </c>
      <c r="B92" s="8" t="s">
        <v>47</v>
      </c>
      <c r="C92" s="8" t="s">
        <v>48</v>
      </c>
      <c r="D92" s="8" t="s">
        <v>1406</v>
      </c>
      <c r="E92" s="8" t="s">
        <v>1774</v>
      </c>
      <c r="F92" s="8" t="s">
        <v>1786</v>
      </c>
      <c r="G92" s="8" t="s">
        <v>1787</v>
      </c>
      <c r="H92" s="8" t="str">
        <f ca="1">IFERROR(__xludf.DUMMYFUNCTION("VLOOKUP(G92, IMPORTRANGE(""https://docs.google.com/spreadsheets/d/14deopnvwcrKtEGCKuYXdUHJbeLDZlkiSSWWT0g7x2pM/edit#gid=849066331"", ""LU List Science (Filter)!A:B""), 2, FALSE)"),"Gait of different animals")</f>
        <v>Gait of different animals</v>
      </c>
      <c r="I92" s="10" t="str">
        <f t="shared" si="0"/>
        <v>LU005192.001</v>
      </c>
      <c r="J92" s="10" t="str">
        <f ca="1">IFERROR(__xludf.DUMMYFUNCTION("VLOOKUP(I92, IMPORTRANGE(""https://docs.google.com/spreadsheets/d/1yDAaXNsi4Mr5FtRQL4tbmSdIzhx6_m4wkOD7IG-k_eo/edit#gid=1336395716"", ""Science!M:N""), 2, FALSE)"),"Recall and list the types of gaits used by earthworms, cockroaches, snails, birds, fishes, and snakes.")</f>
        <v>Recall and list the types of gaits used by earthworms, cockroaches, snails, birds, fishes, and snakes.</v>
      </c>
      <c r="K92" s="10" t="str">
        <f t="shared" si="1"/>
        <v>LU005192.002</v>
      </c>
      <c r="L92" s="10" t="str">
        <f ca="1">IFERROR(__xludf.DUMMYFUNCTION("VLOOKUP(K92, IMPORTRANGE(""https://docs.google.com/spreadsheets/d/1yDAaXNsi4Mr5FtRQL4tbmSdIzhx6_m4wkOD7IG-k_eo/edit#gid=1336395716"", ""Science!M:N""), 2, FALSE)"),"Explain the function of different gaits and movement mechanisms used by these animals.")</f>
        <v>Explain the function of different gaits and movement mechanisms used by these animals.</v>
      </c>
      <c r="M92" s="10" t="str">
        <f t="shared" si="2"/>
        <v>LU005192.003</v>
      </c>
      <c r="N92" s="10" t="str">
        <f ca="1">IFERROR(__xludf.DUMMYFUNCTION("VLOOKUP(M92, IMPORTRANGE(""https://docs.google.com/spreadsheets/d/1yDAaXNsi4Mr5FtRQL4tbmSdIzhx6_m4wkOD7IG-k_eo/edit#gid=1336395716"", ""Science!M:N""), 2, FALSE)"),"Demonstrate an understanding of each animal’s gait by creating models or drawings that depict the movement.")</f>
        <v>Demonstrate an understanding of each animal’s gait by creating models or drawings that depict the movement.</v>
      </c>
      <c r="O92" s="10" t="str">
        <f t="shared" si="3"/>
        <v>LU005192.004</v>
      </c>
      <c r="P92" s="10" t="str">
        <f ca="1">IFERROR(__xludf.DUMMYFUNCTION("VLOOKUP(O92, IMPORTRANGE(""https://docs.google.com/spreadsheets/d/1yDAaXNsi4Mr5FtRQL4tbmSdIzhx6_m4wkOD7IG-k_eo/edit#gid=1336395716"", ""Science!M:N""), 2, FALSE)"),"Compare and contrast the efficiency of locomotion among earthworms, cockroaches, snails, birds, fishes, and snakes in different environments.")</f>
        <v>Compare and contrast the efficiency of locomotion among earthworms, cockroaches, snails, birds, fishes, and snakes in different environments.</v>
      </c>
      <c r="Q92" s="10" t="str">
        <f t="shared" si="4"/>
        <v>LU005192.005</v>
      </c>
      <c r="R92" s="10" t="str">
        <f ca="1">IFERROR(__xludf.DUMMYFUNCTION("VLOOKUP(Q92, IMPORTRANGE(""https://docs.google.com/spreadsheets/d/1yDAaXNsi4Mr5FtRQL4tbmSdIzhx6_m4wkOD7IG-k_eo/edit#gid=1336395716"", ""Science!M:N""), 2, FALSE)"),"Adaptations related to the locomotion of different animals and predict how changes in the environment might affect their gait and survival.")</f>
        <v>Adaptations related to the locomotion of different animals and predict how changes in the environment might affect their gait and survival.</v>
      </c>
      <c r="S92" s="10" t="str">
        <f t="shared" si="5"/>
        <v>LU005192.006</v>
      </c>
      <c r="T92" s="10" t="str">
        <f ca="1">IFERROR(__xludf.DUMMYFUNCTION("VLOOKUP(S92, IMPORTRANGE(""https://docs.google.com/spreadsheets/d/1yDAaXNsi4Mr5FtRQL4tbmSdIzhx6_m4wkOD7IG-k_eo/edit#gid=1336395716"", ""Science!M:N""), 2, FALSE)"),"Design an experiment to test the speed or energy efficiency of different animal gaits in variable conditions.")</f>
        <v>Design an experiment to test the speed or energy efficiency of different animal gaits in variable conditions.</v>
      </c>
      <c r="U92" s="11">
        <f ca="1">IFERROR(__xludf.DUMMYFUNCTION("ArrayFormula(VLOOKUP(G92, IMPORTRANGE(""https://docs.google.com/spreadsheets/d/1p7R4vtkWt5VOBim4ltsDG9KTzSjrtKXsMtQGXPHyND0/edit#gid=795171502"", ""'Filter 30_05_2024'!A1:M2000""), {2, 3, 4, 5,6,7,8,9,10,11,12,13}, 0))"),14)</f>
        <v>14</v>
      </c>
      <c r="V92" s="11">
        <f ca="1">IFERROR(__xludf.DUMMYFUNCTION("""COMPUTED_VALUE"""),6)</f>
        <v>6</v>
      </c>
      <c r="W92" s="11">
        <f ca="1">IFERROR(__xludf.DUMMYFUNCTION("""COMPUTED_VALUE"""),2)</f>
        <v>2</v>
      </c>
      <c r="X92" s="11">
        <f ca="1">IFERROR(__xludf.DUMMYFUNCTION("""COMPUTED_VALUE"""),22)</f>
        <v>22</v>
      </c>
      <c r="Y92" s="11">
        <f ca="1">IFERROR(__xludf.DUMMYFUNCTION("""COMPUTED_VALUE"""),13)</f>
        <v>13</v>
      </c>
      <c r="Z92" s="12">
        <f ca="1">IFERROR(__xludf.DUMMYFUNCTION("""COMPUTED_VALUE"""),3)</f>
        <v>3</v>
      </c>
      <c r="AA92" s="12">
        <f ca="1">IFERROR(__xludf.DUMMYFUNCTION("""COMPUTED_VALUE"""),1)</f>
        <v>1</v>
      </c>
      <c r="AB92" s="12">
        <f ca="1">IFERROR(__xludf.DUMMYFUNCTION("""COMPUTED_VALUE"""),17)</f>
        <v>17</v>
      </c>
      <c r="AC92" s="12"/>
      <c r="AD92" s="12"/>
      <c r="AE92" s="12"/>
      <c r="AF92" s="12"/>
      <c r="AG92" s="13" t="str">
        <f ca="1">IFERROR(__xludf.DUMMYFUNCTION("ArrayFormula(VLOOKUP(G92, IMPORTRANGE(""https://docs.google.com/spreadsheets/d/1Co934fvtviyaRiMsrIlT05Jaq7iiYq07aLvRr35KA48/edit?gid=173865642#gid=173865642"", ""'G6_Sci_Pri_LU'!G2:V2000""), {3, 4, 5, 6, 7, 8, 9, 10, 11, 12, 13, 14, 15, 16}, 0))"),"LU006005")</f>
        <v>LU006005</v>
      </c>
      <c r="AH92" s="13" t="str">
        <f ca="1">IFERROR(__xludf.DUMMYFUNCTION("""COMPUTED_VALUE"""),"Movement in animals(examples of land and aquatic animals)")</f>
        <v>Movement in animals(examples of land and aquatic animals)</v>
      </c>
      <c r="AI92" s="13" t="str">
        <f ca="1">IFERROR(__xludf.DUMMYFUNCTION("""COMPUTED_VALUE"""),"LU005197")</f>
        <v>LU005197</v>
      </c>
      <c r="AJ92" s="13" t="str">
        <f ca="1">IFERROR(__xludf.DUMMYFUNCTION("""COMPUTED_VALUE"""),"Muscles(skeletal muscles)-definition, function, characteristics")</f>
        <v>Muscles(skeletal muscles)-definition, function, characteristics</v>
      </c>
      <c r="AK92" s="13"/>
      <c r="AL92" s="13"/>
      <c r="AM92" s="13"/>
      <c r="AN92" s="13"/>
      <c r="AO92" s="13"/>
      <c r="AP92" s="13"/>
      <c r="AQ92" s="13"/>
      <c r="AR92" s="13"/>
      <c r="AS92" s="13"/>
      <c r="AT92" s="13"/>
    </row>
    <row r="93" spans="1:46">
      <c r="A93" s="8" t="s">
        <v>247</v>
      </c>
      <c r="B93" s="8" t="s">
        <v>47</v>
      </c>
      <c r="C93" s="8" t="s">
        <v>48</v>
      </c>
      <c r="D93" s="8" t="s">
        <v>1406</v>
      </c>
      <c r="E93" s="8" t="s">
        <v>1788</v>
      </c>
      <c r="F93" s="8" t="s">
        <v>1789</v>
      </c>
      <c r="G93" s="8" t="s">
        <v>1503</v>
      </c>
      <c r="H93" s="8" t="str">
        <f ca="1">IFERROR(__xludf.DUMMYFUNCTION("VLOOKUP(G93, IMPORTRANGE(""https://docs.google.com/spreadsheets/d/14deopnvwcrKtEGCKuYXdUHJbeLDZlkiSSWWT0g7x2pM/edit#gid=849066331"", ""LU List Science (Filter)!A:B""), 2, FALSE)"),"Animals, plants, and natural objects in different surroundings")</f>
        <v>Animals, plants, and natural objects in different surroundings</v>
      </c>
      <c r="I93" s="10" t="str">
        <f t="shared" si="0"/>
        <v>LU005252.001</v>
      </c>
      <c r="J93" s="10" t="str">
        <f ca="1">IFERROR(__xludf.DUMMYFUNCTION("VLOOKUP(I93, IMPORTRANGE(""https://docs.google.com/spreadsheets/d/1yDAaXNsi4Mr5FtRQL4tbmSdIzhx6_m4wkOD7IG-k_eo/edit#gid=1336395716"", ""Science!M:N""), 2, FALSE)"),"Recall examples of animals, plants, and natural objects observed in distinct surroundings such as mountains, deserts, and water bodies.")</f>
        <v>Recall examples of animals, plants, and natural objects observed in distinct surroundings such as mountains, deserts, and water bodies.</v>
      </c>
      <c r="K93" s="10" t="str">
        <f t="shared" si="1"/>
        <v>LU005252.002</v>
      </c>
      <c r="L93" s="10" t="str">
        <f ca="1">IFERROR(__xludf.DUMMYFUNCTION("VLOOKUP(K93, IMPORTRANGE(""https://docs.google.com/spreadsheets/d/1yDAaXNsi4Mr5FtRQL4tbmSdIzhx6_m4wkOD7IG-k_eo/edit#gid=1336395716"", ""Science!M:N""), 2, FALSE)"),"Identify the diverse animals, plants, and natural objects seen in different surroundings like mountains, deserts, and water bodies.")</f>
        <v>Identify the diverse animals, plants, and natural objects seen in different surroundings like mountains, deserts, and water bodies.</v>
      </c>
      <c r="M93" s="10" t="str">
        <f t="shared" si="2"/>
        <v>LU005252.003</v>
      </c>
      <c r="N93" s="10" t="str">
        <f ca="1">IFERROR(__xludf.DUMMYFUNCTION("VLOOKUP(M93, IMPORTRANGE(""https://docs.google.com/spreadsheets/d/1yDAaXNsi4Mr5FtRQL4tbmSdIzhx6_m4wkOD7IG-k_eo/edit#gid=1336395716"", ""Science!M:N""), 2, FALSE)"),"Utilize observational skills to differentiate and categorize animals, plants, and natural objects based on the surroundings they are found in, such as mountains, deserts, and water bodies.")</f>
        <v>Utilize observational skills to differentiate and categorize animals, plants, and natural objects based on the surroundings they are found in, such as mountains, deserts, and water bodies.</v>
      </c>
      <c r="O93" s="10" t="str">
        <f t="shared" si="3"/>
        <v>LU005252.004</v>
      </c>
      <c r="P93" s="10" t="str">
        <f ca="1">IFERROR(__xludf.DUMMYFUNCTION("VLOOKUP(O93, IMPORTRANGE(""https://docs.google.com/spreadsheets/d/1yDAaXNsi4Mr5FtRQL4tbmSdIzhx6_m4wkOD7IG-k_eo/edit#gid=1336395716"", ""Science!M:N""), 2, FALSE)"),"Examine the variations in animals, plants, and natural objects present in varying surroundings like mountains, deserts, and water bodies.")</f>
        <v>Examine the variations in animals, plants, and natural objects present in varying surroundings like mountains, deserts, and water bodies.</v>
      </c>
      <c r="Q93" s="10" t="str">
        <f t="shared" si="4"/>
        <v>LU005252.005</v>
      </c>
      <c r="R93" s="10" t="str">
        <f ca="1">IFERROR(__xludf.DUMMYFUNCTION("VLOOKUP(Q93, IMPORTRANGE(""https://docs.google.com/spreadsheets/d/1yDAaXNsi4Mr5FtRQL4tbmSdIzhx6_m4wkOD7IG-k_eo/edit#gid=1336395716"", ""Science!M:N""), 2, FALSE)"),"Formulate judgments about the prevalence and diversity of animals, plants, and natural objects in specific surroundings such as mountains, deserts, and water bodies.")</f>
        <v>Formulate judgments about the prevalence and diversity of animals, plants, and natural objects in specific surroundings such as mountains, deserts, and water bodies.</v>
      </c>
      <c r="S93" s="10" t="str">
        <f t="shared" si="5"/>
        <v>LU005252.006</v>
      </c>
      <c r="T93" s="10" t="str">
        <f ca="1">IFERROR(__xludf.DUMMYFUNCTION("VLOOKUP(S93, IMPORTRANGE(""https://docs.google.com/spreadsheets/d/1yDAaXNsi4Mr5FtRQL4tbmSdIzhx6_m4wkOD7IG-k_eo/edit#gid=1336395716"", ""Science!M:N""), 2, FALSE)"),"#N/A")</f>
        <v>#N/A</v>
      </c>
      <c r="U93" s="11">
        <f ca="1">IFERROR(__xludf.DUMMYFUNCTION("ArrayFormula(VLOOKUP(G93, IMPORTRANGE(""https://docs.google.com/spreadsheets/d/1p7R4vtkWt5VOBim4ltsDG9KTzSjrtKXsMtQGXPHyND0/edit#gid=795171502"", ""'Filter 30_05_2024'!A1:M2000""), {2, 3, 4, 5,6,7,8,9,10,11,12,13}, 0))"),12)</f>
        <v>12</v>
      </c>
      <c r="V93" s="11">
        <f ca="1">IFERROR(__xludf.DUMMYFUNCTION("""COMPUTED_VALUE"""),14)</f>
        <v>14</v>
      </c>
      <c r="W93" s="11">
        <f ca="1">IFERROR(__xludf.DUMMYFUNCTION("""COMPUTED_VALUE"""),2)</f>
        <v>2</v>
      </c>
      <c r="X93" s="11">
        <f ca="1">IFERROR(__xludf.DUMMYFUNCTION("""COMPUTED_VALUE"""),28)</f>
        <v>28</v>
      </c>
      <c r="Y93" s="11">
        <f ca="1">IFERROR(__xludf.DUMMYFUNCTION("""COMPUTED_VALUE"""),4)</f>
        <v>4</v>
      </c>
      <c r="Z93" s="12">
        <f ca="1">IFERROR(__xludf.DUMMYFUNCTION("""COMPUTED_VALUE"""),4)</f>
        <v>4</v>
      </c>
      <c r="AA93" s="12">
        <f ca="1">IFERROR(__xludf.DUMMYFUNCTION("""COMPUTED_VALUE"""),1)</f>
        <v>1</v>
      </c>
      <c r="AB93" s="12">
        <f ca="1">IFERROR(__xludf.DUMMYFUNCTION("""COMPUTED_VALUE"""),9)</f>
        <v>9</v>
      </c>
      <c r="AC93" s="12"/>
      <c r="AD93" s="12"/>
      <c r="AE93" s="12"/>
      <c r="AF93" s="12"/>
      <c r="AG93" s="13" t="str">
        <f ca="1">IFERROR(__xludf.DUMMYFUNCTION("ArrayFormula(VLOOKUP(G93, IMPORTRANGE(""https://docs.google.com/spreadsheets/d/1Co934fvtviyaRiMsrIlT05Jaq7iiYq07aLvRr35KA48/edit?gid=173865642#gid=173865642"", ""'G6_Sci_Pri_LU'!G2:V2000""), {3, 4, 5, 6, 7, 8, 9, 10, 11, 12, 13, 14, 15, 16}, 0))"),"")</f>
        <v/>
      </c>
      <c r="AH93" s="13"/>
      <c r="AI93" s="13"/>
      <c r="AJ93" s="13"/>
      <c r="AK93" s="13"/>
      <c r="AL93" s="13"/>
      <c r="AM93" s="13"/>
      <c r="AN93" s="13"/>
      <c r="AO93" s="13"/>
      <c r="AP93" s="13"/>
      <c r="AQ93" s="13"/>
      <c r="AR93" s="13"/>
      <c r="AS93" s="13"/>
      <c r="AT93" s="13"/>
    </row>
    <row r="94" spans="1:46">
      <c r="A94" s="8" t="s">
        <v>247</v>
      </c>
      <c r="B94" s="8" t="s">
        <v>47</v>
      </c>
      <c r="C94" s="8" t="s">
        <v>48</v>
      </c>
      <c r="D94" s="8" t="s">
        <v>1406</v>
      </c>
      <c r="E94" s="8" t="s">
        <v>1788</v>
      </c>
      <c r="F94" s="8" t="s">
        <v>1790</v>
      </c>
      <c r="G94" s="8" t="s">
        <v>1506</v>
      </c>
      <c r="H94" s="8" t="str">
        <f ca="1">IFERROR(__xludf.DUMMYFUNCTION("VLOOKUP(G94, IMPORTRANGE(""https://docs.google.com/spreadsheets/d/14deopnvwcrKtEGCKuYXdUHJbeLDZlkiSSWWT0g7x2pM/edit#gid=849066331"", ""LU List Science (Filter)!A:B""), 2, FALSE)"),"Definition of habitats and adaptations.")</f>
        <v>Definition of habitats and adaptations.</v>
      </c>
      <c r="I94" s="10" t="str">
        <f t="shared" si="0"/>
        <v>LU005258.001</v>
      </c>
      <c r="J94" s="10" t="str">
        <f ca="1">IFERROR(__xludf.DUMMYFUNCTION("VLOOKUP(I94, IMPORTRANGE(""https://docs.google.com/spreadsheets/d/1yDAaXNsi4Mr5FtRQL4tbmSdIzhx6_m4wkOD7IG-k_eo/edit#gid=1336395716"", ""Science!M:N""), 2, FALSE)"),"Students will define habitats, adaptations, acclimitisation and list examples of each. ")</f>
        <v xml:space="preserve">Students will define habitats, adaptations, acclimitisation and list examples of each. </v>
      </c>
      <c r="K94" s="10" t="str">
        <f t="shared" si="1"/>
        <v>LU005258.002</v>
      </c>
      <c r="L94" s="10" t="str">
        <f ca="1">IFERROR(__xludf.DUMMYFUNCTION("VLOOKUP(K94, IMPORTRANGE(""https://docs.google.com/spreadsheets/d/1yDAaXNsi4Mr5FtRQL4tbmSdIzhx6_m4wkOD7IG-k_eo/edit#gid=1336395716"", ""Science!M:N""), 2, FALSE)"),"Students will interpret the relationship between habitats and the adaptations of organisms (and acclimitisation of organisms) living in them.")</f>
        <v>Students will interpret the relationship between habitats and the adaptations of organisms (and acclimitisation of organisms) living in them.</v>
      </c>
      <c r="M94" s="10" t="str">
        <f t="shared" si="2"/>
        <v>LU005258.003</v>
      </c>
      <c r="N94" s="10" t="str">
        <f ca="1">IFERROR(__xludf.DUMMYFUNCTION("VLOOKUP(M94, IMPORTRANGE(""https://docs.google.com/spreadsheets/d/1yDAaXNsi4Mr5FtRQL4tbmSdIzhx6_m4wkOD7IG-k_eo/edit#gid=1336395716"", ""Science!M:N""), 2, FALSE)"),"Students will relate various adaptations of organisms to the specific needs provided by their habitats.")</f>
        <v>Students will relate various adaptations of organisms to the specific needs provided by their habitats.</v>
      </c>
      <c r="O94" s="10" t="str">
        <f t="shared" si="3"/>
        <v>LU005258.004</v>
      </c>
      <c r="P94" s="10" t="str">
        <f ca="1">IFERROR(__xludf.DUMMYFUNCTION("VLOOKUP(O94, IMPORTRANGE(""https://docs.google.com/spreadsheets/d/1yDAaXNsi4Mr5FtRQL4tbmSdIzhx6_m4wkOD7IG-k_eo/edit#gid=1336395716"", ""Science!M:N""), 2, FALSE)"),"Students will examine different habitats and analyze why certain adaptations(and acclimitisation) are necessary for survival in each.")</f>
        <v>Students will examine different habitats and analyze why certain adaptations(and acclimitisation) are necessary for survival in each.</v>
      </c>
      <c r="Q94" s="10" t="str">
        <f t="shared" si="4"/>
        <v>LU005258.005</v>
      </c>
      <c r="R94" s="10" t="str">
        <f ca="1">IFERROR(__xludf.DUMMYFUNCTION("VLOOKUP(Q94, IMPORTRANGE(""https://docs.google.com/spreadsheets/d/1yDAaXNsi4Mr5FtRQL4tbmSdIzhx6_m4wkOD7IG-k_eo/edit#gid=1336395716"", ""Science!M:N""), 2, FALSE)"),"Students will justify the importance of specific adaptations for an organism’s survival in its habitat.")</f>
        <v>Students will justify the importance of specific adaptations for an organism’s survival in its habitat.</v>
      </c>
      <c r="S94" s="10" t="str">
        <f t="shared" si="5"/>
        <v>LU005258.006</v>
      </c>
      <c r="T94" s="10" t="str">
        <f ca="1">IFERROR(__xludf.DUMMYFUNCTION("VLOOKUP(S94, IMPORTRANGE(""https://docs.google.com/spreadsheets/d/1yDAaXNsi4Mr5FtRQL4tbmSdIzhx6_m4wkOD7IG-k_eo/edit#gid=1336395716"", ""Science!M:N""), 2, FALSE)"),"Students will design a hypothetical organism perfectly adapted to a chosen habitat, detailing its adaptations and survival strategies.")</f>
        <v>Students will design a hypothetical organism perfectly adapted to a chosen habitat, detailing its adaptations and survival strategies.</v>
      </c>
      <c r="U94" s="11">
        <f ca="1">IFERROR(__xludf.DUMMYFUNCTION("ArrayFormula(VLOOKUP(G94, IMPORTRANGE(""https://docs.google.com/spreadsheets/d/1p7R4vtkWt5VOBim4ltsDG9KTzSjrtKXsMtQGXPHyND0/edit#gid=795171502"", ""'Filter 30_05_2024'!A1:M2000""), {2, 3, 4, 5,6,7,8,9,10,11,12,13}, 0))"),19)</f>
        <v>19</v>
      </c>
      <c r="V94" s="11">
        <f ca="1">IFERROR(__xludf.DUMMYFUNCTION("""COMPUTED_VALUE"""),6)</f>
        <v>6</v>
      </c>
      <c r="W94" s="11">
        <f ca="1">IFERROR(__xludf.DUMMYFUNCTION("""COMPUTED_VALUE"""),2)</f>
        <v>2</v>
      </c>
      <c r="X94" s="11">
        <f ca="1">IFERROR(__xludf.DUMMYFUNCTION("""COMPUTED_VALUE"""),27)</f>
        <v>27</v>
      </c>
      <c r="Y94" s="11">
        <f ca="1">IFERROR(__xludf.DUMMYFUNCTION("""COMPUTED_VALUE"""),9)</f>
        <v>9</v>
      </c>
      <c r="Z94" s="12">
        <f ca="1">IFERROR(__xludf.DUMMYFUNCTION("""COMPUTED_VALUE"""),3)</f>
        <v>3</v>
      </c>
      <c r="AA94" s="12">
        <f ca="1">IFERROR(__xludf.DUMMYFUNCTION("""COMPUTED_VALUE"""),1)</f>
        <v>1</v>
      </c>
      <c r="AB94" s="12">
        <f ca="1">IFERROR(__xludf.DUMMYFUNCTION("""COMPUTED_VALUE"""),13)</f>
        <v>13</v>
      </c>
      <c r="AC94" s="12"/>
      <c r="AD94" s="12"/>
      <c r="AE94" s="12"/>
      <c r="AF94" s="12"/>
      <c r="AG94" s="13" t="str">
        <f ca="1">IFERROR(__xludf.DUMMYFUNCTION("ArrayFormula(VLOOKUP(G94, IMPORTRANGE(""https://docs.google.com/spreadsheets/d/1Co934fvtviyaRiMsrIlT05Jaq7iiYq07aLvRr35KA48/edit?gid=173865642#gid=173865642"", ""'G6_Sci_Pri_LU'!G2:V2000""), {3, 4, 5, 6, 7, 8, 9, 10, 11, 12, 13, 14, 15, 16}, 0))"),"LU005252")</f>
        <v>LU005252</v>
      </c>
      <c r="AH94" s="13" t="str">
        <f ca="1">IFERROR(__xludf.DUMMYFUNCTION("""COMPUTED_VALUE"""),"Animals, plants, and natural objects in different surroundings")</f>
        <v>Animals, plants, and natural objects in different surroundings</v>
      </c>
      <c r="AI94" s="13"/>
      <c r="AJ94" s="13"/>
      <c r="AK94" s="13"/>
      <c r="AL94" s="13"/>
      <c r="AM94" s="13"/>
      <c r="AN94" s="13"/>
      <c r="AO94" s="13"/>
      <c r="AP94" s="13"/>
      <c r="AQ94" s="13"/>
      <c r="AR94" s="13"/>
      <c r="AS94" s="13"/>
      <c r="AT94" s="13"/>
    </row>
    <row r="95" spans="1:46">
      <c r="A95" s="8" t="s">
        <v>247</v>
      </c>
      <c r="B95" s="8" t="s">
        <v>47</v>
      </c>
      <c r="C95" s="8" t="s">
        <v>48</v>
      </c>
      <c r="D95" s="8" t="s">
        <v>1406</v>
      </c>
      <c r="E95" s="8" t="s">
        <v>1788</v>
      </c>
      <c r="F95" s="8" t="s">
        <v>1790</v>
      </c>
      <c r="G95" s="8" t="s">
        <v>1791</v>
      </c>
      <c r="H95" s="8" t="str">
        <f ca="1">IFERROR(__xludf.DUMMYFUNCTION("VLOOKUP(G95, IMPORTRANGE(""https://docs.google.com/spreadsheets/d/14deopnvwcrKtEGCKuYXdUHJbeLDZlkiSSWWT0g7x2pM/edit#gid=849066331"", ""LU List Science (Filter)!A:B""), 2, FALSE)"),"Definition of biotic components")</f>
        <v>Definition of biotic components</v>
      </c>
      <c r="I95" s="10" t="str">
        <f t="shared" si="0"/>
        <v>LU005259.001</v>
      </c>
      <c r="J95" s="10" t="str">
        <f ca="1">IFERROR(__xludf.DUMMYFUNCTION("VLOOKUP(I95, IMPORTRANGE(""https://docs.google.com/spreadsheets/d/1yDAaXNsi4Mr5FtRQL4tbmSdIzhx6_m4wkOD7IG-k_eo/edit#gid=1336395716"", ""Science!M:N""), 2, FALSE)"),"Students will memorize and state the definition of biotic components in an ecosystem(producers, consumers, decomposers).")</f>
        <v>Students will memorize and state the definition of biotic components in an ecosystem(producers, consumers, decomposers).</v>
      </c>
      <c r="K95" s="10" t="str">
        <f t="shared" si="1"/>
        <v>LU005259.002</v>
      </c>
      <c r="L95" s="10" t="str">
        <f ca="1">IFERROR(__xludf.DUMMYFUNCTION("VLOOKUP(K95, IMPORTRANGE(""https://docs.google.com/spreadsheets/d/1yDAaXNsi4Mr5FtRQL4tbmSdIzhx6_m4wkOD7IG-k_eo/edit#gid=1336395716"", ""Science!M:N""), 2, FALSE)"),"Students will interpret the roles of different biotic components within an ecosystem.")</f>
        <v>Students will interpret the roles of different biotic components within an ecosystem.</v>
      </c>
      <c r="M95" s="10" t="str">
        <f t="shared" si="2"/>
        <v>LU005259.003</v>
      </c>
      <c r="N95" s="10" t="str">
        <f ca="1">IFERROR(__xludf.DUMMYFUNCTION("VLOOKUP(M95, IMPORTRANGE(""https://docs.google.com/spreadsheets/d/1yDAaXNsi4Mr5FtRQL4tbmSdIzhx6_m4wkOD7IG-k_eo/edit#gid=1336395716"", ""Science!M:N""), 2, FALSE)"),"Students will identify and differentiate between biotic and abiotic components in a given natural setting.")</f>
        <v>Students will identify and differentiate between biotic and abiotic components in a given natural setting.</v>
      </c>
      <c r="O95" s="10" t="str">
        <f t="shared" si="3"/>
        <v>LU005259.004</v>
      </c>
      <c r="P95" s="10" t="str">
        <f ca="1">IFERROR(__xludf.DUMMYFUNCTION("VLOOKUP(O95, IMPORTRANGE(""https://docs.google.com/spreadsheets/d/1yDAaXNsi4Mr5FtRQL4tbmSdIzhx6_m4wkOD7IG-k_eo/edit#gid=1336395716"", ""Science!M:N""), 2, FALSE)"),"Students will examine the interactions between biotic components in a food web.")</f>
        <v>Students will examine the interactions between biotic components in a food web.</v>
      </c>
      <c r="Q95" s="10" t="str">
        <f t="shared" si="4"/>
        <v>LU005259.005</v>
      </c>
      <c r="R95" s="10" t="str">
        <f ca="1">IFERROR(__xludf.DUMMYFUNCTION("VLOOKUP(Q95, IMPORTRANGE(""https://docs.google.com/spreadsheets/d/1yDAaXNsi4Mr5FtRQL4tbmSdIzhx6_m4wkOD7IG-k_eo/edit#gid=1336395716"", ""Science!M:N""), 2, FALSE)"),"Students will justify the importance of maintaining balance among biotic components in an ecosystem.")</f>
        <v>Students will justify the importance of maintaining balance among biotic components in an ecosystem.</v>
      </c>
      <c r="S95" s="10" t="str">
        <f t="shared" si="5"/>
        <v>LU005259.006</v>
      </c>
      <c r="T95" s="10" t="str">
        <f ca="1">IFERROR(__xludf.DUMMYFUNCTION("VLOOKUP(S95, IMPORTRANGE(""https://docs.google.com/spreadsheets/d/1yDAaXNsi4Mr5FtRQL4tbmSdIzhx6_m4wkOD7IG-k_eo/edit#gid=1336395716"", ""Science!M:N""), 2, FALSE)"),"#N/A")</f>
        <v>#N/A</v>
      </c>
      <c r="U95" s="11">
        <f ca="1">IFERROR(__xludf.DUMMYFUNCTION("ArrayFormula(VLOOKUP(G95, IMPORTRANGE(""https://docs.google.com/spreadsheets/d/1p7R4vtkWt5VOBim4ltsDG9KTzSjrtKXsMtQGXPHyND0/edit#gid=795171502"", ""'Filter 30_05_2024'!A1:M2000""), {2, 3, 4, 5,6,7,8,9,10,11,12,13}, 0))"),4)</f>
        <v>4</v>
      </c>
      <c r="V95" s="11">
        <f ca="1">IFERROR(__xludf.DUMMYFUNCTION("""COMPUTED_VALUE"""),14)</f>
        <v>14</v>
      </c>
      <c r="W95" s="11">
        <f ca="1">IFERROR(__xludf.DUMMYFUNCTION("""COMPUTED_VALUE"""),2)</f>
        <v>2</v>
      </c>
      <c r="X95" s="11">
        <f ca="1">IFERROR(__xludf.DUMMYFUNCTION("""COMPUTED_VALUE"""),20)</f>
        <v>20</v>
      </c>
      <c r="Y95" s="11">
        <f ca="1">IFERROR(__xludf.DUMMYFUNCTION("""COMPUTED_VALUE"""),4)</f>
        <v>4</v>
      </c>
      <c r="Z95" s="12">
        <f ca="1">IFERROR(__xludf.DUMMYFUNCTION("""COMPUTED_VALUE"""),6)</f>
        <v>6</v>
      </c>
      <c r="AA95" s="12">
        <f ca="1">IFERROR(__xludf.DUMMYFUNCTION("""COMPUTED_VALUE"""),1)</f>
        <v>1</v>
      </c>
      <c r="AB95" s="12">
        <f ca="1">IFERROR(__xludf.DUMMYFUNCTION("""COMPUTED_VALUE"""),11)</f>
        <v>11</v>
      </c>
      <c r="AC95" s="12"/>
      <c r="AD95" s="12"/>
      <c r="AE95" s="12"/>
      <c r="AF95" s="12"/>
      <c r="AG95" s="13" t="str">
        <f ca="1">IFERROR(__xludf.DUMMYFUNCTION("ArrayFormula(VLOOKUP(G95, IMPORTRANGE(""https://docs.google.com/spreadsheets/d/1Co934fvtviyaRiMsrIlT05Jaq7iiYq07aLvRr35KA48/edit?gid=173865642#gid=173865642"", ""'G6_Sci_Pri_LU'!G2:V2000""), {3, 4, 5, 6, 7, 8, 9, 10, 11, 12, 13, 14, 15, 16}, 0))"),"LU005253")</f>
        <v>LU005253</v>
      </c>
      <c r="AH95" s="13" t="str">
        <f ca="1">IFERROR(__xludf.DUMMYFUNCTION("""COMPUTED_VALUE"""),"Definition of abiotic components")</f>
        <v>Definition of abiotic components</v>
      </c>
      <c r="AI95" s="13" t="str">
        <f ca="1">IFERROR(__xludf.DUMMYFUNCTION("""COMPUTED_VALUE"""),"LU005252")</f>
        <v>LU005252</v>
      </c>
      <c r="AJ95" s="13" t="str">
        <f ca="1">IFERROR(__xludf.DUMMYFUNCTION("""COMPUTED_VALUE"""),"Animals, plants, and natural objects in different surroundings")</f>
        <v>Animals, plants, and natural objects in different surroundings</v>
      </c>
      <c r="AK95" s="13"/>
      <c r="AL95" s="13"/>
      <c r="AM95" s="13"/>
      <c r="AN95" s="13"/>
      <c r="AO95" s="13"/>
      <c r="AP95" s="13"/>
      <c r="AQ95" s="13"/>
      <c r="AR95" s="13"/>
      <c r="AS95" s="13"/>
      <c r="AT95" s="13"/>
    </row>
    <row r="96" spans="1:46">
      <c r="A96" s="8" t="s">
        <v>247</v>
      </c>
      <c r="B96" s="8" t="s">
        <v>47</v>
      </c>
      <c r="C96" s="8" t="s">
        <v>48</v>
      </c>
      <c r="D96" s="8" t="s">
        <v>1406</v>
      </c>
      <c r="E96" s="8" t="s">
        <v>1788</v>
      </c>
      <c r="F96" s="8" t="s">
        <v>1790</v>
      </c>
      <c r="G96" s="8" t="s">
        <v>1792</v>
      </c>
      <c r="H96" s="8" t="str">
        <f ca="1">IFERROR(__xludf.DUMMYFUNCTION("VLOOKUP(G96, IMPORTRANGE(""https://docs.google.com/spreadsheets/d/14deopnvwcrKtEGCKuYXdUHJbeLDZlkiSSWWT0g7x2pM/edit#gid=849066331"", ""LU List Science (Filter)!A:B""), 2, FALSE)"),"Definition of abiotic components")</f>
        <v>Definition of abiotic components</v>
      </c>
      <c r="I96" s="10" t="str">
        <f t="shared" si="0"/>
        <v>LU005253.001</v>
      </c>
      <c r="J96" s="10" t="str">
        <f ca="1">IFERROR(__xludf.DUMMYFUNCTION("VLOOKUP(I96, IMPORTRANGE(""https://docs.google.com/spreadsheets/d/1yDAaXNsi4Mr5FtRQL4tbmSdIzhx6_m4wkOD7IG-k_eo/edit#gid=1336395716"", ""Science!M:N""), 2, FALSE)"),"Students will memorize the definitions of the abiotic components: water, air, light, temperature, and soil.")</f>
        <v>Students will memorize the definitions of the abiotic components: water, air, light, temperature, and soil.</v>
      </c>
      <c r="K96" s="10" t="str">
        <f t="shared" si="1"/>
        <v>LU005253.002</v>
      </c>
      <c r="L96" s="10" t="str">
        <f ca="1">IFERROR(__xludf.DUMMYFUNCTION("VLOOKUP(K96, IMPORTRANGE(""https://docs.google.com/spreadsheets/d/1yDAaXNsi4Mr5FtRQL4tbmSdIzhx6_m4wkOD7IG-k_eo/edit#gid=1336395716"", ""Science!M:N""), 2, FALSE)"),"Students will describe how each abiotic component affects the living organisms in their habitats.")</f>
        <v>Students will describe how each abiotic component affects the living organisms in their habitats.</v>
      </c>
      <c r="M96" s="10" t="str">
        <f t="shared" si="2"/>
        <v>LU005253.003</v>
      </c>
      <c r="N96" s="10" t="str">
        <f ca="1">IFERROR(__xludf.DUMMYFUNCTION("VLOOKUP(M96, IMPORTRANGE(""https://docs.google.com/spreadsheets/d/1yDAaXNsi4Mr5FtRQL4tbmSdIzhx6_m4wkOD7IG-k_eo/edit#gid=1336395716"", ""Science!M:N""), 2, FALSE)"),"Students will demonstrate the effects of changes in abiotic factors on a given ecosystem through illustrations or simulations.")</f>
        <v>Students will demonstrate the effects of changes in abiotic factors on a given ecosystem through illustrations or simulations.</v>
      </c>
      <c r="O96" s="10" t="str">
        <f t="shared" si="3"/>
        <v>LU005253.004</v>
      </c>
      <c r="P96" s="10" t="str">
        <f ca="1">IFERROR(__xludf.DUMMYFUNCTION("VLOOKUP(O96, IMPORTRANGE(""https://docs.google.com/spreadsheets/d/1yDAaXNsi4Mr5FtRQL4tbmSdIzhx6_m4wkOD7IG-k_eo/edit#gid=1336395716"", ""Science!M:N""), 2, FALSE)"),"Students will examine the interdependence between abiotic components and plant or animal life in a case study.")</f>
        <v>Students will examine the interdependence between abiotic components and plant or animal life in a case study.</v>
      </c>
      <c r="Q96" s="10" t="str">
        <f t="shared" si="4"/>
        <v>LU005253.005</v>
      </c>
      <c r="R96" s="10" t="str">
        <f ca="1">IFERROR(__xludf.DUMMYFUNCTION("VLOOKUP(Q96, IMPORTRANGE(""https://docs.google.com/spreadsheets/d/1yDAaXNsi4Mr5FtRQL4tbmSdIzhx6_m4wkOD7IG-k_eo/edit#gid=1336395716"", ""Science!M:N""), 2, FALSE)"),"Students will justify the need for conserving abiotic components by debating on their role in ecosystem balance.")</f>
        <v>Students will justify the need for conserving abiotic components by debating on their role in ecosystem balance.</v>
      </c>
      <c r="S96" s="10" t="str">
        <f t="shared" si="5"/>
        <v>LU005253.006</v>
      </c>
      <c r="T96" s="10" t="str">
        <f ca="1">IFERROR(__xludf.DUMMYFUNCTION("VLOOKUP(S96, IMPORTRANGE(""https://docs.google.com/spreadsheets/d/1yDAaXNsi4Mr5FtRQL4tbmSdIzhx6_m4wkOD7IG-k_eo/edit#gid=1336395716"", ""Science!M:N""), 2, FALSE)"),"#N/A")</f>
        <v>#N/A</v>
      </c>
      <c r="U96" s="38">
        <f ca="1">IFERROR(__xludf.DUMMYFUNCTION("ArrayFormula(VLOOKUP(G96, IMPORTRANGE(""https://docs.google.com/spreadsheets/d/1p7R4vtkWt5VOBim4ltsDG9KTzSjrtKXsMtQGXPHyND0/edit#gid=795171502"", ""'Filter 30_05_2024'!A1:M2000""), {2, 3, 4, 5,6,7,8,9,10,11,12,13}, 0))"),3)</f>
        <v>3</v>
      </c>
      <c r="V96" s="11">
        <f ca="1">IFERROR(__xludf.DUMMYFUNCTION("""COMPUTED_VALUE"""),6)</f>
        <v>6</v>
      </c>
      <c r="W96" s="11">
        <f ca="1">IFERROR(__xludf.DUMMYFUNCTION("""COMPUTED_VALUE"""),2)</f>
        <v>2</v>
      </c>
      <c r="X96" s="11">
        <f ca="1">IFERROR(__xludf.DUMMYFUNCTION("""COMPUTED_VALUE"""),11)</f>
        <v>11</v>
      </c>
      <c r="Y96" s="11">
        <f ca="1">IFERROR(__xludf.DUMMYFUNCTION("""COMPUTED_VALUE"""),4)</f>
        <v>4</v>
      </c>
      <c r="Z96" s="12">
        <f ca="1">IFERROR(__xludf.DUMMYFUNCTION("""COMPUTED_VALUE"""),3)</f>
        <v>3</v>
      </c>
      <c r="AA96" s="12">
        <f ca="1">IFERROR(__xludf.DUMMYFUNCTION("""COMPUTED_VALUE"""),1)</f>
        <v>1</v>
      </c>
      <c r="AB96" s="12">
        <f ca="1">IFERROR(__xludf.DUMMYFUNCTION("""COMPUTED_VALUE"""),8)</f>
        <v>8</v>
      </c>
      <c r="AC96" s="12"/>
      <c r="AD96" s="12"/>
      <c r="AE96" s="12"/>
      <c r="AF96" s="12"/>
      <c r="AG96" s="13" t="str">
        <f ca="1">IFERROR(__xludf.DUMMYFUNCTION("ArrayFormula(VLOOKUP(G96, IMPORTRANGE(""https://docs.google.com/spreadsheets/d/1Co934fvtviyaRiMsrIlT05Jaq7iiYq07aLvRr35KA48/edit?gid=173865642#gid=173865642"", ""'G6_Sci_Pri_LU'!G2:V2000""), {3, 4, 5, 6, 7, 8, 9, 10, 11, 12, 13, 14, 15, 16}, 0))"),"LU005007")</f>
        <v>LU005007</v>
      </c>
      <c r="AH96" s="13" t="str">
        <f ca="1">IFERROR(__xludf.DUMMYFUNCTION("""COMPUTED_VALUE"""),"Sun the Source of Solar energy")</f>
        <v>Sun the Source of Solar energy</v>
      </c>
      <c r="AI96" s="13" t="str">
        <f ca="1">IFERROR(__xludf.DUMMYFUNCTION("""COMPUTED_VALUE"""),"LU006435")</f>
        <v>LU006435</v>
      </c>
      <c r="AJ96" s="13" t="str">
        <f ca="1">IFERROR(__xludf.DUMMYFUNCTION("""COMPUTED_VALUE"""),"Significance and Composition of Air ")</f>
        <v xml:space="preserve">Significance and Composition of Air </v>
      </c>
      <c r="AK96" s="13" t="str">
        <f ca="1">IFERROR(__xludf.DUMMYFUNCTION("""COMPUTED_VALUE"""),"LU005779")</f>
        <v>LU005779</v>
      </c>
      <c r="AL96" s="13" t="str">
        <f ca="1">IFERROR(__xludf.DUMMYFUNCTION("""COMPUTED_VALUE"""),"Natural Sources of Water")</f>
        <v>Natural Sources of Water</v>
      </c>
      <c r="AM96" s="13"/>
      <c r="AN96" s="13"/>
      <c r="AO96" s="13"/>
      <c r="AP96" s="13"/>
      <c r="AQ96" s="13"/>
      <c r="AR96" s="13"/>
      <c r="AS96" s="13"/>
      <c r="AT96" s="13"/>
    </row>
    <row r="97" spans="1:46">
      <c r="A97" s="8" t="s">
        <v>247</v>
      </c>
      <c r="B97" s="8" t="s">
        <v>47</v>
      </c>
      <c r="C97" s="8" t="s">
        <v>48</v>
      </c>
      <c r="D97" s="8" t="s">
        <v>1406</v>
      </c>
      <c r="E97" s="8" t="s">
        <v>1788</v>
      </c>
      <c r="F97" s="8" t="s">
        <v>1793</v>
      </c>
      <c r="G97" s="8" t="s">
        <v>1794</v>
      </c>
      <c r="H97" s="8" t="str">
        <f ca="1">IFERROR(__xludf.DUMMYFUNCTION("VLOOKUP(G97, IMPORTRANGE(""https://docs.google.com/spreadsheets/d/14deopnvwcrKtEGCKuYXdUHJbeLDZlkiSSWWT0g7x2pM/edit#gid=849066331"", ""LU List Science (Filter)!A:B""), 2, FALSE)"),"Adaptations found in various desert animals and plants.")</f>
        <v>Adaptations found in various desert animals and plants.</v>
      </c>
      <c r="I97" s="10" t="str">
        <f t="shared" si="0"/>
        <v>LU005254.001</v>
      </c>
      <c r="J97" s="10" t="str">
        <f ca="1">IFERROR(__xludf.DUMMYFUNCTION("VLOOKUP(I97, IMPORTRANGE(""https://docs.google.com/spreadsheets/d/1yDAaXNsi4Mr5FtRQL4tbmSdIzhx6_m4wkOD7IG-k_eo/edit#gid=1336395716"", ""Science!M:N""), 2, FALSE)"),"Students will identify adaptations in specific desert animals and plants.")</f>
        <v>Students will identify adaptations in specific desert animals and plants.</v>
      </c>
      <c r="K97" s="10" t="str">
        <f t="shared" si="1"/>
        <v>LU005254.002</v>
      </c>
      <c r="L97" s="10" t="str">
        <f ca="1">IFERROR(__xludf.DUMMYFUNCTION("VLOOKUP(K97, IMPORTRANGE(""https://docs.google.com/spreadsheets/d/1yDAaXNsi4Mr5FtRQL4tbmSdIzhx6_m4wkOD7IG-k_eo/edit#gid=1336395716"", ""Science!M:N""), 2, FALSE)"),"Students will describe how these adaptations help desert organisms survive extreme conditions.")</f>
        <v>Students will describe how these adaptations help desert organisms survive extreme conditions.</v>
      </c>
      <c r="M97" s="10" t="str">
        <f t="shared" si="2"/>
        <v>LU005254.003</v>
      </c>
      <c r="N97" s="10" t="str">
        <f ca="1">IFERROR(__xludf.DUMMYFUNCTION("VLOOKUP(M97, IMPORTRANGE(""https://docs.google.com/spreadsheets/d/1yDAaXNsi4Mr5FtRQL4tbmSdIzhx6_m4wkOD7IG-k_eo/edit#gid=1336395716"", ""Science!M:N""), 2, FALSE)"),"Students will use examples to illustrate the function of adaptations in desert animals and plants.")</f>
        <v>Students will use examples to illustrate the function of adaptations in desert animals and plants.</v>
      </c>
      <c r="O97" s="10" t="str">
        <f t="shared" si="3"/>
        <v>LU005254.004</v>
      </c>
      <c r="P97" s="10" t="str">
        <f ca="1">IFERROR(__xludf.DUMMYFUNCTION("VLOOKUP(O97, IMPORTRANGE(""https://docs.google.com/spreadsheets/d/1yDAaXNsi4Mr5FtRQL4tbmSdIzhx6_m4wkOD7IG-k_eo/edit#gid=1336395716"", ""Science!M:N""), 2, FALSE)"),"Students will analyze the relationship between specific adaptations and the survival of organisms in the desert ecosystem.")</f>
        <v>Students will analyze the relationship between specific adaptations and the survival of organisms in the desert ecosystem.</v>
      </c>
      <c r="Q97" s="10" t="str">
        <f t="shared" si="4"/>
        <v>LU005254.005</v>
      </c>
      <c r="R97" s="10" t="str">
        <f ca="1">IFERROR(__xludf.DUMMYFUNCTION("VLOOKUP(Q97, IMPORTRANGE(""https://docs.google.com/spreadsheets/d/1yDAaXNsi4Mr5FtRQL4tbmSdIzhx6_m4wkOD7IG-k_eo/edit#gid=1336395716"", ""Science!M:N""), 2, FALSE)"),"Students will judge the effectiveness of certain adaptations in conserving water or regulating temperature in desert conditions.")</f>
        <v>Students will judge the effectiveness of certain adaptations in conserving water or regulating temperature in desert conditions.</v>
      </c>
      <c r="S97" s="10" t="str">
        <f t="shared" si="5"/>
        <v>LU005254.006</v>
      </c>
      <c r="T97" s="10" t="str">
        <f ca="1">IFERROR(__xludf.DUMMYFUNCTION("VLOOKUP(S97, IMPORTRANGE(""https://docs.google.com/spreadsheets/d/1yDAaXNsi4Mr5FtRQL4tbmSdIzhx6_m4wkOD7IG-k_eo/edit#gid=1336395716"", ""Science!M:N""), 2, FALSE)"),"Students will design a hypothetical species of a desert organism, complete with unique adaptations that enable it to thrive in hot, arid environments.")</f>
        <v>Students will design a hypothetical species of a desert organism, complete with unique adaptations that enable it to thrive in hot, arid environments.</v>
      </c>
      <c r="U97" s="11">
        <f ca="1">IFERROR(__xludf.DUMMYFUNCTION("ArrayFormula(VLOOKUP(G97, IMPORTRANGE(""https://docs.google.com/spreadsheets/d/1p7R4vtkWt5VOBim4ltsDG9KTzSjrtKXsMtQGXPHyND0/edit#gid=795171502"", ""'Filter 30_05_2024'!A1:M2000""), {2, 3, 4, 5,6,7,8,9,10,11,12,13}, 0))"),7)</f>
        <v>7</v>
      </c>
      <c r="V97" s="11">
        <f ca="1">IFERROR(__xludf.DUMMYFUNCTION("""COMPUTED_VALUE"""),6)</f>
        <v>6</v>
      </c>
      <c r="W97" s="11">
        <f ca="1">IFERROR(__xludf.DUMMYFUNCTION("""COMPUTED_VALUE"""),3)</f>
        <v>3</v>
      </c>
      <c r="X97" s="11">
        <f ca="1">IFERROR(__xludf.DUMMYFUNCTION("""COMPUTED_VALUE"""),16)</f>
        <v>16</v>
      </c>
      <c r="Y97" s="11">
        <f ca="1">IFERROR(__xludf.DUMMYFUNCTION("""COMPUTED_VALUE"""),4)</f>
        <v>4</v>
      </c>
      <c r="Z97" s="12">
        <f ca="1">IFERROR(__xludf.DUMMYFUNCTION("""COMPUTED_VALUE"""),3)</f>
        <v>3</v>
      </c>
      <c r="AA97" s="115"/>
      <c r="AB97" s="12">
        <f ca="1">IFERROR(__xludf.DUMMYFUNCTION("""COMPUTED_VALUE"""),7)</f>
        <v>7</v>
      </c>
      <c r="AC97" s="12"/>
      <c r="AD97" s="12"/>
      <c r="AE97" s="12"/>
      <c r="AF97" s="12"/>
      <c r="AG97" s="13" t="str">
        <f ca="1">IFERROR(__xludf.DUMMYFUNCTION("ArrayFormula(VLOOKUP(G97, IMPORTRANGE(""https://docs.google.com/spreadsheets/d/1Co934fvtviyaRiMsrIlT05Jaq7iiYq07aLvRr35KA48/edit?gid=173865642#gid=173865642"", ""'G6_Sci_Pri_LU'!G2:V2000""), {3, 4, 5, 6, 7, 8, 9, 10, 11, 12, 13, 14, 15, 16}, 0))"),"LU005258")</f>
        <v>LU005258</v>
      </c>
      <c r="AH97" s="13" t="str">
        <f ca="1">IFERROR(__xludf.DUMMYFUNCTION("""COMPUTED_VALUE"""),"Definition of habitats and adaptations.")</f>
        <v>Definition of habitats and adaptations.</v>
      </c>
      <c r="AI97" s="13" t="str">
        <f ca="1">IFERROR(__xludf.DUMMYFUNCTION("""COMPUTED_VALUE"""),"LU005944")</f>
        <v>LU005944</v>
      </c>
      <c r="AJ97" s="13" t="str">
        <f ca="1">IFERROR(__xludf.DUMMYFUNCTION("""COMPUTED_VALUE"""),"Introduction to photosynthesis process in plants")</f>
        <v>Introduction to photosynthesis process in plants</v>
      </c>
      <c r="AK97" s="13" t="str">
        <f ca="1">IFERROR(__xludf.DUMMYFUNCTION("""COMPUTED_VALUE"""),"LU005945")</f>
        <v>LU005945</v>
      </c>
      <c r="AL97" s="13" t="str">
        <f ca="1">IFERROR(__xludf.DUMMYFUNCTION("""COMPUTED_VALUE"""),"Introduction to transpiration process in plants")</f>
        <v>Introduction to transpiration process in plants</v>
      </c>
      <c r="AM97" s="13"/>
      <c r="AN97" s="13"/>
      <c r="AO97" s="13"/>
      <c r="AP97" s="13"/>
      <c r="AQ97" s="13"/>
      <c r="AR97" s="13"/>
      <c r="AS97" s="13"/>
      <c r="AT97" s="13"/>
    </row>
    <row r="98" spans="1:46">
      <c r="A98" s="8" t="s">
        <v>247</v>
      </c>
      <c r="B98" s="8" t="s">
        <v>47</v>
      </c>
      <c r="C98" s="8" t="s">
        <v>48</v>
      </c>
      <c r="D98" s="8" t="s">
        <v>1406</v>
      </c>
      <c r="E98" s="8" t="s">
        <v>1788</v>
      </c>
      <c r="F98" s="8" t="s">
        <v>1793</v>
      </c>
      <c r="G98" s="8" t="s">
        <v>1795</v>
      </c>
      <c r="H98" s="8" t="str">
        <f ca="1">IFERROR(__xludf.DUMMYFUNCTION("VLOOKUP(G98, IMPORTRANGE(""https://docs.google.com/spreadsheets/d/14deopnvwcrKtEGCKuYXdUHJbeLDZlkiSSWWT0g7x2pM/edit#gid=849066331"", ""LU List Science (Filter)!A:B""), 2, FALSE)"),"Adaptations found in various mountain region animals and plants.")</f>
        <v>Adaptations found in various mountain region animals and plants.</v>
      </c>
      <c r="I98" s="10" t="str">
        <f t="shared" si="0"/>
        <v>LU005255.001</v>
      </c>
      <c r="J98" s="10" t="str">
        <f ca="1">IFERROR(__xludf.DUMMYFUNCTION("VLOOKUP(I98, IMPORTRANGE(""https://docs.google.com/spreadsheets/d/1yDAaXNsi4Mr5FtRQL4tbmSdIzhx6_m4wkOD7IG-k_eo/edit#gid=1336395716"", ""Science!M:N""), 2, FALSE)"),"Students will identify adaptations in specific mountain region animals and plants.")</f>
        <v>Students will identify adaptations in specific mountain region animals and plants.</v>
      </c>
      <c r="K98" s="10" t="str">
        <f t="shared" si="1"/>
        <v>LU005255.002</v>
      </c>
      <c r="L98" s="10" t="str">
        <f ca="1">IFERROR(__xludf.DUMMYFUNCTION("VLOOKUP(K98, IMPORTRANGE(""https://docs.google.com/spreadsheets/d/1yDAaXNsi4Mr5FtRQL4tbmSdIzhx6_m4wkOD7IG-k_eo/edit#gid=1336395716"", ""Science!M:N""), 2, FALSE)"),"Students will describe how these adaptations help the organisms survive in mountain regions.")</f>
        <v>Students will describe how these adaptations help the organisms survive in mountain regions.</v>
      </c>
      <c r="M98" s="10" t="str">
        <f t="shared" si="2"/>
        <v>LU005255.003</v>
      </c>
      <c r="N98" s="10" t="str">
        <f ca="1">IFERROR(__xludf.DUMMYFUNCTION("VLOOKUP(M98, IMPORTRANGE(""https://docs.google.com/spreadsheets/d/1yDAaXNsi4Mr5FtRQL4tbmSdIzhx6_m4wkOD7IG-k_eo/edit#gid=1336395716"", ""Science!M:N""), 2, FALSE)"),"Students will use examples to illustrate the adaptations of mountain region animals and plants in response to their environment.")</f>
        <v>Students will use examples to illustrate the adaptations of mountain region animals and plants in response to their environment.</v>
      </c>
      <c r="O98" s="10" t="str">
        <f t="shared" si="3"/>
        <v>LU005255.004</v>
      </c>
      <c r="P98" s="10" t="str">
        <f ca="1">IFERROR(__xludf.DUMMYFUNCTION("VLOOKUP(O98, IMPORTRANGE(""https://docs.google.com/spreadsheets/d/1yDAaXNsi4Mr5FtRQL4tbmSdIzhx6_m4wkOD7IG-k_eo/edit#gid=1336395716"", ""Science!M:N""), 2, FALSE)"),"Students will analyze the relationship between altitude and the type of adaptations found in mountain region organisms.")</f>
        <v>Students will analyze the relationship between altitude and the type of adaptations found in mountain region organisms.</v>
      </c>
      <c r="Q98" s="10" t="str">
        <f t="shared" si="4"/>
        <v>LU005255.005</v>
      </c>
      <c r="R98" s="10" t="str">
        <f ca="1">IFERROR(__xludf.DUMMYFUNCTION("VLOOKUP(Q98, IMPORTRANGE(""https://docs.google.com/spreadsheets/d/1yDAaXNsi4Mr5FtRQL4tbmSdIzhx6_m4wkOD7IG-k_eo/edit#gid=1336395716"", ""Science!M:N""), 2, FALSE)"),"Students will justify the importance of specific adaptations in plants and animals for survival in mountainous habitats.")</f>
        <v>Students will justify the importance of specific adaptations in plants and animals for survival in mountainous habitats.</v>
      </c>
      <c r="S98" s="10" t="str">
        <f t="shared" si="5"/>
        <v>LU005255.006</v>
      </c>
      <c r="T98" s="10" t="str">
        <f ca="1">IFERROR(__xludf.DUMMYFUNCTION("VLOOKUP(S98, IMPORTRANGE(""https://docs.google.com/spreadsheets/d/1yDAaXNsi4Mr5FtRQL4tbmSdIzhx6_m4wkOD7IG-k_eo/edit#gid=1336395716"", ""Science!M:N""), 2, FALSE)"),"#N/A")</f>
        <v>#N/A</v>
      </c>
      <c r="U98" s="38">
        <f ca="1">IFERROR(__xludf.DUMMYFUNCTION("ArrayFormula(VLOOKUP(G98, IMPORTRANGE(""https://docs.google.com/spreadsheets/d/1p7R4vtkWt5VOBim4ltsDG9KTzSjrtKXsMtQGXPHyND0/edit#gid=795171502"", ""'Filter 30_05_2024'!A1:M2000""), {2, 3, 4, 5,6,7,8,9,10,11,12,13}, 0))"),2)</f>
        <v>2</v>
      </c>
      <c r="V98" s="38">
        <f ca="1">IFERROR(__xludf.DUMMYFUNCTION("""COMPUTED_VALUE"""),3)</f>
        <v>3</v>
      </c>
      <c r="W98" s="11">
        <f ca="1">IFERROR(__xludf.DUMMYFUNCTION("""COMPUTED_VALUE"""),2)</f>
        <v>2</v>
      </c>
      <c r="X98" s="11">
        <f ca="1">IFERROR(__xludf.DUMMYFUNCTION("""COMPUTED_VALUE"""),7)</f>
        <v>7</v>
      </c>
      <c r="Y98" s="11">
        <f ca="1">IFERROR(__xludf.DUMMYFUNCTION("""COMPUTED_VALUE"""),4)</f>
        <v>4</v>
      </c>
      <c r="Z98" s="12">
        <f ca="1">IFERROR(__xludf.DUMMYFUNCTION("""COMPUTED_VALUE"""),3)</f>
        <v>3</v>
      </c>
      <c r="AA98" s="12">
        <f ca="1">IFERROR(__xludf.DUMMYFUNCTION("""COMPUTED_VALUE"""),1)</f>
        <v>1</v>
      </c>
      <c r="AB98" s="12">
        <f ca="1">IFERROR(__xludf.DUMMYFUNCTION("""COMPUTED_VALUE"""),8)</f>
        <v>8</v>
      </c>
      <c r="AC98" s="12"/>
      <c r="AD98" s="12"/>
      <c r="AE98" s="12"/>
      <c r="AF98" s="12"/>
      <c r="AG98" s="13" t="str">
        <f ca="1">IFERROR(__xludf.DUMMYFUNCTION("ArrayFormula(VLOOKUP(G98, IMPORTRANGE(""https://docs.google.com/spreadsheets/d/1Co934fvtviyaRiMsrIlT05Jaq7iiYq07aLvRr35KA48/edit?gid=173865642#gid=173865642"", ""'G6_Sci_Pri_LU'!G2:V2000""), {3, 4, 5, 6, 7, 8, 9, 10, 11, 12, 13, 14, 15, 16}, 0))"),"LU005258")</f>
        <v>LU005258</v>
      </c>
      <c r="AH98" s="13" t="str">
        <f ca="1">IFERROR(__xludf.DUMMYFUNCTION("""COMPUTED_VALUE"""),"Definition of habitats and adaptations.")</f>
        <v>Definition of habitats and adaptations.</v>
      </c>
      <c r="AI98" s="13" t="str">
        <f ca="1">IFERROR(__xludf.DUMMYFUNCTION("""COMPUTED_VALUE"""),"LU005237")</f>
        <v>LU005237</v>
      </c>
      <c r="AJ98" s="13" t="str">
        <f ca="1">IFERROR(__xludf.DUMMYFUNCTION("""COMPUTED_VALUE"""),"Parts of a typical plant")</f>
        <v>Parts of a typical plant</v>
      </c>
      <c r="AK98" s="13"/>
      <c r="AL98" s="13"/>
      <c r="AM98" s="13"/>
      <c r="AN98" s="13"/>
      <c r="AO98" s="13"/>
      <c r="AP98" s="13"/>
      <c r="AQ98" s="13"/>
      <c r="AR98" s="13"/>
      <c r="AS98" s="13"/>
      <c r="AT98" s="13"/>
    </row>
    <row r="99" spans="1:46">
      <c r="A99" s="8" t="s">
        <v>247</v>
      </c>
      <c r="B99" s="8" t="s">
        <v>47</v>
      </c>
      <c r="C99" s="8" t="s">
        <v>48</v>
      </c>
      <c r="D99" s="8" t="s">
        <v>1406</v>
      </c>
      <c r="E99" s="8" t="s">
        <v>1788</v>
      </c>
      <c r="F99" s="8" t="s">
        <v>1793</v>
      </c>
      <c r="G99" s="8" t="s">
        <v>1796</v>
      </c>
      <c r="H99" s="8" t="str">
        <f ca="1">IFERROR(__xludf.DUMMYFUNCTION("VLOOKUP(G99, IMPORTRANGE(""https://docs.google.com/spreadsheets/d/14deopnvwcrKtEGCKuYXdUHJbeLDZlkiSSWWT0g7x2pM/edit#gid=849066331"", ""LU List Science (Filter)!A:B""), 2, FALSE)"),"Adaptations in grassland prey and predators.")</f>
        <v>Adaptations in grassland prey and predators.</v>
      </c>
      <c r="I99" s="10" t="str">
        <f t="shared" si="0"/>
        <v>LU005256.001</v>
      </c>
      <c r="J99" s="10" t="str">
        <f ca="1">IFERROR(__xludf.DUMMYFUNCTION("VLOOKUP(I99, IMPORTRANGE(""https://docs.google.com/spreadsheets/d/1yDAaXNsi4Mr5FtRQL4tbmSdIzhx6_m4wkOD7IG-k_eo/edit#gid=1336395716"", ""Science!M:N""), 2, FALSE)"),"Students will identify adaptations used by various prey and predators.")</f>
        <v>Students will identify adaptations used by various prey and predators.</v>
      </c>
      <c r="K99" s="10" t="str">
        <f t="shared" si="1"/>
        <v>LU005256.002</v>
      </c>
      <c r="L99" s="10" t="str">
        <f ca="1">IFERROR(__xludf.DUMMYFUNCTION("VLOOKUP(K99, IMPORTRANGE(""https://docs.google.com/spreadsheets/d/1yDAaXNsi4Mr5FtRQL4tbmSdIzhx6_m4wkOD7IG-k_eo/edit#gid=1336395716"", ""Science!M:N""), 2, FALSE)"),"Students will describe how specific adaptations help prey and predators survive.")</f>
        <v>Students will describe how specific adaptations help prey and predators survive.</v>
      </c>
      <c r="M99" s="10" t="str">
        <f t="shared" si="2"/>
        <v>LU005256.003</v>
      </c>
      <c r="N99" s="10" t="str">
        <f ca="1">IFERROR(__xludf.DUMMYFUNCTION("VLOOKUP(M99, IMPORTRANGE(""https://docs.google.com/spreadsheets/d/1yDAaXNsi4Mr5FtRQL4tbmSdIzhx6_m4wkOD7IG-k_eo/edit#gid=1336395716"", ""Science!M:N""), 2, FALSE)"),"Students will use examples to show how adaptations can lead to successful predation or escape.")</f>
        <v>Students will use examples to show how adaptations can lead to successful predation or escape.</v>
      </c>
      <c r="O99" s="10" t="str">
        <f t="shared" si="3"/>
        <v>LU005256.004</v>
      </c>
      <c r="P99" s="10" t="str">
        <f ca="1">IFERROR(__xludf.DUMMYFUNCTION("VLOOKUP(O99, IMPORTRANGE(""https://docs.google.com/spreadsheets/d/1yDAaXNsi4Mr5FtRQL4tbmSdIzhx6_m4wkOD7IG-k_eo/edit#gid=1336395716"", ""Science!M:N""), 2, FALSE)"),"Students will analyze the effectiveness of certain adaptations in specific environments.")</f>
        <v>Students will analyze the effectiveness of certain adaptations in specific environments.</v>
      </c>
      <c r="Q99" s="10" t="str">
        <f t="shared" si="4"/>
        <v>LU005256.005</v>
      </c>
      <c r="R99" s="10" t="str">
        <f ca="1">IFERROR(__xludf.DUMMYFUNCTION("VLOOKUP(Q99, IMPORTRANGE(""https://docs.google.com/spreadsheets/d/1yDAaXNsi4Mr5FtRQL4tbmSdIzhx6_m4wkOD7IG-k_eo/edit#gid=1336395716"", ""Science!M:N""), 2, FALSE)"),"Students will justify the necessity of particular adaptations for the survival of prey and predators.")</f>
        <v>Students will justify the necessity of particular adaptations for the survival of prey and predators.</v>
      </c>
      <c r="S99" s="10" t="str">
        <f t="shared" si="5"/>
        <v>LU005256.006</v>
      </c>
      <c r="T99" s="10" t="str">
        <f ca="1">IFERROR(__xludf.DUMMYFUNCTION("VLOOKUP(S99, IMPORTRANGE(""https://docs.google.com/spreadsheets/d/1yDAaXNsi4Mr5FtRQL4tbmSdIzhx6_m4wkOD7IG-k_eo/edit#gid=1336395716"", ""Science!M:N""), 2, FALSE)"),"Students will devise a hypothetical creature with adaptations suited for a particular environment, explaining how these would aid in its survival as either prey or predator.")</f>
        <v>Students will devise a hypothetical creature with adaptations suited for a particular environment, explaining how these would aid in its survival as either prey or predator.</v>
      </c>
      <c r="U99" s="11">
        <f ca="1">IFERROR(__xludf.DUMMYFUNCTION("ArrayFormula(VLOOKUP(G99, IMPORTRANGE(""https://docs.google.com/spreadsheets/d/1p7R4vtkWt5VOBim4ltsDG9KTzSjrtKXsMtQGXPHyND0/edit#gid=795171502"", ""'Filter 30_05_2024'!A1:M2000""), {2, 3, 4, 5,6,7,8,9,10,11,12,13}, 0))"),4)</f>
        <v>4</v>
      </c>
      <c r="V99" s="11">
        <f ca="1">IFERROR(__xludf.DUMMYFUNCTION("""COMPUTED_VALUE"""),6)</f>
        <v>6</v>
      </c>
      <c r="W99" s="11">
        <f ca="1">IFERROR(__xludf.DUMMYFUNCTION("""COMPUTED_VALUE"""),2)</f>
        <v>2</v>
      </c>
      <c r="X99" s="11">
        <f ca="1">IFERROR(__xludf.DUMMYFUNCTION("""COMPUTED_VALUE"""),12)</f>
        <v>12</v>
      </c>
      <c r="Y99" s="11">
        <f ca="1">IFERROR(__xludf.DUMMYFUNCTION("""COMPUTED_VALUE"""),4)</f>
        <v>4</v>
      </c>
      <c r="Z99" s="12">
        <f ca="1">IFERROR(__xludf.DUMMYFUNCTION("""COMPUTED_VALUE"""),3)</f>
        <v>3</v>
      </c>
      <c r="AA99" s="12">
        <f ca="1">IFERROR(__xludf.DUMMYFUNCTION("""COMPUTED_VALUE"""),1)</f>
        <v>1</v>
      </c>
      <c r="AB99" s="12">
        <f ca="1">IFERROR(__xludf.DUMMYFUNCTION("""COMPUTED_VALUE"""),8)</f>
        <v>8</v>
      </c>
      <c r="AC99" s="12"/>
      <c r="AD99" s="12"/>
      <c r="AE99" s="12"/>
      <c r="AF99" s="12"/>
      <c r="AG99" s="13" t="str">
        <f ca="1">IFERROR(__xludf.DUMMYFUNCTION("ArrayFormula(VLOOKUP(G99, IMPORTRANGE(""https://docs.google.com/spreadsheets/d/1Co934fvtviyaRiMsrIlT05Jaq7iiYq07aLvRr35KA48/edit?gid=173865642#gid=173865642"", ""'G6_Sci_Pri_LU'!G2:V2000""), {3, 4, 5, 6, 7, 8, 9, 10, 11, 12, 13, 14, 15, 16}, 0))"),"LU005258")</f>
        <v>LU005258</v>
      </c>
      <c r="AH99" s="13" t="str">
        <f ca="1">IFERROR(__xludf.DUMMYFUNCTION("""COMPUTED_VALUE"""),"Definition of habitats and adaptations.")</f>
        <v>Definition of habitats and adaptations.</v>
      </c>
      <c r="AI99" s="13" t="str">
        <f ca="1">IFERROR(__xludf.DUMMYFUNCTION("""COMPUTED_VALUE"""),"LU005119")</f>
        <v>LU005119</v>
      </c>
      <c r="AJ99" s="13" t="str">
        <f ca="1">IFERROR(__xludf.DUMMYFUNCTION("""COMPUTED_VALUE"""),"Super Senses in Various Animals")</f>
        <v>Super Senses in Various Animals</v>
      </c>
      <c r="AK99" s="13" t="str">
        <f ca="1">IFERROR(__xludf.DUMMYFUNCTION("""COMPUTED_VALUE"""),"LU005117")</f>
        <v>LU005117</v>
      </c>
      <c r="AL99" s="13" t="str">
        <f ca="1">IFERROR(__xludf.DUMMYFUNCTION("""COMPUTED_VALUE"""),"Special Sensory Features and Habits in Tigers")</f>
        <v>Special Sensory Features and Habits in Tigers</v>
      </c>
      <c r="AM99" s="13" t="str">
        <f ca="1">IFERROR(__xludf.DUMMYFUNCTION("""COMPUTED_VALUE"""),"LU005113")</f>
        <v>LU005113</v>
      </c>
      <c r="AN99" s="13" t="str">
        <f ca="1">IFERROR(__xludf.DUMMYFUNCTION("""COMPUTED_VALUE"""),"Sharp Ears in Various Animals")</f>
        <v>Sharp Ears in Various Animals</v>
      </c>
      <c r="AO99" s="13"/>
      <c r="AP99" s="13"/>
      <c r="AQ99" s="13"/>
      <c r="AR99" s="13"/>
      <c r="AS99" s="13"/>
      <c r="AT99" s="13"/>
    </row>
    <row r="100" spans="1:46">
      <c r="A100" s="8" t="s">
        <v>247</v>
      </c>
      <c r="B100" s="8" t="s">
        <v>47</v>
      </c>
      <c r="C100" s="8" t="s">
        <v>48</v>
      </c>
      <c r="D100" s="8" t="s">
        <v>1406</v>
      </c>
      <c r="E100" s="8" t="s">
        <v>1788</v>
      </c>
      <c r="F100" s="8" t="s">
        <v>1797</v>
      </c>
      <c r="G100" s="8" t="s">
        <v>1798</v>
      </c>
      <c r="H100" s="8" t="str">
        <f ca="1">IFERROR(__xludf.DUMMYFUNCTION("VLOOKUP(G100, IMPORTRANGE(""https://docs.google.com/spreadsheets/d/14deopnvwcrKtEGCKuYXdUHJbeLDZlkiSSWWT0g7x2pM/edit#gid=849066331"", ""LU List Science (Filter)!A:B""), 2, FALSE)"),"Adaptations in various aquatic plants and animals, and frogs.")</f>
        <v>Adaptations in various aquatic plants and animals, and frogs.</v>
      </c>
      <c r="I100" s="10" t="str">
        <f t="shared" si="0"/>
        <v>LU005257.001</v>
      </c>
      <c r="J100" s="10" t="str">
        <f ca="1">IFERROR(__xludf.DUMMYFUNCTION("VLOOKUP(I100, IMPORTRANGE(""https://docs.google.com/spreadsheets/d/1yDAaXNsi4Mr5FtRQL4tbmSdIzhx6_m4wkOD7IG-k_eo/edit#gid=1336395716"", ""Science!M:N""), 2, FALSE)"),"Students will identify adaptations of various aquatic plants, animals, and frogs.")</f>
        <v>Students will identify adaptations of various aquatic plants, animals, and frogs.</v>
      </c>
      <c r="K100" s="10" t="str">
        <f t="shared" si="1"/>
        <v>LU005257.002</v>
      </c>
      <c r="L100" s="10" t="str">
        <f ca="1">IFERROR(__xludf.DUMMYFUNCTION("VLOOKUP(K100, IMPORTRANGE(""https://docs.google.com/spreadsheets/d/1yDAaXNsi4Mr5FtRQL4tbmSdIzhx6_m4wkOD7IG-k_eo/edit#gid=1336395716"", ""Science!M:N""), 2, FALSE)"),"Students will describe how the adaptations help these organisms survive in their aquatic habitats.")</f>
        <v>Students will describe how the adaptations help these organisms survive in their aquatic habitats.</v>
      </c>
      <c r="M100" s="10" t="str">
        <f t="shared" si="2"/>
        <v>LU005257.003</v>
      </c>
      <c r="N100" s="10" t="str">
        <f ca="1">IFERROR(__xludf.DUMMYFUNCTION("VLOOKUP(M100, IMPORTRANGE(""https://docs.google.com/spreadsheets/d/1yDAaXNsi4Mr5FtRQL4tbmSdIzhx6_m4wkOD7IG-k_eo/edit#gid=1336395716"", ""Science!M:N""), 2, FALSE)"),"Students will demonstrate understanding by giving examples of specific adaptations for gas exchange, buoyancy, and locomotion in water.")</f>
        <v>Students will demonstrate understanding by giving examples of specific adaptations for gas exchange, buoyancy, and locomotion in water.</v>
      </c>
      <c r="O100" s="10" t="str">
        <f t="shared" si="3"/>
        <v>LU005257.004</v>
      </c>
      <c r="P100" s="10" t="str">
        <f ca="1">IFERROR(__xludf.DUMMYFUNCTION("VLOOKUP(O100, IMPORTRANGE(""https://docs.google.com/spreadsheets/d/1yDAaXNsi4Mr5FtRQL4tbmSdIzhx6_m4wkOD7IG-k_eo/edit#gid=1336395716"", ""Science!M:N""), 2, FALSE)"),"Students will analyze the relationship between water properties and the adaptations of aquatic life and frogs.")</f>
        <v>Students will analyze the relationship between water properties and the adaptations of aquatic life and frogs.</v>
      </c>
      <c r="Q100" s="10" t="str">
        <f t="shared" si="4"/>
        <v>LU005257.005</v>
      </c>
      <c r="R100" s="10" t="str">
        <f ca="1">IFERROR(__xludf.DUMMYFUNCTION("VLOOKUP(Q100, IMPORTRANGE(""https://docs.google.com/spreadsheets/d/1yDAaXNsi4Mr5FtRQL4tbmSdIzhx6_m4wkOD7IG-k_eo/edit#gid=1336395716"", ""Science!M:N""), 2, FALSE)"),"Students will judge the effectiveness of certain adaptations in meeting the survival needs of aquatic organisms and frogs.")</f>
        <v>Students will judge the effectiveness of certain adaptations in meeting the survival needs of aquatic organisms and frogs.</v>
      </c>
      <c r="S100" s="10" t="str">
        <f t="shared" si="5"/>
        <v>LU005257.006</v>
      </c>
      <c r="T100" s="10" t="str">
        <f ca="1">IFERROR(__xludf.DUMMYFUNCTION("VLOOKUP(S100, IMPORTRANGE(""https://docs.google.com/spreadsheets/d/1yDAaXNsi4Mr5FtRQL4tbmSdIzhx6_m4wkOD7IG-k_eo/edit#gid=1336395716"", ""Science!M:N""), 2, FALSE)"),"Students will design a hypothetical aquatic plant or animal, incorporating adaptations that would enable it to thrive in a specific aquatic environment.")</f>
        <v>Students will design a hypothetical aquatic plant or animal, incorporating adaptations that would enable it to thrive in a specific aquatic environment.</v>
      </c>
      <c r="U100" s="11">
        <f ca="1">IFERROR(__xludf.DUMMYFUNCTION("ArrayFormula(VLOOKUP(G100, IMPORTRANGE(""https://docs.google.com/spreadsheets/d/1p7R4vtkWt5VOBim4ltsDG9KTzSjrtKXsMtQGXPHyND0/edit#gid=795171502"", ""'Filter 30_05_2024'!A1:M2000""), {2, 3, 4, 5,6,7,8,9,10,11,12,13}, 0))"),24)</f>
        <v>24</v>
      </c>
      <c r="V100" s="11">
        <f ca="1">IFERROR(__xludf.DUMMYFUNCTION("""COMPUTED_VALUE"""),18)</f>
        <v>18</v>
      </c>
      <c r="W100" s="11">
        <f ca="1">IFERROR(__xludf.DUMMYFUNCTION("""COMPUTED_VALUE"""),3)</f>
        <v>3</v>
      </c>
      <c r="X100" s="11">
        <f ca="1">IFERROR(__xludf.DUMMYFUNCTION("""COMPUTED_VALUE"""),45)</f>
        <v>45</v>
      </c>
      <c r="Y100" s="11">
        <f ca="1">IFERROR(__xludf.DUMMYFUNCTION("""COMPUTED_VALUE"""),9)</f>
        <v>9</v>
      </c>
      <c r="Z100" s="12">
        <f ca="1">IFERROR(__xludf.DUMMYFUNCTION("""COMPUTED_VALUE"""),3)</f>
        <v>3</v>
      </c>
      <c r="AA100" s="12">
        <f ca="1">IFERROR(__xludf.DUMMYFUNCTION("""COMPUTED_VALUE"""),1)</f>
        <v>1</v>
      </c>
      <c r="AB100" s="12">
        <f ca="1">IFERROR(__xludf.DUMMYFUNCTION("""COMPUTED_VALUE"""),13)</f>
        <v>13</v>
      </c>
      <c r="AC100" s="12"/>
      <c r="AD100" s="12"/>
      <c r="AE100" s="12"/>
      <c r="AF100" s="12"/>
      <c r="AG100" s="13" t="str">
        <f ca="1">IFERROR(__xludf.DUMMYFUNCTION("ArrayFormula(VLOOKUP(G100, IMPORTRANGE(""https://docs.google.com/spreadsheets/d/1Co934fvtviyaRiMsrIlT05Jaq7iiYq07aLvRr35KA48/edit?gid=173865642#gid=173865642"", ""'G6_Sci_Pri_LU'!G2:V2000""), {3, 4, 5, 6, 7, 8, 9, 10, 11, 12, 13, 14, 15, 16}, 0))"),"LU005258")</f>
        <v>LU005258</v>
      </c>
      <c r="AH100" s="13" t="str">
        <f ca="1">IFERROR(__xludf.DUMMYFUNCTION("""COMPUTED_VALUE"""),"Definition of habitats and adaptations.")</f>
        <v>Definition of habitats and adaptations.</v>
      </c>
      <c r="AI100" s="13" t="str">
        <f ca="1">IFERROR(__xludf.DUMMYFUNCTION("""COMPUTED_VALUE"""),"LU005239")</f>
        <v>LU005239</v>
      </c>
      <c r="AJ100" s="13" t="str">
        <f ca="1">IFERROR(__xludf.DUMMYFUNCTION("""COMPUTED_VALUE"""),"Plant's stem structure and functions")</f>
        <v>Plant's stem structure and functions</v>
      </c>
      <c r="AK100" s="13" t="str">
        <f ca="1">IFERROR(__xludf.DUMMYFUNCTION("""COMPUTED_VALUE"""),"LU005943")</f>
        <v>LU005943</v>
      </c>
      <c r="AL100" s="13" t="str">
        <f ca="1">IFERROR(__xludf.DUMMYFUNCTION("""COMPUTED_VALUE"""),"Plant's leaf structure and venation pattern")</f>
        <v>Plant's leaf structure and venation pattern</v>
      </c>
      <c r="AM100" s="13" t="str">
        <f ca="1">IFERROR(__xludf.DUMMYFUNCTION("""COMPUTED_VALUE"""),"LU005946")</f>
        <v>LU005946</v>
      </c>
      <c r="AN100" s="13" t="str">
        <f ca="1">IFERROR(__xludf.DUMMYFUNCTION("""COMPUTED_VALUE"""),"A typical plant root's function")</f>
        <v>A typical plant root's function</v>
      </c>
      <c r="AO100" s="13"/>
      <c r="AP100" s="13"/>
      <c r="AQ100" s="13"/>
      <c r="AR100" s="13"/>
      <c r="AS100" s="13"/>
      <c r="AT100" s="13"/>
    </row>
    <row r="101" spans="1:46">
      <c r="A101" s="8" t="s">
        <v>247</v>
      </c>
      <c r="B101" s="8" t="s">
        <v>47</v>
      </c>
      <c r="C101" s="8" t="s">
        <v>48</v>
      </c>
      <c r="D101" s="8" t="s">
        <v>1406</v>
      </c>
      <c r="E101" s="8" t="s">
        <v>1788</v>
      </c>
      <c r="F101" s="8" t="s">
        <v>1799</v>
      </c>
      <c r="G101" s="8" t="s">
        <v>1670</v>
      </c>
      <c r="H101" s="8" t="str">
        <f ca="1">IFERROR(__xludf.DUMMYFUNCTION("VLOOKUP(G101, IMPORTRANGE(""https://docs.google.com/spreadsheets/d/14deopnvwcrKtEGCKuYXdUHJbeLDZlkiSSWWT0g7x2pM/edit#gid=849066331"", ""LU List Science (Filter)!A:B""), 2, FALSE)"),"Fundamental Characteristics of Living Organisms")</f>
        <v>Fundamental Characteristics of Living Organisms</v>
      </c>
      <c r="I101" s="10" t="str">
        <f t="shared" si="0"/>
        <v>LU005265.001</v>
      </c>
      <c r="J101" s="10" t="str">
        <f ca="1">IFERROR(__xludf.DUMMYFUNCTION("VLOOKUP(I101, IMPORTRANGE(""https://docs.google.com/spreadsheets/d/1yDAaXNsi4Mr5FtRQL4tbmSdIzhx6_m4wkOD7IG-k_eo/edit#gid=1336395716"", ""Science!M:N""), 2, FALSE)"),"Students will learn and retain the seven essential characteristics that define living organisms, along with examples that distinguish between living and non-living entities.")</f>
        <v>Students will learn and retain the seven essential characteristics that define living organisms, along with examples that distinguish between living and non-living entities.</v>
      </c>
      <c r="K101" s="10" t="str">
        <f t="shared" si="1"/>
        <v>LU005265.002</v>
      </c>
      <c r="L101" s="10" t="str">
        <f ca="1">IFERROR(__xludf.DUMMYFUNCTION("VLOOKUP(K101, IMPORTRANGE(""https://docs.google.com/spreadsheets/d/1yDAaXNsi4Mr5FtRQL4tbmSdIzhx6_m4wkOD7IG-k_eo/edit#gid=1336395716"", ""Science!M:N""), 2, FALSE)"),"Students will explain in their own words what each characteristic means and why it is essential for life.")</f>
        <v>Students will explain in their own words what each characteristic means and why it is essential for life.</v>
      </c>
      <c r="M101" s="10" t="str">
        <f t="shared" si="2"/>
        <v>LU005265.003</v>
      </c>
      <c r="N101" s="10" t="str">
        <f ca="1">IFERROR(__xludf.DUMMYFUNCTION("VLOOKUP(M101, IMPORTRANGE(""https://docs.google.com/spreadsheets/d/1yDAaXNsi4Mr5FtRQL4tbmSdIzhx6_m4wkOD7IG-k_eo/edit#gid=1336395716"", ""Science!M:N""), 2, FALSE)"),"Students will demonstrate their understanding of these characteristics by providing clear examples from a diverse range of living and non-living things.")</f>
        <v>Students will demonstrate their understanding of these characteristics by providing clear examples from a diverse range of living and non-living things.</v>
      </c>
      <c r="O101" s="10" t="str">
        <f t="shared" si="3"/>
        <v>LU005265.004</v>
      </c>
      <c r="P101" s="10" t="str">
        <f ca="1">IFERROR(__xludf.DUMMYFUNCTION("VLOOKUP(O101, IMPORTRANGE(""https://docs.google.com/spreadsheets/d/1yDAaXNsi4Mr5FtRQL4tbmSdIzhx6_m4wkOD7IG-k_eo/edit#gid=1336395716"", ""Science!M:N""), 2, FALSE)"),"Students will examine different organisms to identify and analyze these fundamental characteristics in action.")</f>
        <v>Students will examine different organisms to identify and analyze these fundamental characteristics in action.</v>
      </c>
      <c r="Q101" s="10" t="str">
        <f t="shared" si="4"/>
        <v>LU005265.005</v>
      </c>
      <c r="R101" s="10" t="str">
        <f ca="1">IFERROR(__xludf.DUMMYFUNCTION("VLOOKUP(Q101, IMPORTRANGE(""https://docs.google.com/spreadsheets/d/1yDAaXNsi4Mr5FtRQL4tbmSdIzhx6_m4wkOD7IG-k_eo/edit#gid=1336395716"", ""Science!M:N""), 2, FALSE)"),"Students will judge the importance of each characteristic for the survival of living organisms and predict the consequences of its absence.")</f>
        <v>Students will judge the importance of each characteristic for the survival of living organisms and predict the consequences of its absence.</v>
      </c>
      <c r="S101" s="10" t="str">
        <f t="shared" si="5"/>
        <v>LU005265.006</v>
      </c>
      <c r="T101" s="10" t="str">
        <f ca="1">IFERROR(__xludf.DUMMYFUNCTION("VLOOKUP(S101, IMPORTRANGE(""https://docs.google.com/spreadsheets/d/1yDAaXNsi4Mr5FtRQL4tbmSdIzhx6_m4wkOD7IG-k_eo/edit#gid=1336395716"", ""Science!M:N""), 2, FALSE)"),"#N/A")</f>
        <v>#N/A</v>
      </c>
      <c r="U101" s="38">
        <f ca="1">IFERROR(__xludf.DUMMYFUNCTION("ArrayFormula(VLOOKUP(G101, IMPORTRANGE(""https://docs.google.com/spreadsheets/d/1p7R4vtkWt5VOBim4ltsDG9KTzSjrtKXsMtQGXPHyND0/edit#gid=795171502"", ""'Filter 30_05_2024'!A1:M2000""), {2, 3, 4, 5,6,7,8,9,10,11,12,13}, 0))"),3)</f>
        <v>3</v>
      </c>
      <c r="V101" s="11">
        <f ca="1">IFERROR(__xludf.DUMMYFUNCTION("""COMPUTED_VALUE"""),6)</f>
        <v>6</v>
      </c>
      <c r="W101" s="11">
        <f ca="1">IFERROR(__xludf.DUMMYFUNCTION("""COMPUTED_VALUE"""),2)</f>
        <v>2</v>
      </c>
      <c r="X101" s="11">
        <f ca="1">IFERROR(__xludf.DUMMYFUNCTION("""COMPUTED_VALUE"""),11)</f>
        <v>11</v>
      </c>
      <c r="Y101" s="11">
        <f ca="1">IFERROR(__xludf.DUMMYFUNCTION("""COMPUTED_VALUE"""),4)</f>
        <v>4</v>
      </c>
      <c r="Z101" s="12">
        <f ca="1">IFERROR(__xludf.DUMMYFUNCTION("""COMPUTED_VALUE"""),6)</f>
        <v>6</v>
      </c>
      <c r="AA101" s="12">
        <f ca="1">IFERROR(__xludf.DUMMYFUNCTION("""COMPUTED_VALUE"""),1)</f>
        <v>1</v>
      </c>
      <c r="AB101" s="12">
        <f ca="1">IFERROR(__xludf.DUMMYFUNCTION("""COMPUTED_VALUE"""),11)</f>
        <v>11</v>
      </c>
      <c r="AC101" s="12"/>
      <c r="AD101" s="12"/>
      <c r="AE101" s="12"/>
      <c r="AF101" s="12"/>
      <c r="AG101" s="13" t="str">
        <f ca="1">IFERROR(__xludf.DUMMYFUNCTION("ArrayFormula(VLOOKUP(G101, IMPORTRANGE(""https://docs.google.com/spreadsheets/d/1Co934fvtviyaRiMsrIlT05Jaq7iiYq07aLvRr35KA48/edit?gid=173865642#gid=173865642"", ""'G6_Sci_Pri_LU'!G2:V2000""), {3, 4, 5, 6, 7, 8, 9, 10, 11, 12, 13, 14, 15, 16}, 0))"),"LU005252")</f>
        <v>LU005252</v>
      </c>
      <c r="AH101" s="13" t="str">
        <f ca="1">IFERROR(__xludf.DUMMYFUNCTION("""COMPUTED_VALUE"""),"Animals, plants, and natural objects in different surroundings")</f>
        <v>Animals, plants, and natural objects in different surroundings</v>
      </c>
      <c r="AI101" s="13" t="str">
        <f ca="1">IFERROR(__xludf.DUMMYFUNCTION("""COMPUTED_VALUE"""),"LU005214")</f>
        <v>LU005214</v>
      </c>
      <c r="AJ101" s="13" t="str">
        <f ca="1">IFERROR(__xludf.DUMMYFUNCTION("""COMPUTED_VALUE"""),"Definition of nutrients, types, and their sources.")</f>
        <v>Definition of nutrients, types, and their sources.</v>
      </c>
      <c r="AK101" s="13" t="str">
        <f ca="1">IFERROR(__xludf.DUMMYFUNCTION("""COMPUTED_VALUE"""),"LU005894")</f>
        <v>LU005894</v>
      </c>
      <c r="AL101" s="13" t="str">
        <f ca="1">IFERROR(__xludf.DUMMYFUNCTION("""COMPUTED_VALUE"""),"Presence of oxygen in water and soil")</f>
        <v>Presence of oxygen in water and soil</v>
      </c>
      <c r="AM101" s="13" t="str">
        <f ca="1">IFERROR(__xludf.DUMMYFUNCTION("""COMPUTED_VALUE"""),"LU005007")</f>
        <v>LU005007</v>
      </c>
      <c r="AN101" s="13" t="str">
        <f ca="1">IFERROR(__xludf.DUMMYFUNCTION("""COMPUTED_VALUE"""),"Sun the Source of Solar energy")</f>
        <v>Sun the Source of Solar energy</v>
      </c>
      <c r="AO101" s="13"/>
      <c r="AP101" s="13"/>
      <c r="AQ101" s="13"/>
      <c r="AR101" s="13"/>
      <c r="AS101" s="13"/>
      <c r="AT101" s="13"/>
    </row>
    <row r="102" spans="1:46">
      <c r="A102" s="8" t="s">
        <v>247</v>
      </c>
      <c r="B102" s="8" t="s">
        <v>47</v>
      </c>
      <c r="C102" s="8" t="s">
        <v>48</v>
      </c>
      <c r="D102" s="8" t="s">
        <v>1406</v>
      </c>
      <c r="E102" s="8" t="s">
        <v>1800</v>
      </c>
      <c r="F102" s="8" t="s">
        <v>1801</v>
      </c>
      <c r="G102" s="8" t="s">
        <v>1409</v>
      </c>
      <c r="H102" s="8" t="str">
        <f ca="1">IFERROR(__xludf.DUMMYFUNCTION("VLOOKUP(G102, IMPORTRANGE(""https://docs.google.com/spreadsheets/d/14deopnvwcrKtEGCKuYXdUHJbeLDZlkiSSWWT0g7x2pM/edit#gid=849066331"", ""LU List Science (Filter)!A:B""), 2, FALSE)"),"Variety of Food and Ingredients")</f>
        <v>Variety of Food and Ingredients</v>
      </c>
      <c r="I102" s="10" t="str">
        <f t="shared" si="0"/>
        <v>LU005236.001</v>
      </c>
      <c r="J102" s="10" t="str">
        <f ca="1">IFERROR(__xludf.DUMMYFUNCTION("VLOOKUP(I102, IMPORTRANGE(""https://docs.google.com/spreadsheets/d/1yDAaXNsi4Mr5FtRQL4tbmSdIzhx6_m4wkOD7IG-k_eo/edit#gid=1336395716"", ""Science!M:N""), 2, FALSE)"),"Identify and name a diverse range of food ingredients from various categories, including grains, fruits, vegetables, dairy, honey, etc.")</f>
        <v>Identify and name a diverse range of food ingredients from various categories, including grains, fruits, vegetables, dairy, honey, etc.</v>
      </c>
      <c r="K102" s="10" t="str">
        <f t="shared" si="1"/>
        <v>LU005236.002</v>
      </c>
      <c r="L102" s="10" t="str">
        <f ca="1">IFERROR(__xludf.DUMMYFUNCTION("VLOOKUP(K102, IMPORTRANGE(""https://docs.google.com/spreadsheets/d/1yDAaXNsi4Mr5FtRQL4tbmSdIzhx6_m4wkOD7IG-k_eo/edit#gid=1336395716"", ""Science!M:N""), 2, FALSE)"),"Explain the importance of including a variety of food ingredients in everyday meals, highlighting how it can contribute to a more enjoyable and nutritious diet.")</f>
        <v>Explain the importance of including a variety of food ingredients in everyday meals, highlighting how it can contribute to a more enjoyable and nutritious diet.</v>
      </c>
      <c r="M102" s="10" t="str">
        <f t="shared" si="2"/>
        <v>LU005236.003</v>
      </c>
      <c r="N102" s="10" t="str">
        <f ca="1">IFERROR(__xludf.DUMMYFUNCTION("VLOOKUP(M102, IMPORTRANGE(""https://docs.google.com/spreadsheets/d/1yDAaXNsi4Mr5FtRQL4tbmSdIzhx6_m4wkOD7IG-k_eo/edit#gid=1336395716"", ""Science!M:N""), 2, FALSE)"),"Construct a list of meals or dishes that showcase different food ingredients, demonstrating an understanding of how diverse ingredients can be used in cooking.")</f>
        <v>Construct a list of meals or dishes that showcase different food ingredients, demonstrating an understanding of how diverse ingredients can be used in cooking.</v>
      </c>
      <c r="O102" s="10" t="str">
        <f t="shared" si="3"/>
        <v>LU005236.004</v>
      </c>
      <c r="P102" s="10" t="str">
        <f ca="1">IFERROR(__xludf.DUMMYFUNCTION("VLOOKUP(O102, IMPORTRANGE(""https://docs.google.com/spreadsheets/d/1yDAaXNsi4Mr5FtRQL4tbmSdIzhx6_m4wkOD7IG-k_eo/edit#gid=1336395716"", ""Science!M:N""), 2, FALSE)"),"Analyze the benefits of incorporating various food ingredients into a diet, considering factors such as taste, texture, nutritional value, and cultural significance.")</f>
        <v>Analyze the benefits of incorporating various food ingredients into a diet, considering factors such as taste, texture, nutritional value, and cultural significance.</v>
      </c>
      <c r="Q102" s="10" t="str">
        <f t="shared" si="4"/>
        <v>LU005236.005</v>
      </c>
      <c r="R102" s="10" t="str">
        <f ca="1">IFERROR(__xludf.DUMMYFUNCTION("VLOOKUP(Q102, IMPORTRANGE(""https://docs.google.com/spreadsheets/d/1yDAaXNsi4Mr5FtRQL4tbmSdIzhx6_m4wkOD7IG-k_eo/edit#gid=1336395716"", ""Science!M:N""), 2, FALSE)"),"Evaluate the impact of food variety on personal dietary choices and preferences, reflecting on how a diverse selection of ingredients enhances overall satisfaction with meals.")</f>
        <v>Evaluate the impact of food variety on personal dietary choices and preferences, reflecting on how a diverse selection of ingredients enhances overall satisfaction with meals.</v>
      </c>
      <c r="S102" s="10" t="str">
        <f t="shared" si="5"/>
        <v>LU005236.006</v>
      </c>
      <c r="T102" s="10" t="str">
        <f ca="1">IFERROR(__xludf.DUMMYFUNCTION("VLOOKUP(S102, IMPORTRANGE(""https://docs.google.com/spreadsheets/d/1yDAaXNsi4Mr5FtRQL4tbmSdIzhx6_m4wkOD7IG-k_eo/edit#gid=1336395716"", ""Science!M:N""), 2, FALSE)"),"#N/A")</f>
        <v>#N/A</v>
      </c>
      <c r="U102" s="11">
        <f ca="1">IFERROR(__xludf.DUMMYFUNCTION("ArrayFormula(VLOOKUP(G102, IMPORTRANGE(""https://docs.google.com/spreadsheets/d/1p7R4vtkWt5VOBim4ltsDG9KTzSjrtKXsMtQGXPHyND0/edit#gid=795171502"", ""'Filter 30_05_2024'!A1:M2000""), {2, 3, 4, 5,6,7,8,9,10,11,12,13}, 0))"),45)</f>
        <v>45</v>
      </c>
      <c r="V102" s="38">
        <f ca="1">IFERROR(__xludf.DUMMYFUNCTION("""COMPUTED_VALUE"""),5)</f>
        <v>5</v>
      </c>
      <c r="W102" s="11">
        <f ca="1">IFERROR(__xludf.DUMMYFUNCTION("""COMPUTED_VALUE"""),5)</f>
        <v>5</v>
      </c>
      <c r="X102" s="11">
        <f ca="1">IFERROR(__xludf.DUMMYFUNCTION("""COMPUTED_VALUE"""),55)</f>
        <v>55</v>
      </c>
      <c r="Y102" s="11">
        <f ca="1">IFERROR(__xludf.DUMMYFUNCTION("""COMPUTED_VALUE"""),8)</f>
        <v>8</v>
      </c>
      <c r="Z102" s="115">
        <f ca="1">IFERROR(__xludf.DUMMYFUNCTION("""COMPUTED_VALUE"""),3)</f>
        <v>3</v>
      </c>
      <c r="AA102" s="115">
        <f ca="1">IFERROR(__xludf.DUMMYFUNCTION("""COMPUTED_VALUE"""),1)</f>
        <v>1</v>
      </c>
      <c r="AB102" s="12">
        <f ca="1">IFERROR(__xludf.DUMMYFUNCTION("""COMPUTED_VALUE"""),12)</f>
        <v>12</v>
      </c>
      <c r="AC102" s="12"/>
      <c r="AD102" s="12"/>
      <c r="AE102" s="12"/>
      <c r="AF102" s="12"/>
      <c r="AG102" s="13" t="str">
        <f ca="1">IFERROR(__xludf.DUMMYFUNCTION("ArrayFormula(VLOOKUP(G102, IMPORTRANGE(""https://docs.google.com/spreadsheets/d/1Co934fvtviyaRiMsrIlT05Jaq7iiYq07aLvRr35KA48/edit?gid=173865642#gid=173865642"", ""'G6_Sci_Pri_LU'!G2:V2000""), {3, 4, 5, 6, 7, 8, 9, 10, 11, 12, 13, 14, 15, 16}, 0))"),"LU005057")</f>
        <v>LU005057</v>
      </c>
      <c r="AH102" s="13" t="str">
        <f ca="1">IFERROR(__xludf.DUMMYFUNCTION("""COMPUTED_VALUE"""),"Usefulness of Animals in Day-to-Day Life")</f>
        <v>Usefulness of Animals in Day-to-Day Life</v>
      </c>
      <c r="AI102" s="13"/>
      <c r="AJ102" s="13"/>
      <c r="AK102" s="13"/>
      <c r="AL102" s="13"/>
      <c r="AM102" s="13"/>
      <c r="AN102" s="13"/>
      <c r="AO102" s="13"/>
      <c r="AP102" s="13"/>
      <c r="AQ102" s="13"/>
      <c r="AR102" s="13"/>
      <c r="AS102" s="13"/>
      <c r="AT102" s="13"/>
    </row>
    <row r="103" spans="1:46">
      <c r="A103" s="8" t="s">
        <v>247</v>
      </c>
      <c r="B103" s="8" t="s">
        <v>47</v>
      </c>
      <c r="C103" s="8" t="s">
        <v>48</v>
      </c>
      <c r="D103" s="8" t="s">
        <v>1406</v>
      </c>
      <c r="E103" s="8" t="s">
        <v>1800</v>
      </c>
      <c r="F103" s="8" t="s">
        <v>1802</v>
      </c>
      <c r="G103" s="8" t="s">
        <v>1803</v>
      </c>
      <c r="H103" s="8" t="str">
        <f ca="1">IFERROR(__xludf.DUMMYFUNCTION("VLOOKUP(G103, IMPORTRANGE(""https://docs.google.com/spreadsheets/d/14deopnvwcrKtEGCKuYXdUHJbeLDZlkiSSWWT0g7x2pM/edit#gid=849066331"", ""LU List Science (Filter)!A:B""), 2, FALSE)"),"Plants and animals-based food sources")</f>
        <v>Plants and animals-based food sources</v>
      </c>
      <c r="I103" s="10" t="str">
        <f t="shared" si="0"/>
        <v>LU005235.001</v>
      </c>
      <c r="J103" s="10" t="str">
        <f ca="1">IFERROR(__xludf.DUMMYFUNCTION("VLOOKUP(I103, IMPORTRANGE(""https://docs.google.com/spreadsheets/d/1yDAaXNsi4Mr5FtRQL4tbmSdIzhx6_m4wkOD7IG-k_eo/edit#gid=1336395716"", ""Science!M:N""), 2, FALSE)"),"Identify and name different plants and animals-based commonly used as food sources.")</f>
        <v>Identify and name different plants and animals-based commonly used as food sources.</v>
      </c>
      <c r="K103" s="10" t="str">
        <f t="shared" si="1"/>
        <v>LU005235.002</v>
      </c>
      <c r="L103" s="10" t="str">
        <f ca="1">IFERROR(__xludf.DUMMYFUNCTION("VLOOKUP(K103, IMPORTRANGE(""https://docs.google.com/spreadsheets/d/1yDAaXNsi4Mr5FtRQL4tbmSdIzhx6_m4wkOD7IG-k_eo/edit#gid=1336395716"", ""Science!M:N""), 2, FALSE)"),"Explain why certain body parts of plants and animals are selected as food sources, considering factors like taste, texture, and nutritional value.")</f>
        <v>Explain why certain body parts of plants and animals are selected as food sources, considering factors like taste, texture, and nutritional value.</v>
      </c>
      <c r="M103" s="10" t="str">
        <f t="shared" si="2"/>
        <v>LU005235.003</v>
      </c>
      <c r="N103" s="10" t="str">
        <f ca="1">IFERROR(__xludf.DUMMYFUNCTION("VLOOKUP(M103, IMPORTRANGE(""https://docs.google.com/spreadsheets/d/1yDAaXNsi4Mr5FtRQL4tbmSdIzhx6_m4wkOD7IG-k_eo/edit#gid=1336395716"", ""Science!M:N""), 2, FALSE)"),"Prepare a list of recipes that use plants and animals based food sources, and describe how these recipes are traditionally cooked or prepared.")</f>
        <v>Prepare a list of recipes that use plants and animals based food sources, and describe how these recipes are traditionally cooked or prepared.</v>
      </c>
      <c r="O103" s="10" t="str">
        <f t="shared" si="3"/>
        <v>LU005235.004</v>
      </c>
      <c r="P103" s="10" t="str">
        <f ca="1">IFERROR(__xludf.DUMMYFUNCTION("VLOOKUP(O103, IMPORTRANGE(""https://docs.google.com/spreadsheets/d/1yDAaXNsi4Mr5FtRQL4tbmSdIzhx6_m4wkOD7IG-k_eo/edit#gid=1336395716"", ""Science!M:N""), 2, FALSE)"),"Analyze the nutritional content and benefits of using different plants and animals-based food sources in a diet, comparing the advantages and disadvantages of each.")</f>
        <v>Analyze the nutritional content and benefits of using different plants and animals-based food sources in a diet, comparing the advantages and disadvantages of each.</v>
      </c>
      <c r="Q103" s="10" t="str">
        <f t="shared" si="4"/>
        <v>LU005235.005</v>
      </c>
      <c r="R103" s="10" t="str">
        <f ca="1">IFERROR(__xludf.DUMMYFUNCTION("VLOOKUP(Q103, IMPORTRANGE(""https://docs.google.com/spreadsheets/d/1yDAaXNsi4Mr5FtRQL4tbmSdIzhx6_m4wkOD7IG-k_eo/edit#gid=1336395716"", ""Science!M:N""), 2, FALSE)"),"Evaluate the environmental impact of food choices, considering factors like resource use and waste production, and discuss how selecting different food sources can affect the environment.")</f>
        <v>Evaluate the environmental impact of food choices, considering factors like resource use and waste production, and discuss how selecting different food sources can affect the environment.</v>
      </c>
      <c r="S103" s="10" t="str">
        <f t="shared" si="5"/>
        <v>LU005235.006</v>
      </c>
      <c r="T103" s="10" t="str">
        <f ca="1">IFERROR(__xludf.DUMMYFUNCTION("VLOOKUP(S103, IMPORTRANGE(""https://docs.google.com/spreadsheets/d/1yDAaXNsi4Mr5FtRQL4tbmSdIzhx6_m4wkOD7IG-k_eo/edit#gid=1336395716"", ""Science!M:N""), 2, FALSE)"),"#N/A")</f>
        <v>#N/A</v>
      </c>
      <c r="U103" s="11">
        <f ca="1">IFERROR(__xludf.DUMMYFUNCTION("ArrayFormula(VLOOKUP(G103, IMPORTRANGE(""https://docs.google.com/spreadsheets/d/1p7R4vtkWt5VOBim4ltsDG9KTzSjrtKXsMtQGXPHyND0/edit#gid=795171502"", ""'Filter 30_05_2024'!A1:M2000""), {2, 3, 4, 5,6,7,8,9,10,11,12,13}, 0))"),13)</f>
        <v>13</v>
      </c>
      <c r="V103" s="11">
        <f ca="1">IFERROR(__xludf.DUMMYFUNCTION("""COMPUTED_VALUE"""),8)</f>
        <v>8</v>
      </c>
      <c r="W103" s="38"/>
      <c r="X103" s="11">
        <f ca="1">IFERROR(__xludf.DUMMYFUNCTION("""COMPUTED_VALUE"""),21)</f>
        <v>21</v>
      </c>
      <c r="Y103" s="11">
        <f ca="1">IFERROR(__xludf.DUMMYFUNCTION("""COMPUTED_VALUE"""),16)</f>
        <v>16</v>
      </c>
      <c r="Z103" s="12">
        <f ca="1">IFERROR(__xludf.DUMMYFUNCTION("""COMPUTED_VALUE"""),3)</f>
        <v>3</v>
      </c>
      <c r="AA103" s="12">
        <f ca="1">IFERROR(__xludf.DUMMYFUNCTION("""COMPUTED_VALUE"""),1)</f>
        <v>1</v>
      </c>
      <c r="AB103" s="12">
        <f ca="1">IFERROR(__xludf.DUMMYFUNCTION("""COMPUTED_VALUE"""),20)</f>
        <v>20</v>
      </c>
      <c r="AC103" s="12"/>
      <c r="AD103" s="12"/>
      <c r="AE103" s="12"/>
      <c r="AF103" s="12"/>
      <c r="AG103" s="13" t="str">
        <f ca="1">IFERROR(__xludf.DUMMYFUNCTION("ArrayFormula(VLOOKUP(G103, IMPORTRANGE(""https://docs.google.com/spreadsheets/d/1Co934fvtviyaRiMsrIlT05Jaq7iiYq07aLvRr35KA48/edit?gid=173865642#gid=173865642"", ""'G6_Sci_Pri_LU'!G2:V2000""), {3, 4, 5, 6, 7, 8, 9, 10, 11, 12, 13, 14, 15, 16}, 0))"),"LU005057")</f>
        <v>LU005057</v>
      </c>
      <c r="AH103" s="13" t="str">
        <f ca="1">IFERROR(__xludf.DUMMYFUNCTION("""COMPUTED_VALUE"""),"Usefulness of Animals in Day-to-Day Life")</f>
        <v>Usefulness of Animals in Day-to-Day Life</v>
      </c>
      <c r="AI103" s="13"/>
      <c r="AJ103" s="13"/>
      <c r="AK103" s="13"/>
      <c r="AL103" s="13"/>
      <c r="AM103" s="13"/>
      <c r="AN103" s="13"/>
      <c r="AO103" s="13"/>
      <c r="AP103" s="13"/>
      <c r="AQ103" s="13"/>
      <c r="AR103" s="13"/>
      <c r="AS103" s="13"/>
      <c r="AT103" s="13"/>
    </row>
    <row r="104" spans="1:46">
      <c r="A104" s="8" t="s">
        <v>247</v>
      </c>
      <c r="B104" s="8" t="s">
        <v>47</v>
      </c>
      <c r="C104" s="8" t="s">
        <v>48</v>
      </c>
      <c r="D104" s="8" t="s">
        <v>1406</v>
      </c>
      <c r="E104" s="8" t="s">
        <v>1800</v>
      </c>
      <c r="F104" s="8" t="s">
        <v>1804</v>
      </c>
      <c r="G104" s="8" t="s">
        <v>1805</v>
      </c>
      <c r="H104" s="8" t="str">
        <f ca="1">IFERROR(__xludf.DUMMYFUNCTION("VLOOKUP(G104, IMPORTRANGE(""https://docs.google.com/spreadsheets/d/14deopnvwcrKtEGCKuYXdUHJbeLDZlkiSSWWT0g7x2pM/edit#gid=849066331"", ""LU List Science (Filter)!A:B""), 2, FALSE)"),"Edible parts of the plants")</f>
        <v>Edible parts of the plants</v>
      </c>
      <c r="I104" s="10" t="str">
        <f t="shared" si="0"/>
        <v>LU005951.001</v>
      </c>
      <c r="J104" s="10" t="str">
        <f ca="1">IFERROR(__xludf.DUMMYFUNCTION("VLOOKUP(I104, IMPORTRANGE(""https://docs.google.com/spreadsheets/d/1yDAaXNsi4Mr5FtRQL4tbmSdIzhx6_m4wkOD7IG-k_eo/edit#gid=1336395716"", ""Science!M:N""), 2, FALSE)"),"Recall various edible parts of plants such as roots, stems, leaves, fruits, and seeds.")</f>
        <v>Recall various edible parts of plants such as roots, stems, leaves, fruits, and seeds.</v>
      </c>
      <c r="K104" s="10" t="str">
        <f t="shared" si="1"/>
        <v>LU005951.002</v>
      </c>
      <c r="L104" s="10" t="str">
        <f ca="1">IFERROR(__xludf.DUMMYFUNCTION("VLOOKUP(K104, IMPORTRANGE(""https://docs.google.com/spreadsheets/d/1yDAaXNsi4Mr5FtRQL4tbmSdIzhx6_m4wkOD7IG-k_eo/edit#gid=1336395716"", ""Science!M:N""), 2, FALSE)"),"Identify various edible parts of plants such as roots, stems, leaves, fruits, and seeds.")</f>
        <v>Identify various edible parts of plants such as roots, stems, leaves, fruits, and seeds.</v>
      </c>
      <c r="M104" s="10" t="str">
        <f t="shared" si="2"/>
        <v>LU005951.003</v>
      </c>
      <c r="N104" s="10" t="str">
        <f ca="1">IFERROR(__xludf.DUMMYFUNCTION("VLOOKUP(M104, IMPORTRANGE(""https://docs.google.com/spreadsheets/d/1yDAaXNsi4Mr5FtRQL4tbmSdIzhx6_m4wkOD7IG-k_eo/edit#gid=1336395716"", ""Science!M:N""), 2, FALSE)"),"Classify a list of common vegetables and fruits into their respective plant parts categories.")</f>
        <v>Classify a list of common vegetables and fruits into their respective plant parts categories.</v>
      </c>
      <c r="O104" s="10" t="str">
        <f t="shared" si="3"/>
        <v>LU005951.004</v>
      </c>
      <c r="P104" s="10" t="str">
        <f ca="1">IFERROR(__xludf.DUMMYFUNCTION("VLOOKUP(O104, IMPORTRANGE(""https://docs.google.com/spreadsheets/d/1yDAaXNsi4Mr5FtRQL4tbmSdIzhx6_m4wkOD7IG-k_eo/edit#gid=1336395716"", ""Science!M:N""), 2, FALSE)"),"Compare and contrast the dietary fibers and vitamins found in the edible parts of root vegetables versus leafy greens.")</f>
        <v>Compare and contrast the dietary fibers and vitamins found in the edible parts of root vegetables versus leafy greens.</v>
      </c>
      <c r="Q104" s="10" t="str">
        <f t="shared" si="4"/>
        <v>LU005951.005</v>
      </c>
      <c r="R104" s="10" t="str">
        <f ca="1">IFERROR(__xludf.DUMMYFUNCTION("VLOOKUP(Q104, IMPORTRANGE(""https://docs.google.com/spreadsheets/d/1yDAaXNsi4Mr5FtRQL4tbmSdIzhx6_m4wkOD7IG-k_eo/edit#gid=1336395716"", ""Science!M:N""), 2, FALSE)"),"Assess the importance of including a variety of plant parts in a diet to ensure balanced nutrition.")</f>
        <v>Assess the importance of including a variety of plant parts in a diet to ensure balanced nutrition.</v>
      </c>
      <c r="S104" s="10" t="str">
        <f t="shared" si="5"/>
        <v>LU005951.006</v>
      </c>
      <c r="T104" s="10" t="str">
        <f ca="1">IFERROR(__xludf.DUMMYFUNCTION("VLOOKUP(S104, IMPORTRANGE(""https://docs.google.com/spreadsheets/d/1yDAaXNsi4Mr5FtRQL4tbmSdIzhx6_m4wkOD7IG-k_eo/edit#gid=1336395716"", ""Science!M:N""), 2, FALSE)"),"Design a garden that maximizes the yield of edible plant parts, using principles of sustainable agriculture.")</f>
        <v>Design a garden that maximizes the yield of edible plant parts, using principles of sustainable agriculture.</v>
      </c>
      <c r="U104" s="38">
        <f ca="1">IFERROR(__xludf.DUMMYFUNCTION("ArrayFormula(VLOOKUP(G104, IMPORTRANGE(""https://docs.google.com/spreadsheets/d/1p7R4vtkWt5VOBim4ltsDG9KTzSjrtKXsMtQGXPHyND0/edit#gid=795171502"", ""'Filter 30_05_2024'!A1:M2000""), {2, 3, 4, 5,6,7,8,9,10,11,12,13}, 0))"),4)</f>
        <v>4</v>
      </c>
      <c r="V104" s="38">
        <f ca="1">IFERROR(__xludf.DUMMYFUNCTION("""COMPUTED_VALUE"""),6)</f>
        <v>6</v>
      </c>
      <c r="W104" s="11">
        <f ca="1">IFERROR(__xludf.DUMMYFUNCTION("""COMPUTED_VALUE"""),2)</f>
        <v>2</v>
      </c>
      <c r="X104" s="11">
        <f ca="1">IFERROR(__xludf.DUMMYFUNCTION("""COMPUTED_VALUE"""),12)</f>
        <v>12</v>
      </c>
      <c r="Y104" s="11">
        <f ca="1">IFERROR(__xludf.DUMMYFUNCTION("""COMPUTED_VALUE"""),5)</f>
        <v>5</v>
      </c>
      <c r="Z104" s="12">
        <f ca="1">IFERROR(__xludf.DUMMYFUNCTION("""COMPUTED_VALUE"""),3)</f>
        <v>3</v>
      </c>
      <c r="AA104" s="12">
        <f ca="1">IFERROR(__xludf.DUMMYFUNCTION("""COMPUTED_VALUE"""),1)</f>
        <v>1</v>
      </c>
      <c r="AB104" s="12">
        <f ca="1">IFERROR(__xludf.DUMMYFUNCTION("""COMPUTED_VALUE"""),9)</f>
        <v>9</v>
      </c>
      <c r="AC104" s="12"/>
      <c r="AD104" s="12"/>
      <c r="AE104" s="12"/>
      <c r="AF104" s="12"/>
      <c r="AG104" s="13" t="str">
        <f ca="1">IFERROR(__xludf.DUMMYFUNCTION("ArrayFormula(VLOOKUP(G104, IMPORTRANGE(""https://docs.google.com/spreadsheets/d/1Co934fvtviyaRiMsrIlT05Jaq7iiYq07aLvRr35KA48/edit?gid=173865642#gid=173865642"", ""'G6_Sci_Pri_LU'!G2:V2000""), {3, 4, 5, 6, 7, 8, 9, 10, 11, 12, 13, 14, 15, 16}, 0))"),"LU005237")</f>
        <v>LU005237</v>
      </c>
      <c r="AH104" s="13" t="str">
        <f ca="1">IFERROR(__xludf.DUMMYFUNCTION("""COMPUTED_VALUE"""),"Parts of a typical plant")</f>
        <v>Parts of a typical plant</v>
      </c>
      <c r="AI104" s="13"/>
      <c r="AJ104" s="13"/>
      <c r="AK104" s="13"/>
      <c r="AL104" s="13"/>
      <c r="AM104" s="13"/>
      <c r="AN104" s="13"/>
      <c r="AO104" s="13"/>
      <c r="AP104" s="13"/>
      <c r="AQ104" s="13"/>
      <c r="AR104" s="13"/>
      <c r="AS104" s="13"/>
      <c r="AT104" s="13"/>
    </row>
    <row r="105" spans="1:46">
      <c r="A105" s="8" t="s">
        <v>247</v>
      </c>
      <c r="B105" s="8" t="s">
        <v>47</v>
      </c>
      <c r="C105" s="8" t="s">
        <v>48</v>
      </c>
      <c r="D105" s="8" t="s">
        <v>1406</v>
      </c>
      <c r="E105" s="8" t="s">
        <v>1800</v>
      </c>
      <c r="F105" s="8" t="s">
        <v>1806</v>
      </c>
      <c r="G105" s="8" t="s">
        <v>1807</v>
      </c>
      <c r="H105" s="8" t="str">
        <f ca="1">IFERROR(__xludf.DUMMYFUNCTION("VLOOKUP(G105, IMPORTRANGE(""https://docs.google.com/spreadsheets/d/14deopnvwcrKtEGCKuYXdUHJbeLDZlkiSSWWT0g7x2pM/edit#gid=849066331"", ""LU List Science (Filter)!A:B""), 2, FALSE)"),"Food habits of various animals")</f>
        <v>Food habits of various animals</v>
      </c>
      <c r="I105" s="10" t="str">
        <f t="shared" si="0"/>
        <v>LU005963.001</v>
      </c>
      <c r="J105" s="10" t="str">
        <f ca="1">IFERROR(__xludf.DUMMYFUNCTION("VLOOKUP(I105, IMPORTRANGE(""https://docs.google.com/spreadsheets/d/1yDAaXNsi4Mr5FtRQL4tbmSdIzhx6_m4wkOD7IG-k_eo/edit#gid=1336395716"", ""Science!M:N""), 2, FALSE)"),"Students will recall and list the food habits of at least three different animals, including herbivores, carnivores, and omnivores.")</f>
        <v>Students will recall and list the food habits of at least three different animals, including herbivores, carnivores, and omnivores.</v>
      </c>
      <c r="K105" s="10" t="str">
        <f t="shared" si="1"/>
        <v>LU005963.002</v>
      </c>
      <c r="L105" s="10" t="str">
        <f ca="1">IFERROR(__xludf.DUMMYFUNCTION("VLOOKUP(K105, IMPORTRANGE(""https://docs.google.com/spreadsheets/d/1yDAaXNsi4Mr5FtRQL4tbmSdIzhx6_m4wkOD7IG-k_eo/edit#gid=1336395716"", ""Science!M:N""), 2, FALSE)"),"Students will categorize animals based on their food habits and explain the reasons behind these classifications.")</f>
        <v>Students will categorize animals based on their food habits and explain the reasons behind these classifications.</v>
      </c>
      <c r="M105" s="10" t="str">
        <f t="shared" si="2"/>
        <v>LU005963.003</v>
      </c>
      <c r="N105" s="10" t="str">
        <f ca="1">IFERROR(__xludf.DUMMYFUNCTION("VLOOKUP(M105, IMPORTRANGE(""https://docs.google.com/spreadsheets/d/1yDAaXNsi4Mr5FtRQL4tbmSdIzhx6_m4wkOD7IG-k_eo/edit#gid=1336395716"", ""Science!M:N""), 2, FALSE)"),"Given a set of animal characteristics, students will predict the likely food habits of the animal and justify their predictions using relevant information.")</f>
        <v>Given a set of animal characteristics, students will predict the likely food habits of the animal and justify their predictions using relevant information.</v>
      </c>
      <c r="O105" s="10" t="str">
        <f t="shared" si="3"/>
        <v>LU005963.004</v>
      </c>
      <c r="P105" s="10" t="str">
        <f ca="1">IFERROR(__xludf.DUMMYFUNCTION("VLOOKUP(O105, IMPORTRANGE(""https://docs.google.com/spreadsheets/d/1yDAaXNsi4Mr5FtRQL4tbmSdIzhx6_m4wkOD7IG-k_eo/edit#gid=1336395716"", ""Science!M:N""), 2, FALSE)"),"#N/A")</f>
        <v>#N/A</v>
      </c>
      <c r="Q105" s="10" t="str">
        <f t="shared" si="4"/>
        <v>LU005963.005</v>
      </c>
      <c r="R105" s="10" t="str">
        <f ca="1">IFERROR(__xludf.DUMMYFUNCTION("VLOOKUP(Q105, IMPORTRANGE(""https://docs.google.com/spreadsheets/d/1yDAaXNsi4Mr5FtRQL4tbmSdIzhx6_m4wkOD7IG-k_eo/edit#gid=1336395716"", ""Science!M:N""), 2, FALSE)"),"#N/A")</f>
        <v>#N/A</v>
      </c>
      <c r="S105" s="10" t="str">
        <f t="shared" si="5"/>
        <v>LU005963.006</v>
      </c>
      <c r="T105" s="10" t="str">
        <f ca="1">IFERROR(__xludf.DUMMYFUNCTION("VLOOKUP(S105, IMPORTRANGE(""https://docs.google.com/spreadsheets/d/1yDAaXNsi4Mr5FtRQL4tbmSdIzhx6_m4wkOD7IG-k_eo/edit#gid=1336395716"", ""Science!M:N""), 2, FALSE)"),"#N/A")</f>
        <v>#N/A</v>
      </c>
      <c r="U105" s="11">
        <f ca="1">IFERROR(__xludf.DUMMYFUNCTION("ArrayFormula(VLOOKUP(G105, IMPORTRANGE(""https://docs.google.com/spreadsheets/d/1p7R4vtkWt5VOBim4ltsDG9KTzSjrtKXsMtQGXPHyND0/edit#gid=795171502"", ""'Filter 30_05_2024'!A1:M2000""), {2, 3, 4, 5,6,7,8,9,10,11,12,13}, 0))"),30)</f>
        <v>30</v>
      </c>
      <c r="V105" s="38">
        <f ca="1">IFERROR(__xludf.DUMMYFUNCTION("""COMPUTED_VALUE"""),6)</f>
        <v>6</v>
      </c>
      <c r="W105" s="11">
        <f ca="1">IFERROR(__xludf.DUMMYFUNCTION("""COMPUTED_VALUE"""),2)</f>
        <v>2</v>
      </c>
      <c r="X105" s="11">
        <f ca="1">IFERROR(__xludf.DUMMYFUNCTION("""COMPUTED_VALUE"""),38)</f>
        <v>38</v>
      </c>
      <c r="Y105" s="11">
        <f ca="1">IFERROR(__xludf.DUMMYFUNCTION("""COMPUTED_VALUE"""),13)</f>
        <v>13</v>
      </c>
      <c r="Z105" s="12">
        <f ca="1">IFERROR(__xludf.DUMMYFUNCTION("""COMPUTED_VALUE"""),3)</f>
        <v>3</v>
      </c>
      <c r="AA105" s="12">
        <f ca="1">IFERROR(__xludf.DUMMYFUNCTION("""COMPUTED_VALUE"""),1)</f>
        <v>1</v>
      </c>
      <c r="AB105" s="12">
        <f ca="1">IFERROR(__xludf.DUMMYFUNCTION("""COMPUTED_VALUE"""),17)</f>
        <v>17</v>
      </c>
      <c r="AC105" s="12"/>
      <c r="AD105" s="12"/>
      <c r="AE105" s="12"/>
      <c r="AF105" s="12"/>
      <c r="AG105" s="13" t="str">
        <f ca="1">IFERROR(__xludf.DUMMYFUNCTION("ArrayFormula(VLOOKUP(G105, IMPORTRANGE(""https://docs.google.com/spreadsheets/d/1Co934fvtviyaRiMsrIlT05Jaq7iiYq07aLvRr35KA48/edit?gid=173865642#gid=173865642"", ""'G6_Sci_Pri_LU'!G2:V2000""), {3, 4, 5, 6, 7, 8, 9, 10, 11, 12, 13, 14, 15, 16}, 0))"),"")</f>
        <v/>
      </c>
      <c r="AH105" s="13"/>
      <c r="AI105" s="13"/>
      <c r="AJ105" s="13"/>
      <c r="AK105" s="13"/>
      <c r="AL105" s="13"/>
      <c r="AM105" s="13"/>
      <c r="AN105" s="13"/>
      <c r="AO105" s="13"/>
      <c r="AP105" s="13"/>
      <c r="AQ105" s="13"/>
      <c r="AR105" s="13"/>
      <c r="AS105" s="13"/>
      <c r="AT105" s="13"/>
    </row>
    <row r="106" spans="1:46">
      <c r="A106" s="8"/>
      <c r="B106" s="8"/>
      <c r="C106" s="8"/>
      <c r="D106" s="8"/>
      <c r="E106" s="8"/>
      <c r="F106" s="8"/>
      <c r="G106" s="8"/>
      <c r="H106" s="8"/>
      <c r="I106" s="8"/>
      <c r="J106" s="8"/>
      <c r="K106" s="8"/>
      <c r="L106" s="8"/>
      <c r="M106" s="8"/>
      <c r="N106" s="8"/>
      <c r="O106" s="8"/>
      <c r="P106" s="8"/>
      <c r="Q106" s="8"/>
      <c r="R106" s="8"/>
      <c r="S106" s="8"/>
      <c r="T106" s="8"/>
      <c r="U106" s="12"/>
      <c r="V106" s="12"/>
      <c r="W106" s="12"/>
      <c r="X106" s="12"/>
      <c r="Y106" s="12"/>
      <c r="Z106" s="12"/>
      <c r="AA106" s="12"/>
      <c r="AB106" s="12"/>
      <c r="AC106" s="12"/>
      <c r="AD106" s="12"/>
      <c r="AE106" s="12"/>
      <c r="AF106" s="12"/>
    </row>
    <row r="107" spans="1:46">
      <c r="A107" s="8"/>
      <c r="B107" s="8"/>
      <c r="C107" s="8"/>
      <c r="D107" s="8"/>
      <c r="E107" s="8"/>
      <c r="F107" s="30"/>
      <c r="G107" s="30"/>
      <c r="H107" s="30"/>
      <c r="I107" s="8"/>
      <c r="J107" s="8"/>
      <c r="K107" s="8"/>
      <c r="L107" s="8"/>
      <c r="M107" s="8"/>
      <c r="N107" s="8"/>
      <c r="O107" s="8"/>
      <c r="P107" s="8"/>
      <c r="Q107" s="8"/>
      <c r="R107" s="8"/>
      <c r="S107" s="8"/>
      <c r="T107" s="8"/>
      <c r="U107" s="12"/>
      <c r="V107" s="12"/>
      <c r="W107" s="12"/>
      <c r="X107" s="12"/>
      <c r="Y107" s="12"/>
      <c r="Z107" s="12"/>
      <c r="AA107" s="12"/>
      <c r="AB107" s="12"/>
      <c r="AC107" s="12"/>
      <c r="AD107" s="12"/>
      <c r="AE107" s="12"/>
      <c r="AF107" s="12"/>
    </row>
    <row r="108" spans="1:46">
      <c r="A108" s="8"/>
      <c r="B108" s="8"/>
      <c r="C108" s="8"/>
      <c r="D108" s="8"/>
      <c r="E108" s="8"/>
      <c r="F108" s="8"/>
      <c r="G108" s="8"/>
      <c r="H108" s="8"/>
      <c r="I108" s="8"/>
      <c r="J108" s="8"/>
      <c r="K108" s="8"/>
      <c r="L108" s="8"/>
      <c r="M108" s="8"/>
      <c r="N108" s="8"/>
      <c r="O108" s="8"/>
      <c r="P108" s="8"/>
      <c r="Q108" s="8"/>
      <c r="R108" s="8"/>
      <c r="S108" s="8"/>
      <c r="T108" s="8"/>
      <c r="U108" s="12"/>
      <c r="V108" s="12"/>
      <c r="W108" s="12"/>
      <c r="X108" s="12"/>
      <c r="Y108" s="12"/>
      <c r="Z108" s="12"/>
      <c r="AA108" s="12"/>
      <c r="AB108" s="12"/>
      <c r="AC108" s="12"/>
      <c r="AD108" s="12"/>
      <c r="AE108" s="12"/>
      <c r="AF108" s="12"/>
    </row>
    <row r="109" spans="1:46">
      <c r="A109" s="8"/>
      <c r="B109" s="8"/>
      <c r="C109" s="8"/>
      <c r="D109" s="8"/>
      <c r="E109" s="8"/>
      <c r="F109" s="8"/>
      <c r="G109" s="8"/>
      <c r="H109" s="8"/>
      <c r="I109" s="8"/>
      <c r="J109" s="8"/>
      <c r="K109" s="8"/>
      <c r="L109" s="8"/>
      <c r="M109" s="8"/>
      <c r="N109" s="8"/>
      <c r="O109" s="8"/>
      <c r="P109" s="8"/>
      <c r="Q109" s="8"/>
      <c r="R109" s="8"/>
      <c r="S109" s="8"/>
      <c r="T109" s="8"/>
      <c r="U109" s="12"/>
      <c r="V109" s="12"/>
      <c r="W109" s="12"/>
      <c r="X109" s="12"/>
      <c r="Y109" s="12"/>
      <c r="Z109" s="12"/>
      <c r="AA109" s="12"/>
      <c r="AB109" s="12"/>
      <c r="AC109" s="12"/>
      <c r="AD109" s="12"/>
      <c r="AE109" s="12"/>
      <c r="AF109" s="12"/>
    </row>
    <row r="110" spans="1:46">
      <c r="A110" s="8"/>
      <c r="B110" s="8"/>
      <c r="C110" s="8"/>
      <c r="D110" s="8"/>
      <c r="E110" s="8"/>
      <c r="F110" s="8"/>
      <c r="G110" s="8"/>
      <c r="H110" s="8"/>
      <c r="I110" s="8"/>
      <c r="J110" s="8"/>
      <c r="K110" s="8"/>
      <c r="L110" s="8"/>
      <c r="M110" s="8"/>
      <c r="N110" s="8"/>
      <c r="O110" s="8"/>
      <c r="P110" s="8"/>
      <c r="Q110" s="8"/>
      <c r="R110" s="8"/>
      <c r="S110" s="8"/>
      <c r="T110" s="8"/>
      <c r="U110" s="12"/>
      <c r="V110" s="12"/>
      <c r="W110" s="12"/>
      <c r="X110" s="12"/>
      <c r="Y110" s="12"/>
      <c r="Z110" s="12"/>
      <c r="AA110" s="12"/>
      <c r="AB110" s="12"/>
      <c r="AC110" s="12"/>
      <c r="AD110" s="12"/>
      <c r="AE110" s="12"/>
      <c r="AF110" s="12"/>
    </row>
    <row r="111" spans="1:46">
      <c r="A111" s="8"/>
      <c r="B111" s="8"/>
      <c r="C111" s="8"/>
      <c r="D111" s="8"/>
      <c r="E111" s="8"/>
      <c r="F111" s="8"/>
      <c r="G111" s="8"/>
      <c r="H111" s="8"/>
      <c r="I111" s="8"/>
      <c r="J111" s="8"/>
      <c r="K111" s="8"/>
      <c r="L111" s="8"/>
      <c r="M111" s="8"/>
      <c r="N111" s="8"/>
      <c r="O111" s="8"/>
      <c r="P111" s="8"/>
      <c r="Q111" s="8"/>
      <c r="R111" s="8"/>
      <c r="S111" s="8"/>
      <c r="T111" s="8"/>
      <c r="U111" s="12"/>
      <c r="V111" s="12"/>
      <c r="W111" s="12"/>
      <c r="X111" s="12"/>
      <c r="Y111" s="12"/>
      <c r="Z111" s="12"/>
      <c r="AA111" s="12"/>
      <c r="AB111" s="12"/>
      <c r="AC111" s="12"/>
      <c r="AD111" s="12"/>
      <c r="AE111" s="12"/>
      <c r="AF111" s="12"/>
    </row>
    <row r="112" spans="1:46">
      <c r="A112" s="8"/>
      <c r="B112" s="8"/>
      <c r="C112" s="8"/>
      <c r="D112" s="8"/>
      <c r="E112" s="8"/>
      <c r="F112" s="8"/>
      <c r="G112" s="8"/>
      <c r="H112" s="8"/>
      <c r="I112" s="8"/>
      <c r="J112" s="8"/>
      <c r="K112" s="8"/>
      <c r="L112" s="8"/>
      <c r="M112" s="8"/>
      <c r="N112" s="8"/>
      <c r="O112" s="8"/>
      <c r="P112" s="8"/>
      <c r="Q112" s="8"/>
      <c r="R112" s="8"/>
      <c r="S112" s="8"/>
      <c r="T112" s="8"/>
      <c r="U112" s="12"/>
      <c r="V112" s="12"/>
      <c r="W112" s="12"/>
      <c r="X112" s="12"/>
      <c r="Y112" s="12"/>
      <c r="Z112" s="12"/>
      <c r="AA112" s="12"/>
      <c r="AB112" s="12"/>
      <c r="AC112" s="12"/>
      <c r="AD112" s="12"/>
      <c r="AE112" s="12"/>
      <c r="AF112" s="12"/>
    </row>
    <row r="113" spans="1:32">
      <c r="A113" s="8"/>
      <c r="B113" s="8"/>
      <c r="C113" s="8"/>
      <c r="D113" s="8"/>
      <c r="E113" s="8"/>
      <c r="F113" s="8"/>
      <c r="G113" s="8"/>
      <c r="H113" s="8"/>
      <c r="I113" s="8"/>
      <c r="J113" s="8"/>
      <c r="K113" s="8"/>
      <c r="L113" s="8"/>
      <c r="M113" s="8"/>
      <c r="N113" s="8"/>
      <c r="O113" s="8"/>
      <c r="P113" s="8"/>
      <c r="Q113" s="8"/>
      <c r="R113" s="8"/>
      <c r="S113" s="8"/>
      <c r="T113" s="8"/>
      <c r="U113" s="12"/>
      <c r="V113" s="12"/>
      <c r="W113" s="12"/>
      <c r="X113" s="12"/>
      <c r="Y113" s="12"/>
      <c r="Z113" s="12"/>
      <c r="AA113" s="12"/>
      <c r="AB113" s="12"/>
      <c r="AC113" s="12"/>
      <c r="AD113" s="12"/>
      <c r="AE113" s="12"/>
      <c r="AF113" s="12"/>
    </row>
    <row r="114" spans="1:32">
      <c r="A114" s="8"/>
      <c r="B114" s="8"/>
      <c r="C114" s="8"/>
      <c r="D114" s="8"/>
      <c r="E114" s="8"/>
      <c r="F114" s="8"/>
      <c r="G114" s="8"/>
      <c r="H114" s="8"/>
      <c r="I114" s="8"/>
      <c r="J114" s="8"/>
      <c r="K114" s="8"/>
      <c r="L114" s="8"/>
      <c r="M114" s="8"/>
      <c r="N114" s="8"/>
      <c r="O114" s="8"/>
      <c r="P114" s="8"/>
      <c r="Q114" s="8"/>
      <c r="R114" s="8"/>
      <c r="S114" s="8"/>
      <c r="T114" s="8"/>
      <c r="U114" s="12"/>
      <c r="V114" s="12"/>
      <c r="W114" s="12"/>
      <c r="X114" s="12"/>
      <c r="Y114" s="12"/>
      <c r="Z114" s="12"/>
      <c r="AA114" s="12"/>
      <c r="AB114" s="12"/>
      <c r="AC114" s="12"/>
      <c r="AD114" s="12"/>
      <c r="AE114" s="12"/>
      <c r="AF114" s="12"/>
    </row>
    <row r="115" spans="1:32">
      <c r="A115" s="8"/>
      <c r="B115" s="8"/>
      <c r="C115" s="8"/>
      <c r="D115" s="8"/>
      <c r="E115" s="8"/>
      <c r="F115" s="8"/>
      <c r="G115" s="8"/>
      <c r="H115" s="8"/>
      <c r="I115" s="8"/>
      <c r="J115" s="8"/>
      <c r="K115" s="8"/>
      <c r="L115" s="8"/>
      <c r="M115" s="8"/>
      <c r="N115" s="8"/>
      <c r="O115" s="8"/>
      <c r="P115" s="8"/>
      <c r="Q115" s="8"/>
      <c r="R115" s="8"/>
      <c r="S115" s="8"/>
      <c r="T115" s="8"/>
      <c r="U115" s="12"/>
      <c r="V115" s="12"/>
      <c r="W115" s="12"/>
      <c r="X115" s="12"/>
      <c r="Y115" s="12"/>
      <c r="Z115" s="12"/>
      <c r="AA115" s="12"/>
      <c r="AB115" s="12"/>
      <c r="AC115" s="12"/>
      <c r="AD115" s="12"/>
      <c r="AE115" s="12"/>
      <c r="AF115" s="12"/>
    </row>
    <row r="116" spans="1:32">
      <c r="A116" s="8"/>
      <c r="B116" s="8"/>
      <c r="C116" s="8"/>
      <c r="D116" s="8"/>
      <c r="E116" s="8"/>
      <c r="F116" s="8"/>
      <c r="G116" s="8"/>
      <c r="H116" s="8"/>
      <c r="I116" s="8"/>
      <c r="J116" s="8"/>
      <c r="K116" s="8"/>
      <c r="L116" s="8"/>
      <c r="M116" s="8"/>
      <c r="N116" s="8"/>
      <c r="O116" s="8"/>
      <c r="P116" s="8"/>
      <c r="Q116" s="8"/>
      <c r="R116" s="8"/>
      <c r="S116" s="8"/>
      <c r="T116" s="8"/>
      <c r="U116" s="12"/>
      <c r="V116" s="12"/>
      <c r="W116" s="12"/>
      <c r="X116" s="12"/>
      <c r="Y116" s="12"/>
      <c r="Z116" s="12"/>
      <c r="AA116" s="12"/>
      <c r="AB116" s="12"/>
      <c r="AC116" s="12"/>
      <c r="AD116" s="12"/>
      <c r="AE116" s="12"/>
      <c r="AF116" s="12"/>
    </row>
    <row r="117" spans="1:32">
      <c r="A117" s="8"/>
      <c r="B117" s="8"/>
      <c r="C117" s="8"/>
      <c r="D117" s="8"/>
      <c r="E117" s="8"/>
      <c r="F117" s="8"/>
      <c r="G117" s="8"/>
      <c r="H117" s="8"/>
      <c r="I117" s="8"/>
      <c r="J117" s="8"/>
      <c r="K117" s="8"/>
      <c r="L117" s="8"/>
      <c r="M117" s="8"/>
      <c r="N117" s="8"/>
      <c r="O117" s="8"/>
      <c r="P117" s="8"/>
      <c r="Q117" s="8"/>
      <c r="R117" s="8"/>
      <c r="S117" s="8"/>
      <c r="T117" s="8"/>
      <c r="U117" s="12"/>
      <c r="V117" s="12"/>
      <c r="W117" s="12"/>
      <c r="X117" s="12"/>
      <c r="Y117" s="12"/>
      <c r="Z117" s="12"/>
      <c r="AA117" s="12"/>
      <c r="AB117" s="12"/>
      <c r="AC117" s="12"/>
      <c r="AD117" s="12"/>
      <c r="AE117" s="12"/>
      <c r="AF117" s="12"/>
    </row>
    <row r="118" spans="1:32">
      <c r="A118" s="8"/>
      <c r="B118" s="8"/>
      <c r="C118" s="8"/>
      <c r="D118" s="8"/>
      <c r="E118" s="8"/>
      <c r="F118" s="8"/>
      <c r="G118" s="8"/>
      <c r="H118" s="8"/>
      <c r="I118" s="8"/>
      <c r="J118" s="8"/>
      <c r="K118" s="8"/>
      <c r="L118" s="8"/>
      <c r="M118" s="8"/>
      <c r="N118" s="8"/>
      <c r="O118" s="8"/>
      <c r="P118" s="8"/>
      <c r="Q118" s="8"/>
      <c r="R118" s="8"/>
      <c r="S118" s="8"/>
      <c r="T118" s="8"/>
      <c r="U118" s="12"/>
      <c r="V118" s="12"/>
      <c r="W118" s="12"/>
      <c r="X118" s="12"/>
      <c r="Y118" s="12"/>
      <c r="Z118" s="12"/>
      <c r="AA118" s="12"/>
      <c r="AB118" s="12"/>
      <c r="AC118" s="12"/>
      <c r="AD118" s="12"/>
      <c r="AE118" s="12"/>
      <c r="AF118" s="12"/>
    </row>
    <row r="119" spans="1:32">
      <c r="A119" s="8"/>
      <c r="B119" s="8"/>
      <c r="C119" s="8"/>
      <c r="D119" s="8"/>
      <c r="E119" s="8"/>
      <c r="F119" s="8"/>
      <c r="G119" s="8"/>
      <c r="H119" s="8"/>
      <c r="I119" s="8"/>
      <c r="J119" s="8"/>
      <c r="K119" s="8"/>
      <c r="L119" s="8"/>
      <c r="M119" s="8"/>
      <c r="N119" s="8"/>
      <c r="O119" s="8"/>
      <c r="P119" s="8"/>
      <c r="Q119" s="8"/>
      <c r="R119" s="8"/>
      <c r="S119" s="8"/>
      <c r="T119" s="8"/>
      <c r="U119" s="12"/>
      <c r="V119" s="12"/>
      <c r="W119" s="12"/>
      <c r="X119" s="12"/>
      <c r="Y119" s="12"/>
      <c r="Z119" s="12"/>
      <c r="AA119" s="12"/>
      <c r="AB119" s="12"/>
      <c r="AC119" s="12"/>
      <c r="AD119" s="12"/>
      <c r="AE119" s="12"/>
      <c r="AF119" s="12"/>
    </row>
    <row r="120" spans="1:32">
      <c r="A120" s="8"/>
      <c r="B120" s="8"/>
      <c r="C120" s="8"/>
      <c r="D120" s="8"/>
      <c r="E120" s="8"/>
      <c r="F120" s="8"/>
      <c r="G120" s="8"/>
      <c r="H120" s="8"/>
      <c r="I120" s="8"/>
      <c r="J120" s="8"/>
      <c r="K120" s="8"/>
      <c r="L120" s="8"/>
      <c r="M120" s="8"/>
      <c r="N120" s="8"/>
      <c r="O120" s="8"/>
      <c r="P120" s="8"/>
      <c r="Q120" s="8"/>
      <c r="R120" s="8"/>
      <c r="S120" s="8"/>
      <c r="T120" s="8"/>
      <c r="U120" s="12"/>
      <c r="V120" s="12"/>
      <c r="W120" s="12"/>
      <c r="X120" s="12"/>
      <c r="Y120" s="12"/>
      <c r="Z120" s="12"/>
      <c r="AA120" s="12"/>
      <c r="AB120" s="12"/>
      <c r="AC120" s="12"/>
      <c r="AD120" s="12"/>
      <c r="AE120" s="12"/>
      <c r="AF120" s="12"/>
    </row>
    <row r="121" spans="1:32">
      <c r="A121" s="8"/>
      <c r="B121" s="8"/>
      <c r="C121" s="8"/>
      <c r="D121" s="8"/>
      <c r="E121" s="8"/>
      <c r="F121" s="8"/>
      <c r="G121" s="8"/>
      <c r="H121" s="8"/>
      <c r="I121" s="8"/>
      <c r="J121" s="8"/>
      <c r="K121" s="8"/>
      <c r="L121" s="8"/>
      <c r="M121" s="8"/>
      <c r="N121" s="8"/>
      <c r="O121" s="8"/>
      <c r="P121" s="8"/>
      <c r="Q121" s="8"/>
      <c r="R121" s="8"/>
      <c r="S121" s="8"/>
      <c r="T121" s="8"/>
      <c r="U121" s="12"/>
      <c r="V121" s="12"/>
      <c r="W121" s="12"/>
      <c r="X121" s="12"/>
      <c r="Y121" s="12"/>
      <c r="Z121" s="12"/>
      <c r="AA121" s="12"/>
      <c r="AB121" s="12"/>
      <c r="AC121" s="12"/>
      <c r="AD121" s="12"/>
      <c r="AE121" s="12"/>
      <c r="AF121" s="12"/>
    </row>
    <row r="122" spans="1:32">
      <c r="A122" s="8"/>
      <c r="B122" s="8"/>
      <c r="C122" s="8"/>
      <c r="D122" s="8"/>
      <c r="E122" s="8"/>
      <c r="F122" s="8"/>
      <c r="G122" s="8"/>
      <c r="H122" s="8"/>
      <c r="I122" s="8"/>
      <c r="J122" s="8"/>
      <c r="K122" s="8"/>
      <c r="L122" s="8"/>
      <c r="M122" s="8"/>
      <c r="N122" s="8"/>
      <c r="O122" s="8"/>
      <c r="P122" s="8"/>
      <c r="Q122" s="8"/>
      <c r="R122" s="8"/>
      <c r="S122" s="8"/>
      <c r="T122" s="8"/>
      <c r="U122" s="12"/>
      <c r="V122" s="12"/>
      <c r="W122" s="12"/>
      <c r="X122" s="12"/>
      <c r="Y122" s="12"/>
      <c r="Z122" s="12"/>
      <c r="AA122" s="12"/>
      <c r="AB122" s="12"/>
      <c r="AC122" s="12"/>
      <c r="AD122" s="12"/>
      <c r="AE122" s="12"/>
      <c r="AF122" s="12"/>
    </row>
    <row r="123" spans="1:32">
      <c r="A123" s="8"/>
      <c r="B123" s="8"/>
      <c r="C123" s="8"/>
      <c r="D123" s="8"/>
      <c r="E123" s="8"/>
      <c r="F123" s="8"/>
      <c r="G123" s="8"/>
      <c r="H123" s="8"/>
      <c r="I123" s="8"/>
      <c r="J123" s="8"/>
      <c r="K123" s="8"/>
      <c r="L123" s="8"/>
      <c r="M123" s="8"/>
      <c r="N123" s="8"/>
      <c r="O123" s="8"/>
      <c r="P123" s="8"/>
      <c r="Q123" s="8"/>
      <c r="R123" s="8"/>
      <c r="S123" s="8"/>
      <c r="T123" s="8"/>
      <c r="U123" s="12"/>
      <c r="V123" s="12"/>
      <c r="W123" s="12"/>
      <c r="X123" s="12"/>
      <c r="Y123" s="12"/>
      <c r="Z123" s="12"/>
      <c r="AA123" s="12"/>
      <c r="AB123" s="12"/>
      <c r="AC123" s="12"/>
      <c r="AD123" s="12"/>
      <c r="AE123" s="12"/>
      <c r="AF123" s="12"/>
    </row>
    <row r="124" spans="1:32">
      <c r="A124" s="8"/>
      <c r="B124" s="8"/>
      <c r="C124" s="8"/>
      <c r="D124" s="8"/>
      <c r="E124" s="8"/>
      <c r="F124" s="8"/>
      <c r="G124" s="8"/>
      <c r="H124" s="8"/>
      <c r="I124" s="8"/>
      <c r="J124" s="8"/>
      <c r="K124" s="8"/>
      <c r="L124" s="8"/>
      <c r="M124" s="8"/>
      <c r="N124" s="8"/>
      <c r="O124" s="8"/>
      <c r="P124" s="8"/>
      <c r="Q124" s="8"/>
      <c r="R124" s="8"/>
      <c r="S124" s="8"/>
      <c r="T124" s="8"/>
      <c r="U124" s="12"/>
      <c r="V124" s="12"/>
      <c r="W124" s="12"/>
      <c r="X124" s="12"/>
      <c r="Y124" s="12"/>
      <c r="Z124" s="12"/>
      <c r="AA124" s="12"/>
      <c r="AB124" s="12"/>
      <c r="AC124" s="12"/>
      <c r="AD124" s="12"/>
      <c r="AE124" s="12"/>
      <c r="AF124" s="12"/>
    </row>
    <row r="125" spans="1:32">
      <c r="A125" s="8"/>
      <c r="B125" s="8"/>
      <c r="C125" s="8"/>
      <c r="D125" s="8"/>
      <c r="E125" s="8"/>
      <c r="F125" s="8"/>
      <c r="G125" s="8"/>
      <c r="H125" s="8"/>
      <c r="I125" s="8"/>
      <c r="J125" s="8"/>
      <c r="K125" s="8"/>
      <c r="L125" s="8"/>
      <c r="M125" s="8"/>
      <c r="N125" s="8"/>
      <c r="O125" s="8"/>
      <c r="P125" s="8"/>
      <c r="Q125" s="8"/>
      <c r="R125" s="8"/>
      <c r="S125" s="8"/>
      <c r="T125" s="8"/>
      <c r="U125" s="12"/>
      <c r="V125" s="12"/>
      <c r="W125" s="12"/>
      <c r="X125" s="12"/>
      <c r="Y125" s="12"/>
      <c r="Z125" s="12"/>
      <c r="AA125" s="12"/>
      <c r="AB125" s="12"/>
      <c r="AC125" s="12"/>
      <c r="AD125" s="12"/>
      <c r="AE125" s="12"/>
      <c r="AF125" s="12"/>
    </row>
    <row r="126" spans="1:32">
      <c r="A126" s="8"/>
      <c r="B126" s="8"/>
      <c r="C126" s="8"/>
      <c r="D126" s="8"/>
      <c r="E126" s="8"/>
      <c r="F126" s="8"/>
      <c r="G126" s="8"/>
      <c r="H126" s="8"/>
      <c r="I126" s="8"/>
      <c r="J126" s="8"/>
      <c r="K126" s="8"/>
      <c r="L126" s="8"/>
      <c r="M126" s="8"/>
      <c r="N126" s="8"/>
      <c r="O126" s="8"/>
      <c r="P126" s="8"/>
      <c r="Q126" s="8"/>
      <c r="R126" s="8"/>
      <c r="S126" s="8"/>
      <c r="T126" s="8"/>
      <c r="U126" s="12"/>
      <c r="V126" s="12"/>
      <c r="W126" s="12"/>
      <c r="X126" s="12"/>
      <c r="Y126" s="12"/>
      <c r="Z126" s="12"/>
      <c r="AA126" s="12"/>
      <c r="AB126" s="12"/>
      <c r="AC126" s="12"/>
      <c r="AD126" s="12"/>
      <c r="AE126" s="12"/>
      <c r="AF126" s="12"/>
    </row>
    <row r="127" spans="1:32">
      <c r="A127" s="8"/>
      <c r="B127" s="8"/>
      <c r="C127" s="8"/>
      <c r="D127" s="8"/>
      <c r="E127" s="8"/>
      <c r="F127" s="8"/>
      <c r="G127" s="8"/>
      <c r="H127" s="8"/>
      <c r="I127" s="8"/>
      <c r="J127" s="8"/>
      <c r="K127" s="8"/>
      <c r="L127" s="8"/>
      <c r="M127" s="8"/>
      <c r="N127" s="8"/>
      <c r="O127" s="8"/>
      <c r="P127" s="8"/>
      <c r="Q127" s="8"/>
      <c r="R127" s="8"/>
      <c r="S127" s="8"/>
      <c r="T127" s="8"/>
      <c r="U127" s="12"/>
      <c r="V127" s="12"/>
      <c r="W127" s="12"/>
      <c r="X127" s="12"/>
      <c r="Y127" s="12"/>
      <c r="Z127" s="12"/>
      <c r="AA127" s="12"/>
      <c r="AB127" s="12"/>
      <c r="AC127" s="12"/>
      <c r="AD127" s="12"/>
      <c r="AE127" s="12"/>
      <c r="AF127" s="12"/>
    </row>
    <row r="128" spans="1:32">
      <c r="A128" s="8"/>
      <c r="B128" s="8"/>
      <c r="C128" s="8"/>
      <c r="D128" s="8"/>
      <c r="E128" s="8"/>
      <c r="F128" s="8"/>
      <c r="G128" s="8"/>
      <c r="H128" s="8"/>
      <c r="I128" s="8"/>
      <c r="J128" s="8"/>
      <c r="K128" s="8"/>
      <c r="L128" s="8"/>
      <c r="M128" s="8"/>
      <c r="N128" s="8"/>
      <c r="O128" s="8"/>
      <c r="P128" s="8"/>
      <c r="Q128" s="8"/>
      <c r="R128" s="8"/>
      <c r="S128" s="8"/>
      <c r="T128" s="8"/>
      <c r="U128" s="12"/>
      <c r="V128" s="12"/>
      <c r="W128" s="12"/>
      <c r="X128" s="12"/>
      <c r="Y128" s="12"/>
      <c r="Z128" s="12"/>
      <c r="AA128" s="12"/>
      <c r="AB128" s="12"/>
      <c r="AC128" s="12"/>
      <c r="AD128" s="12"/>
      <c r="AE128" s="12"/>
      <c r="AF128" s="12"/>
    </row>
    <row r="129" spans="1:32">
      <c r="A129" s="8"/>
      <c r="B129" s="8"/>
      <c r="C129" s="8"/>
      <c r="D129" s="8"/>
      <c r="E129" s="8"/>
      <c r="F129" s="8"/>
      <c r="G129" s="8"/>
      <c r="H129" s="8"/>
      <c r="I129" s="8"/>
      <c r="J129" s="8"/>
      <c r="K129" s="8"/>
      <c r="L129" s="8"/>
      <c r="M129" s="8"/>
      <c r="N129" s="8"/>
      <c r="O129" s="8"/>
      <c r="P129" s="8"/>
      <c r="Q129" s="8"/>
      <c r="R129" s="8"/>
      <c r="S129" s="8"/>
      <c r="T129" s="8"/>
      <c r="U129" s="12"/>
      <c r="V129" s="12"/>
      <c r="W129" s="12"/>
      <c r="X129" s="12"/>
      <c r="Y129" s="12"/>
      <c r="Z129" s="12"/>
      <c r="AA129" s="12"/>
      <c r="AB129" s="12"/>
      <c r="AC129" s="12"/>
      <c r="AD129" s="12"/>
      <c r="AE129" s="12"/>
      <c r="AF129" s="12"/>
    </row>
    <row r="130" spans="1:32">
      <c r="A130" s="8"/>
      <c r="B130" s="8"/>
      <c r="C130" s="8"/>
      <c r="D130" s="8"/>
      <c r="E130" s="8"/>
      <c r="F130" s="8"/>
      <c r="G130" s="8"/>
      <c r="H130" s="8"/>
      <c r="I130" s="8"/>
      <c r="J130" s="8"/>
      <c r="K130" s="8"/>
      <c r="L130" s="8"/>
      <c r="M130" s="8"/>
      <c r="N130" s="8"/>
      <c r="O130" s="8"/>
      <c r="P130" s="8"/>
      <c r="Q130" s="8"/>
      <c r="R130" s="8"/>
      <c r="S130" s="8"/>
      <c r="T130" s="8"/>
      <c r="U130" s="12"/>
      <c r="V130" s="12"/>
      <c r="W130" s="12"/>
      <c r="X130" s="12"/>
      <c r="Y130" s="12"/>
      <c r="Z130" s="12"/>
      <c r="AA130" s="12"/>
      <c r="AB130" s="12"/>
      <c r="AC130" s="12"/>
      <c r="AD130" s="12"/>
      <c r="AE130" s="12"/>
      <c r="AF130" s="12"/>
    </row>
    <row r="131" spans="1:32">
      <c r="A131" s="8"/>
      <c r="B131" s="8"/>
      <c r="C131" s="8"/>
      <c r="D131" s="8"/>
      <c r="E131" s="8"/>
      <c r="F131" s="8"/>
      <c r="G131" s="8"/>
      <c r="H131" s="8"/>
      <c r="I131" s="8"/>
      <c r="J131" s="8"/>
      <c r="K131" s="8"/>
      <c r="L131" s="8"/>
      <c r="M131" s="8"/>
      <c r="N131" s="8"/>
      <c r="O131" s="8"/>
      <c r="P131" s="8"/>
      <c r="Q131" s="8"/>
      <c r="R131" s="8"/>
      <c r="S131" s="8"/>
      <c r="T131" s="8"/>
      <c r="U131" s="12"/>
      <c r="V131" s="12"/>
      <c r="W131" s="12"/>
      <c r="X131" s="12"/>
      <c r="Y131" s="12"/>
      <c r="Z131" s="12"/>
      <c r="AA131" s="12"/>
      <c r="AB131" s="12"/>
      <c r="AC131" s="12"/>
      <c r="AD131" s="12"/>
      <c r="AE131" s="12"/>
      <c r="AF131" s="12"/>
    </row>
    <row r="132" spans="1:32">
      <c r="A132" s="8"/>
      <c r="B132" s="8"/>
      <c r="C132" s="8"/>
      <c r="D132" s="8"/>
      <c r="E132" s="8"/>
      <c r="F132" s="8"/>
      <c r="G132" s="8"/>
      <c r="H132" s="8"/>
      <c r="I132" s="8"/>
      <c r="J132" s="8"/>
      <c r="K132" s="8"/>
      <c r="L132" s="8"/>
      <c r="M132" s="8"/>
      <c r="N132" s="8"/>
      <c r="O132" s="8"/>
      <c r="P132" s="8"/>
      <c r="Q132" s="8"/>
      <c r="R132" s="8"/>
      <c r="S132" s="8"/>
      <c r="T132" s="8"/>
      <c r="U132" s="12"/>
      <c r="V132" s="12"/>
      <c r="W132" s="12"/>
      <c r="X132" s="12"/>
      <c r="Y132" s="12"/>
      <c r="Z132" s="12"/>
      <c r="AA132" s="12"/>
      <c r="AB132" s="12"/>
      <c r="AC132" s="12"/>
      <c r="AD132" s="12"/>
      <c r="AE132" s="12"/>
      <c r="AF132" s="12"/>
    </row>
    <row r="133" spans="1:32">
      <c r="A133" s="8"/>
      <c r="B133" s="8"/>
      <c r="C133" s="8"/>
      <c r="D133" s="8"/>
      <c r="E133" s="8"/>
      <c r="F133" s="8"/>
      <c r="G133" s="8"/>
      <c r="H133" s="8"/>
      <c r="I133" s="8"/>
      <c r="J133" s="8"/>
      <c r="K133" s="8"/>
      <c r="L133" s="8"/>
      <c r="M133" s="8"/>
      <c r="N133" s="8"/>
      <c r="O133" s="8"/>
      <c r="P133" s="8"/>
      <c r="Q133" s="8"/>
      <c r="R133" s="8"/>
      <c r="S133" s="8"/>
      <c r="T133" s="8"/>
      <c r="U133" s="12"/>
      <c r="V133" s="12"/>
      <c r="W133" s="12"/>
      <c r="X133" s="12"/>
      <c r="Y133" s="12"/>
      <c r="Z133" s="12"/>
      <c r="AA133" s="12"/>
      <c r="AB133" s="12"/>
      <c r="AC133" s="12"/>
      <c r="AD133" s="12"/>
      <c r="AE133" s="12"/>
      <c r="AF133" s="12"/>
    </row>
    <row r="134" spans="1:32">
      <c r="A134" s="8"/>
      <c r="B134" s="8"/>
      <c r="C134" s="8"/>
      <c r="D134" s="8"/>
      <c r="E134" s="8"/>
      <c r="F134" s="8"/>
      <c r="G134" s="8"/>
      <c r="H134" s="8"/>
      <c r="I134" s="8"/>
      <c r="J134" s="8"/>
      <c r="K134" s="8"/>
      <c r="L134" s="8"/>
      <c r="M134" s="8"/>
      <c r="N134" s="8"/>
      <c r="O134" s="8"/>
      <c r="P134" s="8"/>
      <c r="Q134" s="8"/>
      <c r="R134" s="8"/>
      <c r="S134" s="8"/>
      <c r="T134" s="8"/>
      <c r="U134" s="12"/>
      <c r="V134" s="12"/>
      <c r="W134" s="12"/>
      <c r="X134" s="12"/>
      <c r="Y134" s="12"/>
      <c r="Z134" s="12"/>
      <c r="AA134" s="12"/>
      <c r="AB134" s="12"/>
      <c r="AC134" s="12"/>
      <c r="AD134" s="12"/>
      <c r="AE134" s="12"/>
      <c r="AF134" s="12"/>
    </row>
    <row r="135" spans="1:32">
      <c r="A135" s="8"/>
      <c r="B135" s="8"/>
      <c r="C135" s="8"/>
      <c r="D135" s="8"/>
      <c r="E135" s="8"/>
      <c r="F135" s="8"/>
      <c r="G135" s="8"/>
      <c r="H135" s="8"/>
      <c r="I135" s="8"/>
      <c r="J135" s="8"/>
      <c r="K135" s="8"/>
      <c r="L135" s="8"/>
      <c r="M135" s="8"/>
      <c r="N135" s="8"/>
      <c r="O135" s="8"/>
      <c r="P135" s="8"/>
      <c r="Q135" s="8"/>
      <c r="R135" s="8"/>
      <c r="S135" s="8"/>
      <c r="T135" s="8"/>
      <c r="U135" s="12"/>
      <c r="V135" s="12"/>
      <c r="W135" s="12"/>
      <c r="X135" s="12"/>
      <c r="Y135" s="12"/>
      <c r="Z135" s="12"/>
      <c r="AA135" s="12"/>
      <c r="AB135" s="12"/>
      <c r="AC135" s="12"/>
      <c r="AD135" s="12"/>
      <c r="AE135" s="12"/>
      <c r="AF135" s="12"/>
    </row>
    <row r="136" spans="1:32">
      <c r="A136" s="8"/>
      <c r="B136" s="8"/>
      <c r="C136" s="8"/>
      <c r="D136" s="8"/>
      <c r="E136" s="8"/>
      <c r="F136" s="8"/>
      <c r="G136" s="8"/>
      <c r="H136" s="8"/>
      <c r="I136" s="8"/>
      <c r="J136" s="8"/>
      <c r="K136" s="8"/>
      <c r="L136" s="8"/>
      <c r="M136" s="8"/>
      <c r="N136" s="8"/>
      <c r="O136" s="8"/>
      <c r="P136" s="8"/>
      <c r="Q136" s="8"/>
      <c r="R136" s="8"/>
      <c r="S136" s="8"/>
      <c r="T136" s="8"/>
      <c r="U136" s="12"/>
      <c r="V136" s="12"/>
      <c r="W136" s="12"/>
      <c r="X136" s="12"/>
      <c r="Y136" s="12"/>
      <c r="Z136" s="12"/>
      <c r="AA136" s="12"/>
      <c r="AB136" s="12"/>
      <c r="AC136" s="12"/>
      <c r="AD136" s="12"/>
      <c r="AE136" s="12"/>
      <c r="AF136" s="12"/>
    </row>
    <row r="137" spans="1:32">
      <c r="A137" s="8"/>
      <c r="B137" s="8"/>
      <c r="C137" s="8"/>
      <c r="D137" s="8"/>
      <c r="E137" s="8"/>
      <c r="F137" s="8"/>
      <c r="G137" s="8"/>
      <c r="H137" s="8"/>
      <c r="I137" s="8"/>
      <c r="J137" s="8"/>
      <c r="K137" s="8"/>
      <c r="L137" s="8"/>
      <c r="M137" s="8"/>
      <c r="N137" s="8"/>
      <c r="O137" s="8"/>
      <c r="P137" s="8"/>
      <c r="Q137" s="8"/>
      <c r="R137" s="8"/>
      <c r="S137" s="8"/>
      <c r="T137" s="8"/>
      <c r="U137" s="12"/>
      <c r="V137" s="12"/>
      <c r="W137" s="12"/>
      <c r="X137" s="12"/>
      <c r="Y137" s="12"/>
      <c r="Z137" s="12"/>
      <c r="AA137" s="12"/>
      <c r="AB137" s="12"/>
      <c r="AC137" s="12"/>
      <c r="AD137" s="12"/>
      <c r="AE137" s="12"/>
      <c r="AF137" s="12"/>
    </row>
    <row r="138" spans="1:32">
      <c r="A138" s="8"/>
      <c r="B138" s="8"/>
      <c r="C138" s="8"/>
      <c r="D138" s="8"/>
      <c r="E138" s="8"/>
      <c r="F138" s="8"/>
      <c r="G138" s="8"/>
      <c r="H138" s="8"/>
      <c r="I138" s="8"/>
      <c r="J138" s="8"/>
      <c r="K138" s="8"/>
      <c r="L138" s="8"/>
      <c r="M138" s="8"/>
      <c r="N138" s="8"/>
      <c r="O138" s="8"/>
      <c r="P138" s="8"/>
      <c r="Q138" s="8"/>
      <c r="R138" s="8"/>
      <c r="S138" s="8"/>
      <c r="T138" s="8"/>
      <c r="U138" s="12"/>
      <c r="V138" s="12"/>
      <c r="W138" s="12"/>
      <c r="X138" s="12"/>
      <c r="Y138" s="12"/>
      <c r="Z138" s="12"/>
      <c r="AA138" s="12"/>
      <c r="AB138" s="12"/>
      <c r="AC138" s="12"/>
      <c r="AD138" s="12"/>
      <c r="AE138" s="12"/>
      <c r="AF138" s="12"/>
    </row>
    <row r="139" spans="1:32">
      <c r="A139" s="8"/>
      <c r="B139" s="8"/>
      <c r="C139" s="8"/>
      <c r="D139" s="8"/>
      <c r="E139" s="8"/>
      <c r="F139" s="8"/>
      <c r="G139" s="8"/>
      <c r="H139" s="8"/>
      <c r="I139" s="8"/>
      <c r="J139" s="8"/>
      <c r="K139" s="8"/>
      <c r="L139" s="8"/>
      <c r="M139" s="8"/>
      <c r="N139" s="8"/>
      <c r="O139" s="8"/>
      <c r="P139" s="8"/>
      <c r="Q139" s="8"/>
      <c r="R139" s="8"/>
      <c r="S139" s="8"/>
      <c r="T139" s="8"/>
      <c r="U139" s="12"/>
      <c r="V139" s="12"/>
      <c r="W139" s="12"/>
      <c r="X139" s="12"/>
      <c r="Y139" s="12"/>
      <c r="Z139" s="12"/>
      <c r="AA139" s="12"/>
      <c r="AB139" s="12"/>
      <c r="AC139" s="12"/>
      <c r="AD139" s="12"/>
      <c r="AE139" s="12"/>
      <c r="AF139" s="12"/>
    </row>
    <row r="140" spans="1:32">
      <c r="A140" s="8"/>
      <c r="B140" s="8"/>
      <c r="C140" s="8"/>
      <c r="D140" s="8"/>
      <c r="E140" s="8"/>
      <c r="F140" s="8"/>
      <c r="G140" s="8"/>
      <c r="H140" s="8"/>
      <c r="I140" s="8"/>
      <c r="J140" s="8"/>
      <c r="K140" s="8"/>
      <c r="L140" s="8"/>
      <c r="M140" s="8"/>
      <c r="N140" s="8"/>
      <c r="O140" s="8"/>
      <c r="P140" s="8"/>
      <c r="Q140" s="8"/>
      <c r="R140" s="8"/>
      <c r="S140" s="8"/>
      <c r="T140" s="8"/>
      <c r="U140" s="12"/>
      <c r="V140" s="12"/>
      <c r="W140" s="12"/>
      <c r="X140" s="12"/>
      <c r="Y140" s="12"/>
      <c r="Z140" s="12"/>
      <c r="AA140" s="12"/>
      <c r="AB140" s="12"/>
      <c r="AC140" s="12"/>
      <c r="AD140" s="12"/>
      <c r="AE140" s="12"/>
      <c r="AF140" s="12"/>
    </row>
    <row r="141" spans="1:32">
      <c r="A141" s="8"/>
      <c r="B141" s="8"/>
      <c r="C141" s="8"/>
      <c r="D141" s="8"/>
      <c r="E141" s="8"/>
      <c r="F141" s="8"/>
      <c r="G141" s="8"/>
      <c r="H141" s="8"/>
      <c r="I141" s="8"/>
      <c r="J141" s="8"/>
      <c r="K141" s="8"/>
      <c r="L141" s="8"/>
      <c r="M141" s="8"/>
      <c r="N141" s="8"/>
      <c r="O141" s="8"/>
      <c r="P141" s="8"/>
      <c r="Q141" s="8"/>
      <c r="R141" s="8"/>
      <c r="S141" s="8"/>
      <c r="T141" s="8"/>
      <c r="U141" s="12"/>
      <c r="V141" s="12"/>
      <c r="W141" s="12"/>
      <c r="X141" s="12"/>
      <c r="Y141" s="12"/>
      <c r="Z141" s="12"/>
      <c r="AA141" s="12"/>
      <c r="AB141" s="12"/>
      <c r="AC141" s="12"/>
      <c r="AD141" s="12"/>
      <c r="AE141" s="12"/>
      <c r="AF141" s="12"/>
    </row>
    <row r="142" spans="1:32">
      <c r="A142" s="8"/>
      <c r="B142" s="8"/>
      <c r="C142" s="8"/>
      <c r="D142" s="8"/>
      <c r="E142" s="8"/>
      <c r="F142" s="8"/>
      <c r="G142" s="8"/>
      <c r="H142" s="8"/>
      <c r="I142" s="8"/>
      <c r="J142" s="8"/>
      <c r="K142" s="8"/>
      <c r="L142" s="8"/>
      <c r="M142" s="8"/>
      <c r="N142" s="8"/>
      <c r="O142" s="8"/>
      <c r="P142" s="8"/>
      <c r="Q142" s="8"/>
      <c r="R142" s="8"/>
      <c r="S142" s="8"/>
      <c r="T142" s="8"/>
      <c r="U142" s="12"/>
      <c r="V142" s="12"/>
      <c r="W142" s="12"/>
      <c r="X142" s="12"/>
      <c r="Y142" s="12"/>
      <c r="Z142" s="12"/>
      <c r="AA142" s="12"/>
      <c r="AB142" s="12"/>
      <c r="AC142" s="12"/>
      <c r="AD142" s="12"/>
      <c r="AE142" s="12"/>
      <c r="AF142" s="12"/>
    </row>
    <row r="143" spans="1:32">
      <c r="A143" s="8"/>
      <c r="B143" s="8"/>
      <c r="C143" s="8"/>
      <c r="D143" s="8"/>
      <c r="E143" s="8"/>
      <c r="F143" s="8"/>
      <c r="G143" s="8"/>
      <c r="H143" s="8"/>
      <c r="I143" s="8"/>
      <c r="J143" s="8"/>
      <c r="K143" s="8"/>
      <c r="L143" s="8"/>
      <c r="M143" s="8"/>
      <c r="N143" s="8"/>
      <c r="O143" s="8"/>
      <c r="P143" s="8"/>
      <c r="Q143" s="8"/>
      <c r="R143" s="8"/>
      <c r="S143" s="8"/>
      <c r="T143" s="8"/>
      <c r="U143" s="12"/>
      <c r="V143" s="12"/>
      <c r="W143" s="12"/>
      <c r="X143" s="12"/>
      <c r="Y143" s="12"/>
      <c r="Z143" s="12"/>
      <c r="AA143" s="12"/>
      <c r="AB143" s="12"/>
      <c r="AC143" s="12"/>
      <c r="AD143" s="12"/>
      <c r="AE143" s="12"/>
      <c r="AF143" s="12"/>
    </row>
    <row r="144" spans="1:32">
      <c r="A144" s="8"/>
      <c r="B144" s="8"/>
      <c r="C144" s="8"/>
      <c r="D144" s="8"/>
      <c r="E144" s="8"/>
      <c r="F144" s="8"/>
      <c r="G144" s="8"/>
      <c r="H144" s="8"/>
      <c r="I144" s="8"/>
      <c r="J144" s="8"/>
      <c r="K144" s="8"/>
      <c r="L144" s="8"/>
      <c r="M144" s="8"/>
      <c r="N144" s="8"/>
      <c r="O144" s="8"/>
      <c r="P144" s="8"/>
      <c r="Q144" s="8"/>
      <c r="R144" s="8"/>
      <c r="S144" s="8"/>
      <c r="T144" s="8"/>
      <c r="U144" s="12"/>
      <c r="V144" s="12"/>
      <c r="W144" s="12"/>
      <c r="X144" s="12"/>
      <c r="Y144" s="12"/>
      <c r="Z144" s="12"/>
      <c r="AA144" s="12"/>
      <c r="AB144" s="12"/>
      <c r="AC144" s="12"/>
      <c r="AD144" s="12"/>
      <c r="AE144" s="12"/>
      <c r="AF144" s="12"/>
    </row>
    <row r="145" spans="1:32">
      <c r="A145" s="8"/>
      <c r="B145" s="8"/>
      <c r="C145" s="8"/>
      <c r="D145" s="8"/>
      <c r="E145" s="8"/>
      <c r="F145" s="8"/>
      <c r="G145" s="8"/>
      <c r="H145" s="8"/>
      <c r="I145" s="8"/>
      <c r="J145" s="8"/>
      <c r="K145" s="8"/>
      <c r="L145" s="8"/>
      <c r="M145" s="8"/>
      <c r="N145" s="8"/>
      <c r="O145" s="8"/>
      <c r="P145" s="8"/>
      <c r="Q145" s="8"/>
      <c r="R145" s="8"/>
      <c r="S145" s="8"/>
      <c r="T145" s="8"/>
      <c r="U145" s="12"/>
      <c r="V145" s="12"/>
      <c r="W145" s="12"/>
      <c r="X145" s="12"/>
      <c r="Y145" s="12"/>
      <c r="Z145" s="12"/>
      <c r="AA145" s="12"/>
      <c r="AB145" s="12"/>
      <c r="AC145" s="12"/>
      <c r="AD145" s="12"/>
      <c r="AE145" s="12"/>
      <c r="AF145" s="12"/>
    </row>
    <row r="146" spans="1:32">
      <c r="A146" s="8"/>
      <c r="B146" s="8"/>
      <c r="C146" s="8"/>
      <c r="D146" s="8"/>
      <c r="E146" s="8"/>
      <c r="F146" s="8"/>
      <c r="G146" s="8"/>
      <c r="H146" s="8"/>
      <c r="I146" s="8"/>
      <c r="J146" s="8"/>
      <c r="K146" s="8"/>
      <c r="L146" s="8"/>
      <c r="M146" s="8"/>
      <c r="N146" s="8"/>
      <c r="O146" s="8"/>
      <c r="P146" s="8"/>
      <c r="Q146" s="8"/>
      <c r="R146" s="8"/>
      <c r="S146" s="8"/>
      <c r="T146" s="8"/>
      <c r="U146" s="12"/>
      <c r="V146" s="12"/>
      <c r="W146" s="12"/>
      <c r="X146" s="12"/>
      <c r="Y146" s="12"/>
      <c r="Z146" s="12"/>
      <c r="AA146" s="12"/>
      <c r="AB146" s="12"/>
      <c r="AC146" s="12"/>
      <c r="AD146" s="12"/>
      <c r="AE146" s="12"/>
      <c r="AF146" s="12"/>
    </row>
    <row r="147" spans="1:32">
      <c r="A147" s="8"/>
      <c r="B147" s="8"/>
      <c r="C147" s="8"/>
      <c r="D147" s="8"/>
      <c r="E147" s="8"/>
      <c r="F147" s="8"/>
      <c r="G147" s="8"/>
      <c r="H147" s="8"/>
      <c r="I147" s="8"/>
      <c r="J147" s="8"/>
      <c r="K147" s="8"/>
      <c r="L147" s="8"/>
      <c r="M147" s="8"/>
      <c r="N147" s="8"/>
      <c r="O147" s="8"/>
      <c r="P147" s="8"/>
      <c r="Q147" s="8"/>
      <c r="R147" s="8"/>
      <c r="S147" s="8"/>
      <c r="T147" s="8"/>
      <c r="U147" s="12"/>
      <c r="V147" s="12"/>
      <c r="W147" s="12"/>
      <c r="X147" s="12"/>
      <c r="Y147" s="12"/>
      <c r="Z147" s="12"/>
      <c r="AA147" s="12"/>
      <c r="AB147" s="12"/>
      <c r="AC147" s="12"/>
      <c r="AD147" s="12"/>
      <c r="AE147" s="12"/>
      <c r="AF147" s="12"/>
    </row>
    <row r="148" spans="1:32">
      <c r="A148" s="8"/>
      <c r="B148" s="8"/>
      <c r="C148" s="8"/>
      <c r="D148" s="8"/>
      <c r="E148" s="8"/>
      <c r="F148" s="8"/>
      <c r="G148" s="8"/>
      <c r="H148" s="8"/>
      <c r="I148" s="8"/>
      <c r="J148" s="8"/>
      <c r="K148" s="8"/>
      <c r="L148" s="8"/>
      <c r="M148" s="8"/>
      <c r="N148" s="8"/>
      <c r="O148" s="8"/>
      <c r="P148" s="8"/>
      <c r="Q148" s="8"/>
      <c r="R148" s="8"/>
      <c r="S148" s="8"/>
      <c r="T148" s="8"/>
      <c r="U148" s="12"/>
      <c r="V148" s="12"/>
      <c r="W148" s="12"/>
      <c r="X148" s="12"/>
      <c r="Y148" s="12"/>
      <c r="Z148" s="12"/>
      <c r="AA148" s="12"/>
      <c r="AB148" s="12"/>
      <c r="AC148" s="12"/>
      <c r="AD148" s="12"/>
      <c r="AE148" s="12"/>
      <c r="AF148" s="12"/>
    </row>
    <row r="149" spans="1:32">
      <c r="A149" s="8"/>
      <c r="B149" s="8"/>
      <c r="C149" s="8"/>
      <c r="D149" s="8"/>
      <c r="E149" s="8"/>
      <c r="F149" s="8"/>
      <c r="G149" s="8"/>
      <c r="H149" s="8"/>
      <c r="I149" s="8"/>
      <c r="J149" s="8"/>
      <c r="K149" s="8"/>
      <c r="L149" s="8"/>
      <c r="M149" s="8"/>
      <c r="N149" s="8"/>
      <c r="O149" s="8"/>
      <c r="P149" s="8"/>
      <c r="Q149" s="8"/>
      <c r="R149" s="8"/>
      <c r="S149" s="8"/>
      <c r="T149" s="8"/>
      <c r="U149" s="12"/>
      <c r="V149" s="12"/>
      <c r="W149" s="12"/>
      <c r="X149" s="12"/>
      <c r="Y149" s="12"/>
      <c r="Z149" s="12"/>
      <c r="AA149" s="12"/>
      <c r="AB149" s="12"/>
      <c r="AC149" s="12"/>
      <c r="AD149" s="12"/>
      <c r="AE149" s="12"/>
      <c r="AF149" s="12"/>
    </row>
    <row r="150" spans="1:32">
      <c r="A150" s="8"/>
      <c r="B150" s="8"/>
      <c r="C150" s="8"/>
      <c r="D150" s="8"/>
      <c r="E150" s="8"/>
      <c r="F150" s="8"/>
      <c r="G150" s="8"/>
      <c r="H150" s="8"/>
      <c r="I150" s="8"/>
      <c r="J150" s="8"/>
      <c r="K150" s="8"/>
      <c r="L150" s="8"/>
      <c r="M150" s="8"/>
      <c r="N150" s="8"/>
      <c r="O150" s="8"/>
      <c r="P150" s="8"/>
      <c r="Q150" s="8"/>
      <c r="R150" s="8"/>
      <c r="S150" s="8"/>
      <c r="T150" s="8"/>
      <c r="U150" s="12"/>
      <c r="V150" s="12"/>
      <c r="W150" s="12"/>
      <c r="X150" s="12"/>
      <c r="Y150" s="12"/>
      <c r="Z150" s="12"/>
      <c r="AA150" s="12"/>
      <c r="AB150" s="12"/>
      <c r="AC150" s="12"/>
      <c r="AD150" s="12"/>
      <c r="AE150" s="12"/>
      <c r="AF150" s="12"/>
    </row>
    <row r="151" spans="1:32">
      <c r="A151" s="8"/>
      <c r="B151" s="8"/>
      <c r="C151" s="8"/>
      <c r="D151" s="8"/>
      <c r="E151" s="8"/>
      <c r="F151" s="8"/>
      <c r="G151" s="8"/>
      <c r="H151" s="8"/>
      <c r="I151" s="8"/>
      <c r="J151" s="8"/>
      <c r="K151" s="8"/>
      <c r="L151" s="8"/>
      <c r="M151" s="8"/>
      <c r="N151" s="8"/>
      <c r="O151" s="8"/>
      <c r="P151" s="8"/>
      <c r="Q151" s="8"/>
      <c r="R151" s="8"/>
      <c r="S151" s="8"/>
      <c r="T151" s="8"/>
      <c r="U151" s="12"/>
      <c r="V151" s="12"/>
      <c r="W151" s="12"/>
      <c r="X151" s="12"/>
      <c r="Y151" s="12"/>
      <c r="Z151" s="12"/>
      <c r="AA151" s="12"/>
      <c r="AB151" s="12"/>
      <c r="AC151" s="12"/>
      <c r="AD151" s="12"/>
      <c r="AE151" s="12"/>
      <c r="AF151" s="12"/>
    </row>
    <row r="152" spans="1:32">
      <c r="A152" s="8"/>
      <c r="B152" s="8"/>
      <c r="C152" s="8"/>
      <c r="D152" s="8"/>
      <c r="E152" s="8"/>
      <c r="F152" s="8"/>
      <c r="G152" s="8"/>
      <c r="H152" s="8"/>
      <c r="I152" s="8"/>
      <c r="J152" s="8"/>
      <c r="K152" s="8"/>
      <c r="L152" s="8"/>
      <c r="M152" s="8"/>
      <c r="N152" s="8"/>
      <c r="O152" s="8"/>
      <c r="P152" s="8"/>
      <c r="Q152" s="8"/>
      <c r="R152" s="8"/>
      <c r="S152" s="8"/>
      <c r="T152" s="8"/>
      <c r="U152" s="12"/>
      <c r="V152" s="12"/>
      <c r="W152" s="12"/>
      <c r="X152" s="12"/>
      <c r="Y152" s="12"/>
      <c r="Z152" s="12"/>
      <c r="AA152" s="12"/>
      <c r="AB152" s="12"/>
      <c r="AC152" s="12"/>
      <c r="AD152" s="12"/>
      <c r="AE152" s="12"/>
      <c r="AF152" s="12"/>
    </row>
    <row r="153" spans="1:32">
      <c r="A153" s="8"/>
      <c r="B153" s="8"/>
      <c r="C153" s="8"/>
      <c r="D153" s="8"/>
      <c r="E153" s="8"/>
      <c r="F153" s="8"/>
      <c r="G153" s="8"/>
      <c r="H153" s="8"/>
      <c r="I153" s="8"/>
      <c r="J153" s="8"/>
      <c r="K153" s="8"/>
      <c r="L153" s="8"/>
      <c r="M153" s="8"/>
      <c r="N153" s="8"/>
      <c r="O153" s="8"/>
      <c r="P153" s="8"/>
      <c r="Q153" s="8"/>
      <c r="R153" s="8"/>
      <c r="S153" s="8"/>
      <c r="T153" s="8"/>
      <c r="U153" s="12"/>
      <c r="V153" s="12"/>
      <c r="W153" s="12"/>
      <c r="X153" s="12"/>
      <c r="Y153" s="12"/>
      <c r="Z153" s="12"/>
      <c r="AA153" s="12"/>
      <c r="AB153" s="12"/>
      <c r="AC153" s="12"/>
      <c r="AD153" s="12"/>
      <c r="AE153" s="12"/>
      <c r="AF153" s="12"/>
    </row>
    <row r="154" spans="1:32">
      <c r="A154" s="8"/>
      <c r="B154" s="8"/>
      <c r="C154" s="8"/>
      <c r="D154" s="8"/>
      <c r="E154" s="8"/>
      <c r="F154" s="8"/>
      <c r="G154" s="8"/>
      <c r="H154" s="8"/>
      <c r="I154" s="8"/>
      <c r="J154" s="8"/>
      <c r="K154" s="8"/>
      <c r="L154" s="8"/>
      <c r="M154" s="8"/>
      <c r="N154" s="8"/>
      <c r="O154" s="8"/>
      <c r="P154" s="8"/>
      <c r="Q154" s="8"/>
      <c r="R154" s="8"/>
      <c r="S154" s="8"/>
      <c r="T154" s="8"/>
      <c r="U154" s="12"/>
      <c r="V154" s="12"/>
      <c r="W154" s="12"/>
      <c r="X154" s="12"/>
      <c r="Y154" s="12"/>
      <c r="Z154" s="12"/>
      <c r="AA154" s="12"/>
      <c r="AB154" s="12"/>
      <c r="AC154" s="12"/>
      <c r="AD154" s="12"/>
      <c r="AE154" s="12"/>
      <c r="AF154" s="12"/>
    </row>
    <row r="155" spans="1:32">
      <c r="A155" s="8"/>
      <c r="B155" s="8"/>
      <c r="C155" s="8"/>
      <c r="D155" s="8"/>
      <c r="E155" s="8"/>
      <c r="F155" s="8"/>
      <c r="G155" s="8"/>
      <c r="H155" s="8"/>
      <c r="I155" s="8"/>
      <c r="J155" s="8"/>
      <c r="K155" s="8"/>
      <c r="L155" s="8"/>
      <c r="M155" s="8"/>
      <c r="N155" s="8"/>
      <c r="O155" s="8"/>
      <c r="P155" s="8"/>
      <c r="Q155" s="8"/>
      <c r="R155" s="8"/>
      <c r="S155" s="8"/>
      <c r="T155" s="8"/>
      <c r="U155" s="12"/>
      <c r="V155" s="12"/>
      <c r="W155" s="12"/>
      <c r="X155" s="12"/>
      <c r="Y155" s="12"/>
      <c r="Z155" s="12"/>
      <c r="AA155" s="12"/>
      <c r="AB155" s="12"/>
      <c r="AC155" s="12"/>
      <c r="AD155" s="12"/>
      <c r="AE155" s="12"/>
      <c r="AF155" s="12"/>
    </row>
    <row r="156" spans="1:32">
      <c r="A156" s="8"/>
      <c r="B156" s="8"/>
      <c r="C156" s="8"/>
      <c r="D156" s="8"/>
      <c r="E156" s="8"/>
      <c r="F156" s="8"/>
      <c r="G156" s="8"/>
      <c r="H156" s="8"/>
      <c r="I156" s="8"/>
      <c r="J156" s="8"/>
      <c r="K156" s="8"/>
      <c r="L156" s="8"/>
      <c r="M156" s="8"/>
      <c r="N156" s="8"/>
      <c r="O156" s="8"/>
      <c r="P156" s="8"/>
      <c r="Q156" s="8"/>
      <c r="R156" s="8"/>
      <c r="S156" s="8"/>
      <c r="T156" s="8"/>
      <c r="U156" s="12"/>
      <c r="V156" s="12"/>
      <c r="W156" s="12"/>
      <c r="X156" s="12"/>
      <c r="Y156" s="12"/>
      <c r="Z156" s="12"/>
      <c r="AA156" s="12"/>
      <c r="AB156" s="12"/>
      <c r="AC156" s="12"/>
      <c r="AD156" s="12"/>
      <c r="AE156" s="12"/>
      <c r="AF156" s="12"/>
    </row>
    <row r="157" spans="1:32">
      <c r="A157" s="8"/>
      <c r="B157" s="8"/>
      <c r="C157" s="8"/>
      <c r="D157" s="8"/>
      <c r="E157" s="8"/>
      <c r="F157" s="8"/>
      <c r="G157" s="8"/>
      <c r="H157" s="8"/>
      <c r="I157" s="8"/>
      <c r="J157" s="8"/>
      <c r="K157" s="8"/>
      <c r="L157" s="8"/>
      <c r="M157" s="8"/>
      <c r="N157" s="8"/>
      <c r="O157" s="8"/>
      <c r="P157" s="8"/>
      <c r="Q157" s="8"/>
      <c r="R157" s="8"/>
      <c r="S157" s="8"/>
      <c r="T157" s="8"/>
      <c r="U157" s="12"/>
      <c r="V157" s="12"/>
      <c r="W157" s="12"/>
      <c r="X157" s="12"/>
      <c r="Y157" s="12"/>
      <c r="Z157" s="12"/>
      <c r="AA157" s="12"/>
      <c r="AB157" s="12"/>
      <c r="AC157" s="12"/>
      <c r="AD157" s="12"/>
      <c r="AE157" s="12"/>
      <c r="AF157" s="12"/>
    </row>
    <row r="158" spans="1:32">
      <c r="A158" s="8"/>
      <c r="B158" s="8"/>
      <c r="C158" s="8"/>
      <c r="D158" s="8"/>
      <c r="E158" s="8"/>
      <c r="F158" s="8"/>
      <c r="G158" s="8"/>
      <c r="H158" s="8"/>
      <c r="I158" s="8"/>
      <c r="J158" s="8"/>
      <c r="K158" s="8"/>
      <c r="L158" s="8"/>
      <c r="M158" s="8"/>
      <c r="N158" s="8"/>
      <c r="O158" s="8"/>
      <c r="P158" s="8"/>
      <c r="Q158" s="8"/>
      <c r="R158" s="8"/>
      <c r="S158" s="8"/>
      <c r="T158" s="8"/>
      <c r="U158" s="12"/>
      <c r="V158" s="12"/>
      <c r="W158" s="12"/>
      <c r="X158" s="12"/>
      <c r="Y158" s="12"/>
      <c r="Z158" s="12"/>
      <c r="AA158" s="12"/>
      <c r="AB158" s="12"/>
      <c r="AC158" s="12"/>
      <c r="AD158" s="12"/>
      <c r="AE158" s="12"/>
      <c r="AF158" s="12"/>
    </row>
    <row r="159" spans="1:32">
      <c r="A159" s="8"/>
      <c r="B159" s="8"/>
      <c r="C159" s="8"/>
      <c r="D159" s="8"/>
      <c r="E159" s="8"/>
      <c r="F159" s="8"/>
      <c r="G159" s="8"/>
      <c r="H159" s="8"/>
      <c r="I159" s="8"/>
      <c r="J159" s="8"/>
      <c r="K159" s="8"/>
      <c r="L159" s="8"/>
      <c r="M159" s="8"/>
      <c r="N159" s="8"/>
      <c r="O159" s="8"/>
      <c r="P159" s="8"/>
      <c r="Q159" s="8"/>
      <c r="R159" s="8"/>
      <c r="S159" s="8"/>
      <c r="T159" s="8"/>
      <c r="U159" s="12"/>
      <c r="V159" s="12"/>
      <c r="W159" s="12"/>
      <c r="X159" s="12"/>
      <c r="Y159" s="12"/>
      <c r="Z159" s="12"/>
      <c r="AA159" s="12"/>
      <c r="AB159" s="12"/>
      <c r="AC159" s="12"/>
      <c r="AD159" s="12"/>
      <c r="AE159" s="12"/>
      <c r="AF159" s="12"/>
    </row>
    <row r="160" spans="1:32">
      <c r="A160" s="8"/>
      <c r="B160" s="8"/>
      <c r="C160" s="8"/>
      <c r="D160" s="8"/>
      <c r="E160" s="8"/>
      <c r="F160" s="8"/>
      <c r="G160" s="8"/>
      <c r="H160" s="8"/>
      <c r="I160" s="8"/>
      <c r="J160" s="8"/>
      <c r="K160" s="8"/>
      <c r="L160" s="8"/>
      <c r="M160" s="8"/>
      <c r="N160" s="8"/>
      <c r="O160" s="8"/>
      <c r="P160" s="8"/>
      <c r="Q160" s="8"/>
      <c r="R160" s="8"/>
      <c r="S160" s="8"/>
      <c r="T160" s="8"/>
      <c r="U160" s="12"/>
      <c r="V160" s="12"/>
      <c r="W160" s="12"/>
      <c r="X160" s="12"/>
      <c r="Y160" s="12"/>
      <c r="Z160" s="12"/>
      <c r="AA160" s="12"/>
      <c r="AB160" s="12"/>
      <c r="AC160" s="12"/>
      <c r="AD160" s="12"/>
      <c r="AE160" s="12"/>
      <c r="AF160" s="12"/>
    </row>
    <row r="161" spans="1:32">
      <c r="A161" s="8"/>
      <c r="B161" s="8"/>
      <c r="C161" s="8"/>
      <c r="D161" s="8"/>
      <c r="E161" s="8"/>
      <c r="F161" s="8"/>
      <c r="G161" s="8"/>
      <c r="H161" s="8"/>
      <c r="I161" s="8"/>
      <c r="J161" s="8"/>
      <c r="K161" s="8"/>
      <c r="L161" s="8"/>
      <c r="M161" s="8"/>
      <c r="N161" s="8"/>
      <c r="O161" s="8"/>
      <c r="P161" s="8"/>
      <c r="Q161" s="8"/>
      <c r="R161" s="8"/>
      <c r="S161" s="8"/>
      <c r="T161" s="8"/>
      <c r="U161" s="12"/>
      <c r="V161" s="12"/>
      <c r="W161" s="12"/>
      <c r="X161" s="12"/>
      <c r="Y161" s="12"/>
      <c r="Z161" s="12"/>
      <c r="AA161" s="12"/>
      <c r="AB161" s="12"/>
      <c r="AC161" s="12"/>
      <c r="AD161" s="12"/>
      <c r="AE161" s="12"/>
      <c r="AF161" s="12"/>
    </row>
    <row r="162" spans="1:32">
      <c r="A162" s="8"/>
      <c r="B162" s="8"/>
      <c r="C162" s="8"/>
      <c r="D162" s="8"/>
      <c r="E162" s="8"/>
      <c r="F162" s="8"/>
      <c r="G162" s="8"/>
      <c r="H162" s="8"/>
      <c r="I162" s="8"/>
      <c r="J162" s="8"/>
      <c r="K162" s="8"/>
      <c r="L162" s="8"/>
      <c r="M162" s="8"/>
      <c r="N162" s="8"/>
      <c r="O162" s="8"/>
      <c r="P162" s="8"/>
      <c r="Q162" s="8"/>
      <c r="R162" s="8"/>
      <c r="S162" s="8"/>
      <c r="T162" s="8"/>
      <c r="U162" s="12"/>
      <c r="V162" s="12"/>
      <c r="W162" s="12"/>
      <c r="X162" s="12"/>
      <c r="Y162" s="12"/>
      <c r="Z162" s="12"/>
      <c r="AA162" s="12"/>
      <c r="AB162" s="12"/>
      <c r="AC162" s="12"/>
      <c r="AD162" s="12"/>
      <c r="AE162" s="12"/>
      <c r="AF162" s="12"/>
    </row>
    <row r="163" spans="1:32">
      <c r="A163" s="8"/>
      <c r="B163" s="8"/>
      <c r="C163" s="8"/>
      <c r="D163" s="8"/>
      <c r="E163" s="8"/>
      <c r="F163" s="8"/>
      <c r="G163" s="8"/>
      <c r="H163" s="8"/>
      <c r="I163" s="8"/>
      <c r="J163" s="8"/>
      <c r="K163" s="8"/>
      <c r="L163" s="8"/>
      <c r="M163" s="8"/>
      <c r="N163" s="8"/>
      <c r="O163" s="8"/>
      <c r="P163" s="8"/>
      <c r="Q163" s="8"/>
      <c r="R163" s="8"/>
      <c r="S163" s="8"/>
      <c r="T163" s="8"/>
      <c r="U163" s="12"/>
      <c r="V163" s="12"/>
      <c r="W163" s="12"/>
      <c r="X163" s="12"/>
      <c r="Y163" s="12"/>
      <c r="Z163" s="12"/>
      <c r="AA163" s="12"/>
      <c r="AB163" s="12"/>
      <c r="AC163" s="12"/>
      <c r="AD163" s="12"/>
      <c r="AE163" s="12"/>
      <c r="AF163" s="12"/>
    </row>
    <row r="164" spans="1:32">
      <c r="A164" s="8"/>
      <c r="B164" s="8"/>
      <c r="C164" s="8"/>
      <c r="D164" s="8"/>
      <c r="E164" s="8"/>
      <c r="F164" s="8"/>
      <c r="G164" s="8"/>
      <c r="H164" s="8"/>
      <c r="I164" s="8"/>
      <c r="J164" s="8"/>
      <c r="K164" s="8"/>
      <c r="L164" s="8"/>
      <c r="M164" s="8"/>
      <c r="N164" s="8"/>
      <c r="O164" s="8"/>
      <c r="P164" s="8"/>
      <c r="Q164" s="8"/>
      <c r="R164" s="8"/>
      <c r="S164" s="8"/>
      <c r="T164" s="8"/>
      <c r="U164" s="12"/>
      <c r="V164" s="12"/>
      <c r="W164" s="12"/>
      <c r="X164" s="12"/>
      <c r="Y164" s="12"/>
      <c r="Z164" s="12"/>
      <c r="AA164" s="12"/>
      <c r="AB164" s="12"/>
      <c r="AC164" s="12"/>
      <c r="AD164" s="12"/>
      <c r="AE164" s="12"/>
      <c r="AF164" s="12"/>
    </row>
    <row r="165" spans="1:32">
      <c r="A165" s="8"/>
      <c r="B165" s="8"/>
      <c r="C165" s="8"/>
      <c r="D165" s="8"/>
      <c r="E165" s="8"/>
      <c r="F165" s="8"/>
      <c r="G165" s="8"/>
      <c r="H165" s="8"/>
      <c r="I165" s="8"/>
      <c r="J165" s="8"/>
      <c r="K165" s="8"/>
      <c r="L165" s="8"/>
      <c r="M165" s="8"/>
      <c r="N165" s="8"/>
      <c r="O165" s="8"/>
      <c r="P165" s="8"/>
      <c r="Q165" s="8"/>
      <c r="R165" s="8"/>
      <c r="S165" s="8"/>
      <c r="T165" s="8"/>
      <c r="U165" s="12"/>
      <c r="V165" s="12"/>
      <c r="W165" s="12"/>
      <c r="X165" s="12"/>
      <c r="Y165" s="12"/>
      <c r="Z165" s="12"/>
      <c r="AA165" s="12"/>
      <c r="AB165" s="12"/>
      <c r="AC165" s="12"/>
      <c r="AD165" s="12"/>
      <c r="AE165" s="12"/>
      <c r="AF165" s="12"/>
    </row>
    <row r="166" spans="1:32">
      <c r="A166" s="8"/>
      <c r="B166" s="8"/>
      <c r="C166" s="8"/>
      <c r="D166" s="8"/>
      <c r="E166" s="8"/>
      <c r="F166" s="8"/>
      <c r="G166" s="8"/>
      <c r="H166" s="8"/>
      <c r="I166" s="8"/>
      <c r="J166" s="8"/>
      <c r="K166" s="8"/>
      <c r="L166" s="8"/>
      <c r="M166" s="8"/>
      <c r="N166" s="8"/>
      <c r="O166" s="8"/>
      <c r="P166" s="8"/>
      <c r="Q166" s="8"/>
      <c r="R166" s="8"/>
      <c r="S166" s="8"/>
      <c r="T166" s="8"/>
      <c r="U166" s="12"/>
      <c r="V166" s="12"/>
      <c r="W166" s="12"/>
      <c r="X166" s="12"/>
      <c r="Y166" s="12"/>
      <c r="Z166" s="12"/>
      <c r="AA166" s="12"/>
      <c r="AB166" s="12"/>
      <c r="AC166" s="12"/>
      <c r="AD166" s="12"/>
      <c r="AE166" s="12"/>
      <c r="AF166" s="12"/>
    </row>
    <row r="167" spans="1:32">
      <c r="A167" s="8"/>
      <c r="B167" s="8"/>
      <c r="C167" s="8"/>
      <c r="D167" s="8"/>
      <c r="E167" s="8"/>
      <c r="F167" s="8"/>
      <c r="G167" s="8"/>
      <c r="H167" s="8"/>
      <c r="I167" s="8"/>
      <c r="J167" s="8"/>
      <c r="K167" s="8"/>
      <c r="L167" s="8"/>
      <c r="M167" s="8"/>
      <c r="N167" s="8"/>
      <c r="O167" s="8"/>
      <c r="P167" s="8"/>
      <c r="Q167" s="8"/>
      <c r="R167" s="8"/>
      <c r="S167" s="8"/>
      <c r="T167" s="8"/>
      <c r="U167" s="12"/>
      <c r="V167" s="12"/>
      <c r="W167" s="12"/>
      <c r="X167" s="12"/>
      <c r="Y167" s="12"/>
      <c r="Z167" s="12"/>
      <c r="AA167" s="12"/>
      <c r="AB167" s="12"/>
      <c r="AC167" s="12"/>
      <c r="AD167" s="12"/>
      <c r="AE167" s="12"/>
      <c r="AF167" s="12"/>
    </row>
    <row r="168" spans="1:32">
      <c r="A168" s="8"/>
      <c r="B168" s="8"/>
      <c r="C168" s="8"/>
      <c r="D168" s="8"/>
      <c r="E168" s="8"/>
      <c r="F168" s="8"/>
      <c r="G168" s="8"/>
      <c r="H168" s="8"/>
      <c r="I168" s="8"/>
      <c r="J168" s="8"/>
      <c r="K168" s="8"/>
      <c r="L168" s="8"/>
      <c r="M168" s="8"/>
      <c r="N168" s="8"/>
      <c r="O168" s="8"/>
      <c r="P168" s="8"/>
      <c r="Q168" s="8"/>
      <c r="R168" s="8"/>
      <c r="S168" s="8"/>
      <c r="T168" s="8"/>
      <c r="U168" s="12"/>
      <c r="V168" s="12"/>
      <c r="W168" s="12"/>
      <c r="X168" s="12"/>
      <c r="Y168" s="12"/>
      <c r="Z168" s="12"/>
      <c r="AA168" s="12"/>
      <c r="AB168" s="12"/>
      <c r="AC168" s="12"/>
      <c r="AD168" s="12"/>
      <c r="AE168" s="12"/>
      <c r="AF168" s="12"/>
    </row>
    <row r="169" spans="1:32">
      <c r="A169" s="8"/>
      <c r="B169" s="8"/>
      <c r="C169" s="8"/>
      <c r="D169" s="8"/>
      <c r="E169" s="8"/>
      <c r="F169" s="8"/>
      <c r="G169" s="8"/>
      <c r="H169" s="8"/>
      <c r="I169" s="8"/>
      <c r="J169" s="8"/>
      <c r="K169" s="8"/>
      <c r="L169" s="8"/>
      <c r="M169" s="8"/>
      <c r="N169" s="8"/>
      <c r="O169" s="8"/>
      <c r="P169" s="8"/>
      <c r="Q169" s="8"/>
      <c r="R169" s="8"/>
      <c r="S169" s="8"/>
      <c r="T169" s="8"/>
      <c r="U169" s="12"/>
      <c r="V169" s="12"/>
      <c r="W169" s="12"/>
      <c r="X169" s="12"/>
      <c r="Y169" s="12"/>
      <c r="Z169" s="12"/>
      <c r="AA169" s="12"/>
      <c r="AB169" s="12"/>
      <c r="AC169" s="12"/>
      <c r="AD169" s="12"/>
      <c r="AE169" s="12"/>
      <c r="AF169" s="12"/>
    </row>
    <row r="170" spans="1:32">
      <c r="A170" s="8"/>
      <c r="B170" s="8"/>
      <c r="C170" s="8"/>
      <c r="D170" s="8"/>
      <c r="E170" s="8"/>
      <c r="F170" s="8"/>
      <c r="G170" s="8"/>
      <c r="H170" s="8"/>
      <c r="I170" s="8"/>
      <c r="J170" s="8"/>
      <c r="K170" s="8"/>
      <c r="L170" s="8"/>
      <c r="M170" s="8"/>
      <c r="N170" s="8"/>
      <c r="O170" s="8"/>
      <c r="P170" s="8"/>
      <c r="Q170" s="8"/>
      <c r="R170" s="8"/>
      <c r="S170" s="8"/>
      <c r="T170" s="8"/>
      <c r="U170" s="12"/>
      <c r="V170" s="12"/>
      <c r="W170" s="12"/>
      <c r="X170" s="12"/>
      <c r="Y170" s="12"/>
      <c r="Z170" s="12"/>
      <c r="AA170" s="12"/>
      <c r="AB170" s="12"/>
      <c r="AC170" s="12"/>
      <c r="AD170" s="12"/>
      <c r="AE170" s="12"/>
      <c r="AF170" s="12"/>
    </row>
    <row r="171" spans="1:32">
      <c r="A171" s="8"/>
      <c r="B171" s="8"/>
      <c r="C171" s="8"/>
      <c r="D171" s="8"/>
      <c r="E171" s="8"/>
      <c r="F171" s="8"/>
      <c r="G171" s="8"/>
      <c r="H171" s="8"/>
      <c r="I171" s="8"/>
      <c r="J171" s="8"/>
      <c r="K171" s="8"/>
      <c r="L171" s="8"/>
      <c r="M171" s="8"/>
      <c r="N171" s="8"/>
      <c r="O171" s="8"/>
      <c r="P171" s="8"/>
      <c r="Q171" s="8"/>
      <c r="R171" s="8"/>
      <c r="S171" s="8"/>
      <c r="T171" s="8"/>
      <c r="U171" s="12"/>
      <c r="V171" s="12"/>
      <c r="W171" s="12"/>
      <c r="X171" s="12"/>
      <c r="Y171" s="12"/>
      <c r="Z171" s="12"/>
      <c r="AA171" s="12"/>
      <c r="AB171" s="12"/>
      <c r="AC171" s="12"/>
      <c r="AD171" s="12"/>
      <c r="AE171" s="12"/>
      <c r="AF171" s="12"/>
    </row>
    <row r="172" spans="1:32">
      <c r="A172" s="8"/>
      <c r="B172" s="8"/>
      <c r="C172" s="8"/>
      <c r="D172" s="8"/>
      <c r="E172" s="8"/>
      <c r="F172" s="8"/>
      <c r="G172" s="8"/>
      <c r="H172" s="8"/>
      <c r="I172" s="8"/>
      <c r="J172" s="8"/>
      <c r="K172" s="8"/>
      <c r="L172" s="8"/>
      <c r="M172" s="8"/>
      <c r="N172" s="8"/>
      <c r="O172" s="8"/>
      <c r="P172" s="8"/>
      <c r="Q172" s="8"/>
      <c r="R172" s="8"/>
      <c r="S172" s="8"/>
      <c r="T172" s="8"/>
      <c r="U172" s="12"/>
      <c r="V172" s="12"/>
      <c r="W172" s="12"/>
      <c r="X172" s="12"/>
      <c r="Y172" s="12"/>
      <c r="Z172" s="12"/>
      <c r="AA172" s="12"/>
      <c r="AB172" s="12"/>
      <c r="AC172" s="12"/>
      <c r="AD172" s="12"/>
      <c r="AE172" s="12"/>
      <c r="AF172" s="12"/>
    </row>
    <row r="173" spans="1:32">
      <c r="A173" s="8"/>
      <c r="B173" s="8"/>
      <c r="C173" s="8"/>
      <c r="D173" s="8"/>
      <c r="E173" s="8"/>
      <c r="F173" s="8"/>
      <c r="G173" s="8"/>
      <c r="H173" s="8"/>
      <c r="I173" s="8"/>
      <c r="J173" s="8"/>
      <c r="K173" s="8"/>
      <c r="L173" s="8"/>
      <c r="M173" s="8"/>
      <c r="N173" s="8"/>
      <c r="O173" s="8"/>
      <c r="P173" s="8"/>
      <c r="Q173" s="8"/>
      <c r="R173" s="8"/>
      <c r="S173" s="8"/>
      <c r="T173" s="8"/>
      <c r="U173" s="12"/>
      <c r="V173" s="12"/>
      <c r="W173" s="12"/>
      <c r="X173" s="12"/>
      <c r="Y173" s="12"/>
      <c r="Z173" s="12"/>
      <c r="AA173" s="12"/>
      <c r="AB173" s="12"/>
      <c r="AC173" s="12"/>
      <c r="AD173" s="12"/>
      <c r="AE173" s="12"/>
      <c r="AF173" s="12"/>
    </row>
    <row r="174" spans="1:32">
      <c r="A174" s="8"/>
      <c r="B174" s="8"/>
      <c r="C174" s="8"/>
      <c r="D174" s="8"/>
      <c r="E174" s="8"/>
      <c r="F174" s="8"/>
      <c r="G174" s="8"/>
      <c r="H174" s="8"/>
      <c r="I174" s="8"/>
      <c r="J174" s="8"/>
      <c r="K174" s="8"/>
      <c r="L174" s="8"/>
      <c r="M174" s="8"/>
      <c r="N174" s="8"/>
      <c r="O174" s="8"/>
      <c r="P174" s="8"/>
      <c r="Q174" s="8"/>
      <c r="R174" s="8"/>
      <c r="S174" s="8"/>
      <c r="T174" s="8"/>
      <c r="U174" s="12"/>
      <c r="V174" s="12"/>
      <c r="W174" s="12"/>
      <c r="X174" s="12"/>
      <c r="Y174" s="12"/>
      <c r="Z174" s="12"/>
      <c r="AA174" s="12"/>
      <c r="AB174" s="12"/>
      <c r="AC174" s="12"/>
      <c r="AD174" s="12"/>
      <c r="AE174" s="12"/>
      <c r="AF174" s="12"/>
    </row>
    <row r="175" spans="1:32">
      <c r="A175" s="8"/>
      <c r="B175" s="8"/>
      <c r="C175" s="8"/>
      <c r="D175" s="8"/>
      <c r="E175" s="8"/>
      <c r="F175" s="8"/>
      <c r="G175" s="8"/>
      <c r="H175" s="8"/>
      <c r="I175" s="8"/>
      <c r="J175" s="8"/>
      <c r="K175" s="8"/>
      <c r="L175" s="8"/>
      <c r="M175" s="8"/>
      <c r="N175" s="8"/>
      <c r="O175" s="8"/>
      <c r="P175" s="8"/>
      <c r="Q175" s="8"/>
      <c r="R175" s="8"/>
      <c r="S175" s="8"/>
      <c r="T175" s="8"/>
      <c r="U175" s="12"/>
      <c r="V175" s="12"/>
      <c r="W175" s="12"/>
      <c r="X175" s="12"/>
      <c r="Y175" s="12"/>
      <c r="Z175" s="12"/>
      <c r="AA175" s="12"/>
      <c r="AB175" s="12"/>
      <c r="AC175" s="12"/>
      <c r="AD175" s="12"/>
      <c r="AE175" s="12"/>
      <c r="AF175" s="12"/>
    </row>
    <row r="176" spans="1:32">
      <c r="A176" s="8"/>
      <c r="B176" s="8"/>
      <c r="C176" s="8"/>
      <c r="D176" s="8"/>
      <c r="E176" s="8"/>
      <c r="F176" s="8"/>
      <c r="G176" s="8"/>
      <c r="H176" s="8"/>
      <c r="I176" s="8"/>
      <c r="J176" s="8"/>
      <c r="K176" s="8"/>
      <c r="L176" s="8"/>
      <c r="M176" s="8"/>
      <c r="N176" s="8"/>
      <c r="O176" s="8"/>
      <c r="P176" s="8"/>
      <c r="Q176" s="8"/>
      <c r="R176" s="8"/>
      <c r="S176" s="8"/>
      <c r="T176" s="8"/>
      <c r="U176" s="12"/>
      <c r="V176" s="12"/>
      <c r="W176" s="12"/>
      <c r="X176" s="12"/>
      <c r="Y176" s="12"/>
      <c r="Z176" s="12"/>
      <c r="AA176" s="12"/>
      <c r="AB176" s="12"/>
      <c r="AC176" s="12"/>
      <c r="AD176" s="12"/>
      <c r="AE176" s="12"/>
      <c r="AF176" s="12"/>
    </row>
    <row r="177" spans="1:32">
      <c r="A177" s="8"/>
      <c r="B177" s="8"/>
      <c r="C177" s="8"/>
      <c r="D177" s="8"/>
      <c r="E177" s="8"/>
      <c r="F177" s="8"/>
      <c r="G177" s="8"/>
      <c r="H177" s="8"/>
      <c r="I177" s="8"/>
      <c r="J177" s="8"/>
      <c r="K177" s="8"/>
      <c r="L177" s="8"/>
      <c r="M177" s="8"/>
      <c r="N177" s="8"/>
      <c r="O177" s="8"/>
      <c r="P177" s="8"/>
      <c r="Q177" s="8"/>
      <c r="R177" s="8"/>
      <c r="S177" s="8"/>
      <c r="T177" s="8"/>
      <c r="U177" s="12"/>
      <c r="V177" s="12"/>
      <c r="W177" s="12"/>
      <c r="X177" s="12"/>
      <c r="Y177" s="12"/>
      <c r="Z177" s="12"/>
      <c r="AA177" s="12"/>
      <c r="AB177" s="12"/>
      <c r="AC177" s="12"/>
      <c r="AD177" s="12"/>
      <c r="AE177" s="12"/>
      <c r="AF177" s="12"/>
    </row>
    <row r="178" spans="1:32">
      <c r="A178" s="8"/>
      <c r="B178" s="8"/>
      <c r="C178" s="8"/>
      <c r="D178" s="8"/>
      <c r="E178" s="8"/>
      <c r="F178" s="8"/>
      <c r="G178" s="8"/>
      <c r="H178" s="8"/>
      <c r="I178" s="8"/>
      <c r="J178" s="8"/>
      <c r="K178" s="8"/>
      <c r="L178" s="8"/>
      <c r="M178" s="8"/>
      <c r="N178" s="8"/>
      <c r="O178" s="8"/>
      <c r="P178" s="8"/>
      <c r="Q178" s="8"/>
      <c r="R178" s="8"/>
      <c r="S178" s="8"/>
      <c r="T178" s="8"/>
      <c r="U178" s="12"/>
      <c r="V178" s="12"/>
      <c r="W178" s="12"/>
      <c r="X178" s="12"/>
      <c r="Y178" s="12"/>
      <c r="Z178" s="12"/>
      <c r="AA178" s="12"/>
      <c r="AB178" s="12"/>
      <c r="AC178" s="12"/>
      <c r="AD178" s="12"/>
      <c r="AE178" s="12"/>
      <c r="AF178" s="12"/>
    </row>
    <row r="179" spans="1:32">
      <c r="A179" s="8"/>
      <c r="B179" s="8"/>
      <c r="C179" s="8"/>
      <c r="D179" s="8"/>
      <c r="E179" s="8"/>
      <c r="F179" s="8"/>
      <c r="G179" s="8"/>
      <c r="H179" s="8"/>
      <c r="I179" s="8"/>
      <c r="J179" s="8"/>
      <c r="K179" s="8"/>
      <c r="L179" s="8"/>
      <c r="M179" s="8"/>
      <c r="N179" s="8"/>
      <c r="O179" s="8"/>
      <c r="P179" s="8"/>
      <c r="Q179" s="8"/>
      <c r="R179" s="8"/>
      <c r="S179" s="8"/>
      <c r="T179" s="8"/>
      <c r="U179" s="12"/>
      <c r="V179" s="12"/>
      <c r="W179" s="12"/>
      <c r="X179" s="12"/>
      <c r="Y179" s="12"/>
      <c r="Z179" s="12"/>
      <c r="AA179" s="12"/>
      <c r="AB179" s="12"/>
      <c r="AC179" s="12"/>
      <c r="AD179" s="12"/>
      <c r="AE179" s="12"/>
      <c r="AF179" s="12"/>
    </row>
    <row r="180" spans="1:32">
      <c r="A180" s="8"/>
      <c r="B180" s="8"/>
      <c r="C180" s="8"/>
      <c r="D180" s="8"/>
      <c r="E180" s="8"/>
      <c r="F180" s="8"/>
      <c r="G180" s="8"/>
      <c r="H180" s="8"/>
      <c r="I180" s="8"/>
      <c r="J180" s="8"/>
      <c r="K180" s="8"/>
      <c r="L180" s="8"/>
      <c r="M180" s="8"/>
      <c r="N180" s="8"/>
      <c r="O180" s="8"/>
      <c r="P180" s="8"/>
      <c r="Q180" s="8"/>
      <c r="R180" s="8"/>
      <c r="S180" s="8"/>
      <c r="T180" s="8"/>
      <c r="U180" s="12"/>
      <c r="V180" s="12"/>
      <c r="W180" s="12"/>
      <c r="X180" s="12"/>
      <c r="Y180" s="12"/>
      <c r="Z180" s="12"/>
      <c r="AA180" s="12"/>
      <c r="AB180" s="12"/>
      <c r="AC180" s="12"/>
      <c r="AD180" s="12"/>
      <c r="AE180" s="12"/>
      <c r="AF180" s="12"/>
    </row>
    <row r="181" spans="1:32">
      <c r="A181" s="8"/>
      <c r="B181" s="8"/>
      <c r="C181" s="8"/>
      <c r="D181" s="8"/>
      <c r="E181" s="8"/>
      <c r="F181" s="8"/>
      <c r="G181" s="8"/>
      <c r="H181" s="8"/>
      <c r="I181" s="8"/>
      <c r="J181" s="8"/>
      <c r="K181" s="8"/>
      <c r="L181" s="8"/>
      <c r="M181" s="8"/>
      <c r="N181" s="8"/>
      <c r="O181" s="8"/>
      <c r="P181" s="8"/>
      <c r="Q181" s="8"/>
      <c r="R181" s="8"/>
      <c r="S181" s="8"/>
      <c r="T181" s="8"/>
      <c r="U181" s="12"/>
      <c r="V181" s="12"/>
      <c r="W181" s="12"/>
      <c r="X181" s="12"/>
      <c r="Y181" s="12"/>
      <c r="Z181" s="12"/>
      <c r="AA181" s="12"/>
      <c r="AB181" s="12"/>
      <c r="AC181" s="12"/>
      <c r="AD181" s="12"/>
      <c r="AE181" s="12"/>
      <c r="AF181" s="12"/>
    </row>
    <row r="182" spans="1:32">
      <c r="A182" s="8"/>
      <c r="B182" s="8"/>
      <c r="C182" s="8"/>
      <c r="D182" s="8"/>
      <c r="E182" s="8"/>
      <c r="F182" s="8"/>
      <c r="G182" s="8"/>
      <c r="H182" s="8"/>
      <c r="I182" s="8"/>
      <c r="J182" s="8"/>
      <c r="K182" s="8"/>
      <c r="L182" s="8"/>
      <c r="M182" s="8"/>
      <c r="N182" s="8"/>
      <c r="O182" s="8"/>
      <c r="P182" s="8"/>
      <c r="Q182" s="8"/>
      <c r="R182" s="8"/>
      <c r="S182" s="8"/>
      <c r="T182" s="8"/>
      <c r="U182" s="12"/>
      <c r="V182" s="12"/>
      <c r="W182" s="12"/>
      <c r="X182" s="12"/>
      <c r="Y182" s="12"/>
      <c r="Z182" s="12"/>
      <c r="AA182" s="12"/>
      <c r="AB182" s="12"/>
      <c r="AC182" s="12"/>
      <c r="AD182" s="12"/>
      <c r="AE182" s="12"/>
      <c r="AF182" s="12"/>
    </row>
    <row r="183" spans="1:32">
      <c r="A183" s="8"/>
      <c r="B183" s="8"/>
      <c r="C183" s="8"/>
      <c r="D183" s="8"/>
      <c r="E183" s="8"/>
      <c r="F183" s="8"/>
      <c r="G183" s="8"/>
      <c r="H183" s="8"/>
      <c r="I183" s="8"/>
      <c r="J183" s="8"/>
      <c r="K183" s="8"/>
      <c r="L183" s="8"/>
      <c r="M183" s="8"/>
      <c r="N183" s="8"/>
      <c r="O183" s="8"/>
      <c r="P183" s="8"/>
      <c r="Q183" s="8"/>
      <c r="R183" s="8"/>
      <c r="S183" s="8"/>
      <c r="T183" s="8"/>
      <c r="U183" s="12"/>
      <c r="V183" s="12"/>
      <c r="W183" s="12"/>
      <c r="X183" s="12"/>
      <c r="Y183" s="12"/>
      <c r="Z183" s="12"/>
      <c r="AA183" s="12"/>
      <c r="AB183" s="12"/>
      <c r="AC183" s="12"/>
      <c r="AD183" s="12"/>
      <c r="AE183" s="12"/>
      <c r="AF183" s="12"/>
    </row>
    <row r="184" spans="1:32">
      <c r="A184" s="8"/>
      <c r="B184" s="8"/>
      <c r="C184" s="8"/>
      <c r="D184" s="8"/>
      <c r="E184" s="8"/>
      <c r="F184" s="8"/>
      <c r="G184" s="8"/>
      <c r="H184" s="8"/>
      <c r="I184" s="8"/>
      <c r="J184" s="8"/>
      <c r="K184" s="8"/>
      <c r="L184" s="8"/>
      <c r="M184" s="8"/>
      <c r="N184" s="8"/>
      <c r="O184" s="8"/>
      <c r="P184" s="8"/>
      <c r="Q184" s="8"/>
      <c r="R184" s="8"/>
      <c r="S184" s="8"/>
      <c r="T184" s="8"/>
      <c r="U184" s="12"/>
      <c r="V184" s="12"/>
      <c r="W184" s="12"/>
      <c r="X184" s="12"/>
      <c r="Y184" s="12"/>
      <c r="Z184" s="12"/>
      <c r="AA184" s="12"/>
      <c r="AB184" s="12"/>
      <c r="AC184" s="12"/>
      <c r="AD184" s="12"/>
      <c r="AE184" s="12"/>
      <c r="AF184" s="12"/>
    </row>
    <row r="185" spans="1:32">
      <c r="A185" s="8"/>
      <c r="B185" s="8"/>
      <c r="C185" s="8"/>
      <c r="D185" s="8"/>
      <c r="E185" s="8"/>
      <c r="F185" s="8"/>
      <c r="G185" s="8"/>
      <c r="H185" s="8"/>
      <c r="I185" s="8"/>
      <c r="J185" s="8"/>
      <c r="K185" s="8"/>
      <c r="L185" s="8"/>
      <c r="M185" s="8"/>
      <c r="N185" s="8"/>
      <c r="O185" s="8"/>
      <c r="P185" s="8"/>
      <c r="Q185" s="8"/>
      <c r="R185" s="8"/>
      <c r="S185" s="8"/>
      <c r="T185" s="8"/>
      <c r="U185" s="12"/>
      <c r="V185" s="12"/>
      <c r="W185" s="12"/>
      <c r="X185" s="12"/>
      <c r="Y185" s="12"/>
      <c r="Z185" s="12"/>
      <c r="AA185" s="12"/>
      <c r="AB185" s="12"/>
      <c r="AC185" s="12"/>
      <c r="AD185" s="12"/>
      <c r="AE185" s="12"/>
      <c r="AF185" s="12"/>
    </row>
    <row r="186" spans="1:32">
      <c r="A186" s="8"/>
      <c r="B186" s="8"/>
      <c r="C186" s="8"/>
      <c r="D186" s="8"/>
      <c r="E186" s="8"/>
      <c r="F186" s="8"/>
      <c r="G186" s="8"/>
      <c r="H186" s="8"/>
      <c r="I186" s="8"/>
      <c r="J186" s="8"/>
      <c r="K186" s="8"/>
      <c r="L186" s="8"/>
      <c r="M186" s="8"/>
      <c r="N186" s="8"/>
      <c r="O186" s="8"/>
      <c r="P186" s="8"/>
      <c r="Q186" s="8"/>
      <c r="R186" s="8"/>
      <c r="S186" s="8"/>
      <c r="T186" s="8"/>
      <c r="U186" s="12"/>
      <c r="V186" s="12"/>
      <c r="W186" s="12"/>
      <c r="X186" s="12"/>
      <c r="Y186" s="12"/>
      <c r="Z186" s="12"/>
      <c r="AA186" s="12"/>
      <c r="AB186" s="12"/>
      <c r="AC186" s="12"/>
      <c r="AD186" s="12"/>
      <c r="AE186" s="12"/>
      <c r="AF186" s="12"/>
    </row>
    <row r="187" spans="1:32">
      <c r="A187" s="8"/>
      <c r="B187" s="8"/>
      <c r="C187" s="8"/>
      <c r="D187" s="8"/>
      <c r="E187" s="8"/>
      <c r="F187" s="8"/>
      <c r="G187" s="8"/>
      <c r="H187" s="8"/>
      <c r="I187" s="8"/>
      <c r="J187" s="8"/>
      <c r="K187" s="8"/>
      <c r="L187" s="8"/>
      <c r="M187" s="8"/>
      <c r="N187" s="8"/>
      <c r="O187" s="8"/>
      <c r="P187" s="8"/>
      <c r="Q187" s="8"/>
      <c r="R187" s="8"/>
      <c r="S187" s="8"/>
      <c r="T187" s="8"/>
      <c r="U187" s="12"/>
      <c r="V187" s="12"/>
      <c r="W187" s="12"/>
      <c r="X187" s="12"/>
      <c r="Y187" s="12"/>
      <c r="Z187" s="12"/>
      <c r="AA187" s="12"/>
      <c r="AB187" s="12"/>
      <c r="AC187" s="12"/>
      <c r="AD187" s="12"/>
      <c r="AE187" s="12"/>
      <c r="AF187" s="12"/>
    </row>
    <row r="188" spans="1:32">
      <c r="A188" s="8"/>
      <c r="B188" s="8"/>
      <c r="C188" s="8"/>
      <c r="D188" s="8"/>
      <c r="E188" s="8"/>
      <c r="F188" s="8"/>
      <c r="G188" s="8"/>
      <c r="H188" s="8"/>
      <c r="I188" s="8"/>
      <c r="J188" s="8"/>
      <c r="K188" s="8"/>
      <c r="L188" s="8"/>
      <c r="M188" s="8"/>
      <c r="N188" s="8"/>
      <c r="O188" s="8"/>
      <c r="P188" s="8"/>
      <c r="Q188" s="8"/>
      <c r="R188" s="8"/>
      <c r="S188" s="8"/>
      <c r="T188" s="8"/>
      <c r="U188" s="12"/>
      <c r="V188" s="12"/>
      <c r="W188" s="12"/>
      <c r="X188" s="12"/>
      <c r="Y188" s="12"/>
      <c r="Z188" s="12"/>
      <c r="AA188" s="12"/>
      <c r="AB188" s="12"/>
      <c r="AC188" s="12"/>
      <c r="AD188" s="12"/>
      <c r="AE188" s="12"/>
      <c r="AF188" s="12"/>
    </row>
    <row r="189" spans="1:32">
      <c r="A189" s="8"/>
      <c r="B189" s="8"/>
      <c r="C189" s="8"/>
      <c r="D189" s="8"/>
      <c r="E189" s="8"/>
      <c r="F189" s="8"/>
      <c r="G189" s="8"/>
      <c r="H189" s="8"/>
      <c r="I189" s="8"/>
      <c r="J189" s="8"/>
      <c r="K189" s="8"/>
      <c r="L189" s="8"/>
      <c r="M189" s="8"/>
      <c r="N189" s="8"/>
      <c r="O189" s="8"/>
      <c r="P189" s="8"/>
      <c r="Q189" s="8"/>
      <c r="R189" s="8"/>
      <c r="S189" s="8"/>
      <c r="T189" s="8"/>
      <c r="U189" s="12"/>
      <c r="V189" s="12"/>
      <c r="W189" s="12"/>
      <c r="X189" s="12"/>
      <c r="Y189" s="12"/>
      <c r="Z189" s="12"/>
      <c r="AA189" s="12"/>
      <c r="AB189" s="12"/>
      <c r="AC189" s="12"/>
      <c r="AD189" s="12"/>
      <c r="AE189" s="12"/>
      <c r="AF189" s="12"/>
    </row>
    <row r="190" spans="1:32">
      <c r="A190" s="8"/>
      <c r="B190" s="8"/>
      <c r="C190" s="8"/>
      <c r="D190" s="8"/>
      <c r="E190" s="8"/>
      <c r="F190" s="8"/>
      <c r="G190" s="8"/>
      <c r="H190" s="8"/>
      <c r="I190" s="8"/>
      <c r="J190" s="8"/>
      <c r="K190" s="8"/>
      <c r="L190" s="8"/>
      <c r="M190" s="8"/>
      <c r="N190" s="8"/>
      <c r="O190" s="8"/>
      <c r="P190" s="8"/>
      <c r="Q190" s="8"/>
      <c r="R190" s="8"/>
      <c r="S190" s="8"/>
      <c r="T190" s="8"/>
      <c r="U190" s="12"/>
      <c r="V190" s="12"/>
      <c r="W190" s="12"/>
      <c r="X190" s="12"/>
      <c r="Y190" s="12"/>
      <c r="Z190" s="12"/>
      <c r="AA190" s="12"/>
      <c r="AB190" s="12"/>
      <c r="AC190" s="12"/>
      <c r="AD190" s="12"/>
      <c r="AE190" s="12"/>
      <c r="AF190" s="12"/>
    </row>
    <row r="191" spans="1:32">
      <c r="A191" s="8"/>
      <c r="B191" s="8"/>
      <c r="C191" s="8"/>
      <c r="D191" s="8"/>
      <c r="E191" s="8"/>
      <c r="F191" s="8"/>
      <c r="G191" s="8"/>
      <c r="H191" s="8"/>
      <c r="I191" s="8"/>
      <c r="J191" s="8"/>
      <c r="K191" s="8"/>
      <c r="L191" s="8"/>
      <c r="M191" s="8"/>
      <c r="N191" s="8"/>
      <c r="O191" s="8"/>
      <c r="P191" s="8"/>
      <c r="Q191" s="8"/>
      <c r="R191" s="8"/>
      <c r="S191" s="8"/>
      <c r="T191" s="8"/>
      <c r="U191" s="12"/>
      <c r="V191" s="12"/>
      <c r="W191" s="12"/>
      <c r="X191" s="12"/>
      <c r="Y191" s="12"/>
      <c r="Z191" s="12"/>
      <c r="AA191" s="12"/>
      <c r="AB191" s="12"/>
      <c r="AC191" s="12"/>
      <c r="AD191" s="12"/>
      <c r="AE191" s="12"/>
      <c r="AF191" s="12"/>
    </row>
    <row r="192" spans="1:32">
      <c r="A192" s="8"/>
      <c r="B192" s="8"/>
      <c r="C192" s="8"/>
      <c r="D192" s="8"/>
      <c r="E192" s="8"/>
      <c r="F192" s="8"/>
      <c r="G192" s="8"/>
      <c r="H192" s="8"/>
      <c r="I192" s="8"/>
      <c r="J192" s="8"/>
      <c r="K192" s="8"/>
      <c r="L192" s="8"/>
      <c r="M192" s="8"/>
      <c r="N192" s="8"/>
      <c r="O192" s="8"/>
      <c r="P192" s="8"/>
      <c r="Q192" s="8"/>
      <c r="R192" s="8"/>
      <c r="S192" s="8"/>
      <c r="T192" s="8"/>
      <c r="U192" s="12"/>
      <c r="V192" s="12"/>
      <c r="W192" s="12"/>
      <c r="X192" s="12"/>
      <c r="Y192" s="12"/>
      <c r="Z192" s="12"/>
      <c r="AA192" s="12"/>
      <c r="AB192" s="12"/>
      <c r="AC192" s="12"/>
      <c r="AD192" s="12"/>
      <c r="AE192" s="12"/>
      <c r="AF192" s="12"/>
    </row>
    <row r="193" spans="1:32">
      <c r="A193" s="8"/>
      <c r="B193" s="8"/>
      <c r="C193" s="8"/>
      <c r="D193" s="8"/>
      <c r="E193" s="8"/>
      <c r="F193" s="8"/>
      <c r="G193" s="8"/>
      <c r="H193" s="8"/>
      <c r="I193" s="8"/>
      <c r="J193" s="8"/>
      <c r="K193" s="8"/>
      <c r="L193" s="8"/>
      <c r="M193" s="8"/>
      <c r="N193" s="8"/>
      <c r="O193" s="8"/>
      <c r="P193" s="8"/>
      <c r="Q193" s="8"/>
      <c r="R193" s="8"/>
      <c r="S193" s="8"/>
      <c r="T193" s="8"/>
      <c r="U193" s="12"/>
      <c r="V193" s="12"/>
      <c r="W193" s="12"/>
      <c r="X193" s="12"/>
      <c r="Y193" s="12"/>
      <c r="Z193" s="12"/>
      <c r="AA193" s="12"/>
      <c r="AB193" s="12"/>
      <c r="AC193" s="12"/>
      <c r="AD193" s="12"/>
      <c r="AE193" s="12"/>
      <c r="AF193" s="12"/>
    </row>
    <row r="194" spans="1:32">
      <c r="A194" s="8"/>
      <c r="B194" s="8"/>
      <c r="C194" s="8"/>
      <c r="D194" s="8"/>
      <c r="E194" s="8"/>
      <c r="F194" s="8"/>
      <c r="G194" s="8"/>
      <c r="H194" s="8"/>
      <c r="I194" s="8"/>
      <c r="J194" s="8"/>
      <c r="K194" s="8"/>
      <c r="L194" s="8"/>
      <c r="M194" s="8"/>
      <c r="N194" s="8"/>
      <c r="O194" s="8"/>
      <c r="P194" s="8"/>
      <c r="Q194" s="8"/>
      <c r="R194" s="8"/>
      <c r="S194" s="8"/>
      <c r="T194" s="8"/>
      <c r="U194" s="12"/>
      <c r="V194" s="12"/>
      <c r="W194" s="12"/>
      <c r="X194" s="12"/>
      <c r="Y194" s="12"/>
      <c r="Z194" s="12"/>
      <c r="AA194" s="12"/>
      <c r="AB194" s="12"/>
      <c r="AC194" s="12"/>
      <c r="AD194" s="12"/>
      <c r="AE194" s="12"/>
      <c r="AF194" s="12"/>
    </row>
    <row r="195" spans="1:32">
      <c r="A195" s="8"/>
      <c r="B195" s="8"/>
      <c r="C195" s="8"/>
      <c r="D195" s="8"/>
      <c r="E195" s="8"/>
      <c r="F195" s="8"/>
      <c r="G195" s="8"/>
      <c r="H195" s="8"/>
      <c r="I195" s="8"/>
      <c r="J195" s="8"/>
      <c r="K195" s="8"/>
      <c r="L195" s="8"/>
      <c r="M195" s="8"/>
      <c r="N195" s="8"/>
      <c r="O195" s="8"/>
      <c r="P195" s="8"/>
      <c r="Q195" s="8"/>
      <c r="R195" s="8"/>
      <c r="S195" s="8"/>
      <c r="T195" s="8"/>
      <c r="U195" s="12"/>
      <c r="V195" s="12"/>
      <c r="W195" s="12"/>
      <c r="X195" s="12"/>
      <c r="Y195" s="12"/>
      <c r="Z195" s="12"/>
      <c r="AA195" s="12"/>
      <c r="AB195" s="12"/>
      <c r="AC195" s="12"/>
      <c r="AD195" s="12"/>
      <c r="AE195" s="12"/>
      <c r="AF195" s="12"/>
    </row>
    <row r="196" spans="1:32">
      <c r="A196" s="8"/>
      <c r="B196" s="8"/>
      <c r="C196" s="8"/>
      <c r="D196" s="8"/>
      <c r="E196" s="8"/>
      <c r="F196" s="8"/>
      <c r="G196" s="8"/>
      <c r="H196" s="8"/>
      <c r="I196" s="8"/>
      <c r="J196" s="8"/>
      <c r="K196" s="8"/>
      <c r="L196" s="8"/>
      <c r="M196" s="8"/>
      <c r="N196" s="8"/>
      <c r="O196" s="8"/>
      <c r="P196" s="8"/>
      <c r="Q196" s="8"/>
      <c r="R196" s="8"/>
      <c r="S196" s="8"/>
      <c r="T196" s="8"/>
      <c r="U196" s="12"/>
      <c r="V196" s="12"/>
      <c r="W196" s="12"/>
      <c r="X196" s="12"/>
      <c r="Y196" s="12"/>
      <c r="Z196" s="12"/>
      <c r="AA196" s="12"/>
      <c r="AB196" s="12"/>
      <c r="AC196" s="12"/>
      <c r="AD196" s="12"/>
      <c r="AE196" s="12"/>
      <c r="AF196" s="12"/>
    </row>
    <row r="197" spans="1:32">
      <c r="A197" s="8"/>
      <c r="B197" s="8"/>
      <c r="C197" s="8"/>
      <c r="D197" s="8"/>
      <c r="E197" s="8"/>
      <c r="F197" s="8"/>
      <c r="G197" s="8"/>
      <c r="H197" s="8"/>
      <c r="I197" s="8"/>
      <c r="J197" s="8"/>
      <c r="K197" s="8"/>
      <c r="L197" s="8"/>
      <c r="M197" s="8"/>
      <c r="N197" s="8"/>
      <c r="O197" s="8"/>
      <c r="P197" s="8"/>
      <c r="Q197" s="8"/>
      <c r="R197" s="8"/>
      <c r="S197" s="8"/>
      <c r="T197" s="8"/>
      <c r="U197" s="12"/>
      <c r="V197" s="12"/>
      <c r="W197" s="12"/>
      <c r="X197" s="12"/>
      <c r="Y197" s="12"/>
      <c r="Z197" s="12"/>
      <c r="AA197" s="12"/>
      <c r="AB197" s="12"/>
      <c r="AC197" s="12"/>
      <c r="AD197" s="12"/>
      <c r="AE197" s="12"/>
      <c r="AF197" s="12"/>
    </row>
    <row r="198" spans="1:32">
      <c r="A198" s="8"/>
      <c r="B198" s="8"/>
      <c r="C198" s="8"/>
      <c r="D198" s="8"/>
      <c r="E198" s="8"/>
      <c r="F198" s="8"/>
      <c r="G198" s="8"/>
      <c r="H198" s="8"/>
      <c r="I198" s="8"/>
      <c r="J198" s="8"/>
      <c r="K198" s="8"/>
      <c r="L198" s="8"/>
      <c r="M198" s="8"/>
      <c r="N198" s="8"/>
      <c r="O198" s="8"/>
      <c r="P198" s="8"/>
      <c r="Q198" s="8"/>
      <c r="R198" s="8"/>
      <c r="S198" s="8"/>
      <c r="T198" s="8"/>
      <c r="U198" s="12"/>
      <c r="V198" s="12"/>
      <c r="W198" s="12"/>
      <c r="X198" s="12"/>
      <c r="Y198" s="12"/>
      <c r="Z198" s="12"/>
      <c r="AA198" s="12"/>
      <c r="AB198" s="12"/>
      <c r="AC198" s="12"/>
      <c r="AD198" s="12"/>
      <c r="AE198" s="12"/>
      <c r="AF198" s="12"/>
    </row>
    <row r="199" spans="1:32">
      <c r="A199" s="8"/>
      <c r="B199" s="8"/>
      <c r="C199" s="8"/>
      <c r="D199" s="8"/>
      <c r="E199" s="8"/>
      <c r="F199" s="8"/>
      <c r="G199" s="8"/>
      <c r="H199" s="8"/>
      <c r="I199" s="8"/>
      <c r="J199" s="8"/>
      <c r="K199" s="8"/>
      <c r="L199" s="8"/>
      <c r="M199" s="8"/>
      <c r="N199" s="8"/>
      <c r="O199" s="8"/>
      <c r="P199" s="8"/>
      <c r="Q199" s="8"/>
      <c r="R199" s="8"/>
      <c r="S199" s="8"/>
      <c r="T199" s="8"/>
      <c r="U199" s="12"/>
      <c r="V199" s="12"/>
      <c r="W199" s="12"/>
      <c r="X199" s="12"/>
      <c r="Y199" s="12"/>
      <c r="Z199" s="12"/>
      <c r="AA199" s="12"/>
      <c r="AB199" s="12"/>
      <c r="AC199" s="12"/>
      <c r="AD199" s="12"/>
      <c r="AE199" s="12"/>
      <c r="AF199" s="12"/>
    </row>
    <row r="200" spans="1:32">
      <c r="A200" s="8"/>
      <c r="B200" s="8"/>
      <c r="C200" s="8"/>
      <c r="D200" s="8"/>
      <c r="E200" s="8"/>
      <c r="F200" s="8"/>
      <c r="G200" s="8"/>
      <c r="H200" s="8"/>
      <c r="I200" s="8"/>
      <c r="J200" s="8"/>
      <c r="K200" s="8"/>
      <c r="L200" s="8"/>
      <c r="M200" s="8"/>
      <c r="N200" s="8"/>
      <c r="O200" s="8"/>
      <c r="P200" s="8"/>
      <c r="Q200" s="8"/>
      <c r="R200" s="8"/>
      <c r="S200" s="8"/>
      <c r="T200" s="8"/>
      <c r="U200" s="12"/>
      <c r="V200" s="12"/>
      <c r="W200" s="12"/>
      <c r="X200" s="12"/>
      <c r="Y200" s="12"/>
      <c r="Z200" s="12"/>
      <c r="AA200" s="12"/>
      <c r="AB200" s="12"/>
      <c r="AC200" s="12"/>
      <c r="AD200" s="12"/>
      <c r="AE200" s="12"/>
      <c r="AF200" s="12"/>
    </row>
    <row r="201" spans="1:32">
      <c r="A201" s="8"/>
      <c r="B201" s="8"/>
      <c r="C201" s="8"/>
      <c r="D201" s="8"/>
      <c r="E201" s="8"/>
      <c r="F201" s="8"/>
      <c r="G201" s="8"/>
      <c r="H201" s="8"/>
      <c r="I201" s="8"/>
      <c r="J201" s="8"/>
      <c r="K201" s="8"/>
      <c r="L201" s="8"/>
      <c r="M201" s="8"/>
      <c r="N201" s="8"/>
      <c r="O201" s="8"/>
      <c r="P201" s="8"/>
      <c r="Q201" s="8"/>
      <c r="R201" s="8"/>
      <c r="S201" s="8"/>
      <c r="T201" s="8"/>
      <c r="U201" s="12"/>
      <c r="V201" s="12"/>
      <c r="W201" s="12"/>
      <c r="X201" s="12"/>
      <c r="Y201" s="12"/>
      <c r="Z201" s="12"/>
      <c r="AA201" s="12"/>
      <c r="AB201" s="12"/>
      <c r="AC201" s="12"/>
      <c r="AD201" s="12"/>
      <c r="AE201" s="12"/>
      <c r="AF201" s="12"/>
    </row>
    <row r="202" spans="1:32">
      <c r="A202" s="8"/>
      <c r="B202" s="8"/>
      <c r="C202" s="8"/>
      <c r="D202" s="8"/>
      <c r="E202" s="8"/>
      <c r="F202" s="8"/>
      <c r="G202" s="8"/>
      <c r="H202" s="8"/>
      <c r="I202" s="8"/>
      <c r="J202" s="8"/>
      <c r="K202" s="8"/>
      <c r="L202" s="8"/>
      <c r="M202" s="8"/>
      <c r="N202" s="8"/>
      <c r="O202" s="8"/>
      <c r="P202" s="8"/>
      <c r="Q202" s="8"/>
      <c r="R202" s="8"/>
      <c r="S202" s="8"/>
      <c r="T202" s="8"/>
      <c r="U202" s="12"/>
      <c r="V202" s="12"/>
      <c r="W202" s="12"/>
      <c r="X202" s="12"/>
      <c r="Y202" s="12"/>
      <c r="Z202" s="12"/>
      <c r="AA202" s="12"/>
      <c r="AB202" s="12"/>
      <c r="AC202" s="12"/>
      <c r="AD202" s="12"/>
      <c r="AE202" s="12"/>
      <c r="AF202" s="12"/>
    </row>
    <row r="203" spans="1:32">
      <c r="A203" s="8"/>
      <c r="B203" s="8"/>
      <c r="C203" s="8"/>
      <c r="D203" s="8"/>
      <c r="E203" s="8"/>
      <c r="F203" s="8"/>
      <c r="G203" s="8"/>
      <c r="H203" s="8"/>
      <c r="I203" s="8"/>
      <c r="J203" s="8"/>
      <c r="K203" s="8"/>
      <c r="L203" s="8"/>
      <c r="M203" s="8"/>
      <c r="N203" s="8"/>
      <c r="O203" s="8"/>
      <c r="P203" s="8"/>
      <c r="Q203" s="8"/>
      <c r="R203" s="8"/>
      <c r="S203" s="8"/>
      <c r="T203" s="8"/>
      <c r="U203" s="12"/>
      <c r="V203" s="12"/>
      <c r="W203" s="12"/>
      <c r="X203" s="12"/>
      <c r="Y203" s="12"/>
      <c r="Z203" s="12"/>
      <c r="AA203" s="12"/>
      <c r="AB203" s="12"/>
      <c r="AC203" s="12"/>
      <c r="AD203" s="12"/>
      <c r="AE203" s="12"/>
      <c r="AF203" s="12"/>
    </row>
    <row r="204" spans="1:32">
      <c r="A204" s="8"/>
      <c r="B204" s="8"/>
      <c r="C204" s="8"/>
      <c r="D204" s="8"/>
      <c r="E204" s="8"/>
      <c r="F204" s="8"/>
      <c r="G204" s="8"/>
      <c r="H204" s="8"/>
      <c r="I204" s="8"/>
      <c r="J204" s="8"/>
      <c r="K204" s="8"/>
      <c r="L204" s="8"/>
      <c r="M204" s="8"/>
      <c r="N204" s="8"/>
      <c r="O204" s="8"/>
      <c r="P204" s="8"/>
      <c r="Q204" s="8"/>
      <c r="R204" s="8"/>
      <c r="S204" s="8"/>
      <c r="T204" s="8"/>
      <c r="U204" s="12"/>
      <c r="V204" s="12"/>
      <c r="W204" s="12"/>
      <c r="X204" s="12"/>
      <c r="Y204" s="12"/>
      <c r="Z204" s="12"/>
      <c r="AA204" s="12"/>
      <c r="AB204" s="12"/>
      <c r="AC204" s="12"/>
      <c r="AD204" s="12"/>
      <c r="AE204" s="12"/>
      <c r="AF204" s="12"/>
    </row>
    <row r="205" spans="1:32">
      <c r="A205" s="8"/>
      <c r="B205" s="8"/>
      <c r="C205" s="8"/>
      <c r="D205" s="8"/>
      <c r="E205" s="8"/>
      <c r="F205" s="8"/>
      <c r="G205" s="8"/>
      <c r="H205" s="8"/>
      <c r="I205" s="8"/>
      <c r="J205" s="8"/>
      <c r="K205" s="8"/>
      <c r="L205" s="8"/>
      <c r="M205" s="8"/>
      <c r="N205" s="8"/>
      <c r="O205" s="8"/>
      <c r="P205" s="8"/>
      <c r="Q205" s="8"/>
      <c r="R205" s="8"/>
      <c r="S205" s="8"/>
      <c r="T205" s="8"/>
      <c r="U205" s="12"/>
      <c r="V205" s="12"/>
      <c r="W205" s="12"/>
      <c r="X205" s="12"/>
      <c r="Y205" s="12"/>
      <c r="Z205" s="12"/>
      <c r="AA205" s="12"/>
      <c r="AB205" s="12"/>
      <c r="AC205" s="12"/>
      <c r="AD205" s="12"/>
      <c r="AE205" s="12"/>
      <c r="AF205" s="12"/>
    </row>
    <row r="206" spans="1:32">
      <c r="A206" s="8"/>
      <c r="B206" s="8"/>
      <c r="C206" s="8"/>
      <c r="D206" s="8"/>
      <c r="E206" s="8"/>
      <c r="F206" s="8"/>
      <c r="G206" s="8"/>
      <c r="H206" s="8"/>
      <c r="I206" s="8"/>
      <c r="J206" s="8"/>
      <c r="K206" s="8"/>
      <c r="L206" s="8"/>
      <c r="M206" s="8"/>
      <c r="N206" s="8"/>
      <c r="O206" s="8"/>
      <c r="P206" s="8"/>
      <c r="Q206" s="8"/>
      <c r="R206" s="8"/>
      <c r="S206" s="8"/>
      <c r="T206" s="8"/>
      <c r="U206" s="12"/>
      <c r="V206" s="12"/>
      <c r="W206" s="12"/>
      <c r="X206" s="12"/>
      <c r="Y206" s="12"/>
      <c r="Z206" s="12"/>
      <c r="AA206" s="12"/>
      <c r="AB206" s="12"/>
      <c r="AC206" s="12"/>
      <c r="AD206" s="12"/>
      <c r="AE206" s="12"/>
      <c r="AF206" s="12"/>
    </row>
    <row r="207" spans="1:32">
      <c r="A207" s="8"/>
      <c r="B207" s="8"/>
      <c r="C207" s="8"/>
      <c r="D207" s="8"/>
      <c r="E207" s="8"/>
      <c r="F207" s="8"/>
      <c r="G207" s="8"/>
      <c r="H207" s="8"/>
      <c r="I207" s="8"/>
      <c r="J207" s="8"/>
      <c r="K207" s="8"/>
      <c r="L207" s="8"/>
      <c r="M207" s="8"/>
      <c r="N207" s="8"/>
      <c r="O207" s="8"/>
      <c r="P207" s="8"/>
      <c r="Q207" s="8"/>
      <c r="R207" s="8"/>
      <c r="S207" s="8"/>
      <c r="T207" s="8"/>
      <c r="U207" s="12"/>
      <c r="V207" s="12"/>
      <c r="W207" s="12"/>
      <c r="X207" s="12"/>
      <c r="Y207" s="12"/>
      <c r="Z207" s="12"/>
      <c r="AA207" s="12"/>
      <c r="AB207" s="12"/>
      <c r="AC207" s="12"/>
      <c r="AD207" s="12"/>
      <c r="AE207" s="12"/>
      <c r="AF207" s="12"/>
    </row>
    <row r="208" spans="1:32">
      <c r="A208" s="8"/>
      <c r="B208" s="8"/>
      <c r="C208" s="8"/>
      <c r="D208" s="8"/>
      <c r="E208" s="8"/>
      <c r="F208" s="8"/>
      <c r="G208" s="8"/>
      <c r="H208" s="8"/>
      <c r="I208" s="8"/>
      <c r="J208" s="8"/>
      <c r="K208" s="8"/>
      <c r="L208" s="8"/>
      <c r="M208" s="8"/>
      <c r="N208" s="8"/>
      <c r="O208" s="8"/>
      <c r="P208" s="8"/>
      <c r="Q208" s="8"/>
      <c r="R208" s="8"/>
      <c r="S208" s="8"/>
      <c r="T208" s="8"/>
      <c r="U208" s="12"/>
      <c r="V208" s="12"/>
      <c r="W208" s="12"/>
      <c r="X208" s="12"/>
      <c r="Y208" s="12"/>
      <c r="Z208" s="12"/>
      <c r="AA208" s="12"/>
      <c r="AB208" s="12"/>
      <c r="AC208" s="12"/>
      <c r="AD208" s="12"/>
      <c r="AE208" s="12"/>
      <c r="AF208" s="12"/>
    </row>
    <row r="209" spans="1:32">
      <c r="A209" s="8"/>
      <c r="B209" s="8"/>
      <c r="C209" s="8"/>
      <c r="D209" s="8"/>
      <c r="E209" s="8"/>
      <c r="F209" s="8"/>
      <c r="G209" s="8"/>
      <c r="H209" s="8"/>
      <c r="I209" s="8"/>
      <c r="J209" s="8"/>
      <c r="K209" s="8"/>
      <c r="L209" s="8"/>
      <c r="M209" s="8"/>
      <c r="N209" s="8"/>
      <c r="O209" s="8"/>
      <c r="P209" s="8"/>
      <c r="Q209" s="8"/>
      <c r="R209" s="8"/>
      <c r="S209" s="8"/>
      <c r="T209" s="8"/>
      <c r="U209" s="12"/>
      <c r="V209" s="12"/>
      <c r="W209" s="12"/>
      <c r="X209" s="12"/>
      <c r="Y209" s="12"/>
      <c r="Z209" s="12"/>
      <c r="AA209" s="12"/>
      <c r="AB209" s="12"/>
      <c r="AC209" s="12"/>
      <c r="AD209" s="12"/>
      <c r="AE209" s="12"/>
      <c r="AF209" s="12"/>
    </row>
    <row r="210" spans="1:32">
      <c r="A210" s="8"/>
      <c r="B210" s="8"/>
      <c r="C210" s="8"/>
      <c r="D210" s="8"/>
      <c r="E210" s="8"/>
      <c r="F210" s="8"/>
      <c r="G210" s="8"/>
      <c r="H210" s="8"/>
      <c r="I210" s="8"/>
      <c r="J210" s="8"/>
      <c r="K210" s="8"/>
      <c r="L210" s="8"/>
      <c r="M210" s="8"/>
      <c r="N210" s="8"/>
      <c r="O210" s="8"/>
      <c r="P210" s="8"/>
      <c r="Q210" s="8"/>
      <c r="R210" s="8"/>
      <c r="S210" s="8"/>
      <c r="T210" s="8"/>
      <c r="U210" s="12"/>
      <c r="V210" s="12"/>
      <c r="W210" s="12"/>
      <c r="X210" s="12"/>
      <c r="Y210" s="12"/>
      <c r="Z210" s="12"/>
      <c r="AA210" s="12"/>
      <c r="AB210" s="12"/>
      <c r="AC210" s="12"/>
      <c r="AD210" s="12"/>
      <c r="AE210" s="12"/>
      <c r="AF210" s="12"/>
    </row>
    <row r="211" spans="1:32">
      <c r="A211" s="8"/>
      <c r="B211" s="8"/>
      <c r="C211" s="8"/>
      <c r="D211" s="8"/>
      <c r="E211" s="8"/>
      <c r="F211" s="8"/>
      <c r="G211" s="8"/>
      <c r="H211" s="8"/>
      <c r="I211" s="8"/>
      <c r="J211" s="8"/>
      <c r="K211" s="8"/>
      <c r="L211" s="8"/>
      <c r="M211" s="8"/>
      <c r="N211" s="8"/>
      <c r="O211" s="8"/>
      <c r="P211" s="8"/>
      <c r="Q211" s="8"/>
      <c r="R211" s="8"/>
      <c r="S211" s="8"/>
      <c r="T211" s="8"/>
      <c r="U211" s="12"/>
      <c r="V211" s="12"/>
      <c r="W211" s="12"/>
      <c r="X211" s="12"/>
      <c r="Y211" s="12"/>
      <c r="Z211" s="12"/>
      <c r="AA211" s="12"/>
      <c r="AB211" s="12"/>
      <c r="AC211" s="12"/>
      <c r="AD211" s="12"/>
      <c r="AE211" s="12"/>
      <c r="AF211" s="12"/>
    </row>
    <row r="212" spans="1:32">
      <c r="A212" s="8"/>
      <c r="B212" s="8"/>
      <c r="C212" s="8"/>
      <c r="D212" s="8"/>
      <c r="E212" s="8"/>
      <c r="F212" s="8"/>
      <c r="G212" s="8"/>
      <c r="H212" s="8"/>
      <c r="I212" s="8"/>
      <c r="J212" s="8"/>
      <c r="K212" s="8"/>
      <c r="L212" s="8"/>
      <c r="M212" s="8"/>
      <c r="N212" s="8"/>
      <c r="O212" s="8"/>
      <c r="P212" s="8"/>
      <c r="Q212" s="8"/>
      <c r="R212" s="8"/>
      <c r="S212" s="8"/>
      <c r="T212" s="8"/>
      <c r="U212" s="12"/>
      <c r="V212" s="12"/>
      <c r="W212" s="12"/>
      <c r="X212" s="12"/>
      <c r="Y212" s="12"/>
      <c r="Z212" s="12"/>
      <c r="AA212" s="12"/>
      <c r="AB212" s="12"/>
      <c r="AC212" s="12"/>
      <c r="AD212" s="12"/>
      <c r="AE212" s="12"/>
      <c r="AF212" s="12"/>
    </row>
    <row r="213" spans="1:32">
      <c r="A213" s="8"/>
      <c r="B213" s="8"/>
      <c r="C213" s="8"/>
      <c r="D213" s="8"/>
      <c r="E213" s="8"/>
      <c r="F213" s="8"/>
      <c r="G213" s="8"/>
      <c r="H213" s="8"/>
      <c r="I213" s="8"/>
      <c r="J213" s="8"/>
      <c r="K213" s="8"/>
      <c r="L213" s="8"/>
      <c r="M213" s="8"/>
      <c r="N213" s="8"/>
      <c r="O213" s="8"/>
      <c r="P213" s="8"/>
      <c r="Q213" s="8"/>
      <c r="R213" s="8"/>
      <c r="S213" s="8"/>
      <c r="T213" s="8"/>
      <c r="U213" s="12"/>
      <c r="V213" s="12"/>
      <c r="W213" s="12"/>
      <c r="X213" s="12"/>
      <c r="Y213" s="12"/>
      <c r="Z213" s="12"/>
      <c r="AA213" s="12"/>
      <c r="AB213" s="12"/>
      <c r="AC213" s="12"/>
      <c r="AD213" s="12"/>
      <c r="AE213" s="12"/>
      <c r="AF213" s="12"/>
    </row>
    <row r="214" spans="1:32">
      <c r="A214" s="8"/>
      <c r="B214" s="8"/>
      <c r="C214" s="8"/>
      <c r="D214" s="8"/>
      <c r="E214" s="8"/>
      <c r="F214" s="8"/>
      <c r="G214" s="8"/>
      <c r="H214" s="8"/>
      <c r="I214" s="8"/>
      <c r="J214" s="8"/>
      <c r="K214" s="8"/>
      <c r="L214" s="8"/>
      <c r="M214" s="8"/>
      <c r="N214" s="8"/>
      <c r="O214" s="8"/>
      <c r="P214" s="8"/>
      <c r="Q214" s="8"/>
      <c r="R214" s="8"/>
      <c r="S214" s="8"/>
      <c r="T214" s="8"/>
      <c r="U214" s="12"/>
      <c r="V214" s="12"/>
      <c r="W214" s="12"/>
      <c r="X214" s="12"/>
      <c r="Y214" s="12"/>
      <c r="Z214" s="12"/>
      <c r="AA214" s="12"/>
      <c r="AB214" s="12"/>
      <c r="AC214" s="12"/>
      <c r="AD214" s="12"/>
      <c r="AE214" s="12"/>
      <c r="AF214" s="12"/>
    </row>
    <row r="215" spans="1:32">
      <c r="A215" s="8"/>
      <c r="B215" s="8"/>
      <c r="C215" s="8"/>
      <c r="D215" s="8"/>
      <c r="E215" s="8"/>
      <c r="F215" s="8"/>
      <c r="G215" s="8"/>
      <c r="H215" s="8"/>
      <c r="I215" s="8"/>
      <c r="J215" s="8"/>
      <c r="K215" s="8"/>
      <c r="L215" s="8"/>
      <c r="M215" s="8"/>
      <c r="N215" s="8"/>
      <c r="O215" s="8"/>
      <c r="P215" s="8"/>
      <c r="Q215" s="8"/>
      <c r="R215" s="8"/>
      <c r="S215" s="8"/>
      <c r="T215" s="8"/>
      <c r="U215" s="12"/>
      <c r="V215" s="12"/>
      <c r="W215" s="12"/>
      <c r="X215" s="12"/>
      <c r="Y215" s="12"/>
      <c r="Z215" s="12"/>
      <c r="AA215" s="12"/>
      <c r="AB215" s="12"/>
      <c r="AC215" s="12"/>
      <c r="AD215" s="12"/>
      <c r="AE215" s="12"/>
      <c r="AF215" s="12"/>
    </row>
    <row r="216" spans="1:32">
      <c r="A216" s="8"/>
      <c r="B216" s="8"/>
      <c r="C216" s="8"/>
      <c r="D216" s="8"/>
      <c r="E216" s="8"/>
      <c r="F216" s="8"/>
      <c r="G216" s="8"/>
      <c r="H216" s="8"/>
      <c r="I216" s="8"/>
      <c r="J216" s="8"/>
      <c r="K216" s="8"/>
      <c r="L216" s="8"/>
      <c r="M216" s="8"/>
      <c r="N216" s="8"/>
      <c r="O216" s="8"/>
      <c r="P216" s="8"/>
      <c r="Q216" s="8"/>
      <c r="R216" s="8"/>
      <c r="S216" s="8"/>
      <c r="T216" s="8"/>
      <c r="U216" s="12"/>
      <c r="V216" s="12"/>
      <c r="W216" s="12"/>
      <c r="X216" s="12"/>
      <c r="Y216" s="12"/>
      <c r="Z216" s="12"/>
      <c r="AA216" s="12"/>
      <c r="AB216" s="12"/>
      <c r="AC216" s="12"/>
      <c r="AD216" s="12"/>
      <c r="AE216" s="12"/>
      <c r="AF216" s="12"/>
    </row>
    <row r="217" spans="1:32">
      <c r="A217" s="8"/>
      <c r="B217" s="8"/>
      <c r="C217" s="8"/>
      <c r="D217" s="8"/>
      <c r="E217" s="8"/>
      <c r="F217" s="8"/>
      <c r="G217" s="8"/>
      <c r="H217" s="8"/>
      <c r="I217" s="8"/>
      <c r="J217" s="8"/>
      <c r="K217" s="8"/>
      <c r="L217" s="8"/>
      <c r="M217" s="8"/>
      <c r="N217" s="8"/>
      <c r="O217" s="8"/>
      <c r="P217" s="8"/>
      <c r="Q217" s="8"/>
      <c r="R217" s="8"/>
      <c r="S217" s="8"/>
      <c r="T217" s="8"/>
      <c r="U217" s="12"/>
      <c r="V217" s="12"/>
      <c r="W217" s="12"/>
      <c r="X217" s="12"/>
      <c r="Y217" s="12"/>
      <c r="Z217" s="12"/>
      <c r="AA217" s="12"/>
      <c r="AB217" s="12"/>
      <c r="AC217" s="12"/>
      <c r="AD217" s="12"/>
      <c r="AE217" s="12"/>
      <c r="AF217" s="12"/>
    </row>
    <row r="218" spans="1:32">
      <c r="A218" s="8"/>
      <c r="B218" s="8"/>
      <c r="C218" s="8"/>
      <c r="D218" s="8"/>
      <c r="E218" s="8"/>
      <c r="F218" s="8"/>
      <c r="G218" s="8"/>
      <c r="H218" s="8"/>
      <c r="I218" s="8"/>
      <c r="J218" s="8"/>
      <c r="K218" s="8"/>
      <c r="L218" s="8"/>
      <c r="M218" s="8"/>
      <c r="N218" s="8"/>
      <c r="O218" s="8"/>
      <c r="P218" s="8"/>
      <c r="Q218" s="8"/>
      <c r="R218" s="8"/>
      <c r="S218" s="8"/>
      <c r="T218" s="8"/>
      <c r="U218" s="12"/>
      <c r="V218" s="12"/>
      <c r="W218" s="12"/>
      <c r="X218" s="12"/>
      <c r="Y218" s="12"/>
      <c r="Z218" s="12"/>
      <c r="AA218" s="12"/>
      <c r="AB218" s="12"/>
      <c r="AC218" s="12"/>
      <c r="AD218" s="12"/>
      <c r="AE218" s="12"/>
      <c r="AF218" s="12"/>
    </row>
    <row r="219" spans="1:32">
      <c r="A219" s="8"/>
      <c r="B219" s="8"/>
      <c r="C219" s="8"/>
      <c r="D219" s="8"/>
      <c r="E219" s="8"/>
      <c r="F219" s="8"/>
      <c r="G219" s="8"/>
      <c r="H219" s="8"/>
      <c r="I219" s="8"/>
      <c r="J219" s="8"/>
      <c r="K219" s="8"/>
      <c r="L219" s="8"/>
      <c r="M219" s="8"/>
      <c r="N219" s="8"/>
      <c r="O219" s="8"/>
      <c r="P219" s="8"/>
      <c r="Q219" s="8"/>
      <c r="R219" s="8"/>
      <c r="S219" s="8"/>
      <c r="T219" s="8"/>
      <c r="U219" s="12"/>
      <c r="V219" s="12"/>
      <c r="W219" s="12"/>
      <c r="X219" s="12"/>
      <c r="Y219" s="12"/>
      <c r="Z219" s="12"/>
      <c r="AA219" s="12"/>
      <c r="AB219" s="12"/>
      <c r="AC219" s="12"/>
      <c r="AD219" s="12"/>
      <c r="AE219" s="12"/>
      <c r="AF219" s="12"/>
    </row>
    <row r="220" spans="1:32">
      <c r="A220" s="8"/>
      <c r="B220" s="8"/>
      <c r="C220" s="8"/>
      <c r="D220" s="8"/>
      <c r="E220" s="8"/>
      <c r="F220" s="8"/>
      <c r="G220" s="8"/>
      <c r="H220" s="8"/>
      <c r="I220" s="8"/>
      <c r="J220" s="8"/>
      <c r="K220" s="8"/>
      <c r="L220" s="8"/>
      <c r="M220" s="8"/>
      <c r="N220" s="8"/>
      <c r="O220" s="8"/>
      <c r="P220" s="8"/>
      <c r="Q220" s="8"/>
      <c r="R220" s="8"/>
      <c r="S220" s="8"/>
      <c r="T220" s="8"/>
      <c r="U220" s="12"/>
      <c r="V220" s="12"/>
      <c r="W220" s="12"/>
      <c r="X220" s="12"/>
      <c r="Y220" s="12"/>
      <c r="Z220" s="12"/>
      <c r="AA220" s="12"/>
      <c r="AB220" s="12"/>
      <c r="AC220" s="12"/>
      <c r="AD220" s="12"/>
      <c r="AE220" s="12"/>
      <c r="AF220" s="12"/>
    </row>
    <row r="221" spans="1:32">
      <c r="A221" s="8"/>
      <c r="B221" s="8"/>
      <c r="C221" s="8"/>
      <c r="D221" s="8"/>
      <c r="E221" s="8"/>
      <c r="F221" s="8"/>
      <c r="G221" s="8"/>
      <c r="H221" s="8"/>
      <c r="I221" s="8"/>
      <c r="J221" s="8"/>
      <c r="K221" s="8"/>
      <c r="L221" s="8"/>
      <c r="M221" s="8"/>
      <c r="N221" s="8"/>
      <c r="O221" s="8"/>
      <c r="P221" s="8"/>
      <c r="Q221" s="8"/>
      <c r="R221" s="8"/>
      <c r="S221" s="8"/>
      <c r="T221" s="8"/>
      <c r="U221" s="12"/>
      <c r="V221" s="12"/>
      <c r="W221" s="12"/>
      <c r="X221" s="12"/>
      <c r="Y221" s="12"/>
      <c r="Z221" s="12"/>
      <c r="AA221" s="12"/>
      <c r="AB221" s="12"/>
      <c r="AC221" s="12"/>
      <c r="AD221" s="12"/>
      <c r="AE221" s="12"/>
      <c r="AF221" s="12"/>
    </row>
    <row r="222" spans="1:32">
      <c r="A222" s="8"/>
      <c r="B222" s="8"/>
      <c r="C222" s="8"/>
      <c r="D222" s="8"/>
      <c r="E222" s="8"/>
      <c r="F222" s="8"/>
      <c r="G222" s="8"/>
      <c r="H222" s="8"/>
      <c r="I222" s="8"/>
      <c r="J222" s="8"/>
      <c r="K222" s="8"/>
      <c r="L222" s="8"/>
      <c r="M222" s="8"/>
      <c r="N222" s="8"/>
      <c r="O222" s="8"/>
      <c r="P222" s="8"/>
      <c r="Q222" s="8"/>
      <c r="R222" s="8"/>
      <c r="S222" s="8"/>
      <c r="T222" s="8"/>
      <c r="U222" s="12"/>
      <c r="V222" s="12"/>
      <c r="W222" s="12"/>
      <c r="X222" s="12"/>
      <c r="Y222" s="12"/>
      <c r="Z222" s="12"/>
      <c r="AA222" s="12"/>
      <c r="AB222" s="12"/>
      <c r="AC222" s="12"/>
      <c r="AD222" s="12"/>
      <c r="AE222" s="12"/>
      <c r="AF222" s="12"/>
    </row>
    <row r="223" spans="1:32">
      <c r="A223" s="8"/>
      <c r="B223" s="8"/>
      <c r="C223" s="8"/>
      <c r="D223" s="8"/>
      <c r="E223" s="8"/>
      <c r="F223" s="8"/>
      <c r="G223" s="8"/>
      <c r="H223" s="8"/>
      <c r="I223" s="8"/>
      <c r="J223" s="8"/>
      <c r="K223" s="8"/>
      <c r="L223" s="8"/>
      <c r="M223" s="8"/>
      <c r="N223" s="8"/>
      <c r="O223" s="8"/>
      <c r="P223" s="8"/>
      <c r="Q223" s="8"/>
      <c r="R223" s="8"/>
      <c r="S223" s="8"/>
      <c r="T223" s="8"/>
      <c r="U223" s="12"/>
      <c r="V223" s="12"/>
      <c r="W223" s="12"/>
      <c r="X223" s="12"/>
      <c r="Y223" s="12"/>
      <c r="Z223" s="12"/>
      <c r="AA223" s="12"/>
      <c r="AB223" s="12"/>
      <c r="AC223" s="12"/>
      <c r="AD223" s="12"/>
      <c r="AE223" s="12"/>
      <c r="AF223" s="12"/>
    </row>
    <row r="224" spans="1:32">
      <c r="A224" s="8"/>
      <c r="B224" s="8"/>
      <c r="C224" s="8"/>
      <c r="D224" s="8"/>
      <c r="E224" s="8"/>
      <c r="F224" s="8"/>
      <c r="G224" s="8"/>
      <c r="H224" s="8"/>
      <c r="I224" s="8"/>
      <c r="J224" s="8"/>
      <c r="K224" s="8"/>
      <c r="L224" s="8"/>
      <c r="M224" s="8"/>
      <c r="N224" s="8"/>
      <c r="O224" s="8"/>
      <c r="P224" s="8"/>
      <c r="Q224" s="8"/>
      <c r="R224" s="8"/>
      <c r="S224" s="8"/>
      <c r="T224" s="8"/>
      <c r="U224" s="12"/>
      <c r="V224" s="12"/>
      <c r="W224" s="12"/>
      <c r="X224" s="12"/>
      <c r="Y224" s="12"/>
      <c r="Z224" s="12"/>
      <c r="AA224" s="12"/>
      <c r="AB224" s="12"/>
      <c r="AC224" s="12"/>
      <c r="AD224" s="12"/>
      <c r="AE224" s="12"/>
      <c r="AF224" s="12"/>
    </row>
    <row r="225" spans="1:32">
      <c r="A225" s="8"/>
      <c r="B225" s="8"/>
      <c r="C225" s="8"/>
      <c r="D225" s="8"/>
      <c r="E225" s="8"/>
      <c r="F225" s="8"/>
      <c r="G225" s="8"/>
      <c r="H225" s="8"/>
      <c r="I225" s="8"/>
      <c r="J225" s="8"/>
      <c r="K225" s="8"/>
      <c r="L225" s="8"/>
      <c r="M225" s="8"/>
      <c r="N225" s="8"/>
      <c r="O225" s="8"/>
      <c r="P225" s="8"/>
      <c r="Q225" s="8"/>
      <c r="R225" s="8"/>
      <c r="S225" s="8"/>
      <c r="T225" s="8"/>
      <c r="U225" s="12"/>
      <c r="V225" s="12"/>
      <c r="W225" s="12"/>
      <c r="X225" s="12"/>
      <c r="Y225" s="12"/>
      <c r="Z225" s="12"/>
      <c r="AA225" s="12"/>
      <c r="AB225" s="12"/>
      <c r="AC225" s="12"/>
      <c r="AD225" s="12"/>
      <c r="AE225" s="12"/>
      <c r="AF225" s="12"/>
    </row>
    <row r="226" spans="1:32">
      <c r="A226" s="8"/>
      <c r="B226" s="8"/>
      <c r="C226" s="8"/>
      <c r="D226" s="8"/>
      <c r="E226" s="8"/>
      <c r="F226" s="8"/>
      <c r="G226" s="8"/>
      <c r="H226" s="8"/>
      <c r="I226" s="8"/>
      <c r="J226" s="8"/>
      <c r="K226" s="8"/>
      <c r="L226" s="8"/>
      <c r="M226" s="8"/>
      <c r="N226" s="8"/>
      <c r="O226" s="8"/>
      <c r="P226" s="8"/>
      <c r="Q226" s="8"/>
      <c r="R226" s="8"/>
      <c r="S226" s="8"/>
      <c r="T226" s="8"/>
      <c r="U226" s="12"/>
      <c r="V226" s="12"/>
      <c r="W226" s="12"/>
      <c r="X226" s="12"/>
      <c r="Y226" s="12"/>
      <c r="Z226" s="12"/>
      <c r="AA226" s="12"/>
      <c r="AB226" s="12"/>
      <c r="AC226" s="12"/>
      <c r="AD226" s="12"/>
      <c r="AE226" s="12"/>
      <c r="AF226" s="12"/>
    </row>
    <row r="227" spans="1:32">
      <c r="A227" s="8"/>
      <c r="B227" s="8"/>
      <c r="C227" s="8"/>
      <c r="D227" s="8"/>
      <c r="E227" s="8"/>
      <c r="F227" s="8"/>
      <c r="G227" s="8"/>
      <c r="H227" s="8"/>
      <c r="I227" s="8"/>
      <c r="J227" s="8"/>
      <c r="K227" s="8"/>
      <c r="L227" s="8"/>
      <c r="M227" s="8"/>
      <c r="N227" s="8"/>
      <c r="O227" s="8"/>
      <c r="P227" s="8"/>
      <c r="Q227" s="8"/>
      <c r="R227" s="8"/>
      <c r="S227" s="8"/>
      <c r="T227" s="8"/>
      <c r="U227" s="12"/>
      <c r="V227" s="12"/>
      <c r="W227" s="12"/>
      <c r="X227" s="12"/>
      <c r="Y227" s="12"/>
      <c r="Z227" s="12"/>
      <c r="AA227" s="12"/>
      <c r="AB227" s="12"/>
      <c r="AC227" s="12"/>
      <c r="AD227" s="12"/>
      <c r="AE227" s="12"/>
      <c r="AF227" s="12"/>
    </row>
    <row r="228" spans="1:32">
      <c r="A228" s="8"/>
      <c r="B228" s="8"/>
      <c r="C228" s="8"/>
      <c r="D228" s="8"/>
      <c r="E228" s="8"/>
      <c r="F228" s="8"/>
      <c r="G228" s="8"/>
      <c r="H228" s="8"/>
      <c r="I228" s="8"/>
      <c r="J228" s="8"/>
      <c r="K228" s="8"/>
      <c r="L228" s="8"/>
      <c r="M228" s="8"/>
      <c r="N228" s="8"/>
      <c r="O228" s="8"/>
      <c r="P228" s="8"/>
      <c r="Q228" s="8"/>
      <c r="R228" s="8"/>
      <c r="S228" s="8"/>
      <c r="T228" s="8"/>
      <c r="U228" s="12"/>
      <c r="V228" s="12"/>
      <c r="W228" s="12"/>
      <c r="X228" s="12"/>
      <c r="Y228" s="12"/>
      <c r="Z228" s="12"/>
      <c r="AA228" s="12"/>
      <c r="AB228" s="12"/>
      <c r="AC228" s="12"/>
      <c r="AD228" s="12"/>
      <c r="AE228" s="12"/>
      <c r="AF228" s="12"/>
    </row>
    <row r="229" spans="1:32">
      <c r="A229" s="8"/>
      <c r="B229" s="8"/>
      <c r="C229" s="8"/>
      <c r="D229" s="8"/>
      <c r="E229" s="8"/>
      <c r="F229" s="8"/>
      <c r="G229" s="8"/>
      <c r="H229" s="8"/>
      <c r="I229" s="8"/>
      <c r="J229" s="8"/>
      <c r="K229" s="8"/>
      <c r="L229" s="8"/>
      <c r="M229" s="8"/>
      <c r="N229" s="8"/>
      <c r="O229" s="8"/>
      <c r="P229" s="8"/>
      <c r="Q229" s="8"/>
      <c r="R229" s="8"/>
      <c r="S229" s="8"/>
      <c r="T229" s="8"/>
      <c r="U229" s="12"/>
      <c r="V229" s="12"/>
      <c r="W229" s="12"/>
      <c r="X229" s="12"/>
      <c r="Y229" s="12"/>
      <c r="Z229" s="12"/>
      <c r="AA229" s="12"/>
      <c r="AB229" s="12"/>
      <c r="AC229" s="12"/>
      <c r="AD229" s="12"/>
      <c r="AE229" s="12"/>
      <c r="AF229" s="12"/>
    </row>
    <row r="230" spans="1:32">
      <c r="A230" s="8"/>
      <c r="B230" s="8"/>
      <c r="C230" s="8"/>
      <c r="D230" s="8"/>
      <c r="E230" s="8"/>
      <c r="F230" s="8"/>
      <c r="G230" s="8"/>
      <c r="H230" s="8"/>
      <c r="I230" s="8"/>
      <c r="J230" s="8"/>
      <c r="K230" s="8"/>
      <c r="L230" s="8"/>
      <c r="M230" s="8"/>
      <c r="N230" s="8"/>
      <c r="O230" s="8"/>
      <c r="P230" s="8"/>
      <c r="Q230" s="8"/>
      <c r="R230" s="8"/>
      <c r="S230" s="8"/>
      <c r="T230" s="8"/>
      <c r="U230" s="12"/>
      <c r="V230" s="12"/>
      <c r="W230" s="12"/>
      <c r="X230" s="12"/>
      <c r="Y230" s="12"/>
      <c r="Z230" s="12"/>
      <c r="AA230" s="12"/>
      <c r="AB230" s="12"/>
      <c r="AC230" s="12"/>
      <c r="AD230" s="12"/>
      <c r="AE230" s="12"/>
      <c r="AF230" s="12"/>
    </row>
    <row r="231" spans="1:32">
      <c r="A231" s="8"/>
      <c r="B231" s="8"/>
      <c r="C231" s="8"/>
      <c r="D231" s="8"/>
      <c r="E231" s="8"/>
      <c r="F231" s="8"/>
      <c r="G231" s="8"/>
      <c r="H231" s="8"/>
      <c r="I231" s="8"/>
      <c r="J231" s="8"/>
      <c r="K231" s="8"/>
      <c r="L231" s="8"/>
      <c r="M231" s="8"/>
      <c r="N231" s="8"/>
      <c r="O231" s="8"/>
      <c r="P231" s="8"/>
      <c r="Q231" s="8"/>
      <c r="R231" s="8"/>
      <c r="S231" s="8"/>
      <c r="T231" s="8"/>
      <c r="U231" s="12"/>
      <c r="V231" s="12"/>
      <c r="W231" s="12"/>
      <c r="X231" s="12"/>
      <c r="Y231" s="12"/>
      <c r="Z231" s="12"/>
      <c r="AA231" s="12"/>
      <c r="AB231" s="12"/>
      <c r="AC231" s="12"/>
      <c r="AD231" s="12"/>
      <c r="AE231" s="12"/>
      <c r="AF231" s="12"/>
    </row>
    <row r="232" spans="1:32">
      <c r="A232" s="8"/>
      <c r="B232" s="8"/>
      <c r="C232" s="8"/>
      <c r="D232" s="8"/>
      <c r="E232" s="8"/>
      <c r="F232" s="8"/>
      <c r="G232" s="8"/>
      <c r="H232" s="8"/>
      <c r="I232" s="8"/>
      <c r="J232" s="8"/>
      <c r="K232" s="8"/>
      <c r="L232" s="8"/>
      <c r="M232" s="8"/>
      <c r="N232" s="8"/>
      <c r="O232" s="8"/>
      <c r="P232" s="8"/>
      <c r="Q232" s="8"/>
      <c r="R232" s="8"/>
      <c r="S232" s="8"/>
      <c r="T232" s="8"/>
      <c r="U232" s="12"/>
      <c r="V232" s="12"/>
      <c r="W232" s="12"/>
      <c r="X232" s="12"/>
      <c r="Y232" s="12"/>
      <c r="Z232" s="12"/>
      <c r="AA232" s="12"/>
      <c r="AB232" s="12"/>
      <c r="AC232" s="12"/>
      <c r="AD232" s="12"/>
      <c r="AE232" s="12"/>
      <c r="AF232" s="12"/>
    </row>
    <row r="233" spans="1:32">
      <c r="A233" s="8"/>
      <c r="B233" s="8"/>
      <c r="C233" s="8"/>
      <c r="D233" s="8"/>
      <c r="E233" s="8"/>
      <c r="F233" s="8"/>
      <c r="G233" s="8"/>
      <c r="H233" s="8"/>
      <c r="I233" s="8"/>
      <c r="J233" s="8"/>
      <c r="K233" s="8"/>
      <c r="L233" s="8"/>
      <c r="M233" s="8"/>
      <c r="N233" s="8"/>
      <c r="O233" s="8"/>
      <c r="P233" s="8"/>
      <c r="Q233" s="8"/>
      <c r="R233" s="8"/>
      <c r="S233" s="8"/>
      <c r="T233" s="8"/>
      <c r="U233" s="12"/>
      <c r="V233" s="12"/>
      <c r="W233" s="12"/>
      <c r="X233" s="12"/>
      <c r="Y233" s="12"/>
      <c r="Z233" s="12"/>
      <c r="AA233" s="12"/>
      <c r="AB233" s="12"/>
      <c r="AC233" s="12"/>
      <c r="AD233" s="12"/>
      <c r="AE233" s="12"/>
      <c r="AF233" s="12"/>
    </row>
    <row r="234" spans="1:32">
      <c r="A234" s="8"/>
      <c r="B234" s="8"/>
      <c r="C234" s="8"/>
      <c r="D234" s="8"/>
      <c r="E234" s="8"/>
      <c r="F234" s="8"/>
      <c r="G234" s="8"/>
      <c r="H234" s="8"/>
      <c r="I234" s="8"/>
      <c r="J234" s="8"/>
      <c r="K234" s="8"/>
      <c r="L234" s="8"/>
      <c r="M234" s="8"/>
      <c r="N234" s="8"/>
      <c r="O234" s="8"/>
      <c r="P234" s="8"/>
      <c r="Q234" s="8"/>
      <c r="R234" s="8"/>
      <c r="S234" s="8"/>
      <c r="T234" s="8"/>
      <c r="U234" s="12"/>
      <c r="V234" s="12"/>
      <c r="W234" s="12"/>
      <c r="X234" s="12"/>
      <c r="Y234" s="12"/>
      <c r="Z234" s="12"/>
      <c r="AA234" s="12"/>
      <c r="AB234" s="12"/>
      <c r="AC234" s="12"/>
      <c r="AD234" s="12"/>
      <c r="AE234" s="12"/>
      <c r="AF234" s="12"/>
    </row>
    <row r="235" spans="1:32">
      <c r="A235" s="8"/>
      <c r="B235" s="8"/>
      <c r="C235" s="8"/>
      <c r="D235" s="8"/>
      <c r="E235" s="8"/>
      <c r="F235" s="8"/>
      <c r="G235" s="8"/>
      <c r="H235" s="8"/>
      <c r="I235" s="8"/>
      <c r="J235" s="8"/>
      <c r="K235" s="8"/>
      <c r="L235" s="8"/>
      <c r="M235" s="8"/>
      <c r="N235" s="8"/>
      <c r="O235" s="8"/>
      <c r="P235" s="8"/>
      <c r="Q235" s="8"/>
      <c r="R235" s="8"/>
      <c r="S235" s="8"/>
      <c r="T235" s="8"/>
      <c r="U235" s="12"/>
      <c r="V235" s="12"/>
      <c r="W235" s="12"/>
      <c r="X235" s="12"/>
      <c r="Y235" s="12"/>
      <c r="Z235" s="12"/>
      <c r="AA235" s="12"/>
      <c r="AB235" s="12"/>
      <c r="AC235" s="12"/>
      <c r="AD235" s="12"/>
      <c r="AE235" s="12"/>
      <c r="AF235" s="12"/>
    </row>
    <row r="236" spans="1:32">
      <c r="A236" s="8"/>
      <c r="B236" s="8"/>
      <c r="C236" s="8"/>
      <c r="D236" s="8"/>
      <c r="E236" s="8"/>
      <c r="F236" s="8"/>
      <c r="G236" s="8"/>
      <c r="H236" s="8"/>
      <c r="I236" s="8"/>
      <c r="J236" s="8"/>
      <c r="K236" s="8"/>
      <c r="L236" s="8"/>
      <c r="M236" s="8"/>
      <c r="N236" s="8"/>
      <c r="O236" s="8"/>
      <c r="P236" s="8"/>
      <c r="Q236" s="8"/>
      <c r="R236" s="8"/>
      <c r="S236" s="8"/>
      <c r="T236" s="8"/>
      <c r="U236" s="12"/>
      <c r="V236" s="12"/>
      <c r="W236" s="12"/>
      <c r="X236" s="12"/>
      <c r="Y236" s="12"/>
      <c r="Z236" s="12"/>
      <c r="AA236" s="12"/>
      <c r="AB236" s="12"/>
      <c r="AC236" s="12"/>
      <c r="AD236" s="12"/>
      <c r="AE236" s="12"/>
      <c r="AF236" s="12"/>
    </row>
    <row r="237" spans="1:32">
      <c r="A237" s="8"/>
      <c r="B237" s="8"/>
      <c r="C237" s="8"/>
      <c r="D237" s="8"/>
      <c r="E237" s="8"/>
      <c r="F237" s="8"/>
      <c r="G237" s="8"/>
      <c r="H237" s="8"/>
      <c r="I237" s="8"/>
      <c r="J237" s="8"/>
      <c r="K237" s="8"/>
      <c r="L237" s="8"/>
      <c r="M237" s="8"/>
      <c r="N237" s="8"/>
      <c r="O237" s="8"/>
      <c r="P237" s="8"/>
      <c r="Q237" s="8"/>
      <c r="R237" s="8"/>
      <c r="S237" s="8"/>
      <c r="T237" s="8"/>
      <c r="U237" s="12"/>
      <c r="V237" s="12"/>
      <c r="W237" s="12"/>
      <c r="X237" s="12"/>
      <c r="Y237" s="12"/>
      <c r="Z237" s="12"/>
      <c r="AA237" s="12"/>
      <c r="AB237" s="12"/>
      <c r="AC237" s="12"/>
      <c r="AD237" s="12"/>
      <c r="AE237" s="12"/>
      <c r="AF237" s="12"/>
    </row>
    <row r="238" spans="1:32">
      <c r="A238" s="8"/>
      <c r="B238" s="8"/>
      <c r="C238" s="8"/>
      <c r="D238" s="8"/>
      <c r="E238" s="8"/>
      <c r="F238" s="8"/>
      <c r="G238" s="8"/>
      <c r="H238" s="8"/>
      <c r="I238" s="8"/>
      <c r="J238" s="8"/>
      <c r="K238" s="8"/>
      <c r="L238" s="8"/>
      <c r="M238" s="8"/>
      <c r="N238" s="8"/>
      <c r="O238" s="8"/>
      <c r="P238" s="8"/>
      <c r="Q238" s="8"/>
      <c r="R238" s="8"/>
      <c r="S238" s="8"/>
      <c r="T238" s="8"/>
      <c r="U238" s="12"/>
      <c r="V238" s="12"/>
      <c r="W238" s="12"/>
      <c r="X238" s="12"/>
      <c r="Y238" s="12"/>
      <c r="Z238" s="12"/>
      <c r="AA238" s="12"/>
      <c r="AB238" s="12"/>
      <c r="AC238" s="12"/>
      <c r="AD238" s="12"/>
      <c r="AE238" s="12"/>
      <c r="AF238" s="12"/>
    </row>
    <row r="239" spans="1:32">
      <c r="A239" s="8"/>
      <c r="B239" s="8"/>
      <c r="C239" s="8"/>
      <c r="D239" s="8"/>
      <c r="E239" s="8"/>
      <c r="F239" s="8"/>
      <c r="G239" s="8"/>
      <c r="H239" s="8"/>
      <c r="I239" s="8"/>
      <c r="J239" s="8"/>
      <c r="K239" s="8"/>
      <c r="L239" s="8"/>
      <c r="M239" s="8"/>
      <c r="N239" s="8"/>
      <c r="O239" s="8"/>
      <c r="P239" s="8"/>
      <c r="Q239" s="8"/>
      <c r="R239" s="8"/>
      <c r="S239" s="8"/>
      <c r="T239" s="8"/>
      <c r="U239" s="12"/>
      <c r="V239" s="12"/>
      <c r="W239" s="12"/>
      <c r="X239" s="12"/>
      <c r="Y239" s="12"/>
      <c r="Z239" s="12"/>
      <c r="AA239" s="12"/>
      <c r="AB239" s="12"/>
      <c r="AC239" s="12"/>
      <c r="AD239" s="12"/>
      <c r="AE239" s="12"/>
      <c r="AF239" s="12"/>
    </row>
    <row r="240" spans="1:32">
      <c r="A240" s="8"/>
      <c r="B240" s="8"/>
      <c r="C240" s="8"/>
      <c r="D240" s="8"/>
      <c r="E240" s="8"/>
      <c r="F240" s="8"/>
      <c r="G240" s="8"/>
      <c r="H240" s="8"/>
      <c r="I240" s="8"/>
      <c r="J240" s="8"/>
      <c r="K240" s="8"/>
      <c r="L240" s="8"/>
      <c r="M240" s="8"/>
      <c r="N240" s="8"/>
      <c r="O240" s="8"/>
      <c r="P240" s="8"/>
      <c r="Q240" s="8"/>
      <c r="R240" s="8"/>
      <c r="S240" s="8"/>
      <c r="T240" s="8"/>
      <c r="U240" s="12"/>
      <c r="V240" s="12"/>
      <c r="W240" s="12"/>
      <c r="X240" s="12"/>
      <c r="Y240" s="12"/>
      <c r="Z240" s="12"/>
      <c r="AA240" s="12"/>
      <c r="AB240" s="12"/>
      <c r="AC240" s="12"/>
      <c r="AD240" s="12"/>
      <c r="AE240" s="12"/>
      <c r="AF240" s="12"/>
    </row>
    <row r="241" spans="1:32">
      <c r="A241" s="8"/>
      <c r="B241" s="8"/>
      <c r="C241" s="8"/>
      <c r="D241" s="8"/>
      <c r="E241" s="8"/>
      <c r="F241" s="8"/>
      <c r="G241" s="8"/>
      <c r="H241" s="8"/>
      <c r="I241" s="8"/>
      <c r="J241" s="8"/>
      <c r="K241" s="8"/>
      <c r="L241" s="8"/>
      <c r="M241" s="8"/>
      <c r="N241" s="8"/>
      <c r="O241" s="8"/>
      <c r="P241" s="8"/>
      <c r="Q241" s="8"/>
      <c r="R241" s="8"/>
      <c r="S241" s="8"/>
      <c r="T241" s="8"/>
      <c r="U241" s="12"/>
      <c r="V241" s="12"/>
      <c r="W241" s="12"/>
      <c r="X241" s="12"/>
      <c r="Y241" s="12"/>
      <c r="Z241" s="12"/>
      <c r="AA241" s="12"/>
      <c r="AB241" s="12"/>
      <c r="AC241" s="12"/>
      <c r="AD241" s="12"/>
      <c r="AE241" s="12"/>
      <c r="AF241" s="12"/>
    </row>
    <row r="242" spans="1:32">
      <c r="A242" s="8"/>
      <c r="B242" s="8"/>
      <c r="C242" s="8"/>
      <c r="D242" s="8"/>
      <c r="E242" s="8"/>
      <c r="F242" s="8"/>
      <c r="G242" s="8"/>
      <c r="H242" s="8"/>
      <c r="I242" s="8"/>
      <c r="J242" s="8"/>
      <c r="K242" s="8"/>
      <c r="L242" s="8"/>
      <c r="M242" s="8"/>
      <c r="N242" s="8"/>
      <c r="O242" s="8"/>
      <c r="P242" s="8"/>
      <c r="Q242" s="8"/>
      <c r="R242" s="8"/>
      <c r="S242" s="8"/>
      <c r="T242" s="8"/>
      <c r="U242" s="12"/>
      <c r="V242" s="12"/>
      <c r="W242" s="12"/>
      <c r="X242" s="12"/>
      <c r="Y242" s="12"/>
      <c r="Z242" s="12"/>
      <c r="AA242" s="12"/>
      <c r="AB242" s="12"/>
      <c r="AC242" s="12"/>
      <c r="AD242" s="12"/>
      <c r="AE242" s="12"/>
      <c r="AF242" s="12"/>
    </row>
    <row r="243" spans="1:32">
      <c r="A243" s="8"/>
      <c r="B243" s="8"/>
      <c r="C243" s="8"/>
      <c r="D243" s="8"/>
      <c r="E243" s="8"/>
      <c r="F243" s="8"/>
      <c r="G243" s="8"/>
      <c r="H243" s="8"/>
      <c r="I243" s="8"/>
      <c r="J243" s="8"/>
      <c r="K243" s="8"/>
      <c r="L243" s="8"/>
      <c r="M243" s="8"/>
      <c r="N243" s="8"/>
      <c r="O243" s="8"/>
      <c r="P243" s="8"/>
      <c r="Q243" s="8"/>
      <c r="R243" s="8"/>
      <c r="S243" s="8"/>
      <c r="T243" s="8"/>
      <c r="U243" s="12"/>
      <c r="V243" s="12"/>
      <c r="W243" s="12"/>
      <c r="X243" s="12"/>
      <c r="Y243" s="12"/>
      <c r="Z243" s="12"/>
      <c r="AA243" s="12"/>
      <c r="AB243" s="12"/>
      <c r="AC243" s="12"/>
      <c r="AD243" s="12"/>
      <c r="AE243" s="12"/>
      <c r="AF243" s="12"/>
    </row>
    <row r="244" spans="1:32">
      <c r="A244" s="8"/>
      <c r="B244" s="8"/>
      <c r="C244" s="8"/>
      <c r="D244" s="8"/>
      <c r="E244" s="8"/>
      <c r="F244" s="8"/>
      <c r="G244" s="8"/>
      <c r="H244" s="8"/>
      <c r="I244" s="8"/>
      <c r="J244" s="8"/>
      <c r="K244" s="8"/>
      <c r="L244" s="8"/>
      <c r="M244" s="8"/>
      <c r="N244" s="8"/>
      <c r="O244" s="8"/>
      <c r="P244" s="8"/>
      <c r="Q244" s="8"/>
      <c r="R244" s="8"/>
      <c r="S244" s="8"/>
      <c r="T244" s="8"/>
      <c r="U244" s="12"/>
      <c r="V244" s="12"/>
      <c r="W244" s="12"/>
      <c r="X244" s="12"/>
      <c r="Y244" s="12"/>
      <c r="Z244" s="12"/>
      <c r="AA244" s="12"/>
      <c r="AB244" s="12"/>
      <c r="AC244" s="12"/>
      <c r="AD244" s="12"/>
      <c r="AE244" s="12"/>
      <c r="AF244" s="12"/>
    </row>
    <row r="245" spans="1:32">
      <c r="A245" s="8"/>
      <c r="B245" s="8"/>
      <c r="C245" s="8"/>
      <c r="D245" s="8"/>
      <c r="E245" s="8"/>
      <c r="F245" s="8"/>
      <c r="G245" s="8"/>
      <c r="H245" s="8"/>
      <c r="I245" s="8"/>
      <c r="J245" s="8"/>
      <c r="K245" s="8"/>
      <c r="L245" s="8"/>
      <c r="M245" s="8"/>
      <c r="N245" s="8"/>
      <c r="O245" s="8"/>
      <c r="P245" s="8"/>
      <c r="Q245" s="8"/>
      <c r="R245" s="8"/>
      <c r="S245" s="8"/>
      <c r="T245" s="8"/>
      <c r="U245" s="12"/>
      <c r="V245" s="12"/>
      <c r="W245" s="12"/>
      <c r="X245" s="12"/>
      <c r="Y245" s="12"/>
      <c r="Z245" s="12"/>
      <c r="AA245" s="12"/>
      <c r="AB245" s="12"/>
      <c r="AC245" s="12"/>
      <c r="AD245" s="12"/>
      <c r="AE245" s="12"/>
      <c r="AF245" s="12"/>
    </row>
    <row r="246" spans="1:32">
      <c r="A246" s="8"/>
      <c r="B246" s="8"/>
      <c r="C246" s="8"/>
      <c r="D246" s="8"/>
      <c r="E246" s="8"/>
      <c r="F246" s="8"/>
      <c r="G246" s="8"/>
      <c r="H246" s="8"/>
      <c r="I246" s="8"/>
      <c r="J246" s="8"/>
      <c r="K246" s="8"/>
      <c r="L246" s="8"/>
      <c r="M246" s="8"/>
      <c r="N246" s="8"/>
      <c r="O246" s="8"/>
      <c r="P246" s="8"/>
      <c r="Q246" s="8"/>
      <c r="R246" s="8"/>
      <c r="S246" s="8"/>
      <c r="T246" s="8"/>
      <c r="U246" s="12"/>
      <c r="V246" s="12"/>
      <c r="W246" s="12"/>
      <c r="X246" s="12"/>
      <c r="Y246" s="12"/>
      <c r="Z246" s="12"/>
      <c r="AA246" s="12"/>
      <c r="AB246" s="12"/>
      <c r="AC246" s="12"/>
      <c r="AD246" s="12"/>
      <c r="AE246" s="12"/>
      <c r="AF246" s="12"/>
    </row>
    <row r="247" spans="1:32">
      <c r="A247" s="8"/>
      <c r="B247" s="8"/>
      <c r="C247" s="8"/>
      <c r="D247" s="8"/>
      <c r="E247" s="8"/>
      <c r="F247" s="8"/>
      <c r="G247" s="8"/>
      <c r="H247" s="8"/>
      <c r="I247" s="8"/>
      <c r="J247" s="8"/>
      <c r="K247" s="8"/>
      <c r="L247" s="8"/>
      <c r="M247" s="8"/>
      <c r="N247" s="8"/>
      <c r="O247" s="8"/>
      <c r="P247" s="8"/>
      <c r="Q247" s="8"/>
      <c r="R247" s="8"/>
      <c r="S247" s="8"/>
      <c r="T247" s="8"/>
      <c r="U247" s="12"/>
      <c r="V247" s="12"/>
      <c r="W247" s="12"/>
      <c r="X247" s="12"/>
      <c r="Y247" s="12"/>
      <c r="Z247" s="12"/>
      <c r="AA247" s="12"/>
      <c r="AB247" s="12"/>
      <c r="AC247" s="12"/>
      <c r="AD247" s="12"/>
      <c r="AE247" s="12"/>
      <c r="AF247" s="12"/>
    </row>
    <row r="248" spans="1:32">
      <c r="A248" s="8"/>
      <c r="B248" s="8"/>
      <c r="C248" s="8"/>
      <c r="D248" s="8"/>
      <c r="E248" s="8"/>
      <c r="F248" s="8"/>
      <c r="G248" s="8"/>
      <c r="H248" s="8"/>
      <c r="I248" s="8"/>
      <c r="J248" s="8"/>
      <c r="K248" s="8"/>
      <c r="L248" s="8"/>
      <c r="M248" s="8"/>
      <c r="N248" s="8"/>
      <c r="O248" s="8"/>
      <c r="P248" s="8"/>
      <c r="Q248" s="8"/>
      <c r="R248" s="8"/>
      <c r="S248" s="8"/>
      <c r="T248" s="8"/>
      <c r="U248" s="12"/>
      <c r="V248" s="12"/>
      <c r="W248" s="12"/>
      <c r="X248" s="12"/>
      <c r="Y248" s="12"/>
      <c r="Z248" s="12"/>
      <c r="AA248" s="12"/>
      <c r="AB248" s="12"/>
      <c r="AC248" s="12"/>
      <c r="AD248" s="12"/>
      <c r="AE248" s="12"/>
      <c r="AF248" s="12"/>
    </row>
    <row r="249" spans="1:32">
      <c r="A249" s="8"/>
      <c r="B249" s="8"/>
      <c r="C249" s="8"/>
      <c r="D249" s="8"/>
      <c r="E249" s="8"/>
      <c r="F249" s="8"/>
      <c r="G249" s="8"/>
      <c r="H249" s="8"/>
      <c r="I249" s="8"/>
      <c r="J249" s="8"/>
      <c r="K249" s="8"/>
      <c r="L249" s="8"/>
      <c r="M249" s="8"/>
      <c r="N249" s="8"/>
      <c r="O249" s="8"/>
      <c r="P249" s="8"/>
      <c r="Q249" s="8"/>
      <c r="R249" s="8"/>
      <c r="S249" s="8"/>
      <c r="T249" s="8"/>
      <c r="U249" s="12"/>
      <c r="V249" s="12"/>
      <c r="W249" s="12"/>
      <c r="X249" s="12"/>
      <c r="Y249" s="12"/>
      <c r="Z249" s="12"/>
      <c r="AA249" s="12"/>
      <c r="AB249" s="12"/>
      <c r="AC249" s="12"/>
      <c r="AD249" s="12"/>
      <c r="AE249" s="12"/>
      <c r="AF249" s="12"/>
    </row>
    <row r="250" spans="1:32">
      <c r="A250" s="8"/>
      <c r="B250" s="8"/>
      <c r="C250" s="8"/>
      <c r="D250" s="8"/>
      <c r="E250" s="8"/>
      <c r="F250" s="8"/>
      <c r="G250" s="8"/>
      <c r="H250" s="8"/>
      <c r="I250" s="8"/>
      <c r="J250" s="8"/>
      <c r="K250" s="8"/>
      <c r="L250" s="8"/>
      <c r="M250" s="8"/>
      <c r="N250" s="8"/>
      <c r="O250" s="8"/>
      <c r="P250" s="8"/>
      <c r="Q250" s="8"/>
      <c r="R250" s="8"/>
      <c r="S250" s="8"/>
      <c r="T250" s="8"/>
      <c r="U250" s="12"/>
      <c r="V250" s="12"/>
      <c r="W250" s="12"/>
      <c r="X250" s="12"/>
      <c r="Y250" s="12"/>
      <c r="Z250" s="12"/>
      <c r="AA250" s="12"/>
      <c r="AB250" s="12"/>
      <c r="AC250" s="12"/>
      <c r="AD250" s="12"/>
      <c r="AE250" s="12"/>
      <c r="AF250" s="12"/>
    </row>
    <row r="251" spans="1:32">
      <c r="A251" s="8"/>
      <c r="B251" s="8"/>
      <c r="C251" s="8"/>
      <c r="D251" s="8"/>
      <c r="E251" s="8"/>
      <c r="F251" s="8"/>
      <c r="G251" s="8"/>
      <c r="H251" s="8"/>
      <c r="I251" s="8"/>
      <c r="J251" s="8"/>
      <c r="K251" s="8"/>
      <c r="L251" s="8"/>
      <c r="M251" s="8"/>
      <c r="N251" s="8"/>
      <c r="O251" s="8"/>
      <c r="P251" s="8"/>
      <c r="Q251" s="8"/>
      <c r="R251" s="8"/>
      <c r="S251" s="8"/>
      <c r="T251" s="8"/>
      <c r="U251" s="12"/>
      <c r="V251" s="12"/>
      <c r="W251" s="12"/>
      <c r="X251" s="12"/>
      <c r="Y251" s="12"/>
      <c r="Z251" s="12"/>
      <c r="AA251" s="12"/>
      <c r="AB251" s="12"/>
      <c r="AC251" s="12"/>
      <c r="AD251" s="12"/>
      <c r="AE251" s="12"/>
      <c r="AF251" s="12"/>
    </row>
    <row r="252" spans="1:32">
      <c r="A252" s="8"/>
      <c r="B252" s="8"/>
      <c r="C252" s="8"/>
      <c r="D252" s="8"/>
      <c r="E252" s="8"/>
      <c r="F252" s="8"/>
      <c r="G252" s="8"/>
      <c r="H252" s="8"/>
      <c r="I252" s="8"/>
      <c r="J252" s="8"/>
      <c r="K252" s="8"/>
      <c r="L252" s="8"/>
      <c r="M252" s="8"/>
      <c r="N252" s="8"/>
      <c r="O252" s="8"/>
      <c r="P252" s="8"/>
      <c r="Q252" s="8"/>
      <c r="R252" s="8"/>
      <c r="S252" s="8"/>
      <c r="T252" s="8"/>
      <c r="U252" s="12"/>
      <c r="V252" s="12"/>
      <c r="W252" s="12"/>
      <c r="X252" s="12"/>
      <c r="Y252" s="12"/>
      <c r="Z252" s="12"/>
      <c r="AA252" s="12"/>
      <c r="AB252" s="12"/>
      <c r="AC252" s="12"/>
      <c r="AD252" s="12"/>
      <c r="AE252" s="12"/>
      <c r="AF252" s="12"/>
    </row>
    <row r="253" spans="1:32">
      <c r="A253" s="8"/>
      <c r="B253" s="8"/>
      <c r="C253" s="8"/>
      <c r="D253" s="8"/>
      <c r="E253" s="8"/>
      <c r="F253" s="8"/>
      <c r="G253" s="8"/>
      <c r="H253" s="8"/>
      <c r="I253" s="8"/>
      <c r="J253" s="8"/>
      <c r="K253" s="8"/>
      <c r="L253" s="8"/>
      <c r="M253" s="8"/>
      <c r="N253" s="8"/>
      <c r="O253" s="8"/>
      <c r="P253" s="8"/>
      <c r="Q253" s="8"/>
      <c r="R253" s="8"/>
      <c r="S253" s="8"/>
      <c r="T253" s="8"/>
      <c r="U253" s="12"/>
      <c r="V253" s="12"/>
      <c r="W253" s="12"/>
      <c r="X253" s="12"/>
      <c r="Y253" s="12"/>
      <c r="Z253" s="12"/>
      <c r="AA253" s="12"/>
      <c r="AB253" s="12"/>
      <c r="AC253" s="12"/>
      <c r="AD253" s="12"/>
      <c r="AE253" s="12"/>
      <c r="AF253" s="12"/>
    </row>
    <row r="254" spans="1:32">
      <c r="A254" s="8"/>
      <c r="B254" s="8"/>
      <c r="C254" s="8"/>
      <c r="D254" s="8"/>
      <c r="E254" s="8"/>
      <c r="F254" s="8"/>
      <c r="G254" s="8"/>
      <c r="H254" s="8"/>
      <c r="I254" s="8"/>
      <c r="J254" s="8"/>
      <c r="K254" s="8"/>
      <c r="L254" s="8"/>
      <c r="M254" s="8"/>
      <c r="N254" s="8"/>
      <c r="O254" s="8"/>
      <c r="P254" s="8"/>
      <c r="Q254" s="8"/>
      <c r="R254" s="8"/>
      <c r="S254" s="8"/>
      <c r="T254" s="8"/>
      <c r="U254" s="12"/>
      <c r="V254" s="12"/>
      <c r="W254" s="12"/>
      <c r="X254" s="12"/>
      <c r="Y254" s="12"/>
      <c r="Z254" s="12"/>
      <c r="AA254" s="12"/>
      <c r="AB254" s="12"/>
      <c r="AC254" s="12"/>
      <c r="AD254" s="12"/>
      <c r="AE254" s="12"/>
      <c r="AF254" s="12"/>
    </row>
    <row r="255" spans="1:32">
      <c r="A255" s="8"/>
      <c r="B255" s="8"/>
      <c r="C255" s="8"/>
      <c r="D255" s="8"/>
      <c r="E255" s="8"/>
      <c r="F255" s="8"/>
      <c r="G255" s="8"/>
      <c r="H255" s="8"/>
      <c r="I255" s="8"/>
      <c r="J255" s="8"/>
      <c r="K255" s="8"/>
      <c r="L255" s="8"/>
      <c r="M255" s="8"/>
      <c r="N255" s="8"/>
      <c r="O255" s="8"/>
      <c r="P255" s="8"/>
      <c r="Q255" s="8"/>
      <c r="R255" s="8"/>
      <c r="S255" s="8"/>
      <c r="T255" s="8"/>
      <c r="U255" s="12"/>
      <c r="V255" s="12"/>
      <c r="W255" s="12"/>
      <c r="X255" s="12"/>
      <c r="Y255" s="12"/>
      <c r="Z255" s="12"/>
      <c r="AA255" s="12"/>
      <c r="AB255" s="12"/>
      <c r="AC255" s="12"/>
      <c r="AD255" s="12"/>
      <c r="AE255" s="12"/>
      <c r="AF255" s="12"/>
    </row>
    <row r="256" spans="1:32">
      <c r="A256" s="8"/>
      <c r="B256" s="8"/>
      <c r="C256" s="8"/>
      <c r="D256" s="8"/>
      <c r="E256" s="8"/>
      <c r="F256" s="8"/>
      <c r="G256" s="8"/>
      <c r="H256" s="8"/>
      <c r="I256" s="8"/>
      <c r="J256" s="8"/>
      <c r="K256" s="8"/>
      <c r="L256" s="8"/>
      <c r="M256" s="8"/>
      <c r="N256" s="8"/>
      <c r="O256" s="8"/>
      <c r="P256" s="8"/>
      <c r="Q256" s="8"/>
      <c r="R256" s="8"/>
      <c r="S256" s="8"/>
      <c r="T256" s="8"/>
      <c r="U256" s="12"/>
      <c r="V256" s="12"/>
      <c r="W256" s="12"/>
      <c r="X256" s="12"/>
      <c r="Y256" s="12"/>
      <c r="Z256" s="12"/>
      <c r="AA256" s="12"/>
      <c r="AB256" s="12"/>
      <c r="AC256" s="12"/>
      <c r="AD256" s="12"/>
      <c r="AE256" s="12"/>
      <c r="AF256" s="12"/>
    </row>
    <row r="257" spans="1:32">
      <c r="A257" s="8"/>
      <c r="B257" s="8"/>
      <c r="C257" s="8"/>
      <c r="D257" s="8"/>
      <c r="E257" s="8"/>
      <c r="F257" s="8"/>
      <c r="G257" s="8"/>
      <c r="H257" s="8"/>
      <c r="I257" s="8"/>
      <c r="J257" s="8"/>
      <c r="K257" s="8"/>
      <c r="L257" s="8"/>
      <c r="M257" s="8"/>
      <c r="N257" s="8"/>
      <c r="O257" s="8"/>
      <c r="P257" s="8"/>
      <c r="Q257" s="8"/>
      <c r="R257" s="8"/>
      <c r="S257" s="8"/>
      <c r="T257" s="8"/>
      <c r="U257" s="12"/>
      <c r="V257" s="12"/>
      <c r="W257" s="12"/>
      <c r="X257" s="12"/>
      <c r="Y257" s="12"/>
      <c r="Z257" s="12"/>
      <c r="AA257" s="12"/>
      <c r="AB257" s="12"/>
      <c r="AC257" s="12"/>
      <c r="AD257" s="12"/>
      <c r="AE257" s="12"/>
      <c r="AF257" s="12"/>
    </row>
    <row r="258" spans="1:32">
      <c r="A258" s="8"/>
      <c r="B258" s="8"/>
      <c r="C258" s="8"/>
      <c r="D258" s="8"/>
      <c r="E258" s="8"/>
      <c r="F258" s="8"/>
      <c r="G258" s="8"/>
      <c r="H258" s="8"/>
      <c r="I258" s="8"/>
      <c r="J258" s="8"/>
      <c r="K258" s="8"/>
      <c r="L258" s="8"/>
      <c r="M258" s="8"/>
      <c r="N258" s="8"/>
      <c r="O258" s="8"/>
      <c r="P258" s="8"/>
      <c r="Q258" s="8"/>
      <c r="R258" s="8"/>
      <c r="S258" s="8"/>
      <c r="T258" s="8"/>
      <c r="U258" s="12"/>
      <c r="V258" s="12"/>
      <c r="W258" s="12"/>
      <c r="X258" s="12"/>
      <c r="Y258" s="12"/>
      <c r="Z258" s="12"/>
      <c r="AA258" s="12"/>
      <c r="AB258" s="12"/>
      <c r="AC258" s="12"/>
      <c r="AD258" s="12"/>
      <c r="AE258" s="12"/>
      <c r="AF258" s="12"/>
    </row>
    <row r="259" spans="1:32">
      <c r="A259" s="8"/>
      <c r="B259" s="8"/>
      <c r="C259" s="8"/>
      <c r="D259" s="8"/>
      <c r="E259" s="8"/>
      <c r="F259" s="8"/>
      <c r="G259" s="8"/>
      <c r="H259" s="8"/>
      <c r="I259" s="8"/>
      <c r="J259" s="8"/>
      <c r="K259" s="8"/>
      <c r="L259" s="8"/>
      <c r="M259" s="8"/>
      <c r="N259" s="8"/>
      <c r="O259" s="8"/>
      <c r="P259" s="8"/>
      <c r="Q259" s="8"/>
      <c r="R259" s="8"/>
      <c r="S259" s="8"/>
      <c r="T259" s="8"/>
      <c r="U259" s="12"/>
      <c r="V259" s="12"/>
      <c r="W259" s="12"/>
      <c r="X259" s="12"/>
      <c r="Y259" s="12"/>
      <c r="Z259" s="12"/>
      <c r="AA259" s="12"/>
      <c r="AB259" s="12"/>
      <c r="AC259" s="12"/>
      <c r="AD259" s="12"/>
      <c r="AE259" s="12"/>
      <c r="AF259" s="12"/>
    </row>
    <row r="260" spans="1:32">
      <c r="A260" s="8"/>
      <c r="B260" s="8"/>
      <c r="C260" s="8"/>
      <c r="D260" s="8"/>
      <c r="E260" s="8"/>
      <c r="F260" s="8"/>
      <c r="G260" s="8"/>
      <c r="H260" s="8"/>
      <c r="I260" s="8"/>
      <c r="J260" s="8"/>
      <c r="K260" s="8"/>
      <c r="L260" s="8"/>
      <c r="M260" s="8"/>
      <c r="N260" s="8"/>
      <c r="O260" s="8"/>
      <c r="P260" s="8"/>
      <c r="Q260" s="8"/>
      <c r="R260" s="8"/>
      <c r="S260" s="8"/>
      <c r="T260" s="8"/>
      <c r="U260" s="12"/>
      <c r="V260" s="12"/>
      <c r="W260" s="12"/>
      <c r="X260" s="12"/>
      <c r="Y260" s="12"/>
      <c r="Z260" s="12"/>
      <c r="AA260" s="12"/>
      <c r="AB260" s="12"/>
      <c r="AC260" s="12"/>
      <c r="AD260" s="12"/>
      <c r="AE260" s="12"/>
      <c r="AF260" s="12"/>
    </row>
    <row r="261" spans="1:32">
      <c r="A261" s="8"/>
      <c r="B261" s="8"/>
      <c r="C261" s="8"/>
      <c r="D261" s="8"/>
      <c r="E261" s="8"/>
      <c r="F261" s="8"/>
      <c r="G261" s="8"/>
      <c r="H261" s="8"/>
      <c r="I261" s="8"/>
      <c r="J261" s="8"/>
      <c r="K261" s="8"/>
      <c r="L261" s="8"/>
      <c r="M261" s="8"/>
      <c r="N261" s="8"/>
      <c r="O261" s="8"/>
      <c r="P261" s="8"/>
      <c r="Q261" s="8"/>
      <c r="R261" s="8"/>
      <c r="S261" s="8"/>
      <c r="T261" s="8"/>
      <c r="U261" s="12"/>
      <c r="V261" s="12"/>
      <c r="W261" s="12"/>
      <c r="X261" s="12"/>
      <c r="Y261" s="12"/>
      <c r="Z261" s="12"/>
      <c r="AA261" s="12"/>
      <c r="AB261" s="12"/>
      <c r="AC261" s="12"/>
      <c r="AD261" s="12"/>
      <c r="AE261" s="12"/>
      <c r="AF261" s="12"/>
    </row>
    <row r="262" spans="1:32">
      <c r="A262" s="8"/>
      <c r="B262" s="8"/>
      <c r="C262" s="8"/>
      <c r="D262" s="8"/>
      <c r="E262" s="8"/>
      <c r="F262" s="8"/>
      <c r="G262" s="8"/>
      <c r="H262" s="8"/>
      <c r="I262" s="8"/>
      <c r="J262" s="8"/>
      <c r="K262" s="8"/>
      <c r="L262" s="8"/>
      <c r="M262" s="8"/>
      <c r="N262" s="8"/>
      <c r="O262" s="8"/>
      <c r="P262" s="8"/>
      <c r="Q262" s="8"/>
      <c r="R262" s="8"/>
      <c r="S262" s="8"/>
      <c r="T262" s="8"/>
      <c r="U262" s="12"/>
      <c r="V262" s="12"/>
      <c r="W262" s="12"/>
      <c r="X262" s="12"/>
      <c r="Y262" s="12"/>
      <c r="Z262" s="12"/>
      <c r="AA262" s="12"/>
      <c r="AB262" s="12"/>
      <c r="AC262" s="12"/>
      <c r="AD262" s="12"/>
      <c r="AE262" s="12"/>
      <c r="AF262" s="12"/>
    </row>
    <row r="263" spans="1:32">
      <c r="A263" s="8"/>
      <c r="B263" s="8"/>
      <c r="C263" s="8"/>
      <c r="D263" s="8"/>
      <c r="E263" s="8"/>
      <c r="F263" s="8"/>
      <c r="G263" s="8"/>
      <c r="H263" s="8"/>
      <c r="I263" s="8"/>
      <c r="J263" s="8"/>
      <c r="K263" s="8"/>
      <c r="L263" s="8"/>
      <c r="M263" s="8"/>
      <c r="N263" s="8"/>
      <c r="O263" s="8"/>
      <c r="P263" s="8"/>
      <c r="Q263" s="8"/>
      <c r="R263" s="8"/>
      <c r="S263" s="8"/>
      <c r="T263" s="8"/>
      <c r="U263" s="12"/>
      <c r="V263" s="12"/>
      <c r="W263" s="12"/>
      <c r="X263" s="12"/>
      <c r="Y263" s="12"/>
      <c r="Z263" s="12"/>
      <c r="AA263" s="12"/>
      <c r="AB263" s="12"/>
      <c r="AC263" s="12"/>
      <c r="AD263" s="12"/>
      <c r="AE263" s="12"/>
      <c r="AF263" s="12"/>
    </row>
    <row r="264" spans="1:32">
      <c r="A264" s="8"/>
      <c r="B264" s="8"/>
      <c r="C264" s="8"/>
      <c r="D264" s="8"/>
      <c r="E264" s="8"/>
      <c r="F264" s="8"/>
      <c r="G264" s="8"/>
      <c r="H264" s="8"/>
      <c r="I264" s="8"/>
      <c r="J264" s="8"/>
      <c r="K264" s="8"/>
      <c r="L264" s="8"/>
      <c r="M264" s="8"/>
      <c r="N264" s="8"/>
      <c r="O264" s="8"/>
      <c r="P264" s="8"/>
      <c r="Q264" s="8"/>
      <c r="R264" s="8"/>
      <c r="S264" s="8"/>
      <c r="T264" s="8"/>
      <c r="U264" s="12"/>
      <c r="V264" s="12"/>
      <c r="W264" s="12"/>
      <c r="X264" s="12"/>
      <c r="Y264" s="12"/>
      <c r="Z264" s="12"/>
      <c r="AA264" s="12"/>
      <c r="AB264" s="12"/>
      <c r="AC264" s="12"/>
      <c r="AD264" s="12"/>
      <c r="AE264" s="12"/>
      <c r="AF264" s="12"/>
    </row>
    <row r="265" spans="1:32">
      <c r="A265" s="8"/>
      <c r="B265" s="8"/>
      <c r="C265" s="8"/>
      <c r="D265" s="8"/>
      <c r="E265" s="8"/>
      <c r="F265" s="8"/>
      <c r="G265" s="8"/>
      <c r="H265" s="8"/>
      <c r="I265" s="8"/>
      <c r="J265" s="8"/>
      <c r="K265" s="8"/>
      <c r="L265" s="8"/>
      <c r="M265" s="8"/>
      <c r="N265" s="8"/>
      <c r="O265" s="8"/>
      <c r="P265" s="8"/>
      <c r="Q265" s="8"/>
      <c r="R265" s="8"/>
      <c r="S265" s="8"/>
      <c r="T265" s="8"/>
      <c r="U265" s="12"/>
      <c r="V265" s="12"/>
      <c r="W265" s="12"/>
      <c r="X265" s="12"/>
      <c r="Y265" s="12"/>
      <c r="Z265" s="12"/>
      <c r="AA265" s="12"/>
      <c r="AB265" s="12"/>
      <c r="AC265" s="12"/>
      <c r="AD265" s="12"/>
      <c r="AE265" s="12"/>
      <c r="AF265" s="12"/>
    </row>
    <row r="266" spans="1:32">
      <c r="A266" s="8"/>
      <c r="B266" s="8"/>
      <c r="C266" s="8"/>
      <c r="D266" s="8"/>
      <c r="E266" s="8"/>
      <c r="F266" s="8"/>
      <c r="G266" s="8"/>
      <c r="H266" s="8"/>
      <c r="I266" s="8"/>
      <c r="J266" s="8"/>
      <c r="K266" s="8"/>
      <c r="L266" s="8"/>
      <c r="M266" s="8"/>
      <c r="N266" s="8"/>
      <c r="O266" s="8"/>
      <c r="P266" s="8"/>
      <c r="Q266" s="8"/>
      <c r="R266" s="8"/>
      <c r="S266" s="8"/>
      <c r="T266" s="8"/>
      <c r="U266" s="12"/>
      <c r="V266" s="12"/>
      <c r="W266" s="12"/>
      <c r="X266" s="12"/>
      <c r="Y266" s="12"/>
      <c r="Z266" s="12"/>
      <c r="AA266" s="12"/>
      <c r="AB266" s="12"/>
      <c r="AC266" s="12"/>
      <c r="AD266" s="12"/>
      <c r="AE266" s="12"/>
      <c r="AF266" s="12"/>
    </row>
    <row r="267" spans="1:32">
      <c r="A267" s="8"/>
      <c r="B267" s="8"/>
      <c r="C267" s="8"/>
      <c r="D267" s="8"/>
      <c r="E267" s="8"/>
      <c r="F267" s="8"/>
      <c r="G267" s="8"/>
      <c r="H267" s="8"/>
      <c r="I267" s="8"/>
      <c r="J267" s="8"/>
      <c r="K267" s="8"/>
      <c r="L267" s="8"/>
      <c r="M267" s="8"/>
      <c r="N267" s="8"/>
      <c r="O267" s="8"/>
      <c r="P267" s="8"/>
      <c r="Q267" s="8"/>
      <c r="R267" s="8"/>
      <c r="S267" s="8"/>
      <c r="T267" s="8"/>
      <c r="U267" s="12"/>
      <c r="V267" s="12"/>
      <c r="W267" s="12"/>
      <c r="X267" s="12"/>
      <c r="Y267" s="12"/>
      <c r="Z267" s="12"/>
      <c r="AA267" s="12"/>
      <c r="AB267" s="12"/>
      <c r="AC267" s="12"/>
      <c r="AD267" s="12"/>
      <c r="AE267" s="12"/>
      <c r="AF267" s="12"/>
    </row>
    <row r="268" spans="1:32">
      <c r="A268" s="8"/>
      <c r="B268" s="8"/>
      <c r="C268" s="8"/>
      <c r="D268" s="8"/>
      <c r="E268" s="8"/>
      <c r="F268" s="8"/>
      <c r="G268" s="8"/>
      <c r="H268" s="8"/>
      <c r="I268" s="8"/>
      <c r="J268" s="8"/>
      <c r="K268" s="8"/>
      <c r="L268" s="8"/>
      <c r="M268" s="8"/>
      <c r="N268" s="8"/>
      <c r="O268" s="8"/>
      <c r="P268" s="8"/>
      <c r="Q268" s="8"/>
      <c r="R268" s="8"/>
      <c r="S268" s="8"/>
      <c r="T268" s="8"/>
      <c r="U268" s="12"/>
      <c r="V268" s="12"/>
      <c r="W268" s="12"/>
      <c r="X268" s="12"/>
      <c r="Y268" s="12"/>
      <c r="Z268" s="12"/>
      <c r="AA268" s="12"/>
      <c r="AB268" s="12"/>
      <c r="AC268" s="12"/>
      <c r="AD268" s="12"/>
      <c r="AE268" s="12"/>
      <c r="AF268" s="12"/>
    </row>
    <row r="269" spans="1:32">
      <c r="A269" s="8"/>
      <c r="B269" s="8"/>
      <c r="C269" s="8"/>
      <c r="D269" s="8"/>
      <c r="E269" s="8"/>
      <c r="F269" s="8"/>
      <c r="G269" s="8"/>
      <c r="H269" s="8"/>
      <c r="I269" s="8"/>
      <c r="J269" s="8"/>
      <c r="K269" s="8"/>
      <c r="L269" s="8"/>
      <c r="M269" s="8"/>
      <c r="N269" s="8"/>
      <c r="O269" s="8"/>
      <c r="P269" s="8"/>
      <c r="Q269" s="8"/>
      <c r="R269" s="8"/>
      <c r="S269" s="8"/>
      <c r="T269" s="8"/>
      <c r="U269" s="12"/>
      <c r="V269" s="12"/>
      <c r="W269" s="12"/>
      <c r="X269" s="12"/>
      <c r="Y269" s="12"/>
      <c r="Z269" s="12"/>
      <c r="AA269" s="12"/>
      <c r="AB269" s="12"/>
      <c r="AC269" s="12"/>
      <c r="AD269" s="12"/>
      <c r="AE269" s="12"/>
      <c r="AF269" s="12"/>
    </row>
    <row r="270" spans="1:32">
      <c r="A270" s="8"/>
      <c r="B270" s="8"/>
      <c r="C270" s="8"/>
      <c r="D270" s="8"/>
      <c r="E270" s="8"/>
      <c r="F270" s="8"/>
      <c r="G270" s="8"/>
      <c r="H270" s="8"/>
      <c r="I270" s="8"/>
      <c r="J270" s="8"/>
      <c r="K270" s="8"/>
      <c r="L270" s="8"/>
      <c r="M270" s="8"/>
      <c r="N270" s="8"/>
      <c r="O270" s="8"/>
      <c r="P270" s="8"/>
      <c r="Q270" s="8"/>
      <c r="R270" s="8"/>
      <c r="S270" s="8"/>
      <c r="T270" s="8"/>
      <c r="U270" s="12"/>
      <c r="V270" s="12"/>
      <c r="W270" s="12"/>
      <c r="X270" s="12"/>
      <c r="Y270" s="12"/>
      <c r="Z270" s="12"/>
      <c r="AA270" s="12"/>
      <c r="AB270" s="12"/>
      <c r="AC270" s="12"/>
      <c r="AD270" s="12"/>
      <c r="AE270" s="12"/>
      <c r="AF270" s="12"/>
    </row>
    <row r="271" spans="1:32">
      <c r="A271" s="8"/>
      <c r="B271" s="8"/>
      <c r="C271" s="8"/>
      <c r="D271" s="8"/>
      <c r="E271" s="8"/>
      <c r="F271" s="8"/>
      <c r="G271" s="8"/>
      <c r="H271" s="8"/>
      <c r="I271" s="8"/>
      <c r="J271" s="8"/>
      <c r="K271" s="8"/>
      <c r="L271" s="8"/>
      <c r="M271" s="8"/>
      <c r="N271" s="8"/>
      <c r="O271" s="8"/>
      <c r="P271" s="8"/>
      <c r="Q271" s="8"/>
      <c r="R271" s="8"/>
      <c r="S271" s="8"/>
      <c r="T271" s="8"/>
      <c r="U271" s="12"/>
      <c r="V271" s="12"/>
      <c r="W271" s="12"/>
      <c r="X271" s="12"/>
      <c r="Y271" s="12"/>
      <c r="Z271" s="12"/>
      <c r="AA271" s="12"/>
      <c r="AB271" s="12"/>
      <c r="AC271" s="12"/>
      <c r="AD271" s="12"/>
      <c r="AE271" s="12"/>
      <c r="AF271" s="12"/>
    </row>
    <row r="272" spans="1:32">
      <c r="A272" s="8"/>
      <c r="B272" s="8"/>
      <c r="C272" s="8"/>
      <c r="D272" s="8"/>
      <c r="E272" s="8"/>
      <c r="F272" s="8"/>
      <c r="G272" s="8"/>
      <c r="H272" s="8"/>
      <c r="I272" s="8"/>
      <c r="J272" s="8"/>
      <c r="K272" s="8"/>
      <c r="L272" s="8"/>
      <c r="M272" s="8"/>
      <c r="N272" s="8"/>
      <c r="O272" s="8"/>
      <c r="P272" s="8"/>
      <c r="Q272" s="8"/>
      <c r="R272" s="8"/>
      <c r="S272" s="8"/>
      <c r="T272" s="8"/>
      <c r="U272" s="12"/>
      <c r="V272" s="12"/>
      <c r="W272" s="12"/>
      <c r="X272" s="12"/>
      <c r="Y272" s="12"/>
      <c r="Z272" s="12"/>
      <c r="AA272" s="12"/>
      <c r="AB272" s="12"/>
      <c r="AC272" s="12"/>
      <c r="AD272" s="12"/>
      <c r="AE272" s="12"/>
      <c r="AF272" s="12"/>
    </row>
    <row r="273" spans="1:32">
      <c r="A273" s="8"/>
      <c r="B273" s="8"/>
      <c r="C273" s="8"/>
      <c r="D273" s="8"/>
      <c r="E273" s="8"/>
      <c r="F273" s="8"/>
      <c r="G273" s="8"/>
      <c r="H273" s="8"/>
      <c r="I273" s="8"/>
      <c r="J273" s="8"/>
      <c r="K273" s="8"/>
      <c r="L273" s="8"/>
      <c r="M273" s="8"/>
      <c r="N273" s="8"/>
      <c r="O273" s="8"/>
      <c r="P273" s="8"/>
      <c r="Q273" s="8"/>
      <c r="R273" s="8"/>
      <c r="S273" s="8"/>
      <c r="T273" s="8"/>
      <c r="U273" s="12"/>
      <c r="V273" s="12"/>
      <c r="W273" s="12"/>
      <c r="X273" s="12"/>
      <c r="Y273" s="12"/>
      <c r="Z273" s="12"/>
      <c r="AA273" s="12"/>
      <c r="AB273" s="12"/>
      <c r="AC273" s="12"/>
      <c r="AD273" s="12"/>
      <c r="AE273" s="12"/>
      <c r="AF273" s="12"/>
    </row>
    <row r="274" spans="1:32">
      <c r="A274" s="8"/>
      <c r="B274" s="8"/>
      <c r="C274" s="8"/>
      <c r="D274" s="8"/>
      <c r="E274" s="8"/>
      <c r="F274" s="8"/>
      <c r="G274" s="8"/>
      <c r="H274" s="8"/>
      <c r="I274" s="8"/>
      <c r="J274" s="8"/>
      <c r="K274" s="8"/>
      <c r="L274" s="8"/>
      <c r="M274" s="8"/>
      <c r="N274" s="8"/>
      <c r="O274" s="8"/>
      <c r="P274" s="8"/>
      <c r="Q274" s="8"/>
      <c r="R274" s="8"/>
      <c r="S274" s="8"/>
      <c r="T274" s="8"/>
      <c r="U274" s="12"/>
      <c r="V274" s="12"/>
      <c r="W274" s="12"/>
      <c r="X274" s="12"/>
      <c r="Y274" s="12"/>
      <c r="Z274" s="12"/>
      <c r="AA274" s="12"/>
      <c r="AB274" s="12"/>
      <c r="AC274" s="12"/>
      <c r="AD274" s="12"/>
      <c r="AE274" s="12"/>
      <c r="AF274" s="12"/>
    </row>
    <row r="275" spans="1:32">
      <c r="A275" s="8"/>
      <c r="B275" s="8"/>
      <c r="C275" s="8"/>
      <c r="D275" s="8"/>
      <c r="E275" s="8"/>
      <c r="F275" s="8"/>
      <c r="G275" s="8"/>
      <c r="H275" s="8"/>
      <c r="I275" s="8"/>
      <c r="J275" s="8"/>
      <c r="K275" s="8"/>
      <c r="L275" s="8"/>
      <c r="M275" s="8"/>
      <c r="N275" s="8"/>
      <c r="O275" s="8"/>
      <c r="P275" s="8"/>
      <c r="Q275" s="8"/>
      <c r="R275" s="8"/>
      <c r="S275" s="8"/>
      <c r="T275" s="8"/>
      <c r="U275" s="12"/>
      <c r="V275" s="12"/>
      <c r="W275" s="12"/>
      <c r="X275" s="12"/>
      <c r="Y275" s="12"/>
      <c r="Z275" s="12"/>
      <c r="AA275" s="12"/>
      <c r="AB275" s="12"/>
      <c r="AC275" s="12"/>
      <c r="AD275" s="12"/>
      <c r="AE275" s="12"/>
      <c r="AF275" s="12"/>
    </row>
    <row r="276" spans="1:32">
      <c r="A276" s="8"/>
      <c r="B276" s="8"/>
      <c r="C276" s="8"/>
      <c r="D276" s="8"/>
      <c r="E276" s="8"/>
      <c r="F276" s="8"/>
      <c r="G276" s="8"/>
      <c r="H276" s="8"/>
      <c r="I276" s="8"/>
      <c r="J276" s="8"/>
      <c r="K276" s="8"/>
      <c r="L276" s="8"/>
      <c r="M276" s="8"/>
      <c r="N276" s="8"/>
      <c r="O276" s="8"/>
      <c r="P276" s="8"/>
      <c r="Q276" s="8"/>
      <c r="R276" s="8"/>
      <c r="S276" s="8"/>
      <c r="T276" s="8"/>
      <c r="U276" s="12"/>
      <c r="V276" s="12"/>
      <c r="W276" s="12"/>
      <c r="X276" s="12"/>
      <c r="Y276" s="12"/>
      <c r="Z276" s="12"/>
      <c r="AA276" s="12"/>
      <c r="AB276" s="12"/>
      <c r="AC276" s="12"/>
      <c r="AD276" s="12"/>
      <c r="AE276" s="12"/>
      <c r="AF276" s="12"/>
    </row>
    <row r="277" spans="1:32">
      <c r="A277" s="8"/>
      <c r="B277" s="8"/>
      <c r="C277" s="8"/>
      <c r="D277" s="8"/>
      <c r="E277" s="8"/>
      <c r="F277" s="8"/>
      <c r="G277" s="8"/>
      <c r="H277" s="8"/>
      <c r="I277" s="8"/>
      <c r="J277" s="8"/>
      <c r="K277" s="8"/>
      <c r="L277" s="8"/>
      <c r="M277" s="8"/>
      <c r="N277" s="8"/>
      <c r="O277" s="8"/>
      <c r="P277" s="8"/>
      <c r="Q277" s="8"/>
      <c r="R277" s="8"/>
      <c r="S277" s="8"/>
      <c r="T277" s="8"/>
      <c r="U277" s="12"/>
      <c r="V277" s="12"/>
      <c r="W277" s="12"/>
      <c r="X277" s="12"/>
      <c r="Y277" s="12"/>
      <c r="Z277" s="12"/>
      <c r="AA277" s="12"/>
      <c r="AB277" s="12"/>
      <c r="AC277" s="12"/>
      <c r="AD277" s="12"/>
      <c r="AE277" s="12"/>
      <c r="AF277" s="12"/>
    </row>
    <row r="278" spans="1:32">
      <c r="A278" s="8"/>
      <c r="B278" s="8"/>
      <c r="C278" s="8"/>
      <c r="D278" s="8"/>
      <c r="E278" s="8"/>
      <c r="F278" s="8"/>
      <c r="G278" s="8"/>
      <c r="H278" s="8"/>
      <c r="I278" s="8"/>
      <c r="J278" s="8"/>
      <c r="K278" s="8"/>
      <c r="L278" s="8"/>
      <c r="M278" s="8"/>
      <c r="N278" s="8"/>
      <c r="O278" s="8"/>
      <c r="P278" s="8"/>
      <c r="Q278" s="8"/>
      <c r="R278" s="8"/>
      <c r="S278" s="8"/>
      <c r="T278" s="8"/>
      <c r="U278" s="12"/>
      <c r="V278" s="12"/>
      <c r="W278" s="12"/>
      <c r="X278" s="12"/>
      <c r="Y278" s="12"/>
      <c r="Z278" s="12"/>
      <c r="AA278" s="12"/>
      <c r="AB278" s="12"/>
      <c r="AC278" s="12"/>
      <c r="AD278" s="12"/>
      <c r="AE278" s="12"/>
      <c r="AF278" s="12"/>
    </row>
    <row r="279" spans="1:32">
      <c r="A279" s="8"/>
      <c r="B279" s="8"/>
      <c r="C279" s="8"/>
      <c r="D279" s="8"/>
      <c r="E279" s="8"/>
      <c r="F279" s="8"/>
      <c r="G279" s="8"/>
      <c r="H279" s="8"/>
      <c r="I279" s="8"/>
      <c r="J279" s="8"/>
      <c r="K279" s="8"/>
      <c r="L279" s="8"/>
      <c r="M279" s="8"/>
      <c r="N279" s="8"/>
      <c r="O279" s="8"/>
      <c r="P279" s="8"/>
      <c r="Q279" s="8"/>
      <c r="R279" s="8"/>
      <c r="S279" s="8"/>
      <c r="T279" s="8"/>
      <c r="U279" s="12"/>
      <c r="V279" s="12"/>
      <c r="W279" s="12"/>
      <c r="X279" s="12"/>
      <c r="Y279" s="12"/>
      <c r="Z279" s="12"/>
      <c r="AA279" s="12"/>
      <c r="AB279" s="12"/>
      <c r="AC279" s="12"/>
      <c r="AD279" s="12"/>
      <c r="AE279" s="12"/>
      <c r="AF279" s="12"/>
    </row>
    <row r="280" spans="1:32">
      <c r="A280" s="8"/>
      <c r="B280" s="8"/>
      <c r="C280" s="8"/>
      <c r="D280" s="8"/>
      <c r="E280" s="8"/>
      <c r="F280" s="8"/>
      <c r="G280" s="8"/>
      <c r="H280" s="8"/>
      <c r="I280" s="8"/>
      <c r="J280" s="8"/>
      <c r="K280" s="8"/>
      <c r="L280" s="8"/>
      <c r="M280" s="8"/>
      <c r="N280" s="8"/>
      <c r="O280" s="8"/>
      <c r="P280" s="8"/>
      <c r="Q280" s="8"/>
      <c r="R280" s="8"/>
      <c r="S280" s="8"/>
      <c r="T280" s="8"/>
      <c r="U280" s="12"/>
      <c r="V280" s="12"/>
      <c r="W280" s="12"/>
      <c r="X280" s="12"/>
      <c r="Y280" s="12"/>
      <c r="Z280" s="12"/>
      <c r="AA280" s="12"/>
      <c r="AB280" s="12"/>
      <c r="AC280" s="12"/>
      <c r="AD280" s="12"/>
      <c r="AE280" s="12"/>
      <c r="AF280" s="12"/>
    </row>
    <row r="281" spans="1:32">
      <c r="A281" s="8"/>
      <c r="B281" s="8"/>
      <c r="C281" s="8"/>
      <c r="D281" s="8"/>
      <c r="E281" s="8"/>
      <c r="F281" s="8"/>
      <c r="G281" s="8"/>
      <c r="H281" s="8"/>
      <c r="I281" s="8"/>
      <c r="J281" s="8"/>
      <c r="K281" s="8"/>
      <c r="L281" s="8"/>
      <c r="M281" s="8"/>
      <c r="N281" s="8"/>
      <c r="O281" s="8"/>
      <c r="P281" s="8"/>
      <c r="Q281" s="8"/>
      <c r="R281" s="8"/>
      <c r="S281" s="8"/>
      <c r="T281" s="8"/>
      <c r="U281" s="12"/>
      <c r="V281" s="12"/>
      <c r="W281" s="12"/>
      <c r="X281" s="12"/>
      <c r="Y281" s="12"/>
      <c r="Z281" s="12"/>
      <c r="AA281" s="12"/>
      <c r="AB281" s="12"/>
      <c r="AC281" s="12"/>
      <c r="AD281" s="12"/>
      <c r="AE281" s="12"/>
      <c r="AF281" s="12"/>
    </row>
    <row r="282" spans="1:32">
      <c r="A282" s="8"/>
      <c r="B282" s="8"/>
      <c r="C282" s="8"/>
      <c r="D282" s="8"/>
      <c r="E282" s="8"/>
      <c r="F282" s="8"/>
      <c r="G282" s="8"/>
      <c r="H282" s="8"/>
      <c r="I282" s="8"/>
      <c r="J282" s="8"/>
      <c r="K282" s="8"/>
      <c r="L282" s="8"/>
      <c r="M282" s="8"/>
      <c r="N282" s="8"/>
      <c r="O282" s="8"/>
      <c r="P282" s="8"/>
      <c r="Q282" s="8"/>
      <c r="R282" s="8"/>
      <c r="S282" s="8"/>
      <c r="T282" s="8"/>
      <c r="U282" s="12"/>
      <c r="V282" s="12"/>
      <c r="W282" s="12"/>
      <c r="X282" s="12"/>
      <c r="Y282" s="12"/>
      <c r="Z282" s="12"/>
      <c r="AA282" s="12"/>
      <c r="AB282" s="12"/>
      <c r="AC282" s="12"/>
      <c r="AD282" s="12"/>
      <c r="AE282" s="12"/>
      <c r="AF282" s="12"/>
    </row>
    <row r="283" spans="1:32">
      <c r="A283" s="8"/>
      <c r="B283" s="8"/>
      <c r="C283" s="8"/>
      <c r="D283" s="8"/>
      <c r="E283" s="8"/>
      <c r="F283" s="8"/>
      <c r="G283" s="8"/>
      <c r="H283" s="8"/>
      <c r="I283" s="8"/>
      <c r="J283" s="8"/>
      <c r="K283" s="8"/>
      <c r="L283" s="8"/>
      <c r="M283" s="8"/>
      <c r="N283" s="8"/>
      <c r="O283" s="8"/>
      <c r="P283" s="8"/>
      <c r="Q283" s="8"/>
      <c r="R283" s="8"/>
      <c r="S283" s="8"/>
      <c r="T283" s="8"/>
      <c r="U283" s="12"/>
      <c r="V283" s="12"/>
      <c r="W283" s="12"/>
      <c r="X283" s="12"/>
      <c r="Y283" s="12"/>
      <c r="Z283" s="12"/>
      <c r="AA283" s="12"/>
      <c r="AB283" s="12"/>
      <c r="AC283" s="12"/>
      <c r="AD283" s="12"/>
      <c r="AE283" s="12"/>
      <c r="AF283" s="12"/>
    </row>
    <row r="284" spans="1:32">
      <c r="A284" s="8"/>
      <c r="B284" s="8"/>
      <c r="C284" s="8"/>
      <c r="D284" s="8"/>
      <c r="E284" s="8"/>
      <c r="F284" s="8"/>
      <c r="G284" s="8"/>
      <c r="H284" s="8"/>
      <c r="I284" s="8"/>
      <c r="J284" s="8"/>
      <c r="K284" s="8"/>
      <c r="L284" s="8"/>
      <c r="M284" s="8"/>
      <c r="N284" s="8"/>
      <c r="O284" s="8"/>
      <c r="P284" s="8"/>
      <c r="Q284" s="8"/>
      <c r="R284" s="8"/>
      <c r="S284" s="8"/>
      <c r="T284" s="8"/>
      <c r="U284" s="12"/>
      <c r="V284" s="12"/>
      <c r="W284" s="12"/>
      <c r="X284" s="12"/>
      <c r="Y284" s="12"/>
      <c r="Z284" s="12"/>
      <c r="AA284" s="12"/>
      <c r="AB284" s="12"/>
      <c r="AC284" s="12"/>
      <c r="AD284" s="12"/>
      <c r="AE284" s="12"/>
      <c r="AF284" s="12"/>
    </row>
    <row r="285" spans="1:32">
      <c r="A285" s="8"/>
      <c r="B285" s="8"/>
      <c r="C285" s="8"/>
      <c r="D285" s="8"/>
      <c r="E285" s="8"/>
      <c r="F285" s="8"/>
      <c r="G285" s="8"/>
      <c r="H285" s="8"/>
      <c r="I285" s="8"/>
      <c r="J285" s="8"/>
      <c r="K285" s="8"/>
      <c r="L285" s="8"/>
      <c r="M285" s="8"/>
      <c r="N285" s="8"/>
      <c r="O285" s="8"/>
      <c r="P285" s="8"/>
      <c r="Q285" s="8"/>
      <c r="R285" s="8"/>
      <c r="S285" s="8"/>
      <c r="T285" s="8"/>
      <c r="U285" s="12"/>
      <c r="V285" s="12"/>
      <c r="W285" s="12"/>
      <c r="X285" s="12"/>
      <c r="Y285" s="12"/>
      <c r="Z285" s="12"/>
      <c r="AA285" s="12"/>
      <c r="AB285" s="12"/>
      <c r="AC285" s="12"/>
      <c r="AD285" s="12"/>
      <c r="AE285" s="12"/>
      <c r="AF285" s="12"/>
    </row>
    <row r="286" spans="1:32">
      <c r="A286" s="8"/>
      <c r="B286" s="8"/>
      <c r="C286" s="8"/>
      <c r="D286" s="8"/>
      <c r="E286" s="8"/>
      <c r="F286" s="8"/>
      <c r="G286" s="8"/>
      <c r="H286" s="8"/>
      <c r="I286" s="8"/>
      <c r="J286" s="8"/>
      <c r="K286" s="8"/>
      <c r="L286" s="8"/>
      <c r="M286" s="8"/>
      <c r="N286" s="8"/>
      <c r="O286" s="8"/>
      <c r="P286" s="8"/>
      <c r="Q286" s="8"/>
      <c r="R286" s="8"/>
      <c r="S286" s="8"/>
      <c r="T286" s="8"/>
      <c r="U286" s="12"/>
      <c r="V286" s="12"/>
      <c r="W286" s="12"/>
      <c r="X286" s="12"/>
      <c r="Y286" s="12"/>
      <c r="Z286" s="12"/>
      <c r="AA286" s="12"/>
      <c r="AB286" s="12"/>
      <c r="AC286" s="12"/>
      <c r="AD286" s="12"/>
      <c r="AE286" s="12"/>
      <c r="AF286" s="12"/>
    </row>
    <row r="287" spans="1:32">
      <c r="A287" s="8"/>
      <c r="B287" s="8"/>
      <c r="C287" s="8"/>
      <c r="D287" s="8"/>
      <c r="E287" s="8"/>
      <c r="F287" s="8"/>
      <c r="G287" s="8"/>
      <c r="H287" s="8"/>
      <c r="I287" s="8"/>
      <c r="J287" s="8"/>
      <c r="K287" s="8"/>
      <c r="L287" s="8"/>
      <c r="M287" s="8"/>
      <c r="N287" s="8"/>
      <c r="O287" s="8"/>
      <c r="P287" s="8"/>
      <c r="Q287" s="8"/>
      <c r="R287" s="8"/>
      <c r="S287" s="8"/>
      <c r="T287" s="8"/>
      <c r="U287" s="12"/>
      <c r="V287" s="12"/>
      <c r="W287" s="12"/>
      <c r="X287" s="12"/>
      <c r="Y287" s="12"/>
      <c r="Z287" s="12"/>
      <c r="AA287" s="12"/>
      <c r="AB287" s="12"/>
      <c r="AC287" s="12"/>
      <c r="AD287" s="12"/>
      <c r="AE287" s="12"/>
      <c r="AF287" s="12"/>
    </row>
    <row r="288" spans="1:32">
      <c r="A288" s="8"/>
      <c r="B288" s="8"/>
      <c r="C288" s="8"/>
      <c r="D288" s="8"/>
      <c r="E288" s="8"/>
      <c r="F288" s="8"/>
      <c r="G288" s="8"/>
      <c r="H288" s="8"/>
      <c r="I288" s="8"/>
      <c r="J288" s="8"/>
      <c r="K288" s="8"/>
      <c r="L288" s="8"/>
      <c r="M288" s="8"/>
      <c r="N288" s="8"/>
      <c r="O288" s="8"/>
      <c r="P288" s="8"/>
      <c r="Q288" s="8"/>
      <c r="R288" s="8"/>
      <c r="S288" s="8"/>
      <c r="T288" s="8"/>
      <c r="U288" s="12"/>
      <c r="V288" s="12"/>
      <c r="W288" s="12"/>
      <c r="X288" s="12"/>
      <c r="Y288" s="12"/>
      <c r="Z288" s="12"/>
      <c r="AA288" s="12"/>
      <c r="AB288" s="12"/>
      <c r="AC288" s="12"/>
      <c r="AD288" s="12"/>
      <c r="AE288" s="12"/>
      <c r="AF288" s="12"/>
    </row>
    <row r="289" spans="1:32">
      <c r="A289" s="8"/>
      <c r="B289" s="8"/>
      <c r="C289" s="8"/>
      <c r="D289" s="8"/>
      <c r="E289" s="8"/>
      <c r="F289" s="8"/>
      <c r="G289" s="8"/>
      <c r="H289" s="8"/>
      <c r="I289" s="8"/>
      <c r="J289" s="8"/>
      <c r="K289" s="8"/>
      <c r="L289" s="8"/>
      <c r="M289" s="8"/>
      <c r="N289" s="8"/>
      <c r="O289" s="8"/>
      <c r="P289" s="8"/>
      <c r="Q289" s="8"/>
      <c r="R289" s="8"/>
      <c r="S289" s="8"/>
      <c r="T289" s="8"/>
      <c r="U289" s="12"/>
      <c r="V289" s="12"/>
      <c r="W289" s="12"/>
      <c r="X289" s="12"/>
      <c r="Y289" s="12"/>
      <c r="Z289" s="12"/>
      <c r="AA289" s="12"/>
      <c r="AB289" s="12"/>
      <c r="AC289" s="12"/>
      <c r="AD289" s="12"/>
      <c r="AE289" s="12"/>
      <c r="AF289" s="12"/>
    </row>
    <row r="290" spans="1:32">
      <c r="A290" s="8"/>
      <c r="B290" s="8"/>
      <c r="C290" s="8"/>
      <c r="D290" s="8"/>
      <c r="E290" s="8"/>
      <c r="F290" s="8"/>
      <c r="G290" s="8"/>
      <c r="H290" s="8"/>
      <c r="I290" s="8"/>
      <c r="J290" s="8"/>
      <c r="K290" s="8"/>
      <c r="L290" s="8"/>
      <c r="M290" s="8"/>
      <c r="N290" s="8"/>
      <c r="O290" s="8"/>
      <c r="P290" s="8"/>
      <c r="Q290" s="8"/>
      <c r="R290" s="8"/>
      <c r="S290" s="8"/>
      <c r="T290" s="8"/>
      <c r="U290" s="12"/>
      <c r="V290" s="12"/>
      <c r="W290" s="12"/>
      <c r="X290" s="12"/>
      <c r="Y290" s="12"/>
      <c r="Z290" s="12"/>
      <c r="AA290" s="12"/>
      <c r="AB290" s="12"/>
      <c r="AC290" s="12"/>
      <c r="AD290" s="12"/>
      <c r="AE290" s="12"/>
      <c r="AF290" s="12"/>
    </row>
    <row r="291" spans="1:32">
      <c r="A291" s="8"/>
      <c r="B291" s="8"/>
      <c r="C291" s="8"/>
      <c r="D291" s="8"/>
      <c r="E291" s="8"/>
      <c r="F291" s="8"/>
      <c r="G291" s="8"/>
      <c r="H291" s="8"/>
      <c r="I291" s="8"/>
      <c r="J291" s="8"/>
      <c r="K291" s="8"/>
      <c r="L291" s="8"/>
      <c r="M291" s="8"/>
      <c r="N291" s="8"/>
      <c r="O291" s="8"/>
      <c r="P291" s="8"/>
      <c r="Q291" s="8"/>
      <c r="R291" s="8"/>
      <c r="S291" s="8"/>
      <c r="T291" s="8"/>
      <c r="U291" s="12"/>
      <c r="V291" s="12"/>
      <c r="W291" s="12"/>
      <c r="X291" s="12"/>
      <c r="Y291" s="12"/>
      <c r="Z291" s="12"/>
      <c r="AA291" s="12"/>
      <c r="AB291" s="12"/>
      <c r="AC291" s="12"/>
      <c r="AD291" s="12"/>
      <c r="AE291" s="12"/>
      <c r="AF291" s="12"/>
    </row>
    <row r="292" spans="1:32">
      <c r="A292" s="8"/>
      <c r="B292" s="8"/>
      <c r="C292" s="8"/>
      <c r="D292" s="8"/>
      <c r="E292" s="8"/>
      <c r="F292" s="8"/>
      <c r="G292" s="8"/>
      <c r="H292" s="8"/>
      <c r="I292" s="8"/>
      <c r="J292" s="8"/>
      <c r="K292" s="8"/>
      <c r="L292" s="8"/>
      <c r="M292" s="8"/>
      <c r="N292" s="8"/>
      <c r="O292" s="8"/>
      <c r="P292" s="8"/>
      <c r="Q292" s="8"/>
      <c r="R292" s="8"/>
      <c r="S292" s="8"/>
      <c r="T292" s="8"/>
      <c r="U292" s="12"/>
      <c r="V292" s="12"/>
      <c r="W292" s="12"/>
      <c r="X292" s="12"/>
      <c r="Y292" s="12"/>
      <c r="Z292" s="12"/>
      <c r="AA292" s="12"/>
      <c r="AB292" s="12"/>
      <c r="AC292" s="12"/>
      <c r="AD292" s="12"/>
      <c r="AE292" s="12"/>
      <c r="AF292" s="12"/>
    </row>
    <row r="293" spans="1:32">
      <c r="A293" s="8"/>
      <c r="B293" s="8"/>
      <c r="C293" s="8"/>
      <c r="D293" s="8"/>
      <c r="E293" s="8"/>
      <c r="F293" s="8"/>
      <c r="G293" s="8"/>
      <c r="H293" s="8"/>
      <c r="I293" s="8"/>
      <c r="J293" s="8"/>
      <c r="K293" s="8"/>
      <c r="L293" s="8"/>
      <c r="M293" s="8"/>
      <c r="N293" s="8"/>
      <c r="O293" s="8"/>
      <c r="P293" s="8"/>
      <c r="Q293" s="8"/>
      <c r="R293" s="8"/>
      <c r="S293" s="8"/>
      <c r="T293" s="8"/>
      <c r="U293" s="12"/>
      <c r="V293" s="12"/>
      <c r="W293" s="12"/>
      <c r="X293" s="12"/>
      <c r="Y293" s="12"/>
      <c r="Z293" s="12"/>
      <c r="AA293" s="12"/>
      <c r="AB293" s="12"/>
      <c r="AC293" s="12"/>
      <c r="AD293" s="12"/>
      <c r="AE293" s="12"/>
      <c r="AF293" s="12"/>
    </row>
    <row r="294" spans="1:32">
      <c r="A294" s="8"/>
      <c r="B294" s="8"/>
      <c r="C294" s="8"/>
      <c r="D294" s="8"/>
      <c r="E294" s="8"/>
      <c r="F294" s="8"/>
      <c r="G294" s="8"/>
      <c r="H294" s="8"/>
      <c r="I294" s="8"/>
      <c r="J294" s="8"/>
      <c r="K294" s="8"/>
      <c r="L294" s="8"/>
      <c r="M294" s="8"/>
      <c r="N294" s="8"/>
      <c r="O294" s="8"/>
      <c r="P294" s="8"/>
      <c r="Q294" s="8"/>
      <c r="R294" s="8"/>
      <c r="S294" s="8"/>
      <c r="T294" s="8"/>
      <c r="U294" s="12"/>
      <c r="V294" s="12"/>
      <c r="W294" s="12"/>
      <c r="X294" s="12"/>
      <c r="Y294" s="12"/>
      <c r="Z294" s="12"/>
      <c r="AA294" s="12"/>
      <c r="AB294" s="12"/>
      <c r="AC294" s="12"/>
      <c r="AD294" s="12"/>
      <c r="AE294" s="12"/>
      <c r="AF294" s="12"/>
    </row>
    <row r="295" spans="1:32">
      <c r="A295" s="8"/>
      <c r="B295" s="8"/>
      <c r="C295" s="8"/>
      <c r="D295" s="8"/>
      <c r="E295" s="8"/>
      <c r="F295" s="8"/>
      <c r="G295" s="8"/>
      <c r="H295" s="8"/>
      <c r="I295" s="8"/>
      <c r="J295" s="8"/>
      <c r="K295" s="8"/>
      <c r="L295" s="8"/>
      <c r="M295" s="8"/>
      <c r="N295" s="8"/>
      <c r="O295" s="8"/>
      <c r="P295" s="8"/>
      <c r="Q295" s="8"/>
      <c r="R295" s="8"/>
      <c r="S295" s="8"/>
      <c r="T295" s="8"/>
      <c r="U295" s="12"/>
      <c r="V295" s="12"/>
      <c r="W295" s="12"/>
      <c r="X295" s="12"/>
      <c r="Y295" s="12"/>
      <c r="Z295" s="12"/>
      <c r="AA295" s="12"/>
      <c r="AB295" s="12"/>
      <c r="AC295" s="12"/>
      <c r="AD295" s="12"/>
      <c r="AE295" s="12"/>
      <c r="AF295" s="12"/>
    </row>
    <row r="296" spans="1:32">
      <c r="A296" s="8"/>
      <c r="B296" s="8"/>
      <c r="C296" s="8"/>
      <c r="D296" s="8"/>
      <c r="E296" s="8"/>
      <c r="F296" s="8"/>
      <c r="G296" s="8"/>
      <c r="H296" s="8"/>
      <c r="I296" s="8"/>
      <c r="J296" s="8"/>
      <c r="K296" s="8"/>
      <c r="L296" s="8"/>
      <c r="M296" s="8"/>
      <c r="N296" s="8"/>
      <c r="O296" s="8"/>
      <c r="P296" s="8"/>
      <c r="Q296" s="8"/>
      <c r="R296" s="8"/>
      <c r="S296" s="8"/>
      <c r="T296" s="8"/>
      <c r="U296" s="12"/>
      <c r="V296" s="12"/>
      <c r="W296" s="12"/>
      <c r="X296" s="12"/>
      <c r="Y296" s="12"/>
      <c r="Z296" s="12"/>
      <c r="AA296" s="12"/>
      <c r="AB296" s="12"/>
      <c r="AC296" s="12"/>
      <c r="AD296" s="12"/>
      <c r="AE296" s="12"/>
      <c r="AF296" s="12"/>
    </row>
    <row r="297" spans="1:32">
      <c r="A297" s="8"/>
      <c r="B297" s="8"/>
      <c r="C297" s="8"/>
      <c r="D297" s="8"/>
      <c r="E297" s="8"/>
      <c r="F297" s="8"/>
      <c r="G297" s="8"/>
      <c r="H297" s="8"/>
      <c r="I297" s="8"/>
      <c r="J297" s="8"/>
      <c r="K297" s="8"/>
      <c r="L297" s="8"/>
      <c r="M297" s="8"/>
      <c r="N297" s="8"/>
      <c r="O297" s="8"/>
      <c r="P297" s="8"/>
      <c r="Q297" s="8"/>
      <c r="R297" s="8"/>
      <c r="S297" s="8"/>
      <c r="T297" s="8"/>
      <c r="U297" s="12"/>
      <c r="V297" s="12"/>
      <c r="W297" s="12"/>
      <c r="X297" s="12"/>
      <c r="Y297" s="12"/>
      <c r="Z297" s="12"/>
      <c r="AA297" s="12"/>
      <c r="AB297" s="12"/>
      <c r="AC297" s="12"/>
      <c r="AD297" s="12"/>
      <c r="AE297" s="12"/>
      <c r="AF297" s="12"/>
    </row>
    <row r="298" spans="1:32">
      <c r="A298" s="8"/>
      <c r="B298" s="8"/>
      <c r="C298" s="8"/>
      <c r="D298" s="8"/>
      <c r="E298" s="8"/>
      <c r="F298" s="8"/>
      <c r="G298" s="8"/>
      <c r="H298" s="8"/>
      <c r="I298" s="8"/>
      <c r="J298" s="8"/>
      <c r="K298" s="8"/>
      <c r="L298" s="8"/>
      <c r="M298" s="8"/>
      <c r="N298" s="8"/>
      <c r="O298" s="8"/>
      <c r="P298" s="8"/>
      <c r="Q298" s="8"/>
      <c r="R298" s="8"/>
      <c r="S298" s="8"/>
      <c r="T298" s="8"/>
      <c r="U298" s="12"/>
      <c r="V298" s="12"/>
      <c r="W298" s="12"/>
      <c r="X298" s="12"/>
      <c r="Y298" s="12"/>
      <c r="Z298" s="12"/>
      <c r="AA298" s="12"/>
      <c r="AB298" s="12"/>
      <c r="AC298" s="12"/>
      <c r="AD298" s="12"/>
      <c r="AE298" s="12"/>
      <c r="AF298" s="12"/>
    </row>
    <row r="299" spans="1:32">
      <c r="A299" s="8"/>
      <c r="B299" s="8"/>
      <c r="C299" s="8"/>
      <c r="D299" s="8"/>
      <c r="E299" s="8"/>
      <c r="F299" s="8"/>
      <c r="G299" s="8"/>
      <c r="H299" s="8"/>
      <c r="I299" s="8"/>
      <c r="J299" s="8"/>
      <c r="K299" s="8"/>
      <c r="L299" s="8"/>
      <c r="M299" s="8"/>
      <c r="N299" s="8"/>
      <c r="O299" s="8"/>
      <c r="P299" s="8"/>
      <c r="Q299" s="8"/>
      <c r="R299" s="8"/>
      <c r="S299" s="8"/>
      <c r="T299" s="8"/>
      <c r="U299" s="12"/>
      <c r="V299" s="12"/>
      <c r="W299" s="12"/>
      <c r="X299" s="12"/>
      <c r="Y299" s="12"/>
      <c r="Z299" s="12"/>
      <c r="AA299" s="12"/>
      <c r="AB299" s="12"/>
      <c r="AC299" s="12"/>
      <c r="AD299" s="12"/>
      <c r="AE299" s="12"/>
      <c r="AF299" s="12"/>
    </row>
    <row r="300" spans="1:32">
      <c r="A300" s="8"/>
      <c r="B300" s="8"/>
      <c r="C300" s="8"/>
      <c r="D300" s="8"/>
      <c r="E300" s="8"/>
      <c r="F300" s="8"/>
      <c r="G300" s="8"/>
      <c r="H300" s="8"/>
      <c r="I300" s="8"/>
      <c r="J300" s="8"/>
      <c r="K300" s="8"/>
      <c r="L300" s="8"/>
      <c r="M300" s="8"/>
      <c r="N300" s="8"/>
      <c r="O300" s="8"/>
      <c r="P300" s="8"/>
      <c r="Q300" s="8"/>
      <c r="R300" s="8"/>
      <c r="S300" s="8"/>
      <c r="T300" s="8"/>
      <c r="U300" s="12"/>
      <c r="V300" s="12"/>
      <c r="W300" s="12"/>
      <c r="X300" s="12"/>
      <c r="Y300" s="12"/>
      <c r="Z300" s="12"/>
      <c r="AA300" s="12"/>
      <c r="AB300" s="12"/>
      <c r="AC300" s="12"/>
      <c r="AD300" s="12"/>
      <c r="AE300" s="12"/>
      <c r="AF300" s="12"/>
    </row>
    <row r="301" spans="1:32">
      <c r="A301" s="8"/>
      <c r="B301" s="8"/>
      <c r="C301" s="8"/>
      <c r="D301" s="8"/>
      <c r="E301" s="8"/>
      <c r="F301" s="8"/>
      <c r="G301" s="8"/>
      <c r="H301" s="8"/>
      <c r="I301" s="8"/>
      <c r="J301" s="8"/>
      <c r="K301" s="8"/>
      <c r="L301" s="8"/>
      <c r="M301" s="8"/>
      <c r="N301" s="8"/>
      <c r="O301" s="8"/>
      <c r="P301" s="8"/>
      <c r="Q301" s="8"/>
      <c r="R301" s="8"/>
      <c r="S301" s="8"/>
      <c r="T301" s="8"/>
      <c r="U301" s="12"/>
      <c r="V301" s="12"/>
      <c r="W301" s="12"/>
      <c r="X301" s="12"/>
      <c r="Y301" s="12"/>
      <c r="Z301" s="12"/>
      <c r="AA301" s="12"/>
      <c r="AB301" s="12"/>
      <c r="AC301" s="12"/>
      <c r="AD301" s="12"/>
      <c r="AE301" s="12"/>
      <c r="AF301" s="12"/>
    </row>
    <row r="302" spans="1:32">
      <c r="A302" s="8"/>
      <c r="B302" s="8"/>
      <c r="C302" s="8"/>
      <c r="D302" s="8"/>
      <c r="E302" s="8"/>
      <c r="F302" s="8"/>
      <c r="G302" s="8"/>
      <c r="H302" s="8"/>
      <c r="I302" s="8"/>
      <c r="J302" s="8"/>
      <c r="K302" s="8"/>
      <c r="L302" s="8"/>
      <c r="M302" s="8"/>
      <c r="N302" s="8"/>
      <c r="O302" s="8"/>
      <c r="P302" s="8"/>
      <c r="Q302" s="8"/>
      <c r="R302" s="8"/>
      <c r="S302" s="8"/>
      <c r="T302" s="8"/>
      <c r="U302" s="12"/>
      <c r="V302" s="12"/>
      <c r="W302" s="12"/>
      <c r="X302" s="12"/>
      <c r="Y302" s="12"/>
      <c r="Z302" s="12"/>
      <c r="AA302" s="12"/>
      <c r="AB302" s="12"/>
      <c r="AC302" s="12"/>
      <c r="AD302" s="12"/>
      <c r="AE302" s="12"/>
      <c r="AF302" s="12"/>
    </row>
    <row r="303" spans="1:32">
      <c r="A303" s="8"/>
      <c r="B303" s="8"/>
      <c r="C303" s="8"/>
      <c r="D303" s="8"/>
      <c r="E303" s="8"/>
      <c r="F303" s="8"/>
      <c r="G303" s="8"/>
      <c r="H303" s="8"/>
      <c r="I303" s="8"/>
      <c r="J303" s="8"/>
      <c r="K303" s="8"/>
      <c r="L303" s="8"/>
      <c r="M303" s="8"/>
      <c r="N303" s="8"/>
      <c r="O303" s="8"/>
      <c r="P303" s="8"/>
      <c r="Q303" s="8"/>
      <c r="R303" s="8"/>
      <c r="S303" s="8"/>
      <c r="T303" s="8"/>
      <c r="U303" s="12"/>
      <c r="V303" s="12"/>
      <c r="W303" s="12"/>
      <c r="X303" s="12"/>
      <c r="Y303" s="12"/>
      <c r="Z303" s="12"/>
      <c r="AA303" s="12"/>
      <c r="AB303" s="12"/>
      <c r="AC303" s="12"/>
      <c r="AD303" s="12"/>
      <c r="AE303" s="12"/>
      <c r="AF303" s="12"/>
    </row>
    <row r="304" spans="1:32">
      <c r="A304" s="8"/>
      <c r="B304" s="8"/>
      <c r="C304" s="8"/>
      <c r="D304" s="8"/>
      <c r="E304" s="8"/>
      <c r="F304" s="8"/>
      <c r="G304" s="8"/>
      <c r="H304" s="8"/>
      <c r="I304" s="8"/>
      <c r="J304" s="8"/>
      <c r="K304" s="8"/>
      <c r="L304" s="8"/>
      <c r="M304" s="8"/>
      <c r="N304" s="8"/>
      <c r="O304" s="8"/>
      <c r="P304" s="8"/>
      <c r="Q304" s="8"/>
      <c r="R304" s="8"/>
      <c r="S304" s="8"/>
      <c r="T304" s="8"/>
      <c r="U304" s="12"/>
      <c r="V304" s="12"/>
      <c r="W304" s="12"/>
      <c r="X304" s="12"/>
      <c r="Y304" s="12"/>
      <c r="Z304" s="12"/>
      <c r="AA304" s="12"/>
      <c r="AB304" s="12"/>
      <c r="AC304" s="12"/>
      <c r="AD304" s="12"/>
      <c r="AE304" s="12"/>
      <c r="AF304" s="12"/>
    </row>
    <row r="305" spans="1:32">
      <c r="A305" s="8"/>
      <c r="B305" s="8"/>
      <c r="C305" s="8"/>
      <c r="D305" s="8"/>
      <c r="E305" s="8"/>
      <c r="F305" s="8"/>
      <c r="G305" s="8"/>
      <c r="H305" s="8"/>
      <c r="I305" s="8"/>
      <c r="J305" s="8"/>
      <c r="K305" s="8"/>
      <c r="L305" s="8"/>
      <c r="M305" s="8"/>
      <c r="N305" s="8"/>
      <c r="O305" s="8"/>
      <c r="P305" s="8"/>
      <c r="Q305" s="8"/>
      <c r="R305" s="8"/>
      <c r="S305" s="8"/>
      <c r="T305" s="8"/>
      <c r="U305" s="12"/>
      <c r="V305" s="12"/>
      <c r="W305" s="12"/>
      <c r="X305" s="12"/>
      <c r="Y305" s="12"/>
      <c r="Z305" s="12"/>
      <c r="AA305" s="12"/>
      <c r="AB305" s="12"/>
      <c r="AC305" s="12"/>
      <c r="AD305" s="12"/>
      <c r="AE305" s="12"/>
      <c r="AF305" s="12"/>
    </row>
    <row r="306" spans="1:32">
      <c r="A306" s="8"/>
      <c r="B306" s="8"/>
      <c r="C306" s="8"/>
      <c r="D306" s="8"/>
      <c r="E306" s="8"/>
      <c r="F306" s="8"/>
      <c r="G306" s="8"/>
      <c r="H306" s="8"/>
      <c r="I306" s="8"/>
      <c r="J306" s="8"/>
      <c r="K306" s="8"/>
      <c r="L306" s="8"/>
      <c r="M306" s="8"/>
      <c r="N306" s="8"/>
      <c r="O306" s="8"/>
      <c r="P306" s="8"/>
      <c r="Q306" s="8"/>
      <c r="R306" s="8"/>
      <c r="S306" s="8"/>
      <c r="T306" s="8"/>
      <c r="U306" s="12"/>
      <c r="V306" s="12"/>
      <c r="W306" s="12"/>
      <c r="X306" s="12"/>
      <c r="Y306" s="12"/>
      <c r="Z306" s="12"/>
      <c r="AA306" s="12"/>
      <c r="AB306" s="12"/>
      <c r="AC306" s="12"/>
      <c r="AD306" s="12"/>
      <c r="AE306" s="12"/>
      <c r="AF306" s="12"/>
    </row>
    <row r="307" spans="1:32">
      <c r="A307" s="8"/>
      <c r="B307" s="8"/>
      <c r="C307" s="8"/>
      <c r="D307" s="8"/>
      <c r="E307" s="8"/>
      <c r="F307" s="8"/>
      <c r="G307" s="8"/>
      <c r="H307" s="8"/>
      <c r="I307" s="8"/>
      <c r="J307" s="8"/>
      <c r="K307" s="8"/>
      <c r="L307" s="8"/>
      <c r="M307" s="8"/>
      <c r="N307" s="8"/>
      <c r="O307" s="8"/>
      <c r="P307" s="8"/>
      <c r="Q307" s="8"/>
      <c r="R307" s="8"/>
      <c r="S307" s="8"/>
      <c r="T307" s="8"/>
      <c r="U307" s="12"/>
      <c r="V307" s="12"/>
      <c r="W307" s="12"/>
      <c r="X307" s="12"/>
      <c r="Y307" s="12"/>
      <c r="Z307" s="12"/>
      <c r="AA307" s="12"/>
      <c r="AB307" s="12"/>
      <c r="AC307" s="12"/>
      <c r="AD307" s="12"/>
      <c r="AE307" s="12"/>
      <c r="AF307" s="12"/>
    </row>
    <row r="308" spans="1:32">
      <c r="A308" s="8"/>
      <c r="B308" s="8"/>
      <c r="C308" s="8"/>
      <c r="D308" s="8"/>
      <c r="E308" s="8"/>
      <c r="F308" s="8"/>
      <c r="G308" s="8"/>
      <c r="H308" s="8"/>
      <c r="I308" s="8"/>
      <c r="J308" s="8"/>
      <c r="K308" s="8"/>
      <c r="L308" s="8"/>
      <c r="M308" s="8"/>
      <c r="N308" s="8"/>
      <c r="O308" s="8"/>
      <c r="P308" s="8"/>
      <c r="Q308" s="8"/>
      <c r="R308" s="8"/>
      <c r="S308" s="8"/>
      <c r="T308" s="8"/>
      <c r="U308" s="12"/>
      <c r="V308" s="12"/>
      <c r="W308" s="12"/>
      <c r="X308" s="12"/>
      <c r="Y308" s="12"/>
      <c r="Z308" s="12"/>
      <c r="AA308" s="12"/>
      <c r="AB308" s="12"/>
      <c r="AC308" s="12"/>
      <c r="AD308" s="12"/>
      <c r="AE308" s="12"/>
      <c r="AF308" s="12"/>
    </row>
    <row r="309" spans="1:32">
      <c r="A309" s="8"/>
      <c r="B309" s="8"/>
      <c r="C309" s="8"/>
      <c r="D309" s="8"/>
      <c r="E309" s="8"/>
      <c r="F309" s="8"/>
      <c r="G309" s="8"/>
      <c r="H309" s="8"/>
      <c r="I309" s="8"/>
      <c r="J309" s="8"/>
      <c r="K309" s="8"/>
      <c r="L309" s="8"/>
      <c r="M309" s="8"/>
      <c r="N309" s="8"/>
      <c r="O309" s="8"/>
      <c r="P309" s="8"/>
      <c r="Q309" s="8"/>
      <c r="R309" s="8"/>
      <c r="S309" s="8"/>
      <c r="T309" s="8"/>
      <c r="U309" s="12"/>
      <c r="V309" s="12"/>
      <c r="W309" s="12"/>
      <c r="X309" s="12"/>
      <c r="Y309" s="12"/>
      <c r="Z309" s="12"/>
      <c r="AA309" s="12"/>
      <c r="AB309" s="12"/>
      <c r="AC309" s="12"/>
      <c r="AD309" s="12"/>
      <c r="AE309" s="12"/>
      <c r="AF309" s="12"/>
    </row>
    <row r="310" spans="1:32">
      <c r="A310" s="8"/>
      <c r="B310" s="8"/>
      <c r="C310" s="8"/>
      <c r="D310" s="8"/>
      <c r="E310" s="8"/>
      <c r="F310" s="8"/>
      <c r="G310" s="8"/>
      <c r="H310" s="8"/>
      <c r="I310" s="8"/>
      <c r="J310" s="8"/>
      <c r="K310" s="8"/>
      <c r="L310" s="8"/>
      <c r="M310" s="8"/>
      <c r="N310" s="8"/>
      <c r="O310" s="8"/>
      <c r="P310" s="8"/>
      <c r="Q310" s="8"/>
      <c r="R310" s="8"/>
      <c r="S310" s="8"/>
      <c r="T310" s="8"/>
      <c r="U310" s="12"/>
      <c r="V310" s="12"/>
      <c r="W310" s="12"/>
      <c r="X310" s="12"/>
      <c r="Y310" s="12"/>
      <c r="Z310" s="12"/>
      <c r="AA310" s="12"/>
      <c r="AB310" s="12"/>
      <c r="AC310" s="12"/>
      <c r="AD310" s="12"/>
      <c r="AE310" s="12"/>
      <c r="AF310" s="12"/>
    </row>
    <row r="311" spans="1:32">
      <c r="A311" s="8"/>
      <c r="B311" s="8"/>
      <c r="C311" s="8"/>
      <c r="D311" s="8"/>
      <c r="E311" s="8"/>
      <c r="F311" s="8"/>
      <c r="G311" s="8"/>
      <c r="H311" s="8"/>
      <c r="I311" s="8"/>
      <c r="J311" s="8"/>
      <c r="K311" s="8"/>
      <c r="L311" s="8"/>
      <c r="M311" s="8"/>
      <c r="N311" s="8"/>
      <c r="O311" s="8"/>
      <c r="P311" s="8"/>
      <c r="Q311" s="8"/>
      <c r="R311" s="8"/>
      <c r="S311" s="8"/>
      <c r="T311" s="8"/>
      <c r="U311" s="12"/>
      <c r="V311" s="12"/>
      <c r="W311" s="12"/>
      <c r="X311" s="12"/>
      <c r="Y311" s="12"/>
      <c r="Z311" s="12"/>
      <c r="AA311" s="12"/>
      <c r="AB311" s="12"/>
      <c r="AC311" s="12"/>
      <c r="AD311" s="12"/>
      <c r="AE311" s="12"/>
      <c r="AF311" s="12"/>
    </row>
    <row r="312" spans="1:32">
      <c r="A312" s="8"/>
      <c r="B312" s="8"/>
      <c r="C312" s="8"/>
      <c r="D312" s="8"/>
      <c r="E312" s="8"/>
      <c r="F312" s="8"/>
      <c r="G312" s="8"/>
      <c r="H312" s="8"/>
      <c r="I312" s="8"/>
      <c r="J312" s="8"/>
      <c r="K312" s="8"/>
      <c r="L312" s="8"/>
      <c r="M312" s="8"/>
      <c r="N312" s="8"/>
      <c r="O312" s="8"/>
      <c r="P312" s="8"/>
      <c r="Q312" s="8"/>
      <c r="R312" s="8"/>
      <c r="S312" s="8"/>
      <c r="T312" s="8"/>
      <c r="U312" s="12"/>
      <c r="V312" s="12"/>
      <c r="W312" s="12"/>
      <c r="X312" s="12"/>
      <c r="Y312" s="12"/>
      <c r="Z312" s="12"/>
      <c r="AA312" s="12"/>
      <c r="AB312" s="12"/>
      <c r="AC312" s="12"/>
      <c r="AD312" s="12"/>
      <c r="AE312" s="12"/>
      <c r="AF312" s="12"/>
    </row>
    <row r="313" spans="1:32">
      <c r="A313" s="8"/>
      <c r="B313" s="8"/>
      <c r="C313" s="8"/>
      <c r="D313" s="8"/>
      <c r="E313" s="8"/>
      <c r="F313" s="8"/>
      <c r="G313" s="8"/>
      <c r="H313" s="8"/>
      <c r="I313" s="8"/>
      <c r="J313" s="8"/>
      <c r="K313" s="8"/>
      <c r="L313" s="8"/>
      <c r="M313" s="8"/>
      <c r="N313" s="8"/>
      <c r="O313" s="8"/>
      <c r="P313" s="8"/>
      <c r="Q313" s="8"/>
      <c r="R313" s="8"/>
      <c r="S313" s="8"/>
      <c r="T313" s="8"/>
      <c r="U313" s="12"/>
      <c r="V313" s="12"/>
      <c r="W313" s="12"/>
      <c r="X313" s="12"/>
      <c r="Y313" s="12"/>
      <c r="Z313" s="12"/>
      <c r="AA313" s="12"/>
      <c r="AB313" s="12"/>
      <c r="AC313" s="12"/>
      <c r="AD313" s="12"/>
      <c r="AE313" s="12"/>
      <c r="AF313" s="12"/>
    </row>
    <row r="314" spans="1:32">
      <c r="A314" s="8"/>
      <c r="B314" s="8"/>
      <c r="C314" s="8"/>
      <c r="D314" s="8"/>
      <c r="E314" s="8"/>
      <c r="F314" s="8"/>
      <c r="G314" s="8"/>
      <c r="H314" s="8"/>
      <c r="I314" s="8"/>
      <c r="J314" s="8"/>
      <c r="K314" s="8"/>
      <c r="L314" s="8"/>
      <c r="M314" s="8"/>
      <c r="N314" s="8"/>
      <c r="O314" s="8"/>
      <c r="P314" s="8"/>
      <c r="Q314" s="8"/>
      <c r="R314" s="8"/>
      <c r="S314" s="8"/>
      <c r="T314" s="8"/>
      <c r="U314" s="12"/>
      <c r="V314" s="12"/>
      <c r="W314" s="12"/>
      <c r="X314" s="12"/>
      <c r="Y314" s="12"/>
      <c r="Z314" s="12"/>
      <c r="AA314" s="12"/>
      <c r="AB314" s="12"/>
      <c r="AC314" s="12"/>
      <c r="AD314" s="12"/>
      <c r="AE314" s="12"/>
      <c r="AF314" s="12"/>
    </row>
    <row r="315" spans="1:32">
      <c r="A315" s="8"/>
      <c r="B315" s="8"/>
      <c r="C315" s="8"/>
      <c r="D315" s="8"/>
      <c r="E315" s="8"/>
      <c r="F315" s="8"/>
      <c r="G315" s="8"/>
      <c r="H315" s="8"/>
      <c r="I315" s="8"/>
      <c r="J315" s="8"/>
      <c r="K315" s="8"/>
      <c r="L315" s="8"/>
      <c r="M315" s="8"/>
      <c r="N315" s="8"/>
      <c r="O315" s="8"/>
      <c r="P315" s="8"/>
      <c r="Q315" s="8"/>
      <c r="R315" s="8"/>
      <c r="S315" s="8"/>
      <c r="T315" s="8"/>
      <c r="U315" s="12"/>
      <c r="V315" s="12"/>
      <c r="W315" s="12"/>
      <c r="X315" s="12"/>
      <c r="Y315" s="12"/>
      <c r="Z315" s="12"/>
      <c r="AA315" s="12"/>
      <c r="AB315" s="12"/>
      <c r="AC315" s="12"/>
      <c r="AD315" s="12"/>
      <c r="AE315" s="12"/>
      <c r="AF315" s="12"/>
    </row>
    <row r="316" spans="1:32">
      <c r="A316" s="8"/>
      <c r="B316" s="8"/>
      <c r="C316" s="8"/>
      <c r="D316" s="8"/>
      <c r="E316" s="8"/>
      <c r="F316" s="8"/>
      <c r="G316" s="8"/>
      <c r="H316" s="8"/>
      <c r="I316" s="8"/>
      <c r="J316" s="8"/>
      <c r="K316" s="8"/>
      <c r="L316" s="8"/>
      <c r="M316" s="8"/>
      <c r="N316" s="8"/>
      <c r="O316" s="8"/>
      <c r="P316" s="8"/>
      <c r="Q316" s="8"/>
      <c r="R316" s="8"/>
      <c r="S316" s="8"/>
      <c r="T316" s="8"/>
      <c r="U316" s="12"/>
      <c r="V316" s="12"/>
      <c r="W316" s="12"/>
      <c r="X316" s="12"/>
      <c r="Y316" s="12"/>
      <c r="Z316" s="12"/>
      <c r="AA316" s="12"/>
      <c r="AB316" s="12"/>
      <c r="AC316" s="12"/>
      <c r="AD316" s="12"/>
      <c r="AE316" s="12"/>
      <c r="AF316" s="12"/>
    </row>
    <row r="317" spans="1:32">
      <c r="A317" s="8"/>
      <c r="B317" s="8"/>
      <c r="C317" s="8"/>
      <c r="D317" s="8"/>
      <c r="E317" s="8"/>
      <c r="F317" s="8"/>
      <c r="G317" s="8"/>
      <c r="H317" s="8"/>
      <c r="I317" s="8"/>
      <c r="J317" s="8"/>
      <c r="K317" s="8"/>
      <c r="L317" s="8"/>
      <c r="M317" s="8"/>
      <c r="N317" s="8"/>
      <c r="O317" s="8"/>
      <c r="P317" s="8"/>
      <c r="Q317" s="8"/>
      <c r="R317" s="8"/>
      <c r="S317" s="8"/>
      <c r="T317" s="8"/>
      <c r="U317" s="12"/>
      <c r="V317" s="12"/>
      <c r="W317" s="12"/>
      <c r="X317" s="12"/>
      <c r="Y317" s="12"/>
      <c r="Z317" s="12"/>
      <c r="AA317" s="12"/>
      <c r="AB317" s="12"/>
      <c r="AC317" s="12"/>
      <c r="AD317" s="12"/>
      <c r="AE317" s="12"/>
      <c r="AF317" s="12"/>
    </row>
    <row r="318" spans="1:32">
      <c r="A318" s="8"/>
      <c r="B318" s="8"/>
      <c r="C318" s="8"/>
      <c r="D318" s="8"/>
      <c r="E318" s="8"/>
      <c r="F318" s="8"/>
      <c r="G318" s="8"/>
      <c r="H318" s="8"/>
      <c r="I318" s="8"/>
      <c r="J318" s="8"/>
      <c r="K318" s="8"/>
      <c r="L318" s="8"/>
      <c r="M318" s="8"/>
      <c r="N318" s="8"/>
      <c r="O318" s="8"/>
      <c r="P318" s="8"/>
      <c r="Q318" s="8"/>
      <c r="R318" s="8"/>
      <c r="S318" s="8"/>
      <c r="T318" s="8"/>
      <c r="U318" s="12"/>
      <c r="V318" s="12"/>
      <c r="W318" s="12"/>
      <c r="X318" s="12"/>
      <c r="Y318" s="12"/>
      <c r="Z318" s="12"/>
      <c r="AA318" s="12"/>
      <c r="AB318" s="12"/>
      <c r="AC318" s="12"/>
      <c r="AD318" s="12"/>
      <c r="AE318" s="12"/>
      <c r="AF318" s="12"/>
    </row>
    <row r="319" spans="1:32">
      <c r="A319" s="8"/>
      <c r="B319" s="8"/>
      <c r="C319" s="8"/>
      <c r="D319" s="8"/>
      <c r="E319" s="8"/>
      <c r="F319" s="8"/>
      <c r="G319" s="8"/>
      <c r="H319" s="8"/>
      <c r="I319" s="8"/>
      <c r="J319" s="8"/>
      <c r="K319" s="8"/>
      <c r="L319" s="8"/>
      <c r="M319" s="8"/>
      <c r="N319" s="8"/>
      <c r="O319" s="8"/>
      <c r="P319" s="8"/>
      <c r="Q319" s="8"/>
      <c r="R319" s="8"/>
      <c r="S319" s="8"/>
      <c r="T319" s="8"/>
      <c r="U319" s="12"/>
      <c r="V319" s="12"/>
      <c r="W319" s="12"/>
      <c r="X319" s="12"/>
      <c r="Y319" s="12"/>
      <c r="Z319" s="12"/>
      <c r="AA319" s="12"/>
      <c r="AB319" s="12"/>
      <c r="AC319" s="12"/>
      <c r="AD319" s="12"/>
      <c r="AE319" s="12"/>
      <c r="AF319" s="12"/>
    </row>
    <row r="320" spans="1:32">
      <c r="A320" s="8"/>
      <c r="B320" s="8"/>
      <c r="C320" s="8"/>
      <c r="D320" s="8"/>
      <c r="E320" s="8"/>
      <c r="F320" s="8"/>
      <c r="G320" s="8"/>
      <c r="H320" s="8"/>
      <c r="I320" s="8"/>
      <c r="J320" s="8"/>
      <c r="K320" s="8"/>
      <c r="L320" s="8"/>
      <c r="M320" s="8"/>
      <c r="N320" s="8"/>
      <c r="O320" s="8"/>
      <c r="P320" s="8"/>
      <c r="Q320" s="8"/>
      <c r="R320" s="8"/>
      <c r="S320" s="8"/>
      <c r="T320" s="8"/>
      <c r="U320" s="12"/>
      <c r="V320" s="12"/>
      <c r="W320" s="12"/>
      <c r="X320" s="12"/>
      <c r="Y320" s="12"/>
      <c r="Z320" s="12"/>
      <c r="AA320" s="12"/>
      <c r="AB320" s="12"/>
      <c r="AC320" s="12"/>
      <c r="AD320" s="12"/>
      <c r="AE320" s="12"/>
      <c r="AF320" s="12"/>
    </row>
    <row r="321" spans="1:32">
      <c r="A321" s="8"/>
      <c r="B321" s="8"/>
      <c r="C321" s="8"/>
      <c r="D321" s="8"/>
      <c r="E321" s="8"/>
      <c r="F321" s="8"/>
      <c r="G321" s="8"/>
      <c r="H321" s="8"/>
      <c r="I321" s="8"/>
      <c r="J321" s="8"/>
      <c r="K321" s="8"/>
      <c r="L321" s="8"/>
      <c r="M321" s="8"/>
      <c r="N321" s="8"/>
      <c r="O321" s="8"/>
      <c r="P321" s="8"/>
      <c r="Q321" s="8"/>
      <c r="R321" s="8"/>
      <c r="S321" s="8"/>
      <c r="T321" s="8"/>
      <c r="U321" s="12"/>
      <c r="V321" s="12"/>
      <c r="W321" s="12"/>
      <c r="X321" s="12"/>
      <c r="Y321" s="12"/>
      <c r="Z321" s="12"/>
      <c r="AA321" s="12"/>
      <c r="AB321" s="12"/>
      <c r="AC321" s="12"/>
      <c r="AD321" s="12"/>
      <c r="AE321" s="12"/>
      <c r="AF321" s="12"/>
    </row>
    <row r="322" spans="1:32">
      <c r="A322" s="8"/>
      <c r="B322" s="8"/>
      <c r="C322" s="8"/>
      <c r="D322" s="8"/>
      <c r="E322" s="8"/>
      <c r="F322" s="8"/>
      <c r="G322" s="8"/>
      <c r="H322" s="8"/>
      <c r="I322" s="8"/>
      <c r="J322" s="8"/>
      <c r="K322" s="8"/>
      <c r="L322" s="8"/>
      <c r="M322" s="8"/>
      <c r="N322" s="8"/>
      <c r="O322" s="8"/>
      <c r="P322" s="8"/>
      <c r="Q322" s="8"/>
      <c r="R322" s="8"/>
      <c r="S322" s="8"/>
      <c r="T322" s="8"/>
      <c r="U322" s="12"/>
      <c r="V322" s="12"/>
      <c r="W322" s="12"/>
      <c r="X322" s="12"/>
      <c r="Y322" s="12"/>
      <c r="Z322" s="12"/>
      <c r="AA322" s="12"/>
      <c r="AB322" s="12"/>
      <c r="AC322" s="12"/>
      <c r="AD322" s="12"/>
      <c r="AE322" s="12"/>
      <c r="AF322" s="12"/>
    </row>
    <row r="323" spans="1:32">
      <c r="A323" s="8"/>
      <c r="B323" s="8"/>
      <c r="C323" s="8"/>
      <c r="D323" s="8"/>
      <c r="E323" s="8"/>
      <c r="F323" s="8"/>
      <c r="G323" s="8"/>
      <c r="H323" s="8"/>
      <c r="I323" s="8"/>
      <c r="J323" s="8"/>
      <c r="K323" s="8"/>
      <c r="L323" s="8"/>
      <c r="M323" s="8"/>
      <c r="N323" s="8"/>
      <c r="O323" s="8"/>
      <c r="P323" s="8"/>
      <c r="Q323" s="8"/>
      <c r="R323" s="8"/>
      <c r="S323" s="8"/>
      <c r="T323" s="8"/>
      <c r="U323" s="12"/>
      <c r="V323" s="12"/>
      <c r="W323" s="12"/>
      <c r="X323" s="12"/>
      <c r="Y323" s="12"/>
      <c r="Z323" s="12"/>
      <c r="AA323" s="12"/>
      <c r="AB323" s="12"/>
      <c r="AC323" s="12"/>
      <c r="AD323" s="12"/>
      <c r="AE323" s="12"/>
      <c r="AF323" s="12"/>
    </row>
    <row r="324" spans="1:32">
      <c r="A324" s="8"/>
      <c r="B324" s="8"/>
      <c r="C324" s="8"/>
      <c r="D324" s="8"/>
      <c r="E324" s="8"/>
      <c r="F324" s="8"/>
      <c r="G324" s="8"/>
      <c r="H324" s="8"/>
      <c r="I324" s="8"/>
      <c r="J324" s="8"/>
      <c r="K324" s="8"/>
      <c r="L324" s="8"/>
      <c r="M324" s="8"/>
      <c r="N324" s="8"/>
      <c r="O324" s="8"/>
      <c r="P324" s="8"/>
      <c r="Q324" s="8"/>
      <c r="R324" s="8"/>
      <c r="S324" s="8"/>
      <c r="T324" s="8"/>
      <c r="U324" s="12"/>
      <c r="V324" s="12"/>
      <c r="W324" s="12"/>
      <c r="X324" s="12"/>
      <c r="Y324" s="12"/>
      <c r="Z324" s="12"/>
      <c r="AA324" s="12"/>
      <c r="AB324" s="12"/>
      <c r="AC324" s="12"/>
      <c r="AD324" s="12"/>
      <c r="AE324" s="12"/>
      <c r="AF324" s="12"/>
    </row>
    <row r="325" spans="1:32">
      <c r="A325" s="8"/>
      <c r="B325" s="8"/>
      <c r="C325" s="8"/>
      <c r="D325" s="8"/>
      <c r="E325" s="8"/>
      <c r="F325" s="8"/>
      <c r="G325" s="8"/>
      <c r="H325" s="8"/>
      <c r="I325" s="8"/>
      <c r="J325" s="8"/>
      <c r="K325" s="8"/>
      <c r="L325" s="8"/>
      <c r="M325" s="8"/>
      <c r="N325" s="8"/>
      <c r="O325" s="8"/>
      <c r="P325" s="8"/>
      <c r="Q325" s="8"/>
      <c r="R325" s="8"/>
      <c r="S325" s="8"/>
      <c r="T325" s="8"/>
      <c r="U325" s="12"/>
      <c r="V325" s="12"/>
      <c r="W325" s="12"/>
      <c r="X325" s="12"/>
      <c r="Y325" s="12"/>
      <c r="Z325" s="12"/>
      <c r="AA325" s="12"/>
      <c r="AB325" s="12"/>
      <c r="AC325" s="12"/>
      <c r="AD325" s="12"/>
      <c r="AE325" s="12"/>
      <c r="AF325" s="12"/>
    </row>
    <row r="326" spans="1:32">
      <c r="A326" s="8"/>
      <c r="B326" s="8"/>
      <c r="C326" s="8"/>
      <c r="D326" s="8"/>
      <c r="E326" s="8"/>
      <c r="F326" s="8"/>
      <c r="G326" s="8"/>
      <c r="H326" s="8"/>
      <c r="I326" s="8"/>
      <c r="J326" s="8"/>
      <c r="K326" s="8"/>
      <c r="L326" s="8"/>
      <c r="M326" s="8"/>
      <c r="N326" s="8"/>
      <c r="O326" s="8"/>
      <c r="P326" s="8"/>
      <c r="Q326" s="8"/>
      <c r="R326" s="8"/>
      <c r="S326" s="8"/>
      <c r="T326" s="8"/>
      <c r="U326" s="12"/>
      <c r="V326" s="12"/>
      <c r="W326" s="12"/>
      <c r="X326" s="12"/>
      <c r="Y326" s="12"/>
      <c r="Z326" s="12"/>
      <c r="AA326" s="12"/>
      <c r="AB326" s="12"/>
      <c r="AC326" s="12"/>
      <c r="AD326" s="12"/>
      <c r="AE326" s="12"/>
      <c r="AF326" s="12"/>
    </row>
    <row r="327" spans="1:32">
      <c r="A327" s="8"/>
      <c r="B327" s="8"/>
      <c r="C327" s="8"/>
      <c r="D327" s="8"/>
      <c r="E327" s="8"/>
      <c r="F327" s="8"/>
      <c r="G327" s="8"/>
      <c r="H327" s="8"/>
      <c r="I327" s="8"/>
      <c r="J327" s="8"/>
      <c r="K327" s="8"/>
      <c r="L327" s="8"/>
      <c r="M327" s="8"/>
      <c r="N327" s="8"/>
      <c r="O327" s="8"/>
      <c r="P327" s="8"/>
      <c r="Q327" s="8"/>
      <c r="R327" s="8"/>
      <c r="S327" s="8"/>
      <c r="T327" s="8"/>
      <c r="U327" s="12"/>
      <c r="V327" s="12"/>
      <c r="W327" s="12"/>
      <c r="X327" s="12"/>
      <c r="Y327" s="12"/>
      <c r="Z327" s="12"/>
      <c r="AA327" s="12"/>
      <c r="AB327" s="12"/>
      <c r="AC327" s="12"/>
      <c r="AD327" s="12"/>
      <c r="AE327" s="12"/>
      <c r="AF327" s="12"/>
    </row>
    <row r="328" spans="1:32">
      <c r="A328" s="8"/>
      <c r="B328" s="8"/>
      <c r="C328" s="8"/>
      <c r="D328" s="8"/>
      <c r="E328" s="8"/>
      <c r="F328" s="8"/>
      <c r="G328" s="8"/>
      <c r="H328" s="8"/>
      <c r="I328" s="8"/>
      <c r="J328" s="8"/>
      <c r="K328" s="8"/>
      <c r="L328" s="8"/>
      <c r="M328" s="8"/>
      <c r="N328" s="8"/>
      <c r="O328" s="8"/>
      <c r="P328" s="8"/>
      <c r="Q328" s="8"/>
      <c r="R328" s="8"/>
      <c r="S328" s="8"/>
      <c r="T328" s="8"/>
      <c r="U328" s="12"/>
      <c r="V328" s="12"/>
      <c r="W328" s="12"/>
      <c r="X328" s="12"/>
      <c r="Y328" s="12"/>
      <c r="Z328" s="12"/>
      <c r="AA328" s="12"/>
      <c r="AB328" s="12"/>
      <c r="AC328" s="12"/>
      <c r="AD328" s="12"/>
      <c r="AE328" s="12"/>
      <c r="AF328" s="12"/>
    </row>
    <row r="329" spans="1:32">
      <c r="A329" s="8"/>
      <c r="B329" s="8"/>
      <c r="C329" s="8"/>
      <c r="D329" s="8"/>
      <c r="E329" s="8"/>
      <c r="F329" s="8"/>
      <c r="G329" s="8"/>
      <c r="H329" s="8"/>
      <c r="I329" s="8"/>
      <c r="J329" s="8"/>
      <c r="K329" s="8"/>
      <c r="L329" s="8"/>
      <c r="M329" s="8"/>
      <c r="N329" s="8"/>
      <c r="O329" s="8"/>
      <c r="P329" s="8"/>
      <c r="Q329" s="8"/>
      <c r="R329" s="8"/>
      <c r="S329" s="8"/>
      <c r="T329" s="8"/>
      <c r="U329" s="12"/>
      <c r="V329" s="12"/>
      <c r="W329" s="12"/>
      <c r="X329" s="12"/>
      <c r="Y329" s="12"/>
      <c r="Z329" s="12"/>
      <c r="AA329" s="12"/>
      <c r="AB329" s="12"/>
      <c r="AC329" s="12"/>
      <c r="AD329" s="12"/>
      <c r="AE329" s="12"/>
      <c r="AF329" s="12"/>
    </row>
    <row r="330" spans="1:32">
      <c r="A330" s="8"/>
      <c r="B330" s="8"/>
      <c r="C330" s="8"/>
      <c r="D330" s="8"/>
      <c r="E330" s="8"/>
      <c r="F330" s="8"/>
      <c r="G330" s="8"/>
      <c r="H330" s="8"/>
      <c r="I330" s="8"/>
      <c r="J330" s="8"/>
      <c r="K330" s="8"/>
      <c r="L330" s="8"/>
      <c r="M330" s="8"/>
      <c r="N330" s="8"/>
      <c r="O330" s="8"/>
      <c r="P330" s="8"/>
      <c r="Q330" s="8"/>
      <c r="R330" s="8"/>
      <c r="S330" s="8"/>
      <c r="T330" s="8"/>
      <c r="U330" s="12"/>
      <c r="V330" s="12"/>
      <c r="W330" s="12"/>
      <c r="X330" s="12"/>
      <c r="Y330" s="12"/>
      <c r="Z330" s="12"/>
      <c r="AA330" s="12"/>
      <c r="AB330" s="12"/>
      <c r="AC330" s="12"/>
      <c r="AD330" s="12"/>
      <c r="AE330" s="12"/>
      <c r="AF330" s="12"/>
    </row>
    <row r="331" spans="1:32">
      <c r="A331" s="8"/>
      <c r="B331" s="8"/>
      <c r="C331" s="8"/>
      <c r="D331" s="8"/>
      <c r="E331" s="8"/>
      <c r="F331" s="8"/>
      <c r="G331" s="8"/>
      <c r="H331" s="8"/>
      <c r="I331" s="8"/>
      <c r="J331" s="8"/>
      <c r="K331" s="8"/>
      <c r="L331" s="8"/>
      <c r="M331" s="8"/>
      <c r="N331" s="8"/>
      <c r="O331" s="8"/>
      <c r="P331" s="8"/>
      <c r="Q331" s="8"/>
      <c r="R331" s="8"/>
      <c r="S331" s="8"/>
      <c r="T331" s="8"/>
      <c r="U331" s="12"/>
      <c r="V331" s="12"/>
      <c r="W331" s="12"/>
      <c r="X331" s="12"/>
      <c r="Y331" s="12"/>
      <c r="Z331" s="12"/>
      <c r="AA331" s="12"/>
      <c r="AB331" s="12"/>
      <c r="AC331" s="12"/>
      <c r="AD331" s="12"/>
      <c r="AE331" s="12"/>
      <c r="AF331" s="12"/>
    </row>
    <row r="332" spans="1:32">
      <c r="A332" s="8"/>
      <c r="B332" s="8"/>
      <c r="C332" s="8"/>
      <c r="D332" s="8"/>
      <c r="E332" s="8"/>
      <c r="F332" s="8"/>
      <c r="G332" s="8"/>
      <c r="H332" s="8"/>
      <c r="I332" s="8"/>
      <c r="J332" s="8"/>
      <c r="K332" s="8"/>
      <c r="L332" s="8"/>
      <c r="M332" s="8"/>
      <c r="N332" s="8"/>
      <c r="O332" s="8"/>
      <c r="P332" s="8"/>
      <c r="Q332" s="8"/>
      <c r="R332" s="8"/>
      <c r="S332" s="8"/>
      <c r="T332" s="8"/>
      <c r="U332" s="12"/>
      <c r="V332" s="12"/>
      <c r="W332" s="12"/>
      <c r="X332" s="12"/>
      <c r="Y332" s="12"/>
      <c r="Z332" s="12"/>
      <c r="AA332" s="12"/>
      <c r="AB332" s="12"/>
      <c r="AC332" s="12"/>
      <c r="AD332" s="12"/>
      <c r="AE332" s="12"/>
      <c r="AF332" s="12"/>
    </row>
    <row r="333" spans="1:32">
      <c r="A333" s="8"/>
      <c r="B333" s="8"/>
      <c r="C333" s="8"/>
      <c r="D333" s="8"/>
      <c r="E333" s="8"/>
      <c r="F333" s="8"/>
      <c r="G333" s="8"/>
      <c r="H333" s="8"/>
      <c r="I333" s="8"/>
      <c r="J333" s="8"/>
      <c r="K333" s="8"/>
      <c r="L333" s="8"/>
      <c r="M333" s="8"/>
      <c r="N333" s="8"/>
      <c r="O333" s="8"/>
      <c r="P333" s="8"/>
      <c r="Q333" s="8"/>
      <c r="R333" s="8"/>
      <c r="S333" s="8"/>
      <c r="T333" s="8"/>
      <c r="U333" s="12"/>
      <c r="V333" s="12"/>
      <c r="W333" s="12"/>
      <c r="X333" s="12"/>
      <c r="Y333" s="12"/>
      <c r="Z333" s="12"/>
      <c r="AA333" s="12"/>
      <c r="AB333" s="12"/>
      <c r="AC333" s="12"/>
      <c r="AD333" s="12"/>
      <c r="AE333" s="12"/>
      <c r="AF333" s="12"/>
    </row>
    <row r="334" spans="1:32">
      <c r="A334" s="8"/>
      <c r="B334" s="8"/>
      <c r="C334" s="8"/>
      <c r="D334" s="8"/>
      <c r="E334" s="8"/>
      <c r="F334" s="8"/>
      <c r="G334" s="8"/>
      <c r="H334" s="8"/>
      <c r="I334" s="8"/>
      <c r="J334" s="8"/>
      <c r="K334" s="8"/>
      <c r="L334" s="8"/>
      <c r="M334" s="8"/>
      <c r="N334" s="8"/>
      <c r="O334" s="8"/>
      <c r="P334" s="8"/>
      <c r="Q334" s="8"/>
      <c r="R334" s="8"/>
      <c r="S334" s="8"/>
      <c r="T334" s="8"/>
      <c r="U334" s="12"/>
      <c r="V334" s="12"/>
      <c r="W334" s="12"/>
      <c r="X334" s="12"/>
      <c r="Y334" s="12"/>
      <c r="Z334" s="12"/>
      <c r="AA334" s="12"/>
      <c r="AB334" s="12"/>
      <c r="AC334" s="12"/>
      <c r="AD334" s="12"/>
      <c r="AE334" s="12"/>
      <c r="AF334" s="12"/>
    </row>
    <row r="335" spans="1:32">
      <c r="A335" s="8"/>
      <c r="B335" s="8"/>
      <c r="C335" s="8"/>
      <c r="D335" s="8"/>
      <c r="E335" s="8"/>
      <c r="F335" s="8"/>
      <c r="G335" s="8"/>
      <c r="H335" s="8"/>
      <c r="I335" s="8"/>
      <c r="J335" s="8"/>
      <c r="K335" s="8"/>
      <c r="L335" s="8"/>
      <c r="M335" s="8"/>
      <c r="N335" s="8"/>
      <c r="O335" s="8"/>
      <c r="P335" s="8"/>
      <c r="Q335" s="8"/>
      <c r="R335" s="8"/>
      <c r="S335" s="8"/>
      <c r="T335" s="8"/>
      <c r="U335" s="12"/>
      <c r="V335" s="12"/>
      <c r="W335" s="12"/>
      <c r="X335" s="12"/>
      <c r="Y335" s="12"/>
      <c r="Z335" s="12"/>
      <c r="AA335" s="12"/>
      <c r="AB335" s="12"/>
      <c r="AC335" s="12"/>
      <c r="AD335" s="12"/>
      <c r="AE335" s="12"/>
      <c r="AF335" s="12"/>
    </row>
    <row r="336" spans="1:32">
      <c r="A336" s="8"/>
      <c r="B336" s="8"/>
      <c r="C336" s="8"/>
      <c r="D336" s="8"/>
      <c r="E336" s="8"/>
      <c r="F336" s="8"/>
      <c r="G336" s="8"/>
      <c r="H336" s="8"/>
      <c r="I336" s="8"/>
      <c r="J336" s="8"/>
      <c r="K336" s="8"/>
      <c r="L336" s="8"/>
      <c r="M336" s="8"/>
      <c r="N336" s="8"/>
      <c r="O336" s="8"/>
      <c r="P336" s="8"/>
      <c r="Q336" s="8"/>
      <c r="R336" s="8"/>
      <c r="S336" s="8"/>
      <c r="T336" s="8"/>
      <c r="U336" s="12"/>
      <c r="V336" s="12"/>
      <c r="W336" s="12"/>
      <c r="X336" s="12"/>
      <c r="Y336" s="12"/>
      <c r="Z336" s="12"/>
      <c r="AA336" s="12"/>
      <c r="AB336" s="12"/>
      <c r="AC336" s="12"/>
      <c r="AD336" s="12"/>
      <c r="AE336" s="12"/>
      <c r="AF336" s="12"/>
    </row>
    <row r="337" spans="1:32">
      <c r="A337" s="8"/>
      <c r="B337" s="8"/>
      <c r="C337" s="8"/>
      <c r="D337" s="8"/>
      <c r="E337" s="8"/>
      <c r="F337" s="8"/>
      <c r="G337" s="8"/>
      <c r="H337" s="8"/>
      <c r="I337" s="8"/>
      <c r="J337" s="8"/>
      <c r="K337" s="8"/>
      <c r="L337" s="8"/>
      <c r="M337" s="8"/>
      <c r="N337" s="8"/>
      <c r="O337" s="8"/>
      <c r="P337" s="8"/>
      <c r="Q337" s="8"/>
      <c r="R337" s="8"/>
      <c r="S337" s="8"/>
      <c r="T337" s="8"/>
      <c r="U337" s="12"/>
      <c r="V337" s="12"/>
      <c r="W337" s="12"/>
      <c r="X337" s="12"/>
      <c r="Y337" s="12"/>
      <c r="Z337" s="12"/>
      <c r="AA337" s="12"/>
      <c r="AB337" s="12"/>
      <c r="AC337" s="12"/>
      <c r="AD337" s="12"/>
      <c r="AE337" s="12"/>
      <c r="AF337" s="12"/>
    </row>
    <row r="338" spans="1:32">
      <c r="A338" s="8"/>
      <c r="B338" s="8"/>
      <c r="C338" s="8"/>
      <c r="D338" s="8"/>
      <c r="E338" s="8"/>
      <c r="F338" s="8"/>
      <c r="G338" s="8"/>
      <c r="H338" s="8"/>
      <c r="I338" s="8"/>
      <c r="J338" s="8"/>
      <c r="K338" s="8"/>
      <c r="L338" s="8"/>
      <c r="M338" s="8"/>
      <c r="N338" s="8"/>
      <c r="O338" s="8"/>
      <c r="P338" s="8"/>
      <c r="Q338" s="8"/>
      <c r="R338" s="8"/>
      <c r="S338" s="8"/>
      <c r="T338" s="8"/>
      <c r="U338" s="12"/>
      <c r="V338" s="12"/>
      <c r="W338" s="12"/>
      <c r="X338" s="12"/>
      <c r="Y338" s="12"/>
      <c r="Z338" s="12"/>
      <c r="AA338" s="12"/>
      <c r="AB338" s="12"/>
      <c r="AC338" s="12"/>
      <c r="AD338" s="12"/>
      <c r="AE338" s="12"/>
      <c r="AF338" s="12"/>
    </row>
    <row r="339" spans="1:32">
      <c r="A339" s="8"/>
      <c r="B339" s="8"/>
      <c r="C339" s="8"/>
      <c r="D339" s="8"/>
      <c r="E339" s="8"/>
      <c r="F339" s="8"/>
      <c r="G339" s="8"/>
      <c r="H339" s="8"/>
      <c r="I339" s="8"/>
      <c r="J339" s="8"/>
      <c r="K339" s="8"/>
      <c r="L339" s="8"/>
      <c r="M339" s="8"/>
      <c r="N339" s="8"/>
      <c r="O339" s="8"/>
      <c r="P339" s="8"/>
      <c r="Q339" s="8"/>
      <c r="R339" s="8"/>
      <c r="S339" s="8"/>
      <c r="T339" s="8"/>
      <c r="U339" s="12"/>
      <c r="V339" s="12"/>
      <c r="W339" s="12"/>
      <c r="X339" s="12"/>
      <c r="Y339" s="12"/>
      <c r="Z339" s="12"/>
      <c r="AA339" s="12"/>
      <c r="AB339" s="12"/>
      <c r="AC339" s="12"/>
      <c r="AD339" s="12"/>
      <c r="AE339" s="12"/>
      <c r="AF339" s="12"/>
    </row>
    <row r="340" spans="1:32">
      <c r="A340" s="8"/>
      <c r="B340" s="8"/>
      <c r="C340" s="8"/>
      <c r="D340" s="8"/>
      <c r="E340" s="8"/>
      <c r="F340" s="8"/>
      <c r="G340" s="8"/>
      <c r="H340" s="8"/>
      <c r="I340" s="8"/>
      <c r="J340" s="8"/>
      <c r="K340" s="8"/>
      <c r="L340" s="8"/>
      <c r="M340" s="8"/>
      <c r="N340" s="8"/>
      <c r="O340" s="8"/>
      <c r="P340" s="8"/>
      <c r="Q340" s="8"/>
      <c r="R340" s="8"/>
      <c r="S340" s="8"/>
      <c r="T340" s="8"/>
      <c r="U340" s="12"/>
      <c r="V340" s="12"/>
      <c r="W340" s="12"/>
      <c r="X340" s="12"/>
      <c r="Y340" s="12"/>
      <c r="Z340" s="12"/>
      <c r="AA340" s="12"/>
      <c r="AB340" s="12"/>
      <c r="AC340" s="12"/>
      <c r="AD340" s="12"/>
      <c r="AE340" s="12"/>
      <c r="AF340" s="12"/>
    </row>
    <row r="341" spans="1:32">
      <c r="A341" s="8"/>
      <c r="B341" s="8"/>
      <c r="C341" s="8"/>
      <c r="D341" s="8"/>
      <c r="E341" s="8"/>
      <c r="F341" s="8"/>
      <c r="G341" s="8"/>
      <c r="H341" s="8"/>
      <c r="I341" s="8"/>
      <c r="J341" s="8"/>
      <c r="K341" s="8"/>
      <c r="L341" s="8"/>
      <c r="M341" s="8"/>
      <c r="N341" s="8"/>
      <c r="O341" s="8"/>
      <c r="P341" s="8"/>
      <c r="Q341" s="8"/>
      <c r="R341" s="8"/>
      <c r="S341" s="8"/>
      <c r="T341" s="8"/>
      <c r="U341" s="12"/>
      <c r="V341" s="12"/>
      <c r="W341" s="12"/>
      <c r="X341" s="12"/>
      <c r="Y341" s="12"/>
      <c r="Z341" s="12"/>
      <c r="AA341" s="12"/>
      <c r="AB341" s="12"/>
      <c r="AC341" s="12"/>
      <c r="AD341" s="12"/>
      <c r="AE341" s="12"/>
      <c r="AF341" s="12"/>
    </row>
    <row r="342" spans="1:32">
      <c r="A342" s="8"/>
      <c r="B342" s="8"/>
      <c r="C342" s="8"/>
      <c r="D342" s="8"/>
      <c r="E342" s="8"/>
      <c r="F342" s="8"/>
      <c r="G342" s="8"/>
      <c r="H342" s="8"/>
      <c r="I342" s="8"/>
      <c r="J342" s="8"/>
      <c r="K342" s="8"/>
      <c r="L342" s="8"/>
      <c r="M342" s="8"/>
      <c r="N342" s="8"/>
      <c r="O342" s="8"/>
      <c r="P342" s="8"/>
      <c r="Q342" s="8"/>
      <c r="R342" s="8"/>
      <c r="S342" s="8"/>
      <c r="T342" s="8"/>
      <c r="U342" s="12"/>
      <c r="V342" s="12"/>
      <c r="W342" s="12"/>
      <c r="X342" s="12"/>
      <c r="Y342" s="12"/>
      <c r="Z342" s="12"/>
      <c r="AA342" s="12"/>
      <c r="AB342" s="12"/>
      <c r="AC342" s="12"/>
      <c r="AD342" s="12"/>
      <c r="AE342" s="12"/>
      <c r="AF342" s="12"/>
    </row>
    <row r="343" spans="1:32">
      <c r="A343" s="8"/>
      <c r="B343" s="8"/>
      <c r="C343" s="8"/>
      <c r="D343" s="8"/>
      <c r="E343" s="8"/>
      <c r="F343" s="8"/>
      <c r="G343" s="8"/>
      <c r="H343" s="8"/>
      <c r="I343" s="8"/>
      <c r="J343" s="8"/>
      <c r="K343" s="8"/>
      <c r="L343" s="8"/>
      <c r="M343" s="8"/>
      <c r="N343" s="8"/>
      <c r="O343" s="8"/>
      <c r="P343" s="8"/>
      <c r="Q343" s="8"/>
      <c r="R343" s="8"/>
      <c r="S343" s="8"/>
      <c r="T343" s="8"/>
      <c r="U343" s="12"/>
      <c r="V343" s="12"/>
      <c r="W343" s="12"/>
      <c r="X343" s="12"/>
      <c r="Y343" s="12"/>
      <c r="Z343" s="12"/>
      <c r="AA343" s="12"/>
      <c r="AB343" s="12"/>
      <c r="AC343" s="12"/>
      <c r="AD343" s="12"/>
      <c r="AE343" s="12"/>
      <c r="AF343" s="12"/>
    </row>
    <row r="344" spans="1:32">
      <c r="A344" s="8"/>
      <c r="B344" s="8"/>
      <c r="C344" s="8"/>
      <c r="D344" s="8"/>
      <c r="E344" s="8"/>
      <c r="F344" s="8"/>
      <c r="G344" s="8"/>
      <c r="H344" s="8"/>
      <c r="I344" s="8"/>
      <c r="J344" s="8"/>
      <c r="K344" s="8"/>
      <c r="L344" s="8"/>
      <c r="M344" s="8"/>
      <c r="N344" s="8"/>
      <c r="O344" s="8"/>
      <c r="P344" s="8"/>
      <c r="Q344" s="8"/>
      <c r="R344" s="8"/>
      <c r="S344" s="8"/>
      <c r="T344" s="8"/>
      <c r="U344" s="12"/>
      <c r="V344" s="12"/>
      <c r="W344" s="12"/>
      <c r="X344" s="12"/>
      <c r="Y344" s="12"/>
      <c r="Z344" s="12"/>
      <c r="AA344" s="12"/>
      <c r="AB344" s="12"/>
      <c r="AC344" s="12"/>
      <c r="AD344" s="12"/>
      <c r="AE344" s="12"/>
      <c r="AF344" s="12"/>
    </row>
    <row r="345" spans="1:32">
      <c r="A345" s="8"/>
      <c r="B345" s="8"/>
      <c r="C345" s="8"/>
      <c r="D345" s="8"/>
      <c r="E345" s="8"/>
      <c r="F345" s="8"/>
      <c r="G345" s="8"/>
      <c r="H345" s="8"/>
      <c r="I345" s="8"/>
      <c r="J345" s="8"/>
      <c r="K345" s="8"/>
      <c r="L345" s="8"/>
      <c r="M345" s="8"/>
      <c r="N345" s="8"/>
      <c r="O345" s="8"/>
      <c r="P345" s="8"/>
      <c r="Q345" s="8"/>
      <c r="R345" s="8"/>
      <c r="S345" s="8"/>
      <c r="T345" s="8"/>
      <c r="U345" s="12"/>
      <c r="V345" s="12"/>
      <c r="W345" s="12"/>
      <c r="X345" s="12"/>
      <c r="Y345" s="12"/>
      <c r="Z345" s="12"/>
      <c r="AA345" s="12"/>
      <c r="AB345" s="12"/>
      <c r="AC345" s="12"/>
      <c r="AD345" s="12"/>
      <c r="AE345" s="12"/>
      <c r="AF345" s="12"/>
    </row>
    <row r="346" spans="1:32">
      <c r="A346" s="8"/>
      <c r="B346" s="8"/>
      <c r="C346" s="8"/>
      <c r="D346" s="8"/>
      <c r="E346" s="8"/>
      <c r="F346" s="8"/>
      <c r="G346" s="8"/>
      <c r="H346" s="8"/>
      <c r="I346" s="8"/>
      <c r="J346" s="8"/>
      <c r="K346" s="8"/>
      <c r="L346" s="8"/>
      <c r="M346" s="8"/>
      <c r="N346" s="8"/>
      <c r="O346" s="8"/>
      <c r="P346" s="8"/>
      <c r="Q346" s="8"/>
      <c r="R346" s="8"/>
      <c r="S346" s="8"/>
      <c r="T346" s="8"/>
      <c r="U346" s="12"/>
      <c r="V346" s="12"/>
      <c r="W346" s="12"/>
      <c r="X346" s="12"/>
      <c r="Y346" s="12"/>
      <c r="Z346" s="12"/>
      <c r="AA346" s="12"/>
      <c r="AB346" s="12"/>
      <c r="AC346" s="12"/>
      <c r="AD346" s="12"/>
      <c r="AE346" s="12"/>
      <c r="AF346" s="12"/>
    </row>
    <row r="347" spans="1:32">
      <c r="A347" s="8"/>
      <c r="B347" s="8"/>
      <c r="C347" s="8"/>
      <c r="D347" s="8"/>
      <c r="E347" s="8"/>
      <c r="F347" s="8"/>
      <c r="G347" s="8"/>
      <c r="H347" s="8"/>
      <c r="I347" s="8"/>
      <c r="J347" s="8"/>
      <c r="K347" s="8"/>
      <c r="L347" s="8"/>
      <c r="M347" s="8"/>
      <c r="N347" s="8"/>
      <c r="O347" s="8"/>
      <c r="P347" s="8"/>
      <c r="Q347" s="8"/>
      <c r="R347" s="8"/>
      <c r="S347" s="8"/>
      <c r="T347" s="8"/>
      <c r="U347" s="12"/>
      <c r="V347" s="12"/>
      <c r="W347" s="12"/>
      <c r="X347" s="12"/>
      <c r="Y347" s="12"/>
      <c r="Z347" s="12"/>
      <c r="AA347" s="12"/>
      <c r="AB347" s="12"/>
      <c r="AC347" s="12"/>
      <c r="AD347" s="12"/>
      <c r="AE347" s="12"/>
      <c r="AF347" s="12"/>
    </row>
    <row r="348" spans="1:32">
      <c r="A348" s="8"/>
      <c r="B348" s="8"/>
      <c r="C348" s="8"/>
      <c r="D348" s="8"/>
      <c r="E348" s="8"/>
      <c r="F348" s="8"/>
      <c r="G348" s="8"/>
      <c r="H348" s="8"/>
      <c r="I348" s="8"/>
      <c r="J348" s="8"/>
      <c r="K348" s="8"/>
      <c r="L348" s="8"/>
      <c r="M348" s="8"/>
      <c r="N348" s="8"/>
      <c r="O348" s="8"/>
      <c r="P348" s="8"/>
      <c r="Q348" s="8"/>
      <c r="R348" s="8"/>
      <c r="S348" s="8"/>
      <c r="T348" s="8"/>
      <c r="U348" s="12"/>
      <c r="V348" s="12"/>
      <c r="W348" s="12"/>
      <c r="X348" s="12"/>
      <c r="Y348" s="12"/>
      <c r="Z348" s="12"/>
      <c r="AA348" s="12"/>
      <c r="AB348" s="12"/>
      <c r="AC348" s="12"/>
      <c r="AD348" s="12"/>
      <c r="AE348" s="12"/>
      <c r="AF348" s="12"/>
    </row>
    <row r="349" spans="1:32">
      <c r="A349" s="8"/>
      <c r="B349" s="8"/>
      <c r="C349" s="8"/>
      <c r="D349" s="8"/>
      <c r="E349" s="8"/>
      <c r="F349" s="8"/>
      <c r="G349" s="8"/>
      <c r="H349" s="8"/>
      <c r="I349" s="8"/>
      <c r="J349" s="8"/>
      <c r="K349" s="8"/>
      <c r="L349" s="8"/>
      <c r="M349" s="8"/>
      <c r="N349" s="8"/>
      <c r="O349" s="8"/>
      <c r="P349" s="8"/>
      <c r="Q349" s="8"/>
      <c r="R349" s="8"/>
      <c r="S349" s="8"/>
      <c r="T349" s="8"/>
      <c r="U349" s="12"/>
      <c r="V349" s="12"/>
      <c r="W349" s="12"/>
      <c r="X349" s="12"/>
      <c r="Y349" s="12"/>
      <c r="Z349" s="12"/>
      <c r="AA349" s="12"/>
      <c r="AB349" s="12"/>
      <c r="AC349" s="12"/>
      <c r="AD349" s="12"/>
      <c r="AE349" s="12"/>
      <c r="AF349" s="12"/>
    </row>
    <row r="350" spans="1:32">
      <c r="A350" s="8"/>
      <c r="B350" s="8"/>
      <c r="C350" s="8"/>
      <c r="D350" s="8"/>
      <c r="E350" s="8"/>
      <c r="F350" s="8"/>
      <c r="G350" s="8"/>
      <c r="H350" s="8"/>
      <c r="I350" s="8"/>
      <c r="J350" s="8"/>
      <c r="K350" s="8"/>
      <c r="L350" s="8"/>
      <c r="M350" s="8"/>
      <c r="N350" s="8"/>
      <c r="O350" s="8"/>
      <c r="P350" s="8"/>
      <c r="Q350" s="8"/>
      <c r="R350" s="8"/>
      <c r="S350" s="8"/>
      <c r="T350" s="8"/>
      <c r="U350" s="12"/>
      <c r="V350" s="12"/>
      <c r="W350" s="12"/>
      <c r="X350" s="12"/>
      <c r="Y350" s="12"/>
      <c r="Z350" s="12"/>
      <c r="AA350" s="12"/>
      <c r="AB350" s="12"/>
      <c r="AC350" s="12"/>
      <c r="AD350" s="12"/>
      <c r="AE350" s="12"/>
      <c r="AF350" s="12"/>
    </row>
    <row r="351" spans="1:32">
      <c r="A351" s="8"/>
      <c r="B351" s="8"/>
      <c r="C351" s="8"/>
      <c r="D351" s="8"/>
      <c r="E351" s="8"/>
      <c r="F351" s="8"/>
      <c r="G351" s="8"/>
      <c r="H351" s="8"/>
      <c r="I351" s="8"/>
      <c r="J351" s="8"/>
      <c r="K351" s="8"/>
      <c r="L351" s="8"/>
      <c r="M351" s="8"/>
      <c r="N351" s="8"/>
      <c r="O351" s="8"/>
      <c r="P351" s="8"/>
      <c r="Q351" s="8"/>
      <c r="R351" s="8"/>
      <c r="S351" s="8"/>
      <c r="T351" s="8"/>
      <c r="U351" s="12"/>
      <c r="V351" s="12"/>
      <c r="W351" s="12"/>
      <c r="X351" s="12"/>
      <c r="Y351" s="12"/>
      <c r="Z351" s="12"/>
      <c r="AA351" s="12"/>
      <c r="AB351" s="12"/>
      <c r="AC351" s="12"/>
      <c r="AD351" s="12"/>
      <c r="AE351" s="12"/>
      <c r="AF351" s="12"/>
    </row>
    <row r="352" spans="1:32">
      <c r="A352" s="8"/>
      <c r="B352" s="8"/>
      <c r="C352" s="8"/>
      <c r="D352" s="8"/>
      <c r="E352" s="8"/>
      <c r="F352" s="8"/>
      <c r="G352" s="8"/>
      <c r="H352" s="8"/>
      <c r="I352" s="8"/>
      <c r="J352" s="8"/>
      <c r="K352" s="8"/>
      <c r="L352" s="8"/>
      <c r="M352" s="8"/>
      <c r="N352" s="8"/>
      <c r="O352" s="8"/>
      <c r="P352" s="8"/>
      <c r="Q352" s="8"/>
      <c r="R352" s="8"/>
      <c r="S352" s="8"/>
      <c r="T352" s="8"/>
      <c r="U352" s="12"/>
      <c r="V352" s="12"/>
      <c r="W352" s="12"/>
      <c r="X352" s="12"/>
      <c r="Y352" s="12"/>
      <c r="Z352" s="12"/>
      <c r="AA352" s="12"/>
      <c r="AB352" s="12"/>
      <c r="AC352" s="12"/>
      <c r="AD352" s="12"/>
      <c r="AE352" s="12"/>
      <c r="AF352" s="12"/>
    </row>
    <row r="353" spans="1:32">
      <c r="A353" s="8"/>
      <c r="B353" s="8"/>
      <c r="C353" s="8"/>
      <c r="D353" s="8"/>
      <c r="E353" s="8"/>
      <c r="F353" s="8"/>
      <c r="G353" s="8"/>
      <c r="H353" s="8"/>
      <c r="I353" s="8"/>
      <c r="J353" s="8"/>
      <c r="K353" s="8"/>
      <c r="L353" s="8"/>
      <c r="M353" s="8"/>
      <c r="N353" s="8"/>
      <c r="O353" s="8"/>
      <c r="P353" s="8"/>
      <c r="Q353" s="8"/>
      <c r="R353" s="8"/>
      <c r="S353" s="8"/>
      <c r="T353" s="8"/>
      <c r="U353" s="12"/>
      <c r="V353" s="12"/>
      <c r="W353" s="12"/>
      <c r="X353" s="12"/>
      <c r="Y353" s="12"/>
      <c r="Z353" s="12"/>
      <c r="AA353" s="12"/>
      <c r="AB353" s="12"/>
      <c r="AC353" s="12"/>
      <c r="AD353" s="12"/>
      <c r="AE353" s="12"/>
      <c r="AF353" s="12"/>
    </row>
    <row r="354" spans="1:32">
      <c r="A354" s="8"/>
      <c r="B354" s="8"/>
      <c r="C354" s="8"/>
      <c r="D354" s="8"/>
      <c r="E354" s="8"/>
      <c r="F354" s="8"/>
      <c r="G354" s="8"/>
      <c r="H354" s="8"/>
      <c r="I354" s="8"/>
      <c r="J354" s="8"/>
      <c r="K354" s="8"/>
      <c r="L354" s="8"/>
      <c r="M354" s="8"/>
      <c r="N354" s="8"/>
      <c r="O354" s="8"/>
      <c r="P354" s="8"/>
      <c r="Q354" s="8"/>
      <c r="R354" s="8"/>
      <c r="S354" s="8"/>
      <c r="T354" s="8"/>
      <c r="U354" s="12"/>
      <c r="V354" s="12"/>
      <c r="W354" s="12"/>
      <c r="X354" s="12"/>
      <c r="Y354" s="12"/>
      <c r="Z354" s="12"/>
      <c r="AA354" s="12"/>
      <c r="AB354" s="12"/>
      <c r="AC354" s="12"/>
      <c r="AD354" s="12"/>
      <c r="AE354" s="12"/>
      <c r="AF354" s="12"/>
    </row>
    <row r="355" spans="1:32">
      <c r="A355" s="8"/>
      <c r="B355" s="8"/>
      <c r="C355" s="8"/>
      <c r="D355" s="8"/>
      <c r="E355" s="8"/>
      <c r="F355" s="8"/>
      <c r="G355" s="8"/>
      <c r="H355" s="8"/>
      <c r="I355" s="8"/>
      <c r="J355" s="8"/>
      <c r="K355" s="8"/>
      <c r="L355" s="8"/>
      <c r="M355" s="8"/>
      <c r="N355" s="8"/>
      <c r="O355" s="8"/>
      <c r="P355" s="8"/>
      <c r="Q355" s="8"/>
      <c r="R355" s="8"/>
      <c r="S355" s="8"/>
      <c r="T355" s="8"/>
      <c r="U355" s="12"/>
      <c r="V355" s="12"/>
      <c r="W355" s="12"/>
      <c r="X355" s="12"/>
      <c r="Y355" s="12"/>
      <c r="Z355" s="12"/>
      <c r="AA355" s="12"/>
      <c r="AB355" s="12"/>
      <c r="AC355" s="12"/>
      <c r="AD355" s="12"/>
      <c r="AE355" s="12"/>
      <c r="AF355" s="12"/>
    </row>
    <row r="356" spans="1:32">
      <c r="A356" s="8"/>
      <c r="B356" s="8"/>
      <c r="C356" s="8"/>
      <c r="D356" s="8"/>
      <c r="E356" s="8"/>
      <c r="F356" s="8"/>
      <c r="G356" s="8"/>
      <c r="H356" s="8"/>
      <c r="I356" s="8"/>
      <c r="J356" s="8"/>
      <c r="K356" s="8"/>
      <c r="L356" s="8"/>
      <c r="M356" s="8"/>
      <c r="N356" s="8"/>
      <c r="O356" s="8"/>
      <c r="P356" s="8"/>
      <c r="Q356" s="8"/>
      <c r="R356" s="8"/>
      <c r="S356" s="8"/>
      <c r="T356" s="8"/>
      <c r="U356" s="12"/>
      <c r="V356" s="12"/>
      <c r="W356" s="12"/>
      <c r="X356" s="12"/>
      <c r="Y356" s="12"/>
      <c r="Z356" s="12"/>
      <c r="AA356" s="12"/>
      <c r="AB356" s="12"/>
      <c r="AC356" s="12"/>
      <c r="AD356" s="12"/>
      <c r="AE356" s="12"/>
      <c r="AF356" s="12"/>
    </row>
    <row r="357" spans="1:32">
      <c r="A357" s="8"/>
      <c r="B357" s="8"/>
      <c r="C357" s="8"/>
      <c r="D357" s="8"/>
      <c r="E357" s="8"/>
      <c r="F357" s="8"/>
      <c r="G357" s="8"/>
      <c r="H357" s="8"/>
      <c r="I357" s="8"/>
      <c r="J357" s="8"/>
      <c r="K357" s="8"/>
      <c r="L357" s="8"/>
      <c r="M357" s="8"/>
      <c r="N357" s="8"/>
      <c r="O357" s="8"/>
      <c r="P357" s="8"/>
      <c r="Q357" s="8"/>
      <c r="R357" s="8"/>
      <c r="S357" s="8"/>
      <c r="T357" s="8"/>
      <c r="U357" s="12"/>
      <c r="V357" s="12"/>
      <c r="W357" s="12"/>
      <c r="X357" s="12"/>
      <c r="Y357" s="12"/>
      <c r="Z357" s="12"/>
      <c r="AA357" s="12"/>
      <c r="AB357" s="12"/>
      <c r="AC357" s="12"/>
      <c r="AD357" s="12"/>
      <c r="AE357" s="12"/>
      <c r="AF357" s="12"/>
    </row>
    <row r="358" spans="1:32">
      <c r="A358" s="8"/>
      <c r="B358" s="8"/>
      <c r="C358" s="8"/>
      <c r="D358" s="8"/>
      <c r="E358" s="8"/>
      <c r="F358" s="8"/>
      <c r="G358" s="8"/>
      <c r="H358" s="8"/>
      <c r="I358" s="8"/>
      <c r="J358" s="8"/>
      <c r="K358" s="8"/>
      <c r="L358" s="8"/>
      <c r="M358" s="8"/>
      <c r="N358" s="8"/>
      <c r="O358" s="8"/>
      <c r="P358" s="8"/>
      <c r="Q358" s="8"/>
      <c r="R358" s="8"/>
      <c r="S358" s="8"/>
      <c r="T358" s="8"/>
      <c r="U358" s="12"/>
      <c r="V358" s="12"/>
      <c r="W358" s="12"/>
      <c r="X358" s="12"/>
      <c r="Y358" s="12"/>
      <c r="Z358" s="12"/>
      <c r="AA358" s="12"/>
      <c r="AB358" s="12"/>
      <c r="AC358" s="12"/>
      <c r="AD358" s="12"/>
      <c r="AE358" s="12"/>
      <c r="AF358" s="12"/>
    </row>
    <row r="359" spans="1:32">
      <c r="A359" s="8"/>
      <c r="B359" s="8"/>
      <c r="C359" s="8"/>
      <c r="D359" s="8"/>
      <c r="E359" s="8"/>
      <c r="F359" s="8"/>
      <c r="G359" s="8"/>
      <c r="H359" s="8"/>
      <c r="I359" s="8"/>
      <c r="J359" s="8"/>
      <c r="K359" s="8"/>
      <c r="L359" s="8"/>
      <c r="M359" s="8"/>
      <c r="N359" s="8"/>
      <c r="O359" s="8"/>
      <c r="P359" s="8"/>
      <c r="Q359" s="8"/>
      <c r="R359" s="8"/>
      <c r="S359" s="8"/>
      <c r="T359" s="8"/>
      <c r="U359" s="12"/>
      <c r="V359" s="12"/>
      <c r="W359" s="12"/>
      <c r="X359" s="12"/>
      <c r="Y359" s="12"/>
      <c r="Z359" s="12"/>
      <c r="AA359" s="12"/>
      <c r="AB359" s="12"/>
      <c r="AC359" s="12"/>
      <c r="AD359" s="12"/>
      <c r="AE359" s="12"/>
      <c r="AF359" s="12"/>
    </row>
    <row r="360" spans="1:32">
      <c r="A360" s="8"/>
      <c r="B360" s="8"/>
      <c r="C360" s="8"/>
      <c r="D360" s="8"/>
      <c r="E360" s="8"/>
      <c r="F360" s="8"/>
      <c r="G360" s="8"/>
      <c r="H360" s="8"/>
      <c r="I360" s="8"/>
      <c r="J360" s="8"/>
      <c r="K360" s="8"/>
      <c r="L360" s="8"/>
      <c r="M360" s="8"/>
      <c r="N360" s="8"/>
      <c r="O360" s="8"/>
      <c r="P360" s="8"/>
      <c r="Q360" s="8"/>
      <c r="R360" s="8"/>
      <c r="S360" s="8"/>
      <c r="T360" s="8"/>
      <c r="U360" s="12"/>
      <c r="V360" s="12"/>
      <c r="W360" s="12"/>
      <c r="X360" s="12"/>
      <c r="Y360" s="12"/>
      <c r="Z360" s="12"/>
      <c r="AA360" s="12"/>
      <c r="AB360" s="12"/>
      <c r="AC360" s="12"/>
      <c r="AD360" s="12"/>
      <c r="AE360" s="12"/>
      <c r="AF360" s="12"/>
    </row>
    <row r="361" spans="1:32">
      <c r="A361" s="8"/>
      <c r="B361" s="8"/>
      <c r="C361" s="8"/>
      <c r="D361" s="8"/>
      <c r="E361" s="8"/>
      <c r="F361" s="8"/>
      <c r="G361" s="8"/>
      <c r="H361" s="8"/>
      <c r="I361" s="8"/>
      <c r="J361" s="8"/>
      <c r="K361" s="8"/>
      <c r="L361" s="8"/>
      <c r="M361" s="8"/>
      <c r="N361" s="8"/>
      <c r="O361" s="8"/>
      <c r="P361" s="8"/>
      <c r="Q361" s="8"/>
      <c r="R361" s="8"/>
      <c r="S361" s="8"/>
      <c r="T361" s="8"/>
      <c r="U361" s="12"/>
      <c r="V361" s="12"/>
      <c r="W361" s="12"/>
      <c r="X361" s="12"/>
      <c r="Y361" s="12"/>
      <c r="Z361" s="12"/>
      <c r="AA361" s="12"/>
      <c r="AB361" s="12"/>
      <c r="AC361" s="12"/>
      <c r="AD361" s="12"/>
      <c r="AE361" s="12"/>
      <c r="AF361" s="12"/>
    </row>
    <row r="362" spans="1:32">
      <c r="A362" s="8"/>
      <c r="B362" s="8"/>
      <c r="C362" s="8"/>
      <c r="D362" s="8"/>
      <c r="E362" s="8"/>
      <c r="F362" s="8"/>
      <c r="G362" s="8"/>
      <c r="H362" s="8"/>
      <c r="I362" s="8"/>
      <c r="J362" s="8"/>
      <c r="K362" s="8"/>
      <c r="L362" s="8"/>
      <c r="M362" s="8"/>
      <c r="N362" s="8"/>
      <c r="O362" s="8"/>
      <c r="P362" s="8"/>
      <c r="Q362" s="8"/>
      <c r="R362" s="8"/>
      <c r="S362" s="8"/>
      <c r="T362" s="8"/>
      <c r="U362" s="12"/>
      <c r="V362" s="12"/>
      <c r="W362" s="12"/>
      <c r="X362" s="12"/>
      <c r="Y362" s="12"/>
      <c r="Z362" s="12"/>
      <c r="AA362" s="12"/>
      <c r="AB362" s="12"/>
      <c r="AC362" s="12"/>
      <c r="AD362" s="12"/>
      <c r="AE362" s="12"/>
      <c r="AF362" s="12"/>
    </row>
    <row r="363" spans="1:32">
      <c r="A363" s="8"/>
      <c r="B363" s="8"/>
      <c r="C363" s="8"/>
      <c r="D363" s="8"/>
      <c r="E363" s="8"/>
      <c r="F363" s="8"/>
      <c r="G363" s="8"/>
      <c r="H363" s="8"/>
      <c r="I363" s="8"/>
      <c r="J363" s="8"/>
      <c r="K363" s="8"/>
      <c r="L363" s="8"/>
      <c r="M363" s="8"/>
      <c r="N363" s="8"/>
      <c r="O363" s="8"/>
      <c r="P363" s="8"/>
      <c r="Q363" s="8"/>
      <c r="R363" s="8"/>
      <c r="S363" s="8"/>
      <c r="T363" s="8"/>
      <c r="U363" s="12"/>
      <c r="V363" s="12"/>
      <c r="W363" s="12"/>
      <c r="X363" s="12"/>
      <c r="Y363" s="12"/>
      <c r="Z363" s="12"/>
      <c r="AA363" s="12"/>
      <c r="AB363" s="12"/>
      <c r="AC363" s="12"/>
      <c r="AD363" s="12"/>
      <c r="AE363" s="12"/>
      <c r="AF363" s="12"/>
    </row>
    <row r="364" spans="1:32">
      <c r="A364" s="8"/>
      <c r="B364" s="8"/>
      <c r="C364" s="8"/>
      <c r="D364" s="8"/>
      <c r="E364" s="8"/>
      <c r="F364" s="8"/>
      <c r="G364" s="8"/>
      <c r="H364" s="8"/>
      <c r="I364" s="8"/>
      <c r="J364" s="8"/>
      <c r="K364" s="8"/>
      <c r="L364" s="8"/>
      <c r="M364" s="8"/>
      <c r="N364" s="8"/>
      <c r="O364" s="8"/>
      <c r="P364" s="8"/>
      <c r="Q364" s="8"/>
      <c r="R364" s="8"/>
      <c r="S364" s="8"/>
      <c r="T364" s="8"/>
      <c r="U364" s="12"/>
      <c r="V364" s="12"/>
      <c r="W364" s="12"/>
      <c r="X364" s="12"/>
      <c r="Y364" s="12"/>
      <c r="Z364" s="12"/>
      <c r="AA364" s="12"/>
      <c r="AB364" s="12"/>
      <c r="AC364" s="12"/>
      <c r="AD364" s="12"/>
      <c r="AE364" s="12"/>
      <c r="AF364" s="12"/>
    </row>
    <row r="365" spans="1:32">
      <c r="A365" s="8"/>
      <c r="B365" s="8"/>
      <c r="C365" s="8"/>
      <c r="D365" s="8"/>
      <c r="E365" s="8"/>
      <c r="F365" s="8"/>
      <c r="G365" s="8"/>
      <c r="H365" s="8"/>
      <c r="I365" s="8"/>
      <c r="J365" s="8"/>
      <c r="K365" s="8"/>
      <c r="L365" s="8"/>
      <c r="M365" s="8"/>
      <c r="N365" s="8"/>
      <c r="O365" s="8"/>
      <c r="P365" s="8"/>
      <c r="Q365" s="8"/>
      <c r="R365" s="8"/>
      <c r="S365" s="8"/>
      <c r="T365" s="8"/>
      <c r="U365" s="12"/>
      <c r="V365" s="12"/>
      <c r="W365" s="12"/>
      <c r="X365" s="12"/>
      <c r="Y365" s="12"/>
      <c r="Z365" s="12"/>
      <c r="AA365" s="12"/>
      <c r="AB365" s="12"/>
      <c r="AC365" s="12"/>
      <c r="AD365" s="12"/>
      <c r="AE365" s="12"/>
      <c r="AF365" s="12"/>
    </row>
    <row r="366" spans="1:32">
      <c r="A366" s="8"/>
      <c r="B366" s="8"/>
      <c r="C366" s="8"/>
      <c r="D366" s="8"/>
      <c r="E366" s="8"/>
      <c r="F366" s="8"/>
      <c r="G366" s="8"/>
      <c r="H366" s="8"/>
      <c r="I366" s="8"/>
      <c r="J366" s="8"/>
      <c r="K366" s="8"/>
      <c r="L366" s="8"/>
      <c r="M366" s="8"/>
      <c r="N366" s="8"/>
      <c r="O366" s="8"/>
      <c r="P366" s="8"/>
      <c r="Q366" s="8"/>
      <c r="R366" s="8"/>
      <c r="S366" s="8"/>
      <c r="T366" s="8"/>
      <c r="U366" s="12"/>
      <c r="V366" s="12"/>
      <c r="W366" s="12"/>
      <c r="X366" s="12"/>
      <c r="Y366" s="12"/>
      <c r="Z366" s="12"/>
      <c r="AA366" s="12"/>
      <c r="AB366" s="12"/>
      <c r="AC366" s="12"/>
      <c r="AD366" s="12"/>
      <c r="AE366" s="12"/>
      <c r="AF366" s="12"/>
    </row>
    <row r="367" spans="1:32">
      <c r="A367" s="8"/>
      <c r="B367" s="8"/>
      <c r="C367" s="8"/>
      <c r="D367" s="8"/>
      <c r="E367" s="8"/>
      <c r="F367" s="8"/>
      <c r="G367" s="8"/>
      <c r="H367" s="8"/>
      <c r="I367" s="8"/>
      <c r="J367" s="8"/>
      <c r="K367" s="8"/>
      <c r="L367" s="8"/>
      <c r="M367" s="8"/>
      <c r="N367" s="8"/>
      <c r="O367" s="8"/>
      <c r="P367" s="8"/>
      <c r="Q367" s="8"/>
      <c r="R367" s="8"/>
      <c r="S367" s="8"/>
      <c r="T367" s="8"/>
      <c r="U367" s="12"/>
      <c r="V367" s="12"/>
      <c r="W367" s="12"/>
      <c r="X367" s="12"/>
      <c r="Y367" s="12"/>
      <c r="Z367" s="12"/>
      <c r="AA367" s="12"/>
      <c r="AB367" s="12"/>
      <c r="AC367" s="12"/>
      <c r="AD367" s="12"/>
      <c r="AE367" s="12"/>
      <c r="AF367" s="12"/>
    </row>
    <row r="368" spans="1:32">
      <c r="A368" s="8"/>
      <c r="B368" s="8"/>
      <c r="C368" s="8"/>
      <c r="D368" s="8"/>
      <c r="E368" s="8"/>
      <c r="F368" s="8"/>
      <c r="G368" s="8"/>
      <c r="H368" s="8"/>
      <c r="I368" s="8"/>
      <c r="J368" s="8"/>
      <c r="K368" s="8"/>
      <c r="L368" s="8"/>
      <c r="M368" s="8"/>
      <c r="N368" s="8"/>
      <c r="O368" s="8"/>
      <c r="P368" s="8"/>
      <c r="Q368" s="8"/>
      <c r="R368" s="8"/>
      <c r="S368" s="8"/>
      <c r="T368" s="8"/>
      <c r="U368" s="12"/>
      <c r="V368" s="12"/>
      <c r="W368" s="12"/>
      <c r="X368" s="12"/>
      <c r="Y368" s="12"/>
      <c r="Z368" s="12"/>
      <c r="AA368" s="12"/>
      <c r="AB368" s="12"/>
      <c r="AC368" s="12"/>
      <c r="AD368" s="12"/>
      <c r="AE368" s="12"/>
      <c r="AF368" s="12"/>
    </row>
    <row r="369" spans="1:32">
      <c r="A369" s="8"/>
      <c r="B369" s="8"/>
      <c r="C369" s="8"/>
      <c r="D369" s="8"/>
      <c r="E369" s="8"/>
      <c r="F369" s="8"/>
      <c r="G369" s="8"/>
      <c r="H369" s="8"/>
      <c r="I369" s="8"/>
      <c r="J369" s="8"/>
      <c r="K369" s="8"/>
      <c r="L369" s="8"/>
      <c r="M369" s="8"/>
      <c r="N369" s="8"/>
      <c r="O369" s="8"/>
      <c r="P369" s="8"/>
      <c r="Q369" s="8"/>
      <c r="R369" s="8"/>
      <c r="S369" s="8"/>
      <c r="T369" s="8"/>
      <c r="U369" s="12"/>
      <c r="V369" s="12"/>
      <c r="W369" s="12"/>
      <c r="X369" s="12"/>
      <c r="Y369" s="12"/>
      <c r="Z369" s="12"/>
      <c r="AA369" s="12"/>
      <c r="AB369" s="12"/>
      <c r="AC369" s="12"/>
      <c r="AD369" s="12"/>
      <c r="AE369" s="12"/>
      <c r="AF369" s="12"/>
    </row>
    <row r="370" spans="1:32">
      <c r="A370" s="8"/>
      <c r="B370" s="8"/>
      <c r="C370" s="8"/>
      <c r="D370" s="8"/>
      <c r="E370" s="8"/>
      <c r="F370" s="8"/>
      <c r="G370" s="8"/>
      <c r="H370" s="8"/>
      <c r="I370" s="8"/>
      <c r="J370" s="8"/>
      <c r="K370" s="8"/>
      <c r="L370" s="8"/>
      <c r="M370" s="8"/>
      <c r="N370" s="8"/>
      <c r="O370" s="8"/>
      <c r="P370" s="8"/>
      <c r="Q370" s="8"/>
      <c r="R370" s="8"/>
      <c r="S370" s="8"/>
      <c r="T370" s="8"/>
      <c r="U370" s="12"/>
      <c r="V370" s="12"/>
      <c r="W370" s="12"/>
      <c r="X370" s="12"/>
      <c r="Y370" s="12"/>
      <c r="Z370" s="12"/>
      <c r="AA370" s="12"/>
      <c r="AB370" s="12"/>
      <c r="AC370" s="12"/>
      <c r="AD370" s="12"/>
      <c r="AE370" s="12"/>
      <c r="AF370" s="12"/>
    </row>
    <row r="371" spans="1:32">
      <c r="A371" s="8"/>
      <c r="B371" s="8"/>
      <c r="C371" s="8"/>
      <c r="D371" s="8"/>
      <c r="E371" s="8"/>
      <c r="F371" s="8"/>
      <c r="G371" s="8"/>
      <c r="H371" s="8"/>
      <c r="I371" s="8"/>
      <c r="J371" s="8"/>
      <c r="K371" s="8"/>
      <c r="L371" s="8"/>
      <c r="M371" s="8"/>
      <c r="N371" s="8"/>
      <c r="O371" s="8"/>
      <c r="P371" s="8"/>
      <c r="Q371" s="8"/>
      <c r="R371" s="8"/>
      <c r="S371" s="8"/>
      <c r="T371" s="8"/>
      <c r="U371" s="12"/>
      <c r="V371" s="12"/>
      <c r="W371" s="12"/>
      <c r="X371" s="12"/>
      <c r="Y371" s="12"/>
      <c r="Z371" s="12"/>
      <c r="AA371" s="12"/>
      <c r="AB371" s="12"/>
      <c r="AC371" s="12"/>
      <c r="AD371" s="12"/>
      <c r="AE371" s="12"/>
      <c r="AF371" s="12"/>
    </row>
    <row r="372" spans="1:32">
      <c r="A372" s="8"/>
      <c r="B372" s="8"/>
      <c r="C372" s="8"/>
      <c r="D372" s="8"/>
      <c r="E372" s="8"/>
      <c r="F372" s="8"/>
      <c r="G372" s="8"/>
      <c r="H372" s="8"/>
      <c r="I372" s="8"/>
      <c r="J372" s="8"/>
      <c r="K372" s="8"/>
      <c r="L372" s="8"/>
      <c r="M372" s="8"/>
      <c r="N372" s="8"/>
      <c r="O372" s="8"/>
      <c r="P372" s="8"/>
      <c r="Q372" s="8"/>
      <c r="R372" s="8"/>
      <c r="S372" s="8"/>
      <c r="T372" s="8"/>
      <c r="U372" s="12"/>
      <c r="V372" s="12"/>
      <c r="W372" s="12"/>
      <c r="X372" s="12"/>
      <c r="Y372" s="12"/>
      <c r="Z372" s="12"/>
      <c r="AA372" s="12"/>
      <c r="AB372" s="12"/>
      <c r="AC372" s="12"/>
      <c r="AD372" s="12"/>
      <c r="AE372" s="12"/>
      <c r="AF372" s="12"/>
    </row>
    <row r="373" spans="1:32">
      <c r="A373" s="8"/>
      <c r="B373" s="8"/>
      <c r="C373" s="8"/>
      <c r="D373" s="8"/>
      <c r="E373" s="8"/>
      <c r="F373" s="8"/>
      <c r="G373" s="8"/>
      <c r="H373" s="8"/>
      <c r="I373" s="8"/>
      <c r="J373" s="8"/>
      <c r="K373" s="8"/>
      <c r="L373" s="8"/>
      <c r="M373" s="8"/>
      <c r="N373" s="8"/>
      <c r="O373" s="8"/>
      <c r="P373" s="8"/>
      <c r="Q373" s="8"/>
      <c r="R373" s="8"/>
      <c r="S373" s="8"/>
      <c r="T373" s="8"/>
      <c r="U373" s="12"/>
      <c r="V373" s="12"/>
      <c r="W373" s="12"/>
      <c r="X373" s="12"/>
      <c r="Y373" s="12"/>
      <c r="Z373" s="12"/>
      <c r="AA373" s="12"/>
      <c r="AB373" s="12"/>
      <c r="AC373" s="12"/>
      <c r="AD373" s="12"/>
      <c r="AE373" s="12"/>
      <c r="AF373" s="12"/>
    </row>
    <row r="374" spans="1:32">
      <c r="A374" s="8"/>
      <c r="B374" s="8"/>
      <c r="C374" s="8"/>
      <c r="D374" s="8"/>
      <c r="E374" s="8"/>
      <c r="F374" s="8"/>
      <c r="G374" s="8"/>
      <c r="H374" s="8"/>
      <c r="I374" s="8"/>
      <c r="J374" s="8"/>
      <c r="K374" s="8"/>
      <c r="L374" s="8"/>
      <c r="M374" s="8"/>
      <c r="N374" s="8"/>
      <c r="O374" s="8"/>
      <c r="P374" s="8"/>
      <c r="Q374" s="8"/>
      <c r="R374" s="8"/>
      <c r="S374" s="8"/>
      <c r="T374" s="8"/>
      <c r="U374" s="12"/>
      <c r="V374" s="12"/>
      <c r="W374" s="12"/>
      <c r="X374" s="12"/>
      <c r="Y374" s="12"/>
      <c r="Z374" s="12"/>
      <c r="AA374" s="12"/>
      <c r="AB374" s="12"/>
      <c r="AC374" s="12"/>
      <c r="AD374" s="12"/>
      <c r="AE374" s="12"/>
      <c r="AF374" s="12"/>
    </row>
    <row r="375" spans="1:32">
      <c r="A375" s="8"/>
      <c r="B375" s="8"/>
      <c r="C375" s="8"/>
      <c r="D375" s="8"/>
      <c r="E375" s="8"/>
      <c r="F375" s="8"/>
      <c r="G375" s="8"/>
      <c r="H375" s="8"/>
      <c r="I375" s="8"/>
      <c r="J375" s="8"/>
      <c r="K375" s="8"/>
      <c r="L375" s="8"/>
      <c r="M375" s="8"/>
      <c r="N375" s="8"/>
      <c r="O375" s="8"/>
      <c r="P375" s="8"/>
      <c r="Q375" s="8"/>
      <c r="R375" s="8"/>
      <c r="S375" s="8"/>
      <c r="T375" s="8"/>
      <c r="U375" s="12"/>
      <c r="V375" s="12"/>
      <c r="W375" s="12"/>
      <c r="X375" s="12"/>
      <c r="Y375" s="12"/>
      <c r="Z375" s="12"/>
      <c r="AA375" s="12"/>
      <c r="AB375" s="12"/>
      <c r="AC375" s="12"/>
      <c r="AD375" s="12"/>
      <c r="AE375" s="12"/>
      <c r="AF375" s="12"/>
    </row>
    <row r="376" spans="1:32">
      <c r="A376" s="8"/>
      <c r="B376" s="8"/>
      <c r="C376" s="8"/>
      <c r="D376" s="8"/>
      <c r="E376" s="8"/>
      <c r="F376" s="8"/>
      <c r="G376" s="8"/>
      <c r="H376" s="8"/>
      <c r="I376" s="8"/>
      <c r="J376" s="8"/>
      <c r="K376" s="8"/>
      <c r="L376" s="8"/>
      <c r="M376" s="8"/>
      <c r="N376" s="8"/>
      <c r="O376" s="8"/>
      <c r="P376" s="8"/>
      <c r="Q376" s="8"/>
      <c r="R376" s="8"/>
      <c r="S376" s="8"/>
      <c r="T376" s="8"/>
      <c r="U376" s="12"/>
      <c r="V376" s="12"/>
      <c r="W376" s="12"/>
      <c r="X376" s="12"/>
      <c r="Y376" s="12"/>
      <c r="Z376" s="12"/>
      <c r="AA376" s="12"/>
      <c r="AB376" s="12"/>
      <c r="AC376" s="12"/>
      <c r="AD376" s="12"/>
      <c r="AE376" s="12"/>
      <c r="AF376" s="12"/>
    </row>
    <row r="377" spans="1:32">
      <c r="A377" s="8"/>
      <c r="B377" s="8"/>
      <c r="C377" s="8"/>
      <c r="D377" s="8"/>
      <c r="E377" s="8"/>
      <c r="F377" s="8"/>
      <c r="G377" s="8"/>
      <c r="H377" s="8"/>
      <c r="I377" s="8"/>
      <c r="J377" s="8"/>
      <c r="K377" s="8"/>
      <c r="L377" s="8"/>
      <c r="M377" s="8"/>
      <c r="N377" s="8"/>
      <c r="O377" s="8"/>
      <c r="P377" s="8"/>
      <c r="Q377" s="8"/>
      <c r="R377" s="8"/>
      <c r="S377" s="8"/>
      <c r="T377" s="8"/>
      <c r="U377" s="12"/>
      <c r="V377" s="12"/>
      <c r="W377" s="12"/>
      <c r="X377" s="12"/>
      <c r="Y377" s="12"/>
      <c r="Z377" s="12"/>
      <c r="AA377" s="12"/>
      <c r="AB377" s="12"/>
      <c r="AC377" s="12"/>
      <c r="AD377" s="12"/>
      <c r="AE377" s="12"/>
      <c r="AF377" s="12"/>
    </row>
    <row r="378" spans="1:32">
      <c r="A378" s="8"/>
      <c r="B378" s="8"/>
      <c r="C378" s="8"/>
      <c r="D378" s="8"/>
      <c r="E378" s="8"/>
      <c r="F378" s="8"/>
      <c r="G378" s="8"/>
      <c r="H378" s="8"/>
      <c r="I378" s="8"/>
      <c r="J378" s="8"/>
      <c r="K378" s="8"/>
      <c r="L378" s="8"/>
      <c r="M378" s="8"/>
      <c r="N378" s="8"/>
      <c r="O378" s="8"/>
      <c r="P378" s="8"/>
      <c r="Q378" s="8"/>
      <c r="R378" s="8"/>
      <c r="S378" s="8"/>
      <c r="T378" s="8"/>
      <c r="U378" s="12"/>
      <c r="V378" s="12"/>
      <c r="W378" s="12"/>
      <c r="X378" s="12"/>
      <c r="Y378" s="12"/>
      <c r="Z378" s="12"/>
      <c r="AA378" s="12"/>
      <c r="AB378" s="12"/>
      <c r="AC378" s="12"/>
      <c r="AD378" s="12"/>
      <c r="AE378" s="12"/>
      <c r="AF378" s="12"/>
    </row>
    <row r="379" spans="1:32">
      <c r="A379" s="8"/>
      <c r="B379" s="8"/>
      <c r="C379" s="8"/>
      <c r="D379" s="8"/>
      <c r="E379" s="8"/>
      <c r="F379" s="8"/>
      <c r="G379" s="8"/>
      <c r="H379" s="8"/>
      <c r="I379" s="8"/>
      <c r="J379" s="8"/>
      <c r="K379" s="8"/>
      <c r="L379" s="8"/>
      <c r="M379" s="8"/>
      <c r="N379" s="8"/>
      <c r="O379" s="8"/>
      <c r="P379" s="8"/>
      <c r="Q379" s="8"/>
      <c r="R379" s="8"/>
      <c r="S379" s="8"/>
      <c r="T379" s="8"/>
      <c r="U379" s="12"/>
      <c r="V379" s="12"/>
      <c r="W379" s="12"/>
      <c r="X379" s="12"/>
      <c r="Y379" s="12"/>
      <c r="Z379" s="12"/>
      <c r="AA379" s="12"/>
      <c r="AB379" s="12"/>
      <c r="AC379" s="12"/>
      <c r="AD379" s="12"/>
      <c r="AE379" s="12"/>
      <c r="AF379" s="12"/>
    </row>
    <row r="380" spans="1:32">
      <c r="A380" s="8"/>
      <c r="B380" s="8"/>
      <c r="C380" s="8"/>
      <c r="D380" s="8"/>
      <c r="E380" s="8"/>
      <c r="F380" s="8"/>
      <c r="G380" s="8"/>
      <c r="H380" s="8"/>
      <c r="I380" s="8"/>
      <c r="J380" s="8"/>
      <c r="K380" s="8"/>
      <c r="L380" s="8"/>
      <c r="M380" s="8"/>
      <c r="N380" s="8"/>
      <c r="O380" s="8"/>
      <c r="P380" s="8"/>
      <c r="Q380" s="8"/>
      <c r="R380" s="8"/>
      <c r="S380" s="8"/>
      <c r="T380" s="8"/>
      <c r="U380" s="12"/>
      <c r="V380" s="12"/>
      <c r="W380" s="12"/>
      <c r="X380" s="12"/>
      <c r="Y380" s="12"/>
      <c r="Z380" s="12"/>
      <c r="AA380" s="12"/>
      <c r="AB380" s="12"/>
      <c r="AC380" s="12"/>
      <c r="AD380" s="12"/>
      <c r="AE380" s="12"/>
      <c r="AF380" s="12"/>
    </row>
    <row r="381" spans="1:32">
      <c r="A381" s="8"/>
      <c r="B381" s="8"/>
      <c r="C381" s="8"/>
      <c r="D381" s="8"/>
      <c r="E381" s="8"/>
      <c r="F381" s="8"/>
      <c r="G381" s="8"/>
      <c r="H381" s="8"/>
      <c r="I381" s="8"/>
      <c r="J381" s="8"/>
      <c r="K381" s="8"/>
      <c r="L381" s="8"/>
      <c r="M381" s="8"/>
      <c r="N381" s="8"/>
      <c r="O381" s="8"/>
      <c r="P381" s="8"/>
      <c r="Q381" s="8"/>
      <c r="R381" s="8"/>
      <c r="S381" s="8"/>
      <c r="T381" s="8"/>
      <c r="U381" s="12"/>
      <c r="V381" s="12"/>
      <c r="W381" s="12"/>
      <c r="X381" s="12"/>
      <c r="Y381" s="12"/>
      <c r="Z381" s="12"/>
      <c r="AA381" s="12"/>
      <c r="AB381" s="12"/>
      <c r="AC381" s="12"/>
      <c r="AD381" s="12"/>
      <c r="AE381" s="12"/>
      <c r="AF381" s="12"/>
    </row>
    <row r="382" spans="1:32">
      <c r="A382" s="8"/>
      <c r="B382" s="8"/>
      <c r="C382" s="8"/>
      <c r="D382" s="8"/>
      <c r="E382" s="8"/>
      <c r="F382" s="8"/>
      <c r="G382" s="8"/>
      <c r="H382" s="8"/>
      <c r="I382" s="8"/>
      <c r="J382" s="8"/>
      <c r="K382" s="8"/>
      <c r="L382" s="8"/>
      <c r="M382" s="8"/>
      <c r="N382" s="8"/>
      <c r="O382" s="8"/>
      <c r="P382" s="8"/>
      <c r="Q382" s="8"/>
      <c r="R382" s="8"/>
      <c r="S382" s="8"/>
      <c r="T382" s="8"/>
      <c r="U382" s="12"/>
      <c r="V382" s="12"/>
      <c r="W382" s="12"/>
      <c r="X382" s="12"/>
      <c r="Y382" s="12"/>
      <c r="Z382" s="12"/>
      <c r="AA382" s="12"/>
      <c r="AB382" s="12"/>
      <c r="AC382" s="12"/>
      <c r="AD382" s="12"/>
      <c r="AE382" s="12"/>
      <c r="AF382" s="12"/>
    </row>
    <row r="383" spans="1:32">
      <c r="A383" s="8"/>
      <c r="B383" s="8"/>
      <c r="C383" s="8"/>
      <c r="D383" s="8"/>
      <c r="E383" s="8"/>
      <c r="F383" s="8"/>
      <c r="G383" s="8"/>
      <c r="H383" s="8"/>
      <c r="I383" s="8"/>
      <c r="J383" s="8"/>
      <c r="K383" s="8"/>
      <c r="L383" s="8"/>
      <c r="M383" s="8"/>
      <c r="N383" s="8"/>
      <c r="O383" s="8"/>
      <c r="P383" s="8"/>
      <c r="Q383" s="8"/>
      <c r="R383" s="8"/>
      <c r="S383" s="8"/>
      <c r="T383" s="8"/>
      <c r="U383" s="12"/>
      <c r="V383" s="12"/>
      <c r="W383" s="12"/>
      <c r="X383" s="12"/>
      <c r="Y383" s="12"/>
      <c r="Z383" s="12"/>
      <c r="AA383" s="12"/>
      <c r="AB383" s="12"/>
      <c r="AC383" s="12"/>
      <c r="AD383" s="12"/>
      <c r="AE383" s="12"/>
      <c r="AF383" s="12"/>
    </row>
    <row r="384" spans="1:32">
      <c r="A384" s="8"/>
      <c r="B384" s="8"/>
      <c r="C384" s="8"/>
      <c r="D384" s="8"/>
      <c r="E384" s="8"/>
      <c r="F384" s="8"/>
      <c r="G384" s="8"/>
      <c r="H384" s="8"/>
      <c r="I384" s="8"/>
      <c r="J384" s="8"/>
      <c r="K384" s="8"/>
      <c r="L384" s="8"/>
      <c r="M384" s="8"/>
      <c r="N384" s="8"/>
      <c r="O384" s="8"/>
      <c r="P384" s="8"/>
      <c r="Q384" s="8"/>
      <c r="R384" s="8"/>
      <c r="S384" s="8"/>
      <c r="T384" s="8"/>
      <c r="U384" s="12"/>
      <c r="V384" s="12"/>
      <c r="W384" s="12"/>
      <c r="X384" s="12"/>
      <c r="Y384" s="12"/>
      <c r="Z384" s="12"/>
      <c r="AA384" s="12"/>
      <c r="AB384" s="12"/>
      <c r="AC384" s="12"/>
      <c r="AD384" s="12"/>
      <c r="AE384" s="12"/>
      <c r="AF384" s="12"/>
    </row>
    <row r="385" spans="1:32">
      <c r="A385" s="8"/>
      <c r="B385" s="8"/>
      <c r="C385" s="8"/>
      <c r="D385" s="8"/>
      <c r="E385" s="8"/>
      <c r="F385" s="8"/>
      <c r="G385" s="8"/>
      <c r="H385" s="8"/>
      <c r="I385" s="8"/>
      <c r="J385" s="8"/>
      <c r="K385" s="8"/>
      <c r="L385" s="8"/>
      <c r="M385" s="8"/>
      <c r="N385" s="8"/>
      <c r="O385" s="8"/>
      <c r="P385" s="8"/>
      <c r="Q385" s="8"/>
      <c r="R385" s="8"/>
      <c r="S385" s="8"/>
      <c r="T385" s="8"/>
      <c r="U385" s="12"/>
      <c r="V385" s="12"/>
      <c r="W385" s="12"/>
      <c r="X385" s="12"/>
      <c r="Y385" s="12"/>
      <c r="Z385" s="12"/>
      <c r="AA385" s="12"/>
      <c r="AB385" s="12"/>
      <c r="AC385" s="12"/>
      <c r="AD385" s="12"/>
      <c r="AE385" s="12"/>
      <c r="AF385" s="12"/>
    </row>
    <row r="386" spans="1:32">
      <c r="A386" s="8"/>
      <c r="B386" s="8"/>
      <c r="C386" s="8"/>
      <c r="D386" s="8"/>
      <c r="E386" s="8"/>
      <c r="F386" s="8"/>
      <c r="G386" s="8"/>
      <c r="H386" s="8"/>
      <c r="I386" s="8"/>
      <c r="J386" s="8"/>
      <c r="K386" s="8"/>
      <c r="L386" s="8"/>
      <c r="M386" s="8"/>
      <c r="N386" s="8"/>
      <c r="O386" s="8"/>
      <c r="P386" s="8"/>
      <c r="Q386" s="8"/>
      <c r="R386" s="8"/>
      <c r="S386" s="8"/>
      <c r="T386" s="8"/>
      <c r="U386" s="12"/>
      <c r="V386" s="12"/>
      <c r="W386" s="12"/>
      <c r="X386" s="12"/>
      <c r="Y386" s="12"/>
      <c r="Z386" s="12"/>
      <c r="AA386" s="12"/>
      <c r="AB386" s="12"/>
      <c r="AC386" s="12"/>
      <c r="AD386" s="12"/>
      <c r="AE386" s="12"/>
      <c r="AF386" s="12"/>
    </row>
    <row r="387" spans="1:32">
      <c r="A387" s="8"/>
      <c r="B387" s="8"/>
      <c r="C387" s="8"/>
      <c r="D387" s="8"/>
      <c r="E387" s="8"/>
      <c r="F387" s="8"/>
      <c r="G387" s="8"/>
      <c r="H387" s="8"/>
      <c r="I387" s="8"/>
      <c r="J387" s="8"/>
      <c r="K387" s="8"/>
      <c r="L387" s="8"/>
      <c r="M387" s="8"/>
      <c r="N387" s="8"/>
      <c r="O387" s="8"/>
      <c r="P387" s="8"/>
      <c r="Q387" s="8"/>
      <c r="R387" s="8"/>
      <c r="S387" s="8"/>
      <c r="T387" s="8"/>
      <c r="U387" s="12"/>
      <c r="V387" s="12"/>
      <c r="W387" s="12"/>
      <c r="X387" s="12"/>
      <c r="Y387" s="12"/>
      <c r="Z387" s="12"/>
      <c r="AA387" s="12"/>
      <c r="AB387" s="12"/>
      <c r="AC387" s="12"/>
      <c r="AD387" s="12"/>
      <c r="AE387" s="12"/>
      <c r="AF387" s="12"/>
    </row>
    <row r="388" spans="1:32">
      <c r="A388" s="8"/>
      <c r="B388" s="8"/>
      <c r="C388" s="8"/>
      <c r="D388" s="8"/>
      <c r="E388" s="8"/>
      <c r="F388" s="8"/>
      <c r="G388" s="8"/>
      <c r="H388" s="8"/>
      <c r="I388" s="8"/>
      <c r="J388" s="8"/>
      <c r="K388" s="8"/>
      <c r="L388" s="8"/>
      <c r="M388" s="8"/>
      <c r="N388" s="8"/>
      <c r="O388" s="8"/>
      <c r="P388" s="8"/>
      <c r="Q388" s="8"/>
      <c r="R388" s="8"/>
      <c r="S388" s="8"/>
      <c r="T388" s="8"/>
      <c r="U388" s="12"/>
      <c r="V388" s="12"/>
      <c r="W388" s="12"/>
      <c r="X388" s="12"/>
      <c r="Y388" s="12"/>
      <c r="Z388" s="12"/>
      <c r="AA388" s="12"/>
      <c r="AB388" s="12"/>
      <c r="AC388" s="12"/>
      <c r="AD388" s="12"/>
      <c r="AE388" s="12"/>
      <c r="AF388" s="12"/>
    </row>
    <row r="389" spans="1:32">
      <c r="A389" s="8"/>
      <c r="B389" s="8"/>
      <c r="C389" s="8"/>
      <c r="D389" s="8"/>
      <c r="E389" s="8"/>
      <c r="F389" s="8"/>
      <c r="G389" s="8"/>
      <c r="H389" s="8"/>
      <c r="I389" s="8"/>
      <c r="J389" s="8"/>
      <c r="K389" s="8"/>
      <c r="L389" s="8"/>
      <c r="M389" s="8"/>
      <c r="N389" s="8"/>
      <c r="O389" s="8"/>
      <c r="P389" s="8"/>
      <c r="Q389" s="8"/>
      <c r="R389" s="8"/>
      <c r="S389" s="8"/>
      <c r="T389" s="8"/>
      <c r="U389" s="12"/>
      <c r="V389" s="12"/>
      <c r="W389" s="12"/>
      <c r="X389" s="12"/>
      <c r="Y389" s="12"/>
      <c r="Z389" s="12"/>
      <c r="AA389" s="12"/>
      <c r="AB389" s="12"/>
      <c r="AC389" s="12"/>
      <c r="AD389" s="12"/>
      <c r="AE389" s="12"/>
      <c r="AF389" s="12"/>
    </row>
    <row r="390" spans="1:32">
      <c r="A390" s="8"/>
      <c r="B390" s="8"/>
      <c r="C390" s="8"/>
      <c r="D390" s="8"/>
      <c r="E390" s="8"/>
      <c r="F390" s="8"/>
      <c r="G390" s="8"/>
      <c r="H390" s="8"/>
      <c r="I390" s="8"/>
      <c r="J390" s="8"/>
      <c r="K390" s="8"/>
      <c r="L390" s="8"/>
      <c r="M390" s="8"/>
      <c r="N390" s="8"/>
      <c r="O390" s="8"/>
      <c r="P390" s="8"/>
      <c r="Q390" s="8"/>
      <c r="R390" s="8"/>
      <c r="S390" s="8"/>
      <c r="T390" s="8"/>
      <c r="U390" s="12"/>
      <c r="V390" s="12"/>
      <c r="W390" s="12"/>
      <c r="X390" s="12"/>
      <c r="Y390" s="12"/>
      <c r="Z390" s="12"/>
      <c r="AA390" s="12"/>
      <c r="AB390" s="12"/>
      <c r="AC390" s="12"/>
      <c r="AD390" s="12"/>
      <c r="AE390" s="12"/>
      <c r="AF390" s="12"/>
    </row>
    <row r="391" spans="1:32">
      <c r="A391" s="8"/>
      <c r="B391" s="8"/>
      <c r="C391" s="8"/>
      <c r="D391" s="8"/>
      <c r="E391" s="8"/>
      <c r="F391" s="8"/>
      <c r="G391" s="8"/>
      <c r="H391" s="8"/>
      <c r="I391" s="8"/>
      <c r="J391" s="8"/>
      <c r="K391" s="8"/>
      <c r="L391" s="8"/>
      <c r="M391" s="8"/>
      <c r="N391" s="8"/>
      <c r="O391" s="8"/>
      <c r="P391" s="8"/>
      <c r="Q391" s="8"/>
      <c r="R391" s="8"/>
      <c r="S391" s="8"/>
      <c r="T391" s="8"/>
      <c r="U391" s="12"/>
      <c r="V391" s="12"/>
      <c r="W391" s="12"/>
      <c r="X391" s="12"/>
      <c r="Y391" s="12"/>
      <c r="Z391" s="12"/>
      <c r="AA391" s="12"/>
      <c r="AB391" s="12"/>
      <c r="AC391" s="12"/>
      <c r="AD391" s="12"/>
      <c r="AE391" s="12"/>
      <c r="AF391" s="12"/>
    </row>
    <row r="392" spans="1:32">
      <c r="A392" s="8"/>
      <c r="B392" s="8"/>
      <c r="C392" s="8"/>
      <c r="D392" s="8"/>
      <c r="E392" s="8"/>
      <c r="F392" s="8"/>
      <c r="G392" s="8"/>
      <c r="H392" s="8"/>
      <c r="I392" s="8"/>
      <c r="J392" s="8"/>
      <c r="K392" s="8"/>
      <c r="L392" s="8"/>
      <c r="M392" s="8"/>
      <c r="N392" s="8"/>
      <c r="O392" s="8"/>
      <c r="P392" s="8"/>
      <c r="Q392" s="8"/>
      <c r="R392" s="8"/>
      <c r="S392" s="8"/>
      <c r="T392" s="8"/>
      <c r="U392" s="12"/>
      <c r="V392" s="12"/>
      <c r="W392" s="12"/>
      <c r="X392" s="12"/>
      <c r="Y392" s="12"/>
      <c r="Z392" s="12"/>
      <c r="AA392" s="12"/>
      <c r="AB392" s="12"/>
      <c r="AC392" s="12"/>
      <c r="AD392" s="12"/>
      <c r="AE392" s="12"/>
      <c r="AF392" s="12"/>
    </row>
    <row r="393" spans="1:32">
      <c r="A393" s="8"/>
      <c r="B393" s="8"/>
      <c r="C393" s="8"/>
      <c r="D393" s="8"/>
      <c r="E393" s="8"/>
      <c r="F393" s="8"/>
      <c r="G393" s="8"/>
      <c r="H393" s="8"/>
      <c r="I393" s="8"/>
      <c r="J393" s="8"/>
      <c r="K393" s="8"/>
      <c r="L393" s="8"/>
      <c r="M393" s="8"/>
      <c r="N393" s="8"/>
      <c r="O393" s="8"/>
      <c r="P393" s="8"/>
      <c r="Q393" s="8"/>
      <c r="R393" s="8"/>
      <c r="S393" s="8"/>
      <c r="T393" s="8"/>
      <c r="U393" s="12"/>
      <c r="V393" s="12"/>
      <c r="W393" s="12"/>
      <c r="X393" s="12"/>
      <c r="Y393" s="12"/>
      <c r="Z393" s="12"/>
      <c r="AA393" s="12"/>
      <c r="AB393" s="12"/>
      <c r="AC393" s="12"/>
      <c r="AD393" s="12"/>
      <c r="AE393" s="12"/>
      <c r="AF393" s="12"/>
    </row>
    <row r="394" spans="1:32">
      <c r="A394" s="8"/>
      <c r="B394" s="8"/>
      <c r="C394" s="8"/>
      <c r="D394" s="8"/>
      <c r="E394" s="8"/>
      <c r="F394" s="8"/>
      <c r="G394" s="8"/>
      <c r="H394" s="8"/>
      <c r="I394" s="8"/>
      <c r="J394" s="8"/>
      <c r="K394" s="8"/>
      <c r="L394" s="8"/>
      <c r="M394" s="8"/>
      <c r="N394" s="8"/>
      <c r="O394" s="8"/>
      <c r="P394" s="8"/>
      <c r="Q394" s="8"/>
      <c r="R394" s="8"/>
      <c r="S394" s="8"/>
      <c r="T394" s="8"/>
      <c r="U394" s="12"/>
      <c r="V394" s="12"/>
      <c r="W394" s="12"/>
      <c r="X394" s="12"/>
      <c r="Y394" s="12"/>
      <c r="Z394" s="12"/>
      <c r="AA394" s="12"/>
      <c r="AB394" s="12"/>
      <c r="AC394" s="12"/>
      <c r="AD394" s="12"/>
      <c r="AE394" s="12"/>
      <c r="AF394" s="12"/>
    </row>
    <row r="395" spans="1:32">
      <c r="A395" s="8"/>
      <c r="B395" s="8"/>
      <c r="C395" s="8"/>
      <c r="D395" s="8"/>
      <c r="E395" s="8"/>
      <c r="F395" s="8"/>
      <c r="G395" s="8"/>
      <c r="H395" s="8"/>
      <c r="I395" s="8"/>
      <c r="J395" s="8"/>
      <c r="K395" s="8"/>
      <c r="L395" s="8"/>
      <c r="M395" s="8"/>
      <c r="N395" s="8"/>
      <c r="O395" s="8"/>
      <c r="P395" s="8"/>
      <c r="Q395" s="8"/>
      <c r="R395" s="8"/>
      <c r="S395" s="8"/>
      <c r="T395" s="8"/>
      <c r="U395" s="12"/>
      <c r="V395" s="12"/>
      <c r="W395" s="12"/>
      <c r="X395" s="12"/>
      <c r="Y395" s="12"/>
      <c r="Z395" s="12"/>
      <c r="AA395" s="12"/>
      <c r="AB395" s="12"/>
      <c r="AC395" s="12"/>
      <c r="AD395" s="12"/>
      <c r="AE395" s="12"/>
      <c r="AF395" s="12"/>
    </row>
    <row r="396" spans="1:32">
      <c r="A396" s="8"/>
      <c r="B396" s="8"/>
      <c r="C396" s="8"/>
      <c r="D396" s="8"/>
      <c r="E396" s="8"/>
      <c r="F396" s="8"/>
      <c r="G396" s="8"/>
      <c r="H396" s="8"/>
      <c r="I396" s="8"/>
      <c r="J396" s="8"/>
      <c r="K396" s="8"/>
      <c r="L396" s="8"/>
      <c r="M396" s="8"/>
      <c r="N396" s="8"/>
      <c r="O396" s="8"/>
      <c r="P396" s="8"/>
      <c r="Q396" s="8"/>
      <c r="R396" s="8"/>
      <c r="S396" s="8"/>
      <c r="T396" s="8"/>
      <c r="U396" s="12"/>
      <c r="V396" s="12"/>
      <c r="W396" s="12"/>
      <c r="X396" s="12"/>
      <c r="Y396" s="12"/>
      <c r="Z396" s="12"/>
      <c r="AA396" s="12"/>
      <c r="AB396" s="12"/>
      <c r="AC396" s="12"/>
      <c r="AD396" s="12"/>
      <c r="AE396" s="12"/>
      <c r="AF396" s="12"/>
    </row>
    <row r="397" spans="1:32">
      <c r="A397" s="8"/>
      <c r="B397" s="8"/>
      <c r="C397" s="8"/>
      <c r="D397" s="8"/>
      <c r="E397" s="8"/>
      <c r="F397" s="8"/>
      <c r="G397" s="8"/>
      <c r="H397" s="8"/>
      <c r="I397" s="8"/>
      <c r="J397" s="8"/>
      <c r="K397" s="8"/>
      <c r="L397" s="8"/>
      <c r="M397" s="8"/>
      <c r="N397" s="8"/>
      <c r="O397" s="8"/>
      <c r="P397" s="8"/>
      <c r="Q397" s="8"/>
      <c r="R397" s="8"/>
      <c r="S397" s="8"/>
      <c r="T397" s="8"/>
      <c r="U397" s="12"/>
      <c r="V397" s="12"/>
      <c r="W397" s="12"/>
      <c r="X397" s="12"/>
      <c r="Y397" s="12"/>
      <c r="Z397" s="12"/>
      <c r="AA397" s="12"/>
      <c r="AB397" s="12"/>
      <c r="AC397" s="12"/>
      <c r="AD397" s="12"/>
      <c r="AE397" s="12"/>
      <c r="AF397" s="12"/>
    </row>
    <row r="398" spans="1:32">
      <c r="A398" s="8"/>
      <c r="B398" s="8"/>
      <c r="C398" s="8"/>
      <c r="D398" s="8"/>
      <c r="E398" s="8"/>
      <c r="F398" s="8"/>
      <c r="G398" s="8"/>
      <c r="H398" s="8"/>
      <c r="I398" s="8"/>
      <c r="J398" s="8"/>
      <c r="K398" s="8"/>
      <c r="L398" s="8"/>
      <c r="M398" s="8"/>
      <c r="N398" s="8"/>
      <c r="O398" s="8"/>
      <c r="P398" s="8"/>
      <c r="Q398" s="8"/>
      <c r="R398" s="8"/>
      <c r="S398" s="8"/>
      <c r="T398" s="8"/>
      <c r="U398" s="12"/>
      <c r="V398" s="12"/>
      <c r="W398" s="12"/>
      <c r="X398" s="12"/>
      <c r="Y398" s="12"/>
      <c r="Z398" s="12"/>
      <c r="AA398" s="12"/>
      <c r="AB398" s="12"/>
      <c r="AC398" s="12"/>
      <c r="AD398" s="12"/>
      <c r="AE398" s="12"/>
      <c r="AF398" s="12"/>
    </row>
    <row r="399" spans="1:32">
      <c r="A399" s="8"/>
      <c r="B399" s="8"/>
      <c r="C399" s="8"/>
      <c r="D399" s="8"/>
      <c r="E399" s="8"/>
      <c r="F399" s="8"/>
      <c r="G399" s="8"/>
      <c r="H399" s="8"/>
      <c r="I399" s="8"/>
      <c r="J399" s="8"/>
      <c r="K399" s="8"/>
      <c r="L399" s="8"/>
      <c r="M399" s="8"/>
      <c r="N399" s="8"/>
      <c r="O399" s="8"/>
      <c r="P399" s="8"/>
      <c r="Q399" s="8"/>
      <c r="R399" s="8"/>
      <c r="S399" s="8"/>
      <c r="T399" s="8"/>
      <c r="U399" s="12"/>
      <c r="V399" s="12"/>
      <c r="W399" s="12"/>
      <c r="X399" s="12"/>
      <c r="Y399" s="12"/>
      <c r="Z399" s="12"/>
      <c r="AA399" s="12"/>
      <c r="AB399" s="12"/>
      <c r="AC399" s="12"/>
      <c r="AD399" s="12"/>
      <c r="AE399" s="12"/>
      <c r="AF399" s="12"/>
    </row>
    <row r="400" spans="1:32">
      <c r="A400" s="8"/>
      <c r="B400" s="8"/>
      <c r="C400" s="8"/>
      <c r="D400" s="8"/>
      <c r="E400" s="8"/>
      <c r="F400" s="8"/>
      <c r="G400" s="8"/>
      <c r="H400" s="8"/>
      <c r="I400" s="8"/>
      <c r="J400" s="8"/>
      <c r="K400" s="8"/>
      <c r="L400" s="8"/>
      <c r="M400" s="8"/>
      <c r="N400" s="8"/>
      <c r="O400" s="8"/>
      <c r="P400" s="8"/>
      <c r="Q400" s="8"/>
      <c r="R400" s="8"/>
      <c r="S400" s="8"/>
      <c r="T400" s="8"/>
      <c r="U400" s="12"/>
      <c r="V400" s="12"/>
      <c r="W400" s="12"/>
      <c r="X400" s="12"/>
      <c r="Y400" s="12"/>
      <c r="Z400" s="12"/>
      <c r="AA400" s="12"/>
      <c r="AB400" s="12"/>
      <c r="AC400" s="12"/>
      <c r="AD400" s="12"/>
      <c r="AE400" s="12"/>
      <c r="AF400" s="12"/>
    </row>
    <row r="401" spans="1:32">
      <c r="A401" s="8"/>
      <c r="B401" s="8"/>
      <c r="C401" s="8"/>
      <c r="D401" s="8"/>
      <c r="E401" s="8"/>
      <c r="F401" s="8"/>
      <c r="G401" s="8"/>
      <c r="H401" s="8"/>
      <c r="I401" s="8"/>
      <c r="J401" s="8"/>
      <c r="K401" s="8"/>
      <c r="L401" s="8"/>
      <c r="M401" s="8"/>
      <c r="N401" s="8"/>
      <c r="O401" s="8"/>
      <c r="P401" s="8"/>
      <c r="Q401" s="8"/>
      <c r="R401" s="8"/>
      <c r="S401" s="8"/>
      <c r="T401" s="8"/>
      <c r="U401" s="12"/>
      <c r="V401" s="12"/>
      <c r="W401" s="12"/>
      <c r="X401" s="12"/>
      <c r="Y401" s="12"/>
      <c r="Z401" s="12"/>
      <c r="AA401" s="12"/>
      <c r="AB401" s="12"/>
      <c r="AC401" s="12"/>
      <c r="AD401" s="12"/>
      <c r="AE401" s="12"/>
      <c r="AF401" s="12"/>
    </row>
    <row r="402" spans="1:32">
      <c r="A402" s="8"/>
      <c r="B402" s="8"/>
      <c r="C402" s="8"/>
      <c r="D402" s="8"/>
      <c r="E402" s="8"/>
      <c r="F402" s="8"/>
      <c r="G402" s="8"/>
      <c r="H402" s="8"/>
      <c r="I402" s="8"/>
      <c r="J402" s="8"/>
      <c r="K402" s="8"/>
      <c r="L402" s="8"/>
      <c r="M402" s="8"/>
      <c r="N402" s="8"/>
      <c r="O402" s="8"/>
      <c r="P402" s="8"/>
      <c r="Q402" s="8"/>
      <c r="R402" s="8"/>
      <c r="S402" s="8"/>
      <c r="T402" s="8"/>
      <c r="U402" s="12"/>
      <c r="V402" s="12"/>
      <c r="W402" s="12"/>
      <c r="X402" s="12"/>
      <c r="Y402" s="12"/>
      <c r="Z402" s="12"/>
      <c r="AA402" s="12"/>
      <c r="AB402" s="12"/>
      <c r="AC402" s="12"/>
      <c r="AD402" s="12"/>
      <c r="AE402" s="12"/>
      <c r="AF402" s="12"/>
    </row>
    <row r="403" spans="1:32">
      <c r="A403" s="8"/>
      <c r="B403" s="8"/>
      <c r="C403" s="8"/>
      <c r="D403" s="8"/>
      <c r="E403" s="8"/>
      <c r="F403" s="8"/>
      <c r="G403" s="8"/>
      <c r="H403" s="8"/>
      <c r="I403" s="8"/>
      <c r="J403" s="8"/>
      <c r="K403" s="8"/>
      <c r="L403" s="8"/>
      <c r="M403" s="8"/>
      <c r="N403" s="8"/>
      <c r="O403" s="8"/>
      <c r="P403" s="8"/>
      <c r="Q403" s="8"/>
      <c r="R403" s="8"/>
      <c r="S403" s="8"/>
      <c r="T403" s="8"/>
      <c r="U403" s="12"/>
      <c r="V403" s="12"/>
      <c r="W403" s="12"/>
      <c r="X403" s="12"/>
      <c r="Y403" s="12"/>
      <c r="Z403" s="12"/>
      <c r="AA403" s="12"/>
      <c r="AB403" s="12"/>
      <c r="AC403" s="12"/>
      <c r="AD403" s="12"/>
      <c r="AE403" s="12"/>
      <c r="AF403" s="12"/>
    </row>
    <row r="404" spans="1:32">
      <c r="A404" s="8"/>
      <c r="B404" s="8"/>
      <c r="C404" s="8"/>
      <c r="D404" s="8"/>
      <c r="E404" s="8"/>
      <c r="F404" s="8"/>
      <c r="G404" s="8"/>
      <c r="H404" s="8"/>
      <c r="I404" s="8"/>
      <c r="J404" s="8"/>
      <c r="K404" s="8"/>
      <c r="L404" s="8"/>
      <c r="M404" s="8"/>
      <c r="N404" s="8"/>
      <c r="O404" s="8"/>
      <c r="P404" s="8"/>
      <c r="Q404" s="8"/>
      <c r="R404" s="8"/>
      <c r="S404" s="8"/>
      <c r="T404" s="8"/>
      <c r="U404" s="12"/>
      <c r="V404" s="12"/>
      <c r="W404" s="12"/>
      <c r="X404" s="12"/>
      <c r="Y404" s="12"/>
      <c r="Z404" s="12"/>
      <c r="AA404" s="12"/>
      <c r="AB404" s="12"/>
      <c r="AC404" s="12"/>
      <c r="AD404" s="12"/>
      <c r="AE404" s="12"/>
      <c r="AF404" s="12"/>
    </row>
    <row r="405" spans="1:32">
      <c r="A405" s="8"/>
      <c r="B405" s="8"/>
      <c r="C405" s="8"/>
      <c r="D405" s="8"/>
      <c r="E405" s="8"/>
      <c r="F405" s="8"/>
      <c r="G405" s="8"/>
      <c r="H405" s="8"/>
      <c r="I405" s="8"/>
      <c r="J405" s="8"/>
      <c r="K405" s="8"/>
      <c r="L405" s="8"/>
      <c r="M405" s="8"/>
      <c r="N405" s="8"/>
      <c r="O405" s="8"/>
      <c r="P405" s="8"/>
      <c r="Q405" s="8"/>
      <c r="R405" s="8"/>
      <c r="S405" s="8"/>
      <c r="T405" s="8"/>
      <c r="U405" s="12"/>
      <c r="V405" s="12"/>
      <c r="W405" s="12"/>
      <c r="X405" s="12"/>
      <c r="Y405" s="12"/>
      <c r="Z405" s="12"/>
      <c r="AA405" s="12"/>
      <c r="AB405" s="12"/>
      <c r="AC405" s="12"/>
      <c r="AD405" s="12"/>
      <c r="AE405" s="12"/>
      <c r="AF405" s="12"/>
    </row>
    <row r="406" spans="1:32">
      <c r="A406" s="8"/>
      <c r="B406" s="8"/>
      <c r="C406" s="8"/>
      <c r="D406" s="8"/>
      <c r="E406" s="8"/>
      <c r="F406" s="8"/>
      <c r="G406" s="8"/>
      <c r="H406" s="8"/>
      <c r="I406" s="8"/>
      <c r="J406" s="8"/>
      <c r="K406" s="8"/>
      <c r="L406" s="8"/>
      <c r="M406" s="8"/>
      <c r="N406" s="8"/>
      <c r="O406" s="8"/>
      <c r="P406" s="8"/>
      <c r="Q406" s="8"/>
      <c r="R406" s="8"/>
      <c r="S406" s="8"/>
      <c r="T406" s="8"/>
      <c r="U406" s="12"/>
      <c r="V406" s="12"/>
      <c r="W406" s="12"/>
      <c r="X406" s="12"/>
      <c r="Y406" s="12"/>
      <c r="Z406" s="12"/>
      <c r="AA406" s="12"/>
      <c r="AB406" s="12"/>
      <c r="AC406" s="12"/>
      <c r="AD406" s="12"/>
      <c r="AE406" s="12"/>
      <c r="AF406" s="12"/>
    </row>
    <row r="407" spans="1:32">
      <c r="A407" s="8"/>
      <c r="B407" s="8"/>
      <c r="C407" s="8"/>
      <c r="D407" s="8"/>
      <c r="E407" s="8"/>
      <c r="F407" s="8"/>
      <c r="G407" s="8"/>
      <c r="H407" s="8"/>
      <c r="I407" s="8"/>
      <c r="J407" s="8"/>
      <c r="K407" s="8"/>
      <c r="L407" s="8"/>
      <c r="M407" s="8"/>
      <c r="N407" s="8"/>
      <c r="O407" s="8"/>
      <c r="P407" s="8"/>
      <c r="Q407" s="8"/>
      <c r="R407" s="8"/>
      <c r="S407" s="8"/>
      <c r="T407" s="8"/>
      <c r="U407" s="12"/>
      <c r="V407" s="12"/>
      <c r="W407" s="12"/>
      <c r="X407" s="12"/>
      <c r="Y407" s="12"/>
      <c r="Z407" s="12"/>
      <c r="AA407" s="12"/>
      <c r="AB407" s="12"/>
      <c r="AC407" s="12"/>
      <c r="AD407" s="12"/>
      <c r="AE407" s="12"/>
      <c r="AF407" s="12"/>
    </row>
    <row r="408" spans="1:32">
      <c r="A408" s="8"/>
      <c r="B408" s="8"/>
      <c r="C408" s="8"/>
      <c r="D408" s="8"/>
      <c r="E408" s="8"/>
      <c r="F408" s="8"/>
      <c r="G408" s="8"/>
      <c r="H408" s="8"/>
      <c r="I408" s="8"/>
      <c r="J408" s="8"/>
      <c r="K408" s="8"/>
      <c r="L408" s="8"/>
      <c r="M408" s="8"/>
      <c r="N408" s="8"/>
      <c r="O408" s="8"/>
      <c r="P408" s="8"/>
      <c r="Q408" s="8"/>
      <c r="R408" s="8"/>
      <c r="S408" s="8"/>
      <c r="T408" s="8"/>
      <c r="U408" s="12"/>
      <c r="V408" s="12"/>
      <c r="W408" s="12"/>
      <c r="X408" s="12"/>
      <c r="Y408" s="12"/>
      <c r="Z408" s="12"/>
      <c r="AA408" s="12"/>
      <c r="AB408" s="12"/>
      <c r="AC408" s="12"/>
      <c r="AD408" s="12"/>
      <c r="AE408" s="12"/>
      <c r="AF408" s="12"/>
    </row>
    <row r="409" spans="1:32">
      <c r="A409" s="8"/>
      <c r="B409" s="8"/>
      <c r="C409" s="8"/>
      <c r="D409" s="8"/>
      <c r="E409" s="8"/>
      <c r="F409" s="8"/>
      <c r="G409" s="8"/>
      <c r="H409" s="8"/>
      <c r="I409" s="8"/>
      <c r="J409" s="8"/>
      <c r="K409" s="8"/>
      <c r="L409" s="8"/>
      <c r="M409" s="8"/>
      <c r="N409" s="8"/>
      <c r="O409" s="8"/>
      <c r="P409" s="8"/>
      <c r="Q409" s="8"/>
      <c r="R409" s="8"/>
      <c r="S409" s="8"/>
      <c r="T409" s="8"/>
      <c r="U409" s="12"/>
      <c r="V409" s="12"/>
      <c r="W409" s="12"/>
      <c r="X409" s="12"/>
      <c r="Y409" s="12"/>
      <c r="Z409" s="12"/>
      <c r="AA409" s="12"/>
      <c r="AB409" s="12"/>
      <c r="AC409" s="12"/>
      <c r="AD409" s="12"/>
      <c r="AE409" s="12"/>
      <c r="AF409" s="12"/>
    </row>
    <row r="410" spans="1:32">
      <c r="A410" s="8"/>
      <c r="B410" s="8"/>
      <c r="C410" s="8"/>
      <c r="D410" s="8"/>
      <c r="E410" s="8"/>
      <c r="F410" s="8"/>
      <c r="G410" s="8"/>
      <c r="H410" s="8"/>
      <c r="I410" s="8"/>
      <c r="J410" s="8"/>
      <c r="K410" s="8"/>
      <c r="L410" s="8"/>
      <c r="M410" s="8"/>
      <c r="N410" s="8"/>
      <c r="O410" s="8"/>
      <c r="P410" s="8"/>
      <c r="Q410" s="8"/>
      <c r="R410" s="8"/>
      <c r="S410" s="8"/>
      <c r="T410" s="8"/>
      <c r="U410" s="12"/>
      <c r="V410" s="12"/>
      <c r="W410" s="12"/>
      <c r="X410" s="12"/>
      <c r="Y410" s="12"/>
      <c r="Z410" s="12"/>
      <c r="AA410" s="12"/>
      <c r="AB410" s="12"/>
      <c r="AC410" s="12"/>
      <c r="AD410" s="12"/>
      <c r="AE410" s="12"/>
      <c r="AF410" s="12"/>
    </row>
    <row r="411" spans="1:32">
      <c r="A411" s="8"/>
      <c r="B411" s="8"/>
      <c r="C411" s="8"/>
      <c r="D411" s="8"/>
      <c r="E411" s="8"/>
      <c r="F411" s="8"/>
      <c r="G411" s="8"/>
      <c r="H411" s="8"/>
      <c r="I411" s="8"/>
      <c r="J411" s="8"/>
      <c r="K411" s="8"/>
      <c r="L411" s="8"/>
      <c r="M411" s="8"/>
      <c r="N411" s="8"/>
      <c r="O411" s="8"/>
      <c r="P411" s="8"/>
      <c r="Q411" s="8"/>
      <c r="R411" s="8"/>
      <c r="S411" s="8"/>
      <c r="T411" s="8"/>
      <c r="U411" s="12"/>
      <c r="V411" s="12"/>
      <c r="W411" s="12"/>
      <c r="X411" s="12"/>
      <c r="Y411" s="12"/>
      <c r="Z411" s="12"/>
      <c r="AA411" s="12"/>
      <c r="AB411" s="12"/>
      <c r="AC411" s="12"/>
      <c r="AD411" s="12"/>
      <c r="AE411" s="12"/>
      <c r="AF411" s="12"/>
    </row>
    <row r="412" spans="1:32">
      <c r="A412" s="8"/>
      <c r="B412" s="8"/>
      <c r="C412" s="8"/>
      <c r="D412" s="8"/>
      <c r="E412" s="8"/>
      <c r="F412" s="8"/>
      <c r="G412" s="8"/>
      <c r="H412" s="8"/>
      <c r="I412" s="8"/>
      <c r="J412" s="8"/>
      <c r="K412" s="8"/>
      <c r="L412" s="8"/>
      <c r="M412" s="8"/>
      <c r="N412" s="8"/>
      <c r="O412" s="8"/>
      <c r="P412" s="8"/>
      <c r="Q412" s="8"/>
      <c r="R412" s="8"/>
      <c r="S412" s="8"/>
      <c r="T412" s="8"/>
      <c r="U412" s="12"/>
      <c r="V412" s="12"/>
      <c r="W412" s="12"/>
      <c r="X412" s="12"/>
      <c r="Y412" s="12"/>
      <c r="Z412" s="12"/>
      <c r="AA412" s="12"/>
      <c r="AB412" s="12"/>
      <c r="AC412" s="12"/>
      <c r="AD412" s="12"/>
      <c r="AE412" s="12"/>
      <c r="AF412" s="12"/>
    </row>
    <row r="413" spans="1:32">
      <c r="A413" s="8"/>
      <c r="B413" s="8"/>
      <c r="C413" s="8"/>
      <c r="D413" s="8"/>
      <c r="E413" s="8"/>
      <c r="F413" s="8"/>
      <c r="G413" s="8"/>
      <c r="H413" s="8"/>
      <c r="I413" s="8"/>
      <c r="J413" s="8"/>
      <c r="K413" s="8"/>
      <c r="L413" s="8"/>
      <c r="M413" s="8"/>
      <c r="N413" s="8"/>
      <c r="O413" s="8"/>
      <c r="P413" s="8"/>
      <c r="Q413" s="8"/>
      <c r="R413" s="8"/>
      <c r="S413" s="8"/>
      <c r="T413" s="8"/>
      <c r="U413" s="12"/>
      <c r="V413" s="12"/>
      <c r="W413" s="12"/>
      <c r="X413" s="12"/>
      <c r="Y413" s="12"/>
      <c r="Z413" s="12"/>
      <c r="AA413" s="12"/>
      <c r="AB413" s="12"/>
      <c r="AC413" s="12"/>
      <c r="AD413" s="12"/>
      <c r="AE413" s="12"/>
      <c r="AF413" s="12"/>
    </row>
    <row r="414" spans="1:32">
      <c r="A414" s="8"/>
      <c r="B414" s="8"/>
      <c r="C414" s="8"/>
      <c r="D414" s="8"/>
      <c r="E414" s="8"/>
      <c r="F414" s="8"/>
      <c r="G414" s="8"/>
      <c r="H414" s="8"/>
      <c r="I414" s="8"/>
      <c r="J414" s="8"/>
      <c r="K414" s="8"/>
      <c r="L414" s="8"/>
      <c r="M414" s="8"/>
      <c r="N414" s="8"/>
      <c r="O414" s="8"/>
      <c r="P414" s="8"/>
      <c r="Q414" s="8"/>
      <c r="R414" s="8"/>
      <c r="S414" s="8"/>
      <c r="T414" s="8"/>
      <c r="U414" s="12"/>
      <c r="V414" s="12"/>
      <c r="W414" s="12"/>
      <c r="X414" s="12"/>
      <c r="Y414" s="12"/>
      <c r="Z414" s="12"/>
      <c r="AA414" s="12"/>
      <c r="AB414" s="12"/>
      <c r="AC414" s="12"/>
      <c r="AD414" s="12"/>
      <c r="AE414" s="12"/>
      <c r="AF414" s="12"/>
    </row>
    <row r="415" spans="1:32">
      <c r="A415" s="8"/>
      <c r="B415" s="8"/>
      <c r="C415" s="8"/>
      <c r="D415" s="8"/>
      <c r="E415" s="8"/>
      <c r="F415" s="8"/>
      <c r="G415" s="8"/>
      <c r="H415" s="8"/>
      <c r="I415" s="8"/>
      <c r="J415" s="8"/>
      <c r="K415" s="8"/>
      <c r="L415" s="8"/>
      <c r="M415" s="8"/>
      <c r="N415" s="8"/>
      <c r="O415" s="8"/>
      <c r="P415" s="8"/>
      <c r="Q415" s="8"/>
      <c r="R415" s="8"/>
      <c r="S415" s="8"/>
      <c r="T415" s="8"/>
      <c r="U415" s="12"/>
      <c r="V415" s="12"/>
      <c r="W415" s="12"/>
      <c r="X415" s="12"/>
      <c r="Y415" s="12"/>
      <c r="Z415" s="12"/>
      <c r="AA415" s="12"/>
      <c r="AB415" s="12"/>
      <c r="AC415" s="12"/>
      <c r="AD415" s="12"/>
      <c r="AE415" s="12"/>
      <c r="AF415" s="12"/>
    </row>
    <row r="416" spans="1:32">
      <c r="A416" s="8"/>
      <c r="B416" s="8"/>
      <c r="C416" s="8"/>
      <c r="D416" s="8"/>
      <c r="E416" s="8"/>
      <c r="F416" s="8"/>
      <c r="G416" s="8"/>
      <c r="H416" s="8"/>
      <c r="I416" s="8"/>
      <c r="J416" s="8"/>
      <c r="K416" s="8"/>
      <c r="L416" s="8"/>
      <c r="M416" s="8"/>
      <c r="N416" s="8"/>
      <c r="O416" s="8"/>
      <c r="P416" s="8"/>
      <c r="Q416" s="8"/>
      <c r="R416" s="8"/>
      <c r="S416" s="8"/>
      <c r="T416" s="8"/>
      <c r="U416" s="12"/>
      <c r="V416" s="12"/>
      <c r="W416" s="12"/>
      <c r="X416" s="12"/>
      <c r="Y416" s="12"/>
      <c r="Z416" s="12"/>
      <c r="AA416" s="12"/>
      <c r="AB416" s="12"/>
      <c r="AC416" s="12"/>
      <c r="AD416" s="12"/>
      <c r="AE416" s="12"/>
      <c r="AF416" s="12"/>
    </row>
    <row r="417" spans="1:32">
      <c r="A417" s="8"/>
      <c r="B417" s="8"/>
      <c r="C417" s="8"/>
      <c r="D417" s="8"/>
      <c r="E417" s="8"/>
      <c r="F417" s="8"/>
      <c r="G417" s="8"/>
      <c r="H417" s="8"/>
      <c r="I417" s="8"/>
      <c r="J417" s="8"/>
      <c r="K417" s="8"/>
      <c r="L417" s="8"/>
      <c r="M417" s="8"/>
      <c r="N417" s="8"/>
      <c r="O417" s="8"/>
      <c r="P417" s="8"/>
      <c r="Q417" s="8"/>
      <c r="R417" s="8"/>
      <c r="S417" s="8"/>
      <c r="T417" s="8"/>
      <c r="U417" s="12"/>
      <c r="V417" s="12"/>
      <c r="W417" s="12"/>
      <c r="X417" s="12"/>
      <c r="Y417" s="12"/>
      <c r="Z417" s="12"/>
      <c r="AA417" s="12"/>
      <c r="AB417" s="12"/>
      <c r="AC417" s="12"/>
      <c r="AD417" s="12"/>
      <c r="AE417" s="12"/>
      <c r="AF417" s="12"/>
    </row>
    <row r="418" spans="1:32">
      <c r="A418" s="8"/>
      <c r="B418" s="8"/>
      <c r="C418" s="8"/>
      <c r="D418" s="8"/>
      <c r="E418" s="8"/>
      <c r="F418" s="8"/>
      <c r="G418" s="8"/>
      <c r="H418" s="8"/>
      <c r="I418" s="8"/>
      <c r="J418" s="8"/>
      <c r="K418" s="8"/>
      <c r="L418" s="8"/>
      <c r="M418" s="8"/>
      <c r="N418" s="8"/>
      <c r="O418" s="8"/>
      <c r="P418" s="8"/>
      <c r="Q418" s="8"/>
      <c r="R418" s="8"/>
      <c r="S418" s="8"/>
      <c r="T418" s="8"/>
      <c r="U418" s="12"/>
      <c r="V418" s="12"/>
      <c r="W418" s="12"/>
      <c r="X418" s="12"/>
      <c r="Y418" s="12"/>
      <c r="Z418" s="12"/>
      <c r="AA418" s="12"/>
      <c r="AB418" s="12"/>
      <c r="AC418" s="12"/>
      <c r="AD418" s="12"/>
      <c r="AE418" s="12"/>
      <c r="AF418" s="12"/>
    </row>
    <row r="419" spans="1:32">
      <c r="A419" s="8"/>
      <c r="B419" s="8"/>
      <c r="C419" s="8"/>
      <c r="D419" s="8"/>
      <c r="E419" s="8"/>
      <c r="F419" s="8"/>
      <c r="G419" s="8"/>
      <c r="H419" s="8"/>
      <c r="I419" s="8"/>
      <c r="J419" s="8"/>
      <c r="K419" s="8"/>
      <c r="L419" s="8"/>
      <c r="M419" s="8"/>
      <c r="N419" s="8"/>
      <c r="O419" s="8"/>
      <c r="P419" s="8"/>
      <c r="Q419" s="8"/>
      <c r="R419" s="8"/>
      <c r="S419" s="8"/>
      <c r="T419" s="8"/>
      <c r="U419" s="12"/>
      <c r="V419" s="12"/>
      <c r="W419" s="12"/>
      <c r="X419" s="12"/>
      <c r="Y419" s="12"/>
      <c r="Z419" s="12"/>
      <c r="AA419" s="12"/>
      <c r="AB419" s="12"/>
      <c r="AC419" s="12"/>
      <c r="AD419" s="12"/>
      <c r="AE419" s="12"/>
      <c r="AF419" s="12"/>
    </row>
    <row r="420" spans="1:32">
      <c r="A420" s="8"/>
      <c r="B420" s="8"/>
      <c r="C420" s="8"/>
      <c r="D420" s="8"/>
      <c r="E420" s="8"/>
      <c r="F420" s="8"/>
      <c r="G420" s="8"/>
      <c r="H420" s="8"/>
      <c r="I420" s="8"/>
      <c r="J420" s="8"/>
      <c r="K420" s="8"/>
      <c r="L420" s="8"/>
      <c r="M420" s="8"/>
      <c r="N420" s="8"/>
      <c r="O420" s="8"/>
      <c r="P420" s="8"/>
      <c r="Q420" s="8"/>
      <c r="R420" s="8"/>
      <c r="S420" s="8"/>
      <c r="T420" s="8"/>
      <c r="U420" s="12"/>
      <c r="V420" s="12"/>
      <c r="W420" s="12"/>
      <c r="X420" s="12"/>
      <c r="Y420" s="12"/>
      <c r="Z420" s="12"/>
      <c r="AA420" s="12"/>
      <c r="AB420" s="12"/>
      <c r="AC420" s="12"/>
      <c r="AD420" s="12"/>
      <c r="AE420" s="12"/>
      <c r="AF420" s="12"/>
    </row>
    <row r="421" spans="1:32">
      <c r="A421" s="8"/>
      <c r="B421" s="8"/>
      <c r="C421" s="8"/>
      <c r="D421" s="8"/>
      <c r="E421" s="8"/>
      <c r="F421" s="8"/>
      <c r="G421" s="8"/>
      <c r="H421" s="8"/>
      <c r="I421" s="8"/>
      <c r="J421" s="8"/>
      <c r="K421" s="8"/>
      <c r="L421" s="8"/>
      <c r="M421" s="8"/>
      <c r="N421" s="8"/>
      <c r="O421" s="8"/>
      <c r="P421" s="8"/>
      <c r="Q421" s="8"/>
      <c r="R421" s="8"/>
      <c r="S421" s="8"/>
      <c r="T421" s="8"/>
      <c r="U421" s="12"/>
      <c r="V421" s="12"/>
      <c r="W421" s="12"/>
      <c r="X421" s="12"/>
      <c r="Y421" s="12"/>
      <c r="Z421" s="12"/>
      <c r="AA421" s="12"/>
      <c r="AB421" s="12"/>
      <c r="AC421" s="12"/>
      <c r="AD421" s="12"/>
      <c r="AE421" s="12"/>
      <c r="AF421" s="12"/>
    </row>
    <row r="422" spans="1:32">
      <c r="A422" s="8"/>
      <c r="B422" s="8"/>
      <c r="C422" s="8"/>
      <c r="D422" s="8"/>
      <c r="E422" s="8"/>
      <c r="F422" s="8"/>
      <c r="G422" s="8"/>
      <c r="H422" s="8"/>
      <c r="I422" s="8"/>
      <c r="J422" s="8"/>
      <c r="K422" s="8"/>
      <c r="L422" s="8"/>
      <c r="M422" s="8"/>
      <c r="N422" s="8"/>
      <c r="O422" s="8"/>
      <c r="P422" s="8"/>
      <c r="Q422" s="8"/>
      <c r="R422" s="8"/>
      <c r="S422" s="8"/>
      <c r="T422" s="8"/>
      <c r="U422" s="12"/>
      <c r="V422" s="12"/>
      <c r="W422" s="12"/>
      <c r="X422" s="12"/>
      <c r="Y422" s="12"/>
      <c r="Z422" s="12"/>
      <c r="AA422" s="12"/>
      <c r="AB422" s="12"/>
      <c r="AC422" s="12"/>
      <c r="AD422" s="12"/>
      <c r="AE422" s="12"/>
      <c r="AF422" s="12"/>
    </row>
    <row r="423" spans="1:32">
      <c r="A423" s="8"/>
      <c r="B423" s="8"/>
      <c r="C423" s="8"/>
      <c r="D423" s="8"/>
      <c r="E423" s="8"/>
      <c r="F423" s="8"/>
      <c r="G423" s="8"/>
      <c r="H423" s="8"/>
      <c r="I423" s="8"/>
      <c r="J423" s="8"/>
      <c r="K423" s="8"/>
      <c r="L423" s="8"/>
      <c r="M423" s="8"/>
      <c r="N423" s="8"/>
      <c r="O423" s="8"/>
      <c r="P423" s="8"/>
      <c r="Q423" s="8"/>
      <c r="R423" s="8"/>
      <c r="S423" s="8"/>
      <c r="T423" s="8"/>
      <c r="U423" s="12"/>
      <c r="V423" s="12"/>
      <c r="W423" s="12"/>
      <c r="X423" s="12"/>
      <c r="Y423" s="12"/>
      <c r="Z423" s="12"/>
      <c r="AA423" s="12"/>
      <c r="AB423" s="12"/>
      <c r="AC423" s="12"/>
      <c r="AD423" s="12"/>
      <c r="AE423" s="12"/>
      <c r="AF423" s="12"/>
    </row>
    <row r="424" spans="1:32">
      <c r="A424" s="8"/>
      <c r="B424" s="8"/>
      <c r="C424" s="8"/>
      <c r="D424" s="8"/>
      <c r="E424" s="8"/>
      <c r="F424" s="8"/>
      <c r="G424" s="8"/>
      <c r="H424" s="8"/>
      <c r="I424" s="8"/>
      <c r="J424" s="8"/>
      <c r="K424" s="8"/>
      <c r="L424" s="8"/>
      <c r="M424" s="8"/>
      <c r="N424" s="8"/>
      <c r="O424" s="8"/>
      <c r="P424" s="8"/>
      <c r="Q424" s="8"/>
      <c r="R424" s="8"/>
      <c r="S424" s="8"/>
      <c r="T424" s="8"/>
      <c r="U424" s="12"/>
      <c r="V424" s="12"/>
      <c r="W424" s="12"/>
      <c r="X424" s="12"/>
      <c r="Y424" s="12"/>
      <c r="Z424" s="12"/>
      <c r="AA424" s="12"/>
      <c r="AB424" s="12"/>
      <c r="AC424" s="12"/>
      <c r="AD424" s="12"/>
      <c r="AE424" s="12"/>
      <c r="AF424" s="12"/>
    </row>
    <row r="425" spans="1:32">
      <c r="A425" s="8"/>
      <c r="B425" s="8"/>
      <c r="C425" s="8"/>
      <c r="D425" s="8"/>
      <c r="E425" s="8"/>
      <c r="F425" s="8"/>
      <c r="G425" s="8"/>
      <c r="H425" s="8"/>
      <c r="I425" s="8"/>
      <c r="J425" s="8"/>
      <c r="K425" s="8"/>
      <c r="L425" s="8"/>
      <c r="M425" s="8"/>
      <c r="N425" s="8"/>
      <c r="O425" s="8"/>
      <c r="P425" s="8"/>
      <c r="Q425" s="8"/>
      <c r="R425" s="8"/>
      <c r="S425" s="8"/>
      <c r="T425" s="8"/>
      <c r="U425" s="12"/>
      <c r="V425" s="12"/>
      <c r="W425" s="12"/>
      <c r="X425" s="12"/>
      <c r="Y425" s="12"/>
      <c r="Z425" s="12"/>
      <c r="AA425" s="12"/>
      <c r="AB425" s="12"/>
      <c r="AC425" s="12"/>
      <c r="AD425" s="12"/>
      <c r="AE425" s="12"/>
      <c r="AF425" s="12"/>
    </row>
    <row r="426" spans="1:32">
      <c r="A426" s="8"/>
      <c r="B426" s="8"/>
      <c r="C426" s="8"/>
      <c r="D426" s="8"/>
      <c r="E426" s="8"/>
      <c r="F426" s="8"/>
      <c r="G426" s="8"/>
      <c r="H426" s="8"/>
      <c r="I426" s="8"/>
      <c r="J426" s="8"/>
      <c r="K426" s="8"/>
      <c r="L426" s="8"/>
      <c r="M426" s="8"/>
      <c r="N426" s="8"/>
      <c r="O426" s="8"/>
      <c r="P426" s="8"/>
      <c r="Q426" s="8"/>
      <c r="R426" s="8"/>
      <c r="S426" s="8"/>
      <c r="T426" s="8"/>
      <c r="U426" s="12"/>
      <c r="V426" s="12"/>
      <c r="W426" s="12"/>
      <c r="X426" s="12"/>
      <c r="Y426" s="12"/>
      <c r="Z426" s="12"/>
      <c r="AA426" s="12"/>
      <c r="AB426" s="12"/>
      <c r="AC426" s="12"/>
      <c r="AD426" s="12"/>
      <c r="AE426" s="12"/>
      <c r="AF426" s="12"/>
    </row>
    <row r="427" spans="1:32">
      <c r="A427" s="8"/>
      <c r="B427" s="8"/>
      <c r="C427" s="8"/>
      <c r="D427" s="8"/>
      <c r="E427" s="8"/>
      <c r="F427" s="8"/>
      <c r="G427" s="8"/>
      <c r="H427" s="8"/>
      <c r="I427" s="8"/>
      <c r="J427" s="8"/>
      <c r="K427" s="8"/>
      <c r="L427" s="8"/>
      <c r="M427" s="8"/>
      <c r="N427" s="8"/>
      <c r="O427" s="8"/>
      <c r="P427" s="8"/>
      <c r="Q427" s="8"/>
      <c r="R427" s="8"/>
      <c r="S427" s="8"/>
      <c r="T427" s="8"/>
      <c r="U427" s="12"/>
      <c r="V427" s="12"/>
      <c r="W427" s="12"/>
      <c r="X427" s="12"/>
      <c r="Y427" s="12"/>
      <c r="Z427" s="12"/>
      <c r="AA427" s="12"/>
      <c r="AB427" s="12"/>
      <c r="AC427" s="12"/>
      <c r="AD427" s="12"/>
      <c r="AE427" s="12"/>
      <c r="AF427" s="12"/>
    </row>
    <row r="428" spans="1:32">
      <c r="A428" s="8"/>
      <c r="B428" s="8"/>
      <c r="C428" s="8"/>
      <c r="D428" s="8"/>
      <c r="E428" s="8"/>
      <c r="F428" s="8"/>
      <c r="G428" s="8"/>
      <c r="H428" s="8"/>
      <c r="I428" s="8"/>
      <c r="J428" s="8"/>
      <c r="K428" s="8"/>
      <c r="L428" s="8"/>
      <c r="M428" s="8"/>
      <c r="N428" s="8"/>
      <c r="O428" s="8"/>
      <c r="P428" s="8"/>
      <c r="Q428" s="8"/>
      <c r="R428" s="8"/>
      <c r="S428" s="8"/>
      <c r="T428" s="8"/>
      <c r="U428" s="12"/>
      <c r="V428" s="12"/>
      <c r="W428" s="12"/>
      <c r="X428" s="12"/>
      <c r="Y428" s="12"/>
      <c r="Z428" s="12"/>
      <c r="AA428" s="12"/>
      <c r="AB428" s="12"/>
      <c r="AC428" s="12"/>
      <c r="AD428" s="12"/>
      <c r="AE428" s="12"/>
      <c r="AF428" s="12"/>
    </row>
    <row r="429" spans="1:32">
      <c r="A429" s="8"/>
      <c r="B429" s="8"/>
      <c r="C429" s="8"/>
      <c r="D429" s="8"/>
      <c r="E429" s="8"/>
      <c r="F429" s="8"/>
      <c r="G429" s="8"/>
      <c r="H429" s="8"/>
      <c r="I429" s="8"/>
      <c r="J429" s="8"/>
      <c r="K429" s="8"/>
      <c r="L429" s="8"/>
      <c r="M429" s="8"/>
      <c r="N429" s="8"/>
      <c r="O429" s="8"/>
      <c r="P429" s="8"/>
      <c r="Q429" s="8"/>
      <c r="R429" s="8"/>
      <c r="S429" s="8"/>
      <c r="T429" s="8"/>
      <c r="U429" s="12"/>
      <c r="V429" s="12"/>
      <c r="W429" s="12"/>
      <c r="X429" s="12"/>
      <c r="Y429" s="12"/>
      <c r="Z429" s="12"/>
      <c r="AA429" s="12"/>
      <c r="AB429" s="12"/>
      <c r="AC429" s="12"/>
      <c r="AD429" s="12"/>
      <c r="AE429" s="12"/>
      <c r="AF429" s="12"/>
    </row>
    <row r="430" spans="1:32">
      <c r="A430" s="8"/>
      <c r="B430" s="8"/>
      <c r="C430" s="8"/>
      <c r="D430" s="8"/>
      <c r="E430" s="8"/>
      <c r="F430" s="8"/>
      <c r="G430" s="8"/>
      <c r="H430" s="8"/>
      <c r="I430" s="8"/>
      <c r="J430" s="8"/>
      <c r="K430" s="8"/>
      <c r="L430" s="8"/>
      <c r="M430" s="8"/>
      <c r="N430" s="8"/>
      <c r="O430" s="8"/>
      <c r="P430" s="8"/>
      <c r="Q430" s="8"/>
      <c r="R430" s="8"/>
      <c r="S430" s="8"/>
      <c r="T430" s="8"/>
      <c r="U430" s="12"/>
      <c r="V430" s="12"/>
      <c r="W430" s="12"/>
      <c r="X430" s="12"/>
      <c r="Y430" s="12"/>
      <c r="Z430" s="12"/>
      <c r="AA430" s="12"/>
      <c r="AB430" s="12"/>
      <c r="AC430" s="12"/>
      <c r="AD430" s="12"/>
      <c r="AE430" s="12"/>
      <c r="AF430" s="12"/>
    </row>
    <row r="431" spans="1:32">
      <c r="A431" s="8"/>
      <c r="B431" s="8"/>
      <c r="C431" s="8"/>
      <c r="D431" s="8"/>
      <c r="E431" s="8"/>
      <c r="F431" s="8"/>
      <c r="G431" s="8"/>
      <c r="H431" s="8"/>
      <c r="I431" s="8"/>
      <c r="J431" s="8"/>
      <c r="K431" s="8"/>
      <c r="L431" s="8"/>
      <c r="M431" s="8"/>
      <c r="N431" s="8"/>
      <c r="O431" s="8"/>
      <c r="P431" s="8"/>
      <c r="Q431" s="8"/>
      <c r="R431" s="8"/>
      <c r="S431" s="8"/>
      <c r="T431" s="8"/>
      <c r="U431" s="12"/>
      <c r="V431" s="12"/>
      <c r="W431" s="12"/>
      <c r="X431" s="12"/>
      <c r="Y431" s="12"/>
      <c r="Z431" s="12"/>
      <c r="AA431" s="12"/>
      <c r="AB431" s="12"/>
      <c r="AC431" s="12"/>
      <c r="AD431" s="12"/>
      <c r="AE431" s="12"/>
      <c r="AF431" s="12"/>
    </row>
    <row r="432" spans="1:32">
      <c r="A432" s="8"/>
      <c r="B432" s="8"/>
      <c r="C432" s="8"/>
      <c r="D432" s="8"/>
      <c r="E432" s="8"/>
      <c r="F432" s="8"/>
      <c r="G432" s="8"/>
      <c r="H432" s="8"/>
      <c r="I432" s="8"/>
      <c r="J432" s="8"/>
      <c r="K432" s="8"/>
      <c r="L432" s="8"/>
      <c r="M432" s="8"/>
      <c r="N432" s="8"/>
      <c r="O432" s="8"/>
      <c r="P432" s="8"/>
      <c r="Q432" s="8"/>
      <c r="R432" s="8"/>
      <c r="S432" s="8"/>
      <c r="T432" s="8"/>
      <c r="U432" s="12"/>
      <c r="V432" s="12"/>
      <c r="W432" s="12"/>
      <c r="X432" s="12"/>
      <c r="Y432" s="12"/>
      <c r="Z432" s="12"/>
      <c r="AA432" s="12"/>
      <c r="AB432" s="12"/>
      <c r="AC432" s="12"/>
      <c r="AD432" s="12"/>
      <c r="AE432" s="12"/>
      <c r="AF432" s="12"/>
    </row>
    <row r="433" spans="1:32">
      <c r="A433" s="8"/>
      <c r="B433" s="8"/>
      <c r="C433" s="8"/>
      <c r="D433" s="8"/>
      <c r="E433" s="8"/>
      <c r="F433" s="8"/>
      <c r="G433" s="8"/>
      <c r="H433" s="8"/>
      <c r="I433" s="8"/>
      <c r="J433" s="8"/>
      <c r="K433" s="8"/>
      <c r="L433" s="8"/>
      <c r="M433" s="8"/>
      <c r="N433" s="8"/>
      <c r="O433" s="8"/>
      <c r="P433" s="8"/>
      <c r="Q433" s="8"/>
      <c r="R433" s="8"/>
      <c r="S433" s="8"/>
      <c r="T433" s="8"/>
      <c r="U433" s="12"/>
      <c r="V433" s="12"/>
      <c r="W433" s="12"/>
      <c r="X433" s="12"/>
      <c r="Y433" s="12"/>
      <c r="Z433" s="12"/>
      <c r="AA433" s="12"/>
      <c r="AB433" s="12"/>
      <c r="AC433" s="12"/>
      <c r="AD433" s="12"/>
      <c r="AE433" s="12"/>
      <c r="AF433" s="12"/>
    </row>
    <row r="434" spans="1:32">
      <c r="A434" s="8"/>
      <c r="B434" s="8"/>
      <c r="C434" s="8"/>
      <c r="D434" s="8"/>
      <c r="E434" s="8"/>
      <c r="F434" s="8"/>
      <c r="G434" s="8"/>
      <c r="H434" s="8"/>
      <c r="I434" s="8"/>
      <c r="J434" s="8"/>
      <c r="K434" s="8"/>
      <c r="L434" s="8"/>
      <c r="M434" s="8"/>
      <c r="N434" s="8"/>
      <c r="O434" s="8"/>
      <c r="P434" s="8"/>
      <c r="Q434" s="8"/>
      <c r="R434" s="8"/>
      <c r="S434" s="8"/>
      <c r="T434" s="8"/>
      <c r="U434" s="12"/>
      <c r="V434" s="12"/>
      <c r="W434" s="12"/>
      <c r="X434" s="12"/>
      <c r="Y434" s="12"/>
      <c r="Z434" s="12"/>
      <c r="AA434" s="12"/>
      <c r="AB434" s="12"/>
      <c r="AC434" s="12"/>
      <c r="AD434" s="12"/>
      <c r="AE434" s="12"/>
      <c r="AF434" s="12"/>
    </row>
    <row r="435" spans="1:32">
      <c r="A435" s="8"/>
      <c r="B435" s="8"/>
      <c r="C435" s="8"/>
      <c r="D435" s="8"/>
      <c r="E435" s="8"/>
      <c r="F435" s="8"/>
      <c r="G435" s="8"/>
      <c r="H435" s="8"/>
      <c r="I435" s="8"/>
      <c r="J435" s="8"/>
      <c r="K435" s="8"/>
      <c r="L435" s="8"/>
      <c r="M435" s="8"/>
      <c r="N435" s="8"/>
      <c r="O435" s="8"/>
      <c r="P435" s="8"/>
      <c r="Q435" s="8"/>
      <c r="R435" s="8"/>
      <c r="S435" s="8"/>
      <c r="T435" s="8"/>
      <c r="U435" s="12"/>
      <c r="V435" s="12"/>
      <c r="W435" s="12"/>
      <c r="X435" s="12"/>
      <c r="Y435" s="12"/>
      <c r="Z435" s="12"/>
      <c r="AA435" s="12"/>
      <c r="AB435" s="12"/>
      <c r="AC435" s="12"/>
      <c r="AD435" s="12"/>
      <c r="AE435" s="12"/>
      <c r="AF435" s="12"/>
    </row>
    <row r="436" spans="1:32">
      <c r="A436" s="8"/>
      <c r="B436" s="8"/>
      <c r="C436" s="8"/>
      <c r="D436" s="8"/>
      <c r="E436" s="8"/>
      <c r="F436" s="8"/>
      <c r="G436" s="8"/>
      <c r="H436" s="8"/>
      <c r="I436" s="8"/>
      <c r="J436" s="8"/>
      <c r="K436" s="8"/>
      <c r="L436" s="8"/>
      <c r="M436" s="8"/>
      <c r="N436" s="8"/>
      <c r="O436" s="8"/>
      <c r="P436" s="8"/>
      <c r="Q436" s="8"/>
      <c r="R436" s="8"/>
      <c r="S436" s="8"/>
      <c r="T436" s="8"/>
      <c r="U436" s="12"/>
      <c r="V436" s="12"/>
      <c r="W436" s="12"/>
      <c r="X436" s="12"/>
      <c r="Y436" s="12"/>
      <c r="Z436" s="12"/>
      <c r="AA436" s="12"/>
      <c r="AB436" s="12"/>
      <c r="AC436" s="12"/>
      <c r="AD436" s="12"/>
      <c r="AE436" s="12"/>
      <c r="AF436" s="12"/>
    </row>
    <row r="437" spans="1:32">
      <c r="A437" s="8"/>
      <c r="B437" s="8"/>
      <c r="C437" s="8"/>
      <c r="D437" s="8"/>
      <c r="E437" s="8"/>
      <c r="F437" s="8"/>
      <c r="G437" s="8"/>
      <c r="H437" s="8"/>
      <c r="I437" s="8"/>
      <c r="J437" s="8"/>
      <c r="K437" s="8"/>
      <c r="L437" s="8"/>
      <c r="M437" s="8"/>
      <c r="N437" s="8"/>
      <c r="O437" s="8"/>
      <c r="P437" s="8"/>
      <c r="Q437" s="8"/>
      <c r="R437" s="8"/>
      <c r="S437" s="8"/>
      <c r="T437" s="8"/>
      <c r="U437" s="12"/>
      <c r="V437" s="12"/>
      <c r="W437" s="12"/>
      <c r="X437" s="12"/>
      <c r="Y437" s="12"/>
      <c r="Z437" s="12"/>
      <c r="AA437" s="12"/>
      <c r="AB437" s="12"/>
      <c r="AC437" s="12"/>
      <c r="AD437" s="12"/>
      <c r="AE437" s="12"/>
      <c r="AF437" s="12"/>
    </row>
    <row r="438" spans="1:32">
      <c r="A438" s="8"/>
      <c r="B438" s="8"/>
      <c r="C438" s="8"/>
      <c r="D438" s="8"/>
      <c r="E438" s="8"/>
      <c r="F438" s="8"/>
      <c r="G438" s="8"/>
      <c r="H438" s="8"/>
      <c r="I438" s="8"/>
      <c r="J438" s="8"/>
      <c r="K438" s="8"/>
      <c r="L438" s="8"/>
      <c r="M438" s="8"/>
      <c r="N438" s="8"/>
      <c r="O438" s="8"/>
      <c r="P438" s="8"/>
      <c r="Q438" s="8"/>
      <c r="R438" s="8"/>
      <c r="S438" s="8"/>
      <c r="T438" s="8"/>
      <c r="U438" s="12"/>
      <c r="V438" s="12"/>
      <c r="W438" s="12"/>
      <c r="X438" s="12"/>
      <c r="Y438" s="12"/>
      <c r="Z438" s="12"/>
      <c r="AA438" s="12"/>
      <c r="AB438" s="12"/>
      <c r="AC438" s="12"/>
      <c r="AD438" s="12"/>
      <c r="AE438" s="12"/>
      <c r="AF438" s="12"/>
    </row>
    <row r="439" spans="1:32">
      <c r="A439" s="8"/>
      <c r="B439" s="8"/>
      <c r="C439" s="8"/>
      <c r="D439" s="8"/>
      <c r="E439" s="8"/>
      <c r="F439" s="8"/>
      <c r="G439" s="8"/>
      <c r="H439" s="8"/>
      <c r="I439" s="8"/>
      <c r="J439" s="8"/>
      <c r="K439" s="8"/>
      <c r="L439" s="8"/>
      <c r="M439" s="8"/>
      <c r="N439" s="8"/>
      <c r="O439" s="8"/>
      <c r="P439" s="8"/>
      <c r="Q439" s="8"/>
      <c r="R439" s="8"/>
      <c r="S439" s="8"/>
      <c r="T439" s="8"/>
      <c r="U439" s="12"/>
      <c r="V439" s="12"/>
      <c r="W439" s="12"/>
      <c r="X439" s="12"/>
      <c r="Y439" s="12"/>
      <c r="Z439" s="12"/>
      <c r="AA439" s="12"/>
      <c r="AB439" s="12"/>
      <c r="AC439" s="12"/>
      <c r="AD439" s="12"/>
      <c r="AE439" s="12"/>
      <c r="AF439" s="12"/>
    </row>
    <row r="440" spans="1:32">
      <c r="A440" s="8"/>
      <c r="B440" s="8"/>
      <c r="C440" s="8"/>
      <c r="D440" s="8"/>
      <c r="E440" s="8"/>
      <c r="F440" s="8"/>
      <c r="G440" s="8"/>
      <c r="H440" s="8"/>
      <c r="I440" s="8"/>
      <c r="J440" s="8"/>
      <c r="K440" s="8"/>
      <c r="L440" s="8"/>
      <c r="M440" s="8"/>
      <c r="N440" s="8"/>
      <c r="O440" s="8"/>
      <c r="P440" s="8"/>
      <c r="Q440" s="8"/>
      <c r="R440" s="8"/>
      <c r="S440" s="8"/>
      <c r="T440" s="8"/>
      <c r="U440" s="12"/>
      <c r="V440" s="12"/>
      <c r="W440" s="12"/>
      <c r="X440" s="12"/>
      <c r="Y440" s="12"/>
      <c r="Z440" s="12"/>
      <c r="AA440" s="12"/>
      <c r="AB440" s="12"/>
      <c r="AC440" s="12"/>
      <c r="AD440" s="12"/>
      <c r="AE440" s="12"/>
      <c r="AF440" s="12"/>
    </row>
    <row r="441" spans="1:32">
      <c r="A441" s="8"/>
      <c r="B441" s="8"/>
      <c r="C441" s="8"/>
      <c r="D441" s="8"/>
      <c r="E441" s="8"/>
      <c r="F441" s="8"/>
      <c r="G441" s="8"/>
      <c r="H441" s="8"/>
      <c r="I441" s="8"/>
      <c r="J441" s="8"/>
      <c r="K441" s="8"/>
      <c r="L441" s="8"/>
      <c r="M441" s="8"/>
      <c r="N441" s="8"/>
      <c r="O441" s="8"/>
      <c r="P441" s="8"/>
      <c r="Q441" s="8"/>
      <c r="R441" s="8"/>
      <c r="S441" s="8"/>
      <c r="T441" s="8"/>
      <c r="U441" s="12"/>
      <c r="V441" s="12"/>
      <c r="W441" s="12"/>
      <c r="X441" s="12"/>
      <c r="Y441" s="12"/>
      <c r="Z441" s="12"/>
      <c r="AA441" s="12"/>
      <c r="AB441" s="12"/>
      <c r="AC441" s="12"/>
      <c r="AD441" s="12"/>
      <c r="AE441" s="12"/>
      <c r="AF441" s="12"/>
    </row>
    <row r="442" spans="1:32">
      <c r="A442" s="8"/>
      <c r="B442" s="8"/>
      <c r="C442" s="8"/>
      <c r="D442" s="8"/>
      <c r="E442" s="8"/>
      <c r="F442" s="8"/>
      <c r="G442" s="8"/>
      <c r="H442" s="8"/>
      <c r="I442" s="8"/>
      <c r="J442" s="8"/>
      <c r="K442" s="8"/>
      <c r="L442" s="8"/>
      <c r="M442" s="8"/>
      <c r="N442" s="8"/>
      <c r="O442" s="8"/>
      <c r="P442" s="8"/>
      <c r="Q442" s="8"/>
      <c r="R442" s="8"/>
      <c r="S442" s="8"/>
      <c r="T442" s="8"/>
      <c r="U442" s="12"/>
      <c r="V442" s="12"/>
      <c r="W442" s="12"/>
      <c r="X442" s="12"/>
      <c r="Y442" s="12"/>
      <c r="Z442" s="12"/>
      <c r="AA442" s="12"/>
      <c r="AB442" s="12"/>
      <c r="AC442" s="12"/>
      <c r="AD442" s="12"/>
      <c r="AE442" s="12"/>
      <c r="AF442" s="12"/>
    </row>
    <row r="443" spans="1:32">
      <c r="A443" s="8"/>
      <c r="B443" s="8"/>
      <c r="C443" s="8"/>
      <c r="D443" s="8"/>
      <c r="E443" s="8"/>
      <c r="F443" s="8"/>
      <c r="G443" s="8"/>
      <c r="H443" s="8"/>
      <c r="I443" s="8"/>
      <c r="J443" s="8"/>
      <c r="K443" s="8"/>
      <c r="L443" s="8"/>
      <c r="M443" s="8"/>
      <c r="N443" s="8"/>
      <c r="O443" s="8"/>
      <c r="P443" s="8"/>
      <c r="Q443" s="8"/>
      <c r="R443" s="8"/>
      <c r="S443" s="8"/>
      <c r="T443" s="8"/>
      <c r="U443" s="12"/>
      <c r="V443" s="12"/>
      <c r="W443" s="12"/>
      <c r="X443" s="12"/>
      <c r="Y443" s="12"/>
      <c r="Z443" s="12"/>
      <c r="AA443" s="12"/>
      <c r="AB443" s="12"/>
      <c r="AC443" s="12"/>
      <c r="AD443" s="12"/>
      <c r="AE443" s="12"/>
      <c r="AF443" s="12"/>
    </row>
    <row r="444" spans="1:32">
      <c r="A444" s="8"/>
      <c r="B444" s="8"/>
      <c r="C444" s="8"/>
      <c r="D444" s="8"/>
      <c r="E444" s="8"/>
      <c r="F444" s="8"/>
      <c r="G444" s="8"/>
      <c r="H444" s="8"/>
      <c r="I444" s="8"/>
      <c r="J444" s="8"/>
      <c r="K444" s="8"/>
      <c r="L444" s="8"/>
      <c r="M444" s="8"/>
      <c r="N444" s="8"/>
      <c r="O444" s="8"/>
      <c r="P444" s="8"/>
      <c r="Q444" s="8"/>
      <c r="R444" s="8"/>
      <c r="S444" s="8"/>
      <c r="T444" s="8"/>
      <c r="U444" s="12"/>
      <c r="V444" s="12"/>
      <c r="W444" s="12"/>
      <c r="X444" s="12"/>
      <c r="Y444" s="12"/>
      <c r="Z444" s="12"/>
      <c r="AA444" s="12"/>
      <c r="AB444" s="12"/>
      <c r="AC444" s="12"/>
      <c r="AD444" s="12"/>
      <c r="AE444" s="12"/>
      <c r="AF444" s="12"/>
    </row>
    <row r="445" spans="1:32">
      <c r="A445" s="8"/>
      <c r="B445" s="8"/>
      <c r="C445" s="8"/>
      <c r="D445" s="8"/>
      <c r="E445" s="8"/>
      <c r="F445" s="8"/>
      <c r="G445" s="8"/>
      <c r="H445" s="8"/>
      <c r="I445" s="8"/>
      <c r="J445" s="8"/>
      <c r="K445" s="8"/>
      <c r="L445" s="8"/>
      <c r="M445" s="8"/>
      <c r="N445" s="8"/>
      <c r="O445" s="8"/>
      <c r="P445" s="8"/>
      <c r="Q445" s="8"/>
      <c r="R445" s="8"/>
      <c r="S445" s="8"/>
      <c r="T445" s="8"/>
      <c r="U445" s="12"/>
      <c r="V445" s="12"/>
      <c r="W445" s="12"/>
      <c r="X445" s="12"/>
      <c r="Y445" s="12"/>
      <c r="Z445" s="12"/>
      <c r="AA445" s="12"/>
      <c r="AB445" s="12"/>
      <c r="AC445" s="12"/>
      <c r="AD445" s="12"/>
      <c r="AE445" s="12"/>
      <c r="AF445" s="12"/>
    </row>
    <row r="446" spans="1:32">
      <c r="A446" s="8"/>
      <c r="B446" s="8"/>
      <c r="C446" s="8"/>
      <c r="D446" s="8"/>
      <c r="E446" s="8"/>
      <c r="F446" s="8"/>
      <c r="G446" s="8"/>
      <c r="H446" s="8"/>
      <c r="I446" s="8"/>
      <c r="J446" s="8"/>
      <c r="K446" s="8"/>
      <c r="L446" s="8"/>
      <c r="M446" s="8"/>
      <c r="N446" s="8"/>
      <c r="O446" s="8"/>
      <c r="P446" s="8"/>
      <c r="Q446" s="8"/>
      <c r="R446" s="8"/>
      <c r="S446" s="8"/>
      <c r="T446" s="8"/>
      <c r="U446" s="12"/>
      <c r="V446" s="12"/>
      <c r="W446" s="12"/>
      <c r="X446" s="12"/>
      <c r="Y446" s="12"/>
      <c r="Z446" s="12"/>
      <c r="AA446" s="12"/>
      <c r="AB446" s="12"/>
      <c r="AC446" s="12"/>
      <c r="AD446" s="12"/>
      <c r="AE446" s="12"/>
      <c r="AF446" s="12"/>
    </row>
    <row r="447" spans="1:32">
      <c r="A447" s="8"/>
      <c r="B447" s="8"/>
      <c r="C447" s="8"/>
      <c r="D447" s="8"/>
      <c r="E447" s="8"/>
      <c r="F447" s="8"/>
      <c r="G447" s="8"/>
      <c r="H447" s="8"/>
      <c r="I447" s="8"/>
      <c r="J447" s="8"/>
      <c r="K447" s="8"/>
      <c r="L447" s="8"/>
      <c r="M447" s="8"/>
      <c r="N447" s="8"/>
      <c r="O447" s="8"/>
      <c r="P447" s="8"/>
      <c r="Q447" s="8"/>
      <c r="R447" s="8"/>
      <c r="S447" s="8"/>
      <c r="T447" s="8"/>
      <c r="U447" s="12"/>
      <c r="V447" s="12"/>
      <c r="W447" s="12"/>
      <c r="X447" s="12"/>
      <c r="Y447" s="12"/>
      <c r="Z447" s="12"/>
      <c r="AA447" s="12"/>
      <c r="AB447" s="12"/>
      <c r="AC447" s="12"/>
      <c r="AD447" s="12"/>
      <c r="AE447" s="12"/>
      <c r="AF447" s="12"/>
    </row>
    <row r="448" spans="1:32">
      <c r="A448" s="8"/>
      <c r="B448" s="8"/>
      <c r="C448" s="8"/>
      <c r="D448" s="8"/>
      <c r="E448" s="8"/>
      <c r="F448" s="8"/>
      <c r="G448" s="8"/>
      <c r="H448" s="8"/>
      <c r="I448" s="8"/>
      <c r="J448" s="8"/>
      <c r="K448" s="8"/>
      <c r="L448" s="8"/>
      <c r="M448" s="8"/>
      <c r="N448" s="8"/>
      <c r="O448" s="8"/>
      <c r="P448" s="8"/>
      <c r="Q448" s="8"/>
      <c r="R448" s="8"/>
      <c r="S448" s="8"/>
      <c r="T448" s="8"/>
      <c r="U448" s="12"/>
      <c r="V448" s="12"/>
      <c r="W448" s="12"/>
      <c r="X448" s="12"/>
      <c r="Y448" s="12"/>
      <c r="Z448" s="12"/>
      <c r="AA448" s="12"/>
      <c r="AB448" s="12"/>
      <c r="AC448" s="12"/>
      <c r="AD448" s="12"/>
      <c r="AE448" s="12"/>
      <c r="AF448" s="12"/>
    </row>
    <row r="449" spans="1:32">
      <c r="A449" s="8"/>
      <c r="B449" s="8"/>
      <c r="C449" s="8"/>
      <c r="D449" s="8"/>
      <c r="E449" s="8"/>
      <c r="F449" s="8"/>
      <c r="G449" s="8"/>
      <c r="H449" s="8"/>
      <c r="I449" s="8"/>
      <c r="J449" s="8"/>
      <c r="K449" s="8"/>
      <c r="L449" s="8"/>
      <c r="M449" s="8"/>
      <c r="N449" s="8"/>
      <c r="O449" s="8"/>
      <c r="P449" s="8"/>
      <c r="Q449" s="8"/>
      <c r="R449" s="8"/>
      <c r="S449" s="8"/>
      <c r="T449" s="8"/>
      <c r="U449" s="12"/>
      <c r="V449" s="12"/>
      <c r="W449" s="12"/>
      <c r="X449" s="12"/>
      <c r="Y449" s="12"/>
      <c r="Z449" s="12"/>
      <c r="AA449" s="12"/>
      <c r="AB449" s="12"/>
      <c r="AC449" s="12"/>
      <c r="AD449" s="12"/>
      <c r="AE449" s="12"/>
      <c r="AF449" s="12"/>
    </row>
    <row r="450" spans="1:32">
      <c r="A450" s="8"/>
      <c r="B450" s="8"/>
      <c r="C450" s="8"/>
      <c r="D450" s="8"/>
      <c r="E450" s="8"/>
      <c r="F450" s="8"/>
      <c r="G450" s="8"/>
      <c r="H450" s="8"/>
      <c r="I450" s="8"/>
      <c r="J450" s="8"/>
      <c r="K450" s="8"/>
      <c r="L450" s="8"/>
      <c r="M450" s="8"/>
      <c r="N450" s="8"/>
      <c r="O450" s="8"/>
      <c r="P450" s="8"/>
      <c r="Q450" s="8"/>
      <c r="R450" s="8"/>
      <c r="S450" s="8"/>
      <c r="T450" s="8"/>
      <c r="U450" s="12"/>
      <c r="V450" s="12"/>
      <c r="W450" s="12"/>
      <c r="X450" s="12"/>
      <c r="Y450" s="12"/>
      <c r="Z450" s="12"/>
      <c r="AA450" s="12"/>
      <c r="AB450" s="12"/>
      <c r="AC450" s="12"/>
      <c r="AD450" s="12"/>
      <c r="AE450" s="12"/>
      <c r="AF450" s="12"/>
    </row>
    <row r="451" spans="1:32">
      <c r="A451" s="8"/>
      <c r="B451" s="8"/>
      <c r="C451" s="8"/>
      <c r="D451" s="8"/>
      <c r="E451" s="8"/>
      <c r="F451" s="8"/>
      <c r="G451" s="8"/>
      <c r="H451" s="8"/>
      <c r="I451" s="8"/>
      <c r="J451" s="8"/>
      <c r="K451" s="8"/>
      <c r="L451" s="8"/>
      <c r="M451" s="8"/>
      <c r="N451" s="8"/>
      <c r="O451" s="8"/>
      <c r="P451" s="8"/>
      <c r="Q451" s="8"/>
      <c r="R451" s="8"/>
      <c r="S451" s="8"/>
      <c r="T451" s="8"/>
      <c r="U451" s="12"/>
      <c r="V451" s="12"/>
      <c r="W451" s="12"/>
      <c r="X451" s="12"/>
      <c r="Y451" s="12"/>
      <c r="Z451" s="12"/>
      <c r="AA451" s="12"/>
      <c r="AB451" s="12"/>
      <c r="AC451" s="12"/>
      <c r="AD451" s="12"/>
      <c r="AE451" s="12"/>
      <c r="AF451" s="12"/>
    </row>
    <row r="452" spans="1:32">
      <c r="A452" s="8"/>
      <c r="B452" s="8"/>
      <c r="C452" s="8"/>
      <c r="D452" s="8"/>
      <c r="E452" s="8"/>
      <c r="F452" s="8"/>
      <c r="G452" s="8"/>
      <c r="H452" s="8"/>
      <c r="I452" s="8"/>
      <c r="J452" s="8"/>
      <c r="K452" s="8"/>
      <c r="L452" s="8"/>
      <c r="M452" s="8"/>
      <c r="N452" s="8"/>
      <c r="O452" s="8"/>
      <c r="P452" s="8"/>
      <c r="Q452" s="8"/>
      <c r="R452" s="8"/>
      <c r="S452" s="8"/>
      <c r="T452" s="8"/>
      <c r="U452" s="12"/>
      <c r="V452" s="12"/>
      <c r="W452" s="12"/>
      <c r="X452" s="12"/>
      <c r="Y452" s="12"/>
      <c r="Z452" s="12"/>
      <c r="AA452" s="12"/>
      <c r="AB452" s="12"/>
      <c r="AC452" s="12"/>
      <c r="AD452" s="12"/>
      <c r="AE452" s="12"/>
      <c r="AF452" s="12"/>
    </row>
    <row r="453" spans="1:32">
      <c r="A453" s="8"/>
      <c r="B453" s="8"/>
      <c r="C453" s="8"/>
      <c r="D453" s="8"/>
      <c r="E453" s="8"/>
      <c r="F453" s="8"/>
      <c r="G453" s="8"/>
      <c r="H453" s="8"/>
      <c r="I453" s="8"/>
      <c r="J453" s="8"/>
      <c r="K453" s="8"/>
      <c r="L453" s="8"/>
      <c r="M453" s="8"/>
      <c r="N453" s="8"/>
      <c r="O453" s="8"/>
      <c r="P453" s="8"/>
      <c r="Q453" s="8"/>
      <c r="R453" s="8"/>
      <c r="S453" s="8"/>
      <c r="T453" s="8"/>
      <c r="U453" s="12"/>
      <c r="V453" s="12"/>
      <c r="W453" s="12"/>
      <c r="X453" s="12"/>
      <c r="Y453" s="12"/>
      <c r="Z453" s="12"/>
      <c r="AA453" s="12"/>
      <c r="AB453" s="12"/>
      <c r="AC453" s="12"/>
      <c r="AD453" s="12"/>
      <c r="AE453" s="12"/>
      <c r="AF453" s="12"/>
    </row>
    <row r="454" spans="1:32">
      <c r="A454" s="8"/>
      <c r="B454" s="8"/>
      <c r="C454" s="8"/>
      <c r="D454" s="8"/>
      <c r="E454" s="8"/>
      <c r="F454" s="8"/>
      <c r="G454" s="8"/>
      <c r="H454" s="8"/>
      <c r="I454" s="8"/>
      <c r="J454" s="8"/>
      <c r="K454" s="8"/>
      <c r="L454" s="8"/>
      <c r="M454" s="8"/>
      <c r="N454" s="8"/>
      <c r="O454" s="8"/>
      <c r="P454" s="8"/>
      <c r="Q454" s="8"/>
      <c r="R454" s="8"/>
      <c r="S454" s="8"/>
      <c r="T454" s="8"/>
      <c r="U454" s="12"/>
      <c r="V454" s="12"/>
      <c r="W454" s="12"/>
      <c r="X454" s="12"/>
      <c r="Y454" s="12"/>
      <c r="Z454" s="12"/>
      <c r="AA454" s="12"/>
      <c r="AB454" s="12"/>
      <c r="AC454" s="12"/>
      <c r="AD454" s="12"/>
      <c r="AE454" s="12"/>
      <c r="AF454" s="12"/>
    </row>
    <row r="455" spans="1:32">
      <c r="A455" s="8"/>
      <c r="B455" s="8"/>
      <c r="C455" s="8"/>
      <c r="D455" s="8"/>
      <c r="E455" s="8"/>
      <c r="F455" s="8"/>
      <c r="G455" s="8"/>
      <c r="H455" s="8"/>
      <c r="I455" s="8"/>
      <c r="J455" s="8"/>
      <c r="K455" s="8"/>
      <c r="L455" s="8"/>
      <c r="M455" s="8"/>
      <c r="N455" s="8"/>
      <c r="O455" s="8"/>
      <c r="P455" s="8"/>
      <c r="Q455" s="8"/>
      <c r="R455" s="8"/>
      <c r="S455" s="8"/>
      <c r="T455" s="8"/>
      <c r="U455" s="12"/>
      <c r="V455" s="12"/>
      <c r="W455" s="12"/>
      <c r="X455" s="12"/>
      <c r="Y455" s="12"/>
      <c r="Z455" s="12"/>
      <c r="AA455" s="12"/>
      <c r="AB455" s="12"/>
      <c r="AC455" s="12"/>
      <c r="AD455" s="12"/>
      <c r="AE455" s="12"/>
      <c r="AF455" s="12"/>
    </row>
    <row r="456" spans="1:32">
      <c r="A456" s="8"/>
      <c r="B456" s="8"/>
      <c r="C456" s="8"/>
      <c r="D456" s="8"/>
      <c r="E456" s="8"/>
      <c r="F456" s="8"/>
      <c r="G456" s="8"/>
      <c r="H456" s="8"/>
      <c r="I456" s="8"/>
      <c r="J456" s="8"/>
      <c r="K456" s="8"/>
      <c r="L456" s="8"/>
      <c r="M456" s="8"/>
      <c r="N456" s="8"/>
      <c r="O456" s="8"/>
      <c r="P456" s="8"/>
      <c r="Q456" s="8"/>
      <c r="R456" s="8"/>
      <c r="S456" s="8"/>
      <c r="T456" s="8"/>
      <c r="U456" s="12"/>
      <c r="V456" s="12"/>
      <c r="W456" s="12"/>
      <c r="X456" s="12"/>
      <c r="Y456" s="12"/>
      <c r="Z456" s="12"/>
      <c r="AA456" s="12"/>
      <c r="AB456" s="12"/>
      <c r="AC456" s="12"/>
      <c r="AD456" s="12"/>
      <c r="AE456" s="12"/>
      <c r="AF456" s="12"/>
    </row>
    <row r="457" spans="1:32">
      <c r="A457" s="8"/>
      <c r="B457" s="8"/>
      <c r="C457" s="8"/>
      <c r="D457" s="8"/>
      <c r="E457" s="8"/>
      <c r="F457" s="8"/>
      <c r="G457" s="8"/>
      <c r="H457" s="8"/>
      <c r="I457" s="8"/>
      <c r="J457" s="8"/>
      <c r="K457" s="8"/>
      <c r="L457" s="8"/>
      <c r="M457" s="8"/>
      <c r="N457" s="8"/>
      <c r="O457" s="8"/>
      <c r="P457" s="8"/>
      <c r="Q457" s="8"/>
      <c r="R457" s="8"/>
      <c r="S457" s="8"/>
      <c r="T457" s="8"/>
      <c r="U457" s="12"/>
      <c r="V457" s="12"/>
      <c r="W457" s="12"/>
      <c r="X457" s="12"/>
      <c r="Y457" s="12"/>
      <c r="Z457" s="12"/>
      <c r="AA457" s="12"/>
      <c r="AB457" s="12"/>
      <c r="AC457" s="12"/>
      <c r="AD457" s="12"/>
      <c r="AE457" s="12"/>
      <c r="AF457" s="12"/>
    </row>
    <row r="458" spans="1:32">
      <c r="A458" s="8"/>
      <c r="B458" s="8"/>
      <c r="C458" s="8"/>
      <c r="D458" s="8"/>
      <c r="E458" s="8"/>
      <c r="F458" s="8"/>
      <c r="G458" s="8"/>
      <c r="H458" s="8"/>
      <c r="I458" s="8"/>
      <c r="J458" s="8"/>
      <c r="K458" s="8"/>
      <c r="L458" s="8"/>
      <c r="M458" s="8"/>
      <c r="N458" s="8"/>
      <c r="O458" s="8"/>
      <c r="P458" s="8"/>
      <c r="Q458" s="8"/>
      <c r="R458" s="8"/>
      <c r="S458" s="8"/>
      <c r="T458" s="8"/>
      <c r="U458" s="12"/>
      <c r="V458" s="12"/>
      <c r="W458" s="12"/>
      <c r="X458" s="12"/>
      <c r="Y458" s="12"/>
      <c r="Z458" s="12"/>
      <c r="AA458" s="12"/>
      <c r="AB458" s="12"/>
      <c r="AC458" s="12"/>
      <c r="AD458" s="12"/>
      <c r="AE458" s="12"/>
      <c r="AF458" s="12"/>
    </row>
    <row r="459" spans="1:32">
      <c r="A459" s="8"/>
      <c r="B459" s="8"/>
      <c r="C459" s="8"/>
      <c r="D459" s="8"/>
      <c r="E459" s="8"/>
      <c r="F459" s="8"/>
      <c r="G459" s="8"/>
      <c r="H459" s="8"/>
      <c r="I459" s="8"/>
      <c r="J459" s="8"/>
      <c r="K459" s="8"/>
      <c r="L459" s="8"/>
      <c r="M459" s="8"/>
      <c r="N459" s="8"/>
      <c r="O459" s="8"/>
      <c r="P459" s="8"/>
      <c r="Q459" s="8"/>
      <c r="R459" s="8"/>
      <c r="S459" s="8"/>
      <c r="T459" s="8"/>
      <c r="U459" s="12"/>
      <c r="V459" s="12"/>
      <c r="W459" s="12"/>
      <c r="X459" s="12"/>
      <c r="Y459" s="12"/>
      <c r="Z459" s="12"/>
      <c r="AA459" s="12"/>
      <c r="AB459" s="12"/>
      <c r="AC459" s="12"/>
      <c r="AD459" s="12"/>
      <c r="AE459" s="12"/>
      <c r="AF459" s="12"/>
    </row>
    <row r="460" spans="1:32">
      <c r="A460" s="8"/>
      <c r="B460" s="8"/>
      <c r="C460" s="8"/>
      <c r="D460" s="8"/>
      <c r="E460" s="8"/>
      <c r="F460" s="8"/>
      <c r="G460" s="8"/>
      <c r="H460" s="8"/>
      <c r="I460" s="8"/>
      <c r="J460" s="8"/>
      <c r="K460" s="8"/>
      <c r="L460" s="8"/>
      <c r="M460" s="8"/>
      <c r="N460" s="8"/>
      <c r="O460" s="8"/>
      <c r="P460" s="8"/>
      <c r="Q460" s="8"/>
      <c r="R460" s="8"/>
      <c r="S460" s="8"/>
      <c r="T460" s="8"/>
      <c r="U460" s="12"/>
      <c r="V460" s="12"/>
      <c r="W460" s="12"/>
      <c r="X460" s="12"/>
      <c r="Y460" s="12"/>
      <c r="Z460" s="12"/>
      <c r="AA460" s="12"/>
      <c r="AB460" s="12"/>
      <c r="AC460" s="12"/>
      <c r="AD460" s="12"/>
      <c r="AE460" s="12"/>
      <c r="AF460" s="12"/>
    </row>
    <row r="461" spans="1:32">
      <c r="A461" s="8"/>
      <c r="B461" s="8"/>
      <c r="C461" s="8"/>
      <c r="D461" s="8"/>
      <c r="E461" s="8"/>
      <c r="F461" s="8"/>
      <c r="G461" s="8"/>
      <c r="H461" s="8"/>
      <c r="I461" s="8"/>
      <c r="J461" s="8"/>
      <c r="K461" s="8"/>
      <c r="L461" s="8"/>
      <c r="M461" s="8"/>
      <c r="N461" s="8"/>
      <c r="O461" s="8"/>
      <c r="P461" s="8"/>
      <c r="Q461" s="8"/>
      <c r="R461" s="8"/>
      <c r="S461" s="8"/>
      <c r="T461" s="8"/>
      <c r="U461" s="12"/>
      <c r="V461" s="12"/>
      <c r="W461" s="12"/>
      <c r="X461" s="12"/>
      <c r="Y461" s="12"/>
      <c r="Z461" s="12"/>
      <c r="AA461" s="12"/>
      <c r="AB461" s="12"/>
      <c r="AC461" s="12"/>
      <c r="AD461" s="12"/>
      <c r="AE461" s="12"/>
      <c r="AF461" s="12"/>
    </row>
    <row r="462" spans="1:32">
      <c r="A462" s="8"/>
      <c r="B462" s="8"/>
      <c r="C462" s="8"/>
      <c r="D462" s="8"/>
      <c r="E462" s="8"/>
      <c r="F462" s="8"/>
      <c r="G462" s="8"/>
      <c r="H462" s="8"/>
      <c r="I462" s="8"/>
      <c r="J462" s="8"/>
      <c r="K462" s="8"/>
      <c r="L462" s="8"/>
      <c r="M462" s="8"/>
      <c r="N462" s="8"/>
      <c r="O462" s="8"/>
      <c r="P462" s="8"/>
      <c r="Q462" s="8"/>
      <c r="R462" s="8"/>
      <c r="S462" s="8"/>
      <c r="T462" s="8"/>
      <c r="U462" s="12"/>
      <c r="V462" s="12"/>
      <c r="W462" s="12"/>
      <c r="X462" s="12"/>
      <c r="Y462" s="12"/>
      <c r="Z462" s="12"/>
      <c r="AA462" s="12"/>
      <c r="AB462" s="12"/>
      <c r="AC462" s="12"/>
      <c r="AD462" s="12"/>
      <c r="AE462" s="12"/>
      <c r="AF462" s="12"/>
    </row>
    <row r="463" spans="1:32">
      <c r="A463" s="8"/>
      <c r="B463" s="8"/>
      <c r="C463" s="8"/>
      <c r="D463" s="8"/>
      <c r="E463" s="8"/>
      <c r="F463" s="8"/>
      <c r="G463" s="8"/>
      <c r="H463" s="8"/>
      <c r="I463" s="8"/>
      <c r="J463" s="8"/>
      <c r="K463" s="8"/>
      <c r="L463" s="8"/>
      <c r="M463" s="8"/>
      <c r="N463" s="8"/>
      <c r="O463" s="8"/>
      <c r="P463" s="8"/>
      <c r="Q463" s="8"/>
      <c r="R463" s="8"/>
      <c r="S463" s="8"/>
      <c r="T463" s="8"/>
      <c r="U463" s="12"/>
      <c r="V463" s="12"/>
      <c r="W463" s="12"/>
      <c r="X463" s="12"/>
      <c r="Y463" s="12"/>
      <c r="Z463" s="12"/>
      <c r="AA463" s="12"/>
      <c r="AB463" s="12"/>
      <c r="AC463" s="12"/>
      <c r="AD463" s="12"/>
      <c r="AE463" s="12"/>
      <c r="AF463" s="12"/>
    </row>
    <row r="464" spans="1:32">
      <c r="A464" s="8"/>
      <c r="B464" s="8"/>
      <c r="C464" s="8"/>
      <c r="D464" s="8"/>
      <c r="E464" s="8"/>
      <c r="F464" s="8"/>
      <c r="G464" s="8"/>
      <c r="H464" s="8"/>
      <c r="I464" s="8"/>
      <c r="J464" s="8"/>
      <c r="K464" s="8"/>
      <c r="L464" s="8"/>
      <c r="M464" s="8"/>
      <c r="N464" s="8"/>
      <c r="O464" s="8"/>
      <c r="P464" s="8"/>
      <c r="Q464" s="8"/>
      <c r="R464" s="8"/>
      <c r="S464" s="8"/>
      <c r="T464" s="8"/>
      <c r="U464" s="12"/>
      <c r="V464" s="12"/>
      <c r="W464" s="12"/>
      <c r="X464" s="12"/>
      <c r="Y464" s="12"/>
      <c r="Z464" s="12"/>
      <c r="AA464" s="12"/>
      <c r="AB464" s="12"/>
      <c r="AC464" s="12"/>
      <c r="AD464" s="12"/>
      <c r="AE464" s="12"/>
      <c r="AF464" s="12"/>
    </row>
    <row r="465" spans="1:32">
      <c r="A465" s="8"/>
      <c r="B465" s="8"/>
      <c r="C465" s="8"/>
      <c r="D465" s="8"/>
      <c r="E465" s="8"/>
      <c r="F465" s="8"/>
      <c r="G465" s="8"/>
      <c r="H465" s="8"/>
      <c r="I465" s="8"/>
      <c r="J465" s="8"/>
      <c r="K465" s="8"/>
      <c r="L465" s="8"/>
      <c r="M465" s="8"/>
      <c r="N465" s="8"/>
      <c r="O465" s="8"/>
      <c r="P465" s="8"/>
      <c r="Q465" s="8"/>
      <c r="R465" s="8"/>
      <c r="S465" s="8"/>
      <c r="T465" s="8"/>
      <c r="U465" s="12"/>
      <c r="V465" s="12"/>
      <c r="W465" s="12"/>
      <c r="X465" s="12"/>
      <c r="Y465" s="12"/>
      <c r="Z465" s="12"/>
      <c r="AA465" s="12"/>
      <c r="AB465" s="12"/>
      <c r="AC465" s="12"/>
      <c r="AD465" s="12"/>
      <c r="AE465" s="12"/>
      <c r="AF465" s="12"/>
    </row>
    <row r="466" spans="1:32">
      <c r="A466" s="8"/>
      <c r="B466" s="8"/>
      <c r="C466" s="8"/>
      <c r="D466" s="8"/>
      <c r="E466" s="8"/>
      <c r="F466" s="8"/>
      <c r="G466" s="8"/>
      <c r="H466" s="8"/>
      <c r="I466" s="8"/>
      <c r="J466" s="8"/>
      <c r="K466" s="8"/>
      <c r="L466" s="8"/>
      <c r="M466" s="8"/>
      <c r="N466" s="8"/>
      <c r="O466" s="8"/>
      <c r="P466" s="8"/>
      <c r="Q466" s="8"/>
      <c r="R466" s="8"/>
      <c r="S466" s="8"/>
      <c r="T466" s="8"/>
      <c r="U466" s="12"/>
      <c r="V466" s="12"/>
      <c r="W466" s="12"/>
      <c r="X466" s="12"/>
      <c r="Y466" s="12"/>
      <c r="Z466" s="12"/>
      <c r="AA466" s="12"/>
      <c r="AB466" s="12"/>
      <c r="AC466" s="12"/>
      <c r="AD466" s="12"/>
      <c r="AE466" s="12"/>
      <c r="AF466" s="12"/>
    </row>
    <row r="467" spans="1:32">
      <c r="A467" s="8"/>
      <c r="B467" s="8"/>
      <c r="C467" s="8"/>
      <c r="D467" s="8"/>
      <c r="E467" s="8"/>
      <c r="F467" s="8"/>
      <c r="G467" s="8"/>
      <c r="H467" s="8"/>
      <c r="I467" s="8"/>
      <c r="J467" s="8"/>
      <c r="K467" s="8"/>
      <c r="L467" s="8"/>
      <c r="M467" s="8"/>
      <c r="N467" s="8"/>
      <c r="O467" s="8"/>
      <c r="P467" s="8"/>
      <c r="Q467" s="8"/>
      <c r="R467" s="8"/>
      <c r="S467" s="8"/>
      <c r="T467" s="8"/>
      <c r="U467" s="12"/>
      <c r="V467" s="12"/>
      <c r="W467" s="12"/>
      <c r="X467" s="12"/>
      <c r="Y467" s="12"/>
      <c r="Z467" s="12"/>
      <c r="AA467" s="12"/>
      <c r="AB467" s="12"/>
      <c r="AC467" s="12"/>
      <c r="AD467" s="12"/>
      <c r="AE467" s="12"/>
      <c r="AF467" s="12"/>
    </row>
    <row r="468" spans="1:32">
      <c r="A468" s="8"/>
      <c r="B468" s="8"/>
      <c r="C468" s="8"/>
      <c r="D468" s="8"/>
      <c r="E468" s="8"/>
      <c r="F468" s="8"/>
      <c r="G468" s="8"/>
      <c r="H468" s="8"/>
      <c r="I468" s="8"/>
      <c r="J468" s="8"/>
      <c r="K468" s="8"/>
      <c r="L468" s="8"/>
      <c r="M468" s="8"/>
      <c r="N468" s="8"/>
      <c r="O468" s="8"/>
      <c r="P468" s="8"/>
      <c r="Q468" s="8"/>
      <c r="R468" s="8"/>
      <c r="S468" s="8"/>
      <c r="T468" s="8"/>
      <c r="U468" s="12"/>
      <c r="V468" s="12"/>
      <c r="W468" s="12"/>
      <c r="X468" s="12"/>
      <c r="Y468" s="12"/>
      <c r="Z468" s="12"/>
      <c r="AA468" s="12"/>
      <c r="AB468" s="12"/>
      <c r="AC468" s="12"/>
      <c r="AD468" s="12"/>
      <c r="AE468" s="12"/>
      <c r="AF468" s="12"/>
    </row>
    <row r="469" spans="1:32">
      <c r="A469" s="8"/>
      <c r="B469" s="8"/>
      <c r="C469" s="8"/>
      <c r="D469" s="8"/>
      <c r="E469" s="8"/>
      <c r="F469" s="8"/>
      <c r="G469" s="8"/>
      <c r="H469" s="8"/>
      <c r="I469" s="8"/>
      <c r="J469" s="8"/>
      <c r="K469" s="8"/>
      <c r="L469" s="8"/>
      <c r="M469" s="8"/>
      <c r="N469" s="8"/>
      <c r="O469" s="8"/>
      <c r="P469" s="8"/>
      <c r="Q469" s="8"/>
      <c r="R469" s="8"/>
      <c r="S469" s="8"/>
      <c r="T469" s="8"/>
      <c r="U469" s="12"/>
      <c r="V469" s="12"/>
      <c r="W469" s="12"/>
      <c r="X469" s="12"/>
      <c r="Y469" s="12"/>
      <c r="Z469" s="12"/>
      <c r="AA469" s="12"/>
      <c r="AB469" s="12"/>
      <c r="AC469" s="12"/>
      <c r="AD469" s="12"/>
      <c r="AE469" s="12"/>
      <c r="AF469" s="12"/>
    </row>
    <row r="470" spans="1:32">
      <c r="A470" s="8"/>
      <c r="B470" s="8"/>
      <c r="C470" s="8"/>
      <c r="D470" s="8"/>
      <c r="E470" s="8"/>
      <c r="F470" s="8"/>
      <c r="G470" s="8"/>
      <c r="H470" s="8"/>
      <c r="I470" s="8"/>
      <c r="J470" s="8"/>
      <c r="K470" s="8"/>
      <c r="L470" s="8"/>
      <c r="M470" s="8"/>
      <c r="N470" s="8"/>
      <c r="O470" s="8"/>
      <c r="P470" s="8"/>
      <c r="Q470" s="8"/>
      <c r="R470" s="8"/>
      <c r="S470" s="8"/>
      <c r="T470" s="8"/>
      <c r="U470" s="12"/>
      <c r="V470" s="12"/>
      <c r="W470" s="12"/>
      <c r="X470" s="12"/>
      <c r="Y470" s="12"/>
      <c r="Z470" s="12"/>
      <c r="AA470" s="12"/>
      <c r="AB470" s="12"/>
      <c r="AC470" s="12"/>
      <c r="AD470" s="12"/>
      <c r="AE470" s="12"/>
      <c r="AF470" s="12"/>
    </row>
    <row r="471" spans="1:32">
      <c r="A471" s="8"/>
      <c r="B471" s="8"/>
      <c r="C471" s="8"/>
      <c r="D471" s="8"/>
      <c r="E471" s="8"/>
      <c r="F471" s="8"/>
      <c r="G471" s="8"/>
      <c r="H471" s="8"/>
      <c r="I471" s="8"/>
      <c r="J471" s="8"/>
      <c r="K471" s="8"/>
      <c r="L471" s="8"/>
      <c r="M471" s="8"/>
      <c r="N471" s="8"/>
      <c r="O471" s="8"/>
      <c r="P471" s="8"/>
      <c r="Q471" s="8"/>
      <c r="R471" s="8"/>
      <c r="S471" s="8"/>
      <c r="T471" s="8"/>
      <c r="U471" s="12"/>
      <c r="V471" s="12"/>
      <c r="W471" s="12"/>
      <c r="X471" s="12"/>
      <c r="Y471" s="12"/>
      <c r="Z471" s="12"/>
      <c r="AA471" s="12"/>
      <c r="AB471" s="12"/>
      <c r="AC471" s="12"/>
      <c r="AD471" s="12"/>
      <c r="AE471" s="12"/>
      <c r="AF471" s="12"/>
    </row>
    <row r="472" spans="1:32">
      <c r="A472" s="8"/>
      <c r="B472" s="8"/>
      <c r="C472" s="8"/>
      <c r="D472" s="8"/>
      <c r="E472" s="8"/>
      <c r="F472" s="8"/>
      <c r="G472" s="8"/>
      <c r="H472" s="8"/>
      <c r="I472" s="8"/>
      <c r="J472" s="8"/>
      <c r="K472" s="8"/>
      <c r="L472" s="8"/>
      <c r="M472" s="8"/>
      <c r="N472" s="8"/>
      <c r="O472" s="8"/>
      <c r="P472" s="8"/>
      <c r="Q472" s="8"/>
      <c r="R472" s="8"/>
      <c r="S472" s="8"/>
      <c r="T472" s="8"/>
      <c r="U472" s="12"/>
      <c r="V472" s="12"/>
      <c r="W472" s="12"/>
      <c r="X472" s="12"/>
      <c r="Y472" s="12"/>
      <c r="Z472" s="12"/>
      <c r="AA472" s="12"/>
      <c r="AB472" s="12"/>
      <c r="AC472" s="12"/>
      <c r="AD472" s="12"/>
      <c r="AE472" s="12"/>
      <c r="AF472" s="12"/>
    </row>
    <row r="473" spans="1:32">
      <c r="A473" s="8"/>
      <c r="B473" s="8"/>
      <c r="C473" s="8"/>
      <c r="D473" s="8"/>
      <c r="E473" s="8"/>
      <c r="F473" s="8"/>
      <c r="G473" s="8"/>
      <c r="H473" s="8"/>
      <c r="I473" s="8"/>
      <c r="J473" s="8"/>
      <c r="K473" s="8"/>
      <c r="L473" s="8"/>
      <c r="M473" s="8"/>
      <c r="N473" s="8"/>
      <c r="O473" s="8"/>
      <c r="P473" s="8"/>
      <c r="Q473" s="8"/>
      <c r="R473" s="8"/>
      <c r="S473" s="8"/>
      <c r="T473" s="8"/>
      <c r="U473" s="12"/>
      <c r="V473" s="12"/>
      <c r="W473" s="12"/>
      <c r="X473" s="12"/>
      <c r="Y473" s="12"/>
      <c r="Z473" s="12"/>
      <c r="AA473" s="12"/>
      <c r="AB473" s="12"/>
      <c r="AC473" s="12"/>
      <c r="AD473" s="12"/>
      <c r="AE473" s="12"/>
      <c r="AF473" s="12"/>
    </row>
    <row r="474" spans="1:32">
      <c r="A474" s="8"/>
      <c r="B474" s="8"/>
      <c r="C474" s="8"/>
      <c r="D474" s="8"/>
      <c r="E474" s="8"/>
      <c r="F474" s="8"/>
      <c r="G474" s="8"/>
      <c r="H474" s="8"/>
      <c r="I474" s="8"/>
      <c r="J474" s="8"/>
      <c r="K474" s="8"/>
      <c r="L474" s="8"/>
      <c r="M474" s="8"/>
      <c r="N474" s="8"/>
      <c r="O474" s="8"/>
      <c r="P474" s="8"/>
      <c r="Q474" s="8"/>
      <c r="R474" s="8"/>
      <c r="S474" s="8"/>
      <c r="T474" s="8"/>
      <c r="U474" s="12"/>
      <c r="V474" s="12"/>
      <c r="W474" s="12"/>
      <c r="X474" s="12"/>
      <c r="Y474" s="12"/>
      <c r="Z474" s="12"/>
      <c r="AA474" s="12"/>
      <c r="AB474" s="12"/>
      <c r="AC474" s="12"/>
      <c r="AD474" s="12"/>
      <c r="AE474" s="12"/>
      <c r="AF474" s="12"/>
    </row>
    <row r="475" spans="1:32">
      <c r="A475" s="8"/>
      <c r="B475" s="8"/>
      <c r="C475" s="8"/>
      <c r="D475" s="8"/>
      <c r="E475" s="8"/>
      <c r="F475" s="8"/>
      <c r="G475" s="8"/>
      <c r="H475" s="8"/>
      <c r="I475" s="8"/>
      <c r="J475" s="8"/>
      <c r="K475" s="8"/>
      <c r="L475" s="8"/>
      <c r="M475" s="8"/>
      <c r="N475" s="8"/>
      <c r="O475" s="8"/>
      <c r="P475" s="8"/>
      <c r="Q475" s="8"/>
      <c r="R475" s="8"/>
      <c r="S475" s="8"/>
      <c r="T475" s="8"/>
      <c r="U475" s="12"/>
      <c r="V475" s="12"/>
      <c r="W475" s="12"/>
      <c r="X475" s="12"/>
      <c r="Y475" s="12"/>
      <c r="Z475" s="12"/>
      <c r="AA475" s="12"/>
      <c r="AB475" s="12"/>
      <c r="AC475" s="12"/>
      <c r="AD475" s="12"/>
      <c r="AE475" s="12"/>
      <c r="AF475" s="12"/>
    </row>
    <row r="476" spans="1:32">
      <c r="A476" s="8"/>
      <c r="B476" s="8"/>
      <c r="C476" s="8"/>
      <c r="D476" s="8"/>
      <c r="E476" s="8"/>
      <c r="F476" s="8"/>
      <c r="G476" s="8"/>
      <c r="H476" s="8"/>
      <c r="I476" s="8"/>
      <c r="J476" s="8"/>
      <c r="K476" s="8"/>
      <c r="L476" s="8"/>
      <c r="M476" s="8"/>
      <c r="N476" s="8"/>
      <c r="O476" s="8"/>
      <c r="P476" s="8"/>
      <c r="Q476" s="8"/>
      <c r="R476" s="8"/>
      <c r="S476" s="8"/>
      <c r="T476" s="8"/>
      <c r="U476" s="12"/>
      <c r="V476" s="12"/>
      <c r="W476" s="12"/>
      <c r="X476" s="12"/>
      <c r="Y476" s="12"/>
      <c r="Z476" s="12"/>
      <c r="AA476" s="12"/>
      <c r="AB476" s="12"/>
      <c r="AC476" s="12"/>
      <c r="AD476" s="12"/>
      <c r="AE476" s="12"/>
      <c r="AF476" s="12"/>
    </row>
    <row r="477" spans="1:32">
      <c r="A477" s="8"/>
      <c r="B477" s="8"/>
      <c r="C477" s="8"/>
      <c r="D477" s="8"/>
      <c r="E477" s="8"/>
      <c r="F477" s="8"/>
      <c r="G477" s="8"/>
      <c r="H477" s="8"/>
      <c r="I477" s="8"/>
      <c r="J477" s="8"/>
      <c r="K477" s="8"/>
      <c r="L477" s="8"/>
      <c r="M477" s="8"/>
      <c r="N477" s="8"/>
      <c r="O477" s="8"/>
      <c r="P477" s="8"/>
      <c r="Q477" s="8"/>
      <c r="R477" s="8"/>
      <c r="S477" s="8"/>
      <c r="T477" s="8"/>
      <c r="U477" s="12"/>
      <c r="V477" s="12"/>
      <c r="W477" s="12"/>
      <c r="X477" s="12"/>
      <c r="Y477" s="12"/>
      <c r="Z477" s="12"/>
      <c r="AA477" s="12"/>
      <c r="AB477" s="12"/>
      <c r="AC477" s="12"/>
      <c r="AD477" s="12"/>
      <c r="AE477" s="12"/>
      <c r="AF477" s="12"/>
    </row>
    <row r="478" spans="1:32">
      <c r="A478" s="8"/>
      <c r="B478" s="8"/>
      <c r="C478" s="8"/>
      <c r="D478" s="8"/>
      <c r="E478" s="8"/>
      <c r="F478" s="8"/>
      <c r="G478" s="8"/>
      <c r="H478" s="8"/>
      <c r="I478" s="8"/>
      <c r="J478" s="8"/>
      <c r="K478" s="8"/>
      <c r="L478" s="8"/>
      <c r="M478" s="8"/>
      <c r="N478" s="8"/>
      <c r="O478" s="8"/>
      <c r="P478" s="8"/>
      <c r="Q478" s="8"/>
      <c r="R478" s="8"/>
      <c r="S478" s="8"/>
      <c r="T478" s="8"/>
      <c r="U478" s="12"/>
      <c r="V478" s="12"/>
      <c r="W478" s="12"/>
      <c r="X478" s="12"/>
      <c r="Y478" s="12"/>
      <c r="Z478" s="12"/>
      <c r="AA478" s="12"/>
      <c r="AB478" s="12"/>
      <c r="AC478" s="12"/>
      <c r="AD478" s="12"/>
      <c r="AE478" s="12"/>
      <c r="AF478" s="12"/>
    </row>
    <row r="479" spans="1:32">
      <c r="A479" s="8"/>
      <c r="B479" s="8"/>
      <c r="C479" s="8"/>
      <c r="D479" s="8"/>
      <c r="E479" s="8"/>
      <c r="F479" s="8"/>
      <c r="G479" s="8"/>
      <c r="H479" s="8"/>
      <c r="I479" s="8"/>
      <c r="J479" s="8"/>
      <c r="K479" s="8"/>
      <c r="L479" s="8"/>
      <c r="M479" s="8"/>
      <c r="N479" s="8"/>
      <c r="O479" s="8"/>
      <c r="P479" s="8"/>
      <c r="Q479" s="8"/>
      <c r="R479" s="8"/>
      <c r="S479" s="8"/>
      <c r="T479" s="8"/>
      <c r="U479" s="12"/>
      <c r="V479" s="12"/>
      <c r="W479" s="12"/>
      <c r="X479" s="12"/>
      <c r="Y479" s="12"/>
      <c r="Z479" s="12"/>
      <c r="AA479" s="12"/>
      <c r="AB479" s="12"/>
      <c r="AC479" s="12"/>
      <c r="AD479" s="12"/>
      <c r="AE479" s="12"/>
      <c r="AF479" s="12"/>
    </row>
    <row r="480" spans="1:32">
      <c r="A480" s="8"/>
      <c r="B480" s="8"/>
      <c r="C480" s="8"/>
      <c r="D480" s="8"/>
      <c r="E480" s="8"/>
      <c r="F480" s="8"/>
      <c r="G480" s="8"/>
      <c r="H480" s="8"/>
      <c r="I480" s="8"/>
      <c r="J480" s="8"/>
      <c r="K480" s="8"/>
      <c r="L480" s="8"/>
      <c r="M480" s="8"/>
      <c r="N480" s="8"/>
      <c r="O480" s="8"/>
      <c r="P480" s="8"/>
      <c r="Q480" s="8"/>
      <c r="R480" s="8"/>
      <c r="S480" s="8"/>
      <c r="T480" s="8"/>
      <c r="U480" s="12"/>
      <c r="V480" s="12"/>
      <c r="W480" s="12"/>
      <c r="X480" s="12"/>
      <c r="Y480" s="12"/>
      <c r="Z480" s="12"/>
      <c r="AA480" s="12"/>
      <c r="AB480" s="12"/>
      <c r="AC480" s="12"/>
      <c r="AD480" s="12"/>
      <c r="AE480" s="12"/>
      <c r="AF480" s="12"/>
    </row>
    <row r="481" spans="1:32">
      <c r="A481" s="8"/>
      <c r="B481" s="8"/>
      <c r="C481" s="8"/>
      <c r="D481" s="8"/>
      <c r="E481" s="8"/>
      <c r="F481" s="8"/>
      <c r="G481" s="8"/>
      <c r="H481" s="8"/>
      <c r="I481" s="8"/>
      <c r="J481" s="8"/>
      <c r="K481" s="8"/>
      <c r="L481" s="8"/>
      <c r="M481" s="8"/>
      <c r="N481" s="8"/>
      <c r="O481" s="8"/>
      <c r="P481" s="8"/>
      <c r="Q481" s="8"/>
      <c r="R481" s="8"/>
      <c r="S481" s="8"/>
      <c r="T481" s="8"/>
      <c r="U481" s="12"/>
      <c r="V481" s="12"/>
      <c r="W481" s="12"/>
      <c r="X481" s="12"/>
      <c r="Y481" s="12"/>
      <c r="Z481" s="12"/>
      <c r="AA481" s="12"/>
      <c r="AB481" s="12"/>
      <c r="AC481" s="12"/>
      <c r="AD481" s="12"/>
      <c r="AE481" s="12"/>
      <c r="AF481" s="12"/>
    </row>
    <row r="482" spans="1:32">
      <c r="A482" s="8"/>
      <c r="B482" s="8"/>
      <c r="C482" s="8"/>
      <c r="D482" s="8"/>
      <c r="E482" s="8"/>
      <c r="F482" s="8"/>
      <c r="G482" s="8"/>
      <c r="H482" s="8"/>
      <c r="I482" s="8"/>
      <c r="J482" s="8"/>
      <c r="K482" s="8"/>
      <c r="L482" s="8"/>
      <c r="M482" s="8"/>
      <c r="N482" s="8"/>
      <c r="O482" s="8"/>
      <c r="P482" s="8"/>
      <c r="Q482" s="8"/>
      <c r="R482" s="8"/>
      <c r="S482" s="8"/>
      <c r="T482" s="8"/>
      <c r="U482" s="12"/>
      <c r="V482" s="12"/>
      <c r="W482" s="12"/>
      <c r="X482" s="12"/>
      <c r="Y482" s="12"/>
      <c r="Z482" s="12"/>
      <c r="AA482" s="12"/>
      <c r="AB482" s="12"/>
      <c r="AC482" s="12"/>
      <c r="AD482" s="12"/>
      <c r="AE482" s="12"/>
      <c r="AF482" s="12"/>
    </row>
    <row r="483" spans="1:32">
      <c r="A483" s="8"/>
      <c r="B483" s="8"/>
      <c r="C483" s="8"/>
      <c r="D483" s="8"/>
      <c r="E483" s="8"/>
      <c r="F483" s="8"/>
      <c r="G483" s="8"/>
      <c r="H483" s="8"/>
      <c r="I483" s="8"/>
      <c r="J483" s="8"/>
      <c r="K483" s="8"/>
      <c r="L483" s="8"/>
      <c r="M483" s="8"/>
      <c r="N483" s="8"/>
      <c r="O483" s="8"/>
      <c r="P483" s="8"/>
      <c r="Q483" s="8"/>
      <c r="R483" s="8"/>
      <c r="S483" s="8"/>
      <c r="T483" s="8"/>
      <c r="U483" s="12"/>
      <c r="V483" s="12"/>
      <c r="W483" s="12"/>
      <c r="X483" s="12"/>
      <c r="Y483" s="12"/>
      <c r="Z483" s="12"/>
      <c r="AA483" s="12"/>
      <c r="AB483" s="12"/>
      <c r="AC483" s="12"/>
      <c r="AD483" s="12"/>
      <c r="AE483" s="12"/>
      <c r="AF483" s="12"/>
    </row>
    <row r="484" spans="1:32">
      <c r="A484" s="8"/>
      <c r="B484" s="8"/>
      <c r="C484" s="8"/>
      <c r="D484" s="8"/>
      <c r="E484" s="8"/>
      <c r="F484" s="8"/>
      <c r="G484" s="8"/>
      <c r="H484" s="8"/>
      <c r="I484" s="8"/>
      <c r="J484" s="8"/>
      <c r="K484" s="8"/>
      <c r="L484" s="8"/>
      <c r="M484" s="8"/>
      <c r="N484" s="8"/>
      <c r="O484" s="8"/>
      <c r="P484" s="8"/>
      <c r="Q484" s="8"/>
      <c r="R484" s="8"/>
      <c r="S484" s="8"/>
      <c r="T484" s="8"/>
      <c r="U484" s="12"/>
      <c r="V484" s="12"/>
      <c r="W484" s="12"/>
      <c r="X484" s="12"/>
      <c r="Y484" s="12"/>
      <c r="Z484" s="12"/>
      <c r="AA484" s="12"/>
      <c r="AB484" s="12"/>
      <c r="AC484" s="12"/>
      <c r="AD484" s="12"/>
      <c r="AE484" s="12"/>
      <c r="AF484" s="12"/>
    </row>
    <row r="485" spans="1:32">
      <c r="A485" s="8"/>
      <c r="B485" s="8"/>
      <c r="C485" s="8"/>
      <c r="D485" s="8"/>
      <c r="E485" s="8"/>
      <c r="F485" s="8"/>
      <c r="G485" s="8"/>
      <c r="H485" s="8"/>
      <c r="I485" s="8"/>
      <c r="J485" s="8"/>
      <c r="K485" s="8"/>
      <c r="L485" s="8"/>
      <c r="M485" s="8"/>
      <c r="N485" s="8"/>
      <c r="O485" s="8"/>
      <c r="P485" s="8"/>
      <c r="Q485" s="8"/>
      <c r="R485" s="8"/>
      <c r="S485" s="8"/>
      <c r="T485" s="8"/>
      <c r="U485" s="12"/>
      <c r="V485" s="12"/>
      <c r="W485" s="12"/>
      <c r="X485" s="12"/>
      <c r="Y485" s="12"/>
      <c r="Z485" s="12"/>
      <c r="AA485" s="12"/>
      <c r="AB485" s="12"/>
      <c r="AC485" s="12"/>
      <c r="AD485" s="12"/>
      <c r="AE485" s="12"/>
      <c r="AF485" s="12"/>
    </row>
    <row r="486" spans="1:32">
      <c r="A486" s="8"/>
      <c r="B486" s="8"/>
      <c r="C486" s="8"/>
      <c r="D486" s="8"/>
      <c r="E486" s="8"/>
      <c r="F486" s="8"/>
      <c r="G486" s="8"/>
      <c r="H486" s="8"/>
      <c r="I486" s="8"/>
      <c r="J486" s="8"/>
      <c r="K486" s="8"/>
      <c r="L486" s="8"/>
      <c r="M486" s="8"/>
      <c r="N486" s="8"/>
      <c r="O486" s="8"/>
      <c r="P486" s="8"/>
      <c r="Q486" s="8"/>
      <c r="R486" s="8"/>
      <c r="S486" s="8"/>
      <c r="T486" s="8"/>
      <c r="U486" s="12"/>
      <c r="V486" s="12"/>
      <c r="W486" s="12"/>
      <c r="X486" s="12"/>
      <c r="Y486" s="12"/>
      <c r="Z486" s="12"/>
      <c r="AA486" s="12"/>
      <c r="AB486" s="12"/>
      <c r="AC486" s="12"/>
      <c r="AD486" s="12"/>
      <c r="AE486" s="12"/>
      <c r="AF486" s="12"/>
    </row>
    <row r="487" spans="1:32">
      <c r="A487" s="8"/>
      <c r="B487" s="8"/>
      <c r="C487" s="8"/>
      <c r="D487" s="8"/>
      <c r="E487" s="8"/>
      <c r="F487" s="8"/>
      <c r="G487" s="8"/>
      <c r="H487" s="8"/>
      <c r="I487" s="8"/>
      <c r="J487" s="8"/>
      <c r="K487" s="8"/>
      <c r="L487" s="8"/>
      <c r="M487" s="8"/>
      <c r="N487" s="8"/>
      <c r="O487" s="8"/>
      <c r="P487" s="8"/>
      <c r="Q487" s="8"/>
      <c r="R487" s="8"/>
      <c r="S487" s="8"/>
      <c r="T487" s="8"/>
      <c r="U487" s="12"/>
      <c r="V487" s="12"/>
      <c r="W487" s="12"/>
      <c r="X487" s="12"/>
      <c r="Y487" s="12"/>
      <c r="Z487" s="12"/>
      <c r="AA487" s="12"/>
      <c r="AB487" s="12"/>
      <c r="AC487" s="12"/>
      <c r="AD487" s="12"/>
      <c r="AE487" s="12"/>
      <c r="AF487" s="12"/>
    </row>
    <row r="488" spans="1:32">
      <c r="A488" s="8"/>
      <c r="B488" s="8"/>
      <c r="C488" s="8"/>
      <c r="D488" s="8"/>
      <c r="E488" s="8"/>
      <c r="F488" s="8"/>
      <c r="G488" s="8"/>
      <c r="H488" s="8"/>
      <c r="I488" s="8"/>
      <c r="J488" s="8"/>
      <c r="K488" s="8"/>
      <c r="L488" s="8"/>
      <c r="M488" s="8"/>
      <c r="N488" s="8"/>
      <c r="O488" s="8"/>
      <c r="P488" s="8"/>
      <c r="Q488" s="8"/>
      <c r="R488" s="8"/>
      <c r="S488" s="8"/>
      <c r="T488" s="8"/>
      <c r="U488" s="12"/>
      <c r="V488" s="12"/>
      <c r="W488" s="12"/>
      <c r="X488" s="12"/>
      <c r="Y488" s="12"/>
      <c r="Z488" s="12"/>
      <c r="AA488" s="12"/>
      <c r="AB488" s="12"/>
      <c r="AC488" s="12"/>
      <c r="AD488" s="12"/>
      <c r="AE488" s="12"/>
      <c r="AF488" s="12"/>
    </row>
    <row r="489" spans="1:32">
      <c r="A489" s="8"/>
      <c r="B489" s="8"/>
      <c r="C489" s="8"/>
      <c r="D489" s="8"/>
      <c r="E489" s="8"/>
      <c r="F489" s="8"/>
      <c r="G489" s="8"/>
      <c r="H489" s="8"/>
      <c r="I489" s="8"/>
      <c r="J489" s="8"/>
      <c r="K489" s="8"/>
      <c r="L489" s="8"/>
      <c r="M489" s="8"/>
      <c r="N489" s="8"/>
      <c r="O489" s="8"/>
      <c r="P489" s="8"/>
      <c r="Q489" s="8"/>
      <c r="R489" s="8"/>
      <c r="S489" s="8"/>
      <c r="T489" s="8"/>
      <c r="U489" s="12"/>
      <c r="V489" s="12"/>
      <c r="W489" s="12"/>
      <c r="X489" s="12"/>
      <c r="Y489" s="12"/>
      <c r="Z489" s="12"/>
      <c r="AA489" s="12"/>
      <c r="AB489" s="12"/>
      <c r="AC489" s="12"/>
      <c r="AD489" s="12"/>
      <c r="AE489" s="12"/>
      <c r="AF489" s="12"/>
    </row>
    <row r="490" spans="1:32">
      <c r="A490" s="8"/>
      <c r="B490" s="8"/>
      <c r="C490" s="8"/>
      <c r="D490" s="8"/>
      <c r="E490" s="8"/>
      <c r="F490" s="8"/>
      <c r="G490" s="8"/>
      <c r="H490" s="8"/>
      <c r="I490" s="8"/>
      <c r="J490" s="8"/>
      <c r="K490" s="8"/>
      <c r="L490" s="8"/>
      <c r="M490" s="8"/>
      <c r="N490" s="8"/>
      <c r="O490" s="8"/>
      <c r="P490" s="8"/>
      <c r="Q490" s="8"/>
      <c r="R490" s="8"/>
      <c r="S490" s="8"/>
      <c r="T490" s="8"/>
      <c r="U490" s="12"/>
      <c r="V490" s="12"/>
      <c r="W490" s="12"/>
      <c r="X490" s="12"/>
      <c r="Y490" s="12"/>
      <c r="Z490" s="12"/>
      <c r="AA490" s="12"/>
      <c r="AB490" s="12"/>
      <c r="AC490" s="12"/>
      <c r="AD490" s="12"/>
      <c r="AE490" s="12"/>
      <c r="AF490" s="12"/>
    </row>
    <row r="491" spans="1:32">
      <c r="A491" s="8"/>
      <c r="B491" s="8"/>
      <c r="C491" s="8"/>
      <c r="D491" s="8"/>
      <c r="E491" s="8"/>
      <c r="F491" s="8"/>
      <c r="G491" s="8"/>
      <c r="H491" s="8"/>
      <c r="I491" s="8"/>
      <c r="J491" s="8"/>
      <c r="K491" s="8"/>
      <c r="L491" s="8"/>
      <c r="M491" s="8"/>
      <c r="N491" s="8"/>
      <c r="O491" s="8"/>
      <c r="P491" s="8"/>
      <c r="Q491" s="8"/>
      <c r="R491" s="8"/>
      <c r="S491" s="8"/>
      <c r="T491" s="8"/>
      <c r="U491" s="12"/>
      <c r="V491" s="12"/>
      <c r="W491" s="12"/>
      <c r="X491" s="12"/>
      <c r="Y491" s="12"/>
      <c r="Z491" s="12"/>
      <c r="AA491" s="12"/>
      <c r="AB491" s="12"/>
      <c r="AC491" s="12"/>
      <c r="AD491" s="12"/>
      <c r="AE491" s="12"/>
      <c r="AF491" s="12"/>
    </row>
    <row r="492" spans="1:32">
      <c r="A492" s="8"/>
      <c r="B492" s="8"/>
      <c r="C492" s="8"/>
      <c r="D492" s="8"/>
      <c r="E492" s="8"/>
      <c r="F492" s="8"/>
      <c r="G492" s="8"/>
      <c r="H492" s="8"/>
      <c r="I492" s="8"/>
      <c r="J492" s="8"/>
      <c r="K492" s="8"/>
      <c r="L492" s="8"/>
      <c r="M492" s="8"/>
      <c r="N492" s="8"/>
      <c r="O492" s="8"/>
      <c r="P492" s="8"/>
      <c r="Q492" s="8"/>
      <c r="R492" s="8"/>
      <c r="S492" s="8"/>
      <c r="T492" s="8"/>
      <c r="U492" s="12"/>
      <c r="V492" s="12"/>
      <c r="W492" s="12"/>
      <c r="X492" s="12"/>
      <c r="Y492" s="12"/>
      <c r="Z492" s="12"/>
      <c r="AA492" s="12"/>
      <c r="AB492" s="12"/>
      <c r="AC492" s="12"/>
      <c r="AD492" s="12"/>
      <c r="AE492" s="12"/>
      <c r="AF492" s="12"/>
    </row>
    <row r="493" spans="1:32">
      <c r="A493" s="8"/>
      <c r="B493" s="8"/>
      <c r="C493" s="8"/>
      <c r="D493" s="8"/>
      <c r="E493" s="8"/>
      <c r="F493" s="8"/>
      <c r="G493" s="8"/>
      <c r="H493" s="8"/>
      <c r="I493" s="8"/>
      <c r="J493" s="8"/>
      <c r="K493" s="8"/>
      <c r="L493" s="8"/>
      <c r="M493" s="8"/>
      <c r="N493" s="8"/>
      <c r="O493" s="8"/>
      <c r="P493" s="8"/>
      <c r="Q493" s="8"/>
      <c r="R493" s="8"/>
      <c r="S493" s="8"/>
      <c r="T493" s="8"/>
      <c r="U493" s="12"/>
      <c r="V493" s="12"/>
      <c r="W493" s="12"/>
      <c r="X493" s="12"/>
      <c r="Y493" s="12"/>
      <c r="Z493" s="12"/>
      <c r="AA493" s="12"/>
      <c r="AB493" s="12"/>
      <c r="AC493" s="12"/>
      <c r="AD493" s="12"/>
      <c r="AE493" s="12"/>
      <c r="AF493" s="12"/>
    </row>
    <row r="494" spans="1:32">
      <c r="A494" s="8"/>
      <c r="B494" s="8"/>
      <c r="C494" s="8"/>
      <c r="D494" s="8"/>
      <c r="E494" s="8"/>
      <c r="F494" s="8"/>
      <c r="G494" s="8"/>
      <c r="H494" s="8"/>
      <c r="I494" s="8"/>
      <c r="J494" s="8"/>
      <c r="K494" s="8"/>
      <c r="L494" s="8"/>
      <c r="M494" s="8"/>
      <c r="N494" s="8"/>
      <c r="O494" s="8"/>
      <c r="P494" s="8"/>
      <c r="Q494" s="8"/>
      <c r="R494" s="8"/>
      <c r="S494" s="8"/>
      <c r="T494" s="8"/>
      <c r="U494" s="12"/>
      <c r="V494" s="12"/>
      <c r="W494" s="12"/>
      <c r="X494" s="12"/>
      <c r="Y494" s="12"/>
      <c r="Z494" s="12"/>
      <c r="AA494" s="12"/>
      <c r="AB494" s="12"/>
      <c r="AC494" s="12"/>
      <c r="AD494" s="12"/>
      <c r="AE494" s="12"/>
      <c r="AF494" s="12"/>
    </row>
    <row r="495" spans="1:32">
      <c r="A495" s="8"/>
      <c r="B495" s="8"/>
      <c r="C495" s="8"/>
      <c r="D495" s="8"/>
      <c r="E495" s="8"/>
      <c r="F495" s="8"/>
      <c r="G495" s="8"/>
      <c r="H495" s="8"/>
      <c r="I495" s="8"/>
      <c r="J495" s="8"/>
      <c r="K495" s="8"/>
      <c r="L495" s="8"/>
      <c r="M495" s="8"/>
      <c r="N495" s="8"/>
      <c r="O495" s="8"/>
      <c r="P495" s="8"/>
      <c r="Q495" s="8"/>
      <c r="R495" s="8"/>
      <c r="S495" s="8"/>
      <c r="T495" s="8"/>
      <c r="U495" s="12"/>
      <c r="V495" s="12"/>
      <c r="W495" s="12"/>
      <c r="X495" s="12"/>
      <c r="Y495" s="12"/>
      <c r="Z495" s="12"/>
      <c r="AA495" s="12"/>
      <c r="AB495" s="12"/>
      <c r="AC495" s="12"/>
      <c r="AD495" s="12"/>
      <c r="AE495" s="12"/>
      <c r="AF495" s="12"/>
    </row>
    <row r="496" spans="1:32">
      <c r="A496" s="8"/>
      <c r="B496" s="8"/>
      <c r="C496" s="8"/>
      <c r="D496" s="8"/>
      <c r="E496" s="8"/>
      <c r="F496" s="8"/>
      <c r="G496" s="8"/>
      <c r="H496" s="8"/>
      <c r="I496" s="8"/>
      <c r="J496" s="8"/>
      <c r="K496" s="8"/>
      <c r="L496" s="8"/>
      <c r="M496" s="8"/>
      <c r="N496" s="8"/>
      <c r="O496" s="8"/>
      <c r="P496" s="8"/>
      <c r="Q496" s="8"/>
      <c r="R496" s="8"/>
      <c r="S496" s="8"/>
      <c r="T496" s="8"/>
      <c r="U496" s="12"/>
      <c r="V496" s="12"/>
      <c r="W496" s="12"/>
      <c r="X496" s="12"/>
      <c r="Y496" s="12"/>
      <c r="Z496" s="12"/>
      <c r="AA496" s="12"/>
      <c r="AB496" s="12"/>
      <c r="AC496" s="12"/>
      <c r="AD496" s="12"/>
      <c r="AE496" s="12"/>
      <c r="AF496" s="12"/>
    </row>
    <row r="497" spans="1:32">
      <c r="A497" s="8"/>
      <c r="B497" s="8"/>
      <c r="C497" s="8"/>
      <c r="D497" s="8"/>
      <c r="E497" s="8"/>
      <c r="F497" s="8"/>
      <c r="G497" s="8"/>
      <c r="H497" s="8"/>
      <c r="I497" s="8"/>
      <c r="J497" s="8"/>
      <c r="K497" s="8"/>
      <c r="L497" s="8"/>
      <c r="M497" s="8"/>
      <c r="N497" s="8"/>
      <c r="O497" s="8"/>
      <c r="P497" s="8"/>
      <c r="Q497" s="8"/>
      <c r="R497" s="8"/>
      <c r="S497" s="8"/>
      <c r="T497" s="8"/>
      <c r="U497" s="12"/>
      <c r="V497" s="12"/>
      <c r="W497" s="12"/>
      <c r="X497" s="12"/>
      <c r="Y497" s="12"/>
      <c r="Z497" s="12"/>
      <c r="AA497" s="12"/>
      <c r="AB497" s="12"/>
      <c r="AC497" s="12"/>
      <c r="AD497" s="12"/>
      <c r="AE497" s="12"/>
      <c r="AF497" s="12"/>
    </row>
    <row r="498" spans="1:32">
      <c r="A498" s="8"/>
      <c r="B498" s="8"/>
      <c r="C498" s="8"/>
      <c r="D498" s="8"/>
      <c r="E498" s="8"/>
      <c r="F498" s="8"/>
      <c r="G498" s="8"/>
      <c r="H498" s="8"/>
      <c r="I498" s="8"/>
      <c r="J498" s="8"/>
      <c r="K498" s="8"/>
      <c r="L498" s="8"/>
      <c r="M498" s="8"/>
      <c r="N498" s="8"/>
      <c r="O498" s="8"/>
      <c r="P498" s="8"/>
      <c r="Q498" s="8"/>
      <c r="R498" s="8"/>
      <c r="S498" s="8"/>
      <c r="T498" s="8"/>
      <c r="U498" s="12"/>
      <c r="V498" s="12"/>
      <c r="W498" s="12"/>
      <c r="X498" s="12"/>
      <c r="Y498" s="12"/>
      <c r="Z498" s="12"/>
      <c r="AA498" s="12"/>
      <c r="AB498" s="12"/>
      <c r="AC498" s="12"/>
      <c r="AD498" s="12"/>
      <c r="AE498" s="12"/>
      <c r="AF498" s="12"/>
    </row>
    <row r="499" spans="1:32">
      <c r="A499" s="8"/>
      <c r="B499" s="8"/>
      <c r="C499" s="8"/>
      <c r="D499" s="8"/>
      <c r="E499" s="8"/>
      <c r="F499" s="8"/>
      <c r="G499" s="8"/>
      <c r="H499" s="8"/>
      <c r="I499" s="8"/>
      <c r="J499" s="8"/>
      <c r="K499" s="8"/>
      <c r="L499" s="8"/>
      <c r="M499" s="8"/>
      <c r="N499" s="8"/>
      <c r="O499" s="8"/>
      <c r="P499" s="8"/>
      <c r="Q499" s="8"/>
      <c r="R499" s="8"/>
      <c r="S499" s="8"/>
      <c r="T499" s="8"/>
      <c r="U499" s="12"/>
      <c r="V499" s="12"/>
      <c r="W499" s="12"/>
      <c r="X499" s="12"/>
      <c r="Y499" s="12"/>
      <c r="Z499" s="12"/>
      <c r="AA499" s="12"/>
      <c r="AB499" s="12"/>
      <c r="AC499" s="12"/>
      <c r="AD499" s="12"/>
      <c r="AE499" s="12"/>
      <c r="AF499" s="12"/>
    </row>
    <row r="500" spans="1:32">
      <c r="A500" s="8"/>
      <c r="B500" s="8"/>
      <c r="C500" s="8"/>
      <c r="D500" s="8"/>
      <c r="E500" s="8"/>
      <c r="F500" s="8"/>
      <c r="G500" s="8"/>
      <c r="H500" s="8"/>
      <c r="I500" s="8"/>
      <c r="J500" s="8"/>
      <c r="K500" s="8"/>
      <c r="L500" s="8"/>
      <c r="M500" s="8"/>
      <c r="N500" s="8"/>
      <c r="O500" s="8"/>
      <c r="P500" s="8"/>
      <c r="Q500" s="8"/>
      <c r="R500" s="8"/>
      <c r="S500" s="8"/>
      <c r="T500" s="8"/>
      <c r="U500" s="12"/>
      <c r="V500" s="12"/>
      <c r="W500" s="12"/>
      <c r="X500" s="12"/>
      <c r="Y500" s="12"/>
      <c r="Z500" s="12"/>
      <c r="AA500" s="12"/>
      <c r="AB500" s="12"/>
      <c r="AC500" s="12"/>
      <c r="AD500" s="12"/>
      <c r="AE500" s="12"/>
      <c r="AF500" s="12"/>
    </row>
    <row r="501" spans="1:32">
      <c r="A501" s="8"/>
      <c r="B501" s="8"/>
      <c r="C501" s="8"/>
      <c r="D501" s="8"/>
      <c r="E501" s="8"/>
      <c r="F501" s="8"/>
      <c r="G501" s="8"/>
      <c r="H501" s="8"/>
      <c r="I501" s="8"/>
      <c r="J501" s="8"/>
      <c r="K501" s="8"/>
      <c r="L501" s="8"/>
      <c r="M501" s="8"/>
      <c r="N501" s="8"/>
      <c r="O501" s="8"/>
      <c r="P501" s="8"/>
      <c r="Q501" s="8"/>
      <c r="R501" s="8"/>
      <c r="S501" s="8"/>
      <c r="T501" s="8"/>
      <c r="U501" s="12"/>
      <c r="V501" s="12"/>
      <c r="W501" s="12"/>
      <c r="X501" s="12"/>
      <c r="Y501" s="12"/>
      <c r="Z501" s="12"/>
      <c r="AA501" s="12"/>
      <c r="AB501" s="12"/>
      <c r="AC501" s="12"/>
      <c r="AD501" s="12"/>
      <c r="AE501" s="12"/>
      <c r="AF501" s="12"/>
    </row>
    <row r="502" spans="1:32">
      <c r="A502" s="8"/>
      <c r="B502" s="8"/>
      <c r="C502" s="8"/>
      <c r="D502" s="8"/>
      <c r="E502" s="8"/>
      <c r="F502" s="8"/>
      <c r="G502" s="8"/>
      <c r="H502" s="8"/>
      <c r="I502" s="8"/>
      <c r="J502" s="8"/>
      <c r="K502" s="8"/>
      <c r="L502" s="8"/>
      <c r="M502" s="8"/>
      <c r="N502" s="8"/>
      <c r="O502" s="8"/>
      <c r="P502" s="8"/>
      <c r="Q502" s="8"/>
      <c r="R502" s="8"/>
      <c r="S502" s="8"/>
      <c r="T502" s="8"/>
      <c r="U502" s="12"/>
      <c r="V502" s="12"/>
      <c r="W502" s="12"/>
      <c r="X502" s="12"/>
      <c r="Y502" s="12"/>
      <c r="Z502" s="12"/>
      <c r="AA502" s="12"/>
      <c r="AB502" s="12"/>
      <c r="AC502" s="12"/>
      <c r="AD502" s="12"/>
      <c r="AE502" s="12"/>
      <c r="AF502" s="12"/>
    </row>
    <row r="503" spans="1:32">
      <c r="A503" s="8"/>
      <c r="B503" s="8"/>
      <c r="C503" s="8"/>
      <c r="D503" s="8"/>
      <c r="E503" s="8"/>
      <c r="F503" s="8"/>
      <c r="G503" s="8"/>
      <c r="H503" s="8"/>
      <c r="I503" s="8"/>
      <c r="J503" s="8"/>
      <c r="K503" s="8"/>
      <c r="L503" s="8"/>
      <c r="M503" s="8"/>
      <c r="N503" s="8"/>
      <c r="O503" s="8"/>
      <c r="P503" s="8"/>
      <c r="Q503" s="8"/>
      <c r="R503" s="8"/>
      <c r="S503" s="8"/>
      <c r="T503" s="8"/>
      <c r="U503" s="12"/>
      <c r="V503" s="12"/>
      <c r="W503" s="12"/>
      <c r="X503" s="12"/>
      <c r="Y503" s="12"/>
      <c r="Z503" s="12"/>
      <c r="AA503" s="12"/>
      <c r="AB503" s="12"/>
      <c r="AC503" s="12"/>
      <c r="AD503" s="12"/>
      <c r="AE503" s="12"/>
      <c r="AF503" s="12"/>
    </row>
    <row r="504" spans="1:32">
      <c r="A504" s="8"/>
      <c r="B504" s="8"/>
      <c r="C504" s="8"/>
      <c r="D504" s="8"/>
      <c r="E504" s="8"/>
      <c r="F504" s="8"/>
      <c r="G504" s="8"/>
      <c r="H504" s="8"/>
      <c r="I504" s="8"/>
      <c r="J504" s="8"/>
      <c r="K504" s="8"/>
      <c r="L504" s="8"/>
      <c r="M504" s="8"/>
      <c r="N504" s="8"/>
      <c r="O504" s="8"/>
      <c r="P504" s="8"/>
      <c r="Q504" s="8"/>
      <c r="R504" s="8"/>
      <c r="S504" s="8"/>
      <c r="T504" s="8"/>
      <c r="U504" s="12"/>
      <c r="V504" s="12"/>
      <c r="W504" s="12"/>
      <c r="X504" s="12"/>
      <c r="Y504" s="12"/>
      <c r="Z504" s="12"/>
      <c r="AA504" s="12"/>
      <c r="AB504" s="12"/>
      <c r="AC504" s="12"/>
      <c r="AD504" s="12"/>
      <c r="AE504" s="12"/>
      <c r="AF504" s="12"/>
    </row>
    <row r="505" spans="1:32">
      <c r="A505" s="8"/>
      <c r="B505" s="8"/>
      <c r="C505" s="8"/>
      <c r="D505" s="8"/>
      <c r="E505" s="8"/>
      <c r="F505" s="8"/>
      <c r="G505" s="8"/>
      <c r="H505" s="8"/>
      <c r="I505" s="8"/>
      <c r="J505" s="8"/>
      <c r="K505" s="8"/>
      <c r="L505" s="8"/>
      <c r="M505" s="8"/>
      <c r="N505" s="8"/>
      <c r="O505" s="8"/>
      <c r="P505" s="8"/>
      <c r="Q505" s="8"/>
      <c r="R505" s="8"/>
      <c r="S505" s="8"/>
      <c r="T505" s="8"/>
      <c r="U505" s="12"/>
      <c r="V505" s="12"/>
      <c r="W505" s="12"/>
      <c r="X505" s="12"/>
      <c r="Y505" s="12"/>
      <c r="Z505" s="12"/>
      <c r="AA505" s="12"/>
      <c r="AB505" s="12"/>
      <c r="AC505" s="12"/>
      <c r="AD505" s="12"/>
      <c r="AE505" s="12"/>
      <c r="AF505" s="12"/>
    </row>
    <row r="506" spans="1:32">
      <c r="A506" s="8"/>
      <c r="B506" s="8"/>
      <c r="C506" s="8"/>
      <c r="D506" s="8"/>
      <c r="E506" s="8"/>
      <c r="F506" s="8"/>
      <c r="G506" s="8"/>
      <c r="H506" s="8"/>
      <c r="I506" s="8"/>
      <c r="J506" s="8"/>
      <c r="K506" s="8"/>
      <c r="L506" s="8"/>
      <c r="M506" s="8"/>
      <c r="N506" s="8"/>
      <c r="O506" s="8"/>
      <c r="P506" s="8"/>
      <c r="Q506" s="8"/>
      <c r="R506" s="8"/>
      <c r="S506" s="8"/>
      <c r="T506" s="8"/>
      <c r="U506" s="12"/>
      <c r="V506" s="12"/>
      <c r="W506" s="12"/>
      <c r="X506" s="12"/>
      <c r="Y506" s="12"/>
      <c r="Z506" s="12"/>
      <c r="AA506" s="12"/>
      <c r="AB506" s="12"/>
      <c r="AC506" s="12"/>
      <c r="AD506" s="12"/>
      <c r="AE506" s="12"/>
      <c r="AF506" s="12"/>
    </row>
    <row r="507" spans="1:32">
      <c r="A507" s="8"/>
      <c r="B507" s="8"/>
      <c r="C507" s="8"/>
      <c r="D507" s="8"/>
      <c r="E507" s="8"/>
      <c r="F507" s="8"/>
      <c r="G507" s="8"/>
      <c r="H507" s="8"/>
      <c r="I507" s="8"/>
      <c r="J507" s="8"/>
      <c r="K507" s="8"/>
      <c r="L507" s="8"/>
      <c r="M507" s="8"/>
      <c r="N507" s="8"/>
      <c r="O507" s="8"/>
      <c r="P507" s="8"/>
      <c r="Q507" s="8"/>
      <c r="R507" s="8"/>
      <c r="S507" s="8"/>
      <c r="T507" s="8"/>
      <c r="U507" s="12"/>
      <c r="V507" s="12"/>
      <c r="W507" s="12"/>
      <c r="X507" s="12"/>
      <c r="Y507" s="12"/>
      <c r="Z507" s="12"/>
      <c r="AA507" s="12"/>
      <c r="AB507" s="12"/>
      <c r="AC507" s="12"/>
      <c r="AD507" s="12"/>
      <c r="AE507" s="12"/>
      <c r="AF507" s="12"/>
    </row>
    <row r="508" spans="1:32">
      <c r="A508" s="8"/>
      <c r="B508" s="8"/>
      <c r="C508" s="8"/>
      <c r="D508" s="8"/>
      <c r="E508" s="8"/>
      <c r="F508" s="8"/>
      <c r="G508" s="8"/>
      <c r="H508" s="8"/>
      <c r="I508" s="8"/>
      <c r="J508" s="8"/>
      <c r="K508" s="8"/>
      <c r="L508" s="8"/>
      <c r="M508" s="8"/>
      <c r="N508" s="8"/>
      <c r="O508" s="8"/>
      <c r="P508" s="8"/>
      <c r="Q508" s="8"/>
      <c r="R508" s="8"/>
      <c r="S508" s="8"/>
      <c r="T508" s="8"/>
      <c r="U508" s="12"/>
      <c r="V508" s="12"/>
      <c r="W508" s="12"/>
      <c r="X508" s="12"/>
      <c r="Y508" s="12"/>
      <c r="Z508" s="12"/>
      <c r="AA508" s="12"/>
      <c r="AB508" s="12"/>
      <c r="AC508" s="12"/>
      <c r="AD508" s="12"/>
      <c r="AE508" s="12"/>
      <c r="AF508" s="12"/>
    </row>
    <row r="509" spans="1:32">
      <c r="A509" s="8"/>
      <c r="B509" s="8"/>
      <c r="C509" s="8"/>
      <c r="D509" s="8"/>
      <c r="E509" s="8"/>
      <c r="F509" s="8"/>
      <c r="G509" s="8"/>
      <c r="H509" s="8"/>
      <c r="I509" s="8"/>
      <c r="J509" s="8"/>
      <c r="K509" s="8"/>
      <c r="L509" s="8"/>
      <c r="M509" s="8"/>
      <c r="N509" s="8"/>
      <c r="O509" s="8"/>
      <c r="P509" s="8"/>
      <c r="Q509" s="8"/>
      <c r="R509" s="8"/>
      <c r="S509" s="8"/>
      <c r="T509" s="8"/>
      <c r="U509" s="12"/>
      <c r="V509" s="12"/>
      <c r="W509" s="12"/>
      <c r="X509" s="12"/>
      <c r="Y509" s="12"/>
      <c r="Z509" s="12"/>
      <c r="AA509" s="12"/>
      <c r="AB509" s="12"/>
      <c r="AC509" s="12"/>
      <c r="AD509" s="12"/>
      <c r="AE509" s="12"/>
      <c r="AF509" s="12"/>
    </row>
    <row r="510" spans="1:32">
      <c r="A510" s="8"/>
      <c r="B510" s="8"/>
      <c r="C510" s="8"/>
      <c r="D510" s="8"/>
      <c r="E510" s="8"/>
      <c r="F510" s="8"/>
      <c r="G510" s="8"/>
      <c r="H510" s="8"/>
      <c r="I510" s="8"/>
      <c r="J510" s="8"/>
      <c r="K510" s="8"/>
      <c r="L510" s="8"/>
      <c r="M510" s="8"/>
      <c r="N510" s="8"/>
      <c r="O510" s="8"/>
      <c r="P510" s="8"/>
      <c r="Q510" s="8"/>
      <c r="R510" s="8"/>
      <c r="S510" s="8"/>
      <c r="T510" s="8"/>
      <c r="U510" s="12"/>
      <c r="V510" s="12"/>
      <c r="W510" s="12"/>
      <c r="X510" s="12"/>
      <c r="Y510" s="12"/>
      <c r="Z510" s="12"/>
      <c r="AA510" s="12"/>
      <c r="AB510" s="12"/>
      <c r="AC510" s="12"/>
      <c r="AD510" s="12"/>
      <c r="AE510" s="12"/>
      <c r="AF510" s="12"/>
    </row>
    <row r="511" spans="1:32">
      <c r="A511" s="8"/>
      <c r="B511" s="8"/>
      <c r="C511" s="8"/>
      <c r="D511" s="8"/>
      <c r="E511" s="8"/>
      <c r="F511" s="8"/>
      <c r="G511" s="8"/>
      <c r="H511" s="8"/>
      <c r="I511" s="8"/>
      <c r="J511" s="8"/>
      <c r="K511" s="8"/>
      <c r="L511" s="8"/>
      <c r="M511" s="8"/>
      <c r="N511" s="8"/>
      <c r="O511" s="8"/>
      <c r="P511" s="8"/>
      <c r="Q511" s="8"/>
      <c r="R511" s="8"/>
      <c r="S511" s="8"/>
      <c r="T511" s="8"/>
      <c r="U511" s="12"/>
      <c r="V511" s="12"/>
      <c r="W511" s="12"/>
      <c r="X511" s="12"/>
      <c r="Y511" s="12"/>
      <c r="Z511" s="12"/>
      <c r="AA511" s="12"/>
      <c r="AB511" s="12"/>
      <c r="AC511" s="12"/>
      <c r="AD511" s="12"/>
      <c r="AE511" s="12"/>
      <c r="AF511" s="12"/>
    </row>
    <row r="512" spans="1:32">
      <c r="A512" s="8"/>
      <c r="B512" s="8"/>
      <c r="C512" s="8"/>
      <c r="D512" s="8"/>
      <c r="E512" s="8"/>
      <c r="F512" s="8"/>
      <c r="G512" s="8"/>
      <c r="H512" s="8"/>
      <c r="I512" s="8"/>
      <c r="J512" s="8"/>
      <c r="K512" s="8"/>
      <c r="L512" s="8"/>
      <c r="M512" s="8"/>
      <c r="N512" s="8"/>
      <c r="O512" s="8"/>
      <c r="P512" s="8"/>
      <c r="Q512" s="8"/>
      <c r="R512" s="8"/>
      <c r="S512" s="8"/>
      <c r="T512" s="8"/>
      <c r="U512" s="12"/>
      <c r="V512" s="12"/>
      <c r="W512" s="12"/>
      <c r="X512" s="12"/>
      <c r="Y512" s="12"/>
      <c r="Z512" s="12"/>
      <c r="AA512" s="12"/>
      <c r="AB512" s="12"/>
      <c r="AC512" s="12"/>
      <c r="AD512" s="12"/>
      <c r="AE512" s="12"/>
      <c r="AF512" s="12"/>
    </row>
    <row r="513" spans="1:32">
      <c r="A513" s="8"/>
      <c r="B513" s="8"/>
      <c r="C513" s="8"/>
      <c r="D513" s="8"/>
      <c r="E513" s="8"/>
      <c r="F513" s="8"/>
      <c r="G513" s="8"/>
      <c r="H513" s="8"/>
      <c r="I513" s="8"/>
      <c r="J513" s="8"/>
      <c r="K513" s="8"/>
      <c r="L513" s="8"/>
      <c r="M513" s="8"/>
      <c r="N513" s="8"/>
      <c r="O513" s="8"/>
      <c r="P513" s="8"/>
      <c r="Q513" s="8"/>
      <c r="R513" s="8"/>
      <c r="S513" s="8"/>
      <c r="T513" s="8"/>
      <c r="U513" s="12"/>
      <c r="V513" s="12"/>
      <c r="W513" s="12"/>
      <c r="X513" s="12"/>
      <c r="Y513" s="12"/>
      <c r="Z513" s="12"/>
      <c r="AA513" s="12"/>
      <c r="AB513" s="12"/>
      <c r="AC513" s="12"/>
      <c r="AD513" s="12"/>
      <c r="AE513" s="12"/>
      <c r="AF513" s="12"/>
    </row>
    <row r="514" spans="1:32">
      <c r="A514" s="8"/>
      <c r="B514" s="8"/>
      <c r="C514" s="8"/>
      <c r="D514" s="8"/>
      <c r="E514" s="8"/>
      <c r="F514" s="8"/>
      <c r="G514" s="8"/>
      <c r="H514" s="8"/>
      <c r="I514" s="8"/>
      <c r="J514" s="8"/>
      <c r="K514" s="8"/>
      <c r="L514" s="8"/>
      <c r="M514" s="8"/>
      <c r="N514" s="8"/>
      <c r="O514" s="8"/>
      <c r="P514" s="8"/>
      <c r="Q514" s="8"/>
      <c r="R514" s="8"/>
      <c r="S514" s="8"/>
      <c r="T514" s="8"/>
      <c r="U514" s="12"/>
      <c r="V514" s="12"/>
      <c r="W514" s="12"/>
      <c r="X514" s="12"/>
      <c r="Y514" s="12"/>
      <c r="Z514" s="12"/>
      <c r="AA514" s="12"/>
      <c r="AB514" s="12"/>
      <c r="AC514" s="12"/>
      <c r="AD514" s="12"/>
      <c r="AE514" s="12"/>
      <c r="AF514" s="12"/>
    </row>
    <row r="515" spans="1:32">
      <c r="A515" s="8"/>
      <c r="B515" s="8"/>
      <c r="C515" s="8"/>
      <c r="D515" s="8"/>
      <c r="E515" s="8"/>
      <c r="F515" s="8"/>
      <c r="G515" s="8"/>
      <c r="H515" s="8"/>
      <c r="I515" s="8"/>
      <c r="J515" s="8"/>
      <c r="K515" s="8"/>
      <c r="L515" s="8"/>
      <c r="M515" s="8"/>
      <c r="N515" s="8"/>
      <c r="O515" s="8"/>
      <c r="P515" s="8"/>
      <c r="Q515" s="8"/>
      <c r="R515" s="8"/>
      <c r="S515" s="8"/>
      <c r="T515" s="8"/>
      <c r="U515" s="12"/>
      <c r="V515" s="12"/>
      <c r="W515" s="12"/>
      <c r="X515" s="12"/>
      <c r="Y515" s="12"/>
      <c r="Z515" s="12"/>
      <c r="AA515" s="12"/>
      <c r="AB515" s="12"/>
      <c r="AC515" s="12"/>
      <c r="AD515" s="12"/>
      <c r="AE515" s="12"/>
      <c r="AF515" s="12"/>
    </row>
    <row r="516" spans="1:32">
      <c r="A516" s="8"/>
      <c r="B516" s="8"/>
      <c r="C516" s="8"/>
      <c r="D516" s="8"/>
      <c r="E516" s="8"/>
      <c r="F516" s="8"/>
      <c r="G516" s="8"/>
      <c r="H516" s="8"/>
      <c r="I516" s="8"/>
      <c r="J516" s="8"/>
      <c r="K516" s="8"/>
      <c r="L516" s="8"/>
      <c r="M516" s="8"/>
      <c r="N516" s="8"/>
      <c r="O516" s="8"/>
      <c r="P516" s="8"/>
      <c r="Q516" s="8"/>
      <c r="R516" s="8"/>
      <c r="S516" s="8"/>
      <c r="T516" s="8"/>
      <c r="U516" s="12"/>
      <c r="V516" s="12"/>
      <c r="W516" s="12"/>
      <c r="X516" s="12"/>
      <c r="Y516" s="12"/>
      <c r="Z516" s="12"/>
      <c r="AA516" s="12"/>
      <c r="AB516" s="12"/>
      <c r="AC516" s="12"/>
      <c r="AD516" s="12"/>
      <c r="AE516" s="12"/>
      <c r="AF516" s="12"/>
    </row>
    <row r="517" spans="1:32">
      <c r="A517" s="8"/>
      <c r="B517" s="8"/>
      <c r="C517" s="8"/>
      <c r="D517" s="8"/>
      <c r="E517" s="8"/>
      <c r="F517" s="8"/>
      <c r="G517" s="8"/>
      <c r="H517" s="8"/>
      <c r="I517" s="8"/>
      <c r="J517" s="8"/>
      <c r="K517" s="8"/>
      <c r="L517" s="8"/>
      <c r="M517" s="8"/>
      <c r="N517" s="8"/>
      <c r="O517" s="8"/>
      <c r="P517" s="8"/>
      <c r="Q517" s="8"/>
      <c r="R517" s="8"/>
      <c r="S517" s="8"/>
      <c r="T517" s="8"/>
      <c r="U517" s="12"/>
      <c r="V517" s="12"/>
      <c r="W517" s="12"/>
      <c r="X517" s="12"/>
      <c r="Y517" s="12"/>
      <c r="Z517" s="12"/>
      <c r="AA517" s="12"/>
      <c r="AB517" s="12"/>
      <c r="AC517" s="12"/>
      <c r="AD517" s="12"/>
      <c r="AE517" s="12"/>
      <c r="AF517" s="12"/>
    </row>
    <row r="518" spans="1:32">
      <c r="A518" s="8"/>
      <c r="B518" s="8"/>
      <c r="C518" s="8"/>
      <c r="D518" s="8"/>
      <c r="E518" s="8"/>
      <c r="F518" s="8"/>
      <c r="G518" s="8"/>
      <c r="H518" s="8"/>
      <c r="I518" s="8"/>
      <c r="J518" s="8"/>
      <c r="K518" s="8"/>
      <c r="L518" s="8"/>
      <c r="M518" s="8"/>
      <c r="N518" s="8"/>
      <c r="O518" s="8"/>
      <c r="P518" s="8"/>
      <c r="Q518" s="8"/>
      <c r="R518" s="8"/>
      <c r="S518" s="8"/>
      <c r="T518" s="8"/>
      <c r="U518" s="12"/>
      <c r="V518" s="12"/>
      <c r="W518" s="12"/>
      <c r="X518" s="12"/>
      <c r="Y518" s="12"/>
      <c r="Z518" s="12"/>
      <c r="AA518" s="12"/>
      <c r="AB518" s="12"/>
      <c r="AC518" s="12"/>
      <c r="AD518" s="12"/>
      <c r="AE518" s="12"/>
      <c r="AF518" s="12"/>
    </row>
    <row r="519" spans="1:32">
      <c r="A519" s="8"/>
      <c r="B519" s="8"/>
      <c r="C519" s="8"/>
      <c r="D519" s="8"/>
      <c r="E519" s="8"/>
      <c r="F519" s="8"/>
      <c r="G519" s="8"/>
      <c r="H519" s="8"/>
      <c r="I519" s="8"/>
      <c r="J519" s="8"/>
      <c r="K519" s="8"/>
      <c r="L519" s="8"/>
      <c r="M519" s="8"/>
      <c r="N519" s="8"/>
      <c r="O519" s="8"/>
      <c r="P519" s="8"/>
      <c r="Q519" s="8"/>
      <c r="R519" s="8"/>
      <c r="S519" s="8"/>
      <c r="T519" s="8"/>
      <c r="U519" s="12"/>
      <c r="V519" s="12"/>
      <c r="W519" s="12"/>
      <c r="X519" s="12"/>
      <c r="Y519" s="12"/>
      <c r="Z519" s="12"/>
      <c r="AA519" s="12"/>
      <c r="AB519" s="12"/>
      <c r="AC519" s="12"/>
      <c r="AD519" s="12"/>
      <c r="AE519" s="12"/>
      <c r="AF519" s="12"/>
    </row>
    <row r="520" spans="1:32">
      <c r="A520" s="8"/>
      <c r="B520" s="8"/>
      <c r="C520" s="8"/>
      <c r="D520" s="8"/>
      <c r="E520" s="8"/>
      <c r="F520" s="8"/>
      <c r="G520" s="8"/>
      <c r="H520" s="8"/>
      <c r="I520" s="8"/>
      <c r="J520" s="8"/>
      <c r="K520" s="8"/>
      <c r="L520" s="8"/>
      <c r="M520" s="8"/>
      <c r="N520" s="8"/>
      <c r="O520" s="8"/>
      <c r="P520" s="8"/>
      <c r="Q520" s="8"/>
      <c r="R520" s="8"/>
      <c r="S520" s="8"/>
      <c r="T520" s="8"/>
      <c r="U520" s="12"/>
      <c r="V520" s="12"/>
      <c r="W520" s="12"/>
      <c r="X520" s="12"/>
      <c r="Y520" s="12"/>
      <c r="Z520" s="12"/>
      <c r="AA520" s="12"/>
      <c r="AB520" s="12"/>
      <c r="AC520" s="12"/>
      <c r="AD520" s="12"/>
      <c r="AE520" s="12"/>
      <c r="AF520" s="12"/>
    </row>
    <row r="521" spans="1:32">
      <c r="A521" s="8"/>
      <c r="B521" s="8"/>
      <c r="C521" s="8"/>
      <c r="D521" s="8"/>
      <c r="E521" s="8"/>
      <c r="F521" s="8"/>
      <c r="G521" s="8"/>
      <c r="H521" s="8"/>
      <c r="I521" s="8"/>
      <c r="J521" s="8"/>
      <c r="K521" s="8"/>
      <c r="L521" s="8"/>
      <c r="M521" s="8"/>
      <c r="N521" s="8"/>
      <c r="O521" s="8"/>
      <c r="P521" s="8"/>
      <c r="Q521" s="8"/>
      <c r="R521" s="8"/>
      <c r="S521" s="8"/>
      <c r="T521" s="8"/>
      <c r="U521" s="12"/>
      <c r="V521" s="12"/>
      <c r="W521" s="12"/>
      <c r="X521" s="12"/>
      <c r="Y521" s="12"/>
      <c r="Z521" s="12"/>
      <c r="AA521" s="12"/>
      <c r="AB521" s="12"/>
      <c r="AC521" s="12"/>
      <c r="AD521" s="12"/>
      <c r="AE521" s="12"/>
      <c r="AF521" s="12"/>
    </row>
    <row r="522" spans="1:32">
      <c r="A522" s="8"/>
      <c r="B522" s="8"/>
      <c r="C522" s="8"/>
      <c r="D522" s="8"/>
      <c r="E522" s="8"/>
      <c r="F522" s="8"/>
      <c r="G522" s="8"/>
      <c r="H522" s="8"/>
      <c r="I522" s="8"/>
      <c r="J522" s="8"/>
      <c r="K522" s="8"/>
      <c r="L522" s="8"/>
      <c r="M522" s="8"/>
      <c r="N522" s="8"/>
      <c r="O522" s="8"/>
      <c r="P522" s="8"/>
      <c r="Q522" s="8"/>
      <c r="R522" s="8"/>
      <c r="S522" s="8"/>
      <c r="T522" s="8"/>
      <c r="U522" s="12"/>
      <c r="V522" s="12"/>
      <c r="W522" s="12"/>
      <c r="X522" s="12"/>
      <c r="Y522" s="12"/>
      <c r="Z522" s="12"/>
      <c r="AA522" s="12"/>
      <c r="AB522" s="12"/>
      <c r="AC522" s="12"/>
      <c r="AD522" s="12"/>
      <c r="AE522" s="12"/>
      <c r="AF522" s="12"/>
    </row>
    <row r="523" spans="1:32">
      <c r="A523" s="8"/>
      <c r="B523" s="8"/>
      <c r="C523" s="8"/>
      <c r="D523" s="8"/>
      <c r="E523" s="8"/>
      <c r="F523" s="8"/>
      <c r="G523" s="8"/>
      <c r="H523" s="8"/>
      <c r="I523" s="8"/>
      <c r="J523" s="8"/>
      <c r="K523" s="8"/>
      <c r="L523" s="8"/>
      <c r="M523" s="8"/>
      <c r="N523" s="8"/>
      <c r="O523" s="8"/>
      <c r="P523" s="8"/>
      <c r="Q523" s="8"/>
      <c r="R523" s="8"/>
      <c r="S523" s="8"/>
      <c r="T523" s="8"/>
      <c r="U523" s="12"/>
      <c r="V523" s="12"/>
      <c r="W523" s="12"/>
      <c r="X523" s="12"/>
      <c r="Y523" s="12"/>
      <c r="Z523" s="12"/>
      <c r="AA523" s="12"/>
      <c r="AB523" s="12"/>
      <c r="AC523" s="12"/>
      <c r="AD523" s="12"/>
      <c r="AE523" s="12"/>
      <c r="AF523" s="12"/>
    </row>
    <row r="524" spans="1:32">
      <c r="A524" s="8"/>
      <c r="B524" s="8"/>
      <c r="C524" s="8"/>
      <c r="D524" s="8"/>
      <c r="E524" s="8"/>
      <c r="F524" s="8"/>
      <c r="G524" s="8"/>
      <c r="H524" s="8"/>
      <c r="I524" s="8"/>
      <c r="J524" s="8"/>
      <c r="K524" s="8"/>
      <c r="L524" s="8"/>
      <c r="M524" s="8"/>
      <c r="N524" s="8"/>
      <c r="O524" s="8"/>
      <c r="P524" s="8"/>
      <c r="Q524" s="8"/>
      <c r="R524" s="8"/>
      <c r="S524" s="8"/>
      <c r="T524" s="8"/>
      <c r="U524" s="12"/>
      <c r="V524" s="12"/>
      <c r="W524" s="12"/>
      <c r="X524" s="12"/>
      <c r="Y524" s="12"/>
      <c r="Z524" s="12"/>
      <c r="AA524" s="12"/>
      <c r="AB524" s="12"/>
      <c r="AC524" s="12"/>
      <c r="AD524" s="12"/>
      <c r="AE524" s="12"/>
      <c r="AF524" s="12"/>
    </row>
    <row r="525" spans="1:32">
      <c r="A525" s="8"/>
      <c r="B525" s="8"/>
      <c r="C525" s="8"/>
      <c r="D525" s="8"/>
      <c r="E525" s="8"/>
      <c r="F525" s="8"/>
      <c r="G525" s="8"/>
      <c r="H525" s="8"/>
      <c r="I525" s="8"/>
      <c r="J525" s="8"/>
      <c r="K525" s="8"/>
      <c r="L525" s="8"/>
      <c r="M525" s="8"/>
      <c r="N525" s="8"/>
      <c r="O525" s="8"/>
      <c r="P525" s="8"/>
      <c r="Q525" s="8"/>
      <c r="R525" s="8"/>
      <c r="S525" s="8"/>
      <c r="T525" s="8"/>
      <c r="U525" s="12"/>
      <c r="V525" s="12"/>
      <c r="W525" s="12"/>
      <c r="X525" s="12"/>
      <c r="Y525" s="12"/>
      <c r="Z525" s="12"/>
      <c r="AA525" s="12"/>
      <c r="AB525" s="12"/>
      <c r="AC525" s="12"/>
      <c r="AD525" s="12"/>
      <c r="AE525" s="12"/>
      <c r="AF525" s="12"/>
    </row>
    <row r="526" spans="1:32">
      <c r="A526" s="8"/>
      <c r="B526" s="8"/>
      <c r="C526" s="8"/>
      <c r="D526" s="8"/>
      <c r="E526" s="8"/>
      <c r="F526" s="8"/>
      <c r="G526" s="8"/>
      <c r="H526" s="8"/>
      <c r="I526" s="8"/>
      <c r="J526" s="8"/>
      <c r="K526" s="8"/>
      <c r="L526" s="8"/>
      <c r="M526" s="8"/>
      <c r="N526" s="8"/>
      <c r="O526" s="8"/>
      <c r="P526" s="8"/>
      <c r="Q526" s="8"/>
      <c r="R526" s="8"/>
      <c r="S526" s="8"/>
      <c r="T526" s="8"/>
      <c r="U526" s="12"/>
      <c r="V526" s="12"/>
      <c r="W526" s="12"/>
      <c r="X526" s="12"/>
      <c r="Y526" s="12"/>
      <c r="Z526" s="12"/>
      <c r="AA526" s="12"/>
      <c r="AB526" s="12"/>
      <c r="AC526" s="12"/>
      <c r="AD526" s="12"/>
      <c r="AE526" s="12"/>
      <c r="AF526" s="12"/>
    </row>
    <row r="527" spans="1:32">
      <c r="A527" s="8"/>
      <c r="B527" s="8"/>
      <c r="C527" s="8"/>
      <c r="D527" s="8"/>
      <c r="E527" s="8"/>
      <c r="F527" s="8"/>
      <c r="G527" s="8"/>
      <c r="H527" s="8"/>
      <c r="I527" s="8"/>
      <c r="J527" s="8"/>
      <c r="K527" s="8"/>
      <c r="L527" s="8"/>
      <c r="M527" s="8"/>
      <c r="N527" s="8"/>
      <c r="O527" s="8"/>
      <c r="P527" s="8"/>
      <c r="Q527" s="8"/>
      <c r="R527" s="8"/>
      <c r="S527" s="8"/>
      <c r="T527" s="8"/>
      <c r="U527" s="12"/>
      <c r="V527" s="12"/>
      <c r="W527" s="12"/>
      <c r="X527" s="12"/>
      <c r="Y527" s="12"/>
      <c r="Z527" s="12"/>
      <c r="AA527" s="12"/>
      <c r="AB527" s="12"/>
      <c r="AC527" s="12"/>
      <c r="AD527" s="12"/>
      <c r="AE527" s="12"/>
      <c r="AF527" s="12"/>
    </row>
    <row r="528" spans="1:32">
      <c r="A528" s="8"/>
      <c r="B528" s="8"/>
      <c r="C528" s="8"/>
      <c r="D528" s="8"/>
      <c r="E528" s="8"/>
      <c r="F528" s="8"/>
      <c r="G528" s="8"/>
      <c r="H528" s="8"/>
      <c r="I528" s="8"/>
      <c r="J528" s="8"/>
      <c r="K528" s="8"/>
      <c r="L528" s="8"/>
      <c r="M528" s="8"/>
      <c r="N528" s="8"/>
      <c r="O528" s="8"/>
      <c r="P528" s="8"/>
      <c r="Q528" s="8"/>
      <c r="R528" s="8"/>
      <c r="S528" s="8"/>
      <c r="T528" s="8"/>
      <c r="U528" s="12"/>
      <c r="V528" s="12"/>
      <c r="W528" s="12"/>
      <c r="X528" s="12"/>
      <c r="Y528" s="12"/>
      <c r="Z528" s="12"/>
      <c r="AA528" s="12"/>
      <c r="AB528" s="12"/>
      <c r="AC528" s="12"/>
      <c r="AD528" s="12"/>
      <c r="AE528" s="12"/>
      <c r="AF528" s="12"/>
    </row>
    <row r="529" spans="1:32">
      <c r="A529" s="8"/>
      <c r="B529" s="8"/>
      <c r="C529" s="8"/>
      <c r="D529" s="8"/>
      <c r="E529" s="8"/>
      <c r="F529" s="8"/>
      <c r="G529" s="8"/>
      <c r="H529" s="8"/>
      <c r="I529" s="8"/>
      <c r="J529" s="8"/>
      <c r="K529" s="8"/>
      <c r="L529" s="8"/>
      <c r="M529" s="8"/>
      <c r="N529" s="8"/>
      <c r="O529" s="8"/>
      <c r="P529" s="8"/>
      <c r="Q529" s="8"/>
      <c r="R529" s="8"/>
      <c r="S529" s="8"/>
      <c r="T529" s="8"/>
      <c r="U529" s="12"/>
      <c r="V529" s="12"/>
      <c r="W529" s="12"/>
      <c r="X529" s="12"/>
      <c r="Y529" s="12"/>
      <c r="Z529" s="12"/>
      <c r="AA529" s="12"/>
      <c r="AB529" s="12"/>
      <c r="AC529" s="12"/>
      <c r="AD529" s="12"/>
      <c r="AE529" s="12"/>
      <c r="AF529" s="12"/>
    </row>
    <row r="530" spans="1:32">
      <c r="A530" s="8"/>
      <c r="B530" s="8"/>
      <c r="C530" s="8"/>
      <c r="D530" s="8"/>
      <c r="E530" s="8"/>
      <c r="F530" s="8"/>
      <c r="G530" s="8"/>
      <c r="H530" s="8"/>
      <c r="I530" s="8"/>
      <c r="J530" s="8"/>
      <c r="K530" s="8"/>
      <c r="L530" s="8"/>
      <c r="M530" s="8"/>
      <c r="N530" s="8"/>
      <c r="O530" s="8"/>
      <c r="P530" s="8"/>
      <c r="Q530" s="8"/>
      <c r="R530" s="8"/>
      <c r="S530" s="8"/>
      <c r="T530" s="8"/>
      <c r="U530" s="12"/>
      <c r="V530" s="12"/>
      <c r="W530" s="12"/>
      <c r="X530" s="12"/>
      <c r="Y530" s="12"/>
      <c r="Z530" s="12"/>
      <c r="AA530" s="12"/>
      <c r="AB530" s="12"/>
      <c r="AC530" s="12"/>
      <c r="AD530" s="12"/>
      <c r="AE530" s="12"/>
      <c r="AF530" s="12"/>
    </row>
    <row r="531" spans="1:32">
      <c r="A531" s="8"/>
      <c r="B531" s="8"/>
      <c r="C531" s="8"/>
      <c r="D531" s="8"/>
      <c r="E531" s="8"/>
      <c r="F531" s="8"/>
      <c r="G531" s="8"/>
      <c r="H531" s="8"/>
      <c r="I531" s="8"/>
      <c r="J531" s="8"/>
      <c r="K531" s="8"/>
      <c r="L531" s="8"/>
      <c r="M531" s="8"/>
      <c r="N531" s="8"/>
      <c r="O531" s="8"/>
      <c r="P531" s="8"/>
      <c r="Q531" s="8"/>
      <c r="R531" s="8"/>
      <c r="S531" s="8"/>
      <c r="T531" s="8"/>
      <c r="U531" s="12"/>
      <c r="V531" s="12"/>
      <c r="W531" s="12"/>
      <c r="X531" s="12"/>
      <c r="Y531" s="12"/>
      <c r="Z531" s="12"/>
      <c r="AA531" s="12"/>
      <c r="AB531" s="12"/>
      <c r="AC531" s="12"/>
      <c r="AD531" s="12"/>
      <c r="AE531" s="12"/>
      <c r="AF531" s="12"/>
    </row>
    <row r="532" spans="1:32">
      <c r="A532" s="8"/>
      <c r="B532" s="8"/>
      <c r="C532" s="8"/>
      <c r="D532" s="8"/>
      <c r="E532" s="8"/>
      <c r="F532" s="8"/>
      <c r="G532" s="8"/>
      <c r="H532" s="8"/>
      <c r="I532" s="8"/>
      <c r="J532" s="8"/>
      <c r="K532" s="8"/>
      <c r="L532" s="8"/>
      <c r="M532" s="8"/>
      <c r="N532" s="8"/>
      <c r="O532" s="8"/>
      <c r="P532" s="8"/>
      <c r="Q532" s="8"/>
      <c r="R532" s="8"/>
      <c r="S532" s="8"/>
      <c r="T532" s="8"/>
      <c r="U532" s="12"/>
      <c r="V532" s="12"/>
      <c r="W532" s="12"/>
      <c r="X532" s="12"/>
      <c r="Y532" s="12"/>
      <c r="Z532" s="12"/>
      <c r="AA532" s="12"/>
      <c r="AB532" s="12"/>
      <c r="AC532" s="12"/>
      <c r="AD532" s="12"/>
      <c r="AE532" s="12"/>
      <c r="AF532" s="12"/>
    </row>
    <row r="533" spans="1:32">
      <c r="A533" s="8"/>
      <c r="B533" s="8"/>
      <c r="C533" s="8"/>
      <c r="D533" s="8"/>
      <c r="E533" s="8"/>
      <c r="F533" s="8"/>
      <c r="G533" s="8"/>
      <c r="H533" s="8"/>
      <c r="I533" s="8"/>
      <c r="J533" s="8"/>
      <c r="K533" s="8"/>
      <c r="L533" s="8"/>
      <c r="M533" s="8"/>
      <c r="N533" s="8"/>
      <c r="O533" s="8"/>
      <c r="P533" s="8"/>
      <c r="Q533" s="8"/>
      <c r="R533" s="8"/>
      <c r="S533" s="8"/>
      <c r="T533" s="8"/>
      <c r="U533" s="12"/>
      <c r="V533" s="12"/>
      <c r="W533" s="12"/>
      <c r="X533" s="12"/>
      <c r="Y533" s="12"/>
      <c r="Z533" s="12"/>
      <c r="AA533" s="12"/>
      <c r="AB533" s="12"/>
      <c r="AC533" s="12"/>
      <c r="AD533" s="12"/>
      <c r="AE533" s="12"/>
      <c r="AF533" s="12"/>
    </row>
    <row r="534" spans="1:32">
      <c r="A534" s="8"/>
      <c r="B534" s="8"/>
      <c r="C534" s="8"/>
      <c r="D534" s="8"/>
      <c r="E534" s="8"/>
      <c r="F534" s="8"/>
      <c r="G534" s="8"/>
      <c r="H534" s="8"/>
      <c r="I534" s="8"/>
      <c r="J534" s="8"/>
      <c r="K534" s="8"/>
      <c r="L534" s="8"/>
      <c r="M534" s="8"/>
      <c r="N534" s="8"/>
      <c r="O534" s="8"/>
      <c r="P534" s="8"/>
      <c r="Q534" s="8"/>
      <c r="R534" s="8"/>
      <c r="S534" s="8"/>
      <c r="T534" s="8"/>
      <c r="U534" s="12"/>
      <c r="V534" s="12"/>
      <c r="W534" s="12"/>
      <c r="X534" s="12"/>
      <c r="Y534" s="12"/>
      <c r="Z534" s="12"/>
      <c r="AA534" s="12"/>
      <c r="AB534" s="12"/>
      <c r="AC534" s="12"/>
      <c r="AD534" s="12"/>
      <c r="AE534" s="12"/>
      <c r="AF534" s="12"/>
    </row>
    <row r="535" spans="1:32">
      <c r="A535" s="8"/>
      <c r="B535" s="8"/>
      <c r="C535" s="8"/>
      <c r="D535" s="8"/>
      <c r="E535" s="8"/>
      <c r="F535" s="8"/>
      <c r="G535" s="8"/>
      <c r="H535" s="8"/>
      <c r="I535" s="8"/>
      <c r="J535" s="8"/>
      <c r="K535" s="8"/>
      <c r="L535" s="8"/>
      <c r="M535" s="8"/>
      <c r="N535" s="8"/>
      <c r="O535" s="8"/>
      <c r="P535" s="8"/>
      <c r="Q535" s="8"/>
      <c r="R535" s="8"/>
      <c r="S535" s="8"/>
      <c r="T535" s="8"/>
      <c r="U535" s="12"/>
      <c r="V535" s="12"/>
      <c r="W535" s="12"/>
      <c r="X535" s="12"/>
      <c r="Y535" s="12"/>
      <c r="Z535" s="12"/>
      <c r="AA535" s="12"/>
      <c r="AB535" s="12"/>
      <c r="AC535" s="12"/>
      <c r="AD535" s="12"/>
      <c r="AE535" s="12"/>
      <c r="AF535" s="12"/>
    </row>
    <row r="536" spans="1:32">
      <c r="A536" s="8"/>
      <c r="B536" s="8"/>
      <c r="C536" s="8"/>
      <c r="D536" s="8"/>
      <c r="E536" s="8"/>
      <c r="F536" s="8"/>
      <c r="G536" s="8"/>
      <c r="H536" s="8"/>
      <c r="I536" s="8"/>
      <c r="J536" s="8"/>
      <c r="K536" s="8"/>
      <c r="L536" s="8"/>
      <c r="M536" s="8"/>
      <c r="N536" s="8"/>
      <c r="O536" s="8"/>
      <c r="P536" s="8"/>
      <c r="Q536" s="8"/>
      <c r="R536" s="8"/>
      <c r="S536" s="8"/>
      <c r="T536" s="8"/>
      <c r="U536" s="12"/>
      <c r="V536" s="12"/>
      <c r="W536" s="12"/>
      <c r="X536" s="12"/>
      <c r="Y536" s="12"/>
      <c r="Z536" s="12"/>
      <c r="AA536" s="12"/>
      <c r="AB536" s="12"/>
      <c r="AC536" s="12"/>
      <c r="AD536" s="12"/>
      <c r="AE536" s="12"/>
      <c r="AF536" s="12"/>
    </row>
    <row r="537" spans="1:32">
      <c r="A537" s="8"/>
      <c r="B537" s="8"/>
      <c r="C537" s="8"/>
      <c r="D537" s="8"/>
      <c r="E537" s="8"/>
      <c r="F537" s="8"/>
      <c r="G537" s="8"/>
      <c r="H537" s="8"/>
      <c r="I537" s="8"/>
      <c r="J537" s="8"/>
      <c r="K537" s="8"/>
      <c r="L537" s="8"/>
      <c r="M537" s="8"/>
      <c r="N537" s="8"/>
      <c r="O537" s="8"/>
      <c r="P537" s="8"/>
      <c r="Q537" s="8"/>
      <c r="R537" s="8"/>
      <c r="S537" s="8"/>
      <c r="T537" s="8"/>
      <c r="U537" s="12"/>
      <c r="V537" s="12"/>
      <c r="W537" s="12"/>
      <c r="X537" s="12"/>
      <c r="Y537" s="12"/>
      <c r="Z537" s="12"/>
      <c r="AA537" s="12"/>
      <c r="AB537" s="12"/>
      <c r="AC537" s="12"/>
      <c r="AD537" s="12"/>
      <c r="AE537" s="12"/>
      <c r="AF537" s="12"/>
    </row>
    <row r="538" spans="1:32">
      <c r="A538" s="8"/>
      <c r="B538" s="8"/>
      <c r="C538" s="8"/>
      <c r="D538" s="8"/>
      <c r="E538" s="8"/>
      <c r="F538" s="8"/>
      <c r="G538" s="8"/>
      <c r="H538" s="8"/>
      <c r="I538" s="8"/>
      <c r="J538" s="8"/>
      <c r="K538" s="8"/>
      <c r="L538" s="8"/>
      <c r="M538" s="8"/>
      <c r="N538" s="8"/>
      <c r="O538" s="8"/>
      <c r="P538" s="8"/>
      <c r="Q538" s="8"/>
      <c r="R538" s="8"/>
      <c r="S538" s="8"/>
      <c r="T538" s="8"/>
      <c r="U538" s="12"/>
      <c r="V538" s="12"/>
      <c r="W538" s="12"/>
      <c r="X538" s="12"/>
      <c r="Y538" s="12"/>
      <c r="Z538" s="12"/>
      <c r="AA538" s="12"/>
      <c r="AB538" s="12"/>
      <c r="AC538" s="12"/>
      <c r="AD538" s="12"/>
      <c r="AE538" s="12"/>
      <c r="AF538" s="12"/>
    </row>
    <row r="539" spans="1:32">
      <c r="A539" s="8"/>
      <c r="B539" s="8"/>
      <c r="C539" s="8"/>
      <c r="D539" s="8"/>
      <c r="E539" s="8"/>
      <c r="F539" s="8"/>
      <c r="G539" s="8"/>
      <c r="H539" s="8"/>
      <c r="I539" s="8"/>
      <c r="J539" s="8"/>
      <c r="K539" s="8"/>
      <c r="L539" s="8"/>
      <c r="M539" s="8"/>
      <c r="N539" s="8"/>
      <c r="O539" s="8"/>
      <c r="P539" s="8"/>
      <c r="Q539" s="8"/>
      <c r="R539" s="8"/>
      <c r="S539" s="8"/>
      <c r="T539" s="8"/>
      <c r="U539" s="12"/>
      <c r="V539" s="12"/>
      <c r="W539" s="12"/>
      <c r="X539" s="12"/>
      <c r="Y539" s="12"/>
      <c r="Z539" s="12"/>
      <c r="AA539" s="12"/>
      <c r="AB539" s="12"/>
      <c r="AC539" s="12"/>
      <c r="AD539" s="12"/>
      <c r="AE539" s="12"/>
      <c r="AF539" s="12"/>
    </row>
    <row r="540" spans="1:32">
      <c r="A540" s="8"/>
      <c r="B540" s="8"/>
      <c r="C540" s="8"/>
      <c r="D540" s="8"/>
      <c r="E540" s="8"/>
      <c r="F540" s="8"/>
      <c r="G540" s="8"/>
      <c r="H540" s="8"/>
      <c r="I540" s="8"/>
      <c r="J540" s="8"/>
      <c r="K540" s="8"/>
      <c r="L540" s="8"/>
      <c r="M540" s="8"/>
      <c r="N540" s="8"/>
      <c r="O540" s="8"/>
      <c r="P540" s="8"/>
      <c r="Q540" s="8"/>
      <c r="R540" s="8"/>
      <c r="S540" s="8"/>
      <c r="T540" s="8"/>
      <c r="U540" s="12"/>
      <c r="V540" s="12"/>
      <c r="W540" s="12"/>
      <c r="X540" s="12"/>
      <c r="Y540" s="12"/>
      <c r="Z540" s="12"/>
      <c r="AA540" s="12"/>
      <c r="AB540" s="12"/>
      <c r="AC540" s="12"/>
      <c r="AD540" s="12"/>
      <c r="AE540" s="12"/>
      <c r="AF540" s="12"/>
    </row>
    <row r="541" spans="1:32">
      <c r="A541" s="8"/>
      <c r="B541" s="8"/>
      <c r="C541" s="8"/>
      <c r="D541" s="8"/>
      <c r="E541" s="8"/>
      <c r="F541" s="8"/>
      <c r="G541" s="8"/>
      <c r="H541" s="8"/>
      <c r="I541" s="8"/>
      <c r="J541" s="8"/>
      <c r="K541" s="8"/>
      <c r="L541" s="8"/>
      <c r="M541" s="8"/>
      <c r="N541" s="8"/>
      <c r="O541" s="8"/>
      <c r="P541" s="8"/>
      <c r="Q541" s="8"/>
      <c r="R541" s="8"/>
      <c r="S541" s="8"/>
      <c r="T541" s="8"/>
      <c r="U541" s="12"/>
      <c r="V541" s="12"/>
      <c r="W541" s="12"/>
      <c r="X541" s="12"/>
      <c r="Y541" s="12"/>
      <c r="Z541" s="12"/>
      <c r="AA541" s="12"/>
      <c r="AB541" s="12"/>
      <c r="AC541" s="12"/>
      <c r="AD541" s="12"/>
      <c r="AE541" s="12"/>
      <c r="AF541" s="12"/>
    </row>
    <row r="542" spans="1:32">
      <c r="A542" s="8"/>
      <c r="B542" s="8"/>
      <c r="C542" s="8"/>
      <c r="D542" s="8"/>
      <c r="E542" s="8"/>
      <c r="F542" s="8"/>
      <c r="G542" s="8"/>
      <c r="H542" s="8"/>
      <c r="I542" s="8"/>
      <c r="J542" s="8"/>
      <c r="K542" s="8"/>
      <c r="L542" s="8"/>
      <c r="M542" s="8"/>
      <c r="N542" s="8"/>
      <c r="O542" s="8"/>
      <c r="P542" s="8"/>
      <c r="Q542" s="8"/>
      <c r="R542" s="8"/>
      <c r="S542" s="8"/>
      <c r="T542" s="8"/>
      <c r="U542" s="12"/>
      <c r="V542" s="12"/>
      <c r="W542" s="12"/>
      <c r="X542" s="12"/>
      <c r="Y542" s="12"/>
      <c r="Z542" s="12"/>
      <c r="AA542" s="12"/>
      <c r="AB542" s="12"/>
      <c r="AC542" s="12"/>
      <c r="AD542" s="12"/>
      <c r="AE542" s="12"/>
      <c r="AF542" s="12"/>
    </row>
    <row r="543" spans="1:32">
      <c r="A543" s="8"/>
      <c r="B543" s="8"/>
      <c r="C543" s="8"/>
      <c r="D543" s="8"/>
      <c r="E543" s="8"/>
      <c r="F543" s="8"/>
      <c r="G543" s="8"/>
      <c r="H543" s="8"/>
      <c r="I543" s="8"/>
      <c r="J543" s="8"/>
      <c r="K543" s="8"/>
      <c r="L543" s="8"/>
      <c r="M543" s="8"/>
      <c r="N543" s="8"/>
      <c r="O543" s="8"/>
      <c r="P543" s="8"/>
      <c r="Q543" s="8"/>
      <c r="R543" s="8"/>
      <c r="S543" s="8"/>
      <c r="T543" s="8"/>
      <c r="U543" s="12"/>
      <c r="V543" s="12"/>
      <c r="W543" s="12"/>
      <c r="X543" s="12"/>
      <c r="Y543" s="12"/>
      <c r="Z543" s="12"/>
      <c r="AA543" s="12"/>
      <c r="AB543" s="12"/>
      <c r="AC543" s="12"/>
      <c r="AD543" s="12"/>
      <c r="AE543" s="12"/>
      <c r="AF543" s="12"/>
    </row>
    <row r="544" spans="1:32">
      <c r="A544" s="8"/>
      <c r="B544" s="8"/>
      <c r="C544" s="8"/>
      <c r="D544" s="8"/>
      <c r="E544" s="8"/>
      <c r="F544" s="8"/>
      <c r="G544" s="8"/>
      <c r="H544" s="8"/>
      <c r="I544" s="8"/>
      <c r="J544" s="8"/>
      <c r="K544" s="8"/>
      <c r="L544" s="8"/>
      <c r="M544" s="8"/>
      <c r="N544" s="8"/>
      <c r="O544" s="8"/>
      <c r="P544" s="8"/>
      <c r="Q544" s="8"/>
      <c r="R544" s="8"/>
      <c r="S544" s="8"/>
      <c r="T544" s="8"/>
      <c r="U544" s="12"/>
      <c r="V544" s="12"/>
      <c r="W544" s="12"/>
      <c r="X544" s="12"/>
      <c r="Y544" s="12"/>
      <c r="Z544" s="12"/>
      <c r="AA544" s="12"/>
      <c r="AB544" s="12"/>
      <c r="AC544" s="12"/>
      <c r="AD544" s="12"/>
      <c r="AE544" s="12"/>
      <c r="AF544" s="12"/>
    </row>
    <row r="545" spans="1:32">
      <c r="A545" s="8"/>
      <c r="B545" s="8"/>
      <c r="C545" s="8"/>
      <c r="D545" s="8"/>
      <c r="E545" s="8"/>
      <c r="F545" s="8"/>
      <c r="G545" s="8"/>
      <c r="H545" s="8"/>
      <c r="I545" s="8"/>
      <c r="J545" s="8"/>
      <c r="K545" s="8"/>
      <c r="L545" s="8"/>
      <c r="M545" s="8"/>
      <c r="N545" s="8"/>
      <c r="O545" s="8"/>
      <c r="P545" s="8"/>
      <c r="Q545" s="8"/>
      <c r="R545" s="8"/>
      <c r="S545" s="8"/>
      <c r="T545" s="8"/>
      <c r="U545" s="12"/>
      <c r="V545" s="12"/>
      <c r="W545" s="12"/>
      <c r="X545" s="12"/>
      <c r="Y545" s="12"/>
      <c r="Z545" s="12"/>
      <c r="AA545" s="12"/>
      <c r="AB545" s="12"/>
      <c r="AC545" s="12"/>
      <c r="AD545" s="12"/>
      <c r="AE545" s="12"/>
      <c r="AF545" s="12"/>
    </row>
    <row r="546" spans="1:32">
      <c r="A546" s="8"/>
      <c r="B546" s="8"/>
      <c r="C546" s="8"/>
      <c r="D546" s="8"/>
      <c r="E546" s="8"/>
      <c r="F546" s="8"/>
      <c r="G546" s="8"/>
      <c r="H546" s="8"/>
      <c r="I546" s="8"/>
      <c r="J546" s="8"/>
      <c r="K546" s="8"/>
      <c r="L546" s="8"/>
      <c r="M546" s="8"/>
      <c r="N546" s="8"/>
      <c r="O546" s="8"/>
      <c r="P546" s="8"/>
      <c r="Q546" s="8"/>
      <c r="R546" s="8"/>
      <c r="S546" s="8"/>
      <c r="T546" s="8"/>
      <c r="U546" s="12"/>
      <c r="V546" s="12"/>
      <c r="W546" s="12"/>
      <c r="X546" s="12"/>
      <c r="Y546" s="12"/>
      <c r="Z546" s="12"/>
      <c r="AA546" s="12"/>
      <c r="AB546" s="12"/>
      <c r="AC546" s="12"/>
      <c r="AD546" s="12"/>
      <c r="AE546" s="12"/>
      <c r="AF546" s="12"/>
    </row>
    <row r="547" spans="1:32">
      <c r="A547" s="8"/>
      <c r="B547" s="8"/>
      <c r="C547" s="8"/>
      <c r="D547" s="8"/>
      <c r="E547" s="8"/>
      <c r="F547" s="8"/>
      <c r="G547" s="8"/>
      <c r="H547" s="8"/>
      <c r="I547" s="8"/>
      <c r="J547" s="8"/>
      <c r="K547" s="8"/>
      <c r="L547" s="8"/>
      <c r="M547" s="8"/>
      <c r="N547" s="8"/>
      <c r="O547" s="8"/>
      <c r="P547" s="8"/>
      <c r="Q547" s="8"/>
      <c r="R547" s="8"/>
      <c r="S547" s="8"/>
      <c r="T547" s="8"/>
      <c r="U547" s="12"/>
      <c r="V547" s="12"/>
      <c r="W547" s="12"/>
      <c r="X547" s="12"/>
      <c r="Y547" s="12"/>
      <c r="Z547" s="12"/>
      <c r="AA547" s="12"/>
      <c r="AB547" s="12"/>
      <c r="AC547" s="12"/>
      <c r="AD547" s="12"/>
      <c r="AE547" s="12"/>
      <c r="AF547" s="12"/>
    </row>
    <row r="548" spans="1:32">
      <c r="A548" s="8"/>
      <c r="B548" s="8"/>
      <c r="C548" s="8"/>
      <c r="D548" s="8"/>
      <c r="E548" s="8"/>
      <c r="F548" s="8"/>
      <c r="G548" s="8"/>
      <c r="H548" s="8"/>
      <c r="I548" s="8"/>
      <c r="J548" s="8"/>
      <c r="K548" s="8"/>
      <c r="L548" s="8"/>
      <c r="M548" s="8"/>
      <c r="N548" s="8"/>
      <c r="O548" s="8"/>
      <c r="P548" s="8"/>
      <c r="Q548" s="8"/>
      <c r="R548" s="8"/>
      <c r="S548" s="8"/>
      <c r="T548" s="8"/>
      <c r="U548" s="12"/>
      <c r="V548" s="12"/>
      <c r="W548" s="12"/>
      <c r="X548" s="12"/>
      <c r="Y548" s="12"/>
      <c r="Z548" s="12"/>
      <c r="AA548" s="12"/>
      <c r="AB548" s="12"/>
      <c r="AC548" s="12"/>
      <c r="AD548" s="12"/>
      <c r="AE548" s="12"/>
      <c r="AF548" s="12"/>
    </row>
    <row r="549" spans="1:32">
      <c r="A549" s="8"/>
      <c r="B549" s="8"/>
      <c r="C549" s="8"/>
      <c r="D549" s="8"/>
      <c r="E549" s="8"/>
      <c r="F549" s="8"/>
      <c r="G549" s="8"/>
      <c r="H549" s="8"/>
      <c r="I549" s="8"/>
      <c r="J549" s="8"/>
      <c r="K549" s="8"/>
      <c r="L549" s="8"/>
      <c r="M549" s="8"/>
      <c r="N549" s="8"/>
      <c r="O549" s="8"/>
      <c r="P549" s="8"/>
      <c r="Q549" s="8"/>
      <c r="R549" s="8"/>
      <c r="S549" s="8"/>
      <c r="T549" s="8"/>
      <c r="U549" s="12"/>
      <c r="V549" s="12"/>
      <c r="W549" s="12"/>
      <c r="X549" s="12"/>
      <c r="Y549" s="12"/>
      <c r="Z549" s="12"/>
      <c r="AA549" s="12"/>
      <c r="AB549" s="12"/>
      <c r="AC549" s="12"/>
      <c r="AD549" s="12"/>
      <c r="AE549" s="12"/>
      <c r="AF549" s="12"/>
    </row>
    <row r="550" spans="1:32">
      <c r="A550" s="8"/>
      <c r="B550" s="8"/>
      <c r="C550" s="8"/>
      <c r="D550" s="8"/>
      <c r="E550" s="8"/>
      <c r="F550" s="8"/>
      <c r="G550" s="8"/>
      <c r="H550" s="8"/>
      <c r="I550" s="8"/>
      <c r="J550" s="8"/>
      <c r="K550" s="8"/>
      <c r="L550" s="8"/>
      <c r="M550" s="8"/>
      <c r="N550" s="8"/>
      <c r="O550" s="8"/>
      <c r="P550" s="8"/>
      <c r="Q550" s="8"/>
      <c r="R550" s="8"/>
      <c r="S550" s="8"/>
      <c r="T550" s="8"/>
      <c r="U550" s="12"/>
      <c r="V550" s="12"/>
      <c r="W550" s="12"/>
      <c r="X550" s="12"/>
      <c r="Y550" s="12"/>
      <c r="Z550" s="12"/>
      <c r="AA550" s="12"/>
      <c r="AB550" s="12"/>
      <c r="AC550" s="12"/>
      <c r="AD550" s="12"/>
      <c r="AE550" s="12"/>
      <c r="AF550" s="12"/>
    </row>
    <row r="551" spans="1:32">
      <c r="A551" s="8"/>
      <c r="B551" s="8"/>
      <c r="C551" s="8"/>
      <c r="D551" s="8"/>
      <c r="E551" s="8"/>
      <c r="F551" s="8"/>
      <c r="G551" s="8"/>
      <c r="H551" s="8"/>
      <c r="I551" s="8"/>
      <c r="J551" s="8"/>
      <c r="K551" s="8"/>
      <c r="L551" s="8"/>
      <c r="M551" s="8"/>
      <c r="N551" s="8"/>
      <c r="O551" s="8"/>
      <c r="P551" s="8"/>
      <c r="Q551" s="8"/>
      <c r="R551" s="8"/>
      <c r="S551" s="8"/>
      <c r="T551" s="8"/>
      <c r="U551" s="12"/>
      <c r="V551" s="12"/>
      <c r="W551" s="12"/>
      <c r="X551" s="12"/>
      <c r="Y551" s="12"/>
      <c r="Z551" s="12"/>
      <c r="AA551" s="12"/>
      <c r="AB551" s="12"/>
      <c r="AC551" s="12"/>
      <c r="AD551" s="12"/>
      <c r="AE551" s="12"/>
      <c r="AF551" s="12"/>
    </row>
    <row r="552" spans="1:32">
      <c r="A552" s="8"/>
      <c r="B552" s="8"/>
      <c r="C552" s="8"/>
      <c r="D552" s="8"/>
      <c r="E552" s="8"/>
      <c r="F552" s="8"/>
      <c r="G552" s="8"/>
      <c r="H552" s="8"/>
      <c r="I552" s="8"/>
      <c r="J552" s="8"/>
      <c r="K552" s="8"/>
      <c r="L552" s="8"/>
      <c r="M552" s="8"/>
      <c r="N552" s="8"/>
      <c r="O552" s="8"/>
      <c r="P552" s="8"/>
      <c r="Q552" s="8"/>
      <c r="R552" s="8"/>
      <c r="S552" s="8"/>
      <c r="T552" s="8"/>
      <c r="U552" s="12"/>
      <c r="V552" s="12"/>
      <c r="W552" s="12"/>
      <c r="X552" s="12"/>
      <c r="Y552" s="12"/>
      <c r="Z552" s="12"/>
      <c r="AA552" s="12"/>
      <c r="AB552" s="12"/>
      <c r="AC552" s="12"/>
      <c r="AD552" s="12"/>
      <c r="AE552" s="12"/>
      <c r="AF552" s="12"/>
    </row>
    <row r="553" spans="1:32">
      <c r="A553" s="8"/>
      <c r="B553" s="8"/>
      <c r="C553" s="8"/>
      <c r="D553" s="8"/>
      <c r="E553" s="8"/>
      <c r="F553" s="8"/>
      <c r="G553" s="8"/>
      <c r="H553" s="8"/>
      <c r="I553" s="8"/>
      <c r="J553" s="8"/>
      <c r="K553" s="8"/>
      <c r="L553" s="8"/>
      <c r="M553" s="8"/>
      <c r="N553" s="8"/>
      <c r="O553" s="8"/>
      <c r="P553" s="8"/>
      <c r="Q553" s="8"/>
      <c r="R553" s="8"/>
      <c r="S553" s="8"/>
      <c r="T553" s="8"/>
      <c r="U553" s="12"/>
      <c r="V553" s="12"/>
      <c r="W553" s="12"/>
      <c r="X553" s="12"/>
      <c r="Y553" s="12"/>
      <c r="Z553" s="12"/>
      <c r="AA553" s="12"/>
      <c r="AB553" s="12"/>
      <c r="AC553" s="12"/>
      <c r="AD553" s="12"/>
      <c r="AE553" s="12"/>
      <c r="AF553" s="12"/>
    </row>
    <row r="554" spans="1:32">
      <c r="A554" s="8"/>
      <c r="B554" s="8"/>
      <c r="C554" s="8"/>
      <c r="D554" s="8"/>
      <c r="E554" s="8"/>
      <c r="F554" s="8"/>
      <c r="G554" s="8"/>
      <c r="H554" s="8"/>
      <c r="I554" s="8"/>
      <c r="J554" s="8"/>
      <c r="K554" s="8"/>
      <c r="L554" s="8"/>
      <c r="M554" s="8"/>
      <c r="N554" s="8"/>
      <c r="O554" s="8"/>
      <c r="P554" s="8"/>
      <c r="Q554" s="8"/>
      <c r="R554" s="8"/>
      <c r="S554" s="8"/>
      <c r="T554" s="8"/>
      <c r="U554" s="12"/>
      <c r="V554" s="12"/>
      <c r="W554" s="12"/>
      <c r="X554" s="12"/>
      <c r="Y554" s="12"/>
      <c r="Z554" s="12"/>
      <c r="AA554" s="12"/>
      <c r="AB554" s="12"/>
      <c r="AC554" s="12"/>
      <c r="AD554" s="12"/>
      <c r="AE554" s="12"/>
      <c r="AF554" s="12"/>
    </row>
    <row r="555" spans="1:32">
      <c r="A555" s="8"/>
      <c r="B555" s="8"/>
      <c r="C555" s="8"/>
      <c r="D555" s="8"/>
      <c r="E555" s="8"/>
      <c r="F555" s="8"/>
      <c r="G555" s="8"/>
      <c r="H555" s="8"/>
      <c r="I555" s="8"/>
      <c r="J555" s="8"/>
      <c r="K555" s="8"/>
      <c r="L555" s="8"/>
      <c r="M555" s="8"/>
      <c r="N555" s="8"/>
      <c r="O555" s="8"/>
      <c r="P555" s="8"/>
      <c r="Q555" s="8"/>
      <c r="R555" s="8"/>
      <c r="S555" s="8"/>
      <c r="T555" s="8"/>
      <c r="U555" s="12"/>
      <c r="V555" s="12"/>
      <c r="W555" s="12"/>
      <c r="X555" s="12"/>
      <c r="Y555" s="12"/>
      <c r="Z555" s="12"/>
      <c r="AA555" s="12"/>
      <c r="AB555" s="12"/>
      <c r="AC555" s="12"/>
      <c r="AD555" s="12"/>
      <c r="AE555" s="12"/>
      <c r="AF555" s="12"/>
    </row>
    <row r="556" spans="1:32">
      <c r="A556" s="8"/>
      <c r="B556" s="8"/>
      <c r="C556" s="8"/>
      <c r="D556" s="8"/>
      <c r="E556" s="8"/>
      <c r="F556" s="8"/>
      <c r="G556" s="8"/>
      <c r="H556" s="8"/>
      <c r="I556" s="8"/>
      <c r="J556" s="8"/>
      <c r="K556" s="8"/>
      <c r="L556" s="8"/>
      <c r="M556" s="8"/>
      <c r="N556" s="8"/>
      <c r="O556" s="8"/>
      <c r="P556" s="8"/>
      <c r="Q556" s="8"/>
      <c r="R556" s="8"/>
      <c r="S556" s="8"/>
      <c r="T556" s="8"/>
      <c r="U556" s="12"/>
      <c r="V556" s="12"/>
      <c r="W556" s="12"/>
      <c r="X556" s="12"/>
      <c r="Y556" s="12"/>
      <c r="Z556" s="12"/>
      <c r="AA556" s="12"/>
      <c r="AB556" s="12"/>
      <c r="AC556" s="12"/>
      <c r="AD556" s="12"/>
      <c r="AE556" s="12"/>
      <c r="AF556" s="12"/>
    </row>
    <row r="557" spans="1:32">
      <c r="A557" s="8"/>
      <c r="B557" s="8"/>
      <c r="C557" s="8"/>
      <c r="D557" s="8"/>
      <c r="E557" s="8"/>
      <c r="F557" s="8"/>
      <c r="G557" s="8"/>
      <c r="H557" s="8"/>
      <c r="I557" s="8"/>
      <c r="J557" s="8"/>
      <c r="K557" s="8"/>
      <c r="L557" s="8"/>
      <c r="M557" s="8"/>
      <c r="N557" s="8"/>
      <c r="O557" s="8"/>
      <c r="P557" s="8"/>
      <c r="Q557" s="8"/>
      <c r="R557" s="8"/>
      <c r="S557" s="8"/>
      <c r="T557" s="8"/>
      <c r="U557" s="12"/>
      <c r="V557" s="12"/>
      <c r="W557" s="12"/>
      <c r="X557" s="12"/>
      <c r="Y557" s="12"/>
      <c r="Z557" s="12"/>
      <c r="AA557" s="12"/>
      <c r="AB557" s="12"/>
      <c r="AC557" s="12"/>
      <c r="AD557" s="12"/>
      <c r="AE557" s="12"/>
      <c r="AF557" s="12"/>
    </row>
    <row r="558" spans="1:32">
      <c r="A558" s="8"/>
      <c r="B558" s="8"/>
      <c r="C558" s="8"/>
      <c r="D558" s="8"/>
      <c r="E558" s="8"/>
      <c r="F558" s="8"/>
      <c r="G558" s="8"/>
      <c r="H558" s="8"/>
      <c r="I558" s="8"/>
      <c r="J558" s="8"/>
      <c r="K558" s="8"/>
      <c r="L558" s="8"/>
      <c r="M558" s="8"/>
      <c r="N558" s="8"/>
      <c r="O558" s="8"/>
      <c r="P558" s="8"/>
      <c r="Q558" s="8"/>
      <c r="R558" s="8"/>
      <c r="S558" s="8"/>
      <c r="T558" s="8"/>
      <c r="U558" s="12"/>
      <c r="V558" s="12"/>
      <c r="W558" s="12"/>
      <c r="X558" s="12"/>
      <c r="Y558" s="12"/>
      <c r="Z558" s="12"/>
      <c r="AA558" s="12"/>
      <c r="AB558" s="12"/>
      <c r="AC558" s="12"/>
      <c r="AD558" s="12"/>
      <c r="AE558" s="12"/>
      <c r="AF558" s="12"/>
    </row>
    <row r="559" spans="1:32">
      <c r="A559" s="8"/>
      <c r="B559" s="8"/>
      <c r="C559" s="8"/>
      <c r="D559" s="8"/>
      <c r="E559" s="8"/>
      <c r="F559" s="8"/>
      <c r="G559" s="8"/>
      <c r="H559" s="8"/>
      <c r="I559" s="8"/>
      <c r="J559" s="8"/>
      <c r="K559" s="8"/>
      <c r="L559" s="8"/>
      <c r="M559" s="8"/>
      <c r="N559" s="8"/>
      <c r="O559" s="8"/>
      <c r="P559" s="8"/>
      <c r="Q559" s="8"/>
      <c r="R559" s="8"/>
      <c r="S559" s="8"/>
      <c r="T559" s="8"/>
      <c r="U559" s="12"/>
      <c r="V559" s="12"/>
      <c r="W559" s="12"/>
      <c r="X559" s="12"/>
      <c r="Y559" s="12"/>
      <c r="Z559" s="12"/>
      <c r="AA559" s="12"/>
      <c r="AB559" s="12"/>
      <c r="AC559" s="12"/>
      <c r="AD559" s="12"/>
      <c r="AE559" s="12"/>
      <c r="AF559" s="12"/>
    </row>
    <row r="560" spans="1:32">
      <c r="A560" s="8"/>
      <c r="B560" s="8"/>
      <c r="C560" s="8"/>
      <c r="D560" s="8"/>
      <c r="E560" s="8"/>
      <c r="F560" s="8"/>
      <c r="G560" s="8"/>
      <c r="H560" s="8"/>
      <c r="I560" s="8"/>
      <c r="J560" s="8"/>
      <c r="K560" s="8"/>
      <c r="L560" s="8"/>
      <c r="M560" s="8"/>
      <c r="N560" s="8"/>
      <c r="O560" s="8"/>
      <c r="P560" s="8"/>
      <c r="Q560" s="8"/>
      <c r="R560" s="8"/>
      <c r="S560" s="8"/>
      <c r="T560" s="8"/>
      <c r="U560" s="12"/>
      <c r="V560" s="12"/>
      <c r="W560" s="12"/>
      <c r="X560" s="12"/>
      <c r="Y560" s="12"/>
      <c r="Z560" s="12"/>
      <c r="AA560" s="12"/>
      <c r="AB560" s="12"/>
      <c r="AC560" s="12"/>
      <c r="AD560" s="12"/>
      <c r="AE560" s="12"/>
      <c r="AF560" s="12"/>
    </row>
    <row r="561" spans="1:32">
      <c r="A561" s="8"/>
      <c r="B561" s="8"/>
      <c r="C561" s="8"/>
      <c r="D561" s="8"/>
      <c r="E561" s="8"/>
      <c r="F561" s="8"/>
      <c r="G561" s="8"/>
      <c r="H561" s="8"/>
      <c r="I561" s="8"/>
      <c r="J561" s="8"/>
      <c r="K561" s="8"/>
      <c r="L561" s="8"/>
      <c r="M561" s="8"/>
      <c r="N561" s="8"/>
      <c r="O561" s="8"/>
      <c r="P561" s="8"/>
      <c r="Q561" s="8"/>
      <c r="R561" s="8"/>
      <c r="S561" s="8"/>
      <c r="T561" s="8"/>
      <c r="U561" s="12"/>
      <c r="V561" s="12"/>
      <c r="W561" s="12"/>
      <c r="X561" s="12"/>
      <c r="Y561" s="12"/>
      <c r="Z561" s="12"/>
      <c r="AA561" s="12"/>
      <c r="AB561" s="12"/>
      <c r="AC561" s="12"/>
      <c r="AD561" s="12"/>
      <c r="AE561" s="12"/>
      <c r="AF561" s="12"/>
    </row>
    <row r="562" spans="1:32">
      <c r="A562" s="8"/>
      <c r="B562" s="8"/>
      <c r="C562" s="8"/>
      <c r="D562" s="8"/>
      <c r="E562" s="8"/>
      <c r="F562" s="8"/>
      <c r="G562" s="8"/>
      <c r="H562" s="8"/>
      <c r="I562" s="8"/>
      <c r="J562" s="8"/>
      <c r="K562" s="8"/>
      <c r="L562" s="8"/>
      <c r="M562" s="8"/>
      <c r="N562" s="8"/>
      <c r="O562" s="8"/>
      <c r="P562" s="8"/>
      <c r="Q562" s="8"/>
      <c r="R562" s="8"/>
      <c r="S562" s="8"/>
      <c r="T562" s="8"/>
      <c r="U562" s="12"/>
      <c r="V562" s="12"/>
      <c r="W562" s="12"/>
      <c r="X562" s="12"/>
      <c r="Y562" s="12"/>
      <c r="Z562" s="12"/>
      <c r="AA562" s="12"/>
      <c r="AB562" s="12"/>
      <c r="AC562" s="12"/>
      <c r="AD562" s="12"/>
      <c r="AE562" s="12"/>
      <c r="AF562" s="12"/>
    </row>
    <row r="563" spans="1:32">
      <c r="A563" s="8"/>
      <c r="B563" s="8"/>
      <c r="C563" s="8"/>
      <c r="D563" s="8"/>
      <c r="E563" s="8"/>
      <c r="F563" s="8"/>
      <c r="G563" s="8"/>
      <c r="H563" s="8"/>
      <c r="I563" s="8"/>
      <c r="J563" s="8"/>
      <c r="K563" s="8"/>
      <c r="L563" s="8"/>
      <c r="M563" s="8"/>
      <c r="N563" s="8"/>
      <c r="O563" s="8"/>
      <c r="P563" s="8"/>
      <c r="Q563" s="8"/>
      <c r="R563" s="8"/>
      <c r="S563" s="8"/>
      <c r="T563" s="8"/>
      <c r="U563" s="12"/>
      <c r="V563" s="12"/>
      <c r="W563" s="12"/>
      <c r="X563" s="12"/>
      <c r="Y563" s="12"/>
      <c r="Z563" s="12"/>
      <c r="AA563" s="12"/>
      <c r="AB563" s="12"/>
      <c r="AC563" s="12"/>
      <c r="AD563" s="12"/>
      <c r="AE563" s="12"/>
      <c r="AF563" s="12"/>
    </row>
    <row r="564" spans="1:32">
      <c r="A564" s="8"/>
      <c r="B564" s="8"/>
      <c r="C564" s="8"/>
      <c r="D564" s="8"/>
      <c r="E564" s="8"/>
      <c r="F564" s="8"/>
      <c r="G564" s="8"/>
      <c r="H564" s="8"/>
      <c r="I564" s="8"/>
      <c r="J564" s="8"/>
      <c r="K564" s="8"/>
      <c r="L564" s="8"/>
      <c r="M564" s="8"/>
      <c r="N564" s="8"/>
      <c r="O564" s="8"/>
      <c r="P564" s="8"/>
      <c r="Q564" s="8"/>
      <c r="R564" s="8"/>
      <c r="S564" s="8"/>
      <c r="T564" s="8"/>
      <c r="U564" s="12"/>
      <c r="V564" s="12"/>
      <c r="W564" s="12"/>
      <c r="X564" s="12"/>
      <c r="Y564" s="12"/>
      <c r="Z564" s="12"/>
      <c r="AA564" s="12"/>
      <c r="AB564" s="12"/>
      <c r="AC564" s="12"/>
      <c r="AD564" s="12"/>
      <c r="AE564" s="12"/>
      <c r="AF564" s="12"/>
    </row>
    <row r="565" spans="1:32">
      <c r="A565" s="8"/>
      <c r="B565" s="8"/>
      <c r="C565" s="8"/>
      <c r="D565" s="8"/>
      <c r="E565" s="8"/>
      <c r="F565" s="8"/>
      <c r="G565" s="8"/>
      <c r="H565" s="8"/>
      <c r="I565" s="8"/>
      <c r="J565" s="8"/>
      <c r="K565" s="8"/>
      <c r="L565" s="8"/>
      <c r="M565" s="8"/>
      <c r="N565" s="8"/>
      <c r="O565" s="8"/>
      <c r="P565" s="8"/>
      <c r="Q565" s="8"/>
      <c r="R565" s="8"/>
      <c r="S565" s="8"/>
      <c r="T565" s="8"/>
      <c r="U565" s="12"/>
      <c r="V565" s="12"/>
      <c r="W565" s="12"/>
      <c r="X565" s="12"/>
      <c r="Y565" s="12"/>
      <c r="Z565" s="12"/>
      <c r="AA565" s="12"/>
      <c r="AB565" s="12"/>
      <c r="AC565" s="12"/>
      <c r="AD565" s="12"/>
      <c r="AE565" s="12"/>
      <c r="AF565" s="12"/>
    </row>
    <row r="566" spans="1:32">
      <c r="A566" s="8"/>
      <c r="B566" s="8"/>
      <c r="C566" s="8"/>
      <c r="D566" s="8"/>
      <c r="E566" s="8"/>
      <c r="F566" s="8"/>
      <c r="G566" s="8"/>
      <c r="H566" s="8"/>
      <c r="I566" s="8"/>
      <c r="J566" s="8"/>
      <c r="K566" s="8"/>
      <c r="L566" s="8"/>
      <c r="M566" s="8"/>
      <c r="N566" s="8"/>
      <c r="O566" s="8"/>
      <c r="P566" s="8"/>
      <c r="Q566" s="8"/>
      <c r="R566" s="8"/>
      <c r="S566" s="8"/>
      <c r="T566" s="8"/>
      <c r="U566" s="12"/>
      <c r="V566" s="12"/>
      <c r="W566" s="12"/>
      <c r="X566" s="12"/>
      <c r="Y566" s="12"/>
      <c r="Z566" s="12"/>
      <c r="AA566" s="12"/>
      <c r="AB566" s="12"/>
      <c r="AC566" s="12"/>
      <c r="AD566" s="12"/>
      <c r="AE566" s="12"/>
      <c r="AF566" s="12"/>
    </row>
    <row r="567" spans="1:32">
      <c r="A567" s="8"/>
      <c r="B567" s="8"/>
      <c r="C567" s="8"/>
      <c r="D567" s="8"/>
      <c r="E567" s="8"/>
      <c r="F567" s="8"/>
      <c r="G567" s="8"/>
      <c r="H567" s="8"/>
      <c r="I567" s="8"/>
      <c r="J567" s="8"/>
      <c r="K567" s="8"/>
      <c r="L567" s="8"/>
      <c r="M567" s="8"/>
      <c r="N567" s="8"/>
      <c r="O567" s="8"/>
      <c r="P567" s="8"/>
      <c r="Q567" s="8"/>
      <c r="R567" s="8"/>
      <c r="S567" s="8"/>
      <c r="T567" s="8"/>
      <c r="U567" s="12"/>
      <c r="V567" s="12"/>
      <c r="W567" s="12"/>
      <c r="X567" s="12"/>
      <c r="Y567" s="12"/>
      <c r="Z567" s="12"/>
      <c r="AA567" s="12"/>
      <c r="AB567" s="12"/>
      <c r="AC567" s="12"/>
      <c r="AD567" s="12"/>
      <c r="AE567" s="12"/>
      <c r="AF567" s="12"/>
    </row>
    <row r="568" spans="1:32">
      <c r="A568" s="8"/>
      <c r="B568" s="8"/>
      <c r="C568" s="8"/>
      <c r="D568" s="8"/>
      <c r="E568" s="8"/>
      <c r="F568" s="8"/>
      <c r="G568" s="8"/>
      <c r="H568" s="8"/>
      <c r="I568" s="8"/>
      <c r="J568" s="8"/>
      <c r="K568" s="8"/>
      <c r="L568" s="8"/>
      <c r="M568" s="8"/>
      <c r="N568" s="8"/>
      <c r="O568" s="8"/>
      <c r="P568" s="8"/>
      <c r="Q568" s="8"/>
      <c r="R568" s="8"/>
      <c r="S568" s="8"/>
      <c r="T568" s="8"/>
      <c r="U568" s="12"/>
      <c r="V568" s="12"/>
      <c r="W568" s="12"/>
      <c r="X568" s="12"/>
      <c r="Y568" s="12"/>
      <c r="Z568" s="12"/>
      <c r="AA568" s="12"/>
      <c r="AB568" s="12"/>
      <c r="AC568" s="12"/>
      <c r="AD568" s="12"/>
      <c r="AE568" s="12"/>
      <c r="AF568" s="12"/>
    </row>
    <row r="569" spans="1:32">
      <c r="A569" s="8"/>
      <c r="B569" s="8"/>
      <c r="C569" s="8"/>
      <c r="D569" s="8"/>
      <c r="E569" s="8"/>
      <c r="F569" s="8"/>
      <c r="G569" s="8"/>
      <c r="H569" s="8"/>
      <c r="I569" s="8"/>
      <c r="J569" s="8"/>
      <c r="K569" s="8"/>
      <c r="L569" s="8"/>
      <c r="M569" s="8"/>
      <c r="N569" s="8"/>
      <c r="O569" s="8"/>
      <c r="P569" s="8"/>
      <c r="Q569" s="8"/>
      <c r="R569" s="8"/>
      <c r="S569" s="8"/>
      <c r="T569" s="8"/>
      <c r="U569" s="12"/>
      <c r="V569" s="12"/>
      <c r="W569" s="12"/>
      <c r="X569" s="12"/>
      <c r="Y569" s="12"/>
      <c r="Z569" s="12"/>
      <c r="AA569" s="12"/>
      <c r="AB569" s="12"/>
      <c r="AC569" s="12"/>
      <c r="AD569" s="12"/>
      <c r="AE569" s="12"/>
      <c r="AF569" s="12"/>
    </row>
    <row r="570" spans="1:32">
      <c r="A570" s="8"/>
      <c r="B570" s="8"/>
      <c r="C570" s="8"/>
      <c r="D570" s="8"/>
      <c r="E570" s="8"/>
      <c r="F570" s="8"/>
      <c r="G570" s="8"/>
      <c r="H570" s="8"/>
      <c r="I570" s="8"/>
      <c r="J570" s="8"/>
      <c r="K570" s="8"/>
      <c r="L570" s="8"/>
      <c r="M570" s="8"/>
      <c r="N570" s="8"/>
      <c r="O570" s="8"/>
      <c r="P570" s="8"/>
      <c r="Q570" s="8"/>
      <c r="R570" s="8"/>
      <c r="S570" s="8"/>
      <c r="T570" s="8"/>
      <c r="U570" s="12"/>
      <c r="V570" s="12"/>
      <c r="W570" s="12"/>
      <c r="X570" s="12"/>
      <c r="Y570" s="12"/>
      <c r="Z570" s="12"/>
      <c r="AA570" s="12"/>
      <c r="AB570" s="12"/>
      <c r="AC570" s="12"/>
      <c r="AD570" s="12"/>
      <c r="AE570" s="12"/>
      <c r="AF570" s="12"/>
    </row>
    <row r="571" spans="1:32">
      <c r="A571" s="8"/>
      <c r="B571" s="8"/>
      <c r="C571" s="8"/>
      <c r="D571" s="8"/>
      <c r="E571" s="8"/>
      <c r="F571" s="8"/>
      <c r="G571" s="8"/>
      <c r="H571" s="8"/>
      <c r="I571" s="8"/>
      <c r="J571" s="8"/>
      <c r="K571" s="8"/>
      <c r="L571" s="8"/>
      <c r="M571" s="8"/>
      <c r="N571" s="8"/>
      <c r="O571" s="8"/>
      <c r="P571" s="8"/>
      <c r="Q571" s="8"/>
      <c r="R571" s="8"/>
      <c r="S571" s="8"/>
      <c r="T571" s="8"/>
      <c r="U571" s="12"/>
      <c r="V571" s="12"/>
      <c r="W571" s="12"/>
      <c r="X571" s="12"/>
      <c r="Y571" s="12"/>
      <c r="Z571" s="12"/>
      <c r="AA571" s="12"/>
      <c r="AB571" s="12"/>
      <c r="AC571" s="12"/>
      <c r="AD571" s="12"/>
      <c r="AE571" s="12"/>
      <c r="AF571" s="12"/>
    </row>
    <row r="572" spans="1:32">
      <c r="A572" s="8"/>
      <c r="B572" s="8"/>
      <c r="C572" s="8"/>
      <c r="D572" s="8"/>
      <c r="E572" s="8"/>
      <c r="F572" s="8"/>
      <c r="G572" s="8"/>
      <c r="H572" s="8"/>
      <c r="I572" s="8"/>
      <c r="J572" s="8"/>
      <c r="K572" s="8"/>
      <c r="L572" s="8"/>
      <c r="M572" s="8"/>
      <c r="N572" s="8"/>
      <c r="O572" s="8"/>
      <c r="P572" s="8"/>
      <c r="Q572" s="8"/>
      <c r="R572" s="8"/>
      <c r="S572" s="8"/>
      <c r="T572" s="8"/>
      <c r="U572" s="12"/>
      <c r="V572" s="12"/>
      <c r="W572" s="12"/>
      <c r="X572" s="12"/>
      <c r="Y572" s="12"/>
      <c r="Z572" s="12"/>
      <c r="AA572" s="12"/>
      <c r="AB572" s="12"/>
      <c r="AC572" s="12"/>
      <c r="AD572" s="12"/>
      <c r="AE572" s="12"/>
      <c r="AF572" s="12"/>
    </row>
    <row r="573" spans="1:32">
      <c r="A573" s="8"/>
      <c r="B573" s="8"/>
      <c r="C573" s="8"/>
      <c r="D573" s="8"/>
      <c r="E573" s="8"/>
      <c r="F573" s="8"/>
      <c r="G573" s="8"/>
      <c r="H573" s="8"/>
      <c r="I573" s="8"/>
      <c r="J573" s="8"/>
      <c r="K573" s="8"/>
      <c r="L573" s="8"/>
      <c r="M573" s="8"/>
      <c r="N573" s="8"/>
      <c r="O573" s="8"/>
      <c r="P573" s="8"/>
      <c r="Q573" s="8"/>
      <c r="R573" s="8"/>
      <c r="S573" s="8"/>
      <c r="T573" s="8"/>
      <c r="U573" s="12"/>
      <c r="V573" s="12"/>
      <c r="W573" s="12"/>
      <c r="X573" s="12"/>
      <c r="Y573" s="12"/>
      <c r="Z573" s="12"/>
      <c r="AA573" s="12"/>
      <c r="AB573" s="12"/>
      <c r="AC573" s="12"/>
      <c r="AD573" s="12"/>
      <c r="AE573" s="12"/>
      <c r="AF573" s="12"/>
    </row>
    <row r="574" spans="1:32">
      <c r="A574" s="8"/>
      <c r="B574" s="8"/>
      <c r="C574" s="8"/>
      <c r="D574" s="8"/>
      <c r="E574" s="8"/>
      <c r="F574" s="8"/>
      <c r="G574" s="8"/>
      <c r="H574" s="8"/>
      <c r="I574" s="8"/>
      <c r="J574" s="8"/>
      <c r="K574" s="8"/>
      <c r="L574" s="8"/>
      <c r="M574" s="8"/>
      <c r="N574" s="8"/>
      <c r="O574" s="8"/>
      <c r="P574" s="8"/>
      <c r="Q574" s="8"/>
      <c r="R574" s="8"/>
      <c r="S574" s="8"/>
      <c r="T574" s="8"/>
      <c r="U574" s="12"/>
      <c r="V574" s="12"/>
      <c r="W574" s="12"/>
      <c r="X574" s="12"/>
      <c r="Y574" s="12"/>
      <c r="Z574" s="12"/>
      <c r="AA574" s="12"/>
      <c r="AB574" s="12"/>
      <c r="AC574" s="12"/>
      <c r="AD574" s="12"/>
      <c r="AE574" s="12"/>
      <c r="AF574" s="12"/>
    </row>
    <row r="575" spans="1:32">
      <c r="A575" s="8"/>
      <c r="B575" s="8"/>
      <c r="C575" s="8"/>
      <c r="D575" s="8"/>
      <c r="E575" s="8"/>
      <c r="F575" s="8"/>
      <c r="G575" s="8"/>
      <c r="H575" s="8"/>
      <c r="I575" s="8"/>
      <c r="J575" s="8"/>
      <c r="K575" s="8"/>
      <c r="L575" s="8"/>
      <c r="M575" s="8"/>
      <c r="N575" s="8"/>
      <c r="O575" s="8"/>
      <c r="P575" s="8"/>
      <c r="Q575" s="8"/>
      <c r="R575" s="8"/>
      <c r="S575" s="8"/>
      <c r="T575" s="8"/>
      <c r="U575" s="12"/>
      <c r="V575" s="12"/>
      <c r="W575" s="12"/>
      <c r="X575" s="12"/>
      <c r="Y575" s="12"/>
      <c r="Z575" s="12"/>
      <c r="AA575" s="12"/>
      <c r="AB575" s="12"/>
      <c r="AC575" s="12"/>
      <c r="AD575" s="12"/>
      <c r="AE575" s="12"/>
      <c r="AF575" s="12"/>
    </row>
    <row r="576" spans="1:32">
      <c r="A576" s="8"/>
      <c r="B576" s="8"/>
      <c r="C576" s="8"/>
      <c r="D576" s="8"/>
      <c r="E576" s="8"/>
      <c r="F576" s="8"/>
      <c r="G576" s="8"/>
      <c r="H576" s="8"/>
      <c r="I576" s="8"/>
      <c r="J576" s="8"/>
      <c r="K576" s="8"/>
      <c r="L576" s="8"/>
      <c r="M576" s="8"/>
      <c r="N576" s="8"/>
      <c r="O576" s="8"/>
      <c r="P576" s="8"/>
      <c r="Q576" s="8"/>
      <c r="R576" s="8"/>
      <c r="S576" s="8"/>
      <c r="T576" s="8"/>
      <c r="U576" s="12"/>
      <c r="V576" s="12"/>
      <c r="W576" s="12"/>
      <c r="X576" s="12"/>
      <c r="Y576" s="12"/>
      <c r="Z576" s="12"/>
      <c r="AA576" s="12"/>
      <c r="AB576" s="12"/>
      <c r="AC576" s="12"/>
      <c r="AD576" s="12"/>
      <c r="AE576" s="12"/>
      <c r="AF576" s="12"/>
    </row>
    <row r="577" spans="1:32">
      <c r="A577" s="8"/>
      <c r="B577" s="8"/>
      <c r="C577" s="8"/>
      <c r="D577" s="8"/>
      <c r="E577" s="8"/>
      <c r="F577" s="8"/>
      <c r="G577" s="8"/>
      <c r="H577" s="8"/>
      <c r="I577" s="8"/>
      <c r="J577" s="8"/>
      <c r="K577" s="8"/>
      <c r="L577" s="8"/>
      <c r="M577" s="8"/>
      <c r="N577" s="8"/>
      <c r="O577" s="8"/>
      <c r="P577" s="8"/>
      <c r="Q577" s="8"/>
      <c r="R577" s="8"/>
      <c r="S577" s="8"/>
      <c r="T577" s="8"/>
      <c r="U577" s="12"/>
      <c r="V577" s="12"/>
      <c r="W577" s="12"/>
      <c r="X577" s="12"/>
      <c r="Y577" s="12"/>
      <c r="Z577" s="12"/>
      <c r="AA577" s="12"/>
      <c r="AB577" s="12"/>
      <c r="AC577" s="12"/>
      <c r="AD577" s="12"/>
      <c r="AE577" s="12"/>
      <c r="AF577" s="12"/>
    </row>
    <row r="578" spans="1:32">
      <c r="A578" s="8"/>
      <c r="B578" s="8"/>
      <c r="C578" s="8"/>
      <c r="D578" s="8"/>
      <c r="E578" s="8"/>
      <c r="F578" s="8"/>
      <c r="G578" s="8"/>
      <c r="H578" s="8"/>
      <c r="I578" s="8"/>
      <c r="J578" s="8"/>
      <c r="K578" s="8"/>
      <c r="L578" s="8"/>
      <c r="M578" s="8"/>
      <c r="N578" s="8"/>
      <c r="O578" s="8"/>
      <c r="P578" s="8"/>
      <c r="Q578" s="8"/>
      <c r="R578" s="8"/>
      <c r="S578" s="8"/>
      <c r="T578" s="8"/>
      <c r="U578" s="12"/>
      <c r="V578" s="12"/>
      <c r="W578" s="12"/>
      <c r="X578" s="12"/>
      <c r="Y578" s="12"/>
      <c r="Z578" s="12"/>
      <c r="AA578" s="12"/>
      <c r="AB578" s="12"/>
      <c r="AC578" s="12"/>
      <c r="AD578" s="12"/>
      <c r="AE578" s="12"/>
      <c r="AF578" s="12"/>
    </row>
    <row r="579" spans="1:32">
      <c r="A579" s="8"/>
      <c r="B579" s="8"/>
      <c r="C579" s="8"/>
      <c r="D579" s="8"/>
      <c r="E579" s="8"/>
      <c r="F579" s="8"/>
      <c r="G579" s="8"/>
      <c r="H579" s="8"/>
      <c r="I579" s="8"/>
      <c r="J579" s="8"/>
      <c r="K579" s="8"/>
      <c r="L579" s="8"/>
      <c r="M579" s="8"/>
      <c r="N579" s="8"/>
      <c r="O579" s="8"/>
      <c r="P579" s="8"/>
      <c r="Q579" s="8"/>
      <c r="R579" s="8"/>
      <c r="S579" s="8"/>
      <c r="T579" s="8"/>
      <c r="U579" s="12"/>
      <c r="V579" s="12"/>
      <c r="W579" s="12"/>
      <c r="X579" s="12"/>
      <c r="Y579" s="12"/>
      <c r="Z579" s="12"/>
      <c r="AA579" s="12"/>
      <c r="AB579" s="12"/>
      <c r="AC579" s="12"/>
      <c r="AD579" s="12"/>
      <c r="AE579" s="12"/>
      <c r="AF579" s="12"/>
    </row>
    <row r="580" spans="1:32">
      <c r="A580" s="8"/>
      <c r="B580" s="8"/>
      <c r="C580" s="8"/>
      <c r="D580" s="8"/>
      <c r="E580" s="8"/>
      <c r="F580" s="8"/>
      <c r="G580" s="8"/>
      <c r="H580" s="8"/>
      <c r="I580" s="8"/>
      <c r="J580" s="8"/>
      <c r="K580" s="8"/>
      <c r="L580" s="8"/>
      <c r="M580" s="8"/>
      <c r="N580" s="8"/>
      <c r="O580" s="8"/>
      <c r="P580" s="8"/>
      <c r="Q580" s="8"/>
      <c r="R580" s="8"/>
      <c r="S580" s="8"/>
      <c r="T580" s="8"/>
      <c r="U580" s="12"/>
      <c r="V580" s="12"/>
      <c r="W580" s="12"/>
      <c r="X580" s="12"/>
      <c r="Y580" s="12"/>
      <c r="Z580" s="12"/>
      <c r="AA580" s="12"/>
      <c r="AB580" s="12"/>
      <c r="AC580" s="12"/>
      <c r="AD580" s="12"/>
      <c r="AE580" s="12"/>
      <c r="AF580" s="12"/>
    </row>
    <row r="581" spans="1:32">
      <c r="A581" s="8"/>
      <c r="B581" s="8"/>
      <c r="C581" s="8"/>
      <c r="D581" s="8"/>
      <c r="E581" s="8"/>
      <c r="F581" s="8"/>
      <c r="G581" s="8"/>
      <c r="H581" s="8"/>
      <c r="I581" s="8"/>
      <c r="J581" s="8"/>
      <c r="K581" s="8"/>
      <c r="L581" s="8"/>
      <c r="M581" s="8"/>
      <c r="N581" s="8"/>
      <c r="O581" s="8"/>
      <c r="P581" s="8"/>
      <c r="Q581" s="8"/>
      <c r="R581" s="8"/>
      <c r="S581" s="8"/>
      <c r="T581" s="8"/>
      <c r="U581" s="12"/>
      <c r="V581" s="12"/>
      <c r="W581" s="12"/>
      <c r="X581" s="12"/>
      <c r="Y581" s="12"/>
      <c r="Z581" s="12"/>
      <c r="AA581" s="12"/>
      <c r="AB581" s="12"/>
      <c r="AC581" s="12"/>
      <c r="AD581" s="12"/>
      <c r="AE581" s="12"/>
      <c r="AF581" s="12"/>
    </row>
    <row r="582" spans="1:32">
      <c r="A582" s="8"/>
      <c r="B582" s="8"/>
      <c r="C582" s="8"/>
      <c r="D582" s="8"/>
      <c r="E582" s="8"/>
      <c r="F582" s="8"/>
      <c r="G582" s="8"/>
      <c r="H582" s="8"/>
      <c r="I582" s="8"/>
      <c r="J582" s="8"/>
      <c r="K582" s="8"/>
      <c r="L582" s="8"/>
      <c r="M582" s="8"/>
      <c r="N582" s="8"/>
      <c r="O582" s="8"/>
      <c r="P582" s="8"/>
      <c r="Q582" s="8"/>
      <c r="R582" s="8"/>
      <c r="S582" s="8"/>
      <c r="T582" s="8"/>
      <c r="U582" s="12"/>
      <c r="V582" s="12"/>
      <c r="W582" s="12"/>
      <c r="X582" s="12"/>
      <c r="Y582" s="12"/>
      <c r="Z582" s="12"/>
      <c r="AA582" s="12"/>
      <c r="AB582" s="12"/>
      <c r="AC582" s="12"/>
      <c r="AD582" s="12"/>
      <c r="AE582" s="12"/>
      <c r="AF582" s="12"/>
    </row>
    <row r="583" spans="1:32">
      <c r="A583" s="8"/>
      <c r="B583" s="8"/>
      <c r="C583" s="8"/>
      <c r="D583" s="8"/>
      <c r="E583" s="8"/>
      <c r="F583" s="8"/>
      <c r="G583" s="8"/>
      <c r="H583" s="8"/>
      <c r="I583" s="8"/>
      <c r="J583" s="8"/>
      <c r="K583" s="8"/>
      <c r="L583" s="8"/>
      <c r="M583" s="8"/>
      <c r="N583" s="8"/>
      <c r="O583" s="8"/>
      <c r="P583" s="8"/>
      <c r="Q583" s="8"/>
      <c r="R583" s="8"/>
      <c r="S583" s="8"/>
      <c r="T583" s="8"/>
      <c r="U583" s="12"/>
      <c r="V583" s="12"/>
      <c r="W583" s="12"/>
      <c r="X583" s="12"/>
      <c r="Y583" s="12"/>
      <c r="Z583" s="12"/>
      <c r="AA583" s="12"/>
      <c r="AB583" s="12"/>
      <c r="AC583" s="12"/>
      <c r="AD583" s="12"/>
      <c r="AE583" s="12"/>
      <c r="AF583" s="12"/>
    </row>
    <row r="584" spans="1:32">
      <c r="A584" s="8"/>
      <c r="B584" s="8"/>
      <c r="C584" s="8"/>
      <c r="D584" s="8"/>
      <c r="E584" s="8"/>
      <c r="F584" s="8"/>
      <c r="G584" s="8"/>
      <c r="H584" s="8"/>
      <c r="I584" s="8"/>
      <c r="J584" s="8"/>
      <c r="K584" s="8"/>
      <c r="L584" s="8"/>
      <c r="M584" s="8"/>
      <c r="N584" s="8"/>
      <c r="O584" s="8"/>
      <c r="P584" s="8"/>
      <c r="Q584" s="8"/>
      <c r="R584" s="8"/>
      <c r="S584" s="8"/>
      <c r="T584" s="8"/>
      <c r="U584" s="12"/>
      <c r="V584" s="12"/>
      <c r="W584" s="12"/>
      <c r="X584" s="12"/>
      <c r="Y584" s="12"/>
      <c r="Z584" s="12"/>
      <c r="AA584" s="12"/>
      <c r="AB584" s="12"/>
      <c r="AC584" s="12"/>
      <c r="AD584" s="12"/>
      <c r="AE584" s="12"/>
      <c r="AF584" s="12"/>
    </row>
    <row r="585" spans="1:32">
      <c r="A585" s="8"/>
      <c r="B585" s="8"/>
      <c r="C585" s="8"/>
      <c r="D585" s="8"/>
      <c r="E585" s="8"/>
      <c r="F585" s="8"/>
      <c r="G585" s="8"/>
      <c r="H585" s="8"/>
      <c r="I585" s="8"/>
      <c r="J585" s="8"/>
      <c r="K585" s="8"/>
      <c r="L585" s="8"/>
      <c r="M585" s="8"/>
      <c r="N585" s="8"/>
      <c r="O585" s="8"/>
      <c r="P585" s="8"/>
      <c r="Q585" s="8"/>
      <c r="R585" s="8"/>
      <c r="S585" s="8"/>
      <c r="T585" s="8"/>
      <c r="U585" s="12"/>
      <c r="V585" s="12"/>
      <c r="W585" s="12"/>
      <c r="X585" s="12"/>
      <c r="Y585" s="12"/>
      <c r="Z585" s="12"/>
      <c r="AA585" s="12"/>
      <c r="AB585" s="12"/>
      <c r="AC585" s="12"/>
      <c r="AD585" s="12"/>
      <c r="AE585" s="12"/>
      <c r="AF585" s="12"/>
    </row>
    <row r="586" spans="1:32">
      <c r="A586" s="8"/>
      <c r="B586" s="8"/>
      <c r="C586" s="8"/>
      <c r="D586" s="8"/>
      <c r="E586" s="8"/>
      <c r="F586" s="8"/>
      <c r="G586" s="8"/>
      <c r="H586" s="8"/>
      <c r="I586" s="8"/>
      <c r="J586" s="8"/>
      <c r="K586" s="8"/>
      <c r="L586" s="8"/>
      <c r="M586" s="8"/>
      <c r="N586" s="8"/>
      <c r="O586" s="8"/>
      <c r="P586" s="8"/>
      <c r="Q586" s="8"/>
      <c r="R586" s="8"/>
      <c r="S586" s="8"/>
      <c r="T586" s="8"/>
      <c r="U586" s="12"/>
      <c r="V586" s="12"/>
      <c r="W586" s="12"/>
      <c r="X586" s="12"/>
      <c r="Y586" s="12"/>
      <c r="Z586" s="12"/>
      <c r="AA586" s="12"/>
      <c r="AB586" s="12"/>
      <c r="AC586" s="12"/>
      <c r="AD586" s="12"/>
      <c r="AE586" s="12"/>
      <c r="AF586" s="12"/>
    </row>
    <row r="587" spans="1:32">
      <c r="A587" s="8"/>
      <c r="B587" s="8"/>
      <c r="C587" s="8"/>
      <c r="D587" s="8"/>
      <c r="E587" s="8"/>
      <c r="F587" s="8"/>
      <c r="G587" s="8"/>
      <c r="H587" s="8"/>
      <c r="I587" s="8"/>
      <c r="J587" s="8"/>
      <c r="K587" s="8"/>
      <c r="L587" s="8"/>
      <c r="M587" s="8"/>
      <c r="N587" s="8"/>
      <c r="O587" s="8"/>
      <c r="P587" s="8"/>
      <c r="Q587" s="8"/>
      <c r="R587" s="8"/>
      <c r="S587" s="8"/>
      <c r="T587" s="8"/>
      <c r="U587" s="12"/>
      <c r="V587" s="12"/>
      <c r="W587" s="12"/>
      <c r="X587" s="12"/>
      <c r="Y587" s="12"/>
      <c r="Z587" s="12"/>
      <c r="AA587" s="12"/>
      <c r="AB587" s="12"/>
      <c r="AC587" s="12"/>
      <c r="AD587" s="12"/>
      <c r="AE587" s="12"/>
      <c r="AF587" s="12"/>
    </row>
    <row r="588" spans="1:32">
      <c r="A588" s="8"/>
      <c r="B588" s="8"/>
      <c r="C588" s="8"/>
      <c r="D588" s="8"/>
      <c r="E588" s="8"/>
      <c r="F588" s="8"/>
      <c r="G588" s="8"/>
      <c r="H588" s="8"/>
      <c r="I588" s="8"/>
      <c r="J588" s="8"/>
      <c r="K588" s="8"/>
      <c r="L588" s="8"/>
      <c r="M588" s="8"/>
      <c r="N588" s="8"/>
      <c r="O588" s="8"/>
      <c r="P588" s="8"/>
      <c r="Q588" s="8"/>
      <c r="R588" s="8"/>
      <c r="S588" s="8"/>
      <c r="T588" s="8"/>
      <c r="U588" s="12"/>
      <c r="V588" s="12"/>
      <c r="W588" s="12"/>
      <c r="X588" s="12"/>
      <c r="Y588" s="12"/>
      <c r="Z588" s="12"/>
      <c r="AA588" s="12"/>
      <c r="AB588" s="12"/>
      <c r="AC588" s="12"/>
      <c r="AD588" s="12"/>
      <c r="AE588" s="12"/>
      <c r="AF588" s="12"/>
    </row>
    <row r="589" spans="1:32">
      <c r="A589" s="8"/>
      <c r="B589" s="8"/>
      <c r="C589" s="8"/>
      <c r="D589" s="8"/>
      <c r="E589" s="8"/>
      <c r="F589" s="8"/>
      <c r="G589" s="8"/>
      <c r="H589" s="8"/>
      <c r="I589" s="8"/>
      <c r="J589" s="8"/>
      <c r="K589" s="8"/>
      <c r="L589" s="8"/>
      <c r="M589" s="8"/>
      <c r="N589" s="8"/>
      <c r="O589" s="8"/>
      <c r="P589" s="8"/>
      <c r="Q589" s="8"/>
      <c r="R589" s="8"/>
      <c r="S589" s="8"/>
      <c r="T589" s="8"/>
      <c r="U589" s="12"/>
      <c r="V589" s="12"/>
      <c r="W589" s="12"/>
      <c r="X589" s="12"/>
      <c r="Y589" s="12"/>
      <c r="Z589" s="12"/>
      <c r="AA589" s="12"/>
      <c r="AB589" s="12"/>
      <c r="AC589" s="12"/>
      <c r="AD589" s="12"/>
      <c r="AE589" s="12"/>
      <c r="AF589" s="12"/>
    </row>
    <row r="590" spans="1:32">
      <c r="A590" s="8"/>
      <c r="B590" s="8"/>
      <c r="C590" s="8"/>
      <c r="D590" s="8"/>
      <c r="E590" s="8"/>
      <c r="F590" s="8"/>
      <c r="G590" s="8"/>
      <c r="H590" s="8"/>
      <c r="I590" s="8"/>
      <c r="J590" s="8"/>
      <c r="K590" s="8"/>
      <c r="L590" s="8"/>
      <c r="M590" s="8"/>
      <c r="N590" s="8"/>
      <c r="O590" s="8"/>
      <c r="P590" s="8"/>
      <c r="Q590" s="8"/>
      <c r="R590" s="8"/>
      <c r="S590" s="8"/>
      <c r="T590" s="8"/>
      <c r="U590" s="12"/>
      <c r="V590" s="12"/>
      <c r="W590" s="12"/>
      <c r="X590" s="12"/>
      <c r="Y590" s="12"/>
      <c r="Z590" s="12"/>
      <c r="AA590" s="12"/>
      <c r="AB590" s="12"/>
      <c r="AC590" s="12"/>
      <c r="AD590" s="12"/>
      <c r="AE590" s="12"/>
      <c r="AF590" s="12"/>
    </row>
    <row r="591" spans="1:32">
      <c r="A591" s="8"/>
      <c r="B591" s="8"/>
      <c r="C591" s="8"/>
      <c r="D591" s="8"/>
      <c r="E591" s="8"/>
      <c r="F591" s="8"/>
      <c r="G591" s="8"/>
      <c r="H591" s="8"/>
      <c r="I591" s="8"/>
      <c r="J591" s="8"/>
      <c r="K591" s="8"/>
      <c r="L591" s="8"/>
      <c r="M591" s="8"/>
      <c r="N591" s="8"/>
      <c r="O591" s="8"/>
      <c r="P591" s="8"/>
      <c r="Q591" s="8"/>
      <c r="R591" s="8"/>
      <c r="S591" s="8"/>
      <c r="T591" s="8"/>
      <c r="U591" s="12"/>
      <c r="V591" s="12"/>
      <c r="W591" s="12"/>
      <c r="X591" s="12"/>
      <c r="Y591" s="12"/>
      <c r="Z591" s="12"/>
      <c r="AA591" s="12"/>
      <c r="AB591" s="12"/>
      <c r="AC591" s="12"/>
      <c r="AD591" s="12"/>
      <c r="AE591" s="12"/>
      <c r="AF591" s="12"/>
    </row>
    <row r="592" spans="1:32">
      <c r="A592" s="8"/>
      <c r="B592" s="8"/>
      <c r="C592" s="8"/>
      <c r="D592" s="8"/>
      <c r="E592" s="8"/>
      <c r="F592" s="8"/>
      <c r="G592" s="8"/>
      <c r="H592" s="8"/>
      <c r="I592" s="8"/>
      <c r="J592" s="8"/>
      <c r="K592" s="8"/>
      <c r="L592" s="8"/>
      <c r="M592" s="8"/>
      <c r="N592" s="8"/>
      <c r="O592" s="8"/>
      <c r="P592" s="8"/>
      <c r="Q592" s="8"/>
      <c r="R592" s="8"/>
      <c r="S592" s="8"/>
      <c r="T592" s="8"/>
      <c r="U592" s="12"/>
      <c r="V592" s="12"/>
      <c r="W592" s="12"/>
      <c r="X592" s="12"/>
      <c r="Y592" s="12"/>
      <c r="Z592" s="12"/>
      <c r="AA592" s="12"/>
      <c r="AB592" s="12"/>
      <c r="AC592" s="12"/>
      <c r="AD592" s="12"/>
      <c r="AE592" s="12"/>
      <c r="AF592" s="12"/>
    </row>
    <row r="593" spans="1:32">
      <c r="A593" s="8"/>
      <c r="B593" s="8"/>
      <c r="C593" s="8"/>
      <c r="D593" s="8"/>
      <c r="E593" s="8"/>
      <c r="F593" s="8"/>
      <c r="G593" s="8"/>
      <c r="H593" s="8"/>
      <c r="I593" s="8"/>
      <c r="J593" s="8"/>
      <c r="K593" s="8"/>
      <c r="L593" s="8"/>
      <c r="M593" s="8"/>
      <c r="N593" s="8"/>
      <c r="O593" s="8"/>
      <c r="P593" s="8"/>
      <c r="Q593" s="8"/>
      <c r="R593" s="8"/>
      <c r="S593" s="8"/>
      <c r="T593" s="8"/>
      <c r="U593" s="12"/>
      <c r="V593" s="12"/>
      <c r="W593" s="12"/>
      <c r="X593" s="12"/>
      <c r="Y593" s="12"/>
      <c r="Z593" s="12"/>
      <c r="AA593" s="12"/>
      <c r="AB593" s="12"/>
      <c r="AC593" s="12"/>
      <c r="AD593" s="12"/>
      <c r="AE593" s="12"/>
      <c r="AF593" s="12"/>
    </row>
    <row r="594" spans="1:32">
      <c r="A594" s="8"/>
      <c r="B594" s="8"/>
      <c r="C594" s="8"/>
      <c r="D594" s="8"/>
      <c r="E594" s="8"/>
      <c r="F594" s="8"/>
      <c r="G594" s="8"/>
      <c r="H594" s="8"/>
      <c r="I594" s="8"/>
      <c r="J594" s="8"/>
      <c r="K594" s="8"/>
      <c r="L594" s="8"/>
      <c r="M594" s="8"/>
      <c r="N594" s="8"/>
      <c r="O594" s="8"/>
      <c r="P594" s="8"/>
      <c r="Q594" s="8"/>
      <c r="R594" s="8"/>
      <c r="S594" s="8"/>
      <c r="T594" s="8"/>
      <c r="U594" s="12"/>
      <c r="V594" s="12"/>
      <c r="W594" s="12"/>
      <c r="X594" s="12"/>
      <c r="Y594" s="12"/>
      <c r="Z594" s="12"/>
      <c r="AA594" s="12"/>
      <c r="AB594" s="12"/>
      <c r="AC594" s="12"/>
      <c r="AD594" s="12"/>
      <c r="AE594" s="12"/>
      <c r="AF594" s="12"/>
    </row>
    <row r="595" spans="1:32">
      <c r="A595" s="8"/>
      <c r="B595" s="8"/>
      <c r="C595" s="8"/>
      <c r="D595" s="8"/>
      <c r="E595" s="8"/>
      <c r="F595" s="8"/>
      <c r="G595" s="8"/>
      <c r="H595" s="8"/>
      <c r="I595" s="8"/>
      <c r="J595" s="8"/>
      <c r="K595" s="8"/>
      <c r="L595" s="8"/>
      <c r="M595" s="8"/>
      <c r="N595" s="8"/>
      <c r="O595" s="8"/>
      <c r="P595" s="8"/>
      <c r="Q595" s="8"/>
      <c r="R595" s="8"/>
      <c r="S595" s="8"/>
      <c r="T595" s="8"/>
      <c r="U595" s="12"/>
      <c r="V595" s="12"/>
      <c r="W595" s="12"/>
      <c r="X595" s="12"/>
      <c r="Y595" s="12"/>
      <c r="Z595" s="12"/>
      <c r="AA595" s="12"/>
      <c r="AB595" s="12"/>
      <c r="AC595" s="12"/>
      <c r="AD595" s="12"/>
      <c r="AE595" s="12"/>
      <c r="AF595" s="12"/>
    </row>
    <row r="596" spans="1:32">
      <c r="A596" s="8"/>
      <c r="B596" s="8"/>
      <c r="C596" s="8"/>
      <c r="D596" s="8"/>
      <c r="E596" s="8"/>
      <c r="F596" s="8"/>
      <c r="G596" s="8"/>
      <c r="H596" s="8"/>
      <c r="I596" s="8"/>
      <c r="J596" s="8"/>
      <c r="K596" s="8"/>
      <c r="L596" s="8"/>
      <c r="M596" s="8"/>
      <c r="N596" s="8"/>
      <c r="O596" s="8"/>
      <c r="P596" s="8"/>
      <c r="Q596" s="8"/>
      <c r="R596" s="8"/>
      <c r="S596" s="8"/>
      <c r="T596" s="8"/>
      <c r="U596" s="12"/>
      <c r="V596" s="12"/>
      <c r="W596" s="12"/>
      <c r="X596" s="12"/>
      <c r="Y596" s="12"/>
      <c r="Z596" s="12"/>
      <c r="AA596" s="12"/>
      <c r="AB596" s="12"/>
      <c r="AC596" s="12"/>
      <c r="AD596" s="12"/>
      <c r="AE596" s="12"/>
      <c r="AF596" s="12"/>
    </row>
    <row r="597" spans="1:32">
      <c r="A597" s="8"/>
      <c r="B597" s="8"/>
      <c r="C597" s="8"/>
      <c r="D597" s="8"/>
      <c r="E597" s="8"/>
      <c r="F597" s="8"/>
      <c r="G597" s="8"/>
      <c r="H597" s="8"/>
      <c r="I597" s="8"/>
      <c r="J597" s="8"/>
      <c r="K597" s="8"/>
      <c r="L597" s="8"/>
      <c r="M597" s="8"/>
      <c r="N597" s="8"/>
      <c r="O597" s="8"/>
      <c r="P597" s="8"/>
      <c r="Q597" s="8"/>
      <c r="R597" s="8"/>
      <c r="S597" s="8"/>
      <c r="T597" s="8"/>
      <c r="U597" s="12"/>
      <c r="V597" s="12"/>
      <c r="W597" s="12"/>
      <c r="X597" s="12"/>
      <c r="Y597" s="12"/>
      <c r="Z597" s="12"/>
      <c r="AA597" s="12"/>
      <c r="AB597" s="12"/>
      <c r="AC597" s="12"/>
      <c r="AD597" s="12"/>
      <c r="AE597" s="12"/>
      <c r="AF597" s="12"/>
    </row>
    <row r="598" spans="1:32">
      <c r="A598" s="8"/>
      <c r="B598" s="8"/>
      <c r="C598" s="8"/>
      <c r="D598" s="8"/>
      <c r="E598" s="8"/>
      <c r="F598" s="8"/>
      <c r="G598" s="8"/>
      <c r="H598" s="8"/>
      <c r="I598" s="8"/>
      <c r="J598" s="8"/>
      <c r="K598" s="8"/>
      <c r="L598" s="8"/>
      <c r="M598" s="8"/>
      <c r="N598" s="8"/>
      <c r="O598" s="8"/>
      <c r="P598" s="8"/>
      <c r="Q598" s="8"/>
      <c r="R598" s="8"/>
      <c r="S598" s="8"/>
      <c r="T598" s="8"/>
      <c r="U598" s="12"/>
      <c r="V598" s="12"/>
      <c r="W598" s="12"/>
      <c r="X598" s="12"/>
      <c r="Y598" s="12"/>
      <c r="Z598" s="12"/>
      <c r="AA598" s="12"/>
      <c r="AB598" s="12"/>
      <c r="AC598" s="12"/>
      <c r="AD598" s="12"/>
      <c r="AE598" s="12"/>
      <c r="AF598" s="12"/>
    </row>
    <row r="599" spans="1:32">
      <c r="A599" s="8"/>
      <c r="B599" s="8"/>
      <c r="C599" s="8"/>
      <c r="D599" s="8"/>
      <c r="E599" s="8"/>
      <c r="F599" s="8"/>
      <c r="G599" s="8"/>
      <c r="H599" s="8"/>
      <c r="I599" s="8"/>
      <c r="J599" s="8"/>
      <c r="K599" s="8"/>
      <c r="L599" s="8"/>
      <c r="M599" s="8"/>
      <c r="N599" s="8"/>
      <c r="O599" s="8"/>
      <c r="P599" s="8"/>
      <c r="Q599" s="8"/>
      <c r="R599" s="8"/>
      <c r="S599" s="8"/>
      <c r="T599" s="8"/>
      <c r="U599" s="12"/>
      <c r="V599" s="12"/>
      <c r="W599" s="12"/>
      <c r="X599" s="12"/>
      <c r="Y599" s="12"/>
      <c r="Z599" s="12"/>
      <c r="AA599" s="12"/>
      <c r="AB599" s="12"/>
      <c r="AC599" s="12"/>
      <c r="AD599" s="12"/>
      <c r="AE599" s="12"/>
      <c r="AF599" s="12"/>
    </row>
    <row r="600" spans="1:32">
      <c r="A600" s="8"/>
      <c r="B600" s="8"/>
      <c r="C600" s="8"/>
      <c r="D600" s="8"/>
      <c r="E600" s="8"/>
      <c r="F600" s="8"/>
      <c r="G600" s="8"/>
      <c r="H600" s="8"/>
      <c r="I600" s="8"/>
      <c r="J600" s="8"/>
      <c r="K600" s="8"/>
      <c r="L600" s="8"/>
      <c r="M600" s="8"/>
      <c r="N600" s="8"/>
      <c r="O600" s="8"/>
      <c r="P600" s="8"/>
      <c r="Q600" s="8"/>
      <c r="R600" s="8"/>
      <c r="S600" s="8"/>
      <c r="T600" s="8"/>
      <c r="U600" s="12"/>
      <c r="V600" s="12"/>
      <c r="W600" s="12"/>
      <c r="X600" s="12"/>
      <c r="Y600" s="12"/>
      <c r="Z600" s="12"/>
      <c r="AA600" s="12"/>
      <c r="AB600" s="12"/>
      <c r="AC600" s="12"/>
      <c r="AD600" s="12"/>
      <c r="AE600" s="12"/>
      <c r="AF600" s="12"/>
    </row>
    <row r="601" spans="1:32">
      <c r="A601" s="8"/>
      <c r="B601" s="8"/>
      <c r="C601" s="8"/>
      <c r="D601" s="8"/>
      <c r="E601" s="8"/>
      <c r="F601" s="8"/>
      <c r="G601" s="8"/>
      <c r="H601" s="8"/>
      <c r="I601" s="8"/>
      <c r="J601" s="8"/>
      <c r="K601" s="8"/>
      <c r="L601" s="8"/>
      <c r="M601" s="8"/>
      <c r="N601" s="8"/>
      <c r="O601" s="8"/>
      <c r="P601" s="8"/>
      <c r="Q601" s="8"/>
      <c r="R601" s="8"/>
      <c r="S601" s="8"/>
      <c r="T601" s="8"/>
      <c r="U601" s="12"/>
      <c r="V601" s="12"/>
      <c r="W601" s="12"/>
      <c r="X601" s="12"/>
      <c r="Y601" s="12"/>
      <c r="Z601" s="12"/>
      <c r="AA601" s="12"/>
      <c r="AB601" s="12"/>
      <c r="AC601" s="12"/>
      <c r="AD601" s="12"/>
      <c r="AE601" s="12"/>
      <c r="AF601" s="12"/>
    </row>
    <row r="602" spans="1:32">
      <c r="A602" s="8"/>
      <c r="B602" s="8"/>
      <c r="C602" s="8"/>
      <c r="D602" s="8"/>
      <c r="E602" s="8"/>
      <c r="F602" s="8"/>
      <c r="G602" s="8"/>
      <c r="H602" s="8"/>
      <c r="I602" s="8"/>
      <c r="J602" s="8"/>
      <c r="K602" s="8"/>
      <c r="L602" s="8"/>
      <c r="M602" s="8"/>
      <c r="N602" s="8"/>
      <c r="O602" s="8"/>
      <c r="P602" s="8"/>
      <c r="Q602" s="8"/>
      <c r="R602" s="8"/>
      <c r="S602" s="8"/>
      <c r="T602" s="8"/>
      <c r="U602" s="12"/>
      <c r="V602" s="12"/>
      <c r="W602" s="12"/>
      <c r="X602" s="12"/>
      <c r="Y602" s="12"/>
      <c r="Z602" s="12"/>
      <c r="AA602" s="12"/>
      <c r="AB602" s="12"/>
      <c r="AC602" s="12"/>
      <c r="AD602" s="12"/>
      <c r="AE602" s="12"/>
      <c r="AF602" s="12"/>
    </row>
    <row r="603" spans="1:32">
      <c r="A603" s="8"/>
      <c r="B603" s="8"/>
      <c r="C603" s="8"/>
      <c r="D603" s="8"/>
      <c r="E603" s="8"/>
      <c r="F603" s="8"/>
      <c r="G603" s="8"/>
      <c r="H603" s="8"/>
      <c r="I603" s="8"/>
      <c r="J603" s="8"/>
      <c r="K603" s="8"/>
      <c r="L603" s="8"/>
      <c r="M603" s="8"/>
      <c r="N603" s="8"/>
      <c r="O603" s="8"/>
      <c r="P603" s="8"/>
      <c r="Q603" s="8"/>
      <c r="R603" s="8"/>
      <c r="S603" s="8"/>
      <c r="T603" s="8"/>
      <c r="U603" s="12"/>
      <c r="V603" s="12"/>
      <c r="W603" s="12"/>
      <c r="X603" s="12"/>
      <c r="Y603" s="12"/>
      <c r="Z603" s="12"/>
      <c r="AA603" s="12"/>
      <c r="AB603" s="12"/>
      <c r="AC603" s="12"/>
      <c r="AD603" s="12"/>
      <c r="AE603" s="12"/>
      <c r="AF603" s="12"/>
    </row>
    <row r="604" spans="1:32">
      <c r="A604" s="8"/>
      <c r="B604" s="8"/>
      <c r="C604" s="8"/>
      <c r="D604" s="8"/>
      <c r="E604" s="8"/>
      <c r="F604" s="8"/>
      <c r="G604" s="8"/>
      <c r="H604" s="8"/>
      <c r="I604" s="8"/>
      <c r="J604" s="8"/>
      <c r="K604" s="8"/>
      <c r="L604" s="8"/>
      <c r="M604" s="8"/>
      <c r="N604" s="8"/>
      <c r="O604" s="8"/>
      <c r="P604" s="8"/>
      <c r="Q604" s="8"/>
      <c r="R604" s="8"/>
      <c r="S604" s="8"/>
      <c r="T604" s="8"/>
      <c r="U604" s="12"/>
      <c r="V604" s="12"/>
      <c r="W604" s="12"/>
      <c r="X604" s="12"/>
      <c r="Y604" s="12"/>
      <c r="Z604" s="12"/>
      <c r="AA604" s="12"/>
      <c r="AB604" s="12"/>
      <c r="AC604" s="12"/>
      <c r="AD604" s="12"/>
      <c r="AE604" s="12"/>
      <c r="AF604" s="12"/>
    </row>
    <row r="605" spans="1:32">
      <c r="A605" s="8"/>
      <c r="B605" s="8"/>
      <c r="C605" s="8"/>
      <c r="D605" s="8"/>
      <c r="E605" s="8"/>
      <c r="F605" s="8"/>
      <c r="G605" s="8"/>
      <c r="H605" s="8"/>
      <c r="I605" s="8"/>
      <c r="J605" s="8"/>
      <c r="K605" s="8"/>
      <c r="L605" s="8"/>
      <c r="M605" s="8"/>
      <c r="N605" s="8"/>
      <c r="O605" s="8"/>
      <c r="P605" s="8"/>
      <c r="Q605" s="8"/>
      <c r="R605" s="8"/>
      <c r="S605" s="8"/>
      <c r="T605" s="8"/>
      <c r="U605" s="12"/>
      <c r="V605" s="12"/>
      <c r="W605" s="12"/>
      <c r="X605" s="12"/>
      <c r="Y605" s="12"/>
      <c r="Z605" s="12"/>
      <c r="AA605" s="12"/>
      <c r="AB605" s="12"/>
      <c r="AC605" s="12"/>
      <c r="AD605" s="12"/>
      <c r="AE605" s="12"/>
      <c r="AF605" s="12"/>
    </row>
    <row r="606" spans="1:32">
      <c r="A606" s="8"/>
      <c r="B606" s="8"/>
      <c r="C606" s="8"/>
      <c r="D606" s="8"/>
      <c r="E606" s="8"/>
      <c r="F606" s="8"/>
      <c r="G606" s="8"/>
      <c r="H606" s="8"/>
      <c r="I606" s="8"/>
      <c r="J606" s="8"/>
      <c r="K606" s="8"/>
      <c r="L606" s="8"/>
      <c r="M606" s="8"/>
      <c r="N606" s="8"/>
      <c r="O606" s="8"/>
      <c r="P606" s="8"/>
      <c r="Q606" s="8"/>
      <c r="R606" s="8"/>
      <c r="S606" s="8"/>
      <c r="T606" s="8"/>
      <c r="U606" s="12"/>
      <c r="V606" s="12"/>
      <c r="W606" s="12"/>
      <c r="X606" s="12"/>
      <c r="Y606" s="12"/>
      <c r="Z606" s="12"/>
      <c r="AA606" s="12"/>
      <c r="AB606" s="12"/>
      <c r="AC606" s="12"/>
      <c r="AD606" s="12"/>
      <c r="AE606" s="12"/>
      <c r="AF606" s="12"/>
    </row>
    <row r="607" spans="1:32">
      <c r="A607" s="8"/>
      <c r="B607" s="8"/>
      <c r="C607" s="8"/>
      <c r="D607" s="8"/>
      <c r="E607" s="8"/>
      <c r="F607" s="8"/>
      <c r="G607" s="8"/>
      <c r="H607" s="8"/>
      <c r="I607" s="8"/>
      <c r="J607" s="8"/>
      <c r="K607" s="8"/>
      <c r="L607" s="8"/>
      <c r="M607" s="8"/>
      <c r="N607" s="8"/>
      <c r="O607" s="8"/>
      <c r="P607" s="8"/>
      <c r="Q607" s="8"/>
      <c r="R607" s="8"/>
      <c r="S607" s="8"/>
      <c r="T607" s="8"/>
      <c r="U607" s="12"/>
      <c r="V607" s="12"/>
      <c r="W607" s="12"/>
      <c r="X607" s="12"/>
      <c r="Y607" s="12"/>
      <c r="Z607" s="12"/>
      <c r="AA607" s="12"/>
      <c r="AB607" s="12"/>
      <c r="AC607" s="12"/>
      <c r="AD607" s="12"/>
      <c r="AE607" s="12"/>
      <c r="AF607" s="12"/>
    </row>
    <row r="608" spans="1:32">
      <c r="A608" s="8"/>
      <c r="B608" s="8"/>
      <c r="C608" s="8"/>
      <c r="D608" s="8"/>
      <c r="E608" s="8"/>
      <c r="F608" s="8"/>
      <c r="G608" s="8"/>
      <c r="H608" s="8"/>
      <c r="I608" s="8"/>
      <c r="J608" s="8"/>
      <c r="K608" s="8"/>
      <c r="L608" s="8"/>
      <c r="M608" s="8"/>
      <c r="N608" s="8"/>
      <c r="O608" s="8"/>
      <c r="P608" s="8"/>
      <c r="Q608" s="8"/>
      <c r="R608" s="8"/>
      <c r="S608" s="8"/>
      <c r="T608" s="8"/>
      <c r="U608" s="12"/>
      <c r="V608" s="12"/>
      <c r="W608" s="12"/>
      <c r="X608" s="12"/>
      <c r="Y608" s="12"/>
      <c r="Z608" s="12"/>
      <c r="AA608" s="12"/>
      <c r="AB608" s="12"/>
      <c r="AC608" s="12"/>
      <c r="AD608" s="12"/>
      <c r="AE608" s="12"/>
      <c r="AF608" s="12"/>
    </row>
    <row r="609" spans="1:32">
      <c r="A609" s="8"/>
      <c r="B609" s="8"/>
      <c r="C609" s="8"/>
      <c r="D609" s="8"/>
      <c r="E609" s="8"/>
      <c r="F609" s="8"/>
      <c r="G609" s="8"/>
      <c r="H609" s="8"/>
      <c r="I609" s="8"/>
      <c r="J609" s="8"/>
      <c r="K609" s="8"/>
      <c r="L609" s="8"/>
      <c r="M609" s="8"/>
      <c r="N609" s="8"/>
      <c r="O609" s="8"/>
      <c r="P609" s="8"/>
      <c r="Q609" s="8"/>
      <c r="R609" s="8"/>
      <c r="S609" s="8"/>
      <c r="T609" s="8"/>
      <c r="U609" s="12"/>
      <c r="V609" s="12"/>
      <c r="W609" s="12"/>
      <c r="X609" s="12"/>
      <c r="Y609" s="12"/>
      <c r="Z609" s="12"/>
      <c r="AA609" s="12"/>
      <c r="AB609" s="12"/>
      <c r="AC609" s="12"/>
      <c r="AD609" s="12"/>
      <c r="AE609" s="12"/>
      <c r="AF609" s="12"/>
    </row>
    <row r="610" spans="1:32">
      <c r="A610" s="8"/>
      <c r="B610" s="8"/>
      <c r="C610" s="8"/>
      <c r="D610" s="8"/>
      <c r="E610" s="8"/>
      <c r="F610" s="8"/>
      <c r="G610" s="8"/>
      <c r="H610" s="8"/>
      <c r="I610" s="8"/>
      <c r="J610" s="8"/>
      <c r="K610" s="8"/>
      <c r="L610" s="8"/>
      <c r="M610" s="8"/>
      <c r="N610" s="8"/>
      <c r="O610" s="8"/>
      <c r="P610" s="8"/>
      <c r="Q610" s="8"/>
      <c r="R610" s="8"/>
      <c r="S610" s="8"/>
      <c r="T610" s="8"/>
      <c r="U610" s="12"/>
      <c r="V610" s="12"/>
      <c r="W610" s="12"/>
      <c r="X610" s="12"/>
      <c r="Y610" s="12"/>
      <c r="Z610" s="12"/>
      <c r="AA610" s="12"/>
      <c r="AB610" s="12"/>
      <c r="AC610" s="12"/>
      <c r="AD610" s="12"/>
      <c r="AE610" s="12"/>
      <c r="AF610" s="12"/>
    </row>
    <row r="611" spans="1:32">
      <c r="A611" s="8"/>
      <c r="B611" s="8"/>
      <c r="C611" s="8"/>
      <c r="D611" s="8"/>
      <c r="E611" s="8"/>
      <c r="F611" s="8"/>
      <c r="G611" s="8"/>
      <c r="H611" s="8"/>
      <c r="I611" s="8"/>
      <c r="J611" s="8"/>
      <c r="K611" s="8"/>
      <c r="L611" s="8"/>
      <c r="M611" s="8"/>
      <c r="N611" s="8"/>
      <c r="O611" s="8"/>
      <c r="P611" s="8"/>
      <c r="Q611" s="8"/>
      <c r="R611" s="8"/>
      <c r="S611" s="8"/>
      <c r="T611" s="8"/>
      <c r="U611" s="12"/>
      <c r="V611" s="12"/>
      <c r="W611" s="12"/>
      <c r="X611" s="12"/>
      <c r="Y611" s="12"/>
      <c r="Z611" s="12"/>
      <c r="AA611" s="12"/>
      <c r="AB611" s="12"/>
      <c r="AC611" s="12"/>
      <c r="AD611" s="12"/>
      <c r="AE611" s="12"/>
      <c r="AF611" s="12"/>
    </row>
    <row r="612" spans="1:32">
      <c r="A612" s="8"/>
      <c r="B612" s="8"/>
      <c r="C612" s="8"/>
      <c r="D612" s="8"/>
      <c r="E612" s="8"/>
      <c r="F612" s="8"/>
      <c r="G612" s="8"/>
      <c r="H612" s="8"/>
      <c r="I612" s="8"/>
      <c r="J612" s="8"/>
      <c r="K612" s="8"/>
      <c r="L612" s="8"/>
      <c r="M612" s="8"/>
      <c r="N612" s="8"/>
      <c r="O612" s="8"/>
      <c r="P612" s="8"/>
      <c r="Q612" s="8"/>
      <c r="R612" s="8"/>
      <c r="S612" s="8"/>
      <c r="T612" s="8"/>
      <c r="U612" s="12"/>
      <c r="V612" s="12"/>
      <c r="W612" s="12"/>
      <c r="X612" s="12"/>
      <c r="Y612" s="12"/>
      <c r="Z612" s="12"/>
      <c r="AA612" s="12"/>
      <c r="AB612" s="12"/>
      <c r="AC612" s="12"/>
      <c r="AD612" s="12"/>
      <c r="AE612" s="12"/>
      <c r="AF612" s="12"/>
    </row>
    <row r="613" spans="1:32">
      <c r="A613" s="8"/>
      <c r="B613" s="8"/>
      <c r="C613" s="8"/>
      <c r="D613" s="8"/>
      <c r="E613" s="8"/>
      <c r="F613" s="8"/>
      <c r="G613" s="8"/>
      <c r="H613" s="8"/>
      <c r="I613" s="8"/>
      <c r="J613" s="8"/>
      <c r="K613" s="8"/>
      <c r="L613" s="8"/>
      <c r="M613" s="8"/>
      <c r="N613" s="8"/>
      <c r="O613" s="8"/>
      <c r="P613" s="8"/>
      <c r="Q613" s="8"/>
      <c r="R613" s="8"/>
      <c r="S613" s="8"/>
      <c r="T613" s="8"/>
      <c r="U613" s="12"/>
      <c r="V613" s="12"/>
      <c r="W613" s="12"/>
      <c r="X613" s="12"/>
      <c r="Y613" s="12"/>
      <c r="Z613" s="12"/>
      <c r="AA613" s="12"/>
      <c r="AB613" s="12"/>
      <c r="AC613" s="12"/>
      <c r="AD613" s="12"/>
      <c r="AE613" s="12"/>
      <c r="AF613" s="12"/>
    </row>
    <row r="614" spans="1:32">
      <c r="A614" s="8"/>
      <c r="B614" s="8"/>
      <c r="C614" s="8"/>
      <c r="D614" s="8"/>
      <c r="E614" s="8"/>
      <c r="F614" s="8"/>
      <c r="G614" s="8"/>
      <c r="H614" s="8"/>
      <c r="I614" s="8"/>
      <c r="J614" s="8"/>
      <c r="K614" s="8"/>
      <c r="L614" s="8"/>
      <c r="M614" s="8"/>
      <c r="N614" s="8"/>
      <c r="O614" s="8"/>
      <c r="P614" s="8"/>
      <c r="Q614" s="8"/>
      <c r="R614" s="8"/>
      <c r="S614" s="8"/>
      <c r="T614" s="8"/>
      <c r="U614" s="12"/>
      <c r="V614" s="12"/>
      <c r="W614" s="12"/>
      <c r="X614" s="12"/>
      <c r="Y614" s="12"/>
      <c r="Z614" s="12"/>
      <c r="AA614" s="12"/>
      <c r="AB614" s="12"/>
      <c r="AC614" s="12"/>
      <c r="AD614" s="12"/>
      <c r="AE614" s="12"/>
      <c r="AF614" s="12"/>
    </row>
    <row r="615" spans="1:32">
      <c r="A615" s="8"/>
      <c r="B615" s="8"/>
      <c r="C615" s="8"/>
      <c r="D615" s="8"/>
      <c r="E615" s="8"/>
      <c r="F615" s="8"/>
      <c r="G615" s="8"/>
      <c r="H615" s="8"/>
      <c r="I615" s="8"/>
      <c r="J615" s="8"/>
      <c r="K615" s="8"/>
      <c r="L615" s="8"/>
      <c r="M615" s="8"/>
      <c r="N615" s="8"/>
      <c r="O615" s="8"/>
      <c r="P615" s="8"/>
      <c r="Q615" s="8"/>
      <c r="R615" s="8"/>
      <c r="S615" s="8"/>
      <c r="T615" s="8"/>
      <c r="U615" s="12"/>
      <c r="V615" s="12"/>
      <c r="W615" s="12"/>
      <c r="X615" s="12"/>
      <c r="Y615" s="12"/>
      <c r="Z615" s="12"/>
      <c r="AA615" s="12"/>
      <c r="AB615" s="12"/>
      <c r="AC615" s="12"/>
      <c r="AD615" s="12"/>
      <c r="AE615" s="12"/>
      <c r="AF615" s="12"/>
    </row>
    <row r="616" spans="1:32">
      <c r="A616" s="8"/>
      <c r="B616" s="8"/>
      <c r="C616" s="8"/>
      <c r="D616" s="8"/>
      <c r="E616" s="8"/>
      <c r="F616" s="8"/>
      <c r="G616" s="8"/>
      <c r="H616" s="8"/>
      <c r="I616" s="8"/>
      <c r="J616" s="8"/>
      <c r="K616" s="8"/>
      <c r="L616" s="8"/>
      <c r="M616" s="8"/>
      <c r="N616" s="8"/>
      <c r="O616" s="8"/>
      <c r="P616" s="8"/>
      <c r="Q616" s="8"/>
      <c r="R616" s="8"/>
      <c r="S616" s="8"/>
      <c r="T616" s="8"/>
      <c r="U616" s="12"/>
      <c r="V616" s="12"/>
      <c r="W616" s="12"/>
      <c r="X616" s="12"/>
      <c r="Y616" s="12"/>
      <c r="Z616" s="12"/>
      <c r="AA616" s="12"/>
      <c r="AB616" s="12"/>
      <c r="AC616" s="12"/>
      <c r="AD616" s="12"/>
      <c r="AE616" s="12"/>
      <c r="AF616" s="12"/>
    </row>
    <row r="617" spans="1:32">
      <c r="A617" s="8"/>
      <c r="B617" s="8"/>
      <c r="C617" s="8"/>
      <c r="D617" s="8"/>
      <c r="E617" s="8"/>
      <c r="F617" s="8"/>
      <c r="G617" s="8"/>
      <c r="H617" s="8"/>
      <c r="I617" s="8"/>
      <c r="J617" s="8"/>
      <c r="K617" s="8"/>
      <c r="L617" s="8"/>
      <c r="M617" s="8"/>
      <c r="N617" s="8"/>
      <c r="O617" s="8"/>
      <c r="P617" s="8"/>
      <c r="Q617" s="8"/>
      <c r="R617" s="8"/>
      <c r="S617" s="8"/>
      <c r="T617" s="8"/>
      <c r="U617" s="12"/>
      <c r="V617" s="12"/>
      <c r="W617" s="12"/>
      <c r="X617" s="12"/>
      <c r="Y617" s="12"/>
      <c r="Z617" s="12"/>
      <c r="AA617" s="12"/>
      <c r="AB617" s="12"/>
      <c r="AC617" s="12"/>
      <c r="AD617" s="12"/>
      <c r="AE617" s="12"/>
      <c r="AF617" s="12"/>
    </row>
    <row r="618" spans="1:32">
      <c r="A618" s="8"/>
      <c r="B618" s="8"/>
      <c r="C618" s="8"/>
      <c r="D618" s="8"/>
      <c r="E618" s="8"/>
      <c r="F618" s="8"/>
      <c r="G618" s="8"/>
      <c r="H618" s="8"/>
      <c r="I618" s="8"/>
      <c r="J618" s="8"/>
      <c r="K618" s="8"/>
      <c r="L618" s="8"/>
      <c r="M618" s="8"/>
      <c r="N618" s="8"/>
      <c r="O618" s="8"/>
      <c r="P618" s="8"/>
      <c r="Q618" s="8"/>
      <c r="R618" s="8"/>
      <c r="S618" s="8"/>
      <c r="T618" s="8"/>
      <c r="U618" s="12"/>
      <c r="V618" s="12"/>
      <c r="W618" s="12"/>
      <c r="X618" s="12"/>
      <c r="Y618" s="12"/>
      <c r="Z618" s="12"/>
      <c r="AA618" s="12"/>
      <c r="AB618" s="12"/>
      <c r="AC618" s="12"/>
      <c r="AD618" s="12"/>
      <c r="AE618" s="12"/>
      <c r="AF618" s="12"/>
    </row>
    <row r="619" spans="1:32">
      <c r="A619" s="8"/>
      <c r="B619" s="8"/>
      <c r="C619" s="8"/>
      <c r="D619" s="8"/>
      <c r="E619" s="8"/>
      <c r="F619" s="8"/>
      <c r="G619" s="8"/>
      <c r="H619" s="8"/>
      <c r="I619" s="8"/>
      <c r="J619" s="8"/>
      <c r="K619" s="8"/>
      <c r="L619" s="8"/>
      <c r="M619" s="8"/>
      <c r="N619" s="8"/>
      <c r="O619" s="8"/>
      <c r="P619" s="8"/>
      <c r="Q619" s="8"/>
      <c r="R619" s="8"/>
      <c r="S619" s="8"/>
      <c r="T619" s="8"/>
      <c r="U619" s="12"/>
      <c r="V619" s="12"/>
      <c r="W619" s="12"/>
      <c r="X619" s="12"/>
      <c r="Y619" s="12"/>
      <c r="Z619" s="12"/>
      <c r="AA619" s="12"/>
      <c r="AB619" s="12"/>
      <c r="AC619" s="12"/>
      <c r="AD619" s="12"/>
      <c r="AE619" s="12"/>
      <c r="AF619" s="12"/>
    </row>
    <row r="620" spans="1:32">
      <c r="A620" s="8"/>
      <c r="B620" s="8"/>
      <c r="C620" s="8"/>
      <c r="D620" s="8"/>
      <c r="E620" s="8"/>
      <c r="F620" s="8"/>
      <c r="G620" s="8"/>
      <c r="H620" s="8"/>
      <c r="I620" s="8"/>
      <c r="J620" s="8"/>
      <c r="K620" s="8"/>
      <c r="L620" s="8"/>
      <c r="M620" s="8"/>
      <c r="N620" s="8"/>
      <c r="O620" s="8"/>
      <c r="P620" s="8"/>
      <c r="Q620" s="8"/>
      <c r="R620" s="8"/>
      <c r="S620" s="8"/>
      <c r="T620" s="8"/>
      <c r="U620" s="12"/>
      <c r="V620" s="12"/>
      <c r="W620" s="12"/>
      <c r="X620" s="12"/>
      <c r="Y620" s="12"/>
      <c r="Z620" s="12"/>
      <c r="AA620" s="12"/>
      <c r="AB620" s="12"/>
      <c r="AC620" s="12"/>
      <c r="AD620" s="12"/>
      <c r="AE620" s="12"/>
      <c r="AF620" s="12"/>
    </row>
    <row r="621" spans="1:32">
      <c r="A621" s="8"/>
      <c r="B621" s="8"/>
      <c r="C621" s="8"/>
      <c r="D621" s="8"/>
      <c r="E621" s="8"/>
      <c r="F621" s="8"/>
      <c r="G621" s="8"/>
      <c r="H621" s="8"/>
      <c r="I621" s="8"/>
      <c r="J621" s="8"/>
      <c r="K621" s="8"/>
      <c r="L621" s="8"/>
      <c r="M621" s="8"/>
      <c r="N621" s="8"/>
      <c r="O621" s="8"/>
      <c r="P621" s="8"/>
      <c r="Q621" s="8"/>
      <c r="R621" s="8"/>
      <c r="S621" s="8"/>
      <c r="T621" s="8"/>
      <c r="U621" s="12"/>
      <c r="V621" s="12"/>
      <c r="W621" s="12"/>
      <c r="X621" s="12"/>
      <c r="Y621" s="12"/>
      <c r="Z621" s="12"/>
      <c r="AA621" s="12"/>
      <c r="AB621" s="12"/>
      <c r="AC621" s="12"/>
      <c r="AD621" s="12"/>
      <c r="AE621" s="12"/>
      <c r="AF621" s="12"/>
    </row>
    <row r="622" spans="1:32">
      <c r="A622" s="8"/>
      <c r="B622" s="8"/>
      <c r="C622" s="8"/>
      <c r="D622" s="8"/>
      <c r="E622" s="8"/>
      <c r="F622" s="8"/>
      <c r="G622" s="8"/>
      <c r="H622" s="8"/>
      <c r="I622" s="8"/>
      <c r="J622" s="8"/>
      <c r="K622" s="8"/>
      <c r="L622" s="8"/>
      <c r="M622" s="8"/>
      <c r="N622" s="8"/>
      <c r="O622" s="8"/>
      <c r="P622" s="8"/>
      <c r="Q622" s="8"/>
      <c r="R622" s="8"/>
      <c r="S622" s="8"/>
      <c r="T622" s="8"/>
      <c r="U622" s="12"/>
      <c r="V622" s="12"/>
      <c r="W622" s="12"/>
      <c r="X622" s="12"/>
      <c r="Y622" s="12"/>
      <c r="Z622" s="12"/>
      <c r="AA622" s="12"/>
      <c r="AB622" s="12"/>
      <c r="AC622" s="12"/>
      <c r="AD622" s="12"/>
      <c r="AE622" s="12"/>
      <c r="AF622" s="12"/>
    </row>
    <row r="623" spans="1:32">
      <c r="A623" s="8"/>
      <c r="B623" s="8"/>
      <c r="C623" s="8"/>
      <c r="D623" s="8"/>
      <c r="E623" s="8"/>
      <c r="F623" s="8"/>
      <c r="G623" s="8"/>
      <c r="H623" s="8"/>
      <c r="I623" s="8"/>
      <c r="J623" s="8"/>
      <c r="K623" s="8"/>
      <c r="L623" s="8"/>
      <c r="M623" s="8"/>
      <c r="N623" s="8"/>
      <c r="O623" s="8"/>
      <c r="P623" s="8"/>
      <c r="Q623" s="8"/>
      <c r="R623" s="8"/>
      <c r="S623" s="8"/>
      <c r="T623" s="8"/>
      <c r="U623" s="12"/>
      <c r="V623" s="12"/>
      <c r="W623" s="12"/>
      <c r="X623" s="12"/>
      <c r="Y623" s="12"/>
      <c r="Z623" s="12"/>
      <c r="AA623" s="12"/>
      <c r="AB623" s="12"/>
      <c r="AC623" s="12"/>
      <c r="AD623" s="12"/>
      <c r="AE623" s="12"/>
      <c r="AF623" s="12"/>
    </row>
    <row r="624" spans="1:32">
      <c r="A624" s="8"/>
      <c r="B624" s="8"/>
      <c r="C624" s="8"/>
      <c r="D624" s="8"/>
      <c r="E624" s="8"/>
      <c r="F624" s="8"/>
      <c r="G624" s="8"/>
      <c r="H624" s="8"/>
      <c r="I624" s="8"/>
      <c r="J624" s="8"/>
      <c r="K624" s="8"/>
      <c r="L624" s="8"/>
      <c r="M624" s="8"/>
      <c r="N624" s="8"/>
      <c r="O624" s="8"/>
      <c r="P624" s="8"/>
      <c r="Q624" s="8"/>
      <c r="R624" s="8"/>
      <c r="S624" s="8"/>
      <c r="T624" s="8"/>
      <c r="U624" s="12"/>
      <c r="V624" s="12"/>
      <c r="W624" s="12"/>
      <c r="X624" s="12"/>
      <c r="Y624" s="12"/>
      <c r="Z624" s="12"/>
      <c r="AA624" s="12"/>
      <c r="AB624" s="12"/>
      <c r="AC624" s="12"/>
      <c r="AD624" s="12"/>
      <c r="AE624" s="12"/>
      <c r="AF624" s="12"/>
    </row>
    <row r="625" spans="1:32">
      <c r="A625" s="8"/>
      <c r="B625" s="8"/>
      <c r="C625" s="8"/>
      <c r="D625" s="8"/>
      <c r="E625" s="8"/>
      <c r="F625" s="8"/>
      <c r="G625" s="8"/>
      <c r="H625" s="8"/>
      <c r="I625" s="8"/>
      <c r="J625" s="8"/>
      <c r="K625" s="8"/>
      <c r="L625" s="8"/>
      <c r="M625" s="8"/>
      <c r="N625" s="8"/>
      <c r="O625" s="8"/>
      <c r="P625" s="8"/>
      <c r="Q625" s="8"/>
      <c r="R625" s="8"/>
      <c r="S625" s="8"/>
      <c r="T625" s="8"/>
      <c r="U625" s="12"/>
      <c r="V625" s="12"/>
      <c r="W625" s="12"/>
      <c r="X625" s="12"/>
      <c r="Y625" s="12"/>
      <c r="Z625" s="12"/>
      <c r="AA625" s="12"/>
      <c r="AB625" s="12"/>
      <c r="AC625" s="12"/>
      <c r="AD625" s="12"/>
      <c r="AE625" s="12"/>
      <c r="AF625" s="12"/>
    </row>
    <row r="626" spans="1:32">
      <c r="A626" s="8"/>
      <c r="B626" s="8"/>
      <c r="C626" s="8"/>
      <c r="D626" s="8"/>
      <c r="E626" s="8"/>
      <c r="F626" s="8"/>
      <c r="G626" s="8"/>
      <c r="H626" s="8"/>
      <c r="I626" s="8"/>
      <c r="J626" s="8"/>
      <c r="K626" s="8"/>
      <c r="L626" s="8"/>
      <c r="M626" s="8"/>
      <c r="N626" s="8"/>
      <c r="O626" s="8"/>
      <c r="P626" s="8"/>
      <c r="Q626" s="8"/>
      <c r="R626" s="8"/>
      <c r="S626" s="8"/>
      <c r="T626" s="8"/>
      <c r="U626" s="12"/>
      <c r="V626" s="12"/>
      <c r="W626" s="12"/>
      <c r="X626" s="12"/>
      <c r="Y626" s="12"/>
      <c r="Z626" s="12"/>
      <c r="AA626" s="12"/>
      <c r="AB626" s="12"/>
      <c r="AC626" s="12"/>
      <c r="AD626" s="12"/>
      <c r="AE626" s="12"/>
      <c r="AF626" s="12"/>
    </row>
    <row r="627" spans="1:32">
      <c r="A627" s="8"/>
      <c r="B627" s="8"/>
      <c r="C627" s="8"/>
      <c r="D627" s="8"/>
      <c r="E627" s="8"/>
      <c r="F627" s="8"/>
      <c r="G627" s="8"/>
      <c r="H627" s="8"/>
      <c r="I627" s="8"/>
      <c r="J627" s="8"/>
      <c r="K627" s="8"/>
      <c r="L627" s="8"/>
      <c r="M627" s="8"/>
      <c r="N627" s="8"/>
      <c r="O627" s="8"/>
      <c r="P627" s="8"/>
      <c r="Q627" s="8"/>
      <c r="R627" s="8"/>
      <c r="S627" s="8"/>
      <c r="T627" s="8"/>
      <c r="U627" s="12"/>
      <c r="V627" s="12"/>
      <c r="W627" s="12"/>
      <c r="X627" s="12"/>
      <c r="Y627" s="12"/>
      <c r="Z627" s="12"/>
      <c r="AA627" s="12"/>
      <c r="AB627" s="12"/>
      <c r="AC627" s="12"/>
      <c r="AD627" s="12"/>
      <c r="AE627" s="12"/>
      <c r="AF627" s="12"/>
    </row>
    <row r="628" spans="1:32">
      <c r="A628" s="8"/>
      <c r="B628" s="8"/>
      <c r="C628" s="8"/>
      <c r="D628" s="8"/>
      <c r="E628" s="8"/>
      <c r="F628" s="8"/>
      <c r="G628" s="8"/>
      <c r="H628" s="8"/>
      <c r="I628" s="8"/>
      <c r="J628" s="8"/>
      <c r="K628" s="8"/>
      <c r="L628" s="8"/>
      <c r="M628" s="8"/>
      <c r="N628" s="8"/>
      <c r="O628" s="8"/>
      <c r="P628" s="8"/>
      <c r="Q628" s="8"/>
      <c r="R628" s="8"/>
      <c r="S628" s="8"/>
      <c r="T628" s="8"/>
      <c r="U628" s="12"/>
      <c r="V628" s="12"/>
      <c r="W628" s="12"/>
      <c r="X628" s="12"/>
      <c r="Y628" s="12"/>
      <c r="Z628" s="12"/>
      <c r="AA628" s="12"/>
      <c r="AB628" s="12"/>
      <c r="AC628" s="12"/>
      <c r="AD628" s="12"/>
      <c r="AE628" s="12"/>
      <c r="AF628" s="12"/>
    </row>
    <row r="629" spans="1:32">
      <c r="A629" s="8"/>
      <c r="B629" s="8"/>
      <c r="C629" s="8"/>
      <c r="D629" s="8"/>
      <c r="E629" s="8"/>
      <c r="F629" s="8"/>
      <c r="G629" s="8"/>
      <c r="H629" s="8"/>
      <c r="I629" s="8"/>
      <c r="J629" s="8"/>
      <c r="K629" s="8"/>
      <c r="L629" s="8"/>
      <c r="M629" s="8"/>
      <c r="N629" s="8"/>
      <c r="O629" s="8"/>
      <c r="P629" s="8"/>
      <c r="Q629" s="8"/>
      <c r="R629" s="8"/>
      <c r="S629" s="8"/>
      <c r="T629" s="8"/>
      <c r="U629" s="12"/>
      <c r="V629" s="12"/>
      <c r="W629" s="12"/>
      <c r="X629" s="12"/>
      <c r="Y629" s="12"/>
      <c r="Z629" s="12"/>
      <c r="AA629" s="12"/>
      <c r="AB629" s="12"/>
      <c r="AC629" s="12"/>
      <c r="AD629" s="12"/>
      <c r="AE629" s="12"/>
      <c r="AF629" s="12"/>
    </row>
    <row r="630" spans="1:32">
      <c r="A630" s="8"/>
      <c r="B630" s="8"/>
      <c r="C630" s="8"/>
      <c r="D630" s="8"/>
      <c r="E630" s="8"/>
      <c r="F630" s="8"/>
      <c r="G630" s="8"/>
      <c r="H630" s="8"/>
      <c r="I630" s="8"/>
      <c r="J630" s="8"/>
      <c r="K630" s="8"/>
      <c r="L630" s="8"/>
      <c r="M630" s="8"/>
      <c r="N630" s="8"/>
      <c r="O630" s="8"/>
      <c r="P630" s="8"/>
      <c r="Q630" s="8"/>
      <c r="R630" s="8"/>
      <c r="S630" s="8"/>
      <c r="T630" s="8"/>
      <c r="U630" s="12"/>
      <c r="V630" s="12"/>
      <c r="W630" s="12"/>
      <c r="X630" s="12"/>
      <c r="Y630" s="12"/>
      <c r="Z630" s="12"/>
      <c r="AA630" s="12"/>
      <c r="AB630" s="12"/>
      <c r="AC630" s="12"/>
      <c r="AD630" s="12"/>
      <c r="AE630" s="12"/>
      <c r="AF630" s="12"/>
    </row>
    <row r="631" spans="1:32">
      <c r="A631" s="8"/>
      <c r="B631" s="8"/>
      <c r="C631" s="8"/>
      <c r="D631" s="8"/>
      <c r="E631" s="8"/>
      <c r="F631" s="8"/>
      <c r="G631" s="8"/>
      <c r="H631" s="8"/>
      <c r="I631" s="8"/>
      <c r="J631" s="8"/>
      <c r="K631" s="8"/>
      <c r="L631" s="8"/>
      <c r="M631" s="8"/>
      <c r="N631" s="8"/>
      <c r="O631" s="8"/>
      <c r="P631" s="8"/>
      <c r="Q631" s="8"/>
      <c r="R631" s="8"/>
      <c r="S631" s="8"/>
      <c r="T631" s="8"/>
      <c r="U631" s="12"/>
      <c r="V631" s="12"/>
      <c r="W631" s="12"/>
      <c r="X631" s="12"/>
      <c r="Y631" s="12"/>
      <c r="Z631" s="12"/>
      <c r="AA631" s="12"/>
      <c r="AB631" s="12"/>
      <c r="AC631" s="12"/>
      <c r="AD631" s="12"/>
      <c r="AE631" s="12"/>
      <c r="AF631" s="12"/>
    </row>
    <row r="632" spans="1:32">
      <c r="A632" s="8"/>
      <c r="B632" s="8"/>
      <c r="C632" s="8"/>
      <c r="D632" s="8"/>
      <c r="E632" s="8"/>
      <c r="F632" s="8"/>
      <c r="G632" s="8"/>
      <c r="H632" s="8"/>
      <c r="I632" s="8"/>
      <c r="J632" s="8"/>
      <c r="K632" s="8"/>
      <c r="L632" s="8"/>
      <c r="M632" s="8"/>
      <c r="N632" s="8"/>
      <c r="O632" s="8"/>
      <c r="P632" s="8"/>
      <c r="Q632" s="8"/>
      <c r="R632" s="8"/>
      <c r="S632" s="8"/>
      <c r="T632" s="8"/>
      <c r="U632" s="12"/>
      <c r="V632" s="12"/>
      <c r="W632" s="12"/>
      <c r="X632" s="12"/>
      <c r="Y632" s="12"/>
      <c r="Z632" s="12"/>
      <c r="AA632" s="12"/>
      <c r="AB632" s="12"/>
      <c r="AC632" s="12"/>
      <c r="AD632" s="12"/>
      <c r="AE632" s="12"/>
      <c r="AF632" s="12"/>
    </row>
    <row r="633" spans="1:32">
      <c r="A633" s="8"/>
      <c r="B633" s="8"/>
      <c r="C633" s="8"/>
      <c r="D633" s="8"/>
      <c r="E633" s="8"/>
      <c r="F633" s="8"/>
      <c r="G633" s="8"/>
      <c r="H633" s="8"/>
      <c r="I633" s="8"/>
      <c r="J633" s="8"/>
      <c r="K633" s="8"/>
      <c r="L633" s="8"/>
      <c r="M633" s="8"/>
      <c r="N633" s="8"/>
      <c r="O633" s="8"/>
      <c r="P633" s="8"/>
      <c r="Q633" s="8"/>
      <c r="R633" s="8"/>
      <c r="S633" s="8"/>
      <c r="T633" s="8"/>
      <c r="U633" s="12"/>
      <c r="V633" s="12"/>
      <c r="W633" s="12"/>
      <c r="X633" s="12"/>
      <c r="Y633" s="12"/>
      <c r="Z633" s="12"/>
      <c r="AA633" s="12"/>
      <c r="AB633" s="12"/>
      <c r="AC633" s="12"/>
      <c r="AD633" s="12"/>
      <c r="AE633" s="12"/>
      <c r="AF633" s="12"/>
    </row>
    <row r="634" spans="1:32">
      <c r="A634" s="8"/>
      <c r="B634" s="8"/>
      <c r="C634" s="8"/>
      <c r="D634" s="8"/>
      <c r="E634" s="8"/>
      <c r="F634" s="8"/>
      <c r="G634" s="8"/>
      <c r="H634" s="8"/>
      <c r="I634" s="8"/>
      <c r="J634" s="8"/>
      <c r="K634" s="8"/>
      <c r="L634" s="8"/>
      <c r="M634" s="8"/>
      <c r="N634" s="8"/>
      <c r="O634" s="8"/>
      <c r="P634" s="8"/>
      <c r="Q634" s="8"/>
      <c r="R634" s="8"/>
      <c r="S634" s="8"/>
      <c r="T634" s="8"/>
      <c r="U634" s="12"/>
      <c r="V634" s="12"/>
      <c r="W634" s="12"/>
      <c r="X634" s="12"/>
      <c r="Y634" s="12"/>
      <c r="Z634" s="12"/>
      <c r="AA634" s="12"/>
      <c r="AB634" s="12"/>
      <c r="AC634" s="12"/>
      <c r="AD634" s="12"/>
      <c r="AE634" s="12"/>
      <c r="AF634" s="12"/>
    </row>
    <row r="635" spans="1:32">
      <c r="A635" s="8"/>
      <c r="B635" s="8"/>
      <c r="C635" s="8"/>
      <c r="D635" s="8"/>
      <c r="E635" s="8"/>
      <c r="F635" s="8"/>
      <c r="G635" s="8"/>
      <c r="H635" s="8"/>
      <c r="I635" s="8"/>
      <c r="J635" s="8"/>
      <c r="K635" s="8"/>
      <c r="L635" s="8"/>
      <c r="M635" s="8"/>
      <c r="N635" s="8"/>
      <c r="O635" s="8"/>
      <c r="P635" s="8"/>
      <c r="Q635" s="8"/>
      <c r="R635" s="8"/>
      <c r="S635" s="8"/>
      <c r="T635" s="8"/>
      <c r="U635" s="12"/>
      <c r="V635" s="12"/>
      <c r="W635" s="12"/>
      <c r="X635" s="12"/>
      <c r="Y635" s="12"/>
      <c r="Z635" s="12"/>
      <c r="AA635" s="12"/>
      <c r="AB635" s="12"/>
      <c r="AC635" s="12"/>
      <c r="AD635" s="12"/>
      <c r="AE635" s="12"/>
      <c r="AF635" s="12"/>
    </row>
    <row r="636" spans="1:32">
      <c r="A636" s="8"/>
      <c r="B636" s="8"/>
      <c r="C636" s="8"/>
      <c r="D636" s="8"/>
      <c r="E636" s="8"/>
      <c r="F636" s="8"/>
      <c r="G636" s="8"/>
      <c r="H636" s="8"/>
      <c r="I636" s="8"/>
      <c r="J636" s="8"/>
      <c r="K636" s="8"/>
      <c r="L636" s="8"/>
      <c r="M636" s="8"/>
      <c r="N636" s="8"/>
      <c r="O636" s="8"/>
      <c r="P636" s="8"/>
      <c r="Q636" s="8"/>
      <c r="R636" s="8"/>
      <c r="S636" s="8"/>
      <c r="T636" s="8"/>
      <c r="U636" s="12"/>
      <c r="V636" s="12"/>
      <c r="W636" s="12"/>
      <c r="X636" s="12"/>
      <c r="Y636" s="12"/>
      <c r="Z636" s="12"/>
      <c r="AA636" s="12"/>
      <c r="AB636" s="12"/>
      <c r="AC636" s="12"/>
      <c r="AD636" s="12"/>
      <c r="AE636" s="12"/>
      <c r="AF636" s="12"/>
    </row>
    <row r="637" spans="1:32">
      <c r="A637" s="8"/>
      <c r="B637" s="8"/>
      <c r="C637" s="8"/>
      <c r="D637" s="8"/>
      <c r="E637" s="8"/>
      <c r="F637" s="8"/>
      <c r="G637" s="8"/>
      <c r="H637" s="8"/>
      <c r="I637" s="8"/>
      <c r="J637" s="8"/>
      <c r="K637" s="8"/>
      <c r="L637" s="8"/>
      <c r="M637" s="8"/>
      <c r="N637" s="8"/>
      <c r="O637" s="8"/>
      <c r="P637" s="8"/>
      <c r="Q637" s="8"/>
      <c r="R637" s="8"/>
      <c r="S637" s="8"/>
      <c r="T637" s="8"/>
      <c r="U637" s="12"/>
      <c r="V637" s="12"/>
      <c r="W637" s="12"/>
      <c r="X637" s="12"/>
      <c r="Y637" s="12"/>
      <c r="Z637" s="12"/>
      <c r="AA637" s="12"/>
      <c r="AB637" s="12"/>
      <c r="AC637" s="12"/>
      <c r="AD637" s="12"/>
      <c r="AE637" s="12"/>
      <c r="AF637" s="12"/>
    </row>
    <row r="638" spans="1:32">
      <c r="A638" s="8"/>
      <c r="B638" s="8"/>
      <c r="C638" s="8"/>
      <c r="D638" s="8"/>
      <c r="E638" s="8"/>
      <c r="F638" s="8"/>
      <c r="G638" s="8"/>
      <c r="H638" s="8"/>
      <c r="I638" s="8"/>
      <c r="J638" s="8"/>
      <c r="K638" s="8"/>
      <c r="L638" s="8"/>
      <c r="M638" s="8"/>
      <c r="N638" s="8"/>
      <c r="O638" s="8"/>
      <c r="P638" s="8"/>
      <c r="Q638" s="8"/>
      <c r="R638" s="8"/>
      <c r="S638" s="8"/>
      <c r="T638" s="8"/>
      <c r="U638" s="12"/>
      <c r="V638" s="12"/>
      <c r="W638" s="12"/>
      <c r="X638" s="12"/>
      <c r="Y638" s="12"/>
      <c r="Z638" s="12"/>
      <c r="AA638" s="12"/>
      <c r="AB638" s="12"/>
      <c r="AC638" s="12"/>
      <c r="AD638" s="12"/>
      <c r="AE638" s="12"/>
      <c r="AF638" s="12"/>
    </row>
    <row r="639" spans="1:32">
      <c r="A639" s="8"/>
      <c r="B639" s="8"/>
      <c r="C639" s="8"/>
      <c r="D639" s="8"/>
      <c r="E639" s="8"/>
      <c r="F639" s="8"/>
      <c r="G639" s="8"/>
      <c r="H639" s="8"/>
      <c r="I639" s="8"/>
      <c r="J639" s="8"/>
      <c r="K639" s="8"/>
      <c r="L639" s="8"/>
      <c r="M639" s="8"/>
      <c r="N639" s="8"/>
      <c r="O639" s="8"/>
      <c r="P639" s="8"/>
      <c r="Q639" s="8"/>
      <c r="R639" s="8"/>
      <c r="S639" s="8"/>
      <c r="T639" s="8"/>
      <c r="U639" s="12"/>
      <c r="V639" s="12"/>
      <c r="W639" s="12"/>
      <c r="X639" s="12"/>
      <c r="Y639" s="12"/>
      <c r="Z639" s="12"/>
      <c r="AA639" s="12"/>
      <c r="AB639" s="12"/>
      <c r="AC639" s="12"/>
      <c r="AD639" s="12"/>
      <c r="AE639" s="12"/>
      <c r="AF639" s="12"/>
    </row>
    <row r="640" spans="1:32">
      <c r="A640" s="8"/>
      <c r="B640" s="8"/>
      <c r="C640" s="8"/>
      <c r="D640" s="8"/>
      <c r="E640" s="8"/>
      <c r="F640" s="8"/>
      <c r="G640" s="8"/>
      <c r="H640" s="8"/>
      <c r="I640" s="8"/>
      <c r="J640" s="8"/>
      <c r="K640" s="8"/>
      <c r="L640" s="8"/>
      <c r="M640" s="8"/>
      <c r="N640" s="8"/>
      <c r="O640" s="8"/>
      <c r="P640" s="8"/>
      <c r="Q640" s="8"/>
      <c r="R640" s="8"/>
      <c r="S640" s="8"/>
      <c r="T640" s="8"/>
      <c r="U640" s="12"/>
      <c r="V640" s="12"/>
      <c r="W640" s="12"/>
      <c r="X640" s="12"/>
      <c r="Y640" s="12"/>
      <c r="Z640" s="12"/>
      <c r="AA640" s="12"/>
      <c r="AB640" s="12"/>
      <c r="AC640" s="12"/>
      <c r="AD640" s="12"/>
      <c r="AE640" s="12"/>
      <c r="AF640" s="12"/>
    </row>
    <row r="641" spans="1:32">
      <c r="A641" s="8"/>
      <c r="B641" s="8"/>
      <c r="C641" s="8"/>
      <c r="D641" s="8"/>
      <c r="E641" s="8"/>
      <c r="F641" s="8"/>
      <c r="G641" s="8"/>
      <c r="H641" s="8"/>
      <c r="I641" s="8"/>
      <c r="J641" s="8"/>
      <c r="K641" s="8"/>
      <c r="L641" s="8"/>
      <c r="M641" s="8"/>
      <c r="N641" s="8"/>
      <c r="O641" s="8"/>
      <c r="P641" s="8"/>
      <c r="Q641" s="8"/>
      <c r="R641" s="8"/>
      <c r="S641" s="8"/>
      <c r="T641" s="8"/>
      <c r="U641" s="12"/>
      <c r="V641" s="12"/>
      <c r="W641" s="12"/>
      <c r="X641" s="12"/>
      <c r="Y641" s="12"/>
      <c r="Z641" s="12"/>
      <c r="AA641" s="12"/>
      <c r="AB641" s="12"/>
      <c r="AC641" s="12"/>
      <c r="AD641" s="12"/>
      <c r="AE641" s="12"/>
      <c r="AF641" s="12"/>
    </row>
    <row r="642" spans="1:32">
      <c r="A642" s="8"/>
      <c r="B642" s="8"/>
      <c r="C642" s="8"/>
      <c r="D642" s="8"/>
      <c r="E642" s="8"/>
      <c r="F642" s="8"/>
      <c r="G642" s="8"/>
      <c r="H642" s="8"/>
      <c r="I642" s="8"/>
      <c r="J642" s="8"/>
      <c r="K642" s="8"/>
      <c r="L642" s="8"/>
      <c r="M642" s="8"/>
      <c r="N642" s="8"/>
      <c r="O642" s="8"/>
      <c r="P642" s="8"/>
      <c r="Q642" s="8"/>
      <c r="R642" s="8"/>
      <c r="S642" s="8"/>
      <c r="T642" s="8"/>
      <c r="U642" s="12"/>
      <c r="V642" s="12"/>
      <c r="W642" s="12"/>
      <c r="X642" s="12"/>
      <c r="Y642" s="12"/>
      <c r="Z642" s="12"/>
      <c r="AA642" s="12"/>
      <c r="AB642" s="12"/>
      <c r="AC642" s="12"/>
      <c r="AD642" s="12"/>
      <c r="AE642" s="12"/>
      <c r="AF642" s="12"/>
    </row>
    <row r="643" spans="1:32">
      <c r="A643" s="8"/>
      <c r="B643" s="8"/>
      <c r="C643" s="8"/>
      <c r="D643" s="8"/>
      <c r="E643" s="8"/>
      <c r="F643" s="8"/>
      <c r="G643" s="8"/>
      <c r="H643" s="8"/>
      <c r="I643" s="8"/>
      <c r="J643" s="8"/>
      <c r="K643" s="8"/>
      <c r="L643" s="8"/>
      <c r="M643" s="8"/>
      <c r="N643" s="8"/>
      <c r="O643" s="8"/>
      <c r="P643" s="8"/>
      <c r="Q643" s="8"/>
      <c r="R643" s="8"/>
      <c r="S643" s="8"/>
      <c r="T643" s="8"/>
      <c r="U643" s="12"/>
      <c r="V643" s="12"/>
      <c r="W643" s="12"/>
      <c r="X643" s="12"/>
      <c r="Y643" s="12"/>
      <c r="Z643" s="12"/>
      <c r="AA643" s="12"/>
      <c r="AB643" s="12"/>
      <c r="AC643" s="12"/>
      <c r="AD643" s="12"/>
      <c r="AE643" s="12"/>
      <c r="AF643" s="12"/>
    </row>
    <row r="644" spans="1:32">
      <c r="A644" s="8"/>
      <c r="B644" s="8"/>
      <c r="C644" s="8"/>
      <c r="D644" s="8"/>
      <c r="E644" s="8"/>
      <c r="F644" s="8"/>
      <c r="G644" s="8"/>
      <c r="H644" s="8"/>
      <c r="I644" s="8"/>
      <c r="J644" s="8"/>
      <c r="K644" s="8"/>
      <c r="L644" s="8"/>
      <c r="M644" s="8"/>
      <c r="N644" s="8"/>
      <c r="O644" s="8"/>
      <c r="P644" s="8"/>
      <c r="Q644" s="8"/>
      <c r="R644" s="8"/>
      <c r="S644" s="8"/>
      <c r="T644" s="8"/>
      <c r="U644" s="12"/>
      <c r="V644" s="12"/>
      <c r="W644" s="12"/>
      <c r="X644" s="12"/>
      <c r="Y644" s="12"/>
      <c r="Z644" s="12"/>
      <c r="AA644" s="12"/>
      <c r="AB644" s="12"/>
      <c r="AC644" s="12"/>
      <c r="AD644" s="12"/>
      <c r="AE644" s="12"/>
      <c r="AF644" s="12"/>
    </row>
    <row r="645" spans="1:32">
      <c r="A645" s="8"/>
      <c r="B645" s="8"/>
      <c r="C645" s="8"/>
      <c r="D645" s="8"/>
      <c r="E645" s="8"/>
      <c r="F645" s="8"/>
      <c r="G645" s="8"/>
      <c r="H645" s="8"/>
      <c r="I645" s="8"/>
      <c r="J645" s="8"/>
      <c r="K645" s="8"/>
      <c r="L645" s="8"/>
      <c r="M645" s="8"/>
      <c r="N645" s="8"/>
      <c r="O645" s="8"/>
      <c r="P645" s="8"/>
      <c r="Q645" s="8"/>
      <c r="R645" s="8"/>
      <c r="S645" s="8"/>
      <c r="T645" s="8"/>
      <c r="U645" s="12"/>
      <c r="V645" s="12"/>
      <c r="W645" s="12"/>
      <c r="X645" s="12"/>
      <c r="Y645" s="12"/>
      <c r="Z645" s="12"/>
      <c r="AA645" s="12"/>
      <c r="AB645" s="12"/>
      <c r="AC645" s="12"/>
      <c r="AD645" s="12"/>
      <c r="AE645" s="12"/>
      <c r="AF645" s="12"/>
    </row>
    <row r="646" spans="1:32">
      <c r="A646" s="8"/>
      <c r="B646" s="8"/>
      <c r="C646" s="8"/>
      <c r="D646" s="8"/>
      <c r="E646" s="8"/>
      <c r="F646" s="8"/>
      <c r="G646" s="8"/>
      <c r="H646" s="8"/>
      <c r="I646" s="8"/>
      <c r="J646" s="8"/>
      <c r="K646" s="8"/>
      <c r="L646" s="8"/>
      <c r="M646" s="8"/>
      <c r="N646" s="8"/>
      <c r="O646" s="8"/>
      <c r="P646" s="8"/>
      <c r="Q646" s="8"/>
      <c r="R646" s="8"/>
      <c r="S646" s="8"/>
      <c r="T646" s="8"/>
      <c r="U646" s="12"/>
      <c r="V646" s="12"/>
      <c r="W646" s="12"/>
      <c r="X646" s="12"/>
      <c r="Y646" s="12"/>
      <c r="Z646" s="12"/>
      <c r="AA646" s="12"/>
      <c r="AB646" s="12"/>
      <c r="AC646" s="12"/>
      <c r="AD646" s="12"/>
      <c r="AE646" s="12"/>
      <c r="AF646" s="12"/>
    </row>
    <row r="647" spans="1:32">
      <c r="A647" s="8"/>
      <c r="B647" s="8"/>
      <c r="C647" s="8"/>
      <c r="D647" s="8"/>
      <c r="E647" s="8"/>
      <c r="F647" s="8"/>
      <c r="G647" s="8"/>
      <c r="H647" s="8"/>
      <c r="I647" s="8"/>
      <c r="J647" s="8"/>
      <c r="K647" s="8"/>
      <c r="L647" s="8"/>
      <c r="M647" s="8"/>
      <c r="N647" s="8"/>
      <c r="O647" s="8"/>
      <c r="P647" s="8"/>
      <c r="Q647" s="8"/>
      <c r="R647" s="8"/>
      <c r="S647" s="8"/>
      <c r="T647" s="8"/>
      <c r="U647" s="12"/>
      <c r="V647" s="12"/>
      <c r="W647" s="12"/>
      <c r="X647" s="12"/>
      <c r="Y647" s="12"/>
      <c r="Z647" s="12"/>
      <c r="AA647" s="12"/>
      <c r="AB647" s="12"/>
      <c r="AC647" s="12"/>
      <c r="AD647" s="12"/>
      <c r="AE647" s="12"/>
      <c r="AF647" s="12"/>
    </row>
    <row r="648" spans="1:32">
      <c r="A648" s="8"/>
      <c r="B648" s="8"/>
      <c r="C648" s="8"/>
      <c r="D648" s="8"/>
      <c r="E648" s="8"/>
      <c r="F648" s="8"/>
      <c r="G648" s="8"/>
      <c r="H648" s="8"/>
      <c r="I648" s="8"/>
      <c r="J648" s="8"/>
      <c r="K648" s="8"/>
      <c r="L648" s="8"/>
      <c r="M648" s="8"/>
      <c r="N648" s="8"/>
      <c r="O648" s="8"/>
      <c r="P648" s="8"/>
      <c r="Q648" s="8"/>
      <c r="R648" s="8"/>
      <c r="S648" s="8"/>
      <c r="T648" s="8"/>
      <c r="U648" s="12"/>
      <c r="V648" s="12"/>
      <c r="W648" s="12"/>
      <c r="X648" s="12"/>
      <c r="Y648" s="12"/>
      <c r="Z648" s="12"/>
      <c r="AA648" s="12"/>
      <c r="AB648" s="12"/>
      <c r="AC648" s="12"/>
      <c r="AD648" s="12"/>
      <c r="AE648" s="12"/>
      <c r="AF648" s="12"/>
    </row>
    <row r="649" spans="1:32">
      <c r="A649" s="8"/>
      <c r="B649" s="8"/>
      <c r="C649" s="8"/>
      <c r="D649" s="8"/>
      <c r="E649" s="8"/>
      <c r="F649" s="8"/>
      <c r="G649" s="8"/>
      <c r="H649" s="8"/>
      <c r="I649" s="8"/>
      <c r="J649" s="8"/>
      <c r="K649" s="8"/>
      <c r="L649" s="8"/>
      <c r="M649" s="8"/>
      <c r="N649" s="8"/>
      <c r="O649" s="8"/>
      <c r="P649" s="8"/>
      <c r="Q649" s="8"/>
      <c r="R649" s="8"/>
      <c r="S649" s="8"/>
      <c r="T649" s="8"/>
      <c r="U649" s="12"/>
      <c r="V649" s="12"/>
      <c r="W649" s="12"/>
      <c r="X649" s="12"/>
      <c r="Y649" s="12"/>
      <c r="Z649" s="12"/>
      <c r="AA649" s="12"/>
      <c r="AB649" s="12"/>
      <c r="AC649" s="12"/>
      <c r="AD649" s="12"/>
      <c r="AE649" s="12"/>
      <c r="AF649" s="12"/>
    </row>
    <row r="650" spans="1:32">
      <c r="A650" s="8"/>
      <c r="B650" s="8"/>
      <c r="C650" s="8"/>
      <c r="D650" s="8"/>
      <c r="E650" s="8"/>
      <c r="F650" s="8"/>
      <c r="G650" s="8"/>
      <c r="H650" s="8"/>
      <c r="I650" s="8"/>
      <c r="J650" s="8"/>
      <c r="K650" s="8"/>
      <c r="L650" s="8"/>
      <c r="M650" s="8"/>
      <c r="N650" s="8"/>
      <c r="O650" s="8"/>
      <c r="P650" s="8"/>
      <c r="Q650" s="8"/>
      <c r="R650" s="8"/>
      <c r="S650" s="8"/>
      <c r="T650" s="8"/>
      <c r="U650" s="12"/>
      <c r="V650" s="12"/>
      <c r="W650" s="12"/>
      <c r="X650" s="12"/>
      <c r="Y650" s="12"/>
      <c r="Z650" s="12"/>
      <c r="AA650" s="12"/>
      <c r="AB650" s="12"/>
      <c r="AC650" s="12"/>
      <c r="AD650" s="12"/>
      <c r="AE650" s="12"/>
      <c r="AF650" s="12"/>
    </row>
    <row r="651" spans="1:32">
      <c r="A651" s="8"/>
      <c r="B651" s="8"/>
      <c r="C651" s="8"/>
      <c r="D651" s="8"/>
      <c r="E651" s="8"/>
      <c r="F651" s="8"/>
      <c r="G651" s="8"/>
      <c r="H651" s="8"/>
      <c r="I651" s="8"/>
      <c r="J651" s="8"/>
      <c r="K651" s="8"/>
      <c r="L651" s="8"/>
      <c r="M651" s="8"/>
      <c r="N651" s="8"/>
      <c r="O651" s="8"/>
      <c r="P651" s="8"/>
      <c r="Q651" s="8"/>
      <c r="R651" s="8"/>
      <c r="S651" s="8"/>
      <c r="T651" s="8"/>
      <c r="U651" s="12"/>
      <c r="V651" s="12"/>
      <c r="W651" s="12"/>
      <c r="X651" s="12"/>
      <c r="Y651" s="12"/>
      <c r="Z651" s="12"/>
      <c r="AA651" s="12"/>
      <c r="AB651" s="12"/>
      <c r="AC651" s="12"/>
      <c r="AD651" s="12"/>
      <c r="AE651" s="12"/>
      <c r="AF651" s="12"/>
    </row>
    <row r="652" spans="1:32">
      <c r="A652" s="8"/>
      <c r="B652" s="8"/>
      <c r="C652" s="8"/>
      <c r="D652" s="8"/>
      <c r="E652" s="8"/>
      <c r="F652" s="8"/>
      <c r="G652" s="8"/>
      <c r="H652" s="8"/>
      <c r="I652" s="8"/>
      <c r="J652" s="8"/>
      <c r="K652" s="8"/>
      <c r="L652" s="8"/>
      <c r="M652" s="8"/>
      <c r="N652" s="8"/>
      <c r="O652" s="8"/>
      <c r="P652" s="8"/>
      <c r="Q652" s="8"/>
      <c r="R652" s="8"/>
      <c r="S652" s="8"/>
      <c r="T652" s="8"/>
      <c r="U652" s="12"/>
      <c r="V652" s="12"/>
      <c r="W652" s="12"/>
      <c r="X652" s="12"/>
      <c r="Y652" s="12"/>
      <c r="Z652" s="12"/>
      <c r="AA652" s="12"/>
      <c r="AB652" s="12"/>
      <c r="AC652" s="12"/>
      <c r="AD652" s="12"/>
      <c r="AE652" s="12"/>
      <c r="AF652" s="12"/>
    </row>
    <row r="653" spans="1:32">
      <c r="A653" s="8"/>
      <c r="B653" s="8"/>
      <c r="C653" s="8"/>
      <c r="D653" s="8"/>
      <c r="E653" s="8"/>
      <c r="F653" s="8"/>
      <c r="G653" s="8"/>
      <c r="H653" s="8"/>
      <c r="I653" s="8"/>
      <c r="J653" s="8"/>
      <c r="K653" s="8"/>
      <c r="L653" s="8"/>
      <c r="M653" s="8"/>
      <c r="N653" s="8"/>
      <c r="O653" s="8"/>
      <c r="P653" s="8"/>
      <c r="Q653" s="8"/>
      <c r="R653" s="8"/>
      <c r="S653" s="8"/>
      <c r="T653" s="8"/>
      <c r="U653" s="12"/>
      <c r="V653" s="12"/>
      <c r="W653" s="12"/>
      <c r="X653" s="12"/>
      <c r="Y653" s="12"/>
      <c r="Z653" s="12"/>
      <c r="AA653" s="12"/>
      <c r="AB653" s="12"/>
      <c r="AC653" s="12"/>
      <c r="AD653" s="12"/>
      <c r="AE653" s="12"/>
      <c r="AF653" s="12"/>
    </row>
    <row r="654" spans="1:32">
      <c r="A654" s="8"/>
      <c r="B654" s="8"/>
      <c r="C654" s="8"/>
      <c r="D654" s="8"/>
      <c r="E654" s="8"/>
      <c r="F654" s="8"/>
      <c r="G654" s="8"/>
      <c r="H654" s="8"/>
      <c r="I654" s="8"/>
      <c r="J654" s="8"/>
      <c r="K654" s="8"/>
      <c r="L654" s="8"/>
      <c r="M654" s="8"/>
      <c r="N654" s="8"/>
      <c r="O654" s="8"/>
      <c r="P654" s="8"/>
      <c r="Q654" s="8"/>
      <c r="R654" s="8"/>
      <c r="S654" s="8"/>
      <c r="T654" s="8"/>
      <c r="U654" s="12"/>
      <c r="V654" s="12"/>
      <c r="W654" s="12"/>
      <c r="X654" s="12"/>
      <c r="Y654" s="12"/>
      <c r="Z654" s="12"/>
      <c r="AA654" s="12"/>
      <c r="AB654" s="12"/>
      <c r="AC654" s="12"/>
      <c r="AD654" s="12"/>
      <c r="AE654" s="12"/>
      <c r="AF654" s="12"/>
    </row>
    <row r="655" spans="1:32">
      <c r="A655" s="8"/>
      <c r="B655" s="8"/>
      <c r="C655" s="8"/>
      <c r="D655" s="8"/>
      <c r="E655" s="8"/>
      <c r="F655" s="8"/>
      <c r="G655" s="8"/>
      <c r="H655" s="8"/>
      <c r="I655" s="8"/>
      <c r="J655" s="8"/>
      <c r="K655" s="8"/>
      <c r="L655" s="8"/>
      <c r="M655" s="8"/>
      <c r="N655" s="8"/>
      <c r="O655" s="8"/>
      <c r="P655" s="8"/>
      <c r="Q655" s="8"/>
      <c r="R655" s="8"/>
      <c r="S655" s="8"/>
      <c r="T655" s="8"/>
      <c r="U655" s="12"/>
      <c r="V655" s="12"/>
      <c r="W655" s="12"/>
      <c r="X655" s="12"/>
      <c r="Y655" s="12"/>
      <c r="Z655" s="12"/>
      <c r="AA655" s="12"/>
      <c r="AB655" s="12"/>
      <c r="AC655" s="12"/>
      <c r="AD655" s="12"/>
      <c r="AE655" s="12"/>
      <c r="AF655" s="12"/>
    </row>
    <row r="656" spans="1:32">
      <c r="A656" s="8"/>
      <c r="B656" s="8"/>
      <c r="C656" s="8"/>
      <c r="D656" s="8"/>
      <c r="E656" s="8"/>
      <c r="F656" s="8"/>
      <c r="G656" s="8"/>
      <c r="H656" s="8"/>
      <c r="I656" s="8"/>
      <c r="J656" s="8"/>
      <c r="K656" s="8"/>
      <c r="L656" s="8"/>
      <c r="M656" s="8"/>
      <c r="N656" s="8"/>
      <c r="O656" s="8"/>
      <c r="P656" s="8"/>
      <c r="Q656" s="8"/>
      <c r="R656" s="8"/>
      <c r="S656" s="8"/>
      <c r="T656" s="8"/>
      <c r="U656" s="12"/>
      <c r="V656" s="12"/>
      <c r="W656" s="12"/>
      <c r="X656" s="12"/>
      <c r="Y656" s="12"/>
      <c r="Z656" s="12"/>
      <c r="AA656" s="12"/>
      <c r="AB656" s="12"/>
      <c r="AC656" s="12"/>
      <c r="AD656" s="12"/>
      <c r="AE656" s="12"/>
      <c r="AF656" s="12"/>
    </row>
    <row r="657" spans="1:32">
      <c r="A657" s="8"/>
      <c r="B657" s="8"/>
      <c r="C657" s="8"/>
      <c r="D657" s="8"/>
      <c r="E657" s="8"/>
      <c r="F657" s="8"/>
      <c r="G657" s="8"/>
      <c r="H657" s="8"/>
      <c r="I657" s="8"/>
      <c r="J657" s="8"/>
      <c r="K657" s="8"/>
      <c r="L657" s="8"/>
      <c r="M657" s="8"/>
      <c r="N657" s="8"/>
      <c r="O657" s="8"/>
      <c r="P657" s="8"/>
      <c r="Q657" s="8"/>
      <c r="R657" s="8"/>
      <c r="S657" s="8"/>
      <c r="T657" s="8"/>
      <c r="U657" s="12"/>
      <c r="V657" s="12"/>
      <c r="W657" s="12"/>
      <c r="X657" s="12"/>
      <c r="Y657" s="12"/>
      <c r="Z657" s="12"/>
      <c r="AA657" s="12"/>
      <c r="AB657" s="12"/>
      <c r="AC657" s="12"/>
      <c r="AD657" s="12"/>
      <c r="AE657" s="12"/>
      <c r="AF657" s="12"/>
    </row>
    <row r="658" spans="1:32">
      <c r="A658" s="8"/>
      <c r="B658" s="8"/>
      <c r="C658" s="8"/>
      <c r="D658" s="8"/>
      <c r="E658" s="8"/>
      <c r="F658" s="8"/>
      <c r="G658" s="8"/>
      <c r="H658" s="8"/>
      <c r="I658" s="8"/>
      <c r="J658" s="8"/>
      <c r="K658" s="8"/>
      <c r="L658" s="8"/>
      <c r="M658" s="8"/>
      <c r="N658" s="8"/>
      <c r="O658" s="8"/>
      <c r="P658" s="8"/>
      <c r="Q658" s="8"/>
      <c r="R658" s="8"/>
      <c r="S658" s="8"/>
      <c r="T658" s="8"/>
      <c r="U658" s="12"/>
      <c r="V658" s="12"/>
      <c r="W658" s="12"/>
      <c r="X658" s="12"/>
      <c r="Y658" s="12"/>
      <c r="Z658" s="12"/>
      <c r="AA658" s="12"/>
      <c r="AB658" s="12"/>
      <c r="AC658" s="12"/>
      <c r="AD658" s="12"/>
      <c r="AE658" s="12"/>
      <c r="AF658" s="12"/>
    </row>
    <row r="659" spans="1:32">
      <c r="A659" s="8"/>
      <c r="B659" s="8"/>
      <c r="C659" s="8"/>
      <c r="D659" s="8"/>
      <c r="E659" s="8"/>
      <c r="F659" s="8"/>
      <c r="G659" s="8"/>
      <c r="H659" s="8"/>
      <c r="I659" s="8"/>
      <c r="J659" s="8"/>
      <c r="K659" s="8"/>
      <c r="L659" s="8"/>
      <c r="M659" s="8"/>
      <c r="N659" s="8"/>
      <c r="O659" s="8"/>
      <c r="P659" s="8"/>
      <c r="Q659" s="8"/>
      <c r="R659" s="8"/>
      <c r="S659" s="8"/>
      <c r="T659" s="8"/>
      <c r="U659" s="12"/>
      <c r="V659" s="12"/>
      <c r="W659" s="12"/>
      <c r="X659" s="12"/>
      <c r="Y659" s="12"/>
      <c r="Z659" s="12"/>
      <c r="AA659" s="12"/>
      <c r="AB659" s="12"/>
      <c r="AC659" s="12"/>
      <c r="AD659" s="12"/>
      <c r="AE659" s="12"/>
      <c r="AF659" s="12"/>
    </row>
    <row r="660" spans="1:32">
      <c r="A660" s="8"/>
      <c r="B660" s="8"/>
      <c r="C660" s="8"/>
      <c r="D660" s="8"/>
      <c r="E660" s="8"/>
      <c r="F660" s="8"/>
      <c r="G660" s="8"/>
      <c r="H660" s="8"/>
      <c r="I660" s="8"/>
      <c r="J660" s="8"/>
      <c r="K660" s="8"/>
      <c r="L660" s="8"/>
      <c r="M660" s="8"/>
      <c r="N660" s="8"/>
      <c r="O660" s="8"/>
      <c r="P660" s="8"/>
      <c r="Q660" s="8"/>
      <c r="R660" s="8"/>
      <c r="S660" s="8"/>
      <c r="T660" s="8"/>
      <c r="U660" s="12"/>
      <c r="V660" s="12"/>
      <c r="W660" s="12"/>
      <c r="X660" s="12"/>
      <c r="Y660" s="12"/>
      <c r="Z660" s="12"/>
      <c r="AA660" s="12"/>
      <c r="AB660" s="12"/>
      <c r="AC660" s="12"/>
      <c r="AD660" s="12"/>
      <c r="AE660" s="12"/>
      <c r="AF660" s="12"/>
    </row>
    <row r="661" spans="1:32">
      <c r="A661" s="8"/>
      <c r="B661" s="8"/>
      <c r="C661" s="8"/>
      <c r="D661" s="8"/>
      <c r="E661" s="8"/>
      <c r="F661" s="8"/>
      <c r="G661" s="8"/>
      <c r="H661" s="8"/>
      <c r="I661" s="8"/>
      <c r="J661" s="8"/>
      <c r="K661" s="8"/>
      <c r="L661" s="8"/>
      <c r="M661" s="8"/>
      <c r="N661" s="8"/>
      <c r="O661" s="8"/>
      <c r="P661" s="8"/>
      <c r="Q661" s="8"/>
      <c r="R661" s="8"/>
      <c r="S661" s="8"/>
      <c r="T661" s="8"/>
      <c r="U661" s="12"/>
      <c r="V661" s="12"/>
      <c r="W661" s="12"/>
      <c r="X661" s="12"/>
      <c r="Y661" s="12"/>
      <c r="Z661" s="12"/>
      <c r="AA661" s="12"/>
      <c r="AB661" s="12"/>
      <c r="AC661" s="12"/>
      <c r="AD661" s="12"/>
      <c r="AE661" s="12"/>
      <c r="AF661" s="12"/>
    </row>
    <row r="662" spans="1:32">
      <c r="A662" s="8"/>
      <c r="B662" s="8"/>
      <c r="C662" s="8"/>
      <c r="D662" s="8"/>
      <c r="E662" s="8"/>
      <c r="F662" s="8"/>
      <c r="G662" s="8"/>
      <c r="H662" s="8"/>
      <c r="I662" s="8"/>
      <c r="J662" s="8"/>
      <c r="K662" s="8"/>
      <c r="L662" s="8"/>
      <c r="M662" s="8"/>
      <c r="N662" s="8"/>
      <c r="O662" s="8"/>
      <c r="P662" s="8"/>
      <c r="Q662" s="8"/>
      <c r="R662" s="8"/>
      <c r="S662" s="8"/>
      <c r="T662" s="8"/>
      <c r="U662" s="12"/>
      <c r="V662" s="12"/>
      <c r="W662" s="12"/>
      <c r="X662" s="12"/>
      <c r="Y662" s="12"/>
      <c r="Z662" s="12"/>
      <c r="AA662" s="12"/>
      <c r="AB662" s="12"/>
      <c r="AC662" s="12"/>
      <c r="AD662" s="12"/>
      <c r="AE662" s="12"/>
      <c r="AF662" s="12"/>
    </row>
    <row r="663" spans="1:32">
      <c r="A663" s="8"/>
      <c r="B663" s="8"/>
      <c r="C663" s="8"/>
      <c r="D663" s="8"/>
      <c r="E663" s="8"/>
      <c r="F663" s="8"/>
      <c r="G663" s="8"/>
      <c r="H663" s="8"/>
      <c r="I663" s="8"/>
      <c r="J663" s="8"/>
      <c r="K663" s="8"/>
      <c r="L663" s="8"/>
      <c r="M663" s="8"/>
      <c r="N663" s="8"/>
      <c r="O663" s="8"/>
      <c r="P663" s="8"/>
      <c r="Q663" s="8"/>
      <c r="R663" s="8"/>
      <c r="S663" s="8"/>
      <c r="T663" s="8"/>
      <c r="U663" s="12"/>
      <c r="V663" s="12"/>
      <c r="W663" s="12"/>
      <c r="X663" s="12"/>
      <c r="Y663" s="12"/>
      <c r="Z663" s="12"/>
      <c r="AA663" s="12"/>
      <c r="AB663" s="12"/>
      <c r="AC663" s="12"/>
      <c r="AD663" s="12"/>
      <c r="AE663" s="12"/>
      <c r="AF663" s="12"/>
    </row>
    <row r="664" spans="1:32">
      <c r="A664" s="8"/>
      <c r="B664" s="8"/>
      <c r="C664" s="8"/>
      <c r="D664" s="8"/>
      <c r="E664" s="8"/>
      <c r="F664" s="8"/>
      <c r="G664" s="8"/>
      <c r="H664" s="8"/>
      <c r="I664" s="8"/>
      <c r="J664" s="8"/>
      <c r="K664" s="8"/>
      <c r="L664" s="8"/>
      <c r="M664" s="8"/>
      <c r="N664" s="8"/>
      <c r="O664" s="8"/>
      <c r="P664" s="8"/>
      <c r="Q664" s="8"/>
      <c r="R664" s="8"/>
      <c r="S664" s="8"/>
      <c r="T664" s="8"/>
      <c r="U664" s="12"/>
      <c r="V664" s="12"/>
      <c r="W664" s="12"/>
      <c r="X664" s="12"/>
      <c r="Y664" s="12"/>
      <c r="Z664" s="12"/>
      <c r="AA664" s="12"/>
      <c r="AB664" s="12"/>
      <c r="AC664" s="12"/>
      <c r="AD664" s="12"/>
      <c r="AE664" s="12"/>
      <c r="AF664" s="12"/>
    </row>
    <row r="665" spans="1:32">
      <c r="A665" s="8"/>
      <c r="B665" s="8"/>
      <c r="C665" s="8"/>
      <c r="D665" s="8"/>
      <c r="E665" s="8"/>
      <c r="F665" s="8"/>
      <c r="G665" s="8"/>
      <c r="H665" s="8"/>
      <c r="I665" s="8"/>
      <c r="J665" s="8"/>
      <c r="K665" s="8"/>
      <c r="L665" s="8"/>
      <c r="M665" s="8"/>
      <c r="N665" s="8"/>
      <c r="O665" s="8"/>
      <c r="P665" s="8"/>
      <c r="Q665" s="8"/>
      <c r="R665" s="8"/>
      <c r="S665" s="8"/>
      <c r="T665" s="8"/>
      <c r="U665" s="12"/>
      <c r="V665" s="12"/>
      <c r="W665" s="12"/>
      <c r="X665" s="12"/>
      <c r="Y665" s="12"/>
      <c r="Z665" s="12"/>
      <c r="AA665" s="12"/>
      <c r="AB665" s="12"/>
      <c r="AC665" s="12"/>
      <c r="AD665" s="12"/>
      <c r="AE665" s="12"/>
      <c r="AF665" s="12"/>
    </row>
    <row r="666" spans="1:32">
      <c r="A666" s="8"/>
      <c r="B666" s="8"/>
      <c r="C666" s="8"/>
      <c r="D666" s="8"/>
      <c r="E666" s="8"/>
      <c r="F666" s="8"/>
      <c r="G666" s="8"/>
      <c r="H666" s="8"/>
      <c r="I666" s="8"/>
      <c r="J666" s="8"/>
      <c r="K666" s="8"/>
      <c r="L666" s="8"/>
      <c r="M666" s="8"/>
      <c r="N666" s="8"/>
      <c r="O666" s="8"/>
      <c r="P666" s="8"/>
      <c r="Q666" s="8"/>
      <c r="R666" s="8"/>
      <c r="S666" s="8"/>
      <c r="T666" s="8"/>
      <c r="U666" s="12"/>
      <c r="V666" s="12"/>
      <c r="W666" s="12"/>
      <c r="X666" s="12"/>
      <c r="Y666" s="12"/>
      <c r="Z666" s="12"/>
      <c r="AA666" s="12"/>
      <c r="AB666" s="12"/>
      <c r="AC666" s="12"/>
      <c r="AD666" s="12"/>
      <c r="AE666" s="12"/>
      <c r="AF666" s="12"/>
    </row>
    <row r="667" spans="1:32">
      <c r="A667" s="8"/>
      <c r="B667" s="8"/>
      <c r="C667" s="8"/>
      <c r="D667" s="8"/>
      <c r="E667" s="8"/>
      <c r="F667" s="8"/>
      <c r="G667" s="8"/>
      <c r="H667" s="8"/>
      <c r="I667" s="8"/>
      <c r="J667" s="8"/>
      <c r="K667" s="8"/>
      <c r="L667" s="8"/>
      <c r="M667" s="8"/>
      <c r="N667" s="8"/>
      <c r="O667" s="8"/>
      <c r="P667" s="8"/>
      <c r="Q667" s="8"/>
      <c r="R667" s="8"/>
      <c r="S667" s="8"/>
      <c r="T667" s="8"/>
      <c r="U667" s="12"/>
      <c r="V667" s="12"/>
      <c r="W667" s="12"/>
      <c r="X667" s="12"/>
      <c r="Y667" s="12"/>
      <c r="Z667" s="12"/>
      <c r="AA667" s="12"/>
      <c r="AB667" s="12"/>
      <c r="AC667" s="12"/>
      <c r="AD667" s="12"/>
      <c r="AE667" s="12"/>
      <c r="AF667" s="12"/>
    </row>
    <row r="668" spans="1:32">
      <c r="A668" s="8"/>
      <c r="B668" s="8"/>
      <c r="C668" s="8"/>
      <c r="D668" s="8"/>
      <c r="E668" s="8"/>
      <c r="F668" s="8"/>
      <c r="G668" s="8"/>
      <c r="H668" s="8"/>
      <c r="I668" s="8"/>
      <c r="J668" s="8"/>
      <c r="K668" s="8"/>
      <c r="L668" s="8"/>
      <c r="M668" s="8"/>
      <c r="N668" s="8"/>
      <c r="O668" s="8"/>
      <c r="P668" s="8"/>
      <c r="Q668" s="8"/>
      <c r="R668" s="8"/>
      <c r="S668" s="8"/>
      <c r="T668" s="8"/>
      <c r="U668" s="12"/>
      <c r="V668" s="12"/>
      <c r="W668" s="12"/>
      <c r="X668" s="12"/>
      <c r="Y668" s="12"/>
      <c r="Z668" s="12"/>
      <c r="AA668" s="12"/>
      <c r="AB668" s="12"/>
      <c r="AC668" s="12"/>
      <c r="AD668" s="12"/>
      <c r="AE668" s="12"/>
      <c r="AF668" s="12"/>
    </row>
    <row r="669" spans="1:32">
      <c r="A669" s="8"/>
      <c r="B669" s="8"/>
      <c r="C669" s="8"/>
      <c r="D669" s="8"/>
      <c r="E669" s="8"/>
      <c r="F669" s="8"/>
      <c r="G669" s="8"/>
      <c r="H669" s="8"/>
      <c r="I669" s="8"/>
      <c r="J669" s="8"/>
      <c r="K669" s="8"/>
      <c r="L669" s="8"/>
      <c r="M669" s="8"/>
      <c r="N669" s="8"/>
      <c r="O669" s="8"/>
      <c r="P669" s="8"/>
      <c r="Q669" s="8"/>
      <c r="R669" s="8"/>
      <c r="S669" s="8"/>
      <c r="T669" s="8"/>
      <c r="U669" s="12"/>
      <c r="V669" s="12"/>
      <c r="W669" s="12"/>
      <c r="X669" s="12"/>
      <c r="Y669" s="12"/>
      <c r="Z669" s="12"/>
      <c r="AA669" s="12"/>
      <c r="AB669" s="12"/>
      <c r="AC669" s="12"/>
      <c r="AD669" s="12"/>
      <c r="AE669" s="12"/>
      <c r="AF669" s="12"/>
    </row>
    <row r="670" spans="1:32">
      <c r="A670" s="8"/>
      <c r="B670" s="8"/>
      <c r="C670" s="8"/>
      <c r="D670" s="8"/>
      <c r="E670" s="8"/>
      <c r="F670" s="8"/>
      <c r="G670" s="8"/>
      <c r="H670" s="8"/>
      <c r="I670" s="8"/>
      <c r="J670" s="8"/>
      <c r="K670" s="8"/>
      <c r="L670" s="8"/>
      <c r="M670" s="8"/>
      <c r="N670" s="8"/>
      <c r="O670" s="8"/>
      <c r="P670" s="8"/>
      <c r="Q670" s="8"/>
      <c r="R670" s="8"/>
      <c r="S670" s="8"/>
      <c r="T670" s="8"/>
      <c r="U670" s="12"/>
      <c r="V670" s="12"/>
      <c r="W670" s="12"/>
      <c r="X670" s="12"/>
      <c r="Y670" s="12"/>
      <c r="Z670" s="12"/>
      <c r="AA670" s="12"/>
      <c r="AB670" s="12"/>
      <c r="AC670" s="12"/>
      <c r="AD670" s="12"/>
      <c r="AE670" s="12"/>
      <c r="AF670" s="12"/>
    </row>
    <row r="671" spans="1:32">
      <c r="A671" s="8"/>
      <c r="B671" s="8"/>
      <c r="C671" s="8"/>
      <c r="D671" s="8"/>
      <c r="E671" s="8"/>
      <c r="F671" s="8"/>
      <c r="G671" s="8"/>
      <c r="H671" s="8"/>
      <c r="I671" s="8"/>
      <c r="J671" s="8"/>
      <c r="K671" s="8"/>
      <c r="L671" s="8"/>
      <c r="M671" s="8"/>
      <c r="N671" s="8"/>
      <c r="O671" s="8"/>
      <c r="P671" s="8"/>
      <c r="Q671" s="8"/>
      <c r="R671" s="8"/>
      <c r="S671" s="8"/>
      <c r="T671" s="8"/>
      <c r="U671" s="12"/>
      <c r="V671" s="12"/>
      <c r="W671" s="12"/>
      <c r="X671" s="12"/>
      <c r="Y671" s="12"/>
      <c r="Z671" s="12"/>
      <c r="AA671" s="12"/>
      <c r="AB671" s="12"/>
      <c r="AC671" s="12"/>
      <c r="AD671" s="12"/>
      <c r="AE671" s="12"/>
      <c r="AF671" s="12"/>
    </row>
    <row r="672" spans="1:32">
      <c r="A672" s="8"/>
      <c r="B672" s="8"/>
      <c r="C672" s="8"/>
      <c r="D672" s="8"/>
      <c r="E672" s="8"/>
      <c r="F672" s="8"/>
      <c r="G672" s="8"/>
      <c r="H672" s="8"/>
      <c r="I672" s="8"/>
      <c r="J672" s="8"/>
      <c r="K672" s="8"/>
      <c r="L672" s="8"/>
      <c r="M672" s="8"/>
      <c r="N672" s="8"/>
      <c r="O672" s="8"/>
      <c r="P672" s="8"/>
      <c r="Q672" s="8"/>
      <c r="R672" s="8"/>
      <c r="S672" s="8"/>
      <c r="T672" s="8"/>
      <c r="U672" s="12"/>
      <c r="V672" s="12"/>
      <c r="W672" s="12"/>
      <c r="X672" s="12"/>
      <c r="Y672" s="12"/>
      <c r="Z672" s="12"/>
      <c r="AA672" s="12"/>
      <c r="AB672" s="12"/>
      <c r="AC672" s="12"/>
      <c r="AD672" s="12"/>
      <c r="AE672" s="12"/>
      <c r="AF672" s="12"/>
    </row>
    <row r="673" spans="1:32">
      <c r="A673" s="8"/>
      <c r="B673" s="8"/>
      <c r="C673" s="8"/>
      <c r="D673" s="8"/>
      <c r="E673" s="8"/>
      <c r="F673" s="8"/>
      <c r="G673" s="8"/>
      <c r="H673" s="8"/>
      <c r="I673" s="8"/>
      <c r="J673" s="8"/>
      <c r="K673" s="8"/>
      <c r="L673" s="8"/>
      <c r="M673" s="8"/>
      <c r="N673" s="8"/>
      <c r="O673" s="8"/>
      <c r="P673" s="8"/>
      <c r="Q673" s="8"/>
      <c r="R673" s="8"/>
      <c r="S673" s="8"/>
      <c r="T673" s="8"/>
      <c r="U673" s="12"/>
      <c r="V673" s="12"/>
      <c r="W673" s="12"/>
      <c r="X673" s="12"/>
      <c r="Y673" s="12"/>
      <c r="Z673" s="12"/>
      <c r="AA673" s="12"/>
      <c r="AB673" s="12"/>
      <c r="AC673" s="12"/>
      <c r="AD673" s="12"/>
      <c r="AE673" s="12"/>
      <c r="AF673" s="12"/>
    </row>
    <row r="674" spans="1:32">
      <c r="A674" s="8"/>
      <c r="B674" s="8"/>
      <c r="C674" s="8"/>
      <c r="D674" s="8"/>
      <c r="E674" s="8"/>
      <c r="F674" s="8"/>
      <c r="G674" s="8"/>
      <c r="H674" s="8"/>
      <c r="I674" s="8"/>
      <c r="J674" s="8"/>
      <c r="K674" s="8"/>
      <c r="L674" s="8"/>
      <c r="M674" s="8"/>
      <c r="N674" s="8"/>
      <c r="O674" s="8"/>
      <c r="P674" s="8"/>
      <c r="Q674" s="8"/>
      <c r="R674" s="8"/>
      <c r="S674" s="8"/>
      <c r="T674" s="8"/>
      <c r="U674" s="12"/>
      <c r="V674" s="12"/>
      <c r="W674" s="12"/>
      <c r="X674" s="12"/>
      <c r="Y674" s="12"/>
      <c r="Z674" s="12"/>
      <c r="AA674" s="12"/>
      <c r="AB674" s="12"/>
      <c r="AC674" s="12"/>
      <c r="AD674" s="12"/>
      <c r="AE674" s="12"/>
      <c r="AF674" s="12"/>
    </row>
    <row r="675" spans="1:32">
      <c r="A675" s="8"/>
      <c r="B675" s="8"/>
      <c r="C675" s="8"/>
      <c r="D675" s="8"/>
      <c r="E675" s="8"/>
      <c r="F675" s="8"/>
      <c r="G675" s="8"/>
      <c r="H675" s="8"/>
      <c r="I675" s="8"/>
      <c r="J675" s="8"/>
      <c r="K675" s="8"/>
      <c r="L675" s="8"/>
      <c r="M675" s="8"/>
      <c r="N675" s="8"/>
      <c r="O675" s="8"/>
      <c r="P675" s="8"/>
      <c r="Q675" s="8"/>
      <c r="R675" s="8"/>
      <c r="S675" s="8"/>
      <c r="T675" s="8"/>
      <c r="U675" s="12"/>
      <c r="V675" s="12"/>
      <c r="W675" s="12"/>
      <c r="X675" s="12"/>
      <c r="Y675" s="12"/>
      <c r="Z675" s="12"/>
      <c r="AA675" s="12"/>
      <c r="AB675" s="12"/>
      <c r="AC675" s="12"/>
      <c r="AD675" s="12"/>
      <c r="AE675" s="12"/>
      <c r="AF675" s="12"/>
    </row>
    <row r="676" spans="1:32">
      <c r="A676" s="8"/>
      <c r="B676" s="8"/>
      <c r="C676" s="8"/>
      <c r="D676" s="8"/>
      <c r="E676" s="8"/>
      <c r="F676" s="8"/>
      <c r="G676" s="8"/>
      <c r="H676" s="8"/>
      <c r="I676" s="8"/>
      <c r="J676" s="8"/>
      <c r="K676" s="8"/>
      <c r="L676" s="8"/>
      <c r="M676" s="8"/>
      <c r="N676" s="8"/>
      <c r="O676" s="8"/>
      <c r="P676" s="8"/>
      <c r="Q676" s="8"/>
      <c r="R676" s="8"/>
      <c r="S676" s="8"/>
      <c r="T676" s="8"/>
      <c r="U676" s="12"/>
      <c r="V676" s="12"/>
      <c r="W676" s="12"/>
      <c r="X676" s="12"/>
      <c r="Y676" s="12"/>
      <c r="Z676" s="12"/>
      <c r="AA676" s="12"/>
      <c r="AB676" s="12"/>
      <c r="AC676" s="12"/>
      <c r="AD676" s="12"/>
      <c r="AE676" s="12"/>
      <c r="AF676" s="12"/>
    </row>
    <row r="677" spans="1:32">
      <c r="A677" s="8"/>
      <c r="B677" s="8"/>
      <c r="C677" s="8"/>
      <c r="D677" s="8"/>
      <c r="E677" s="8"/>
      <c r="F677" s="8"/>
      <c r="G677" s="8"/>
      <c r="H677" s="8"/>
      <c r="I677" s="8"/>
      <c r="J677" s="8"/>
      <c r="K677" s="8"/>
      <c r="L677" s="8"/>
      <c r="M677" s="8"/>
      <c r="N677" s="8"/>
      <c r="O677" s="8"/>
      <c r="P677" s="8"/>
      <c r="Q677" s="8"/>
      <c r="R677" s="8"/>
      <c r="S677" s="8"/>
      <c r="T677" s="8"/>
      <c r="U677" s="12"/>
      <c r="V677" s="12"/>
      <c r="W677" s="12"/>
      <c r="X677" s="12"/>
      <c r="Y677" s="12"/>
      <c r="Z677" s="12"/>
      <c r="AA677" s="12"/>
      <c r="AB677" s="12"/>
      <c r="AC677" s="12"/>
      <c r="AD677" s="12"/>
      <c r="AE677" s="12"/>
      <c r="AF677" s="12"/>
    </row>
    <row r="678" spans="1:32">
      <c r="A678" s="8"/>
      <c r="B678" s="8"/>
      <c r="C678" s="8"/>
      <c r="D678" s="8"/>
      <c r="E678" s="8"/>
      <c r="F678" s="8"/>
      <c r="G678" s="8"/>
      <c r="H678" s="8"/>
      <c r="I678" s="8"/>
      <c r="J678" s="8"/>
      <c r="K678" s="8"/>
      <c r="L678" s="8"/>
      <c r="M678" s="8"/>
      <c r="N678" s="8"/>
      <c r="O678" s="8"/>
      <c r="P678" s="8"/>
      <c r="Q678" s="8"/>
      <c r="R678" s="8"/>
      <c r="S678" s="8"/>
      <c r="T678" s="8"/>
      <c r="U678" s="12"/>
      <c r="V678" s="12"/>
      <c r="W678" s="12"/>
      <c r="X678" s="12"/>
      <c r="Y678" s="12"/>
      <c r="Z678" s="12"/>
      <c r="AA678" s="12"/>
      <c r="AB678" s="12"/>
      <c r="AC678" s="12"/>
      <c r="AD678" s="12"/>
      <c r="AE678" s="12"/>
      <c r="AF678" s="12"/>
    </row>
    <row r="679" spans="1:32">
      <c r="A679" s="8"/>
      <c r="B679" s="8"/>
      <c r="C679" s="8"/>
      <c r="D679" s="8"/>
      <c r="E679" s="8"/>
      <c r="F679" s="8"/>
      <c r="G679" s="8"/>
      <c r="H679" s="8"/>
      <c r="I679" s="8"/>
      <c r="J679" s="8"/>
      <c r="K679" s="8"/>
      <c r="L679" s="8"/>
      <c r="M679" s="8"/>
      <c r="N679" s="8"/>
      <c r="O679" s="8"/>
      <c r="P679" s="8"/>
      <c r="Q679" s="8"/>
      <c r="R679" s="8"/>
      <c r="S679" s="8"/>
      <c r="T679" s="8"/>
      <c r="U679" s="12"/>
      <c r="V679" s="12"/>
      <c r="W679" s="12"/>
      <c r="X679" s="12"/>
      <c r="Y679" s="12"/>
      <c r="Z679" s="12"/>
      <c r="AA679" s="12"/>
      <c r="AB679" s="12"/>
      <c r="AC679" s="12"/>
      <c r="AD679" s="12"/>
      <c r="AE679" s="12"/>
      <c r="AF679" s="12"/>
    </row>
    <row r="680" spans="1:32">
      <c r="A680" s="8"/>
      <c r="B680" s="8"/>
      <c r="C680" s="8"/>
      <c r="D680" s="8"/>
      <c r="E680" s="8"/>
      <c r="F680" s="8"/>
      <c r="G680" s="8"/>
      <c r="H680" s="8"/>
      <c r="I680" s="8"/>
      <c r="J680" s="8"/>
      <c r="K680" s="8"/>
      <c r="L680" s="8"/>
      <c r="M680" s="8"/>
      <c r="N680" s="8"/>
      <c r="O680" s="8"/>
      <c r="P680" s="8"/>
      <c r="Q680" s="8"/>
      <c r="R680" s="8"/>
      <c r="S680" s="8"/>
      <c r="T680" s="8"/>
      <c r="U680" s="12"/>
      <c r="V680" s="12"/>
      <c r="W680" s="12"/>
      <c r="X680" s="12"/>
      <c r="Y680" s="12"/>
      <c r="Z680" s="12"/>
      <c r="AA680" s="12"/>
      <c r="AB680" s="12"/>
      <c r="AC680" s="12"/>
      <c r="AD680" s="12"/>
      <c r="AE680" s="12"/>
      <c r="AF680" s="12"/>
    </row>
    <row r="681" spans="1:32">
      <c r="A681" s="8"/>
      <c r="B681" s="8"/>
      <c r="C681" s="8"/>
      <c r="D681" s="8"/>
      <c r="E681" s="8"/>
      <c r="F681" s="8"/>
      <c r="G681" s="8"/>
      <c r="H681" s="8"/>
      <c r="I681" s="8"/>
      <c r="J681" s="8"/>
      <c r="K681" s="8"/>
      <c r="L681" s="8"/>
      <c r="M681" s="8"/>
      <c r="N681" s="8"/>
      <c r="O681" s="8"/>
      <c r="P681" s="8"/>
      <c r="Q681" s="8"/>
      <c r="R681" s="8"/>
      <c r="S681" s="8"/>
      <c r="T681" s="8"/>
      <c r="U681" s="12"/>
      <c r="V681" s="12"/>
      <c r="W681" s="12"/>
      <c r="X681" s="12"/>
      <c r="Y681" s="12"/>
      <c r="Z681" s="12"/>
      <c r="AA681" s="12"/>
      <c r="AB681" s="12"/>
      <c r="AC681" s="12"/>
      <c r="AD681" s="12"/>
      <c r="AE681" s="12"/>
      <c r="AF681" s="12"/>
    </row>
    <row r="682" spans="1:32">
      <c r="A682" s="8"/>
      <c r="B682" s="8"/>
      <c r="C682" s="8"/>
      <c r="D682" s="8"/>
      <c r="E682" s="8"/>
      <c r="F682" s="8"/>
      <c r="G682" s="8"/>
      <c r="H682" s="8"/>
      <c r="I682" s="8"/>
      <c r="J682" s="8"/>
      <c r="K682" s="8"/>
      <c r="L682" s="8"/>
      <c r="M682" s="8"/>
      <c r="N682" s="8"/>
      <c r="O682" s="8"/>
      <c r="P682" s="8"/>
      <c r="Q682" s="8"/>
      <c r="R682" s="8"/>
      <c r="S682" s="8"/>
      <c r="T682" s="8"/>
      <c r="U682" s="12"/>
      <c r="V682" s="12"/>
      <c r="W682" s="12"/>
      <c r="X682" s="12"/>
      <c r="Y682" s="12"/>
      <c r="Z682" s="12"/>
      <c r="AA682" s="12"/>
      <c r="AB682" s="12"/>
      <c r="AC682" s="12"/>
      <c r="AD682" s="12"/>
      <c r="AE682" s="12"/>
      <c r="AF682" s="12"/>
    </row>
    <row r="683" spans="1:32">
      <c r="A683" s="8"/>
      <c r="B683" s="8"/>
      <c r="C683" s="8"/>
      <c r="D683" s="8"/>
      <c r="E683" s="8"/>
      <c r="F683" s="8"/>
      <c r="G683" s="8"/>
      <c r="H683" s="8"/>
      <c r="I683" s="8"/>
      <c r="J683" s="8"/>
      <c r="K683" s="8"/>
      <c r="L683" s="8"/>
      <c r="M683" s="8"/>
      <c r="N683" s="8"/>
      <c r="O683" s="8"/>
      <c r="P683" s="8"/>
      <c r="Q683" s="8"/>
      <c r="R683" s="8"/>
      <c r="S683" s="8"/>
      <c r="T683" s="8"/>
      <c r="U683" s="12"/>
      <c r="V683" s="12"/>
      <c r="W683" s="12"/>
      <c r="X683" s="12"/>
      <c r="Y683" s="12"/>
      <c r="Z683" s="12"/>
      <c r="AA683" s="12"/>
      <c r="AB683" s="12"/>
      <c r="AC683" s="12"/>
      <c r="AD683" s="12"/>
      <c r="AE683" s="12"/>
      <c r="AF683" s="12"/>
    </row>
    <row r="684" spans="1:32">
      <c r="A684" s="8"/>
      <c r="B684" s="8"/>
      <c r="C684" s="8"/>
      <c r="D684" s="8"/>
      <c r="E684" s="8"/>
      <c r="F684" s="8"/>
      <c r="G684" s="8"/>
      <c r="H684" s="8"/>
      <c r="I684" s="8"/>
      <c r="J684" s="8"/>
      <c r="K684" s="8"/>
      <c r="L684" s="8"/>
      <c r="M684" s="8"/>
      <c r="N684" s="8"/>
      <c r="O684" s="8"/>
      <c r="P684" s="8"/>
      <c r="Q684" s="8"/>
      <c r="R684" s="8"/>
      <c r="S684" s="8"/>
      <c r="T684" s="8"/>
      <c r="U684" s="12"/>
      <c r="V684" s="12"/>
      <c r="W684" s="12"/>
      <c r="X684" s="12"/>
      <c r="Y684" s="12"/>
      <c r="Z684" s="12"/>
      <c r="AA684" s="12"/>
      <c r="AB684" s="12"/>
      <c r="AC684" s="12"/>
      <c r="AD684" s="12"/>
      <c r="AE684" s="12"/>
      <c r="AF684" s="12"/>
    </row>
    <row r="685" spans="1:32">
      <c r="A685" s="8"/>
      <c r="B685" s="8"/>
      <c r="C685" s="8"/>
      <c r="D685" s="8"/>
      <c r="E685" s="8"/>
      <c r="F685" s="8"/>
      <c r="G685" s="8"/>
      <c r="H685" s="8"/>
      <c r="I685" s="8"/>
      <c r="J685" s="8"/>
      <c r="K685" s="8"/>
      <c r="L685" s="8"/>
      <c r="M685" s="8"/>
      <c r="N685" s="8"/>
      <c r="O685" s="8"/>
      <c r="P685" s="8"/>
      <c r="Q685" s="8"/>
      <c r="R685" s="8"/>
      <c r="S685" s="8"/>
      <c r="T685" s="8"/>
      <c r="U685" s="12"/>
      <c r="V685" s="12"/>
      <c r="W685" s="12"/>
      <c r="X685" s="12"/>
      <c r="Y685" s="12"/>
      <c r="Z685" s="12"/>
      <c r="AA685" s="12"/>
      <c r="AB685" s="12"/>
      <c r="AC685" s="12"/>
      <c r="AD685" s="12"/>
      <c r="AE685" s="12"/>
      <c r="AF685" s="12"/>
    </row>
    <row r="686" spans="1:32">
      <c r="A686" s="8"/>
      <c r="B686" s="8"/>
      <c r="C686" s="8"/>
      <c r="D686" s="8"/>
      <c r="E686" s="8"/>
      <c r="F686" s="8"/>
      <c r="G686" s="8"/>
      <c r="H686" s="8"/>
      <c r="I686" s="8"/>
      <c r="J686" s="8"/>
      <c r="K686" s="8"/>
      <c r="L686" s="8"/>
      <c r="M686" s="8"/>
      <c r="N686" s="8"/>
      <c r="O686" s="8"/>
      <c r="P686" s="8"/>
      <c r="Q686" s="8"/>
      <c r="R686" s="8"/>
      <c r="S686" s="8"/>
      <c r="T686" s="8"/>
      <c r="U686" s="12"/>
      <c r="V686" s="12"/>
      <c r="W686" s="12"/>
      <c r="X686" s="12"/>
      <c r="Y686" s="12"/>
      <c r="Z686" s="12"/>
      <c r="AA686" s="12"/>
      <c r="AB686" s="12"/>
      <c r="AC686" s="12"/>
      <c r="AD686" s="12"/>
      <c r="AE686" s="12"/>
      <c r="AF686" s="12"/>
    </row>
    <row r="687" spans="1:32">
      <c r="A687" s="8"/>
      <c r="B687" s="8"/>
      <c r="C687" s="8"/>
      <c r="D687" s="8"/>
      <c r="E687" s="8"/>
      <c r="F687" s="8"/>
      <c r="G687" s="8"/>
      <c r="H687" s="8"/>
      <c r="I687" s="8"/>
      <c r="J687" s="8"/>
      <c r="K687" s="8"/>
      <c r="L687" s="8"/>
      <c r="M687" s="8"/>
      <c r="N687" s="8"/>
      <c r="O687" s="8"/>
      <c r="P687" s="8"/>
      <c r="Q687" s="8"/>
      <c r="R687" s="8"/>
      <c r="S687" s="8"/>
      <c r="T687" s="8"/>
      <c r="U687" s="12"/>
      <c r="V687" s="12"/>
      <c r="W687" s="12"/>
      <c r="X687" s="12"/>
      <c r="Y687" s="12"/>
      <c r="Z687" s="12"/>
      <c r="AA687" s="12"/>
      <c r="AB687" s="12"/>
      <c r="AC687" s="12"/>
      <c r="AD687" s="12"/>
      <c r="AE687" s="12"/>
      <c r="AF687" s="12"/>
    </row>
    <row r="688" spans="1:32">
      <c r="A688" s="8"/>
      <c r="B688" s="8"/>
      <c r="C688" s="8"/>
      <c r="D688" s="8"/>
      <c r="E688" s="8"/>
      <c r="F688" s="8"/>
      <c r="G688" s="8"/>
      <c r="H688" s="8"/>
      <c r="I688" s="8"/>
      <c r="J688" s="8"/>
      <c r="K688" s="8"/>
      <c r="L688" s="8"/>
      <c r="M688" s="8"/>
      <c r="N688" s="8"/>
      <c r="O688" s="8"/>
      <c r="P688" s="8"/>
      <c r="Q688" s="8"/>
      <c r="R688" s="8"/>
      <c r="S688" s="8"/>
      <c r="T688" s="8"/>
      <c r="U688" s="12"/>
      <c r="V688" s="12"/>
      <c r="W688" s="12"/>
      <c r="X688" s="12"/>
      <c r="Y688" s="12"/>
      <c r="Z688" s="12"/>
      <c r="AA688" s="12"/>
      <c r="AB688" s="12"/>
      <c r="AC688" s="12"/>
      <c r="AD688" s="12"/>
      <c r="AE688" s="12"/>
      <c r="AF688" s="12"/>
    </row>
    <row r="689" spans="1:32">
      <c r="A689" s="8"/>
      <c r="B689" s="8"/>
      <c r="C689" s="8"/>
      <c r="D689" s="8"/>
      <c r="E689" s="8"/>
      <c r="F689" s="8"/>
      <c r="G689" s="8"/>
      <c r="H689" s="8"/>
      <c r="I689" s="8"/>
      <c r="J689" s="8"/>
      <c r="K689" s="8"/>
      <c r="L689" s="8"/>
      <c r="M689" s="8"/>
      <c r="N689" s="8"/>
      <c r="O689" s="8"/>
      <c r="P689" s="8"/>
      <c r="Q689" s="8"/>
      <c r="R689" s="8"/>
      <c r="S689" s="8"/>
      <c r="T689" s="8"/>
      <c r="U689" s="12"/>
      <c r="V689" s="12"/>
      <c r="W689" s="12"/>
      <c r="X689" s="12"/>
      <c r="Y689" s="12"/>
      <c r="Z689" s="12"/>
      <c r="AA689" s="12"/>
      <c r="AB689" s="12"/>
      <c r="AC689" s="12"/>
      <c r="AD689" s="12"/>
      <c r="AE689" s="12"/>
      <c r="AF689" s="12"/>
    </row>
    <row r="690" spans="1:32">
      <c r="A690" s="8"/>
      <c r="B690" s="8"/>
      <c r="C690" s="8"/>
      <c r="D690" s="8"/>
      <c r="E690" s="8"/>
      <c r="F690" s="8"/>
      <c r="G690" s="8"/>
      <c r="H690" s="8"/>
      <c r="I690" s="8"/>
      <c r="J690" s="8"/>
      <c r="K690" s="8"/>
      <c r="L690" s="8"/>
      <c r="M690" s="8"/>
      <c r="N690" s="8"/>
      <c r="O690" s="8"/>
      <c r="P690" s="8"/>
      <c r="Q690" s="8"/>
      <c r="R690" s="8"/>
      <c r="S690" s="8"/>
      <c r="T690" s="8"/>
      <c r="U690" s="12"/>
      <c r="V690" s="12"/>
      <c r="W690" s="12"/>
      <c r="X690" s="12"/>
      <c r="Y690" s="12"/>
      <c r="Z690" s="12"/>
      <c r="AA690" s="12"/>
      <c r="AB690" s="12"/>
      <c r="AC690" s="12"/>
      <c r="AD690" s="12"/>
      <c r="AE690" s="12"/>
      <c r="AF690" s="12"/>
    </row>
    <row r="691" spans="1:32">
      <c r="A691" s="8"/>
      <c r="B691" s="8"/>
      <c r="C691" s="8"/>
      <c r="D691" s="8"/>
      <c r="E691" s="8"/>
      <c r="F691" s="8"/>
      <c r="G691" s="8"/>
      <c r="H691" s="8"/>
      <c r="I691" s="8"/>
      <c r="J691" s="8"/>
      <c r="K691" s="8"/>
      <c r="L691" s="8"/>
      <c r="M691" s="8"/>
      <c r="N691" s="8"/>
      <c r="O691" s="8"/>
      <c r="P691" s="8"/>
      <c r="Q691" s="8"/>
      <c r="R691" s="8"/>
      <c r="S691" s="8"/>
      <c r="T691" s="8"/>
      <c r="U691" s="12"/>
      <c r="V691" s="12"/>
      <c r="W691" s="12"/>
      <c r="X691" s="12"/>
      <c r="Y691" s="12"/>
      <c r="Z691" s="12"/>
      <c r="AA691" s="12"/>
      <c r="AB691" s="12"/>
      <c r="AC691" s="12"/>
      <c r="AD691" s="12"/>
      <c r="AE691" s="12"/>
      <c r="AF691" s="12"/>
    </row>
    <row r="692" spans="1:32">
      <c r="A692" s="8"/>
      <c r="B692" s="8"/>
      <c r="C692" s="8"/>
      <c r="D692" s="8"/>
      <c r="E692" s="8"/>
      <c r="F692" s="8"/>
      <c r="G692" s="8"/>
      <c r="H692" s="8"/>
      <c r="I692" s="8"/>
      <c r="J692" s="8"/>
      <c r="K692" s="8"/>
      <c r="L692" s="8"/>
      <c r="M692" s="8"/>
      <c r="N692" s="8"/>
      <c r="O692" s="8"/>
      <c r="P692" s="8"/>
      <c r="Q692" s="8"/>
      <c r="R692" s="8"/>
      <c r="S692" s="8"/>
      <c r="T692" s="8"/>
      <c r="U692" s="12"/>
      <c r="V692" s="12"/>
      <c r="W692" s="12"/>
      <c r="X692" s="12"/>
      <c r="Y692" s="12"/>
      <c r="Z692" s="12"/>
      <c r="AA692" s="12"/>
      <c r="AB692" s="12"/>
      <c r="AC692" s="12"/>
      <c r="AD692" s="12"/>
      <c r="AE692" s="12"/>
      <c r="AF692" s="12"/>
    </row>
    <row r="693" spans="1:32">
      <c r="A693" s="8"/>
      <c r="B693" s="8"/>
      <c r="C693" s="8"/>
      <c r="D693" s="8"/>
      <c r="E693" s="8"/>
      <c r="F693" s="8"/>
      <c r="G693" s="8"/>
      <c r="H693" s="8"/>
      <c r="I693" s="8"/>
      <c r="J693" s="8"/>
      <c r="K693" s="8"/>
      <c r="L693" s="8"/>
      <c r="M693" s="8"/>
      <c r="N693" s="8"/>
      <c r="O693" s="8"/>
      <c r="P693" s="8"/>
      <c r="Q693" s="8"/>
      <c r="R693" s="8"/>
      <c r="S693" s="8"/>
      <c r="T693" s="8"/>
      <c r="U693" s="12"/>
      <c r="V693" s="12"/>
      <c r="W693" s="12"/>
      <c r="X693" s="12"/>
      <c r="Y693" s="12"/>
      <c r="Z693" s="12"/>
      <c r="AA693" s="12"/>
      <c r="AB693" s="12"/>
      <c r="AC693" s="12"/>
      <c r="AD693" s="12"/>
      <c r="AE693" s="12"/>
      <c r="AF693" s="12"/>
    </row>
    <row r="694" spans="1:32">
      <c r="A694" s="8"/>
      <c r="B694" s="8"/>
      <c r="C694" s="8"/>
      <c r="D694" s="8"/>
      <c r="E694" s="8"/>
      <c r="F694" s="8"/>
      <c r="G694" s="8"/>
      <c r="H694" s="8"/>
      <c r="I694" s="8"/>
      <c r="J694" s="8"/>
      <c r="K694" s="8"/>
      <c r="L694" s="8"/>
      <c r="M694" s="8"/>
      <c r="N694" s="8"/>
      <c r="O694" s="8"/>
      <c r="P694" s="8"/>
      <c r="Q694" s="8"/>
      <c r="R694" s="8"/>
      <c r="S694" s="8"/>
      <c r="T694" s="8"/>
      <c r="U694" s="12"/>
      <c r="V694" s="12"/>
      <c r="W694" s="12"/>
      <c r="X694" s="12"/>
      <c r="Y694" s="12"/>
      <c r="Z694" s="12"/>
      <c r="AA694" s="12"/>
      <c r="AB694" s="12"/>
      <c r="AC694" s="12"/>
      <c r="AD694" s="12"/>
      <c r="AE694" s="12"/>
      <c r="AF694" s="12"/>
    </row>
    <row r="695" spans="1:32">
      <c r="A695" s="8"/>
      <c r="B695" s="8"/>
      <c r="C695" s="8"/>
      <c r="D695" s="8"/>
      <c r="E695" s="8"/>
      <c r="F695" s="8"/>
      <c r="G695" s="8"/>
      <c r="H695" s="8"/>
      <c r="I695" s="8"/>
      <c r="J695" s="8"/>
      <c r="K695" s="8"/>
      <c r="L695" s="8"/>
      <c r="M695" s="8"/>
      <c r="N695" s="8"/>
      <c r="O695" s="8"/>
      <c r="P695" s="8"/>
      <c r="Q695" s="8"/>
      <c r="R695" s="8"/>
      <c r="S695" s="8"/>
      <c r="T695" s="8"/>
      <c r="U695" s="12"/>
      <c r="V695" s="12"/>
      <c r="W695" s="12"/>
      <c r="X695" s="12"/>
      <c r="Y695" s="12"/>
      <c r="Z695" s="12"/>
      <c r="AA695" s="12"/>
      <c r="AB695" s="12"/>
      <c r="AC695" s="12"/>
      <c r="AD695" s="12"/>
      <c r="AE695" s="12"/>
      <c r="AF695" s="12"/>
    </row>
    <row r="696" spans="1:32">
      <c r="A696" s="8"/>
      <c r="B696" s="8"/>
      <c r="C696" s="8"/>
      <c r="D696" s="8"/>
      <c r="E696" s="8"/>
      <c r="F696" s="8"/>
      <c r="G696" s="8"/>
      <c r="H696" s="8"/>
      <c r="I696" s="8"/>
      <c r="J696" s="8"/>
      <c r="K696" s="8"/>
      <c r="L696" s="8"/>
      <c r="M696" s="8"/>
      <c r="N696" s="8"/>
      <c r="O696" s="8"/>
      <c r="P696" s="8"/>
      <c r="Q696" s="8"/>
      <c r="R696" s="8"/>
      <c r="S696" s="8"/>
      <c r="T696" s="8"/>
      <c r="U696" s="12"/>
      <c r="V696" s="12"/>
      <c r="W696" s="12"/>
      <c r="X696" s="12"/>
      <c r="Y696" s="12"/>
      <c r="Z696" s="12"/>
      <c r="AA696" s="12"/>
      <c r="AB696" s="12"/>
      <c r="AC696" s="12"/>
      <c r="AD696" s="12"/>
      <c r="AE696" s="12"/>
      <c r="AF696" s="12"/>
    </row>
    <row r="697" spans="1:32">
      <c r="A697" s="8"/>
      <c r="B697" s="8"/>
      <c r="C697" s="8"/>
      <c r="D697" s="8"/>
      <c r="E697" s="8"/>
      <c r="F697" s="8"/>
      <c r="G697" s="8"/>
      <c r="H697" s="8"/>
      <c r="I697" s="8"/>
      <c r="J697" s="8"/>
      <c r="K697" s="8"/>
      <c r="L697" s="8"/>
      <c r="M697" s="8"/>
      <c r="N697" s="8"/>
      <c r="O697" s="8"/>
      <c r="P697" s="8"/>
      <c r="Q697" s="8"/>
      <c r="R697" s="8"/>
      <c r="S697" s="8"/>
      <c r="T697" s="8"/>
      <c r="U697" s="12"/>
      <c r="V697" s="12"/>
      <c r="W697" s="12"/>
      <c r="X697" s="12"/>
      <c r="Y697" s="12"/>
      <c r="Z697" s="12"/>
      <c r="AA697" s="12"/>
      <c r="AB697" s="12"/>
      <c r="AC697" s="12"/>
      <c r="AD697" s="12"/>
      <c r="AE697" s="12"/>
      <c r="AF697" s="12"/>
    </row>
    <row r="698" spans="1:32">
      <c r="A698" s="8"/>
      <c r="B698" s="8"/>
      <c r="C698" s="8"/>
      <c r="D698" s="8"/>
      <c r="E698" s="8"/>
      <c r="F698" s="8"/>
      <c r="G698" s="8"/>
      <c r="H698" s="8"/>
      <c r="I698" s="8"/>
      <c r="J698" s="8"/>
      <c r="K698" s="8"/>
      <c r="L698" s="8"/>
      <c r="M698" s="8"/>
      <c r="N698" s="8"/>
      <c r="O698" s="8"/>
      <c r="P698" s="8"/>
      <c r="Q698" s="8"/>
      <c r="R698" s="8"/>
      <c r="S698" s="8"/>
      <c r="T698" s="8"/>
      <c r="U698" s="12"/>
      <c r="V698" s="12"/>
      <c r="W698" s="12"/>
      <c r="X698" s="12"/>
      <c r="Y698" s="12"/>
      <c r="Z698" s="12"/>
      <c r="AA698" s="12"/>
      <c r="AB698" s="12"/>
      <c r="AC698" s="12"/>
      <c r="AD698" s="12"/>
      <c r="AE698" s="12"/>
      <c r="AF698" s="12"/>
    </row>
    <row r="699" spans="1:32">
      <c r="A699" s="8"/>
      <c r="B699" s="8"/>
      <c r="C699" s="8"/>
      <c r="D699" s="8"/>
      <c r="E699" s="8"/>
      <c r="F699" s="8"/>
      <c r="G699" s="8"/>
      <c r="H699" s="8"/>
      <c r="I699" s="8"/>
      <c r="J699" s="8"/>
      <c r="K699" s="8"/>
      <c r="L699" s="8"/>
      <c r="M699" s="8"/>
      <c r="N699" s="8"/>
      <c r="O699" s="8"/>
      <c r="P699" s="8"/>
      <c r="Q699" s="8"/>
      <c r="R699" s="8"/>
      <c r="S699" s="8"/>
      <c r="T699" s="8"/>
      <c r="U699" s="12"/>
      <c r="V699" s="12"/>
      <c r="W699" s="12"/>
      <c r="X699" s="12"/>
      <c r="Y699" s="12"/>
      <c r="Z699" s="12"/>
      <c r="AA699" s="12"/>
      <c r="AB699" s="12"/>
      <c r="AC699" s="12"/>
      <c r="AD699" s="12"/>
      <c r="AE699" s="12"/>
      <c r="AF699" s="12"/>
    </row>
    <row r="700" spans="1:32">
      <c r="A700" s="8"/>
      <c r="B700" s="8"/>
      <c r="C700" s="8"/>
      <c r="D700" s="8"/>
      <c r="E700" s="8"/>
      <c r="F700" s="8"/>
      <c r="G700" s="8"/>
      <c r="H700" s="8"/>
      <c r="I700" s="8"/>
      <c r="J700" s="8"/>
      <c r="K700" s="8"/>
      <c r="L700" s="8"/>
      <c r="M700" s="8"/>
      <c r="N700" s="8"/>
      <c r="O700" s="8"/>
      <c r="P700" s="8"/>
      <c r="Q700" s="8"/>
      <c r="R700" s="8"/>
      <c r="S700" s="8"/>
      <c r="T700" s="8"/>
      <c r="U700" s="12"/>
      <c r="V700" s="12"/>
      <c r="W700" s="12"/>
      <c r="X700" s="12"/>
      <c r="Y700" s="12"/>
      <c r="Z700" s="12"/>
      <c r="AA700" s="12"/>
      <c r="AB700" s="12"/>
      <c r="AC700" s="12"/>
      <c r="AD700" s="12"/>
      <c r="AE700" s="12"/>
      <c r="AF700" s="12"/>
    </row>
    <row r="701" spans="1:32">
      <c r="A701" s="8"/>
      <c r="B701" s="8"/>
      <c r="C701" s="8"/>
      <c r="D701" s="8"/>
      <c r="E701" s="8"/>
      <c r="F701" s="8"/>
      <c r="G701" s="8"/>
      <c r="H701" s="8"/>
      <c r="I701" s="8"/>
      <c r="J701" s="8"/>
      <c r="K701" s="8"/>
      <c r="L701" s="8"/>
      <c r="M701" s="8"/>
      <c r="N701" s="8"/>
      <c r="O701" s="8"/>
      <c r="P701" s="8"/>
      <c r="Q701" s="8"/>
      <c r="R701" s="8"/>
      <c r="S701" s="8"/>
      <c r="T701" s="8"/>
      <c r="U701" s="12"/>
      <c r="V701" s="12"/>
      <c r="W701" s="12"/>
      <c r="X701" s="12"/>
      <c r="Y701" s="12"/>
      <c r="Z701" s="12"/>
      <c r="AA701" s="12"/>
      <c r="AB701" s="12"/>
      <c r="AC701" s="12"/>
      <c r="AD701" s="12"/>
      <c r="AE701" s="12"/>
      <c r="AF701" s="12"/>
    </row>
    <row r="702" spans="1:32">
      <c r="A702" s="8"/>
      <c r="B702" s="8"/>
      <c r="C702" s="8"/>
      <c r="D702" s="8"/>
      <c r="E702" s="8"/>
      <c r="F702" s="8"/>
      <c r="G702" s="8"/>
      <c r="H702" s="8"/>
      <c r="I702" s="8"/>
      <c r="J702" s="8"/>
      <c r="K702" s="8"/>
      <c r="L702" s="8"/>
      <c r="M702" s="8"/>
      <c r="N702" s="8"/>
      <c r="O702" s="8"/>
      <c r="P702" s="8"/>
      <c r="Q702" s="8"/>
      <c r="R702" s="8"/>
      <c r="S702" s="8"/>
      <c r="T702" s="8"/>
      <c r="U702" s="12"/>
      <c r="V702" s="12"/>
      <c r="W702" s="12"/>
      <c r="X702" s="12"/>
      <c r="Y702" s="12"/>
      <c r="Z702" s="12"/>
      <c r="AA702" s="12"/>
      <c r="AB702" s="12"/>
      <c r="AC702" s="12"/>
      <c r="AD702" s="12"/>
      <c r="AE702" s="12"/>
      <c r="AF702" s="12"/>
    </row>
    <row r="703" spans="1:32">
      <c r="A703" s="8"/>
      <c r="B703" s="8"/>
      <c r="C703" s="8"/>
      <c r="D703" s="8"/>
      <c r="E703" s="8"/>
      <c r="F703" s="8"/>
      <c r="G703" s="8"/>
      <c r="H703" s="8"/>
      <c r="I703" s="8"/>
      <c r="J703" s="8"/>
      <c r="K703" s="8"/>
      <c r="L703" s="8"/>
      <c r="M703" s="8"/>
      <c r="N703" s="8"/>
      <c r="O703" s="8"/>
      <c r="P703" s="8"/>
      <c r="Q703" s="8"/>
      <c r="R703" s="8"/>
      <c r="S703" s="8"/>
      <c r="T703" s="8"/>
      <c r="U703" s="12"/>
      <c r="V703" s="12"/>
      <c r="W703" s="12"/>
      <c r="X703" s="12"/>
      <c r="Y703" s="12"/>
      <c r="Z703" s="12"/>
      <c r="AA703" s="12"/>
      <c r="AB703" s="12"/>
      <c r="AC703" s="12"/>
      <c r="AD703" s="12"/>
      <c r="AE703" s="12"/>
      <c r="AF703" s="12"/>
    </row>
    <row r="704" spans="1:32">
      <c r="A704" s="8"/>
      <c r="B704" s="8"/>
      <c r="C704" s="8"/>
      <c r="D704" s="8"/>
      <c r="E704" s="8"/>
      <c r="F704" s="8"/>
      <c r="G704" s="8"/>
      <c r="H704" s="8"/>
      <c r="I704" s="8"/>
      <c r="J704" s="8"/>
      <c r="K704" s="8"/>
      <c r="L704" s="8"/>
      <c r="M704" s="8"/>
      <c r="N704" s="8"/>
      <c r="O704" s="8"/>
      <c r="P704" s="8"/>
      <c r="Q704" s="8"/>
      <c r="R704" s="8"/>
      <c r="S704" s="8"/>
      <c r="T704" s="8"/>
      <c r="U704" s="12"/>
      <c r="V704" s="12"/>
      <c r="W704" s="12"/>
      <c r="X704" s="12"/>
      <c r="Y704" s="12"/>
      <c r="Z704" s="12"/>
      <c r="AA704" s="12"/>
      <c r="AB704" s="12"/>
      <c r="AC704" s="12"/>
      <c r="AD704" s="12"/>
      <c r="AE704" s="12"/>
      <c r="AF704" s="12"/>
    </row>
    <row r="705" spans="1:32">
      <c r="A705" s="8"/>
      <c r="B705" s="8"/>
      <c r="C705" s="8"/>
      <c r="D705" s="8"/>
      <c r="E705" s="8"/>
      <c r="F705" s="8"/>
      <c r="G705" s="8"/>
      <c r="H705" s="8"/>
      <c r="I705" s="8"/>
      <c r="J705" s="8"/>
      <c r="K705" s="8"/>
      <c r="L705" s="8"/>
      <c r="M705" s="8"/>
      <c r="N705" s="8"/>
      <c r="O705" s="8"/>
      <c r="P705" s="8"/>
      <c r="Q705" s="8"/>
      <c r="R705" s="8"/>
      <c r="S705" s="8"/>
      <c r="T705" s="8"/>
      <c r="U705" s="12"/>
      <c r="V705" s="12"/>
      <c r="W705" s="12"/>
      <c r="X705" s="12"/>
      <c r="Y705" s="12"/>
      <c r="Z705" s="12"/>
      <c r="AA705" s="12"/>
      <c r="AB705" s="12"/>
      <c r="AC705" s="12"/>
      <c r="AD705" s="12"/>
      <c r="AE705" s="12"/>
      <c r="AF705" s="12"/>
    </row>
    <row r="706" spans="1:32">
      <c r="A706" s="8"/>
      <c r="B706" s="8"/>
      <c r="C706" s="8"/>
      <c r="D706" s="8"/>
      <c r="E706" s="8"/>
      <c r="F706" s="8"/>
      <c r="G706" s="8"/>
      <c r="H706" s="8"/>
      <c r="I706" s="8"/>
      <c r="J706" s="8"/>
      <c r="K706" s="8"/>
      <c r="L706" s="8"/>
      <c r="M706" s="8"/>
      <c r="N706" s="8"/>
      <c r="O706" s="8"/>
      <c r="P706" s="8"/>
      <c r="Q706" s="8"/>
      <c r="R706" s="8"/>
      <c r="S706" s="8"/>
      <c r="T706" s="8"/>
      <c r="U706" s="12"/>
      <c r="V706" s="12"/>
      <c r="W706" s="12"/>
      <c r="X706" s="12"/>
      <c r="Y706" s="12"/>
      <c r="Z706" s="12"/>
      <c r="AA706" s="12"/>
      <c r="AB706" s="12"/>
      <c r="AC706" s="12"/>
      <c r="AD706" s="12"/>
      <c r="AE706" s="12"/>
      <c r="AF706" s="12"/>
    </row>
    <row r="707" spans="1:32">
      <c r="A707" s="8"/>
      <c r="B707" s="8"/>
      <c r="C707" s="8"/>
      <c r="D707" s="8"/>
      <c r="E707" s="8"/>
      <c r="F707" s="8"/>
      <c r="G707" s="8"/>
      <c r="H707" s="8"/>
      <c r="I707" s="8"/>
      <c r="J707" s="8"/>
      <c r="K707" s="8"/>
      <c r="L707" s="8"/>
      <c r="M707" s="8"/>
      <c r="N707" s="8"/>
      <c r="O707" s="8"/>
      <c r="P707" s="8"/>
      <c r="Q707" s="8"/>
      <c r="R707" s="8"/>
      <c r="S707" s="8"/>
      <c r="T707" s="8"/>
      <c r="U707" s="12"/>
      <c r="V707" s="12"/>
      <c r="W707" s="12"/>
      <c r="X707" s="12"/>
      <c r="Y707" s="12"/>
      <c r="Z707" s="12"/>
      <c r="AA707" s="12"/>
      <c r="AB707" s="12"/>
      <c r="AC707" s="12"/>
      <c r="AD707" s="12"/>
      <c r="AE707" s="12"/>
      <c r="AF707" s="12"/>
    </row>
    <row r="708" spans="1:32">
      <c r="A708" s="8"/>
      <c r="B708" s="8"/>
      <c r="C708" s="8"/>
      <c r="D708" s="8"/>
      <c r="E708" s="8"/>
      <c r="F708" s="8"/>
      <c r="G708" s="8"/>
      <c r="H708" s="8"/>
      <c r="I708" s="8"/>
      <c r="J708" s="8"/>
      <c r="K708" s="8"/>
      <c r="L708" s="8"/>
      <c r="M708" s="8"/>
      <c r="N708" s="8"/>
      <c r="O708" s="8"/>
      <c r="P708" s="8"/>
      <c r="Q708" s="8"/>
      <c r="R708" s="8"/>
      <c r="S708" s="8"/>
      <c r="T708" s="8"/>
      <c r="U708" s="12"/>
      <c r="V708" s="12"/>
      <c r="W708" s="12"/>
      <c r="X708" s="12"/>
      <c r="Y708" s="12"/>
      <c r="Z708" s="12"/>
      <c r="AA708" s="12"/>
      <c r="AB708" s="12"/>
      <c r="AC708" s="12"/>
      <c r="AD708" s="12"/>
      <c r="AE708" s="12"/>
      <c r="AF708" s="12"/>
    </row>
    <row r="709" spans="1:32">
      <c r="A709" s="8"/>
      <c r="B709" s="8"/>
      <c r="C709" s="8"/>
      <c r="D709" s="8"/>
      <c r="E709" s="8"/>
      <c r="F709" s="8"/>
      <c r="G709" s="8"/>
      <c r="H709" s="8"/>
      <c r="I709" s="8"/>
      <c r="J709" s="8"/>
      <c r="K709" s="8"/>
      <c r="L709" s="8"/>
      <c r="M709" s="8"/>
      <c r="N709" s="8"/>
      <c r="O709" s="8"/>
      <c r="P709" s="8"/>
      <c r="Q709" s="8"/>
      <c r="R709" s="8"/>
      <c r="S709" s="8"/>
      <c r="T709" s="8"/>
      <c r="U709" s="12"/>
      <c r="V709" s="12"/>
      <c r="W709" s="12"/>
      <c r="X709" s="12"/>
      <c r="Y709" s="12"/>
      <c r="Z709" s="12"/>
      <c r="AA709" s="12"/>
      <c r="AB709" s="12"/>
      <c r="AC709" s="12"/>
      <c r="AD709" s="12"/>
      <c r="AE709" s="12"/>
      <c r="AF709" s="12"/>
    </row>
    <row r="710" spans="1:32">
      <c r="A710" s="8"/>
      <c r="B710" s="8"/>
      <c r="C710" s="8"/>
      <c r="D710" s="8"/>
      <c r="E710" s="8"/>
      <c r="F710" s="8"/>
      <c r="G710" s="8"/>
      <c r="H710" s="8"/>
      <c r="I710" s="8"/>
      <c r="J710" s="8"/>
      <c r="K710" s="8"/>
      <c r="L710" s="8"/>
      <c r="M710" s="8"/>
      <c r="N710" s="8"/>
      <c r="O710" s="8"/>
      <c r="P710" s="8"/>
      <c r="Q710" s="8"/>
      <c r="R710" s="8"/>
      <c r="S710" s="8"/>
      <c r="T710" s="8"/>
      <c r="U710" s="12"/>
      <c r="V710" s="12"/>
      <c r="W710" s="12"/>
      <c r="X710" s="12"/>
      <c r="Y710" s="12"/>
      <c r="Z710" s="12"/>
      <c r="AA710" s="12"/>
      <c r="AB710" s="12"/>
      <c r="AC710" s="12"/>
      <c r="AD710" s="12"/>
      <c r="AE710" s="12"/>
      <c r="AF710" s="12"/>
    </row>
    <row r="711" spans="1:32">
      <c r="A711" s="8"/>
      <c r="B711" s="8"/>
      <c r="C711" s="8"/>
      <c r="D711" s="8"/>
      <c r="E711" s="8"/>
      <c r="F711" s="8"/>
      <c r="G711" s="8"/>
      <c r="H711" s="8"/>
      <c r="I711" s="8"/>
      <c r="J711" s="8"/>
      <c r="K711" s="8"/>
      <c r="L711" s="8"/>
      <c r="M711" s="8"/>
      <c r="N711" s="8"/>
      <c r="O711" s="8"/>
      <c r="P711" s="8"/>
      <c r="Q711" s="8"/>
      <c r="R711" s="8"/>
      <c r="S711" s="8"/>
      <c r="T711" s="8"/>
      <c r="U711" s="12"/>
      <c r="V711" s="12"/>
      <c r="W711" s="12"/>
      <c r="X711" s="12"/>
      <c r="Y711" s="12"/>
      <c r="Z711" s="12"/>
      <c r="AA711" s="12"/>
      <c r="AB711" s="12"/>
      <c r="AC711" s="12"/>
      <c r="AD711" s="12"/>
      <c r="AE711" s="12"/>
      <c r="AF711" s="12"/>
    </row>
    <row r="712" spans="1:32">
      <c r="A712" s="8"/>
      <c r="B712" s="8"/>
      <c r="C712" s="8"/>
      <c r="D712" s="8"/>
      <c r="E712" s="8"/>
      <c r="F712" s="8"/>
      <c r="G712" s="8"/>
      <c r="H712" s="8"/>
      <c r="I712" s="8"/>
      <c r="J712" s="8"/>
      <c r="K712" s="8"/>
      <c r="L712" s="8"/>
      <c r="M712" s="8"/>
      <c r="N712" s="8"/>
      <c r="O712" s="8"/>
      <c r="P712" s="8"/>
      <c r="Q712" s="8"/>
      <c r="R712" s="8"/>
      <c r="S712" s="8"/>
      <c r="T712" s="8"/>
      <c r="U712" s="12"/>
      <c r="V712" s="12"/>
      <c r="W712" s="12"/>
      <c r="X712" s="12"/>
      <c r="Y712" s="12"/>
      <c r="Z712" s="12"/>
      <c r="AA712" s="12"/>
      <c r="AB712" s="12"/>
      <c r="AC712" s="12"/>
      <c r="AD712" s="12"/>
      <c r="AE712" s="12"/>
      <c r="AF712" s="12"/>
    </row>
    <row r="713" spans="1:32">
      <c r="A713" s="8"/>
      <c r="B713" s="8"/>
      <c r="C713" s="8"/>
      <c r="D713" s="8"/>
      <c r="E713" s="8"/>
      <c r="F713" s="8"/>
      <c r="G713" s="8"/>
      <c r="H713" s="8"/>
      <c r="I713" s="8"/>
      <c r="J713" s="8"/>
      <c r="K713" s="8"/>
      <c r="L713" s="8"/>
      <c r="M713" s="8"/>
      <c r="N713" s="8"/>
      <c r="O713" s="8"/>
      <c r="P713" s="8"/>
      <c r="Q713" s="8"/>
      <c r="R713" s="8"/>
      <c r="S713" s="8"/>
      <c r="T713" s="8"/>
      <c r="U713" s="12"/>
      <c r="V713" s="12"/>
      <c r="W713" s="12"/>
      <c r="X713" s="12"/>
      <c r="Y713" s="12"/>
      <c r="Z713" s="12"/>
      <c r="AA713" s="12"/>
      <c r="AB713" s="12"/>
      <c r="AC713" s="12"/>
      <c r="AD713" s="12"/>
      <c r="AE713" s="12"/>
      <c r="AF713" s="12"/>
    </row>
    <row r="714" spans="1:32">
      <c r="A714" s="8"/>
      <c r="B714" s="8"/>
      <c r="C714" s="8"/>
      <c r="D714" s="8"/>
      <c r="E714" s="8"/>
      <c r="F714" s="8"/>
      <c r="G714" s="8"/>
      <c r="H714" s="8"/>
      <c r="I714" s="8"/>
      <c r="J714" s="8"/>
      <c r="K714" s="8"/>
      <c r="L714" s="8"/>
      <c r="M714" s="8"/>
      <c r="N714" s="8"/>
      <c r="O714" s="8"/>
      <c r="P714" s="8"/>
      <c r="Q714" s="8"/>
      <c r="R714" s="8"/>
      <c r="S714" s="8"/>
      <c r="T714" s="8"/>
      <c r="U714" s="12"/>
      <c r="V714" s="12"/>
      <c r="W714" s="12"/>
      <c r="X714" s="12"/>
      <c r="Y714" s="12"/>
      <c r="Z714" s="12"/>
      <c r="AA714" s="12"/>
      <c r="AB714" s="12"/>
      <c r="AC714" s="12"/>
      <c r="AD714" s="12"/>
      <c r="AE714" s="12"/>
      <c r="AF714" s="12"/>
    </row>
    <row r="715" spans="1:32">
      <c r="A715" s="8"/>
      <c r="B715" s="8"/>
      <c r="C715" s="8"/>
      <c r="D715" s="8"/>
      <c r="E715" s="8"/>
      <c r="F715" s="8"/>
      <c r="G715" s="8"/>
      <c r="H715" s="8"/>
      <c r="I715" s="8"/>
      <c r="J715" s="8"/>
      <c r="K715" s="8"/>
      <c r="L715" s="8"/>
      <c r="M715" s="8"/>
      <c r="N715" s="8"/>
      <c r="O715" s="8"/>
      <c r="P715" s="8"/>
      <c r="Q715" s="8"/>
      <c r="R715" s="8"/>
      <c r="S715" s="8"/>
      <c r="T715" s="8"/>
      <c r="U715" s="12"/>
      <c r="V715" s="12"/>
      <c r="W715" s="12"/>
      <c r="X715" s="12"/>
      <c r="Y715" s="12"/>
      <c r="Z715" s="12"/>
      <c r="AA715" s="12"/>
      <c r="AB715" s="12"/>
      <c r="AC715" s="12"/>
      <c r="AD715" s="12"/>
      <c r="AE715" s="12"/>
      <c r="AF715" s="12"/>
    </row>
    <row r="716" spans="1:32">
      <c r="A716" s="8"/>
      <c r="B716" s="8"/>
      <c r="C716" s="8"/>
      <c r="D716" s="8"/>
      <c r="E716" s="8"/>
      <c r="F716" s="8"/>
      <c r="G716" s="8"/>
      <c r="H716" s="8"/>
      <c r="I716" s="8"/>
      <c r="J716" s="8"/>
      <c r="K716" s="8"/>
      <c r="L716" s="8"/>
      <c r="M716" s="8"/>
      <c r="N716" s="8"/>
      <c r="O716" s="8"/>
      <c r="P716" s="8"/>
      <c r="Q716" s="8"/>
      <c r="R716" s="8"/>
      <c r="S716" s="8"/>
      <c r="T716" s="8"/>
      <c r="U716" s="12"/>
      <c r="V716" s="12"/>
      <c r="W716" s="12"/>
      <c r="X716" s="12"/>
      <c r="Y716" s="12"/>
      <c r="Z716" s="12"/>
      <c r="AA716" s="12"/>
      <c r="AB716" s="12"/>
      <c r="AC716" s="12"/>
      <c r="AD716" s="12"/>
      <c r="AE716" s="12"/>
      <c r="AF716" s="12"/>
    </row>
    <row r="717" spans="1:32">
      <c r="A717" s="8"/>
      <c r="B717" s="8"/>
      <c r="C717" s="8"/>
      <c r="D717" s="8"/>
      <c r="E717" s="8"/>
      <c r="F717" s="8"/>
      <c r="G717" s="8"/>
      <c r="H717" s="8"/>
      <c r="I717" s="8"/>
      <c r="J717" s="8"/>
      <c r="K717" s="8"/>
      <c r="L717" s="8"/>
      <c r="M717" s="8"/>
      <c r="N717" s="8"/>
      <c r="O717" s="8"/>
      <c r="P717" s="8"/>
      <c r="Q717" s="8"/>
      <c r="R717" s="8"/>
      <c r="S717" s="8"/>
      <c r="T717" s="8"/>
      <c r="U717" s="12"/>
      <c r="V717" s="12"/>
      <c r="W717" s="12"/>
      <c r="X717" s="12"/>
      <c r="Y717" s="12"/>
      <c r="Z717" s="12"/>
      <c r="AA717" s="12"/>
      <c r="AB717" s="12"/>
      <c r="AC717" s="12"/>
      <c r="AD717" s="12"/>
      <c r="AE717" s="12"/>
      <c r="AF717" s="12"/>
    </row>
    <row r="718" spans="1:32">
      <c r="A718" s="8"/>
      <c r="B718" s="8"/>
      <c r="C718" s="8"/>
      <c r="D718" s="8"/>
      <c r="E718" s="8"/>
      <c r="F718" s="8"/>
      <c r="G718" s="8"/>
      <c r="H718" s="8"/>
      <c r="I718" s="8"/>
      <c r="J718" s="8"/>
      <c r="K718" s="8"/>
      <c r="L718" s="8"/>
      <c r="M718" s="8"/>
      <c r="N718" s="8"/>
      <c r="O718" s="8"/>
      <c r="P718" s="8"/>
      <c r="Q718" s="8"/>
      <c r="R718" s="8"/>
      <c r="S718" s="8"/>
      <c r="T718" s="8"/>
      <c r="U718" s="12"/>
      <c r="V718" s="12"/>
      <c r="W718" s="12"/>
      <c r="X718" s="12"/>
      <c r="Y718" s="12"/>
      <c r="Z718" s="12"/>
      <c r="AA718" s="12"/>
      <c r="AB718" s="12"/>
      <c r="AC718" s="12"/>
      <c r="AD718" s="12"/>
      <c r="AE718" s="12"/>
      <c r="AF718" s="12"/>
    </row>
    <row r="719" spans="1:32">
      <c r="A719" s="8"/>
      <c r="B719" s="8"/>
      <c r="C719" s="8"/>
      <c r="D719" s="8"/>
      <c r="E719" s="8"/>
      <c r="F719" s="8"/>
      <c r="G719" s="8"/>
      <c r="H719" s="8"/>
      <c r="I719" s="8"/>
      <c r="J719" s="8"/>
      <c r="K719" s="8"/>
      <c r="L719" s="8"/>
      <c r="M719" s="8"/>
      <c r="N719" s="8"/>
      <c r="O719" s="8"/>
      <c r="P719" s="8"/>
      <c r="Q719" s="8"/>
      <c r="R719" s="8"/>
      <c r="S719" s="8"/>
      <c r="T719" s="8"/>
      <c r="U719" s="12"/>
      <c r="V719" s="12"/>
      <c r="W719" s="12"/>
      <c r="X719" s="12"/>
      <c r="Y719" s="12"/>
      <c r="Z719" s="12"/>
      <c r="AA719" s="12"/>
      <c r="AB719" s="12"/>
      <c r="AC719" s="12"/>
      <c r="AD719" s="12"/>
      <c r="AE719" s="12"/>
      <c r="AF719" s="12"/>
    </row>
    <row r="720" spans="1:32">
      <c r="A720" s="8"/>
      <c r="B720" s="8"/>
      <c r="C720" s="8"/>
      <c r="D720" s="8"/>
      <c r="E720" s="8"/>
      <c r="F720" s="8"/>
      <c r="G720" s="8"/>
      <c r="H720" s="8"/>
      <c r="I720" s="8"/>
      <c r="J720" s="8"/>
      <c r="K720" s="8"/>
      <c r="L720" s="8"/>
      <c r="M720" s="8"/>
      <c r="N720" s="8"/>
      <c r="O720" s="8"/>
      <c r="P720" s="8"/>
      <c r="Q720" s="8"/>
      <c r="R720" s="8"/>
      <c r="S720" s="8"/>
      <c r="T720" s="8"/>
      <c r="U720" s="12"/>
      <c r="V720" s="12"/>
      <c r="W720" s="12"/>
      <c r="X720" s="12"/>
      <c r="Y720" s="12"/>
      <c r="Z720" s="12"/>
      <c r="AA720" s="12"/>
      <c r="AB720" s="12"/>
      <c r="AC720" s="12"/>
      <c r="AD720" s="12"/>
      <c r="AE720" s="12"/>
      <c r="AF720" s="12"/>
    </row>
    <row r="721" spans="1:32">
      <c r="A721" s="8"/>
      <c r="B721" s="8"/>
      <c r="C721" s="8"/>
      <c r="D721" s="8"/>
      <c r="E721" s="8"/>
      <c r="F721" s="8"/>
      <c r="G721" s="8"/>
      <c r="H721" s="8"/>
      <c r="I721" s="8"/>
      <c r="J721" s="8"/>
      <c r="K721" s="8"/>
      <c r="L721" s="8"/>
      <c r="M721" s="8"/>
      <c r="N721" s="8"/>
      <c r="O721" s="8"/>
      <c r="P721" s="8"/>
      <c r="Q721" s="8"/>
      <c r="R721" s="8"/>
      <c r="S721" s="8"/>
      <c r="T721" s="8"/>
      <c r="U721" s="12"/>
      <c r="V721" s="12"/>
      <c r="W721" s="12"/>
      <c r="X721" s="12"/>
      <c r="Y721" s="12"/>
      <c r="Z721" s="12"/>
      <c r="AA721" s="12"/>
      <c r="AB721" s="12"/>
      <c r="AC721" s="12"/>
      <c r="AD721" s="12"/>
      <c r="AE721" s="12"/>
      <c r="AF721" s="12"/>
    </row>
    <row r="722" spans="1:32">
      <c r="A722" s="8"/>
      <c r="B722" s="8"/>
      <c r="C722" s="8"/>
      <c r="D722" s="8"/>
      <c r="E722" s="8"/>
      <c r="F722" s="8"/>
      <c r="G722" s="8"/>
      <c r="H722" s="8"/>
      <c r="I722" s="8"/>
      <c r="J722" s="8"/>
      <c r="K722" s="8"/>
      <c r="L722" s="8"/>
      <c r="M722" s="8"/>
      <c r="N722" s="8"/>
      <c r="O722" s="8"/>
      <c r="P722" s="8"/>
      <c r="Q722" s="8"/>
      <c r="R722" s="8"/>
      <c r="S722" s="8"/>
      <c r="T722" s="8"/>
      <c r="U722" s="12"/>
      <c r="V722" s="12"/>
      <c r="W722" s="12"/>
      <c r="X722" s="12"/>
      <c r="Y722" s="12"/>
      <c r="Z722" s="12"/>
      <c r="AA722" s="12"/>
      <c r="AB722" s="12"/>
      <c r="AC722" s="12"/>
      <c r="AD722" s="12"/>
      <c r="AE722" s="12"/>
      <c r="AF722" s="12"/>
    </row>
    <row r="723" spans="1:32">
      <c r="A723" s="8"/>
      <c r="B723" s="8"/>
      <c r="C723" s="8"/>
      <c r="D723" s="8"/>
      <c r="E723" s="8"/>
      <c r="F723" s="8"/>
      <c r="G723" s="8"/>
      <c r="H723" s="8"/>
      <c r="I723" s="8"/>
      <c r="J723" s="8"/>
      <c r="K723" s="8"/>
      <c r="L723" s="8"/>
      <c r="M723" s="8"/>
      <c r="N723" s="8"/>
      <c r="O723" s="8"/>
      <c r="P723" s="8"/>
      <c r="Q723" s="8"/>
      <c r="R723" s="8"/>
      <c r="S723" s="8"/>
      <c r="T723" s="8"/>
      <c r="U723" s="12"/>
      <c r="V723" s="12"/>
      <c r="W723" s="12"/>
      <c r="X723" s="12"/>
      <c r="Y723" s="12"/>
      <c r="Z723" s="12"/>
      <c r="AA723" s="12"/>
      <c r="AB723" s="12"/>
      <c r="AC723" s="12"/>
      <c r="AD723" s="12"/>
      <c r="AE723" s="12"/>
      <c r="AF723" s="12"/>
    </row>
    <row r="724" spans="1:32">
      <c r="A724" s="8"/>
      <c r="B724" s="8"/>
      <c r="C724" s="8"/>
      <c r="D724" s="8"/>
      <c r="E724" s="8"/>
      <c r="F724" s="8"/>
      <c r="G724" s="8"/>
      <c r="H724" s="8"/>
      <c r="I724" s="8"/>
      <c r="J724" s="8"/>
      <c r="K724" s="8"/>
      <c r="L724" s="8"/>
      <c r="M724" s="8"/>
      <c r="N724" s="8"/>
      <c r="O724" s="8"/>
      <c r="P724" s="8"/>
      <c r="Q724" s="8"/>
      <c r="R724" s="8"/>
      <c r="S724" s="8"/>
      <c r="T724" s="8"/>
      <c r="U724" s="12"/>
      <c r="V724" s="12"/>
      <c r="W724" s="12"/>
      <c r="X724" s="12"/>
      <c r="Y724" s="12"/>
      <c r="Z724" s="12"/>
      <c r="AA724" s="12"/>
      <c r="AB724" s="12"/>
      <c r="AC724" s="12"/>
      <c r="AD724" s="12"/>
      <c r="AE724" s="12"/>
      <c r="AF724" s="12"/>
    </row>
    <row r="725" spans="1:32">
      <c r="A725" s="8"/>
      <c r="B725" s="8"/>
      <c r="C725" s="8"/>
      <c r="D725" s="8"/>
      <c r="E725" s="8"/>
      <c r="F725" s="8"/>
      <c r="G725" s="8"/>
      <c r="H725" s="8"/>
      <c r="I725" s="8"/>
      <c r="J725" s="8"/>
      <c r="K725" s="8"/>
      <c r="L725" s="8"/>
      <c r="M725" s="8"/>
      <c r="N725" s="8"/>
      <c r="O725" s="8"/>
      <c r="P725" s="8"/>
      <c r="Q725" s="8"/>
      <c r="R725" s="8"/>
      <c r="S725" s="8"/>
      <c r="T725" s="8"/>
      <c r="U725" s="12"/>
      <c r="V725" s="12"/>
      <c r="W725" s="12"/>
      <c r="X725" s="12"/>
      <c r="Y725" s="12"/>
      <c r="Z725" s="12"/>
      <c r="AA725" s="12"/>
      <c r="AB725" s="12"/>
      <c r="AC725" s="12"/>
      <c r="AD725" s="12"/>
      <c r="AE725" s="12"/>
      <c r="AF725" s="12"/>
    </row>
    <row r="726" spans="1:32">
      <c r="A726" s="8"/>
      <c r="B726" s="8"/>
      <c r="C726" s="8"/>
      <c r="D726" s="8"/>
      <c r="E726" s="8"/>
      <c r="F726" s="8"/>
      <c r="G726" s="8"/>
      <c r="H726" s="8"/>
      <c r="I726" s="8"/>
      <c r="J726" s="8"/>
      <c r="K726" s="8"/>
      <c r="L726" s="8"/>
      <c r="M726" s="8"/>
      <c r="N726" s="8"/>
      <c r="O726" s="8"/>
      <c r="P726" s="8"/>
      <c r="Q726" s="8"/>
      <c r="R726" s="8"/>
      <c r="S726" s="8"/>
      <c r="T726" s="8"/>
      <c r="U726" s="12"/>
      <c r="V726" s="12"/>
      <c r="W726" s="12"/>
      <c r="X726" s="12"/>
      <c r="Y726" s="12"/>
      <c r="Z726" s="12"/>
      <c r="AA726" s="12"/>
      <c r="AB726" s="12"/>
      <c r="AC726" s="12"/>
      <c r="AD726" s="12"/>
      <c r="AE726" s="12"/>
      <c r="AF726" s="12"/>
    </row>
    <row r="727" spans="1:32">
      <c r="A727" s="8"/>
      <c r="B727" s="8"/>
      <c r="C727" s="8"/>
      <c r="D727" s="8"/>
      <c r="E727" s="8"/>
      <c r="F727" s="8"/>
      <c r="G727" s="8"/>
      <c r="H727" s="8"/>
      <c r="I727" s="8"/>
      <c r="J727" s="8"/>
      <c r="K727" s="8"/>
      <c r="L727" s="8"/>
      <c r="M727" s="8"/>
      <c r="N727" s="8"/>
      <c r="O727" s="8"/>
      <c r="P727" s="8"/>
      <c r="Q727" s="8"/>
      <c r="R727" s="8"/>
      <c r="S727" s="8"/>
      <c r="T727" s="8"/>
      <c r="U727" s="12"/>
      <c r="V727" s="12"/>
      <c r="W727" s="12"/>
      <c r="X727" s="12"/>
      <c r="Y727" s="12"/>
      <c r="Z727" s="12"/>
      <c r="AA727" s="12"/>
      <c r="AB727" s="12"/>
      <c r="AC727" s="12"/>
      <c r="AD727" s="12"/>
      <c r="AE727" s="12"/>
      <c r="AF727" s="12"/>
    </row>
    <row r="728" spans="1:32">
      <c r="A728" s="8"/>
      <c r="B728" s="8"/>
      <c r="C728" s="8"/>
      <c r="D728" s="8"/>
      <c r="E728" s="8"/>
      <c r="F728" s="8"/>
      <c r="G728" s="8"/>
      <c r="H728" s="8"/>
      <c r="I728" s="8"/>
      <c r="J728" s="8"/>
      <c r="K728" s="8"/>
      <c r="L728" s="8"/>
      <c r="M728" s="8"/>
      <c r="N728" s="8"/>
      <c r="O728" s="8"/>
      <c r="P728" s="8"/>
      <c r="Q728" s="8"/>
      <c r="R728" s="8"/>
      <c r="S728" s="8"/>
      <c r="T728" s="8"/>
      <c r="U728" s="12"/>
      <c r="V728" s="12"/>
      <c r="W728" s="12"/>
      <c r="X728" s="12"/>
      <c r="Y728" s="12"/>
      <c r="Z728" s="12"/>
      <c r="AA728" s="12"/>
      <c r="AB728" s="12"/>
      <c r="AC728" s="12"/>
      <c r="AD728" s="12"/>
      <c r="AE728" s="12"/>
      <c r="AF728" s="12"/>
    </row>
    <row r="729" spans="1:32">
      <c r="A729" s="8"/>
      <c r="B729" s="8"/>
      <c r="C729" s="8"/>
      <c r="D729" s="8"/>
      <c r="E729" s="8"/>
      <c r="F729" s="8"/>
      <c r="G729" s="8"/>
      <c r="H729" s="8"/>
      <c r="I729" s="8"/>
      <c r="J729" s="8"/>
      <c r="K729" s="8"/>
      <c r="L729" s="8"/>
      <c r="M729" s="8"/>
      <c r="N729" s="8"/>
      <c r="O729" s="8"/>
      <c r="P729" s="8"/>
      <c r="Q729" s="8"/>
      <c r="R729" s="8"/>
      <c r="S729" s="8"/>
      <c r="T729" s="8"/>
      <c r="U729" s="12"/>
      <c r="V729" s="12"/>
      <c r="W729" s="12"/>
      <c r="X729" s="12"/>
      <c r="Y729" s="12"/>
      <c r="Z729" s="12"/>
      <c r="AA729" s="12"/>
      <c r="AB729" s="12"/>
      <c r="AC729" s="12"/>
      <c r="AD729" s="12"/>
      <c r="AE729" s="12"/>
      <c r="AF729" s="12"/>
    </row>
    <row r="730" spans="1:32">
      <c r="A730" s="8"/>
      <c r="B730" s="8"/>
      <c r="C730" s="8"/>
      <c r="D730" s="8"/>
      <c r="E730" s="8"/>
      <c r="F730" s="8"/>
      <c r="G730" s="8"/>
      <c r="H730" s="8"/>
      <c r="I730" s="8"/>
      <c r="J730" s="8"/>
      <c r="K730" s="8"/>
      <c r="L730" s="8"/>
      <c r="M730" s="8"/>
      <c r="N730" s="8"/>
      <c r="O730" s="8"/>
      <c r="P730" s="8"/>
      <c r="Q730" s="8"/>
      <c r="R730" s="8"/>
      <c r="S730" s="8"/>
      <c r="T730" s="8"/>
      <c r="U730" s="12"/>
      <c r="V730" s="12"/>
      <c r="W730" s="12"/>
      <c r="X730" s="12"/>
      <c r="Y730" s="12"/>
      <c r="Z730" s="12"/>
      <c r="AA730" s="12"/>
      <c r="AB730" s="12"/>
      <c r="AC730" s="12"/>
      <c r="AD730" s="12"/>
      <c r="AE730" s="12"/>
      <c r="AF730" s="12"/>
    </row>
    <row r="731" spans="1:32">
      <c r="A731" s="8"/>
      <c r="B731" s="8"/>
      <c r="C731" s="8"/>
      <c r="D731" s="8"/>
      <c r="E731" s="8"/>
      <c r="F731" s="8"/>
      <c r="G731" s="8"/>
      <c r="H731" s="8"/>
      <c r="I731" s="8"/>
      <c r="J731" s="8"/>
      <c r="K731" s="8"/>
      <c r="L731" s="8"/>
      <c r="M731" s="8"/>
      <c r="N731" s="8"/>
      <c r="O731" s="8"/>
      <c r="P731" s="8"/>
      <c r="Q731" s="8"/>
      <c r="R731" s="8"/>
      <c r="S731" s="8"/>
      <c r="T731" s="8"/>
      <c r="U731" s="12"/>
      <c r="V731" s="12"/>
      <c r="W731" s="12"/>
      <c r="X731" s="12"/>
      <c r="Y731" s="12"/>
      <c r="Z731" s="12"/>
      <c r="AA731" s="12"/>
      <c r="AB731" s="12"/>
      <c r="AC731" s="12"/>
      <c r="AD731" s="12"/>
      <c r="AE731" s="12"/>
      <c r="AF731" s="12"/>
    </row>
    <row r="732" spans="1:32">
      <c r="A732" s="8"/>
      <c r="B732" s="8"/>
      <c r="C732" s="8"/>
      <c r="D732" s="8"/>
      <c r="E732" s="8"/>
      <c r="F732" s="8"/>
      <c r="G732" s="8"/>
      <c r="H732" s="8"/>
      <c r="I732" s="8"/>
      <c r="J732" s="8"/>
      <c r="K732" s="8"/>
      <c r="L732" s="8"/>
      <c r="M732" s="8"/>
      <c r="N732" s="8"/>
      <c r="O732" s="8"/>
      <c r="P732" s="8"/>
      <c r="Q732" s="8"/>
      <c r="R732" s="8"/>
      <c r="S732" s="8"/>
      <c r="T732" s="8"/>
      <c r="U732" s="12"/>
      <c r="V732" s="12"/>
      <c r="W732" s="12"/>
      <c r="X732" s="12"/>
      <c r="Y732" s="12"/>
      <c r="Z732" s="12"/>
      <c r="AA732" s="12"/>
      <c r="AB732" s="12"/>
      <c r="AC732" s="12"/>
      <c r="AD732" s="12"/>
      <c r="AE732" s="12"/>
      <c r="AF732" s="12"/>
    </row>
    <row r="733" spans="1:32">
      <c r="A733" s="8"/>
      <c r="B733" s="8"/>
      <c r="C733" s="8"/>
      <c r="D733" s="8"/>
      <c r="E733" s="8"/>
      <c r="F733" s="8"/>
      <c r="G733" s="8"/>
      <c r="H733" s="8"/>
      <c r="I733" s="8"/>
      <c r="J733" s="8"/>
      <c r="K733" s="8"/>
      <c r="L733" s="8"/>
      <c r="M733" s="8"/>
      <c r="N733" s="8"/>
      <c r="O733" s="8"/>
      <c r="P733" s="8"/>
      <c r="Q733" s="8"/>
      <c r="R733" s="8"/>
      <c r="S733" s="8"/>
      <c r="T733" s="8"/>
      <c r="U733" s="12"/>
      <c r="V733" s="12"/>
      <c r="W733" s="12"/>
      <c r="X733" s="12"/>
      <c r="Y733" s="12"/>
      <c r="Z733" s="12"/>
      <c r="AA733" s="12"/>
      <c r="AB733" s="12"/>
      <c r="AC733" s="12"/>
      <c r="AD733" s="12"/>
      <c r="AE733" s="12"/>
      <c r="AF733" s="12"/>
    </row>
    <row r="734" spans="1:32">
      <c r="A734" s="8"/>
      <c r="B734" s="8"/>
      <c r="C734" s="8"/>
      <c r="D734" s="8"/>
      <c r="E734" s="8"/>
      <c r="F734" s="8"/>
      <c r="G734" s="8"/>
      <c r="H734" s="8"/>
      <c r="I734" s="8"/>
      <c r="J734" s="8"/>
      <c r="K734" s="8"/>
      <c r="L734" s="8"/>
      <c r="M734" s="8"/>
      <c r="N734" s="8"/>
      <c r="O734" s="8"/>
      <c r="P734" s="8"/>
      <c r="Q734" s="8"/>
      <c r="R734" s="8"/>
      <c r="S734" s="8"/>
      <c r="T734" s="8"/>
      <c r="U734" s="12"/>
      <c r="V734" s="12"/>
      <c r="W734" s="12"/>
      <c r="X734" s="12"/>
      <c r="Y734" s="12"/>
      <c r="Z734" s="12"/>
      <c r="AA734" s="12"/>
      <c r="AB734" s="12"/>
      <c r="AC734" s="12"/>
      <c r="AD734" s="12"/>
      <c r="AE734" s="12"/>
      <c r="AF734" s="12"/>
    </row>
    <row r="735" spans="1:32">
      <c r="A735" s="8"/>
      <c r="B735" s="8"/>
      <c r="C735" s="8"/>
      <c r="D735" s="8"/>
      <c r="E735" s="8"/>
      <c r="F735" s="8"/>
      <c r="G735" s="8"/>
      <c r="H735" s="8"/>
      <c r="I735" s="8"/>
      <c r="J735" s="8"/>
      <c r="K735" s="8"/>
      <c r="L735" s="8"/>
      <c r="M735" s="8"/>
      <c r="N735" s="8"/>
      <c r="O735" s="8"/>
      <c r="P735" s="8"/>
      <c r="Q735" s="8"/>
      <c r="R735" s="8"/>
      <c r="S735" s="8"/>
      <c r="T735" s="8"/>
      <c r="U735" s="12"/>
      <c r="V735" s="12"/>
      <c r="W735" s="12"/>
      <c r="X735" s="12"/>
      <c r="Y735" s="12"/>
      <c r="Z735" s="12"/>
      <c r="AA735" s="12"/>
      <c r="AB735" s="12"/>
      <c r="AC735" s="12"/>
      <c r="AD735" s="12"/>
      <c r="AE735" s="12"/>
      <c r="AF735" s="12"/>
    </row>
    <row r="736" spans="1:32">
      <c r="A736" s="8"/>
      <c r="B736" s="8"/>
      <c r="C736" s="8"/>
      <c r="D736" s="8"/>
      <c r="E736" s="8"/>
      <c r="F736" s="8"/>
      <c r="G736" s="8"/>
      <c r="H736" s="8"/>
      <c r="I736" s="8"/>
      <c r="J736" s="8"/>
      <c r="K736" s="8"/>
      <c r="L736" s="8"/>
      <c r="M736" s="8"/>
      <c r="N736" s="8"/>
      <c r="O736" s="8"/>
      <c r="P736" s="8"/>
      <c r="Q736" s="8"/>
      <c r="R736" s="8"/>
      <c r="S736" s="8"/>
      <c r="T736" s="8"/>
      <c r="U736" s="12"/>
      <c r="V736" s="12"/>
      <c r="W736" s="12"/>
      <c r="X736" s="12"/>
      <c r="Y736" s="12"/>
      <c r="Z736" s="12"/>
      <c r="AA736" s="12"/>
      <c r="AB736" s="12"/>
      <c r="AC736" s="12"/>
      <c r="AD736" s="12"/>
      <c r="AE736" s="12"/>
      <c r="AF736" s="12"/>
    </row>
    <row r="737" spans="1:32">
      <c r="A737" s="8"/>
      <c r="B737" s="8"/>
      <c r="C737" s="8"/>
      <c r="D737" s="8"/>
      <c r="E737" s="8"/>
      <c r="F737" s="8"/>
      <c r="G737" s="8"/>
      <c r="H737" s="8"/>
      <c r="I737" s="8"/>
      <c r="J737" s="8"/>
      <c r="K737" s="8"/>
      <c r="L737" s="8"/>
      <c r="M737" s="8"/>
      <c r="N737" s="8"/>
      <c r="O737" s="8"/>
      <c r="P737" s="8"/>
      <c r="Q737" s="8"/>
      <c r="R737" s="8"/>
      <c r="S737" s="8"/>
      <c r="T737" s="8"/>
      <c r="U737" s="12"/>
      <c r="V737" s="12"/>
      <c r="W737" s="12"/>
      <c r="X737" s="12"/>
      <c r="Y737" s="12"/>
      <c r="Z737" s="12"/>
      <c r="AA737" s="12"/>
      <c r="AB737" s="12"/>
      <c r="AC737" s="12"/>
      <c r="AD737" s="12"/>
      <c r="AE737" s="12"/>
      <c r="AF737" s="12"/>
    </row>
    <row r="738" spans="1:32">
      <c r="A738" s="8"/>
      <c r="B738" s="8"/>
      <c r="C738" s="8"/>
      <c r="D738" s="8"/>
      <c r="E738" s="8"/>
      <c r="F738" s="8"/>
      <c r="G738" s="8"/>
      <c r="H738" s="8"/>
      <c r="I738" s="8"/>
      <c r="J738" s="8"/>
      <c r="K738" s="8"/>
      <c r="L738" s="8"/>
      <c r="M738" s="8"/>
      <c r="N738" s="8"/>
      <c r="O738" s="8"/>
      <c r="P738" s="8"/>
      <c r="Q738" s="8"/>
      <c r="R738" s="8"/>
      <c r="S738" s="8"/>
      <c r="T738" s="8"/>
      <c r="U738" s="12"/>
      <c r="V738" s="12"/>
      <c r="W738" s="12"/>
      <c r="X738" s="12"/>
      <c r="Y738" s="12"/>
      <c r="Z738" s="12"/>
      <c r="AA738" s="12"/>
      <c r="AB738" s="12"/>
      <c r="AC738" s="12"/>
      <c r="AD738" s="12"/>
      <c r="AE738" s="12"/>
      <c r="AF738" s="12"/>
    </row>
    <row r="739" spans="1:32">
      <c r="A739" s="8"/>
      <c r="B739" s="8"/>
      <c r="C739" s="8"/>
      <c r="D739" s="8"/>
      <c r="E739" s="8"/>
      <c r="F739" s="8"/>
      <c r="G739" s="8"/>
      <c r="H739" s="8"/>
      <c r="I739" s="8"/>
      <c r="J739" s="8"/>
      <c r="K739" s="8"/>
      <c r="L739" s="8"/>
      <c r="M739" s="8"/>
      <c r="N739" s="8"/>
      <c r="O739" s="8"/>
      <c r="P739" s="8"/>
      <c r="Q739" s="8"/>
      <c r="R739" s="8"/>
      <c r="S739" s="8"/>
      <c r="T739" s="8"/>
      <c r="U739" s="12"/>
      <c r="V739" s="12"/>
      <c r="W739" s="12"/>
      <c r="X739" s="12"/>
      <c r="Y739" s="12"/>
      <c r="Z739" s="12"/>
      <c r="AA739" s="12"/>
      <c r="AB739" s="12"/>
      <c r="AC739" s="12"/>
      <c r="AD739" s="12"/>
      <c r="AE739" s="12"/>
      <c r="AF739" s="12"/>
    </row>
    <row r="740" spans="1:32">
      <c r="A740" s="8"/>
      <c r="B740" s="8"/>
      <c r="C740" s="8"/>
      <c r="D740" s="8"/>
      <c r="E740" s="8"/>
      <c r="F740" s="8"/>
      <c r="G740" s="8"/>
      <c r="H740" s="8"/>
      <c r="I740" s="8"/>
      <c r="J740" s="8"/>
      <c r="K740" s="8"/>
      <c r="L740" s="8"/>
      <c r="M740" s="8"/>
      <c r="N740" s="8"/>
      <c r="O740" s="8"/>
      <c r="P740" s="8"/>
      <c r="Q740" s="8"/>
      <c r="R740" s="8"/>
      <c r="S740" s="8"/>
      <c r="T740" s="8"/>
      <c r="U740" s="12"/>
      <c r="V740" s="12"/>
      <c r="W740" s="12"/>
      <c r="X740" s="12"/>
      <c r="Y740" s="12"/>
      <c r="Z740" s="12"/>
      <c r="AA740" s="12"/>
      <c r="AB740" s="12"/>
      <c r="AC740" s="12"/>
      <c r="AD740" s="12"/>
      <c r="AE740" s="12"/>
      <c r="AF740" s="12"/>
    </row>
    <row r="741" spans="1:32">
      <c r="A741" s="8"/>
      <c r="B741" s="8"/>
      <c r="C741" s="8"/>
      <c r="D741" s="8"/>
      <c r="E741" s="8"/>
      <c r="F741" s="8"/>
      <c r="G741" s="8"/>
      <c r="H741" s="8"/>
      <c r="I741" s="8"/>
      <c r="J741" s="8"/>
      <c r="K741" s="8"/>
      <c r="L741" s="8"/>
      <c r="M741" s="8"/>
      <c r="N741" s="8"/>
      <c r="O741" s="8"/>
      <c r="P741" s="8"/>
      <c r="Q741" s="8"/>
      <c r="R741" s="8"/>
      <c r="S741" s="8"/>
      <c r="T741" s="8"/>
      <c r="U741" s="12"/>
      <c r="V741" s="12"/>
      <c r="W741" s="12"/>
      <c r="X741" s="12"/>
      <c r="Y741" s="12"/>
      <c r="Z741" s="12"/>
      <c r="AA741" s="12"/>
      <c r="AB741" s="12"/>
      <c r="AC741" s="12"/>
      <c r="AD741" s="12"/>
      <c r="AE741" s="12"/>
      <c r="AF741" s="12"/>
    </row>
    <row r="742" spans="1:32">
      <c r="A742" s="8"/>
      <c r="B742" s="8"/>
      <c r="C742" s="8"/>
      <c r="D742" s="8"/>
      <c r="E742" s="8"/>
      <c r="F742" s="8"/>
      <c r="G742" s="8"/>
      <c r="H742" s="8"/>
      <c r="I742" s="8"/>
      <c r="J742" s="8"/>
      <c r="K742" s="8"/>
      <c r="L742" s="8"/>
      <c r="M742" s="8"/>
      <c r="N742" s="8"/>
      <c r="O742" s="8"/>
      <c r="P742" s="8"/>
      <c r="Q742" s="8"/>
      <c r="R742" s="8"/>
      <c r="S742" s="8"/>
      <c r="T742" s="8"/>
      <c r="U742" s="12"/>
      <c r="V742" s="12"/>
      <c r="W742" s="12"/>
      <c r="X742" s="12"/>
      <c r="Y742" s="12"/>
      <c r="Z742" s="12"/>
      <c r="AA742" s="12"/>
      <c r="AB742" s="12"/>
      <c r="AC742" s="12"/>
      <c r="AD742" s="12"/>
      <c r="AE742" s="12"/>
      <c r="AF742" s="12"/>
    </row>
    <row r="743" spans="1:32">
      <c r="A743" s="8"/>
      <c r="B743" s="8"/>
      <c r="C743" s="8"/>
      <c r="D743" s="8"/>
      <c r="E743" s="8"/>
      <c r="F743" s="8"/>
      <c r="G743" s="8"/>
      <c r="H743" s="8"/>
      <c r="I743" s="8"/>
      <c r="J743" s="8"/>
      <c r="K743" s="8"/>
      <c r="L743" s="8"/>
      <c r="M743" s="8"/>
      <c r="N743" s="8"/>
      <c r="O743" s="8"/>
      <c r="P743" s="8"/>
      <c r="Q743" s="8"/>
      <c r="R743" s="8"/>
      <c r="S743" s="8"/>
      <c r="T743" s="8"/>
      <c r="U743" s="12"/>
      <c r="V743" s="12"/>
      <c r="W743" s="12"/>
      <c r="X743" s="12"/>
      <c r="Y743" s="12"/>
      <c r="Z743" s="12"/>
      <c r="AA743" s="12"/>
      <c r="AB743" s="12"/>
      <c r="AC743" s="12"/>
      <c r="AD743" s="12"/>
      <c r="AE743" s="12"/>
      <c r="AF743" s="12"/>
    </row>
    <row r="744" spans="1:32">
      <c r="A744" s="8"/>
      <c r="B744" s="8"/>
      <c r="C744" s="8"/>
      <c r="D744" s="8"/>
      <c r="E744" s="8"/>
      <c r="F744" s="8"/>
      <c r="G744" s="8"/>
      <c r="H744" s="8"/>
      <c r="I744" s="8"/>
      <c r="J744" s="8"/>
      <c r="K744" s="8"/>
      <c r="L744" s="8"/>
      <c r="M744" s="8"/>
      <c r="N744" s="8"/>
      <c r="O744" s="8"/>
      <c r="P744" s="8"/>
      <c r="Q744" s="8"/>
      <c r="R744" s="8"/>
      <c r="S744" s="8"/>
      <c r="T744" s="8"/>
      <c r="U744" s="12"/>
      <c r="V744" s="12"/>
      <c r="W744" s="12"/>
      <c r="X744" s="12"/>
      <c r="Y744" s="12"/>
      <c r="Z744" s="12"/>
      <c r="AA744" s="12"/>
      <c r="AB744" s="12"/>
      <c r="AC744" s="12"/>
      <c r="AD744" s="12"/>
      <c r="AE744" s="12"/>
      <c r="AF744" s="12"/>
    </row>
    <row r="745" spans="1:32">
      <c r="A745" s="8"/>
      <c r="B745" s="8"/>
      <c r="C745" s="8"/>
      <c r="D745" s="8"/>
      <c r="E745" s="8"/>
      <c r="F745" s="8"/>
      <c r="G745" s="8"/>
      <c r="H745" s="8"/>
      <c r="I745" s="8"/>
      <c r="J745" s="8"/>
      <c r="K745" s="8"/>
      <c r="L745" s="8"/>
      <c r="M745" s="8"/>
      <c r="N745" s="8"/>
      <c r="O745" s="8"/>
      <c r="P745" s="8"/>
      <c r="Q745" s="8"/>
      <c r="R745" s="8"/>
      <c r="S745" s="8"/>
      <c r="T745" s="8"/>
      <c r="U745" s="12"/>
      <c r="V745" s="12"/>
      <c r="W745" s="12"/>
      <c r="X745" s="12"/>
      <c r="Y745" s="12"/>
      <c r="Z745" s="12"/>
      <c r="AA745" s="12"/>
      <c r="AB745" s="12"/>
      <c r="AC745" s="12"/>
      <c r="AD745" s="12"/>
      <c r="AE745" s="12"/>
      <c r="AF745" s="12"/>
    </row>
    <row r="746" spans="1:32">
      <c r="A746" s="8"/>
      <c r="B746" s="8"/>
      <c r="C746" s="8"/>
      <c r="D746" s="8"/>
      <c r="E746" s="8"/>
      <c r="F746" s="8"/>
      <c r="G746" s="8"/>
      <c r="H746" s="8"/>
      <c r="I746" s="8"/>
      <c r="J746" s="8"/>
      <c r="K746" s="8"/>
      <c r="L746" s="8"/>
      <c r="M746" s="8"/>
      <c r="N746" s="8"/>
      <c r="O746" s="8"/>
      <c r="P746" s="8"/>
      <c r="Q746" s="8"/>
      <c r="R746" s="8"/>
      <c r="S746" s="8"/>
      <c r="T746" s="8"/>
      <c r="U746" s="12"/>
      <c r="V746" s="12"/>
      <c r="W746" s="12"/>
      <c r="X746" s="12"/>
      <c r="Y746" s="12"/>
      <c r="Z746" s="12"/>
      <c r="AA746" s="12"/>
      <c r="AB746" s="12"/>
      <c r="AC746" s="12"/>
      <c r="AD746" s="12"/>
      <c r="AE746" s="12"/>
      <c r="AF746" s="12"/>
    </row>
    <row r="747" spans="1:32">
      <c r="A747" s="8"/>
      <c r="B747" s="8"/>
      <c r="C747" s="8"/>
      <c r="D747" s="8"/>
      <c r="E747" s="8"/>
      <c r="F747" s="8"/>
      <c r="G747" s="8"/>
      <c r="H747" s="8"/>
      <c r="I747" s="8"/>
      <c r="J747" s="8"/>
      <c r="K747" s="8"/>
      <c r="L747" s="8"/>
      <c r="M747" s="8"/>
      <c r="N747" s="8"/>
      <c r="O747" s="8"/>
      <c r="P747" s="8"/>
      <c r="Q747" s="8"/>
      <c r="R747" s="8"/>
      <c r="S747" s="8"/>
      <c r="T747" s="8"/>
      <c r="U747" s="12"/>
      <c r="V747" s="12"/>
      <c r="W747" s="12"/>
      <c r="X747" s="12"/>
      <c r="Y747" s="12"/>
      <c r="Z747" s="12"/>
      <c r="AA747" s="12"/>
      <c r="AB747" s="12"/>
      <c r="AC747" s="12"/>
      <c r="AD747" s="12"/>
      <c r="AE747" s="12"/>
      <c r="AF747" s="12"/>
    </row>
    <row r="748" spans="1:32">
      <c r="A748" s="8"/>
      <c r="B748" s="8"/>
      <c r="C748" s="8"/>
      <c r="D748" s="8"/>
      <c r="E748" s="8"/>
      <c r="F748" s="8"/>
      <c r="G748" s="8"/>
      <c r="H748" s="8"/>
      <c r="I748" s="8"/>
      <c r="J748" s="8"/>
      <c r="K748" s="8"/>
      <c r="L748" s="8"/>
      <c r="M748" s="8"/>
      <c r="N748" s="8"/>
      <c r="O748" s="8"/>
      <c r="P748" s="8"/>
      <c r="Q748" s="8"/>
      <c r="R748" s="8"/>
      <c r="S748" s="8"/>
      <c r="T748" s="8"/>
      <c r="U748" s="12"/>
      <c r="V748" s="12"/>
      <c r="W748" s="12"/>
      <c r="X748" s="12"/>
      <c r="Y748" s="12"/>
      <c r="Z748" s="12"/>
      <c r="AA748" s="12"/>
      <c r="AB748" s="12"/>
      <c r="AC748" s="12"/>
      <c r="AD748" s="12"/>
      <c r="AE748" s="12"/>
      <c r="AF748" s="12"/>
    </row>
    <row r="749" spans="1:32">
      <c r="A749" s="8"/>
      <c r="B749" s="8"/>
      <c r="C749" s="8"/>
      <c r="D749" s="8"/>
      <c r="E749" s="8"/>
      <c r="F749" s="8"/>
      <c r="G749" s="8"/>
      <c r="H749" s="8"/>
      <c r="I749" s="8"/>
      <c r="J749" s="8"/>
      <c r="K749" s="8"/>
      <c r="L749" s="8"/>
      <c r="M749" s="8"/>
      <c r="N749" s="8"/>
      <c r="O749" s="8"/>
      <c r="P749" s="8"/>
      <c r="Q749" s="8"/>
      <c r="R749" s="8"/>
      <c r="S749" s="8"/>
      <c r="T749" s="8"/>
      <c r="U749" s="12"/>
      <c r="V749" s="12"/>
      <c r="W749" s="12"/>
      <c r="X749" s="12"/>
      <c r="Y749" s="12"/>
      <c r="Z749" s="12"/>
      <c r="AA749" s="12"/>
      <c r="AB749" s="12"/>
      <c r="AC749" s="12"/>
      <c r="AD749" s="12"/>
      <c r="AE749" s="12"/>
      <c r="AF749" s="12"/>
    </row>
    <row r="750" spans="1:32">
      <c r="A750" s="8"/>
      <c r="B750" s="8"/>
      <c r="C750" s="8"/>
      <c r="D750" s="8"/>
      <c r="E750" s="8"/>
      <c r="F750" s="8"/>
      <c r="G750" s="8"/>
      <c r="H750" s="8"/>
      <c r="I750" s="8"/>
      <c r="J750" s="8"/>
      <c r="K750" s="8"/>
      <c r="L750" s="8"/>
      <c r="M750" s="8"/>
      <c r="N750" s="8"/>
      <c r="O750" s="8"/>
      <c r="P750" s="8"/>
      <c r="Q750" s="8"/>
      <c r="R750" s="8"/>
      <c r="S750" s="8"/>
      <c r="T750" s="8"/>
      <c r="U750" s="12"/>
      <c r="V750" s="12"/>
      <c r="W750" s="12"/>
      <c r="X750" s="12"/>
      <c r="Y750" s="12"/>
      <c r="Z750" s="12"/>
      <c r="AA750" s="12"/>
      <c r="AB750" s="12"/>
      <c r="AC750" s="12"/>
      <c r="AD750" s="12"/>
      <c r="AE750" s="12"/>
      <c r="AF750" s="12"/>
    </row>
    <row r="751" spans="1:32">
      <c r="A751" s="8"/>
      <c r="B751" s="8"/>
      <c r="C751" s="8"/>
      <c r="D751" s="8"/>
      <c r="E751" s="8"/>
      <c r="F751" s="8"/>
      <c r="G751" s="8"/>
      <c r="H751" s="8"/>
      <c r="I751" s="8"/>
      <c r="J751" s="8"/>
      <c r="K751" s="8"/>
      <c r="L751" s="8"/>
      <c r="M751" s="8"/>
      <c r="N751" s="8"/>
      <c r="O751" s="8"/>
      <c r="P751" s="8"/>
      <c r="Q751" s="8"/>
      <c r="R751" s="8"/>
      <c r="S751" s="8"/>
      <c r="T751" s="8"/>
      <c r="U751" s="12"/>
      <c r="V751" s="12"/>
      <c r="W751" s="12"/>
      <c r="X751" s="12"/>
      <c r="Y751" s="12"/>
      <c r="Z751" s="12"/>
      <c r="AA751" s="12"/>
      <c r="AB751" s="12"/>
      <c r="AC751" s="12"/>
      <c r="AD751" s="12"/>
      <c r="AE751" s="12"/>
      <c r="AF751" s="12"/>
    </row>
    <row r="752" spans="1:32">
      <c r="A752" s="8"/>
      <c r="B752" s="8"/>
      <c r="C752" s="8"/>
      <c r="D752" s="8"/>
      <c r="E752" s="8"/>
      <c r="F752" s="8"/>
      <c r="G752" s="8"/>
      <c r="H752" s="8"/>
      <c r="I752" s="8"/>
      <c r="J752" s="8"/>
      <c r="K752" s="8"/>
      <c r="L752" s="8"/>
      <c r="M752" s="8"/>
      <c r="N752" s="8"/>
      <c r="O752" s="8"/>
      <c r="P752" s="8"/>
      <c r="Q752" s="8"/>
      <c r="R752" s="8"/>
      <c r="S752" s="8"/>
      <c r="T752" s="8"/>
      <c r="U752" s="12"/>
      <c r="V752" s="12"/>
      <c r="W752" s="12"/>
      <c r="X752" s="12"/>
      <c r="Y752" s="12"/>
      <c r="Z752" s="12"/>
      <c r="AA752" s="12"/>
      <c r="AB752" s="12"/>
      <c r="AC752" s="12"/>
      <c r="AD752" s="12"/>
      <c r="AE752" s="12"/>
      <c r="AF752" s="12"/>
    </row>
    <row r="753" spans="1:32">
      <c r="A753" s="8"/>
      <c r="B753" s="8"/>
      <c r="C753" s="8"/>
      <c r="D753" s="8"/>
      <c r="E753" s="8"/>
      <c r="F753" s="8"/>
      <c r="G753" s="8"/>
      <c r="H753" s="8"/>
      <c r="I753" s="8"/>
      <c r="J753" s="8"/>
      <c r="K753" s="8"/>
      <c r="L753" s="8"/>
      <c r="M753" s="8"/>
      <c r="N753" s="8"/>
      <c r="O753" s="8"/>
      <c r="P753" s="8"/>
      <c r="Q753" s="8"/>
      <c r="R753" s="8"/>
      <c r="S753" s="8"/>
      <c r="T753" s="8"/>
      <c r="U753" s="12"/>
      <c r="V753" s="12"/>
      <c r="W753" s="12"/>
      <c r="X753" s="12"/>
      <c r="Y753" s="12"/>
      <c r="Z753" s="12"/>
      <c r="AA753" s="12"/>
      <c r="AB753" s="12"/>
      <c r="AC753" s="12"/>
      <c r="AD753" s="12"/>
      <c r="AE753" s="12"/>
      <c r="AF753" s="12"/>
    </row>
    <row r="754" spans="1:32">
      <c r="A754" s="8"/>
      <c r="B754" s="8"/>
      <c r="C754" s="8"/>
      <c r="D754" s="8"/>
      <c r="E754" s="8"/>
      <c r="F754" s="8"/>
      <c r="G754" s="8"/>
      <c r="H754" s="8"/>
      <c r="I754" s="8"/>
      <c r="J754" s="8"/>
      <c r="K754" s="8"/>
      <c r="L754" s="8"/>
      <c r="M754" s="8"/>
      <c r="N754" s="8"/>
      <c r="O754" s="8"/>
      <c r="P754" s="8"/>
      <c r="Q754" s="8"/>
      <c r="R754" s="8"/>
      <c r="S754" s="8"/>
      <c r="T754" s="8"/>
      <c r="U754" s="12"/>
      <c r="V754" s="12"/>
      <c r="W754" s="12"/>
      <c r="X754" s="12"/>
      <c r="Y754" s="12"/>
      <c r="Z754" s="12"/>
      <c r="AA754" s="12"/>
      <c r="AB754" s="12"/>
      <c r="AC754" s="12"/>
      <c r="AD754" s="12"/>
      <c r="AE754" s="12"/>
      <c r="AF754" s="12"/>
    </row>
    <row r="755" spans="1:32">
      <c r="A755" s="8"/>
      <c r="B755" s="8"/>
      <c r="C755" s="8"/>
      <c r="D755" s="8"/>
      <c r="E755" s="8"/>
      <c r="F755" s="8"/>
      <c r="G755" s="8"/>
      <c r="H755" s="8"/>
      <c r="I755" s="8"/>
      <c r="J755" s="8"/>
      <c r="K755" s="8"/>
      <c r="L755" s="8"/>
      <c r="M755" s="8"/>
      <c r="N755" s="8"/>
      <c r="O755" s="8"/>
      <c r="P755" s="8"/>
      <c r="Q755" s="8"/>
      <c r="R755" s="8"/>
      <c r="S755" s="8"/>
      <c r="T755" s="8"/>
      <c r="U755" s="12"/>
      <c r="V755" s="12"/>
      <c r="W755" s="12"/>
      <c r="X755" s="12"/>
      <c r="Y755" s="12"/>
      <c r="Z755" s="12"/>
      <c r="AA755" s="12"/>
      <c r="AB755" s="12"/>
      <c r="AC755" s="12"/>
      <c r="AD755" s="12"/>
      <c r="AE755" s="12"/>
      <c r="AF755" s="12"/>
    </row>
    <row r="756" spans="1:32">
      <c r="A756" s="8"/>
      <c r="B756" s="8"/>
      <c r="C756" s="8"/>
      <c r="D756" s="8"/>
      <c r="E756" s="8"/>
      <c r="F756" s="8"/>
      <c r="G756" s="8"/>
      <c r="H756" s="8"/>
      <c r="I756" s="8"/>
      <c r="J756" s="8"/>
      <c r="K756" s="8"/>
      <c r="L756" s="8"/>
      <c r="M756" s="8"/>
      <c r="N756" s="8"/>
      <c r="O756" s="8"/>
      <c r="P756" s="8"/>
      <c r="Q756" s="8"/>
      <c r="R756" s="8"/>
      <c r="S756" s="8"/>
      <c r="T756" s="8"/>
      <c r="U756" s="12"/>
      <c r="V756" s="12"/>
      <c r="W756" s="12"/>
      <c r="X756" s="12"/>
      <c r="Y756" s="12"/>
      <c r="Z756" s="12"/>
      <c r="AA756" s="12"/>
      <c r="AB756" s="12"/>
      <c r="AC756" s="12"/>
      <c r="AD756" s="12"/>
      <c r="AE756" s="12"/>
      <c r="AF756" s="12"/>
    </row>
    <row r="757" spans="1:32">
      <c r="A757" s="8"/>
      <c r="B757" s="8"/>
      <c r="C757" s="8"/>
      <c r="D757" s="8"/>
      <c r="E757" s="8"/>
      <c r="F757" s="8"/>
      <c r="G757" s="8"/>
      <c r="H757" s="8"/>
      <c r="I757" s="8"/>
      <c r="J757" s="8"/>
      <c r="K757" s="8"/>
      <c r="L757" s="8"/>
      <c r="M757" s="8"/>
      <c r="N757" s="8"/>
      <c r="O757" s="8"/>
      <c r="P757" s="8"/>
      <c r="Q757" s="8"/>
      <c r="R757" s="8"/>
      <c r="S757" s="8"/>
      <c r="T757" s="8"/>
      <c r="U757" s="12"/>
      <c r="V757" s="12"/>
      <c r="W757" s="12"/>
      <c r="X757" s="12"/>
      <c r="Y757" s="12"/>
      <c r="Z757" s="12"/>
      <c r="AA757" s="12"/>
      <c r="AB757" s="12"/>
      <c r="AC757" s="12"/>
      <c r="AD757" s="12"/>
      <c r="AE757" s="12"/>
      <c r="AF757" s="12"/>
    </row>
    <row r="758" spans="1:32">
      <c r="A758" s="8"/>
      <c r="B758" s="8"/>
      <c r="C758" s="8"/>
      <c r="D758" s="8"/>
      <c r="E758" s="8"/>
      <c r="F758" s="8"/>
      <c r="G758" s="8"/>
      <c r="H758" s="8"/>
      <c r="I758" s="8"/>
      <c r="J758" s="8"/>
      <c r="K758" s="8"/>
      <c r="L758" s="8"/>
      <c r="M758" s="8"/>
      <c r="N758" s="8"/>
      <c r="O758" s="8"/>
      <c r="P758" s="8"/>
      <c r="Q758" s="8"/>
      <c r="R758" s="8"/>
      <c r="S758" s="8"/>
      <c r="T758" s="8"/>
      <c r="U758" s="12"/>
      <c r="V758" s="12"/>
      <c r="W758" s="12"/>
      <c r="X758" s="12"/>
      <c r="Y758" s="12"/>
      <c r="Z758" s="12"/>
      <c r="AA758" s="12"/>
      <c r="AB758" s="12"/>
      <c r="AC758" s="12"/>
      <c r="AD758" s="12"/>
      <c r="AE758" s="12"/>
      <c r="AF758" s="12"/>
    </row>
    <row r="759" spans="1:32">
      <c r="A759" s="8"/>
      <c r="B759" s="8"/>
      <c r="C759" s="8"/>
      <c r="D759" s="8"/>
      <c r="E759" s="8"/>
      <c r="F759" s="8"/>
      <c r="G759" s="8"/>
      <c r="H759" s="8"/>
      <c r="I759" s="8"/>
      <c r="J759" s="8"/>
      <c r="K759" s="8"/>
      <c r="L759" s="8"/>
      <c r="M759" s="8"/>
      <c r="N759" s="8"/>
      <c r="O759" s="8"/>
      <c r="P759" s="8"/>
      <c r="Q759" s="8"/>
      <c r="R759" s="8"/>
      <c r="S759" s="8"/>
      <c r="T759" s="8"/>
      <c r="U759" s="12"/>
      <c r="V759" s="12"/>
      <c r="W759" s="12"/>
      <c r="X759" s="12"/>
      <c r="Y759" s="12"/>
      <c r="Z759" s="12"/>
      <c r="AA759" s="12"/>
      <c r="AB759" s="12"/>
      <c r="AC759" s="12"/>
      <c r="AD759" s="12"/>
      <c r="AE759" s="12"/>
      <c r="AF759" s="12"/>
    </row>
    <row r="760" spans="1:32">
      <c r="A760" s="8"/>
      <c r="B760" s="8"/>
      <c r="C760" s="8"/>
      <c r="D760" s="8"/>
      <c r="E760" s="8"/>
      <c r="F760" s="8"/>
      <c r="G760" s="8"/>
      <c r="H760" s="8"/>
      <c r="I760" s="8"/>
      <c r="J760" s="8"/>
      <c r="K760" s="8"/>
      <c r="L760" s="8"/>
      <c r="M760" s="8"/>
      <c r="N760" s="8"/>
      <c r="O760" s="8"/>
      <c r="P760" s="8"/>
      <c r="Q760" s="8"/>
      <c r="R760" s="8"/>
      <c r="S760" s="8"/>
      <c r="T760" s="8"/>
      <c r="U760" s="12"/>
      <c r="V760" s="12"/>
      <c r="W760" s="12"/>
      <c r="X760" s="12"/>
      <c r="Y760" s="12"/>
      <c r="Z760" s="12"/>
      <c r="AA760" s="12"/>
      <c r="AB760" s="12"/>
      <c r="AC760" s="12"/>
      <c r="AD760" s="12"/>
      <c r="AE760" s="12"/>
      <c r="AF760" s="12"/>
    </row>
    <row r="761" spans="1:32">
      <c r="A761" s="8"/>
      <c r="B761" s="8"/>
      <c r="C761" s="8"/>
      <c r="D761" s="8"/>
      <c r="E761" s="8"/>
      <c r="F761" s="8"/>
      <c r="G761" s="8"/>
      <c r="H761" s="8"/>
      <c r="I761" s="8"/>
      <c r="J761" s="8"/>
      <c r="K761" s="8"/>
      <c r="L761" s="8"/>
      <c r="M761" s="8"/>
      <c r="N761" s="8"/>
      <c r="O761" s="8"/>
      <c r="P761" s="8"/>
      <c r="Q761" s="8"/>
      <c r="R761" s="8"/>
      <c r="S761" s="8"/>
      <c r="T761" s="8"/>
      <c r="U761" s="12"/>
      <c r="V761" s="12"/>
      <c r="W761" s="12"/>
      <c r="X761" s="12"/>
      <c r="Y761" s="12"/>
      <c r="Z761" s="12"/>
      <c r="AA761" s="12"/>
      <c r="AB761" s="12"/>
      <c r="AC761" s="12"/>
      <c r="AD761" s="12"/>
      <c r="AE761" s="12"/>
      <c r="AF761" s="12"/>
    </row>
    <row r="762" spans="1:32">
      <c r="A762" s="8"/>
      <c r="B762" s="8"/>
      <c r="C762" s="8"/>
      <c r="D762" s="8"/>
      <c r="E762" s="8"/>
      <c r="F762" s="8"/>
      <c r="G762" s="8"/>
      <c r="H762" s="8"/>
      <c r="I762" s="8"/>
      <c r="J762" s="8"/>
      <c r="K762" s="8"/>
      <c r="L762" s="8"/>
      <c r="M762" s="8"/>
      <c r="N762" s="8"/>
      <c r="O762" s="8"/>
      <c r="P762" s="8"/>
      <c r="Q762" s="8"/>
      <c r="R762" s="8"/>
      <c r="S762" s="8"/>
      <c r="T762" s="8"/>
      <c r="U762" s="12"/>
      <c r="V762" s="12"/>
      <c r="W762" s="12"/>
      <c r="X762" s="12"/>
      <c r="Y762" s="12"/>
      <c r="Z762" s="12"/>
      <c r="AA762" s="12"/>
      <c r="AB762" s="12"/>
      <c r="AC762" s="12"/>
      <c r="AD762" s="12"/>
      <c r="AE762" s="12"/>
      <c r="AF762" s="12"/>
    </row>
    <row r="763" spans="1:32">
      <c r="A763" s="8"/>
      <c r="B763" s="8"/>
      <c r="C763" s="8"/>
      <c r="D763" s="8"/>
      <c r="E763" s="8"/>
      <c r="F763" s="8"/>
      <c r="G763" s="8"/>
      <c r="H763" s="8"/>
      <c r="I763" s="8"/>
      <c r="J763" s="8"/>
      <c r="K763" s="8"/>
      <c r="L763" s="8"/>
      <c r="M763" s="8"/>
      <c r="N763" s="8"/>
      <c r="O763" s="8"/>
      <c r="P763" s="8"/>
      <c r="Q763" s="8"/>
      <c r="R763" s="8"/>
      <c r="S763" s="8"/>
      <c r="T763" s="8"/>
      <c r="U763" s="12"/>
      <c r="V763" s="12"/>
      <c r="W763" s="12"/>
      <c r="X763" s="12"/>
      <c r="Y763" s="12"/>
      <c r="Z763" s="12"/>
      <c r="AA763" s="12"/>
      <c r="AB763" s="12"/>
      <c r="AC763" s="12"/>
      <c r="AD763" s="12"/>
      <c r="AE763" s="12"/>
      <c r="AF763" s="12"/>
    </row>
    <row r="764" spans="1:32">
      <c r="A764" s="8"/>
      <c r="B764" s="8"/>
      <c r="C764" s="8"/>
      <c r="D764" s="8"/>
      <c r="E764" s="8"/>
      <c r="F764" s="8"/>
      <c r="G764" s="8"/>
      <c r="H764" s="8"/>
      <c r="I764" s="8"/>
      <c r="J764" s="8"/>
      <c r="K764" s="8"/>
      <c r="L764" s="8"/>
      <c r="M764" s="8"/>
      <c r="N764" s="8"/>
      <c r="O764" s="8"/>
      <c r="P764" s="8"/>
      <c r="Q764" s="8"/>
      <c r="R764" s="8"/>
      <c r="S764" s="8"/>
      <c r="T764" s="8"/>
      <c r="U764" s="12"/>
      <c r="V764" s="12"/>
      <c r="W764" s="12"/>
      <c r="X764" s="12"/>
      <c r="Y764" s="12"/>
      <c r="Z764" s="12"/>
      <c r="AA764" s="12"/>
      <c r="AB764" s="12"/>
      <c r="AC764" s="12"/>
      <c r="AD764" s="12"/>
      <c r="AE764" s="12"/>
      <c r="AF764" s="12"/>
    </row>
    <row r="765" spans="1:32">
      <c r="A765" s="8"/>
      <c r="B765" s="8"/>
      <c r="C765" s="8"/>
      <c r="D765" s="8"/>
      <c r="E765" s="8"/>
      <c r="F765" s="8"/>
      <c r="G765" s="8"/>
      <c r="H765" s="8"/>
      <c r="I765" s="8"/>
      <c r="J765" s="8"/>
      <c r="K765" s="8"/>
      <c r="L765" s="8"/>
      <c r="M765" s="8"/>
      <c r="N765" s="8"/>
      <c r="O765" s="8"/>
      <c r="P765" s="8"/>
      <c r="Q765" s="8"/>
      <c r="R765" s="8"/>
      <c r="S765" s="8"/>
      <c r="T765" s="8"/>
      <c r="U765" s="12"/>
      <c r="V765" s="12"/>
      <c r="W765" s="12"/>
      <c r="X765" s="12"/>
      <c r="Y765" s="12"/>
      <c r="Z765" s="12"/>
      <c r="AA765" s="12"/>
      <c r="AB765" s="12"/>
      <c r="AC765" s="12"/>
      <c r="AD765" s="12"/>
      <c r="AE765" s="12"/>
      <c r="AF765" s="12"/>
    </row>
    <row r="766" spans="1:32">
      <c r="A766" s="8"/>
      <c r="B766" s="8"/>
      <c r="C766" s="8"/>
      <c r="D766" s="8"/>
      <c r="E766" s="8"/>
      <c r="F766" s="8"/>
      <c r="G766" s="8"/>
      <c r="H766" s="8"/>
      <c r="I766" s="8"/>
      <c r="J766" s="8"/>
      <c r="K766" s="8"/>
      <c r="L766" s="8"/>
      <c r="M766" s="8"/>
      <c r="N766" s="8"/>
      <c r="O766" s="8"/>
      <c r="P766" s="8"/>
      <c r="Q766" s="8"/>
      <c r="R766" s="8"/>
      <c r="S766" s="8"/>
      <c r="T766" s="8"/>
      <c r="U766" s="12"/>
      <c r="V766" s="12"/>
      <c r="W766" s="12"/>
      <c r="X766" s="12"/>
      <c r="Y766" s="12"/>
      <c r="Z766" s="12"/>
      <c r="AA766" s="12"/>
      <c r="AB766" s="12"/>
      <c r="AC766" s="12"/>
      <c r="AD766" s="12"/>
      <c r="AE766" s="12"/>
      <c r="AF766" s="12"/>
    </row>
    <row r="767" spans="1:32">
      <c r="A767" s="8"/>
      <c r="B767" s="8"/>
      <c r="C767" s="8"/>
      <c r="D767" s="8"/>
      <c r="E767" s="8"/>
      <c r="F767" s="8"/>
      <c r="G767" s="8"/>
      <c r="H767" s="8"/>
      <c r="I767" s="8"/>
      <c r="J767" s="8"/>
      <c r="K767" s="8"/>
      <c r="L767" s="8"/>
      <c r="M767" s="8"/>
      <c r="N767" s="8"/>
      <c r="O767" s="8"/>
      <c r="P767" s="8"/>
      <c r="Q767" s="8"/>
      <c r="R767" s="8"/>
      <c r="S767" s="8"/>
      <c r="T767" s="8"/>
      <c r="U767" s="12"/>
      <c r="V767" s="12"/>
      <c r="W767" s="12"/>
      <c r="X767" s="12"/>
      <c r="Y767" s="12"/>
      <c r="Z767" s="12"/>
      <c r="AA767" s="12"/>
      <c r="AB767" s="12"/>
      <c r="AC767" s="12"/>
      <c r="AD767" s="12"/>
      <c r="AE767" s="12"/>
      <c r="AF767" s="12"/>
    </row>
    <row r="768" spans="1:32">
      <c r="A768" s="8"/>
      <c r="B768" s="8"/>
      <c r="C768" s="8"/>
      <c r="D768" s="8"/>
      <c r="E768" s="8"/>
      <c r="F768" s="8"/>
      <c r="G768" s="8"/>
      <c r="H768" s="8"/>
      <c r="I768" s="8"/>
      <c r="J768" s="8"/>
      <c r="K768" s="8"/>
      <c r="L768" s="8"/>
      <c r="M768" s="8"/>
      <c r="N768" s="8"/>
      <c r="O768" s="8"/>
      <c r="P768" s="8"/>
      <c r="Q768" s="8"/>
      <c r="R768" s="8"/>
      <c r="S768" s="8"/>
      <c r="T768" s="8"/>
      <c r="U768" s="12"/>
      <c r="V768" s="12"/>
      <c r="W768" s="12"/>
      <c r="X768" s="12"/>
      <c r="Y768" s="12"/>
      <c r="Z768" s="12"/>
      <c r="AA768" s="12"/>
      <c r="AB768" s="12"/>
      <c r="AC768" s="12"/>
      <c r="AD768" s="12"/>
      <c r="AE768" s="12"/>
      <c r="AF768" s="12"/>
    </row>
    <row r="769" spans="1:32">
      <c r="A769" s="8"/>
      <c r="B769" s="8"/>
      <c r="C769" s="8"/>
      <c r="D769" s="8"/>
      <c r="E769" s="8"/>
      <c r="F769" s="8"/>
      <c r="G769" s="8"/>
      <c r="H769" s="8"/>
      <c r="I769" s="8"/>
      <c r="J769" s="8"/>
      <c r="K769" s="8"/>
      <c r="L769" s="8"/>
      <c r="M769" s="8"/>
      <c r="N769" s="8"/>
      <c r="O769" s="8"/>
      <c r="P769" s="8"/>
      <c r="Q769" s="8"/>
      <c r="R769" s="8"/>
      <c r="S769" s="8"/>
      <c r="T769" s="8"/>
      <c r="U769" s="12"/>
      <c r="V769" s="12"/>
      <c r="W769" s="12"/>
      <c r="X769" s="12"/>
      <c r="Y769" s="12"/>
      <c r="Z769" s="12"/>
      <c r="AA769" s="12"/>
      <c r="AB769" s="12"/>
      <c r="AC769" s="12"/>
      <c r="AD769" s="12"/>
      <c r="AE769" s="12"/>
      <c r="AF769" s="12"/>
    </row>
    <row r="770" spans="1:32">
      <c r="A770" s="8"/>
      <c r="B770" s="8"/>
      <c r="C770" s="8"/>
      <c r="D770" s="8"/>
      <c r="E770" s="8"/>
      <c r="F770" s="8"/>
      <c r="G770" s="8"/>
      <c r="H770" s="8"/>
      <c r="I770" s="8"/>
      <c r="J770" s="8"/>
      <c r="K770" s="8"/>
      <c r="L770" s="8"/>
      <c r="M770" s="8"/>
      <c r="N770" s="8"/>
      <c r="O770" s="8"/>
      <c r="P770" s="8"/>
      <c r="Q770" s="8"/>
      <c r="R770" s="8"/>
      <c r="S770" s="8"/>
      <c r="T770" s="8"/>
      <c r="U770" s="12"/>
      <c r="V770" s="12"/>
      <c r="W770" s="12"/>
      <c r="X770" s="12"/>
      <c r="Y770" s="12"/>
      <c r="Z770" s="12"/>
      <c r="AA770" s="12"/>
      <c r="AB770" s="12"/>
      <c r="AC770" s="12"/>
      <c r="AD770" s="12"/>
      <c r="AE770" s="12"/>
      <c r="AF770" s="12"/>
    </row>
    <row r="771" spans="1:32">
      <c r="A771" s="8"/>
      <c r="B771" s="8"/>
      <c r="C771" s="8"/>
      <c r="D771" s="8"/>
      <c r="E771" s="8"/>
      <c r="F771" s="8"/>
      <c r="G771" s="8"/>
      <c r="H771" s="8"/>
      <c r="I771" s="8"/>
      <c r="J771" s="8"/>
      <c r="K771" s="8"/>
      <c r="L771" s="8"/>
      <c r="M771" s="8"/>
      <c r="N771" s="8"/>
      <c r="O771" s="8"/>
      <c r="P771" s="8"/>
      <c r="Q771" s="8"/>
      <c r="R771" s="8"/>
      <c r="S771" s="8"/>
      <c r="T771" s="8"/>
      <c r="U771" s="12"/>
      <c r="V771" s="12"/>
      <c r="W771" s="12"/>
      <c r="X771" s="12"/>
      <c r="Y771" s="12"/>
      <c r="Z771" s="12"/>
      <c r="AA771" s="12"/>
      <c r="AB771" s="12"/>
      <c r="AC771" s="12"/>
      <c r="AD771" s="12"/>
      <c r="AE771" s="12"/>
      <c r="AF771" s="12"/>
    </row>
    <row r="772" spans="1:32">
      <c r="A772" s="8"/>
      <c r="B772" s="8"/>
      <c r="C772" s="8"/>
      <c r="D772" s="8"/>
      <c r="E772" s="8"/>
      <c r="F772" s="8"/>
      <c r="G772" s="8"/>
      <c r="H772" s="8"/>
      <c r="I772" s="8"/>
      <c r="J772" s="8"/>
      <c r="K772" s="8"/>
      <c r="L772" s="8"/>
      <c r="M772" s="8"/>
      <c r="N772" s="8"/>
      <c r="O772" s="8"/>
      <c r="P772" s="8"/>
      <c r="Q772" s="8"/>
      <c r="R772" s="8"/>
      <c r="S772" s="8"/>
      <c r="T772" s="8"/>
      <c r="U772" s="12"/>
      <c r="V772" s="12"/>
      <c r="W772" s="12"/>
      <c r="X772" s="12"/>
      <c r="Y772" s="12"/>
      <c r="Z772" s="12"/>
      <c r="AA772" s="12"/>
      <c r="AB772" s="12"/>
      <c r="AC772" s="12"/>
      <c r="AD772" s="12"/>
      <c r="AE772" s="12"/>
      <c r="AF772" s="12"/>
    </row>
    <row r="773" spans="1:32">
      <c r="A773" s="8"/>
      <c r="B773" s="8"/>
      <c r="C773" s="8"/>
      <c r="D773" s="8"/>
      <c r="E773" s="8"/>
      <c r="F773" s="8"/>
      <c r="G773" s="8"/>
      <c r="H773" s="8"/>
      <c r="I773" s="8"/>
      <c r="J773" s="8"/>
      <c r="K773" s="8"/>
      <c r="L773" s="8"/>
      <c r="M773" s="8"/>
      <c r="N773" s="8"/>
      <c r="O773" s="8"/>
      <c r="P773" s="8"/>
      <c r="Q773" s="8"/>
      <c r="R773" s="8"/>
      <c r="S773" s="8"/>
      <c r="T773" s="8"/>
      <c r="U773" s="12"/>
      <c r="V773" s="12"/>
      <c r="W773" s="12"/>
      <c r="X773" s="12"/>
      <c r="Y773" s="12"/>
      <c r="Z773" s="12"/>
      <c r="AA773" s="12"/>
      <c r="AB773" s="12"/>
      <c r="AC773" s="12"/>
      <c r="AD773" s="12"/>
      <c r="AE773" s="12"/>
      <c r="AF773" s="12"/>
    </row>
    <row r="774" spans="1:32">
      <c r="A774" s="8"/>
      <c r="B774" s="8"/>
      <c r="C774" s="8"/>
      <c r="D774" s="8"/>
      <c r="E774" s="8"/>
      <c r="F774" s="8"/>
      <c r="G774" s="8"/>
      <c r="H774" s="8"/>
      <c r="I774" s="8"/>
      <c r="J774" s="8"/>
      <c r="K774" s="8"/>
      <c r="L774" s="8"/>
      <c r="M774" s="8"/>
      <c r="N774" s="8"/>
      <c r="O774" s="8"/>
      <c r="P774" s="8"/>
      <c r="Q774" s="8"/>
      <c r="R774" s="8"/>
      <c r="S774" s="8"/>
      <c r="T774" s="8"/>
      <c r="U774" s="12"/>
      <c r="V774" s="12"/>
      <c r="W774" s="12"/>
      <c r="X774" s="12"/>
      <c r="Y774" s="12"/>
      <c r="Z774" s="12"/>
      <c r="AA774" s="12"/>
      <c r="AB774" s="12"/>
      <c r="AC774" s="12"/>
      <c r="AD774" s="12"/>
      <c r="AE774" s="12"/>
      <c r="AF774" s="12"/>
    </row>
    <row r="775" spans="1:32">
      <c r="A775" s="8"/>
      <c r="B775" s="8"/>
      <c r="C775" s="8"/>
      <c r="D775" s="8"/>
      <c r="E775" s="8"/>
      <c r="F775" s="8"/>
      <c r="G775" s="8"/>
      <c r="H775" s="8"/>
      <c r="I775" s="8"/>
      <c r="J775" s="8"/>
      <c r="K775" s="8"/>
      <c r="L775" s="8"/>
      <c r="M775" s="8"/>
      <c r="N775" s="8"/>
      <c r="O775" s="8"/>
      <c r="P775" s="8"/>
      <c r="Q775" s="8"/>
      <c r="R775" s="8"/>
      <c r="S775" s="8"/>
      <c r="T775" s="8"/>
      <c r="U775" s="12"/>
      <c r="V775" s="12"/>
      <c r="W775" s="12"/>
      <c r="X775" s="12"/>
      <c r="Y775" s="12"/>
      <c r="Z775" s="12"/>
      <c r="AA775" s="12"/>
      <c r="AB775" s="12"/>
      <c r="AC775" s="12"/>
      <c r="AD775" s="12"/>
      <c r="AE775" s="12"/>
      <c r="AF775" s="12"/>
    </row>
    <row r="776" spans="1:32">
      <c r="A776" s="8"/>
      <c r="B776" s="8"/>
      <c r="C776" s="8"/>
      <c r="D776" s="8"/>
      <c r="E776" s="8"/>
      <c r="F776" s="8"/>
      <c r="G776" s="8"/>
      <c r="H776" s="8"/>
      <c r="I776" s="8"/>
      <c r="J776" s="8"/>
      <c r="K776" s="8"/>
      <c r="L776" s="8"/>
      <c r="M776" s="8"/>
      <c r="N776" s="8"/>
      <c r="O776" s="8"/>
      <c r="P776" s="8"/>
      <c r="Q776" s="8"/>
      <c r="R776" s="8"/>
      <c r="S776" s="8"/>
      <c r="T776" s="8"/>
      <c r="U776" s="12"/>
      <c r="V776" s="12"/>
      <c r="W776" s="12"/>
      <c r="X776" s="12"/>
      <c r="Y776" s="12"/>
      <c r="Z776" s="12"/>
      <c r="AA776" s="12"/>
      <c r="AB776" s="12"/>
      <c r="AC776" s="12"/>
      <c r="AD776" s="12"/>
      <c r="AE776" s="12"/>
      <c r="AF776" s="12"/>
    </row>
    <row r="777" spans="1:32">
      <c r="A777" s="8"/>
      <c r="B777" s="8"/>
      <c r="C777" s="8"/>
      <c r="D777" s="8"/>
      <c r="E777" s="8"/>
      <c r="F777" s="8"/>
      <c r="G777" s="8"/>
      <c r="H777" s="8"/>
      <c r="I777" s="8"/>
      <c r="J777" s="8"/>
      <c r="K777" s="8"/>
      <c r="L777" s="8"/>
      <c r="M777" s="8"/>
      <c r="N777" s="8"/>
      <c r="O777" s="8"/>
      <c r="P777" s="8"/>
      <c r="Q777" s="8"/>
      <c r="R777" s="8"/>
      <c r="S777" s="8"/>
      <c r="T777" s="8"/>
      <c r="U777" s="12"/>
      <c r="V777" s="12"/>
      <c r="W777" s="12"/>
      <c r="X777" s="12"/>
      <c r="Y777" s="12"/>
      <c r="Z777" s="12"/>
      <c r="AA777" s="12"/>
      <c r="AB777" s="12"/>
      <c r="AC777" s="12"/>
      <c r="AD777" s="12"/>
      <c r="AE777" s="12"/>
      <c r="AF777" s="12"/>
    </row>
    <row r="778" spans="1:32">
      <c r="A778" s="8"/>
      <c r="B778" s="8"/>
      <c r="C778" s="8"/>
      <c r="D778" s="8"/>
      <c r="E778" s="8"/>
      <c r="F778" s="8"/>
      <c r="G778" s="8"/>
      <c r="H778" s="8"/>
      <c r="I778" s="8"/>
      <c r="J778" s="8"/>
      <c r="K778" s="8"/>
      <c r="L778" s="8"/>
      <c r="M778" s="8"/>
      <c r="N778" s="8"/>
      <c r="O778" s="8"/>
      <c r="P778" s="8"/>
      <c r="Q778" s="8"/>
      <c r="R778" s="8"/>
      <c r="S778" s="8"/>
      <c r="T778" s="8"/>
      <c r="U778" s="12"/>
      <c r="V778" s="12"/>
      <c r="W778" s="12"/>
      <c r="X778" s="12"/>
      <c r="Y778" s="12"/>
      <c r="Z778" s="12"/>
      <c r="AA778" s="12"/>
      <c r="AB778" s="12"/>
      <c r="AC778" s="12"/>
      <c r="AD778" s="12"/>
      <c r="AE778" s="12"/>
      <c r="AF778" s="12"/>
    </row>
    <row r="779" spans="1:32">
      <c r="A779" s="8"/>
      <c r="B779" s="8"/>
      <c r="C779" s="8"/>
      <c r="D779" s="8"/>
      <c r="E779" s="8"/>
      <c r="F779" s="8"/>
      <c r="G779" s="8"/>
      <c r="H779" s="8"/>
      <c r="I779" s="8"/>
      <c r="J779" s="8"/>
      <c r="K779" s="8"/>
      <c r="L779" s="8"/>
      <c r="M779" s="8"/>
      <c r="N779" s="8"/>
      <c r="O779" s="8"/>
      <c r="P779" s="8"/>
      <c r="Q779" s="8"/>
      <c r="R779" s="8"/>
      <c r="S779" s="8"/>
      <c r="T779" s="8"/>
      <c r="U779" s="12"/>
      <c r="V779" s="12"/>
      <c r="W779" s="12"/>
      <c r="X779" s="12"/>
      <c r="Y779" s="12"/>
      <c r="Z779" s="12"/>
      <c r="AA779" s="12"/>
      <c r="AB779" s="12"/>
      <c r="AC779" s="12"/>
      <c r="AD779" s="12"/>
      <c r="AE779" s="12"/>
      <c r="AF779" s="12"/>
    </row>
    <row r="780" spans="1:32">
      <c r="A780" s="8"/>
      <c r="B780" s="8"/>
      <c r="C780" s="8"/>
      <c r="D780" s="8"/>
      <c r="E780" s="8"/>
      <c r="F780" s="8"/>
      <c r="G780" s="8"/>
      <c r="H780" s="8"/>
      <c r="I780" s="8"/>
      <c r="J780" s="8"/>
      <c r="K780" s="8"/>
      <c r="L780" s="8"/>
      <c r="M780" s="8"/>
      <c r="N780" s="8"/>
      <c r="O780" s="8"/>
      <c r="P780" s="8"/>
      <c r="Q780" s="8"/>
      <c r="R780" s="8"/>
      <c r="S780" s="8"/>
      <c r="T780" s="8"/>
      <c r="U780" s="12"/>
      <c r="V780" s="12"/>
      <c r="W780" s="12"/>
      <c r="X780" s="12"/>
      <c r="Y780" s="12"/>
      <c r="Z780" s="12"/>
      <c r="AA780" s="12"/>
      <c r="AB780" s="12"/>
      <c r="AC780" s="12"/>
      <c r="AD780" s="12"/>
      <c r="AE780" s="12"/>
      <c r="AF780" s="12"/>
    </row>
    <row r="781" spans="1:32">
      <c r="A781" s="8"/>
      <c r="B781" s="8"/>
      <c r="C781" s="8"/>
      <c r="D781" s="8"/>
      <c r="E781" s="8"/>
      <c r="F781" s="8"/>
      <c r="G781" s="8"/>
      <c r="H781" s="8"/>
      <c r="I781" s="8"/>
      <c r="J781" s="8"/>
      <c r="K781" s="8"/>
      <c r="L781" s="8"/>
      <c r="M781" s="8"/>
      <c r="N781" s="8"/>
      <c r="O781" s="8"/>
      <c r="P781" s="8"/>
      <c r="Q781" s="8"/>
      <c r="R781" s="8"/>
      <c r="S781" s="8"/>
      <c r="T781" s="8"/>
      <c r="U781" s="12"/>
      <c r="V781" s="12"/>
      <c r="W781" s="12"/>
      <c r="X781" s="12"/>
      <c r="Y781" s="12"/>
      <c r="Z781" s="12"/>
      <c r="AA781" s="12"/>
      <c r="AB781" s="12"/>
      <c r="AC781" s="12"/>
      <c r="AD781" s="12"/>
      <c r="AE781" s="12"/>
      <c r="AF781" s="12"/>
    </row>
    <row r="782" spans="1:32">
      <c r="A782" s="8"/>
      <c r="B782" s="8"/>
      <c r="C782" s="8"/>
      <c r="D782" s="8"/>
      <c r="E782" s="8"/>
      <c r="F782" s="8"/>
      <c r="G782" s="8"/>
      <c r="H782" s="8"/>
      <c r="I782" s="8"/>
      <c r="J782" s="8"/>
      <c r="K782" s="8"/>
      <c r="L782" s="8"/>
      <c r="M782" s="8"/>
      <c r="N782" s="8"/>
      <c r="O782" s="8"/>
      <c r="P782" s="8"/>
      <c r="Q782" s="8"/>
      <c r="R782" s="8"/>
      <c r="S782" s="8"/>
      <c r="T782" s="8"/>
      <c r="U782" s="12"/>
      <c r="V782" s="12"/>
      <c r="W782" s="12"/>
      <c r="X782" s="12"/>
      <c r="Y782" s="12"/>
      <c r="Z782" s="12"/>
      <c r="AA782" s="12"/>
      <c r="AB782" s="12"/>
      <c r="AC782" s="12"/>
      <c r="AD782" s="12"/>
      <c r="AE782" s="12"/>
      <c r="AF782" s="12"/>
    </row>
    <row r="783" spans="1:32">
      <c r="A783" s="8"/>
      <c r="B783" s="8"/>
      <c r="C783" s="8"/>
      <c r="D783" s="8"/>
      <c r="E783" s="8"/>
      <c r="F783" s="8"/>
      <c r="G783" s="8"/>
      <c r="H783" s="8"/>
      <c r="I783" s="8"/>
      <c r="J783" s="8"/>
      <c r="K783" s="8"/>
      <c r="L783" s="8"/>
      <c r="M783" s="8"/>
      <c r="N783" s="8"/>
      <c r="O783" s="8"/>
      <c r="P783" s="8"/>
      <c r="Q783" s="8"/>
      <c r="R783" s="8"/>
      <c r="S783" s="8"/>
      <c r="T783" s="8"/>
      <c r="U783" s="12"/>
      <c r="V783" s="12"/>
      <c r="W783" s="12"/>
      <c r="X783" s="12"/>
      <c r="Y783" s="12"/>
      <c r="Z783" s="12"/>
      <c r="AA783" s="12"/>
      <c r="AB783" s="12"/>
      <c r="AC783" s="12"/>
      <c r="AD783" s="12"/>
      <c r="AE783" s="12"/>
      <c r="AF783" s="12"/>
    </row>
    <row r="784" spans="1:32">
      <c r="A784" s="8"/>
      <c r="B784" s="8"/>
      <c r="C784" s="8"/>
      <c r="D784" s="8"/>
      <c r="E784" s="8"/>
      <c r="F784" s="8"/>
      <c r="G784" s="8"/>
      <c r="H784" s="8"/>
      <c r="I784" s="8"/>
      <c r="J784" s="8"/>
      <c r="K784" s="8"/>
      <c r="L784" s="8"/>
      <c r="M784" s="8"/>
      <c r="N784" s="8"/>
      <c r="O784" s="8"/>
      <c r="P784" s="8"/>
      <c r="Q784" s="8"/>
      <c r="R784" s="8"/>
      <c r="S784" s="8"/>
      <c r="T784" s="8"/>
      <c r="U784" s="12"/>
      <c r="V784" s="12"/>
      <c r="W784" s="12"/>
      <c r="X784" s="12"/>
      <c r="Y784" s="12"/>
      <c r="Z784" s="12"/>
      <c r="AA784" s="12"/>
      <c r="AB784" s="12"/>
      <c r="AC784" s="12"/>
      <c r="AD784" s="12"/>
      <c r="AE784" s="12"/>
      <c r="AF784" s="12"/>
    </row>
    <row r="785" spans="1:32">
      <c r="A785" s="8"/>
      <c r="B785" s="8"/>
      <c r="C785" s="8"/>
      <c r="D785" s="8"/>
      <c r="E785" s="8"/>
      <c r="F785" s="8"/>
      <c r="G785" s="8"/>
      <c r="H785" s="8"/>
      <c r="I785" s="8"/>
      <c r="J785" s="8"/>
      <c r="K785" s="8"/>
      <c r="L785" s="8"/>
      <c r="M785" s="8"/>
      <c r="N785" s="8"/>
      <c r="O785" s="8"/>
      <c r="P785" s="8"/>
      <c r="Q785" s="8"/>
      <c r="R785" s="8"/>
      <c r="S785" s="8"/>
      <c r="T785" s="8"/>
      <c r="U785" s="12"/>
      <c r="V785" s="12"/>
      <c r="W785" s="12"/>
      <c r="X785" s="12"/>
      <c r="Y785" s="12"/>
      <c r="Z785" s="12"/>
      <c r="AA785" s="12"/>
      <c r="AB785" s="12"/>
      <c r="AC785" s="12"/>
      <c r="AD785" s="12"/>
      <c r="AE785" s="12"/>
      <c r="AF785" s="12"/>
    </row>
    <row r="786" spans="1:32">
      <c r="A786" s="8"/>
      <c r="B786" s="8"/>
      <c r="C786" s="8"/>
      <c r="D786" s="8"/>
      <c r="E786" s="8"/>
      <c r="F786" s="8"/>
      <c r="G786" s="8"/>
      <c r="H786" s="8"/>
      <c r="I786" s="8"/>
      <c r="J786" s="8"/>
      <c r="K786" s="8"/>
      <c r="L786" s="8"/>
      <c r="M786" s="8"/>
      <c r="N786" s="8"/>
      <c r="O786" s="8"/>
      <c r="P786" s="8"/>
      <c r="Q786" s="8"/>
      <c r="R786" s="8"/>
      <c r="S786" s="8"/>
      <c r="T786" s="8"/>
      <c r="U786" s="12"/>
      <c r="V786" s="12"/>
      <c r="W786" s="12"/>
      <c r="X786" s="12"/>
      <c r="Y786" s="12"/>
      <c r="Z786" s="12"/>
      <c r="AA786" s="12"/>
      <c r="AB786" s="12"/>
      <c r="AC786" s="12"/>
      <c r="AD786" s="12"/>
      <c r="AE786" s="12"/>
      <c r="AF786" s="12"/>
    </row>
    <row r="787" spans="1:32">
      <c r="A787" s="8"/>
      <c r="B787" s="8"/>
      <c r="C787" s="8"/>
      <c r="D787" s="8"/>
      <c r="E787" s="8"/>
      <c r="F787" s="8"/>
      <c r="G787" s="8"/>
      <c r="H787" s="8"/>
      <c r="I787" s="8"/>
      <c r="J787" s="8"/>
      <c r="K787" s="8"/>
      <c r="L787" s="8"/>
      <c r="M787" s="8"/>
      <c r="N787" s="8"/>
      <c r="O787" s="8"/>
      <c r="P787" s="8"/>
      <c r="Q787" s="8"/>
      <c r="R787" s="8"/>
      <c r="S787" s="8"/>
      <c r="T787" s="8"/>
      <c r="U787" s="12"/>
      <c r="V787" s="12"/>
      <c r="W787" s="12"/>
      <c r="X787" s="12"/>
      <c r="Y787" s="12"/>
      <c r="Z787" s="12"/>
      <c r="AA787" s="12"/>
      <c r="AB787" s="12"/>
      <c r="AC787" s="12"/>
      <c r="AD787" s="12"/>
      <c r="AE787" s="12"/>
      <c r="AF787" s="12"/>
    </row>
    <row r="788" spans="1:32">
      <c r="A788" s="8"/>
      <c r="B788" s="8"/>
      <c r="C788" s="8"/>
      <c r="D788" s="8"/>
      <c r="E788" s="8"/>
      <c r="F788" s="8"/>
      <c r="G788" s="8"/>
      <c r="H788" s="8"/>
      <c r="I788" s="8"/>
      <c r="J788" s="8"/>
      <c r="K788" s="8"/>
      <c r="L788" s="8"/>
      <c r="M788" s="8"/>
      <c r="N788" s="8"/>
      <c r="O788" s="8"/>
      <c r="P788" s="8"/>
      <c r="Q788" s="8"/>
      <c r="R788" s="8"/>
      <c r="S788" s="8"/>
      <c r="T788" s="8"/>
      <c r="U788" s="12"/>
      <c r="V788" s="12"/>
      <c r="W788" s="12"/>
      <c r="X788" s="12"/>
      <c r="Y788" s="12"/>
      <c r="Z788" s="12"/>
      <c r="AA788" s="12"/>
      <c r="AB788" s="12"/>
      <c r="AC788" s="12"/>
      <c r="AD788" s="12"/>
      <c r="AE788" s="12"/>
      <c r="AF788" s="12"/>
    </row>
    <row r="789" spans="1:32">
      <c r="A789" s="8"/>
      <c r="B789" s="8"/>
      <c r="C789" s="8"/>
      <c r="D789" s="8"/>
      <c r="E789" s="8"/>
      <c r="F789" s="8"/>
      <c r="G789" s="8"/>
      <c r="H789" s="8"/>
      <c r="I789" s="8"/>
      <c r="J789" s="8"/>
      <c r="K789" s="8"/>
      <c r="L789" s="8"/>
      <c r="M789" s="8"/>
      <c r="N789" s="8"/>
      <c r="O789" s="8"/>
      <c r="P789" s="8"/>
      <c r="Q789" s="8"/>
      <c r="R789" s="8"/>
      <c r="S789" s="8"/>
      <c r="T789" s="8"/>
      <c r="U789" s="12"/>
      <c r="V789" s="12"/>
      <c r="W789" s="12"/>
      <c r="X789" s="12"/>
      <c r="Y789" s="12"/>
      <c r="Z789" s="12"/>
      <c r="AA789" s="12"/>
      <c r="AB789" s="12"/>
      <c r="AC789" s="12"/>
      <c r="AD789" s="12"/>
      <c r="AE789" s="12"/>
      <c r="AF789" s="12"/>
    </row>
    <row r="790" spans="1:32">
      <c r="A790" s="8"/>
      <c r="B790" s="8"/>
      <c r="C790" s="8"/>
      <c r="D790" s="8"/>
      <c r="E790" s="8"/>
      <c r="F790" s="8"/>
      <c r="G790" s="8"/>
      <c r="H790" s="8"/>
      <c r="I790" s="8"/>
      <c r="J790" s="8"/>
      <c r="K790" s="8"/>
      <c r="L790" s="8"/>
      <c r="M790" s="8"/>
      <c r="N790" s="8"/>
      <c r="O790" s="8"/>
      <c r="P790" s="8"/>
      <c r="Q790" s="8"/>
      <c r="R790" s="8"/>
      <c r="S790" s="8"/>
      <c r="T790" s="8"/>
      <c r="U790" s="12"/>
      <c r="V790" s="12"/>
      <c r="W790" s="12"/>
      <c r="X790" s="12"/>
      <c r="Y790" s="12"/>
      <c r="Z790" s="12"/>
      <c r="AA790" s="12"/>
      <c r="AB790" s="12"/>
      <c r="AC790" s="12"/>
      <c r="AD790" s="12"/>
      <c r="AE790" s="12"/>
      <c r="AF790" s="12"/>
    </row>
    <row r="791" spans="1:32">
      <c r="A791" s="8"/>
      <c r="B791" s="8"/>
      <c r="C791" s="8"/>
      <c r="D791" s="8"/>
      <c r="E791" s="8"/>
      <c r="F791" s="8"/>
      <c r="G791" s="8"/>
      <c r="H791" s="8"/>
      <c r="I791" s="8"/>
      <c r="J791" s="8"/>
      <c r="K791" s="8"/>
      <c r="L791" s="8"/>
      <c r="M791" s="8"/>
      <c r="N791" s="8"/>
      <c r="O791" s="8"/>
      <c r="P791" s="8"/>
      <c r="Q791" s="8"/>
      <c r="R791" s="8"/>
      <c r="S791" s="8"/>
      <c r="T791" s="8"/>
      <c r="U791" s="12"/>
      <c r="V791" s="12"/>
      <c r="W791" s="12"/>
      <c r="X791" s="12"/>
      <c r="Y791" s="12"/>
      <c r="Z791" s="12"/>
      <c r="AA791" s="12"/>
      <c r="AB791" s="12"/>
      <c r="AC791" s="12"/>
      <c r="AD791" s="12"/>
      <c r="AE791" s="12"/>
      <c r="AF791" s="12"/>
    </row>
    <row r="792" spans="1:32">
      <c r="A792" s="8"/>
      <c r="B792" s="8"/>
      <c r="C792" s="8"/>
      <c r="D792" s="8"/>
      <c r="E792" s="8"/>
      <c r="F792" s="8"/>
      <c r="G792" s="8"/>
      <c r="H792" s="8"/>
      <c r="I792" s="8"/>
      <c r="J792" s="8"/>
      <c r="K792" s="8"/>
      <c r="L792" s="8"/>
      <c r="M792" s="8"/>
      <c r="N792" s="8"/>
      <c r="O792" s="8"/>
      <c r="P792" s="8"/>
      <c r="Q792" s="8"/>
      <c r="R792" s="8"/>
      <c r="S792" s="8"/>
      <c r="T792" s="8"/>
      <c r="U792" s="12"/>
      <c r="V792" s="12"/>
      <c r="W792" s="12"/>
      <c r="X792" s="12"/>
      <c r="Y792" s="12"/>
      <c r="Z792" s="12"/>
      <c r="AA792" s="12"/>
      <c r="AB792" s="12"/>
      <c r="AC792" s="12"/>
      <c r="AD792" s="12"/>
      <c r="AE792" s="12"/>
      <c r="AF792" s="12"/>
    </row>
    <row r="793" spans="1:32">
      <c r="A793" s="8"/>
      <c r="B793" s="8"/>
      <c r="C793" s="8"/>
      <c r="D793" s="8"/>
      <c r="E793" s="8"/>
      <c r="F793" s="8"/>
      <c r="G793" s="8"/>
      <c r="H793" s="8"/>
      <c r="I793" s="8"/>
      <c r="J793" s="8"/>
      <c r="K793" s="8"/>
      <c r="L793" s="8"/>
      <c r="M793" s="8"/>
      <c r="N793" s="8"/>
      <c r="O793" s="8"/>
      <c r="P793" s="8"/>
      <c r="Q793" s="8"/>
      <c r="R793" s="8"/>
      <c r="S793" s="8"/>
      <c r="T793" s="8"/>
      <c r="U793" s="12"/>
      <c r="V793" s="12"/>
      <c r="W793" s="12"/>
      <c r="X793" s="12"/>
      <c r="Y793" s="12"/>
      <c r="Z793" s="12"/>
      <c r="AA793" s="12"/>
      <c r="AB793" s="12"/>
      <c r="AC793" s="12"/>
      <c r="AD793" s="12"/>
      <c r="AE793" s="12"/>
      <c r="AF793" s="12"/>
    </row>
    <row r="794" spans="1:32">
      <c r="A794" s="8"/>
      <c r="B794" s="8"/>
      <c r="C794" s="8"/>
      <c r="D794" s="8"/>
      <c r="E794" s="8"/>
      <c r="F794" s="8"/>
      <c r="G794" s="8"/>
      <c r="H794" s="8"/>
      <c r="I794" s="8"/>
      <c r="J794" s="8"/>
      <c r="K794" s="8"/>
      <c r="L794" s="8"/>
      <c r="M794" s="8"/>
      <c r="N794" s="8"/>
      <c r="O794" s="8"/>
      <c r="P794" s="8"/>
      <c r="Q794" s="8"/>
      <c r="R794" s="8"/>
      <c r="S794" s="8"/>
      <c r="T794" s="8"/>
      <c r="U794" s="12"/>
      <c r="V794" s="12"/>
      <c r="W794" s="12"/>
      <c r="X794" s="12"/>
      <c r="Y794" s="12"/>
      <c r="Z794" s="12"/>
      <c r="AA794" s="12"/>
      <c r="AB794" s="12"/>
      <c r="AC794" s="12"/>
      <c r="AD794" s="12"/>
      <c r="AE794" s="12"/>
      <c r="AF794" s="12"/>
    </row>
    <row r="795" spans="1:32">
      <c r="A795" s="8"/>
      <c r="B795" s="8"/>
      <c r="C795" s="8"/>
      <c r="D795" s="8"/>
      <c r="E795" s="8"/>
      <c r="F795" s="8"/>
      <c r="G795" s="8"/>
      <c r="H795" s="8"/>
      <c r="I795" s="8"/>
      <c r="J795" s="8"/>
      <c r="K795" s="8"/>
      <c r="L795" s="8"/>
      <c r="M795" s="8"/>
      <c r="N795" s="8"/>
      <c r="O795" s="8"/>
      <c r="P795" s="8"/>
      <c r="Q795" s="8"/>
      <c r="R795" s="8"/>
      <c r="S795" s="8"/>
      <c r="T795" s="8"/>
      <c r="U795" s="12"/>
      <c r="V795" s="12"/>
      <c r="W795" s="12"/>
      <c r="X795" s="12"/>
      <c r="Y795" s="12"/>
      <c r="Z795" s="12"/>
      <c r="AA795" s="12"/>
      <c r="AB795" s="12"/>
      <c r="AC795" s="12"/>
      <c r="AD795" s="12"/>
      <c r="AE795" s="12"/>
      <c r="AF795" s="12"/>
    </row>
    <row r="796" spans="1:32">
      <c r="A796" s="8"/>
      <c r="B796" s="8"/>
      <c r="C796" s="8"/>
      <c r="D796" s="8"/>
      <c r="E796" s="8"/>
      <c r="F796" s="8"/>
      <c r="G796" s="8"/>
      <c r="H796" s="8"/>
      <c r="I796" s="8"/>
      <c r="J796" s="8"/>
      <c r="K796" s="8"/>
      <c r="L796" s="8"/>
      <c r="M796" s="8"/>
      <c r="N796" s="8"/>
      <c r="O796" s="8"/>
      <c r="P796" s="8"/>
      <c r="Q796" s="8"/>
      <c r="R796" s="8"/>
      <c r="S796" s="8"/>
      <c r="T796" s="8"/>
      <c r="U796" s="12"/>
      <c r="V796" s="12"/>
      <c r="W796" s="12"/>
      <c r="X796" s="12"/>
      <c r="Y796" s="12"/>
      <c r="Z796" s="12"/>
      <c r="AA796" s="12"/>
      <c r="AB796" s="12"/>
      <c r="AC796" s="12"/>
      <c r="AD796" s="12"/>
      <c r="AE796" s="12"/>
      <c r="AF796" s="12"/>
    </row>
    <row r="797" spans="1:32">
      <c r="A797" s="8"/>
      <c r="B797" s="8"/>
      <c r="C797" s="8"/>
      <c r="D797" s="8"/>
      <c r="E797" s="8"/>
      <c r="F797" s="8"/>
      <c r="G797" s="8"/>
      <c r="H797" s="8"/>
      <c r="I797" s="8"/>
      <c r="J797" s="8"/>
      <c r="K797" s="8"/>
      <c r="L797" s="8"/>
      <c r="M797" s="8"/>
      <c r="N797" s="8"/>
      <c r="O797" s="8"/>
      <c r="P797" s="8"/>
      <c r="Q797" s="8"/>
      <c r="R797" s="8"/>
      <c r="S797" s="8"/>
      <c r="T797" s="8"/>
      <c r="U797" s="12"/>
      <c r="V797" s="12"/>
      <c r="W797" s="12"/>
      <c r="X797" s="12"/>
      <c r="Y797" s="12"/>
      <c r="Z797" s="12"/>
      <c r="AA797" s="12"/>
      <c r="AB797" s="12"/>
      <c r="AC797" s="12"/>
      <c r="AD797" s="12"/>
      <c r="AE797" s="12"/>
      <c r="AF797" s="12"/>
    </row>
    <row r="798" spans="1:32">
      <c r="A798" s="8"/>
      <c r="B798" s="8"/>
      <c r="C798" s="8"/>
      <c r="D798" s="8"/>
      <c r="E798" s="8"/>
      <c r="F798" s="8"/>
      <c r="G798" s="8"/>
      <c r="H798" s="8"/>
      <c r="I798" s="8"/>
      <c r="J798" s="8"/>
      <c r="K798" s="8"/>
      <c r="L798" s="8"/>
      <c r="M798" s="8"/>
      <c r="N798" s="8"/>
      <c r="O798" s="8"/>
      <c r="P798" s="8"/>
      <c r="Q798" s="8"/>
      <c r="R798" s="8"/>
      <c r="S798" s="8"/>
      <c r="T798" s="8"/>
      <c r="U798" s="12"/>
      <c r="V798" s="12"/>
      <c r="W798" s="12"/>
      <c r="X798" s="12"/>
      <c r="Y798" s="12"/>
      <c r="Z798" s="12"/>
      <c r="AA798" s="12"/>
      <c r="AB798" s="12"/>
      <c r="AC798" s="12"/>
      <c r="AD798" s="12"/>
      <c r="AE798" s="12"/>
      <c r="AF798" s="12"/>
    </row>
    <row r="799" spans="1:32">
      <c r="A799" s="8"/>
      <c r="B799" s="8"/>
      <c r="C799" s="8"/>
      <c r="D799" s="8"/>
      <c r="E799" s="8"/>
      <c r="F799" s="8"/>
      <c r="G799" s="8"/>
      <c r="H799" s="8"/>
      <c r="I799" s="8"/>
      <c r="J799" s="8"/>
      <c r="K799" s="8"/>
      <c r="L799" s="8"/>
      <c r="M799" s="8"/>
      <c r="N799" s="8"/>
      <c r="O799" s="8"/>
      <c r="P799" s="8"/>
      <c r="Q799" s="8"/>
      <c r="R799" s="8"/>
      <c r="S799" s="8"/>
      <c r="T799" s="8"/>
      <c r="U799" s="12"/>
      <c r="V799" s="12"/>
      <c r="W799" s="12"/>
      <c r="X799" s="12"/>
      <c r="Y799" s="12"/>
      <c r="Z799" s="12"/>
      <c r="AA799" s="12"/>
      <c r="AB799" s="12"/>
      <c r="AC799" s="12"/>
      <c r="AD799" s="12"/>
      <c r="AE799" s="12"/>
      <c r="AF799" s="12"/>
    </row>
    <row r="800" spans="1:32">
      <c r="A800" s="8"/>
      <c r="B800" s="8"/>
      <c r="C800" s="8"/>
      <c r="D800" s="8"/>
      <c r="E800" s="8"/>
      <c r="F800" s="8"/>
      <c r="G800" s="8"/>
      <c r="H800" s="8"/>
      <c r="I800" s="8"/>
      <c r="J800" s="8"/>
      <c r="K800" s="8"/>
      <c r="L800" s="8"/>
      <c r="M800" s="8"/>
      <c r="N800" s="8"/>
      <c r="O800" s="8"/>
      <c r="P800" s="8"/>
      <c r="Q800" s="8"/>
      <c r="R800" s="8"/>
      <c r="S800" s="8"/>
      <c r="T800" s="8"/>
      <c r="U800" s="12"/>
      <c r="V800" s="12"/>
      <c r="W800" s="12"/>
      <c r="X800" s="12"/>
      <c r="Y800" s="12"/>
      <c r="Z800" s="12"/>
      <c r="AA800" s="12"/>
      <c r="AB800" s="12"/>
      <c r="AC800" s="12"/>
      <c r="AD800" s="12"/>
      <c r="AE800" s="12"/>
      <c r="AF800" s="12"/>
    </row>
    <row r="801" spans="1:32">
      <c r="A801" s="8"/>
      <c r="B801" s="8"/>
      <c r="C801" s="8"/>
      <c r="D801" s="8"/>
      <c r="E801" s="8"/>
      <c r="F801" s="8"/>
      <c r="G801" s="8"/>
      <c r="H801" s="8"/>
      <c r="I801" s="8"/>
      <c r="J801" s="8"/>
      <c r="K801" s="8"/>
      <c r="L801" s="8"/>
      <c r="M801" s="8"/>
      <c r="N801" s="8"/>
      <c r="O801" s="8"/>
      <c r="P801" s="8"/>
      <c r="Q801" s="8"/>
      <c r="R801" s="8"/>
      <c r="S801" s="8"/>
      <c r="T801" s="8"/>
      <c r="U801" s="12"/>
      <c r="V801" s="12"/>
      <c r="W801" s="12"/>
      <c r="X801" s="12"/>
      <c r="Y801" s="12"/>
      <c r="Z801" s="12"/>
      <c r="AA801" s="12"/>
      <c r="AB801" s="12"/>
      <c r="AC801" s="12"/>
      <c r="AD801" s="12"/>
      <c r="AE801" s="12"/>
      <c r="AF801" s="12"/>
    </row>
    <row r="802" spans="1:32">
      <c r="A802" s="8"/>
      <c r="B802" s="8"/>
      <c r="C802" s="8"/>
      <c r="D802" s="8"/>
      <c r="E802" s="8"/>
      <c r="F802" s="8"/>
      <c r="G802" s="8"/>
      <c r="H802" s="8"/>
      <c r="I802" s="8"/>
      <c r="J802" s="8"/>
      <c r="K802" s="8"/>
      <c r="L802" s="8"/>
      <c r="M802" s="8"/>
      <c r="N802" s="8"/>
      <c r="O802" s="8"/>
      <c r="P802" s="8"/>
      <c r="Q802" s="8"/>
      <c r="R802" s="8"/>
      <c r="S802" s="8"/>
      <c r="T802" s="8"/>
      <c r="U802" s="12"/>
      <c r="V802" s="12"/>
      <c r="W802" s="12"/>
      <c r="X802" s="12"/>
      <c r="Y802" s="12"/>
      <c r="Z802" s="12"/>
      <c r="AA802" s="12"/>
      <c r="AB802" s="12"/>
      <c r="AC802" s="12"/>
      <c r="AD802" s="12"/>
      <c r="AE802" s="12"/>
      <c r="AF802" s="12"/>
    </row>
    <row r="803" spans="1:32">
      <c r="A803" s="8"/>
      <c r="B803" s="8"/>
      <c r="C803" s="8"/>
      <c r="D803" s="8"/>
      <c r="E803" s="8"/>
      <c r="F803" s="8"/>
      <c r="G803" s="8"/>
      <c r="H803" s="8"/>
      <c r="I803" s="8"/>
      <c r="J803" s="8"/>
      <c r="K803" s="8"/>
      <c r="L803" s="8"/>
      <c r="M803" s="8"/>
      <c r="N803" s="8"/>
      <c r="O803" s="8"/>
      <c r="P803" s="8"/>
      <c r="Q803" s="8"/>
      <c r="R803" s="8"/>
      <c r="S803" s="8"/>
      <c r="T803" s="8"/>
      <c r="U803" s="12"/>
      <c r="V803" s="12"/>
      <c r="W803" s="12"/>
      <c r="X803" s="12"/>
      <c r="Y803" s="12"/>
      <c r="Z803" s="12"/>
      <c r="AA803" s="12"/>
      <c r="AB803" s="12"/>
      <c r="AC803" s="12"/>
      <c r="AD803" s="12"/>
      <c r="AE803" s="12"/>
      <c r="AF803" s="12"/>
    </row>
    <row r="804" spans="1:32">
      <c r="A804" s="8"/>
      <c r="B804" s="8"/>
      <c r="C804" s="8"/>
      <c r="D804" s="8"/>
      <c r="E804" s="8"/>
      <c r="F804" s="8"/>
      <c r="G804" s="8"/>
      <c r="H804" s="8"/>
      <c r="I804" s="8"/>
      <c r="J804" s="8"/>
      <c r="K804" s="8"/>
      <c r="L804" s="8"/>
      <c r="M804" s="8"/>
      <c r="N804" s="8"/>
      <c r="O804" s="8"/>
      <c r="P804" s="8"/>
      <c r="Q804" s="8"/>
      <c r="R804" s="8"/>
      <c r="S804" s="8"/>
      <c r="T804" s="8"/>
      <c r="U804" s="12"/>
      <c r="V804" s="12"/>
      <c r="W804" s="12"/>
      <c r="X804" s="12"/>
      <c r="Y804" s="12"/>
      <c r="Z804" s="12"/>
      <c r="AA804" s="12"/>
      <c r="AB804" s="12"/>
      <c r="AC804" s="12"/>
      <c r="AD804" s="12"/>
      <c r="AE804" s="12"/>
      <c r="AF804" s="12"/>
    </row>
    <row r="805" spans="1:32">
      <c r="A805" s="8"/>
      <c r="B805" s="8"/>
      <c r="C805" s="8"/>
      <c r="D805" s="8"/>
      <c r="E805" s="8"/>
      <c r="F805" s="8"/>
      <c r="G805" s="8"/>
      <c r="H805" s="8"/>
      <c r="I805" s="8"/>
      <c r="J805" s="8"/>
      <c r="K805" s="8"/>
      <c r="L805" s="8"/>
      <c r="M805" s="8"/>
      <c r="N805" s="8"/>
      <c r="O805" s="8"/>
      <c r="P805" s="8"/>
      <c r="Q805" s="8"/>
      <c r="R805" s="8"/>
      <c r="S805" s="8"/>
      <c r="T805" s="8"/>
      <c r="U805" s="12"/>
      <c r="V805" s="12"/>
      <c r="W805" s="12"/>
      <c r="X805" s="12"/>
      <c r="Y805" s="12"/>
      <c r="Z805" s="12"/>
      <c r="AA805" s="12"/>
      <c r="AB805" s="12"/>
      <c r="AC805" s="12"/>
      <c r="AD805" s="12"/>
      <c r="AE805" s="12"/>
      <c r="AF805" s="12"/>
    </row>
    <row r="806" spans="1:32">
      <c r="A806" s="8"/>
      <c r="B806" s="8"/>
      <c r="C806" s="8"/>
      <c r="D806" s="8"/>
      <c r="E806" s="8"/>
      <c r="F806" s="8"/>
      <c r="G806" s="8"/>
      <c r="H806" s="8"/>
      <c r="I806" s="8"/>
      <c r="J806" s="8"/>
      <c r="K806" s="8"/>
      <c r="L806" s="8"/>
      <c r="M806" s="8"/>
      <c r="N806" s="8"/>
      <c r="O806" s="8"/>
      <c r="P806" s="8"/>
      <c r="Q806" s="8"/>
      <c r="R806" s="8"/>
      <c r="S806" s="8"/>
      <c r="T806" s="8"/>
      <c r="U806" s="12"/>
      <c r="V806" s="12"/>
      <c r="W806" s="12"/>
      <c r="X806" s="12"/>
      <c r="Y806" s="12"/>
      <c r="Z806" s="12"/>
      <c r="AA806" s="12"/>
      <c r="AB806" s="12"/>
      <c r="AC806" s="12"/>
      <c r="AD806" s="12"/>
      <c r="AE806" s="12"/>
      <c r="AF806" s="12"/>
    </row>
    <row r="807" spans="1:32">
      <c r="A807" s="8"/>
      <c r="B807" s="8"/>
      <c r="C807" s="8"/>
      <c r="D807" s="8"/>
      <c r="E807" s="8"/>
      <c r="F807" s="8"/>
      <c r="G807" s="8"/>
      <c r="H807" s="8"/>
      <c r="I807" s="8"/>
      <c r="J807" s="8"/>
      <c r="K807" s="8"/>
      <c r="L807" s="8"/>
      <c r="M807" s="8"/>
      <c r="N807" s="8"/>
      <c r="O807" s="8"/>
      <c r="P807" s="8"/>
      <c r="Q807" s="8"/>
      <c r="R807" s="8"/>
      <c r="S807" s="8"/>
      <c r="T807" s="8"/>
      <c r="U807" s="12"/>
      <c r="V807" s="12"/>
      <c r="W807" s="12"/>
      <c r="X807" s="12"/>
      <c r="Y807" s="12"/>
      <c r="Z807" s="12"/>
      <c r="AA807" s="12"/>
      <c r="AB807" s="12"/>
      <c r="AC807" s="12"/>
      <c r="AD807" s="12"/>
      <c r="AE807" s="12"/>
      <c r="AF807" s="12"/>
    </row>
    <row r="808" spans="1:32">
      <c r="A808" s="8"/>
      <c r="B808" s="8"/>
      <c r="C808" s="8"/>
      <c r="D808" s="8"/>
      <c r="E808" s="8"/>
      <c r="F808" s="8"/>
      <c r="G808" s="8"/>
      <c r="H808" s="8"/>
      <c r="I808" s="8"/>
      <c r="J808" s="8"/>
      <c r="K808" s="8"/>
      <c r="L808" s="8"/>
      <c r="M808" s="8"/>
      <c r="N808" s="8"/>
      <c r="O808" s="8"/>
      <c r="P808" s="8"/>
      <c r="Q808" s="8"/>
      <c r="R808" s="8"/>
      <c r="S808" s="8"/>
      <c r="T808" s="8"/>
      <c r="U808" s="12"/>
      <c r="V808" s="12"/>
      <c r="W808" s="12"/>
      <c r="X808" s="12"/>
      <c r="Y808" s="12"/>
      <c r="Z808" s="12"/>
      <c r="AA808" s="12"/>
      <c r="AB808" s="12"/>
      <c r="AC808" s="12"/>
      <c r="AD808" s="12"/>
      <c r="AE808" s="12"/>
      <c r="AF808" s="12"/>
    </row>
    <row r="809" spans="1:32">
      <c r="A809" s="8"/>
      <c r="B809" s="8"/>
      <c r="C809" s="8"/>
      <c r="D809" s="8"/>
      <c r="E809" s="8"/>
      <c r="F809" s="8"/>
      <c r="G809" s="8"/>
      <c r="H809" s="8"/>
      <c r="I809" s="8"/>
      <c r="J809" s="8"/>
      <c r="K809" s="8"/>
      <c r="L809" s="8"/>
      <c r="M809" s="8"/>
      <c r="N809" s="8"/>
      <c r="O809" s="8"/>
      <c r="P809" s="8"/>
      <c r="Q809" s="8"/>
      <c r="R809" s="8"/>
      <c r="S809" s="8"/>
      <c r="T809" s="8"/>
      <c r="U809" s="12"/>
      <c r="V809" s="12"/>
      <c r="W809" s="12"/>
      <c r="X809" s="12"/>
      <c r="Y809" s="12"/>
      <c r="Z809" s="12"/>
      <c r="AA809" s="12"/>
      <c r="AB809" s="12"/>
      <c r="AC809" s="12"/>
      <c r="AD809" s="12"/>
      <c r="AE809" s="12"/>
      <c r="AF809" s="12"/>
    </row>
    <row r="810" spans="1:32">
      <c r="A810" s="8"/>
      <c r="B810" s="8"/>
      <c r="C810" s="8"/>
      <c r="D810" s="8"/>
      <c r="E810" s="8"/>
      <c r="F810" s="8"/>
      <c r="G810" s="8"/>
      <c r="H810" s="8"/>
      <c r="I810" s="8"/>
      <c r="J810" s="8"/>
      <c r="K810" s="8"/>
      <c r="L810" s="8"/>
      <c r="M810" s="8"/>
      <c r="N810" s="8"/>
      <c r="O810" s="8"/>
      <c r="P810" s="8"/>
      <c r="Q810" s="8"/>
      <c r="R810" s="8"/>
      <c r="S810" s="8"/>
      <c r="T810" s="8"/>
      <c r="U810" s="12"/>
      <c r="V810" s="12"/>
      <c r="W810" s="12"/>
      <c r="X810" s="12"/>
      <c r="Y810" s="12"/>
      <c r="Z810" s="12"/>
      <c r="AA810" s="12"/>
      <c r="AB810" s="12"/>
      <c r="AC810" s="12"/>
      <c r="AD810" s="12"/>
      <c r="AE810" s="12"/>
      <c r="AF810" s="12"/>
    </row>
    <row r="811" spans="1:32">
      <c r="A811" s="8"/>
      <c r="B811" s="8"/>
      <c r="C811" s="8"/>
      <c r="D811" s="8"/>
      <c r="E811" s="8"/>
      <c r="F811" s="8"/>
      <c r="G811" s="8"/>
      <c r="H811" s="8"/>
      <c r="I811" s="8"/>
      <c r="J811" s="8"/>
      <c r="K811" s="8"/>
      <c r="L811" s="8"/>
      <c r="M811" s="8"/>
      <c r="N811" s="8"/>
      <c r="O811" s="8"/>
      <c r="P811" s="8"/>
      <c r="Q811" s="8"/>
      <c r="R811" s="8"/>
      <c r="S811" s="8"/>
      <c r="T811" s="8"/>
      <c r="U811" s="12"/>
      <c r="V811" s="12"/>
      <c r="W811" s="12"/>
      <c r="X811" s="12"/>
      <c r="Y811" s="12"/>
      <c r="Z811" s="12"/>
      <c r="AA811" s="12"/>
      <c r="AB811" s="12"/>
      <c r="AC811" s="12"/>
      <c r="AD811" s="12"/>
      <c r="AE811" s="12"/>
      <c r="AF811" s="12"/>
    </row>
    <row r="812" spans="1:32">
      <c r="A812" s="8"/>
      <c r="B812" s="8"/>
      <c r="C812" s="8"/>
      <c r="D812" s="8"/>
      <c r="E812" s="8"/>
      <c r="F812" s="8"/>
      <c r="G812" s="8"/>
      <c r="H812" s="8"/>
      <c r="I812" s="8"/>
      <c r="J812" s="8"/>
      <c r="K812" s="8"/>
      <c r="L812" s="8"/>
      <c r="M812" s="8"/>
      <c r="N812" s="8"/>
      <c r="O812" s="8"/>
      <c r="P812" s="8"/>
      <c r="Q812" s="8"/>
      <c r="R812" s="8"/>
      <c r="S812" s="8"/>
      <c r="T812" s="8"/>
      <c r="U812" s="12"/>
      <c r="V812" s="12"/>
      <c r="W812" s="12"/>
      <c r="X812" s="12"/>
      <c r="Y812" s="12"/>
      <c r="Z812" s="12"/>
      <c r="AA812" s="12"/>
      <c r="AB812" s="12"/>
      <c r="AC812" s="12"/>
      <c r="AD812" s="12"/>
      <c r="AE812" s="12"/>
      <c r="AF812" s="12"/>
    </row>
    <row r="813" spans="1:32">
      <c r="A813" s="8"/>
      <c r="B813" s="8"/>
      <c r="C813" s="8"/>
      <c r="D813" s="8"/>
      <c r="E813" s="8"/>
      <c r="F813" s="8"/>
      <c r="G813" s="8"/>
      <c r="H813" s="8"/>
      <c r="I813" s="8"/>
      <c r="J813" s="8"/>
      <c r="K813" s="8"/>
      <c r="L813" s="8"/>
      <c r="M813" s="8"/>
      <c r="N813" s="8"/>
      <c r="O813" s="8"/>
      <c r="P813" s="8"/>
      <c r="Q813" s="8"/>
      <c r="R813" s="8"/>
      <c r="S813" s="8"/>
      <c r="T813" s="8"/>
      <c r="U813" s="12"/>
      <c r="V813" s="12"/>
      <c r="W813" s="12"/>
      <c r="X813" s="12"/>
      <c r="Y813" s="12"/>
      <c r="Z813" s="12"/>
      <c r="AA813" s="12"/>
      <c r="AB813" s="12"/>
      <c r="AC813" s="12"/>
      <c r="AD813" s="12"/>
      <c r="AE813" s="12"/>
      <c r="AF813" s="12"/>
    </row>
    <row r="814" spans="1:32">
      <c r="A814" s="8"/>
      <c r="B814" s="8"/>
      <c r="C814" s="8"/>
      <c r="D814" s="8"/>
      <c r="E814" s="8"/>
      <c r="F814" s="8"/>
      <c r="G814" s="8"/>
      <c r="H814" s="8"/>
      <c r="I814" s="8"/>
      <c r="J814" s="8"/>
      <c r="K814" s="8"/>
      <c r="L814" s="8"/>
      <c r="M814" s="8"/>
      <c r="N814" s="8"/>
      <c r="O814" s="8"/>
      <c r="P814" s="8"/>
      <c r="Q814" s="8"/>
      <c r="R814" s="8"/>
      <c r="S814" s="8"/>
      <c r="T814" s="8"/>
      <c r="U814" s="12"/>
      <c r="V814" s="12"/>
      <c r="W814" s="12"/>
      <c r="X814" s="12"/>
      <c r="Y814" s="12"/>
      <c r="Z814" s="12"/>
      <c r="AA814" s="12"/>
      <c r="AB814" s="12"/>
      <c r="AC814" s="12"/>
      <c r="AD814" s="12"/>
      <c r="AE814" s="12"/>
      <c r="AF814" s="12"/>
    </row>
    <row r="815" spans="1:32">
      <c r="A815" s="8"/>
      <c r="B815" s="8"/>
      <c r="C815" s="8"/>
      <c r="D815" s="8"/>
      <c r="E815" s="8"/>
      <c r="F815" s="8"/>
      <c r="G815" s="8"/>
      <c r="H815" s="8"/>
      <c r="I815" s="8"/>
      <c r="J815" s="8"/>
      <c r="K815" s="8"/>
      <c r="L815" s="8"/>
      <c r="M815" s="8"/>
      <c r="N815" s="8"/>
      <c r="O815" s="8"/>
      <c r="P815" s="8"/>
      <c r="Q815" s="8"/>
      <c r="R815" s="8"/>
      <c r="S815" s="8"/>
      <c r="T815" s="8"/>
      <c r="U815" s="12"/>
      <c r="V815" s="12"/>
      <c r="W815" s="12"/>
      <c r="X815" s="12"/>
      <c r="Y815" s="12"/>
      <c r="Z815" s="12"/>
      <c r="AA815" s="12"/>
      <c r="AB815" s="12"/>
      <c r="AC815" s="12"/>
      <c r="AD815" s="12"/>
      <c r="AE815" s="12"/>
      <c r="AF815" s="12"/>
    </row>
    <row r="816" spans="1:32">
      <c r="A816" s="8"/>
      <c r="B816" s="8"/>
      <c r="C816" s="8"/>
      <c r="D816" s="8"/>
      <c r="E816" s="8"/>
      <c r="F816" s="8"/>
      <c r="G816" s="8"/>
      <c r="H816" s="8"/>
      <c r="I816" s="8"/>
      <c r="J816" s="8"/>
      <c r="K816" s="8"/>
      <c r="L816" s="8"/>
      <c r="M816" s="8"/>
      <c r="N816" s="8"/>
      <c r="O816" s="8"/>
      <c r="P816" s="8"/>
      <c r="Q816" s="8"/>
      <c r="R816" s="8"/>
      <c r="S816" s="8"/>
      <c r="T816" s="8"/>
      <c r="U816" s="12"/>
      <c r="V816" s="12"/>
      <c r="W816" s="12"/>
      <c r="X816" s="12"/>
      <c r="Y816" s="12"/>
      <c r="Z816" s="12"/>
      <c r="AA816" s="12"/>
      <c r="AB816" s="12"/>
      <c r="AC816" s="12"/>
      <c r="AD816" s="12"/>
      <c r="AE816" s="12"/>
      <c r="AF816" s="12"/>
    </row>
    <row r="817" spans="1:32">
      <c r="A817" s="8"/>
      <c r="B817" s="8"/>
      <c r="C817" s="8"/>
      <c r="D817" s="8"/>
      <c r="E817" s="8"/>
      <c r="F817" s="8"/>
      <c r="G817" s="8"/>
      <c r="H817" s="8"/>
      <c r="I817" s="8"/>
      <c r="J817" s="8"/>
      <c r="K817" s="8"/>
      <c r="L817" s="8"/>
      <c r="M817" s="8"/>
      <c r="N817" s="8"/>
      <c r="O817" s="8"/>
      <c r="P817" s="8"/>
      <c r="Q817" s="8"/>
      <c r="R817" s="8"/>
      <c r="S817" s="8"/>
      <c r="T817" s="8"/>
      <c r="U817" s="12"/>
      <c r="V817" s="12"/>
      <c r="W817" s="12"/>
      <c r="X817" s="12"/>
      <c r="Y817" s="12"/>
      <c r="Z817" s="12"/>
      <c r="AA817" s="12"/>
      <c r="AB817" s="12"/>
      <c r="AC817" s="12"/>
      <c r="AD817" s="12"/>
      <c r="AE817" s="12"/>
      <c r="AF817" s="12"/>
    </row>
    <row r="818" spans="1:32">
      <c r="A818" s="8"/>
      <c r="B818" s="8"/>
      <c r="C818" s="8"/>
      <c r="D818" s="8"/>
      <c r="E818" s="8"/>
      <c r="F818" s="8"/>
      <c r="G818" s="8"/>
      <c r="H818" s="8"/>
      <c r="I818" s="8"/>
      <c r="J818" s="8"/>
      <c r="K818" s="8"/>
      <c r="L818" s="8"/>
      <c r="M818" s="8"/>
      <c r="N818" s="8"/>
      <c r="O818" s="8"/>
      <c r="P818" s="8"/>
      <c r="Q818" s="8"/>
      <c r="R818" s="8"/>
      <c r="S818" s="8"/>
      <c r="T818" s="8"/>
      <c r="U818" s="12"/>
      <c r="V818" s="12"/>
      <c r="W818" s="12"/>
      <c r="X818" s="12"/>
      <c r="Y818" s="12"/>
      <c r="Z818" s="12"/>
      <c r="AA818" s="12"/>
      <c r="AB818" s="12"/>
      <c r="AC818" s="12"/>
      <c r="AD818" s="12"/>
      <c r="AE818" s="12"/>
      <c r="AF818" s="12"/>
    </row>
    <row r="819" spans="1:32">
      <c r="A819" s="8"/>
      <c r="B819" s="8"/>
      <c r="C819" s="8"/>
      <c r="D819" s="8"/>
      <c r="E819" s="8"/>
      <c r="F819" s="8"/>
      <c r="G819" s="8"/>
      <c r="H819" s="8"/>
      <c r="I819" s="8"/>
      <c r="J819" s="8"/>
      <c r="K819" s="8"/>
      <c r="L819" s="8"/>
      <c r="M819" s="8"/>
      <c r="N819" s="8"/>
      <c r="O819" s="8"/>
      <c r="P819" s="8"/>
      <c r="Q819" s="8"/>
      <c r="R819" s="8"/>
      <c r="S819" s="8"/>
      <c r="T819" s="8"/>
      <c r="U819" s="12"/>
      <c r="V819" s="12"/>
      <c r="W819" s="12"/>
      <c r="X819" s="12"/>
      <c r="Y819" s="12"/>
      <c r="Z819" s="12"/>
      <c r="AA819" s="12"/>
      <c r="AB819" s="12"/>
      <c r="AC819" s="12"/>
      <c r="AD819" s="12"/>
      <c r="AE819" s="12"/>
      <c r="AF819" s="12"/>
    </row>
    <row r="820" spans="1:32">
      <c r="A820" s="8"/>
      <c r="B820" s="8"/>
      <c r="C820" s="8"/>
      <c r="D820" s="8"/>
      <c r="E820" s="8"/>
      <c r="F820" s="8"/>
      <c r="G820" s="8"/>
      <c r="H820" s="8"/>
      <c r="I820" s="8"/>
      <c r="J820" s="8"/>
      <c r="K820" s="8"/>
      <c r="L820" s="8"/>
      <c r="M820" s="8"/>
      <c r="N820" s="8"/>
      <c r="O820" s="8"/>
      <c r="P820" s="8"/>
      <c r="Q820" s="8"/>
      <c r="R820" s="8"/>
      <c r="S820" s="8"/>
      <c r="T820" s="8"/>
      <c r="U820" s="12"/>
      <c r="V820" s="12"/>
      <c r="W820" s="12"/>
      <c r="X820" s="12"/>
      <c r="Y820" s="12"/>
      <c r="Z820" s="12"/>
      <c r="AA820" s="12"/>
      <c r="AB820" s="12"/>
      <c r="AC820" s="12"/>
      <c r="AD820" s="12"/>
      <c r="AE820" s="12"/>
      <c r="AF820" s="12"/>
    </row>
    <row r="821" spans="1:32">
      <c r="A821" s="8"/>
      <c r="B821" s="8"/>
      <c r="C821" s="8"/>
      <c r="D821" s="8"/>
      <c r="E821" s="8"/>
      <c r="F821" s="8"/>
      <c r="G821" s="8"/>
      <c r="H821" s="8"/>
      <c r="I821" s="8"/>
      <c r="J821" s="8"/>
      <c r="K821" s="8"/>
      <c r="L821" s="8"/>
      <c r="M821" s="8"/>
      <c r="N821" s="8"/>
      <c r="O821" s="8"/>
      <c r="P821" s="8"/>
      <c r="Q821" s="8"/>
      <c r="R821" s="8"/>
      <c r="S821" s="8"/>
      <c r="T821" s="8"/>
      <c r="U821" s="12"/>
      <c r="V821" s="12"/>
      <c r="W821" s="12"/>
      <c r="X821" s="12"/>
      <c r="Y821" s="12"/>
      <c r="Z821" s="12"/>
      <c r="AA821" s="12"/>
      <c r="AB821" s="12"/>
      <c r="AC821" s="12"/>
      <c r="AD821" s="12"/>
      <c r="AE821" s="12"/>
      <c r="AF821" s="12"/>
    </row>
    <row r="822" spans="1:32">
      <c r="A822" s="8"/>
      <c r="B822" s="8"/>
      <c r="C822" s="8"/>
      <c r="D822" s="8"/>
      <c r="E822" s="8"/>
      <c r="F822" s="8"/>
      <c r="G822" s="8"/>
      <c r="H822" s="8"/>
      <c r="I822" s="8"/>
      <c r="J822" s="8"/>
      <c r="K822" s="8"/>
      <c r="L822" s="8"/>
      <c r="M822" s="8"/>
      <c r="N822" s="8"/>
      <c r="O822" s="8"/>
      <c r="P822" s="8"/>
      <c r="Q822" s="8"/>
      <c r="R822" s="8"/>
      <c r="S822" s="8"/>
      <c r="T822" s="8"/>
      <c r="U822" s="12"/>
      <c r="V822" s="12"/>
      <c r="W822" s="12"/>
      <c r="X822" s="12"/>
      <c r="Y822" s="12"/>
      <c r="Z822" s="12"/>
      <c r="AA822" s="12"/>
      <c r="AB822" s="12"/>
      <c r="AC822" s="12"/>
      <c r="AD822" s="12"/>
      <c r="AE822" s="12"/>
      <c r="AF822" s="12"/>
    </row>
    <row r="823" spans="1:32">
      <c r="A823" s="8"/>
      <c r="B823" s="8"/>
      <c r="C823" s="8"/>
      <c r="D823" s="8"/>
      <c r="E823" s="8"/>
      <c r="F823" s="8"/>
      <c r="G823" s="8"/>
      <c r="H823" s="8"/>
      <c r="I823" s="8"/>
      <c r="J823" s="8"/>
      <c r="K823" s="8"/>
      <c r="L823" s="8"/>
      <c r="M823" s="8"/>
      <c r="N823" s="8"/>
      <c r="O823" s="8"/>
      <c r="P823" s="8"/>
      <c r="Q823" s="8"/>
      <c r="R823" s="8"/>
      <c r="S823" s="8"/>
      <c r="T823" s="8"/>
      <c r="U823" s="12"/>
      <c r="V823" s="12"/>
      <c r="W823" s="12"/>
      <c r="X823" s="12"/>
      <c r="Y823" s="12"/>
      <c r="Z823" s="12"/>
      <c r="AA823" s="12"/>
      <c r="AB823" s="12"/>
      <c r="AC823" s="12"/>
      <c r="AD823" s="12"/>
      <c r="AE823" s="12"/>
      <c r="AF823" s="12"/>
    </row>
    <row r="824" spans="1:32">
      <c r="A824" s="8"/>
      <c r="B824" s="8"/>
      <c r="C824" s="8"/>
      <c r="D824" s="8"/>
      <c r="E824" s="8"/>
      <c r="F824" s="8"/>
      <c r="G824" s="8"/>
      <c r="H824" s="8"/>
      <c r="I824" s="8"/>
      <c r="J824" s="8"/>
      <c r="K824" s="8"/>
      <c r="L824" s="8"/>
      <c r="M824" s="8"/>
      <c r="N824" s="8"/>
      <c r="O824" s="8"/>
      <c r="P824" s="8"/>
      <c r="Q824" s="8"/>
      <c r="R824" s="8"/>
      <c r="S824" s="8"/>
      <c r="T824" s="8"/>
      <c r="U824" s="12"/>
      <c r="V824" s="12"/>
      <c r="W824" s="12"/>
      <c r="X824" s="12"/>
      <c r="Y824" s="12"/>
      <c r="Z824" s="12"/>
      <c r="AA824" s="12"/>
      <c r="AB824" s="12"/>
      <c r="AC824" s="12"/>
      <c r="AD824" s="12"/>
      <c r="AE824" s="12"/>
      <c r="AF824" s="12"/>
    </row>
    <row r="825" spans="1:32">
      <c r="A825" s="8"/>
      <c r="B825" s="8"/>
      <c r="C825" s="8"/>
      <c r="D825" s="8"/>
      <c r="E825" s="8"/>
      <c r="F825" s="8"/>
      <c r="G825" s="8"/>
      <c r="H825" s="8"/>
      <c r="I825" s="8"/>
      <c r="J825" s="8"/>
      <c r="K825" s="8"/>
      <c r="L825" s="8"/>
      <c r="M825" s="8"/>
      <c r="N825" s="8"/>
      <c r="O825" s="8"/>
      <c r="P825" s="8"/>
      <c r="Q825" s="8"/>
      <c r="R825" s="8"/>
      <c r="S825" s="8"/>
      <c r="T825" s="8"/>
      <c r="U825" s="12"/>
      <c r="V825" s="12"/>
      <c r="W825" s="12"/>
      <c r="X825" s="12"/>
      <c r="Y825" s="12"/>
      <c r="Z825" s="12"/>
      <c r="AA825" s="12"/>
      <c r="AB825" s="12"/>
      <c r="AC825" s="12"/>
      <c r="AD825" s="12"/>
      <c r="AE825" s="12"/>
      <c r="AF825" s="12"/>
    </row>
    <row r="826" spans="1:32">
      <c r="A826" s="8"/>
      <c r="B826" s="8"/>
      <c r="C826" s="8"/>
      <c r="D826" s="8"/>
      <c r="E826" s="8"/>
      <c r="F826" s="8"/>
      <c r="G826" s="8"/>
      <c r="H826" s="8"/>
      <c r="I826" s="8"/>
      <c r="J826" s="8"/>
      <c r="K826" s="8"/>
      <c r="L826" s="8"/>
      <c r="M826" s="8"/>
      <c r="N826" s="8"/>
      <c r="O826" s="8"/>
      <c r="P826" s="8"/>
      <c r="Q826" s="8"/>
      <c r="R826" s="8"/>
      <c r="S826" s="8"/>
      <c r="T826" s="8"/>
      <c r="U826" s="12"/>
      <c r="V826" s="12"/>
      <c r="W826" s="12"/>
      <c r="X826" s="12"/>
      <c r="Y826" s="12"/>
      <c r="Z826" s="12"/>
      <c r="AA826" s="12"/>
      <c r="AB826" s="12"/>
      <c r="AC826" s="12"/>
      <c r="AD826" s="12"/>
      <c r="AE826" s="12"/>
      <c r="AF826" s="12"/>
    </row>
    <row r="827" spans="1:32">
      <c r="A827" s="8"/>
      <c r="B827" s="8"/>
      <c r="C827" s="8"/>
      <c r="D827" s="8"/>
      <c r="E827" s="8"/>
      <c r="F827" s="8"/>
      <c r="G827" s="8"/>
      <c r="H827" s="8"/>
      <c r="I827" s="8"/>
      <c r="J827" s="8"/>
      <c r="K827" s="8"/>
      <c r="L827" s="8"/>
      <c r="M827" s="8"/>
      <c r="N827" s="8"/>
      <c r="O827" s="8"/>
      <c r="P827" s="8"/>
      <c r="Q827" s="8"/>
      <c r="R827" s="8"/>
      <c r="S827" s="8"/>
      <c r="T827" s="8"/>
      <c r="U827" s="12"/>
      <c r="V827" s="12"/>
      <c r="W827" s="12"/>
      <c r="X827" s="12"/>
      <c r="Y827" s="12"/>
      <c r="Z827" s="12"/>
      <c r="AA827" s="12"/>
      <c r="AB827" s="12"/>
      <c r="AC827" s="12"/>
      <c r="AD827" s="12"/>
      <c r="AE827" s="12"/>
      <c r="AF827" s="12"/>
    </row>
    <row r="828" spans="1:32">
      <c r="A828" s="8"/>
      <c r="B828" s="8"/>
      <c r="C828" s="8"/>
      <c r="D828" s="8"/>
      <c r="E828" s="8"/>
      <c r="F828" s="8"/>
      <c r="G828" s="8"/>
      <c r="H828" s="8"/>
      <c r="I828" s="8"/>
      <c r="J828" s="8"/>
      <c r="K828" s="8"/>
      <c r="L828" s="8"/>
      <c r="M828" s="8"/>
      <c r="N828" s="8"/>
      <c r="O828" s="8"/>
      <c r="P828" s="8"/>
      <c r="Q828" s="8"/>
      <c r="R828" s="8"/>
      <c r="S828" s="8"/>
      <c r="T828" s="8"/>
      <c r="U828" s="12"/>
      <c r="V828" s="12"/>
      <c r="W828" s="12"/>
      <c r="X828" s="12"/>
      <c r="Y828" s="12"/>
      <c r="Z828" s="12"/>
      <c r="AA828" s="12"/>
      <c r="AB828" s="12"/>
      <c r="AC828" s="12"/>
      <c r="AD828" s="12"/>
      <c r="AE828" s="12"/>
      <c r="AF828" s="12"/>
    </row>
    <row r="829" spans="1:32">
      <c r="A829" s="8"/>
      <c r="B829" s="8"/>
      <c r="C829" s="8"/>
      <c r="D829" s="8"/>
      <c r="E829" s="8"/>
      <c r="F829" s="8"/>
      <c r="G829" s="8"/>
      <c r="H829" s="8"/>
      <c r="I829" s="8"/>
      <c r="J829" s="8"/>
      <c r="K829" s="8"/>
      <c r="L829" s="8"/>
      <c r="M829" s="8"/>
      <c r="N829" s="8"/>
      <c r="O829" s="8"/>
      <c r="P829" s="8"/>
      <c r="Q829" s="8"/>
      <c r="R829" s="8"/>
      <c r="S829" s="8"/>
      <c r="T829" s="8"/>
      <c r="U829" s="12"/>
      <c r="V829" s="12"/>
      <c r="W829" s="12"/>
      <c r="X829" s="12"/>
      <c r="Y829" s="12"/>
      <c r="Z829" s="12"/>
      <c r="AA829" s="12"/>
      <c r="AB829" s="12"/>
      <c r="AC829" s="12"/>
      <c r="AD829" s="12"/>
      <c r="AE829" s="12"/>
      <c r="AF829" s="12"/>
    </row>
    <row r="830" spans="1:32">
      <c r="A830" s="8"/>
      <c r="B830" s="8"/>
      <c r="C830" s="8"/>
      <c r="D830" s="8"/>
      <c r="E830" s="8"/>
      <c r="F830" s="8"/>
      <c r="G830" s="8"/>
      <c r="H830" s="8"/>
      <c r="I830" s="8"/>
      <c r="J830" s="8"/>
      <c r="K830" s="8"/>
      <c r="L830" s="8"/>
      <c r="M830" s="8"/>
      <c r="N830" s="8"/>
      <c r="O830" s="8"/>
      <c r="P830" s="8"/>
      <c r="Q830" s="8"/>
      <c r="R830" s="8"/>
      <c r="S830" s="8"/>
      <c r="T830" s="8"/>
      <c r="U830" s="12"/>
      <c r="V830" s="12"/>
      <c r="W830" s="12"/>
      <c r="X830" s="12"/>
      <c r="Y830" s="12"/>
      <c r="Z830" s="12"/>
      <c r="AA830" s="12"/>
      <c r="AB830" s="12"/>
      <c r="AC830" s="12"/>
      <c r="AD830" s="12"/>
      <c r="AE830" s="12"/>
      <c r="AF830" s="12"/>
    </row>
    <row r="831" spans="1:32">
      <c r="A831" s="8"/>
      <c r="B831" s="8"/>
      <c r="C831" s="8"/>
      <c r="D831" s="8"/>
      <c r="E831" s="8"/>
      <c r="F831" s="8"/>
      <c r="G831" s="8"/>
      <c r="H831" s="8"/>
      <c r="I831" s="8"/>
      <c r="J831" s="8"/>
      <c r="K831" s="8"/>
      <c r="L831" s="8"/>
      <c r="M831" s="8"/>
      <c r="N831" s="8"/>
      <c r="O831" s="8"/>
      <c r="P831" s="8"/>
      <c r="Q831" s="8"/>
      <c r="R831" s="8"/>
      <c r="S831" s="8"/>
      <c r="T831" s="8"/>
      <c r="U831" s="12"/>
      <c r="V831" s="12"/>
      <c r="W831" s="12"/>
      <c r="X831" s="12"/>
      <c r="Y831" s="12"/>
      <c r="Z831" s="12"/>
      <c r="AA831" s="12"/>
      <c r="AB831" s="12"/>
      <c r="AC831" s="12"/>
      <c r="AD831" s="12"/>
      <c r="AE831" s="12"/>
      <c r="AF831" s="12"/>
    </row>
    <row r="832" spans="1:32">
      <c r="A832" s="8"/>
      <c r="B832" s="8"/>
      <c r="C832" s="8"/>
      <c r="D832" s="8"/>
      <c r="E832" s="8"/>
      <c r="F832" s="8"/>
      <c r="G832" s="8"/>
      <c r="H832" s="8"/>
      <c r="I832" s="8"/>
      <c r="J832" s="8"/>
      <c r="K832" s="8"/>
      <c r="L832" s="8"/>
      <c r="M832" s="8"/>
      <c r="N832" s="8"/>
      <c r="O832" s="8"/>
      <c r="P832" s="8"/>
      <c r="Q832" s="8"/>
      <c r="R832" s="8"/>
      <c r="S832" s="8"/>
      <c r="T832" s="8"/>
      <c r="U832" s="12"/>
      <c r="V832" s="12"/>
      <c r="W832" s="12"/>
      <c r="X832" s="12"/>
      <c r="Y832" s="12"/>
      <c r="Z832" s="12"/>
      <c r="AA832" s="12"/>
      <c r="AB832" s="12"/>
      <c r="AC832" s="12"/>
      <c r="AD832" s="12"/>
      <c r="AE832" s="12"/>
      <c r="AF832" s="12"/>
    </row>
    <row r="833" spans="1:32">
      <c r="A833" s="8"/>
      <c r="B833" s="8"/>
      <c r="C833" s="8"/>
      <c r="D833" s="8"/>
      <c r="E833" s="8"/>
      <c r="F833" s="8"/>
      <c r="G833" s="8"/>
      <c r="H833" s="8"/>
      <c r="I833" s="8"/>
      <c r="J833" s="8"/>
      <c r="K833" s="8"/>
      <c r="L833" s="8"/>
      <c r="M833" s="8"/>
      <c r="N833" s="8"/>
      <c r="O833" s="8"/>
      <c r="P833" s="8"/>
      <c r="Q833" s="8"/>
      <c r="R833" s="8"/>
      <c r="S833" s="8"/>
      <c r="T833" s="8"/>
      <c r="U833" s="12"/>
      <c r="V833" s="12"/>
      <c r="W833" s="12"/>
      <c r="X833" s="12"/>
      <c r="Y833" s="12"/>
      <c r="Z833" s="12"/>
      <c r="AA833" s="12"/>
      <c r="AB833" s="12"/>
      <c r="AC833" s="12"/>
      <c r="AD833" s="12"/>
      <c r="AE833" s="12"/>
      <c r="AF833" s="12"/>
    </row>
    <row r="834" spans="1:32">
      <c r="A834" s="8"/>
      <c r="B834" s="8"/>
      <c r="C834" s="8"/>
      <c r="D834" s="8"/>
      <c r="E834" s="8"/>
      <c r="F834" s="8"/>
      <c r="G834" s="8"/>
      <c r="H834" s="8"/>
      <c r="I834" s="8"/>
      <c r="J834" s="8"/>
      <c r="K834" s="8"/>
      <c r="L834" s="8"/>
      <c r="M834" s="8"/>
      <c r="N834" s="8"/>
      <c r="O834" s="8"/>
      <c r="P834" s="8"/>
      <c r="Q834" s="8"/>
      <c r="R834" s="8"/>
      <c r="S834" s="8"/>
      <c r="T834" s="8"/>
      <c r="U834" s="12"/>
      <c r="V834" s="12"/>
      <c r="W834" s="12"/>
      <c r="X834" s="12"/>
      <c r="Y834" s="12"/>
      <c r="Z834" s="12"/>
      <c r="AA834" s="12"/>
      <c r="AB834" s="12"/>
      <c r="AC834" s="12"/>
      <c r="AD834" s="12"/>
      <c r="AE834" s="12"/>
      <c r="AF834" s="12"/>
    </row>
    <row r="835" spans="1:32">
      <c r="A835" s="8"/>
      <c r="B835" s="8"/>
      <c r="C835" s="8"/>
      <c r="D835" s="8"/>
      <c r="E835" s="8"/>
      <c r="F835" s="8"/>
      <c r="G835" s="8"/>
      <c r="H835" s="8"/>
      <c r="I835" s="8"/>
      <c r="J835" s="8"/>
      <c r="K835" s="8"/>
      <c r="L835" s="8"/>
      <c r="M835" s="8"/>
      <c r="N835" s="8"/>
      <c r="O835" s="8"/>
      <c r="P835" s="8"/>
      <c r="Q835" s="8"/>
      <c r="R835" s="8"/>
      <c r="S835" s="8"/>
      <c r="T835" s="8"/>
      <c r="U835" s="12"/>
      <c r="V835" s="12"/>
      <c r="W835" s="12"/>
      <c r="X835" s="12"/>
      <c r="Y835" s="12"/>
      <c r="Z835" s="12"/>
      <c r="AA835" s="12"/>
      <c r="AB835" s="12"/>
      <c r="AC835" s="12"/>
      <c r="AD835" s="12"/>
      <c r="AE835" s="12"/>
      <c r="AF835" s="12"/>
    </row>
    <row r="836" spans="1:32">
      <c r="A836" s="8"/>
      <c r="B836" s="8"/>
      <c r="C836" s="8"/>
      <c r="D836" s="8"/>
      <c r="E836" s="8"/>
      <c r="F836" s="8"/>
      <c r="G836" s="8"/>
      <c r="H836" s="8"/>
      <c r="I836" s="8"/>
      <c r="J836" s="8"/>
      <c r="K836" s="8"/>
      <c r="L836" s="8"/>
      <c r="M836" s="8"/>
      <c r="N836" s="8"/>
      <c r="O836" s="8"/>
      <c r="P836" s="8"/>
      <c r="Q836" s="8"/>
      <c r="R836" s="8"/>
      <c r="S836" s="8"/>
      <c r="T836" s="8"/>
      <c r="U836" s="12"/>
      <c r="V836" s="12"/>
      <c r="W836" s="12"/>
      <c r="X836" s="12"/>
      <c r="Y836" s="12"/>
      <c r="Z836" s="12"/>
      <c r="AA836" s="12"/>
      <c r="AB836" s="12"/>
      <c r="AC836" s="12"/>
      <c r="AD836" s="12"/>
      <c r="AE836" s="12"/>
      <c r="AF836" s="12"/>
    </row>
    <row r="837" spans="1:32">
      <c r="A837" s="8"/>
      <c r="B837" s="8"/>
      <c r="C837" s="8"/>
      <c r="D837" s="8"/>
      <c r="E837" s="8"/>
      <c r="F837" s="8"/>
      <c r="G837" s="8"/>
      <c r="H837" s="8"/>
      <c r="I837" s="8"/>
      <c r="J837" s="8"/>
      <c r="K837" s="8"/>
      <c r="L837" s="8"/>
      <c r="M837" s="8"/>
      <c r="N837" s="8"/>
      <c r="O837" s="8"/>
      <c r="P837" s="8"/>
      <c r="Q837" s="8"/>
      <c r="R837" s="8"/>
      <c r="S837" s="8"/>
      <c r="T837" s="8"/>
      <c r="U837" s="12"/>
      <c r="V837" s="12"/>
      <c r="W837" s="12"/>
      <c r="X837" s="12"/>
      <c r="Y837" s="12"/>
      <c r="Z837" s="12"/>
      <c r="AA837" s="12"/>
      <c r="AB837" s="12"/>
      <c r="AC837" s="12"/>
      <c r="AD837" s="12"/>
      <c r="AE837" s="12"/>
      <c r="AF837" s="12"/>
    </row>
    <row r="838" spans="1:32">
      <c r="A838" s="8"/>
      <c r="B838" s="8"/>
      <c r="C838" s="8"/>
      <c r="D838" s="8"/>
      <c r="E838" s="8"/>
      <c r="F838" s="8"/>
      <c r="G838" s="8"/>
      <c r="H838" s="8"/>
      <c r="I838" s="8"/>
      <c r="J838" s="8"/>
      <c r="K838" s="8"/>
      <c r="L838" s="8"/>
      <c r="M838" s="8"/>
      <c r="N838" s="8"/>
      <c r="O838" s="8"/>
      <c r="P838" s="8"/>
      <c r="Q838" s="8"/>
      <c r="R838" s="8"/>
      <c r="S838" s="8"/>
      <c r="T838" s="8"/>
      <c r="U838" s="12"/>
      <c r="V838" s="12"/>
      <c r="W838" s="12"/>
      <c r="X838" s="12"/>
      <c r="Y838" s="12"/>
      <c r="Z838" s="12"/>
      <c r="AA838" s="12"/>
      <c r="AB838" s="12"/>
      <c r="AC838" s="12"/>
      <c r="AD838" s="12"/>
      <c r="AE838" s="12"/>
      <c r="AF838" s="12"/>
    </row>
    <row r="839" spans="1:32">
      <c r="A839" s="8"/>
      <c r="B839" s="8"/>
      <c r="C839" s="8"/>
      <c r="D839" s="8"/>
      <c r="E839" s="8"/>
      <c r="F839" s="8"/>
      <c r="G839" s="8"/>
      <c r="H839" s="8"/>
      <c r="I839" s="8"/>
      <c r="J839" s="8"/>
      <c r="K839" s="8"/>
      <c r="L839" s="8"/>
      <c r="M839" s="8"/>
      <c r="N839" s="8"/>
      <c r="O839" s="8"/>
      <c r="P839" s="8"/>
      <c r="Q839" s="8"/>
      <c r="R839" s="8"/>
      <c r="S839" s="8"/>
      <c r="T839" s="8"/>
      <c r="U839" s="12"/>
      <c r="V839" s="12"/>
      <c r="W839" s="12"/>
      <c r="X839" s="12"/>
      <c r="Y839" s="12"/>
      <c r="Z839" s="12"/>
      <c r="AA839" s="12"/>
      <c r="AB839" s="12"/>
      <c r="AC839" s="12"/>
      <c r="AD839" s="12"/>
      <c r="AE839" s="12"/>
      <c r="AF839" s="12"/>
    </row>
    <row r="840" spans="1:32">
      <c r="A840" s="8"/>
      <c r="B840" s="8"/>
      <c r="C840" s="8"/>
      <c r="D840" s="8"/>
      <c r="E840" s="8"/>
      <c r="F840" s="8"/>
      <c r="G840" s="8"/>
      <c r="H840" s="8"/>
      <c r="I840" s="8"/>
      <c r="J840" s="8"/>
      <c r="K840" s="8"/>
      <c r="L840" s="8"/>
      <c r="M840" s="8"/>
      <c r="N840" s="8"/>
      <c r="O840" s="8"/>
      <c r="P840" s="8"/>
      <c r="Q840" s="8"/>
      <c r="R840" s="8"/>
      <c r="S840" s="8"/>
      <c r="T840" s="8"/>
      <c r="U840" s="12"/>
      <c r="V840" s="12"/>
      <c r="W840" s="12"/>
      <c r="X840" s="12"/>
      <c r="Y840" s="12"/>
      <c r="Z840" s="12"/>
      <c r="AA840" s="12"/>
      <c r="AB840" s="12"/>
      <c r="AC840" s="12"/>
      <c r="AD840" s="12"/>
      <c r="AE840" s="12"/>
      <c r="AF840" s="12"/>
    </row>
    <row r="841" spans="1:32">
      <c r="A841" s="8"/>
      <c r="B841" s="8"/>
      <c r="C841" s="8"/>
      <c r="D841" s="8"/>
      <c r="E841" s="8"/>
      <c r="F841" s="8"/>
      <c r="G841" s="8"/>
      <c r="H841" s="8"/>
      <c r="I841" s="8"/>
      <c r="J841" s="8"/>
      <c r="K841" s="8"/>
      <c r="L841" s="8"/>
      <c r="M841" s="8"/>
      <c r="N841" s="8"/>
      <c r="O841" s="8"/>
      <c r="P841" s="8"/>
      <c r="Q841" s="8"/>
      <c r="R841" s="8"/>
      <c r="S841" s="8"/>
      <c r="T841" s="8"/>
      <c r="U841" s="12"/>
      <c r="V841" s="12"/>
      <c r="W841" s="12"/>
      <c r="X841" s="12"/>
      <c r="Y841" s="12"/>
      <c r="Z841" s="12"/>
      <c r="AA841" s="12"/>
      <c r="AB841" s="12"/>
      <c r="AC841" s="12"/>
      <c r="AD841" s="12"/>
      <c r="AE841" s="12"/>
      <c r="AF841" s="12"/>
    </row>
    <row r="842" spans="1:32">
      <c r="A842" s="8"/>
      <c r="B842" s="8"/>
      <c r="C842" s="8"/>
      <c r="D842" s="8"/>
      <c r="E842" s="8"/>
      <c r="F842" s="8"/>
      <c r="G842" s="8"/>
      <c r="H842" s="8"/>
      <c r="I842" s="8"/>
      <c r="J842" s="8"/>
      <c r="K842" s="8"/>
      <c r="L842" s="8"/>
      <c r="M842" s="8"/>
      <c r="N842" s="8"/>
      <c r="O842" s="8"/>
      <c r="P842" s="8"/>
      <c r="Q842" s="8"/>
      <c r="R842" s="8"/>
      <c r="S842" s="8"/>
      <c r="T842" s="8"/>
      <c r="U842" s="12"/>
      <c r="V842" s="12"/>
      <c r="W842" s="12"/>
      <c r="X842" s="12"/>
      <c r="Y842" s="12"/>
      <c r="Z842" s="12"/>
      <c r="AA842" s="12"/>
      <c r="AB842" s="12"/>
      <c r="AC842" s="12"/>
      <c r="AD842" s="12"/>
      <c r="AE842" s="12"/>
      <c r="AF842" s="12"/>
    </row>
    <row r="843" spans="1:32">
      <c r="A843" s="8"/>
      <c r="B843" s="8"/>
      <c r="C843" s="8"/>
      <c r="D843" s="8"/>
      <c r="E843" s="8"/>
      <c r="F843" s="8"/>
      <c r="G843" s="8"/>
      <c r="H843" s="8"/>
      <c r="I843" s="8"/>
      <c r="J843" s="8"/>
      <c r="K843" s="8"/>
      <c r="L843" s="8"/>
      <c r="M843" s="8"/>
      <c r="N843" s="8"/>
      <c r="O843" s="8"/>
      <c r="P843" s="8"/>
      <c r="Q843" s="8"/>
      <c r="R843" s="8"/>
      <c r="S843" s="8"/>
      <c r="T843" s="8"/>
      <c r="U843" s="12"/>
      <c r="V843" s="12"/>
      <c r="W843" s="12"/>
      <c r="X843" s="12"/>
      <c r="Y843" s="12"/>
      <c r="Z843" s="12"/>
      <c r="AA843" s="12"/>
      <c r="AB843" s="12"/>
      <c r="AC843" s="12"/>
      <c r="AD843" s="12"/>
      <c r="AE843" s="12"/>
      <c r="AF843" s="12"/>
    </row>
    <row r="844" spans="1:32">
      <c r="A844" s="8"/>
      <c r="B844" s="8"/>
      <c r="C844" s="8"/>
      <c r="D844" s="8"/>
      <c r="E844" s="8"/>
      <c r="F844" s="8"/>
      <c r="G844" s="8"/>
      <c r="H844" s="8"/>
      <c r="I844" s="8"/>
      <c r="J844" s="8"/>
      <c r="K844" s="8"/>
      <c r="L844" s="8"/>
      <c r="M844" s="8"/>
      <c r="N844" s="8"/>
      <c r="O844" s="8"/>
      <c r="P844" s="8"/>
      <c r="Q844" s="8"/>
      <c r="R844" s="8"/>
      <c r="S844" s="8"/>
      <c r="T844" s="8"/>
      <c r="U844" s="12"/>
      <c r="V844" s="12"/>
      <c r="W844" s="12"/>
      <c r="X844" s="12"/>
      <c r="Y844" s="12"/>
      <c r="Z844" s="12"/>
      <c r="AA844" s="12"/>
      <c r="AB844" s="12"/>
      <c r="AC844" s="12"/>
      <c r="AD844" s="12"/>
      <c r="AE844" s="12"/>
      <c r="AF844" s="12"/>
    </row>
    <row r="845" spans="1:32">
      <c r="A845" s="8"/>
      <c r="B845" s="8"/>
      <c r="C845" s="8"/>
      <c r="D845" s="8"/>
      <c r="E845" s="8"/>
      <c r="F845" s="8"/>
      <c r="G845" s="8"/>
      <c r="H845" s="8"/>
      <c r="I845" s="8"/>
      <c r="J845" s="8"/>
      <c r="K845" s="8"/>
      <c r="L845" s="8"/>
      <c r="M845" s="8"/>
      <c r="N845" s="8"/>
      <c r="O845" s="8"/>
      <c r="P845" s="8"/>
      <c r="Q845" s="8"/>
      <c r="R845" s="8"/>
      <c r="S845" s="8"/>
      <c r="T845" s="8"/>
      <c r="U845" s="12"/>
      <c r="V845" s="12"/>
      <c r="W845" s="12"/>
      <c r="X845" s="12"/>
      <c r="Y845" s="12"/>
      <c r="Z845" s="12"/>
      <c r="AA845" s="12"/>
      <c r="AB845" s="12"/>
      <c r="AC845" s="12"/>
      <c r="AD845" s="12"/>
      <c r="AE845" s="12"/>
      <c r="AF845" s="12"/>
    </row>
    <row r="846" spans="1:32">
      <c r="A846" s="8"/>
      <c r="B846" s="8"/>
      <c r="C846" s="8"/>
      <c r="D846" s="8"/>
      <c r="E846" s="8"/>
      <c r="F846" s="8"/>
      <c r="G846" s="8"/>
      <c r="H846" s="8"/>
      <c r="I846" s="8"/>
      <c r="J846" s="8"/>
      <c r="K846" s="8"/>
      <c r="L846" s="8"/>
      <c r="M846" s="8"/>
      <c r="N846" s="8"/>
      <c r="O846" s="8"/>
      <c r="P846" s="8"/>
      <c r="Q846" s="8"/>
      <c r="R846" s="8"/>
      <c r="S846" s="8"/>
      <c r="T846" s="8"/>
      <c r="U846" s="12"/>
      <c r="V846" s="12"/>
      <c r="W846" s="12"/>
      <c r="X846" s="12"/>
      <c r="Y846" s="12"/>
      <c r="Z846" s="12"/>
      <c r="AA846" s="12"/>
      <c r="AB846" s="12"/>
      <c r="AC846" s="12"/>
      <c r="AD846" s="12"/>
      <c r="AE846" s="12"/>
      <c r="AF846" s="12"/>
    </row>
    <row r="847" spans="1:32">
      <c r="A847" s="8"/>
      <c r="B847" s="8"/>
      <c r="C847" s="8"/>
      <c r="D847" s="8"/>
      <c r="E847" s="8"/>
      <c r="F847" s="8"/>
      <c r="G847" s="8"/>
      <c r="H847" s="8"/>
      <c r="I847" s="8"/>
      <c r="J847" s="8"/>
      <c r="K847" s="8"/>
      <c r="L847" s="8"/>
      <c r="M847" s="8"/>
      <c r="N847" s="8"/>
      <c r="O847" s="8"/>
      <c r="P847" s="8"/>
      <c r="Q847" s="8"/>
      <c r="R847" s="8"/>
      <c r="S847" s="8"/>
      <c r="T847" s="8"/>
      <c r="U847" s="12"/>
      <c r="V847" s="12"/>
      <c r="W847" s="12"/>
      <c r="X847" s="12"/>
      <c r="Y847" s="12"/>
      <c r="Z847" s="12"/>
      <c r="AA847" s="12"/>
      <c r="AB847" s="12"/>
      <c r="AC847" s="12"/>
      <c r="AD847" s="12"/>
      <c r="AE847" s="12"/>
      <c r="AF847" s="12"/>
    </row>
    <row r="848" spans="1:32">
      <c r="A848" s="8"/>
      <c r="B848" s="8"/>
      <c r="C848" s="8"/>
      <c r="D848" s="8"/>
      <c r="E848" s="8"/>
      <c r="F848" s="8"/>
      <c r="G848" s="8"/>
      <c r="H848" s="8"/>
      <c r="I848" s="8"/>
      <c r="J848" s="8"/>
      <c r="K848" s="8"/>
      <c r="L848" s="8"/>
      <c r="M848" s="8"/>
      <c r="N848" s="8"/>
      <c r="O848" s="8"/>
      <c r="P848" s="8"/>
      <c r="Q848" s="8"/>
      <c r="R848" s="8"/>
      <c r="S848" s="8"/>
      <c r="T848" s="8"/>
      <c r="U848" s="12"/>
      <c r="V848" s="12"/>
      <c r="W848" s="12"/>
      <c r="X848" s="12"/>
      <c r="Y848" s="12"/>
      <c r="Z848" s="12"/>
      <c r="AA848" s="12"/>
      <c r="AB848" s="12"/>
      <c r="AC848" s="12"/>
      <c r="AD848" s="12"/>
      <c r="AE848" s="12"/>
      <c r="AF848" s="12"/>
    </row>
    <row r="849" spans="1:32">
      <c r="A849" s="8"/>
      <c r="B849" s="8"/>
      <c r="C849" s="8"/>
      <c r="D849" s="8"/>
      <c r="E849" s="8"/>
      <c r="F849" s="8"/>
      <c r="G849" s="8"/>
      <c r="H849" s="8"/>
      <c r="I849" s="8"/>
      <c r="J849" s="8"/>
      <c r="K849" s="8"/>
      <c r="L849" s="8"/>
      <c r="M849" s="8"/>
      <c r="N849" s="8"/>
      <c r="O849" s="8"/>
      <c r="P849" s="8"/>
      <c r="Q849" s="8"/>
      <c r="R849" s="8"/>
      <c r="S849" s="8"/>
      <c r="T849" s="8"/>
      <c r="U849" s="12"/>
      <c r="V849" s="12"/>
      <c r="W849" s="12"/>
      <c r="X849" s="12"/>
      <c r="Y849" s="12"/>
      <c r="Z849" s="12"/>
      <c r="AA849" s="12"/>
      <c r="AB849" s="12"/>
      <c r="AC849" s="12"/>
      <c r="AD849" s="12"/>
      <c r="AE849" s="12"/>
      <c r="AF849" s="12"/>
    </row>
    <row r="850" spans="1:32">
      <c r="A850" s="8"/>
      <c r="B850" s="8"/>
      <c r="C850" s="8"/>
      <c r="D850" s="8"/>
      <c r="E850" s="8"/>
      <c r="F850" s="8"/>
      <c r="G850" s="8"/>
      <c r="H850" s="8"/>
      <c r="I850" s="8"/>
      <c r="J850" s="8"/>
      <c r="K850" s="8"/>
      <c r="L850" s="8"/>
      <c r="M850" s="8"/>
      <c r="N850" s="8"/>
      <c r="O850" s="8"/>
      <c r="P850" s="8"/>
      <c r="Q850" s="8"/>
      <c r="R850" s="8"/>
      <c r="S850" s="8"/>
      <c r="T850" s="8"/>
      <c r="U850" s="12"/>
      <c r="V850" s="12"/>
      <c r="W850" s="12"/>
      <c r="X850" s="12"/>
      <c r="Y850" s="12"/>
      <c r="Z850" s="12"/>
      <c r="AA850" s="12"/>
      <c r="AB850" s="12"/>
      <c r="AC850" s="12"/>
      <c r="AD850" s="12"/>
      <c r="AE850" s="12"/>
      <c r="AF850" s="12"/>
    </row>
    <row r="851" spans="1:32">
      <c r="A851" s="8"/>
      <c r="B851" s="8"/>
      <c r="C851" s="8"/>
      <c r="D851" s="8"/>
      <c r="E851" s="8"/>
      <c r="F851" s="8"/>
      <c r="G851" s="8"/>
      <c r="H851" s="8"/>
      <c r="I851" s="8"/>
      <c r="J851" s="8"/>
      <c r="K851" s="8"/>
      <c r="L851" s="8"/>
      <c r="M851" s="8"/>
      <c r="N851" s="8"/>
      <c r="O851" s="8"/>
      <c r="P851" s="8"/>
      <c r="Q851" s="8"/>
      <c r="R851" s="8"/>
      <c r="S851" s="8"/>
      <c r="T851" s="8"/>
      <c r="U851" s="12"/>
      <c r="V851" s="12"/>
      <c r="W851" s="12"/>
      <c r="X851" s="12"/>
      <c r="Y851" s="12"/>
      <c r="Z851" s="12"/>
      <c r="AA851" s="12"/>
      <c r="AB851" s="12"/>
      <c r="AC851" s="12"/>
      <c r="AD851" s="12"/>
      <c r="AE851" s="12"/>
      <c r="AF851" s="12"/>
    </row>
    <row r="852" spans="1:32">
      <c r="A852" s="8"/>
      <c r="B852" s="8"/>
      <c r="C852" s="8"/>
      <c r="D852" s="8"/>
      <c r="E852" s="8"/>
      <c r="F852" s="8"/>
      <c r="G852" s="8"/>
      <c r="H852" s="8"/>
      <c r="I852" s="8"/>
      <c r="J852" s="8"/>
      <c r="K852" s="8"/>
      <c r="L852" s="8"/>
      <c r="M852" s="8"/>
      <c r="N852" s="8"/>
      <c r="O852" s="8"/>
      <c r="P852" s="8"/>
      <c r="Q852" s="8"/>
      <c r="R852" s="8"/>
      <c r="S852" s="8"/>
      <c r="T852" s="8"/>
      <c r="U852" s="12"/>
      <c r="V852" s="12"/>
      <c r="W852" s="12"/>
      <c r="X852" s="12"/>
      <c r="Y852" s="12"/>
      <c r="Z852" s="12"/>
      <c r="AA852" s="12"/>
      <c r="AB852" s="12"/>
      <c r="AC852" s="12"/>
      <c r="AD852" s="12"/>
      <c r="AE852" s="12"/>
      <c r="AF852" s="12"/>
    </row>
    <row r="853" spans="1:32">
      <c r="A853" s="8"/>
      <c r="B853" s="8"/>
      <c r="C853" s="8"/>
      <c r="D853" s="8"/>
      <c r="E853" s="8"/>
      <c r="F853" s="8"/>
      <c r="G853" s="8"/>
      <c r="H853" s="8"/>
      <c r="I853" s="8"/>
      <c r="J853" s="8"/>
      <c r="K853" s="8"/>
      <c r="L853" s="8"/>
      <c r="M853" s="8"/>
      <c r="N853" s="8"/>
      <c r="O853" s="8"/>
      <c r="P853" s="8"/>
      <c r="Q853" s="8"/>
      <c r="R853" s="8"/>
      <c r="S853" s="8"/>
      <c r="T853" s="8"/>
      <c r="U853" s="12"/>
      <c r="V853" s="12"/>
      <c r="W853" s="12"/>
      <c r="X853" s="12"/>
      <c r="Y853" s="12"/>
      <c r="Z853" s="12"/>
      <c r="AA853" s="12"/>
      <c r="AB853" s="12"/>
      <c r="AC853" s="12"/>
      <c r="AD853" s="12"/>
      <c r="AE853" s="12"/>
      <c r="AF853" s="12"/>
    </row>
    <row r="854" spans="1:32">
      <c r="A854" s="8"/>
      <c r="B854" s="8"/>
      <c r="C854" s="8"/>
      <c r="D854" s="8"/>
      <c r="E854" s="8"/>
      <c r="F854" s="8"/>
      <c r="G854" s="8"/>
      <c r="H854" s="8"/>
      <c r="I854" s="8"/>
      <c r="J854" s="8"/>
      <c r="K854" s="8"/>
      <c r="L854" s="8"/>
      <c r="M854" s="8"/>
      <c r="N854" s="8"/>
      <c r="O854" s="8"/>
      <c r="P854" s="8"/>
      <c r="Q854" s="8"/>
      <c r="R854" s="8"/>
      <c r="S854" s="8"/>
      <c r="T854" s="8"/>
      <c r="U854" s="12"/>
      <c r="V854" s="12"/>
      <c r="W854" s="12"/>
      <c r="X854" s="12"/>
      <c r="Y854" s="12"/>
      <c r="Z854" s="12"/>
      <c r="AA854" s="12"/>
      <c r="AB854" s="12"/>
      <c r="AC854" s="12"/>
      <c r="AD854" s="12"/>
      <c r="AE854" s="12"/>
      <c r="AF854" s="12"/>
    </row>
    <row r="855" spans="1:32">
      <c r="A855" s="8"/>
      <c r="B855" s="8"/>
      <c r="C855" s="8"/>
      <c r="D855" s="8"/>
      <c r="E855" s="8"/>
      <c r="F855" s="8"/>
      <c r="G855" s="8"/>
      <c r="H855" s="8"/>
      <c r="I855" s="8"/>
      <c r="J855" s="8"/>
      <c r="K855" s="8"/>
      <c r="L855" s="8"/>
      <c r="M855" s="8"/>
      <c r="N855" s="8"/>
      <c r="O855" s="8"/>
      <c r="P855" s="8"/>
      <c r="Q855" s="8"/>
      <c r="R855" s="8"/>
      <c r="S855" s="8"/>
      <c r="T855" s="8"/>
      <c r="U855" s="12"/>
      <c r="V855" s="12"/>
      <c r="W855" s="12"/>
      <c r="X855" s="12"/>
      <c r="Y855" s="12"/>
      <c r="Z855" s="12"/>
      <c r="AA855" s="12"/>
      <c r="AB855" s="12"/>
      <c r="AC855" s="12"/>
      <c r="AD855" s="12"/>
      <c r="AE855" s="12"/>
      <c r="AF855" s="12"/>
    </row>
    <row r="856" spans="1:32">
      <c r="A856" s="8"/>
      <c r="B856" s="8"/>
      <c r="C856" s="8"/>
      <c r="D856" s="8"/>
      <c r="E856" s="8"/>
      <c r="F856" s="8"/>
      <c r="G856" s="8"/>
      <c r="H856" s="8"/>
      <c r="I856" s="8"/>
      <c r="J856" s="8"/>
      <c r="K856" s="8"/>
      <c r="L856" s="8"/>
      <c r="M856" s="8"/>
      <c r="N856" s="8"/>
      <c r="O856" s="8"/>
      <c r="P856" s="8"/>
      <c r="Q856" s="8"/>
      <c r="R856" s="8"/>
      <c r="S856" s="8"/>
      <c r="T856" s="8"/>
      <c r="U856" s="12"/>
      <c r="V856" s="12"/>
      <c r="W856" s="12"/>
      <c r="X856" s="12"/>
      <c r="Y856" s="12"/>
      <c r="Z856" s="12"/>
      <c r="AA856" s="12"/>
      <c r="AB856" s="12"/>
      <c r="AC856" s="12"/>
      <c r="AD856" s="12"/>
      <c r="AE856" s="12"/>
      <c r="AF856" s="12"/>
    </row>
    <row r="857" spans="1:32">
      <c r="A857" s="8"/>
      <c r="B857" s="8"/>
      <c r="C857" s="8"/>
      <c r="D857" s="8"/>
      <c r="E857" s="8"/>
      <c r="F857" s="8"/>
      <c r="G857" s="8"/>
      <c r="H857" s="8"/>
      <c r="I857" s="8"/>
      <c r="J857" s="8"/>
      <c r="K857" s="8"/>
      <c r="L857" s="8"/>
      <c r="M857" s="8"/>
      <c r="N857" s="8"/>
      <c r="O857" s="8"/>
      <c r="P857" s="8"/>
      <c r="Q857" s="8"/>
      <c r="R857" s="8"/>
      <c r="S857" s="8"/>
      <c r="T857" s="8"/>
      <c r="U857" s="12"/>
      <c r="V857" s="12"/>
      <c r="W857" s="12"/>
      <c r="X857" s="12"/>
      <c r="Y857" s="12"/>
      <c r="Z857" s="12"/>
      <c r="AA857" s="12"/>
      <c r="AB857" s="12"/>
      <c r="AC857" s="12"/>
      <c r="AD857" s="12"/>
      <c r="AE857" s="12"/>
      <c r="AF857" s="12"/>
    </row>
    <row r="858" spans="1:32">
      <c r="A858" s="8"/>
      <c r="B858" s="8"/>
      <c r="C858" s="8"/>
      <c r="D858" s="8"/>
      <c r="E858" s="8"/>
      <c r="F858" s="8"/>
      <c r="G858" s="8"/>
      <c r="H858" s="8"/>
      <c r="I858" s="8"/>
      <c r="J858" s="8"/>
      <c r="K858" s="8"/>
      <c r="L858" s="8"/>
      <c r="M858" s="8"/>
      <c r="N858" s="8"/>
      <c r="O858" s="8"/>
      <c r="P858" s="8"/>
      <c r="Q858" s="8"/>
      <c r="R858" s="8"/>
      <c r="S858" s="8"/>
      <c r="T858" s="8"/>
      <c r="U858" s="12"/>
      <c r="V858" s="12"/>
      <c r="W858" s="12"/>
      <c r="X858" s="12"/>
      <c r="Y858" s="12"/>
      <c r="Z858" s="12"/>
      <c r="AA858" s="12"/>
      <c r="AB858" s="12"/>
      <c r="AC858" s="12"/>
      <c r="AD858" s="12"/>
      <c r="AE858" s="12"/>
      <c r="AF858" s="12"/>
    </row>
    <row r="859" spans="1:32">
      <c r="A859" s="8"/>
      <c r="B859" s="8"/>
      <c r="C859" s="8"/>
      <c r="D859" s="8"/>
      <c r="E859" s="8"/>
      <c r="F859" s="8"/>
      <c r="G859" s="8"/>
      <c r="H859" s="8"/>
      <c r="I859" s="8"/>
      <c r="J859" s="8"/>
      <c r="K859" s="8"/>
      <c r="L859" s="8"/>
      <c r="M859" s="8"/>
      <c r="N859" s="8"/>
      <c r="O859" s="8"/>
      <c r="P859" s="8"/>
      <c r="Q859" s="8"/>
      <c r="R859" s="8"/>
      <c r="S859" s="8"/>
      <c r="T859" s="8"/>
      <c r="U859" s="12"/>
      <c r="V859" s="12"/>
      <c r="W859" s="12"/>
      <c r="X859" s="12"/>
      <c r="Y859" s="12"/>
      <c r="Z859" s="12"/>
      <c r="AA859" s="12"/>
      <c r="AB859" s="12"/>
      <c r="AC859" s="12"/>
      <c r="AD859" s="12"/>
      <c r="AE859" s="12"/>
      <c r="AF859" s="12"/>
    </row>
    <row r="860" spans="1:32">
      <c r="A860" s="8"/>
      <c r="B860" s="8"/>
      <c r="C860" s="8"/>
      <c r="D860" s="8"/>
      <c r="E860" s="8"/>
      <c r="F860" s="8"/>
      <c r="G860" s="8"/>
      <c r="H860" s="8"/>
      <c r="I860" s="8"/>
      <c r="J860" s="8"/>
      <c r="K860" s="8"/>
      <c r="L860" s="8"/>
      <c r="M860" s="8"/>
      <c r="N860" s="8"/>
      <c r="O860" s="8"/>
      <c r="P860" s="8"/>
      <c r="Q860" s="8"/>
      <c r="R860" s="8"/>
      <c r="S860" s="8"/>
      <c r="T860" s="8"/>
      <c r="U860" s="12"/>
      <c r="V860" s="12"/>
      <c r="W860" s="12"/>
      <c r="X860" s="12"/>
      <c r="Y860" s="12"/>
      <c r="Z860" s="12"/>
      <c r="AA860" s="12"/>
      <c r="AB860" s="12"/>
      <c r="AC860" s="12"/>
      <c r="AD860" s="12"/>
      <c r="AE860" s="12"/>
      <c r="AF860" s="12"/>
    </row>
    <row r="861" spans="1:32">
      <c r="A861" s="8"/>
      <c r="B861" s="8"/>
      <c r="C861" s="8"/>
      <c r="D861" s="8"/>
      <c r="E861" s="8"/>
      <c r="F861" s="8"/>
      <c r="G861" s="8"/>
      <c r="H861" s="8"/>
      <c r="I861" s="8"/>
      <c r="J861" s="8"/>
      <c r="K861" s="8"/>
      <c r="L861" s="8"/>
      <c r="M861" s="8"/>
      <c r="N861" s="8"/>
      <c r="O861" s="8"/>
      <c r="P861" s="8"/>
      <c r="Q861" s="8"/>
      <c r="R861" s="8"/>
      <c r="S861" s="8"/>
      <c r="T861" s="8"/>
      <c r="U861" s="12"/>
      <c r="V861" s="12"/>
      <c r="W861" s="12"/>
      <c r="X861" s="12"/>
      <c r="Y861" s="12"/>
      <c r="Z861" s="12"/>
      <c r="AA861" s="12"/>
      <c r="AB861" s="12"/>
      <c r="AC861" s="12"/>
      <c r="AD861" s="12"/>
      <c r="AE861" s="12"/>
      <c r="AF861" s="12"/>
    </row>
    <row r="862" spans="1:32">
      <c r="A862" s="8"/>
      <c r="B862" s="8"/>
      <c r="C862" s="8"/>
      <c r="D862" s="8"/>
      <c r="E862" s="8"/>
      <c r="F862" s="8"/>
      <c r="G862" s="8"/>
      <c r="H862" s="8"/>
      <c r="I862" s="8"/>
      <c r="J862" s="8"/>
      <c r="K862" s="8"/>
      <c r="L862" s="8"/>
      <c r="M862" s="8"/>
      <c r="N862" s="8"/>
      <c r="O862" s="8"/>
      <c r="P862" s="8"/>
      <c r="Q862" s="8"/>
      <c r="R862" s="8"/>
      <c r="S862" s="8"/>
      <c r="T862" s="8"/>
      <c r="U862" s="12"/>
      <c r="V862" s="12"/>
      <c r="W862" s="12"/>
      <c r="X862" s="12"/>
      <c r="Y862" s="12"/>
      <c r="Z862" s="12"/>
      <c r="AA862" s="12"/>
      <c r="AB862" s="12"/>
      <c r="AC862" s="12"/>
      <c r="AD862" s="12"/>
      <c r="AE862" s="12"/>
      <c r="AF862" s="12"/>
    </row>
    <row r="863" spans="1:32">
      <c r="A863" s="8"/>
      <c r="B863" s="8"/>
      <c r="C863" s="8"/>
      <c r="D863" s="8"/>
      <c r="E863" s="8"/>
      <c r="F863" s="8"/>
      <c r="G863" s="8"/>
      <c r="H863" s="8"/>
      <c r="I863" s="8"/>
      <c r="J863" s="8"/>
      <c r="K863" s="8"/>
      <c r="L863" s="8"/>
      <c r="M863" s="8"/>
      <c r="N863" s="8"/>
      <c r="O863" s="8"/>
      <c r="P863" s="8"/>
      <c r="Q863" s="8"/>
      <c r="R863" s="8"/>
      <c r="S863" s="8"/>
      <c r="T863" s="8"/>
      <c r="U863" s="12"/>
      <c r="V863" s="12"/>
      <c r="W863" s="12"/>
      <c r="X863" s="12"/>
      <c r="Y863" s="12"/>
      <c r="Z863" s="12"/>
      <c r="AA863" s="12"/>
      <c r="AB863" s="12"/>
      <c r="AC863" s="12"/>
      <c r="AD863" s="12"/>
      <c r="AE863" s="12"/>
      <c r="AF863" s="12"/>
    </row>
    <row r="864" spans="1:32">
      <c r="A864" s="8"/>
      <c r="B864" s="8"/>
      <c r="C864" s="8"/>
      <c r="D864" s="8"/>
      <c r="E864" s="8"/>
      <c r="F864" s="8"/>
      <c r="G864" s="8"/>
      <c r="H864" s="8"/>
      <c r="I864" s="8"/>
      <c r="J864" s="8"/>
      <c r="K864" s="8"/>
      <c r="L864" s="8"/>
      <c r="M864" s="8"/>
      <c r="N864" s="8"/>
      <c r="O864" s="8"/>
      <c r="P864" s="8"/>
      <c r="Q864" s="8"/>
      <c r="R864" s="8"/>
      <c r="S864" s="8"/>
      <c r="T864" s="8"/>
      <c r="U864" s="12"/>
      <c r="V864" s="12"/>
      <c r="W864" s="12"/>
      <c r="X864" s="12"/>
      <c r="Y864" s="12"/>
      <c r="Z864" s="12"/>
      <c r="AA864" s="12"/>
      <c r="AB864" s="12"/>
      <c r="AC864" s="12"/>
      <c r="AD864" s="12"/>
      <c r="AE864" s="12"/>
      <c r="AF864" s="12"/>
    </row>
    <row r="865" spans="1:32">
      <c r="A865" s="8"/>
      <c r="B865" s="8"/>
      <c r="C865" s="8"/>
      <c r="D865" s="8"/>
      <c r="E865" s="8"/>
      <c r="F865" s="8"/>
      <c r="G865" s="8"/>
      <c r="H865" s="8"/>
      <c r="I865" s="8"/>
      <c r="J865" s="8"/>
      <c r="K865" s="8"/>
      <c r="L865" s="8"/>
      <c r="M865" s="8"/>
      <c r="N865" s="8"/>
      <c r="O865" s="8"/>
      <c r="P865" s="8"/>
      <c r="Q865" s="8"/>
      <c r="R865" s="8"/>
      <c r="S865" s="8"/>
      <c r="T865" s="8"/>
      <c r="U865" s="12"/>
      <c r="V865" s="12"/>
      <c r="W865" s="12"/>
      <c r="X865" s="12"/>
      <c r="Y865" s="12"/>
      <c r="Z865" s="12"/>
      <c r="AA865" s="12"/>
      <c r="AB865" s="12"/>
      <c r="AC865" s="12"/>
      <c r="AD865" s="12"/>
      <c r="AE865" s="12"/>
      <c r="AF865" s="12"/>
    </row>
    <row r="866" spans="1:32">
      <c r="A866" s="8"/>
      <c r="B866" s="8"/>
      <c r="C866" s="8"/>
      <c r="D866" s="8"/>
      <c r="E866" s="8"/>
      <c r="F866" s="8"/>
      <c r="G866" s="8"/>
      <c r="H866" s="8"/>
      <c r="I866" s="8"/>
      <c r="J866" s="8"/>
      <c r="K866" s="8"/>
      <c r="L866" s="8"/>
      <c r="M866" s="8"/>
      <c r="N866" s="8"/>
      <c r="O866" s="8"/>
      <c r="P866" s="8"/>
      <c r="Q866" s="8"/>
      <c r="R866" s="8"/>
      <c r="S866" s="8"/>
      <c r="T866" s="8"/>
      <c r="U866" s="12"/>
      <c r="V866" s="12"/>
      <c r="W866" s="12"/>
      <c r="X866" s="12"/>
      <c r="Y866" s="12"/>
      <c r="Z866" s="12"/>
      <c r="AA866" s="12"/>
      <c r="AB866" s="12"/>
      <c r="AC866" s="12"/>
      <c r="AD866" s="12"/>
      <c r="AE866" s="12"/>
      <c r="AF866" s="12"/>
    </row>
    <row r="867" spans="1:32">
      <c r="A867" s="8"/>
      <c r="B867" s="8"/>
      <c r="C867" s="8"/>
      <c r="D867" s="8"/>
      <c r="E867" s="8"/>
      <c r="F867" s="8"/>
      <c r="G867" s="8"/>
      <c r="H867" s="8"/>
      <c r="I867" s="8"/>
      <c r="J867" s="8"/>
      <c r="K867" s="8"/>
      <c r="L867" s="8"/>
      <c r="M867" s="8"/>
      <c r="N867" s="8"/>
      <c r="O867" s="8"/>
      <c r="P867" s="8"/>
      <c r="Q867" s="8"/>
      <c r="R867" s="8"/>
      <c r="S867" s="8"/>
      <c r="T867" s="8"/>
      <c r="U867" s="12"/>
      <c r="V867" s="12"/>
      <c r="W867" s="12"/>
      <c r="X867" s="12"/>
      <c r="Y867" s="12"/>
      <c r="Z867" s="12"/>
      <c r="AA867" s="12"/>
      <c r="AB867" s="12"/>
      <c r="AC867" s="12"/>
      <c r="AD867" s="12"/>
      <c r="AE867" s="12"/>
      <c r="AF867" s="12"/>
    </row>
    <row r="868" spans="1:32">
      <c r="A868" s="8"/>
      <c r="B868" s="8"/>
      <c r="C868" s="8"/>
      <c r="D868" s="8"/>
      <c r="E868" s="8"/>
      <c r="F868" s="8"/>
      <c r="G868" s="8"/>
      <c r="H868" s="8"/>
      <c r="I868" s="8"/>
      <c r="J868" s="8"/>
      <c r="K868" s="8"/>
      <c r="L868" s="8"/>
      <c r="M868" s="8"/>
      <c r="N868" s="8"/>
      <c r="O868" s="8"/>
      <c r="P868" s="8"/>
      <c r="Q868" s="8"/>
      <c r="R868" s="8"/>
      <c r="S868" s="8"/>
      <c r="T868" s="8"/>
      <c r="U868" s="12"/>
      <c r="V868" s="12"/>
      <c r="W868" s="12"/>
      <c r="X868" s="12"/>
      <c r="Y868" s="12"/>
      <c r="Z868" s="12"/>
      <c r="AA868" s="12"/>
      <c r="AB868" s="12"/>
      <c r="AC868" s="12"/>
      <c r="AD868" s="12"/>
      <c r="AE868" s="12"/>
      <c r="AF868" s="12"/>
    </row>
    <row r="869" spans="1:32">
      <c r="A869" s="8"/>
      <c r="B869" s="8"/>
      <c r="C869" s="8"/>
      <c r="D869" s="8"/>
      <c r="E869" s="8"/>
      <c r="F869" s="8"/>
      <c r="G869" s="8"/>
      <c r="H869" s="8"/>
      <c r="I869" s="8"/>
      <c r="J869" s="8"/>
      <c r="K869" s="8"/>
      <c r="L869" s="8"/>
      <c r="M869" s="8"/>
      <c r="N869" s="8"/>
      <c r="O869" s="8"/>
      <c r="P869" s="8"/>
      <c r="Q869" s="8"/>
      <c r="R869" s="8"/>
      <c r="S869" s="8"/>
      <c r="T869" s="8"/>
      <c r="U869" s="12"/>
      <c r="V869" s="12"/>
      <c r="W869" s="12"/>
      <c r="X869" s="12"/>
      <c r="Y869" s="12"/>
      <c r="Z869" s="12"/>
      <c r="AA869" s="12"/>
      <c r="AB869" s="12"/>
      <c r="AC869" s="12"/>
      <c r="AD869" s="12"/>
      <c r="AE869" s="12"/>
      <c r="AF869" s="12"/>
    </row>
    <row r="870" spans="1:32">
      <c r="A870" s="8"/>
      <c r="B870" s="8"/>
      <c r="C870" s="8"/>
      <c r="D870" s="8"/>
      <c r="E870" s="8"/>
      <c r="F870" s="8"/>
      <c r="G870" s="8"/>
      <c r="H870" s="8"/>
      <c r="I870" s="8"/>
      <c r="J870" s="8"/>
      <c r="K870" s="8"/>
      <c r="L870" s="8"/>
      <c r="M870" s="8"/>
      <c r="N870" s="8"/>
      <c r="O870" s="8"/>
      <c r="P870" s="8"/>
      <c r="Q870" s="8"/>
      <c r="R870" s="8"/>
      <c r="S870" s="8"/>
      <c r="T870" s="8"/>
      <c r="U870" s="12"/>
      <c r="V870" s="12"/>
      <c r="W870" s="12"/>
      <c r="X870" s="12"/>
      <c r="Y870" s="12"/>
      <c r="Z870" s="12"/>
      <c r="AA870" s="12"/>
      <c r="AB870" s="12"/>
      <c r="AC870" s="12"/>
      <c r="AD870" s="12"/>
      <c r="AE870" s="12"/>
      <c r="AF870" s="12"/>
    </row>
    <row r="871" spans="1:32">
      <c r="A871" s="8"/>
      <c r="B871" s="8"/>
      <c r="C871" s="8"/>
      <c r="D871" s="8"/>
      <c r="E871" s="8"/>
      <c r="F871" s="8"/>
      <c r="G871" s="8"/>
      <c r="H871" s="8"/>
      <c r="I871" s="8"/>
      <c r="J871" s="8"/>
      <c r="K871" s="8"/>
      <c r="L871" s="8"/>
      <c r="M871" s="8"/>
      <c r="N871" s="8"/>
      <c r="O871" s="8"/>
      <c r="P871" s="8"/>
      <c r="Q871" s="8"/>
      <c r="R871" s="8"/>
      <c r="S871" s="8"/>
      <c r="T871" s="8"/>
      <c r="U871" s="12"/>
      <c r="V871" s="12"/>
      <c r="W871" s="12"/>
      <c r="X871" s="12"/>
      <c r="Y871" s="12"/>
      <c r="Z871" s="12"/>
      <c r="AA871" s="12"/>
      <c r="AB871" s="12"/>
      <c r="AC871" s="12"/>
      <c r="AD871" s="12"/>
      <c r="AE871" s="12"/>
      <c r="AF871" s="12"/>
    </row>
    <row r="872" spans="1:32">
      <c r="A872" s="8"/>
      <c r="B872" s="8"/>
      <c r="C872" s="8"/>
      <c r="D872" s="8"/>
      <c r="E872" s="8"/>
      <c r="F872" s="8"/>
      <c r="G872" s="8"/>
      <c r="H872" s="8"/>
      <c r="I872" s="8"/>
      <c r="J872" s="8"/>
      <c r="K872" s="8"/>
      <c r="L872" s="8"/>
      <c r="M872" s="8"/>
      <c r="N872" s="8"/>
      <c r="O872" s="8"/>
      <c r="P872" s="8"/>
      <c r="Q872" s="8"/>
      <c r="R872" s="8"/>
      <c r="S872" s="8"/>
      <c r="T872" s="8"/>
      <c r="U872" s="12"/>
      <c r="V872" s="12"/>
      <c r="W872" s="12"/>
      <c r="X872" s="12"/>
      <c r="Y872" s="12"/>
      <c r="Z872" s="12"/>
      <c r="AA872" s="12"/>
      <c r="AB872" s="12"/>
      <c r="AC872" s="12"/>
      <c r="AD872" s="12"/>
      <c r="AE872" s="12"/>
      <c r="AF872" s="12"/>
    </row>
    <row r="873" spans="1:32">
      <c r="A873" s="8"/>
      <c r="B873" s="8"/>
      <c r="C873" s="8"/>
      <c r="D873" s="8"/>
      <c r="E873" s="8"/>
      <c r="F873" s="8"/>
      <c r="G873" s="8"/>
      <c r="H873" s="8"/>
      <c r="I873" s="8"/>
      <c r="J873" s="8"/>
      <c r="K873" s="8"/>
      <c r="L873" s="8"/>
      <c r="M873" s="8"/>
      <c r="N873" s="8"/>
      <c r="O873" s="8"/>
      <c r="P873" s="8"/>
      <c r="Q873" s="8"/>
      <c r="R873" s="8"/>
      <c r="S873" s="8"/>
      <c r="T873" s="8"/>
      <c r="U873" s="12"/>
      <c r="V873" s="12"/>
      <c r="W873" s="12"/>
      <c r="X873" s="12"/>
      <c r="Y873" s="12"/>
      <c r="Z873" s="12"/>
      <c r="AA873" s="12"/>
      <c r="AB873" s="12"/>
      <c r="AC873" s="12"/>
      <c r="AD873" s="12"/>
      <c r="AE873" s="12"/>
      <c r="AF873" s="12"/>
    </row>
    <row r="874" spans="1:32">
      <c r="A874" s="8"/>
      <c r="B874" s="8"/>
      <c r="C874" s="8"/>
      <c r="D874" s="8"/>
      <c r="E874" s="8"/>
      <c r="F874" s="8"/>
      <c r="G874" s="8"/>
      <c r="H874" s="8"/>
      <c r="I874" s="8"/>
      <c r="J874" s="8"/>
      <c r="K874" s="8"/>
      <c r="L874" s="8"/>
      <c r="M874" s="8"/>
      <c r="N874" s="8"/>
      <c r="O874" s="8"/>
      <c r="P874" s="8"/>
      <c r="Q874" s="8"/>
      <c r="R874" s="8"/>
      <c r="S874" s="8"/>
      <c r="T874" s="8"/>
      <c r="U874" s="12"/>
      <c r="V874" s="12"/>
      <c r="W874" s="12"/>
      <c r="X874" s="12"/>
      <c r="Y874" s="12"/>
      <c r="Z874" s="12"/>
      <c r="AA874" s="12"/>
      <c r="AB874" s="12"/>
      <c r="AC874" s="12"/>
      <c r="AD874" s="12"/>
      <c r="AE874" s="12"/>
      <c r="AF874" s="12"/>
    </row>
    <row r="875" spans="1:32">
      <c r="A875" s="8"/>
      <c r="B875" s="8"/>
      <c r="C875" s="8"/>
      <c r="D875" s="8"/>
      <c r="E875" s="8"/>
      <c r="F875" s="8"/>
      <c r="G875" s="8"/>
      <c r="H875" s="8"/>
      <c r="I875" s="8"/>
      <c r="J875" s="8"/>
      <c r="K875" s="8"/>
      <c r="L875" s="8"/>
      <c r="M875" s="8"/>
      <c r="N875" s="8"/>
      <c r="O875" s="8"/>
      <c r="P875" s="8"/>
      <c r="Q875" s="8"/>
      <c r="R875" s="8"/>
      <c r="S875" s="8"/>
      <c r="T875" s="8"/>
      <c r="U875" s="12"/>
      <c r="V875" s="12"/>
      <c r="W875" s="12"/>
      <c r="X875" s="12"/>
      <c r="Y875" s="12"/>
      <c r="Z875" s="12"/>
      <c r="AA875" s="12"/>
      <c r="AB875" s="12"/>
      <c r="AC875" s="12"/>
      <c r="AD875" s="12"/>
      <c r="AE875" s="12"/>
      <c r="AF875" s="12"/>
    </row>
    <row r="876" spans="1:32">
      <c r="A876" s="8"/>
      <c r="B876" s="8"/>
      <c r="C876" s="8"/>
      <c r="D876" s="8"/>
      <c r="E876" s="8"/>
      <c r="F876" s="8"/>
      <c r="G876" s="8"/>
      <c r="H876" s="8"/>
      <c r="I876" s="8"/>
      <c r="J876" s="8"/>
      <c r="K876" s="8"/>
      <c r="L876" s="8"/>
      <c r="M876" s="8"/>
      <c r="N876" s="8"/>
      <c r="O876" s="8"/>
      <c r="P876" s="8"/>
      <c r="Q876" s="8"/>
      <c r="R876" s="8"/>
      <c r="S876" s="8"/>
      <c r="T876" s="8"/>
      <c r="U876" s="12"/>
      <c r="V876" s="12"/>
      <c r="W876" s="12"/>
      <c r="X876" s="12"/>
      <c r="Y876" s="12"/>
      <c r="Z876" s="12"/>
      <c r="AA876" s="12"/>
      <c r="AB876" s="12"/>
      <c r="AC876" s="12"/>
      <c r="AD876" s="12"/>
      <c r="AE876" s="12"/>
      <c r="AF876" s="12"/>
    </row>
    <row r="877" spans="1:32">
      <c r="A877" s="8"/>
      <c r="B877" s="8"/>
      <c r="C877" s="8"/>
      <c r="D877" s="8"/>
      <c r="E877" s="8"/>
      <c r="F877" s="8"/>
      <c r="G877" s="8"/>
      <c r="H877" s="8"/>
      <c r="I877" s="8"/>
      <c r="J877" s="8"/>
      <c r="K877" s="8"/>
      <c r="L877" s="8"/>
      <c r="M877" s="8"/>
      <c r="N877" s="8"/>
      <c r="O877" s="8"/>
      <c r="P877" s="8"/>
      <c r="Q877" s="8"/>
      <c r="R877" s="8"/>
      <c r="S877" s="8"/>
      <c r="T877" s="8"/>
      <c r="U877" s="12"/>
      <c r="V877" s="12"/>
      <c r="W877" s="12"/>
      <c r="X877" s="12"/>
      <c r="Y877" s="12"/>
      <c r="Z877" s="12"/>
      <c r="AA877" s="12"/>
      <c r="AB877" s="12"/>
      <c r="AC877" s="12"/>
      <c r="AD877" s="12"/>
      <c r="AE877" s="12"/>
      <c r="AF877" s="12"/>
    </row>
    <row r="878" spans="1:32">
      <c r="A878" s="8"/>
      <c r="B878" s="8"/>
      <c r="C878" s="8"/>
      <c r="D878" s="8"/>
      <c r="E878" s="8"/>
      <c r="F878" s="8"/>
      <c r="G878" s="8"/>
      <c r="H878" s="8"/>
      <c r="I878" s="8"/>
      <c r="J878" s="8"/>
      <c r="K878" s="8"/>
      <c r="L878" s="8"/>
      <c r="M878" s="8"/>
      <c r="N878" s="8"/>
      <c r="O878" s="8"/>
      <c r="P878" s="8"/>
      <c r="Q878" s="8"/>
      <c r="R878" s="8"/>
      <c r="S878" s="8"/>
      <c r="T878" s="8"/>
      <c r="U878" s="12"/>
      <c r="V878" s="12"/>
      <c r="W878" s="12"/>
      <c r="X878" s="12"/>
      <c r="Y878" s="12"/>
      <c r="Z878" s="12"/>
      <c r="AA878" s="12"/>
      <c r="AB878" s="12"/>
      <c r="AC878" s="12"/>
      <c r="AD878" s="12"/>
      <c r="AE878" s="12"/>
      <c r="AF878" s="12"/>
    </row>
    <row r="879" spans="1:32">
      <c r="A879" s="8"/>
      <c r="B879" s="8"/>
      <c r="C879" s="8"/>
      <c r="D879" s="8"/>
      <c r="E879" s="8"/>
      <c r="F879" s="8"/>
      <c r="G879" s="8"/>
      <c r="H879" s="8"/>
      <c r="I879" s="8"/>
      <c r="J879" s="8"/>
      <c r="K879" s="8"/>
      <c r="L879" s="8"/>
      <c r="M879" s="8"/>
      <c r="N879" s="8"/>
      <c r="O879" s="8"/>
      <c r="P879" s="8"/>
      <c r="Q879" s="8"/>
      <c r="R879" s="8"/>
      <c r="S879" s="8"/>
      <c r="T879" s="8"/>
      <c r="U879" s="12"/>
      <c r="V879" s="12"/>
      <c r="W879" s="12"/>
      <c r="X879" s="12"/>
      <c r="Y879" s="12"/>
      <c r="Z879" s="12"/>
      <c r="AA879" s="12"/>
      <c r="AB879" s="12"/>
      <c r="AC879" s="12"/>
      <c r="AD879" s="12"/>
      <c r="AE879" s="12"/>
      <c r="AF879" s="12"/>
    </row>
    <row r="880" spans="1:32">
      <c r="A880" s="8"/>
      <c r="B880" s="8"/>
      <c r="C880" s="8"/>
      <c r="D880" s="8"/>
      <c r="E880" s="8"/>
      <c r="F880" s="8"/>
      <c r="G880" s="8"/>
      <c r="H880" s="8"/>
      <c r="I880" s="8"/>
      <c r="J880" s="8"/>
      <c r="K880" s="8"/>
      <c r="L880" s="8"/>
      <c r="M880" s="8"/>
      <c r="N880" s="8"/>
      <c r="O880" s="8"/>
      <c r="P880" s="8"/>
      <c r="Q880" s="8"/>
      <c r="R880" s="8"/>
      <c r="S880" s="8"/>
      <c r="T880" s="8"/>
      <c r="U880" s="12"/>
      <c r="V880" s="12"/>
      <c r="W880" s="12"/>
      <c r="X880" s="12"/>
      <c r="Y880" s="12"/>
      <c r="Z880" s="12"/>
      <c r="AA880" s="12"/>
      <c r="AB880" s="12"/>
      <c r="AC880" s="12"/>
      <c r="AD880" s="12"/>
      <c r="AE880" s="12"/>
      <c r="AF880" s="12"/>
    </row>
    <row r="881" spans="1:32">
      <c r="A881" s="8"/>
      <c r="B881" s="8"/>
      <c r="C881" s="8"/>
      <c r="D881" s="8"/>
      <c r="E881" s="8"/>
      <c r="F881" s="8"/>
      <c r="G881" s="8"/>
      <c r="H881" s="8"/>
      <c r="I881" s="8"/>
      <c r="J881" s="8"/>
      <c r="K881" s="8"/>
      <c r="L881" s="8"/>
      <c r="M881" s="8"/>
      <c r="N881" s="8"/>
      <c r="O881" s="8"/>
      <c r="P881" s="8"/>
      <c r="Q881" s="8"/>
      <c r="R881" s="8"/>
      <c r="S881" s="8"/>
      <c r="T881" s="8"/>
      <c r="U881" s="12"/>
      <c r="V881" s="12"/>
      <c r="W881" s="12"/>
      <c r="X881" s="12"/>
      <c r="Y881" s="12"/>
      <c r="Z881" s="12"/>
      <c r="AA881" s="12"/>
      <c r="AB881" s="12"/>
      <c r="AC881" s="12"/>
      <c r="AD881" s="12"/>
      <c r="AE881" s="12"/>
      <c r="AF881" s="12"/>
    </row>
    <row r="882" spans="1:32">
      <c r="A882" s="8"/>
      <c r="B882" s="8"/>
      <c r="C882" s="8"/>
      <c r="D882" s="8"/>
      <c r="E882" s="8"/>
      <c r="F882" s="8"/>
      <c r="G882" s="8"/>
      <c r="H882" s="8"/>
      <c r="I882" s="8"/>
      <c r="J882" s="8"/>
      <c r="K882" s="8"/>
      <c r="L882" s="8"/>
      <c r="M882" s="8"/>
      <c r="N882" s="8"/>
      <c r="O882" s="8"/>
      <c r="P882" s="8"/>
      <c r="Q882" s="8"/>
      <c r="R882" s="8"/>
      <c r="S882" s="8"/>
      <c r="T882" s="8"/>
      <c r="U882" s="12"/>
      <c r="V882" s="12"/>
      <c r="W882" s="12"/>
      <c r="X882" s="12"/>
      <c r="Y882" s="12"/>
      <c r="Z882" s="12"/>
      <c r="AA882" s="12"/>
      <c r="AB882" s="12"/>
      <c r="AC882" s="12"/>
      <c r="AD882" s="12"/>
      <c r="AE882" s="12"/>
      <c r="AF882" s="12"/>
    </row>
    <row r="883" spans="1:32">
      <c r="A883" s="8"/>
      <c r="B883" s="8"/>
      <c r="C883" s="8"/>
      <c r="D883" s="8"/>
      <c r="E883" s="8"/>
      <c r="F883" s="8"/>
      <c r="G883" s="8"/>
      <c r="H883" s="8"/>
      <c r="I883" s="8"/>
      <c r="J883" s="8"/>
      <c r="K883" s="8"/>
      <c r="L883" s="8"/>
      <c r="M883" s="8"/>
      <c r="N883" s="8"/>
      <c r="O883" s="8"/>
      <c r="P883" s="8"/>
      <c r="Q883" s="8"/>
      <c r="R883" s="8"/>
      <c r="S883" s="8"/>
      <c r="T883" s="8"/>
      <c r="U883" s="12"/>
      <c r="V883" s="12"/>
      <c r="W883" s="12"/>
      <c r="X883" s="12"/>
      <c r="Y883" s="12"/>
      <c r="Z883" s="12"/>
      <c r="AA883" s="12"/>
      <c r="AB883" s="12"/>
      <c r="AC883" s="12"/>
      <c r="AD883" s="12"/>
      <c r="AE883" s="12"/>
      <c r="AF883" s="12"/>
    </row>
    <row r="884" spans="1:32">
      <c r="A884" s="8"/>
      <c r="B884" s="8"/>
      <c r="C884" s="8"/>
      <c r="D884" s="8"/>
      <c r="E884" s="8"/>
      <c r="F884" s="8"/>
      <c r="G884" s="8"/>
      <c r="H884" s="8"/>
      <c r="I884" s="8"/>
      <c r="J884" s="8"/>
      <c r="K884" s="8"/>
      <c r="L884" s="8"/>
      <c r="M884" s="8"/>
      <c r="N884" s="8"/>
      <c r="O884" s="8"/>
      <c r="P884" s="8"/>
      <c r="Q884" s="8"/>
      <c r="R884" s="8"/>
      <c r="S884" s="8"/>
      <c r="T884" s="8"/>
      <c r="U884" s="12"/>
      <c r="V884" s="12"/>
      <c r="W884" s="12"/>
      <c r="X884" s="12"/>
      <c r="Y884" s="12"/>
      <c r="Z884" s="12"/>
      <c r="AA884" s="12"/>
      <c r="AB884" s="12"/>
      <c r="AC884" s="12"/>
      <c r="AD884" s="12"/>
      <c r="AE884" s="12"/>
      <c r="AF884" s="12"/>
    </row>
    <row r="885" spans="1:32">
      <c r="A885" s="8"/>
      <c r="B885" s="8"/>
      <c r="C885" s="8"/>
      <c r="D885" s="8"/>
      <c r="E885" s="8"/>
      <c r="F885" s="8"/>
      <c r="G885" s="8"/>
      <c r="H885" s="8"/>
      <c r="I885" s="8"/>
      <c r="J885" s="8"/>
      <c r="K885" s="8"/>
      <c r="L885" s="8"/>
      <c r="M885" s="8"/>
      <c r="N885" s="8"/>
      <c r="O885" s="8"/>
      <c r="P885" s="8"/>
      <c r="Q885" s="8"/>
      <c r="R885" s="8"/>
      <c r="S885" s="8"/>
      <c r="T885" s="8"/>
      <c r="U885" s="12"/>
      <c r="V885" s="12"/>
      <c r="W885" s="12"/>
      <c r="X885" s="12"/>
      <c r="Y885" s="12"/>
      <c r="Z885" s="12"/>
      <c r="AA885" s="12"/>
      <c r="AB885" s="12"/>
      <c r="AC885" s="12"/>
      <c r="AD885" s="12"/>
      <c r="AE885" s="12"/>
      <c r="AF885" s="12"/>
    </row>
    <row r="886" spans="1:32">
      <c r="A886" s="8"/>
      <c r="B886" s="8"/>
      <c r="C886" s="8"/>
      <c r="D886" s="8"/>
      <c r="E886" s="8"/>
      <c r="F886" s="8"/>
      <c r="G886" s="8"/>
      <c r="H886" s="8"/>
      <c r="I886" s="8"/>
      <c r="J886" s="8"/>
      <c r="K886" s="8"/>
      <c r="L886" s="8"/>
      <c r="M886" s="8"/>
      <c r="N886" s="8"/>
      <c r="O886" s="8"/>
      <c r="P886" s="8"/>
      <c r="Q886" s="8"/>
      <c r="R886" s="8"/>
      <c r="S886" s="8"/>
      <c r="T886" s="8"/>
      <c r="U886" s="12"/>
      <c r="V886" s="12"/>
      <c r="W886" s="12"/>
      <c r="X886" s="12"/>
      <c r="Y886" s="12"/>
      <c r="Z886" s="12"/>
      <c r="AA886" s="12"/>
      <c r="AB886" s="12"/>
      <c r="AC886" s="12"/>
      <c r="AD886" s="12"/>
      <c r="AE886" s="12"/>
      <c r="AF886" s="12"/>
    </row>
    <row r="887" spans="1:32">
      <c r="A887" s="8"/>
      <c r="B887" s="8"/>
      <c r="C887" s="8"/>
      <c r="D887" s="8"/>
      <c r="E887" s="8"/>
      <c r="F887" s="8"/>
      <c r="G887" s="8"/>
      <c r="H887" s="8"/>
      <c r="I887" s="8"/>
      <c r="J887" s="8"/>
      <c r="K887" s="8"/>
      <c r="L887" s="8"/>
      <c r="M887" s="8"/>
      <c r="N887" s="8"/>
      <c r="O887" s="8"/>
      <c r="P887" s="8"/>
      <c r="Q887" s="8"/>
      <c r="R887" s="8"/>
      <c r="S887" s="8"/>
      <c r="T887" s="8"/>
      <c r="U887" s="12"/>
      <c r="V887" s="12"/>
      <c r="W887" s="12"/>
      <c r="X887" s="12"/>
      <c r="Y887" s="12"/>
      <c r="Z887" s="12"/>
      <c r="AA887" s="12"/>
      <c r="AB887" s="12"/>
      <c r="AC887" s="12"/>
      <c r="AD887" s="12"/>
      <c r="AE887" s="12"/>
      <c r="AF887" s="12"/>
    </row>
    <row r="888" spans="1:32">
      <c r="A888" s="8"/>
      <c r="B888" s="8"/>
      <c r="C888" s="8"/>
      <c r="D888" s="8"/>
      <c r="E888" s="8"/>
      <c r="F888" s="8"/>
      <c r="G888" s="8"/>
      <c r="H888" s="8"/>
      <c r="I888" s="8"/>
      <c r="J888" s="8"/>
      <c r="K888" s="8"/>
      <c r="L888" s="8"/>
      <c r="M888" s="8"/>
      <c r="N888" s="8"/>
      <c r="O888" s="8"/>
      <c r="P888" s="8"/>
      <c r="Q888" s="8"/>
      <c r="R888" s="8"/>
      <c r="S888" s="8"/>
      <c r="T888" s="8"/>
      <c r="U888" s="12"/>
      <c r="V888" s="12"/>
      <c r="W888" s="12"/>
      <c r="X888" s="12"/>
      <c r="Y888" s="12"/>
      <c r="Z888" s="12"/>
      <c r="AA888" s="12"/>
      <c r="AB888" s="12"/>
      <c r="AC888" s="12"/>
      <c r="AD888" s="12"/>
      <c r="AE888" s="12"/>
      <c r="AF888" s="12"/>
    </row>
    <row r="889" spans="1:32">
      <c r="A889" s="8"/>
      <c r="B889" s="8"/>
      <c r="C889" s="8"/>
      <c r="D889" s="8"/>
      <c r="E889" s="8"/>
      <c r="F889" s="8"/>
      <c r="G889" s="8"/>
      <c r="H889" s="8"/>
      <c r="I889" s="8"/>
      <c r="J889" s="8"/>
      <c r="K889" s="8"/>
      <c r="L889" s="8"/>
      <c r="M889" s="8"/>
      <c r="N889" s="8"/>
      <c r="O889" s="8"/>
      <c r="P889" s="8"/>
      <c r="Q889" s="8"/>
      <c r="R889" s="8"/>
      <c r="S889" s="8"/>
      <c r="T889" s="8"/>
      <c r="U889" s="12"/>
      <c r="V889" s="12"/>
      <c r="W889" s="12"/>
      <c r="X889" s="12"/>
      <c r="Y889" s="12"/>
      <c r="Z889" s="12"/>
      <c r="AA889" s="12"/>
      <c r="AB889" s="12"/>
      <c r="AC889" s="12"/>
      <c r="AD889" s="12"/>
      <c r="AE889" s="12"/>
      <c r="AF889" s="12"/>
    </row>
    <row r="890" spans="1:32">
      <c r="A890" s="8"/>
      <c r="B890" s="8"/>
      <c r="C890" s="8"/>
      <c r="D890" s="8"/>
      <c r="E890" s="8"/>
      <c r="F890" s="8"/>
      <c r="G890" s="8"/>
      <c r="H890" s="8"/>
      <c r="I890" s="8"/>
      <c r="J890" s="8"/>
      <c r="K890" s="8"/>
      <c r="L890" s="8"/>
      <c r="M890" s="8"/>
      <c r="N890" s="8"/>
      <c r="O890" s="8"/>
      <c r="P890" s="8"/>
      <c r="Q890" s="8"/>
      <c r="R890" s="8"/>
      <c r="S890" s="8"/>
      <c r="T890" s="8"/>
      <c r="U890" s="12"/>
      <c r="V890" s="12"/>
      <c r="W890" s="12"/>
      <c r="X890" s="12"/>
      <c r="Y890" s="12"/>
      <c r="Z890" s="12"/>
      <c r="AA890" s="12"/>
      <c r="AB890" s="12"/>
      <c r="AC890" s="12"/>
      <c r="AD890" s="12"/>
      <c r="AE890" s="12"/>
      <c r="AF890" s="12"/>
    </row>
    <row r="891" spans="1:32">
      <c r="A891" s="8"/>
      <c r="B891" s="8"/>
      <c r="C891" s="8"/>
      <c r="D891" s="8"/>
      <c r="E891" s="8"/>
      <c r="F891" s="8"/>
      <c r="G891" s="8"/>
      <c r="H891" s="8"/>
      <c r="I891" s="8"/>
      <c r="J891" s="8"/>
      <c r="K891" s="8"/>
      <c r="L891" s="8"/>
      <c r="M891" s="8"/>
      <c r="N891" s="8"/>
      <c r="O891" s="8"/>
      <c r="P891" s="8"/>
      <c r="Q891" s="8"/>
      <c r="R891" s="8"/>
      <c r="S891" s="8"/>
      <c r="T891" s="8"/>
      <c r="U891" s="12"/>
      <c r="V891" s="12"/>
      <c r="W891" s="12"/>
      <c r="X891" s="12"/>
      <c r="Y891" s="12"/>
      <c r="Z891" s="12"/>
      <c r="AA891" s="12"/>
      <c r="AB891" s="12"/>
      <c r="AC891" s="12"/>
      <c r="AD891" s="12"/>
      <c r="AE891" s="12"/>
      <c r="AF891" s="12"/>
    </row>
    <row r="892" spans="1:32">
      <c r="A892" s="8"/>
      <c r="B892" s="8"/>
      <c r="C892" s="8"/>
      <c r="D892" s="8"/>
      <c r="E892" s="8"/>
      <c r="F892" s="8"/>
      <c r="G892" s="8"/>
      <c r="H892" s="8"/>
      <c r="I892" s="8"/>
      <c r="J892" s="8"/>
      <c r="K892" s="8"/>
      <c r="L892" s="8"/>
      <c r="M892" s="8"/>
      <c r="N892" s="8"/>
      <c r="O892" s="8"/>
      <c r="P892" s="8"/>
      <c r="Q892" s="8"/>
      <c r="R892" s="8"/>
      <c r="S892" s="8"/>
      <c r="T892" s="8"/>
      <c r="U892" s="12"/>
      <c r="V892" s="12"/>
      <c r="W892" s="12"/>
      <c r="X892" s="12"/>
      <c r="Y892" s="12"/>
      <c r="Z892" s="12"/>
      <c r="AA892" s="12"/>
      <c r="AB892" s="12"/>
      <c r="AC892" s="12"/>
      <c r="AD892" s="12"/>
      <c r="AE892" s="12"/>
      <c r="AF892" s="12"/>
    </row>
    <row r="893" spans="1:32">
      <c r="A893" s="8"/>
      <c r="B893" s="8"/>
      <c r="C893" s="8"/>
      <c r="D893" s="8"/>
      <c r="E893" s="8"/>
      <c r="F893" s="8"/>
      <c r="G893" s="8"/>
      <c r="H893" s="8"/>
      <c r="I893" s="8"/>
      <c r="J893" s="8"/>
      <c r="K893" s="8"/>
      <c r="L893" s="8"/>
      <c r="M893" s="8"/>
      <c r="N893" s="8"/>
      <c r="O893" s="8"/>
      <c r="P893" s="8"/>
      <c r="Q893" s="8"/>
      <c r="R893" s="8"/>
      <c r="S893" s="8"/>
      <c r="T893" s="8"/>
      <c r="U893" s="12"/>
      <c r="V893" s="12"/>
      <c r="W893" s="12"/>
      <c r="X893" s="12"/>
      <c r="Y893" s="12"/>
      <c r="Z893" s="12"/>
      <c r="AA893" s="12"/>
      <c r="AB893" s="12"/>
      <c r="AC893" s="12"/>
      <c r="AD893" s="12"/>
      <c r="AE893" s="12"/>
      <c r="AF893" s="12"/>
    </row>
    <row r="894" spans="1:32">
      <c r="A894" s="8"/>
      <c r="B894" s="8"/>
      <c r="C894" s="8"/>
      <c r="D894" s="8"/>
      <c r="E894" s="8"/>
      <c r="F894" s="8"/>
      <c r="G894" s="8"/>
      <c r="H894" s="8"/>
      <c r="I894" s="8"/>
      <c r="J894" s="8"/>
      <c r="K894" s="8"/>
      <c r="L894" s="8"/>
      <c r="M894" s="8"/>
      <c r="N894" s="8"/>
      <c r="O894" s="8"/>
      <c r="P894" s="8"/>
      <c r="Q894" s="8"/>
      <c r="R894" s="8"/>
      <c r="S894" s="8"/>
      <c r="T894" s="8"/>
      <c r="U894" s="12"/>
      <c r="V894" s="12"/>
      <c r="W894" s="12"/>
      <c r="X894" s="12"/>
      <c r="Y894" s="12"/>
      <c r="Z894" s="12"/>
      <c r="AA894" s="12"/>
      <c r="AB894" s="12"/>
      <c r="AC894" s="12"/>
      <c r="AD894" s="12"/>
      <c r="AE894" s="12"/>
      <c r="AF894" s="12"/>
    </row>
    <row r="895" spans="1:32">
      <c r="A895" s="8"/>
      <c r="B895" s="8"/>
      <c r="C895" s="8"/>
      <c r="D895" s="8"/>
      <c r="E895" s="8"/>
      <c r="F895" s="8"/>
      <c r="G895" s="8"/>
      <c r="H895" s="8"/>
      <c r="I895" s="8"/>
      <c r="J895" s="8"/>
      <c r="K895" s="8"/>
      <c r="L895" s="8"/>
      <c r="M895" s="8"/>
      <c r="N895" s="8"/>
      <c r="O895" s="8"/>
      <c r="P895" s="8"/>
      <c r="Q895" s="8"/>
      <c r="R895" s="8"/>
      <c r="S895" s="8"/>
      <c r="T895" s="8"/>
      <c r="U895" s="12"/>
      <c r="V895" s="12"/>
      <c r="W895" s="12"/>
      <c r="X895" s="12"/>
      <c r="Y895" s="12"/>
      <c r="Z895" s="12"/>
      <c r="AA895" s="12"/>
      <c r="AB895" s="12"/>
      <c r="AC895" s="12"/>
      <c r="AD895" s="12"/>
      <c r="AE895" s="12"/>
      <c r="AF895" s="12"/>
    </row>
    <row r="896" spans="1:32">
      <c r="A896" s="8"/>
      <c r="B896" s="8"/>
      <c r="C896" s="8"/>
      <c r="D896" s="8"/>
      <c r="E896" s="8"/>
      <c r="F896" s="8"/>
      <c r="G896" s="8"/>
      <c r="H896" s="8"/>
      <c r="I896" s="8"/>
      <c r="J896" s="8"/>
      <c r="K896" s="8"/>
      <c r="L896" s="8"/>
      <c r="M896" s="8"/>
      <c r="N896" s="8"/>
      <c r="O896" s="8"/>
      <c r="P896" s="8"/>
      <c r="Q896" s="8"/>
      <c r="R896" s="8"/>
      <c r="S896" s="8"/>
      <c r="T896" s="8"/>
      <c r="U896" s="12"/>
      <c r="V896" s="12"/>
      <c r="W896" s="12"/>
      <c r="X896" s="12"/>
      <c r="Y896" s="12"/>
      <c r="Z896" s="12"/>
      <c r="AA896" s="12"/>
      <c r="AB896" s="12"/>
      <c r="AC896" s="12"/>
      <c r="AD896" s="12"/>
      <c r="AE896" s="12"/>
      <c r="AF896" s="12"/>
    </row>
    <row r="897" spans="1:32">
      <c r="A897" s="8"/>
      <c r="B897" s="8"/>
      <c r="C897" s="8"/>
      <c r="D897" s="8"/>
      <c r="E897" s="8"/>
      <c r="F897" s="8"/>
      <c r="G897" s="8"/>
      <c r="H897" s="8"/>
      <c r="I897" s="8"/>
      <c r="J897" s="8"/>
      <c r="K897" s="8"/>
      <c r="L897" s="8"/>
      <c r="M897" s="8"/>
      <c r="N897" s="8"/>
      <c r="O897" s="8"/>
      <c r="P897" s="8"/>
      <c r="Q897" s="8"/>
      <c r="R897" s="8"/>
      <c r="S897" s="8"/>
      <c r="T897" s="8"/>
      <c r="U897" s="12"/>
      <c r="V897" s="12"/>
      <c r="W897" s="12"/>
      <c r="X897" s="12"/>
      <c r="Y897" s="12"/>
      <c r="Z897" s="12"/>
      <c r="AA897" s="12"/>
      <c r="AB897" s="12"/>
      <c r="AC897" s="12"/>
      <c r="AD897" s="12"/>
      <c r="AE897" s="12"/>
      <c r="AF897" s="12"/>
    </row>
    <row r="898" spans="1:32">
      <c r="A898" s="8"/>
      <c r="B898" s="8"/>
      <c r="C898" s="8"/>
      <c r="D898" s="8"/>
      <c r="E898" s="8"/>
      <c r="F898" s="8"/>
      <c r="G898" s="8"/>
      <c r="H898" s="8"/>
      <c r="I898" s="8"/>
      <c r="J898" s="8"/>
      <c r="K898" s="8"/>
      <c r="L898" s="8"/>
      <c r="M898" s="8"/>
      <c r="N898" s="8"/>
      <c r="O898" s="8"/>
      <c r="P898" s="8"/>
      <c r="Q898" s="8"/>
      <c r="R898" s="8"/>
      <c r="S898" s="8"/>
      <c r="T898" s="8"/>
      <c r="U898" s="12"/>
      <c r="V898" s="12"/>
      <c r="W898" s="12"/>
      <c r="X898" s="12"/>
      <c r="Y898" s="12"/>
      <c r="Z898" s="12"/>
      <c r="AA898" s="12"/>
      <c r="AB898" s="12"/>
      <c r="AC898" s="12"/>
      <c r="AD898" s="12"/>
      <c r="AE898" s="12"/>
      <c r="AF898" s="12"/>
    </row>
    <row r="899" spans="1:32">
      <c r="A899" s="8"/>
      <c r="B899" s="8"/>
      <c r="C899" s="8"/>
      <c r="D899" s="8"/>
      <c r="E899" s="8"/>
      <c r="F899" s="8"/>
      <c r="G899" s="8"/>
      <c r="H899" s="8"/>
      <c r="I899" s="8"/>
      <c r="J899" s="8"/>
      <c r="K899" s="8"/>
      <c r="L899" s="8"/>
      <c r="M899" s="8"/>
      <c r="N899" s="8"/>
      <c r="O899" s="8"/>
      <c r="P899" s="8"/>
      <c r="Q899" s="8"/>
      <c r="R899" s="8"/>
      <c r="S899" s="8"/>
      <c r="T899" s="8"/>
      <c r="U899" s="12"/>
      <c r="V899" s="12"/>
      <c r="W899" s="12"/>
      <c r="X899" s="12"/>
      <c r="Y899" s="12"/>
      <c r="Z899" s="12"/>
      <c r="AA899" s="12"/>
      <c r="AB899" s="12"/>
      <c r="AC899" s="12"/>
      <c r="AD899" s="12"/>
      <c r="AE899" s="12"/>
      <c r="AF899" s="12"/>
    </row>
    <row r="900" spans="1:32">
      <c r="A900" s="8"/>
      <c r="B900" s="8"/>
      <c r="C900" s="8"/>
      <c r="D900" s="8"/>
      <c r="E900" s="8"/>
      <c r="F900" s="8"/>
      <c r="G900" s="8"/>
      <c r="H900" s="8"/>
      <c r="I900" s="8"/>
      <c r="J900" s="8"/>
      <c r="K900" s="8"/>
      <c r="L900" s="8"/>
      <c r="M900" s="8"/>
      <c r="N900" s="8"/>
      <c r="O900" s="8"/>
      <c r="P900" s="8"/>
      <c r="Q900" s="8"/>
      <c r="R900" s="8"/>
      <c r="S900" s="8"/>
      <c r="T900" s="8"/>
      <c r="U900" s="12"/>
      <c r="V900" s="12"/>
      <c r="W900" s="12"/>
      <c r="X900" s="12"/>
      <c r="Y900" s="12"/>
      <c r="Z900" s="12"/>
      <c r="AA900" s="12"/>
      <c r="AB900" s="12"/>
      <c r="AC900" s="12"/>
      <c r="AD900" s="12"/>
      <c r="AE900" s="12"/>
      <c r="AF900" s="12"/>
    </row>
    <row r="901" spans="1:32">
      <c r="A901" s="8"/>
      <c r="B901" s="8"/>
      <c r="C901" s="8"/>
      <c r="D901" s="8"/>
      <c r="E901" s="8"/>
      <c r="F901" s="8"/>
      <c r="G901" s="8"/>
      <c r="H901" s="8"/>
      <c r="I901" s="8"/>
      <c r="J901" s="8"/>
      <c r="K901" s="8"/>
      <c r="L901" s="8"/>
      <c r="M901" s="8"/>
      <c r="N901" s="8"/>
      <c r="O901" s="8"/>
      <c r="P901" s="8"/>
      <c r="Q901" s="8"/>
      <c r="R901" s="8"/>
      <c r="S901" s="8"/>
      <c r="T901" s="8"/>
      <c r="U901" s="12"/>
      <c r="V901" s="12"/>
      <c r="W901" s="12"/>
      <c r="X901" s="12"/>
      <c r="Y901" s="12"/>
      <c r="Z901" s="12"/>
      <c r="AA901" s="12"/>
      <c r="AB901" s="12"/>
      <c r="AC901" s="12"/>
      <c r="AD901" s="12"/>
      <c r="AE901" s="12"/>
      <c r="AF901" s="12"/>
    </row>
    <row r="902" spans="1:32">
      <c r="A902" s="8"/>
      <c r="B902" s="8"/>
      <c r="C902" s="8"/>
      <c r="D902" s="8"/>
      <c r="E902" s="8"/>
      <c r="F902" s="8"/>
      <c r="G902" s="8"/>
      <c r="H902" s="8"/>
      <c r="I902" s="8"/>
      <c r="J902" s="8"/>
      <c r="K902" s="8"/>
      <c r="L902" s="8"/>
      <c r="M902" s="8"/>
      <c r="N902" s="8"/>
      <c r="O902" s="8"/>
      <c r="P902" s="8"/>
      <c r="Q902" s="8"/>
      <c r="R902" s="8"/>
      <c r="S902" s="8"/>
      <c r="T902" s="8"/>
      <c r="U902" s="12"/>
      <c r="V902" s="12"/>
      <c r="W902" s="12"/>
      <c r="X902" s="12"/>
      <c r="Y902" s="12"/>
      <c r="Z902" s="12"/>
      <c r="AA902" s="12"/>
      <c r="AB902" s="12"/>
      <c r="AC902" s="12"/>
      <c r="AD902" s="12"/>
      <c r="AE902" s="12"/>
      <c r="AF902" s="12"/>
    </row>
    <row r="903" spans="1:32">
      <c r="A903" s="8"/>
      <c r="B903" s="8"/>
      <c r="C903" s="8"/>
      <c r="D903" s="8"/>
      <c r="E903" s="8"/>
      <c r="F903" s="8"/>
      <c r="G903" s="8"/>
      <c r="H903" s="8"/>
      <c r="I903" s="8"/>
      <c r="J903" s="8"/>
      <c r="K903" s="8"/>
      <c r="L903" s="8"/>
      <c r="M903" s="8"/>
      <c r="N903" s="8"/>
      <c r="O903" s="8"/>
      <c r="P903" s="8"/>
      <c r="Q903" s="8"/>
      <c r="R903" s="8"/>
      <c r="S903" s="8"/>
      <c r="T903" s="8"/>
      <c r="U903" s="12"/>
      <c r="V903" s="12"/>
      <c r="W903" s="12"/>
      <c r="X903" s="12"/>
      <c r="Y903" s="12"/>
      <c r="Z903" s="12"/>
      <c r="AA903" s="12"/>
      <c r="AB903" s="12"/>
      <c r="AC903" s="12"/>
      <c r="AD903" s="12"/>
      <c r="AE903" s="12"/>
      <c r="AF903" s="12"/>
    </row>
    <row r="904" spans="1:32">
      <c r="A904" s="8"/>
      <c r="B904" s="8"/>
      <c r="C904" s="8"/>
      <c r="D904" s="8"/>
      <c r="E904" s="8"/>
      <c r="F904" s="8"/>
      <c r="G904" s="8"/>
      <c r="H904" s="8"/>
      <c r="I904" s="8"/>
      <c r="J904" s="8"/>
      <c r="K904" s="8"/>
      <c r="L904" s="8"/>
      <c r="M904" s="8"/>
      <c r="N904" s="8"/>
      <c r="O904" s="8"/>
      <c r="P904" s="8"/>
      <c r="Q904" s="8"/>
      <c r="R904" s="8"/>
      <c r="S904" s="8"/>
      <c r="T904" s="8"/>
      <c r="U904" s="12"/>
      <c r="V904" s="12"/>
      <c r="W904" s="12"/>
      <c r="X904" s="12"/>
      <c r="Y904" s="12"/>
      <c r="Z904" s="12"/>
      <c r="AA904" s="12"/>
      <c r="AB904" s="12"/>
      <c r="AC904" s="12"/>
      <c r="AD904" s="12"/>
      <c r="AE904" s="12"/>
      <c r="AF904" s="12"/>
    </row>
    <row r="905" spans="1:32">
      <c r="A905" s="8"/>
      <c r="B905" s="8"/>
      <c r="C905" s="8"/>
      <c r="D905" s="8"/>
      <c r="E905" s="8"/>
      <c r="F905" s="8"/>
      <c r="G905" s="8"/>
      <c r="H905" s="8"/>
      <c r="I905" s="8"/>
      <c r="J905" s="8"/>
      <c r="K905" s="8"/>
      <c r="L905" s="8"/>
      <c r="M905" s="8"/>
      <c r="N905" s="8"/>
      <c r="O905" s="8"/>
      <c r="P905" s="8"/>
      <c r="Q905" s="8"/>
      <c r="R905" s="8"/>
      <c r="S905" s="8"/>
      <c r="T905" s="8"/>
      <c r="U905" s="12"/>
      <c r="V905" s="12"/>
      <c r="W905" s="12"/>
      <c r="X905" s="12"/>
      <c r="Y905" s="12"/>
      <c r="Z905" s="12"/>
      <c r="AA905" s="12"/>
      <c r="AB905" s="12"/>
      <c r="AC905" s="12"/>
      <c r="AD905" s="12"/>
      <c r="AE905" s="12"/>
      <c r="AF905" s="12"/>
    </row>
    <row r="906" spans="1:32">
      <c r="A906" s="8"/>
      <c r="B906" s="8"/>
      <c r="C906" s="8"/>
      <c r="D906" s="8"/>
      <c r="E906" s="8"/>
      <c r="F906" s="8"/>
      <c r="G906" s="8"/>
      <c r="H906" s="8"/>
      <c r="I906" s="8"/>
      <c r="J906" s="8"/>
      <c r="K906" s="8"/>
      <c r="L906" s="8"/>
      <c r="M906" s="8"/>
      <c r="N906" s="8"/>
      <c r="O906" s="8"/>
      <c r="P906" s="8"/>
      <c r="Q906" s="8"/>
      <c r="R906" s="8"/>
      <c r="S906" s="8"/>
      <c r="T906" s="8"/>
      <c r="U906" s="12"/>
      <c r="V906" s="12"/>
      <c r="W906" s="12"/>
      <c r="X906" s="12"/>
      <c r="Y906" s="12"/>
      <c r="Z906" s="12"/>
      <c r="AA906" s="12"/>
      <c r="AB906" s="12"/>
      <c r="AC906" s="12"/>
      <c r="AD906" s="12"/>
      <c r="AE906" s="12"/>
      <c r="AF906" s="12"/>
    </row>
    <row r="907" spans="1:32">
      <c r="A907" s="8"/>
      <c r="B907" s="8"/>
      <c r="C907" s="8"/>
      <c r="D907" s="8"/>
      <c r="E907" s="8"/>
      <c r="F907" s="8"/>
      <c r="G907" s="8"/>
      <c r="H907" s="8"/>
      <c r="I907" s="8"/>
      <c r="J907" s="8"/>
      <c r="K907" s="8"/>
      <c r="L907" s="8"/>
      <c r="M907" s="8"/>
      <c r="N907" s="8"/>
      <c r="O907" s="8"/>
      <c r="P907" s="8"/>
      <c r="Q907" s="8"/>
      <c r="R907" s="8"/>
      <c r="S907" s="8"/>
      <c r="T907" s="8"/>
      <c r="U907" s="12"/>
      <c r="V907" s="12"/>
      <c r="W907" s="12"/>
      <c r="X907" s="12"/>
      <c r="Y907" s="12"/>
      <c r="Z907" s="12"/>
      <c r="AA907" s="12"/>
      <c r="AB907" s="12"/>
      <c r="AC907" s="12"/>
      <c r="AD907" s="12"/>
      <c r="AE907" s="12"/>
      <c r="AF907" s="12"/>
    </row>
    <row r="908" spans="1:32">
      <c r="A908" s="8"/>
      <c r="B908" s="8"/>
      <c r="C908" s="8"/>
      <c r="D908" s="8"/>
      <c r="E908" s="8"/>
      <c r="F908" s="8"/>
      <c r="G908" s="8"/>
      <c r="H908" s="8"/>
      <c r="I908" s="8"/>
      <c r="J908" s="8"/>
      <c r="K908" s="8"/>
      <c r="L908" s="8"/>
      <c r="M908" s="8"/>
      <c r="N908" s="8"/>
      <c r="O908" s="8"/>
      <c r="P908" s="8"/>
      <c r="Q908" s="8"/>
      <c r="R908" s="8"/>
      <c r="S908" s="8"/>
      <c r="T908" s="8"/>
      <c r="U908" s="12"/>
      <c r="V908" s="12"/>
      <c r="W908" s="12"/>
      <c r="X908" s="12"/>
      <c r="Y908" s="12"/>
      <c r="Z908" s="12"/>
      <c r="AA908" s="12"/>
      <c r="AB908" s="12"/>
      <c r="AC908" s="12"/>
      <c r="AD908" s="12"/>
      <c r="AE908" s="12"/>
      <c r="AF908" s="12"/>
    </row>
    <row r="909" spans="1:32">
      <c r="A909" s="8"/>
      <c r="B909" s="8"/>
      <c r="C909" s="8"/>
      <c r="D909" s="8"/>
      <c r="E909" s="8"/>
      <c r="F909" s="8"/>
      <c r="G909" s="8"/>
      <c r="H909" s="8"/>
      <c r="I909" s="8"/>
      <c r="J909" s="8"/>
      <c r="K909" s="8"/>
      <c r="L909" s="8"/>
      <c r="M909" s="8"/>
      <c r="N909" s="8"/>
      <c r="O909" s="8"/>
      <c r="P909" s="8"/>
      <c r="Q909" s="8"/>
      <c r="R909" s="8"/>
      <c r="S909" s="8"/>
      <c r="T909" s="8"/>
      <c r="U909" s="12"/>
      <c r="V909" s="12"/>
      <c r="W909" s="12"/>
      <c r="X909" s="12"/>
      <c r="Y909" s="12"/>
      <c r="Z909" s="12"/>
      <c r="AA909" s="12"/>
      <c r="AB909" s="12"/>
      <c r="AC909" s="12"/>
      <c r="AD909" s="12"/>
      <c r="AE909" s="12"/>
      <c r="AF909" s="12"/>
    </row>
    <row r="910" spans="1:32">
      <c r="A910" s="8"/>
      <c r="B910" s="8"/>
      <c r="C910" s="8"/>
      <c r="D910" s="8"/>
      <c r="E910" s="8"/>
      <c r="F910" s="8"/>
      <c r="G910" s="8"/>
      <c r="H910" s="8"/>
      <c r="I910" s="8"/>
      <c r="J910" s="8"/>
      <c r="K910" s="8"/>
      <c r="L910" s="8"/>
      <c r="M910" s="8"/>
      <c r="N910" s="8"/>
      <c r="O910" s="8"/>
      <c r="P910" s="8"/>
      <c r="Q910" s="8"/>
      <c r="R910" s="8"/>
      <c r="S910" s="8"/>
      <c r="T910" s="8"/>
      <c r="U910" s="12"/>
      <c r="V910" s="12"/>
      <c r="W910" s="12"/>
      <c r="X910" s="12"/>
      <c r="Y910" s="12"/>
      <c r="Z910" s="12"/>
      <c r="AA910" s="12"/>
      <c r="AB910" s="12"/>
      <c r="AC910" s="12"/>
      <c r="AD910" s="12"/>
      <c r="AE910" s="12"/>
      <c r="AF910" s="12"/>
    </row>
    <row r="911" spans="1:32">
      <c r="A911" s="8"/>
      <c r="B911" s="8"/>
      <c r="C911" s="8"/>
      <c r="D911" s="8"/>
      <c r="E911" s="8"/>
      <c r="F911" s="8"/>
      <c r="G911" s="8"/>
      <c r="H911" s="8"/>
      <c r="I911" s="8"/>
      <c r="J911" s="8"/>
      <c r="K911" s="8"/>
      <c r="L911" s="8"/>
      <c r="M911" s="8"/>
      <c r="N911" s="8"/>
      <c r="O911" s="8"/>
      <c r="P911" s="8"/>
      <c r="Q911" s="8"/>
      <c r="R911" s="8"/>
      <c r="S911" s="8"/>
      <c r="T911" s="8"/>
      <c r="U911" s="12"/>
      <c r="V911" s="12"/>
      <c r="W911" s="12"/>
      <c r="X911" s="12"/>
      <c r="Y911" s="12"/>
      <c r="Z911" s="12"/>
      <c r="AA911" s="12"/>
      <c r="AB911" s="12"/>
      <c r="AC911" s="12"/>
      <c r="AD911" s="12"/>
      <c r="AE911" s="12"/>
      <c r="AF911" s="12"/>
    </row>
    <row r="912" spans="1:32">
      <c r="A912" s="8"/>
      <c r="B912" s="8"/>
      <c r="C912" s="8"/>
      <c r="D912" s="8"/>
      <c r="E912" s="8"/>
      <c r="F912" s="8"/>
      <c r="G912" s="8"/>
      <c r="H912" s="8"/>
      <c r="I912" s="8"/>
      <c r="J912" s="8"/>
      <c r="K912" s="8"/>
      <c r="L912" s="8"/>
      <c r="M912" s="8"/>
      <c r="N912" s="8"/>
      <c r="O912" s="8"/>
      <c r="P912" s="8"/>
      <c r="Q912" s="8"/>
      <c r="R912" s="8"/>
      <c r="S912" s="8"/>
      <c r="T912" s="8"/>
      <c r="U912" s="12"/>
      <c r="V912" s="12"/>
      <c r="W912" s="12"/>
      <c r="X912" s="12"/>
      <c r="Y912" s="12"/>
      <c r="Z912" s="12"/>
      <c r="AA912" s="12"/>
      <c r="AB912" s="12"/>
      <c r="AC912" s="12"/>
      <c r="AD912" s="12"/>
      <c r="AE912" s="12"/>
      <c r="AF912" s="12"/>
    </row>
    <row r="913" spans="1:32">
      <c r="A913" s="8"/>
      <c r="B913" s="8"/>
      <c r="C913" s="8"/>
      <c r="D913" s="8"/>
      <c r="E913" s="8"/>
      <c r="F913" s="8"/>
      <c r="G913" s="8"/>
      <c r="H913" s="8"/>
      <c r="I913" s="8"/>
      <c r="J913" s="8"/>
      <c r="K913" s="8"/>
      <c r="L913" s="8"/>
      <c r="M913" s="8"/>
      <c r="N913" s="8"/>
      <c r="O913" s="8"/>
      <c r="P913" s="8"/>
      <c r="Q913" s="8"/>
      <c r="R913" s="8"/>
      <c r="S913" s="8"/>
      <c r="T913" s="8"/>
      <c r="U913" s="12"/>
      <c r="V913" s="12"/>
      <c r="W913" s="12"/>
      <c r="X913" s="12"/>
      <c r="Y913" s="12"/>
      <c r="Z913" s="12"/>
      <c r="AA913" s="12"/>
      <c r="AB913" s="12"/>
      <c r="AC913" s="12"/>
      <c r="AD913" s="12"/>
      <c r="AE913" s="12"/>
      <c r="AF913" s="12"/>
    </row>
    <row r="914" spans="1:32">
      <c r="A914" s="8"/>
      <c r="B914" s="8"/>
      <c r="C914" s="8"/>
      <c r="D914" s="8"/>
      <c r="E914" s="8"/>
      <c r="F914" s="8"/>
      <c r="G914" s="8"/>
      <c r="H914" s="8"/>
      <c r="I914" s="8"/>
      <c r="J914" s="8"/>
      <c r="K914" s="8"/>
      <c r="L914" s="8"/>
      <c r="M914" s="8"/>
      <c r="N914" s="8"/>
      <c r="O914" s="8"/>
      <c r="P914" s="8"/>
      <c r="Q914" s="8"/>
      <c r="R914" s="8"/>
      <c r="S914" s="8"/>
      <c r="T914" s="8"/>
      <c r="U914" s="12"/>
      <c r="V914" s="12"/>
      <c r="W914" s="12"/>
      <c r="X914" s="12"/>
      <c r="Y914" s="12"/>
      <c r="Z914" s="12"/>
      <c r="AA914" s="12"/>
      <c r="AB914" s="12"/>
      <c r="AC914" s="12"/>
      <c r="AD914" s="12"/>
      <c r="AE914" s="12"/>
      <c r="AF914" s="12"/>
    </row>
    <row r="915" spans="1:32">
      <c r="A915" s="8"/>
      <c r="B915" s="8"/>
      <c r="C915" s="8"/>
      <c r="D915" s="8"/>
      <c r="E915" s="8"/>
      <c r="F915" s="8"/>
      <c r="G915" s="8"/>
      <c r="H915" s="8"/>
      <c r="I915" s="8"/>
      <c r="J915" s="8"/>
      <c r="K915" s="8"/>
      <c r="L915" s="8"/>
      <c r="M915" s="8"/>
      <c r="N915" s="8"/>
      <c r="O915" s="8"/>
      <c r="P915" s="8"/>
      <c r="Q915" s="8"/>
      <c r="R915" s="8"/>
      <c r="S915" s="8"/>
      <c r="T915" s="8"/>
      <c r="U915" s="12"/>
      <c r="V915" s="12"/>
      <c r="W915" s="12"/>
      <c r="X915" s="12"/>
      <c r="Y915" s="12"/>
      <c r="Z915" s="12"/>
      <c r="AA915" s="12"/>
      <c r="AB915" s="12"/>
      <c r="AC915" s="12"/>
      <c r="AD915" s="12"/>
      <c r="AE915" s="12"/>
      <c r="AF915" s="12"/>
    </row>
    <row r="916" spans="1:32">
      <c r="A916" s="8"/>
      <c r="B916" s="8"/>
      <c r="C916" s="8"/>
      <c r="D916" s="8"/>
      <c r="E916" s="8"/>
      <c r="F916" s="8"/>
      <c r="G916" s="8"/>
      <c r="H916" s="8"/>
      <c r="I916" s="8"/>
      <c r="J916" s="8"/>
      <c r="K916" s="8"/>
      <c r="L916" s="8"/>
      <c r="M916" s="8"/>
      <c r="N916" s="8"/>
      <c r="O916" s="8"/>
      <c r="P916" s="8"/>
      <c r="Q916" s="8"/>
      <c r="R916" s="8"/>
      <c r="S916" s="8"/>
      <c r="T916" s="8"/>
      <c r="U916" s="12"/>
      <c r="V916" s="12"/>
      <c r="W916" s="12"/>
      <c r="X916" s="12"/>
      <c r="Y916" s="12"/>
      <c r="Z916" s="12"/>
      <c r="AA916" s="12"/>
      <c r="AB916" s="12"/>
      <c r="AC916" s="12"/>
      <c r="AD916" s="12"/>
      <c r="AE916" s="12"/>
      <c r="AF916" s="12"/>
    </row>
    <row r="917" spans="1:32">
      <c r="A917" s="8"/>
      <c r="B917" s="8"/>
      <c r="C917" s="8"/>
      <c r="D917" s="8"/>
      <c r="E917" s="8"/>
      <c r="F917" s="8"/>
      <c r="G917" s="8"/>
      <c r="H917" s="8"/>
      <c r="I917" s="8"/>
      <c r="J917" s="8"/>
      <c r="K917" s="8"/>
      <c r="L917" s="8"/>
      <c r="M917" s="8"/>
      <c r="N917" s="8"/>
      <c r="O917" s="8"/>
      <c r="P917" s="8"/>
      <c r="Q917" s="8"/>
      <c r="R917" s="8"/>
      <c r="S917" s="8"/>
      <c r="T917" s="8"/>
      <c r="U917" s="12"/>
      <c r="V917" s="12"/>
      <c r="W917" s="12"/>
      <c r="X917" s="12"/>
      <c r="Y917" s="12"/>
      <c r="Z917" s="12"/>
      <c r="AA917" s="12"/>
      <c r="AB917" s="12"/>
      <c r="AC917" s="12"/>
      <c r="AD917" s="12"/>
      <c r="AE917" s="12"/>
      <c r="AF917" s="12"/>
    </row>
    <row r="918" spans="1:32">
      <c r="A918" s="8"/>
      <c r="B918" s="8"/>
      <c r="C918" s="8"/>
      <c r="D918" s="8"/>
      <c r="E918" s="8"/>
      <c r="F918" s="8"/>
      <c r="G918" s="8"/>
      <c r="H918" s="8"/>
      <c r="I918" s="8"/>
      <c r="J918" s="8"/>
      <c r="K918" s="8"/>
      <c r="L918" s="8"/>
      <c r="M918" s="8"/>
      <c r="N918" s="8"/>
      <c r="O918" s="8"/>
      <c r="P918" s="8"/>
      <c r="Q918" s="8"/>
      <c r="R918" s="8"/>
      <c r="S918" s="8"/>
      <c r="T918" s="8"/>
      <c r="U918" s="12"/>
      <c r="V918" s="12"/>
      <c r="W918" s="12"/>
      <c r="X918" s="12"/>
      <c r="Y918" s="12"/>
      <c r="Z918" s="12"/>
      <c r="AA918" s="12"/>
      <c r="AB918" s="12"/>
      <c r="AC918" s="12"/>
      <c r="AD918" s="12"/>
      <c r="AE918" s="12"/>
      <c r="AF918" s="12"/>
    </row>
    <row r="919" spans="1:32">
      <c r="A919" s="8"/>
      <c r="B919" s="8"/>
      <c r="C919" s="8"/>
      <c r="D919" s="8"/>
      <c r="E919" s="8"/>
      <c r="F919" s="8"/>
      <c r="G919" s="8"/>
      <c r="H919" s="8"/>
      <c r="I919" s="8"/>
      <c r="J919" s="8"/>
      <c r="K919" s="8"/>
      <c r="L919" s="8"/>
      <c r="M919" s="8"/>
      <c r="N919" s="8"/>
      <c r="O919" s="8"/>
      <c r="P919" s="8"/>
      <c r="Q919" s="8"/>
      <c r="R919" s="8"/>
      <c r="S919" s="8"/>
      <c r="T919" s="8"/>
      <c r="U919" s="12"/>
      <c r="V919" s="12"/>
      <c r="W919" s="12"/>
      <c r="X919" s="12"/>
      <c r="Y919" s="12"/>
      <c r="Z919" s="12"/>
      <c r="AA919" s="12"/>
      <c r="AB919" s="12"/>
      <c r="AC919" s="12"/>
      <c r="AD919" s="12"/>
      <c r="AE919" s="12"/>
      <c r="AF919" s="12"/>
    </row>
    <row r="920" spans="1:32">
      <c r="A920" s="8"/>
      <c r="B920" s="8"/>
      <c r="C920" s="8"/>
      <c r="D920" s="8"/>
      <c r="E920" s="8"/>
      <c r="F920" s="8"/>
      <c r="G920" s="8"/>
      <c r="H920" s="8"/>
      <c r="I920" s="8"/>
      <c r="J920" s="8"/>
      <c r="K920" s="8"/>
      <c r="L920" s="8"/>
      <c r="M920" s="8"/>
      <c r="N920" s="8"/>
      <c r="O920" s="8"/>
      <c r="P920" s="8"/>
      <c r="Q920" s="8"/>
      <c r="R920" s="8"/>
      <c r="S920" s="8"/>
      <c r="T920" s="8"/>
      <c r="U920" s="12"/>
      <c r="V920" s="12"/>
      <c r="W920" s="12"/>
      <c r="X920" s="12"/>
      <c r="Y920" s="12"/>
      <c r="Z920" s="12"/>
      <c r="AA920" s="12"/>
      <c r="AB920" s="12"/>
      <c r="AC920" s="12"/>
      <c r="AD920" s="12"/>
      <c r="AE920" s="12"/>
      <c r="AF920" s="12"/>
    </row>
    <row r="921" spans="1:32">
      <c r="A921" s="8"/>
      <c r="B921" s="8"/>
      <c r="C921" s="8"/>
      <c r="D921" s="8"/>
      <c r="E921" s="8"/>
      <c r="F921" s="8"/>
      <c r="G921" s="8"/>
      <c r="H921" s="8"/>
      <c r="I921" s="8"/>
      <c r="J921" s="8"/>
      <c r="K921" s="8"/>
      <c r="L921" s="8"/>
      <c r="M921" s="8"/>
      <c r="N921" s="8"/>
      <c r="O921" s="8"/>
      <c r="P921" s="8"/>
      <c r="Q921" s="8"/>
      <c r="R921" s="8"/>
      <c r="S921" s="8"/>
      <c r="T921" s="8"/>
      <c r="U921" s="12"/>
      <c r="V921" s="12"/>
      <c r="W921" s="12"/>
      <c r="X921" s="12"/>
      <c r="Y921" s="12"/>
      <c r="Z921" s="12"/>
      <c r="AA921" s="12"/>
      <c r="AB921" s="12"/>
      <c r="AC921" s="12"/>
      <c r="AD921" s="12"/>
      <c r="AE921" s="12"/>
      <c r="AF921" s="12"/>
    </row>
    <row r="922" spans="1:32">
      <c r="A922" s="8"/>
      <c r="B922" s="8"/>
      <c r="C922" s="8"/>
      <c r="D922" s="8"/>
      <c r="E922" s="8"/>
      <c r="F922" s="8"/>
      <c r="G922" s="8"/>
      <c r="H922" s="8"/>
      <c r="I922" s="8"/>
      <c r="J922" s="8"/>
      <c r="K922" s="8"/>
      <c r="L922" s="8"/>
      <c r="M922" s="8"/>
      <c r="N922" s="8"/>
      <c r="O922" s="8"/>
      <c r="P922" s="8"/>
      <c r="Q922" s="8"/>
      <c r="R922" s="8"/>
      <c r="S922" s="8"/>
      <c r="T922" s="8"/>
      <c r="U922" s="12"/>
      <c r="V922" s="12"/>
      <c r="W922" s="12"/>
      <c r="X922" s="12"/>
      <c r="Y922" s="12"/>
      <c r="Z922" s="12"/>
      <c r="AA922" s="12"/>
      <c r="AB922" s="12"/>
      <c r="AC922" s="12"/>
      <c r="AD922" s="12"/>
      <c r="AE922" s="12"/>
      <c r="AF922" s="12"/>
    </row>
    <row r="923" spans="1:32">
      <c r="A923" s="8"/>
      <c r="B923" s="8"/>
      <c r="C923" s="8"/>
      <c r="D923" s="8"/>
      <c r="E923" s="8"/>
      <c r="F923" s="8"/>
      <c r="G923" s="8"/>
      <c r="H923" s="8"/>
      <c r="I923" s="8"/>
      <c r="J923" s="8"/>
      <c r="K923" s="8"/>
      <c r="L923" s="8"/>
      <c r="M923" s="8"/>
      <c r="N923" s="8"/>
      <c r="O923" s="8"/>
      <c r="P923" s="8"/>
      <c r="Q923" s="8"/>
      <c r="R923" s="8"/>
      <c r="S923" s="8"/>
      <c r="T923" s="8"/>
      <c r="U923" s="12"/>
      <c r="V923" s="12"/>
      <c r="W923" s="12"/>
      <c r="X923" s="12"/>
      <c r="Y923" s="12"/>
      <c r="Z923" s="12"/>
      <c r="AA923" s="12"/>
      <c r="AB923" s="12"/>
      <c r="AC923" s="12"/>
      <c r="AD923" s="12"/>
      <c r="AE923" s="12"/>
      <c r="AF923" s="12"/>
    </row>
    <row r="924" spans="1:32">
      <c r="A924" s="8"/>
      <c r="B924" s="8"/>
      <c r="C924" s="8"/>
      <c r="D924" s="8"/>
      <c r="E924" s="8"/>
      <c r="F924" s="8"/>
      <c r="G924" s="8"/>
      <c r="H924" s="8"/>
      <c r="I924" s="8"/>
      <c r="J924" s="8"/>
      <c r="K924" s="8"/>
      <c r="L924" s="8"/>
      <c r="M924" s="8"/>
      <c r="N924" s="8"/>
      <c r="O924" s="8"/>
      <c r="P924" s="8"/>
      <c r="Q924" s="8"/>
      <c r="R924" s="8"/>
      <c r="S924" s="8"/>
      <c r="T924" s="8"/>
      <c r="U924" s="12"/>
      <c r="V924" s="12"/>
      <c r="W924" s="12"/>
      <c r="X924" s="12"/>
      <c r="Y924" s="12"/>
      <c r="Z924" s="12"/>
      <c r="AA924" s="12"/>
      <c r="AB924" s="12"/>
      <c r="AC924" s="12"/>
      <c r="AD924" s="12"/>
      <c r="AE924" s="12"/>
      <c r="AF924" s="12"/>
    </row>
    <row r="925" spans="1:32">
      <c r="A925" s="8"/>
      <c r="B925" s="8"/>
      <c r="C925" s="8"/>
      <c r="D925" s="8"/>
      <c r="E925" s="8"/>
      <c r="F925" s="8"/>
      <c r="G925" s="8"/>
      <c r="H925" s="8"/>
      <c r="I925" s="8"/>
      <c r="J925" s="8"/>
      <c r="K925" s="8"/>
      <c r="L925" s="8"/>
      <c r="M925" s="8"/>
      <c r="N925" s="8"/>
      <c r="O925" s="8"/>
      <c r="P925" s="8"/>
      <c r="Q925" s="8"/>
      <c r="R925" s="8"/>
      <c r="S925" s="8"/>
      <c r="T925" s="8"/>
      <c r="U925" s="12"/>
      <c r="V925" s="12"/>
      <c r="W925" s="12"/>
      <c r="X925" s="12"/>
      <c r="Y925" s="12"/>
      <c r="Z925" s="12"/>
      <c r="AA925" s="12"/>
      <c r="AB925" s="12"/>
      <c r="AC925" s="12"/>
      <c r="AD925" s="12"/>
      <c r="AE925" s="12"/>
      <c r="AF925" s="12"/>
    </row>
    <row r="926" spans="1:32">
      <c r="A926" s="8"/>
      <c r="B926" s="8"/>
      <c r="C926" s="8"/>
      <c r="D926" s="8"/>
      <c r="E926" s="8"/>
      <c r="F926" s="8"/>
      <c r="G926" s="8"/>
      <c r="H926" s="8"/>
      <c r="I926" s="8"/>
      <c r="J926" s="8"/>
      <c r="K926" s="8"/>
      <c r="L926" s="8"/>
      <c r="M926" s="8"/>
      <c r="N926" s="8"/>
      <c r="O926" s="8"/>
      <c r="P926" s="8"/>
      <c r="Q926" s="8"/>
      <c r="R926" s="8"/>
      <c r="S926" s="8"/>
      <c r="T926" s="8"/>
      <c r="U926" s="12"/>
      <c r="V926" s="12"/>
      <c r="W926" s="12"/>
      <c r="X926" s="12"/>
      <c r="Y926" s="12"/>
      <c r="Z926" s="12"/>
      <c r="AA926" s="12"/>
      <c r="AB926" s="12"/>
      <c r="AC926" s="12"/>
      <c r="AD926" s="12"/>
      <c r="AE926" s="12"/>
      <c r="AF926" s="12"/>
    </row>
    <row r="927" spans="1:32">
      <c r="A927" s="8"/>
      <c r="B927" s="8"/>
      <c r="C927" s="8"/>
      <c r="D927" s="8"/>
      <c r="E927" s="8"/>
      <c r="F927" s="8"/>
      <c r="G927" s="8"/>
      <c r="H927" s="8"/>
      <c r="I927" s="8"/>
      <c r="J927" s="8"/>
      <c r="K927" s="8"/>
      <c r="L927" s="8"/>
      <c r="M927" s="8"/>
      <c r="N927" s="8"/>
      <c r="O927" s="8"/>
      <c r="P927" s="8"/>
      <c r="Q927" s="8"/>
      <c r="R927" s="8"/>
      <c r="S927" s="8"/>
      <c r="T927" s="8"/>
      <c r="U927" s="12"/>
      <c r="V927" s="12"/>
      <c r="W927" s="12"/>
      <c r="X927" s="12"/>
      <c r="Y927" s="12"/>
      <c r="Z927" s="12"/>
      <c r="AA927" s="12"/>
      <c r="AB927" s="12"/>
      <c r="AC927" s="12"/>
      <c r="AD927" s="12"/>
      <c r="AE927" s="12"/>
      <c r="AF927" s="12"/>
    </row>
    <row r="928" spans="1:32">
      <c r="A928" s="8"/>
      <c r="B928" s="8"/>
      <c r="C928" s="8"/>
      <c r="D928" s="8"/>
      <c r="E928" s="8"/>
      <c r="F928" s="8"/>
      <c r="G928" s="8"/>
      <c r="H928" s="8"/>
      <c r="I928" s="8"/>
      <c r="J928" s="8"/>
      <c r="K928" s="8"/>
      <c r="L928" s="8"/>
      <c r="M928" s="8"/>
      <c r="N928" s="8"/>
      <c r="O928" s="8"/>
      <c r="P928" s="8"/>
      <c r="Q928" s="8"/>
      <c r="R928" s="8"/>
      <c r="S928" s="8"/>
      <c r="T928" s="8"/>
      <c r="U928" s="12"/>
      <c r="V928" s="12"/>
      <c r="W928" s="12"/>
      <c r="X928" s="12"/>
      <c r="Y928" s="12"/>
      <c r="Z928" s="12"/>
      <c r="AA928" s="12"/>
      <c r="AB928" s="12"/>
      <c r="AC928" s="12"/>
      <c r="AD928" s="12"/>
      <c r="AE928" s="12"/>
      <c r="AF928" s="12"/>
    </row>
    <row r="929" spans="1:32">
      <c r="A929" s="8"/>
      <c r="B929" s="8"/>
      <c r="C929" s="8"/>
      <c r="D929" s="8"/>
      <c r="E929" s="8"/>
      <c r="F929" s="8"/>
      <c r="G929" s="8"/>
      <c r="H929" s="8"/>
      <c r="I929" s="8"/>
      <c r="J929" s="8"/>
      <c r="K929" s="8"/>
      <c r="L929" s="8"/>
      <c r="M929" s="8"/>
      <c r="N929" s="8"/>
      <c r="O929" s="8"/>
      <c r="P929" s="8"/>
      <c r="Q929" s="8"/>
      <c r="R929" s="8"/>
      <c r="S929" s="8"/>
      <c r="T929" s="8"/>
      <c r="U929" s="12"/>
      <c r="V929" s="12"/>
      <c r="W929" s="12"/>
      <c r="X929" s="12"/>
      <c r="Y929" s="12"/>
      <c r="Z929" s="12"/>
      <c r="AA929" s="12"/>
      <c r="AB929" s="12"/>
      <c r="AC929" s="12"/>
      <c r="AD929" s="12"/>
      <c r="AE929" s="12"/>
      <c r="AF929" s="12"/>
    </row>
    <row r="930" spans="1:32">
      <c r="A930" s="8"/>
      <c r="B930" s="8"/>
      <c r="C930" s="8"/>
      <c r="D930" s="8"/>
      <c r="E930" s="8"/>
      <c r="F930" s="8"/>
      <c r="G930" s="8"/>
      <c r="H930" s="8"/>
      <c r="I930" s="8"/>
      <c r="J930" s="8"/>
      <c r="K930" s="8"/>
      <c r="L930" s="8"/>
      <c r="M930" s="8"/>
      <c r="N930" s="8"/>
      <c r="O930" s="8"/>
      <c r="P930" s="8"/>
      <c r="Q930" s="8"/>
      <c r="R930" s="8"/>
      <c r="S930" s="8"/>
      <c r="T930" s="8"/>
      <c r="U930" s="12"/>
      <c r="V930" s="12"/>
      <c r="W930" s="12"/>
      <c r="X930" s="12"/>
      <c r="Y930" s="12"/>
      <c r="Z930" s="12"/>
      <c r="AA930" s="12"/>
      <c r="AB930" s="12"/>
      <c r="AC930" s="12"/>
      <c r="AD930" s="12"/>
      <c r="AE930" s="12"/>
      <c r="AF930" s="12"/>
    </row>
    <row r="931" spans="1:32">
      <c r="A931" s="8"/>
      <c r="B931" s="8"/>
      <c r="C931" s="8"/>
      <c r="D931" s="8"/>
      <c r="E931" s="8"/>
      <c r="F931" s="8"/>
      <c r="G931" s="8"/>
      <c r="H931" s="8"/>
      <c r="I931" s="8"/>
      <c r="J931" s="8"/>
      <c r="K931" s="8"/>
      <c r="L931" s="8"/>
      <c r="M931" s="8"/>
      <c r="N931" s="8"/>
      <c r="O931" s="8"/>
      <c r="P931" s="8"/>
      <c r="Q931" s="8"/>
      <c r="R931" s="8"/>
      <c r="S931" s="8"/>
      <c r="T931" s="8"/>
      <c r="U931" s="12"/>
      <c r="V931" s="12"/>
      <c r="W931" s="12"/>
      <c r="X931" s="12"/>
      <c r="Y931" s="12"/>
      <c r="Z931" s="12"/>
      <c r="AA931" s="12"/>
      <c r="AB931" s="12"/>
      <c r="AC931" s="12"/>
      <c r="AD931" s="12"/>
      <c r="AE931" s="12"/>
      <c r="AF931" s="12"/>
    </row>
    <row r="932" spans="1:32">
      <c r="A932" s="8"/>
      <c r="B932" s="8"/>
      <c r="C932" s="8"/>
      <c r="D932" s="8"/>
      <c r="E932" s="8"/>
      <c r="F932" s="8"/>
      <c r="G932" s="8"/>
      <c r="H932" s="8"/>
      <c r="I932" s="8"/>
      <c r="J932" s="8"/>
      <c r="K932" s="8"/>
      <c r="L932" s="8"/>
      <c r="M932" s="8"/>
      <c r="N932" s="8"/>
      <c r="O932" s="8"/>
      <c r="P932" s="8"/>
      <c r="Q932" s="8"/>
      <c r="R932" s="8"/>
      <c r="S932" s="8"/>
      <c r="T932" s="8"/>
      <c r="U932" s="12"/>
      <c r="V932" s="12"/>
      <c r="W932" s="12"/>
      <c r="X932" s="12"/>
      <c r="Y932" s="12"/>
      <c r="Z932" s="12"/>
      <c r="AA932" s="12"/>
      <c r="AB932" s="12"/>
      <c r="AC932" s="12"/>
      <c r="AD932" s="12"/>
      <c r="AE932" s="12"/>
      <c r="AF932" s="12"/>
    </row>
    <row r="933" spans="1:32">
      <c r="A933" s="8"/>
      <c r="B933" s="8"/>
      <c r="C933" s="8"/>
      <c r="D933" s="8"/>
      <c r="E933" s="8"/>
      <c r="F933" s="8"/>
      <c r="G933" s="8"/>
      <c r="H933" s="8"/>
      <c r="I933" s="8"/>
      <c r="J933" s="8"/>
      <c r="K933" s="8"/>
      <c r="L933" s="8"/>
      <c r="M933" s="8"/>
      <c r="N933" s="8"/>
      <c r="O933" s="8"/>
      <c r="P933" s="8"/>
      <c r="Q933" s="8"/>
      <c r="R933" s="8"/>
      <c r="S933" s="8"/>
      <c r="T933" s="8"/>
      <c r="U933" s="12"/>
      <c r="V933" s="12"/>
      <c r="W933" s="12"/>
      <c r="X933" s="12"/>
      <c r="Y933" s="12"/>
      <c r="Z933" s="12"/>
      <c r="AA933" s="12"/>
      <c r="AB933" s="12"/>
      <c r="AC933" s="12"/>
      <c r="AD933" s="12"/>
      <c r="AE933" s="12"/>
      <c r="AF933" s="12"/>
    </row>
    <row r="934" spans="1:32">
      <c r="A934" s="8"/>
      <c r="B934" s="8"/>
      <c r="C934" s="8"/>
      <c r="D934" s="8"/>
      <c r="E934" s="8"/>
      <c r="F934" s="8"/>
      <c r="G934" s="8"/>
      <c r="H934" s="8"/>
      <c r="I934" s="8"/>
      <c r="J934" s="8"/>
      <c r="K934" s="8"/>
      <c r="L934" s="8"/>
      <c r="M934" s="8"/>
      <c r="N934" s="8"/>
      <c r="O934" s="8"/>
      <c r="P934" s="8"/>
      <c r="Q934" s="8"/>
      <c r="R934" s="8"/>
      <c r="S934" s="8"/>
      <c r="T934" s="8"/>
      <c r="U934" s="12"/>
      <c r="V934" s="12"/>
      <c r="W934" s="12"/>
      <c r="X934" s="12"/>
      <c r="Y934" s="12"/>
      <c r="Z934" s="12"/>
      <c r="AA934" s="12"/>
      <c r="AB934" s="12"/>
      <c r="AC934" s="12"/>
      <c r="AD934" s="12"/>
      <c r="AE934" s="12"/>
      <c r="AF934" s="12"/>
    </row>
    <row r="935" spans="1:32">
      <c r="A935" s="8"/>
      <c r="B935" s="8"/>
      <c r="C935" s="8"/>
      <c r="D935" s="8"/>
      <c r="E935" s="8"/>
      <c r="F935" s="8"/>
      <c r="G935" s="8"/>
      <c r="H935" s="8"/>
      <c r="I935" s="8"/>
      <c r="J935" s="8"/>
      <c r="K935" s="8"/>
      <c r="L935" s="8"/>
      <c r="M935" s="8"/>
      <c r="N935" s="8"/>
      <c r="O935" s="8"/>
      <c r="P935" s="8"/>
      <c r="Q935" s="8"/>
      <c r="R935" s="8"/>
      <c r="S935" s="8"/>
      <c r="T935" s="8"/>
      <c r="U935" s="12"/>
      <c r="V935" s="12"/>
      <c r="W935" s="12"/>
      <c r="X935" s="12"/>
      <c r="Y935" s="12"/>
      <c r="Z935" s="12"/>
      <c r="AA935" s="12"/>
      <c r="AB935" s="12"/>
      <c r="AC935" s="12"/>
      <c r="AD935" s="12"/>
      <c r="AE935" s="12"/>
      <c r="AF935" s="12"/>
    </row>
    <row r="936" spans="1:32">
      <c r="A936" s="8"/>
      <c r="B936" s="8"/>
      <c r="C936" s="8"/>
      <c r="D936" s="8"/>
      <c r="E936" s="8"/>
      <c r="F936" s="8"/>
      <c r="G936" s="8"/>
      <c r="H936" s="8"/>
      <c r="I936" s="8"/>
      <c r="J936" s="8"/>
      <c r="K936" s="8"/>
      <c r="L936" s="8"/>
      <c r="M936" s="8"/>
      <c r="N936" s="8"/>
      <c r="O936" s="8"/>
      <c r="P936" s="8"/>
      <c r="Q936" s="8"/>
      <c r="R936" s="8"/>
      <c r="S936" s="8"/>
      <c r="T936" s="8"/>
      <c r="U936" s="12"/>
      <c r="V936" s="12"/>
      <c r="W936" s="12"/>
      <c r="X936" s="12"/>
      <c r="Y936" s="12"/>
      <c r="Z936" s="12"/>
      <c r="AA936" s="12"/>
      <c r="AB936" s="12"/>
      <c r="AC936" s="12"/>
      <c r="AD936" s="12"/>
      <c r="AE936" s="12"/>
      <c r="AF936" s="12"/>
    </row>
    <row r="937" spans="1:32">
      <c r="A937" s="8"/>
      <c r="B937" s="8"/>
      <c r="C937" s="8"/>
      <c r="D937" s="8"/>
      <c r="E937" s="8"/>
      <c r="F937" s="8"/>
      <c r="G937" s="8"/>
      <c r="H937" s="8"/>
      <c r="I937" s="8"/>
      <c r="J937" s="8"/>
      <c r="K937" s="8"/>
      <c r="L937" s="8"/>
      <c r="M937" s="8"/>
      <c r="N937" s="8"/>
      <c r="O937" s="8"/>
      <c r="P937" s="8"/>
      <c r="Q937" s="8"/>
      <c r="R937" s="8"/>
      <c r="S937" s="8"/>
      <c r="T937" s="8"/>
      <c r="U937" s="12"/>
      <c r="V937" s="12"/>
      <c r="W937" s="12"/>
      <c r="X937" s="12"/>
      <c r="Y937" s="12"/>
      <c r="Z937" s="12"/>
      <c r="AA937" s="12"/>
      <c r="AB937" s="12"/>
      <c r="AC937" s="12"/>
      <c r="AD937" s="12"/>
      <c r="AE937" s="12"/>
      <c r="AF937" s="12"/>
    </row>
    <row r="938" spans="1:32">
      <c r="A938" s="8"/>
      <c r="B938" s="8"/>
      <c r="C938" s="8"/>
      <c r="D938" s="8"/>
      <c r="E938" s="8"/>
      <c r="F938" s="8"/>
      <c r="G938" s="8"/>
      <c r="H938" s="8"/>
      <c r="I938" s="8"/>
      <c r="J938" s="8"/>
      <c r="K938" s="8"/>
      <c r="L938" s="8"/>
      <c r="M938" s="8"/>
      <c r="N938" s="8"/>
      <c r="O938" s="8"/>
      <c r="P938" s="8"/>
      <c r="Q938" s="8"/>
      <c r="R938" s="8"/>
      <c r="S938" s="8"/>
      <c r="T938" s="8"/>
      <c r="U938" s="12"/>
      <c r="V938" s="12"/>
      <c r="W938" s="12"/>
      <c r="X938" s="12"/>
      <c r="Y938" s="12"/>
      <c r="Z938" s="12"/>
      <c r="AA938" s="12"/>
      <c r="AB938" s="12"/>
      <c r="AC938" s="12"/>
      <c r="AD938" s="12"/>
      <c r="AE938" s="12"/>
      <c r="AF938" s="12"/>
    </row>
    <row r="939" spans="1:32">
      <c r="A939" s="8"/>
      <c r="B939" s="8"/>
      <c r="C939" s="8"/>
      <c r="D939" s="8"/>
      <c r="E939" s="8"/>
      <c r="F939" s="8"/>
      <c r="G939" s="8"/>
      <c r="H939" s="8"/>
      <c r="I939" s="8"/>
      <c r="J939" s="8"/>
      <c r="K939" s="8"/>
      <c r="L939" s="8"/>
      <c r="M939" s="8"/>
      <c r="N939" s="8"/>
      <c r="O939" s="8"/>
      <c r="P939" s="8"/>
      <c r="Q939" s="8"/>
      <c r="R939" s="8"/>
      <c r="S939" s="8"/>
      <c r="T939" s="8"/>
      <c r="U939" s="12"/>
      <c r="V939" s="12"/>
      <c r="W939" s="12"/>
      <c r="X939" s="12"/>
      <c r="Y939" s="12"/>
      <c r="Z939" s="12"/>
      <c r="AA939" s="12"/>
      <c r="AB939" s="12"/>
      <c r="AC939" s="12"/>
      <c r="AD939" s="12"/>
      <c r="AE939" s="12"/>
      <c r="AF939" s="12"/>
    </row>
    <row r="940" spans="1:32">
      <c r="A940" s="8"/>
      <c r="B940" s="8"/>
      <c r="C940" s="8"/>
      <c r="D940" s="8"/>
      <c r="E940" s="8"/>
      <c r="F940" s="8"/>
      <c r="G940" s="8"/>
      <c r="H940" s="8"/>
      <c r="I940" s="8"/>
      <c r="J940" s="8"/>
      <c r="K940" s="8"/>
      <c r="L940" s="8"/>
      <c r="M940" s="8"/>
      <c r="N940" s="8"/>
      <c r="O940" s="8"/>
      <c r="P940" s="8"/>
      <c r="Q940" s="8"/>
      <c r="R940" s="8"/>
      <c r="S940" s="8"/>
      <c r="T940" s="8"/>
      <c r="U940" s="12"/>
      <c r="V940" s="12"/>
      <c r="W940" s="12"/>
      <c r="X940" s="12"/>
      <c r="Y940" s="12"/>
      <c r="Z940" s="12"/>
      <c r="AA940" s="12"/>
      <c r="AB940" s="12"/>
      <c r="AC940" s="12"/>
      <c r="AD940" s="12"/>
      <c r="AE940" s="12"/>
      <c r="AF940" s="12"/>
    </row>
    <row r="941" spans="1:32">
      <c r="A941" s="8"/>
      <c r="B941" s="8"/>
      <c r="C941" s="8"/>
      <c r="D941" s="8"/>
      <c r="E941" s="8"/>
      <c r="F941" s="8"/>
      <c r="G941" s="8"/>
      <c r="H941" s="8"/>
      <c r="I941" s="8"/>
      <c r="J941" s="8"/>
      <c r="K941" s="8"/>
      <c r="L941" s="8"/>
      <c r="M941" s="8"/>
      <c r="N941" s="8"/>
      <c r="O941" s="8"/>
      <c r="P941" s="8"/>
      <c r="Q941" s="8"/>
      <c r="R941" s="8"/>
      <c r="S941" s="8"/>
      <c r="T941" s="8"/>
      <c r="U941" s="12"/>
      <c r="V941" s="12"/>
      <c r="W941" s="12"/>
      <c r="X941" s="12"/>
      <c r="Y941" s="12"/>
      <c r="Z941" s="12"/>
      <c r="AA941" s="12"/>
      <c r="AB941" s="12"/>
      <c r="AC941" s="12"/>
      <c r="AD941" s="12"/>
      <c r="AE941" s="12"/>
      <c r="AF941" s="12"/>
    </row>
    <row r="942" spans="1:32">
      <c r="A942" s="8"/>
      <c r="B942" s="8"/>
      <c r="C942" s="8"/>
      <c r="D942" s="8"/>
      <c r="E942" s="8"/>
      <c r="F942" s="8"/>
      <c r="G942" s="8"/>
      <c r="H942" s="8"/>
      <c r="I942" s="8"/>
      <c r="J942" s="8"/>
      <c r="K942" s="8"/>
      <c r="L942" s="8"/>
      <c r="M942" s="8"/>
      <c r="N942" s="8"/>
      <c r="O942" s="8"/>
      <c r="P942" s="8"/>
      <c r="Q942" s="8"/>
      <c r="R942" s="8"/>
      <c r="S942" s="8"/>
      <c r="T942" s="8"/>
      <c r="U942" s="12"/>
      <c r="V942" s="12"/>
      <c r="W942" s="12"/>
      <c r="X942" s="12"/>
      <c r="Y942" s="12"/>
      <c r="Z942" s="12"/>
      <c r="AA942" s="12"/>
      <c r="AB942" s="12"/>
      <c r="AC942" s="12"/>
      <c r="AD942" s="12"/>
      <c r="AE942" s="12"/>
      <c r="AF942" s="12"/>
    </row>
    <row r="943" spans="1:32">
      <c r="A943" s="8"/>
      <c r="B943" s="8"/>
      <c r="C943" s="8"/>
      <c r="D943" s="8"/>
      <c r="E943" s="8"/>
      <c r="F943" s="8"/>
      <c r="G943" s="8"/>
      <c r="H943" s="8"/>
      <c r="I943" s="8"/>
      <c r="J943" s="8"/>
      <c r="K943" s="8"/>
      <c r="L943" s="8"/>
      <c r="M943" s="8"/>
      <c r="N943" s="8"/>
      <c r="O943" s="8"/>
      <c r="P943" s="8"/>
      <c r="Q943" s="8"/>
      <c r="R943" s="8"/>
      <c r="S943" s="8"/>
      <c r="T943" s="8"/>
      <c r="U943" s="12"/>
      <c r="V943" s="12"/>
      <c r="W943" s="12"/>
      <c r="X943" s="12"/>
      <c r="Y943" s="12"/>
      <c r="Z943" s="12"/>
      <c r="AA943" s="12"/>
      <c r="AB943" s="12"/>
      <c r="AC943" s="12"/>
      <c r="AD943" s="12"/>
      <c r="AE943" s="12"/>
      <c r="AF943" s="12"/>
    </row>
    <row r="944" spans="1:32">
      <c r="A944" s="8"/>
      <c r="B944" s="8"/>
      <c r="C944" s="8"/>
      <c r="D944" s="8"/>
      <c r="E944" s="8"/>
      <c r="F944" s="8"/>
      <c r="G944" s="8"/>
      <c r="H944" s="8"/>
      <c r="I944" s="8"/>
      <c r="J944" s="8"/>
      <c r="K944" s="8"/>
      <c r="L944" s="8"/>
      <c r="M944" s="8"/>
      <c r="N944" s="8"/>
      <c r="O944" s="8"/>
      <c r="P944" s="8"/>
      <c r="Q944" s="8"/>
      <c r="R944" s="8"/>
      <c r="S944" s="8"/>
      <c r="T944" s="8"/>
      <c r="U944" s="12"/>
      <c r="V944" s="12"/>
      <c r="W944" s="12"/>
      <c r="X944" s="12"/>
      <c r="Y944" s="12"/>
      <c r="Z944" s="12"/>
      <c r="AA944" s="12"/>
      <c r="AB944" s="12"/>
      <c r="AC944" s="12"/>
      <c r="AD944" s="12"/>
      <c r="AE944" s="12"/>
      <c r="AF944" s="12"/>
    </row>
    <row r="945" spans="1:32">
      <c r="A945" s="8"/>
      <c r="B945" s="8"/>
      <c r="C945" s="8"/>
      <c r="D945" s="8"/>
      <c r="E945" s="8"/>
      <c r="F945" s="8"/>
      <c r="G945" s="8"/>
      <c r="H945" s="8"/>
      <c r="I945" s="8"/>
      <c r="J945" s="8"/>
      <c r="K945" s="8"/>
      <c r="L945" s="8"/>
      <c r="M945" s="8"/>
      <c r="N945" s="8"/>
      <c r="O945" s="8"/>
      <c r="P945" s="8"/>
      <c r="Q945" s="8"/>
      <c r="R945" s="8"/>
      <c r="S945" s="8"/>
      <c r="T945" s="8"/>
      <c r="U945" s="12"/>
      <c r="V945" s="12"/>
      <c r="W945" s="12"/>
      <c r="X945" s="12"/>
      <c r="Y945" s="12"/>
      <c r="Z945" s="12"/>
      <c r="AA945" s="12"/>
      <c r="AB945" s="12"/>
      <c r="AC945" s="12"/>
      <c r="AD945" s="12"/>
      <c r="AE945" s="12"/>
      <c r="AF945" s="12"/>
    </row>
    <row r="946" spans="1:32">
      <c r="A946" s="8"/>
      <c r="B946" s="8"/>
      <c r="C946" s="8"/>
      <c r="D946" s="8"/>
      <c r="E946" s="8"/>
      <c r="F946" s="8"/>
      <c r="G946" s="8"/>
      <c r="H946" s="8"/>
      <c r="I946" s="8"/>
      <c r="J946" s="8"/>
      <c r="K946" s="8"/>
      <c r="L946" s="8"/>
      <c r="M946" s="8"/>
      <c r="N946" s="8"/>
      <c r="O946" s="8"/>
      <c r="P946" s="8"/>
      <c r="Q946" s="8"/>
      <c r="R946" s="8"/>
      <c r="S946" s="8"/>
      <c r="T946" s="8"/>
      <c r="U946" s="12"/>
      <c r="V946" s="12"/>
      <c r="W946" s="12"/>
      <c r="X946" s="12"/>
      <c r="Y946" s="12"/>
      <c r="Z946" s="12"/>
      <c r="AA946" s="12"/>
      <c r="AB946" s="12"/>
      <c r="AC946" s="12"/>
      <c r="AD946" s="12"/>
      <c r="AE946" s="12"/>
      <c r="AF946" s="12"/>
    </row>
    <row r="947" spans="1:32">
      <c r="A947" s="8"/>
      <c r="B947" s="8"/>
      <c r="C947" s="8"/>
      <c r="D947" s="8"/>
      <c r="E947" s="8"/>
      <c r="F947" s="8"/>
      <c r="G947" s="8"/>
      <c r="H947" s="8"/>
      <c r="I947" s="8"/>
      <c r="J947" s="8"/>
      <c r="K947" s="8"/>
      <c r="L947" s="8"/>
      <c r="M947" s="8"/>
      <c r="N947" s="8"/>
      <c r="O947" s="8"/>
      <c r="P947" s="8"/>
      <c r="Q947" s="8"/>
      <c r="R947" s="8"/>
      <c r="S947" s="8"/>
      <c r="T947" s="8"/>
      <c r="U947" s="12"/>
      <c r="V947" s="12"/>
      <c r="W947" s="12"/>
      <c r="X947" s="12"/>
      <c r="Y947" s="12"/>
      <c r="Z947" s="12"/>
      <c r="AA947" s="12"/>
      <c r="AB947" s="12"/>
      <c r="AC947" s="12"/>
      <c r="AD947" s="12"/>
      <c r="AE947" s="12"/>
      <c r="AF947" s="12"/>
    </row>
    <row r="948" spans="1:32">
      <c r="A948" s="8"/>
      <c r="B948" s="8"/>
      <c r="C948" s="8"/>
      <c r="D948" s="8"/>
      <c r="E948" s="8"/>
      <c r="F948" s="8"/>
      <c r="G948" s="8"/>
      <c r="H948" s="8"/>
      <c r="I948" s="8"/>
      <c r="J948" s="8"/>
      <c r="K948" s="8"/>
      <c r="L948" s="8"/>
      <c r="M948" s="8"/>
      <c r="N948" s="8"/>
      <c r="O948" s="8"/>
      <c r="P948" s="8"/>
      <c r="Q948" s="8"/>
      <c r="R948" s="8"/>
      <c r="S948" s="8"/>
      <c r="T948" s="8"/>
      <c r="U948" s="12"/>
      <c r="V948" s="12"/>
      <c r="W948" s="12"/>
      <c r="X948" s="12"/>
      <c r="Y948" s="12"/>
      <c r="Z948" s="12"/>
      <c r="AA948" s="12"/>
      <c r="AB948" s="12"/>
      <c r="AC948" s="12"/>
      <c r="AD948" s="12"/>
      <c r="AE948" s="12"/>
      <c r="AF948" s="12"/>
    </row>
    <row r="949" spans="1:32">
      <c r="A949" s="8"/>
      <c r="B949" s="8"/>
      <c r="C949" s="8"/>
      <c r="D949" s="8"/>
      <c r="E949" s="8"/>
      <c r="F949" s="8"/>
      <c r="G949" s="8"/>
      <c r="H949" s="8"/>
      <c r="I949" s="8"/>
      <c r="J949" s="8"/>
      <c r="K949" s="8"/>
      <c r="L949" s="8"/>
      <c r="M949" s="8"/>
      <c r="N949" s="8"/>
      <c r="O949" s="8"/>
      <c r="P949" s="8"/>
      <c r="Q949" s="8"/>
      <c r="R949" s="8"/>
      <c r="S949" s="8"/>
      <c r="T949" s="8"/>
      <c r="U949" s="12"/>
      <c r="V949" s="12"/>
      <c r="W949" s="12"/>
      <c r="X949" s="12"/>
      <c r="Y949" s="12"/>
      <c r="Z949" s="12"/>
      <c r="AA949" s="12"/>
      <c r="AB949" s="12"/>
      <c r="AC949" s="12"/>
      <c r="AD949" s="12"/>
      <c r="AE949" s="12"/>
      <c r="AF949" s="12"/>
    </row>
    <row r="950" spans="1:32">
      <c r="A950" s="8"/>
      <c r="B950" s="8"/>
      <c r="C950" s="8"/>
      <c r="D950" s="8"/>
      <c r="E950" s="8"/>
      <c r="F950" s="8"/>
      <c r="G950" s="8"/>
      <c r="H950" s="8"/>
      <c r="I950" s="8"/>
      <c r="J950" s="8"/>
      <c r="K950" s="8"/>
      <c r="L950" s="8"/>
      <c r="M950" s="8"/>
      <c r="N950" s="8"/>
      <c r="O950" s="8"/>
      <c r="P950" s="8"/>
      <c r="Q950" s="8"/>
      <c r="R950" s="8"/>
      <c r="S950" s="8"/>
      <c r="T950" s="8"/>
      <c r="U950" s="12"/>
      <c r="V950" s="12"/>
      <c r="W950" s="12"/>
      <c r="X950" s="12"/>
      <c r="Y950" s="12"/>
      <c r="Z950" s="12"/>
      <c r="AA950" s="12"/>
      <c r="AB950" s="12"/>
      <c r="AC950" s="12"/>
      <c r="AD950" s="12"/>
      <c r="AE950" s="12"/>
      <c r="AF950" s="12"/>
    </row>
    <row r="951" spans="1:32">
      <c r="A951" s="8"/>
      <c r="B951" s="8"/>
      <c r="C951" s="8"/>
      <c r="D951" s="8"/>
      <c r="E951" s="8"/>
      <c r="F951" s="8"/>
      <c r="G951" s="8"/>
      <c r="H951" s="8"/>
      <c r="I951" s="8"/>
      <c r="J951" s="8"/>
      <c r="K951" s="8"/>
      <c r="L951" s="8"/>
      <c r="M951" s="8"/>
      <c r="N951" s="8"/>
      <c r="O951" s="8"/>
      <c r="P951" s="8"/>
      <c r="Q951" s="8"/>
      <c r="R951" s="8"/>
      <c r="S951" s="8"/>
      <c r="T951" s="8"/>
      <c r="U951" s="12"/>
      <c r="V951" s="12"/>
      <c r="W951" s="12"/>
      <c r="X951" s="12"/>
      <c r="Y951" s="12"/>
      <c r="Z951" s="12"/>
      <c r="AA951" s="12"/>
      <c r="AB951" s="12"/>
      <c r="AC951" s="12"/>
      <c r="AD951" s="12"/>
      <c r="AE951" s="12"/>
      <c r="AF951" s="12"/>
    </row>
    <row r="952" spans="1:32">
      <c r="A952" s="8"/>
      <c r="B952" s="8"/>
      <c r="C952" s="8"/>
      <c r="D952" s="8"/>
      <c r="E952" s="8"/>
      <c r="F952" s="8"/>
      <c r="G952" s="8"/>
      <c r="H952" s="8"/>
      <c r="I952" s="8"/>
      <c r="J952" s="8"/>
      <c r="K952" s="8"/>
      <c r="L952" s="8"/>
      <c r="M952" s="8"/>
      <c r="N952" s="8"/>
      <c r="O952" s="8"/>
      <c r="P952" s="8"/>
      <c r="Q952" s="8"/>
      <c r="R952" s="8"/>
      <c r="S952" s="8"/>
      <c r="T952" s="8"/>
      <c r="U952" s="12"/>
      <c r="V952" s="12"/>
      <c r="W952" s="12"/>
      <c r="X952" s="12"/>
      <c r="Y952" s="12"/>
      <c r="Z952" s="12"/>
      <c r="AA952" s="12"/>
      <c r="AB952" s="12"/>
      <c r="AC952" s="12"/>
      <c r="AD952" s="12"/>
      <c r="AE952" s="12"/>
      <c r="AF952" s="12"/>
    </row>
    <row r="953" spans="1:32">
      <c r="A953" s="8"/>
      <c r="B953" s="8"/>
      <c r="C953" s="8"/>
      <c r="D953" s="8"/>
      <c r="E953" s="8"/>
      <c r="F953" s="8"/>
      <c r="G953" s="8"/>
      <c r="H953" s="8"/>
      <c r="I953" s="8"/>
      <c r="J953" s="8"/>
      <c r="K953" s="8"/>
      <c r="L953" s="8"/>
      <c r="M953" s="8"/>
      <c r="N953" s="8"/>
      <c r="O953" s="8"/>
      <c r="P953" s="8"/>
      <c r="Q953" s="8"/>
      <c r="R953" s="8"/>
      <c r="S953" s="8"/>
      <c r="T953" s="8"/>
      <c r="U953" s="12"/>
      <c r="V953" s="12"/>
      <c r="W953" s="12"/>
      <c r="X953" s="12"/>
      <c r="Y953" s="12"/>
      <c r="Z953" s="12"/>
      <c r="AA953" s="12"/>
      <c r="AB953" s="12"/>
      <c r="AC953" s="12"/>
      <c r="AD953" s="12"/>
      <c r="AE953" s="12"/>
      <c r="AF953" s="12"/>
    </row>
    <row r="954" spans="1:32">
      <c r="A954" s="8"/>
      <c r="B954" s="8"/>
      <c r="C954" s="8"/>
      <c r="D954" s="8"/>
      <c r="E954" s="8"/>
      <c r="F954" s="8"/>
      <c r="G954" s="8"/>
      <c r="H954" s="8"/>
      <c r="I954" s="8"/>
      <c r="J954" s="8"/>
      <c r="K954" s="8"/>
      <c r="L954" s="8"/>
      <c r="M954" s="8"/>
      <c r="N954" s="8"/>
      <c r="O954" s="8"/>
      <c r="P954" s="8"/>
      <c r="Q954" s="8"/>
      <c r="R954" s="8"/>
      <c r="S954" s="8"/>
      <c r="T954" s="8"/>
      <c r="U954" s="12"/>
      <c r="V954" s="12"/>
      <c r="W954" s="12"/>
      <c r="X954" s="12"/>
      <c r="Y954" s="12"/>
      <c r="Z954" s="12"/>
      <c r="AA954" s="12"/>
      <c r="AB954" s="12"/>
      <c r="AC954" s="12"/>
      <c r="AD954" s="12"/>
      <c r="AE954" s="12"/>
      <c r="AF954" s="12"/>
    </row>
    <row r="955" spans="1:32">
      <c r="A955" s="8"/>
      <c r="B955" s="8"/>
      <c r="C955" s="8"/>
      <c r="D955" s="8"/>
      <c r="E955" s="8"/>
      <c r="F955" s="8"/>
      <c r="G955" s="8"/>
      <c r="H955" s="8"/>
      <c r="I955" s="8"/>
      <c r="J955" s="8"/>
      <c r="K955" s="8"/>
      <c r="L955" s="8"/>
      <c r="M955" s="8"/>
      <c r="N955" s="8"/>
      <c r="O955" s="8"/>
      <c r="P955" s="8"/>
      <c r="Q955" s="8"/>
      <c r="R955" s="8"/>
      <c r="S955" s="8"/>
      <c r="T955" s="8"/>
      <c r="U955" s="12"/>
      <c r="V955" s="12"/>
      <c r="W955" s="12"/>
      <c r="X955" s="12"/>
      <c r="Y955" s="12"/>
      <c r="Z955" s="12"/>
      <c r="AA955" s="12"/>
      <c r="AB955" s="12"/>
      <c r="AC955" s="12"/>
      <c r="AD955" s="12"/>
      <c r="AE955" s="12"/>
      <c r="AF955" s="12"/>
    </row>
    <row r="956" spans="1:32">
      <c r="A956" s="8"/>
      <c r="B956" s="8"/>
      <c r="C956" s="8"/>
      <c r="D956" s="8"/>
      <c r="E956" s="8"/>
      <c r="F956" s="8"/>
      <c r="G956" s="8"/>
      <c r="H956" s="8"/>
      <c r="I956" s="8"/>
      <c r="J956" s="8"/>
      <c r="K956" s="8"/>
      <c r="L956" s="8"/>
      <c r="M956" s="8"/>
      <c r="N956" s="8"/>
      <c r="O956" s="8"/>
      <c r="P956" s="8"/>
      <c r="Q956" s="8"/>
      <c r="R956" s="8"/>
      <c r="S956" s="8"/>
      <c r="T956" s="8"/>
      <c r="U956" s="12"/>
      <c r="V956" s="12"/>
      <c r="W956" s="12"/>
      <c r="X956" s="12"/>
      <c r="Y956" s="12"/>
      <c r="Z956" s="12"/>
      <c r="AA956" s="12"/>
      <c r="AB956" s="12"/>
      <c r="AC956" s="12"/>
      <c r="AD956" s="12"/>
      <c r="AE956" s="12"/>
      <c r="AF956" s="12"/>
    </row>
    <row r="957" spans="1:32">
      <c r="A957" s="8"/>
      <c r="B957" s="8"/>
      <c r="C957" s="8"/>
      <c r="D957" s="8"/>
      <c r="E957" s="8"/>
      <c r="F957" s="8"/>
      <c r="G957" s="8"/>
      <c r="H957" s="8"/>
      <c r="I957" s="8"/>
      <c r="J957" s="8"/>
      <c r="K957" s="8"/>
      <c r="L957" s="8"/>
      <c r="M957" s="8"/>
      <c r="N957" s="8"/>
      <c r="O957" s="8"/>
      <c r="P957" s="8"/>
      <c r="Q957" s="8"/>
      <c r="R957" s="8"/>
      <c r="S957" s="8"/>
      <c r="T957" s="8"/>
      <c r="U957" s="12"/>
      <c r="V957" s="12"/>
      <c r="W957" s="12"/>
      <c r="X957" s="12"/>
      <c r="Y957" s="12"/>
      <c r="Z957" s="12"/>
      <c r="AA957" s="12"/>
      <c r="AB957" s="12"/>
      <c r="AC957" s="12"/>
      <c r="AD957" s="12"/>
      <c r="AE957" s="12"/>
      <c r="AF957" s="12"/>
    </row>
    <row r="958" spans="1:32">
      <c r="A958" s="8"/>
      <c r="B958" s="8"/>
      <c r="C958" s="8"/>
      <c r="D958" s="8"/>
      <c r="E958" s="8"/>
      <c r="F958" s="8"/>
      <c r="G958" s="8"/>
      <c r="H958" s="8"/>
      <c r="I958" s="8"/>
      <c r="J958" s="8"/>
      <c r="K958" s="8"/>
      <c r="L958" s="8"/>
      <c r="M958" s="8"/>
      <c r="N958" s="8"/>
      <c r="O958" s="8"/>
      <c r="P958" s="8"/>
      <c r="Q958" s="8"/>
      <c r="R958" s="8"/>
      <c r="S958" s="8"/>
      <c r="T958" s="8"/>
      <c r="U958" s="12"/>
      <c r="V958" s="12"/>
      <c r="W958" s="12"/>
      <c r="X958" s="12"/>
      <c r="Y958" s="12"/>
      <c r="Z958" s="12"/>
      <c r="AA958" s="12"/>
      <c r="AB958" s="12"/>
      <c r="AC958" s="12"/>
      <c r="AD958" s="12"/>
      <c r="AE958" s="12"/>
      <c r="AF958" s="12"/>
    </row>
    <row r="959" spans="1:32">
      <c r="A959" s="8"/>
      <c r="B959" s="8"/>
      <c r="C959" s="8"/>
      <c r="D959" s="8"/>
      <c r="E959" s="8"/>
      <c r="F959" s="8"/>
      <c r="G959" s="8"/>
      <c r="H959" s="8"/>
      <c r="I959" s="8"/>
      <c r="J959" s="8"/>
      <c r="K959" s="8"/>
      <c r="L959" s="8"/>
      <c r="M959" s="8"/>
      <c r="N959" s="8"/>
      <c r="O959" s="8"/>
      <c r="P959" s="8"/>
      <c r="Q959" s="8"/>
      <c r="R959" s="8"/>
      <c r="S959" s="8"/>
      <c r="T959" s="8"/>
      <c r="U959" s="12"/>
      <c r="V959" s="12"/>
      <c r="W959" s="12"/>
      <c r="X959" s="12"/>
      <c r="Y959" s="12"/>
      <c r="Z959" s="12"/>
      <c r="AA959" s="12"/>
      <c r="AB959" s="12"/>
      <c r="AC959" s="12"/>
      <c r="AD959" s="12"/>
      <c r="AE959" s="12"/>
      <c r="AF959" s="12"/>
    </row>
    <row r="960" spans="1:32">
      <c r="A960" s="8"/>
      <c r="B960" s="8"/>
      <c r="C960" s="8"/>
      <c r="D960" s="8"/>
      <c r="E960" s="8"/>
      <c r="F960" s="8"/>
      <c r="G960" s="8"/>
      <c r="H960" s="8"/>
      <c r="I960" s="8"/>
      <c r="J960" s="8"/>
      <c r="K960" s="8"/>
      <c r="L960" s="8"/>
      <c r="M960" s="8"/>
      <c r="N960" s="8"/>
      <c r="O960" s="8"/>
      <c r="P960" s="8"/>
      <c r="Q960" s="8"/>
      <c r="R960" s="8"/>
      <c r="S960" s="8"/>
      <c r="T960" s="8"/>
      <c r="U960" s="12"/>
      <c r="V960" s="12"/>
      <c r="W960" s="12"/>
      <c r="X960" s="12"/>
      <c r="Y960" s="12"/>
      <c r="Z960" s="12"/>
      <c r="AA960" s="12"/>
      <c r="AB960" s="12"/>
      <c r="AC960" s="12"/>
      <c r="AD960" s="12"/>
      <c r="AE960" s="12"/>
      <c r="AF960" s="12"/>
    </row>
    <row r="961" spans="1:32">
      <c r="A961" s="8"/>
      <c r="B961" s="8"/>
      <c r="C961" s="8"/>
      <c r="D961" s="8"/>
      <c r="E961" s="8"/>
      <c r="F961" s="8"/>
      <c r="G961" s="8"/>
      <c r="H961" s="8"/>
      <c r="I961" s="8"/>
      <c r="J961" s="8"/>
      <c r="K961" s="8"/>
      <c r="L961" s="8"/>
      <c r="M961" s="8"/>
      <c r="N961" s="8"/>
      <c r="O961" s="8"/>
      <c r="P961" s="8"/>
      <c r="Q961" s="8"/>
      <c r="R961" s="8"/>
      <c r="S961" s="8"/>
      <c r="T961" s="8"/>
      <c r="U961" s="12"/>
      <c r="V961" s="12"/>
      <c r="W961" s="12"/>
      <c r="X961" s="12"/>
      <c r="Y961" s="12"/>
      <c r="Z961" s="12"/>
      <c r="AA961" s="12"/>
      <c r="AB961" s="12"/>
      <c r="AC961" s="12"/>
      <c r="AD961" s="12"/>
      <c r="AE961" s="12"/>
      <c r="AF961" s="12"/>
    </row>
    <row r="962" spans="1:32">
      <c r="A962" s="8"/>
      <c r="B962" s="8"/>
      <c r="C962" s="8"/>
      <c r="D962" s="8"/>
      <c r="E962" s="8"/>
      <c r="F962" s="8"/>
      <c r="G962" s="8"/>
      <c r="H962" s="8"/>
      <c r="I962" s="8"/>
      <c r="J962" s="8"/>
      <c r="K962" s="8"/>
      <c r="L962" s="8"/>
      <c r="M962" s="8"/>
      <c r="N962" s="8"/>
      <c r="O962" s="8"/>
      <c r="P962" s="8"/>
      <c r="Q962" s="8"/>
      <c r="R962" s="8"/>
      <c r="S962" s="8"/>
      <c r="T962" s="8"/>
      <c r="U962" s="12"/>
      <c r="V962" s="12"/>
      <c r="W962" s="12"/>
      <c r="X962" s="12"/>
      <c r="Y962" s="12"/>
      <c r="Z962" s="12"/>
      <c r="AA962" s="12"/>
      <c r="AB962" s="12"/>
      <c r="AC962" s="12"/>
      <c r="AD962" s="12"/>
      <c r="AE962" s="12"/>
      <c r="AF962" s="12"/>
    </row>
    <row r="963" spans="1:32">
      <c r="A963" s="8"/>
      <c r="B963" s="8"/>
      <c r="C963" s="8"/>
      <c r="D963" s="8"/>
      <c r="E963" s="8"/>
      <c r="F963" s="8"/>
      <c r="G963" s="8"/>
      <c r="H963" s="8"/>
      <c r="I963" s="8"/>
      <c r="J963" s="8"/>
      <c r="K963" s="8"/>
      <c r="L963" s="8"/>
      <c r="M963" s="8"/>
      <c r="N963" s="8"/>
      <c r="O963" s="8"/>
      <c r="P963" s="8"/>
      <c r="Q963" s="8"/>
      <c r="R963" s="8"/>
      <c r="S963" s="8"/>
      <c r="T963" s="8"/>
      <c r="U963" s="12"/>
      <c r="V963" s="12"/>
      <c r="W963" s="12"/>
      <c r="X963" s="12"/>
      <c r="Y963" s="12"/>
      <c r="Z963" s="12"/>
      <c r="AA963" s="12"/>
      <c r="AB963" s="12"/>
      <c r="AC963" s="12"/>
      <c r="AD963" s="12"/>
      <c r="AE963" s="12"/>
      <c r="AF963" s="12"/>
    </row>
    <row r="964" spans="1:32">
      <c r="A964" s="8"/>
      <c r="B964" s="8"/>
      <c r="C964" s="8"/>
      <c r="D964" s="8"/>
      <c r="E964" s="8"/>
      <c r="F964" s="8"/>
      <c r="G964" s="8"/>
      <c r="H964" s="8"/>
      <c r="I964" s="8"/>
      <c r="J964" s="8"/>
      <c r="K964" s="8"/>
      <c r="L964" s="8"/>
      <c r="M964" s="8"/>
      <c r="N964" s="8"/>
      <c r="O964" s="8"/>
      <c r="P964" s="8"/>
      <c r="Q964" s="8"/>
      <c r="R964" s="8"/>
      <c r="S964" s="8"/>
      <c r="T964" s="8"/>
      <c r="U964" s="12"/>
      <c r="V964" s="12"/>
      <c r="W964" s="12"/>
      <c r="X964" s="12"/>
      <c r="Y964" s="12"/>
      <c r="Z964" s="12"/>
      <c r="AA964" s="12"/>
      <c r="AB964" s="12"/>
      <c r="AC964" s="12"/>
      <c r="AD964" s="12"/>
      <c r="AE964" s="12"/>
      <c r="AF964" s="12"/>
    </row>
    <row r="965" spans="1:32">
      <c r="A965" s="8"/>
      <c r="B965" s="8"/>
      <c r="C965" s="8"/>
      <c r="D965" s="8"/>
      <c r="E965" s="8"/>
      <c r="F965" s="8"/>
      <c r="G965" s="8"/>
      <c r="H965" s="8"/>
      <c r="I965" s="8"/>
      <c r="J965" s="8"/>
      <c r="K965" s="8"/>
      <c r="L965" s="8"/>
      <c r="M965" s="8"/>
      <c r="N965" s="8"/>
      <c r="O965" s="8"/>
      <c r="P965" s="8"/>
      <c r="Q965" s="8"/>
      <c r="R965" s="8"/>
      <c r="S965" s="8"/>
      <c r="T965" s="8"/>
      <c r="U965" s="12"/>
      <c r="V965" s="12"/>
      <c r="W965" s="12"/>
      <c r="X965" s="12"/>
      <c r="Y965" s="12"/>
      <c r="Z965" s="12"/>
      <c r="AA965" s="12"/>
      <c r="AB965" s="12"/>
      <c r="AC965" s="12"/>
      <c r="AD965" s="12"/>
      <c r="AE965" s="12"/>
      <c r="AF965" s="12"/>
    </row>
    <row r="966" spans="1:32">
      <c r="A966" s="8"/>
      <c r="B966" s="8"/>
      <c r="C966" s="8"/>
      <c r="D966" s="8"/>
      <c r="E966" s="8"/>
      <c r="F966" s="8"/>
      <c r="G966" s="8"/>
      <c r="H966" s="8"/>
      <c r="I966" s="8"/>
      <c r="J966" s="8"/>
      <c r="K966" s="8"/>
      <c r="L966" s="8"/>
      <c r="M966" s="8"/>
      <c r="N966" s="8"/>
      <c r="O966" s="8"/>
      <c r="P966" s="8"/>
      <c r="Q966" s="8"/>
      <c r="R966" s="8"/>
      <c r="S966" s="8"/>
      <c r="T966" s="8"/>
      <c r="U966" s="12"/>
      <c r="V966" s="12"/>
      <c r="W966" s="12"/>
      <c r="X966" s="12"/>
      <c r="Y966" s="12"/>
      <c r="Z966" s="12"/>
      <c r="AA966" s="12"/>
      <c r="AB966" s="12"/>
      <c r="AC966" s="12"/>
      <c r="AD966" s="12"/>
      <c r="AE966" s="12"/>
      <c r="AF966" s="12"/>
    </row>
    <row r="967" spans="1:32">
      <c r="A967" s="8"/>
      <c r="B967" s="8"/>
      <c r="C967" s="8"/>
      <c r="D967" s="8"/>
      <c r="E967" s="8"/>
      <c r="F967" s="8"/>
      <c r="G967" s="8"/>
      <c r="H967" s="8"/>
      <c r="I967" s="8"/>
      <c r="J967" s="8"/>
      <c r="K967" s="8"/>
      <c r="L967" s="8"/>
      <c r="M967" s="8"/>
      <c r="N967" s="8"/>
      <c r="O967" s="8"/>
      <c r="P967" s="8"/>
      <c r="Q967" s="8"/>
      <c r="R967" s="8"/>
      <c r="S967" s="8"/>
      <c r="T967" s="8"/>
      <c r="U967" s="12"/>
      <c r="V967" s="12"/>
      <c r="W967" s="12"/>
      <c r="X967" s="12"/>
      <c r="Y967" s="12"/>
      <c r="Z967" s="12"/>
      <c r="AA967" s="12"/>
      <c r="AB967" s="12"/>
      <c r="AC967" s="12"/>
      <c r="AD967" s="12"/>
      <c r="AE967" s="12"/>
      <c r="AF967" s="12"/>
    </row>
    <row r="968" spans="1:32">
      <c r="A968" s="8"/>
      <c r="B968" s="8"/>
      <c r="C968" s="8"/>
      <c r="D968" s="8"/>
      <c r="E968" s="8"/>
      <c r="F968" s="8"/>
      <c r="G968" s="8"/>
      <c r="H968" s="8"/>
      <c r="I968" s="8"/>
      <c r="J968" s="8"/>
      <c r="K968" s="8"/>
      <c r="L968" s="8"/>
      <c r="M968" s="8"/>
      <c r="N968" s="8"/>
      <c r="O968" s="8"/>
      <c r="P968" s="8"/>
      <c r="Q968" s="8"/>
      <c r="R968" s="8"/>
      <c r="S968" s="8"/>
      <c r="T968" s="8"/>
      <c r="U968" s="12"/>
      <c r="V968" s="12"/>
      <c r="W968" s="12"/>
      <c r="X968" s="12"/>
      <c r="Y968" s="12"/>
      <c r="Z968" s="12"/>
      <c r="AA968" s="12"/>
      <c r="AB968" s="12"/>
      <c r="AC968" s="12"/>
      <c r="AD968" s="12"/>
      <c r="AE968" s="12"/>
      <c r="AF968" s="12"/>
    </row>
    <row r="969" spans="1:32">
      <c r="A969" s="8"/>
      <c r="B969" s="8"/>
      <c r="C969" s="8"/>
      <c r="D969" s="8"/>
      <c r="E969" s="8"/>
      <c r="F969" s="8"/>
      <c r="G969" s="8"/>
      <c r="H969" s="8"/>
      <c r="I969" s="8"/>
      <c r="J969" s="8"/>
      <c r="K969" s="8"/>
      <c r="L969" s="8"/>
      <c r="M969" s="8"/>
      <c r="N969" s="8"/>
      <c r="O969" s="8"/>
      <c r="P969" s="8"/>
      <c r="Q969" s="8"/>
      <c r="R969" s="8"/>
      <c r="S969" s="8"/>
      <c r="T969" s="8"/>
      <c r="U969" s="12"/>
      <c r="V969" s="12"/>
      <c r="W969" s="12"/>
      <c r="X969" s="12"/>
      <c r="Y969" s="12"/>
      <c r="Z969" s="12"/>
      <c r="AA969" s="12"/>
      <c r="AB969" s="12"/>
      <c r="AC969" s="12"/>
      <c r="AD969" s="12"/>
      <c r="AE969" s="12"/>
      <c r="AF969" s="12"/>
    </row>
    <row r="970" spans="1:32">
      <c r="A970" s="8"/>
      <c r="B970" s="8"/>
      <c r="C970" s="8"/>
      <c r="D970" s="8"/>
      <c r="E970" s="8"/>
      <c r="F970" s="8"/>
      <c r="G970" s="8"/>
      <c r="H970" s="8"/>
      <c r="I970" s="8"/>
      <c r="J970" s="8"/>
      <c r="K970" s="8"/>
      <c r="L970" s="8"/>
      <c r="M970" s="8"/>
      <c r="N970" s="8"/>
      <c r="O970" s="8"/>
      <c r="P970" s="8"/>
      <c r="Q970" s="8"/>
      <c r="R970" s="8"/>
      <c r="S970" s="8"/>
      <c r="T970" s="8"/>
      <c r="U970" s="12"/>
      <c r="V970" s="12"/>
      <c r="W970" s="12"/>
      <c r="X970" s="12"/>
      <c r="Y970" s="12"/>
      <c r="Z970" s="12"/>
      <c r="AA970" s="12"/>
      <c r="AB970" s="12"/>
      <c r="AC970" s="12"/>
      <c r="AD970" s="12"/>
      <c r="AE970" s="12"/>
      <c r="AF970" s="12"/>
    </row>
    <row r="971" spans="1:32">
      <c r="A971" s="8"/>
      <c r="B971" s="8"/>
      <c r="C971" s="8"/>
      <c r="D971" s="8"/>
      <c r="E971" s="8"/>
      <c r="F971" s="8"/>
      <c r="G971" s="8"/>
      <c r="H971" s="8"/>
      <c r="I971" s="8"/>
      <c r="J971" s="8"/>
      <c r="K971" s="8"/>
      <c r="L971" s="8"/>
      <c r="M971" s="8"/>
      <c r="N971" s="8"/>
      <c r="O971" s="8"/>
      <c r="P971" s="8"/>
      <c r="Q971" s="8"/>
      <c r="R971" s="8"/>
      <c r="S971" s="8"/>
      <c r="T971" s="8"/>
      <c r="U971" s="12"/>
      <c r="V971" s="12"/>
      <c r="W971" s="12"/>
      <c r="X971" s="12"/>
      <c r="Y971" s="12"/>
      <c r="Z971" s="12"/>
      <c r="AA971" s="12"/>
      <c r="AB971" s="12"/>
      <c r="AC971" s="12"/>
      <c r="AD971" s="12"/>
      <c r="AE971" s="12"/>
      <c r="AF971" s="12"/>
    </row>
    <row r="972" spans="1:32">
      <c r="A972" s="8"/>
      <c r="B972" s="8"/>
      <c r="C972" s="8"/>
      <c r="D972" s="8"/>
      <c r="E972" s="8"/>
      <c r="F972" s="8"/>
      <c r="G972" s="8"/>
      <c r="H972" s="8"/>
      <c r="I972" s="8"/>
      <c r="J972" s="8"/>
      <c r="K972" s="8"/>
      <c r="L972" s="8"/>
      <c r="M972" s="8"/>
      <c r="N972" s="8"/>
      <c r="O972" s="8"/>
      <c r="P972" s="8"/>
      <c r="Q972" s="8"/>
      <c r="R972" s="8"/>
      <c r="S972" s="8"/>
      <c r="T972" s="8"/>
      <c r="U972" s="12"/>
      <c r="V972" s="12"/>
      <c r="W972" s="12"/>
      <c r="X972" s="12"/>
      <c r="Y972" s="12"/>
      <c r="Z972" s="12"/>
      <c r="AA972" s="12"/>
      <c r="AB972" s="12"/>
      <c r="AC972" s="12"/>
      <c r="AD972" s="12"/>
      <c r="AE972" s="12"/>
      <c r="AF972" s="12"/>
    </row>
    <row r="973" spans="1:32">
      <c r="A973" s="8"/>
      <c r="B973" s="8"/>
      <c r="C973" s="8"/>
      <c r="D973" s="8"/>
      <c r="E973" s="8"/>
      <c r="F973" s="8"/>
      <c r="G973" s="8"/>
      <c r="H973" s="8"/>
      <c r="I973" s="8"/>
      <c r="J973" s="8"/>
      <c r="K973" s="8"/>
      <c r="L973" s="8"/>
      <c r="M973" s="8"/>
      <c r="N973" s="8"/>
      <c r="O973" s="8"/>
      <c r="P973" s="8"/>
      <c r="Q973" s="8"/>
      <c r="R973" s="8"/>
      <c r="S973" s="8"/>
      <c r="T973" s="8"/>
      <c r="U973" s="12"/>
      <c r="V973" s="12"/>
      <c r="W973" s="12"/>
      <c r="X973" s="12"/>
      <c r="Y973" s="12"/>
      <c r="Z973" s="12"/>
      <c r="AA973" s="12"/>
      <c r="AB973" s="12"/>
      <c r="AC973" s="12"/>
      <c r="AD973" s="12"/>
      <c r="AE973" s="12"/>
      <c r="AF973" s="12"/>
    </row>
    <row r="974" spans="1:32">
      <c r="A974" s="8"/>
      <c r="B974" s="8"/>
      <c r="C974" s="8"/>
      <c r="D974" s="8"/>
      <c r="E974" s="8"/>
      <c r="F974" s="8"/>
      <c r="G974" s="8"/>
      <c r="H974" s="8"/>
      <c r="I974" s="8"/>
      <c r="J974" s="8"/>
      <c r="K974" s="8"/>
      <c r="L974" s="8"/>
      <c r="M974" s="8"/>
      <c r="N974" s="8"/>
      <c r="O974" s="8"/>
      <c r="P974" s="8"/>
      <c r="Q974" s="8"/>
      <c r="R974" s="8"/>
      <c r="S974" s="8"/>
      <c r="T974" s="8"/>
      <c r="U974" s="12"/>
      <c r="V974" s="12"/>
      <c r="W974" s="12"/>
      <c r="X974" s="12"/>
      <c r="Y974" s="12"/>
      <c r="Z974" s="12"/>
      <c r="AA974" s="12"/>
      <c r="AB974" s="12"/>
      <c r="AC974" s="12"/>
      <c r="AD974" s="12"/>
      <c r="AE974" s="12"/>
      <c r="AF974" s="12"/>
    </row>
    <row r="975" spans="1:32">
      <c r="A975" s="8"/>
      <c r="B975" s="8"/>
      <c r="C975" s="8"/>
      <c r="D975" s="8"/>
      <c r="E975" s="8"/>
      <c r="F975" s="8"/>
      <c r="G975" s="8"/>
      <c r="H975" s="8"/>
      <c r="I975" s="8"/>
      <c r="J975" s="8"/>
      <c r="K975" s="8"/>
      <c r="L975" s="8"/>
      <c r="M975" s="8"/>
      <c r="N975" s="8"/>
      <c r="O975" s="8"/>
      <c r="P975" s="8"/>
      <c r="Q975" s="8"/>
      <c r="R975" s="8"/>
      <c r="S975" s="8"/>
      <c r="T975" s="8"/>
      <c r="U975" s="12"/>
      <c r="V975" s="12"/>
      <c r="W975" s="12"/>
      <c r="X975" s="12"/>
      <c r="Y975" s="12"/>
      <c r="Z975" s="12"/>
      <c r="AA975" s="12"/>
      <c r="AB975" s="12"/>
      <c r="AC975" s="12"/>
      <c r="AD975" s="12"/>
      <c r="AE975" s="12"/>
      <c r="AF975" s="12"/>
    </row>
    <row r="976" spans="1:32">
      <c r="A976" s="8"/>
      <c r="B976" s="8"/>
      <c r="C976" s="8"/>
      <c r="D976" s="8"/>
      <c r="E976" s="8"/>
      <c r="F976" s="8"/>
      <c r="G976" s="8"/>
      <c r="H976" s="8"/>
      <c r="I976" s="8"/>
      <c r="J976" s="8"/>
      <c r="K976" s="8"/>
      <c r="L976" s="8"/>
      <c r="M976" s="8"/>
      <c r="N976" s="8"/>
      <c r="O976" s="8"/>
      <c r="P976" s="8"/>
      <c r="Q976" s="8"/>
      <c r="R976" s="8"/>
      <c r="S976" s="8"/>
      <c r="T976" s="8"/>
      <c r="U976" s="12"/>
      <c r="V976" s="12"/>
      <c r="W976" s="12"/>
      <c r="X976" s="12"/>
      <c r="Y976" s="12"/>
      <c r="Z976" s="12"/>
      <c r="AA976" s="12"/>
      <c r="AB976" s="12"/>
      <c r="AC976" s="12"/>
      <c r="AD976" s="12"/>
      <c r="AE976" s="12"/>
      <c r="AF976" s="12"/>
    </row>
    <row r="977" spans="1:32">
      <c r="A977" s="8"/>
      <c r="B977" s="8"/>
      <c r="C977" s="8"/>
      <c r="D977" s="8"/>
      <c r="E977" s="8"/>
      <c r="F977" s="8"/>
      <c r="G977" s="8"/>
      <c r="H977" s="8"/>
      <c r="I977" s="8"/>
      <c r="J977" s="8"/>
      <c r="K977" s="8"/>
      <c r="L977" s="8"/>
      <c r="M977" s="8"/>
      <c r="N977" s="8"/>
      <c r="O977" s="8"/>
      <c r="P977" s="8"/>
      <c r="Q977" s="8"/>
      <c r="R977" s="8"/>
      <c r="S977" s="8"/>
      <c r="T977" s="8"/>
      <c r="U977" s="12"/>
      <c r="V977" s="12"/>
      <c r="W977" s="12"/>
      <c r="X977" s="12"/>
      <c r="Y977" s="12"/>
      <c r="Z977" s="12"/>
      <c r="AA977" s="12"/>
      <c r="AB977" s="12"/>
      <c r="AC977" s="12"/>
      <c r="AD977" s="12"/>
      <c r="AE977" s="12"/>
      <c r="AF977" s="12"/>
    </row>
    <row r="978" spans="1:32">
      <c r="A978" s="8"/>
      <c r="B978" s="8"/>
      <c r="C978" s="8"/>
      <c r="D978" s="8"/>
      <c r="E978" s="8"/>
      <c r="F978" s="8"/>
      <c r="G978" s="8"/>
      <c r="H978" s="8"/>
      <c r="I978" s="8"/>
      <c r="J978" s="8"/>
      <c r="K978" s="8"/>
      <c r="L978" s="8"/>
      <c r="M978" s="8"/>
      <c r="N978" s="8"/>
      <c r="O978" s="8"/>
      <c r="P978" s="8"/>
      <c r="Q978" s="8"/>
      <c r="R978" s="8"/>
      <c r="S978" s="8"/>
      <c r="T978" s="8"/>
      <c r="U978" s="12"/>
      <c r="V978" s="12"/>
      <c r="W978" s="12"/>
      <c r="X978" s="12"/>
      <c r="Y978" s="12"/>
      <c r="Z978" s="12"/>
      <c r="AA978" s="12"/>
      <c r="AB978" s="12"/>
      <c r="AC978" s="12"/>
      <c r="AD978" s="12"/>
      <c r="AE978" s="12"/>
      <c r="AF978" s="12"/>
    </row>
    <row r="979" spans="1:32">
      <c r="A979" s="8"/>
      <c r="B979" s="8"/>
      <c r="C979" s="8"/>
      <c r="D979" s="8"/>
      <c r="E979" s="8"/>
      <c r="F979" s="8"/>
      <c r="G979" s="8"/>
      <c r="H979" s="8"/>
      <c r="I979" s="8"/>
      <c r="J979" s="8"/>
      <c r="K979" s="8"/>
      <c r="L979" s="8"/>
      <c r="M979" s="8"/>
      <c r="N979" s="8"/>
      <c r="O979" s="8"/>
      <c r="P979" s="8"/>
      <c r="Q979" s="8"/>
      <c r="R979" s="8"/>
      <c r="S979" s="8"/>
      <c r="T979" s="8"/>
      <c r="U979" s="12"/>
      <c r="V979" s="12"/>
      <c r="W979" s="12"/>
      <c r="X979" s="12"/>
      <c r="Y979" s="12"/>
      <c r="Z979" s="12"/>
      <c r="AA979" s="12"/>
      <c r="AB979" s="12"/>
      <c r="AC979" s="12"/>
      <c r="AD979" s="12"/>
      <c r="AE979" s="12"/>
      <c r="AF979" s="12"/>
    </row>
    <row r="980" spans="1:32">
      <c r="A980" s="8"/>
      <c r="B980" s="8"/>
      <c r="C980" s="8"/>
      <c r="D980" s="8"/>
      <c r="E980" s="8"/>
      <c r="F980" s="8"/>
      <c r="G980" s="8"/>
      <c r="H980" s="8"/>
      <c r="I980" s="8"/>
      <c r="J980" s="8"/>
      <c r="K980" s="8"/>
      <c r="L980" s="8"/>
      <c r="M980" s="8"/>
      <c r="N980" s="8"/>
      <c r="O980" s="8"/>
      <c r="P980" s="8"/>
      <c r="Q980" s="8"/>
      <c r="R980" s="8"/>
      <c r="S980" s="8"/>
      <c r="T980" s="8"/>
      <c r="U980" s="12"/>
      <c r="V980" s="12"/>
      <c r="W980" s="12"/>
      <c r="X980" s="12"/>
      <c r="Y980" s="12"/>
      <c r="Z980" s="12"/>
      <c r="AA980" s="12"/>
      <c r="AB980" s="12"/>
      <c r="AC980" s="12"/>
      <c r="AD980" s="12"/>
      <c r="AE980" s="12"/>
      <c r="AF980" s="12"/>
    </row>
    <row r="981" spans="1:32">
      <c r="A981" s="8"/>
      <c r="B981" s="8"/>
      <c r="C981" s="8"/>
      <c r="D981" s="8"/>
      <c r="E981" s="8"/>
      <c r="F981" s="8"/>
      <c r="G981" s="8"/>
      <c r="H981" s="8"/>
      <c r="I981" s="8"/>
      <c r="J981" s="8"/>
      <c r="K981" s="8"/>
      <c r="L981" s="8"/>
      <c r="M981" s="8"/>
      <c r="N981" s="8"/>
      <c r="O981" s="8"/>
      <c r="P981" s="8"/>
      <c r="Q981" s="8"/>
      <c r="R981" s="8"/>
      <c r="S981" s="8"/>
      <c r="T981" s="8"/>
      <c r="U981" s="12"/>
      <c r="V981" s="12"/>
      <c r="W981" s="12"/>
      <c r="X981" s="12"/>
      <c r="Y981" s="12"/>
      <c r="Z981" s="12"/>
      <c r="AA981" s="12"/>
      <c r="AB981" s="12"/>
      <c r="AC981" s="12"/>
      <c r="AD981" s="12"/>
      <c r="AE981" s="12"/>
      <c r="AF981" s="12"/>
    </row>
    <row r="982" spans="1:32">
      <c r="A982" s="8"/>
      <c r="B982" s="8"/>
      <c r="C982" s="8"/>
      <c r="D982" s="8"/>
      <c r="E982" s="8"/>
      <c r="F982" s="8"/>
      <c r="G982" s="8"/>
      <c r="H982" s="8"/>
      <c r="I982" s="8"/>
      <c r="J982" s="8"/>
      <c r="K982" s="8"/>
      <c r="L982" s="8"/>
      <c r="M982" s="8"/>
      <c r="N982" s="8"/>
      <c r="O982" s="8"/>
      <c r="P982" s="8"/>
      <c r="Q982" s="8"/>
      <c r="R982" s="8"/>
      <c r="S982" s="8"/>
      <c r="T982" s="8"/>
      <c r="U982" s="12"/>
      <c r="V982" s="12"/>
      <c r="W982" s="12"/>
      <c r="X982" s="12"/>
      <c r="Y982" s="12"/>
      <c r="Z982" s="12"/>
      <c r="AA982" s="12"/>
      <c r="AB982" s="12"/>
      <c r="AC982" s="12"/>
      <c r="AD982" s="12"/>
      <c r="AE982" s="12"/>
      <c r="AF982" s="12"/>
    </row>
    <row r="983" spans="1:32">
      <c r="A983" s="8"/>
      <c r="B983" s="8"/>
      <c r="C983" s="8"/>
      <c r="D983" s="8"/>
      <c r="E983" s="8"/>
      <c r="F983" s="8"/>
      <c r="G983" s="8"/>
      <c r="H983" s="8"/>
      <c r="I983" s="8"/>
      <c r="J983" s="8"/>
      <c r="K983" s="8"/>
      <c r="L983" s="8"/>
      <c r="M983" s="8"/>
      <c r="N983" s="8"/>
      <c r="O983" s="8"/>
      <c r="P983" s="8"/>
      <c r="Q983" s="8"/>
      <c r="R983" s="8"/>
      <c r="S983" s="8"/>
      <c r="T983" s="8"/>
      <c r="U983" s="12"/>
      <c r="V983" s="12"/>
      <c r="W983" s="12"/>
      <c r="X983" s="12"/>
      <c r="Y983" s="12"/>
      <c r="Z983" s="12"/>
      <c r="AA983" s="12"/>
      <c r="AB983" s="12"/>
      <c r="AC983" s="12"/>
      <c r="AD983" s="12"/>
      <c r="AE983" s="12"/>
      <c r="AF983" s="12"/>
    </row>
    <row r="984" spans="1:32">
      <c r="A984" s="8"/>
      <c r="B984" s="8"/>
      <c r="C984" s="8"/>
      <c r="D984" s="8"/>
      <c r="E984" s="8"/>
      <c r="F984" s="8"/>
      <c r="G984" s="8"/>
      <c r="H984" s="8"/>
      <c r="I984" s="8"/>
      <c r="J984" s="8"/>
      <c r="K984" s="8"/>
      <c r="L984" s="8"/>
      <c r="M984" s="8"/>
      <c r="N984" s="8"/>
      <c r="O984" s="8"/>
      <c r="P984" s="8"/>
      <c r="Q984" s="8"/>
      <c r="R984" s="8"/>
      <c r="S984" s="8"/>
      <c r="T984" s="8"/>
      <c r="U984" s="12"/>
      <c r="V984" s="12"/>
      <c r="W984" s="12"/>
      <c r="X984" s="12"/>
      <c r="Y984" s="12"/>
      <c r="Z984" s="12"/>
      <c r="AA984" s="12"/>
      <c r="AB984" s="12"/>
      <c r="AC984" s="12"/>
      <c r="AD984" s="12"/>
      <c r="AE984" s="12"/>
      <c r="AF984" s="12"/>
    </row>
    <row r="985" spans="1:32">
      <c r="A985" s="8"/>
      <c r="B985" s="8"/>
      <c r="C985" s="8"/>
      <c r="D985" s="8"/>
      <c r="E985" s="8"/>
      <c r="F985" s="8"/>
      <c r="G985" s="8"/>
      <c r="H985" s="8"/>
      <c r="I985" s="8"/>
      <c r="J985" s="8"/>
      <c r="K985" s="8"/>
      <c r="L985" s="8"/>
      <c r="M985" s="8"/>
      <c r="N985" s="8"/>
      <c r="O985" s="8"/>
      <c r="P985" s="8"/>
      <c r="Q985" s="8"/>
      <c r="R985" s="8"/>
      <c r="S985" s="8"/>
      <c r="T985" s="8"/>
      <c r="U985" s="12"/>
      <c r="V985" s="12"/>
      <c r="W985" s="12"/>
      <c r="X985" s="12"/>
      <c r="Y985" s="12"/>
      <c r="Z985" s="12"/>
      <c r="AA985" s="12"/>
      <c r="AB985" s="12"/>
      <c r="AC985" s="12"/>
      <c r="AD985" s="12"/>
      <c r="AE985" s="12"/>
      <c r="AF985" s="12"/>
    </row>
    <row r="986" spans="1:32">
      <c r="A986" s="8"/>
      <c r="B986" s="8"/>
      <c r="C986" s="8"/>
      <c r="D986" s="8"/>
      <c r="E986" s="8"/>
      <c r="F986" s="8"/>
      <c r="G986" s="8"/>
      <c r="H986" s="8"/>
      <c r="I986" s="8"/>
      <c r="J986" s="8"/>
      <c r="K986" s="8"/>
      <c r="L986" s="8"/>
      <c r="M986" s="8"/>
      <c r="N986" s="8"/>
      <c r="O986" s="8"/>
      <c r="P986" s="8"/>
      <c r="Q986" s="8"/>
      <c r="R986" s="8"/>
      <c r="S986" s="8"/>
      <c r="T986" s="8"/>
      <c r="U986" s="12"/>
      <c r="V986" s="12"/>
      <c r="W986" s="12"/>
      <c r="X986" s="12"/>
      <c r="Y986" s="12"/>
      <c r="Z986" s="12"/>
      <c r="AA986" s="12"/>
      <c r="AB986" s="12"/>
      <c r="AC986" s="12"/>
      <c r="AD986" s="12"/>
      <c r="AE986" s="12"/>
      <c r="AF986" s="12"/>
    </row>
    <row r="987" spans="1:32">
      <c r="A987" s="8"/>
      <c r="B987" s="8"/>
      <c r="C987" s="8"/>
      <c r="D987" s="8"/>
      <c r="E987" s="8"/>
      <c r="F987" s="8"/>
      <c r="G987" s="8"/>
      <c r="H987" s="8"/>
      <c r="I987" s="8"/>
      <c r="J987" s="8"/>
      <c r="K987" s="8"/>
      <c r="L987" s="8"/>
      <c r="M987" s="8"/>
      <c r="N987" s="8"/>
      <c r="O987" s="8"/>
      <c r="P987" s="8"/>
      <c r="Q987" s="8"/>
      <c r="R987" s="8"/>
      <c r="S987" s="8"/>
      <c r="T987" s="8"/>
      <c r="U987" s="12"/>
      <c r="V987" s="12"/>
      <c r="W987" s="12"/>
      <c r="X987" s="12"/>
      <c r="Y987" s="12"/>
      <c r="Z987" s="12"/>
      <c r="AA987" s="12"/>
      <c r="AB987" s="12"/>
      <c r="AC987" s="12"/>
      <c r="AD987" s="12"/>
      <c r="AE987" s="12"/>
      <c r="AF987" s="12"/>
    </row>
    <row r="988" spans="1:32">
      <c r="A988" s="8"/>
      <c r="B988" s="8"/>
      <c r="C988" s="8"/>
      <c r="D988" s="8"/>
      <c r="E988" s="8"/>
      <c r="F988" s="8"/>
      <c r="G988" s="8"/>
      <c r="H988" s="8"/>
      <c r="I988" s="8"/>
      <c r="J988" s="8"/>
      <c r="K988" s="8"/>
      <c r="L988" s="8"/>
      <c r="M988" s="8"/>
      <c r="N988" s="8"/>
      <c r="O988" s="8"/>
      <c r="P988" s="8"/>
      <c r="Q988" s="8"/>
      <c r="R988" s="8"/>
      <c r="S988" s="8"/>
      <c r="T988" s="8"/>
      <c r="U988" s="12"/>
      <c r="V988" s="12"/>
      <c r="W988" s="12"/>
      <c r="X988" s="12"/>
      <c r="Y988" s="12"/>
      <c r="Z988" s="12"/>
      <c r="AA988" s="12"/>
      <c r="AB988" s="12"/>
      <c r="AC988" s="12"/>
      <c r="AD988" s="12"/>
      <c r="AE988" s="12"/>
      <c r="AF988" s="12"/>
    </row>
    <row r="989" spans="1:32">
      <c r="A989" s="8"/>
      <c r="B989" s="8"/>
      <c r="C989" s="8"/>
      <c r="D989" s="8"/>
      <c r="E989" s="8"/>
      <c r="F989" s="8"/>
      <c r="G989" s="8"/>
      <c r="H989" s="8"/>
      <c r="I989" s="8"/>
      <c r="J989" s="8"/>
      <c r="K989" s="8"/>
      <c r="L989" s="8"/>
      <c r="M989" s="8"/>
      <c r="N989" s="8"/>
      <c r="O989" s="8"/>
      <c r="P989" s="8"/>
      <c r="Q989" s="8"/>
      <c r="R989" s="8"/>
      <c r="S989" s="8"/>
      <c r="T989" s="8"/>
      <c r="U989" s="12"/>
      <c r="V989" s="12"/>
      <c r="W989" s="12"/>
      <c r="X989" s="12"/>
      <c r="Y989" s="12"/>
      <c r="Z989" s="12"/>
      <c r="AA989" s="12"/>
      <c r="AB989" s="12"/>
      <c r="AC989" s="12"/>
      <c r="AD989" s="12"/>
      <c r="AE989" s="12"/>
      <c r="AF989" s="12"/>
    </row>
    <row r="990" spans="1:32">
      <c r="A990" s="8"/>
      <c r="B990" s="8"/>
      <c r="C990" s="8"/>
      <c r="D990" s="8"/>
      <c r="E990" s="8"/>
      <c r="F990" s="8"/>
      <c r="G990" s="8"/>
      <c r="H990" s="8"/>
      <c r="I990" s="8"/>
      <c r="J990" s="8"/>
      <c r="K990" s="8"/>
      <c r="L990" s="8"/>
      <c r="M990" s="8"/>
      <c r="N990" s="8"/>
      <c r="O990" s="8"/>
      <c r="P990" s="8"/>
      <c r="Q990" s="8"/>
      <c r="R990" s="8"/>
      <c r="S990" s="8"/>
      <c r="T990" s="8"/>
      <c r="U990" s="12"/>
      <c r="V990" s="12"/>
      <c r="W990" s="12"/>
      <c r="X990" s="12"/>
      <c r="Y990" s="12"/>
      <c r="Z990" s="12"/>
      <c r="AA990" s="12"/>
      <c r="AB990" s="12"/>
      <c r="AC990" s="12"/>
      <c r="AD990" s="12"/>
      <c r="AE990" s="12"/>
      <c r="AF990" s="12"/>
    </row>
    <row r="991" spans="1:32">
      <c r="A991" s="8"/>
      <c r="B991" s="8"/>
      <c r="C991" s="8"/>
      <c r="D991" s="8"/>
      <c r="E991" s="8"/>
      <c r="F991" s="8"/>
      <c r="G991" s="8"/>
      <c r="H991" s="8"/>
      <c r="I991" s="8"/>
      <c r="J991" s="8"/>
      <c r="K991" s="8"/>
      <c r="L991" s="8"/>
      <c r="M991" s="8"/>
      <c r="N991" s="8"/>
      <c r="O991" s="8"/>
      <c r="P991" s="8"/>
      <c r="Q991" s="8"/>
      <c r="R991" s="8"/>
      <c r="S991" s="8"/>
      <c r="T991" s="8"/>
      <c r="U991" s="12"/>
      <c r="V991" s="12"/>
      <c r="W991" s="12"/>
      <c r="X991" s="12"/>
      <c r="Y991" s="12"/>
      <c r="Z991" s="12"/>
      <c r="AA991" s="12"/>
      <c r="AB991" s="12"/>
      <c r="AC991" s="12"/>
      <c r="AD991" s="12"/>
      <c r="AE991" s="12"/>
      <c r="AF991" s="12"/>
    </row>
    <row r="992" spans="1:32">
      <c r="A992" s="8"/>
      <c r="B992" s="8"/>
      <c r="C992" s="8"/>
      <c r="D992" s="8"/>
      <c r="E992" s="8"/>
      <c r="F992" s="8"/>
      <c r="G992" s="8"/>
      <c r="H992" s="8"/>
      <c r="I992" s="8"/>
      <c r="J992" s="8"/>
      <c r="K992" s="8"/>
      <c r="L992" s="8"/>
      <c r="M992" s="8"/>
      <c r="N992" s="8"/>
      <c r="O992" s="8"/>
      <c r="P992" s="8"/>
      <c r="Q992" s="8"/>
      <c r="R992" s="8"/>
      <c r="S992" s="8"/>
      <c r="T992" s="8"/>
      <c r="U992" s="12"/>
      <c r="V992" s="12"/>
      <c r="W992" s="12"/>
      <c r="X992" s="12"/>
      <c r="Y992" s="12"/>
      <c r="Z992" s="12"/>
      <c r="AA992" s="12"/>
      <c r="AB992" s="12"/>
      <c r="AC992" s="12"/>
      <c r="AD992" s="12"/>
      <c r="AE992" s="12"/>
      <c r="AF992" s="12"/>
    </row>
    <row r="993" spans="1:32">
      <c r="A993" s="8"/>
      <c r="B993" s="8"/>
      <c r="C993" s="8"/>
      <c r="D993" s="8"/>
      <c r="E993" s="8"/>
      <c r="F993" s="8"/>
      <c r="G993" s="8"/>
      <c r="H993" s="8"/>
      <c r="I993" s="8"/>
      <c r="J993" s="8"/>
      <c r="K993" s="8"/>
      <c r="L993" s="8"/>
      <c r="M993" s="8"/>
      <c r="N993" s="8"/>
      <c r="O993" s="8"/>
      <c r="P993" s="8"/>
      <c r="Q993" s="8"/>
      <c r="R993" s="8"/>
      <c r="S993" s="8"/>
      <c r="T993" s="8"/>
      <c r="U993" s="12"/>
      <c r="V993" s="12"/>
      <c r="W993" s="12"/>
      <c r="X993" s="12"/>
      <c r="Y993" s="12"/>
      <c r="Z993" s="12"/>
      <c r="AA993" s="12"/>
      <c r="AB993" s="12"/>
      <c r="AC993" s="12"/>
      <c r="AD993" s="12"/>
      <c r="AE993" s="12"/>
      <c r="AF993" s="12"/>
    </row>
    <row r="994" spans="1:32">
      <c r="A994" s="8"/>
      <c r="B994" s="8"/>
      <c r="C994" s="8"/>
      <c r="D994" s="8"/>
      <c r="E994" s="8"/>
      <c r="F994" s="8"/>
      <c r="G994" s="8"/>
      <c r="H994" s="8"/>
      <c r="I994" s="8"/>
      <c r="J994" s="8"/>
      <c r="K994" s="8"/>
      <c r="L994" s="8"/>
      <c r="M994" s="8"/>
      <c r="N994" s="8"/>
      <c r="O994" s="8"/>
      <c r="P994" s="8"/>
      <c r="Q994" s="8"/>
      <c r="R994" s="8"/>
      <c r="S994" s="8"/>
      <c r="T994" s="8"/>
      <c r="U994" s="12"/>
      <c r="V994" s="12"/>
      <c r="W994" s="12"/>
      <c r="X994" s="12"/>
      <c r="Y994" s="12"/>
      <c r="Z994" s="12"/>
      <c r="AA994" s="12"/>
      <c r="AB994" s="12"/>
      <c r="AC994" s="12"/>
      <c r="AD994" s="12"/>
      <c r="AE994" s="12"/>
      <c r="AF994" s="12"/>
    </row>
    <row r="995" spans="1:32">
      <c r="A995" s="8"/>
      <c r="B995" s="8"/>
      <c r="C995" s="8"/>
      <c r="D995" s="8"/>
      <c r="E995" s="8"/>
      <c r="F995" s="8"/>
      <c r="G995" s="8"/>
      <c r="H995" s="8"/>
      <c r="I995" s="8"/>
      <c r="J995" s="8"/>
      <c r="K995" s="8"/>
      <c r="L995" s="8"/>
      <c r="M995" s="8"/>
      <c r="N995" s="8"/>
      <c r="O995" s="8"/>
      <c r="P995" s="8"/>
      <c r="Q995" s="8"/>
      <c r="R995" s="8"/>
      <c r="S995" s="8"/>
      <c r="T995" s="8"/>
      <c r="U995" s="12"/>
      <c r="V995" s="12"/>
      <c r="W995" s="12"/>
      <c r="X995" s="12"/>
      <c r="Y995" s="12"/>
      <c r="Z995" s="12"/>
      <c r="AA995" s="12"/>
      <c r="AB995" s="12"/>
      <c r="AC995" s="12"/>
      <c r="AD995" s="12"/>
      <c r="AE995" s="12"/>
      <c r="AF995" s="12"/>
    </row>
    <row r="996" spans="1:32">
      <c r="A996" s="8"/>
      <c r="B996" s="8"/>
      <c r="C996" s="8"/>
      <c r="D996" s="8"/>
      <c r="E996" s="8"/>
      <c r="F996" s="8"/>
      <c r="G996" s="8"/>
      <c r="H996" s="8"/>
      <c r="I996" s="8"/>
      <c r="J996" s="8"/>
      <c r="K996" s="8"/>
      <c r="L996" s="8"/>
      <c r="M996" s="8"/>
      <c r="N996" s="8"/>
      <c r="O996" s="8"/>
      <c r="P996" s="8"/>
      <c r="Q996" s="8"/>
      <c r="R996" s="8"/>
      <c r="S996" s="8"/>
      <c r="T996" s="8"/>
      <c r="U996" s="12"/>
      <c r="V996" s="12"/>
      <c r="W996" s="12"/>
      <c r="X996" s="12"/>
      <c r="Y996" s="12"/>
      <c r="Z996" s="12"/>
      <c r="AA996" s="12"/>
      <c r="AB996" s="12"/>
      <c r="AC996" s="12"/>
      <c r="AD996" s="12"/>
      <c r="AE996" s="12"/>
      <c r="AF996" s="12"/>
    </row>
    <row r="997" spans="1:32">
      <c r="A997" s="8"/>
      <c r="B997" s="8"/>
      <c r="C997" s="8"/>
      <c r="D997" s="8"/>
      <c r="E997" s="8"/>
      <c r="F997" s="8"/>
      <c r="G997" s="8"/>
      <c r="H997" s="8"/>
      <c r="I997" s="8"/>
      <c r="J997" s="8"/>
      <c r="K997" s="8"/>
      <c r="L997" s="8"/>
      <c r="M997" s="8"/>
      <c r="N997" s="8"/>
      <c r="O997" s="8"/>
      <c r="P997" s="8"/>
      <c r="Q997" s="8"/>
      <c r="R997" s="8"/>
      <c r="S997" s="8"/>
      <c r="T997" s="8"/>
      <c r="U997" s="12"/>
      <c r="V997" s="12"/>
      <c r="W997" s="12"/>
      <c r="X997" s="12"/>
      <c r="Y997" s="12"/>
      <c r="Z997" s="12"/>
      <c r="AA997" s="12"/>
      <c r="AB997" s="12"/>
      <c r="AC997" s="12"/>
      <c r="AD997" s="12"/>
      <c r="AE997" s="12"/>
      <c r="AF997" s="12"/>
    </row>
    <row r="998" spans="1:32">
      <c r="A998" s="8"/>
      <c r="B998" s="8"/>
      <c r="C998" s="8"/>
      <c r="D998" s="8"/>
      <c r="E998" s="8"/>
      <c r="F998" s="8"/>
      <c r="G998" s="8"/>
      <c r="H998" s="8"/>
      <c r="I998" s="8"/>
      <c r="J998" s="8"/>
      <c r="K998" s="8"/>
      <c r="L998" s="8"/>
      <c r="M998" s="8"/>
      <c r="N998" s="8"/>
      <c r="O998" s="8"/>
      <c r="P998" s="8"/>
      <c r="Q998" s="8"/>
      <c r="R998" s="8"/>
      <c r="S998" s="8"/>
      <c r="T998" s="8"/>
      <c r="U998" s="12"/>
      <c r="V998" s="12"/>
      <c r="W998" s="12"/>
      <c r="X998" s="12"/>
      <c r="Y998" s="12"/>
      <c r="Z998" s="12"/>
      <c r="AA998" s="12"/>
      <c r="AB998" s="12"/>
      <c r="AC998" s="12"/>
      <c r="AD998" s="12"/>
      <c r="AE998" s="12"/>
      <c r="AF998" s="12"/>
    </row>
    <row r="999" spans="1:32">
      <c r="A999" s="8"/>
      <c r="B999" s="8"/>
      <c r="C999" s="8"/>
      <c r="D999" s="8"/>
      <c r="E999" s="8"/>
      <c r="F999" s="8"/>
      <c r="G999" s="8"/>
      <c r="H999" s="8"/>
      <c r="I999" s="8"/>
      <c r="J999" s="8"/>
      <c r="K999" s="8"/>
      <c r="L999" s="8"/>
      <c r="M999" s="8"/>
      <c r="N999" s="8"/>
      <c r="O999" s="8"/>
      <c r="P999" s="8"/>
      <c r="Q999" s="8"/>
      <c r="R999" s="8"/>
      <c r="S999" s="8"/>
      <c r="T999" s="8"/>
      <c r="U999" s="12"/>
      <c r="V999" s="12"/>
      <c r="W999" s="12"/>
      <c r="X999" s="12"/>
      <c r="Y999" s="12"/>
      <c r="Z999" s="12"/>
      <c r="AA999" s="12"/>
      <c r="AB999" s="12"/>
      <c r="AC999" s="12"/>
      <c r="AD999" s="12"/>
      <c r="AE999" s="12"/>
      <c r="AF999" s="12"/>
    </row>
  </sheetData>
  <customSheetViews>
    <customSheetView guid="{8E5FD777-F8E9-423F-B70C-DD1B63F38FB2}" filter="1" showAutoFilter="1">
      <pageMargins left="0.7" right="0.7" top="0.75" bottom="0.75" header="0.3" footer="0.3"/>
      <autoFilter ref="A1:T105" xr:uid="{06430940-54CF-4DAD-AB52-110BA5FEFD25}">
        <filterColumn colId="3">
          <filters>
            <filter val="Physics"/>
          </filters>
        </filterColumn>
      </autoFilter>
    </customSheetView>
  </customSheetView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AT997"/>
  <sheetViews>
    <sheetView workbookViewId="0">
      <pane ySplit="1" topLeftCell="A2" activePane="bottomLeft" state="frozen"/>
      <selection pane="bottomLeft" activeCell="B3" sqref="B3"/>
    </sheetView>
  </sheetViews>
  <sheetFormatPr defaultColWidth="12.6640625" defaultRowHeight="15.75" customHeight="1"/>
  <cols>
    <col min="1" max="1" width="9.33203125" customWidth="1"/>
    <col min="2" max="2" width="8.88671875" customWidth="1"/>
    <col min="3" max="3" width="10.44140625" customWidth="1"/>
    <col min="5" max="5" width="20.6640625" customWidth="1"/>
    <col min="6" max="6" width="28.6640625" customWidth="1"/>
    <col min="7" max="7" width="12.6640625" customWidth="1"/>
    <col min="8" max="8" width="36.77734375" customWidth="1"/>
    <col min="9" max="9" width="12.6640625" hidden="1"/>
    <col min="10" max="10" width="38.109375" hidden="1" customWidth="1"/>
    <col min="11" max="11" width="12.6640625" hidden="1"/>
    <col min="12" max="12" width="38.109375" hidden="1" customWidth="1"/>
    <col min="13" max="13" width="12.6640625" hidden="1"/>
    <col min="14" max="14" width="38.88671875" hidden="1" customWidth="1"/>
    <col min="15" max="15" width="12.6640625" hidden="1"/>
    <col min="16" max="16" width="38.21875" hidden="1" customWidth="1"/>
    <col min="17" max="17" width="12.6640625" hidden="1"/>
    <col min="18" max="18" width="38" hidden="1" customWidth="1"/>
    <col min="19" max="19" width="12.6640625" hidden="1"/>
    <col min="20" max="20" width="38.33203125" hidden="1" customWidth="1"/>
    <col min="21" max="32" width="12.6640625" hidden="1"/>
  </cols>
  <sheetData>
    <row r="1" spans="1:46">
      <c r="A1" s="119" t="s">
        <v>0</v>
      </c>
      <c r="B1" s="119" t="s">
        <v>1</v>
      </c>
      <c r="C1" s="119" t="s">
        <v>2</v>
      </c>
      <c r="D1" s="120" t="s">
        <v>3</v>
      </c>
      <c r="E1" s="120" t="s">
        <v>1808</v>
      </c>
      <c r="F1" s="120" t="s">
        <v>5</v>
      </c>
      <c r="G1" s="120" t="s">
        <v>6</v>
      </c>
      <c r="H1" s="120" t="s">
        <v>7</v>
      </c>
      <c r="I1" s="10" t="s">
        <v>8</v>
      </c>
      <c r="J1" s="10" t="s">
        <v>9</v>
      </c>
      <c r="K1" s="10" t="s">
        <v>10</v>
      </c>
      <c r="L1" s="10" t="s">
        <v>11</v>
      </c>
      <c r="M1" s="10" t="s">
        <v>12</v>
      </c>
      <c r="N1" s="10" t="s">
        <v>13</v>
      </c>
      <c r="O1" s="10" t="s">
        <v>14</v>
      </c>
      <c r="P1" s="10" t="s">
        <v>15</v>
      </c>
      <c r="Q1" s="10" t="s">
        <v>16</v>
      </c>
      <c r="R1" s="10" t="s">
        <v>17</v>
      </c>
      <c r="S1" s="10" t="s">
        <v>18</v>
      </c>
      <c r="T1" s="10" t="s">
        <v>19</v>
      </c>
      <c r="U1" s="121" t="s">
        <v>20</v>
      </c>
      <c r="V1" s="121" t="s">
        <v>21</v>
      </c>
      <c r="W1" s="121" t="s">
        <v>22</v>
      </c>
      <c r="X1" s="121" t="s">
        <v>23</v>
      </c>
      <c r="Y1" s="121" t="s">
        <v>24</v>
      </c>
      <c r="Z1" s="121" t="s">
        <v>25</v>
      </c>
      <c r="AA1" s="121" t="s">
        <v>26</v>
      </c>
      <c r="AB1" s="122" t="s">
        <v>27</v>
      </c>
      <c r="AC1" s="121" t="s">
        <v>28</v>
      </c>
      <c r="AD1" s="121" t="s">
        <v>29</v>
      </c>
      <c r="AE1" s="121" t="s">
        <v>30</v>
      </c>
      <c r="AF1" s="122" t="s">
        <v>415</v>
      </c>
      <c r="AG1" s="6" t="s">
        <v>32</v>
      </c>
      <c r="AH1" s="7" t="s">
        <v>33</v>
      </c>
      <c r="AI1" s="6" t="s">
        <v>34</v>
      </c>
      <c r="AJ1" s="7" t="s">
        <v>35</v>
      </c>
      <c r="AK1" s="6" t="s">
        <v>36</v>
      </c>
      <c r="AL1" s="7" t="s">
        <v>37</v>
      </c>
      <c r="AM1" s="6" t="s">
        <v>38</v>
      </c>
      <c r="AN1" s="7" t="s">
        <v>39</v>
      </c>
      <c r="AO1" s="6" t="s">
        <v>40</v>
      </c>
      <c r="AP1" s="7" t="s">
        <v>41</v>
      </c>
      <c r="AQ1" s="6" t="s">
        <v>42</v>
      </c>
      <c r="AR1" s="7" t="s">
        <v>43</v>
      </c>
      <c r="AS1" s="6" t="s">
        <v>44</v>
      </c>
      <c r="AT1" s="7" t="s">
        <v>45</v>
      </c>
    </row>
    <row r="2" spans="1:46">
      <c r="A2" s="8" t="s">
        <v>247</v>
      </c>
      <c r="B2" s="8" t="s">
        <v>47</v>
      </c>
      <c r="C2" s="8" t="s">
        <v>416</v>
      </c>
      <c r="D2" s="8" t="s">
        <v>1406</v>
      </c>
      <c r="E2" s="8" t="s">
        <v>1809</v>
      </c>
      <c r="F2" s="8" t="s">
        <v>1810</v>
      </c>
      <c r="G2" s="8" t="s">
        <v>1811</v>
      </c>
      <c r="H2" s="8" t="str">
        <f ca="1">IFERROR(__xludf.DUMMYFUNCTION("VLOOKUP(G2, IMPORTRANGE(""https://docs.google.com/spreadsheets/d/14deopnvwcrKtEGCKuYXdUHJbeLDZlkiSSWWT0g7x2pM/edit#gid=849066331"", ""LU List Science (Filter)!A:B""), 2, FALSE)"),"Definition of Nutrition.")</f>
        <v>Definition of Nutrition.</v>
      </c>
      <c r="I2" s="10" t="str">
        <f t="shared" ref="I2:I134" si="0">G2 &amp; ".001"</f>
        <v>LU005407.001</v>
      </c>
      <c r="J2" s="10" t="str">
        <f ca="1">IFERROR(__xludf.DUMMYFUNCTION("VLOOKUP(I2, IMPORTRANGE(""https://docs.google.com/spreadsheets/d/1yDAaXNsi4Mr5FtRQL4tbmSdIzhx6_m4wkOD7IG-k_eo/edit#gid=1336395716"", ""Science!M:N""), 2, FALSE)"),"Recall the basic definitions of ""nutrition"" and ""mode of nutrition.""")</f>
        <v>Recall the basic definitions of "nutrition" and "mode of nutrition."</v>
      </c>
      <c r="K2" s="10" t="str">
        <f t="shared" ref="K2:K134" si="1">G2 &amp; ".002"</f>
        <v>LU005407.002</v>
      </c>
      <c r="L2" s="10" t="str">
        <f ca="1">IFERROR(__xludf.DUMMYFUNCTION("VLOOKUP(K2, IMPORTRANGE(""https://docs.google.com/spreadsheets/d/1yDAaXNsi4Mr5FtRQL4tbmSdIzhx6_m4wkOD7IG-k_eo/edit#gid=1336395716"", ""Science!M:N""), 2, FALSE)"),"Explain the concept of autotrophic and heterotrophic mode of nutrition and differentiate between ""autotrophic"" and ""heterotrophic"" modes of nutrition.")</f>
        <v>Explain the concept of autotrophic and heterotrophic mode of nutrition and differentiate between "autotrophic" and "heterotrophic" modes of nutrition.</v>
      </c>
      <c r="M2" s="10" t="str">
        <f t="shared" ref="M2:M134" si="2">G2 &amp; ".003"</f>
        <v>LU005407.003</v>
      </c>
      <c r="N2" s="10" t="str">
        <f ca="1">IFERROR(__xludf.DUMMYFUNCTION("VLOOKUP(M2, IMPORTRANGE(""https://docs.google.com/spreadsheets/d/1yDAaXNsi4Mr5FtRQL4tbmSdIzhx6_m4wkOD7IG-k_eo/edit#gid=1336395716"", ""Science!M:N""), 2, FALSE)"),"Given a set of organisms, classify them into autotrophic and heterotrophic categories based on their modes of nutrition, and provide a brief explanation for each classification.")</f>
        <v>Given a set of organisms, classify them into autotrophic and heterotrophic categories based on their modes of nutrition, and provide a brief explanation for each classification.</v>
      </c>
      <c r="O2" s="10" t="str">
        <f t="shared" ref="O2:O134" si="3">G2 &amp; ".004"</f>
        <v>LU005407.004</v>
      </c>
      <c r="P2" s="10" t="str">
        <f ca="1">IFERROR(__xludf.DUMMYFUNCTION("VLOOKUP(O2, IMPORTRANGE(""https://docs.google.com/spreadsheets/d/1yDAaXNsi4Mr5FtRQL4tbmSdIzhx6_m4wkOD7IG-k_eo/edit#gid=1336395716"", ""Science!M:N""), 2, FALSE)"),"Analyze how autotrophic and heterotrophic organisms obtain and use nutrients(also sunlight in case of autotrophs) differently to sustain themselves.")</f>
        <v>Analyze how autotrophic and heterotrophic organisms obtain and use nutrients(also sunlight in case of autotrophs) differently to sustain themselves.</v>
      </c>
      <c r="Q2" s="10" t="str">
        <f t="shared" ref="Q2:Q134" si="4">G2 &amp; ".005"</f>
        <v>LU005407.005</v>
      </c>
      <c r="R2" s="10" t="str">
        <f ca="1">IFERROR(__xludf.DUMMYFUNCTION("VLOOKUP(Q2, IMPORTRANGE(""https://docs.google.com/spreadsheets/d/1yDAaXNsi4Mr5FtRQL4tbmSdIzhx6_m4wkOD7IG-k_eo/edit#gid=1336395716"", ""Science!M:N""), 2, FALSE)"),"Evaluate the significance of understanding various modes of nutrition for our understanding of the diverse ways organisms survive and grow.")</f>
        <v>Evaluate the significance of understanding various modes of nutrition for our understanding of the diverse ways organisms survive and grow.</v>
      </c>
      <c r="S2" s="10" t="str">
        <f t="shared" ref="S2:S134" si="5">G2 &amp; ".006"</f>
        <v>LU005407.006</v>
      </c>
      <c r="T2" s="10" t="str">
        <f ca="1">IFERROR(__xludf.DUMMYFUNCTION("VLOOKUP(S2, IMPORTRANGE(""https://docs.google.com/spreadsheets/d/1yDAaXNsi4Mr5FtRQL4tbmSdIzhx6_m4wkOD7IG-k_eo/edit#gid=1336395716"", ""Science!M:N""), 2, FALSE)"),"Devise a simple experiment or demonstration to showcase autotrophic and heterotrophic modes of nutrition.")</f>
        <v>Devise a simple experiment or demonstration to showcase autotrophic and heterotrophic modes of nutrition.</v>
      </c>
      <c r="U2" s="116">
        <f ca="1">IFERROR(__xludf.DUMMYFUNCTION("ArrayFormula(VLOOKUP(G2, IMPORTRANGE(""https://docs.google.com/spreadsheets/d/1p7R4vtkWt5VOBim4ltsDG9KTzSjrtKXsMtQGXPHyND0/edit#gid=795171502"", ""'Filter 30_05_2024'!A1:M2000""), {2, 3, 4, 5,6,7,8,9,10,11,12,13}, 0))"),20)</f>
        <v>20</v>
      </c>
      <c r="V2" s="116">
        <f ca="1">IFERROR(__xludf.DUMMYFUNCTION("""COMPUTED_VALUE"""),14)</f>
        <v>14</v>
      </c>
      <c r="W2" s="116">
        <f ca="1">IFERROR(__xludf.DUMMYFUNCTION("""COMPUTED_VALUE"""),2)</f>
        <v>2</v>
      </c>
      <c r="X2" s="116">
        <f ca="1">IFERROR(__xludf.DUMMYFUNCTION("""COMPUTED_VALUE"""),36)</f>
        <v>36</v>
      </c>
      <c r="Y2" s="116">
        <f ca="1">IFERROR(__xludf.DUMMYFUNCTION("""COMPUTED_VALUE"""),4)</f>
        <v>4</v>
      </c>
      <c r="Z2" s="12">
        <f ca="1">IFERROR(__xludf.DUMMYFUNCTION("""COMPUTED_VALUE"""),3)</f>
        <v>3</v>
      </c>
      <c r="AA2" s="12">
        <f ca="1">IFERROR(__xludf.DUMMYFUNCTION("""COMPUTED_VALUE"""),1)</f>
        <v>1</v>
      </c>
      <c r="AB2" s="12">
        <f ca="1">IFERROR(__xludf.DUMMYFUNCTION("""COMPUTED_VALUE"""),8)</f>
        <v>8</v>
      </c>
      <c r="AC2" s="12"/>
      <c r="AD2" s="12"/>
      <c r="AE2" s="12"/>
      <c r="AF2" s="12"/>
      <c r="AG2" s="13" t="str">
        <f ca="1">IFERROR(__xludf.DUMMYFUNCTION("ArrayFormula(VLOOKUP(G2, IMPORTRANGE(""https://docs.google.com/spreadsheets/d/1Co934fvtviyaRiMsrIlT05Jaq7iiYq07aLvRr35KA48/edit?gid=173865642#gid=173865642"", ""'G7_Sci_Pri_LU'!G2:V2000""), {3, 4, 5, 6, 7, 8, 9, 10, 11, 12, 13, 14, 15, 16}, 0))"),"LU005214")</f>
        <v>LU005214</v>
      </c>
      <c r="AH2" s="13" t="str">
        <f ca="1">IFERROR(__xludf.DUMMYFUNCTION("""COMPUTED_VALUE"""),"Definition of nutrients, types, and their sources.")</f>
        <v>Definition of nutrients, types, and their sources.</v>
      </c>
      <c r="AI2" s="13"/>
      <c r="AJ2" s="13"/>
      <c r="AK2" s="13"/>
      <c r="AL2" s="13"/>
      <c r="AM2" s="13"/>
      <c r="AN2" s="13"/>
      <c r="AO2" s="13"/>
      <c r="AP2" s="13"/>
      <c r="AQ2" s="13"/>
      <c r="AR2" s="13"/>
      <c r="AS2" s="13"/>
      <c r="AT2" s="13"/>
    </row>
    <row r="3" spans="1:46">
      <c r="A3" s="8" t="s">
        <v>247</v>
      </c>
      <c r="B3" s="8" t="s">
        <v>47</v>
      </c>
      <c r="C3" s="8" t="s">
        <v>416</v>
      </c>
      <c r="D3" s="8" t="s">
        <v>1406</v>
      </c>
      <c r="E3" s="8" t="s">
        <v>1809</v>
      </c>
      <c r="F3" s="8" t="s">
        <v>1812</v>
      </c>
      <c r="G3" s="8" t="s">
        <v>1710</v>
      </c>
      <c r="H3" s="8" t="str">
        <f ca="1">IFERROR(__xludf.DUMMYFUNCTION("VLOOKUP(G3, IMPORTRANGE(""https://docs.google.com/spreadsheets/d/14deopnvwcrKtEGCKuYXdUHJbeLDZlkiSSWWT0g7x2pM/edit#gid=849066331"", ""LU List Science (Filter)!A:B""), 2, FALSE)"),"Introduction to photosynthesis process in plants")</f>
        <v>Introduction to photosynthesis process in plants</v>
      </c>
      <c r="I3" s="10" t="str">
        <f t="shared" si="0"/>
        <v>LU005944.001</v>
      </c>
      <c r="J3" s="10" t="str">
        <f ca="1">IFERROR(__xludf.DUMMYFUNCTION("VLOOKUP(I3, IMPORTRANGE(""https://docs.google.com/spreadsheets/d/1yDAaXNsi4Mr5FtRQL4tbmSdIzhx6_m4wkOD7IG-k_eo/edit#gid=1336395716"", ""Science!M:N""), 2, FALSE)"),"List the basic requirements for photosynthesis to occur in plants.")</f>
        <v>List the basic requirements for photosynthesis to occur in plants.</v>
      </c>
      <c r="K3" s="10" t="str">
        <f t="shared" si="1"/>
        <v>LU005944.002</v>
      </c>
      <c r="L3" s="10" t="str">
        <f ca="1">IFERROR(__xludf.DUMMYFUNCTION("VLOOKUP(K3, IMPORTRANGE(""https://docs.google.com/spreadsheets/d/1yDAaXNsi4Mr5FtRQL4tbmSdIzhx6_m4wkOD7IG-k_eo/edit#gid=1336395716"", ""Science!M:N""), 2, FALSE)"),"Describe the process of photosynthesis and its purpose in plants.")</f>
        <v>Describe the process of photosynthesis and its purpose in plants.</v>
      </c>
      <c r="M3" s="10" t="str">
        <f t="shared" si="2"/>
        <v>LU005944.003</v>
      </c>
      <c r="N3" s="10" t="str">
        <f ca="1">IFERROR(__xludf.DUMMYFUNCTION("VLOOKUP(M3, IMPORTRANGE(""https://docs.google.com/spreadsheets/d/1yDAaXNsi4Mr5FtRQL4tbmSdIzhx6_m4wkOD7IG-k_eo/edit#gid=1336395716"", ""Science!M:N""), 2, FALSE)"),"Apply the knowledge of photosynthesis to infer why plants need sunlight.")</f>
        <v>Apply the knowledge of photosynthesis to infer why plants need sunlight.</v>
      </c>
      <c r="O3" s="10" t="str">
        <f t="shared" si="3"/>
        <v>LU005944.004</v>
      </c>
      <c r="P3" s="10" t="str">
        <f ca="1">IFERROR(__xludf.DUMMYFUNCTION("VLOOKUP(O3, IMPORTRANGE(""https://docs.google.com/spreadsheets/d/1yDAaXNsi4Mr5FtRQL4tbmSdIzhx6_m4wkOD7IG-k_eo/edit#gid=1336395716"", ""Science!M:N""), 2, FALSE)"),"Analyze the impact of photosynthesis on the life on Earth and the impact of varying light intensities on the rate of photosynthesis.")</f>
        <v>Analyze the impact of photosynthesis on the life on Earth and the impact of varying light intensities on the rate of photosynthesis.</v>
      </c>
      <c r="Q3" s="10" t="str">
        <f t="shared" si="4"/>
        <v>LU005944.005</v>
      </c>
      <c r="R3" s="10" t="str">
        <f ca="1">IFERROR(__xludf.DUMMYFUNCTION("VLOOKUP(Q3, IMPORTRANGE(""https://docs.google.com/spreadsheets/d/1yDAaXNsi4Mr5FtRQL4tbmSdIzhx6_m4wkOD7IG-k_eo/edit#gid=1336395716"", ""Science!M:N""), 2, FALSE)"),"Assess the impact of photosynthesis on the life on Earth.")</f>
        <v>Assess the impact of photosynthesis on the life on Earth.</v>
      </c>
      <c r="S3" s="10" t="str">
        <f t="shared" si="5"/>
        <v>LU005944.006</v>
      </c>
      <c r="T3" s="10" t="str">
        <f ca="1">IFERROR(__xludf.DUMMYFUNCTION("VLOOKUP(S3, IMPORTRANGE(""https://docs.google.com/spreadsheets/d/1yDAaXNsi4Mr5FtRQL4tbmSdIzhx6_m4wkOD7IG-k_eo/edit#gid=1336395716"", ""Science!M:N""), 2, FALSE)"),"Construct a simple experiment to demonstrate the effects of photosynthesis using household materials.")</f>
        <v>Construct a simple experiment to demonstrate the effects of photosynthesis using household materials.</v>
      </c>
      <c r="U3" s="116">
        <f ca="1">IFERROR(__xludf.DUMMYFUNCTION("ArrayFormula(VLOOKUP(G3, IMPORTRANGE(""https://docs.google.com/spreadsheets/d/1p7R4vtkWt5VOBim4ltsDG9KTzSjrtKXsMtQGXPHyND0/edit#gid=795171502"", ""'Filter 30_05_2024'!A1:M2000""), {2, 3, 4, 5,6,7,8,9,10,11,12,13}, 0))"),17)</f>
        <v>17</v>
      </c>
      <c r="V3" s="116">
        <f ca="1">IFERROR(__xludf.DUMMYFUNCTION("""COMPUTED_VALUE"""),6)</f>
        <v>6</v>
      </c>
      <c r="W3" s="116">
        <f ca="1">IFERROR(__xludf.DUMMYFUNCTION("""COMPUTED_VALUE"""),10)</f>
        <v>10</v>
      </c>
      <c r="X3" s="116">
        <f ca="1">IFERROR(__xludf.DUMMYFUNCTION("""COMPUTED_VALUE"""),33)</f>
        <v>33</v>
      </c>
      <c r="Y3" s="116">
        <f ca="1">IFERROR(__xludf.DUMMYFUNCTION("""COMPUTED_VALUE"""),9)</f>
        <v>9</v>
      </c>
      <c r="Z3" s="12">
        <f ca="1">IFERROR(__xludf.DUMMYFUNCTION("""COMPUTED_VALUE"""),4)</f>
        <v>4</v>
      </c>
      <c r="AA3" s="12">
        <f ca="1">IFERROR(__xludf.DUMMYFUNCTION("""COMPUTED_VALUE"""),6)</f>
        <v>6</v>
      </c>
      <c r="AB3" s="12">
        <f ca="1">IFERROR(__xludf.DUMMYFUNCTION("""COMPUTED_VALUE"""),19)</f>
        <v>19</v>
      </c>
      <c r="AC3" s="12"/>
      <c r="AD3" s="12"/>
      <c r="AE3" s="12"/>
      <c r="AF3" s="12"/>
      <c r="AG3" s="13" t="str">
        <f ca="1">IFERROR(__xludf.DUMMYFUNCTION("ArrayFormula(VLOOKUP(G3, IMPORTRANGE(""https://docs.google.com/spreadsheets/d/1Co934fvtviyaRiMsrIlT05Jaq7iiYq07aLvRr35KA48/edit?gid=173865642#gid=173865642"", ""'G7_Sci_Pri_LU'!G2:V2000""), {3, 4, 5, 6, 7, 8, 9, 10, 11, 12, 13, 14, 15, 16}, 0))"),"LU005237")</f>
        <v>LU005237</v>
      </c>
      <c r="AH3" s="13" t="str">
        <f ca="1">IFERROR(__xludf.DUMMYFUNCTION("""COMPUTED_VALUE"""),"Parts of a typical plant")</f>
        <v>Parts of a typical plant</v>
      </c>
      <c r="AI3" s="13" t="str">
        <f ca="1">IFERROR(__xludf.DUMMYFUNCTION("""COMPUTED_VALUE"""),"LU005007")</f>
        <v>LU005007</v>
      </c>
      <c r="AJ3" s="13" t="str">
        <f ca="1">IFERROR(__xludf.DUMMYFUNCTION("""COMPUTED_VALUE"""),"Sun the Source of Solar energy")</f>
        <v>Sun the Source of Solar energy</v>
      </c>
      <c r="AK3" s="13"/>
      <c r="AL3" s="13"/>
      <c r="AM3" s="13"/>
      <c r="AN3" s="13"/>
      <c r="AO3" s="13"/>
      <c r="AP3" s="13"/>
      <c r="AQ3" s="13"/>
      <c r="AR3" s="13"/>
      <c r="AS3" s="13"/>
      <c r="AT3" s="13"/>
    </row>
    <row r="4" spans="1:46">
      <c r="A4" s="8" t="s">
        <v>247</v>
      </c>
      <c r="B4" s="8" t="s">
        <v>47</v>
      </c>
      <c r="C4" s="8" t="s">
        <v>416</v>
      </c>
      <c r="D4" s="8" t="s">
        <v>1406</v>
      </c>
      <c r="E4" s="8" t="s">
        <v>1809</v>
      </c>
      <c r="F4" s="8" t="s">
        <v>1812</v>
      </c>
      <c r="G4" s="8" t="s">
        <v>1813</v>
      </c>
      <c r="H4" s="8" t="str">
        <f ca="1">IFERROR(__xludf.DUMMYFUNCTION("VLOOKUP(G4, IMPORTRANGE(""https://docs.google.com/spreadsheets/d/14deopnvwcrKtEGCKuYXdUHJbeLDZlkiSSWWT0g7x2pM/edit#gid=849066331"", ""LU List Science (Filter)!A:B""), 2, FALSE)"),"Elements in the Photosynthesis(stomata, vessels, pigments)")</f>
        <v>Elements in the Photosynthesis(stomata, vessels, pigments)</v>
      </c>
      <c r="I4" s="10" t="str">
        <f t="shared" si="0"/>
        <v>LU005408.001</v>
      </c>
      <c r="J4" s="10" t="str">
        <f ca="1">IFERROR(__xludf.DUMMYFUNCTION("VLOOKUP(I4, IMPORTRANGE(""https://docs.google.com/spreadsheets/d/1yDAaXNsi4Mr5FtRQL4tbmSdIzhx6_m4wkOD7IG-k_eo/edit#gid=1336395716"", ""Science!M:N""), 2, FALSE)"),"Students will list the roles of stomata, vessels, and pigments in the process of photosynthesis.")</f>
        <v>Students will list the roles of stomata, vessels, and pigments in the process of photosynthesis.</v>
      </c>
      <c r="K4" s="10" t="str">
        <f t="shared" si="1"/>
        <v>LU005408.002</v>
      </c>
      <c r="L4" s="10" t="str">
        <f ca="1">IFERROR(__xludf.DUMMYFUNCTION("VLOOKUP(K4, IMPORTRANGE(""https://docs.google.com/spreadsheets/d/1yDAaXNsi4Mr5FtRQL4tbmSdIzhx6_m4wkOD7IG-k_eo/edit#gid=1336395716"", ""Science!M:N""), 2, FALSE)"),"Students will outline the functions of stomata, vessels, and pigments in photosynthesis.")</f>
        <v>Students will outline the functions of stomata, vessels, and pigments in photosynthesis.</v>
      </c>
      <c r="M4" s="10" t="str">
        <f t="shared" si="2"/>
        <v>LU005408.003</v>
      </c>
      <c r="N4" s="10" t="str">
        <f ca="1">IFERROR(__xludf.DUMMYFUNCTION("VLOOKUP(M4, IMPORTRANGE(""https://docs.google.com/spreadsheets/d/1yDAaXNsi4Mr5FtRQL4tbmSdIzhx6_m4wkOD7IG-k_eo/edit#gid=1336395716"", ""Science!M:N""), 2, FALSE)"),"Students will associate the structure of stomata, vessels, and pigments with their specific functions in the photosynthesis process.")</f>
        <v>Students will associate the structure of stomata, vessels, and pigments with their specific functions in the photosynthesis process.</v>
      </c>
      <c r="O4" s="10" t="str">
        <f t="shared" si="3"/>
        <v>LU005408.004</v>
      </c>
      <c r="P4" s="10" t="str">
        <f ca="1">IFERROR(__xludf.DUMMYFUNCTION("VLOOKUP(O4, IMPORTRANGE(""https://docs.google.com/spreadsheets/d/1yDAaXNsi4Mr5FtRQL4tbmSdIzhx6_m4wkOD7IG-k_eo/edit#gid=1336395716"", ""Science!M:N""), 2, FALSE)"),"Students will distinguish between the roles of stomata, vessels, and pigments by dissecting a plant leaf and identifying these parts under a microscope.")</f>
        <v>Students will distinguish between the roles of stomata, vessels, and pigments by dissecting a plant leaf and identifying these parts under a microscope.</v>
      </c>
      <c r="Q4" s="10" t="str">
        <f t="shared" si="4"/>
        <v>LU005408.005</v>
      </c>
      <c r="R4" s="10" t="str">
        <f ca="1">IFERROR(__xludf.DUMMYFUNCTION("VLOOKUP(Q4, IMPORTRANGE(""https://docs.google.com/spreadsheets/d/1yDAaXNsi4Mr5FtRQL4tbmSdIzhx6_m4wkOD7IG-k_eo/edit#gid=1336395716"", ""Science!M:N""), 2, FALSE)"),"Students will justify the importance of stomata opening and closing in relation to environmental conditions and plant survival.")</f>
        <v>Students will justify the importance of stomata opening and closing in relation to environmental conditions and plant survival.</v>
      </c>
      <c r="S4" s="10" t="str">
        <f t="shared" si="5"/>
        <v>LU005408.006</v>
      </c>
      <c r="T4" s="10" t="str">
        <f ca="1">IFERROR(__xludf.DUMMYFUNCTION("VLOOKUP(S4, IMPORTRANGE(""https://docs.google.com/spreadsheets/d/1yDAaXNsi4Mr5FtRQL4tbmSdIzhx6_m4wkOD7IG-k_eo/edit#gid=1336395716"", ""Science!M:N""), 2, FALSE)"),"#N/A")</f>
        <v>#N/A</v>
      </c>
      <c r="U4" s="116">
        <f ca="1">IFERROR(__xludf.DUMMYFUNCTION("ArrayFormula(VLOOKUP(G4, IMPORTRANGE(""https://docs.google.com/spreadsheets/d/1p7R4vtkWt5VOBim4ltsDG9KTzSjrtKXsMtQGXPHyND0/edit#gid=795171502"", ""'Filter 30_05_2024'!A1:M2000""), {2, 3, 4, 5,6,7,8,9,10,11,12,13}, 0))"),18)</f>
        <v>18</v>
      </c>
      <c r="V4" s="116">
        <f ca="1">IFERROR(__xludf.DUMMYFUNCTION("""COMPUTED_VALUE"""),6)</f>
        <v>6</v>
      </c>
      <c r="W4" s="116">
        <f ca="1">IFERROR(__xludf.DUMMYFUNCTION("""COMPUTED_VALUE"""),2)</f>
        <v>2</v>
      </c>
      <c r="X4" s="116">
        <f ca="1">IFERROR(__xludf.DUMMYFUNCTION("""COMPUTED_VALUE"""),26)</f>
        <v>26</v>
      </c>
      <c r="Y4" s="116">
        <f ca="1">IFERROR(__xludf.DUMMYFUNCTION("""COMPUTED_VALUE"""),6)</f>
        <v>6</v>
      </c>
      <c r="Z4" s="12">
        <f ca="1">IFERROR(__xludf.DUMMYFUNCTION("""COMPUTED_VALUE"""),4)</f>
        <v>4</v>
      </c>
      <c r="AA4" s="12">
        <f ca="1">IFERROR(__xludf.DUMMYFUNCTION("""COMPUTED_VALUE"""),1)</f>
        <v>1</v>
      </c>
      <c r="AB4" s="12">
        <f ca="1">IFERROR(__xludf.DUMMYFUNCTION("""COMPUTED_VALUE"""),11)</f>
        <v>11</v>
      </c>
      <c r="AC4" s="12"/>
      <c r="AD4" s="12"/>
      <c r="AE4" s="12"/>
      <c r="AF4" s="12"/>
      <c r="AG4" s="13" t="str">
        <f ca="1">IFERROR(__xludf.DUMMYFUNCTION("ArrayFormula(VLOOKUP(G4, IMPORTRANGE(""https://docs.google.com/spreadsheets/d/1Co934fvtviyaRiMsrIlT05Jaq7iiYq07aLvRr35KA48/edit?gid=173865642#gid=173865642"", ""'G7_Sci_Pri_LU'!G2:V2000""), {3, 4, 5, 6, 7, 8, 9, 10, 11, 12, 13, 14, 15, 16}, 0))"),"LU005944")</f>
        <v>LU005944</v>
      </c>
      <c r="AH4" s="13" t="str">
        <f ca="1">IFERROR(__xludf.DUMMYFUNCTION("""COMPUTED_VALUE"""),"Introduction to photosynthesis process in plants")</f>
        <v>Introduction to photosynthesis process in plants</v>
      </c>
      <c r="AI4" s="13" t="str">
        <f ca="1">IFERROR(__xludf.DUMMYFUNCTION("""COMPUTED_VALUE"""),"LU005007")</f>
        <v>LU005007</v>
      </c>
      <c r="AJ4" s="13" t="str">
        <f ca="1">IFERROR(__xludf.DUMMYFUNCTION("""COMPUTED_VALUE"""),"Sun the Source of Solar energy")</f>
        <v>Sun the Source of Solar energy</v>
      </c>
      <c r="AK4" s="13" t="str">
        <f ca="1">IFERROR(__xludf.DUMMYFUNCTION("""COMPUTED_VALUE"""),"LU005237")</f>
        <v>LU005237</v>
      </c>
      <c r="AL4" s="13" t="str">
        <f ca="1">IFERROR(__xludf.DUMMYFUNCTION("""COMPUTED_VALUE"""),"Parts of a typical plant")</f>
        <v>Parts of a typical plant</v>
      </c>
      <c r="AM4" s="13"/>
      <c r="AN4" s="13"/>
      <c r="AO4" s="13"/>
      <c r="AP4" s="13"/>
      <c r="AQ4" s="13"/>
      <c r="AR4" s="13"/>
      <c r="AS4" s="13"/>
      <c r="AT4" s="13"/>
    </row>
    <row r="5" spans="1:46">
      <c r="A5" s="8" t="s">
        <v>247</v>
      </c>
      <c r="B5" s="8" t="s">
        <v>47</v>
      </c>
      <c r="C5" s="8" t="s">
        <v>416</v>
      </c>
      <c r="D5" s="8" t="s">
        <v>1406</v>
      </c>
      <c r="E5" s="8" t="s">
        <v>1809</v>
      </c>
      <c r="F5" s="8" t="s">
        <v>1812</v>
      </c>
      <c r="G5" s="8" t="s">
        <v>1814</v>
      </c>
      <c r="H5" s="8" t="str">
        <f ca="1">IFERROR(__xludf.DUMMYFUNCTION("VLOOKUP(G5, IMPORTRANGE(""https://docs.google.com/spreadsheets/d/14deopnvwcrKtEGCKuYXdUHJbeLDZlkiSSWWT0g7x2pM/edit#gid=849066331"", ""LU List Science (Filter)!A:B""), 2, FALSE)"),"Parts of a cell (cell wall, cell membrane, nucleus, cytoplasm)")</f>
        <v>Parts of a cell (cell wall, cell membrane, nucleus, cytoplasm)</v>
      </c>
      <c r="I5" s="10" t="str">
        <f t="shared" si="0"/>
        <v>LU005845.001</v>
      </c>
      <c r="J5" s="10" t="str">
        <f ca="1">IFERROR(__xludf.DUMMYFUNCTION("VLOOKUP(I5, IMPORTRANGE(""https://docs.google.com/spreadsheets/d/1yDAaXNsi4Mr5FtRQL4tbmSdIzhx6_m4wkOD7IG-k_eo/edit#gid=1336395716"", ""Science!M:N""), 2, FALSE)"),"Identify and name the four main parts of a cell: cell wall, cell membrane, nucleus, and cytoplasm.")</f>
        <v>Identify and name the four main parts of a cell: cell wall, cell membrane, nucleus, and cytoplasm.</v>
      </c>
      <c r="K5" s="10" t="str">
        <f t="shared" si="1"/>
        <v>LU005845.002</v>
      </c>
      <c r="L5" s="10" t="str">
        <f ca="1">IFERROR(__xludf.DUMMYFUNCTION("VLOOKUP(K5, IMPORTRANGE(""https://docs.google.com/spreadsheets/d/1yDAaXNsi4Mr5FtRQL4tbmSdIzhx6_m4wkOD7IG-k_eo/edit#gid=1336395716"", ""Science!M:N""), 2, FALSE)"),"Explain the functions of the cell wall, cell membrane, nucleus, and cytoplasm in a cell's structure and basic processes.")</f>
        <v>Explain the functions of the cell wall, cell membrane, nucleus, and cytoplasm in a cell's structure and basic processes.</v>
      </c>
      <c r="M5" s="10" t="str">
        <f t="shared" si="2"/>
        <v>LU005845.003</v>
      </c>
      <c r="N5" s="10" t="str">
        <f ca="1">IFERROR(__xludf.DUMMYFUNCTION("VLOOKUP(M5, IMPORTRANGE(""https://docs.google.com/spreadsheets/d/1yDAaXNsi4Mr5FtRQL4tbmSdIzhx6_m4wkOD7IG-k_eo/edit#gid=1336395716"", ""Science!M:N""), 2, FALSE)"),"Apply your knowledge of cell parts to differentiate between cells with cell walls and those without, and explain the functional significance of cell walls in different types of cells, such as plant cells, fungal cells, and bacterial cells.")</f>
        <v>Apply your knowledge of cell parts to differentiate between cells with cell walls and those without, and explain the functional significance of cell walls in different types of cells, such as plant cells, fungal cells, and bacterial cells.</v>
      </c>
      <c r="O5" s="10" t="str">
        <f t="shared" si="3"/>
        <v>LU005845.004</v>
      </c>
      <c r="P5" s="10" t="str">
        <f ca="1">IFERROR(__xludf.DUMMYFUNCTION("VLOOKUP(O5, IMPORTRANGE(""https://docs.google.com/spreadsheets/d/1yDAaXNsi4Mr5FtRQL4tbmSdIzhx6_m4wkOD7IG-k_eo/edit#gid=1336395716"", ""Science!M:N""), 2, FALSE)"),"Analyze how the cell membrane regulates the movement of substances in and out of the cell and compare it with the function of the cell wall.")</f>
        <v>Analyze how the cell membrane regulates the movement of substances in and out of the cell and compare it with the function of the cell wall.</v>
      </c>
      <c r="Q5" s="10" t="str">
        <f t="shared" si="4"/>
        <v>LU005845.005</v>
      </c>
      <c r="R5" s="10" t="str">
        <f ca="1">IFERROR(__xludf.DUMMYFUNCTION("VLOOKUP(Q5, IMPORTRANGE(""https://docs.google.com/spreadsheets/d/1yDAaXNsi4Mr5FtRQL4tbmSdIzhx6_m4wkOD7IG-k_eo/edit#gid=1336395716"", ""Science!M:N""), 2, FALSE)"),"Evaluate the significance of the nucleus in controlling cell activities and storing genetic information compared to other cell structures like the cell wall and cell membrane.")</f>
        <v>Evaluate the significance of the nucleus in controlling cell activities and storing genetic information compared to other cell structures like the cell wall and cell membrane.</v>
      </c>
      <c r="S5" s="10" t="str">
        <f t="shared" si="5"/>
        <v>LU005845.006</v>
      </c>
      <c r="T5" s="10" t="str">
        <f ca="1">IFERROR(__xludf.DUMMYFUNCTION("VLOOKUP(S5, IMPORTRANGE(""https://docs.google.com/spreadsheets/d/1yDAaXNsi4Mr5FtRQL4tbmSdIzhx6_m4wkOD7IG-k_eo/edit#gid=1336395716"", ""Science!M:N""), 2, FALSE)"),"#N/A")</f>
        <v>#N/A</v>
      </c>
      <c r="U5" s="116">
        <f ca="1">IFERROR(__xludf.DUMMYFUNCTION("ArrayFormula(VLOOKUP(G5, IMPORTRANGE(""https://docs.google.com/spreadsheets/d/1p7R4vtkWt5VOBim4ltsDG9KTzSjrtKXsMtQGXPHyND0/edit#gid=795171502"", ""'Filter 30_05_2024'!A1:M2000""), {2, 3, 4, 5,6,7,8,9,10,11,12,13}, 0))"),3)</f>
        <v>3</v>
      </c>
      <c r="V5" s="116">
        <f ca="1">IFERROR(__xludf.DUMMYFUNCTION("""COMPUTED_VALUE"""),6)</f>
        <v>6</v>
      </c>
      <c r="W5" s="116">
        <f ca="1">IFERROR(__xludf.DUMMYFUNCTION("""COMPUTED_VALUE"""),1)</f>
        <v>1</v>
      </c>
      <c r="X5" s="116">
        <f ca="1">IFERROR(__xludf.DUMMYFUNCTION("""COMPUTED_VALUE"""),10)</f>
        <v>10</v>
      </c>
      <c r="Y5" s="116">
        <f ca="1">IFERROR(__xludf.DUMMYFUNCTION("""COMPUTED_VALUE"""),4)</f>
        <v>4</v>
      </c>
      <c r="Z5" s="12">
        <f ca="1">IFERROR(__xludf.DUMMYFUNCTION("""COMPUTED_VALUE"""),3)</f>
        <v>3</v>
      </c>
      <c r="AA5" s="12">
        <f ca="1">IFERROR(__xludf.DUMMYFUNCTION("""COMPUTED_VALUE"""),2)</f>
        <v>2</v>
      </c>
      <c r="AB5" s="12">
        <f ca="1">IFERROR(__xludf.DUMMYFUNCTION("""COMPUTED_VALUE"""),9)</f>
        <v>9</v>
      </c>
      <c r="AC5" s="12"/>
      <c r="AD5" s="12"/>
      <c r="AE5" s="12"/>
      <c r="AF5" s="12"/>
      <c r="AG5" s="13" t="str">
        <f ca="1">IFERROR(__xludf.DUMMYFUNCTION("ArrayFormula(VLOOKUP(G5, IMPORTRANGE(""https://docs.google.com/spreadsheets/d/1Co934fvtviyaRiMsrIlT05Jaq7iiYq07aLvRr35KA48/edit?gid=173865642#gid=173865642"", ""'G7_Sci_Pri_LU'!G2:V2000""), {3, 4, 5, 6, 7, 8, 9, 10, 11, 12, 13, 14, 15, 16}, 0))"),"")</f>
        <v/>
      </c>
      <c r="AH5" s="13"/>
      <c r="AI5" s="13"/>
      <c r="AJ5" s="13"/>
      <c r="AK5" s="13"/>
      <c r="AL5" s="13"/>
      <c r="AM5" s="13"/>
      <c r="AN5" s="13"/>
      <c r="AO5" s="13"/>
      <c r="AP5" s="13"/>
      <c r="AQ5" s="13"/>
      <c r="AR5" s="13"/>
      <c r="AS5" s="13"/>
      <c r="AT5" s="13"/>
    </row>
    <row r="6" spans="1:46">
      <c r="A6" s="8" t="s">
        <v>247</v>
      </c>
      <c r="B6" s="8" t="s">
        <v>47</v>
      </c>
      <c r="C6" s="8" t="s">
        <v>416</v>
      </c>
      <c r="D6" s="8" t="s">
        <v>1406</v>
      </c>
      <c r="E6" s="8" t="s">
        <v>1809</v>
      </c>
      <c r="F6" s="118" t="s">
        <v>1815</v>
      </c>
      <c r="G6" s="8" t="s">
        <v>1816</v>
      </c>
      <c r="H6" s="8" t="str">
        <f ca="1">IFERROR(__xludf.DUMMYFUNCTION("VLOOKUP(G6, IMPORTRANGE(""https://docs.google.com/spreadsheets/d/14deopnvwcrKtEGCKuYXdUHJbeLDZlkiSSWWT0g7x2pM/edit#gid=849066331"", ""LU List Science (Filter)!A:B""), 2, FALSE)"),"Nitrogen Source and Fate in Plants")</f>
        <v>Nitrogen Source and Fate in Plants</v>
      </c>
      <c r="I6" s="10" t="str">
        <f t="shared" si="0"/>
        <v>LU005409.001</v>
      </c>
      <c r="J6" s="10" t="str">
        <f ca="1">IFERROR(__xludf.DUMMYFUNCTION("VLOOKUP(I6, IMPORTRANGE(""https://docs.google.com/spreadsheets/d/1yDAaXNsi4Mr5FtRQL4tbmSdIzhx6_m4wkOD7IG-k_eo/edit#gid=1336395716"", ""Science!M:N""), 2, FALSE)"),"Recall and list the sources from which plants obtain nitrogen.")</f>
        <v>Recall and list the sources from which plants obtain nitrogen.</v>
      </c>
      <c r="K6" s="10" t="str">
        <f t="shared" si="1"/>
        <v>LU005409.002</v>
      </c>
      <c r="L6" s="10" t="str">
        <f ca="1">IFERROR(__xludf.DUMMYFUNCTION("VLOOKUP(K6, IMPORTRANGE(""https://docs.google.com/spreadsheets/d/1yDAaXNsi4Mr5FtRQL4tbmSdIzhx6_m4wkOD7IG-k_eo/edit#gid=1336395716"", ""Science!M:N""), 2, FALSE)"),"Explain how plants get nitrogen from various sources and describe what happens to the nitrogen in plants.")</f>
        <v>Explain how plants get nitrogen from various sources and describe what happens to the nitrogen in plants.</v>
      </c>
      <c r="M6" s="10" t="str">
        <f t="shared" si="2"/>
        <v>LU005409.003</v>
      </c>
      <c r="N6" s="10" t="str">
        <f ca="1">IFERROR(__xludf.DUMMYFUNCTION("VLOOKUP(M6, IMPORTRANGE(""https://docs.google.com/spreadsheets/d/1yDAaXNsi4Mr5FtRQL4tbmSdIzhx6_m4wkOD7IG-k_eo/edit#gid=1336395716"", ""Science!M:N""), 2, FALSE)"),"Apply your knowledge by giving examples of where plants get nitrogen and how this nitrogen is used for growth.")</f>
        <v>Apply your knowledge by giving examples of where plants get nitrogen and how this nitrogen is used for growth.</v>
      </c>
      <c r="O6" s="10" t="str">
        <f t="shared" si="3"/>
        <v>LU005409.004</v>
      </c>
      <c r="P6" s="10" t="str">
        <f ca="1">IFERROR(__xludf.DUMMYFUNCTION("VLOOKUP(O6, IMPORTRANGE(""https://docs.google.com/spreadsheets/d/1yDAaXNsi4Mr5FtRQL4tbmSdIzhx6_m4wkOD7IG-k_eo/edit#gid=1336395716"", ""Science!M:N""), 2, FALSE)"),"Analyze the role of nitrogen in helping plants grow and stay healthy, and discuss how plants use the nitrogen they obtain.")</f>
        <v>Analyze the role of nitrogen in helping plants grow and stay healthy, and discuss how plants use the nitrogen they obtain.</v>
      </c>
      <c r="Q6" s="10" t="str">
        <f t="shared" si="4"/>
        <v>LU005409.005</v>
      </c>
      <c r="R6" s="10" t="str">
        <f ca="1">IFERROR(__xludf.DUMMYFUNCTION("VLOOKUP(Q6, IMPORTRANGE(""https://docs.google.com/spreadsheets/d/1yDAaXNsi4Mr5FtRQL4tbmSdIzhx6_m4wkOD7IG-k_eo/edit#gid=1336395716"", ""Science!M:N""), 2, FALSE)"),"Evaluate the significance of nitrogen for plant growth and health.")</f>
        <v>Evaluate the significance of nitrogen for plant growth and health.</v>
      </c>
      <c r="S6" s="10" t="str">
        <f t="shared" si="5"/>
        <v>LU005409.006</v>
      </c>
      <c r="T6" s="10" t="str">
        <f ca="1">IFERROR(__xludf.DUMMYFUNCTION("VLOOKUP(S6, IMPORTRANGE(""https://docs.google.com/spreadsheets/d/1yDAaXNsi4Mr5FtRQL4tbmSdIzhx6_m4wkOD7IG-k_eo/edit#gid=1336395716"", ""Science!M:N""), 2, FALSE)"),"#N/A")</f>
        <v>#N/A</v>
      </c>
      <c r="U6" s="116" t="str">
        <f ca="1">IFERROR(__xludf.DUMMYFUNCTION("ArrayFormula(VLOOKUP(G6, IMPORTRANGE(""https://docs.google.com/spreadsheets/d/1p7R4vtkWt5VOBim4ltsDG9KTzSjrtKXsMtQGXPHyND0/edit#gid=795171502"", ""'Filter 30_05_2024'!A1:M2000""), {2, 3, 4, 5,6,7,8,9,10,11,12,13}, 0))"),"")</f>
        <v/>
      </c>
      <c r="V6" s="116"/>
      <c r="W6" s="116"/>
      <c r="X6" s="116"/>
      <c r="Y6" s="116">
        <f ca="1">IFERROR(__xludf.DUMMYFUNCTION("""COMPUTED_VALUE"""),6)</f>
        <v>6</v>
      </c>
      <c r="Z6" s="12">
        <f ca="1">IFERROR(__xludf.DUMMYFUNCTION("""COMPUTED_VALUE"""),9)</f>
        <v>9</v>
      </c>
      <c r="AA6" s="12">
        <f ca="1">IFERROR(__xludf.DUMMYFUNCTION("""COMPUTED_VALUE"""),3)</f>
        <v>3</v>
      </c>
      <c r="AB6" s="12">
        <f ca="1">IFERROR(__xludf.DUMMYFUNCTION("""COMPUTED_VALUE"""),18)</f>
        <v>18</v>
      </c>
      <c r="AC6" s="12"/>
      <c r="AD6" s="12"/>
      <c r="AE6" s="12"/>
      <c r="AF6" s="12"/>
      <c r="AG6" s="13" t="str">
        <f ca="1">IFERROR(__xludf.DUMMYFUNCTION("ArrayFormula(VLOOKUP(G6, IMPORTRANGE(""https://docs.google.com/spreadsheets/d/1Co934fvtviyaRiMsrIlT05Jaq7iiYq07aLvRr35KA48/edit?gid=173865642#gid=173865642"", ""'G7_Sci_Pri_LU'!G2:V2000""), {3, 4, 5, 6, 7, 8, 9, 10, 11, 12, 13, 14, 15, 16}, 0))"),"LU005756")</f>
        <v>LU005756</v>
      </c>
      <c r="AH6" s="13" t="str">
        <f ca="1">IFERROR(__xludf.DUMMYFUNCTION("""COMPUTED_VALUE"""),"Components of soil (minerals, organic matter, water, air)")</f>
        <v>Components of soil (minerals, organic matter, water, air)</v>
      </c>
      <c r="AI6" s="13" t="str">
        <f ca="1">IFERROR(__xludf.DUMMYFUNCTION("""COMPUTED_VALUE"""),"LU005214")</f>
        <v>LU005214</v>
      </c>
      <c r="AJ6" s="13" t="str">
        <f ca="1">IFERROR(__xludf.DUMMYFUNCTION("""COMPUTED_VALUE"""),"Definition of nutrients, types, and their sources.")</f>
        <v>Definition of nutrients, types, and their sources.</v>
      </c>
      <c r="AK6" s="13"/>
      <c r="AL6" s="13"/>
      <c r="AM6" s="13"/>
      <c r="AN6" s="13"/>
      <c r="AO6" s="13"/>
      <c r="AP6" s="13"/>
      <c r="AQ6" s="13"/>
      <c r="AR6" s="13"/>
      <c r="AS6" s="13"/>
      <c r="AT6" s="13"/>
    </row>
    <row r="7" spans="1:46">
      <c r="A7" s="8" t="s">
        <v>247</v>
      </c>
      <c r="B7" s="8" t="s">
        <v>47</v>
      </c>
      <c r="C7" s="8" t="s">
        <v>416</v>
      </c>
      <c r="D7" s="8" t="s">
        <v>1406</v>
      </c>
      <c r="E7" s="8" t="s">
        <v>1809</v>
      </c>
      <c r="F7" s="8" t="s">
        <v>1815</v>
      </c>
      <c r="G7" s="8" t="s">
        <v>1817</v>
      </c>
      <c r="H7" s="8" t="str">
        <f ca="1">IFERROR(__xludf.DUMMYFUNCTION("VLOOKUP(G7, IMPORTRANGE(""https://docs.google.com/spreadsheets/d/14deopnvwcrKtEGCKuYXdUHJbeLDZlkiSSWWT0g7x2pM/edit#gid=849066331"", ""LU List Science (Filter)!A:B""), 2, FALSE)"),"Autotrophic, Heterotrophic, Parasitic, and Insectivorous plants
")</f>
        <v xml:space="preserve">Autotrophic, Heterotrophic, Parasitic, and Insectivorous plants
</v>
      </c>
      <c r="I7" s="10" t="str">
        <f t="shared" si="0"/>
        <v>LU005410.001</v>
      </c>
      <c r="J7" s="10" t="str">
        <f ca="1">IFERROR(__xludf.DUMMYFUNCTION("VLOOKUP(I7, IMPORTRANGE(""https://docs.google.com/spreadsheets/d/1yDAaXNsi4Mr5FtRQL4tbmSdIzhx6_m4wkOD7IG-k_eo/edit#gid=1336395716"", ""Science!M:N""), 2, FALSE)"),"Students will list the modes of nutrition in plants, including autotrophic, heterotrophic, parasitic, and insectivorous.")</f>
        <v>Students will list the modes of nutrition in plants, including autotrophic, heterotrophic, parasitic, and insectivorous.</v>
      </c>
      <c r="K7" s="10" t="str">
        <f t="shared" si="1"/>
        <v>LU005410.002</v>
      </c>
      <c r="L7" s="10" t="str">
        <f ca="1">IFERROR(__xludf.DUMMYFUNCTION("VLOOKUP(K7, IMPORTRANGE(""https://docs.google.com/spreadsheets/d/1yDAaXNsi4Mr5FtRQL4tbmSdIzhx6_m4wkOD7IG-k_eo/edit#gid=1336395716"", ""Science!M:N""), 2, FALSE)"),"Students will explain the basic principles of how autotrophic, heterotrophic, parasitic, and insectivorous plants obtain their nutrients.")</f>
        <v>Students will explain the basic principles of how autotrophic, heterotrophic, parasitic, and insectivorous plants obtain their nutrients.</v>
      </c>
      <c r="M7" s="10" t="str">
        <f t="shared" si="2"/>
        <v>LU005410.003</v>
      </c>
      <c r="N7" s="10" t="str">
        <f ca="1">IFERROR(__xludf.DUMMYFUNCTION("VLOOKUP(M7, IMPORTRANGE(""https://docs.google.com/spreadsheets/d/1yDAaXNsi4Mr5FtRQL4tbmSdIzhx6_m4wkOD7IG-k_eo/edit#gid=1336395716"", ""Science!M:N""), 2, FALSE)"),"Students will classify given plant examples into autotrophic, heterotrophic, parasitic, and insectivorous categories.")</f>
        <v>Students will classify given plant examples into autotrophic, heterotrophic, parasitic, and insectivorous categories.</v>
      </c>
      <c r="O7" s="10" t="str">
        <f t="shared" si="3"/>
        <v>LU005410.004</v>
      </c>
      <c r="P7" s="10" t="str">
        <f ca="1">IFERROR(__xludf.DUMMYFUNCTION("VLOOKUP(O7, IMPORTRANGE(""https://docs.google.com/spreadsheets/d/1yDAaXNsi4Mr5FtRQL4tbmSdIzhx6_m4wkOD7IG-k_eo/edit#gid=1336395716"", ""Science!M:N""), 2, FALSE)"),"Students will analyze the advantages and limitations of each mode of nutrition in plants.")</f>
        <v>Students will analyze the advantages and limitations of each mode of nutrition in plants.</v>
      </c>
      <c r="Q7" s="10" t="str">
        <f t="shared" si="4"/>
        <v>LU005410.005</v>
      </c>
      <c r="R7" s="10" t="str">
        <f ca="1">IFERROR(__xludf.DUMMYFUNCTION("VLOOKUP(Q7, IMPORTRANGE(""https://docs.google.com/spreadsheets/d/1yDAaXNsi4Mr5FtRQL4tbmSdIzhx6_m4wkOD7IG-k_eo/edit#gid=1336395716"", ""Science!M:N""), 2, FALSE)"),"Students will evaluate the impact of different modes of nutrition on plant diversity and ecosystem health.")</f>
        <v>Students will evaluate the impact of different modes of nutrition on plant diversity and ecosystem health.</v>
      </c>
      <c r="S7" s="10" t="str">
        <f t="shared" si="5"/>
        <v>LU005410.006</v>
      </c>
      <c r="T7" s="10" t="str">
        <f ca="1">IFERROR(__xludf.DUMMYFUNCTION("VLOOKUP(S7, IMPORTRANGE(""https://docs.google.com/spreadsheets/d/1yDAaXNsi4Mr5FtRQL4tbmSdIzhx6_m4wkOD7IG-k_eo/edit#gid=1336395716"", ""Science!M:N""), 2, FALSE)"),"#N/A")</f>
        <v>#N/A</v>
      </c>
      <c r="U7" s="116">
        <f ca="1">IFERROR(__xludf.DUMMYFUNCTION("ArrayFormula(VLOOKUP(G7, IMPORTRANGE(""https://docs.google.com/spreadsheets/d/1p7R4vtkWt5VOBim4ltsDG9KTzSjrtKXsMtQGXPHyND0/edit#gid=795171502"", ""'Filter 30_05_2024'!A1:M2000""), {2, 3, 4, 5,6,7,8,9,10,11,12,13}, 0))"),24)</f>
        <v>24</v>
      </c>
      <c r="V7" s="116">
        <f ca="1">IFERROR(__xludf.DUMMYFUNCTION("""COMPUTED_VALUE"""),5)</f>
        <v>5</v>
      </c>
      <c r="W7" s="116">
        <f ca="1">IFERROR(__xludf.DUMMYFUNCTION("""COMPUTED_VALUE"""),3)</f>
        <v>3</v>
      </c>
      <c r="X7" s="116">
        <f ca="1">IFERROR(__xludf.DUMMYFUNCTION("""COMPUTED_VALUE"""),32)</f>
        <v>32</v>
      </c>
      <c r="Y7" s="116">
        <f ca="1">IFERROR(__xludf.DUMMYFUNCTION("""COMPUTED_VALUE"""),7)</f>
        <v>7</v>
      </c>
      <c r="Z7" s="12">
        <f ca="1">IFERROR(__xludf.DUMMYFUNCTION("""COMPUTED_VALUE"""),5)</f>
        <v>5</v>
      </c>
      <c r="AA7" s="12"/>
      <c r="AB7" s="12">
        <f ca="1">IFERROR(__xludf.DUMMYFUNCTION("""COMPUTED_VALUE"""),12)</f>
        <v>12</v>
      </c>
      <c r="AC7" s="12"/>
      <c r="AD7" s="12"/>
      <c r="AE7" s="12"/>
      <c r="AF7" s="12"/>
      <c r="AG7" s="13" t="str">
        <f ca="1">IFERROR(__xludf.DUMMYFUNCTION("ArrayFormula(VLOOKUP(G7, IMPORTRANGE(""https://docs.google.com/spreadsheets/d/1Co934fvtviyaRiMsrIlT05Jaq7iiYq07aLvRr35KA48/edit?gid=173865642#gid=173865642"", ""'G7_Sci_Pri_LU'!G2:V2000""), {3, 4, 5, 6, 7, 8, 9, 10, 11, 12, 13, 14, 15, 16}, 0))"),"LU005407")</f>
        <v>LU005407</v>
      </c>
      <c r="AH7" s="13" t="str">
        <f ca="1">IFERROR(__xludf.DUMMYFUNCTION("""COMPUTED_VALUE"""),"Definition of Nutrition.")</f>
        <v>Definition of Nutrition.</v>
      </c>
      <c r="AI7" s="13" t="str">
        <f ca="1">IFERROR(__xludf.DUMMYFUNCTION("""COMPUTED_VALUE"""),"LU005944")</f>
        <v>LU005944</v>
      </c>
      <c r="AJ7" s="13" t="str">
        <f ca="1">IFERROR(__xludf.DUMMYFUNCTION("""COMPUTED_VALUE"""),"Introduction to photosynthesis process in plants")</f>
        <v>Introduction to photosynthesis process in plants</v>
      </c>
      <c r="AK7" s="13" t="str">
        <f ca="1">IFERROR(__xludf.DUMMYFUNCTION("""COMPUTED_VALUE"""),"LU005214")</f>
        <v>LU005214</v>
      </c>
      <c r="AL7" s="13" t="str">
        <f ca="1">IFERROR(__xludf.DUMMYFUNCTION("""COMPUTED_VALUE"""),"Definition of nutrients, types, and their sources.")</f>
        <v>Definition of nutrients, types, and their sources.</v>
      </c>
      <c r="AM7" s="13"/>
      <c r="AN7" s="13"/>
      <c r="AO7" s="13"/>
      <c r="AP7" s="13"/>
      <c r="AQ7" s="13"/>
      <c r="AR7" s="13"/>
      <c r="AS7" s="13"/>
      <c r="AT7" s="13"/>
    </row>
    <row r="8" spans="1:46">
      <c r="A8" s="8" t="s">
        <v>247</v>
      </c>
      <c r="B8" s="8" t="s">
        <v>47</v>
      </c>
      <c r="C8" s="8" t="s">
        <v>416</v>
      </c>
      <c r="D8" s="8" t="s">
        <v>1406</v>
      </c>
      <c r="E8" s="8" t="s">
        <v>1809</v>
      </c>
      <c r="F8" s="8" t="s">
        <v>1818</v>
      </c>
      <c r="G8" s="8" t="s">
        <v>1819</v>
      </c>
      <c r="H8" s="8" t="str">
        <f ca="1">IFERROR(__xludf.DUMMYFUNCTION("VLOOKUP(G8, IMPORTRANGE(""https://docs.google.com/spreadsheets/d/14deopnvwcrKtEGCKuYXdUHJbeLDZlkiSSWWT0g7x2pM/edit#gid=849066331"", ""LU List Science (Filter)!A:B""), 2, FALSE)"),"Saprotrophic mode of nutrition")</f>
        <v>Saprotrophic mode of nutrition</v>
      </c>
      <c r="I8" s="10" t="str">
        <f t="shared" si="0"/>
        <v>LU005411.001</v>
      </c>
      <c r="J8" s="10" t="str">
        <f ca="1">IFERROR(__xludf.DUMMYFUNCTION("VLOOKUP(I8, IMPORTRANGE(""https://docs.google.com/spreadsheets/d/1yDAaXNsi4Mr5FtRQL4tbmSdIzhx6_m4wkOD7IG-k_eo/edit#gid=1336395716"", ""Science!M:N""), 2, FALSE)"),"Students will define saprotrophic nutrition and identify organisms that utilize this mode of nutrition.")</f>
        <v>Students will define saprotrophic nutrition and identify organisms that utilize this mode of nutrition.</v>
      </c>
      <c r="K8" s="10" t="str">
        <f t="shared" si="1"/>
        <v>LU005411.002</v>
      </c>
      <c r="L8" s="10" t="str">
        <f ca="1">IFERROR(__xludf.DUMMYFUNCTION("VLOOKUP(K8, IMPORTRANGE(""https://docs.google.com/spreadsheets/d/1yDAaXNsi4Mr5FtRQL4tbmSdIzhx6_m4wkOD7IG-k_eo/edit#gid=1336395716"", ""Science!M:N""), 2, FALSE)"),"Students will interpret the process of saprotrophic nutrition and its importance to the ecosystem.")</f>
        <v>Students will interpret the process of saprotrophic nutrition and its importance to the ecosystem.</v>
      </c>
      <c r="M8" s="10" t="str">
        <f t="shared" si="2"/>
        <v>LU005411.003</v>
      </c>
      <c r="N8" s="10" t="str">
        <f ca="1">IFERROR(__xludf.DUMMYFUNCTION("VLOOKUP(M8, IMPORTRANGE(""https://docs.google.com/spreadsheets/d/1yDAaXNsi4Mr5FtRQL4tbmSdIzhx6_m4wkOD7IG-k_eo/edit#gid=1336395716"", ""Science!M:N""), 2, FALSE)"),"Students will demonstrate the saprotrophic mode of nutrition by setting up a simple experiment with bread mold.")</f>
        <v>Students will demonstrate the saprotrophic mode of nutrition by setting up a simple experiment with bread mold.</v>
      </c>
      <c r="O8" s="10" t="str">
        <f t="shared" si="3"/>
        <v>LU005411.004</v>
      </c>
      <c r="P8" s="10" t="str">
        <f ca="1">IFERROR(__xludf.DUMMYFUNCTION("VLOOKUP(O8, IMPORTRANGE(""https://docs.google.com/spreadsheets/d/1yDAaXNsi4Mr5FtRQL4tbmSdIzhx6_m4wkOD7IG-k_eo/edit#gid=1336395716"", ""Science!M:N""), 2, FALSE)"),"Students will analyze the role of enzymes in the saprotrophic mode of nutrition.")</f>
        <v>Students will analyze the role of enzymes in the saprotrophic mode of nutrition.</v>
      </c>
      <c r="Q8" s="10" t="str">
        <f t="shared" si="4"/>
        <v>LU005411.005</v>
      </c>
      <c r="R8" s="10" t="str">
        <f ca="1">IFERROR(__xludf.DUMMYFUNCTION("VLOOKUP(Q8, IMPORTRANGE(""https://docs.google.com/spreadsheets/d/1yDAaXNsi4Mr5FtRQL4tbmSdIzhx6_m4wkOD7IG-k_eo/edit#gid=1336395716"", ""Science!M:N""), 2, FALSE)"),"Students will critique the efficiency of saprotrophic nutrition in energy transfer within an ecosystem.")</f>
        <v>Students will critique the efficiency of saprotrophic nutrition in energy transfer within an ecosystem.</v>
      </c>
      <c r="S8" s="10" t="str">
        <f t="shared" si="5"/>
        <v>LU005411.006</v>
      </c>
      <c r="T8" s="10" t="str">
        <f ca="1">IFERROR(__xludf.DUMMYFUNCTION("VLOOKUP(S8, IMPORTRANGE(""https://docs.google.com/spreadsheets/d/1yDAaXNsi4Mr5FtRQL4tbmSdIzhx6_m4wkOD7IG-k_eo/edit#gid=1336395716"", ""Science!M:N""), 2, FALSE)"),"#N/A")</f>
        <v>#N/A</v>
      </c>
      <c r="U8" s="116">
        <f ca="1">IFERROR(__xludf.DUMMYFUNCTION("ArrayFormula(VLOOKUP(G8, IMPORTRANGE(""https://docs.google.com/spreadsheets/d/1p7R4vtkWt5VOBim4ltsDG9KTzSjrtKXsMtQGXPHyND0/edit#gid=795171502"", ""'Filter 30_05_2024'!A1:M2000""), {2, 3, 4, 5,6,7,8,9,10,11,12,13}, 0))"),15)</f>
        <v>15</v>
      </c>
      <c r="V8" s="116">
        <f ca="1">IFERROR(__xludf.DUMMYFUNCTION("""COMPUTED_VALUE"""),17)</f>
        <v>17</v>
      </c>
      <c r="W8" s="116"/>
      <c r="X8" s="116">
        <f ca="1">IFERROR(__xludf.DUMMYFUNCTION("""COMPUTED_VALUE"""),32)</f>
        <v>32</v>
      </c>
      <c r="Y8" s="116">
        <f ca="1">IFERROR(__xludf.DUMMYFUNCTION("""COMPUTED_VALUE"""),7)</f>
        <v>7</v>
      </c>
      <c r="Z8" s="12">
        <f ca="1">IFERROR(__xludf.DUMMYFUNCTION("""COMPUTED_VALUE"""),3)</f>
        <v>3</v>
      </c>
      <c r="AA8" s="12">
        <f ca="1">IFERROR(__xludf.DUMMYFUNCTION("""COMPUTED_VALUE"""),3)</f>
        <v>3</v>
      </c>
      <c r="AB8" s="12">
        <f ca="1">IFERROR(__xludf.DUMMYFUNCTION("""COMPUTED_VALUE"""),13)</f>
        <v>13</v>
      </c>
      <c r="AC8" s="12"/>
      <c r="AD8" s="12"/>
      <c r="AE8" s="12"/>
      <c r="AF8" s="12"/>
      <c r="AG8" s="13" t="str">
        <f ca="1">IFERROR(__xludf.DUMMYFUNCTION("ArrayFormula(VLOOKUP(G8, IMPORTRANGE(""https://docs.google.com/spreadsheets/d/1Co934fvtviyaRiMsrIlT05Jaq7iiYq07aLvRr35KA48/edit?gid=173865642#gid=173865642"", ""'G7_Sci_Pri_LU'!G2:V2000""), {3, 4, 5, 6, 7, 8, 9, 10, 11, 12, 13, 14, 15, 16}, 0))"),"LU005407")</f>
        <v>LU005407</v>
      </c>
      <c r="AH8" s="13" t="str">
        <f ca="1">IFERROR(__xludf.DUMMYFUNCTION("""COMPUTED_VALUE"""),"Definition of Nutrition.")</f>
        <v>Definition of Nutrition.</v>
      </c>
      <c r="AI8" s="13" t="str">
        <f ca="1">IFERROR(__xludf.DUMMYFUNCTION("""COMPUTED_VALUE"""),"LU005944")</f>
        <v>LU005944</v>
      </c>
      <c r="AJ8" s="13" t="str">
        <f ca="1">IFERROR(__xludf.DUMMYFUNCTION("""COMPUTED_VALUE"""),"Introduction to photosynthesis process in plants")</f>
        <v>Introduction to photosynthesis process in plants</v>
      </c>
      <c r="AK8" s="13" t="str">
        <f ca="1">IFERROR(__xludf.DUMMYFUNCTION("""COMPUTED_VALUE"""),"LU005214")</f>
        <v>LU005214</v>
      </c>
      <c r="AL8" s="13" t="str">
        <f ca="1">IFERROR(__xludf.DUMMYFUNCTION("""COMPUTED_VALUE"""),"Definition of nutrients, types, and their sources.")</f>
        <v>Definition of nutrients, types, and their sources.</v>
      </c>
      <c r="AM8" s="13"/>
      <c r="AN8" s="13"/>
      <c r="AO8" s="13"/>
      <c r="AP8" s="13"/>
      <c r="AQ8" s="13"/>
      <c r="AR8" s="13"/>
      <c r="AS8" s="13"/>
      <c r="AT8" s="13"/>
    </row>
    <row r="9" spans="1:46">
      <c r="A9" s="8" t="s">
        <v>247</v>
      </c>
      <c r="B9" s="8" t="s">
        <v>47</v>
      </c>
      <c r="C9" s="8" t="s">
        <v>416</v>
      </c>
      <c r="D9" s="8" t="s">
        <v>1406</v>
      </c>
      <c r="E9" s="8" t="s">
        <v>1809</v>
      </c>
      <c r="F9" s="8" t="s">
        <v>1820</v>
      </c>
      <c r="G9" s="8" t="s">
        <v>1821</v>
      </c>
      <c r="H9" s="8" t="str">
        <f ca="1">IFERROR(__xludf.DUMMYFUNCTION("VLOOKUP(G9, IMPORTRANGE(""https://docs.google.com/spreadsheets/d/14deopnvwcrKtEGCKuYXdUHJbeLDZlkiSSWWT0g7x2pM/edit#gid=849066331"", ""LU List Science (Filter)!A:B""), 2, FALSE)"),"Symbiotic Relationship between plants and bacteria")</f>
        <v>Symbiotic Relationship between plants and bacteria</v>
      </c>
      <c r="I9" s="10" t="str">
        <f t="shared" si="0"/>
        <v>LU005412.001</v>
      </c>
      <c r="J9" s="10" t="str">
        <f ca="1">IFERROR(__xludf.DUMMYFUNCTION("VLOOKUP(I9, IMPORTRANGE(""https://docs.google.com/spreadsheets/d/1yDAaXNsi4Mr5FtRQL4tbmSdIzhx6_m4wkOD7IG-k_eo/edit#gid=1336395716"", ""Science!M:N""), 2, FALSE)"),"Students will define symbiosis (using various examples, such as lichens, mycorrhizae, etc.) and identify examples of symbiotic relationships between plants and bacteria.")</f>
        <v>Students will define symbiosis (using various examples, such as lichens, mycorrhizae, etc.) and identify examples of symbiotic relationships between plants and bacteria.</v>
      </c>
      <c r="K9" s="10" t="str">
        <f t="shared" si="1"/>
        <v>LU005412.002</v>
      </c>
      <c r="L9" s="10" t="str">
        <f ca="1">IFERROR(__xludf.DUMMYFUNCTION("VLOOKUP(K9, IMPORTRANGE(""https://docs.google.com/spreadsheets/d/1yDAaXNsi4Mr5FtRQL4tbmSdIzhx6_m4wkOD7IG-k_eo/edit#gid=1336395716"", ""Science!M:N""), 2, FALSE)"),"Students will explain the mutual benefits obtained by plants and bacteria in a symbiotic relationship.")</f>
        <v>Students will explain the mutual benefits obtained by plants and bacteria in a symbiotic relationship.</v>
      </c>
      <c r="M9" s="10" t="str">
        <f t="shared" si="2"/>
        <v>LU005412.003</v>
      </c>
      <c r="N9" s="10" t="str">
        <f ca="1">IFERROR(__xludf.DUMMYFUNCTION("VLOOKUP(M9, IMPORTRANGE(""https://docs.google.com/spreadsheets/d/1yDAaXNsi4Mr5FtRQL4tbmSdIzhx6_m4wkOD7IG-k_eo/edit#gid=1336395716"", ""Science!M:N""), 2, FALSE)"),"Students will illustrate with examples how symbiotic relationships between plants and bacteria operate.")</f>
        <v>Students will illustrate with examples how symbiotic relationships between plants and bacteria operate.</v>
      </c>
      <c r="O9" s="10" t="str">
        <f t="shared" si="3"/>
        <v>LU005412.004</v>
      </c>
      <c r="P9" s="10" t="str">
        <f ca="1">IFERROR(__xludf.DUMMYFUNCTION("VLOOKUP(O9, IMPORTRANGE(""https://docs.google.com/spreadsheets/d/1yDAaXNsi4Mr5FtRQL4tbmSdIzhx6_m4wkOD7IG-k_eo/edit#gid=1336395716"", ""Science!M:N""), 2, FALSE)"),"Students will analyze the role of bacteria in the nitrogen fixation process and its importance to plant growth.")</f>
        <v>Students will analyze the role of bacteria in the nitrogen fixation process and its importance to plant growth.</v>
      </c>
      <c r="Q9" s="10" t="str">
        <f t="shared" si="4"/>
        <v>LU005412.005</v>
      </c>
      <c r="R9" s="10" t="str">
        <f ca="1">IFERROR(__xludf.DUMMYFUNCTION("VLOOKUP(Q9, IMPORTRANGE(""https://docs.google.com/spreadsheets/d/1yDAaXNsi4Mr5FtRQL4tbmSdIzhx6_m4wkOD7IG-k_eo/edit#gid=1336395716"", ""Science!M:N""), 2, FALSE)"),"Students will justify the importance of maintaining symbiotic relationships between plants and bacteria for ecosystem health.")</f>
        <v>Students will justify the importance of maintaining symbiotic relationships between plants and bacteria for ecosystem health.</v>
      </c>
      <c r="S9" s="10" t="str">
        <f t="shared" si="5"/>
        <v>LU005412.006</v>
      </c>
      <c r="T9" s="10" t="str">
        <f ca="1">IFERROR(__xludf.DUMMYFUNCTION("VLOOKUP(S9, IMPORTRANGE(""https://docs.google.com/spreadsheets/d/1yDAaXNsi4Mr5FtRQL4tbmSdIzhx6_m4wkOD7IG-k_eo/edit#gid=1336395716"", ""Science!M:N""), 2, FALSE)"),"#N/A")</f>
        <v>#N/A</v>
      </c>
      <c r="U9" s="116">
        <f ca="1">IFERROR(__xludf.DUMMYFUNCTION("ArrayFormula(VLOOKUP(G9, IMPORTRANGE(""https://docs.google.com/spreadsheets/d/1p7R4vtkWt5VOBim4ltsDG9KTzSjrtKXsMtQGXPHyND0/edit#gid=795171502"", ""'Filter 30_05_2024'!A1:M2000""), {2, 3, 4, 5,6,7,8,9,10,11,12,13}, 0))"),1)</f>
        <v>1</v>
      </c>
      <c r="V9" s="116"/>
      <c r="W9" s="116"/>
      <c r="X9" s="116">
        <f ca="1">IFERROR(__xludf.DUMMYFUNCTION("""COMPUTED_VALUE"""),1)</f>
        <v>1</v>
      </c>
      <c r="Y9" s="116">
        <f ca="1">IFERROR(__xludf.DUMMYFUNCTION("""COMPUTED_VALUE"""),8)</f>
        <v>8</v>
      </c>
      <c r="Z9" s="12">
        <f ca="1">IFERROR(__xludf.DUMMYFUNCTION("""COMPUTED_VALUE"""),9)</f>
        <v>9</v>
      </c>
      <c r="AA9" s="12">
        <f ca="1">IFERROR(__xludf.DUMMYFUNCTION("""COMPUTED_VALUE"""),3)</f>
        <v>3</v>
      </c>
      <c r="AB9" s="12">
        <f ca="1">IFERROR(__xludf.DUMMYFUNCTION("""COMPUTED_VALUE"""),20)</f>
        <v>20</v>
      </c>
      <c r="AC9" s="12"/>
      <c r="AD9" s="12"/>
      <c r="AE9" s="12"/>
      <c r="AF9" s="12"/>
      <c r="AG9" s="13" t="str">
        <f ca="1">IFERROR(__xludf.DUMMYFUNCTION("ArrayFormula(VLOOKUP(G9, IMPORTRANGE(""https://docs.google.com/spreadsheets/d/1Co934fvtviyaRiMsrIlT05Jaq7iiYq07aLvRr35KA48/edit?gid=173865642#gid=173865642"", ""'G7_Sci_Pri_LU'!G2:V2000""), {3, 4, 5, 6, 7, 8, 9, 10, 11, 12, 13, 14, 15, 16}, 0))"),"LU005409")</f>
        <v>LU005409</v>
      </c>
      <c r="AH9" s="13" t="str">
        <f ca="1">IFERROR(__xludf.DUMMYFUNCTION("""COMPUTED_VALUE"""),"Nitrogen Source and Fate in Plants")</f>
        <v>Nitrogen Source and Fate in Plants</v>
      </c>
      <c r="AI9" s="13" t="str">
        <f ca="1">IFERROR(__xludf.DUMMYFUNCTION("""COMPUTED_VALUE"""),"LU005407")</f>
        <v>LU005407</v>
      </c>
      <c r="AJ9" s="13" t="str">
        <f ca="1">IFERROR(__xludf.DUMMYFUNCTION("""COMPUTED_VALUE"""),"Definition of Nutrition.")</f>
        <v>Definition of Nutrition.</v>
      </c>
      <c r="AK9" s="13" t="str">
        <f ca="1">IFERROR(__xludf.DUMMYFUNCTION("""COMPUTED_VALUE"""),"LU005944")</f>
        <v>LU005944</v>
      </c>
      <c r="AL9" s="13" t="str">
        <f ca="1">IFERROR(__xludf.DUMMYFUNCTION("""COMPUTED_VALUE"""),"Introduction to photosynthesis process in plants")</f>
        <v>Introduction to photosynthesis process in plants</v>
      </c>
      <c r="AM9" s="13"/>
      <c r="AN9" s="13"/>
      <c r="AO9" s="13"/>
      <c r="AP9" s="13"/>
      <c r="AQ9" s="13"/>
      <c r="AR9" s="13"/>
      <c r="AS9" s="13"/>
      <c r="AT9" s="13"/>
    </row>
    <row r="10" spans="1:46">
      <c r="A10" s="8" t="s">
        <v>247</v>
      </c>
      <c r="B10" s="8" t="s">
        <v>47</v>
      </c>
      <c r="C10" s="8" t="s">
        <v>416</v>
      </c>
      <c r="D10" s="8" t="s">
        <v>1406</v>
      </c>
      <c r="E10" s="8" t="s">
        <v>1809</v>
      </c>
      <c r="F10" s="8" t="s">
        <v>1820</v>
      </c>
      <c r="G10" s="8" t="s">
        <v>1822</v>
      </c>
      <c r="H10" s="8" t="str">
        <f ca="1">IFERROR(__xludf.DUMMYFUNCTION("VLOOKUP(G10, IMPORTRANGE(""https://docs.google.com/spreadsheets/d/14deopnvwcrKtEGCKuYXdUHJbeLDZlkiSSWWT0g7x2pM/edit#gid=849066331"", ""LU List Science (Filter)!A:B""), 2, FALSE)"),"Different types of soil replenishment methods")</f>
        <v>Different types of soil replenishment methods</v>
      </c>
      <c r="I10" s="10" t="str">
        <f t="shared" si="0"/>
        <v>LU005413.001</v>
      </c>
      <c r="J10" s="10" t="str">
        <f ca="1">IFERROR(__xludf.DUMMYFUNCTION("VLOOKUP(I10, IMPORTRANGE(""https://docs.google.com/spreadsheets/d/1yDAaXNsi4Mr5FtRQL4tbmSdIzhx6_m4wkOD7IG-k_eo/edit#gid=1336395716"", ""Science!M:N""), 2, FALSE)"),"List various soil replenishment methods used to enhance plant nutrition.")</f>
        <v>List various soil replenishment methods used to enhance plant nutrition.</v>
      </c>
      <c r="K10" s="10" t="str">
        <f t="shared" si="1"/>
        <v>LU005413.002</v>
      </c>
      <c r="L10" s="10" t="str">
        <f ca="1">IFERROR(__xludf.DUMMYFUNCTION("VLOOKUP(K10, IMPORTRANGE(""https://docs.google.com/spreadsheets/d/1yDAaXNsi4Mr5FtRQL4tbmSdIzhx6_m4wkOD7IG-k_eo/edit#gid=1336395716"", ""Science!M:N""), 2, FALSE)"),"Explain how different soil replenishment methods improve soil quality and plant growth.")</f>
        <v>Explain how different soil replenishment methods improve soil quality and plant growth.</v>
      </c>
      <c r="M10" s="10" t="str">
        <f t="shared" si="2"/>
        <v>LU005413.003</v>
      </c>
      <c r="N10" s="10" t="str">
        <f ca="1">IFERROR(__xludf.DUMMYFUNCTION("VLOOKUP(M10, IMPORTRANGE(""https://docs.google.com/spreadsheets/d/1yDAaXNsi4Mr5FtRQL4tbmSdIzhx6_m4wkOD7IG-k_eo/edit#gid=1336395716"", ""Science!M:N""), 2, FALSE)"),"Apply knowledge of soil replenishment methods to identify suitable techniques for different types of soil.")</f>
        <v>Apply knowledge of soil replenishment methods to identify suitable techniques for different types of soil.</v>
      </c>
      <c r="O10" s="10" t="str">
        <f t="shared" si="3"/>
        <v>LU005413.004</v>
      </c>
      <c r="P10" s="10" t="str">
        <f ca="1">IFERROR(__xludf.DUMMYFUNCTION("VLOOKUP(O10, IMPORTRANGE(""https://docs.google.com/spreadsheets/d/1yDAaXNsi4Mr5FtRQL4tbmSdIzhx6_m4wkOD7IG-k_eo/edit#gid=1336395716"", ""Science!M:N""), 2, FALSE)"),"Analyze the benefits and drawbacks of various soil replenishment methods in specific gardening or farming scenarios.")</f>
        <v>Analyze the benefits and drawbacks of various soil replenishment methods in specific gardening or farming scenarios.</v>
      </c>
      <c r="Q10" s="10" t="str">
        <f t="shared" si="4"/>
        <v>LU005413.005</v>
      </c>
      <c r="R10" s="10" t="str">
        <f ca="1">IFERROR(__xludf.DUMMYFUNCTION("VLOOKUP(Q10, IMPORTRANGE(""https://docs.google.com/spreadsheets/d/1yDAaXNsi4Mr5FtRQL4tbmSdIzhx6_m4wkOD7IG-k_eo/edit#gid=1336395716"", ""Science!M:N""), 2, FALSE)"),"Evaluate the effectiveness of a chosen soil replenishment method in a hypothetical case study.")</f>
        <v>Evaluate the effectiveness of a chosen soil replenishment method in a hypothetical case study.</v>
      </c>
      <c r="S10" s="10" t="str">
        <f t="shared" si="5"/>
        <v>LU005413.006</v>
      </c>
      <c r="T10" s="10" t="str">
        <f ca="1">IFERROR(__xludf.DUMMYFUNCTION("VLOOKUP(S10, IMPORTRANGE(""https://docs.google.com/spreadsheets/d/1yDAaXNsi4Mr5FtRQL4tbmSdIzhx6_m4wkOD7IG-k_eo/edit#gid=1336395716"", ""Science!M:N""), 2, FALSE)"),"Design a simple experiment or project to test the effectiveness of a soil replenishment method on plant growth.")</f>
        <v>Design a simple experiment or project to test the effectiveness of a soil replenishment method on plant growth.</v>
      </c>
      <c r="U10" s="116" t="str">
        <f ca="1">IFERROR(__xludf.DUMMYFUNCTION("ArrayFormula(VLOOKUP(G10, IMPORTRANGE(""https://docs.google.com/spreadsheets/d/1p7R4vtkWt5VOBim4ltsDG9KTzSjrtKXsMtQGXPHyND0/edit#gid=795171502"", ""'Filter 30_05_2024'!A1:M2000""), {2, 3, 4, 5,6,7,8,9,10,11,12,13}, 0))"),"")</f>
        <v/>
      </c>
      <c r="V10" s="116"/>
      <c r="W10" s="116">
        <f ca="1">IFERROR(__xludf.DUMMYFUNCTION("""COMPUTED_VALUE"""),3)</f>
        <v>3</v>
      </c>
      <c r="X10" s="116">
        <f ca="1">IFERROR(__xludf.DUMMYFUNCTION("""COMPUTED_VALUE"""),3)</f>
        <v>3</v>
      </c>
      <c r="Y10" s="116">
        <f ca="1">IFERROR(__xludf.DUMMYFUNCTION("""COMPUTED_VALUE"""),8)</f>
        <v>8</v>
      </c>
      <c r="Z10" s="12">
        <f ca="1">IFERROR(__xludf.DUMMYFUNCTION("""COMPUTED_VALUE"""),9)</f>
        <v>9</v>
      </c>
      <c r="AA10" s="12"/>
      <c r="AB10" s="12">
        <f ca="1">IFERROR(__xludf.DUMMYFUNCTION("""COMPUTED_VALUE"""),17)</f>
        <v>17</v>
      </c>
      <c r="AC10" s="12"/>
      <c r="AD10" s="12"/>
      <c r="AE10" s="12"/>
      <c r="AF10" s="12"/>
      <c r="AG10" s="13" t="str">
        <f ca="1">IFERROR(__xludf.DUMMYFUNCTION("ArrayFormula(VLOOKUP(G10, IMPORTRANGE(""https://docs.google.com/spreadsheets/d/1Co934fvtviyaRiMsrIlT05Jaq7iiYq07aLvRr35KA48/edit?gid=173865642#gid=173865642"", ""'G7_Sci_Pri_LU'!G2:V2000""), {3, 4, 5, 6, 7, 8, 9, 10, 11, 12, 13, 14, 15, 16}, 0))"),"LU005412")</f>
        <v>LU005412</v>
      </c>
      <c r="AH10" s="13" t="str">
        <f ca="1">IFERROR(__xludf.DUMMYFUNCTION("""COMPUTED_VALUE"""),"Symbiotic Relationship between plants and bacteria")</f>
        <v>Symbiotic Relationship between plants and bacteria</v>
      </c>
      <c r="AI10" s="13" t="str">
        <f ca="1">IFERROR(__xludf.DUMMYFUNCTION("""COMPUTED_VALUE"""),"LU005273")</f>
        <v>LU005273</v>
      </c>
      <c r="AJ10" s="13" t="str">
        <f ca="1">IFERROR(__xludf.DUMMYFUNCTION("""COMPUTED_VALUE"""),"Definition of nutrient cycle")</f>
        <v>Definition of nutrient cycle</v>
      </c>
      <c r="AK10" s="13"/>
      <c r="AL10" s="13"/>
      <c r="AM10" s="13"/>
      <c r="AN10" s="13"/>
      <c r="AO10" s="13"/>
      <c r="AP10" s="13"/>
      <c r="AQ10" s="13"/>
      <c r="AR10" s="13"/>
      <c r="AS10" s="13"/>
      <c r="AT10" s="13"/>
    </row>
    <row r="11" spans="1:46">
      <c r="A11" s="8" t="s">
        <v>247</v>
      </c>
      <c r="B11" s="8" t="s">
        <v>47</v>
      </c>
      <c r="C11" s="8" t="s">
        <v>416</v>
      </c>
      <c r="D11" s="8" t="s">
        <v>1406</v>
      </c>
      <c r="E11" s="8" t="s">
        <v>1823</v>
      </c>
      <c r="F11" s="8" t="s">
        <v>1824</v>
      </c>
      <c r="G11" s="8" t="s">
        <v>1825</v>
      </c>
      <c r="H11" s="8" t="str">
        <f ca="1">IFERROR(__xludf.DUMMYFUNCTION("VLOOKUP(G11, IMPORTRANGE(""https://docs.google.com/spreadsheets/d/14deopnvwcrKtEGCKuYXdUHJbeLDZlkiSSWWT0g7x2pM/edit#gid=849066331"", ""LU List Science (Filter)!A:B""), 2, FALSE)"),"Ingestion, filter feeding, suction feeding, and phagocytosis")</f>
        <v>Ingestion, filter feeding, suction feeding, and phagocytosis</v>
      </c>
      <c r="I11" s="10" t="str">
        <f t="shared" si="0"/>
        <v>LU005390.001</v>
      </c>
      <c r="J11" s="10" t="str">
        <f ca="1">IFERROR(__xludf.DUMMYFUNCTION("VLOOKUP(I11, IMPORTRANGE(""https://docs.google.com/spreadsheets/d/1yDAaXNsi4Mr5FtRQL4tbmSdIzhx6_m4wkOD7IG-k_eo/edit#gid=1336395716"", ""Science!M:N""), 2, FALSE)"),"Recall/Identify/list various modes of intake of food, including ingestion, filter feeding, suction feeding, etc.")</f>
        <v>Recall/Identify/list various modes of intake of food, including ingestion, filter feeding, suction feeding, etc.</v>
      </c>
      <c r="K11" s="10" t="str">
        <f t="shared" si="1"/>
        <v>LU005390.002</v>
      </c>
      <c r="L11" s="10" t="str">
        <f ca="1">IFERROR(__xludf.DUMMYFUNCTION("VLOOKUP(K11, IMPORTRANGE(""https://docs.google.com/spreadsheets/d/1yDAaXNsi4Mr5FtRQL4tbmSdIzhx6_m4wkOD7IG-k_eo/edit#gid=1336395716"", ""Science!M:N""), 2, FALSE)"),"Understand diverse food intake approaches: ingestion (solid/liquid consumption), filter feeding (trapping particles from water), suction feeding (using vacuum for food), etc.")</f>
        <v>Understand diverse food intake approaches: ingestion (solid/liquid consumption), filter feeding (trapping particles from water), suction feeding (using vacuum for food), etc.</v>
      </c>
      <c r="M11" s="10" t="str">
        <f t="shared" si="2"/>
        <v>LU005390.003</v>
      </c>
      <c r="N11" s="10" t="str">
        <f ca="1">IFERROR(__xludf.DUMMYFUNCTION("VLOOKUP(M11, IMPORTRANGE(""https://docs.google.com/spreadsheets/d/1yDAaXNsi4Mr5FtRQL4tbmSdIzhx6_m4wkOD7IG-k_eo/edit#gid=1336395716"", ""Science!M:N""), 2, FALSE)"),"Apply knowledge of the modes of food intake to categorize specific examples of animals under each mode, explaining how their feeding structures are adapted to their chosen mode of intake.")</f>
        <v>Apply knowledge of the modes of food intake to categorize specific examples of animals under each mode, explaining how their feeding structures are adapted to their chosen mode of intake.</v>
      </c>
      <c r="O11" s="10" t="str">
        <f t="shared" si="3"/>
        <v>LU005390.004</v>
      </c>
      <c r="P11" s="10" t="str">
        <f ca="1">IFERROR(__xludf.DUMMYFUNCTION("VLOOKUP(O11, IMPORTRANGE(""https://docs.google.com/spreadsheets/d/1yDAaXNsi4Mr5FtRQL4tbmSdIzhx6_m4wkOD7IG-k_eo/edit#gid=1336395716"", ""Science!M:N""), 2, FALSE)"),"Analyze the ecological contexts in which different modes of food intake are advantageous, discussing how animals have evolved these strategies based on their habitats and available food sources.")</f>
        <v>Analyze the ecological contexts in which different modes of food intake are advantageous, discussing how animals have evolved these strategies based on their habitats and available food sources.</v>
      </c>
      <c r="Q11" s="10" t="str">
        <f t="shared" si="4"/>
        <v>LU005390.005</v>
      </c>
      <c r="R11" s="10" t="str">
        <f ca="1">IFERROR(__xludf.DUMMYFUNCTION("VLOOKUP(Q11, IMPORTRANGE(""https://docs.google.com/spreadsheets/d/1yDAaXNsi4Mr5FtRQL4tbmSdIzhx6_m4wkOD7IG-k_eo/edit#gid=1336395716"", ""Science!M:N""), 2, FALSE)"),"Evaluate the effectiveness of different modes of food intake in acquiring nutrients and energy, considering factors such as efficiency, energy expenditure, and adaptation to specific ecological niches.")</f>
        <v>Evaluate the effectiveness of different modes of food intake in acquiring nutrients and energy, considering factors such as efficiency, energy expenditure, and adaptation to specific ecological niches.</v>
      </c>
      <c r="S11" s="10" t="str">
        <f t="shared" si="5"/>
        <v>LU005390.006</v>
      </c>
      <c r="T11" s="10" t="str">
        <f ca="1">IFERROR(__xludf.DUMMYFUNCTION("VLOOKUP(S11, IMPORTRANGE(""https://docs.google.com/spreadsheets/d/1yDAaXNsi4Mr5FtRQL4tbmSdIzhx6_m4wkOD7IG-k_eo/edit#gid=1336395716"", ""Science!M:N""), 2, FALSE)"),"#N/A")</f>
        <v>#N/A</v>
      </c>
      <c r="U11" s="116">
        <f ca="1">IFERROR(__xludf.DUMMYFUNCTION("ArrayFormula(VLOOKUP(G11, IMPORTRANGE(""https://docs.google.com/spreadsheets/d/1p7R4vtkWt5VOBim4ltsDG9KTzSjrtKXsMtQGXPHyND0/edit#gid=795171502"", ""'Filter 30_05_2024'!A1:M2000""), {2, 3, 4, 5,6,7,8,9,10,11,12,13}, 0))"),15)</f>
        <v>15</v>
      </c>
      <c r="V11" s="116">
        <f ca="1">IFERROR(__xludf.DUMMYFUNCTION("""COMPUTED_VALUE"""),2)</f>
        <v>2</v>
      </c>
      <c r="W11" s="116">
        <f ca="1">IFERROR(__xludf.DUMMYFUNCTION("""COMPUTED_VALUE"""),2)</f>
        <v>2</v>
      </c>
      <c r="X11" s="116">
        <f ca="1">IFERROR(__xludf.DUMMYFUNCTION("""COMPUTED_VALUE"""),19)</f>
        <v>19</v>
      </c>
      <c r="Y11" s="116">
        <f ca="1">IFERROR(__xludf.DUMMYFUNCTION("""COMPUTED_VALUE"""),5)</f>
        <v>5</v>
      </c>
      <c r="Z11" s="12">
        <f ca="1">IFERROR(__xludf.DUMMYFUNCTION("""COMPUTED_VALUE"""),3)</f>
        <v>3</v>
      </c>
      <c r="AA11" s="12">
        <f ca="1">IFERROR(__xludf.DUMMYFUNCTION("""COMPUTED_VALUE"""),1)</f>
        <v>1</v>
      </c>
      <c r="AB11" s="12">
        <f ca="1">IFERROR(__xludf.DUMMYFUNCTION("""COMPUTED_VALUE"""),9)</f>
        <v>9</v>
      </c>
      <c r="AC11" s="12"/>
      <c r="AD11" s="12"/>
      <c r="AE11" s="12"/>
      <c r="AF11" s="12"/>
      <c r="AG11" s="13" t="str">
        <f ca="1">IFERROR(__xludf.DUMMYFUNCTION("ArrayFormula(VLOOKUP(G11, IMPORTRANGE(""https://docs.google.com/spreadsheets/d/1Co934fvtviyaRiMsrIlT05Jaq7iiYq07aLvRr35KA48/edit?gid=173865642#gid=173865642"", ""'G7_Sci_Pri_LU'!G2:V2000""), {3, 4, 5, 6, 7, 8, 9, 10, 11, 12, 13, 14, 15, 16}, 0))"),"")</f>
        <v/>
      </c>
      <c r="AH11" s="13"/>
      <c r="AI11" s="13"/>
      <c r="AJ11" s="13"/>
      <c r="AK11" s="13"/>
      <c r="AL11" s="13"/>
      <c r="AM11" s="13"/>
      <c r="AN11" s="13"/>
      <c r="AO11" s="13"/>
      <c r="AP11" s="13"/>
      <c r="AQ11" s="13"/>
      <c r="AR11" s="13"/>
      <c r="AS11" s="13"/>
      <c r="AT11" s="13"/>
    </row>
    <row r="12" spans="1:46">
      <c r="A12" s="8" t="s">
        <v>247</v>
      </c>
      <c r="B12" s="8" t="s">
        <v>47</v>
      </c>
      <c r="C12" s="8" t="s">
        <v>416</v>
      </c>
      <c r="D12" s="8" t="s">
        <v>1406</v>
      </c>
      <c r="E12" s="8" t="s">
        <v>1823</v>
      </c>
      <c r="F12" s="8" t="s">
        <v>1826</v>
      </c>
      <c r="G12" s="8" t="s">
        <v>1827</v>
      </c>
      <c r="H12" s="8" t="str">
        <f ca="1">IFERROR(__xludf.DUMMYFUNCTION("VLOOKUP(G12, IMPORTRANGE(""https://docs.google.com/spreadsheets/d/14deopnvwcrKtEGCKuYXdUHJbeLDZlkiSSWWT0g7x2pM/edit#gid=849066331"", ""LU List Science (Filter)!A:B""), 2, FALSE)"),"Ingestion, Digestion, Absorption, Assimilation, and Egestion")</f>
        <v>Ingestion, Digestion, Absorption, Assimilation, and Egestion</v>
      </c>
      <c r="I12" s="10" t="str">
        <f t="shared" si="0"/>
        <v>LU005389.001</v>
      </c>
      <c r="J12" s="10" t="str">
        <f ca="1">IFERROR(__xludf.DUMMYFUNCTION("VLOOKUP(I12, IMPORTRANGE(""https://docs.google.com/spreadsheets/d/1yDAaXNsi4Mr5FtRQL4tbmSdIzhx6_m4wkOD7IG-k_eo/edit#gid=1336395716"", ""Science!M:N""), 2, FALSE)"),"Recall and list the sequence of steps involved in obtaining nutrition in humans: ingestion, digestion, absorption, assimilation, and egestion.")</f>
        <v>Recall and list the sequence of steps involved in obtaining nutrition in humans: ingestion, digestion, absorption, assimilation, and egestion.</v>
      </c>
      <c r="K12" s="10" t="str">
        <f t="shared" si="1"/>
        <v>LU005389.002</v>
      </c>
      <c r="L12" s="10" t="str">
        <f ca="1">IFERROR(__xludf.DUMMYFUNCTION("VLOOKUP(K12, IMPORTRANGE(""https://docs.google.com/spreadsheets/d/1yDAaXNsi4Mr5FtRQL4tbmSdIzhx6_m4wkOD7IG-k_eo/edit#gid=1336395716"", ""Science!M:N""), 2, FALSE)"),"Understand how the process of obtaining nutrition in humans involves a sequence of steps: ingesting food, breaking it down through digestion, absorbing nutrients into the bloodstream, assimilating nutrients into cells, and eliminating waste through egesti"&amp;"on.")</f>
        <v>Understand how the process of obtaining nutrition in humans involves a sequence of steps: ingesting food, breaking it down through digestion, absorbing nutrients into the bloodstream, assimilating nutrients into cells, and eliminating waste through egestion.</v>
      </c>
      <c r="M12" s="10" t="str">
        <f t="shared" si="2"/>
        <v>LU005389.003</v>
      </c>
      <c r="N12" s="10" t="str">
        <f ca="1">IFERROR(__xludf.DUMMYFUNCTION("VLOOKUP(M12, IMPORTRANGE(""https://docs.google.com/spreadsheets/d/1yDAaXNsi4Mr5FtRQL4tbmSdIzhx6_m4wkOD7IG-k_eo/edit#gid=1336395716"", ""Science!M:N""), 2, FALSE)"),"Apply knowledge of the sequence of steps to describe the journey of food through the digestive system, explaining how each step contributes to the overall process of obtaining nutrients and energy.")</f>
        <v>Apply knowledge of the sequence of steps to describe the journey of food through the digestive system, explaining how each step contributes to the overall process of obtaining nutrients and energy.</v>
      </c>
      <c r="O12" s="10" t="str">
        <f t="shared" si="3"/>
        <v>LU005389.004</v>
      </c>
      <c r="P12" s="10" t="str">
        <f ca="1">IFERROR(__xludf.DUMMYFUNCTION("VLOOKUP(O12, IMPORTRANGE(""https://docs.google.com/spreadsheets/d/1yDAaXNsi4Mr5FtRQL4tbmSdIzhx6_m4wkOD7IG-k_eo/edit#gid=1336395716"", ""Science!M:N""), 2, FALSE)"),"Analyze the interconnections between the steps in the sequence, discussing how efficient digestion and absorption impact the body's ability to assimilate nutrients and how the process of egestion eliminates indigestible waste.")</f>
        <v>Analyze the interconnections between the steps in the sequence, discussing how efficient digestion and absorption impact the body's ability to assimilate nutrients and how the process of egestion eliminates indigestible waste.</v>
      </c>
      <c r="Q12" s="10" t="str">
        <f t="shared" si="4"/>
        <v>LU005389.005</v>
      </c>
      <c r="R12" s="10" t="str">
        <f ca="1">IFERROR(__xludf.DUMMYFUNCTION("VLOOKUP(Q12, IMPORTRANGE(""https://docs.google.com/spreadsheets/d/1yDAaXNsi4Mr5FtRQL4tbmSdIzhx6_m4wkOD7IG-k_eo/edit#gid=1336395716"", ""Science!M:N""), 2, FALSE)"),"Evaluate the significance of each step in the sequence for maintaining human health and well-being, discussing how disruptions or imbalances in any of these steps can lead to nutritional deficiencies or digestive issues.")</f>
        <v>Evaluate the significance of each step in the sequence for maintaining human health and well-being, discussing how disruptions or imbalances in any of these steps can lead to nutritional deficiencies or digestive issues.</v>
      </c>
      <c r="S12" s="10" t="str">
        <f t="shared" si="5"/>
        <v>LU005389.006</v>
      </c>
      <c r="T12" s="10" t="str">
        <f ca="1">IFERROR(__xludf.DUMMYFUNCTION("VLOOKUP(S12, IMPORTRANGE(""https://docs.google.com/spreadsheets/d/1yDAaXNsi4Mr5FtRQL4tbmSdIzhx6_m4wkOD7IG-k_eo/edit#gid=1336395716"", ""Science!M:N""), 2, FALSE)"),"#N/A")</f>
        <v>#N/A</v>
      </c>
      <c r="U12" s="116">
        <f ca="1">IFERROR(__xludf.DUMMYFUNCTION("ArrayFormula(VLOOKUP(G12, IMPORTRANGE(""https://docs.google.com/spreadsheets/d/1p7R4vtkWt5VOBim4ltsDG9KTzSjrtKXsMtQGXPHyND0/edit#gid=795171502"", ""'Filter 30_05_2024'!A1:M2000""), {2, 3, 4, 5,6,7,8,9,10,11,12,13}, 0))"),17)</f>
        <v>17</v>
      </c>
      <c r="V12" s="116">
        <f ca="1">IFERROR(__xludf.DUMMYFUNCTION("""COMPUTED_VALUE"""),4)</f>
        <v>4</v>
      </c>
      <c r="W12" s="116">
        <f ca="1">IFERROR(__xludf.DUMMYFUNCTION("""COMPUTED_VALUE"""),2)</f>
        <v>2</v>
      </c>
      <c r="X12" s="116">
        <f ca="1">IFERROR(__xludf.DUMMYFUNCTION("""COMPUTED_VALUE"""),23)</f>
        <v>23</v>
      </c>
      <c r="Y12" s="116">
        <f ca="1">IFERROR(__xludf.DUMMYFUNCTION("""COMPUTED_VALUE"""),5)</f>
        <v>5</v>
      </c>
      <c r="Z12" s="12">
        <f ca="1">IFERROR(__xludf.DUMMYFUNCTION("""COMPUTED_VALUE"""),3)</f>
        <v>3</v>
      </c>
      <c r="AA12" s="12">
        <f ca="1">IFERROR(__xludf.DUMMYFUNCTION("""COMPUTED_VALUE"""),1)</f>
        <v>1</v>
      </c>
      <c r="AB12" s="12">
        <f ca="1">IFERROR(__xludf.DUMMYFUNCTION("""COMPUTED_VALUE"""),9)</f>
        <v>9</v>
      </c>
      <c r="AC12" s="12"/>
      <c r="AD12" s="12"/>
      <c r="AE12" s="12"/>
      <c r="AF12" s="12"/>
      <c r="AG12" s="13" t="str">
        <f ca="1">IFERROR(__xludf.DUMMYFUNCTION("ArrayFormula(VLOOKUP(G12, IMPORTRANGE(""https://docs.google.com/spreadsheets/d/1Co934fvtviyaRiMsrIlT05Jaq7iiYq07aLvRr35KA48/edit?gid=173865642#gid=173865642"", ""'G7_Sci_Pri_LU'!G2:V2000""), {3, 4, 5, 6, 7, 8, 9, 10, 11, 12, 13, 14, 15, 16}, 0))"),"LU006084")</f>
        <v>LU006084</v>
      </c>
      <c r="AH12" s="13" t="str">
        <f ca="1">IFERROR(__xludf.DUMMYFUNCTION("""COMPUTED_VALUE"""),"Living things need food, energy through respiration and excrete waste")</f>
        <v>Living things need food, energy through respiration and excrete waste</v>
      </c>
      <c r="AI12" s="13" t="str">
        <f ca="1">IFERROR(__xludf.DUMMYFUNCTION("""COMPUTED_VALUE"""),"LU005079")</f>
        <v>LU005079</v>
      </c>
      <c r="AJ12" s="13" t="str">
        <f ca="1">IFERROR(__xludf.DUMMYFUNCTION("""COMPUTED_VALUE"""),"Process of Digestion(scheme of the path of food through the body, role of saliva in digestion,  indicators of hunger exhibited by individuals)")</f>
        <v>Process of Digestion(scheme of the path of food through the body, role of saliva in digestion,  indicators of hunger exhibited by individuals)</v>
      </c>
      <c r="AK12" s="13" t="str">
        <f ca="1">IFERROR(__xludf.DUMMYFUNCTION("""COMPUTED_VALUE"""),"LU005214")</f>
        <v>LU005214</v>
      </c>
      <c r="AL12" s="13" t="str">
        <f ca="1">IFERROR(__xludf.DUMMYFUNCTION("""COMPUTED_VALUE"""),"Definition of nutrients, types, and their sources.")</f>
        <v>Definition of nutrients, types, and their sources.</v>
      </c>
      <c r="AM12" s="13"/>
      <c r="AN12" s="13"/>
      <c r="AO12" s="13"/>
      <c r="AP12" s="13"/>
      <c r="AQ12" s="13"/>
      <c r="AR12" s="13"/>
      <c r="AS12" s="13"/>
      <c r="AT12" s="13"/>
    </row>
    <row r="13" spans="1:46">
      <c r="A13" s="8" t="s">
        <v>247</v>
      </c>
      <c r="B13" s="8" t="s">
        <v>47</v>
      </c>
      <c r="C13" s="8" t="s">
        <v>416</v>
      </c>
      <c r="D13" s="8" t="s">
        <v>1406</v>
      </c>
      <c r="E13" s="8" t="s">
        <v>1823</v>
      </c>
      <c r="F13" s="8" t="s">
        <v>1826</v>
      </c>
      <c r="G13" s="8" t="s">
        <v>1828</v>
      </c>
      <c r="H13" s="8" t="str">
        <f ca="1">IFERROR(__xludf.DUMMYFUNCTION("VLOOKUP(G13, IMPORTRANGE(""https://docs.google.com/spreadsheets/d/14deopnvwcrKtEGCKuYXdUHJbeLDZlkiSSWWT0g7x2pM/edit#gid=849066331"", ""LU List Science (Filter)!A:B""), 2, FALSE)"),"Definition of human digestive system")</f>
        <v>Definition of human digestive system</v>
      </c>
      <c r="I13" s="10" t="str">
        <f t="shared" si="0"/>
        <v>LU005391.001</v>
      </c>
      <c r="J13" s="10" t="str">
        <f ca="1">IFERROR(__xludf.DUMMYFUNCTION("VLOOKUP(I13, IMPORTRANGE(""https://docs.google.com/spreadsheets/d/1yDAaXNsi4Mr5FtRQL4tbmSdIzhx6_m4wkOD7IG-k_eo/edit#gid=1336395716"", ""Science!M:N""), 2, FALSE)"),"Recall/Identify and state the definition of the human digestive system.")</f>
        <v>Recall/Identify and state the definition of the human digestive system.</v>
      </c>
      <c r="K13" s="10" t="str">
        <f t="shared" si="1"/>
        <v>LU005391.002</v>
      </c>
      <c r="L13" s="10" t="str">
        <f ca="1">IFERROR(__xludf.DUMMYFUNCTION("VLOOKUP(K13, IMPORTRANGE(""https://docs.google.com/spreadsheets/d/1yDAaXNsi4Mr5FtRQL4tbmSdIzhx6_m4wkOD7IG-k_eo/edit#gid=1336395716"", ""Science!M:N""), 2, FALSE)"),"Understand the concept of the human digestive system as a coordinated network of organs, including the mouth, esophagus, stomach, small intestine, large intestine, and associated glands, working together to process food and extract nutrients.")</f>
        <v>Understand the concept of the human digestive system as a coordinated network of organs, including the mouth, esophagus, stomach, small intestine, large intestine, and associated glands, working together to process food and extract nutrients.</v>
      </c>
      <c r="M13" s="10" t="str">
        <f t="shared" si="2"/>
        <v>LU005391.003</v>
      </c>
      <c r="N13" s="10" t="str">
        <f ca="1">IFERROR(__xludf.DUMMYFUNCTION("VLOOKUP(M13, IMPORTRANGE(""https://docs.google.com/spreadsheets/d/1yDAaXNsi4Mr5FtRQL4tbmSdIzhx6_m4wkOD7IG-k_eo/edit#gid=1336395716"", ""Science!M:N""), 2, FALSE)"),"Apply knowledge of the human digestive system to describe the functions of its individual components.")</f>
        <v>Apply knowledge of the human digestive system to describe the functions of its individual components.</v>
      </c>
      <c r="O13" s="10" t="str">
        <f t="shared" si="3"/>
        <v>LU005391.004</v>
      </c>
      <c r="P13" s="10" t="str">
        <f ca="1">IFERROR(__xludf.DUMMYFUNCTION("VLOOKUP(O13, IMPORTRANGE(""https://docs.google.com/spreadsheets/d/1yDAaXNsi4Mr5FtRQL4tbmSdIzhx6_m4wkOD7IG-k_eo/edit#gid=1336395716"", ""Science!M:N""), 2, FALSE)"),"Analyze the sequential flow of food through the human digestive system, identifying the key processes that occur at each stage and how the various parts work in harmony.")</f>
        <v>Analyze the sequential flow of food through the human digestive system, identifying the key processes that occur at each stage and how the various parts work in harmony.</v>
      </c>
      <c r="Q13" s="10" t="str">
        <f t="shared" si="4"/>
        <v>LU005391.005</v>
      </c>
      <c r="R13" s="10" t="str">
        <f ca="1">IFERROR(__xludf.DUMMYFUNCTION("VLOOKUP(Q13, IMPORTRANGE(""https://docs.google.com/spreadsheets/d/1yDAaXNsi4Mr5FtRQL4tbmSdIzhx6_m4wkOD7IG-k_eo/edit#gid=1336395716"", ""Science!M:N""), 2, FALSE)"),"Evaluate the significance of the human digestive system for overall health and well-being, discussing how its efficient functioning contributes to energy production, growth, and maintenance of bodily functions.")</f>
        <v>Evaluate the significance of the human digestive system for overall health and well-being, discussing how its efficient functioning contributes to energy production, growth, and maintenance of bodily functions.</v>
      </c>
      <c r="S13" s="10" t="str">
        <f t="shared" si="5"/>
        <v>LU005391.006</v>
      </c>
      <c r="T13" s="10" t="str">
        <f ca="1">IFERROR(__xludf.DUMMYFUNCTION("VLOOKUP(S13, IMPORTRANGE(""https://docs.google.com/spreadsheets/d/1yDAaXNsi4Mr5FtRQL4tbmSdIzhx6_m4wkOD7IG-k_eo/edit#gid=1336395716"", ""Science!M:N""), 2, FALSE)"),"#N/A")</f>
        <v>#N/A</v>
      </c>
      <c r="U13" s="116">
        <f ca="1">IFERROR(__xludf.DUMMYFUNCTION("ArrayFormula(VLOOKUP(G13, IMPORTRANGE(""https://docs.google.com/spreadsheets/d/1p7R4vtkWt5VOBim4ltsDG9KTzSjrtKXsMtQGXPHyND0/edit#gid=795171502"", ""'Filter 30_05_2024'!A1:M2000""), {2, 3, 4, 5,6,7,8,9,10,11,12,13}, 0))"),16)</f>
        <v>16</v>
      </c>
      <c r="V13" s="116">
        <f ca="1">IFERROR(__xludf.DUMMYFUNCTION("""COMPUTED_VALUE"""),21)</f>
        <v>21</v>
      </c>
      <c r="W13" s="116">
        <f ca="1">IFERROR(__xludf.DUMMYFUNCTION("""COMPUTED_VALUE"""),2)</f>
        <v>2</v>
      </c>
      <c r="X13" s="116">
        <f ca="1">IFERROR(__xludf.DUMMYFUNCTION("""COMPUTED_VALUE"""),39)</f>
        <v>39</v>
      </c>
      <c r="Y13" s="116">
        <f ca="1">IFERROR(__xludf.DUMMYFUNCTION("""COMPUTED_VALUE"""),8)</f>
        <v>8</v>
      </c>
      <c r="Z13" s="12">
        <f ca="1">IFERROR(__xludf.DUMMYFUNCTION("""COMPUTED_VALUE"""),6)</f>
        <v>6</v>
      </c>
      <c r="AA13" s="12">
        <f ca="1">IFERROR(__xludf.DUMMYFUNCTION("""COMPUTED_VALUE"""),1)</f>
        <v>1</v>
      </c>
      <c r="AB13" s="12">
        <f ca="1">IFERROR(__xludf.DUMMYFUNCTION("""COMPUTED_VALUE"""),15)</f>
        <v>15</v>
      </c>
      <c r="AC13" s="12"/>
      <c r="AD13" s="12"/>
      <c r="AE13" s="12"/>
      <c r="AF13" s="12"/>
      <c r="AG13" s="13" t="str">
        <f ca="1">IFERROR(__xludf.DUMMYFUNCTION("ArrayFormula(VLOOKUP(G13, IMPORTRANGE(""https://docs.google.com/spreadsheets/d/1Co934fvtviyaRiMsrIlT05Jaq7iiYq07aLvRr35KA48/edit?gid=173865642#gid=173865642"", ""'G7_Sci_Pri_LU'!G2:V2000""), {3, 4, 5, 6, 7, 8, 9, 10, 11, 12, 13, 14, 15, 16}, 0))"),"LU005389")</f>
        <v>LU005389</v>
      </c>
      <c r="AH13" s="13" t="str">
        <f ca="1">IFERROR(__xludf.DUMMYFUNCTION("""COMPUTED_VALUE"""),"Ingestion, Digestion, Absorption, Assimilation, and Egestion")</f>
        <v>Ingestion, Digestion, Absorption, Assimilation, and Egestion</v>
      </c>
      <c r="AI13" s="13" t="str">
        <f ca="1">IFERROR(__xludf.DUMMYFUNCTION("""COMPUTED_VALUE"""),"LU005079")</f>
        <v>LU005079</v>
      </c>
      <c r="AJ13" s="13" t="str">
        <f ca="1">IFERROR(__xludf.DUMMYFUNCTION("""COMPUTED_VALUE"""),"Process of Digestion(scheme of the path of food through the body, role of saliva in digestion,  indicators of hunger exhibited by individuals)")</f>
        <v>Process of Digestion(scheme of the path of food through the body, role of saliva in digestion,  indicators of hunger exhibited by individuals)</v>
      </c>
      <c r="AK13" s="13" t="str">
        <f ca="1">IFERROR(__xludf.DUMMYFUNCTION("""COMPUTED_VALUE"""),"LU005214")</f>
        <v>LU005214</v>
      </c>
      <c r="AL13" s="13" t="str">
        <f ca="1">IFERROR(__xludf.DUMMYFUNCTION("""COMPUTED_VALUE"""),"Definition of nutrients, types, and their sources.")</f>
        <v>Definition of nutrients, types, and their sources.</v>
      </c>
      <c r="AM13" s="13"/>
      <c r="AN13" s="13"/>
      <c r="AO13" s="13"/>
      <c r="AP13" s="13"/>
      <c r="AQ13" s="13"/>
      <c r="AR13" s="13"/>
      <c r="AS13" s="13"/>
      <c r="AT13" s="13"/>
    </row>
    <row r="14" spans="1:46">
      <c r="A14" s="8" t="s">
        <v>247</v>
      </c>
      <c r="B14" s="8" t="s">
        <v>47</v>
      </c>
      <c r="C14" s="8" t="s">
        <v>416</v>
      </c>
      <c r="D14" s="8" t="s">
        <v>1406</v>
      </c>
      <c r="E14" s="8" t="s">
        <v>1823</v>
      </c>
      <c r="F14" s="8" t="s">
        <v>1829</v>
      </c>
      <c r="G14" s="8" t="s">
        <v>1830</v>
      </c>
      <c r="H14" s="8" t="str">
        <f ca="1">IFERROR(__xludf.DUMMYFUNCTION("VLOOKUP(G14, IMPORTRANGE(""https://docs.google.com/spreadsheets/d/14deopnvwcrKtEGCKuYXdUHJbeLDZlkiSSWWT0g7x2pM/edit#gid=849066331"", ""LU List Science (Filter)!A:B""), 2, FALSE)"),"Role of salivary glands in digestion")</f>
        <v>Role of salivary glands in digestion</v>
      </c>
      <c r="I14" s="10" t="str">
        <f t="shared" si="0"/>
        <v>LU005948.001</v>
      </c>
      <c r="J14" s="10" t="str">
        <f ca="1">IFERROR(__xludf.DUMMYFUNCTION("VLOOKUP(I14, IMPORTRANGE(""https://docs.google.com/spreadsheets/d/1yDAaXNsi4Mr5FtRQL4tbmSdIzhx6_m4wkOD7IG-k_eo/edit#gid=1336395716"", ""Science!M:N""), 2, FALSE)"),"Recall the location of salivary glands in the human body.")</f>
        <v>Recall the location of salivary glands in the human body.</v>
      </c>
      <c r="K14" s="10" t="str">
        <f t="shared" si="1"/>
        <v>LU005948.002</v>
      </c>
      <c r="L14" s="10" t="str">
        <f ca="1">IFERROR(__xludf.DUMMYFUNCTION("VLOOKUP(K14, IMPORTRANGE(""https://docs.google.com/spreadsheets/d/1yDAaXNsi4Mr5FtRQL4tbmSdIzhx6_m4wkOD7IG-k_eo/edit#gid=1336395716"", ""Science!M:N""), 2, FALSE)"),"Summarize the function of saliva in the digestive process.")</f>
        <v>Summarize the function of saliva in the digestive process.</v>
      </c>
      <c r="M14" s="10" t="str">
        <f t="shared" si="2"/>
        <v>LU005948.003</v>
      </c>
      <c r="N14" s="10" t="str">
        <f ca="1">IFERROR(__xludf.DUMMYFUNCTION("VLOOKUP(M14, IMPORTRANGE(""https://docs.google.com/spreadsheets/d/1yDAaXNsi4Mr5FtRQL4tbmSdIzhx6_m4wkOD7IG-k_eo/edit#gid=1336395716"", ""Science!M:N""), 2, FALSE)"),"Apply the knowledge of salivary glands to predict their impact on digestion.")</f>
        <v>Apply the knowledge of salivary glands to predict their impact on digestion.</v>
      </c>
      <c r="O14" s="10" t="str">
        <f t="shared" si="3"/>
        <v>LU005948.004</v>
      </c>
      <c r="P14" s="10" t="str">
        <f ca="1">IFERROR(__xludf.DUMMYFUNCTION("VLOOKUP(O14, IMPORTRANGE(""https://docs.google.com/spreadsheets/d/1yDAaXNsi4Mr5FtRQL4tbmSdIzhx6_m4wkOD7IG-k_eo/edit#gid=1336395716"", ""Science!M:N""), 2, FALSE)"),"#N/A")</f>
        <v>#N/A</v>
      </c>
      <c r="Q14" s="10" t="str">
        <f t="shared" si="4"/>
        <v>LU005948.005</v>
      </c>
      <c r="R14" s="10" t="str">
        <f ca="1">IFERROR(__xludf.DUMMYFUNCTION("VLOOKUP(Q14, IMPORTRANGE(""https://docs.google.com/spreadsheets/d/1yDAaXNsi4Mr5FtRQL4tbmSdIzhx6_m4wkOD7IG-k_eo/edit#gid=1336395716"", ""Science!M:N""), 2, FALSE)"),"Evaluate the effects of various foods and flavors on the production of saliva.")</f>
        <v>Evaluate the effects of various foods and flavors on the production of saliva.</v>
      </c>
      <c r="S14" s="10" t="str">
        <f t="shared" si="5"/>
        <v>LU005948.006</v>
      </c>
      <c r="T14" s="10" t="str">
        <f ca="1">IFERROR(__xludf.DUMMYFUNCTION("VLOOKUP(S14, IMPORTRANGE(""https://docs.google.com/spreadsheets/d/1yDAaXNsi4Mr5FtRQL4tbmSdIzhx6_m4wkOD7IG-k_eo/edit#gid=1336395716"", ""Science!M:N""), 2, FALSE)"),"Design a simple experiment to test the activity of saliva on food items with time.")</f>
        <v>Design a simple experiment to test the activity of saliva on food items with time.</v>
      </c>
      <c r="U14" s="116">
        <f ca="1">IFERROR(__xludf.DUMMYFUNCTION("ArrayFormula(VLOOKUP(G14, IMPORTRANGE(""https://docs.google.com/spreadsheets/d/1p7R4vtkWt5VOBim4ltsDG9KTzSjrtKXsMtQGXPHyND0/edit#gid=795171502"", ""'Filter 30_05_2024'!A1:M2000""), {2, 3, 4, 5,6,7,8,9,10,11,12,13}, 0))"),23)</f>
        <v>23</v>
      </c>
      <c r="V14" s="116">
        <f ca="1">IFERROR(__xludf.DUMMYFUNCTION("""COMPUTED_VALUE"""),11)</f>
        <v>11</v>
      </c>
      <c r="W14" s="116">
        <f ca="1">IFERROR(__xludf.DUMMYFUNCTION("""COMPUTED_VALUE"""),2)</f>
        <v>2</v>
      </c>
      <c r="X14" s="116">
        <f ca="1">IFERROR(__xludf.DUMMYFUNCTION("""COMPUTED_VALUE"""),36)</f>
        <v>36</v>
      </c>
      <c r="Y14" s="116">
        <f ca="1">IFERROR(__xludf.DUMMYFUNCTION("""COMPUTED_VALUE"""),6)</f>
        <v>6</v>
      </c>
      <c r="Z14" s="12">
        <f ca="1">IFERROR(__xludf.DUMMYFUNCTION("""COMPUTED_VALUE"""),9)</f>
        <v>9</v>
      </c>
      <c r="AA14" s="12">
        <f ca="1">IFERROR(__xludf.DUMMYFUNCTION("""COMPUTED_VALUE"""),1)</f>
        <v>1</v>
      </c>
      <c r="AB14" s="12">
        <f ca="1">IFERROR(__xludf.DUMMYFUNCTION("""COMPUTED_VALUE"""),16)</f>
        <v>16</v>
      </c>
      <c r="AC14" s="12"/>
      <c r="AD14" s="12"/>
      <c r="AE14" s="12"/>
      <c r="AF14" s="12"/>
      <c r="AG14" s="13" t="str">
        <f ca="1">IFERROR(__xludf.DUMMYFUNCTION("ArrayFormula(VLOOKUP(G14, IMPORTRANGE(""https://docs.google.com/spreadsheets/d/1Co934fvtviyaRiMsrIlT05Jaq7iiYq07aLvRr35KA48/edit?gid=173865642#gid=173865642"", ""'G7_Sci_Pri_LU'!G2:V2000""), {3, 4, 5, 6, 7, 8, 9, 10, 11, 12, 13, 14, 15, 16}, 0))"),"LU005391")</f>
        <v>LU005391</v>
      </c>
      <c r="AH14" s="13" t="str">
        <f ca="1">IFERROR(__xludf.DUMMYFUNCTION("""COMPUTED_VALUE"""),"Definition of human digestive system")</f>
        <v>Definition of human digestive system</v>
      </c>
      <c r="AI14" s="13" t="str">
        <f ca="1">IFERROR(__xludf.DUMMYFUNCTION("""COMPUTED_VALUE"""),"LU005079")</f>
        <v>LU005079</v>
      </c>
      <c r="AJ14" s="13" t="str">
        <f ca="1">IFERROR(__xludf.DUMMYFUNCTION("""COMPUTED_VALUE"""),"Process of Digestion(scheme of the path of food through the body, role of saliva in digestion,  indicators of hunger exhibited by individuals)")</f>
        <v>Process of Digestion(scheme of the path of food through the body, role of saliva in digestion,  indicators of hunger exhibited by individuals)</v>
      </c>
      <c r="AK14" s="13" t="str">
        <f ca="1">IFERROR(__xludf.DUMMYFUNCTION("""COMPUTED_VALUE"""),"LU005214")</f>
        <v>LU005214</v>
      </c>
      <c r="AL14" s="13" t="str">
        <f ca="1">IFERROR(__xludf.DUMMYFUNCTION("""COMPUTED_VALUE"""),"Definition of nutrients, types, and their sources.")</f>
        <v>Definition of nutrients, types, and their sources.</v>
      </c>
      <c r="AM14" s="13"/>
      <c r="AN14" s="13"/>
      <c r="AO14" s="13"/>
      <c r="AP14" s="13"/>
      <c r="AQ14" s="13"/>
      <c r="AR14" s="13"/>
      <c r="AS14" s="13"/>
      <c r="AT14" s="13"/>
    </row>
    <row r="15" spans="1:46">
      <c r="A15" s="8" t="s">
        <v>247</v>
      </c>
      <c r="B15" s="8" t="s">
        <v>47</v>
      </c>
      <c r="C15" s="8" t="s">
        <v>416</v>
      </c>
      <c r="D15" s="8" t="s">
        <v>1406</v>
      </c>
      <c r="E15" s="8" t="s">
        <v>1823</v>
      </c>
      <c r="F15" s="8" t="s">
        <v>1829</v>
      </c>
      <c r="G15" s="8" t="s">
        <v>1831</v>
      </c>
      <c r="H15" s="8" t="str">
        <f ca="1">IFERROR(__xludf.DUMMYFUNCTION("VLOOKUP(G15, IMPORTRANGE(""https://docs.google.com/spreadsheets/d/14deopnvwcrKtEGCKuYXdUHJbeLDZlkiSSWWT0g7x2pM/edit#gid=849066331"", ""LU List Science (Filter)!A:B""), 2, FALSE)"),"Role of human teeth and tongue in digestion")</f>
        <v>Role of human teeth and tongue in digestion</v>
      </c>
      <c r="I15" s="10" t="str">
        <f t="shared" si="0"/>
        <v>LU005949.001</v>
      </c>
      <c r="J15" s="10" t="str">
        <f ca="1">IFERROR(__xludf.DUMMYFUNCTION("VLOOKUP(I15, IMPORTRANGE(""https://docs.google.com/spreadsheets/d/1yDAaXNsi4Mr5FtRQL4tbmSdIzhx6_m4wkOD7IG-k_eo/edit#gid=1336395716"", ""Science!M:N""), 2, FALSE)"),"Recall the different types of human teeth and their functions in digestion.")</f>
        <v>Recall the different types of human teeth and their functions in digestion.</v>
      </c>
      <c r="K15" s="10" t="str">
        <f t="shared" si="1"/>
        <v>LU005949.002</v>
      </c>
      <c r="L15" s="10" t="str">
        <f ca="1">IFERROR(__xludf.DUMMYFUNCTION("VLOOKUP(K15, IMPORTRANGE(""https://docs.google.com/spreadsheets/d/1yDAaXNsi4Mr5FtRQL4tbmSdIzhx6_m4wkOD7IG-k_eo/edit#gid=1336395716"", ""Science!M:N""), 2, FALSE)"),"Summarize the role of the tongue and teeth in the process of digestion and causes of tooth decay.")</f>
        <v>Summarize the role of the tongue and teeth in the process of digestion and causes of tooth decay.</v>
      </c>
      <c r="M15" s="10" t="str">
        <f t="shared" si="2"/>
        <v>LU005949.003</v>
      </c>
      <c r="N15" s="10" t="str">
        <f ca="1">IFERROR(__xludf.DUMMYFUNCTION("VLOOKUP(M15, IMPORTRANGE(""https://docs.google.com/spreadsheets/d/1yDAaXNsi4Mr5FtRQL4tbmSdIzhx6_m4wkOD7IG-k_eo/edit#gid=1336395716"", ""Science!M:N""), 2, FALSE)"),"Apply knowledge of teeth and tongue function to explain the initial stages of the digestive process.")</f>
        <v>Apply knowledge of teeth and tongue function to explain the initial stages of the digestive process.</v>
      </c>
      <c r="O15" s="10" t="str">
        <f t="shared" si="3"/>
        <v>LU005949.004</v>
      </c>
      <c r="P15" s="10" t="str">
        <f ca="1">IFERROR(__xludf.DUMMYFUNCTION("VLOOKUP(O15, IMPORTRANGE(""https://docs.google.com/spreadsheets/d/1yDAaXNsi4Mr5FtRQL4tbmSdIzhx6_m4wkOD7IG-k_eo/edit#gid=1336395716"", ""Science!M:N""), 2, FALSE)"),"Differentiate between the mechanical and chemical digestion occurring in the mouth.")</f>
        <v>Differentiate between the mechanical and chemical digestion occurring in the mouth.</v>
      </c>
      <c r="Q15" s="10" t="str">
        <f t="shared" si="4"/>
        <v>LU005949.005</v>
      </c>
      <c r="R15" s="10" t="str">
        <f ca="1">IFERROR(__xludf.DUMMYFUNCTION("VLOOKUP(Q15, IMPORTRANGE(""https://docs.google.com/spreadsheets/d/1yDAaXNsi4Mr5FtRQL4tbmSdIzhx6_m4wkOD7IG-k_eo/edit#gid=1336395716"", ""Science!M:N""), 2, FALSE)"),"Evaluate the effects of poor dental hygiene on the digestive process.")</f>
        <v>Evaluate the effects of poor dental hygiene on the digestive process.</v>
      </c>
      <c r="S15" s="10" t="str">
        <f t="shared" si="5"/>
        <v>LU005949.006</v>
      </c>
      <c r="T15" s="10" t="str">
        <f ca="1">IFERROR(__xludf.DUMMYFUNCTION("VLOOKUP(S15, IMPORTRANGE(""https://docs.google.com/spreadsheets/d/1yDAaXNsi4Mr5FtRQL4tbmSdIzhx6_m4wkOD7IG-k_eo/edit#gid=1336395716"", ""Science!M:N""), 2, FALSE)"),"#N/A")</f>
        <v>#N/A</v>
      </c>
      <c r="U15" s="116">
        <f ca="1">IFERROR(__xludf.DUMMYFUNCTION("ArrayFormula(VLOOKUP(G15, IMPORTRANGE(""https://docs.google.com/spreadsheets/d/1p7R4vtkWt5VOBim4ltsDG9KTzSjrtKXsMtQGXPHyND0/edit#gid=795171502"", ""'Filter 30_05_2024'!A1:M2000""), {2, 3, 4, 5,6,7,8,9,10,11,12,13}, 0))"),28)</f>
        <v>28</v>
      </c>
      <c r="V15" s="116">
        <f ca="1">IFERROR(__xludf.DUMMYFUNCTION("""COMPUTED_VALUE"""),5)</f>
        <v>5</v>
      </c>
      <c r="W15" s="116">
        <f ca="1">IFERROR(__xludf.DUMMYFUNCTION("""COMPUTED_VALUE"""),2)</f>
        <v>2</v>
      </c>
      <c r="X15" s="116">
        <f ca="1">IFERROR(__xludf.DUMMYFUNCTION("""COMPUTED_VALUE"""),35)</f>
        <v>35</v>
      </c>
      <c r="Y15" s="116">
        <f ca="1">IFERROR(__xludf.DUMMYFUNCTION("""COMPUTED_VALUE"""),14)</f>
        <v>14</v>
      </c>
      <c r="Z15" s="12">
        <f ca="1">IFERROR(__xludf.DUMMYFUNCTION("""COMPUTED_VALUE"""),4)</f>
        <v>4</v>
      </c>
      <c r="AA15" s="12">
        <f ca="1">IFERROR(__xludf.DUMMYFUNCTION("""COMPUTED_VALUE"""),1)</f>
        <v>1</v>
      </c>
      <c r="AB15" s="12">
        <f ca="1">IFERROR(__xludf.DUMMYFUNCTION("""COMPUTED_VALUE"""),19)</f>
        <v>19</v>
      </c>
      <c r="AC15" s="12"/>
      <c r="AD15" s="12"/>
      <c r="AE15" s="12"/>
      <c r="AF15" s="12"/>
      <c r="AG15" s="13" t="str">
        <f ca="1">IFERROR(__xludf.DUMMYFUNCTION("ArrayFormula(VLOOKUP(G15, IMPORTRANGE(""https://docs.google.com/spreadsheets/d/1Co934fvtviyaRiMsrIlT05Jaq7iiYq07aLvRr35KA48/edit?gid=173865642#gid=173865642"", ""'G7_Sci_Pri_LU'!G2:V2000""), {3, 4, 5, 6, 7, 8, 9, 10, 11, 12, 13, 14, 15, 16}, 0))"),"LU005391")</f>
        <v>LU005391</v>
      </c>
      <c r="AH15" s="13" t="str">
        <f ca="1">IFERROR(__xludf.DUMMYFUNCTION("""COMPUTED_VALUE"""),"Definition of human digestive system")</f>
        <v>Definition of human digestive system</v>
      </c>
      <c r="AI15" s="13" t="str">
        <f ca="1">IFERROR(__xludf.DUMMYFUNCTION("""COMPUTED_VALUE"""),"LU005079")</f>
        <v>LU005079</v>
      </c>
      <c r="AJ15" s="13" t="str">
        <f ca="1">IFERROR(__xludf.DUMMYFUNCTION("""COMPUTED_VALUE"""),"Process of Digestion(scheme of the path of food through the body, role of saliva in digestion,  indicators of hunger exhibited by individuals)")</f>
        <v>Process of Digestion(scheme of the path of food through the body, role of saliva in digestion,  indicators of hunger exhibited by individuals)</v>
      </c>
      <c r="AK15" s="13" t="str">
        <f ca="1">IFERROR(__xludf.DUMMYFUNCTION("""COMPUTED_VALUE"""),"LU005077")</f>
        <v>LU005077</v>
      </c>
      <c r="AL15" s="13" t="str">
        <f ca="1">IFERROR(__xludf.DUMMYFUNCTION("""COMPUTED_VALUE"""),"Importance of Chewing")</f>
        <v>Importance of Chewing</v>
      </c>
      <c r="AM15" s="13"/>
      <c r="AN15" s="13"/>
      <c r="AO15" s="13"/>
      <c r="AP15" s="13"/>
      <c r="AQ15" s="13"/>
      <c r="AR15" s="13"/>
      <c r="AS15" s="13"/>
      <c r="AT15" s="13"/>
    </row>
    <row r="16" spans="1:46">
      <c r="A16" s="8" t="s">
        <v>247</v>
      </c>
      <c r="B16" s="8" t="s">
        <v>47</v>
      </c>
      <c r="C16" s="8" t="s">
        <v>416</v>
      </c>
      <c r="D16" s="8" t="s">
        <v>1406</v>
      </c>
      <c r="E16" s="8" t="s">
        <v>1823</v>
      </c>
      <c r="F16" s="8" t="s">
        <v>1829</v>
      </c>
      <c r="G16" s="8" t="s">
        <v>1832</v>
      </c>
      <c r="H16" s="8" t="str">
        <f ca="1">IFERROR(__xludf.DUMMYFUNCTION("VLOOKUP(G16, IMPORTRANGE(""https://docs.google.com/spreadsheets/d/14deopnvwcrKtEGCKuYXdUHJbeLDZlkiSSWWT0g7x2pM/edit#gid=849066331"", ""LU List Science (Filter)!A:B""), 2, FALSE)"),"Role of human oesophagus and stomach in digestion")</f>
        <v>Role of human oesophagus and stomach in digestion</v>
      </c>
      <c r="I16" s="10" t="str">
        <f t="shared" si="0"/>
        <v>LU005950.001</v>
      </c>
      <c r="J16" s="10" t="str">
        <f ca="1">IFERROR(__xludf.DUMMYFUNCTION("VLOOKUP(I16, IMPORTRANGE(""https://docs.google.com/spreadsheets/d/1yDAaXNsi4Mr5FtRQL4tbmSdIzhx6_m4wkOD7IG-k_eo/edit#gid=1336395716"", ""Science!M:N""), 2, FALSE)"),"Recall the functions of the human esophagus and stomach in digestion.")</f>
        <v>Recall the functions of the human esophagus and stomach in digestion.</v>
      </c>
      <c r="K16" s="10" t="str">
        <f t="shared" si="1"/>
        <v>LU005950.002</v>
      </c>
      <c r="L16" s="10" t="str">
        <f ca="1">IFERROR(__xludf.DUMMYFUNCTION("VLOOKUP(K16, IMPORTRANGE(""https://docs.google.com/spreadsheets/d/1yDAaXNsi4Mr5FtRQL4tbmSdIzhx6_m4wkOD7IG-k_eo/edit#gid=1336395716"", ""Science!M:N""), 2, FALSE)"),"Summarize the process of digestion as food passes through the esophagus to the stomach.")</f>
        <v>Summarize the process of digestion as food passes through the esophagus to the stomach.</v>
      </c>
      <c r="M16" s="10" t="str">
        <f t="shared" si="2"/>
        <v>LU005950.003</v>
      </c>
      <c r="N16" s="10" t="str">
        <f ca="1">IFERROR(__xludf.DUMMYFUNCTION("VLOOKUP(M16, IMPORTRANGE(""https://docs.google.com/spreadsheets/d/1yDAaXNsi4Mr5FtRQL4tbmSdIzhx6_m4wkOD7IG-k_eo/edit#gid=1336395716"", ""Science!M:N""), 2, FALSE)"),"Apply knowledge of the digestive system to identify problems associated with the esophagus and stomach, like acid reflux.")</f>
        <v>Apply knowledge of the digestive system to identify problems associated with the esophagus and stomach, like acid reflux.</v>
      </c>
      <c r="O16" s="10" t="str">
        <f t="shared" si="3"/>
        <v>LU005950.004</v>
      </c>
      <c r="P16" s="10" t="str">
        <f ca="1">IFERROR(__xludf.DUMMYFUNCTION("VLOOKUP(O16, IMPORTRANGE(""https://docs.google.com/spreadsheets/d/1yDAaXNsi4Mr5FtRQL4tbmSdIzhx6_m4wkOD7IG-k_eo/edit#gid=1336395716"", ""Science!M:N""), 2, FALSE)"),"#N/A")</f>
        <v>#N/A</v>
      </c>
      <c r="Q16" s="10" t="str">
        <f t="shared" si="4"/>
        <v>LU005950.005</v>
      </c>
      <c r="R16" s="10" t="str">
        <f ca="1">IFERROR(__xludf.DUMMYFUNCTION("VLOOKUP(Q16, IMPORTRANGE(""https://docs.google.com/spreadsheets/d/1yDAaXNsi4Mr5FtRQL4tbmSdIzhx6_m4wkOD7IG-k_eo/edit#gid=1336395716"", ""Science!M:N""), 2, FALSE)"),"#N/A")</f>
        <v>#N/A</v>
      </c>
      <c r="S16" s="10" t="str">
        <f t="shared" si="5"/>
        <v>LU005950.006</v>
      </c>
      <c r="T16" s="10" t="str">
        <f ca="1">IFERROR(__xludf.DUMMYFUNCTION("VLOOKUP(S16, IMPORTRANGE(""https://docs.google.com/spreadsheets/d/1yDAaXNsi4Mr5FtRQL4tbmSdIzhx6_m4wkOD7IG-k_eo/edit#gid=1336395716"", ""Science!M:N""), 2, FALSE)"),"#N/A")</f>
        <v>#N/A</v>
      </c>
      <c r="U16" s="116">
        <f ca="1">IFERROR(__xludf.DUMMYFUNCTION("ArrayFormula(VLOOKUP(G16, IMPORTRANGE(""https://docs.google.com/spreadsheets/d/1p7R4vtkWt5VOBim4ltsDG9KTzSjrtKXsMtQGXPHyND0/edit#gid=795171502"", ""'Filter 30_05_2024'!A1:M2000""), {2, 3, 4, 5,6,7,8,9,10,11,12,13}, 0))"),2)</f>
        <v>2</v>
      </c>
      <c r="V16" s="116">
        <f ca="1">IFERROR(__xludf.DUMMYFUNCTION("""COMPUTED_VALUE"""),5)</f>
        <v>5</v>
      </c>
      <c r="W16" s="116">
        <f ca="1">IFERROR(__xludf.DUMMYFUNCTION("""COMPUTED_VALUE"""),2)</f>
        <v>2</v>
      </c>
      <c r="X16" s="116">
        <f ca="1">IFERROR(__xludf.DUMMYFUNCTION("""COMPUTED_VALUE"""),9)</f>
        <v>9</v>
      </c>
      <c r="Y16" s="116">
        <f ca="1">IFERROR(__xludf.DUMMYFUNCTION("""COMPUTED_VALUE"""),8)</f>
        <v>8</v>
      </c>
      <c r="Z16" s="12">
        <f ca="1">IFERROR(__xludf.DUMMYFUNCTION("""COMPUTED_VALUE"""),3)</f>
        <v>3</v>
      </c>
      <c r="AA16" s="12"/>
      <c r="AB16" s="12">
        <f ca="1">IFERROR(__xludf.DUMMYFUNCTION("""COMPUTED_VALUE"""),11)</f>
        <v>11</v>
      </c>
      <c r="AC16" s="12"/>
      <c r="AD16" s="12"/>
      <c r="AE16" s="12"/>
      <c r="AF16" s="12"/>
      <c r="AG16" s="13" t="str">
        <f ca="1">IFERROR(__xludf.DUMMYFUNCTION("ArrayFormula(VLOOKUP(G16, IMPORTRANGE(""https://docs.google.com/spreadsheets/d/1Co934fvtviyaRiMsrIlT05Jaq7iiYq07aLvRr35KA48/edit?gid=173865642#gid=173865642"", ""'G7_Sci_Pri_LU'!G2:V2000""), {3, 4, 5, 6, 7, 8, 9, 10, 11, 12, 13, 14, 15, 16}, 0))"),"LU005391")</f>
        <v>LU005391</v>
      </c>
      <c r="AH16" s="13" t="str">
        <f ca="1">IFERROR(__xludf.DUMMYFUNCTION("""COMPUTED_VALUE"""),"Definition of human digestive system")</f>
        <v>Definition of human digestive system</v>
      </c>
      <c r="AI16" s="13" t="str">
        <f ca="1">IFERROR(__xludf.DUMMYFUNCTION("""COMPUTED_VALUE"""),"LU005214")</f>
        <v>LU005214</v>
      </c>
      <c r="AJ16" s="13" t="str">
        <f ca="1">IFERROR(__xludf.DUMMYFUNCTION("""COMPUTED_VALUE"""),"Definition of nutrients, types, and their sources.")</f>
        <v>Definition of nutrients, types, and their sources.</v>
      </c>
      <c r="AK16" s="13" t="str">
        <f ca="1">IFERROR(__xludf.DUMMYFUNCTION("""COMPUTED_VALUE"""),"LU005080")</f>
        <v>LU005080</v>
      </c>
      <c r="AL16" s="13" t="str">
        <f ca="1">IFERROR(__xludf.DUMMYFUNCTION("""COMPUTED_VALUE"""),"Story of Open Stomach (Dr. Beaumont's Story)")</f>
        <v>Story of Open Stomach (Dr. Beaumont's Story)</v>
      </c>
      <c r="AM16" s="13"/>
      <c r="AN16" s="13"/>
      <c r="AO16" s="13"/>
      <c r="AP16" s="13"/>
      <c r="AQ16" s="13"/>
      <c r="AR16" s="13"/>
      <c r="AS16" s="13"/>
      <c r="AT16" s="13"/>
    </row>
    <row r="17" spans="1:46">
      <c r="A17" s="8" t="s">
        <v>247</v>
      </c>
      <c r="B17" s="8" t="s">
        <v>47</v>
      </c>
      <c r="C17" s="8" t="s">
        <v>416</v>
      </c>
      <c r="D17" s="8" t="s">
        <v>1406</v>
      </c>
      <c r="E17" s="8" t="s">
        <v>1823</v>
      </c>
      <c r="F17" s="8" t="s">
        <v>1833</v>
      </c>
      <c r="G17" s="8" t="s">
        <v>1834</v>
      </c>
      <c r="H17" s="8" t="str">
        <f ca="1">IFERROR(__xludf.DUMMYFUNCTION("VLOOKUP(G17, IMPORTRANGE(""https://docs.google.com/spreadsheets/d/14deopnvwcrKtEGCKuYXdUHJbeLDZlkiSSWWT0g7x2pM/edit#gid=849066331"", ""LU List Science (Filter)!A:B""), 2, FALSE)"),"Function of Secretions from Liver, Pancreas, and Small Intestine")</f>
        <v>Function of Secretions from Liver, Pancreas, and Small Intestine</v>
      </c>
      <c r="I17" s="10" t="str">
        <f t="shared" si="0"/>
        <v>LU005393.001</v>
      </c>
      <c r="J17" s="10" t="str">
        <f ca="1">IFERROR(__xludf.DUMMYFUNCTION("VLOOKUP(I17, IMPORTRANGE(""https://docs.google.com/spreadsheets/d/1yDAaXNsi4Mr5FtRQL4tbmSdIzhx6_m4wkOD7IG-k_eo/edit#gid=1336395716"", ""Science!M:N""), 2, FALSE)"),"Students will list the secretions from the liver, pancreas, and small intestine.")</f>
        <v>Students will list the secretions from the liver, pancreas, and small intestine.</v>
      </c>
      <c r="K17" s="10" t="str">
        <f t="shared" si="1"/>
        <v>LU005393.002</v>
      </c>
      <c r="L17" s="10" t="str">
        <f ca="1">IFERROR(__xludf.DUMMYFUNCTION("VLOOKUP(K17, IMPORTRANGE(""https://docs.google.com/spreadsheets/d/1yDAaXNsi4Mr5FtRQL4tbmSdIzhx6_m4wkOD7IG-k_eo/edit#gid=1336395716"", ""Science!M:N""), 2, FALSE)"),"Students will describe the functions of secretions from the liver, pancreas, and small intestine in the digestive process.")</f>
        <v>Students will describe the functions of secretions from the liver, pancreas, and small intestine in the digestive process.</v>
      </c>
      <c r="M17" s="10" t="str">
        <f t="shared" si="2"/>
        <v>LU005393.003</v>
      </c>
      <c r="N17" s="10" t="str">
        <f ca="1">IFERROR(__xludf.DUMMYFUNCTION("VLOOKUP(M17, IMPORTRANGE(""https://docs.google.com/spreadsheets/d/1yDAaXNsi4Mr5FtRQL4tbmSdIzhx6_m4wkOD7IG-k_eo/edit#gid=1336395716"", ""Science!M:N""), 2, FALSE)"),"Students will match secretions with their respective organs and corresponding functions in digestion.")</f>
        <v>Students will match secretions with their respective organs and corresponding functions in digestion.</v>
      </c>
      <c r="O17" s="10" t="str">
        <f t="shared" si="3"/>
        <v>LU005393.004</v>
      </c>
      <c r="P17" s="10" t="str">
        <f ca="1">IFERROR(__xludf.DUMMYFUNCTION("VLOOKUP(O17, IMPORTRANGE(""https://docs.google.com/spreadsheets/d/1yDAaXNsi4Mr5FtRQL4tbmSdIzhx6_m4wkOD7IG-k_eo/edit#gid=1336395716"", ""Science!M:N""), 2, FALSE)"),"Students will compare and contrast the roles of liver, pancreas, and small intestine secretions in the digestion and absorption of food.")</f>
        <v>Students will compare and contrast the roles of liver, pancreas, and small intestine secretions in the digestion and absorption of food.</v>
      </c>
      <c r="Q17" s="10" t="str">
        <f t="shared" si="4"/>
        <v>LU005393.005</v>
      </c>
      <c r="R17" s="10" t="str">
        <f ca="1">IFERROR(__xludf.DUMMYFUNCTION("VLOOKUP(Q17, IMPORTRANGE(""https://docs.google.com/spreadsheets/d/1yDAaXNsi4Mr5FtRQL4tbmSdIzhx6_m4wkOD7IG-k_eo/edit#gid=1336395716"", ""Science!M:N""), 2, FALSE)"),"Students will assess the impact of deficiencies in these secretions on the digestive health of an animal.")</f>
        <v>Students will assess the impact of deficiencies in these secretions on the digestive health of an animal.</v>
      </c>
      <c r="S17" s="10" t="str">
        <f t="shared" si="5"/>
        <v>LU005393.006</v>
      </c>
      <c r="T17" s="10" t="str">
        <f ca="1">IFERROR(__xludf.DUMMYFUNCTION("VLOOKUP(S17, IMPORTRANGE(""https://docs.google.com/spreadsheets/d/1yDAaXNsi4Mr5FtRQL4tbmSdIzhx6_m4wkOD7IG-k_eo/edit#gid=1336395716"", ""Science!M:N""), 2, FALSE)"),"#N/A")</f>
        <v>#N/A</v>
      </c>
      <c r="U17" s="116">
        <f ca="1">IFERROR(__xludf.DUMMYFUNCTION("ArrayFormula(VLOOKUP(G17, IMPORTRANGE(""https://docs.google.com/spreadsheets/d/1p7R4vtkWt5VOBim4ltsDG9KTzSjrtKXsMtQGXPHyND0/edit#gid=795171502"", ""'Filter 30_05_2024'!A1:M2000""), {2, 3, 4, 5,6,7,8,9,10,11,12,13}, 0))"),28)</f>
        <v>28</v>
      </c>
      <c r="V17" s="116">
        <f ca="1">IFERROR(__xludf.DUMMYFUNCTION("""COMPUTED_VALUE"""),5)</f>
        <v>5</v>
      </c>
      <c r="W17" s="116">
        <f ca="1">IFERROR(__xludf.DUMMYFUNCTION("""COMPUTED_VALUE"""),5)</f>
        <v>5</v>
      </c>
      <c r="X17" s="116">
        <f ca="1">IFERROR(__xludf.DUMMYFUNCTION("""COMPUTED_VALUE"""),38)</f>
        <v>38</v>
      </c>
      <c r="Y17" s="116">
        <f ca="1">IFERROR(__xludf.DUMMYFUNCTION("""COMPUTED_VALUE"""),12)</f>
        <v>12</v>
      </c>
      <c r="Z17" s="12">
        <f ca="1">IFERROR(__xludf.DUMMYFUNCTION("""COMPUTED_VALUE"""),3)</f>
        <v>3</v>
      </c>
      <c r="AA17" s="12">
        <f ca="1">IFERROR(__xludf.DUMMYFUNCTION("""COMPUTED_VALUE"""),1)</f>
        <v>1</v>
      </c>
      <c r="AB17" s="12">
        <f ca="1">IFERROR(__xludf.DUMMYFUNCTION("""COMPUTED_VALUE"""),16)</f>
        <v>16</v>
      </c>
      <c r="AC17" s="12"/>
      <c r="AD17" s="12"/>
      <c r="AE17" s="12"/>
      <c r="AF17" s="12"/>
      <c r="AG17" s="13" t="str">
        <f ca="1">IFERROR(__xludf.DUMMYFUNCTION("ArrayFormula(VLOOKUP(G17, IMPORTRANGE(""https://docs.google.com/spreadsheets/d/1Co934fvtviyaRiMsrIlT05Jaq7iiYq07aLvRr35KA48/edit?gid=173865642#gid=173865642"", ""'G7_Sci_Pri_LU'!G2:V2000""), {3, 4, 5, 6, 7, 8, 9, 10, 11, 12, 13, 14, 15, 16}, 0))"),"LU005391")</f>
        <v>LU005391</v>
      </c>
      <c r="AH17" s="13" t="str">
        <f ca="1">IFERROR(__xludf.DUMMYFUNCTION("""COMPUTED_VALUE"""),"Definition of human digestive system")</f>
        <v>Definition of human digestive system</v>
      </c>
      <c r="AI17" s="13" t="str">
        <f ca="1">IFERROR(__xludf.DUMMYFUNCTION("""COMPUTED_VALUE"""),"LU005214")</f>
        <v>LU005214</v>
      </c>
      <c r="AJ17" s="13" t="str">
        <f ca="1">IFERROR(__xludf.DUMMYFUNCTION("""COMPUTED_VALUE"""),"Definition of nutrients, types, and their sources.")</f>
        <v>Definition of nutrients, types, and their sources.</v>
      </c>
      <c r="AK17" s="13" t="str">
        <f ca="1">IFERROR(__xludf.DUMMYFUNCTION("""COMPUTED_VALUE"""),"LU005389")</f>
        <v>LU005389</v>
      </c>
      <c r="AL17" s="13" t="str">
        <f ca="1">IFERROR(__xludf.DUMMYFUNCTION("""COMPUTED_VALUE"""),"Ingestion, Digestion, Absorption, Assimilation, and Egestion")</f>
        <v>Ingestion, Digestion, Absorption, Assimilation, and Egestion</v>
      </c>
      <c r="AM17" s="13"/>
      <c r="AN17" s="13"/>
      <c r="AO17" s="13"/>
      <c r="AP17" s="13"/>
      <c r="AQ17" s="13"/>
      <c r="AR17" s="13"/>
      <c r="AS17" s="13"/>
      <c r="AT17" s="13"/>
    </row>
    <row r="18" spans="1:46">
      <c r="A18" s="8" t="s">
        <v>247</v>
      </c>
      <c r="B18" s="8" t="s">
        <v>47</v>
      </c>
      <c r="C18" s="8" t="s">
        <v>416</v>
      </c>
      <c r="D18" s="8" t="s">
        <v>1406</v>
      </c>
      <c r="E18" s="8" t="s">
        <v>1823</v>
      </c>
      <c r="F18" s="8" t="s">
        <v>1833</v>
      </c>
      <c r="G18" s="8" t="s">
        <v>1835</v>
      </c>
      <c r="H18" s="8" t="str">
        <f ca="1">IFERROR(__xludf.DUMMYFUNCTION("VLOOKUP(G18, IMPORTRANGE(""https://docs.google.com/spreadsheets/d/14deopnvwcrKtEGCKuYXdUHJbeLDZlkiSSWWT0g7x2pM/edit#gid=849066331"", ""LU List Science (Filter)!A:B""), 2, FALSE)"),"Absorption in the Small Intestine and large intestine")</f>
        <v>Absorption in the Small Intestine and large intestine</v>
      </c>
      <c r="I18" s="10" t="str">
        <f t="shared" si="0"/>
        <v>LU005394.001</v>
      </c>
      <c r="J18" s="10" t="str">
        <f ca="1">IFERROR(__xludf.DUMMYFUNCTION("VLOOKUP(I18, IMPORTRANGE(""https://docs.google.com/spreadsheets/d/1yDAaXNsi4Mr5FtRQL4tbmSdIzhx6_m4wkOD7IG-k_eo/edit#gid=1336395716"", ""Science!M:N""), 2, FALSE)"),"Students will define the processes of absorption in the small and large intestines.")</f>
        <v>Students will define the processes of absorption in the small and large intestines.</v>
      </c>
      <c r="K18" s="10" t="str">
        <f t="shared" si="1"/>
        <v>LU005394.002</v>
      </c>
      <c r="L18" s="10" t="str">
        <f ca="1">IFERROR(__xludf.DUMMYFUNCTION("VLOOKUP(K18, IMPORTRANGE(""https://docs.google.com/spreadsheets/d/1yDAaXNsi4Mr5FtRQL4tbmSdIzhx6_m4wkOD7IG-k_eo/edit#gid=1336395716"", ""Science!M:N""), 2, FALSE)"),"Students will interpret the differences in absorption functions between the small and large intestines.")</f>
        <v>Students will interpret the differences in absorption functions between the small and large intestines.</v>
      </c>
      <c r="M18" s="10" t="str">
        <f t="shared" si="2"/>
        <v>LU005394.003</v>
      </c>
      <c r="N18" s="10" t="str">
        <f ca="1">IFERROR(__xludf.DUMMYFUNCTION("VLOOKUP(M18, IMPORTRANGE(""https://docs.google.com/spreadsheets/d/1yDAaXNsi4Mr5FtRQL4tbmSdIzhx6_m4wkOD7IG-k_eo/edit#gid=1336395716"", ""Science!M:N""), 2, FALSE)"),"Students will associate the structure of the small and large intestines with their respective roles in absorption.")</f>
        <v>Students will associate the structure of the small and large intestines with their respective roles in absorption.</v>
      </c>
      <c r="O18" s="10" t="str">
        <f t="shared" si="3"/>
        <v>LU005394.004</v>
      </c>
      <c r="P18" s="10" t="str">
        <f ca="1">IFERROR(__xludf.DUMMYFUNCTION("VLOOKUP(O18, IMPORTRANGE(""https://docs.google.com/spreadsheets/d/1yDAaXNsi4Mr5FtRQL4tbmSdIzhx6_m4wkOD7IG-k_eo/edit#gid=1336395716"", ""Science!M:N""), 2, FALSE)"),"Students will compare the absorption efficiency of the small intestine with the water reabsorption role of the large intestine.")</f>
        <v>Students will compare the absorption efficiency of the small intestine with the water reabsorption role of the large intestine.</v>
      </c>
      <c r="Q18" s="10" t="str">
        <f t="shared" si="4"/>
        <v>LU005394.005</v>
      </c>
      <c r="R18" s="10" t="str">
        <f ca="1">IFERROR(__xludf.DUMMYFUNCTION("VLOOKUP(Q18, IMPORTRANGE(""https://docs.google.com/spreadsheets/d/1yDAaXNsi4Mr5FtRQL4tbmSdIzhx6_m4wkOD7IG-k_eo/edit#gid=1336395716"", ""Science!M:N""), 2, FALSE)"),"Students will evaluate the impact of various diets on the absorption efficiency of the small and large intestines.")</f>
        <v>Students will evaluate the impact of various diets on the absorption efficiency of the small and large intestines.</v>
      </c>
      <c r="S18" s="10" t="str">
        <f t="shared" si="5"/>
        <v>LU005394.006</v>
      </c>
      <c r="T18" s="10" t="str">
        <f ca="1">IFERROR(__xludf.DUMMYFUNCTION("VLOOKUP(S18, IMPORTRANGE(""https://docs.google.com/spreadsheets/d/1yDAaXNsi4Mr5FtRQL4tbmSdIzhx6_m4wkOD7IG-k_eo/edit#gid=1336395716"", ""Science!M:N""), 2, FALSE)"),"#N/A")</f>
        <v>#N/A</v>
      </c>
      <c r="U18" s="116">
        <f ca="1">IFERROR(__xludf.DUMMYFUNCTION("ArrayFormula(VLOOKUP(G18, IMPORTRANGE(""https://docs.google.com/spreadsheets/d/1p7R4vtkWt5VOBim4ltsDG9KTzSjrtKXsMtQGXPHyND0/edit#gid=795171502"", ""'Filter 30_05_2024'!A1:M2000""), {2, 3, 4, 5,6,7,8,9,10,11,12,13}, 0))"),4)</f>
        <v>4</v>
      </c>
      <c r="V18" s="116">
        <f ca="1">IFERROR(__xludf.DUMMYFUNCTION("""COMPUTED_VALUE"""),6)</f>
        <v>6</v>
      </c>
      <c r="W18" s="116">
        <f ca="1">IFERROR(__xludf.DUMMYFUNCTION("""COMPUTED_VALUE"""),2)</f>
        <v>2</v>
      </c>
      <c r="X18" s="116">
        <f ca="1">IFERROR(__xludf.DUMMYFUNCTION("""COMPUTED_VALUE"""),12)</f>
        <v>12</v>
      </c>
      <c r="Y18" s="116">
        <f ca="1">IFERROR(__xludf.DUMMYFUNCTION("""COMPUTED_VALUE"""),4)</f>
        <v>4</v>
      </c>
      <c r="Z18" s="12">
        <f ca="1">IFERROR(__xludf.DUMMYFUNCTION("""COMPUTED_VALUE"""),3)</f>
        <v>3</v>
      </c>
      <c r="AA18" s="12">
        <f ca="1">IFERROR(__xludf.DUMMYFUNCTION("""COMPUTED_VALUE"""),1)</f>
        <v>1</v>
      </c>
      <c r="AB18" s="12">
        <f ca="1">IFERROR(__xludf.DUMMYFUNCTION("""COMPUTED_VALUE"""),8)</f>
        <v>8</v>
      </c>
      <c r="AC18" s="12"/>
      <c r="AD18" s="12"/>
      <c r="AE18" s="12"/>
      <c r="AF18" s="12"/>
      <c r="AG18" s="13" t="str">
        <f ca="1">IFERROR(__xludf.DUMMYFUNCTION("ArrayFormula(VLOOKUP(G18, IMPORTRANGE(""https://docs.google.com/spreadsheets/d/1Co934fvtviyaRiMsrIlT05Jaq7iiYq07aLvRr35KA48/edit?gid=173865642#gid=173865642"", ""'G7_Sci_Pri_LU'!G2:V2000""), {3, 4, 5, 6, 7, 8, 9, 10, 11, 12, 13, 14, 15, 16}, 0))"),"LU005391")</f>
        <v>LU005391</v>
      </c>
      <c r="AH18" s="13" t="str">
        <f ca="1">IFERROR(__xludf.DUMMYFUNCTION("""COMPUTED_VALUE"""),"Definition of human digestive system")</f>
        <v>Definition of human digestive system</v>
      </c>
      <c r="AI18" s="13" t="str">
        <f ca="1">IFERROR(__xludf.DUMMYFUNCTION("""COMPUTED_VALUE"""),"LU005389")</f>
        <v>LU005389</v>
      </c>
      <c r="AJ18" s="13" t="str">
        <f ca="1">IFERROR(__xludf.DUMMYFUNCTION("""COMPUTED_VALUE"""),"Ingestion, Digestion, Absorption, Assimilation, and Egestion")</f>
        <v>Ingestion, Digestion, Absorption, Assimilation, and Egestion</v>
      </c>
      <c r="AK18" s="13" t="str">
        <f ca="1">IFERROR(__xludf.DUMMYFUNCTION("""COMPUTED_VALUE"""),"LU005214")</f>
        <v>LU005214</v>
      </c>
      <c r="AL18" s="13" t="str">
        <f ca="1">IFERROR(__xludf.DUMMYFUNCTION("""COMPUTED_VALUE"""),"Definition of nutrients, types, and their sources.")</f>
        <v>Definition of nutrients, types, and their sources.</v>
      </c>
      <c r="AM18" s="13"/>
      <c r="AN18" s="13"/>
      <c r="AO18" s="13"/>
      <c r="AP18" s="13"/>
      <c r="AQ18" s="13"/>
      <c r="AR18" s="13"/>
      <c r="AS18" s="13"/>
      <c r="AT18" s="13"/>
    </row>
    <row r="19" spans="1:46">
      <c r="A19" s="8" t="s">
        <v>247</v>
      </c>
      <c r="B19" s="8" t="s">
        <v>47</v>
      </c>
      <c r="C19" s="8" t="s">
        <v>416</v>
      </c>
      <c r="D19" s="8" t="s">
        <v>1406</v>
      </c>
      <c r="E19" s="8" t="s">
        <v>1823</v>
      </c>
      <c r="F19" s="8" t="s">
        <v>1836</v>
      </c>
      <c r="G19" s="8" t="s">
        <v>1837</v>
      </c>
      <c r="H19" s="8" t="str">
        <f ca="1">IFERROR(__xludf.DUMMYFUNCTION("VLOOKUP(G19, IMPORTRANGE(""https://docs.google.com/spreadsheets/d/14deopnvwcrKtEGCKuYXdUHJbeLDZlkiSSWWT0g7x2pM/edit#gid=849066331"", ""LU List Science (Filter)!A:B""), 2, FALSE)"),"Digestion in Cud-Chewing Herbivore Animals")</f>
        <v>Digestion in Cud-Chewing Herbivore Animals</v>
      </c>
      <c r="I19" s="10" t="str">
        <f t="shared" si="0"/>
        <v>LU005395.001</v>
      </c>
      <c r="J19" s="10" t="str">
        <f ca="1">IFERROR(__xludf.DUMMYFUNCTION("VLOOKUP(I19, IMPORTRANGE(""https://docs.google.com/spreadsheets/d/1yDAaXNsi4Mr5FtRQL4tbmSdIzhx6_m4wkOD7IG-k_eo/edit#gid=1336395716"", ""Science!M:N""), 2, FALSE)"),"Students will list the steps involved in the digestive process of cud-chewing herbivore animals.")</f>
        <v>Students will list the steps involved in the digestive process of cud-chewing herbivore animals.</v>
      </c>
      <c r="K19" s="10" t="str">
        <f t="shared" si="1"/>
        <v>LU005395.002</v>
      </c>
      <c r="L19" s="10" t="str">
        <f ca="1">IFERROR(__xludf.DUMMYFUNCTION("VLOOKUP(K19, IMPORTRANGE(""https://docs.google.com/spreadsheets/d/1yDAaXNsi4Mr5FtRQL4tbmSdIzhx6_m4wkOD7IG-k_eo/edit#gid=1336395716"", ""Science!M:N""), 2, FALSE)"),"Students will explain the concept of rumination and its purpose in the digestion of cud-chewing animals.")</f>
        <v>Students will explain the concept of rumination and its purpose in the digestion of cud-chewing animals.</v>
      </c>
      <c r="M19" s="10" t="str">
        <f t="shared" si="2"/>
        <v>LU005395.003</v>
      </c>
      <c r="N19" s="10" t="str">
        <f ca="1">IFERROR(__xludf.DUMMYFUNCTION("VLOOKUP(M19, IMPORTRANGE(""https://docs.google.com/spreadsheets/d/1yDAaXNsi4Mr5FtRQL4tbmSdIzhx6_m4wkOD7IG-k_eo/edit#gid=1336395716"", ""Science!M:N""), 2, FALSE)"),"Students will demonstrate the rumination process by diagramming the flow of food through the digestive system of a cud-chewing animal.")</f>
        <v>Students will demonstrate the rumination process by diagramming the flow of food through the digestive system of a cud-chewing animal.</v>
      </c>
      <c r="O19" s="10" t="str">
        <f t="shared" si="3"/>
        <v>LU005395.004</v>
      </c>
      <c r="P19" s="10" t="str">
        <f ca="1">IFERROR(__xludf.DUMMYFUNCTION("VLOOKUP(O19, IMPORTRANGE(""https://docs.google.com/spreadsheets/d/1yDAaXNsi4Mr5FtRQL4tbmSdIzhx6_m4wkOD7IG-k_eo/edit#gid=1336395716"", ""Science!M:N""), 2, FALSE)"),"Students will examine the differences between the digestive systems of cud-chewing herbivores and non-cud-chewing animals.")</f>
        <v>Students will examine the differences between the digestive systems of cud-chewing herbivores and non-cud-chewing animals.</v>
      </c>
      <c r="Q19" s="10" t="str">
        <f t="shared" si="4"/>
        <v>LU005395.005</v>
      </c>
      <c r="R19" s="10" t="str">
        <f ca="1">IFERROR(__xludf.DUMMYFUNCTION("VLOOKUP(Q19, IMPORTRANGE(""https://docs.google.com/spreadsheets/d/1yDAaXNsi4Mr5FtRQL4tbmSdIzhx6_m4wkOD7IG-k_eo/edit#gid=1336395716"", ""Science!M:N""), 2, FALSE)"),"Students will assess the efficiency of the digestive process in cud-chewing herbivores in relation to their nutritional needs.")</f>
        <v>Students will assess the efficiency of the digestive process in cud-chewing herbivores in relation to their nutritional needs.</v>
      </c>
      <c r="S19" s="10" t="str">
        <f t="shared" si="5"/>
        <v>LU005395.006</v>
      </c>
      <c r="T19" s="10" t="str">
        <f ca="1">IFERROR(__xludf.DUMMYFUNCTION("VLOOKUP(S19, IMPORTRANGE(""https://docs.google.com/spreadsheets/d/1yDAaXNsi4Mr5FtRQL4tbmSdIzhx6_m4wkOD7IG-k_eo/edit#gid=1336395716"", ""Science!M:N""), 2, FALSE)"),"#N/A")</f>
        <v>#N/A</v>
      </c>
      <c r="U19" s="116">
        <f ca="1">IFERROR(__xludf.DUMMYFUNCTION("ArrayFormula(VLOOKUP(G19, IMPORTRANGE(""https://docs.google.com/spreadsheets/d/1p7R4vtkWt5VOBim4ltsDG9KTzSjrtKXsMtQGXPHyND0/edit#gid=795171502"", ""'Filter 30_05_2024'!A1:M2000""), {2, 3, 4, 5,6,7,8,9,10,11,12,13}, 0))"),4)</f>
        <v>4</v>
      </c>
      <c r="V19" s="116">
        <f ca="1">IFERROR(__xludf.DUMMYFUNCTION("""COMPUTED_VALUE"""),8)</f>
        <v>8</v>
      </c>
      <c r="W19" s="116"/>
      <c r="X19" s="116">
        <f ca="1">IFERROR(__xludf.DUMMYFUNCTION("""COMPUTED_VALUE"""),12)</f>
        <v>12</v>
      </c>
      <c r="Y19" s="116">
        <f ca="1">IFERROR(__xludf.DUMMYFUNCTION("""COMPUTED_VALUE"""),5)</f>
        <v>5</v>
      </c>
      <c r="Z19" s="12">
        <f ca="1">IFERROR(__xludf.DUMMYFUNCTION("""COMPUTED_VALUE"""),4)</f>
        <v>4</v>
      </c>
      <c r="AA19" s="12">
        <f ca="1">IFERROR(__xludf.DUMMYFUNCTION("""COMPUTED_VALUE"""),1)</f>
        <v>1</v>
      </c>
      <c r="AB19" s="12">
        <f ca="1">IFERROR(__xludf.DUMMYFUNCTION("""COMPUTED_VALUE"""),10)</f>
        <v>10</v>
      </c>
      <c r="AC19" s="12"/>
      <c r="AD19" s="12"/>
      <c r="AE19" s="12"/>
      <c r="AF19" s="12"/>
      <c r="AG19" s="13" t="str">
        <f ca="1">IFERROR(__xludf.DUMMYFUNCTION("ArrayFormula(VLOOKUP(G19, IMPORTRANGE(""https://docs.google.com/spreadsheets/d/1Co934fvtviyaRiMsrIlT05Jaq7iiYq07aLvRr35KA48/edit?gid=173865642#gid=173865642"", ""'G7_Sci_Pri_LU'!G2:V2000""), {3, 4, 5, 6, 7, 8, 9, 10, 11, 12, 13, 14, 15, 16}, 0))"),"LU005963")</f>
        <v>LU005963</v>
      </c>
      <c r="AH19" s="13" t="str">
        <f ca="1">IFERROR(__xludf.DUMMYFUNCTION("""COMPUTED_VALUE"""),"Food habits of various animals")</f>
        <v>Food habits of various animals</v>
      </c>
      <c r="AI19" s="13"/>
      <c r="AJ19" s="13"/>
      <c r="AK19" s="13"/>
      <c r="AL19" s="13"/>
      <c r="AM19" s="13"/>
      <c r="AN19" s="13"/>
      <c r="AO19" s="13"/>
      <c r="AP19" s="13"/>
      <c r="AQ19" s="13"/>
      <c r="AR19" s="13"/>
      <c r="AS19" s="13"/>
      <c r="AT19" s="13"/>
    </row>
    <row r="20" spans="1:46">
      <c r="A20" s="8" t="s">
        <v>247</v>
      </c>
      <c r="B20" s="8" t="s">
        <v>47</v>
      </c>
      <c r="C20" s="8" t="s">
        <v>416</v>
      </c>
      <c r="D20" s="8" t="s">
        <v>1406</v>
      </c>
      <c r="E20" s="8" t="s">
        <v>1823</v>
      </c>
      <c r="F20" s="8" t="s">
        <v>1836</v>
      </c>
      <c r="G20" s="8" t="s">
        <v>1838</v>
      </c>
      <c r="H20" s="8" t="str">
        <f ca="1">IFERROR(__xludf.DUMMYFUNCTION("VLOOKUP(G20, IMPORTRANGE(""https://docs.google.com/spreadsheets/d/14deopnvwcrKtEGCKuYXdUHJbeLDZlkiSSWWT0g7x2pM/edit#gid=849066331"", ""LU List Science (Filter)!A:B""), 2, FALSE)"),"Feeding, Digestion and Egestion in Amoeba")</f>
        <v>Feeding, Digestion and Egestion in Amoeba</v>
      </c>
      <c r="I20" s="10" t="str">
        <f t="shared" si="0"/>
        <v>LU005396.001</v>
      </c>
      <c r="J20" s="10" t="str">
        <f ca="1">IFERROR(__xludf.DUMMYFUNCTION("VLOOKUP(I20, IMPORTRANGE(""https://docs.google.com/spreadsheets/d/1yDAaXNsi4Mr5FtRQL4tbmSdIzhx6_m4wkOD7IG-k_eo/edit#gid=1336395716"", ""Science!M:N""), 2, FALSE)"),"Recall the feeding process of amoeba, explaining how it captures and engulfs its food using pseudopodia. Also, remember the roles of digestion and egestion in this single-celled organism.")</f>
        <v>Recall the feeding process of amoeba, explaining how it captures and engulfs its food using pseudopodia. Also, remember the roles of digestion and egestion in this single-celled organism.</v>
      </c>
      <c r="K20" s="10" t="str">
        <f t="shared" si="1"/>
        <v>LU005396.002</v>
      </c>
      <c r="L20" s="10" t="str">
        <f ca="1">IFERROR(__xludf.DUMMYFUNCTION("VLOOKUP(K20, IMPORTRANGE(""https://docs.google.com/spreadsheets/d/1yDAaXNsi4Mr5FtRQL4tbmSdIzhx6_m4wkOD7IG-k_eo/edit#gid=1336395716"", ""Science!M:N""), 2, FALSE)"),"Understand how amoeba obtains its nutrition by surrounding and engulfing food particles, how it digests the engulfed food within food vacuoles, and how it eliminates indigestible waste materials through egestion.")</f>
        <v>Understand how amoeba obtains its nutrition by surrounding and engulfing food particles, how it digests the engulfed food within food vacuoles, and how it eliminates indigestible waste materials through egestion.</v>
      </c>
      <c r="M20" s="10" t="str">
        <f t="shared" si="2"/>
        <v>LU005396.003</v>
      </c>
      <c r="N20" s="10" t="str">
        <f ca="1">IFERROR(__xludf.DUMMYFUNCTION("VLOOKUP(M20, IMPORTRANGE(""https://docs.google.com/spreadsheets/d/1yDAaXNsi4Mr5FtRQL4tbmSdIzhx6_m4wkOD7IG-k_eo/edit#gid=1336395716"", ""Science!M:N""), 2, FALSE)"),"Apply knowledge of amoeba feeding process, digestion, and egestion to describe the sequence of events that occur as it captures, digests, and eliminates food particles from its cell.")</f>
        <v>Apply knowledge of amoeba feeding process, digestion, and egestion to describe the sequence of events that occur as it captures, digests, and eliminates food particles from its cell.</v>
      </c>
      <c r="O20" s="10" t="str">
        <f t="shared" si="3"/>
        <v>LU005396.004</v>
      </c>
      <c r="P20" s="10" t="str">
        <f ca="1">IFERROR(__xludf.DUMMYFUNCTION("VLOOKUP(O20, IMPORTRANGE(""https://docs.google.com/spreadsheets/d/1yDAaXNsi4Mr5FtRQL4tbmSdIzhx6_m4wkOD7IG-k_eo/edit#gid=1336395716"", ""Science!M:N""), 2, FALSE)"),"Analyze the advantages of intracellular digestion in Amoeba compared to extracellular digestion in more complex animals, discussing how each approach suits their respective organisms.")</f>
        <v>Analyze the advantages of intracellular digestion in Amoeba compared to extracellular digestion in more complex animals, discussing how each approach suits their respective organisms.</v>
      </c>
      <c r="Q20" s="10" t="str">
        <f t="shared" si="4"/>
        <v>LU005396.005</v>
      </c>
      <c r="R20" s="10" t="str">
        <f ca="1">IFERROR(__xludf.DUMMYFUNCTION("VLOOKUP(Q20, IMPORTRANGE(""https://docs.google.com/spreadsheets/d/1yDAaXNsi4Mr5FtRQL4tbmSdIzhx6_m4wkOD7IG-k_eo/edit#gid=1336395716"", ""Science!M:N""), 2, FALSE)"),"Evaluate the efficiency of amoeba feeding, digestion, and egestion strategies in obtaining nutrients and eliminating waste, and discuss how these processes enable its survival and energy acquisition in its environment.")</f>
        <v>Evaluate the efficiency of amoeba feeding, digestion, and egestion strategies in obtaining nutrients and eliminating waste, and discuss how these processes enable its survival and energy acquisition in its environment.</v>
      </c>
      <c r="S20" s="10" t="str">
        <f t="shared" si="5"/>
        <v>LU005396.006</v>
      </c>
      <c r="T20" s="10" t="str">
        <f ca="1">IFERROR(__xludf.DUMMYFUNCTION("VLOOKUP(S20, IMPORTRANGE(""https://docs.google.com/spreadsheets/d/1yDAaXNsi4Mr5FtRQL4tbmSdIzhx6_m4wkOD7IG-k_eo/edit#gid=1336395716"", ""Science!M:N""), 2, FALSE)"),"#N/A")</f>
        <v>#N/A</v>
      </c>
      <c r="U20" s="116">
        <f ca="1">IFERROR(__xludf.DUMMYFUNCTION("ArrayFormula(VLOOKUP(G20, IMPORTRANGE(""https://docs.google.com/spreadsheets/d/1p7R4vtkWt5VOBim4ltsDG9KTzSjrtKXsMtQGXPHyND0/edit#gid=795171502"", ""'Filter 30_05_2024'!A1:M2000""), {2, 3, 4, 5,6,7,8,9,10,11,12,13}, 0))"),2)</f>
        <v>2</v>
      </c>
      <c r="V20" s="116">
        <f ca="1">IFERROR(__xludf.DUMMYFUNCTION("""COMPUTED_VALUE"""),6)</f>
        <v>6</v>
      </c>
      <c r="W20" s="116">
        <f ca="1">IFERROR(__xludf.DUMMYFUNCTION("""COMPUTED_VALUE"""),2)</f>
        <v>2</v>
      </c>
      <c r="X20" s="116">
        <f ca="1">IFERROR(__xludf.DUMMYFUNCTION("""COMPUTED_VALUE"""),10)</f>
        <v>10</v>
      </c>
      <c r="Y20" s="116">
        <f ca="1">IFERROR(__xludf.DUMMYFUNCTION("""COMPUTED_VALUE"""),4)</f>
        <v>4</v>
      </c>
      <c r="Z20" s="12">
        <f ca="1">IFERROR(__xludf.DUMMYFUNCTION("""COMPUTED_VALUE"""),3)</f>
        <v>3</v>
      </c>
      <c r="AA20" s="12">
        <f ca="1">IFERROR(__xludf.DUMMYFUNCTION("""COMPUTED_VALUE"""),1)</f>
        <v>1</v>
      </c>
      <c r="AB20" s="12">
        <f ca="1">IFERROR(__xludf.DUMMYFUNCTION("""COMPUTED_VALUE"""),8)</f>
        <v>8</v>
      </c>
      <c r="AC20" s="12"/>
      <c r="AD20" s="12"/>
      <c r="AE20" s="12"/>
      <c r="AF20" s="12"/>
      <c r="AG20" s="13" t="str">
        <f ca="1">IFERROR(__xludf.DUMMYFUNCTION("ArrayFormula(VLOOKUP(G20, IMPORTRANGE(""https://docs.google.com/spreadsheets/d/1Co934fvtviyaRiMsrIlT05Jaq7iiYq07aLvRr35KA48/edit?gid=173865642#gid=173865642"", ""'G7_Sci_Pri_LU'!G2:V2000""), {3, 4, 5, 6, 7, 8, 9, 10, 11, 12, 13, 14, 15, 16}, 0))"),"LU005845")</f>
        <v>LU005845</v>
      </c>
      <c r="AH20" s="13" t="str">
        <f ca="1">IFERROR(__xludf.DUMMYFUNCTION("""COMPUTED_VALUE"""),"Parts of a cell (cell wall, cell membrane, nucleus, cytoplasm)")</f>
        <v>Parts of a cell (cell wall, cell membrane, nucleus, cytoplasm)</v>
      </c>
      <c r="AI20" s="13" t="str">
        <f ca="1">IFERROR(__xludf.DUMMYFUNCTION("""COMPUTED_VALUE"""),"LU006084")</f>
        <v>LU006084</v>
      </c>
      <c r="AJ20" s="13" t="str">
        <f ca="1">IFERROR(__xludf.DUMMYFUNCTION("""COMPUTED_VALUE"""),"Living things need food, energy through respiration and excrete waste")</f>
        <v>Living things need food, energy through respiration and excrete waste</v>
      </c>
      <c r="AK20" s="13"/>
      <c r="AL20" s="13"/>
      <c r="AM20" s="13"/>
      <c r="AN20" s="13"/>
      <c r="AO20" s="13"/>
      <c r="AP20" s="13"/>
      <c r="AQ20" s="13"/>
      <c r="AR20" s="13"/>
      <c r="AS20" s="13"/>
      <c r="AT20" s="13"/>
    </row>
    <row r="21" spans="1:46">
      <c r="A21" s="8" t="s">
        <v>247</v>
      </c>
      <c r="B21" s="8" t="s">
        <v>47</v>
      </c>
      <c r="C21" s="8" t="s">
        <v>416</v>
      </c>
      <c r="D21" s="8" t="s">
        <v>1510</v>
      </c>
      <c r="E21" s="8" t="s">
        <v>1839</v>
      </c>
      <c r="F21" s="118" t="s">
        <v>1840</v>
      </c>
      <c r="G21" s="118" t="s">
        <v>1564</v>
      </c>
      <c r="H21" s="118" t="str">
        <f ca="1">IFERROR(__xludf.DUMMYFUNCTION("VLOOKUP(G21, IMPORTRANGE(""https://docs.google.com/spreadsheets/d/14deopnvwcrKtEGCKuYXdUHJbeLDZlkiSSWWT0g7x2pM/edit#gid=849066331"", ""LU List Science (Filter)!A:B""), 2, FALSE)"),"Sense of touch as temperature sensor")</f>
        <v>Sense of touch as temperature sensor</v>
      </c>
      <c r="I21" s="10" t="str">
        <f t="shared" si="0"/>
        <v>LU005361.001</v>
      </c>
      <c r="J21" s="10" t="str">
        <f ca="1">IFERROR(__xludf.DUMMYFUNCTION("VLOOKUP(I21, IMPORTRANGE(""https://docs.google.com/spreadsheets/d/1yDAaXNsi4Mr5FtRQL4tbmSdIzhx6_m4wkOD7IG-k_eo/edit#gid=1336395716"", ""Science!M:N""), 2, FALSE)"),"Recall basic safety practices related to temperature, such as not touching extremely hot or cold objects to prevent skin damage.")</f>
        <v>Recall basic safety practices related to temperature, such as not touching extremely hot or cold objects to prevent skin damage.</v>
      </c>
      <c r="K21" s="10" t="str">
        <f t="shared" si="1"/>
        <v>LU005361.002</v>
      </c>
      <c r="L21" s="10" t="str">
        <f ca="1">IFERROR(__xludf.DUMMYFUNCTION("VLOOKUP(K21, IMPORTRANGE(""https://docs.google.com/spreadsheets/d/1yDAaXNsi4Mr5FtRQL4tbmSdIzhx6_m4wkOD7IG-k_eo/edit#gid=1336395716"", ""Science!M:N""), 2, FALSE)"),"Categorise the objects in the surroundings as hot and cold.")</f>
        <v>Categorise the objects in the surroundings as hot and cold.</v>
      </c>
      <c r="M21" s="10" t="str">
        <f t="shared" si="2"/>
        <v>LU005361.003</v>
      </c>
      <c r="N21" s="10" t="str">
        <f ca="1">IFERROR(__xludf.DUMMYFUNCTION("VLOOKUP(M21, IMPORTRANGE(""https://docs.google.com/spreadsheets/d/1yDAaXNsi4Mr5FtRQL4tbmSdIzhx6_m4wkOD7IG-k_eo/edit#gid=1336395716"", ""Science!M:N""), 2, FALSE)"),"Demonstrate that touch is not an accurate measure to find the degree of hotness or coldness.")</f>
        <v>Demonstrate that touch is not an accurate measure to find the degree of hotness or coldness.</v>
      </c>
      <c r="O21" s="10" t="str">
        <f t="shared" si="3"/>
        <v>LU005361.004</v>
      </c>
      <c r="P21" s="10" t="str">
        <f ca="1">IFERROR(__xludf.DUMMYFUNCTION("VLOOKUP(O21, IMPORTRANGE(""https://docs.google.com/spreadsheets/d/1yDAaXNsi4Mr5FtRQL4tbmSdIzhx6_m4wkOD7IG-k_eo/edit#gid=1336395716"", ""Science!M:N""), 2, FALSE)"),"#N/A")</f>
        <v>#N/A</v>
      </c>
      <c r="Q21" s="10" t="str">
        <f t="shared" si="4"/>
        <v>LU005361.005</v>
      </c>
      <c r="R21" s="10" t="str">
        <f ca="1">IFERROR(__xludf.DUMMYFUNCTION("VLOOKUP(Q21, IMPORTRANGE(""https://docs.google.com/spreadsheets/d/1yDAaXNsi4Mr5FtRQL4tbmSdIzhx6_m4wkOD7IG-k_eo/edit#gid=1336395716"", ""Science!M:N""), 2, FALSE)"),"Evaluate the limitations of solely relying on our sense of touch to determine the temperature of objects . ")</f>
        <v xml:space="preserve">Evaluate the limitations of solely relying on our sense of touch to determine the temperature of objects . </v>
      </c>
      <c r="S21" s="10" t="str">
        <f t="shared" si="5"/>
        <v>LU005361.006</v>
      </c>
      <c r="T21" s="10" t="str">
        <f ca="1">IFERROR(__xludf.DUMMYFUNCTION("VLOOKUP(S21, IMPORTRANGE(""https://docs.google.com/spreadsheets/d/1yDAaXNsi4Mr5FtRQL4tbmSdIzhx6_m4wkOD7IG-k_eo/edit#gid=1336395716"", ""Science!M:N""), 2, FALSE)"),"Design a simple experiment to test the accuracy of human touch in gauging temperatures of different substances.")</f>
        <v>Design a simple experiment to test the accuracy of human touch in gauging temperatures of different substances.</v>
      </c>
      <c r="U21" s="116">
        <f ca="1">IFERROR(__xludf.DUMMYFUNCTION("ArrayFormula(VLOOKUP(G21, IMPORTRANGE(""https://docs.google.com/spreadsheets/d/1p7R4vtkWt5VOBim4ltsDG9KTzSjrtKXsMtQGXPHyND0/edit#gid=795171502"", ""'Filter 30_05_2024'!A1:M2000""), {2, 3, 4, 5,6,7,8,9,10,11,12,13}, 0))"),18)</f>
        <v>18</v>
      </c>
      <c r="V21" s="116">
        <f ca="1">IFERROR(__xludf.DUMMYFUNCTION("""COMPUTED_VALUE"""),10)</f>
        <v>10</v>
      </c>
      <c r="W21" s="116">
        <f ca="1">IFERROR(__xludf.DUMMYFUNCTION("""COMPUTED_VALUE"""),4)</f>
        <v>4</v>
      </c>
      <c r="X21" s="116">
        <f ca="1">IFERROR(__xludf.DUMMYFUNCTION("""COMPUTED_VALUE"""),32)</f>
        <v>32</v>
      </c>
      <c r="Y21" s="116">
        <f ca="1">IFERROR(__xludf.DUMMYFUNCTION("""COMPUTED_VALUE"""),5)</f>
        <v>5</v>
      </c>
      <c r="Z21" s="12">
        <f ca="1">IFERROR(__xludf.DUMMYFUNCTION("""COMPUTED_VALUE"""),3)</f>
        <v>3</v>
      </c>
      <c r="AA21" s="12">
        <f ca="1">IFERROR(__xludf.DUMMYFUNCTION("""COMPUTED_VALUE"""),1)</f>
        <v>1</v>
      </c>
      <c r="AB21" s="12">
        <f ca="1">IFERROR(__xludf.DUMMYFUNCTION("""COMPUTED_VALUE"""),9)</f>
        <v>9</v>
      </c>
      <c r="AC21" s="12"/>
      <c r="AD21" s="12"/>
      <c r="AE21" s="12">
        <f ca="1">IFERROR(__xludf.DUMMYFUNCTION("""COMPUTED_VALUE"""),1)</f>
        <v>1</v>
      </c>
      <c r="AF21" s="12">
        <f ca="1">IFERROR(__xludf.DUMMYFUNCTION("""COMPUTED_VALUE"""),1)</f>
        <v>1</v>
      </c>
      <c r="AG21" s="13" t="str">
        <f ca="1">IFERROR(__xludf.DUMMYFUNCTION("ArrayFormula(VLOOKUP(G21, IMPORTRANGE(""https://docs.google.com/spreadsheets/d/1Co934fvtviyaRiMsrIlT05Jaq7iiYq07aLvRr35KA48/edit?gid=173865642#gid=173865642"", ""'G7_Sci_Pri_LU'!G2:V2000""), {3, 4, 5, 6, 7, 8, 9, 10, 11, 12, 13, 14, 15, 16}, 0))"),"LU005109")</f>
        <v>LU005109</v>
      </c>
      <c r="AH21" s="13" t="str">
        <f ca="1">IFERROR(__xludf.DUMMYFUNCTION("""COMPUTED_VALUE"""),"Human senses")</f>
        <v>Human senses</v>
      </c>
      <c r="AI21" s="13"/>
      <c r="AJ21" s="13"/>
      <c r="AK21" s="13"/>
      <c r="AL21" s="13"/>
      <c r="AM21" s="13"/>
      <c r="AN21" s="13"/>
      <c r="AO21" s="13"/>
      <c r="AP21" s="13"/>
      <c r="AQ21" s="13"/>
      <c r="AR21" s="13"/>
      <c r="AS21" s="13"/>
      <c r="AT21" s="13"/>
    </row>
    <row r="22" spans="1:46">
      <c r="A22" s="8" t="s">
        <v>247</v>
      </c>
      <c r="B22" s="8" t="s">
        <v>47</v>
      </c>
      <c r="C22" s="8" t="s">
        <v>416</v>
      </c>
      <c r="D22" s="8" t="s">
        <v>1510</v>
      </c>
      <c r="E22" s="8" t="s">
        <v>1839</v>
      </c>
      <c r="F22" s="118" t="s">
        <v>1840</v>
      </c>
      <c r="G22" s="118" t="s">
        <v>1841</v>
      </c>
      <c r="H22" s="118" t="str">
        <f ca="1">IFERROR(__xludf.DUMMYFUNCTION("VLOOKUP(G22, IMPORTRANGE(""https://docs.google.com/spreadsheets/d/14deopnvwcrKtEGCKuYXdUHJbeLDZlkiSSWWT0g7x2pM/edit#gid=849066331"", ""LU List Science (Filter)!A:B""), 2, FALSE)"),"Definition and units of temperature")</f>
        <v>Definition and units of temperature</v>
      </c>
      <c r="I22" s="10" t="str">
        <f t="shared" si="0"/>
        <v>LU005354.001</v>
      </c>
      <c r="J22" s="10" t="str">
        <f ca="1">IFERROR(__xludf.DUMMYFUNCTION("VLOOKUP(I22, IMPORTRANGE(""https://docs.google.com/spreadsheets/d/1yDAaXNsi4Mr5FtRQL4tbmSdIzhx6_m4wkOD7IG-k_eo/edit#gid=1336395716"", ""Science!M:N""), 2, FALSE)"),"Define temperature along with its units. ")</f>
        <v xml:space="preserve">Define temperature along with its units. </v>
      </c>
      <c r="K22" s="10" t="str">
        <f t="shared" si="1"/>
        <v>LU005354.002</v>
      </c>
      <c r="L22" s="10" t="str">
        <f ca="1">IFERROR(__xludf.DUMMYFUNCTION("VLOOKUP(K22, IMPORTRANGE(""https://docs.google.com/spreadsheets/d/1yDAaXNsi4Mr5FtRQL4tbmSdIzhx6_m4wkOD7IG-k_eo/edit#gid=1336395716"", ""Science!M:N""), 2, FALSE)"),"Describe the fundamental difference between Celsius and Fahrenheit scale.")</f>
        <v>Describe the fundamental difference between Celsius and Fahrenheit scale.</v>
      </c>
      <c r="M22" s="10" t="str">
        <f t="shared" si="2"/>
        <v>LU005354.003</v>
      </c>
      <c r="N22" s="10" t="str">
        <f ca="1">IFERROR(__xludf.DUMMYFUNCTION("VLOOKUP(M22, IMPORTRANGE(""https://docs.google.com/spreadsheets/d/1yDAaXNsi4Mr5FtRQL4tbmSdIzhx6_m4wkOD7IG-k_eo/edit#gid=1336395716"", ""Science!M:N""), 2, FALSE)"),"Convert temperatures between the Celsius and Fahrenheit scales")</f>
        <v>Convert temperatures between the Celsius and Fahrenheit scales</v>
      </c>
      <c r="O22" s="10" t="str">
        <f t="shared" si="3"/>
        <v>LU005354.004</v>
      </c>
      <c r="P22" s="10" t="str">
        <f ca="1">IFERROR(__xludf.DUMMYFUNCTION("VLOOKUP(O22, IMPORTRANGE(""https://docs.google.com/spreadsheets/d/1yDAaXNsi4Mr5FtRQL4tbmSdIzhx6_m4wkOD7IG-k_eo/edit#gid=1336395716"", ""Science!M:N""), 2, FALSE)"),"Compare the relationships and distinctions between the different temperature units.")</f>
        <v>Compare the relationships and distinctions between the different temperature units.</v>
      </c>
      <c r="Q22" s="10" t="str">
        <f t="shared" si="4"/>
        <v>LU005354.005</v>
      </c>
      <c r="R22" s="10" t="str">
        <f ca="1">IFERROR(__xludf.DUMMYFUNCTION("VLOOKUP(Q22, IMPORTRANGE(""https://docs.google.com/spreadsheets/d/1yDAaXNsi4Mr5FtRQL4tbmSdIzhx6_m4wkOD7IG-k_eo/edit#gid=1336395716"", ""Science!M:N""), 2, FALSE)"),"Critique the use of different temperature scales in various real-world scenarios.")</f>
        <v>Critique the use of different temperature scales in various real-world scenarios.</v>
      </c>
      <c r="S22" s="10" t="str">
        <f t="shared" si="5"/>
        <v>LU005354.006</v>
      </c>
      <c r="T22" s="10" t="str">
        <f ca="1">IFERROR(__xludf.DUMMYFUNCTION("VLOOKUP(S22, IMPORTRANGE(""https://docs.google.com/spreadsheets/d/1yDAaXNsi4Mr5FtRQL4tbmSdIzhx6_m4wkOD7IG-k_eo/edit#gid=1336395716"", ""Science!M:N""), 2, FALSE)"),"#N/A")</f>
        <v>#N/A</v>
      </c>
      <c r="U22" s="116">
        <f ca="1">IFERROR(__xludf.DUMMYFUNCTION("ArrayFormula(VLOOKUP(G22, IMPORTRANGE(""https://docs.google.com/spreadsheets/d/1p7R4vtkWt5VOBim4ltsDG9KTzSjrtKXsMtQGXPHyND0/edit#gid=795171502"", ""'Filter 30_05_2024'!A1:M2000""), {2, 3, 4, 5,6,7,8,9,10,11,12,13}, 0))"),3)</f>
        <v>3</v>
      </c>
      <c r="V22" s="116">
        <f ca="1">IFERROR(__xludf.DUMMYFUNCTION("""COMPUTED_VALUE"""),6)</f>
        <v>6</v>
      </c>
      <c r="W22" s="116">
        <f ca="1">IFERROR(__xludf.DUMMYFUNCTION("""COMPUTED_VALUE"""),2)</f>
        <v>2</v>
      </c>
      <c r="X22" s="116">
        <f ca="1">IFERROR(__xludf.DUMMYFUNCTION("""COMPUTED_VALUE"""),11)</f>
        <v>11</v>
      </c>
      <c r="Y22" s="116">
        <f ca="1">IFERROR(__xludf.DUMMYFUNCTION("""COMPUTED_VALUE"""),3)</f>
        <v>3</v>
      </c>
      <c r="Z22" s="12">
        <f ca="1">IFERROR(__xludf.DUMMYFUNCTION("""COMPUTED_VALUE"""),3)</f>
        <v>3</v>
      </c>
      <c r="AA22" s="12">
        <f ca="1">IFERROR(__xludf.DUMMYFUNCTION("""COMPUTED_VALUE"""),1)</f>
        <v>1</v>
      </c>
      <c r="AB22" s="12">
        <f ca="1">IFERROR(__xludf.DUMMYFUNCTION("""COMPUTED_VALUE"""),7)</f>
        <v>7</v>
      </c>
      <c r="AC22" s="12"/>
      <c r="AD22" s="12"/>
      <c r="AE22" s="12"/>
      <c r="AF22" s="12"/>
      <c r="AG22" s="13" t="str">
        <f ca="1">IFERROR(__xludf.DUMMYFUNCTION("ArrayFormula(VLOOKUP(G22, IMPORTRANGE(""https://docs.google.com/spreadsheets/d/1Co934fvtviyaRiMsrIlT05Jaq7iiYq07aLvRr35KA48/edit?gid=173865642#gid=173865642"", ""'G7_Sci_Pri_LU'!G2:V2000""), {3, 4, 5, 6, 7, 8, 9, 10, 11, 12, 13, 14, 15, 16}, 0))"),"LU005361")</f>
        <v>LU005361</v>
      </c>
      <c r="AH22" s="13" t="str">
        <f ca="1">IFERROR(__xludf.DUMMYFUNCTION("""COMPUTED_VALUE"""),"Sense of touch as temperature sensor")</f>
        <v>Sense of touch as temperature sensor</v>
      </c>
      <c r="AI22" s="13"/>
      <c r="AJ22" s="13"/>
      <c r="AK22" s="13"/>
      <c r="AL22" s="13"/>
      <c r="AM22" s="13"/>
      <c r="AN22" s="13"/>
      <c r="AO22" s="13"/>
      <c r="AP22" s="13"/>
      <c r="AQ22" s="13"/>
      <c r="AR22" s="13"/>
      <c r="AS22" s="13"/>
      <c r="AT22" s="13"/>
    </row>
    <row r="23" spans="1:46">
      <c r="A23" s="8" t="s">
        <v>247</v>
      </c>
      <c r="B23" s="8" t="s">
        <v>47</v>
      </c>
      <c r="C23" s="8" t="s">
        <v>416</v>
      </c>
      <c r="D23" s="8" t="s">
        <v>1510</v>
      </c>
      <c r="E23" s="8" t="s">
        <v>1839</v>
      </c>
      <c r="F23" s="118" t="s">
        <v>1842</v>
      </c>
      <c r="G23" s="118" t="s">
        <v>1569</v>
      </c>
      <c r="H23" s="118" t="str">
        <f ca="1">IFERROR(__xludf.DUMMYFUNCTION("VLOOKUP(G23, IMPORTRANGE(""https://docs.google.com/spreadsheets/d/14deopnvwcrKtEGCKuYXdUHJbeLDZlkiSSWWT0g7x2pM/edit#gid=849066331"", ""LU List Science (Filter)!A:B""), 2, FALSE)"),"Definition of Thermometers")</f>
        <v>Definition of Thermometers</v>
      </c>
      <c r="I23" s="10" t="str">
        <f t="shared" si="0"/>
        <v>LU005918.001</v>
      </c>
      <c r="J23" s="10" t="str">
        <f ca="1">IFERROR(__xludf.DUMMYFUNCTION("VLOOKUP(I23, IMPORTRANGE(""https://docs.google.com/spreadsheets/d/1yDAaXNsi4Mr5FtRQL4tbmSdIzhx6_m4wkOD7IG-k_eo/edit#gid=1336395716"", ""Science!M:N""), 2, FALSE)"),"List the essential features and purposes of a thermometer.")</f>
        <v>List the essential features and purposes of a thermometer.</v>
      </c>
      <c r="K23" s="10" t="str">
        <f t="shared" si="1"/>
        <v>LU005918.002</v>
      </c>
      <c r="L23" s="10" t="str">
        <f ca="1">IFERROR(__xludf.DUMMYFUNCTION("VLOOKUP(K23, IMPORTRANGE(""https://docs.google.com/spreadsheets/d/1yDAaXNsi4Mr5FtRQL4tbmSdIzhx6_m4wkOD7IG-k_eo/edit#gid=1336395716"", ""Science!M:N""), 2, FALSE)"),"Describe in detail how a thermometer works and its role in measuring temperature.")</f>
        <v>Describe in detail how a thermometer works and its role in measuring temperature.</v>
      </c>
      <c r="M23" s="10" t="str">
        <f t="shared" si="2"/>
        <v>LU005918.003</v>
      </c>
      <c r="N23" s="10" t="str">
        <f ca="1">IFERROR(__xludf.DUMMYFUNCTION("VLOOKUP(M23, IMPORTRANGE(""https://docs.google.com/spreadsheets/d/1yDAaXNsi4Mr5FtRQL4tbmSdIzhx6_m4wkOD7IG-k_eo/edit#gid=1336395716"", ""Science!M:N""), 2, FALSE)"),"Identify real-life situations where thermometers are used and explain the importance of accurate temperature measurement in these contexts.")</f>
        <v>Identify real-life situations where thermometers are used and explain the importance of accurate temperature measurement in these contexts.</v>
      </c>
      <c r="O23" s="10" t="str">
        <f t="shared" si="3"/>
        <v>LU005918.004</v>
      </c>
      <c r="P23" s="10" t="str">
        <f ca="1">IFERROR(__xludf.DUMMYFUNCTION("VLOOKUP(O23, IMPORTRANGE(""https://docs.google.com/spreadsheets/d/1yDAaXNsi4Mr5FtRQL4tbmSdIzhx6_m4wkOD7IG-k_eo/edit#gid=1336395716"", ""Science!M:N""), 2, FALSE)"),"Compare and contrast the concept of a thermometer with other temperature measuring devices, focusing on their functionalities and limitations.")</f>
        <v>Compare and contrast the concept of a thermometer with other temperature measuring devices, focusing on their functionalities and limitations.</v>
      </c>
      <c r="Q23" s="10" t="str">
        <f t="shared" si="4"/>
        <v>LU005918.005</v>
      </c>
      <c r="R23" s="10" t="str">
        <f ca="1">IFERROR(__xludf.DUMMYFUNCTION("VLOOKUP(Q23, IMPORTRANGE(""https://docs.google.com/spreadsheets/d/1yDAaXNsi4Mr5FtRQL4tbmSdIzhx6_m4wkOD7IG-k_eo/edit#gid=1336395716"", ""Science!M:N""), 2, FALSE)"),"Justify the use of thermometers in various scientific and everyday scenarios, providing reasons for their suitability and effectiveness.")</f>
        <v>Justify the use of thermometers in various scientific and everyday scenarios, providing reasons for their suitability and effectiveness.</v>
      </c>
      <c r="S23" s="10" t="str">
        <f t="shared" si="5"/>
        <v>LU005918.006</v>
      </c>
      <c r="T23" s="10" t="str">
        <f ca="1">IFERROR(__xludf.DUMMYFUNCTION("VLOOKUP(S23, IMPORTRANGE(""https://docs.google.com/spreadsheets/d/1yDAaXNsi4Mr5FtRQL4tbmSdIzhx6_m4wkOD7IG-k_eo/edit#gid=1336395716"", ""Science!M:N""), 2, FALSE)"),"#N/A")</f>
        <v>#N/A</v>
      </c>
      <c r="U23" s="116">
        <f ca="1">IFERROR(__xludf.DUMMYFUNCTION("ArrayFormula(VLOOKUP(G23, IMPORTRANGE(""https://docs.google.com/spreadsheets/d/1p7R4vtkWt5VOBim4ltsDG9KTzSjrtKXsMtQGXPHyND0/edit#gid=795171502"", ""'Filter 30_05_2024'!A1:M2000""), {2, 3, 4, 5,6,7,8,9,10,11,12,13}, 0))"),5)</f>
        <v>5</v>
      </c>
      <c r="V23" s="116">
        <f ca="1">IFERROR(__xludf.DUMMYFUNCTION("""COMPUTED_VALUE"""),6)</f>
        <v>6</v>
      </c>
      <c r="W23" s="116">
        <f ca="1">IFERROR(__xludf.DUMMYFUNCTION("""COMPUTED_VALUE"""),3)</f>
        <v>3</v>
      </c>
      <c r="X23" s="116">
        <f ca="1">IFERROR(__xludf.DUMMYFUNCTION("""COMPUTED_VALUE"""),14)</f>
        <v>14</v>
      </c>
      <c r="Y23" s="116">
        <f ca="1">IFERROR(__xludf.DUMMYFUNCTION("""COMPUTED_VALUE"""),4)</f>
        <v>4</v>
      </c>
      <c r="Z23" s="12">
        <f ca="1">IFERROR(__xludf.DUMMYFUNCTION("""COMPUTED_VALUE"""),3)</f>
        <v>3</v>
      </c>
      <c r="AA23" s="12">
        <f ca="1">IFERROR(__xludf.DUMMYFUNCTION("""COMPUTED_VALUE"""),1)</f>
        <v>1</v>
      </c>
      <c r="AB23" s="12">
        <f ca="1">IFERROR(__xludf.DUMMYFUNCTION("""COMPUTED_VALUE"""),8)</f>
        <v>8</v>
      </c>
      <c r="AC23" s="12"/>
      <c r="AD23" s="12"/>
      <c r="AE23" s="12"/>
      <c r="AF23" s="12"/>
      <c r="AG23" s="13" t="str">
        <f ca="1">IFERROR(__xludf.DUMMYFUNCTION("ArrayFormula(VLOOKUP(G23, IMPORTRANGE(""https://docs.google.com/spreadsheets/d/1Co934fvtviyaRiMsrIlT05Jaq7iiYq07aLvRr35KA48/edit?gid=173865642#gid=173865642"", ""'G7_Sci_Pri_LU'!G2:V2000""), {3, 4, 5, 6, 7, 8, 9, 10, 11, 12, 13, 14, 15, 16}, 0))"),"LU005354")</f>
        <v>LU005354</v>
      </c>
      <c r="AH23" s="13" t="str">
        <f ca="1">IFERROR(__xludf.DUMMYFUNCTION("""COMPUTED_VALUE"""),"Definition and units of temperature")</f>
        <v>Definition and units of temperature</v>
      </c>
      <c r="AI23" s="13"/>
      <c r="AJ23" s="13"/>
      <c r="AK23" s="13"/>
      <c r="AL23" s="13"/>
      <c r="AM23" s="13"/>
      <c r="AN23" s="13"/>
      <c r="AO23" s="13"/>
      <c r="AP23" s="13"/>
      <c r="AQ23" s="13"/>
      <c r="AR23" s="13"/>
      <c r="AS23" s="13"/>
      <c r="AT23" s="13"/>
    </row>
    <row r="24" spans="1:46">
      <c r="A24" s="8" t="s">
        <v>247</v>
      </c>
      <c r="B24" s="8" t="s">
        <v>47</v>
      </c>
      <c r="C24" s="8" t="s">
        <v>416</v>
      </c>
      <c r="D24" s="8" t="s">
        <v>1510</v>
      </c>
      <c r="E24" s="8" t="s">
        <v>1839</v>
      </c>
      <c r="F24" s="118" t="s">
        <v>1842</v>
      </c>
      <c r="G24" s="118" t="s">
        <v>1571</v>
      </c>
      <c r="H24" s="118" t="str">
        <f ca="1">IFERROR(__xludf.DUMMYFUNCTION("VLOOKUP(G24, IMPORTRANGE(""https://docs.google.com/spreadsheets/d/14deopnvwcrKtEGCKuYXdUHJbeLDZlkiSSWWT0g7x2pM/edit#gid=849066331"", ""LU List Science (Filter)!A:B""), 2, FALSE)"),"Types of Thermometers")</f>
        <v>Types of Thermometers</v>
      </c>
      <c r="I24" s="10" t="str">
        <f t="shared" si="0"/>
        <v>LU005919.001</v>
      </c>
      <c r="J24" s="10" t="str">
        <f ca="1">IFERROR(__xludf.DUMMYFUNCTION("VLOOKUP(I24, IMPORTRANGE(""https://docs.google.com/spreadsheets/d/1yDAaXNsi4Mr5FtRQL4tbmSdIzhx6_m4wkOD7IG-k_eo/edit#gid=1336395716"", ""Science!M:N""), 2, FALSE)"),"List the various types of thermometers, such as digital, mercury, and infrared.")</f>
        <v>List the various types of thermometers, such as digital, mercury, and infrared.</v>
      </c>
      <c r="K24" s="10" t="str">
        <f t="shared" si="1"/>
        <v>LU005919.002</v>
      </c>
      <c r="L24" s="10" t="str">
        <f ca="1">IFERROR(__xludf.DUMMYFUNCTION("VLOOKUP(K24, IMPORTRANGE(""https://docs.google.com/spreadsheets/d/1yDAaXNsi4Mr5FtRQL4tbmSdIzhx6_m4wkOD7IG-k_eo/edit#gid=1336395716"", ""Science!M:N""), 2, FALSE)"),"Describe the characteristics and working principles of different types of thermometers.")</f>
        <v>Describe the characteristics and working principles of different types of thermometers.</v>
      </c>
      <c r="M24" s="10" t="str">
        <f t="shared" si="2"/>
        <v>LU005919.003</v>
      </c>
      <c r="N24" s="10" t="str">
        <f ca="1">IFERROR(__xludf.DUMMYFUNCTION("VLOOKUP(M24, IMPORTRANGE(""https://docs.google.com/spreadsheets/d/1yDAaXNsi4Mr5FtRQL4tbmSdIzhx6_m4wkOD7IG-k_eo/edit#gid=1336395716"", ""Science!M:N""), 2, FALSE)"),"Identify and classify real-life examples where different types of thermometers are used, explaining the rationale behind their selection.")</f>
        <v>Identify and classify real-life examples where different types of thermometers are used, explaining the rationale behind their selection.</v>
      </c>
      <c r="O24" s="10" t="str">
        <f t="shared" si="3"/>
        <v>LU005919.004</v>
      </c>
      <c r="P24" s="10" t="str">
        <f ca="1">IFERROR(__xludf.DUMMYFUNCTION("VLOOKUP(O24, IMPORTRANGE(""https://docs.google.com/spreadsheets/d/1yDAaXNsi4Mr5FtRQL4tbmSdIzhx6_m4wkOD7IG-k_eo/edit#gid=1336395716"", ""Science!M:N""), 2, FALSE)"),"Compare and contrast different types of thermometers based on their properties, accuracy, and areas of application.")</f>
        <v>Compare and contrast different types of thermometers based on their properties, accuracy, and areas of application.</v>
      </c>
      <c r="Q24" s="10" t="str">
        <f t="shared" si="4"/>
        <v>LU005919.005</v>
      </c>
      <c r="R24" s="10" t="str">
        <f ca="1">IFERROR(__xludf.DUMMYFUNCTION("VLOOKUP(Q24, IMPORTRANGE(""https://docs.google.com/spreadsheets/d/1yDAaXNsi4Mr5FtRQL4tbmSdIzhx6_m4wkOD7IG-k_eo/edit#gid=1336395716"", ""Science!M:N""), 2, FALSE)"),"Justify the choice of a particular type of thermometer for a specific task, based on its advantages and limitations.")</f>
        <v>Justify the choice of a particular type of thermometer for a specific task, based on its advantages and limitations.</v>
      </c>
      <c r="S24" s="10" t="str">
        <f t="shared" si="5"/>
        <v>LU005919.006</v>
      </c>
      <c r="T24" s="10" t="str">
        <f ca="1">IFERROR(__xludf.DUMMYFUNCTION("VLOOKUP(S24, IMPORTRANGE(""https://docs.google.com/spreadsheets/d/1yDAaXNsi4Mr5FtRQL4tbmSdIzhx6_m4wkOD7IG-k_eo/edit#gid=1336395716"", ""Science!M:N""), 2, FALSE)"),"#N/A")</f>
        <v>#N/A</v>
      </c>
      <c r="U24" s="116">
        <f ca="1">IFERROR(__xludf.DUMMYFUNCTION("ArrayFormula(VLOOKUP(G24, IMPORTRANGE(""https://docs.google.com/spreadsheets/d/1p7R4vtkWt5VOBim4ltsDG9KTzSjrtKXsMtQGXPHyND0/edit#gid=795171502"", ""'Filter 30_05_2024'!A1:M2000""), {2, 3, 4, 5,6,7,8,9,10,11,12,13}, 0))"),5)</f>
        <v>5</v>
      </c>
      <c r="V24" s="116">
        <f ca="1">IFERROR(__xludf.DUMMYFUNCTION("""COMPUTED_VALUE"""),2)</f>
        <v>2</v>
      </c>
      <c r="W24" s="116">
        <f ca="1">IFERROR(__xludf.DUMMYFUNCTION("""COMPUTED_VALUE"""),2)</f>
        <v>2</v>
      </c>
      <c r="X24" s="116">
        <f ca="1">IFERROR(__xludf.DUMMYFUNCTION("""COMPUTED_VALUE"""),9)</f>
        <v>9</v>
      </c>
      <c r="Y24" s="116">
        <f ca="1">IFERROR(__xludf.DUMMYFUNCTION("""COMPUTED_VALUE"""),5)</f>
        <v>5</v>
      </c>
      <c r="Z24" s="12">
        <f ca="1">IFERROR(__xludf.DUMMYFUNCTION("""COMPUTED_VALUE"""),3)</f>
        <v>3</v>
      </c>
      <c r="AA24" s="12">
        <f ca="1">IFERROR(__xludf.DUMMYFUNCTION("""COMPUTED_VALUE"""),1)</f>
        <v>1</v>
      </c>
      <c r="AB24" s="12">
        <f ca="1">IFERROR(__xludf.DUMMYFUNCTION("""COMPUTED_VALUE"""),9)</f>
        <v>9</v>
      </c>
      <c r="AC24" s="12"/>
      <c r="AD24" s="12"/>
      <c r="AE24" s="12"/>
      <c r="AF24" s="12"/>
      <c r="AG24" s="13" t="str">
        <f ca="1">IFERROR(__xludf.DUMMYFUNCTION("ArrayFormula(VLOOKUP(G24, IMPORTRANGE(""https://docs.google.com/spreadsheets/d/1Co934fvtviyaRiMsrIlT05Jaq7iiYq07aLvRr35KA48/edit?gid=173865642#gid=173865642"", ""'G7_Sci_Pri_LU'!G2:V2000""), {3, 4, 5, 6, 7, 8, 9, 10, 11, 12, 13, 14, 15, 16}, 0))"),"LU005918")</f>
        <v>LU005918</v>
      </c>
      <c r="AH24" s="13" t="str">
        <f ca="1">IFERROR(__xludf.DUMMYFUNCTION("""COMPUTED_VALUE"""),"Definition of Thermometers")</f>
        <v>Definition of Thermometers</v>
      </c>
      <c r="AI24" s="13" t="str">
        <f ca="1">IFERROR(__xludf.DUMMYFUNCTION("""COMPUTED_VALUE"""),"LU005354")</f>
        <v>LU005354</v>
      </c>
      <c r="AJ24" s="13" t="str">
        <f ca="1">IFERROR(__xludf.DUMMYFUNCTION("""COMPUTED_VALUE"""),"Definition and units of temperature")</f>
        <v>Definition and units of temperature</v>
      </c>
      <c r="AK24" s="13"/>
      <c r="AL24" s="13"/>
      <c r="AM24" s="13"/>
      <c r="AN24" s="13"/>
      <c r="AO24" s="13"/>
      <c r="AP24" s="13"/>
      <c r="AQ24" s="13"/>
      <c r="AR24" s="13"/>
      <c r="AS24" s="13"/>
      <c r="AT24" s="13"/>
    </row>
    <row r="25" spans="1:46">
      <c r="A25" s="8" t="s">
        <v>247</v>
      </c>
      <c r="B25" s="8" t="s">
        <v>47</v>
      </c>
      <c r="C25" s="8" t="s">
        <v>416</v>
      </c>
      <c r="D25" s="8" t="s">
        <v>1510</v>
      </c>
      <c r="E25" s="8" t="s">
        <v>1839</v>
      </c>
      <c r="F25" s="8" t="s">
        <v>1843</v>
      </c>
      <c r="G25" s="8" t="s">
        <v>1844</v>
      </c>
      <c r="H25" s="8" t="str">
        <f ca="1">IFERROR(__xludf.DUMMYFUNCTION("VLOOKUP(G25, IMPORTRANGE(""https://docs.google.com/spreadsheets/d/14deopnvwcrKtEGCKuYXdUHJbeLDZlkiSSWWT0g7x2pM/edit#gid=849066331"", ""LU List Science (Filter)!A:B""), 2, FALSE)"),"Physical Components of a Clinical thermometer")</f>
        <v>Physical Components of a Clinical thermometer</v>
      </c>
      <c r="I25" s="10" t="str">
        <f t="shared" si="0"/>
        <v>LU005924.001</v>
      </c>
      <c r="J25" s="10" t="str">
        <f ca="1">IFERROR(__xludf.DUMMYFUNCTION("VLOOKUP(I25, IMPORTRANGE(""https://docs.google.com/spreadsheets/d/1yDAaXNsi4Mr5FtRQL4tbmSdIzhx6_m4wkOD7IG-k_eo/edit#gid=1336395716"", ""Science!M:N""), 2, FALSE)"),"List the physical components of a clinical thermometer.")</f>
        <v>List the physical components of a clinical thermometer.</v>
      </c>
      <c r="K25" s="10" t="str">
        <f t="shared" si="1"/>
        <v>LU005924.002</v>
      </c>
      <c r="L25" s="10" t="str">
        <f ca="1">IFERROR(__xludf.DUMMYFUNCTION("VLOOKUP(K25, IMPORTRANGE(""https://docs.google.com/spreadsheets/d/1yDAaXNsi4Mr5FtRQL4tbmSdIzhx6_m4wkOD7IG-k_eo/edit#gid=1336395716"", ""Science!M:N""), 2, FALSE)"),"Explain the function and purpose of each component in a clinical thermometer.")</f>
        <v>Explain the function and purpose of each component in a clinical thermometer.</v>
      </c>
      <c r="M25" s="10" t="str">
        <f t="shared" si="2"/>
        <v>LU005924.003</v>
      </c>
      <c r="N25" s="10" t="str">
        <f ca="1">IFERROR(__xludf.DUMMYFUNCTION("VLOOKUP(M25, IMPORTRANGE(""https://docs.google.com/spreadsheets/d/1yDAaXNsi4Mr5FtRQL4tbmSdIzhx6_m4wkOD7IG-k_eo/edit#gid=1336395716"", ""Science!M:N""), 2, FALSE)"),"Demonstrate how the design of clinical thermometers contributes to their accuracy and reliability.")</f>
        <v>Demonstrate how the design of clinical thermometers contributes to their accuracy and reliability.</v>
      </c>
      <c r="O25" s="10" t="str">
        <f t="shared" si="3"/>
        <v>LU005924.004</v>
      </c>
      <c r="P25" s="10" t="str">
        <f ca="1">IFERROR(__xludf.DUMMYFUNCTION("VLOOKUP(O25, IMPORTRANGE(""https://docs.google.com/spreadsheets/d/1yDAaXNsi4Mr5FtRQL4tbmSdIzhx6_m4wkOD7IG-k_eo/edit#gid=1336395716"", ""Science!M:N""), 2, FALSE)"),"Compare and contrast the physical components of clinical thermometers with those of other temperature measuring devices.")</f>
        <v>Compare and contrast the physical components of clinical thermometers with those of other temperature measuring devices.</v>
      </c>
      <c r="Q25" s="10" t="str">
        <f t="shared" si="4"/>
        <v>LU005924.005</v>
      </c>
      <c r="R25" s="10" t="str">
        <f ca="1">IFERROR(__xludf.DUMMYFUNCTION("VLOOKUP(Q25, IMPORTRANGE(""https://docs.google.com/spreadsheets/d/1yDAaXNsi4Mr5FtRQL4tbmSdIzhx6_m4wkOD7IG-k_eo/edit#gid=1336395716"", ""Science!M:N""), 2, FALSE)"),"Assess the significance of each physical component in ensuring precise temperature measurement in clinical thermometers.")</f>
        <v>Assess the significance of each physical component in ensuring precise temperature measurement in clinical thermometers.</v>
      </c>
      <c r="S25" s="10" t="str">
        <f t="shared" si="5"/>
        <v>LU005924.006</v>
      </c>
      <c r="T25" s="10" t="str">
        <f ca="1">IFERROR(__xludf.DUMMYFUNCTION("VLOOKUP(S25, IMPORTRANGE(""https://docs.google.com/spreadsheets/d/1yDAaXNsi4Mr5FtRQL4tbmSdIzhx6_m4wkOD7IG-k_eo/edit#gid=1336395716"", ""Science!M:N""), 2, FALSE)"),"#N/A")</f>
        <v>#N/A</v>
      </c>
      <c r="U25" s="116">
        <f ca="1">IFERROR(__xludf.DUMMYFUNCTION("ArrayFormula(VLOOKUP(G25, IMPORTRANGE(""https://docs.google.com/spreadsheets/d/1p7R4vtkWt5VOBim4ltsDG9KTzSjrtKXsMtQGXPHyND0/edit#gid=795171502"", ""'Filter 30_05_2024'!A1:M2000""), {2, 3, 4, 5,6,7,8,9,10,11,12,13}, 0))"),15)</f>
        <v>15</v>
      </c>
      <c r="V25" s="116">
        <f ca="1">IFERROR(__xludf.DUMMYFUNCTION("""COMPUTED_VALUE"""),6)</f>
        <v>6</v>
      </c>
      <c r="W25" s="116">
        <f ca="1">IFERROR(__xludf.DUMMYFUNCTION("""COMPUTED_VALUE"""),2)</f>
        <v>2</v>
      </c>
      <c r="X25" s="116">
        <f ca="1">IFERROR(__xludf.DUMMYFUNCTION("""COMPUTED_VALUE"""),23)</f>
        <v>23</v>
      </c>
      <c r="Y25" s="116">
        <f ca="1">IFERROR(__xludf.DUMMYFUNCTION("""COMPUTED_VALUE"""),5)</f>
        <v>5</v>
      </c>
      <c r="Z25" s="12">
        <f ca="1">IFERROR(__xludf.DUMMYFUNCTION("""COMPUTED_VALUE"""),3)</f>
        <v>3</v>
      </c>
      <c r="AA25" s="12">
        <f ca="1">IFERROR(__xludf.DUMMYFUNCTION("""COMPUTED_VALUE"""),1)</f>
        <v>1</v>
      </c>
      <c r="AB25" s="12">
        <f ca="1">IFERROR(__xludf.DUMMYFUNCTION("""COMPUTED_VALUE"""),9)</f>
        <v>9</v>
      </c>
      <c r="AC25" s="12"/>
      <c r="AD25" s="12"/>
      <c r="AE25" s="12"/>
      <c r="AF25" s="12"/>
      <c r="AG25" s="13" t="str">
        <f ca="1">IFERROR(__xludf.DUMMYFUNCTION("ArrayFormula(VLOOKUP(G25, IMPORTRANGE(""https://docs.google.com/spreadsheets/d/1Co934fvtviyaRiMsrIlT05Jaq7iiYq07aLvRr35KA48/edit?gid=173865642#gid=173865642"", ""'G7_Sci_Pri_LU'!G2:V2000""), {3, 4, 5, 6, 7, 8, 9, 10, 11, 12, 13, 14, 15, 16}, 0))"),"LU005919")</f>
        <v>LU005919</v>
      </c>
      <c r="AH25" s="13" t="str">
        <f ca="1">IFERROR(__xludf.DUMMYFUNCTION("""COMPUTED_VALUE"""),"Types of Thermometers")</f>
        <v>Types of Thermometers</v>
      </c>
      <c r="AI25" s="13" t="str">
        <f ca="1">IFERROR(__xludf.DUMMYFUNCTION("""COMPUTED_VALUE"""),"LU005918")</f>
        <v>LU005918</v>
      </c>
      <c r="AJ25" s="13" t="str">
        <f ca="1">IFERROR(__xludf.DUMMYFUNCTION("""COMPUTED_VALUE"""),"Definition of Thermometers")</f>
        <v>Definition of Thermometers</v>
      </c>
      <c r="AK25" s="13" t="str">
        <f ca="1">IFERROR(__xludf.DUMMYFUNCTION("""COMPUTED_VALUE"""),"LU005354")</f>
        <v>LU005354</v>
      </c>
      <c r="AL25" s="13" t="str">
        <f ca="1">IFERROR(__xludf.DUMMYFUNCTION("""COMPUTED_VALUE"""),"Definition and units of temperature")</f>
        <v>Definition and units of temperature</v>
      </c>
      <c r="AM25" s="13"/>
      <c r="AN25" s="13"/>
      <c r="AO25" s="13"/>
      <c r="AP25" s="13"/>
      <c r="AQ25" s="13"/>
      <c r="AR25" s="13"/>
      <c r="AS25" s="13"/>
      <c r="AT25" s="13"/>
    </row>
    <row r="26" spans="1:46">
      <c r="A26" s="8" t="s">
        <v>247</v>
      </c>
      <c r="B26" s="8" t="s">
        <v>47</v>
      </c>
      <c r="C26" s="8" t="s">
        <v>416</v>
      </c>
      <c r="D26" s="8" t="s">
        <v>1510</v>
      </c>
      <c r="E26" s="8" t="s">
        <v>1839</v>
      </c>
      <c r="F26" s="8" t="s">
        <v>1843</v>
      </c>
      <c r="G26" s="8" t="s">
        <v>1845</v>
      </c>
      <c r="H26" s="8" t="str">
        <f ca="1">IFERROR(__xludf.DUMMYFUNCTION("VLOOKUP(G26, IMPORTRANGE(""https://docs.google.com/spreadsheets/d/14deopnvwcrKtEGCKuYXdUHJbeLDZlkiSSWWT0g7x2pM/edit#gid=849066331"", ""LU List Science (Filter)!A:B""), 2, FALSE)"),"Temperature Measurement of Human Body using clinical thermometer")</f>
        <v>Temperature Measurement of Human Body using clinical thermometer</v>
      </c>
      <c r="I26" s="10" t="str">
        <f t="shared" si="0"/>
        <v>LU005925.001</v>
      </c>
      <c r="J26" s="10" t="str">
        <f ca="1">IFERROR(__xludf.DUMMYFUNCTION("VLOOKUP(I26, IMPORTRANGE(""https://docs.google.com/spreadsheets/d/1yDAaXNsi4Mr5FtRQL4tbmSdIzhx6_m4wkOD7IG-k_eo/edit#gid=1336395716"", ""Science!M:N""), 2, FALSE)"),"Recall the correct procedure for measuring body temperature using a clinical thermometer.")</f>
        <v>Recall the correct procedure for measuring body temperature using a clinical thermometer.</v>
      </c>
      <c r="K26" s="10" t="str">
        <f t="shared" si="1"/>
        <v>LU005925.002</v>
      </c>
      <c r="L26" s="10" t="str">
        <f ca="1">IFERROR(__xludf.DUMMYFUNCTION("VLOOKUP(K26, IMPORTRANGE(""https://docs.google.com/spreadsheets/d/1yDAaXNsi4Mr5FtRQL4tbmSdIzhx6_m4wkOD7IG-k_eo/edit#gid=1336395716"", ""Science!M:N""), 2, FALSE)"),"Explain the steps involved in using a clinical thermometer for temperature measurement.")</f>
        <v>Explain the steps involved in using a clinical thermometer for temperature measurement.</v>
      </c>
      <c r="M26" s="10" t="str">
        <f t="shared" si="2"/>
        <v>LU005925.003</v>
      </c>
      <c r="N26" s="10" t="str">
        <f ca="1">IFERROR(__xludf.DUMMYFUNCTION("VLOOKUP(M26, IMPORTRANGE(""https://docs.google.com/spreadsheets/d/1yDAaXNsi4Mr5FtRQL4tbmSdIzhx6_m4wkOD7IG-k_eo/edit#gid=1336395716"", ""Science!M:N""), 2, FALSE)"),"Demonstrate the proper technique for obtaining body temperature readings with a clinical thermometer.")</f>
        <v>Demonstrate the proper technique for obtaining body temperature readings with a clinical thermometer.</v>
      </c>
      <c r="O26" s="10" t="str">
        <f t="shared" si="3"/>
        <v>LU005925.004</v>
      </c>
      <c r="P26" s="10" t="str">
        <f ca="1">IFERROR(__xludf.DUMMYFUNCTION("VLOOKUP(O26, IMPORTRANGE(""https://docs.google.com/spreadsheets/d/1yDAaXNsi4Mr5FtRQL4tbmSdIzhx6_m4wkOD7IG-k_eo/edit#gid=1336395716"", ""Science!M:N""), 2, FALSE)"),"Analyze the factors that can affect the accuracy of body temperature measurements using clinical thermometers.")</f>
        <v>Analyze the factors that can affect the accuracy of body temperature measurements using clinical thermometers.</v>
      </c>
      <c r="Q26" s="10" t="str">
        <f t="shared" si="4"/>
        <v>LU005925.005</v>
      </c>
      <c r="R26" s="10" t="str">
        <f ca="1">IFERROR(__xludf.DUMMYFUNCTION("VLOOKUP(Q26, IMPORTRANGE(""https://docs.google.com/spreadsheets/d/1yDAaXNsi4Mr5FtRQL4tbmSdIzhx6_m4wkOD7IG-k_eo/edit#gid=1336395716"", ""Science!M:N""), 2, FALSE)"),"Assess the importance of following the correct procedure and technique in obtaining reliable body temperature measurements.")</f>
        <v>Assess the importance of following the correct procedure and technique in obtaining reliable body temperature measurements.</v>
      </c>
      <c r="S26" s="10" t="str">
        <f t="shared" si="5"/>
        <v>LU005925.006</v>
      </c>
      <c r="T26" s="10" t="str">
        <f ca="1">IFERROR(__xludf.DUMMYFUNCTION("VLOOKUP(S26, IMPORTRANGE(""https://docs.google.com/spreadsheets/d/1yDAaXNsi4Mr5FtRQL4tbmSdIzhx6_m4wkOD7IG-k_eo/edit#gid=1336395716"", ""Science!M:N""), 2, FALSE)"),"#N/A")</f>
        <v>#N/A</v>
      </c>
      <c r="U26" s="116">
        <f ca="1">IFERROR(__xludf.DUMMYFUNCTION("ArrayFormula(VLOOKUP(G26, IMPORTRANGE(""https://docs.google.com/spreadsheets/d/1p7R4vtkWt5VOBim4ltsDG9KTzSjrtKXsMtQGXPHyND0/edit#gid=795171502"", ""'Filter 30_05_2024'!A1:M2000""), {2, 3, 4, 5,6,7,8,9,10,11,12,13}, 0))"),8)</f>
        <v>8</v>
      </c>
      <c r="V26" s="116">
        <f ca="1">IFERROR(__xludf.DUMMYFUNCTION("""COMPUTED_VALUE"""),7)</f>
        <v>7</v>
      </c>
      <c r="W26" s="116">
        <f ca="1">IFERROR(__xludf.DUMMYFUNCTION("""COMPUTED_VALUE"""),2)</f>
        <v>2</v>
      </c>
      <c r="X26" s="116">
        <f ca="1">IFERROR(__xludf.DUMMYFUNCTION("""COMPUTED_VALUE"""),17)</f>
        <v>17</v>
      </c>
      <c r="Y26" s="116">
        <f ca="1">IFERROR(__xludf.DUMMYFUNCTION("""COMPUTED_VALUE"""),4)</f>
        <v>4</v>
      </c>
      <c r="Z26" s="12">
        <f ca="1">IFERROR(__xludf.DUMMYFUNCTION("""COMPUTED_VALUE"""),3)</f>
        <v>3</v>
      </c>
      <c r="AA26" s="12">
        <f ca="1">IFERROR(__xludf.DUMMYFUNCTION("""COMPUTED_VALUE"""),1)</f>
        <v>1</v>
      </c>
      <c r="AB26" s="12">
        <f ca="1">IFERROR(__xludf.DUMMYFUNCTION("""COMPUTED_VALUE"""),8)</f>
        <v>8</v>
      </c>
      <c r="AC26" s="12"/>
      <c r="AD26" s="12"/>
      <c r="AE26" s="12"/>
      <c r="AF26" s="12"/>
      <c r="AG26" s="13" t="str">
        <f ca="1">IFERROR(__xludf.DUMMYFUNCTION("ArrayFormula(VLOOKUP(G26, IMPORTRANGE(""https://docs.google.com/spreadsheets/d/1Co934fvtviyaRiMsrIlT05Jaq7iiYq07aLvRr35KA48/edit?gid=173865642#gid=173865642"", ""'G7_Sci_Pri_LU'!G2:V2000""), {3, 4, 5, 6, 7, 8, 9, 10, 11, 12, 13, 14, 15, 16}, 0))"),"LU005924")</f>
        <v>LU005924</v>
      </c>
      <c r="AH26" s="13" t="str">
        <f ca="1">IFERROR(__xludf.DUMMYFUNCTION("""COMPUTED_VALUE"""),"Physical Components of a Clinical thermometer")</f>
        <v>Physical Components of a Clinical thermometer</v>
      </c>
      <c r="AI26" s="13" t="str">
        <f ca="1">IFERROR(__xludf.DUMMYFUNCTION("""COMPUTED_VALUE"""),"LU005918")</f>
        <v>LU005918</v>
      </c>
      <c r="AJ26" s="13" t="str">
        <f ca="1">IFERROR(__xludf.DUMMYFUNCTION("""COMPUTED_VALUE"""),"Definition of Thermometers")</f>
        <v>Definition of Thermometers</v>
      </c>
      <c r="AK26" s="13" t="str">
        <f ca="1">IFERROR(__xludf.DUMMYFUNCTION("""COMPUTED_VALUE"""),"LU005354")</f>
        <v>LU005354</v>
      </c>
      <c r="AL26" s="13" t="str">
        <f ca="1">IFERROR(__xludf.DUMMYFUNCTION("""COMPUTED_VALUE"""),"Definition and units of temperature")</f>
        <v>Definition and units of temperature</v>
      </c>
      <c r="AM26" s="13"/>
      <c r="AN26" s="13"/>
      <c r="AO26" s="13"/>
      <c r="AP26" s="13"/>
      <c r="AQ26" s="13"/>
      <c r="AR26" s="13"/>
      <c r="AS26" s="13"/>
      <c r="AT26" s="13"/>
    </row>
    <row r="27" spans="1:46">
      <c r="A27" s="8" t="s">
        <v>247</v>
      </c>
      <c r="B27" s="8" t="s">
        <v>47</v>
      </c>
      <c r="C27" s="8" t="s">
        <v>416</v>
      </c>
      <c r="D27" s="8" t="s">
        <v>1510</v>
      </c>
      <c r="E27" s="8" t="s">
        <v>1839</v>
      </c>
      <c r="F27" s="8" t="s">
        <v>1846</v>
      </c>
      <c r="G27" s="8" t="s">
        <v>1579</v>
      </c>
      <c r="H27" s="8" t="str">
        <f ca="1">IFERROR(__xludf.DUMMYFUNCTION("VLOOKUP(G27, IMPORTRANGE(""https://docs.google.com/spreadsheets/d/14deopnvwcrKtEGCKuYXdUHJbeLDZlkiSSWWT0g7x2pM/edit#gid=849066331"", ""LU List Science (Filter)!A:B""), 2, FALSE)"),"Physical Components of Laboratory thermometer")</f>
        <v>Physical Components of Laboratory thermometer</v>
      </c>
      <c r="I27" s="10" t="str">
        <f t="shared" si="0"/>
        <v>LU005926.001</v>
      </c>
      <c r="J27" s="10" t="str">
        <f ca="1">IFERROR(__xludf.DUMMYFUNCTION("VLOOKUP(I27, IMPORTRANGE(""https://docs.google.com/spreadsheets/d/1yDAaXNsi4Mr5FtRQL4tbmSdIzhx6_m4wkOD7IG-k_eo/edit#gid=1336395716"", ""Science!M:N""), 2, FALSE)"),"List the physical components unique to laboratory thermometers.")</f>
        <v>List the physical components unique to laboratory thermometers.</v>
      </c>
      <c r="K27" s="10" t="str">
        <f t="shared" si="1"/>
        <v>LU005926.002</v>
      </c>
      <c r="L27" s="10" t="str">
        <f ca="1">IFERROR(__xludf.DUMMYFUNCTION("VLOOKUP(K27, IMPORTRANGE(""https://docs.google.com/spreadsheets/d/1yDAaXNsi4Mr5FtRQL4tbmSdIzhx6_m4wkOD7IG-k_eo/edit#gid=1336395716"", ""Science!M:N""), 2, FALSE)"),"Describe the design and materials used in laboratory thermometers and explain their suitability for scientific applications.")</f>
        <v>Describe the design and materials used in laboratory thermometers and explain their suitability for scientific applications.</v>
      </c>
      <c r="M27" s="10" t="str">
        <f t="shared" si="2"/>
        <v>LU005926.003</v>
      </c>
      <c r="N27" s="10" t="str">
        <f ca="1">IFERROR(__xludf.DUMMYFUNCTION("VLOOKUP(M27, IMPORTRANGE(""https://docs.google.com/spreadsheets/d/1yDAaXNsi4Mr5FtRQL4tbmSdIzhx6_m4wkOD7IG-k_eo/edit#gid=1336395716"", ""Science!M:N""), 2, FALSE)"),"Demonstrate how the physical components of laboratory thermometers contribute to their accuracy and precision in scientific experiments.")</f>
        <v>Demonstrate how the physical components of laboratory thermometers contribute to their accuracy and precision in scientific experiments.</v>
      </c>
      <c r="O27" s="10" t="str">
        <f t="shared" si="3"/>
        <v>LU005926.004</v>
      </c>
      <c r="P27" s="10" t="str">
        <f ca="1">IFERROR(__xludf.DUMMYFUNCTION("VLOOKUP(O27, IMPORTRANGE(""https://docs.google.com/spreadsheets/d/1yDAaXNsi4Mr5FtRQL4tbmSdIzhx6_m4wkOD7IG-k_eo/edit#gid=1336395716"", ""Science!M:N""), 2, FALSE)"),"Compare and contrast the physical components of laboratory thermometers with those of clinical thermometers.")</f>
        <v>Compare and contrast the physical components of laboratory thermometers with those of clinical thermometers.</v>
      </c>
      <c r="Q27" s="10" t="str">
        <f t="shared" si="4"/>
        <v>LU005926.005</v>
      </c>
      <c r="R27" s="10" t="str">
        <f ca="1">IFERROR(__xludf.DUMMYFUNCTION("VLOOKUP(Q27, IMPORTRANGE(""https://docs.google.com/spreadsheets/d/1yDAaXNsi4Mr5FtRQL4tbmSdIzhx6_m4wkOD7IG-k_eo/edit#gid=1336395716"", ""Science!M:N""), 2, FALSE)"),"Assess the necessity of precise construction and materials in laboratory thermometers for ensuring accurate temperature measurement in scientific experiments.")</f>
        <v>Assess the necessity of precise construction and materials in laboratory thermometers for ensuring accurate temperature measurement in scientific experiments.</v>
      </c>
      <c r="S27" s="10" t="str">
        <f t="shared" si="5"/>
        <v>LU005926.006</v>
      </c>
      <c r="T27" s="10" t="str">
        <f ca="1">IFERROR(__xludf.DUMMYFUNCTION("VLOOKUP(S27, IMPORTRANGE(""https://docs.google.com/spreadsheets/d/1yDAaXNsi4Mr5FtRQL4tbmSdIzhx6_m4wkOD7IG-k_eo/edit#gid=1336395716"", ""Science!M:N""), 2, FALSE)"),"#N/A")</f>
        <v>#N/A</v>
      </c>
      <c r="U27" s="116">
        <f ca="1">IFERROR(__xludf.DUMMYFUNCTION("ArrayFormula(VLOOKUP(G27, IMPORTRANGE(""https://docs.google.com/spreadsheets/d/1p7R4vtkWt5VOBim4ltsDG9KTzSjrtKXsMtQGXPHyND0/edit#gid=795171502"", ""'Filter 30_05_2024'!A1:M2000""), {2, 3, 4, 5,6,7,8,9,10,11,12,13}, 0))"),4)</f>
        <v>4</v>
      </c>
      <c r="V27" s="116">
        <f ca="1">IFERROR(__xludf.DUMMYFUNCTION("""COMPUTED_VALUE"""),6)</f>
        <v>6</v>
      </c>
      <c r="W27" s="116">
        <f ca="1">IFERROR(__xludf.DUMMYFUNCTION("""COMPUTED_VALUE"""),2)</f>
        <v>2</v>
      </c>
      <c r="X27" s="116">
        <f ca="1">IFERROR(__xludf.DUMMYFUNCTION("""COMPUTED_VALUE"""),12)</f>
        <v>12</v>
      </c>
      <c r="Y27" s="116">
        <f ca="1">IFERROR(__xludf.DUMMYFUNCTION("""COMPUTED_VALUE"""),4)</f>
        <v>4</v>
      </c>
      <c r="Z27" s="12">
        <f ca="1">IFERROR(__xludf.DUMMYFUNCTION("""COMPUTED_VALUE"""),2)</f>
        <v>2</v>
      </c>
      <c r="AA27" s="12">
        <f ca="1">IFERROR(__xludf.DUMMYFUNCTION("""COMPUTED_VALUE"""),3)</f>
        <v>3</v>
      </c>
      <c r="AB27" s="12">
        <f ca="1">IFERROR(__xludf.DUMMYFUNCTION("""COMPUTED_VALUE"""),9)</f>
        <v>9</v>
      </c>
      <c r="AC27" s="12"/>
      <c r="AD27" s="12">
        <f ca="1">IFERROR(__xludf.DUMMYFUNCTION("""COMPUTED_VALUE"""),1)</f>
        <v>1</v>
      </c>
      <c r="AE27" s="12"/>
      <c r="AF27" s="12">
        <f ca="1">IFERROR(__xludf.DUMMYFUNCTION("""COMPUTED_VALUE"""),1)</f>
        <v>1</v>
      </c>
      <c r="AG27" s="13" t="str">
        <f ca="1">IFERROR(__xludf.DUMMYFUNCTION("ArrayFormula(VLOOKUP(G27, IMPORTRANGE(""https://docs.google.com/spreadsheets/d/1Co934fvtviyaRiMsrIlT05Jaq7iiYq07aLvRr35KA48/edit?gid=173865642#gid=173865642"", ""'G7_Sci_Pri_LU'!G2:V2000""), {3, 4, 5, 6, 7, 8, 9, 10, 11, 12, 13, 14, 15, 16}, 0))"),"LU005919")</f>
        <v>LU005919</v>
      </c>
      <c r="AH27" s="13" t="str">
        <f ca="1">IFERROR(__xludf.DUMMYFUNCTION("""COMPUTED_VALUE"""),"Types of Thermometers")</f>
        <v>Types of Thermometers</v>
      </c>
      <c r="AI27" s="13" t="str">
        <f ca="1">IFERROR(__xludf.DUMMYFUNCTION("""COMPUTED_VALUE"""),"LU005918")</f>
        <v>LU005918</v>
      </c>
      <c r="AJ27" s="13" t="str">
        <f ca="1">IFERROR(__xludf.DUMMYFUNCTION("""COMPUTED_VALUE"""),"Definition of Thermometers")</f>
        <v>Definition of Thermometers</v>
      </c>
      <c r="AK27" s="13" t="str">
        <f ca="1">IFERROR(__xludf.DUMMYFUNCTION("""COMPUTED_VALUE"""),"LU005354")</f>
        <v>LU005354</v>
      </c>
      <c r="AL27" s="13" t="str">
        <f ca="1">IFERROR(__xludf.DUMMYFUNCTION("""COMPUTED_VALUE"""),"Definition and units of temperature")</f>
        <v>Definition and units of temperature</v>
      </c>
      <c r="AM27" s="13"/>
      <c r="AN27" s="13"/>
      <c r="AO27" s="13"/>
      <c r="AP27" s="13"/>
      <c r="AQ27" s="13"/>
      <c r="AR27" s="13"/>
      <c r="AS27" s="13"/>
      <c r="AT27" s="13"/>
    </row>
    <row r="28" spans="1:46">
      <c r="A28" s="8" t="s">
        <v>247</v>
      </c>
      <c r="B28" s="8" t="s">
        <v>47</v>
      </c>
      <c r="C28" s="8" t="s">
        <v>416</v>
      </c>
      <c r="D28" s="8" t="s">
        <v>1510</v>
      </c>
      <c r="E28" s="8" t="s">
        <v>1839</v>
      </c>
      <c r="F28" s="8" t="s">
        <v>1846</v>
      </c>
      <c r="G28" s="8" t="s">
        <v>1581</v>
      </c>
      <c r="H28" s="8" t="str">
        <f ca="1">IFERROR(__xludf.DUMMYFUNCTION("VLOOKUP(G28, IMPORTRANGE(""https://docs.google.com/spreadsheets/d/14deopnvwcrKtEGCKuYXdUHJbeLDZlkiSSWWT0g7x2pM/edit#gid=849066331"", ""LU List Science (Filter)!A:B""), 2, FALSE)"),"Correct Way of using Laboratory thermometer")</f>
        <v>Correct Way of using Laboratory thermometer</v>
      </c>
      <c r="I28" s="10" t="str">
        <f t="shared" si="0"/>
        <v>LU005927.001</v>
      </c>
      <c r="J28" s="10" t="str">
        <f ca="1">IFERROR(__xludf.DUMMYFUNCTION("VLOOKUP(I28, IMPORTRANGE(""https://docs.google.com/spreadsheets/d/1yDAaXNsi4Mr5FtRQL4tbmSdIzhx6_m4wkOD7IG-k_eo/edit#gid=1336395716"", ""Science!M:N""), 2, FALSE)"),"Recall the proper steps for using a laboratory thermometer to measure temperature accurately.")</f>
        <v>Recall the proper steps for using a laboratory thermometer to measure temperature accurately.</v>
      </c>
      <c r="K28" s="10" t="str">
        <f t="shared" si="1"/>
        <v>LU005927.002</v>
      </c>
      <c r="L28" s="10" t="str">
        <f ca="1">IFERROR(__xludf.DUMMYFUNCTION("VLOOKUP(K28, IMPORTRANGE(""https://docs.google.com/spreadsheets/d/1yDAaXNsi4Mr5FtRQL4tbmSdIzhx6_m4wkOD7IG-k_eo/edit#gid=1336395716"", ""Science!M:N""), 2, FALSE)"),"Explain the techniques and precautions required when using a laboratory thermometer in scientific experiments.")</f>
        <v>Explain the techniques and precautions required when using a laboratory thermometer in scientific experiments.</v>
      </c>
      <c r="M28" s="10" t="str">
        <f t="shared" si="2"/>
        <v>LU005927.003</v>
      </c>
      <c r="N28" s="10" t="str">
        <f ca="1">IFERROR(__xludf.DUMMYFUNCTION("VLOOKUP(M28, IMPORTRANGE(""https://docs.google.com/spreadsheets/d/1yDAaXNsi4Mr5FtRQL4tbmSdIzhx6_m4wkOD7IG-k_eo/edit#gid=1336395716"", ""Science!M:N""), 2, FALSE)"),"Demonstrate the correct procedures for using a laboratory thermometer to measure temperature in laboratory experiments.")</f>
        <v>Demonstrate the correct procedures for using a laboratory thermometer to measure temperature in laboratory experiments.</v>
      </c>
      <c r="O28" s="10" t="str">
        <f t="shared" si="3"/>
        <v>LU005927.004</v>
      </c>
      <c r="P28" s="10" t="str">
        <f ca="1">IFERROR(__xludf.DUMMYFUNCTION("VLOOKUP(O28, IMPORTRANGE(""https://docs.google.com/spreadsheets/d/1yDAaXNsi4Mr5FtRQL4tbmSdIzhx6_m4wkOD7IG-k_eo/edit#gid=1336395716"", ""Science!M:N""), 2, FALSE)"),"Identify potential sources of error when using laboratory thermometers and suggest ways to minimize them.")</f>
        <v>Identify potential sources of error when using laboratory thermometers and suggest ways to minimize them.</v>
      </c>
      <c r="Q28" s="10" t="str">
        <f t="shared" si="4"/>
        <v>LU005927.005</v>
      </c>
      <c r="R28" s="10" t="str">
        <f ca="1">IFERROR(__xludf.DUMMYFUNCTION("VLOOKUP(Q28, IMPORTRANGE(""https://docs.google.com/spreadsheets/d/1yDAaXNsi4Mr5FtRQL4tbmSdIzhx6_m4wkOD7IG-k_eo/edit#gid=1336395716"", ""Science!M:N""), 2, FALSE)"),"Assess the importance of adhering to standardized procedures in laboratory temperature measurements for scientific accuracy.")</f>
        <v>Assess the importance of adhering to standardized procedures in laboratory temperature measurements for scientific accuracy.</v>
      </c>
      <c r="S28" s="10" t="str">
        <f t="shared" si="5"/>
        <v>LU005927.006</v>
      </c>
      <c r="T28" s="10" t="str">
        <f ca="1">IFERROR(__xludf.DUMMYFUNCTION("VLOOKUP(S28, IMPORTRANGE(""https://docs.google.com/spreadsheets/d/1yDAaXNsi4Mr5FtRQL4tbmSdIzhx6_m4wkOD7IG-k_eo/edit#gid=1336395716"", ""Science!M:N""), 2, FALSE)"),"#N/A")</f>
        <v>#N/A</v>
      </c>
      <c r="U28" s="116">
        <f ca="1">IFERROR(__xludf.DUMMYFUNCTION("ArrayFormula(VLOOKUP(G28, IMPORTRANGE(""https://docs.google.com/spreadsheets/d/1p7R4vtkWt5VOBim4ltsDG9KTzSjrtKXsMtQGXPHyND0/edit#gid=795171502"", ""'Filter 30_05_2024'!A1:M2000""), {2, 3, 4, 5,6,7,8,9,10,11,12,13}, 0))"),4)</f>
        <v>4</v>
      </c>
      <c r="V28" s="116">
        <f ca="1">IFERROR(__xludf.DUMMYFUNCTION("""COMPUTED_VALUE"""),6)</f>
        <v>6</v>
      </c>
      <c r="W28" s="116">
        <f ca="1">IFERROR(__xludf.DUMMYFUNCTION("""COMPUTED_VALUE"""),2)</f>
        <v>2</v>
      </c>
      <c r="X28" s="116">
        <f ca="1">IFERROR(__xludf.DUMMYFUNCTION("""COMPUTED_VALUE"""),12)</f>
        <v>12</v>
      </c>
      <c r="Y28" s="116">
        <f ca="1">IFERROR(__xludf.DUMMYFUNCTION("""COMPUTED_VALUE"""),4)</f>
        <v>4</v>
      </c>
      <c r="Z28" s="12">
        <f ca="1">IFERROR(__xludf.DUMMYFUNCTION("""COMPUTED_VALUE"""),5)</f>
        <v>5</v>
      </c>
      <c r="AA28" s="12">
        <f ca="1">IFERROR(__xludf.DUMMYFUNCTION("""COMPUTED_VALUE"""),1)</f>
        <v>1</v>
      </c>
      <c r="AB28" s="12">
        <f ca="1">IFERROR(__xludf.DUMMYFUNCTION("""COMPUTED_VALUE"""),10)</f>
        <v>10</v>
      </c>
      <c r="AC28" s="12"/>
      <c r="AD28" s="12"/>
      <c r="AE28" s="12"/>
      <c r="AF28" s="12"/>
      <c r="AG28" s="13" t="str">
        <f ca="1">IFERROR(__xludf.DUMMYFUNCTION("ArrayFormula(VLOOKUP(G28, IMPORTRANGE(""https://docs.google.com/spreadsheets/d/1Co934fvtviyaRiMsrIlT05Jaq7iiYq07aLvRr35KA48/edit?gid=173865642#gid=173865642"", ""'G7_Sci_Pri_LU'!G2:V2000""), {3, 4, 5, 6, 7, 8, 9, 10, 11, 12, 13, 14, 15, 16}, 0))"),"LU005926")</f>
        <v>LU005926</v>
      </c>
      <c r="AH28" s="13" t="str">
        <f ca="1">IFERROR(__xludf.DUMMYFUNCTION("""COMPUTED_VALUE"""),"Physical Components of Laboratory thermometer")</f>
        <v>Physical Components of Laboratory thermometer</v>
      </c>
      <c r="AI28" s="13" t="str">
        <f ca="1">IFERROR(__xludf.DUMMYFUNCTION("""COMPUTED_VALUE"""),"LU005918")</f>
        <v>LU005918</v>
      </c>
      <c r="AJ28" s="13" t="str">
        <f ca="1">IFERROR(__xludf.DUMMYFUNCTION("""COMPUTED_VALUE"""),"Definition of Thermometers")</f>
        <v>Definition of Thermometers</v>
      </c>
      <c r="AK28" s="13" t="str">
        <f ca="1">IFERROR(__xludf.DUMMYFUNCTION("""COMPUTED_VALUE"""),"LU005354")</f>
        <v>LU005354</v>
      </c>
      <c r="AL28" s="13" t="str">
        <f ca="1">IFERROR(__xludf.DUMMYFUNCTION("""COMPUTED_VALUE"""),"Definition and units of temperature")</f>
        <v>Definition and units of temperature</v>
      </c>
      <c r="AM28" s="13"/>
      <c r="AN28" s="13"/>
      <c r="AO28" s="13"/>
      <c r="AP28" s="13"/>
      <c r="AQ28" s="13"/>
      <c r="AR28" s="13"/>
      <c r="AS28" s="13"/>
      <c r="AT28" s="13"/>
    </row>
    <row r="29" spans="1:46">
      <c r="A29" s="8" t="s">
        <v>247</v>
      </c>
      <c r="B29" s="8" t="s">
        <v>47</v>
      </c>
      <c r="C29" s="8" t="s">
        <v>416</v>
      </c>
      <c r="D29" s="8" t="s">
        <v>1510</v>
      </c>
      <c r="E29" s="8" t="s">
        <v>1839</v>
      </c>
      <c r="F29" s="8" t="s">
        <v>1847</v>
      </c>
      <c r="G29" s="8" t="s">
        <v>1848</v>
      </c>
      <c r="H29" s="8" t="str">
        <f ca="1">IFERROR(__xludf.DUMMYFUNCTION("VLOOKUP(G29, IMPORTRANGE(""https://docs.google.com/spreadsheets/d/14deopnvwcrKtEGCKuYXdUHJbeLDZlkiSSWWT0g7x2pM/edit#gid=849066331"", ""LU List Science (Filter)!A:B""), 2, FALSE)"),"Definition of transfer of heat")</f>
        <v>Definition of transfer of heat</v>
      </c>
      <c r="I29" s="10" t="str">
        <f t="shared" si="0"/>
        <v>LU005355.001</v>
      </c>
      <c r="J29" s="10" t="str">
        <f ca="1">IFERROR(__xludf.DUMMYFUNCTION("VLOOKUP(I29, IMPORTRANGE(""https://docs.google.com/spreadsheets/d/1yDAaXNsi4Mr5FtRQL4tbmSdIzhx6_m4wkOD7IG-k_eo/edit#gid=1336395716"", ""Science!M:N""), 2, FALSE)"),"Define transfer of heat and list the three modes of transfer.")</f>
        <v>Define transfer of heat and list the three modes of transfer.</v>
      </c>
      <c r="K29" s="10" t="str">
        <f t="shared" si="1"/>
        <v>LU005355.002</v>
      </c>
      <c r="L29" s="10" t="str">
        <f ca="1">IFERROR(__xludf.DUMMYFUNCTION("VLOOKUP(K29, IMPORTRANGE(""https://docs.google.com/spreadsheets/d/1yDAaXNsi4Mr5FtRQL4tbmSdIzhx6_m4wkOD7IG-k_eo/edit#gid=1336395716"", ""Science!M:N""), 2, FALSE)"),"Describe how heat moves from warmer objects to cooler objects.")</f>
        <v>Describe how heat moves from warmer objects to cooler objects.</v>
      </c>
      <c r="M29" s="10" t="str">
        <f t="shared" si="2"/>
        <v>LU005355.003</v>
      </c>
      <c r="N29" s="10" t="str">
        <f ca="1">IFERROR(__xludf.DUMMYFUNCTION("VLOOKUP(M29, IMPORTRANGE(""https://docs.google.com/spreadsheets/d/1yDAaXNsi4Mr5FtRQL4tbmSdIzhx6_m4wkOD7IG-k_eo/edit#gid=1336395716"", ""Science!M:N""), 2, FALSE)"),"Demonstrate a basic experiment or example that illustrates the transfer of heat")</f>
        <v>Demonstrate a basic experiment or example that illustrates the transfer of heat</v>
      </c>
      <c r="O29" s="10" t="str">
        <f t="shared" si="3"/>
        <v>LU005355.004</v>
      </c>
      <c r="P29" s="10" t="str">
        <f ca="1">IFERROR(__xludf.DUMMYFUNCTION("VLOOKUP(O29, IMPORTRANGE(""https://docs.google.com/spreadsheets/d/1yDAaXNsi4Mr5FtRQL4tbmSdIzhx6_m4wkOD7IG-k_eo/edit#gid=1336395716"", ""Science!M:N""), 2, FALSE)"),"Analyze everyday objects and situations to determine the type of heat transfer occurring and explain the process involved.")</f>
        <v>Analyze everyday objects and situations to determine the type of heat transfer occurring and explain the process involved.</v>
      </c>
      <c r="Q29" s="10" t="str">
        <f t="shared" si="4"/>
        <v>LU005355.005</v>
      </c>
      <c r="R29" s="10" t="str">
        <f ca="1">IFERROR(__xludf.DUMMYFUNCTION("VLOOKUP(Q29, IMPORTRANGE(""https://docs.google.com/spreadsheets/d/1yDAaXNsi4Mr5FtRQL4tbmSdIzhx6_m4wkOD7IG-k_eo/edit#gid=1336395716"", ""Science!M:N""), 2, FALSE)"),"#N/A")</f>
        <v>#N/A</v>
      </c>
      <c r="S29" s="10" t="str">
        <f t="shared" si="5"/>
        <v>LU005355.006</v>
      </c>
      <c r="T29" s="10" t="str">
        <f ca="1">IFERROR(__xludf.DUMMYFUNCTION("VLOOKUP(S29, IMPORTRANGE(""https://docs.google.com/spreadsheets/d/1yDAaXNsi4Mr5FtRQL4tbmSdIzhx6_m4wkOD7IG-k_eo/edit#gid=1336395716"", ""Science!M:N""), 2, FALSE)"),"#N/A")</f>
        <v>#N/A</v>
      </c>
      <c r="U29" s="116">
        <f ca="1">IFERROR(__xludf.DUMMYFUNCTION("ArrayFormula(VLOOKUP(G29, IMPORTRANGE(""https://docs.google.com/spreadsheets/d/1p7R4vtkWt5VOBim4ltsDG9KTzSjrtKXsMtQGXPHyND0/edit#gid=795171502"", ""'Filter 30_05_2024'!A1:M2000""), {2, 3, 4, 5,6,7,8,9,10,11,12,13}, 0))"),4)</f>
        <v>4</v>
      </c>
      <c r="V29" s="116">
        <f ca="1">IFERROR(__xludf.DUMMYFUNCTION("""COMPUTED_VALUE"""),6)</f>
        <v>6</v>
      </c>
      <c r="W29" s="116">
        <f ca="1">IFERROR(__xludf.DUMMYFUNCTION("""COMPUTED_VALUE"""),2)</f>
        <v>2</v>
      </c>
      <c r="X29" s="116">
        <f ca="1">IFERROR(__xludf.DUMMYFUNCTION("""COMPUTED_VALUE"""),12)</f>
        <v>12</v>
      </c>
      <c r="Y29" s="116">
        <f ca="1">IFERROR(__xludf.DUMMYFUNCTION("""COMPUTED_VALUE"""),4)</f>
        <v>4</v>
      </c>
      <c r="Z29" s="12">
        <f ca="1">IFERROR(__xludf.DUMMYFUNCTION("""COMPUTED_VALUE"""),3)</f>
        <v>3</v>
      </c>
      <c r="AA29" s="12">
        <f ca="1">IFERROR(__xludf.DUMMYFUNCTION("""COMPUTED_VALUE"""),1)</f>
        <v>1</v>
      </c>
      <c r="AB29" s="12">
        <f ca="1">IFERROR(__xludf.DUMMYFUNCTION("""COMPUTED_VALUE"""),8)</f>
        <v>8</v>
      </c>
      <c r="AC29" s="12"/>
      <c r="AD29" s="12"/>
      <c r="AE29" s="12"/>
      <c r="AF29" s="12"/>
      <c r="AG29" s="13" t="str">
        <f ca="1">IFERROR(__xludf.DUMMYFUNCTION("ArrayFormula(VLOOKUP(G29, IMPORTRANGE(""https://docs.google.com/spreadsheets/d/1Co934fvtviyaRiMsrIlT05Jaq7iiYq07aLvRr35KA48/edit?gid=173865642#gid=173865642"", ""'G7_Sci_Pri_LU'!G2:V2000""), {3, 4, 5, 6, 7, 8, 9, 10, 11, 12, 13, 14, 15, 16}, 0))"),"")</f>
        <v/>
      </c>
      <c r="AH29" s="13"/>
      <c r="AI29" s="13"/>
      <c r="AJ29" s="13"/>
      <c r="AK29" s="13"/>
      <c r="AL29" s="13"/>
      <c r="AM29" s="13"/>
      <c r="AN29" s="13"/>
      <c r="AO29" s="13"/>
      <c r="AP29" s="13"/>
      <c r="AQ29" s="13"/>
      <c r="AR29" s="13"/>
      <c r="AS29" s="13"/>
      <c r="AT29" s="13"/>
    </row>
    <row r="30" spans="1:46">
      <c r="A30" s="8" t="s">
        <v>247</v>
      </c>
      <c r="B30" s="8" t="s">
        <v>47</v>
      </c>
      <c r="C30" s="8" t="s">
        <v>416</v>
      </c>
      <c r="D30" s="8" t="s">
        <v>1510</v>
      </c>
      <c r="E30" s="8" t="s">
        <v>1839</v>
      </c>
      <c r="F30" s="8" t="s">
        <v>1847</v>
      </c>
      <c r="G30" s="8" t="s">
        <v>1849</v>
      </c>
      <c r="H30" s="8" t="str">
        <f ca="1">IFERROR(__xludf.DUMMYFUNCTION("VLOOKUP(G30, IMPORTRANGE(""https://docs.google.com/spreadsheets/d/14deopnvwcrKtEGCKuYXdUHJbeLDZlkiSSWWT0g7x2pM/edit#gid=849066331"", ""LU List Science (Filter)!A:B""), 2, FALSE)"),"Process of heat conduction")</f>
        <v>Process of heat conduction</v>
      </c>
      <c r="I30" s="10" t="str">
        <f t="shared" si="0"/>
        <v>LU005359.001</v>
      </c>
      <c r="J30" s="10" t="str">
        <f ca="1">IFERROR(__xludf.DUMMYFUNCTION("VLOOKUP(I30, IMPORTRANGE(""https://docs.google.com/spreadsheets/d/1yDAaXNsi4Mr5FtRQL4tbmSdIzhx6_m4wkOD7IG-k_eo/edit#gid=1336395716"", ""Science!M:N""), 2, FALSE)"),"Define heat conduction with examples.")</f>
        <v>Define heat conduction with examples.</v>
      </c>
      <c r="K30" s="10" t="str">
        <f t="shared" si="1"/>
        <v>LU005359.002</v>
      </c>
      <c r="L30" s="10" t="str">
        <f ca="1">IFERROR(__xludf.DUMMYFUNCTION("VLOOKUP(K30, IMPORTRANGE(""https://docs.google.com/spreadsheets/d/1yDAaXNsi4Mr5FtRQL4tbmSdIzhx6_m4wkOD7IG-k_eo/edit#gid=1336395716"", ""Science!M:N""), 2, FALSE)"),"Describe how heat moves through solid objects by conduction.")</f>
        <v>Describe how heat moves through solid objects by conduction.</v>
      </c>
      <c r="M30" s="10" t="str">
        <f t="shared" si="2"/>
        <v>LU005359.003</v>
      </c>
      <c r="N30" s="10" t="str">
        <f ca="1">IFERROR(__xludf.DUMMYFUNCTION("VLOOKUP(M30, IMPORTRANGE(""https://docs.google.com/spreadsheets/d/1yDAaXNsi4Mr5FtRQL4tbmSdIzhx6_m4wkOD7IG-k_eo/edit#gid=1336395716"", ""Science!M:N""), 2, FALSE)"),"Demonstrate the flow of heat in a metal object to conclude the necessary conditions for conduction. 
")</f>
        <v xml:space="preserve">Demonstrate the flow of heat in a metal object to conclude the necessary conditions for conduction. 
</v>
      </c>
      <c r="O30" s="10" t="str">
        <f t="shared" si="3"/>
        <v>LU005359.004</v>
      </c>
      <c r="P30" s="10" t="str">
        <f ca="1">IFERROR(__xludf.DUMMYFUNCTION("VLOOKUP(O30, IMPORTRANGE(""https://docs.google.com/spreadsheets/d/1yDAaXNsi4Mr5FtRQL4tbmSdIzhx6_m4wkOD7IG-k_eo/edit#gid=1336395716"", ""Science!M:N""), 2, FALSE)"),"Analyze the factors affecting the rate of heat conduction in same material and different materials.")</f>
        <v>Analyze the factors affecting the rate of heat conduction in same material and different materials.</v>
      </c>
      <c r="Q30" s="10" t="str">
        <f t="shared" si="4"/>
        <v>LU005359.005</v>
      </c>
      <c r="R30" s="10" t="str">
        <f ca="1">IFERROR(__xludf.DUMMYFUNCTION("VLOOKUP(Q30, IMPORTRANGE(""https://docs.google.com/spreadsheets/d/1yDAaXNsi4Mr5FtRQL4tbmSdIzhx6_m4wkOD7IG-k_eo/edit#gid=1336395716"", ""Science!M:N""), 2, FALSE)"),"#N/A")</f>
        <v>#N/A</v>
      </c>
      <c r="S30" s="10" t="str">
        <f t="shared" si="5"/>
        <v>LU005359.006</v>
      </c>
      <c r="T30" s="10" t="str">
        <f ca="1">IFERROR(__xludf.DUMMYFUNCTION("VLOOKUP(S30, IMPORTRANGE(""https://docs.google.com/spreadsheets/d/1yDAaXNsi4Mr5FtRQL4tbmSdIzhx6_m4wkOD7IG-k_eo/edit#gid=1336395716"", ""Science!M:N""), 2, FALSE)"),"#N/A")</f>
        <v>#N/A</v>
      </c>
      <c r="U30" s="116">
        <f ca="1">IFERROR(__xludf.DUMMYFUNCTION("ArrayFormula(VLOOKUP(G30, IMPORTRANGE(""https://docs.google.com/spreadsheets/d/1p7R4vtkWt5VOBim4ltsDG9KTzSjrtKXsMtQGXPHyND0/edit#gid=795171502"", ""'Filter 30_05_2024'!A1:M2000""), {2, 3, 4, 5,6,7,8,9,10,11,12,13}, 0))"),10)</f>
        <v>10</v>
      </c>
      <c r="V30" s="116">
        <f ca="1">IFERROR(__xludf.DUMMYFUNCTION("""COMPUTED_VALUE"""),6)</f>
        <v>6</v>
      </c>
      <c r="W30" s="116">
        <f ca="1">IFERROR(__xludf.DUMMYFUNCTION("""COMPUTED_VALUE"""),2)</f>
        <v>2</v>
      </c>
      <c r="X30" s="116">
        <f ca="1">IFERROR(__xludf.DUMMYFUNCTION("""COMPUTED_VALUE"""),18)</f>
        <v>18</v>
      </c>
      <c r="Y30" s="116">
        <f ca="1">IFERROR(__xludf.DUMMYFUNCTION("""COMPUTED_VALUE"""),4)</f>
        <v>4</v>
      </c>
      <c r="Z30" s="12">
        <f ca="1">IFERROR(__xludf.DUMMYFUNCTION("""COMPUTED_VALUE"""),2)</f>
        <v>2</v>
      </c>
      <c r="AA30" s="12">
        <f ca="1">IFERROR(__xludf.DUMMYFUNCTION("""COMPUTED_VALUE"""),1)</f>
        <v>1</v>
      </c>
      <c r="AB30" s="12">
        <f ca="1">IFERROR(__xludf.DUMMYFUNCTION("""COMPUTED_VALUE"""),7)</f>
        <v>7</v>
      </c>
      <c r="AC30" s="12"/>
      <c r="AD30" s="12"/>
      <c r="AE30" s="12"/>
      <c r="AF30" s="12"/>
      <c r="AG30" s="13" t="str">
        <f ca="1">IFERROR(__xludf.DUMMYFUNCTION("ArrayFormula(VLOOKUP(G30, IMPORTRANGE(""https://docs.google.com/spreadsheets/d/1Co934fvtviyaRiMsrIlT05Jaq7iiYq07aLvRr35KA48/edit?gid=173865642#gid=173865642"", ""'G7_Sci_Pri_LU'!G2:V2000""), {3, 4, 5, 6, 7, 8, 9, 10, 11, 12, 13, 14, 15, 16}, 0))"),"LU005355")</f>
        <v>LU005355</v>
      </c>
      <c r="AH30" s="13" t="str">
        <f ca="1">IFERROR(__xludf.DUMMYFUNCTION("""COMPUTED_VALUE"""),"Definition of transfer of heat")</f>
        <v>Definition of transfer of heat</v>
      </c>
      <c r="AI30" s="13" t="str">
        <f ca="1">IFERROR(__xludf.DUMMYFUNCTION("""COMPUTED_VALUE"""),"LU005354")</f>
        <v>LU005354</v>
      </c>
      <c r="AJ30" s="13" t="str">
        <f ca="1">IFERROR(__xludf.DUMMYFUNCTION("""COMPUTED_VALUE"""),"Definition and units of temperature")</f>
        <v>Definition and units of temperature</v>
      </c>
      <c r="AK30" s="13"/>
      <c r="AL30" s="13"/>
      <c r="AM30" s="13"/>
      <c r="AN30" s="13"/>
      <c r="AO30" s="13"/>
      <c r="AP30" s="13"/>
      <c r="AQ30" s="13"/>
      <c r="AR30" s="13"/>
      <c r="AS30" s="13"/>
      <c r="AT30" s="13"/>
    </row>
    <row r="31" spans="1:46">
      <c r="A31" s="8" t="s">
        <v>247</v>
      </c>
      <c r="B31" s="8" t="s">
        <v>47</v>
      </c>
      <c r="C31" s="8" t="s">
        <v>416</v>
      </c>
      <c r="D31" s="8" t="s">
        <v>1510</v>
      </c>
      <c r="E31" s="8" t="s">
        <v>1839</v>
      </c>
      <c r="F31" s="8" t="s">
        <v>1847</v>
      </c>
      <c r="G31" s="8" t="s">
        <v>1850</v>
      </c>
      <c r="H31" s="8" t="str">
        <f ca="1">IFERROR(__xludf.DUMMYFUNCTION("VLOOKUP(G31, IMPORTRANGE(""https://docs.google.com/spreadsheets/d/14deopnvwcrKtEGCKuYXdUHJbeLDZlkiSSWWT0g7x2pM/edit#gid=849066331"", ""LU List Science (Filter)!A:B""), 2, FALSE)"),"Application of heat conduction")</f>
        <v>Application of heat conduction</v>
      </c>
      <c r="I31" s="10" t="str">
        <f t="shared" si="0"/>
        <v>LU005352.001</v>
      </c>
      <c r="J31" s="10" t="str">
        <f ca="1">IFERROR(__xludf.DUMMYFUNCTION("VLOOKUP(I31, IMPORTRANGE(""https://docs.google.com/spreadsheets/d/1yDAaXNsi4Mr5FtRQL4tbmSdIzhx6_m4wkOD7IG-k_eo/edit#gid=1336395716"", ""Science!M:N""), 2, FALSE)"),"Define heat conductor and insulator with examples. ")</f>
        <v xml:space="preserve">Define heat conductor and insulator with examples. </v>
      </c>
      <c r="K31" s="10" t="str">
        <f t="shared" si="1"/>
        <v>LU005352.002</v>
      </c>
      <c r="L31" s="10" t="str">
        <f ca="1">IFERROR(__xludf.DUMMYFUNCTION("VLOOKUP(K31, IMPORTRANGE(""https://docs.google.com/spreadsheets/d/1yDAaXNsi4Mr5FtRQL4tbmSdIzhx6_m4wkOD7IG-k_eo/edit#gid=1336395716"", ""Science!M:N""), 2, FALSE)"),"Explain the difference between heat conductors and insulators")</f>
        <v>Explain the difference between heat conductors and insulators</v>
      </c>
      <c r="M31" s="10" t="str">
        <f t="shared" si="2"/>
        <v>LU005352.003</v>
      </c>
      <c r="N31" s="10" t="str">
        <f ca="1">IFERROR(__xludf.DUMMYFUNCTION("VLOOKUP(M31, IMPORTRANGE(""https://docs.google.com/spreadsheets/d/1yDAaXNsi4Mr5FtRQL4tbmSdIzhx6_m4wkOD7IG-k_eo/edit#gid=1336395716"", ""Science!M:N""), 2, FALSE)"),"Classify given materials as heat conductors or insulators.")</f>
        <v>Classify given materials as heat conductors or insulators.</v>
      </c>
      <c r="O31" s="10" t="str">
        <f t="shared" si="3"/>
        <v>LU005352.004</v>
      </c>
      <c r="P31" s="10" t="str">
        <f ca="1">IFERROR(__xludf.DUMMYFUNCTION("VLOOKUP(O31, IMPORTRANGE(""https://docs.google.com/spreadsheets/d/1yDAaXNsi4Mr5FtRQL4tbmSdIzhx6_m4wkOD7IG-k_eo/edit#gid=1336395716"", ""Science!M:N""), 2, FALSE)"),"Compare and contrast the conduction properties of different materials.")</f>
        <v>Compare and contrast the conduction properties of different materials.</v>
      </c>
      <c r="Q31" s="10" t="str">
        <f t="shared" si="4"/>
        <v>LU005352.005</v>
      </c>
      <c r="R31" s="10" t="str">
        <f ca="1">IFERROR(__xludf.DUMMYFUNCTION("VLOOKUP(Q31, IMPORTRANGE(""https://docs.google.com/spreadsheets/d/1yDAaXNsi4Mr5FtRQL4tbmSdIzhx6_m4wkOD7IG-k_eo/edit#gid=1336395716"", ""Science!M:N""), 2, FALSE)"),"Assess real-world applications of heat conduction, such as cooking utensils or building insulation, and justify which materials are best suited for specific purposes based on their heat conduction properties.")</f>
        <v>Assess real-world applications of heat conduction, such as cooking utensils or building insulation, and justify which materials are best suited for specific purposes based on their heat conduction properties.</v>
      </c>
      <c r="S31" s="10" t="str">
        <f t="shared" si="5"/>
        <v>LU005352.006</v>
      </c>
      <c r="T31" s="10" t="str">
        <f ca="1">IFERROR(__xludf.DUMMYFUNCTION("VLOOKUP(S31, IMPORTRANGE(""https://docs.google.com/spreadsheets/d/1yDAaXNsi4Mr5FtRQL4tbmSdIzhx6_m4wkOD7IG-k_eo/edit#gid=1336395716"", ""Science!M:N""), 2, FALSE)"),"Construct a simple apparatus to test the conductivity of different materials and interpret the results.")</f>
        <v>Construct a simple apparatus to test the conductivity of different materials and interpret the results.</v>
      </c>
      <c r="U31" s="116">
        <f ca="1">IFERROR(__xludf.DUMMYFUNCTION("ArrayFormula(VLOOKUP(G31, IMPORTRANGE(""https://docs.google.com/spreadsheets/d/1p7R4vtkWt5VOBim4ltsDG9KTzSjrtKXsMtQGXPHyND0/edit#gid=795171502"", ""'Filter 30_05_2024'!A1:M2000""), {2, 3, 4, 5,6,7,8,9,10,11,12,13}, 0))"),6)</f>
        <v>6</v>
      </c>
      <c r="V31" s="116">
        <f ca="1">IFERROR(__xludf.DUMMYFUNCTION("""COMPUTED_VALUE"""),6)</f>
        <v>6</v>
      </c>
      <c r="W31" s="116">
        <f ca="1">IFERROR(__xludf.DUMMYFUNCTION("""COMPUTED_VALUE"""),4)</f>
        <v>4</v>
      </c>
      <c r="X31" s="116">
        <f ca="1">IFERROR(__xludf.DUMMYFUNCTION("""COMPUTED_VALUE"""),16)</f>
        <v>16</v>
      </c>
      <c r="Y31" s="116">
        <f ca="1">IFERROR(__xludf.DUMMYFUNCTION("""COMPUTED_VALUE"""),4)</f>
        <v>4</v>
      </c>
      <c r="Z31" s="12">
        <f ca="1">IFERROR(__xludf.DUMMYFUNCTION("""COMPUTED_VALUE"""),5)</f>
        <v>5</v>
      </c>
      <c r="AA31" s="12">
        <f ca="1">IFERROR(__xludf.DUMMYFUNCTION("""COMPUTED_VALUE"""),4)</f>
        <v>4</v>
      </c>
      <c r="AB31" s="12">
        <f ca="1">IFERROR(__xludf.DUMMYFUNCTION("""COMPUTED_VALUE"""),13)</f>
        <v>13</v>
      </c>
      <c r="AC31" s="12"/>
      <c r="AD31" s="12"/>
      <c r="AE31" s="12"/>
      <c r="AF31" s="12"/>
      <c r="AG31" s="13" t="str">
        <f ca="1">IFERROR(__xludf.DUMMYFUNCTION("ArrayFormula(VLOOKUP(G31, IMPORTRANGE(""https://docs.google.com/spreadsheets/d/1Co934fvtviyaRiMsrIlT05Jaq7iiYq07aLvRr35KA48/edit?gid=173865642#gid=173865642"", ""'G7_Sci_Pri_LU'!G2:V2000""), {3, 4, 5, 6, 7, 8, 9, 10, 11, 12, 13, 14, 15, 16}, 0))"),"LU005359")</f>
        <v>LU005359</v>
      </c>
      <c r="AH31" s="13" t="str">
        <f ca="1">IFERROR(__xludf.DUMMYFUNCTION("""COMPUTED_VALUE"""),"Process of heat conduction")</f>
        <v>Process of heat conduction</v>
      </c>
      <c r="AI31" s="13" t="str">
        <f ca="1">IFERROR(__xludf.DUMMYFUNCTION("""COMPUTED_VALUE"""),"LU005355")</f>
        <v>LU005355</v>
      </c>
      <c r="AJ31" s="13" t="str">
        <f ca="1">IFERROR(__xludf.DUMMYFUNCTION("""COMPUTED_VALUE"""),"Definition of transfer of heat")</f>
        <v>Definition of transfer of heat</v>
      </c>
      <c r="AK31" s="13" t="str">
        <f ca="1">IFERROR(__xludf.DUMMYFUNCTION("""COMPUTED_VALUE"""),"LU005354")</f>
        <v>LU005354</v>
      </c>
      <c r="AL31" s="13" t="str">
        <f ca="1">IFERROR(__xludf.DUMMYFUNCTION("""COMPUTED_VALUE"""),"Definition and units of temperature")</f>
        <v>Definition and units of temperature</v>
      </c>
      <c r="AM31" s="13"/>
      <c r="AN31" s="13"/>
      <c r="AO31" s="13"/>
      <c r="AP31" s="13"/>
      <c r="AQ31" s="13"/>
      <c r="AR31" s="13"/>
      <c r="AS31" s="13"/>
      <c r="AT31" s="13"/>
    </row>
    <row r="32" spans="1:46">
      <c r="A32" s="8" t="s">
        <v>247</v>
      </c>
      <c r="B32" s="8" t="s">
        <v>47</v>
      </c>
      <c r="C32" s="8" t="s">
        <v>416</v>
      </c>
      <c r="D32" s="8" t="s">
        <v>1510</v>
      </c>
      <c r="E32" s="8" t="s">
        <v>1839</v>
      </c>
      <c r="F32" s="8" t="s">
        <v>1851</v>
      </c>
      <c r="G32" s="8" t="s">
        <v>1852</v>
      </c>
      <c r="H32" s="8" t="str">
        <f ca="1">IFERROR(__xludf.DUMMYFUNCTION("VLOOKUP(G32, IMPORTRANGE(""https://docs.google.com/spreadsheets/d/14deopnvwcrKtEGCKuYXdUHJbeLDZlkiSSWWT0g7x2pM/edit#gid=849066331"", ""LU List Science (Filter)!A:B""), 2, FALSE)"),"Process of convection")</f>
        <v>Process of convection</v>
      </c>
      <c r="I32" s="10" t="str">
        <f t="shared" si="0"/>
        <v>LU005358.001</v>
      </c>
      <c r="J32" s="10" t="str">
        <f ca="1">IFERROR(__xludf.DUMMYFUNCTION("VLOOKUP(I32, IMPORTRANGE(""https://docs.google.com/spreadsheets/d/1yDAaXNsi4Mr5FtRQL4tbmSdIzhx6_m4wkOD7IG-k_eo/edit#gid=1336395716"", ""Science!M:N""), 2, FALSE)"),"Define convection and its role in the movement of heat in fluids.")</f>
        <v>Define convection and its role in the movement of heat in fluids.</v>
      </c>
      <c r="K32" s="10" t="str">
        <f t="shared" si="1"/>
        <v>LU005358.002</v>
      </c>
      <c r="L32" s="10" t="str">
        <f ca="1">IFERROR(__xludf.DUMMYFUNCTION("VLOOKUP(K32, IMPORTRANGE(""https://docs.google.com/spreadsheets/d/1yDAaXNsi4Mr5FtRQL4tbmSdIzhx6_m4wkOD7IG-k_eo/edit#gid=1336395716"", ""Science!M:N""), 2, FALSE)"),"Summarize the steps involved in the convection cycle.")</f>
        <v>Summarize the steps involved in the convection cycle.</v>
      </c>
      <c r="M32" s="10" t="str">
        <f t="shared" si="2"/>
        <v>LU005358.003</v>
      </c>
      <c r="N32" s="10" t="str">
        <f ca="1">IFERROR(__xludf.DUMMYFUNCTION("VLOOKUP(M32, IMPORTRANGE(""https://docs.google.com/spreadsheets/d/1yDAaXNsi4Mr5FtRQL4tbmSdIzhx6_m4wkOD7IG-k_eo/edit#gid=1336395716"", ""Science!M:N""), 2, FALSE)"),"Apply the principle of convection by depicting the movement of both hot air and hot water in response to heat application.")</f>
        <v>Apply the principle of convection by depicting the movement of both hot air and hot water in response to heat application.</v>
      </c>
      <c r="O32" s="10" t="str">
        <f t="shared" si="3"/>
        <v>LU005358.004</v>
      </c>
      <c r="P32" s="10" t="str">
        <f ca="1">IFERROR(__xludf.DUMMYFUNCTION("VLOOKUP(O32, IMPORTRANGE(""https://docs.google.com/spreadsheets/d/1yDAaXNsi4Mr5FtRQL4tbmSdIzhx6_m4wkOD7IG-k_eo/edit#gid=1336395716"", ""Science!M:N""), 2, FALSE)"),"Compare and contrast convection with other modes of heat transfer.")</f>
        <v>Compare and contrast convection with other modes of heat transfer.</v>
      </c>
      <c r="Q32" s="10" t="str">
        <f t="shared" si="4"/>
        <v>LU005358.005</v>
      </c>
      <c r="R32" s="10" t="str">
        <f ca="1">IFERROR(__xludf.DUMMYFUNCTION("VLOOKUP(Q32, IMPORTRANGE(""https://docs.google.com/spreadsheets/d/1yDAaXNsi4Mr5FtRQL4tbmSdIzhx6_m4wkOD7IG-k_eo/edit#gid=1336395716"", ""Science!M:N""), 2, FALSE)"),"#N/A")</f>
        <v>#N/A</v>
      </c>
      <c r="S32" s="10" t="str">
        <f t="shared" si="5"/>
        <v>LU005358.006</v>
      </c>
      <c r="T32" s="10" t="str">
        <f ca="1">IFERROR(__xludf.DUMMYFUNCTION("VLOOKUP(S32, IMPORTRANGE(""https://docs.google.com/spreadsheets/d/1yDAaXNsi4Mr5FtRQL4tbmSdIzhx6_m4wkOD7IG-k_eo/edit#gid=1336395716"", ""Science!M:N""), 2, FALSE)"),"Devise an experimental setup using household items to visualize the convection currents in water.")</f>
        <v>Devise an experimental setup using household items to visualize the convection currents in water.</v>
      </c>
      <c r="U32" s="116">
        <f ca="1">IFERROR(__xludf.DUMMYFUNCTION("ArrayFormula(VLOOKUP(G32, IMPORTRANGE(""https://docs.google.com/spreadsheets/d/1p7R4vtkWt5VOBim4ltsDG9KTzSjrtKXsMtQGXPHyND0/edit#gid=795171502"", ""'Filter 30_05_2024'!A1:M2000""), {2, 3, 4, 5,6,7,8,9,10,11,12,13}, 0))"),18)</f>
        <v>18</v>
      </c>
      <c r="V32" s="116">
        <f ca="1">IFERROR(__xludf.DUMMYFUNCTION("""COMPUTED_VALUE"""),7)</f>
        <v>7</v>
      </c>
      <c r="W32" s="116">
        <f ca="1">IFERROR(__xludf.DUMMYFUNCTION("""COMPUTED_VALUE"""),2)</f>
        <v>2</v>
      </c>
      <c r="X32" s="116">
        <f ca="1">IFERROR(__xludf.DUMMYFUNCTION("""COMPUTED_VALUE"""),27)</f>
        <v>27</v>
      </c>
      <c r="Y32" s="116">
        <f ca="1">IFERROR(__xludf.DUMMYFUNCTION("""COMPUTED_VALUE"""),7)</f>
        <v>7</v>
      </c>
      <c r="Z32" s="12">
        <f ca="1">IFERROR(__xludf.DUMMYFUNCTION("""COMPUTED_VALUE"""),3)</f>
        <v>3</v>
      </c>
      <c r="AA32" s="12">
        <f ca="1">IFERROR(__xludf.DUMMYFUNCTION("""COMPUTED_VALUE"""),1)</f>
        <v>1</v>
      </c>
      <c r="AB32" s="12">
        <f ca="1">IFERROR(__xludf.DUMMYFUNCTION("""COMPUTED_VALUE"""),11)</f>
        <v>11</v>
      </c>
      <c r="AC32" s="12"/>
      <c r="AD32" s="12"/>
      <c r="AE32" s="12"/>
      <c r="AF32" s="12"/>
      <c r="AG32" s="13" t="str">
        <f ca="1">IFERROR(__xludf.DUMMYFUNCTION("ArrayFormula(VLOOKUP(G32, IMPORTRANGE(""https://docs.google.com/spreadsheets/d/1Co934fvtviyaRiMsrIlT05Jaq7iiYq07aLvRr35KA48/edit?gid=173865642#gid=173865642"", ""'G7_Sci_Pri_LU'!G2:V2000""), {3, 4, 5, 6, 7, 8, 9, 10, 11, 12, 13, 14, 15, 16}, 0))"),"LU005359")</f>
        <v>LU005359</v>
      </c>
      <c r="AH32" s="13" t="str">
        <f ca="1">IFERROR(__xludf.DUMMYFUNCTION("""COMPUTED_VALUE"""),"Process of heat conduction")</f>
        <v>Process of heat conduction</v>
      </c>
      <c r="AI32" s="13" t="str">
        <f ca="1">IFERROR(__xludf.DUMMYFUNCTION("""COMPUTED_VALUE"""),"LU005355")</f>
        <v>LU005355</v>
      </c>
      <c r="AJ32" s="13" t="str">
        <f ca="1">IFERROR(__xludf.DUMMYFUNCTION("""COMPUTED_VALUE"""),"Definition of transfer of heat")</f>
        <v>Definition of transfer of heat</v>
      </c>
      <c r="AK32" s="13" t="str">
        <f ca="1">IFERROR(__xludf.DUMMYFUNCTION("""COMPUTED_VALUE"""),"LU005354")</f>
        <v>LU005354</v>
      </c>
      <c r="AL32" s="13" t="str">
        <f ca="1">IFERROR(__xludf.DUMMYFUNCTION("""COMPUTED_VALUE"""),"Definition and units of temperature")</f>
        <v>Definition and units of temperature</v>
      </c>
      <c r="AM32" s="13"/>
      <c r="AN32" s="13"/>
      <c r="AO32" s="13"/>
      <c r="AP32" s="13"/>
      <c r="AQ32" s="13"/>
      <c r="AR32" s="13"/>
      <c r="AS32" s="13"/>
      <c r="AT32" s="13"/>
    </row>
    <row r="33" spans="1:46">
      <c r="A33" s="8" t="s">
        <v>247</v>
      </c>
      <c r="B33" s="8" t="s">
        <v>47</v>
      </c>
      <c r="C33" s="8" t="s">
        <v>416</v>
      </c>
      <c r="D33" s="8" t="s">
        <v>1510</v>
      </c>
      <c r="E33" s="8" t="s">
        <v>1839</v>
      </c>
      <c r="F33" s="8" t="s">
        <v>1851</v>
      </c>
      <c r="G33" s="8" t="s">
        <v>1853</v>
      </c>
      <c r="H33" s="8" t="str">
        <f ca="1">IFERROR(__xludf.DUMMYFUNCTION("VLOOKUP(G33, IMPORTRANGE(""https://docs.google.com/spreadsheets/d/14deopnvwcrKtEGCKuYXdUHJbeLDZlkiSSWWT0g7x2pM/edit#gid=849066331"", ""LU List Science (Filter)!A:B""), 2, FALSE)"),"Application of convection")</f>
        <v>Application of convection</v>
      </c>
      <c r="I33" s="10" t="str">
        <f t="shared" si="0"/>
        <v>LU005351.001</v>
      </c>
      <c r="J33" s="10" t="str">
        <f ca="1">IFERROR(__xludf.DUMMYFUNCTION("VLOOKUP(I33, IMPORTRANGE(""https://docs.google.com/spreadsheets/d/1yDAaXNsi4Mr5FtRQL4tbmSdIzhx6_m4wkOD7IG-k_eo/edit#gid=1336395716"", ""Science!M:N""), 2, FALSE)")," Identify devices and natural phenomena where convection is the primary mode of heat transfer.")</f>
        <v xml:space="preserve"> Identify devices and natural phenomena where convection is the primary mode of heat transfer.</v>
      </c>
      <c r="K33" s="10" t="str">
        <f t="shared" si="1"/>
        <v>LU005351.002</v>
      </c>
      <c r="L33" s="10" t="str">
        <f ca="1">IFERROR(__xludf.DUMMYFUNCTION("VLOOKUP(K33, IMPORTRANGE(""https://docs.google.com/spreadsheets/d/1yDAaXNsi4Mr5FtRQL4tbmSdIzhx6_m4wkOD7IG-k_eo/edit#gid=1336395716"", ""Science!M:N""), 2, FALSE)"),"Describe how convection drives sea &amp; land breezes")</f>
        <v>Describe how convection drives sea &amp; land breezes</v>
      </c>
      <c r="M33" s="10" t="str">
        <f t="shared" si="2"/>
        <v>LU005351.003</v>
      </c>
      <c r="N33" s="10" t="str">
        <f ca="1">IFERROR(__xludf.DUMMYFUNCTION("VLOOKUP(M33, IMPORTRANGE(""https://docs.google.com/spreadsheets/d/1yDAaXNsi4Mr5FtRQL4tbmSdIzhx6_m4wkOD7IG-k_eo/edit#gid=1336395716"", ""Science!M:N""), 2, FALSE)"),"Apply the principles of convection to illustrate and explain the mechanisms driving sea and land breezes, and demonstrate how a chimney uses convection to expel smoke.")</f>
        <v>Apply the principles of convection to illustrate and explain the mechanisms driving sea and land breezes, and demonstrate how a chimney uses convection to expel smoke.</v>
      </c>
      <c r="O33" s="10" t="str">
        <f t="shared" si="3"/>
        <v>LU005351.004</v>
      </c>
      <c r="P33" s="10" t="str">
        <f ca="1">IFERROR(__xludf.DUMMYFUNCTION("VLOOKUP(O33, IMPORTRANGE(""https://docs.google.com/spreadsheets/d/1yDAaXNsi4Mr5FtRQL4tbmSdIzhx6_m4wkOD7IG-k_eo/edit#gid=1336395716"", ""Science!M:N""), 2, FALSE)"),"#N/A")</f>
        <v>#N/A</v>
      </c>
      <c r="Q33" s="10" t="str">
        <f t="shared" si="4"/>
        <v>LU005351.005</v>
      </c>
      <c r="R33" s="10" t="str">
        <f ca="1">IFERROR(__xludf.DUMMYFUNCTION("VLOOKUP(Q33, IMPORTRANGE(""https://docs.google.com/spreadsheets/d/1yDAaXNsi4Mr5FtRQL4tbmSdIzhx6_m4wkOD7IG-k_eo/edit#gid=1336395716"", ""Science!M:N""), 2, FALSE)"),"Critique a given design (like a particular type of chimney) for its efficiency in promoting convection.")</f>
        <v>Critique a given design (like a particular type of chimney) for its efficiency in promoting convection.</v>
      </c>
      <c r="S33" s="10" t="str">
        <f t="shared" si="5"/>
        <v>LU005351.006</v>
      </c>
      <c r="T33" s="10" t="str">
        <f ca="1">IFERROR(__xludf.DUMMYFUNCTION("VLOOKUP(S33, IMPORTRANGE(""https://docs.google.com/spreadsheets/d/1yDAaXNsi4Mr5FtRQL4tbmSdIzhx6_m4wkOD7IG-k_eo/edit#gid=1336395716"", ""Science!M:N""), 2, FALSE)"),"Design a simple machine or model that uses convection effectively for a specific purpose, drawing inspiration from studied applications.")</f>
        <v>Design a simple machine or model that uses convection effectively for a specific purpose, drawing inspiration from studied applications.</v>
      </c>
      <c r="U33" s="116">
        <f ca="1">IFERROR(__xludf.DUMMYFUNCTION("ArrayFormula(VLOOKUP(G33, IMPORTRANGE(""https://docs.google.com/spreadsheets/d/1p7R4vtkWt5VOBim4ltsDG9KTzSjrtKXsMtQGXPHyND0/edit#gid=795171502"", ""'Filter 30_05_2024'!A1:M2000""), {2, 3, 4, 5,6,7,8,9,10,11,12,13}, 0))"),10)</f>
        <v>10</v>
      </c>
      <c r="V33" s="116">
        <f ca="1">IFERROR(__xludf.DUMMYFUNCTION("""COMPUTED_VALUE"""),6)</f>
        <v>6</v>
      </c>
      <c r="W33" s="116">
        <f ca="1">IFERROR(__xludf.DUMMYFUNCTION("""COMPUTED_VALUE"""),2)</f>
        <v>2</v>
      </c>
      <c r="X33" s="116">
        <f ca="1">IFERROR(__xludf.DUMMYFUNCTION("""COMPUTED_VALUE"""),18)</f>
        <v>18</v>
      </c>
      <c r="Y33" s="116">
        <f ca="1">IFERROR(__xludf.DUMMYFUNCTION("""COMPUTED_VALUE"""),4)</f>
        <v>4</v>
      </c>
      <c r="Z33" s="12">
        <f ca="1">IFERROR(__xludf.DUMMYFUNCTION("""COMPUTED_VALUE"""),4)</f>
        <v>4</v>
      </c>
      <c r="AA33" s="12">
        <f ca="1">IFERROR(__xludf.DUMMYFUNCTION("""COMPUTED_VALUE"""),1)</f>
        <v>1</v>
      </c>
      <c r="AB33" s="12">
        <f ca="1">IFERROR(__xludf.DUMMYFUNCTION("""COMPUTED_VALUE"""),9)</f>
        <v>9</v>
      </c>
      <c r="AC33" s="12"/>
      <c r="AD33" s="12"/>
      <c r="AE33" s="12"/>
      <c r="AF33" s="12"/>
      <c r="AG33" s="13" t="str">
        <f ca="1">IFERROR(__xludf.DUMMYFUNCTION("ArrayFormula(VLOOKUP(G33, IMPORTRANGE(""https://docs.google.com/spreadsheets/d/1Co934fvtviyaRiMsrIlT05Jaq7iiYq07aLvRr35KA48/edit?gid=173865642#gid=173865642"", ""'G7_Sci_Pri_LU'!G2:V2000""), {3, 4, 5, 6, 7, 8, 9, 10, 11, 12, 13, 14, 15, 16}, 0))"),"LU005358")</f>
        <v>LU005358</v>
      </c>
      <c r="AH33" s="13" t="str">
        <f ca="1">IFERROR(__xludf.DUMMYFUNCTION("""COMPUTED_VALUE"""),"Process of convection")</f>
        <v>Process of convection</v>
      </c>
      <c r="AI33" s="13" t="str">
        <f ca="1">IFERROR(__xludf.DUMMYFUNCTION("""COMPUTED_VALUE"""),"LU005355")</f>
        <v>LU005355</v>
      </c>
      <c r="AJ33" s="13" t="str">
        <f ca="1">IFERROR(__xludf.DUMMYFUNCTION("""COMPUTED_VALUE"""),"Definition of transfer of heat")</f>
        <v>Definition of transfer of heat</v>
      </c>
      <c r="AK33" s="13" t="str">
        <f ca="1">IFERROR(__xludf.DUMMYFUNCTION("""COMPUTED_VALUE"""),"LU005354")</f>
        <v>LU005354</v>
      </c>
      <c r="AL33" s="13" t="str">
        <f ca="1">IFERROR(__xludf.DUMMYFUNCTION("""COMPUTED_VALUE"""),"Definition and units of temperature")</f>
        <v>Definition and units of temperature</v>
      </c>
      <c r="AM33" s="13"/>
      <c r="AN33" s="13"/>
      <c r="AO33" s="13"/>
      <c r="AP33" s="13"/>
      <c r="AQ33" s="13"/>
      <c r="AR33" s="13"/>
      <c r="AS33" s="13"/>
      <c r="AT33" s="13"/>
    </row>
    <row r="34" spans="1:46">
      <c r="A34" s="8" t="s">
        <v>247</v>
      </c>
      <c r="B34" s="8" t="s">
        <v>47</v>
      </c>
      <c r="C34" s="8" t="s">
        <v>416</v>
      </c>
      <c r="D34" s="8" t="s">
        <v>1510</v>
      </c>
      <c r="E34" s="8" t="s">
        <v>1839</v>
      </c>
      <c r="F34" s="8" t="s">
        <v>1854</v>
      </c>
      <c r="G34" s="8" t="s">
        <v>1855</v>
      </c>
      <c r="H34" s="8" t="str">
        <f ca="1">IFERROR(__xludf.DUMMYFUNCTION("VLOOKUP(G34, IMPORTRANGE(""https://docs.google.com/spreadsheets/d/14deopnvwcrKtEGCKuYXdUHJbeLDZlkiSSWWT0g7x2pM/edit#gid=849066331"", ""LU List Science (Filter)!A:B""), 2, FALSE)"),"Process of radiation")</f>
        <v>Process of radiation</v>
      </c>
      <c r="I34" s="10" t="str">
        <f t="shared" si="0"/>
        <v>LU005360.001</v>
      </c>
      <c r="J34" s="10" t="str">
        <f ca="1">IFERROR(__xludf.DUMMYFUNCTION("VLOOKUP(I34, IMPORTRANGE(""https://docs.google.com/spreadsheets/d/1yDAaXNsi4Mr5FtRQL4tbmSdIzhx6_m4wkOD7IG-k_eo/edit#gid=1336395716"", ""Science!M:N""), 2, FALSE)"),"Define radiation as a method of heat transfer.")</f>
        <v>Define radiation as a method of heat transfer.</v>
      </c>
      <c r="K34" s="10" t="str">
        <f t="shared" si="1"/>
        <v>LU005360.002</v>
      </c>
      <c r="L34" s="10" t="str">
        <f ca="1">IFERROR(__xludf.DUMMYFUNCTION("VLOOKUP(K34, IMPORTRANGE(""https://docs.google.com/spreadsheets/d/1yDAaXNsi4Mr5FtRQL4tbmSdIzhx6_m4wkOD7IG-k_eo/edit#gid=1336395716"", ""Science!M:N""), 2, FALSE)"),"Explain how radiation transfers energy without the need for a medium.")</f>
        <v>Explain how radiation transfers energy without the need for a medium.</v>
      </c>
      <c r="M34" s="10" t="str">
        <f t="shared" si="2"/>
        <v>LU005360.003</v>
      </c>
      <c r="N34" s="10" t="str">
        <f ca="1">IFERROR(__xludf.DUMMYFUNCTION("VLOOKUP(M34, IMPORTRANGE(""https://docs.google.com/spreadsheets/d/1yDAaXNsi4Mr5FtRQL4tbmSdIzhx6_m4wkOD7IG-k_eo/edit#gid=1336395716"", ""Science!M:N""), 2, FALSE)"),"Recognize everyday situations that primarily use radiation as a mode of heat transfer.")</f>
        <v>Recognize everyday situations that primarily use radiation as a mode of heat transfer.</v>
      </c>
      <c r="O34" s="10" t="str">
        <f t="shared" si="3"/>
        <v>LU005360.004</v>
      </c>
      <c r="P34" s="10" t="str">
        <f ca="1">IFERROR(__xludf.DUMMYFUNCTION("VLOOKUP(O34, IMPORTRANGE(""https://docs.google.com/spreadsheets/d/1yDAaXNsi4Mr5FtRQL4tbmSdIzhx6_m4wkOD7IG-k_eo/edit#gid=1336395716"", ""Science!M:N""), 2, FALSE)"),"Compare and contrast radiation with other modes of heat transfer.")</f>
        <v>Compare and contrast radiation with other modes of heat transfer.</v>
      </c>
      <c r="Q34" s="10" t="str">
        <f t="shared" si="4"/>
        <v>LU005360.005</v>
      </c>
      <c r="R34" s="10" t="str">
        <f ca="1">IFERROR(__xludf.DUMMYFUNCTION("VLOOKUP(Q34, IMPORTRANGE(""https://docs.google.com/spreadsheets/d/1yDAaXNsi4Mr5FtRQL4tbmSdIzhx6_m4wkOD7IG-k_eo/edit#gid=1336395716"", ""Science!M:N""), 2, FALSE)"),"Evaluate the significance of radiation in contexts like global warming or the greenhouse effect")</f>
        <v>Evaluate the significance of radiation in contexts like global warming or the greenhouse effect</v>
      </c>
      <c r="S34" s="10" t="str">
        <f t="shared" si="5"/>
        <v>LU005360.006</v>
      </c>
      <c r="T34" s="10" t="str">
        <f ca="1">IFERROR(__xludf.DUMMYFUNCTION("VLOOKUP(S34, IMPORTRANGE(""https://docs.google.com/spreadsheets/d/1yDAaXNsi4Mr5FtRQL4tbmSdIzhx6_m4wkOD7IG-k_eo/edit#gid=1336395716"", ""Science!M:N""), 2, FALSE)"),"Devise a setup or model that illustrates how radiation transfers heat.")</f>
        <v>Devise a setup or model that illustrates how radiation transfers heat.</v>
      </c>
      <c r="U34" s="116">
        <f ca="1">IFERROR(__xludf.DUMMYFUNCTION("ArrayFormula(VLOOKUP(G34, IMPORTRANGE(""https://docs.google.com/spreadsheets/d/1p7R4vtkWt5VOBim4ltsDG9KTzSjrtKXsMtQGXPHyND0/edit#gid=795171502"", ""'Filter 30_05_2024'!A1:M2000""), {2, 3, 4, 5,6,7,8,9,10,11,12,13}, 0))"),3)</f>
        <v>3</v>
      </c>
      <c r="V34" s="116">
        <f ca="1">IFERROR(__xludf.DUMMYFUNCTION("""COMPUTED_VALUE"""),6)</f>
        <v>6</v>
      </c>
      <c r="W34" s="116">
        <f ca="1">IFERROR(__xludf.DUMMYFUNCTION("""COMPUTED_VALUE"""),2)</f>
        <v>2</v>
      </c>
      <c r="X34" s="116">
        <f ca="1">IFERROR(__xludf.DUMMYFUNCTION("""COMPUTED_VALUE"""),11)</f>
        <v>11</v>
      </c>
      <c r="Y34" s="116">
        <f ca="1">IFERROR(__xludf.DUMMYFUNCTION("""COMPUTED_VALUE"""),4)</f>
        <v>4</v>
      </c>
      <c r="Z34" s="12">
        <f ca="1">IFERROR(__xludf.DUMMYFUNCTION("""COMPUTED_VALUE"""),3)</f>
        <v>3</v>
      </c>
      <c r="AA34" s="12">
        <f ca="1">IFERROR(__xludf.DUMMYFUNCTION("""COMPUTED_VALUE"""),1)</f>
        <v>1</v>
      </c>
      <c r="AB34" s="12">
        <f ca="1">IFERROR(__xludf.DUMMYFUNCTION("""COMPUTED_VALUE"""),8)</f>
        <v>8</v>
      </c>
      <c r="AC34" s="12"/>
      <c r="AD34" s="12"/>
      <c r="AE34" s="12"/>
      <c r="AF34" s="12"/>
      <c r="AG34" s="13" t="str">
        <f ca="1">IFERROR(__xludf.DUMMYFUNCTION("ArrayFormula(VLOOKUP(G34, IMPORTRANGE(""https://docs.google.com/spreadsheets/d/1Co934fvtviyaRiMsrIlT05Jaq7iiYq07aLvRr35KA48/edit?gid=173865642#gid=173865642"", ""'G7_Sci_Pri_LU'!G2:V2000""), {3, 4, 5, 6, 7, 8, 9, 10, 11, 12, 13, 14, 15, 16}, 0))"),"LU005359")</f>
        <v>LU005359</v>
      </c>
      <c r="AH34" s="13" t="str">
        <f ca="1">IFERROR(__xludf.DUMMYFUNCTION("""COMPUTED_VALUE"""),"Process of heat conduction")</f>
        <v>Process of heat conduction</v>
      </c>
      <c r="AI34" s="13" t="str">
        <f ca="1">IFERROR(__xludf.DUMMYFUNCTION("""COMPUTED_VALUE"""),"LU005358")</f>
        <v>LU005358</v>
      </c>
      <c r="AJ34" s="13" t="str">
        <f ca="1">IFERROR(__xludf.DUMMYFUNCTION("""COMPUTED_VALUE"""),"Process of convection")</f>
        <v>Process of convection</v>
      </c>
      <c r="AK34" s="13" t="str">
        <f ca="1">IFERROR(__xludf.DUMMYFUNCTION("""COMPUTED_VALUE"""),"LU005355")</f>
        <v>LU005355</v>
      </c>
      <c r="AL34" s="13" t="str">
        <f ca="1">IFERROR(__xludf.DUMMYFUNCTION("""COMPUTED_VALUE"""),"Definition of transfer of heat")</f>
        <v>Definition of transfer of heat</v>
      </c>
      <c r="AM34" s="13"/>
      <c r="AN34" s="13"/>
      <c r="AO34" s="13"/>
      <c r="AP34" s="13"/>
      <c r="AQ34" s="13"/>
      <c r="AR34" s="13"/>
      <c r="AS34" s="13"/>
      <c r="AT34" s="13"/>
    </row>
    <row r="35" spans="1:46">
      <c r="A35" s="8" t="s">
        <v>247</v>
      </c>
      <c r="B35" s="8" t="s">
        <v>47</v>
      </c>
      <c r="C35" s="8" t="s">
        <v>416</v>
      </c>
      <c r="D35" s="8" t="s">
        <v>1510</v>
      </c>
      <c r="E35" s="8" t="s">
        <v>1839</v>
      </c>
      <c r="F35" s="8" t="s">
        <v>1854</v>
      </c>
      <c r="G35" s="8" t="s">
        <v>1856</v>
      </c>
      <c r="H35" s="8" t="str">
        <f ca="1">IFERROR(__xludf.DUMMYFUNCTION("VLOOKUP(G35, IMPORTRANGE(""https://docs.google.com/spreadsheets/d/14deopnvwcrKtEGCKuYXdUHJbeLDZlkiSSWWT0g7x2pM/edit#gid=849066331"", ""LU List Science (Filter)!A:B""), 2, FALSE)"),"Application of radiation")</f>
        <v>Application of radiation</v>
      </c>
      <c r="I35" s="10" t="str">
        <f t="shared" si="0"/>
        <v>LU005353.001</v>
      </c>
      <c r="J35" s="10" t="str">
        <f ca="1">IFERROR(__xludf.DUMMYFUNCTION("VLOOKUP(I35, IMPORTRANGE(""https://docs.google.com/spreadsheets/d/1yDAaXNsi4Mr5FtRQL4tbmSdIzhx6_m4wkOD7IG-k_eo/edit#gid=1336395716"", ""Science!M:N""), 2, FALSE)"),"List the colors that are typically good absorbers and reflectors of radiation.")</f>
        <v>List the colors that are typically good absorbers and reflectors of radiation.</v>
      </c>
      <c r="K35" s="10" t="str">
        <f t="shared" si="1"/>
        <v>LU005353.002</v>
      </c>
      <c r="L35" s="10" t="str">
        <f ca="1">IFERROR(__xludf.DUMMYFUNCTION("VLOOKUP(K35, IMPORTRANGE(""https://docs.google.com/spreadsheets/d/1yDAaXNsi4Mr5FtRQL4tbmSdIzhx6_m4wkOD7IG-k_eo/edit#gid=1336395716"", ""Science!M:N""), 2, FALSE)"),"Explain how different colors absorb or reflect heat and their implications in various real-life situations, including the choice of clothing colors in different seasons.")</f>
        <v>Explain how different colors absorb or reflect heat and their implications in various real-life situations, including the choice of clothing colors in different seasons.</v>
      </c>
      <c r="M35" s="10" t="str">
        <f t="shared" si="2"/>
        <v>LU005353.003</v>
      </c>
      <c r="N35" s="10" t="str">
        <f ca="1">IFERROR(__xludf.DUMMYFUNCTION("VLOOKUP(M35, IMPORTRANGE(""https://docs.google.com/spreadsheets/d/1yDAaXNsi4Mr5FtRQL4tbmSdIzhx6_m4wkOD7IG-k_eo/edit#gid=1336395716"", ""Science!M:N""), 2, FALSE)"),"Select suitable materials and colors for various environmental conditions, based on an understanding of radiation principles.")</f>
        <v>Select suitable materials and colors for various environmental conditions, based on an understanding of radiation principles.</v>
      </c>
      <c r="O35" s="10" t="str">
        <f t="shared" si="3"/>
        <v>LU005353.004</v>
      </c>
      <c r="P35" s="10" t="str">
        <f ca="1">IFERROR(__xludf.DUMMYFUNCTION("VLOOKUP(O35, IMPORTRANGE(""https://docs.google.com/spreadsheets/d/1yDAaXNsi4Mr5FtRQL4tbmSdIzhx6_m4wkOD7IG-k_eo/edit#gid=1336395716"", ""Science!M:N""), 2, FALSE)"),"Investigate the relationship between color and heat absorption using temperature data.")</f>
        <v>Investigate the relationship between color and heat absorption using temperature data.</v>
      </c>
      <c r="Q35" s="10" t="str">
        <f t="shared" si="4"/>
        <v>LU005353.005</v>
      </c>
      <c r="R35" s="10" t="str">
        <f ca="1">IFERROR(__xludf.DUMMYFUNCTION("VLOOKUP(Q35, IMPORTRANGE(""https://docs.google.com/spreadsheets/d/1yDAaXNsi4Mr5FtRQL4tbmSdIzhx6_m4wkOD7IG-k_eo/edit#gid=1336395716"", ""Science!M:N""), 2, FALSE)"),"#N/A")</f>
        <v>#N/A</v>
      </c>
      <c r="S35" s="10" t="str">
        <f t="shared" si="5"/>
        <v>LU005353.006</v>
      </c>
      <c r="T35" s="10" t="str">
        <f ca="1">IFERROR(__xludf.DUMMYFUNCTION("VLOOKUP(S35, IMPORTRANGE(""https://docs.google.com/spreadsheets/d/1yDAaXNsi4Mr5FtRQL4tbmSdIzhx6_m4wkOD7IG-k_eo/edit#gid=1336395716"", ""Science!M:N""), 2, FALSE)"),"Design an experiment or activity to demonstrate the effects of color on radiation absorption")</f>
        <v>Design an experiment or activity to demonstrate the effects of color on radiation absorption</v>
      </c>
      <c r="U35" s="116">
        <f ca="1">IFERROR(__xludf.DUMMYFUNCTION("ArrayFormula(VLOOKUP(G35, IMPORTRANGE(""https://docs.google.com/spreadsheets/d/1p7R4vtkWt5VOBim4ltsDG9KTzSjrtKXsMtQGXPHyND0/edit#gid=795171502"", ""'Filter 30_05_2024'!A1:M2000""), {2, 3, 4, 5,6,7,8,9,10,11,12,13}, 0))"),5)</f>
        <v>5</v>
      </c>
      <c r="V35" s="116">
        <f ca="1">IFERROR(__xludf.DUMMYFUNCTION("""COMPUTED_VALUE"""),3)</f>
        <v>3</v>
      </c>
      <c r="W35" s="116"/>
      <c r="X35" s="116">
        <f ca="1">IFERROR(__xludf.DUMMYFUNCTION("""COMPUTED_VALUE"""),8)</f>
        <v>8</v>
      </c>
      <c r="Y35" s="116">
        <f ca="1">IFERROR(__xludf.DUMMYFUNCTION("""COMPUTED_VALUE"""),5)</f>
        <v>5</v>
      </c>
      <c r="Z35" s="12">
        <f ca="1">IFERROR(__xludf.DUMMYFUNCTION("""COMPUTED_VALUE"""),3)</f>
        <v>3</v>
      </c>
      <c r="AA35" s="12">
        <f ca="1">IFERROR(__xludf.DUMMYFUNCTION("""COMPUTED_VALUE"""),1)</f>
        <v>1</v>
      </c>
      <c r="AB35" s="12">
        <f ca="1">IFERROR(__xludf.DUMMYFUNCTION("""COMPUTED_VALUE"""),9)</f>
        <v>9</v>
      </c>
      <c r="AC35" s="12"/>
      <c r="AD35" s="12"/>
      <c r="AE35" s="12"/>
      <c r="AF35" s="12"/>
      <c r="AG35" s="13" t="str">
        <f ca="1">IFERROR(__xludf.DUMMYFUNCTION("ArrayFormula(VLOOKUP(G35, IMPORTRANGE(""https://docs.google.com/spreadsheets/d/1Co934fvtviyaRiMsrIlT05Jaq7iiYq07aLvRr35KA48/edit?gid=173865642#gid=173865642"", ""'G7_Sci_Pri_LU'!G2:V2000""), {3, 4, 5, 6, 7, 8, 9, 10, 11, 12, 13, 14, 15, 16}, 0))"),"LU005360")</f>
        <v>LU005360</v>
      </c>
      <c r="AH35" s="13" t="str">
        <f ca="1">IFERROR(__xludf.DUMMYFUNCTION("""COMPUTED_VALUE"""),"Process of radiation")</f>
        <v>Process of radiation</v>
      </c>
      <c r="AI35" s="13" t="str">
        <f ca="1">IFERROR(__xludf.DUMMYFUNCTION("""COMPUTED_VALUE"""),"LU005355")</f>
        <v>LU005355</v>
      </c>
      <c r="AJ35" s="13" t="str">
        <f ca="1">IFERROR(__xludf.DUMMYFUNCTION("""COMPUTED_VALUE"""),"Definition of transfer of heat")</f>
        <v>Definition of transfer of heat</v>
      </c>
      <c r="AK35" s="13" t="str">
        <f ca="1">IFERROR(__xludf.DUMMYFUNCTION("""COMPUTED_VALUE"""),"LU005354")</f>
        <v>LU005354</v>
      </c>
      <c r="AL35" s="13" t="str">
        <f ca="1">IFERROR(__xludf.DUMMYFUNCTION("""COMPUTED_VALUE"""),"Definition and units of temperature")</f>
        <v>Definition and units of temperature</v>
      </c>
      <c r="AM35" s="13"/>
      <c r="AN35" s="13"/>
      <c r="AO35" s="13"/>
      <c r="AP35" s="13"/>
      <c r="AQ35" s="13"/>
      <c r="AR35" s="13"/>
      <c r="AS35" s="13"/>
      <c r="AT35" s="13"/>
    </row>
    <row r="36" spans="1:46">
      <c r="A36" s="8" t="s">
        <v>247</v>
      </c>
      <c r="B36" s="8" t="s">
        <v>47</v>
      </c>
      <c r="C36" s="8" t="s">
        <v>416</v>
      </c>
      <c r="D36" s="8" t="s">
        <v>1510</v>
      </c>
      <c r="E36" s="8" t="s">
        <v>1839</v>
      </c>
      <c r="F36" s="8" t="s">
        <v>1854</v>
      </c>
      <c r="G36" s="8" t="s">
        <v>1857</v>
      </c>
      <c r="H36" s="8" t="str">
        <f ca="1">IFERROR(__xludf.DUMMYFUNCTION("VLOOKUP(G36, IMPORTRANGE(""https://docs.google.com/spreadsheets/d/14deopnvwcrKtEGCKuYXdUHJbeLDZlkiSSWWT0g7x2pM/edit#gid=849066331"", ""LU List Science (Filter)!A:B""), 2, FALSE)"),"Phenomenon with multiple mode of heat transfer")</f>
        <v>Phenomenon with multiple mode of heat transfer</v>
      </c>
      <c r="I36" s="10" t="str">
        <f t="shared" si="0"/>
        <v>LU005357.001</v>
      </c>
      <c r="J36" s="10" t="str">
        <f ca="1">IFERROR(__xludf.DUMMYFUNCTION("VLOOKUP(I36, IMPORTRANGE(""https://docs.google.com/spreadsheets/d/1yDAaXNsi4Mr5FtRQL4tbmSdIzhx6_m4wkOD7IG-k_eo/edit#gid=1336395716"", ""Science!M:N""), 2, FALSE)"),"List phenomena where multiple modes of heat transfer occur simultaneously.")</f>
        <v>List phenomena where multiple modes of heat transfer occur simultaneously.</v>
      </c>
      <c r="K36" s="10" t="str">
        <f t="shared" si="1"/>
        <v>LU005357.002</v>
      </c>
      <c r="L36" s="10" t="str">
        <f ca="1">IFERROR(__xludf.DUMMYFUNCTION("VLOOKUP(K36, IMPORTRANGE(""https://docs.google.com/spreadsheets/d/1yDAaXNsi4Mr5FtRQL4tbmSdIzhx6_m4wkOD7IG-k_eo/edit#gid=1336395716"", ""Science!M:N""), 2, FALSE)"),"Describe a scenario, such as boiling water in a pot, where conduction, convection, and radiation all play a role.")</f>
        <v>Describe a scenario, such as boiling water in a pot, where conduction, convection, and radiation all play a role.</v>
      </c>
      <c r="M36" s="10" t="str">
        <f t="shared" si="2"/>
        <v>LU005357.003</v>
      </c>
      <c r="N36" s="10" t="str">
        <f ca="1">IFERROR(__xludf.DUMMYFUNCTION("VLOOKUP(M36, IMPORTRANGE(""https://docs.google.com/spreadsheets/d/1yDAaXNsi4Mr5FtRQL4tbmSdIzhx6_m4wkOD7IG-k_eo/edit#gid=1336395716"", ""Science!M:N""), 2, FALSE)"),"Classify different phenomena (like cooking on a stove or the warming of Earth by the sun) based on the modes of heat transfer they involve.")</f>
        <v>Classify different phenomena (like cooking on a stove or the warming of Earth by the sun) based on the modes of heat transfer they involve.</v>
      </c>
      <c r="O36" s="10" t="str">
        <f t="shared" si="3"/>
        <v>LU005357.004</v>
      </c>
      <c r="P36" s="10" t="str">
        <f ca="1">IFERROR(__xludf.DUMMYFUNCTION("VLOOKUP(O36, IMPORTRANGE(""https://docs.google.com/spreadsheets/d/1yDAaXNsi4Mr5FtRQL4tbmSdIzhx6_m4wkOD7IG-k_eo/edit#gid=1336395716"", ""Science!M:N""), 2, FALSE)"),"Break down the processes in a given phenomenon to analyse the individual roles of conduction, convection, and radiation.")</f>
        <v>Break down the processes in a given phenomenon to analyse the individual roles of conduction, convection, and radiation.</v>
      </c>
      <c r="Q36" s="10" t="str">
        <f t="shared" si="4"/>
        <v>LU005357.005</v>
      </c>
      <c r="R36" s="10" t="str">
        <f ca="1">IFERROR(__xludf.DUMMYFUNCTION("VLOOKUP(Q36, IMPORTRANGE(""https://docs.google.com/spreadsheets/d/1yDAaXNsi4Mr5FtRQL4tbmSdIzhx6_m4wkOD7IG-k_eo/edit#gid=1336395716"", ""Science!M:N""), 2, FALSE)"),"Evaluate and identify the dominant heat transfer mode or determine if multiple modes are equally significant in a given scenario.")</f>
        <v>Evaluate and identify the dominant heat transfer mode or determine if multiple modes are equally significant in a given scenario.</v>
      </c>
      <c r="S36" s="10" t="str">
        <f t="shared" si="5"/>
        <v>LU005357.006</v>
      </c>
      <c r="T36" s="10" t="str">
        <f ca="1">IFERROR(__xludf.DUMMYFUNCTION("VLOOKUP(S36, IMPORTRANGE(""https://docs.google.com/spreadsheets/d/1yDAaXNsi4Mr5FtRQL4tbmSdIzhx6_m4wkOD7IG-k_eo/edit#gid=1336395716"", ""Science!M:N""), 2, FALSE)"),"Design an experiment that demonstrates the interplay of multiple modes of heat transfer.")</f>
        <v>Design an experiment that demonstrates the interplay of multiple modes of heat transfer.</v>
      </c>
      <c r="U36" s="116">
        <f ca="1">IFERROR(__xludf.DUMMYFUNCTION("ArrayFormula(VLOOKUP(G36, IMPORTRANGE(""https://docs.google.com/spreadsheets/d/1p7R4vtkWt5VOBim4ltsDG9KTzSjrtKXsMtQGXPHyND0/edit#gid=795171502"", ""'Filter 30_05_2024'!A1:M2000""), {2, 3, 4, 5,6,7,8,9,10,11,12,13}, 0))"),4)</f>
        <v>4</v>
      </c>
      <c r="V36" s="116">
        <f ca="1">IFERROR(__xludf.DUMMYFUNCTION("""COMPUTED_VALUE"""),2)</f>
        <v>2</v>
      </c>
      <c r="W36" s="116">
        <f ca="1">IFERROR(__xludf.DUMMYFUNCTION("""COMPUTED_VALUE"""),2)</f>
        <v>2</v>
      </c>
      <c r="X36" s="116">
        <f ca="1">IFERROR(__xludf.DUMMYFUNCTION("""COMPUTED_VALUE"""),8)</f>
        <v>8</v>
      </c>
      <c r="Y36" s="116">
        <f ca="1">IFERROR(__xludf.DUMMYFUNCTION("""COMPUTED_VALUE"""),4)</f>
        <v>4</v>
      </c>
      <c r="Z36" s="12">
        <f ca="1">IFERROR(__xludf.DUMMYFUNCTION("""COMPUTED_VALUE"""),3)</f>
        <v>3</v>
      </c>
      <c r="AA36" s="12">
        <f ca="1">IFERROR(__xludf.DUMMYFUNCTION("""COMPUTED_VALUE"""),2)</f>
        <v>2</v>
      </c>
      <c r="AB36" s="12">
        <f ca="1">IFERROR(__xludf.DUMMYFUNCTION("""COMPUTED_VALUE"""),9)</f>
        <v>9</v>
      </c>
      <c r="AC36" s="12"/>
      <c r="AD36" s="12"/>
      <c r="AE36" s="12"/>
      <c r="AF36" s="12"/>
      <c r="AG36" s="13" t="str">
        <f ca="1">IFERROR(__xludf.DUMMYFUNCTION("ArrayFormula(VLOOKUP(G36, IMPORTRANGE(""https://docs.google.com/spreadsheets/d/1Co934fvtviyaRiMsrIlT05Jaq7iiYq07aLvRr35KA48/edit?gid=173865642#gid=173865642"", ""'G7_Sci_Pri_LU'!G2:V2000""), {3, 4, 5, 6, 7, 8, 9, 10, 11, 12, 13, 14, 15, 16}, 0))"),"LU005359")</f>
        <v>LU005359</v>
      </c>
      <c r="AH36" s="13" t="str">
        <f ca="1">IFERROR(__xludf.DUMMYFUNCTION("""COMPUTED_VALUE"""),"Process of heat conduction")</f>
        <v>Process of heat conduction</v>
      </c>
      <c r="AI36" s="13" t="str">
        <f ca="1">IFERROR(__xludf.DUMMYFUNCTION("""COMPUTED_VALUE"""),"LU005358")</f>
        <v>LU005358</v>
      </c>
      <c r="AJ36" s="13" t="str">
        <f ca="1">IFERROR(__xludf.DUMMYFUNCTION("""COMPUTED_VALUE"""),"Process of convection")</f>
        <v>Process of convection</v>
      </c>
      <c r="AK36" s="13" t="str">
        <f ca="1">IFERROR(__xludf.DUMMYFUNCTION("""COMPUTED_VALUE"""),"LU005360")</f>
        <v>LU005360</v>
      </c>
      <c r="AL36" s="13" t="str">
        <f ca="1">IFERROR(__xludf.DUMMYFUNCTION("""COMPUTED_VALUE"""),"Process of radiation")</f>
        <v>Process of radiation</v>
      </c>
      <c r="AM36" s="13"/>
      <c r="AN36" s="13"/>
      <c r="AO36" s="13"/>
      <c r="AP36" s="13"/>
      <c r="AQ36" s="13"/>
      <c r="AR36" s="13"/>
      <c r="AS36" s="13"/>
      <c r="AT36" s="13"/>
    </row>
    <row r="37" spans="1:46">
      <c r="A37" s="8" t="s">
        <v>247</v>
      </c>
      <c r="B37" s="8" t="s">
        <v>47</v>
      </c>
      <c r="C37" s="8" t="s">
        <v>416</v>
      </c>
      <c r="D37" s="8" t="s">
        <v>1441</v>
      </c>
      <c r="E37" s="8" t="s">
        <v>1858</v>
      </c>
      <c r="F37" s="8" t="s">
        <v>1859</v>
      </c>
      <c r="G37" s="8" t="s">
        <v>1860</v>
      </c>
      <c r="H37" s="8" t="str">
        <f ca="1">IFERROR(__xludf.DUMMYFUNCTION("VLOOKUP(G37, IMPORTRANGE(""https://docs.google.com/spreadsheets/d/14deopnvwcrKtEGCKuYXdUHJbeLDZlkiSSWWT0g7x2pM/edit#gid=849066331"", ""LU List Science (Filter)!A:B""), 2, FALSE)"),"Definition of acids")</f>
        <v>Definition of acids</v>
      </c>
      <c r="I37" s="10" t="str">
        <f t="shared" si="0"/>
        <v>LU005475.001</v>
      </c>
      <c r="J37" s="10" t="str">
        <f ca="1">IFERROR(__xludf.DUMMYFUNCTION("VLOOKUP(I37, IMPORTRANGE(""https://docs.google.com/spreadsheets/d/1yDAaXNsi4Mr5FtRQL4tbmSdIzhx6_m4wkOD7IG-k_eo/edit#gid=1336395716"", ""Science!M:N""), 2, FALSE)"),"Recall the definition of acids.")</f>
        <v>Recall the definition of acids.</v>
      </c>
      <c r="K37" s="10" t="str">
        <f t="shared" si="1"/>
        <v>LU005475.002</v>
      </c>
      <c r="L37" s="10" t="str">
        <f ca="1">IFERROR(__xludf.DUMMYFUNCTION("VLOOKUP(K37, IMPORTRANGE(""https://docs.google.com/spreadsheets/d/1yDAaXNsi4Mr5FtRQL4tbmSdIzhx6_m4wkOD7IG-k_eo/edit#gid=1336395716"", ""Science!M:N""), 2, FALSE)"),"Explain the characteristics that distinguish acids from other substances.")</f>
        <v>Explain the characteristics that distinguish acids from other substances.</v>
      </c>
      <c r="M37" s="10" t="str">
        <f t="shared" si="2"/>
        <v>LU005475.003</v>
      </c>
      <c r="N37" s="10" t="str">
        <f ca="1">IFERROR(__xludf.DUMMYFUNCTION("VLOOKUP(M37, IMPORTRANGE(""https://docs.google.com/spreadsheets/d/1yDAaXNsi4Mr5FtRQL4tbmSdIzhx6_m4wkOD7IG-k_eo/edit#gid=1336395716"", ""Science!M:N""), 2, FALSE)"),"Identify examples of common acids in everyday life.")</f>
        <v>Identify examples of common acids in everyday life.</v>
      </c>
      <c r="O37" s="10" t="str">
        <f t="shared" si="3"/>
        <v>LU005475.004</v>
      </c>
      <c r="P37" s="10" t="str">
        <f ca="1">IFERROR(__xludf.DUMMYFUNCTION("VLOOKUP(O37, IMPORTRANGE(""https://docs.google.com/spreadsheets/d/1yDAaXNsi4Mr5FtRQL4tbmSdIzhx6_m4wkOD7IG-k_eo/edit#gid=1336395716"", ""Science!M:N""), 2, FALSE)"),"Differentiate between acids and other types of substances based on their properties.")</f>
        <v>Differentiate between acids and other types of substances based on their properties.</v>
      </c>
      <c r="Q37" s="10" t="str">
        <f t="shared" si="4"/>
        <v>LU005475.005</v>
      </c>
      <c r="R37" s="10" t="str">
        <f ca="1">IFERROR(__xludf.DUMMYFUNCTION("VLOOKUP(Q37, IMPORTRANGE(""https://docs.google.com/spreadsheets/d/1yDAaXNsi4Mr5FtRQL4tbmSdIzhx6_m4wkOD7IG-k_eo/edit#gid=1336395716"", ""Science!M:N""), 2, FALSE)"),"Evaluate the significance of acids across industrial processes and biological systems.")</f>
        <v>Evaluate the significance of acids across industrial processes and biological systems.</v>
      </c>
      <c r="S37" s="10" t="str">
        <f t="shared" si="5"/>
        <v>LU005475.006</v>
      </c>
      <c r="T37" s="10" t="str">
        <f ca="1">IFERROR(__xludf.DUMMYFUNCTION("VLOOKUP(S37, IMPORTRANGE(""https://docs.google.com/spreadsheets/d/1yDAaXNsi4Mr5FtRQL4tbmSdIzhx6_m4wkOD7IG-k_eo/edit#gid=1336395716"", ""Science!M:N""), 2, FALSE)"),"#N/A")</f>
        <v>#N/A</v>
      </c>
      <c r="U37" s="116">
        <f ca="1">IFERROR(__xludf.DUMMYFUNCTION("ArrayFormula(VLOOKUP(G37, IMPORTRANGE(""https://docs.google.com/spreadsheets/d/1p7R4vtkWt5VOBim4ltsDG9KTzSjrtKXsMtQGXPHyND0/edit#gid=795171502"", ""'Filter 30_05_2024'!A1:M2000""), {2, 3, 4, 5,6,7,8,9,10,11,12,13}, 0))"),4)</f>
        <v>4</v>
      </c>
      <c r="V37" s="116">
        <f ca="1">IFERROR(__xludf.DUMMYFUNCTION("""COMPUTED_VALUE"""),7)</f>
        <v>7</v>
      </c>
      <c r="W37" s="116">
        <f ca="1">IFERROR(__xludf.DUMMYFUNCTION("""COMPUTED_VALUE"""),2)</f>
        <v>2</v>
      </c>
      <c r="X37" s="116">
        <f ca="1">IFERROR(__xludf.DUMMYFUNCTION("""COMPUTED_VALUE"""),13)</f>
        <v>13</v>
      </c>
      <c r="Y37" s="116">
        <f ca="1">IFERROR(__xludf.DUMMYFUNCTION("""COMPUTED_VALUE"""),4)</f>
        <v>4</v>
      </c>
      <c r="Z37" s="12">
        <f ca="1">IFERROR(__xludf.DUMMYFUNCTION("""COMPUTED_VALUE"""),3)</f>
        <v>3</v>
      </c>
      <c r="AA37" s="12">
        <f ca="1">IFERROR(__xludf.DUMMYFUNCTION("""COMPUTED_VALUE"""),1)</f>
        <v>1</v>
      </c>
      <c r="AB37" s="12">
        <f ca="1">IFERROR(__xludf.DUMMYFUNCTION("""COMPUTED_VALUE"""),8)</f>
        <v>8</v>
      </c>
      <c r="AC37" s="12"/>
      <c r="AD37" s="12"/>
      <c r="AE37" s="12"/>
      <c r="AF37" s="12"/>
      <c r="AG37" s="13" t="str">
        <f ca="1">IFERROR(__xludf.DUMMYFUNCTION("ArrayFormula(VLOOKUP(G37, IMPORTRANGE(""https://docs.google.com/spreadsheets/d/1Co934fvtviyaRiMsrIlT05Jaq7iiYq07aLvRr35KA48/edit?gid=173865642#gid=173865642"", ""'G7_Sci_Pri_LU'!G2:V2000""), {3, 4, 5, 6, 7, 8, 9, 10, 11, 12, 13, 14, 15, 16}, 0))"),"LU005075")</f>
        <v>LU005075</v>
      </c>
      <c r="AH37" s="13" t="str">
        <f ca="1">IFERROR(__xludf.DUMMYFUNCTION("""COMPUTED_VALUE"""),"Different Types of Tastes")</f>
        <v>Different Types of Tastes</v>
      </c>
      <c r="AI37" s="13"/>
      <c r="AJ37" s="13"/>
      <c r="AK37" s="13"/>
      <c r="AL37" s="13"/>
      <c r="AM37" s="13"/>
      <c r="AN37" s="13"/>
      <c r="AO37" s="13"/>
      <c r="AP37" s="13"/>
      <c r="AQ37" s="13"/>
      <c r="AR37" s="13"/>
      <c r="AS37" s="13"/>
      <c r="AT37" s="13"/>
    </row>
    <row r="38" spans="1:46">
      <c r="A38" s="8" t="s">
        <v>247</v>
      </c>
      <c r="B38" s="8" t="s">
        <v>47</v>
      </c>
      <c r="C38" s="8" t="s">
        <v>416</v>
      </c>
      <c r="D38" s="8" t="s">
        <v>1441</v>
      </c>
      <c r="E38" s="8" t="s">
        <v>1858</v>
      </c>
      <c r="F38" s="8" t="s">
        <v>1859</v>
      </c>
      <c r="G38" s="8" t="s">
        <v>1861</v>
      </c>
      <c r="H38" s="8" t="str">
        <f ca="1">IFERROR(__xludf.DUMMYFUNCTION("VLOOKUP(G38, IMPORTRANGE(""https://docs.google.com/spreadsheets/d/14deopnvwcrKtEGCKuYXdUHJbeLDZlkiSSWWT0g7x2pM/edit#gid=849066331"", ""LU List Science (Filter)!A:B""), 2, FALSE)"),"Definition of bases")</f>
        <v>Definition of bases</v>
      </c>
      <c r="I38" s="10" t="str">
        <f t="shared" si="0"/>
        <v>LU005471.001</v>
      </c>
      <c r="J38" s="10" t="str">
        <f ca="1">IFERROR(__xludf.DUMMYFUNCTION("VLOOKUP(I38, IMPORTRANGE(""https://docs.google.com/spreadsheets/d/1yDAaXNsi4Mr5FtRQL4tbmSdIzhx6_m4wkOD7IG-k_eo/edit#gid=1336395716"", ""Science!M:N""), 2, FALSE)"),"Define bases with example.")</f>
        <v>Define bases with example.</v>
      </c>
      <c r="K38" s="10" t="str">
        <f t="shared" si="1"/>
        <v>LU005471.002</v>
      </c>
      <c r="L38" s="10" t="str">
        <f ca="1">IFERROR(__xludf.DUMMYFUNCTION("VLOOKUP(K38, IMPORTRANGE(""https://docs.google.com/spreadsheets/d/1yDAaXNsi4Mr5FtRQL4tbmSdIzhx6_m4wkOD7IG-k_eo/edit#gid=1336395716"", ""Science!M:N""), 2, FALSE)"),"Explain the properties that differentiate bases from other substances.")</f>
        <v>Explain the properties that differentiate bases from other substances.</v>
      </c>
      <c r="M38" s="10" t="str">
        <f t="shared" si="2"/>
        <v>LU005471.003</v>
      </c>
      <c r="N38" s="10" t="str">
        <f ca="1">IFERROR(__xludf.DUMMYFUNCTION("VLOOKUP(M38, IMPORTRANGE(""https://docs.google.com/spreadsheets/d/1yDAaXNsi4Mr5FtRQL4tbmSdIzhx6_m4wkOD7IG-k_eo/edit#gid=1336395716"", ""Science!M:N""), 2, FALSE)"),"Provide examples of common bases used in household products.")</f>
        <v>Provide examples of common bases used in household products.</v>
      </c>
      <c r="O38" s="10" t="str">
        <f t="shared" si="3"/>
        <v>LU005471.004</v>
      </c>
      <c r="P38" s="10" t="str">
        <f ca="1">IFERROR(__xludf.DUMMYFUNCTION("VLOOKUP(O38, IMPORTRANGE(""https://docs.google.com/spreadsheets/d/1yDAaXNsi4Mr5FtRQL4tbmSdIzhx6_m4wkOD7IG-k_eo/edit#gid=1336395716"", ""Science!M:N""), 2, FALSE)"),"Compare and contrast the properties of bases and other substances.")</f>
        <v>Compare and contrast the properties of bases and other substances.</v>
      </c>
      <c r="Q38" s="10" t="str">
        <f t="shared" si="4"/>
        <v>LU005471.005</v>
      </c>
      <c r="R38" s="10" t="str">
        <f ca="1">IFERROR(__xludf.DUMMYFUNCTION("VLOOKUP(Q38, IMPORTRANGE(""https://docs.google.com/spreadsheets/d/1yDAaXNsi4Mr5FtRQL4tbmSdIzhx6_m4wkOD7IG-k_eo/edit#gid=1336395716"", ""Science!M:N""), 2, FALSE)"),"Judge the importance of bases in various applications, such as cleaning agents or personal care products.")</f>
        <v>Judge the importance of bases in various applications, such as cleaning agents or personal care products.</v>
      </c>
      <c r="S38" s="10" t="str">
        <f t="shared" si="5"/>
        <v>LU005471.006</v>
      </c>
      <c r="T38" s="10" t="str">
        <f ca="1">IFERROR(__xludf.DUMMYFUNCTION("VLOOKUP(S38, IMPORTRANGE(""https://docs.google.com/spreadsheets/d/1yDAaXNsi4Mr5FtRQL4tbmSdIzhx6_m4wkOD7IG-k_eo/edit#gid=1336395716"", ""Science!M:N""), 2, FALSE)"),"#N/A")</f>
        <v>#N/A</v>
      </c>
      <c r="U38" s="116">
        <f ca="1">IFERROR(__xludf.DUMMYFUNCTION("ArrayFormula(VLOOKUP(G38, IMPORTRANGE(""https://docs.google.com/spreadsheets/d/1p7R4vtkWt5VOBim4ltsDG9KTzSjrtKXsMtQGXPHyND0/edit#gid=795171502"", ""'Filter 30_05_2024'!A1:M2000""), {2, 3, 4, 5,6,7,8,9,10,11,12,13}, 0))"),10)</f>
        <v>10</v>
      </c>
      <c r="V38" s="116">
        <f ca="1">IFERROR(__xludf.DUMMYFUNCTION("""COMPUTED_VALUE"""),6)</f>
        <v>6</v>
      </c>
      <c r="W38" s="116">
        <f ca="1">IFERROR(__xludf.DUMMYFUNCTION("""COMPUTED_VALUE"""),2)</f>
        <v>2</v>
      </c>
      <c r="X38" s="116">
        <f ca="1">IFERROR(__xludf.DUMMYFUNCTION("""COMPUTED_VALUE"""),18)</f>
        <v>18</v>
      </c>
      <c r="Y38" s="116">
        <f ca="1">IFERROR(__xludf.DUMMYFUNCTION("""COMPUTED_VALUE"""),5)</f>
        <v>5</v>
      </c>
      <c r="Z38" s="12">
        <f ca="1">IFERROR(__xludf.DUMMYFUNCTION("""COMPUTED_VALUE"""),3)</f>
        <v>3</v>
      </c>
      <c r="AA38" s="12">
        <f ca="1">IFERROR(__xludf.DUMMYFUNCTION("""COMPUTED_VALUE"""),1)</f>
        <v>1</v>
      </c>
      <c r="AB38" s="12">
        <f ca="1">IFERROR(__xludf.DUMMYFUNCTION("""COMPUTED_VALUE"""),9)</f>
        <v>9</v>
      </c>
      <c r="AC38" s="12"/>
      <c r="AD38" s="12"/>
      <c r="AE38" s="12"/>
      <c r="AF38" s="12"/>
      <c r="AG38" s="13" t="str">
        <f ca="1">IFERROR(__xludf.DUMMYFUNCTION("ArrayFormula(VLOOKUP(G38, IMPORTRANGE(""https://docs.google.com/spreadsheets/d/1Co934fvtviyaRiMsrIlT05Jaq7iiYq07aLvRr35KA48/edit?gid=173865642#gid=173865642"", ""'G7_Sci_Pri_LU'!G2:V2000""), {3, 4, 5, 6, 7, 8, 9, 10, 11, 12, 13, 14, 15, 16}, 0))"),"LU005075")</f>
        <v>LU005075</v>
      </c>
      <c r="AH38" s="13" t="str">
        <f ca="1">IFERROR(__xludf.DUMMYFUNCTION("""COMPUTED_VALUE"""),"Different Types of Tastes")</f>
        <v>Different Types of Tastes</v>
      </c>
      <c r="AI38" s="13"/>
      <c r="AJ38" s="13"/>
      <c r="AK38" s="13"/>
      <c r="AL38" s="13"/>
      <c r="AM38" s="13"/>
      <c r="AN38" s="13"/>
      <c r="AO38" s="13"/>
      <c r="AP38" s="13"/>
      <c r="AQ38" s="13"/>
      <c r="AR38" s="13"/>
      <c r="AS38" s="13"/>
      <c r="AT38" s="13"/>
    </row>
    <row r="39" spans="1:46">
      <c r="A39" s="8" t="s">
        <v>247</v>
      </c>
      <c r="B39" s="8" t="s">
        <v>47</v>
      </c>
      <c r="C39" s="8" t="s">
        <v>416</v>
      </c>
      <c r="D39" s="8" t="s">
        <v>1441</v>
      </c>
      <c r="E39" s="8" t="s">
        <v>1858</v>
      </c>
      <c r="F39" s="8" t="s">
        <v>1859</v>
      </c>
      <c r="G39" s="8" t="s">
        <v>1862</v>
      </c>
      <c r="H39" s="8" t="str">
        <f ca="1">IFERROR(__xludf.DUMMYFUNCTION("VLOOKUP(G39, IMPORTRANGE(""https://docs.google.com/spreadsheets/d/14deopnvwcrKtEGCKuYXdUHJbeLDZlkiSSWWT0g7x2pM/edit#gid=849066331"", ""LU List Science (Filter)!A:B""), 2, FALSE)"),"Comparison of acids and bases")</f>
        <v>Comparison of acids and bases</v>
      </c>
      <c r="I39" s="10" t="str">
        <f t="shared" si="0"/>
        <v>LU005952.001</v>
      </c>
      <c r="J39" s="10" t="str">
        <f ca="1">IFERROR(__xludf.DUMMYFUNCTION("VLOOKUP(I39, IMPORTRANGE(""https://docs.google.com/spreadsheets/d/1yDAaXNsi4Mr5FtRQL4tbmSdIzhx6_m4wkOD7IG-k_eo/edit#gid=1336395716"", ""Science!M:N""), 2, FALSE)"),"Recognize the basic taste and texture characteristics of acids and bases.")</f>
        <v>Recognize the basic taste and texture characteristics of acids and bases.</v>
      </c>
      <c r="K39" s="10" t="str">
        <f t="shared" si="1"/>
        <v>LU005952.002</v>
      </c>
      <c r="L39" s="10" t="str">
        <f ca="1">IFERROR(__xludf.DUMMYFUNCTION("VLOOKUP(K39, IMPORTRANGE(""https://docs.google.com/spreadsheets/d/1yDAaXNsi4Mr5FtRQL4tbmSdIzhx6_m4wkOD7IG-k_eo/edit#gid=1336395716"", ""Science!M:N""), 2, FALSE)"),"Summarize the differences between the sensations of acidity and basicity.")</f>
        <v>Summarize the differences between the sensations of acidity and basicity.</v>
      </c>
      <c r="M39" s="10" t="str">
        <f t="shared" si="2"/>
        <v>LU005952.003</v>
      </c>
      <c r="N39" s="10" t="str">
        <f ca="1">IFERROR(__xludf.DUMMYFUNCTION("VLOOKUP(M39, IMPORTRANGE(""https://docs.google.com/spreadsheets/d/1yDAaXNsi4Mr5FtRQL4tbmSdIzhx6_m4wkOD7IG-k_eo/edit#gid=1336395716"", ""Science!M:N""), 2, FALSE)"),"Apply safe practices to differentiate between acids and bases using indicators other than taste or touch.")</f>
        <v>Apply safe practices to differentiate between acids and bases using indicators other than taste or touch.</v>
      </c>
      <c r="O39" s="10" t="str">
        <f t="shared" si="3"/>
        <v>LU005952.004</v>
      </c>
      <c r="P39" s="10" t="str">
        <f ca="1">IFERROR(__xludf.DUMMYFUNCTION("VLOOKUP(O39, IMPORTRANGE(""https://docs.google.com/spreadsheets/d/1yDAaXNsi4Mr5FtRQL4tbmSdIzhx6_m4wkOD7IG-k_eo/edit#gid=1336395716"", ""Science!M:N""), 2, FALSE)"),"#N/A")</f>
        <v>#N/A</v>
      </c>
      <c r="Q39" s="10" t="str">
        <f t="shared" si="4"/>
        <v>LU005952.005</v>
      </c>
      <c r="R39" s="10" t="str">
        <f ca="1">IFERROR(__xludf.DUMMYFUNCTION("VLOOKUP(Q39, IMPORTRANGE(""https://docs.google.com/spreadsheets/d/1yDAaXNsi4Mr5FtRQL4tbmSdIzhx6_m4wkOD7IG-k_eo/edit#gid=1336395716"", ""Science!M:N""), 2, FALSE)"),"Evaluate the safety concerns associated with tasting or touching chemicals.")</f>
        <v>Evaluate the safety concerns associated with tasting or touching chemicals.</v>
      </c>
      <c r="S39" s="10" t="str">
        <f t="shared" si="5"/>
        <v>LU005952.006</v>
      </c>
      <c r="T39" s="10" t="str">
        <f ca="1">IFERROR(__xludf.DUMMYFUNCTION("VLOOKUP(S39, IMPORTRANGE(""https://docs.google.com/spreadsheets/d/1yDAaXNsi4Mr5FtRQL4tbmSdIzhx6_m4wkOD7IG-k_eo/edit#gid=1336395716"", ""Science!M:N""), 2, FALSE)"),"Propose a method for comparing acidic and basic substances using household materials.")</f>
        <v>Propose a method for comparing acidic and basic substances using household materials.</v>
      </c>
      <c r="U39" s="116">
        <f ca="1">IFERROR(__xludf.DUMMYFUNCTION("ArrayFormula(VLOOKUP(G39, IMPORTRANGE(""https://docs.google.com/spreadsheets/d/1p7R4vtkWt5VOBim4ltsDG9KTzSjrtKXsMtQGXPHyND0/edit#gid=795171502"", ""'Filter 30_05_2024'!A1:M2000""), {2, 3, 4, 5,6,7,8,9,10,11,12,13}, 0))"),15)</f>
        <v>15</v>
      </c>
      <c r="V39" s="116">
        <f ca="1">IFERROR(__xludf.DUMMYFUNCTION("""COMPUTED_VALUE"""),6)</f>
        <v>6</v>
      </c>
      <c r="W39" s="116">
        <f ca="1">IFERROR(__xludf.DUMMYFUNCTION("""COMPUTED_VALUE"""),2)</f>
        <v>2</v>
      </c>
      <c r="X39" s="116">
        <f ca="1">IFERROR(__xludf.DUMMYFUNCTION("""COMPUTED_VALUE"""),23)</f>
        <v>23</v>
      </c>
      <c r="Y39" s="116">
        <f ca="1">IFERROR(__xludf.DUMMYFUNCTION("""COMPUTED_VALUE"""),9)</f>
        <v>9</v>
      </c>
      <c r="Z39" s="12">
        <f ca="1">IFERROR(__xludf.DUMMYFUNCTION("""COMPUTED_VALUE"""),3)</f>
        <v>3</v>
      </c>
      <c r="AA39" s="12">
        <f ca="1">IFERROR(__xludf.DUMMYFUNCTION("""COMPUTED_VALUE"""),1)</f>
        <v>1</v>
      </c>
      <c r="AB39" s="12">
        <f ca="1">IFERROR(__xludf.DUMMYFUNCTION("""COMPUTED_VALUE"""),13)</f>
        <v>13</v>
      </c>
      <c r="AC39" s="12"/>
      <c r="AD39" s="12"/>
      <c r="AE39" s="12"/>
      <c r="AF39" s="12"/>
      <c r="AG39" s="13" t="str">
        <f ca="1">IFERROR(__xludf.DUMMYFUNCTION("ArrayFormula(VLOOKUP(G39, IMPORTRANGE(""https://docs.google.com/spreadsheets/d/1Co934fvtviyaRiMsrIlT05Jaq7iiYq07aLvRr35KA48/edit?gid=173865642#gid=173865642"", ""'G7_Sci_Pri_LU'!G2:V2000""), {3, 4, 5, 6, 7, 8, 9, 10, 11, 12, 13, 14, 15, 16}, 0))"),"LU005475")</f>
        <v>LU005475</v>
      </c>
      <c r="AH39" s="13" t="str">
        <f ca="1">IFERROR(__xludf.DUMMYFUNCTION("""COMPUTED_VALUE"""),"Definition of acids")</f>
        <v>Definition of acids</v>
      </c>
      <c r="AI39" s="13" t="str">
        <f ca="1">IFERROR(__xludf.DUMMYFUNCTION("""COMPUTED_VALUE"""),"LU005471")</f>
        <v>LU005471</v>
      </c>
      <c r="AJ39" s="13" t="str">
        <f ca="1">IFERROR(__xludf.DUMMYFUNCTION("""COMPUTED_VALUE"""),"Definition of bases")</f>
        <v>Definition of bases</v>
      </c>
      <c r="AK39" s="13"/>
      <c r="AL39" s="13"/>
      <c r="AM39" s="13"/>
      <c r="AN39" s="13"/>
      <c r="AO39" s="13"/>
      <c r="AP39" s="13"/>
      <c r="AQ39" s="13"/>
      <c r="AR39" s="13"/>
      <c r="AS39" s="13"/>
      <c r="AT39" s="13"/>
    </row>
    <row r="40" spans="1:46">
      <c r="A40" s="8" t="s">
        <v>247</v>
      </c>
      <c r="B40" s="8" t="s">
        <v>47</v>
      </c>
      <c r="C40" s="8" t="s">
        <v>416</v>
      </c>
      <c r="D40" s="8" t="s">
        <v>1441</v>
      </c>
      <c r="E40" s="8" t="s">
        <v>1858</v>
      </c>
      <c r="F40" s="8" t="s">
        <v>1863</v>
      </c>
      <c r="G40" s="8" t="s">
        <v>1864</v>
      </c>
      <c r="H40" s="8" t="str">
        <f ca="1">IFERROR(__xludf.DUMMYFUNCTION("VLOOKUP(G40, IMPORTRANGE(""https://docs.google.com/spreadsheets/d/14deopnvwcrKtEGCKuYXdUHJbeLDZlkiSSWWT0g7x2pM/edit#gid=849066331"", ""LU List Science (Filter)!A:B""), 2, FALSE)"),"Definition of indicators")</f>
        <v>Definition of indicators</v>
      </c>
      <c r="I40" s="10" t="str">
        <f t="shared" si="0"/>
        <v>LU005472.001</v>
      </c>
      <c r="J40" s="10" t="str">
        <f ca="1">IFERROR(__xludf.DUMMYFUNCTION("VLOOKUP(I40, IMPORTRANGE(""https://docs.google.com/spreadsheets/d/1yDAaXNsi4Mr5FtRQL4tbmSdIzhx6_m4wkOD7IG-k_eo/edit#gid=1336395716"", ""Science!M:N""), 2, FALSE)"),"List examples of common indicators used to determine acidity or basicity.")</f>
        <v>List examples of common indicators used to determine acidity or basicity.</v>
      </c>
      <c r="K40" s="10" t="str">
        <f t="shared" si="1"/>
        <v>LU005472.002</v>
      </c>
      <c r="L40" s="10" t="str">
        <f ca="1">IFERROR(__xludf.DUMMYFUNCTION("VLOOKUP(K40, IMPORTRANGE(""https://docs.google.com/spreadsheets/d/1yDAaXNsi4Mr5FtRQL4tbmSdIzhx6_m4wkOD7IG-k_eo/edit#gid=1336395716"", ""Science!M:N""), 2, FALSE)"),"Describe the characteristics that make indicators suitable for acid-base testing.")</f>
        <v>Describe the characteristics that make indicators suitable for acid-base testing.</v>
      </c>
      <c r="M40" s="10" t="str">
        <f t="shared" si="2"/>
        <v>LU005472.003</v>
      </c>
      <c r="N40" s="10" t="str">
        <f ca="1">IFERROR(__xludf.DUMMYFUNCTION("VLOOKUP(M40, IMPORTRANGE(""https://docs.google.com/spreadsheets/d/1yDAaXNsi4Mr5FtRQL4tbmSdIzhx6_m4wkOD7IG-k_eo/edit#gid=1336395716"", ""Science!M:N""), 2, FALSE)"),"Utilize the understanding of indicator properties to select appropriate indicators for specific testing scenarios.")</f>
        <v>Utilize the understanding of indicator properties to select appropriate indicators for specific testing scenarios.</v>
      </c>
      <c r="O40" s="10" t="str">
        <f t="shared" si="3"/>
        <v>LU005472.004</v>
      </c>
      <c r="P40" s="10" t="str">
        <f ca="1">IFERROR(__xludf.DUMMYFUNCTION("VLOOKUP(O40, IMPORTRANGE(""https://docs.google.com/spreadsheets/d/1yDAaXNsi4Mr5FtRQL4tbmSdIzhx6_m4wkOD7IG-k_eo/edit#gid=1336395716"", ""Science!M:N""), 2, FALSE)"),"Compare and contrast the behaviors of different indicators in terms of color changes")</f>
        <v>Compare and contrast the behaviors of different indicators in terms of color changes</v>
      </c>
      <c r="Q40" s="10" t="str">
        <f t="shared" si="4"/>
        <v>LU005472.005</v>
      </c>
      <c r="R40" s="10" t="str">
        <f ca="1">IFERROR(__xludf.DUMMYFUNCTION("VLOOKUP(Q40, IMPORTRANGE(""https://docs.google.com/spreadsheets/d/1yDAaXNsi4Mr5FtRQL4tbmSdIzhx6_m4wkOD7IG-k_eo/edit#gid=1336395716"", ""Science!M:N""), 2, FALSE)"),"Judge the appropriateness of selecting specific indicators for particular types of solutions.")</f>
        <v>Judge the appropriateness of selecting specific indicators for particular types of solutions.</v>
      </c>
      <c r="S40" s="10" t="str">
        <f t="shared" si="5"/>
        <v>LU005472.006</v>
      </c>
      <c r="T40" s="10" t="str">
        <f ca="1">IFERROR(__xludf.DUMMYFUNCTION("VLOOKUP(S40, IMPORTRANGE(""https://docs.google.com/spreadsheets/d/1yDAaXNsi4Mr5FtRQL4tbmSdIzhx6_m4wkOD7IG-k_eo/edit#gid=1336395716"", ""Science!M:N""), 2, FALSE)"),"#N/A")</f>
        <v>#N/A</v>
      </c>
      <c r="U40" s="116">
        <f ca="1">IFERROR(__xludf.DUMMYFUNCTION("ArrayFormula(VLOOKUP(G40, IMPORTRANGE(""https://docs.google.com/spreadsheets/d/1p7R4vtkWt5VOBim4ltsDG9KTzSjrtKXsMtQGXPHyND0/edit#gid=795171502"", ""'Filter 30_05_2024'!A1:M2000""), {2, 3, 4, 5,6,7,8,9,10,11,12,13}, 0))"),2)</f>
        <v>2</v>
      </c>
      <c r="V40" s="116">
        <f ca="1">IFERROR(__xludf.DUMMYFUNCTION("""COMPUTED_VALUE"""),6)</f>
        <v>6</v>
      </c>
      <c r="W40" s="116">
        <f ca="1">IFERROR(__xludf.DUMMYFUNCTION("""COMPUTED_VALUE"""),1)</f>
        <v>1</v>
      </c>
      <c r="X40" s="116">
        <f ca="1">IFERROR(__xludf.DUMMYFUNCTION("""COMPUTED_VALUE"""),9)</f>
        <v>9</v>
      </c>
      <c r="Y40" s="116">
        <f ca="1">IFERROR(__xludf.DUMMYFUNCTION("""COMPUTED_VALUE"""),4)</f>
        <v>4</v>
      </c>
      <c r="Z40" s="12">
        <f ca="1">IFERROR(__xludf.DUMMYFUNCTION("""COMPUTED_VALUE"""),3)</f>
        <v>3</v>
      </c>
      <c r="AA40" s="12">
        <f ca="1">IFERROR(__xludf.DUMMYFUNCTION("""COMPUTED_VALUE"""),2)</f>
        <v>2</v>
      </c>
      <c r="AB40" s="12">
        <f ca="1">IFERROR(__xludf.DUMMYFUNCTION("""COMPUTED_VALUE"""),9)</f>
        <v>9</v>
      </c>
      <c r="AC40" s="12"/>
      <c r="AD40" s="12"/>
      <c r="AE40" s="12"/>
      <c r="AF40" s="12"/>
      <c r="AG40" s="13" t="str">
        <f ca="1">IFERROR(__xludf.DUMMYFUNCTION("ArrayFormula(VLOOKUP(G40, IMPORTRANGE(""https://docs.google.com/spreadsheets/d/1Co934fvtviyaRiMsrIlT05Jaq7iiYq07aLvRr35KA48/edit?gid=173865642#gid=173865642"", ""'G7_Sci_Pri_LU'!G2:V2000""), {3, 4, 5, 6, 7, 8, 9, 10, 11, 12, 13, 14, 15, 16}, 0))"),"LU005475")</f>
        <v>LU005475</v>
      </c>
      <c r="AH40" s="13" t="str">
        <f ca="1">IFERROR(__xludf.DUMMYFUNCTION("""COMPUTED_VALUE"""),"Definition of acids")</f>
        <v>Definition of acids</v>
      </c>
      <c r="AI40" s="13" t="str">
        <f ca="1">IFERROR(__xludf.DUMMYFUNCTION("""COMPUTED_VALUE"""),"LU005471")</f>
        <v>LU005471</v>
      </c>
      <c r="AJ40" s="13" t="str">
        <f ca="1">IFERROR(__xludf.DUMMYFUNCTION("""COMPUTED_VALUE"""),"Definition of bases")</f>
        <v>Definition of bases</v>
      </c>
      <c r="AK40" s="13"/>
      <c r="AL40" s="13"/>
      <c r="AM40" s="13"/>
      <c r="AN40" s="13"/>
      <c r="AO40" s="13"/>
      <c r="AP40" s="13"/>
      <c r="AQ40" s="13"/>
      <c r="AR40" s="13"/>
      <c r="AS40" s="13"/>
      <c r="AT40" s="13"/>
    </row>
    <row r="41" spans="1:46">
      <c r="A41" s="8" t="s">
        <v>247</v>
      </c>
      <c r="B41" s="8" t="s">
        <v>47</v>
      </c>
      <c r="C41" s="8" t="s">
        <v>416</v>
      </c>
      <c r="D41" s="8" t="s">
        <v>1441</v>
      </c>
      <c r="E41" s="8" t="s">
        <v>1858</v>
      </c>
      <c r="F41" s="8" t="s">
        <v>1863</v>
      </c>
      <c r="G41" s="8" t="s">
        <v>1865</v>
      </c>
      <c r="H41" s="8" t="str">
        <f ca="1">IFERROR(__xludf.DUMMYFUNCTION("VLOOKUP(G41, IMPORTRANGE(""https://docs.google.com/spreadsheets/d/14deopnvwcrKtEGCKuYXdUHJbeLDZlkiSSWWT0g7x2pM/edit#gid=849066331"", ""LU List Science (Filter)!A:B""), 2, FALSE)"),"Litmus and Turmeric as Natural Indicators")</f>
        <v>Litmus and Turmeric as Natural Indicators</v>
      </c>
      <c r="I41" s="10" t="str">
        <f t="shared" si="0"/>
        <v>LU005478.001</v>
      </c>
      <c r="J41" s="10" t="str">
        <f ca="1">IFERROR(__xludf.DUMMYFUNCTION("VLOOKUP(I41, IMPORTRANGE(""https://docs.google.com/spreadsheets/d/1yDAaXNsi4Mr5FtRQL4tbmSdIzhx6_m4wkOD7IG-k_eo/edit#gid=1336395716"", ""Science!M:N""), 2, FALSE)"),"Define the term 'natural indicator' and name examples, including litmus and turmeric.")</f>
        <v>Define the term 'natural indicator' and name examples, including litmus and turmeric.</v>
      </c>
      <c r="K41" s="10" t="str">
        <f t="shared" si="1"/>
        <v>LU005478.002</v>
      </c>
      <c r="L41" s="10" t="str">
        <f ca="1">IFERROR(__xludf.DUMMYFUNCTION("VLOOKUP(K41, IMPORTRANGE(""https://docs.google.com/spreadsheets/d/1yDAaXNsi4Mr5FtRQL4tbmSdIzhx6_m4wkOD7IG-k_eo/edit#gid=1336395716"", ""Science!M:N""), 2, FALSE)"),"Describe how litmus and turmeric react with acids and bases.")</f>
        <v>Describe how litmus and turmeric react with acids and bases.</v>
      </c>
      <c r="M41" s="10" t="str">
        <f t="shared" si="2"/>
        <v>LU005478.003</v>
      </c>
      <c r="N41" s="10" t="str">
        <f ca="1">IFERROR(__xludf.DUMMYFUNCTION("VLOOKUP(M41, IMPORTRANGE(""https://docs.google.com/spreadsheets/d/1yDAaXNsi4Mr5FtRQL4tbmSdIzhx6_m4wkOD7IG-k_eo/edit#gid=1336395716"", ""Science!M:N""), 2, FALSE)"),"Interpret the color changes of these indicators in various solutions.")</f>
        <v>Interpret the color changes of these indicators in various solutions.</v>
      </c>
      <c r="O41" s="10" t="str">
        <f t="shared" si="3"/>
        <v>LU005478.004</v>
      </c>
      <c r="P41" s="10" t="str">
        <f ca="1">IFERROR(__xludf.DUMMYFUNCTION("VLOOKUP(O41, IMPORTRANGE(""https://docs.google.com/spreadsheets/d/1yDAaXNsi4Mr5FtRQL4tbmSdIzhx6_m4wkOD7IG-k_eo/edit#gid=1336395716"", ""Science!M:N""), 2, FALSE)"),"Analyze the effectiveness of litmus and turmeric in detecting the pH of various substances compared to other indicators.")</f>
        <v>Analyze the effectiveness of litmus and turmeric in detecting the pH of various substances compared to other indicators.</v>
      </c>
      <c r="Q41" s="10" t="str">
        <f t="shared" si="4"/>
        <v>LU005478.005</v>
      </c>
      <c r="R41" s="10" t="str">
        <f ca="1">IFERROR(__xludf.DUMMYFUNCTION("VLOOKUP(Q41, IMPORTRANGE(""https://docs.google.com/spreadsheets/d/1yDAaXNsi4Mr5FtRQL4tbmSdIzhx6_m4wkOD7IG-k_eo/edit#gid=1336395716"", ""Science!M:N""), 2, FALSE)"),"Justify the choice of using natural indicators like litmus and turmeric various acids and bases")</f>
        <v>Justify the choice of using natural indicators like litmus and turmeric various acids and bases</v>
      </c>
      <c r="S41" s="10" t="str">
        <f t="shared" si="5"/>
        <v>LU005478.006</v>
      </c>
      <c r="T41" s="10" t="str">
        <f ca="1">IFERROR(__xludf.DUMMYFUNCTION("VLOOKUP(S41, IMPORTRANGE(""https://docs.google.com/spreadsheets/d/1yDAaXNsi4Mr5FtRQL4tbmSdIzhx6_m4wkOD7IG-k_eo/edit#gid=1336395716"", ""Science!M:N""), 2, FALSE)"),"(LU005478.006); Default - Create")</f>
        <v>(LU005478.006); Default - Create</v>
      </c>
      <c r="U41" s="116">
        <f ca="1">IFERROR(__xludf.DUMMYFUNCTION("ArrayFormula(VLOOKUP(G41, IMPORTRANGE(""https://docs.google.com/spreadsheets/d/1p7R4vtkWt5VOBim4ltsDG9KTzSjrtKXsMtQGXPHyND0/edit#gid=795171502"", ""'Filter 30_05_2024'!A1:M2000""), {2, 3, 4, 5,6,7,8,9,10,11,12,13}, 0))"),4)</f>
        <v>4</v>
      </c>
      <c r="V41" s="116">
        <f ca="1">IFERROR(__xludf.DUMMYFUNCTION("""COMPUTED_VALUE"""),6)</f>
        <v>6</v>
      </c>
      <c r="W41" s="116">
        <f ca="1">IFERROR(__xludf.DUMMYFUNCTION("""COMPUTED_VALUE"""),2)</f>
        <v>2</v>
      </c>
      <c r="X41" s="116">
        <f ca="1">IFERROR(__xludf.DUMMYFUNCTION("""COMPUTED_VALUE"""),12)</f>
        <v>12</v>
      </c>
      <c r="Y41" s="116">
        <f ca="1">IFERROR(__xludf.DUMMYFUNCTION("""COMPUTED_VALUE"""),4)</f>
        <v>4</v>
      </c>
      <c r="Z41" s="12">
        <f ca="1">IFERROR(__xludf.DUMMYFUNCTION("""COMPUTED_VALUE"""),7)</f>
        <v>7</v>
      </c>
      <c r="AA41" s="12">
        <f ca="1">IFERROR(__xludf.DUMMYFUNCTION("""COMPUTED_VALUE"""),1)</f>
        <v>1</v>
      </c>
      <c r="AB41" s="12">
        <f ca="1">IFERROR(__xludf.DUMMYFUNCTION("""COMPUTED_VALUE"""),12)</f>
        <v>12</v>
      </c>
      <c r="AC41" s="12"/>
      <c r="AD41" s="12"/>
      <c r="AE41" s="12"/>
      <c r="AF41" s="12"/>
      <c r="AG41" s="13" t="str">
        <f ca="1">IFERROR(__xludf.DUMMYFUNCTION("ArrayFormula(VLOOKUP(G41, IMPORTRANGE(""https://docs.google.com/spreadsheets/d/1Co934fvtviyaRiMsrIlT05Jaq7iiYq07aLvRr35KA48/edit?gid=173865642#gid=173865642"", ""'G7_Sci_Pri_LU'!G2:V2000""), {3, 4, 5, 6, 7, 8, 9, 10, 11, 12, 13, 14, 15, 16}, 0))"),"LU005472")</f>
        <v>LU005472</v>
      </c>
      <c r="AH41" s="13" t="str">
        <f ca="1">IFERROR(__xludf.DUMMYFUNCTION("""COMPUTED_VALUE"""),"Definition of indicators")</f>
        <v>Definition of indicators</v>
      </c>
      <c r="AI41" s="13" t="str">
        <f ca="1">IFERROR(__xludf.DUMMYFUNCTION("""COMPUTED_VALUE"""),"LU005952")</f>
        <v>LU005952</v>
      </c>
      <c r="AJ41" s="13" t="str">
        <f ca="1">IFERROR(__xludf.DUMMYFUNCTION("""COMPUTED_VALUE"""),"Comparison of acids and bases")</f>
        <v>Comparison of acids and bases</v>
      </c>
      <c r="AK41" s="13"/>
      <c r="AL41" s="13"/>
      <c r="AM41" s="13"/>
      <c r="AN41" s="13"/>
      <c r="AO41" s="13"/>
      <c r="AP41" s="13"/>
      <c r="AQ41" s="13"/>
      <c r="AR41" s="13"/>
      <c r="AS41" s="13"/>
      <c r="AT41" s="13"/>
    </row>
    <row r="42" spans="1:46">
      <c r="A42" s="8" t="s">
        <v>247</v>
      </c>
      <c r="B42" s="8" t="s">
        <v>47</v>
      </c>
      <c r="C42" s="8" t="s">
        <v>416</v>
      </c>
      <c r="D42" s="8" t="s">
        <v>1441</v>
      </c>
      <c r="E42" s="8" t="s">
        <v>1858</v>
      </c>
      <c r="F42" s="8" t="s">
        <v>1863</v>
      </c>
      <c r="G42" s="8" t="s">
        <v>1866</v>
      </c>
      <c r="H42" s="8" t="str">
        <f ca="1">IFERROR(__xludf.DUMMYFUNCTION("VLOOKUP(G42, IMPORTRANGE(""https://docs.google.com/spreadsheets/d/14deopnvwcrKtEGCKuYXdUHJbeLDZlkiSSWWT0g7x2pM/edit#gid=849066331"", ""LU List Science (Filter)!A:B""), 2, FALSE)"),"China rose as natural indicator")</f>
        <v>China rose as natural indicator</v>
      </c>
      <c r="I42" s="10" t="str">
        <f t="shared" si="0"/>
        <v>LU005953.001</v>
      </c>
      <c r="J42" s="10" t="str">
        <f ca="1">IFERROR(__xludf.DUMMYFUNCTION("VLOOKUP(I42, IMPORTRANGE(""https://docs.google.com/spreadsheets/d/1yDAaXNsi4Mr5FtRQL4tbmSdIzhx6_m4wkOD7IG-k_eo/edit#gid=1336395716"", ""Science!M:N""), 2, FALSE)"),"Recall the color changes observed when China rose indicator is added to various substances.")</f>
        <v>Recall the color changes observed when China rose indicator is added to various substances.</v>
      </c>
      <c r="K42" s="10" t="str">
        <f t="shared" si="1"/>
        <v>LU005953.002</v>
      </c>
      <c r="L42" s="10" t="str">
        <f ca="1">IFERROR(__xludf.DUMMYFUNCTION("VLOOKUP(K42, IMPORTRANGE(""https://docs.google.com/spreadsheets/d/1yDAaXNsi4Mr5FtRQL4tbmSdIzhx6_m4wkOD7IG-k_eo/edit#gid=1336395716"", ""Science!M:N""), 2, FALSE)"),"Differentiate amongst china rose, turmeric, and litmus indicators.")</f>
        <v>Differentiate amongst china rose, turmeric, and litmus indicators.</v>
      </c>
      <c r="M42" s="10" t="str">
        <f t="shared" si="2"/>
        <v>LU005953.003</v>
      </c>
      <c r="N42" s="10" t="str">
        <f ca="1">IFERROR(__xludf.DUMMYFUNCTION("VLOOKUP(M42, IMPORTRANGE(""https://docs.google.com/spreadsheets/d/1yDAaXNsi4Mr5FtRQL4tbmSdIzhx6_m4wkOD7IG-k_eo/edit#gid=1336395716"", ""Science!M:N""), 2, FALSE)"),"Apply China rose indicator to classify household substances as acidic, basic, or neutral.")</f>
        <v>Apply China rose indicator to classify household substances as acidic, basic, or neutral.</v>
      </c>
      <c r="O42" s="10" t="str">
        <f t="shared" si="3"/>
        <v>LU005953.004</v>
      </c>
      <c r="P42" s="10" t="str">
        <f ca="1">IFERROR(__xludf.DUMMYFUNCTION("VLOOKUP(O42, IMPORTRANGE(""https://docs.google.com/spreadsheets/d/1yDAaXNsi4Mr5FtRQL4tbmSdIzhx6_m4wkOD7IG-k_eo/edit#gid=1336395716"", ""Science!M:N""), 2, FALSE)"),"Compare china rose with other natural indicators. ")</f>
        <v xml:space="preserve">Compare china rose with other natural indicators. </v>
      </c>
      <c r="Q42" s="10" t="str">
        <f t="shared" si="4"/>
        <v>LU005953.005</v>
      </c>
      <c r="R42" s="10" t="str">
        <f ca="1">IFERROR(__xludf.DUMMYFUNCTION("VLOOKUP(Q42, IMPORTRANGE(""https://docs.google.com/spreadsheets/d/1yDAaXNsi4Mr5FtRQL4tbmSdIzhx6_m4wkOD7IG-k_eo/edit#gid=1336395716"", ""Science!M:N""), 2, FALSE)"),"Evaluate the effectiveness of China rose as a natural indicator compared to synthetic indicators.")</f>
        <v>Evaluate the effectiveness of China rose as a natural indicator compared to synthetic indicators.</v>
      </c>
      <c r="S42" s="10" t="str">
        <f t="shared" si="5"/>
        <v>LU005953.006</v>
      </c>
      <c r="T42" s="10" t="str">
        <f ca="1">IFERROR(__xludf.DUMMYFUNCTION("VLOOKUP(S42, IMPORTRANGE(""https://docs.google.com/spreadsheets/d/1yDAaXNsi4Mr5FtRQL4tbmSdIzhx6_m4wkOD7IG-k_eo/edit#gid=1336395716"", ""Science!M:N""), 2, FALSE)"),"#N/A")</f>
        <v>#N/A</v>
      </c>
      <c r="U42" s="116">
        <f ca="1">IFERROR(__xludf.DUMMYFUNCTION("ArrayFormula(VLOOKUP(G42, IMPORTRANGE(""https://docs.google.com/spreadsheets/d/1p7R4vtkWt5VOBim4ltsDG9KTzSjrtKXsMtQGXPHyND0/edit#gid=795171502"", ""'Filter 30_05_2024'!A1:M2000""), {2, 3, 4, 5,6,7,8,9,10,11,12,13}, 0))"),4)</f>
        <v>4</v>
      </c>
      <c r="V42" s="116">
        <f ca="1">IFERROR(__xludf.DUMMYFUNCTION("""COMPUTED_VALUE"""),6)</f>
        <v>6</v>
      </c>
      <c r="W42" s="116">
        <f ca="1">IFERROR(__xludf.DUMMYFUNCTION("""COMPUTED_VALUE"""),2)</f>
        <v>2</v>
      </c>
      <c r="X42" s="116">
        <f ca="1">IFERROR(__xludf.DUMMYFUNCTION("""COMPUTED_VALUE"""),12)</f>
        <v>12</v>
      </c>
      <c r="Y42" s="116">
        <f ca="1">IFERROR(__xludf.DUMMYFUNCTION("""COMPUTED_VALUE"""),4)</f>
        <v>4</v>
      </c>
      <c r="Z42" s="12">
        <f ca="1">IFERROR(__xludf.DUMMYFUNCTION("""COMPUTED_VALUE"""),3)</f>
        <v>3</v>
      </c>
      <c r="AA42" s="12">
        <f ca="1">IFERROR(__xludf.DUMMYFUNCTION("""COMPUTED_VALUE"""),1)</f>
        <v>1</v>
      </c>
      <c r="AB42" s="12">
        <f ca="1">IFERROR(__xludf.DUMMYFUNCTION("""COMPUTED_VALUE"""),8)</f>
        <v>8</v>
      </c>
      <c r="AC42" s="12"/>
      <c r="AD42" s="12"/>
      <c r="AE42" s="12"/>
      <c r="AF42" s="12"/>
      <c r="AG42" s="13" t="str">
        <f ca="1">IFERROR(__xludf.DUMMYFUNCTION("ArrayFormula(VLOOKUP(G42, IMPORTRANGE(""https://docs.google.com/spreadsheets/d/1Co934fvtviyaRiMsrIlT05Jaq7iiYq07aLvRr35KA48/edit?gid=173865642#gid=173865642"", ""'G7_Sci_Pri_LU'!G2:V2000""), {3, 4, 5, 6, 7, 8, 9, 10, 11, 12, 13, 14, 15, 16}, 0))"),"LU005472")</f>
        <v>LU005472</v>
      </c>
      <c r="AH42" s="13" t="str">
        <f ca="1">IFERROR(__xludf.DUMMYFUNCTION("""COMPUTED_VALUE"""),"Definition of indicators")</f>
        <v>Definition of indicators</v>
      </c>
      <c r="AI42" s="13" t="str">
        <f ca="1">IFERROR(__xludf.DUMMYFUNCTION("""COMPUTED_VALUE"""),"LU005952")</f>
        <v>LU005952</v>
      </c>
      <c r="AJ42" s="13" t="str">
        <f ca="1">IFERROR(__xludf.DUMMYFUNCTION("""COMPUTED_VALUE"""),"Comparison of acids and bases")</f>
        <v>Comparison of acids and bases</v>
      </c>
      <c r="AK42" s="13"/>
      <c r="AL42" s="13"/>
      <c r="AM42" s="13"/>
      <c r="AN42" s="13"/>
      <c r="AO42" s="13"/>
      <c r="AP42" s="13"/>
      <c r="AQ42" s="13"/>
      <c r="AR42" s="13"/>
      <c r="AS42" s="13"/>
      <c r="AT42" s="13"/>
    </row>
    <row r="43" spans="1:46">
      <c r="A43" s="8" t="s">
        <v>247</v>
      </c>
      <c r="B43" s="8" t="s">
        <v>47</v>
      </c>
      <c r="C43" s="8" t="s">
        <v>416</v>
      </c>
      <c r="D43" s="8" t="s">
        <v>1441</v>
      </c>
      <c r="E43" s="8" t="s">
        <v>1858</v>
      </c>
      <c r="F43" s="8" t="s">
        <v>1867</v>
      </c>
      <c r="G43" s="8" t="s">
        <v>1868</v>
      </c>
      <c r="H43" s="8" t="str">
        <f ca="1">IFERROR(__xludf.DUMMYFUNCTION("VLOOKUP(G43, IMPORTRANGE(""https://docs.google.com/spreadsheets/d/14deopnvwcrKtEGCKuYXdUHJbeLDZlkiSSWWT0g7x2pM/edit#gid=849066331"", ""LU List Science (Filter)!A:B""), 2, FALSE)"),"Using Phenolphthalein as an Indicator")</f>
        <v>Using Phenolphthalein as an Indicator</v>
      </c>
      <c r="I43" s="10" t="str">
        <f t="shared" si="0"/>
        <v>LU005483.001</v>
      </c>
      <c r="J43" s="10" t="str">
        <f ca="1">IFERROR(__xludf.DUMMYFUNCTION("VLOOKUP(I43, IMPORTRANGE(""https://docs.google.com/spreadsheets/d/1yDAaXNsi4Mr5FtRQL4tbmSdIzhx6_m4wkOD7IG-k_eo/edit#gid=1336395716"", ""Science!M:N""), 2, FALSE)"),"Define phenolphthalein and state its use as an indicator.")</f>
        <v>Define phenolphthalein and state its use as an indicator.</v>
      </c>
      <c r="K43" s="10" t="str">
        <f t="shared" si="1"/>
        <v>LU005483.002</v>
      </c>
      <c r="L43" s="10" t="str">
        <f ca="1">IFERROR(__xludf.DUMMYFUNCTION("VLOOKUP(K43, IMPORTRANGE(""https://docs.google.com/spreadsheets/d/1yDAaXNsi4Mr5FtRQL4tbmSdIzhx6_m4wkOD7IG-k_eo/edit#gid=1336395716"", ""Science!M:N""), 2, FALSE)"),"Describe how phenolphthalein reacts to acids and bases.")</f>
        <v>Describe how phenolphthalein reacts to acids and bases.</v>
      </c>
      <c r="M43" s="10" t="str">
        <f t="shared" si="2"/>
        <v>LU005483.003</v>
      </c>
      <c r="N43" s="10" t="str">
        <f ca="1">IFERROR(__xludf.DUMMYFUNCTION("VLOOKUP(M43, IMPORTRANGE(""https://docs.google.com/spreadsheets/d/1yDAaXNsi4Mr5FtRQL4tbmSdIzhx6_m4wkOD7IG-k_eo/edit#gid=1336395716"", ""Science!M:N""), 2, FALSE)"),"Use phenolphthalein to identify the acidic or basic nature of a given solution.")</f>
        <v>Use phenolphthalein to identify the acidic or basic nature of a given solution.</v>
      </c>
      <c r="O43" s="10" t="str">
        <f t="shared" si="3"/>
        <v>LU005483.004</v>
      </c>
      <c r="P43" s="10" t="str">
        <f ca="1">IFERROR(__xludf.DUMMYFUNCTION("VLOOKUP(O43, IMPORTRANGE(""https://docs.google.com/spreadsheets/d/1yDAaXNsi4Mr5FtRQL4tbmSdIzhx6_m4wkOD7IG-k_eo/edit#gid=1336395716"", ""Science!M:N""), 2, FALSE)"),"Compare the color change in phenolphthalein with other indicators like litmus.")</f>
        <v>Compare the color change in phenolphthalein with other indicators like litmus.</v>
      </c>
      <c r="Q43" s="10" t="str">
        <f t="shared" si="4"/>
        <v>LU005483.005</v>
      </c>
      <c r="R43" s="10" t="str">
        <f ca="1">IFERROR(__xludf.DUMMYFUNCTION("VLOOKUP(Q43, IMPORTRANGE(""https://docs.google.com/spreadsheets/d/1yDAaXNsi4Mr5FtRQL4tbmSdIzhx6_m4wkOD7IG-k_eo/edit#gid=1336395716"", ""Science!M:N""), 2, FALSE)"),"Evaluate the limitations of using phenolphthalein in certain types of solutions.")</f>
        <v>Evaluate the limitations of using phenolphthalein in certain types of solutions.</v>
      </c>
      <c r="S43" s="10" t="str">
        <f t="shared" si="5"/>
        <v>LU005483.006</v>
      </c>
      <c r="T43" s="10" t="str">
        <f ca="1">IFERROR(__xludf.DUMMYFUNCTION("VLOOKUP(S43, IMPORTRANGE(""https://docs.google.com/spreadsheets/d/1yDAaXNsi4Mr5FtRQL4tbmSdIzhx6_m4wkOD7IG-k_eo/edit#gid=1336395716"", ""Science!M:N""), 2, FALSE)"),"#N/A")</f>
        <v>#N/A</v>
      </c>
      <c r="U43" s="116">
        <f ca="1">IFERROR(__xludf.DUMMYFUNCTION("ArrayFormula(VLOOKUP(G43, IMPORTRANGE(""https://docs.google.com/spreadsheets/d/1p7R4vtkWt5VOBim4ltsDG9KTzSjrtKXsMtQGXPHyND0/edit#gid=795171502"", ""'Filter 30_05_2024'!A1:M2000""), {2, 3, 4, 5,6,7,8,9,10,11,12,13}, 0))"),4)</f>
        <v>4</v>
      </c>
      <c r="V43" s="116">
        <f ca="1">IFERROR(__xludf.DUMMYFUNCTION("""COMPUTED_VALUE"""),6)</f>
        <v>6</v>
      </c>
      <c r="W43" s="116">
        <f ca="1">IFERROR(__xludf.DUMMYFUNCTION("""COMPUTED_VALUE"""),2)</f>
        <v>2</v>
      </c>
      <c r="X43" s="116">
        <f ca="1">IFERROR(__xludf.DUMMYFUNCTION("""COMPUTED_VALUE"""),12)</f>
        <v>12</v>
      </c>
      <c r="Y43" s="116">
        <f ca="1">IFERROR(__xludf.DUMMYFUNCTION("""COMPUTED_VALUE"""),4)</f>
        <v>4</v>
      </c>
      <c r="Z43" s="12">
        <f ca="1">IFERROR(__xludf.DUMMYFUNCTION("""COMPUTED_VALUE"""),3)</f>
        <v>3</v>
      </c>
      <c r="AA43" s="12">
        <f ca="1">IFERROR(__xludf.DUMMYFUNCTION("""COMPUTED_VALUE"""),1)</f>
        <v>1</v>
      </c>
      <c r="AB43" s="12">
        <f ca="1">IFERROR(__xludf.DUMMYFUNCTION("""COMPUTED_VALUE"""),8)</f>
        <v>8</v>
      </c>
      <c r="AC43" s="12"/>
      <c r="AD43" s="12"/>
      <c r="AE43" s="12"/>
      <c r="AF43" s="12"/>
      <c r="AG43" s="13" t="str">
        <f ca="1">IFERROR(__xludf.DUMMYFUNCTION("ArrayFormula(VLOOKUP(G43, IMPORTRANGE(""https://docs.google.com/spreadsheets/d/1Co934fvtviyaRiMsrIlT05Jaq7iiYq07aLvRr35KA48/edit?gid=173865642#gid=173865642"", ""'G7_Sci_Pri_LU'!G2:V2000""), {3, 4, 5, 6, 7, 8, 9, 10, 11, 12, 13, 14, 15, 16}, 0))"),"LU005472")</f>
        <v>LU005472</v>
      </c>
      <c r="AH43" s="13" t="str">
        <f ca="1">IFERROR(__xludf.DUMMYFUNCTION("""COMPUTED_VALUE"""),"Definition of indicators")</f>
        <v>Definition of indicators</v>
      </c>
      <c r="AI43" s="13"/>
      <c r="AJ43" s="13"/>
      <c r="AK43" s="13"/>
      <c r="AL43" s="13"/>
      <c r="AM43" s="13"/>
      <c r="AN43" s="13"/>
      <c r="AO43" s="13"/>
      <c r="AP43" s="13"/>
      <c r="AQ43" s="13"/>
      <c r="AR43" s="13"/>
      <c r="AS43" s="13"/>
      <c r="AT43" s="13"/>
    </row>
    <row r="44" spans="1:46">
      <c r="A44" s="8" t="s">
        <v>247</v>
      </c>
      <c r="B44" s="8" t="s">
        <v>47</v>
      </c>
      <c r="C44" s="8" t="s">
        <v>416</v>
      </c>
      <c r="D44" s="8" t="s">
        <v>1441</v>
      </c>
      <c r="E44" s="8" t="s">
        <v>1858</v>
      </c>
      <c r="F44" s="8" t="s">
        <v>1867</v>
      </c>
      <c r="G44" s="8" t="s">
        <v>1869</v>
      </c>
      <c r="H44" s="8" t="str">
        <f ca="1">IFERROR(__xludf.DUMMYFUNCTION("VLOOKUP(G44, IMPORTRANGE(""https://docs.google.com/spreadsheets/d/14deopnvwcrKtEGCKuYXdUHJbeLDZlkiSSWWT0g7x2pM/edit#gid=849066331"", ""LU List Science (Filter)!A:B""), 2, FALSE)"),"Definition of neutralisation reaction")</f>
        <v>Definition of neutralisation reaction</v>
      </c>
      <c r="I44" s="10" t="str">
        <f t="shared" si="0"/>
        <v>LU005473.001</v>
      </c>
      <c r="J44" s="10" t="str">
        <f ca="1">IFERROR(__xludf.DUMMYFUNCTION("VLOOKUP(I44, IMPORTRANGE(""https://docs.google.com/spreadsheets/d/1yDAaXNsi4Mr5FtRQL4tbmSdIzhx6_m4wkOD7IG-k_eo/edit#gid=1336395716"", ""Science!M:N""), 2, FALSE)"),"Define neutralization reaction and its role in chemistry.")</f>
        <v>Define neutralization reaction and its role in chemistry.</v>
      </c>
      <c r="K44" s="10" t="str">
        <f t="shared" si="1"/>
        <v>LU005473.002</v>
      </c>
      <c r="L44" s="10" t="str">
        <f ca="1">IFERROR(__xludf.DUMMYFUNCTION("VLOOKUP(K44, IMPORTRANGE(""https://docs.google.com/spreadsheets/d/1yDAaXNsi4Mr5FtRQL4tbmSdIzhx6_m4wkOD7IG-k_eo/edit#gid=1336395716"", ""Science!M:N""), 2, FALSE)"),"Explain the process of neutralization involving acids and bases.")</f>
        <v>Explain the process of neutralization involving acids and bases.</v>
      </c>
      <c r="M44" s="10" t="str">
        <f t="shared" si="2"/>
        <v>LU005473.003</v>
      </c>
      <c r="N44" s="10" t="str">
        <f ca="1">IFERROR(__xludf.DUMMYFUNCTION("VLOOKUP(M44, IMPORTRANGE(""https://docs.google.com/spreadsheets/d/1yDAaXNsi4Mr5FtRQL4tbmSdIzhx6_m4wkOD7IG-k_eo/edit#gid=1336395716"", ""Science!M:N""), 2, FALSE)"),"Describe the products formed in a neutralization reaction.")</f>
        <v>Describe the products formed in a neutralization reaction.</v>
      </c>
      <c r="O44" s="10" t="str">
        <f t="shared" si="3"/>
        <v>LU005473.004</v>
      </c>
      <c r="P44" s="10" t="str">
        <f ca="1">IFERROR(__xludf.DUMMYFUNCTION("VLOOKUP(O44, IMPORTRANGE(""https://docs.google.com/spreadsheets/d/1yDAaXNsi4Mr5FtRQL4tbmSdIzhx6_m4wkOD7IG-k_eo/edit#gid=1336395716"", ""Science!M:N""), 2, FALSE)"),"Analyze how neutralization reactions contribute to pH change.")</f>
        <v>Analyze how neutralization reactions contribute to pH change.</v>
      </c>
      <c r="Q44" s="10" t="str">
        <f t="shared" si="4"/>
        <v>LU005473.005</v>
      </c>
      <c r="R44" s="10" t="str">
        <f ca="1">IFERROR(__xludf.DUMMYFUNCTION("VLOOKUP(Q44, IMPORTRANGE(""https://docs.google.com/spreadsheets/d/1yDAaXNsi4Mr5FtRQL4tbmSdIzhx6_m4wkOD7IG-k_eo/edit#gid=1336395716"", ""Science!M:N""), 2, FALSE)"),"Evaluate the importance of neutralization in various applications, such as waste treatment and food preparation.")</f>
        <v>Evaluate the importance of neutralization in various applications, such as waste treatment and food preparation.</v>
      </c>
      <c r="S44" s="10" t="str">
        <f t="shared" si="5"/>
        <v>LU005473.006</v>
      </c>
      <c r="T44" s="10" t="str">
        <f ca="1">IFERROR(__xludf.DUMMYFUNCTION("VLOOKUP(S44, IMPORTRANGE(""https://docs.google.com/spreadsheets/d/1yDAaXNsi4Mr5FtRQL4tbmSdIzhx6_m4wkOD7IG-k_eo/edit#gid=1336395716"", ""Science!M:N""), 2, FALSE)"),"#N/A")</f>
        <v>#N/A</v>
      </c>
      <c r="U44" s="116">
        <f ca="1">IFERROR(__xludf.DUMMYFUNCTION("ArrayFormula(VLOOKUP(G44, IMPORTRANGE(""https://docs.google.com/spreadsheets/d/1p7R4vtkWt5VOBim4ltsDG9KTzSjrtKXsMtQGXPHyND0/edit#gid=795171502"", ""'Filter 30_05_2024'!A1:M2000""), {2, 3, 4, 5,6,7,8,9,10,11,12,13}, 0))"),14)</f>
        <v>14</v>
      </c>
      <c r="V44" s="116">
        <f ca="1">IFERROR(__xludf.DUMMYFUNCTION("""COMPUTED_VALUE"""),14)</f>
        <v>14</v>
      </c>
      <c r="W44" s="116">
        <f ca="1">IFERROR(__xludf.DUMMYFUNCTION("""COMPUTED_VALUE"""),5)</f>
        <v>5</v>
      </c>
      <c r="X44" s="116">
        <f ca="1">IFERROR(__xludf.DUMMYFUNCTION("""COMPUTED_VALUE"""),33)</f>
        <v>33</v>
      </c>
      <c r="Y44" s="116">
        <f ca="1">IFERROR(__xludf.DUMMYFUNCTION("""COMPUTED_VALUE"""),8)</f>
        <v>8</v>
      </c>
      <c r="Z44" s="12">
        <f ca="1">IFERROR(__xludf.DUMMYFUNCTION("""COMPUTED_VALUE"""),5)</f>
        <v>5</v>
      </c>
      <c r="AA44" s="12">
        <f ca="1">IFERROR(__xludf.DUMMYFUNCTION("""COMPUTED_VALUE"""),2)</f>
        <v>2</v>
      </c>
      <c r="AB44" s="12">
        <f ca="1">IFERROR(__xludf.DUMMYFUNCTION("""COMPUTED_VALUE"""),15)</f>
        <v>15</v>
      </c>
      <c r="AC44" s="12"/>
      <c r="AD44" s="12"/>
      <c r="AE44" s="12"/>
      <c r="AF44" s="12"/>
      <c r="AG44" s="13" t="str">
        <f ca="1">IFERROR(__xludf.DUMMYFUNCTION("ArrayFormula(VLOOKUP(G44, IMPORTRANGE(""https://docs.google.com/spreadsheets/d/1Co934fvtviyaRiMsrIlT05Jaq7iiYq07aLvRr35KA48/edit?gid=173865642#gid=173865642"", ""'G7_Sci_Pri_LU'!G2:V2000""), {3, 4, 5, 6, 7, 8, 9, 10, 11, 12, 13, 14, 15, 16}, 0))"),"LU005475")</f>
        <v>LU005475</v>
      </c>
      <c r="AH44" s="13" t="str">
        <f ca="1">IFERROR(__xludf.DUMMYFUNCTION("""COMPUTED_VALUE"""),"Definition of acids")</f>
        <v>Definition of acids</v>
      </c>
      <c r="AI44" s="13" t="str">
        <f ca="1">IFERROR(__xludf.DUMMYFUNCTION("""COMPUTED_VALUE"""),"LU005471")</f>
        <v>LU005471</v>
      </c>
      <c r="AJ44" s="13" t="str">
        <f ca="1">IFERROR(__xludf.DUMMYFUNCTION("""COMPUTED_VALUE"""),"Definition of bases")</f>
        <v>Definition of bases</v>
      </c>
      <c r="AK44" s="13" t="str">
        <f ca="1">IFERROR(__xludf.DUMMYFUNCTION("""COMPUTED_VALUE"""),"LU005483")</f>
        <v>LU005483</v>
      </c>
      <c r="AL44" s="13" t="str">
        <f ca="1">IFERROR(__xludf.DUMMYFUNCTION("""COMPUTED_VALUE"""),"Using Phenolphthalein as an Indicator")</f>
        <v>Using Phenolphthalein as an Indicator</v>
      </c>
      <c r="AM44" s="13"/>
      <c r="AN44" s="13"/>
      <c r="AO44" s="13"/>
      <c r="AP44" s="13"/>
      <c r="AQ44" s="13"/>
      <c r="AR44" s="13"/>
      <c r="AS44" s="13"/>
      <c r="AT44" s="13"/>
    </row>
    <row r="45" spans="1:46">
      <c r="A45" s="8" t="s">
        <v>247</v>
      </c>
      <c r="B45" s="8" t="s">
        <v>47</v>
      </c>
      <c r="C45" s="8" t="s">
        <v>416</v>
      </c>
      <c r="D45" s="8" t="s">
        <v>1441</v>
      </c>
      <c r="E45" s="8" t="s">
        <v>1858</v>
      </c>
      <c r="F45" s="8" t="s">
        <v>1867</v>
      </c>
      <c r="G45" s="8" t="s">
        <v>1870</v>
      </c>
      <c r="H45" s="8" t="str">
        <f ca="1">IFERROR(__xludf.DUMMYFUNCTION("VLOOKUP(G45, IMPORTRANGE(""https://docs.google.com/spreadsheets/d/14deopnvwcrKtEGCKuYXdUHJbeLDZlkiSSWWT0g7x2pM/edit#gid=849066331"", ""LU List Science (Filter)!A:B""), 2, FALSE)"),"Practical applications of neutralisation")</f>
        <v>Practical applications of neutralisation</v>
      </c>
      <c r="I45" s="10" t="str">
        <f t="shared" si="0"/>
        <v>LU005481.001</v>
      </c>
      <c r="J45" s="10" t="str">
        <f ca="1">IFERROR(__xludf.DUMMYFUNCTION("VLOOKUP(I45, IMPORTRANGE(""https://docs.google.com/spreadsheets/d/1yDAaXNsi4Mr5FtRQL4tbmSdIzhx6_m4wkOD7IG-k_eo/edit#gid=1336395716"", ""Science!M:N""), 2, FALSE)"),"Identify practical applications of neutralization reactions in various fields.")</f>
        <v>Identify practical applications of neutralization reactions in various fields.</v>
      </c>
      <c r="K45" s="10" t="str">
        <f t="shared" si="1"/>
        <v>LU005481.002</v>
      </c>
      <c r="L45" s="10" t="str">
        <f ca="1">IFERROR(__xludf.DUMMYFUNCTION("VLOOKUP(K45, IMPORTRANGE(""https://docs.google.com/spreadsheets/d/1yDAaXNsi4Mr5FtRQL4tbmSdIzhx6_m4wkOD7IG-k_eo/edit#gid=1336395716"", ""Science!M:N""), 2, FALSE)"),"Describe how neutralization reactions are used to control pH levels in different scenarios.")</f>
        <v>Describe how neutralization reactions are used to control pH levels in different scenarios.</v>
      </c>
      <c r="M45" s="10" t="str">
        <f t="shared" si="2"/>
        <v>LU005481.003</v>
      </c>
      <c r="N45" s="10" t="str">
        <f ca="1">IFERROR(__xludf.DUMMYFUNCTION("VLOOKUP(M45, IMPORTRANGE(""https://docs.google.com/spreadsheets/d/1yDAaXNsi4Mr5FtRQL4tbmSdIzhx6_m4wkOD7IG-k_eo/edit#gid=1336395716"", ""Science!M:N""), 2, FALSE)"),"Explain the role of neutralization in waste treatment and pollution prevention.")</f>
        <v>Explain the role of neutralization in waste treatment and pollution prevention.</v>
      </c>
      <c r="O45" s="10" t="str">
        <f t="shared" si="3"/>
        <v>LU005481.004</v>
      </c>
      <c r="P45" s="10" t="str">
        <f ca="1">IFERROR(__xludf.DUMMYFUNCTION("VLOOKUP(O45, IMPORTRANGE(""https://docs.google.com/spreadsheets/d/1yDAaXNsi4Mr5FtRQL4tbmSdIzhx6_m4wkOD7IG-k_eo/edit#gid=1336395716"", ""Science!M:N""), 2, FALSE)"),"Analyze the use of neutralization in agriculture, medicine, and water treatment.")</f>
        <v>Analyze the use of neutralization in agriculture, medicine, and water treatment.</v>
      </c>
      <c r="Q45" s="10" t="str">
        <f t="shared" si="4"/>
        <v>LU005481.005</v>
      </c>
      <c r="R45" s="10" t="str">
        <f ca="1">IFERROR(__xludf.DUMMYFUNCTION("VLOOKUP(Q45, IMPORTRANGE(""https://docs.google.com/spreadsheets/d/1yDAaXNsi4Mr5FtRQL4tbmSdIzhx6_m4wkOD7IG-k_eo/edit#gid=1336395716"", ""Science!M:N""), 2, FALSE)"),"Evaluate the environmental impact of using neutralization reactions in waste management.")</f>
        <v>Evaluate the environmental impact of using neutralization reactions in waste management.</v>
      </c>
      <c r="S45" s="10" t="str">
        <f t="shared" si="5"/>
        <v>LU005481.006</v>
      </c>
      <c r="T45" s="10" t="str">
        <f ca="1">IFERROR(__xludf.DUMMYFUNCTION("VLOOKUP(S45, IMPORTRANGE(""https://docs.google.com/spreadsheets/d/1yDAaXNsi4Mr5FtRQL4tbmSdIzhx6_m4wkOD7IG-k_eo/edit#gid=1336395716"", ""Science!M:N""), 2, FALSE)"),"#N/A")</f>
        <v>#N/A</v>
      </c>
      <c r="U45" s="116">
        <f ca="1">IFERROR(__xludf.DUMMYFUNCTION("ArrayFormula(VLOOKUP(G45, IMPORTRANGE(""https://docs.google.com/spreadsheets/d/1p7R4vtkWt5VOBim4ltsDG9KTzSjrtKXsMtQGXPHyND0/edit#gid=795171502"", ""'Filter 30_05_2024'!A1:M2000""), {2, 3, 4, 5,6,7,8,9,10,11,12,13}, 0))"),2)</f>
        <v>2</v>
      </c>
      <c r="V45" s="116">
        <f ca="1">IFERROR(__xludf.DUMMYFUNCTION("""COMPUTED_VALUE"""),6)</f>
        <v>6</v>
      </c>
      <c r="W45" s="116">
        <f ca="1">IFERROR(__xludf.DUMMYFUNCTION("""COMPUTED_VALUE"""),1)</f>
        <v>1</v>
      </c>
      <c r="X45" s="116">
        <f ca="1">IFERROR(__xludf.DUMMYFUNCTION("""COMPUTED_VALUE"""),9)</f>
        <v>9</v>
      </c>
      <c r="Y45" s="116">
        <f ca="1">IFERROR(__xludf.DUMMYFUNCTION("""COMPUTED_VALUE"""),6)</f>
        <v>6</v>
      </c>
      <c r="Z45" s="12">
        <f ca="1">IFERROR(__xludf.DUMMYFUNCTION("""COMPUTED_VALUE"""),3)</f>
        <v>3</v>
      </c>
      <c r="AA45" s="12">
        <f ca="1">IFERROR(__xludf.DUMMYFUNCTION("""COMPUTED_VALUE"""),4)</f>
        <v>4</v>
      </c>
      <c r="AB45" s="12">
        <f ca="1">IFERROR(__xludf.DUMMYFUNCTION("""COMPUTED_VALUE"""),13)</f>
        <v>13</v>
      </c>
      <c r="AC45" s="12"/>
      <c r="AD45" s="12"/>
      <c r="AE45" s="12"/>
      <c r="AF45" s="12"/>
      <c r="AG45" s="13" t="str">
        <f ca="1">IFERROR(__xludf.DUMMYFUNCTION("ArrayFormula(VLOOKUP(G45, IMPORTRANGE(""https://docs.google.com/spreadsheets/d/1Co934fvtviyaRiMsrIlT05Jaq7iiYq07aLvRr35KA48/edit?gid=173865642#gid=173865642"", ""'G7_Sci_Pri_LU'!G2:V2000""), {3, 4, 5, 6, 7, 8, 9, 10, 11, 12, 13, 14, 15, 16}, 0))"),"LU005473")</f>
        <v>LU005473</v>
      </c>
      <c r="AH45" s="13" t="str">
        <f ca="1">IFERROR(__xludf.DUMMYFUNCTION("""COMPUTED_VALUE"""),"Definition of neutralisation reaction")</f>
        <v>Definition of neutralisation reaction</v>
      </c>
      <c r="AI45" s="13" t="str">
        <f ca="1">IFERROR(__xludf.DUMMYFUNCTION("""COMPUTED_VALUE"""),"LU005475")</f>
        <v>LU005475</v>
      </c>
      <c r="AJ45" s="13" t="str">
        <f ca="1">IFERROR(__xludf.DUMMYFUNCTION("""COMPUTED_VALUE"""),"Definition of acids")</f>
        <v>Definition of acids</v>
      </c>
      <c r="AK45" s="13" t="str">
        <f ca="1">IFERROR(__xludf.DUMMYFUNCTION("""COMPUTED_VALUE"""),"LU005471")</f>
        <v>LU005471</v>
      </c>
      <c r="AL45" s="13" t="str">
        <f ca="1">IFERROR(__xludf.DUMMYFUNCTION("""COMPUTED_VALUE"""),"Definition of bases")</f>
        <v>Definition of bases</v>
      </c>
      <c r="AM45" s="13"/>
      <c r="AN45" s="13"/>
      <c r="AO45" s="13"/>
      <c r="AP45" s="13"/>
      <c r="AQ45" s="13"/>
      <c r="AR45" s="13"/>
      <c r="AS45" s="13"/>
      <c r="AT45" s="13"/>
    </row>
    <row r="46" spans="1:46">
      <c r="A46" s="8" t="s">
        <v>247</v>
      </c>
      <c r="B46" s="8" t="s">
        <v>47</v>
      </c>
      <c r="C46" s="8" t="s">
        <v>416</v>
      </c>
      <c r="D46" s="8" t="s">
        <v>1441</v>
      </c>
      <c r="E46" s="8" t="s">
        <v>1871</v>
      </c>
      <c r="F46" s="8" t="s">
        <v>1872</v>
      </c>
      <c r="G46" s="8" t="s">
        <v>1873</v>
      </c>
      <c r="H46" s="8" t="str">
        <f ca="1">IFERROR(__xludf.DUMMYFUNCTION("VLOOKUP(G46, IMPORTRANGE(""https://docs.google.com/spreadsheets/d/14deopnvwcrKtEGCKuYXdUHJbeLDZlkiSSWWT0g7x2pM/edit#gid=849066331"", ""LU List Science (Filter)!A:B""), 2, FALSE)"),"Recognition of various changes in our surroundings")</f>
        <v>Recognition of various changes in our surroundings</v>
      </c>
      <c r="I46" s="10" t="str">
        <f t="shared" si="0"/>
        <v>LU005954.001</v>
      </c>
      <c r="J46" s="10" t="str">
        <f ca="1">IFERROR(__xludf.DUMMYFUNCTION("VLOOKUP(I46, IMPORTRANGE(""https://docs.google.com/spreadsheets/d/1yDAaXNsi4Mr5FtRQL4tbmSdIzhx6_m4wkOD7IG-k_eo/edit#gid=1336395716"", ""Science!M:N""), 2, FALSE)"),"Recall examples of changes observed in daily life, such as melting ice or wilting flowers.")</f>
        <v>Recall examples of changes observed in daily life, such as melting ice or wilting flowers.</v>
      </c>
      <c r="K46" s="10" t="str">
        <f t="shared" si="1"/>
        <v>LU005954.002</v>
      </c>
      <c r="L46" s="10" t="str">
        <f ca="1">IFERROR(__xludf.DUMMYFUNCTION("VLOOKUP(K46, IMPORTRANGE(""https://docs.google.com/spreadsheets/d/1yDAaXNsi4Mr5FtRQL4tbmSdIzhx6_m4wkOD7IG-k_eo/edit#gid=1336395716"", ""Science!M:N""), 2, FALSE)"),"Interpret the reasons behind common changes in daily life, such as the melting of ice and the wilting of flowers.")</f>
        <v>Interpret the reasons behind common changes in daily life, such as the melting of ice and the wilting of flowers.</v>
      </c>
      <c r="M46" s="10" t="str">
        <f t="shared" si="2"/>
        <v>LU005954.003</v>
      </c>
      <c r="N46" s="10" t="str">
        <f ca="1">IFERROR(__xludf.DUMMYFUNCTION("VLOOKUP(M46, IMPORTRANGE(""https://docs.google.com/spreadsheets/d/1yDAaXNsi4Mr5FtRQL4tbmSdIzhx6_m4wkOD7IG-k_eo/edit#gid=1336395716"", ""Science!M:N""), 2, FALSE)"),"Apply the concept of reversible and irreversible changes to classify daily observations.")</f>
        <v>Apply the concept of reversible and irreversible changes to classify daily observations.</v>
      </c>
      <c r="O46" s="10" t="str">
        <f t="shared" si="3"/>
        <v>LU005954.004</v>
      </c>
      <c r="P46" s="10" t="str">
        <f ca="1">IFERROR(__xludf.DUMMYFUNCTION("VLOOKUP(O46, IMPORTRANGE(""https://docs.google.com/spreadsheets/d/1yDAaXNsi4Mr5FtRQL4tbmSdIzhx6_m4wkOD7IG-k_eo/edit#gid=1336395716"", ""Science!M:N""), 2, FALSE)"),"#N/A")</f>
        <v>#N/A</v>
      </c>
      <c r="Q46" s="10" t="str">
        <f t="shared" si="4"/>
        <v>LU005954.005</v>
      </c>
      <c r="R46" s="10" t="str">
        <f ca="1">IFERROR(__xludf.DUMMYFUNCTION("VLOOKUP(Q46, IMPORTRANGE(""https://docs.google.com/spreadsheets/d/1yDAaXNsi4Mr5FtRQL4tbmSdIzhx6_m4wkOD7IG-k_eo/edit#gid=1336395716"", ""Science!M:N""), 2, FALSE)"),"#N/A")</f>
        <v>#N/A</v>
      </c>
      <c r="S46" s="10" t="str">
        <f t="shared" si="5"/>
        <v>LU005954.006</v>
      </c>
      <c r="T46" s="10" t="str">
        <f ca="1">IFERROR(__xludf.DUMMYFUNCTION("VLOOKUP(S46, IMPORTRANGE(""https://docs.google.com/spreadsheets/d/1yDAaXNsi4Mr5FtRQL4tbmSdIzhx6_m4wkOD7IG-k_eo/edit#gid=1336395716"", ""Science!M:N""), 2, FALSE)"),"#N/A")</f>
        <v>#N/A</v>
      </c>
      <c r="U46" s="116">
        <f ca="1">IFERROR(__xludf.DUMMYFUNCTION("ArrayFormula(VLOOKUP(G46, IMPORTRANGE(""https://docs.google.com/spreadsheets/d/1p7R4vtkWt5VOBim4ltsDG9KTzSjrtKXsMtQGXPHyND0/edit#gid=795171502"", ""'Filter 30_05_2024'!A1:M2000""), {2, 3, 4, 5,6,7,8,9,10,11,12,13}, 0))"),4)</f>
        <v>4</v>
      </c>
      <c r="V46" s="116">
        <f ca="1">IFERROR(__xludf.DUMMYFUNCTION("""COMPUTED_VALUE"""),9)</f>
        <v>9</v>
      </c>
      <c r="W46" s="116">
        <f ca="1">IFERROR(__xludf.DUMMYFUNCTION("""COMPUTED_VALUE"""),2)</f>
        <v>2</v>
      </c>
      <c r="X46" s="116">
        <f ca="1">IFERROR(__xludf.DUMMYFUNCTION("""COMPUTED_VALUE"""),15)</f>
        <v>15</v>
      </c>
      <c r="Y46" s="116">
        <f ca="1">IFERROR(__xludf.DUMMYFUNCTION("""COMPUTED_VALUE"""),4)</f>
        <v>4</v>
      </c>
      <c r="Z46" s="12">
        <f ca="1">IFERROR(__xludf.DUMMYFUNCTION("""COMPUTED_VALUE"""),4)</f>
        <v>4</v>
      </c>
      <c r="AA46" s="12">
        <f ca="1">IFERROR(__xludf.DUMMYFUNCTION("""COMPUTED_VALUE"""),1)</f>
        <v>1</v>
      </c>
      <c r="AB46" s="12">
        <f ca="1">IFERROR(__xludf.DUMMYFUNCTION("""COMPUTED_VALUE"""),9)</f>
        <v>9</v>
      </c>
      <c r="AC46" s="12"/>
      <c r="AD46" s="12"/>
      <c r="AE46" s="12"/>
      <c r="AF46" s="12"/>
      <c r="AG46" s="13" t="str">
        <f ca="1">IFERROR(__xludf.DUMMYFUNCTION("ArrayFormula(VLOOKUP(G46, IMPORTRANGE(""https://docs.google.com/spreadsheets/d/1Co934fvtviyaRiMsrIlT05Jaq7iiYq07aLvRr35KA48/edit?gid=173865642#gid=173865642"", ""'G7_Sci_Pri_LU'!G2:V2000""), {3, 4, 5, 6, 7, 8, 9, 10, 11, 12, 13, 14, 15, 16}, 0))"),"LU005905")</f>
        <v>LU005905</v>
      </c>
      <c r="AH46" s="13" t="str">
        <f ca="1">IFERROR(__xludf.DUMMYFUNCTION("""COMPUTED_VALUE"""),"Definition and Causes of Changes around us")</f>
        <v>Definition and Causes of Changes around us</v>
      </c>
      <c r="AI46" s="13"/>
      <c r="AJ46" s="13"/>
      <c r="AK46" s="13"/>
      <c r="AL46" s="13"/>
      <c r="AM46" s="13"/>
      <c r="AN46" s="13"/>
      <c r="AO46" s="13"/>
      <c r="AP46" s="13"/>
      <c r="AQ46" s="13"/>
      <c r="AR46" s="13"/>
      <c r="AS46" s="13"/>
      <c r="AT46" s="13"/>
    </row>
    <row r="47" spans="1:46">
      <c r="A47" s="8" t="s">
        <v>247</v>
      </c>
      <c r="B47" s="8" t="s">
        <v>47</v>
      </c>
      <c r="C47" s="8" t="s">
        <v>416</v>
      </c>
      <c r="D47" s="8" t="s">
        <v>1441</v>
      </c>
      <c r="E47" s="8" t="s">
        <v>1871</v>
      </c>
      <c r="F47" s="8" t="s">
        <v>1872</v>
      </c>
      <c r="G47" s="8" t="s">
        <v>1874</v>
      </c>
      <c r="H47" s="8" t="str">
        <f ca="1">IFERROR(__xludf.DUMMYFUNCTION("VLOOKUP(G47, IMPORTRANGE(""https://docs.google.com/spreadsheets/d/14deopnvwcrKtEGCKuYXdUHJbeLDZlkiSSWWT0g7x2pM/edit#gid=849066331"", ""LU List Science (Filter)!A:B""), 2, FALSE)"),"Introduction to Physical Changes")</f>
        <v>Introduction to Physical Changes</v>
      </c>
      <c r="I47" s="10" t="str">
        <f t="shared" si="0"/>
        <v>LU005494.001</v>
      </c>
      <c r="J47" s="10" t="str">
        <f ca="1">IFERROR(__xludf.DUMMYFUNCTION("VLOOKUP(I47, IMPORTRANGE(""https://docs.google.com/spreadsheets/d/1yDAaXNsi4Mr5FtRQL4tbmSdIzhx6_m4wkOD7IG-k_eo/edit#gid=1336395716"", ""Science!M:N""), 2, FALSE)"),"List examples of physical changes encountered in daily life.")</f>
        <v>List examples of physical changes encountered in daily life.</v>
      </c>
      <c r="K47" s="10" t="str">
        <f t="shared" si="1"/>
        <v>LU005494.002</v>
      </c>
      <c r="L47" s="10" t="str">
        <f ca="1">IFERROR(__xludf.DUMMYFUNCTION("VLOOKUP(K47, IMPORTRANGE(""https://docs.google.com/spreadsheets/d/1yDAaXNsi4Mr5FtRQL4tbmSdIzhx6_m4wkOD7IG-k_eo/edit#gid=1336395716"", ""Science!M:N""), 2, FALSE)"),"Describe the characteristics of a physical change.")</f>
        <v>Describe the characteristics of a physical change.</v>
      </c>
      <c r="M47" s="10" t="str">
        <f t="shared" si="2"/>
        <v>LU005494.003</v>
      </c>
      <c r="N47" s="10" t="str">
        <f ca="1">IFERROR(__xludf.DUMMYFUNCTION("VLOOKUP(M47, IMPORTRANGE(""https://docs.google.com/spreadsheets/d/1yDAaXNsi4Mr5FtRQL4tbmSdIzhx6_m4wkOD7IG-k_eo/edit#gid=1336395716"", ""Science!M:N""), 2, FALSE)"),"Demonstrate the process of a physical change by using various examples.")</f>
        <v>Demonstrate the process of a physical change by using various examples.</v>
      </c>
      <c r="O47" s="10" t="str">
        <f t="shared" si="3"/>
        <v>LU005494.004</v>
      </c>
      <c r="P47" s="10" t="str">
        <f ca="1">IFERROR(__xludf.DUMMYFUNCTION("VLOOKUP(O47, IMPORTRANGE(""https://docs.google.com/spreadsheets/d/1yDAaXNsi4Mr5FtRQL4tbmSdIzhx6_m4wkOD7IG-k_eo/edit#gid=1336395716"", ""Science!M:N""), 2, FALSE)"),"Analyse given scenarios in the light of the characteristics of the physical changes.")</f>
        <v>Analyse given scenarios in the light of the characteristics of the physical changes.</v>
      </c>
      <c r="Q47" s="10" t="str">
        <f t="shared" si="4"/>
        <v>LU005494.005</v>
      </c>
      <c r="R47" s="10" t="str">
        <f ca="1">IFERROR(__xludf.DUMMYFUNCTION("VLOOKUP(Q47, IMPORTRANGE(""https://docs.google.com/spreadsheets/d/1yDAaXNsi4Mr5FtRQL4tbmSdIzhx6_m4wkOD7IG-k_eo/edit#gid=1336395716"", ""Science!M:N""), 2, FALSE)"),"#N/A")</f>
        <v>#N/A</v>
      </c>
      <c r="S47" s="10" t="str">
        <f t="shared" si="5"/>
        <v>LU005494.006</v>
      </c>
      <c r="T47" s="10" t="str">
        <f ca="1">IFERROR(__xludf.DUMMYFUNCTION("VLOOKUP(S47, IMPORTRANGE(""https://docs.google.com/spreadsheets/d/1yDAaXNsi4Mr5FtRQL4tbmSdIzhx6_m4wkOD7IG-k_eo/edit#gid=1336395716"", ""Science!M:N""), 2, FALSE)"),"Design an experiment to determine the relationship between temperature and the rate of physical changes.")</f>
        <v>Design an experiment to determine the relationship between temperature and the rate of physical changes.</v>
      </c>
      <c r="U47" s="116">
        <f ca="1">IFERROR(__xludf.DUMMYFUNCTION("ArrayFormula(VLOOKUP(G47, IMPORTRANGE(""https://docs.google.com/spreadsheets/d/1p7R4vtkWt5VOBim4ltsDG9KTzSjrtKXsMtQGXPHyND0/edit#gid=795171502"", ""'Filter 30_05_2024'!A1:M2000""), {2, 3, 4, 5,6,7,8,9,10,11,12,13}, 0))"),19)</f>
        <v>19</v>
      </c>
      <c r="V47" s="116">
        <f ca="1">IFERROR(__xludf.DUMMYFUNCTION("""COMPUTED_VALUE"""),7)</f>
        <v>7</v>
      </c>
      <c r="W47" s="116">
        <f ca="1">IFERROR(__xludf.DUMMYFUNCTION("""COMPUTED_VALUE"""),5)</f>
        <v>5</v>
      </c>
      <c r="X47" s="116">
        <f ca="1">IFERROR(__xludf.DUMMYFUNCTION("""COMPUTED_VALUE"""),31)</f>
        <v>31</v>
      </c>
      <c r="Y47" s="116">
        <f ca="1">IFERROR(__xludf.DUMMYFUNCTION("""COMPUTED_VALUE"""),9)</f>
        <v>9</v>
      </c>
      <c r="Z47" s="12">
        <f ca="1">IFERROR(__xludf.DUMMYFUNCTION("""COMPUTED_VALUE"""),5)</f>
        <v>5</v>
      </c>
      <c r="AA47" s="12">
        <f ca="1">IFERROR(__xludf.DUMMYFUNCTION("""COMPUTED_VALUE"""),1)</f>
        <v>1</v>
      </c>
      <c r="AB47" s="12">
        <f ca="1">IFERROR(__xludf.DUMMYFUNCTION("""COMPUTED_VALUE"""),15)</f>
        <v>15</v>
      </c>
      <c r="AC47" s="12"/>
      <c r="AD47" s="12"/>
      <c r="AE47" s="12"/>
      <c r="AF47" s="12"/>
      <c r="AG47" s="13" t="str">
        <f ca="1">IFERROR(__xludf.DUMMYFUNCTION("ArrayFormula(VLOOKUP(G47, IMPORTRANGE(""https://docs.google.com/spreadsheets/d/1Co934fvtviyaRiMsrIlT05Jaq7iiYq07aLvRr35KA48/edit?gid=173865642#gid=173865642"", ""'G7_Sci_Pri_LU'!G2:V2000""), {3, 4, 5, 6, 7, 8, 9, 10, 11, 12, 13, 14, 15, 16}, 0))"),"LU005954")</f>
        <v>LU005954</v>
      </c>
      <c r="AH47" s="13" t="str">
        <f ca="1">IFERROR(__xludf.DUMMYFUNCTION("""COMPUTED_VALUE"""),"Recognition of various changes in our surroundings")</f>
        <v>Recognition of various changes in our surroundings</v>
      </c>
      <c r="AI47" s="13" t="str">
        <f ca="1">IFERROR(__xludf.DUMMYFUNCTION("""COMPUTED_VALUE"""),"LU005905")</f>
        <v>LU005905</v>
      </c>
      <c r="AJ47" s="13" t="str">
        <f ca="1">IFERROR(__xludf.DUMMYFUNCTION("""COMPUTED_VALUE"""),"Definition and Causes of Changes around us")</f>
        <v>Definition and Causes of Changes around us</v>
      </c>
      <c r="AK47" s="13"/>
      <c r="AL47" s="13"/>
      <c r="AM47" s="13"/>
      <c r="AN47" s="13"/>
      <c r="AO47" s="13"/>
      <c r="AP47" s="13"/>
      <c r="AQ47" s="13"/>
      <c r="AR47" s="13"/>
      <c r="AS47" s="13"/>
      <c r="AT47" s="13"/>
    </row>
    <row r="48" spans="1:46">
      <c r="A48" s="8" t="s">
        <v>247</v>
      </c>
      <c r="B48" s="8" t="s">
        <v>47</v>
      </c>
      <c r="C48" s="8" t="s">
        <v>416</v>
      </c>
      <c r="D48" s="8" t="s">
        <v>1441</v>
      </c>
      <c r="E48" s="8" t="s">
        <v>1871</v>
      </c>
      <c r="F48" s="8" t="s">
        <v>1872</v>
      </c>
      <c r="G48" s="8" t="s">
        <v>1875</v>
      </c>
      <c r="H48" s="8" t="str">
        <f ca="1">IFERROR(__xludf.DUMMYFUNCTION("VLOOKUP(G48, IMPORTRANGE(""https://docs.google.com/spreadsheets/d/14deopnvwcrKtEGCKuYXdUHJbeLDZlkiSSWWT0g7x2pM/edit#gid=849066331"", ""LU List Science (Filter)!A:B""), 2, FALSE)"),"Effects Indicating Physical Changes")</f>
        <v>Effects Indicating Physical Changes</v>
      </c>
      <c r="I48" s="10" t="str">
        <f t="shared" si="0"/>
        <v>LU005489.001</v>
      </c>
      <c r="J48" s="10" t="str">
        <f ca="1">IFERROR(__xludf.DUMMYFUNCTION("VLOOKUP(I48, IMPORTRANGE(""https://docs.google.com/spreadsheets/d/1yDAaXNsi4Mr5FtRQL4tbmSdIzhx6_m4wkOD7IG-k_eo/edit#gid=1336395716"", ""Science!M:N""), 2, FALSE)"),"Identify observable effects that indicate a physical change.")</f>
        <v>Identify observable effects that indicate a physical change.</v>
      </c>
      <c r="K48" s="10" t="str">
        <f t="shared" si="1"/>
        <v>LU005489.002</v>
      </c>
      <c r="L48" s="10" t="str">
        <f ca="1">IFERROR(__xludf.DUMMYFUNCTION("VLOOKUP(K48, IMPORTRANGE(""https://docs.google.com/spreadsheets/d/1yDAaXNsi4Mr5FtRQL4tbmSdIzhx6_m4wkOD7IG-k_eo/edit#gid=1336395716"", ""Science!M:N""), 2, FALSE)"),"Explain how changes in state, size, shape, and color can signal a physical change.")</f>
        <v>Explain how changes in state, size, shape, and color can signal a physical change.</v>
      </c>
      <c r="M48" s="10" t="str">
        <f t="shared" si="2"/>
        <v>LU005489.003</v>
      </c>
      <c r="N48" s="10" t="str">
        <f ca="1">IFERROR(__xludf.DUMMYFUNCTION("VLOOKUP(M48, IMPORTRANGE(""https://docs.google.com/spreadsheets/d/1yDAaXNsi4Mr5FtRQL4tbmSdIzhx6_m4wkOD7IG-k_eo/edit#gid=1336395716"", ""Science!M:N""), 2, FALSE)"),"Apply the concept of physical change indicators to real-world scenarios.")</f>
        <v>Apply the concept of physical change indicators to real-world scenarios.</v>
      </c>
      <c r="O48" s="10" t="str">
        <f t="shared" si="3"/>
        <v>LU005489.004</v>
      </c>
      <c r="P48" s="10" t="str">
        <f ca="1">IFERROR(__xludf.DUMMYFUNCTION("VLOOKUP(O48, IMPORTRANGE(""https://docs.google.com/spreadsheets/d/1yDAaXNsi4Mr5FtRQL4tbmSdIzhx6_m4wkOD7IG-k_eo/edit#gid=1336395716"", ""Science!M:N""), 2, FALSE)"),"Analyze the effects of temperature and pressure changes on materials undergoing physical changes.")</f>
        <v>Analyze the effects of temperature and pressure changes on materials undergoing physical changes.</v>
      </c>
      <c r="Q48" s="10" t="str">
        <f t="shared" si="4"/>
        <v>LU005489.005</v>
      </c>
      <c r="R48" s="10" t="str">
        <f ca="1">IFERROR(__xludf.DUMMYFUNCTION("VLOOKUP(Q48, IMPORTRANGE(""https://docs.google.com/spreadsheets/d/1yDAaXNsi4Mr5FtRQL4tbmSdIzhx6_m4wkOD7IG-k_eo/edit#gid=1336395716"", ""Science!M:N""), 2, FALSE)"),"Evaluate the reliability of different effects in determining whether a change is physical or chemical.")</f>
        <v>Evaluate the reliability of different effects in determining whether a change is physical or chemical.</v>
      </c>
      <c r="S48" s="10" t="str">
        <f t="shared" si="5"/>
        <v>LU005489.006</v>
      </c>
      <c r="T48" s="10" t="str">
        <f ca="1">IFERROR(__xludf.DUMMYFUNCTION("VLOOKUP(S48, IMPORTRANGE(""https://docs.google.com/spreadsheets/d/1yDAaXNsi4Mr5FtRQL4tbmSdIzhx6_m4wkOD7IG-k_eo/edit#gid=1336395716"", ""Science!M:N""), 2, FALSE)"),"#N/A")</f>
        <v>#N/A</v>
      </c>
      <c r="U48" s="116">
        <f ca="1">IFERROR(__xludf.DUMMYFUNCTION("ArrayFormula(VLOOKUP(G48, IMPORTRANGE(""https://docs.google.com/spreadsheets/d/1p7R4vtkWt5VOBim4ltsDG9KTzSjrtKXsMtQGXPHyND0/edit#gid=795171502"", ""'Filter 30_05_2024'!A1:M2000""), {2, 3, 4, 5,6,7,8,9,10,11,12,13}, 0))"),4)</f>
        <v>4</v>
      </c>
      <c r="V48" s="116">
        <f ca="1">IFERROR(__xludf.DUMMYFUNCTION("""COMPUTED_VALUE"""),7)</f>
        <v>7</v>
      </c>
      <c r="W48" s="116">
        <f ca="1">IFERROR(__xludf.DUMMYFUNCTION("""COMPUTED_VALUE"""),2)</f>
        <v>2</v>
      </c>
      <c r="X48" s="116">
        <f ca="1">IFERROR(__xludf.DUMMYFUNCTION("""COMPUTED_VALUE"""),13)</f>
        <v>13</v>
      </c>
      <c r="Y48" s="116">
        <f ca="1">IFERROR(__xludf.DUMMYFUNCTION("""COMPUTED_VALUE"""),4)</f>
        <v>4</v>
      </c>
      <c r="Z48" s="12">
        <f ca="1">IFERROR(__xludf.DUMMYFUNCTION("""COMPUTED_VALUE"""),3)</f>
        <v>3</v>
      </c>
      <c r="AA48" s="12">
        <f ca="1">IFERROR(__xludf.DUMMYFUNCTION("""COMPUTED_VALUE"""),1)</f>
        <v>1</v>
      </c>
      <c r="AB48" s="12">
        <f ca="1">IFERROR(__xludf.DUMMYFUNCTION("""COMPUTED_VALUE"""),8)</f>
        <v>8</v>
      </c>
      <c r="AC48" s="12"/>
      <c r="AD48" s="12"/>
      <c r="AE48" s="12"/>
      <c r="AF48" s="12"/>
      <c r="AG48" s="13" t="str">
        <f ca="1">IFERROR(__xludf.DUMMYFUNCTION("ArrayFormula(VLOOKUP(G48, IMPORTRANGE(""https://docs.google.com/spreadsheets/d/1Co934fvtviyaRiMsrIlT05Jaq7iiYq07aLvRr35KA48/edit?gid=173865642#gid=173865642"", ""'G7_Sci_Pri_LU'!G2:V2000""), {3, 4, 5, 6, 7, 8, 9, 10, 11, 12, 13, 14, 15, 16}, 0))"),"LU005494")</f>
        <v>LU005494</v>
      </c>
      <c r="AH48" s="13" t="str">
        <f ca="1">IFERROR(__xludf.DUMMYFUNCTION("""COMPUTED_VALUE"""),"Introduction to Physical Changes")</f>
        <v>Introduction to Physical Changes</v>
      </c>
      <c r="AI48" s="13" t="str">
        <f ca="1">IFERROR(__xludf.DUMMYFUNCTION("""COMPUTED_VALUE"""),"LU005954")</f>
        <v>LU005954</v>
      </c>
      <c r="AJ48" s="13" t="str">
        <f ca="1">IFERROR(__xludf.DUMMYFUNCTION("""COMPUTED_VALUE"""),"Recognition of various changes in our surroundings")</f>
        <v>Recognition of various changes in our surroundings</v>
      </c>
      <c r="AK48" s="13" t="str">
        <f ca="1">IFERROR(__xludf.DUMMYFUNCTION("""COMPUTED_VALUE"""),"LU005905")</f>
        <v>LU005905</v>
      </c>
      <c r="AL48" s="13" t="str">
        <f ca="1">IFERROR(__xludf.DUMMYFUNCTION("""COMPUTED_VALUE"""),"Definition and Causes of Changes around us")</f>
        <v>Definition and Causes of Changes around us</v>
      </c>
      <c r="AM48" s="13"/>
      <c r="AN48" s="13"/>
      <c r="AO48" s="13"/>
      <c r="AP48" s="13"/>
      <c r="AQ48" s="13"/>
      <c r="AR48" s="13"/>
      <c r="AS48" s="13"/>
      <c r="AT48" s="13"/>
    </row>
    <row r="49" spans="1:46">
      <c r="A49" s="8" t="s">
        <v>247</v>
      </c>
      <c r="B49" s="8" t="s">
        <v>47</v>
      </c>
      <c r="C49" s="8" t="s">
        <v>416</v>
      </c>
      <c r="D49" s="8" t="s">
        <v>1441</v>
      </c>
      <c r="E49" s="8" t="s">
        <v>1871</v>
      </c>
      <c r="F49" s="8" t="s">
        <v>1876</v>
      </c>
      <c r="G49" s="8" t="s">
        <v>1877</v>
      </c>
      <c r="H49" s="8" t="str">
        <f ca="1">IFERROR(__xludf.DUMMYFUNCTION("VLOOKUP(G49, IMPORTRANGE(""https://docs.google.com/spreadsheets/d/14deopnvwcrKtEGCKuYXdUHJbeLDZlkiSSWWT0g7x2pM/edit#gid=849066331"", ""LU List Science (Filter)!A:B""), 2, FALSE)"),"Introduction to Chemical Changes")</f>
        <v>Introduction to Chemical Changes</v>
      </c>
      <c r="I49" s="10" t="str">
        <f t="shared" si="0"/>
        <v>LU005493.001</v>
      </c>
      <c r="J49" s="10" t="str">
        <f ca="1">IFERROR(__xludf.DUMMYFUNCTION("VLOOKUP(I49, IMPORTRANGE(""https://docs.google.com/spreadsheets/d/1yDAaXNsi4Mr5FtRQL4tbmSdIzhx6_m4wkOD7IG-k_eo/edit#gid=1336395716"", ""Science!M:N""), 2, FALSE)"),"Define chemical changes and their characteristics.")</f>
        <v>Define chemical changes and their characteristics.</v>
      </c>
      <c r="K49" s="10" t="str">
        <f t="shared" si="1"/>
        <v>LU005493.002</v>
      </c>
      <c r="L49" s="10" t="str">
        <f ca="1">IFERROR(__xludf.DUMMYFUNCTION("VLOOKUP(K49, IMPORTRANGE(""https://docs.google.com/spreadsheets/d/1yDAaXNsi4Mr5FtRQL4tbmSdIzhx6_m4wkOD7IG-k_eo/edit#gid=1336395716"", ""Science!M:N""), 2, FALSE)"),"List examples of common chemical changes in everyday life.")</f>
        <v>List examples of common chemical changes in everyday life.</v>
      </c>
      <c r="M49" s="10" t="str">
        <f t="shared" si="2"/>
        <v>LU005493.003</v>
      </c>
      <c r="N49" s="10" t="str">
        <f ca="1">IFERROR(__xludf.DUMMYFUNCTION("VLOOKUP(M49, IMPORTRANGE(""https://docs.google.com/spreadsheets/d/1yDAaXNsi4Mr5FtRQL4tbmSdIzhx6_m4wkOD7IG-k_eo/edit#gid=1336395716"", ""Science!M:N""), 2, FALSE)"),"Explain why chemical changes result in the formation of new substances with distinct properties.")</f>
        <v>Explain why chemical changes result in the formation of new substances with distinct properties.</v>
      </c>
      <c r="O49" s="10" t="str">
        <f t="shared" si="3"/>
        <v>LU005493.004</v>
      </c>
      <c r="P49" s="10" t="str">
        <f ca="1">IFERROR(__xludf.DUMMYFUNCTION("VLOOKUP(O49, IMPORTRANGE(""https://docs.google.com/spreadsheets/d/1yDAaXNsi4Mr5FtRQL4tbmSdIzhx6_m4wkOD7IG-k_eo/edit#gid=1336395716"", ""Science!M:N""), 2, FALSE)"),"Apply the concept of chemical changes to differentiate between physical and chemical processes.")</f>
        <v>Apply the concept of chemical changes to differentiate between physical and chemical processes.</v>
      </c>
      <c r="Q49" s="10" t="str">
        <f t="shared" si="4"/>
        <v>LU005493.005</v>
      </c>
      <c r="R49" s="10" t="str">
        <f ca="1">IFERROR(__xludf.DUMMYFUNCTION("VLOOKUP(Q49, IMPORTRANGE(""https://docs.google.com/spreadsheets/d/1yDAaXNsi4Mr5FtRQL4tbmSdIzhx6_m4wkOD7IG-k_eo/edit#gid=1336395716"", ""Science!M:N""), 2, FALSE)"),"Analyze the role of energy changes and reactants in chemical changes.")</f>
        <v>Analyze the role of energy changes and reactants in chemical changes.</v>
      </c>
      <c r="S49" s="10" t="str">
        <f t="shared" si="5"/>
        <v>LU005493.006</v>
      </c>
      <c r="T49" s="10" t="str">
        <f ca="1">IFERROR(__xludf.DUMMYFUNCTION("VLOOKUP(S49, IMPORTRANGE(""https://docs.google.com/spreadsheets/d/1yDAaXNsi4Mr5FtRQL4tbmSdIzhx6_m4wkOD7IG-k_eo/edit#gid=1336395716"", ""Science!M:N""), 2, FALSE)"),"#N/A")</f>
        <v>#N/A</v>
      </c>
      <c r="U49" s="116">
        <f ca="1">IFERROR(__xludf.DUMMYFUNCTION("ArrayFormula(VLOOKUP(G49, IMPORTRANGE(""https://docs.google.com/spreadsheets/d/1p7R4vtkWt5VOBim4ltsDG9KTzSjrtKXsMtQGXPHyND0/edit#gid=795171502"", ""'Filter 30_05_2024'!A1:M2000""), {2, 3, 4, 5,6,7,8,9,10,11,12,13}, 0))"),8)</f>
        <v>8</v>
      </c>
      <c r="V49" s="116">
        <f ca="1">IFERROR(__xludf.DUMMYFUNCTION("""COMPUTED_VALUE"""),6)</f>
        <v>6</v>
      </c>
      <c r="W49" s="116">
        <f ca="1">IFERROR(__xludf.DUMMYFUNCTION("""COMPUTED_VALUE"""),2)</f>
        <v>2</v>
      </c>
      <c r="X49" s="116">
        <f ca="1">IFERROR(__xludf.DUMMYFUNCTION("""COMPUTED_VALUE"""),16)</f>
        <v>16</v>
      </c>
      <c r="Y49" s="116">
        <f ca="1">IFERROR(__xludf.DUMMYFUNCTION("""COMPUTED_VALUE"""),12)</f>
        <v>12</v>
      </c>
      <c r="Z49" s="12">
        <f ca="1">IFERROR(__xludf.DUMMYFUNCTION("""COMPUTED_VALUE"""),3)</f>
        <v>3</v>
      </c>
      <c r="AA49" s="12">
        <f ca="1">IFERROR(__xludf.DUMMYFUNCTION("""COMPUTED_VALUE"""),1)</f>
        <v>1</v>
      </c>
      <c r="AB49" s="12">
        <f ca="1">IFERROR(__xludf.DUMMYFUNCTION("""COMPUTED_VALUE"""),16)</f>
        <v>16</v>
      </c>
      <c r="AC49" s="12"/>
      <c r="AD49" s="12"/>
      <c r="AE49" s="12"/>
      <c r="AF49" s="12"/>
      <c r="AG49" s="13" t="str">
        <f ca="1">IFERROR(__xludf.DUMMYFUNCTION("ArrayFormula(VLOOKUP(G49, IMPORTRANGE(""https://docs.google.com/spreadsheets/d/1Co934fvtviyaRiMsrIlT05Jaq7iiYq07aLvRr35KA48/edit?gid=173865642#gid=173865642"", ""'G7_Sci_Pri_LU'!G2:V2000""), {3, 4, 5, 6, 7, 8, 9, 10, 11, 12, 13, 14, 15, 16}, 0))"),"LU005954")</f>
        <v>LU005954</v>
      </c>
      <c r="AH49" s="13" t="str">
        <f ca="1">IFERROR(__xludf.DUMMYFUNCTION("""COMPUTED_VALUE"""),"Recognition of various changes in our surroundings")</f>
        <v>Recognition of various changes in our surroundings</v>
      </c>
      <c r="AI49" s="13" t="str">
        <f ca="1">IFERROR(__xludf.DUMMYFUNCTION("""COMPUTED_VALUE"""),"LU005905")</f>
        <v>LU005905</v>
      </c>
      <c r="AJ49" s="13" t="str">
        <f ca="1">IFERROR(__xludf.DUMMYFUNCTION("""COMPUTED_VALUE"""),"Definition and Causes of Changes around us")</f>
        <v>Definition and Causes of Changes around us</v>
      </c>
      <c r="AK49" s="13"/>
      <c r="AL49" s="13"/>
      <c r="AM49" s="13"/>
      <c r="AN49" s="13"/>
      <c r="AO49" s="13"/>
      <c r="AP49" s="13"/>
      <c r="AQ49" s="13"/>
      <c r="AR49" s="13"/>
      <c r="AS49" s="13"/>
      <c r="AT49" s="13"/>
    </row>
    <row r="50" spans="1:46">
      <c r="A50" s="8" t="s">
        <v>247</v>
      </c>
      <c r="B50" s="8" t="s">
        <v>47</v>
      </c>
      <c r="C50" s="8" t="s">
        <v>416</v>
      </c>
      <c r="D50" s="8" t="s">
        <v>1441</v>
      </c>
      <c r="E50" s="8" t="s">
        <v>1871</v>
      </c>
      <c r="F50" s="8" t="s">
        <v>1876</v>
      </c>
      <c r="G50" s="8" t="s">
        <v>1878</v>
      </c>
      <c r="H50" s="8" t="str">
        <f ca="1">IFERROR(__xludf.DUMMYFUNCTION("VLOOKUP(G50, IMPORTRANGE(""https://docs.google.com/spreadsheets/d/14deopnvwcrKtEGCKuYXdUHJbeLDZlkiSSWWT0g7x2pM/edit#gid=849066331"", ""LU List Science (Filter)!A:B""), 2, FALSE)"),"Effects Indicating Chemical Changes")</f>
        <v>Effects Indicating Chemical Changes</v>
      </c>
      <c r="I50" s="10" t="str">
        <f t="shared" si="0"/>
        <v>LU005488.001</v>
      </c>
      <c r="J50" s="10" t="str">
        <f ca="1">IFERROR(__xludf.DUMMYFUNCTION("VLOOKUP(I50, IMPORTRANGE(""https://docs.google.com/spreadsheets/d/1yDAaXNsi4Mr5FtRQL4tbmSdIzhx6_m4wkOD7IG-k_eo/edit#gid=1336395716"", ""Science!M:N""), 2, FALSE)"),"Identify observable effects that indicate a chemical change has occurred.")</f>
        <v>Identify observable effects that indicate a chemical change has occurred.</v>
      </c>
      <c r="K50" s="10" t="str">
        <f t="shared" si="1"/>
        <v>LU005488.002</v>
      </c>
      <c r="L50" s="10" t="str">
        <f ca="1">IFERROR(__xludf.DUMMYFUNCTION("VLOOKUP(K50, IMPORTRANGE(""https://docs.google.com/spreadsheets/d/1yDAaXNsi4Mr5FtRQL4tbmSdIzhx6_m4wkOD7IG-k_eo/edit#gid=1336395716"", ""Science!M:N""), 2, FALSE)"),"Explain how the release of gas, color change, formation of precipitate, and energy changes can signal a chemical change.")</f>
        <v>Explain how the release of gas, color change, formation of precipitate, and energy changes can signal a chemical change.</v>
      </c>
      <c r="M50" s="10" t="str">
        <f t="shared" si="2"/>
        <v>LU005488.003</v>
      </c>
      <c r="N50" s="10" t="str">
        <f ca="1">IFERROR(__xludf.DUMMYFUNCTION("VLOOKUP(M50, IMPORTRANGE(""https://docs.google.com/spreadsheets/d/1yDAaXNsi4Mr5FtRQL4tbmSdIzhx6_m4wkOD7IG-k_eo/edit#gid=1336395716"", ""Science!M:N""), 2, FALSE)"),"Apply the concept of chemical change indicators to real-world scenarios.")</f>
        <v>Apply the concept of chemical change indicators to real-world scenarios.</v>
      </c>
      <c r="O50" s="10" t="str">
        <f t="shared" si="3"/>
        <v>LU005488.004</v>
      </c>
      <c r="P50" s="10" t="str">
        <f ca="1">IFERROR(__xludf.DUMMYFUNCTION("VLOOKUP(O50, IMPORTRANGE(""https://docs.google.com/spreadsheets/d/1yDAaXNsi4Mr5FtRQL4tbmSdIzhx6_m4wkOD7IG-k_eo/edit#gid=1336395716"", ""Science!M:N""), 2, FALSE)"),"Analyze the role of catalysts and environmental factors in chemical changes.")</f>
        <v>Analyze the role of catalysts and environmental factors in chemical changes.</v>
      </c>
      <c r="Q50" s="10" t="str">
        <f t="shared" si="4"/>
        <v>LU005488.005</v>
      </c>
      <c r="R50" s="10" t="str">
        <f ca="1">IFERROR(__xludf.DUMMYFUNCTION("VLOOKUP(Q50, IMPORTRANGE(""https://docs.google.com/spreadsheets/d/1yDAaXNsi4Mr5FtRQL4tbmSdIzhx6_m4wkOD7IG-k_eo/edit#gid=1336395716"", ""Science!M:N""), 2, FALSE)"),"Evaluate the potential hazards associated with chemical changes in different contexts.")</f>
        <v>Evaluate the potential hazards associated with chemical changes in different contexts.</v>
      </c>
      <c r="S50" s="10" t="str">
        <f t="shared" si="5"/>
        <v>LU005488.006</v>
      </c>
      <c r="T50" s="10" t="str">
        <f ca="1">IFERROR(__xludf.DUMMYFUNCTION("VLOOKUP(S50, IMPORTRANGE(""https://docs.google.com/spreadsheets/d/1yDAaXNsi4Mr5FtRQL4tbmSdIzhx6_m4wkOD7IG-k_eo/edit#gid=1336395716"", ""Science!M:N""), 2, FALSE)"),"#N/A")</f>
        <v>#N/A</v>
      </c>
      <c r="U50" s="116">
        <f ca="1">IFERROR(__xludf.DUMMYFUNCTION("ArrayFormula(VLOOKUP(G50, IMPORTRANGE(""https://docs.google.com/spreadsheets/d/1p7R4vtkWt5VOBim4ltsDG9KTzSjrtKXsMtQGXPHyND0/edit#gid=795171502"", ""'Filter 30_05_2024'!A1:M2000""), {2, 3, 4, 5,6,7,8,9,10,11,12,13}, 0))"),10)</f>
        <v>10</v>
      </c>
      <c r="V50" s="116">
        <f ca="1">IFERROR(__xludf.DUMMYFUNCTION("""COMPUTED_VALUE"""),8)</f>
        <v>8</v>
      </c>
      <c r="W50" s="116">
        <f ca="1">IFERROR(__xludf.DUMMYFUNCTION("""COMPUTED_VALUE"""),2)</f>
        <v>2</v>
      </c>
      <c r="X50" s="116">
        <f ca="1">IFERROR(__xludf.DUMMYFUNCTION("""COMPUTED_VALUE"""),20)</f>
        <v>20</v>
      </c>
      <c r="Y50" s="116">
        <f ca="1">IFERROR(__xludf.DUMMYFUNCTION("""COMPUTED_VALUE"""),6)</f>
        <v>6</v>
      </c>
      <c r="Z50" s="12">
        <f ca="1">IFERROR(__xludf.DUMMYFUNCTION("""COMPUTED_VALUE"""),4)</f>
        <v>4</v>
      </c>
      <c r="AA50" s="12">
        <f ca="1">IFERROR(__xludf.DUMMYFUNCTION("""COMPUTED_VALUE"""),1)</f>
        <v>1</v>
      </c>
      <c r="AB50" s="12">
        <f ca="1">IFERROR(__xludf.DUMMYFUNCTION("""COMPUTED_VALUE"""),11)</f>
        <v>11</v>
      </c>
      <c r="AC50" s="12"/>
      <c r="AD50" s="12"/>
      <c r="AE50" s="12"/>
      <c r="AF50" s="12"/>
      <c r="AG50" s="13" t="str">
        <f ca="1">IFERROR(__xludf.DUMMYFUNCTION("ArrayFormula(VLOOKUP(G50, IMPORTRANGE(""https://docs.google.com/spreadsheets/d/1Co934fvtviyaRiMsrIlT05Jaq7iiYq07aLvRr35KA48/edit?gid=173865642#gid=173865642"", ""'G7_Sci_Pri_LU'!G2:V2000""), {3, 4, 5, 6, 7, 8, 9, 10, 11, 12, 13, 14, 15, 16}, 0))"),"LU005493")</f>
        <v>LU005493</v>
      </c>
      <c r="AH50" s="13" t="str">
        <f ca="1">IFERROR(__xludf.DUMMYFUNCTION("""COMPUTED_VALUE"""),"Introduction to Chemical Changes")</f>
        <v>Introduction to Chemical Changes</v>
      </c>
      <c r="AI50" s="13" t="str">
        <f ca="1">IFERROR(__xludf.DUMMYFUNCTION("""COMPUTED_VALUE"""),"LU005954")</f>
        <v>LU005954</v>
      </c>
      <c r="AJ50" s="13" t="str">
        <f ca="1">IFERROR(__xludf.DUMMYFUNCTION("""COMPUTED_VALUE"""),"Recognition of various changes in our surroundings")</f>
        <v>Recognition of various changes in our surroundings</v>
      </c>
      <c r="AK50" s="13" t="str">
        <f ca="1">IFERROR(__xludf.DUMMYFUNCTION("""COMPUTED_VALUE"""),"LU005905")</f>
        <v>LU005905</v>
      </c>
      <c r="AL50" s="13" t="str">
        <f ca="1">IFERROR(__xludf.DUMMYFUNCTION("""COMPUTED_VALUE"""),"Definition and Causes of Changes around us")</f>
        <v>Definition and Causes of Changes around us</v>
      </c>
      <c r="AM50" s="13"/>
      <c r="AN50" s="13"/>
      <c r="AO50" s="13"/>
      <c r="AP50" s="13"/>
      <c r="AQ50" s="13"/>
      <c r="AR50" s="13"/>
      <c r="AS50" s="13"/>
      <c r="AT50" s="13"/>
    </row>
    <row r="51" spans="1:46">
      <c r="A51" s="8" t="s">
        <v>247</v>
      </c>
      <c r="B51" s="8" t="s">
        <v>47</v>
      </c>
      <c r="C51" s="8" t="s">
        <v>416</v>
      </c>
      <c r="D51" s="8" t="s">
        <v>1441</v>
      </c>
      <c r="E51" s="8" t="s">
        <v>1871</v>
      </c>
      <c r="F51" s="8" t="s">
        <v>1876</v>
      </c>
      <c r="G51" s="8" t="s">
        <v>1879</v>
      </c>
      <c r="H51" s="8" t="str">
        <f ca="1">IFERROR(__xludf.DUMMYFUNCTION("VLOOKUP(G51, IMPORTRANGE(""https://docs.google.com/spreadsheets/d/14deopnvwcrKtEGCKuYXdUHJbeLDZlkiSSWWT0g7x2pM/edit#gid=849066331"", ""LU List Science (Filter)!A:B""), 2, FALSE)"),"Writing Chemical Equations")</f>
        <v>Writing Chemical Equations</v>
      </c>
      <c r="I51" s="10" t="str">
        <f t="shared" si="0"/>
        <v>LU005500.001</v>
      </c>
      <c r="J51" s="10" t="str">
        <f ca="1">IFERROR(__xludf.DUMMYFUNCTION("VLOOKUP(I51, IMPORTRANGE(""https://docs.google.com/spreadsheets/d/1yDAaXNsi4Mr5FtRQL4tbmSdIzhx6_m4wkOD7IG-k_eo/edit#gid=1336395716"", ""Science!M:N""), 2, FALSE)"),"Recall and list the basic components of a chemical equation, including reactants, products, and common symbols used in chemical reactions.")</f>
        <v>Recall and list the basic components of a chemical equation, including reactants, products, and common symbols used in chemical reactions.</v>
      </c>
      <c r="K51" s="10" t="str">
        <f t="shared" si="1"/>
        <v>LU005500.002</v>
      </c>
      <c r="L51" s="10" t="str">
        <f ca="1">IFERROR(__xludf.DUMMYFUNCTION("VLOOKUP(K51, IMPORTRANGE(""https://docs.google.com/spreadsheets/d/1yDAaXNsi4Mr5FtRQL4tbmSdIzhx6_m4wkOD7IG-k_eo/edit#gid=1336395716"", ""Science!M:N""), 2, FALSE)"),"Explain the meaning of reactants and products and interpret the symbolic and descriptive notations of simple chemical reactions.")</f>
        <v>Explain the meaning of reactants and products and interpret the symbolic and descriptive notations of simple chemical reactions.</v>
      </c>
      <c r="M51" s="10" t="str">
        <f t="shared" si="2"/>
        <v>LU005500.003</v>
      </c>
      <c r="N51" s="10" t="str">
        <f ca="1">IFERROR(__xludf.DUMMYFUNCTION("VLOOKUP(M51, IMPORTRANGE(""https://docs.google.com/spreadsheets/d/1yDAaXNsi4Mr5FtRQL4tbmSdIzhx6_m4wkOD7IG-k_eo/edit#gid=1336395716"", ""Science!M:N""), 2, FALSE)"),"Identify reactants and products in given symbolic and descriptive notations of various simple chemical reactions.")</f>
        <v>Identify reactants and products in given symbolic and descriptive notations of various simple chemical reactions.</v>
      </c>
      <c r="O51" s="10" t="str">
        <f t="shared" si="3"/>
        <v>LU005500.004</v>
      </c>
      <c r="P51" s="10" t="str">
        <f ca="1">IFERROR(__xludf.DUMMYFUNCTION("VLOOKUP(O51, IMPORTRANGE(""https://docs.google.com/spreadsheets/d/1yDAaXNsi4Mr5FtRQL4tbmSdIzhx6_m4wkOD7IG-k_eo/edit#gid=1336395716"", ""Science!M:N""), 2, FALSE)"),"Compare and contrast different chemical reactions, focusing on differences and similarities in reactants and products based on their symbolic and descriptive notations.")</f>
        <v>Compare and contrast different chemical reactions, focusing on differences and similarities in reactants and products based on their symbolic and descriptive notations.</v>
      </c>
      <c r="Q51" s="10" t="str">
        <f t="shared" si="4"/>
        <v>LU005500.005</v>
      </c>
      <c r="R51" s="10" t="str">
        <f ca="1">IFERROR(__xludf.DUMMYFUNCTION("VLOOKUP(Q51, IMPORTRANGE(""https://docs.google.com/spreadsheets/d/1yDAaXNsi4Mr5FtRQL4tbmSdIzhx6_m4wkOD7IG-k_eo/edit#gid=1336395716"", ""Science!M:N""), 2, FALSE)"),"Evaluate the accuracy of simple chemical equations by checking the correct identification and representation of reactants and products in both symbolic and descriptive forms.")</f>
        <v>Evaluate the accuracy of simple chemical equations by checking the correct identification and representation of reactants and products in both symbolic and descriptive forms.</v>
      </c>
      <c r="S51" s="10" t="str">
        <f t="shared" si="5"/>
        <v>LU005500.006</v>
      </c>
      <c r="T51" s="10" t="str">
        <f ca="1">IFERROR(__xludf.DUMMYFUNCTION("VLOOKUP(S51, IMPORTRANGE(""https://docs.google.com/spreadsheets/d/1yDAaXNsi4Mr5FtRQL4tbmSdIzhx6_m4wkOD7IG-k_eo/edit#gid=1336395716"", ""Science!M:N""), 2, FALSE)"),"(LU005500.006); Default - Create")</f>
        <v>(LU005500.006); Default - Create</v>
      </c>
      <c r="U51" s="116">
        <f ca="1">IFERROR(__xludf.DUMMYFUNCTION("ArrayFormula(VLOOKUP(G51, IMPORTRANGE(""https://docs.google.com/spreadsheets/d/1p7R4vtkWt5VOBim4ltsDG9KTzSjrtKXsMtQGXPHyND0/edit#gid=795171502"", ""'Filter 30_05_2024'!A1:M2000""), {2, 3, 4, 5,6,7,8,9,10,11,12,13}, 0))"),4)</f>
        <v>4</v>
      </c>
      <c r="V51" s="116">
        <f ca="1">IFERROR(__xludf.DUMMYFUNCTION("""COMPUTED_VALUE"""),10)</f>
        <v>10</v>
      </c>
      <c r="W51" s="116">
        <f ca="1">IFERROR(__xludf.DUMMYFUNCTION("""COMPUTED_VALUE"""),2)</f>
        <v>2</v>
      </c>
      <c r="X51" s="116">
        <f ca="1">IFERROR(__xludf.DUMMYFUNCTION("""COMPUTED_VALUE"""),16)</f>
        <v>16</v>
      </c>
      <c r="Y51" s="116">
        <f ca="1">IFERROR(__xludf.DUMMYFUNCTION("""COMPUTED_VALUE"""),4)</f>
        <v>4</v>
      </c>
      <c r="Z51" s="12">
        <f ca="1">IFERROR(__xludf.DUMMYFUNCTION("""COMPUTED_VALUE"""),6)</f>
        <v>6</v>
      </c>
      <c r="AA51" s="12">
        <f ca="1">IFERROR(__xludf.DUMMYFUNCTION("""COMPUTED_VALUE"""),1)</f>
        <v>1</v>
      </c>
      <c r="AB51" s="12">
        <f ca="1">IFERROR(__xludf.DUMMYFUNCTION("""COMPUTED_VALUE"""),11)</f>
        <v>11</v>
      </c>
      <c r="AC51" s="12"/>
      <c r="AD51" s="12"/>
      <c r="AE51" s="12"/>
      <c r="AF51" s="12"/>
      <c r="AG51" s="13" t="str">
        <f ca="1">IFERROR(__xludf.DUMMYFUNCTION("ArrayFormula(VLOOKUP(G51, IMPORTRANGE(""https://docs.google.com/spreadsheets/d/1Co934fvtviyaRiMsrIlT05Jaq7iiYq07aLvRr35KA48/edit?gid=173865642#gid=173865642"", ""'G7_Sci_Pri_LU'!G2:V2000""), {3, 4, 5, 6, 7, 8, 9, 10, 11, 12, 13, 14, 15, 16}, 0))"),"LU005488")</f>
        <v>LU005488</v>
      </c>
      <c r="AH51" s="13" t="str">
        <f ca="1">IFERROR(__xludf.DUMMYFUNCTION("""COMPUTED_VALUE"""),"Effects Indicating Chemical Changes")</f>
        <v>Effects Indicating Chemical Changes</v>
      </c>
      <c r="AI51" s="13" t="str">
        <f ca="1">IFERROR(__xludf.DUMMYFUNCTION("""COMPUTED_VALUE"""),"LU005493")</f>
        <v>LU005493</v>
      </c>
      <c r="AJ51" s="13" t="str">
        <f ca="1">IFERROR(__xludf.DUMMYFUNCTION("""COMPUTED_VALUE"""),"Introduction to Chemical Changes")</f>
        <v>Introduction to Chemical Changes</v>
      </c>
      <c r="AK51" s="13"/>
      <c r="AL51" s="13"/>
      <c r="AM51" s="13"/>
      <c r="AN51" s="13"/>
      <c r="AO51" s="13"/>
      <c r="AP51" s="13"/>
      <c r="AQ51" s="13"/>
      <c r="AR51" s="13"/>
      <c r="AS51" s="13"/>
      <c r="AT51" s="13"/>
    </row>
    <row r="52" spans="1:46">
      <c r="A52" s="8" t="s">
        <v>247</v>
      </c>
      <c r="B52" s="8" t="s">
        <v>47</v>
      </c>
      <c r="C52" s="8" t="s">
        <v>416</v>
      </c>
      <c r="D52" s="8" t="s">
        <v>1441</v>
      </c>
      <c r="E52" s="8" t="s">
        <v>1871</v>
      </c>
      <c r="F52" s="118" t="s">
        <v>1880</v>
      </c>
      <c r="G52" s="8" t="s">
        <v>1881</v>
      </c>
      <c r="H52" s="8" t="str">
        <f ca="1">IFERROR(__xludf.DUMMYFUNCTION("VLOOKUP(G52, IMPORTRANGE(""https://docs.google.com/spreadsheets/d/14deopnvwcrKtEGCKuYXdUHJbeLDZlkiSSWWT0g7x2pM/edit#gid=849066331"", ""LU List Science (Filter)!A:B""), 2, FALSE)"),"Distinguishing Physical and Chemical Changes")</f>
        <v>Distinguishing Physical and Chemical Changes</v>
      </c>
      <c r="I52" s="10" t="str">
        <f t="shared" si="0"/>
        <v>LU005486.001</v>
      </c>
      <c r="J52" s="10" t="str">
        <f ca="1">IFERROR(__xludf.DUMMYFUNCTION("VLOOKUP(I52, IMPORTRANGE(""https://docs.google.com/spreadsheets/d/1yDAaXNsi4Mr5FtRQL4tbmSdIzhx6_m4wkOD7IG-k_eo/edit#gid=1336395716"", ""Science!M:N""), 2, FALSE)"),"Differentiate between physical changes and chemical changes.")</f>
        <v>Differentiate between physical changes and chemical changes.</v>
      </c>
      <c r="K52" s="10" t="str">
        <f t="shared" si="1"/>
        <v>LU005486.002</v>
      </c>
      <c r="L52" s="10" t="str">
        <f ca="1">IFERROR(__xludf.DUMMYFUNCTION("VLOOKUP(K52, IMPORTRANGE(""https://docs.google.com/spreadsheets/d/1yDAaXNsi4Mr5FtRQL4tbmSdIzhx6_m4wkOD7IG-k_eo/edit#gid=1336395716"", ""Science!M:N""), 2, FALSE)"),"Explain the characteristics of each type of change and their implications.")</f>
        <v>Explain the characteristics of each type of change and their implications.</v>
      </c>
      <c r="M52" s="10" t="str">
        <f t="shared" si="2"/>
        <v>LU005486.003</v>
      </c>
      <c r="N52" s="10" t="str">
        <f ca="1">IFERROR(__xludf.DUMMYFUNCTION("VLOOKUP(M52, IMPORTRANGE(""https://docs.google.com/spreadsheets/d/1yDAaXNsi4Mr5FtRQL4tbmSdIzhx6_m4wkOD7IG-k_eo/edit#gid=1336395716"", ""Science!M:N""), 2, FALSE)"),"Apply the knowledge of physical and chemical changes to classify given examples.")</f>
        <v>Apply the knowledge of physical and chemical changes to classify given examples.</v>
      </c>
      <c r="O52" s="10" t="str">
        <f t="shared" si="3"/>
        <v>LU005486.004</v>
      </c>
      <c r="P52" s="10" t="str">
        <f ca="1">IFERROR(__xludf.DUMMYFUNCTION("VLOOKUP(O52, IMPORTRANGE(""https://docs.google.com/spreadsheets/d/1yDAaXNsi4Mr5FtRQL4tbmSdIzhx6_m4wkOD7IG-k_eo/edit#gid=1336395716"", ""Science!M:N""), 2, FALSE)"),"Analyze real-world scenarios to determine whether they involve physical or chemical changes.")</f>
        <v>Analyze real-world scenarios to determine whether they involve physical or chemical changes.</v>
      </c>
      <c r="Q52" s="10" t="str">
        <f t="shared" si="4"/>
        <v>LU005486.005</v>
      </c>
      <c r="R52" s="10" t="str">
        <f ca="1">IFERROR(__xludf.DUMMYFUNCTION("VLOOKUP(Q52, IMPORTRANGE(""https://docs.google.com/spreadsheets/d/1yDAaXNsi4Mr5FtRQL4tbmSdIzhx6_m4wkOD7IG-k_eo/edit#gid=1336395716"", ""Science!M:N""), 2, FALSE)"),"Evaluate the importance of correctly identifying the type of change for safety and scientific understanding.")</f>
        <v>Evaluate the importance of correctly identifying the type of change for safety and scientific understanding.</v>
      </c>
      <c r="S52" s="10" t="str">
        <f t="shared" si="5"/>
        <v>LU005486.006</v>
      </c>
      <c r="T52" s="10" t="str">
        <f ca="1">IFERROR(__xludf.DUMMYFUNCTION("VLOOKUP(S52, IMPORTRANGE(""https://docs.google.com/spreadsheets/d/1yDAaXNsi4Mr5FtRQL4tbmSdIzhx6_m4wkOD7IG-k_eo/edit#gid=1336395716"", ""Science!M:N""), 2, FALSE)"),"#N/A")</f>
        <v>#N/A</v>
      </c>
      <c r="U52" s="116">
        <f ca="1">IFERROR(__xludf.DUMMYFUNCTION("ArrayFormula(VLOOKUP(G52, IMPORTRANGE(""https://docs.google.com/spreadsheets/d/1p7R4vtkWt5VOBim4ltsDG9KTzSjrtKXsMtQGXPHyND0/edit#gid=795171502"", ""'Filter 30_05_2024'!A1:M2000""), {2, 3, 4, 5,6,7,8,9,10,11,12,13}, 0))"),6)</f>
        <v>6</v>
      </c>
      <c r="V52" s="116">
        <f ca="1">IFERROR(__xludf.DUMMYFUNCTION("""COMPUTED_VALUE"""),16)</f>
        <v>16</v>
      </c>
      <c r="W52" s="116">
        <f ca="1">IFERROR(__xludf.DUMMYFUNCTION("""COMPUTED_VALUE"""),2)</f>
        <v>2</v>
      </c>
      <c r="X52" s="116">
        <f ca="1">IFERROR(__xludf.DUMMYFUNCTION("""COMPUTED_VALUE"""),24)</f>
        <v>24</v>
      </c>
      <c r="Y52" s="116">
        <f ca="1">IFERROR(__xludf.DUMMYFUNCTION("""COMPUTED_VALUE"""),4)</f>
        <v>4</v>
      </c>
      <c r="Z52" s="12">
        <f ca="1">IFERROR(__xludf.DUMMYFUNCTION("""COMPUTED_VALUE"""),11)</f>
        <v>11</v>
      </c>
      <c r="AA52" s="12">
        <f ca="1">IFERROR(__xludf.DUMMYFUNCTION("""COMPUTED_VALUE"""),2)</f>
        <v>2</v>
      </c>
      <c r="AB52" s="12">
        <f ca="1">IFERROR(__xludf.DUMMYFUNCTION("""COMPUTED_VALUE"""),17)</f>
        <v>17</v>
      </c>
      <c r="AC52" s="12"/>
      <c r="AD52" s="12"/>
      <c r="AE52" s="12"/>
      <c r="AF52" s="12"/>
      <c r="AG52" s="13" t="str">
        <f ca="1">IFERROR(__xludf.DUMMYFUNCTION("ArrayFormula(VLOOKUP(G52, IMPORTRANGE(""https://docs.google.com/spreadsheets/d/1Co934fvtviyaRiMsrIlT05Jaq7iiYq07aLvRr35KA48/edit?gid=173865642#gid=173865642"", ""'G7_Sci_Pri_LU'!G2:V2000""), {3, 4, 5, 6, 7, 8, 9, 10, 11, 12, 13, 14, 15, 16}, 0))"),"LU005488")</f>
        <v>LU005488</v>
      </c>
      <c r="AH52" s="13" t="str">
        <f ca="1">IFERROR(__xludf.DUMMYFUNCTION("""COMPUTED_VALUE"""),"Effects Indicating Chemical Changes")</f>
        <v>Effects Indicating Chemical Changes</v>
      </c>
      <c r="AI52" s="13" t="str">
        <f ca="1">IFERROR(__xludf.DUMMYFUNCTION("""COMPUTED_VALUE"""),"LU005489")</f>
        <v>LU005489</v>
      </c>
      <c r="AJ52" s="13" t="str">
        <f ca="1">IFERROR(__xludf.DUMMYFUNCTION("""COMPUTED_VALUE"""),"Effects Indicating Physical Changes")</f>
        <v>Effects Indicating Physical Changes</v>
      </c>
      <c r="AK52" s="13"/>
      <c r="AL52" s="13"/>
      <c r="AM52" s="13"/>
      <c r="AN52" s="13"/>
      <c r="AO52" s="13"/>
      <c r="AP52" s="13"/>
      <c r="AQ52" s="13"/>
      <c r="AR52" s="13"/>
      <c r="AS52" s="13"/>
      <c r="AT52" s="13"/>
    </row>
    <row r="53" spans="1:46">
      <c r="A53" s="8" t="s">
        <v>247</v>
      </c>
      <c r="B53" s="8" t="s">
        <v>47</v>
      </c>
      <c r="C53" s="8" t="s">
        <v>416</v>
      </c>
      <c r="D53" s="8" t="s">
        <v>1441</v>
      </c>
      <c r="E53" s="8" t="s">
        <v>1871</v>
      </c>
      <c r="F53" s="8" t="s">
        <v>1882</v>
      </c>
      <c r="G53" s="8" t="s">
        <v>1883</v>
      </c>
      <c r="H53" s="8" t="str">
        <f ca="1">IFERROR(__xludf.DUMMYFUNCTION("VLOOKUP(G53, IMPORTRANGE(""https://docs.google.com/spreadsheets/d/14deopnvwcrKtEGCKuYXdUHJbeLDZlkiSSWWT0g7x2pM/edit#gid=849066331"", ""LU List Science (Filter)!A:B""), 2, FALSE)"),"Rusting of Iron as a Chemical Change")</f>
        <v>Rusting of Iron as a Chemical Change</v>
      </c>
      <c r="I53" s="10" t="str">
        <f t="shared" si="0"/>
        <v>LU005496.001</v>
      </c>
      <c r="J53" s="10" t="str">
        <f ca="1">IFERROR(__xludf.DUMMYFUNCTION("VLOOKUP(I53, IMPORTRANGE(""https://docs.google.com/spreadsheets/d/1yDAaXNsi4Mr5FtRQL4tbmSdIzhx6_m4wkOD7IG-k_eo/edit#gid=1336395716"", ""Science!M:N""), 2, FALSE)"),"Recall factors affecting rusting of iron and the chemical reaction of rusting.")</f>
        <v>Recall factors affecting rusting of iron and the chemical reaction of rusting.</v>
      </c>
      <c r="K53" s="10" t="str">
        <f t="shared" si="1"/>
        <v>LU005496.002</v>
      </c>
      <c r="L53" s="10" t="str">
        <f ca="1">IFERROR(__xludf.DUMMYFUNCTION("VLOOKUP(K53, IMPORTRANGE(""https://docs.google.com/spreadsheets/d/1yDAaXNsi4Mr5FtRQL4tbmSdIzhx6_m4wkOD7IG-k_eo/edit#gid=1336395716"", ""Science!M:N""), 2, FALSE)"),"Understand the above mentioned factors role in rusting of iron and the chemical reaction of iron rusting.")</f>
        <v>Understand the above mentioned factors role in rusting of iron and the chemical reaction of iron rusting.</v>
      </c>
      <c r="M53" s="10" t="str">
        <f t="shared" si="2"/>
        <v>LU005496.003</v>
      </c>
      <c r="N53" s="10" t="str">
        <f ca="1">IFERROR(__xludf.DUMMYFUNCTION("VLOOKUP(M53, IMPORTRANGE(""https://docs.google.com/spreadsheets/d/1yDAaXNsi4Mr5FtRQL4tbmSdIzhx6_m4wkOD7IG-k_eo/edit#gid=1336395716"", ""Science!M:N""), 2, FALSE)"),"Demonstrate the process of rusting and the affect of factors controlling rusting.")</f>
        <v>Demonstrate the process of rusting and the affect of factors controlling rusting.</v>
      </c>
      <c r="O53" s="10" t="str">
        <f t="shared" si="3"/>
        <v>LU005496.004</v>
      </c>
      <c r="P53" s="10" t="str">
        <f ca="1">IFERROR(__xludf.DUMMYFUNCTION("VLOOKUP(O53, IMPORTRANGE(""https://docs.google.com/spreadsheets/d/1yDAaXNsi4Mr5FtRQL4tbmSdIzhx6_m4wkOD7IG-k_eo/edit#gid=1336395716"", ""Science!M:N""), 2, FALSE)"),"Analyze the factors that influence the rate of rusting as a chemical change.")</f>
        <v>Analyze the factors that influence the rate of rusting as a chemical change.</v>
      </c>
      <c r="Q53" s="10" t="str">
        <f t="shared" si="4"/>
        <v>LU005496.005</v>
      </c>
      <c r="R53" s="10" t="str">
        <f ca="1">IFERROR(__xludf.DUMMYFUNCTION("VLOOKUP(Q53, IMPORTRANGE(""https://docs.google.com/spreadsheets/d/1yDAaXNsi4Mr5FtRQL4tbmSdIzhx6_m4wkOD7IG-k_eo/edit#gid=1336395716"", ""Science!M:N""), 2, FALSE)"),"Evaluate the implications of rusting in terms of material deterioration and safety.")</f>
        <v>Evaluate the implications of rusting in terms of material deterioration and safety.</v>
      </c>
      <c r="S53" s="10" t="str">
        <f t="shared" si="5"/>
        <v>LU005496.006</v>
      </c>
      <c r="T53" s="10" t="str">
        <f ca="1">IFERROR(__xludf.DUMMYFUNCTION("VLOOKUP(S53, IMPORTRANGE(""https://docs.google.com/spreadsheets/d/1yDAaXNsi4Mr5FtRQL4tbmSdIzhx6_m4wkOD7IG-k_eo/edit#gid=1336395716"", ""Science!M:N""), 2, FALSE)"),"#N/A")</f>
        <v>#N/A</v>
      </c>
      <c r="U53" s="116">
        <f ca="1">IFERROR(__xludf.DUMMYFUNCTION("ArrayFormula(VLOOKUP(G53, IMPORTRANGE(""https://docs.google.com/spreadsheets/d/1p7R4vtkWt5VOBim4ltsDG9KTzSjrtKXsMtQGXPHyND0/edit#gid=795171502"", ""'Filter 30_05_2024'!A1:M2000""), {2, 3, 4, 5,6,7,8,9,10,11,12,13}, 0))"),20)</f>
        <v>20</v>
      </c>
      <c r="V53" s="116">
        <f ca="1">IFERROR(__xludf.DUMMYFUNCTION("""COMPUTED_VALUE"""),7)</f>
        <v>7</v>
      </c>
      <c r="W53" s="116">
        <f ca="1">IFERROR(__xludf.DUMMYFUNCTION("""COMPUTED_VALUE"""),6)</f>
        <v>6</v>
      </c>
      <c r="X53" s="116">
        <f ca="1">IFERROR(__xludf.DUMMYFUNCTION("""COMPUTED_VALUE"""),33)</f>
        <v>33</v>
      </c>
      <c r="Y53" s="116">
        <f ca="1">IFERROR(__xludf.DUMMYFUNCTION("""COMPUTED_VALUE"""),5)</f>
        <v>5</v>
      </c>
      <c r="Z53" s="12">
        <f ca="1">IFERROR(__xludf.DUMMYFUNCTION("""COMPUTED_VALUE"""),3)</f>
        <v>3</v>
      </c>
      <c r="AA53" s="12">
        <f ca="1">IFERROR(__xludf.DUMMYFUNCTION("""COMPUTED_VALUE"""),2)</f>
        <v>2</v>
      </c>
      <c r="AB53" s="12">
        <f ca="1">IFERROR(__xludf.DUMMYFUNCTION("""COMPUTED_VALUE"""),10)</f>
        <v>10</v>
      </c>
      <c r="AC53" s="12"/>
      <c r="AD53" s="12"/>
      <c r="AE53" s="12"/>
      <c r="AF53" s="12"/>
      <c r="AG53" s="13" t="str">
        <f ca="1">IFERROR(__xludf.DUMMYFUNCTION("ArrayFormula(VLOOKUP(G53, IMPORTRANGE(""https://docs.google.com/spreadsheets/d/1Co934fvtviyaRiMsrIlT05Jaq7iiYq07aLvRr35KA48/edit?gid=173865642#gid=173865642"", ""'G7_Sci_Pri_LU'!G2:V2000""), {3, 4, 5, 6, 7, 8, 9, 10, 11, 12, 13, 14, 15, 16}, 0))"),"LU005488")</f>
        <v>LU005488</v>
      </c>
      <c r="AH53" s="13" t="str">
        <f ca="1">IFERROR(__xludf.DUMMYFUNCTION("""COMPUTED_VALUE"""),"Effects Indicating Chemical Changes")</f>
        <v>Effects Indicating Chemical Changes</v>
      </c>
      <c r="AI53" s="13" t="str">
        <f ca="1">IFERROR(__xludf.DUMMYFUNCTION("""COMPUTED_VALUE"""),"LU005493")</f>
        <v>LU005493</v>
      </c>
      <c r="AJ53" s="13" t="str">
        <f ca="1">IFERROR(__xludf.DUMMYFUNCTION("""COMPUTED_VALUE"""),"Introduction to Chemical Changes")</f>
        <v>Introduction to Chemical Changes</v>
      </c>
      <c r="AK53" s="13"/>
      <c r="AL53" s="13"/>
      <c r="AM53" s="13"/>
      <c r="AN53" s="13"/>
      <c r="AO53" s="13"/>
      <c r="AP53" s="13"/>
      <c r="AQ53" s="13"/>
      <c r="AR53" s="13"/>
      <c r="AS53" s="13"/>
      <c r="AT53" s="13"/>
    </row>
    <row r="54" spans="1:46">
      <c r="A54" s="8" t="s">
        <v>247</v>
      </c>
      <c r="B54" s="8" t="s">
        <v>47</v>
      </c>
      <c r="C54" s="8" t="s">
        <v>416</v>
      </c>
      <c r="D54" s="8" t="s">
        <v>1441</v>
      </c>
      <c r="E54" s="8" t="s">
        <v>1871</v>
      </c>
      <c r="F54" s="8" t="s">
        <v>1882</v>
      </c>
      <c r="G54" s="8" t="s">
        <v>1884</v>
      </c>
      <c r="H54" s="8" t="str">
        <f ca="1">IFERROR(__xludf.DUMMYFUNCTION("VLOOKUP(G54, IMPORTRANGE(""https://docs.google.com/spreadsheets/d/14deopnvwcrKtEGCKuYXdUHJbeLDZlkiSSWWT0g7x2pM/edit#gid=849066331"", ""LU List Science (Filter)!A:B""), 2, FALSE)"),"Methods to Prevent Rusting of Iron")</f>
        <v>Methods to Prevent Rusting of Iron</v>
      </c>
      <c r="I54" s="10" t="str">
        <f t="shared" si="0"/>
        <v>LU005495.001</v>
      </c>
      <c r="J54" s="10" t="str">
        <f ca="1">IFERROR(__xludf.DUMMYFUNCTION("VLOOKUP(I54, IMPORTRANGE(""https://docs.google.com/spreadsheets/d/1yDAaXNsi4Mr5FtRQL4tbmSdIzhx6_m4wkOD7IG-k_eo/edit#gid=1336395716"", ""Science!M:N""), 2, FALSE)"),"List various methods used to prevent rusting of iron.")</f>
        <v>List various methods used to prevent rusting of iron.</v>
      </c>
      <c r="K54" s="10" t="str">
        <f t="shared" si="1"/>
        <v>LU005495.002</v>
      </c>
      <c r="L54" s="10" t="str">
        <f ca="1">IFERROR(__xludf.DUMMYFUNCTION("VLOOKUP(K54, IMPORTRANGE(""https://docs.google.com/spreadsheets/d/1yDAaXNsi4Mr5FtRQL4tbmSdIzhx6_m4wkOD7IG-k_eo/edit#gid=1336395716"", ""Science!M:N""), 2, FALSE)"),"Explain the concept of corrosion prevention through barrier methods or water absorbent materials.")</f>
        <v>Explain the concept of corrosion prevention through barrier methods or water absorbent materials.</v>
      </c>
      <c r="M54" s="10" t="str">
        <f t="shared" si="2"/>
        <v>LU005495.003</v>
      </c>
      <c r="N54" s="10" t="str">
        <f ca="1">IFERROR(__xludf.DUMMYFUNCTION("VLOOKUP(M54, IMPORTRANGE(""https://docs.google.com/spreadsheets/d/1yDAaXNsi4Mr5FtRQL4tbmSdIzhx6_m4wkOD7IG-k_eo/edit#gid=1336395716"", ""Science!M:N""), 2, FALSE)"),"Apply the knowledge of methods used to prevent rusting of iron.")</f>
        <v>Apply the knowledge of methods used to prevent rusting of iron.</v>
      </c>
      <c r="O54" s="10" t="str">
        <f t="shared" si="3"/>
        <v>LU005495.004</v>
      </c>
      <c r="P54" s="10" t="str">
        <f ca="1">IFERROR(__xludf.DUMMYFUNCTION("VLOOKUP(O54, IMPORTRANGE(""https://docs.google.com/spreadsheets/d/1yDAaXNsi4Mr5FtRQL4tbmSdIzhx6_m4wkOD7IG-k_eo/edit#gid=1336395716"", ""Science!M:N""), 2, FALSE)"),"Analyze the effectiveness of each method in different environments.")</f>
        <v>Analyze the effectiveness of each method in different environments.</v>
      </c>
      <c r="Q54" s="10" t="str">
        <f t="shared" si="4"/>
        <v>LU005495.005</v>
      </c>
      <c r="R54" s="10" t="str">
        <f ca="1">IFERROR(__xludf.DUMMYFUNCTION("VLOOKUP(Q54, IMPORTRANGE(""https://docs.google.com/spreadsheets/d/1yDAaXNsi4Mr5FtRQL4tbmSdIzhx6_m4wkOD7IG-k_eo/edit#gid=1336395716"", ""Science!M:N""), 2, FALSE)"),"Evaluate the economic and practical considerations of choosing rust prevention methods.")</f>
        <v>Evaluate the economic and practical considerations of choosing rust prevention methods.</v>
      </c>
      <c r="S54" s="10" t="str">
        <f t="shared" si="5"/>
        <v>LU005495.006</v>
      </c>
      <c r="T54" s="10" t="str">
        <f ca="1">IFERROR(__xludf.DUMMYFUNCTION("VLOOKUP(S54, IMPORTRANGE(""https://docs.google.com/spreadsheets/d/1yDAaXNsi4Mr5FtRQL4tbmSdIzhx6_m4wkOD7IG-k_eo/edit#gid=1336395716"", ""Science!M:N""), 2, FALSE)"),"#N/A")</f>
        <v>#N/A</v>
      </c>
      <c r="U54" s="116">
        <f ca="1">IFERROR(__xludf.DUMMYFUNCTION("ArrayFormula(VLOOKUP(G54, IMPORTRANGE(""https://docs.google.com/spreadsheets/d/1p7R4vtkWt5VOBim4ltsDG9KTzSjrtKXsMtQGXPHyND0/edit#gid=795171502"", ""'Filter 30_05_2024'!A1:M2000""), {2, 3, 4, 5,6,7,8,9,10,11,12,13}, 0))"),6)</f>
        <v>6</v>
      </c>
      <c r="V54" s="116">
        <f ca="1">IFERROR(__xludf.DUMMYFUNCTION("""COMPUTED_VALUE"""),6)</f>
        <v>6</v>
      </c>
      <c r="W54" s="116">
        <f ca="1">IFERROR(__xludf.DUMMYFUNCTION("""COMPUTED_VALUE"""),3)</f>
        <v>3</v>
      </c>
      <c r="X54" s="116">
        <f ca="1">IFERROR(__xludf.DUMMYFUNCTION("""COMPUTED_VALUE"""),15)</f>
        <v>15</v>
      </c>
      <c r="Y54" s="116">
        <f ca="1">IFERROR(__xludf.DUMMYFUNCTION("""COMPUTED_VALUE"""),7)</f>
        <v>7</v>
      </c>
      <c r="Z54" s="12">
        <f ca="1">IFERROR(__xludf.DUMMYFUNCTION("""COMPUTED_VALUE"""),3)</f>
        <v>3</v>
      </c>
      <c r="AA54" s="12">
        <f ca="1">IFERROR(__xludf.DUMMYFUNCTION("""COMPUTED_VALUE"""),1)</f>
        <v>1</v>
      </c>
      <c r="AB54" s="12">
        <f ca="1">IFERROR(__xludf.DUMMYFUNCTION("""COMPUTED_VALUE"""),11)</f>
        <v>11</v>
      </c>
      <c r="AC54" s="12"/>
      <c r="AD54" s="12"/>
      <c r="AE54" s="12"/>
      <c r="AF54" s="12"/>
      <c r="AG54" s="13" t="str">
        <f ca="1">IFERROR(__xludf.DUMMYFUNCTION("ArrayFormula(VLOOKUP(G54, IMPORTRANGE(""https://docs.google.com/spreadsheets/d/1Co934fvtviyaRiMsrIlT05Jaq7iiYq07aLvRr35KA48/edit?gid=173865642#gid=173865642"", ""'G7_Sci_Pri_LU'!G2:V2000""), {3, 4, 5, 6, 7, 8, 9, 10, 11, 12, 13, 14, 15, 16}, 0))"),"LU005496")</f>
        <v>LU005496</v>
      </c>
      <c r="AH54" s="13" t="str">
        <f ca="1">IFERROR(__xludf.DUMMYFUNCTION("""COMPUTED_VALUE"""),"Rusting of Iron as a Chemical Change")</f>
        <v>Rusting of Iron as a Chemical Change</v>
      </c>
      <c r="AI54" s="13" t="str">
        <f ca="1">IFERROR(__xludf.DUMMYFUNCTION("""COMPUTED_VALUE"""),"LU005488")</f>
        <v>LU005488</v>
      </c>
      <c r="AJ54" s="13" t="str">
        <f ca="1">IFERROR(__xludf.DUMMYFUNCTION("""COMPUTED_VALUE"""),"Effects Indicating Chemical Changes")</f>
        <v>Effects Indicating Chemical Changes</v>
      </c>
      <c r="AK54" s="13" t="str">
        <f ca="1">IFERROR(__xludf.DUMMYFUNCTION("""COMPUTED_VALUE"""),"LU005493")</f>
        <v>LU005493</v>
      </c>
      <c r="AL54" s="13" t="str">
        <f ca="1">IFERROR(__xludf.DUMMYFUNCTION("""COMPUTED_VALUE"""),"Introduction to Chemical Changes")</f>
        <v>Introduction to Chemical Changes</v>
      </c>
      <c r="AM54" s="13"/>
      <c r="AN54" s="13"/>
      <c r="AO54" s="13"/>
      <c r="AP54" s="13"/>
      <c r="AQ54" s="13"/>
      <c r="AR54" s="13"/>
      <c r="AS54" s="13"/>
      <c r="AT54" s="13"/>
    </row>
    <row r="55" spans="1:46">
      <c r="A55" s="8" t="s">
        <v>247</v>
      </c>
      <c r="B55" s="8" t="s">
        <v>47</v>
      </c>
      <c r="C55" s="8" t="s">
        <v>416</v>
      </c>
      <c r="D55" s="8" t="s">
        <v>1441</v>
      </c>
      <c r="E55" s="8" t="s">
        <v>1871</v>
      </c>
      <c r="F55" s="8" t="s">
        <v>1882</v>
      </c>
      <c r="G55" s="8" t="s">
        <v>1885</v>
      </c>
      <c r="H55" s="8" t="str">
        <f ca="1">IFERROR(__xludf.DUMMYFUNCTION("VLOOKUP(G55, IMPORTRANGE(""https://docs.google.com/spreadsheets/d/14deopnvwcrKtEGCKuYXdUHJbeLDZlkiSSWWT0g7x2pM/edit#gid=849066331"", ""LU List Science (Filter)!A:B""), 2, FALSE)"),"Crystallisation as a Physical Process")</f>
        <v>Crystallisation as a Physical Process</v>
      </c>
      <c r="I55" s="10" t="str">
        <f t="shared" si="0"/>
        <v>LU005485.001</v>
      </c>
      <c r="J55" s="10" t="str">
        <f ca="1">IFERROR(__xludf.DUMMYFUNCTION("VLOOKUP(I55, IMPORTRANGE(""https://docs.google.com/spreadsheets/d/1yDAaXNsi4Mr5FtRQL4tbmSdIzhx6_m4wkOD7IG-k_eo/edit#gid=1336395716"", ""Science!M:N""), 2, FALSE)"),"Define crystallisation and crystallisation as a physical process with various examples.")</f>
        <v>Define crystallisation and crystallisation as a physical process with various examples.</v>
      </c>
      <c r="K55" s="10" t="str">
        <f t="shared" si="1"/>
        <v>LU005485.002</v>
      </c>
      <c r="L55" s="10" t="str">
        <f ca="1">IFERROR(__xludf.DUMMYFUNCTION("VLOOKUP(K55, IMPORTRANGE(""https://docs.google.com/spreadsheets/d/1yDAaXNsi4Mr5FtRQL4tbmSdIzhx6_m4wkOD7IG-k_eo/edit#gid=1336395716"", ""Science!M:N""), 2, FALSE)"),"Discuss various attributes/protocol steps of crystallisation process and explain how they corroborates physical change.")</f>
        <v>Discuss various attributes/protocol steps of crystallisation process and explain how they corroborates physical change.</v>
      </c>
      <c r="M55" s="10" t="str">
        <f t="shared" si="2"/>
        <v>LU005485.003</v>
      </c>
      <c r="N55" s="10" t="str">
        <f ca="1">IFERROR(__xludf.DUMMYFUNCTION("VLOOKUP(M55, IMPORTRANGE(""https://docs.google.com/spreadsheets/d/1yDAaXNsi4Mr5FtRQL4tbmSdIzhx6_m4wkOD7IG-k_eo/edit#gid=1336395716"", ""Science!M:N""), 2, FALSE)"),"Apply the concept of crystallization to other substances beyond copper sulfate.")</f>
        <v>Apply the concept of crystallization to other substances beyond copper sulfate.</v>
      </c>
      <c r="O55" s="10" t="str">
        <f t="shared" si="3"/>
        <v>LU005485.004</v>
      </c>
      <c r="P55" s="10" t="str">
        <f ca="1">IFERROR(__xludf.DUMMYFUNCTION("VLOOKUP(O55, IMPORTRANGE(""https://docs.google.com/spreadsheets/d/1yDAaXNsi4Mr5FtRQL4tbmSdIzhx6_m4wkOD7IG-k_eo/edit#gid=1336395716"", ""Science!M:N""), 2, FALSE)"),"Analyze the similarities and differences in crystallization processes involving various substances.")</f>
        <v>Analyze the similarities and differences in crystallization processes involving various substances.</v>
      </c>
      <c r="Q55" s="10" t="str">
        <f t="shared" si="4"/>
        <v>LU005485.005</v>
      </c>
      <c r="R55" s="10" t="str">
        <f ca="1">IFERROR(__xludf.DUMMYFUNCTION("VLOOKUP(Q55, IMPORTRANGE(""https://docs.google.com/spreadsheets/d/1yDAaXNsi4Mr5FtRQL4tbmSdIzhx6_m4wkOD7IG-k_eo/edit#gid=1336395716"", ""Science!M:N""), 2, FALSE)"),"Evaluate the importance of understanding crystallization in fields such as chemistry and geology.")</f>
        <v>Evaluate the importance of understanding crystallization in fields such as chemistry and geology.</v>
      </c>
      <c r="S55" s="10" t="str">
        <f t="shared" si="5"/>
        <v>LU005485.006</v>
      </c>
      <c r="T55" s="10" t="str">
        <f ca="1">IFERROR(__xludf.DUMMYFUNCTION("VLOOKUP(S55, IMPORTRANGE(""https://docs.google.com/spreadsheets/d/1yDAaXNsi4Mr5FtRQL4tbmSdIzhx6_m4wkOD7IG-k_eo/edit#gid=1336395716"", ""Science!M:N""), 2, FALSE)"),"#N/A")</f>
        <v>#N/A</v>
      </c>
      <c r="U55" s="116">
        <f ca="1">IFERROR(__xludf.DUMMYFUNCTION("ArrayFormula(VLOOKUP(G55, IMPORTRANGE(""https://docs.google.com/spreadsheets/d/1p7R4vtkWt5VOBim4ltsDG9KTzSjrtKXsMtQGXPHyND0/edit#gid=795171502"", ""'Filter 30_05_2024'!A1:M2000""), {2, 3, 4, 5,6,7,8,9,10,11,12,13}, 0))"),23)</f>
        <v>23</v>
      </c>
      <c r="V55" s="116">
        <f ca="1">IFERROR(__xludf.DUMMYFUNCTION("""COMPUTED_VALUE"""),8)</f>
        <v>8</v>
      </c>
      <c r="W55" s="116">
        <f ca="1">IFERROR(__xludf.DUMMYFUNCTION("""COMPUTED_VALUE"""),4)</f>
        <v>4</v>
      </c>
      <c r="X55" s="116">
        <f ca="1">IFERROR(__xludf.DUMMYFUNCTION("""COMPUTED_VALUE"""),35)</f>
        <v>35</v>
      </c>
      <c r="Y55" s="116">
        <f ca="1">IFERROR(__xludf.DUMMYFUNCTION("""COMPUTED_VALUE"""),9)</f>
        <v>9</v>
      </c>
      <c r="Z55" s="12">
        <f ca="1">IFERROR(__xludf.DUMMYFUNCTION("""COMPUTED_VALUE"""),2)</f>
        <v>2</v>
      </c>
      <c r="AA55" s="12">
        <f ca="1">IFERROR(__xludf.DUMMYFUNCTION("""COMPUTED_VALUE"""),1)</f>
        <v>1</v>
      </c>
      <c r="AB55" s="12">
        <f ca="1">IFERROR(__xludf.DUMMYFUNCTION("""COMPUTED_VALUE"""),12)</f>
        <v>12</v>
      </c>
      <c r="AC55" s="12"/>
      <c r="AD55" s="12">
        <f ca="1">IFERROR(__xludf.DUMMYFUNCTION("""COMPUTED_VALUE"""),1)</f>
        <v>1</v>
      </c>
      <c r="AE55" s="12"/>
      <c r="AF55" s="12">
        <f ca="1">IFERROR(__xludf.DUMMYFUNCTION("""COMPUTED_VALUE"""),1)</f>
        <v>1</v>
      </c>
      <c r="AG55" s="13" t="str">
        <f ca="1">IFERROR(__xludf.DUMMYFUNCTION("ArrayFormula(VLOOKUP(G55, IMPORTRANGE(""https://docs.google.com/spreadsheets/d/1Co934fvtviyaRiMsrIlT05Jaq7iiYq07aLvRr35KA48/edit?gid=173865642#gid=173865642"", ""'G7_Sci_Pri_LU'!G2:V2000""), {3, 4, 5, 6, 7, 8, 9, 10, 11, 12, 13, 14, 15, 16}, 0))"),"LU005486")</f>
        <v>LU005486</v>
      </c>
      <c r="AH55" s="13" t="str">
        <f ca="1">IFERROR(__xludf.DUMMYFUNCTION("""COMPUTED_VALUE"""),"Distinguishing Physical and Chemical Changes")</f>
        <v>Distinguishing Physical and Chemical Changes</v>
      </c>
      <c r="AI55" s="13" t="str">
        <f ca="1">IFERROR(__xludf.DUMMYFUNCTION("""COMPUTED_VALUE"""),"LU005494")</f>
        <v>LU005494</v>
      </c>
      <c r="AJ55" s="13" t="str">
        <f ca="1">IFERROR(__xludf.DUMMYFUNCTION("""COMPUTED_VALUE"""),"Introduction to Physical Changes")</f>
        <v>Introduction to Physical Changes</v>
      </c>
      <c r="AK55" s="13" t="str">
        <f ca="1">IFERROR(__xludf.DUMMYFUNCTION("""COMPUTED_VALUE"""),"LU005489")</f>
        <v>LU005489</v>
      </c>
      <c r="AL55" s="13" t="str">
        <f ca="1">IFERROR(__xludf.DUMMYFUNCTION("""COMPUTED_VALUE"""),"Effects Indicating Physical Changes")</f>
        <v>Effects Indicating Physical Changes</v>
      </c>
      <c r="AM55" s="13"/>
      <c r="AN55" s="13"/>
      <c r="AO55" s="13"/>
      <c r="AP55" s="13"/>
      <c r="AQ55" s="13"/>
      <c r="AR55" s="13"/>
      <c r="AS55" s="13"/>
      <c r="AT55" s="13"/>
    </row>
    <row r="56" spans="1:46">
      <c r="A56" s="8" t="s">
        <v>247</v>
      </c>
      <c r="B56" s="8" t="s">
        <v>47</v>
      </c>
      <c r="C56" s="8" t="s">
        <v>416</v>
      </c>
      <c r="D56" s="8" t="s">
        <v>1406</v>
      </c>
      <c r="E56" s="8" t="s">
        <v>1886</v>
      </c>
      <c r="F56" s="8" t="s">
        <v>1887</v>
      </c>
      <c r="G56" s="8" t="s">
        <v>1888</v>
      </c>
      <c r="H56" s="8" t="str">
        <f ca="1">IFERROR(__xludf.DUMMYFUNCTION("VLOOKUP(G56, IMPORTRANGE(""https://docs.google.com/spreadsheets/d/14deopnvwcrKtEGCKuYXdUHJbeLDZlkiSSWWT0g7x2pM/edit#gid=849066331"", ""LU List Science (Filter)!A:B""), 2, FALSE)"),"Introduction to cellular, aerobic and anaerobic respiration")</f>
        <v>Introduction to cellular, aerobic and anaerobic respiration</v>
      </c>
      <c r="I56" s="10" t="str">
        <f t="shared" si="0"/>
        <v>LU005435.001</v>
      </c>
      <c r="J56" s="10" t="str">
        <f ca="1">IFERROR(__xludf.DUMMYFUNCTION("VLOOKUP(I56, IMPORTRANGE(""https://docs.google.com/spreadsheets/d/1yDAaXNsi4Mr5FtRQL4tbmSdIzhx6_m4wkOD7IG-k_eo/edit#gid=1336395716"", ""Science!M:N""), 2, FALSE)"),"Students will define cellular respiration, and identify the basic processes involved in aerobic and anaerobic cellular respiration.")</f>
        <v>Students will define cellular respiration, and identify the basic processes involved in aerobic and anaerobic cellular respiration.</v>
      </c>
      <c r="K56" s="10" t="str">
        <f t="shared" si="1"/>
        <v>LU005435.002</v>
      </c>
      <c r="L56" s="10" t="str">
        <f ca="1">IFERROR(__xludf.DUMMYFUNCTION("VLOOKUP(K56, IMPORTRANGE(""https://docs.google.com/spreadsheets/d/1yDAaXNsi4Mr5FtRQL4tbmSdIzhx6_m4wkOD7IG-k_eo/edit#gid=1336395716"", ""Science!M:N""), 2, FALSE)"),"Students will explain the difference between aerobic and anaerobic respiration, and infer the need for energy in various processes.")</f>
        <v>Students will explain the difference between aerobic and anaerobic respiration, and infer the need for energy in various processes.</v>
      </c>
      <c r="M56" s="10" t="str">
        <f t="shared" si="2"/>
        <v>LU005435.003</v>
      </c>
      <c r="N56" s="10" t="str">
        <f ca="1">IFERROR(__xludf.DUMMYFUNCTION("VLOOKUP(M56, IMPORTRANGE(""https://docs.google.com/spreadsheets/d/1yDAaXNsi4Mr5FtRQL4tbmSdIzhx6_m4wkOD7IG-k_eo/edit#gid=1336395716"", ""Science!M:N""), 2, FALSE)"),"Students will distinguish where in the cell aerobic and anaerobic respiration occur.")</f>
        <v>Students will distinguish where in the cell aerobic and anaerobic respiration occur.</v>
      </c>
      <c r="O56" s="10" t="str">
        <f t="shared" si="3"/>
        <v>LU005435.004</v>
      </c>
      <c r="P56" s="10" t="str">
        <f ca="1">IFERROR(__xludf.DUMMYFUNCTION("VLOOKUP(O56, IMPORTRANGE(""https://docs.google.com/spreadsheets/d/1yDAaXNsi4Mr5FtRQL4tbmSdIzhx6_m4wkOD7IG-k_eo/edit#gid=1336395716"", ""Science!M:N""), 2, FALSE)"),"Students will analyze the products of aerobic and anaerobic respiration and their effects on an organism.")</f>
        <v>Students will analyze the products of aerobic and anaerobic respiration and their effects on an organism.</v>
      </c>
      <c r="Q56" s="10" t="str">
        <f t="shared" si="4"/>
        <v>LU005435.005</v>
      </c>
      <c r="R56" s="10" t="str">
        <f ca="1">IFERROR(__xludf.DUMMYFUNCTION("VLOOKUP(Q56, IMPORTRANGE(""https://docs.google.com/spreadsheets/d/1yDAaXNsi4Mr5FtRQL4tbmSdIzhx6_m4wkOD7IG-k_eo/edit#gid=1336395716"", ""Science!M:N""), 2, FALSE)"),"Students will assess the advantages and disadvantages of aerobic and anaerobic respiration for different organisms.")</f>
        <v>Students will assess the advantages and disadvantages of aerobic and anaerobic respiration for different organisms.</v>
      </c>
      <c r="S56" s="10" t="str">
        <f t="shared" si="5"/>
        <v>LU005435.006</v>
      </c>
      <c r="T56" s="10" t="str">
        <f ca="1">IFERROR(__xludf.DUMMYFUNCTION("VLOOKUP(S56, IMPORTRANGE(""https://docs.google.com/spreadsheets/d/1yDAaXNsi4Mr5FtRQL4tbmSdIzhx6_m4wkOD7IG-k_eo/edit#gid=1336395716"", ""Science!M:N""), 2, FALSE)"),"#N/A")</f>
        <v>#N/A</v>
      </c>
      <c r="U56" s="116">
        <f ca="1">IFERROR(__xludf.DUMMYFUNCTION("ArrayFormula(VLOOKUP(G56, IMPORTRANGE(""https://docs.google.com/spreadsheets/d/1p7R4vtkWt5VOBim4ltsDG9KTzSjrtKXsMtQGXPHyND0/edit#gid=795171502"", ""'Filter 30_05_2024'!A1:M2000""), {2, 3, 4, 5,6,7,8,9,10,11,12,13}, 0))"),22)</f>
        <v>22</v>
      </c>
      <c r="V56" s="116">
        <f ca="1">IFERROR(__xludf.DUMMYFUNCTION("""COMPUTED_VALUE"""),5)</f>
        <v>5</v>
      </c>
      <c r="W56" s="116">
        <f ca="1">IFERROR(__xludf.DUMMYFUNCTION("""COMPUTED_VALUE"""),2)</f>
        <v>2</v>
      </c>
      <c r="X56" s="116">
        <f ca="1">IFERROR(__xludf.DUMMYFUNCTION("""COMPUTED_VALUE"""),29)</f>
        <v>29</v>
      </c>
      <c r="Y56" s="116">
        <f ca="1">IFERROR(__xludf.DUMMYFUNCTION("""COMPUTED_VALUE"""),7)</f>
        <v>7</v>
      </c>
      <c r="Z56" s="12">
        <f ca="1">IFERROR(__xludf.DUMMYFUNCTION("""COMPUTED_VALUE"""),3)</f>
        <v>3</v>
      </c>
      <c r="AA56" s="12">
        <f ca="1">IFERROR(__xludf.DUMMYFUNCTION("""COMPUTED_VALUE"""),1)</f>
        <v>1</v>
      </c>
      <c r="AB56" s="12">
        <f ca="1">IFERROR(__xludf.DUMMYFUNCTION("""COMPUTED_VALUE"""),11)</f>
        <v>11</v>
      </c>
      <c r="AC56" s="12"/>
      <c r="AD56" s="12"/>
      <c r="AE56" s="12"/>
      <c r="AF56" s="12"/>
      <c r="AG56" s="13" t="str">
        <f ca="1">IFERROR(__xludf.DUMMYFUNCTION("ArrayFormula(VLOOKUP(G56, IMPORTRANGE(""https://docs.google.com/spreadsheets/d/1Co934fvtviyaRiMsrIlT05Jaq7iiYq07aLvRr35KA48/edit?gid=173865642#gid=173865642"", ""'G7_Sci_Pri_LU'!G2:V2000""), {3, 4, 5, 6, 7, 8, 9, 10, 11, 12, 13, 14, 15, 16}, 0))"),"LU006084")</f>
        <v>LU006084</v>
      </c>
      <c r="AH56" s="13" t="str">
        <f ca="1">IFERROR(__xludf.DUMMYFUNCTION("""COMPUTED_VALUE"""),"Living things need food, energy through respiration and excrete waste")</f>
        <v>Living things need food, energy through respiration and excrete waste</v>
      </c>
      <c r="AI56" s="13" t="str">
        <f ca="1">IFERROR(__xludf.DUMMYFUNCTION("""COMPUTED_VALUE"""),"LU005493")</f>
        <v>LU005493</v>
      </c>
      <c r="AJ56" s="13" t="str">
        <f ca="1">IFERROR(__xludf.DUMMYFUNCTION("""COMPUTED_VALUE"""),"Introduction to Chemical Changes")</f>
        <v>Introduction to Chemical Changes</v>
      </c>
      <c r="AK56" s="13"/>
      <c r="AL56" s="13"/>
      <c r="AM56" s="13"/>
      <c r="AN56" s="13"/>
      <c r="AO56" s="13"/>
      <c r="AP56" s="13"/>
      <c r="AQ56" s="13"/>
      <c r="AR56" s="13"/>
      <c r="AS56" s="13"/>
      <c r="AT56" s="13"/>
    </row>
    <row r="57" spans="1:46">
      <c r="A57" s="8" t="s">
        <v>247</v>
      </c>
      <c r="B57" s="8" t="s">
        <v>47</v>
      </c>
      <c r="C57" s="8" t="s">
        <v>416</v>
      </c>
      <c r="D57" s="8" t="s">
        <v>1406</v>
      </c>
      <c r="E57" s="8" t="s">
        <v>1886</v>
      </c>
      <c r="F57" s="8" t="s">
        <v>1887</v>
      </c>
      <c r="G57" s="8" t="s">
        <v>1889</v>
      </c>
      <c r="H57" s="8" t="str">
        <f ca="1">IFERROR(__xludf.DUMMYFUNCTION("VLOOKUP(G57, IMPORTRANGE(""https://docs.google.com/spreadsheets/d/14deopnvwcrKtEGCKuYXdUHJbeLDZlkiSSWWT0g7x2pM/edit#gid=849066331"", ""LU List Science (Filter)!A:B""), 2, FALSE)"),"Anaerobic Respiration in Yeast")</f>
        <v>Anaerobic Respiration in Yeast</v>
      </c>
      <c r="I57" s="10" t="str">
        <f t="shared" si="0"/>
        <v>LU005436.001</v>
      </c>
      <c r="J57" s="10" t="str">
        <f ca="1">IFERROR(__xludf.DUMMYFUNCTION("VLOOKUP(I57, IMPORTRANGE(""https://docs.google.com/spreadsheets/d/1yDAaXNsi4Mr5FtRQL4tbmSdIzhx6_m4wkOD7IG-k_eo/edit#gid=1336395716"", ""Science!M:N""), 2, FALSE)"),"Define anaerobic respiration in yeast and understand its role in producing energy in the absence of oxygen.")</f>
        <v>Define anaerobic respiration in yeast and understand its role in producing energy in the absence of oxygen.</v>
      </c>
      <c r="K57" s="10" t="str">
        <f t="shared" si="1"/>
        <v>LU005436.002</v>
      </c>
      <c r="L57" s="10" t="str">
        <f ca="1">IFERROR(__xludf.DUMMYFUNCTION("VLOOKUP(K57, IMPORTRANGE(""https://docs.google.com/spreadsheets/d/1yDAaXNsi4Mr5FtRQL4tbmSdIzhx6_m4wkOD7IG-k_eo/edit#gid=1336395716"", ""Science!M:N""), 2, FALSE)"),"Explain the basic process of anaerobic respiration in yeast, highlighting the conversion of glucose into ethanol and carbon dioxide.")</f>
        <v>Explain the basic process of anaerobic respiration in yeast, highlighting the conversion of glucose into ethanol and carbon dioxide.</v>
      </c>
      <c r="M57" s="10" t="str">
        <f t="shared" si="2"/>
        <v>LU005436.003</v>
      </c>
      <c r="N57" s="10" t="str">
        <f ca="1">IFERROR(__xludf.DUMMYFUNCTION("VLOOKUP(M57, IMPORTRANGE(""https://docs.google.com/spreadsheets/d/1yDAaXNsi4Mr5FtRQL4tbmSdIzhx6_m4wkOD7IG-k_eo/edit#gid=1336395716"", ""Science!M:N""), 2, FALSE)"),"Apply the knowledge of anaerobic respiration in yeast to describe how it is used in processes like bread-making and brewing, and explain the importance of these processes in daily life.")</f>
        <v>Apply the knowledge of anaerobic respiration in yeast to describe how it is used in processes like bread-making and brewing, and explain the importance of these processes in daily life.</v>
      </c>
      <c r="O57" s="10" t="str">
        <f t="shared" si="3"/>
        <v>LU005436.004</v>
      </c>
      <c r="P57" s="10" t="str">
        <f ca="1">IFERROR(__xludf.DUMMYFUNCTION("VLOOKUP(O57, IMPORTRANGE(""https://docs.google.com/spreadsheets/d/1yDAaXNsi4Mr5FtRQL4tbmSdIzhx6_m4wkOD7IG-k_eo/edit#gid=1336395716"", ""Science!M:N""), 2, FALSE)"),"Analyze the differences between anaerobic respiration in yeast and aerobic respiration in terms of energy production, waste products, and efficiency.")</f>
        <v>Analyze the differences between anaerobic respiration in yeast and aerobic respiration in terms of energy production, waste products, and efficiency.</v>
      </c>
      <c r="Q57" s="10" t="str">
        <f t="shared" si="4"/>
        <v>LU005436.005</v>
      </c>
      <c r="R57" s="10" t="str">
        <f ca="1">IFERROR(__xludf.DUMMYFUNCTION("VLOOKUP(Q57, IMPORTRANGE(""https://docs.google.com/spreadsheets/d/1yDAaXNsi4Mr5FtRQL4tbmSdIzhx6_m4wkOD7IG-k_eo/edit#gid=1336395716"", ""Science!M:N""), 2, FALSE)"),"Evaluate the environmental impact of large-scale industrial processes that utilize anaerobic respiration in yeast, considering factors like resource consumption and waste generation.")</f>
        <v>Evaluate the environmental impact of large-scale industrial processes that utilize anaerobic respiration in yeast, considering factors like resource consumption and waste generation.</v>
      </c>
      <c r="S57" s="10" t="str">
        <f t="shared" si="5"/>
        <v>LU005436.006</v>
      </c>
      <c r="T57" s="10" t="str">
        <f ca="1">IFERROR(__xludf.DUMMYFUNCTION("VLOOKUP(S57, IMPORTRANGE(""https://docs.google.com/spreadsheets/d/1yDAaXNsi4Mr5FtRQL4tbmSdIzhx6_m4wkOD7IG-k_eo/edit#gid=1336395716"", ""Science!M:N""), 2, FALSE)"),"Design an experiment to investigate the factors that affect the rate of anaerobic respiration in yeast, and predict the outcomes based on variations in temperature, sugar concentration, or yeast concentration")</f>
        <v>Design an experiment to investigate the factors that affect the rate of anaerobic respiration in yeast, and predict the outcomes based on variations in temperature, sugar concentration, or yeast concentration</v>
      </c>
      <c r="U57" s="116">
        <f ca="1">IFERROR(__xludf.DUMMYFUNCTION("ArrayFormula(VLOOKUP(G57, IMPORTRANGE(""https://docs.google.com/spreadsheets/d/1p7R4vtkWt5VOBim4ltsDG9KTzSjrtKXsMtQGXPHyND0/edit#gid=795171502"", ""'Filter 30_05_2024'!A1:M2000""), {2, 3, 4, 5,6,7,8,9,10,11,12,13}, 0))"),6)</f>
        <v>6</v>
      </c>
      <c r="V57" s="116">
        <f ca="1">IFERROR(__xludf.DUMMYFUNCTION("""COMPUTED_VALUE"""),6)</f>
        <v>6</v>
      </c>
      <c r="W57" s="116">
        <f ca="1">IFERROR(__xludf.DUMMYFUNCTION("""COMPUTED_VALUE"""),2)</f>
        <v>2</v>
      </c>
      <c r="X57" s="116">
        <f ca="1">IFERROR(__xludf.DUMMYFUNCTION("""COMPUTED_VALUE"""),14)</f>
        <v>14</v>
      </c>
      <c r="Y57" s="116">
        <f ca="1">IFERROR(__xludf.DUMMYFUNCTION("""COMPUTED_VALUE"""),4)</f>
        <v>4</v>
      </c>
      <c r="Z57" s="12">
        <f ca="1">IFERROR(__xludf.DUMMYFUNCTION("""COMPUTED_VALUE"""),3)</f>
        <v>3</v>
      </c>
      <c r="AA57" s="12">
        <f ca="1">IFERROR(__xludf.DUMMYFUNCTION("""COMPUTED_VALUE"""),1)</f>
        <v>1</v>
      </c>
      <c r="AB57" s="12">
        <f ca="1">IFERROR(__xludf.DUMMYFUNCTION("""COMPUTED_VALUE"""),8)</f>
        <v>8</v>
      </c>
      <c r="AC57" s="12"/>
      <c r="AD57" s="12"/>
      <c r="AE57" s="12"/>
      <c r="AF57" s="12"/>
      <c r="AG57" s="13" t="str">
        <f ca="1">IFERROR(__xludf.DUMMYFUNCTION("ArrayFormula(VLOOKUP(G57, IMPORTRANGE(""https://docs.google.com/spreadsheets/d/1Co934fvtviyaRiMsrIlT05Jaq7iiYq07aLvRr35KA48/edit?gid=173865642#gid=173865642"", ""'G7_Sci_Pri_LU'!G2:V2000""), {3, 4, 5, 6, 7, 8, 9, 10, 11, 12, 13, 14, 15, 16}, 0))"),"LU005435")</f>
        <v>LU005435</v>
      </c>
      <c r="AH57" s="13" t="str">
        <f ca="1">IFERROR(__xludf.DUMMYFUNCTION("""COMPUTED_VALUE"""),"Introduction to cellular, aerobic and anaerobic respiration")</f>
        <v>Introduction to cellular, aerobic and anaerobic respiration</v>
      </c>
      <c r="AI57" s="13" t="str">
        <f ca="1">IFERROR(__xludf.DUMMYFUNCTION("""COMPUTED_VALUE"""),"LU006084")</f>
        <v>LU006084</v>
      </c>
      <c r="AJ57" s="13" t="str">
        <f ca="1">IFERROR(__xludf.DUMMYFUNCTION("""COMPUTED_VALUE"""),"Living things need food, energy through respiration and excrete waste")</f>
        <v>Living things need food, energy through respiration and excrete waste</v>
      </c>
      <c r="AK57" s="13"/>
      <c r="AL57" s="13"/>
      <c r="AM57" s="13"/>
      <c r="AN57" s="13"/>
      <c r="AO57" s="13"/>
      <c r="AP57" s="13"/>
      <c r="AQ57" s="13"/>
      <c r="AR57" s="13"/>
      <c r="AS57" s="13"/>
      <c r="AT57" s="13"/>
    </row>
    <row r="58" spans="1:46">
      <c r="A58" s="8" t="s">
        <v>247</v>
      </c>
      <c r="B58" s="8" t="s">
        <v>47</v>
      </c>
      <c r="C58" s="8" t="s">
        <v>416</v>
      </c>
      <c r="D58" s="8" t="s">
        <v>1406</v>
      </c>
      <c r="E58" s="8" t="s">
        <v>1886</v>
      </c>
      <c r="F58" s="8" t="s">
        <v>1887</v>
      </c>
      <c r="G58" s="8" t="s">
        <v>1890</v>
      </c>
      <c r="H58" s="8" t="str">
        <f ca="1">IFERROR(__xludf.DUMMYFUNCTION("VLOOKUP(G58, IMPORTRANGE(""https://docs.google.com/spreadsheets/d/14deopnvwcrKtEGCKuYXdUHJbeLDZlkiSSWWT0g7x2pM/edit#gid=849066331"", ""LU List Science (Filter)!A:B""), 2, FALSE)"),"Anaerobic Respiration in Human Skeletal Muscles")</f>
        <v>Anaerobic Respiration in Human Skeletal Muscles</v>
      </c>
      <c r="I58" s="10" t="str">
        <f t="shared" si="0"/>
        <v>LU005437.001</v>
      </c>
      <c r="J58" s="10" t="str">
        <f ca="1">IFERROR(__xludf.DUMMYFUNCTION("VLOOKUP(I58, IMPORTRANGE(""https://docs.google.com/spreadsheets/d/1yDAaXNsi4Mr5FtRQL4tbmSdIzhx6_m4wkOD7IG-k_eo/edit#gid=1336395716"", ""Science!M:N""), 2, FALSE)"),"Define anaerobic respiration in human skeletal muscles and understand its role in providing quick bursts of energy during physical activities.")</f>
        <v>Define anaerobic respiration in human skeletal muscles and understand its role in providing quick bursts of energy during physical activities.</v>
      </c>
      <c r="K58" s="10" t="str">
        <f t="shared" si="1"/>
        <v>LU005437.002</v>
      </c>
      <c r="L58" s="10" t="str">
        <f ca="1">IFERROR(__xludf.DUMMYFUNCTION("VLOOKUP(K58, IMPORTRANGE(""https://docs.google.com/spreadsheets/d/1yDAaXNsi4Mr5FtRQL4tbmSdIzhx6_m4wkOD7IG-k_eo/edit#gid=1336395716"", ""Science!M:N""), 2, FALSE)"),"Explain how anaerobic respiration in skeletal muscles works, including the conversion of glucose into lactic acid, and why it is used during high-intensity exercise.")</f>
        <v>Explain how anaerobic respiration in skeletal muscles works, including the conversion of glucose into lactic acid, and why it is used during high-intensity exercise.</v>
      </c>
      <c r="M58" s="10" t="str">
        <f t="shared" si="2"/>
        <v>LU005437.003</v>
      </c>
      <c r="N58" s="10" t="str">
        <f ca="1">IFERROR(__xludf.DUMMYFUNCTION("VLOOKUP(M58, IMPORTRANGE(""https://docs.google.com/spreadsheets/d/1yDAaXNsi4Mr5FtRQL4tbmSdIzhx6_m4wkOD7IG-k_eo/edit#gid=1336395716"", ""Science!M:N""), 2, FALSE)"),"Apply the knowledge of anaerobic respiration in skeletal muscles to describe how it enables athletes to perform short bursts of intense physical activity and how it leads to muscle fatigue.")</f>
        <v>Apply the knowledge of anaerobic respiration in skeletal muscles to describe how it enables athletes to perform short bursts of intense physical activity and how it leads to muscle fatigue.</v>
      </c>
      <c r="O58" s="10" t="str">
        <f t="shared" si="3"/>
        <v>LU005437.004</v>
      </c>
      <c r="P58" s="10" t="str">
        <f ca="1">IFERROR(__xludf.DUMMYFUNCTION("VLOOKUP(O58, IMPORTRANGE(""https://docs.google.com/spreadsheets/d/1yDAaXNsi4Mr5FtRQL4tbmSdIzhx6_m4wkOD7IG-k_eo/edit#gid=1336395716"", ""Science!M:N""), 2, FALSE)"),"Analyze the advantages and limitations of anaerobic respiration in human skeletal muscles compared to aerobic respiration, considering factors like energy production and waste products.")</f>
        <v>Analyze the advantages and limitations of anaerobic respiration in human skeletal muscles compared to aerobic respiration, considering factors like energy production and waste products.</v>
      </c>
      <c r="Q58" s="10" t="str">
        <f t="shared" si="4"/>
        <v>LU005437.005</v>
      </c>
      <c r="R58" s="10" t="str">
        <f ca="1">IFERROR(__xludf.DUMMYFUNCTION("VLOOKUP(Q58, IMPORTRANGE(""https://docs.google.com/spreadsheets/d/1yDAaXNsi4Mr5FtRQL4tbmSdIzhx6_m4wkOD7IG-k_eo/edit#gid=1336395716"", ""Science!M:N""), 2, FALSE)"),"Evaluate the impact of a sedentary lifestyle and regular physical activity on an individual's reliance on anaerobic respiration during exercise, and its effects on muscle health.")</f>
        <v>Evaluate the impact of a sedentary lifestyle and regular physical activity on an individual's reliance on anaerobic respiration during exercise, and its effects on muscle health.</v>
      </c>
      <c r="S58" s="10" t="str">
        <f t="shared" si="5"/>
        <v>LU005437.006</v>
      </c>
      <c r="T58" s="10" t="str">
        <f ca="1">IFERROR(__xludf.DUMMYFUNCTION("VLOOKUP(S58, IMPORTRANGE(""https://docs.google.com/spreadsheets/d/1yDAaXNsi4Mr5FtRQL4tbmSdIzhx6_m4wkOD7IG-k_eo/edit#gid=1336395716"", ""Science!M:N""), 2, FALSE)"),"#N/A")</f>
        <v>#N/A</v>
      </c>
      <c r="U58" s="116">
        <f ca="1">IFERROR(__xludf.DUMMYFUNCTION("ArrayFormula(VLOOKUP(G58, IMPORTRANGE(""https://docs.google.com/spreadsheets/d/1p7R4vtkWt5VOBim4ltsDG9KTzSjrtKXsMtQGXPHyND0/edit#gid=795171502"", ""'Filter 30_05_2024'!A1:M2000""), {2, 3, 4, 5,6,7,8,9,10,11,12,13}, 0))"),4)</f>
        <v>4</v>
      </c>
      <c r="V58" s="116">
        <f ca="1">IFERROR(__xludf.DUMMYFUNCTION("""COMPUTED_VALUE"""),4)</f>
        <v>4</v>
      </c>
      <c r="W58" s="116">
        <f ca="1">IFERROR(__xludf.DUMMYFUNCTION("""COMPUTED_VALUE"""),2)</f>
        <v>2</v>
      </c>
      <c r="X58" s="116">
        <f ca="1">IFERROR(__xludf.DUMMYFUNCTION("""COMPUTED_VALUE"""),10)</f>
        <v>10</v>
      </c>
      <c r="Y58" s="116">
        <f ca="1">IFERROR(__xludf.DUMMYFUNCTION("""COMPUTED_VALUE"""),4)</f>
        <v>4</v>
      </c>
      <c r="Z58" s="12">
        <f ca="1">IFERROR(__xludf.DUMMYFUNCTION("""COMPUTED_VALUE"""),1)</f>
        <v>1</v>
      </c>
      <c r="AA58" s="12">
        <f ca="1">IFERROR(__xludf.DUMMYFUNCTION("""COMPUTED_VALUE"""),1)</f>
        <v>1</v>
      </c>
      <c r="AB58" s="12">
        <f ca="1">IFERROR(__xludf.DUMMYFUNCTION("""COMPUTED_VALUE"""),6)</f>
        <v>6</v>
      </c>
      <c r="AC58" s="12"/>
      <c r="AD58" s="12"/>
      <c r="AE58" s="12"/>
      <c r="AF58" s="12"/>
      <c r="AG58" s="13" t="str">
        <f ca="1">IFERROR(__xludf.DUMMYFUNCTION("ArrayFormula(VLOOKUP(G58, IMPORTRANGE(""https://docs.google.com/spreadsheets/d/1Co934fvtviyaRiMsrIlT05Jaq7iiYq07aLvRr35KA48/edit?gid=173865642#gid=173865642"", ""'G7_Sci_Pri_LU'!G2:V2000""), {3, 4, 5, 6, 7, 8, 9, 10, 11, 12, 13, 14, 15, 16}, 0))"),"LU005435")</f>
        <v>LU005435</v>
      </c>
      <c r="AH58" s="13" t="str">
        <f ca="1">IFERROR(__xludf.DUMMYFUNCTION("""COMPUTED_VALUE"""),"Introduction to cellular, aerobic and anaerobic respiration")</f>
        <v>Introduction to cellular, aerobic and anaerobic respiration</v>
      </c>
      <c r="AI58" s="13" t="str">
        <f ca="1">IFERROR(__xludf.DUMMYFUNCTION("""COMPUTED_VALUE"""),"LU006084")</f>
        <v>LU006084</v>
      </c>
      <c r="AJ58" s="13" t="str">
        <f ca="1">IFERROR(__xludf.DUMMYFUNCTION("""COMPUTED_VALUE"""),"Living things need food, energy through respiration and excrete waste")</f>
        <v>Living things need food, energy through respiration and excrete waste</v>
      </c>
      <c r="AK58" s="13" t="str">
        <f ca="1">IFERROR(__xludf.DUMMYFUNCTION("""COMPUTED_VALUE"""),"LU005197")</f>
        <v>LU005197</v>
      </c>
      <c r="AL58" s="13" t="str">
        <f ca="1">IFERROR(__xludf.DUMMYFUNCTION("""COMPUTED_VALUE"""),"Muscles(skeletal muscles)-definition, function, characteristics")</f>
        <v>Muscles(skeletal muscles)-definition, function, characteristics</v>
      </c>
      <c r="AM58" s="13"/>
      <c r="AN58" s="13"/>
      <c r="AO58" s="13"/>
      <c r="AP58" s="13"/>
      <c r="AQ58" s="13"/>
      <c r="AR58" s="13"/>
      <c r="AS58" s="13"/>
      <c r="AT58" s="13"/>
    </row>
    <row r="59" spans="1:46">
      <c r="A59" s="8" t="s">
        <v>247</v>
      </c>
      <c r="B59" s="8" t="s">
        <v>47</v>
      </c>
      <c r="C59" s="8" t="s">
        <v>416</v>
      </c>
      <c r="D59" s="8" t="s">
        <v>1406</v>
      </c>
      <c r="E59" s="8" t="s">
        <v>1886</v>
      </c>
      <c r="F59" s="8" t="s">
        <v>1891</v>
      </c>
      <c r="G59" s="8" t="s">
        <v>1892</v>
      </c>
      <c r="H59" s="8" t="str">
        <f ca="1">IFERROR(__xludf.DUMMYFUNCTION("VLOOKUP(G59, IMPORTRANGE(""https://docs.google.com/spreadsheets/d/14deopnvwcrKtEGCKuYXdUHJbeLDZlkiSSWWT0g7x2pM/edit#gid=849066331"", ""LU List Science (Filter)!A:B""), 2, FALSE)"),"Definition of Breathing and Breathing Rate")</f>
        <v>Definition of Breathing and Breathing Rate</v>
      </c>
      <c r="I59" s="10" t="str">
        <f t="shared" si="0"/>
        <v>LU005438.001</v>
      </c>
      <c r="J59" s="10" t="str">
        <f ca="1">IFERROR(__xludf.DUMMYFUNCTION("VLOOKUP(I59, IMPORTRANGE(""https://docs.google.com/spreadsheets/d/1yDAaXNsi4Mr5FtRQL4tbmSdIzhx6_m4wkOD7IG-k_eo/edit#gid=1336395716"", ""Science!M:N""), 2, FALSE)"),"Recall/Define/Identify inhalation, exhalation, breathing, and breathing rate.")</f>
        <v>Recall/Define/Identify inhalation, exhalation, breathing, and breathing rate.</v>
      </c>
      <c r="K59" s="10" t="str">
        <f t="shared" si="1"/>
        <v>LU005438.002</v>
      </c>
      <c r="L59" s="10" t="str">
        <f ca="1">IFERROR(__xludf.DUMMYFUNCTION("VLOOKUP(K59, IMPORTRANGE(""https://docs.google.com/spreadsheets/d/1yDAaXNsi4Mr5FtRQL4tbmSdIzhx6_m4wkOD7IG-k_eo/edit#gid=1336395716"", ""Science!M:N""), 2, FALSE)"),"Explain how inhalation and exhalation work together in the process of breathing, and how breathing rate is determined.")</f>
        <v>Explain how inhalation and exhalation work together in the process of breathing, and how breathing rate is determined.</v>
      </c>
      <c r="M59" s="10" t="str">
        <f t="shared" si="2"/>
        <v>LU005438.003</v>
      </c>
      <c r="N59" s="10" t="str">
        <f ca="1">IFERROR(__xludf.DUMMYFUNCTION("VLOOKUP(M59, IMPORTRANGE(""https://docs.google.com/spreadsheets/d/1yDAaXNsi4Mr5FtRQL4tbmSdIzhx6_m4wkOD7IG-k_eo/edit#gid=1336395716"", ""Science!M:N""), 2, FALSE)"),"Default")</f>
        <v>Default</v>
      </c>
      <c r="O59" s="10" t="str">
        <f t="shared" si="3"/>
        <v>LU005438.004</v>
      </c>
      <c r="P59" s="10" t="str">
        <f ca="1">IFERROR(__xludf.DUMMYFUNCTION("VLOOKUP(O59, IMPORTRANGE(""https://docs.google.com/spreadsheets/d/1yDAaXNsi4Mr5FtRQL4tbmSdIzhx6_m4wkOD7IG-k_eo/edit#gid=1336395716"", ""Science!M:N""), 2, FALSE)"),"Analyse the correlation between breathing process(includes breathing rate, volume of inhaled air, etc.) and oxygen needs during various situations.")</f>
        <v>Analyse the correlation between breathing process(includes breathing rate, volume of inhaled air, etc.) and oxygen needs during various situations.</v>
      </c>
      <c r="Q59" s="10" t="str">
        <f t="shared" si="4"/>
        <v>LU005438.005</v>
      </c>
      <c r="R59" s="10" t="str">
        <f ca="1">IFERROR(__xludf.DUMMYFUNCTION("VLOOKUP(Q59, IMPORTRANGE(""https://docs.google.com/spreadsheets/d/1yDAaXNsi4Mr5FtRQL4tbmSdIzhx6_m4wkOD7IG-k_eo/edit#gid=1336395716"", ""Science!M:N""), 2, FALSE)"),"Evaluate the significance of maintaining optimal breathing rate for respiratory health and overall well-being.")</f>
        <v>Evaluate the significance of maintaining optimal breathing rate for respiratory health and overall well-being.</v>
      </c>
      <c r="S59" s="10" t="str">
        <f t="shared" si="5"/>
        <v>LU005438.006</v>
      </c>
      <c r="T59" s="10" t="str">
        <f ca="1">IFERROR(__xludf.DUMMYFUNCTION("VLOOKUP(S59, IMPORTRANGE(""https://docs.google.com/spreadsheets/d/1yDAaXNsi4Mr5FtRQL4tbmSdIzhx6_m4wkOD7IG-k_eo/edit#gid=1336395716"", ""Science!M:N""), 2, FALSE)"),"Default")</f>
        <v>Default</v>
      </c>
      <c r="U59" s="116">
        <f ca="1">IFERROR(__xludf.DUMMYFUNCTION("ArrayFormula(VLOOKUP(G59, IMPORTRANGE(""https://docs.google.com/spreadsheets/d/1p7R4vtkWt5VOBim4ltsDG9KTzSjrtKXsMtQGXPHyND0/edit#gid=795171502"", ""'Filter 30_05_2024'!A1:M2000""), {2, 3, 4, 5,6,7,8,9,10,11,12,13}, 0))"),12)</f>
        <v>12</v>
      </c>
      <c r="V59" s="116">
        <f ca="1">IFERROR(__xludf.DUMMYFUNCTION("""COMPUTED_VALUE"""),15)</f>
        <v>15</v>
      </c>
      <c r="W59" s="116">
        <f ca="1">IFERROR(__xludf.DUMMYFUNCTION("""COMPUTED_VALUE"""),4)</f>
        <v>4</v>
      </c>
      <c r="X59" s="116">
        <f ca="1">IFERROR(__xludf.DUMMYFUNCTION("""COMPUTED_VALUE"""),31)</f>
        <v>31</v>
      </c>
      <c r="Y59" s="116">
        <f ca="1">IFERROR(__xludf.DUMMYFUNCTION("""COMPUTED_VALUE"""),4)</f>
        <v>4</v>
      </c>
      <c r="Z59" s="12">
        <f ca="1">IFERROR(__xludf.DUMMYFUNCTION("""COMPUTED_VALUE"""),5)</f>
        <v>5</v>
      </c>
      <c r="AA59" s="12">
        <f ca="1">IFERROR(__xludf.DUMMYFUNCTION("""COMPUTED_VALUE"""),1)</f>
        <v>1</v>
      </c>
      <c r="AB59" s="12">
        <f ca="1">IFERROR(__xludf.DUMMYFUNCTION("""COMPUTED_VALUE"""),10)</f>
        <v>10</v>
      </c>
      <c r="AC59" s="12"/>
      <c r="AD59" s="12"/>
      <c r="AE59" s="12"/>
      <c r="AF59" s="12"/>
      <c r="AG59" s="13" t="str">
        <f ca="1">IFERROR(__xludf.DUMMYFUNCTION("ArrayFormula(VLOOKUP(G59, IMPORTRANGE(""https://docs.google.com/spreadsheets/d/1Co934fvtviyaRiMsrIlT05Jaq7iiYq07aLvRr35KA48/edit?gid=173865642#gid=173865642"", ""'G7_Sci_Pri_LU'!G2:V2000""), {3, 4, 5, 6, 7, 8, 9, 10, 11, 12, 13, 14, 15, 16}, 0))"),"LU005435")</f>
        <v>LU005435</v>
      </c>
      <c r="AH59" s="13" t="str">
        <f ca="1">IFERROR(__xludf.DUMMYFUNCTION("""COMPUTED_VALUE"""),"Introduction to cellular, aerobic and anaerobic respiration")</f>
        <v>Introduction to cellular, aerobic and anaerobic respiration</v>
      </c>
      <c r="AI59" s="13" t="str">
        <f ca="1">IFERROR(__xludf.DUMMYFUNCTION("""COMPUTED_VALUE"""),"LU006084")</f>
        <v>LU006084</v>
      </c>
      <c r="AJ59" s="13" t="str">
        <f ca="1">IFERROR(__xludf.DUMMYFUNCTION("""COMPUTED_VALUE"""),"Living things need food, energy through respiration and excrete waste")</f>
        <v>Living things need food, energy through respiration and excrete waste</v>
      </c>
      <c r="AK59" s="13" t="str">
        <f ca="1">IFERROR(__xludf.DUMMYFUNCTION("""COMPUTED_VALUE"""),"LU005122")</f>
        <v>LU005122</v>
      </c>
      <c r="AL59" s="13" t="str">
        <f ca="1">IFERROR(__xludf.DUMMYFUNCTION("""COMPUTED_VALUE"""),"Impact of Physical Activities on Respiration")</f>
        <v>Impact of Physical Activities on Respiration</v>
      </c>
      <c r="AM59" s="13"/>
      <c r="AN59" s="13"/>
      <c r="AO59" s="13"/>
      <c r="AP59" s="13"/>
      <c r="AQ59" s="13"/>
      <c r="AR59" s="13"/>
      <c r="AS59" s="13"/>
      <c r="AT59" s="13"/>
    </row>
    <row r="60" spans="1:46">
      <c r="A60" s="8" t="s">
        <v>247</v>
      </c>
      <c r="B60" s="8" t="s">
        <v>47</v>
      </c>
      <c r="C60" s="8" t="s">
        <v>416</v>
      </c>
      <c r="D60" s="8" t="s">
        <v>1406</v>
      </c>
      <c r="E60" s="8" t="s">
        <v>1886</v>
      </c>
      <c r="F60" s="8" t="s">
        <v>1893</v>
      </c>
      <c r="G60" s="8" t="s">
        <v>1894</v>
      </c>
      <c r="H60" s="8" t="str">
        <f ca="1">IFERROR(__xludf.DUMMYFUNCTION("VLOOKUP(G60, IMPORTRANGE(""https://docs.google.com/spreadsheets/d/14deopnvwcrKtEGCKuYXdUHJbeLDZlkiSSWWT0g7x2pM/edit#gid=849066331"", ""LU List Science (Filter)!A:B""), 2, FALSE)"),"Definition of Human Respiratory System")</f>
        <v>Definition of Human Respiratory System</v>
      </c>
      <c r="I60" s="10" t="str">
        <f t="shared" si="0"/>
        <v>LU005439.001</v>
      </c>
      <c r="J60" s="10" t="str">
        <f ca="1">IFERROR(__xludf.DUMMYFUNCTION("VLOOKUP(I60, IMPORTRANGE(""https://docs.google.com/spreadsheets/d/1yDAaXNsi4Mr5FtRQL4tbmSdIzhx6_m4wkOD7IG-k_eo/edit#gid=1336395716"", ""Science!M:N""), 2, FALSE)"),"Recall the definition of the human respiratory system and list the main organs that are part of this system.")</f>
        <v>Recall the definition of the human respiratory system and list the main organs that are part of this system.</v>
      </c>
      <c r="K60" s="10" t="str">
        <f t="shared" si="1"/>
        <v>LU005439.002</v>
      </c>
      <c r="L60" s="10" t="str">
        <f ca="1">IFERROR(__xludf.DUMMYFUNCTION("VLOOKUP(K60, IMPORTRANGE(""https://docs.google.com/spreadsheets/d/1yDAaXNsi4Mr5FtRQL4tbmSdIzhx6_m4wkOD7IG-k_eo/edit#gid=1336395716"", ""Science!M:N""), 2, FALSE)"),"Understand/Draw/Explain that the human respiratory system encompasses structures like the nose, pharynx, trachea, bronchi, and lungs, working together to facilitate the exchange of gases during respiration.")</f>
        <v>Understand/Draw/Explain that the human respiratory system encompasses structures like the nose, pharynx, trachea, bronchi, and lungs, working together to facilitate the exchange of gases during respiration.</v>
      </c>
      <c r="M60" s="10" t="str">
        <f t="shared" si="2"/>
        <v>LU005439.003</v>
      </c>
      <c r="N60" s="10" t="str">
        <f ca="1">IFERROR(__xludf.DUMMYFUNCTION("VLOOKUP(M60, IMPORTRANGE(""https://docs.google.com/spreadsheets/d/1yDAaXNsi4Mr5FtRQL4tbmSdIzhx6_m4wkOD7IG-k_eo/edit#gid=1336395716"", ""Science!M:N""), 2, FALSE)"),"Apply the logic behind the consequences of smoking on the human respiratory system, considering how it affects lung function, gas exchange, and overall respiratory health.")</f>
        <v>Apply the logic behind the consequences of smoking on the human respiratory system, considering how it affects lung function, gas exchange, and overall respiratory health.</v>
      </c>
      <c r="O60" s="10" t="str">
        <f t="shared" si="3"/>
        <v>LU005439.004</v>
      </c>
      <c r="P60" s="10" t="str">
        <f ca="1">IFERROR(__xludf.DUMMYFUNCTION("VLOOKUP(O60, IMPORTRANGE(""https://docs.google.com/spreadsheets/d/1yDAaXNsi4Mr5FtRQL4tbmSdIzhx6_m4wkOD7IG-k_eo/edit#gid=1336395716"", ""Science!M:N""), 2, FALSE)"),"Default")</f>
        <v>Default</v>
      </c>
      <c r="Q60" s="10" t="str">
        <f t="shared" si="4"/>
        <v>LU005439.005</v>
      </c>
      <c r="R60" s="10" t="str">
        <f ca="1">IFERROR(__xludf.DUMMYFUNCTION("VLOOKUP(Q60, IMPORTRANGE(""https://docs.google.com/spreadsheets/d/1yDAaXNsi4Mr5FtRQL4tbmSdIzhx6_m4wkOD7IG-k_eo/edit#gid=1336395716"", ""Science!M:N""), 2, FALSE)"),"#N/A")</f>
        <v>#N/A</v>
      </c>
      <c r="S60" s="10" t="str">
        <f t="shared" si="5"/>
        <v>LU005439.006</v>
      </c>
      <c r="T60" s="10" t="str">
        <f ca="1">IFERROR(__xludf.DUMMYFUNCTION("VLOOKUP(S60, IMPORTRANGE(""https://docs.google.com/spreadsheets/d/1yDAaXNsi4Mr5FtRQL4tbmSdIzhx6_m4wkOD7IG-k_eo/edit#gid=1336395716"", ""Science!M:N""), 2, FALSE)"),"#N/A")</f>
        <v>#N/A</v>
      </c>
      <c r="U60" s="116">
        <f ca="1">IFERROR(__xludf.DUMMYFUNCTION("ArrayFormula(VLOOKUP(G60, IMPORTRANGE(""https://docs.google.com/spreadsheets/d/1p7R4vtkWt5VOBim4ltsDG9KTzSjrtKXsMtQGXPHyND0/edit#gid=795171502"", ""'Filter 30_05_2024'!A1:M2000""), {2, 3, 4, 5,6,7,8,9,10,11,12,13}, 0))"),1)</f>
        <v>1</v>
      </c>
      <c r="V60" s="116">
        <f ca="1">IFERROR(__xludf.DUMMYFUNCTION("""COMPUTED_VALUE"""),6)</f>
        <v>6</v>
      </c>
      <c r="W60" s="116"/>
      <c r="X60" s="116">
        <f ca="1">IFERROR(__xludf.DUMMYFUNCTION("""COMPUTED_VALUE"""),7)</f>
        <v>7</v>
      </c>
      <c r="Y60" s="116">
        <f ca="1">IFERROR(__xludf.DUMMYFUNCTION("""COMPUTED_VALUE"""),4)</f>
        <v>4</v>
      </c>
      <c r="Z60" s="12">
        <f ca="1">IFERROR(__xludf.DUMMYFUNCTION("""COMPUTED_VALUE"""),3)</f>
        <v>3</v>
      </c>
      <c r="AA60" s="12">
        <f ca="1">IFERROR(__xludf.DUMMYFUNCTION("""COMPUTED_VALUE"""),3)</f>
        <v>3</v>
      </c>
      <c r="AB60" s="12">
        <f ca="1">IFERROR(__xludf.DUMMYFUNCTION("""COMPUTED_VALUE"""),10)</f>
        <v>10</v>
      </c>
      <c r="AC60" s="12"/>
      <c r="AD60" s="12"/>
      <c r="AE60" s="12"/>
      <c r="AF60" s="12"/>
      <c r="AG60" s="13" t="str">
        <f ca="1">IFERROR(__xludf.DUMMYFUNCTION("ArrayFormula(VLOOKUP(G60, IMPORTRANGE(""https://docs.google.com/spreadsheets/d/1Co934fvtviyaRiMsrIlT05Jaq7iiYq07aLvRr35KA48/edit?gid=173865642#gid=173865642"", ""'G7_Sci_Pri_LU'!G2:V2000""), {3, 4, 5, 6, 7, 8, 9, 10, 11, 12, 13, 14, 15, 16}, 0))"),"LU005103")</f>
        <v>LU005103</v>
      </c>
      <c r="AH60" s="13" t="str">
        <f ca="1">IFERROR(__xludf.DUMMYFUNCTION("""COMPUTED_VALUE"""),"Definition of organ system")</f>
        <v>Definition of organ system</v>
      </c>
      <c r="AI60" s="13"/>
      <c r="AJ60" s="13"/>
      <c r="AK60" s="13"/>
      <c r="AL60" s="13"/>
      <c r="AM60" s="13"/>
      <c r="AN60" s="13"/>
      <c r="AO60" s="13"/>
      <c r="AP60" s="13"/>
      <c r="AQ60" s="13"/>
      <c r="AR60" s="13"/>
      <c r="AS60" s="13"/>
      <c r="AT60" s="13"/>
    </row>
    <row r="61" spans="1:46">
      <c r="A61" s="8" t="s">
        <v>247</v>
      </c>
      <c r="B61" s="8" t="s">
        <v>47</v>
      </c>
      <c r="C61" s="8" t="s">
        <v>416</v>
      </c>
      <c r="D61" s="8" t="s">
        <v>1406</v>
      </c>
      <c r="E61" s="8" t="s">
        <v>1886</v>
      </c>
      <c r="F61" s="8" t="s">
        <v>1893</v>
      </c>
      <c r="G61" s="8" t="s">
        <v>1895</v>
      </c>
      <c r="H61" s="8" t="str">
        <f ca="1">IFERROR(__xludf.DUMMYFUNCTION("VLOOKUP(G61, IMPORTRANGE(""https://docs.google.com/spreadsheets/d/14deopnvwcrKtEGCKuYXdUHJbeLDZlkiSSWWT0g7x2pM/edit#gid=849066331"", ""LU List Science (Filter)!A:B""), 2, FALSE)"),"Mechanism of Breathing in Humans")</f>
        <v>Mechanism of Breathing in Humans</v>
      </c>
      <c r="I61" s="10" t="str">
        <f t="shared" si="0"/>
        <v>LU005440.001</v>
      </c>
      <c r="J61" s="10" t="str">
        <f ca="1">IFERROR(__xludf.DUMMYFUNCTION("VLOOKUP(I61, IMPORTRANGE(""https://docs.google.com/spreadsheets/d/1yDAaXNsi4Mr5FtRQL4tbmSdIzhx6_m4wkOD7IG-k_eo/edit#gid=1336395716"", ""Science!M:N""), 2, FALSE)"),"Recall/Identify inhalation and exhalation as the two main components of breathing.")</f>
        <v>Recall/Identify inhalation and exhalation as the two main components of breathing.</v>
      </c>
      <c r="K61" s="10" t="str">
        <f t="shared" si="1"/>
        <v>LU005440.002</v>
      </c>
      <c r="L61" s="10" t="str">
        <f ca="1">IFERROR(__xludf.DUMMYFUNCTION("VLOOKUP(K61, IMPORTRANGE(""https://docs.google.com/spreadsheets/d/1yDAaXNsi4Mr5FtRQL4tbmSdIzhx6_m4wkOD7IG-k_eo/edit#gid=1336395716"", ""Science!M:N""), 2, FALSE)"),"Understand/Draw how the diaphragm and ribcage muscles work together to change chest volume and air moves in/out during breathing.")</f>
        <v>Understand/Draw how the diaphragm and ribcage muscles work together to change chest volume and air moves in/out during breathing.</v>
      </c>
      <c r="M61" s="10" t="str">
        <f t="shared" si="2"/>
        <v>LU005440.003</v>
      </c>
      <c r="N61" s="10" t="str">
        <f ca="1">IFERROR(__xludf.DUMMYFUNCTION("VLOOKUP(M61, IMPORTRANGE(""https://docs.google.com/spreadsheets/d/1yDAaXNsi4Mr5FtRQL4tbmSdIzhx6_m4wkOD7IG-k_eo/edit#gid=1336395716"", ""Science!M:N""), 2, FALSE)"),"Demonstrate the understanding of breathing mechanism to describe how changes in lung volume cause air movement in and out of the respiratory system.")</f>
        <v>Demonstrate the understanding of breathing mechanism to describe how changes in lung volume cause air movement in and out of the respiratory system.</v>
      </c>
      <c r="O61" s="10" t="str">
        <f t="shared" si="3"/>
        <v>LU005440.004</v>
      </c>
      <c r="P61" s="10" t="str">
        <f ca="1">IFERROR(__xludf.DUMMYFUNCTION("VLOOKUP(O61, IMPORTRANGE(""https://docs.google.com/spreadsheets/d/1yDAaXNsi4Mr5FtRQL4tbmSdIzhx6_m4wkOD7IG-k_eo/edit#gid=1336395716"", ""Science!M:N""), 2, FALSE)"),"Evaluate the vital role of the breathing mechanism in maintaining a continuous supply of oxygen and removing carbon dioxide for cellular respiration and overall well-being.")</f>
        <v>Evaluate the vital role of the breathing mechanism in maintaining a continuous supply of oxygen and removing carbon dioxide for cellular respiration and overall well-being.</v>
      </c>
      <c r="Q61" s="10" t="str">
        <f t="shared" si="4"/>
        <v>LU005440.005</v>
      </c>
      <c r="R61" s="10" t="str">
        <f ca="1">IFERROR(__xludf.DUMMYFUNCTION("VLOOKUP(Q61, IMPORTRANGE(""https://docs.google.com/spreadsheets/d/1yDAaXNsi4Mr5FtRQL4tbmSdIzhx6_m4wkOD7IG-k_eo/edit#gid=1336395716"", ""Science!M:N""), 2, FALSE)"),"Default")</f>
        <v>Default</v>
      </c>
      <c r="S61" s="10" t="str">
        <f t="shared" si="5"/>
        <v>LU005440.006</v>
      </c>
      <c r="T61" s="10" t="str">
        <f ca="1">IFERROR(__xludf.DUMMYFUNCTION("VLOOKUP(S61, IMPORTRANGE(""https://docs.google.com/spreadsheets/d/1yDAaXNsi4Mr5FtRQL4tbmSdIzhx6_m4wkOD7IG-k_eo/edit#gid=1336395716"", ""Science!M:N""), 2, FALSE)"),"#N/A")</f>
        <v>#N/A</v>
      </c>
      <c r="U61" s="116">
        <f ca="1">IFERROR(__xludf.DUMMYFUNCTION("ArrayFormula(VLOOKUP(G61, IMPORTRANGE(""https://docs.google.com/spreadsheets/d/1p7R4vtkWt5VOBim4ltsDG9KTzSjrtKXsMtQGXPHyND0/edit#gid=795171502"", ""'Filter 30_05_2024'!A1:M2000""), {2, 3, 4, 5,6,7,8,9,10,11,12,13}, 0))"),4)</f>
        <v>4</v>
      </c>
      <c r="V61" s="116">
        <f ca="1">IFERROR(__xludf.DUMMYFUNCTION("""COMPUTED_VALUE"""),6)</f>
        <v>6</v>
      </c>
      <c r="W61" s="116">
        <f ca="1">IFERROR(__xludf.DUMMYFUNCTION("""COMPUTED_VALUE"""),2)</f>
        <v>2</v>
      </c>
      <c r="X61" s="116">
        <f ca="1">IFERROR(__xludf.DUMMYFUNCTION("""COMPUTED_VALUE"""),12)</f>
        <v>12</v>
      </c>
      <c r="Y61" s="116">
        <f ca="1">IFERROR(__xludf.DUMMYFUNCTION("""COMPUTED_VALUE"""),4)</f>
        <v>4</v>
      </c>
      <c r="Z61" s="12">
        <f ca="1">IFERROR(__xludf.DUMMYFUNCTION("""COMPUTED_VALUE"""),3)</f>
        <v>3</v>
      </c>
      <c r="AA61" s="12">
        <f ca="1">IFERROR(__xludf.DUMMYFUNCTION("""COMPUTED_VALUE"""),1)</f>
        <v>1</v>
      </c>
      <c r="AB61" s="12">
        <f ca="1">IFERROR(__xludf.DUMMYFUNCTION("""COMPUTED_VALUE"""),8)</f>
        <v>8</v>
      </c>
      <c r="AC61" s="12"/>
      <c r="AD61" s="12"/>
      <c r="AE61" s="12"/>
      <c r="AF61" s="12"/>
      <c r="AG61" s="13" t="str">
        <f ca="1">IFERROR(__xludf.DUMMYFUNCTION("ArrayFormula(VLOOKUP(G61, IMPORTRANGE(""https://docs.google.com/spreadsheets/d/1Co934fvtviyaRiMsrIlT05Jaq7iiYq07aLvRr35KA48/edit?gid=173865642#gid=173865642"", ""'G7_Sci_Pri_LU'!G2:V2000""), {3, 4, 5, 6, 7, 8, 9, 10, 11, 12, 13, 14, 15, 16}, 0))"),"LU005439")</f>
        <v>LU005439</v>
      </c>
      <c r="AH61" s="13" t="str">
        <f ca="1">IFERROR(__xludf.DUMMYFUNCTION("""COMPUTED_VALUE"""),"Definition of Human Respiratory System")</f>
        <v>Definition of Human Respiratory System</v>
      </c>
      <c r="AI61" s="13" t="str">
        <f ca="1">IFERROR(__xludf.DUMMYFUNCTION("""COMPUTED_VALUE"""),"LU005121")</f>
        <v>LU005121</v>
      </c>
      <c r="AJ61" s="13" t="str">
        <f ca="1">IFERROR(__xludf.DUMMYFUNCTION("""COMPUTED_VALUE"""),"Chest Dynamics in Breathing")</f>
        <v>Chest Dynamics in Breathing</v>
      </c>
      <c r="AK61" s="13" t="str">
        <f ca="1">IFERROR(__xludf.DUMMYFUNCTION("""COMPUTED_VALUE"""),"LU005438")</f>
        <v>LU005438</v>
      </c>
      <c r="AL61" s="13" t="str">
        <f ca="1">IFERROR(__xludf.DUMMYFUNCTION("""COMPUTED_VALUE"""),"Definition of Breathing and Breathing Rate")</f>
        <v>Definition of Breathing and Breathing Rate</v>
      </c>
      <c r="AM61" s="13"/>
      <c r="AN61" s="13"/>
      <c r="AO61" s="13"/>
      <c r="AP61" s="13"/>
      <c r="AQ61" s="13"/>
      <c r="AR61" s="13"/>
      <c r="AS61" s="13"/>
      <c r="AT61" s="13"/>
    </row>
    <row r="62" spans="1:46">
      <c r="A62" s="8" t="s">
        <v>247</v>
      </c>
      <c r="B62" s="8" t="s">
        <v>47</v>
      </c>
      <c r="C62" s="8" t="s">
        <v>416</v>
      </c>
      <c r="D62" s="8" t="s">
        <v>1406</v>
      </c>
      <c r="E62" s="8" t="s">
        <v>1886</v>
      </c>
      <c r="F62" s="8" t="s">
        <v>1893</v>
      </c>
      <c r="G62" s="8" t="s">
        <v>1896</v>
      </c>
      <c r="H62" s="8" t="str">
        <f ca="1">IFERROR(__xludf.DUMMYFUNCTION("VLOOKUP(G62, IMPORTRANGE(""https://docs.google.com/spreadsheets/d/14deopnvwcrKtEGCKuYXdUHJbeLDZlkiSSWWT0g7x2pM/edit#gid=849066331"", ""LU List Science (Filter)!A:B""), 2, FALSE)"),"Significance of Sneezing during breathing")</f>
        <v>Significance of Sneezing during breathing</v>
      </c>
      <c r="I62" s="10" t="str">
        <f t="shared" si="0"/>
        <v>LU005441.001</v>
      </c>
      <c r="J62" s="10" t="str">
        <f ca="1">IFERROR(__xludf.DUMMYFUNCTION("VLOOKUP(I62, IMPORTRANGE(""https://docs.google.com/spreadsheets/d/1yDAaXNsi4Mr5FtRQL4tbmSdIzhx6_m4wkOD7IG-k_eo/edit#gid=1336395716"", ""Science!M:N""), 2, FALSE)"),"Recall that sneezing is triggered by irritation in the nasal passages.")</f>
        <v>Recall that sneezing is triggered by irritation in the nasal passages.</v>
      </c>
      <c r="K62" s="10" t="str">
        <f t="shared" si="1"/>
        <v>LU005441.002</v>
      </c>
      <c r="L62" s="10" t="str">
        <f ca="1">IFERROR(__xludf.DUMMYFUNCTION("VLOOKUP(K62, IMPORTRANGE(""https://docs.google.com/spreadsheets/d/1yDAaXNsi4Mr5FtRQL4tbmSdIzhx6_m4wkOD7IG-k_eo/edit#gid=1336395716"", ""Science!M:N""), 2, FALSE)"),"Understand that sneezing is a protective mechanism to expel irritants and potentially harmful particles from the respiratory system.")</f>
        <v>Understand that sneezing is a protective mechanism to expel irritants and potentially harmful particles from the respiratory system.</v>
      </c>
      <c r="M62" s="10" t="str">
        <f t="shared" si="2"/>
        <v>LU005441.003</v>
      </c>
      <c r="N62" s="10" t="str">
        <f ca="1">IFERROR(__xludf.DUMMYFUNCTION("VLOOKUP(M62, IMPORTRANGE(""https://docs.google.com/spreadsheets/d/1yDAaXNsi4Mr5FtRQL4tbmSdIzhx6_m4wkOD7IG-k_eo/edit#gid=1336395716"", ""Science!M:N""), 2, FALSE)"),"Apply knowledge to explain how sneezing helps remove irritants, such as dust or allergens, from the respiratory tract.")</f>
        <v>Apply knowledge to explain how sneezing helps remove irritants, such as dust or allergens, from the respiratory tract.</v>
      </c>
      <c r="O62" s="10" t="str">
        <f t="shared" si="3"/>
        <v>LU005441.004</v>
      </c>
      <c r="P62" s="10" t="str">
        <f ca="1">IFERROR(__xludf.DUMMYFUNCTION("VLOOKUP(O62, IMPORTRANGE(""https://docs.google.com/spreadsheets/d/1yDAaXNsi4Mr5FtRQL4tbmSdIzhx6_m4wkOD7IG-k_eo/edit#gid=1336395716"", ""Science!M:N""), 2, FALSE)"),"Analyze the potential consequences of suppressing or inhibiting sneezing, discussing how it might impact the body's ability to eliminate irritants and maintain respiratory health.")</f>
        <v>Analyze the potential consequences of suppressing or inhibiting sneezing, discussing how it might impact the body's ability to eliminate irritants and maintain respiratory health.</v>
      </c>
      <c r="Q62" s="10" t="str">
        <f t="shared" si="4"/>
        <v>LU005441.005</v>
      </c>
      <c r="R62" s="10" t="str">
        <f ca="1">IFERROR(__xludf.DUMMYFUNCTION("VLOOKUP(Q62, IMPORTRANGE(""https://docs.google.com/spreadsheets/d/1yDAaXNsi4Mr5FtRQL4tbmSdIzhx6_m4wkOD7IG-k_eo/edit#gid=1336395716"", ""Science!M:N""), 2, FALSE)"),"Evaluate the importance of sneezing as a defense mechanism to prevent respiratory infections and maintain the health of the respiratory system.")</f>
        <v>Evaluate the importance of sneezing as a defense mechanism to prevent respiratory infections and maintain the health of the respiratory system.</v>
      </c>
      <c r="S62" s="10" t="str">
        <f t="shared" si="5"/>
        <v>LU005441.006</v>
      </c>
      <c r="T62" s="10" t="str">
        <f ca="1">IFERROR(__xludf.DUMMYFUNCTION("VLOOKUP(S62, IMPORTRANGE(""https://docs.google.com/spreadsheets/d/1yDAaXNsi4Mr5FtRQL4tbmSdIzhx6_m4wkOD7IG-k_eo/edit#gid=1336395716"", ""Science!M:N""), 2, FALSE)"),"Default")</f>
        <v>Default</v>
      </c>
      <c r="U62" s="116">
        <f ca="1">IFERROR(__xludf.DUMMYFUNCTION("ArrayFormula(VLOOKUP(G62, IMPORTRANGE(""https://docs.google.com/spreadsheets/d/1p7R4vtkWt5VOBim4ltsDG9KTzSjrtKXsMtQGXPHyND0/edit#gid=795171502"", ""'Filter 30_05_2024'!A1:M2000""), {2, 3, 4, 5,6,7,8,9,10,11,12,13}, 0))"),3)</f>
        <v>3</v>
      </c>
      <c r="V62" s="116">
        <f ca="1">IFERROR(__xludf.DUMMYFUNCTION("""COMPUTED_VALUE"""),6)</f>
        <v>6</v>
      </c>
      <c r="W62" s="116">
        <f ca="1">IFERROR(__xludf.DUMMYFUNCTION("""COMPUTED_VALUE"""),2)</f>
        <v>2</v>
      </c>
      <c r="X62" s="116">
        <f ca="1">IFERROR(__xludf.DUMMYFUNCTION("""COMPUTED_VALUE"""),11)</f>
        <v>11</v>
      </c>
      <c r="Y62" s="116">
        <f ca="1">IFERROR(__xludf.DUMMYFUNCTION("""COMPUTED_VALUE"""),4)</f>
        <v>4</v>
      </c>
      <c r="Z62" s="12">
        <f ca="1">IFERROR(__xludf.DUMMYFUNCTION("""COMPUTED_VALUE"""),3)</f>
        <v>3</v>
      </c>
      <c r="AA62" s="12">
        <f ca="1">IFERROR(__xludf.DUMMYFUNCTION("""COMPUTED_VALUE"""),1)</f>
        <v>1</v>
      </c>
      <c r="AB62" s="12">
        <f ca="1">IFERROR(__xludf.DUMMYFUNCTION("""COMPUTED_VALUE"""),8)</f>
        <v>8</v>
      </c>
      <c r="AC62" s="12"/>
      <c r="AD62" s="12"/>
      <c r="AE62" s="12"/>
      <c r="AF62" s="12"/>
      <c r="AG62" s="13" t="str">
        <f ca="1">IFERROR(__xludf.DUMMYFUNCTION("ArrayFormula(VLOOKUP(G62, IMPORTRANGE(""https://docs.google.com/spreadsheets/d/1Co934fvtviyaRiMsrIlT05Jaq7iiYq07aLvRr35KA48/edit?gid=173865642#gid=173865642"", ""'G7_Sci_Pri_LU'!G2:V2000""), {3, 4, 5, 6, 7, 8, 9, 10, 11, 12, 13, 14, 15, 16}, 0))"),"LU005439")</f>
        <v>LU005439</v>
      </c>
      <c r="AH62" s="13" t="str">
        <f ca="1">IFERROR(__xludf.DUMMYFUNCTION("""COMPUTED_VALUE"""),"Definition of Human Respiratory System")</f>
        <v>Definition of Human Respiratory System</v>
      </c>
      <c r="AI62" s="13"/>
      <c r="AJ62" s="13"/>
      <c r="AK62" s="13"/>
      <c r="AL62" s="13"/>
      <c r="AM62" s="13"/>
      <c r="AN62" s="13"/>
      <c r="AO62" s="13"/>
      <c r="AP62" s="13"/>
      <c r="AQ62" s="13"/>
      <c r="AR62" s="13"/>
      <c r="AS62" s="13"/>
      <c r="AT62" s="13"/>
    </row>
    <row r="63" spans="1:46">
      <c r="A63" s="8" t="s">
        <v>247</v>
      </c>
      <c r="B63" s="8" t="s">
        <v>47</v>
      </c>
      <c r="C63" s="8" t="s">
        <v>416</v>
      </c>
      <c r="D63" s="8" t="s">
        <v>1406</v>
      </c>
      <c r="E63" s="8" t="s">
        <v>1886</v>
      </c>
      <c r="F63" s="8" t="s">
        <v>1897</v>
      </c>
      <c r="G63" s="8" t="s">
        <v>1898</v>
      </c>
      <c r="H63" s="8" t="str">
        <f ca="1">IFERROR(__xludf.DUMMYFUNCTION("VLOOKUP(G63, IMPORTRANGE(""https://docs.google.com/spreadsheets/d/14deopnvwcrKtEGCKuYXdUHJbeLDZlkiSSWWT0g7x2pM/edit#gid=849066331"", ""LU List Science (Filter)!A:B""), 2, FALSE)"),"Comparison of the composition of inhaled and exhaled air")</f>
        <v>Comparison of the composition of inhaled and exhaled air</v>
      </c>
      <c r="I63" s="10" t="str">
        <f t="shared" si="0"/>
        <v>LU005955.001</v>
      </c>
      <c r="J63" s="10" t="str">
        <f ca="1">IFERROR(__xludf.DUMMYFUNCTION("VLOOKUP(I63, IMPORTRANGE(""https://docs.google.com/spreadsheets/d/1yDAaXNsi4Mr5FtRQL4tbmSdIzhx6_m4wkOD7IG-k_eo/edit#gid=1336395716"", ""Science!M:N""), 2, FALSE)"),"Recall the primary components of inhaled and exhaled air.")</f>
        <v>Recall the primary components of inhaled and exhaled air.</v>
      </c>
      <c r="K63" s="10" t="str">
        <f t="shared" si="1"/>
        <v>LU005955.002</v>
      </c>
      <c r="L63" s="10" t="str">
        <f ca="1">IFERROR(__xludf.DUMMYFUNCTION("VLOOKUP(K63, IMPORTRANGE(""https://docs.google.com/spreadsheets/d/1yDAaXNsi4Mr5FtRQL4tbmSdIzhx6_m4wkOD7IG-k_eo/edit#gid=1336395716"", ""Science!M:N""), 2, FALSE)"),"Summarize the differences between the composition of inhaled and exhaled air.")</f>
        <v>Summarize the differences between the composition of inhaled and exhaled air.</v>
      </c>
      <c r="M63" s="10" t="str">
        <f t="shared" si="2"/>
        <v>LU005955.003</v>
      </c>
      <c r="N63" s="10" t="str">
        <f ca="1">IFERROR(__xludf.DUMMYFUNCTION("VLOOKUP(M63, IMPORTRANGE(""https://docs.google.com/spreadsheets/d/1yDAaXNsi4Mr5FtRQL4tbmSdIzhx6_m4wkOD7IG-k_eo/edit#gid=1336395716"", ""Science!M:N""), 2, FALSE)"),"Demonstrate the presence of carbon dioxide, water, and oxygen in exhaled air.")</f>
        <v>Demonstrate the presence of carbon dioxide, water, and oxygen in exhaled air.</v>
      </c>
      <c r="O63" s="10" t="str">
        <f t="shared" si="3"/>
        <v>LU005955.004</v>
      </c>
      <c r="P63" s="10" t="str">
        <f ca="1">IFERROR(__xludf.DUMMYFUNCTION("VLOOKUP(O63, IMPORTRANGE(""https://docs.google.com/spreadsheets/d/1yDAaXNsi4Mr5FtRQL4tbmSdIzhx6_m4wkOD7IG-k_eo/edit#gid=1336395716"", ""Science!M:N""), 2, FALSE)"),"Distinguish the roles of oxygen and carbon dioxide in the respiratory process.")</f>
        <v>Distinguish the roles of oxygen and carbon dioxide in the respiratory process.</v>
      </c>
      <c r="Q63" s="10" t="str">
        <f t="shared" si="4"/>
        <v>LU005955.005</v>
      </c>
      <c r="R63" s="10" t="str">
        <f ca="1">IFERROR(__xludf.DUMMYFUNCTION("VLOOKUP(Q63, IMPORTRANGE(""https://docs.google.com/spreadsheets/d/1yDAaXNsi4Mr5FtRQL4tbmSdIzhx6_m4wkOD7IG-k_eo/edit#gid=1336395716"", ""Science!M:N""), 2, FALSE)"),"Evaluate the impact of various activities on the composition of inhaled and exhaled air.")</f>
        <v>Evaluate the impact of various activities on the composition of inhaled and exhaled air.</v>
      </c>
      <c r="S63" s="10" t="str">
        <f t="shared" si="5"/>
        <v>LU005955.006</v>
      </c>
      <c r="T63" s="10" t="str">
        <f ca="1">IFERROR(__xludf.DUMMYFUNCTION("VLOOKUP(S63, IMPORTRANGE(""https://docs.google.com/spreadsheets/d/1yDAaXNsi4Mr5FtRQL4tbmSdIzhx6_m4wkOD7IG-k_eo/edit#gid=1336395716"", ""Science!M:N""), 2, FALSE)"),"Design an experiment to measure the changes in air composition during respiration.")</f>
        <v>Design an experiment to measure the changes in air composition during respiration.</v>
      </c>
      <c r="U63" s="116">
        <f ca="1">IFERROR(__xludf.DUMMYFUNCTION("ArrayFormula(VLOOKUP(G63, IMPORTRANGE(""https://docs.google.com/spreadsheets/d/1p7R4vtkWt5VOBim4ltsDG9KTzSjrtKXsMtQGXPHyND0/edit#gid=795171502"", ""'Filter 30_05_2024'!A1:M2000""), {2, 3, 4, 5,6,7,8,9,10,11,12,13}, 0))"),18)</f>
        <v>18</v>
      </c>
      <c r="V63" s="116">
        <f ca="1">IFERROR(__xludf.DUMMYFUNCTION("""COMPUTED_VALUE"""),16)</f>
        <v>16</v>
      </c>
      <c r="W63" s="116">
        <f ca="1">IFERROR(__xludf.DUMMYFUNCTION("""COMPUTED_VALUE"""),2)</f>
        <v>2</v>
      </c>
      <c r="X63" s="116">
        <f ca="1">IFERROR(__xludf.DUMMYFUNCTION("""COMPUTED_VALUE"""),36)</f>
        <v>36</v>
      </c>
      <c r="Y63" s="116">
        <f ca="1">IFERROR(__xludf.DUMMYFUNCTION("""COMPUTED_VALUE"""),4)</f>
        <v>4</v>
      </c>
      <c r="Z63" s="12">
        <f ca="1">IFERROR(__xludf.DUMMYFUNCTION("""COMPUTED_VALUE"""),8)</f>
        <v>8</v>
      </c>
      <c r="AA63" s="12">
        <f ca="1">IFERROR(__xludf.DUMMYFUNCTION("""COMPUTED_VALUE"""),1)</f>
        <v>1</v>
      </c>
      <c r="AB63" s="12">
        <f ca="1">IFERROR(__xludf.DUMMYFUNCTION("""COMPUTED_VALUE"""),13)</f>
        <v>13</v>
      </c>
      <c r="AC63" s="12"/>
      <c r="AD63" s="12"/>
      <c r="AE63" s="12"/>
      <c r="AF63" s="12"/>
      <c r="AG63" s="13" t="str">
        <f ca="1">IFERROR(__xludf.DUMMYFUNCTION("ArrayFormula(VLOOKUP(G63, IMPORTRANGE(""https://docs.google.com/spreadsheets/d/1Co934fvtviyaRiMsrIlT05Jaq7iiYq07aLvRr35KA48/edit?gid=173865642#gid=173865642"", ""'G7_Sci_Pri_LU'!G2:V2000""), {3, 4, 5, 6, 7, 8, 9, 10, 11, 12, 13, 14, 15, 16}, 0))"),"LU005438")</f>
        <v>LU005438</v>
      </c>
      <c r="AH63" s="13" t="str">
        <f ca="1">IFERROR(__xludf.DUMMYFUNCTION("""COMPUTED_VALUE"""),"Definition of Breathing and Breathing Rate")</f>
        <v>Definition of Breathing and Breathing Rate</v>
      </c>
      <c r="AI63" s="13" t="str">
        <f ca="1">IFERROR(__xludf.DUMMYFUNCTION("""COMPUTED_VALUE"""),"LU005435")</f>
        <v>LU005435</v>
      </c>
      <c r="AJ63" s="13" t="str">
        <f ca="1">IFERROR(__xludf.DUMMYFUNCTION("""COMPUTED_VALUE"""),"Introduction to cellular, aerobic and anaerobic respiration")</f>
        <v>Introduction to cellular, aerobic and anaerobic respiration</v>
      </c>
      <c r="AK63" s="13"/>
      <c r="AL63" s="13"/>
      <c r="AM63" s="13"/>
      <c r="AN63" s="13"/>
      <c r="AO63" s="13"/>
      <c r="AP63" s="13"/>
      <c r="AQ63" s="13"/>
      <c r="AR63" s="13"/>
      <c r="AS63" s="13"/>
      <c r="AT63" s="13"/>
    </row>
    <row r="64" spans="1:46">
      <c r="A64" s="8" t="s">
        <v>247</v>
      </c>
      <c r="B64" s="8" t="s">
        <v>47</v>
      </c>
      <c r="C64" s="8" t="s">
        <v>416</v>
      </c>
      <c r="D64" s="8" t="s">
        <v>1406</v>
      </c>
      <c r="E64" s="8" t="s">
        <v>1886</v>
      </c>
      <c r="F64" s="8" t="s">
        <v>1899</v>
      </c>
      <c r="G64" s="8" t="s">
        <v>1900</v>
      </c>
      <c r="H64" s="8" t="str">
        <f ca="1">IFERROR(__xludf.DUMMYFUNCTION("VLOOKUP(G64, IMPORTRANGE(""https://docs.google.com/spreadsheets/d/14deopnvwcrKtEGCKuYXdUHJbeLDZlkiSSWWT0g7x2pM/edit#gid=849066331"", ""LU List Science (Filter)!A:B""), 2, FALSE)"),"General Mechanism of Breathing in other animals(non-humans)")</f>
        <v>General Mechanism of Breathing in other animals(non-humans)</v>
      </c>
      <c r="I64" s="10" t="str">
        <f t="shared" si="0"/>
        <v>LU005442.001</v>
      </c>
      <c r="J64" s="10" t="str">
        <f ca="1">IFERROR(__xludf.DUMMYFUNCTION("VLOOKUP(I64, IMPORTRANGE(""https://docs.google.com/spreadsheets/d/1yDAaXNsi4Mr5FtRQL4tbmSdIzhx6_m4wkOD7IG-k_eo/edit#gid=1336395716"", ""Science!M:N""), 2, FALSE)"),"Students will identify the different respiratory organs in various non-human animals.")</f>
        <v>Students will identify the different respiratory organs in various non-human animals.</v>
      </c>
      <c r="K64" s="10" t="str">
        <f t="shared" si="1"/>
        <v>LU005442.002</v>
      </c>
      <c r="L64" s="10" t="str">
        <f ca="1">IFERROR(__xludf.DUMMYFUNCTION("VLOOKUP(K64, IMPORTRANGE(""https://docs.google.com/spreadsheets/d/1yDAaXNsi4Mr5FtRQL4tbmSdIzhx6_m4wkOD7IG-k_eo/edit#gid=1336395716"", ""Science!M:N""), 2, FALSE)"),"Students will summarize how breathing mechanisms in non-human animals vary from one species to another.")</f>
        <v>Students will summarize how breathing mechanisms in non-human animals vary from one species to another.</v>
      </c>
      <c r="M64" s="10" t="str">
        <f t="shared" si="2"/>
        <v>LU005442.003</v>
      </c>
      <c r="N64" s="10" t="str">
        <f ca="1">IFERROR(__xludf.DUMMYFUNCTION("VLOOKUP(M64, IMPORTRANGE(""https://docs.google.com/spreadsheets/d/1yDAaXNsi4Mr5FtRQL4tbmSdIzhx6_m4wkOD7IG-k_eo/edit#gid=1336395716"", ""Science!M:N""), 2, FALSE)"),"Students will relate environmental factors to the type of breathing mechanisms observed in different non-human animals.")</f>
        <v>Students will relate environmental factors to the type of breathing mechanisms observed in different non-human animals.</v>
      </c>
      <c r="O64" s="10" t="str">
        <f t="shared" si="3"/>
        <v>LU005442.004</v>
      </c>
      <c r="P64" s="10" t="str">
        <f ca="1">IFERROR(__xludf.DUMMYFUNCTION("VLOOKUP(O64, IMPORTRANGE(""https://docs.google.com/spreadsheets/d/1yDAaXNsi4Mr5FtRQL4tbmSdIzhx6_m4wkOD7IG-k_eo/edit#gid=1336395716"", ""Science!M:N""), 2, FALSE)"),"Students will differentiate between the breathing mechanisms of aquatic and terrestrial non-human animals.")</f>
        <v>Students will differentiate between the breathing mechanisms of aquatic and terrestrial non-human animals.</v>
      </c>
      <c r="Q64" s="10" t="str">
        <f t="shared" si="4"/>
        <v>LU005442.005</v>
      </c>
      <c r="R64" s="10" t="str">
        <f ca="1">IFERROR(__xludf.DUMMYFUNCTION("VLOOKUP(Q64, IMPORTRANGE(""https://docs.google.com/spreadsheets/d/1yDAaXNsi4Mr5FtRQL4tbmSdIzhx6_m4wkOD7IG-k_eo/edit#gid=1336395716"", ""Science!M:N""), 2, FALSE)"),"Students will appraise the efficiency of different respiratory adaptations in non-human animals.")</f>
        <v>Students will appraise the efficiency of different respiratory adaptations in non-human animals.</v>
      </c>
      <c r="S64" s="10" t="str">
        <f t="shared" si="5"/>
        <v>LU005442.006</v>
      </c>
      <c r="T64" s="10" t="str">
        <f ca="1">IFERROR(__xludf.DUMMYFUNCTION("VLOOKUP(S64, IMPORTRANGE(""https://docs.google.com/spreadsheets/d/1yDAaXNsi4Mr5FtRQL4tbmSdIzhx6_m4wkOD7IG-k_eo/edit#gid=1336395716"", ""Science!M:N""), 2, FALSE)"),"#N/A")</f>
        <v>#N/A</v>
      </c>
      <c r="U64" s="116">
        <f ca="1">IFERROR(__xludf.DUMMYFUNCTION("ArrayFormula(VLOOKUP(G64, IMPORTRANGE(""https://docs.google.com/spreadsheets/d/1p7R4vtkWt5VOBim4ltsDG9KTzSjrtKXsMtQGXPHyND0/edit#gid=795171502"", ""'Filter 30_05_2024'!A1:M2000""), {2, 3, 4, 5,6,7,8,9,10,11,12,13}, 0))"),26)</f>
        <v>26</v>
      </c>
      <c r="V64" s="116">
        <f ca="1">IFERROR(__xludf.DUMMYFUNCTION("""COMPUTED_VALUE"""),8)</f>
        <v>8</v>
      </c>
      <c r="W64" s="116">
        <f ca="1">IFERROR(__xludf.DUMMYFUNCTION("""COMPUTED_VALUE"""),2)</f>
        <v>2</v>
      </c>
      <c r="X64" s="116">
        <f ca="1">IFERROR(__xludf.DUMMYFUNCTION("""COMPUTED_VALUE"""),36)</f>
        <v>36</v>
      </c>
      <c r="Y64" s="116">
        <f ca="1">IFERROR(__xludf.DUMMYFUNCTION("""COMPUTED_VALUE"""),8)</f>
        <v>8</v>
      </c>
      <c r="Z64" s="12">
        <f ca="1">IFERROR(__xludf.DUMMYFUNCTION("""COMPUTED_VALUE"""),4)</f>
        <v>4</v>
      </c>
      <c r="AA64" s="12">
        <f ca="1">IFERROR(__xludf.DUMMYFUNCTION("""COMPUTED_VALUE"""),1)</f>
        <v>1</v>
      </c>
      <c r="AB64" s="12">
        <f ca="1">IFERROR(__xludf.DUMMYFUNCTION("""COMPUTED_VALUE"""),13)</f>
        <v>13</v>
      </c>
      <c r="AC64" s="12"/>
      <c r="AD64" s="12"/>
      <c r="AE64" s="12"/>
      <c r="AF64" s="12"/>
      <c r="AG64" s="13" t="str">
        <f ca="1">IFERROR(__xludf.DUMMYFUNCTION("ArrayFormula(VLOOKUP(G64, IMPORTRANGE(""https://docs.google.com/spreadsheets/d/1Co934fvtviyaRiMsrIlT05Jaq7iiYq07aLvRr35KA48/edit?gid=173865642#gid=173865642"", ""'G7_Sci_Pri_LU'!G2:V2000""), {3, 4, 5, 6, 7, 8, 9, 10, 11, 12, 13, 14, 15, 16}, 0))"),"LU005985")</f>
        <v>LU005985</v>
      </c>
      <c r="AH64" s="13" t="str">
        <f ca="1">IFERROR(__xludf.DUMMYFUNCTION("""COMPUTED_VALUE"""),"Organs required for breathing in various animals as per their habitat")</f>
        <v>Organs required for breathing in various animals as per their habitat</v>
      </c>
      <c r="AI64" s="13" t="str">
        <f ca="1">IFERROR(__xludf.DUMMYFUNCTION("""COMPUTED_VALUE"""),"LU005258")</f>
        <v>LU005258</v>
      </c>
      <c r="AJ64" s="13" t="str">
        <f ca="1">IFERROR(__xludf.DUMMYFUNCTION("""COMPUTED_VALUE"""),"Definition of habitats and adaptations.")</f>
        <v>Definition of habitats and adaptations.</v>
      </c>
      <c r="AK64" s="13"/>
      <c r="AL64" s="13"/>
      <c r="AM64" s="13"/>
      <c r="AN64" s="13"/>
      <c r="AO64" s="13"/>
      <c r="AP64" s="13"/>
      <c r="AQ64" s="13"/>
      <c r="AR64" s="13"/>
      <c r="AS64" s="13"/>
      <c r="AT64" s="13"/>
    </row>
    <row r="65" spans="1:46">
      <c r="A65" s="8" t="s">
        <v>247</v>
      </c>
      <c r="B65" s="8" t="s">
        <v>47</v>
      </c>
      <c r="C65" s="8" t="s">
        <v>416</v>
      </c>
      <c r="D65" s="8" t="s">
        <v>1406</v>
      </c>
      <c r="E65" s="8" t="s">
        <v>1886</v>
      </c>
      <c r="F65" s="8" t="s">
        <v>1901</v>
      </c>
      <c r="G65" s="8" t="s">
        <v>1902</v>
      </c>
      <c r="H65" s="8" t="str">
        <f ca="1">IFERROR(__xludf.DUMMYFUNCTION("VLOOKUP(G65, IMPORTRANGE(""https://docs.google.com/spreadsheets/d/14deopnvwcrKtEGCKuYXdUHJbeLDZlkiSSWWT0g7x2pM/edit#gid=849066331"", ""LU List Science (Filter)!A:B""), 2, FALSE)"),"Introduction to respiration in Plants")</f>
        <v>Introduction to respiration in Plants</v>
      </c>
      <c r="I65" s="10" t="str">
        <f t="shared" si="0"/>
        <v>LU005443.001</v>
      </c>
      <c r="J65" s="10" t="str">
        <f ca="1">IFERROR(__xludf.DUMMYFUNCTION("VLOOKUP(I65, IMPORTRANGE(""https://docs.google.com/spreadsheets/d/1yDAaXNsi4Mr5FtRQL4tbmSdIzhx6_m4wkOD7IG-k_eo/edit#gid=1336395716"", ""Science!M:N""), 2, FALSE)"),"Recall the basic concept of respiration in plants.")</f>
        <v>Recall the basic concept of respiration in plants.</v>
      </c>
      <c r="K65" s="10" t="str">
        <f t="shared" si="1"/>
        <v>LU005443.002</v>
      </c>
      <c r="L65" s="10" t="str">
        <f ca="1">IFERROR(__xludf.DUMMYFUNCTION("VLOOKUP(K65, IMPORTRANGE(""https://docs.google.com/spreadsheets/d/1yDAaXNsi4Mr5FtRQL4tbmSdIzhx6_m4wkOD7IG-k_eo/edit#gid=1336395716"", ""Science!M:N""), 2, FALSE)"),"Explain how plants carry out respiration and why it is essential for their survival.")</f>
        <v>Explain how plants carry out respiration and why it is essential for their survival.</v>
      </c>
      <c r="M65" s="10" t="str">
        <f t="shared" si="2"/>
        <v>LU005443.003</v>
      </c>
      <c r="N65" s="10" t="str">
        <f ca="1">IFERROR(__xludf.DUMMYFUNCTION("VLOOKUP(M65, IMPORTRANGE(""https://docs.google.com/spreadsheets/d/1yDAaXNsi4Mr5FtRQL4tbmSdIzhx6_m4wkOD7IG-k_eo/edit#gid=1336395716"", ""Science!M:N""), 2, FALSE)"),"Apply your understanding to describe the specific cellular structures in plants where respiration occurs and demonstrate respiration in plants.")</f>
        <v>Apply your understanding to describe the specific cellular structures in plants where respiration occurs and demonstrate respiration in plants.</v>
      </c>
      <c r="O65" s="10" t="str">
        <f t="shared" si="3"/>
        <v>LU005443.004</v>
      </c>
      <c r="P65" s="10" t="str">
        <f ca="1">IFERROR(__xludf.DUMMYFUNCTION("VLOOKUP(O65, IMPORTRANGE(""https://docs.google.com/spreadsheets/d/1yDAaXNsi4Mr5FtRQL4tbmSdIzhx6_m4wkOD7IG-k_eo/edit#gid=1336395716"", ""Science!M:N""), 2, FALSE)"),"Analyze the key differences between plant and animal respiration, focusing on the primary processes and inputs/outputs.")</f>
        <v>Analyze the key differences between plant and animal respiration, focusing on the primary processes and inputs/outputs.</v>
      </c>
      <c r="Q65" s="10" t="str">
        <f t="shared" si="4"/>
        <v>LU005443.005</v>
      </c>
      <c r="R65" s="10" t="str">
        <f ca="1">IFERROR(__xludf.DUMMYFUNCTION("VLOOKUP(Q65, IMPORTRANGE(""https://docs.google.com/spreadsheets/d/1yDAaXNsi4Mr5FtRQL4tbmSdIzhx6_m4wkOD7IG-k_eo/edit#gid=1336395716"", ""Science!M:N""), 2, FALSE)"),"Default")</f>
        <v>Default</v>
      </c>
      <c r="S65" s="10" t="str">
        <f t="shared" si="5"/>
        <v>LU005443.006</v>
      </c>
      <c r="T65" s="10" t="str">
        <f ca="1">IFERROR(__xludf.DUMMYFUNCTION("VLOOKUP(S65, IMPORTRANGE(""https://docs.google.com/spreadsheets/d/1yDAaXNsi4Mr5FtRQL4tbmSdIzhx6_m4wkOD7IG-k_eo/edit#gid=1336395716"", ""Science!M:N""), 2, FALSE)"),"Evaluate the significance of respiration in plants for maintaining a balance between oxygen and carbon dioxide levels in the environment and how it contributes to the overall ecosystem.")</f>
        <v>Evaluate the significance of respiration in plants for maintaining a balance between oxygen and carbon dioxide levels in the environment and how it contributes to the overall ecosystem.</v>
      </c>
      <c r="U65" s="116">
        <f ca="1">IFERROR(__xludf.DUMMYFUNCTION("ArrayFormula(VLOOKUP(G65, IMPORTRANGE(""https://docs.google.com/spreadsheets/d/1p7R4vtkWt5VOBim4ltsDG9KTzSjrtKXsMtQGXPHyND0/edit#gid=795171502"", ""'Filter 30_05_2024'!A1:M2000""), {2, 3, 4, 5,6,7,8,9,10,11,12,13}, 0))"),4)</f>
        <v>4</v>
      </c>
      <c r="V65" s="116">
        <f ca="1">IFERROR(__xludf.DUMMYFUNCTION("""COMPUTED_VALUE"""),5)</f>
        <v>5</v>
      </c>
      <c r="W65" s="116">
        <f ca="1">IFERROR(__xludf.DUMMYFUNCTION("""COMPUTED_VALUE"""),2)</f>
        <v>2</v>
      </c>
      <c r="X65" s="116">
        <f ca="1">IFERROR(__xludf.DUMMYFUNCTION("""COMPUTED_VALUE"""),11)</f>
        <v>11</v>
      </c>
      <c r="Y65" s="116">
        <f ca="1">IFERROR(__xludf.DUMMYFUNCTION("""COMPUTED_VALUE"""),5)</f>
        <v>5</v>
      </c>
      <c r="Z65" s="12">
        <f ca="1">IFERROR(__xludf.DUMMYFUNCTION("""COMPUTED_VALUE"""),4)</f>
        <v>4</v>
      </c>
      <c r="AA65" s="12"/>
      <c r="AB65" s="12">
        <f ca="1">IFERROR(__xludf.DUMMYFUNCTION("""COMPUTED_VALUE"""),9)</f>
        <v>9</v>
      </c>
      <c r="AC65" s="12"/>
      <c r="AD65" s="12"/>
      <c r="AE65" s="12"/>
      <c r="AF65" s="12"/>
      <c r="AG65" s="13" t="str">
        <f ca="1">IFERROR(__xludf.DUMMYFUNCTION("ArrayFormula(VLOOKUP(G65, IMPORTRANGE(""https://docs.google.com/spreadsheets/d/1Co934fvtviyaRiMsrIlT05Jaq7iiYq07aLvRr35KA48/edit?gid=173865642#gid=173865642"", ""'G7_Sci_Pri_LU'!G2:V2000""), {3, 4, 5, 6, 7, 8, 9, 10, 11, 12, 13, 14, 15, 16}, 0))"),"LU005435")</f>
        <v>LU005435</v>
      </c>
      <c r="AH65" s="13" t="str">
        <f ca="1">IFERROR(__xludf.DUMMYFUNCTION("""COMPUTED_VALUE"""),"Introduction to cellular, aerobic and anaerobic respiration")</f>
        <v>Introduction to cellular, aerobic and anaerobic respiration</v>
      </c>
      <c r="AI65" s="13" t="str">
        <f ca="1">IFERROR(__xludf.DUMMYFUNCTION("""COMPUTED_VALUE"""),"LU005944")</f>
        <v>LU005944</v>
      </c>
      <c r="AJ65" s="13" t="str">
        <f ca="1">IFERROR(__xludf.DUMMYFUNCTION("""COMPUTED_VALUE"""),"Introduction to photosynthesis process in plants")</f>
        <v>Introduction to photosynthesis process in plants</v>
      </c>
      <c r="AK65" s="13"/>
      <c r="AL65" s="13"/>
      <c r="AM65" s="13"/>
      <c r="AN65" s="13"/>
      <c r="AO65" s="13"/>
      <c r="AP65" s="13"/>
      <c r="AQ65" s="13"/>
      <c r="AR65" s="13"/>
      <c r="AS65" s="13"/>
      <c r="AT65" s="13"/>
    </row>
    <row r="66" spans="1:46">
      <c r="A66" s="8" t="s">
        <v>247</v>
      </c>
      <c r="B66" s="8" t="s">
        <v>47</v>
      </c>
      <c r="C66" s="8" t="s">
        <v>416</v>
      </c>
      <c r="D66" s="8" t="s">
        <v>1406</v>
      </c>
      <c r="E66" s="8" t="s">
        <v>1886</v>
      </c>
      <c r="F66" s="8" t="s">
        <v>1901</v>
      </c>
      <c r="G66" s="8" t="s">
        <v>1903</v>
      </c>
      <c r="H66" s="8" t="str">
        <f ca="1">IFERROR(__xludf.DUMMYFUNCTION("VLOOKUP(G66, IMPORTRANGE(""https://docs.google.com/spreadsheets/d/14deopnvwcrKtEGCKuYXdUHJbeLDZlkiSSWWT0g7x2pM/edit#gid=849066331"", ""LU List Science (Filter)!A:B""), 2, FALSE)"),"Compare Photosynthesis and Respiration in Plants")</f>
        <v>Compare Photosynthesis and Respiration in Plants</v>
      </c>
      <c r="I66" s="10" t="str">
        <f t="shared" si="0"/>
        <v>LU005444.001</v>
      </c>
      <c r="J66" s="10" t="str">
        <f ca="1">IFERROR(__xludf.DUMMYFUNCTION("VLOOKUP(I66, IMPORTRANGE(""https://docs.google.com/spreadsheets/d/1yDAaXNsi4Mr5FtRQL4tbmSdIzhx6_m4wkOD7IG-k_eo/edit#gid=1336395716"", ""Science!M:N""), 2, FALSE)"),"Recall the key processes of photosynthesis and respiration in plants.")</f>
        <v>Recall the key processes of photosynthesis and respiration in plants.</v>
      </c>
      <c r="K66" s="10" t="str">
        <f t="shared" si="1"/>
        <v>LU005444.002</v>
      </c>
      <c r="L66" s="10" t="str">
        <f ca="1">IFERROR(__xludf.DUMMYFUNCTION("VLOOKUP(K66, IMPORTRANGE(""https://docs.google.com/spreadsheets/d/1yDAaXNsi4Mr5FtRQL4tbmSdIzhx6_m4wkOD7IG-k_eo/edit#gid=1336395716"", ""Science!M:N""), 2, FALSE)"),"Explain how photosynthesis and respiration are interconnected processes in plants, and how they contribute to the plant's overall energy balance.")</f>
        <v>Explain how photosynthesis and respiration are interconnected processes in plants, and how they contribute to the plant's overall energy balance.</v>
      </c>
      <c r="M66" s="10" t="str">
        <f t="shared" si="2"/>
        <v>LU005444.003</v>
      </c>
      <c r="N66" s="10" t="str">
        <f ca="1">IFERROR(__xludf.DUMMYFUNCTION("VLOOKUP(M66, IMPORTRANGE(""https://docs.google.com/spreadsheets/d/1yDAaXNsi4Mr5FtRQL4tbmSdIzhx6_m4wkOD7IG-k_eo/edit#gid=1336395716"", ""Science!M:N""), 2, FALSE)"),"Apply your understanding of photosynthesis and respiration by describing how these two processes are interconnected.")</f>
        <v>Apply your understanding of photosynthesis and respiration by describing how these two processes are interconnected.</v>
      </c>
      <c r="O66" s="10" t="str">
        <f t="shared" si="3"/>
        <v>LU005444.004</v>
      </c>
      <c r="P66" s="10" t="str">
        <f ca="1">IFERROR(__xludf.DUMMYFUNCTION("VLOOKUP(O66, IMPORTRANGE(""https://docs.google.com/spreadsheets/d/1yDAaXNsi4Mr5FtRQL4tbmSdIzhx6_m4wkOD7IG-k_eo/edit#gid=1336395716"", ""Science!M:N""), 2, FALSE)"),"Analyze the relationship between photosynthesis and respiration, discussing how they form a balanced cycle, with products of one process serving as reactants for the other.")</f>
        <v>Analyze the relationship between photosynthesis and respiration, discussing how they form a balanced cycle, with products of one process serving as reactants for the other.</v>
      </c>
      <c r="Q66" s="10" t="str">
        <f t="shared" si="4"/>
        <v>LU005444.005</v>
      </c>
      <c r="R66" s="10" t="str">
        <f ca="1">IFERROR(__xludf.DUMMYFUNCTION("VLOOKUP(Q66, IMPORTRANGE(""https://docs.google.com/spreadsheets/d/1yDAaXNsi4Mr5FtRQL4tbmSdIzhx6_m4wkOD7IG-k_eo/edit#gid=1336395716"", ""Science!M:N""), 2, FALSE)"),"Imagine you are a plant scientist. Develop a hands-on classroom activity that allows your peers to explore the interconnected processes of photosynthesis and respiration using simple materials. Provide step-by-step instructions, predict the observations, "&amp;"and explain the scientific concepts behind the activity.")</f>
        <v>Imagine you are a plant scientist. Develop a hands-on classroom activity that allows your peers to explore the interconnected processes of photosynthesis and respiration using simple materials. Provide step-by-step instructions, predict the observations, and explain the scientific concepts behind the activity.</v>
      </c>
      <c r="S66" s="10" t="str">
        <f t="shared" si="5"/>
        <v>LU005444.006</v>
      </c>
      <c r="T66" s="10" t="str">
        <f ca="1">IFERROR(__xludf.DUMMYFUNCTION("VLOOKUP(S66, IMPORTRANGE(""https://docs.google.com/spreadsheets/d/1yDAaXNsi4Mr5FtRQL4tbmSdIzhx6_m4wkOD7IG-k_eo/edit#gid=1336395716"", ""Science!M:N""), 2, FALSE)"),"Evaluate the significance of the balance between photosynthesis and respiration for maintaining oxygen-carbon dioxide equilibrium in the atmosphere and sustaining plant growth.")</f>
        <v>Evaluate the significance of the balance between photosynthesis and respiration for maintaining oxygen-carbon dioxide equilibrium in the atmosphere and sustaining plant growth.</v>
      </c>
      <c r="U66" s="116">
        <f ca="1">IFERROR(__xludf.DUMMYFUNCTION("ArrayFormula(VLOOKUP(G66, IMPORTRANGE(""https://docs.google.com/spreadsheets/d/1p7R4vtkWt5VOBim4ltsDG9KTzSjrtKXsMtQGXPHyND0/edit#gid=795171502"", ""'Filter 30_05_2024'!A1:M2000""), {2, 3, 4, 5,6,7,8,9,10,11,12,13}, 0))"),4)</f>
        <v>4</v>
      </c>
      <c r="V66" s="116">
        <f ca="1">IFERROR(__xludf.DUMMYFUNCTION("""COMPUTED_VALUE"""),5)</f>
        <v>5</v>
      </c>
      <c r="W66" s="116">
        <f ca="1">IFERROR(__xludf.DUMMYFUNCTION("""COMPUTED_VALUE"""),2)</f>
        <v>2</v>
      </c>
      <c r="X66" s="116">
        <f ca="1">IFERROR(__xludf.DUMMYFUNCTION("""COMPUTED_VALUE"""),11)</f>
        <v>11</v>
      </c>
      <c r="Y66" s="116">
        <f ca="1">IFERROR(__xludf.DUMMYFUNCTION("""COMPUTED_VALUE"""),4)</f>
        <v>4</v>
      </c>
      <c r="Z66" s="12">
        <f ca="1">IFERROR(__xludf.DUMMYFUNCTION("""COMPUTED_VALUE"""),4)</f>
        <v>4</v>
      </c>
      <c r="AA66" s="12">
        <f ca="1">IFERROR(__xludf.DUMMYFUNCTION("""COMPUTED_VALUE"""),2)</f>
        <v>2</v>
      </c>
      <c r="AB66" s="12">
        <f ca="1">IFERROR(__xludf.DUMMYFUNCTION("""COMPUTED_VALUE"""),10)</f>
        <v>10</v>
      </c>
      <c r="AC66" s="12"/>
      <c r="AD66" s="12"/>
      <c r="AE66" s="12"/>
      <c r="AF66" s="12"/>
      <c r="AG66" s="13" t="str">
        <f ca="1">IFERROR(__xludf.DUMMYFUNCTION("ArrayFormula(VLOOKUP(G66, IMPORTRANGE(""https://docs.google.com/spreadsheets/d/1Co934fvtviyaRiMsrIlT05Jaq7iiYq07aLvRr35KA48/edit?gid=173865642#gid=173865642"", ""'G7_Sci_Pri_LU'!G2:V2000""), {3, 4, 5, 6, 7, 8, 9, 10, 11, 12, 13, 14, 15, 16}, 0))"),"LU005443")</f>
        <v>LU005443</v>
      </c>
      <c r="AH66" s="13" t="str">
        <f ca="1">IFERROR(__xludf.DUMMYFUNCTION("""COMPUTED_VALUE"""),"Introduction to respiration in Plants")</f>
        <v>Introduction to respiration in Plants</v>
      </c>
      <c r="AI66" s="13" t="str">
        <f ca="1">IFERROR(__xludf.DUMMYFUNCTION("""COMPUTED_VALUE"""),"LU005944")</f>
        <v>LU005944</v>
      </c>
      <c r="AJ66" s="13" t="str">
        <f ca="1">IFERROR(__xludf.DUMMYFUNCTION("""COMPUTED_VALUE"""),"Introduction to photosynthesis process in plants")</f>
        <v>Introduction to photosynthesis process in plants</v>
      </c>
      <c r="AK66" s="13" t="str">
        <f ca="1">IFERROR(__xludf.DUMMYFUNCTION("""COMPUTED_VALUE"""),"LU005435")</f>
        <v>LU005435</v>
      </c>
      <c r="AL66" s="13" t="str">
        <f ca="1">IFERROR(__xludf.DUMMYFUNCTION("""COMPUTED_VALUE"""),"Introduction to cellular, aerobic and anaerobic respiration")</f>
        <v>Introduction to cellular, aerobic and anaerobic respiration</v>
      </c>
      <c r="AM66" s="13"/>
      <c r="AN66" s="13"/>
      <c r="AO66" s="13"/>
      <c r="AP66" s="13"/>
      <c r="AQ66" s="13"/>
      <c r="AR66" s="13"/>
      <c r="AS66" s="13"/>
      <c r="AT66" s="13"/>
    </row>
    <row r="67" spans="1:46">
      <c r="A67" s="8" t="s">
        <v>247</v>
      </c>
      <c r="B67" s="8" t="s">
        <v>47</v>
      </c>
      <c r="C67" s="8" t="s">
        <v>416</v>
      </c>
      <c r="D67" s="8" t="s">
        <v>1406</v>
      </c>
      <c r="E67" s="8" t="s">
        <v>1904</v>
      </c>
      <c r="F67" s="8" t="s">
        <v>1905</v>
      </c>
      <c r="G67" s="8" t="s">
        <v>1906</v>
      </c>
      <c r="H67" s="8" t="str">
        <f ca="1">IFERROR(__xludf.DUMMYFUNCTION("VLOOKUP(G67, IMPORTRANGE(""https://docs.google.com/spreadsheets/d/14deopnvwcrKtEGCKuYXdUHJbeLDZlkiSSWWT0g7x2pM/edit#gid=849066331"", ""LU List Science (Filter)!A:B""), 2, FALSE)"),"Body Parts in Human Circulatory System")</f>
        <v>Body Parts in Human Circulatory System</v>
      </c>
      <c r="I67" s="10" t="str">
        <f t="shared" si="0"/>
        <v>LU005454.001</v>
      </c>
      <c r="J67" s="10" t="str">
        <f ca="1">IFERROR(__xludf.DUMMYFUNCTION("VLOOKUP(I67, IMPORTRANGE(""https://docs.google.com/spreadsheets/d/1yDAaXNsi4Mr5FtRQL4tbmSdIzhx6_m4wkOD7IG-k_eo/edit#gid=1336395716"", ""Science!M:N""), 2, FALSE)"),"Recall/Identify the key body parts involved in the human circulatory system.")</f>
        <v>Recall/Identify the key body parts involved in the human circulatory system.</v>
      </c>
      <c r="K67" s="10" t="str">
        <f t="shared" si="1"/>
        <v>LU005454.002</v>
      </c>
      <c r="L67" s="10" t="str">
        <f ca="1">IFERROR(__xludf.DUMMYFUNCTION("VLOOKUP(K67, IMPORTRANGE(""https://docs.google.com/spreadsheets/d/1yDAaXNsi4Mr5FtRQL4tbmSdIzhx6_m4wkOD7IG-k_eo/edit#gid=1336395716"", ""Science!M:N""), 2, FALSE)"),"Explain how the heart, blood vessels (arteries, veins, and capillaries), and blood work together to transport oxygen and nutrients throughout the body.")</f>
        <v>Explain how the heart, blood vessels (arteries, veins, and capillaries), and blood work together to transport oxygen and nutrients throughout the body.</v>
      </c>
      <c r="M67" s="10" t="str">
        <f t="shared" si="2"/>
        <v>LU005454.003</v>
      </c>
      <c r="N67" s="10" t="str">
        <f ca="1">IFERROR(__xludf.DUMMYFUNCTION("VLOOKUP(M67, IMPORTRANGE(""https://docs.google.com/spreadsheets/d/1yDAaXNsi4Mr5FtRQL4tbmSdIzhx6_m4wkOD7IG-k_eo/edit#gid=1336395716"", ""Science!M:N""), 2, FALSE)"),"Apply your understanding to describe the roles of different heart chambers and blood vessels in maintaining a continuous circulation of blood.")</f>
        <v>Apply your understanding to describe the roles of different heart chambers and blood vessels in maintaining a continuous circulation of blood.</v>
      </c>
      <c r="O67" s="10" t="str">
        <f t="shared" si="3"/>
        <v>LU005454.004</v>
      </c>
      <c r="P67" s="10" t="str">
        <f ca="1">IFERROR(__xludf.DUMMYFUNCTION("VLOOKUP(O67, IMPORTRANGE(""https://docs.google.com/spreadsheets/d/1yDAaXNsi4Mr5FtRQL4tbmSdIzhx6_m4wkOD7IG-k_eo/edit#gid=1336395716"", ""Science!M:N""), 2, FALSE)"),"Analyze the differences between arteries and veins in terms of their structure, function, and the types of blood they carry.")</f>
        <v>Analyze the differences between arteries and veins in terms of their structure, function, and the types of blood they carry.</v>
      </c>
      <c r="Q67" s="10" t="str">
        <f t="shared" si="4"/>
        <v>LU005454.005</v>
      </c>
      <c r="R67" s="10" t="str">
        <f ca="1">IFERROR(__xludf.DUMMYFUNCTION("VLOOKUP(Q67, IMPORTRANGE(""https://docs.google.com/spreadsheets/d/1yDAaXNsi4Mr5FtRQL4tbmSdIzhx6_m4wkOD7IG-k_eo/edit#gid=1336395716"", ""Science!M:N""), 2, FALSE)"),"Evaluate the significance of maintaining a well-functioning circulatory system for overall human health.")</f>
        <v>Evaluate the significance of maintaining a well-functioning circulatory system for overall human health.</v>
      </c>
      <c r="S67" s="10" t="str">
        <f t="shared" si="5"/>
        <v>LU005454.006</v>
      </c>
      <c r="T67" s="10" t="str">
        <f ca="1">IFERROR(__xludf.DUMMYFUNCTION("VLOOKUP(S67, IMPORTRANGE(""https://docs.google.com/spreadsheets/d/1yDAaXNsi4Mr5FtRQL4tbmSdIzhx6_m4wkOD7IG-k_eo/edit#gid=1336395716"", ""Science!M:N""), 2, FALSE)"),"#N/A")</f>
        <v>#N/A</v>
      </c>
      <c r="U67" s="116">
        <f ca="1">IFERROR(__xludf.DUMMYFUNCTION("ArrayFormula(VLOOKUP(G67, IMPORTRANGE(""https://docs.google.com/spreadsheets/d/1p7R4vtkWt5VOBim4ltsDG9KTzSjrtKXsMtQGXPHyND0/edit#gid=795171502"", ""'Filter 30_05_2024'!A1:M2000""), {2, 3, 4, 5,6,7,8,9,10,11,12,13}, 0))"),5)</f>
        <v>5</v>
      </c>
      <c r="V67" s="116">
        <f ca="1">IFERROR(__xludf.DUMMYFUNCTION("""COMPUTED_VALUE"""),6)</f>
        <v>6</v>
      </c>
      <c r="W67" s="116">
        <f ca="1">IFERROR(__xludf.DUMMYFUNCTION("""COMPUTED_VALUE"""),2)</f>
        <v>2</v>
      </c>
      <c r="X67" s="116">
        <f ca="1">IFERROR(__xludf.DUMMYFUNCTION("""COMPUTED_VALUE"""),13)</f>
        <v>13</v>
      </c>
      <c r="Y67" s="116">
        <f ca="1">IFERROR(__xludf.DUMMYFUNCTION("""COMPUTED_VALUE"""),3)</f>
        <v>3</v>
      </c>
      <c r="Z67" s="12">
        <f ca="1">IFERROR(__xludf.DUMMYFUNCTION("""COMPUTED_VALUE"""),3)</f>
        <v>3</v>
      </c>
      <c r="AA67" s="12">
        <f ca="1">IFERROR(__xludf.DUMMYFUNCTION("""COMPUTED_VALUE"""),1)</f>
        <v>1</v>
      </c>
      <c r="AB67" s="12">
        <f ca="1">IFERROR(__xludf.DUMMYFUNCTION("""COMPUTED_VALUE"""),7)</f>
        <v>7</v>
      </c>
      <c r="AC67" s="12"/>
      <c r="AD67" s="12"/>
      <c r="AE67" s="12"/>
      <c r="AF67" s="12"/>
      <c r="AG67" s="13" t="str">
        <f ca="1">IFERROR(__xludf.DUMMYFUNCTION("ArrayFormula(VLOOKUP(G67, IMPORTRANGE(""https://docs.google.com/spreadsheets/d/1Co934fvtviyaRiMsrIlT05Jaq7iiYq07aLvRr35KA48/edit?gid=173865642#gid=173865642"", ""'G7_Sci_Pri_LU'!G2:V2000""), {3, 4, 5, 6, 7, 8, 9, 10, 11, 12, 13, 14, 15, 16}, 0))"),"LU005103")</f>
        <v>LU005103</v>
      </c>
      <c r="AH67" s="13" t="str">
        <f ca="1">IFERROR(__xludf.DUMMYFUNCTION("""COMPUTED_VALUE"""),"Definition of organ system")</f>
        <v>Definition of organ system</v>
      </c>
      <c r="AI67" s="13"/>
      <c r="AJ67" s="13"/>
      <c r="AK67" s="13"/>
      <c r="AL67" s="13"/>
      <c r="AM67" s="13"/>
      <c r="AN67" s="13"/>
      <c r="AO67" s="13"/>
      <c r="AP67" s="13"/>
      <c r="AQ67" s="13"/>
      <c r="AR67" s="13"/>
      <c r="AS67" s="13"/>
      <c r="AT67" s="13"/>
    </row>
    <row r="68" spans="1:46">
      <c r="A68" s="8" t="s">
        <v>247</v>
      </c>
      <c r="B68" s="8" t="s">
        <v>47</v>
      </c>
      <c r="C68" s="8" t="s">
        <v>416</v>
      </c>
      <c r="D68" s="8" t="s">
        <v>1406</v>
      </c>
      <c r="E68" s="8" t="s">
        <v>1904</v>
      </c>
      <c r="F68" s="8" t="s">
        <v>1905</v>
      </c>
      <c r="G68" s="8" t="s">
        <v>1907</v>
      </c>
      <c r="H68" s="8" t="str">
        <f ca="1">IFERROR(__xludf.DUMMYFUNCTION("VLOOKUP(G68, IMPORTRANGE(""https://docs.google.com/spreadsheets/d/14deopnvwcrKtEGCKuYXdUHJbeLDZlkiSSWWT0g7x2pM/edit#gid=849066331"", ""LU List Science (Filter)!A:B""), 2, FALSE)"),"Definition of human blood")</f>
        <v>Definition of human blood</v>
      </c>
      <c r="I68" s="10" t="str">
        <f t="shared" si="0"/>
        <v>LU005455.001</v>
      </c>
      <c r="J68" s="10" t="str">
        <f ca="1">IFERROR(__xludf.DUMMYFUNCTION("VLOOKUP(I68, IMPORTRANGE(""https://docs.google.com/spreadsheets/d/1yDAaXNsi4Mr5FtRQL4tbmSdIzhx6_m4wkOD7IG-k_eo/edit#gid=1336395716"", ""Science!M:N""), 2, FALSE)"),"Students will state the composition of human blood, including its cells and plasma.")</f>
        <v>Students will state the composition of human blood, including its cells and plasma.</v>
      </c>
      <c r="K68" s="10" t="str">
        <f t="shared" si="1"/>
        <v>LU005455.002</v>
      </c>
      <c r="L68" s="10" t="str">
        <f ca="1">IFERROR(__xludf.DUMMYFUNCTION("VLOOKUP(K68, IMPORTRANGE(""https://docs.google.com/spreadsheets/d/1yDAaXNsi4Mr5FtRQL4tbmSdIzhx6_m4wkOD7IG-k_eo/edit#gid=1336395716"", ""Science!M:N""), 2, FALSE)"),"Students will explain the functions of the different components of human blood.")</f>
        <v>Students will explain the functions of the different components of human blood.</v>
      </c>
      <c r="M68" s="10" t="str">
        <f t="shared" si="2"/>
        <v>LU005455.003</v>
      </c>
      <c r="N68" s="10" t="str">
        <f ca="1">IFERROR(__xludf.DUMMYFUNCTION("VLOOKUP(M68, IMPORTRANGE(""https://docs.google.com/spreadsheets/d/1yDAaXNsi4Mr5FtRQL4tbmSdIzhx6_m4wkOD7IG-k_eo/edit#gid=1336395716"", ""Science!M:N""), 2, FALSE)"),"Students will associate the types of blood cells with their respective roles in the body’s defense and oxygen transport.")</f>
        <v>Students will associate the types of blood cells with their respective roles in the body’s defense and oxygen transport.</v>
      </c>
      <c r="O68" s="10" t="str">
        <f t="shared" si="3"/>
        <v>LU005455.004</v>
      </c>
      <c r="P68" s="10" t="str">
        <f ca="1">IFERROR(__xludf.DUMMYFUNCTION("VLOOKUP(O68, IMPORTRANGE(""https://docs.google.com/spreadsheets/d/1yDAaXNsi4Mr5FtRQL4tbmSdIzhx6_m4wkOD7IG-k_eo/edit#gid=1336395716"", ""Science!M:N""), 2, FALSE)"),"Students will compare the components of human blood to those of other vertebrates to identify similarities and differences.")</f>
        <v>Students will compare the components of human blood to those of other vertebrates to identify similarities and differences.</v>
      </c>
      <c r="Q68" s="10" t="str">
        <f t="shared" si="4"/>
        <v>LU005455.005</v>
      </c>
      <c r="R68" s="10" t="str">
        <f ca="1">IFERROR(__xludf.DUMMYFUNCTION("VLOOKUP(Q68, IMPORTRANGE(""https://docs.google.com/spreadsheets/d/1yDAaXNsi4Mr5FtRQL4tbmSdIzhx6_m4wkOD7IG-k_eo/edit#gid=1336395716"", ""Science!M:N""), 2, FALSE)"),"Students will assess the impact of dietary choices on blood health.")</f>
        <v>Students will assess the impact of dietary choices on blood health.</v>
      </c>
      <c r="S68" s="10" t="str">
        <f t="shared" si="5"/>
        <v>LU005455.006</v>
      </c>
      <c r="T68" s="10" t="str">
        <f ca="1">IFERROR(__xludf.DUMMYFUNCTION("VLOOKUP(S68, IMPORTRANGE(""https://docs.google.com/spreadsheets/d/1yDAaXNsi4Mr5FtRQL4tbmSdIzhx6_m4wkOD7IG-k_eo/edit#gid=1336395716"", ""Science!M:N""), 2, FALSE)"),"#N/A")</f>
        <v>#N/A</v>
      </c>
      <c r="U68" s="116">
        <f ca="1">IFERROR(__xludf.DUMMYFUNCTION("ArrayFormula(VLOOKUP(G68, IMPORTRANGE(""https://docs.google.com/spreadsheets/d/1p7R4vtkWt5VOBim4ltsDG9KTzSjrtKXsMtQGXPHyND0/edit#gid=795171502"", ""'Filter 30_05_2024'!A1:M2000""), {2, 3, 4, 5,6,7,8,9,10,11,12,13}, 0))"),8)</f>
        <v>8</v>
      </c>
      <c r="V68" s="116">
        <f ca="1">IFERROR(__xludf.DUMMYFUNCTION("""COMPUTED_VALUE"""),6)</f>
        <v>6</v>
      </c>
      <c r="W68" s="116">
        <f ca="1">IFERROR(__xludf.DUMMYFUNCTION("""COMPUTED_VALUE"""),2)</f>
        <v>2</v>
      </c>
      <c r="X68" s="116">
        <f ca="1">IFERROR(__xludf.DUMMYFUNCTION("""COMPUTED_VALUE"""),16)</f>
        <v>16</v>
      </c>
      <c r="Y68" s="116">
        <f ca="1">IFERROR(__xludf.DUMMYFUNCTION("""COMPUTED_VALUE"""),6)</f>
        <v>6</v>
      </c>
      <c r="Z68" s="12">
        <f ca="1">IFERROR(__xludf.DUMMYFUNCTION("""COMPUTED_VALUE"""),3)</f>
        <v>3</v>
      </c>
      <c r="AA68" s="12">
        <f ca="1">IFERROR(__xludf.DUMMYFUNCTION("""COMPUTED_VALUE"""),1)</f>
        <v>1</v>
      </c>
      <c r="AB68" s="12">
        <f ca="1">IFERROR(__xludf.DUMMYFUNCTION("""COMPUTED_VALUE"""),10)</f>
        <v>10</v>
      </c>
      <c r="AC68" s="12"/>
      <c r="AD68" s="12"/>
      <c r="AE68" s="12"/>
      <c r="AF68" s="12"/>
      <c r="AG68" s="13" t="str">
        <f ca="1">IFERROR(__xludf.DUMMYFUNCTION("ArrayFormula(VLOOKUP(G68, IMPORTRANGE(""https://docs.google.com/spreadsheets/d/1Co934fvtviyaRiMsrIlT05Jaq7iiYq07aLvRr35KA48/edit?gid=173865642#gid=173865642"", ""'G7_Sci_Pri_LU'!G2:V2000""), {3, 4, 5, 6, 7, 8, 9, 10, 11, 12, 13, 14, 15, 16}, 0))"),"LU005454")</f>
        <v>LU005454</v>
      </c>
      <c r="AH68" s="13" t="str">
        <f ca="1">IFERROR(__xludf.DUMMYFUNCTION("""COMPUTED_VALUE"""),"Body Parts in Human Circulatory System")</f>
        <v>Body Parts in Human Circulatory System</v>
      </c>
      <c r="AI68" s="13"/>
      <c r="AJ68" s="13"/>
      <c r="AK68" s="13"/>
      <c r="AL68" s="13"/>
      <c r="AM68" s="13"/>
      <c r="AN68" s="13"/>
      <c r="AO68" s="13"/>
      <c r="AP68" s="13"/>
      <c r="AQ68" s="13"/>
      <c r="AR68" s="13"/>
      <c r="AS68" s="13"/>
      <c r="AT68" s="13"/>
    </row>
    <row r="69" spans="1:46">
      <c r="A69" s="8" t="s">
        <v>247</v>
      </c>
      <c r="B69" s="8" t="s">
        <v>47</v>
      </c>
      <c r="C69" s="8" t="s">
        <v>416</v>
      </c>
      <c r="D69" s="8" t="s">
        <v>1406</v>
      </c>
      <c r="E69" s="8" t="s">
        <v>1904</v>
      </c>
      <c r="F69" s="8" t="s">
        <v>1905</v>
      </c>
      <c r="G69" s="8" t="s">
        <v>1908</v>
      </c>
      <c r="H69" s="8" t="str">
        <f ca="1">IFERROR(__xludf.DUMMYFUNCTION("VLOOKUP(G69, IMPORTRANGE(""https://docs.google.com/spreadsheets/d/14deopnvwcrKtEGCKuYXdUHJbeLDZlkiSSWWT0g7x2pM/edit#gid=849066331"", ""LU List Science (Filter)!A:B""), 2, FALSE)"),"Types of human blood vessels")</f>
        <v>Types of human blood vessels</v>
      </c>
      <c r="I69" s="10" t="str">
        <f t="shared" si="0"/>
        <v>LU005956.001</v>
      </c>
      <c r="J69" s="10" t="str">
        <f ca="1">IFERROR(__xludf.DUMMYFUNCTION("VLOOKUP(I69, IMPORTRANGE(""https://docs.google.com/spreadsheets/d/1yDAaXNsi4Mr5FtRQL4tbmSdIzhx6_m4wkOD7IG-k_eo/edit#gid=1336395716"", ""Science!M:N""), 2, FALSE)"),"Recall the three main types of blood vessels in the human circulatory system.")</f>
        <v>Recall the three main types of blood vessels in the human circulatory system.</v>
      </c>
      <c r="K69" s="10" t="str">
        <f t="shared" si="1"/>
        <v>LU005956.002</v>
      </c>
      <c r="L69" s="10" t="str">
        <f ca="1">IFERROR(__xludf.DUMMYFUNCTION("VLOOKUP(K69, IMPORTRANGE(""https://docs.google.com/spreadsheets/d/1yDAaXNsi4Mr5FtRQL4tbmSdIzhx6_m4wkOD7IG-k_eo/edit#gid=1336395716"", ""Science!M:N""), 2, FALSE)"),"Summarize the structure and functions of arteries, veins, and capillaries.")</f>
        <v>Summarize the structure and functions of arteries, veins, and capillaries.</v>
      </c>
      <c r="M69" s="10" t="str">
        <f t="shared" si="2"/>
        <v>LU005956.003</v>
      </c>
      <c r="N69" s="10" t="str">
        <f ca="1">IFERROR(__xludf.DUMMYFUNCTION("VLOOKUP(M69, IMPORTRANGE(""https://docs.google.com/spreadsheets/d/1yDAaXNsi4Mr5FtRQL4tbmSdIzhx6_m4wkOD7IG-k_eo/edit#gid=1336395716"", ""Science!M:N""), 2, FALSE)"),"Apply knowledge of blood vessels to determine which type is responsible for specific functions like oxygen transport or waste removal.")</f>
        <v>Apply knowledge of blood vessels to determine which type is responsible for specific functions like oxygen transport or waste removal.</v>
      </c>
      <c r="O69" s="10" t="str">
        <f t="shared" si="3"/>
        <v>LU005956.004</v>
      </c>
      <c r="P69" s="10" t="str">
        <f ca="1">IFERROR(__xludf.DUMMYFUNCTION("VLOOKUP(O69, IMPORTRANGE(""https://docs.google.com/spreadsheets/d/1yDAaXNsi4Mr5FtRQL4tbmSdIzhx6_m4wkOD7IG-k_eo/edit#gid=1336395716"", ""Science!M:N""), 2, FALSE)"),"Analyze the functions of different types of blood vessels to determine their specific roles in processes like oxygen transport and waste removal in the human body.")</f>
        <v>Analyze the functions of different types of blood vessels to determine their specific roles in processes like oxygen transport and waste removal in the human body.</v>
      </c>
      <c r="Q69" s="10" t="str">
        <f t="shared" si="4"/>
        <v>LU005956.005</v>
      </c>
      <c r="R69" s="10" t="str">
        <f ca="1">IFERROR(__xludf.DUMMYFUNCTION("VLOOKUP(Q69, IMPORTRANGE(""https://docs.google.com/spreadsheets/d/1yDAaXNsi4Mr5FtRQL4tbmSdIzhx6_m4wkOD7IG-k_eo/edit#gid=1336395716"", ""Science!M:N""), 2, FALSE)"),"Evaluate the consequences of damage to each type of blood vessel on overall health.")</f>
        <v>Evaluate the consequences of damage to each type of blood vessel on overall health.</v>
      </c>
      <c r="S69" s="10" t="str">
        <f t="shared" si="5"/>
        <v>LU005956.006</v>
      </c>
      <c r="T69" s="10" t="str">
        <f ca="1">IFERROR(__xludf.DUMMYFUNCTION("VLOOKUP(S69, IMPORTRANGE(""https://docs.google.com/spreadsheets/d/1yDAaXNsi4Mr5FtRQL4tbmSdIzhx6_m4wkOD7IG-k_eo/edit#gid=1336395716"", ""Science!M:N""), 2, FALSE)"),"#N/A")</f>
        <v>#N/A</v>
      </c>
      <c r="U69" s="116">
        <f ca="1">IFERROR(__xludf.DUMMYFUNCTION("ArrayFormula(VLOOKUP(G69, IMPORTRANGE(""https://docs.google.com/spreadsheets/d/1p7R4vtkWt5VOBim4ltsDG9KTzSjrtKXsMtQGXPHyND0/edit#gid=795171502"", ""'Filter 30_05_2024'!A1:M2000""), {2, 3, 4, 5,6,7,8,9,10,11,12,13}, 0))"),5)</f>
        <v>5</v>
      </c>
      <c r="V69" s="116">
        <f ca="1">IFERROR(__xludf.DUMMYFUNCTION("""COMPUTED_VALUE"""),7)</f>
        <v>7</v>
      </c>
      <c r="W69" s="116">
        <f ca="1">IFERROR(__xludf.DUMMYFUNCTION("""COMPUTED_VALUE"""),2)</f>
        <v>2</v>
      </c>
      <c r="X69" s="116">
        <f ca="1">IFERROR(__xludf.DUMMYFUNCTION("""COMPUTED_VALUE"""),14)</f>
        <v>14</v>
      </c>
      <c r="Y69" s="116">
        <f ca="1">IFERROR(__xludf.DUMMYFUNCTION("""COMPUTED_VALUE"""),4)</f>
        <v>4</v>
      </c>
      <c r="Z69" s="12">
        <f ca="1">IFERROR(__xludf.DUMMYFUNCTION("""COMPUTED_VALUE"""),4)</f>
        <v>4</v>
      </c>
      <c r="AA69" s="12">
        <f ca="1">IFERROR(__xludf.DUMMYFUNCTION("""COMPUTED_VALUE"""),1)</f>
        <v>1</v>
      </c>
      <c r="AB69" s="12">
        <f ca="1">IFERROR(__xludf.DUMMYFUNCTION("""COMPUTED_VALUE"""),9)</f>
        <v>9</v>
      </c>
      <c r="AC69" s="12"/>
      <c r="AD69" s="12"/>
      <c r="AE69" s="12"/>
      <c r="AF69" s="12"/>
      <c r="AG69" s="13" t="str">
        <f ca="1">IFERROR(__xludf.DUMMYFUNCTION("ArrayFormula(VLOOKUP(G69, IMPORTRANGE(""https://docs.google.com/spreadsheets/d/1Co934fvtviyaRiMsrIlT05Jaq7iiYq07aLvRr35KA48/edit?gid=173865642#gid=173865642"", ""'G7_Sci_Pri_LU'!G2:V2000""), {3, 4, 5, 6, 7, 8, 9, 10, 11, 12, 13, 14, 15, 16}, 0))"),"LU005454")</f>
        <v>LU005454</v>
      </c>
      <c r="AH69" s="13" t="str">
        <f ca="1">IFERROR(__xludf.DUMMYFUNCTION("""COMPUTED_VALUE"""),"Body Parts in Human Circulatory System")</f>
        <v>Body Parts in Human Circulatory System</v>
      </c>
      <c r="AI69" s="13" t="str">
        <f ca="1">IFERROR(__xludf.DUMMYFUNCTION("""COMPUTED_VALUE"""),"LU005955")</f>
        <v>LU005955</v>
      </c>
      <c r="AJ69" s="13" t="str">
        <f ca="1">IFERROR(__xludf.DUMMYFUNCTION("""COMPUTED_VALUE"""),"Comparison of the composition of inhaled and exhaled air")</f>
        <v>Comparison of the composition of inhaled and exhaled air</v>
      </c>
      <c r="AK69" s="13" t="str">
        <f ca="1">IFERROR(__xludf.DUMMYFUNCTION("""COMPUTED_VALUE"""),"LU005455")</f>
        <v>LU005455</v>
      </c>
      <c r="AL69" s="13" t="str">
        <f ca="1">IFERROR(__xludf.DUMMYFUNCTION("""COMPUTED_VALUE"""),"Definition of human blood")</f>
        <v>Definition of human blood</v>
      </c>
      <c r="AM69" s="13"/>
      <c r="AN69" s="13"/>
      <c r="AO69" s="13"/>
      <c r="AP69" s="13"/>
      <c r="AQ69" s="13"/>
      <c r="AR69" s="13"/>
      <c r="AS69" s="13"/>
      <c r="AT69" s="13"/>
    </row>
    <row r="70" spans="1:46">
      <c r="A70" s="8" t="s">
        <v>247</v>
      </c>
      <c r="B70" s="8" t="s">
        <v>47</v>
      </c>
      <c r="C70" s="8" t="s">
        <v>416</v>
      </c>
      <c r="D70" s="8" t="s">
        <v>1406</v>
      </c>
      <c r="E70" s="8" t="s">
        <v>1904</v>
      </c>
      <c r="F70" s="118" t="s">
        <v>1909</v>
      </c>
      <c r="G70" s="8" t="s">
        <v>1910</v>
      </c>
      <c r="H70" s="8" t="str">
        <f ca="1">IFERROR(__xludf.DUMMYFUNCTION("VLOOKUP(G70, IMPORTRANGE(""https://docs.google.com/spreadsheets/d/14deopnvwcrKtEGCKuYXdUHJbeLDZlkiSSWWT0g7x2pM/edit#gid=849066331"", ""LU List Science (Filter)!A:B""), 2, FALSE)"),"Structure and function of human heart")</f>
        <v>Structure and function of human heart</v>
      </c>
      <c r="I70" s="10" t="str">
        <f t="shared" si="0"/>
        <v>LU005957.001</v>
      </c>
      <c r="J70" s="10" t="str">
        <f ca="1">IFERROR(__xludf.DUMMYFUNCTION("VLOOKUP(I70, IMPORTRANGE(""https://docs.google.com/spreadsheets/d/1yDAaXNsi4Mr5FtRQL4tbmSdIzhx6_m4wkOD7IG-k_eo/edit#gid=1336395716"", ""Science!M:N""), 2, FALSE)"),"Recall the primary components of the human heart and their locations.")</f>
        <v>Recall the primary components of the human heart and their locations.</v>
      </c>
      <c r="K70" s="10" t="str">
        <f t="shared" si="1"/>
        <v>LU005957.002</v>
      </c>
      <c r="L70" s="10" t="str">
        <f ca="1">IFERROR(__xludf.DUMMYFUNCTION("VLOOKUP(K70, IMPORTRANGE(""https://docs.google.com/spreadsheets/d/1yDAaXNsi4Mr5FtRQL4tbmSdIzhx6_m4wkOD7IG-k_eo/edit#gid=1336395716"", ""Science!M:N""), 2, FALSE)"),"Explain the function of the heart in the circulatory system.")</f>
        <v>Explain the function of the heart in the circulatory system.</v>
      </c>
      <c r="M70" s="10" t="str">
        <f t="shared" si="2"/>
        <v>LU005957.003</v>
      </c>
      <c r="N70" s="10" t="str">
        <f ca="1">IFERROR(__xludf.DUMMYFUNCTION("VLOOKUP(M70, IMPORTRANGE(""https://docs.google.com/spreadsheets/d/1yDAaXNsi4Mr5FtRQL4tbmSdIzhx6_m4wkOD7IG-k_eo/edit#gid=1336395716"", ""Science!M:N""), 2, FALSE)"),"Apply knowledge of the heart's structure to predict the flow of blood through its chambers.")</f>
        <v>Apply knowledge of the heart's structure to predict the flow of blood through its chambers.</v>
      </c>
      <c r="O70" s="10" t="str">
        <f t="shared" si="3"/>
        <v>LU005957.004</v>
      </c>
      <c r="P70" s="10" t="str">
        <f ca="1">IFERROR(__xludf.DUMMYFUNCTION("VLOOKUP(O70, IMPORTRANGE(""https://docs.google.com/spreadsheets/d/1yDAaXNsi4Mr5FtRQL4tbmSdIzhx6_m4wkOD7IG-k_eo/edit#gid=1336395716"", ""Science!M:N""), 2, FALSE)"),"Differentiate between the roles of the right and left sides of the heart.")</f>
        <v>Differentiate between the roles of the right and left sides of the heart.</v>
      </c>
      <c r="Q70" s="10" t="str">
        <f t="shared" si="4"/>
        <v>LU005957.005</v>
      </c>
      <c r="R70" s="10" t="str">
        <f ca="1">IFERROR(__xludf.DUMMYFUNCTION("VLOOKUP(Q70, IMPORTRANGE(""https://docs.google.com/spreadsheets/d/1yDAaXNsi4Mr5FtRQL4tbmSdIzhx6_m4wkOD7IG-k_eo/edit#gid=1336395716"", ""Science!M:N""), 2, FALSE)"),"Evaluate the consequences of blocked arteries on heart function.")</f>
        <v>Evaluate the consequences of blocked arteries on heart function.</v>
      </c>
      <c r="S70" s="10" t="str">
        <f t="shared" si="5"/>
        <v>LU005957.006</v>
      </c>
      <c r="T70" s="10" t="str">
        <f ca="1">IFERROR(__xludf.DUMMYFUNCTION("VLOOKUP(S70, IMPORTRANGE(""https://docs.google.com/spreadsheets/d/1yDAaXNsi4Mr5FtRQL4tbmSdIzhx6_m4wkOD7IG-k_eo/edit#gid=1336395716"", ""Science!M:N""), 2, FALSE)"),"#N/A")</f>
        <v>#N/A</v>
      </c>
      <c r="U70" s="116">
        <f ca="1">IFERROR(__xludf.DUMMYFUNCTION("ArrayFormula(VLOOKUP(G70, IMPORTRANGE(""https://docs.google.com/spreadsheets/d/1p7R4vtkWt5VOBim4ltsDG9KTzSjrtKXsMtQGXPHyND0/edit#gid=795171502"", ""'Filter 30_05_2024'!A1:M2000""), {2, 3, 4, 5,6,7,8,9,10,11,12,13}, 0))"),7)</f>
        <v>7</v>
      </c>
      <c r="V70" s="116">
        <f ca="1">IFERROR(__xludf.DUMMYFUNCTION("""COMPUTED_VALUE"""),6)</f>
        <v>6</v>
      </c>
      <c r="W70" s="116"/>
      <c r="X70" s="116">
        <f ca="1">IFERROR(__xludf.DUMMYFUNCTION("""COMPUTED_VALUE"""),13)</f>
        <v>13</v>
      </c>
      <c r="Y70" s="116">
        <f ca="1">IFERROR(__xludf.DUMMYFUNCTION("""COMPUTED_VALUE"""),5)</f>
        <v>5</v>
      </c>
      <c r="Z70" s="12">
        <f ca="1">IFERROR(__xludf.DUMMYFUNCTION("""COMPUTED_VALUE"""),3)</f>
        <v>3</v>
      </c>
      <c r="AA70" s="12"/>
      <c r="AB70" s="12">
        <f ca="1">IFERROR(__xludf.DUMMYFUNCTION("""COMPUTED_VALUE"""),8)</f>
        <v>8</v>
      </c>
      <c r="AC70" s="12"/>
      <c r="AD70" s="12"/>
      <c r="AE70" s="12"/>
      <c r="AF70" s="12"/>
      <c r="AG70" s="13" t="str">
        <f ca="1">IFERROR(__xludf.DUMMYFUNCTION("ArrayFormula(VLOOKUP(G70, IMPORTRANGE(""https://docs.google.com/spreadsheets/d/1Co934fvtviyaRiMsrIlT05Jaq7iiYq07aLvRr35KA48/edit?gid=173865642#gid=173865642"", ""'G7_Sci_Pri_LU'!G2:V2000""), {3, 4, 5, 6, 7, 8, 9, 10, 11, 12, 13, 14, 15, 16}, 0))"),"LU005454")</f>
        <v>LU005454</v>
      </c>
      <c r="AH70" s="13" t="str">
        <f ca="1">IFERROR(__xludf.DUMMYFUNCTION("""COMPUTED_VALUE"""),"Body Parts in Human Circulatory System")</f>
        <v>Body Parts in Human Circulatory System</v>
      </c>
      <c r="AI70" s="13" t="str">
        <f ca="1">IFERROR(__xludf.DUMMYFUNCTION("""COMPUTED_VALUE"""),"LU005956")</f>
        <v>LU005956</v>
      </c>
      <c r="AJ70" s="13" t="str">
        <f ca="1">IFERROR(__xludf.DUMMYFUNCTION("""COMPUTED_VALUE"""),"Types of human blood vessels")</f>
        <v>Types of human blood vessels</v>
      </c>
      <c r="AK70" s="13" t="str">
        <f ca="1">IFERROR(__xludf.DUMMYFUNCTION("""COMPUTED_VALUE"""),"LU005955")</f>
        <v>LU005955</v>
      </c>
      <c r="AL70" s="13" t="str">
        <f ca="1">IFERROR(__xludf.DUMMYFUNCTION("""COMPUTED_VALUE"""),"Comparison of the composition of inhaled and exhaled air")</f>
        <v>Comparison of the composition of inhaled and exhaled air</v>
      </c>
      <c r="AM70" s="13"/>
      <c r="AN70" s="13"/>
      <c r="AO70" s="13"/>
      <c r="AP70" s="13"/>
      <c r="AQ70" s="13"/>
      <c r="AR70" s="13"/>
      <c r="AS70" s="13"/>
      <c r="AT70" s="13"/>
    </row>
    <row r="71" spans="1:46">
      <c r="A71" s="8" t="s">
        <v>247</v>
      </c>
      <c r="B71" s="8" t="s">
        <v>47</v>
      </c>
      <c r="C71" s="8" t="s">
        <v>416</v>
      </c>
      <c r="D71" s="8" t="s">
        <v>1406</v>
      </c>
      <c r="E71" s="8" t="s">
        <v>1904</v>
      </c>
      <c r="F71" s="8" t="s">
        <v>1909</v>
      </c>
      <c r="G71" s="8" t="s">
        <v>1911</v>
      </c>
      <c r="H71" s="8" t="str">
        <f ca="1">IFERROR(__xludf.DUMMYFUNCTION("VLOOKUP(G71, IMPORTRANGE(""https://docs.google.com/spreadsheets/d/14deopnvwcrKtEGCKuYXdUHJbeLDZlkiSSWWT0g7x2pM/edit#gid=849066331"", ""LU List Science (Filter)!A:B""), 2, FALSE)"),"Schematics of human circulatory system")</f>
        <v>Schematics of human circulatory system</v>
      </c>
      <c r="I71" s="10" t="str">
        <f t="shared" si="0"/>
        <v>LU005958.001</v>
      </c>
      <c r="J71" s="10" t="str">
        <f ca="1">IFERROR(__xludf.DUMMYFUNCTION("VLOOKUP(I71, IMPORTRANGE(""https://docs.google.com/spreadsheets/d/1yDAaXNsi4Mr5FtRQL4tbmSdIzhx6_m4wkOD7IG-k_eo/edit#gid=1336395716"", ""Science!M:N""), 2, FALSE)"),"Recall the pathway of blood circulation in the human body.")</f>
        <v>Recall the pathway of blood circulation in the human body.</v>
      </c>
      <c r="K71" s="10" t="str">
        <f t="shared" si="1"/>
        <v>LU005958.002</v>
      </c>
      <c r="L71" s="10" t="str">
        <f ca="1">IFERROR(__xludf.DUMMYFUNCTION("VLOOKUP(K71, IMPORTRANGE(""https://docs.google.com/spreadsheets/d/1yDAaXNsi4Mr5FtRQL4tbmSdIzhx6_m4wkOD7IG-k_eo/edit#gid=1336395716"", ""Science!M:N""), 2, FALSE)"),"Understand the logical reason for the pathway of blood circulation in the human body.")</f>
        <v>Understand the logical reason for the pathway of blood circulation in the human body.</v>
      </c>
      <c r="M71" s="10" t="str">
        <f t="shared" si="2"/>
        <v>LU005958.003</v>
      </c>
      <c r="N71" s="10" t="str">
        <f ca="1">IFERROR(__xludf.DUMMYFUNCTION("VLOOKUP(M71, IMPORTRANGE(""https://docs.google.com/spreadsheets/d/1yDAaXNsi4Mr5FtRQL4tbmSdIzhx6_m4wkOD7IG-k_eo/edit#gid=1336395716"", ""Science!M:N""), 2, FALSE)"),"Apply knowledge of blood circulation to label a diagram of the circulatory system.")</f>
        <v>Apply knowledge of blood circulation to label a diagram of the circulatory system.</v>
      </c>
      <c r="O71" s="10" t="str">
        <f t="shared" si="3"/>
        <v>LU005958.004</v>
      </c>
      <c r="P71" s="10" t="str">
        <f ca="1">IFERROR(__xludf.DUMMYFUNCTION("VLOOKUP(O71, IMPORTRANGE(""https://docs.google.com/spreadsheets/d/1yDAaXNsi4Mr5FtRQL4tbmSdIzhx6_m4wkOD7IG-k_eo/edit#gid=1336395716"", ""Science!M:N""), 2, FALSE)"),"#N/A")</f>
        <v>#N/A</v>
      </c>
      <c r="Q71" s="10" t="str">
        <f t="shared" si="4"/>
        <v>LU005958.005</v>
      </c>
      <c r="R71" s="10" t="str">
        <f ca="1">IFERROR(__xludf.DUMMYFUNCTION("VLOOKUP(Q71, IMPORTRANGE(""https://docs.google.com/spreadsheets/d/1yDAaXNsi4Mr5FtRQL4tbmSdIzhx6_m4wkOD7IG-k_eo/edit#gid=1336395716"", ""Science!M:N""), 2, FALSE)"),"Evaluate how the circulatory system responds to physical exercise.")</f>
        <v>Evaluate how the circulatory system responds to physical exercise.</v>
      </c>
      <c r="S71" s="10" t="str">
        <f t="shared" si="5"/>
        <v>LU005958.006</v>
      </c>
      <c r="T71" s="10" t="str">
        <f ca="1">IFERROR(__xludf.DUMMYFUNCTION("VLOOKUP(S71, IMPORTRANGE(""https://docs.google.com/spreadsheets/d/1yDAaXNsi4Mr5FtRQL4tbmSdIzhx6_m4wkOD7IG-k_eo/edit#gid=1336395716"", ""Science!M:N""), 2, FALSE)"),"#N/A")</f>
        <v>#N/A</v>
      </c>
      <c r="U71" s="116">
        <f ca="1">IFERROR(__xludf.DUMMYFUNCTION("ArrayFormula(VLOOKUP(G71, IMPORTRANGE(""https://docs.google.com/spreadsheets/d/1p7R4vtkWt5VOBim4ltsDG9KTzSjrtKXsMtQGXPHyND0/edit#gid=795171502"", ""'Filter 30_05_2024'!A1:M2000""), {2, 3, 4, 5,6,7,8,9,10,11,12,13}, 0))"),4)</f>
        <v>4</v>
      </c>
      <c r="V71" s="116">
        <f ca="1">IFERROR(__xludf.DUMMYFUNCTION("""COMPUTED_VALUE"""),9)</f>
        <v>9</v>
      </c>
      <c r="W71" s="116">
        <f ca="1">IFERROR(__xludf.DUMMYFUNCTION("""COMPUTED_VALUE"""),2)</f>
        <v>2</v>
      </c>
      <c r="X71" s="116">
        <f ca="1">IFERROR(__xludf.DUMMYFUNCTION("""COMPUTED_VALUE"""),15)</f>
        <v>15</v>
      </c>
      <c r="Y71" s="116">
        <f ca="1">IFERROR(__xludf.DUMMYFUNCTION("""COMPUTED_VALUE"""),4)</f>
        <v>4</v>
      </c>
      <c r="Z71" s="12">
        <f ca="1">IFERROR(__xludf.DUMMYFUNCTION("""COMPUTED_VALUE"""),4)</f>
        <v>4</v>
      </c>
      <c r="AA71" s="12">
        <f ca="1">IFERROR(__xludf.DUMMYFUNCTION("""COMPUTED_VALUE"""),1)</f>
        <v>1</v>
      </c>
      <c r="AB71" s="12">
        <f ca="1">IFERROR(__xludf.DUMMYFUNCTION("""COMPUTED_VALUE"""),9)</f>
        <v>9</v>
      </c>
      <c r="AC71" s="12"/>
      <c r="AD71" s="12"/>
      <c r="AE71" s="12"/>
      <c r="AF71" s="12"/>
      <c r="AG71" s="13" t="str">
        <f ca="1">IFERROR(__xludf.DUMMYFUNCTION("ArrayFormula(VLOOKUP(G71, IMPORTRANGE(""https://docs.google.com/spreadsheets/d/1Co934fvtviyaRiMsrIlT05Jaq7iiYq07aLvRr35KA48/edit?gid=173865642#gid=173865642"", ""'G7_Sci_Pri_LU'!G2:V2000""), {3, 4, 5, 6, 7, 8, 9, 10, 11, 12, 13, 14, 15, 16}, 0))"),"LU005454")</f>
        <v>LU005454</v>
      </c>
      <c r="AH71" s="13" t="str">
        <f ca="1">IFERROR(__xludf.DUMMYFUNCTION("""COMPUTED_VALUE"""),"Body Parts in Human Circulatory System")</f>
        <v>Body Parts in Human Circulatory System</v>
      </c>
      <c r="AI71" s="13" t="str">
        <f ca="1">IFERROR(__xludf.DUMMYFUNCTION("""COMPUTED_VALUE"""),"LU005957")</f>
        <v>LU005957</v>
      </c>
      <c r="AJ71" s="13" t="str">
        <f ca="1">IFERROR(__xludf.DUMMYFUNCTION("""COMPUTED_VALUE"""),"Structure and function of human heart")</f>
        <v>Structure and function of human heart</v>
      </c>
      <c r="AK71" s="13" t="str">
        <f ca="1">IFERROR(__xludf.DUMMYFUNCTION("""COMPUTED_VALUE"""),"LU005956")</f>
        <v>LU005956</v>
      </c>
      <c r="AL71" s="13" t="str">
        <f ca="1">IFERROR(__xludf.DUMMYFUNCTION("""COMPUTED_VALUE"""),"Types of human blood vessels")</f>
        <v>Types of human blood vessels</v>
      </c>
      <c r="AM71" s="13"/>
      <c r="AN71" s="13"/>
      <c r="AO71" s="13"/>
      <c r="AP71" s="13"/>
      <c r="AQ71" s="13"/>
      <c r="AR71" s="13"/>
      <c r="AS71" s="13"/>
      <c r="AT71" s="13"/>
    </row>
    <row r="72" spans="1:46">
      <c r="A72" s="8" t="s">
        <v>247</v>
      </c>
      <c r="B72" s="8" t="s">
        <v>47</v>
      </c>
      <c r="C72" s="8" t="s">
        <v>416</v>
      </c>
      <c r="D72" s="8" t="s">
        <v>1406</v>
      </c>
      <c r="E72" s="8" t="s">
        <v>1904</v>
      </c>
      <c r="F72" s="118" t="s">
        <v>1912</v>
      </c>
      <c r="G72" s="8" t="s">
        <v>1913</v>
      </c>
      <c r="H72" s="8" t="str">
        <f ca="1">IFERROR(__xludf.DUMMYFUNCTION("VLOOKUP(G72, IMPORTRANGE(""https://docs.google.com/spreadsheets/d/14deopnvwcrKtEGCKuYXdUHJbeLDZlkiSSWWT0g7x2pM/edit#gid=849066331"", ""LU List Science (Filter)!A:B""), 2, FALSE)"),"Definition of heartbeat, pulse and pulse rate in humans")</f>
        <v>Definition of heartbeat, pulse and pulse rate in humans</v>
      </c>
      <c r="I72" s="10" t="str">
        <f t="shared" si="0"/>
        <v>LU005456.001</v>
      </c>
      <c r="J72" s="10" t="str">
        <f ca="1">IFERROR(__xludf.DUMMYFUNCTION("VLOOKUP(I72, IMPORTRANGE(""https://docs.google.com/spreadsheets/d/1yDAaXNsi4Mr5FtRQL4tbmSdIzhx6_m4wkOD7IG-k_eo/edit#gid=1336395716"", ""Science!M:N""), 2, FALSE)"),"Students will recall the definitions of heartbeat, pulse, and pulse rate in humans.")</f>
        <v>Students will recall the definitions of heartbeat, pulse, and pulse rate in humans.</v>
      </c>
      <c r="K72" s="10" t="str">
        <f t="shared" si="1"/>
        <v>LU005456.002</v>
      </c>
      <c r="L72" s="10" t="str">
        <f ca="1">IFERROR(__xludf.DUMMYFUNCTION("VLOOKUP(K72, IMPORTRANGE(""https://docs.google.com/spreadsheets/d/1yDAaXNsi4Mr5FtRQL4tbmSdIzhx6_m4wkOD7IG-k_eo/edit#gid=1336395716"", ""Science!M:N""), 2, FALSE)"),"Students will explain the relationship between heartbeat and pulse rate.")</f>
        <v>Students will explain the relationship between heartbeat and pulse rate.</v>
      </c>
      <c r="M72" s="10" t="str">
        <f t="shared" si="2"/>
        <v>LU005456.003</v>
      </c>
      <c r="N72" s="10" t="str">
        <f ca="1">IFERROR(__xludf.DUMMYFUNCTION("VLOOKUP(M72, IMPORTRANGE(""https://docs.google.com/spreadsheets/d/1yDAaXNsi4Mr5FtRQL4tbmSdIzhx6_m4wkOD7IG-k_eo/edit#gid=1336395716"", ""Science!M:N""), 2, FALSE)"),"Students will measure their own pulse rate and record variations after different activities.")</f>
        <v>Students will measure their own pulse rate and record variations after different activities.</v>
      </c>
      <c r="O72" s="10" t="str">
        <f t="shared" si="3"/>
        <v>LU005456.004</v>
      </c>
      <c r="P72" s="10" t="str">
        <f ca="1">IFERROR(__xludf.DUMMYFUNCTION("VLOOKUP(O72, IMPORTRANGE(""https://docs.google.com/spreadsheets/d/1yDAaXNsi4Mr5FtRQL4tbmSdIzhx6_m4wkOD7IG-k_eo/edit#gid=1336395716"", ""Science!M:N""), 2, FALSE)"),"Students will compare the pulse rates at rest and after exercise to analyze the body's response to physical activity.")</f>
        <v>Students will compare the pulse rates at rest and after exercise to analyze the body's response to physical activity.</v>
      </c>
      <c r="Q72" s="10" t="str">
        <f t="shared" si="4"/>
        <v>LU005456.005</v>
      </c>
      <c r="R72" s="10" t="str">
        <f ca="1">IFERROR(__xludf.DUMMYFUNCTION("VLOOKUP(Q72, IMPORTRANGE(""https://docs.google.com/spreadsheets/d/1yDAaXNsi4Mr5FtRQL4tbmSdIzhx6_m4wkOD7IG-k_eo/edit#gid=1336395716"", ""Science!M:N""), 2, FALSE)"),"Students will evaluate the effects of external factors such as temperature and stress on the pulse rate.")</f>
        <v>Students will evaluate the effects of external factors such as temperature and stress on the pulse rate.</v>
      </c>
      <c r="S72" s="10" t="str">
        <f t="shared" si="5"/>
        <v>LU005456.006</v>
      </c>
      <c r="T72" s="10" t="str">
        <f ca="1">IFERROR(__xludf.DUMMYFUNCTION("VLOOKUP(S72, IMPORTRANGE(""https://docs.google.com/spreadsheets/d/1yDAaXNsi4Mr5FtRQL4tbmSdIzhx6_m4wkOD7IG-k_eo/edit#gid=1336395716"", ""Science!M:N""), 2, FALSE)"),"Students will design a simple experiment to investigate how various exercises affect heartbeat and pulse rate.")</f>
        <v>Students will design a simple experiment to investigate how various exercises affect heartbeat and pulse rate.</v>
      </c>
      <c r="U72" s="116">
        <f ca="1">IFERROR(__xludf.DUMMYFUNCTION("ArrayFormula(VLOOKUP(G72, IMPORTRANGE(""https://docs.google.com/spreadsheets/d/1p7R4vtkWt5VOBim4ltsDG9KTzSjrtKXsMtQGXPHyND0/edit#gid=795171502"", ""'Filter 30_05_2024'!A1:M2000""), {2, 3, 4, 5,6,7,8,9,10,11,12,13}, 0))"),4)</f>
        <v>4</v>
      </c>
      <c r="V72" s="116">
        <f ca="1">IFERROR(__xludf.DUMMYFUNCTION("""COMPUTED_VALUE"""),6)</f>
        <v>6</v>
      </c>
      <c r="W72" s="116">
        <f ca="1">IFERROR(__xludf.DUMMYFUNCTION("""COMPUTED_VALUE"""),4)</f>
        <v>4</v>
      </c>
      <c r="X72" s="116">
        <f ca="1">IFERROR(__xludf.DUMMYFUNCTION("""COMPUTED_VALUE"""),14)</f>
        <v>14</v>
      </c>
      <c r="Y72" s="116">
        <f ca="1">IFERROR(__xludf.DUMMYFUNCTION("""COMPUTED_VALUE"""),4)</f>
        <v>4</v>
      </c>
      <c r="Z72" s="12">
        <f ca="1">IFERROR(__xludf.DUMMYFUNCTION("""COMPUTED_VALUE"""),3)</f>
        <v>3</v>
      </c>
      <c r="AA72" s="12">
        <f ca="1">IFERROR(__xludf.DUMMYFUNCTION("""COMPUTED_VALUE"""),2)</f>
        <v>2</v>
      </c>
      <c r="AB72" s="12">
        <f ca="1">IFERROR(__xludf.DUMMYFUNCTION("""COMPUTED_VALUE"""),9)</f>
        <v>9</v>
      </c>
      <c r="AC72" s="12"/>
      <c r="AD72" s="12"/>
      <c r="AE72" s="12"/>
      <c r="AF72" s="12"/>
      <c r="AG72" s="13" t="str">
        <f ca="1">IFERROR(__xludf.DUMMYFUNCTION("ArrayFormula(VLOOKUP(G72, IMPORTRANGE(""https://docs.google.com/spreadsheets/d/1Co934fvtviyaRiMsrIlT05Jaq7iiYq07aLvRr35KA48/edit?gid=173865642#gid=173865642"", ""'G7_Sci_Pri_LU'!G2:V2000""), {3, 4, 5, 6, 7, 8, 9, 10, 11, 12, 13, 14, 15, 16}, 0))"),"LU005956")</f>
        <v>LU005956</v>
      </c>
      <c r="AH72" s="13" t="str">
        <f ca="1">IFERROR(__xludf.DUMMYFUNCTION("""COMPUTED_VALUE"""),"Types of human blood vessels")</f>
        <v>Types of human blood vessels</v>
      </c>
      <c r="AI72" s="13" t="str">
        <f ca="1">IFERROR(__xludf.DUMMYFUNCTION("""COMPUTED_VALUE"""),"LU005957")</f>
        <v>LU005957</v>
      </c>
      <c r="AJ72" s="13" t="str">
        <f ca="1">IFERROR(__xludf.DUMMYFUNCTION("""COMPUTED_VALUE"""),"Structure and function of human heart")</f>
        <v>Structure and function of human heart</v>
      </c>
      <c r="AK72" s="13"/>
      <c r="AL72" s="13"/>
      <c r="AM72" s="13"/>
      <c r="AN72" s="13"/>
      <c r="AO72" s="13"/>
      <c r="AP72" s="13"/>
      <c r="AQ72" s="13"/>
      <c r="AR72" s="13"/>
      <c r="AS72" s="13"/>
      <c r="AT72" s="13"/>
    </row>
    <row r="73" spans="1:46">
      <c r="A73" s="8" t="s">
        <v>247</v>
      </c>
      <c r="B73" s="8" t="s">
        <v>47</v>
      </c>
      <c r="C73" s="8" t="s">
        <v>416</v>
      </c>
      <c r="D73" s="8" t="s">
        <v>1406</v>
      </c>
      <c r="E73" s="8" t="s">
        <v>1904</v>
      </c>
      <c r="F73" s="118" t="s">
        <v>1912</v>
      </c>
      <c r="G73" s="8" t="s">
        <v>1914</v>
      </c>
      <c r="H73" s="8" t="str">
        <f ca="1">IFERROR(__xludf.DUMMYFUNCTION("VLOOKUP(G73, IMPORTRANGE(""https://docs.google.com/spreadsheets/d/14deopnvwcrKtEGCKuYXdUHJbeLDZlkiSSWWT0g7x2pM/edit#gid=849066331"", ""LU List Science (Filter)!A:B""), 2, FALSE)"),"Stethoscope's Structure, Working, and Model")</f>
        <v>Stethoscope's Structure, Working, and Model</v>
      </c>
      <c r="I73" s="10" t="str">
        <f t="shared" si="0"/>
        <v>LU005459.001</v>
      </c>
      <c r="J73" s="10" t="str">
        <f ca="1">IFERROR(__xludf.DUMMYFUNCTION("VLOOKUP(I73, IMPORTRANGE(""https://docs.google.com/spreadsheets/d/1yDAaXNsi4Mr5FtRQL4tbmSdIzhx6_m4wkOD7IG-k_eo/edit#gid=1336395716"", ""Science!M:N""), 2, FALSE)"),"Recall the basic components and structure of a stethoscope used in medical examinations.")</f>
        <v>Recall the basic components and structure of a stethoscope used in medical examinations.</v>
      </c>
      <c r="K73" s="10" t="str">
        <f t="shared" si="1"/>
        <v>LU005459.002</v>
      </c>
      <c r="L73" s="10" t="str">
        <f ca="1">IFERROR(__xludf.DUMMYFUNCTION("VLOOKUP(K73, IMPORTRANGE(""https://docs.google.com/spreadsheets/d/1yDAaXNsi4Mr5FtRQL4tbmSdIzhx6_m4wkOD7IG-k_eo/edit#gid=1336395716"", ""Science!M:N""), 2, FALSE)"),"Explain how a stethoscope works to amplify and transmit sounds from within the body, allowing healthcare professionals to listen to internal body sounds.")</f>
        <v>Explain how a stethoscope works to amplify and transmit sounds from within the body, allowing healthcare professionals to listen to internal body sounds.</v>
      </c>
      <c r="M73" s="10" t="str">
        <f t="shared" si="2"/>
        <v>LU005459.003</v>
      </c>
      <c r="N73" s="10" t="str">
        <f ca="1">IFERROR(__xludf.DUMMYFUNCTION("VLOOKUP(M73, IMPORTRANGE(""https://docs.google.com/spreadsheets/d/1yDAaXNsi4Mr5FtRQL4tbmSdIzhx6_m4wkOD7IG-k_eo/edit#gid=1336395716"", ""Science!M:N""), 2, FALSE)"),"Analyze the different parts of a stethoscope and their functions, discussing how the chest piece, tubing, and earpieces contribute to sound transmission and quality.")</f>
        <v>Analyze the different parts of a stethoscope and their functions, discussing how the chest piece, tubing, and earpieces contribute to sound transmission and quality.</v>
      </c>
      <c r="O73" s="10" t="str">
        <f t="shared" si="3"/>
        <v>LU005459.004</v>
      </c>
      <c r="P73" s="10" t="str">
        <f ca="1">IFERROR(__xludf.DUMMYFUNCTION("VLOOKUP(O73, IMPORTRANGE(""https://docs.google.com/spreadsheets/d/1yDAaXNsi4Mr5FtRQL4tbmSdIzhx6_m4wkOD7IG-k_eo/edit#gid=1336395716"", ""Science!M:N""), 2, FALSE)"),"Create a labeled diagram or model of a stethoscope, highlighting each component and explaining how they work together to enable auscultation.")</f>
        <v>Create a labeled diagram or model of a stethoscope, highlighting each component and explaining how they work together to enable auscultation.</v>
      </c>
      <c r="Q73" s="10" t="str">
        <f t="shared" si="4"/>
        <v>LU005459.005</v>
      </c>
      <c r="R73" s="10" t="str">
        <f ca="1">IFERROR(__xludf.DUMMYFUNCTION("VLOOKUP(Q73, IMPORTRANGE(""https://docs.google.com/spreadsheets/d/1yDAaXNsi4Mr5FtRQL4tbmSdIzhx6_m4wkOD7IG-k_eo/edit#gid=1336395716"", ""Science!M:N""), 2, FALSE)"),"#N/A")</f>
        <v>#N/A</v>
      </c>
      <c r="S73" s="10" t="str">
        <f t="shared" si="5"/>
        <v>LU005459.006</v>
      </c>
      <c r="T73" s="10" t="str">
        <f ca="1">IFERROR(__xludf.DUMMYFUNCTION("VLOOKUP(S73, IMPORTRANGE(""https://docs.google.com/spreadsheets/d/1yDAaXNsi4Mr5FtRQL4tbmSdIzhx6_m4wkOD7IG-k_eo/edit#gid=1336395716"", ""Science!M:N""), 2, FALSE)"),"#N/A")</f>
        <v>#N/A</v>
      </c>
      <c r="U73" s="116">
        <f ca="1">IFERROR(__xludf.DUMMYFUNCTION("ArrayFormula(VLOOKUP(G73, IMPORTRANGE(""https://docs.google.com/spreadsheets/d/1p7R4vtkWt5VOBim4ltsDG9KTzSjrtKXsMtQGXPHyND0/edit#gid=795171502"", ""'Filter 30_05_2024'!A1:M2000""), {2, 3, 4, 5,6,7,8,9,10,11,12,13}, 0))"),4)</f>
        <v>4</v>
      </c>
      <c r="V73" s="116">
        <f ca="1">IFERROR(__xludf.DUMMYFUNCTION("""COMPUTED_VALUE"""),6)</f>
        <v>6</v>
      </c>
      <c r="W73" s="116">
        <f ca="1">IFERROR(__xludf.DUMMYFUNCTION("""COMPUTED_VALUE"""),2)</f>
        <v>2</v>
      </c>
      <c r="X73" s="116">
        <f ca="1">IFERROR(__xludf.DUMMYFUNCTION("""COMPUTED_VALUE"""),12)</f>
        <v>12</v>
      </c>
      <c r="Y73" s="116">
        <f ca="1">IFERROR(__xludf.DUMMYFUNCTION("""COMPUTED_VALUE"""),4)</f>
        <v>4</v>
      </c>
      <c r="Z73" s="12">
        <f ca="1">IFERROR(__xludf.DUMMYFUNCTION("""COMPUTED_VALUE"""),3)</f>
        <v>3</v>
      </c>
      <c r="AA73" s="12">
        <f ca="1">IFERROR(__xludf.DUMMYFUNCTION("""COMPUTED_VALUE"""),1)</f>
        <v>1</v>
      </c>
      <c r="AB73" s="12">
        <f ca="1">IFERROR(__xludf.DUMMYFUNCTION("""COMPUTED_VALUE"""),8)</f>
        <v>8</v>
      </c>
      <c r="AC73" s="12"/>
      <c r="AD73" s="12"/>
      <c r="AE73" s="12"/>
      <c r="AF73" s="12"/>
      <c r="AG73" s="13" t="str">
        <f ca="1">IFERROR(__xludf.DUMMYFUNCTION("ArrayFormula(VLOOKUP(G73, IMPORTRANGE(""https://docs.google.com/spreadsheets/d/1Co934fvtviyaRiMsrIlT05Jaq7iiYq07aLvRr35KA48/edit?gid=173865642#gid=173865642"", ""'G7_Sci_Pri_LU'!G2:V2000""), {3, 4, 5, 6, 7, 8, 9, 10, 11, 12, 13, 14, 15, 16}, 0))"),"LU005456")</f>
        <v>LU005456</v>
      </c>
      <c r="AH73" s="13" t="str">
        <f ca="1">IFERROR(__xludf.DUMMYFUNCTION("""COMPUTED_VALUE"""),"Definition of heartbeat, pulse and pulse rate in humans")</f>
        <v>Definition of heartbeat, pulse and pulse rate in humans</v>
      </c>
      <c r="AI73" s="13"/>
      <c r="AJ73" s="13"/>
      <c r="AK73" s="13"/>
      <c r="AL73" s="13"/>
      <c r="AM73" s="13"/>
      <c r="AN73" s="13"/>
      <c r="AO73" s="13"/>
      <c r="AP73" s="13"/>
      <c r="AQ73" s="13"/>
      <c r="AR73" s="13"/>
      <c r="AS73" s="13"/>
      <c r="AT73" s="13"/>
    </row>
    <row r="74" spans="1:46">
      <c r="A74" s="8" t="s">
        <v>247</v>
      </c>
      <c r="B74" s="8" t="s">
        <v>47</v>
      </c>
      <c r="C74" s="8" t="s">
        <v>416</v>
      </c>
      <c r="D74" s="8" t="s">
        <v>1406</v>
      </c>
      <c r="E74" s="8" t="s">
        <v>1904</v>
      </c>
      <c r="F74" s="8" t="s">
        <v>1915</v>
      </c>
      <c r="G74" s="8" t="s">
        <v>1916</v>
      </c>
      <c r="H74" s="8" t="str">
        <f ca="1">IFERROR(__xludf.DUMMYFUNCTION("VLOOKUP(G74, IMPORTRANGE(""https://docs.google.com/spreadsheets/d/14deopnvwcrKtEGCKuYXdUHJbeLDZlkiSSWWT0g7x2pM/edit#gid=849066331"", ""LU List Science (Filter)!A:B""), 2, FALSE)"),"Transportation in Hydra and Sponges")</f>
        <v>Transportation in Hydra and Sponges</v>
      </c>
      <c r="I74" s="10" t="str">
        <f t="shared" si="0"/>
        <v>LU005457.001</v>
      </c>
      <c r="J74" s="10" t="str">
        <f ca="1">IFERROR(__xludf.DUMMYFUNCTION("VLOOKUP(I74, IMPORTRANGE(""https://docs.google.com/spreadsheets/d/1yDAaXNsi4Mr5FtRQL4tbmSdIzhx6_m4wkOD7IG-k_eo/edit#gid=1336395716"", ""Science!M:N""), 2, FALSE)"),"Students will name the methods of transportation in Hydra and Sponges.")</f>
        <v>Students will name the methods of transportation in Hydra and Sponges.</v>
      </c>
      <c r="K74" s="10" t="str">
        <f t="shared" si="1"/>
        <v>LU005457.002</v>
      </c>
      <c r="L74" s="10" t="str">
        <f ca="1">IFERROR(__xludf.DUMMYFUNCTION("VLOOKUP(K74, IMPORTRANGE(""https://docs.google.com/spreadsheets/d/1yDAaXNsi4Mr5FtRQL4tbmSdIzhx6_m4wkOD7IG-k_eo/edit#gid=1336395716"", ""Science!M:N""), 2, FALSE)"),"Students will describe how transportation of nutrients and waste occurs in Hydra and Sponges.")</f>
        <v>Students will describe how transportation of nutrients and waste occurs in Hydra and Sponges.</v>
      </c>
      <c r="M74" s="10" t="str">
        <f t="shared" si="2"/>
        <v>LU005457.003</v>
      </c>
      <c r="N74" s="10" t="str">
        <f ca="1">IFERROR(__xludf.DUMMYFUNCTION("VLOOKUP(M74, IMPORTRANGE(""https://docs.google.com/spreadsheets/d/1yDAaXNsi4Mr5FtRQL4tbmSdIzhx6_m4wkOD7IG-k_eo/edit#gid=1336395716"", ""Science!M:N""), 2, FALSE)"),"Students will demonstrate the transportation process in Hydra and Sponges using a diagram or model.")</f>
        <v>Students will demonstrate the transportation process in Hydra and Sponges using a diagram or model.</v>
      </c>
      <c r="O74" s="10" t="str">
        <f t="shared" si="3"/>
        <v>LU005457.004</v>
      </c>
      <c r="P74" s="10" t="str">
        <f ca="1">IFERROR(__xludf.DUMMYFUNCTION("VLOOKUP(O74, IMPORTRANGE(""https://docs.google.com/spreadsheets/d/1yDAaXNsi4Mr5FtRQL4tbmSdIzhx6_m4wkOD7IG-k_eo/edit#gid=1336395716"", ""Science!M:N""), 2, FALSE)"),"Students will analyze the efficiency of water flow in nutrient and waste transport within the body structures of Hydra and Sponges.")</f>
        <v>Students will analyze the efficiency of water flow in nutrient and waste transport within the body structures of Hydra and Sponges.</v>
      </c>
      <c r="Q74" s="10" t="str">
        <f t="shared" si="4"/>
        <v>LU005457.005</v>
      </c>
      <c r="R74" s="10" t="str">
        <f ca="1">IFERROR(__xludf.DUMMYFUNCTION("VLOOKUP(Q74, IMPORTRANGE(""https://docs.google.com/spreadsheets/d/1yDAaXNsi4Mr5FtRQL4tbmSdIzhx6_m4wkOD7IG-k_eo/edit#gid=1336395716"", ""Science!M:N""), 2, FALSE)"),"Students will evaluate the advantages and limitations of the transportation systems in Hydra and Sponges in different environmental conditions.")</f>
        <v>Students will evaluate the advantages and limitations of the transportation systems in Hydra and Sponges in different environmental conditions.</v>
      </c>
      <c r="S74" s="10" t="str">
        <f t="shared" si="5"/>
        <v>LU005457.006</v>
      </c>
      <c r="T74" s="10" t="str">
        <f ca="1">IFERROR(__xludf.DUMMYFUNCTION("VLOOKUP(S74, IMPORTRANGE(""https://docs.google.com/spreadsheets/d/1yDAaXNsi4Mr5FtRQL4tbmSdIzhx6_m4wkOD7IG-k_eo/edit#gid=1336395716"", ""Science!M:N""), 2, FALSE)"),"Students will design an experiment to observe the transportation of materials in Hydra or Sponges, incorporating their understanding of the organisms' structures and habitats.")</f>
        <v>Students will design an experiment to observe the transportation of materials in Hydra or Sponges, incorporating their understanding of the organisms' structures and habitats.</v>
      </c>
      <c r="U74" s="116">
        <f ca="1">IFERROR(__xludf.DUMMYFUNCTION("ArrayFormula(VLOOKUP(G74, IMPORTRANGE(""https://docs.google.com/spreadsheets/d/1p7R4vtkWt5VOBim4ltsDG9KTzSjrtKXsMtQGXPHyND0/edit#gid=795171502"", ""'Filter 30_05_2024'!A1:M2000""), {2, 3, 4, 5,6,7,8,9,10,11,12,13}, 0))"),5)</f>
        <v>5</v>
      </c>
      <c r="V74" s="116">
        <f ca="1">IFERROR(__xludf.DUMMYFUNCTION("""COMPUTED_VALUE"""),6)</f>
        <v>6</v>
      </c>
      <c r="W74" s="116">
        <f ca="1">IFERROR(__xludf.DUMMYFUNCTION("""COMPUTED_VALUE"""),2)</f>
        <v>2</v>
      </c>
      <c r="X74" s="116">
        <f ca="1">IFERROR(__xludf.DUMMYFUNCTION("""COMPUTED_VALUE"""),13)</f>
        <v>13</v>
      </c>
      <c r="Y74" s="116">
        <f ca="1">IFERROR(__xludf.DUMMYFUNCTION("""COMPUTED_VALUE"""),4)</f>
        <v>4</v>
      </c>
      <c r="Z74" s="12">
        <f ca="1">IFERROR(__xludf.DUMMYFUNCTION("""COMPUTED_VALUE"""),3)</f>
        <v>3</v>
      </c>
      <c r="AA74" s="12">
        <f ca="1">IFERROR(__xludf.DUMMYFUNCTION("""COMPUTED_VALUE"""),1)</f>
        <v>1</v>
      </c>
      <c r="AB74" s="12">
        <f ca="1">IFERROR(__xludf.DUMMYFUNCTION("""COMPUTED_VALUE"""),8)</f>
        <v>8</v>
      </c>
      <c r="AC74" s="12"/>
      <c r="AD74" s="12"/>
      <c r="AE74" s="12"/>
      <c r="AF74" s="12"/>
      <c r="AG74" s="13" t="str">
        <f ca="1">IFERROR(__xludf.DUMMYFUNCTION("ArrayFormula(VLOOKUP(G74, IMPORTRANGE(""https://docs.google.com/spreadsheets/d/1Co934fvtviyaRiMsrIlT05Jaq7iiYq07aLvRr35KA48/edit?gid=173865642#gid=173865642"", ""'G7_Sci_Pri_LU'!G2:V2000""), {3, 4, 5, 6, 7, 8, 9, 10, 11, 12, 13, 14, 15, 16}, 0))"),"")</f>
        <v/>
      </c>
      <c r="AH74" s="13"/>
      <c r="AI74" s="13"/>
      <c r="AJ74" s="13"/>
      <c r="AK74" s="13"/>
      <c r="AL74" s="13"/>
      <c r="AM74" s="13"/>
      <c r="AN74" s="13"/>
      <c r="AO74" s="13"/>
      <c r="AP74" s="13"/>
      <c r="AQ74" s="13"/>
      <c r="AR74" s="13"/>
      <c r="AS74" s="13"/>
      <c r="AT74" s="13"/>
    </row>
    <row r="75" spans="1:46">
      <c r="A75" s="8" t="s">
        <v>247</v>
      </c>
      <c r="B75" s="8" t="s">
        <v>47</v>
      </c>
      <c r="C75" s="8" t="s">
        <v>416</v>
      </c>
      <c r="D75" s="8" t="s">
        <v>1406</v>
      </c>
      <c r="E75" s="8" t="s">
        <v>1904</v>
      </c>
      <c r="F75" s="8" t="s">
        <v>1915</v>
      </c>
      <c r="G75" s="8" t="s">
        <v>1917</v>
      </c>
      <c r="H75" s="8" t="str">
        <f ca="1">IFERROR(__xludf.DUMMYFUNCTION("VLOOKUP(G75, IMPORTRANGE(""https://docs.google.com/spreadsheets/d/14deopnvwcrKtEGCKuYXdUHJbeLDZlkiSSWWT0g7x2pM/edit#gid=849066331"", ""LU List Science (Filter)!A:B""), 2, FALSE)"),"Excretion in various types of organisms")</f>
        <v>Excretion in various types of organisms</v>
      </c>
      <c r="I75" s="10" t="str">
        <f t="shared" si="0"/>
        <v>LU005458.001</v>
      </c>
      <c r="J75" s="10" t="str">
        <f ca="1">IFERROR(__xludf.DUMMYFUNCTION("VLOOKUP(I75, IMPORTRANGE(""https://docs.google.com/spreadsheets/d/1yDAaXNsi4Mr5FtRQL4tbmSdIzhx6_m4wkOD7IG-k_eo/edit#gid=1336395716"", ""Science!M:N""), 2, FALSE)"),"Students will recall the excretory organs and methods used by unicellular organisms, multicellular organisms, humans, and other animals.")</f>
        <v>Students will recall the excretory organs and methods used by unicellular organisms, multicellular organisms, humans, and other animals.</v>
      </c>
      <c r="K75" s="10" t="str">
        <f t="shared" si="1"/>
        <v>LU005458.002</v>
      </c>
      <c r="L75" s="10" t="str">
        <f ca="1">IFERROR(__xludf.DUMMYFUNCTION("VLOOKUP(K75, IMPORTRANGE(""https://docs.google.com/spreadsheets/d/1yDAaXNsi4Mr5FtRQL4tbmSdIzhx6_m4wkOD7IG-k_eo/edit#gid=1336395716"", ""Science!M:N""), 2, FALSE)"),"Students will explain the process of excretion as it occurs in different types of living organisms.")</f>
        <v>Students will explain the process of excretion as it occurs in different types of living organisms.</v>
      </c>
      <c r="M75" s="10" t="str">
        <f t="shared" si="2"/>
        <v>LU005458.003</v>
      </c>
      <c r="N75" s="10" t="str">
        <f ca="1">IFERROR(__xludf.DUMMYFUNCTION("VLOOKUP(M75, IMPORTRANGE(""https://docs.google.com/spreadsheets/d/1yDAaXNsi4Mr5FtRQL4tbmSdIzhx6_m4wkOD7IG-k_eo/edit#gid=1336395716"", ""Science!M:N""), 2, FALSE)"),"Students will demonstrate the path of waste through the excretory system of a chosen organism using diagrams.")</f>
        <v>Students will demonstrate the path of waste through the excretory system of a chosen organism using diagrams.</v>
      </c>
      <c r="O75" s="10" t="str">
        <f t="shared" si="3"/>
        <v>LU005458.004</v>
      </c>
      <c r="P75" s="10" t="str">
        <f ca="1">IFERROR(__xludf.DUMMYFUNCTION("VLOOKUP(O75, IMPORTRANGE(""https://docs.google.com/spreadsheets/d/1yDAaXNsi4Mr5FtRQL4tbmSdIzhx6_m4wkOD7IG-k_eo/edit#gid=1336395716"", ""Science!M:N""), 2, FALSE)"),"Students will analyze how the complexity of an organism affects its excretory system.")</f>
        <v>Students will analyze how the complexity of an organism affects its excretory system.</v>
      </c>
      <c r="Q75" s="10" t="str">
        <f t="shared" si="4"/>
        <v>LU005458.005</v>
      </c>
      <c r="R75" s="10" t="str">
        <f ca="1">IFERROR(__xludf.DUMMYFUNCTION("VLOOKUP(Q75, IMPORTRANGE(""https://docs.google.com/spreadsheets/d/1yDAaXNsi4Mr5FtRQL4tbmSdIzhx6_m4wkOD7IG-k_eo/edit#gid=1336395716"", ""Science!M:N""), 2, FALSE)"),"Students will evaluate the efficiency of excretion in one organism compared to another and how this affects their survival in their respective environments.")</f>
        <v>Students will evaluate the efficiency of excretion in one organism compared to another and how this affects their survival in their respective environments.</v>
      </c>
      <c r="S75" s="10" t="str">
        <f t="shared" si="5"/>
        <v>LU005458.006</v>
      </c>
      <c r="T75" s="10" t="str">
        <f ca="1">IFERROR(__xludf.DUMMYFUNCTION("VLOOKUP(S75, IMPORTRANGE(""https://docs.google.com/spreadsheets/d/1yDAaXNsi4Mr5FtRQL4tbmSdIzhx6_m4wkOD7IG-k_eo/edit#gid=1336395716"", ""Science!M:N""), 2, FALSE)"),"#N/A")</f>
        <v>#N/A</v>
      </c>
      <c r="U75" s="116">
        <f ca="1">IFERROR(__xludf.DUMMYFUNCTION("ArrayFormula(VLOOKUP(G75, IMPORTRANGE(""https://docs.google.com/spreadsheets/d/1p7R4vtkWt5VOBim4ltsDG9KTzSjrtKXsMtQGXPHyND0/edit#gid=795171502"", ""'Filter 30_05_2024'!A1:M2000""), {2, 3, 4, 5,6,7,8,9,10,11,12,13}, 0))"),4)</f>
        <v>4</v>
      </c>
      <c r="V75" s="116">
        <f ca="1">IFERROR(__xludf.DUMMYFUNCTION("""COMPUTED_VALUE"""),6)</f>
        <v>6</v>
      </c>
      <c r="W75" s="116">
        <f ca="1">IFERROR(__xludf.DUMMYFUNCTION("""COMPUTED_VALUE"""),2)</f>
        <v>2</v>
      </c>
      <c r="X75" s="116">
        <f ca="1">IFERROR(__xludf.DUMMYFUNCTION("""COMPUTED_VALUE"""),12)</f>
        <v>12</v>
      </c>
      <c r="Y75" s="116">
        <f ca="1">IFERROR(__xludf.DUMMYFUNCTION("""COMPUTED_VALUE"""),7)</f>
        <v>7</v>
      </c>
      <c r="Z75" s="12">
        <f ca="1">IFERROR(__xludf.DUMMYFUNCTION("""COMPUTED_VALUE"""),3)</f>
        <v>3</v>
      </c>
      <c r="AA75" s="12">
        <f ca="1">IFERROR(__xludf.DUMMYFUNCTION("""COMPUTED_VALUE"""),1)</f>
        <v>1</v>
      </c>
      <c r="AB75" s="12">
        <f ca="1">IFERROR(__xludf.DUMMYFUNCTION("""COMPUTED_VALUE"""),11)</f>
        <v>11</v>
      </c>
      <c r="AC75" s="12"/>
      <c r="AD75" s="12"/>
      <c r="AE75" s="12"/>
      <c r="AF75" s="12"/>
      <c r="AG75" s="13" t="str">
        <f ca="1">IFERROR(__xludf.DUMMYFUNCTION("ArrayFormula(VLOOKUP(G75, IMPORTRANGE(""https://docs.google.com/spreadsheets/d/1Co934fvtviyaRiMsrIlT05Jaq7iiYq07aLvRr35KA48/edit?gid=173865642#gid=173865642"", ""'G7_Sci_Pri_LU'!G2:V2000""), {3, 4, 5, 6, 7, 8, 9, 10, 11, 12, 13, 14, 15, 16}, 0))"),"LU006084")</f>
        <v>LU006084</v>
      </c>
      <c r="AH75" s="13" t="str">
        <f ca="1">IFERROR(__xludf.DUMMYFUNCTION("""COMPUTED_VALUE"""),"Living things need food, energy through respiration and excrete waste")</f>
        <v>Living things need food, energy through respiration and excrete waste</v>
      </c>
      <c r="AI75" s="13" t="str">
        <f ca="1">IFERROR(__xludf.DUMMYFUNCTION("""COMPUTED_VALUE"""),"LU005103")</f>
        <v>LU005103</v>
      </c>
      <c r="AJ75" s="13" t="str">
        <f ca="1">IFERROR(__xludf.DUMMYFUNCTION("""COMPUTED_VALUE"""),"Definition of organ system")</f>
        <v>Definition of organ system</v>
      </c>
      <c r="AK75" s="13"/>
      <c r="AL75" s="13"/>
      <c r="AM75" s="13"/>
      <c r="AN75" s="13"/>
      <c r="AO75" s="13"/>
      <c r="AP75" s="13"/>
      <c r="AQ75" s="13"/>
      <c r="AR75" s="13"/>
      <c r="AS75" s="13"/>
      <c r="AT75" s="13"/>
    </row>
    <row r="76" spans="1:46">
      <c r="A76" s="8" t="s">
        <v>247</v>
      </c>
      <c r="B76" s="8" t="s">
        <v>47</v>
      </c>
      <c r="C76" s="8" t="s">
        <v>416</v>
      </c>
      <c r="D76" s="8" t="s">
        <v>1406</v>
      </c>
      <c r="E76" s="8" t="s">
        <v>1904</v>
      </c>
      <c r="F76" s="8" t="s">
        <v>1918</v>
      </c>
      <c r="G76" s="8" t="s">
        <v>1919</v>
      </c>
      <c r="H76" s="8" t="str">
        <f ca="1">IFERROR(__xludf.DUMMYFUNCTION("VLOOKUP(G76, IMPORTRANGE(""https://docs.google.com/spreadsheets/d/14deopnvwcrKtEGCKuYXdUHJbeLDZlkiSSWWT0g7x2pM/edit#gid=849066331"", ""LU List Science (Filter)!A:B""), 2, FALSE)"),"Substances transported to and within Plants")</f>
        <v>Substances transported to and within Plants</v>
      </c>
      <c r="I76" s="10" t="str">
        <f t="shared" si="0"/>
        <v>LU005452.001</v>
      </c>
      <c r="J76" s="10" t="str">
        <f ca="1">IFERROR(__xludf.DUMMYFUNCTION("VLOOKUP(I76, IMPORTRANGE(""https://docs.google.com/spreadsheets/d/1yDAaXNsi4Mr5FtRQL4tbmSdIzhx6_m4wkOD7IG-k_eo/edit#gid=1336395716"", ""Science!M:N""), 2, FALSE)"),"Students will list the substances transported within plants, including water, minerals, and nutrients.")</f>
        <v>Students will list the substances transported within plants, including water, minerals, and nutrients.</v>
      </c>
      <c r="K76" s="10" t="str">
        <f t="shared" si="1"/>
        <v>LU005452.002</v>
      </c>
      <c r="L76" s="10" t="str">
        <f ca="1">IFERROR(__xludf.DUMMYFUNCTION("VLOOKUP(K76, IMPORTRANGE(""https://docs.google.com/spreadsheets/d/1yDAaXNsi4Mr5FtRQL4tbmSdIzhx6_m4wkOD7IG-k_eo/edit#gid=1336395716"", ""Science!M:N""), 2, FALSE)"),"Students will explain the role of xylem and phloem with respect to transport in plants.")</f>
        <v>Students will explain the role of xylem and phloem with respect to transport in plants.</v>
      </c>
      <c r="M76" s="10" t="str">
        <f t="shared" si="2"/>
        <v>LU005452.003</v>
      </c>
      <c r="N76" s="10" t="str">
        <f ca="1">IFERROR(__xludf.DUMMYFUNCTION("VLOOKUP(M76, IMPORTRANGE(""https://docs.google.com/spreadsheets/d/1yDAaXNsi4Mr5FtRQL4tbmSdIzhx6_m4wkOD7IG-k_eo/edit#gid=1336395716"", ""Science!M:N""), 2, FALSE)"),"Students will simulate the movement of water and nutrients in plants using a model or experiment.")</f>
        <v>Students will simulate the movement of water and nutrients in plants using a model or experiment.</v>
      </c>
      <c r="O76" s="10" t="str">
        <f t="shared" si="3"/>
        <v>LU005452.004</v>
      </c>
      <c r="P76" s="10" t="str">
        <f ca="1">IFERROR(__xludf.DUMMYFUNCTION("VLOOKUP(O76, IMPORTRANGE(""https://docs.google.com/spreadsheets/d/1yDAaXNsi4Mr5FtRQL4tbmSdIzhx6_m4wkOD7IG-k_eo/edit#gid=1336395716"", ""Science!M:N""), 2, FALSE)"),"Students will analyze how different environmental conditions affect the transportation of substances in plants.")</f>
        <v>Students will analyze how different environmental conditions affect the transportation of substances in plants.</v>
      </c>
      <c r="Q76" s="10" t="str">
        <f t="shared" si="4"/>
        <v>LU005452.005</v>
      </c>
      <c r="R76" s="10" t="str">
        <f ca="1">IFERROR(__xludf.DUMMYFUNCTION("VLOOKUP(Q76, IMPORTRANGE(""https://docs.google.com/spreadsheets/d/1yDAaXNsi4Mr5FtRQL4tbmSdIzhx6_m4wkOD7IG-k_eo/edit#gid=1336395716"", ""Science!M:N""), 2, FALSE)"),"Students will evaluate the impact of transportation mechanisms on the overall health and growth of plants.")</f>
        <v>Students will evaluate the impact of transportation mechanisms on the overall health and growth of plants.</v>
      </c>
      <c r="S76" s="10" t="str">
        <f t="shared" si="5"/>
        <v>LU005452.006</v>
      </c>
      <c r="T76" s="10" t="str">
        <f ca="1">IFERROR(__xludf.DUMMYFUNCTION("VLOOKUP(S76, IMPORTRANGE(""https://docs.google.com/spreadsheets/d/1yDAaXNsi4Mr5FtRQL4tbmSdIzhx6_m4wkOD7IG-k_eo/edit#gid=1336395716"", ""Science!M:N""), 2, FALSE)"),"Students will design an investigation to observe and record the transport of colored water through the vascular system of a plant.")</f>
        <v>Students will design an investigation to observe and record the transport of colored water through the vascular system of a plant.</v>
      </c>
      <c r="U76" s="116">
        <f ca="1">IFERROR(__xludf.DUMMYFUNCTION("ArrayFormula(VLOOKUP(G76, IMPORTRANGE(""https://docs.google.com/spreadsheets/d/1p7R4vtkWt5VOBim4ltsDG9KTzSjrtKXsMtQGXPHyND0/edit#gid=795171502"", ""'Filter 30_05_2024'!A1:M2000""), {2, 3, 4, 5,6,7,8,9,10,11,12,13}, 0))"),12)</f>
        <v>12</v>
      </c>
      <c r="V76" s="116">
        <f ca="1">IFERROR(__xludf.DUMMYFUNCTION("""COMPUTED_VALUE"""),16)</f>
        <v>16</v>
      </c>
      <c r="W76" s="116">
        <f ca="1">IFERROR(__xludf.DUMMYFUNCTION("""COMPUTED_VALUE"""),2)</f>
        <v>2</v>
      </c>
      <c r="X76" s="116">
        <f ca="1">IFERROR(__xludf.DUMMYFUNCTION("""COMPUTED_VALUE"""),30)</f>
        <v>30</v>
      </c>
      <c r="Y76" s="116">
        <f ca="1">IFERROR(__xludf.DUMMYFUNCTION("""COMPUTED_VALUE"""),4)</f>
        <v>4</v>
      </c>
      <c r="Z76" s="12">
        <f ca="1">IFERROR(__xludf.DUMMYFUNCTION("""COMPUTED_VALUE"""),7)</f>
        <v>7</v>
      </c>
      <c r="AA76" s="12">
        <f ca="1">IFERROR(__xludf.DUMMYFUNCTION("""COMPUTED_VALUE"""),1)</f>
        <v>1</v>
      </c>
      <c r="AB76" s="12">
        <f ca="1">IFERROR(__xludf.DUMMYFUNCTION("""COMPUTED_VALUE"""),12)</f>
        <v>12</v>
      </c>
      <c r="AC76" s="12"/>
      <c r="AD76" s="12"/>
      <c r="AE76" s="12"/>
      <c r="AF76" s="12"/>
      <c r="AG76" s="13" t="str">
        <f ca="1">IFERROR(__xludf.DUMMYFUNCTION("ArrayFormula(VLOOKUP(G76, IMPORTRANGE(""https://docs.google.com/spreadsheets/d/1Co934fvtviyaRiMsrIlT05Jaq7iiYq07aLvRr35KA48/edit?gid=173865642#gid=173865642"", ""'G7_Sci_Pri_LU'!G2:V2000""), {3, 4, 5, 6, 7, 8, 9, 10, 11, 12, 13, 14, 15, 16}, 0))"),"LU005945")</f>
        <v>LU005945</v>
      </c>
      <c r="AH76" s="13" t="str">
        <f ca="1">IFERROR(__xludf.DUMMYFUNCTION("""COMPUTED_VALUE"""),"Introduction to transpiration process in plants")</f>
        <v>Introduction to transpiration process in plants</v>
      </c>
      <c r="AI76" s="13" t="str">
        <f ca="1">IFERROR(__xludf.DUMMYFUNCTION("""COMPUTED_VALUE"""),"LU005944")</f>
        <v>LU005944</v>
      </c>
      <c r="AJ76" s="13" t="str">
        <f ca="1">IFERROR(__xludf.DUMMYFUNCTION("""COMPUTED_VALUE"""),"Introduction to photosynthesis process in plants")</f>
        <v>Introduction to photosynthesis process in plants</v>
      </c>
      <c r="AK76" s="13" t="str">
        <f ca="1">IFERROR(__xludf.DUMMYFUNCTION("""COMPUTED_VALUE"""),"LU005408")</f>
        <v>LU005408</v>
      </c>
      <c r="AL76" s="13" t="str">
        <f ca="1">IFERROR(__xludf.DUMMYFUNCTION("""COMPUTED_VALUE"""),"Elements in the Photosynthesis(stomata, vessels, pigments)")</f>
        <v>Elements in the Photosynthesis(stomata, vessels, pigments)</v>
      </c>
      <c r="AM76" s="13"/>
      <c r="AN76" s="13"/>
      <c r="AO76" s="13"/>
      <c r="AP76" s="13"/>
      <c r="AQ76" s="13"/>
      <c r="AR76" s="13"/>
      <c r="AS76" s="13"/>
      <c r="AT76" s="13"/>
    </row>
    <row r="77" spans="1:46">
      <c r="A77" s="8" t="s">
        <v>247</v>
      </c>
      <c r="B77" s="8" t="s">
        <v>47</v>
      </c>
      <c r="C77" s="8" t="s">
        <v>416</v>
      </c>
      <c r="D77" s="8" t="s">
        <v>1406</v>
      </c>
      <c r="E77" s="8" t="s">
        <v>1904</v>
      </c>
      <c r="F77" s="8" t="s">
        <v>1918</v>
      </c>
      <c r="G77" s="8" t="s">
        <v>1920</v>
      </c>
      <c r="H77" s="8" t="str">
        <f ca="1">IFERROR(__xludf.DUMMYFUNCTION("VLOOKUP(G77, IMPORTRANGE(""https://docs.google.com/spreadsheets/d/14deopnvwcrKtEGCKuYXdUHJbeLDZlkiSSWWT0g7x2pM/edit#gid=849066331"", ""LU List Science (Filter)!A:B""), 2, FALSE)"),"Transpiration in Plants - Necessary Evil and its Mechanism")</f>
        <v>Transpiration in Plants - Necessary Evil and its Mechanism</v>
      </c>
      <c r="I77" s="10" t="str">
        <f t="shared" si="0"/>
        <v>LU005463.001</v>
      </c>
      <c r="J77" s="10" t="str">
        <f ca="1">IFERROR(__xludf.DUMMYFUNCTION("VLOOKUP(I77, IMPORTRANGE(""https://docs.google.com/spreadsheets/d/1yDAaXNsi4Mr5FtRQL4tbmSdIzhx6_m4wkOD7IG-k_eo/edit#gid=1336395716"", ""Science!M:N""), 2, FALSE)"),"Recall the definition of transpiration in plants and its significance as a ""necessary evil.""")</f>
        <v>Recall the definition of transpiration in plants and its significance as a "necessary evil."</v>
      </c>
      <c r="K77" s="10" t="str">
        <f t="shared" si="1"/>
        <v>LU005463.002</v>
      </c>
      <c r="L77" s="10" t="str">
        <f ca="1">IFERROR(__xludf.DUMMYFUNCTION("VLOOKUP(K77, IMPORTRANGE(""https://docs.google.com/spreadsheets/d/1yDAaXNsi4Mr5FtRQL4tbmSdIzhx6_m4wkOD7IG-k_eo/edit#gid=1336395716"", ""Science!M:N""), 2, FALSE)"),"Explain the concept of transpiration as a crucial process for plants despite its potential drawbacks.")</f>
        <v>Explain the concept of transpiration as a crucial process for plants despite its potential drawbacks.</v>
      </c>
      <c r="M77" s="10" t="str">
        <f t="shared" si="2"/>
        <v>LU005463.003</v>
      </c>
      <c r="N77" s="10" t="str">
        <f ca="1">IFERROR(__xludf.DUMMYFUNCTION("VLOOKUP(M77, IMPORTRANGE(""https://docs.google.com/spreadsheets/d/1yDAaXNsi4Mr5FtRQL4tbmSdIzhx6_m4wkOD7IG-k_eo/edit#gid=1336395716"", ""Science!M:N""), 2, FALSE)"),"Apply your understanding to describe the mechanism of transpiration, including how water vapor is lost through stomata and the role of guard cells in regulating this process.")</f>
        <v>Apply your understanding to describe the mechanism of transpiration, including how water vapor is lost through stomata and the role of guard cells in regulating this process.</v>
      </c>
      <c r="O77" s="10" t="str">
        <f t="shared" si="3"/>
        <v>LU005463.004</v>
      </c>
      <c r="P77" s="10" t="str">
        <f ca="1">IFERROR(__xludf.DUMMYFUNCTION("VLOOKUP(O77, IMPORTRANGE(""https://docs.google.com/spreadsheets/d/1yDAaXNsi4Mr5FtRQL4tbmSdIzhx6_m4wkOD7IG-k_eo/edit#gid=1336395716"", ""Science!M:N""), 2, FALSE)"),"Analyze the trade-offs of transpiration, discussing its benefits in terms of water and nutrient movement against the potential risks of excessive water loss.")</f>
        <v>Analyze the trade-offs of transpiration, discussing its benefits in terms of water and nutrient movement against the potential risks of excessive water loss.</v>
      </c>
      <c r="Q77" s="10" t="str">
        <f t="shared" si="4"/>
        <v>LU005463.005</v>
      </c>
      <c r="R77" s="10" t="str">
        <f ca="1">IFERROR(__xludf.DUMMYFUNCTION("VLOOKUP(Q77, IMPORTRANGE(""https://docs.google.com/spreadsheets/d/1yDAaXNsi4Mr5FtRQL4tbmSdIzhx6_m4wkOD7IG-k_eo/edit#gid=1336395716"", ""Science!M:N""), 2, FALSE)"),"Evaluate the impact of environmental conditions on transpiration rates and plant health, discussing scenarios where transpiration becomes a challenge or advantage for plants.")</f>
        <v>Evaluate the impact of environmental conditions on transpiration rates and plant health, discussing scenarios where transpiration becomes a challenge or advantage for plants.</v>
      </c>
      <c r="S77" s="10" t="str">
        <f t="shared" si="5"/>
        <v>LU005463.006</v>
      </c>
      <c r="T77" s="10" t="str">
        <f ca="1">IFERROR(__xludf.DUMMYFUNCTION("VLOOKUP(S77, IMPORTRANGE(""https://docs.google.com/spreadsheets/d/1yDAaXNsi4Mr5FtRQL4tbmSdIzhx6_m4wkOD7IG-k_eo/edit#gid=1336395716"", ""Science!M:N""), 2, FALSE)"),"#N/A")</f>
        <v>#N/A</v>
      </c>
      <c r="U77" s="116">
        <f ca="1">IFERROR(__xludf.DUMMYFUNCTION("ArrayFormula(VLOOKUP(G77, IMPORTRANGE(""https://docs.google.com/spreadsheets/d/1p7R4vtkWt5VOBim4ltsDG9KTzSjrtKXsMtQGXPHyND0/edit#gid=795171502"", ""'Filter 30_05_2024'!A1:M2000""), {2, 3, 4, 5,6,7,8,9,10,11,12,13}, 0))"),3)</f>
        <v>3</v>
      </c>
      <c r="V77" s="116">
        <f ca="1">IFERROR(__xludf.DUMMYFUNCTION("""COMPUTED_VALUE"""),6)</f>
        <v>6</v>
      </c>
      <c r="W77" s="116">
        <f ca="1">IFERROR(__xludf.DUMMYFUNCTION("""COMPUTED_VALUE"""),4)</f>
        <v>4</v>
      </c>
      <c r="X77" s="116">
        <f ca="1">IFERROR(__xludf.DUMMYFUNCTION("""COMPUTED_VALUE"""),13)</f>
        <v>13</v>
      </c>
      <c r="Y77" s="116">
        <f ca="1">IFERROR(__xludf.DUMMYFUNCTION("""COMPUTED_VALUE"""),5)</f>
        <v>5</v>
      </c>
      <c r="Z77" s="12">
        <f ca="1">IFERROR(__xludf.DUMMYFUNCTION("""COMPUTED_VALUE"""),3)</f>
        <v>3</v>
      </c>
      <c r="AA77" s="12"/>
      <c r="AB77" s="12">
        <f ca="1">IFERROR(__xludf.DUMMYFUNCTION("""COMPUTED_VALUE"""),8)</f>
        <v>8</v>
      </c>
      <c r="AC77" s="12"/>
      <c r="AD77" s="12"/>
      <c r="AE77" s="12"/>
      <c r="AF77" s="12"/>
      <c r="AG77" s="13" t="str">
        <f ca="1">IFERROR(__xludf.DUMMYFUNCTION("ArrayFormula(VLOOKUP(G77, IMPORTRANGE(""https://docs.google.com/spreadsheets/d/1Co934fvtviyaRiMsrIlT05Jaq7iiYq07aLvRr35KA48/edit?gid=173865642#gid=173865642"", ""'G7_Sci_Pri_LU'!G2:V2000""), {3, 4, 5, 6, 7, 8, 9, 10, 11, 12, 13, 14, 15, 16}, 0))"),"LU005945")</f>
        <v>LU005945</v>
      </c>
      <c r="AH77" s="13" t="str">
        <f ca="1">IFERROR(__xludf.DUMMYFUNCTION("""COMPUTED_VALUE"""),"Introduction to transpiration process in plants")</f>
        <v>Introduction to transpiration process in plants</v>
      </c>
      <c r="AI77" s="13" t="str">
        <f ca="1">IFERROR(__xludf.DUMMYFUNCTION("""COMPUTED_VALUE"""),"LU005408")</f>
        <v>LU005408</v>
      </c>
      <c r="AJ77" s="13" t="str">
        <f ca="1">IFERROR(__xludf.DUMMYFUNCTION("""COMPUTED_VALUE"""),"Elements in the Photosynthesis(stomata, vessels, pigments)")</f>
        <v>Elements in the Photosynthesis(stomata, vessels, pigments)</v>
      </c>
      <c r="AK77" s="13"/>
      <c r="AL77" s="13"/>
      <c r="AM77" s="13"/>
      <c r="AN77" s="13"/>
      <c r="AO77" s="13"/>
      <c r="AP77" s="13"/>
      <c r="AQ77" s="13"/>
      <c r="AR77" s="13"/>
      <c r="AS77" s="13"/>
      <c r="AT77" s="13"/>
    </row>
    <row r="78" spans="1:46">
      <c r="A78" s="8" t="s">
        <v>247</v>
      </c>
      <c r="B78" s="8" t="s">
        <v>47</v>
      </c>
      <c r="C78" s="8" t="s">
        <v>416</v>
      </c>
      <c r="D78" s="8" t="s">
        <v>1406</v>
      </c>
      <c r="E78" s="8" t="s">
        <v>1921</v>
      </c>
      <c r="F78" s="118" t="s">
        <v>1922</v>
      </c>
      <c r="G78" s="8" t="s">
        <v>1923</v>
      </c>
      <c r="H78" s="8" t="str">
        <f ca="1">IFERROR(__xludf.DUMMYFUNCTION("VLOOKUP(G78, IMPORTRANGE(""https://docs.google.com/spreadsheets/d/14deopnvwcrKtEGCKuYXdUHJbeLDZlkiSSWWT0g7x2pM/edit#gid=849066331"", ""LU List Science (Filter)!A:B""), 2, FALSE)"),"Definition of reproduction in plants")</f>
        <v>Definition of reproduction in plants</v>
      </c>
      <c r="I78" s="10" t="str">
        <f t="shared" si="0"/>
        <v>LU005419.001</v>
      </c>
      <c r="J78" s="10" t="str">
        <f ca="1">IFERROR(__xludf.DUMMYFUNCTION("VLOOKUP(I78, IMPORTRANGE(""https://docs.google.com/spreadsheets/d/1yDAaXNsi4Mr5FtRQL4tbmSdIzhx6_m4wkOD7IG-k_eo/edit#gid=1336395716"", ""Science!M:N""), 2, FALSE)"),"Students will state the definition of reproduction and list the different ways plants can reproduce.")</f>
        <v>Students will state the definition of reproduction and list the different ways plants can reproduce.</v>
      </c>
      <c r="K78" s="10" t="str">
        <f t="shared" si="1"/>
        <v>LU005419.002</v>
      </c>
      <c r="L78" s="10" t="str">
        <f ca="1">IFERROR(__xludf.DUMMYFUNCTION("VLOOKUP(K78, IMPORTRANGE(""https://docs.google.com/spreadsheets/d/1yDAaXNsi4Mr5FtRQL4tbmSdIzhx6_m4wkOD7IG-k_eo/edit#gid=1336395716"", ""Science!M:N""), 2, FALSE)"),"Students will briefly explain the different ways of reproduction in plants. ")</f>
        <v xml:space="preserve">Students will briefly explain the different ways of reproduction in plants. </v>
      </c>
      <c r="M78" s="10" t="str">
        <f t="shared" si="2"/>
        <v>LU005419.003</v>
      </c>
      <c r="N78" s="10" t="str">
        <f ca="1">IFERROR(__xludf.DUMMYFUNCTION("VLOOKUP(M78, IMPORTRANGE(""https://docs.google.com/spreadsheets/d/1yDAaXNsi4Mr5FtRQL4tbmSdIzhx6_m4wkOD7IG-k_eo/edit#gid=1336395716"", ""Science!M:N""), 2, FALSE)"),"Students will match various plants to the corresponding method of reproduction they utilize, whether sexual or asexual.")</f>
        <v>Students will match various plants to the corresponding method of reproduction they utilize, whether sexual or asexual.</v>
      </c>
      <c r="O78" s="10" t="str">
        <f t="shared" si="3"/>
        <v>LU005419.004</v>
      </c>
      <c r="P78" s="10" t="str">
        <f ca="1">IFERROR(__xludf.DUMMYFUNCTION("VLOOKUP(O78, IMPORTRANGE(""https://docs.google.com/spreadsheets/d/1yDAaXNsi4Mr5FtRQL4tbmSdIzhx6_m4wkOD7IG-k_eo/edit#gid=1336395716"", ""Science!M:N""), 2, FALSE)"),"Students will distinguish between the reproductive and vegetative parts of plants, providing specific examples of each.")</f>
        <v>Students will distinguish between the reproductive and vegetative parts of plants, providing specific examples of each.</v>
      </c>
      <c r="Q78" s="10" t="str">
        <f t="shared" si="4"/>
        <v>LU005419.005</v>
      </c>
      <c r="R78" s="10" t="str">
        <f ca="1">IFERROR(__xludf.DUMMYFUNCTION("VLOOKUP(Q78, IMPORTRANGE(""https://docs.google.com/spreadsheets/d/1yDAaXNsi4Mr5FtRQL4tbmSdIzhx6_m4wkOD7IG-k_eo/edit#gid=1336395716"", ""Science!M:N""), 2, FALSE)"),"Students will critique the advantages and disadvantages of different reproductive strategies used by plants.")</f>
        <v>Students will critique the advantages and disadvantages of different reproductive strategies used by plants.</v>
      </c>
      <c r="S78" s="10" t="str">
        <f t="shared" si="5"/>
        <v>LU005419.006</v>
      </c>
      <c r="T78" s="10" t="str">
        <f ca="1">IFERROR(__xludf.DUMMYFUNCTION("VLOOKUP(S78, IMPORTRANGE(""https://docs.google.com/spreadsheets/d/1yDAaXNsi4Mr5FtRQL4tbmSdIzhx6_m4wkOD7IG-k_eo/edit#gid=1336395716"", ""Science!M:N""), 2, FALSE)"),"#N/A")</f>
        <v>#N/A</v>
      </c>
      <c r="U78" s="116">
        <f ca="1">IFERROR(__xludf.DUMMYFUNCTION("ArrayFormula(VLOOKUP(G78, IMPORTRANGE(""https://docs.google.com/spreadsheets/d/1p7R4vtkWt5VOBim4ltsDG9KTzSjrtKXsMtQGXPHyND0/edit#gid=795171502"", ""'Filter 30_05_2024'!A1:M2000""), {2, 3, 4, 5,6,7,8,9,10,11,12,13}, 0))"),15)</f>
        <v>15</v>
      </c>
      <c r="V78" s="116">
        <f ca="1">IFERROR(__xludf.DUMMYFUNCTION("""COMPUTED_VALUE"""),7)</f>
        <v>7</v>
      </c>
      <c r="W78" s="116">
        <f ca="1">IFERROR(__xludf.DUMMYFUNCTION("""COMPUTED_VALUE"""),2)</f>
        <v>2</v>
      </c>
      <c r="X78" s="116">
        <f ca="1">IFERROR(__xludf.DUMMYFUNCTION("""COMPUTED_VALUE"""),24)</f>
        <v>24</v>
      </c>
      <c r="Y78" s="116">
        <f ca="1">IFERROR(__xludf.DUMMYFUNCTION("""COMPUTED_VALUE"""),4)</f>
        <v>4</v>
      </c>
      <c r="Z78" s="12">
        <f ca="1">IFERROR(__xludf.DUMMYFUNCTION("""COMPUTED_VALUE"""),3)</f>
        <v>3</v>
      </c>
      <c r="AA78" s="12">
        <f ca="1">IFERROR(__xludf.DUMMYFUNCTION("""COMPUTED_VALUE"""),1)</f>
        <v>1</v>
      </c>
      <c r="AB78" s="12">
        <f ca="1">IFERROR(__xludf.DUMMYFUNCTION("""COMPUTED_VALUE"""),8)</f>
        <v>8</v>
      </c>
      <c r="AC78" s="12"/>
      <c r="AD78" s="12"/>
      <c r="AE78" s="12"/>
      <c r="AF78" s="12"/>
      <c r="AG78" s="13" t="str">
        <f ca="1">IFERROR(__xludf.DUMMYFUNCTION("ArrayFormula(VLOOKUP(G78, IMPORTRANGE(""https://docs.google.com/spreadsheets/d/1Co934fvtviyaRiMsrIlT05Jaq7iiYq07aLvRr35KA48/edit?gid=173865642#gid=173865642"", ""'G7_Sci_Pri_LU'!G2:V2000""), {3, 4, 5, 6, 7, 8, 9, 10, 11, 12, 13, 14, 15, 16}, 0))"),"LU006086")</f>
        <v>LU006086</v>
      </c>
      <c r="AH78" s="13" t="str">
        <f ca="1">IFERROR(__xludf.DUMMYFUNCTION("""COMPUTED_VALUE"""),"Living things reproduce, grow, and have a definite life span")</f>
        <v>Living things reproduce, grow, and have a definite life span</v>
      </c>
      <c r="AI78" s="13" t="str">
        <f ca="1">IFERROR(__xludf.DUMMYFUNCTION("""COMPUTED_VALUE"""),"LU005980")</f>
        <v>LU005980</v>
      </c>
      <c r="AJ78" s="13" t="str">
        <f ca="1">IFERROR(__xludf.DUMMYFUNCTION("""COMPUTED_VALUE"""),"Summary of the life cycle of a typical flowering plant")</f>
        <v>Summary of the life cycle of a typical flowering plant</v>
      </c>
      <c r="AK78" s="13" t="str">
        <f ca="1">IFERROR(__xludf.DUMMYFUNCTION("""COMPUTED_VALUE"""),"LU005237")</f>
        <v>LU005237</v>
      </c>
      <c r="AL78" s="13" t="str">
        <f ca="1">IFERROR(__xludf.DUMMYFUNCTION("""COMPUTED_VALUE"""),"Parts of a typical plant")</f>
        <v>Parts of a typical plant</v>
      </c>
      <c r="AM78" s="13"/>
      <c r="AN78" s="13"/>
      <c r="AO78" s="13"/>
      <c r="AP78" s="13"/>
      <c r="AQ78" s="13"/>
      <c r="AR78" s="13"/>
      <c r="AS78" s="13"/>
      <c r="AT78" s="13"/>
    </row>
    <row r="79" spans="1:46">
      <c r="A79" s="8" t="s">
        <v>247</v>
      </c>
      <c r="B79" s="8" t="s">
        <v>47</v>
      </c>
      <c r="C79" s="8" t="s">
        <v>416</v>
      </c>
      <c r="D79" s="8" t="s">
        <v>1406</v>
      </c>
      <c r="E79" s="8" t="s">
        <v>1921</v>
      </c>
      <c r="F79" s="118" t="s">
        <v>1922</v>
      </c>
      <c r="G79" s="8" t="s">
        <v>1924</v>
      </c>
      <c r="H79" s="8" t="str">
        <f ca="1">IFERROR(__xludf.DUMMYFUNCTION("VLOOKUP(G79, IMPORTRANGE(""https://docs.google.com/spreadsheets/d/14deopnvwcrKtEGCKuYXdUHJbeLDZlkiSSWWT0g7x2pM/edit#gid=849066331"", ""LU List Science (Filter)!A:B""), 2, FALSE)"),"Vegetative Propagation from stem, leaves, and roots of the plant.")</f>
        <v>Vegetative Propagation from stem, leaves, and roots of the plant.</v>
      </c>
      <c r="I79" s="10" t="str">
        <f t="shared" si="0"/>
        <v>LU005421.001</v>
      </c>
      <c r="J79" s="10" t="str">
        <f ca="1">IFERROR(__xludf.DUMMYFUNCTION("VLOOKUP(I79, IMPORTRANGE(""https://docs.google.com/spreadsheets/d/1yDAaXNsi4Mr5FtRQL4tbmSdIzhx6_m4wkOD7IG-k_eo/edit#gid=1336395716"", ""Science!M:N""), 2, FALSE)"),"Students will name plant species that can undergo vegetative propagation through stems, leaves, and roots.")</f>
        <v>Students will name plant species that can undergo vegetative propagation through stems, leaves, and roots.</v>
      </c>
      <c r="K79" s="10" t="str">
        <f t="shared" si="1"/>
        <v>LU005421.002</v>
      </c>
      <c r="L79" s="10" t="str">
        <f ca="1">IFERROR(__xludf.DUMMYFUNCTION("VLOOKUP(K79, IMPORTRANGE(""https://docs.google.com/spreadsheets/d/1yDAaXNsi4Mr5FtRQL4tbmSdIzhx6_m4wkOD7IG-k_eo/edit#gid=1336395716"", ""Science!M:N""), 2, FALSE)"),"Students will summarize the steps involved in vegetative propagation from stems, leaves, and roots.")</f>
        <v>Students will summarize the steps involved in vegetative propagation from stems, leaves, and roots.</v>
      </c>
      <c r="M79" s="10" t="str">
        <f t="shared" si="2"/>
        <v>LU005421.003</v>
      </c>
      <c r="N79" s="10" t="str">
        <f ca="1">IFERROR(__xludf.DUMMYFUNCTION("VLOOKUP(M79, IMPORTRANGE(""https://docs.google.com/spreadsheets/d/1yDAaXNsi4Mr5FtRQL4tbmSdIzhx6_m4wkOD7IG-k_eo/edit#gid=1336395716"", ""Science!M:N""), 2, FALSE)"),"Students will replicate vegetative propagation using the stems, leaves, or roots of a plant.")</f>
        <v>Students will replicate vegetative propagation using the stems, leaves, or roots of a plant.</v>
      </c>
      <c r="O79" s="10" t="str">
        <f t="shared" si="3"/>
        <v>LU005421.004</v>
      </c>
      <c r="P79" s="10" t="str">
        <f ca="1">IFERROR(__xludf.DUMMYFUNCTION("VLOOKUP(O79, IMPORTRANGE(""https://docs.google.com/spreadsheets/d/1yDAaXNsi4Mr5FtRQL4tbmSdIzhx6_m4wkOD7IG-k_eo/edit#gid=1336395716"", ""Science!M:N""), 2, FALSE)"),"Students will examine the advantages and disadvantages of vegetative propagation compared to sexual reproduction in plants.")</f>
        <v>Students will examine the advantages and disadvantages of vegetative propagation compared to sexual reproduction in plants.</v>
      </c>
      <c r="Q79" s="10" t="str">
        <f t="shared" si="4"/>
        <v>LU005421.005</v>
      </c>
      <c r="R79" s="10" t="str">
        <f ca="1">IFERROR(__xludf.DUMMYFUNCTION("VLOOKUP(Q79, IMPORTRANGE(""https://docs.google.com/spreadsheets/d/1yDAaXNsi4Mr5FtRQL4tbmSdIzhx6_m4wkOD7IG-k_eo/edit#gid=1336395716"", ""Science!M:N""), 2, FALSE)"),"Students will justify the use of vegetative propagation in agriculture and horticulture.")</f>
        <v>Students will justify the use of vegetative propagation in agriculture and horticulture.</v>
      </c>
      <c r="S79" s="10" t="str">
        <f t="shared" si="5"/>
        <v>LU005421.006</v>
      </c>
      <c r="T79" s="10" t="str">
        <f ca="1">IFERROR(__xludf.DUMMYFUNCTION("VLOOKUP(S79, IMPORTRANGE(""https://docs.google.com/spreadsheets/d/1yDAaXNsi4Mr5FtRQL4tbmSdIzhx6_m4wkOD7IG-k_eo/edit#gid=1336395716"", ""Science!M:N""), 2, FALSE)"),"#N/A")</f>
        <v>#N/A</v>
      </c>
      <c r="U79" s="116">
        <f ca="1">IFERROR(__xludf.DUMMYFUNCTION("ArrayFormula(VLOOKUP(G79, IMPORTRANGE(""https://docs.google.com/spreadsheets/d/1p7R4vtkWt5VOBim4ltsDG9KTzSjrtKXsMtQGXPHyND0/edit#gid=795171502"", ""'Filter 30_05_2024'!A1:M2000""), {2, 3, 4, 5,6,7,8,9,10,11,12,13}, 0))"),14)</f>
        <v>14</v>
      </c>
      <c r="V79" s="116">
        <f ca="1">IFERROR(__xludf.DUMMYFUNCTION("""COMPUTED_VALUE"""),6)</f>
        <v>6</v>
      </c>
      <c r="W79" s="116">
        <f ca="1">IFERROR(__xludf.DUMMYFUNCTION("""COMPUTED_VALUE"""),7)</f>
        <v>7</v>
      </c>
      <c r="X79" s="116">
        <f ca="1">IFERROR(__xludf.DUMMYFUNCTION("""COMPUTED_VALUE"""),27)</f>
        <v>27</v>
      </c>
      <c r="Y79" s="116">
        <f ca="1">IFERROR(__xludf.DUMMYFUNCTION("""COMPUTED_VALUE"""),10)</f>
        <v>10</v>
      </c>
      <c r="Z79" s="12">
        <f ca="1">IFERROR(__xludf.DUMMYFUNCTION("""COMPUTED_VALUE"""),3)</f>
        <v>3</v>
      </c>
      <c r="AA79" s="12">
        <f ca="1">IFERROR(__xludf.DUMMYFUNCTION("""COMPUTED_VALUE"""),2)</f>
        <v>2</v>
      </c>
      <c r="AB79" s="12">
        <f ca="1">IFERROR(__xludf.DUMMYFUNCTION("""COMPUTED_VALUE"""),15)</f>
        <v>15</v>
      </c>
      <c r="AC79" s="12"/>
      <c r="AD79" s="12"/>
      <c r="AE79" s="12"/>
      <c r="AF79" s="12"/>
      <c r="AG79" s="13" t="str">
        <f ca="1">IFERROR(__xludf.DUMMYFUNCTION("ArrayFormula(VLOOKUP(G79, IMPORTRANGE(""https://docs.google.com/spreadsheets/d/1Co934fvtviyaRiMsrIlT05Jaq7iiYq07aLvRr35KA48/edit?gid=173865642#gid=173865642"", ""'G7_Sci_Pri_LU'!G2:V2000""), {3, 4, 5, 6, 7, 8, 9, 10, 11, 12, 13, 14, 15, 16}, 0))"),"LU005419")</f>
        <v>LU005419</v>
      </c>
      <c r="AH79" s="13" t="str">
        <f ca="1">IFERROR(__xludf.DUMMYFUNCTION("""COMPUTED_VALUE"""),"Definition of reproduction in plants")</f>
        <v>Definition of reproduction in plants</v>
      </c>
      <c r="AI79" s="13" t="str">
        <f ca="1">IFERROR(__xludf.DUMMYFUNCTION("""COMPUTED_VALUE"""),"LU005237")</f>
        <v>LU005237</v>
      </c>
      <c r="AJ79" s="13" t="str">
        <f ca="1">IFERROR(__xludf.DUMMYFUNCTION("""COMPUTED_VALUE"""),"Parts of a typical plant")</f>
        <v>Parts of a typical plant</v>
      </c>
      <c r="AK79" s="13"/>
      <c r="AL79" s="13"/>
      <c r="AM79" s="13"/>
      <c r="AN79" s="13"/>
      <c r="AO79" s="13"/>
      <c r="AP79" s="13"/>
      <c r="AQ79" s="13"/>
      <c r="AR79" s="13"/>
      <c r="AS79" s="13"/>
      <c r="AT79" s="13"/>
    </row>
    <row r="80" spans="1:46">
      <c r="A80" s="8" t="s">
        <v>247</v>
      </c>
      <c r="B80" s="8" t="s">
        <v>47</v>
      </c>
      <c r="C80" s="8" t="s">
        <v>416</v>
      </c>
      <c r="D80" s="8" t="s">
        <v>1406</v>
      </c>
      <c r="E80" s="8" t="s">
        <v>1921</v>
      </c>
      <c r="F80" s="118" t="s">
        <v>1925</v>
      </c>
      <c r="G80" s="8" t="s">
        <v>1926</v>
      </c>
      <c r="H80" s="8" t="str">
        <f ca="1">IFERROR(__xludf.DUMMYFUNCTION("VLOOKUP(G80, IMPORTRANGE(""https://docs.google.com/spreadsheets/d/14deopnvwcrKtEGCKuYXdUHJbeLDZlkiSSWWT0g7x2pM/edit#gid=849066331"", ""LU List Science (Filter)!A:B""), 2, FALSE)"),"Budding, fragmentation, sporulation and vegetative propagation")</f>
        <v>Budding, fragmentation, sporulation and vegetative propagation</v>
      </c>
      <c r="I80" s="10" t="str">
        <f t="shared" si="0"/>
        <v>LU005420.001</v>
      </c>
      <c r="J80" s="10" t="str">
        <f ca="1">IFERROR(__xludf.DUMMYFUNCTION("VLOOKUP(I80, IMPORTRANGE(""https://docs.google.com/spreadsheets/d/1yDAaXNsi4Mr5FtRQL4tbmSdIzhx6_m4wkOD7IG-k_eo/edit#gid=1336395716"", ""Science!M:N""), 2, FALSE)"),"Students will enumerate the types of asexual reproduction in non-animal organisms: budding, fragmentation, spore formation, and vegetative propagation.")</f>
        <v>Students will enumerate the types of asexual reproduction in non-animal organisms: budding, fragmentation, spore formation, and vegetative propagation.</v>
      </c>
      <c r="K80" s="10" t="str">
        <f t="shared" si="1"/>
        <v>LU005420.002</v>
      </c>
      <c r="L80" s="10" t="str">
        <f ca="1">IFERROR(__xludf.DUMMYFUNCTION("VLOOKUP(K80, IMPORTRANGE(""https://docs.google.com/spreadsheets/d/1yDAaXNsi4Mr5FtRQL4tbmSdIzhx6_m4wkOD7IG-k_eo/edit#gid=1336395716"", ""Science!M:N""), 2, FALSE)"),"Students will explain(and or/distinguish between) the processes of budding, fragmentation, spore formation, and vegetative propagation.")</f>
        <v>Students will explain(and or/distinguish between) the processes of budding, fragmentation, spore formation, and vegetative propagation.</v>
      </c>
      <c r="M80" s="10" t="str">
        <f t="shared" si="2"/>
        <v>LU005420.003</v>
      </c>
      <c r="N80" s="10" t="str">
        <f ca="1">IFERROR(__xludf.DUMMYFUNCTION("VLOOKUP(M80, IMPORTRANGE(""https://docs.google.com/spreadsheets/d/1yDAaXNsi4Mr5FtRQL4tbmSdIzhx6_m4wkOD7IG-k_eo/edit#gid=1336395716"", ""Science!M:N""), 2, FALSE)"),"Students will apply the concept of asexual reproduction to identify which method is being used in different non-animal organisms.")</f>
        <v>Students will apply the concept of asexual reproduction to identify which method is being used in different non-animal organisms.</v>
      </c>
      <c r="O80" s="10" t="str">
        <f t="shared" si="3"/>
        <v>LU005420.004</v>
      </c>
      <c r="P80" s="10" t="str">
        <f ca="1">IFERROR(__xludf.DUMMYFUNCTION("VLOOKUP(O80, IMPORTRANGE(""https://docs.google.com/spreadsheets/d/1yDAaXNsi4Mr5FtRQL4tbmSdIzhx6_m4wkOD7IG-k_eo/edit#gid=1336395716"", ""Science!M:N""), 2, FALSE)"),"Students will dissect the advantages and disadvantages of each type of asexual reproduction in non-animal organisms.")</f>
        <v>Students will dissect the advantages and disadvantages of each type of asexual reproduction in non-animal organisms.</v>
      </c>
      <c r="Q80" s="10" t="str">
        <f t="shared" si="4"/>
        <v>LU005420.005</v>
      </c>
      <c r="R80" s="10" t="str">
        <f ca="1">IFERROR(__xludf.DUMMYFUNCTION("VLOOKUP(Q80, IMPORTRANGE(""https://docs.google.com/spreadsheets/d/1yDAaXNsi4Mr5FtRQL4tbmSdIzhx6_m4wkOD7IG-k_eo/edit#gid=1336395716"", ""Science!M:N""), 2, FALSE)"),"Students will critique the efficiency of asexual reproduction methods in terms of survival and adaptability of non-animal organisms.")</f>
        <v>Students will critique the efficiency of asexual reproduction methods in terms of survival and adaptability of non-animal organisms.</v>
      </c>
      <c r="S80" s="10" t="str">
        <f t="shared" si="5"/>
        <v>LU005420.006</v>
      </c>
      <c r="T80" s="10" t="str">
        <f ca="1">IFERROR(__xludf.DUMMYFUNCTION("VLOOKUP(S80, IMPORTRANGE(""https://docs.google.com/spreadsheets/d/1yDAaXNsi4Mr5FtRQL4tbmSdIzhx6_m4wkOD7IG-k_eo/edit#gid=1336395716"", ""Science!M:N""), 2, FALSE)"),"#N/A")</f>
        <v>#N/A</v>
      </c>
      <c r="U80" s="116">
        <f ca="1">IFERROR(__xludf.DUMMYFUNCTION("ArrayFormula(VLOOKUP(G80, IMPORTRANGE(""https://docs.google.com/spreadsheets/d/1p7R4vtkWt5VOBim4ltsDG9KTzSjrtKXsMtQGXPHyND0/edit#gid=795171502"", ""'Filter 30_05_2024'!A1:M2000""), {2, 3, 4, 5,6,7,8,9,10,11,12,13}, 0))"),5)</f>
        <v>5</v>
      </c>
      <c r="V80" s="116">
        <f ca="1">IFERROR(__xludf.DUMMYFUNCTION("""COMPUTED_VALUE"""),5)</f>
        <v>5</v>
      </c>
      <c r="W80" s="116">
        <f ca="1">IFERROR(__xludf.DUMMYFUNCTION("""COMPUTED_VALUE"""),2)</f>
        <v>2</v>
      </c>
      <c r="X80" s="116">
        <f ca="1">IFERROR(__xludf.DUMMYFUNCTION("""COMPUTED_VALUE"""),12)</f>
        <v>12</v>
      </c>
      <c r="Y80" s="116">
        <f ca="1">IFERROR(__xludf.DUMMYFUNCTION("""COMPUTED_VALUE"""),4)</f>
        <v>4</v>
      </c>
      <c r="Z80" s="12">
        <f ca="1">IFERROR(__xludf.DUMMYFUNCTION("""COMPUTED_VALUE"""),3)</f>
        <v>3</v>
      </c>
      <c r="AA80" s="12">
        <f ca="1">IFERROR(__xludf.DUMMYFUNCTION("""COMPUTED_VALUE"""),1)</f>
        <v>1</v>
      </c>
      <c r="AB80" s="12">
        <f ca="1">IFERROR(__xludf.DUMMYFUNCTION("""COMPUTED_VALUE"""),8)</f>
        <v>8</v>
      </c>
      <c r="AC80" s="12"/>
      <c r="AD80" s="12"/>
      <c r="AE80" s="12"/>
      <c r="AF80" s="12"/>
      <c r="AG80" s="13" t="str">
        <f ca="1">IFERROR(__xludf.DUMMYFUNCTION("ArrayFormula(VLOOKUP(G80, IMPORTRANGE(""https://docs.google.com/spreadsheets/d/1Co934fvtviyaRiMsrIlT05Jaq7iiYq07aLvRr35KA48/edit?gid=173865642#gid=173865642"", ""'G7_Sci_Pri_LU'!G2:V2000""), {3, 4, 5, 6, 7, 8, 9, 10, 11, 12, 13, 14, 15, 16}, 0))"),"LU005419")</f>
        <v>LU005419</v>
      </c>
      <c r="AH80" s="13" t="str">
        <f ca="1">IFERROR(__xludf.DUMMYFUNCTION("""COMPUTED_VALUE"""),"Definition of reproduction in plants")</f>
        <v>Definition of reproduction in plants</v>
      </c>
      <c r="AI80" s="13"/>
      <c r="AJ80" s="13"/>
      <c r="AK80" s="13"/>
      <c r="AL80" s="13"/>
      <c r="AM80" s="13"/>
      <c r="AN80" s="13"/>
      <c r="AO80" s="13"/>
      <c r="AP80" s="13"/>
      <c r="AQ80" s="13"/>
      <c r="AR80" s="13"/>
      <c r="AS80" s="13"/>
      <c r="AT80" s="13"/>
    </row>
    <row r="81" spans="1:46">
      <c r="A81" s="8" t="s">
        <v>247</v>
      </c>
      <c r="B81" s="8" t="s">
        <v>47</v>
      </c>
      <c r="C81" s="8" t="s">
        <v>416</v>
      </c>
      <c r="D81" s="8" t="s">
        <v>1406</v>
      </c>
      <c r="E81" s="8" t="s">
        <v>1921</v>
      </c>
      <c r="F81" s="118" t="s">
        <v>1927</v>
      </c>
      <c r="G81" s="8" t="s">
        <v>1928</v>
      </c>
      <c r="H81" s="8" t="str">
        <f ca="1">IFERROR(__xludf.DUMMYFUNCTION("VLOOKUP(G81, IMPORTRANGE(""https://docs.google.com/spreadsheets/d/14deopnvwcrKtEGCKuYXdUHJbeLDZlkiSSWWT0g7x2pM/edit#gid=849066331"", ""LU List Science (Filter)!A:B""), 2, FALSE)"),"Understanding budding in yeast")</f>
        <v>Understanding budding in yeast</v>
      </c>
      <c r="I81" s="10" t="str">
        <f t="shared" si="0"/>
        <v>LU005959.001</v>
      </c>
      <c r="J81" s="10" t="str">
        <f ca="1">IFERROR(__xludf.DUMMYFUNCTION("VLOOKUP(I81, IMPORTRANGE(""https://docs.google.com/spreadsheets/d/1yDAaXNsi4Mr5FtRQL4tbmSdIzhx6_m4wkOD7IG-k_eo/edit#gid=1336395716"", ""Science!M:N""), 2, FALSE)"),"Recall the definition of budding in the context of yeast reproduction.")</f>
        <v>Recall the definition of budding in the context of yeast reproduction.</v>
      </c>
      <c r="K81" s="10" t="str">
        <f t="shared" si="1"/>
        <v>LU005959.002</v>
      </c>
      <c r="L81" s="10" t="str">
        <f ca="1">IFERROR(__xludf.DUMMYFUNCTION("VLOOKUP(K81, IMPORTRANGE(""https://docs.google.com/spreadsheets/d/1yDAaXNsi4Mr5FtRQL4tbmSdIzhx6_m4wkOD7IG-k_eo/edit#gid=1336395716"", ""Science!M:N""), 2, FALSE)"),"Summarize the process and significance of budding in yeast.")</f>
        <v>Summarize the process and significance of budding in yeast.</v>
      </c>
      <c r="M81" s="10" t="str">
        <f t="shared" si="2"/>
        <v>LU005959.003</v>
      </c>
      <c r="N81" s="10" t="str">
        <f ca="1">IFERROR(__xludf.DUMMYFUNCTION("VLOOKUP(M81, IMPORTRANGE(""https://docs.google.com/spreadsheets/d/1yDAaXNsi4Mr5FtRQL4tbmSdIzhx6_m4wkOD7IG-k_eo/edit#gid=1336395716"", ""Science!M:N""), 2, FALSE)"),"Apply knowledge of yeast budding to identify yeast cells undergoing the process under a microscope.")</f>
        <v>Apply knowledge of yeast budding to identify yeast cells undergoing the process under a microscope.</v>
      </c>
      <c r="O81" s="10" t="str">
        <f t="shared" si="3"/>
        <v>LU005959.004</v>
      </c>
      <c r="P81" s="10" t="str">
        <f ca="1">IFERROR(__xludf.DUMMYFUNCTION("VLOOKUP(O81, IMPORTRANGE(""https://docs.google.com/spreadsheets/d/1yDAaXNsi4Mr5FtRQL4tbmSdIzhx6_m4wkOD7IG-k_eo/edit#gid=1336395716"", ""Science!M:N""), 2, FALSE)"),"Differentiate between budding in yeast and binary fission in bacteria.")</f>
        <v>Differentiate between budding in yeast and binary fission in bacteria.</v>
      </c>
      <c r="Q81" s="10" t="str">
        <f t="shared" si="4"/>
        <v>LU005959.005</v>
      </c>
      <c r="R81" s="10" t="str">
        <f ca="1">IFERROR(__xludf.DUMMYFUNCTION("VLOOKUP(Q81, IMPORTRANGE(""https://docs.google.com/spreadsheets/d/1yDAaXNsi4Mr5FtRQL4tbmSdIzhx6_m4wkOD7IG-k_eo/edit#gid=1336395716"", ""Science!M:N""), 2, FALSE)"),"Evaluate the conditions that affect the rate of yeast budding in an experiment.")</f>
        <v>Evaluate the conditions that affect the rate of yeast budding in an experiment.</v>
      </c>
      <c r="S81" s="10" t="str">
        <f t="shared" si="5"/>
        <v>LU005959.006</v>
      </c>
      <c r="T81" s="10" t="str">
        <f ca="1">IFERROR(__xludf.DUMMYFUNCTION("VLOOKUP(S81, IMPORTRANGE(""https://docs.google.com/spreadsheets/d/1yDAaXNsi4Mr5FtRQL4tbmSdIzhx6_m4wkOD7IG-k_eo/edit#gid=1336395716"", ""Science!M:N""), 2, FALSE)"),"Devise a hypothesis on how altering environmental factors might impact yeast budding and plan an experiment to test it.")</f>
        <v>Devise a hypothesis on how altering environmental factors might impact yeast budding and plan an experiment to test it.</v>
      </c>
      <c r="U81" s="116">
        <f ca="1">IFERROR(__xludf.DUMMYFUNCTION("ArrayFormula(VLOOKUP(G81, IMPORTRANGE(""https://docs.google.com/spreadsheets/d/1p7R4vtkWt5VOBim4ltsDG9KTzSjrtKXsMtQGXPHyND0/edit#gid=795171502"", ""'Filter 30_05_2024'!A1:M2000""), {2, 3, 4, 5,6,7,8,9,10,11,12,13}, 0))"),5)</f>
        <v>5</v>
      </c>
      <c r="V81" s="116">
        <f ca="1">IFERROR(__xludf.DUMMYFUNCTION("""COMPUTED_VALUE"""),6)</f>
        <v>6</v>
      </c>
      <c r="W81" s="116">
        <f ca="1">IFERROR(__xludf.DUMMYFUNCTION("""COMPUTED_VALUE"""),2)</f>
        <v>2</v>
      </c>
      <c r="X81" s="116">
        <f ca="1">IFERROR(__xludf.DUMMYFUNCTION("""COMPUTED_VALUE"""),13)</f>
        <v>13</v>
      </c>
      <c r="Y81" s="116">
        <f ca="1">IFERROR(__xludf.DUMMYFUNCTION("""COMPUTED_VALUE"""),6)</f>
        <v>6</v>
      </c>
      <c r="Z81" s="12">
        <f ca="1">IFERROR(__xludf.DUMMYFUNCTION("""COMPUTED_VALUE"""),3)</f>
        <v>3</v>
      </c>
      <c r="AA81" s="12">
        <f ca="1">IFERROR(__xludf.DUMMYFUNCTION("""COMPUTED_VALUE"""),1)</f>
        <v>1</v>
      </c>
      <c r="AB81" s="12">
        <f ca="1">IFERROR(__xludf.DUMMYFUNCTION("""COMPUTED_VALUE"""),10)</f>
        <v>10</v>
      </c>
      <c r="AC81" s="12"/>
      <c r="AD81" s="12"/>
      <c r="AE81" s="12"/>
      <c r="AF81" s="12"/>
      <c r="AG81" s="13" t="str">
        <f ca="1">IFERROR(__xludf.DUMMYFUNCTION("ArrayFormula(VLOOKUP(G81, IMPORTRANGE(""https://docs.google.com/spreadsheets/d/1Co934fvtviyaRiMsrIlT05Jaq7iiYq07aLvRr35KA48/edit?gid=173865642#gid=173865642"", ""'G7_Sci_Pri_LU'!G2:V2000""), {3, 4, 5, 6, 7, 8, 9, 10, 11, 12, 13, 14, 15, 16}, 0))"),"LU005419")</f>
        <v>LU005419</v>
      </c>
      <c r="AH81" s="13" t="str">
        <f ca="1">IFERROR(__xludf.DUMMYFUNCTION("""COMPUTED_VALUE"""),"Definition of reproduction in plants")</f>
        <v>Definition of reproduction in plants</v>
      </c>
      <c r="AI81" s="13" t="str">
        <f ca="1">IFERROR(__xludf.DUMMYFUNCTION("""COMPUTED_VALUE"""),"LU005420")</f>
        <v>LU005420</v>
      </c>
      <c r="AJ81" s="13" t="str">
        <f ca="1">IFERROR(__xludf.DUMMYFUNCTION("""COMPUTED_VALUE"""),"Budding, fragmentation, sporulation and vegetative propagation")</f>
        <v>Budding, fragmentation, sporulation and vegetative propagation</v>
      </c>
      <c r="AK81" s="13"/>
      <c r="AL81" s="13"/>
      <c r="AM81" s="13"/>
      <c r="AN81" s="13"/>
      <c r="AO81" s="13"/>
      <c r="AP81" s="13"/>
      <c r="AQ81" s="13"/>
      <c r="AR81" s="13"/>
      <c r="AS81" s="13"/>
      <c r="AT81" s="13"/>
    </row>
    <row r="82" spans="1:46">
      <c r="A82" s="8" t="s">
        <v>247</v>
      </c>
      <c r="B82" s="8" t="s">
        <v>47</v>
      </c>
      <c r="C82" s="8" t="s">
        <v>416</v>
      </c>
      <c r="D82" s="8" t="s">
        <v>1406</v>
      </c>
      <c r="E82" s="8" t="s">
        <v>1921</v>
      </c>
      <c r="F82" s="118" t="s">
        <v>1927</v>
      </c>
      <c r="G82" s="8" t="s">
        <v>1929</v>
      </c>
      <c r="H82" s="8" t="str">
        <f ca="1">IFERROR(__xludf.DUMMYFUNCTION("VLOOKUP(G82, IMPORTRANGE(""https://docs.google.com/spreadsheets/d/14deopnvwcrKtEGCKuYXdUHJbeLDZlkiSSWWT0g7x2pM/edit#gid=849066331"", ""LU List Science (Filter)!A:B""), 2, FALSE)"),"Understanding fragmentation in algae")</f>
        <v>Understanding fragmentation in algae</v>
      </c>
      <c r="I82" s="10" t="str">
        <f t="shared" si="0"/>
        <v>LU005960.001</v>
      </c>
      <c r="J82" s="10" t="str">
        <f ca="1">IFERROR(__xludf.DUMMYFUNCTION("VLOOKUP(I82, IMPORTRANGE(""https://docs.google.com/spreadsheets/d/1yDAaXNsi4Mr5FtRQL4tbmSdIzhx6_m4wkOD7IG-k_eo/edit#gid=1336395716"", ""Science!M:N""), 2, FALSE)"),"Recall the definition of fragmentation in the context of algae reproduction.")</f>
        <v>Recall the definition of fragmentation in the context of algae reproduction.</v>
      </c>
      <c r="K82" s="10" t="str">
        <f t="shared" si="1"/>
        <v>LU005960.002</v>
      </c>
      <c r="L82" s="10" t="str">
        <f ca="1">IFERROR(__xludf.DUMMYFUNCTION("VLOOKUP(K82, IMPORTRANGE(""https://docs.google.com/spreadsheets/d/1yDAaXNsi4Mr5FtRQL4tbmSdIzhx6_m4wkOD7IG-k_eo/edit#gid=1336395716"", ""Science!M:N""), 2, FALSE)"),"Summarize the process and significance of fragmentation in algae.")</f>
        <v>Summarize the process and significance of fragmentation in algae.</v>
      </c>
      <c r="M82" s="10" t="str">
        <f t="shared" si="2"/>
        <v>LU005960.003</v>
      </c>
      <c r="N82" s="10" t="str">
        <f ca="1">IFERROR(__xludf.DUMMYFUNCTION("VLOOKUP(M82, IMPORTRANGE(""https://docs.google.com/spreadsheets/d/1yDAaXNsi4Mr5FtRQL4tbmSdIzhx6_m4wkOD7IG-k_eo/edit#gid=1336395716"", ""Science!M:N""), 2, FALSE)"),"Apply the concept of fragmentation to identify algae species that reproduce through this method.")</f>
        <v>Apply the concept of fragmentation to identify algae species that reproduce through this method.</v>
      </c>
      <c r="O82" s="10" t="str">
        <f t="shared" si="3"/>
        <v>LU005960.004</v>
      </c>
      <c r="P82" s="10" t="str">
        <f ca="1">IFERROR(__xludf.DUMMYFUNCTION("VLOOKUP(O82, IMPORTRANGE(""https://docs.google.com/spreadsheets/d/1yDAaXNsi4Mr5FtRQL4tbmSdIzhx6_m4wkOD7IG-k_eo/edit#gid=1336395716"", ""Science!M:N""), 2, FALSE)"),"#N/A")</f>
        <v>#N/A</v>
      </c>
      <c r="Q82" s="10" t="str">
        <f t="shared" si="4"/>
        <v>LU005960.005</v>
      </c>
      <c r="R82" s="10" t="str">
        <f ca="1">IFERROR(__xludf.DUMMYFUNCTION("VLOOKUP(Q82, IMPORTRANGE(""https://docs.google.com/spreadsheets/d/1yDAaXNsi4Mr5FtRQL4tbmSdIzhx6_m4wkOD7IG-k_eo/edit#gid=1336395716"", ""Science!M:N""), 2, FALSE)"),"Evaluate the advantages and disadvantages of fragmentation as a form of reproduction.")</f>
        <v>Evaluate the advantages and disadvantages of fragmentation as a form of reproduction.</v>
      </c>
      <c r="S82" s="10" t="str">
        <f t="shared" si="5"/>
        <v>LU005960.006</v>
      </c>
      <c r="T82" s="10" t="str">
        <f ca="1">IFERROR(__xludf.DUMMYFUNCTION("VLOOKUP(S82, IMPORTRANGE(""https://docs.google.com/spreadsheets/d/1yDAaXNsi4Mr5FtRQL4tbmSdIzhx6_m4wkOD7IG-k_eo/edit#gid=1336395716"", ""Science!M:N""), 2, FALSE)"),"Propose a scientific investigation to observe fragmentation in a specific type of algae.")</f>
        <v>Propose a scientific investigation to observe fragmentation in a specific type of algae.</v>
      </c>
      <c r="U82" s="116">
        <f ca="1">IFERROR(__xludf.DUMMYFUNCTION("ArrayFormula(VLOOKUP(G82, IMPORTRANGE(""https://docs.google.com/spreadsheets/d/1p7R4vtkWt5VOBim4ltsDG9KTzSjrtKXsMtQGXPHyND0/edit#gid=795171502"", ""'Filter 30_05_2024'!A1:M2000""), {2, 3, 4, 5,6,7,8,9,10,11,12,13}, 0))"),5)</f>
        <v>5</v>
      </c>
      <c r="V82" s="116">
        <f ca="1">IFERROR(__xludf.DUMMYFUNCTION("""COMPUTED_VALUE"""),7)</f>
        <v>7</v>
      </c>
      <c r="W82" s="116">
        <f ca="1">IFERROR(__xludf.DUMMYFUNCTION("""COMPUTED_VALUE"""),2)</f>
        <v>2</v>
      </c>
      <c r="X82" s="116">
        <f ca="1">IFERROR(__xludf.DUMMYFUNCTION("""COMPUTED_VALUE"""),14)</f>
        <v>14</v>
      </c>
      <c r="Y82" s="116">
        <f ca="1">IFERROR(__xludf.DUMMYFUNCTION("""COMPUTED_VALUE"""),7)</f>
        <v>7</v>
      </c>
      <c r="Z82" s="12">
        <f ca="1">IFERROR(__xludf.DUMMYFUNCTION("""COMPUTED_VALUE"""),2)</f>
        <v>2</v>
      </c>
      <c r="AA82" s="12">
        <f ca="1">IFERROR(__xludf.DUMMYFUNCTION("""COMPUTED_VALUE"""),1)</f>
        <v>1</v>
      </c>
      <c r="AB82" s="12">
        <f ca="1">IFERROR(__xludf.DUMMYFUNCTION("""COMPUTED_VALUE"""),10)</f>
        <v>10</v>
      </c>
      <c r="AC82" s="12"/>
      <c r="AD82" s="12"/>
      <c r="AE82" s="12"/>
      <c r="AF82" s="12"/>
      <c r="AG82" s="13" t="str">
        <f ca="1">IFERROR(__xludf.DUMMYFUNCTION("ArrayFormula(VLOOKUP(G82, IMPORTRANGE(""https://docs.google.com/spreadsheets/d/1Co934fvtviyaRiMsrIlT05Jaq7iiYq07aLvRr35KA48/edit?gid=173865642#gid=173865642"", ""'G7_Sci_Pri_LU'!G2:V2000""), {3, 4, 5, 6, 7, 8, 9, 10, 11, 12, 13, 14, 15, 16}, 0))"),"LU005419")</f>
        <v>LU005419</v>
      </c>
      <c r="AH82" s="13" t="str">
        <f ca="1">IFERROR(__xludf.DUMMYFUNCTION("""COMPUTED_VALUE"""),"Definition of reproduction in plants")</f>
        <v>Definition of reproduction in plants</v>
      </c>
      <c r="AI82" s="13" t="str">
        <f ca="1">IFERROR(__xludf.DUMMYFUNCTION("""COMPUTED_VALUE"""),"LU005420")</f>
        <v>LU005420</v>
      </c>
      <c r="AJ82" s="13" t="str">
        <f ca="1">IFERROR(__xludf.DUMMYFUNCTION("""COMPUTED_VALUE"""),"Budding, fragmentation, sporulation and vegetative propagation")</f>
        <v>Budding, fragmentation, sporulation and vegetative propagation</v>
      </c>
      <c r="AK82" s="13"/>
      <c r="AL82" s="13"/>
      <c r="AM82" s="13"/>
      <c r="AN82" s="13"/>
      <c r="AO82" s="13"/>
      <c r="AP82" s="13"/>
      <c r="AQ82" s="13"/>
      <c r="AR82" s="13"/>
      <c r="AS82" s="13"/>
      <c r="AT82" s="13"/>
    </row>
    <row r="83" spans="1:46">
      <c r="A83" s="8" t="s">
        <v>247</v>
      </c>
      <c r="B83" s="8" t="s">
        <v>47</v>
      </c>
      <c r="C83" s="8" t="s">
        <v>416</v>
      </c>
      <c r="D83" s="8" t="s">
        <v>1406</v>
      </c>
      <c r="E83" s="8" t="s">
        <v>1921</v>
      </c>
      <c r="F83" s="118" t="s">
        <v>1927</v>
      </c>
      <c r="G83" s="8" t="s">
        <v>1930</v>
      </c>
      <c r="H83" s="8" t="str">
        <f ca="1">IFERROR(__xludf.DUMMYFUNCTION("VLOOKUP(G83, IMPORTRANGE(""https://docs.google.com/spreadsheets/d/14deopnvwcrKtEGCKuYXdUHJbeLDZlkiSSWWT0g7x2pM/edit#gid=849066331"", ""LU List Science (Filter)!A:B""), 2, FALSE)"),"Understanding spore formation in fungi")</f>
        <v>Understanding spore formation in fungi</v>
      </c>
      <c r="I83" s="10" t="str">
        <f t="shared" si="0"/>
        <v>LU005961.001</v>
      </c>
      <c r="J83" s="10" t="str">
        <f ca="1">IFERROR(__xludf.DUMMYFUNCTION("VLOOKUP(I83, IMPORTRANGE(""https://docs.google.com/spreadsheets/d/1yDAaXNsi4Mr5FtRQL4tbmSdIzhx6_m4wkOD7IG-k_eo/edit#gid=1336395716"", ""Science!M:N""), 2, FALSE)"),"Recall the definition and characteristics of spore formation in fungi.")</f>
        <v>Recall the definition and characteristics of spore formation in fungi.</v>
      </c>
      <c r="K83" s="10" t="str">
        <f t="shared" si="1"/>
        <v>LU005961.002</v>
      </c>
      <c r="L83" s="10" t="str">
        <f ca="1">IFERROR(__xludf.DUMMYFUNCTION("VLOOKUP(K83, IMPORTRANGE(""https://docs.google.com/spreadsheets/d/1yDAaXNsi4Mr5FtRQL4tbmSdIzhx6_m4wkOD7IG-k_eo/edit#gid=1336395716"", ""Science!M:N""), 2, FALSE)"),"Summarize the role of spore formation in the life cycle of fungi.")</f>
        <v>Summarize the role of spore formation in the life cycle of fungi.</v>
      </c>
      <c r="M83" s="10" t="str">
        <f t="shared" si="2"/>
        <v>LU005961.003</v>
      </c>
      <c r="N83" s="10" t="str">
        <f ca="1">IFERROR(__xludf.DUMMYFUNCTION("VLOOKUP(M83, IMPORTRANGE(""https://docs.google.com/spreadsheets/d/1yDAaXNsi4Mr5FtRQL4tbmSdIzhx6_m4wkOD7IG-k_eo/edit#gid=1336395716"", ""Science!M:N""), 2, FALSE)"),"Apply knowledge of spore formation to identify fungi species in different stages of reproduction.")</f>
        <v>Apply knowledge of spore formation to identify fungi species in different stages of reproduction.</v>
      </c>
      <c r="O83" s="10" t="str">
        <f t="shared" si="3"/>
        <v>LU005961.004</v>
      </c>
      <c r="P83" s="10" t="str">
        <f ca="1">IFERROR(__xludf.DUMMYFUNCTION("VLOOKUP(O83, IMPORTRANGE(""https://docs.google.com/spreadsheets/d/1yDAaXNsi4Mr5FtRQL4tbmSdIzhx6_m4wkOD7IG-k_eo/edit#gid=1336395716"", ""Science!M:N""), 2, FALSE)"),"Differentiate between spore formation in fungi and seed formation in plants.")</f>
        <v>Differentiate between spore formation in fungi and seed formation in plants.</v>
      </c>
      <c r="Q83" s="10" t="str">
        <f t="shared" si="4"/>
        <v>LU005961.005</v>
      </c>
      <c r="R83" s="10" t="str">
        <f ca="1">IFERROR(__xludf.DUMMYFUNCTION("VLOOKUP(Q83, IMPORTRANGE(""https://docs.google.com/spreadsheets/d/1yDAaXNsi4Mr5FtRQL4tbmSdIzhx6_m4wkOD7IG-k_eo/edit#gid=1336395716"", ""Science!M:N""), 2, FALSE)"),"Evaluate the advantages of spore formation as a reproductive strategy in fungi.")</f>
        <v>Evaluate the advantages of spore formation as a reproductive strategy in fungi.</v>
      </c>
      <c r="S83" s="10" t="str">
        <f t="shared" si="5"/>
        <v>LU005961.006</v>
      </c>
      <c r="T83" s="10" t="str">
        <f ca="1">IFERROR(__xludf.DUMMYFUNCTION("VLOOKUP(S83, IMPORTRANGE(""https://docs.google.com/spreadsheets/d/1yDAaXNsi4Mr5FtRQL4tbmSdIzhx6_m4wkOD7IG-k_eo/edit#gid=1336395716"", ""Science!M:N""), 2, FALSE)"),"Design an investigation to observe the conditions that affect spore dispersal in fungi.")</f>
        <v>Design an investigation to observe the conditions that affect spore dispersal in fungi.</v>
      </c>
      <c r="U83" s="116">
        <f ca="1">IFERROR(__xludf.DUMMYFUNCTION("ArrayFormula(VLOOKUP(G83, IMPORTRANGE(""https://docs.google.com/spreadsheets/d/1p7R4vtkWt5VOBim4ltsDG9KTzSjrtKXsMtQGXPHyND0/edit#gid=795171502"", ""'Filter 30_05_2024'!A1:M2000""), {2, 3, 4, 5,6,7,8,9,10,11,12,13}, 0))"),5)</f>
        <v>5</v>
      </c>
      <c r="V83" s="116">
        <f ca="1">IFERROR(__xludf.DUMMYFUNCTION("""COMPUTED_VALUE"""),6)</f>
        <v>6</v>
      </c>
      <c r="W83" s="116">
        <f ca="1">IFERROR(__xludf.DUMMYFUNCTION("""COMPUTED_VALUE"""),2)</f>
        <v>2</v>
      </c>
      <c r="X83" s="116">
        <f ca="1">IFERROR(__xludf.DUMMYFUNCTION("""COMPUTED_VALUE"""),13)</f>
        <v>13</v>
      </c>
      <c r="Y83" s="116">
        <f ca="1">IFERROR(__xludf.DUMMYFUNCTION("""COMPUTED_VALUE"""),4)</f>
        <v>4</v>
      </c>
      <c r="Z83" s="12">
        <f ca="1">IFERROR(__xludf.DUMMYFUNCTION("""COMPUTED_VALUE"""),3)</f>
        <v>3</v>
      </c>
      <c r="AA83" s="12">
        <f ca="1">IFERROR(__xludf.DUMMYFUNCTION("""COMPUTED_VALUE"""),1)</f>
        <v>1</v>
      </c>
      <c r="AB83" s="12">
        <f ca="1">IFERROR(__xludf.DUMMYFUNCTION("""COMPUTED_VALUE"""),8)</f>
        <v>8</v>
      </c>
      <c r="AC83" s="12"/>
      <c r="AD83" s="12"/>
      <c r="AE83" s="12"/>
      <c r="AF83" s="12"/>
      <c r="AG83" s="13" t="str">
        <f ca="1">IFERROR(__xludf.DUMMYFUNCTION("ArrayFormula(VLOOKUP(G83, IMPORTRANGE(""https://docs.google.com/spreadsheets/d/1Co934fvtviyaRiMsrIlT05Jaq7iiYq07aLvRr35KA48/edit?gid=173865642#gid=173865642"", ""'G7_Sci_Pri_LU'!G2:V2000""), {3, 4, 5, 6, 7, 8, 9, 10, 11, 12, 13, 14, 15, 16}, 0))"),"LU005419")</f>
        <v>LU005419</v>
      </c>
      <c r="AH83" s="13" t="str">
        <f ca="1">IFERROR(__xludf.DUMMYFUNCTION("""COMPUTED_VALUE"""),"Definition of reproduction in plants")</f>
        <v>Definition of reproduction in plants</v>
      </c>
      <c r="AI83" s="13" t="str">
        <f ca="1">IFERROR(__xludf.DUMMYFUNCTION("""COMPUTED_VALUE"""),"LU005420")</f>
        <v>LU005420</v>
      </c>
      <c r="AJ83" s="13" t="str">
        <f ca="1">IFERROR(__xludf.DUMMYFUNCTION("""COMPUTED_VALUE"""),"Budding, fragmentation, sporulation and vegetative propagation")</f>
        <v>Budding, fragmentation, sporulation and vegetative propagation</v>
      </c>
      <c r="AK83" s="13"/>
      <c r="AL83" s="13"/>
      <c r="AM83" s="13"/>
      <c r="AN83" s="13"/>
      <c r="AO83" s="13"/>
      <c r="AP83" s="13"/>
      <c r="AQ83" s="13"/>
      <c r="AR83" s="13"/>
      <c r="AS83" s="13"/>
      <c r="AT83" s="13"/>
    </row>
    <row r="84" spans="1:46">
      <c r="A84" s="8" t="s">
        <v>247</v>
      </c>
      <c r="B84" s="8" t="s">
        <v>47</v>
      </c>
      <c r="C84" s="8" t="s">
        <v>416</v>
      </c>
      <c r="D84" s="8" t="s">
        <v>1406</v>
      </c>
      <c r="E84" s="8" t="s">
        <v>1921</v>
      </c>
      <c r="F84" s="8" t="s">
        <v>1931</v>
      </c>
      <c r="G84" s="8" t="s">
        <v>1932</v>
      </c>
      <c r="H84" s="8" t="str">
        <f ca="1">IFERROR(__xludf.DUMMYFUNCTION("VLOOKUP(G84, IMPORTRANGE(""https://docs.google.com/spreadsheets/d/14deopnvwcrKtEGCKuYXdUHJbeLDZlkiSSWWT0g7x2pM/edit#gid=849066331"", ""LU List Science (Filter)!A:B""), 2, FALSE)"),"Flowers, pollination and life cycle of a flowering plant")</f>
        <v>Flowers, pollination and life cycle of a flowering plant</v>
      </c>
      <c r="I84" s="10" t="str">
        <f t="shared" si="0"/>
        <v>LU005422.001</v>
      </c>
      <c r="J84" s="10" t="str">
        <f ca="1">IFERROR(__xludf.DUMMYFUNCTION("VLOOKUP(I84, IMPORTRANGE(""https://docs.google.com/spreadsheets/d/1yDAaXNsi4Mr5FtRQL4tbmSdIzhx6_m4wkOD7IG-k_eo/edit#gid=1336395716"", ""Science!M:N""), 2, FALSE)"),"Students will define unisexual and bisexual flowers, pollination, and fertilization in the context of the life cycle of a flowering plant.")</f>
        <v>Students will define unisexual and bisexual flowers, pollination, and fertilization in the context of the life cycle of a flowering plant.</v>
      </c>
      <c r="K84" s="10" t="str">
        <f t="shared" si="1"/>
        <v>LU005422.002</v>
      </c>
      <c r="L84" s="10" t="str">
        <f ca="1">IFERROR(__xludf.DUMMYFUNCTION("VLOOKUP(K84, IMPORTRANGE(""https://docs.google.com/spreadsheets/d/1yDAaXNsi4Mr5FtRQL4tbmSdIzhx6_m4wkOD7IG-k_eo/edit#gid=1336395716"", ""Science!M:N""), 2, FALSE)"),"Students will interpret the stages of the life cycle of a flowering plant(both the cases of unisexual and bisexual flowering plants), including the roles of pollination and fertilization.")</f>
        <v>Students will interpret the stages of the life cycle of a flowering plant(both the cases of unisexual and bisexual flowering plants), including the roles of pollination and fertilization.</v>
      </c>
      <c r="M84" s="10" t="str">
        <f t="shared" si="2"/>
        <v>LU005422.003</v>
      </c>
      <c r="N84" s="10" t="str">
        <f ca="1">IFERROR(__xludf.DUMMYFUNCTION("VLOOKUP(M84, IMPORTRANGE(""https://docs.google.com/spreadsheets/d/1yDAaXNsi4Mr5FtRQL4tbmSdIzhx6_m4wkOD7IG-k_eo/edit#gid=1336395716"", ""Science!M:N""), 2, FALSE)"),"Students will apply their knowledge of unisexual flower, bisexual flower, pollination(both self and cross) and fertilization in plants.")</f>
        <v>Students will apply their knowledge of unisexual flower, bisexual flower, pollination(both self and cross) and fertilization in plants.</v>
      </c>
      <c r="O84" s="10" t="str">
        <f t="shared" si="3"/>
        <v>LU005422.004</v>
      </c>
      <c r="P84" s="10" t="str">
        <f ca="1">IFERROR(__xludf.DUMMYFUNCTION("VLOOKUP(O84, IMPORTRANGE(""https://docs.google.com/spreadsheets/d/1yDAaXNsi4Mr5FtRQL4tbmSdIzhx6_m4wkOD7IG-k_eo/edit#gid=1336395716"", ""Science!M:N""), 2, FALSE)"),"Students will examine the differences between unisexual and bisexual flowers in terms of reproductive strategies.")</f>
        <v>Students will examine the differences between unisexual and bisexual flowers in terms of reproductive strategies.</v>
      </c>
      <c r="Q84" s="10" t="str">
        <f t="shared" si="4"/>
        <v>LU005422.005</v>
      </c>
      <c r="R84" s="10" t="str">
        <f ca="1">IFERROR(__xludf.DUMMYFUNCTION("VLOOKUP(Q84, IMPORTRANGE(""https://docs.google.com/spreadsheets/d/1yDAaXNsi4Mr5FtRQL4tbmSdIzhx6_m4wkOD7IG-k_eo/edit#gid=1336395716"", ""Science!M:N""), 2, FALSE)"),"Students will justify the importance of pollinators in the process of fertilization in plants.")</f>
        <v>Students will justify the importance of pollinators in the process of fertilization in plants.</v>
      </c>
      <c r="S84" s="10" t="str">
        <f t="shared" si="5"/>
        <v>LU005422.006</v>
      </c>
      <c r="T84" s="10" t="str">
        <f ca="1">IFERROR(__xludf.DUMMYFUNCTION("VLOOKUP(S84, IMPORTRANGE(""https://docs.google.com/spreadsheets/d/1yDAaXNsi4Mr5FtRQL4tbmSdIzhx6_m4wkOD7IG-k_eo/edit#gid=1336395716"", ""Science!M:N""), 2, FALSE)"),"#N/A")</f>
        <v>#N/A</v>
      </c>
      <c r="U84" s="116">
        <f ca="1">IFERROR(__xludf.DUMMYFUNCTION("ArrayFormula(VLOOKUP(G84, IMPORTRANGE(""https://docs.google.com/spreadsheets/d/1p7R4vtkWt5VOBim4ltsDG9KTzSjrtKXsMtQGXPHyND0/edit#gid=795171502"", ""'Filter 30_05_2024'!A1:M2000""), {2, 3, 4, 5,6,7,8,9,10,11,12,13}, 0))"),2)</f>
        <v>2</v>
      </c>
      <c r="V84" s="116">
        <f ca="1">IFERROR(__xludf.DUMMYFUNCTION("""COMPUTED_VALUE"""),6)</f>
        <v>6</v>
      </c>
      <c r="W84" s="116">
        <f ca="1">IFERROR(__xludf.DUMMYFUNCTION("""COMPUTED_VALUE"""),2)</f>
        <v>2</v>
      </c>
      <c r="X84" s="116">
        <f ca="1">IFERROR(__xludf.DUMMYFUNCTION("""COMPUTED_VALUE"""),10)</f>
        <v>10</v>
      </c>
      <c r="Y84" s="116">
        <f ca="1">IFERROR(__xludf.DUMMYFUNCTION("""COMPUTED_VALUE"""),13)</f>
        <v>13</v>
      </c>
      <c r="Z84" s="12">
        <f ca="1">IFERROR(__xludf.DUMMYFUNCTION("""COMPUTED_VALUE"""),3)</f>
        <v>3</v>
      </c>
      <c r="AA84" s="12">
        <f ca="1">IFERROR(__xludf.DUMMYFUNCTION("""COMPUTED_VALUE"""),1)</f>
        <v>1</v>
      </c>
      <c r="AB84" s="12">
        <f ca="1">IFERROR(__xludf.DUMMYFUNCTION("""COMPUTED_VALUE"""),17)</f>
        <v>17</v>
      </c>
      <c r="AC84" s="12">
        <f ca="1">IFERROR(__xludf.DUMMYFUNCTION("""COMPUTED_VALUE"""),1)</f>
        <v>1</v>
      </c>
      <c r="AD84" s="12"/>
      <c r="AE84" s="12"/>
      <c r="AF84" s="12">
        <f ca="1">IFERROR(__xludf.DUMMYFUNCTION("""COMPUTED_VALUE"""),1)</f>
        <v>1</v>
      </c>
      <c r="AG84" s="13" t="str">
        <f ca="1">IFERROR(__xludf.DUMMYFUNCTION("ArrayFormula(VLOOKUP(G84, IMPORTRANGE(""https://docs.google.com/spreadsheets/d/1Co934fvtviyaRiMsrIlT05Jaq7iiYq07aLvRr35KA48/edit?gid=173865642#gid=173865642"", ""'G7_Sci_Pri_LU'!G2:V2000""), {3, 4, 5, 6, 7, 8, 9, 10, 11, 12, 13, 14, 15, 16}, 0))"),"LU005242")</f>
        <v>LU005242</v>
      </c>
      <c r="AH84" s="13" t="str">
        <f ca="1">IFERROR(__xludf.DUMMYFUNCTION("""COMPUTED_VALUE"""),"A typical plant's flower-structure and function")</f>
        <v>A typical plant's flower-structure and function</v>
      </c>
      <c r="AI84" s="13" t="str">
        <f ca="1">IFERROR(__xludf.DUMMYFUNCTION("""COMPUTED_VALUE"""),"LU005980")</f>
        <v>LU005980</v>
      </c>
      <c r="AJ84" s="13" t="str">
        <f ca="1">IFERROR(__xludf.DUMMYFUNCTION("""COMPUTED_VALUE"""),"Summary of the life cycle of a typical flowering plant")</f>
        <v>Summary of the life cycle of a typical flowering plant</v>
      </c>
      <c r="AK84" s="13" t="str">
        <f ca="1">IFERROR(__xludf.DUMMYFUNCTION("""COMPUTED_VALUE"""),"LU005419")</f>
        <v>LU005419</v>
      </c>
      <c r="AL84" s="13" t="str">
        <f ca="1">IFERROR(__xludf.DUMMYFUNCTION("""COMPUTED_VALUE"""),"Definition of reproduction in plants")</f>
        <v>Definition of reproduction in plants</v>
      </c>
      <c r="AM84" s="13"/>
      <c r="AN84" s="13"/>
      <c r="AO84" s="13"/>
      <c r="AP84" s="13"/>
      <c r="AQ84" s="13"/>
      <c r="AR84" s="13"/>
      <c r="AS84" s="13"/>
      <c r="AT84" s="13"/>
    </row>
    <row r="85" spans="1:46">
      <c r="A85" s="8" t="s">
        <v>247</v>
      </c>
      <c r="B85" s="8" t="s">
        <v>47</v>
      </c>
      <c r="C85" s="8" t="s">
        <v>416</v>
      </c>
      <c r="D85" s="8" t="s">
        <v>1406</v>
      </c>
      <c r="E85" s="8" t="s">
        <v>1921</v>
      </c>
      <c r="F85" s="8" t="s">
        <v>1933</v>
      </c>
      <c r="G85" s="8" t="s">
        <v>1934</v>
      </c>
      <c r="H85" s="8" t="str">
        <f ca="1">IFERROR(__xludf.DUMMYFUNCTION("VLOOKUP(G85, IMPORTRANGE(""https://docs.google.com/spreadsheets/d/14deopnvwcrKtEGCKuYXdUHJbeLDZlkiSSWWT0g7x2pM/edit#gid=849066331"", ""LU List Science (Filter)!A:B""), 2, FALSE)"),"Fertilization and post-fertilisation events in a flowering plant")</f>
        <v>Fertilization and post-fertilisation events in a flowering plant</v>
      </c>
      <c r="I85" s="10" t="str">
        <f t="shared" si="0"/>
        <v>LU005962.001</v>
      </c>
      <c r="J85" s="10" t="str">
        <f ca="1">IFERROR(__xludf.DUMMYFUNCTION("VLOOKUP(I85, IMPORTRANGE(""https://docs.google.com/spreadsheets/d/1yDAaXNsi4Mr5FtRQL4tbmSdIzhx6_m4wkOD7IG-k_eo/edit#gid=1336395716"", ""Science!M:N""), 2, FALSE)"),"Define fertilization and identify its role in the sexual reproduction of flowering plants.")</f>
        <v>Define fertilization and identify its role in the sexual reproduction of flowering plants.</v>
      </c>
      <c r="K85" s="10" t="str">
        <f t="shared" si="1"/>
        <v>LU005962.002</v>
      </c>
      <c r="L85" s="10" t="str">
        <f ca="1">IFERROR(__xludf.DUMMYFUNCTION("VLOOKUP(K85, IMPORTRANGE(""https://docs.google.com/spreadsheets/d/1yDAaXNsi4Mr5FtRQL4tbmSdIzhx6_m4wkOD7IG-k_eo/edit#gid=1336395716"", ""Science!M:N""), 2, FALSE)"),"Summarize the stages of fertilization and  post-fertilization events in a flowering plant.")</f>
        <v>Summarize the stages of fertilization and  post-fertilization events in a flowering plant.</v>
      </c>
      <c r="M85" s="10" t="str">
        <f t="shared" si="2"/>
        <v>LU005962.003</v>
      </c>
      <c r="N85" s="10" t="str">
        <f ca="1">IFERROR(__xludf.DUMMYFUNCTION("VLOOKUP(M85, IMPORTRANGE(""https://docs.google.com/spreadsheets/d/1yDAaXNsi4Mr5FtRQL4tbmSdIzhx6_m4wkOD7IG-k_eo/edit#gid=1336395716"", ""Science!M:N""), 2, FALSE)"),"Apply knowledge of fertilization to predict changes in a plant after the fertilization event.")</f>
        <v>Apply knowledge of fertilization to predict changes in a plant after the fertilization event.</v>
      </c>
      <c r="O85" s="10" t="str">
        <f t="shared" si="3"/>
        <v>LU005962.004</v>
      </c>
      <c r="P85" s="10" t="str">
        <f ca="1">IFERROR(__xludf.DUMMYFUNCTION("VLOOKUP(O85, IMPORTRANGE(""https://docs.google.com/spreadsheets/d/1yDAaXNsi4Mr5FtRQL4tbmSdIzhx6_m4wkOD7IG-k_eo/edit#gid=1336395716"", ""Science!M:N""), 2, FALSE)"),"Differentiate between the processes of fertilization and post-fertilization in the context of plant development.")</f>
        <v>Differentiate between the processes of fertilization and post-fertilization in the context of plant development.</v>
      </c>
      <c r="Q85" s="10" t="str">
        <f t="shared" si="4"/>
        <v>LU005962.005</v>
      </c>
      <c r="R85" s="10" t="str">
        <f ca="1">IFERROR(__xludf.DUMMYFUNCTION("VLOOKUP(Q85, IMPORTRANGE(""https://docs.google.com/spreadsheets/d/1yDAaXNsi4Mr5FtRQL4tbmSdIzhx6_m4wkOD7IG-k_eo/edit#gid=1336395716"", ""Science!M:N""), 2, FALSE)"),"Evaluate the significance of post-fertilization events in the life cycle of flowering plants.")</f>
        <v>Evaluate the significance of post-fertilization events in the life cycle of flowering plants.</v>
      </c>
      <c r="S85" s="10" t="str">
        <f t="shared" si="5"/>
        <v>LU005962.006</v>
      </c>
      <c r="T85" s="10" t="str">
        <f ca="1">IFERROR(__xludf.DUMMYFUNCTION("VLOOKUP(S85, IMPORTRANGE(""https://docs.google.com/spreadsheets/d/1yDAaXNsi4Mr5FtRQL4tbmSdIzhx6_m4wkOD7IG-k_eo/edit#gid=1336395716"", ""Science!M:N""), 2, FALSE)"),"#N/A")</f>
        <v>#N/A</v>
      </c>
      <c r="U85" s="116">
        <f ca="1">IFERROR(__xludf.DUMMYFUNCTION("ArrayFormula(VLOOKUP(G85, IMPORTRANGE(""https://docs.google.com/spreadsheets/d/1p7R4vtkWt5VOBim4ltsDG9KTzSjrtKXsMtQGXPHyND0/edit#gid=795171502"", ""'Filter 30_05_2024'!A1:M2000""), {2, 3, 4, 5,6,7,8,9,10,11,12,13}, 0))"),15)</f>
        <v>15</v>
      </c>
      <c r="V85" s="116">
        <f ca="1">IFERROR(__xludf.DUMMYFUNCTION("""COMPUTED_VALUE"""),8)</f>
        <v>8</v>
      </c>
      <c r="W85" s="116">
        <f ca="1">IFERROR(__xludf.DUMMYFUNCTION("""COMPUTED_VALUE"""),2)</f>
        <v>2</v>
      </c>
      <c r="X85" s="116">
        <f ca="1">IFERROR(__xludf.DUMMYFUNCTION("""COMPUTED_VALUE"""),25)</f>
        <v>25</v>
      </c>
      <c r="Y85" s="116">
        <f ca="1">IFERROR(__xludf.DUMMYFUNCTION("""COMPUTED_VALUE"""),5)</f>
        <v>5</v>
      </c>
      <c r="Z85" s="12">
        <f ca="1">IFERROR(__xludf.DUMMYFUNCTION("""COMPUTED_VALUE"""),2)</f>
        <v>2</v>
      </c>
      <c r="AA85" s="12">
        <f ca="1">IFERROR(__xludf.DUMMYFUNCTION("""COMPUTED_VALUE"""),1)</f>
        <v>1</v>
      </c>
      <c r="AB85" s="12">
        <f ca="1">IFERROR(__xludf.DUMMYFUNCTION("""COMPUTED_VALUE"""),8)</f>
        <v>8</v>
      </c>
      <c r="AC85" s="12"/>
      <c r="AD85" s="12"/>
      <c r="AE85" s="12"/>
      <c r="AF85" s="12"/>
      <c r="AG85" s="13" t="str">
        <f ca="1">IFERROR(__xludf.DUMMYFUNCTION("ArrayFormula(VLOOKUP(G85, IMPORTRANGE(""https://docs.google.com/spreadsheets/d/1Co934fvtviyaRiMsrIlT05Jaq7iiYq07aLvRr35KA48/edit?gid=173865642#gid=173865642"", ""'G7_Sci_Pri_LU'!G2:V2000""), {3, 4, 5, 6, 7, 8, 9, 10, 11, 12, 13, 14, 15, 16}, 0))"),"LU005422")</f>
        <v>LU005422</v>
      </c>
      <c r="AH85" s="13" t="str">
        <f ca="1">IFERROR(__xludf.DUMMYFUNCTION("""COMPUTED_VALUE"""),"Flowers, pollination and life cycle of a flowering plant")</f>
        <v>Flowers, pollination and life cycle of a flowering plant</v>
      </c>
      <c r="AI85" s="13" t="str">
        <f ca="1">IFERROR(__xludf.DUMMYFUNCTION("""COMPUTED_VALUE"""),"LU005980")</f>
        <v>LU005980</v>
      </c>
      <c r="AJ85" s="13" t="str">
        <f ca="1">IFERROR(__xludf.DUMMYFUNCTION("""COMPUTED_VALUE"""),"Summary of the life cycle of a typical flowering plant")</f>
        <v>Summary of the life cycle of a typical flowering plant</v>
      </c>
      <c r="AK85" s="13" t="str">
        <f ca="1">IFERROR(__xludf.DUMMYFUNCTION("""COMPUTED_VALUE"""),"LU005242")</f>
        <v>LU005242</v>
      </c>
      <c r="AL85" s="13" t="str">
        <f ca="1">IFERROR(__xludf.DUMMYFUNCTION("""COMPUTED_VALUE"""),"A typical plant's flower-structure and function")</f>
        <v>A typical plant's flower-structure and function</v>
      </c>
      <c r="AM85" s="13"/>
      <c r="AN85" s="13"/>
      <c r="AO85" s="13"/>
      <c r="AP85" s="13"/>
      <c r="AQ85" s="13"/>
      <c r="AR85" s="13"/>
      <c r="AS85" s="13"/>
      <c r="AT85" s="13"/>
    </row>
    <row r="86" spans="1:46">
      <c r="A86" s="8" t="s">
        <v>247</v>
      </c>
      <c r="B86" s="8" t="s">
        <v>47</v>
      </c>
      <c r="C86" s="8" t="s">
        <v>416</v>
      </c>
      <c r="D86" s="8" t="s">
        <v>1406</v>
      </c>
      <c r="E86" s="8" t="s">
        <v>1921</v>
      </c>
      <c r="F86" s="8" t="s">
        <v>1933</v>
      </c>
      <c r="G86" s="8" t="s">
        <v>1935</v>
      </c>
      <c r="H86" s="8" t="str">
        <f ca="1">IFERROR(__xludf.DUMMYFUNCTION("VLOOKUP(G86, IMPORTRANGE(""https://docs.google.com/spreadsheets/d/14deopnvwcrKtEGCKuYXdUHJbeLDZlkiSSWWT0g7x2pM/edit#gid=849066331"", ""LU List Science (Filter)!A:B""), 2, FALSE)"),"Seed Dispersal (Definition and Purpose)")</f>
        <v>Seed Dispersal (Definition and Purpose)</v>
      </c>
      <c r="I86" s="10" t="str">
        <f t="shared" si="0"/>
        <v>LU005423.001</v>
      </c>
      <c r="J86" s="10" t="str">
        <f ca="1">IFERROR(__xludf.DUMMYFUNCTION("VLOOKUP(I86, IMPORTRANGE(""https://docs.google.com/spreadsheets/d/1yDAaXNsi4Mr5FtRQL4tbmSdIzhx6_m4wkOD7IG-k_eo/edit#gid=1336395716"", ""Science!M:N""), 2, FALSE)"),"Recall the definition of seed dispersal and explain its primary purpose in the life cycle of plants.")</f>
        <v>Recall the definition of seed dispersal and explain its primary purpose in the life cycle of plants.</v>
      </c>
      <c r="K86" s="10" t="str">
        <f t="shared" si="1"/>
        <v>LU005423.002</v>
      </c>
      <c r="L86" s="10" t="str">
        <f ca="1">IFERROR(__xludf.DUMMYFUNCTION("VLOOKUP(K86, IMPORTRANGE(""https://docs.google.com/spreadsheets/d/1yDAaXNsi4Mr5FtRQL4tbmSdIzhx6_m4wkOD7IG-k_eo/edit#gid=1336395716"", ""Science!M:N""), 2, FALSE)"),"Describe the process of seed dispersal and understand why plants have evolved to employ various methods for spreading their seeds.")</f>
        <v>Describe the process of seed dispersal and understand why plants have evolved to employ various methods for spreading their seeds.</v>
      </c>
      <c r="M86" s="10" t="str">
        <f t="shared" si="2"/>
        <v>LU005423.003</v>
      </c>
      <c r="N86" s="10" t="str">
        <f ca="1">IFERROR(__xludf.DUMMYFUNCTION("VLOOKUP(M86, IMPORTRANGE(""https://docs.google.com/spreadsheets/d/1yDAaXNsi4Mr5FtRQL4tbmSdIzhx6_m4wkOD7IG-k_eo/edit#gid=1336395716"", ""Science!M:N""), 2, FALSE)"),"Apply your understanding to give examples of specific plants and the mechanisms they use for seed dispersal, explaining how each method benefits the plant's survival.")</f>
        <v>Apply your understanding to give examples of specific plants and the mechanisms they use for seed dispersal, explaining how each method benefits the plant's survival.</v>
      </c>
      <c r="O86" s="10" t="str">
        <f t="shared" si="3"/>
        <v>LU005423.004</v>
      </c>
      <c r="P86" s="10" t="str">
        <f ca="1">IFERROR(__xludf.DUMMYFUNCTION("VLOOKUP(O86, IMPORTRANGE(""https://docs.google.com/spreadsheets/d/1yDAaXNsi4Mr5FtRQL4tbmSdIzhx6_m4wkOD7IG-k_eo/edit#gid=1336395716"", ""Science!M:N""), 2, FALSE)"),"Analyze the advantages of seed dispersal in terms of plant reproduction and species survival, discussing how it minimizes competition and aids in colonization of new areas.")</f>
        <v>Analyze the advantages of seed dispersal in terms of plant reproduction and species survival, discussing how it minimizes competition and aids in colonization of new areas.</v>
      </c>
      <c r="Q86" s="10" t="str">
        <f t="shared" si="4"/>
        <v>LU005423.005</v>
      </c>
      <c r="R86" s="10" t="str">
        <f ca="1">IFERROR(__xludf.DUMMYFUNCTION("VLOOKUP(Q86, IMPORTRANGE(""https://docs.google.com/spreadsheets/d/1yDAaXNsi4Mr5FtRQL4tbmSdIzhx6_m4wkOD7IG-k_eo/edit#gid=1336395716"", ""Science!M:N""), 2, FALSE)"),"Evaluate the ecological impact of human activities on seed dispersal and plant populations, discussing how disruptions to natural dispersal processes can affect ecosystem dynamics.")</f>
        <v>Evaluate the ecological impact of human activities on seed dispersal and plant populations, discussing how disruptions to natural dispersal processes can affect ecosystem dynamics.</v>
      </c>
      <c r="S86" s="10" t="str">
        <f t="shared" si="5"/>
        <v>LU005423.006</v>
      </c>
      <c r="T86" s="10" t="str">
        <f ca="1">IFERROR(__xludf.DUMMYFUNCTION("VLOOKUP(S86, IMPORTRANGE(""https://docs.google.com/spreadsheets/d/1yDAaXNsi4Mr5FtRQL4tbmSdIzhx6_m4wkOD7IG-k_eo/edit#gid=1336395716"", ""Science!M:N""), 2, FALSE)"),"#N/A")</f>
        <v>#N/A</v>
      </c>
      <c r="U86" s="116">
        <f ca="1">IFERROR(__xludf.DUMMYFUNCTION("ArrayFormula(VLOOKUP(G86, IMPORTRANGE(""https://docs.google.com/spreadsheets/d/1p7R4vtkWt5VOBim4ltsDG9KTzSjrtKXsMtQGXPHyND0/edit#gid=795171502"", ""'Filter 30_05_2024'!A1:M2000""), {2, 3, 4, 5,6,7,8,9,10,11,12,13}, 0))"),13)</f>
        <v>13</v>
      </c>
      <c r="V86" s="116">
        <f ca="1">IFERROR(__xludf.DUMMYFUNCTION("""COMPUTED_VALUE"""),5)</f>
        <v>5</v>
      </c>
      <c r="W86" s="116">
        <f ca="1">IFERROR(__xludf.DUMMYFUNCTION("""COMPUTED_VALUE"""),2)</f>
        <v>2</v>
      </c>
      <c r="X86" s="116">
        <f ca="1">IFERROR(__xludf.DUMMYFUNCTION("""COMPUTED_VALUE"""),20)</f>
        <v>20</v>
      </c>
      <c r="Y86" s="116">
        <f ca="1">IFERROR(__xludf.DUMMYFUNCTION("""COMPUTED_VALUE"""),4)</f>
        <v>4</v>
      </c>
      <c r="Z86" s="12">
        <f ca="1">IFERROR(__xludf.DUMMYFUNCTION("""COMPUTED_VALUE"""),3)</f>
        <v>3</v>
      </c>
      <c r="AA86" s="12">
        <f ca="1">IFERROR(__xludf.DUMMYFUNCTION("""COMPUTED_VALUE"""),1)</f>
        <v>1</v>
      </c>
      <c r="AB86" s="12">
        <f ca="1">IFERROR(__xludf.DUMMYFUNCTION("""COMPUTED_VALUE"""),8)</f>
        <v>8</v>
      </c>
      <c r="AC86" s="12"/>
      <c r="AD86" s="12"/>
      <c r="AE86" s="12"/>
      <c r="AF86" s="12"/>
      <c r="AG86" s="13" t="str">
        <f ca="1">IFERROR(__xludf.DUMMYFUNCTION("ArrayFormula(VLOOKUP(G86, IMPORTRANGE(""https://docs.google.com/spreadsheets/d/1Co934fvtviyaRiMsrIlT05Jaq7iiYq07aLvRr35KA48/edit?gid=173865642#gid=173865642"", ""'G7_Sci_Pri_LU'!G2:V2000""), {3, 4, 5, 6, 7, 8, 9, 10, 11, 12, 13, 14, 15, 16}, 0))"),"LU005246")</f>
        <v>LU005246</v>
      </c>
      <c r="AH86" s="13" t="str">
        <f ca="1">IFERROR(__xludf.DUMMYFUNCTION("""COMPUTED_VALUE"""),"Seed-definition and functions")</f>
        <v>Seed-definition and functions</v>
      </c>
      <c r="AI86" s="13" t="str">
        <f ca="1">IFERROR(__xludf.DUMMYFUNCTION("""COMPUTED_VALUE"""),"LU005962")</f>
        <v>LU005962</v>
      </c>
      <c r="AJ86" s="13" t="str">
        <f ca="1">IFERROR(__xludf.DUMMYFUNCTION("""COMPUTED_VALUE"""),"Fertilization and post-fertilisation events in a flowering plant")</f>
        <v>Fertilization and post-fertilisation events in a flowering plant</v>
      </c>
      <c r="AK86" s="13" t="str">
        <f ca="1">IFERROR(__xludf.DUMMYFUNCTION("""COMPUTED_VALUE"""),"LU005422")</f>
        <v>LU005422</v>
      </c>
      <c r="AL86" s="13" t="str">
        <f ca="1">IFERROR(__xludf.DUMMYFUNCTION("""COMPUTED_VALUE"""),"Flowers, pollination and life cycle of a flowering plant")</f>
        <v>Flowers, pollination and life cycle of a flowering plant</v>
      </c>
      <c r="AM86" s="13"/>
      <c r="AN86" s="13"/>
      <c r="AO86" s="13"/>
      <c r="AP86" s="13"/>
      <c r="AQ86" s="13"/>
      <c r="AR86" s="13"/>
      <c r="AS86" s="13"/>
      <c r="AT86" s="13"/>
    </row>
    <row r="87" spans="1:46">
      <c r="A87" s="8" t="s">
        <v>247</v>
      </c>
      <c r="B87" s="8" t="s">
        <v>47</v>
      </c>
      <c r="C87" s="8" t="s">
        <v>416</v>
      </c>
      <c r="D87" s="8" t="s">
        <v>1510</v>
      </c>
      <c r="E87" s="8" t="s">
        <v>1936</v>
      </c>
      <c r="F87" s="8" t="s">
        <v>1937</v>
      </c>
      <c r="G87" s="8" t="s">
        <v>1938</v>
      </c>
      <c r="H87" s="8" t="str">
        <f ca="1">IFERROR(__xludf.DUMMYFUNCTION("VLOOKUP(G87, IMPORTRANGE(""https://docs.google.com/spreadsheets/d/14deopnvwcrKtEGCKuYXdUHJbeLDZlkiSSWWT0g7x2pM/edit#gid=849066331"", ""LU List Science (Filter)!A:B""), 2, FALSE)"),"Units of Time")</f>
        <v>Units of Time</v>
      </c>
      <c r="I87" s="10" t="str">
        <f t="shared" si="0"/>
        <v>LU005384.001</v>
      </c>
      <c r="J87" s="10" t="str">
        <f ca="1">IFERROR(__xludf.DUMMYFUNCTION("VLOOKUP(I87, IMPORTRANGE(""https://docs.google.com/spreadsheets/d/1yDAaXNsi4Mr5FtRQL4tbmSdIzhx6_m4wkOD7IG-k_eo/edit#gid=1336395716"", ""Science!M:N""), 2, FALSE)"),"Identify and list the basic units of time from smallest (e.g., seconds) to largest (e.g., decades).")</f>
        <v>Identify and list the basic units of time from smallest (e.g., seconds) to largest (e.g., decades).</v>
      </c>
      <c r="K87" s="10" t="str">
        <f t="shared" si="1"/>
        <v>LU005384.002</v>
      </c>
      <c r="L87" s="10" t="str">
        <f ca="1">IFERROR(__xludf.DUMMYFUNCTION("VLOOKUP(K87, IMPORTRANGE(""https://docs.google.com/spreadsheets/d/1yDAaXNsi4Mr5FtRQL4tbmSdIzhx6_m4wkOD7IG-k_eo/edit#gid=1336395716"", ""Science!M:N""), 2, FALSE)"),"Describe the relationships between seconds, minutes, hours, days, weeks, months, and years in terms of their conversions.")</f>
        <v>Describe the relationships between seconds, minutes, hours, days, weeks, months, and years in terms of their conversions.</v>
      </c>
      <c r="M87" s="10" t="str">
        <f t="shared" si="2"/>
        <v>LU005384.003</v>
      </c>
      <c r="N87" s="10" t="str">
        <f ca="1">IFERROR(__xludf.DUMMYFUNCTION("VLOOKUP(M87, IMPORTRANGE(""https://docs.google.com/spreadsheets/d/1yDAaXNsi4Mr5FtRQL4tbmSdIzhx6_m4wkOD7IG-k_eo/edit#gid=1336395716"", ""Science!M:N""), 2, FALSE)"),"Convert between different units of time, such as changing hours into minutes or days into hours.")</f>
        <v>Convert between different units of time, such as changing hours into minutes or days into hours.</v>
      </c>
      <c r="O87" s="10" t="str">
        <f t="shared" si="3"/>
        <v>LU005384.004</v>
      </c>
      <c r="P87" s="10" t="str">
        <f ca="1">IFERROR(__xludf.DUMMYFUNCTION("VLOOKUP(O87, IMPORTRANGE(""https://docs.google.com/spreadsheets/d/1yDAaXNsi4Mr5FtRQL4tbmSdIzhx6_m4wkOD7IG-k_eo/edit#gid=1336395716"", ""Science!M:N""), 2, FALSE)"),"Compare and contrast the usefulness of different time units in various real-life scenarios (e.g., measuring the duration of a car journey vs. the age of a historical artifact).")</f>
        <v>Compare and contrast the usefulness of different time units in various real-life scenarios (e.g., measuring the duration of a car journey vs. the age of a historical artifact).</v>
      </c>
      <c r="Q87" s="10" t="str">
        <f t="shared" si="4"/>
        <v>LU005384.005</v>
      </c>
      <c r="R87" s="10" t="str">
        <f ca="1">IFERROR(__xludf.DUMMYFUNCTION("VLOOKUP(Q87, IMPORTRANGE(""https://docs.google.com/spreadsheets/d/1yDAaXNsi4Mr5FtRQL4tbmSdIzhx6_m4wkOD7IG-k_eo/edit#gid=1336395716"", ""Science!M:N""), 2, FALSE)"),"Assess the accuracy and appropriateness of using specific units of time for different types of motion events")</f>
        <v>Assess the accuracy and appropriateness of using specific units of time for different types of motion events</v>
      </c>
      <c r="S87" s="10" t="str">
        <f t="shared" si="5"/>
        <v>LU005384.006</v>
      </c>
      <c r="T87" s="10" t="str">
        <f ca="1">IFERROR(__xludf.DUMMYFUNCTION("VLOOKUP(S87, IMPORTRANGE(""https://docs.google.com/spreadsheets/d/1yDAaXNsi4Mr5FtRQL4tbmSdIzhx6_m4wkOD7IG-k_eo/edit#gid=1336395716"", ""Science!M:N""), 2, FALSE)"),"#N/A")</f>
        <v>#N/A</v>
      </c>
      <c r="U87" s="116">
        <f ca="1">IFERROR(__xludf.DUMMYFUNCTION("ArrayFormula(VLOOKUP(G87, IMPORTRANGE(""https://docs.google.com/spreadsheets/d/1p7R4vtkWt5VOBim4ltsDG9KTzSjrtKXsMtQGXPHyND0/edit#gid=795171502"", ""'Filter 30_05_2024'!A1:M2000""), {2, 3, 4, 5,6,7,8,9,10,11,12,13}, 0))"),4)</f>
        <v>4</v>
      </c>
      <c r="V87" s="116">
        <f ca="1">IFERROR(__xludf.DUMMYFUNCTION("""COMPUTED_VALUE"""),9)</f>
        <v>9</v>
      </c>
      <c r="W87" s="116">
        <f ca="1">IFERROR(__xludf.DUMMYFUNCTION("""COMPUTED_VALUE"""),2)</f>
        <v>2</v>
      </c>
      <c r="X87" s="116">
        <f ca="1">IFERROR(__xludf.DUMMYFUNCTION("""COMPUTED_VALUE"""),15)</f>
        <v>15</v>
      </c>
      <c r="Y87" s="116">
        <f ca="1">IFERROR(__xludf.DUMMYFUNCTION("""COMPUTED_VALUE"""),4)</f>
        <v>4</v>
      </c>
      <c r="Z87" s="12">
        <f ca="1">IFERROR(__xludf.DUMMYFUNCTION("""COMPUTED_VALUE"""),3)</f>
        <v>3</v>
      </c>
      <c r="AA87" s="12">
        <f ca="1">IFERROR(__xludf.DUMMYFUNCTION("""COMPUTED_VALUE"""),1)</f>
        <v>1</v>
      </c>
      <c r="AB87" s="12">
        <f ca="1">IFERROR(__xludf.DUMMYFUNCTION("""COMPUTED_VALUE"""),8)</f>
        <v>8</v>
      </c>
      <c r="AC87" s="12"/>
      <c r="AD87" s="12"/>
      <c r="AE87" s="12"/>
      <c r="AF87" s="12"/>
      <c r="AG87" s="13" t="str">
        <f ca="1">IFERROR(__xludf.DUMMYFUNCTION("ArrayFormula(VLOOKUP(G87, IMPORTRANGE(""https://docs.google.com/spreadsheets/d/1Co934fvtviyaRiMsrIlT05Jaq7iiYq07aLvRr35KA48/edit?gid=173865642#gid=173865642"", ""'G7_Sci_Pri_LU'!G2:V2000""), {3, 4, 5, 6, 7, 8, 9, 10, 11, 12, 13, 14, 15, 16}, 0))"),"LU005182")</f>
        <v>LU005182</v>
      </c>
      <c r="AH87" s="13" t="str">
        <f ca="1">IFERROR(__xludf.DUMMYFUNCTION("""COMPUTED_VALUE"""),"Definition and Importance of Unit in Measurement")</f>
        <v>Definition and Importance of Unit in Measurement</v>
      </c>
      <c r="AI87" s="13"/>
      <c r="AJ87" s="13"/>
      <c r="AK87" s="13"/>
      <c r="AL87" s="13"/>
      <c r="AM87" s="13"/>
      <c r="AN87" s="13"/>
      <c r="AO87" s="13"/>
      <c r="AP87" s="13"/>
      <c r="AQ87" s="13"/>
      <c r="AR87" s="13"/>
      <c r="AS87" s="13"/>
      <c r="AT87" s="13"/>
    </row>
    <row r="88" spans="1:46">
      <c r="A88" s="8" t="s">
        <v>247</v>
      </c>
      <c r="B88" s="8" t="s">
        <v>47</v>
      </c>
      <c r="C88" s="8" t="s">
        <v>416</v>
      </c>
      <c r="D88" s="8" t="s">
        <v>1510</v>
      </c>
      <c r="E88" s="8" t="s">
        <v>1936</v>
      </c>
      <c r="F88" s="8" t="s">
        <v>1937</v>
      </c>
      <c r="G88" s="8" t="s">
        <v>1939</v>
      </c>
      <c r="H88" s="8" t="str">
        <f ca="1">IFERROR(__xludf.DUMMYFUNCTION("VLOOKUP(G88, IMPORTRANGE(""https://docs.google.com/spreadsheets/d/14deopnvwcrKtEGCKuYXdUHJbeLDZlkiSSWWT0g7x2pM/edit#gid=849066331"", ""LU List Science (Filter)!A:B""), 2, FALSE)"),"Time Measurement Devices: Ancient Vs Modern")</f>
        <v>Time Measurement Devices: Ancient Vs Modern</v>
      </c>
      <c r="I88" s="10" t="str">
        <f t="shared" si="0"/>
        <v>LU005383.001</v>
      </c>
      <c r="J88" s="10" t="str">
        <f ca="1">IFERROR(__xludf.DUMMYFUNCTION("VLOOKUP(I88, IMPORTRANGE(""https://docs.google.com/spreadsheets/d/1yDAaXNsi4Mr5FtRQL4tbmSdIzhx6_m4wkOD7IG-k_eo/edit#gid=1336395716"", ""Science!M:N""), 2, FALSE)"),"List ancient methods and devices for time measurement.")</f>
        <v>List ancient methods and devices for time measurement.</v>
      </c>
      <c r="K88" s="10" t="str">
        <f t="shared" si="1"/>
        <v>LU005383.002</v>
      </c>
      <c r="L88" s="10" t="str">
        <f ca="1">IFERROR(__xludf.DUMMYFUNCTION("VLOOKUP(K88, IMPORTRANGE(""https://docs.google.com/spreadsheets/d/1yDAaXNsi4Mr5FtRQL4tbmSdIzhx6_m4wkOD7IG-k_eo/edit#gid=1336395716"", ""Science!M:N""), 2, FALSE)"),"Describe the mechanisms and principles behind ancient and modern time-keeping devices.")</f>
        <v>Describe the mechanisms and principles behind ancient and modern time-keeping devices.</v>
      </c>
      <c r="M88" s="10" t="str">
        <f t="shared" si="2"/>
        <v>LU005383.003</v>
      </c>
      <c r="N88" s="10" t="str">
        <f ca="1">IFERROR(__xludf.DUMMYFUNCTION("VLOOKUP(M88, IMPORTRANGE(""https://docs.google.com/spreadsheets/d/1yDAaXNsi4Mr5FtRQL4tbmSdIzhx6_m4wkOD7IG-k_eo/edit#gid=1336395716"", ""Science!M:N""), 2, FALSE)"),"Compare and contrast ancient and modern methods in terms of accuracy and utility.")</f>
        <v>Compare and contrast ancient and modern methods in terms of accuracy and utility.</v>
      </c>
      <c r="O88" s="10" t="str">
        <f t="shared" si="3"/>
        <v>LU005383.004</v>
      </c>
      <c r="P88" s="10" t="str">
        <f ca="1">IFERROR(__xludf.DUMMYFUNCTION("VLOOKUP(O88, IMPORTRANGE(""https://docs.google.com/spreadsheets/d/1yDAaXNsi4Mr5FtRQL4tbmSdIzhx6_m4wkOD7IG-k_eo/edit#gid=1336395716"", ""Science!M:N""), 2, FALSE)"),"Understand the evolution of time measurement over history.")</f>
        <v>Understand the evolution of time measurement over history.</v>
      </c>
      <c r="Q88" s="10" t="str">
        <f t="shared" si="4"/>
        <v>LU005383.005</v>
      </c>
      <c r="R88" s="10" t="str">
        <f ca="1">IFERROR(__xludf.DUMMYFUNCTION("VLOOKUP(Q88, IMPORTRANGE(""https://docs.google.com/spreadsheets/d/1yDAaXNsi4Mr5FtRQL4tbmSdIzhx6_m4wkOD7IG-k_eo/edit#gid=1336395716"", ""Science!M:N""), 2, FALSE)"),"Evaluate the benefits and drawbacks of various time measurement devices.")</f>
        <v>Evaluate the benefits and drawbacks of various time measurement devices.</v>
      </c>
      <c r="S88" s="10" t="str">
        <f t="shared" si="5"/>
        <v>LU005383.006</v>
      </c>
      <c r="T88" s="10" t="str">
        <f ca="1">IFERROR(__xludf.DUMMYFUNCTION("VLOOKUP(S88, IMPORTRANGE(""https://docs.google.com/spreadsheets/d/1yDAaXNsi4Mr5FtRQL4tbmSdIzhx6_m4wkOD7IG-k_eo/edit#gid=1336395716"", ""Science!M:N""), 2, FALSE)"),"Envision a future method of time measurement building on modern technologies.")</f>
        <v>Envision a future method of time measurement building on modern technologies.</v>
      </c>
      <c r="U88" s="116">
        <f ca="1">IFERROR(__xludf.DUMMYFUNCTION("ArrayFormula(VLOOKUP(G88, IMPORTRANGE(""https://docs.google.com/spreadsheets/d/1p7R4vtkWt5VOBim4ltsDG9KTzSjrtKXsMtQGXPHyND0/edit#gid=795171502"", ""'Filter 30_05_2024'!A1:M2000""), {2, 3, 4, 5,6,7,8,9,10,11,12,13}, 0))"),4)</f>
        <v>4</v>
      </c>
      <c r="V88" s="116">
        <f ca="1">IFERROR(__xludf.DUMMYFUNCTION("""COMPUTED_VALUE"""),4)</f>
        <v>4</v>
      </c>
      <c r="W88" s="116">
        <f ca="1">IFERROR(__xludf.DUMMYFUNCTION("""COMPUTED_VALUE"""),2)</f>
        <v>2</v>
      </c>
      <c r="X88" s="116">
        <f ca="1">IFERROR(__xludf.DUMMYFUNCTION("""COMPUTED_VALUE"""),10)</f>
        <v>10</v>
      </c>
      <c r="Y88" s="116">
        <f ca="1">IFERROR(__xludf.DUMMYFUNCTION("""COMPUTED_VALUE"""),4)</f>
        <v>4</v>
      </c>
      <c r="Z88" s="12">
        <f ca="1">IFERROR(__xludf.DUMMYFUNCTION("""COMPUTED_VALUE"""),3)</f>
        <v>3</v>
      </c>
      <c r="AA88" s="12">
        <f ca="1">IFERROR(__xludf.DUMMYFUNCTION("""COMPUTED_VALUE"""),1)</f>
        <v>1</v>
      </c>
      <c r="AB88" s="12">
        <f ca="1">IFERROR(__xludf.DUMMYFUNCTION("""COMPUTED_VALUE"""),8)</f>
        <v>8</v>
      </c>
      <c r="AC88" s="12"/>
      <c r="AD88" s="12"/>
      <c r="AE88" s="12"/>
      <c r="AF88" s="12"/>
      <c r="AG88" s="13" t="str">
        <f ca="1">IFERROR(__xludf.DUMMYFUNCTION("ArrayFormula(VLOOKUP(G88, IMPORTRANGE(""https://docs.google.com/spreadsheets/d/1Co934fvtviyaRiMsrIlT05Jaq7iiYq07aLvRr35KA48/edit?gid=173865642#gid=173865642"", ""'G7_Sci_Pri_LU'!G2:V2000""), {3, 4, 5, 6, 7, 8, 9, 10, 11, 12, 13, 14, 15, 16}, 0))"),"LU005384")</f>
        <v>LU005384</v>
      </c>
      <c r="AH88" s="13" t="str">
        <f ca="1">IFERROR(__xludf.DUMMYFUNCTION("""COMPUTED_VALUE"""),"Units of Time")</f>
        <v>Units of Time</v>
      </c>
      <c r="AI88" s="13"/>
      <c r="AJ88" s="13"/>
      <c r="AK88" s="13"/>
      <c r="AL88" s="13"/>
      <c r="AM88" s="13"/>
      <c r="AN88" s="13"/>
      <c r="AO88" s="13"/>
      <c r="AP88" s="13"/>
      <c r="AQ88" s="13"/>
      <c r="AR88" s="13"/>
      <c r="AS88" s="13"/>
      <c r="AT88" s="13"/>
    </row>
    <row r="89" spans="1:46">
      <c r="A89" s="8" t="s">
        <v>247</v>
      </c>
      <c r="B89" s="8" t="s">
        <v>47</v>
      </c>
      <c r="C89" s="8" t="s">
        <v>416</v>
      </c>
      <c r="D89" s="8" t="s">
        <v>1510</v>
      </c>
      <c r="E89" s="8" t="s">
        <v>1936</v>
      </c>
      <c r="F89" s="8" t="s">
        <v>1940</v>
      </c>
      <c r="G89" s="8" t="s">
        <v>1538</v>
      </c>
      <c r="H89" s="8" t="str">
        <f ca="1">IFERROR(__xludf.DUMMYFUNCTION("VLOOKUP(G89, IMPORTRANGE(""https://docs.google.com/spreadsheets/d/14deopnvwcrKtEGCKuYXdUHJbeLDZlkiSSWWT0g7x2pM/edit#gid=849066331"", ""LU List Science (Filter)!A:B""), 2, FALSE)"),"Understanding the Basics of Oscillatory Motion")</f>
        <v>Understanding the Basics of Oscillatory Motion</v>
      </c>
      <c r="I89" s="10" t="str">
        <f t="shared" si="0"/>
        <v>LU005190.001</v>
      </c>
      <c r="J89" s="10" t="str">
        <f ca="1">IFERROR(__xludf.DUMMYFUNCTION("VLOOKUP(I89, IMPORTRANGE(""https://docs.google.com/spreadsheets/d/1yDAaXNsi4Mr5FtRQL4tbmSdIzhx6_m4wkOD7IG-k_eo/edit#gid=1336395716"", ""Science!M:N""), 2, FALSE)"),"Describe oscillatory motion using examples like a swing going back and forth.")</f>
        <v>Describe oscillatory motion using examples like a swing going back and forth.</v>
      </c>
      <c r="K89" s="10" t="str">
        <f t="shared" si="1"/>
        <v>LU005190.002</v>
      </c>
      <c r="L89" s="10" t="str">
        <f ca="1">IFERROR(__xludf.DUMMYFUNCTION("VLOOKUP(K89, IMPORTRANGE(""https://docs.google.com/spreadsheets/d/1yDAaXNsi4Mr5FtRQL4tbmSdIzhx6_m4wkOD7IG-k_eo/edit#gid=1336395716"", ""Science!M:N""), 2, FALSE)"),"Identify things around that show oscillatory movement.")</f>
        <v>Identify things around that show oscillatory movement.</v>
      </c>
      <c r="M89" s="10" t="str">
        <f t="shared" si="2"/>
        <v>LU005190.003</v>
      </c>
      <c r="N89" s="10" t="str">
        <f ca="1">IFERROR(__xludf.DUMMYFUNCTION("VLOOKUP(M89, IMPORTRANGE(""https://docs.google.com/spreadsheets/d/1yDAaXNsi4Mr5FtRQL4tbmSdIzhx6_m4wkOD7IG-k_eo/edit#gid=1336395716"", ""Science!M:N""), 2, FALSE)"),"Differentiate between simple movement and oscillatory movement.")</f>
        <v>Differentiate between simple movement and oscillatory movement.</v>
      </c>
      <c r="O89" s="10" t="str">
        <f t="shared" si="3"/>
        <v>LU005190.004</v>
      </c>
      <c r="P89" s="10" t="str">
        <f ca="1">IFERROR(__xludf.DUMMYFUNCTION("VLOOKUP(O89, IMPORTRANGE(""https://docs.google.com/spreadsheets/d/1yDAaXNsi4Mr5FtRQL4tbmSdIzhx6_m4wkOD7IG-k_eo/edit#gid=1336395716"", ""Science!M:N""), 2, FALSE)"),"Demonstrate oscillatory motion using hands or everyday objects.")</f>
        <v>Demonstrate oscillatory motion using hands or everyday objects.</v>
      </c>
      <c r="Q89" s="10" t="str">
        <f t="shared" si="4"/>
        <v>LU005190.005</v>
      </c>
      <c r="R89" s="10" t="str">
        <f ca="1">IFERROR(__xludf.DUMMYFUNCTION("VLOOKUP(Q89, IMPORTRANGE(""https://docs.google.com/spreadsheets/d/1yDAaXNsi4Mr5FtRQL4tbmSdIzhx6_m4wkOD7IG-k_eo/edit#gid=1336395716"", ""Science!M:N""), 2, FALSE)"),"#N/A")</f>
        <v>#N/A</v>
      </c>
      <c r="S89" s="10" t="str">
        <f t="shared" si="5"/>
        <v>LU005190.006</v>
      </c>
      <c r="T89" s="10" t="str">
        <f ca="1">IFERROR(__xludf.DUMMYFUNCTION("VLOOKUP(S89, IMPORTRANGE(""https://docs.google.com/spreadsheets/d/1yDAaXNsi4Mr5FtRQL4tbmSdIzhx6_m4wkOD7IG-k_eo/edit#gid=1336395716"", ""Science!M:N""), 2, FALSE)"),"#N/A")</f>
        <v>#N/A</v>
      </c>
      <c r="U89" s="116">
        <f ca="1">IFERROR(__xludf.DUMMYFUNCTION("ArrayFormula(VLOOKUP(G89, IMPORTRANGE(""https://docs.google.com/spreadsheets/d/1p7R4vtkWt5VOBim4ltsDG9KTzSjrtKXsMtQGXPHyND0/edit#gid=795171502"", ""'Filter 30_05_2024'!A1:M2000""), {2, 3, 4, 5,6,7,8,9,10,11,12,13}, 0))"),5)</f>
        <v>5</v>
      </c>
      <c r="V89" s="116">
        <f ca="1">IFERROR(__xludf.DUMMYFUNCTION("""COMPUTED_VALUE"""),6)</f>
        <v>6</v>
      </c>
      <c r="W89" s="116">
        <f ca="1">IFERROR(__xludf.DUMMYFUNCTION("""COMPUTED_VALUE"""),2)</f>
        <v>2</v>
      </c>
      <c r="X89" s="116">
        <f ca="1">IFERROR(__xludf.DUMMYFUNCTION("""COMPUTED_VALUE"""),13)</f>
        <v>13</v>
      </c>
      <c r="Y89" s="116">
        <f ca="1">IFERROR(__xludf.DUMMYFUNCTION("""COMPUTED_VALUE"""),4)</f>
        <v>4</v>
      </c>
      <c r="Z89" s="12">
        <f ca="1">IFERROR(__xludf.DUMMYFUNCTION("""COMPUTED_VALUE"""),6)</f>
        <v>6</v>
      </c>
      <c r="AA89" s="12">
        <f ca="1">IFERROR(__xludf.DUMMYFUNCTION("""COMPUTED_VALUE"""),2)</f>
        <v>2</v>
      </c>
      <c r="AB89" s="12">
        <f ca="1">IFERROR(__xludf.DUMMYFUNCTION("""COMPUTED_VALUE"""),12)</f>
        <v>12</v>
      </c>
      <c r="AC89" s="12"/>
      <c r="AD89" s="12"/>
      <c r="AE89" s="12"/>
      <c r="AF89" s="12"/>
      <c r="AG89" s="13" t="str">
        <f ca="1">IFERROR(__xludf.DUMMYFUNCTION("ArrayFormula(VLOOKUP(G89, IMPORTRANGE(""https://docs.google.com/spreadsheets/d/1Co934fvtviyaRiMsrIlT05Jaq7iiYq07aLvRr35KA48/edit?gid=173865642#gid=173865642"", ""'G7_Sci_Pri_LU'!G2:V2000""), {3, 4, 5, 6, 7, 8, 9, 10, 11, 12, 13, 14, 15, 16}, 0))"),"LU005177")</f>
        <v>LU005177</v>
      </c>
      <c r="AH89" s="13" t="str">
        <f ca="1">IFERROR(__xludf.DUMMYFUNCTION("""COMPUTED_VALUE"""),"Comparison of object in the State of rest vs State of Motion")</f>
        <v>Comparison of object in the State of rest vs State of Motion</v>
      </c>
      <c r="AI89" s="13" t="str">
        <f ca="1">IFERROR(__xludf.DUMMYFUNCTION("""COMPUTED_VALUE"""),"LU005189")</f>
        <v>LU005189</v>
      </c>
      <c r="AJ89" s="13" t="str">
        <f ca="1">IFERROR(__xludf.DUMMYFUNCTION("""COMPUTED_VALUE"""),"Understanding the Basics of Periodic and Non-Periodic Motion")</f>
        <v>Understanding the Basics of Periodic and Non-Periodic Motion</v>
      </c>
      <c r="AK89" s="13"/>
      <c r="AL89" s="13"/>
      <c r="AM89" s="13"/>
      <c r="AN89" s="13"/>
      <c r="AO89" s="13"/>
      <c r="AP89" s="13"/>
      <c r="AQ89" s="13"/>
      <c r="AR89" s="13"/>
      <c r="AS89" s="13"/>
      <c r="AT89" s="13"/>
    </row>
    <row r="90" spans="1:46">
      <c r="A90" s="8" t="s">
        <v>247</v>
      </c>
      <c r="B90" s="8" t="s">
        <v>47</v>
      </c>
      <c r="C90" s="8" t="s">
        <v>416</v>
      </c>
      <c r="D90" s="8" t="s">
        <v>1510</v>
      </c>
      <c r="E90" s="8" t="s">
        <v>1936</v>
      </c>
      <c r="F90" s="8" t="s">
        <v>1940</v>
      </c>
      <c r="G90" s="8" t="s">
        <v>1941</v>
      </c>
      <c r="H90" s="8" t="str">
        <f ca="1">IFERROR(__xludf.DUMMYFUNCTION("VLOOKUP(G90, IMPORTRANGE(""https://docs.google.com/spreadsheets/d/14deopnvwcrKtEGCKuYXdUHJbeLDZlkiSSWWT0g7x2pM/edit#gid=849066331"", ""LU List Science (Filter)!A:B""), 2, FALSE)"),"Definition and Parts of a Simple Pendulum")</f>
        <v>Definition and Parts of a Simple Pendulum</v>
      </c>
      <c r="I90" s="10" t="str">
        <f t="shared" si="0"/>
        <v>LU005379.001</v>
      </c>
      <c r="J90" s="10" t="str">
        <f ca="1">IFERROR(__xludf.DUMMYFUNCTION("VLOOKUP(I90, IMPORTRANGE(""https://docs.google.com/spreadsheets/d/1yDAaXNsi4Mr5FtRQL4tbmSdIzhx6_m4wkOD7IG-k_eo/edit#gid=1336395716"", ""Science!M:N""), 2, FALSE)"),"Define a simple pendulum.")</f>
        <v>Define a simple pendulum.</v>
      </c>
      <c r="K90" s="10" t="str">
        <f t="shared" si="1"/>
        <v>LU005379.002</v>
      </c>
      <c r="L90" s="10" t="str">
        <f ca="1">IFERROR(__xludf.DUMMYFUNCTION("VLOOKUP(K90, IMPORTRANGE(""https://docs.google.com/spreadsheets/d/1yDAaXNsi4Mr5FtRQL4tbmSdIzhx6_m4wkOD7IG-k_eo/edit#gid=1336395716"", ""Science!M:N""), 2, FALSE)"),"Describe and label the different parts of a pendulum.")</f>
        <v>Describe and label the different parts of a pendulum.</v>
      </c>
      <c r="M90" s="10" t="str">
        <f t="shared" si="2"/>
        <v>LU005379.003</v>
      </c>
      <c r="N90" s="10" t="str">
        <f ca="1">IFERROR(__xludf.DUMMYFUNCTION("VLOOKUP(M90, IMPORTRANGE(""https://docs.google.com/spreadsheets/d/1yDAaXNsi4Mr5FtRQL4tbmSdIzhx6_m4wkOD7IG-k_eo/edit#gid=1336395716"", ""Science!M:N""), 2, FALSE)"),"Relate the function of each part to the motion of a pendulum.")</f>
        <v>Relate the function of each part to the motion of a pendulum.</v>
      </c>
      <c r="O90" s="10" t="str">
        <f t="shared" si="3"/>
        <v>LU005379.004</v>
      </c>
      <c r="P90" s="10" t="str">
        <f ca="1">IFERROR(__xludf.DUMMYFUNCTION("VLOOKUP(O90, IMPORTRANGE(""https://docs.google.com/spreadsheets/d/1yDAaXNsi4Mr5FtRQL4tbmSdIzhx6_m4wkOD7IG-k_eo/edit#gid=1336395716"", ""Science!M:N""), 2, FALSE)"),"Compare various types of pendulums and analyze the similarities and differences in their design and function, focusing on the simple pendulum.")</f>
        <v>Compare various types of pendulums and analyze the similarities and differences in their design and function, focusing on the simple pendulum.</v>
      </c>
      <c r="Q90" s="10" t="str">
        <f t="shared" si="4"/>
        <v>LU005379.005</v>
      </c>
      <c r="R90" s="10" t="str">
        <f ca="1">IFERROR(__xludf.DUMMYFUNCTION("VLOOKUP(Q90, IMPORTRANGE(""https://docs.google.com/spreadsheets/d/1yDAaXNsi4Mr5FtRQL4tbmSdIzhx6_m4wkOD7IG-k_eo/edit#gid=1336395716"", ""Science!M:N""), 2, FALSE)"),"#N/A")</f>
        <v>#N/A</v>
      </c>
      <c r="S90" s="10" t="str">
        <f t="shared" si="5"/>
        <v>LU005379.006</v>
      </c>
      <c r="T90" s="10" t="str">
        <f ca="1">IFERROR(__xludf.DUMMYFUNCTION("VLOOKUP(S90, IMPORTRANGE(""https://docs.google.com/spreadsheets/d/1yDAaXNsi4Mr5FtRQL4tbmSdIzhx6_m4wkOD7IG-k_eo/edit#gid=1336395716"", ""Science!M:N""), 2, FALSE)"),"#N/A")</f>
        <v>#N/A</v>
      </c>
      <c r="U90" s="116">
        <f ca="1">IFERROR(__xludf.DUMMYFUNCTION("ArrayFormula(VLOOKUP(G90, IMPORTRANGE(""https://docs.google.com/spreadsheets/d/1p7R4vtkWt5VOBim4ltsDG9KTzSjrtKXsMtQGXPHyND0/edit#gid=795171502"", ""'Filter 30_05_2024'!A1:M2000""), {2, 3, 4, 5,6,7,8,9,10,11,12,13}, 0))"),3)</f>
        <v>3</v>
      </c>
      <c r="V90" s="116">
        <f ca="1">IFERROR(__xludf.DUMMYFUNCTION("""COMPUTED_VALUE"""),6)</f>
        <v>6</v>
      </c>
      <c r="W90" s="116">
        <f ca="1">IFERROR(__xludf.DUMMYFUNCTION("""COMPUTED_VALUE"""),2)</f>
        <v>2</v>
      </c>
      <c r="X90" s="116">
        <f ca="1">IFERROR(__xludf.DUMMYFUNCTION("""COMPUTED_VALUE"""),11)</f>
        <v>11</v>
      </c>
      <c r="Y90" s="116">
        <f ca="1">IFERROR(__xludf.DUMMYFUNCTION("""COMPUTED_VALUE"""),4)</f>
        <v>4</v>
      </c>
      <c r="Z90" s="12">
        <f ca="1">IFERROR(__xludf.DUMMYFUNCTION("""COMPUTED_VALUE"""),3)</f>
        <v>3</v>
      </c>
      <c r="AA90" s="12">
        <f ca="1">IFERROR(__xludf.DUMMYFUNCTION("""COMPUTED_VALUE"""),1)</f>
        <v>1</v>
      </c>
      <c r="AB90" s="12">
        <f ca="1">IFERROR(__xludf.DUMMYFUNCTION("""COMPUTED_VALUE"""),8)</f>
        <v>8</v>
      </c>
      <c r="AC90" s="12"/>
      <c r="AD90" s="12"/>
      <c r="AE90" s="12"/>
      <c r="AF90" s="12"/>
      <c r="AG90" s="13" t="str">
        <f ca="1">IFERROR(__xludf.DUMMYFUNCTION("ArrayFormula(VLOOKUP(G90, IMPORTRANGE(""https://docs.google.com/spreadsheets/d/1Co934fvtviyaRiMsrIlT05Jaq7iiYq07aLvRr35KA48/edit?gid=173865642#gid=173865642"", ""'G7_Sci_Pri_LU'!G2:V2000""), {3, 4, 5, 6, 7, 8, 9, 10, 11, 12, 13, 14, 15, 16}, 0))"),"LU005190")</f>
        <v>LU005190</v>
      </c>
      <c r="AH90" s="13" t="str">
        <f ca="1">IFERROR(__xludf.DUMMYFUNCTION("""COMPUTED_VALUE"""),"Understanding the Basics of Oscillatory Motion")</f>
        <v>Understanding the Basics of Oscillatory Motion</v>
      </c>
      <c r="AI90" s="13" t="str">
        <f ca="1">IFERROR(__xludf.DUMMYFUNCTION("""COMPUTED_VALUE"""),"LU005189")</f>
        <v>LU005189</v>
      </c>
      <c r="AJ90" s="13" t="str">
        <f ca="1">IFERROR(__xludf.DUMMYFUNCTION("""COMPUTED_VALUE"""),"Understanding the Basics of Periodic and Non-Periodic Motion")</f>
        <v>Understanding the Basics of Periodic and Non-Periodic Motion</v>
      </c>
      <c r="AK90" s="13"/>
      <c r="AL90" s="13"/>
      <c r="AM90" s="13"/>
      <c r="AN90" s="13"/>
      <c r="AO90" s="13"/>
      <c r="AP90" s="13"/>
      <c r="AQ90" s="13"/>
      <c r="AR90" s="13"/>
      <c r="AS90" s="13"/>
      <c r="AT90" s="13"/>
    </row>
    <row r="91" spans="1:46">
      <c r="A91" s="8" t="s">
        <v>247</v>
      </c>
      <c r="B91" s="8" t="s">
        <v>47</v>
      </c>
      <c r="C91" s="8" t="s">
        <v>416</v>
      </c>
      <c r="D91" s="8" t="s">
        <v>1510</v>
      </c>
      <c r="E91" s="8" t="s">
        <v>1936</v>
      </c>
      <c r="F91" s="8" t="s">
        <v>1940</v>
      </c>
      <c r="G91" s="8" t="s">
        <v>1942</v>
      </c>
      <c r="H91" s="8" t="str">
        <f ca="1">IFERROR(__xludf.DUMMYFUNCTION("VLOOKUP(G91, IMPORTRANGE(""https://docs.google.com/spreadsheets/d/14deopnvwcrKtEGCKuYXdUHJbeLDZlkiSSWWT0g7x2pM/edit#gid=849066331"", ""LU List Science (Filter)!A:B""), 2, FALSE)"),"Determining the Time Period of a Pendulum's Oscillation")</f>
        <v>Determining the Time Period of a Pendulum's Oscillation</v>
      </c>
      <c r="I91" s="10" t="str">
        <f t="shared" si="0"/>
        <v>LU005380.001</v>
      </c>
      <c r="J91" s="10" t="str">
        <f ca="1">IFERROR(__xludf.DUMMYFUNCTION("VLOOKUP(I91, IMPORTRANGE(""https://docs.google.com/spreadsheets/d/1yDAaXNsi4Mr5FtRQL4tbmSdIzhx6_m4wkOD7IG-k_eo/edit#gid=1336395716"", ""Science!M:N""), 2, FALSE)"),"Define the time period of oscillation.")</f>
        <v>Define the time period of oscillation.</v>
      </c>
      <c r="K91" s="10" t="str">
        <f t="shared" si="1"/>
        <v>LU005380.002</v>
      </c>
      <c r="L91" s="10" t="str">
        <f ca="1">IFERROR(__xludf.DUMMYFUNCTION("VLOOKUP(K91, IMPORTRANGE(""https://docs.google.com/spreadsheets/d/1yDAaXNsi4Mr5FtRQL4tbmSdIzhx6_m4wkOD7IG-k_eo/edit#gid=1336395716"", ""Science!M:N""), 2, FALSE)"),"Describe how to measure the time period of a pendulum.")</f>
        <v>Describe how to measure the time period of a pendulum.</v>
      </c>
      <c r="M91" s="10" t="str">
        <f t="shared" si="2"/>
        <v>LU005380.003</v>
      </c>
      <c r="N91" s="10" t="str">
        <f ca="1">IFERROR(__xludf.DUMMYFUNCTION("VLOOKUP(M91, IMPORTRANGE(""https://docs.google.com/spreadsheets/d/1yDAaXNsi4Mr5FtRQL4tbmSdIzhx6_m4wkOD7IG-k_eo/edit#gid=1336395716"", ""Science!M:N""), 2, FALSE)"),"Relate the time period to the pendulum's length and swing amplitude.")</f>
        <v>Relate the time period to the pendulum's length and swing amplitude.</v>
      </c>
      <c r="O91" s="10" t="str">
        <f t="shared" si="3"/>
        <v>LU005380.004</v>
      </c>
      <c r="P91" s="10" t="str">
        <f ca="1">IFERROR(__xludf.DUMMYFUNCTION("VLOOKUP(O91, IMPORTRANGE(""https://docs.google.com/spreadsheets/d/1yDAaXNsi4Mr5FtRQL4tbmSdIzhx6_m4wkOD7IG-k_eo/edit#gid=1336395716"", ""Science!M:N""), 2, FALSE)"),"Predict how changes in pendulum attributes might affect the time period.")</f>
        <v>Predict how changes in pendulum attributes might affect the time period.</v>
      </c>
      <c r="Q91" s="10" t="str">
        <f t="shared" si="4"/>
        <v>LU005380.005</v>
      </c>
      <c r="R91" s="10" t="str">
        <f ca="1">IFERROR(__xludf.DUMMYFUNCTION("VLOOKUP(Q91, IMPORTRANGE(""https://docs.google.com/spreadsheets/d/1yDAaXNsi4Mr5FtRQL4tbmSdIzhx6_m4wkOD7IG-k_eo/edit#gid=1336395716"", ""Science!M:N""), 2, FALSE)"),"#N/A")</f>
        <v>#N/A</v>
      </c>
      <c r="S91" s="10" t="str">
        <f t="shared" si="5"/>
        <v>LU005380.006</v>
      </c>
      <c r="T91" s="10" t="str">
        <f ca="1">IFERROR(__xludf.DUMMYFUNCTION("VLOOKUP(S91, IMPORTRANGE(""https://docs.google.com/spreadsheets/d/1yDAaXNsi4Mr5FtRQL4tbmSdIzhx6_m4wkOD7IG-k_eo/edit#gid=1336395716"", ""Science!M:N""), 2, FALSE)"),"Devise a new method to more accurately determine a pendulum's time period.")</f>
        <v>Devise a new method to more accurately determine a pendulum's time period.</v>
      </c>
      <c r="U91" s="116">
        <f ca="1">IFERROR(__xludf.DUMMYFUNCTION("ArrayFormula(VLOOKUP(G91, IMPORTRANGE(""https://docs.google.com/spreadsheets/d/1p7R4vtkWt5VOBim4ltsDG9KTzSjrtKXsMtQGXPHyND0/edit#gid=795171502"", ""'Filter 30_05_2024'!A1:M2000""), {2, 3, 4, 5,6,7,8,9,10,11,12,13}, 0))"),12)</f>
        <v>12</v>
      </c>
      <c r="V91" s="116">
        <f ca="1">IFERROR(__xludf.DUMMYFUNCTION("""COMPUTED_VALUE"""),6)</f>
        <v>6</v>
      </c>
      <c r="W91" s="116">
        <f ca="1">IFERROR(__xludf.DUMMYFUNCTION("""COMPUTED_VALUE"""),2)</f>
        <v>2</v>
      </c>
      <c r="X91" s="116">
        <f ca="1">IFERROR(__xludf.DUMMYFUNCTION("""COMPUTED_VALUE"""),20)</f>
        <v>20</v>
      </c>
      <c r="Y91" s="116">
        <f ca="1">IFERROR(__xludf.DUMMYFUNCTION("""COMPUTED_VALUE"""),6)</f>
        <v>6</v>
      </c>
      <c r="Z91" s="12">
        <f ca="1">IFERROR(__xludf.DUMMYFUNCTION("""COMPUTED_VALUE"""),3)</f>
        <v>3</v>
      </c>
      <c r="AA91" s="12">
        <f ca="1">IFERROR(__xludf.DUMMYFUNCTION("""COMPUTED_VALUE"""),1)</f>
        <v>1</v>
      </c>
      <c r="AB91" s="12">
        <f ca="1">IFERROR(__xludf.DUMMYFUNCTION("""COMPUTED_VALUE"""),10)</f>
        <v>10</v>
      </c>
      <c r="AC91" s="12"/>
      <c r="AD91" s="12"/>
      <c r="AE91" s="12"/>
      <c r="AF91" s="12"/>
      <c r="AG91" s="13" t="str">
        <f ca="1">IFERROR(__xludf.DUMMYFUNCTION("ArrayFormula(VLOOKUP(G91, IMPORTRANGE(""https://docs.google.com/spreadsheets/d/1Co934fvtviyaRiMsrIlT05Jaq7iiYq07aLvRr35KA48/edit?gid=173865642#gid=173865642"", ""'G7_Sci_Pri_LU'!G2:V2000""), {3, 4, 5, 6, 7, 8, 9, 10, 11, 12, 13, 14, 15, 16}, 0))"),"LU005379")</f>
        <v>LU005379</v>
      </c>
      <c r="AH91" s="13" t="str">
        <f ca="1">IFERROR(__xludf.DUMMYFUNCTION("""COMPUTED_VALUE"""),"Definition and Parts of a Simple Pendulum")</f>
        <v>Definition and Parts of a Simple Pendulum</v>
      </c>
      <c r="AI91" s="13" t="str">
        <f ca="1">IFERROR(__xludf.DUMMYFUNCTION("""COMPUTED_VALUE"""),"LU005190")</f>
        <v>LU005190</v>
      </c>
      <c r="AJ91" s="13" t="str">
        <f ca="1">IFERROR(__xludf.DUMMYFUNCTION("""COMPUTED_VALUE"""),"Understanding the Basics of Oscillatory Motion")</f>
        <v>Understanding the Basics of Oscillatory Motion</v>
      </c>
      <c r="AK91" s="13" t="str">
        <f ca="1">IFERROR(__xludf.DUMMYFUNCTION("""COMPUTED_VALUE"""),"LU005189")</f>
        <v>LU005189</v>
      </c>
      <c r="AL91" s="13" t="str">
        <f ca="1">IFERROR(__xludf.DUMMYFUNCTION("""COMPUTED_VALUE"""),"Understanding the Basics of Periodic and Non-Periodic Motion")</f>
        <v>Understanding the Basics of Periodic and Non-Periodic Motion</v>
      </c>
      <c r="AM91" s="13"/>
      <c r="AN91" s="13"/>
      <c r="AO91" s="13"/>
      <c r="AP91" s="13"/>
      <c r="AQ91" s="13"/>
      <c r="AR91" s="13"/>
      <c r="AS91" s="13"/>
      <c r="AT91" s="13"/>
    </row>
    <row r="92" spans="1:46">
      <c r="A92" s="8" t="s">
        <v>247</v>
      </c>
      <c r="B92" s="8" t="s">
        <v>47</v>
      </c>
      <c r="C92" s="8" t="s">
        <v>416</v>
      </c>
      <c r="D92" s="8" t="s">
        <v>1510</v>
      </c>
      <c r="E92" s="8" t="s">
        <v>1936</v>
      </c>
      <c r="F92" s="118" t="s">
        <v>1943</v>
      </c>
      <c r="G92" s="118" t="s">
        <v>1944</v>
      </c>
      <c r="H92" s="118" t="str">
        <f ca="1">IFERROR(__xludf.DUMMYFUNCTION("VLOOKUP(G92, IMPORTRANGE(""https://docs.google.com/spreadsheets/d/14deopnvwcrKtEGCKuYXdUHJbeLDZlkiSSWWT0g7x2pM/edit#gid=849066331"", ""LU List Science (Filter)!A:B""), 2, FALSE)"),"Differentiating Objects as Moving Slow or Fast")</f>
        <v>Differentiating Objects as Moving Slow or Fast</v>
      </c>
      <c r="I92" s="10" t="str">
        <f t="shared" si="0"/>
        <v>LU005378.001</v>
      </c>
      <c r="J92" s="10" t="str">
        <f ca="1">IFERROR(__xludf.DUMMYFUNCTION("VLOOKUP(I92, IMPORTRANGE(""https://docs.google.com/spreadsheets/d/1yDAaXNsi4Mr5FtRQL4tbmSdIzhx6_m4wkOD7IG-k_eo/edit#gid=1336395716"", ""Science!M:N""), 2, FALSE)"),"Define and differentiate between slow and fast motion.")</f>
        <v>Define and differentiate between slow and fast motion.</v>
      </c>
      <c r="K92" s="10" t="str">
        <f t="shared" si="1"/>
        <v>LU005378.002</v>
      </c>
      <c r="L92" s="10" t="str">
        <f ca="1">IFERROR(__xludf.DUMMYFUNCTION("VLOOKUP(K92, IMPORTRANGE(""https://docs.google.com/spreadsheets/d/1yDAaXNsi4Mr5FtRQL4tbmSdIzhx6_m4wkOD7IG-k_eo/edit#gid=1336395716"", ""Science!M:N""), 2, FALSE)"),"Categorize different objects based on their observed speeds.")</f>
        <v>Categorize different objects based on their observed speeds.</v>
      </c>
      <c r="M92" s="10" t="str">
        <f t="shared" si="2"/>
        <v>LU005378.003</v>
      </c>
      <c r="N92" s="10" t="str">
        <f ca="1">IFERROR(__xludf.DUMMYFUNCTION("VLOOKUP(M92, IMPORTRANGE(""https://docs.google.com/spreadsheets/d/1yDAaXNsi4Mr5FtRQL4tbmSdIzhx6_m4wkOD7IG-k_eo/edit#gid=1336395716"", ""Science!M:N""), 2, FALSE)"),"#N/A")</f>
        <v>#N/A</v>
      </c>
      <c r="O92" s="10" t="str">
        <f t="shared" si="3"/>
        <v>LU005378.004</v>
      </c>
      <c r="P92" s="10" t="str">
        <f ca="1">IFERROR(__xludf.DUMMYFUNCTION("VLOOKUP(O92, IMPORTRANGE(""https://docs.google.com/spreadsheets/d/1yDAaXNsi4Mr5FtRQL4tbmSdIzhx6_m4wkOD7IG-k_eo/edit#gid=1336395716"", ""Science!M:N""), 2, FALSE)"),"Compare relative speeds of multiple objects in a shared context.")</f>
        <v>Compare relative speeds of multiple objects in a shared context.</v>
      </c>
      <c r="Q92" s="10" t="str">
        <f t="shared" si="4"/>
        <v>LU005378.005</v>
      </c>
      <c r="R92" s="10" t="str">
        <f ca="1">IFERROR(__xludf.DUMMYFUNCTION("VLOOKUP(Q92, IMPORTRANGE(""https://docs.google.com/spreadsheets/d/1yDAaXNsi4Mr5FtRQL4tbmSdIzhx6_m4wkOD7IG-k_eo/edit#gid=1336395716"", ""Science!M:N""), 2, FALSE)"),"Determine factors influencing speed.")</f>
        <v>Determine factors influencing speed.</v>
      </c>
      <c r="S92" s="10" t="str">
        <f t="shared" si="5"/>
        <v>LU005378.006</v>
      </c>
      <c r="T92" s="10" t="str">
        <f ca="1">IFERROR(__xludf.DUMMYFUNCTION("VLOOKUP(S92, IMPORTRANGE(""https://docs.google.com/spreadsheets/d/1yDAaXNsi4Mr5FtRQL4tbmSdIzhx6_m4wkOD7IG-k_eo/edit#gid=1336395716"", ""Science!M:N""), 2, FALSE)"),"#N/A")</f>
        <v>#N/A</v>
      </c>
      <c r="U92" s="116">
        <f ca="1">IFERROR(__xludf.DUMMYFUNCTION("ArrayFormula(VLOOKUP(G92, IMPORTRANGE(""https://docs.google.com/spreadsheets/d/1p7R4vtkWt5VOBim4ltsDG9KTzSjrtKXsMtQGXPHyND0/edit#gid=795171502"", ""'Filter 30_05_2024'!A1:M2000""), {2, 3, 4, 5,6,7,8,9,10,11,12,13}, 0))"),4)</f>
        <v>4</v>
      </c>
      <c r="V92" s="116">
        <f ca="1">IFERROR(__xludf.DUMMYFUNCTION("""COMPUTED_VALUE"""),9)</f>
        <v>9</v>
      </c>
      <c r="W92" s="116">
        <f ca="1">IFERROR(__xludf.DUMMYFUNCTION("""COMPUTED_VALUE"""),4)</f>
        <v>4</v>
      </c>
      <c r="X92" s="116">
        <f ca="1">IFERROR(__xludf.DUMMYFUNCTION("""COMPUTED_VALUE"""),17)</f>
        <v>17</v>
      </c>
      <c r="Y92" s="116">
        <f ca="1">IFERROR(__xludf.DUMMYFUNCTION("""COMPUTED_VALUE"""),4)</f>
        <v>4</v>
      </c>
      <c r="Z92" s="12">
        <f ca="1">IFERROR(__xludf.DUMMYFUNCTION("""COMPUTED_VALUE"""),4)</f>
        <v>4</v>
      </c>
      <c r="AA92" s="12">
        <f ca="1">IFERROR(__xludf.DUMMYFUNCTION("""COMPUTED_VALUE"""),1)</f>
        <v>1</v>
      </c>
      <c r="AB92" s="12">
        <f ca="1">IFERROR(__xludf.DUMMYFUNCTION("""COMPUTED_VALUE"""),9)</f>
        <v>9</v>
      </c>
      <c r="AC92" s="12"/>
      <c r="AD92" s="12"/>
      <c r="AE92" s="12"/>
      <c r="AF92" s="12"/>
      <c r="AG92" s="13" t="str">
        <f ca="1">IFERROR(__xludf.DUMMYFUNCTION("ArrayFormula(VLOOKUP(G92, IMPORTRANGE(""https://docs.google.com/spreadsheets/d/1Co934fvtviyaRiMsrIlT05Jaq7iiYq07aLvRr35KA48/edit?gid=173865642#gid=173865642"", ""'G7_Sci_Pri_LU'!G2:V2000""), {3, 4, 5, 6, 7, 8, 9, 10, 11, 12, 13, 14, 15, 16}, 0))"),"LU005177")</f>
        <v>LU005177</v>
      </c>
      <c r="AH92" s="13" t="str">
        <f ca="1">IFERROR(__xludf.DUMMYFUNCTION("""COMPUTED_VALUE"""),"Comparison of object in the State of rest vs State of Motion")</f>
        <v>Comparison of object in the State of rest vs State of Motion</v>
      </c>
      <c r="AI92" s="13"/>
      <c r="AJ92" s="13"/>
      <c r="AK92" s="13"/>
      <c r="AL92" s="13"/>
      <c r="AM92" s="13"/>
      <c r="AN92" s="13"/>
      <c r="AO92" s="13"/>
      <c r="AP92" s="13"/>
      <c r="AQ92" s="13"/>
      <c r="AR92" s="13"/>
      <c r="AS92" s="13"/>
      <c r="AT92" s="13"/>
    </row>
    <row r="93" spans="1:46">
      <c r="A93" s="8" t="s">
        <v>247</v>
      </c>
      <c r="B93" s="8" t="s">
        <v>47</v>
      </c>
      <c r="C93" s="8" t="s">
        <v>416</v>
      </c>
      <c r="D93" s="8" t="s">
        <v>1510</v>
      </c>
      <c r="E93" s="8" t="s">
        <v>1936</v>
      </c>
      <c r="F93" s="118" t="s">
        <v>1945</v>
      </c>
      <c r="G93" s="118" t="s">
        <v>1946</v>
      </c>
      <c r="H93" s="118" t="str">
        <f ca="1">IFERROR(__xludf.DUMMYFUNCTION("VLOOKUP(G93, IMPORTRANGE(""https://docs.google.com/spreadsheets/d/14deopnvwcrKtEGCKuYXdUHJbeLDZlkiSSWWT0g7x2pM/edit#gid=849066331"", ""LU List Science (Filter)!A:B""), 2, FALSE)"),"Definition of Speed")</f>
        <v>Definition of Speed</v>
      </c>
      <c r="I93" s="10" t="str">
        <f t="shared" si="0"/>
        <v>LU005375.001</v>
      </c>
      <c r="J93" s="10" t="str">
        <f ca="1">IFERROR(__xludf.DUMMYFUNCTION("VLOOKUP(I93, IMPORTRANGE(""https://docs.google.com/spreadsheets/d/1yDAaXNsi4Mr5FtRQL4tbmSdIzhx6_m4wkOD7IG-k_eo/edit#gid=1336395716"", ""Science!M:N""), 2, FALSE)"),"Define speed and average speed.")</f>
        <v>Define speed and average speed.</v>
      </c>
      <c r="K93" s="10" t="str">
        <f t="shared" si="1"/>
        <v>LU005375.002</v>
      </c>
      <c r="L93" s="10" t="str">
        <f ca="1">IFERROR(__xludf.DUMMYFUNCTION("VLOOKUP(K93, IMPORTRANGE(""https://docs.google.com/spreadsheets/d/1yDAaXNsi4Mr5FtRQL4tbmSdIzhx6_m4wkOD7IG-k_eo/edit#gid=1336395716"", ""Science!M:N""), 2, FALSE)"),"Explain what speed indicates in terms of motion.")</f>
        <v>Explain what speed indicates in terms of motion.</v>
      </c>
      <c r="M93" s="10" t="str">
        <f t="shared" si="2"/>
        <v>LU005375.003</v>
      </c>
      <c r="N93" s="10" t="str">
        <f ca="1">IFERROR(__xludf.DUMMYFUNCTION("VLOOKUP(M93, IMPORTRANGE(""https://docs.google.com/spreadsheets/d/1yDAaXNsi4Mr5FtRQL4tbmSdIzhx6_m4wkOD7IG-k_eo/edit#gid=1336395716"", ""Science!M:N""), 2, FALSE)"),"Identify examples in daily life where speed plays a role.")</f>
        <v>Identify examples in daily life where speed plays a role.</v>
      </c>
      <c r="O93" s="10" t="str">
        <f t="shared" si="3"/>
        <v>LU005375.004</v>
      </c>
      <c r="P93" s="10" t="str">
        <f ca="1">IFERROR(__xludf.DUMMYFUNCTION("VLOOKUP(O93, IMPORTRANGE(""https://docs.google.com/spreadsheets/d/1yDAaXNsi4Mr5FtRQL4tbmSdIzhx6_m4wkOD7IG-k_eo/edit#gid=1336395716"", ""Science!M:N""), 2, FALSE)"),"#N/A")</f>
        <v>#N/A</v>
      </c>
      <c r="Q93" s="10" t="str">
        <f t="shared" si="4"/>
        <v>LU005375.005</v>
      </c>
      <c r="R93" s="10" t="str">
        <f ca="1">IFERROR(__xludf.DUMMYFUNCTION("VLOOKUP(Q93, IMPORTRANGE(""https://docs.google.com/spreadsheets/d/1yDAaXNsi4Mr5FtRQL4tbmSdIzhx6_m4wkOD7IG-k_eo/edit#gid=1336395716"", ""Science!M:N""), 2, FALSE)"),"Compare the importance of understanding speed in different scenarios.")</f>
        <v>Compare the importance of understanding speed in different scenarios.</v>
      </c>
      <c r="S93" s="10" t="str">
        <f t="shared" si="5"/>
        <v>LU005375.006</v>
      </c>
      <c r="T93" s="10" t="str">
        <f ca="1">IFERROR(__xludf.DUMMYFUNCTION("VLOOKUP(S93, IMPORTRANGE(""https://docs.google.com/spreadsheets/d/1yDAaXNsi4Mr5FtRQL4tbmSdIzhx6_m4wkOD7IG-k_eo/edit#gid=1336395716"", ""Science!M:N""), 2, FALSE)"),"Formulate a scenario to demonstrate speed in action.")</f>
        <v>Formulate a scenario to demonstrate speed in action.</v>
      </c>
      <c r="U93" s="116">
        <f ca="1">IFERROR(__xludf.DUMMYFUNCTION("ArrayFormula(VLOOKUP(G93, IMPORTRANGE(""https://docs.google.com/spreadsheets/d/1p7R4vtkWt5VOBim4ltsDG9KTzSjrtKXsMtQGXPHyND0/edit#gid=795171502"", ""'Filter 30_05_2024'!A1:M2000""), {2, 3, 4, 5,6,7,8,9,10,11,12,13}, 0))"),6)</f>
        <v>6</v>
      </c>
      <c r="V93" s="116">
        <f ca="1">IFERROR(__xludf.DUMMYFUNCTION("""COMPUTED_VALUE"""),6)</f>
        <v>6</v>
      </c>
      <c r="W93" s="116">
        <f ca="1">IFERROR(__xludf.DUMMYFUNCTION("""COMPUTED_VALUE"""),2)</f>
        <v>2</v>
      </c>
      <c r="X93" s="116">
        <f ca="1">IFERROR(__xludf.DUMMYFUNCTION("""COMPUTED_VALUE"""),14)</f>
        <v>14</v>
      </c>
      <c r="Y93" s="116">
        <f ca="1">IFERROR(__xludf.DUMMYFUNCTION("""COMPUTED_VALUE"""),4)</f>
        <v>4</v>
      </c>
      <c r="Z93" s="12">
        <f ca="1">IFERROR(__xludf.DUMMYFUNCTION("""COMPUTED_VALUE"""),5)</f>
        <v>5</v>
      </c>
      <c r="AA93" s="12">
        <f ca="1">IFERROR(__xludf.DUMMYFUNCTION("""COMPUTED_VALUE"""),1)</f>
        <v>1</v>
      </c>
      <c r="AB93" s="12">
        <f ca="1">IFERROR(__xludf.DUMMYFUNCTION("""COMPUTED_VALUE"""),10)</f>
        <v>10</v>
      </c>
      <c r="AC93" s="12"/>
      <c r="AD93" s="12"/>
      <c r="AE93" s="12"/>
      <c r="AF93" s="12"/>
      <c r="AG93" s="13" t="str">
        <f ca="1">IFERROR(__xludf.DUMMYFUNCTION("ArrayFormula(VLOOKUP(G93, IMPORTRANGE(""https://docs.google.com/spreadsheets/d/1Co934fvtviyaRiMsrIlT05Jaq7iiYq07aLvRr35KA48/edit?gid=173865642#gid=173865642"", ""'G7_Sci_Pri_LU'!G2:V2000""), {3, 4, 5, 6, 7, 8, 9, 10, 11, 12, 13, 14, 15, 16}, 0))"),"LU005378")</f>
        <v>LU005378</v>
      </c>
      <c r="AH93" s="13" t="str">
        <f ca="1">IFERROR(__xludf.DUMMYFUNCTION("""COMPUTED_VALUE"""),"Differentiating Objects as Moving Slow or Fast")</f>
        <v>Differentiating Objects as Moving Slow or Fast</v>
      </c>
      <c r="AI93" s="13" t="str">
        <f ca="1">IFERROR(__xludf.DUMMYFUNCTION("""COMPUTED_VALUE"""),"LU005177")</f>
        <v>LU005177</v>
      </c>
      <c r="AJ93" s="13" t="str">
        <f ca="1">IFERROR(__xludf.DUMMYFUNCTION("""COMPUTED_VALUE"""),"Comparison of object in the State of rest vs State of Motion")</f>
        <v>Comparison of object in the State of rest vs State of Motion</v>
      </c>
      <c r="AK93" s="13"/>
      <c r="AL93" s="13"/>
      <c r="AM93" s="13"/>
      <c r="AN93" s="13"/>
      <c r="AO93" s="13"/>
      <c r="AP93" s="13"/>
      <c r="AQ93" s="13"/>
      <c r="AR93" s="13"/>
      <c r="AS93" s="13"/>
      <c r="AT93" s="13"/>
    </row>
    <row r="94" spans="1:46">
      <c r="A94" s="8" t="s">
        <v>247</v>
      </c>
      <c r="B94" s="8" t="s">
        <v>47</v>
      </c>
      <c r="C94" s="8" t="s">
        <v>416</v>
      </c>
      <c r="D94" s="8" t="s">
        <v>1510</v>
      </c>
      <c r="E94" s="8" t="s">
        <v>1936</v>
      </c>
      <c r="F94" s="118" t="s">
        <v>1945</v>
      </c>
      <c r="G94" s="118" t="s">
        <v>1947</v>
      </c>
      <c r="H94" s="118" t="str">
        <f ca="1">IFERROR(__xludf.DUMMYFUNCTION("VLOOKUP(G94, IMPORTRANGE(""https://docs.google.com/spreadsheets/d/14deopnvwcrKtEGCKuYXdUHJbeLDZlkiSSWWT0g7x2pM/edit#gid=849066331"", ""LU List Science (Filter)!A:B""), 2, FALSE)"),"Units of Speed")</f>
        <v>Units of Speed</v>
      </c>
      <c r="I94" s="10" t="str">
        <f t="shared" si="0"/>
        <v>LU005376.001</v>
      </c>
      <c r="J94" s="10" t="str">
        <f ca="1">IFERROR(__xludf.DUMMYFUNCTION("VLOOKUP(I94, IMPORTRANGE(""https://docs.google.com/spreadsheets/d/1yDAaXNsi4Mr5FtRQL4tbmSdIzhx6_m4wkOD7IG-k_eo/edit#gid=1336395716"", ""Science!M:N""), 2, FALSE)"),"Recall the standard units for measuring speed.")</f>
        <v>Recall the standard units for measuring speed.</v>
      </c>
      <c r="K94" s="10" t="str">
        <f t="shared" si="1"/>
        <v>LU005376.002</v>
      </c>
      <c r="L94" s="10" t="str">
        <f ca="1">IFERROR(__xludf.DUMMYFUNCTION("VLOOKUP(K94, IMPORTRANGE(""https://docs.google.com/spreadsheets/d/1yDAaXNsi4Mr5FtRQL4tbmSdIzhx6_m4wkOD7IG-k_eo/edit#gid=1336395716"", ""Science!M:N""), 2, FALSE)"),"Describe what 'kilometers per hour' means.")</f>
        <v>Describe what 'kilometers per hour' means.</v>
      </c>
      <c r="M94" s="10" t="str">
        <f t="shared" si="2"/>
        <v>LU005376.003</v>
      </c>
      <c r="N94" s="10" t="str">
        <f ca="1">IFERROR(__xludf.DUMMYFUNCTION("VLOOKUP(M94, IMPORTRANGE(""https://docs.google.com/spreadsheets/d/1yDAaXNsi4Mr5FtRQL4tbmSdIzhx6_m4wkOD7IG-k_eo/edit#gid=1336395716"", ""Science!M:N""), 2, FALSE)"),"Convert speeds from one unit to another.")</f>
        <v>Convert speeds from one unit to another.</v>
      </c>
      <c r="O94" s="10" t="str">
        <f t="shared" si="3"/>
        <v>LU005376.004</v>
      </c>
      <c r="P94" s="10" t="str">
        <f ca="1">IFERROR(__xludf.DUMMYFUNCTION("VLOOKUP(O94, IMPORTRANGE(""https://docs.google.com/spreadsheets/d/1yDAaXNsi4Mr5FtRQL4tbmSdIzhx6_m4wkOD7IG-k_eo/edit#gid=1336395716"", ""Science!M:N""), 2, FALSE)"),"Examine the appropriateness of using certain units in specific contexts.")</f>
        <v>Examine the appropriateness of using certain units in specific contexts.</v>
      </c>
      <c r="Q94" s="10" t="str">
        <f t="shared" si="4"/>
        <v>LU005376.005</v>
      </c>
      <c r="R94" s="10" t="str">
        <f ca="1">IFERROR(__xludf.DUMMYFUNCTION("VLOOKUP(Q94, IMPORTRANGE(""https://docs.google.com/spreadsheets/d/1yDAaXNsi4Mr5FtRQL4tbmSdIzhx6_m4wkOD7IG-k_eo/edit#gid=1336395716"", ""Science!M:N""), 2, FALSE)"),"Judge the efficiency of using different units for various speeds.")</f>
        <v>Judge the efficiency of using different units for various speeds.</v>
      </c>
      <c r="S94" s="10" t="str">
        <f t="shared" si="5"/>
        <v>LU005376.006</v>
      </c>
      <c r="T94" s="10" t="str">
        <f ca="1">IFERROR(__xludf.DUMMYFUNCTION("VLOOKUP(S94, IMPORTRANGE(""https://docs.google.com/spreadsheets/d/1yDAaXNsi4Mr5FtRQL4tbmSdIzhx6_m4wkOD7IG-k_eo/edit#gid=1336395716"", ""Science!M:N""), 2, FALSE)"),"#N/A")</f>
        <v>#N/A</v>
      </c>
      <c r="U94" s="116">
        <f ca="1">IFERROR(__xludf.DUMMYFUNCTION("ArrayFormula(VLOOKUP(G94, IMPORTRANGE(""https://docs.google.com/spreadsheets/d/1p7R4vtkWt5VOBim4ltsDG9KTzSjrtKXsMtQGXPHyND0/edit#gid=795171502"", ""'Filter 30_05_2024'!A1:M2000""), {2, 3, 4, 5,6,7,8,9,10,11,12,13}, 0))"),4)</f>
        <v>4</v>
      </c>
      <c r="V94" s="116">
        <f ca="1">IFERROR(__xludf.DUMMYFUNCTION("""COMPUTED_VALUE"""),6)</f>
        <v>6</v>
      </c>
      <c r="W94" s="116">
        <f ca="1">IFERROR(__xludf.DUMMYFUNCTION("""COMPUTED_VALUE"""),2)</f>
        <v>2</v>
      </c>
      <c r="X94" s="116">
        <f ca="1">IFERROR(__xludf.DUMMYFUNCTION("""COMPUTED_VALUE"""),12)</f>
        <v>12</v>
      </c>
      <c r="Y94" s="116">
        <f ca="1">IFERROR(__xludf.DUMMYFUNCTION("""COMPUTED_VALUE"""),4)</f>
        <v>4</v>
      </c>
      <c r="Z94" s="12">
        <f ca="1">IFERROR(__xludf.DUMMYFUNCTION("""COMPUTED_VALUE"""),4)</f>
        <v>4</v>
      </c>
      <c r="AA94" s="12">
        <f ca="1">IFERROR(__xludf.DUMMYFUNCTION("""COMPUTED_VALUE"""),1)</f>
        <v>1</v>
      </c>
      <c r="AB94" s="12">
        <f ca="1">IFERROR(__xludf.DUMMYFUNCTION("""COMPUTED_VALUE"""),9)</f>
        <v>9</v>
      </c>
      <c r="AC94" s="12"/>
      <c r="AD94" s="12"/>
      <c r="AE94" s="12"/>
      <c r="AF94" s="12"/>
      <c r="AG94" s="13" t="str">
        <f ca="1">IFERROR(__xludf.DUMMYFUNCTION("ArrayFormula(VLOOKUP(G94, IMPORTRANGE(""https://docs.google.com/spreadsheets/d/1Co934fvtviyaRiMsrIlT05Jaq7iiYq07aLvRr35KA48/edit?gid=173865642#gid=173865642"", ""'G7_Sci_Pri_LU'!G2:V2000""), {3, 4, 5, 6, 7, 8, 9, 10, 11, 12, 13, 14, 15, 16}, 0))"),"LU005375")</f>
        <v>LU005375</v>
      </c>
      <c r="AH94" s="13" t="str">
        <f ca="1">IFERROR(__xludf.DUMMYFUNCTION("""COMPUTED_VALUE"""),"Definition of Speed")</f>
        <v>Definition of Speed</v>
      </c>
      <c r="AI94" s="13" t="str">
        <f ca="1">IFERROR(__xludf.DUMMYFUNCTION("""COMPUTED_VALUE"""),"LU005384")</f>
        <v>LU005384</v>
      </c>
      <c r="AJ94" s="13" t="str">
        <f ca="1">IFERROR(__xludf.DUMMYFUNCTION("""COMPUTED_VALUE"""),"Units of Time")</f>
        <v>Units of Time</v>
      </c>
      <c r="AK94" s="13" t="str">
        <f ca="1">IFERROR(__xludf.DUMMYFUNCTION("""COMPUTED_VALUE"""),"LU005174")</f>
        <v>LU005174</v>
      </c>
      <c r="AL94" s="13" t="str">
        <f ca="1">IFERROR(__xludf.DUMMYFUNCTION("""COMPUTED_VALUE"""),"Units of length")</f>
        <v>Units of length</v>
      </c>
      <c r="AM94" s="13"/>
      <c r="AN94" s="13"/>
      <c r="AO94" s="13"/>
      <c r="AP94" s="13"/>
      <c r="AQ94" s="13"/>
      <c r="AR94" s="13"/>
      <c r="AS94" s="13"/>
      <c r="AT94" s="13"/>
    </row>
    <row r="95" spans="1:46">
      <c r="A95" s="8" t="s">
        <v>247</v>
      </c>
      <c r="B95" s="8" t="s">
        <v>47</v>
      </c>
      <c r="C95" s="8" t="s">
        <v>416</v>
      </c>
      <c r="D95" s="8" t="s">
        <v>1510</v>
      </c>
      <c r="E95" s="8" t="s">
        <v>1936</v>
      </c>
      <c r="F95" s="118" t="s">
        <v>1945</v>
      </c>
      <c r="G95" s="118" t="s">
        <v>1948</v>
      </c>
      <c r="H95" s="118" t="str">
        <f ca="1">IFERROR(__xludf.DUMMYFUNCTION("VLOOKUP(G95, IMPORTRANGE(""https://docs.google.com/spreadsheets/d/14deopnvwcrKtEGCKuYXdUHJbeLDZlkiSSWWT0g7x2pM/edit#gid=849066331"", ""LU List Science (Filter)!A:B""), 2, FALSE)"),"Understanding Uniform and Non-Uniform Motion")</f>
        <v>Understanding Uniform and Non-Uniform Motion</v>
      </c>
      <c r="I95" s="10" t="str">
        <f t="shared" si="0"/>
        <v>LU005386.001</v>
      </c>
      <c r="J95" s="10" t="str">
        <f ca="1">IFERROR(__xludf.DUMMYFUNCTION("VLOOKUP(I95, IMPORTRANGE(""https://docs.google.com/spreadsheets/d/1yDAaXNsi4Mr5FtRQL4tbmSdIzhx6_m4wkOD7IG-k_eo/edit#gid=1336395716"", ""Science!M:N""), 2, FALSE)"),"Define uniform and non-uniform motion.")</f>
        <v>Define uniform and non-uniform motion.</v>
      </c>
      <c r="K95" s="10" t="str">
        <f t="shared" si="1"/>
        <v>LU005386.002</v>
      </c>
      <c r="L95" s="10" t="str">
        <f ca="1">IFERROR(__xludf.DUMMYFUNCTION("VLOOKUP(K95, IMPORTRANGE(""https://docs.google.com/spreadsheets/d/1yDAaXNsi4Mr5FtRQL4tbmSdIzhx6_m4wkOD7IG-k_eo/edit#gid=1336395716"", ""Science!M:N""), 2, FALSE)"),"Differentiate between uniform and non-uniform motion using examples.")</f>
        <v>Differentiate between uniform and non-uniform motion using examples.</v>
      </c>
      <c r="M95" s="10" t="str">
        <f t="shared" si="2"/>
        <v>LU005386.003</v>
      </c>
      <c r="N95" s="10" t="str">
        <f ca="1">IFERROR(__xludf.DUMMYFUNCTION("VLOOKUP(M95, IMPORTRANGE(""https://docs.google.com/spreadsheets/d/1yDAaXNsi4Mr5FtRQL4tbmSdIzhx6_m4wkOD7IG-k_eo/edit#gid=1336395716"", ""Science!M:N""), 2, FALSE)"),"Relate real-world scenarios to either uniform or non-uniform motion.")</f>
        <v>Relate real-world scenarios to either uniform or non-uniform motion.</v>
      </c>
      <c r="O95" s="10" t="str">
        <f t="shared" si="3"/>
        <v>LU005386.004</v>
      </c>
      <c r="P95" s="10" t="str">
        <f ca="1">IFERROR(__xludf.DUMMYFUNCTION("VLOOKUP(O95, IMPORTRANGE(""https://docs.google.com/spreadsheets/d/1yDAaXNsi4Mr5FtRQL4tbmSdIzhx6_m4wkOD7IG-k_eo/edit#gid=1336395716"", ""Science!M:N""), 2, FALSE)"),"Analyze factors leading to non-uniform motion in practical contexts.")</f>
        <v>Analyze factors leading to non-uniform motion in practical contexts.</v>
      </c>
      <c r="Q95" s="10" t="str">
        <f t="shared" si="4"/>
        <v>LU005386.005</v>
      </c>
      <c r="R95" s="10" t="str">
        <f ca="1">IFERROR(__xludf.DUMMYFUNCTION("VLOOKUP(Q95, IMPORTRANGE(""https://docs.google.com/spreadsheets/d/1yDAaXNsi4Mr5FtRQL4tbmSdIzhx6_m4wkOD7IG-k_eo/edit#gid=1336395716"", ""Science!M:N""), 2, FALSE)"),"#N/A")</f>
        <v>#N/A</v>
      </c>
      <c r="S95" s="10" t="str">
        <f t="shared" si="5"/>
        <v>LU005386.006</v>
      </c>
      <c r="T95" s="10" t="str">
        <f ca="1">IFERROR(__xludf.DUMMYFUNCTION("VLOOKUP(S95, IMPORTRANGE(""https://docs.google.com/spreadsheets/d/1yDAaXNsi4Mr5FtRQL4tbmSdIzhx6_m4wkOD7IG-k_eo/edit#gid=1336395716"", ""Science!M:N""), 2, FALSE)"),"#N/A")</f>
        <v>#N/A</v>
      </c>
      <c r="U95" s="116">
        <f ca="1">IFERROR(__xludf.DUMMYFUNCTION("ArrayFormula(VLOOKUP(G95, IMPORTRANGE(""https://docs.google.com/spreadsheets/d/1p7R4vtkWt5VOBim4ltsDG9KTzSjrtKXsMtQGXPHyND0/edit#gid=795171502"", ""'Filter 30_05_2024'!A1:M2000""), {2, 3, 4, 5,6,7,8,9,10,11,12,13}, 0))"),2)</f>
        <v>2</v>
      </c>
      <c r="V95" s="116">
        <f ca="1">IFERROR(__xludf.DUMMYFUNCTION("""COMPUTED_VALUE"""),7)</f>
        <v>7</v>
      </c>
      <c r="W95" s="116">
        <f ca="1">IFERROR(__xludf.DUMMYFUNCTION("""COMPUTED_VALUE"""),2)</f>
        <v>2</v>
      </c>
      <c r="X95" s="116">
        <f ca="1">IFERROR(__xludf.DUMMYFUNCTION("""COMPUTED_VALUE"""),11)</f>
        <v>11</v>
      </c>
      <c r="Y95" s="116">
        <f ca="1">IFERROR(__xludf.DUMMYFUNCTION("""COMPUTED_VALUE"""),2)</f>
        <v>2</v>
      </c>
      <c r="Z95" s="12">
        <f ca="1">IFERROR(__xludf.DUMMYFUNCTION("""COMPUTED_VALUE"""),3)</f>
        <v>3</v>
      </c>
      <c r="AA95" s="12">
        <f ca="1">IFERROR(__xludf.DUMMYFUNCTION("""COMPUTED_VALUE"""),1)</f>
        <v>1</v>
      </c>
      <c r="AB95" s="12">
        <f ca="1">IFERROR(__xludf.DUMMYFUNCTION("""COMPUTED_VALUE"""),6)</f>
        <v>6</v>
      </c>
      <c r="AC95" s="12">
        <f ca="1">IFERROR(__xludf.DUMMYFUNCTION("""COMPUTED_VALUE"""),1)</f>
        <v>1</v>
      </c>
      <c r="AD95" s="12">
        <f ca="1">IFERROR(__xludf.DUMMYFUNCTION("""COMPUTED_VALUE"""),1)</f>
        <v>1</v>
      </c>
      <c r="AE95" s="12"/>
      <c r="AF95" s="12">
        <f ca="1">IFERROR(__xludf.DUMMYFUNCTION("""COMPUTED_VALUE"""),2)</f>
        <v>2</v>
      </c>
      <c r="AG95" s="13" t="str">
        <f ca="1">IFERROR(__xludf.DUMMYFUNCTION("ArrayFormula(VLOOKUP(G95, IMPORTRANGE(""https://docs.google.com/spreadsheets/d/1Co934fvtviyaRiMsrIlT05Jaq7iiYq07aLvRr35KA48/edit?gid=173865642#gid=173865642"", ""'G7_Sci_Pri_LU'!G2:V2000""), {3, 4, 5, 6, 7, 8, 9, 10, 11, 12, 13, 14, 15, 16}, 0))"),"LU005375")</f>
        <v>LU005375</v>
      </c>
      <c r="AH95" s="13" t="str">
        <f ca="1">IFERROR(__xludf.DUMMYFUNCTION("""COMPUTED_VALUE"""),"Definition of Speed")</f>
        <v>Definition of Speed</v>
      </c>
      <c r="AI95" s="13" t="str">
        <f ca="1">IFERROR(__xludf.DUMMYFUNCTION("""COMPUTED_VALUE"""),"LU005378")</f>
        <v>LU005378</v>
      </c>
      <c r="AJ95" s="13" t="str">
        <f ca="1">IFERROR(__xludf.DUMMYFUNCTION("""COMPUTED_VALUE"""),"Differentiating Objects as Moving Slow or Fast")</f>
        <v>Differentiating Objects as Moving Slow or Fast</v>
      </c>
      <c r="AK95" s="13"/>
      <c r="AL95" s="13"/>
      <c r="AM95" s="13"/>
      <c r="AN95" s="13"/>
      <c r="AO95" s="13"/>
      <c r="AP95" s="13"/>
      <c r="AQ95" s="13"/>
      <c r="AR95" s="13"/>
      <c r="AS95" s="13"/>
      <c r="AT95" s="13"/>
    </row>
    <row r="96" spans="1:46">
      <c r="A96" s="8" t="s">
        <v>247</v>
      </c>
      <c r="B96" s="8" t="s">
        <v>47</v>
      </c>
      <c r="C96" s="8" t="s">
        <v>416</v>
      </c>
      <c r="D96" s="8" t="s">
        <v>1510</v>
      </c>
      <c r="E96" s="8" t="s">
        <v>1936</v>
      </c>
      <c r="F96" s="8" t="s">
        <v>1949</v>
      </c>
      <c r="G96" s="8" t="s">
        <v>1950</v>
      </c>
      <c r="H96" s="8" t="str">
        <f ca="1">IFERROR(__xludf.DUMMYFUNCTION("VLOOKUP(G96, IMPORTRANGE(""https://docs.google.com/spreadsheets/d/14deopnvwcrKtEGCKuYXdUHJbeLDZlkiSSWWT0g7x2pM/edit#gid=849066331"", ""LU List Science (Filter)!A:B""), 2, FALSE)"),"Determining Speed of a Rolling Object using Ruler and Stopwatch")</f>
        <v>Determining Speed of a Rolling Object using Ruler and Stopwatch</v>
      </c>
      <c r="I96" s="10" t="str">
        <f t="shared" si="0"/>
        <v>LU005388.001</v>
      </c>
      <c r="J96" s="10" t="str">
        <f ca="1">IFERROR(__xludf.DUMMYFUNCTION("VLOOKUP(I96, IMPORTRANGE(""https://docs.google.com/spreadsheets/d/1yDAaXNsi4Mr5FtRQL4tbmSdIzhx6_m4wkOD7IG-k_eo/edit#gid=1336395716"", ""Science!M:N""), 2, FALSE)"),"Identify the tools needed to measure the speed of a rolling object.")</f>
        <v>Identify the tools needed to measure the speed of a rolling object.</v>
      </c>
      <c r="K96" s="10" t="str">
        <f t="shared" si="1"/>
        <v>LU005388.002</v>
      </c>
      <c r="L96" s="10" t="str">
        <f ca="1">IFERROR(__xludf.DUMMYFUNCTION("VLOOKUP(K96, IMPORTRANGE(""https://docs.google.com/spreadsheets/d/1yDAaXNsi4Mr5FtRQL4tbmSdIzhx6_m4wkOD7IG-k_eo/edit#gid=1336395716"", ""Science!M:N""), 2, FALSE)"),"Explain the process of measuring speed using a ruler and stopwatch.")</f>
        <v>Explain the process of measuring speed using a ruler and stopwatch.</v>
      </c>
      <c r="M96" s="10" t="str">
        <f t="shared" si="2"/>
        <v>LU005388.003</v>
      </c>
      <c r="N96" s="10" t="str">
        <f ca="1">IFERROR(__xludf.DUMMYFUNCTION("VLOOKUP(M96, IMPORTRANGE(""https://docs.google.com/spreadsheets/d/1yDAaXNsi4Mr5FtRQL4tbmSdIzhx6_m4wkOD7IG-k_eo/edit#gid=1336395716"", ""Science!M:N""), 2, FALSE)"),"Perform an experiment to determine the speed of a rolling object.")</f>
        <v>Perform an experiment to determine the speed of a rolling object.</v>
      </c>
      <c r="O96" s="10" t="str">
        <f t="shared" si="3"/>
        <v>LU005388.004</v>
      </c>
      <c r="P96" s="10" t="str">
        <f ca="1">IFERROR(__xludf.DUMMYFUNCTION("VLOOKUP(O96, IMPORTRANGE(""https://docs.google.com/spreadsheets/d/1yDAaXNsi4Mr5FtRQL4tbmSdIzhx6_m4wkOD7IG-k_eo/edit#gid=1336395716"", ""Science!M:N""), 2, FALSE)"),"Break down the sources of error in the measurement of speed using ruler and stop watch. ")</f>
        <v xml:space="preserve">Break down the sources of error in the measurement of speed using ruler and stop watch. </v>
      </c>
      <c r="Q96" s="10" t="str">
        <f t="shared" si="4"/>
        <v>LU005388.005</v>
      </c>
      <c r="R96" s="10" t="str">
        <f ca="1">IFERROR(__xludf.DUMMYFUNCTION("VLOOKUP(Q96, IMPORTRANGE(""https://docs.google.com/spreadsheets/d/1yDAaXNsi4Mr5FtRQL4tbmSdIzhx6_m4wkOD7IG-k_eo/edit#gid=1336395716"", ""Science!M:N""), 2, FALSE)"),"Justify the accuracy of the method of measurement of speed using ruler and stop watch. ")</f>
        <v xml:space="preserve">Justify the accuracy of the method of measurement of speed using ruler and stop watch. </v>
      </c>
      <c r="S96" s="10" t="str">
        <f t="shared" si="5"/>
        <v>LU005388.006</v>
      </c>
      <c r="T96" s="10" t="str">
        <f ca="1">IFERROR(__xludf.DUMMYFUNCTION("VLOOKUP(S96, IMPORTRANGE(""https://docs.google.com/spreadsheets/d/1yDAaXNsi4Mr5FtRQL4tbmSdIzhx6_m4wkOD7IG-k_eo/edit#gid=1336395716"", ""Science!M:N""), 2, FALSE)"),"Devise a new method or improvement to increase measurement accuracy.")</f>
        <v>Devise a new method or improvement to increase measurement accuracy.</v>
      </c>
      <c r="U96" s="116">
        <f ca="1">IFERROR(__xludf.DUMMYFUNCTION("ArrayFormula(VLOOKUP(G96, IMPORTRANGE(""https://docs.google.com/spreadsheets/d/1p7R4vtkWt5VOBim4ltsDG9KTzSjrtKXsMtQGXPHyND0/edit#gid=795171502"", ""'Filter 30_05_2024'!A1:M2000""), {2, 3, 4, 5,6,7,8,9,10,11,12,13}, 0))"),5)</f>
        <v>5</v>
      </c>
      <c r="V96" s="116">
        <f ca="1">IFERROR(__xludf.DUMMYFUNCTION("""COMPUTED_VALUE"""),6)</f>
        <v>6</v>
      </c>
      <c r="W96" s="116">
        <f ca="1">IFERROR(__xludf.DUMMYFUNCTION("""COMPUTED_VALUE"""),2)</f>
        <v>2</v>
      </c>
      <c r="X96" s="116">
        <f ca="1">IFERROR(__xludf.DUMMYFUNCTION("""COMPUTED_VALUE"""),13)</f>
        <v>13</v>
      </c>
      <c r="Y96" s="116">
        <f ca="1">IFERROR(__xludf.DUMMYFUNCTION("""COMPUTED_VALUE"""),5)</f>
        <v>5</v>
      </c>
      <c r="Z96" s="12">
        <f ca="1">IFERROR(__xludf.DUMMYFUNCTION("""COMPUTED_VALUE"""),4)</f>
        <v>4</v>
      </c>
      <c r="AA96" s="12">
        <f ca="1">IFERROR(__xludf.DUMMYFUNCTION("""COMPUTED_VALUE"""),1)</f>
        <v>1</v>
      </c>
      <c r="AB96" s="12">
        <f ca="1">IFERROR(__xludf.DUMMYFUNCTION("""COMPUTED_VALUE"""),10)</f>
        <v>10</v>
      </c>
      <c r="AC96" s="12"/>
      <c r="AD96" s="12"/>
      <c r="AE96" s="12"/>
      <c r="AF96" s="12"/>
      <c r="AG96" s="13" t="str">
        <f ca="1">IFERROR(__xludf.DUMMYFUNCTION("ArrayFormula(VLOOKUP(G96, IMPORTRANGE(""https://docs.google.com/spreadsheets/d/1Co934fvtviyaRiMsrIlT05Jaq7iiYq07aLvRr35KA48/edit?gid=173865642#gid=173865642"", ""'G7_Sci_Pri_LU'!G2:V2000""), {3, 4, 5, 6, 7, 8, 9, 10, 11, 12, 13, 14, 15, 16}, 0))"),"LU005375")</f>
        <v>LU005375</v>
      </c>
      <c r="AH96" s="13" t="str">
        <f ca="1">IFERROR(__xludf.DUMMYFUNCTION("""COMPUTED_VALUE"""),"Definition of Speed")</f>
        <v>Definition of Speed</v>
      </c>
      <c r="AI96" s="13" t="str">
        <f ca="1">IFERROR(__xludf.DUMMYFUNCTION("""COMPUTED_VALUE"""),"LU005376")</f>
        <v>LU005376</v>
      </c>
      <c r="AJ96" s="13" t="str">
        <f ca="1">IFERROR(__xludf.DUMMYFUNCTION("""COMPUTED_VALUE"""),"Units of Speed")</f>
        <v>Units of Speed</v>
      </c>
      <c r="AK96" s="13"/>
      <c r="AL96" s="13"/>
      <c r="AM96" s="13"/>
      <c r="AN96" s="13"/>
      <c r="AO96" s="13"/>
      <c r="AP96" s="13"/>
      <c r="AQ96" s="13"/>
      <c r="AR96" s="13"/>
      <c r="AS96" s="13"/>
      <c r="AT96" s="13"/>
    </row>
    <row r="97" spans="1:46">
      <c r="A97" s="8" t="s">
        <v>247</v>
      </c>
      <c r="B97" s="8" t="s">
        <v>47</v>
      </c>
      <c r="C97" s="8" t="s">
        <v>416</v>
      </c>
      <c r="D97" s="8" t="s">
        <v>1510</v>
      </c>
      <c r="E97" s="8" t="s">
        <v>1936</v>
      </c>
      <c r="F97" s="8" t="s">
        <v>1949</v>
      </c>
      <c r="G97" s="8" t="s">
        <v>1951</v>
      </c>
      <c r="H97" s="8" t="str">
        <f ca="1">IFERROR(__xludf.DUMMYFUNCTION("VLOOKUP(G97, IMPORTRANGE(""https://docs.google.com/spreadsheets/d/14deopnvwcrKtEGCKuYXdUHJbeLDZlkiSSWWT0g7x2pM/edit#gid=849066331"", ""LU List Science (Filter)!A:B""), 2, FALSE)"),"Speed Measuring Devices in Vehicles")</f>
        <v>Speed Measuring Devices in Vehicles</v>
      </c>
      <c r="I97" s="10" t="str">
        <f t="shared" si="0"/>
        <v>LU005387.001</v>
      </c>
      <c r="J97" s="10" t="str">
        <f ca="1">IFERROR(__xludf.DUMMYFUNCTION("VLOOKUP(I97, IMPORTRANGE(""https://docs.google.com/spreadsheets/d/1yDAaXNsi4Mr5FtRQL4tbmSdIzhx6_m4wkOD7IG-k_eo/edit#gid=1336395716"", ""Science!M:N""), 2, FALSE)"),"Identify common devices in vehicles that measure speed and distance covered.")</f>
        <v>Identify common devices in vehicles that measure speed and distance covered.</v>
      </c>
      <c r="K97" s="10" t="str">
        <f t="shared" si="1"/>
        <v>LU005387.002</v>
      </c>
      <c r="L97" s="10" t="str">
        <f ca="1">IFERROR(__xludf.DUMMYFUNCTION("VLOOKUP(K97, IMPORTRANGE(""https://docs.google.com/spreadsheets/d/1yDAaXNsi4Mr5FtRQL4tbmSdIzhx6_m4wkOD7IG-k_eo/edit#gid=1336395716"", ""Science!M:N""), 2, FALSE)"),"Describe the workings of these devices, like speedometers.")</f>
        <v>Describe the workings of these devices, like speedometers.</v>
      </c>
      <c r="M97" s="10" t="str">
        <f t="shared" si="2"/>
        <v>LU005387.003</v>
      </c>
      <c r="N97" s="10" t="str">
        <f ca="1">IFERROR(__xludf.DUMMYFUNCTION("VLOOKUP(M97, IMPORTRANGE(""https://docs.google.com/spreadsheets/d/1yDAaXNsi4Mr5FtRQL4tbmSdIzhx6_m4wkOD7IG-k_eo/edit#gid=1336395716"", ""Science!M:N""), 2, FALSE)"),"Understand the importance of accurately measuring speed in vehicles.")</f>
        <v>Understand the importance of accurately measuring speed in vehicles.</v>
      </c>
      <c r="O97" s="10" t="str">
        <f t="shared" si="3"/>
        <v>LU005387.004</v>
      </c>
      <c r="P97" s="10" t="str">
        <f ca="1">IFERROR(__xludf.DUMMYFUNCTION("VLOOKUP(O97, IMPORTRANGE(""https://docs.google.com/spreadsheets/d/1yDAaXNsi4Mr5FtRQL4tbmSdIzhx6_m4wkOD7IG-k_eo/edit#gid=1336395716"", ""Science!M:N""), 2, FALSE)"),"Analyze the accuracy and reliability of different speed measuring devices.")</f>
        <v>Analyze the accuracy and reliability of different speed measuring devices.</v>
      </c>
      <c r="Q97" s="10" t="str">
        <f t="shared" si="4"/>
        <v>LU005387.005</v>
      </c>
      <c r="R97" s="10" t="str">
        <f ca="1">IFERROR(__xludf.DUMMYFUNCTION("VLOOKUP(Q97, IMPORTRANGE(""https://docs.google.com/spreadsheets/d/1yDAaXNsi4Mr5FtRQL4tbmSdIzhx6_m4wkOD7IG-k_eo/edit#gid=1336395716"", ""Science!M:N""), 2, FALSE)"),"Compare the evolution of speed measuring devices over time.")</f>
        <v>Compare the evolution of speed measuring devices over time.</v>
      </c>
      <c r="S97" s="10" t="str">
        <f t="shared" si="5"/>
        <v>LU005387.006</v>
      </c>
      <c r="T97" s="10" t="str">
        <f ca="1">IFERROR(__xludf.DUMMYFUNCTION("VLOOKUP(S97, IMPORTRANGE(""https://docs.google.com/spreadsheets/d/1yDAaXNsi4Mr5FtRQL4tbmSdIzhx6_m4wkOD7IG-k_eo/edit#gid=1336395716"", ""Science!M:N""), 2, FALSE)"),"Envision a future or improved vehicle speed measuring device.")</f>
        <v>Envision a future or improved vehicle speed measuring device.</v>
      </c>
      <c r="U97" s="116">
        <f ca="1">IFERROR(__xludf.DUMMYFUNCTION("ArrayFormula(VLOOKUP(G97, IMPORTRANGE(""https://docs.google.com/spreadsheets/d/1p7R4vtkWt5VOBim4ltsDG9KTzSjrtKXsMtQGXPHyND0/edit#gid=795171502"", ""'Filter 30_05_2024'!A1:M2000""), {2, 3, 4, 5,6,7,8,9,10,11,12,13}, 0))"),2)</f>
        <v>2</v>
      </c>
      <c r="V97" s="116">
        <f ca="1">IFERROR(__xludf.DUMMYFUNCTION("""COMPUTED_VALUE"""),6)</f>
        <v>6</v>
      </c>
      <c r="W97" s="116">
        <f ca="1">IFERROR(__xludf.DUMMYFUNCTION("""COMPUTED_VALUE"""),2)</f>
        <v>2</v>
      </c>
      <c r="X97" s="116">
        <f ca="1">IFERROR(__xludf.DUMMYFUNCTION("""COMPUTED_VALUE"""),10)</f>
        <v>10</v>
      </c>
      <c r="Y97" s="116">
        <f ca="1">IFERROR(__xludf.DUMMYFUNCTION("""COMPUTED_VALUE"""),5)</f>
        <v>5</v>
      </c>
      <c r="Z97" s="12">
        <f ca="1">IFERROR(__xludf.DUMMYFUNCTION("""COMPUTED_VALUE"""),4)</f>
        <v>4</v>
      </c>
      <c r="AA97" s="12">
        <f ca="1">IFERROR(__xludf.DUMMYFUNCTION("""COMPUTED_VALUE"""),1)</f>
        <v>1</v>
      </c>
      <c r="AB97" s="12">
        <f ca="1">IFERROR(__xludf.DUMMYFUNCTION("""COMPUTED_VALUE"""),10)</f>
        <v>10</v>
      </c>
      <c r="AC97" s="12"/>
      <c r="AD97" s="12"/>
      <c r="AE97" s="12"/>
      <c r="AF97" s="12"/>
      <c r="AG97" s="13" t="str">
        <f ca="1">IFERROR(__xludf.DUMMYFUNCTION("ArrayFormula(VLOOKUP(G97, IMPORTRANGE(""https://docs.google.com/spreadsheets/d/1Co934fvtviyaRiMsrIlT05Jaq7iiYq07aLvRr35KA48/edit?gid=173865642#gid=173865642"", ""'G7_Sci_Pri_LU'!G2:V2000""), {3, 4, 5, 6, 7, 8, 9, 10, 11, 12, 13, 14, 15, 16}, 0))"),"LU005375")</f>
        <v>LU005375</v>
      </c>
      <c r="AH97" s="13" t="str">
        <f ca="1">IFERROR(__xludf.DUMMYFUNCTION("""COMPUTED_VALUE"""),"Definition of Speed")</f>
        <v>Definition of Speed</v>
      </c>
      <c r="AI97" s="13" t="str">
        <f ca="1">IFERROR(__xludf.DUMMYFUNCTION("""COMPUTED_VALUE"""),"LU005376")</f>
        <v>LU005376</v>
      </c>
      <c r="AJ97" s="13" t="str">
        <f ca="1">IFERROR(__xludf.DUMMYFUNCTION("""COMPUTED_VALUE"""),"Units of Speed")</f>
        <v>Units of Speed</v>
      </c>
      <c r="AK97" s="13"/>
      <c r="AL97" s="13"/>
      <c r="AM97" s="13"/>
      <c r="AN97" s="13"/>
      <c r="AO97" s="13"/>
      <c r="AP97" s="13"/>
      <c r="AQ97" s="13"/>
      <c r="AR97" s="13"/>
      <c r="AS97" s="13"/>
      <c r="AT97" s="13"/>
    </row>
    <row r="98" spans="1:46">
      <c r="A98" s="8" t="s">
        <v>247</v>
      </c>
      <c r="B98" s="8" t="s">
        <v>47</v>
      </c>
      <c r="C98" s="8" t="s">
        <v>416</v>
      </c>
      <c r="D98" s="8" t="s">
        <v>1510</v>
      </c>
      <c r="E98" s="8" t="s">
        <v>1936</v>
      </c>
      <c r="F98" s="8" t="s">
        <v>1952</v>
      </c>
      <c r="G98" s="8" t="s">
        <v>1953</v>
      </c>
      <c r="H98" s="8" t="str">
        <f ca="1">IFERROR(__xludf.DUMMYFUNCTION("VLOOKUP(G98, IMPORTRANGE(""https://docs.google.com/spreadsheets/d/14deopnvwcrKtEGCKuYXdUHJbeLDZlkiSSWWT0g7x2pM/edit#gid=849066331"", ""LU List Science (Filter)!A:B""), 2, FALSE)"),"Calculation of Distance using Formula of Speed")</f>
        <v>Calculation of Distance using Formula of Speed</v>
      </c>
      <c r="I98" s="10" t="str">
        <f t="shared" si="0"/>
        <v>LU005381.001</v>
      </c>
      <c r="J98" s="10" t="str">
        <f ca="1">IFERROR(__xludf.DUMMYFUNCTION("VLOOKUP(I98, IMPORTRANGE(""https://docs.google.com/spreadsheets/d/1yDAaXNsi4Mr5FtRQL4tbmSdIzhx6_m4wkOD7IG-k_eo/edit#gid=1336395716"", ""Science!M:N""), 2, FALSE)"),"Rearrange the speed formula to solve for distance. ")</f>
        <v xml:space="preserve">Rearrange the speed formula to solve for distance. </v>
      </c>
      <c r="K98" s="10" t="str">
        <f t="shared" si="1"/>
        <v>LU005381.002</v>
      </c>
      <c r="L98" s="10" t="str">
        <f ca="1">IFERROR(__xludf.DUMMYFUNCTION("VLOOKUP(K98, IMPORTRANGE(""https://docs.google.com/spreadsheets/d/1yDAaXNsi4Mr5FtRQL4tbmSdIzhx6_m4wkOD7IG-k_eo/edit#gid=1336395716"", ""Science!M:N""), 2, FALSE)"),"Calculate distance given speed and time.")</f>
        <v>Calculate distance given speed and time.</v>
      </c>
      <c r="M98" s="10" t="str">
        <f t="shared" si="2"/>
        <v>LU005381.003</v>
      </c>
      <c r="N98" s="10" t="str">
        <f ca="1">IFERROR(__xludf.DUMMYFUNCTION("VLOOKUP(M98, IMPORTRANGE(""https://docs.google.com/spreadsheets/d/1yDAaXNsi4Mr5FtRQL4tbmSdIzhx6_m4wkOD7IG-k_eo/edit#gid=1336395716"", ""Science!M:N""), 2, FALSE)"),"Solve real-world problems involving distance calculations.")</f>
        <v>Solve real-world problems involving distance calculations.</v>
      </c>
      <c r="O98" s="10" t="str">
        <f t="shared" si="3"/>
        <v>LU005381.004</v>
      </c>
      <c r="P98" s="10" t="str">
        <f ca="1">IFERROR(__xludf.DUMMYFUNCTION("VLOOKUP(O98, IMPORTRANGE(""https://docs.google.com/spreadsheets/d/1yDAaXNsi4Mr5FtRQL4tbmSdIzhx6_m4wkOD7IG-k_eo/edit#gid=1336395716"", ""Science!M:N""), 2, FALSE)"),"#N/A")</f>
        <v>#N/A</v>
      </c>
      <c r="Q98" s="10" t="str">
        <f t="shared" si="4"/>
        <v>LU005381.005</v>
      </c>
      <c r="R98" s="10" t="str">
        <f ca="1">IFERROR(__xludf.DUMMYFUNCTION("VLOOKUP(Q98, IMPORTRANGE(""https://docs.google.com/spreadsheets/d/1yDAaXNsi4Mr5FtRQL4tbmSdIzhx6_m4wkOD7IG-k_eo/edit#gid=1336395716"", ""Science!M:N""), 2, FALSE)"),"Validate the accuracy of a calculated distance in a practical context.")</f>
        <v>Validate the accuracy of a calculated distance in a practical context.</v>
      </c>
      <c r="S98" s="10" t="str">
        <f t="shared" si="5"/>
        <v>LU005381.006</v>
      </c>
      <c r="T98" s="10" t="str">
        <f ca="1">IFERROR(__xludf.DUMMYFUNCTION("VLOOKUP(S98, IMPORTRANGE(""https://docs.google.com/spreadsheets/d/1yDAaXNsi4Mr5FtRQL4tbmSdIzhx6_m4wkOD7IG-k_eo/edit#gid=1336395716"", ""Science!M:N""), 2, FALSE)"),"Design a challenge that requires calculating distance using varied speeds and times.")</f>
        <v>Design a challenge that requires calculating distance using varied speeds and times.</v>
      </c>
      <c r="U98" s="116">
        <f ca="1">IFERROR(__xludf.DUMMYFUNCTION("ArrayFormula(VLOOKUP(G98, IMPORTRANGE(""https://docs.google.com/spreadsheets/d/1p7R4vtkWt5VOBim4ltsDG9KTzSjrtKXsMtQGXPHyND0/edit#gid=795171502"", ""'Filter 30_05_2024'!A1:M2000""), {2, 3, 4, 5,6,7,8,9,10,11,12,13}, 0))"),4)</f>
        <v>4</v>
      </c>
      <c r="V98" s="116">
        <f ca="1">IFERROR(__xludf.DUMMYFUNCTION("""COMPUTED_VALUE"""),14)</f>
        <v>14</v>
      </c>
      <c r="W98" s="116">
        <f ca="1">IFERROR(__xludf.DUMMYFUNCTION("""COMPUTED_VALUE"""),2)</f>
        <v>2</v>
      </c>
      <c r="X98" s="116">
        <f ca="1">IFERROR(__xludf.DUMMYFUNCTION("""COMPUTED_VALUE"""),20)</f>
        <v>20</v>
      </c>
      <c r="Y98" s="116">
        <f ca="1">IFERROR(__xludf.DUMMYFUNCTION("""COMPUTED_VALUE"""),4)</f>
        <v>4</v>
      </c>
      <c r="Z98" s="12">
        <f ca="1">IFERROR(__xludf.DUMMYFUNCTION("""COMPUTED_VALUE"""),4)</f>
        <v>4</v>
      </c>
      <c r="AA98" s="12">
        <f ca="1">IFERROR(__xludf.DUMMYFUNCTION("""COMPUTED_VALUE"""),1)</f>
        <v>1</v>
      </c>
      <c r="AB98" s="12">
        <f ca="1">IFERROR(__xludf.DUMMYFUNCTION("""COMPUTED_VALUE"""),9)</f>
        <v>9</v>
      </c>
      <c r="AC98" s="12"/>
      <c r="AD98" s="12"/>
      <c r="AE98" s="12"/>
      <c r="AF98" s="12"/>
      <c r="AG98" s="13" t="str">
        <f ca="1">IFERROR(__xludf.DUMMYFUNCTION("ArrayFormula(VLOOKUP(G98, IMPORTRANGE(""https://docs.google.com/spreadsheets/d/1Co934fvtviyaRiMsrIlT05Jaq7iiYq07aLvRr35KA48/edit?gid=173865642#gid=173865642"", ""'G7_Sci_Pri_LU'!G2:V2000""), {3, 4, 5, 6, 7, 8, 9, 10, 11, 12, 13, 14, 15, 16}, 0))"),"LU005377")</f>
        <v>LU005377</v>
      </c>
      <c r="AH98" s="13" t="str">
        <f ca="1">IFERROR(__xludf.DUMMYFUNCTION("""COMPUTED_VALUE"""),"Calculation of Speed Using its Formula")</f>
        <v>Calculation of Speed Using its Formula</v>
      </c>
      <c r="AI98" s="13" t="str">
        <f ca="1">IFERROR(__xludf.DUMMYFUNCTION("""COMPUTED_VALUE"""),"LU005375")</f>
        <v>LU005375</v>
      </c>
      <c r="AJ98" s="13" t="str">
        <f ca="1">IFERROR(__xludf.DUMMYFUNCTION("""COMPUTED_VALUE"""),"Definition of Speed")</f>
        <v>Definition of Speed</v>
      </c>
      <c r="AK98" s="13" t="str">
        <f ca="1">IFERROR(__xludf.DUMMYFUNCTION("""COMPUTED_VALUE"""),"LU005376")</f>
        <v>LU005376</v>
      </c>
      <c r="AL98" s="13" t="str">
        <f ca="1">IFERROR(__xludf.DUMMYFUNCTION("""COMPUTED_VALUE"""),"Units of Speed")</f>
        <v>Units of Speed</v>
      </c>
      <c r="AM98" s="13"/>
      <c r="AN98" s="13"/>
      <c r="AO98" s="13"/>
      <c r="AP98" s="13"/>
      <c r="AQ98" s="13"/>
      <c r="AR98" s="13"/>
      <c r="AS98" s="13"/>
      <c r="AT98" s="13"/>
    </row>
    <row r="99" spans="1:46">
      <c r="A99" s="8" t="s">
        <v>247</v>
      </c>
      <c r="B99" s="8" t="s">
        <v>47</v>
      </c>
      <c r="C99" s="8" t="s">
        <v>416</v>
      </c>
      <c r="D99" s="8" t="s">
        <v>1510</v>
      </c>
      <c r="E99" s="8" t="s">
        <v>1936</v>
      </c>
      <c r="F99" s="8" t="s">
        <v>1952</v>
      </c>
      <c r="G99" s="8" t="s">
        <v>1954</v>
      </c>
      <c r="H99" s="8" t="str">
        <f ca="1">IFERROR(__xludf.DUMMYFUNCTION("VLOOKUP(G99, IMPORTRANGE(""https://docs.google.com/spreadsheets/d/14deopnvwcrKtEGCKuYXdUHJbeLDZlkiSSWWT0g7x2pM/edit#gid=849066331"", ""LU List Science (Filter)!A:B""), 2, FALSE)"),"Calculation of Time using Formula of Speed")</f>
        <v>Calculation of Time using Formula of Speed</v>
      </c>
      <c r="I99" s="10" t="str">
        <f t="shared" si="0"/>
        <v>LU005382.001</v>
      </c>
      <c r="J99" s="10" t="str">
        <f ca="1">IFERROR(__xludf.DUMMYFUNCTION("VLOOKUP(I99, IMPORTRANGE(""https://docs.google.com/spreadsheets/d/1yDAaXNsi4Mr5FtRQL4tbmSdIzhx6_m4wkOD7IG-k_eo/edit#gid=1336395716"", ""Science!M:N""), 2, FALSE)"),"Rearrange the speed formula to solve for time.")</f>
        <v>Rearrange the speed formula to solve for time.</v>
      </c>
      <c r="K99" s="10" t="str">
        <f t="shared" si="1"/>
        <v>LU005382.002</v>
      </c>
      <c r="L99" s="10" t="str">
        <f ca="1">IFERROR(__xludf.DUMMYFUNCTION("VLOOKUP(K99, IMPORTRANGE(""https://docs.google.com/spreadsheets/d/1yDAaXNsi4Mr5FtRQL4tbmSdIzhx6_m4wkOD7IG-k_eo/edit#gid=1336395716"", ""Science!M:N""), 2, FALSE)"),"Calculate time given distance and speed.")</f>
        <v>Calculate time given distance and speed.</v>
      </c>
      <c r="M99" s="10" t="str">
        <f t="shared" si="2"/>
        <v>LU005382.003</v>
      </c>
      <c r="N99" s="10" t="str">
        <f ca="1">IFERROR(__xludf.DUMMYFUNCTION("VLOOKUP(M99, IMPORTRANGE(""https://docs.google.com/spreadsheets/d/1yDAaXNsi4Mr5FtRQL4tbmSdIzhx6_m4wkOD7IG-k_eo/edit#gid=1336395716"", ""Science!M:N""), 2, FALSE)"),"Apply time calculations to real-world scenarios.")</f>
        <v>Apply time calculations to real-world scenarios.</v>
      </c>
      <c r="O99" s="10" t="str">
        <f t="shared" si="3"/>
        <v>LU005382.004</v>
      </c>
      <c r="P99" s="10" t="str">
        <f ca="1">IFERROR(__xludf.DUMMYFUNCTION("VLOOKUP(O99, IMPORTRANGE(""https://docs.google.com/spreadsheets/d/1yDAaXNsi4Mr5FtRQL4tbmSdIzhx6_m4wkOD7IG-k_eo/edit#gid=1336395716"", ""Science!M:N""), 2, FALSE)"),"#N/A")</f>
        <v>#N/A</v>
      </c>
      <c r="Q99" s="10" t="str">
        <f t="shared" si="4"/>
        <v>LU005382.005</v>
      </c>
      <c r="R99" s="10" t="str">
        <f ca="1">IFERROR(__xludf.DUMMYFUNCTION("VLOOKUP(Q99, IMPORTRANGE(""https://docs.google.com/spreadsheets/d/1yDAaXNsi4Mr5FtRQL4tbmSdIzhx6_m4wkOD7IG-k_eo/edit#gid=1336395716"", ""Science!M:N""), 2, FALSE)"),"Assess the importance of accurate time measurements.")</f>
        <v>Assess the importance of accurate time measurements.</v>
      </c>
      <c r="S99" s="10" t="str">
        <f t="shared" si="5"/>
        <v>LU005382.006</v>
      </c>
      <c r="T99" s="10" t="str">
        <f ca="1">IFERROR(__xludf.DUMMYFUNCTION("VLOOKUP(S99, IMPORTRANGE(""https://docs.google.com/spreadsheets/d/1yDAaXNsi4Mr5FtRQL4tbmSdIzhx6_m4wkOD7IG-k_eo/edit#gid=1336395716"", ""Science!M:N""), 2, FALSE)"),"Conceptualize a practical application that emphasizes time calculation.")</f>
        <v>Conceptualize a practical application that emphasizes time calculation.</v>
      </c>
      <c r="U99" s="116">
        <f ca="1">IFERROR(__xludf.DUMMYFUNCTION("ArrayFormula(VLOOKUP(G99, IMPORTRANGE(""https://docs.google.com/spreadsheets/d/1p7R4vtkWt5VOBim4ltsDG9KTzSjrtKXsMtQGXPHyND0/edit#gid=795171502"", ""'Filter 30_05_2024'!A1:M2000""), {2, 3, 4, 5,6,7,8,9,10,11,12,13}, 0))"),4)</f>
        <v>4</v>
      </c>
      <c r="V99" s="116">
        <f ca="1">IFERROR(__xludf.DUMMYFUNCTION("""COMPUTED_VALUE"""),12)</f>
        <v>12</v>
      </c>
      <c r="W99" s="116">
        <f ca="1">IFERROR(__xludf.DUMMYFUNCTION("""COMPUTED_VALUE"""),2)</f>
        <v>2</v>
      </c>
      <c r="X99" s="116">
        <f ca="1">IFERROR(__xludf.DUMMYFUNCTION("""COMPUTED_VALUE"""),18)</f>
        <v>18</v>
      </c>
      <c r="Y99" s="116">
        <f ca="1">IFERROR(__xludf.DUMMYFUNCTION("""COMPUTED_VALUE"""),4)</f>
        <v>4</v>
      </c>
      <c r="Z99" s="12">
        <f ca="1">IFERROR(__xludf.DUMMYFUNCTION("""COMPUTED_VALUE"""),6)</f>
        <v>6</v>
      </c>
      <c r="AA99" s="12">
        <f ca="1">IFERROR(__xludf.DUMMYFUNCTION("""COMPUTED_VALUE"""),1)</f>
        <v>1</v>
      </c>
      <c r="AB99" s="12">
        <f ca="1">IFERROR(__xludf.DUMMYFUNCTION("""COMPUTED_VALUE"""),11)</f>
        <v>11</v>
      </c>
      <c r="AC99" s="12"/>
      <c r="AD99" s="12"/>
      <c r="AE99" s="12"/>
      <c r="AF99" s="12"/>
      <c r="AG99" s="13" t="str">
        <f ca="1">IFERROR(__xludf.DUMMYFUNCTION("ArrayFormula(VLOOKUP(G99, IMPORTRANGE(""https://docs.google.com/spreadsheets/d/1Co934fvtviyaRiMsrIlT05Jaq7iiYq07aLvRr35KA48/edit?gid=173865642#gid=173865642"", ""'G7_Sci_Pri_LU'!G2:V2000""), {3, 4, 5, 6, 7, 8, 9, 10, 11, 12, 13, 14, 15, 16}, 0))"),"LU005377")</f>
        <v>LU005377</v>
      </c>
      <c r="AH99" s="13" t="str">
        <f ca="1">IFERROR(__xludf.DUMMYFUNCTION("""COMPUTED_VALUE"""),"Calculation of Speed Using its Formula")</f>
        <v>Calculation of Speed Using its Formula</v>
      </c>
      <c r="AI99" s="13" t="str">
        <f ca="1">IFERROR(__xludf.DUMMYFUNCTION("""COMPUTED_VALUE"""),"LU005375")</f>
        <v>LU005375</v>
      </c>
      <c r="AJ99" s="13" t="str">
        <f ca="1">IFERROR(__xludf.DUMMYFUNCTION("""COMPUTED_VALUE"""),"Definition of Speed")</f>
        <v>Definition of Speed</v>
      </c>
      <c r="AK99" s="13" t="str">
        <f ca="1">IFERROR(__xludf.DUMMYFUNCTION("""COMPUTED_VALUE"""),"LU005376")</f>
        <v>LU005376</v>
      </c>
      <c r="AL99" s="13" t="str">
        <f ca="1">IFERROR(__xludf.DUMMYFUNCTION("""COMPUTED_VALUE"""),"Units of Speed")</f>
        <v>Units of Speed</v>
      </c>
      <c r="AM99" s="13"/>
      <c r="AN99" s="13"/>
      <c r="AO99" s="13"/>
      <c r="AP99" s="13"/>
      <c r="AQ99" s="13"/>
      <c r="AR99" s="13"/>
      <c r="AS99" s="13"/>
      <c r="AT99" s="13"/>
    </row>
    <row r="100" spans="1:46">
      <c r="A100" s="8" t="s">
        <v>247</v>
      </c>
      <c r="B100" s="8" t="s">
        <v>47</v>
      </c>
      <c r="C100" s="8" t="s">
        <v>416</v>
      </c>
      <c r="D100" s="8" t="s">
        <v>1510</v>
      </c>
      <c r="E100" s="8" t="s">
        <v>1936</v>
      </c>
      <c r="F100" s="8" t="s">
        <v>1952</v>
      </c>
      <c r="G100" s="8" t="s">
        <v>1955</v>
      </c>
      <c r="H100" s="8" t="str">
        <f ca="1">IFERROR(__xludf.DUMMYFUNCTION("VLOOKUP(G100, IMPORTRANGE(""https://docs.google.com/spreadsheets/d/14deopnvwcrKtEGCKuYXdUHJbeLDZlkiSSWWT0g7x2pM/edit#gid=849066331"", ""LU List Science (Filter)!A:B""), 2, FALSE)"),"Calculation of Speed Using its Formula")</f>
        <v>Calculation of Speed Using its Formula</v>
      </c>
      <c r="I100" s="10" t="str">
        <f t="shared" si="0"/>
        <v>LU005377.001</v>
      </c>
      <c r="J100" s="10" t="str">
        <f ca="1">IFERROR(__xludf.DUMMYFUNCTION("VLOOKUP(I100, IMPORTRANGE(""https://docs.google.com/spreadsheets/d/1yDAaXNsi4Mr5FtRQL4tbmSdIzhx6_m4wkOD7IG-k_eo/edit#gid=1336395716"", ""Science!M:N""), 2, FALSE)"),"State the formula for speed.")</f>
        <v>State the formula for speed.</v>
      </c>
      <c r="K100" s="10" t="str">
        <f t="shared" si="1"/>
        <v>LU005377.002</v>
      </c>
      <c r="L100" s="10" t="str">
        <f ca="1">IFERROR(__xludf.DUMMYFUNCTION("VLOOKUP(K100, IMPORTRANGE(""https://docs.google.com/spreadsheets/d/1yDAaXNsi4Mr5FtRQL4tbmSdIzhx6_m4wkOD7IG-k_eo/edit#gid=1336395716"", ""Science!M:N""), 2, FALSE)"),"Interpret the terms in the formula of speed. ")</f>
        <v xml:space="preserve">Interpret the terms in the formula of speed. </v>
      </c>
      <c r="M100" s="10" t="str">
        <f t="shared" si="2"/>
        <v>LU005377.003</v>
      </c>
      <c r="N100" s="10" t="str">
        <f ca="1">IFERROR(__xludf.DUMMYFUNCTION("VLOOKUP(M100, IMPORTRANGE(""https://docs.google.com/spreadsheets/d/1yDAaXNsi4Mr5FtRQL4tbmSdIzhx6_m4wkOD7IG-k_eo/edit#gid=1336395716"", ""Science!M:N""), 2, FALSE)"),"Calculate speed and average speed using the formula given time and distance.")</f>
        <v>Calculate speed and average speed using the formula given time and distance.</v>
      </c>
      <c r="O100" s="10" t="str">
        <f t="shared" si="3"/>
        <v>LU005377.004</v>
      </c>
      <c r="P100" s="10" t="str">
        <f ca="1">IFERROR(__xludf.DUMMYFUNCTION("VLOOKUP(O100, IMPORTRANGE(""https://docs.google.com/spreadsheets/d/1yDAaXNsi4Mr5FtRQL4tbmSdIzhx6_m4wkOD7IG-k_eo/edit#gid=1336395716"", ""Science!M:N""), 2, FALSE)"),"Dissect a complex motion problem to compute speed.")</f>
        <v>Dissect a complex motion problem to compute speed.</v>
      </c>
      <c r="Q100" s="10" t="str">
        <f t="shared" si="4"/>
        <v>LU005377.005</v>
      </c>
      <c r="R100" s="10" t="str">
        <f ca="1">IFERROR(__xludf.DUMMYFUNCTION("VLOOKUP(Q100, IMPORTRANGE(""https://docs.google.com/spreadsheets/d/1yDAaXNsi4Mr5FtRQL4tbmSdIzhx6_m4wkOD7IG-k_eo/edit#gid=1336395716"", ""Science!M:N""), 2, FALSE)"),"#N/A")</f>
        <v>#N/A</v>
      </c>
      <c r="S100" s="10" t="str">
        <f t="shared" si="5"/>
        <v>LU005377.006</v>
      </c>
      <c r="T100" s="10" t="str">
        <f ca="1">IFERROR(__xludf.DUMMYFUNCTION("VLOOKUP(S100, IMPORTRANGE(""https://docs.google.com/spreadsheets/d/1yDAaXNsi4Mr5FtRQL4tbmSdIzhx6_m4wkOD7IG-k_eo/edit#gid=1336395716"", ""Science!M:N""), 2, FALSE)"),"Design a practical experiment to measure and calculate speed.")</f>
        <v>Design a practical experiment to measure and calculate speed.</v>
      </c>
      <c r="U100" s="116">
        <f ca="1">IFERROR(__xludf.DUMMYFUNCTION("ArrayFormula(VLOOKUP(G100, IMPORTRANGE(""https://docs.google.com/spreadsheets/d/1p7R4vtkWt5VOBim4ltsDG9KTzSjrtKXsMtQGXPHyND0/edit#gid=795171502"", ""'Filter 30_05_2024'!A1:M2000""), {2, 3, 4, 5,6,7,8,9,10,11,12,13}, 0))"),4)</f>
        <v>4</v>
      </c>
      <c r="V100" s="116">
        <f ca="1">IFERROR(__xludf.DUMMYFUNCTION("""COMPUTED_VALUE"""),7)</f>
        <v>7</v>
      </c>
      <c r="W100" s="116">
        <f ca="1">IFERROR(__xludf.DUMMYFUNCTION("""COMPUTED_VALUE"""),2)</f>
        <v>2</v>
      </c>
      <c r="X100" s="116">
        <f ca="1">IFERROR(__xludf.DUMMYFUNCTION("""COMPUTED_VALUE"""),13)</f>
        <v>13</v>
      </c>
      <c r="Y100" s="116">
        <f ca="1">IFERROR(__xludf.DUMMYFUNCTION("""COMPUTED_VALUE"""),4)</f>
        <v>4</v>
      </c>
      <c r="Z100" s="12">
        <f ca="1">IFERROR(__xludf.DUMMYFUNCTION("""COMPUTED_VALUE"""),4)</f>
        <v>4</v>
      </c>
      <c r="AA100" s="12">
        <f ca="1">IFERROR(__xludf.DUMMYFUNCTION("""COMPUTED_VALUE"""),1)</f>
        <v>1</v>
      </c>
      <c r="AB100" s="12">
        <f ca="1">IFERROR(__xludf.DUMMYFUNCTION("""COMPUTED_VALUE"""),9)</f>
        <v>9</v>
      </c>
      <c r="AC100" s="12"/>
      <c r="AD100" s="12"/>
      <c r="AE100" s="12"/>
      <c r="AF100" s="12"/>
      <c r="AG100" s="13" t="str">
        <f ca="1">IFERROR(__xludf.DUMMYFUNCTION("ArrayFormula(VLOOKUP(G100, IMPORTRANGE(""https://docs.google.com/spreadsheets/d/1Co934fvtviyaRiMsrIlT05Jaq7iiYq07aLvRr35KA48/edit?gid=173865642#gid=173865642"", ""'G7_Sci_Pri_LU'!G2:V2000""), {3, 4, 5, 6, 7, 8, 9, 10, 11, 12, 13, 14, 15, 16}, 0))"),"LU005375")</f>
        <v>LU005375</v>
      </c>
      <c r="AH100" s="13" t="str">
        <f ca="1">IFERROR(__xludf.DUMMYFUNCTION("""COMPUTED_VALUE"""),"Definition of Speed")</f>
        <v>Definition of Speed</v>
      </c>
      <c r="AI100" s="13" t="str">
        <f ca="1">IFERROR(__xludf.DUMMYFUNCTION("""COMPUTED_VALUE"""),"LU005376")</f>
        <v>LU005376</v>
      </c>
      <c r="AJ100" s="13" t="str">
        <f ca="1">IFERROR(__xludf.DUMMYFUNCTION("""COMPUTED_VALUE"""),"Units of Speed")</f>
        <v>Units of Speed</v>
      </c>
      <c r="AK100" s="13"/>
      <c r="AL100" s="13"/>
      <c r="AM100" s="13"/>
      <c r="AN100" s="13"/>
      <c r="AO100" s="13"/>
      <c r="AP100" s="13"/>
      <c r="AQ100" s="13"/>
      <c r="AR100" s="13"/>
      <c r="AS100" s="13"/>
      <c r="AT100" s="13"/>
    </row>
    <row r="101" spans="1:46">
      <c r="A101" s="8" t="s">
        <v>247</v>
      </c>
      <c r="B101" s="8" t="s">
        <v>47</v>
      </c>
      <c r="C101" s="8" t="s">
        <v>416</v>
      </c>
      <c r="D101" s="8" t="s">
        <v>1510</v>
      </c>
      <c r="E101" s="8" t="s">
        <v>1936</v>
      </c>
      <c r="F101" s="8" t="s">
        <v>1956</v>
      </c>
      <c r="G101" s="8" t="s">
        <v>1957</v>
      </c>
      <c r="H101" s="8" t="str">
        <f ca="1">IFERROR(__xludf.DUMMYFUNCTION("VLOOKUP(G101, IMPORTRANGE(""https://docs.google.com/spreadsheets/d/14deopnvwcrKtEGCKuYXdUHJbeLDZlkiSSWWT0g7x2pM/edit#gid=849066331"", ""LU List Science (Filter)!A:B""), 2, FALSE)"),"Steps of Drawing a Distance-Time Graph")</f>
        <v>Steps of Drawing a Distance-Time Graph</v>
      </c>
      <c r="I101" s="10" t="str">
        <f t="shared" si="0"/>
        <v>LU005385.001</v>
      </c>
      <c r="J101" s="10" t="str">
        <f ca="1">IFERROR(__xludf.DUMMYFUNCTION("VLOOKUP(I101, IMPORTRANGE(""https://docs.google.com/spreadsheets/d/1yDAaXNsi4Mr5FtRQL4tbmSdIzhx6_m4wkOD7IG-k_eo/edit#gid=1336395716"", ""Science!M:N""), 2, FALSE)"),"Outline the basic steps to plot a distance-time graph.")</f>
        <v>Outline the basic steps to plot a distance-time graph.</v>
      </c>
      <c r="K101" s="10" t="str">
        <f t="shared" si="1"/>
        <v>LU005385.002</v>
      </c>
      <c r="L101" s="10" t="str">
        <f ca="1">IFERROR(__xludf.DUMMYFUNCTION("VLOOKUP(K101, IMPORTRANGE(""https://docs.google.com/spreadsheets/d/1yDAaXNsi4Mr5FtRQL4tbmSdIzhx6_m4wkOD7IG-k_eo/edit#gid=1336395716"", ""Science!M:N""), 2, FALSE)"),"Represent motion data on a graph.")</f>
        <v>Represent motion data on a graph.</v>
      </c>
      <c r="M101" s="10" t="str">
        <f t="shared" si="2"/>
        <v>LU005385.003</v>
      </c>
      <c r="N101" s="10" t="str">
        <f ca="1">IFERROR(__xludf.DUMMYFUNCTION("VLOOKUP(M101, IMPORTRANGE(""https://docs.google.com/spreadsheets/d/1yDAaXNsi4Mr5FtRQL4tbmSdIzhx6_m4wkOD7IG-k_eo/edit#gid=1336395716"", ""Science!M:N""), 2, FALSE)"),"Understand the significance of the graph's shape in indicating motion attributes.")</f>
        <v>Understand the significance of the graph's shape in indicating motion attributes.</v>
      </c>
      <c r="O101" s="10" t="str">
        <f t="shared" si="3"/>
        <v>LU005385.004</v>
      </c>
      <c r="P101" s="10" t="str">
        <f ca="1">IFERROR(__xludf.DUMMYFUNCTION("VLOOKUP(O101, IMPORTRANGE(""https://docs.google.com/spreadsheets/d/1yDAaXNsi4Mr5FtRQL4tbmSdIzhx6_m4wkOD7IG-k_eo/edit#gid=1336395716"", ""Science!M:N""), 2, FALSE)"),"Analyze real-world motion scenarios and represent them graphically.")</f>
        <v>Analyze real-world motion scenarios and represent them graphically.</v>
      </c>
      <c r="Q101" s="10" t="str">
        <f t="shared" si="4"/>
        <v>LU005385.005</v>
      </c>
      <c r="R101" s="10" t="str">
        <f ca="1">IFERROR(__xludf.DUMMYFUNCTION("VLOOKUP(Q101, IMPORTRANGE(""https://docs.google.com/spreadsheets/d/1yDAaXNsi4Mr5FtRQL4tbmSdIzhx6_m4wkOD7IG-k_eo/edit#gid=1336395716"", ""Science!M:N""), 2, FALSE)"),"Evaluate the clarity and accuracy of a given distance-time graph.")</f>
        <v>Evaluate the clarity and accuracy of a given distance-time graph.</v>
      </c>
      <c r="S101" s="10" t="str">
        <f t="shared" si="5"/>
        <v>LU005385.006</v>
      </c>
      <c r="T101" s="10" t="str">
        <f ca="1">IFERROR(__xludf.DUMMYFUNCTION("VLOOKUP(S101, IMPORTRANGE(""https://docs.google.com/spreadsheets/d/1yDAaXNsi4Mr5FtRQL4tbmSdIzhx6_m4wkOD7IG-k_eo/edit#gid=1336395716"", ""Science!M:N""), 2, FALSE)"),"Design a complex motion scenario and create a corresponding distance-time graph.")</f>
        <v>Design a complex motion scenario and create a corresponding distance-time graph.</v>
      </c>
      <c r="U101" s="116">
        <f ca="1">IFERROR(__xludf.DUMMYFUNCTION("ArrayFormula(VLOOKUP(G101, IMPORTRANGE(""https://docs.google.com/spreadsheets/d/1p7R4vtkWt5VOBim4ltsDG9KTzSjrtKXsMtQGXPHyND0/edit#gid=795171502"", ""'Filter 30_05_2024'!A1:M2000""), {2, 3, 4, 5,6,7,8,9,10,11,12,13}, 0))"),3)</f>
        <v>3</v>
      </c>
      <c r="V101" s="116">
        <f ca="1">IFERROR(__xludf.DUMMYFUNCTION("""COMPUTED_VALUE"""),9)</f>
        <v>9</v>
      </c>
      <c r="W101" s="116">
        <f ca="1">IFERROR(__xludf.DUMMYFUNCTION("""COMPUTED_VALUE"""),2)</f>
        <v>2</v>
      </c>
      <c r="X101" s="116">
        <f ca="1">IFERROR(__xludf.DUMMYFUNCTION("""COMPUTED_VALUE"""),14)</f>
        <v>14</v>
      </c>
      <c r="Y101" s="116">
        <f ca="1">IFERROR(__xludf.DUMMYFUNCTION("""COMPUTED_VALUE"""),5)</f>
        <v>5</v>
      </c>
      <c r="Z101" s="12">
        <f ca="1">IFERROR(__xludf.DUMMYFUNCTION("""COMPUTED_VALUE"""),7)</f>
        <v>7</v>
      </c>
      <c r="AA101" s="12">
        <f ca="1">IFERROR(__xludf.DUMMYFUNCTION("""COMPUTED_VALUE"""),1)</f>
        <v>1</v>
      </c>
      <c r="AB101" s="12">
        <f ca="1">IFERROR(__xludf.DUMMYFUNCTION("""COMPUTED_VALUE"""),13)</f>
        <v>13</v>
      </c>
      <c r="AC101" s="12"/>
      <c r="AD101" s="12"/>
      <c r="AE101" s="12"/>
      <c r="AF101" s="12"/>
      <c r="AG101" s="13" t="str">
        <f ca="1">IFERROR(__xludf.DUMMYFUNCTION("ArrayFormula(VLOOKUP(G101, IMPORTRANGE(""https://docs.google.com/spreadsheets/d/1Co934fvtviyaRiMsrIlT05Jaq7iiYq07aLvRr35KA48/edit?gid=173865642#gid=173865642"", ""'G7_Sci_Pri_LU'!G2:V2000""), {3, 4, 5, 6, 7, 8, 9, 10, 11, 12, 13, 14, 15, 16}, 0))"),"LU005386")</f>
        <v>LU005386</v>
      </c>
      <c r="AH101" s="13" t="str">
        <f ca="1">IFERROR(__xludf.DUMMYFUNCTION("""COMPUTED_VALUE"""),"Understanding Uniform and Non-Uniform Motion")</f>
        <v>Understanding Uniform and Non-Uniform Motion</v>
      </c>
      <c r="AI101" s="13" t="str">
        <f ca="1">IFERROR(__xludf.DUMMYFUNCTION("""COMPUTED_VALUE"""),"LU005384")</f>
        <v>LU005384</v>
      </c>
      <c r="AJ101" s="13" t="str">
        <f ca="1">IFERROR(__xludf.DUMMYFUNCTION("""COMPUTED_VALUE"""),"Units of Time")</f>
        <v>Units of Time</v>
      </c>
      <c r="AK101" s="13" t="str">
        <f ca="1">IFERROR(__xludf.DUMMYFUNCTION("""COMPUTED_VALUE"""),"LU005174")</f>
        <v>LU005174</v>
      </c>
      <c r="AL101" s="13" t="str">
        <f ca="1">IFERROR(__xludf.DUMMYFUNCTION("""COMPUTED_VALUE"""),"Units of length")</f>
        <v>Units of length</v>
      </c>
      <c r="AM101" s="13"/>
      <c r="AN101" s="13"/>
      <c r="AO101" s="13"/>
      <c r="AP101" s="13"/>
      <c r="AQ101" s="13"/>
      <c r="AR101" s="13"/>
      <c r="AS101" s="13"/>
      <c r="AT101" s="13"/>
    </row>
    <row r="102" spans="1:46">
      <c r="A102" s="8" t="s">
        <v>247</v>
      </c>
      <c r="B102" s="8" t="s">
        <v>47</v>
      </c>
      <c r="C102" s="8" t="s">
        <v>416</v>
      </c>
      <c r="D102" s="8" t="s">
        <v>1510</v>
      </c>
      <c r="E102" s="8" t="s">
        <v>1958</v>
      </c>
      <c r="F102" s="8" t="s">
        <v>1959</v>
      </c>
      <c r="G102" s="8" t="s">
        <v>1960</v>
      </c>
      <c r="H102" s="8" t="str">
        <f ca="1">IFERROR(__xludf.DUMMYFUNCTION("VLOOKUP(G102, IMPORTRANGE(""https://docs.google.com/spreadsheets/d/14deopnvwcrKtEGCKuYXdUHJbeLDZlkiSSWWT0g7x2pM/edit#gid=849066331"", ""LU List Science (Filter)!A:B""), 2, FALSE)"),"Symbols of electric components")</f>
        <v>Symbols of electric components</v>
      </c>
      <c r="I102" s="10" t="str">
        <f t="shared" si="0"/>
        <v>LU005348.001</v>
      </c>
      <c r="J102" s="10" t="str">
        <f ca="1">IFERROR(__xludf.DUMMYFUNCTION("VLOOKUP(I102, IMPORTRANGE(""https://docs.google.com/spreadsheets/d/1yDAaXNsi4Mr5FtRQL4tbmSdIzhx6_m4wkOD7IG-k_eo/edit#gid=1336395716"", ""Science!M:N""), 2, FALSE)"),"""Identify symbols of common electrical symbols and their purpose used in circuit diagram.""")</f>
        <v>"Identify symbols of common electrical symbols and their purpose used in circuit diagram."</v>
      </c>
      <c r="K102" s="10" t="str">
        <f t="shared" si="1"/>
        <v>LU005348.002</v>
      </c>
      <c r="L102" s="10" t="str">
        <f ca="1">IFERROR(__xludf.DUMMYFUNCTION("VLOOKUP(K102, IMPORTRANGE(""https://docs.google.com/spreadsheets/d/1yDAaXNsi4Mr5FtRQL4tbmSdIzhx6_m4wkOD7IG-k_eo/edit#gid=1336395716"", ""Science!M:N""), 2, FALSE)"),"Interpret the meaning of a circuit diagram that uses symbols for electric components.")</f>
        <v>Interpret the meaning of a circuit diagram that uses symbols for electric components.</v>
      </c>
      <c r="M102" s="10" t="str">
        <f t="shared" si="2"/>
        <v>LU005348.003</v>
      </c>
      <c r="N102" s="10" t="str">
        <f ca="1">IFERROR(__xludf.DUMMYFUNCTION("VLOOKUP(M102, IMPORTRANGE(""https://docs.google.com/spreadsheets/d/1yDAaXNsi4Mr5FtRQL4tbmSdIzhx6_m4wkOD7IG-k_eo/edit#gid=1336395716"", ""Science!M:N""), 2, FALSE)"),"Draw a circuit diagram that uses symbols for electric components.")</f>
        <v>Draw a circuit diagram that uses symbols for electric components.</v>
      </c>
      <c r="O102" s="10" t="str">
        <f t="shared" si="3"/>
        <v>LU005348.004</v>
      </c>
      <c r="P102" s="10" t="str">
        <f ca="1">IFERROR(__xludf.DUMMYFUNCTION("VLOOKUP(O102, IMPORTRANGE(""https://docs.google.com/spreadsheets/d/1yDAaXNsi4Mr5FtRQL4tbmSdIzhx6_m4wkOD7IG-k_eo/edit#gid=1336395716"", ""Science!M:N""), 2, FALSE)"),"#N/A")</f>
        <v>#N/A</v>
      </c>
      <c r="Q102" s="10" t="str">
        <f t="shared" si="4"/>
        <v>LU005348.005</v>
      </c>
      <c r="R102" s="10" t="str">
        <f ca="1">IFERROR(__xludf.DUMMYFUNCTION("VLOOKUP(Q102, IMPORTRANGE(""https://docs.google.com/spreadsheets/d/1yDAaXNsi4Mr5FtRQL4tbmSdIzhx6_m4wkOD7IG-k_eo/edit#gid=1336395716"", ""Science!M:N""), 2, FALSE)"),"#N/A")</f>
        <v>#N/A</v>
      </c>
      <c r="S102" s="10" t="str">
        <f t="shared" si="5"/>
        <v>LU005348.006</v>
      </c>
      <c r="T102" s="10" t="str">
        <f ca="1">IFERROR(__xludf.DUMMYFUNCTION("VLOOKUP(S102, IMPORTRANGE(""https://docs.google.com/spreadsheets/d/1yDAaXNsi4Mr5FtRQL4tbmSdIzhx6_m4wkOD7IG-k_eo/edit#gid=1336395716"", ""Science!M:N""), 2, FALSE)"),"#N/A")</f>
        <v>#N/A</v>
      </c>
      <c r="U102" s="116">
        <f ca="1">IFERROR(__xludf.DUMMYFUNCTION("ArrayFormula(VLOOKUP(G102, IMPORTRANGE(""https://docs.google.com/spreadsheets/d/1p7R4vtkWt5VOBim4ltsDG9KTzSjrtKXsMtQGXPHyND0/edit#gid=795171502"", ""'Filter 30_05_2024'!A1:M2000""), {2, 3, 4, 5,6,7,8,9,10,11,12,13}, 0))"),24)</f>
        <v>24</v>
      </c>
      <c r="V102" s="116">
        <f ca="1">IFERROR(__xludf.DUMMYFUNCTION("""COMPUTED_VALUE"""),9)</f>
        <v>9</v>
      </c>
      <c r="W102" s="116">
        <f ca="1">IFERROR(__xludf.DUMMYFUNCTION("""COMPUTED_VALUE"""),2)</f>
        <v>2</v>
      </c>
      <c r="X102" s="116">
        <f ca="1">IFERROR(__xludf.DUMMYFUNCTION("""COMPUTED_VALUE"""),35)</f>
        <v>35</v>
      </c>
      <c r="Y102" s="116">
        <f ca="1">IFERROR(__xludf.DUMMYFUNCTION("""COMPUTED_VALUE"""),9)</f>
        <v>9</v>
      </c>
      <c r="Z102" s="12">
        <f ca="1">IFERROR(__xludf.DUMMYFUNCTION("""COMPUTED_VALUE"""),3)</f>
        <v>3</v>
      </c>
      <c r="AA102" s="12">
        <f ca="1">IFERROR(__xludf.DUMMYFUNCTION("""COMPUTED_VALUE"""),1)</f>
        <v>1</v>
      </c>
      <c r="AB102" s="12">
        <f ca="1">IFERROR(__xludf.DUMMYFUNCTION("""COMPUTED_VALUE"""),13)</f>
        <v>13</v>
      </c>
      <c r="AC102" s="12"/>
      <c r="AD102" s="12"/>
      <c r="AE102" s="12"/>
      <c r="AF102" s="12"/>
      <c r="AG102" s="13" t="str">
        <f ca="1">IFERROR(__xludf.DUMMYFUNCTION("ArrayFormula(VLOOKUP(G102, IMPORTRANGE(""https://docs.google.com/spreadsheets/d/1Co934fvtviyaRiMsrIlT05Jaq7iiYq07aLvRr35KA48/edit?gid=173865642#gid=173865642"", ""'G7_Sci_Pri_LU'!G2:V2000""), {3, 4, 5, 6, 7, 8, 9, 10, 11, 12, 13, 14, 15, 16}, 0))"),"")</f>
        <v/>
      </c>
      <c r="AH102" s="13"/>
      <c r="AI102" s="13"/>
      <c r="AJ102" s="13"/>
      <c r="AK102" s="13"/>
      <c r="AL102" s="13"/>
      <c r="AM102" s="13"/>
      <c r="AN102" s="13"/>
      <c r="AO102" s="13"/>
      <c r="AP102" s="13"/>
      <c r="AQ102" s="13"/>
      <c r="AR102" s="13"/>
      <c r="AS102" s="13"/>
      <c r="AT102" s="13"/>
    </row>
    <row r="103" spans="1:46">
      <c r="A103" s="8" t="s">
        <v>247</v>
      </c>
      <c r="B103" s="8" t="s">
        <v>47</v>
      </c>
      <c r="C103" s="8" t="s">
        <v>416</v>
      </c>
      <c r="D103" s="8" t="s">
        <v>1510</v>
      </c>
      <c r="E103" s="8" t="s">
        <v>1958</v>
      </c>
      <c r="F103" s="8" t="s">
        <v>1959</v>
      </c>
      <c r="G103" s="8" t="s">
        <v>1961</v>
      </c>
      <c r="H103" s="8" t="str">
        <f ca="1">IFERROR(__xludf.DUMMYFUNCTION("VLOOKUP(G103, IMPORTRANGE(""https://docs.google.com/spreadsheets/d/14deopnvwcrKtEGCKuYXdUHJbeLDZlkiSSWWT0g7x2pM/edit#gid=849066331"", ""LU List Science (Filter)!A:B""), 2, FALSE)"),"Construction of battery from two or more cell")</f>
        <v>Construction of battery from two or more cell</v>
      </c>
      <c r="I103" s="10" t="str">
        <f t="shared" si="0"/>
        <v>LU005346.001</v>
      </c>
      <c r="J103" s="10" t="str">
        <f ca="1">IFERROR(__xludf.DUMMYFUNCTION("VLOOKUP(I103, IMPORTRANGE(""https://docs.google.com/spreadsheets/d/1yDAaXNsi4Mr5FtRQL4tbmSdIzhx6_m4wkOD7IG-k_eo/edit#gid=1336395716"", ""Science!M:N""), 2, FALSE)"),"Define battery.")</f>
        <v>Define battery.</v>
      </c>
      <c r="K103" s="10" t="str">
        <f t="shared" si="1"/>
        <v>LU005346.002</v>
      </c>
      <c r="L103" s="10" t="str">
        <f ca="1">IFERROR(__xludf.DUMMYFUNCTION("VLOOKUP(K103, IMPORTRANGE(""https://docs.google.com/spreadsheets/d/1yDAaXNsi4Mr5FtRQL4tbmSdIzhx6_m4wkOD7IG-k_eo/edit#gid=1336395716"", ""Science!M:N""), 2, FALSE)"),"Explain how a battery is formed by connecting two or more cells in all possible arrangements. ")</f>
        <v xml:space="preserve">Explain how a battery is formed by connecting two or more cells in all possible arrangements. </v>
      </c>
      <c r="M103" s="10" t="str">
        <f t="shared" si="2"/>
        <v>LU005346.003</v>
      </c>
      <c r="N103" s="10" t="str">
        <f ca="1">IFERROR(__xludf.DUMMYFUNCTION("VLOOKUP(M103, IMPORTRANGE(""https://docs.google.com/spreadsheets/d/1yDAaXNsi4Mr5FtRQL4tbmSdIzhx6_m4wkOD7IG-k_eo/edit#gid=1336395716"", ""Science!M:N""), 2, FALSE)"),"Demonstrate the correct method of connecting two or more cells to create a functional battery")</f>
        <v>Demonstrate the correct method of connecting two or more cells to create a functional battery</v>
      </c>
      <c r="O103" s="10" t="str">
        <f t="shared" si="3"/>
        <v>LU005346.004</v>
      </c>
      <c r="P103" s="10" t="str">
        <f ca="1">IFERROR(__xludf.DUMMYFUNCTION("VLOOKUP(O103, IMPORTRANGE(""https://docs.google.com/spreadsheets/d/1yDAaXNsi4Mr5FtRQL4tbmSdIzhx6_m4wkOD7IG-k_eo/edit#gid=1336395716"", ""Science!M:N""), 2, FALSE)"),"Analyze the advantages and disadvantages of connecting cells in various arrangements when constructing a battery")</f>
        <v>Analyze the advantages and disadvantages of connecting cells in various arrangements when constructing a battery</v>
      </c>
      <c r="Q103" s="10" t="str">
        <f t="shared" si="4"/>
        <v>LU005346.005</v>
      </c>
      <c r="R103" s="10" t="str">
        <f ca="1">IFERROR(__xludf.DUMMYFUNCTION("VLOOKUP(Q103, IMPORTRANGE(""https://docs.google.com/spreadsheets/d/1yDAaXNsi4Mr5FtRQL4tbmSdIzhx6_m4wkOD7IG-k_eo/edit#gid=1336395716"", ""Science!M:N""), 2, FALSE)"),"#N/A")</f>
        <v>#N/A</v>
      </c>
      <c r="S103" s="10" t="str">
        <f t="shared" si="5"/>
        <v>LU005346.006</v>
      </c>
      <c r="T103" s="10" t="str">
        <f ca="1">IFERROR(__xludf.DUMMYFUNCTION("VLOOKUP(S103, IMPORTRANGE(""https://docs.google.com/spreadsheets/d/1yDAaXNsi4Mr5FtRQL4tbmSdIzhx6_m4wkOD7IG-k_eo/edit#gid=1336395716"", ""Science!M:N""), 2, FALSE)"),"#N/A")</f>
        <v>#N/A</v>
      </c>
      <c r="U103" s="116">
        <f ca="1">IFERROR(__xludf.DUMMYFUNCTION("ArrayFormula(VLOOKUP(G103, IMPORTRANGE(""https://docs.google.com/spreadsheets/d/1p7R4vtkWt5VOBim4ltsDG9KTzSjrtKXsMtQGXPHyND0/edit#gid=795171502"", ""'Filter 30_05_2024'!A1:M2000""), {2, 3, 4, 5,6,7,8,9,10,11,12,13}, 0))"),8)</f>
        <v>8</v>
      </c>
      <c r="V103" s="116">
        <f ca="1">IFERROR(__xludf.DUMMYFUNCTION("""COMPUTED_VALUE"""),4)</f>
        <v>4</v>
      </c>
      <c r="W103" s="116">
        <f ca="1">IFERROR(__xludf.DUMMYFUNCTION("""COMPUTED_VALUE"""),1)</f>
        <v>1</v>
      </c>
      <c r="X103" s="116">
        <f ca="1">IFERROR(__xludf.DUMMYFUNCTION("""COMPUTED_VALUE"""),13)</f>
        <v>13</v>
      </c>
      <c r="Y103" s="116">
        <f ca="1">IFERROR(__xludf.DUMMYFUNCTION("""COMPUTED_VALUE"""),5)</f>
        <v>5</v>
      </c>
      <c r="Z103" s="12">
        <f ca="1">IFERROR(__xludf.DUMMYFUNCTION("""COMPUTED_VALUE"""),2)</f>
        <v>2</v>
      </c>
      <c r="AA103" s="12">
        <f ca="1">IFERROR(__xludf.DUMMYFUNCTION("""COMPUTED_VALUE"""),1)</f>
        <v>1</v>
      </c>
      <c r="AB103" s="12">
        <f ca="1">IFERROR(__xludf.DUMMYFUNCTION("""COMPUTED_VALUE"""),8)</f>
        <v>8</v>
      </c>
      <c r="AC103" s="12">
        <f ca="1">IFERROR(__xludf.DUMMYFUNCTION("""COMPUTED_VALUE"""),3)</f>
        <v>3</v>
      </c>
      <c r="AD103" s="12"/>
      <c r="AE103" s="12"/>
      <c r="AF103" s="12">
        <f ca="1">IFERROR(__xludf.DUMMYFUNCTION("""COMPUTED_VALUE"""),3)</f>
        <v>3</v>
      </c>
      <c r="AG103" s="13" t="str">
        <f ca="1">IFERROR(__xludf.DUMMYFUNCTION("ArrayFormula(VLOOKUP(G103, IMPORTRANGE(""https://docs.google.com/spreadsheets/d/1Co934fvtviyaRiMsrIlT05Jaq7iiYq07aLvRr35KA48/edit?gid=173865642#gid=173865642"", ""'G7_Sci_Pri_LU'!G2:V2000""), {3, 4, 5, 6, 7, 8, 9, 10, 11, 12, 13, 14, 15, 16}, 0))"),"LU005155")</f>
        <v>LU005155</v>
      </c>
      <c r="AH103" s="13" t="str">
        <f ca="1">IFERROR(__xludf.DUMMYFUNCTION("""COMPUTED_VALUE"""),"Structure and function of electric cell")</f>
        <v>Structure and function of electric cell</v>
      </c>
      <c r="AI103" s="13" t="str">
        <f ca="1">IFERROR(__xludf.DUMMYFUNCTION("""COMPUTED_VALUE"""),"LU005152")</f>
        <v>LU005152</v>
      </c>
      <c r="AJ103" s="13" t="str">
        <f ca="1">IFERROR(__xludf.DUMMYFUNCTION("""COMPUTED_VALUE"""),"Electric Conductors and Insulators: Definition and Application")</f>
        <v>Electric Conductors and Insulators: Definition and Application</v>
      </c>
      <c r="AK103" s="13"/>
      <c r="AL103" s="13"/>
      <c r="AM103" s="13"/>
      <c r="AN103" s="13"/>
      <c r="AO103" s="13"/>
      <c r="AP103" s="13"/>
      <c r="AQ103" s="13"/>
      <c r="AR103" s="13"/>
      <c r="AS103" s="13"/>
      <c r="AT103" s="13"/>
    </row>
    <row r="104" spans="1:46">
      <c r="A104" s="8" t="s">
        <v>247</v>
      </c>
      <c r="B104" s="8" t="s">
        <v>47</v>
      </c>
      <c r="C104" s="8" t="s">
        <v>416</v>
      </c>
      <c r="D104" s="8" t="s">
        <v>1510</v>
      </c>
      <c r="E104" s="8" t="s">
        <v>1958</v>
      </c>
      <c r="F104" s="8" t="s">
        <v>1962</v>
      </c>
      <c r="G104" s="8" t="s">
        <v>1963</v>
      </c>
      <c r="H104" s="8" t="str">
        <f ca="1">IFERROR(__xludf.DUMMYFUNCTION("VLOOKUP(G104, IMPORTRANGE(""https://docs.google.com/spreadsheets/d/14deopnvwcrKtEGCKuYXdUHJbeLDZlkiSSWWT0g7x2pM/edit#gid=849066331"", ""LU List Science (Filter)!A:B""), 2, FALSE)"),"Categorizing Electric Circuits into open and closed circuits")</f>
        <v>Categorizing Electric Circuits into open and closed circuits</v>
      </c>
      <c r="I104" s="10" t="str">
        <f t="shared" si="0"/>
        <v>LU005345.001</v>
      </c>
      <c r="J104" s="10" t="str">
        <f ca="1">IFERROR(__xludf.DUMMYFUNCTION("VLOOKUP(I104, IMPORTRANGE(""https://docs.google.com/spreadsheets/d/1yDAaXNsi4Mr5FtRQL4tbmSdIzhx6_m4wkOD7IG-k_eo/edit#gid=1336395716"", ""Science!M:N""), 2, FALSE)"),"Define the terms ""open circuit"" and ""closed circuit"".")</f>
        <v>Define the terms "open circuit" and "closed circuit".</v>
      </c>
      <c r="K104" s="10" t="str">
        <f t="shared" si="1"/>
        <v>LU005345.002</v>
      </c>
      <c r="L104" s="10" t="str">
        <f ca="1">IFERROR(__xludf.DUMMYFUNCTION("VLOOKUP(K104, IMPORTRANGE(""https://docs.google.com/spreadsheets/d/1yDAaXNsi4Mr5FtRQL4tbmSdIzhx6_m4wkOD7IG-k_eo/edit#gid=1336395716"", ""Science!M:N""), 2, FALSE)"),"""Explain the difference between an open circuit and a closed circuit.""")</f>
        <v>"Explain the difference between an open circuit and a closed circuit."</v>
      </c>
      <c r="M104" s="10" t="str">
        <f t="shared" si="2"/>
        <v>LU005345.003</v>
      </c>
      <c r="N104" s="10" t="str">
        <f ca="1">IFERROR(__xludf.DUMMYFUNCTION("VLOOKUP(M104, IMPORTRANGE(""https://docs.google.com/spreadsheets/d/1yDAaXNsi4Mr5FtRQL4tbmSdIzhx6_m4wkOD7IG-k_eo/edit#gid=1336395716"", ""Science!M:N""), 2, FALSE)"),"Construct simple electric circuits using various components to demonstrate both open and closed circuit configurations.")</f>
        <v>Construct simple electric circuits using various components to demonstrate both open and closed circuit configurations.</v>
      </c>
      <c r="O104" s="10" t="str">
        <f t="shared" si="3"/>
        <v>LU005345.004</v>
      </c>
      <c r="P104" s="10" t="str">
        <f ca="1">IFERROR(__xludf.DUMMYFUNCTION("VLOOKUP(O104, IMPORTRANGE(""https://docs.google.com/spreadsheets/d/1yDAaXNsi4Mr5FtRQL4tbmSdIzhx6_m4wkOD7IG-k_eo/edit#gid=1336395716"", ""Science!M:N""), 2, FALSE)"),"Analyze a given diagram of an electric circuit and determine whether it represents an open circuit or a closed circuit,")</f>
        <v>Analyze a given diagram of an electric circuit and determine whether it represents an open circuit or a closed circuit,</v>
      </c>
      <c r="Q104" s="10" t="str">
        <f t="shared" si="4"/>
        <v>LU005345.005</v>
      </c>
      <c r="R104" s="10" t="str">
        <f ca="1">IFERROR(__xludf.DUMMYFUNCTION("VLOOKUP(Q104, IMPORTRANGE(""https://docs.google.com/spreadsheets/d/1yDAaXNsi4Mr5FtRQL4tbmSdIzhx6_m4wkOD7IG-k_eo/edit#gid=1336395716"", ""Science!M:N""), 2, FALSE)"),"#N/A")</f>
        <v>#N/A</v>
      </c>
      <c r="S104" s="10" t="str">
        <f t="shared" si="5"/>
        <v>LU005345.006</v>
      </c>
      <c r="T104" s="10" t="str">
        <f ca="1">IFERROR(__xludf.DUMMYFUNCTION("VLOOKUP(S104, IMPORTRANGE(""https://docs.google.com/spreadsheets/d/1yDAaXNsi4Mr5FtRQL4tbmSdIzhx6_m4wkOD7IG-k_eo/edit#gid=1336395716"", ""Science!M:N""), 2, FALSE)"),"Design an experiment that showcases the behavior of open and closed circuits")</f>
        <v>Design an experiment that showcases the behavior of open and closed circuits</v>
      </c>
      <c r="U104" s="116">
        <f ca="1">IFERROR(__xludf.DUMMYFUNCTION("ArrayFormula(VLOOKUP(G104, IMPORTRANGE(""https://docs.google.com/spreadsheets/d/1p7R4vtkWt5VOBim4ltsDG9KTzSjrtKXsMtQGXPHyND0/edit#gid=795171502"", ""'Filter 30_05_2024'!A1:M2000""), {2, 3, 4, 5,6,7,8,9,10,11,12,13}, 0))"),4)</f>
        <v>4</v>
      </c>
      <c r="V104" s="116">
        <f ca="1">IFERROR(__xludf.DUMMYFUNCTION("""COMPUTED_VALUE"""),6)</f>
        <v>6</v>
      </c>
      <c r="W104" s="116">
        <f ca="1">IFERROR(__xludf.DUMMYFUNCTION("""COMPUTED_VALUE"""),15)</f>
        <v>15</v>
      </c>
      <c r="X104" s="116">
        <f ca="1">IFERROR(__xludf.DUMMYFUNCTION("""COMPUTED_VALUE"""),25)</f>
        <v>25</v>
      </c>
      <c r="Y104" s="116">
        <f ca="1">IFERROR(__xludf.DUMMYFUNCTION("""COMPUTED_VALUE"""),4)</f>
        <v>4</v>
      </c>
      <c r="Z104" s="12">
        <f ca="1">IFERROR(__xludf.DUMMYFUNCTION("""COMPUTED_VALUE"""),3)</f>
        <v>3</v>
      </c>
      <c r="AA104" s="12">
        <f ca="1">IFERROR(__xludf.DUMMYFUNCTION("""COMPUTED_VALUE"""),3)</f>
        <v>3</v>
      </c>
      <c r="AB104" s="12">
        <f ca="1">IFERROR(__xludf.DUMMYFUNCTION("""COMPUTED_VALUE"""),10)</f>
        <v>10</v>
      </c>
      <c r="AC104" s="12"/>
      <c r="AD104" s="12"/>
      <c r="AE104" s="12"/>
      <c r="AF104" s="12"/>
      <c r="AG104" s="13" t="str">
        <f ca="1">IFERROR(__xludf.DUMMYFUNCTION("ArrayFormula(VLOOKUP(G104, IMPORTRANGE(""https://docs.google.com/spreadsheets/d/1Co934fvtviyaRiMsrIlT05Jaq7iiYq07aLvRr35KA48/edit?gid=173865642#gid=173865642"", ""'G7_Sci_Pri_LU'!G2:V2000""), {3, 4, 5, 6, 7, 8, 9, 10, 11, 12, 13, 14, 15, 16}, 0))"),"LU005151")</f>
        <v>LU005151</v>
      </c>
      <c r="AH104" s="13" t="str">
        <f ca="1">IFERROR(__xludf.DUMMYFUNCTION("""COMPUTED_VALUE"""),"Basic Circuit Design with Switches")</f>
        <v>Basic Circuit Design with Switches</v>
      </c>
      <c r="AI104" s="13" t="str">
        <f ca="1">IFERROR(__xludf.DUMMYFUNCTION("""COMPUTED_VALUE"""),"LU005153")</f>
        <v>LU005153</v>
      </c>
      <c r="AJ104" s="13" t="str">
        <f ca="1">IFERROR(__xludf.DUMMYFUNCTION("""COMPUTED_VALUE"""),"Description of electric circuit and flow of current through it")</f>
        <v>Description of electric circuit and flow of current through it</v>
      </c>
      <c r="AK104" s="13"/>
      <c r="AL104" s="13"/>
      <c r="AM104" s="13"/>
      <c r="AN104" s="13"/>
      <c r="AO104" s="13"/>
      <c r="AP104" s="13"/>
      <c r="AQ104" s="13"/>
      <c r="AR104" s="13"/>
      <c r="AS104" s="13"/>
      <c r="AT104" s="13"/>
    </row>
    <row r="105" spans="1:46">
      <c r="A105" s="8" t="s">
        <v>247</v>
      </c>
      <c r="B105" s="8" t="s">
        <v>47</v>
      </c>
      <c r="C105" s="8" t="s">
        <v>416</v>
      </c>
      <c r="D105" s="8" t="s">
        <v>1510</v>
      </c>
      <c r="E105" s="8" t="s">
        <v>1958</v>
      </c>
      <c r="F105" s="8" t="s">
        <v>1964</v>
      </c>
      <c r="G105" s="8" t="s">
        <v>1965</v>
      </c>
      <c r="H105" s="8" t="str">
        <f ca="1">IFERROR(__xludf.DUMMYFUNCTION("VLOOKUP(G105, IMPORTRANGE(""https://docs.google.com/spreadsheets/d/14deopnvwcrKtEGCKuYXdUHJbeLDZlkiSSWWT0g7x2pM/edit#gid=849066331"", ""LU List Science (Filter)!A:B""), 2, FALSE)"),"Basic concept of Heating effect of electric current")</f>
        <v>Basic concept of Heating effect of electric current</v>
      </c>
      <c r="I105" s="10" t="str">
        <f t="shared" si="0"/>
        <v>LU005343.001</v>
      </c>
      <c r="J105" s="10" t="str">
        <f ca="1">IFERROR(__xludf.DUMMYFUNCTION("VLOOKUP(I105, IMPORTRANGE(""https://docs.google.com/spreadsheets/d/1yDAaXNsi4Mr5FtRQL4tbmSdIzhx6_m4wkOD7IG-k_eo/edit#gid=1336395716"", ""Science!M:N""), 2, FALSE)"),"List examples of electrical appliances where the heating effect of current is utilized.")</f>
        <v>List examples of electrical appliances where the heating effect of current is utilized.</v>
      </c>
      <c r="K105" s="10" t="str">
        <f t="shared" si="1"/>
        <v>LU005343.002</v>
      </c>
      <c r="L105" s="10" t="str">
        <f ca="1">IFERROR(__xludf.DUMMYFUNCTION("VLOOKUP(K105, IMPORTRANGE(""https://docs.google.com/spreadsheets/d/1yDAaXNsi4Mr5FtRQL4tbmSdIzhx6_m4wkOD7IG-k_eo/edit#gid=1336395716"", ""Science!M:N""), 2, FALSE)"),"Explain how the heating effect of electric current is used in various household appliances.")</f>
        <v>Explain how the heating effect of electric current is used in various household appliances.</v>
      </c>
      <c r="M105" s="10" t="str">
        <f t="shared" si="2"/>
        <v>LU005343.003</v>
      </c>
      <c r="N105" s="10" t="str">
        <f ca="1">IFERROR(__xludf.DUMMYFUNCTION("VLOOKUP(M105, IMPORTRANGE(""https://docs.google.com/spreadsheets/d/1yDAaXNsi4Mr5FtRQL4tbmSdIzhx6_m4wkOD7IG-k_eo/edit#gid=1336395716"", ""Science!M:N""), 2, FALSE)"),"Demonstrate an experiment to investigate the factors that affect the heating effect of electric current.")</f>
        <v>Demonstrate an experiment to investigate the factors that affect the heating effect of electric current.</v>
      </c>
      <c r="O105" s="10" t="str">
        <f t="shared" si="3"/>
        <v>LU005343.004</v>
      </c>
      <c r="P105" s="10" t="str">
        <f ca="1">IFERROR(__xludf.DUMMYFUNCTION("VLOOKUP(O105, IMPORTRANGE(""https://docs.google.com/spreadsheets/d/1yDAaXNsi4Mr5FtRQL4tbmSdIzhx6_m4wkOD7IG-k_eo/edit#gid=1336395716"", ""Science!M:N""), 2, FALSE)"),"Compare and contrast the heating effect of current in different types of materials.")</f>
        <v>Compare and contrast the heating effect of current in different types of materials.</v>
      </c>
      <c r="Q105" s="10" t="str">
        <f t="shared" si="4"/>
        <v>LU005343.005</v>
      </c>
      <c r="R105" s="10" t="str">
        <f ca="1">IFERROR(__xludf.DUMMYFUNCTION("VLOOKUP(Q105, IMPORTRANGE(""https://docs.google.com/spreadsheets/d/1yDAaXNsi4Mr5FtRQL4tbmSdIzhx6_m4wkOD7IG-k_eo/edit#gid=1336395716"", ""Science!M:N""), 2, FALSE)"),"Evaluate the safety features of household appliances that use the heating effect of electric curren")</f>
        <v>Evaluate the safety features of household appliances that use the heating effect of electric curren</v>
      </c>
      <c r="S105" s="10" t="str">
        <f t="shared" si="5"/>
        <v>LU005343.006</v>
      </c>
      <c r="T105" s="10" t="str">
        <f ca="1">IFERROR(__xludf.DUMMYFUNCTION("VLOOKUP(S105, IMPORTRANGE(""https://docs.google.com/spreadsheets/d/1yDAaXNsi4Mr5FtRQL4tbmSdIzhx6_m4wkOD7IG-k_eo/edit#gid=1336395716"", ""Science!M:N""), 2, FALSE)"),"Design an experiment to explore the heating effect of current using various materials, including variables such as current intensity, conductor length, and thickness of conductor. ")</f>
        <v xml:space="preserve">Design an experiment to explore the heating effect of current using various materials, including variables such as current intensity, conductor length, and thickness of conductor. </v>
      </c>
      <c r="U105" s="116">
        <f ca="1">IFERROR(__xludf.DUMMYFUNCTION("ArrayFormula(VLOOKUP(G105, IMPORTRANGE(""https://docs.google.com/spreadsheets/d/1p7R4vtkWt5VOBim4ltsDG9KTzSjrtKXsMtQGXPHyND0/edit#gid=795171502"", ""'Filter 30_05_2024'!A1:M2000""), {2, 3, 4, 5,6,7,8,9,10,11,12,13}, 0))"),1)</f>
        <v>1</v>
      </c>
      <c r="V105" s="116">
        <f ca="1">IFERROR(__xludf.DUMMYFUNCTION("""COMPUTED_VALUE"""),6)</f>
        <v>6</v>
      </c>
      <c r="W105" s="116">
        <f ca="1">IFERROR(__xludf.DUMMYFUNCTION("""COMPUTED_VALUE"""),2)</f>
        <v>2</v>
      </c>
      <c r="X105" s="116">
        <f ca="1">IFERROR(__xludf.DUMMYFUNCTION("""COMPUTED_VALUE"""),9)</f>
        <v>9</v>
      </c>
      <c r="Y105" s="116">
        <f ca="1">IFERROR(__xludf.DUMMYFUNCTION("""COMPUTED_VALUE"""),4)</f>
        <v>4</v>
      </c>
      <c r="Z105" s="12">
        <f ca="1">IFERROR(__xludf.DUMMYFUNCTION("""COMPUTED_VALUE"""),3)</f>
        <v>3</v>
      </c>
      <c r="AA105" s="12">
        <f ca="1">IFERROR(__xludf.DUMMYFUNCTION("""COMPUTED_VALUE"""),1)</f>
        <v>1</v>
      </c>
      <c r="AB105" s="12">
        <f ca="1">IFERROR(__xludf.DUMMYFUNCTION("""COMPUTED_VALUE"""),8)</f>
        <v>8</v>
      </c>
      <c r="AC105" s="12"/>
      <c r="AD105" s="12"/>
      <c r="AE105" s="12"/>
      <c r="AF105" s="12"/>
      <c r="AG105" s="13" t="str">
        <f ca="1">IFERROR(__xludf.DUMMYFUNCTION("ArrayFormula(VLOOKUP(G105, IMPORTRANGE(""https://docs.google.com/spreadsheets/d/1Co934fvtviyaRiMsrIlT05Jaq7iiYq07aLvRr35KA48/edit?gid=173865642#gid=173865642"", ""'G7_Sci_Pri_LU'!G2:V2000""), {3, 4, 5, 6, 7, 8, 9, 10, 11, 12, 13, 14, 15, 16}, 0))"),"LU005153")</f>
        <v>LU005153</v>
      </c>
      <c r="AH105" s="13" t="str">
        <f ca="1">IFERROR(__xludf.DUMMYFUNCTION("""COMPUTED_VALUE"""),"Description of electric circuit and flow of current through it")</f>
        <v>Description of electric circuit and flow of current through it</v>
      </c>
      <c r="AI105" s="13" t="str">
        <f ca="1">IFERROR(__xludf.DUMMYFUNCTION("""COMPUTED_VALUE"""),"LU005354")</f>
        <v>LU005354</v>
      </c>
      <c r="AJ105" s="13" t="str">
        <f ca="1">IFERROR(__xludf.DUMMYFUNCTION("""COMPUTED_VALUE"""),"Definition and units of temperature")</f>
        <v>Definition and units of temperature</v>
      </c>
      <c r="AK105" s="13"/>
      <c r="AL105" s="13"/>
      <c r="AM105" s="13"/>
      <c r="AN105" s="13"/>
      <c r="AO105" s="13"/>
      <c r="AP105" s="13"/>
      <c r="AQ105" s="13"/>
      <c r="AR105" s="13"/>
      <c r="AS105" s="13"/>
      <c r="AT105" s="13"/>
    </row>
    <row r="106" spans="1:46">
      <c r="A106" s="8" t="s">
        <v>247</v>
      </c>
      <c r="B106" s="8" t="s">
        <v>47</v>
      </c>
      <c r="C106" s="8" t="s">
        <v>416</v>
      </c>
      <c r="D106" s="8" t="s">
        <v>1510</v>
      </c>
      <c r="E106" s="8" t="s">
        <v>1958</v>
      </c>
      <c r="F106" s="8" t="s">
        <v>1966</v>
      </c>
      <c r="G106" s="8" t="s">
        <v>1967</v>
      </c>
      <c r="H106" s="8" t="str">
        <f ca="1">IFERROR(__xludf.DUMMYFUNCTION("VLOOKUP(G106, IMPORTRANGE(""https://docs.google.com/spreadsheets/d/14deopnvwcrKtEGCKuYXdUHJbeLDZlkiSSWWT0g7x2pM/edit#gid=849066331"", ""LU List Science (Filter)!A:B""), 2, FALSE)"),"Working principle and purpose of Electric fuse and MCB")</f>
        <v>Working principle and purpose of Electric fuse and MCB</v>
      </c>
      <c r="I106" s="10" t="str">
        <f t="shared" si="0"/>
        <v>LU005350.001</v>
      </c>
      <c r="J106" s="10" t="str">
        <f ca="1">IFERROR(__xludf.DUMMYFUNCTION("VLOOKUP(I106, IMPORTRANGE(""https://docs.google.com/spreadsheets/d/1yDAaXNsi4Mr5FtRQL4tbmSdIzhx6_m4wkOD7IG-k_eo/edit#gid=1336395716"", ""Science!M:N""), 2, FALSE)"),"Define an electric fuse and an MCB.")</f>
        <v>Define an electric fuse and an MCB.</v>
      </c>
      <c r="K106" s="10" t="str">
        <f t="shared" si="1"/>
        <v>LU005350.002</v>
      </c>
      <c r="L106" s="10" t="str">
        <f ca="1">IFERROR(__xludf.DUMMYFUNCTION("VLOOKUP(K106, IMPORTRANGE(""https://docs.google.com/spreadsheets/d/1yDAaXNsi4Mr5FtRQL4tbmSdIzhx6_m4wkOD7IG-k_eo/edit#gid=1336395716"", ""Science!M:N""), 2, FALSE)"),"Explain how an electric fuse and an MCB protect electrical circuits from short circuits/overloading.")</f>
        <v>Explain how an electric fuse and an MCB protect electrical circuits from short circuits/overloading.</v>
      </c>
      <c r="M106" s="10" t="str">
        <f t="shared" si="2"/>
        <v>LU005350.003</v>
      </c>
      <c r="N106" s="10" t="str">
        <f ca="1">IFERROR(__xludf.DUMMYFUNCTION("VLOOKUP(M106, IMPORTRANGE(""https://docs.google.com/spreadsheets/d/1yDAaXNsi4Mr5FtRQL4tbmSdIzhx6_m4wkOD7IG-k_eo/edit#gid=1336395716"", ""Science!M:N""), 2, FALSE)"),"""Demonstrate how to correctly install an electric fuse and an MCB in a simple electric circuit""")</f>
        <v>"Demonstrate how to correctly install an electric fuse and an MCB in a simple electric circuit"</v>
      </c>
      <c r="O106" s="10" t="str">
        <f t="shared" si="3"/>
        <v>LU005350.004</v>
      </c>
      <c r="P106" s="10" t="str">
        <f ca="1">IFERROR(__xludf.DUMMYFUNCTION("VLOOKUP(O106, IMPORTRANGE(""https://docs.google.com/spreadsheets/d/1yDAaXNsi4Mr5FtRQL4tbmSdIzhx6_m4wkOD7IG-k_eo/edit#gid=1336395716"", ""Science!M:N""), 2, FALSE)"),"Analyze the advantages of using MCBs over traditional fuses in terms of safety and convenience.")</f>
        <v>Analyze the advantages of using MCBs over traditional fuses in terms of safety and convenience.</v>
      </c>
      <c r="Q106" s="10" t="str">
        <f t="shared" si="4"/>
        <v>LU005350.005</v>
      </c>
      <c r="R106" s="10" t="str">
        <f ca="1">IFERROR(__xludf.DUMMYFUNCTION("VLOOKUP(Q106, IMPORTRANGE(""https://docs.google.com/spreadsheets/d/1yDAaXNsi4Mr5FtRQL4tbmSdIzhx6_m4wkOD7IG-k_eo/edit#gid=1336395716"", ""Science!M:N""), 2, FALSE)"),"Evaluate the significance of having the ISI (Indian Standards Institute) mark on electrical safety devices like fuses and MCBs.")</f>
        <v>Evaluate the significance of having the ISI (Indian Standards Institute) mark on electrical safety devices like fuses and MCBs.</v>
      </c>
      <c r="S106" s="10" t="str">
        <f t="shared" si="5"/>
        <v>LU005350.006</v>
      </c>
      <c r="T106" s="10" t="str">
        <f ca="1">IFERROR(__xludf.DUMMYFUNCTION("VLOOKUP(S106, IMPORTRANGE(""https://docs.google.com/spreadsheets/d/1yDAaXNsi4Mr5FtRQL4tbmSdIzhx6_m4wkOD7IG-k_eo/edit#gid=1336395716"", ""Science!M:N""), 2, FALSE)"),"Design a circuit to illustrate how a electric fuse works. ")</f>
        <v xml:space="preserve">Design a circuit to illustrate how a electric fuse works. </v>
      </c>
      <c r="U106" s="116">
        <f ca="1">IFERROR(__xludf.DUMMYFUNCTION("ArrayFormula(VLOOKUP(G106, IMPORTRANGE(""https://docs.google.com/spreadsheets/d/1p7R4vtkWt5VOBim4ltsDG9KTzSjrtKXsMtQGXPHyND0/edit#gid=795171502"", ""'Filter 30_05_2024'!A1:M2000""), {2, 3, 4, 5,6,7,8,9,10,11,12,13}, 0))"),16)</f>
        <v>16</v>
      </c>
      <c r="V106" s="116">
        <f ca="1">IFERROR(__xludf.DUMMYFUNCTION("""COMPUTED_VALUE"""),6)</f>
        <v>6</v>
      </c>
      <c r="W106" s="116">
        <f ca="1">IFERROR(__xludf.DUMMYFUNCTION("""COMPUTED_VALUE"""),5)</f>
        <v>5</v>
      </c>
      <c r="X106" s="116">
        <f ca="1">IFERROR(__xludf.DUMMYFUNCTION("""COMPUTED_VALUE"""),27)</f>
        <v>27</v>
      </c>
      <c r="Y106" s="116">
        <f ca="1">IFERROR(__xludf.DUMMYFUNCTION("""COMPUTED_VALUE"""),4)</f>
        <v>4</v>
      </c>
      <c r="Z106" s="12">
        <f ca="1">IFERROR(__xludf.DUMMYFUNCTION("""COMPUTED_VALUE"""),3)</f>
        <v>3</v>
      </c>
      <c r="AA106" s="12">
        <f ca="1">IFERROR(__xludf.DUMMYFUNCTION("""COMPUTED_VALUE"""),3)</f>
        <v>3</v>
      </c>
      <c r="AB106" s="12">
        <f ca="1">IFERROR(__xludf.DUMMYFUNCTION("""COMPUTED_VALUE"""),10)</f>
        <v>10</v>
      </c>
      <c r="AC106" s="12"/>
      <c r="AD106" s="12"/>
      <c r="AE106" s="12"/>
      <c r="AF106" s="12"/>
      <c r="AG106" s="13" t="str">
        <f ca="1">IFERROR(__xludf.DUMMYFUNCTION("ArrayFormula(VLOOKUP(G106, IMPORTRANGE(""https://docs.google.com/spreadsheets/d/1Co934fvtviyaRiMsrIlT05Jaq7iiYq07aLvRr35KA48/edit?gid=173865642#gid=173865642"", ""'G7_Sci_Pri_LU'!G2:V2000""), {3, 4, 5, 6, 7, 8, 9, 10, 11, 12, 13, 14, 15, 16}, 0))"),"LU005343")</f>
        <v>LU005343</v>
      </c>
      <c r="AH106" s="13" t="str">
        <f ca="1">IFERROR(__xludf.DUMMYFUNCTION("""COMPUTED_VALUE"""),"Basic concept of Heating effect of electric current")</f>
        <v>Basic concept of Heating effect of electric current</v>
      </c>
      <c r="AI106" s="13" t="str">
        <f ca="1">IFERROR(__xludf.DUMMYFUNCTION("""COMPUTED_VALUE"""),"LU005152")</f>
        <v>LU005152</v>
      </c>
      <c r="AJ106" s="13" t="str">
        <f ca="1">IFERROR(__xludf.DUMMYFUNCTION("""COMPUTED_VALUE"""),"Electric Conductors and Insulators: Definition and Application")</f>
        <v>Electric Conductors and Insulators: Definition and Application</v>
      </c>
      <c r="AK106" s="13" t="str">
        <f ca="1">IFERROR(__xludf.DUMMYFUNCTION("""COMPUTED_VALUE"""),"LU005345")</f>
        <v>LU005345</v>
      </c>
      <c r="AL106" s="13" t="str">
        <f ca="1">IFERROR(__xludf.DUMMYFUNCTION("""COMPUTED_VALUE"""),"Categorizing Electric Circuits into open and closed circuits")</f>
        <v>Categorizing Electric Circuits into open and closed circuits</v>
      </c>
      <c r="AM106" s="13"/>
      <c r="AN106" s="13"/>
      <c r="AO106" s="13"/>
      <c r="AP106" s="13"/>
      <c r="AQ106" s="13"/>
      <c r="AR106" s="13"/>
      <c r="AS106" s="13"/>
      <c r="AT106" s="13"/>
    </row>
    <row r="107" spans="1:46">
      <c r="A107" s="8" t="s">
        <v>247</v>
      </c>
      <c r="B107" s="8" t="s">
        <v>47</v>
      </c>
      <c r="C107" s="8" t="s">
        <v>416</v>
      </c>
      <c r="D107" s="8" t="s">
        <v>1510</v>
      </c>
      <c r="E107" s="8" t="s">
        <v>1958</v>
      </c>
      <c r="F107" s="8" t="s">
        <v>1966</v>
      </c>
      <c r="G107" s="8" t="s">
        <v>1968</v>
      </c>
      <c r="H107" s="8" t="str">
        <f ca="1">IFERROR(__xludf.DUMMYFUNCTION("VLOOKUP(G107, IMPORTRANGE(""https://docs.google.com/spreadsheets/d/14deopnvwcrKtEGCKuYXdUHJbeLDZlkiSSWWT0g7x2pM/edit#gid=849066331"", ""LU List Science (Filter)!A:B""), 2, FALSE)"),"Understanding and Preventing short circuit ")</f>
        <v xml:space="preserve">Understanding and Preventing short circuit </v>
      </c>
      <c r="I107" s="10" t="str">
        <f t="shared" si="0"/>
        <v>LU005913.001</v>
      </c>
      <c r="J107" s="10" t="str">
        <f ca="1">IFERROR(__xludf.DUMMYFUNCTION("VLOOKUP(I107, IMPORTRANGE(""https://docs.google.com/spreadsheets/d/1yDAaXNsi4Mr5FtRQL4tbmSdIzhx6_m4wkOD7IG-k_eo/edit#gid=1336395716"", ""Science!M:N""), 2, FALSE)"),"Recall the basic components that lead to a short circuit.")</f>
        <v>Recall the basic components that lead to a short circuit.</v>
      </c>
      <c r="K107" s="10" t="str">
        <f t="shared" si="1"/>
        <v>LU005913.002</v>
      </c>
      <c r="L107" s="10" t="str">
        <f ca="1">IFERROR(__xludf.DUMMYFUNCTION("VLOOKUP(K107, IMPORTRANGE(""https://docs.google.com/spreadsheets/d/1yDAaXNsi4Mr5FtRQL4tbmSdIzhx6_m4wkOD7IG-k_eo/edit#gid=1336395716"", ""Science!M:N""), 2, FALSE)"),"Describe the process of a short circuit and its potential dangers.")</f>
        <v>Describe the process of a short circuit and its potential dangers.</v>
      </c>
      <c r="M107" s="10" t="str">
        <f t="shared" si="2"/>
        <v>LU005913.003</v>
      </c>
      <c r="N107" s="10" t="str">
        <f ca="1">IFERROR(__xludf.DUMMYFUNCTION("VLOOKUP(M107, IMPORTRANGE(""https://docs.google.com/spreadsheets/d/1yDAaXNsi4Mr5FtRQL4tbmSdIzhx6_m4wkOD7IG-k_eo/edit#gid=1336395716"", ""Science!M:N""), 2, FALSE)"),"Apply techniques to prevent short circuits in household electrical systems.")</f>
        <v>Apply techniques to prevent short circuits in household electrical systems.</v>
      </c>
      <c r="O107" s="10" t="str">
        <f t="shared" si="3"/>
        <v>LU005913.004</v>
      </c>
      <c r="P107" s="10" t="str">
        <f ca="1">IFERROR(__xludf.DUMMYFUNCTION("VLOOKUP(O107, IMPORTRANGE(""https://docs.google.com/spreadsheets/d/1yDAaXNsi4Mr5FtRQL4tbmSdIzhx6_m4wkOD7IG-k_eo/edit#gid=1336395716"", ""Science!M:N""), 2, FALSE)"),"Analyze different real-world scenarios to identify potential short circuit risks.")</f>
        <v>Analyze different real-world scenarios to identify potential short circuit risks.</v>
      </c>
      <c r="Q107" s="10" t="str">
        <f t="shared" si="4"/>
        <v>LU005913.005</v>
      </c>
      <c r="R107" s="10" t="str">
        <f ca="1">IFERROR(__xludf.DUMMYFUNCTION("VLOOKUP(Q107, IMPORTRANGE(""https://docs.google.com/spreadsheets/d/1yDAaXNsi4Mr5FtRQL4tbmSdIzhx6_m4wkOD7IG-k_eo/edit#gid=1336395716"", ""Science!M:N""), 2, FALSE)"),"Evaluate the effectiveness of various short circuit prevention measures.")</f>
        <v>Evaluate the effectiveness of various short circuit prevention measures.</v>
      </c>
      <c r="S107" s="10" t="str">
        <f t="shared" si="5"/>
        <v>LU005913.006</v>
      </c>
      <c r="T107" s="10" t="str">
        <f ca="1">IFERROR(__xludf.DUMMYFUNCTION("VLOOKUP(S107, IMPORTRANGE(""https://docs.google.com/spreadsheets/d/1yDAaXNsi4Mr5FtRQL4tbmSdIzhx6_m4wkOD7IG-k_eo/edit#gid=1336395716"", ""Science!M:N""), 2, FALSE)"),"Design an educational campaign to raise awareness about short circuit prevention.")</f>
        <v>Design an educational campaign to raise awareness about short circuit prevention.</v>
      </c>
      <c r="U107" s="116">
        <f ca="1">IFERROR(__xludf.DUMMYFUNCTION("ArrayFormula(VLOOKUP(G107, IMPORTRANGE(""https://docs.google.com/spreadsheets/d/1p7R4vtkWt5VOBim4ltsDG9KTzSjrtKXsMtQGXPHyND0/edit#gid=795171502"", ""'Filter 30_05_2024'!A1:M2000""), {2, 3, 4, 5,6,7,8,9,10,11,12,13}, 0))"),6)</f>
        <v>6</v>
      </c>
      <c r="V107" s="116">
        <f ca="1">IFERROR(__xludf.DUMMYFUNCTION("""COMPUTED_VALUE"""),6)</f>
        <v>6</v>
      </c>
      <c r="W107" s="116">
        <f ca="1">IFERROR(__xludf.DUMMYFUNCTION("""COMPUTED_VALUE"""),2)</f>
        <v>2</v>
      </c>
      <c r="X107" s="116">
        <f ca="1">IFERROR(__xludf.DUMMYFUNCTION("""COMPUTED_VALUE"""),14)</f>
        <v>14</v>
      </c>
      <c r="Y107" s="116">
        <f ca="1">IFERROR(__xludf.DUMMYFUNCTION("""COMPUTED_VALUE"""),4)</f>
        <v>4</v>
      </c>
      <c r="Z107" s="12">
        <f ca="1">IFERROR(__xludf.DUMMYFUNCTION("""COMPUTED_VALUE"""),3)</f>
        <v>3</v>
      </c>
      <c r="AA107" s="12">
        <f ca="1">IFERROR(__xludf.DUMMYFUNCTION("""COMPUTED_VALUE"""),1)</f>
        <v>1</v>
      </c>
      <c r="AB107" s="12">
        <f ca="1">IFERROR(__xludf.DUMMYFUNCTION("""COMPUTED_VALUE"""),8)</f>
        <v>8</v>
      </c>
      <c r="AC107" s="12"/>
      <c r="AD107" s="12"/>
      <c r="AE107" s="12"/>
      <c r="AF107" s="12"/>
      <c r="AG107" s="13" t="str">
        <f ca="1">IFERROR(__xludf.DUMMYFUNCTION("ArrayFormula(VLOOKUP(G107, IMPORTRANGE(""https://docs.google.com/spreadsheets/d/1Co934fvtviyaRiMsrIlT05Jaq7iiYq07aLvRr35KA48/edit?gid=173865642#gid=173865642"", ""'G7_Sci_Pri_LU'!G2:V2000""), {3, 4, 5, 6, 7, 8, 9, 10, 11, 12, 13, 14, 15, 16}, 0))"),"LU005350")</f>
        <v>LU005350</v>
      </c>
      <c r="AH107" s="13" t="str">
        <f ca="1">IFERROR(__xludf.DUMMYFUNCTION("""COMPUTED_VALUE"""),"Working principle and purpose of Electric fuse and MCB")</f>
        <v>Working principle and purpose of Electric fuse and MCB</v>
      </c>
      <c r="AI107" s="13" t="str">
        <f ca="1">IFERROR(__xludf.DUMMYFUNCTION("""COMPUTED_VALUE"""),"LU005343")</f>
        <v>LU005343</v>
      </c>
      <c r="AJ107" s="13" t="str">
        <f ca="1">IFERROR(__xludf.DUMMYFUNCTION("""COMPUTED_VALUE"""),"Basic concept of Heating effect of electric current")</f>
        <v>Basic concept of Heating effect of electric current</v>
      </c>
      <c r="AK107" s="13" t="str">
        <f ca="1">IFERROR(__xludf.DUMMYFUNCTION("""COMPUTED_VALUE"""),"LU005914")</f>
        <v>LU005914</v>
      </c>
      <c r="AL107" s="13" t="str">
        <f ca="1">IFERROR(__xludf.DUMMYFUNCTION("""COMPUTED_VALUE"""),"Electrical Safety and Hazard Awareness")</f>
        <v>Electrical Safety and Hazard Awareness</v>
      </c>
      <c r="AM107" s="13"/>
      <c r="AN107" s="13"/>
      <c r="AO107" s="13"/>
      <c r="AP107" s="13"/>
      <c r="AQ107" s="13"/>
      <c r="AR107" s="13"/>
      <c r="AS107" s="13"/>
      <c r="AT107" s="13"/>
    </row>
    <row r="108" spans="1:46">
      <c r="A108" s="8" t="s">
        <v>247</v>
      </c>
      <c r="B108" s="8" t="s">
        <v>47</v>
      </c>
      <c r="C108" s="8" t="s">
        <v>416</v>
      </c>
      <c r="D108" s="8" t="s">
        <v>1510</v>
      </c>
      <c r="E108" s="8" t="s">
        <v>1958</v>
      </c>
      <c r="F108" s="8" t="s">
        <v>1969</v>
      </c>
      <c r="G108" s="8" t="s">
        <v>1970</v>
      </c>
      <c r="H108" s="8" t="str">
        <f ca="1">IFERROR(__xludf.DUMMYFUNCTION("VLOOKUP(G108, IMPORTRANGE(""https://docs.google.com/spreadsheets/d/14deopnvwcrKtEGCKuYXdUHJbeLDZlkiSSWWT0g7x2pM/edit#gid=849066331"", ""LU List Science (Filter)!A:B""), 2, FALSE)"),"Basic concept of magnetic effect of electric current")</f>
        <v>Basic concept of magnetic effect of electric current</v>
      </c>
      <c r="I108" s="10" t="str">
        <f t="shared" si="0"/>
        <v>LU005344.001</v>
      </c>
      <c r="J108" s="10" t="str">
        <f ca="1">IFERROR(__xludf.DUMMYFUNCTION("VLOOKUP(I108, IMPORTRANGE(""https://docs.google.com/spreadsheets/d/1yDAaXNsi4Mr5FtRQL4tbmSdIzhx6_m4wkOD7IG-k_eo/edit#gid=1336395716"", ""Science!M:N""), 2, FALSE)"),"Identify objects in everyday life that use the magnetic effect of electric current.")</f>
        <v>Identify objects in everyday life that use the magnetic effect of electric current.</v>
      </c>
      <c r="K108" s="10" t="str">
        <f t="shared" si="1"/>
        <v>LU005344.002</v>
      </c>
      <c r="L108" s="10" t="str">
        <f ca="1">IFERROR(__xludf.DUMMYFUNCTION("VLOOKUP(K108, IMPORTRANGE(""https://docs.google.com/spreadsheets/d/1yDAaXNsi4Mr5FtRQL4tbmSdIzhx6_m4wkOD7IG-k_eo/edit#gid=1336395716"", ""Science!M:N""), 2, FALSE)"),"Describe the magnetic effect of electric current.")</f>
        <v>Describe the magnetic effect of electric current.</v>
      </c>
      <c r="M108" s="10" t="str">
        <f t="shared" si="2"/>
        <v>LU005344.003</v>
      </c>
      <c r="N108" s="10" t="str">
        <f ca="1">IFERROR(__xludf.DUMMYFUNCTION("VLOOKUP(M108, IMPORTRANGE(""https://docs.google.com/spreadsheets/d/1yDAaXNsi4Mr5FtRQL4tbmSdIzhx6_m4wkOD7IG-k_eo/edit#gid=1336395716"", ""Science!M:N""), 2, FALSE)"),"Demonstrate an experiment to investigate the magnetic effect of electric current.")</f>
        <v>Demonstrate an experiment to investigate the magnetic effect of electric current.</v>
      </c>
      <c r="O108" s="10" t="str">
        <f t="shared" si="3"/>
        <v>LU005344.004</v>
      </c>
      <c r="P108" s="10" t="str">
        <f ca="1">IFERROR(__xludf.DUMMYFUNCTION("VLOOKUP(O108, IMPORTRANGE(""https://docs.google.com/spreadsheets/d/1yDAaXNsi4Mr5FtRQL4tbmSdIzhx6_m4wkOD7IG-k_eo/edit#gid=1336395716"", ""Science!M:N""), 2, FALSE)"),"""Compare the magnetic effects of electric current in different circuits to study the factors it depends on.""")</f>
        <v>"Compare the magnetic effects of electric current in different circuits to study the factors it depends on."</v>
      </c>
      <c r="Q108" s="10" t="str">
        <f t="shared" si="4"/>
        <v>LU005344.005</v>
      </c>
      <c r="R108" s="10" t="str">
        <f ca="1">IFERROR(__xludf.DUMMYFUNCTION("VLOOKUP(Q108, IMPORTRANGE(""https://docs.google.com/spreadsheets/d/1yDAaXNsi4Mr5FtRQL4tbmSdIzhx6_m4wkOD7IG-k_eo/edit#gid=1336395716"", ""Science!M:N""), 2, FALSE)"),"#N/A")</f>
        <v>#N/A</v>
      </c>
      <c r="S108" s="10" t="str">
        <f t="shared" si="5"/>
        <v>LU005344.006</v>
      </c>
      <c r="T108" s="10" t="str">
        <f ca="1">IFERROR(__xludf.DUMMYFUNCTION("VLOOKUP(S108, IMPORTRANGE(""https://docs.google.com/spreadsheets/d/1yDAaXNsi4Mr5FtRQL4tbmSdIzhx6_m4wkOD7IG-k_eo/edit#gid=1336395716"", ""Science!M:N""), 2, FALSE)"),"#N/A")</f>
        <v>#N/A</v>
      </c>
      <c r="U108" s="116">
        <f ca="1">IFERROR(__xludf.DUMMYFUNCTION("ArrayFormula(VLOOKUP(G108, IMPORTRANGE(""https://docs.google.com/spreadsheets/d/1p7R4vtkWt5VOBim4ltsDG9KTzSjrtKXsMtQGXPHyND0/edit#gid=795171502"", ""'Filter 30_05_2024'!A1:M2000""), {2, 3, 4, 5,6,7,8,9,10,11,12,13}, 0))"),6)</f>
        <v>6</v>
      </c>
      <c r="V108" s="116">
        <f ca="1">IFERROR(__xludf.DUMMYFUNCTION("""COMPUTED_VALUE"""),10)</f>
        <v>10</v>
      </c>
      <c r="W108" s="116">
        <f ca="1">IFERROR(__xludf.DUMMYFUNCTION("""COMPUTED_VALUE"""),14)</f>
        <v>14</v>
      </c>
      <c r="X108" s="116">
        <f ca="1">IFERROR(__xludf.DUMMYFUNCTION("""COMPUTED_VALUE"""),30)</f>
        <v>30</v>
      </c>
      <c r="Y108" s="116">
        <f ca="1">IFERROR(__xludf.DUMMYFUNCTION("""COMPUTED_VALUE"""),6)</f>
        <v>6</v>
      </c>
      <c r="Z108" s="12">
        <f ca="1">IFERROR(__xludf.DUMMYFUNCTION("""COMPUTED_VALUE"""),3)</f>
        <v>3</v>
      </c>
      <c r="AA108" s="12">
        <f ca="1">IFERROR(__xludf.DUMMYFUNCTION("""COMPUTED_VALUE"""),2)</f>
        <v>2</v>
      </c>
      <c r="AB108" s="12">
        <f ca="1">IFERROR(__xludf.DUMMYFUNCTION("""COMPUTED_VALUE"""),11)</f>
        <v>11</v>
      </c>
      <c r="AC108" s="12"/>
      <c r="AD108" s="12"/>
      <c r="AE108" s="12"/>
      <c r="AF108" s="12"/>
      <c r="AG108" s="13" t="str">
        <f ca="1">IFERROR(__xludf.DUMMYFUNCTION("ArrayFormula(VLOOKUP(G108, IMPORTRANGE(""https://docs.google.com/spreadsheets/d/1Co934fvtviyaRiMsrIlT05Jaq7iiYq07aLvRr35KA48/edit?gid=173865642#gid=173865642"", ""'G7_Sci_Pri_LU'!G2:V2000""), {3, 4, 5, 6, 7, 8, 9, 10, 11, 12, 13, 14, 15, 16}, 0))"),"LU005153")</f>
        <v>LU005153</v>
      </c>
      <c r="AH108" s="13" t="str">
        <f ca="1">IFERROR(__xludf.DUMMYFUNCTION("""COMPUTED_VALUE"""),"Description of electric circuit and flow of current through it")</f>
        <v>Description of electric circuit and flow of current through it</v>
      </c>
      <c r="AI108" s="13" t="str">
        <f ca="1">IFERROR(__xludf.DUMMYFUNCTION("""COMPUTED_VALUE"""),"LU005160")</f>
        <v>LU005160</v>
      </c>
      <c r="AJ108" s="13" t="str">
        <f ca="1">IFERROR(__xludf.DUMMYFUNCTION("""COMPUTED_VALUE"""),"Lexical explanation of Permanent and temporary magnet")</f>
        <v>Lexical explanation of Permanent and temporary magnet</v>
      </c>
      <c r="AK108" s="13"/>
      <c r="AL108" s="13"/>
      <c r="AM108" s="13"/>
      <c r="AN108" s="13"/>
      <c r="AO108" s="13"/>
      <c r="AP108" s="13"/>
      <c r="AQ108" s="13"/>
      <c r="AR108" s="13"/>
      <c r="AS108" s="13"/>
      <c r="AT108" s="13"/>
    </row>
    <row r="109" spans="1:46">
      <c r="A109" s="8" t="s">
        <v>247</v>
      </c>
      <c r="B109" s="8" t="s">
        <v>47</v>
      </c>
      <c r="C109" s="8" t="s">
        <v>416</v>
      </c>
      <c r="D109" s="8" t="s">
        <v>1510</v>
      </c>
      <c r="E109" s="8" t="s">
        <v>1958</v>
      </c>
      <c r="F109" s="8" t="s">
        <v>1971</v>
      </c>
      <c r="G109" s="8" t="s">
        <v>1972</v>
      </c>
      <c r="H109" s="8" t="str">
        <f ca="1">IFERROR(__xludf.DUMMYFUNCTION("VLOOKUP(G109, IMPORTRANGE(""https://docs.google.com/spreadsheets/d/14deopnvwcrKtEGCKuYXdUHJbeLDZlkiSSWWT0g7x2pM/edit#gid=849066331"", ""LU List Science (Filter)!A:B""), 2, FALSE)"),"Making an electromagnet")</f>
        <v>Making an electromagnet</v>
      </c>
      <c r="I109" s="10" t="str">
        <f t="shared" si="0"/>
        <v>LU005347.001</v>
      </c>
      <c r="J109" s="10" t="str">
        <f ca="1">IFERROR(__xludf.DUMMYFUNCTION("VLOOKUP(I109, IMPORTRANGE(""https://docs.google.com/spreadsheets/d/1yDAaXNsi4Mr5FtRQL4tbmSdIzhx6_m4wkOD7IG-k_eo/edit#gid=1336395716"", ""Science!M:N""), 2, FALSE)"),"Define an electromagnet. ")</f>
        <v xml:space="preserve">Define an electromagnet. </v>
      </c>
      <c r="K109" s="10" t="str">
        <f t="shared" si="1"/>
        <v>LU005347.002</v>
      </c>
      <c r="L109" s="10" t="str">
        <f ca="1">IFERROR(__xludf.DUMMYFUNCTION("VLOOKUP(K109, IMPORTRANGE(""https://docs.google.com/spreadsheets/d/1yDAaXNsi4Mr5FtRQL4tbmSdIzhx6_m4wkOD7IG-k_eo/edit#gid=1336395716"", ""Science!M:N""), 2, FALSE)"),"Explain the difference between an electromagnet and a permanent magnet")</f>
        <v>Explain the difference between an electromagnet and a permanent magnet</v>
      </c>
      <c r="M109" s="10" t="str">
        <f t="shared" si="2"/>
        <v>LU005347.003</v>
      </c>
      <c r="N109" s="10" t="str">
        <f ca="1">IFERROR(__xludf.DUMMYFUNCTION("VLOOKUP(M109, IMPORTRANGE(""https://docs.google.com/spreadsheets/d/1yDAaXNsi4Mr5FtRQL4tbmSdIzhx6_m4wkOD7IG-k_eo/edit#gid=1336395716"", ""Science!M:N""), 2, FALSE)"),"Make a working electromagnet.")</f>
        <v>Make a working electromagnet.</v>
      </c>
      <c r="O109" s="10" t="str">
        <f t="shared" si="3"/>
        <v>LU005347.004</v>
      </c>
      <c r="P109" s="10" t="str">
        <f ca="1">IFERROR(__xludf.DUMMYFUNCTION("VLOOKUP(O109, IMPORTRANGE(""https://docs.google.com/spreadsheets/d/1yDAaXNsi4Mr5FtRQL4tbmSdIzhx6_m4wkOD7IG-k_eo/edit#gid=1336395716"", ""Science!M:N""), 2, FALSE)"),"Analyse the factors affecting the strength of an electromagnet.")</f>
        <v>Analyse the factors affecting the strength of an electromagnet.</v>
      </c>
      <c r="Q109" s="10" t="str">
        <f t="shared" si="4"/>
        <v>LU005347.005</v>
      </c>
      <c r="R109" s="10" t="str">
        <f ca="1">IFERROR(__xludf.DUMMYFUNCTION("VLOOKUP(Q109, IMPORTRANGE(""https://docs.google.com/spreadsheets/d/1yDAaXNsi4Mr5FtRQL4tbmSdIzhx6_m4wkOD7IG-k_eo/edit#gid=1336395716"", ""Science!M:N""), 2, FALSE)"),"#N/A")</f>
        <v>#N/A</v>
      </c>
      <c r="S109" s="10" t="str">
        <f t="shared" si="5"/>
        <v>LU005347.006</v>
      </c>
      <c r="T109" s="10" t="str">
        <f ca="1">IFERROR(__xludf.DUMMYFUNCTION("VLOOKUP(S109, IMPORTRANGE(""https://docs.google.com/spreadsheets/d/1yDAaXNsi4Mr5FtRQL4tbmSdIzhx6_m4wkOD7IG-k_eo/edit#gid=1336395716"", ""Science!M:N""), 2, FALSE)"),"Design an experiment to investigate the factors that affect the strength of an electromagnet.")</f>
        <v>Design an experiment to investigate the factors that affect the strength of an electromagnet.</v>
      </c>
      <c r="U109" s="116">
        <f ca="1">IFERROR(__xludf.DUMMYFUNCTION("ArrayFormula(VLOOKUP(G109, IMPORTRANGE(""https://docs.google.com/spreadsheets/d/1p7R4vtkWt5VOBim4ltsDG9KTzSjrtKXsMtQGXPHyND0/edit#gid=795171502"", ""'Filter 30_05_2024'!A1:M2000""), {2, 3, 4, 5,6,7,8,9,10,11,12,13}, 0))"),4)</f>
        <v>4</v>
      </c>
      <c r="V109" s="116">
        <f ca="1">IFERROR(__xludf.DUMMYFUNCTION("""COMPUTED_VALUE"""),6)</f>
        <v>6</v>
      </c>
      <c r="W109" s="116">
        <f ca="1">IFERROR(__xludf.DUMMYFUNCTION("""COMPUTED_VALUE"""),2)</f>
        <v>2</v>
      </c>
      <c r="X109" s="116">
        <f ca="1">IFERROR(__xludf.DUMMYFUNCTION("""COMPUTED_VALUE"""),12)</f>
        <v>12</v>
      </c>
      <c r="Y109" s="116">
        <f ca="1">IFERROR(__xludf.DUMMYFUNCTION("""COMPUTED_VALUE"""),4)</f>
        <v>4</v>
      </c>
      <c r="Z109" s="12">
        <f ca="1">IFERROR(__xludf.DUMMYFUNCTION("""COMPUTED_VALUE"""),3)</f>
        <v>3</v>
      </c>
      <c r="AA109" s="12">
        <f ca="1">IFERROR(__xludf.DUMMYFUNCTION("""COMPUTED_VALUE"""),1)</f>
        <v>1</v>
      </c>
      <c r="AB109" s="12">
        <f ca="1">IFERROR(__xludf.DUMMYFUNCTION("""COMPUTED_VALUE"""),8)</f>
        <v>8</v>
      </c>
      <c r="AC109" s="12"/>
      <c r="AD109" s="12"/>
      <c r="AE109" s="12"/>
      <c r="AF109" s="12"/>
      <c r="AG109" s="13" t="str">
        <f ca="1">IFERROR(__xludf.DUMMYFUNCTION("ArrayFormula(VLOOKUP(G109, IMPORTRANGE(""https://docs.google.com/spreadsheets/d/1Co934fvtviyaRiMsrIlT05Jaq7iiYq07aLvRr35KA48/edit?gid=173865642#gid=173865642"", ""'G7_Sci_Pri_LU'!G2:V2000""), {3, 4, 5, 6, 7, 8, 9, 10, 11, 12, 13, 14, 15, 16}, 0))"),"LU005344")</f>
        <v>LU005344</v>
      </c>
      <c r="AH109" s="13" t="str">
        <f ca="1">IFERROR(__xludf.DUMMYFUNCTION("""COMPUTED_VALUE"""),"Basic concept of magnetic effect of electric current")</f>
        <v>Basic concept of magnetic effect of electric current</v>
      </c>
      <c r="AI109" s="13" t="str">
        <f ca="1">IFERROR(__xludf.DUMMYFUNCTION("""COMPUTED_VALUE"""),"LU005153")</f>
        <v>LU005153</v>
      </c>
      <c r="AJ109" s="13" t="str">
        <f ca="1">IFERROR(__xludf.DUMMYFUNCTION("""COMPUTED_VALUE"""),"Description of electric circuit and flow of current through it")</f>
        <v>Description of electric circuit and flow of current through it</v>
      </c>
      <c r="AK109" s="13" t="str">
        <f ca="1">IFERROR(__xludf.DUMMYFUNCTION("""COMPUTED_VALUE"""),"LU005152")</f>
        <v>LU005152</v>
      </c>
      <c r="AL109" s="13" t="str">
        <f ca="1">IFERROR(__xludf.DUMMYFUNCTION("""COMPUTED_VALUE"""),"Electric Conductors and Insulators: Definition and Application")</f>
        <v>Electric Conductors and Insulators: Definition and Application</v>
      </c>
      <c r="AM109" s="13"/>
      <c r="AN109" s="13"/>
      <c r="AO109" s="13"/>
      <c r="AP109" s="13"/>
      <c r="AQ109" s="13"/>
      <c r="AR109" s="13"/>
      <c r="AS109" s="13"/>
      <c r="AT109" s="13"/>
    </row>
    <row r="110" spans="1:46">
      <c r="A110" s="8" t="s">
        <v>247</v>
      </c>
      <c r="B110" s="8" t="s">
        <v>47</v>
      </c>
      <c r="C110" s="8" t="s">
        <v>416</v>
      </c>
      <c r="D110" s="8" t="s">
        <v>1510</v>
      </c>
      <c r="E110" s="8" t="s">
        <v>1958</v>
      </c>
      <c r="F110" s="8" t="s">
        <v>1971</v>
      </c>
      <c r="G110" s="8" t="s">
        <v>1973</v>
      </c>
      <c r="H110" s="8" t="str">
        <f ca="1">IFERROR(__xludf.DUMMYFUNCTION("VLOOKUP(G110, IMPORTRANGE(""https://docs.google.com/spreadsheets/d/14deopnvwcrKtEGCKuYXdUHJbeLDZlkiSSWWT0g7x2pM/edit#gid=849066331"", ""LU List Science (Filter)!A:B""), 2, FALSE)"),"Working of Electric bell")</f>
        <v>Working of Electric bell</v>
      </c>
      <c r="I110" s="10" t="str">
        <f t="shared" si="0"/>
        <v>LU005349.001</v>
      </c>
      <c r="J110" s="10" t="str">
        <f ca="1">IFERROR(__xludf.DUMMYFUNCTION("VLOOKUP(I110, IMPORTRANGE(""https://docs.google.com/spreadsheets/d/1yDAaXNsi4Mr5FtRQL4tbmSdIzhx6_m4wkOD7IG-k_eo/edit#gid=1336395716"", ""Science!M:N""), 2, FALSE)"),"List the essential component of electric circuit of electric bell.")</f>
        <v>List the essential component of electric circuit of electric bell.</v>
      </c>
      <c r="K110" s="10" t="str">
        <f t="shared" si="1"/>
        <v>LU005349.002</v>
      </c>
      <c r="L110" s="10" t="str">
        <f ca="1">IFERROR(__xludf.DUMMYFUNCTION("VLOOKUP(K110, IMPORTRANGE(""https://docs.google.com/spreadsheets/d/1yDAaXNsi4Mr5FtRQL4tbmSdIzhx6_m4wkOD7IG-k_eo/edit#gid=1336395716"", ""Science!M:N""), 2, FALSE)"),"Describe the working principle of an electric bell.")</f>
        <v>Describe the working principle of an electric bell.</v>
      </c>
      <c r="M110" s="10" t="str">
        <f t="shared" si="2"/>
        <v>LU005349.003</v>
      </c>
      <c r="N110" s="10" t="str">
        <f ca="1">IFERROR(__xludf.DUMMYFUNCTION("VLOOKUP(M110, IMPORTRANGE(""https://docs.google.com/spreadsheets/d/1yDAaXNsi4Mr5FtRQL4tbmSdIzhx6_m4wkOD7IG-k_eo/edit#gid=1336395716"", ""Science!M:N""), 2, FALSE)"),"Build a simple electric bell circuit using electromagnet. ")</f>
        <v xml:space="preserve">Build a simple electric bell circuit using electromagnet. </v>
      </c>
      <c r="O110" s="10" t="str">
        <f t="shared" si="3"/>
        <v>LU005349.004</v>
      </c>
      <c r="P110" s="10" t="str">
        <f ca="1">IFERROR(__xludf.DUMMYFUNCTION("VLOOKUP(O110, IMPORTRANGE(""https://docs.google.com/spreadsheets/d/1yDAaXNsi4Mr5FtRQL4tbmSdIzhx6_m4wkOD7IG-k_eo/edit#gid=1336395716"", ""Science!M:N""), 2, FALSE)"),"Analyze the factors that affect the sound of an electric bell.")</f>
        <v>Analyze the factors that affect the sound of an electric bell.</v>
      </c>
      <c r="Q110" s="10" t="str">
        <f t="shared" si="4"/>
        <v>LU005349.005</v>
      </c>
      <c r="R110" s="10" t="str">
        <f ca="1">IFERROR(__xludf.DUMMYFUNCTION("VLOOKUP(Q110, IMPORTRANGE(""https://docs.google.com/spreadsheets/d/1yDAaXNsi4Mr5FtRQL4tbmSdIzhx6_m4wkOD7IG-k_eo/edit#gid=1336395716"", ""Science!M:N""), 2, FALSE)"),"Suggest improvements to the design of an electric bell.")</f>
        <v>Suggest improvements to the design of an electric bell.</v>
      </c>
      <c r="S110" s="10" t="str">
        <f t="shared" si="5"/>
        <v>LU005349.006</v>
      </c>
      <c r="T110" s="10" t="str">
        <f ca="1">IFERROR(__xludf.DUMMYFUNCTION("VLOOKUP(S110, IMPORTRANGE(""https://docs.google.com/spreadsheets/d/1yDAaXNsi4Mr5FtRQL4tbmSdIzhx6_m4wkOD7IG-k_eo/edit#gid=1336395716"", ""Science!M:N""), 2, FALSE)"),"Design a new type of electric bell with improved features.")</f>
        <v>Design a new type of electric bell with improved features.</v>
      </c>
      <c r="U110" s="116">
        <f ca="1">IFERROR(__xludf.DUMMYFUNCTION("ArrayFormula(VLOOKUP(G110, IMPORTRANGE(""https://docs.google.com/spreadsheets/d/1p7R4vtkWt5VOBim4ltsDG9KTzSjrtKXsMtQGXPHyND0/edit#gid=795171502"", ""'Filter 30_05_2024'!A1:M2000""), {2, 3, 4, 5,6,7,8,9,10,11,12,13}, 0))"),4)</f>
        <v>4</v>
      </c>
      <c r="V110" s="116">
        <f ca="1">IFERROR(__xludf.DUMMYFUNCTION("""COMPUTED_VALUE"""),6)</f>
        <v>6</v>
      </c>
      <c r="W110" s="116">
        <f ca="1">IFERROR(__xludf.DUMMYFUNCTION("""COMPUTED_VALUE"""),2)</f>
        <v>2</v>
      </c>
      <c r="X110" s="116">
        <f ca="1">IFERROR(__xludf.DUMMYFUNCTION("""COMPUTED_VALUE"""),12)</f>
        <v>12</v>
      </c>
      <c r="Y110" s="116">
        <f ca="1">IFERROR(__xludf.DUMMYFUNCTION("""COMPUTED_VALUE"""),4)</f>
        <v>4</v>
      </c>
      <c r="Z110" s="12">
        <f ca="1">IFERROR(__xludf.DUMMYFUNCTION("""COMPUTED_VALUE"""),3)</f>
        <v>3</v>
      </c>
      <c r="AA110" s="12">
        <f ca="1">IFERROR(__xludf.DUMMYFUNCTION("""COMPUTED_VALUE"""),1)</f>
        <v>1</v>
      </c>
      <c r="AB110" s="12">
        <f ca="1">IFERROR(__xludf.DUMMYFUNCTION("""COMPUTED_VALUE"""),8)</f>
        <v>8</v>
      </c>
      <c r="AC110" s="12"/>
      <c r="AD110" s="12"/>
      <c r="AE110" s="12"/>
      <c r="AF110" s="12"/>
      <c r="AG110" s="13" t="str">
        <f ca="1">IFERROR(__xludf.DUMMYFUNCTION("ArrayFormula(VLOOKUP(G110, IMPORTRANGE(""https://docs.google.com/spreadsheets/d/1Co934fvtviyaRiMsrIlT05Jaq7iiYq07aLvRr35KA48/edit?gid=173865642#gid=173865642"", ""'G7_Sci_Pri_LU'!G2:V2000""), {3, 4, 5, 6, 7, 8, 9, 10, 11, 12, 13, 14, 15, 16}, 0))"),"LU005347")</f>
        <v>LU005347</v>
      </c>
      <c r="AH110" s="13" t="str">
        <f ca="1">IFERROR(__xludf.DUMMYFUNCTION("""COMPUTED_VALUE"""),"Making an electromagnet")</f>
        <v>Making an electromagnet</v>
      </c>
      <c r="AI110" s="13" t="str">
        <f ca="1">IFERROR(__xludf.DUMMYFUNCTION("""COMPUTED_VALUE"""),"LU005344")</f>
        <v>LU005344</v>
      </c>
      <c r="AJ110" s="13" t="str">
        <f ca="1">IFERROR(__xludf.DUMMYFUNCTION("""COMPUTED_VALUE"""),"Basic concept of magnetic effect of electric current")</f>
        <v>Basic concept of magnetic effect of electric current</v>
      </c>
      <c r="AK110" s="13" t="str">
        <f ca="1">IFERROR(__xludf.DUMMYFUNCTION("""COMPUTED_VALUE"""),"LU005152")</f>
        <v>LU005152</v>
      </c>
      <c r="AL110" s="13" t="str">
        <f ca="1">IFERROR(__xludf.DUMMYFUNCTION("""COMPUTED_VALUE"""),"Electric Conductors and Insulators: Definition and Application")</f>
        <v>Electric Conductors and Insulators: Definition and Application</v>
      </c>
      <c r="AM110" s="13"/>
      <c r="AN110" s="13"/>
      <c r="AO110" s="13"/>
      <c r="AP110" s="13"/>
      <c r="AQ110" s="13"/>
      <c r="AR110" s="13"/>
      <c r="AS110" s="13"/>
      <c r="AT110" s="13"/>
    </row>
    <row r="111" spans="1:46">
      <c r="A111" s="8" t="s">
        <v>247</v>
      </c>
      <c r="B111" s="8" t="s">
        <v>47</v>
      </c>
      <c r="C111" s="8" t="s">
        <v>416</v>
      </c>
      <c r="D111" s="8" t="s">
        <v>1510</v>
      </c>
      <c r="E111" s="8" t="s">
        <v>1974</v>
      </c>
      <c r="F111" s="8" t="s">
        <v>1975</v>
      </c>
      <c r="G111" s="8" t="s">
        <v>1976</v>
      </c>
      <c r="H111" s="8" t="str">
        <f ca="1">IFERROR(__xludf.DUMMYFUNCTION("VLOOKUP(G111, IMPORTRANGE(""https://docs.google.com/spreadsheets/d/14deopnvwcrKtEGCKuYXdUHJbeLDZlkiSSWWT0g7x2pM/edit#gid=849066331"", ""LU List Science (Filter)!A:B""), 2, FALSE)"),"Definition of mirrors")</f>
        <v>Definition of mirrors</v>
      </c>
      <c r="I111" s="10" t="str">
        <f t="shared" si="0"/>
        <v>LU005369.001</v>
      </c>
      <c r="J111" s="10" t="str">
        <f ca="1">IFERROR(__xludf.DUMMYFUNCTION("VLOOKUP(I111, IMPORTRANGE(""https://docs.google.com/spreadsheets/d/1yDAaXNsi4Mr5FtRQL4tbmSdIzhx6_m4wkOD7IG-k_eo/edit#gid=1336395716"", ""Science!M:N""), 2, FALSE)"),"Identify and describe the types of mirrors and their basic properties.")</f>
        <v>Identify and describe the types of mirrors and their basic properties.</v>
      </c>
      <c r="K111" s="10" t="str">
        <f t="shared" si="1"/>
        <v>LU005369.002</v>
      </c>
      <c r="L111" s="10" t="str">
        <f ca="1">IFERROR(__xludf.DUMMYFUNCTION("VLOOKUP(K111, IMPORTRANGE(""https://docs.google.com/spreadsheets/d/1yDAaXNsi4Mr5FtRQL4tbmSdIzhx6_m4wkOD7IG-k_eo/edit#gid=1336395716"", ""Science!M:N""), 2, FALSE)"),"Explain how mirrors reflect light and form images.")</f>
        <v>Explain how mirrors reflect light and form images.</v>
      </c>
      <c r="M111" s="10" t="str">
        <f t="shared" si="2"/>
        <v>LU005369.003</v>
      </c>
      <c r="N111" s="10" t="str">
        <f ca="1">IFERROR(__xludf.DUMMYFUNCTION("VLOOKUP(M111, IMPORTRANGE(""https://docs.google.com/spreadsheets/d/1yDAaXNsi4Mr5FtRQL4tbmSdIzhx6_m4wkOD7IG-k_eo/edit#gid=1336395716"", ""Science!M:N""), 2, FALSE)"),"Apply the concepts of reflection in each type of mirrors to solve simple problems or to illustrate real-world applications.")</f>
        <v>Apply the concepts of reflection in each type of mirrors to solve simple problems or to illustrate real-world applications.</v>
      </c>
      <c r="O111" s="10" t="str">
        <f t="shared" si="3"/>
        <v>LU005369.004</v>
      </c>
      <c r="P111" s="10" t="str">
        <f ca="1">IFERROR(__xludf.DUMMYFUNCTION("VLOOKUP(O111, IMPORTRANGE(""https://docs.google.com/spreadsheets/d/1yDAaXNsi4Mr5FtRQL4tbmSdIzhx6_m4wkOD7IG-k_eo/edit#gid=1336395716"", ""Science!M:N""), 2, FALSE)"),"Analyze the differences in image formation between concave, convex, and plane mirrors.")</f>
        <v>Analyze the differences in image formation between concave, convex, and plane mirrors.</v>
      </c>
      <c r="Q111" s="10" t="str">
        <f t="shared" si="4"/>
        <v>LU005369.005</v>
      </c>
      <c r="R111" s="10" t="str">
        <f ca="1">IFERROR(__xludf.DUMMYFUNCTION("VLOOKUP(Q111, IMPORTRANGE(""https://docs.google.com/spreadsheets/d/1yDAaXNsi4Mr5FtRQL4tbmSdIzhx6_m4wkOD7IG-k_eo/edit#gid=1336395716"", ""Science!M:N""), 2, FALSE)"),"Evaluate the effectiveness of different types of mirrors in various applications, such as telescopes, vehicles, or decorative purposes.")</f>
        <v>Evaluate the effectiveness of different types of mirrors in various applications, such as telescopes, vehicles, or decorative purposes.</v>
      </c>
      <c r="S111" s="10" t="str">
        <f t="shared" si="5"/>
        <v>LU005369.006</v>
      </c>
      <c r="T111" s="10" t="str">
        <f ca="1">IFERROR(__xludf.DUMMYFUNCTION("VLOOKUP(S111, IMPORTRANGE(""https://docs.google.com/spreadsheets/d/1yDAaXNsi4Mr5FtRQL4tbmSdIzhx6_m4wkOD7IG-k_eo/edit#gid=1336395716"", ""Science!M:N""), 2, FALSE)"),"Design a simple experiment or model to demonstrate the principles of light reflection in mirrors.")</f>
        <v>Design a simple experiment or model to demonstrate the principles of light reflection in mirrors.</v>
      </c>
      <c r="U111" s="116">
        <f ca="1">IFERROR(__xludf.DUMMYFUNCTION("ArrayFormula(VLOOKUP(G111, IMPORTRANGE(""https://docs.google.com/spreadsheets/d/1p7R4vtkWt5VOBim4ltsDG9KTzSjrtKXsMtQGXPHyND0/edit#gid=795171502"", ""'Filter 30_05_2024'!A1:M2000""), {2, 3, 4, 5,6,7,8,9,10,11,12,13}, 0))"),5)</f>
        <v>5</v>
      </c>
      <c r="V111" s="116">
        <f ca="1">IFERROR(__xludf.DUMMYFUNCTION("""COMPUTED_VALUE"""),14)</f>
        <v>14</v>
      </c>
      <c r="W111" s="116">
        <f ca="1">IFERROR(__xludf.DUMMYFUNCTION("""COMPUTED_VALUE"""),7)</f>
        <v>7</v>
      </c>
      <c r="X111" s="116">
        <f ca="1">IFERROR(__xludf.DUMMYFUNCTION("""COMPUTED_VALUE"""),26)</f>
        <v>26</v>
      </c>
      <c r="Y111" s="116">
        <f ca="1">IFERROR(__xludf.DUMMYFUNCTION("""COMPUTED_VALUE"""),4)</f>
        <v>4</v>
      </c>
      <c r="Z111" s="12">
        <f ca="1">IFERROR(__xludf.DUMMYFUNCTION("""COMPUTED_VALUE"""),3)</f>
        <v>3</v>
      </c>
      <c r="AA111" s="12">
        <f ca="1">IFERROR(__xludf.DUMMYFUNCTION("""COMPUTED_VALUE"""),5)</f>
        <v>5</v>
      </c>
      <c r="AB111" s="12">
        <f ca="1">IFERROR(__xludf.DUMMYFUNCTION("""COMPUTED_VALUE"""),12)</f>
        <v>12</v>
      </c>
      <c r="AC111" s="12"/>
      <c r="AD111" s="12"/>
      <c r="AE111" s="12"/>
      <c r="AF111" s="12"/>
      <c r="AG111" s="13" t="str">
        <f ca="1">IFERROR(__xludf.DUMMYFUNCTION("ArrayFormula(VLOOKUP(G111, IMPORTRANGE(""https://docs.google.com/spreadsheets/d/1Co934fvtviyaRiMsrIlT05Jaq7iiYq07aLvRr35KA48/edit?gid=173865642#gid=173865642"", ""'G7_Sci_Pri_LU'!G2:V2000""), {3, 4, 5, 6, 7, 8, 9, 10, 11, 12, 13, 14, 15, 16}, 0))"),"LU005838")</f>
        <v>LU005838</v>
      </c>
      <c r="AH111" s="13" t="str">
        <f ca="1">IFERROR(__xludf.DUMMYFUNCTION("""COMPUTED_VALUE"""),"Definition of Reflection of Light")</f>
        <v>Definition of Reflection of Light</v>
      </c>
      <c r="AI111" s="13"/>
      <c r="AJ111" s="13"/>
      <c r="AK111" s="13"/>
      <c r="AL111" s="13"/>
      <c r="AM111" s="13"/>
      <c r="AN111" s="13"/>
      <c r="AO111" s="13"/>
      <c r="AP111" s="13"/>
      <c r="AQ111" s="13"/>
      <c r="AR111" s="13"/>
      <c r="AS111" s="13"/>
      <c r="AT111" s="13"/>
    </row>
    <row r="112" spans="1:46">
      <c r="A112" s="8" t="s">
        <v>247</v>
      </c>
      <c r="B112" s="8" t="s">
        <v>47</v>
      </c>
      <c r="C112" s="8" t="s">
        <v>416</v>
      </c>
      <c r="D112" s="8" t="s">
        <v>1510</v>
      </c>
      <c r="E112" s="8" t="s">
        <v>1974</v>
      </c>
      <c r="F112" s="8" t="s">
        <v>1975</v>
      </c>
      <c r="G112" s="8" t="s">
        <v>1977</v>
      </c>
      <c r="H112" s="8" t="str">
        <f ca="1">IFERROR(__xludf.DUMMYFUNCTION("VLOOKUP(G112, IMPORTRANGE(""https://docs.google.com/spreadsheets/d/14deopnvwcrKtEGCKuYXdUHJbeLDZlkiSSWWT0g7x2pM/edit#gid=849066331"", ""LU List Science (Filter)!A:B""), 2, FALSE)"),"Types of images")</f>
        <v>Types of images</v>
      </c>
      <c r="I112" s="10" t="str">
        <f t="shared" si="0"/>
        <v>LU005374.001</v>
      </c>
      <c r="J112" s="10" t="str">
        <f ca="1">IFERROR(__xludf.DUMMYFUNCTION("VLOOKUP(I112, IMPORTRANGE(""https://docs.google.com/spreadsheets/d/1yDAaXNsi4Mr5FtRQL4tbmSdIzhx6_m4wkOD7IG-k_eo/edit#gid=1336395716"", ""Science!M:N""), 2, FALSE)"),"State the definition of real and virtual images. ")</f>
        <v xml:space="preserve">State the definition of real and virtual images. </v>
      </c>
      <c r="K112" s="10" t="str">
        <f t="shared" si="1"/>
        <v>LU005374.002</v>
      </c>
      <c r="L112" s="10" t="str">
        <f ca="1">IFERROR(__xludf.DUMMYFUNCTION("VLOOKUP(K112, IMPORTRANGE(""https://docs.google.com/spreadsheets/d/1yDAaXNsi4Mr5FtRQL4tbmSdIzhx6_m4wkOD7IG-k_eo/edit#gid=1336395716"", ""Science!M:N""), 2, FALSE)"),"Explain the differences between real and virtual images, as well as the concepts of erect and inverted images.")</f>
        <v>Explain the differences between real and virtual images, as well as the concepts of erect and inverted images.</v>
      </c>
      <c r="M112" s="10" t="str">
        <f t="shared" si="2"/>
        <v>LU005374.003</v>
      </c>
      <c r="N112" s="10" t="str">
        <f ca="1">IFERROR(__xludf.DUMMYFUNCTION("VLOOKUP(M112, IMPORTRANGE(""https://docs.google.com/spreadsheets/d/1yDAaXNsi4Mr5FtRQL4tbmSdIzhx6_m4wkOD7IG-k_eo/edit#gid=1336395716"", ""Science!M:N""), 2, FALSE)"),"Apply the concepts of real, virtual, erect, and inverted images to identify and classify images formed by different optical devices.")</f>
        <v>Apply the concepts of real, virtual, erect, and inverted images to identify and classify images formed by different optical devices.</v>
      </c>
      <c r="O112" s="10" t="str">
        <f t="shared" si="3"/>
        <v>LU005374.004</v>
      </c>
      <c r="P112" s="10" t="str">
        <f ca="1">IFERROR(__xludf.DUMMYFUNCTION("VLOOKUP(O112, IMPORTRANGE(""https://docs.google.com/spreadsheets/d/1yDAaXNsi4Mr5FtRQL4tbmSdIzhx6_m4wkOD7IG-k_eo/edit#gid=1336395716"", ""Science!M:N""), 2, FALSE)"),"Analyze the conditions under which real and virtual images are formed in different optical systems, such as mirrors and lenses.")</f>
        <v>Analyze the conditions under which real and virtual images are formed in different optical systems, such as mirrors and lenses.</v>
      </c>
      <c r="Q112" s="10" t="str">
        <f t="shared" si="4"/>
        <v>LU005374.005</v>
      </c>
      <c r="R112" s="10" t="str">
        <f ca="1">IFERROR(__xludf.DUMMYFUNCTION("VLOOKUP(Q112, IMPORTRANGE(""https://docs.google.com/spreadsheets/d/1yDAaXNsi4Mr5FtRQL4tbmSdIzhx6_m4wkOD7IG-k_eo/edit#gid=1336395716"", ""Science!M:N""), 2, FALSE)"),"#N/A")</f>
        <v>#N/A</v>
      </c>
      <c r="S112" s="10" t="str">
        <f t="shared" si="5"/>
        <v>LU005374.006</v>
      </c>
      <c r="T112" s="10" t="str">
        <f ca="1">IFERROR(__xludf.DUMMYFUNCTION("VLOOKUP(S112, IMPORTRANGE(""https://docs.google.com/spreadsheets/d/1yDAaXNsi4Mr5FtRQL4tbmSdIzhx6_m4wkOD7IG-k_eo/edit#gid=1336395716"", ""Science!M:N""), 2, FALSE)"),"Design an experiment to produce real and virtual images using appropriate optical setups.")</f>
        <v>Design an experiment to produce real and virtual images using appropriate optical setups.</v>
      </c>
      <c r="U112" s="116">
        <f ca="1">IFERROR(__xludf.DUMMYFUNCTION("ArrayFormula(VLOOKUP(G112, IMPORTRANGE(""https://docs.google.com/spreadsheets/d/1p7R4vtkWt5VOBim4ltsDG9KTzSjrtKXsMtQGXPHyND0/edit#gid=795171502"", ""'Filter 30_05_2024'!A1:M2000""), {2, 3, 4, 5,6,7,8,9,10,11,12,13}, 0))"),4)</f>
        <v>4</v>
      </c>
      <c r="V112" s="116">
        <f ca="1">IFERROR(__xludf.DUMMYFUNCTION("""COMPUTED_VALUE"""),6)</f>
        <v>6</v>
      </c>
      <c r="W112" s="116">
        <f ca="1">IFERROR(__xludf.DUMMYFUNCTION("""COMPUTED_VALUE"""),2)</f>
        <v>2</v>
      </c>
      <c r="X112" s="116">
        <f ca="1">IFERROR(__xludf.DUMMYFUNCTION("""COMPUTED_VALUE"""),12)</f>
        <v>12</v>
      </c>
      <c r="Y112" s="116">
        <f ca="1">IFERROR(__xludf.DUMMYFUNCTION("""COMPUTED_VALUE"""),4)</f>
        <v>4</v>
      </c>
      <c r="Z112" s="12">
        <f ca="1">IFERROR(__xludf.DUMMYFUNCTION("""COMPUTED_VALUE"""),3)</f>
        <v>3</v>
      </c>
      <c r="AA112" s="12">
        <f ca="1">IFERROR(__xludf.DUMMYFUNCTION("""COMPUTED_VALUE"""),1)</f>
        <v>1</v>
      </c>
      <c r="AB112" s="12">
        <f ca="1">IFERROR(__xludf.DUMMYFUNCTION("""COMPUTED_VALUE"""),8)</f>
        <v>8</v>
      </c>
      <c r="AC112" s="12"/>
      <c r="AD112" s="12"/>
      <c r="AE112" s="12"/>
      <c r="AF112" s="12"/>
      <c r="AG112" s="13" t="str">
        <f ca="1">IFERROR(__xludf.DUMMYFUNCTION("ArrayFormula(VLOOKUP(G112, IMPORTRANGE(""https://docs.google.com/spreadsheets/d/1Co934fvtviyaRiMsrIlT05Jaq7iiYq07aLvRr35KA48/edit?gid=173865642#gid=173865642"", ""'G7_Sci_Pri_LU'!G2:V2000""), {3, 4, 5, 6, 7, 8, 9, 10, 11, 12, 13, 14, 15, 16}, 0))"),"LU005838")</f>
        <v>LU005838</v>
      </c>
      <c r="AH112" s="13" t="str">
        <f ca="1">IFERROR(__xludf.DUMMYFUNCTION("""COMPUTED_VALUE"""),"Definition of Reflection of Light")</f>
        <v>Definition of Reflection of Light</v>
      </c>
      <c r="AI112" s="13"/>
      <c r="AJ112" s="13"/>
      <c r="AK112" s="13"/>
      <c r="AL112" s="13"/>
      <c r="AM112" s="13"/>
      <c r="AN112" s="13"/>
      <c r="AO112" s="13"/>
      <c r="AP112" s="13"/>
      <c r="AQ112" s="13"/>
      <c r="AR112" s="13"/>
      <c r="AS112" s="13"/>
      <c r="AT112" s="13"/>
    </row>
    <row r="113" spans="1:46">
      <c r="A113" s="8" t="s">
        <v>247</v>
      </c>
      <c r="B113" s="8" t="s">
        <v>47</v>
      </c>
      <c r="C113" s="8" t="s">
        <v>416</v>
      </c>
      <c r="D113" s="8" t="s">
        <v>1510</v>
      </c>
      <c r="E113" s="8" t="s">
        <v>1974</v>
      </c>
      <c r="F113" s="8" t="s">
        <v>1975</v>
      </c>
      <c r="G113" s="8" t="s">
        <v>1978</v>
      </c>
      <c r="H113" s="8" t="str">
        <f ca="1">IFERROR(__xludf.DUMMYFUNCTION("VLOOKUP(G113, IMPORTRANGE(""https://docs.google.com/spreadsheets/d/14deopnvwcrKtEGCKuYXdUHJbeLDZlkiSSWWT0g7x2pM/edit#gid=849066331"", ""LU List Science (Filter)!A:B""), 2, FALSE)"),"Characteristics of image formed by plane mirror")</f>
        <v>Characteristics of image formed by plane mirror</v>
      </c>
      <c r="I113" s="10" t="str">
        <f t="shared" si="0"/>
        <v>LU005367.001</v>
      </c>
      <c r="J113" s="10" t="str">
        <f ca="1">IFERROR(__xludf.DUMMYFUNCTION("VLOOKUP(I113, IMPORTRANGE(""https://docs.google.com/spreadsheets/d/1yDAaXNsi4Mr5FtRQL4tbmSdIzhx6_m4wkOD7IG-k_eo/edit#gid=1336395716"", ""Science!M:N""), 2, FALSE)"),"List/Identify the characteristics of plane mirror and image formed by it.")</f>
        <v>List/Identify the characteristics of plane mirror and image formed by it.</v>
      </c>
      <c r="K113" s="10" t="str">
        <f t="shared" si="1"/>
        <v>LU005367.002</v>
      </c>
      <c r="L113" s="10" t="str">
        <f ca="1">IFERROR(__xludf.DUMMYFUNCTION("VLOOKUP(K113, IMPORTRANGE(""https://docs.google.com/spreadsheets/d/1yDAaXNsi4Mr5FtRQL4tbmSdIzhx6_m4wkOD7IG-k_eo/edit#gid=1336395716"", ""Science!M:N""), 2, FALSE)"),"Illustrate using ray diagram why the image formed by a plane mirror is virtual, upright, and laterally inverted.")</f>
        <v>Illustrate using ray diagram why the image formed by a plane mirror is virtual, upright, and laterally inverted.</v>
      </c>
      <c r="M113" s="10" t="str">
        <f t="shared" si="2"/>
        <v>LU005367.003</v>
      </c>
      <c r="N113" s="10" t="str">
        <f ca="1">IFERROR(__xludf.DUMMYFUNCTION("VLOOKUP(M113, IMPORTRANGE(""https://docs.google.com/spreadsheets/d/1yDAaXNsi4Mr5FtRQL4tbmSdIzhx6_m4wkOD7IG-k_eo/edit#gid=1336395716"", ""Science!M:N""), 2, FALSE)"),"predict the position and orientation of an image in a plane mirror when given the position of the object.")</f>
        <v>predict the position and orientation of an image in a plane mirror when given the position of the object.</v>
      </c>
      <c r="O113" s="10" t="str">
        <f t="shared" si="3"/>
        <v>LU005367.004</v>
      </c>
      <c r="P113" s="10" t="str">
        <f ca="1">IFERROR(__xludf.DUMMYFUNCTION("VLOOKUP(O113, IMPORTRANGE(""https://docs.google.com/spreadsheets/d/1yDAaXNsi4Mr5FtRQL4tbmSdIzhx6_m4wkOD7IG-k_eo/edit#gid=1336395716"", ""Science!M:N""), 2, FALSE)"),"Analyze the concept of lateral inversion in the context of a plane mirror and discuss its implications.")</f>
        <v>Analyze the concept of lateral inversion in the context of a plane mirror and discuss its implications.</v>
      </c>
      <c r="Q113" s="10" t="str">
        <f t="shared" si="4"/>
        <v>LU005367.005</v>
      </c>
      <c r="R113" s="10" t="str">
        <f ca="1">IFERROR(__xludf.DUMMYFUNCTION("VLOOKUP(Q113, IMPORTRANGE(""https://docs.google.com/spreadsheets/d/1yDAaXNsi4Mr5FtRQL4tbmSdIzhx6_m4wkOD7IG-k_eo/edit#gid=1336395716"", ""Science!M:N""), 2, FALSE)"),"Evaluate the effect of changing the distance between the object and the mirror on the characteristics of the reflected image.")</f>
        <v>Evaluate the effect of changing the distance between the object and the mirror on the characteristics of the reflected image.</v>
      </c>
      <c r="S113" s="10" t="str">
        <f t="shared" si="5"/>
        <v>LU005367.006</v>
      </c>
      <c r="T113" s="10" t="str">
        <f ca="1">IFERROR(__xludf.DUMMYFUNCTION("VLOOKUP(S113, IMPORTRANGE(""https://docs.google.com/spreadsheets/d/1yDAaXNsi4Mr5FtRQL4tbmSdIzhx6_m4wkOD7IG-k_eo/edit#gid=1336395716"", ""Science!M:N""), 2, FALSE)"),"Design an experiment to verify the characteristics of the image formed by a plane mirror")</f>
        <v>Design an experiment to verify the characteristics of the image formed by a plane mirror</v>
      </c>
      <c r="U113" s="116">
        <f ca="1">IFERROR(__xludf.DUMMYFUNCTION("ArrayFormula(VLOOKUP(G113, IMPORTRANGE(""https://docs.google.com/spreadsheets/d/1p7R4vtkWt5VOBim4ltsDG9KTzSjrtKXsMtQGXPHyND0/edit#gid=795171502"", ""'Filter 30_05_2024'!A1:M2000""), {2, 3, 4, 5,6,7,8,9,10,11,12,13}, 0))"),13)</f>
        <v>13</v>
      </c>
      <c r="V113" s="116">
        <f ca="1">IFERROR(__xludf.DUMMYFUNCTION("""COMPUTED_VALUE"""),17)</f>
        <v>17</v>
      </c>
      <c r="W113" s="116">
        <f ca="1">IFERROR(__xludf.DUMMYFUNCTION("""COMPUTED_VALUE"""),7)</f>
        <v>7</v>
      </c>
      <c r="X113" s="116">
        <f ca="1">IFERROR(__xludf.DUMMYFUNCTION("""COMPUTED_VALUE"""),37)</f>
        <v>37</v>
      </c>
      <c r="Y113" s="116">
        <f ca="1">IFERROR(__xludf.DUMMYFUNCTION("""COMPUTED_VALUE"""),8)</f>
        <v>8</v>
      </c>
      <c r="Z113" s="12">
        <f ca="1">IFERROR(__xludf.DUMMYFUNCTION("""COMPUTED_VALUE"""),8)</f>
        <v>8</v>
      </c>
      <c r="AA113" s="12">
        <f ca="1">IFERROR(__xludf.DUMMYFUNCTION("""COMPUTED_VALUE"""),2)</f>
        <v>2</v>
      </c>
      <c r="AB113" s="12">
        <f ca="1">IFERROR(__xludf.DUMMYFUNCTION("""COMPUTED_VALUE"""),18)</f>
        <v>18</v>
      </c>
      <c r="AC113" s="12"/>
      <c r="AD113" s="12"/>
      <c r="AE113" s="12"/>
      <c r="AF113" s="12"/>
      <c r="AG113" s="13" t="str">
        <f ca="1">IFERROR(__xludf.DUMMYFUNCTION("ArrayFormula(VLOOKUP(G113, IMPORTRANGE(""https://docs.google.com/spreadsheets/d/1Co934fvtviyaRiMsrIlT05Jaq7iiYq07aLvRr35KA48/edit?gid=173865642#gid=173865642"", ""'G7_Sci_Pri_LU'!G2:V2000""), {3, 4, 5, 6, 7, 8, 9, 10, 11, 12, 13, 14, 15, 16}, 0))"),"LU005374")</f>
        <v>LU005374</v>
      </c>
      <c r="AH113" s="13" t="str">
        <f ca="1">IFERROR(__xludf.DUMMYFUNCTION("""COMPUTED_VALUE"""),"Types of images")</f>
        <v>Types of images</v>
      </c>
      <c r="AI113" s="13" t="str">
        <f ca="1">IFERROR(__xludf.DUMMYFUNCTION("""COMPUTED_VALUE"""),"LU005838")</f>
        <v>LU005838</v>
      </c>
      <c r="AJ113" s="13" t="str">
        <f ca="1">IFERROR(__xludf.DUMMYFUNCTION("""COMPUTED_VALUE"""),"Definition of Reflection of Light")</f>
        <v>Definition of Reflection of Light</v>
      </c>
      <c r="AK113" s="13" t="str">
        <f ca="1">IFERROR(__xludf.DUMMYFUNCTION("""COMPUTED_VALUE"""),"LU005369")</f>
        <v>LU005369</v>
      </c>
      <c r="AL113" s="13" t="str">
        <f ca="1">IFERROR(__xludf.DUMMYFUNCTION("""COMPUTED_VALUE"""),"Definition of mirrors")</f>
        <v>Definition of mirrors</v>
      </c>
      <c r="AM113" s="13"/>
      <c r="AN113" s="13"/>
      <c r="AO113" s="13"/>
      <c r="AP113" s="13"/>
      <c r="AQ113" s="13"/>
      <c r="AR113" s="13"/>
      <c r="AS113" s="13"/>
      <c r="AT113" s="13"/>
    </row>
    <row r="114" spans="1:46">
      <c r="A114" s="8" t="s">
        <v>247</v>
      </c>
      <c r="B114" s="8" t="s">
        <v>47</v>
      </c>
      <c r="C114" s="8" t="s">
        <v>416</v>
      </c>
      <c r="D114" s="8" t="s">
        <v>1510</v>
      </c>
      <c r="E114" s="8" t="s">
        <v>1974</v>
      </c>
      <c r="F114" s="8" t="s">
        <v>1979</v>
      </c>
      <c r="G114" s="8" t="s">
        <v>1980</v>
      </c>
      <c r="H114" s="8" t="str">
        <f ca="1">IFERROR(__xludf.DUMMYFUNCTION("VLOOKUP(G114, IMPORTRANGE(""https://docs.google.com/spreadsheets/d/14deopnvwcrKtEGCKuYXdUHJbeLDZlkiSSWWT0g7x2pM/edit#gid=849066331"", ""LU List Science (Filter)!A:B""), 2, FALSE)"),"Characteristics of image formed by concave mirror")</f>
        <v>Characteristics of image formed by concave mirror</v>
      </c>
      <c r="I114" s="10" t="str">
        <f t="shared" si="0"/>
        <v>LU005920.001</v>
      </c>
      <c r="J114" s="10" t="str">
        <f ca="1">IFERROR(__xludf.DUMMYFUNCTION("VLOOKUP(I114, IMPORTRANGE(""https://docs.google.com/spreadsheets/d/1yDAaXNsi4Mr5FtRQL4tbmSdIzhx6_m4wkOD7IG-k_eo/edit#gid=1336395716"", ""Science!M:N""), 2, FALSE)"),"Recall the basic properties of images formed by concave mirrors.")</f>
        <v>Recall the basic properties of images formed by concave mirrors.</v>
      </c>
      <c r="K114" s="10" t="str">
        <f t="shared" si="1"/>
        <v>LU005920.002</v>
      </c>
      <c r="L114" s="10" t="str">
        <f ca="1">IFERROR(__xludf.DUMMYFUNCTION("VLOOKUP(K114, IMPORTRANGE(""https://docs.google.com/spreadsheets/d/1yDAaXNsi4Mr5FtRQL4tbmSdIzhx6_m4wkOD7IG-k_eo/edit#gid=1336395716"", ""Science!M:N""), 2, FALSE)"),"Explain how image characteristics change with object distance in concave mirrors.")</f>
        <v>Explain how image characteristics change with object distance in concave mirrors.</v>
      </c>
      <c r="M114" s="10" t="str">
        <f t="shared" si="2"/>
        <v>LU005920.003</v>
      </c>
      <c r="N114" s="10" t="str">
        <f ca="1">IFERROR(__xludf.DUMMYFUNCTION("VLOOKUP(M114, IMPORTRANGE(""https://docs.google.com/spreadsheets/d/1yDAaXNsi4Mr5FtRQL4tbmSdIzhx6_m4wkOD7IG-k_eo/edit#gid=1336395716"", ""Science!M:N""), 2, FALSE)"),"Predict the nature, size, and position of images in different scenarios using concave mirrors.")</f>
        <v>Predict the nature, size, and position of images in different scenarios using concave mirrors.</v>
      </c>
      <c r="O114" s="10" t="str">
        <f t="shared" si="3"/>
        <v>LU005920.004</v>
      </c>
      <c r="P114" s="10" t="str">
        <f ca="1">IFERROR(__xludf.DUMMYFUNCTION("VLOOKUP(O114, IMPORTRANGE(""https://docs.google.com/spreadsheets/d/1yDAaXNsi4Mr5FtRQL4tbmSdIzhx6_m4wkOD7IG-k_eo/edit#gid=1336395716"", ""Science!M:N""), 2, FALSE)"),"Differentiate between real and virtual images formed by concave mirrors.")</f>
        <v>Differentiate between real and virtual images formed by concave mirrors.</v>
      </c>
      <c r="Q114" s="10" t="str">
        <f t="shared" si="4"/>
        <v>LU005920.005</v>
      </c>
      <c r="R114" s="10" t="str">
        <f ca="1">IFERROR(__xludf.DUMMYFUNCTION("VLOOKUP(Q114, IMPORTRANGE(""https://docs.google.com/spreadsheets/d/1yDAaXNsi4Mr5FtRQL4tbmSdIzhx6_m4wkOD7IG-k_eo/edit#gid=1336395716"", ""Science!M:N""), 2, FALSE)"),"Assess the accuracy of image characteristics predicted for concave mirrors.")</f>
        <v>Assess the accuracy of image characteristics predicted for concave mirrors.</v>
      </c>
      <c r="S114" s="10" t="str">
        <f t="shared" si="5"/>
        <v>LU005920.006</v>
      </c>
      <c r="T114" s="10" t="str">
        <f ca="1">IFERROR(__xludf.DUMMYFUNCTION("VLOOKUP(S114, IMPORTRANGE(""https://docs.google.com/spreadsheets/d/1yDAaXNsi4Mr5FtRQL4tbmSdIzhx6_m4wkOD7IG-k_eo/edit#gid=1336395716"", ""Science!M:N""), 2, FALSE)"),"Formulate a guide or a set of rules for predicting image characteristics using concave mirrors.")</f>
        <v>Formulate a guide or a set of rules for predicting image characteristics using concave mirrors.</v>
      </c>
      <c r="U114" s="116">
        <f ca="1">IFERROR(__xludf.DUMMYFUNCTION("ArrayFormula(VLOOKUP(G114, IMPORTRANGE(""https://docs.google.com/spreadsheets/d/1p7R4vtkWt5VOBim4ltsDG9KTzSjrtKXsMtQGXPHyND0/edit#gid=795171502"", ""'Filter 30_05_2024'!A1:M2000""), {2, 3, 4, 5,6,7,8,9,10,11,12,13}, 0))"),4)</f>
        <v>4</v>
      </c>
      <c r="V114" s="116">
        <f ca="1">IFERROR(__xludf.DUMMYFUNCTION("""COMPUTED_VALUE"""),4)</f>
        <v>4</v>
      </c>
      <c r="W114" s="116">
        <f ca="1">IFERROR(__xludf.DUMMYFUNCTION("""COMPUTED_VALUE"""),2)</f>
        <v>2</v>
      </c>
      <c r="X114" s="116">
        <f ca="1">IFERROR(__xludf.DUMMYFUNCTION("""COMPUTED_VALUE"""),10)</f>
        <v>10</v>
      </c>
      <c r="Y114" s="116">
        <f ca="1">IFERROR(__xludf.DUMMYFUNCTION("""COMPUTED_VALUE"""),4)</f>
        <v>4</v>
      </c>
      <c r="Z114" s="12">
        <f ca="1">IFERROR(__xludf.DUMMYFUNCTION("""COMPUTED_VALUE"""),3)</f>
        <v>3</v>
      </c>
      <c r="AA114" s="12">
        <f ca="1">IFERROR(__xludf.DUMMYFUNCTION("""COMPUTED_VALUE"""),1)</f>
        <v>1</v>
      </c>
      <c r="AB114" s="12">
        <f ca="1">IFERROR(__xludf.DUMMYFUNCTION("""COMPUTED_VALUE"""),8)</f>
        <v>8</v>
      </c>
      <c r="AC114" s="12"/>
      <c r="AD114" s="12"/>
      <c r="AE114" s="12"/>
      <c r="AF114" s="12"/>
      <c r="AG114" s="13" t="str">
        <f ca="1">IFERROR(__xludf.DUMMYFUNCTION("ArrayFormula(VLOOKUP(G114, IMPORTRANGE(""https://docs.google.com/spreadsheets/d/1Co934fvtviyaRiMsrIlT05Jaq7iiYq07aLvRr35KA48/edit?gid=173865642#gid=173865642"", ""'G7_Sci_Pri_LU'!G2:V2000""), {3, 4, 5, 6, 7, 8, 9, 10, 11, 12, 13, 14, 15, 16}, 0))"),"LU005374")</f>
        <v>LU005374</v>
      </c>
      <c r="AH114" s="13" t="str">
        <f ca="1">IFERROR(__xludf.DUMMYFUNCTION("""COMPUTED_VALUE"""),"Types of images")</f>
        <v>Types of images</v>
      </c>
      <c r="AI114" s="13" t="str">
        <f ca="1">IFERROR(__xludf.DUMMYFUNCTION("""COMPUTED_VALUE"""),"LU005838")</f>
        <v>LU005838</v>
      </c>
      <c r="AJ114" s="13" t="str">
        <f ca="1">IFERROR(__xludf.DUMMYFUNCTION("""COMPUTED_VALUE"""),"Definition of Reflection of Light")</f>
        <v>Definition of Reflection of Light</v>
      </c>
      <c r="AK114" s="13" t="str">
        <f ca="1">IFERROR(__xludf.DUMMYFUNCTION("""COMPUTED_VALUE"""),"LU005369")</f>
        <v>LU005369</v>
      </c>
      <c r="AL114" s="13" t="str">
        <f ca="1">IFERROR(__xludf.DUMMYFUNCTION("""COMPUTED_VALUE"""),"Definition of mirrors")</f>
        <v>Definition of mirrors</v>
      </c>
      <c r="AM114" s="13"/>
      <c r="AN114" s="13"/>
      <c r="AO114" s="13"/>
      <c r="AP114" s="13"/>
      <c r="AQ114" s="13"/>
      <c r="AR114" s="13"/>
      <c r="AS114" s="13"/>
      <c r="AT114" s="13"/>
    </row>
    <row r="115" spans="1:46">
      <c r="A115" s="8" t="s">
        <v>247</v>
      </c>
      <c r="B115" s="8" t="s">
        <v>47</v>
      </c>
      <c r="C115" s="8" t="s">
        <v>416</v>
      </c>
      <c r="D115" s="8" t="s">
        <v>1510</v>
      </c>
      <c r="E115" s="8" t="s">
        <v>1974</v>
      </c>
      <c r="F115" s="8" t="s">
        <v>1979</v>
      </c>
      <c r="G115" s="8" t="s">
        <v>1981</v>
      </c>
      <c r="H115" s="8" t="str">
        <f ca="1">IFERROR(__xludf.DUMMYFUNCTION("VLOOKUP(G115, IMPORTRANGE(""https://docs.google.com/spreadsheets/d/14deopnvwcrKtEGCKuYXdUHJbeLDZlkiSSWWT0g7x2pM/edit#gid=849066331"", ""LU List Science (Filter)!A:B""), 2, FALSE)"),"Characteristics of image formed by convex mirror")</f>
        <v>Characteristics of image formed by convex mirror</v>
      </c>
      <c r="I115" s="10" t="str">
        <f t="shared" si="0"/>
        <v>LU005922.001</v>
      </c>
      <c r="J115" s="10" t="str">
        <f ca="1">IFERROR(__xludf.DUMMYFUNCTION("VLOOKUP(I115, IMPORTRANGE(""https://docs.google.com/spreadsheets/d/1yDAaXNsi4Mr5FtRQL4tbmSdIzhx6_m4wkOD7IG-k_eo/edit#gid=1336395716"", ""Science!M:N""), 2, FALSE)"),"List the characteristics of images formed by convex mirrors.")</f>
        <v>List the characteristics of images formed by convex mirrors.</v>
      </c>
      <c r="K115" s="10" t="str">
        <f t="shared" si="1"/>
        <v>LU005922.002</v>
      </c>
      <c r="L115" s="10" t="str">
        <f ca="1">IFERROR(__xludf.DUMMYFUNCTION("VLOOKUP(K115, IMPORTRANGE(""https://docs.google.com/spreadsheets/d/1yDAaXNsi4Mr5FtRQL4tbmSdIzhx6_m4wkOD7IG-k_eo/edit#gid=1336395716"", ""Science!M:N""), 2, FALSE)"),"Explain why convex mirrors always produce a certain type of image.")</f>
        <v>Explain why convex mirrors always produce a certain type of image.</v>
      </c>
      <c r="M115" s="10" t="str">
        <f t="shared" si="2"/>
        <v>LU005922.003</v>
      </c>
      <c r="N115" s="10" t="str">
        <f ca="1">IFERROR(__xludf.DUMMYFUNCTION("VLOOKUP(M115, IMPORTRANGE(""https://docs.google.com/spreadsheets/d/1yDAaXNsi4Mr5FtRQL4tbmSdIzhx6_m4wkOD7IG-k_eo/edit#gid=1336395716"", ""Science!M:N""), 2, FALSE)"),"Use knowledge of convex mirrors to predict image properties in practical situations.")</f>
        <v>Use knowledge of convex mirrors to predict image properties in practical situations.</v>
      </c>
      <c r="O115" s="10" t="str">
        <f t="shared" si="3"/>
        <v>LU005922.004</v>
      </c>
      <c r="P115" s="10" t="str">
        <f ca="1">IFERROR(__xludf.DUMMYFUNCTION("VLOOKUP(O115, IMPORTRANGE(""https://docs.google.com/spreadsheets/d/1yDAaXNsi4Mr5FtRQL4tbmSdIzhx6_m4wkOD7IG-k_eo/edit#gid=1336395716"", ""Science!M:N""), 2, FALSE)"),"Contrast the image characteristics between convex and concave mirrors.")</f>
        <v>Contrast the image characteristics between convex and concave mirrors.</v>
      </c>
      <c r="Q115" s="10" t="str">
        <f t="shared" si="4"/>
        <v>LU005922.005</v>
      </c>
      <c r="R115" s="10" t="str">
        <f ca="1">IFERROR(__xludf.DUMMYFUNCTION("VLOOKUP(Q115, IMPORTRANGE(""https://docs.google.com/spreadsheets/d/1yDAaXNsi4Mr5FtRQL4tbmSdIzhx6_m4wkOD7IG-k_eo/edit#gid=1336395716"", ""Science!M:N""), 2, FALSE)"),"Judge the reliability of convex mirrors in various real-world applications.")</f>
        <v>Judge the reliability of convex mirrors in various real-world applications.</v>
      </c>
      <c r="S115" s="10" t="str">
        <f t="shared" si="5"/>
        <v>LU005922.006</v>
      </c>
      <c r="T115" s="10" t="str">
        <f ca="1">IFERROR(__xludf.DUMMYFUNCTION("VLOOKUP(S115, IMPORTRANGE(""https://docs.google.com/spreadsheets/d/1yDAaXNsi4Mr5FtRQL4tbmSdIzhx6_m4wkOD7IG-k_eo/edit#gid=1336395716"", ""Science!M:N""), 2, FALSE)"),"#N/A")</f>
        <v>#N/A</v>
      </c>
      <c r="U115" s="116">
        <f ca="1">IFERROR(__xludf.DUMMYFUNCTION("ArrayFormula(VLOOKUP(G115, IMPORTRANGE(""https://docs.google.com/spreadsheets/d/1p7R4vtkWt5VOBim4ltsDG9KTzSjrtKXsMtQGXPHyND0/edit#gid=795171502"", ""'Filter 30_05_2024'!A1:M2000""), {2, 3, 4, 5,6,7,8,9,10,11,12,13}, 0))"),7)</f>
        <v>7</v>
      </c>
      <c r="V115" s="116">
        <f ca="1">IFERROR(__xludf.DUMMYFUNCTION("""COMPUTED_VALUE"""),7)</f>
        <v>7</v>
      </c>
      <c r="W115" s="116">
        <f ca="1">IFERROR(__xludf.DUMMYFUNCTION("""COMPUTED_VALUE"""),2)</f>
        <v>2</v>
      </c>
      <c r="X115" s="116">
        <f ca="1">IFERROR(__xludf.DUMMYFUNCTION("""COMPUTED_VALUE"""),16)</f>
        <v>16</v>
      </c>
      <c r="Y115" s="116">
        <f ca="1">IFERROR(__xludf.DUMMYFUNCTION("""COMPUTED_VALUE"""),4)</f>
        <v>4</v>
      </c>
      <c r="Z115" s="12">
        <f ca="1">IFERROR(__xludf.DUMMYFUNCTION("""COMPUTED_VALUE"""),3)</f>
        <v>3</v>
      </c>
      <c r="AA115" s="12">
        <f ca="1">IFERROR(__xludf.DUMMYFUNCTION("""COMPUTED_VALUE"""),1)</f>
        <v>1</v>
      </c>
      <c r="AB115" s="12">
        <f ca="1">IFERROR(__xludf.DUMMYFUNCTION("""COMPUTED_VALUE"""),8)</f>
        <v>8</v>
      </c>
      <c r="AC115" s="12"/>
      <c r="AD115" s="12"/>
      <c r="AE115" s="12"/>
      <c r="AF115" s="12"/>
      <c r="AG115" s="13" t="str">
        <f ca="1">IFERROR(__xludf.DUMMYFUNCTION("ArrayFormula(VLOOKUP(G115, IMPORTRANGE(""https://docs.google.com/spreadsheets/d/1Co934fvtviyaRiMsrIlT05Jaq7iiYq07aLvRr35KA48/edit?gid=173865642#gid=173865642"", ""'G7_Sci_Pri_LU'!G2:V2000""), {3, 4, 5, 6, 7, 8, 9, 10, 11, 12, 13, 14, 15, 16}, 0))"),"LU005374")</f>
        <v>LU005374</v>
      </c>
      <c r="AH115" s="13" t="str">
        <f ca="1">IFERROR(__xludf.DUMMYFUNCTION("""COMPUTED_VALUE"""),"Types of images")</f>
        <v>Types of images</v>
      </c>
      <c r="AI115" s="13" t="str">
        <f ca="1">IFERROR(__xludf.DUMMYFUNCTION("""COMPUTED_VALUE"""),"LU005838")</f>
        <v>LU005838</v>
      </c>
      <c r="AJ115" s="13" t="str">
        <f ca="1">IFERROR(__xludf.DUMMYFUNCTION("""COMPUTED_VALUE"""),"Definition of Reflection of Light")</f>
        <v>Definition of Reflection of Light</v>
      </c>
      <c r="AK115" s="13" t="str">
        <f ca="1">IFERROR(__xludf.DUMMYFUNCTION("""COMPUTED_VALUE"""),"LU005369")</f>
        <v>LU005369</v>
      </c>
      <c r="AL115" s="13" t="str">
        <f ca="1">IFERROR(__xludf.DUMMYFUNCTION("""COMPUTED_VALUE"""),"Definition of mirrors")</f>
        <v>Definition of mirrors</v>
      </c>
      <c r="AM115" s="13"/>
      <c r="AN115" s="13"/>
      <c r="AO115" s="13"/>
      <c r="AP115" s="13"/>
      <c r="AQ115" s="13"/>
      <c r="AR115" s="13"/>
      <c r="AS115" s="13"/>
      <c r="AT115" s="13"/>
    </row>
    <row r="116" spans="1:46">
      <c r="A116" s="8" t="s">
        <v>247</v>
      </c>
      <c r="B116" s="8" t="s">
        <v>47</v>
      </c>
      <c r="C116" s="8" t="s">
        <v>416</v>
      </c>
      <c r="D116" s="8" t="s">
        <v>1510</v>
      </c>
      <c r="E116" s="8" t="s">
        <v>1974</v>
      </c>
      <c r="F116" s="8" t="s">
        <v>1982</v>
      </c>
      <c r="G116" s="8" t="s">
        <v>1983</v>
      </c>
      <c r="H116" s="8" t="str">
        <f ca="1">IFERROR(__xludf.DUMMYFUNCTION("VLOOKUP(G116, IMPORTRANGE(""https://docs.google.com/spreadsheets/d/14deopnvwcrKtEGCKuYXdUHJbeLDZlkiSSWWT0g7x2pM/edit#gid=849066331"", ""LU List Science (Filter)!A:B""), 2, FALSE)"),"Definition of lenses")</f>
        <v>Definition of lenses</v>
      </c>
      <c r="I116" s="10" t="str">
        <f t="shared" si="0"/>
        <v>LU005368.001</v>
      </c>
      <c r="J116" s="10" t="str">
        <f ca="1">IFERROR(__xludf.DUMMYFUNCTION("VLOOKUP(I116, IMPORTRANGE(""https://docs.google.com/spreadsheets/d/1yDAaXNsi4Mr5FtRQL4tbmSdIzhx6_m4wkOD7IG-k_eo/edit#gid=1336395716"", ""Science!M:N""), 2, FALSE)"),"Define lenses, list types of lenses, and uses in various devices.")</f>
        <v>Define lenses, list types of lenses, and uses in various devices.</v>
      </c>
      <c r="K116" s="10" t="str">
        <f t="shared" si="1"/>
        <v>LU005368.002</v>
      </c>
      <c r="L116" s="10" t="str">
        <f ca="1">IFERROR(__xludf.DUMMYFUNCTION("VLOOKUP(K116, IMPORTRANGE(""https://docs.google.com/spreadsheets/d/1yDAaXNsi4Mr5FtRQL4tbmSdIzhx6_m4wkOD7IG-k_eo/edit#gid=1336395716"", ""Science!M:N""), 2, FALSE)"),"Explain the difference between convex and concave lenses in terms of their shape and how they bend light.")</f>
        <v>Explain the difference between convex and concave lenses in terms of their shape and how they bend light.</v>
      </c>
      <c r="M116" s="10" t="str">
        <f t="shared" si="2"/>
        <v>LU005368.003</v>
      </c>
      <c r="N116" s="10" t="str">
        <f ca="1">IFERROR(__xludf.DUMMYFUNCTION("VLOOKUP(M116, IMPORTRANGE(""https://docs.google.com/spreadsheets/d/1yDAaXNsi4Mr5FtRQL4tbmSdIzhx6_m4wkOD7IG-k_eo/edit#gid=1336395716"", ""Science!M:N""), 2, FALSE)"),"Decide the suitable type of curved lens – convex or concave – for a particular scenario, along with a justification for the chosen lens type.")</f>
        <v>Decide the suitable type of curved lens – convex or concave – for a particular scenario, along with a justification for the chosen lens type.</v>
      </c>
      <c r="O116" s="10" t="str">
        <f t="shared" si="3"/>
        <v>LU005368.004</v>
      </c>
      <c r="P116" s="10" t="str">
        <f ca="1">IFERROR(__xludf.DUMMYFUNCTION("VLOOKUP(O116, IMPORTRANGE(""https://docs.google.com/spreadsheets/d/1yDAaXNsi4Mr5FtRQL4tbmSdIzhx6_m4wkOD7IG-k_eo/edit#gid=1336395716"", ""Science!M:N""), 2, FALSE)"),"Comparison between the image formed by the concave and convex lens.")</f>
        <v>Comparison between the image formed by the concave and convex lens.</v>
      </c>
      <c r="Q116" s="10" t="str">
        <f t="shared" si="4"/>
        <v>LU005368.005</v>
      </c>
      <c r="R116" s="10" t="str">
        <f ca="1">IFERROR(__xludf.DUMMYFUNCTION("VLOOKUP(Q116, IMPORTRANGE(""https://docs.google.com/spreadsheets/d/1yDAaXNsi4Mr5FtRQL4tbmSdIzhx6_m4wkOD7IG-k_eo/edit#gid=1336395716"", ""Science!M:N""), 2, FALSE)"),"Evaluate the effectiveness of using a lens in a particular application.")</f>
        <v>Evaluate the effectiveness of using a lens in a particular application.</v>
      </c>
      <c r="S116" s="10" t="str">
        <f t="shared" si="5"/>
        <v>LU005368.006</v>
      </c>
      <c r="T116" s="10" t="str">
        <f ca="1">IFERROR(__xludf.DUMMYFUNCTION("VLOOKUP(S116, IMPORTRANGE(""https://docs.google.com/spreadsheets/d/1yDAaXNsi4Mr5FtRQL4tbmSdIzhx6_m4wkOD7IG-k_eo/edit#gid=1336395716"", ""Science!M:N""), 2, FALSE)"),"Design an experiment to investigate the ability of lenses to bend light.  ")</f>
        <v xml:space="preserve">Design an experiment to investigate the ability of lenses to bend light.  </v>
      </c>
      <c r="U116" s="116">
        <f ca="1">IFERROR(__xludf.DUMMYFUNCTION("ArrayFormula(VLOOKUP(G116, IMPORTRANGE(""https://docs.google.com/spreadsheets/d/1p7R4vtkWt5VOBim4ltsDG9KTzSjrtKXsMtQGXPHyND0/edit#gid=795171502"", ""'Filter 30_05_2024'!A1:M2000""), {2, 3, 4, 5,6,7,8,9,10,11,12,13}, 0))"),16)</f>
        <v>16</v>
      </c>
      <c r="V116" s="116">
        <f ca="1">IFERROR(__xludf.DUMMYFUNCTION("""COMPUTED_VALUE"""),6)</f>
        <v>6</v>
      </c>
      <c r="W116" s="116">
        <f ca="1">IFERROR(__xludf.DUMMYFUNCTION("""COMPUTED_VALUE"""),4)</f>
        <v>4</v>
      </c>
      <c r="X116" s="116">
        <f ca="1">IFERROR(__xludf.DUMMYFUNCTION("""COMPUTED_VALUE"""),26)</f>
        <v>26</v>
      </c>
      <c r="Y116" s="116">
        <f ca="1">IFERROR(__xludf.DUMMYFUNCTION("""COMPUTED_VALUE"""),4)</f>
        <v>4</v>
      </c>
      <c r="Z116" s="12">
        <f ca="1">IFERROR(__xludf.DUMMYFUNCTION("""COMPUTED_VALUE"""),3)</f>
        <v>3</v>
      </c>
      <c r="AA116" s="12">
        <f ca="1">IFERROR(__xludf.DUMMYFUNCTION("""COMPUTED_VALUE"""),1)</f>
        <v>1</v>
      </c>
      <c r="AB116" s="12">
        <f ca="1">IFERROR(__xludf.DUMMYFUNCTION("""COMPUTED_VALUE"""),8)</f>
        <v>8</v>
      </c>
      <c r="AC116" s="12"/>
      <c r="AD116" s="12"/>
      <c r="AE116" s="12"/>
      <c r="AF116" s="12"/>
      <c r="AG116" s="13" t="str">
        <f ca="1">IFERROR(__xludf.DUMMYFUNCTION("ArrayFormula(VLOOKUP(G116, IMPORTRANGE(""https://docs.google.com/spreadsheets/d/1Co934fvtviyaRiMsrIlT05Jaq7iiYq07aLvRr35KA48/edit?gid=173865642#gid=173865642"", ""'G7_Sci_Pri_LU'!G2:V2000""), {3, 4, 5, 6, 7, 8, 9, 10, 11, 12, 13, 14, 15, 16}, 0))"),"LU005170")</f>
        <v>LU005170</v>
      </c>
      <c r="AH116" s="13" t="str">
        <f ca="1">IFERROR(__xludf.DUMMYFUNCTION("""COMPUTED_VALUE"""),"Definition and examples of transparent objects")</f>
        <v>Definition and examples of transparent objects</v>
      </c>
      <c r="AI116" s="13" t="str">
        <f ca="1">IFERROR(__xludf.DUMMYFUNCTION("""COMPUTED_VALUE"""),"LU005369")</f>
        <v>LU005369</v>
      </c>
      <c r="AJ116" s="13" t="str">
        <f ca="1">IFERROR(__xludf.DUMMYFUNCTION("""COMPUTED_VALUE"""),"Definition of mirrors")</f>
        <v>Definition of mirrors</v>
      </c>
      <c r="AK116" s="13"/>
      <c r="AL116" s="13"/>
      <c r="AM116" s="13"/>
      <c r="AN116" s="13"/>
      <c r="AO116" s="13"/>
      <c r="AP116" s="13"/>
      <c r="AQ116" s="13"/>
      <c r="AR116" s="13"/>
      <c r="AS116" s="13"/>
      <c r="AT116" s="13"/>
    </row>
    <row r="117" spans="1:46">
      <c r="A117" s="8" t="s">
        <v>247</v>
      </c>
      <c r="B117" s="8" t="s">
        <v>47</v>
      </c>
      <c r="C117" s="8" t="s">
        <v>416</v>
      </c>
      <c r="D117" s="8" t="s">
        <v>1510</v>
      </c>
      <c r="E117" s="8" t="s">
        <v>1974</v>
      </c>
      <c r="F117" s="8" t="s">
        <v>1982</v>
      </c>
      <c r="G117" s="8" t="s">
        <v>1984</v>
      </c>
      <c r="H117" s="8" t="str">
        <f ca="1">IFERROR(__xludf.DUMMYFUNCTION("VLOOKUP(G117, IMPORTRANGE(""https://docs.google.com/spreadsheets/d/14deopnvwcrKtEGCKuYXdUHJbeLDZlkiSSWWT0g7x2pM/edit#gid=849066331"", ""LU List Science (Filter)!A:B""), 2, FALSE)"),"Characteristics of image formed by convex lens")</f>
        <v>Characteristics of image formed by convex lens</v>
      </c>
      <c r="I117" s="10" t="str">
        <f t="shared" si="0"/>
        <v>LU005366.001</v>
      </c>
      <c r="J117" s="10" t="str">
        <f ca="1">IFERROR(__xludf.DUMMYFUNCTION("VLOOKUP(I117, IMPORTRANGE(""https://docs.google.com/spreadsheets/d/1yDAaXNsi4Mr5FtRQL4tbmSdIzhx6_m4wkOD7IG-k_eo/edit#gid=1336395716"", ""Science!M:N""), 2, FALSE)"),"List the physical characteristics and uses of a convex lens. ")</f>
        <v xml:space="preserve">List the physical characteristics and uses of a convex lens. </v>
      </c>
      <c r="K117" s="10" t="str">
        <f t="shared" si="1"/>
        <v>LU005366.002</v>
      </c>
      <c r="L117" s="10" t="str">
        <f ca="1">IFERROR(__xludf.DUMMYFUNCTION("VLOOKUP(K117, IMPORTRANGE(""https://docs.google.com/spreadsheets/d/1yDAaXNsi4Mr5FtRQL4tbmSdIzhx6_m4wkOD7IG-k_eo/edit#gid=1336395716"", ""Science!M:N""), 2, FALSE)"),"Explain how a convex lens converges light rays.")</f>
        <v>Explain how a convex lens converges light rays.</v>
      </c>
      <c r="M117" s="10" t="str">
        <f t="shared" si="2"/>
        <v>LU005366.003</v>
      </c>
      <c r="N117" s="10" t="str">
        <f ca="1">IFERROR(__xludf.DUMMYFUNCTION("VLOOKUP(M117, IMPORTRANGE(""https://docs.google.com/spreadsheets/d/1yDAaXNsi4Mr5FtRQL4tbmSdIzhx6_m4wkOD7IG-k_eo/edit#gid=1336395716"", ""Science!M:N""), 2, FALSE)"),"Predict the type of image formed by a convex lens for different object distances.")</f>
        <v>Predict the type of image formed by a convex lens for different object distances.</v>
      </c>
      <c r="O117" s="10" t="str">
        <f t="shared" si="3"/>
        <v>LU005366.004</v>
      </c>
      <c r="P117" s="10" t="str">
        <f ca="1">IFERROR(__xludf.DUMMYFUNCTION("VLOOKUP(O117, IMPORTRANGE(""https://docs.google.com/spreadsheets/d/1yDAaXNsi4Mr5FtRQL4tbmSdIzhx6_m4wkOD7IG-k_eo/edit#gid=1336395716"", ""Science!M:N""), 2, FALSE)"),"Analyze the factors affecting the size and position of the image formed by a convex lens.")</f>
        <v>Analyze the factors affecting the size and position of the image formed by a convex lens.</v>
      </c>
      <c r="Q117" s="10" t="str">
        <f t="shared" si="4"/>
        <v>LU005366.005</v>
      </c>
      <c r="R117" s="10" t="str">
        <f ca="1">IFERROR(__xludf.DUMMYFUNCTION("VLOOKUP(Q117, IMPORTRANGE(""https://docs.google.com/spreadsheets/d/1yDAaXNsi4Mr5FtRQL4tbmSdIzhx6_m4wkOD7IG-k_eo/edit#gid=1336395716"", ""Science!M:N""), 2, FALSE)"),"Evaluate the practical applications of convex lenses in devices such as cameras, telescopes, and magnifying glasses.")</f>
        <v>Evaluate the practical applications of convex lenses in devices such as cameras, telescopes, and magnifying glasses.</v>
      </c>
      <c r="S117" s="10" t="str">
        <f t="shared" si="5"/>
        <v>LU005366.006</v>
      </c>
      <c r="T117" s="10" t="str">
        <f ca="1">IFERROR(__xludf.DUMMYFUNCTION("VLOOKUP(S117, IMPORTRANGE(""https://docs.google.com/spreadsheets/d/1yDAaXNsi4Mr5FtRQL4tbmSdIzhx6_m4wkOD7IG-k_eo/edit#gid=1336395716"", ""Science!M:N""), 2, FALSE)"),"Design an experiment to verify the properties of images formed by convex lenses.")</f>
        <v>Design an experiment to verify the properties of images formed by convex lenses.</v>
      </c>
      <c r="U117" s="116">
        <f ca="1">IFERROR(__xludf.DUMMYFUNCTION("ArrayFormula(VLOOKUP(G117, IMPORTRANGE(""https://docs.google.com/spreadsheets/d/1p7R4vtkWt5VOBim4ltsDG9KTzSjrtKXsMtQGXPHyND0/edit#gid=795171502"", ""'Filter 30_05_2024'!A1:M2000""), {2, 3, 4, 5,6,7,8,9,10,11,12,13}, 0))"),4)</f>
        <v>4</v>
      </c>
      <c r="V117" s="116">
        <f ca="1">IFERROR(__xludf.DUMMYFUNCTION("""COMPUTED_VALUE"""),6)</f>
        <v>6</v>
      </c>
      <c r="W117" s="116">
        <f ca="1">IFERROR(__xludf.DUMMYFUNCTION("""COMPUTED_VALUE"""),2)</f>
        <v>2</v>
      </c>
      <c r="X117" s="116">
        <f ca="1">IFERROR(__xludf.DUMMYFUNCTION("""COMPUTED_VALUE"""),12)</f>
        <v>12</v>
      </c>
      <c r="Y117" s="116">
        <f ca="1">IFERROR(__xludf.DUMMYFUNCTION("""COMPUTED_VALUE"""),4)</f>
        <v>4</v>
      </c>
      <c r="Z117" s="12">
        <f ca="1">IFERROR(__xludf.DUMMYFUNCTION("""COMPUTED_VALUE"""),3)</f>
        <v>3</v>
      </c>
      <c r="AA117" s="12">
        <f ca="1">IFERROR(__xludf.DUMMYFUNCTION("""COMPUTED_VALUE"""),1)</f>
        <v>1</v>
      </c>
      <c r="AB117" s="12">
        <f ca="1">IFERROR(__xludf.DUMMYFUNCTION("""COMPUTED_VALUE"""),8)</f>
        <v>8</v>
      </c>
      <c r="AC117" s="12"/>
      <c r="AD117" s="12"/>
      <c r="AE117" s="12"/>
      <c r="AF117" s="12"/>
      <c r="AG117" s="13" t="str">
        <f ca="1">IFERROR(__xludf.DUMMYFUNCTION("ArrayFormula(VLOOKUP(G117, IMPORTRANGE(""https://docs.google.com/spreadsheets/d/1Co934fvtviyaRiMsrIlT05Jaq7iiYq07aLvRr35KA48/edit?gid=173865642#gid=173865642"", ""'G7_Sci_Pri_LU'!G2:V2000""), {3, 4, 5, 6, 7, 8, 9, 10, 11, 12, 13, 14, 15, 16}, 0))"),"LU005374")</f>
        <v>LU005374</v>
      </c>
      <c r="AH117" s="13" t="str">
        <f ca="1">IFERROR(__xludf.DUMMYFUNCTION("""COMPUTED_VALUE"""),"Types of images")</f>
        <v>Types of images</v>
      </c>
      <c r="AI117" s="13" t="str">
        <f ca="1">IFERROR(__xludf.DUMMYFUNCTION("""COMPUTED_VALUE"""),"LU005368")</f>
        <v>LU005368</v>
      </c>
      <c r="AJ117" s="13" t="str">
        <f ca="1">IFERROR(__xludf.DUMMYFUNCTION("""COMPUTED_VALUE"""),"Definition of lenses")</f>
        <v>Definition of lenses</v>
      </c>
      <c r="AK117" s="13"/>
      <c r="AL117" s="13"/>
      <c r="AM117" s="13"/>
      <c r="AN117" s="13"/>
      <c r="AO117" s="13"/>
      <c r="AP117" s="13"/>
      <c r="AQ117" s="13"/>
      <c r="AR117" s="13"/>
      <c r="AS117" s="13"/>
      <c r="AT117" s="13"/>
    </row>
    <row r="118" spans="1:46">
      <c r="A118" s="8" t="s">
        <v>247</v>
      </c>
      <c r="B118" s="8" t="s">
        <v>47</v>
      </c>
      <c r="C118" s="8" t="s">
        <v>416</v>
      </c>
      <c r="D118" s="8" t="s">
        <v>1510</v>
      </c>
      <c r="E118" s="8" t="s">
        <v>1974</v>
      </c>
      <c r="F118" s="8" t="s">
        <v>1982</v>
      </c>
      <c r="G118" s="8" t="s">
        <v>1985</v>
      </c>
      <c r="H118" s="8" t="str">
        <f ca="1">IFERROR(__xludf.DUMMYFUNCTION("VLOOKUP(G118, IMPORTRANGE(""https://docs.google.com/spreadsheets/d/14deopnvwcrKtEGCKuYXdUHJbeLDZlkiSSWWT0g7x2pM/edit#gid=849066331"", ""LU List Science (Filter)!A:B""), 2, FALSE)"),"Characteristics of image formed by concave lens")</f>
        <v>Characteristics of image formed by concave lens</v>
      </c>
      <c r="I118" s="10" t="str">
        <f t="shared" si="0"/>
        <v>LU005365.001</v>
      </c>
      <c r="J118" s="10" t="str">
        <f ca="1">IFERROR(__xludf.DUMMYFUNCTION("VLOOKUP(I118, IMPORTRANGE(""https://docs.google.com/spreadsheets/d/1yDAaXNsi4Mr5FtRQL4tbmSdIzhx6_m4wkOD7IG-k_eo/edit#gid=1336395716"", ""Science!M:N""), 2, FALSE)"),"List the physical characteristics and uses of a concave lens. ")</f>
        <v xml:space="preserve">List the physical characteristics and uses of a concave lens. </v>
      </c>
      <c r="K118" s="10" t="str">
        <f t="shared" si="1"/>
        <v>LU005365.002</v>
      </c>
      <c r="L118" s="10" t="str">
        <f ca="1">IFERROR(__xludf.DUMMYFUNCTION("VLOOKUP(K118, IMPORTRANGE(""https://docs.google.com/spreadsheets/d/1yDAaXNsi4Mr5FtRQL4tbmSdIzhx6_m4wkOD7IG-k_eo/edit#gid=1336395716"", ""Science!M:N""), 2, FALSE)"),"Explain how a concave lens diverges light rays.")</f>
        <v>Explain how a concave lens diverges light rays.</v>
      </c>
      <c r="M118" s="10" t="str">
        <f t="shared" si="2"/>
        <v>LU005365.003</v>
      </c>
      <c r="N118" s="10" t="str">
        <f ca="1">IFERROR(__xludf.DUMMYFUNCTION("VLOOKUP(M118, IMPORTRANGE(""https://docs.google.com/spreadsheets/d/1yDAaXNsi4Mr5FtRQL4tbmSdIzhx6_m4wkOD7IG-k_eo/edit#gid=1336395716"", ""Science!M:N""), 2, FALSE)"),"Predict the characteristics of an image formed when an object is placed at different positions in front of a concave lens.")</f>
        <v>Predict the characteristics of an image formed when an object is placed at different positions in front of a concave lens.</v>
      </c>
      <c r="O118" s="10" t="str">
        <f t="shared" si="3"/>
        <v>LU005365.004</v>
      </c>
      <c r="P118" s="10" t="str">
        <f ca="1">IFERROR(__xludf.DUMMYFUNCTION("VLOOKUP(O118, IMPORTRANGE(""https://docs.google.com/spreadsheets/d/1yDAaXNsi4Mr5FtRQL4tbmSdIzhx6_m4wkOD7IG-k_eo/edit#gid=1336395716"", ""Science!M:N""), 2, FALSE)"),"Analyze the factors affecting the size and position of the image formed by a concave lens.")</f>
        <v>Analyze the factors affecting the size and position of the image formed by a concave lens.</v>
      </c>
      <c r="Q118" s="10" t="str">
        <f t="shared" si="4"/>
        <v>LU005365.005</v>
      </c>
      <c r="R118" s="10" t="str">
        <f ca="1">IFERROR(__xludf.DUMMYFUNCTION("VLOOKUP(Q118, IMPORTRANGE(""https://docs.google.com/spreadsheets/d/1yDAaXNsi4Mr5FtRQL4tbmSdIzhx6_m4wkOD7IG-k_eo/edit#gid=1336395716"", ""Science!M:N""), 2, FALSE)"),"Evaluate the practical applications of concave lenses in devices. ")</f>
        <v xml:space="preserve">Evaluate the practical applications of concave lenses in devices. </v>
      </c>
      <c r="S118" s="10" t="str">
        <f t="shared" si="5"/>
        <v>LU005365.006</v>
      </c>
      <c r="T118" s="10" t="str">
        <f ca="1">IFERROR(__xludf.DUMMYFUNCTION("VLOOKUP(S118, IMPORTRANGE(""https://docs.google.com/spreadsheets/d/1yDAaXNsi4Mr5FtRQL4tbmSdIzhx6_m4wkOD7IG-k_eo/edit#gid=1336395716"", ""Science!M:N""), 2, FALSE)"),"Design an experiment to verify the characteristics of the image formed by a concave lens.")</f>
        <v>Design an experiment to verify the characteristics of the image formed by a concave lens.</v>
      </c>
      <c r="U118" s="116">
        <f ca="1">IFERROR(__xludf.DUMMYFUNCTION("ArrayFormula(VLOOKUP(G118, IMPORTRANGE(""https://docs.google.com/spreadsheets/d/1p7R4vtkWt5VOBim4ltsDG9KTzSjrtKXsMtQGXPHyND0/edit#gid=795171502"", ""'Filter 30_05_2024'!A1:M2000""), {2, 3, 4, 5,6,7,8,9,10,11,12,13}, 0))"),4)</f>
        <v>4</v>
      </c>
      <c r="V118" s="116">
        <f ca="1">IFERROR(__xludf.DUMMYFUNCTION("""COMPUTED_VALUE"""),5)</f>
        <v>5</v>
      </c>
      <c r="W118" s="116">
        <f ca="1">IFERROR(__xludf.DUMMYFUNCTION("""COMPUTED_VALUE"""),2)</f>
        <v>2</v>
      </c>
      <c r="X118" s="116">
        <f ca="1">IFERROR(__xludf.DUMMYFUNCTION("""COMPUTED_VALUE"""),11)</f>
        <v>11</v>
      </c>
      <c r="Y118" s="116">
        <f ca="1">IFERROR(__xludf.DUMMYFUNCTION("""COMPUTED_VALUE"""),4)</f>
        <v>4</v>
      </c>
      <c r="Z118" s="12">
        <f ca="1">IFERROR(__xludf.DUMMYFUNCTION("""COMPUTED_VALUE"""),2)</f>
        <v>2</v>
      </c>
      <c r="AA118" s="12">
        <f ca="1">IFERROR(__xludf.DUMMYFUNCTION("""COMPUTED_VALUE"""),1)</f>
        <v>1</v>
      </c>
      <c r="AB118" s="12">
        <f ca="1">IFERROR(__xludf.DUMMYFUNCTION("""COMPUTED_VALUE"""),7)</f>
        <v>7</v>
      </c>
      <c r="AC118" s="12"/>
      <c r="AD118" s="12"/>
      <c r="AE118" s="12"/>
      <c r="AF118" s="12"/>
      <c r="AG118" s="13" t="str">
        <f ca="1">IFERROR(__xludf.DUMMYFUNCTION("ArrayFormula(VLOOKUP(G118, IMPORTRANGE(""https://docs.google.com/spreadsheets/d/1Co934fvtviyaRiMsrIlT05Jaq7iiYq07aLvRr35KA48/edit?gid=173865642#gid=173865642"", ""'G7_Sci_Pri_LU'!G2:V2000""), {3, 4, 5, 6, 7, 8, 9, 10, 11, 12, 13, 14, 15, 16}, 0))"),"LU005374")</f>
        <v>LU005374</v>
      </c>
      <c r="AH118" s="13" t="str">
        <f ca="1">IFERROR(__xludf.DUMMYFUNCTION("""COMPUTED_VALUE"""),"Types of images")</f>
        <v>Types of images</v>
      </c>
      <c r="AI118" s="13" t="str">
        <f ca="1">IFERROR(__xludf.DUMMYFUNCTION("""COMPUTED_VALUE"""),"LU005368")</f>
        <v>LU005368</v>
      </c>
      <c r="AJ118" s="13" t="str">
        <f ca="1">IFERROR(__xludf.DUMMYFUNCTION("""COMPUTED_VALUE"""),"Definition of lenses")</f>
        <v>Definition of lenses</v>
      </c>
      <c r="AK118" s="13"/>
      <c r="AL118" s="13"/>
      <c r="AM118" s="13"/>
      <c r="AN118" s="13"/>
      <c r="AO118" s="13"/>
      <c r="AP118" s="13"/>
      <c r="AQ118" s="13"/>
      <c r="AR118" s="13"/>
      <c r="AS118" s="13"/>
      <c r="AT118" s="13"/>
    </row>
    <row r="119" spans="1:46">
      <c r="A119" s="8" t="s">
        <v>247</v>
      </c>
      <c r="B119" s="8" t="s">
        <v>47</v>
      </c>
      <c r="C119" s="8" t="s">
        <v>416</v>
      </c>
      <c r="D119" s="8" t="s">
        <v>1510</v>
      </c>
      <c r="E119" s="8" t="s">
        <v>1974</v>
      </c>
      <c r="F119" s="8" t="s">
        <v>1986</v>
      </c>
      <c r="G119" s="8" t="s">
        <v>1987</v>
      </c>
      <c r="H119" s="8" t="str">
        <f ca="1">IFERROR(__xludf.DUMMYFUNCTION("VLOOKUP(G119, IMPORTRANGE(""https://docs.google.com/spreadsheets/d/14deopnvwcrKtEGCKuYXdUHJbeLDZlkiSSWWT0g7x2pM/edit#gid=849066331"", ""LU List Science (Filter)!A:B""), 2, FALSE)"),"Light and its colours")</f>
        <v>Light and its colours</v>
      </c>
      <c r="I119" s="10" t="str">
        <f t="shared" si="0"/>
        <v>LU005373.001</v>
      </c>
      <c r="J119" s="10" t="str">
        <f ca="1">IFERROR(__xludf.DUMMYFUNCTION("VLOOKUP(I119, IMPORTRANGE(""https://docs.google.com/spreadsheets/d/1yDAaXNsi4Mr5FtRQL4tbmSdIzhx6_m4wkOD7IG-k_eo/edit#gid=1336395716"", ""Science!M:N""), 2, FALSE)"),"Identify the seven colors obtained by splitting light using a prism.")</f>
        <v>Identify the seven colors obtained by splitting light using a prism.</v>
      </c>
      <c r="K119" s="10" t="str">
        <f t="shared" si="1"/>
        <v>LU005373.002</v>
      </c>
      <c r="L119" s="10" t="str">
        <f ca="1">IFERROR(__xludf.DUMMYFUNCTION("VLOOKUP(K119, IMPORTRANGE(""https://docs.google.com/spreadsheets/d/1yDAaXNsi4Mr5FtRQL4tbmSdIzhx6_m4wkOD7IG-k_eo/edit#gid=1336395716"", ""Science!M:N""), 2, FALSE)"),"Describe how a glass prism can be used to demonstrate the phenomenon of color dispersion.")</f>
        <v>Describe how a glass prism can be used to demonstrate the phenomenon of color dispersion.</v>
      </c>
      <c r="M119" s="10" t="str">
        <f t="shared" si="2"/>
        <v>LU005373.003</v>
      </c>
      <c r="N119" s="10" t="str">
        <f ca="1">IFERROR(__xludf.DUMMYFUNCTION("VLOOKUP(M119, IMPORTRANGE(""https://docs.google.com/spreadsheets/d/1yDAaXNsi4Mr5FtRQL4tbmSdIzhx6_m4wkOD7IG-k_eo/edit#gid=1336395716"", ""Science!M:N""), 2, FALSE)"),"Use a Newton's Disc to observe the mixing of colours to obtain white light.")</f>
        <v>Use a Newton's Disc to observe the mixing of colours to obtain white light.</v>
      </c>
      <c r="O119" s="10" t="str">
        <f t="shared" si="3"/>
        <v>LU005373.004</v>
      </c>
      <c r="P119" s="10" t="str">
        <f ca="1">IFERROR(__xludf.DUMMYFUNCTION("VLOOKUP(O119, IMPORTRANGE(""https://docs.google.com/spreadsheets/d/1yDAaXNsi4Mr5FtRQL4tbmSdIzhx6_m4wkOD7IG-k_eo/edit#gid=1336395716"", ""Science!M:N""), 2, FALSE)"),"#N/A")</f>
        <v>#N/A</v>
      </c>
      <c r="Q119" s="10" t="str">
        <f t="shared" si="4"/>
        <v>LU005373.005</v>
      </c>
      <c r="R119" s="10" t="str">
        <f ca="1">IFERROR(__xludf.DUMMYFUNCTION("VLOOKUP(Q119, IMPORTRANGE(""https://docs.google.com/spreadsheets/d/1yDAaXNsi4Mr5FtRQL4tbmSdIzhx6_m4wkOD7IG-k_eo/edit#gid=1336395716"", ""Science!M:N""), 2, FALSE)"),"Evaluate the significance of Newton's disc experiment in understanding the nature of light and color spectrum.")</f>
        <v>Evaluate the significance of Newton's disc experiment in understanding the nature of light and color spectrum.</v>
      </c>
      <c r="S119" s="10" t="str">
        <f t="shared" si="5"/>
        <v>LU005373.006</v>
      </c>
      <c r="T119" s="10" t="str">
        <f ca="1">IFERROR(__xludf.DUMMYFUNCTION("VLOOKUP(S119, IMPORTRANGE(""https://docs.google.com/spreadsheets/d/1yDAaXNsi4Mr5FtRQL4tbmSdIzhx6_m4wkOD7IG-k_eo/edit#gid=1336395716"", ""Science!M:N""), 2, FALSE)"),"#N/A")</f>
        <v>#N/A</v>
      </c>
      <c r="U119" s="116">
        <f ca="1">IFERROR(__xludf.DUMMYFUNCTION("ArrayFormula(VLOOKUP(G119, IMPORTRANGE(""https://docs.google.com/spreadsheets/d/1p7R4vtkWt5VOBim4ltsDG9KTzSjrtKXsMtQGXPHyND0/edit#gid=795171502"", ""'Filter 30_05_2024'!A1:M2000""), {2, 3, 4, 5,6,7,8,9,10,11,12,13}, 0))"),4)</f>
        <v>4</v>
      </c>
      <c r="V119" s="116">
        <f ca="1">IFERROR(__xludf.DUMMYFUNCTION("""COMPUTED_VALUE"""),5)</f>
        <v>5</v>
      </c>
      <c r="W119" s="116">
        <f ca="1">IFERROR(__xludf.DUMMYFUNCTION("""COMPUTED_VALUE"""),2)</f>
        <v>2</v>
      </c>
      <c r="X119" s="116">
        <f ca="1">IFERROR(__xludf.DUMMYFUNCTION("""COMPUTED_VALUE"""),11)</f>
        <v>11</v>
      </c>
      <c r="Y119" s="116">
        <f ca="1">IFERROR(__xludf.DUMMYFUNCTION("""COMPUTED_VALUE"""),5)</f>
        <v>5</v>
      </c>
      <c r="Z119" s="12">
        <f ca="1">IFERROR(__xludf.DUMMYFUNCTION("""COMPUTED_VALUE"""),3)</f>
        <v>3</v>
      </c>
      <c r="AA119" s="12">
        <f ca="1">IFERROR(__xludf.DUMMYFUNCTION("""COMPUTED_VALUE"""),1)</f>
        <v>1</v>
      </c>
      <c r="AB119" s="12">
        <f ca="1">IFERROR(__xludf.DUMMYFUNCTION("""COMPUTED_VALUE"""),9)</f>
        <v>9</v>
      </c>
      <c r="AC119" s="12"/>
      <c r="AD119" s="12"/>
      <c r="AE119" s="12"/>
      <c r="AF119" s="12"/>
      <c r="AG119" s="13" t="str">
        <f ca="1">IFERROR(__xludf.DUMMYFUNCTION("ArrayFormula(VLOOKUP(G119, IMPORTRANGE(""https://docs.google.com/spreadsheets/d/1Co934fvtviyaRiMsrIlT05Jaq7iiYq07aLvRr35KA48/edit?gid=173865642#gid=173865642"", ""'G7_Sci_Pri_LU'!G2:V2000""), {3, 4, 5, 6, 7, 8, 9, 10, 11, 12, 13, 14, 15, 16}, 0))"),"")</f>
        <v/>
      </c>
      <c r="AH119" s="13"/>
      <c r="AI119" s="13"/>
      <c r="AJ119" s="13"/>
      <c r="AK119" s="13"/>
      <c r="AL119" s="13"/>
      <c r="AM119" s="13"/>
      <c r="AN119" s="13"/>
      <c r="AO119" s="13"/>
      <c r="AP119" s="13"/>
      <c r="AQ119" s="13"/>
      <c r="AR119" s="13"/>
      <c r="AS119" s="13"/>
      <c r="AT119" s="13"/>
    </row>
    <row r="120" spans="1:46">
      <c r="A120" s="8" t="s">
        <v>247</v>
      </c>
      <c r="B120" s="8" t="s">
        <v>47</v>
      </c>
      <c r="C120" s="8" t="s">
        <v>416</v>
      </c>
      <c r="D120" s="8" t="s">
        <v>1406</v>
      </c>
      <c r="E120" s="8" t="s">
        <v>1988</v>
      </c>
      <c r="F120" s="8" t="s">
        <v>1989</v>
      </c>
      <c r="G120" s="8" t="s">
        <v>1990</v>
      </c>
      <c r="H120" s="8" t="str">
        <f ca="1">IFERROR(__xludf.DUMMYFUNCTION("VLOOKUP(G120, IMPORTRANGE(""https://docs.google.com/spreadsheets/d/14deopnvwcrKtEGCKuYXdUHJbeLDZlkiSSWWT0g7x2pM/edit#gid=849066331"", ""LU List Science (Filter)!A:B""), 2, FALSE)"),"Forest-animals and plants, habitat, food chains and food web")</f>
        <v>Forest-animals and plants, habitat, food chains and food web</v>
      </c>
      <c r="I120" s="10" t="str">
        <f t="shared" si="0"/>
        <v>LU005321.001</v>
      </c>
      <c r="J120" s="10" t="str">
        <f ca="1">IFERROR(__xludf.DUMMYFUNCTION("VLOOKUP(I120, IMPORTRANGE(""https://docs.google.com/spreadsheets/d/1yDAaXNsi4Mr5FtRQL4tbmSdIzhx6_m4wkOD7IG-k_eo/edit#gid=1336395716"", ""Science!M:N""), 2, FALSE)"),"Students will identify and list various types of plants and animals observed in a forest ecosystem.")</f>
        <v>Students will identify and list various types of plants and animals observed in a forest ecosystem.</v>
      </c>
      <c r="K120" s="10" t="str">
        <f t="shared" si="1"/>
        <v>LU005321.002</v>
      </c>
      <c r="L120" s="10" t="str">
        <f ca="1">IFERROR(__xludf.DUMMYFUNCTION("VLOOKUP(K120, IMPORTRANGE(""https://docs.google.com/spreadsheets/d/1yDAaXNsi4Mr5FtRQL4tbmSdIzhx6_m4wkOD7IG-k_eo/edit#gid=1336395716"", ""Science!M:N""), 2, FALSE)"),"Students will explain the role of the forest as a habitat for different life forms.")</f>
        <v>Students will explain the role of the forest as a habitat for different life forms.</v>
      </c>
      <c r="M120" s="10" t="str">
        <f t="shared" si="2"/>
        <v>LU005321.003</v>
      </c>
      <c r="N120" s="10" t="str">
        <f ca="1">IFERROR(__xludf.DUMMYFUNCTION("VLOOKUP(M120, IMPORTRANGE(""https://docs.google.com/spreadsheets/d/1yDAaXNsi4Mr5FtRQL4tbmSdIzhx6_m4wkOD7IG-k_eo/edit#gid=1336395716"", ""Science!M:N""), 2, FALSE)"),"Students will apply concepts of food chains and food webs to map the energy flow in a forest ecosystem.")</f>
        <v>Students will apply concepts of food chains and food webs to map the energy flow in a forest ecosystem.</v>
      </c>
      <c r="O120" s="10" t="str">
        <f t="shared" si="3"/>
        <v>LU005321.004</v>
      </c>
      <c r="P120" s="10" t="str">
        <f ca="1">IFERROR(__xludf.DUMMYFUNCTION("VLOOKUP(O120, IMPORTRANGE(""https://docs.google.com/spreadsheets/d/1yDAaXNsi4Mr5FtRQL4tbmSdIzhx6_m4wkOD7IG-k_eo/edit#gid=1336395716"", ""Science!M:N""), 2, FALSE)"),"Students will analyze the interdependence of organisms within a forest habitat.")</f>
        <v>Students will analyze the interdependence of organisms within a forest habitat.</v>
      </c>
      <c r="Q120" s="10" t="str">
        <f t="shared" si="4"/>
        <v>LU005321.005</v>
      </c>
      <c r="R120" s="10" t="str">
        <f ca="1">IFERROR(__xludf.DUMMYFUNCTION("VLOOKUP(Q120, IMPORTRANGE(""https://docs.google.com/spreadsheets/d/1yDAaXNsi4Mr5FtRQL4tbmSdIzhx6_m4wkOD7IG-k_eo/edit#gid=1336395716"", ""Science!M:N""), 2, FALSE)"),"Students will evaluate the impact of external factors on the stability of forest ecosystems.")</f>
        <v>Students will evaluate the impact of external factors on the stability of forest ecosystems.</v>
      </c>
      <c r="S120" s="10" t="str">
        <f t="shared" si="5"/>
        <v>LU005321.006</v>
      </c>
      <c r="T120" s="10" t="str">
        <f ca="1">IFERROR(__xludf.DUMMYFUNCTION("VLOOKUP(S120, IMPORTRANGE(""https://docs.google.com/spreadsheets/d/1yDAaXNsi4Mr5FtRQL4tbmSdIzhx6_m4wkOD7IG-k_eo/edit#gid=1336395716"", ""Science!M:N""), 2, FALSE)"),"#N/A")</f>
        <v>#N/A</v>
      </c>
      <c r="U120" s="116">
        <f ca="1">IFERROR(__xludf.DUMMYFUNCTION("ArrayFormula(VLOOKUP(G120, IMPORTRANGE(""https://docs.google.com/spreadsheets/d/1p7R4vtkWt5VOBim4ltsDG9KTzSjrtKXsMtQGXPHyND0/edit#gid=795171502"", ""'Filter 30_05_2024'!A1:M2000""), {2, 3, 4, 5,6,7,8,9,10,11,12,13}, 0))"),13)</f>
        <v>13</v>
      </c>
      <c r="V120" s="116">
        <f ca="1">IFERROR(__xludf.DUMMYFUNCTION("""COMPUTED_VALUE"""),8)</f>
        <v>8</v>
      </c>
      <c r="W120" s="116">
        <f ca="1">IFERROR(__xludf.DUMMYFUNCTION("""COMPUTED_VALUE"""),1)</f>
        <v>1</v>
      </c>
      <c r="X120" s="116">
        <f ca="1">IFERROR(__xludf.DUMMYFUNCTION("""COMPUTED_VALUE"""),22)</f>
        <v>22</v>
      </c>
      <c r="Y120" s="116">
        <f ca="1">IFERROR(__xludf.DUMMYFUNCTION("""COMPUTED_VALUE"""),10)</f>
        <v>10</v>
      </c>
      <c r="Z120" s="12">
        <f ca="1">IFERROR(__xludf.DUMMYFUNCTION("""COMPUTED_VALUE"""),3)</f>
        <v>3</v>
      </c>
      <c r="AA120" s="12">
        <f ca="1">IFERROR(__xludf.DUMMYFUNCTION("""COMPUTED_VALUE"""),4)</f>
        <v>4</v>
      </c>
      <c r="AB120" s="12">
        <f ca="1">IFERROR(__xludf.DUMMYFUNCTION("""COMPUTED_VALUE"""),17)</f>
        <v>17</v>
      </c>
      <c r="AC120" s="12"/>
      <c r="AD120" s="12"/>
      <c r="AE120" s="12"/>
      <c r="AF120" s="12"/>
      <c r="AG120" s="13" t="str">
        <f ca="1">IFERROR(__xludf.DUMMYFUNCTION("ArrayFormula(VLOOKUP(G120, IMPORTRANGE(""https://docs.google.com/spreadsheets/d/1Co934fvtviyaRiMsrIlT05Jaq7iiYq07aLvRr35KA48/edit?gid=173865642#gid=173865642"", ""'G7_Sci_Pri_LU'!G2:V2000""), {3, 4, 5, 6, 7, 8, 9, 10, 11, 12, 13, 14, 15, 16}, 0))"),"LU005258")</f>
        <v>LU005258</v>
      </c>
      <c r="AH120" s="13" t="str">
        <f ca="1">IFERROR(__xludf.DUMMYFUNCTION("""COMPUTED_VALUE"""),"Definition of habitats and adaptations.")</f>
        <v>Definition of habitats and adaptations.</v>
      </c>
      <c r="AI120" s="13" t="str">
        <f ca="1">IFERROR(__xludf.DUMMYFUNCTION("""COMPUTED_VALUE"""),"LU005261")</f>
        <v>LU005261</v>
      </c>
      <c r="AJ120" s="13" t="str">
        <f ca="1">IFERROR(__xludf.DUMMYFUNCTION("""COMPUTED_VALUE"""),"Definition of food chain")</f>
        <v>Definition of food chain</v>
      </c>
      <c r="AK120" s="13" t="str">
        <f ca="1">IFERROR(__xludf.DUMMYFUNCTION("""COMPUTED_VALUE"""),"LU005024")</f>
        <v>LU005024</v>
      </c>
      <c r="AL120" s="13" t="str">
        <f ca="1">IFERROR(__xludf.DUMMYFUNCTION("""COMPUTED_VALUE"""),"Importance of Forests for Sustaining Lives")</f>
        <v>Importance of Forests for Sustaining Lives</v>
      </c>
      <c r="AM120" s="13"/>
      <c r="AN120" s="13"/>
      <c r="AO120" s="13"/>
      <c r="AP120" s="13"/>
      <c r="AQ120" s="13"/>
      <c r="AR120" s="13"/>
      <c r="AS120" s="13"/>
      <c r="AT120" s="13"/>
    </row>
    <row r="121" spans="1:46">
      <c r="A121" s="8" t="s">
        <v>247</v>
      </c>
      <c r="B121" s="8" t="s">
        <v>47</v>
      </c>
      <c r="C121" s="8" t="s">
        <v>416</v>
      </c>
      <c r="D121" s="8" t="s">
        <v>1406</v>
      </c>
      <c r="E121" s="8" t="s">
        <v>1988</v>
      </c>
      <c r="F121" s="8" t="s">
        <v>1989</v>
      </c>
      <c r="G121" s="8" t="s">
        <v>1991</v>
      </c>
      <c r="H121" s="8" t="str">
        <f ca="1">IFERROR(__xludf.DUMMYFUNCTION("VLOOKUP(G121, IMPORTRANGE(""https://docs.google.com/spreadsheets/d/14deopnvwcrKtEGCKuYXdUHJbeLDZlkiSSWWT0g7x2pM/edit#gid=849066331"", ""LU List Science (Filter)!A:B""), 2, FALSE)"),"Definition of various forest layers")</f>
        <v>Definition of various forest layers</v>
      </c>
      <c r="I121" s="10" t="str">
        <f t="shared" si="0"/>
        <v>LU005322.001</v>
      </c>
      <c r="J121" s="10" t="str">
        <f ca="1">IFERROR(__xludf.DUMMYFUNCTION("VLOOKUP(I121, IMPORTRANGE(""https://docs.google.com/spreadsheets/d/1yDAaXNsi4Mr5FtRQL4tbmSdIzhx6_m4wkOD7IG-k_eo/edit#gid=1336395716"", ""Science!M:N""), 2, FALSE)"),"Students will identify the different layers of a forest, such as the forest floor, understory, canopy, and emergent layer.")</f>
        <v>Students will identify the different layers of a forest, such as the forest floor, understory, canopy, and emergent layer.</v>
      </c>
      <c r="K121" s="10" t="str">
        <f t="shared" si="1"/>
        <v>LU005322.002</v>
      </c>
      <c r="L121" s="10" t="str">
        <f ca="1">IFERROR(__xludf.DUMMYFUNCTION("VLOOKUP(K121, IMPORTRANGE(""https://docs.google.com/spreadsheets/d/1yDAaXNsi4Mr5FtRQL4tbmSdIzhx6_m4wkOD7IG-k_eo/edit#gid=1336395716"", ""Science!M:N""), 2, FALSE)"),"Students will explain the characteristic features and importance of each forest layer.")</f>
        <v>Students will explain the characteristic features and importance of each forest layer.</v>
      </c>
      <c r="M121" s="10" t="str">
        <f t="shared" si="2"/>
        <v>LU005322.003</v>
      </c>
      <c r="N121" s="10" t="str">
        <f ca="1">IFERROR(__xludf.DUMMYFUNCTION("VLOOKUP(M121, IMPORTRANGE(""https://docs.google.com/spreadsheets/d/1yDAaXNsi4Mr5FtRQL4tbmSdIzhx6_m4wkOD7IG-k_eo/edit#gid=1336395716"", ""Science!M:N""), 2, FALSE)"),"Students will classify local forest species according to the layer of the forest they predominantly occupy.")</f>
        <v>Students will classify local forest species according to the layer of the forest they predominantly occupy.</v>
      </c>
      <c r="O121" s="10" t="str">
        <f t="shared" si="3"/>
        <v>LU005322.004</v>
      </c>
      <c r="P121" s="10" t="str">
        <f ca="1">IFERROR(__xludf.DUMMYFUNCTION("VLOOKUP(O121, IMPORTRANGE(""https://docs.google.com/spreadsheets/d/1yDAaXNsi4Mr5FtRQL4tbmSdIzhx6_m4wkOD7IG-k_eo/edit#gid=1336395716"", ""Science!M:N""), 2, FALSE)"),"Students will analyze the interdependence of the layers of a forest and how they contribute to the forest ecosystem as a whole.")</f>
        <v>Students will analyze the interdependence of the layers of a forest and how they contribute to the forest ecosystem as a whole.</v>
      </c>
      <c r="Q121" s="10" t="str">
        <f t="shared" si="4"/>
        <v>LU005322.005</v>
      </c>
      <c r="R121" s="10" t="str">
        <f ca="1">IFERROR(__xludf.DUMMYFUNCTION("VLOOKUP(Q121, IMPORTRANGE(""https://docs.google.com/spreadsheets/d/1yDAaXNsi4Mr5FtRQL4tbmSdIzhx6_m4wkOD7IG-k_eo/edit#gid=1336395716"", ""Science!M:N""), 2, FALSE)"),"Students will evaluate how changes in one layer of the forest could impact the overall health and balance of the forest ecosystem.")</f>
        <v>Students will evaluate how changes in one layer of the forest could impact the overall health and balance of the forest ecosystem.</v>
      </c>
      <c r="S121" s="10" t="str">
        <f t="shared" si="5"/>
        <v>LU005322.006</v>
      </c>
      <c r="T121" s="10" t="str">
        <f ca="1">IFERROR(__xludf.DUMMYFUNCTION("VLOOKUP(S121, IMPORTRANGE(""https://docs.google.com/spreadsheets/d/1yDAaXNsi4Mr5FtRQL4tbmSdIzhx6_m4wkOD7IG-k_eo/edit#gid=1336395716"", ""Science!M:N""), 2, FALSE)"),"#N/A")</f>
        <v>#N/A</v>
      </c>
      <c r="U121" s="116">
        <f ca="1">IFERROR(__xludf.DUMMYFUNCTION("ArrayFormula(VLOOKUP(G121, IMPORTRANGE(""https://docs.google.com/spreadsheets/d/1p7R4vtkWt5VOBim4ltsDG9KTzSjrtKXsMtQGXPHyND0/edit#gid=795171502"", ""'Filter 30_05_2024'!A1:M2000""), {2, 3, 4, 5,6,7,8,9,10,11,12,13}, 0))"),17)</f>
        <v>17</v>
      </c>
      <c r="V121" s="116">
        <f ca="1">IFERROR(__xludf.DUMMYFUNCTION("""COMPUTED_VALUE"""),7)</f>
        <v>7</v>
      </c>
      <c r="W121" s="116">
        <f ca="1">IFERROR(__xludf.DUMMYFUNCTION("""COMPUTED_VALUE"""),2)</f>
        <v>2</v>
      </c>
      <c r="X121" s="116">
        <f ca="1">IFERROR(__xludf.DUMMYFUNCTION("""COMPUTED_VALUE"""),26)</f>
        <v>26</v>
      </c>
      <c r="Y121" s="116">
        <f ca="1">IFERROR(__xludf.DUMMYFUNCTION("""COMPUTED_VALUE"""),9)</f>
        <v>9</v>
      </c>
      <c r="Z121" s="12">
        <f ca="1">IFERROR(__xludf.DUMMYFUNCTION("""COMPUTED_VALUE"""),3)</f>
        <v>3</v>
      </c>
      <c r="AA121" s="12">
        <f ca="1">IFERROR(__xludf.DUMMYFUNCTION("""COMPUTED_VALUE"""),1)</f>
        <v>1</v>
      </c>
      <c r="AB121" s="12">
        <f ca="1">IFERROR(__xludf.DUMMYFUNCTION("""COMPUTED_VALUE"""),13)</f>
        <v>13</v>
      </c>
      <c r="AC121" s="12"/>
      <c r="AD121" s="12"/>
      <c r="AE121" s="12"/>
      <c r="AF121" s="12"/>
      <c r="AG121" s="13" t="str">
        <f ca="1">IFERROR(__xludf.DUMMYFUNCTION("ArrayFormula(VLOOKUP(G121, IMPORTRANGE(""https://docs.google.com/spreadsheets/d/1Co934fvtviyaRiMsrIlT05Jaq7iiYq07aLvRr35KA48/edit?gid=173865642#gid=173865642"", ""'G7_Sci_Pri_LU'!G2:V2000""), {3, 4, 5, 6, 7, 8, 9, 10, 11, 12, 13, 14, 15, 16}, 0))"),"LU005321")</f>
        <v>LU005321</v>
      </c>
      <c r="AH121" s="13" t="str">
        <f ca="1">IFERROR(__xludf.DUMMYFUNCTION("""COMPUTED_VALUE"""),"Forest-animals and plants, habitat, food chains and food web")</f>
        <v>Forest-animals and plants, habitat, food chains and food web</v>
      </c>
      <c r="AI121" s="13" t="str">
        <f ca="1">IFERROR(__xludf.DUMMYFUNCTION("""COMPUTED_VALUE"""),"LU005258")</f>
        <v>LU005258</v>
      </c>
      <c r="AJ121" s="13" t="str">
        <f ca="1">IFERROR(__xludf.DUMMYFUNCTION("""COMPUTED_VALUE"""),"Definition of habitats and adaptations.")</f>
        <v>Definition of habitats and adaptations.</v>
      </c>
      <c r="AK121" s="13"/>
      <c r="AL121" s="13"/>
      <c r="AM121" s="13"/>
      <c r="AN121" s="13"/>
      <c r="AO121" s="13"/>
      <c r="AP121" s="13"/>
      <c r="AQ121" s="13"/>
      <c r="AR121" s="13"/>
      <c r="AS121" s="13"/>
      <c r="AT121" s="13"/>
    </row>
    <row r="122" spans="1:46">
      <c r="A122" s="8" t="s">
        <v>247</v>
      </c>
      <c r="B122" s="8" t="s">
        <v>47</v>
      </c>
      <c r="C122" s="8" t="s">
        <v>416</v>
      </c>
      <c r="D122" s="8" t="s">
        <v>1406</v>
      </c>
      <c r="E122" s="8" t="s">
        <v>1988</v>
      </c>
      <c r="F122" s="118" t="s">
        <v>1992</v>
      </c>
      <c r="G122" s="8" t="s">
        <v>1993</v>
      </c>
      <c r="H122" s="8" t="str">
        <f ca="1">IFERROR(__xludf.DUMMYFUNCTION("VLOOKUP(G122, IMPORTRANGE(""https://docs.google.com/spreadsheets/d/14deopnvwcrKtEGCKuYXdUHJbeLDZlkiSSWWT0g7x2pM/edit#gid=849066331"", ""LU List Science (Filter)!A:B""), 2, FALSE)"),"Decomposers' Role in Forest Health")</f>
        <v>Decomposers' Role in Forest Health</v>
      </c>
      <c r="I122" s="10" t="str">
        <f t="shared" si="0"/>
        <v>LU005964.001</v>
      </c>
      <c r="J122" s="10" t="str">
        <f ca="1">IFERROR(__xludf.DUMMYFUNCTION("VLOOKUP(I122, IMPORTRANGE(""https://docs.google.com/spreadsheets/d/1yDAaXNsi4Mr5FtRQL4tbmSdIzhx6_m4wkOD7IG-k_eo/edit#gid=1336395716"", ""Science!M:N""), 2, FALSE)"),"Recognize the different types of decomposers commonly found in a forest ecosystem.")</f>
        <v>Recognize the different types of decomposers commonly found in a forest ecosystem.</v>
      </c>
      <c r="K122" s="10" t="str">
        <f t="shared" si="1"/>
        <v>LU005964.002</v>
      </c>
      <c r="L122" s="10" t="str">
        <f ca="1">IFERROR(__xludf.DUMMYFUNCTION("VLOOKUP(K122, IMPORTRANGE(""https://docs.google.com/spreadsheets/d/1yDAaXNsi4Mr5FtRQL4tbmSdIzhx6_m4wkOD7IG-k_eo/edit#gid=1336395716"", ""Science!M:N""), 2, FALSE)"),"Summarize the role decomposers play in nutrient cycling within a forest environment.")</f>
        <v>Summarize the role decomposers play in nutrient cycling within a forest environment.</v>
      </c>
      <c r="M122" s="10" t="str">
        <f t="shared" si="2"/>
        <v>LU005964.003</v>
      </c>
      <c r="N122" s="10" t="str">
        <f ca="1">IFERROR(__xludf.DUMMYFUNCTION("VLOOKUP(M122, IMPORTRANGE(""https://docs.google.com/spreadsheets/d/1yDAaXNsi4Mr5FtRQL4tbmSdIzhx6_m4wkOD7IG-k_eo/edit#gid=1336395716"", ""Science!M:N""), 2, FALSE)"),"Apply knowledge of decomposers to explain their function in a forest's food web.")</f>
        <v>Apply knowledge of decomposers to explain their function in a forest's food web.</v>
      </c>
      <c r="O122" s="10" t="str">
        <f t="shared" si="3"/>
        <v>LU005964.004</v>
      </c>
      <c r="P122" s="10" t="str">
        <f ca="1">IFERROR(__xludf.DUMMYFUNCTION("VLOOKUP(O122, IMPORTRANGE(""https://docs.google.com/spreadsheets/d/1yDAaXNsi4Mr5FtRQL4tbmSdIzhx6_m4wkOD7IG-k_eo/edit#gid=1336395716"", ""Science!M:N""), 2, FALSE)"),"Differentiate between the processes of decomposition and composting in the context of forest ecology.")</f>
        <v>Differentiate between the processes of decomposition and composting in the context of forest ecology.</v>
      </c>
      <c r="Q122" s="10" t="str">
        <f t="shared" si="4"/>
        <v>LU005964.005</v>
      </c>
      <c r="R122" s="10" t="str">
        <f ca="1">IFERROR(__xludf.DUMMYFUNCTION("VLOOKUP(Q122, IMPORTRANGE(""https://docs.google.com/spreadsheets/d/1yDAaXNsi4Mr5FtRQL4tbmSdIzhx6_m4wkOD7IG-k_eo/edit#gid=1336395716"", ""Science!M:N""), 2, FALSE)"),"Evaluate the impact of decomposers on soil health and forest sustainability.")</f>
        <v>Evaluate the impact of decomposers on soil health and forest sustainability.</v>
      </c>
      <c r="S122" s="10" t="str">
        <f t="shared" si="5"/>
        <v>LU005964.006</v>
      </c>
      <c r="T122" s="10" t="str">
        <f ca="1">IFERROR(__xludf.DUMMYFUNCTION("VLOOKUP(S122, IMPORTRANGE(""https://docs.google.com/spreadsheets/d/1yDAaXNsi4Mr5FtRQL4tbmSdIzhx6_m4wkOD7IG-k_eo/edit#gid=1336395716"", ""Science!M:N""), 2, FALSE)"),"Devise a project to demonstrate the process of decomposition using real-world examples.")</f>
        <v>Devise a project to demonstrate the process of decomposition using real-world examples.</v>
      </c>
      <c r="U122" s="116">
        <f ca="1">IFERROR(__xludf.DUMMYFUNCTION("ArrayFormula(VLOOKUP(G122, IMPORTRANGE(""https://docs.google.com/spreadsheets/d/1p7R4vtkWt5VOBim4ltsDG9KTzSjrtKXsMtQGXPHyND0/edit#gid=795171502"", ""'Filter 30_05_2024'!A1:M2000""), {2, 3, 4, 5,6,7,8,9,10,11,12,13}, 0))"),11)</f>
        <v>11</v>
      </c>
      <c r="V122" s="116">
        <f ca="1">IFERROR(__xludf.DUMMYFUNCTION("""COMPUTED_VALUE"""),7)</f>
        <v>7</v>
      </c>
      <c r="W122" s="116">
        <f ca="1">IFERROR(__xludf.DUMMYFUNCTION("""COMPUTED_VALUE"""),2)</f>
        <v>2</v>
      </c>
      <c r="X122" s="116">
        <f ca="1">IFERROR(__xludf.DUMMYFUNCTION("""COMPUTED_VALUE"""),20)</f>
        <v>20</v>
      </c>
      <c r="Y122" s="116">
        <f ca="1">IFERROR(__xludf.DUMMYFUNCTION("""COMPUTED_VALUE"""),5)</f>
        <v>5</v>
      </c>
      <c r="Z122" s="12">
        <f ca="1">IFERROR(__xludf.DUMMYFUNCTION("""COMPUTED_VALUE"""),5)</f>
        <v>5</v>
      </c>
      <c r="AA122" s="12">
        <f ca="1">IFERROR(__xludf.DUMMYFUNCTION("""COMPUTED_VALUE"""),1)</f>
        <v>1</v>
      </c>
      <c r="AB122" s="12">
        <f ca="1">IFERROR(__xludf.DUMMYFUNCTION("""COMPUTED_VALUE"""),11)</f>
        <v>11</v>
      </c>
      <c r="AC122" s="12"/>
      <c r="AD122" s="12"/>
      <c r="AE122" s="12"/>
      <c r="AF122" s="12"/>
      <c r="AG122" s="13" t="str">
        <f ca="1">IFERROR(__xludf.DUMMYFUNCTION("ArrayFormula(VLOOKUP(G122, IMPORTRANGE(""https://docs.google.com/spreadsheets/d/1Co934fvtviyaRiMsrIlT05Jaq7iiYq07aLvRr35KA48/edit?gid=173865642#gid=173865642"", ""'G7_Sci_Pri_LU'!G2:V2000""), {3, 4, 5, 6, 7, 8, 9, 10, 11, 12, 13, 14, 15, 16}, 0))"),"LU005259")</f>
        <v>LU005259</v>
      </c>
      <c r="AH122" s="13" t="str">
        <f ca="1">IFERROR(__xludf.DUMMYFUNCTION("""COMPUTED_VALUE"""),"Definition of biotic components")</f>
        <v>Definition of biotic components</v>
      </c>
      <c r="AI122" s="13" t="str">
        <f ca="1">IFERROR(__xludf.DUMMYFUNCTION("""COMPUTED_VALUE"""),"LU005321")</f>
        <v>LU005321</v>
      </c>
      <c r="AJ122" s="13" t="str">
        <f ca="1">IFERROR(__xludf.DUMMYFUNCTION("""COMPUTED_VALUE"""),"Forest-animals and plants, habitat, food chains and food web")</f>
        <v>Forest-animals and plants, habitat, food chains and food web</v>
      </c>
      <c r="AK122" s="13" t="str">
        <f ca="1">IFERROR(__xludf.DUMMYFUNCTION("""COMPUTED_VALUE"""),"LU005260")</f>
        <v>LU005260</v>
      </c>
      <c r="AL122" s="13" t="str">
        <f ca="1">IFERROR(__xludf.DUMMYFUNCTION("""COMPUTED_VALUE"""),"Definition of biodegradable and non-biodegradable substances")</f>
        <v>Definition of biodegradable and non-biodegradable substances</v>
      </c>
      <c r="AM122" s="13"/>
      <c r="AN122" s="13"/>
      <c r="AO122" s="13"/>
      <c r="AP122" s="13"/>
      <c r="AQ122" s="13"/>
      <c r="AR122" s="13"/>
      <c r="AS122" s="13"/>
      <c r="AT122" s="13"/>
    </row>
    <row r="123" spans="1:46">
      <c r="A123" s="8" t="s">
        <v>247</v>
      </c>
      <c r="B123" s="8" t="s">
        <v>47</v>
      </c>
      <c r="C123" s="8" t="s">
        <v>416</v>
      </c>
      <c r="D123" s="8" t="s">
        <v>1406</v>
      </c>
      <c r="E123" s="8" t="s">
        <v>1988</v>
      </c>
      <c r="F123" s="8" t="s">
        <v>1992</v>
      </c>
      <c r="G123" s="8" t="s">
        <v>1994</v>
      </c>
      <c r="H123" s="8" t="str">
        <f ca="1">IFERROR(__xludf.DUMMYFUNCTION("VLOOKUP(G123, IMPORTRANGE(""https://docs.google.com/spreadsheets/d/14deopnvwcrKtEGCKuYXdUHJbeLDZlkiSSWWT0g7x2pM/edit#gid=849066331"", ""LU List Science (Filter)!A:B""), 2, FALSE)"),"Forest an independent and dynamic entity, and lungs of Earth.")</f>
        <v>Forest an independent and dynamic entity, and lungs of Earth.</v>
      </c>
      <c r="I123" s="10" t="str">
        <f t="shared" si="0"/>
        <v>LU005323.001</v>
      </c>
      <c r="J123" s="10" t="str">
        <f ca="1">IFERROR(__xludf.DUMMYFUNCTION("VLOOKUP(I123, IMPORTRANGE(""https://docs.google.com/spreadsheets/d/1yDAaXNsi4Mr5FtRQL4tbmSdIzhx6_m4wkOD7IG-k_eo/edit#gid=1336395716"", ""Science!M:N""), 2, FALSE)"),"Students will identify the key components of a forest ecosystem and its role as the Earth's lungs.")</f>
        <v>Students will identify the key components of a forest ecosystem and its role as the Earth's lungs.</v>
      </c>
      <c r="K123" s="10" t="str">
        <f t="shared" si="1"/>
        <v>LU005323.002</v>
      </c>
      <c r="L123" s="10" t="str">
        <f ca="1">IFERROR(__xludf.DUMMYFUNCTION("VLOOKUP(K123, IMPORTRANGE(""https://docs.google.com/spreadsheets/d/1yDAaXNsi4Mr5FtRQL4tbmSdIzhx6_m4wkOD7IG-k_eo/edit#gid=1336395716"", ""Science!M:N""), 2, FALSE)"),"Students will interpret the concept of the forest as a dynamic living entity, explaining its functions and significance.")</f>
        <v>Students will interpret the concept of the forest as a dynamic living entity, explaining its functions and significance.</v>
      </c>
      <c r="M123" s="10" t="str">
        <f t="shared" si="2"/>
        <v>LU005323.003</v>
      </c>
      <c r="N123" s="10" t="str">
        <f ca="1">IFERROR(__xludf.DUMMYFUNCTION("VLOOKUP(M123, IMPORTRANGE(""https://docs.google.com/spreadsheets/d/1yDAaXNsi4Mr5FtRQL4tbmSdIzhx6_m4wkOD7IG-k_eo/edit#gid=1336395716"", ""Science!M:N""), 2, FALSE)"),"Students will apply the knowledge of forest dynamics to scenarios showing forest growth and change over time.")</f>
        <v>Students will apply the knowledge of forest dynamics to scenarios showing forest growth and change over time.</v>
      </c>
      <c r="O123" s="10" t="str">
        <f t="shared" si="3"/>
        <v>LU005323.004</v>
      </c>
      <c r="P123" s="10" t="str">
        <f ca="1">IFERROR(__xludf.DUMMYFUNCTION("VLOOKUP(O123, IMPORTRANGE(""https://docs.google.com/spreadsheets/d/1yDAaXNsi4Mr5FtRQL4tbmSdIzhx6_m4wkOD7IG-k_eo/edit#gid=1336395716"", ""Science!M:N""), 2, FALSE)"),"Students will analyze the interdependent relationships between flora and fauna within a forest ecosystem.")</f>
        <v>Students will analyze the interdependent relationships between flora and fauna within a forest ecosystem.</v>
      </c>
      <c r="Q123" s="10" t="str">
        <f t="shared" si="4"/>
        <v>LU005323.005</v>
      </c>
      <c r="R123" s="10" t="str">
        <f ca="1">IFERROR(__xludf.DUMMYFUNCTION("VLOOKUP(Q123, IMPORTRANGE(""https://docs.google.com/spreadsheets/d/1yDAaXNsi4Mr5FtRQL4tbmSdIzhx6_m4wkOD7IG-k_eo/edit#gid=1336395716"", ""Science!M:N""), 2, FALSE)"),"Students will evaluate the impact of human activities on forests and propose measures for sustainable forest management.")</f>
        <v>Students will evaluate the impact of human activities on forests and propose measures for sustainable forest management.</v>
      </c>
      <c r="S123" s="10" t="str">
        <f t="shared" si="5"/>
        <v>LU005323.006</v>
      </c>
      <c r="T123" s="10" t="str">
        <f ca="1">IFERROR(__xludf.DUMMYFUNCTION("VLOOKUP(S123, IMPORTRANGE(""https://docs.google.com/spreadsheets/d/1yDAaXNsi4Mr5FtRQL4tbmSdIzhx6_m4wkOD7IG-k_eo/edit#gid=1336395716"", ""Science!M:N""), 2, FALSE)"),"#N/A")</f>
        <v>#N/A</v>
      </c>
      <c r="U123" s="116">
        <f ca="1">IFERROR(__xludf.DUMMYFUNCTION("ArrayFormula(VLOOKUP(G123, IMPORTRANGE(""https://docs.google.com/spreadsheets/d/1p7R4vtkWt5VOBim4ltsDG9KTzSjrtKXsMtQGXPHyND0/edit#gid=795171502"", ""'Filter 30_05_2024'!A1:M2000""), {2, 3, 4, 5,6,7,8,9,10,11,12,13}, 0))"),14)</f>
        <v>14</v>
      </c>
      <c r="V123" s="116">
        <f ca="1">IFERROR(__xludf.DUMMYFUNCTION("""COMPUTED_VALUE"""),8)</f>
        <v>8</v>
      </c>
      <c r="W123" s="116">
        <f ca="1">IFERROR(__xludf.DUMMYFUNCTION("""COMPUTED_VALUE"""),1)</f>
        <v>1</v>
      </c>
      <c r="X123" s="116">
        <f ca="1">IFERROR(__xludf.DUMMYFUNCTION("""COMPUTED_VALUE"""),23)</f>
        <v>23</v>
      </c>
      <c r="Y123" s="116">
        <f ca="1">IFERROR(__xludf.DUMMYFUNCTION("""COMPUTED_VALUE"""),10)</f>
        <v>10</v>
      </c>
      <c r="Z123" s="12">
        <f ca="1">IFERROR(__xludf.DUMMYFUNCTION("""COMPUTED_VALUE"""),4)</f>
        <v>4</v>
      </c>
      <c r="AA123" s="12">
        <f ca="1">IFERROR(__xludf.DUMMYFUNCTION("""COMPUTED_VALUE"""),1)</f>
        <v>1</v>
      </c>
      <c r="AB123" s="12">
        <f ca="1">IFERROR(__xludf.DUMMYFUNCTION("""COMPUTED_VALUE"""),15)</f>
        <v>15</v>
      </c>
      <c r="AC123" s="12"/>
      <c r="AD123" s="12"/>
      <c r="AE123" s="12"/>
      <c r="AF123" s="12"/>
      <c r="AG123" s="13" t="str">
        <f ca="1">IFERROR(__xludf.DUMMYFUNCTION("ArrayFormula(VLOOKUP(G123, IMPORTRANGE(""https://docs.google.com/spreadsheets/d/1Co934fvtviyaRiMsrIlT05Jaq7iiYq07aLvRr35KA48/edit?gid=173865642#gid=173865642"", ""'G7_Sci_Pri_LU'!G2:V2000""), {3, 4, 5, 6, 7, 8, 9, 10, 11, 12, 13, 14, 15, 16}, 0))"),"LU005964")</f>
        <v>LU005964</v>
      </c>
      <c r="AH123" s="13" t="str">
        <f ca="1">IFERROR(__xludf.DUMMYFUNCTION("""COMPUTED_VALUE"""),"Decomposers' Role in Forest Health")</f>
        <v>Decomposers' Role in Forest Health</v>
      </c>
      <c r="AI123" s="13" t="str">
        <f ca="1">IFERROR(__xludf.DUMMYFUNCTION("""COMPUTED_VALUE"""),"LU005944")</f>
        <v>LU005944</v>
      </c>
      <c r="AJ123" s="13" t="str">
        <f ca="1">IFERROR(__xludf.DUMMYFUNCTION("""COMPUTED_VALUE"""),"Introduction to photosynthesis process in plants")</f>
        <v>Introduction to photosynthesis process in plants</v>
      </c>
      <c r="AK123" s="13" t="str">
        <f ca="1">IFERROR(__xludf.DUMMYFUNCTION("""COMPUTED_VALUE"""),"LU005769")</f>
        <v>LU005769</v>
      </c>
      <c r="AL123" s="13" t="str">
        <f ca="1">IFERROR(__xludf.DUMMYFUNCTION("""COMPUTED_VALUE"""),"Soil erosion (Definition and Causes) ")</f>
        <v xml:space="preserve">Soil erosion (Definition and Causes) </v>
      </c>
      <c r="AM123" s="13"/>
      <c r="AN123" s="13"/>
      <c r="AO123" s="13"/>
      <c r="AP123" s="13"/>
      <c r="AQ123" s="13"/>
      <c r="AR123" s="13"/>
      <c r="AS123" s="13"/>
      <c r="AT123" s="13"/>
    </row>
    <row r="124" spans="1:46">
      <c r="A124" s="8" t="s">
        <v>247</v>
      </c>
      <c r="B124" s="8" t="s">
        <v>47</v>
      </c>
      <c r="C124" s="8" t="s">
        <v>416</v>
      </c>
      <c r="D124" s="8" t="s">
        <v>1406</v>
      </c>
      <c r="E124" s="8" t="s">
        <v>1988</v>
      </c>
      <c r="F124" s="8" t="s">
        <v>1995</v>
      </c>
      <c r="G124" s="8" t="s">
        <v>1996</v>
      </c>
      <c r="H124" s="8" t="str">
        <f ca="1">IFERROR(__xludf.DUMMYFUNCTION("VLOOKUP(G124, IMPORTRANGE(""https://docs.google.com/spreadsheets/d/14deopnvwcrKtEGCKuYXdUHJbeLDZlkiSSWWT0g7x2pM/edit#gid=849066331"", ""LU List Science (Filter)!A:B""), 2, FALSE)"),"Definition of deforestation and its consequences")</f>
        <v>Definition of deforestation and its consequences</v>
      </c>
      <c r="I124" s="10" t="str">
        <f t="shared" si="0"/>
        <v>LU005324.001</v>
      </c>
      <c r="J124" s="10" t="str">
        <f ca="1">IFERROR(__xludf.DUMMYFUNCTION("VLOOKUP(I124, IMPORTRANGE(""https://docs.google.com/spreadsheets/d/1yDAaXNsi4Mr5FtRQL4tbmSdIzhx6_m4wkOD7IG-k_eo/edit#gid=1336395716"", ""Science!M:N""), 2, FALSE)"),"Students will define deforestation and list its primary causes.")</f>
        <v>Students will define deforestation and list its primary causes.</v>
      </c>
      <c r="K124" s="10" t="str">
        <f t="shared" si="1"/>
        <v>LU005324.002</v>
      </c>
      <c r="L124" s="10" t="str">
        <f ca="1">IFERROR(__xludf.DUMMYFUNCTION("VLOOKUP(K124, IMPORTRANGE(""https://docs.google.com/spreadsheets/d/1yDAaXNsi4Mr5FtRQL4tbmSdIzhx6_m4wkOD7IG-k_eo/edit#gid=1336395716"", ""Science!M:N""), 2, FALSE)"),"Students will explain the environmental, social, and economic consequences of deforestation.")</f>
        <v>Students will explain the environmental, social, and economic consequences of deforestation.</v>
      </c>
      <c r="M124" s="10" t="str">
        <f t="shared" si="2"/>
        <v>LU005324.003</v>
      </c>
      <c r="N124" s="10" t="str">
        <f ca="1">IFERROR(__xludf.DUMMYFUNCTION("VLOOKUP(M124, IMPORTRANGE(""https://docs.google.com/spreadsheets/d/1yDAaXNsi4Mr5FtRQL4tbmSdIzhx6_m4wkOD7IG-k_eo/edit#gid=1336395716"", ""Science!M:N""), 2, FALSE)"),"Students will demonstrate the impact of deforestation through a role-play activity or a visual presentation.")</f>
        <v>Students will demonstrate the impact of deforestation through a role-play activity or a visual presentation.</v>
      </c>
      <c r="O124" s="10" t="str">
        <f t="shared" si="3"/>
        <v>LU005324.004</v>
      </c>
      <c r="P124" s="10" t="str">
        <f ca="1">IFERROR(__xludf.DUMMYFUNCTION("VLOOKUP(O124, IMPORTRANGE(""https://docs.google.com/spreadsheets/d/1yDAaXNsi4Mr5FtRQL4tbmSdIzhx6_m4wkOD7IG-k_eo/edit#gid=1336395716"", ""Science!M:N""), 2, FALSE)"),"Students will compare deforestation rates using global data and relate them to biodiversity loss and climate change.")</f>
        <v>Students will compare deforestation rates using global data and relate them to biodiversity loss and climate change.</v>
      </c>
      <c r="Q124" s="10" t="str">
        <f t="shared" si="4"/>
        <v>LU005324.005</v>
      </c>
      <c r="R124" s="10" t="str">
        <f ca="1">IFERROR(__xludf.DUMMYFUNCTION("VLOOKUP(Q124, IMPORTRANGE(""https://docs.google.com/spreadsheets/d/1yDAaXNsi4Mr5FtRQL4tbmSdIzhx6_m4wkOD7IG-k_eo/edit#gid=1336395716"", ""Science!M:N""), 2, FALSE)"),"Students will assess the effectiveness of various conservation strategies aimed at reducing deforestation.")</f>
        <v>Students will assess the effectiveness of various conservation strategies aimed at reducing deforestation.</v>
      </c>
      <c r="S124" s="10" t="str">
        <f t="shared" si="5"/>
        <v>LU005324.006</v>
      </c>
      <c r="T124" s="10" t="str">
        <f ca="1">IFERROR(__xludf.DUMMYFUNCTION("VLOOKUP(S124, IMPORTRANGE(""https://docs.google.com/spreadsheets/d/1yDAaXNsi4Mr5FtRQL4tbmSdIzhx6_m4wkOD7IG-k_eo/edit#gid=1336395716"", ""Science!M:N""), 2, FALSE)"),"#N/A")</f>
        <v>#N/A</v>
      </c>
      <c r="U124" s="116">
        <f ca="1">IFERROR(__xludf.DUMMYFUNCTION("ArrayFormula(VLOOKUP(G124, IMPORTRANGE(""https://docs.google.com/spreadsheets/d/1p7R4vtkWt5VOBim4ltsDG9KTzSjrtKXsMtQGXPHyND0/edit#gid=795171502"", ""'Filter 30_05_2024'!A1:M2000""), {2, 3, 4, 5,6,7,8,9,10,11,12,13}, 0))"),16)</f>
        <v>16</v>
      </c>
      <c r="V124" s="116">
        <f ca="1">IFERROR(__xludf.DUMMYFUNCTION("""COMPUTED_VALUE"""),14)</f>
        <v>14</v>
      </c>
      <c r="W124" s="116">
        <f ca="1">IFERROR(__xludf.DUMMYFUNCTION("""COMPUTED_VALUE"""),3)</f>
        <v>3</v>
      </c>
      <c r="X124" s="116">
        <f ca="1">IFERROR(__xludf.DUMMYFUNCTION("""COMPUTED_VALUE"""),33)</f>
        <v>33</v>
      </c>
      <c r="Y124" s="116">
        <f ca="1">IFERROR(__xludf.DUMMYFUNCTION("""COMPUTED_VALUE"""),9)</f>
        <v>9</v>
      </c>
      <c r="Z124" s="12">
        <f ca="1">IFERROR(__xludf.DUMMYFUNCTION("""COMPUTED_VALUE"""),6)</f>
        <v>6</v>
      </c>
      <c r="AA124" s="12">
        <f ca="1">IFERROR(__xludf.DUMMYFUNCTION("""COMPUTED_VALUE"""),3)</f>
        <v>3</v>
      </c>
      <c r="AB124" s="12">
        <f ca="1">IFERROR(__xludf.DUMMYFUNCTION("""COMPUTED_VALUE"""),18)</f>
        <v>18</v>
      </c>
      <c r="AC124" s="12"/>
      <c r="AD124" s="12"/>
      <c r="AE124" s="12"/>
      <c r="AF124" s="12"/>
      <c r="AG124" s="13" t="str">
        <f ca="1">IFERROR(__xludf.DUMMYFUNCTION("ArrayFormula(VLOOKUP(G124, IMPORTRANGE(""https://docs.google.com/spreadsheets/d/1Co934fvtviyaRiMsrIlT05Jaq7iiYq07aLvRr35KA48/edit?gid=173865642#gid=173865642"", ""'G7_Sci_Pri_LU'!G2:V2000""), {3, 4, 5, 6, 7, 8, 9, 10, 11, 12, 13, 14, 15, 16}, 0))"),"LU005944")</f>
        <v>LU005944</v>
      </c>
      <c r="AH124" s="13" t="str">
        <f ca="1">IFERROR(__xludf.DUMMYFUNCTION("""COMPUTED_VALUE"""),"Introduction to photosynthesis process in plants")</f>
        <v>Introduction to photosynthesis process in plants</v>
      </c>
      <c r="AI124" s="13" t="str">
        <f ca="1">IFERROR(__xludf.DUMMYFUNCTION("""COMPUTED_VALUE"""),"LU005769")</f>
        <v>LU005769</v>
      </c>
      <c r="AJ124" s="13" t="str">
        <f ca="1">IFERROR(__xludf.DUMMYFUNCTION("""COMPUTED_VALUE"""),"Soil erosion (Definition and Causes) ")</f>
        <v xml:space="preserve">Soil erosion (Definition and Causes) </v>
      </c>
      <c r="AK124" s="13" t="str">
        <f ca="1">IFERROR(__xludf.DUMMYFUNCTION("""COMPUTED_VALUE"""),"LU005321")</f>
        <v>LU005321</v>
      </c>
      <c r="AL124" s="13" t="str">
        <f ca="1">IFERROR(__xludf.DUMMYFUNCTION("""COMPUTED_VALUE"""),"Forest-animals and plants, habitat, food chains and food web")</f>
        <v>Forest-animals and plants, habitat, food chains and food web</v>
      </c>
      <c r="AM124" s="13"/>
      <c r="AN124" s="13"/>
      <c r="AO124" s="13"/>
      <c r="AP124" s="13"/>
      <c r="AQ124" s="13"/>
      <c r="AR124" s="13"/>
      <c r="AS124" s="13"/>
      <c r="AT124" s="13"/>
    </row>
    <row r="125" spans="1:46">
      <c r="A125" s="8" t="s">
        <v>247</v>
      </c>
      <c r="B125" s="8" t="s">
        <v>47</v>
      </c>
      <c r="C125" s="8" t="s">
        <v>416</v>
      </c>
      <c r="D125" s="8" t="s">
        <v>1406</v>
      </c>
      <c r="E125" s="8" t="s">
        <v>1988</v>
      </c>
      <c r="F125" s="8" t="s">
        <v>1995</v>
      </c>
      <c r="G125" s="8" t="s">
        <v>1997</v>
      </c>
      <c r="H125" s="8" t="str">
        <f ca="1">IFERROR(__xludf.DUMMYFUNCTION("VLOOKUP(G125, IMPORTRANGE(""https://docs.google.com/spreadsheets/d/14deopnvwcrKtEGCKuYXdUHJbeLDZlkiSSWWT0g7x2pM/edit#gid=849066331"", ""LU List Science (Filter)!A:B""), 2, FALSE)"),"Importance of Forests")</f>
        <v>Importance of Forests</v>
      </c>
      <c r="I125" s="10" t="str">
        <f t="shared" si="0"/>
        <v>LU005325.001</v>
      </c>
      <c r="J125" s="10" t="str">
        <f ca="1">IFERROR(__xludf.DUMMYFUNCTION("VLOOKUP(I125, IMPORTRANGE(""https://docs.google.com/spreadsheets/d/1yDAaXNsi4Mr5FtRQL4tbmSdIzhx6_m4wkOD7IG-k_eo/edit#gid=1336395716"", ""Science!M:N""), 2, FALSE)"),"Recall and list three economic benefits provided by forests, such as timber, medicinal plants, and non-timber forest products.")</f>
        <v>Recall and list three economic benefits provided by forests, such as timber, medicinal plants, and non-timber forest products.</v>
      </c>
      <c r="K125" s="10" t="str">
        <f t="shared" si="1"/>
        <v>LU005325.002</v>
      </c>
      <c r="L125" s="10" t="str">
        <f ca="1">IFERROR(__xludf.DUMMYFUNCTION("VLOOKUP(K125, IMPORTRANGE(""https://docs.google.com/spreadsheets/d/1yDAaXNsi4Mr5FtRQL4tbmSdIzhx6_m4wkOD7IG-k_eo/edit#gid=1336395716"", ""Science!M:N""), 2, FALSE)"),"Explain in your own words how forests serve as a home for tribal populations, including their cultural and social significance.")</f>
        <v>Explain in your own words how forests serve as a home for tribal populations, including their cultural and social significance.</v>
      </c>
      <c r="M125" s="10" t="str">
        <f t="shared" si="2"/>
        <v>LU005325.003</v>
      </c>
      <c r="N125" s="10" t="str">
        <f ca="1">IFERROR(__xludf.DUMMYFUNCTION("VLOOKUP(M125, IMPORTRANGE(""https://docs.google.com/spreadsheets/d/1yDAaXNsi4Mr5FtRQL4tbmSdIzhx6_m4wkOD7IG-k_eo/edit#gid=1336395716"", ""Science!M:N""), 2, FALSE)"),"Given a scenario, analyze and propose a sustainable approach to harvesting timber from forests that balances economic benefits and ecological conservation.")</f>
        <v>Given a scenario, analyze and propose a sustainable approach to harvesting timber from forests that balances economic benefits and ecological conservation.</v>
      </c>
      <c r="O125" s="10" t="str">
        <f t="shared" si="3"/>
        <v>LU005325.004</v>
      </c>
      <c r="P125" s="10" t="str">
        <f ca="1">IFERROR(__xludf.DUMMYFUNCTION("VLOOKUP(O125, IMPORTRANGE(""https://docs.google.com/spreadsheets/d/1yDAaXNsi4Mr5FtRQL4tbmSdIzhx6_m4wkOD7IG-k_eo/edit#gid=1336395716"", ""Science!M:N""), 2, FALSE)"),"#N/A")</f>
        <v>#N/A</v>
      </c>
      <c r="Q125" s="10" t="str">
        <f t="shared" si="4"/>
        <v>LU005325.005</v>
      </c>
      <c r="R125" s="10" t="str">
        <f ca="1">IFERROR(__xludf.DUMMYFUNCTION("VLOOKUP(Q125, IMPORTRANGE(""https://docs.google.com/spreadsheets/d/1yDAaXNsi4Mr5FtRQL4tbmSdIzhx6_m4wkOD7IG-k_eo/edit#gid=1336395716"", ""Science!M:N""), 2, FALSE)"),"#N/A")</f>
        <v>#N/A</v>
      </c>
      <c r="S125" s="10" t="str">
        <f t="shared" si="5"/>
        <v>LU005325.006</v>
      </c>
      <c r="T125" s="10" t="str">
        <f ca="1">IFERROR(__xludf.DUMMYFUNCTION("VLOOKUP(S125, IMPORTRANGE(""https://docs.google.com/spreadsheets/d/1yDAaXNsi4Mr5FtRQL4tbmSdIzhx6_m4wkOD7IG-k_eo/edit#gid=1336395716"", ""Science!M:N""), 2, FALSE)"),"#N/A")</f>
        <v>#N/A</v>
      </c>
      <c r="U125" s="116">
        <f ca="1">IFERROR(__xludf.DUMMYFUNCTION("ArrayFormula(VLOOKUP(G125, IMPORTRANGE(""https://docs.google.com/spreadsheets/d/1p7R4vtkWt5VOBim4ltsDG9KTzSjrtKXsMtQGXPHyND0/edit#gid=795171502"", ""'Filter 30_05_2024'!A1:M2000""), {2, 3, 4, 5,6,7,8,9,10,11,12,13}, 0))"),13)</f>
        <v>13</v>
      </c>
      <c r="V125" s="116">
        <f ca="1">IFERROR(__xludf.DUMMYFUNCTION("""COMPUTED_VALUE"""),8)</f>
        <v>8</v>
      </c>
      <c r="W125" s="116"/>
      <c r="X125" s="116">
        <f ca="1">IFERROR(__xludf.DUMMYFUNCTION("""COMPUTED_VALUE"""),21)</f>
        <v>21</v>
      </c>
      <c r="Y125" s="116">
        <f ca="1">IFERROR(__xludf.DUMMYFUNCTION("""COMPUTED_VALUE"""),4)</f>
        <v>4</v>
      </c>
      <c r="Z125" s="12">
        <f ca="1">IFERROR(__xludf.DUMMYFUNCTION("""COMPUTED_VALUE"""),4)</f>
        <v>4</v>
      </c>
      <c r="AA125" s="12"/>
      <c r="AB125" s="12">
        <f ca="1">IFERROR(__xludf.DUMMYFUNCTION("""COMPUTED_VALUE"""),8)</f>
        <v>8</v>
      </c>
      <c r="AC125" s="12"/>
      <c r="AD125" s="12"/>
      <c r="AE125" s="12"/>
      <c r="AF125" s="12"/>
      <c r="AG125" s="13" t="str">
        <f ca="1">IFERROR(__xludf.DUMMYFUNCTION("ArrayFormula(VLOOKUP(G125, IMPORTRANGE(""https://docs.google.com/spreadsheets/d/1Co934fvtviyaRiMsrIlT05Jaq7iiYq07aLvRr35KA48/edit?gid=173865642#gid=173865642"", ""'G7_Sci_Pri_LU'!G2:V2000""), {3, 4, 5, 6, 7, 8, 9, 10, 11, 12, 13, 14, 15, 16}, 0))"),"LU005324")</f>
        <v>LU005324</v>
      </c>
      <c r="AH125" s="13" t="str">
        <f ca="1">IFERROR(__xludf.DUMMYFUNCTION("""COMPUTED_VALUE"""),"Definition of deforestation and its consequences")</f>
        <v>Definition of deforestation and its consequences</v>
      </c>
      <c r="AI125" s="13" t="str">
        <f ca="1">IFERROR(__xludf.DUMMYFUNCTION("""COMPUTED_VALUE"""),"LU005321")</f>
        <v>LU005321</v>
      </c>
      <c r="AJ125" s="13" t="str">
        <f ca="1">IFERROR(__xludf.DUMMYFUNCTION("""COMPUTED_VALUE"""),"Forest-animals and plants, habitat, food chains and food web")</f>
        <v>Forest-animals and plants, habitat, food chains and food web</v>
      </c>
      <c r="AK125" s="13"/>
      <c r="AL125" s="13"/>
      <c r="AM125" s="13"/>
      <c r="AN125" s="13"/>
      <c r="AO125" s="13"/>
      <c r="AP125" s="13"/>
      <c r="AQ125" s="13"/>
      <c r="AR125" s="13"/>
      <c r="AS125" s="13"/>
      <c r="AT125" s="13"/>
    </row>
    <row r="126" spans="1:46">
      <c r="A126" s="8" t="s">
        <v>247</v>
      </c>
      <c r="B126" s="8" t="s">
        <v>47</v>
      </c>
      <c r="C126" s="8" t="s">
        <v>416</v>
      </c>
      <c r="D126" s="8" t="s">
        <v>1441</v>
      </c>
      <c r="E126" s="8" t="s">
        <v>1998</v>
      </c>
      <c r="F126" s="8" t="s">
        <v>1999</v>
      </c>
      <c r="G126" s="8" t="s">
        <v>2000</v>
      </c>
      <c r="H126" s="8" t="str">
        <f ca="1">IFERROR(__xludf.DUMMYFUNCTION("VLOOKUP(G126, IMPORTRANGE(""https://docs.google.com/spreadsheets/d/14deopnvwcrKtEGCKuYXdUHJbeLDZlkiSSWWT0g7x2pM/edit#gid=849066331"", ""LU List Science (Filter)!A:B""), 2, FALSE)"),"Definition and composition of Sewage")</f>
        <v>Definition and composition of Sewage</v>
      </c>
      <c r="I126" s="10" t="str">
        <f t="shared" si="0"/>
        <v>LU005339.001</v>
      </c>
      <c r="J126" s="10" t="str">
        <f ca="1">IFERROR(__xludf.DUMMYFUNCTION("VLOOKUP(I126, IMPORTRANGE(""https://docs.google.com/spreadsheets/d/1yDAaXNsi4Mr5FtRQL4tbmSdIzhx6_m4wkOD7IG-k_eo/edit#gid=1336395716"", ""Science!M:N""), 2, FALSE)"),"List the primary components of sewage.")</f>
        <v>List the primary components of sewage.</v>
      </c>
      <c r="K126" s="10" t="str">
        <f t="shared" si="1"/>
        <v>LU005339.002</v>
      </c>
      <c r="L126" s="10" t="str">
        <f ca="1">IFERROR(__xludf.DUMMYFUNCTION("VLOOKUP(K126, IMPORTRANGE(""https://docs.google.com/spreadsheets/d/1yDAaXNsi4Mr5FtRQL4tbmSdIzhx6_m4wkOD7IG-k_eo/edit#gid=1336395716"", ""Science!M:N""), 2, FALSE)"),"Explain the term sewage is and why it is considered a waste product.")</f>
        <v>Explain the term sewage is and why it is considered a waste product.</v>
      </c>
      <c r="M126" s="10" t="str">
        <f t="shared" si="2"/>
        <v>LU005339.003</v>
      </c>
      <c r="N126" s="10" t="str">
        <f ca="1">IFERROR(__xludf.DUMMYFUNCTION("VLOOKUP(M126, IMPORTRANGE(""https://docs.google.com/spreadsheets/d/1yDAaXNsi4Mr5FtRQL4tbmSdIzhx6_m4wkOD7IG-k_eo/edit#gid=1336395716"", ""Science!M:N""), 2, FALSE)"),"Identify common sources of sewage.")</f>
        <v>Identify common sources of sewage.</v>
      </c>
      <c r="O126" s="10" t="str">
        <f t="shared" si="3"/>
        <v>LU005339.004</v>
      </c>
      <c r="P126" s="10" t="str">
        <f ca="1">IFERROR(__xludf.DUMMYFUNCTION("VLOOKUP(O126, IMPORTRANGE(""https://docs.google.com/spreadsheets/d/1yDAaXNsi4Mr5FtRQL4tbmSdIzhx6_m4wkOD7IG-k_eo/edit#gid=1336395716"", ""Science!M:N""), 2, FALSE)"),"Compare and contrast the various components found in sewage.")</f>
        <v>Compare and contrast the various components found in sewage.</v>
      </c>
      <c r="Q126" s="10" t="str">
        <f t="shared" si="4"/>
        <v>LU005339.005</v>
      </c>
      <c r="R126" s="10" t="str">
        <f ca="1">IFERROR(__xludf.DUMMYFUNCTION("VLOOKUP(Q126, IMPORTRANGE(""https://docs.google.com/spreadsheets/d/1yDAaXNsi4Mr5FtRQL4tbmSdIzhx6_m4wkOD7IG-k_eo/edit#gid=1336395716"", ""Science!M:N""), 2, FALSE)"),"Assess the importance of treating sewage before releasing it into the environment.")</f>
        <v>Assess the importance of treating sewage before releasing it into the environment.</v>
      </c>
      <c r="S126" s="10" t="str">
        <f t="shared" si="5"/>
        <v>LU005339.006</v>
      </c>
      <c r="T126" s="10" t="str">
        <f ca="1">IFERROR(__xludf.DUMMYFUNCTION("VLOOKUP(S126, IMPORTRANGE(""https://docs.google.com/spreadsheets/d/1yDAaXNsi4Mr5FtRQL4tbmSdIzhx6_m4wkOD7IG-k_eo/edit#gid=1336395716"", ""Science!M:N""), 2, FALSE)"),"#N/A")</f>
        <v>#N/A</v>
      </c>
      <c r="U126" s="116">
        <f ca="1">IFERROR(__xludf.DUMMYFUNCTION("ArrayFormula(VLOOKUP(G126, IMPORTRANGE(""https://docs.google.com/spreadsheets/d/1p7R4vtkWt5VOBim4ltsDG9KTzSjrtKXsMtQGXPHyND0/edit#gid=795171502"", ""'Filter 30_05_2024'!A1:M2000""), {2, 3, 4, 5,6,7,8,9,10,11,12,13}, 0))"),2)</f>
        <v>2</v>
      </c>
      <c r="V126" s="116">
        <f ca="1">IFERROR(__xludf.DUMMYFUNCTION("""COMPUTED_VALUE"""),7)</f>
        <v>7</v>
      </c>
      <c r="W126" s="116">
        <f ca="1">IFERROR(__xludf.DUMMYFUNCTION("""COMPUTED_VALUE"""),5)</f>
        <v>5</v>
      </c>
      <c r="X126" s="116">
        <f ca="1">IFERROR(__xludf.DUMMYFUNCTION("""COMPUTED_VALUE"""),14)</f>
        <v>14</v>
      </c>
      <c r="Y126" s="116">
        <f ca="1">IFERROR(__xludf.DUMMYFUNCTION("""COMPUTED_VALUE"""),3)</f>
        <v>3</v>
      </c>
      <c r="Z126" s="12">
        <f ca="1">IFERROR(__xludf.DUMMYFUNCTION("""COMPUTED_VALUE"""),4)</f>
        <v>4</v>
      </c>
      <c r="AA126" s="12">
        <f ca="1">IFERROR(__xludf.DUMMYFUNCTION("""COMPUTED_VALUE"""),2)</f>
        <v>2</v>
      </c>
      <c r="AB126" s="12">
        <f ca="1">IFERROR(__xludf.DUMMYFUNCTION("""COMPUTED_VALUE"""),9)</f>
        <v>9</v>
      </c>
      <c r="AC126" s="12"/>
      <c r="AD126" s="12">
        <f ca="1">IFERROR(__xludf.DUMMYFUNCTION("""COMPUTED_VALUE"""),1)</f>
        <v>1</v>
      </c>
      <c r="AE126" s="12"/>
      <c r="AF126" s="12">
        <f ca="1">IFERROR(__xludf.DUMMYFUNCTION("""COMPUTED_VALUE"""),1)</f>
        <v>1</v>
      </c>
      <c r="AG126" s="13" t="str">
        <f ca="1">IFERROR(__xludf.DUMMYFUNCTION("ArrayFormula(VLOOKUP(G126, IMPORTRANGE(""https://docs.google.com/spreadsheets/d/1Co934fvtviyaRiMsrIlT05Jaq7iiYq07aLvRr35KA48/edit?gid=173865642#gid=173865642"", ""'G7_Sci_Pri_LU'!G2:V2000""), {3, 4, 5, 6, 7, 8, 9, 10, 11, 12, 13, 14, 15, 16}, 0))"),"LU005317")</f>
        <v>LU005317</v>
      </c>
      <c r="AH126" s="13" t="str">
        <f ca="1">IFERROR(__xludf.DUMMYFUNCTION("""COMPUTED_VALUE"""),"Properties of materials-Solubility in water")</f>
        <v>Properties of materials-Solubility in water</v>
      </c>
      <c r="AI126" s="13"/>
      <c r="AJ126" s="13"/>
      <c r="AK126" s="13"/>
      <c r="AL126" s="13"/>
      <c r="AM126" s="13"/>
      <c r="AN126" s="13"/>
      <c r="AO126" s="13"/>
      <c r="AP126" s="13"/>
      <c r="AQ126" s="13"/>
      <c r="AR126" s="13"/>
      <c r="AS126" s="13"/>
      <c r="AT126" s="13"/>
    </row>
    <row r="127" spans="1:46">
      <c r="A127" s="8" t="s">
        <v>247</v>
      </c>
      <c r="B127" s="8" t="s">
        <v>47</v>
      </c>
      <c r="C127" s="8" t="s">
        <v>416</v>
      </c>
      <c r="D127" s="8" t="s">
        <v>1441</v>
      </c>
      <c r="E127" s="8" t="s">
        <v>1998</v>
      </c>
      <c r="F127" s="8" t="s">
        <v>1999</v>
      </c>
      <c r="G127" s="8" t="s">
        <v>2001</v>
      </c>
      <c r="H127" s="8" t="str">
        <f ca="1">IFERROR(__xludf.DUMMYFUNCTION("VLOOKUP(G127, IMPORTRANGE(""https://docs.google.com/spreadsheets/d/14deopnvwcrKtEGCKuYXdUHJbeLDZlkiSSWWT0g7x2pM/edit#gid=849066331"", ""LU List Science (Filter)!A:B""), 2, FALSE)"),"Various uses of clean water")</f>
        <v>Various uses of clean water</v>
      </c>
      <c r="I127" s="10" t="str">
        <f t="shared" si="0"/>
        <v>LU005865.001</v>
      </c>
      <c r="J127" s="10" t="str">
        <f ca="1">IFERROR(__xludf.DUMMYFUNCTION("VLOOKUP(I127, IMPORTRANGE(""https://docs.google.com/spreadsheets/d/1yDAaXNsi4Mr5FtRQL4tbmSdIzhx6_m4wkOD7IG-k_eo/edit#gid=1336395716"", ""Science!M:N""), 2, FALSE)"),"List common domestic uses of clean water, including drinking, cooking, and hygiene.")</f>
        <v>List common domestic uses of clean water, including drinking, cooking, and hygiene.</v>
      </c>
      <c r="K127" s="10" t="str">
        <f t="shared" si="1"/>
        <v>LU005865.002</v>
      </c>
      <c r="L127" s="10" t="str">
        <f ca="1">IFERROR(__xludf.DUMMYFUNCTION("VLOOKUP(K127, IMPORTRANGE(""https://docs.google.com/spreadsheets/d/1yDAaXNsi4Mr5FtRQL4tbmSdIzhx6_m4wkOD7IG-k_eo/edit#gid=1336395716"", ""Science!M:N""), 2, FALSE)"),"Compare agricultural uses of clean water for irrigation and livestock.")</f>
        <v>Compare agricultural uses of clean water for irrigation and livestock.</v>
      </c>
      <c r="M127" s="10" t="str">
        <f t="shared" si="2"/>
        <v>LU005865.003</v>
      </c>
      <c r="N127" s="10" t="str">
        <f ca="1">IFERROR(__xludf.DUMMYFUNCTION("VLOOKUP(M127, IMPORTRANGE(""https://docs.google.com/spreadsheets/d/1yDAaXNsi4Mr5FtRQL4tbmSdIzhx6_m4wkOD7IG-k_eo/edit#gid=1336395716"", ""Science!M:N""), 2, FALSE)"),"Demonstrate the importance of clean water in environmental processes, like ecosystems and biodiversity.")</f>
        <v>Demonstrate the importance of clean water in environmental processes, like ecosystems and biodiversity.</v>
      </c>
      <c r="O127" s="10" t="str">
        <f t="shared" si="3"/>
        <v>LU005865.004</v>
      </c>
      <c r="P127" s="10" t="str">
        <f ca="1">IFERROR(__xludf.DUMMYFUNCTION("VLOOKUP(O127, IMPORTRANGE(""https://docs.google.com/spreadsheets/d/1yDAaXNsi4Mr5FtRQL4tbmSdIzhx6_m4wkOD7IG-k_eo/edit#gid=1336395716"", ""Science!M:N""), 2, FALSE)"),"Analyze the interdependence between clean water availability and public health")</f>
        <v>Analyze the interdependence between clean water availability and public health</v>
      </c>
      <c r="Q127" s="10" t="str">
        <f t="shared" si="4"/>
        <v>LU005865.005</v>
      </c>
      <c r="R127" s="10" t="str">
        <f ca="1">IFERROR(__xludf.DUMMYFUNCTION("VLOOKUP(Q127, IMPORTRANGE(""https://docs.google.com/spreadsheets/d/1yDAaXNsi4Mr5FtRQL4tbmSdIzhx6_m4wkOD7IG-k_eo/edit#gid=1336395716"", ""Science!M:N""), 2, FALSE)"),"Evaluate how important clean water access is in improving the well-being and quality of life for individuals and families.")</f>
        <v>Evaluate how important clean water access is in improving the well-being and quality of life for individuals and families.</v>
      </c>
      <c r="S127" s="10" t="str">
        <f t="shared" si="5"/>
        <v>LU005865.006</v>
      </c>
      <c r="T127" s="10" t="str">
        <f ca="1">IFERROR(__xludf.DUMMYFUNCTION("VLOOKUP(S127, IMPORTRANGE(""https://docs.google.com/spreadsheets/d/1yDAaXNsi4Mr5FtRQL4tbmSdIzhx6_m4wkOD7IG-k_eo/edit#gid=1336395716"", ""Science!M:N""), 2, FALSE)"),"#N/A")</f>
        <v>#N/A</v>
      </c>
      <c r="U127" s="116">
        <f ca="1">IFERROR(__xludf.DUMMYFUNCTION("ArrayFormula(VLOOKUP(G127, IMPORTRANGE(""https://docs.google.com/spreadsheets/d/1p7R4vtkWt5VOBim4ltsDG9KTzSjrtKXsMtQGXPHyND0/edit#gid=795171502"", ""'Filter 30_05_2024'!A1:M2000""), {2, 3, 4, 5,6,7,8,9,10,11,12,13}, 0))"),5)</f>
        <v>5</v>
      </c>
      <c r="V127" s="116">
        <f ca="1">IFERROR(__xludf.DUMMYFUNCTION("""COMPUTED_VALUE"""),6)</f>
        <v>6</v>
      </c>
      <c r="W127" s="116">
        <f ca="1">IFERROR(__xludf.DUMMYFUNCTION("""COMPUTED_VALUE"""),2)</f>
        <v>2</v>
      </c>
      <c r="X127" s="116">
        <f ca="1">IFERROR(__xludf.DUMMYFUNCTION("""COMPUTED_VALUE"""),13)</f>
        <v>13</v>
      </c>
      <c r="Y127" s="116">
        <f ca="1">IFERROR(__xludf.DUMMYFUNCTION("""COMPUTED_VALUE"""),4)</f>
        <v>4</v>
      </c>
      <c r="Z127" s="12">
        <f ca="1">IFERROR(__xludf.DUMMYFUNCTION("""COMPUTED_VALUE"""),3)</f>
        <v>3</v>
      </c>
      <c r="AA127" s="12">
        <f ca="1">IFERROR(__xludf.DUMMYFUNCTION("""COMPUTED_VALUE"""),1)</f>
        <v>1</v>
      </c>
      <c r="AB127" s="12">
        <f ca="1">IFERROR(__xludf.DUMMYFUNCTION("""COMPUTED_VALUE"""),8)</f>
        <v>8</v>
      </c>
      <c r="AC127" s="12"/>
      <c r="AD127" s="12"/>
      <c r="AE127" s="12"/>
      <c r="AF127" s="12"/>
      <c r="AG127" s="13" t="str">
        <f ca="1">IFERROR(__xludf.DUMMYFUNCTION("ArrayFormula(VLOOKUP(G127, IMPORTRANGE(""https://docs.google.com/spreadsheets/d/1Co934fvtviyaRiMsrIlT05Jaq7iiYq07aLvRr35KA48/edit?gid=173865642#gid=173865642"", ""'G7_Sci_Pri_LU'!G2:V2000""), {3, 4, 5, 6, 7, 8, 9, 10, 11, 12, 13, 14, 15, 16}, 0))"),"")</f>
        <v/>
      </c>
      <c r="AH127" s="13"/>
      <c r="AI127" s="13"/>
      <c r="AJ127" s="13"/>
      <c r="AK127" s="13"/>
      <c r="AL127" s="13"/>
      <c r="AM127" s="13"/>
      <c r="AN127" s="13"/>
      <c r="AO127" s="13"/>
      <c r="AP127" s="13"/>
      <c r="AQ127" s="13"/>
      <c r="AR127" s="13"/>
      <c r="AS127" s="13"/>
      <c r="AT127" s="13"/>
    </row>
    <row r="128" spans="1:46">
      <c r="A128" s="8" t="s">
        <v>247</v>
      </c>
      <c r="B128" s="8" t="s">
        <v>47</v>
      </c>
      <c r="C128" s="8" t="s">
        <v>416</v>
      </c>
      <c r="D128" s="8" t="s">
        <v>1441</v>
      </c>
      <c r="E128" s="8" t="s">
        <v>1998</v>
      </c>
      <c r="F128" s="8" t="s">
        <v>1999</v>
      </c>
      <c r="G128" s="8" t="s">
        <v>2002</v>
      </c>
      <c r="H128" s="8" t="str">
        <f ca="1">IFERROR(__xludf.DUMMYFUNCTION("VLOOKUP(G128, IMPORTRANGE(""https://docs.google.com/spreadsheets/d/14deopnvwcrKtEGCKuYXdUHJbeLDZlkiSSWWT0g7x2pM/edit#gid=849066331"", ""LU List Science (Filter)!A:B""), 2, FALSE)"),"Effects of Water Scarcity on Human Life")</f>
        <v>Effects of Water Scarcity on Human Life</v>
      </c>
      <c r="I128" s="10" t="str">
        <f t="shared" si="0"/>
        <v>LU005866.001</v>
      </c>
      <c r="J128" s="10" t="str">
        <f ca="1">IFERROR(__xludf.DUMMYFUNCTION("VLOOKUP(I128, IMPORTRANGE(""https://docs.google.com/spreadsheets/d/1yDAaXNsi4Mr5FtRQL4tbmSdIzhx6_m4wkOD7IG-k_eo/edit#gid=1336395716"", ""Science!M:N""), 2, FALSE)"),"Define water scarcity and its implications for human populations.")</f>
        <v>Define water scarcity and its implications for human populations.</v>
      </c>
      <c r="K128" s="10" t="str">
        <f t="shared" si="1"/>
        <v>LU005866.002</v>
      </c>
      <c r="L128" s="10" t="str">
        <f ca="1">IFERROR(__xludf.DUMMYFUNCTION("VLOOKUP(K128, IMPORTRANGE(""https://docs.google.com/spreadsheets/d/1yDAaXNsi4Mr5FtRQL4tbmSdIzhx6_m4wkOD7IG-k_eo/edit#gid=1336395716"", ""Science!M:N""), 2, FALSE)"),"Explain the impact of water scarcity on public health, sanitation, and disease prevention.")</f>
        <v>Explain the impact of water scarcity on public health, sanitation, and disease prevention.</v>
      </c>
      <c r="M128" s="10" t="str">
        <f t="shared" si="2"/>
        <v>LU005866.003</v>
      </c>
      <c r="N128" s="10" t="str">
        <f ca="1">IFERROR(__xludf.DUMMYFUNCTION("VLOOKUP(M128, IMPORTRANGE(""https://docs.google.com/spreadsheets/d/1yDAaXNsi4Mr5FtRQL4tbmSdIzhx6_m4wkOD7IG-k_eo/edit#gid=1336395716"", ""Science!M:N""), 2, FALSE)"),"Discuss the role of water scarcity in migration patterns and conflicts.")</f>
        <v>Discuss the role of water scarcity in migration patterns and conflicts.</v>
      </c>
      <c r="O128" s="10" t="str">
        <f t="shared" si="3"/>
        <v>LU005866.004</v>
      </c>
      <c r="P128" s="10" t="str">
        <f ca="1">IFERROR(__xludf.DUMMYFUNCTION("VLOOKUP(O128, IMPORTRANGE(""https://docs.google.com/spreadsheets/d/1yDAaXNsi4Mr5FtRQL4tbmSdIzhx6_m4wkOD7IG-k_eo/edit#gid=1336395716"", ""Science!M:N""), 2, FALSE)"),"Analyze the socio-economic consequences of water scarcity, including food security and livelihoods.")</f>
        <v>Analyze the socio-economic consequences of water scarcity, including food security and livelihoods.</v>
      </c>
      <c r="Q128" s="10" t="str">
        <f t="shared" si="4"/>
        <v>LU005866.005</v>
      </c>
      <c r="R128" s="10" t="str">
        <f ca="1">IFERROR(__xludf.DUMMYFUNCTION("VLOOKUP(Q128, IMPORTRANGE(""https://docs.google.com/spreadsheets/d/1yDAaXNsi4Mr5FtRQL4tbmSdIzhx6_m4wkOD7IG-k_eo/edit#gid=1336395716"", ""Science!M:N""), 2, FALSE)"),"Evaluate strategies for mitigating the effects of water scarcity, such as water conservation and sustainable management.")</f>
        <v>Evaluate strategies for mitigating the effects of water scarcity, such as water conservation and sustainable management.</v>
      </c>
      <c r="S128" s="10" t="str">
        <f t="shared" si="5"/>
        <v>LU005866.006</v>
      </c>
      <c r="T128" s="10" t="str">
        <f ca="1">IFERROR(__xludf.DUMMYFUNCTION("VLOOKUP(S128, IMPORTRANGE(""https://docs.google.com/spreadsheets/d/1yDAaXNsi4Mr5FtRQL4tbmSdIzhx6_m4wkOD7IG-k_eo/edit#gid=1336395716"", ""Science!M:N""), 2, FALSE)"),"#N/A")</f>
        <v>#N/A</v>
      </c>
      <c r="U128" s="116">
        <f ca="1">IFERROR(__xludf.DUMMYFUNCTION("ArrayFormula(VLOOKUP(G128, IMPORTRANGE(""https://docs.google.com/spreadsheets/d/1p7R4vtkWt5VOBim4ltsDG9KTzSjrtKXsMtQGXPHyND0/edit#gid=795171502"", ""'Filter 30_05_2024'!A1:M2000""), {2, 3, 4, 5,6,7,8,9,10,11,12,13}, 0))"),11)</f>
        <v>11</v>
      </c>
      <c r="V128" s="116">
        <f ca="1">IFERROR(__xludf.DUMMYFUNCTION("""COMPUTED_VALUE"""),6)</f>
        <v>6</v>
      </c>
      <c r="W128" s="116">
        <f ca="1">IFERROR(__xludf.DUMMYFUNCTION("""COMPUTED_VALUE"""),2)</f>
        <v>2</v>
      </c>
      <c r="X128" s="116">
        <f ca="1">IFERROR(__xludf.DUMMYFUNCTION("""COMPUTED_VALUE"""),19)</f>
        <v>19</v>
      </c>
      <c r="Y128" s="116">
        <f ca="1">IFERROR(__xludf.DUMMYFUNCTION("""COMPUTED_VALUE"""),5)</f>
        <v>5</v>
      </c>
      <c r="Z128" s="12">
        <f ca="1">IFERROR(__xludf.DUMMYFUNCTION("""COMPUTED_VALUE"""),3)</f>
        <v>3</v>
      </c>
      <c r="AA128" s="12">
        <f ca="1">IFERROR(__xludf.DUMMYFUNCTION("""COMPUTED_VALUE"""),1)</f>
        <v>1</v>
      </c>
      <c r="AB128" s="12">
        <f ca="1">IFERROR(__xludf.DUMMYFUNCTION("""COMPUTED_VALUE"""),9)</f>
        <v>9</v>
      </c>
      <c r="AC128" s="12"/>
      <c r="AD128" s="12"/>
      <c r="AE128" s="12"/>
      <c r="AF128" s="12"/>
      <c r="AG128" s="13" t="str">
        <f ca="1">IFERROR(__xludf.DUMMYFUNCTION("ArrayFormula(VLOOKUP(G128, IMPORTRANGE(""https://docs.google.com/spreadsheets/d/1Co934fvtviyaRiMsrIlT05Jaq7iiYq07aLvRr35KA48/edit?gid=173865642#gid=173865642"", ""'G7_Sci_Pri_LU'!G2:V2000""), {3, 4, 5, 6, 7, 8, 9, 10, 11, 12, 13, 14, 15, 16}, 0))"),"LU005865")</f>
        <v>LU005865</v>
      </c>
      <c r="AH128" s="13" t="str">
        <f ca="1">IFERROR(__xludf.DUMMYFUNCTION("""COMPUTED_VALUE"""),"Various uses of clean water")</f>
        <v>Various uses of clean water</v>
      </c>
      <c r="AI128" s="13"/>
      <c r="AJ128" s="13"/>
      <c r="AK128" s="13"/>
      <c r="AL128" s="13"/>
      <c r="AM128" s="13"/>
      <c r="AN128" s="13"/>
      <c r="AO128" s="13"/>
      <c r="AP128" s="13"/>
      <c r="AQ128" s="13"/>
      <c r="AR128" s="13"/>
      <c r="AS128" s="13"/>
      <c r="AT128" s="13"/>
    </row>
    <row r="129" spans="1:46">
      <c r="A129" s="8" t="s">
        <v>247</v>
      </c>
      <c r="B129" s="8" t="s">
        <v>47</v>
      </c>
      <c r="C129" s="8" t="s">
        <v>416</v>
      </c>
      <c r="D129" s="8" t="s">
        <v>1441</v>
      </c>
      <c r="E129" s="8" t="s">
        <v>1998</v>
      </c>
      <c r="F129" s="8" t="s">
        <v>2003</v>
      </c>
      <c r="G129" s="8" t="s">
        <v>2004</v>
      </c>
      <c r="H129" s="8" t="str">
        <f ca="1">IFERROR(__xludf.DUMMYFUNCTION("VLOOKUP(G129, IMPORTRANGE(""https://docs.google.com/spreadsheets/d/14deopnvwcrKtEGCKuYXdUHJbeLDZlkiSSWWT0g7x2pM/edit#gid=849066331"", ""LU List Science (Filter)!A:B""), 2, FALSE)"),"Components of sewage transport system")</f>
        <v>Components of sewage transport system</v>
      </c>
      <c r="I129" s="10" t="str">
        <f t="shared" si="0"/>
        <v>LU005338.001</v>
      </c>
      <c r="J129" s="10" t="str">
        <f ca="1">IFERROR(__xludf.DUMMYFUNCTION("VLOOKUP(I129, IMPORTRANGE(""https://docs.google.com/spreadsheets/d/1yDAaXNsi4Mr5FtRQL4tbmSdIzhx6_m4wkOD7IG-k_eo/edit#gid=1336395716"", ""Science!M:N""), 2, FALSE)"),"List the main components of a sewage transport system.")</f>
        <v>List the main components of a sewage transport system.</v>
      </c>
      <c r="K129" s="10" t="str">
        <f t="shared" si="1"/>
        <v>LU005338.002</v>
      </c>
      <c r="L129" s="10" t="str">
        <f ca="1">IFERROR(__xludf.DUMMYFUNCTION("VLOOKUP(K129, IMPORTRANGE(""https://docs.google.com/spreadsheets/d/1yDAaXNsi4Mr5FtRQL4tbmSdIzhx6_m4wkOD7IG-k_eo/edit#gid=1336395716"", ""Science!M:N""), 2, FALSE)"),"Explain the function of each component in the sewage transport system.")</f>
        <v>Explain the function of each component in the sewage transport system.</v>
      </c>
      <c r="M129" s="10" t="str">
        <f t="shared" si="2"/>
        <v>LU005338.003</v>
      </c>
      <c r="N129" s="10" t="str">
        <f ca="1">IFERROR(__xludf.DUMMYFUNCTION("VLOOKUP(M129, IMPORTRANGE(""https://docs.google.com/spreadsheets/d/1yDAaXNsi4Mr5FtRQL4tbmSdIzhx6_m4wkOD7IG-k_eo/edit#gid=1336395716"", ""Science!M:N""), 2, FALSE)"),"Illustrate how water flows through the different components of a sewage transport system.")</f>
        <v>Illustrate how water flows through the different components of a sewage transport system.</v>
      </c>
      <c r="O129" s="10" t="str">
        <f t="shared" si="3"/>
        <v>LU005338.004</v>
      </c>
      <c r="P129" s="10" t="str">
        <f ca="1">IFERROR(__xludf.DUMMYFUNCTION("VLOOKUP(O129, IMPORTRANGE(""https://docs.google.com/spreadsheets/d/1yDAaXNsi4Mr5FtRQL4tbmSdIzhx6_m4wkOD7IG-k_eo/edit#gid=1336395716"", ""Science!M:N""), 2, FALSE)"),"#N/A")</f>
        <v>#N/A</v>
      </c>
      <c r="Q129" s="10" t="str">
        <f t="shared" si="4"/>
        <v>LU005338.005</v>
      </c>
      <c r="R129" s="10" t="str">
        <f ca="1">IFERROR(__xludf.DUMMYFUNCTION("VLOOKUP(Q129, IMPORTRANGE(""https://docs.google.com/spreadsheets/d/1yDAaXNsi4Mr5FtRQL4tbmSdIzhx6_m4wkOD7IG-k_eo/edit#gid=1336395716"", ""Science!M:N""), 2, FALSE)"),"Assess the importance of regular maintenance for the various components of the sewage transport system.")</f>
        <v>Assess the importance of regular maintenance for the various components of the sewage transport system.</v>
      </c>
      <c r="S129" s="10" t="str">
        <f t="shared" si="5"/>
        <v>LU005338.006</v>
      </c>
      <c r="T129" s="10" t="str">
        <f ca="1">IFERROR(__xludf.DUMMYFUNCTION("VLOOKUP(S129, IMPORTRANGE(""https://docs.google.com/spreadsheets/d/1yDAaXNsi4Mr5FtRQL4tbmSdIzhx6_m4wkOD7IG-k_eo/edit#gid=1336395716"", ""Science!M:N""), 2, FALSE)"),"#N/A")</f>
        <v>#N/A</v>
      </c>
      <c r="U129" s="116">
        <f ca="1">IFERROR(__xludf.DUMMYFUNCTION("ArrayFormula(VLOOKUP(G129, IMPORTRANGE(""https://docs.google.com/spreadsheets/d/1p7R4vtkWt5VOBim4ltsDG9KTzSjrtKXsMtQGXPHyND0/edit#gid=795171502"", ""'Filter 30_05_2024'!A1:M2000""), {2, 3, 4, 5,6,7,8,9,10,11,12,13}, 0))"),3)</f>
        <v>3</v>
      </c>
      <c r="V129" s="116">
        <f ca="1">IFERROR(__xludf.DUMMYFUNCTION("""COMPUTED_VALUE"""),6)</f>
        <v>6</v>
      </c>
      <c r="W129" s="116"/>
      <c r="X129" s="116">
        <f ca="1">IFERROR(__xludf.DUMMYFUNCTION("""COMPUTED_VALUE"""),9)</f>
        <v>9</v>
      </c>
      <c r="Y129" s="116">
        <f ca="1">IFERROR(__xludf.DUMMYFUNCTION("""COMPUTED_VALUE"""),4)</f>
        <v>4</v>
      </c>
      <c r="Z129" s="12">
        <f ca="1">IFERROR(__xludf.DUMMYFUNCTION("""COMPUTED_VALUE"""),3)</f>
        <v>3</v>
      </c>
      <c r="AA129" s="12">
        <f ca="1">IFERROR(__xludf.DUMMYFUNCTION("""COMPUTED_VALUE"""),3)</f>
        <v>3</v>
      </c>
      <c r="AB129" s="12">
        <f ca="1">IFERROR(__xludf.DUMMYFUNCTION("""COMPUTED_VALUE"""),10)</f>
        <v>10</v>
      </c>
      <c r="AC129" s="12"/>
      <c r="AD129" s="12"/>
      <c r="AE129" s="12"/>
      <c r="AF129" s="12"/>
      <c r="AG129" s="13" t="str">
        <f ca="1">IFERROR(__xludf.DUMMYFUNCTION("ArrayFormula(VLOOKUP(G129, IMPORTRANGE(""https://docs.google.com/spreadsheets/d/1Co934fvtviyaRiMsrIlT05Jaq7iiYq07aLvRr35KA48/edit?gid=173865642#gid=173865642"", ""'G7_Sci_Pri_LU'!G2:V2000""), {3, 4, 5, 6, 7, 8, 9, 10, 11, 12, 13, 14, 15, 16}, 0))"),"LU005339")</f>
        <v>LU005339</v>
      </c>
      <c r="AH129" s="13" t="str">
        <f ca="1">IFERROR(__xludf.DUMMYFUNCTION("""COMPUTED_VALUE"""),"Definition and composition of Sewage")</f>
        <v>Definition and composition of Sewage</v>
      </c>
      <c r="AI129" s="13"/>
      <c r="AJ129" s="13"/>
      <c r="AK129" s="13"/>
      <c r="AL129" s="13"/>
      <c r="AM129" s="13"/>
      <c r="AN129" s="13"/>
      <c r="AO129" s="13"/>
      <c r="AP129" s="13"/>
      <c r="AQ129" s="13"/>
      <c r="AR129" s="13"/>
      <c r="AS129" s="13"/>
      <c r="AT129" s="13"/>
    </row>
    <row r="130" spans="1:46">
      <c r="A130" s="8" t="s">
        <v>247</v>
      </c>
      <c r="B130" s="8" t="s">
        <v>47</v>
      </c>
      <c r="C130" s="8" t="s">
        <v>416</v>
      </c>
      <c r="D130" s="8" t="s">
        <v>1441</v>
      </c>
      <c r="E130" s="8" t="s">
        <v>1998</v>
      </c>
      <c r="F130" s="8" t="s">
        <v>2003</v>
      </c>
      <c r="G130" s="8" t="s">
        <v>2005</v>
      </c>
      <c r="H130" s="8" t="str">
        <f ca="1">IFERROR(__xludf.DUMMYFUNCTION("VLOOKUP(G130, IMPORTRANGE(""https://docs.google.com/spreadsheets/d/14deopnvwcrKtEGCKuYXdUHJbeLDZlkiSSWWT0g7x2pM/edit#gid=849066331"", ""LU List Science (Filter)!A:B""), 2, FALSE)"),"Stages in waste water treatment plant")</f>
        <v>Stages in waste water treatment plant</v>
      </c>
      <c r="I130" s="10" t="str">
        <f t="shared" si="0"/>
        <v>LU005342.001</v>
      </c>
      <c r="J130" s="10" t="str">
        <f ca="1">IFERROR(__xludf.DUMMYFUNCTION("VLOOKUP(I130, IMPORTRANGE(""https://docs.google.com/spreadsheets/d/1yDAaXNsi4Mr5FtRQL4tbmSdIzhx6_m4wkOD7IG-k_eo/edit#gid=1336395716"", ""Science!M:N""), 2, FALSE)"),"Identify the main stages in a wastewater treatment plant.")</f>
        <v>Identify the main stages in a wastewater treatment plant.</v>
      </c>
      <c r="K130" s="10" t="str">
        <f t="shared" si="1"/>
        <v>LU005342.002</v>
      </c>
      <c r="L130" s="10" t="str">
        <f ca="1">IFERROR(__xludf.DUMMYFUNCTION("VLOOKUP(K130, IMPORTRANGE(""https://docs.google.com/spreadsheets/d/1yDAaXNsi4Mr5FtRQL4tbmSdIzhx6_m4wkOD7IG-k_eo/edit#gid=1336395716"", ""Science!M:N""), 2, FALSE)"),"Explain the role of aerobic and anaerobic bacteria in the wastewater treatment process.")</f>
        <v>Explain the role of aerobic and anaerobic bacteria in the wastewater treatment process.</v>
      </c>
      <c r="M130" s="10" t="str">
        <f t="shared" si="2"/>
        <v>LU005342.003</v>
      </c>
      <c r="N130" s="10" t="str">
        <f ca="1">IFERROR(__xludf.DUMMYFUNCTION("VLOOKUP(M130, IMPORTRANGE(""https://docs.google.com/spreadsheets/d/1yDAaXNsi4Mr5FtRQL4tbmSdIzhx6_m4wkOD7IG-k_eo/edit#gid=1336395716"", ""Science!M:N""), 2, FALSE)"),"Design a simple flowchart illustrating the sequence of stages in a wastewater treatment plant.")</f>
        <v>Design a simple flowchart illustrating the sequence of stages in a wastewater treatment plant.</v>
      </c>
      <c r="O130" s="10" t="str">
        <f t="shared" si="3"/>
        <v>LU005342.004</v>
      </c>
      <c r="P130" s="10" t="str">
        <f ca="1">IFERROR(__xludf.DUMMYFUNCTION("VLOOKUP(O130, IMPORTRANGE(""https://docs.google.com/spreadsheets/d/1yDAaXNsi4Mr5FtRQL4tbmSdIzhx6_m4wkOD7IG-k_eo/edit#gid=1336395716"", ""Science!M:N""), 2, FALSE)"),"Compare and contrast the functions of aerobic and anaerobic bacteria in wastewater treatment.")</f>
        <v>Compare and contrast the functions of aerobic and anaerobic bacteria in wastewater treatment.</v>
      </c>
      <c r="Q130" s="10" t="str">
        <f t="shared" si="4"/>
        <v>LU005342.005</v>
      </c>
      <c r="R130" s="10" t="str">
        <f ca="1">IFERROR(__xludf.DUMMYFUNCTION("VLOOKUP(Q130, IMPORTRANGE(""https://docs.google.com/spreadsheets/d/1yDAaXNsi4Mr5FtRQL4tbmSdIzhx6_m4wkOD7IG-k_eo/edit#gid=1336395716"", ""Science!M:N""), 2, FALSE)"),"Assess the significance of sludge management in a wastewater treatment plant, considering its environmental impact and potential for reuse.")</f>
        <v>Assess the significance of sludge management in a wastewater treatment plant, considering its environmental impact and potential for reuse.</v>
      </c>
      <c r="S130" s="10" t="str">
        <f t="shared" si="5"/>
        <v>LU005342.006</v>
      </c>
      <c r="T130" s="10" t="str">
        <f ca="1">IFERROR(__xludf.DUMMYFUNCTION("VLOOKUP(S130, IMPORTRANGE(""https://docs.google.com/spreadsheets/d/1yDAaXNsi4Mr5FtRQL4tbmSdIzhx6_m4wkOD7IG-k_eo/edit#gid=1336395716"", ""Science!M:N""), 2, FALSE)"),"#N/A")</f>
        <v>#N/A</v>
      </c>
      <c r="U130" s="116">
        <f ca="1">IFERROR(__xludf.DUMMYFUNCTION("ArrayFormula(VLOOKUP(G130, IMPORTRANGE(""https://docs.google.com/spreadsheets/d/1p7R4vtkWt5VOBim4ltsDG9KTzSjrtKXsMtQGXPHyND0/edit#gid=795171502"", ""'Filter 30_05_2024'!A1:M2000""), {2, 3, 4, 5,6,7,8,9,10,11,12,13}, 0))"),25)</f>
        <v>25</v>
      </c>
      <c r="V130" s="116">
        <f ca="1">IFERROR(__xludf.DUMMYFUNCTION("""COMPUTED_VALUE"""),6)</f>
        <v>6</v>
      </c>
      <c r="W130" s="116">
        <f ca="1">IFERROR(__xludf.DUMMYFUNCTION("""COMPUTED_VALUE"""),2)</f>
        <v>2</v>
      </c>
      <c r="X130" s="116">
        <f ca="1">IFERROR(__xludf.DUMMYFUNCTION("""COMPUTED_VALUE"""),33)</f>
        <v>33</v>
      </c>
      <c r="Y130" s="116">
        <f ca="1">IFERROR(__xludf.DUMMYFUNCTION("""COMPUTED_VALUE"""),10)</f>
        <v>10</v>
      </c>
      <c r="Z130" s="12">
        <f ca="1">IFERROR(__xludf.DUMMYFUNCTION("""COMPUTED_VALUE"""),3)</f>
        <v>3</v>
      </c>
      <c r="AA130" s="12"/>
      <c r="AB130" s="12">
        <f ca="1">IFERROR(__xludf.DUMMYFUNCTION("""COMPUTED_VALUE"""),13)</f>
        <v>13</v>
      </c>
      <c r="AC130" s="12">
        <f ca="1">IFERROR(__xludf.DUMMYFUNCTION("""COMPUTED_VALUE"""),1)</f>
        <v>1</v>
      </c>
      <c r="AD130" s="12"/>
      <c r="AE130" s="12">
        <f ca="1">IFERROR(__xludf.DUMMYFUNCTION("""COMPUTED_VALUE"""),1)</f>
        <v>1</v>
      </c>
      <c r="AF130" s="12">
        <f ca="1">IFERROR(__xludf.DUMMYFUNCTION("""COMPUTED_VALUE"""),2)</f>
        <v>2</v>
      </c>
      <c r="AG130" s="13" t="str">
        <f ca="1">IFERROR(__xludf.DUMMYFUNCTION("ArrayFormula(VLOOKUP(G130, IMPORTRANGE(""https://docs.google.com/spreadsheets/d/1Co934fvtviyaRiMsrIlT05Jaq7iiYq07aLvRr35KA48/edit?gid=173865642#gid=173865642"", ""'G7_Sci_Pri_LU'!G2:V2000""), {3, 4, 5, 6, 7, 8, 9, 10, 11, 12, 13, 14, 15, 16}, 0))"),"LU005338")</f>
        <v>LU005338</v>
      </c>
      <c r="AH130" s="13" t="str">
        <f ca="1">IFERROR(__xludf.DUMMYFUNCTION("""COMPUTED_VALUE"""),"Components of sewage transport system")</f>
        <v>Components of sewage transport system</v>
      </c>
      <c r="AI130" s="13" t="str">
        <f ca="1">IFERROR(__xludf.DUMMYFUNCTION("""COMPUTED_VALUE"""),"LU005339")</f>
        <v>LU005339</v>
      </c>
      <c r="AJ130" s="13" t="str">
        <f ca="1">IFERROR(__xludf.DUMMYFUNCTION("""COMPUTED_VALUE"""),"Definition and composition of Sewage")</f>
        <v>Definition and composition of Sewage</v>
      </c>
      <c r="AK130" s="13"/>
      <c r="AL130" s="13"/>
      <c r="AM130" s="13"/>
      <c r="AN130" s="13"/>
      <c r="AO130" s="13"/>
      <c r="AP130" s="13"/>
      <c r="AQ130" s="13"/>
      <c r="AR130" s="13"/>
      <c r="AS130" s="13"/>
      <c r="AT130" s="13"/>
    </row>
    <row r="131" spans="1:46">
      <c r="A131" s="8" t="s">
        <v>247</v>
      </c>
      <c r="B131" s="8" t="s">
        <v>47</v>
      </c>
      <c r="C131" s="8" t="s">
        <v>416</v>
      </c>
      <c r="D131" s="8" t="s">
        <v>1441</v>
      </c>
      <c r="E131" s="8" t="s">
        <v>1998</v>
      </c>
      <c r="F131" s="8" t="s">
        <v>2006</v>
      </c>
      <c r="G131" s="8" t="s">
        <v>2007</v>
      </c>
      <c r="H131" s="8" t="str">
        <f ca="1">IFERROR(__xludf.DUMMYFUNCTION("VLOOKUP(G131, IMPORTRANGE(""https://docs.google.com/spreadsheets/d/14deopnvwcrKtEGCKuYXdUHJbeLDZlkiSSWWT0g7x2pM/edit#gid=849066331"", ""LU List Science (Filter)!A:B""), 2, FALSE)"),"Demonstration treatment of polluted water")</f>
        <v>Demonstration treatment of polluted water</v>
      </c>
      <c r="I131" s="10" t="str">
        <f t="shared" si="0"/>
        <v>LU005340.001</v>
      </c>
      <c r="J131" s="10" t="str">
        <f ca="1">IFERROR(__xludf.DUMMYFUNCTION("VLOOKUP(I131, IMPORTRANGE(""https://docs.google.com/spreadsheets/d/1yDAaXNsi4Mr5FtRQL4tbmSdIzhx6_m4wkOD7IG-k_eo/edit#gid=1336395716"", ""Science!M:N""), 2, FALSE)"),"Identify the common methods of treating polluted water.")</f>
        <v>Identify the common methods of treating polluted water.</v>
      </c>
      <c r="K131" s="10" t="str">
        <f t="shared" si="1"/>
        <v>LU005340.002</v>
      </c>
      <c r="L131" s="10" t="str">
        <f ca="1">IFERROR(__xludf.DUMMYFUNCTION("VLOOKUP(K131, IMPORTRANGE(""https://docs.google.com/spreadsheets/d/1yDAaXNsi4Mr5FtRQL4tbmSdIzhx6_m4wkOD7IG-k_eo/edit#gid=1336395716"", ""Science!M:N""), 2, FALSE)"),"Explain the purpose of each water treatment method (aeration, filtration, chlorination) in removing pollutants from contaminated water.")</f>
        <v>Explain the purpose of each water treatment method (aeration, filtration, chlorination) in removing pollutants from contaminated water.</v>
      </c>
      <c r="M131" s="10" t="str">
        <f t="shared" si="2"/>
        <v>LU005340.003</v>
      </c>
      <c r="N131" s="10" t="str">
        <f ca="1">IFERROR(__xludf.DUMMYFUNCTION("VLOOKUP(M131, IMPORTRANGE(""https://docs.google.com/spreadsheets/d/1yDAaXNsi4Mr5FtRQL4tbmSdIzhx6_m4wkOD7IG-k_eo/edit#gid=1336395716"", ""Science!M:N""), 2, FALSE)"),"Demonstrate the steps of a basic water filtration process using appropriate materials.")</f>
        <v>Demonstrate the steps of a basic water filtration process using appropriate materials.</v>
      </c>
      <c r="O131" s="10" t="str">
        <f t="shared" si="3"/>
        <v>LU005340.004</v>
      </c>
      <c r="P131" s="10" t="str">
        <f ca="1">IFERROR(__xludf.DUMMYFUNCTION("VLOOKUP(O131, IMPORTRANGE(""https://docs.google.com/spreadsheets/d/1yDAaXNsi4Mr5FtRQL4tbmSdIzhx6_m4wkOD7IG-k_eo/edit#gid=1336395716"", ""Science!M:N""), 2, FALSE)"),"Analyze the advantages and disadvantages of each water treatment method (aeration, filtration, chlorination) in terms of effectiveness, cost, and environmental impact.")</f>
        <v>Analyze the advantages and disadvantages of each water treatment method (aeration, filtration, chlorination) in terms of effectiveness, cost, and environmental impact.</v>
      </c>
      <c r="Q131" s="10" t="str">
        <f t="shared" si="4"/>
        <v>LU005340.005</v>
      </c>
      <c r="R131" s="10" t="str">
        <f ca="1">IFERROR(__xludf.DUMMYFUNCTION("VLOOKUP(Q131, IMPORTRANGE(""https://docs.google.com/spreadsheets/d/1yDAaXNsi4Mr5FtRQL4tbmSdIzhx6_m4wkOD7IG-k_eo/edit#gid=1336395716"", ""Science!M:N""), 2, FALSE)"),"Evaluate the effectiveness of chlorination as a method for disinfecting water and discuss its potential drawbacks.")</f>
        <v>Evaluate the effectiveness of chlorination as a method for disinfecting water and discuss its potential drawbacks.</v>
      </c>
      <c r="S131" s="10" t="str">
        <f t="shared" si="5"/>
        <v>LU005340.006</v>
      </c>
      <c r="T131" s="10" t="str">
        <f ca="1">IFERROR(__xludf.DUMMYFUNCTION("VLOOKUP(S131, IMPORTRANGE(""https://docs.google.com/spreadsheets/d/1yDAaXNsi4Mr5FtRQL4tbmSdIzhx6_m4wkOD7IG-k_eo/edit#gid=1336395716"", ""Science!M:N""), 2, FALSE)"),"#N/A")</f>
        <v>#N/A</v>
      </c>
      <c r="U131" s="116">
        <f ca="1">IFERROR(__xludf.DUMMYFUNCTION("ArrayFormula(VLOOKUP(G131, IMPORTRANGE(""https://docs.google.com/spreadsheets/d/1p7R4vtkWt5VOBim4ltsDG9KTzSjrtKXsMtQGXPHyND0/edit#gid=795171502"", ""'Filter 30_05_2024'!A1:M2000""), {2, 3, 4, 5,6,7,8,9,10,11,12,13}, 0))"),13)</f>
        <v>13</v>
      </c>
      <c r="V131" s="116">
        <f ca="1">IFERROR(__xludf.DUMMYFUNCTION("""COMPUTED_VALUE"""),6)</f>
        <v>6</v>
      </c>
      <c r="W131" s="116">
        <f ca="1">IFERROR(__xludf.DUMMYFUNCTION("""COMPUTED_VALUE"""),2)</f>
        <v>2</v>
      </c>
      <c r="X131" s="116">
        <f ca="1">IFERROR(__xludf.DUMMYFUNCTION("""COMPUTED_VALUE"""),21)</f>
        <v>21</v>
      </c>
      <c r="Y131" s="116">
        <f ca="1">IFERROR(__xludf.DUMMYFUNCTION("""COMPUTED_VALUE"""),8)</f>
        <v>8</v>
      </c>
      <c r="Z131" s="12">
        <f ca="1">IFERROR(__xludf.DUMMYFUNCTION("""COMPUTED_VALUE"""),3)</f>
        <v>3</v>
      </c>
      <c r="AA131" s="12">
        <f ca="1">IFERROR(__xludf.DUMMYFUNCTION("""COMPUTED_VALUE"""),1)</f>
        <v>1</v>
      </c>
      <c r="AB131" s="12">
        <f ca="1">IFERROR(__xludf.DUMMYFUNCTION("""COMPUTED_VALUE"""),12)</f>
        <v>12</v>
      </c>
      <c r="AC131" s="12"/>
      <c r="AD131" s="12"/>
      <c r="AE131" s="12"/>
      <c r="AF131" s="12"/>
      <c r="AG131" s="13" t="str">
        <f ca="1">IFERROR(__xludf.DUMMYFUNCTION("ArrayFormula(VLOOKUP(G131, IMPORTRANGE(""https://docs.google.com/spreadsheets/d/1Co934fvtviyaRiMsrIlT05Jaq7iiYq07aLvRr35KA48/edit?gid=173865642#gid=173865642"", ""'G7_Sci_Pri_LU'!G2:V2000""), {3, 4, 5, 6, 7, 8, 9, 10, 11, 12, 13, 14, 15, 16}, 0))"),"LU005339")</f>
        <v>LU005339</v>
      </c>
      <c r="AH131" s="13" t="str">
        <f ca="1">IFERROR(__xludf.DUMMYFUNCTION("""COMPUTED_VALUE"""),"Definition and composition of Sewage")</f>
        <v>Definition and composition of Sewage</v>
      </c>
      <c r="AI131" s="13"/>
      <c r="AJ131" s="13"/>
      <c r="AK131" s="13"/>
      <c r="AL131" s="13"/>
      <c r="AM131" s="13"/>
      <c r="AN131" s="13"/>
      <c r="AO131" s="13"/>
      <c r="AP131" s="13"/>
      <c r="AQ131" s="13"/>
      <c r="AR131" s="13"/>
      <c r="AS131" s="13"/>
      <c r="AT131" s="13"/>
    </row>
    <row r="132" spans="1:46">
      <c r="A132" s="8" t="s">
        <v>247</v>
      </c>
      <c r="B132" s="8" t="s">
        <v>47</v>
      </c>
      <c r="C132" s="8" t="s">
        <v>416</v>
      </c>
      <c r="D132" s="8" t="s">
        <v>1441</v>
      </c>
      <c r="E132" s="8" t="s">
        <v>1998</v>
      </c>
      <c r="F132" s="8" t="s">
        <v>2008</v>
      </c>
      <c r="G132" s="8" t="s">
        <v>2009</v>
      </c>
      <c r="H132" s="8" t="str">
        <f ca="1">IFERROR(__xludf.DUMMYFUNCTION("VLOOKUP(G132, IMPORTRANGE(""https://docs.google.com/spreadsheets/d/14deopnvwcrKtEGCKuYXdUHJbeLDZlkiSSWWT0g7x2pM/edit#gid=849066331"", ""LU List Science (Filter)!A:B""), 2, FALSE)"),"Alternative Arrangement for sewage disposal")</f>
        <v>Alternative Arrangement for sewage disposal</v>
      </c>
      <c r="I132" s="10" t="str">
        <f t="shared" si="0"/>
        <v>LU005336.001</v>
      </c>
      <c r="J132" s="10" t="str">
        <f ca="1">IFERROR(__xludf.DUMMYFUNCTION("VLOOKUP(I132, IMPORTRANGE(""https://docs.google.com/spreadsheets/d/1yDAaXNsi4Mr5FtRQL4tbmSdIzhx6_m4wkOD7IG-k_eo/edit#gid=1336395716"", ""Science!M:N""), 2, FALSE)"),"List the various alternative arrangements for sewage disposal")</f>
        <v>List the various alternative arrangements for sewage disposal</v>
      </c>
      <c r="K132" s="10" t="str">
        <f t="shared" si="1"/>
        <v>LU005336.002</v>
      </c>
      <c r="L132" s="10" t="str">
        <f ca="1">IFERROR(__xludf.DUMMYFUNCTION("VLOOKUP(K132, IMPORTRANGE(""https://docs.google.com/spreadsheets/d/1yDAaXNsi4Mr5FtRQL4tbmSdIzhx6_m4wkOD7IG-k_eo/edit#gid=1336395716"", ""Science!M:N""), 2, FALSE)"),"Explain the purpose of using alternative sewage disposal methods and how they differ from conventional systems.")</f>
        <v>Explain the purpose of using alternative sewage disposal methods and how they differ from conventional systems.</v>
      </c>
      <c r="M132" s="10" t="str">
        <f t="shared" si="2"/>
        <v>LU005336.003</v>
      </c>
      <c r="N132" s="10" t="str">
        <f ca="1">IFERROR(__xludf.DUMMYFUNCTION("VLOOKUP(M132, IMPORTRANGE(""https://docs.google.com/spreadsheets/d/1yDAaXNsi4Mr5FtRQL4tbmSdIzhx6_m4wkOD7IG-k_eo/edit#gid=1336395716"", ""Science!M:N""), 2, FALSE)"),"Choose an appropriate alternative sewage disposal method for a given scenario, condsidering factors like location, envrionmental impact and cost-effectiveness.")</f>
        <v>Choose an appropriate alternative sewage disposal method for a given scenario, condsidering factors like location, envrionmental impact and cost-effectiveness.</v>
      </c>
      <c r="O132" s="10" t="str">
        <f t="shared" si="3"/>
        <v>LU005336.004</v>
      </c>
      <c r="P132" s="10" t="str">
        <f ca="1">IFERROR(__xludf.DUMMYFUNCTION("VLOOKUP(O132, IMPORTRANGE(""https://docs.google.com/spreadsheets/d/1yDAaXNsi4Mr5FtRQL4tbmSdIzhx6_m4wkOD7IG-k_eo/edit#gid=1336395716"", ""Science!M:N""), 2, FALSE)"),"Compare and contrast the advantages and disadvantages of different alternative sewage disposal methods")</f>
        <v>Compare and contrast the advantages and disadvantages of different alternative sewage disposal methods</v>
      </c>
      <c r="Q132" s="10" t="str">
        <f t="shared" si="4"/>
        <v>LU005336.005</v>
      </c>
      <c r="R132" s="10" t="str">
        <f ca="1">IFERROR(__xludf.DUMMYFUNCTION("VLOOKUP(Q132, IMPORTRANGE(""https://docs.google.com/spreadsheets/d/1yDAaXNsi4Mr5FtRQL4tbmSdIzhx6_m4wkOD7IG-k_eo/edit#gid=1336395716"", ""Science!M:N""), 2, FALSE)"),"Assess the effectiveness of onsite sewage disposal systems in reducing environmental pollution")</f>
        <v>Assess the effectiveness of onsite sewage disposal systems in reducing environmental pollution</v>
      </c>
      <c r="S132" s="10" t="str">
        <f t="shared" si="5"/>
        <v>LU005336.006</v>
      </c>
      <c r="T132" s="10" t="str">
        <f ca="1">IFERROR(__xludf.DUMMYFUNCTION("VLOOKUP(S132, IMPORTRANGE(""https://docs.google.com/spreadsheets/d/1yDAaXNsi4Mr5FtRQL4tbmSdIzhx6_m4wkOD7IG-k_eo/edit#gid=1336395716"", ""Science!M:N""), 2, FALSE)"),"Design a comprehensive plan for implementing an alternative sewage disposal system in a specific area, considering infrastructure, resource availability, and community engagement.")</f>
        <v>Design a comprehensive plan for implementing an alternative sewage disposal system in a specific area, considering infrastructure, resource availability, and community engagement.</v>
      </c>
      <c r="U132" s="116">
        <f ca="1">IFERROR(__xludf.DUMMYFUNCTION("ArrayFormula(VLOOKUP(G132, IMPORTRANGE(""https://docs.google.com/spreadsheets/d/1p7R4vtkWt5VOBim4ltsDG9KTzSjrtKXsMtQGXPHyND0/edit#gid=795171502"", ""'Filter 30_05_2024'!A1:M2000""), {2, 3, 4, 5,6,7,8,9,10,11,12,13}, 0))"),2)</f>
        <v>2</v>
      </c>
      <c r="V132" s="116">
        <f ca="1">IFERROR(__xludf.DUMMYFUNCTION("""COMPUTED_VALUE"""),6)</f>
        <v>6</v>
      </c>
      <c r="W132" s="116">
        <f ca="1">IFERROR(__xludf.DUMMYFUNCTION("""COMPUTED_VALUE"""),2)</f>
        <v>2</v>
      </c>
      <c r="X132" s="116">
        <f ca="1">IFERROR(__xludf.DUMMYFUNCTION("""COMPUTED_VALUE"""),10)</f>
        <v>10</v>
      </c>
      <c r="Y132" s="116">
        <f ca="1">IFERROR(__xludf.DUMMYFUNCTION("""COMPUTED_VALUE"""),5)</f>
        <v>5</v>
      </c>
      <c r="Z132" s="12">
        <f ca="1">IFERROR(__xludf.DUMMYFUNCTION("""COMPUTED_VALUE"""),3)</f>
        <v>3</v>
      </c>
      <c r="AA132" s="12">
        <f ca="1">IFERROR(__xludf.DUMMYFUNCTION("""COMPUTED_VALUE"""),1)</f>
        <v>1</v>
      </c>
      <c r="AB132" s="12">
        <f ca="1">IFERROR(__xludf.DUMMYFUNCTION("""COMPUTED_VALUE"""),9)</f>
        <v>9</v>
      </c>
      <c r="AC132" s="12"/>
      <c r="AD132" s="12"/>
      <c r="AE132" s="12"/>
      <c r="AF132" s="12"/>
      <c r="AG132" s="13" t="str">
        <f ca="1">IFERROR(__xludf.DUMMYFUNCTION("ArrayFormula(VLOOKUP(G132, IMPORTRANGE(""https://docs.google.com/spreadsheets/d/1Co934fvtviyaRiMsrIlT05Jaq7iiYq07aLvRr35KA48/edit?gid=173865642#gid=173865642"", ""'G7_Sci_Pri_LU'!G2:V2000""), {3, 4, 5, 6, 7, 8, 9, 10, 11, 12, 13, 14, 15, 16}, 0))"),"LU005339")</f>
        <v>LU005339</v>
      </c>
      <c r="AH132" s="13" t="str">
        <f ca="1">IFERROR(__xludf.DUMMYFUNCTION("""COMPUTED_VALUE"""),"Definition and composition of Sewage")</f>
        <v>Definition and composition of Sewage</v>
      </c>
      <c r="AI132" s="13" t="str">
        <f ca="1">IFERROR(__xludf.DUMMYFUNCTION("""COMPUTED_VALUE"""),"LU005338")</f>
        <v>LU005338</v>
      </c>
      <c r="AJ132" s="13" t="str">
        <f ca="1">IFERROR(__xludf.DUMMYFUNCTION("""COMPUTED_VALUE"""),"Components of sewage transport system")</f>
        <v>Components of sewage transport system</v>
      </c>
      <c r="AK132" s="13"/>
      <c r="AL132" s="13"/>
      <c r="AM132" s="13"/>
      <c r="AN132" s="13"/>
      <c r="AO132" s="13"/>
      <c r="AP132" s="13"/>
      <c r="AQ132" s="13"/>
      <c r="AR132" s="13"/>
      <c r="AS132" s="13"/>
      <c r="AT132" s="13"/>
    </row>
    <row r="133" spans="1:46">
      <c r="A133" s="8" t="s">
        <v>247</v>
      </c>
      <c r="B133" s="8" t="s">
        <v>47</v>
      </c>
      <c r="C133" s="8" t="s">
        <v>416</v>
      </c>
      <c r="D133" s="8" t="s">
        <v>1441</v>
      </c>
      <c r="E133" s="8" t="s">
        <v>1998</v>
      </c>
      <c r="F133" s="8" t="s">
        <v>2008</v>
      </c>
      <c r="G133" s="8" t="s">
        <v>2010</v>
      </c>
      <c r="H133" s="8" t="str">
        <f ca="1">IFERROR(__xludf.DUMMYFUNCTION("VLOOKUP(G133, IMPORTRANGE(""https://docs.google.com/spreadsheets/d/14deopnvwcrKtEGCKuYXdUHJbeLDZlkiSSWWT0g7x2pM/edit#gid=849066331"", ""LU List Science (Filter)!A:B""), 2, FALSE)"),"Better house keeping practices")</f>
        <v>Better house keeping practices</v>
      </c>
      <c r="I133" s="10" t="str">
        <f t="shared" si="0"/>
        <v>LU005337.001</v>
      </c>
      <c r="J133" s="10" t="str">
        <f ca="1">IFERROR(__xludf.DUMMYFUNCTION("VLOOKUP(I133, IMPORTRANGE(""https://docs.google.com/spreadsheets/d/1yDAaXNsi4Mr5FtRQL4tbmSdIzhx6_m4wkOD7IG-k_eo/edit#gid=1336395716"", ""Science!M:N""), 2, FALSE)"),"Idenitfy the key sources of wasterwater in a household setting.")</f>
        <v>Idenitfy the key sources of wasterwater in a household setting.</v>
      </c>
      <c r="K133" s="10" t="str">
        <f t="shared" si="1"/>
        <v>LU005337.002</v>
      </c>
      <c r="L133" s="10" t="str">
        <f ca="1">IFERROR(__xludf.DUMMYFUNCTION("VLOOKUP(K133, IMPORTRANGE(""https://docs.google.com/spreadsheets/d/1yDAaXNsi4Mr5FtRQL4tbmSdIzhx6_m4wkOD7IG-k_eo/edit#gid=1336395716"", ""Science!M:N""), 2, FALSE)"),"Describe how specific household activities (like washing, cleaning, and cooking) generate wastewater and contribute to pollution.")</f>
        <v>Describe how specific household activities (like washing, cleaning, and cooking) generate wastewater and contribute to pollution.</v>
      </c>
      <c r="M133" s="10" t="str">
        <f t="shared" si="2"/>
        <v>LU005337.003</v>
      </c>
      <c r="N133" s="10" t="str">
        <f ca="1">IFERROR(__xludf.DUMMYFUNCTION("VLOOKUP(M133, IMPORTRANGE(""https://docs.google.com/spreadsheets/d/1yDAaXNsi4Mr5FtRQL4tbmSdIzhx6_m4wkOD7IG-k_eo/edit#gid=1336395716"", ""Science!M:N""), 2, FALSE)"),"Apply strategies to minimize water usage during daily activities")</f>
        <v>Apply strategies to minimize water usage during daily activities</v>
      </c>
      <c r="O133" s="10" t="str">
        <f t="shared" si="3"/>
        <v>LU005337.004</v>
      </c>
      <c r="P133" s="10" t="str">
        <f ca="1">IFERROR(__xludf.DUMMYFUNCTION("VLOOKUP(O133, IMPORTRANGE(""https://docs.google.com/spreadsheets/d/1yDAaXNsi4Mr5FtRQL4tbmSdIzhx6_m4wkOD7IG-k_eo/edit#gid=1336395716"", ""Science!M:N""), 2, FALSE)"),"Analyze the role of individual behavior in reducing the overall burden of household wastewater on municipal treatment facilities.")</f>
        <v>Analyze the role of individual behavior in reducing the overall burden of household wastewater on municipal treatment facilities.</v>
      </c>
      <c r="Q133" s="10" t="str">
        <f t="shared" si="4"/>
        <v>LU005337.005</v>
      </c>
      <c r="R133" s="10" t="str">
        <f ca="1">IFERROR(__xludf.DUMMYFUNCTION("VLOOKUP(Q133, IMPORTRANGE(""https://docs.google.com/spreadsheets/d/1yDAaXNsi4Mr5FtRQL4tbmSdIzhx6_m4wkOD7IG-k_eo/edit#gid=1336395716"", ""Science!M:N""), 2, FALSE)"),"Assess the effectiveness of different household wastewater treatment methods and recommend the most suitable one for a specific scenario.")</f>
        <v>Assess the effectiveness of different household wastewater treatment methods and recommend the most suitable one for a specific scenario.</v>
      </c>
      <c r="S133" s="10" t="str">
        <f t="shared" si="5"/>
        <v>LU005337.006</v>
      </c>
      <c r="T133" s="10" t="str">
        <f ca="1">IFERROR(__xludf.DUMMYFUNCTION("VLOOKUP(S133, IMPORTRANGE(""https://docs.google.com/spreadsheets/d/1yDAaXNsi4Mr5FtRQL4tbmSdIzhx6_m4wkOD7IG-k_eo/edit#gid=1336395716"", ""Science!M:N""), 2, FALSE)"),"#N/A")</f>
        <v>#N/A</v>
      </c>
      <c r="U133" s="116">
        <f ca="1">IFERROR(__xludf.DUMMYFUNCTION("ArrayFormula(VLOOKUP(G133, IMPORTRANGE(""https://docs.google.com/spreadsheets/d/1p7R4vtkWt5VOBim4ltsDG9KTzSjrtKXsMtQGXPHyND0/edit#gid=795171502"", ""'Filter 30_05_2024'!A1:M2000""), {2, 3, 4, 5,6,7,8,9,10,11,12,13}, 0))"),4)</f>
        <v>4</v>
      </c>
      <c r="V133" s="116">
        <f ca="1">IFERROR(__xludf.DUMMYFUNCTION("""COMPUTED_VALUE"""),6)</f>
        <v>6</v>
      </c>
      <c r="W133" s="116">
        <f ca="1">IFERROR(__xludf.DUMMYFUNCTION("""COMPUTED_VALUE"""),2)</f>
        <v>2</v>
      </c>
      <c r="X133" s="116">
        <f ca="1">IFERROR(__xludf.DUMMYFUNCTION("""COMPUTED_VALUE"""),12)</f>
        <v>12</v>
      </c>
      <c r="Y133" s="116">
        <f ca="1">IFERROR(__xludf.DUMMYFUNCTION("""COMPUTED_VALUE"""),4)</f>
        <v>4</v>
      </c>
      <c r="Z133" s="12">
        <f ca="1">IFERROR(__xludf.DUMMYFUNCTION("""COMPUTED_VALUE"""),4)</f>
        <v>4</v>
      </c>
      <c r="AA133" s="12">
        <f ca="1">IFERROR(__xludf.DUMMYFUNCTION("""COMPUTED_VALUE"""),1)</f>
        <v>1</v>
      </c>
      <c r="AB133" s="12">
        <f ca="1">IFERROR(__xludf.DUMMYFUNCTION("""COMPUTED_VALUE"""),9)</f>
        <v>9</v>
      </c>
      <c r="AC133" s="12"/>
      <c r="AD133" s="12"/>
      <c r="AE133" s="12"/>
      <c r="AF133" s="12"/>
      <c r="AG133" s="13" t="str">
        <f ca="1">IFERROR(__xludf.DUMMYFUNCTION("ArrayFormula(VLOOKUP(G133, IMPORTRANGE(""https://docs.google.com/spreadsheets/d/1Co934fvtviyaRiMsrIlT05Jaq7iiYq07aLvRr35KA48/edit?gid=173865642#gid=173865642"", ""'G7_Sci_Pri_LU'!G2:V2000""), {3, 4, 5, 6, 7, 8, 9, 10, 11, 12, 13, 14, 15, 16}, 0))"),"LU005339")</f>
        <v>LU005339</v>
      </c>
      <c r="AH133" s="13" t="str">
        <f ca="1">IFERROR(__xludf.DUMMYFUNCTION("""COMPUTED_VALUE"""),"Definition and composition of Sewage")</f>
        <v>Definition and composition of Sewage</v>
      </c>
      <c r="AI133" s="13" t="str">
        <f ca="1">IFERROR(__xludf.DUMMYFUNCTION("""COMPUTED_VALUE"""),"LU005865")</f>
        <v>LU005865</v>
      </c>
      <c r="AJ133" s="13" t="str">
        <f ca="1">IFERROR(__xludf.DUMMYFUNCTION("""COMPUTED_VALUE"""),"Various uses of clean water")</f>
        <v>Various uses of clean water</v>
      </c>
      <c r="AK133" s="13"/>
      <c r="AL133" s="13"/>
      <c r="AM133" s="13"/>
      <c r="AN133" s="13"/>
      <c r="AO133" s="13"/>
      <c r="AP133" s="13"/>
      <c r="AQ133" s="13"/>
      <c r="AR133" s="13"/>
      <c r="AS133" s="13"/>
      <c r="AT133" s="13"/>
    </row>
    <row r="134" spans="1:46">
      <c r="A134" s="8" t="s">
        <v>247</v>
      </c>
      <c r="B134" s="8" t="s">
        <v>47</v>
      </c>
      <c r="C134" s="8" t="s">
        <v>416</v>
      </c>
      <c r="D134" s="8" t="s">
        <v>1441</v>
      </c>
      <c r="E134" s="8" t="s">
        <v>1998</v>
      </c>
      <c r="F134" s="8" t="s">
        <v>2008</v>
      </c>
      <c r="G134" s="8" t="s">
        <v>2011</v>
      </c>
      <c r="H134" s="8" t="s">
        <v>2012</v>
      </c>
      <c r="I134" s="10" t="str">
        <f t="shared" si="0"/>
        <v>LU005341.001</v>
      </c>
      <c r="J134" s="10" t="str">
        <f ca="1">IFERROR(__xludf.DUMMYFUNCTION("VLOOKUP(I134, IMPORTRANGE(""https://docs.google.com/spreadsheets/d/1yDAaXNsi4Mr5FtRQL4tbmSdIzhx6_m4wkOD7IG-k_eo/edit#gid=1336395716"", ""Science!M:N""), 2, FALSE)"),"Identify common waterborne diseases and list their symptoms.")</f>
        <v>Identify common waterborne diseases and list their symptoms.</v>
      </c>
      <c r="K134" s="10" t="str">
        <f t="shared" si="1"/>
        <v>LU005341.002</v>
      </c>
      <c r="L134" s="10" t="str">
        <f ca="1">IFERROR(__xludf.DUMMYFUNCTION("VLOOKUP(K134, IMPORTRANGE(""https://docs.google.com/spreadsheets/d/1yDAaXNsi4Mr5FtRQL4tbmSdIzhx6_m4wkOD7IG-k_eo/edit#gid=1336395716"", ""Science!M:N""), 2, FALSE)"),"Explain how poor sanitation contributes to the spread of waterborne diseases.")</f>
        <v>Explain how poor sanitation contributes to the spread of waterborne diseases.</v>
      </c>
      <c r="M134" s="10" t="str">
        <f t="shared" si="2"/>
        <v>LU005341.003</v>
      </c>
      <c r="N134" s="10" t="str">
        <f ca="1">IFERROR(__xludf.DUMMYFUNCTION("VLOOKUP(M134, IMPORTRANGE(""https://docs.google.com/spreadsheets/d/1yDAaXNsi4Mr5FtRQL4tbmSdIzhx6_m4wkOD7IG-k_eo/edit#gid=1336395716"", ""Science!M:N""), 2, FALSE)"),"Demonstrate the steps to maintain personal hygiene and sanitation to prevent waterborne diseases.")</f>
        <v>Demonstrate the steps to maintain personal hygiene and sanitation to prevent waterborne diseases.</v>
      </c>
      <c r="O134" s="10" t="str">
        <f t="shared" si="3"/>
        <v>LU005341.004</v>
      </c>
      <c r="P134" s="10" t="str">
        <f ca="1">IFERROR(__xludf.DUMMYFUNCTION("VLOOKUP(O134, IMPORTRANGE(""https://docs.google.com/spreadsheets/d/1yDAaXNsi4Mr5FtRQL4tbmSdIzhx6_m4wkOD7IG-k_eo/edit#gid=1336395716"", ""Science!M:N""), 2, FALSE)"),"Compare and constrat the impact of good and bad hygiene practices on public health in different communites.")</f>
        <v>Compare and constrat the impact of good and bad hygiene practices on public health in different communites.</v>
      </c>
      <c r="Q134" s="10" t="str">
        <f t="shared" si="4"/>
        <v>LU005341.005</v>
      </c>
      <c r="R134" s="10" t="str">
        <f ca="1">IFERROR(__xludf.DUMMYFUNCTION("VLOOKUP(Q134, IMPORTRANGE(""https://docs.google.com/spreadsheets/d/1yDAaXNsi4Mr5FtRQL4tbmSdIzhx6_m4wkOD7IG-k_eo/edit#gid=1336395716"", ""Science!M:N""), 2, FALSE)"),"Assess the effectiveness of the Swachh Bharat Abhiyan in improving sanitation and reducing waterborne diseases in India.")</f>
        <v>Assess the effectiveness of the Swachh Bharat Abhiyan in improving sanitation and reducing waterborne diseases in India.</v>
      </c>
      <c r="S134" s="10" t="str">
        <f t="shared" si="5"/>
        <v>LU005341.006</v>
      </c>
      <c r="T134" s="10" t="str">
        <f ca="1">IFERROR(__xludf.DUMMYFUNCTION("VLOOKUP(S134, IMPORTRANGE(""https://docs.google.com/spreadsheets/d/1yDAaXNsi4Mr5FtRQL4tbmSdIzhx6_m4wkOD7IG-k_eo/edit#gid=1336395716"", ""Science!M:N""), 2, FALSE)"),"#N/A")</f>
        <v>#N/A</v>
      </c>
      <c r="U134" s="116">
        <f ca="1">IFERROR(__xludf.DUMMYFUNCTION("ArrayFormula(VLOOKUP(G134, IMPORTRANGE(""https://docs.google.com/spreadsheets/d/1p7R4vtkWt5VOBim4ltsDG9KTzSjrtKXsMtQGXPHyND0/edit#gid=795171502"", ""'Filter 30_05_2024'!A1:M2000""), {2, 3, 4, 5,6,7,8,9,10,11,12,13}, 0))"),2)</f>
        <v>2</v>
      </c>
      <c r="V134" s="116">
        <f ca="1">IFERROR(__xludf.DUMMYFUNCTION("""COMPUTED_VALUE"""),6)</f>
        <v>6</v>
      </c>
      <c r="W134" s="116"/>
      <c r="X134" s="116">
        <f ca="1">IFERROR(__xludf.DUMMYFUNCTION("""COMPUTED_VALUE"""),8)</f>
        <v>8</v>
      </c>
      <c r="Y134" s="116">
        <f ca="1">IFERROR(__xludf.DUMMYFUNCTION("""COMPUTED_VALUE"""),6)</f>
        <v>6</v>
      </c>
      <c r="Z134" s="12">
        <f ca="1">IFERROR(__xludf.DUMMYFUNCTION("""COMPUTED_VALUE"""),3)</f>
        <v>3</v>
      </c>
      <c r="AA134" s="12">
        <f ca="1">IFERROR(__xludf.DUMMYFUNCTION("""COMPUTED_VALUE"""),3)</f>
        <v>3</v>
      </c>
      <c r="AB134" s="12">
        <f ca="1">IFERROR(__xludf.DUMMYFUNCTION("""COMPUTED_VALUE"""),12)</f>
        <v>12</v>
      </c>
      <c r="AC134" s="12"/>
      <c r="AD134" s="12"/>
      <c r="AE134" s="12"/>
      <c r="AF134" s="12"/>
      <c r="AG134" s="13" t="str">
        <f ca="1">IFERROR(__xludf.DUMMYFUNCTION("ArrayFormula(VLOOKUP(G134, IMPORTRANGE(""https://docs.google.com/spreadsheets/d/1Co934fvtviyaRiMsrIlT05Jaq7iiYq07aLvRr35KA48/edit?gid=173865642#gid=173865642"", ""'G7_Sci_Pri_LU'!G2:V2000""), {3, 4, 5, 6, 7, 8, 9, 10, 11, 12, 13, 14, 15, 16}, 0))"),"LU005339")</f>
        <v>LU005339</v>
      </c>
      <c r="AH134" s="13" t="str">
        <f ca="1">IFERROR(__xludf.DUMMYFUNCTION("""COMPUTED_VALUE"""),"Definition and composition of Sewage")</f>
        <v>Definition and composition of Sewage</v>
      </c>
      <c r="AI134" s="13"/>
      <c r="AJ134" s="13"/>
      <c r="AK134" s="13"/>
      <c r="AL134" s="13"/>
      <c r="AM134" s="13"/>
      <c r="AN134" s="13"/>
      <c r="AO134" s="13"/>
      <c r="AP134" s="13"/>
      <c r="AQ134" s="13"/>
      <c r="AR134" s="13"/>
      <c r="AS134" s="13"/>
      <c r="AT134" s="13"/>
    </row>
    <row r="135" spans="1:46">
      <c r="A135" s="8"/>
      <c r="B135" s="8"/>
      <c r="C135" s="8"/>
      <c r="D135" s="8"/>
      <c r="E135" s="8"/>
      <c r="F135" s="8"/>
      <c r="G135" s="8"/>
      <c r="H135" s="8"/>
      <c r="I135" s="8"/>
      <c r="J135" s="8"/>
      <c r="K135" s="8"/>
      <c r="L135" s="8"/>
      <c r="M135" s="8"/>
      <c r="N135" s="8"/>
      <c r="O135" s="8"/>
      <c r="P135" s="8"/>
      <c r="Q135" s="8"/>
      <c r="R135" s="8"/>
      <c r="S135" s="8"/>
      <c r="T135" s="8"/>
      <c r="U135" s="12"/>
      <c r="V135" s="12"/>
      <c r="W135" s="12"/>
      <c r="X135" s="12"/>
      <c r="Y135" s="12"/>
      <c r="Z135" s="12"/>
      <c r="AA135" s="12"/>
      <c r="AB135" s="12"/>
      <c r="AC135" s="12"/>
      <c r="AD135" s="12"/>
      <c r="AE135" s="12"/>
      <c r="AF135" s="12"/>
    </row>
    <row r="136" spans="1:46">
      <c r="A136" s="8"/>
      <c r="B136" s="8"/>
      <c r="C136" s="8"/>
      <c r="D136" s="8"/>
      <c r="E136" s="8"/>
      <c r="F136" s="8"/>
      <c r="G136" s="8"/>
      <c r="H136" s="8"/>
      <c r="I136" s="8"/>
      <c r="J136" s="8"/>
      <c r="K136" s="8"/>
      <c r="L136" s="8"/>
      <c r="M136" s="8"/>
      <c r="N136" s="8"/>
      <c r="O136" s="8"/>
      <c r="P136" s="8"/>
      <c r="Q136" s="8"/>
      <c r="R136" s="8"/>
      <c r="S136" s="8"/>
      <c r="T136" s="8"/>
      <c r="U136" s="12"/>
      <c r="V136" s="12"/>
      <c r="W136" s="12"/>
      <c r="X136" s="12"/>
      <c r="Y136" s="12"/>
      <c r="Z136" s="12"/>
      <c r="AA136" s="12"/>
      <c r="AB136" s="12"/>
      <c r="AC136" s="12"/>
      <c r="AD136" s="12"/>
      <c r="AE136" s="12"/>
      <c r="AF136" s="12"/>
    </row>
    <row r="137" spans="1:46">
      <c r="A137" s="8"/>
      <c r="B137" s="8"/>
      <c r="C137" s="8"/>
      <c r="D137" s="8"/>
      <c r="E137" s="8"/>
      <c r="F137" s="30"/>
      <c r="G137" s="30"/>
      <c r="H137" s="30"/>
      <c r="I137" s="8"/>
      <c r="J137" s="8"/>
      <c r="K137" s="8"/>
      <c r="L137" s="8"/>
      <c r="M137" s="8"/>
      <c r="N137" s="8"/>
      <c r="O137" s="8"/>
      <c r="P137" s="8"/>
      <c r="Q137" s="8"/>
      <c r="R137" s="8"/>
      <c r="S137" s="8"/>
      <c r="T137" s="8"/>
      <c r="U137" s="12"/>
      <c r="V137" s="12"/>
      <c r="W137" s="12"/>
      <c r="X137" s="12"/>
      <c r="Y137" s="12"/>
      <c r="Z137" s="12"/>
      <c r="AA137" s="12"/>
      <c r="AB137" s="12"/>
      <c r="AC137" s="12"/>
      <c r="AD137" s="12"/>
      <c r="AE137" s="12"/>
      <c r="AF137" s="12"/>
    </row>
    <row r="138" spans="1:46">
      <c r="A138" s="8"/>
      <c r="B138" s="8"/>
      <c r="C138" s="8"/>
      <c r="D138" s="8"/>
      <c r="E138" s="8"/>
      <c r="F138" s="8"/>
      <c r="G138" s="8"/>
      <c r="H138" s="8"/>
      <c r="I138" s="8"/>
      <c r="J138" s="8"/>
      <c r="K138" s="8"/>
      <c r="L138" s="8"/>
      <c r="M138" s="8"/>
      <c r="N138" s="8"/>
      <c r="O138" s="8"/>
      <c r="P138" s="8"/>
      <c r="Q138" s="8"/>
      <c r="R138" s="8"/>
      <c r="S138" s="8"/>
      <c r="T138" s="8"/>
      <c r="U138" s="12"/>
      <c r="V138" s="12"/>
      <c r="W138" s="12"/>
      <c r="X138" s="12"/>
      <c r="Y138" s="12"/>
      <c r="Z138" s="12"/>
      <c r="AA138" s="12"/>
      <c r="AB138" s="12"/>
      <c r="AC138" s="12"/>
      <c r="AD138" s="12"/>
      <c r="AE138" s="12"/>
      <c r="AF138" s="12"/>
    </row>
    <row r="139" spans="1:46">
      <c r="A139" s="8"/>
      <c r="B139" s="8"/>
      <c r="C139" s="8"/>
      <c r="D139" s="8"/>
      <c r="E139" s="8"/>
      <c r="F139" s="8"/>
      <c r="G139" s="8"/>
      <c r="H139" s="8"/>
      <c r="I139" s="8"/>
      <c r="J139" s="8"/>
      <c r="K139" s="8"/>
      <c r="L139" s="8"/>
      <c r="M139" s="8"/>
      <c r="N139" s="8"/>
      <c r="O139" s="8"/>
      <c r="P139" s="8"/>
      <c r="Q139" s="8"/>
      <c r="R139" s="8"/>
      <c r="S139" s="8"/>
      <c r="T139" s="8"/>
      <c r="U139" s="12"/>
      <c r="V139" s="12"/>
      <c r="W139" s="12"/>
      <c r="X139" s="12"/>
      <c r="Y139" s="12"/>
      <c r="Z139" s="12"/>
      <c r="AA139" s="12"/>
      <c r="AB139" s="12"/>
      <c r="AC139" s="12"/>
      <c r="AD139" s="12"/>
      <c r="AE139" s="12"/>
      <c r="AF139" s="12"/>
    </row>
    <row r="140" spans="1:46">
      <c r="A140" s="8"/>
      <c r="B140" s="8"/>
      <c r="C140" s="8"/>
      <c r="D140" s="8"/>
      <c r="E140" s="8"/>
      <c r="F140" s="8"/>
      <c r="G140" s="8"/>
      <c r="H140" s="8"/>
      <c r="I140" s="8"/>
      <c r="J140" s="8"/>
      <c r="K140" s="8"/>
      <c r="L140" s="8"/>
      <c r="M140" s="8"/>
      <c r="N140" s="8"/>
      <c r="O140" s="8"/>
      <c r="P140" s="8"/>
      <c r="Q140" s="8"/>
      <c r="R140" s="8"/>
      <c r="S140" s="8"/>
      <c r="T140" s="8"/>
      <c r="U140" s="12"/>
      <c r="V140" s="12"/>
      <c r="W140" s="12"/>
      <c r="X140" s="12"/>
      <c r="Y140" s="12"/>
      <c r="Z140" s="12"/>
      <c r="AA140" s="12"/>
      <c r="AB140" s="12"/>
      <c r="AC140" s="12"/>
      <c r="AD140" s="12"/>
      <c r="AE140" s="12"/>
      <c r="AF140" s="12"/>
    </row>
    <row r="141" spans="1:46">
      <c r="A141" s="8"/>
      <c r="B141" s="8"/>
      <c r="C141" s="8"/>
      <c r="D141" s="8"/>
      <c r="E141" s="8"/>
      <c r="F141" s="8"/>
      <c r="G141" s="8"/>
      <c r="H141" s="8"/>
      <c r="I141" s="8"/>
      <c r="J141" s="8"/>
      <c r="K141" s="8"/>
      <c r="L141" s="8"/>
      <c r="M141" s="8"/>
      <c r="N141" s="8"/>
      <c r="O141" s="8"/>
      <c r="P141" s="8"/>
      <c r="Q141" s="8"/>
      <c r="R141" s="8"/>
      <c r="S141" s="8"/>
      <c r="T141" s="8"/>
      <c r="U141" s="12"/>
      <c r="V141" s="12"/>
      <c r="W141" s="12"/>
      <c r="X141" s="12"/>
      <c r="Y141" s="12"/>
      <c r="Z141" s="12"/>
      <c r="AA141" s="12"/>
      <c r="AB141" s="12"/>
      <c r="AC141" s="12"/>
      <c r="AD141" s="12"/>
      <c r="AE141" s="12"/>
      <c r="AF141" s="12"/>
    </row>
    <row r="142" spans="1:46">
      <c r="A142" s="8"/>
      <c r="B142" s="8"/>
      <c r="C142" s="8"/>
      <c r="D142" s="8"/>
      <c r="E142" s="8"/>
      <c r="F142" s="8"/>
      <c r="G142" s="8"/>
      <c r="H142" s="8"/>
      <c r="I142" s="8"/>
      <c r="J142" s="8"/>
      <c r="K142" s="8"/>
      <c r="L142" s="8"/>
      <c r="M142" s="8"/>
      <c r="N142" s="8"/>
      <c r="O142" s="8"/>
      <c r="P142" s="8"/>
      <c r="Q142" s="8"/>
      <c r="R142" s="8"/>
      <c r="S142" s="8"/>
      <c r="T142" s="8"/>
      <c r="U142" s="12"/>
      <c r="V142" s="12"/>
      <c r="W142" s="12"/>
      <c r="X142" s="12"/>
      <c r="Y142" s="12"/>
      <c r="Z142" s="12"/>
      <c r="AA142" s="12"/>
      <c r="AB142" s="12"/>
      <c r="AC142" s="12"/>
      <c r="AD142" s="12"/>
      <c r="AE142" s="12"/>
      <c r="AF142" s="12"/>
    </row>
    <row r="143" spans="1:46">
      <c r="A143" s="8"/>
      <c r="B143" s="8"/>
      <c r="C143" s="8"/>
      <c r="D143" s="8"/>
      <c r="E143" s="8"/>
      <c r="F143" s="8"/>
      <c r="G143" s="8"/>
      <c r="H143" s="8"/>
      <c r="I143" s="8"/>
      <c r="J143" s="8"/>
      <c r="K143" s="8"/>
      <c r="L143" s="8"/>
      <c r="M143" s="8"/>
      <c r="N143" s="8"/>
      <c r="O143" s="8"/>
      <c r="P143" s="8"/>
      <c r="Q143" s="8"/>
      <c r="R143" s="8"/>
      <c r="S143" s="8"/>
      <c r="T143" s="8"/>
      <c r="U143" s="12"/>
      <c r="V143" s="12"/>
      <c r="W143" s="12"/>
      <c r="X143" s="12"/>
      <c r="Y143" s="12"/>
      <c r="Z143" s="12"/>
      <c r="AA143" s="12"/>
      <c r="AB143" s="12"/>
      <c r="AC143" s="12"/>
      <c r="AD143" s="12"/>
      <c r="AE143" s="12"/>
      <c r="AF143" s="12"/>
    </row>
    <row r="144" spans="1:46">
      <c r="A144" s="8"/>
      <c r="B144" s="8"/>
      <c r="C144" s="8"/>
      <c r="D144" s="8"/>
      <c r="E144" s="8"/>
      <c r="F144" s="8"/>
      <c r="G144" s="8"/>
      <c r="H144" s="8"/>
      <c r="I144" s="8"/>
      <c r="J144" s="8"/>
      <c r="K144" s="8"/>
      <c r="L144" s="8"/>
      <c r="M144" s="8"/>
      <c r="N144" s="8"/>
      <c r="O144" s="8"/>
      <c r="P144" s="8"/>
      <c r="Q144" s="8"/>
      <c r="R144" s="8"/>
      <c r="S144" s="8"/>
      <c r="T144" s="8"/>
      <c r="U144" s="12"/>
      <c r="V144" s="12"/>
      <c r="W144" s="12"/>
      <c r="X144" s="12"/>
      <c r="Y144" s="12"/>
      <c r="Z144" s="12"/>
      <c r="AA144" s="12"/>
      <c r="AB144" s="12"/>
      <c r="AC144" s="12"/>
      <c r="AD144" s="12"/>
      <c r="AE144" s="12"/>
      <c r="AF144" s="12"/>
    </row>
    <row r="145" spans="1:32">
      <c r="A145" s="8"/>
      <c r="B145" s="8"/>
      <c r="C145" s="8"/>
      <c r="D145" s="8"/>
      <c r="E145" s="8"/>
      <c r="F145" s="8"/>
      <c r="G145" s="8"/>
      <c r="H145" s="8"/>
      <c r="I145" s="8"/>
      <c r="J145" s="8"/>
      <c r="K145" s="8"/>
      <c r="L145" s="8"/>
      <c r="M145" s="8"/>
      <c r="N145" s="8"/>
      <c r="O145" s="8"/>
      <c r="P145" s="8"/>
      <c r="Q145" s="8"/>
      <c r="R145" s="8"/>
      <c r="S145" s="8"/>
      <c r="T145" s="8"/>
      <c r="U145" s="12"/>
      <c r="V145" s="12"/>
      <c r="W145" s="12"/>
      <c r="X145" s="12"/>
      <c r="Y145" s="12"/>
      <c r="Z145" s="12"/>
      <c r="AA145" s="12"/>
      <c r="AB145" s="12"/>
      <c r="AC145" s="12"/>
      <c r="AD145" s="12"/>
      <c r="AE145" s="12"/>
      <c r="AF145" s="12"/>
    </row>
    <row r="146" spans="1:32">
      <c r="A146" s="8"/>
      <c r="B146" s="8"/>
      <c r="C146" s="8"/>
      <c r="D146" s="8"/>
      <c r="E146" s="8"/>
      <c r="F146" s="8"/>
      <c r="G146" s="8"/>
      <c r="H146" s="8"/>
      <c r="I146" s="8"/>
      <c r="J146" s="8"/>
      <c r="K146" s="8"/>
      <c r="L146" s="8"/>
      <c r="M146" s="8"/>
      <c r="N146" s="8"/>
      <c r="O146" s="8"/>
      <c r="P146" s="8"/>
      <c r="Q146" s="8"/>
      <c r="R146" s="8"/>
      <c r="S146" s="8"/>
      <c r="T146" s="8"/>
      <c r="U146" s="12"/>
      <c r="V146" s="12"/>
      <c r="W146" s="12"/>
      <c r="X146" s="12"/>
      <c r="Y146" s="12"/>
      <c r="Z146" s="12"/>
      <c r="AA146" s="12"/>
      <c r="AB146" s="12"/>
      <c r="AC146" s="12"/>
      <c r="AD146" s="12"/>
      <c r="AE146" s="12"/>
      <c r="AF146" s="12"/>
    </row>
    <row r="147" spans="1:32">
      <c r="A147" s="8"/>
      <c r="B147" s="8"/>
      <c r="C147" s="8"/>
      <c r="D147" s="8"/>
      <c r="E147" s="8"/>
      <c r="F147" s="8"/>
      <c r="G147" s="8"/>
      <c r="H147" s="8"/>
      <c r="I147" s="8"/>
      <c r="J147" s="8"/>
      <c r="K147" s="8"/>
      <c r="L147" s="8"/>
      <c r="M147" s="8"/>
      <c r="N147" s="8"/>
      <c r="O147" s="8"/>
      <c r="P147" s="8"/>
      <c r="Q147" s="8"/>
      <c r="R147" s="8"/>
      <c r="S147" s="8"/>
      <c r="T147" s="8"/>
      <c r="U147" s="12"/>
      <c r="V147" s="12"/>
      <c r="W147" s="12"/>
      <c r="X147" s="12"/>
      <c r="Y147" s="12"/>
      <c r="Z147" s="12"/>
      <c r="AA147" s="12"/>
      <c r="AB147" s="12"/>
      <c r="AC147" s="12"/>
      <c r="AD147" s="12"/>
      <c r="AE147" s="12"/>
      <c r="AF147" s="12"/>
    </row>
    <row r="148" spans="1:32">
      <c r="A148" s="8"/>
      <c r="B148" s="8"/>
      <c r="C148" s="8"/>
      <c r="D148" s="8"/>
      <c r="E148" s="8"/>
      <c r="F148" s="8"/>
      <c r="G148" s="8"/>
      <c r="H148" s="8"/>
      <c r="I148" s="8"/>
      <c r="J148" s="8"/>
      <c r="K148" s="8"/>
      <c r="L148" s="8"/>
      <c r="M148" s="8"/>
      <c r="N148" s="8"/>
      <c r="O148" s="8"/>
      <c r="P148" s="8"/>
      <c r="Q148" s="8"/>
      <c r="R148" s="8"/>
      <c r="S148" s="8"/>
      <c r="T148" s="8"/>
      <c r="U148" s="12"/>
      <c r="V148" s="12"/>
      <c r="W148" s="12"/>
      <c r="X148" s="12"/>
      <c r="Y148" s="12"/>
      <c r="Z148" s="12"/>
      <c r="AA148" s="12"/>
      <c r="AB148" s="12"/>
      <c r="AC148" s="12"/>
      <c r="AD148" s="12"/>
      <c r="AE148" s="12"/>
      <c r="AF148" s="12"/>
    </row>
    <row r="149" spans="1:32">
      <c r="A149" s="8"/>
      <c r="B149" s="8"/>
      <c r="C149" s="8"/>
      <c r="D149" s="8"/>
      <c r="E149" s="8"/>
      <c r="F149" s="8"/>
      <c r="G149" s="8"/>
      <c r="H149" s="8"/>
      <c r="I149" s="8"/>
      <c r="J149" s="8"/>
      <c r="K149" s="8"/>
      <c r="L149" s="8"/>
      <c r="M149" s="8"/>
      <c r="N149" s="8"/>
      <c r="O149" s="8"/>
      <c r="P149" s="8"/>
      <c r="Q149" s="8"/>
      <c r="R149" s="8"/>
      <c r="S149" s="8"/>
      <c r="T149" s="8"/>
      <c r="U149" s="12"/>
      <c r="V149" s="12"/>
      <c r="W149" s="12"/>
      <c r="X149" s="12"/>
      <c r="Y149" s="12"/>
      <c r="Z149" s="12"/>
      <c r="AA149" s="12"/>
      <c r="AB149" s="12"/>
      <c r="AC149" s="12"/>
      <c r="AD149" s="12"/>
      <c r="AE149" s="12"/>
      <c r="AF149" s="12"/>
    </row>
    <row r="150" spans="1:32">
      <c r="A150" s="8"/>
      <c r="B150" s="8"/>
      <c r="C150" s="8"/>
      <c r="D150" s="8"/>
      <c r="E150" s="8"/>
      <c r="F150" s="8"/>
      <c r="G150" s="8"/>
      <c r="H150" s="8"/>
      <c r="I150" s="8"/>
      <c r="J150" s="8"/>
      <c r="K150" s="8"/>
      <c r="L150" s="8"/>
      <c r="M150" s="8"/>
      <c r="N150" s="8"/>
      <c r="O150" s="8"/>
      <c r="P150" s="8"/>
      <c r="Q150" s="8"/>
      <c r="R150" s="8"/>
      <c r="S150" s="8"/>
      <c r="T150" s="8"/>
      <c r="U150" s="12"/>
      <c r="V150" s="12"/>
      <c r="W150" s="12"/>
      <c r="X150" s="12"/>
      <c r="Y150" s="12"/>
      <c r="Z150" s="12"/>
      <c r="AA150" s="12"/>
      <c r="AB150" s="12"/>
      <c r="AC150" s="12"/>
      <c r="AD150" s="12"/>
      <c r="AE150" s="12"/>
      <c r="AF150" s="12"/>
    </row>
    <row r="151" spans="1:32">
      <c r="A151" s="8"/>
      <c r="B151" s="8"/>
      <c r="C151" s="8"/>
      <c r="D151" s="8"/>
      <c r="E151" s="8"/>
      <c r="F151" s="8"/>
      <c r="G151" s="8"/>
      <c r="H151" s="8"/>
      <c r="I151" s="8"/>
      <c r="J151" s="8"/>
      <c r="K151" s="8"/>
      <c r="L151" s="8"/>
      <c r="M151" s="8"/>
      <c r="N151" s="8"/>
      <c r="O151" s="8"/>
      <c r="P151" s="8"/>
      <c r="Q151" s="8"/>
      <c r="R151" s="8"/>
      <c r="S151" s="8"/>
      <c r="T151" s="8"/>
      <c r="U151" s="12"/>
      <c r="V151" s="12"/>
      <c r="W151" s="12"/>
      <c r="X151" s="12"/>
      <c r="Y151" s="12"/>
      <c r="Z151" s="12"/>
      <c r="AA151" s="12"/>
      <c r="AB151" s="12"/>
      <c r="AC151" s="12"/>
      <c r="AD151" s="12"/>
      <c r="AE151" s="12"/>
      <c r="AF151" s="12"/>
    </row>
    <row r="152" spans="1:32">
      <c r="A152" s="8"/>
      <c r="B152" s="8"/>
      <c r="C152" s="8"/>
      <c r="D152" s="8"/>
      <c r="E152" s="8"/>
      <c r="F152" s="8"/>
      <c r="G152" s="8"/>
      <c r="H152" s="8"/>
      <c r="I152" s="8"/>
      <c r="J152" s="8"/>
      <c r="K152" s="8"/>
      <c r="L152" s="8"/>
      <c r="M152" s="8"/>
      <c r="N152" s="8"/>
      <c r="O152" s="8"/>
      <c r="P152" s="8"/>
      <c r="Q152" s="8"/>
      <c r="R152" s="8"/>
      <c r="S152" s="8"/>
      <c r="T152" s="8"/>
      <c r="U152" s="12"/>
      <c r="V152" s="12"/>
      <c r="W152" s="12"/>
      <c r="X152" s="12"/>
      <c r="Y152" s="12"/>
      <c r="Z152" s="12"/>
      <c r="AA152" s="12"/>
      <c r="AB152" s="12"/>
      <c r="AC152" s="12"/>
      <c r="AD152" s="12"/>
      <c r="AE152" s="12"/>
      <c r="AF152" s="12"/>
    </row>
    <row r="153" spans="1:32">
      <c r="A153" s="8"/>
      <c r="B153" s="8"/>
      <c r="C153" s="8"/>
      <c r="D153" s="8"/>
      <c r="E153" s="8"/>
      <c r="F153" s="8"/>
      <c r="G153" s="8"/>
      <c r="H153" s="8"/>
      <c r="I153" s="8"/>
      <c r="J153" s="8"/>
      <c r="K153" s="8"/>
      <c r="L153" s="8"/>
      <c r="M153" s="8"/>
      <c r="N153" s="8"/>
      <c r="O153" s="8"/>
      <c r="P153" s="8"/>
      <c r="Q153" s="8"/>
      <c r="R153" s="8"/>
      <c r="S153" s="8"/>
      <c r="T153" s="8"/>
      <c r="U153" s="12"/>
      <c r="V153" s="12"/>
      <c r="W153" s="12"/>
      <c r="X153" s="12"/>
      <c r="Y153" s="12"/>
      <c r="Z153" s="12"/>
      <c r="AA153" s="12"/>
      <c r="AB153" s="12"/>
      <c r="AC153" s="12"/>
      <c r="AD153" s="12"/>
      <c r="AE153" s="12"/>
      <c r="AF153" s="12"/>
    </row>
    <row r="154" spans="1:32">
      <c r="A154" s="8"/>
      <c r="B154" s="8"/>
      <c r="C154" s="8"/>
      <c r="D154" s="8"/>
      <c r="E154" s="8"/>
      <c r="F154" s="8"/>
      <c r="G154" s="8"/>
      <c r="H154" s="8"/>
      <c r="I154" s="8"/>
      <c r="J154" s="8"/>
      <c r="K154" s="8"/>
      <c r="L154" s="8"/>
      <c r="M154" s="8"/>
      <c r="N154" s="8"/>
      <c r="O154" s="8"/>
      <c r="P154" s="8"/>
      <c r="Q154" s="8"/>
      <c r="R154" s="8"/>
      <c r="S154" s="8"/>
      <c r="T154" s="8"/>
      <c r="U154" s="12"/>
      <c r="V154" s="12"/>
      <c r="W154" s="12"/>
      <c r="X154" s="12"/>
      <c r="Y154" s="12"/>
      <c r="Z154" s="12"/>
      <c r="AA154" s="12"/>
      <c r="AB154" s="12"/>
      <c r="AC154" s="12"/>
      <c r="AD154" s="12"/>
      <c r="AE154" s="12"/>
      <c r="AF154" s="12"/>
    </row>
    <row r="155" spans="1:32">
      <c r="A155" s="8"/>
      <c r="B155" s="8"/>
      <c r="C155" s="8"/>
      <c r="D155" s="8"/>
      <c r="E155" s="8"/>
      <c r="F155" s="8"/>
      <c r="G155" s="8"/>
      <c r="H155" s="8"/>
      <c r="I155" s="8"/>
      <c r="J155" s="8"/>
      <c r="K155" s="8"/>
      <c r="L155" s="8"/>
      <c r="M155" s="8"/>
      <c r="N155" s="8"/>
      <c r="O155" s="8"/>
      <c r="P155" s="8"/>
      <c r="Q155" s="8"/>
      <c r="R155" s="8"/>
      <c r="S155" s="8"/>
      <c r="T155" s="8"/>
      <c r="U155" s="12"/>
      <c r="V155" s="12"/>
      <c r="W155" s="12"/>
      <c r="X155" s="12"/>
      <c r="Y155" s="12"/>
      <c r="Z155" s="12"/>
      <c r="AA155" s="12"/>
      <c r="AB155" s="12"/>
      <c r="AC155" s="12"/>
      <c r="AD155" s="12"/>
      <c r="AE155" s="12"/>
      <c r="AF155" s="12"/>
    </row>
    <row r="156" spans="1:32">
      <c r="A156" s="8"/>
      <c r="B156" s="8"/>
      <c r="C156" s="8"/>
      <c r="D156" s="8"/>
      <c r="E156" s="8"/>
      <c r="F156" s="8"/>
      <c r="G156" s="8"/>
      <c r="H156" s="8"/>
      <c r="I156" s="8"/>
      <c r="J156" s="8"/>
      <c r="K156" s="8"/>
      <c r="L156" s="8"/>
      <c r="M156" s="8"/>
      <c r="N156" s="8"/>
      <c r="O156" s="8"/>
      <c r="P156" s="8"/>
      <c r="Q156" s="8"/>
      <c r="R156" s="8"/>
      <c r="S156" s="8"/>
      <c r="T156" s="8"/>
      <c r="U156" s="12"/>
      <c r="V156" s="12"/>
      <c r="W156" s="12"/>
      <c r="X156" s="12"/>
      <c r="Y156" s="12"/>
      <c r="Z156" s="12"/>
      <c r="AA156" s="12"/>
      <c r="AB156" s="12"/>
      <c r="AC156" s="12"/>
      <c r="AD156" s="12"/>
      <c r="AE156" s="12"/>
      <c r="AF156" s="12"/>
    </row>
    <row r="157" spans="1:32">
      <c r="A157" s="8"/>
      <c r="B157" s="8"/>
      <c r="C157" s="8"/>
      <c r="D157" s="8"/>
      <c r="E157" s="8"/>
      <c r="F157" s="8"/>
      <c r="G157" s="8"/>
      <c r="H157" s="8"/>
      <c r="I157" s="8"/>
      <c r="J157" s="8"/>
      <c r="K157" s="8"/>
      <c r="L157" s="8"/>
      <c r="M157" s="8"/>
      <c r="N157" s="8"/>
      <c r="O157" s="8"/>
      <c r="P157" s="8"/>
      <c r="Q157" s="8"/>
      <c r="R157" s="8"/>
      <c r="S157" s="8"/>
      <c r="T157" s="8"/>
      <c r="U157" s="12"/>
      <c r="V157" s="12"/>
      <c r="W157" s="12"/>
      <c r="X157" s="12"/>
      <c r="Y157" s="12"/>
      <c r="Z157" s="12"/>
      <c r="AA157" s="12"/>
      <c r="AB157" s="12"/>
      <c r="AC157" s="12"/>
      <c r="AD157" s="12"/>
      <c r="AE157" s="12"/>
      <c r="AF157" s="12"/>
    </row>
    <row r="158" spans="1:32">
      <c r="A158" s="8"/>
      <c r="B158" s="8"/>
      <c r="C158" s="8"/>
      <c r="D158" s="8"/>
      <c r="E158" s="8"/>
      <c r="F158" s="8"/>
      <c r="G158" s="8"/>
      <c r="H158" s="8"/>
      <c r="I158" s="8"/>
      <c r="J158" s="8"/>
      <c r="K158" s="8"/>
      <c r="L158" s="8"/>
      <c r="M158" s="8"/>
      <c r="N158" s="8"/>
      <c r="O158" s="8"/>
      <c r="P158" s="8"/>
      <c r="Q158" s="8"/>
      <c r="R158" s="8"/>
      <c r="S158" s="8"/>
      <c r="T158" s="8"/>
      <c r="U158" s="12"/>
      <c r="V158" s="12"/>
      <c r="W158" s="12"/>
      <c r="X158" s="12"/>
      <c r="Y158" s="12"/>
      <c r="Z158" s="12"/>
      <c r="AA158" s="12"/>
      <c r="AB158" s="12"/>
      <c r="AC158" s="12"/>
      <c r="AD158" s="12"/>
      <c r="AE158" s="12"/>
      <c r="AF158" s="12"/>
    </row>
    <row r="159" spans="1:32">
      <c r="A159" s="8"/>
      <c r="B159" s="8"/>
      <c r="C159" s="8"/>
      <c r="D159" s="8"/>
      <c r="E159" s="8"/>
      <c r="F159" s="8"/>
      <c r="G159" s="8"/>
      <c r="H159" s="8"/>
      <c r="I159" s="8"/>
      <c r="J159" s="8"/>
      <c r="K159" s="8"/>
      <c r="L159" s="8"/>
      <c r="M159" s="8"/>
      <c r="N159" s="8"/>
      <c r="O159" s="8"/>
      <c r="P159" s="8"/>
      <c r="Q159" s="8"/>
      <c r="R159" s="8"/>
      <c r="S159" s="8"/>
      <c r="T159" s="8"/>
      <c r="U159" s="12"/>
      <c r="V159" s="12"/>
      <c r="W159" s="12"/>
      <c r="X159" s="12"/>
      <c r="Y159" s="12"/>
      <c r="Z159" s="12"/>
      <c r="AA159" s="12"/>
      <c r="AB159" s="12"/>
      <c r="AC159" s="12"/>
      <c r="AD159" s="12"/>
      <c r="AE159" s="12"/>
      <c r="AF159" s="12"/>
    </row>
    <row r="160" spans="1:32">
      <c r="A160" s="8"/>
      <c r="B160" s="8"/>
      <c r="C160" s="8"/>
      <c r="D160" s="8"/>
      <c r="E160" s="8"/>
      <c r="F160" s="8"/>
      <c r="G160" s="8"/>
      <c r="H160" s="8"/>
      <c r="I160" s="8"/>
      <c r="J160" s="8"/>
      <c r="K160" s="8"/>
      <c r="L160" s="8"/>
      <c r="M160" s="8"/>
      <c r="N160" s="8"/>
      <c r="O160" s="8"/>
      <c r="P160" s="8"/>
      <c r="Q160" s="8"/>
      <c r="R160" s="8"/>
      <c r="S160" s="8"/>
      <c r="T160" s="8"/>
      <c r="U160" s="12"/>
      <c r="V160" s="12"/>
      <c r="W160" s="12"/>
      <c r="X160" s="12"/>
      <c r="Y160" s="12"/>
      <c r="Z160" s="12"/>
      <c r="AA160" s="12"/>
      <c r="AB160" s="12"/>
      <c r="AC160" s="12"/>
      <c r="AD160" s="12"/>
      <c r="AE160" s="12"/>
      <c r="AF160" s="12"/>
    </row>
    <row r="161" spans="1:32">
      <c r="A161" s="8"/>
      <c r="B161" s="8"/>
      <c r="C161" s="8"/>
      <c r="D161" s="8"/>
      <c r="E161" s="8"/>
      <c r="F161" s="8"/>
      <c r="G161" s="8"/>
      <c r="H161" s="8"/>
      <c r="I161" s="8"/>
      <c r="J161" s="8"/>
      <c r="K161" s="8"/>
      <c r="L161" s="8"/>
      <c r="M161" s="8"/>
      <c r="N161" s="8"/>
      <c r="O161" s="8"/>
      <c r="P161" s="8"/>
      <c r="Q161" s="8"/>
      <c r="R161" s="8"/>
      <c r="S161" s="8"/>
      <c r="T161" s="8"/>
      <c r="U161" s="12"/>
      <c r="V161" s="12"/>
      <c r="W161" s="12"/>
      <c r="X161" s="12"/>
      <c r="Y161" s="12"/>
      <c r="Z161" s="12"/>
      <c r="AA161" s="12"/>
      <c r="AB161" s="12"/>
      <c r="AC161" s="12"/>
      <c r="AD161" s="12"/>
      <c r="AE161" s="12"/>
      <c r="AF161" s="12"/>
    </row>
    <row r="162" spans="1:32">
      <c r="A162" s="8"/>
      <c r="B162" s="8"/>
      <c r="C162" s="8"/>
      <c r="D162" s="8"/>
      <c r="E162" s="8"/>
      <c r="F162" s="8"/>
      <c r="G162" s="8"/>
      <c r="H162" s="8"/>
      <c r="I162" s="8"/>
      <c r="J162" s="8"/>
      <c r="K162" s="8"/>
      <c r="L162" s="8"/>
      <c r="M162" s="8"/>
      <c r="N162" s="8"/>
      <c r="O162" s="8"/>
      <c r="P162" s="8"/>
      <c r="Q162" s="8"/>
      <c r="R162" s="8"/>
      <c r="S162" s="8"/>
      <c r="T162" s="8"/>
      <c r="U162" s="12"/>
      <c r="V162" s="12"/>
      <c r="W162" s="12"/>
      <c r="X162" s="12"/>
      <c r="Y162" s="12"/>
      <c r="Z162" s="12"/>
      <c r="AA162" s="12"/>
      <c r="AB162" s="12"/>
      <c r="AC162" s="12"/>
      <c r="AD162" s="12"/>
      <c r="AE162" s="12"/>
      <c r="AF162" s="12"/>
    </row>
    <row r="163" spans="1:32">
      <c r="A163" s="8"/>
      <c r="B163" s="8"/>
      <c r="C163" s="8"/>
      <c r="D163" s="8"/>
      <c r="E163" s="8"/>
      <c r="F163" s="8"/>
      <c r="G163" s="8"/>
      <c r="H163" s="8"/>
      <c r="I163" s="8"/>
      <c r="J163" s="8"/>
      <c r="K163" s="8"/>
      <c r="L163" s="8"/>
      <c r="M163" s="8"/>
      <c r="N163" s="8"/>
      <c r="O163" s="8"/>
      <c r="P163" s="8"/>
      <c r="Q163" s="8"/>
      <c r="R163" s="8"/>
      <c r="S163" s="8"/>
      <c r="T163" s="8"/>
      <c r="U163" s="12"/>
      <c r="V163" s="12"/>
      <c r="W163" s="12"/>
      <c r="X163" s="12"/>
      <c r="Y163" s="12"/>
      <c r="Z163" s="12"/>
      <c r="AA163" s="12"/>
      <c r="AB163" s="12"/>
      <c r="AC163" s="12"/>
      <c r="AD163" s="12"/>
      <c r="AE163" s="12"/>
      <c r="AF163" s="12"/>
    </row>
    <row r="164" spans="1:32">
      <c r="A164" s="8"/>
      <c r="B164" s="8"/>
      <c r="C164" s="8"/>
      <c r="D164" s="8"/>
      <c r="E164" s="8"/>
      <c r="F164" s="8"/>
      <c r="G164" s="8"/>
      <c r="H164" s="8"/>
      <c r="I164" s="8"/>
      <c r="J164" s="8"/>
      <c r="K164" s="8"/>
      <c r="L164" s="8"/>
      <c r="M164" s="8"/>
      <c r="N164" s="8"/>
      <c r="O164" s="8"/>
      <c r="P164" s="8"/>
      <c r="Q164" s="8"/>
      <c r="R164" s="8"/>
      <c r="S164" s="8"/>
      <c r="T164" s="8"/>
      <c r="U164" s="12"/>
      <c r="V164" s="12"/>
      <c r="W164" s="12"/>
      <c r="X164" s="12"/>
      <c r="Y164" s="12"/>
      <c r="Z164" s="12"/>
      <c r="AA164" s="12"/>
      <c r="AB164" s="12"/>
      <c r="AC164" s="12"/>
      <c r="AD164" s="12"/>
      <c r="AE164" s="12"/>
      <c r="AF164" s="12"/>
    </row>
    <row r="165" spans="1:32">
      <c r="A165" s="8"/>
      <c r="B165" s="8"/>
      <c r="C165" s="8"/>
      <c r="D165" s="8"/>
      <c r="E165" s="8"/>
      <c r="F165" s="8"/>
      <c r="G165" s="8"/>
      <c r="H165" s="8"/>
      <c r="I165" s="8"/>
      <c r="J165" s="8"/>
      <c r="K165" s="8"/>
      <c r="L165" s="8"/>
      <c r="M165" s="8"/>
      <c r="N165" s="8"/>
      <c r="O165" s="8"/>
      <c r="P165" s="8"/>
      <c r="Q165" s="8"/>
      <c r="R165" s="8"/>
      <c r="S165" s="8"/>
      <c r="T165" s="8"/>
      <c r="U165" s="12"/>
      <c r="V165" s="12"/>
      <c r="W165" s="12"/>
      <c r="X165" s="12"/>
      <c r="Y165" s="12"/>
      <c r="Z165" s="12"/>
      <c r="AA165" s="12"/>
      <c r="AB165" s="12"/>
      <c r="AC165" s="12"/>
      <c r="AD165" s="12"/>
      <c r="AE165" s="12"/>
      <c r="AF165" s="12"/>
    </row>
    <row r="166" spans="1:32">
      <c r="A166" s="8"/>
      <c r="B166" s="8"/>
      <c r="C166" s="8"/>
      <c r="D166" s="8"/>
      <c r="E166" s="8"/>
      <c r="F166" s="8"/>
      <c r="G166" s="8"/>
      <c r="H166" s="8"/>
      <c r="I166" s="8"/>
      <c r="J166" s="8"/>
      <c r="K166" s="8"/>
      <c r="L166" s="8"/>
      <c r="M166" s="8"/>
      <c r="N166" s="8"/>
      <c r="O166" s="8"/>
      <c r="P166" s="8"/>
      <c r="Q166" s="8"/>
      <c r="R166" s="8"/>
      <c r="S166" s="8"/>
      <c r="T166" s="8"/>
      <c r="U166" s="12"/>
      <c r="V166" s="12"/>
      <c r="W166" s="12"/>
      <c r="X166" s="12"/>
      <c r="Y166" s="12"/>
      <c r="Z166" s="12"/>
      <c r="AA166" s="12"/>
      <c r="AB166" s="12"/>
      <c r="AC166" s="12"/>
      <c r="AD166" s="12"/>
      <c r="AE166" s="12"/>
      <c r="AF166" s="12"/>
    </row>
    <row r="167" spans="1:32">
      <c r="A167" s="8"/>
      <c r="B167" s="8"/>
      <c r="C167" s="8"/>
      <c r="D167" s="8"/>
      <c r="E167" s="8"/>
      <c r="F167" s="8"/>
      <c r="G167" s="8"/>
      <c r="H167" s="8"/>
      <c r="I167" s="8"/>
      <c r="J167" s="8"/>
      <c r="K167" s="8"/>
      <c r="L167" s="8"/>
      <c r="M167" s="8"/>
      <c r="N167" s="8"/>
      <c r="O167" s="8"/>
      <c r="P167" s="8"/>
      <c r="Q167" s="8"/>
      <c r="R167" s="8"/>
      <c r="S167" s="8"/>
      <c r="T167" s="8"/>
      <c r="U167" s="12"/>
      <c r="V167" s="12"/>
      <c r="W167" s="12"/>
      <c r="X167" s="12"/>
      <c r="Y167" s="12"/>
      <c r="Z167" s="12"/>
      <c r="AA167" s="12"/>
      <c r="AB167" s="12"/>
      <c r="AC167" s="12"/>
      <c r="AD167" s="12"/>
      <c r="AE167" s="12"/>
      <c r="AF167" s="12"/>
    </row>
    <row r="168" spans="1:32">
      <c r="A168" s="8"/>
      <c r="B168" s="8"/>
      <c r="C168" s="8"/>
      <c r="D168" s="8"/>
      <c r="E168" s="8"/>
      <c r="F168" s="8"/>
      <c r="G168" s="8"/>
      <c r="H168" s="8"/>
      <c r="I168" s="8"/>
      <c r="J168" s="8"/>
      <c r="K168" s="8"/>
      <c r="L168" s="8"/>
      <c r="M168" s="8"/>
      <c r="N168" s="8"/>
      <c r="O168" s="8"/>
      <c r="P168" s="8"/>
      <c r="Q168" s="8"/>
      <c r="R168" s="8"/>
      <c r="S168" s="8"/>
      <c r="T168" s="8"/>
      <c r="U168" s="12"/>
      <c r="V168" s="12"/>
      <c r="W168" s="12"/>
      <c r="X168" s="12"/>
      <c r="Y168" s="12"/>
      <c r="Z168" s="12"/>
      <c r="AA168" s="12"/>
      <c r="AB168" s="12"/>
      <c r="AC168" s="12"/>
      <c r="AD168" s="12"/>
      <c r="AE168" s="12"/>
      <c r="AF168" s="12"/>
    </row>
    <row r="169" spans="1:32">
      <c r="A169" s="8"/>
      <c r="B169" s="8"/>
      <c r="C169" s="8"/>
      <c r="D169" s="8"/>
      <c r="E169" s="8"/>
      <c r="F169" s="8"/>
      <c r="G169" s="8"/>
      <c r="H169" s="8"/>
      <c r="I169" s="8"/>
      <c r="J169" s="8"/>
      <c r="K169" s="8"/>
      <c r="L169" s="8"/>
      <c r="M169" s="8"/>
      <c r="N169" s="8"/>
      <c r="O169" s="8"/>
      <c r="P169" s="8"/>
      <c r="Q169" s="8"/>
      <c r="R169" s="8"/>
      <c r="S169" s="8"/>
      <c r="T169" s="8"/>
      <c r="U169" s="12"/>
      <c r="V169" s="12"/>
      <c r="W169" s="12"/>
      <c r="X169" s="12"/>
      <c r="Y169" s="12"/>
      <c r="Z169" s="12"/>
      <c r="AA169" s="12"/>
      <c r="AB169" s="12"/>
      <c r="AC169" s="12"/>
      <c r="AD169" s="12"/>
      <c r="AE169" s="12"/>
      <c r="AF169" s="12"/>
    </row>
    <row r="170" spans="1:32">
      <c r="A170" s="8"/>
      <c r="B170" s="8"/>
      <c r="C170" s="8"/>
      <c r="D170" s="8"/>
      <c r="E170" s="8"/>
      <c r="F170" s="8"/>
      <c r="G170" s="8"/>
      <c r="H170" s="8"/>
      <c r="I170" s="8"/>
      <c r="J170" s="8"/>
      <c r="K170" s="8"/>
      <c r="L170" s="8"/>
      <c r="M170" s="8"/>
      <c r="N170" s="8"/>
      <c r="O170" s="8"/>
      <c r="P170" s="8"/>
      <c r="Q170" s="8"/>
      <c r="R170" s="8"/>
      <c r="S170" s="8"/>
      <c r="T170" s="8"/>
      <c r="U170" s="12"/>
      <c r="V170" s="12"/>
      <c r="W170" s="12"/>
      <c r="X170" s="12"/>
      <c r="Y170" s="12"/>
      <c r="Z170" s="12"/>
      <c r="AA170" s="12"/>
      <c r="AB170" s="12"/>
      <c r="AC170" s="12"/>
      <c r="AD170" s="12"/>
      <c r="AE170" s="12"/>
      <c r="AF170" s="12"/>
    </row>
    <row r="171" spans="1:32">
      <c r="A171" s="8"/>
      <c r="B171" s="8"/>
      <c r="C171" s="8"/>
      <c r="D171" s="8"/>
      <c r="E171" s="8"/>
      <c r="F171" s="8"/>
      <c r="G171" s="8"/>
      <c r="H171" s="8"/>
      <c r="I171" s="8"/>
      <c r="J171" s="8"/>
      <c r="K171" s="8"/>
      <c r="L171" s="8"/>
      <c r="M171" s="8"/>
      <c r="N171" s="8"/>
      <c r="O171" s="8"/>
      <c r="P171" s="8"/>
      <c r="Q171" s="8"/>
      <c r="R171" s="8"/>
      <c r="S171" s="8"/>
      <c r="T171" s="8"/>
      <c r="U171" s="12"/>
      <c r="V171" s="12"/>
      <c r="W171" s="12"/>
      <c r="X171" s="12"/>
      <c r="Y171" s="12"/>
      <c r="Z171" s="12"/>
      <c r="AA171" s="12"/>
      <c r="AB171" s="12"/>
      <c r="AC171" s="12"/>
      <c r="AD171" s="12"/>
      <c r="AE171" s="12"/>
      <c r="AF171" s="12"/>
    </row>
    <row r="172" spans="1:32">
      <c r="A172" s="8"/>
      <c r="B172" s="8"/>
      <c r="C172" s="8"/>
      <c r="D172" s="8"/>
      <c r="E172" s="8"/>
      <c r="F172" s="8"/>
      <c r="G172" s="8"/>
      <c r="H172" s="8"/>
      <c r="I172" s="8"/>
      <c r="J172" s="8"/>
      <c r="K172" s="8"/>
      <c r="L172" s="8"/>
      <c r="M172" s="8"/>
      <c r="N172" s="8"/>
      <c r="O172" s="8"/>
      <c r="P172" s="8"/>
      <c r="Q172" s="8"/>
      <c r="R172" s="8"/>
      <c r="S172" s="8"/>
      <c r="T172" s="8"/>
      <c r="U172" s="12"/>
      <c r="V172" s="12"/>
      <c r="W172" s="12"/>
      <c r="X172" s="12"/>
      <c r="Y172" s="12"/>
      <c r="Z172" s="12"/>
      <c r="AA172" s="12"/>
      <c r="AB172" s="12"/>
      <c r="AC172" s="12"/>
      <c r="AD172" s="12"/>
      <c r="AE172" s="12"/>
      <c r="AF172" s="12"/>
    </row>
    <row r="173" spans="1:32">
      <c r="A173" s="8"/>
      <c r="B173" s="8"/>
      <c r="C173" s="8"/>
      <c r="D173" s="8"/>
      <c r="E173" s="8"/>
      <c r="F173" s="8"/>
      <c r="G173" s="8"/>
      <c r="H173" s="8"/>
      <c r="I173" s="8"/>
      <c r="J173" s="8"/>
      <c r="K173" s="8"/>
      <c r="L173" s="8"/>
      <c r="M173" s="8"/>
      <c r="N173" s="8"/>
      <c r="O173" s="8"/>
      <c r="P173" s="8"/>
      <c r="Q173" s="8"/>
      <c r="R173" s="8"/>
      <c r="S173" s="8"/>
      <c r="T173" s="8"/>
      <c r="U173" s="12"/>
      <c r="V173" s="12"/>
      <c r="W173" s="12"/>
      <c r="X173" s="12"/>
      <c r="Y173" s="12"/>
      <c r="Z173" s="12"/>
      <c r="AA173" s="12"/>
      <c r="AB173" s="12"/>
      <c r="AC173" s="12"/>
      <c r="AD173" s="12"/>
      <c r="AE173" s="12"/>
      <c r="AF173" s="12"/>
    </row>
    <row r="174" spans="1:32">
      <c r="A174" s="8"/>
      <c r="B174" s="8"/>
      <c r="C174" s="8"/>
      <c r="D174" s="8"/>
      <c r="E174" s="8"/>
      <c r="F174" s="8"/>
      <c r="G174" s="8"/>
      <c r="H174" s="8"/>
      <c r="I174" s="8"/>
      <c r="J174" s="8"/>
      <c r="K174" s="8"/>
      <c r="L174" s="8"/>
      <c r="M174" s="8"/>
      <c r="N174" s="8"/>
      <c r="O174" s="8"/>
      <c r="P174" s="8"/>
      <c r="Q174" s="8"/>
      <c r="R174" s="8"/>
      <c r="S174" s="8"/>
      <c r="T174" s="8"/>
      <c r="U174" s="12"/>
      <c r="V174" s="12"/>
      <c r="W174" s="12"/>
      <c r="X174" s="12"/>
      <c r="Y174" s="12"/>
      <c r="Z174" s="12"/>
      <c r="AA174" s="12"/>
      <c r="AB174" s="12"/>
      <c r="AC174" s="12"/>
      <c r="AD174" s="12"/>
      <c r="AE174" s="12"/>
      <c r="AF174" s="12"/>
    </row>
    <row r="175" spans="1:32">
      <c r="A175" s="8"/>
      <c r="B175" s="8"/>
      <c r="C175" s="8"/>
      <c r="D175" s="8"/>
      <c r="E175" s="8"/>
      <c r="F175" s="8"/>
      <c r="G175" s="8"/>
      <c r="H175" s="8"/>
      <c r="I175" s="8"/>
      <c r="J175" s="8"/>
      <c r="K175" s="8"/>
      <c r="L175" s="8"/>
      <c r="M175" s="8"/>
      <c r="N175" s="8"/>
      <c r="O175" s="8"/>
      <c r="P175" s="8"/>
      <c r="Q175" s="8"/>
      <c r="R175" s="8"/>
      <c r="S175" s="8"/>
      <c r="T175" s="8"/>
      <c r="U175" s="12"/>
      <c r="V175" s="12"/>
      <c r="W175" s="12"/>
      <c r="X175" s="12"/>
      <c r="Y175" s="12"/>
      <c r="Z175" s="12"/>
      <c r="AA175" s="12"/>
      <c r="AB175" s="12"/>
      <c r="AC175" s="12"/>
      <c r="AD175" s="12"/>
      <c r="AE175" s="12"/>
      <c r="AF175" s="12"/>
    </row>
    <row r="176" spans="1:32">
      <c r="A176" s="8"/>
      <c r="B176" s="8"/>
      <c r="C176" s="8"/>
      <c r="D176" s="8"/>
      <c r="E176" s="8"/>
      <c r="F176" s="8"/>
      <c r="G176" s="8"/>
      <c r="H176" s="8"/>
      <c r="I176" s="8"/>
      <c r="J176" s="8"/>
      <c r="K176" s="8"/>
      <c r="L176" s="8"/>
      <c r="M176" s="8"/>
      <c r="N176" s="8"/>
      <c r="O176" s="8"/>
      <c r="P176" s="8"/>
      <c r="Q176" s="8"/>
      <c r="R176" s="8"/>
      <c r="S176" s="8"/>
      <c r="T176" s="8"/>
      <c r="U176" s="12"/>
      <c r="V176" s="12"/>
      <c r="W176" s="12"/>
      <c r="X176" s="12"/>
      <c r="Y176" s="12"/>
      <c r="Z176" s="12"/>
      <c r="AA176" s="12"/>
      <c r="AB176" s="12"/>
      <c r="AC176" s="12"/>
      <c r="AD176" s="12"/>
      <c r="AE176" s="12"/>
      <c r="AF176" s="12"/>
    </row>
    <row r="177" spans="1:32">
      <c r="A177" s="8"/>
      <c r="B177" s="8"/>
      <c r="C177" s="8"/>
      <c r="D177" s="8"/>
      <c r="E177" s="8"/>
      <c r="F177" s="8"/>
      <c r="G177" s="8"/>
      <c r="H177" s="8"/>
      <c r="I177" s="8"/>
      <c r="J177" s="8"/>
      <c r="K177" s="8"/>
      <c r="L177" s="8"/>
      <c r="M177" s="8"/>
      <c r="N177" s="8"/>
      <c r="O177" s="8"/>
      <c r="P177" s="8"/>
      <c r="Q177" s="8"/>
      <c r="R177" s="8"/>
      <c r="S177" s="8"/>
      <c r="T177" s="8"/>
      <c r="U177" s="12"/>
      <c r="V177" s="12"/>
      <c r="W177" s="12"/>
      <c r="X177" s="12"/>
      <c r="Y177" s="12"/>
      <c r="Z177" s="12"/>
      <c r="AA177" s="12"/>
      <c r="AB177" s="12"/>
      <c r="AC177" s="12"/>
      <c r="AD177" s="12"/>
      <c r="AE177" s="12"/>
      <c r="AF177" s="12"/>
    </row>
    <row r="178" spans="1:32">
      <c r="A178" s="8"/>
      <c r="B178" s="8"/>
      <c r="C178" s="8"/>
      <c r="D178" s="8"/>
      <c r="E178" s="8"/>
      <c r="F178" s="8"/>
      <c r="G178" s="8"/>
      <c r="H178" s="8"/>
      <c r="I178" s="8"/>
      <c r="J178" s="8"/>
      <c r="K178" s="8"/>
      <c r="L178" s="8"/>
      <c r="M178" s="8"/>
      <c r="N178" s="8"/>
      <c r="O178" s="8"/>
      <c r="P178" s="8"/>
      <c r="Q178" s="8"/>
      <c r="R178" s="8"/>
      <c r="S178" s="8"/>
      <c r="T178" s="8"/>
      <c r="U178" s="12"/>
      <c r="V178" s="12"/>
      <c r="W178" s="12"/>
      <c r="X178" s="12"/>
      <c r="Y178" s="12"/>
      <c r="Z178" s="12"/>
      <c r="AA178" s="12"/>
      <c r="AB178" s="12"/>
      <c r="AC178" s="12"/>
      <c r="AD178" s="12"/>
      <c r="AE178" s="12"/>
      <c r="AF178" s="12"/>
    </row>
    <row r="179" spans="1:32">
      <c r="A179" s="8"/>
      <c r="B179" s="8"/>
      <c r="C179" s="8"/>
      <c r="D179" s="8"/>
      <c r="E179" s="8"/>
      <c r="F179" s="8"/>
      <c r="G179" s="8"/>
      <c r="H179" s="8"/>
      <c r="I179" s="8"/>
      <c r="J179" s="8"/>
      <c r="K179" s="8"/>
      <c r="L179" s="8"/>
      <c r="M179" s="8"/>
      <c r="N179" s="8"/>
      <c r="O179" s="8"/>
      <c r="P179" s="8"/>
      <c r="Q179" s="8"/>
      <c r="R179" s="8"/>
      <c r="S179" s="8"/>
      <c r="T179" s="8"/>
      <c r="U179" s="12"/>
      <c r="V179" s="12"/>
      <c r="W179" s="12"/>
      <c r="X179" s="12"/>
      <c r="Y179" s="12"/>
      <c r="Z179" s="12"/>
      <c r="AA179" s="12"/>
      <c r="AB179" s="12"/>
      <c r="AC179" s="12"/>
      <c r="AD179" s="12"/>
      <c r="AE179" s="12"/>
      <c r="AF179" s="12"/>
    </row>
    <row r="180" spans="1:32">
      <c r="A180" s="8"/>
      <c r="B180" s="8"/>
      <c r="C180" s="8"/>
      <c r="D180" s="8"/>
      <c r="E180" s="8"/>
      <c r="F180" s="8"/>
      <c r="G180" s="8"/>
      <c r="H180" s="8"/>
      <c r="I180" s="8"/>
      <c r="J180" s="8"/>
      <c r="K180" s="8"/>
      <c r="L180" s="8"/>
      <c r="M180" s="8"/>
      <c r="N180" s="8"/>
      <c r="O180" s="8"/>
      <c r="P180" s="8"/>
      <c r="Q180" s="8"/>
      <c r="R180" s="8"/>
      <c r="S180" s="8"/>
      <c r="T180" s="8"/>
      <c r="U180" s="12"/>
      <c r="V180" s="12"/>
      <c r="W180" s="12"/>
      <c r="X180" s="12"/>
      <c r="Y180" s="12"/>
      <c r="Z180" s="12"/>
      <c r="AA180" s="12"/>
      <c r="AB180" s="12"/>
      <c r="AC180" s="12"/>
      <c r="AD180" s="12"/>
      <c r="AE180" s="12"/>
      <c r="AF180" s="12"/>
    </row>
    <row r="181" spans="1:32">
      <c r="A181" s="8"/>
      <c r="B181" s="8"/>
      <c r="C181" s="8"/>
      <c r="D181" s="8"/>
      <c r="E181" s="8"/>
      <c r="F181" s="8"/>
      <c r="G181" s="8"/>
      <c r="H181" s="8"/>
      <c r="I181" s="8"/>
      <c r="J181" s="8"/>
      <c r="K181" s="8"/>
      <c r="L181" s="8"/>
      <c r="M181" s="8"/>
      <c r="N181" s="8"/>
      <c r="O181" s="8"/>
      <c r="P181" s="8"/>
      <c r="Q181" s="8"/>
      <c r="R181" s="8"/>
      <c r="S181" s="8"/>
      <c r="T181" s="8"/>
      <c r="U181" s="12"/>
      <c r="V181" s="12"/>
      <c r="W181" s="12"/>
      <c r="X181" s="12"/>
      <c r="Y181" s="12"/>
      <c r="Z181" s="12"/>
      <c r="AA181" s="12"/>
      <c r="AB181" s="12"/>
      <c r="AC181" s="12"/>
      <c r="AD181" s="12"/>
      <c r="AE181" s="12"/>
      <c r="AF181" s="12"/>
    </row>
    <row r="182" spans="1:32">
      <c r="A182" s="8"/>
      <c r="B182" s="8"/>
      <c r="C182" s="8"/>
      <c r="D182" s="8"/>
      <c r="E182" s="8"/>
      <c r="F182" s="8"/>
      <c r="G182" s="8"/>
      <c r="H182" s="8"/>
      <c r="I182" s="8"/>
      <c r="J182" s="8"/>
      <c r="K182" s="8"/>
      <c r="L182" s="8"/>
      <c r="M182" s="8"/>
      <c r="N182" s="8"/>
      <c r="O182" s="8"/>
      <c r="P182" s="8"/>
      <c r="Q182" s="8"/>
      <c r="R182" s="8"/>
      <c r="S182" s="8"/>
      <c r="T182" s="8"/>
      <c r="U182" s="12"/>
      <c r="V182" s="12"/>
      <c r="W182" s="12"/>
      <c r="X182" s="12"/>
      <c r="Y182" s="12"/>
      <c r="Z182" s="12"/>
      <c r="AA182" s="12"/>
      <c r="AB182" s="12"/>
      <c r="AC182" s="12"/>
      <c r="AD182" s="12"/>
      <c r="AE182" s="12"/>
      <c r="AF182" s="12"/>
    </row>
    <row r="183" spans="1:32">
      <c r="A183" s="8"/>
      <c r="B183" s="8"/>
      <c r="C183" s="8"/>
      <c r="D183" s="8"/>
      <c r="E183" s="8"/>
      <c r="F183" s="8"/>
      <c r="G183" s="8"/>
      <c r="H183" s="8"/>
      <c r="I183" s="8"/>
      <c r="J183" s="8"/>
      <c r="K183" s="8"/>
      <c r="L183" s="8"/>
      <c r="M183" s="8"/>
      <c r="N183" s="8"/>
      <c r="O183" s="8"/>
      <c r="P183" s="8"/>
      <c r="Q183" s="8"/>
      <c r="R183" s="8"/>
      <c r="S183" s="8"/>
      <c r="T183" s="8"/>
      <c r="U183" s="12"/>
      <c r="V183" s="12"/>
      <c r="W183" s="12"/>
      <c r="X183" s="12"/>
      <c r="Y183" s="12"/>
      <c r="Z183" s="12"/>
      <c r="AA183" s="12"/>
      <c r="AB183" s="12"/>
      <c r="AC183" s="12"/>
      <c r="AD183" s="12"/>
      <c r="AE183" s="12"/>
      <c r="AF183" s="12"/>
    </row>
    <row r="184" spans="1:32">
      <c r="A184" s="8"/>
      <c r="B184" s="8"/>
      <c r="C184" s="8"/>
      <c r="D184" s="8"/>
      <c r="E184" s="8"/>
      <c r="F184" s="8"/>
      <c r="G184" s="8"/>
      <c r="H184" s="8"/>
      <c r="I184" s="8"/>
      <c r="J184" s="8"/>
      <c r="K184" s="8"/>
      <c r="L184" s="8"/>
      <c r="M184" s="8"/>
      <c r="N184" s="8"/>
      <c r="O184" s="8"/>
      <c r="P184" s="8"/>
      <c r="Q184" s="8"/>
      <c r="R184" s="8"/>
      <c r="S184" s="8"/>
      <c r="T184" s="8"/>
      <c r="U184" s="12"/>
      <c r="V184" s="12"/>
      <c r="W184" s="12"/>
      <c r="X184" s="12"/>
      <c r="Y184" s="12"/>
      <c r="Z184" s="12"/>
      <c r="AA184" s="12"/>
      <c r="AB184" s="12"/>
      <c r="AC184" s="12"/>
      <c r="AD184" s="12"/>
      <c r="AE184" s="12"/>
      <c r="AF184" s="12"/>
    </row>
    <row r="185" spans="1:32">
      <c r="A185" s="8"/>
      <c r="B185" s="8"/>
      <c r="C185" s="8"/>
      <c r="D185" s="8"/>
      <c r="E185" s="8"/>
      <c r="F185" s="8"/>
      <c r="G185" s="8"/>
      <c r="H185" s="8"/>
      <c r="I185" s="8"/>
      <c r="J185" s="8"/>
      <c r="K185" s="8"/>
      <c r="L185" s="8"/>
      <c r="M185" s="8"/>
      <c r="N185" s="8"/>
      <c r="O185" s="8"/>
      <c r="P185" s="8"/>
      <c r="Q185" s="8"/>
      <c r="R185" s="8"/>
      <c r="S185" s="8"/>
      <c r="T185" s="8"/>
      <c r="U185" s="12"/>
      <c r="V185" s="12"/>
      <c r="W185" s="12"/>
      <c r="X185" s="12"/>
      <c r="Y185" s="12"/>
      <c r="Z185" s="12"/>
      <c r="AA185" s="12"/>
      <c r="AB185" s="12"/>
      <c r="AC185" s="12"/>
      <c r="AD185" s="12"/>
      <c r="AE185" s="12"/>
      <c r="AF185" s="12"/>
    </row>
    <row r="186" spans="1:32">
      <c r="A186" s="8"/>
      <c r="B186" s="8"/>
      <c r="C186" s="8"/>
      <c r="D186" s="8"/>
      <c r="E186" s="8"/>
      <c r="F186" s="8"/>
      <c r="G186" s="8"/>
      <c r="H186" s="8"/>
      <c r="I186" s="8"/>
      <c r="J186" s="8"/>
      <c r="K186" s="8"/>
      <c r="L186" s="8"/>
      <c r="M186" s="8"/>
      <c r="N186" s="8"/>
      <c r="O186" s="8"/>
      <c r="P186" s="8"/>
      <c r="Q186" s="8"/>
      <c r="R186" s="8"/>
      <c r="S186" s="8"/>
      <c r="T186" s="8"/>
      <c r="U186" s="12"/>
      <c r="V186" s="12"/>
      <c r="W186" s="12"/>
      <c r="X186" s="12"/>
      <c r="Y186" s="12"/>
      <c r="Z186" s="12"/>
      <c r="AA186" s="12"/>
      <c r="AB186" s="12"/>
      <c r="AC186" s="12"/>
      <c r="AD186" s="12"/>
      <c r="AE186" s="12"/>
      <c r="AF186" s="12"/>
    </row>
    <row r="187" spans="1:32">
      <c r="A187" s="8"/>
      <c r="B187" s="8"/>
      <c r="C187" s="8"/>
      <c r="D187" s="8"/>
      <c r="E187" s="8"/>
      <c r="F187" s="8"/>
      <c r="G187" s="8"/>
      <c r="H187" s="8"/>
      <c r="I187" s="8"/>
      <c r="J187" s="8"/>
      <c r="K187" s="8"/>
      <c r="L187" s="8"/>
      <c r="M187" s="8"/>
      <c r="N187" s="8"/>
      <c r="O187" s="8"/>
      <c r="P187" s="8"/>
      <c r="Q187" s="8"/>
      <c r="R187" s="8"/>
      <c r="S187" s="8"/>
      <c r="T187" s="8"/>
      <c r="U187" s="12"/>
      <c r="V187" s="12"/>
      <c r="W187" s="12"/>
      <c r="X187" s="12"/>
      <c r="Y187" s="12"/>
      <c r="Z187" s="12"/>
      <c r="AA187" s="12"/>
      <c r="AB187" s="12"/>
      <c r="AC187" s="12"/>
      <c r="AD187" s="12"/>
      <c r="AE187" s="12"/>
      <c r="AF187" s="12"/>
    </row>
    <row r="188" spans="1:32">
      <c r="A188" s="8"/>
      <c r="B188" s="8"/>
      <c r="C188" s="8"/>
      <c r="D188" s="8"/>
      <c r="E188" s="8"/>
      <c r="F188" s="8"/>
      <c r="G188" s="8"/>
      <c r="H188" s="8"/>
      <c r="I188" s="8"/>
      <c r="J188" s="8"/>
      <c r="K188" s="8"/>
      <c r="L188" s="8"/>
      <c r="M188" s="8"/>
      <c r="N188" s="8"/>
      <c r="O188" s="8"/>
      <c r="P188" s="8"/>
      <c r="Q188" s="8"/>
      <c r="R188" s="8"/>
      <c r="S188" s="8"/>
      <c r="T188" s="8"/>
      <c r="U188" s="12"/>
      <c r="V188" s="12"/>
      <c r="W188" s="12"/>
      <c r="X188" s="12"/>
      <c r="Y188" s="12"/>
      <c r="Z188" s="12"/>
      <c r="AA188" s="12"/>
      <c r="AB188" s="12"/>
      <c r="AC188" s="12"/>
      <c r="AD188" s="12"/>
      <c r="AE188" s="12"/>
      <c r="AF188" s="12"/>
    </row>
    <row r="189" spans="1:32">
      <c r="A189" s="8"/>
      <c r="B189" s="8"/>
      <c r="C189" s="8"/>
      <c r="D189" s="8"/>
      <c r="E189" s="8"/>
      <c r="F189" s="8"/>
      <c r="G189" s="8"/>
      <c r="H189" s="8"/>
      <c r="I189" s="8"/>
      <c r="J189" s="8"/>
      <c r="K189" s="8"/>
      <c r="L189" s="8"/>
      <c r="M189" s="8"/>
      <c r="N189" s="8"/>
      <c r="O189" s="8"/>
      <c r="P189" s="8"/>
      <c r="Q189" s="8"/>
      <c r="R189" s="8"/>
      <c r="S189" s="8"/>
      <c r="T189" s="8"/>
      <c r="U189" s="12"/>
      <c r="V189" s="12"/>
      <c r="W189" s="12"/>
      <c r="X189" s="12"/>
      <c r="Y189" s="12"/>
      <c r="Z189" s="12"/>
      <c r="AA189" s="12"/>
      <c r="AB189" s="12"/>
      <c r="AC189" s="12"/>
      <c r="AD189" s="12"/>
      <c r="AE189" s="12"/>
      <c r="AF189" s="12"/>
    </row>
    <row r="190" spans="1:32">
      <c r="A190" s="8"/>
      <c r="B190" s="8"/>
      <c r="C190" s="8"/>
      <c r="D190" s="8"/>
      <c r="E190" s="8"/>
      <c r="F190" s="8"/>
      <c r="G190" s="8"/>
      <c r="H190" s="8"/>
      <c r="I190" s="8"/>
      <c r="J190" s="8"/>
      <c r="K190" s="8"/>
      <c r="L190" s="8"/>
      <c r="M190" s="8"/>
      <c r="N190" s="8"/>
      <c r="O190" s="8"/>
      <c r="P190" s="8"/>
      <c r="Q190" s="8"/>
      <c r="R190" s="8"/>
      <c r="S190" s="8"/>
      <c r="T190" s="8"/>
      <c r="U190" s="12"/>
      <c r="V190" s="12"/>
      <c r="W190" s="12"/>
      <c r="X190" s="12"/>
      <c r="Y190" s="12"/>
      <c r="Z190" s="12"/>
      <c r="AA190" s="12"/>
      <c r="AB190" s="12"/>
      <c r="AC190" s="12"/>
      <c r="AD190" s="12"/>
      <c r="AE190" s="12"/>
      <c r="AF190" s="12"/>
    </row>
    <row r="191" spans="1:32">
      <c r="A191" s="8"/>
      <c r="B191" s="8"/>
      <c r="C191" s="8"/>
      <c r="D191" s="8"/>
      <c r="E191" s="8"/>
      <c r="F191" s="8"/>
      <c r="G191" s="8"/>
      <c r="H191" s="8"/>
      <c r="I191" s="8"/>
      <c r="J191" s="8"/>
      <c r="K191" s="8"/>
      <c r="L191" s="8"/>
      <c r="M191" s="8"/>
      <c r="N191" s="8"/>
      <c r="O191" s="8"/>
      <c r="P191" s="8"/>
      <c r="Q191" s="8"/>
      <c r="R191" s="8"/>
      <c r="S191" s="8"/>
      <c r="T191" s="8"/>
      <c r="U191" s="12"/>
      <c r="V191" s="12"/>
      <c r="W191" s="12"/>
      <c r="X191" s="12"/>
      <c r="Y191" s="12"/>
      <c r="Z191" s="12"/>
      <c r="AA191" s="12"/>
      <c r="AB191" s="12"/>
      <c r="AC191" s="12"/>
      <c r="AD191" s="12"/>
      <c r="AE191" s="12"/>
      <c r="AF191" s="12"/>
    </row>
    <row r="192" spans="1:32">
      <c r="A192" s="8"/>
      <c r="B192" s="8"/>
      <c r="C192" s="8"/>
      <c r="D192" s="8"/>
      <c r="E192" s="8"/>
      <c r="F192" s="8"/>
      <c r="G192" s="8"/>
      <c r="H192" s="8"/>
      <c r="I192" s="8"/>
      <c r="J192" s="8"/>
      <c r="K192" s="8"/>
      <c r="L192" s="8"/>
      <c r="M192" s="8"/>
      <c r="N192" s="8"/>
      <c r="O192" s="8"/>
      <c r="P192" s="8"/>
      <c r="Q192" s="8"/>
      <c r="R192" s="8"/>
      <c r="S192" s="8"/>
      <c r="T192" s="8"/>
      <c r="U192" s="12"/>
      <c r="V192" s="12"/>
      <c r="W192" s="12"/>
      <c r="X192" s="12"/>
      <c r="Y192" s="12"/>
      <c r="Z192" s="12"/>
      <c r="AA192" s="12"/>
      <c r="AB192" s="12"/>
      <c r="AC192" s="12"/>
      <c r="AD192" s="12"/>
      <c r="AE192" s="12"/>
      <c r="AF192" s="12"/>
    </row>
    <row r="193" spans="1:32">
      <c r="A193" s="8"/>
      <c r="B193" s="8"/>
      <c r="C193" s="8"/>
      <c r="D193" s="8"/>
      <c r="E193" s="8"/>
      <c r="F193" s="8"/>
      <c r="G193" s="8"/>
      <c r="H193" s="8"/>
      <c r="I193" s="8"/>
      <c r="J193" s="8"/>
      <c r="K193" s="8"/>
      <c r="L193" s="8"/>
      <c r="M193" s="8"/>
      <c r="N193" s="8"/>
      <c r="O193" s="8"/>
      <c r="P193" s="8"/>
      <c r="Q193" s="8"/>
      <c r="R193" s="8"/>
      <c r="S193" s="8"/>
      <c r="T193" s="8"/>
      <c r="U193" s="12"/>
      <c r="V193" s="12"/>
      <c r="W193" s="12"/>
      <c r="X193" s="12"/>
      <c r="Y193" s="12"/>
      <c r="Z193" s="12"/>
      <c r="AA193" s="12"/>
      <c r="AB193" s="12"/>
      <c r="AC193" s="12"/>
      <c r="AD193" s="12"/>
      <c r="AE193" s="12"/>
      <c r="AF193" s="12"/>
    </row>
    <row r="194" spans="1:32">
      <c r="A194" s="8"/>
      <c r="B194" s="8"/>
      <c r="C194" s="8"/>
      <c r="D194" s="8"/>
      <c r="E194" s="8"/>
      <c r="F194" s="8"/>
      <c r="G194" s="8"/>
      <c r="H194" s="8"/>
      <c r="I194" s="8"/>
      <c r="J194" s="8"/>
      <c r="K194" s="8"/>
      <c r="L194" s="8"/>
      <c r="M194" s="8"/>
      <c r="N194" s="8"/>
      <c r="O194" s="8"/>
      <c r="P194" s="8"/>
      <c r="Q194" s="8"/>
      <c r="R194" s="8"/>
      <c r="S194" s="8"/>
      <c r="T194" s="8"/>
      <c r="U194" s="12"/>
      <c r="V194" s="12"/>
      <c r="W194" s="12"/>
      <c r="X194" s="12"/>
      <c r="Y194" s="12"/>
      <c r="Z194" s="12"/>
      <c r="AA194" s="12"/>
      <c r="AB194" s="12"/>
      <c r="AC194" s="12"/>
      <c r="AD194" s="12"/>
      <c r="AE194" s="12"/>
      <c r="AF194" s="12"/>
    </row>
    <row r="195" spans="1:32">
      <c r="A195" s="8"/>
      <c r="B195" s="8"/>
      <c r="C195" s="8"/>
      <c r="D195" s="8"/>
      <c r="E195" s="8"/>
      <c r="F195" s="8"/>
      <c r="G195" s="8"/>
      <c r="H195" s="8"/>
      <c r="I195" s="8"/>
      <c r="J195" s="8"/>
      <c r="K195" s="8"/>
      <c r="L195" s="8"/>
      <c r="M195" s="8"/>
      <c r="N195" s="8"/>
      <c r="O195" s="8"/>
      <c r="P195" s="8"/>
      <c r="Q195" s="8"/>
      <c r="R195" s="8"/>
      <c r="S195" s="8"/>
      <c r="T195" s="8"/>
      <c r="U195" s="12"/>
      <c r="V195" s="12"/>
      <c r="W195" s="12"/>
      <c r="X195" s="12"/>
      <c r="Y195" s="12"/>
      <c r="Z195" s="12"/>
      <c r="AA195" s="12"/>
      <c r="AB195" s="12"/>
      <c r="AC195" s="12"/>
      <c r="AD195" s="12"/>
      <c r="AE195" s="12"/>
      <c r="AF195" s="12"/>
    </row>
    <row r="196" spans="1:32">
      <c r="A196" s="8"/>
      <c r="B196" s="8"/>
      <c r="C196" s="8"/>
      <c r="D196" s="8"/>
      <c r="E196" s="8"/>
      <c r="F196" s="8"/>
      <c r="G196" s="8"/>
      <c r="H196" s="8"/>
      <c r="I196" s="8"/>
      <c r="J196" s="8"/>
      <c r="K196" s="8"/>
      <c r="L196" s="8"/>
      <c r="M196" s="8"/>
      <c r="N196" s="8"/>
      <c r="O196" s="8"/>
      <c r="P196" s="8"/>
      <c r="Q196" s="8"/>
      <c r="R196" s="8"/>
      <c r="S196" s="8"/>
      <c r="T196" s="8"/>
      <c r="U196" s="12"/>
      <c r="V196" s="12"/>
      <c r="W196" s="12"/>
      <c r="X196" s="12"/>
      <c r="Y196" s="12"/>
      <c r="Z196" s="12"/>
      <c r="AA196" s="12"/>
      <c r="AB196" s="12"/>
      <c r="AC196" s="12"/>
      <c r="AD196" s="12"/>
      <c r="AE196" s="12"/>
      <c r="AF196" s="12"/>
    </row>
    <row r="197" spans="1:32">
      <c r="A197" s="8"/>
      <c r="B197" s="8"/>
      <c r="C197" s="8"/>
      <c r="D197" s="8"/>
      <c r="E197" s="8"/>
      <c r="F197" s="8"/>
      <c r="G197" s="8"/>
      <c r="H197" s="8"/>
      <c r="I197" s="8"/>
      <c r="J197" s="8"/>
      <c r="K197" s="8"/>
      <c r="L197" s="8"/>
      <c r="M197" s="8"/>
      <c r="N197" s="8"/>
      <c r="O197" s="8"/>
      <c r="P197" s="8"/>
      <c r="Q197" s="8"/>
      <c r="R197" s="8"/>
      <c r="S197" s="8"/>
      <c r="T197" s="8"/>
      <c r="U197" s="12"/>
      <c r="V197" s="12"/>
      <c r="W197" s="12"/>
      <c r="X197" s="12"/>
      <c r="Y197" s="12"/>
      <c r="Z197" s="12"/>
      <c r="AA197" s="12"/>
      <c r="AB197" s="12"/>
      <c r="AC197" s="12"/>
      <c r="AD197" s="12"/>
      <c r="AE197" s="12"/>
      <c r="AF197" s="12"/>
    </row>
    <row r="198" spans="1:32">
      <c r="A198" s="8"/>
      <c r="B198" s="8"/>
      <c r="C198" s="8"/>
      <c r="D198" s="8"/>
      <c r="E198" s="8"/>
      <c r="F198" s="8"/>
      <c r="G198" s="8"/>
      <c r="H198" s="8"/>
      <c r="I198" s="8"/>
      <c r="J198" s="8"/>
      <c r="K198" s="8"/>
      <c r="L198" s="8"/>
      <c r="M198" s="8"/>
      <c r="N198" s="8"/>
      <c r="O198" s="8"/>
      <c r="P198" s="8"/>
      <c r="Q198" s="8"/>
      <c r="R198" s="8"/>
      <c r="S198" s="8"/>
      <c r="T198" s="8"/>
      <c r="U198" s="12"/>
      <c r="V198" s="12"/>
      <c r="W198" s="12"/>
      <c r="X198" s="12"/>
      <c r="Y198" s="12"/>
      <c r="Z198" s="12"/>
      <c r="AA198" s="12"/>
      <c r="AB198" s="12"/>
      <c r="AC198" s="12"/>
      <c r="AD198" s="12"/>
      <c r="AE198" s="12"/>
      <c r="AF198" s="12"/>
    </row>
    <row r="199" spans="1:32">
      <c r="A199" s="8"/>
      <c r="B199" s="8"/>
      <c r="C199" s="8"/>
      <c r="D199" s="8"/>
      <c r="E199" s="8"/>
      <c r="F199" s="8"/>
      <c r="G199" s="8"/>
      <c r="H199" s="8"/>
      <c r="I199" s="8"/>
      <c r="J199" s="8"/>
      <c r="K199" s="8"/>
      <c r="L199" s="8"/>
      <c r="M199" s="8"/>
      <c r="N199" s="8"/>
      <c r="O199" s="8"/>
      <c r="P199" s="8"/>
      <c r="Q199" s="8"/>
      <c r="R199" s="8"/>
      <c r="S199" s="8"/>
      <c r="T199" s="8"/>
      <c r="U199" s="12"/>
      <c r="V199" s="12"/>
      <c r="W199" s="12"/>
      <c r="X199" s="12"/>
      <c r="Y199" s="12"/>
      <c r="Z199" s="12"/>
      <c r="AA199" s="12"/>
      <c r="AB199" s="12"/>
      <c r="AC199" s="12"/>
      <c r="AD199" s="12"/>
      <c r="AE199" s="12"/>
      <c r="AF199" s="12"/>
    </row>
    <row r="200" spans="1:32">
      <c r="A200" s="8"/>
      <c r="B200" s="8"/>
      <c r="C200" s="8"/>
      <c r="D200" s="8"/>
      <c r="E200" s="8"/>
      <c r="F200" s="8"/>
      <c r="G200" s="8"/>
      <c r="H200" s="8"/>
      <c r="I200" s="8"/>
      <c r="J200" s="8"/>
      <c r="K200" s="8"/>
      <c r="L200" s="8"/>
      <c r="M200" s="8"/>
      <c r="N200" s="8"/>
      <c r="O200" s="8"/>
      <c r="P200" s="8"/>
      <c r="Q200" s="8"/>
      <c r="R200" s="8"/>
      <c r="S200" s="8"/>
      <c r="T200" s="8"/>
      <c r="U200" s="12"/>
      <c r="V200" s="12"/>
      <c r="W200" s="12"/>
      <c r="X200" s="12"/>
      <c r="Y200" s="12"/>
      <c r="Z200" s="12"/>
      <c r="AA200" s="12"/>
      <c r="AB200" s="12"/>
      <c r="AC200" s="12"/>
      <c r="AD200" s="12"/>
      <c r="AE200" s="12"/>
      <c r="AF200" s="12"/>
    </row>
    <row r="201" spans="1:32">
      <c r="A201" s="8"/>
      <c r="B201" s="8"/>
      <c r="C201" s="8"/>
      <c r="D201" s="8"/>
      <c r="E201" s="8"/>
      <c r="F201" s="8"/>
      <c r="G201" s="8"/>
      <c r="H201" s="8"/>
      <c r="I201" s="8"/>
      <c r="J201" s="8"/>
      <c r="K201" s="8"/>
      <c r="L201" s="8"/>
      <c r="M201" s="8"/>
      <c r="N201" s="8"/>
      <c r="O201" s="8"/>
      <c r="P201" s="8"/>
      <c r="Q201" s="8"/>
      <c r="R201" s="8"/>
      <c r="S201" s="8"/>
      <c r="T201" s="8"/>
      <c r="U201" s="12"/>
      <c r="V201" s="12"/>
      <c r="W201" s="12"/>
      <c r="X201" s="12"/>
      <c r="Y201" s="12"/>
      <c r="Z201" s="12"/>
      <c r="AA201" s="12"/>
      <c r="AB201" s="12"/>
      <c r="AC201" s="12"/>
      <c r="AD201" s="12"/>
      <c r="AE201" s="12"/>
      <c r="AF201" s="12"/>
    </row>
    <row r="202" spans="1:32">
      <c r="A202" s="8"/>
      <c r="B202" s="8"/>
      <c r="C202" s="8"/>
      <c r="D202" s="8"/>
      <c r="E202" s="8"/>
      <c r="F202" s="8"/>
      <c r="G202" s="8"/>
      <c r="H202" s="8"/>
      <c r="I202" s="8"/>
      <c r="J202" s="8"/>
      <c r="K202" s="8"/>
      <c r="L202" s="8"/>
      <c r="M202" s="8"/>
      <c r="N202" s="8"/>
      <c r="O202" s="8"/>
      <c r="P202" s="8"/>
      <c r="Q202" s="8"/>
      <c r="R202" s="8"/>
      <c r="S202" s="8"/>
      <c r="T202" s="8"/>
      <c r="U202" s="12"/>
      <c r="V202" s="12"/>
      <c r="W202" s="12"/>
      <c r="X202" s="12"/>
      <c r="Y202" s="12"/>
      <c r="Z202" s="12"/>
      <c r="AA202" s="12"/>
      <c r="AB202" s="12"/>
      <c r="AC202" s="12"/>
      <c r="AD202" s="12"/>
      <c r="AE202" s="12"/>
      <c r="AF202" s="12"/>
    </row>
    <row r="203" spans="1:32">
      <c r="A203" s="8"/>
      <c r="B203" s="8"/>
      <c r="C203" s="8"/>
      <c r="D203" s="8"/>
      <c r="E203" s="8"/>
      <c r="F203" s="8"/>
      <c r="G203" s="8"/>
      <c r="H203" s="8"/>
      <c r="I203" s="8"/>
      <c r="J203" s="8"/>
      <c r="K203" s="8"/>
      <c r="L203" s="8"/>
      <c r="M203" s="8"/>
      <c r="N203" s="8"/>
      <c r="O203" s="8"/>
      <c r="P203" s="8"/>
      <c r="Q203" s="8"/>
      <c r="R203" s="8"/>
      <c r="S203" s="8"/>
      <c r="T203" s="8"/>
      <c r="U203" s="12"/>
      <c r="V203" s="12"/>
      <c r="W203" s="12"/>
      <c r="X203" s="12"/>
      <c r="Y203" s="12"/>
      <c r="Z203" s="12"/>
      <c r="AA203" s="12"/>
      <c r="AB203" s="12"/>
      <c r="AC203" s="12"/>
      <c r="AD203" s="12"/>
      <c r="AE203" s="12"/>
      <c r="AF203" s="12"/>
    </row>
    <row r="204" spans="1:32">
      <c r="A204" s="8"/>
      <c r="B204" s="8"/>
      <c r="C204" s="8"/>
      <c r="D204" s="8"/>
      <c r="E204" s="8"/>
      <c r="F204" s="8"/>
      <c r="G204" s="8"/>
      <c r="H204" s="8"/>
      <c r="I204" s="8"/>
      <c r="J204" s="8"/>
      <c r="K204" s="8"/>
      <c r="L204" s="8"/>
      <c r="M204" s="8"/>
      <c r="N204" s="8"/>
      <c r="O204" s="8"/>
      <c r="P204" s="8"/>
      <c r="Q204" s="8"/>
      <c r="R204" s="8"/>
      <c r="S204" s="8"/>
      <c r="T204" s="8"/>
      <c r="U204" s="12"/>
      <c r="V204" s="12"/>
      <c r="W204" s="12"/>
      <c r="X204" s="12"/>
      <c r="Y204" s="12"/>
      <c r="Z204" s="12"/>
      <c r="AA204" s="12"/>
      <c r="AB204" s="12"/>
      <c r="AC204" s="12"/>
      <c r="AD204" s="12"/>
      <c r="AE204" s="12"/>
      <c r="AF204" s="12"/>
    </row>
    <row r="205" spans="1:32">
      <c r="A205" s="8"/>
      <c r="B205" s="8"/>
      <c r="C205" s="8"/>
      <c r="D205" s="8"/>
      <c r="E205" s="8"/>
      <c r="F205" s="8"/>
      <c r="G205" s="8"/>
      <c r="H205" s="8"/>
      <c r="I205" s="8"/>
      <c r="J205" s="8"/>
      <c r="K205" s="8"/>
      <c r="L205" s="8"/>
      <c r="M205" s="8"/>
      <c r="N205" s="8"/>
      <c r="O205" s="8"/>
      <c r="P205" s="8"/>
      <c r="Q205" s="8"/>
      <c r="R205" s="8"/>
      <c r="S205" s="8"/>
      <c r="T205" s="8"/>
      <c r="U205" s="12"/>
      <c r="V205" s="12"/>
      <c r="W205" s="12"/>
      <c r="X205" s="12"/>
      <c r="Y205" s="12"/>
      <c r="Z205" s="12"/>
      <c r="AA205" s="12"/>
      <c r="AB205" s="12"/>
      <c r="AC205" s="12"/>
      <c r="AD205" s="12"/>
      <c r="AE205" s="12"/>
      <c r="AF205" s="12"/>
    </row>
    <row r="206" spans="1:32">
      <c r="A206" s="8"/>
      <c r="B206" s="8"/>
      <c r="C206" s="8"/>
      <c r="D206" s="8"/>
      <c r="E206" s="8"/>
      <c r="F206" s="8"/>
      <c r="G206" s="8"/>
      <c r="H206" s="8"/>
      <c r="I206" s="8"/>
      <c r="J206" s="8"/>
      <c r="K206" s="8"/>
      <c r="L206" s="8"/>
      <c r="M206" s="8"/>
      <c r="N206" s="8"/>
      <c r="O206" s="8"/>
      <c r="P206" s="8"/>
      <c r="Q206" s="8"/>
      <c r="R206" s="8"/>
      <c r="S206" s="8"/>
      <c r="T206" s="8"/>
      <c r="U206" s="12"/>
      <c r="V206" s="12"/>
      <c r="W206" s="12"/>
      <c r="X206" s="12"/>
      <c r="Y206" s="12"/>
      <c r="Z206" s="12"/>
      <c r="AA206" s="12"/>
      <c r="AB206" s="12"/>
      <c r="AC206" s="12"/>
      <c r="AD206" s="12"/>
      <c r="AE206" s="12"/>
      <c r="AF206" s="12"/>
    </row>
    <row r="207" spans="1:32">
      <c r="A207" s="8"/>
      <c r="B207" s="8"/>
      <c r="C207" s="8"/>
      <c r="D207" s="8"/>
      <c r="E207" s="8"/>
      <c r="F207" s="8"/>
      <c r="G207" s="8"/>
      <c r="H207" s="8"/>
      <c r="I207" s="8"/>
      <c r="J207" s="8"/>
      <c r="K207" s="8"/>
      <c r="L207" s="8"/>
      <c r="M207" s="8"/>
      <c r="N207" s="8"/>
      <c r="O207" s="8"/>
      <c r="P207" s="8"/>
      <c r="Q207" s="8"/>
      <c r="R207" s="8"/>
      <c r="S207" s="8"/>
      <c r="T207" s="8"/>
      <c r="U207" s="12"/>
      <c r="V207" s="12"/>
      <c r="W207" s="12"/>
      <c r="X207" s="12"/>
      <c r="Y207" s="12"/>
      <c r="Z207" s="12"/>
      <c r="AA207" s="12"/>
      <c r="AB207" s="12"/>
      <c r="AC207" s="12"/>
      <c r="AD207" s="12"/>
      <c r="AE207" s="12"/>
      <c r="AF207" s="12"/>
    </row>
    <row r="208" spans="1:32">
      <c r="A208" s="8"/>
      <c r="B208" s="8"/>
      <c r="C208" s="8"/>
      <c r="D208" s="8"/>
      <c r="E208" s="8"/>
      <c r="F208" s="8"/>
      <c r="G208" s="8"/>
      <c r="H208" s="8"/>
      <c r="I208" s="8"/>
      <c r="J208" s="8"/>
      <c r="K208" s="8"/>
      <c r="L208" s="8"/>
      <c r="M208" s="8"/>
      <c r="N208" s="8"/>
      <c r="O208" s="8"/>
      <c r="P208" s="8"/>
      <c r="Q208" s="8"/>
      <c r="R208" s="8"/>
      <c r="S208" s="8"/>
      <c r="T208" s="8"/>
      <c r="U208" s="12"/>
      <c r="V208" s="12"/>
      <c r="W208" s="12"/>
      <c r="X208" s="12"/>
      <c r="Y208" s="12"/>
      <c r="Z208" s="12"/>
      <c r="AA208" s="12"/>
      <c r="AB208" s="12"/>
      <c r="AC208" s="12"/>
      <c r="AD208" s="12"/>
      <c r="AE208" s="12"/>
      <c r="AF208" s="12"/>
    </row>
    <row r="209" spans="1:32">
      <c r="A209" s="8"/>
      <c r="B209" s="8"/>
      <c r="C209" s="8"/>
      <c r="D209" s="8"/>
      <c r="E209" s="8"/>
      <c r="F209" s="8"/>
      <c r="G209" s="8"/>
      <c r="H209" s="8"/>
      <c r="I209" s="8"/>
      <c r="J209" s="8"/>
      <c r="K209" s="8"/>
      <c r="L209" s="8"/>
      <c r="M209" s="8"/>
      <c r="N209" s="8"/>
      <c r="O209" s="8"/>
      <c r="P209" s="8"/>
      <c r="Q209" s="8"/>
      <c r="R209" s="8"/>
      <c r="S209" s="8"/>
      <c r="T209" s="8"/>
      <c r="U209" s="12"/>
      <c r="V209" s="12"/>
      <c r="W209" s="12"/>
      <c r="X209" s="12"/>
      <c r="Y209" s="12"/>
      <c r="Z209" s="12"/>
      <c r="AA209" s="12"/>
      <c r="AB209" s="12"/>
      <c r="AC209" s="12"/>
      <c r="AD209" s="12"/>
      <c r="AE209" s="12"/>
      <c r="AF209" s="12"/>
    </row>
    <row r="210" spans="1:32">
      <c r="A210" s="8"/>
      <c r="B210" s="8"/>
      <c r="C210" s="8"/>
      <c r="D210" s="8"/>
      <c r="E210" s="8"/>
      <c r="F210" s="8"/>
      <c r="G210" s="8"/>
      <c r="H210" s="8"/>
      <c r="I210" s="8"/>
      <c r="J210" s="8"/>
      <c r="K210" s="8"/>
      <c r="L210" s="8"/>
      <c r="M210" s="8"/>
      <c r="N210" s="8"/>
      <c r="O210" s="8"/>
      <c r="P210" s="8"/>
      <c r="Q210" s="8"/>
      <c r="R210" s="8"/>
      <c r="S210" s="8"/>
      <c r="T210" s="8"/>
      <c r="U210" s="12"/>
      <c r="V210" s="12"/>
      <c r="W210" s="12"/>
      <c r="X210" s="12"/>
      <c r="Y210" s="12"/>
      <c r="Z210" s="12"/>
      <c r="AA210" s="12"/>
      <c r="AB210" s="12"/>
      <c r="AC210" s="12"/>
      <c r="AD210" s="12"/>
      <c r="AE210" s="12"/>
      <c r="AF210" s="12"/>
    </row>
    <row r="211" spans="1:32">
      <c r="A211" s="8"/>
      <c r="B211" s="8"/>
      <c r="C211" s="8"/>
      <c r="D211" s="8"/>
      <c r="E211" s="8"/>
      <c r="F211" s="8"/>
      <c r="G211" s="8"/>
      <c r="H211" s="8"/>
      <c r="I211" s="8"/>
      <c r="J211" s="8"/>
      <c r="K211" s="8"/>
      <c r="L211" s="8"/>
      <c r="M211" s="8"/>
      <c r="N211" s="8"/>
      <c r="O211" s="8"/>
      <c r="P211" s="8"/>
      <c r="Q211" s="8"/>
      <c r="R211" s="8"/>
      <c r="S211" s="8"/>
      <c r="T211" s="8"/>
      <c r="U211" s="12"/>
      <c r="V211" s="12"/>
      <c r="W211" s="12"/>
      <c r="X211" s="12"/>
      <c r="Y211" s="12"/>
      <c r="Z211" s="12"/>
      <c r="AA211" s="12"/>
      <c r="AB211" s="12"/>
      <c r="AC211" s="12"/>
      <c r="AD211" s="12"/>
      <c r="AE211" s="12"/>
      <c r="AF211" s="12"/>
    </row>
    <row r="212" spans="1:32">
      <c r="A212" s="8"/>
      <c r="B212" s="8"/>
      <c r="C212" s="8"/>
      <c r="D212" s="8"/>
      <c r="E212" s="8"/>
      <c r="F212" s="8"/>
      <c r="G212" s="8"/>
      <c r="H212" s="8"/>
      <c r="I212" s="8"/>
      <c r="J212" s="8"/>
      <c r="K212" s="8"/>
      <c r="L212" s="8"/>
      <c r="M212" s="8"/>
      <c r="N212" s="8"/>
      <c r="O212" s="8"/>
      <c r="P212" s="8"/>
      <c r="Q212" s="8"/>
      <c r="R212" s="8"/>
      <c r="S212" s="8"/>
      <c r="T212" s="8"/>
      <c r="U212" s="12"/>
      <c r="V212" s="12"/>
      <c r="W212" s="12"/>
      <c r="X212" s="12"/>
      <c r="Y212" s="12"/>
      <c r="Z212" s="12"/>
      <c r="AA212" s="12"/>
      <c r="AB212" s="12"/>
      <c r="AC212" s="12"/>
      <c r="AD212" s="12"/>
      <c r="AE212" s="12"/>
      <c r="AF212" s="12"/>
    </row>
    <row r="213" spans="1:32">
      <c r="A213" s="8"/>
      <c r="B213" s="8"/>
      <c r="C213" s="8"/>
      <c r="D213" s="8"/>
      <c r="E213" s="8"/>
      <c r="F213" s="8"/>
      <c r="G213" s="8"/>
      <c r="H213" s="8"/>
      <c r="I213" s="8"/>
      <c r="J213" s="8"/>
      <c r="K213" s="8"/>
      <c r="L213" s="8"/>
      <c r="M213" s="8"/>
      <c r="N213" s="8"/>
      <c r="O213" s="8"/>
      <c r="P213" s="8"/>
      <c r="Q213" s="8"/>
      <c r="R213" s="8"/>
      <c r="S213" s="8"/>
      <c r="T213" s="8"/>
      <c r="U213" s="12"/>
      <c r="V213" s="12"/>
      <c r="W213" s="12"/>
      <c r="X213" s="12"/>
      <c r="Y213" s="12"/>
      <c r="Z213" s="12"/>
      <c r="AA213" s="12"/>
      <c r="AB213" s="12"/>
      <c r="AC213" s="12"/>
      <c r="AD213" s="12"/>
      <c r="AE213" s="12"/>
      <c r="AF213" s="12"/>
    </row>
    <row r="214" spans="1:32">
      <c r="A214" s="8"/>
      <c r="B214" s="8"/>
      <c r="C214" s="8"/>
      <c r="D214" s="8"/>
      <c r="E214" s="8"/>
      <c r="F214" s="8"/>
      <c r="G214" s="8"/>
      <c r="H214" s="8"/>
      <c r="I214" s="8"/>
      <c r="J214" s="8"/>
      <c r="K214" s="8"/>
      <c r="L214" s="8"/>
      <c r="M214" s="8"/>
      <c r="N214" s="8"/>
      <c r="O214" s="8"/>
      <c r="P214" s="8"/>
      <c r="Q214" s="8"/>
      <c r="R214" s="8"/>
      <c r="S214" s="8"/>
      <c r="T214" s="8"/>
      <c r="U214" s="12"/>
      <c r="V214" s="12"/>
      <c r="W214" s="12"/>
      <c r="X214" s="12"/>
      <c r="Y214" s="12"/>
      <c r="Z214" s="12"/>
      <c r="AA214" s="12"/>
      <c r="AB214" s="12"/>
      <c r="AC214" s="12"/>
      <c r="AD214" s="12"/>
      <c r="AE214" s="12"/>
      <c r="AF214" s="12"/>
    </row>
    <row r="215" spans="1:32">
      <c r="A215" s="8"/>
      <c r="B215" s="8"/>
      <c r="C215" s="8"/>
      <c r="D215" s="8"/>
      <c r="E215" s="8"/>
      <c r="F215" s="8"/>
      <c r="G215" s="8"/>
      <c r="H215" s="8"/>
      <c r="I215" s="8"/>
      <c r="J215" s="8"/>
      <c r="K215" s="8"/>
      <c r="L215" s="8"/>
      <c r="M215" s="8"/>
      <c r="N215" s="8"/>
      <c r="O215" s="8"/>
      <c r="P215" s="8"/>
      <c r="Q215" s="8"/>
      <c r="R215" s="8"/>
      <c r="S215" s="8"/>
      <c r="T215" s="8"/>
      <c r="U215" s="12"/>
      <c r="V215" s="12"/>
      <c r="W215" s="12"/>
      <c r="X215" s="12"/>
      <c r="Y215" s="12"/>
      <c r="Z215" s="12"/>
      <c r="AA215" s="12"/>
      <c r="AB215" s="12"/>
      <c r="AC215" s="12"/>
      <c r="AD215" s="12"/>
      <c r="AE215" s="12"/>
      <c r="AF215" s="12"/>
    </row>
    <row r="216" spans="1:32">
      <c r="A216" s="8"/>
      <c r="B216" s="8"/>
      <c r="C216" s="8"/>
      <c r="D216" s="8"/>
      <c r="E216" s="8"/>
      <c r="F216" s="8"/>
      <c r="G216" s="8"/>
      <c r="H216" s="8"/>
      <c r="I216" s="8"/>
      <c r="J216" s="8"/>
      <c r="K216" s="8"/>
      <c r="L216" s="8"/>
      <c r="M216" s="8"/>
      <c r="N216" s="8"/>
      <c r="O216" s="8"/>
      <c r="P216" s="8"/>
      <c r="Q216" s="8"/>
      <c r="R216" s="8"/>
      <c r="S216" s="8"/>
      <c r="T216" s="8"/>
      <c r="U216" s="12"/>
      <c r="V216" s="12"/>
      <c r="W216" s="12"/>
      <c r="X216" s="12"/>
      <c r="Y216" s="12"/>
      <c r="Z216" s="12"/>
      <c r="AA216" s="12"/>
      <c r="AB216" s="12"/>
      <c r="AC216" s="12"/>
      <c r="AD216" s="12"/>
      <c r="AE216" s="12"/>
      <c r="AF216" s="12"/>
    </row>
    <row r="217" spans="1:32">
      <c r="A217" s="8"/>
      <c r="B217" s="8"/>
      <c r="C217" s="8"/>
      <c r="D217" s="8"/>
      <c r="E217" s="8"/>
      <c r="F217" s="8"/>
      <c r="G217" s="8"/>
      <c r="H217" s="8"/>
      <c r="I217" s="8"/>
      <c r="J217" s="8"/>
      <c r="K217" s="8"/>
      <c r="L217" s="8"/>
      <c r="M217" s="8"/>
      <c r="N217" s="8"/>
      <c r="O217" s="8"/>
      <c r="P217" s="8"/>
      <c r="Q217" s="8"/>
      <c r="R217" s="8"/>
      <c r="S217" s="8"/>
      <c r="T217" s="8"/>
      <c r="U217" s="12"/>
      <c r="V217" s="12"/>
      <c r="W217" s="12"/>
      <c r="X217" s="12"/>
      <c r="Y217" s="12"/>
      <c r="Z217" s="12"/>
      <c r="AA217" s="12"/>
      <c r="AB217" s="12"/>
      <c r="AC217" s="12"/>
      <c r="AD217" s="12"/>
      <c r="AE217" s="12"/>
      <c r="AF217" s="12"/>
    </row>
    <row r="218" spans="1:32">
      <c r="A218" s="8"/>
      <c r="B218" s="8"/>
      <c r="C218" s="8"/>
      <c r="D218" s="8"/>
      <c r="E218" s="8"/>
      <c r="F218" s="8"/>
      <c r="G218" s="8"/>
      <c r="H218" s="8"/>
      <c r="I218" s="8"/>
      <c r="J218" s="8"/>
      <c r="K218" s="8"/>
      <c r="L218" s="8"/>
      <c r="M218" s="8"/>
      <c r="N218" s="8"/>
      <c r="O218" s="8"/>
      <c r="P218" s="8"/>
      <c r="Q218" s="8"/>
      <c r="R218" s="8"/>
      <c r="S218" s="8"/>
      <c r="T218" s="8"/>
      <c r="U218" s="12"/>
      <c r="V218" s="12"/>
      <c r="W218" s="12"/>
      <c r="X218" s="12"/>
      <c r="Y218" s="12"/>
      <c r="Z218" s="12"/>
      <c r="AA218" s="12"/>
      <c r="AB218" s="12"/>
      <c r="AC218" s="12"/>
      <c r="AD218" s="12"/>
      <c r="AE218" s="12"/>
      <c r="AF218" s="12"/>
    </row>
    <row r="219" spans="1:32">
      <c r="A219" s="8"/>
      <c r="B219" s="8"/>
      <c r="C219" s="8"/>
      <c r="D219" s="8"/>
      <c r="E219" s="8"/>
      <c r="F219" s="8"/>
      <c r="G219" s="8"/>
      <c r="H219" s="8"/>
      <c r="I219" s="8"/>
      <c r="J219" s="8"/>
      <c r="K219" s="8"/>
      <c r="L219" s="8"/>
      <c r="M219" s="8"/>
      <c r="N219" s="8"/>
      <c r="O219" s="8"/>
      <c r="P219" s="8"/>
      <c r="Q219" s="8"/>
      <c r="R219" s="8"/>
      <c r="S219" s="8"/>
      <c r="T219" s="8"/>
      <c r="U219" s="12"/>
      <c r="V219" s="12"/>
      <c r="W219" s="12"/>
      <c r="X219" s="12"/>
      <c r="Y219" s="12"/>
      <c r="Z219" s="12"/>
      <c r="AA219" s="12"/>
      <c r="AB219" s="12"/>
      <c r="AC219" s="12"/>
      <c r="AD219" s="12"/>
      <c r="AE219" s="12"/>
      <c r="AF219" s="12"/>
    </row>
    <row r="220" spans="1:32">
      <c r="A220" s="8"/>
      <c r="B220" s="8"/>
      <c r="C220" s="8"/>
      <c r="D220" s="8"/>
      <c r="E220" s="8"/>
      <c r="F220" s="8"/>
      <c r="G220" s="8"/>
      <c r="H220" s="8"/>
      <c r="I220" s="8"/>
      <c r="J220" s="8"/>
      <c r="K220" s="8"/>
      <c r="L220" s="8"/>
      <c r="M220" s="8"/>
      <c r="N220" s="8"/>
      <c r="O220" s="8"/>
      <c r="P220" s="8"/>
      <c r="Q220" s="8"/>
      <c r="R220" s="8"/>
      <c r="S220" s="8"/>
      <c r="T220" s="8"/>
      <c r="U220" s="12"/>
      <c r="V220" s="12"/>
      <c r="W220" s="12"/>
      <c r="X220" s="12"/>
      <c r="Y220" s="12"/>
      <c r="Z220" s="12"/>
      <c r="AA220" s="12"/>
      <c r="AB220" s="12"/>
      <c r="AC220" s="12"/>
      <c r="AD220" s="12"/>
      <c r="AE220" s="12"/>
      <c r="AF220" s="12"/>
    </row>
    <row r="221" spans="1:32">
      <c r="A221" s="8"/>
      <c r="B221" s="8"/>
      <c r="C221" s="8"/>
      <c r="D221" s="8"/>
      <c r="E221" s="8"/>
      <c r="F221" s="8"/>
      <c r="G221" s="8"/>
      <c r="H221" s="8"/>
      <c r="I221" s="8"/>
      <c r="J221" s="8"/>
      <c r="K221" s="8"/>
      <c r="L221" s="8"/>
      <c r="M221" s="8"/>
      <c r="N221" s="8"/>
      <c r="O221" s="8"/>
      <c r="P221" s="8"/>
      <c r="Q221" s="8"/>
      <c r="R221" s="8"/>
      <c r="S221" s="8"/>
      <c r="T221" s="8"/>
      <c r="U221" s="12"/>
      <c r="V221" s="12"/>
      <c r="W221" s="12"/>
      <c r="X221" s="12"/>
      <c r="Y221" s="12"/>
      <c r="Z221" s="12"/>
      <c r="AA221" s="12"/>
      <c r="AB221" s="12"/>
      <c r="AC221" s="12"/>
      <c r="AD221" s="12"/>
      <c r="AE221" s="12"/>
      <c r="AF221" s="12"/>
    </row>
    <row r="222" spans="1:32">
      <c r="A222" s="8"/>
      <c r="B222" s="8"/>
      <c r="C222" s="8"/>
      <c r="D222" s="8"/>
      <c r="E222" s="8"/>
      <c r="F222" s="8"/>
      <c r="G222" s="8"/>
      <c r="H222" s="8"/>
      <c r="I222" s="8"/>
      <c r="J222" s="8"/>
      <c r="K222" s="8"/>
      <c r="L222" s="8"/>
      <c r="M222" s="8"/>
      <c r="N222" s="8"/>
      <c r="O222" s="8"/>
      <c r="P222" s="8"/>
      <c r="Q222" s="8"/>
      <c r="R222" s="8"/>
      <c r="S222" s="8"/>
      <c r="T222" s="8"/>
      <c r="U222" s="12"/>
      <c r="V222" s="12"/>
      <c r="W222" s="12"/>
      <c r="X222" s="12"/>
      <c r="Y222" s="12"/>
      <c r="Z222" s="12"/>
      <c r="AA222" s="12"/>
      <c r="AB222" s="12"/>
      <c r="AC222" s="12"/>
      <c r="AD222" s="12"/>
      <c r="AE222" s="12"/>
      <c r="AF222" s="12"/>
    </row>
    <row r="223" spans="1:32">
      <c r="A223" s="8"/>
      <c r="B223" s="8"/>
      <c r="C223" s="8"/>
      <c r="D223" s="8"/>
      <c r="E223" s="8"/>
      <c r="F223" s="8"/>
      <c r="G223" s="8"/>
      <c r="H223" s="8"/>
      <c r="I223" s="8"/>
      <c r="J223" s="8"/>
      <c r="K223" s="8"/>
      <c r="L223" s="8"/>
      <c r="M223" s="8"/>
      <c r="N223" s="8"/>
      <c r="O223" s="8"/>
      <c r="P223" s="8"/>
      <c r="Q223" s="8"/>
      <c r="R223" s="8"/>
      <c r="S223" s="8"/>
      <c r="T223" s="8"/>
      <c r="U223" s="12"/>
      <c r="V223" s="12"/>
      <c r="W223" s="12"/>
      <c r="X223" s="12"/>
      <c r="Y223" s="12"/>
      <c r="Z223" s="12"/>
      <c r="AA223" s="12"/>
      <c r="AB223" s="12"/>
      <c r="AC223" s="12"/>
      <c r="AD223" s="12"/>
      <c r="AE223" s="12"/>
      <c r="AF223" s="12"/>
    </row>
    <row r="224" spans="1:32">
      <c r="A224" s="8"/>
      <c r="B224" s="8"/>
      <c r="C224" s="8"/>
      <c r="D224" s="8"/>
      <c r="E224" s="8"/>
      <c r="F224" s="8"/>
      <c r="G224" s="8"/>
      <c r="H224" s="8"/>
      <c r="I224" s="8"/>
      <c r="J224" s="8"/>
      <c r="K224" s="8"/>
      <c r="L224" s="8"/>
      <c r="M224" s="8"/>
      <c r="N224" s="8"/>
      <c r="O224" s="8"/>
      <c r="P224" s="8"/>
      <c r="Q224" s="8"/>
      <c r="R224" s="8"/>
      <c r="S224" s="8"/>
      <c r="T224" s="8"/>
      <c r="U224" s="12"/>
      <c r="V224" s="12"/>
      <c r="W224" s="12"/>
      <c r="X224" s="12"/>
      <c r="Y224" s="12"/>
      <c r="Z224" s="12"/>
      <c r="AA224" s="12"/>
      <c r="AB224" s="12"/>
      <c r="AC224" s="12"/>
      <c r="AD224" s="12"/>
      <c r="AE224" s="12"/>
      <c r="AF224" s="12"/>
    </row>
    <row r="225" spans="1:32">
      <c r="A225" s="8"/>
      <c r="B225" s="8"/>
      <c r="C225" s="8"/>
      <c r="D225" s="8"/>
      <c r="E225" s="8"/>
      <c r="F225" s="8"/>
      <c r="G225" s="8"/>
      <c r="H225" s="8"/>
      <c r="I225" s="8"/>
      <c r="J225" s="8"/>
      <c r="K225" s="8"/>
      <c r="L225" s="8"/>
      <c r="M225" s="8"/>
      <c r="N225" s="8"/>
      <c r="O225" s="8"/>
      <c r="P225" s="8"/>
      <c r="Q225" s="8"/>
      <c r="R225" s="8"/>
      <c r="S225" s="8"/>
      <c r="T225" s="8"/>
      <c r="U225" s="12"/>
      <c r="V225" s="12"/>
      <c r="W225" s="12"/>
      <c r="X225" s="12"/>
      <c r="Y225" s="12"/>
      <c r="Z225" s="12"/>
      <c r="AA225" s="12"/>
      <c r="AB225" s="12"/>
      <c r="AC225" s="12"/>
      <c r="AD225" s="12"/>
      <c r="AE225" s="12"/>
      <c r="AF225" s="12"/>
    </row>
    <row r="226" spans="1:32">
      <c r="A226" s="8"/>
      <c r="B226" s="8"/>
      <c r="C226" s="8"/>
      <c r="D226" s="8"/>
      <c r="E226" s="8"/>
      <c r="F226" s="8"/>
      <c r="G226" s="8"/>
      <c r="H226" s="8"/>
      <c r="I226" s="8"/>
      <c r="J226" s="8"/>
      <c r="K226" s="8"/>
      <c r="L226" s="8"/>
      <c r="M226" s="8"/>
      <c r="N226" s="8"/>
      <c r="O226" s="8"/>
      <c r="P226" s="8"/>
      <c r="Q226" s="8"/>
      <c r="R226" s="8"/>
      <c r="S226" s="8"/>
      <c r="T226" s="8"/>
      <c r="U226" s="12"/>
      <c r="V226" s="12"/>
      <c r="W226" s="12"/>
      <c r="X226" s="12"/>
      <c r="Y226" s="12"/>
      <c r="Z226" s="12"/>
      <c r="AA226" s="12"/>
      <c r="AB226" s="12"/>
      <c r="AC226" s="12"/>
      <c r="AD226" s="12"/>
      <c r="AE226" s="12"/>
      <c r="AF226" s="12"/>
    </row>
    <row r="227" spans="1:32">
      <c r="A227" s="8"/>
      <c r="B227" s="8"/>
      <c r="C227" s="8"/>
      <c r="D227" s="8"/>
      <c r="E227" s="8"/>
      <c r="F227" s="8"/>
      <c r="G227" s="8"/>
      <c r="H227" s="8"/>
      <c r="I227" s="8"/>
      <c r="J227" s="8"/>
      <c r="K227" s="8"/>
      <c r="L227" s="8"/>
      <c r="M227" s="8"/>
      <c r="N227" s="8"/>
      <c r="O227" s="8"/>
      <c r="P227" s="8"/>
      <c r="Q227" s="8"/>
      <c r="R227" s="8"/>
      <c r="S227" s="8"/>
      <c r="T227" s="8"/>
      <c r="U227" s="12"/>
      <c r="V227" s="12"/>
      <c r="W227" s="12"/>
      <c r="X227" s="12"/>
      <c r="Y227" s="12"/>
      <c r="Z227" s="12"/>
      <c r="AA227" s="12"/>
      <c r="AB227" s="12"/>
      <c r="AC227" s="12"/>
      <c r="AD227" s="12"/>
      <c r="AE227" s="12"/>
      <c r="AF227" s="12"/>
    </row>
    <row r="228" spans="1:32">
      <c r="A228" s="8"/>
      <c r="B228" s="8"/>
      <c r="C228" s="8"/>
      <c r="D228" s="8"/>
      <c r="E228" s="8"/>
      <c r="F228" s="8"/>
      <c r="G228" s="8"/>
      <c r="H228" s="8"/>
      <c r="I228" s="8"/>
      <c r="J228" s="8"/>
      <c r="K228" s="8"/>
      <c r="L228" s="8"/>
      <c r="M228" s="8"/>
      <c r="N228" s="8"/>
      <c r="O228" s="8"/>
      <c r="P228" s="8"/>
      <c r="Q228" s="8"/>
      <c r="R228" s="8"/>
      <c r="S228" s="8"/>
      <c r="T228" s="8"/>
      <c r="U228" s="12"/>
      <c r="V228" s="12"/>
      <c r="W228" s="12"/>
      <c r="X228" s="12"/>
      <c r="Y228" s="12"/>
      <c r="Z228" s="12"/>
      <c r="AA228" s="12"/>
      <c r="AB228" s="12"/>
      <c r="AC228" s="12"/>
      <c r="AD228" s="12"/>
      <c r="AE228" s="12"/>
      <c r="AF228" s="12"/>
    </row>
    <row r="229" spans="1:32">
      <c r="A229" s="8"/>
      <c r="B229" s="8"/>
      <c r="C229" s="8"/>
      <c r="D229" s="8"/>
      <c r="E229" s="8"/>
      <c r="F229" s="8"/>
      <c r="G229" s="8"/>
      <c r="H229" s="8"/>
      <c r="I229" s="8"/>
      <c r="J229" s="8"/>
      <c r="K229" s="8"/>
      <c r="L229" s="8"/>
      <c r="M229" s="8"/>
      <c r="N229" s="8"/>
      <c r="O229" s="8"/>
      <c r="P229" s="8"/>
      <c r="Q229" s="8"/>
      <c r="R229" s="8"/>
      <c r="S229" s="8"/>
      <c r="T229" s="8"/>
      <c r="U229" s="12"/>
      <c r="V229" s="12"/>
      <c r="W229" s="12"/>
      <c r="X229" s="12"/>
      <c r="Y229" s="12"/>
      <c r="Z229" s="12"/>
      <c r="AA229" s="12"/>
      <c r="AB229" s="12"/>
      <c r="AC229" s="12"/>
      <c r="AD229" s="12"/>
      <c r="AE229" s="12"/>
      <c r="AF229" s="12"/>
    </row>
    <row r="230" spans="1:32">
      <c r="A230" s="8"/>
      <c r="B230" s="8"/>
      <c r="C230" s="8"/>
      <c r="D230" s="8"/>
      <c r="E230" s="8"/>
      <c r="F230" s="8"/>
      <c r="G230" s="8"/>
      <c r="H230" s="8"/>
      <c r="I230" s="8"/>
      <c r="J230" s="8"/>
      <c r="K230" s="8"/>
      <c r="L230" s="8"/>
      <c r="M230" s="8"/>
      <c r="N230" s="8"/>
      <c r="O230" s="8"/>
      <c r="P230" s="8"/>
      <c r="Q230" s="8"/>
      <c r="R230" s="8"/>
      <c r="S230" s="8"/>
      <c r="T230" s="8"/>
      <c r="U230" s="12"/>
      <c r="V230" s="12"/>
      <c r="W230" s="12"/>
      <c r="X230" s="12"/>
      <c r="Y230" s="12"/>
      <c r="Z230" s="12"/>
      <c r="AA230" s="12"/>
      <c r="AB230" s="12"/>
      <c r="AC230" s="12"/>
      <c r="AD230" s="12"/>
      <c r="AE230" s="12"/>
      <c r="AF230" s="12"/>
    </row>
    <row r="231" spans="1:32">
      <c r="A231" s="8"/>
      <c r="B231" s="8"/>
      <c r="C231" s="8"/>
      <c r="D231" s="8"/>
      <c r="E231" s="8"/>
      <c r="F231" s="8"/>
      <c r="G231" s="8"/>
      <c r="H231" s="8"/>
      <c r="I231" s="8"/>
      <c r="J231" s="8"/>
      <c r="K231" s="8"/>
      <c r="L231" s="8"/>
      <c r="M231" s="8"/>
      <c r="N231" s="8"/>
      <c r="O231" s="8"/>
      <c r="P231" s="8"/>
      <c r="Q231" s="8"/>
      <c r="R231" s="8"/>
      <c r="S231" s="8"/>
      <c r="T231" s="8"/>
      <c r="U231" s="12"/>
      <c r="V231" s="12"/>
      <c r="W231" s="12"/>
      <c r="X231" s="12"/>
      <c r="Y231" s="12"/>
      <c r="Z231" s="12"/>
      <c r="AA231" s="12"/>
      <c r="AB231" s="12"/>
      <c r="AC231" s="12"/>
      <c r="AD231" s="12"/>
      <c r="AE231" s="12"/>
      <c r="AF231" s="12"/>
    </row>
    <row r="232" spans="1:32">
      <c r="A232" s="8"/>
      <c r="B232" s="8"/>
      <c r="C232" s="8"/>
      <c r="D232" s="8"/>
      <c r="E232" s="8"/>
      <c r="F232" s="8"/>
      <c r="G232" s="8"/>
      <c r="H232" s="8"/>
      <c r="I232" s="8"/>
      <c r="J232" s="8"/>
      <c r="K232" s="8"/>
      <c r="L232" s="8"/>
      <c r="M232" s="8"/>
      <c r="N232" s="8"/>
      <c r="O232" s="8"/>
      <c r="P232" s="8"/>
      <c r="Q232" s="8"/>
      <c r="R232" s="8"/>
      <c r="S232" s="8"/>
      <c r="T232" s="8"/>
      <c r="U232" s="12"/>
      <c r="V232" s="12"/>
      <c r="W232" s="12"/>
      <c r="X232" s="12"/>
      <c r="Y232" s="12"/>
      <c r="Z232" s="12"/>
      <c r="AA232" s="12"/>
      <c r="AB232" s="12"/>
      <c r="AC232" s="12"/>
      <c r="AD232" s="12"/>
      <c r="AE232" s="12"/>
      <c r="AF232" s="12"/>
    </row>
    <row r="233" spans="1:32">
      <c r="A233" s="8"/>
      <c r="B233" s="8"/>
      <c r="C233" s="8"/>
      <c r="D233" s="8"/>
      <c r="E233" s="8"/>
      <c r="F233" s="8"/>
      <c r="G233" s="8"/>
      <c r="H233" s="8"/>
      <c r="I233" s="8"/>
      <c r="J233" s="8"/>
      <c r="K233" s="8"/>
      <c r="L233" s="8"/>
      <c r="M233" s="8"/>
      <c r="N233" s="8"/>
      <c r="O233" s="8"/>
      <c r="P233" s="8"/>
      <c r="Q233" s="8"/>
      <c r="R233" s="8"/>
      <c r="S233" s="8"/>
      <c r="T233" s="8"/>
      <c r="U233" s="12"/>
      <c r="V233" s="12"/>
      <c r="W233" s="12"/>
      <c r="X233" s="12"/>
      <c r="Y233" s="12"/>
      <c r="Z233" s="12"/>
      <c r="AA233" s="12"/>
      <c r="AB233" s="12"/>
      <c r="AC233" s="12"/>
      <c r="AD233" s="12"/>
      <c r="AE233" s="12"/>
      <c r="AF233" s="12"/>
    </row>
    <row r="234" spans="1:32">
      <c r="A234" s="8"/>
      <c r="B234" s="8"/>
      <c r="C234" s="8"/>
      <c r="D234" s="8"/>
      <c r="E234" s="8"/>
      <c r="F234" s="8"/>
      <c r="G234" s="8"/>
      <c r="H234" s="8"/>
      <c r="I234" s="8"/>
      <c r="J234" s="8"/>
      <c r="K234" s="8"/>
      <c r="L234" s="8"/>
      <c r="M234" s="8"/>
      <c r="N234" s="8"/>
      <c r="O234" s="8"/>
      <c r="P234" s="8"/>
      <c r="Q234" s="8"/>
      <c r="R234" s="8"/>
      <c r="S234" s="8"/>
      <c r="T234" s="8"/>
      <c r="U234" s="12"/>
      <c r="V234" s="12"/>
      <c r="W234" s="12"/>
      <c r="X234" s="12"/>
      <c r="Y234" s="12"/>
      <c r="Z234" s="12"/>
      <c r="AA234" s="12"/>
      <c r="AB234" s="12"/>
      <c r="AC234" s="12"/>
      <c r="AD234" s="12"/>
      <c r="AE234" s="12"/>
      <c r="AF234" s="12"/>
    </row>
    <row r="235" spans="1:32">
      <c r="A235" s="8"/>
      <c r="B235" s="8"/>
      <c r="C235" s="8"/>
      <c r="D235" s="8"/>
      <c r="E235" s="8"/>
      <c r="F235" s="8"/>
      <c r="G235" s="8"/>
      <c r="H235" s="8"/>
      <c r="I235" s="8"/>
      <c r="J235" s="8"/>
      <c r="K235" s="8"/>
      <c r="L235" s="8"/>
      <c r="M235" s="8"/>
      <c r="N235" s="8"/>
      <c r="O235" s="8"/>
      <c r="P235" s="8"/>
      <c r="Q235" s="8"/>
      <c r="R235" s="8"/>
      <c r="S235" s="8"/>
      <c r="T235" s="8"/>
      <c r="U235" s="12"/>
      <c r="V235" s="12"/>
      <c r="W235" s="12"/>
      <c r="X235" s="12"/>
      <c r="Y235" s="12"/>
      <c r="Z235" s="12"/>
      <c r="AA235" s="12"/>
      <c r="AB235" s="12"/>
      <c r="AC235" s="12"/>
      <c r="AD235" s="12"/>
      <c r="AE235" s="12"/>
      <c r="AF235" s="12"/>
    </row>
    <row r="236" spans="1:32">
      <c r="A236" s="8"/>
      <c r="B236" s="8"/>
      <c r="C236" s="8"/>
      <c r="D236" s="8"/>
      <c r="E236" s="8"/>
      <c r="F236" s="8"/>
      <c r="G236" s="8"/>
      <c r="H236" s="8"/>
      <c r="I236" s="8"/>
      <c r="J236" s="8"/>
      <c r="K236" s="8"/>
      <c r="L236" s="8"/>
      <c r="M236" s="8"/>
      <c r="N236" s="8"/>
      <c r="O236" s="8"/>
      <c r="P236" s="8"/>
      <c r="Q236" s="8"/>
      <c r="R236" s="8"/>
      <c r="S236" s="8"/>
      <c r="T236" s="8"/>
      <c r="U236" s="12"/>
      <c r="V236" s="12"/>
      <c r="W236" s="12"/>
      <c r="X236" s="12"/>
      <c r="Y236" s="12"/>
      <c r="Z236" s="12"/>
      <c r="AA236" s="12"/>
      <c r="AB236" s="12"/>
      <c r="AC236" s="12"/>
      <c r="AD236" s="12"/>
      <c r="AE236" s="12"/>
      <c r="AF236" s="12"/>
    </row>
    <row r="237" spans="1:32">
      <c r="A237" s="8"/>
      <c r="B237" s="8"/>
      <c r="C237" s="8"/>
      <c r="D237" s="8"/>
      <c r="E237" s="8"/>
      <c r="F237" s="8"/>
      <c r="G237" s="8"/>
      <c r="H237" s="8"/>
      <c r="I237" s="8"/>
      <c r="J237" s="8"/>
      <c r="K237" s="8"/>
      <c r="L237" s="8"/>
      <c r="M237" s="8"/>
      <c r="N237" s="8"/>
      <c r="O237" s="8"/>
      <c r="P237" s="8"/>
      <c r="Q237" s="8"/>
      <c r="R237" s="8"/>
      <c r="S237" s="8"/>
      <c r="T237" s="8"/>
      <c r="U237" s="12"/>
      <c r="V237" s="12"/>
      <c r="W237" s="12"/>
      <c r="X237" s="12"/>
      <c r="Y237" s="12"/>
      <c r="Z237" s="12"/>
      <c r="AA237" s="12"/>
      <c r="AB237" s="12"/>
      <c r="AC237" s="12"/>
      <c r="AD237" s="12"/>
      <c r="AE237" s="12"/>
      <c r="AF237" s="12"/>
    </row>
    <row r="238" spans="1:32">
      <c r="A238" s="8"/>
      <c r="B238" s="8"/>
      <c r="C238" s="8"/>
      <c r="D238" s="8"/>
      <c r="E238" s="8"/>
      <c r="F238" s="8"/>
      <c r="G238" s="8"/>
      <c r="H238" s="8"/>
      <c r="I238" s="8"/>
      <c r="J238" s="8"/>
      <c r="K238" s="8"/>
      <c r="L238" s="8"/>
      <c r="M238" s="8"/>
      <c r="N238" s="8"/>
      <c r="O238" s="8"/>
      <c r="P238" s="8"/>
      <c r="Q238" s="8"/>
      <c r="R238" s="8"/>
      <c r="S238" s="8"/>
      <c r="T238" s="8"/>
      <c r="U238" s="12"/>
      <c r="V238" s="12"/>
      <c r="W238" s="12"/>
      <c r="X238" s="12"/>
      <c r="Y238" s="12"/>
      <c r="Z238" s="12"/>
      <c r="AA238" s="12"/>
      <c r="AB238" s="12"/>
      <c r="AC238" s="12"/>
      <c r="AD238" s="12"/>
      <c r="AE238" s="12"/>
      <c r="AF238" s="12"/>
    </row>
    <row r="239" spans="1:32">
      <c r="A239" s="8"/>
      <c r="B239" s="8"/>
      <c r="C239" s="8"/>
      <c r="D239" s="8"/>
      <c r="E239" s="8"/>
      <c r="F239" s="8"/>
      <c r="G239" s="8"/>
      <c r="H239" s="8"/>
      <c r="I239" s="8"/>
      <c r="J239" s="8"/>
      <c r="K239" s="8"/>
      <c r="L239" s="8"/>
      <c r="M239" s="8"/>
      <c r="N239" s="8"/>
      <c r="O239" s="8"/>
      <c r="P239" s="8"/>
      <c r="Q239" s="8"/>
      <c r="R239" s="8"/>
      <c r="S239" s="8"/>
      <c r="T239" s="8"/>
      <c r="U239" s="12"/>
      <c r="V239" s="12"/>
      <c r="W239" s="12"/>
      <c r="X239" s="12"/>
      <c r="Y239" s="12"/>
      <c r="Z239" s="12"/>
      <c r="AA239" s="12"/>
      <c r="AB239" s="12"/>
      <c r="AC239" s="12"/>
      <c r="AD239" s="12"/>
      <c r="AE239" s="12"/>
      <c r="AF239" s="12"/>
    </row>
    <row r="240" spans="1:32">
      <c r="A240" s="8"/>
      <c r="B240" s="8"/>
      <c r="C240" s="8"/>
      <c r="D240" s="8"/>
      <c r="E240" s="8"/>
      <c r="F240" s="8"/>
      <c r="G240" s="8"/>
      <c r="H240" s="8"/>
      <c r="I240" s="8"/>
      <c r="J240" s="8"/>
      <c r="K240" s="8"/>
      <c r="L240" s="8"/>
      <c r="M240" s="8"/>
      <c r="N240" s="8"/>
      <c r="O240" s="8"/>
      <c r="P240" s="8"/>
      <c r="Q240" s="8"/>
      <c r="R240" s="8"/>
      <c r="S240" s="8"/>
      <c r="T240" s="8"/>
      <c r="U240" s="12"/>
      <c r="V240" s="12"/>
      <c r="W240" s="12"/>
      <c r="X240" s="12"/>
      <c r="Y240" s="12"/>
      <c r="Z240" s="12"/>
      <c r="AA240" s="12"/>
      <c r="AB240" s="12"/>
      <c r="AC240" s="12"/>
      <c r="AD240" s="12"/>
      <c r="AE240" s="12"/>
      <c r="AF240" s="12"/>
    </row>
    <row r="241" spans="1:32">
      <c r="A241" s="8"/>
      <c r="B241" s="8"/>
      <c r="C241" s="8"/>
      <c r="D241" s="8"/>
      <c r="E241" s="8"/>
      <c r="F241" s="8"/>
      <c r="G241" s="8"/>
      <c r="H241" s="8"/>
      <c r="I241" s="8"/>
      <c r="J241" s="8"/>
      <c r="K241" s="8"/>
      <c r="L241" s="8"/>
      <c r="M241" s="8"/>
      <c r="N241" s="8"/>
      <c r="O241" s="8"/>
      <c r="P241" s="8"/>
      <c r="Q241" s="8"/>
      <c r="R241" s="8"/>
      <c r="S241" s="8"/>
      <c r="T241" s="8"/>
      <c r="U241" s="12"/>
      <c r="V241" s="12"/>
      <c r="W241" s="12"/>
      <c r="X241" s="12"/>
      <c r="Y241" s="12"/>
      <c r="Z241" s="12"/>
      <c r="AA241" s="12"/>
      <c r="AB241" s="12"/>
      <c r="AC241" s="12"/>
      <c r="AD241" s="12"/>
      <c r="AE241" s="12"/>
      <c r="AF241" s="12"/>
    </row>
    <row r="242" spans="1:32">
      <c r="A242" s="8"/>
      <c r="B242" s="8"/>
      <c r="C242" s="8"/>
      <c r="D242" s="8"/>
      <c r="E242" s="8"/>
      <c r="F242" s="8"/>
      <c r="G242" s="8"/>
      <c r="H242" s="8"/>
      <c r="I242" s="8"/>
      <c r="J242" s="8"/>
      <c r="K242" s="8"/>
      <c r="L242" s="8"/>
      <c r="M242" s="8"/>
      <c r="N242" s="8"/>
      <c r="O242" s="8"/>
      <c r="P242" s="8"/>
      <c r="Q242" s="8"/>
      <c r="R242" s="8"/>
      <c r="S242" s="8"/>
      <c r="T242" s="8"/>
      <c r="U242" s="12"/>
      <c r="V242" s="12"/>
      <c r="W242" s="12"/>
      <c r="X242" s="12"/>
      <c r="Y242" s="12"/>
      <c r="Z242" s="12"/>
      <c r="AA242" s="12"/>
      <c r="AB242" s="12"/>
      <c r="AC242" s="12"/>
      <c r="AD242" s="12"/>
      <c r="AE242" s="12"/>
      <c r="AF242" s="12"/>
    </row>
    <row r="243" spans="1:32">
      <c r="A243" s="8"/>
      <c r="B243" s="8"/>
      <c r="C243" s="8"/>
      <c r="D243" s="8"/>
      <c r="E243" s="8"/>
      <c r="F243" s="8"/>
      <c r="G243" s="8"/>
      <c r="H243" s="8"/>
      <c r="I243" s="8"/>
      <c r="J243" s="8"/>
      <c r="K243" s="8"/>
      <c r="L243" s="8"/>
      <c r="M243" s="8"/>
      <c r="N243" s="8"/>
      <c r="O243" s="8"/>
      <c r="P243" s="8"/>
      <c r="Q243" s="8"/>
      <c r="R243" s="8"/>
      <c r="S243" s="8"/>
      <c r="T243" s="8"/>
      <c r="U243" s="12"/>
      <c r="V243" s="12"/>
      <c r="W243" s="12"/>
      <c r="X243" s="12"/>
      <c r="Y243" s="12"/>
      <c r="Z243" s="12"/>
      <c r="AA243" s="12"/>
      <c r="AB243" s="12"/>
      <c r="AC243" s="12"/>
      <c r="AD243" s="12"/>
      <c r="AE243" s="12"/>
      <c r="AF243" s="12"/>
    </row>
    <row r="244" spans="1:32">
      <c r="A244" s="8"/>
      <c r="B244" s="8"/>
      <c r="C244" s="8"/>
      <c r="D244" s="8"/>
      <c r="E244" s="8"/>
      <c r="F244" s="8"/>
      <c r="G244" s="8"/>
      <c r="H244" s="8"/>
      <c r="I244" s="8"/>
      <c r="J244" s="8"/>
      <c r="K244" s="8"/>
      <c r="L244" s="8"/>
      <c r="M244" s="8"/>
      <c r="N244" s="8"/>
      <c r="O244" s="8"/>
      <c r="P244" s="8"/>
      <c r="Q244" s="8"/>
      <c r="R244" s="8"/>
      <c r="S244" s="8"/>
      <c r="T244" s="8"/>
      <c r="U244" s="12"/>
      <c r="V244" s="12"/>
      <c r="W244" s="12"/>
      <c r="X244" s="12"/>
      <c r="Y244" s="12"/>
      <c r="Z244" s="12"/>
      <c r="AA244" s="12"/>
      <c r="AB244" s="12"/>
      <c r="AC244" s="12"/>
      <c r="AD244" s="12"/>
      <c r="AE244" s="12"/>
      <c r="AF244" s="12"/>
    </row>
    <row r="245" spans="1:32">
      <c r="A245" s="8"/>
      <c r="B245" s="8"/>
      <c r="C245" s="8"/>
      <c r="D245" s="8"/>
      <c r="E245" s="8"/>
      <c r="F245" s="8"/>
      <c r="G245" s="8"/>
      <c r="H245" s="8"/>
      <c r="I245" s="8"/>
      <c r="J245" s="8"/>
      <c r="K245" s="8"/>
      <c r="L245" s="8"/>
      <c r="M245" s="8"/>
      <c r="N245" s="8"/>
      <c r="O245" s="8"/>
      <c r="P245" s="8"/>
      <c r="Q245" s="8"/>
      <c r="R245" s="8"/>
      <c r="S245" s="8"/>
      <c r="T245" s="8"/>
      <c r="U245" s="12"/>
      <c r="V245" s="12"/>
      <c r="W245" s="12"/>
      <c r="X245" s="12"/>
      <c r="Y245" s="12"/>
      <c r="Z245" s="12"/>
      <c r="AA245" s="12"/>
      <c r="AB245" s="12"/>
      <c r="AC245" s="12"/>
      <c r="AD245" s="12"/>
      <c r="AE245" s="12"/>
      <c r="AF245" s="12"/>
    </row>
    <row r="246" spans="1:32">
      <c r="A246" s="8"/>
      <c r="B246" s="8"/>
      <c r="C246" s="8"/>
      <c r="D246" s="8"/>
      <c r="E246" s="8"/>
      <c r="F246" s="8"/>
      <c r="G246" s="8"/>
      <c r="H246" s="8"/>
      <c r="I246" s="8"/>
      <c r="J246" s="8"/>
      <c r="K246" s="8"/>
      <c r="L246" s="8"/>
      <c r="M246" s="8"/>
      <c r="N246" s="8"/>
      <c r="O246" s="8"/>
      <c r="P246" s="8"/>
      <c r="Q246" s="8"/>
      <c r="R246" s="8"/>
      <c r="S246" s="8"/>
      <c r="T246" s="8"/>
      <c r="U246" s="12"/>
      <c r="V246" s="12"/>
      <c r="W246" s="12"/>
      <c r="X246" s="12"/>
      <c r="Y246" s="12"/>
      <c r="Z246" s="12"/>
      <c r="AA246" s="12"/>
      <c r="AB246" s="12"/>
      <c r="AC246" s="12"/>
      <c r="AD246" s="12"/>
      <c r="AE246" s="12"/>
      <c r="AF246" s="12"/>
    </row>
    <row r="247" spans="1:32">
      <c r="A247" s="8"/>
      <c r="B247" s="8"/>
      <c r="C247" s="8"/>
      <c r="D247" s="8"/>
      <c r="E247" s="8"/>
      <c r="F247" s="8"/>
      <c r="G247" s="8"/>
      <c r="H247" s="8"/>
      <c r="I247" s="8"/>
      <c r="J247" s="8"/>
      <c r="K247" s="8"/>
      <c r="L247" s="8"/>
      <c r="M247" s="8"/>
      <c r="N247" s="8"/>
      <c r="O247" s="8"/>
      <c r="P247" s="8"/>
      <c r="Q247" s="8"/>
      <c r="R247" s="8"/>
      <c r="S247" s="8"/>
      <c r="T247" s="8"/>
      <c r="U247" s="12"/>
      <c r="V247" s="12"/>
      <c r="W247" s="12"/>
      <c r="X247" s="12"/>
      <c r="Y247" s="12"/>
      <c r="Z247" s="12"/>
      <c r="AA247" s="12"/>
      <c r="AB247" s="12"/>
      <c r="AC247" s="12"/>
      <c r="AD247" s="12"/>
      <c r="AE247" s="12"/>
      <c r="AF247" s="12"/>
    </row>
    <row r="248" spans="1:32">
      <c r="A248" s="8"/>
      <c r="B248" s="8"/>
      <c r="C248" s="8"/>
      <c r="D248" s="8"/>
      <c r="E248" s="8"/>
      <c r="F248" s="8"/>
      <c r="G248" s="8"/>
      <c r="H248" s="8"/>
      <c r="I248" s="8"/>
      <c r="J248" s="8"/>
      <c r="K248" s="8"/>
      <c r="L248" s="8"/>
      <c r="M248" s="8"/>
      <c r="N248" s="8"/>
      <c r="O248" s="8"/>
      <c r="P248" s="8"/>
      <c r="Q248" s="8"/>
      <c r="R248" s="8"/>
      <c r="S248" s="8"/>
      <c r="T248" s="8"/>
      <c r="U248" s="12"/>
      <c r="V248" s="12"/>
      <c r="W248" s="12"/>
      <c r="X248" s="12"/>
      <c r="Y248" s="12"/>
      <c r="Z248" s="12"/>
      <c r="AA248" s="12"/>
      <c r="AB248" s="12"/>
      <c r="AC248" s="12"/>
      <c r="AD248" s="12"/>
      <c r="AE248" s="12"/>
      <c r="AF248" s="12"/>
    </row>
    <row r="249" spans="1:32">
      <c r="A249" s="8"/>
      <c r="B249" s="8"/>
      <c r="C249" s="8"/>
      <c r="D249" s="8"/>
      <c r="E249" s="8"/>
      <c r="F249" s="8"/>
      <c r="G249" s="8"/>
      <c r="H249" s="8"/>
      <c r="I249" s="8"/>
      <c r="J249" s="8"/>
      <c r="K249" s="8"/>
      <c r="L249" s="8"/>
      <c r="M249" s="8"/>
      <c r="N249" s="8"/>
      <c r="O249" s="8"/>
      <c r="P249" s="8"/>
      <c r="Q249" s="8"/>
      <c r="R249" s="8"/>
      <c r="S249" s="8"/>
      <c r="T249" s="8"/>
      <c r="U249" s="12"/>
      <c r="V249" s="12"/>
      <c r="W249" s="12"/>
      <c r="X249" s="12"/>
      <c r="Y249" s="12"/>
      <c r="Z249" s="12"/>
      <c r="AA249" s="12"/>
      <c r="AB249" s="12"/>
      <c r="AC249" s="12"/>
      <c r="AD249" s="12"/>
      <c r="AE249" s="12"/>
      <c r="AF249" s="12"/>
    </row>
    <row r="250" spans="1:32">
      <c r="A250" s="8"/>
      <c r="B250" s="8"/>
      <c r="C250" s="8"/>
      <c r="D250" s="8"/>
      <c r="E250" s="8"/>
      <c r="F250" s="8"/>
      <c r="G250" s="8"/>
      <c r="H250" s="8"/>
      <c r="I250" s="8"/>
      <c r="J250" s="8"/>
      <c r="K250" s="8"/>
      <c r="L250" s="8"/>
      <c r="M250" s="8"/>
      <c r="N250" s="8"/>
      <c r="O250" s="8"/>
      <c r="P250" s="8"/>
      <c r="Q250" s="8"/>
      <c r="R250" s="8"/>
      <c r="S250" s="8"/>
      <c r="T250" s="8"/>
      <c r="U250" s="12"/>
      <c r="V250" s="12"/>
      <c r="W250" s="12"/>
      <c r="X250" s="12"/>
      <c r="Y250" s="12"/>
      <c r="Z250" s="12"/>
      <c r="AA250" s="12"/>
      <c r="AB250" s="12"/>
      <c r="AC250" s="12"/>
      <c r="AD250" s="12"/>
      <c r="AE250" s="12"/>
      <c r="AF250" s="12"/>
    </row>
    <row r="251" spans="1:32">
      <c r="A251" s="8"/>
      <c r="B251" s="8"/>
      <c r="C251" s="8"/>
      <c r="D251" s="8"/>
      <c r="E251" s="8"/>
      <c r="F251" s="8"/>
      <c r="G251" s="8"/>
      <c r="H251" s="8"/>
      <c r="I251" s="8"/>
      <c r="J251" s="8"/>
      <c r="K251" s="8"/>
      <c r="L251" s="8"/>
      <c r="M251" s="8"/>
      <c r="N251" s="8"/>
      <c r="O251" s="8"/>
      <c r="P251" s="8"/>
      <c r="Q251" s="8"/>
      <c r="R251" s="8"/>
      <c r="S251" s="8"/>
      <c r="T251" s="8"/>
      <c r="U251" s="12"/>
      <c r="V251" s="12"/>
      <c r="W251" s="12"/>
      <c r="X251" s="12"/>
      <c r="Y251" s="12"/>
      <c r="Z251" s="12"/>
      <c r="AA251" s="12"/>
      <c r="AB251" s="12"/>
      <c r="AC251" s="12"/>
      <c r="AD251" s="12"/>
      <c r="AE251" s="12"/>
      <c r="AF251" s="12"/>
    </row>
    <row r="252" spans="1:32">
      <c r="A252" s="8"/>
      <c r="B252" s="8"/>
      <c r="C252" s="8"/>
      <c r="D252" s="8"/>
      <c r="E252" s="8"/>
      <c r="F252" s="8"/>
      <c r="G252" s="8"/>
      <c r="H252" s="8"/>
      <c r="I252" s="8"/>
      <c r="J252" s="8"/>
      <c r="K252" s="8"/>
      <c r="L252" s="8"/>
      <c r="M252" s="8"/>
      <c r="N252" s="8"/>
      <c r="O252" s="8"/>
      <c r="P252" s="8"/>
      <c r="Q252" s="8"/>
      <c r="R252" s="8"/>
      <c r="S252" s="8"/>
      <c r="T252" s="8"/>
      <c r="U252" s="12"/>
      <c r="V252" s="12"/>
      <c r="W252" s="12"/>
      <c r="X252" s="12"/>
      <c r="Y252" s="12"/>
      <c r="Z252" s="12"/>
      <c r="AA252" s="12"/>
      <c r="AB252" s="12"/>
      <c r="AC252" s="12"/>
      <c r="AD252" s="12"/>
      <c r="AE252" s="12"/>
      <c r="AF252" s="12"/>
    </row>
    <row r="253" spans="1:32">
      <c r="A253" s="8"/>
      <c r="B253" s="8"/>
      <c r="C253" s="8"/>
      <c r="D253" s="8"/>
      <c r="E253" s="8"/>
      <c r="F253" s="8"/>
      <c r="G253" s="8"/>
      <c r="H253" s="8"/>
      <c r="I253" s="8"/>
      <c r="J253" s="8"/>
      <c r="K253" s="8"/>
      <c r="L253" s="8"/>
      <c r="M253" s="8"/>
      <c r="N253" s="8"/>
      <c r="O253" s="8"/>
      <c r="P253" s="8"/>
      <c r="Q253" s="8"/>
      <c r="R253" s="8"/>
      <c r="S253" s="8"/>
      <c r="T253" s="8"/>
      <c r="U253" s="12"/>
      <c r="V253" s="12"/>
      <c r="W253" s="12"/>
      <c r="X253" s="12"/>
      <c r="Y253" s="12"/>
      <c r="Z253" s="12"/>
      <c r="AA253" s="12"/>
      <c r="AB253" s="12"/>
      <c r="AC253" s="12"/>
      <c r="AD253" s="12"/>
      <c r="AE253" s="12"/>
      <c r="AF253" s="12"/>
    </row>
    <row r="254" spans="1:32">
      <c r="A254" s="8"/>
      <c r="B254" s="8"/>
      <c r="C254" s="8"/>
      <c r="D254" s="8"/>
      <c r="E254" s="8"/>
      <c r="F254" s="8"/>
      <c r="G254" s="8"/>
      <c r="H254" s="8"/>
      <c r="I254" s="8"/>
      <c r="J254" s="8"/>
      <c r="K254" s="8"/>
      <c r="L254" s="8"/>
      <c r="M254" s="8"/>
      <c r="N254" s="8"/>
      <c r="O254" s="8"/>
      <c r="P254" s="8"/>
      <c r="Q254" s="8"/>
      <c r="R254" s="8"/>
      <c r="S254" s="8"/>
      <c r="T254" s="8"/>
      <c r="U254" s="12"/>
      <c r="V254" s="12"/>
      <c r="W254" s="12"/>
      <c r="X254" s="12"/>
      <c r="Y254" s="12"/>
      <c r="Z254" s="12"/>
      <c r="AA254" s="12"/>
      <c r="AB254" s="12"/>
      <c r="AC254" s="12"/>
      <c r="AD254" s="12"/>
      <c r="AE254" s="12"/>
      <c r="AF254" s="12"/>
    </row>
    <row r="255" spans="1:32">
      <c r="A255" s="8"/>
      <c r="B255" s="8"/>
      <c r="C255" s="8"/>
      <c r="D255" s="8"/>
      <c r="E255" s="8"/>
      <c r="F255" s="8"/>
      <c r="G255" s="8"/>
      <c r="H255" s="8"/>
      <c r="I255" s="8"/>
      <c r="J255" s="8"/>
      <c r="K255" s="8"/>
      <c r="L255" s="8"/>
      <c r="M255" s="8"/>
      <c r="N255" s="8"/>
      <c r="O255" s="8"/>
      <c r="P255" s="8"/>
      <c r="Q255" s="8"/>
      <c r="R255" s="8"/>
      <c r="S255" s="8"/>
      <c r="T255" s="8"/>
      <c r="U255" s="12"/>
      <c r="V255" s="12"/>
      <c r="W255" s="12"/>
      <c r="X255" s="12"/>
      <c r="Y255" s="12"/>
      <c r="Z255" s="12"/>
      <c r="AA255" s="12"/>
      <c r="AB255" s="12"/>
      <c r="AC255" s="12"/>
      <c r="AD255" s="12"/>
      <c r="AE255" s="12"/>
      <c r="AF255" s="12"/>
    </row>
    <row r="256" spans="1:32">
      <c r="A256" s="8"/>
      <c r="B256" s="8"/>
      <c r="C256" s="8"/>
      <c r="D256" s="8"/>
      <c r="E256" s="8"/>
      <c r="F256" s="8"/>
      <c r="G256" s="8"/>
      <c r="H256" s="8"/>
      <c r="I256" s="8"/>
      <c r="J256" s="8"/>
      <c r="K256" s="8"/>
      <c r="L256" s="8"/>
      <c r="M256" s="8"/>
      <c r="N256" s="8"/>
      <c r="O256" s="8"/>
      <c r="P256" s="8"/>
      <c r="Q256" s="8"/>
      <c r="R256" s="8"/>
      <c r="S256" s="8"/>
      <c r="T256" s="8"/>
      <c r="U256" s="12"/>
      <c r="V256" s="12"/>
      <c r="W256" s="12"/>
      <c r="X256" s="12"/>
      <c r="Y256" s="12"/>
      <c r="Z256" s="12"/>
      <c r="AA256" s="12"/>
      <c r="AB256" s="12"/>
      <c r="AC256" s="12"/>
      <c r="AD256" s="12"/>
      <c r="AE256" s="12"/>
      <c r="AF256" s="12"/>
    </row>
    <row r="257" spans="1:32">
      <c r="A257" s="8"/>
      <c r="B257" s="8"/>
      <c r="C257" s="8"/>
      <c r="D257" s="8"/>
      <c r="E257" s="8"/>
      <c r="F257" s="8"/>
      <c r="G257" s="8"/>
      <c r="H257" s="8"/>
      <c r="I257" s="8"/>
      <c r="J257" s="8"/>
      <c r="K257" s="8"/>
      <c r="L257" s="8"/>
      <c r="M257" s="8"/>
      <c r="N257" s="8"/>
      <c r="O257" s="8"/>
      <c r="P257" s="8"/>
      <c r="Q257" s="8"/>
      <c r="R257" s="8"/>
      <c r="S257" s="8"/>
      <c r="T257" s="8"/>
      <c r="U257" s="12"/>
      <c r="V257" s="12"/>
      <c r="W257" s="12"/>
      <c r="X257" s="12"/>
      <c r="Y257" s="12"/>
      <c r="Z257" s="12"/>
      <c r="AA257" s="12"/>
      <c r="AB257" s="12"/>
      <c r="AC257" s="12"/>
      <c r="AD257" s="12"/>
      <c r="AE257" s="12"/>
      <c r="AF257" s="12"/>
    </row>
    <row r="258" spans="1:32">
      <c r="A258" s="8"/>
      <c r="B258" s="8"/>
      <c r="C258" s="8"/>
      <c r="D258" s="8"/>
      <c r="E258" s="8"/>
      <c r="F258" s="8"/>
      <c r="G258" s="8"/>
      <c r="H258" s="8"/>
      <c r="I258" s="8"/>
      <c r="J258" s="8"/>
      <c r="K258" s="8"/>
      <c r="L258" s="8"/>
      <c r="M258" s="8"/>
      <c r="N258" s="8"/>
      <c r="O258" s="8"/>
      <c r="P258" s="8"/>
      <c r="Q258" s="8"/>
      <c r="R258" s="8"/>
      <c r="S258" s="8"/>
      <c r="T258" s="8"/>
      <c r="U258" s="12"/>
      <c r="V258" s="12"/>
      <c r="W258" s="12"/>
      <c r="X258" s="12"/>
      <c r="Y258" s="12"/>
      <c r="Z258" s="12"/>
      <c r="AA258" s="12"/>
      <c r="AB258" s="12"/>
      <c r="AC258" s="12"/>
      <c r="AD258" s="12"/>
      <c r="AE258" s="12"/>
      <c r="AF258" s="12"/>
    </row>
    <row r="259" spans="1:32">
      <c r="A259" s="8"/>
      <c r="B259" s="8"/>
      <c r="C259" s="8"/>
      <c r="D259" s="8"/>
      <c r="E259" s="8"/>
      <c r="F259" s="8"/>
      <c r="G259" s="8"/>
      <c r="H259" s="8"/>
      <c r="I259" s="8"/>
      <c r="J259" s="8"/>
      <c r="K259" s="8"/>
      <c r="L259" s="8"/>
      <c r="M259" s="8"/>
      <c r="N259" s="8"/>
      <c r="O259" s="8"/>
      <c r="P259" s="8"/>
      <c r="Q259" s="8"/>
      <c r="R259" s="8"/>
      <c r="S259" s="8"/>
      <c r="T259" s="8"/>
      <c r="U259" s="12"/>
      <c r="V259" s="12"/>
      <c r="W259" s="12"/>
      <c r="X259" s="12"/>
      <c r="Y259" s="12"/>
      <c r="Z259" s="12"/>
      <c r="AA259" s="12"/>
      <c r="AB259" s="12"/>
      <c r="AC259" s="12"/>
      <c r="AD259" s="12"/>
      <c r="AE259" s="12"/>
      <c r="AF259" s="12"/>
    </row>
    <row r="260" spans="1:32">
      <c r="A260" s="8"/>
      <c r="B260" s="8"/>
      <c r="C260" s="8"/>
      <c r="D260" s="8"/>
      <c r="E260" s="8"/>
      <c r="F260" s="8"/>
      <c r="G260" s="8"/>
      <c r="H260" s="8"/>
      <c r="I260" s="8"/>
      <c r="J260" s="8"/>
      <c r="K260" s="8"/>
      <c r="L260" s="8"/>
      <c r="M260" s="8"/>
      <c r="N260" s="8"/>
      <c r="O260" s="8"/>
      <c r="P260" s="8"/>
      <c r="Q260" s="8"/>
      <c r="R260" s="8"/>
      <c r="S260" s="8"/>
      <c r="T260" s="8"/>
      <c r="U260" s="12"/>
      <c r="V260" s="12"/>
      <c r="W260" s="12"/>
      <c r="X260" s="12"/>
      <c r="Y260" s="12"/>
      <c r="Z260" s="12"/>
      <c r="AA260" s="12"/>
      <c r="AB260" s="12"/>
      <c r="AC260" s="12"/>
      <c r="AD260" s="12"/>
      <c r="AE260" s="12"/>
      <c r="AF260" s="12"/>
    </row>
    <row r="261" spans="1:32">
      <c r="A261" s="8"/>
      <c r="B261" s="8"/>
      <c r="C261" s="8"/>
      <c r="D261" s="8"/>
      <c r="E261" s="8"/>
      <c r="F261" s="8"/>
      <c r="G261" s="8"/>
      <c r="H261" s="8"/>
      <c r="I261" s="8"/>
      <c r="J261" s="8"/>
      <c r="K261" s="8"/>
      <c r="L261" s="8"/>
      <c r="M261" s="8"/>
      <c r="N261" s="8"/>
      <c r="O261" s="8"/>
      <c r="P261" s="8"/>
      <c r="Q261" s="8"/>
      <c r="R261" s="8"/>
      <c r="S261" s="8"/>
      <c r="T261" s="8"/>
      <c r="U261" s="12"/>
      <c r="V261" s="12"/>
      <c r="W261" s="12"/>
      <c r="X261" s="12"/>
      <c r="Y261" s="12"/>
      <c r="Z261" s="12"/>
      <c r="AA261" s="12"/>
      <c r="AB261" s="12"/>
      <c r="AC261" s="12"/>
      <c r="AD261" s="12"/>
      <c r="AE261" s="12"/>
      <c r="AF261" s="12"/>
    </row>
    <row r="262" spans="1:32">
      <c r="A262" s="8"/>
      <c r="B262" s="8"/>
      <c r="C262" s="8"/>
      <c r="D262" s="8"/>
      <c r="E262" s="8"/>
      <c r="F262" s="8"/>
      <c r="G262" s="8"/>
      <c r="H262" s="8"/>
      <c r="I262" s="8"/>
      <c r="J262" s="8"/>
      <c r="K262" s="8"/>
      <c r="L262" s="8"/>
      <c r="M262" s="8"/>
      <c r="N262" s="8"/>
      <c r="O262" s="8"/>
      <c r="P262" s="8"/>
      <c r="Q262" s="8"/>
      <c r="R262" s="8"/>
      <c r="S262" s="8"/>
      <c r="T262" s="8"/>
      <c r="U262" s="12"/>
      <c r="V262" s="12"/>
      <c r="W262" s="12"/>
      <c r="X262" s="12"/>
      <c r="Y262" s="12"/>
      <c r="Z262" s="12"/>
      <c r="AA262" s="12"/>
      <c r="AB262" s="12"/>
      <c r="AC262" s="12"/>
      <c r="AD262" s="12"/>
      <c r="AE262" s="12"/>
      <c r="AF262" s="12"/>
    </row>
    <row r="263" spans="1:32">
      <c r="A263" s="8"/>
      <c r="B263" s="8"/>
      <c r="C263" s="8"/>
      <c r="D263" s="8"/>
      <c r="E263" s="8"/>
      <c r="F263" s="8"/>
      <c r="G263" s="8"/>
      <c r="H263" s="8"/>
      <c r="I263" s="8"/>
      <c r="J263" s="8"/>
      <c r="K263" s="8"/>
      <c r="L263" s="8"/>
      <c r="M263" s="8"/>
      <c r="N263" s="8"/>
      <c r="O263" s="8"/>
      <c r="P263" s="8"/>
      <c r="Q263" s="8"/>
      <c r="R263" s="8"/>
      <c r="S263" s="8"/>
      <c r="T263" s="8"/>
      <c r="U263" s="12"/>
      <c r="V263" s="12"/>
      <c r="W263" s="12"/>
      <c r="X263" s="12"/>
      <c r="Y263" s="12"/>
      <c r="Z263" s="12"/>
      <c r="AA263" s="12"/>
      <c r="AB263" s="12"/>
      <c r="AC263" s="12"/>
      <c r="AD263" s="12"/>
      <c r="AE263" s="12"/>
      <c r="AF263" s="12"/>
    </row>
    <row r="264" spans="1:32">
      <c r="A264" s="8"/>
      <c r="B264" s="8"/>
      <c r="C264" s="8"/>
      <c r="D264" s="8"/>
      <c r="E264" s="8"/>
      <c r="F264" s="8"/>
      <c r="G264" s="8"/>
      <c r="H264" s="8"/>
      <c r="I264" s="8"/>
      <c r="J264" s="8"/>
      <c r="K264" s="8"/>
      <c r="L264" s="8"/>
      <c r="M264" s="8"/>
      <c r="N264" s="8"/>
      <c r="O264" s="8"/>
      <c r="P264" s="8"/>
      <c r="Q264" s="8"/>
      <c r="R264" s="8"/>
      <c r="S264" s="8"/>
      <c r="T264" s="8"/>
      <c r="U264" s="12"/>
      <c r="V264" s="12"/>
      <c r="W264" s="12"/>
      <c r="X264" s="12"/>
      <c r="Y264" s="12"/>
      <c r="Z264" s="12"/>
      <c r="AA264" s="12"/>
      <c r="AB264" s="12"/>
      <c r="AC264" s="12"/>
      <c r="AD264" s="12"/>
      <c r="AE264" s="12"/>
      <c r="AF264" s="12"/>
    </row>
    <row r="265" spans="1:32">
      <c r="A265" s="8"/>
      <c r="B265" s="8"/>
      <c r="C265" s="8"/>
      <c r="D265" s="8"/>
      <c r="E265" s="8"/>
      <c r="F265" s="8"/>
      <c r="G265" s="8"/>
      <c r="H265" s="8"/>
      <c r="I265" s="8"/>
      <c r="J265" s="8"/>
      <c r="K265" s="8"/>
      <c r="L265" s="8"/>
      <c r="M265" s="8"/>
      <c r="N265" s="8"/>
      <c r="O265" s="8"/>
      <c r="P265" s="8"/>
      <c r="Q265" s="8"/>
      <c r="R265" s="8"/>
      <c r="S265" s="8"/>
      <c r="T265" s="8"/>
      <c r="U265" s="12"/>
      <c r="V265" s="12"/>
      <c r="W265" s="12"/>
      <c r="X265" s="12"/>
      <c r="Y265" s="12"/>
      <c r="Z265" s="12"/>
      <c r="AA265" s="12"/>
      <c r="AB265" s="12"/>
      <c r="AC265" s="12"/>
      <c r="AD265" s="12"/>
      <c r="AE265" s="12"/>
      <c r="AF265" s="12"/>
    </row>
    <row r="266" spans="1:32">
      <c r="A266" s="8"/>
      <c r="B266" s="8"/>
      <c r="C266" s="8"/>
      <c r="D266" s="8"/>
      <c r="E266" s="8"/>
      <c r="F266" s="8"/>
      <c r="G266" s="8"/>
      <c r="H266" s="8"/>
      <c r="I266" s="8"/>
      <c r="J266" s="8"/>
      <c r="K266" s="8"/>
      <c r="L266" s="8"/>
      <c r="M266" s="8"/>
      <c r="N266" s="8"/>
      <c r="O266" s="8"/>
      <c r="P266" s="8"/>
      <c r="Q266" s="8"/>
      <c r="R266" s="8"/>
      <c r="S266" s="8"/>
      <c r="T266" s="8"/>
      <c r="U266" s="12"/>
      <c r="V266" s="12"/>
      <c r="W266" s="12"/>
      <c r="X266" s="12"/>
      <c r="Y266" s="12"/>
      <c r="Z266" s="12"/>
      <c r="AA266" s="12"/>
      <c r="AB266" s="12"/>
      <c r="AC266" s="12"/>
      <c r="AD266" s="12"/>
      <c r="AE266" s="12"/>
      <c r="AF266" s="12"/>
    </row>
    <row r="267" spans="1:32">
      <c r="A267" s="8"/>
      <c r="B267" s="8"/>
      <c r="C267" s="8"/>
      <c r="D267" s="8"/>
      <c r="E267" s="8"/>
      <c r="F267" s="8"/>
      <c r="G267" s="8"/>
      <c r="H267" s="8"/>
      <c r="I267" s="8"/>
      <c r="J267" s="8"/>
      <c r="K267" s="8"/>
      <c r="L267" s="8"/>
      <c r="M267" s="8"/>
      <c r="N267" s="8"/>
      <c r="O267" s="8"/>
      <c r="P267" s="8"/>
      <c r="Q267" s="8"/>
      <c r="R267" s="8"/>
      <c r="S267" s="8"/>
      <c r="T267" s="8"/>
      <c r="U267" s="12"/>
      <c r="V267" s="12"/>
      <c r="W267" s="12"/>
      <c r="X267" s="12"/>
      <c r="Y267" s="12"/>
      <c r="Z267" s="12"/>
      <c r="AA267" s="12"/>
      <c r="AB267" s="12"/>
      <c r="AC267" s="12"/>
      <c r="AD267" s="12"/>
      <c r="AE267" s="12"/>
      <c r="AF267" s="12"/>
    </row>
    <row r="268" spans="1:32">
      <c r="A268" s="8"/>
      <c r="B268" s="8"/>
      <c r="C268" s="8"/>
      <c r="D268" s="8"/>
      <c r="E268" s="8"/>
      <c r="F268" s="8"/>
      <c r="G268" s="8"/>
      <c r="H268" s="8"/>
      <c r="I268" s="8"/>
      <c r="J268" s="8"/>
      <c r="K268" s="8"/>
      <c r="L268" s="8"/>
      <c r="M268" s="8"/>
      <c r="N268" s="8"/>
      <c r="O268" s="8"/>
      <c r="P268" s="8"/>
      <c r="Q268" s="8"/>
      <c r="R268" s="8"/>
      <c r="S268" s="8"/>
      <c r="T268" s="8"/>
      <c r="U268" s="12"/>
      <c r="V268" s="12"/>
      <c r="W268" s="12"/>
      <c r="X268" s="12"/>
      <c r="Y268" s="12"/>
      <c r="Z268" s="12"/>
      <c r="AA268" s="12"/>
      <c r="AB268" s="12"/>
      <c r="AC268" s="12"/>
      <c r="AD268" s="12"/>
      <c r="AE268" s="12"/>
      <c r="AF268" s="12"/>
    </row>
    <row r="269" spans="1:32">
      <c r="A269" s="8"/>
      <c r="B269" s="8"/>
      <c r="C269" s="8"/>
      <c r="D269" s="8"/>
      <c r="E269" s="8"/>
      <c r="F269" s="8"/>
      <c r="G269" s="8"/>
      <c r="H269" s="8"/>
      <c r="I269" s="8"/>
      <c r="J269" s="8"/>
      <c r="K269" s="8"/>
      <c r="L269" s="8"/>
      <c r="M269" s="8"/>
      <c r="N269" s="8"/>
      <c r="O269" s="8"/>
      <c r="P269" s="8"/>
      <c r="Q269" s="8"/>
      <c r="R269" s="8"/>
      <c r="S269" s="8"/>
      <c r="T269" s="8"/>
      <c r="U269" s="12"/>
      <c r="V269" s="12"/>
      <c r="W269" s="12"/>
      <c r="X269" s="12"/>
      <c r="Y269" s="12"/>
      <c r="Z269" s="12"/>
      <c r="AA269" s="12"/>
      <c r="AB269" s="12"/>
      <c r="AC269" s="12"/>
      <c r="AD269" s="12"/>
      <c r="AE269" s="12"/>
      <c r="AF269" s="12"/>
    </row>
    <row r="270" spans="1:32">
      <c r="A270" s="8"/>
      <c r="B270" s="8"/>
      <c r="C270" s="8"/>
      <c r="D270" s="8"/>
      <c r="E270" s="8"/>
      <c r="F270" s="8"/>
      <c r="G270" s="8"/>
      <c r="H270" s="8"/>
      <c r="I270" s="8"/>
      <c r="J270" s="8"/>
      <c r="K270" s="8"/>
      <c r="L270" s="8"/>
      <c r="M270" s="8"/>
      <c r="N270" s="8"/>
      <c r="O270" s="8"/>
      <c r="P270" s="8"/>
      <c r="Q270" s="8"/>
      <c r="R270" s="8"/>
      <c r="S270" s="8"/>
      <c r="T270" s="8"/>
      <c r="U270" s="12"/>
      <c r="V270" s="12"/>
      <c r="W270" s="12"/>
      <c r="X270" s="12"/>
      <c r="Y270" s="12"/>
      <c r="Z270" s="12"/>
      <c r="AA270" s="12"/>
      <c r="AB270" s="12"/>
      <c r="AC270" s="12"/>
      <c r="AD270" s="12"/>
      <c r="AE270" s="12"/>
      <c r="AF270" s="12"/>
    </row>
    <row r="271" spans="1:32">
      <c r="A271" s="8"/>
      <c r="B271" s="8"/>
      <c r="C271" s="8"/>
      <c r="D271" s="8"/>
      <c r="E271" s="8"/>
      <c r="F271" s="8"/>
      <c r="G271" s="8"/>
      <c r="H271" s="8"/>
      <c r="I271" s="8"/>
      <c r="J271" s="8"/>
      <c r="K271" s="8"/>
      <c r="L271" s="8"/>
      <c r="M271" s="8"/>
      <c r="N271" s="8"/>
      <c r="O271" s="8"/>
      <c r="P271" s="8"/>
      <c r="Q271" s="8"/>
      <c r="R271" s="8"/>
      <c r="S271" s="8"/>
      <c r="T271" s="8"/>
      <c r="U271" s="12"/>
      <c r="V271" s="12"/>
      <c r="W271" s="12"/>
      <c r="X271" s="12"/>
      <c r="Y271" s="12"/>
      <c r="Z271" s="12"/>
      <c r="AA271" s="12"/>
      <c r="AB271" s="12"/>
      <c r="AC271" s="12"/>
      <c r="AD271" s="12"/>
      <c r="AE271" s="12"/>
      <c r="AF271" s="12"/>
    </row>
    <row r="272" spans="1:32">
      <c r="A272" s="8"/>
      <c r="B272" s="8"/>
      <c r="C272" s="8"/>
      <c r="D272" s="8"/>
      <c r="E272" s="8"/>
      <c r="F272" s="8"/>
      <c r="G272" s="8"/>
      <c r="H272" s="8"/>
      <c r="I272" s="8"/>
      <c r="J272" s="8"/>
      <c r="K272" s="8"/>
      <c r="L272" s="8"/>
      <c r="M272" s="8"/>
      <c r="N272" s="8"/>
      <c r="O272" s="8"/>
      <c r="P272" s="8"/>
      <c r="Q272" s="8"/>
      <c r="R272" s="8"/>
      <c r="S272" s="8"/>
      <c r="T272" s="8"/>
      <c r="U272" s="12"/>
      <c r="V272" s="12"/>
      <c r="W272" s="12"/>
      <c r="X272" s="12"/>
      <c r="Y272" s="12"/>
      <c r="Z272" s="12"/>
      <c r="AA272" s="12"/>
      <c r="AB272" s="12"/>
      <c r="AC272" s="12"/>
      <c r="AD272" s="12"/>
      <c r="AE272" s="12"/>
      <c r="AF272" s="12"/>
    </row>
    <row r="273" spans="1:32">
      <c r="A273" s="8"/>
      <c r="B273" s="8"/>
      <c r="C273" s="8"/>
      <c r="D273" s="8"/>
      <c r="E273" s="8"/>
      <c r="F273" s="8"/>
      <c r="G273" s="8"/>
      <c r="H273" s="8"/>
      <c r="I273" s="8"/>
      <c r="J273" s="8"/>
      <c r="K273" s="8"/>
      <c r="L273" s="8"/>
      <c r="M273" s="8"/>
      <c r="N273" s="8"/>
      <c r="O273" s="8"/>
      <c r="P273" s="8"/>
      <c r="Q273" s="8"/>
      <c r="R273" s="8"/>
      <c r="S273" s="8"/>
      <c r="T273" s="8"/>
      <c r="U273" s="12"/>
      <c r="V273" s="12"/>
      <c r="W273" s="12"/>
      <c r="X273" s="12"/>
      <c r="Y273" s="12"/>
      <c r="Z273" s="12"/>
      <c r="AA273" s="12"/>
      <c r="AB273" s="12"/>
      <c r="AC273" s="12"/>
      <c r="AD273" s="12"/>
      <c r="AE273" s="12"/>
      <c r="AF273" s="12"/>
    </row>
    <row r="274" spans="1:32">
      <c r="A274" s="8"/>
      <c r="B274" s="8"/>
      <c r="C274" s="8"/>
      <c r="D274" s="8"/>
      <c r="E274" s="8"/>
      <c r="F274" s="8"/>
      <c r="G274" s="8"/>
      <c r="H274" s="8"/>
      <c r="I274" s="8"/>
      <c r="J274" s="8"/>
      <c r="K274" s="8"/>
      <c r="L274" s="8"/>
      <c r="M274" s="8"/>
      <c r="N274" s="8"/>
      <c r="O274" s="8"/>
      <c r="P274" s="8"/>
      <c r="Q274" s="8"/>
      <c r="R274" s="8"/>
      <c r="S274" s="8"/>
      <c r="T274" s="8"/>
      <c r="U274" s="12"/>
      <c r="V274" s="12"/>
      <c r="W274" s="12"/>
      <c r="X274" s="12"/>
      <c r="Y274" s="12"/>
      <c r="Z274" s="12"/>
      <c r="AA274" s="12"/>
      <c r="AB274" s="12"/>
      <c r="AC274" s="12"/>
      <c r="AD274" s="12"/>
      <c r="AE274" s="12"/>
      <c r="AF274" s="12"/>
    </row>
    <row r="275" spans="1:32">
      <c r="A275" s="8"/>
      <c r="B275" s="8"/>
      <c r="C275" s="8"/>
      <c r="D275" s="8"/>
      <c r="E275" s="8"/>
      <c r="F275" s="8"/>
      <c r="G275" s="8"/>
      <c r="H275" s="8"/>
      <c r="I275" s="8"/>
      <c r="J275" s="8"/>
      <c r="K275" s="8"/>
      <c r="L275" s="8"/>
      <c r="M275" s="8"/>
      <c r="N275" s="8"/>
      <c r="O275" s="8"/>
      <c r="P275" s="8"/>
      <c r="Q275" s="8"/>
      <c r="R275" s="8"/>
      <c r="S275" s="8"/>
      <c r="T275" s="8"/>
      <c r="U275" s="12"/>
      <c r="V275" s="12"/>
      <c r="W275" s="12"/>
      <c r="X275" s="12"/>
      <c r="Y275" s="12"/>
      <c r="Z275" s="12"/>
      <c r="AA275" s="12"/>
      <c r="AB275" s="12"/>
      <c r="AC275" s="12"/>
      <c r="AD275" s="12"/>
      <c r="AE275" s="12"/>
      <c r="AF275" s="12"/>
    </row>
    <row r="276" spans="1:32">
      <c r="A276" s="8"/>
      <c r="B276" s="8"/>
      <c r="C276" s="8"/>
      <c r="D276" s="8"/>
      <c r="E276" s="8"/>
      <c r="F276" s="8"/>
      <c r="G276" s="8"/>
      <c r="H276" s="8"/>
      <c r="I276" s="8"/>
      <c r="J276" s="8"/>
      <c r="K276" s="8"/>
      <c r="L276" s="8"/>
      <c r="M276" s="8"/>
      <c r="N276" s="8"/>
      <c r="O276" s="8"/>
      <c r="P276" s="8"/>
      <c r="Q276" s="8"/>
      <c r="R276" s="8"/>
      <c r="S276" s="8"/>
      <c r="T276" s="8"/>
      <c r="U276" s="12"/>
      <c r="V276" s="12"/>
      <c r="W276" s="12"/>
      <c r="X276" s="12"/>
      <c r="Y276" s="12"/>
      <c r="Z276" s="12"/>
      <c r="AA276" s="12"/>
      <c r="AB276" s="12"/>
      <c r="AC276" s="12"/>
      <c r="AD276" s="12"/>
      <c r="AE276" s="12"/>
      <c r="AF276" s="12"/>
    </row>
    <row r="277" spans="1:32">
      <c r="A277" s="8"/>
      <c r="B277" s="8"/>
      <c r="C277" s="8"/>
      <c r="D277" s="8"/>
      <c r="E277" s="8"/>
      <c r="F277" s="8"/>
      <c r="G277" s="8"/>
      <c r="H277" s="8"/>
      <c r="I277" s="8"/>
      <c r="J277" s="8"/>
      <c r="K277" s="8"/>
      <c r="L277" s="8"/>
      <c r="M277" s="8"/>
      <c r="N277" s="8"/>
      <c r="O277" s="8"/>
      <c r="P277" s="8"/>
      <c r="Q277" s="8"/>
      <c r="R277" s="8"/>
      <c r="S277" s="8"/>
      <c r="T277" s="8"/>
      <c r="U277" s="12"/>
      <c r="V277" s="12"/>
      <c r="W277" s="12"/>
      <c r="X277" s="12"/>
      <c r="Y277" s="12"/>
      <c r="Z277" s="12"/>
      <c r="AA277" s="12"/>
      <c r="AB277" s="12"/>
      <c r="AC277" s="12"/>
      <c r="AD277" s="12"/>
      <c r="AE277" s="12"/>
      <c r="AF277" s="12"/>
    </row>
    <row r="278" spans="1:32">
      <c r="A278" s="8"/>
      <c r="B278" s="8"/>
      <c r="C278" s="8"/>
      <c r="D278" s="8"/>
      <c r="E278" s="8"/>
      <c r="F278" s="8"/>
      <c r="G278" s="8"/>
      <c r="H278" s="8"/>
      <c r="I278" s="8"/>
      <c r="J278" s="8"/>
      <c r="K278" s="8"/>
      <c r="L278" s="8"/>
      <c r="M278" s="8"/>
      <c r="N278" s="8"/>
      <c r="O278" s="8"/>
      <c r="P278" s="8"/>
      <c r="Q278" s="8"/>
      <c r="R278" s="8"/>
      <c r="S278" s="8"/>
      <c r="T278" s="8"/>
      <c r="U278" s="12"/>
      <c r="V278" s="12"/>
      <c r="W278" s="12"/>
      <c r="X278" s="12"/>
      <c r="Y278" s="12"/>
      <c r="Z278" s="12"/>
      <c r="AA278" s="12"/>
      <c r="AB278" s="12"/>
      <c r="AC278" s="12"/>
      <c r="AD278" s="12"/>
      <c r="AE278" s="12"/>
      <c r="AF278" s="12"/>
    </row>
    <row r="279" spans="1:32">
      <c r="A279" s="8"/>
      <c r="B279" s="8"/>
      <c r="C279" s="8"/>
      <c r="D279" s="8"/>
      <c r="E279" s="8"/>
      <c r="F279" s="8"/>
      <c r="G279" s="8"/>
      <c r="H279" s="8"/>
      <c r="I279" s="8"/>
      <c r="J279" s="8"/>
      <c r="K279" s="8"/>
      <c r="L279" s="8"/>
      <c r="M279" s="8"/>
      <c r="N279" s="8"/>
      <c r="O279" s="8"/>
      <c r="P279" s="8"/>
      <c r="Q279" s="8"/>
      <c r="R279" s="8"/>
      <c r="S279" s="8"/>
      <c r="T279" s="8"/>
      <c r="U279" s="12"/>
      <c r="V279" s="12"/>
      <c r="W279" s="12"/>
      <c r="X279" s="12"/>
      <c r="Y279" s="12"/>
      <c r="Z279" s="12"/>
      <c r="AA279" s="12"/>
      <c r="AB279" s="12"/>
      <c r="AC279" s="12"/>
      <c r="AD279" s="12"/>
      <c r="AE279" s="12"/>
      <c r="AF279" s="12"/>
    </row>
    <row r="280" spans="1:32">
      <c r="A280" s="8"/>
      <c r="B280" s="8"/>
      <c r="C280" s="8"/>
      <c r="D280" s="8"/>
      <c r="E280" s="8"/>
      <c r="F280" s="8"/>
      <c r="G280" s="8"/>
      <c r="H280" s="8"/>
      <c r="I280" s="8"/>
      <c r="J280" s="8"/>
      <c r="K280" s="8"/>
      <c r="L280" s="8"/>
      <c r="M280" s="8"/>
      <c r="N280" s="8"/>
      <c r="O280" s="8"/>
      <c r="P280" s="8"/>
      <c r="Q280" s="8"/>
      <c r="R280" s="8"/>
      <c r="S280" s="8"/>
      <c r="T280" s="8"/>
      <c r="U280" s="12"/>
      <c r="V280" s="12"/>
      <c r="W280" s="12"/>
      <c r="X280" s="12"/>
      <c r="Y280" s="12"/>
      <c r="Z280" s="12"/>
      <c r="AA280" s="12"/>
      <c r="AB280" s="12"/>
      <c r="AC280" s="12"/>
      <c r="AD280" s="12"/>
      <c r="AE280" s="12"/>
      <c r="AF280" s="12"/>
    </row>
    <row r="281" spans="1:32">
      <c r="A281" s="8"/>
      <c r="B281" s="8"/>
      <c r="C281" s="8"/>
      <c r="D281" s="8"/>
      <c r="E281" s="8"/>
      <c r="F281" s="8"/>
      <c r="G281" s="8"/>
      <c r="H281" s="8"/>
      <c r="I281" s="8"/>
      <c r="J281" s="8"/>
      <c r="K281" s="8"/>
      <c r="L281" s="8"/>
      <c r="M281" s="8"/>
      <c r="N281" s="8"/>
      <c r="O281" s="8"/>
      <c r="P281" s="8"/>
      <c r="Q281" s="8"/>
      <c r="R281" s="8"/>
      <c r="S281" s="8"/>
      <c r="T281" s="8"/>
      <c r="U281" s="12"/>
      <c r="V281" s="12"/>
      <c r="W281" s="12"/>
      <c r="X281" s="12"/>
      <c r="Y281" s="12"/>
      <c r="Z281" s="12"/>
      <c r="AA281" s="12"/>
      <c r="AB281" s="12"/>
      <c r="AC281" s="12"/>
      <c r="AD281" s="12"/>
      <c r="AE281" s="12"/>
      <c r="AF281" s="12"/>
    </row>
    <row r="282" spans="1:32">
      <c r="A282" s="8"/>
      <c r="B282" s="8"/>
      <c r="C282" s="8"/>
      <c r="D282" s="8"/>
      <c r="E282" s="8"/>
      <c r="F282" s="8"/>
      <c r="G282" s="8"/>
      <c r="H282" s="8"/>
      <c r="I282" s="8"/>
      <c r="J282" s="8"/>
      <c r="K282" s="8"/>
      <c r="L282" s="8"/>
      <c r="M282" s="8"/>
      <c r="N282" s="8"/>
      <c r="O282" s="8"/>
      <c r="P282" s="8"/>
      <c r="Q282" s="8"/>
      <c r="R282" s="8"/>
      <c r="S282" s="8"/>
      <c r="T282" s="8"/>
      <c r="U282" s="12"/>
      <c r="V282" s="12"/>
      <c r="W282" s="12"/>
      <c r="X282" s="12"/>
      <c r="Y282" s="12"/>
      <c r="Z282" s="12"/>
      <c r="AA282" s="12"/>
      <c r="AB282" s="12"/>
      <c r="AC282" s="12"/>
      <c r="AD282" s="12"/>
      <c r="AE282" s="12"/>
      <c r="AF282" s="12"/>
    </row>
    <row r="283" spans="1:32">
      <c r="A283" s="8"/>
      <c r="B283" s="8"/>
      <c r="C283" s="8"/>
      <c r="D283" s="8"/>
      <c r="E283" s="8"/>
      <c r="F283" s="8"/>
      <c r="G283" s="8"/>
      <c r="H283" s="8"/>
      <c r="I283" s="8"/>
      <c r="J283" s="8"/>
      <c r="K283" s="8"/>
      <c r="L283" s="8"/>
      <c r="M283" s="8"/>
      <c r="N283" s="8"/>
      <c r="O283" s="8"/>
      <c r="P283" s="8"/>
      <c r="Q283" s="8"/>
      <c r="R283" s="8"/>
      <c r="S283" s="8"/>
      <c r="T283" s="8"/>
      <c r="U283" s="12"/>
      <c r="V283" s="12"/>
      <c r="W283" s="12"/>
      <c r="X283" s="12"/>
      <c r="Y283" s="12"/>
      <c r="Z283" s="12"/>
      <c r="AA283" s="12"/>
      <c r="AB283" s="12"/>
      <c r="AC283" s="12"/>
      <c r="AD283" s="12"/>
      <c r="AE283" s="12"/>
      <c r="AF283" s="12"/>
    </row>
    <row r="284" spans="1:32">
      <c r="A284" s="8"/>
      <c r="B284" s="8"/>
      <c r="C284" s="8"/>
      <c r="D284" s="8"/>
      <c r="E284" s="8"/>
      <c r="F284" s="8"/>
      <c r="G284" s="8"/>
      <c r="H284" s="8"/>
      <c r="I284" s="8"/>
      <c r="J284" s="8"/>
      <c r="K284" s="8"/>
      <c r="L284" s="8"/>
      <c r="M284" s="8"/>
      <c r="N284" s="8"/>
      <c r="O284" s="8"/>
      <c r="P284" s="8"/>
      <c r="Q284" s="8"/>
      <c r="R284" s="8"/>
      <c r="S284" s="8"/>
      <c r="T284" s="8"/>
      <c r="U284" s="12"/>
      <c r="V284" s="12"/>
      <c r="W284" s="12"/>
      <c r="X284" s="12"/>
      <c r="Y284" s="12"/>
      <c r="Z284" s="12"/>
      <c r="AA284" s="12"/>
      <c r="AB284" s="12"/>
      <c r="AC284" s="12"/>
      <c r="AD284" s="12"/>
      <c r="AE284" s="12"/>
      <c r="AF284" s="12"/>
    </row>
    <row r="285" spans="1:32">
      <c r="A285" s="8"/>
      <c r="B285" s="8"/>
      <c r="C285" s="8"/>
      <c r="D285" s="8"/>
      <c r="E285" s="8"/>
      <c r="F285" s="8"/>
      <c r="G285" s="8"/>
      <c r="H285" s="8"/>
      <c r="I285" s="8"/>
      <c r="J285" s="8"/>
      <c r="K285" s="8"/>
      <c r="L285" s="8"/>
      <c r="M285" s="8"/>
      <c r="N285" s="8"/>
      <c r="O285" s="8"/>
      <c r="P285" s="8"/>
      <c r="Q285" s="8"/>
      <c r="R285" s="8"/>
      <c r="S285" s="8"/>
      <c r="T285" s="8"/>
      <c r="U285" s="12"/>
      <c r="V285" s="12"/>
      <c r="W285" s="12"/>
      <c r="X285" s="12"/>
      <c r="Y285" s="12"/>
      <c r="Z285" s="12"/>
      <c r="AA285" s="12"/>
      <c r="AB285" s="12"/>
      <c r="AC285" s="12"/>
      <c r="AD285" s="12"/>
      <c r="AE285" s="12"/>
      <c r="AF285" s="12"/>
    </row>
    <row r="286" spans="1:32">
      <c r="A286" s="8"/>
      <c r="B286" s="8"/>
      <c r="C286" s="8"/>
      <c r="D286" s="8"/>
      <c r="E286" s="8"/>
      <c r="F286" s="8"/>
      <c r="G286" s="8"/>
      <c r="H286" s="8"/>
      <c r="I286" s="8"/>
      <c r="J286" s="8"/>
      <c r="K286" s="8"/>
      <c r="L286" s="8"/>
      <c r="M286" s="8"/>
      <c r="N286" s="8"/>
      <c r="O286" s="8"/>
      <c r="P286" s="8"/>
      <c r="Q286" s="8"/>
      <c r="R286" s="8"/>
      <c r="S286" s="8"/>
      <c r="T286" s="8"/>
      <c r="U286" s="12"/>
      <c r="V286" s="12"/>
      <c r="W286" s="12"/>
      <c r="X286" s="12"/>
      <c r="Y286" s="12"/>
      <c r="Z286" s="12"/>
      <c r="AA286" s="12"/>
      <c r="AB286" s="12"/>
      <c r="AC286" s="12"/>
      <c r="AD286" s="12"/>
      <c r="AE286" s="12"/>
      <c r="AF286" s="12"/>
    </row>
    <row r="287" spans="1:32">
      <c r="A287" s="8"/>
      <c r="B287" s="8"/>
      <c r="C287" s="8"/>
      <c r="D287" s="8"/>
      <c r="E287" s="8"/>
      <c r="F287" s="8"/>
      <c r="G287" s="8"/>
      <c r="H287" s="8"/>
      <c r="I287" s="8"/>
      <c r="J287" s="8"/>
      <c r="K287" s="8"/>
      <c r="L287" s="8"/>
      <c r="M287" s="8"/>
      <c r="N287" s="8"/>
      <c r="O287" s="8"/>
      <c r="P287" s="8"/>
      <c r="Q287" s="8"/>
      <c r="R287" s="8"/>
      <c r="S287" s="8"/>
      <c r="T287" s="8"/>
      <c r="U287" s="12"/>
      <c r="V287" s="12"/>
      <c r="W287" s="12"/>
      <c r="X287" s="12"/>
      <c r="Y287" s="12"/>
      <c r="Z287" s="12"/>
      <c r="AA287" s="12"/>
      <c r="AB287" s="12"/>
      <c r="AC287" s="12"/>
      <c r="AD287" s="12"/>
      <c r="AE287" s="12"/>
      <c r="AF287" s="12"/>
    </row>
    <row r="288" spans="1:32">
      <c r="A288" s="8"/>
      <c r="B288" s="8"/>
      <c r="C288" s="8"/>
      <c r="D288" s="8"/>
      <c r="E288" s="8"/>
      <c r="F288" s="8"/>
      <c r="G288" s="8"/>
      <c r="H288" s="8"/>
      <c r="I288" s="8"/>
      <c r="J288" s="8"/>
      <c r="K288" s="8"/>
      <c r="L288" s="8"/>
      <c r="M288" s="8"/>
      <c r="N288" s="8"/>
      <c r="O288" s="8"/>
      <c r="P288" s="8"/>
      <c r="Q288" s="8"/>
      <c r="R288" s="8"/>
      <c r="S288" s="8"/>
      <c r="T288" s="8"/>
      <c r="U288" s="12"/>
      <c r="V288" s="12"/>
      <c r="W288" s="12"/>
      <c r="X288" s="12"/>
      <c r="Y288" s="12"/>
      <c r="Z288" s="12"/>
      <c r="AA288" s="12"/>
      <c r="AB288" s="12"/>
      <c r="AC288" s="12"/>
      <c r="AD288" s="12"/>
      <c r="AE288" s="12"/>
      <c r="AF288" s="12"/>
    </row>
    <row r="289" spans="1:32">
      <c r="A289" s="8"/>
      <c r="B289" s="8"/>
      <c r="C289" s="8"/>
      <c r="D289" s="8"/>
      <c r="E289" s="8"/>
      <c r="F289" s="8"/>
      <c r="G289" s="8"/>
      <c r="H289" s="8"/>
      <c r="I289" s="8"/>
      <c r="J289" s="8"/>
      <c r="K289" s="8"/>
      <c r="L289" s="8"/>
      <c r="M289" s="8"/>
      <c r="N289" s="8"/>
      <c r="O289" s="8"/>
      <c r="P289" s="8"/>
      <c r="Q289" s="8"/>
      <c r="R289" s="8"/>
      <c r="S289" s="8"/>
      <c r="T289" s="8"/>
      <c r="U289" s="12"/>
      <c r="V289" s="12"/>
      <c r="W289" s="12"/>
      <c r="X289" s="12"/>
      <c r="Y289" s="12"/>
      <c r="Z289" s="12"/>
      <c r="AA289" s="12"/>
      <c r="AB289" s="12"/>
      <c r="AC289" s="12"/>
      <c r="AD289" s="12"/>
      <c r="AE289" s="12"/>
      <c r="AF289" s="12"/>
    </row>
    <row r="290" spans="1:32">
      <c r="A290" s="8"/>
      <c r="B290" s="8"/>
      <c r="C290" s="8"/>
      <c r="D290" s="8"/>
      <c r="E290" s="8"/>
      <c r="F290" s="8"/>
      <c r="G290" s="8"/>
      <c r="H290" s="8"/>
      <c r="I290" s="8"/>
      <c r="J290" s="8"/>
      <c r="K290" s="8"/>
      <c r="L290" s="8"/>
      <c r="M290" s="8"/>
      <c r="N290" s="8"/>
      <c r="O290" s="8"/>
      <c r="P290" s="8"/>
      <c r="Q290" s="8"/>
      <c r="R290" s="8"/>
      <c r="S290" s="8"/>
      <c r="T290" s="8"/>
      <c r="U290" s="12"/>
      <c r="V290" s="12"/>
      <c r="W290" s="12"/>
      <c r="X290" s="12"/>
      <c r="Y290" s="12"/>
      <c r="Z290" s="12"/>
      <c r="AA290" s="12"/>
      <c r="AB290" s="12"/>
      <c r="AC290" s="12"/>
      <c r="AD290" s="12"/>
      <c r="AE290" s="12"/>
      <c r="AF290" s="12"/>
    </row>
    <row r="291" spans="1:32">
      <c r="A291" s="8"/>
      <c r="B291" s="8"/>
      <c r="C291" s="8"/>
      <c r="D291" s="8"/>
      <c r="E291" s="8"/>
      <c r="F291" s="8"/>
      <c r="G291" s="8"/>
      <c r="H291" s="8"/>
      <c r="I291" s="8"/>
      <c r="J291" s="8"/>
      <c r="K291" s="8"/>
      <c r="L291" s="8"/>
      <c r="M291" s="8"/>
      <c r="N291" s="8"/>
      <c r="O291" s="8"/>
      <c r="P291" s="8"/>
      <c r="Q291" s="8"/>
      <c r="R291" s="8"/>
      <c r="S291" s="8"/>
      <c r="T291" s="8"/>
      <c r="U291" s="12"/>
      <c r="V291" s="12"/>
      <c r="W291" s="12"/>
      <c r="X291" s="12"/>
      <c r="Y291" s="12"/>
      <c r="Z291" s="12"/>
      <c r="AA291" s="12"/>
      <c r="AB291" s="12"/>
      <c r="AC291" s="12"/>
      <c r="AD291" s="12"/>
      <c r="AE291" s="12"/>
      <c r="AF291" s="12"/>
    </row>
    <row r="292" spans="1:32">
      <c r="A292" s="8"/>
      <c r="B292" s="8"/>
      <c r="C292" s="8"/>
      <c r="D292" s="8"/>
      <c r="E292" s="8"/>
      <c r="F292" s="8"/>
      <c r="G292" s="8"/>
      <c r="H292" s="8"/>
      <c r="I292" s="8"/>
      <c r="J292" s="8"/>
      <c r="K292" s="8"/>
      <c r="L292" s="8"/>
      <c r="M292" s="8"/>
      <c r="N292" s="8"/>
      <c r="O292" s="8"/>
      <c r="P292" s="8"/>
      <c r="Q292" s="8"/>
      <c r="R292" s="8"/>
      <c r="S292" s="8"/>
      <c r="T292" s="8"/>
      <c r="U292" s="12"/>
      <c r="V292" s="12"/>
      <c r="W292" s="12"/>
      <c r="X292" s="12"/>
      <c r="Y292" s="12"/>
      <c r="Z292" s="12"/>
      <c r="AA292" s="12"/>
      <c r="AB292" s="12"/>
      <c r="AC292" s="12"/>
      <c r="AD292" s="12"/>
      <c r="AE292" s="12"/>
      <c r="AF292" s="12"/>
    </row>
    <row r="293" spans="1:32">
      <c r="A293" s="8"/>
      <c r="B293" s="8"/>
      <c r="C293" s="8"/>
      <c r="D293" s="8"/>
      <c r="E293" s="8"/>
      <c r="F293" s="8"/>
      <c r="G293" s="8"/>
      <c r="H293" s="8"/>
      <c r="I293" s="8"/>
      <c r="J293" s="8"/>
      <c r="K293" s="8"/>
      <c r="L293" s="8"/>
      <c r="M293" s="8"/>
      <c r="N293" s="8"/>
      <c r="O293" s="8"/>
      <c r="P293" s="8"/>
      <c r="Q293" s="8"/>
      <c r="R293" s="8"/>
      <c r="S293" s="8"/>
      <c r="T293" s="8"/>
      <c r="U293" s="12"/>
      <c r="V293" s="12"/>
      <c r="W293" s="12"/>
      <c r="X293" s="12"/>
      <c r="Y293" s="12"/>
      <c r="Z293" s="12"/>
      <c r="AA293" s="12"/>
      <c r="AB293" s="12"/>
      <c r="AC293" s="12"/>
      <c r="AD293" s="12"/>
      <c r="AE293" s="12"/>
      <c r="AF293" s="12"/>
    </row>
    <row r="294" spans="1:32">
      <c r="A294" s="8"/>
      <c r="B294" s="8"/>
      <c r="C294" s="8"/>
      <c r="D294" s="8"/>
      <c r="E294" s="8"/>
      <c r="F294" s="8"/>
      <c r="G294" s="8"/>
      <c r="H294" s="8"/>
      <c r="I294" s="8"/>
      <c r="J294" s="8"/>
      <c r="K294" s="8"/>
      <c r="L294" s="8"/>
      <c r="M294" s="8"/>
      <c r="N294" s="8"/>
      <c r="O294" s="8"/>
      <c r="P294" s="8"/>
      <c r="Q294" s="8"/>
      <c r="R294" s="8"/>
      <c r="S294" s="8"/>
      <c r="T294" s="8"/>
      <c r="U294" s="12"/>
      <c r="V294" s="12"/>
      <c r="W294" s="12"/>
      <c r="X294" s="12"/>
      <c r="Y294" s="12"/>
      <c r="Z294" s="12"/>
      <c r="AA294" s="12"/>
      <c r="AB294" s="12"/>
      <c r="AC294" s="12"/>
      <c r="AD294" s="12"/>
      <c r="AE294" s="12"/>
      <c r="AF294" s="12"/>
    </row>
    <row r="295" spans="1:32">
      <c r="A295" s="8"/>
      <c r="B295" s="8"/>
      <c r="C295" s="8"/>
      <c r="D295" s="8"/>
      <c r="E295" s="8"/>
      <c r="F295" s="8"/>
      <c r="G295" s="8"/>
      <c r="H295" s="8"/>
      <c r="I295" s="8"/>
      <c r="J295" s="8"/>
      <c r="K295" s="8"/>
      <c r="L295" s="8"/>
      <c r="M295" s="8"/>
      <c r="N295" s="8"/>
      <c r="O295" s="8"/>
      <c r="P295" s="8"/>
      <c r="Q295" s="8"/>
      <c r="R295" s="8"/>
      <c r="S295" s="8"/>
      <c r="T295" s="8"/>
      <c r="U295" s="12"/>
      <c r="V295" s="12"/>
      <c r="W295" s="12"/>
      <c r="X295" s="12"/>
      <c r="Y295" s="12"/>
      <c r="Z295" s="12"/>
      <c r="AA295" s="12"/>
      <c r="AB295" s="12"/>
      <c r="AC295" s="12"/>
      <c r="AD295" s="12"/>
      <c r="AE295" s="12"/>
      <c r="AF295" s="12"/>
    </row>
    <row r="296" spans="1:32">
      <c r="A296" s="8"/>
      <c r="B296" s="8"/>
      <c r="C296" s="8"/>
      <c r="D296" s="8"/>
      <c r="E296" s="8"/>
      <c r="F296" s="8"/>
      <c r="G296" s="8"/>
      <c r="H296" s="8"/>
      <c r="I296" s="8"/>
      <c r="J296" s="8"/>
      <c r="K296" s="8"/>
      <c r="L296" s="8"/>
      <c r="M296" s="8"/>
      <c r="N296" s="8"/>
      <c r="O296" s="8"/>
      <c r="P296" s="8"/>
      <c r="Q296" s="8"/>
      <c r="R296" s="8"/>
      <c r="S296" s="8"/>
      <c r="T296" s="8"/>
      <c r="U296" s="12"/>
      <c r="V296" s="12"/>
      <c r="W296" s="12"/>
      <c r="X296" s="12"/>
      <c r="Y296" s="12"/>
      <c r="Z296" s="12"/>
      <c r="AA296" s="12"/>
      <c r="AB296" s="12"/>
      <c r="AC296" s="12"/>
      <c r="AD296" s="12"/>
      <c r="AE296" s="12"/>
      <c r="AF296" s="12"/>
    </row>
    <row r="297" spans="1:32">
      <c r="A297" s="8"/>
      <c r="B297" s="8"/>
      <c r="C297" s="8"/>
      <c r="D297" s="8"/>
      <c r="E297" s="8"/>
      <c r="F297" s="8"/>
      <c r="G297" s="8"/>
      <c r="H297" s="8"/>
      <c r="I297" s="8"/>
      <c r="J297" s="8"/>
      <c r="K297" s="8"/>
      <c r="L297" s="8"/>
      <c r="M297" s="8"/>
      <c r="N297" s="8"/>
      <c r="O297" s="8"/>
      <c r="P297" s="8"/>
      <c r="Q297" s="8"/>
      <c r="R297" s="8"/>
      <c r="S297" s="8"/>
      <c r="T297" s="8"/>
      <c r="U297" s="12"/>
      <c r="V297" s="12"/>
      <c r="W297" s="12"/>
      <c r="X297" s="12"/>
      <c r="Y297" s="12"/>
      <c r="Z297" s="12"/>
      <c r="AA297" s="12"/>
      <c r="AB297" s="12"/>
      <c r="AC297" s="12"/>
      <c r="AD297" s="12"/>
      <c r="AE297" s="12"/>
      <c r="AF297" s="12"/>
    </row>
    <row r="298" spans="1:32">
      <c r="A298" s="8"/>
      <c r="B298" s="8"/>
      <c r="C298" s="8"/>
      <c r="D298" s="8"/>
      <c r="E298" s="8"/>
      <c r="F298" s="8"/>
      <c r="G298" s="8"/>
      <c r="H298" s="8"/>
      <c r="I298" s="8"/>
      <c r="J298" s="8"/>
      <c r="K298" s="8"/>
      <c r="L298" s="8"/>
      <c r="M298" s="8"/>
      <c r="N298" s="8"/>
      <c r="O298" s="8"/>
      <c r="P298" s="8"/>
      <c r="Q298" s="8"/>
      <c r="R298" s="8"/>
      <c r="S298" s="8"/>
      <c r="T298" s="8"/>
      <c r="U298" s="12"/>
      <c r="V298" s="12"/>
      <c r="W298" s="12"/>
      <c r="X298" s="12"/>
      <c r="Y298" s="12"/>
      <c r="Z298" s="12"/>
      <c r="AA298" s="12"/>
      <c r="AB298" s="12"/>
      <c r="AC298" s="12"/>
      <c r="AD298" s="12"/>
      <c r="AE298" s="12"/>
      <c r="AF298" s="12"/>
    </row>
    <row r="299" spans="1:32">
      <c r="A299" s="8"/>
      <c r="B299" s="8"/>
      <c r="C299" s="8"/>
      <c r="D299" s="8"/>
      <c r="E299" s="8"/>
      <c r="F299" s="8"/>
      <c r="G299" s="8"/>
      <c r="H299" s="8"/>
      <c r="I299" s="8"/>
      <c r="J299" s="8"/>
      <c r="K299" s="8"/>
      <c r="L299" s="8"/>
      <c r="M299" s="8"/>
      <c r="N299" s="8"/>
      <c r="O299" s="8"/>
      <c r="P299" s="8"/>
      <c r="Q299" s="8"/>
      <c r="R299" s="8"/>
      <c r="S299" s="8"/>
      <c r="T299" s="8"/>
      <c r="U299" s="12"/>
      <c r="V299" s="12"/>
      <c r="W299" s="12"/>
      <c r="X299" s="12"/>
      <c r="Y299" s="12"/>
      <c r="Z299" s="12"/>
      <c r="AA299" s="12"/>
      <c r="AB299" s="12"/>
      <c r="AC299" s="12"/>
      <c r="AD299" s="12"/>
      <c r="AE299" s="12"/>
      <c r="AF299" s="12"/>
    </row>
    <row r="300" spans="1:32">
      <c r="A300" s="8"/>
      <c r="B300" s="8"/>
      <c r="C300" s="8"/>
      <c r="D300" s="8"/>
      <c r="E300" s="8"/>
      <c r="F300" s="8"/>
      <c r="G300" s="8"/>
      <c r="H300" s="8"/>
      <c r="I300" s="8"/>
      <c r="J300" s="8"/>
      <c r="K300" s="8"/>
      <c r="L300" s="8"/>
      <c r="M300" s="8"/>
      <c r="N300" s="8"/>
      <c r="O300" s="8"/>
      <c r="P300" s="8"/>
      <c r="Q300" s="8"/>
      <c r="R300" s="8"/>
      <c r="S300" s="8"/>
      <c r="T300" s="8"/>
      <c r="U300" s="12"/>
      <c r="V300" s="12"/>
      <c r="W300" s="12"/>
      <c r="X300" s="12"/>
      <c r="Y300" s="12"/>
      <c r="Z300" s="12"/>
      <c r="AA300" s="12"/>
      <c r="AB300" s="12"/>
      <c r="AC300" s="12"/>
      <c r="AD300" s="12"/>
      <c r="AE300" s="12"/>
      <c r="AF300" s="12"/>
    </row>
    <row r="301" spans="1:32">
      <c r="A301" s="8"/>
      <c r="B301" s="8"/>
      <c r="C301" s="8"/>
      <c r="D301" s="8"/>
      <c r="E301" s="8"/>
      <c r="F301" s="8"/>
      <c r="G301" s="8"/>
      <c r="H301" s="8"/>
      <c r="I301" s="8"/>
      <c r="J301" s="8"/>
      <c r="K301" s="8"/>
      <c r="L301" s="8"/>
      <c r="M301" s="8"/>
      <c r="N301" s="8"/>
      <c r="O301" s="8"/>
      <c r="P301" s="8"/>
      <c r="Q301" s="8"/>
      <c r="R301" s="8"/>
      <c r="S301" s="8"/>
      <c r="T301" s="8"/>
      <c r="U301" s="12"/>
      <c r="V301" s="12"/>
      <c r="W301" s="12"/>
      <c r="X301" s="12"/>
      <c r="Y301" s="12"/>
      <c r="Z301" s="12"/>
      <c r="AA301" s="12"/>
      <c r="AB301" s="12"/>
      <c r="AC301" s="12"/>
      <c r="AD301" s="12"/>
      <c r="AE301" s="12"/>
      <c r="AF301" s="12"/>
    </row>
    <row r="302" spans="1:32">
      <c r="A302" s="8"/>
      <c r="B302" s="8"/>
      <c r="C302" s="8"/>
      <c r="D302" s="8"/>
      <c r="E302" s="8"/>
      <c r="F302" s="8"/>
      <c r="G302" s="8"/>
      <c r="H302" s="8"/>
      <c r="I302" s="8"/>
      <c r="J302" s="8"/>
      <c r="K302" s="8"/>
      <c r="L302" s="8"/>
      <c r="M302" s="8"/>
      <c r="N302" s="8"/>
      <c r="O302" s="8"/>
      <c r="P302" s="8"/>
      <c r="Q302" s="8"/>
      <c r="R302" s="8"/>
      <c r="S302" s="8"/>
      <c r="T302" s="8"/>
      <c r="U302" s="12"/>
      <c r="V302" s="12"/>
      <c r="W302" s="12"/>
      <c r="X302" s="12"/>
      <c r="Y302" s="12"/>
      <c r="Z302" s="12"/>
      <c r="AA302" s="12"/>
      <c r="AB302" s="12"/>
      <c r="AC302" s="12"/>
      <c r="AD302" s="12"/>
      <c r="AE302" s="12"/>
      <c r="AF302" s="12"/>
    </row>
    <row r="303" spans="1:32">
      <c r="A303" s="8"/>
      <c r="B303" s="8"/>
      <c r="C303" s="8"/>
      <c r="D303" s="8"/>
      <c r="E303" s="8"/>
      <c r="F303" s="8"/>
      <c r="G303" s="8"/>
      <c r="H303" s="8"/>
      <c r="I303" s="8"/>
      <c r="J303" s="8"/>
      <c r="K303" s="8"/>
      <c r="L303" s="8"/>
      <c r="M303" s="8"/>
      <c r="N303" s="8"/>
      <c r="O303" s="8"/>
      <c r="P303" s="8"/>
      <c r="Q303" s="8"/>
      <c r="R303" s="8"/>
      <c r="S303" s="8"/>
      <c r="T303" s="8"/>
      <c r="U303" s="12"/>
      <c r="V303" s="12"/>
      <c r="W303" s="12"/>
      <c r="X303" s="12"/>
      <c r="Y303" s="12"/>
      <c r="Z303" s="12"/>
      <c r="AA303" s="12"/>
      <c r="AB303" s="12"/>
      <c r="AC303" s="12"/>
      <c r="AD303" s="12"/>
      <c r="AE303" s="12"/>
      <c r="AF303" s="12"/>
    </row>
    <row r="304" spans="1:32">
      <c r="A304" s="8"/>
      <c r="B304" s="8"/>
      <c r="C304" s="8"/>
      <c r="D304" s="8"/>
      <c r="E304" s="8"/>
      <c r="F304" s="8"/>
      <c r="G304" s="8"/>
      <c r="H304" s="8"/>
      <c r="I304" s="8"/>
      <c r="J304" s="8"/>
      <c r="K304" s="8"/>
      <c r="L304" s="8"/>
      <c r="M304" s="8"/>
      <c r="N304" s="8"/>
      <c r="O304" s="8"/>
      <c r="P304" s="8"/>
      <c r="Q304" s="8"/>
      <c r="R304" s="8"/>
      <c r="S304" s="8"/>
      <c r="T304" s="8"/>
      <c r="U304" s="12"/>
      <c r="V304" s="12"/>
      <c r="W304" s="12"/>
      <c r="X304" s="12"/>
      <c r="Y304" s="12"/>
      <c r="Z304" s="12"/>
      <c r="AA304" s="12"/>
      <c r="AB304" s="12"/>
      <c r="AC304" s="12"/>
      <c r="AD304" s="12"/>
      <c r="AE304" s="12"/>
      <c r="AF304" s="12"/>
    </row>
    <row r="305" spans="1:32">
      <c r="A305" s="8"/>
      <c r="B305" s="8"/>
      <c r="C305" s="8"/>
      <c r="D305" s="8"/>
      <c r="E305" s="8"/>
      <c r="F305" s="8"/>
      <c r="G305" s="8"/>
      <c r="H305" s="8"/>
      <c r="I305" s="8"/>
      <c r="J305" s="8"/>
      <c r="K305" s="8"/>
      <c r="L305" s="8"/>
      <c r="M305" s="8"/>
      <c r="N305" s="8"/>
      <c r="O305" s="8"/>
      <c r="P305" s="8"/>
      <c r="Q305" s="8"/>
      <c r="R305" s="8"/>
      <c r="S305" s="8"/>
      <c r="T305" s="8"/>
      <c r="U305" s="12"/>
      <c r="V305" s="12"/>
      <c r="W305" s="12"/>
      <c r="X305" s="12"/>
      <c r="Y305" s="12"/>
      <c r="Z305" s="12"/>
      <c r="AA305" s="12"/>
      <c r="AB305" s="12"/>
      <c r="AC305" s="12"/>
      <c r="AD305" s="12"/>
      <c r="AE305" s="12"/>
      <c r="AF305" s="12"/>
    </row>
    <row r="306" spans="1:32">
      <c r="A306" s="8"/>
      <c r="B306" s="8"/>
      <c r="C306" s="8"/>
      <c r="D306" s="8"/>
      <c r="E306" s="8"/>
      <c r="F306" s="8"/>
      <c r="G306" s="8"/>
      <c r="H306" s="8"/>
      <c r="I306" s="8"/>
      <c r="J306" s="8"/>
      <c r="K306" s="8"/>
      <c r="L306" s="8"/>
      <c r="M306" s="8"/>
      <c r="N306" s="8"/>
      <c r="O306" s="8"/>
      <c r="P306" s="8"/>
      <c r="Q306" s="8"/>
      <c r="R306" s="8"/>
      <c r="S306" s="8"/>
      <c r="T306" s="8"/>
      <c r="U306" s="12"/>
      <c r="V306" s="12"/>
      <c r="W306" s="12"/>
      <c r="X306" s="12"/>
      <c r="Y306" s="12"/>
      <c r="Z306" s="12"/>
      <c r="AA306" s="12"/>
      <c r="AB306" s="12"/>
      <c r="AC306" s="12"/>
      <c r="AD306" s="12"/>
      <c r="AE306" s="12"/>
      <c r="AF306" s="12"/>
    </row>
    <row r="307" spans="1:32">
      <c r="A307" s="8"/>
      <c r="B307" s="8"/>
      <c r="C307" s="8"/>
      <c r="D307" s="8"/>
      <c r="E307" s="8"/>
      <c r="F307" s="8"/>
      <c r="G307" s="8"/>
      <c r="H307" s="8"/>
      <c r="I307" s="8"/>
      <c r="J307" s="8"/>
      <c r="K307" s="8"/>
      <c r="L307" s="8"/>
      <c r="M307" s="8"/>
      <c r="N307" s="8"/>
      <c r="O307" s="8"/>
      <c r="P307" s="8"/>
      <c r="Q307" s="8"/>
      <c r="R307" s="8"/>
      <c r="S307" s="8"/>
      <c r="T307" s="8"/>
      <c r="U307" s="12"/>
      <c r="V307" s="12"/>
      <c r="W307" s="12"/>
      <c r="X307" s="12"/>
      <c r="Y307" s="12"/>
      <c r="Z307" s="12"/>
      <c r="AA307" s="12"/>
      <c r="AB307" s="12"/>
      <c r="AC307" s="12"/>
      <c r="AD307" s="12"/>
      <c r="AE307" s="12"/>
      <c r="AF307" s="12"/>
    </row>
    <row r="308" spans="1:32">
      <c r="A308" s="8"/>
      <c r="B308" s="8"/>
      <c r="C308" s="8"/>
      <c r="D308" s="8"/>
      <c r="E308" s="8"/>
      <c r="F308" s="8"/>
      <c r="G308" s="8"/>
      <c r="H308" s="8"/>
      <c r="I308" s="8"/>
      <c r="J308" s="8"/>
      <c r="K308" s="8"/>
      <c r="L308" s="8"/>
      <c r="M308" s="8"/>
      <c r="N308" s="8"/>
      <c r="O308" s="8"/>
      <c r="P308" s="8"/>
      <c r="Q308" s="8"/>
      <c r="R308" s="8"/>
      <c r="S308" s="8"/>
      <c r="T308" s="8"/>
      <c r="U308" s="12"/>
      <c r="V308" s="12"/>
      <c r="W308" s="12"/>
      <c r="X308" s="12"/>
      <c r="Y308" s="12"/>
      <c r="Z308" s="12"/>
      <c r="AA308" s="12"/>
      <c r="AB308" s="12"/>
      <c r="AC308" s="12"/>
      <c r="AD308" s="12"/>
      <c r="AE308" s="12"/>
      <c r="AF308" s="12"/>
    </row>
    <row r="309" spans="1:32">
      <c r="A309" s="8"/>
      <c r="B309" s="8"/>
      <c r="C309" s="8"/>
      <c r="D309" s="8"/>
      <c r="E309" s="8"/>
      <c r="F309" s="8"/>
      <c r="G309" s="8"/>
      <c r="H309" s="8"/>
      <c r="I309" s="8"/>
      <c r="J309" s="8"/>
      <c r="K309" s="8"/>
      <c r="L309" s="8"/>
      <c r="M309" s="8"/>
      <c r="N309" s="8"/>
      <c r="O309" s="8"/>
      <c r="P309" s="8"/>
      <c r="Q309" s="8"/>
      <c r="R309" s="8"/>
      <c r="S309" s="8"/>
      <c r="T309" s="8"/>
      <c r="U309" s="12"/>
      <c r="V309" s="12"/>
      <c r="W309" s="12"/>
      <c r="X309" s="12"/>
      <c r="Y309" s="12"/>
      <c r="Z309" s="12"/>
      <c r="AA309" s="12"/>
      <c r="AB309" s="12"/>
      <c r="AC309" s="12"/>
      <c r="AD309" s="12"/>
      <c r="AE309" s="12"/>
      <c r="AF309" s="12"/>
    </row>
    <row r="310" spans="1:32">
      <c r="A310" s="8"/>
      <c r="B310" s="8"/>
      <c r="C310" s="8"/>
      <c r="D310" s="8"/>
      <c r="E310" s="8"/>
      <c r="F310" s="8"/>
      <c r="G310" s="8"/>
      <c r="H310" s="8"/>
      <c r="I310" s="8"/>
      <c r="J310" s="8"/>
      <c r="K310" s="8"/>
      <c r="L310" s="8"/>
      <c r="M310" s="8"/>
      <c r="N310" s="8"/>
      <c r="O310" s="8"/>
      <c r="P310" s="8"/>
      <c r="Q310" s="8"/>
      <c r="R310" s="8"/>
      <c r="S310" s="8"/>
      <c r="T310" s="8"/>
      <c r="U310" s="12"/>
      <c r="V310" s="12"/>
      <c r="W310" s="12"/>
      <c r="X310" s="12"/>
      <c r="Y310" s="12"/>
      <c r="Z310" s="12"/>
      <c r="AA310" s="12"/>
      <c r="AB310" s="12"/>
      <c r="AC310" s="12"/>
      <c r="AD310" s="12"/>
      <c r="AE310" s="12"/>
      <c r="AF310" s="12"/>
    </row>
    <row r="311" spans="1:32">
      <c r="A311" s="8"/>
      <c r="B311" s="8"/>
      <c r="C311" s="8"/>
      <c r="D311" s="8"/>
      <c r="E311" s="8"/>
      <c r="F311" s="8"/>
      <c r="G311" s="8"/>
      <c r="H311" s="8"/>
      <c r="I311" s="8"/>
      <c r="J311" s="8"/>
      <c r="K311" s="8"/>
      <c r="L311" s="8"/>
      <c r="M311" s="8"/>
      <c r="N311" s="8"/>
      <c r="O311" s="8"/>
      <c r="P311" s="8"/>
      <c r="Q311" s="8"/>
      <c r="R311" s="8"/>
      <c r="S311" s="8"/>
      <c r="T311" s="8"/>
      <c r="U311" s="12"/>
      <c r="V311" s="12"/>
      <c r="W311" s="12"/>
      <c r="X311" s="12"/>
      <c r="Y311" s="12"/>
      <c r="Z311" s="12"/>
      <c r="AA311" s="12"/>
      <c r="AB311" s="12"/>
      <c r="AC311" s="12"/>
      <c r="AD311" s="12"/>
      <c r="AE311" s="12"/>
      <c r="AF311" s="12"/>
    </row>
    <row r="312" spans="1:32">
      <c r="A312" s="8"/>
      <c r="B312" s="8"/>
      <c r="C312" s="8"/>
      <c r="D312" s="8"/>
      <c r="E312" s="8"/>
      <c r="F312" s="8"/>
      <c r="G312" s="8"/>
      <c r="H312" s="8"/>
      <c r="I312" s="8"/>
      <c r="J312" s="8"/>
      <c r="K312" s="8"/>
      <c r="L312" s="8"/>
      <c r="M312" s="8"/>
      <c r="N312" s="8"/>
      <c r="O312" s="8"/>
      <c r="P312" s="8"/>
      <c r="Q312" s="8"/>
      <c r="R312" s="8"/>
      <c r="S312" s="8"/>
      <c r="T312" s="8"/>
      <c r="U312" s="12"/>
      <c r="V312" s="12"/>
      <c r="W312" s="12"/>
      <c r="X312" s="12"/>
      <c r="Y312" s="12"/>
      <c r="Z312" s="12"/>
      <c r="AA312" s="12"/>
      <c r="AB312" s="12"/>
      <c r="AC312" s="12"/>
      <c r="AD312" s="12"/>
      <c r="AE312" s="12"/>
      <c r="AF312" s="12"/>
    </row>
    <row r="313" spans="1:32">
      <c r="A313" s="8"/>
      <c r="B313" s="8"/>
      <c r="C313" s="8"/>
      <c r="D313" s="8"/>
      <c r="E313" s="8"/>
      <c r="F313" s="8"/>
      <c r="G313" s="8"/>
      <c r="H313" s="8"/>
      <c r="I313" s="8"/>
      <c r="J313" s="8"/>
      <c r="K313" s="8"/>
      <c r="L313" s="8"/>
      <c r="M313" s="8"/>
      <c r="N313" s="8"/>
      <c r="O313" s="8"/>
      <c r="P313" s="8"/>
      <c r="Q313" s="8"/>
      <c r="R313" s="8"/>
      <c r="S313" s="8"/>
      <c r="T313" s="8"/>
      <c r="U313" s="12"/>
      <c r="V313" s="12"/>
      <c r="W313" s="12"/>
      <c r="X313" s="12"/>
      <c r="Y313" s="12"/>
      <c r="Z313" s="12"/>
      <c r="AA313" s="12"/>
      <c r="AB313" s="12"/>
      <c r="AC313" s="12"/>
      <c r="AD313" s="12"/>
      <c r="AE313" s="12"/>
      <c r="AF313" s="12"/>
    </row>
    <row r="314" spans="1:32">
      <c r="A314" s="8"/>
      <c r="B314" s="8"/>
      <c r="C314" s="8"/>
      <c r="D314" s="8"/>
      <c r="E314" s="8"/>
      <c r="F314" s="8"/>
      <c r="G314" s="8"/>
      <c r="H314" s="8"/>
      <c r="I314" s="8"/>
      <c r="J314" s="8"/>
      <c r="K314" s="8"/>
      <c r="L314" s="8"/>
      <c r="M314" s="8"/>
      <c r="N314" s="8"/>
      <c r="O314" s="8"/>
      <c r="P314" s="8"/>
      <c r="Q314" s="8"/>
      <c r="R314" s="8"/>
      <c r="S314" s="8"/>
      <c r="T314" s="8"/>
      <c r="U314" s="12"/>
      <c r="V314" s="12"/>
      <c r="W314" s="12"/>
      <c r="X314" s="12"/>
      <c r="Y314" s="12"/>
      <c r="Z314" s="12"/>
      <c r="AA314" s="12"/>
      <c r="AB314" s="12"/>
      <c r="AC314" s="12"/>
      <c r="AD314" s="12"/>
      <c r="AE314" s="12"/>
      <c r="AF314" s="12"/>
    </row>
    <row r="315" spans="1:32">
      <c r="A315" s="8"/>
      <c r="B315" s="8"/>
      <c r="C315" s="8"/>
      <c r="D315" s="8"/>
      <c r="E315" s="8"/>
      <c r="F315" s="8"/>
      <c r="G315" s="8"/>
      <c r="H315" s="8"/>
      <c r="I315" s="8"/>
      <c r="J315" s="8"/>
      <c r="K315" s="8"/>
      <c r="L315" s="8"/>
      <c r="M315" s="8"/>
      <c r="N315" s="8"/>
      <c r="O315" s="8"/>
      <c r="P315" s="8"/>
      <c r="Q315" s="8"/>
      <c r="R315" s="8"/>
      <c r="S315" s="8"/>
      <c r="T315" s="8"/>
      <c r="U315" s="12"/>
      <c r="V315" s="12"/>
      <c r="W315" s="12"/>
      <c r="X315" s="12"/>
      <c r="Y315" s="12"/>
      <c r="Z315" s="12"/>
      <c r="AA315" s="12"/>
      <c r="AB315" s="12"/>
      <c r="AC315" s="12"/>
      <c r="AD315" s="12"/>
      <c r="AE315" s="12"/>
      <c r="AF315" s="12"/>
    </row>
    <row r="316" spans="1:32">
      <c r="A316" s="8"/>
      <c r="B316" s="8"/>
      <c r="C316" s="8"/>
      <c r="D316" s="8"/>
      <c r="E316" s="8"/>
      <c r="F316" s="8"/>
      <c r="G316" s="8"/>
      <c r="H316" s="8"/>
      <c r="I316" s="8"/>
      <c r="J316" s="8"/>
      <c r="K316" s="8"/>
      <c r="L316" s="8"/>
      <c r="M316" s="8"/>
      <c r="N316" s="8"/>
      <c r="O316" s="8"/>
      <c r="P316" s="8"/>
      <c r="Q316" s="8"/>
      <c r="R316" s="8"/>
      <c r="S316" s="8"/>
      <c r="T316" s="8"/>
      <c r="U316" s="12"/>
      <c r="V316" s="12"/>
      <c r="W316" s="12"/>
      <c r="X316" s="12"/>
      <c r="Y316" s="12"/>
      <c r="Z316" s="12"/>
      <c r="AA316" s="12"/>
      <c r="AB316" s="12"/>
      <c r="AC316" s="12"/>
      <c r="AD316" s="12"/>
      <c r="AE316" s="12"/>
      <c r="AF316" s="12"/>
    </row>
    <row r="317" spans="1:32">
      <c r="A317" s="8"/>
      <c r="B317" s="8"/>
      <c r="C317" s="8"/>
      <c r="D317" s="8"/>
      <c r="E317" s="8"/>
      <c r="F317" s="8"/>
      <c r="G317" s="8"/>
      <c r="H317" s="8"/>
      <c r="I317" s="8"/>
      <c r="J317" s="8"/>
      <c r="K317" s="8"/>
      <c r="L317" s="8"/>
      <c r="M317" s="8"/>
      <c r="N317" s="8"/>
      <c r="O317" s="8"/>
      <c r="P317" s="8"/>
      <c r="Q317" s="8"/>
      <c r="R317" s="8"/>
      <c r="S317" s="8"/>
      <c r="T317" s="8"/>
      <c r="U317" s="12"/>
      <c r="V317" s="12"/>
      <c r="W317" s="12"/>
      <c r="X317" s="12"/>
      <c r="Y317" s="12"/>
      <c r="Z317" s="12"/>
      <c r="AA317" s="12"/>
      <c r="AB317" s="12"/>
      <c r="AC317" s="12"/>
      <c r="AD317" s="12"/>
      <c r="AE317" s="12"/>
      <c r="AF317" s="12"/>
    </row>
    <row r="318" spans="1:32">
      <c r="A318" s="8"/>
      <c r="B318" s="8"/>
      <c r="C318" s="8"/>
      <c r="D318" s="8"/>
      <c r="E318" s="8"/>
      <c r="F318" s="8"/>
      <c r="G318" s="8"/>
      <c r="H318" s="8"/>
      <c r="I318" s="8"/>
      <c r="J318" s="8"/>
      <c r="K318" s="8"/>
      <c r="L318" s="8"/>
      <c r="M318" s="8"/>
      <c r="N318" s="8"/>
      <c r="O318" s="8"/>
      <c r="P318" s="8"/>
      <c r="Q318" s="8"/>
      <c r="R318" s="8"/>
      <c r="S318" s="8"/>
      <c r="T318" s="8"/>
      <c r="U318" s="12"/>
      <c r="V318" s="12"/>
      <c r="W318" s="12"/>
      <c r="X318" s="12"/>
      <c r="Y318" s="12"/>
      <c r="Z318" s="12"/>
      <c r="AA318" s="12"/>
      <c r="AB318" s="12"/>
      <c r="AC318" s="12"/>
      <c r="AD318" s="12"/>
      <c r="AE318" s="12"/>
      <c r="AF318" s="12"/>
    </row>
    <row r="319" spans="1:32">
      <c r="A319" s="8"/>
      <c r="B319" s="8"/>
      <c r="C319" s="8"/>
      <c r="D319" s="8"/>
      <c r="E319" s="8"/>
      <c r="F319" s="8"/>
      <c r="G319" s="8"/>
      <c r="H319" s="8"/>
      <c r="I319" s="8"/>
      <c r="J319" s="8"/>
      <c r="K319" s="8"/>
      <c r="L319" s="8"/>
      <c r="M319" s="8"/>
      <c r="N319" s="8"/>
      <c r="O319" s="8"/>
      <c r="P319" s="8"/>
      <c r="Q319" s="8"/>
      <c r="R319" s="8"/>
      <c r="S319" s="8"/>
      <c r="T319" s="8"/>
      <c r="U319" s="12"/>
      <c r="V319" s="12"/>
      <c r="W319" s="12"/>
      <c r="X319" s="12"/>
      <c r="Y319" s="12"/>
      <c r="Z319" s="12"/>
      <c r="AA319" s="12"/>
      <c r="AB319" s="12"/>
      <c r="AC319" s="12"/>
      <c r="AD319" s="12"/>
      <c r="AE319" s="12"/>
      <c r="AF319" s="12"/>
    </row>
    <row r="320" spans="1:32">
      <c r="A320" s="8"/>
      <c r="B320" s="8"/>
      <c r="C320" s="8"/>
      <c r="D320" s="8"/>
      <c r="E320" s="8"/>
      <c r="F320" s="8"/>
      <c r="G320" s="8"/>
      <c r="H320" s="8"/>
      <c r="I320" s="8"/>
      <c r="J320" s="8"/>
      <c r="K320" s="8"/>
      <c r="L320" s="8"/>
      <c r="M320" s="8"/>
      <c r="N320" s="8"/>
      <c r="O320" s="8"/>
      <c r="P320" s="8"/>
      <c r="Q320" s="8"/>
      <c r="R320" s="8"/>
      <c r="S320" s="8"/>
      <c r="T320" s="8"/>
      <c r="U320" s="12"/>
      <c r="V320" s="12"/>
      <c r="W320" s="12"/>
      <c r="X320" s="12"/>
      <c r="Y320" s="12"/>
      <c r="Z320" s="12"/>
      <c r="AA320" s="12"/>
      <c r="AB320" s="12"/>
      <c r="AC320" s="12"/>
      <c r="AD320" s="12"/>
      <c r="AE320" s="12"/>
      <c r="AF320" s="12"/>
    </row>
    <row r="321" spans="1:32">
      <c r="A321" s="8"/>
      <c r="B321" s="8"/>
      <c r="C321" s="8"/>
      <c r="D321" s="8"/>
      <c r="E321" s="8"/>
      <c r="F321" s="8"/>
      <c r="G321" s="8"/>
      <c r="H321" s="8"/>
      <c r="I321" s="8"/>
      <c r="J321" s="8"/>
      <c r="K321" s="8"/>
      <c r="L321" s="8"/>
      <c r="M321" s="8"/>
      <c r="N321" s="8"/>
      <c r="O321" s="8"/>
      <c r="P321" s="8"/>
      <c r="Q321" s="8"/>
      <c r="R321" s="8"/>
      <c r="S321" s="8"/>
      <c r="T321" s="8"/>
      <c r="U321" s="12"/>
      <c r="V321" s="12"/>
      <c r="W321" s="12"/>
      <c r="X321" s="12"/>
      <c r="Y321" s="12"/>
      <c r="Z321" s="12"/>
      <c r="AA321" s="12"/>
      <c r="AB321" s="12"/>
      <c r="AC321" s="12"/>
      <c r="AD321" s="12"/>
      <c r="AE321" s="12"/>
      <c r="AF321" s="12"/>
    </row>
    <row r="322" spans="1:32">
      <c r="A322" s="8"/>
      <c r="B322" s="8"/>
      <c r="C322" s="8"/>
      <c r="D322" s="8"/>
      <c r="E322" s="8"/>
      <c r="F322" s="8"/>
      <c r="G322" s="8"/>
      <c r="H322" s="8"/>
      <c r="I322" s="8"/>
      <c r="J322" s="8"/>
      <c r="K322" s="8"/>
      <c r="L322" s="8"/>
      <c r="M322" s="8"/>
      <c r="N322" s="8"/>
      <c r="O322" s="8"/>
      <c r="P322" s="8"/>
      <c r="Q322" s="8"/>
      <c r="R322" s="8"/>
      <c r="S322" s="8"/>
      <c r="T322" s="8"/>
      <c r="U322" s="12"/>
      <c r="V322" s="12"/>
      <c r="W322" s="12"/>
      <c r="X322" s="12"/>
      <c r="Y322" s="12"/>
      <c r="Z322" s="12"/>
      <c r="AA322" s="12"/>
      <c r="AB322" s="12"/>
      <c r="AC322" s="12"/>
      <c r="AD322" s="12"/>
      <c r="AE322" s="12"/>
      <c r="AF322" s="12"/>
    </row>
    <row r="323" spans="1:32">
      <c r="A323" s="8"/>
      <c r="B323" s="8"/>
      <c r="C323" s="8"/>
      <c r="D323" s="8"/>
      <c r="E323" s="8"/>
      <c r="F323" s="8"/>
      <c r="G323" s="8"/>
      <c r="H323" s="8"/>
      <c r="I323" s="8"/>
      <c r="J323" s="8"/>
      <c r="K323" s="8"/>
      <c r="L323" s="8"/>
      <c r="M323" s="8"/>
      <c r="N323" s="8"/>
      <c r="O323" s="8"/>
      <c r="P323" s="8"/>
      <c r="Q323" s="8"/>
      <c r="R323" s="8"/>
      <c r="S323" s="8"/>
      <c r="T323" s="8"/>
      <c r="U323" s="12"/>
      <c r="V323" s="12"/>
      <c r="W323" s="12"/>
      <c r="X323" s="12"/>
      <c r="Y323" s="12"/>
      <c r="Z323" s="12"/>
      <c r="AA323" s="12"/>
      <c r="AB323" s="12"/>
      <c r="AC323" s="12"/>
      <c r="AD323" s="12"/>
      <c r="AE323" s="12"/>
      <c r="AF323" s="12"/>
    </row>
    <row r="324" spans="1:32">
      <c r="A324" s="8"/>
      <c r="B324" s="8"/>
      <c r="C324" s="8"/>
      <c r="D324" s="8"/>
      <c r="E324" s="8"/>
      <c r="F324" s="8"/>
      <c r="G324" s="8"/>
      <c r="H324" s="8"/>
      <c r="I324" s="8"/>
      <c r="J324" s="8"/>
      <c r="K324" s="8"/>
      <c r="L324" s="8"/>
      <c r="M324" s="8"/>
      <c r="N324" s="8"/>
      <c r="O324" s="8"/>
      <c r="P324" s="8"/>
      <c r="Q324" s="8"/>
      <c r="R324" s="8"/>
      <c r="S324" s="8"/>
      <c r="T324" s="8"/>
      <c r="U324" s="12"/>
      <c r="V324" s="12"/>
      <c r="W324" s="12"/>
      <c r="X324" s="12"/>
      <c r="Y324" s="12"/>
      <c r="Z324" s="12"/>
      <c r="AA324" s="12"/>
      <c r="AB324" s="12"/>
      <c r="AC324" s="12"/>
      <c r="AD324" s="12"/>
      <c r="AE324" s="12"/>
      <c r="AF324" s="12"/>
    </row>
    <row r="325" spans="1:32">
      <c r="A325" s="8"/>
      <c r="B325" s="8"/>
      <c r="C325" s="8"/>
      <c r="D325" s="8"/>
      <c r="E325" s="8"/>
      <c r="F325" s="8"/>
      <c r="G325" s="8"/>
      <c r="H325" s="8"/>
      <c r="I325" s="8"/>
      <c r="J325" s="8"/>
      <c r="K325" s="8"/>
      <c r="L325" s="8"/>
      <c r="M325" s="8"/>
      <c r="N325" s="8"/>
      <c r="O325" s="8"/>
      <c r="P325" s="8"/>
      <c r="Q325" s="8"/>
      <c r="R325" s="8"/>
      <c r="S325" s="8"/>
      <c r="T325" s="8"/>
      <c r="U325" s="12"/>
      <c r="V325" s="12"/>
      <c r="W325" s="12"/>
      <c r="X325" s="12"/>
      <c r="Y325" s="12"/>
      <c r="Z325" s="12"/>
      <c r="AA325" s="12"/>
      <c r="AB325" s="12"/>
      <c r="AC325" s="12"/>
      <c r="AD325" s="12"/>
      <c r="AE325" s="12"/>
      <c r="AF325" s="12"/>
    </row>
    <row r="326" spans="1:32">
      <c r="A326" s="8"/>
      <c r="B326" s="8"/>
      <c r="C326" s="8"/>
      <c r="D326" s="8"/>
      <c r="E326" s="8"/>
      <c r="F326" s="8"/>
      <c r="G326" s="8"/>
      <c r="H326" s="8"/>
      <c r="I326" s="8"/>
      <c r="J326" s="8"/>
      <c r="K326" s="8"/>
      <c r="L326" s="8"/>
      <c r="M326" s="8"/>
      <c r="N326" s="8"/>
      <c r="O326" s="8"/>
      <c r="P326" s="8"/>
      <c r="Q326" s="8"/>
      <c r="R326" s="8"/>
      <c r="S326" s="8"/>
      <c r="T326" s="8"/>
      <c r="U326" s="12"/>
      <c r="V326" s="12"/>
      <c r="W326" s="12"/>
      <c r="X326" s="12"/>
      <c r="Y326" s="12"/>
      <c r="Z326" s="12"/>
      <c r="AA326" s="12"/>
      <c r="AB326" s="12"/>
      <c r="AC326" s="12"/>
      <c r="AD326" s="12"/>
      <c r="AE326" s="12"/>
      <c r="AF326" s="12"/>
    </row>
    <row r="327" spans="1:32">
      <c r="A327" s="8"/>
      <c r="B327" s="8"/>
      <c r="C327" s="8"/>
      <c r="D327" s="8"/>
      <c r="E327" s="8"/>
      <c r="F327" s="8"/>
      <c r="G327" s="8"/>
      <c r="H327" s="8"/>
      <c r="I327" s="8"/>
      <c r="J327" s="8"/>
      <c r="K327" s="8"/>
      <c r="L327" s="8"/>
      <c r="M327" s="8"/>
      <c r="N327" s="8"/>
      <c r="O327" s="8"/>
      <c r="P327" s="8"/>
      <c r="Q327" s="8"/>
      <c r="R327" s="8"/>
      <c r="S327" s="8"/>
      <c r="T327" s="8"/>
      <c r="U327" s="12"/>
      <c r="V327" s="12"/>
      <c r="W327" s="12"/>
      <c r="X327" s="12"/>
      <c r="Y327" s="12"/>
      <c r="Z327" s="12"/>
      <c r="AA327" s="12"/>
      <c r="AB327" s="12"/>
      <c r="AC327" s="12"/>
      <c r="AD327" s="12"/>
      <c r="AE327" s="12"/>
      <c r="AF327" s="12"/>
    </row>
    <row r="328" spans="1:32">
      <c r="A328" s="8"/>
      <c r="B328" s="8"/>
      <c r="C328" s="8"/>
      <c r="D328" s="8"/>
      <c r="E328" s="8"/>
      <c r="F328" s="8"/>
      <c r="G328" s="8"/>
      <c r="H328" s="8"/>
      <c r="I328" s="8"/>
      <c r="J328" s="8"/>
      <c r="K328" s="8"/>
      <c r="L328" s="8"/>
      <c r="M328" s="8"/>
      <c r="N328" s="8"/>
      <c r="O328" s="8"/>
      <c r="P328" s="8"/>
      <c r="Q328" s="8"/>
      <c r="R328" s="8"/>
      <c r="S328" s="8"/>
      <c r="T328" s="8"/>
      <c r="U328" s="12"/>
      <c r="V328" s="12"/>
      <c r="W328" s="12"/>
      <c r="X328" s="12"/>
      <c r="Y328" s="12"/>
      <c r="Z328" s="12"/>
      <c r="AA328" s="12"/>
      <c r="AB328" s="12"/>
      <c r="AC328" s="12"/>
      <c r="AD328" s="12"/>
      <c r="AE328" s="12"/>
      <c r="AF328" s="12"/>
    </row>
    <row r="329" spans="1:32">
      <c r="A329" s="8"/>
      <c r="B329" s="8"/>
      <c r="C329" s="8"/>
      <c r="D329" s="8"/>
      <c r="E329" s="8"/>
      <c r="F329" s="8"/>
      <c r="G329" s="8"/>
      <c r="H329" s="8"/>
      <c r="I329" s="8"/>
      <c r="J329" s="8"/>
      <c r="K329" s="8"/>
      <c r="L329" s="8"/>
      <c r="M329" s="8"/>
      <c r="N329" s="8"/>
      <c r="O329" s="8"/>
      <c r="P329" s="8"/>
      <c r="Q329" s="8"/>
      <c r="R329" s="8"/>
      <c r="S329" s="8"/>
      <c r="T329" s="8"/>
      <c r="U329" s="12"/>
      <c r="V329" s="12"/>
      <c r="W329" s="12"/>
      <c r="X329" s="12"/>
      <c r="Y329" s="12"/>
      <c r="Z329" s="12"/>
      <c r="AA329" s="12"/>
      <c r="AB329" s="12"/>
      <c r="AC329" s="12"/>
      <c r="AD329" s="12"/>
      <c r="AE329" s="12"/>
      <c r="AF329" s="12"/>
    </row>
    <row r="330" spans="1:32">
      <c r="A330" s="8"/>
      <c r="B330" s="8"/>
      <c r="C330" s="8"/>
      <c r="D330" s="8"/>
      <c r="E330" s="8"/>
      <c r="F330" s="8"/>
      <c r="G330" s="8"/>
      <c r="H330" s="8"/>
      <c r="I330" s="8"/>
      <c r="J330" s="8"/>
      <c r="K330" s="8"/>
      <c r="L330" s="8"/>
      <c r="M330" s="8"/>
      <c r="N330" s="8"/>
      <c r="O330" s="8"/>
      <c r="P330" s="8"/>
      <c r="Q330" s="8"/>
      <c r="R330" s="8"/>
      <c r="S330" s="8"/>
      <c r="T330" s="8"/>
      <c r="U330" s="12"/>
      <c r="V330" s="12"/>
      <c r="W330" s="12"/>
      <c r="X330" s="12"/>
      <c r="Y330" s="12"/>
      <c r="Z330" s="12"/>
      <c r="AA330" s="12"/>
      <c r="AB330" s="12"/>
      <c r="AC330" s="12"/>
      <c r="AD330" s="12"/>
      <c r="AE330" s="12"/>
      <c r="AF330" s="12"/>
    </row>
    <row r="331" spans="1:32">
      <c r="A331" s="8"/>
      <c r="B331" s="8"/>
      <c r="C331" s="8"/>
      <c r="D331" s="8"/>
      <c r="E331" s="8"/>
      <c r="F331" s="8"/>
      <c r="G331" s="8"/>
      <c r="H331" s="8"/>
      <c r="I331" s="8"/>
      <c r="J331" s="8"/>
      <c r="K331" s="8"/>
      <c r="L331" s="8"/>
      <c r="M331" s="8"/>
      <c r="N331" s="8"/>
      <c r="O331" s="8"/>
      <c r="P331" s="8"/>
      <c r="Q331" s="8"/>
      <c r="R331" s="8"/>
      <c r="S331" s="8"/>
      <c r="T331" s="8"/>
      <c r="U331" s="12"/>
      <c r="V331" s="12"/>
      <c r="W331" s="12"/>
      <c r="X331" s="12"/>
      <c r="Y331" s="12"/>
      <c r="Z331" s="12"/>
      <c r="AA331" s="12"/>
      <c r="AB331" s="12"/>
      <c r="AC331" s="12"/>
      <c r="AD331" s="12"/>
      <c r="AE331" s="12"/>
      <c r="AF331" s="12"/>
    </row>
    <row r="332" spans="1:32">
      <c r="A332" s="8"/>
      <c r="B332" s="8"/>
      <c r="C332" s="8"/>
      <c r="D332" s="8"/>
      <c r="E332" s="8"/>
      <c r="F332" s="8"/>
      <c r="G332" s="8"/>
      <c r="H332" s="8"/>
      <c r="I332" s="8"/>
      <c r="J332" s="8"/>
      <c r="K332" s="8"/>
      <c r="L332" s="8"/>
      <c r="M332" s="8"/>
      <c r="N332" s="8"/>
      <c r="O332" s="8"/>
      <c r="P332" s="8"/>
      <c r="Q332" s="8"/>
      <c r="R332" s="8"/>
      <c r="S332" s="8"/>
      <c r="T332" s="8"/>
      <c r="U332" s="12"/>
      <c r="V332" s="12"/>
      <c r="W332" s="12"/>
      <c r="X332" s="12"/>
      <c r="Y332" s="12"/>
      <c r="Z332" s="12"/>
      <c r="AA332" s="12"/>
      <c r="AB332" s="12"/>
      <c r="AC332" s="12"/>
      <c r="AD332" s="12"/>
      <c r="AE332" s="12"/>
      <c r="AF332" s="12"/>
    </row>
    <row r="333" spans="1:32">
      <c r="A333" s="8"/>
      <c r="B333" s="8"/>
      <c r="C333" s="8"/>
      <c r="D333" s="8"/>
      <c r="E333" s="8"/>
      <c r="F333" s="8"/>
      <c r="G333" s="8"/>
      <c r="H333" s="8"/>
      <c r="I333" s="8"/>
      <c r="J333" s="8"/>
      <c r="K333" s="8"/>
      <c r="L333" s="8"/>
      <c r="M333" s="8"/>
      <c r="N333" s="8"/>
      <c r="O333" s="8"/>
      <c r="P333" s="8"/>
      <c r="Q333" s="8"/>
      <c r="R333" s="8"/>
      <c r="S333" s="8"/>
      <c r="T333" s="8"/>
      <c r="U333" s="12"/>
      <c r="V333" s="12"/>
      <c r="W333" s="12"/>
      <c r="X333" s="12"/>
      <c r="Y333" s="12"/>
      <c r="Z333" s="12"/>
      <c r="AA333" s="12"/>
      <c r="AB333" s="12"/>
      <c r="AC333" s="12"/>
      <c r="AD333" s="12"/>
      <c r="AE333" s="12"/>
      <c r="AF333" s="12"/>
    </row>
    <row r="334" spans="1:32">
      <c r="A334" s="8"/>
      <c r="B334" s="8"/>
      <c r="C334" s="8"/>
      <c r="D334" s="8"/>
      <c r="E334" s="8"/>
      <c r="F334" s="8"/>
      <c r="G334" s="8"/>
      <c r="H334" s="8"/>
      <c r="I334" s="8"/>
      <c r="J334" s="8"/>
      <c r="K334" s="8"/>
      <c r="L334" s="8"/>
      <c r="M334" s="8"/>
      <c r="N334" s="8"/>
      <c r="O334" s="8"/>
      <c r="P334" s="8"/>
      <c r="Q334" s="8"/>
      <c r="R334" s="8"/>
      <c r="S334" s="8"/>
      <c r="T334" s="8"/>
      <c r="U334" s="12"/>
      <c r="V334" s="12"/>
      <c r="W334" s="12"/>
      <c r="X334" s="12"/>
      <c r="Y334" s="12"/>
      <c r="Z334" s="12"/>
      <c r="AA334" s="12"/>
      <c r="AB334" s="12"/>
      <c r="AC334" s="12"/>
      <c r="AD334" s="12"/>
      <c r="AE334" s="12"/>
      <c r="AF334" s="12"/>
    </row>
    <row r="335" spans="1:32">
      <c r="A335" s="8"/>
      <c r="B335" s="8"/>
      <c r="C335" s="8"/>
      <c r="D335" s="8"/>
      <c r="E335" s="8"/>
      <c r="F335" s="8"/>
      <c r="G335" s="8"/>
      <c r="H335" s="8"/>
      <c r="I335" s="8"/>
      <c r="J335" s="8"/>
      <c r="K335" s="8"/>
      <c r="L335" s="8"/>
      <c r="M335" s="8"/>
      <c r="N335" s="8"/>
      <c r="O335" s="8"/>
      <c r="P335" s="8"/>
      <c r="Q335" s="8"/>
      <c r="R335" s="8"/>
      <c r="S335" s="8"/>
      <c r="T335" s="8"/>
      <c r="U335" s="12"/>
      <c r="V335" s="12"/>
      <c r="W335" s="12"/>
      <c r="X335" s="12"/>
      <c r="Y335" s="12"/>
      <c r="Z335" s="12"/>
      <c r="AA335" s="12"/>
      <c r="AB335" s="12"/>
      <c r="AC335" s="12"/>
      <c r="AD335" s="12"/>
      <c r="AE335" s="12"/>
      <c r="AF335" s="12"/>
    </row>
    <row r="336" spans="1:32">
      <c r="A336" s="8"/>
      <c r="B336" s="8"/>
      <c r="C336" s="8"/>
      <c r="D336" s="8"/>
      <c r="E336" s="8"/>
      <c r="F336" s="8"/>
      <c r="G336" s="8"/>
      <c r="H336" s="8"/>
      <c r="I336" s="8"/>
      <c r="J336" s="8"/>
      <c r="K336" s="8"/>
      <c r="L336" s="8"/>
      <c r="M336" s="8"/>
      <c r="N336" s="8"/>
      <c r="O336" s="8"/>
      <c r="P336" s="8"/>
      <c r="Q336" s="8"/>
      <c r="R336" s="8"/>
      <c r="S336" s="8"/>
      <c r="T336" s="8"/>
      <c r="U336" s="12"/>
      <c r="V336" s="12"/>
      <c r="W336" s="12"/>
      <c r="X336" s="12"/>
      <c r="Y336" s="12"/>
      <c r="Z336" s="12"/>
      <c r="AA336" s="12"/>
      <c r="AB336" s="12"/>
      <c r="AC336" s="12"/>
      <c r="AD336" s="12"/>
      <c r="AE336" s="12"/>
      <c r="AF336" s="12"/>
    </row>
    <row r="337" spans="1:32">
      <c r="A337" s="8"/>
      <c r="B337" s="8"/>
      <c r="C337" s="8"/>
      <c r="D337" s="8"/>
      <c r="E337" s="8"/>
      <c r="F337" s="8"/>
      <c r="G337" s="8"/>
      <c r="H337" s="8"/>
      <c r="I337" s="8"/>
      <c r="J337" s="8"/>
      <c r="K337" s="8"/>
      <c r="L337" s="8"/>
      <c r="M337" s="8"/>
      <c r="N337" s="8"/>
      <c r="O337" s="8"/>
      <c r="P337" s="8"/>
      <c r="Q337" s="8"/>
      <c r="R337" s="8"/>
      <c r="S337" s="8"/>
      <c r="T337" s="8"/>
      <c r="U337" s="12"/>
      <c r="V337" s="12"/>
      <c r="W337" s="12"/>
      <c r="X337" s="12"/>
      <c r="Y337" s="12"/>
      <c r="Z337" s="12"/>
      <c r="AA337" s="12"/>
      <c r="AB337" s="12"/>
      <c r="AC337" s="12"/>
      <c r="AD337" s="12"/>
      <c r="AE337" s="12"/>
      <c r="AF337" s="12"/>
    </row>
    <row r="338" spans="1:32">
      <c r="A338" s="8"/>
      <c r="B338" s="8"/>
      <c r="C338" s="8"/>
      <c r="D338" s="8"/>
      <c r="E338" s="8"/>
      <c r="F338" s="8"/>
      <c r="G338" s="8"/>
      <c r="H338" s="8"/>
      <c r="I338" s="8"/>
      <c r="J338" s="8"/>
      <c r="K338" s="8"/>
      <c r="L338" s="8"/>
      <c r="M338" s="8"/>
      <c r="N338" s="8"/>
      <c r="O338" s="8"/>
      <c r="P338" s="8"/>
      <c r="Q338" s="8"/>
      <c r="R338" s="8"/>
      <c r="S338" s="8"/>
      <c r="T338" s="8"/>
      <c r="U338" s="12"/>
      <c r="V338" s="12"/>
      <c r="W338" s="12"/>
      <c r="X338" s="12"/>
      <c r="Y338" s="12"/>
      <c r="Z338" s="12"/>
      <c r="AA338" s="12"/>
      <c r="AB338" s="12"/>
      <c r="AC338" s="12"/>
      <c r="AD338" s="12"/>
      <c r="AE338" s="12"/>
      <c r="AF338" s="12"/>
    </row>
    <row r="339" spans="1:32">
      <c r="A339" s="8"/>
      <c r="B339" s="8"/>
      <c r="C339" s="8"/>
      <c r="D339" s="8"/>
      <c r="E339" s="8"/>
      <c r="F339" s="8"/>
      <c r="G339" s="8"/>
      <c r="H339" s="8"/>
      <c r="I339" s="8"/>
      <c r="J339" s="8"/>
      <c r="K339" s="8"/>
      <c r="L339" s="8"/>
      <c r="M339" s="8"/>
      <c r="N339" s="8"/>
      <c r="O339" s="8"/>
      <c r="P339" s="8"/>
      <c r="Q339" s="8"/>
      <c r="R339" s="8"/>
      <c r="S339" s="8"/>
      <c r="T339" s="8"/>
      <c r="U339" s="12"/>
      <c r="V339" s="12"/>
      <c r="W339" s="12"/>
      <c r="X339" s="12"/>
      <c r="Y339" s="12"/>
      <c r="Z339" s="12"/>
      <c r="AA339" s="12"/>
      <c r="AB339" s="12"/>
      <c r="AC339" s="12"/>
      <c r="AD339" s="12"/>
      <c r="AE339" s="12"/>
      <c r="AF339" s="12"/>
    </row>
    <row r="340" spans="1:32">
      <c r="A340" s="8"/>
      <c r="B340" s="8"/>
      <c r="C340" s="8"/>
      <c r="D340" s="8"/>
      <c r="E340" s="8"/>
      <c r="F340" s="8"/>
      <c r="G340" s="8"/>
      <c r="H340" s="8"/>
      <c r="I340" s="8"/>
      <c r="J340" s="8"/>
      <c r="K340" s="8"/>
      <c r="L340" s="8"/>
      <c r="M340" s="8"/>
      <c r="N340" s="8"/>
      <c r="O340" s="8"/>
      <c r="P340" s="8"/>
      <c r="Q340" s="8"/>
      <c r="R340" s="8"/>
      <c r="S340" s="8"/>
      <c r="T340" s="8"/>
      <c r="U340" s="12"/>
      <c r="V340" s="12"/>
      <c r="W340" s="12"/>
      <c r="X340" s="12"/>
      <c r="Y340" s="12"/>
      <c r="Z340" s="12"/>
      <c r="AA340" s="12"/>
      <c r="AB340" s="12"/>
      <c r="AC340" s="12"/>
      <c r="AD340" s="12"/>
      <c r="AE340" s="12"/>
      <c r="AF340" s="12"/>
    </row>
    <row r="341" spans="1:32">
      <c r="A341" s="8"/>
      <c r="B341" s="8"/>
      <c r="C341" s="8"/>
      <c r="D341" s="8"/>
      <c r="E341" s="8"/>
      <c r="F341" s="8"/>
      <c r="G341" s="8"/>
      <c r="H341" s="8"/>
      <c r="I341" s="8"/>
      <c r="J341" s="8"/>
      <c r="K341" s="8"/>
      <c r="L341" s="8"/>
      <c r="M341" s="8"/>
      <c r="N341" s="8"/>
      <c r="O341" s="8"/>
      <c r="P341" s="8"/>
      <c r="Q341" s="8"/>
      <c r="R341" s="8"/>
      <c r="S341" s="8"/>
      <c r="T341" s="8"/>
      <c r="U341" s="12"/>
      <c r="V341" s="12"/>
      <c r="W341" s="12"/>
      <c r="X341" s="12"/>
      <c r="Y341" s="12"/>
      <c r="Z341" s="12"/>
      <c r="AA341" s="12"/>
      <c r="AB341" s="12"/>
      <c r="AC341" s="12"/>
      <c r="AD341" s="12"/>
      <c r="AE341" s="12"/>
      <c r="AF341" s="12"/>
    </row>
    <row r="342" spans="1:32">
      <c r="A342" s="8"/>
      <c r="B342" s="8"/>
      <c r="C342" s="8"/>
      <c r="D342" s="8"/>
      <c r="E342" s="8"/>
      <c r="F342" s="8"/>
      <c r="G342" s="8"/>
      <c r="H342" s="8"/>
      <c r="I342" s="8"/>
      <c r="J342" s="8"/>
      <c r="K342" s="8"/>
      <c r="L342" s="8"/>
      <c r="M342" s="8"/>
      <c r="N342" s="8"/>
      <c r="O342" s="8"/>
      <c r="P342" s="8"/>
      <c r="Q342" s="8"/>
      <c r="R342" s="8"/>
      <c r="S342" s="8"/>
      <c r="T342" s="8"/>
      <c r="U342" s="12"/>
      <c r="V342" s="12"/>
      <c r="W342" s="12"/>
      <c r="X342" s="12"/>
      <c r="Y342" s="12"/>
      <c r="Z342" s="12"/>
      <c r="AA342" s="12"/>
      <c r="AB342" s="12"/>
      <c r="AC342" s="12"/>
      <c r="AD342" s="12"/>
      <c r="AE342" s="12"/>
      <c r="AF342" s="12"/>
    </row>
    <row r="343" spans="1:32">
      <c r="A343" s="8"/>
      <c r="B343" s="8"/>
      <c r="C343" s="8"/>
      <c r="D343" s="8"/>
      <c r="E343" s="8"/>
      <c r="F343" s="8"/>
      <c r="G343" s="8"/>
      <c r="H343" s="8"/>
      <c r="I343" s="8"/>
      <c r="J343" s="8"/>
      <c r="K343" s="8"/>
      <c r="L343" s="8"/>
      <c r="M343" s="8"/>
      <c r="N343" s="8"/>
      <c r="O343" s="8"/>
      <c r="P343" s="8"/>
      <c r="Q343" s="8"/>
      <c r="R343" s="8"/>
      <c r="S343" s="8"/>
      <c r="T343" s="8"/>
      <c r="U343" s="12"/>
      <c r="V343" s="12"/>
      <c r="W343" s="12"/>
      <c r="X343" s="12"/>
      <c r="Y343" s="12"/>
      <c r="Z343" s="12"/>
      <c r="AA343" s="12"/>
      <c r="AB343" s="12"/>
      <c r="AC343" s="12"/>
      <c r="AD343" s="12"/>
      <c r="AE343" s="12"/>
      <c r="AF343" s="12"/>
    </row>
    <row r="344" spans="1:32">
      <c r="A344" s="8"/>
      <c r="B344" s="8"/>
      <c r="C344" s="8"/>
      <c r="D344" s="8"/>
      <c r="E344" s="8"/>
      <c r="F344" s="8"/>
      <c r="G344" s="8"/>
      <c r="H344" s="8"/>
      <c r="I344" s="8"/>
      <c r="J344" s="8"/>
      <c r="K344" s="8"/>
      <c r="L344" s="8"/>
      <c r="M344" s="8"/>
      <c r="N344" s="8"/>
      <c r="O344" s="8"/>
      <c r="P344" s="8"/>
      <c r="Q344" s="8"/>
      <c r="R344" s="8"/>
      <c r="S344" s="8"/>
      <c r="T344" s="8"/>
      <c r="U344" s="12"/>
      <c r="V344" s="12"/>
      <c r="W344" s="12"/>
      <c r="X344" s="12"/>
      <c r="Y344" s="12"/>
      <c r="Z344" s="12"/>
      <c r="AA344" s="12"/>
      <c r="AB344" s="12"/>
      <c r="AC344" s="12"/>
      <c r="AD344" s="12"/>
      <c r="AE344" s="12"/>
      <c r="AF344" s="12"/>
    </row>
    <row r="345" spans="1:32">
      <c r="A345" s="8"/>
      <c r="B345" s="8"/>
      <c r="C345" s="8"/>
      <c r="D345" s="8"/>
      <c r="E345" s="8"/>
      <c r="F345" s="8"/>
      <c r="G345" s="8"/>
      <c r="H345" s="8"/>
      <c r="I345" s="8"/>
      <c r="J345" s="8"/>
      <c r="K345" s="8"/>
      <c r="L345" s="8"/>
      <c r="M345" s="8"/>
      <c r="N345" s="8"/>
      <c r="O345" s="8"/>
      <c r="P345" s="8"/>
      <c r="Q345" s="8"/>
      <c r="R345" s="8"/>
      <c r="S345" s="8"/>
      <c r="T345" s="8"/>
      <c r="U345" s="12"/>
      <c r="V345" s="12"/>
      <c r="W345" s="12"/>
      <c r="X345" s="12"/>
      <c r="Y345" s="12"/>
      <c r="Z345" s="12"/>
      <c r="AA345" s="12"/>
      <c r="AB345" s="12"/>
      <c r="AC345" s="12"/>
      <c r="AD345" s="12"/>
      <c r="AE345" s="12"/>
      <c r="AF345" s="12"/>
    </row>
    <row r="346" spans="1:32">
      <c r="A346" s="8"/>
      <c r="B346" s="8"/>
      <c r="C346" s="8"/>
      <c r="D346" s="8"/>
      <c r="E346" s="8"/>
      <c r="F346" s="8"/>
      <c r="G346" s="8"/>
      <c r="H346" s="8"/>
      <c r="I346" s="8"/>
      <c r="J346" s="8"/>
      <c r="K346" s="8"/>
      <c r="L346" s="8"/>
      <c r="M346" s="8"/>
      <c r="N346" s="8"/>
      <c r="O346" s="8"/>
      <c r="P346" s="8"/>
      <c r="Q346" s="8"/>
      <c r="R346" s="8"/>
      <c r="S346" s="8"/>
      <c r="T346" s="8"/>
      <c r="U346" s="12"/>
      <c r="V346" s="12"/>
      <c r="W346" s="12"/>
      <c r="X346" s="12"/>
      <c r="Y346" s="12"/>
      <c r="Z346" s="12"/>
      <c r="AA346" s="12"/>
      <c r="AB346" s="12"/>
      <c r="AC346" s="12"/>
      <c r="AD346" s="12"/>
      <c r="AE346" s="12"/>
      <c r="AF346" s="12"/>
    </row>
    <row r="347" spans="1:32">
      <c r="A347" s="8"/>
      <c r="B347" s="8"/>
      <c r="C347" s="8"/>
      <c r="D347" s="8"/>
      <c r="E347" s="8"/>
      <c r="F347" s="8"/>
      <c r="G347" s="8"/>
      <c r="H347" s="8"/>
      <c r="I347" s="8"/>
      <c r="J347" s="8"/>
      <c r="K347" s="8"/>
      <c r="L347" s="8"/>
      <c r="M347" s="8"/>
      <c r="N347" s="8"/>
      <c r="O347" s="8"/>
      <c r="P347" s="8"/>
      <c r="Q347" s="8"/>
      <c r="R347" s="8"/>
      <c r="S347" s="8"/>
      <c r="T347" s="8"/>
      <c r="U347" s="12"/>
      <c r="V347" s="12"/>
      <c r="W347" s="12"/>
      <c r="X347" s="12"/>
      <c r="Y347" s="12"/>
      <c r="Z347" s="12"/>
      <c r="AA347" s="12"/>
      <c r="AB347" s="12"/>
      <c r="AC347" s="12"/>
      <c r="AD347" s="12"/>
      <c r="AE347" s="12"/>
      <c r="AF347" s="12"/>
    </row>
    <row r="348" spans="1:32">
      <c r="A348" s="8"/>
      <c r="B348" s="8"/>
      <c r="C348" s="8"/>
      <c r="D348" s="8"/>
      <c r="E348" s="8"/>
      <c r="F348" s="8"/>
      <c r="G348" s="8"/>
      <c r="H348" s="8"/>
      <c r="I348" s="8"/>
      <c r="J348" s="8"/>
      <c r="K348" s="8"/>
      <c r="L348" s="8"/>
      <c r="M348" s="8"/>
      <c r="N348" s="8"/>
      <c r="O348" s="8"/>
      <c r="P348" s="8"/>
      <c r="Q348" s="8"/>
      <c r="R348" s="8"/>
      <c r="S348" s="8"/>
      <c r="T348" s="8"/>
      <c r="U348" s="12"/>
      <c r="V348" s="12"/>
      <c r="W348" s="12"/>
      <c r="X348" s="12"/>
      <c r="Y348" s="12"/>
      <c r="Z348" s="12"/>
      <c r="AA348" s="12"/>
      <c r="AB348" s="12"/>
      <c r="AC348" s="12"/>
      <c r="AD348" s="12"/>
      <c r="AE348" s="12"/>
      <c r="AF348" s="12"/>
    </row>
    <row r="349" spans="1:32">
      <c r="A349" s="8"/>
      <c r="B349" s="8"/>
      <c r="C349" s="8"/>
      <c r="D349" s="8"/>
      <c r="E349" s="8"/>
      <c r="F349" s="8"/>
      <c r="G349" s="8"/>
      <c r="H349" s="8"/>
      <c r="I349" s="8"/>
      <c r="J349" s="8"/>
      <c r="K349" s="8"/>
      <c r="L349" s="8"/>
      <c r="M349" s="8"/>
      <c r="N349" s="8"/>
      <c r="O349" s="8"/>
      <c r="P349" s="8"/>
      <c r="Q349" s="8"/>
      <c r="R349" s="8"/>
      <c r="S349" s="8"/>
      <c r="T349" s="8"/>
      <c r="U349" s="12"/>
      <c r="V349" s="12"/>
      <c r="W349" s="12"/>
      <c r="X349" s="12"/>
      <c r="Y349" s="12"/>
      <c r="Z349" s="12"/>
      <c r="AA349" s="12"/>
      <c r="AB349" s="12"/>
      <c r="AC349" s="12"/>
      <c r="AD349" s="12"/>
      <c r="AE349" s="12"/>
      <c r="AF349" s="12"/>
    </row>
    <row r="350" spans="1:32">
      <c r="A350" s="8"/>
      <c r="B350" s="8"/>
      <c r="C350" s="8"/>
      <c r="D350" s="8"/>
      <c r="E350" s="8"/>
      <c r="F350" s="8"/>
      <c r="G350" s="8"/>
      <c r="H350" s="8"/>
      <c r="I350" s="8"/>
      <c r="J350" s="8"/>
      <c r="K350" s="8"/>
      <c r="L350" s="8"/>
      <c r="M350" s="8"/>
      <c r="N350" s="8"/>
      <c r="O350" s="8"/>
      <c r="P350" s="8"/>
      <c r="Q350" s="8"/>
      <c r="R350" s="8"/>
      <c r="S350" s="8"/>
      <c r="T350" s="8"/>
      <c r="U350" s="12"/>
      <c r="V350" s="12"/>
      <c r="W350" s="12"/>
      <c r="X350" s="12"/>
      <c r="Y350" s="12"/>
      <c r="Z350" s="12"/>
      <c r="AA350" s="12"/>
      <c r="AB350" s="12"/>
      <c r="AC350" s="12"/>
      <c r="AD350" s="12"/>
      <c r="AE350" s="12"/>
      <c r="AF350" s="12"/>
    </row>
    <row r="351" spans="1:32">
      <c r="A351" s="8"/>
      <c r="B351" s="8"/>
      <c r="C351" s="8"/>
      <c r="D351" s="8"/>
      <c r="E351" s="8"/>
      <c r="F351" s="8"/>
      <c r="G351" s="8"/>
      <c r="H351" s="8"/>
      <c r="I351" s="8"/>
      <c r="J351" s="8"/>
      <c r="K351" s="8"/>
      <c r="L351" s="8"/>
      <c r="M351" s="8"/>
      <c r="N351" s="8"/>
      <c r="O351" s="8"/>
      <c r="P351" s="8"/>
      <c r="Q351" s="8"/>
      <c r="R351" s="8"/>
      <c r="S351" s="8"/>
      <c r="T351" s="8"/>
      <c r="U351" s="12"/>
      <c r="V351" s="12"/>
      <c r="W351" s="12"/>
      <c r="X351" s="12"/>
      <c r="Y351" s="12"/>
      <c r="Z351" s="12"/>
      <c r="AA351" s="12"/>
      <c r="AB351" s="12"/>
      <c r="AC351" s="12"/>
      <c r="AD351" s="12"/>
      <c r="AE351" s="12"/>
      <c r="AF351" s="12"/>
    </row>
    <row r="352" spans="1:32">
      <c r="A352" s="8"/>
      <c r="B352" s="8"/>
      <c r="C352" s="8"/>
      <c r="D352" s="8"/>
      <c r="E352" s="8"/>
      <c r="F352" s="8"/>
      <c r="G352" s="8"/>
      <c r="H352" s="8"/>
      <c r="I352" s="8"/>
      <c r="J352" s="8"/>
      <c r="K352" s="8"/>
      <c r="L352" s="8"/>
      <c r="M352" s="8"/>
      <c r="N352" s="8"/>
      <c r="O352" s="8"/>
      <c r="P352" s="8"/>
      <c r="Q352" s="8"/>
      <c r="R352" s="8"/>
      <c r="S352" s="8"/>
      <c r="T352" s="8"/>
      <c r="U352" s="12"/>
      <c r="V352" s="12"/>
      <c r="W352" s="12"/>
      <c r="X352" s="12"/>
      <c r="Y352" s="12"/>
      <c r="Z352" s="12"/>
      <c r="AA352" s="12"/>
      <c r="AB352" s="12"/>
      <c r="AC352" s="12"/>
      <c r="AD352" s="12"/>
      <c r="AE352" s="12"/>
      <c r="AF352" s="12"/>
    </row>
    <row r="353" spans="1:32">
      <c r="A353" s="8"/>
      <c r="B353" s="8"/>
      <c r="C353" s="8"/>
      <c r="D353" s="8"/>
      <c r="E353" s="8"/>
      <c r="F353" s="8"/>
      <c r="G353" s="8"/>
      <c r="H353" s="8"/>
      <c r="I353" s="8"/>
      <c r="J353" s="8"/>
      <c r="K353" s="8"/>
      <c r="L353" s="8"/>
      <c r="M353" s="8"/>
      <c r="N353" s="8"/>
      <c r="O353" s="8"/>
      <c r="P353" s="8"/>
      <c r="Q353" s="8"/>
      <c r="R353" s="8"/>
      <c r="S353" s="8"/>
      <c r="T353" s="8"/>
      <c r="U353" s="12"/>
      <c r="V353" s="12"/>
      <c r="W353" s="12"/>
      <c r="X353" s="12"/>
      <c r="Y353" s="12"/>
      <c r="Z353" s="12"/>
      <c r="AA353" s="12"/>
      <c r="AB353" s="12"/>
      <c r="AC353" s="12"/>
      <c r="AD353" s="12"/>
      <c r="AE353" s="12"/>
      <c r="AF353" s="12"/>
    </row>
    <row r="354" spans="1:32">
      <c r="A354" s="8"/>
      <c r="B354" s="8"/>
      <c r="C354" s="8"/>
      <c r="D354" s="8"/>
      <c r="E354" s="8"/>
      <c r="F354" s="8"/>
      <c r="G354" s="8"/>
      <c r="H354" s="8"/>
      <c r="I354" s="8"/>
      <c r="J354" s="8"/>
      <c r="K354" s="8"/>
      <c r="L354" s="8"/>
      <c r="M354" s="8"/>
      <c r="N354" s="8"/>
      <c r="O354" s="8"/>
      <c r="P354" s="8"/>
      <c r="Q354" s="8"/>
      <c r="R354" s="8"/>
      <c r="S354" s="8"/>
      <c r="T354" s="8"/>
      <c r="U354" s="12"/>
      <c r="V354" s="12"/>
      <c r="W354" s="12"/>
      <c r="X354" s="12"/>
      <c r="Y354" s="12"/>
      <c r="Z354" s="12"/>
      <c r="AA354" s="12"/>
      <c r="AB354" s="12"/>
      <c r="AC354" s="12"/>
      <c r="AD354" s="12"/>
      <c r="AE354" s="12"/>
      <c r="AF354" s="12"/>
    </row>
    <row r="355" spans="1:32">
      <c r="A355" s="8"/>
      <c r="B355" s="8"/>
      <c r="C355" s="8"/>
      <c r="D355" s="8"/>
      <c r="E355" s="8"/>
      <c r="F355" s="8"/>
      <c r="G355" s="8"/>
      <c r="H355" s="8"/>
      <c r="I355" s="8"/>
      <c r="J355" s="8"/>
      <c r="K355" s="8"/>
      <c r="L355" s="8"/>
      <c r="M355" s="8"/>
      <c r="N355" s="8"/>
      <c r="O355" s="8"/>
      <c r="P355" s="8"/>
      <c r="Q355" s="8"/>
      <c r="R355" s="8"/>
      <c r="S355" s="8"/>
      <c r="T355" s="8"/>
      <c r="U355" s="12"/>
      <c r="V355" s="12"/>
      <c r="W355" s="12"/>
      <c r="X355" s="12"/>
      <c r="Y355" s="12"/>
      <c r="Z355" s="12"/>
      <c r="AA355" s="12"/>
      <c r="AB355" s="12"/>
      <c r="AC355" s="12"/>
      <c r="AD355" s="12"/>
      <c r="AE355" s="12"/>
      <c r="AF355" s="12"/>
    </row>
    <row r="356" spans="1:32">
      <c r="A356" s="8"/>
      <c r="B356" s="8"/>
      <c r="C356" s="8"/>
      <c r="D356" s="8"/>
      <c r="E356" s="8"/>
      <c r="F356" s="8"/>
      <c r="G356" s="8"/>
      <c r="H356" s="8"/>
      <c r="I356" s="8"/>
      <c r="J356" s="8"/>
      <c r="K356" s="8"/>
      <c r="L356" s="8"/>
      <c r="M356" s="8"/>
      <c r="N356" s="8"/>
      <c r="O356" s="8"/>
      <c r="P356" s="8"/>
      <c r="Q356" s="8"/>
      <c r="R356" s="8"/>
      <c r="S356" s="8"/>
      <c r="T356" s="8"/>
      <c r="U356" s="12"/>
      <c r="V356" s="12"/>
      <c r="W356" s="12"/>
      <c r="X356" s="12"/>
      <c r="Y356" s="12"/>
      <c r="Z356" s="12"/>
      <c r="AA356" s="12"/>
      <c r="AB356" s="12"/>
      <c r="AC356" s="12"/>
      <c r="AD356" s="12"/>
      <c r="AE356" s="12"/>
      <c r="AF356" s="12"/>
    </row>
    <row r="357" spans="1:32">
      <c r="A357" s="8"/>
      <c r="B357" s="8"/>
      <c r="C357" s="8"/>
      <c r="D357" s="8"/>
      <c r="E357" s="8"/>
      <c r="F357" s="8"/>
      <c r="G357" s="8"/>
      <c r="H357" s="8"/>
      <c r="I357" s="8"/>
      <c r="J357" s="8"/>
      <c r="K357" s="8"/>
      <c r="L357" s="8"/>
      <c r="M357" s="8"/>
      <c r="N357" s="8"/>
      <c r="O357" s="8"/>
      <c r="P357" s="8"/>
      <c r="Q357" s="8"/>
      <c r="R357" s="8"/>
      <c r="S357" s="8"/>
      <c r="T357" s="8"/>
      <c r="U357" s="12"/>
      <c r="V357" s="12"/>
      <c r="W357" s="12"/>
      <c r="X357" s="12"/>
      <c r="Y357" s="12"/>
      <c r="Z357" s="12"/>
      <c r="AA357" s="12"/>
      <c r="AB357" s="12"/>
      <c r="AC357" s="12"/>
      <c r="AD357" s="12"/>
      <c r="AE357" s="12"/>
      <c r="AF357" s="12"/>
    </row>
    <row r="358" spans="1:32">
      <c r="A358" s="8"/>
      <c r="B358" s="8"/>
      <c r="C358" s="8"/>
      <c r="D358" s="8"/>
      <c r="E358" s="8"/>
      <c r="F358" s="8"/>
      <c r="G358" s="8"/>
      <c r="H358" s="8"/>
      <c r="I358" s="8"/>
      <c r="J358" s="8"/>
      <c r="K358" s="8"/>
      <c r="L358" s="8"/>
      <c r="M358" s="8"/>
      <c r="N358" s="8"/>
      <c r="O358" s="8"/>
      <c r="P358" s="8"/>
      <c r="Q358" s="8"/>
      <c r="R358" s="8"/>
      <c r="S358" s="8"/>
      <c r="T358" s="8"/>
      <c r="U358" s="12"/>
      <c r="V358" s="12"/>
      <c r="W358" s="12"/>
      <c r="X358" s="12"/>
      <c r="Y358" s="12"/>
      <c r="Z358" s="12"/>
      <c r="AA358" s="12"/>
      <c r="AB358" s="12"/>
      <c r="AC358" s="12"/>
      <c r="AD358" s="12"/>
      <c r="AE358" s="12"/>
      <c r="AF358" s="12"/>
    </row>
    <row r="359" spans="1:32">
      <c r="A359" s="8"/>
      <c r="B359" s="8"/>
      <c r="C359" s="8"/>
      <c r="D359" s="8"/>
      <c r="E359" s="8"/>
      <c r="F359" s="8"/>
      <c r="G359" s="8"/>
      <c r="H359" s="8"/>
      <c r="I359" s="8"/>
      <c r="J359" s="8"/>
      <c r="K359" s="8"/>
      <c r="L359" s="8"/>
      <c r="M359" s="8"/>
      <c r="N359" s="8"/>
      <c r="O359" s="8"/>
      <c r="P359" s="8"/>
      <c r="Q359" s="8"/>
      <c r="R359" s="8"/>
      <c r="S359" s="8"/>
      <c r="T359" s="8"/>
      <c r="U359" s="12"/>
      <c r="V359" s="12"/>
      <c r="W359" s="12"/>
      <c r="X359" s="12"/>
      <c r="Y359" s="12"/>
      <c r="Z359" s="12"/>
      <c r="AA359" s="12"/>
      <c r="AB359" s="12"/>
      <c r="AC359" s="12"/>
      <c r="AD359" s="12"/>
      <c r="AE359" s="12"/>
      <c r="AF359" s="12"/>
    </row>
    <row r="360" spans="1:32">
      <c r="A360" s="8"/>
      <c r="B360" s="8"/>
      <c r="C360" s="8"/>
      <c r="D360" s="8"/>
      <c r="E360" s="8"/>
      <c r="F360" s="8"/>
      <c r="G360" s="8"/>
      <c r="H360" s="8"/>
      <c r="I360" s="8"/>
      <c r="J360" s="8"/>
      <c r="K360" s="8"/>
      <c r="L360" s="8"/>
      <c r="M360" s="8"/>
      <c r="N360" s="8"/>
      <c r="O360" s="8"/>
      <c r="P360" s="8"/>
      <c r="Q360" s="8"/>
      <c r="R360" s="8"/>
      <c r="S360" s="8"/>
      <c r="T360" s="8"/>
      <c r="U360" s="12"/>
      <c r="V360" s="12"/>
      <c r="W360" s="12"/>
      <c r="X360" s="12"/>
      <c r="Y360" s="12"/>
      <c r="Z360" s="12"/>
      <c r="AA360" s="12"/>
      <c r="AB360" s="12"/>
      <c r="AC360" s="12"/>
      <c r="AD360" s="12"/>
      <c r="AE360" s="12"/>
      <c r="AF360" s="12"/>
    </row>
    <row r="361" spans="1:32">
      <c r="A361" s="8"/>
      <c r="B361" s="8"/>
      <c r="C361" s="8"/>
      <c r="D361" s="8"/>
      <c r="E361" s="8"/>
      <c r="F361" s="8"/>
      <c r="G361" s="8"/>
      <c r="H361" s="8"/>
      <c r="I361" s="8"/>
      <c r="J361" s="8"/>
      <c r="K361" s="8"/>
      <c r="L361" s="8"/>
      <c r="M361" s="8"/>
      <c r="N361" s="8"/>
      <c r="O361" s="8"/>
      <c r="P361" s="8"/>
      <c r="Q361" s="8"/>
      <c r="R361" s="8"/>
      <c r="S361" s="8"/>
      <c r="T361" s="8"/>
      <c r="U361" s="12"/>
      <c r="V361" s="12"/>
      <c r="W361" s="12"/>
      <c r="X361" s="12"/>
      <c r="Y361" s="12"/>
      <c r="Z361" s="12"/>
      <c r="AA361" s="12"/>
      <c r="AB361" s="12"/>
      <c r="AC361" s="12"/>
      <c r="AD361" s="12"/>
      <c r="AE361" s="12"/>
      <c r="AF361" s="12"/>
    </row>
    <row r="362" spans="1:32">
      <c r="A362" s="8"/>
      <c r="B362" s="8"/>
      <c r="C362" s="8"/>
      <c r="D362" s="8"/>
      <c r="E362" s="8"/>
      <c r="F362" s="8"/>
      <c r="G362" s="8"/>
      <c r="H362" s="8"/>
      <c r="I362" s="8"/>
      <c r="J362" s="8"/>
      <c r="K362" s="8"/>
      <c r="L362" s="8"/>
      <c r="M362" s="8"/>
      <c r="N362" s="8"/>
      <c r="O362" s="8"/>
      <c r="P362" s="8"/>
      <c r="Q362" s="8"/>
      <c r="R362" s="8"/>
      <c r="S362" s="8"/>
      <c r="T362" s="8"/>
      <c r="U362" s="12"/>
      <c r="V362" s="12"/>
      <c r="W362" s="12"/>
      <c r="X362" s="12"/>
      <c r="Y362" s="12"/>
      <c r="Z362" s="12"/>
      <c r="AA362" s="12"/>
      <c r="AB362" s="12"/>
      <c r="AC362" s="12"/>
      <c r="AD362" s="12"/>
      <c r="AE362" s="12"/>
      <c r="AF362" s="12"/>
    </row>
    <row r="363" spans="1:32">
      <c r="A363" s="8"/>
      <c r="B363" s="8"/>
      <c r="C363" s="8"/>
      <c r="D363" s="8"/>
      <c r="E363" s="8"/>
      <c r="F363" s="8"/>
      <c r="G363" s="8"/>
      <c r="H363" s="8"/>
      <c r="I363" s="8"/>
      <c r="J363" s="8"/>
      <c r="K363" s="8"/>
      <c r="L363" s="8"/>
      <c r="M363" s="8"/>
      <c r="N363" s="8"/>
      <c r="O363" s="8"/>
      <c r="P363" s="8"/>
      <c r="Q363" s="8"/>
      <c r="R363" s="8"/>
      <c r="S363" s="8"/>
      <c r="T363" s="8"/>
      <c r="U363" s="12"/>
      <c r="V363" s="12"/>
      <c r="W363" s="12"/>
      <c r="X363" s="12"/>
      <c r="Y363" s="12"/>
      <c r="Z363" s="12"/>
      <c r="AA363" s="12"/>
      <c r="AB363" s="12"/>
      <c r="AC363" s="12"/>
      <c r="AD363" s="12"/>
      <c r="AE363" s="12"/>
      <c r="AF363" s="12"/>
    </row>
    <row r="364" spans="1:32">
      <c r="A364" s="8"/>
      <c r="B364" s="8"/>
      <c r="C364" s="8"/>
      <c r="D364" s="8"/>
      <c r="E364" s="8"/>
      <c r="F364" s="8"/>
      <c r="G364" s="8"/>
      <c r="H364" s="8"/>
      <c r="I364" s="8"/>
      <c r="J364" s="8"/>
      <c r="K364" s="8"/>
      <c r="L364" s="8"/>
      <c r="M364" s="8"/>
      <c r="N364" s="8"/>
      <c r="O364" s="8"/>
      <c r="P364" s="8"/>
      <c r="Q364" s="8"/>
      <c r="R364" s="8"/>
      <c r="S364" s="8"/>
      <c r="T364" s="8"/>
      <c r="U364" s="12"/>
      <c r="V364" s="12"/>
      <c r="W364" s="12"/>
      <c r="X364" s="12"/>
      <c r="Y364" s="12"/>
      <c r="Z364" s="12"/>
      <c r="AA364" s="12"/>
      <c r="AB364" s="12"/>
      <c r="AC364" s="12"/>
      <c r="AD364" s="12"/>
      <c r="AE364" s="12"/>
      <c r="AF364" s="12"/>
    </row>
    <row r="365" spans="1:32">
      <c r="A365" s="8"/>
      <c r="B365" s="8"/>
      <c r="C365" s="8"/>
      <c r="D365" s="8"/>
      <c r="E365" s="8"/>
      <c r="F365" s="8"/>
      <c r="G365" s="8"/>
      <c r="H365" s="8"/>
      <c r="I365" s="8"/>
      <c r="J365" s="8"/>
      <c r="K365" s="8"/>
      <c r="L365" s="8"/>
      <c r="M365" s="8"/>
      <c r="N365" s="8"/>
      <c r="O365" s="8"/>
      <c r="P365" s="8"/>
      <c r="Q365" s="8"/>
      <c r="R365" s="8"/>
      <c r="S365" s="8"/>
      <c r="T365" s="8"/>
      <c r="U365" s="12"/>
      <c r="V365" s="12"/>
      <c r="W365" s="12"/>
      <c r="X365" s="12"/>
      <c r="Y365" s="12"/>
      <c r="Z365" s="12"/>
      <c r="AA365" s="12"/>
      <c r="AB365" s="12"/>
      <c r="AC365" s="12"/>
      <c r="AD365" s="12"/>
      <c r="AE365" s="12"/>
      <c r="AF365" s="12"/>
    </row>
    <row r="366" spans="1:32">
      <c r="A366" s="8"/>
      <c r="B366" s="8"/>
      <c r="C366" s="8"/>
      <c r="D366" s="8"/>
      <c r="E366" s="8"/>
      <c r="F366" s="8"/>
      <c r="G366" s="8"/>
      <c r="H366" s="8"/>
      <c r="I366" s="8"/>
      <c r="J366" s="8"/>
      <c r="K366" s="8"/>
      <c r="L366" s="8"/>
      <c r="M366" s="8"/>
      <c r="N366" s="8"/>
      <c r="O366" s="8"/>
      <c r="P366" s="8"/>
      <c r="Q366" s="8"/>
      <c r="R366" s="8"/>
      <c r="S366" s="8"/>
      <c r="T366" s="8"/>
      <c r="U366" s="12"/>
      <c r="V366" s="12"/>
      <c r="W366" s="12"/>
      <c r="X366" s="12"/>
      <c r="Y366" s="12"/>
      <c r="Z366" s="12"/>
      <c r="AA366" s="12"/>
      <c r="AB366" s="12"/>
      <c r="AC366" s="12"/>
      <c r="AD366" s="12"/>
      <c r="AE366" s="12"/>
      <c r="AF366" s="12"/>
    </row>
    <row r="367" spans="1:32">
      <c r="A367" s="8"/>
      <c r="B367" s="8"/>
      <c r="C367" s="8"/>
      <c r="D367" s="8"/>
      <c r="E367" s="8"/>
      <c r="F367" s="8"/>
      <c r="G367" s="8"/>
      <c r="H367" s="8"/>
      <c r="I367" s="8"/>
      <c r="J367" s="8"/>
      <c r="K367" s="8"/>
      <c r="L367" s="8"/>
      <c r="M367" s="8"/>
      <c r="N367" s="8"/>
      <c r="O367" s="8"/>
      <c r="P367" s="8"/>
      <c r="Q367" s="8"/>
      <c r="R367" s="8"/>
      <c r="S367" s="8"/>
      <c r="T367" s="8"/>
      <c r="U367" s="12"/>
      <c r="V367" s="12"/>
      <c r="W367" s="12"/>
      <c r="X367" s="12"/>
      <c r="Y367" s="12"/>
      <c r="Z367" s="12"/>
      <c r="AA367" s="12"/>
      <c r="AB367" s="12"/>
      <c r="AC367" s="12"/>
      <c r="AD367" s="12"/>
      <c r="AE367" s="12"/>
      <c r="AF367" s="12"/>
    </row>
    <row r="368" spans="1:32">
      <c r="A368" s="8"/>
      <c r="B368" s="8"/>
      <c r="C368" s="8"/>
      <c r="D368" s="8"/>
      <c r="E368" s="8"/>
      <c r="F368" s="8"/>
      <c r="G368" s="8"/>
      <c r="H368" s="8"/>
      <c r="I368" s="8"/>
      <c r="J368" s="8"/>
      <c r="K368" s="8"/>
      <c r="L368" s="8"/>
      <c r="M368" s="8"/>
      <c r="N368" s="8"/>
      <c r="O368" s="8"/>
      <c r="P368" s="8"/>
      <c r="Q368" s="8"/>
      <c r="R368" s="8"/>
      <c r="S368" s="8"/>
      <c r="T368" s="8"/>
      <c r="U368" s="12"/>
      <c r="V368" s="12"/>
      <c r="W368" s="12"/>
      <c r="X368" s="12"/>
      <c r="Y368" s="12"/>
      <c r="Z368" s="12"/>
      <c r="AA368" s="12"/>
      <c r="AB368" s="12"/>
      <c r="AC368" s="12"/>
      <c r="AD368" s="12"/>
      <c r="AE368" s="12"/>
      <c r="AF368" s="12"/>
    </row>
    <row r="369" spans="1:32">
      <c r="A369" s="8"/>
      <c r="B369" s="8"/>
      <c r="C369" s="8"/>
      <c r="D369" s="8"/>
      <c r="E369" s="8"/>
      <c r="F369" s="8"/>
      <c r="G369" s="8"/>
      <c r="H369" s="8"/>
      <c r="I369" s="8"/>
      <c r="J369" s="8"/>
      <c r="K369" s="8"/>
      <c r="L369" s="8"/>
      <c r="M369" s="8"/>
      <c r="N369" s="8"/>
      <c r="O369" s="8"/>
      <c r="P369" s="8"/>
      <c r="Q369" s="8"/>
      <c r="R369" s="8"/>
      <c r="S369" s="8"/>
      <c r="T369" s="8"/>
      <c r="U369" s="12"/>
      <c r="V369" s="12"/>
      <c r="W369" s="12"/>
      <c r="X369" s="12"/>
      <c r="Y369" s="12"/>
      <c r="Z369" s="12"/>
      <c r="AA369" s="12"/>
      <c r="AB369" s="12"/>
      <c r="AC369" s="12"/>
      <c r="AD369" s="12"/>
      <c r="AE369" s="12"/>
      <c r="AF369" s="12"/>
    </row>
    <row r="370" spans="1:32">
      <c r="A370" s="8"/>
      <c r="B370" s="8"/>
      <c r="C370" s="8"/>
      <c r="D370" s="8"/>
      <c r="E370" s="8"/>
      <c r="F370" s="8"/>
      <c r="G370" s="8"/>
      <c r="H370" s="8"/>
      <c r="I370" s="8"/>
      <c r="J370" s="8"/>
      <c r="K370" s="8"/>
      <c r="L370" s="8"/>
      <c r="M370" s="8"/>
      <c r="N370" s="8"/>
      <c r="O370" s="8"/>
      <c r="P370" s="8"/>
      <c r="Q370" s="8"/>
      <c r="R370" s="8"/>
      <c r="S370" s="8"/>
      <c r="T370" s="8"/>
      <c r="U370" s="12"/>
      <c r="V370" s="12"/>
      <c r="W370" s="12"/>
      <c r="X370" s="12"/>
      <c r="Y370" s="12"/>
      <c r="Z370" s="12"/>
      <c r="AA370" s="12"/>
      <c r="AB370" s="12"/>
      <c r="AC370" s="12"/>
      <c r="AD370" s="12"/>
      <c r="AE370" s="12"/>
      <c r="AF370" s="12"/>
    </row>
    <row r="371" spans="1:32">
      <c r="A371" s="8"/>
      <c r="B371" s="8"/>
      <c r="C371" s="8"/>
      <c r="D371" s="8"/>
      <c r="E371" s="8"/>
      <c r="F371" s="8"/>
      <c r="G371" s="8"/>
      <c r="H371" s="8"/>
      <c r="I371" s="8"/>
      <c r="J371" s="8"/>
      <c r="K371" s="8"/>
      <c r="L371" s="8"/>
      <c r="M371" s="8"/>
      <c r="N371" s="8"/>
      <c r="O371" s="8"/>
      <c r="P371" s="8"/>
      <c r="Q371" s="8"/>
      <c r="R371" s="8"/>
      <c r="S371" s="8"/>
      <c r="T371" s="8"/>
      <c r="U371" s="12"/>
      <c r="V371" s="12"/>
      <c r="W371" s="12"/>
      <c r="X371" s="12"/>
      <c r="Y371" s="12"/>
      <c r="Z371" s="12"/>
      <c r="AA371" s="12"/>
      <c r="AB371" s="12"/>
      <c r="AC371" s="12"/>
      <c r="AD371" s="12"/>
      <c r="AE371" s="12"/>
      <c r="AF371" s="12"/>
    </row>
    <row r="372" spans="1:32">
      <c r="A372" s="8"/>
      <c r="B372" s="8"/>
      <c r="C372" s="8"/>
      <c r="D372" s="8"/>
      <c r="E372" s="8"/>
      <c r="F372" s="8"/>
      <c r="G372" s="8"/>
      <c r="H372" s="8"/>
      <c r="I372" s="8"/>
      <c r="J372" s="8"/>
      <c r="K372" s="8"/>
      <c r="L372" s="8"/>
      <c r="M372" s="8"/>
      <c r="N372" s="8"/>
      <c r="O372" s="8"/>
      <c r="P372" s="8"/>
      <c r="Q372" s="8"/>
      <c r="R372" s="8"/>
      <c r="S372" s="8"/>
      <c r="T372" s="8"/>
      <c r="U372" s="12"/>
      <c r="V372" s="12"/>
      <c r="W372" s="12"/>
      <c r="X372" s="12"/>
      <c r="Y372" s="12"/>
      <c r="Z372" s="12"/>
      <c r="AA372" s="12"/>
      <c r="AB372" s="12"/>
      <c r="AC372" s="12"/>
      <c r="AD372" s="12"/>
      <c r="AE372" s="12"/>
      <c r="AF372" s="12"/>
    </row>
    <row r="373" spans="1:32">
      <c r="A373" s="8"/>
      <c r="B373" s="8"/>
      <c r="C373" s="8"/>
      <c r="D373" s="8"/>
      <c r="E373" s="8"/>
      <c r="F373" s="8"/>
      <c r="G373" s="8"/>
      <c r="H373" s="8"/>
      <c r="I373" s="8"/>
      <c r="J373" s="8"/>
      <c r="K373" s="8"/>
      <c r="L373" s="8"/>
      <c r="M373" s="8"/>
      <c r="N373" s="8"/>
      <c r="O373" s="8"/>
      <c r="P373" s="8"/>
      <c r="Q373" s="8"/>
      <c r="R373" s="8"/>
      <c r="S373" s="8"/>
      <c r="T373" s="8"/>
      <c r="U373" s="12"/>
      <c r="V373" s="12"/>
      <c r="W373" s="12"/>
      <c r="X373" s="12"/>
      <c r="Y373" s="12"/>
      <c r="Z373" s="12"/>
      <c r="AA373" s="12"/>
      <c r="AB373" s="12"/>
      <c r="AC373" s="12"/>
      <c r="AD373" s="12"/>
      <c r="AE373" s="12"/>
      <c r="AF373" s="12"/>
    </row>
    <row r="374" spans="1:32">
      <c r="A374" s="8"/>
      <c r="B374" s="8"/>
      <c r="C374" s="8"/>
      <c r="D374" s="8"/>
      <c r="E374" s="8"/>
      <c r="F374" s="8"/>
      <c r="G374" s="8"/>
      <c r="H374" s="8"/>
      <c r="I374" s="8"/>
      <c r="J374" s="8"/>
      <c r="K374" s="8"/>
      <c r="L374" s="8"/>
      <c r="M374" s="8"/>
      <c r="N374" s="8"/>
      <c r="O374" s="8"/>
      <c r="P374" s="8"/>
      <c r="Q374" s="8"/>
      <c r="R374" s="8"/>
      <c r="S374" s="8"/>
      <c r="T374" s="8"/>
      <c r="U374" s="12"/>
      <c r="V374" s="12"/>
      <c r="W374" s="12"/>
      <c r="X374" s="12"/>
      <c r="Y374" s="12"/>
      <c r="Z374" s="12"/>
      <c r="AA374" s="12"/>
      <c r="AB374" s="12"/>
      <c r="AC374" s="12"/>
      <c r="AD374" s="12"/>
      <c r="AE374" s="12"/>
      <c r="AF374" s="12"/>
    </row>
    <row r="375" spans="1:32">
      <c r="A375" s="8"/>
      <c r="B375" s="8"/>
      <c r="C375" s="8"/>
      <c r="D375" s="8"/>
      <c r="E375" s="8"/>
      <c r="F375" s="8"/>
      <c r="G375" s="8"/>
      <c r="H375" s="8"/>
      <c r="I375" s="8"/>
      <c r="J375" s="8"/>
      <c r="K375" s="8"/>
      <c r="L375" s="8"/>
      <c r="M375" s="8"/>
      <c r="N375" s="8"/>
      <c r="O375" s="8"/>
      <c r="P375" s="8"/>
      <c r="Q375" s="8"/>
      <c r="R375" s="8"/>
      <c r="S375" s="8"/>
      <c r="T375" s="8"/>
      <c r="U375" s="12"/>
      <c r="V375" s="12"/>
      <c r="W375" s="12"/>
      <c r="X375" s="12"/>
      <c r="Y375" s="12"/>
      <c r="Z375" s="12"/>
      <c r="AA375" s="12"/>
      <c r="AB375" s="12"/>
      <c r="AC375" s="12"/>
      <c r="AD375" s="12"/>
      <c r="AE375" s="12"/>
      <c r="AF375" s="12"/>
    </row>
    <row r="376" spans="1:32">
      <c r="A376" s="8"/>
      <c r="B376" s="8"/>
      <c r="C376" s="8"/>
      <c r="D376" s="8"/>
      <c r="E376" s="8"/>
      <c r="F376" s="8"/>
      <c r="G376" s="8"/>
      <c r="H376" s="8"/>
      <c r="I376" s="8"/>
      <c r="J376" s="8"/>
      <c r="K376" s="8"/>
      <c r="L376" s="8"/>
      <c r="M376" s="8"/>
      <c r="N376" s="8"/>
      <c r="O376" s="8"/>
      <c r="P376" s="8"/>
      <c r="Q376" s="8"/>
      <c r="R376" s="8"/>
      <c r="S376" s="8"/>
      <c r="T376" s="8"/>
      <c r="U376" s="12"/>
      <c r="V376" s="12"/>
      <c r="W376" s="12"/>
      <c r="X376" s="12"/>
      <c r="Y376" s="12"/>
      <c r="Z376" s="12"/>
      <c r="AA376" s="12"/>
      <c r="AB376" s="12"/>
      <c r="AC376" s="12"/>
      <c r="AD376" s="12"/>
      <c r="AE376" s="12"/>
      <c r="AF376" s="12"/>
    </row>
    <row r="377" spans="1:32">
      <c r="A377" s="8"/>
      <c r="B377" s="8"/>
      <c r="C377" s="8"/>
      <c r="D377" s="8"/>
      <c r="E377" s="8"/>
      <c r="F377" s="8"/>
      <c r="G377" s="8"/>
      <c r="H377" s="8"/>
      <c r="I377" s="8"/>
      <c r="J377" s="8"/>
      <c r="K377" s="8"/>
      <c r="L377" s="8"/>
      <c r="M377" s="8"/>
      <c r="N377" s="8"/>
      <c r="O377" s="8"/>
      <c r="P377" s="8"/>
      <c r="Q377" s="8"/>
      <c r="R377" s="8"/>
      <c r="S377" s="8"/>
      <c r="T377" s="8"/>
      <c r="U377" s="12"/>
      <c r="V377" s="12"/>
      <c r="W377" s="12"/>
      <c r="X377" s="12"/>
      <c r="Y377" s="12"/>
      <c r="Z377" s="12"/>
      <c r="AA377" s="12"/>
      <c r="AB377" s="12"/>
      <c r="AC377" s="12"/>
      <c r="AD377" s="12"/>
      <c r="AE377" s="12"/>
      <c r="AF377" s="12"/>
    </row>
    <row r="378" spans="1:32">
      <c r="A378" s="8"/>
      <c r="B378" s="8"/>
      <c r="C378" s="8"/>
      <c r="D378" s="8"/>
      <c r="E378" s="8"/>
      <c r="F378" s="8"/>
      <c r="G378" s="8"/>
      <c r="H378" s="8"/>
      <c r="I378" s="8"/>
      <c r="J378" s="8"/>
      <c r="K378" s="8"/>
      <c r="L378" s="8"/>
      <c r="M378" s="8"/>
      <c r="N378" s="8"/>
      <c r="O378" s="8"/>
      <c r="P378" s="8"/>
      <c r="Q378" s="8"/>
      <c r="R378" s="8"/>
      <c r="S378" s="8"/>
      <c r="T378" s="8"/>
      <c r="U378" s="12"/>
      <c r="V378" s="12"/>
      <c r="W378" s="12"/>
      <c r="X378" s="12"/>
      <c r="Y378" s="12"/>
      <c r="Z378" s="12"/>
      <c r="AA378" s="12"/>
      <c r="AB378" s="12"/>
      <c r="AC378" s="12"/>
      <c r="AD378" s="12"/>
      <c r="AE378" s="12"/>
      <c r="AF378" s="12"/>
    </row>
    <row r="379" spans="1:32">
      <c r="A379" s="8"/>
      <c r="B379" s="8"/>
      <c r="C379" s="8"/>
      <c r="D379" s="8"/>
      <c r="E379" s="8"/>
      <c r="F379" s="8"/>
      <c r="G379" s="8"/>
      <c r="H379" s="8"/>
      <c r="I379" s="8"/>
      <c r="J379" s="8"/>
      <c r="K379" s="8"/>
      <c r="L379" s="8"/>
      <c r="M379" s="8"/>
      <c r="N379" s="8"/>
      <c r="O379" s="8"/>
      <c r="P379" s="8"/>
      <c r="Q379" s="8"/>
      <c r="R379" s="8"/>
      <c r="S379" s="8"/>
      <c r="T379" s="8"/>
      <c r="U379" s="12"/>
      <c r="V379" s="12"/>
      <c r="W379" s="12"/>
      <c r="X379" s="12"/>
      <c r="Y379" s="12"/>
      <c r="Z379" s="12"/>
      <c r="AA379" s="12"/>
      <c r="AB379" s="12"/>
      <c r="AC379" s="12"/>
      <c r="AD379" s="12"/>
      <c r="AE379" s="12"/>
      <c r="AF379" s="12"/>
    </row>
    <row r="380" spans="1:32">
      <c r="A380" s="8"/>
      <c r="B380" s="8"/>
      <c r="C380" s="8"/>
      <c r="D380" s="8"/>
      <c r="E380" s="8"/>
      <c r="F380" s="8"/>
      <c r="G380" s="8"/>
      <c r="H380" s="8"/>
      <c r="I380" s="8"/>
      <c r="J380" s="8"/>
      <c r="K380" s="8"/>
      <c r="L380" s="8"/>
      <c r="M380" s="8"/>
      <c r="N380" s="8"/>
      <c r="O380" s="8"/>
      <c r="P380" s="8"/>
      <c r="Q380" s="8"/>
      <c r="R380" s="8"/>
      <c r="S380" s="8"/>
      <c r="T380" s="8"/>
      <c r="U380" s="12"/>
      <c r="V380" s="12"/>
      <c r="W380" s="12"/>
      <c r="X380" s="12"/>
      <c r="Y380" s="12"/>
      <c r="Z380" s="12"/>
      <c r="AA380" s="12"/>
      <c r="AB380" s="12"/>
      <c r="AC380" s="12"/>
      <c r="AD380" s="12"/>
      <c r="AE380" s="12"/>
      <c r="AF380" s="12"/>
    </row>
    <row r="381" spans="1:32">
      <c r="A381" s="8"/>
      <c r="B381" s="8"/>
      <c r="C381" s="8"/>
      <c r="D381" s="8"/>
      <c r="E381" s="8"/>
      <c r="F381" s="8"/>
      <c r="G381" s="8"/>
      <c r="H381" s="8"/>
      <c r="I381" s="8"/>
      <c r="J381" s="8"/>
      <c r="K381" s="8"/>
      <c r="L381" s="8"/>
      <c r="M381" s="8"/>
      <c r="N381" s="8"/>
      <c r="O381" s="8"/>
      <c r="P381" s="8"/>
      <c r="Q381" s="8"/>
      <c r="R381" s="8"/>
      <c r="S381" s="8"/>
      <c r="T381" s="8"/>
      <c r="U381" s="12"/>
      <c r="V381" s="12"/>
      <c r="W381" s="12"/>
      <c r="X381" s="12"/>
      <c r="Y381" s="12"/>
      <c r="Z381" s="12"/>
      <c r="AA381" s="12"/>
      <c r="AB381" s="12"/>
      <c r="AC381" s="12"/>
      <c r="AD381" s="12"/>
      <c r="AE381" s="12"/>
      <c r="AF381" s="12"/>
    </row>
    <row r="382" spans="1:32">
      <c r="A382" s="8"/>
      <c r="B382" s="8"/>
      <c r="C382" s="8"/>
      <c r="D382" s="8"/>
      <c r="E382" s="8"/>
      <c r="F382" s="8"/>
      <c r="G382" s="8"/>
      <c r="H382" s="8"/>
      <c r="I382" s="8"/>
      <c r="J382" s="8"/>
      <c r="K382" s="8"/>
      <c r="L382" s="8"/>
      <c r="M382" s="8"/>
      <c r="N382" s="8"/>
      <c r="O382" s="8"/>
      <c r="P382" s="8"/>
      <c r="Q382" s="8"/>
      <c r="R382" s="8"/>
      <c r="S382" s="8"/>
      <c r="T382" s="8"/>
      <c r="U382" s="12"/>
      <c r="V382" s="12"/>
      <c r="W382" s="12"/>
      <c r="X382" s="12"/>
      <c r="Y382" s="12"/>
      <c r="Z382" s="12"/>
      <c r="AA382" s="12"/>
      <c r="AB382" s="12"/>
      <c r="AC382" s="12"/>
      <c r="AD382" s="12"/>
      <c r="AE382" s="12"/>
      <c r="AF382" s="12"/>
    </row>
    <row r="383" spans="1:32">
      <c r="A383" s="8"/>
      <c r="B383" s="8"/>
      <c r="C383" s="8"/>
      <c r="D383" s="8"/>
      <c r="E383" s="8"/>
      <c r="F383" s="8"/>
      <c r="G383" s="8"/>
      <c r="H383" s="8"/>
      <c r="I383" s="8"/>
      <c r="J383" s="8"/>
      <c r="K383" s="8"/>
      <c r="L383" s="8"/>
      <c r="M383" s="8"/>
      <c r="N383" s="8"/>
      <c r="O383" s="8"/>
      <c r="P383" s="8"/>
      <c r="Q383" s="8"/>
      <c r="R383" s="8"/>
      <c r="S383" s="8"/>
      <c r="T383" s="8"/>
      <c r="U383" s="12"/>
      <c r="V383" s="12"/>
      <c r="W383" s="12"/>
      <c r="X383" s="12"/>
      <c r="Y383" s="12"/>
      <c r="Z383" s="12"/>
      <c r="AA383" s="12"/>
      <c r="AB383" s="12"/>
      <c r="AC383" s="12"/>
      <c r="AD383" s="12"/>
      <c r="AE383" s="12"/>
      <c r="AF383" s="12"/>
    </row>
    <row r="384" spans="1:32">
      <c r="A384" s="8"/>
      <c r="B384" s="8"/>
      <c r="C384" s="8"/>
      <c r="D384" s="8"/>
      <c r="E384" s="8"/>
      <c r="F384" s="8"/>
      <c r="G384" s="8"/>
      <c r="H384" s="8"/>
      <c r="I384" s="8"/>
      <c r="J384" s="8"/>
      <c r="K384" s="8"/>
      <c r="L384" s="8"/>
      <c r="M384" s="8"/>
      <c r="N384" s="8"/>
      <c r="O384" s="8"/>
      <c r="P384" s="8"/>
      <c r="Q384" s="8"/>
      <c r="R384" s="8"/>
      <c r="S384" s="8"/>
      <c r="T384" s="8"/>
      <c r="U384" s="12"/>
      <c r="V384" s="12"/>
      <c r="W384" s="12"/>
      <c r="X384" s="12"/>
      <c r="Y384" s="12"/>
      <c r="Z384" s="12"/>
      <c r="AA384" s="12"/>
      <c r="AB384" s="12"/>
      <c r="AC384" s="12"/>
      <c r="AD384" s="12"/>
      <c r="AE384" s="12"/>
      <c r="AF384" s="12"/>
    </row>
    <row r="385" spans="1:32">
      <c r="A385" s="8"/>
      <c r="B385" s="8"/>
      <c r="C385" s="8"/>
      <c r="D385" s="8"/>
      <c r="E385" s="8"/>
      <c r="F385" s="8"/>
      <c r="G385" s="8"/>
      <c r="H385" s="8"/>
      <c r="I385" s="8"/>
      <c r="J385" s="8"/>
      <c r="K385" s="8"/>
      <c r="L385" s="8"/>
      <c r="M385" s="8"/>
      <c r="N385" s="8"/>
      <c r="O385" s="8"/>
      <c r="P385" s="8"/>
      <c r="Q385" s="8"/>
      <c r="R385" s="8"/>
      <c r="S385" s="8"/>
      <c r="T385" s="8"/>
      <c r="U385" s="12"/>
      <c r="V385" s="12"/>
      <c r="W385" s="12"/>
      <c r="X385" s="12"/>
      <c r="Y385" s="12"/>
      <c r="Z385" s="12"/>
      <c r="AA385" s="12"/>
      <c r="AB385" s="12"/>
      <c r="AC385" s="12"/>
      <c r="AD385" s="12"/>
      <c r="AE385" s="12"/>
      <c r="AF385" s="12"/>
    </row>
    <row r="386" spans="1:32">
      <c r="A386" s="8"/>
      <c r="B386" s="8"/>
      <c r="C386" s="8"/>
      <c r="D386" s="8"/>
      <c r="E386" s="8"/>
      <c r="F386" s="8"/>
      <c r="G386" s="8"/>
      <c r="H386" s="8"/>
      <c r="I386" s="8"/>
      <c r="J386" s="8"/>
      <c r="K386" s="8"/>
      <c r="L386" s="8"/>
      <c r="M386" s="8"/>
      <c r="N386" s="8"/>
      <c r="O386" s="8"/>
      <c r="P386" s="8"/>
      <c r="Q386" s="8"/>
      <c r="R386" s="8"/>
      <c r="S386" s="8"/>
      <c r="T386" s="8"/>
      <c r="U386" s="12"/>
      <c r="V386" s="12"/>
      <c r="W386" s="12"/>
      <c r="X386" s="12"/>
      <c r="Y386" s="12"/>
      <c r="Z386" s="12"/>
      <c r="AA386" s="12"/>
      <c r="AB386" s="12"/>
      <c r="AC386" s="12"/>
      <c r="AD386" s="12"/>
      <c r="AE386" s="12"/>
      <c r="AF386" s="12"/>
    </row>
    <row r="387" spans="1:32">
      <c r="A387" s="8"/>
      <c r="B387" s="8"/>
      <c r="C387" s="8"/>
      <c r="D387" s="8"/>
      <c r="E387" s="8"/>
      <c r="F387" s="8"/>
      <c r="G387" s="8"/>
      <c r="H387" s="8"/>
      <c r="I387" s="8"/>
      <c r="J387" s="8"/>
      <c r="K387" s="8"/>
      <c r="L387" s="8"/>
      <c r="M387" s="8"/>
      <c r="N387" s="8"/>
      <c r="O387" s="8"/>
      <c r="P387" s="8"/>
      <c r="Q387" s="8"/>
      <c r="R387" s="8"/>
      <c r="S387" s="8"/>
      <c r="T387" s="8"/>
      <c r="U387" s="12"/>
      <c r="V387" s="12"/>
      <c r="W387" s="12"/>
      <c r="X387" s="12"/>
      <c r="Y387" s="12"/>
      <c r="Z387" s="12"/>
      <c r="AA387" s="12"/>
      <c r="AB387" s="12"/>
      <c r="AC387" s="12"/>
      <c r="AD387" s="12"/>
      <c r="AE387" s="12"/>
      <c r="AF387" s="12"/>
    </row>
    <row r="388" spans="1:32">
      <c r="A388" s="8"/>
      <c r="B388" s="8"/>
      <c r="C388" s="8"/>
      <c r="D388" s="8"/>
      <c r="E388" s="8"/>
      <c r="F388" s="8"/>
      <c r="G388" s="8"/>
      <c r="H388" s="8"/>
      <c r="I388" s="8"/>
      <c r="J388" s="8"/>
      <c r="K388" s="8"/>
      <c r="L388" s="8"/>
      <c r="M388" s="8"/>
      <c r="N388" s="8"/>
      <c r="O388" s="8"/>
      <c r="P388" s="8"/>
      <c r="Q388" s="8"/>
      <c r="R388" s="8"/>
      <c r="S388" s="8"/>
      <c r="T388" s="8"/>
      <c r="U388" s="12"/>
      <c r="V388" s="12"/>
      <c r="W388" s="12"/>
      <c r="X388" s="12"/>
      <c r="Y388" s="12"/>
      <c r="Z388" s="12"/>
      <c r="AA388" s="12"/>
      <c r="AB388" s="12"/>
      <c r="AC388" s="12"/>
      <c r="AD388" s="12"/>
      <c r="AE388" s="12"/>
      <c r="AF388" s="12"/>
    </row>
    <row r="389" spans="1:32">
      <c r="A389" s="8"/>
      <c r="B389" s="8"/>
      <c r="C389" s="8"/>
      <c r="D389" s="8"/>
      <c r="E389" s="8"/>
      <c r="F389" s="8"/>
      <c r="G389" s="8"/>
      <c r="H389" s="8"/>
      <c r="I389" s="8"/>
      <c r="J389" s="8"/>
      <c r="K389" s="8"/>
      <c r="L389" s="8"/>
      <c r="M389" s="8"/>
      <c r="N389" s="8"/>
      <c r="O389" s="8"/>
      <c r="P389" s="8"/>
      <c r="Q389" s="8"/>
      <c r="R389" s="8"/>
      <c r="S389" s="8"/>
      <c r="T389" s="8"/>
      <c r="U389" s="12"/>
      <c r="V389" s="12"/>
      <c r="W389" s="12"/>
      <c r="X389" s="12"/>
      <c r="Y389" s="12"/>
      <c r="Z389" s="12"/>
      <c r="AA389" s="12"/>
      <c r="AB389" s="12"/>
      <c r="AC389" s="12"/>
      <c r="AD389" s="12"/>
      <c r="AE389" s="12"/>
      <c r="AF389" s="12"/>
    </row>
    <row r="390" spans="1:32">
      <c r="A390" s="8"/>
      <c r="B390" s="8"/>
      <c r="C390" s="8"/>
      <c r="D390" s="8"/>
      <c r="E390" s="8"/>
      <c r="F390" s="8"/>
      <c r="G390" s="8"/>
      <c r="H390" s="8"/>
      <c r="I390" s="8"/>
      <c r="J390" s="8"/>
      <c r="K390" s="8"/>
      <c r="L390" s="8"/>
      <c r="M390" s="8"/>
      <c r="N390" s="8"/>
      <c r="O390" s="8"/>
      <c r="P390" s="8"/>
      <c r="Q390" s="8"/>
      <c r="R390" s="8"/>
      <c r="S390" s="8"/>
      <c r="T390" s="8"/>
      <c r="U390" s="12"/>
      <c r="V390" s="12"/>
      <c r="W390" s="12"/>
      <c r="X390" s="12"/>
      <c r="Y390" s="12"/>
      <c r="Z390" s="12"/>
      <c r="AA390" s="12"/>
      <c r="AB390" s="12"/>
      <c r="AC390" s="12"/>
      <c r="AD390" s="12"/>
      <c r="AE390" s="12"/>
      <c r="AF390" s="12"/>
    </row>
    <row r="391" spans="1:32">
      <c r="A391" s="8"/>
      <c r="B391" s="8"/>
      <c r="C391" s="8"/>
      <c r="D391" s="8"/>
      <c r="E391" s="8"/>
      <c r="F391" s="8"/>
      <c r="G391" s="8"/>
      <c r="H391" s="8"/>
      <c r="I391" s="8"/>
      <c r="J391" s="8"/>
      <c r="K391" s="8"/>
      <c r="L391" s="8"/>
      <c r="M391" s="8"/>
      <c r="N391" s="8"/>
      <c r="O391" s="8"/>
      <c r="P391" s="8"/>
      <c r="Q391" s="8"/>
      <c r="R391" s="8"/>
      <c r="S391" s="8"/>
      <c r="T391" s="8"/>
      <c r="U391" s="12"/>
      <c r="V391" s="12"/>
      <c r="W391" s="12"/>
      <c r="X391" s="12"/>
      <c r="Y391" s="12"/>
      <c r="Z391" s="12"/>
      <c r="AA391" s="12"/>
      <c r="AB391" s="12"/>
      <c r="AC391" s="12"/>
      <c r="AD391" s="12"/>
      <c r="AE391" s="12"/>
      <c r="AF391" s="12"/>
    </row>
    <row r="392" spans="1:32">
      <c r="A392" s="8"/>
      <c r="B392" s="8"/>
      <c r="C392" s="8"/>
      <c r="D392" s="8"/>
      <c r="E392" s="8"/>
      <c r="F392" s="8"/>
      <c r="G392" s="8"/>
      <c r="H392" s="8"/>
      <c r="I392" s="8"/>
      <c r="J392" s="8"/>
      <c r="K392" s="8"/>
      <c r="L392" s="8"/>
      <c r="M392" s="8"/>
      <c r="N392" s="8"/>
      <c r="O392" s="8"/>
      <c r="P392" s="8"/>
      <c r="Q392" s="8"/>
      <c r="R392" s="8"/>
      <c r="S392" s="8"/>
      <c r="T392" s="8"/>
      <c r="U392" s="12"/>
      <c r="V392" s="12"/>
      <c r="W392" s="12"/>
      <c r="X392" s="12"/>
      <c r="Y392" s="12"/>
      <c r="Z392" s="12"/>
      <c r="AA392" s="12"/>
      <c r="AB392" s="12"/>
      <c r="AC392" s="12"/>
      <c r="AD392" s="12"/>
      <c r="AE392" s="12"/>
      <c r="AF392" s="12"/>
    </row>
    <row r="393" spans="1:32">
      <c r="A393" s="8"/>
      <c r="B393" s="8"/>
      <c r="C393" s="8"/>
      <c r="D393" s="8"/>
      <c r="E393" s="8"/>
      <c r="F393" s="8"/>
      <c r="G393" s="8"/>
      <c r="H393" s="8"/>
      <c r="I393" s="8"/>
      <c r="J393" s="8"/>
      <c r="K393" s="8"/>
      <c r="L393" s="8"/>
      <c r="M393" s="8"/>
      <c r="N393" s="8"/>
      <c r="O393" s="8"/>
      <c r="P393" s="8"/>
      <c r="Q393" s="8"/>
      <c r="R393" s="8"/>
      <c r="S393" s="8"/>
      <c r="T393" s="8"/>
      <c r="U393" s="12"/>
      <c r="V393" s="12"/>
      <c r="W393" s="12"/>
      <c r="X393" s="12"/>
      <c r="Y393" s="12"/>
      <c r="Z393" s="12"/>
      <c r="AA393" s="12"/>
      <c r="AB393" s="12"/>
      <c r="AC393" s="12"/>
      <c r="AD393" s="12"/>
      <c r="AE393" s="12"/>
      <c r="AF393" s="12"/>
    </row>
    <row r="394" spans="1:32">
      <c r="A394" s="8"/>
      <c r="B394" s="8"/>
      <c r="C394" s="8"/>
      <c r="D394" s="8"/>
      <c r="E394" s="8"/>
      <c r="F394" s="8"/>
      <c r="G394" s="8"/>
      <c r="H394" s="8"/>
      <c r="I394" s="8"/>
      <c r="J394" s="8"/>
      <c r="K394" s="8"/>
      <c r="L394" s="8"/>
      <c r="M394" s="8"/>
      <c r="N394" s="8"/>
      <c r="O394" s="8"/>
      <c r="P394" s="8"/>
      <c r="Q394" s="8"/>
      <c r="R394" s="8"/>
      <c r="S394" s="8"/>
      <c r="T394" s="8"/>
      <c r="U394" s="12"/>
      <c r="V394" s="12"/>
      <c r="W394" s="12"/>
      <c r="X394" s="12"/>
      <c r="Y394" s="12"/>
      <c r="Z394" s="12"/>
      <c r="AA394" s="12"/>
      <c r="AB394" s="12"/>
      <c r="AC394" s="12"/>
      <c r="AD394" s="12"/>
      <c r="AE394" s="12"/>
      <c r="AF394" s="12"/>
    </row>
    <row r="395" spans="1:32">
      <c r="A395" s="8"/>
      <c r="B395" s="8"/>
      <c r="C395" s="8"/>
      <c r="D395" s="8"/>
      <c r="E395" s="8"/>
      <c r="F395" s="8"/>
      <c r="G395" s="8"/>
      <c r="H395" s="8"/>
      <c r="I395" s="8"/>
      <c r="J395" s="8"/>
      <c r="K395" s="8"/>
      <c r="L395" s="8"/>
      <c r="M395" s="8"/>
      <c r="N395" s="8"/>
      <c r="O395" s="8"/>
      <c r="P395" s="8"/>
      <c r="Q395" s="8"/>
      <c r="R395" s="8"/>
      <c r="S395" s="8"/>
      <c r="T395" s="8"/>
      <c r="U395" s="12"/>
      <c r="V395" s="12"/>
      <c r="W395" s="12"/>
      <c r="X395" s="12"/>
      <c r="Y395" s="12"/>
      <c r="Z395" s="12"/>
      <c r="AA395" s="12"/>
      <c r="AB395" s="12"/>
      <c r="AC395" s="12"/>
      <c r="AD395" s="12"/>
      <c r="AE395" s="12"/>
      <c r="AF395" s="12"/>
    </row>
    <row r="396" spans="1:32">
      <c r="A396" s="8"/>
      <c r="B396" s="8"/>
      <c r="C396" s="8"/>
      <c r="D396" s="8"/>
      <c r="E396" s="8"/>
      <c r="F396" s="8"/>
      <c r="G396" s="8"/>
      <c r="H396" s="8"/>
      <c r="I396" s="8"/>
      <c r="J396" s="8"/>
      <c r="K396" s="8"/>
      <c r="L396" s="8"/>
      <c r="M396" s="8"/>
      <c r="N396" s="8"/>
      <c r="O396" s="8"/>
      <c r="P396" s="8"/>
      <c r="Q396" s="8"/>
      <c r="R396" s="8"/>
      <c r="S396" s="8"/>
      <c r="T396" s="8"/>
      <c r="U396" s="12"/>
      <c r="V396" s="12"/>
      <c r="W396" s="12"/>
      <c r="X396" s="12"/>
      <c r="Y396" s="12"/>
      <c r="Z396" s="12"/>
      <c r="AA396" s="12"/>
      <c r="AB396" s="12"/>
      <c r="AC396" s="12"/>
      <c r="AD396" s="12"/>
      <c r="AE396" s="12"/>
      <c r="AF396" s="12"/>
    </row>
    <row r="397" spans="1:32">
      <c r="A397" s="8"/>
      <c r="B397" s="8"/>
      <c r="C397" s="8"/>
      <c r="D397" s="8"/>
      <c r="E397" s="8"/>
      <c r="F397" s="8"/>
      <c r="G397" s="8"/>
      <c r="H397" s="8"/>
      <c r="I397" s="8"/>
      <c r="J397" s="8"/>
      <c r="K397" s="8"/>
      <c r="L397" s="8"/>
      <c r="M397" s="8"/>
      <c r="N397" s="8"/>
      <c r="O397" s="8"/>
      <c r="P397" s="8"/>
      <c r="Q397" s="8"/>
      <c r="R397" s="8"/>
      <c r="S397" s="8"/>
      <c r="T397" s="8"/>
      <c r="U397" s="12"/>
      <c r="V397" s="12"/>
      <c r="W397" s="12"/>
      <c r="X397" s="12"/>
      <c r="Y397" s="12"/>
      <c r="Z397" s="12"/>
      <c r="AA397" s="12"/>
      <c r="AB397" s="12"/>
      <c r="AC397" s="12"/>
      <c r="AD397" s="12"/>
      <c r="AE397" s="12"/>
      <c r="AF397" s="12"/>
    </row>
    <row r="398" spans="1:32">
      <c r="A398" s="8"/>
      <c r="B398" s="8"/>
      <c r="C398" s="8"/>
      <c r="D398" s="8"/>
      <c r="E398" s="8"/>
      <c r="F398" s="8"/>
      <c r="G398" s="8"/>
      <c r="H398" s="8"/>
      <c r="I398" s="8"/>
      <c r="J398" s="8"/>
      <c r="K398" s="8"/>
      <c r="L398" s="8"/>
      <c r="M398" s="8"/>
      <c r="N398" s="8"/>
      <c r="O398" s="8"/>
      <c r="P398" s="8"/>
      <c r="Q398" s="8"/>
      <c r="R398" s="8"/>
      <c r="S398" s="8"/>
      <c r="T398" s="8"/>
      <c r="U398" s="12"/>
      <c r="V398" s="12"/>
      <c r="W398" s="12"/>
      <c r="X398" s="12"/>
      <c r="Y398" s="12"/>
      <c r="Z398" s="12"/>
      <c r="AA398" s="12"/>
      <c r="AB398" s="12"/>
      <c r="AC398" s="12"/>
      <c r="AD398" s="12"/>
      <c r="AE398" s="12"/>
      <c r="AF398" s="12"/>
    </row>
    <row r="399" spans="1:32">
      <c r="A399" s="8"/>
      <c r="B399" s="8"/>
      <c r="C399" s="8"/>
      <c r="D399" s="8"/>
      <c r="E399" s="8"/>
      <c r="F399" s="8"/>
      <c r="G399" s="8"/>
      <c r="H399" s="8"/>
      <c r="I399" s="8"/>
      <c r="J399" s="8"/>
      <c r="K399" s="8"/>
      <c r="L399" s="8"/>
      <c r="M399" s="8"/>
      <c r="N399" s="8"/>
      <c r="O399" s="8"/>
      <c r="P399" s="8"/>
      <c r="Q399" s="8"/>
      <c r="R399" s="8"/>
      <c r="S399" s="8"/>
      <c r="T399" s="8"/>
      <c r="U399" s="12"/>
      <c r="V399" s="12"/>
      <c r="W399" s="12"/>
      <c r="X399" s="12"/>
      <c r="Y399" s="12"/>
      <c r="Z399" s="12"/>
      <c r="AA399" s="12"/>
      <c r="AB399" s="12"/>
      <c r="AC399" s="12"/>
      <c r="AD399" s="12"/>
      <c r="AE399" s="12"/>
      <c r="AF399" s="12"/>
    </row>
    <row r="400" spans="1:32">
      <c r="A400" s="8"/>
      <c r="B400" s="8"/>
      <c r="C400" s="8"/>
      <c r="D400" s="8"/>
      <c r="E400" s="8"/>
      <c r="F400" s="8"/>
      <c r="G400" s="8"/>
      <c r="H400" s="8"/>
      <c r="I400" s="8"/>
      <c r="J400" s="8"/>
      <c r="K400" s="8"/>
      <c r="L400" s="8"/>
      <c r="M400" s="8"/>
      <c r="N400" s="8"/>
      <c r="O400" s="8"/>
      <c r="P400" s="8"/>
      <c r="Q400" s="8"/>
      <c r="R400" s="8"/>
      <c r="S400" s="8"/>
      <c r="T400" s="8"/>
      <c r="U400" s="12"/>
      <c r="V400" s="12"/>
      <c r="W400" s="12"/>
      <c r="X400" s="12"/>
      <c r="Y400" s="12"/>
      <c r="Z400" s="12"/>
      <c r="AA400" s="12"/>
      <c r="AB400" s="12"/>
      <c r="AC400" s="12"/>
      <c r="AD400" s="12"/>
      <c r="AE400" s="12"/>
      <c r="AF400" s="12"/>
    </row>
    <row r="401" spans="1:32">
      <c r="A401" s="8"/>
      <c r="B401" s="8"/>
      <c r="C401" s="8"/>
      <c r="D401" s="8"/>
      <c r="E401" s="8"/>
      <c r="F401" s="8"/>
      <c r="G401" s="8"/>
      <c r="H401" s="8"/>
      <c r="I401" s="8"/>
      <c r="J401" s="8"/>
      <c r="K401" s="8"/>
      <c r="L401" s="8"/>
      <c r="M401" s="8"/>
      <c r="N401" s="8"/>
      <c r="O401" s="8"/>
      <c r="P401" s="8"/>
      <c r="Q401" s="8"/>
      <c r="R401" s="8"/>
      <c r="S401" s="8"/>
      <c r="T401" s="8"/>
      <c r="U401" s="12"/>
      <c r="V401" s="12"/>
      <c r="W401" s="12"/>
      <c r="X401" s="12"/>
      <c r="Y401" s="12"/>
      <c r="Z401" s="12"/>
      <c r="AA401" s="12"/>
      <c r="AB401" s="12"/>
      <c r="AC401" s="12"/>
      <c r="AD401" s="12"/>
      <c r="AE401" s="12"/>
      <c r="AF401" s="12"/>
    </row>
    <row r="402" spans="1:32">
      <c r="A402" s="8"/>
      <c r="B402" s="8"/>
      <c r="C402" s="8"/>
      <c r="D402" s="8"/>
      <c r="E402" s="8"/>
      <c r="F402" s="8"/>
      <c r="G402" s="8"/>
      <c r="H402" s="8"/>
      <c r="I402" s="8"/>
      <c r="J402" s="8"/>
      <c r="K402" s="8"/>
      <c r="L402" s="8"/>
      <c r="M402" s="8"/>
      <c r="N402" s="8"/>
      <c r="O402" s="8"/>
      <c r="P402" s="8"/>
      <c r="Q402" s="8"/>
      <c r="R402" s="8"/>
      <c r="S402" s="8"/>
      <c r="T402" s="8"/>
      <c r="U402" s="12"/>
      <c r="V402" s="12"/>
      <c r="W402" s="12"/>
      <c r="X402" s="12"/>
      <c r="Y402" s="12"/>
      <c r="Z402" s="12"/>
      <c r="AA402" s="12"/>
      <c r="AB402" s="12"/>
      <c r="AC402" s="12"/>
      <c r="AD402" s="12"/>
      <c r="AE402" s="12"/>
      <c r="AF402" s="12"/>
    </row>
    <row r="403" spans="1:32">
      <c r="A403" s="8"/>
      <c r="B403" s="8"/>
      <c r="C403" s="8"/>
      <c r="D403" s="8"/>
      <c r="E403" s="8"/>
      <c r="F403" s="8"/>
      <c r="G403" s="8"/>
      <c r="H403" s="8"/>
      <c r="I403" s="8"/>
      <c r="J403" s="8"/>
      <c r="K403" s="8"/>
      <c r="L403" s="8"/>
      <c r="M403" s="8"/>
      <c r="N403" s="8"/>
      <c r="O403" s="8"/>
      <c r="P403" s="8"/>
      <c r="Q403" s="8"/>
      <c r="R403" s="8"/>
      <c r="S403" s="8"/>
      <c r="T403" s="8"/>
      <c r="U403" s="12"/>
      <c r="V403" s="12"/>
      <c r="W403" s="12"/>
      <c r="X403" s="12"/>
      <c r="Y403" s="12"/>
      <c r="Z403" s="12"/>
      <c r="AA403" s="12"/>
      <c r="AB403" s="12"/>
      <c r="AC403" s="12"/>
      <c r="AD403" s="12"/>
      <c r="AE403" s="12"/>
      <c r="AF403" s="12"/>
    </row>
    <row r="404" spans="1:32">
      <c r="A404" s="8"/>
      <c r="B404" s="8"/>
      <c r="C404" s="8"/>
      <c r="D404" s="8"/>
      <c r="E404" s="8"/>
      <c r="F404" s="8"/>
      <c r="G404" s="8"/>
      <c r="H404" s="8"/>
      <c r="I404" s="8"/>
      <c r="J404" s="8"/>
      <c r="K404" s="8"/>
      <c r="L404" s="8"/>
      <c r="M404" s="8"/>
      <c r="N404" s="8"/>
      <c r="O404" s="8"/>
      <c r="P404" s="8"/>
      <c r="Q404" s="8"/>
      <c r="R404" s="8"/>
      <c r="S404" s="8"/>
      <c r="T404" s="8"/>
      <c r="U404" s="12"/>
      <c r="V404" s="12"/>
      <c r="W404" s="12"/>
      <c r="X404" s="12"/>
      <c r="Y404" s="12"/>
      <c r="Z404" s="12"/>
      <c r="AA404" s="12"/>
      <c r="AB404" s="12"/>
      <c r="AC404" s="12"/>
      <c r="AD404" s="12"/>
      <c r="AE404" s="12"/>
      <c r="AF404" s="12"/>
    </row>
    <row r="405" spans="1:32">
      <c r="A405" s="8"/>
      <c r="B405" s="8"/>
      <c r="C405" s="8"/>
      <c r="D405" s="8"/>
      <c r="E405" s="8"/>
      <c r="F405" s="8"/>
      <c r="G405" s="8"/>
      <c r="H405" s="8"/>
      <c r="I405" s="8"/>
      <c r="J405" s="8"/>
      <c r="K405" s="8"/>
      <c r="L405" s="8"/>
      <c r="M405" s="8"/>
      <c r="N405" s="8"/>
      <c r="O405" s="8"/>
      <c r="P405" s="8"/>
      <c r="Q405" s="8"/>
      <c r="R405" s="8"/>
      <c r="S405" s="8"/>
      <c r="T405" s="8"/>
      <c r="U405" s="12"/>
      <c r="V405" s="12"/>
      <c r="W405" s="12"/>
      <c r="X405" s="12"/>
      <c r="Y405" s="12"/>
      <c r="Z405" s="12"/>
      <c r="AA405" s="12"/>
      <c r="AB405" s="12"/>
      <c r="AC405" s="12"/>
      <c r="AD405" s="12"/>
      <c r="AE405" s="12"/>
      <c r="AF405" s="12"/>
    </row>
    <row r="406" spans="1:32">
      <c r="A406" s="8"/>
      <c r="B406" s="8"/>
      <c r="C406" s="8"/>
      <c r="D406" s="8"/>
      <c r="E406" s="8"/>
      <c r="F406" s="8"/>
      <c r="G406" s="8"/>
      <c r="H406" s="8"/>
      <c r="I406" s="8"/>
      <c r="J406" s="8"/>
      <c r="K406" s="8"/>
      <c r="L406" s="8"/>
      <c r="M406" s="8"/>
      <c r="N406" s="8"/>
      <c r="O406" s="8"/>
      <c r="P406" s="8"/>
      <c r="Q406" s="8"/>
      <c r="R406" s="8"/>
      <c r="S406" s="8"/>
      <c r="T406" s="8"/>
      <c r="U406" s="12"/>
      <c r="V406" s="12"/>
      <c r="W406" s="12"/>
      <c r="X406" s="12"/>
      <c r="Y406" s="12"/>
      <c r="Z406" s="12"/>
      <c r="AA406" s="12"/>
      <c r="AB406" s="12"/>
      <c r="AC406" s="12"/>
      <c r="AD406" s="12"/>
      <c r="AE406" s="12"/>
      <c r="AF406" s="12"/>
    </row>
    <row r="407" spans="1:32">
      <c r="A407" s="8"/>
      <c r="B407" s="8"/>
      <c r="C407" s="8"/>
      <c r="D407" s="8"/>
      <c r="E407" s="8"/>
      <c r="F407" s="8"/>
      <c r="G407" s="8"/>
      <c r="H407" s="8"/>
      <c r="I407" s="8"/>
      <c r="J407" s="8"/>
      <c r="K407" s="8"/>
      <c r="L407" s="8"/>
      <c r="M407" s="8"/>
      <c r="N407" s="8"/>
      <c r="O407" s="8"/>
      <c r="P407" s="8"/>
      <c r="Q407" s="8"/>
      <c r="R407" s="8"/>
      <c r="S407" s="8"/>
      <c r="T407" s="8"/>
      <c r="U407" s="12"/>
      <c r="V407" s="12"/>
      <c r="W407" s="12"/>
      <c r="X407" s="12"/>
      <c r="Y407" s="12"/>
      <c r="Z407" s="12"/>
      <c r="AA407" s="12"/>
      <c r="AB407" s="12"/>
      <c r="AC407" s="12"/>
      <c r="AD407" s="12"/>
      <c r="AE407" s="12"/>
      <c r="AF407" s="12"/>
    </row>
    <row r="408" spans="1:32">
      <c r="A408" s="8"/>
      <c r="B408" s="8"/>
      <c r="C408" s="8"/>
      <c r="D408" s="8"/>
      <c r="E408" s="8"/>
      <c r="F408" s="8"/>
      <c r="G408" s="8"/>
      <c r="H408" s="8"/>
      <c r="I408" s="8"/>
      <c r="J408" s="8"/>
      <c r="K408" s="8"/>
      <c r="L408" s="8"/>
      <c r="M408" s="8"/>
      <c r="N408" s="8"/>
      <c r="O408" s="8"/>
      <c r="P408" s="8"/>
      <c r="Q408" s="8"/>
      <c r="R408" s="8"/>
      <c r="S408" s="8"/>
      <c r="T408" s="8"/>
      <c r="U408" s="12"/>
      <c r="V408" s="12"/>
      <c r="W408" s="12"/>
      <c r="X408" s="12"/>
      <c r="Y408" s="12"/>
      <c r="Z408" s="12"/>
      <c r="AA408" s="12"/>
      <c r="AB408" s="12"/>
      <c r="AC408" s="12"/>
      <c r="AD408" s="12"/>
      <c r="AE408" s="12"/>
      <c r="AF408" s="12"/>
    </row>
    <row r="409" spans="1:32">
      <c r="A409" s="8"/>
      <c r="B409" s="8"/>
      <c r="C409" s="8"/>
      <c r="D409" s="8"/>
      <c r="E409" s="8"/>
      <c r="F409" s="8"/>
      <c r="G409" s="8"/>
      <c r="H409" s="8"/>
      <c r="I409" s="8"/>
      <c r="J409" s="8"/>
      <c r="K409" s="8"/>
      <c r="L409" s="8"/>
      <c r="M409" s="8"/>
      <c r="N409" s="8"/>
      <c r="O409" s="8"/>
      <c r="P409" s="8"/>
      <c r="Q409" s="8"/>
      <c r="R409" s="8"/>
      <c r="S409" s="8"/>
      <c r="T409" s="8"/>
      <c r="U409" s="12"/>
      <c r="V409" s="12"/>
      <c r="W409" s="12"/>
      <c r="X409" s="12"/>
      <c r="Y409" s="12"/>
      <c r="Z409" s="12"/>
      <c r="AA409" s="12"/>
      <c r="AB409" s="12"/>
      <c r="AC409" s="12"/>
      <c r="AD409" s="12"/>
      <c r="AE409" s="12"/>
      <c r="AF409" s="12"/>
    </row>
    <row r="410" spans="1:32">
      <c r="A410" s="8"/>
      <c r="B410" s="8"/>
      <c r="C410" s="8"/>
      <c r="D410" s="8"/>
      <c r="E410" s="8"/>
      <c r="F410" s="8"/>
      <c r="G410" s="8"/>
      <c r="H410" s="8"/>
      <c r="I410" s="8"/>
      <c r="J410" s="8"/>
      <c r="K410" s="8"/>
      <c r="L410" s="8"/>
      <c r="M410" s="8"/>
      <c r="N410" s="8"/>
      <c r="O410" s="8"/>
      <c r="P410" s="8"/>
      <c r="Q410" s="8"/>
      <c r="R410" s="8"/>
      <c r="S410" s="8"/>
      <c r="T410" s="8"/>
      <c r="U410" s="12"/>
      <c r="V410" s="12"/>
      <c r="W410" s="12"/>
      <c r="X410" s="12"/>
      <c r="Y410" s="12"/>
      <c r="Z410" s="12"/>
      <c r="AA410" s="12"/>
      <c r="AB410" s="12"/>
      <c r="AC410" s="12"/>
      <c r="AD410" s="12"/>
      <c r="AE410" s="12"/>
      <c r="AF410" s="12"/>
    </row>
    <row r="411" spans="1:32">
      <c r="A411" s="8"/>
      <c r="B411" s="8"/>
      <c r="C411" s="8"/>
      <c r="D411" s="8"/>
      <c r="E411" s="8"/>
      <c r="F411" s="8"/>
      <c r="G411" s="8"/>
      <c r="H411" s="8"/>
      <c r="I411" s="8"/>
      <c r="J411" s="8"/>
      <c r="K411" s="8"/>
      <c r="L411" s="8"/>
      <c r="M411" s="8"/>
      <c r="N411" s="8"/>
      <c r="O411" s="8"/>
      <c r="P411" s="8"/>
      <c r="Q411" s="8"/>
      <c r="R411" s="8"/>
      <c r="S411" s="8"/>
      <c r="T411" s="8"/>
      <c r="U411" s="12"/>
      <c r="V411" s="12"/>
      <c r="W411" s="12"/>
      <c r="X411" s="12"/>
      <c r="Y411" s="12"/>
      <c r="Z411" s="12"/>
      <c r="AA411" s="12"/>
      <c r="AB411" s="12"/>
      <c r="AC411" s="12"/>
      <c r="AD411" s="12"/>
      <c r="AE411" s="12"/>
      <c r="AF411" s="12"/>
    </row>
    <row r="412" spans="1:32">
      <c r="A412" s="8"/>
      <c r="B412" s="8"/>
      <c r="C412" s="8"/>
      <c r="D412" s="8"/>
      <c r="E412" s="8"/>
      <c r="F412" s="8"/>
      <c r="G412" s="8"/>
      <c r="H412" s="8"/>
      <c r="I412" s="8"/>
      <c r="J412" s="8"/>
      <c r="K412" s="8"/>
      <c r="L412" s="8"/>
      <c r="M412" s="8"/>
      <c r="N412" s="8"/>
      <c r="O412" s="8"/>
      <c r="P412" s="8"/>
      <c r="Q412" s="8"/>
      <c r="R412" s="8"/>
      <c r="S412" s="8"/>
      <c r="T412" s="8"/>
      <c r="U412" s="12"/>
      <c r="V412" s="12"/>
      <c r="W412" s="12"/>
      <c r="X412" s="12"/>
      <c r="Y412" s="12"/>
      <c r="Z412" s="12"/>
      <c r="AA412" s="12"/>
      <c r="AB412" s="12"/>
      <c r="AC412" s="12"/>
      <c r="AD412" s="12"/>
      <c r="AE412" s="12"/>
      <c r="AF412" s="12"/>
    </row>
    <row r="413" spans="1:32">
      <c r="A413" s="8"/>
      <c r="B413" s="8"/>
      <c r="C413" s="8"/>
      <c r="D413" s="8"/>
      <c r="E413" s="8"/>
      <c r="F413" s="8"/>
      <c r="G413" s="8"/>
      <c r="H413" s="8"/>
      <c r="I413" s="8"/>
      <c r="J413" s="8"/>
      <c r="K413" s="8"/>
      <c r="L413" s="8"/>
      <c r="M413" s="8"/>
      <c r="N413" s="8"/>
      <c r="O413" s="8"/>
      <c r="P413" s="8"/>
      <c r="Q413" s="8"/>
      <c r="R413" s="8"/>
      <c r="S413" s="8"/>
      <c r="T413" s="8"/>
      <c r="U413" s="12"/>
      <c r="V413" s="12"/>
      <c r="W413" s="12"/>
      <c r="X413" s="12"/>
      <c r="Y413" s="12"/>
      <c r="Z413" s="12"/>
      <c r="AA413" s="12"/>
      <c r="AB413" s="12"/>
      <c r="AC413" s="12"/>
      <c r="AD413" s="12"/>
      <c r="AE413" s="12"/>
      <c r="AF413" s="12"/>
    </row>
    <row r="414" spans="1:32">
      <c r="A414" s="8"/>
      <c r="B414" s="8"/>
      <c r="C414" s="8"/>
      <c r="D414" s="8"/>
      <c r="E414" s="8"/>
      <c r="F414" s="8"/>
      <c r="G414" s="8"/>
      <c r="H414" s="8"/>
      <c r="I414" s="8"/>
      <c r="J414" s="8"/>
      <c r="K414" s="8"/>
      <c r="L414" s="8"/>
      <c r="M414" s="8"/>
      <c r="N414" s="8"/>
      <c r="O414" s="8"/>
      <c r="P414" s="8"/>
      <c r="Q414" s="8"/>
      <c r="R414" s="8"/>
      <c r="S414" s="8"/>
      <c r="T414" s="8"/>
      <c r="U414" s="12"/>
      <c r="V414" s="12"/>
      <c r="W414" s="12"/>
      <c r="X414" s="12"/>
      <c r="Y414" s="12"/>
      <c r="Z414" s="12"/>
      <c r="AA414" s="12"/>
      <c r="AB414" s="12"/>
      <c r="AC414" s="12"/>
      <c r="AD414" s="12"/>
      <c r="AE414" s="12"/>
      <c r="AF414" s="12"/>
    </row>
    <row r="415" spans="1:32">
      <c r="A415" s="8"/>
      <c r="B415" s="8"/>
      <c r="C415" s="8"/>
      <c r="D415" s="8"/>
      <c r="E415" s="8"/>
      <c r="F415" s="8"/>
      <c r="G415" s="8"/>
      <c r="H415" s="8"/>
      <c r="I415" s="8"/>
      <c r="J415" s="8"/>
      <c r="K415" s="8"/>
      <c r="L415" s="8"/>
      <c r="M415" s="8"/>
      <c r="N415" s="8"/>
      <c r="O415" s="8"/>
      <c r="P415" s="8"/>
      <c r="Q415" s="8"/>
      <c r="R415" s="8"/>
      <c r="S415" s="8"/>
      <c r="T415" s="8"/>
      <c r="U415" s="12"/>
      <c r="V415" s="12"/>
      <c r="W415" s="12"/>
      <c r="X415" s="12"/>
      <c r="Y415" s="12"/>
      <c r="Z415" s="12"/>
      <c r="AA415" s="12"/>
      <c r="AB415" s="12"/>
      <c r="AC415" s="12"/>
      <c r="AD415" s="12"/>
      <c r="AE415" s="12"/>
      <c r="AF415" s="12"/>
    </row>
    <row r="416" spans="1:32">
      <c r="A416" s="8"/>
      <c r="B416" s="8"/>
      <c r="C416" s="8"/>
      <c r="D416" s="8"/>
      <c r="E416" s="8"/>
      <c r="F416" s="8"/>
      <c r="G416" s="8"/>
      <c r="H416" s="8"/>
      <c r="I416" s="8"/>
      <c r="J416" s="8"/>
      <c r="K416" s="8"/>
      <c r="L416" s="8"/>
      <c r="M416" s="8"/>
      <c r="N416" s="8"/>
      <c r="O416" s="8"/>
      <c r="P416" s="8"/>
      <c r="Q416" s="8"/>
      <c r="R416" s="8"/>
      <c r="S416" s="8"/>
      <c r="T416" s="8"/>
      <c r="U416" s="12"/>
      <c r="V416" s="12"/>
      <c r="W416" s="12"/>
      <c r="X416" s="12"/>
      <c r="Y416" s="12"/>
      <c r="Z416" s="12"/>
      <c r="AA416" s="12"/>
      <c r="AB416" s="12"/>
      <c r="AC416" s="12"/>
      <c r="AD416" s="12"/>
      <c r="AE416" s="12"/>
      <c r="AF416" s="12"/>
    </row>
    <row r="417" spans="1:32">
      <c r="A417" s="8"/>
      <c r="B417" s="8"/>
      <c r="C417" s="8"/>
      <c r="D417" s="8"/>
      <c r="E417" s="8"/>
      <c r="F417" s="8"/>
      <c r="G417" s="8"/>
      <c r="H417" s="8"/>
      <c r="I417" s="8"/>
      <c r="J417" s="8"/>
      <c r="K417" s="8"/>
      <c r="L417" s="8"/>
      <c r="M417" s="8"/>
      <c r="N417" s="8"/>
      <c r="O417" s="8"/>
      <c r="P417" s="8"/>
      <c r="Q417" s="8"/>
      <c r="R417" s="8"/>
      <c r="S417" s="8"/>
      <c r="T417" s="8"/>
      <c r="U417" s="12"/>
      <c r="V417" s="12"/>
      <c r="W417" s="12"/>
      <c r="X417" s="12"/>
      <c r="Y417" s="12"/>
      <c r="Z417" s="12"/>
      <c r="AA417" s="12"/>
      <c r="AB417" s="12"/>
      <c r="AC417" s="12"/>
      <c r="AD417" s="12"/>
      <c r="AE417" s="12"/>
      <c r="AF417" s="12"/>
    </row>
    <row r="418" spans="1:32">
      <c r="A418" s="8"/>
      <c r="B418" s="8"/>
      <c r="C418" s="8"/>
      <c r="D418" s="8"/>
      <c r="E418" s="8"/>
      <c r="F418" s="8"/>
      <c r="G418" s="8"/>
      <c r="H418" s="8"/>
      <c r="I418" s="8"/>
      <c r="J418" s="8"/>
      <c r="K418" s="8"/>
      <c r="L418" s="8"/>
      <c r="M418" s="8"/>
      <c r="N418" s="8"/>
      <c r="O418" s="8"/>
      <c r="P418" s="8"/>
      <c r="Q418" s="8"/>
      <c r="R418" s="8"/>
      <c r="S418" s="8"/>
      <c r="T418" s="8"/>
      <c r="U418" s="12"/>
      <c r="V418" s="12"/>
      <c r="W418" s="12"/>
      <c r="X418" s="12"/>
      <c r="Y418" s="12"/>
      <c r="Z418" s="12"/>
      <c r="AA418" s="12"/>
      <c r="AB418" s="12"/>
      <c r="AC418" s="12"/>
      <c r="AD418" s="12"/>
      <c r="AE418" s="12"/>
      <c r="AF418" s="12"/>
    </row>
    <row r="419" spans="1:32">
      <c r="A419" s="8"/>
      <c r="B419" s="8"/>
      <c r="C419" s="8"/>
      <c r="D419" s="8"/>
      <c r="E419" s="8"/>
      <c r="F419" s="8"/>
      <c r="G419" s="8"/>
      <c r="H419" s="8"/>
      <c r="I419" s="8"/>
      <c r="J419" s="8"/>
      <c r="K419" s="8"/>
      <c r="L419" s="8"/>
      <c r="M419" s="8"/>
      <c r="N419" s="8"/>
      <c r="O419" s="8"/>
      <c r="P419" s="8"/>
      <c r="Q419" s="8"/>
      <c r="R419" s="8"/>
      <c r="S419" s="8"/>
      <c r="T419" s="8"/>
      <c r="U419" s="12"/>
      <c r="V419" s="12"/>
      <c r="W419" s="12"/>
      <c r="X419" s="12"/>
      <c r="Y419" s="12"/>
      <c r="Z419" s="12"/>
      <c r="AA419" s="12"/>
      <c r="AB419" s="12"/>
      <c r="AC419" s="12"/>
      <c r="AD419" s="12"/>
      <c r="AE419" s="12"/>
      <c r="AF419" s="12"/>
    </row>
    <row r="420" spans="1:32">
      <c r="A420" s="8"/>
      <c r="B420" s="8"/>
      <c r="C420" s="8"/>
      <c r="D420" s="8"/>
      <c r="E420" s="8"/>
      <c r="F420" s="8"/>
      <c r="G420" s="8"/>
      <c r="H420" s="8"/>
      <c r="I420" s="8"/>
      <c r="J420" s="8"/>
      <c r="K420" s="8"/>
      <c r="L420" s="8"/>
      <c r="M420" s="8"/>
      <c r="N420" s="8"/>
      <c r="O420" s="8"/>
      <c r="P420" s="8"/>
      <c r="Q420" s="8"/>
      <c r="R420" s="8"/>
      <c r="S420" s="8"/>
      <c r="T420" s="8"/>
      <c r="U420" s="12"/>
      <c r="V420" s="12"/>
      <c r="W420" s="12"/>
      <c r="X420" s="12"/>
      <c r="Y420" s="12"/>
      <c r="Z420" s="12"/>
      <c r="AA420" s="12"/>
      <c r="AB420" s="12"/>
      <c r="AC420" s="12"/>
      <c r="AD420" s="12"/>
      <c r="AE420" s="12"/>
      <c r="AF420" s="12"/>
    </row>
    <row r="421" spans="1:32">
      <c r="A421" s="8"/>
      <c r="B421" s="8"/>
      <c r="C421" s="8"/>
      <c r="D421" s="8"/>
      <c r="E421" s="8"/>
      <c r="F421" s="8"/>
      <c r="G421" s="8"/>
      <c r="H421" s="8"/>
      <c r="I421" s="8"/>
      <c r="J421" s="8"/>
      <c r="K421" s="8"/>
      <c r="L421" s="8"/>
      <c r="M421" s="8"/>
      <c r="N421" s="8"/>
      <c r="O421" s="8"/>
      <c r="P421" s="8"/>
      <c r="Q421" s="8"/>
      <c r="R421" s="8"/>
      <c r="S421" s="8"/>
      <c r="T421" s="8"/>
      <c r="U421" s="12"/>
      <c r="V421" s="12"/>
      <c r="W421" s="12"/>
      <c r="X421" s="12"/>
      <c r="Y421" s="12"/>
      <c r="Z421" s="12"/>
      <c r="AA421" s="12"/>
      <c r="AB421" s="12"/>
      <c r="AC421" s="12"/>
      <c r="AD421" s="12"/>
      <c r="AE421" s="12"/>
      <c r="AF421" s="12"/>
    </row>
    <row r="422" spans="1:32">
      <c r="A422" s="8"/>
      <c r="B422" s="8"/>
      <c r="C422" s="8"/>
      <c r="D422" s="8"/>
      <c r="E422" s="8"/>
      <c r="F422" s="8"/>
      <c r="G422" s="8"/>
      <c r="H422" s="8"/>
      <c r="I422" s="8"/>
      <c r="J422" s="8"/>
      <c r="K422" s="8"/>
      <c r="L422" s="8"/>
      <c r="M422" s="8"/>
      <c r="N422" s="8"/>
      <c r="O422" s="8"/>
      <c r="P422" s="8"/>
      <c r="Q422" s="8"/>
      <c r="R422" s="8"/>
      <c r="S422" s="8"/>
      <c r="T422" s="8"/>
      <c r="U422" s="12"/>
      <c r="V422" s="12"/>
      <c r="W422" s="12"/>
      <c r="X422" s="12"/>
      <c r="Y422" s="12"/>
      <c r="Z422" s="12"/>
      <c r="AA422" s="12"/>
      <c r="AB422" s="12"/>
      <c r="AC422" s="12"/>
      <c r="AD422" s="12"/>
      <c r="AE422" s="12"/>
      <c r="AF422" s="12"/>
    </row>
    <row r="423" spans="1:32">
      <c r="A423" s="8"/>
      <c r="B423" s="8"/>
      <c r="C423" s="8"/>
      <c r="D423" s="8"/>
      <c r="E423" s="8"/>
      <c r="F423" s="8"/>
      <c r="G423" s="8"/>
      <c r="H423" s="8"/>
      <c r="I423" s="8"/>
      <c r="J423" s="8"/>
      <c r="K423" s="8"/>
      <c r="L423" s="8"/>
      <c r="M423" s="8"/>
      <c r="N423" s="8"/>
      <c r="O423" s="8"/>
      <c r="P423" s="8"/>
      <c r="Q423" s="8"/>
      <c r="R423" s="8"/>
      <c r="S423" s="8"/>
      <c r="T423" s="8"/>
      <c r="U423" s="12"/>
      <c r="V423" s="12"/>
      <c r="W423" s="12"/>
      <c r="X423" s="12"/>
      <c r="Y423" s="12"/>
      <c r="Z423" s="12"/>
      <c r="AA423" s="12"/>
      <c r="AB423" s="12"/>
      <c r="AC423" s="12"/>
      <c r="AD423" s="12"/>
      <c r="AE423" s="12"/>
      <c r="AF423" s="12"/>
    </row>
    <row r="424" spans="1:32">
      <c r="A424" s="8"/>
      <c r="B424" s="8"/>
      <c r="C424" s="8"/>
      <c r="D424" s="8"/>
      <c r="E424" s="8"/>
      <c r="F424" s="8"/>
      <c r="G424" s="8"/>
      <c r="H424" s="8"/>
      <c r="I424" s="8"/>
      <c r="J424" s="8"/>
      <c r="K424" s="8"/>
      <c r="L424" s="8"/>
      <c r="M424" s="8"/>
      <c r="N424" s="8"/>
      <c r="O424" s="8"/>
      <c r="P424" s="8"/>
      <c r="Q424" s="8"/>
      <c r="R424" s="8"/>
      <c r="S424" s="8"/>
      <c r="T424" s="8"/>
      <c r="U424" s="12"/>
      <c r="V424" s="12"/>
      <c r="W424" s="12"/>
      <c r="X424" s="12"/>
      <c r="Y424" s="12"/>
      <c r="Z424" s="12"/>
      <c r="AA424" s="12"/>
      <c r="AB424" s="12"/>
      <c r="AC424" s="12"/>
      <c r="AD424" s="12"/>
      <c r="AE424" s="12"/>
      <c r="AF424" s="12"/>
    </row>
    <row r="425" spans="1:32">
      <c r="A425" s="8"/>
      <c r="B425" s="8"/>
      <c r="C425" s="8"/>
      <c r="D425" s="8"/>
      <c r="E425" s="8"/>
      <c r="F425" s="8"/>
      <c r="G425" s="8"/>
      <c r="H425" s="8"/>
      <c r="I425" s="8"/>
      <c r="J425" s="8"/>
      <c r="K425" s="8"/>
      <c r="L425" s="8"/>
      <c r="M425" s="8"/>
      <c r="N425" s="8"/>
      <c r="O425" s="8"/>
      <c r="P425" s="8"/>
      <c r="Q425" s="8"/>
      <c r="R425" s="8"/>
      <c r="S425" s="8"/>
      <c r="T425" s="8"/>
      <c r="U425" s="12"/>
      <c r="V425" s="12"/>
      <c r="W425" s="12"/>
      <c r="X425" s="12"/>
      <c r="Y425" s="12"/>
      <c r="Z425" s="12"/>
      <c r="AA425" s="12"/>
      <c r="AB425" s="12"/>
      <c r="AC425" s="12"/>
      <c r="AD425" s="12"/>
      <c r="AE425" s="12"/>
      <c r="AF425" s="12"/>
    </row>
    <row r="426" spans="1:32">
      <c r="A426" s="8"/>
      <c r="B426" s="8"/>
      <c r="C426" s="8"/>
      <c r="D426" s="8"/>
      <c r="E426" s="8"/>
      <c r="F426" s="8"/>
      <c r="G426" s="8"/>
      <c r="H426" s="8"/>
      <c r="I426" s="8"/>
      <c r="J426" s="8"/>
      <c r="K426" s="8"/>
      <c r="L426" s="8"/>
      <c r="M426" s="8"/>
      <c r="N426" s="8"/>
      <c r="O426" s="8"/>
      <c r="P426" s="8"/>
      <c r="Q426" s="8"/>
      <c r="R426" s="8"/>
      <c r="S426" s="8"/>
      <c r="T426" s="8"/>
      <c r="U426" s="12"/>
      <c r="V426" s="12"/>
      <c r="W426" s="12"/>
      <c r="X426" s="12"/>
      <c r="Y426" s="12"/>
      <c r="Z426" s="12"/>
      <c r="AA426" s="12"/>
      <c r="AB426" s="12"/>
      <c r="AC426" s="12"/>
      <c r="AD426" s="12"/>
      <c r="AE426" s="12"/>
      <c r="AF426" s="12"/>
    </row>
    <row r="427" spans="1:32">
      <c r="A427" s="8"/>
      <c r="B427" s="8"/>
      <c r="C427" s="8"/>
      <c r="D427" s="8"/>
      <c r="E427" s="8"/>
      <c r="F427" s="8"/>
      <c r="G427" s="8"/>
      <c r="H427" s="8"/>
      <c r="I427" s="8"/>
      <c r="J427" s="8"/>
      <c r="K427" s="8"/>
      <c r="L427" s="8"/>
      <c r="M427" s="8"/>
      <c r="N427" s="8"/>
      <c r="O427" s="8"/>
      <c r="P427" s="8"/>
      <c r="Q427" s="8"/>
      <c r="R427" s="8"/>
      <c r="S427" s="8"/>
      <c r="T427" s="8"/>
      <c r="U427" s="12"/>
      <c r="V427" s="12"/>
      <c r="W427" s="12"/>
      <c r="X427" s="12"/>
      <c r="Y427" s="12"/>
      <c r="Z427" s="12"/>
      <c r="AA427" s="12"/>
      <c r="AB427" s="12"/>
      <c r="AC427" s="12"/>
      <c r="AD427" s="12"/>
      <c r="AE427" s="12"/>
      <c r="AF427" s="12"/>
    </row>
    <row r="428" spans="1:32">
      <c r="A428" s="8"/>
      <c r="B428" s="8"/>
      <c r="C428" s="8"/>
      <c r="D428" s="8"/>
      <c r="E428" s="8"/>
      <c r="F428" s="8"/>
      <c r="G428" s="8"/>
      <c r="H428" s="8"/>
      <c r="I428" s="8"/>
      <c r="J428" s="8"/>
      <c r="K428" s="8"/>
      <c r="L428" s="8"/>
      <c r="M428" s="8"/>
      <c r="N428" s="8"/>
      <c r="O428" s="8"/>
      <c r="P428" s="8"/>
      <c r="Q428" s="8"/>
      <c r="R428" s="8"/>
      <c r="S428" s="8"/>
      <c r="T428" s="8"/>
      <c r="U428" s="12"/>
      <c r="V428" s="12"/>
      <c r="W428" s="12"/>
      <c r="X428" s="12"/>
      <c r="Y428" s="12"/>
      <c r="Z428" s="12"/>
      <c r="AA428" s="12"/>
      <c r="AB428" s="12"/>
      <c r="AC428" s="12"/>
      <c r="AD428" s="12"/>
      <c r="AE428" s="12"/>
      <c r="AF428" s="12"/>
    </row>
    <row r="429" spans="1:32">
      <c r="A429" s="8"/>
      <c r="B429" s="8"/>
      <c r="C429" s="8"/>
      <c r="D429" s="8"/>
      <c r="E429" s="8"/>
      <c r="F429" s="8"/>
      <c r="G429" s="8"/>
      <c r="H429" s="8"/>
      <c r="I429" s="8"/>
      <c r="J429" s="8"/>
      <c r="K429" s="8"/>
      <c r="L429" s="8"/>
      <c r="M429" s="8"/>
      <c r="N429" s="8"/>
      <c r="O429" s="8"/>
      <c r="P429" s="8"/>
      <c r="Q429" s="8"/>
      <c r="R429" s="8"/>
      <c r="S429" s="8"/>
      <c r="T429" s="8"/>
      <c r="U429" s="12"/>
      <c r="V429" s="12"/>
      <c r="W429" s="12"/>
      <c r="X429" s="12"/>
      <c r="Y429" s="12"/>
      <c r="Z429" s="12"/>
      <c r="AA429" s="12"/>
      <c r="AB429" s="12"/>
      <c r="AC429" s="12"/>
      <c r="AD429" s="12"/>
      <c r="AE429" s="12"/>
      <c r="AF429" s="12"/>
    </row>
    <row r="430" spans="1:32">
      <c r="A430" s="8"/>
      <c r="B430" s="8"/>
      <c r="C430" s="8"/>
      <c r="D430" s="8"/>
      <c r="E430" s="8"/>
      <c r="F430" s="8"/>
      <c r="G430" s="8"/>
      <c r="H430" s="8"/>
      <c r="I430" s="8"/>
      <c r="J430" s="8"/>
      <c r="K430" s="8"/>
      <c r="L430" s="8"/>
      <c r="M430" s="8"/>
      <c r="N430" s="8"/>
      <c r="O430" s="8"/>
      <c r="P430" s="8"/>
      <c r="Q430" s="8"/>
      <c r="R430" s="8"/>
      <c r="S430" s="8"/>
      <c r="T430" s="8"/>
      <c r="U430" s="12"/>
      <c r="V430" s="12"/>
      <c r="W430" s="12"/>
      <c r="X430" s="12"/>
      <c r="Y430" s="12"/>
      <c r="Z430" s="12"/>
      <c r="AA430" s="12"/>
      <c r="AB430" s="12"/>
      <c r="AC430" s="12"/>
      <c r="AD430" s="12"/>
      <c r="AE430" s="12"/>
      <c r="AF430" s="12"/>
    </row>
    <row r="431" spans="1:32">
      <c r="A431" s="8"/>
      <c r="B431" s="8"/>
      <c r="C431" s="8"/>
      <c r="D431" s="8"/>
      <c r="E431" s="8"/>
      <c r="F431" s="8"/>
      <c r="G431" s="8"/>
      <c r="H431" s="8"/>
      <c r="I431" s="8"/>
      <c r="J431" s="8"/>
      <c r="K431" s="8"/>
      <c r="L431" s="8"/>
      <c r="M431" s="8"/>
      <c r="N431" s="8"/>
      <c r="O431" s="8"/>
      <c r="P431" s="8"/>
      <c r="Q431" s="8"/>
      <c r="R431" s="8"/>
      <c r="S431" s="8"/>
      <c r="T431" s="8"/>
      <c r="U431" s="12"/>
      <c r="V431" s="12"/>
      <c r="W431" s="12"/>
      <c r="X431" s="12"/>
      <c r="Y431" s="12"/>
      <c r="Z431" s="12"/>
      <c r="AA431" s="12"/>
      <c r="AB431" s="12"/>
      <c r="AC431" s="12"/>
      <c r="AD431" s="12"/>
      <c r="AE431" s="12"/>
      <c r="AF431" s="12"/>
    </row>
    <row r="432" spans="1:32">
      <c r="A432" s="8"/>
      <c r="B432" s="8"/>
      <c r="C432" s="8"/>
      <c r="D432" s="8"/>
      <c r="E432" s="8"/>
      <c r="F432" s="8"/>
      <c r="G432" s="8"/>
      <c r="H432" s="8"/>
      <c r="I432" s="8"/>
      <c r="J432" s="8"/>
      <c r="K432" s="8"/>
      <c r="L432" s="8"/>
      <c r="M432" s="8"/>
      <c r="N432" s="8"/>
      <c r="O432" s="8"/>
      <c r="P432" s="8"/>
      <c r="Q432" s="8"/>
      <c r="R432" s="8"/>
      <c r="S432" s="8"/>
      <c r="T432" s="8"/>
      <c r="U432" s="12"/>
      <c r="V432" s="12"/>
      <c r="W432" s="12"/>
      <c r="X432" s="12"/>
      <c r="Y432" s="12"/>
      <c r="Z432" s="12"/>
      <c r="AA432" s="12"/>
      <c r="AB432" s="12"/>
      <c r="AC432" s="12"/>
      <c r="AD432" s="12"/>
      <c r="AE432" s="12"/>
      <c r="AF432" s="12"/>
    </row>
    <row r="433" spans="1:32">
      <c r="A433" s="8"/>
      <c r="B433" s="8"/>
      <c r="C433" s="8"/>
      <c r="D433" s="8"/>
      <c r="E433" s="8"/>
      <c r="F433" s="8"/>
      <c r="G433" s="8"/>
      <c r="H433" s="8"/>
      <c r="I433" s="8"/>
      <c r="J433" s="8"/>
      <c r="K433" s="8"/>
      <c r="L433" s="8"/>
      <c r="M433" s="8"/>
      <c r="N433" s="8"/>
      <c r="O433" s="8"/>
      <c r="P433" s="8"/>
      <c r="Q433" s="8"/>
      <c r="R433" s="8"/>
      <c r="S433" s="8"/>
      <c r="T433" s="8"/>
      <c r="U433" s="12"/>
      <c r="V433" s="12"/>
      <c r="W433" s="12"/>
      <c r="X433" s="12"/>
      <c r="Y433" s="12"/>
      <c r="Z433" s="12"/>
      <c r="AA433" s="12"/>
      <c r="AB433" s="12"/>
      <c r="AC433" s="12"/>
      <c r="AD433" s="12"/>
      <c r="AE433" s="12"/>
      <c r="AF433" s="12"/>
    </row>
    <row r="434" spans="1:32">
      <c r="A434" s="8"/>
      <c r="B434" s="8"/>
      <c r="C434" s="8"/>
      <c r="D434" s="8"/>
      <c r="E434" s="8"/>
      <c r="F434" s="8"/>
      <c r="G434" s="8"/>
      <c r="H434" s="8"/>
      <c r="I434" s="8"/>
      <c r="J434" s="8"/>
      <c r="K434" s="8"/>
      <c r="L434" s="8"/>
      <c r="M434" s="8"/>
      <c r="N434" s="8"/>
      <c r="O434" s="8"/>
      <c r="P434" s="8"/>
      <c r="Q434" s="8"/>
      <c r="R434" s="8"/>
      <c r="S434" s="8"/>
      <c r="T434" s="8"/>
      <c r="U434" s="12"/>
      <c r="V434" s="12"/>
      <c r="W434" s="12"/>
      <c r="X434" s="12"/>
      <c r="Y434" s="12"/>
      <c r="Z434" s="12"/>
      <c r="AA434" s="12"/>
      <c r="AB434" s="12"/>
      <c r="AC434" s="12"/>
      <c r="AD434" s="12"/>
      <c r="AE434" s="12"/>
      <c r="AF434" s="12"/>
    </row>
    <row r="435" spans="1:32">
      <c r="A435" s="8"/>
      <c r="B435" s="8"/>
      <c r="C435" s="8"/>
      <c r="D435" s="8"/>
      <c r="E435" s="8"/>
      <c r="F435" s="8"/>
      <c r="G435" s="8"/>
      <c r="H435" s="8"/>
      <c r="I435" s="8"/>
      <c r="J435" s="8"/>
      <c r="K435" s="8"/>
      <c r="L435" s="8"/>
      <c r="M435" s="8"/>
      <c r="N435" s="8"/>
      <c r="O435" s="8"/>
      <c r="P435" s="8"/>
      <c r="Q435" s="8"/>
      <c r="R435" s="8"/>
      <c r="S435" s="8"/>
      <c r="T435" s="8"/>
      <c r="U435" s="12"/>
      <c r="V435" s="12"/>
      <c r="W435" s="12"/>
      <c r="X435" s="12"/>
      <c r="Y435" s="12"/>
      <c r="Z435" s="12"/>
      <c r="AA435" s="12"/>
      <c r="AB435" s="12"/>
      <c r="AC435" s="12"/>
      <c r="AD435" s="12"/>
      <c r="AE435" s="12"/>
      <c r="AF435" s="12"/>
    </row>
    <row r="436" spans="1:32">
      <c r="A436" s="8"/>
      <c r="B436" s="8"/>
      <c r="C436" s="8"/>
      <c r="D436" s="8"/>
      <c r="E436" s="8"/>
      <c r="F436" s="8"/>
      <c r="G436" s="8"/>
      <c r="H436" s="8"/>
      <c r="I436" s="8"/>
      <c r="J436" s="8"/>
      <c r="K436" s="8"/>
      <c r="L436" s="8"/>
      <c r="M436" s="8"/>
      <c r="N436" s="8"/>
      <c r="O436" s="8"/>
      <c r="P436" s="8"/>
      <c r="Q436" s="8"/>
      <c r="R436" s="8"/>
      <c r="S436" s="8"/>
      <c r="T436" s="8"/>
      <c r="U436" s="12"/>
      <c r="V436" s="12"/>
      <c r="W436" s="12"/>
      <c r="X436" s="12"/>
      <c r="Y436" s="12"/>
      <c r="Z436" s="12"/>
      <c r="AA436" s="12"/>
      <c r="AB436" s="12"/>
      <c r="AC436" s="12"/>
      <c r="AD436" s="12"/>
      <c r="AE436" s="12"/>
      <c r="AF436" s="12"/>
    </row>
    <row r="437" spans="1:32">
      <c r="A437" s="8"/>
      <c r="B437" s="8"/>
      <c r="C437" s="8"/>
      <c r="D437" s="8"/>
      <c r="E437" s="8"/>
      <c r="F437" s="8"/>
      <c r="G437" s="8"/>
      <c r="H437" s="8"/>
      <c r="I437" s="8"/>
      <c r="J437" s="8"/>
      <c r="K437" s="8"/>
      <c r="L437" s="8"/>
      <c r="M437" s="8"/>
      <c r="N437" s="8"/>
      <c r="O437" s="8"/>
      <c r="P437" s="8"/>
      <c r="Q437" s="8"/>
      <c r="R437" s="8"/>
      <c r="S437" s="8"/>
      <c r="T437" s="8"/>
      <c r="U437" s="12"/>
      <c r="V437" s="12"/>
      <c r="W437" s="12"/>
      <c r="X437" s="12"/>
      <c r="Y437" s="12"/>
      <c r="Z437" s="12"/>
      <c r="AA437" s="12"/>
      <c r="AB437" s="12"/>
      <c r="AC437" s="12"/>
      <c r="AD437" s="12"/>
      <c r="AE437" s="12"/>
      <c r="AF437" s="12"/>
    </row>
    <row r="438" spans="1:32">
      <c r="A438" s="8"/>
      <c r="B438" s="8"/>
      <c r="C438" s="8"/>
      <c r="D438" s="8"/>
      <c r="E438" s="8"/>
      <c r="F438" s="8"/>
      <c r="G438" s="8"/>
      <c r="H438" s="8"/>
      <c r="I438" s="8"/>
      <c r="J438" s="8"/>
      <c r="K438" s="8"/>
      <c r="L438" s="8"/>
      <c r="M438" s="8"/>
      <c r="N438" s="8"/>
      <c r="O438" s="8"/>
      <c r="P438" s="8"/>
      <c r="Q438" s="8"/>
      <c r="R438" s="8"/>
      <c r="S438" s="8"/>
      <c r="T438" s="8"/>
      <c r="U438" s="12"/>
      <c r="V438" s="12"/>
      <c r="W438" s="12"/>
      <c r="X438" s="12"/>
      <c r="Y438" s="12"/>
      <c r="Z438" s="12"/>
      <c r="AA438" s="12"/>
      <c r="AB438" s="12"/>
      <c r="AC438" s="12"/>
      <c r="AD438" s="12"/>
      <c r="AE438" s="12"/>
      <c r="AF438" s="12"/>
    </row>
    <row r="439" spans="1:32">
      <c r="A439" s="8"/>
      <c r="B439" s="8"/>
      <c r="C439" s="8"/>
      <c r="D439" s="8"/>
      <c r="E439" s="8"/>
      <c r="F439" s="8"/>
      <c r="G439" s="8"/>
      <c r="H439" s="8"/>
      <c r="I439" s="8"/>
      <c r="J439" s="8"/>
      <c r="K439" s="8"/>
      <c r="L439" s="8"/>
      <c r="M439" s="8"/>
      <c r="N439" s="8"/>
      <c r="O439" s="8"/>
      <c r="P439" s="8"/>
      <c r="Q439" s="8"/>
      <c r="R439" s="8"/>
      <c r="S439" s="8"/>
      <c r="T439" s="8"/>
      <c r="U439" s="12"/>
      <c r="V439" s="12"/>
      <c r="W439" s="12"/>
      <c r="X439" s="12"/>
      <c r="Y439" s="12"/>
      <c r="Z439" s="12"/>
      <c r="AA439" s="12"/>
      <c r="AB439" s="12"/>
      <c r="AC439" s="12"/>
      <c r="AD439" s="12"/>
      <c r="AE439" s="12"/>
      <c r="AF439" s="12"/>
    </row>
    <row r="440" spans="1:32">
      <c r="A440" s="8"/>
      <c r="B440" s="8"/>
      <c r="C440" s="8"/>
      <c r="D440" s="8"/>
      <c r="E440" s="8"/>
      <c r="F440" s="8"/>
      <c r="G440" s="8"/>
      <c r="H440" s="8"/>
      <c r="I440" s="8"/>
      <c r="J440" s="8"/>
      <c r="K440" s="8"/>
      <c r="L440" s="8"/>
      <c r="M440" s="8"/>
      <c r="N440" s="8"/>
      <c r="O440" s="8"/>
      <c r="P440" s="8"/>
      <c r="Q440" s="8"/>
      <c r="R440" s="8"/>
      <c r="S440" s="8"/>
      <c r="T440" s="8"/>
      <c r="U440" s="12"/>
      <c r="V440" s="12"/>
      <c r="W440" s="12"/>
      <c r="X440" s="12"/>
      <c r="Y440" s="12"/>
      <c r="Z440" s="12"/>
      <c r="AA440" s="12"/>
      <c r="AB440" s="12"/>
      <c r="AC440" s="12"/>
      <c r="AD440" s="12"/>
      <c r="AE440" s="12"/>
      <c r="AF440" s="12"/>
    </row>
    <row r="441" spans="1:32">
      <c r="A441" s="8"/>
      <c r="B441" s="8"/>
      <c r="C441" s="8"/>
      <c r="D441" s="8"/>
      <c r="E441" s="8"/>
      <c r="F441" s="8"/>
      <c r="G441" s="8"/>
      <c r="H441" s="8"/>
      <c r="I441" s="8"/>
      <c r="J441" s="8"/>
      <c r="K441" s="8"/>
      <c r="L441" s="8"/>
      <c r="M441" s="8"/>
      <c r="N441" s="8"/>
      <c r="O441" s="8"/>
      <c r="P441" s="8"/>
      <c r="Q441" s="8"/>
      <c r="R441" s="8"/>
      <c r="S441" s="8"/>
      <c r="T441" s="8"/>
      <c r="U441" s="12"/>
      <c r="V441" s="12"/>
      <c r="W441" s="12"/>
      <c r="X441" s="12"/>
      <c r="Y441" s="12"/>
      <c r="Z441" s="12"/>
      <c r="AA441" s="12"/>
      <c r="AB441" s="12"/>
      <c r="AC441" s="12"/>
      <c r="AD441" s="12"/>
      <c r="AE441" s="12"/>
      <c r="AF441" s="12"/>
    </row>
    <row r="442" spans="1:32">
      <c r="A442" s="8"/>
      <c r="B442" s="8"/>
      <c r="C442" s="8"/>
      <c r="D442" s="8"/>
      <c r="E442" s="8"/>
      <c r="F442" s="8"/>
      <c r="G442" s="8"/>
      <c r="H442" s="8"/>
      <c r="I442" s="8"/>
      <c r="J442" s="8"/>
      <c r="K442" s="8"/>
      <c r="L442" s="8"/>
      <c r="M442" s="8"/>
      <c r="N442" s="8"/>
      <c r="O442" s="8"/>
      <c r="P442" s="8"/>
      <c r="Q442" s="8"/>
      <c r="R442" s="8"/>
      <c r="S442" s="8"/>
      <c r="T442" s="8"/>
      <c r="U442" s="12"/>
      <c r="V442" s="12"/>
      <c r="W442" s="12"/>
      <c r="X442" s="12"/>
      <c r="Y442" s="12"/>
      <c r="Z442" s="12"/>
      <c r="AA442" s="12"/>
      <c r="AB442" s="12"/>
      <c r="AC442" s="12"/>
      <c r="AD442" s="12"/>
      <c r="AE442" s="12"/>
      <c r="AF442" s="12"/>
    </row>
    <row r="443" spans="1:32">
      <c r="A443" s="8"/>
      <c r="B443" s="8"/>
      <c r="C443" s="8"/>
      <c r="D443" s="8"/>
      <c r="E443" s="8"/>
      <c r="F443" s="8"/>
      <c r="G443" s="8"/>
      <c r="H443" s="8"/>
      <c r="I443" s="8"/>
      <c r="J443" s="8"/>
      <c r="K443" s="8"/>
      <c r="L443" s="8"/>
      <c r="M443" s="8"/>
      <c r="N443" s="8"/>
      <c r="O443" s="8"/>
      <c r="P443" s="8"/>
      <c r="Q443" s="8"/>
      <c r="R443" s="8"/>
      <c r="S443" s="8"/>
      <c r="T443" s="8"/>
      <c r="U443" s="12"/>
      <c r="V443" s="12"/>
      <c r="W443" s="12"/>
      <c r="X443" s="12"/>
      <c r="Y443" s="12"/>
      <c r="Z443" s="12"/>
      <c r="AA443" s="12"/>
      <c r="AB443" s="12"/>
      <c r="AC443" s="12"/>
      <c r="AD443" s="12"/>
      <c r="AE443" s="12"/>
      <c r="AF443" s="12"/>
    </row>
    <row r="444" spans="1:32">
      <c r="A444" s="8"/>
      <c r="B444" s="8"/>
      <c r="C444" s="8"/>
      <c r="D444" s="8"/>
      <c r="E444" s="8"/>
      <c r="F444" s="8"/>
      <c r="G444" s="8"/>
      <c r="H444" s="8"/>
      <c r="I444" s="8"/>
      <c r="J444" s="8"/>
      <c r="K444" s="8"/>
      <c r="L444" s="8"/>
      <c r="M444" s="8"/>
      <c r="N444" s="8"/>
      <c r="O444" s="8"/>
      <c r="P444" s="8"/>
      <c r="Q444" s="8"/>
      <c r="R444" s="8"/>
      <c r="S444" s="8"/>
      <c r="T444" s="8"/>
      <c r="U444" s="12"/>
      <c r="V444" s="12"/>
      <c r="W444" s="12"/>
      <c r="X444" s="12"/>
      <c r="Y444" s="12"/>
      <c r="Z444" s="12"/>
      <c r="AA444" s="12"/>
      <c r="AB444" s="12"/>
      <c r="AC444" s="12"/>
      <c r="AD444" s="12"/>
      <c r="AE444" s="12"/>
      <c r="AF444" s="12"/>
    </row>
    <row r="445" spans="1:32">
      <c r="A445" s="8"/>
      <c r="B445" s="8"/>
      <c r="C445" s="8"/>
      <c r="D445" s="8"/>
      <c r="E445" s="8"/>
      <c r="F445" s="8"/>
      <c r="G445" s="8"/>
      <c r="H445" s="8"/>
      <c r="I445" s="8"/>
      <c r="J445" s="8"/>
      <c r="K445" s="8"/>
      <c r="L445" s="8"/>
      <c r="M445" s="8"/>
      <c r="N445" s="8"/>
      <c r="O445" s="8"/>
      <c r="P445" s="8"/>
      <c r="Q445" s="8"/>
      <c r="R445" s="8"/>
      <c r="S445" s="8"/>
      <c r="T445" s="8"/>
      <c r="U445" s="12"/>
      <c r="V445" s="12"/>
      <c r="W445" s="12"/>
      <c r="X445" s="12"/>
      <c r="Y445" s="12"/>
      <c r="Z445" s="12"/>
      <c r="AA445" s="12"/>
      <c r="AB445" s="12"/>
      <c r="AC445" s="12"/>
      <c r="AD445" s="12"/>
      <c r="AE445" s="12"/>
      <c r="AF445" s="12"/>
    </row>
    <row r="446" spans="1:32">
      <c r="A446" s="8"/>
      <c r="B446" s="8"/>
      <c r="C446" s="8"/>
      <c r="D446" s="8"/>
      <c r="E446" s="8"/>
      <c r="F446" s="8"/>
      <c r="G446" s="8"/>
      <c r="H446" s="8"/>
      <c r="I446" s="8"/>
      <c r="J446" s="8"/>
      <c r="K446" s="8"/>
      <c r="L446" s="8"/>
      <c r="M446" s="8"/>
      <c r="N446" s="8"/>
      <c r="O446" s="8"/>
      <c r="P446" s="8"/>
      <c r="Q446" s="8"/>
      <c r="R446" s="8"/>
      <c r="S446" s="8"/>
      <c r="T446" s="8"/>
      <c r="U446" s="12"/>
      <c r="V446" s="12"/>
      <c r="W446" s="12"/>
      <c r="X446" s="12"/>
      <c r="Y446" s="12"/>
      <c r="Z446" s="12"/>
      <c r="AA446" s="12"/>
      <c r="AB446" s="12"/>
      <c r="AC446" s="12"/>
      <c r="AD446" s="12"/>
      <c r="AE446" s="12"/>
      <c r="AF446" s="12"/>
    </row>
    <row r="447" spans="1:32">
      <c r="A447" s="8"/>
      <c r="B447" s="8"/>
      <c r="C447" s="8"/>
      <c r="D447" s="8"/>
      <c r="E447" s="8"/>
      <c r="F447" s="8"/>
      <c r="G447" s="8"/>
      <c r="H447" s="8"/>
      <c r="I447" s="8"/>
      <c r="J447" s="8"/>
      <c r="K447" s="8"/>
      <c r="L447" s="8"/>
      <c r="M447" s="8"/>
      <c r="N447" s="8"/>
      <c r="O447" s="8"/>
      <c r="P447" s="8"/>
      <c r="Q447" s="8"/>
      <c r="R447" s="8"/>
      <c r="S447" s="8"/>
      <c r="T447" s="8"/>
      <c r="U447" s="12"/>
      <c r="V447" s="12"/>
      <c r="W447" s="12"/>
      <c r="X447" s="12"/>
      <c r="Y447" s="12"/>
      <c r="Z447" s="12"/>
      <c r="AA447" s="12"/>
      <c r="AB447" s="12"/>
      <c r="AC447" s="12"/>
      <c r="AD447" s="12"/>
      <c r="AE447" s="12"/>
      <c r="AF447" s="12"/>
    </row>
    <row r="448" spans="1:32">
      <c r="A448" s="8"/>
      <c r="B448" s="8"/>
      <c r="C448" s="8"/>
      <c r="D448" s="8"/>
      <c r="E448" s="8"/>
      <c r="F448" s="8"/>
      <c r="G448" s="8"/>
      <c r="H448" s="8"/>
      <c r="I448" s="8"/>
      <c r="J448" s="8"/>
      <c r="K448" s="8"/>
      <c r="L448" s="8"/>
      <c r="M448" s="8"/>
      <c r="N448" s="8"/>
      <c r="O448" s="8"/>
      <c r="P448" s="8"/>
      <c r="Q448" s="8"/>
      <c r="R448" s="8"/>
      <c r="S448" s="8"/>
      <c r="T448" s="8"/>
      <c r="U448" s="12"/>
      <c r="V448" s="12"/>
      <c r="W448" s="12"/>
      <c r="X448" s="12"/>
      <c r="Y448" s="12"/>
      <c r="Z448" s="12"/>
      <c r="AA448" s="12"/>
      <c r="AB448" s="12"/>
      <c r="AC448" s="12"/>
      <c r="AD448" s="12"/>
      <c r="AE448" s="12"/>
      <c r="AF448" s="12"/>
    </row>
    <row r="449" spans="1:32">
      <c r="A449" s="8"/>
      <c r="B449" s="8"/>
      <c r="C449" s="8"/>
      <c r="D449" s="8"/>
      <c r="E449" s="8"/>
      <c r="F449" s="8"/>
      <c r="G449" s="8"/>
      <c r="H449" s="8"/>
      <c r="I449" s="8"/>
      <c r="J449" s="8"/>
      <c r="K449" s="8"/>
      <c r="L449" s="8"/>
      <c r="M449" s="8"/>
      <c r="N449" s="8"/>
      <c r="O449" s="8"/>
      <c r="P449" s="8"/>
      <c r="Q449" s="8"/>
      <c r="R449" s="8"/>
      <c r="S449" s="8"/>
      <c r="T449" s="8"/>
      <c r="U449" s="12"/>
      <c r="V449" s="12"/>
      <c r="W449" s="12"/>
      <c r="X449" s="12"/>
      <c r="Y449" s="12"/>
      <c r="Z449" s="12"/>
      <c r="AA449" s="12"/>
      <c r="AB449" s="12"/>
      <c r="AC449" s="12"/>
      <c r="AD449" s="12"/>
      <c r="AE449" s="12"/>
      <c r="AF449" s="12"/>
    </row>
    <row r="450" spans="1:32">
      <c r="A450" s="8"/>
      <c r="B450" s="8"/>
      <c r="C450" s="8"/>
      <c r="D450" s="8"/>
      <c r="E450" s="8"/>
      <c r="F450" s="8"/>
      <c r="G450" s="8"/>
      <c r="H450" s="8"/>
      <c r="I450" s="8"/>
      <c r="J450" s="8"/>
      <c r="K450" s="8"/>
      <c r="L450" s="8"/>
      <c r="M450" s="8"/>
      <c r="N450" s="8"/>
      <c r="O450" s="8"/>
      <c r="P450" s="8"/>
      <c r="Q450" s="8"/>
      <c r="R450" s="8"/>
      <c r="S450" s="8"/>
      <c r="T450" s="8"/>
      <c r="U450" s="12"/>
      <c r="V450" s="12"/>
      <c r="W450" s="12"/>
      <c r="X450" s="12"/>
      <c r="Y450" s="12"/>
      <c r="Z450" s="12"/>
      <c r="AA450" s="12"/>
      <c r="AB450" s="12"/>
      <c r="AC450" s="12"/>
      <c r="AD450" s="12"/>
      <c r="AE450" s="12"/>
      <c r="AF450" s="12"/>
    </row>
    <row r="451" spans="1:32">
      <c r="A451" s="8"/>
      <c r="B451" s="8"/>
      <c r="C451" s="8"/>
      <c r="D451" s="8"/>
      <c r="E451" s="8"/>
      <c r="F451" s="8"/>
      <c r="G451" s="8"/>
      <c r="H451" s="8"/>
      <c r="I451" s="8"/>
      <c r="J451" s="8"/>
      <c r="K451" s="8"/>
      <c r="L451" s="8"/>
      <c r="M451" s="8"/>
      <c r="N451" s="8"/>
      <c r="O451" s="8"/>
      <c r="P451" s="8"/>
      <c r="Q451" s="8"/>
      <c r="R451" s="8"/>
      <c r="S451" s="8"/>
      <c r="T451" s="8"/>
      <c r="U451" s="12"/>
      <c r="V451" s="12"/>
      <c r="W451" s="12"/>
      <c r="X451" s="12"/>
      <c r="Y451" s="12"/>
      <c r="Z451" s="12"/>
      <c r="AA451" s="12"/>
      <c r="AB451" s="12"/>
      <c r="AC451" s="12"/>
      <c r="AD451" s="12"/>
      <c r="AE451" s="12"/>
      <c r="AF451" s="12"/>
    </row>
    <row r="452" spans="1:32">
      <c r="A452" s="8"/>
      <c r="B452" s="8"/>
      <c r="C452" s="8"/>
      <c r="D452" s="8"/>
      <c r="E452" s="8"/>
      <c r="F452" s="8"/>
      <c r="G452" s="8"/>
      <c r="H452" s="8"/>
      <c r="I452" s="8"/>
      <c r="J452" s="8"/>
      <c r="K452" s="8"/>
      <c r="L452" s="8"/>
      <c r="M452" s="8"/>
      <c r="N452" s="8"/>
      <c r="O452" s="8"/>
      <c r="P452" s="8"/>
      <c r="Q452" s="8"/>
      <c r="R452" s="8"/>
      <c r="S452" s="8"/>
      <c r="T452" s="8"/>
      <c r="U452" s="12"/>
      <c r="V452" s="12"/>
      <c r="W452" s="12"/>
      <c r="X452" s="12"/>
      <c r="Y452" s="12"/>
      <c r="Z452" s="12"/>
      <c r="AA452" s="12"/>
      <c r="AB452" s="12"/>
      <c r="AC452" s="12"/>
      <c r="AD452" s="12"/>
      <c r="AE452" s="12"/>
      <c r="AF452" s="12"/>
    </row>
    <row r="453" spans="1:32">
      <c r="A453" s="8"/>
      <c r="B453" s="8"/>
      <c r="C453" s="8"/>
      <c r="D453" s="8"/>
      <c r="E453" s="8"/>
      <c r="F453" s="8"/>
      <c r="G453" s="8"/>
      <c r="H453" s="8"/>
      <c r="I453" s="8"/>
      <c r="J453" s="8"/>
      <c r="K453" s="8"/>
      <c r="L453" s="8"/>
      <c r="M453" s="8"/>
      <c r="N453" s="8"/>
      <c r="O453" s="8"/>
      <c r="P453" s="8"/>
      <c r="Q453" s="8"/>
      <c r="R453" s="8"/>
      <c r="S453" s="8"/>
      <c r="T453" s="8"/>
      <c r="U453" s="12"/>
      <c r="V453" s="12"/>
      <c r="W453" s="12"/>
      <c r="X453" s="12"/>
      <c r="Y453" s="12"/>
      <c r="Z453" s="12"/>
      <c r="AA453" s="12"/>
      <c r="AB453" s="12"/>
      <c r="AC453" s="12"/>
      <c r="AD453" s="12"/>
      <c r="AE453" s="12"/>
      <c r="AF453" s="12"/>
    </row>
    <row r="454" spans="1:32">
      <c r="A454" s="8"/>
      <c r="B454" s="8"/>
      <c r="C454" s="8"/>
      <c r="D454" s="8"/>
      <c r="E454" s="8"/>
      <c r="F454" s="8"/>
      <c r="G454" s="8"/>
      <c r="H454" s="8"/>
      <c r="I454" s="8"/>
      <c r="J454" s="8"/>
      <c r="K454" s="8"/>
      <c r="L454" s="8"/>
      <c r="M454" s="8"/>
      <c r="N454" s="8"/>
      <c r="O454" s="8"/>
      <c r="P454" s="8"/>
      <c r="Q454" s="8"/>
      <c r="R454" s="8"/>
      <c r="S454" s="8"/>
      <c r="T454" s="8"/>
      <c r="U454" s="12"/>
      <c r="V454" s="12"/>
      <c r="W454" s="12"/>
      <c r="X454" s="12"/>
      <c r="Y454" s="12"/>
      <c r="Z454" s="12"/>
      <c r="AA454" s="12"/>
      <c r="AB454" s="12"/>
      <c r="AC454" s="12"/>
      <c r="AD454" s="12"/>
      <c r="AE454" s="12"/>
      <c r="AF454" s="12"/>
    </row>
    <row r="455" spans="1:32">
      <c r="A455" s="8"/>
      <c r="B455" s="8"/>
      <c r="C455" s="8"/>
      <c r="D455" s="8"/>
      <c r="E455" s="8"/>
      <c r="F455" s="8"/>
      <c r="G455" s="8"/>
      <c r="H455" s="8"/>
      <c r="I455" s="8"/>
      <c r="J455" s="8"/>
      <c r="K455" s="8"/>
      <c r="L455" s="8"/>
      <c r="M455" s="8"/>
      <c r="N455" s="8"/>
      <c r="O455" s="8"/>
      <c r="P455" s="8"/>
      <c r="Q455" s="8"/>
      <c r="R455" s="8"/>
      <c r="S455" s="8"/>
      <c r="T455" s="8"/>
      <c r="U455" s="12"/>
      <c r="V455" s="12"/>
      <c r="W455" s="12"/>
      <c r="X455" s="12"/>
      <c r="Y455" s="12"/>
      <c r="Z455" s="12"/>
      <c r="AA455" s="12"/>
      <c r="AB455" s="12"/>
      <c r="AC455" s="12"/>
      <c r="AD455" s="12"/>
      <c r="AE455" s="12"/>
      <c r="AF455" s="12"/>
    </row>
    <row r="456" spans="1:32">
      <c r="A456" s="8"/>
      <c r="B456" s="8"/>
      <c r="C456" s="8"/>
      <c r="D456" s="8"/>
      <c r="E456" s="8"/>
      <c r="F456" s="8"/>
      <c r="G456" s="8"/>
      <c r="H456" s="8"/>
      <c r="I456" s="8"/>
      <c r="J456" s="8"/>
      <c r="K456" s="8"/>
      <c r="L456" s="8"/>
      <c r="M456" s="8"/>
      <c r="N456" s="8"/>
      <c r="O456" s="8"/>
      <c r="P456" s="8"/>
      <c r="Q456" s="8"/>
      <c r="R456" s="8"/>
      <c r="S456" s="8"/>
      <c r="T456" s="8"/>
      <c r="U456" s="12"/>
      <c r="V456" s="12"/>
      <c r="W456" s="12"/>
      <c r="X456" s="12"/>
      <c r="Y456" s="12"/>
      <c r="Z456" s="12"/>
      <c r="AA456" s="12"/>
      <c r="AB456" s="12"/>
      <c r="AC456" s="12"/>
      <c r="AD456" s="12"/>
      <c r="AE456" s="12"/>
      <c r="AF456" s="12"/>
    </row>
    <row r="457" spans="1:32">
      <c r="A457" s="8"/>
      <c r="B457" s="8"/>
      <c r="C457" s="8"/>
      <c r="D457" s="8"/>
      <c r="E457" s="8"/>
      <c r="F457" s="8"/>
      <c r="G457" s="8"/>
      <c r="H457" s="8"/>
      <c r="I457" s="8"/>
      <c r="J457" s="8"/>
      <c r="K457" s="8"/>
      <c r="L457" s="8"/>
      <c r="M457" s="8"/>
      <c r="N457" s="8"/>
      <c r="O457" s="8"/>
      <c r="P457" s="8"/>
      <c r="Q457" s="8"/>
      <c r="R457" s="8"/>
      <c r="S457" s="8"/>
      <c r="T457" s="8"/>
      <c r="U457" s="12"/>
      <c r="V457" s="12"/>
      <c r="W457" s="12"/>
      <c r="X457" s="12"/>
      <c r="Y457" s="12"/>
      <c r="Z457" s="12"/>
      <c r="AA457" s="12"/>
      <c r="AB457" s="12"/>
      <c r="AC457" s="12"/>
      <c r="AD457" s="12"/>
      <c r="AE457" s="12"/>
      <c r="AF457" s="12"/>
    </row>
    <row r="458" spans="1:32">
      <c r="A458" s="8"/>
      <c r="B458" s="8"/>
      <c r="C458" s="8"/>
      <c r="D458" s="8"/>
      <c r="E458" s="8"/>
      <c r="F458" s="8"/>
      <c r="G458" s="8"/>
      <c r="H458" s="8"/>
      <c r="I458" s="8"/>
      <c r="J458" s="8"/>
      <c r="K458" s="8"/>
      <c r="L458" s="8"/>
      <c r="M458" s="8"/>
      <c r="N458" s="8"/>
      <c r="O458" s="8"/>
      <c r="P458" s="8"/>
      <c r="Q458" s="8"/>
      <c r="R458" s="8"/>
      <c r="S458" s="8"/>
      <c r="T458" s="8"/>
      <c r="U458" s="12"/>
      <c r="V458" s="12"/>
      <c r="W458" s="12"/>
      <c r="X458" s="12"/>
      <c r="Y458" s="12"/>
      <c r="Z458" s="12"/>
      <c r="AA458" s="12"/>
      <c r="AB458" s="12"/>
      <c r="AC458" s="12"/>
      <c r="AD458" s="12"/>
      <c r="AE458" s="12"/>
      <c r="AF458" s="12"/>
    </row>
    <row r="459" spans="1:32">
      <c r="A459" s="8"/>
      <c r="B459" s="8"/>
      <c r="C459" s="8"/>
      <c r="D459" s="8"/>
      <c r="E459" s="8"/>
      <c r="F459" s="8"/>
      <c r="G459" s="8"/>
      <c r="H459" s="8"/>
      <c r="I459" s="8"/>
      <c r="J459" s="8"/>
      <c r="K459" s="8"/>
      <c r="L459" s="8"/>
      <c r="M459" s="8"/>
      <c r="N459" s="8"/>
      <c r="O459" s="8"/>
      <c r="P459" s="8"/>
      <c r="Q459" s="8"/>
      <c r="R459" s="8"/>
      <c r="S459" s="8"/>
      <c r="T459" s="8"/>
      <c r="U459" s="12"/>
      <c r="V459" s="12"/>
      <c r="W459" s="12"/>
      <c r="X459" s="12"/>
      <c r="Y459" s="12"/>
      <c r="Z459" s="12"/>
      <c r="AA459" s="12"/>
      <c r="AB459" s="12"/>
      <c r="AC459" s="12"/>
      <c r="AD459" s="12"/>
      <c r="AE459" s="12"/>
      <c r="AF459" s="12"/>
    </row>
    <row r="460" spans="1:32">
      <c r="A460" s="8"/>
      <c r="B460" s="8"/>
      <c r="C460" s="8"/>
      <c r="D460" s="8"/>
      <c r="E460" s="8"/>
      <c r="F460" s="8"/>
      <c r="G460" s="8"/>
      <c r="H460" s="8"/>
      <c r="I460" s="8"/>
      <c r="J460" s="8"/>
      <c r="K460" s="8"/>
      <c r="L460" s="8"/>
      <c r="M460" s="8"/>
      <c r="N460" s="8"/>
      <c r="O460" s="8"/>
      <c r="P460" s="8"/>
      <c r="Q460" s="8"/>
      <c r="R460" s="8"/>
      <c r="S460" s="8"/>
      <c r="T460" s="8"/>
      <c r="U460" s="12"/>
      <c r="V460" s="12"/>
      <c r="W460" s="12"/>
      <c r="X460" s="12"/>
      <c r="Y460" s="12"/>
      <c r="Z460" s="12"/>
      <c r="AA460" s="12"/>
      <c r="AB460" s="12"/>
      <c r="AC460" s="12"/>
      <c r="AD460" s="12"/>
      <c r="AE460" s="12"/>
      <c r="AF460" s="12"/>
    </row>
    <row r="461" spans="1:32">
      <c r="A461" s="8"/>
      <c r="B461" s="8"/>
      <c r="C461" s="8"/>
      <c r="D461" s="8"/>
      <c r="E461" s="8"/>
      <c r="F461" s="8"/>
      <c r="G461" s="8"/>
      <c r="H461" s="8"/>
      <c r="I461" s="8"/>
      <c r="J461" s="8"/>
      <c r="K461" s="8"/>
      <c r="L461" s="8"/>
      <c r="M461" s="8"/>
      <c r="N461" s="8"/>
      <c r="O461" s="8"/>
      <c r="P461" s="8"/>
      <c r="Q461" s="8"/>
      <c r="R461" s="8"/>
      <c r="S461" s="8"/>
      <c r="T461" s="8"/>
      <c r="U461" s="12"/>
      <c r="V461" s="12"/>
      <c r="W461" s="12"/>
      <c r="X461" s="12"/>
      <c r="Y461" s="12"/>
      <c r="Z461" s="12"/>
      <c r="AA461" s="12"/>
      <c r="AB461" s="12"/>
      <c r="AC461" s="12"/>
      <c r="AD461" s="12"/>
      <c r="AE461" s="12"/>
      <c r="AF461" s="12"/>
    </row>
    <row r="462" spans="1:32">
      <c r="A462" s="8"/>
      <c r="B462" s="8"/>
      <c r="C462" s="8"/>
      <c r="D462" s="8"/>
      <c r="E462" s="8"/>
      <c r="F462" s="8"/>
      <c r="G462" s="8"/>
      <c r="H462" s="8"/>
      <c r="I462" s="8"/>
      <c r="J462" s="8"/>
      <c r="K462" s="8"/>
      <c r="L462" s="8"/>
      <c r="M462" s="8"/>
      <c r="N462" s="8"/>
      <c r="O462" s="8"/>
      <c r="P462" s="8"/>
      <c r="Q462" s="8"/>
      <c r="R462" s="8"/>
      <c r="S462" s="8"/>
      <c r="T462" s="8"/>
      <c r="U462" s="12"/>
      <c r="V462" s="12"/>
      <c r="W462" s="12"/>
      <c r="X462" s="12"/>
      <c r="Y462" s="12"/>
      <c r="Z462" s="12"/>
      <c r="AA462" s="12"/>
      <c r="AB462" s="12"/>
      <c r="AC462" s="12"/>
      <c r="AD462" s="12"/>
      <c r="AE462" s="12"/>
      <c r="AF462" s="12"/>
    </row>
    <row r="463" spans="1:32">
      <c r="A463" s="8"/>
      <c r="B463" s="8"/>
      <c r="C463" s="8"/>
      <c r="D463" s="8"/>
      <c r="E463" s="8"/>
      <c r="F463" s="8"/>
      <c r="G463" s="8"/>
      <c r="H463" s="8"/>
      <c r="I463" s="8"/>
      <c r="J463" s="8"/>
      <c r="K463" s="8"/>
      <c r="L463" s="8"/>
      <c r="M463" s="8"/>
      <c r="N463" s="8"/>
      <c r="O463" s="8"/>
      <c r="P463" s="8"/>
      <c r="Q463" s="8"/>
      <c r="R463" s="8"/>
      <c r="S463" s="8"/>
      <c r="T463" s="8"/>
      <c r="U463" s="12"/>
      <c r="V463" s="12"/>
      <c r="W463" s="12"/>
      <c r="X463" s="12"/>
      <c r="Y463" s="12"/>
      <c r="Z463" s="12"/>
      <c r="AA463" s="12"/>
      <c r="AB463" s="12"/>
      <c r="AC463" s="12"/>
      <c r="AD463" s="12"/>
      <c r="AE463" s="12"/>
      <c r="AF463" s="12"/>
    </row>
    <row r="464" spans="1:32">
      <c r="A464" s="8"/>
      <c r="B464" s="8"/>
      <c r="C464" s="8"/>
      <c r="D464" s="8"/>
      <c r="E464" s="8"/>
      <c r="F464" s="8"/>
      <c r="G464" s="8"/>
      <c r="H464" s="8"/>
      <c r="I464" s="8"/>
      <c r="J464" s="8"/>
      <c r="K464" s="8"/>
      <c r="L464" s="8"/>
      <c r="M464" s="8"/>
      <c r="N464" s="8"/>
      <c r="O464" s="8"/>
      <c r="P464" s="8"/>
      <c r="Q464" s="8"/>
      <c r="R464" s="8"/>
      <c r="S464" s="8"/>
      <c r="T464" s="8"/>
      <c r="U464" s="12"/>
      <c r="V464" s="12"/>
      <c r="W464" s="12"/>
      <c r="X464" s="12"/>
      <c r="Y464" s="12"/>
      <c r="Z464" s="12"/>
      <c r="AA464" s="12"/>
      <c r="AB464" s="12"/>
      <c r="AC464" s="12"/>
      <c r="AD464" s="12"/>
      <c r="AE464" s="12"/>
      <c r="AF464" s="12"/>
    </row>
    <row r="465" spans="1:32">
      <c r="A465" s="8"/>
      <c r="B465" s="8"/>
      <c r="C465" s="8"/>
      <c r="D465" s="8"/>
      <c r="E465" s="8"/>
      <c r="F465" s="8"/>
      <c r="G465" s="8"/>
      <c r="H465" s="8"/>
      <c r="I465" s="8"/>
      <c r="J465" s="8"/>
      <c r="K465" s="8"/>
      <c r="L465" s="8"/>
      <c r="M465" s="8"/>
      <c r="N465" s="8"/>
      <c r="O465" s="8"/>
      <c r="P465" s="8"/>
      <c r="Q465" s="8"/>
      <c r="R465" s="8"/>
      <c r="S465" s="8"/>
      <c r="T465" s="8"/>
      <c r="U465" s="12"/>
      <c r="V465" s="12"/>
      <c r="W465" s="12"/>
      <c r="X465" s="12"/>
      <c r="Y465" s="12"/>
      <c r="Z465" s="12"/>
      <c r="AA465" s="12"/>
      <c r="AB465" s="12"/>
      <c r="AC465" s="12"/>
      <c r="AD465" s="12"/>
      <c r="AE465" s="12"/>
      <c r="AF465" s="12"/>
    </row>
    <row r="466" spans="1:32">
      <c r="A466" s="8"/>
      <c r="B466" s="8"/>
      <c r="C466" s="8"/>
      <c r="D466" s="8"/>
      <c r="E466" s="8"/>
      <c r="F466" s="8"/>
      <c r="G466" s="8"/>
      <c r="H466" s="8"/>
      <c r="I466" s="8"/>
      <c r="J466" s="8"/>
      <c r="K466" s="8"/>
      <c r="L466" s="8"/>
      <c r="M466" s="8"/>
      <c r="N466" s="8"/>
      <c r="O466" s="8"/>
      <c r="P466" s="8"/>
      <c r="Q466" s="8"/>
      <c r="R466" s="8"/>
      <c r="S466" s="8"/>
      <c r="T466" s="8"/>
      <c r="U466" s="12"/>
      <c r="V466" s="12"/>
      <c r="W466" s="12"/>
      <c r="X466" s="12"/>
      <c r="Y466" s="12"/>
      <c r="Z466" s="12"/>
      <c r="AA466" s="12"/>
      <c r="AB466" s="12"/>
      <c r="AC466" s="12"/>
      <c r="AD466" s="12"/>
      <c r="AE466" s="12"/>
      <c r="AF466" s="12"/>
    </row>
    <row r="467" spans="1:32">
      <c r="A467" s="8"/>
      <c r="B467" s="8"/>
      <c r="C467" s="8"/>
      <c r="D467" s="8"/>
      <c r="E467" s="8"/>
      <c r="F467" s="8"/>
      <c r="G467" s="8"/>
      <c r="H467" s="8"/>
      <c r="I467" s="8"/>
      <c r="J467" s="8"/>
      <c r="K467" s="8"/>
      <c r="L467" s="8"/>
      <c r="M467" s="8"/>
      <c r="N467" s="8"/>
      <c r="O467" s="8"/>
      <c r="P467" s="8"/>
      <c r="Q467" s="8"/>
      <c r="R467" s="8"/>
      <c r="S467" s="8"/>
      <c r="T467" s="8"/>
      <c r="U467" s="12"/>
      <c r="V467" s="12"/>
      <c r="W467" s="12"/>
      <c r="X467" s="12"/>
      <c r="Y467" s="12"/>
      <c r="Z467" s="12"/>
      <c r="AA467" s="12"/>
      <c r="AB467" s="12"/>
      <c r="AC467" s="12"/>
      <c r="AD467" s="12"/>
      <c r="AE467" s="12"/>
      <c r="AF467" s="12"/>
    </row>
    <row r="468" spans="1:32">
      <c r="A468" s="8"/>
      <c r="B468" s="8"/>
      <c r="C468" s="8"/>
      <c r="D468" s="8"/>
      <c r="E468" s="8"/>
      <c r="F468" s="8"/>
      <c r="G468" s="8"/>
      <c r="H468" s="8"/>
      <c r="I468" s="8"/>
      <c r="J468" s="8"/>
      <c r="K468" s="8"/>
      <c r="L468" s="8"/>
      <c r="M468" s="8"/>
      <c r="N468" s="8"/>
      <c r="O468" s="8"/>
      <c r="P468" s="8"/>
      <c r="Q468" s="8"/>
      <c r="R468" s="8"/>
      <c r="S468" s="8"/>
      <c r="T468" s="8"/>
      <c r="U468" s="12"/>
      <c r="V468" s="12"/>
      <c r="W468" s="12"/>
      <c r="X468" s="12"/>
      <c r="Y468" s="12"/>
      <c r="Z468" s="12"/>
      <c r="AA468" s="12"/>
      <c r="AB468" s="12"/>
      <c r="AC468" s="12"/>
      <c r="AD468" s="12"/>
      <c r="AE468" s="12"/>
      <c r="AF468" s="12"/>
    </row>
    <row r="469" spans="1:32">
      <c r="A469" s="8"/>
      <c r="B469" s="8"/>
      <c r="C469" s="8"/>
      <c r="D469" s="8"/>
      <c r="E469" s="8"/>
      <c r="F469" s="8"/>
      <c r="G469" s="8"/>
      <c r="H469" s="8"/>
      <c r="I469" s="8"/>
      <c r="J469" s="8"/>
      <c r="K469" s="8"/>
      <c r="L469" s="8"/>
      <c r="M469" s="8"/>
      <c r="N469" s="8"/>
      <c r="O469" s="8"/>
      <c r="P469" s="8"/>
      <c r="Q469" s="8"/>
      <c r="R469" s="8"/>
      <c r="S469" s="8"/>
      <c r="T469" s="8"/>
      <c r="U469" s="12"/>
      <c r="V469" s="12"/>
      <c r="W469" s="12"/>
      <c r="X469" s="12"/>
      <c r="Y469" s="12"/>
      <c r="Z469" s="12"/>
      <c r="AA469" s="12"/>
      <c r="AB469" s="12"/>
      <c r="AC469" s="12"/>
      <c r="AD469" s="12"/>
      <c r="AE469" s="12"/>
      <c r="AF469" s="12"/>
    </row>
    <row r="470" spans="1:32">
      <c r="A470" s="8"/>
      <c r="B470" s="8"/>
      <c r="C470" s="8"/>
      <c r="D470" s="8"/>
      <c r="E470" s="8"/>
      <c r="F470" s="8"/>
      <c r="G470" s="8"/>
      <c r="H470" s="8"/>
      <c r="I470" s="8"/>
      <c r="J470" s="8"/>
      <c r="K470" s="8"/>
      <c r="L470" s="8"/>
      <c r="M470" s="8"/>
      <c r="N470" s="8"/>
      <c r="O470" s="8"/>
      <c r="P470" s="8"/>
      <c r="Q470" s="8"/>
      <c r="R470" s="8"/>
      <c r="S470" s="8"/>
      <c r="T470" s="8"/>
      <c r="U470" s="12"/>
      <c r="V470" s="12"/>
      <c r="W470" s="12"/>
      <c r="X470" s="12"/>
      <c r="Y470" s="12"/>
      <c r="Z470" s="12"/>
      <c r="AA470" s="12"/>
      <c r="AB470" s="12"/>
      <c r="AC470" s="12"/>
      <c r="AD470" s="12"/>
      <c r="AE470" s="12"/>
      <c r="AF470" s="12"/>
    </row>
    <row r="471" spans="1:32">
      <c r="A471" s="8"/>
      <c r="B471" s="8"/>
      <c r="C471" s="8"/>
      <c r="D471" s="8"/>
      <c r="E471" s="8"/>
      <c r="F471" s="8"/>
      <c r="G471" s="8"/>
      <c r="H471" s="8"/>
      <c r="I471" s="8"/>
      <c r="J471" s="8"/>
      <c r="K471" s="8"/>
      <c r="L471" s="8"/>
      <c r="M471" s="8"/>
      <c r="N471" s="8"/>
      <c r="O471" s="8"/>
      <c r="P471" s="8"/>
      <c r="Q471" s="8"/>
      <c r="R471" s="8"/>
      <c r="S471" s="8"/>
      <c r="T471" s="8"/>
      <c r="U471" s="12"/>
      <c r="V471" s="12"/>
      <c r="W471" s="12"/>
      <c r="X471" s="12"/>
      <c r="Y471" s="12"/>
      <c r="Z471" s="12"/>
      <c r="AA471" s="12"/>
      <c r="AB471" s="12"/>
      <c r="AC471" s="12"/>
      <c r="AD471" s="12"/>
      <c r="AE471" s="12"/>
      <c r="AF471" s="12"/>
    </row>
    <row r="472" spans="1:32">
      <c r="A472" s="8"/>
      <c r="B472" s="8"/>
      <c r="C472" s="8"/>
      <c r="D472" s="8"/>
      <c r="E472" s="8"/>
      <c r="F472" s="8"/>
      <c r="G472" s="8"/>
      <c r="H472" s="8"/>
      <c r="I472" s="8"/>
      <c r="J472" s="8"/>
      <c r="K472" s="8"/>
      <c r="L472" s="8"/>
      <c r="M472" s="8"/>
      <c r="N472" s="8"/>
      <c r="O472" s="8"/>
      <c r="P472" s="8"/>
      <c r="Q472" s="8"/>
      <c r="R472" s="8"/>
      <c r="S472" s="8"/>
      <c r="T472" s="8"/>
      <c r="U472" s="12"/>
      <c r="V472" s="12"/>
      <c r="W472" s="12"/>
      <c r="X472" s="12"/>
      <c r="Y472" s="12"/>
      <c r="Z472" s="12"/>
      <c r="AA472" s="12"/>
      <c r="AB472" s="12"/>
      <c r="AC472" s="12"/>
      <c r="AD472" s="12"/>
      <c r="AE472" s="12"/>
      <c r="AF472" s="12"/>
    </row>
    <row r="473" spans="1:32">
      <c r="A473" s="8"/>
      <c r="B473" s="8"/>
      <c r="C473" s="8"/>
      <c r="D473" s="8"/>
      <c r="E473" s="8"/>
      <c r="F473" s="8"/>
      <c r="G473" s="8"/>
      <c r="H473" s="8"/>
      <c r="I473" s="8"/>
      <c r="J473" s="8"/>
      <c r="K473" s="8"/>
      <c r="L473" s="8"/>
      <c r="M473" s="8"/>
      <c r="N473" s="8"/>
      <c r="O473" s="8"/>
      <c r="P473" s="8"/>
      <c r="Q473" s="8"/>
      <c r="R473" s="8"/>
      <c r="S473" s="8"/>
      <c r="T473" s="8"/>
      <c r="U473" s="12"/>
      <c r="V473" s="12"/>
      <c r="W473" s="12"/>
      <c r="X473" s="12"/>
      <c r="Y473" s="12"/>
      <c r="Z473" s="12"/>
      <c r="AA473" s="12"/>
      <c r="AB473" s="12"/>
      <c r="AC473" s="12"/>
      <c r="AD473" s="12"/>
      <c r="AE473" s="12"/>
      <c r="AF473" s="12"/>
    </row>
    <row r="474" spans="1:32">
      <c r="A474" s="8"/>
      <c r="B474" s="8"/>
      <c r="C474" s="8"/>
      <c r="D474" s="8"/>
      <c r="E474" s="8"/>
      <c r="F474" s="8"/>
      <c r="G474" s="8"/>
      <c r="H474" s="8"/>
      <c r="I474" s="8"/>
      <c r="J474" s="8"/>
      <c r="K474" s="8"/>
      <c r="L474" s="8"/>
      <c r="M474" s="8"/>
      <c r="N474" s="8"/>
      <c r="O474" s="8"/>
      <c r="P474" s="8"/>
      <c r="Q474" s="8"/>
      <c r="R474" s="8"/>
      <c r="S474" s="8"/>
      <c r="T474" s="8"/>
      <c r="U474" s="12"/>
      <c r="V474" s="12"/>
      <c r="W474" s="12"/>
      <c r="X474" s="12"/>
      <c r="Y474" s="12"/>
      <c r="Z474" s="12"/>
      <c r="AA474" s="12"/>
      <c r="AB474" s="12"/>
      <c r="AC474" s="12"/>
      <c r="AD474" s="12"/>
      <c r="AE474" s="12"/>
      <c r="AF474" s="12"/>
    </row>
    <row r="475" spans="1:32">
      <c r="A475" s="8"/>
      <c r="B475" s="8"/>
      <c r="C475" s="8"/>
      <c r="D475" s="8"/>
      <c r="E475" s="8"/>
      <c r="F475" s="8"/>
      <c r="G475" s="8"/>
      <c r="H475" s="8"/>
      <c r="I475" s="8"/>
      <c r="J475" s="8"/>
      <c r="K475" s="8"/>
      <c r="L475" s="8"/>
      <c r="M475" s="8"/>
      <c r="N475" s="8"/>
      <c r="O475" s="8"/>
      <c r="P475" s="8"/>
      <c r="Q475" s="8"/>
      <c r="R475" s="8"/>
      <c r="S475" s="8"/>
      <c r="T475" s="8"/>
      <c r="U475" s="12"/>
      <c r="V475" s="12"/>
      <c r="W475" s="12"/>
      <c r="X475" s="12"/>
      <c r="Y475" s="12"/>
      <c r="Z475" s="12"/>
      <c r="AA475" s="12"/>
      <c r="AB475" s="12"/>
      <c r="AC475" s="12"/>
      <c r="AD475" s="12"/>
      <c r="AE475" s="12"/>
      <c r="AF475" s="12"/>
    </row>
    <row r="476" spans="1:32">
      <c r="A476" s="8"/>
      <c r="B476" s="8"/>
      <c r="C476" s="8"/>
      <c r="D476" s="8"/>
      <c r="E476" s="8"/>
      <c r="F476" s="8"/>
      <c r="G476" s="8"/>
      <c r="H476" s="8"/>
      <c r="I476" s="8"/>
      <c r="J476" s="8"/>
      <c r="K476" s="8"/>
      <c r="L476" s="8"/>
      <c r="M476" s="8"/>
      <c r="N476" s="8"/>
      <c r="O476" s="8"/>
      <c r="P476" s="8"/>
      <c r="Q476" s="8"/>
      <c r="R476" s="8"/>
      <c r="S476" s="8"/>
      <c r="T476" s="8"/>
      <c r="U476" s="12"/>
      <c r="V476" s="12"/>
      <c r="W476" s="12"/>
      <c r="X476" s="12"/>
      <c r="Y476" s="12"/>
      <c r="Z476" s="12"/>
      <c r="AA476" s="12"/>
      <c r="AB476" s="12"/>
      <c r="AC476" s="12"/>
      <c r="AD476" s="12"/>
      <c r="AE476" s="12"/>
      <c r="AF476" s="12"/>
    </row>
    <row r="477" spans="1:32">
      <c r="A477" s="8"/>
      <c r="B477" s="8"/>
      <c r="C477" s="8"/>
      <c r="D477" s="8"/>
      <c r="E477" s="8"/>
      <c r="F477" s="8"/>
      <c r="G477" s="8"/>
      <c r="H477" s="8"/>
      <c r="I477" s="8"/>
      <c r="J477" s="8"/>
      <c r="K477" s="8"/>
      <c r="L477" s="8"/>
      <c r="M477" s="8"/>
      <c r="N477" s="8"/>
      <c r="O477" s="8"/>
      <c r="P477" s="8"/>
      <c r="Q477" s="8"/>
      <c r="R477" s="8"/>
      <c r="S477" s="8"/>
      <c r="T477" s="8"/>
      <c r="U477" s="12"/>
      <c r="V477" s="12"/>
      <c r="W477" s="12"/>
      <c r="X477" s="12"/>
      <c r="Y477" s="12"/>
      <c r="Z477" s="12"/>
      <c r="AA477" s="12"/>
      <c r="AB477" s="12"/>
      <c r="AC477" s="12"/>
      <c r="AD477" s="12"/>
      <c r="AE477" s="12"/>
      <c r="AF477" s="12"/>
    </row>
    <row r="478" spans="1:32">
      <c r="A478" s="8"/>
      <c r="B478" s="8"/>
      <c r="C478" s="8"/>
      <c r="D478" s="8"/>
      <c r="E478" s="8"/>
      <c r="F478" s="8"/>
      <c r="G478" s="8"/>
      <c r="H478" s="8"/>
      <c r="I478" s="8"/>
      <c r="J478" s="8"/>
      <c r="K478" s="8"/>
      <c r="L478" s="8"/>
      <c r="M478" s="8"/>
      <c r="N478" s="8"/>
      <c r="O478" s="8"/>
      <c r="P478" s="8"/>
      <c r="Q478" s="8"/>
      <c r="R478" s="8"/>
      <c r="S478" s="8"/>
      <c r="T478" s="8"/>
      <c r="U478" s="12"/>
      <c r="V478" s="12"/>
      <c r="W478" s="12"/>
      <c r="X478" s="12"/>
      <c r="Y478" s="12"/>
      <c r="Z478" s="12"/>
      <c r="AA478" s="12"/>
      <c r="AB478" s="12"/>
      <c r="AC478" s="12"/>
      <c r="AD478" s="12"/>
      <c r="AE478" s="12"/>
      <c r="AF478" s="12"/>
    </row>
    <row r="479" spans="1:32">
      <c r="A479" s="8"/>
      <c r="B479" s="8"/>
      <c r="C479" s="8"/>
      <c r="D479" s="8"/>
      <c r="E479" s="8"/>
      <c r="F479" s="8"/>
      <c r="G479" s="8"/>
      <c r="H479" s="8"/>
      <c r="I479" s="8"/>
      <c r="J479" s="8"/>
      <c r="K479" s="8"/>
      <c r="L479" s="8"/>
      <c r="M479" s="8"/>
      <c r="N479" s="8"/>
      <c r="O479" s="8"/>
      <c r="P479" s="8"/>
      <c r="Q479" s="8"/>
      <c r="R479" s="8"/>
      <c r="S479" s="8"/>
      <c r="T479" s="8"/>
      <c r="U479" s="12"/>
      <c r="V479" s="12"/>
      <c r="W479" s="12"/>
      <c r="X479" s="12"/>
      <c r="Y479" s="12"/>
      <c r="Z479" s="12"/>
      <c r="AA479" s="12"/>
      <c r="AB479" s="12"/>
      <c r="AC479" s="12"/>
      <c r="AD479" s="12"/>
      <c r="AE479" s="12"/>
      <c r="AF479" s="12"/>
    </row>
    <row r="480" spans="1:32">
      <c r="A480" s="8"/>
      <c r="B480" s="8"/>
      <c r="C480" s="8"/>
      <c r="D480" s="8"/>
      <c r="E480" s="8"/>
      <c r="F480" s="8"/>
      <c r="G480" s="8"/>
      <c r="H480" s="8"/>
      <c r="I480" s="8"/>
      <c r="J480" s="8"/>
      <c r="K480" s="8"/>
      <c r="L480" s="8"/>
      <c r="M480" s="8"/>
      <c r="N480" s="8"/>
      <c r="O480" s="8"/>
      <c r="P480" s="8"/>
      <c r="Q480" s="8"/>
      <c r="R480" s="8"/>
      <c r="S480" s="8"/>
      <c r="T480" s="8"/>
      <c r="U480" s="12"/>
      <c r="V480" s="12"/>
      <c r="W480" s="12"/>
      <c r="X480" s="12"/>
      <c r="Y480" s="12"/>
      <c r="Z480" s="12"/>
      <c r="AA480" s="12"/>
      <c r="AB480" s="12"/>
      <c r="AC480" s="12"/>
      <c r="AD480" s="12"/>
      <c r="AE480" s="12"/>
      <c r="AF480" s="12"/>
    </row>
    <row r="481" spans="1:32">
      <c r="A481" s="8"/>
      <c r="B481" s="8"/>
      <c r="C481" s="8"/>
      <c r="D481" s="8"/>
      <c r="E481" s="8"/>
      <c r="F481" s="8"/>
      <c r="G481" s="8"/>
      <c r="H481" s="8"/>
      <c r="I481" s="8"/>
      <c r="J481" s="8"/>
      <c r="K481" s="8"/>
      <c r="L481" s="8"/>
      <c r="M481" s="8"/>
      <c r="N481" s="8"/>
      <c r="O481" s="8"/>
      <c r="P481" s="8"/>
      <c r="Q481" s="8"/>
      <c r="R481" s="8"/>
      <c r="S481" s="8"/>
      <c r="T481" s="8"/>
      <c r="U481" s="12"/>
      <c r="V481" s="12"/>
      <c r="W481" s="12"/>
      <c r="X481" s="12"/>
      <c r="Y481" s="12"/>
      <c r="Z481" s="12"/>
      <c r="AA481" s="12"/>
      <c r="AB481" s="12"/>
      <c r="AC481" s="12"/>
      <c r="AD481" s="12"/>
      <c r="AE481" s="12"/>
      <c r="AF481" s="12"/>
    </row>
    <row r="482" spans="1:32">
      <c r="A482" s="8"/>
      <c r="B482" s="8"/>
      <c r="C482" s="8"/>
      <c r="D482" s="8"/>
      <c r="E482" s="8"/>
      <c r="F482" s="8"/>
      <c r="G482" s="8"/>
      <c r="H482" s="8"/>
      <c r="I482" s="8"/>
      <c r="J482" s="8"/>
      <c r="K482" s="8"/>
      <c r="L482" s="8"/>
      <c r="M482" s="8"/>
      <c r="N482" s="8"/>
      <c r="O482" s="8"/>
      <c r="P482" s="8"/>
      <c r="Q482" s="8"/>
      <c r="R482" s="8"/>
      <c r="S482" s="8"/>
      <c r="T482" s="8"/>
      <c r="U482" s="12"/>
      <c r="V482" s="12"/>
      <c r="W482" s="12"/>
      <c r="X482" s="12"/>
      <c r="Y482" s="12"/>
      <c r="Z482" s="12"/>
      <c r="AA482" s="12"/>
      <c r="AB482" s="12"/>
      <c r="AC482" s="12"/>
      <c r="AD482" s="12"/>
      <c r="AE482" s="12"/>
      <c r="AF482" s="12"/>
    </row>
    <row r="483" spans="1:32">
      <c r="A483" s="8"/>
      <c r="B483" s="8"/>
      <c r="C483" s="8"/>
      <c r="D483" s="8"/>
      <c r="E483" s="8"/>
      <c r="F483" s="8"/>
      <c r="G483" s="8"/>
      <c r="H483" s="8"/>
      <c r="I483" s="8"/>
      <c r="J483" s="8"/>
      <c r="K483" s="8"/>
      <c r="L483" s="8"/>
      <c r="M483" s="8"/>
      <c r="N483" s="8"/>
      <c r="O483" s="8"/>
      <c r="P483" s="8"/>
      <c r="Q483" s="8"/>
      <c r="R483" s="8"/>
      <c r="S483" s="8"/>
      <c r="T483" s="8"/>
      <c r="U483" s="12"/>
      <c r="V483" s="12"/>
      <c r="W483" s="12"/>
      <c r="X483" s="12"/>
      <c r="Y483" s="12"/>
      <c r="Z483" s="12"/>
      <c r="AA483" s="12"/>
      <c r="AB483" s="12"/>
      <c r="AC483" s="12"/>
      <c r="AD483" s="12"/>
      <c r="AE483" s="12"/>
      <c r="AF483" s="12"/>
    </row>
    <row r="484" spans="1:32">
      <c r="A484" s="8"/>
      <c r="B484" s="8"/>
      <c r="C484" s="8"/>
      <c r="D484" s="8"/>
      <c r="E484" s="8"/>
      <c r="F484" s="8"/>
      <c r="G484" s="8"/>
      <c r="H484" s="8"/>
      <c r="I484" s="8"/>
      <c r="J484" s="8"/>
      <c r="K484" s="8"/>
      <c r="L484" s="8"/>
      <c r="M484" s="8"/>
      <c r="N484" s="8"/>
      <c r="O484" s="8"/>
      <c r="P484" s="8"/>
      <c r="Q484" s="8"/>
      <c r="R484" s="8"/>
      <c r="S484" s="8"/>
      <c r="T484" s="8"/>
      <c r="U484" s="12"/>
      <c r="V484" s="12"/>
      <c r="W484" s="12"/>
      <c r="X484" s="12"/>
      <c r="Y484" s="12"/>
      <c r="Z484" s="12"/>
      <c r="AA484" s="12"/>
      <c r="AB484" s="12"/>
      <c r="AC484" s="12"/>
      <c r="AD484" s="12"/>
      <c r="AE484" s="12"/>
      <c r="AF484" s="12"/>
    </row>
    <row r="485" spans="1:32">
      <c r="A485" s="8"/>
      <c r="B485" s="8"/>
      <c r="C485" s="8"/>
      <c r="D485" s="8"/>
      <c r="E485" s="8"/>
      <c r="F485" s="8"/>
      <c r="G485" s="8"/>
      <c r="H485" s="8"/>
      <c r="I485" s="8"/>
      <c r="J485" s="8"/>
      <c r="K485" s="8"/>
      <c r="L485" s="8"/>
      <c r="M485" s="8"/>
      <c r="N485" s="8"/>
      <c r="O485" s="8"/>
      <c r="P485" s="8"/>
      <c r="Q485" s="8"/>
      <c r="R485" s="8"/>
      <c r="S485" s="8"/>
      <c r="T485" s="8"/>
      <c r="U485" s="12"/>
      <c r="V485" s="12"/>
      <c r="W485" s="12"/>
      <c r="X485" s="12"/>
      <c r="Y485" s="12"/>
      <c r="Z485" s="12"/>
      <c r="AA485" s="12"/>
      <c r="AB485" s="12"/>
      <c r="AC485" s="12"/>
      <c r="AD485" s="12"/>
      <c r="AE485" s="12"/>
      <c r="AF485" s="12"/>
    </row>
    <row r="486" spans="1:32">
      <c r="A486" s="8"/>
      <c r="B486" s="8"/>
      <c r="C486" s="8"/>
      <c r="D486" s="8"/>
      <c r="E486" s="8"/>
      <c r="F486" s="8"/>
      <c r="G486" s="8"/>
      <c r="H486" s="8"/>
      <c r="I486" s="8"/>
      <c r="J486" s="8"/>
      <c r="K486" s="8"/>
      <c r="L486" s="8"/>
      <c r="M486" s="8"/>
      <c r="N486" s="8"/>
      <c r="O486" s="8"/>
      <c r="P486" s="8"/>
      <c r="Q486" s="8"/>
      <c r="R486" s="8"/>
      <c r="S486" s="8"/>
      <c r="T486" s="8"/>
      <c r="U486" s="12"/>
      <c r="V486" s="12"/>
      <c r="W486" s="12"/>
      <c r="X486" s="12"/>
      <c r="Y486" s="12"/>
      <c r="Z486" s="12"/>
      <c r="AA486" s="12"/>
      <c r="AB486" s="12"/>
      <c r="AC486" s="12"/>
      <c r="AD486" s="12"/>
      <c r="AE486" s="12"/>
      <c r="AF486" s="12"/>
    </row>
    <row r="487" spans="1:32">
      <c r="A487" s="8"/>
      <c r="B487" s="8"/>
      <c r="C487" s="8"/>
      <c r="D487" s="8"/>
      <c r="E487" s="8"/>
      <c r="F487" s="8"/>
      <c r="G487" s="8"/>
      <c r="H487" s="8"/>
      <c r="I487" s="8"/>
      <c r="J487" s="8"/>
      <c r="K487" s="8"/>
      <c r="L487" s="8"/>
      <c r="M487" s="8"/>
      <c r="N487" s="8"/>
      <c r="O487" s="8"/>
      <c r="P487" s="8"/>
      <c r="Q487" s="8"/>
      <c r="R487" s="8"/>
      <c r="S487" s="8"/>
      <c r="T487" s="8"/>
      <c r="U487" s="12"/>
      <c r="V487" s="12"/>
      <c r="W487" s="12"/>
      <c r="X487" s="12"/>
      <c r="Y487" s="12"/>
      <c r="Z487" s="12"/>
      <c r="AA487" s="12"/>
      <c r="AB487" s="12"/>
      <c r="AC487" s="12"/>
      <c r="AD487" s="12"/>
      <c r="AE487" s="12"/>
      <c r="AF487" s="12"/>
    </row>
    <row r="488" spans="1:32">
      <c r="A488" s="8"/>
      <c r="B488" s="8"/>
      <c r="C488" s="8"/>
      <c r="D488" s="8"/>
      <c r="E488" s="8"/>
      <c r="F488" s="8"/>
      <c r="G488" s="8"/>
      <c r="H488" s="8"/>
      <c r="I488" s="8"/>
      <c r="J488" s="8"/>
      <c r="K488" s="8"/>
      <c r="L488" s="8"/>
      <c r="M488" s="8"/>
      <c r="N488" s="8"/>
      <c r="O488" s="8"/>
      <c r="P488" s="8"/>
      <c r="Q488" s="8"/>
      <c r="R488" s="8"/>
      <c r="S488" s="8"/>
      <c r="T488" s="8"/>
      <c r="U488" s="12"/>
      <c r="V488" s="12"/>
      <c r="W488" s="12"/>
      <c r="X488" s="12"/>
      <c r="Y488" s="12"/>
      <c r="Z488" s="12"/>
      <c r="AA488" s="12"/>
      <c r="AB488" s="12"/>
      <c r="AC488" s="12"/>
      <c r="AD488" s="12"/>
      <c r="AE488" s="12"/>
      <c r="AF488" s="12"/>
    </row>
    <row r="489" spans="1:32">
      <c r="A489" s="8"/>
      <c r="B489" s="8"/>
      <c r="C489" s="8"/>
      <c r="D489" s="8"/>
      <c r="E489" s="8"/>
      <c r="F489" s="8"/>
      <c r="G489" s="8"/>
      <c r="H489" s="8"/>
      <c r="I489" s="8"/>
      <c r="J489" s="8"/>
      <c r="K489" s="8"/>
      <c r="L489" s="8"/>
      <c r="M489" s="8"/>
      <c r="N489" s="8"/>
      <c r="O489" s="8"/>
      <c r="P489" s="8"/>
      <c r="Q489" s="8"/>
      <c r="R489" s="8"/>
      <c r="S489" s="8"/>
      <c r="T489" s="8"/>
      <c r="U489" s="12"/>
      <c r="V489" s="12"/>
      <c r="W489" s="12"/>
      <c r="X489" s="12"/>
      <c r="Y489" s="12"/>
      <c r="Z489" s="12"/>
      <c r="AA489" s="12"/>
      <c r="AB489" s="12"/>
      <c r="AC489" s="12"/>
      <c r="AD489" s="12"/>
      <c r="AE489" s="12"/>
      <c r="AF489" s="12"/>
    </row>
    <row r="490" spans="1:32">
      <c r="A490" s="8"/>
      <c r="B490" s="8"/>
      <c r="C490" s="8"/>
      <c r="D490" s="8"/>
      <c r="E490" s="8"/>
      <c r="F490" s="8"/>
      <c r="G490" s="8"/>
      <c r="H490" s="8"/>
      <c r="I490" s="8"/>
      <c r="J490" s="8"/>
      <c r="K490" s="8"/>
      <c r="L490" s="8"/>
      <c r="M490" s="8"/>
      <c r="N490" s="8"/>
      <c r="O490" s="8"/>
      <c r="P490" s="8"/>
      <c r="Q490" s="8"/>
      <c r="R490" s="8"/>
      <c r="S490" s="8"/>
      <c r="T490" s="8"/>
      <c r="U490" s="12"/>
      <c r="V490" s="12"/>
      <c r="W490" s="12"/>
      <c r="X490" s="12"/>
      <c r="Y490" s="12"/>
      <c r="Z490" s="12"/>
      <c r="AA490" s="12"/>
      <c r="AB490" s="12"/>
      <c r="AC490" s="12"/>
      <c r="AD490" s="12"/>
      <c r="AE490" s="12"/>
      <c r="AF490" s="12"/>
    </row>
    <row r="491" spans="1:32">
      <c r="A491" s="8"/>
      <c r="B491" s="8"/>
      <c r="C491" s="8"/>
      <c r="D491" s="8"/>
      <c r="E491" s="8"/>
      <c r="F491" s="8"/>
      <c r="G491" s="8"/>
      <c r="H491" s="8"/>
      <c r="I491" s="8"/>
      <c r="J491" s="8"/>
      <c r="K491" s="8"/>
      <c r="L491" s="8"/>
      <c r="M491" s="8"/>
      <c r="N491" s="8"/>
      <c r="O491" s="8"/>
      <c r="P491" s="8"/>
      <c r="Q491" s="8"/>
      <c r="R491" s="8"/>
      <c r="S491" s="8"/>
      <c r="T491" s="8"/>
      <c r="U491" s="12"/>
      <c r="V491" s="12"/>
      <c r="W491" s="12"/>
      <c r="X491" s="12"/>
      <c r="Y491" s="12"/>
      <c r="Z491" s="12"/>
      <c r="AA491" s="12"/>
      <c r="AB491" s="12"/>
      <c r="AC491" s="12"/>
      <c r="AD491" s="12"/>
      <c r="AE491" s="12"/>
      <c r="AF491" s="12"/>
    </row>
    <row r="492" spans="1:32">
      <c r="A492" s="8"/>
      <c r="B492" s="8"/>
      <c r="C492" s="8"/>
      <c r="D492" s="8"/>
      <c r="E492" s="8"/>
      <c r="F492" s="8"/>
      <c r="G492" s="8"/>
      <c r="H492" s="8"/>
      <c r="I492" s="8"/>
      <c r="J492" s="8"/>
      <c r="K492" s="8"/>
      <c r="L492" s="8"/>
      <c r="M492" s="8"/>
      <c r="N492" s="8"/>
      <c r="O492" s="8"/>
      <c r="P492" s="8"/>
      <c r="Q492" s="8"/>
      <c r="R492" s="8"/>
      <c r="S492" s="8"/>
      <c r="T492" s="8"/>
      <c r="U492" s="12"/>
      <c r="V492" s="12"/>
      <c r="W492" s="12"/>
      <c r="X492" s="12"/>
      <c r="Y492" s="12"/>
      <c r="Z492" s="12"/>
      <c r="AA492" s="12"/>
      <c r="AB492" s="12"/>
      <c r="AC492" s="12"/>
      <c r="AD492" s="12"/>
      <c r="AE492" s="12"/>
      <c r="AF492" s="12"/>
    </row>
    <row r="493" spans="1:32">
      <c r="A493" s="8"/>
      <c r="B493" s="8"/>
      <c r="C493" s="8"/>
      <c r="D493" s="8"/>
      <c r="E493" s="8"/>
      <c r="F493" s="8"/>
      <c r="G493" s="8"/>
      <c r="H493" s="8"/>
      <c r="I493" s="8"/>
      <c r="J493" s="8"/>
      <c r="K493" s="8"/>
      <c r="L493" s="8"/>
      <c r="M493" s="8"/>
      <c r="N493" s="8"/>
      <c r="O493" s="8"/>
      <c r="P493" s="8"/>
      <c r="Q493" s="8"/>
      <c r="R493" s="8"/>
      <c r="S493" s="8"/>
      <c r="T493" s="8"/>
      <c r="U493" s="12"/>
      <c r="V493" s="12"/>
      <c r="W493" s="12"/>
      <c r="X493" s="12"/>
      <c r="Y493" s="12"/>
      <c r="Z493" s="12"/>
      <c r="AA493" s="12"/>
      <c r="AB493" s="12"/>
      <c r="AC493" s="12"/>
      <c r="AD493" s="12"/>
      <c r="AE493" s="12"/>
      <c r="AF493" s="12"/>
    </row>
    <row r="494" spans="1:32">
      <c r="A494" s="8"/>
      <c r="B494" s="8"/>
      <c r="C494" s="8"/>
      <c r="D494" s="8"/>
      <c r="E494" s="8"/>
      <c r="F494" s="8"/>
      <c r="G494" s="8"/>
      <c r="H494" s="8"/>
      <c r="I494" s="8"/>
      <c r="J494" s="8"/>
      <c r="K494" s="8"/>
      <c r="L494" s="8"/>
      <c r="M494" s="8"/>
      <c r="N494" s="8"/>
      <c r="O494" s="8"/>
      <c r="P494" s="8"/>
      <c r="Q494" s="8"/>
      <c r="R494" s="8"/>
      <c r="S494" s="8"/>
      <c r="T494" s="8"/>
      <c r="U494" s="12"/>
      <c r="V494" s="12"/>
      <c r="W494" s="12"/>
      <c r="X494" s="12"/>
      <c r="Y494" s="12"/>
      <c r="Z494" s="12"/>
      <c r="AA494" s="12"/>
      <c r="AB494" s="12"/>
      <c r="AC494" s="12"/>
      <c r="AD494" s="12"/>
      <c r="AE494" s="12"/>
      <c r="AF494" s="12"/>
    </row>
    <row r="495" spans="1:32">
      <c r="A495" s="8"/>
      <c r="B495" s="8"/>
      <c r="C495" s="8"/>
      <c r="D495" s="8"/>
      <c r="E495" s="8"/>
      <c r="F495" s="8"/>
      <c r="G495" s="8"/>
      <c r="H495" s="8"/>
      <c r="I495" s="8"/>
      <c r="J495" s="8"/>
      <c r="K495" s="8"/>
      <c r="L495" s="8"/>
      <c r="M495" s="8"/>
      <c r="N495" s="8"/>
      <c r="O495" s="8"/>
      <c r="P495" s="8"/>
      <c r="Q495" s="8"/>
      <c r="R495" s="8"/>
      <c r="S495" s="8"/>
      <c r="T495" s="8"/>
      <c r="U495" s="12"/>
      <c r="V495" s="12"/>
      <c r="W495" s="12"/>
      <c r="X495" s="12"/>
      <c r="Y495" s="12"/>
      <c r="Z495" s="12"/>
      <c r="AA495" s="12"/>
      <c r="AB495" s="12"/>
      <c r="AC495" s="12"/>
      <c r="AD495" s="12"/>
      <c r="AE495" s="12"/>
      <c r="AF495" s="12"/>
    </row>
    <row r="496" spans="1:32">
      <c r="A496" s="8"/>
      <c r="B496" s="8"/>
      <c r="C496" s="8"/>
      <c r="D496" s="8"/>
      <c r="E496" s="8"/>
      <c r="F496" s="8"/>
      <c r="G496" s="8"/>
      <c r="H496" s="8"/>
      <c r="I496" s="8"/>
      <c r="J496" s="8"/>
      <c r="K496" s="8"/>
      <c r="L496" s="8"/>
      <c r="M496" s="8"/>
      <c r="N496" s="8"/>
      <c r="O496" s="8"/>
      <c r="P496" s="8"/>
      <c r="Q496" s="8"/>
      <c r="R496" s="8"/>
      <c r="S496" s="8"/>
      <c r="T496" s="8"/>
      <c r="U496" s="12"/>
      <c r="V496" s="12"/>
      <c r="W496" s="12"/>
      <c r="X496" s="12"/>
      <c r="Y496" s="12"/>
      <c r="Z496" s="12"/>
      <c r="AA496" s="12"/>
      <c r="AB496" s="12"/>
      <c r="AC496" s="12"/>
      <c r="AD496" s="12"/>
      <c r="AE496" s="12"/>
      <c r="AF496" s="12"/>
    </row>
    <row r="497" spans="1:32">
      <c r="A497" s="8"/>
      <c r="B497" s="8"/>
      <c r="C497" s="8"/>
      <c r="D497" s="8"/>
      <c r="E497" s="8"/>
      <c r="F497" s="8"/>
      <c r="G497" s="8"/>
      <c r="H497" s="8"/>
      <c r="I497" s="8"/>
      <c r="J497" s="8"/>
      <c r="K497" s="8"/>
      <c r="L497" s="8"/>
      <c r="M497" s="8"/>
      <c r="N497" s="8"/>
      <c r="O497" s="8"/>
      <c r="P497" s="8"/>
      <c r="Q497" s="8"/>
      <c r="R497" s="8"/>
      <c r="S497" s="8"/>
      <c r="T497" s="8"/>
      <c r="U497" s="12"/>
      <c r="V497" s="12"/>
      <c r="W497" s="12"/>
      <c r="X497" s="12"/>
      <c r="Y497" s="12"/>
      <c r="Z497" s="12"/>
      <c r="AA497" s="12"/>
      <c r="AB497" s="12"/>
      <c r="AC497" s="12"/>
      <c r="AD497" s="12"/>
      <c r="AE497" s="12"/>
      <c r="AF497" s="12"/>
    </row>
    <row r="498" spans="1:32">
      <c r="A498" s="8"/>
      <c r="B498" s="8"/>
      <c r="C498" s="8"/>
      <c r="D498" s="8"/>
      <c r="E498" s="8"/>
      <c r="F498" s="8"/>
      <c r="G498" s="8"/>
      <c r="H498" s="8"/>
      <c r="I498" s="8"/>
      <c r="J498" s="8"/>
      <c r="K498" s="8"/>
      <c r="L498" s="8"/>
      <c r="M498" s="8"/>
      <c r="N498" s="8"/>
      <c r="O498" s="8"/>
      <c r="P498" s="8"/>
      <c r="Q498" s="8"/>
      <c r="R498" s="8"/>
      <c r="S498" s="8"/>
      <c r="T498" s="8"/>
      <c r="U498" s="12"/>
      <c r="V498" s="12"/>
      <c r="W498" s="12"/>
      <c r="X498" s="12"/>
      <c r="Y498" s="12"/>
      <c r="Z498" s="12"/>
      <c r="AA498" s="12"/>
      <c r="AB498" s="12"/>
      <c r="AC498" s="12"/>
      <c r="AD498" s="12"/>
      <c r="AE498" s="12"/>
      <c r="AF498" s="12"/>
    </row>
    <row r="499" spans="1:32">
      <c r="A499" s="8"/>
      <c r="B499" s="8"/>
      <c r="C499" s="8"/>
      <c r="D499" s="8"/>
      <c r="E499" s="8"/>
      <c r="F499" s="8"/>
      <c r="G499" s="8"/>
      <c r="H499" s="8"/>
      <c r="I499" s="8"/>
      <c r="J499" s="8"/>
      <c r="K499" s="8"/>
      <c r="L499" s="8"/>
      <c r="M499" s="8"/>
      <c r="N499" s="8"/>
      <c r="O499" s="8"/>
      <c r="P499" s="8"/>
      <c r="Q499" s="8"/>
      <c r="R499" s="8"/>
      <c r="S499" s="8"/>
      <c r="T499" s="8"/>
      <c r="U499" s="12"/>
      <c r="V499" s="12"/>
      <c r="W499" s="12"/>
      <c r="X499" s="12"/>
      <c r="Y499" s="12"/>
      <c r="Z499" s="12"/>
      <c r="AA499" s="12"/>
      <c r="AB499" s="12"/>
      <c r="AC499" s="12"/>
      <c r="AD499" s="12"/>
      <c r="AE499" s="12"/>
      <c r="AF499" s="12"/>
    </row>
    <row r="500" spans="1:32">
      <c r="A500" s="8"/>
      <c r="B500" s="8"/>
      <c r="C500" s="8"/>
      <c r="D500" s="8"/>
      <c r="E500" s="8"/>
      <c r="F500" s="8"/>
      <c r="G500" s="8"/>
      <c r="H500" s="8"/>
      <c r="I500" s="8"/>
      <c r="J500" s="8"/>
      <c r="K500" s="8"/>
      <c r="L500" s="8"/>
      <c r="M500" s="8"/>
      <c r="N500" s="8"/>
      <c r="O500" s="8"/>
      <c r="P500" s="8"/>
      <c r="Q500" s="8"/>
      <c r="R500" s="8"/>
      <c r="S500" s="8"/>
      <c r="T500" s="8"/>
      <c r="U500" s="12"/>
      <c r="V500" s="12"/>
      <c r="W500" s="12"/>
      <c r="X500" s="12"/>
      <c r="Y500" s="12"/>
      <c r="Z500" s="12"/>
      <c r="AA500" s="12"/>
      <c r="AB500" s="12"/>
      <c r="AC500" s="12"/>
      <c r="AD500" s="12"/>
      <c r="AE500" s="12"/>
      <c r="AF500" s="12"/>
    </row>
    <row r="501" spans="1:32">
      <c r="A501" s="8"/>
      <c r="B501" s="8"/>
      <c r="C501" s="8"/>
      <c r="D501" s="8"/>
      <c r="E501" s="8"/>
      <c r="F501" s="8"/>
      <c r="G501" s="8"/>
      <c r="H501" s="8"/>
      <c r="I501" s="8"/>
      <c r="J501" s="8"/>
      <c r="K501" s="8"/>
      <c r="L501" s="8"/>
      <c r="M501" s="8"/>
      <c r="N501" s="8"/>
      <c r="O501" s="8"/>
      <c r="P501" s="8"/>
      <c r="Q501" s="8"/>
      <c r="R501" s="8"/>
      <c r="S501" s="8"/>
      <c r="T501" s="8"/>
      <c r="U501" s="12"/>
      <c r="V501" s="12"/>
      <c r="W501" s="12"/>
      <c r="X501" s="12"/>
      <c r="Y501" s="12"/>
      <c r="Z501" s="12"/>
      <c r="AA501" s="12"/>
      <c r="AB501" s="12"/>
      <c r="AC501" s="12"/>
      <c r="AD501" s="12"/>
      <c r="AE501" s="12"/>
      <c r="AF501" s="12"/>
    </row>
    <row r="502" spans="1:32">
      <c r="A502" s="8"/>
      <c r="B502" s="8"/>
      <c r="C502" s="8"/>
      <c r="D502" s="8"/>
      <c r="E502" s="8"/>
      <c r="F502" s="8"/>
      <c r="G502" s="8"/>
      <c r="H502" s="8"/>
      <c r="I502" s="8"/>
      <c r="J502" s="8"/>
      <c r="K502" s="8"/>
      <c r="L502" s="8"/>
      <c r="M502" s="8"/>
      <c r="N502" s="8"/>
      <c r="O502" s="8"/>
      <c r="P502" s="8"/>
      <c r="Q502" s="8"/>
      <c r="R502" s="8"/>
      <c r="S502" s="8"/>
      <c r="T502" s="8"/>
      <c r="U502" s="12"/>
      <c r="V502" s="12"/>
      <c r="W502" s="12"/>
      <c r="X502" s="12"/>
      <c r="Y502" s="12"/>
      <c r="Z502" s="12"/>
      <c r="AA502" s="12"/>
      <c r="AB502" s="12"/>
      <c r="AC502" s="12"/>
      <c r="AD502" s="12"/>
      <c r="AE502" s="12"/>
      <c r="AF502" s="12"/>
    </row>
    <row r="503" spans="1:32">
      <c r="A503" s="8"/>
      <c r="B503" s="8"/>
      <c r="C503" s="8"/>
      <c r="D503" s="8"/>
      <c r="E503" s="8"/>
      <c r="F503" s="8"/>
      <c r="G503" s="8"/>
      <c r="H503" s="8"/>
      <c r="I503" s="8"/>
      <c r="J503" s="8"/>
      <c r="K503" s="8"/>
      <c r="L503" s="8"/>
      <c r="M503" s="8"/>
      <c r="N503" s="8"/>
      <c r="O503" s="8"/>
      <c r="P503" s="8"/>
      <c r="Q503" s="8"/>
      <c r="R503" s="8"/>
      <c r="S503" s="8"/>
      <c r="T503" s="8"/>
      <c r="U503" s="12"/>
      <c r="V503" s="12"/>
      <c r="W503" s="12"/>
      <c r="X503" s="12"/>
      <c r="Y503" s="12"/>
      <c r="Z503" s="12"/>
      <c r="AA503" s="12"/>
      <c r="AB503" s="12"/>
      <c r="AC503" s="12"/>
      <c r="AD503" s="12"/>
      <c r="AE503" s="12"/>
      <c r="AF503" s="12"/>
    </row>
    <row r="504" spans="1:32">
      <c r="A504" s="8"/>
      <c r="B504" s="8"/>
      <c r="C504" s="8"/>
      <c r="D504" s="8"/>
      <c r="E504" s="8"/>
      <c r="F504" s="8"/>
      <c r="G504" s="8"/>
      <c r="H504" s="8"/>
      <c r="I504" s="8"/>
      <c r="J504" s="8"/>
      <c r="K504" s="8"/>
      <c r="L504" s="8"/>
      <c r="M504" s="8"/>
      <c r="N504" s="8"/>
      <c r="O504" s="8"/>
      <c r="P504" s="8"/>
      <c r="Q504" s="8"/>
      <c r="R504" s="8"/>
      <c r="S504" s="8"/>
      <c r="T504" s="8"/>
      <c r="U504" s="12"/>
      <c r="V504" s="12"/>
      <c r="W504" s="12"/>
      <c r="X504" s="12"/>
      <c r="Y504" s="12"/>
      <c r="Z504" s="12"/>
      <c r="AA504" s="12"/>
      <c r="AB504" s="12"/>
      <c r="AC504" s="12"/>
      <c r="AD504" s="12"/>
      <c r="AE504" s="12"/>
      <c r="AF504" s="12"/>
    </row>
    <row r="505" spans="1:32">
      <c r="A505" s="8"/>
      <c r="B505" s="8"/>
      <c r="C505" s="8"/>
      <c r="D505" s="8"/>
      <c r="E505" s="8"/>
      <c r="F505" s="8"/>
      <c r="G505" s="8"/>
      <c r="H505" s="8"/>
      <c r="I505" s="8"/>
      <c r="J505" s="8"/>
      <c r="K505" s="8"/>
      <c r="L505" s="8"/>
      <c r="M505" s="8"/>
      <c r="N505" s="8"/>
      <c r="O505" s="8"/>
      <c r="P505" s="8"/>
      <c r="Q505" s="8"/>
      <c r="R505" s="8"/>
      <c r="S505" s="8"/>
      <c r="T505" s="8"/>
      <c r="U505" s="12"/>
      <c r="V505" s="12"/>
      <c r="W505" s="12"/>
      <c r="X505" s="12"/>
      <c r="Y505" s="12"/>
      <c r="Z505" s="12"/>
      <c r="AA505" s="12"/>
      <c r="AB505" s="12"/>
      <c r="AC505" s="12"/>
      <c r="AD505" s="12"/>
      <c r="AE505" s="12"/>
      <c r="AF505" s="12"/>
    </row>
    <row r="506" spans="1:32">
      <c r="A506" s="8"/>
      <c r="B506" s="8"/>
      <c r="C506" s="8"/>
      <c r="D506" s="8"/>
      <c r="E506" s="8"/>
      <c r="F506" s="8"/>
      <c r="G506" s="8"/>
      <c r="H506" s="8"/>
      <c r="I506" s="8"/>
      <c r="J506" s="8"/>
      <c r="K506" s="8"/>
      <c r="L506" s="8"/>
      <c r="M506" s="8"/>
      <c r="N506" s="8"/>
      <c r="O506" s="8"/>
      <c r="P506" s="8"/>
      <c r="Q506" s="8"/>
      <c r="R506" s="8"/>
      <c r="S506" s="8"/>
      <c r="T506" s="8"/>
      <c r="U506" s="12"/>
      <c r="V506" s="12"/>
      <c r="W506" s="12"/>
      <c r="X506" s="12"/>
      <c r="Y506" s="12"/>
      <c r="Z506" s="12"/>
      <c r="AA506" s="12"/>
      <c r="AB506" s="12"/>
      <c r="AC506" s="12"/>
      <c r="AD506" s="12"/>
      <c r="AE506" s="12"/>
      <c r="AF506" s="12"/>
    </row>
    <row r="507" spans="1:32">
      <c r="A507" s="8"/>
      <c r="B507" s="8"/>
      <c r="C507" s="8"/>
      <c r="D507" s="8"/>
      <c r="E507" s="8"/>
      <c r="F507" s="8"/>
      <c r="G507" s="8"/>
      <c r="H507" s="8"/>
      <c r="I507" s="8"/>
      <c r="J507" s="8"/>
      <c r="K507" s="8"/>
      <c r="L507" s="8"/>
      <c r="M507" s="8"/>
      <c r="N507" s="8"/>
      <c r="O507" s="8"/>
      <c r="P507" s="8"/>
      <c r="Q507" s="8"/>
      <c r="R507" s="8"/>
      <c r="S507" s="8"/>
      <c r="T507" s="8"/>
      <c r="U507" s="12"/>
      <c r="V507" s="12"/>
      <c r="W507" s="12"/>
      <c r="X507" s="12"/>
      <c r="Y507" s="12"/>
      <c r="Z507" s="12"/>
      <c r="AA507" s="12"/>
      <c r="AB507" s="12"/>
      <c r="AC507" s="12"/>
      <c r="AD507" s="12"/>
      <c r="AE507" s="12"/>
      <c r="AF507" s="12"/>
    </row>
    <row r="508" spans="1:32">
      <c r="A508" s="8"/>
      <c r="B508" s="8"/>
      <c r="C508" s="8"/>
      <c r="D508" s="8"/>
      <c r="E508" s="8"/>
      <c r="F508" s="8"/>
      <c r="G508" s="8"/>
      <c r="H508" s="8"/>
      <c r="I508" s="8"/>
      <c r="J508" s="8"/>
      <c r="K508" s="8"/>
      <c r="L508" s="8"/>
      <c r="M508" s="8"/>
      <c r="N508" s="8"/>
      <c r="O508" s="8"/>
      <c r="P508" s="8"/>
      <c r="Q508" s="8"/>
      <c r="R508" s="8"/>
      <c r="S508" s="8"/>
      <c r="T508" s="8"/>
      <c r="U508" s="12"/>
      <c r="V508" s="12"/>
      <c r="W508" s="12"/>
      <c r="X508" s="12"/>
      <c r="Y508" s="12"/>
      <c r="Z508" s="12"/>
      <c r="AA508" s="12"/>
      <c r="AB508" s="12"/>
      <c r="AC508" s="12"/>
      <c r="AD508" s="12"/>
      <c r="AE508" s="12"/>
      <c r="AF508" s="12"/>
    </row>
    <row r="509" spans="1:32">
      <c r="A509" s="8"/>
      <c r="B509" s="8"/>
      <c r="C509" s="8"/>
      <c r="D509" s="8"/>
      <c r="E509" s="8"/>
      <c r="F509" s="8"/>
      <c r="G509" s="8"/>
      <c r="H509" s="8"/>
      <c r="I509" s="8"/>
      <c r="J509" s="8"/>
      <c r="K509" s="8"/>
      <c r="L509" s="8"/>
      <c r="M509" s="8"/>
      <c r="N509" s="8"/>
      <c r="O509" s="8"/>
      <c r="P509" s="8"/>
      <c r="Q509" s="8"/>
      <c r="R509" s="8"/>
      <c r="S509" s="8"/>
      <c r="T509" s="8"/>
      <c r="U509" s="12"/>
      <c r="V509" s="12"/>
      <c r="W509" s="12"/>
      <c r="X509" s="12"/>
      <c r="Y509" s="12"/>
      <c r="Z509" s="12"/>
      <c r="AA509" s="12"/>
      <c r="AB509" s="12"/>
      <c r="AC509" s="12"/>
      <c r="AD509" s="12"/>
      <c r="AE509" s="12"/>
      <c r="AF509" s="12"/>
    </row>
    <row r="510" spans="1:32">
      <c r="A510" s="8"/>
      <c r="B510" s="8"/>
      <c r="C510" s="8"/>
      <c r="D510" s="8"/>
      <c r="E510" s="8"/>
      <c r="F510" s="8"/>
      <c r="G510" s="8"/>
      <c r="H510" s="8"/>
      <c r="I510" s="8"/>
      <c r="J510" s="8"/>
      <c r="K510" s="8"/>
      <c r="L510" s="8"/>
      <c r="M510" s="8"/>
      <c r="N510" s="8"/>
      <c r="O510" s="8"/>
      <c r="P510" s="8"/>
      <c r="Q510" s="8"/>
      <c r="R510" s="8"/>
      <c r="S510" s="8"/>
      <c r="T510" s="8"/>
      <c r="U510" s="12"/>
      <c r="V510" s="12"/>
      <c r="W510" s="12"/>
      <c r="X510" s="12"/>
      <c r="Y510" s="12"/>
      <c r="Z510" s="12"/>
      <c r="AA510" s="12"/>
      <c r="AB510" s="12"/>
      <c r="AC510" s="12"/>
      <c r="AD510" s="12"/>
      <c r="AE510" s="12"/>
      <c r="AF510" s="12"/>
    </row>
    <row r="511" spans="1:32">
      <c r="A511" s="8"/>
      <c r="B511" s="8"/>
      <c r="C511" s="8"/>
      <c r="D511" s="8"/>
      <c r="E511" s="8"/>
      <c r="F511" s="8"/>
      <c r="G511" s="8"/>
      <c r="H511" s="8"/>
      <c r="I511" s="8"/>
      <c r="J511" s="8"/>
      <c r="K511" s="8"/>
      <c r="L511" s="8"/>
      <c r="M511" s="8"/>
      <c r="N511" s="8"/>
      <c r="O511" s="8"/>
      <c r="P511" s="8"/>
      <c r="Q511" s="8"/>
      <c r="R511" s="8"/>
      <c r="S511" s="8"/>
      <c r="T511" s="8"/>
      <c r="U511" s="12"/>
      <c r="V511" s="12"/>
      <c r="W511" s="12"/>
      <c r="X511" s="12"/>
      <c r="Y511" s="12"/>
      <c r="Z511" s="12"/>
      <c r="AA511" s="12"/>
      <c r="AB511" s="12"/>
      <c r="AC511" s="12"/>
      <c r="AD511" s="12"/>
      <c r="AE511" s="12"/>
      <c r="AF511" s="12"/>
    </row>
    <row r="512" spans="1:32">
      <c r="A512" s="8"/>
      <c r="B512" s="8"/>
      <c r="C512" s="8"/>
      <c r="D512" s="8"/>
      <c r="E512" s="8"/>
      <c r="F512" s="8"/>
      <c r="G512" s="8"/>
      <c r="H512" s="8"/>
      <c r="I512" s="8"/>
      <c r="J512" s="8"/>
      <c r="K512" s="8"/>
      <c r="L512" s="8"/>
      <c r="M512" s="8"/>
      <c r="N512" s="8"/>
      <c r="O512" s="8"/>
      <c r="P512" s="8"/>
      <c r="Q512" s="8"/>
      <c r="R512" s="8"/>
      <c r="S512" s="8"/>
      <c r="T512" s="8"/>
      <c r="U512" s="12"/>
      <c r="V512" s="12"/>
      <c r="W512" s="12"/>
      <c r="X512" s="12"/>
      <c r="Y512" s="12"/>
      <c r="Z512" s="12"/>
      <c r="AA512" s="12"/>
      <c r="AB512" s="12"/>
      <c r="AC512" s="12"/>
      <c r="AD512" s="12"/>
      <c r="AE512" s="12"/>
      <c r="AF512" s="12"/>
    </row>
    <row r="513" spans="1:32">
      <c r="A513" s="8"/>
      <c r="B513" s="8"/>
      <c r="C513" s="8"/>
      <c r="D513" s="8"/>
      <c r="E513" s="8"/>
      <c r="F513" s="8"/>
      <c r="G513" s="8"/>
      <c r="H513" s="8"/>
      <c r="I513" s="8"/>
      <c r="J513" s="8"/>
      <c r="K513" s="8"/>
      <c r="L513" s="8"/>
      <c r="M513" s="8"/>
      <c r="N513" s="8"/>
      <c r="O513" s="8"/>
      <c r="P513" s="8"/>
      <c r="Q513" s="8"/>
      <c r="R513" s="8"/>
      <c r="S513" s="8"/>
      <c r="T513" s="8"/>
      <c r="U513" s="12"/>
      <c r="V513" s="12"/>
      <c r="W513" s="12"/>
      <c r="X513" s="12"/>
      <c r="Y513" s="12"/>
      <c r="Z513" s="12"/>
      <c r="AA513" s="12"/>
      <c r="AB513" s="12"/>
      <c r="AC513" s="12"/>
      <c r="AD513" s="12"/>
      <c r="AE513" s="12"/>
      <c r="AF513" s="12"/>
    </row>
    <row r="514" spans="1:32">
      <c r="A514" s="8"/>
      <c r="B514" s="8"/>
      <c r="C514" s="8"/>
      <c r="D514" s="8"/>
      <c r="E514" s="8"/>
      <c r="F514" s="8"/>
      <c r="G514" s="8"/>
      <c r="H514" s="8"/>
      <c r="I514" s="8"/>
      <c r="J514" s="8"/>
      <c r="K514" s="8"/>
      <c r="L514" s="8"/>
      <c r="M514" s="8"/>
      <c r="N514" s="8"/>
      <c r="O514" s="8"/>
      <c r="P514" s="8"/>
      <c r="Q514" s="8"/>
      <c r="R514" s="8"/>
      <c r="S514" s="8"/>
      <c r="T514" s="8"/>
      <c r="U514" s="12"/>
      <c r="V514" s="12"/>
      <c r="W514" s="12"/>
      <c r="X514" s="12"/>
      <c r="Y514" s="12"/>
      <c r="Z514" s="12"/>
      <c r="AA514" s="12"/>
      <c r="AB514" s="12"/>
      <c r="AC514" s="12"/>
      <c r="AD514" s="12"/>
      <c r="AE514" s="12"/>
      <c r="AF514" s="12"/>
    </row>
    <row r="515" spans="1:32">
      <c r="A515" s="8"/>
      <c r="B515" s="8"/>
      <c r="C515" s="8"/>
      <c r="D515" s="8"/>
      <c r="E515" s="8"/>
      <c r="F515" s="8"/>
      <c r="G515" s="8"/>
      <c r="H515" s="8"/>
      <c r="I515" s="8"/>
      <c r="J515" s="8"/>
      <c r="K515" s="8"/>
      <c r="L515" s="8"/>
      <c r="M515" s="8"/>
      <c r="N515" s="8"/>
      <c r="O515" s="8"/>
      <c r="P515" s="8"/>
      <c r="Q515" s="8"/>
      <c r="R515" s="8"/>
      <c r="S515" s="8"/>
      <c r="T515" s="8"/>
      <c r="U515" s="12"/>
      <c r="V515" s="12"/>
      <c r="W515" s="12"/>
      <c r="X515" s="12"/>
      <c r="Y515" s="12"/>
      <c r="Z515" s="12"/>
      <c r="AA515" s="12"/>
      <c r="AB515" s="12"/>
      <c r="AC515" s="12"/>
      <c r="AD515" s="12"/>
      <c r="AE515" s="12"/>
      <c r="AF515" s="12"/>
    </row>
    <row r="516" spans="1:32">
      <c r="A516" s="8"/>
      <c r="B516" s="8"/>
      <c r="C516" s="8"/>
      <c r="D516" s="8"/>
      <c r="E516" s="8"/>
      <c r="F516" s="8"/>
      <c r="G516" s="8"/>
      <c r="H516" s="8"/>
      <c r="I516" s="8"/>
      <c r="J516" s="8"/>
      <c r="K516" s="8"/>
      <c r="L516" s="8"/>
      <c r="M516" s="8"/>
      <c r="N516" s="8"/>
      <c r="O516" s="8"/>
      <c r="P516" s="8"/>
      <c r="Q516" s="8"/>
      <c r="R516" s="8"/>
      <c r="S516" s="8"/>
      <c r="T516" s="8"/>
      <c r="U516" s="12"/>
      <c r="V516" s="12"/>
      <c r="W516" s="12"/>
      <c r="X516" s="12"/>
      <c r="Y516" s="12"/>
      <c r="Z516" s="12"/>
      <c r="AA516" s="12"/>
      <c r="AB516" s="12"/>
      <c r="AC516" s="12"/>
      <c r="AD516" s="12"/>
      <c r="AE516" s="12"/>
      <c r="AF516" s="12"/>
    </row>
    <row r="517" spans="1:32">
      <c r="A517" s="8"/>
      <c r="B517" s="8"/>
      <c r="C517" s="8"/>
      <c r="D517" s="8"/>
      <c r="E517" s="8"/>
      <c r="F517" s="8"/>
      <c r="G517" s="8"/>
      <c r="H517" s="8"/>
      <c r="I517" s="8"/>
      <c r="J517" s="8"/>
      <c r="K517" s="8"/>
      <c r="L517" s="8"/>
      <c r="M517" s="8"/>
      <c r="N517" s="8"/>
      <c r="O517" s="8"/>
      <c r="P517" s="8"/>
      <c r="Q517" s="8"/>
      <c r="R517" s="8"/>
      <c r="S517" s="8"/>
      <c r="T517" s="8"/>
      <c r="U517" s="12"/>
      <c r="V517" s="12"/>
      <c r="W517" s="12"/>
      <c r="X517" s="12"/>
      <c r="Y517" s="12"/>
      <c r="Z517" s="12"/>
      <c r="AA517" s="12"/>
      <c r="AB517" s="12"/>
      <c r="AC517" s="12"/>
      <c r="AD517" s="12"/>
      <c r="AE517" s="12"/>
      <c r="AF517" s="12"/>
    </row>
    <row r="518" spans="1:32">
      <c r="A518" s="8"/>
      <c r="B518" s="8"/>
      <c r="C518" s="8"/>
      <c r="D518" s="8"/>
      <c r="E518" s="8"/>
      <c r="F518" s="8"/>
      <c r="G518" s="8"/>
      <c r="H518" s="8"/>
      <c r="I518" s="8"/>
      <c r="J518" s="8"/>
      <c r="K518" s="8"/>
      <c r="L518" s="8"/>
      <c r="M518" s="8"/>
      <c r="N518" s="8"/>
      <c r="O518" s="8"/>
      <c r="P518" s="8"/>
      <c r="Q518" s="8"/>
      <c r="R518" s="8"/>
      <c r="S518" s="8"/>
      <c r="T518" s="8"/>
      <c r="U518" s="12"/>
      <c r="V518" s="12"/>
      <c r="W518" s="12"/>
      <c r="X518" s="12"/>
      <c r="Y518" s="12"/>
      <c r="Z518" s="12"/>
      <c r="AA518" s="12"/>
      <c r="AB518" s="12"/>
      <c r="AC518" s="12"/>
      <c r="AD518" s="12"/>
      <c r="AE518" s="12"/>
      <c r="AF518" s="12"/>
    </row>
    <row r="519" spans="1:32">
      <c r="A519" s="8"/>
      <c r="B519" s="8"/>
      <c r="C519" s="8"/>
      <c r="D519" s="8"/>
      <c r="E519" s="8"/>
      <c r="F519" s="8"/>
      <c r="G519" s="8"/>
      <c r="H519" s="8"/>
      <c r="I519" s="8"/>
      <c r="J519" s="8"/>
      <c r="K519" s="8"/>
      <c r="L519" s="8"/>
      <c r="M519" s="8"/>
      <c r="N519" s="8"/>
      <c r="O519" s="8"/>
      <c r="P519" s="8"/>
      <c r="Q519" s="8"/>
      <c r="R519" s="8"/>
      <c r="S519" s="8"/>
      <c r="T519" s="8"/>
      <c r="U519" s="12"/>
      <c r="V519" s="12"/>
      <c r="W519" s="12"/>
      <c r="X519" s="12"/>
      <c r="Y519" s="12"/>
      <c r="Z519" s="12"/>
      <c r="AA519" s="12"/>
      <c r="AB519" s="12"/>
      <c r="AC519" s="12"/>
      <c r="AD519" s="12"/>
      <c r="AE519" s="12"/>
      <c r="AF519" s="12"/>
    </row>
    <row r="520" spans="1:32">
      <c r="A520" s="8"/>
      <c r="B520" s="8"/>
      <c r="C520" s="8"/>
      <c r="D520" s="8"/>
      <c r="E520" s="8"/>
      <c r="F520" s="8"/>
      <c r="G520" s="8"/>
      <c r="H520" s="8"/>
      <c r="I520" s="8"/>
      <c r="J520" s="8"/>
      <c r="K520" s="8"/>
      <c r="L520" s="8"/>
      <c r="M520" s="8"/>
      <c r="N520" s="8"/>
      <c r="O520" s="8"/>
      <c r="P520" s="8"/>
      <c r="Q520" s="8"/>
      <c r="R520" s="8"/>
      <c r="S520" s="8"/>
      <c r="T520" s="8"/>
      <c r="U520" s="12"/>
      <c r="V520" s="12"/>
      <c r="W520" s="12"/>
      <c r="X520" s="12"/>
      <c r="Y520" s="12"/>
      <c r="Z520" s="12"/>
      <c r="AA520" s="12"/>
      <c r="AB520" s="12"/>
      <c r="AC520" s="12"/>
      <c r="AD520" s="12"/>
      <c r="AE520" s="12"/>
      <c r="AF520" s="12"/>
    </row>
    <row r="521" spans="1:32">
      <c r="A521" s="8"/>
      <c r="B521" s="8"/>
      <c r="C521" s="8"/>
      <c r="D521" s="8"/>
      <c r="E521" s="8"/>
      <c r="F521" s="8"/>
      <c r="G521" s="8"/>
      <c r="H521" s="8"/>
      <c r="I521" s="8"/>
      <c r="J521" s="8"/>
      <c r="K521" s="8"/>
      <c r="L521" s="8"/>
      <c r="M521" s="8"/>
      <c r="N521" s="8"/>
      <c r="O521" s="8"/>
      <c r="P521" s="8"/>
      <c r="Q521" s="8"/>
      <c r="R521" s="8"/>
      <c r="S521" s="8"/>
      <c r="T521" s="8"/>
      <c r="U521" s="12"/>
      <c r="V521" s="12"/>
      <c r="W521" s="12"/>
      <c r="X521" s="12"/>
      <c r="Y521" s="12"/>
      <c r="Z521" s="12"/>
      <c r="AA521" s="12"/>
      <c r="AB521" s="12"/>
      <c r="AC521" s="12"/>
      <c r="AD521" s="12"/>
      <c r="AE521" s="12"/>
      <c r="AF521" s="12"/>
    </row>
    <row r="522" spans="1:32">
      <c r="A522" s="8"/>
      <c r="B522" s="8"/>
      <c r="C522" s="8"/>
      <c r="D522" s="8"/>
      <c r="E522" s="8"/>
      <c r="F522" s="8"/>
      <c r="G522" s="8"/>
      <c r="H522" s="8"/>
      <c r="I522" s="8"/>
      <c r="J522" s="8"/>
      <c r="K522" s="8"/>
      <c r="L522" s="8"/>
      <c r="M522" s="8"/>
      <c r="N522" s="8"/>
      <c r="O522" s="8"/>
      <c r="P522" s="8"/>
      <c r="Q522" s="8"/>
      <c r="R522" s="8"/>
      <c r="S522" s="8"/>
      <c r="T522" s="8"/>
      <c r="U522" s="12"/>
      <c r="V522" s="12"/>
      <c r="W522" s="12"/>
      <c r="X522" s="12"/>
      <c r="Y522" s="12"/>
      <c r="Z522" s="12"/>
      <c r="AA522" s="12"/>
      <c r="AB522" s="12"/>
      <c r="AC522" s="12"/>
      <c r="AD522" s="12"/>
      <c r="AE522" s="12"/>
      <c r="AF522" s="12"/>
    </row>
    <row r="523" spans="1:32">
      <c r="A523" s="8"/>
      <c r="B523" s="8"/>
      <c r="C523" s="8"/>
      <c r="D523" s="8"/>
      <c r="E523" s="8"/>
      <c r="F523" s="8"/>
      <c r="G523" s="8"/>
      <c r="H523" s="8"/>
      <c r="I523" s="8"/>
      <c r="J523" s="8"/>
      <c r="K523" s="8"/>
      <c r="L523" s="8"/>
      <c r="M523" s="8"/>
      <c r="N523" s="8"/>
      <c r="O523" s="8"/>
      <c r="P523" s="8"/>
      <c r="Q523" s="8"/>
      <c r="R523" s="8"/>
      <c r="S523" s="8"/>
      <c r="T523" s="8"/>
      <c r="U523" s="12"/>
      <c r="V523" s="12"/>
      <c r="W523" s="12"/>
      <c r="X523" s="12"/>
      <c r="Y523" s="12"/>
      <c r="Z523" s="12"/>
      <c r="AA523" s="12"/>
      <c r="AB523" s="12"/>
      <c r="AC523" s="12"/>
      <c r="AD523" s="12"/>
      <c r="AE523" s="12"/>
      <c r="AF523" s="12"/>
    </row>
    <row r="524" spans="1:32">
      <c r="A524" s="8"/>
      <c r="B524" s="8"/>
      <c r="C524" s="8"/>
      <c r="D524" s="8"/>
      <c r="E524" s="8"/>
      <c r="F524" s="8"/>
      <c r="G524" s="8"/>
      <c r="H524" s="8"/>
      <c r="I524" s="8"/>
      <c r="J524" s="8"/>
      <c r="K524" s="8"/>
      <c r="L524" s="8"/>
      <c r="M524" s="8"/>
      <c r="N524" s="8"/>
      <c r="O524" s="8"/>
      <c r="P524" s="8"/>
      <c r="Q524" s="8"/>
      <c r="R524" s="8"/>
      <c r="S524" s="8"/>
      <c r="T524" s="8"/>
      <c r="U524" s="12"/>
      <c r="V524" s="12"/>
      <c r="W524" s="12"/>
      <c r="X524" s="12"/>
      <c r="Y524" s="12"/>
      <c r="Z524" s="12"/>
      <c r="AA524" s="12"/>
      <c r="AB524" s="12"/>
      <c r="AC524" s="12"/>
      <c r="AD524" s="12"/>
      <c r="AE524" s="12"/>
      <c r="AF524" s="12"/>
    </row>
    <row r="525" spans="1:32">
      <c r="A525" s="8"/>
      <c r="B525" s="8"/>
      <c r="C525" s="8"/>
      <c r="D525" s="8"/>
      <c r="E525" s="8"/>
      <c r="F525" s="8"/>
      <c r="G525" s="8"/>
      <c r="H525" s="8"/>
      <c r="I525" s="8"/>
      <c r="J525" s="8"/>
      <c r="K525" s="8"/>
      <c r="L525" s="8"/>
      <c r="M525" s="8"/>
      <c r="N525" s="8"/>
      <c r="O525" s="8"/>
      <c r="P525" s="8"/>
      <c r="Q525" s="8"/>
      <c r="R525" s="8"/>
      <c r="S525" s="8"/>
      <c r="T525" s="8"/>
      <c r="U525" s="12"/>
      <c r="V525" s="12"/>
      <c r="W525" s="12"/>
      <c r="X525" s="12"/>
      <c r="Y525" s="12"/>
      <c r="Z525" s="12"/>
      <c r="AA525" s="12"/>
      <c r="AB525" s="12"/>
      <c r="AC525" s="12"/>
      <c r="AD525" s="12"/>
      <c r="AE525" s="12"/>
      <c r="AF525" s="12"/>
    </row>
    <row r="526" spans="1:32">
      <c r="A526" s="8"/>
      <c r="B526" s="8"/>
      <c r="C526" s="8"/>
      <c r="D526" s="8"/>
      <c r="E526" s="8"/>
      <c r="F526" s="8"/>
      <c r="G526" s="8"/>
      <c r="H526" s="8"/>
      <c r="I526" s="8"/>
      <c r="J526" s="8"/>
      <c r="K526" s="8"/>
      <c r="L526" s="8"/>
      <c r="M526" s="8"/>
      <c r="N526" s="8"/>
      <c r="O526" s="8"/>
      <c r="P526" s="8"/>
      <c r="Q526" s="8"/>
      <c r="R526" s="8"/>
      <c r="S526" s="8"/>
      <c r="T526" s="8"/>
      <c r="U526" s="12"/>
      <c r="V526" s="12"/>
      <c r="W526" s="12"/>
      <c r="X526" s="12"/>
      <c r="Y526" s="12"/>
      <c r="Z526" s="12"/>
      <c r="AA526" s="12"/>
      <c r="AB526" s="12"/>
      <c r="AC526" s="12"/>
      <c r="AD526" s="12"/>
      <c r="AE526" s="12"/>
      <c r="AF526" s="12"/>
    </row>
    <row r="527" spans="1:32">
      <c r="A527" s="8"/>
      <c r="B527" s="8"/>
      <c r="C527" s="8"/>
      <c r="D527" s="8"/>
      <c r="E527" s="8"/>
      <c r="F527" s="8"/>
      <c r="G527" s="8"/>
      <c r="H527" s="8"/>
      <c r="I527" s="8"/>
      <c r="J527" s="8"/>
      <c r="K527" s="8"/>
      <c r="L527" s="8"/>
      <c r="M527" s="8"/>
      <c r="N527" s="8"/>
      <c r="O527" s="8"/>
      <c r="P527" s="8"/>
      <c r="Q527" s="8"/>
      <c r="R527" s="8"/>
      <c r="S527" s="8"/>
      <c r="T527" s="8"/>
      <c r="U527" s="12"/>
      <c r="V527" s="12"/>
      <c r="W527" s="12"/>
      <c r="X527" s="12"/>
      <c r="Y527" s="12"/>
      <c r="Z527" s="12"/>
      <c r="AA527" s="12"/>
      <c r="AB527" s="12"/>
      <c r="AC527" s="12"/>
      <c r="AD527" s="12"/>
      <c r="AE527" s="12"/>
      <c r="AF527" s="12"/>
    </row>
    <row r="528" spans="1:32">
      <c r="A528" s="8"/>
      <c r="B528" s="8"/>
      <c r="C528" s="8"/>
      <c r="D528" s="8"/>
      <c r="E528" s="8"/>
      <c r="F528" s="8"/>
      <c r="G528" s="8"/>
      <c r="H528" s="8"/>
      <c r="I528" s="8"/>
      <c r="J528" s="8"/>
      <c r="K528" s="8"/>
      <c r="L528" s="8"/>
      <c r="M528" s="8"/>
      <c r="N528" s="8"/>
      <c r="O528" s="8"/>
      <c r="P528" s="8"/>
      <c r="Q528" s="8"/>
      <c r="R528" s="8"/>
      <c r="S528" s="8"/>
      <c r="T528" s="8"/>
      <c r="U528" s="12"/>
      <c r="V528" s="12"/>
      <c r="W528" s="12"/>
      <c r="X528" s="12"/>
      <c r="Y528" s="12"/>
      <c r="Z528" s="12"/>
      <c r="AA528" s="12"/>
      <c r="AB528" s="12"/>
      <c r="AC528" s="12"/>
      <c r="AD528" s="12"/>
      <c r="AE528" s="12"/>
      <c r="AF528" s="12"/>
    </row>
    <row r="529" spans="1:32">
      <c r="A529" s="8"/>
      <c r="B529" s="8"/>
      <c r="C529" s="8"/>
      <c r="D529" s="8"/>
      <c r="E529" s="8"/>
      <c r="F529" s="8"/>
      <c r="G529" s="8"/>
      <c r="H529" s="8"/>
      <c r="I529" s="8"/>
      <c r="J529" s="8"/>
      <c r="K529" s="8"/>
      <c r="L529" s="8"/>
      <c r="M529" s="8"/>
      <c r="N529" s="8"/>
      <c r="O529" s="8"/>
      <c r="P529" s="8"/>
      <c r="Q529" s="8"/>
      <c r="R529" s="8"/>
      <c r="S529" s="8"/>
      <c r="T529" s="8"/>
      <c r="U529" s="12"/>
      <c r="V529" s="12"/>
      <c r="W529" s="12"/>
      <c r="X529" s="12"/>
      <c r="Y529" s="12"/>
      <c r="Z529" s="12"/>
      <c r="AA529" s="12"/>
      <c r="AB529" s="12"/>
      <c r="AC529" s="12"/>
      <c r="AD529" s="12"/>
      <c r="AE529" s="12"/>
      <c r="AF529" s="12"/>
    </row>
    <row r="530" spans="1:32">
      <c r="A530" s="8"/>
      <c r="B530" s="8"/>
      <c r="C530" s="8"/>
      <c r="D530" s="8"/>
      <c r="E530" s="8"/>
      <c r="F530" s="8"/>
      <c r="G530" s="8"/>
      <c r="H530" s="8"/>
      <c r="I530" s="8"/>
      <c r="J530" s="8"/>
      <c r="K530" s="8"/>
      <c r="L530" s="8"/>
      <c r="M530" s="8"/>
      <c r="N530" s="8"/>
      <c r="O530" s="8"/>
      <c r="P530" s="8"/>
      <c r="Q530" s="8"/>
      <c r="R530" s="8"/>
      <c r="S530" s="8"/>
      <c r="T530" s="8"/>
      <c r="U530" s="12"/>
      <c r="V530" s="12"/>
      <c r="W530" s="12"/>
      <c r="X530" s="12"/>
      <c r="Y530" s="12"/>
      <c r="Z530" s="12"/>
      <c r="AA530" s="12"/>
      <c r="AB530" s="12"/>
      <c r="AC530" s="12"/>
      <c r="AD530" s="12"/>
      <c r="AE530" s="12"/>
      <c r="AF530" s="12"/>
    </row>
    <row r="531" spans="1:32">
      <c r="A531" s="8"/>
      <c r="B531" s="8"/>
      <c r="C531" s="8"/>
      <c r="D531" s="8"/>
      <c r="E531" s="8"/>
      <c r="F531" s="8"/>
      <c r="G531" s="8"/>
      <c r="H531" s="8"/>
      <c r="I531" s="8"/>
      <c r="J531" s="8"/>
      <c r="K531" s="8"/>
      <c r="L531" s="8"/>
      <c r="M531" s="8"/>
      <c r="N531" s="8"/>
      <c r="O531" s="8"/>
      <c r="P531" s="8"/>
      <c r="Q531" s="8"/>
      <c r="R531" s="8"/>
      <c r="S531" s="8"/>
      <c r="T531" s="8"/>
      <c r="U531" s="12"/>
      <c r="V531" s="12"/>
      <c r="W531" s="12"/>
      <c r="X531" s="12"/>
      <c r="Y531" s="12"/>
      <c r="Z531" s="12"/>
      <c r="AA531" s="12"/>
      <c r="AB531" s="12"/>
      <c r="AC531" s="12"/>
      <c r="AD531" s="12"/>
      <c r="AE531" s="12"/>
      <c r="AF531" s="12"/>
    </row>
    <row r="532" spans="1:32">
      <c r="A532" s="8"/>
      <c r="B532" s="8"/>
      <c r="C532" s="8"/>
      <c r="D532" s="8"/>
      <c r="E532" s="8"/>
      <c r="F532" s="8"/>
      <c r="G532" s="8"/>
      <c r="H532" s="8"/>
      <c r="I532" s="8"/>
      <c r="J532" s="8"/>
      <c r="K532" s="8"/>
      <c r="L532" s="8"/>
      <c r="M532" s="8"/>
      <c r="N532" s="8"/>
      <c r="O532" s="8"/>
      <c r="P532" s="8"/>
      <c r="Q532" s="8"/>
      <c r="R532" s="8"/>
      <c r="S532" s="8"/>
      <c r="T532" s="8"/>
      <c r="U532" s="12"/>
      <c r="V532" s="12"/>
      <c r="W532" s="12"/>
      <c r="X532" s="12"/>
      <c r="Y532" s="12"/>
      <c r="Z532" s="12"/>
      <c r="AA532" s="12"/>
      <c r="AB532" s="12"/>
      <c r="AC532" s="12"/>
      <c r="AD532" s="12"/>
      <c r="AE532" s="12"/>
      <c r="AF532" s="12"/>
    </row>
    <row r="533" spans="1:32">
      <c r="A533" s="8"/>
      <c r="B533" s="8"/>
      <c r="C533" s="8"/>
      <c r="D533" s="8"/>
      <c r="E533" s="8"/>
      <c r="F533" s="8"/>
      <c r="G533" s="8"/>
      <c r="H533" s="8"/>
      <c r="I533" s="8"/>
      <c r="J533" s="8"/>
      <c r="K533" s="8"/>
      <c r="L533" s="8"/>
      <c r="M533" s="8"/>
      <c r="N533" s="8"/>
      <c r="O533" s="8"/>
      <c r="P533" s="8"/>
      <c r="Q533" s="8"/>
      <c r="R533" s="8"/>
      <c r="S533" s="8"/>
      <c r="T533" s="8"/>
      <c r="U533" s="12"/>
      <c r="V533" s="12"/>
      <c r="W533" s="12"/>
      <c r="X533" s="12"/>
      <c r="Y533" s="12"/>
      <c r="Z533" s="12"/>
      <c r="AA533" s="12"/>
      <c r="AB533" s="12"/>
      <c r="AC533" s="12"/>
      <c r="AD533" s="12"/>
      <c r="AE533" s="12"/>
      <c r="AF533" s="12"/>
    </row>
    <row r="534" spans="1:32">
      <c r="A534" s="8"/>
      <c r="B534" s="8"/>
      <c r="C534" s="8"/>
      <c r="D534" s="8"/>
      <c r="E534" s="8"/>
      <c r="F534" s="8"/>
      <c r="G534" s="8"/>
      <c r="H534" s="8"/>
      <c r="I534" s="8"/>
      <c r="J534" s="8"/>
      <c r="K534" s="8"/>
      <c r="L534" s="8"/>
      <c r="M534" s="8"/>
      <c r="N534" s="8"/>
      <c r="O534" s="8"/>
      <c r="P534" s="8"/>
      <c r="Q534" s="8"/>
      <c r="R534" s="8"/>
      <c r="S534" s="8"/>
      <c r="T534" s="8"/>
      <c r="U534" s="12"/>
      <c r="V534" s="12"/>
      <c r="W534" s="12"/>
      <c r="X534" s="12"/>
      <c r="Y534" s="12"/>
      <c r="Z534" s="12"/>
      <c r="AA534" s="12"/>
      <c r="AB534" s="12"/>
      <c r="AC534" s="12"/>
      <c r="AD534" s="12"/>
      <c r="AE534" s="12"/>
      <c r="AF534" s="12"/>
    </row>
    <row r="535" spans="1:32">
      <c r="A535" s="8"/>
      <c r="B535" s="8"/>
      <c r="C535" s="8"/>
      <c r="D535" s="8"/>
      <c r="E535" s="8"/>
      <c r="F535" s="8"/>
      <c r="G535" s="8"/>
      <c r="H535" s="8"/>
      <c r="I535" s="8"/>
      <c r="J535" s="8"/>
      <c r="K535" s="8"/>
      <c r="L535" s="8"/>
      <c r="M535" s="8"/>
      <c r="N535" s="8"/>
      <c r="O535" s="8"/>
      <c r="P535" s="8"/>
      <c r="Q535" s="8"/>
      <c r="R535" s="8"/>
      <c r="S535" s="8"/>
      <c r="T535" s="8"/>
      <c r="U535" s="12"/>
      <c r="V535" s="12"/>
      <c r="W535" s="12"/>
      <c r="X535" s="12"/>
      <c r="Y535" s="12"/>
      <c r="Z535" s="12"/>
      <c r="AA535" s="12"/>
      <c r="AB535" s="12"/>
      <c r="AC535" s="12"/>
      <c r="AD535" s="12"/>
      <c r="AE535" s="12"/>
      <c r="AF535" s="12"/>
    </row>
    <row r="536" spans="1:32">
      <c r="A536" s="8"/>
      <c r="B536" s="8"/>
      <c r="C536" s="8"/>
      <c r="D536" s="8"/>
      <c r="E536" s="8"/>
      <c r="F536" s="8"/>
      <c r="G536" s="8"/>
      <c r="H536" s="8"/>
      <c r="I536" s="8"/>
      <c r="J536" s="8"/>
      <c r="K536" s="8"/>
      <c r="L536" s="8"/>
      <c r="M536" s="8"/>
      <c r="N536" s="8"/>
      <c r="O536" s="8"/>
      <c r="P536" s="8"/>
      <c r="Q536" s="8"/>
      <c r="R536" s="8"/>
      <c r="S536" s="8"/>
      <c r="T536" s="8"/>
      <c r="U536" s="12"/>
      <c r="V536" s="12"/>
      <c r="W536" s="12"/>
      <c r="X536" s="12"/>
      <c r="Y536" s="12"/>
      <c r="Z536" s="12"/>
      <c r="AA536" s="12"/>
      <c r="AB536" s="12"/>
      <c r="AC536" s="12"/>
      <c r="AD536" s="12"/>
      <c r="AE536" s="12"/>
      <c r="AF536" s="12"/>
    </row>
    <row r="537" spans="1:32">
      <c r="A537" s="8"/>
      <c r="B537" s="8"/>
      <c r="C537" s="8"/>
      <c r="D537" s="8"/>
      <c r="E537" s="8"/>
      <c r="F537" s="8"/>
      <c r="G537" s="8"/>
      <c r="H537" s="8"/>
      <c r="I537" s="8"/>
      <c r="J537" s="8"/>
      <c r="K537" s="8"/>
      <c r="L537" s="8"/>
      <c r="M537" s="8"/>
      <c r="N537" s="8"/>
      <c r="O537" s="8"/>
      <c r="P537" s="8"/>
      <c r="Q537" s="8"/>
      <c r="R537" s="8"/>
      <c r="S537" s="8"/>
      <c r="T537" s="8"/>
      <c r="U537" s="12"/>
      <c r="V537" s="12"/>
      <c r="W537" s="12"/>
      <c r="X537" s="12"/>
      <c r="Y537" s="12"/>
      <c r="Z537" s="12"/>
      <c r="AA537" s="12"/>
      <c r="AB537" s="12"/>
      <c r="AC537" s="12"/>
      <c r="AD537" s="12"/>
      <c r="AE537" s="12"/>
      <c r="AF537" s="12"/>
    </row>
    <row r="538" spans="1:32">
      <c r="A538" s="8"/>
      <c r="B538" s="8"/>
      <c r="C538" s="8"/>
      <c r="D538" s="8"/>
      <c r="E538" s="8"/>
      <c r="F538" s="8"/>
      <c r="G538" s="8"/>
      <c r="H538" s="8"/>
      <c r="I538" s="8"/>
      <c r="J538" s="8"/>
      <c r="K538" s="8"/>
      <c r="L538" s="8"/>
      <c r="M538" s="8"/>
      <c r="N538" s="8"/>
      <c r="O538" s="8"/>
      <c r="P538" s="8"/>
      <c r="Q538" s="8"/>
      <c r="R538" s="8"/>
      <c r="S538" s="8"/>
      <c r="T538" s="8"/>
      <c r="U538" s="12"/>
      <c r="V538" s="12"/>
      <c r="W538" s="12"/>
      <c r="X538" s="12"/>
      <c r="Y538" s="12"/>
      <c r="Z538" s="12"/>
      <c r="AA538" s="12"/>
      <c r="AB538" s="12"/>
      <c r="AC538" s="12"/>
      <c r="AD538" s="12"/>
      <c r="AE538" s="12"/>
      <c r="AF538" s="12"/>
    </row>
    <row r="539" spans="1:32">
      <c r="A539" s="8"/>
      <c r="B539" s="8"/>
      <c r="C539" s="8"/>
      <c r="D539" s="8"/>
      <c r="E539" s="8"/>
      <c r="F539" s="8"/>
      <c r="G539" s="8"/>
      <c r="H539" s="8"/>
      <c r="I539" s="8"/>
      <c r="J539" s="8"/>
      <c r="K539" s="8"/>
      <c r="L539" s="8"/>
      <c r="M539" s="8"/>
      <c r="N539" s="8"/>
      <c r="O539" s="8"/>
      <c r="P539" s="8"/>
      <c r="Q539" s="8"/>
      <c r="R539" s="8"/>
      <c r="S539" s="8"/>
      <c r="T539" s="8"/>
      <c r="U539" s="12"/>
      <c r="V539" s="12"/>
      <c r="W539" s="12"/>
      <c r="X539" s="12"/>
      <c r="Y539" s="12"/>
      <c r="Z539" s="12"/>
      <c r="AA539" s="12"/>
      <c r="AB539" s="12"/>
      <c r="AC539" s="12"/>
      <c r="AD539" s="12"/>
      <c r="AE539" s="12"/>
      <c r="AF539" s="12"/>
    </row>
    <row r="540" spans="1:32">
      <c r="A540" s="8"/>
      <c r="B540" s="8"/>
      <c r="C540" s="8"/>
      <c r="D540" s="8"/>
      <c r="E540" s="8"/>
      <c r="F540" s="8"/>
      <c r="G540" s="8"/>
      <c r="H540" s="8"/>
      <c r="I540" s="8"/>
      <c r="J540" s="8"/>
      <c r="K540" s="8"/>
      <c r="L540" s="8"/>
      <c r="M540" s="8"/>
      <c r="N540" s="8"/>
      <c r="O540" s="8"/>
      <c r="P540" s="8"/>
      <c r="Q540" s="8"/>
      <c r="R540" s="8"/>
      <c r="S540" s="8"/>
      <c r="T540" s="8"/>
      <c r="U540" s="12"/>
      <c r="V540" s="12"/>
      <c r="W540" s="12"/>
      <c r="X540" s="12"/>
      <c r="Y540" s="12"/>
      <c r="Z540" s="12"/>
      <c r="AA540" s="12"/>
      <c r="AB540" s="12"/>
      <c r="AC540" s="12"/>
      <c r="AD540" s="12"/>
      <c r="AE540" s="12"/>
      <c r="AF540" s="12"/>
    </row>
    <row r="541" spans="1:32">
      <c r="A541" s="8"/>
      <c r="B541" s="8"/>
      <c r="C541" s="8"/>
      <c r="D541" s="8"/>
      <c r="E541" s="8"/>
      <c r="F541" s="8"/>
      <c r="G541" s="8"/>
      <c r="H541" s="8"/>
      <c r="I541" s="8"/>
      <c r="J541" s="8"/>
      <c r="K541" s="8"/>
      <c r="L541" s="8"/>
      <c r="M541" s="8"/>
      <c r="N541" s="8"/>
      <c r="O541" s="8"/>
      <c r="P541" s="8"/>
      <c r="Q541" s="8"/>
      <c r="R541" s="8"/>
      <c r="S541" s="8"/>
      <c r="T541" s="8"/>
      <c r="U541" s="12"/>
      <c r="V541" s="12"/>
      <c r="W541" s="12"/>
      <c r="X541" s="12"/>
      <c r="Y541" s="12"/>
      <c r="Z541" s="12"/>
      <c r="AA541" s="12"/>
      <c r="AB541" s="12"/>
      <c r="AC541" s="12"/>
      <c r="AD541" s="12"/>
      <c r="AE541" s="12"/>
      <c r="AF541" s="12"/>
    </row>
    <row r="542" spans="1:32">
      <c r="A542" s="8"/>
      <c r="B542" s="8"/>
      <c r="C542" s="8"/>
      <c r="D542" s="8"/>
      <c r="E542" s="8"/>
      <c r="F542" s="8"/>
      <c r="G542" s="8"/>
      <c r="H542" s="8"/>
      <c r="I542" s="8"/>
      <c r="J542" s="8"/>
      <c r="K542" s="8"/>
      <c r="L542" s="8"/>
      <c r="M542" s="8"/>
      <c r="N542" s="8"/>
      <c r="O542" s="8"/>
      <c r="P542" s="8"/>
      <c r="Q542" s="8"/>
      <c r="R542" s="8"/>
      <c r="S542" s="8"/>
      <c r="T542" s="8"/>
      <c r="U542" s="12"/>
      <c r="V542" s="12"/>
      <c r="W542" s="12"/>
      <c r="X542" s="12"/>
      <c r="Y542" s="12"/>
      <c r="Z542" s="12"/>
      <c r="AA542" s="12"/>
      <c r="AB542" s="12"/>
      <c r="AC542" s="12"/>
      <c r="AD542" s="12"/>
      <c r="AE542" s="12"/>
      <c r="AF542" s="12"/>
    </row>
    <row r="543" spans="1:32">
      <c r="A543" s="8"/>
      <c r="B543" s="8"/>
      <c r="C543" s="8"/>
      <c r="D543" s="8"/>
      <c r="E543" s="8"/>
      <c r="F543" s="8"/>
      <c r="G543" s="8"/>
      <c r="H543" s="8"/>
      <c r="I543" s="8"/>
      <c r="J543" s="8"/>
      <c r="K543" s="8"/>
      <c r="L543" s="8"/>
      <c r="M543" s="8"/>
      <c r="N543" s="8"/>
      <c r="O543" s="8"/>
      <c r="P543" s="8"/>
      <c r="Q543" s="8"/>
      <c r="R543" s="8"/>
      <c r="S543" s="8"/>
      <c r="T543" s="8"/>
      <c r="U543" s="12"/>
      <c r="V543" s="12"/>
      <c r="W543" s="12"/>
      <c r="X543" s="12"/>
      <c r="Y543" s="12"/>
      <c r="Z543" s="12"/>
      <c r="AA543" s="12"/>
      <c r="AB543" s="12"/>
      <c r="AC543" s="12"/>
      <c r="AD543" s="12"/>
      <c r="AE543" s="12"/>
      <c r="AF543" s="12"/>
    </row>
    <row r="544" spans="1:32">
      <c r="A544" s="8"/>
      <c r="B544" s="8"/>
      <c r="C544" s="8"/>
      <c r="D544" s="8"/>
      <c r="E544" s="8"/>
      <c r="F544" s="8"/>
      <c r="G544" s="8"/>
      <c r="H544" s="8"/>
      <c r="I544" s="8"/>
      <c r="J544" s="8"/>
      <c r="K544" s="8"/>
      <c r="L544" s="8"/>
      <c r="M544" s="8"/>
      <c r="N544" s="8"/>
      <c r="O544" s="8"/>
      <c r="P544" s="8"/>
      <c r="Q544" s="8"/>
      <c r="R544" s="8"/>
      <c r="S544" s="8"/>
      <c r="T544" s="8"/>
      <c r="U544" s="12"/>
      <c r="V544" s="12"/>
      <c r="W544" s="12"/>
      <c r="X544" s="12"/>
      <c r="Y544" s="12"/>
      <c r="Z544" s="12"/>
      <c r="AA544" s="12"/>
      <c r="AB544" s="12"/>
      <c r="AC544" s="12"/>
      <c r="AD544" s="12"/>
      <c r="AE544" s="12"/>
      <c r="AF544" s="12"/>
    </row>
    <row r="545" spans="1:32">
      <c r="A545" s="8"/>
      <c r="B545" s="8"/>
      <c r="C545" s="8"/>
      <c r="D545" s="8"/>
      <c r="E545" s="8"/>
      <c r="F545" s="8"/>
      <c r="G545" s="8"/>
      <c r="H545" s="8"/>
      <c r="I545" s="8"/>
      <c r="J545" s="8"/>
      <c r="K545" s="8"/>
      <c r="L545" s="8"/>
      <c r="M545" s="8"/>
      <c r="N545" s="8"/>
      <c r="O545" s="8"/>
      <c r="P545" s="8"/>
      <c r="Q545" s="8"/>
      <c r="R545" s="8"/>
      <c r="S545" s="8"/>
      <c r="T545" s="8"/>
      <c r="U545" s="12"/>
      <c r="V545" s="12"/>
      <c r="W545" s="12"/>
      <c r="X545" s="12"/>
      <c r="Y545" s="12"/>
      <c r="Z545" s="12"/>
      <c r="AA545" s="12"/>
      <c r="AB545" s="12"/>
      <c r="AC545" s="12"/>
      <c r="AD545" s="12"/>
      <c r="AE545" s="12"/>
      <c r="AF545" s="12"/>
    </row>
    <row r="546" spans="1:32">
      <c r="A546" s="8"/>
      <c r="B546" s="8"/>
      <c r="C546" s="8"/>
      <c r="D546" s="8"/>
      <c r="E546" s="8"/>
      <c r="F546" s="8"/>
      <c r="G546" s="8"/>
      <c r="H546" s="8"/>
      <c r="I546" s="8"/>
      <c r="J546" s="8"/>
      <c r="K546" s="8"/>
      <c r="L546" s="8"/>
      <c r="M546" s="8"/>
      <c r="N546" s="8"/>
      <c r="O546" s="8"/>
      <c r="P546" s="8"/>
      <c r="Q546" s="8"/>
      <c r="R546" s="8"/>
      <c r="S546" s="8"/>
      <c r="T546" s="8"/>
      <c r="U546" s="12"/>
      <c r="V546" s="12"/>
      <c r="W546" s="12"/>
      <c r="X546" s="12"/>
      <c r="Y546" s="12"/>
      <c r="Z546" s="12"/>
      <c r="AA546" s="12"/>
      <c r="AB546" s="12"/>
      <c r="AC546" s="12"/>
      <c r="AD546" s="12"/>
      <c r="AE546" s="12"/>
      <c r="AF546" s="12"/>
    </row>
    <row r="547" spans="1:32">
      <c r="A547" s="8"/>
      <c r="B547" s="8"/>
      <c r="C547" s="8"/>
      <c r="D547" s="8"/>
      <c r="E547" s="8"/>
      <c r="F547" s="8"/>
      <c r="G547" s="8"/>
      <c r="H547" s="8"/>
      <c r="I547" s="8"/>
      <c r="J547" s="8"/>
      <c r="K547" s="8"/>
      <c r="L547" s="8"/>
      <c r="M547" s="8"/>
      <c r="N547" s="8"/>
      <c r="O547" s="8"/>
      <c r="P547" s="8"/>
      <c r="Q547" s="8"/>
      <c r="R547" s="8"/>
      <c r="S547" s="8"/>
      <c r="T547" s="8"/>
      <c r="U547" s="12"/>
      <c r="V547" s="12"/>
      <c r="W547" s="12"/>
      <c r="X547" s="12"/>
      <c r="Y547" s="12"/>
      <c r="Z547" s="12"/>
      <c r="AA547" s="12"/>
      <c r="AB547" s="12"/>
      <c r="AC547" s="12"/>
      <c r="AD547" s="12"/>
      <c r="AE547" s="12"/>
      <c r="AF547" s="12"/>
    </row>
    <row r="548" spans="1:32">
      <c r="A548" s="8"/>
      <c r="B548" s="8"/>
      <c r="C548" s="8"/>
      <c r="D548" s="8"/>
      <c r="E548" s="8"/>
      <c r="F548" s="8"/>
      <c r="G548" s="8"/>
      <c r="H548" s="8"/>
      <c r="I548" s="8"/>
      <c r="J548" s="8"/>
      <c r="K548" s="8"/>
      <c r="L548" s="8"/>
      <c r="M548" s="8"/>
      <c r="N548" s="8"/>
      <c r="O548" s="8"/>
      <c r="P548" s="8"/>
      <c r="Q548" s="8"/>
      <c r="R548" s="8"/>
      <c r="S548" s="8"/>
      <c r="T548" s="8"/>
      <c r="U548" s="12"/>
      <c r="V548" s="12"/>
      <c r="W548" s="12"/>
      <c r="X548" s="12"/>
      <c r="Y548" s="12"/>
      <c r="Z548" s="12"/>
      <c r="AA548" s="12"/>
      <c r="AB548" s="12"/>
      <c r="AC548" s="12"/>
      <c r="AD548" s="12"/>
      <c r="AE548" s="12"/>
      <c r="AF548" s="12"/>
    </row>
    <row r="549" spans="1:32">
      <c r="A549" s="8"/>
      <c r="B549" s="8"/>
      <c r="C549" s="8"/>
      <c r="D549" s="8"/>
      <c r="E549" s="8"/>
      <c r="F549" s="8"/>
      <c r="G549" s="8"/>
      <c r="H549" s="8"/>
      <c r="I549" s="8"/>
      <c r="J549" s="8"/>
      <c r="K549" s="8"/>
      <c r="L549" s="8"/>
      <c r="M549" s="8"/>
      <c r="N549" s="8"/>
      <c r="O549" s="8"/>
      <c r="P549" s="8"/>
      <c r="Q549" s="8"/>
      <c r="R549" s="8"/>
      <c r="S549" s="8"/>
      <c r="T549" s="8"/>
      <c r="U549" s="12"/>
      <c r="V549" s="12"/>
      <c r="W549" s="12"/>
      <c r="X549" s="12"/>
      <c r="Y549" s="12"/>
      <c r="Z549" s="12"/>
      <c r="AA549" s="12"/>
      <c r="AB549" s="12"/>
      <c r="AC549" s="12"/>
      <c r="AD549" s="12"/>
      <c r="AE549" s="12"/>
      <c r="AF549" s="12"/>
    </row>
    <row r="550" spans="1:32">
      <c r="A550" s="8"/>
      <c r="B550" s="8"/>
      <c r="C550" s="8"/>
      <c r="D550" s="8"/>
      <c r="E550" s="8"/>
      <c r="F550" s="8"/>
      <c r="G550" s="8"/>
      <c r="H550" s="8"/>
      <c r="I550" s="8"/>
      <c r="J550" s="8"/>
      <c r="K550" s="8"/>
      <c r="L550" s="8"/>
      <c r="M550" s="8"/>
      <c r="N550" s="8"/>
      <c r="O550" s="8"/>
      <c r="P550" s="8"/>
      <c r="Q550" s="8"/>
      <c r="R550" s="8"/>
      <c r="S550" s="8"/>
      <c r="T550" s="8"/>
      <c r="U550" s="12"/>
      <c r="V550" s="12"/>
      <c r="W550" s="12"/>
      <c r="X550" s="12"/>
      <c r="Y550" s="12"/>
      <c r="Z550" s="12"/>
      <c r="AA550" s="12"/>
      <c r="AB550" s="12"/>
      <c r="AC550" s="12"/>
      <c r="AD550" s="12"/>
      <c r="AE550" s="12"/>
      <c r="AF550" s="12"/>
    </row>
    <row r="551" spans="1:32">
      <c r="A551" s="8"/>
      <c r="B551" s="8"/>
      <c r="C551" s="8"/>
      <c r="D551" s="8"/>
      <c r="E551" s="8"/>
      <c r="F551" s="8"/>
      <c r="G551" s="8"/>
      <c r="H551" s="8"/>
      <c r="I551" s="8"/>
      <c r="J551" s="8"/>
      <c r="K551" s="8"/>
      <c r="L551" s="8"/>
      <c r="M551" s="8"/>
      <c r="N551" s="8"/>
      <c r="O551" s="8"/>
      <c r="P551" s="8"/>
      <c r="Q551" s="8"/>
      <c r="R551" s="8"/>
      <c r="S551" s="8"/>
      <c r="T551" s="8"/>
      <c r="U551" s="12"/>
      <c r="V551" s="12"/>
      <c r="W551" s="12"/>
      <c r="X551" s="12"/>
      <c r="Y551" s="12"/>
      <c r="Z551" s="12"/>
      <c r="AA551" s="12"/>
      <c r="AB551" s="12"/>
      <c r="AC551" s="12"/>
      <c r="AD551" s="12"/>
      <c r="AE551" s="12"/>
      <c r="AF551" s="12"/>
    </row>
    <row r="552" spans="1:32">
      <c r="A552" s="8"/>
      <c r="B552" s="8"/>
      <c r="C552" s="8"/>
      <c r="D552" s="8"/>
      <c r="E552" s="8"/>
      <c r="F552" s="8"/>
      <c r="G552" s="8"/>
      <c r="H552" s="8"/>
      <c r="I552" s="8"/>
      <c r="J552" s="8"/>
      <c r="K552" s="8"/>
      <c r="L552" s="8"/>
      <c r="M552" s="8"/>
      <c r="N552" s="8"/>
      <c r="O552" s="8"/>
      <c r="P552" s="8"/>
      <c r="Q552" s="8"/>
      <c r="R552" s="8"/>
      <c r="S552" s="8"/>
      <c r="T552" s="8"/>
      <c r="U552" s="12"/>
      <c r="V552" s="12"/>
      <c r="W552" s="12"/>
      <c r="X552" s="12"/>
      <c r="Y552" s="12"/>
      <c r="Z552" s="12"/>
      <c r="AA552" s="12"/>
      <c r="AB552" s="12"/>
      <c r="AC552" s="12"/>
      <c r="AD552" s="12"/>
      <c r="AE552" s="12"/>
      <c r="AF552" s="12"/>
    </row>
    <row r="553" spans="1:32">
      <c r="A553" s="8"/>
      <c r="B553" s="8"/>
      <c r="C553" s="8"/>
      <c r="D553" s="8"/>
      <c r="E553" s="8"/>
      <c r="F553" s="8"/>
      <c r="G553" s="8"/>
      <c r="H553" s="8"/>
      <c r="I553" s="8"/>
      <c r="J553" s="8"/>
      <c r="K553" s="8"/>
      <c r="L553" s="8"/>
      <c r="M553" s="8"/>
      <c r="N553" s="8"/>
      <c r="O553" s="8"/>
      <c r="P553" s="8"/>
      <c r="Q553" s="8"/>
      <c r="R553" s="8"/>
      <c r="S553" s="8"/>
      <c r="T553" s="8"/>
      <c r="U553" s="12"/>
      <c r="V553" s="12"/>
      <c r="W553" s="12"/>
      <c r="X553" s="12"/>
      <c r="Y553" s="12"/>
      <c r="Z553" s="12"/>
      <c r="AA553" s="12"/>
      <c r="AB553" s="12"/>
      <c r="AC553" s="12"/>
      <c r="AD553" s="12"/>
      <c r="AE553" s="12"/>
      <c r="AF553" s="12"/>
    </row>
    <row r="554" spans="1:32">
      <c r="A554" s="8"/>
      <c r="B554" s="8"/>
      <c r="C554" s="8"/>
      <c r="D554" s="8"/>
      <c r="E554" s="8"/>
      <c r="F554" s="8"/>
      <c r="G554" s="8"/>
      <c r="H554" s="8"/>
      <c r="I554" s="8"/>
      <c r="J554" s="8"/>
      <c r="K554" s="8"/>
      <c r="L554" s="8"/>
      <c r="M554" s="8"/>
      <c r="N554" s="8"/>
      <c r="O554" s="8"/>
      <c r="P554" s="8"/>
      <c r="Q554" s="8"/>
      <c r="R554" s="8"/>
      <c r="S554" s="8"/>
      <c r="T554" s="8"/>
      <c r="U554" s="12"/>
      <c r="V554" s="12"/>
      <c r="W554" s="12"/>
      <c r="X554" s="12"/>
      <c r="Y554" s="12"/>
      <c r="Z554" s="12"/>
      <c r="AA554" s="12"/>
      <c r="AB554" s="12"/>
      <c r="AC554" s="12"/>
      <c r="AD554" s="12"/>
      <c r="AE554" s="12"/>
      <c r="AF554" s="12"/>
    </row>
    <row r="555" spans="1:32">
      <c r="A555" s="8"/>
      <c r="B555" s="8"/>
      <c r="C555" s="8"/>
      <c r="D555" s="8"/>
      <c r="E555" s="8"/>
      <c r="F555" s="8"/>
      <c r="G555" s="8"/>
      <c r="H555" s="8"/>
      <c r="I555" s="8"/>
      <c r="J555" s="8"/>
      <c r="K555" s="8"/>
      <c r="L555" s="8"/>
      <c r="M555" s="8"/>
      <c r="N555" s="8"/>
      <c r="O555" s="8"/>
      <c r="P555" s="8"/>
      <c r="Q555" s="8"/>
      <c r="R555" s="8"/>
      <c r="S555" s="8"/>
      <c r="T555" s="8"/>
      <c r="U555" s="12"/>
      <c r="V555" s="12"/>
      <c r="W555" s="12"/>
      <c r="X555" s="12"/>
      <c r="Y555" s="12"/>
      <c r="Z555" s="12"/>
      <c r="AA555" s="12"/>
      <c r="AB555" s="12"/>
      <c r="AC555" s="12"/>
      <c r="AD555" s="12"/>
      <c r="AE555" s="12"/>
      <c r="AF555" s="12"/>
    </row>
    <row r="556" spans="1:32">
      <c r="A556" s="8"/>
      <c r="B556" s="8"/>
      <c r="C556" s="8"/>
      <c r="D556" s="8"/>
      <c r="E556" s="8"/>
      <c r="F556" s="8"/>
      <c r="G556" s="8"/>
      <c r="H556" s="8"/>
      <c r="I556" s="8"/>
      <c r="J556" s="8"/>
      <c r="K556" s="8"/>
      <c r="L556" s="8"/>
      <c r="M556" s="8"/>
      <c r="N556" s="8"/>
      <c r="O556" s="8"/>
      <c r="P556" s="8"/>
      <c r="Q556" s="8"/>
      <c r="R556" s="8"/>
      <c r="S556" s="8"/>
      <c r="T556" s="8"/>
      <c r="U556" s="12"/>
      <c r="V556" s="12"/>
      <c r="W556" s="12"/>
      <c r="X556" s="12"/>
      <c r="Y556" s="12"/>
      <c r="Z556" s="12"/>
      <c r="AA556" s="12"/>
      <c r="AB556" s="12"/>
      <c r="AC556" s="12"/>
      <c r="AD556" s="12"/>
      <c r="AE556" s="12"/>
      <c r="AF556" s="12"/>
    </row>
    <row r="557" spans="1:32">
      <c r="A557" s="8"/>
      <c r="B557" s="8"/>
      <c r="C557" s="8"/>
      <c r="D557" s="8"/>
      <c r="E557" s="8"/>
      <c r="F557" s="8"/>
      <c r="G557" s="8"/>
      <c r="H557" s="8"/>
      <c r="I557" s="8"/>
      <c r="J557" s="8"/>
      <c r="K557" s="8"/>
      <c r="L557" s="8"/>
      <c r="M557" s="8"/>
      <c r="N557" s="8"/>
      <c r="O557" s="8"/>
      <c r="P557" s="8"/>
      <c r="Q557" s="8"/>
      <c r="R557" s="8"/>
      <c r="S557" s="8"/>
      <c r="T557" s="8"/>
      <c r="U557" s="12"/>
      <c r="V557" s="12"/>
      <c r="W557" s="12"/>
      <c r="X557" s="12"/>
      <c r="Y557" s="12"/>
      <c r="Z557" s="12"/>
      <c r="AA557" s="12"/>
      <c r="AB557" s="12"/>
      <c r="AC557" s="12"/>
      <c r="AD557" s="12"/>
      <c r="AE557" s="12"/>
      <c r="AF557" s="12"/>
    </row>
    <row r="558" spans="1:32">
      <c r="A558" s="8"/>
      <c r="B558" s="8"/>
      <c r="C558" s="8"/>
      <c r="D558" s="8"/>
      <c r="E558" s="8"/>
      <c r="F558" s="8"/>
      <c r="G558" s="8"/>
      <c r="H558" s="8"/>
      <c r="I558" s="8"/>
      <c r="J558" s="8"/>
      <c r="K558" s="8"/>
      <c r="L558" s="8"/>
      <c r="M558" s="8"/>
      <c r="N558" s="8"/>
      <c r="O558" s="8"/>
      <c r="P558" s="8"/>
      <c r="Q558" s="8"/>
      <c r="R558" s="8"/>
      <c r="S558" s="8"/>
      <c r="T558" s="8"/>
      <c r="U558" s="12"/>
      <c r="V558" s="12"/>
      <c r="W558" s="12"/>
      <c r="X558" s="12"/>
      <c r="Y558" s="12"/>
      <c r="Z558" s="12"/>
      <c r="AA558" s="12"/>
      <c r="AB558" s="12"/>
      <c r="AC558" s="12"/>
      <c r="AD558" s="12"/>
      <c r="AE558" s="12"/>
      <c r="AF558" s="12"/>
    </row>
    <row r="559" spans="1:32">
      <c r="A559" s="8"/>
      <c r="B559" s="8"/>
      <c r="C559" s="8"/>
      <c r="D559" s="8"/>
      <c r="E559" s="8"/>
      <c r="F559" s="8"/>
      <c r="G559" s="8"/>
      <c r="H559" s="8"/>
      <c r="I559" s="8"/>
      <c r="J559" s="8"/>
      <c r="K559" s="8"/>
      <c r="L559" s="8"/>
      <c r="M559" s="8"/>
      <c r="N559" s="8"/>
      <c r="O559" s="8"/>
      <c r="P559" s="8"/>
      <c r="Q559" s="8"/>
      <c r="R559" s="8"/>
      <c r="S559" s="8"/>
      <c r="T559" s="8"/>
      <c r="U559" s="12"/>
      <c r="V559" s="12"/>
      <c r="W559" s="12"/>
      <c r="X559" s="12"/>
      <c r="Y559" s="12"/>
      <c r="Z559" s="12"/>
      <c r="AA559" s="12"/>
      <c r="AB559" s="12"/>
      <c r="AC559" s="12"/>
      <c r="AD559" s="12"/>
      <c r="AE559" s="12"/>
      <c r="AF559" s="12"/>
    </row>
    <row r="560" spans="1:32">
      <c r="A560" s="8"/>
      <c r="B560" s="8"/>
      <c r="C560" s="8"/>
      <c r="D560" s="8"/>
      <c r="E560" s="8"/>
      <c r="F560" s="8"/>
      <c r="G560" s="8"/>
      <c r="H560" s="8"/>
      <c r="I560" s="8"/>
      <c r="J560" s="8"/>
      <c r="K560" s="8"/>
      <c r="L560" s="8"/>
      <c r="M560" s="8"/>
      <c r="N560" s="8"/>
      <c r="O560" s="8"/>
      <c r="P560" s="8"/>
      <c r="Q560" s="8"/>
      <c r="R560" s="8"/>
      <c r="S560" s="8"/>
      <c r="T560" s="8"/>
      <c r="U560" s="12"/>
      <c r="V560" s="12"/>
      <c r="W560" s="12"/>
      <c r="X560" s="12"/>
      <c r="Y560" s="12"/>
      <c r="Z560" s="12"/>
      <c r="AA560" s="12"/>
      <c r="AB560" s="12"/>
      <c r="AC560" s="12"/>
      <c r="AD560" s="12"/>
      <c r="AE560" s="12"/>
      <c r="AF560" s="12"/>
    </row>
    <row r="561" spans="1:32">
      <c r="A561" s="8"/>
      <c r="B561" s="8"/>
      <c r="C561" s="8"/>
      <c r="D561" s="8"/>
      <c r="E561" s="8"/>
      <c r="F561" s="8"/>
      <c r="G561" s="8"/>
      <c r="H561" s="8"/>
      <c r="I561" s="8"/>
      <c r="J561" s="8"/>
      <c r="K561" s="8"/>
      <c r="L561" s="8"/>
      <c r="M561" s="8"/>
      <c r="N561" s="8"/>
      <c r="O561" s="8"/>
      <c r="P561" s="8"/>
      <c r="Q561" s="8"/>
      <c r="R561" s="8"/>
      <c r="S561" s="8"/>
      <c r="T561" s="8"/>
      <c r="U561" s="12"/>
      <c r="V561" s="12"/>
      <c r="W561" s="12"/>
      <c r="X561" s="12"/>
      <c r="Y561" s="12"/>
      <c r="Z561" s="12"/>
      <c r="AA561" s="12"/>
      <c r="AB561" s="12"/>
      <c r="AC561" s="12"/>
      <c r="AD561" s="12"/>
      <c r="AE561" s="12"/>
      <c r="AF561" s="12"/>
    </row>
    <row r="562" spans="1:32">
      <c r="A562" s="8"/>
      <c r="B562" s="8"/>
      <c r="C562" s="8"/>
      <c r="D562" s="8"/>
      <c r="E562" s="8"/>
      <c r="F562" s="8"/>
      <c r="G562" s="8"/>
      <c r="H562" s="8"/>
      <c r="I562" s="8"/>
      <c r="J562" s="8"/>
      <c r="K562" s="8"/>
      <c r="L562" s="8"/>
      <c r="M562" s="8"/>
      <c r="N562" s="8"/>
      <c r="O562" s="8"/>
      <c r="P562" s="8"/>
      <c r="Q562" s="8"/>
      <c r="R562" s="8"/>
      <c r="S562" s="8"/>
      <c r="T562" s="8"/>
      <c r="U562" s="12"/>
      <c r="V562" s="12"/>
      <c r="W562" s="12"/>
      <c r="X562" s="12"/>
      <c r="Y562" s="12"/>
      <c r="Z562" s="12"/>
      <c r="AA562" s="12"/>
      <c r="AB562" s="12"/>
      <c r="AC562" s="12"/>
      <c r="AD562" s="12"/>
      <c r="AE562" s="12"/>
      <c r="AF562" s="12"/>
    </row>
    <row r="563" spans="1:32">
      <c r="A563" s="8"/>
      <c r="B563" s="8"/>
      <c r="C563" s="8"/>
      <c r="D563" s="8"/>
      <c r="E563" s="8"/>
      <c r="F563" s="8"/>
      <c r="G563" s="8"/>
      <c r="H563" s="8"/>
      <c r="I563" s="8"/>
      <c r="J563" s="8"/>
      <c r="K563" s="8"/>
      <c r="L563" s="8"/>
      <c r="M563" s="8"/>
      <c r="N563" s="8"/>
      <c r="O563" s="8"/>
      <c r="P563" s="8"/>
      <c r="Q563" s="8"/>
      <c r="R563" s="8"/>
      <c r="S563" s="8"/>
      <c r="T563" s="8"/>
      <c r="U563" s="12"/>
      <c r="V563" s="12"/>
      <c r="W563" s="12"/>
      <c r="X563" s="12"/>
      <c r="Y563" s="12"/>
      <c r="Z563" s="12"/>
      <c r="AA563" s="12"/>
      <c r="AB563" s="12"/>
      <c r="AC563" s="12"/>
      <c r="AD563" s="12"/>
      <c r="AE563" s="12"/>
      <c r="AF563" s="12"/>
    </row>
    <row r="564" spans="1:32">
      <c r="A564" s="8"/>
      <c r="B564" s="8"/>
      <c r="C564" s="8"/>
      <c r="D564" s="8"/>
      <c r="E564" s="8"/>
      <c r="F564" s="8"/>
      <c r="G564" s="8"/>
      <c r="H564" s="8"/>
      <c r="I564" s="8"/>
      <c r="J564" s="8"/>
      <c r="K564" s="8"/>
      <c r="L564" s="8"/>
      <c r="M564" s="8"/>
      <c r="N564" s="8"/>
      <c r="O564" s="8"/>
      <c r="P564" s="8"/>
      <c r="Q564" s="8"/>
      <c r="R564" s="8"/>
      <c r="S564" s="8"/>
      <c r="T564" s="8"/>
      <c r="U564" s="12"/>
      <c r="V564" s="12"/>
      <c r="W564" s="12"/>
      <c r="X564" s="12"/>
      <c r="Y564" s="12"/>
      <c r="Z564" s="12"/>
      <c r="AA564" s="12"/>
      <c r="AB564" s="12"/>
      <c r="AC564" s="12"/>
      <c r="AD564" s="12"/>
      <c r="AE564" s="12"/>
      <c r="AF564" s="12"/>
    </row>
    <row r="565" spans="1:32">
      <c r="A565" s="8"/>
      <c r="B565" s="8"/>
      <c r="C565" s="8"/>
      <c r="D565" s="8"/>
      <c r="E565" s="8"/>
      <c r="F565" s="8"/>
      <c r="G565" s="8"/>
      <c r="H565" s="8"/>
      <c r="I565" s="8"/>
      <c r="J565" s="8"/>
      <c r="K565" s="8"/>
      <c r="L565" s="8"/>
      <c r="M565" s="8"/>
      <c r="N565" s="8"/>
      <c r="O565" s="8"/>
      <c r="P565" s="8"/>
      <c r="Q565" s="8"/>
      <c r="R565" s="8"/>
      <c r="S565" s="8"/>
      <c r="T565" s="8"/>
      <c r="U565" s="12"/>
      <c r="V565" s="12"/>
      <c r="W565" s="12"/>
      <c r="X565" s="12"/>
      <c r="Y565" s="12"/>
      <c r="Z565" s="12"/>
      <c r="AA565" s="12"/>
      <c r="AB565" s="12"/>
      <c r="AC565" s="12"/>
      <c r="AD565" s="12"/>
      <c r="AE565" s="12"/>
      <c r="AF565" s="12"/>
    </row>
    <row r="566" spans="1:32">
      <c r="A566" s="8"/>
      <c r="B566" s="8"/>
      <c r="C566" s="8"/>
      <c r="D566" s="8"/>
      <c r="E566" s="8"/>
      <c r="F566" s="8"/>
      <c r="G566" s="8"/>
      <c r="H566" s="8"/>
      <c r="I566" s="8"/>
      <c r="J566" s="8"/>
      <c r="K566" s="8"/>
      <c r="L566" s="8"/>
      <c r="M566" s="8"/>
      <c r="N566" s="8"/>
      <c r="O566" s="8"/>
      <c r="P566" s="8"/>
      <c r="Q566" s="8"/>
      <c r="R566" s="8"/>
      <c r="S566" s="8"/>
      <c r="T566" s="8"/>
      <c r="U566" s="12"/>
      <c r="V566" s="12"/>
      <c r="W566" s="12"/>
      <c r="X566" s="12"/>
      <c r="Y566" s="12"/>
      <c r="Z566" s="12"/>
      <c r="AA566" s="12"/>
      <c r="AB566" s="12"/>
      <c r="AC566" s="12"/>
      <c r="AD566" s="12"/>
      <c r="AE566" s="12"/>
      <c r="AF566" s="12"/>
    </row>
    <row r="567" spans="1:32">
      <c r="A567" s="8"/>
      <c r="B567" s="8"/>
      <c r="C567" s="8"/>
      <c r="D567" s="8"/>
      <c r="E567" s="8"/>
      <c r="F567" s="8"/>
      <c r="G567" s="8"/>
      <c r="H567" s="8"/>
      <c r="I567" s="8"/>
      <c r="J567" s="8"/>
      <c r="K567" s="8"/>
      <c r="L567" s="8"/>
      <c r="M567" s="8"/>
      <c r="N567" s="8"/>
      <c r="O567" s="8"/>
      <c r="P567" s="8"/>
      <c r="Q567" s="8"/>
      <c r="R567" s="8"/>
      <c r="S567" s="8"/>
      <c r="T567" s="8"/>
      <c r="U567" s="12"/>
      <c r="V567" s="12"/>
      <c r="W567" s="12"/>
      <c r="X567" s="12"/>
      <c r="Y567" s="12"/>
      <c r="Z567" s="12"/>
      <c r="AA567" s="12"/>
      <c r="AB567" s="12"/>
      <c r="AC567" s="12"/>
      <c r="AD567" s="12"/>
      <c r="AE567" s="12"/>
      <c r="AF567" s="12"/>
    </row>
    <row r="568" spans="1:32">
      <c r="A568" s="8"/>
      <c r="B568" s="8"/>
      <c r="C568" s="8"/>
      <c r="D568" s="8"/>
      <c r="E568" s="8"/>
      <c r="F568" s="8"/>
      <c r="G568" s="8"/>
      <c r="H568" s="8"/>
      <c r="I568" s="8"/>
      <c r="J568" s="8"/>
      <c r="K568" s="8"/>
      <c r="L568" s="8"/>
      <c r="M568" s="8"/>
      <c r="N568" s="8"/>
      <c r="O568" s="8"/>
      <c r="P568" s="8"/>
      <c r="Q568" s="8"/>
      <c r="R568" s="8"/>
      <c r="S568" s="8"/>
      <c r="T568" s="8"/>
      <c r="U568" s="12"/>
      <c r="V568" s="12"/>
      <c r="W568" s="12"/>
      <c r="X568" s="12"/>
      <c r="Y568" s="12"/>
      <c r="Z568" s="12"/>
      <c r="AA568" s="12"/>
      <c r="AB568" s="12"/>
      <c r="AC568" s="12"/>
      <c r="AD568" s="12"/>
      <c r="AE568" s="12"/>
      <c r="AF568" s="12"/>
    </row>
    <row r="569" spans="1:32">
      <c r="A569" s="8"/>
      <c r="B569" s="8"/>
      <c r="C569" s="8"/>
      <c r="D569" s="8"/>
      <c r="E569" s="8"/>
      <c r="F569" s="8"/>
      <c r="G569" s="8"/>
      <c r="H569" s="8"/>
      <c r="I569" s="8"/>
      <c r="J569" s="8"/>
      <c r="K569" s="8"/>
      <c r="L569" s="8"/>
      <c r="M569" s="8"/>
      <c r="N569" s="8"/>
      <c r="O569" s="8"/>
      <c r="P569" s="8"/>
      <c r="Q569" s="8"/>
      <c r="R569" s="8"/>
      <c r="S569" s="8"/>
      <c r="T569" s="8"/>
      <c r="U569" s="12"/>
      <c r="V569" s="12"/>
      <c r="W569" s="12"/>
      <c r="X569" s="12"/>
      <c r="Y569" s="12"/>
      <c r="Z569" s="12"/>
      <c r="AA569" s="12"/>
      <c r="AB569" s="12"/>
      <c r="AC569" s="12"/>
      <c r="AD569" s="12"/>
      <c r="AE569" s="12"/>
      <c r="AF569" s="12"/>
    </row>
    <row r="570" spans="1:32">
      <c r="A570" s="8"/>
      <c r="B570" s="8"/>
      <c r="C570" s="8"/>
      <c r="D570" s="8"/>
      <c r="E570" s="8"/>
      <c r="F570" s="8"/>
      <c r="G570" s="8"/>
      <c r="H570" s="8"/>
      <c r="I570" s="8"/>
      <c r="J570" s="8"/>
      <c r="K570" s="8"/>
      <c r="L570" s="8"/>
      <c r="M570" s="8"/>
      <c r="N570" s="8"/>
      <c r="O570" s="8"/>
      <c r="P570" s="8"/>
      <c r="Q570" s="8"/>
      <c r="R570" s="8"/>
      <c r="S570" s="8"/>
      <c r="T570" s="8"/>
      <c r="U570" s="12"/>
      <c r="V570" s="12"/>
      <c r="W570" s="12"/>
      <c r="X570" s="12"/>
      <c r="Y570" s="12"/>
      <c r="Z570" s="12"/>
      <c r="AA570" s="12"/>
      <c r="AB570" s="12"/>
      <c r="AC570" s="12"/>
      <c r="AD570" s="12"/>
      <c r="AE570" s="12"/>
      <c r="AF570" s="12"/>
    </row>
    <row r="571" spans="1:32">
      <c r="A571" s="8"/>
      <c r="B571" s="8"/>
      <c r="C571" s="8"/>
      <c r="D571" s="8"/>
      <c r="E571" s="8"/>
      <c r="F571" s="8"/>
      <c r="G571" s="8"/>
      <c r="H571" s="8"/>
      <c r="I571" s="8"/>
      <c r="J571" s="8"/>
      <c r="K571" s="8"/>
      <c r="L571" s="8"/>
      <c r="M571" s="8"/>
      <c r="N571" s="8"/>
      <c r="O571" s="8"/>
      <c r="P571" s="8"/>
      <c r="Q571" s="8"/>
      <c r="R571" s="8"/>
      <c r="S571" s="8"/>
      <c r="T571" s="8"/>
      <c r="U571" s="12"/>
      <c r="V571" s="12"/>
      <c r="W571" s="12"/>
      <c r="X571" s="12"/>
      <c r="Y571" s="12"/>
      <c r="Z571" s="12"/>
      <c r="AA571" s="12"/>
      <c r="AB571" s="12"/>
      <c r="AC571" s="12"/>
      <c r="AD571" s="12"/>
      <c r="AE571" s="12"/>
      <c r="AF571" s="12"/>
    </row>
    <row r="572" spans="1:32">
      <c r="A572" s="8"/>
      <c r="B572" s="8"/>
      <c r="C572" s="8"/>
      <c r="D572" s="8"/>
      <c r="E572" s="8"/>
      <c r="F572" s="8"/>
      <c r="G572" s="8"/>
      <c r="H572" s="8"/>
      <c r="I572" s="8"/>
      <c r="J572" s="8"/>
      <c r="K572" s="8"/>
      <c r="L572" s="8"/>
      <c r="M572" s="8"/>
      <c r="N572" s="8"/>
      <c r="O572" s="8"/>
      <c r="P572" s="8"/>
      <c r="Q572" s="8"/>
      <c r="R572" s="8"/>
      <c r="S572" s="8"/>
      <c r="T572" s="8"/>
      <c r="U572" s="12"/>
      <c r="V572" s="12"/>
      <c r="W572" s="12"/>
      <c r="X572" s="12"/>
      <c r="Y572" s="12"/>
      <c r="Z572" s="12"/>
      <c r="AA572" s="12"/>
      <c r="AB572" s="12"/>
      <c r="AC572" s="12"/>
      <c r="AD572" s="12"/>
      <c r="AE572" s="12"/>
      <c r="AF572" s="12"/>
    </row>
    <row r="573" spans="1:32">
      <c r="A573" s="8"/>
      <c r="B573" s="8"/>
      <c r="C573" s="8"/>
      <c r="D573" s="8"/>
      <c r="E573" s="8"/>
      <c r="F573" s="8"/>
      <c r="G573" s="8"/>
      <c r="H573" s="8"/>
      <c r="I573" s="8"/>
      <c r="J573" s="8"/>
      <c r="K573" s="8"/>
      <c r="L573" s="8"/>
      <c r="M573" s="8"/>
      <c r="N573" s="8"/>
      <c r="O573" s="8"/>
      <c r="P573" s="8"/>
      <c r="Q573" s="8"/>
      <c r="R573" s="8"/>
      <c r="S573" s="8"/>
      <c r="T573" s="8"/>
      <c r="U573" s="12"/>
      <c r="V573" s="12"/>
      <c r="W573" s="12"/>
      <c r="X573" s="12"/>
      <c r="Y573" s="12"/>
      <c r="Z573" s="12"/>
      <c r="AA573" s="12"/>
      <c r="AB573" s="12"/>
      <c r="AC573" s="12"/>
      <c r="AD573" s="12"/>
      <c r="AE573" s="12"/>
      <c r="AF573" s="12"/>
    </row>
    <row r="574" spans="1:32">
      <c r="A574" s="8"/>
      <c r="B574" s="8"/>
      <c r="C574" s="8"/>
      <c r="D574" s="8"/>
      <c r="E574" s="8"/>
      <c r="F574" s="8"/>
      <c r="G574" s="8"/>
      <c r="H574" s="8"/>
      <c r="I574" s="8"/>
      <c r="J574" s="8"/>
      <c r="K574" s="8"/>
      <c r="L574" s="8"/>
      <c r="M574" s="8"/>
      <c r="N574" s="8"/>
      <c r="O574" s="8"/>
      <c r="P574" s="8"/>
      <c r="Q574" s="8"/>
      <c r="R574" s="8"/>
      <c r="S574" s="8"/>
      <c r="T574" s="8"/>
      <c r="U574" s="12"/>
      <c r="V574" s="12"/>
      <c r="W574" s="12"/>
      <c r="X574" s="12"/>
      <c r="Y574" s="12"/>
      <c r="Z574" s="12"/>
      <c r="AA574" s="12"/>
      <c r="AB574" s="12"/>
      <c r="AC574" s="12"/>
      <c r="AD574" s="12"/>
      <c r="AE574" s="12"/>
      <c r="AF574" s="12"/>
    </row>
    <row r="575" spans="1:32">
      <c r="A575" s="8"/>
      <c r="B575" s="8"/>
      <c r="C575" s="8"/>
      <c r="D575" s="8"/>
      <c r="E575" s="8"/>
      <c r="F575" s="8"/>
      <c r="G575" s="8"/>
      <c r="H575" s="8"/>
      <c r="I575" s="8"/>
      <c r="J575" s="8"/>
      <c r="K575" s="8"/>
      <c r="L575" s="8"/>
      <c r="M575" s="8"/>
      <c r="N575" s="8"/>
      <c r="O575" s="8"/>
      <c r="P575" s="8"/>
      <c r="Q575" s="8"/>
      <c r="R575" s="8"/>
      <c r="S575" s="8"/>
      <c r="T575" s="8"/>
      <c r="U575" s="12"/>
      <c r="V575" s="12"/>
      <c r="W575" s="12"/>
      <c r="X575" s="12"/>
      <c r="Y575" s="12"/>
      <c r="Z575" s="12"/>
      <c r="AA575" s="12"/>
      <c r="AB575" s="12"/>
      <c r="AC575" s="12"/>
      <c r="AD575" s="12"/>
      <c r="AE575" s="12"/>
      <c r="AF575" s="12"/>
    </row>
    <row r="576" spans="1:32">
      <c r="A576" s="8"/>
      <c r="B576" s="8"/>
      <c r="C576" s="8"/>
      <c r="D576" s="8"/>
      <c r="E576" s="8"/>
      <c r="F576" s="8"/>
      <c r="G576" s="8"/>
      <c r="H576" s="8"/>
      <c r="I576" s="8"/>
      <c r="J576" s="8"/>
      <c r="K576" s="8"/>
      <c r="L576" s="8"/>
      <c r="M576" s="8"/>
      <c r="N576" s="8"/>
      <c r="O576" s="8"/>
      <c r="P576" s="8"/>
      <c r="Q576" s="8"/>
      <c r="R576" s="8"/>
      <c r="S576" s="8"/>
      <c r="T576" s="8"/>
      <c r="U576" s="12"/>
      <c r="V576" s="12"/>
      <c r="W576" s="12"/>
      <c r="X576" s="12"/>
      <c r="Y576" s="12"/>
      <c r="Z576" s="12"/>
      <c r="AA576" s="12"/>
      <c r="AB576" s="12"/>
      <c r="AC576" s="12"/>
      <c r="AD576" s="12"/>
      <c r="AE576" s="12"/>
      <c r="AF576" s="12"/>
    </row>
    <row r="577" spans="1:32">
      <c r="A577" s="8"/>
      <c r="B577" s="8"/>
      <c r="C577" s="8"/>
      <c r="D577" s="8"/>
      <c r="E577" s="8"/>
      <c r="F577" s="8"/>
      <c r="G577" s="8"/>
      <c r="H577" s="8"/>
      <c r="I577" s="8"/>
      <c r="J577" s="8"/>
      <c r="K577" s="8"/>
      <c r="L577" s="8"/>
      <c r="M577" s="8"/>
      <c r="N577" s="8"/>
      <c r="O577" s="8"/>
      <c r="P577" s="8"/>
      <c r="Q577" s="8"/>
      <c r="R577" s="8"/>
      <c r="S577" s="8"/>
      <c r="T577" s="8"/>
      <c r="U577" s="12"/>
      <c r="V577" s="12"/>
      <c r="W577" s="12"/>
      <c r="X577" s="12"/>
      <c r="Y577" s="12"/>
      <c r="Z577" s="12"/>
      <c r="AA577" s="12"/>
      <c r="AB577" s="12"/>
      <c r="AC577" s="12"/>
      <c r="AD577" s="12"/>
      <c r="AE577" s="12"/>
      <c r="AF577" s="12"/>
    </row>
    <row r="578" spans="1:32">
      <c r="A578" s="8"/>
      <c r="B578" s="8"/>
      <c r="C578" s="8"/>
      <c r="D578" s="8"/>
      <c r="E578" s="8"/>
      <c r="F578" s="8"/>
      <c r="G578" s="8"/>
      <c r="H578" s="8"/>
      <c r="I578" s="8"/>
      <c r="J578" s="8"/>
      <c r="K578" s="8"/>
      <c r="L578" s="8"/>
      <c r="M578" s="8"/>
      <c r="N578" s="8"/>
      <c r="O578" s="8"/>
      <c r="P578" s="8"/>
      <c r="Q578" s="8"/>
      <c r="R578" s="8"/>
      <c r="S578" s="8"/>
      <c r="T578" s="8"/>
      <c r="U578" s="12"/>
      <c r="V578" s="12"/>
      <c r="W578" s="12"/>
      <c r="X578" s="12"/>
      <c r="Y578" s="12"/>
      <c r="Z578" s="12"/>
      <c r="AA578" s="12"/>
      <c r="AB578" s="12"/>
      <c r="AC578" s="12"/>
      <c r="AD578" s="12"/>
      <c r="AE578" s="12"/>
      <c r="AF578" s="12"/>
    </row>
    <row r="579" spans="1:32">
      <c r="A579" s="8"/>
      <c r="B579" s="8"/>
      <c r="C579" s="8"/>
      <c r="D579" s="8"/>
      <c r="E579" s="8"/>
      <c r="F579" s="8"/>
      <c r="G579" s="8"/>
      <c r="H579" s="8"/>
      <c r="I579" s="8"/>
      <c r="J579" s="8"/>
      <c r="K579" s="8"/>
      <c r="L579" s="8"/>
      <c r="M579" s="8"/>
      <c r="N579" s="8"/>
      <c r="O579" s="8"/>
      <c r="P579" s="8"/>
      <c r="Q579" s="8"/>
      <c r="R579" s="8"/>
      <c r="S579" s="8"/>
      <c r="T579" s="8"/>
      <c r="U579" s="12"/>
      <c r="V579" s="12"/>
      <c r="W579" s="12"/>
      <c r="X579" s="12"/>
      <c r="Y579" s="12"/>
      <c r="Z579" s="12"/>
      <c r="AA579" s="12"/>
      <c r="AB579" s="12"/>
      <c r="AC579" s="12"/>
      <c r="AD579" s="12"/>
      <c r="AE579" s="12"/>
      <c r="AF579" s="12"/>
    </row>
    <row r="580" spans="1:32">
      <c r="A580" s="8"/>
      <c r="B580" s="8"/>
      <c r="C580" s="8"/>
      <c r="D580" s="8"/>
      <c r="E580" s="8"/>
      <c r="F580" s="8"/>
      <c r="G580" s="8"/>
      <c r="H580" s="8"/>
      <c r="I580" s="8"/>
      <c r="J580" s="8"/>
      <c r="K580" s="8"/>
      <c r="L580" s="8"/>
      <c r="M580" s="8"/>
      <c r="N580" s="8"/>
      <c r="O580" s="8"/>
      <c r="P580" s="8"/>
      <c r="Q580" s="8"/>
      <c r="R580" s="8"/>
      <c r="S580" s="8"/>
      <c r="T580" s="8"/>
      <c r="U580" s="12"/>
      <c r="V580" s="12"/>
      <c r="W580" s="12"/>
      <c r="X580" s="12"/>
      <c r="Y580" s="12"/>
      <c r="Z580" s="12"/>
      <c r="AA580" s="12"/>
      <c r="AB580" s="12"/>
      <c r="AC580" s="12"/>
      <c r="AD580" s="12"/>
      <c r="AE580" s="12"/>
      <c r="AF580" s="12"/>
    </row>
    <row r="581" spans="1:32">
      <c r="A581" s="8"/>
      <c r="B581" s="8"/>
      <c r="C581" s="8"/>
      <c r="D581" s="8"/>
      <c r="E581" s="8"/>
      <c r="F581" s="8"/>
      <c r="G581" s="8"/>
      <c r="H581" s="8"/>
      <c r="I581" s="8"/>
      <c r="J581" s="8"/>
      <c r="K581" s="8"/>
      <c r="L581" s="8"/>
      <c r="M581" s="8"/>
      <c r="N581" s="8"/>
      <c r="O581" s="8"/>
      <c r="P581" s="8"/>
      <c r="Q581" s="8"/>
      <c r="R581" s="8"/>
      <c r="S581" s="8"/>
      <c r="T581" s="8"/>
      <c r="U581" s="12"/>
      <c r="V581" s="12"/>
      <c r="W581" s="12"/>
      <c r="X581" s="12"/>
      <c r="Y581" s="12"/>
      <c r="Z581" s="12"/>
      <c r="AA581" s="12"/>
      <c r="AB581" s="12"/>
      <c r="AC581" s="12"/>
      <c r="AD581" s="12"/>
      <c r="AE581" s="12"/>
      <c r="AF581" s="12"/>
    </row>
    <row r="582" spans="1:32">
      <c r="A582" s="8"/>
      <c r="B582" s="8"/>
      <c r="C582" s="8"/>
      <c r="D582" s="8"/>
      <c r="E582" s="8"/>
      <c r="F582" s="8"/>
      <c r="G582" s="8"/>
      <c r="H582" s="8"/>
      <c r="I582" s="8"/>
      <c r="J582" s="8"/>
      <c r="K582" s="8"/>
      <c r="L582" s="8"/>
      <c r="M582" s="8"/>
      <c r="N582" s="8"/>
      <c r="O582" s="8"/>
      <c r="P582" s="8"/>
      <c r="Q582" s="8"/>
      <c r="R582" s="8"/>
      <c r="S582" s="8"/>
      <c r="T582" s="8"/>
      <c r="U582" s="12"/>
      <c r="V582" s="12"/>
      <c r="W582" s="12"/>
      <c r="X582" s="12"/>
      <c r="Y582" s="12"/>
      <c r="Z582" s="12"/>
      <c r="AA582" s="12"/>
      <c r="AB582" s="12"/>
      <c r="AC582" s="12"/>
      <c r="AD582" s="12"/>
      <c r="AE582" s="12"/>
      <c r="AF582" s="12"/>
    </row>
    <row r="583" spans="1:32">
      <c r="A583" s="8"/>
      <c r="B583" s="8"/>
      <c r="C583" s="8"/>
      <c r="D583" s="8"/>
      <c r="E583" s="8"/>
      <c r="F583" s="8"/>
      <c r="G583" s="8"/>
      <c r="H583" s="8"/>
      <c r="I583" s="8"/>
      <c r="J583" s="8"/>
      <c r="K583" s="8"/>
      <c r="L583" s="8"/>
      <c r="M583" s="8"/>
      <c r="N583" s="8"/>
      <c r="O583" s="8"/>
      <c r="P583" s="8"/>
      <c r="Q583" s="8"/>
      <c r="R583" s="8"/>
      <c r="S583" s="8"/>
      <c r="T583" s="8"/>
      <c r="U583" s="12"/>
      <c r="V583" s="12"/>
      <c r="W583" s="12"/>
      <c r="X583" s="12"/>
      <c r="Y583" s="12"/>
      <c r="Z583" s="12"/>
      <c r="AA583" s="12"/>
      <c r="AB583" s="12"/>
      <c r="AC583" s="12"/>
      <c r="AD583" s="12"/>
      <c r="AE583" s="12"/>
      <c r="AF583" s="12"/>
    </row>
    <row r="584" spans="1:32">
      <c r="A584" s="8"/>
      <c r="B584" s="8"/>
      <c r="C584" s="8"/>
      <c r="D584" s="8"/>
      <c r="E584" s="8"/>
      <c r="F584" s="8"/>
      <c r="G584" s="8"/>
      <c r="H584" s="8"/>
      <c r="I584" s="8"/>
      <c r="J584" s="8"/>
      <c r="K584" s="8"/>
      <c r="L584" s="8"/>
      <c r="M584" s="8"/>
      <c r="N584" s="8"/>
      <c r="O584" s="8"/>
      <c r="P584" s="8"/>
      <c r="Q584" s="8"/>
      <c r="R584" s="8"/>
      <c r="S584" s="8"/>
      <c r="T584" s="8"/>
      <c r="U584" s="12"/>
      <c r="V584" s="12"/>
      <c r="W584" s="12"/>
      <c r="X584" s="12"/>
      <c r="Y584" s="12"/>
      <c r="Z584" s="12"/>
      <c r="AA584" s="12"/>
      <c r="AB584" s="12"/>
      <c r="AC584" s="12"/>
      <c r="AD584" s="12"/>
      <c r="AE584" s="12"/>
      <c r="AF584" s="12"/>
    </row>
    <row r="585" spans="1:32">
      <c r="A585" s="8"/>
      <c r="B585" s="8"/>
      <c r="C585" s="8"/>
      <c r="D585" s="8"/>
      <c r="E585" s="8"/>
      <c r="F585" s="8"/>
      <c r="G585" s="8"/>
      <c r="H585" s="8"/>
      <c r="I585" s="8"/>
      <c r="J585" s="8"/>
      <c r="K585" s="8"/>
      <c r="L585" s="8"/>
      <c r="M585" s="8"/>
      <c r="N585" s="8"/>
      <c r="O585" s="8"/>
      <c r="P585" s="8"/>
      <c r="Q585" s="8"/>
      <c r="R585" s="8"/>
      <c r="S585" s="8"/>
      <c r="T585" s="8"/>
      <c r="U585" s="12"/>
      <c r="V585" s="12"/>
      <c r="W585" s="12"/>
      <c r="X585" s="12"/>
      <c r="Y585" s="12"/>
      <c r="Z585" s="12"/>
      <c r="AA585" s="12"/>
      <c r="AB585" s="12"/>
      <c r="AC585" s="12"/>
      <c r="AD585" s="12"/>
      <c r="AE585" s="12"/>
      <c r="AF585" s="12"/>
    </row>
    <row r="586" spans="1:32">
      <c r="A586" s="8"/>
      <c r="B586" s="8"/>
      <c r="C586" s="8"/>
      <c r="D586" s="8"/>
      <c r="E586" s="8"/>
      <c r="F586" s="8"/>
      <c r="G586" s="8"/>
      <c r="H586" s="8"/>
      <c r="I586" s="8"/>
      <c r="J586" s="8"/>
      <c r="K586" s="8"/>
      <c r="L586" s="8"/>
      <c r="M586" s="8"/>
      <c r="N586" s="8"/>
      <c r="O586" s="8"/>
      <c r="P586" s="8"/>
      <c r="Q586" s="8"/>
      <c r="R586" s="8"/>
      <c r="S586" s="8"/>
      <c r="T586" s="8"/>
      <c r="U586" s="12"/>
      <c r="V586" s="12"/>
      <c r="W586" s="12"/>
      <c r="X586" s="12"/>
      <c r="Y586" s="12"/>
      <c r="Z586" s="12"/>
      <c r="AA586" s="12"/>
      <c r="AB586" s="12"/>
      <c r="AC586" s="12"/>
      <c r="AD586" s="12"/>
      <c r="AE586" s="12"/>
      <c r="AF586" s="12"/>
    </row>
    <row r="587" spans="1:32">
      <c r="A587" s="8"/>
      <c r="B587" s="8"/>
      <c r="C587" s="8"/>
      <c r="D587" s="8"/>
      <c r="E587" s="8"/>
      <c r="F587" s="8"/>
      <c r="G587" s="8"/>
      <c r="H587" s="8"/>
      <c r="I587" s="8"/>
      <c r="J587" s="8"/>
      <c r="K587" s="8"/>
      <c r="L587" s="8"/>
      <c r="M587" s="8"/>
      <c r="N587" s="8"/>
      <c r="O587" s="8"/>
      <c r="P587" s="8"/>
      <c r="Q587" s="8"/>
      <c r="R587" s="8"/>
      <c r="S587" s="8"/>
      <c r="T587" s="8"/>
      <c r="U587" s="12"/>
      <c r="V587" s="12"/>
      <c r="W587" s="12"/>
      <c r="X587" s="12"/>
      <c r="Y587" s="12"/>
      <c r="Z587" s="12"/>
      <c r="AA587" s="12"/>
      <c r="AB587" s="12"/>
      <c r="AC587" s="12"/>
      <c r="AD587" s="12"/>
      <c r="AE587" s="12"/>
      <c r="AF587" s="12"/>
    </row>
    <row r="588" spans="1:32">
      <c r="A588" s="8"/>
      <c r="B588" s="8"/>
      <c r="C588" s="8"/>
      <c r="D588" s="8"/>
      <c r="E588" s="8"/>
      <c r="F588" s="8"/>
      <c r="G588" s="8"/>
      <c r="H588" s="8"/>
      <c r="I588" s="8"/>
      <c r="J588" s="8"/>
      <c r="K588" s="8"/>
      <c r="L588" s="8"/>
      <c r="M588" s="8"/>
      <c r="N588" s="8"/>
      <c r="O588" s="8"/>
      <c r="P588" s="8"/>
      <c r="Q588" s="8"/>
      <c r="R588" s="8"/>
      <c r="S588" s="8"/>
      <c r="T588" s="8"/>
      <c r="U588" s="12"/>
      <c r="V588" s="12"/>
      <c r="W588" s="12"/>
      <c r="X588" s="12"/>
      <c r="Y588" s="12"/>
      <c r="Z588" s="12"/>
      <c r="AA588" s="12"/>
      <c r="AB588" s="12"/>
      <c r="AC588" s="12"/>
      <c r="AD588" s="12"/>
      <c r="AE588" s="12"/>
      <c r="AF588" s="12"/>
    </row>
    <row r="589" spans="1:32">
      <c r="A589" s="8"/>
      <c r="B589" s="8"/>
      <c r="C589" s="8"/>
      <c r="D589" s="8"/>
      <c r="E589" s="8"/>
      <c r="F589" s="8"/>
      <c r="G589" s="8"/>
      <c r="H589" s="8"/>
      <c r="I589" s="8"/>
      <c r="J589" s="8"/>
      <c r="K589" s="8"/>
      <c r="L589" s="8"/>
      <c r="M589" s="8"/>
      <c r="N589" s="8"/>
      <c r="O589" s="8"/>
      <c r="P589" s="8"/>
      <c r="Q589" s="8"/>
      <c r="R589" s="8"/>
      <c r="S589" s="8"/>
      <c r="T589" s="8"/>
      <c r="U589" s="12"/>
      <c r="V589" s="12"/>
      <c r="W589" s="12"/>
      <c r="X589" s="12"/>
      <c r="Y589" s="12"/>
      <c r="Z589" s="12"/>
      <c r="AA589" s="12"/>
      <c r="AB589" s="12"/>
      <c r="AC589" s="12"/>
      <c r="AD589" s="12"/>
      <c r="AE589" s="12"/>
      <c r="AF589" s="12"/>
    </row>
    <row r="590" spans="1:32">
      <c r="A590" s="8"/>
      <c r="B590" s="8"/>
      <c r="C590" s="8"/>
      <c r="D590" s="8"/>
      <c r="E590" s="8"/>
      <c r="F590" s="8"/>
      <c r="G590" s="8"/>
      <c r="H590" s="8"/>
      <c r="I590" s="8"/>
      <c r="J590" s="8"/>
      <c r="K590" s="8"/>
      <c r="L590" s="8"/>
      <c r="M590" s="8"/>
      <c r="N590" s="8"/>
      <c r="O590" s="8"/>
      <c r="P590" s="8"/>
      <c r="Q590" s="8"/>
      <c r="R590" s="8"/>
      <c r="S590" s="8"/>
      <c r="T590" s="8"/>
      <c r="U590" s="12"/>
      <c r="V590" s="12"/>
      <c r="W590" s="12"/>
      <c r="X590" s="12"/>
      <c r="Y590" s="12"/>
      <c r="Z590" s="12"/>
      <c r="AA590" s="12"/>
      <c r="AB590" s="12"/>
      <c r="AC590" s="12"/>
      <c r="AD590" s="12"/>
      <c r="AE590" s="12"/>
      <c r="AF590" s="12"/>
    </row>
    <row r="591" spans="1:32">
      <c r="A591" s="8"/>
      <c r="B591" s="8"/>
      <c r="C591" s="8"/>
      <c r="D591" s="8"/>
      <c r="E591" s="8"/>
      <c r="F591" s="8"/>
      <c r="G591" s="8"/>
      <c r="H591" s="8"/>
      <c r="I591" s="8"/>
      <c r="J591" s="8"/>
      <c r="K591" s="8"/>
      <c r="L591" s="8"/>
      <c r="M591" s="8"/>
      <c r="N591" s="8"/>
      <c r="O591" s="8"/>
      <c r="P591" s="8"/>
      <c r="Q591" s="8"/>
      <c r="R591" s="8"/>
      <c r="S591" s="8"/>
      <c r="T591" s="8"/>
      <c r="U591" s="12"/>
      <c r="V591" s="12"/>
      <c r="W591" s="12"/>
      <c r="X591" s="12"/>
      <c r="Y591" s="12"/>
      <c r="Z591" s="12"/>
      <c r="AA591" s="12"/>
      <c r="AB591" s="12"/>
      <c r="AC591" s="12"/>
      <c r="AD591" s="12"/>
      <c r="AE591" s="12"/>
      <c r="AF591" s="12"/>
    </row>
    <row r="592" spans="1:32">
      <c r="A592" s="8"/>
      <c r="B592" s="8"/>
      <c r="C592" s="8"/>
      <c r="D592" s="8"/>
      <c r="E592" s="8"/>
      <c r="F592" s="8"/>
      <c r="G592" s="8"/>
      <c r="H592" s="8"/>
      <c r="I592" s="8"/>
      <c r="J592" s="8"/>
      <c r="K592" s="8"/>
      <c r="L592" s="8"/>
      <c r="M592" s="8"/>
      <c r="N592" s="8"/>
      <c r="O592" s="8"/>
      <c r="P592" s="8"/>
      <c r="Q592" s="8"/>
      <c r="R592" s="8"/>
      <c r="S592" s="8"/>
      <c r="T592" s="8"/>
      <c r="U592" s="12"/>
      <c r="V592" s="12"/>
      <c r="W592" s="12"/>
      <c r="X592" s="12"/>
      <c r="Y592" s="12"/>
      <c r="Z592" s="12"/>
      <c r="AA592" s="12"/>
      <c r="AB592" s="12"/>
      <c r="AC592" s="12"/>
      <c r="AD592" s="12"/>
      <c r="AE592" s="12"/>
      <c r="AF592" s="12"/>
    </row>
    <row r="593" spans="1:32">
      <c r="A593" s="8"/>
      <c r="B593" s="8"/>
      <c r="C593" s="8"/>
      <c r="D593" s="8"/>
      <c r="E593" s="8"/>
      <c r="F593" s="8"/>
      <c r="G593" s="8"/>
      <c r="H593" s="8"/>
      <c r="I593" s="8"/>
      <c r="J593" s="8"/>
      <c r="K593" s="8"/>
      <c r="L593" s="8"/>
      <c r="M593" s="8"/>
      <c r="N593" s="8"/>
      <c r="O593" s="8"/>
      <c r="P593" s="8"/>
      <c r="Q593" s="8"/>
      <c r="R593" s="8"/>
      <c r="S593" s="8"/>
      <c r="T593" s="8"/>
      <c r="U593" s="12"/>
      <c r="V593" s="12"/>
      <c r="W593" s="12"/>
      <c r="X593" s="12"/>
      <c r="Y593" s="12"/>
      <c r="Z593" s="12"/>
      <c r="AA593" s="12"/>
      <c r="AB593" s="12"/>
      <c r="AC593" s="12"/>
      <c r="AD593" s="12"/>
      <c r="AE593" s="12"/>
      <c r="AF593" s="12"/>
    </row>
    <row r="594" spans="1:32">
      <c r="A594" s="8"/>
      <c r="B594" s="8"/>
      <c r="C594" s="8"/>
      <c r="D594" s="8"/>
      <c r="E594" s="8"/>
      <c r="F594" s="8"/>
      <c r="G594" s="8"/>
      <c r="H594" s="8"/>
      <c r="I594" s="8"/>
      <c r="J594" s="8"/>
      <c r="K594" s="8"/>
      <c r="L594" s="8"/>
      <c r="M594" s="8"/>
      <c r="N594" s="8"/>
      <c r="O594" s="8"/>
      <c r="P594" s="8"/>
      <c r="Q594" s="8"/>
      <c r="R594" s="8"/>
      <c r="S594" s="8"/>
      <c r="T594" s="8"/>
      <c r="U594" s="12"/>
      <c r="V594" s="12"/>
      <c r="W594" s="12"/>
      <c r="X594" s="12"/>
      <c r="Y594" s="12"/>
      <c r="Z594" s="12"/>
      <c r="AA594" s="12"/>
      <c r="AB594" s="12"/>
      <c r="AC594" s="12"/>
      <c r="AD594" s="12"/>
      <c r="AE594" s="12"/>
      <c r="AF594" s="12"/>
    </row>
    <row r="595" spans="1:32">
      <c r="A595" s="8"/>
      <c r="B595" s="8"/>
      <c r="C595" s="8"/>
      <c r="D595" s="8"/>
      <c r="E595" s="8"/>
      <c r="F595" s="8"/>
      <c r="G595" s="8"/>
      <c r="H595" s="8"/>
      <c r="I595" s="8"/>
      <c r="J595" s="8"/>
      <c r="K595" s="8"/>
      <c r="L595" s="8"/>
      <c r="M595" s="8"/>
      <c r="N595" s="8"/>
      <c r="O595" s="8"/>
      <c r="P595" s="8"/>
      <c r="Q595" s="8"/>
      <c r="R595" s="8"/>
      <c r="S595" s="8"/>
      <c r="T595" s="8"/>
      <c r="U595" s="12"/>
      <c r="V595" s="12"/>
      <c r="W595" s="12"/>
      <c r="X595" s="12"/>
      <c r="Y595" s="12"/>
      <c r="Z595" s="12"/>
      <c r="AA595" s="12"/>
      <c r="AB595" s="12"/>
      <c r="AC595" s="12"/>
      <c r="AD595" s="12"/>
      <c r="AE595" s="12"/>
      <c r="AF595" s="12"/>
    </row>
    <row r="596" spans="1:32">
      <c r="A596" s="8"/>
      <c r="B596" s="8"/>
      <c r="C596" s="8"/>
      <c r="D596" s="8"/>
      <c r="E596" s="8"/>
      <c r="F596" s="8"/>
      <c r="G596" s="8"/>
      <c r="H596" s="8"/>
      <c r="I596" s="8"/>
      <c r="J596" s="8"/>
      <c r="K596" s="8"/>
      <c r="L596" s="8"/>
      <c r="M596" s="8"/>
      <c r="N596" s="8"/>
      <c r="O596" s="8"/>
      <c r="P596" s="8"/>
      <c r="Q596" s="8"/>
      <c r="R596" s="8"/>
      <c r="S596" s="8"/>
      <c r="T596" s="8"/>
      <c r="U596" s="12"/>
      <c r="V596" s="12"/>
      <c r="W596" s="12"/>
      <c r="X596" s="12"/>
      <c r="Y596" s="12"/>
      <c r="Z596" s="12"/>
      <c r="AA596" s="12"/>
      <c r="AB596" s="12"/>
      <c r="AC596" s="12"/>
      <c r="AD596" s="12"/>
      <c r="AE596" s="12"/>
      <c r="AF596" s="12"/>
    </row>
    <row r="597" spans="1:32">
      <c r="A597" s="8"/>
      <c r="B597" s="8"/>
      <c r="C597" s="8"/>
      <c r="D597" s="8"/>
      <c r="E597" s="8"/>
      <c r="F597" s="8"/>
      <c r="G597" s="8"/>
      <c r="H597" s="8"/>
      <c r="I597" s="8"/>
      <c r="J597" s="8"/>
      <c r="K597" s="8"/>
      <c r="L597" s="8"/>
      <c r="M597" s="8"/>
      <c r="N597" s="8"/>
      <c r="O597" s="8"/>
      <c r="P597" s="8"/>
      <c r="Q597" s="8"/>
      <c r="R597" s="8"/>
      <c r="S597" s="8"/>
      <c r="T597" s="8"/>
      <c r="U597" s="12"/>
      <c r="V597" s="12"/>
      <c r="W597" s="12"/>
      <c r="X597" s="12"/>
      <c r="Y597" s="12"/>
      <c r="Z597" s="12"/>
      <c r="AA597" s="12"/>
      <c r="AB597" s="12"/>
      <c r="AC597" s="12"/>
      <c r="AD597" s="12"/>
      <c r="AE597" s="12"/>
      <c r="AF597" s="12"/>
    </row>
    <row r="598" spans="1:32">
      <c r="A598" s="8"/>
      <c r="B598" s="8"/>
      <c r="C598" s="8"/>
      <c r="D598" s="8"/>
      <c r="E598" s="8"/>
      <c r="F598" s="8"/>
      <c r="G598" s="8"/>
      <c r="H598" s="8"/>
      <c r="I598" s="8"/>
      <c r="J598" s="8"/>
      <c r="K598" s="8"/>
      <c r="L598" s="8"/>
      <c r="M598" s="8"/>
      <c r="N598" s="8"/>
      <c r="O598" s="8"/>
      <c r="P598" s="8"/>
      <c r="Q598" s="8"/>
      <c r="R598" s="8"/>
      <c r="S598" s="8"/>
      <c r="T598" s="8"/>
      <c r="U598" s="12"/>
      <c r="V598" s="12"/>
      <c r="W598" s="12"/>
      <c r="X598" s="12"/>
      <c r="Y598" s="12"/>
      <c r="Z598" s="12"/>
      <c r="AA598" s="12"/>
      <c r="AB598" s="12"/>
      <c r="AC598" s="12"/>
      <c r="AD598" s="12"/>
      <c r="AE598" s="12"/>
      <c r="AF598" s="12"/>
    </row>
    <row r="599" spans="1:32">
      <c r="A599" s="8"/>
      <c r="B599" s="8"/>
      <c r="C599" s="8"/>
      <c r="D599" s="8"/>
      <c r="E599" s="8"/>
      <c r="F599" s="8"/>
      <c r="G599" s="8"/>
      <c r="H599" s="8"/>
      <c r="I599" s="8"/>
      <c r="J599" s="8"/>
      <c r="K599" s="8"/>
      <c r="L599" s="8"/>
      <c r="M599" s="8"/>
      <c r="N599" s="8"/>
      <c r="O599" s="8"/>
      <c r="P599" s="8"/>
      <c r="Q599" s="8"/>
      <c r="R599" s="8"/>
      <c r="S599" s="8"/>
      <c r="T599" s="8"/>
      <c r="U599" s="12"/>
      <c r="V599" s="12"/>
      <c r="W599" s="12"/>
      <c r="X599" s="12"/>
      <c r="Y599" s="12"/>
      <c r="Z599" s="12"/>
      <c r="AA599" s="12"/>
      <c r="AB599" s="12"/>
      <c r="AC599" s="12"/>
      <c r="AD599" s="12"/>
      <c r="AE599" s="12"/>
      <c r="AF599" s="12"/>
    </row>
    <row r="600" spans="1:32">
      <c r="A600" s="8"/>
      <c r="B600" s="8"/>
      <c r="C600" s="8"/>
      <c r="D600" s="8"/>
      <c r="E600" s="8"/>
      <c r="F600" s="8"/>
      <c r="G600" s="8"/>
      <c r="H600" s="8"/>
      <c r="I600" s="8"/>
      <c r="J600" s="8"/>
      <c r="K600" s="8"/>
      <c r="L600" s="8"/>
      <c r="M600" s="8"/>
      <c r="N600" s="8"/>
      <c r="O600" s="8"/>
      <c r="P600" s="8"/>
      <c r="Q600" s="8"/>
      <c r="R600" s="8"/>
      <c r="S600" s="8"/>
      <c r="T600" s="8"/>
      <c r="U600" s="12"/>
      <c r="V600" s="12"/>
      <c r="W600" s="12"/>
      <c r="X600" s="12"/>
      <c r="Y600" s="12"/>
      <c r="Z600" s="12"/>
      <c r="AA600" s="12"/>
      <c r="AB600" s="12"/>
      <c r="AC600" s="12"/>
      <c r="AD600" s="12"/>
      <c r="AE600" s="12"/>
      <c r="AF600" s="12"/>
    </row>
    <row r="601" spans="1:32">
      <c r="A601" s="8"/>
      <c r="B601" s="8"/>
      <c r="C601" s="8"/>
      <c r="D601" s="8"/>
      <c r="E601" s="8"/>
      <c r="F601" s="8"/>
      <c r="G601" s="8"/>
      <c r="H601" s="8"/>
      <c r="I601" s="8"/>
      <c r="J601" s="8"/>
      <c r="K601" s="8"/>
      <c r="L601" s="8"/>
      <c r="M601" s="8"/>
      <c r="N601" s="8"/>
      <c r="O601" s="8"/>
      <c r="P601" s="8"/>
      <c r="Q601" s="8"/>
      <c r="R601" s="8"/>
      <c r="S601" s="8"/>
      <c r="T601" s="8"/>
      <c r="U601" s="12"/>
      <c r="V601" s="12"/>
      <c r="W601" s="12"/>
      <c r="X601" s="12"/>
      <c r="Y601" s="12"/>
      <c r="Z601" s="12"/>
      <c r="AA601" s="12"/>
      <c r="AB601" s="12"/>
      <c r="AC601" s="12"/>
      <c r="AD601" s="12"/>
      <c r="AE601" s="12"/>
      <c r="AF601" s="12"/>
    </row>
    <row r="602" spans="1:32">
      <c r="A602" s="8"/>
      <c r="B602" s="8"/>
      <c r="C602" s="8"/>
      <c r="D602" s="8"/>
      <c r="E602" s="8"/>
      <c r="F602" s="8"/>
      <c r="G602" s="8"/>
      <c r="H602" s="8"/>
      <c r="I602" s="8"/>
      <c r="J602" s="8"/>
      <c r="K602" s="8"/>
      <c r="L602" s="8"/>
      <c r="M602" s="8"/>
      <c r="N602" s="8"/>
      <c r="O602" s="8"/>
      <c r="P602" s="8"/>
      <c r="Q602" s="8"/>
      <c r="R602" s="8"/>
      <c r="S602" s="8"/>
      <c r="T602" s="8"/>
      <c r="U602" s="12"/>
      <c r="V602" s="12"/>
      <c r="W602" s="12"/>
      <c r="X602" s="12"/>
      <c r="Y602" s="12"/>
      <c r="Z602" s="12"/>
      <c r="AA602" s="12"/>
      <c r="AB602" s="12"/>
      <c r="AC602" s="12"/>
      <c r="AD602" s="12"/>
      <c r="AE602" s="12"/>
      <c r="AF602" s="12"/>
    </row>
    <row r="603" spans="1:32">
      <c r="A603" s="8"/>
      <c r="B603" s="8"/>
      <c r="C603" s="8"/>
      <c r="D603" s="8"/>
      <c r="E603" s="8"/>
      <c r="F603" s="8"/>
      <c r="G603" s="8"/>
      <c r="H603" s="8"/>
      <c r="I603" s="8"/>
      <c r="J603" s="8"/>
      <c r="K603" s="8"/>
      <c r="L603" s="8"/>
      <c r="M603" s="8"/>
      <c r="N603" s="8"/>
      <c r="O603" s="8"/>
      <c r="P603" s="8"/>
      <c r="Q603" s="8"/>
      <c r="R603" s="8"/>
      <c r="S603" s="8"/>
      <c r="T603" s="8"/>
      <c r="U603" s="12"/>
      <c r="V603" s="12"/>
      <c r="W603" s="12"/>
      <c r="X603" s="12"/>
      <c r="Y603" s="12"/>
      <c r="Z603" s="12"/>
      <c r="AA603" s="12"/>
      <c r="AB603" s="12"/>
      <c r="AC603" s="12"/>
      <c r="AD603" s="12"/>
      <c r="AE603" s="12"/>
      <c r="AF603" s="12"/>
    </row>
    <row r="604" spans="1:32">
      <c r="A604" s="8"/>
      <c r="B604" s="8"/>
      <c r="C604" s="8"/>
      <c r="D604" s="8"/>
      <c r="E604" s="8"/>
      <c r="F604" s="8"/>
      <c r="G604" s="8"/>
      <c r="H604" s="8"/>
      <c r="I604" s="8"/>
      <c r="J604" s="8"/>
      <c r="K604" s="8"/>
      <c r="L604" s="8"/>
      <c r="M604" s="8"/>
      <c r="N604" s="8"/>
      <c r="O604" s="8"/>
      <c r="P604" s="8"/>
      <c r="Q604" s="8"/>
      <c r="R604" s="8"/>
      <c r="S604" s="8"/>
      <c r="T604" s="8"/>
      <c r="U604" s="12"/>
      <c r="V604" s="12"/>
      <c r="W604" s="12"/>
      <c r="X604" s="12"/>
      <c r="Y604" s="12"/>
      <c r="Z604" s="12"/>
      <c r="AA604" s="12"/>
      <c r="AB604" s="12"/>
      <c r="AC604" s="12"/>
      <c r="AD604" s="12"/>
      <c r="AE604" s="12"/>
      <c r="AF604" s="12"/>
    </row>
    <row r="605" spans="1:32">
      <c r="A605" s="8"/>
      <c r="B605" s="8"/>
      <c r="C605" s="8"/>
      <c r="D605" s="8"/>
      <c r="E605" s="8"/>
      <c r="F605" s="8"/>
      <c r="G605" s="8"/>
      <c r="H605" s="8"/>
      <c r="I605" s="8"/>
      <c r="J605" s="8"/>
      <c r="K605" s="8"/>
      <c r="L605" s="8"/>
      <c r="M605" s="8"/>
      <c r="N605" s="8"/>
      <c r="O605" s="8"/>
      <c r="P605" s="8"/>
      <c r="Q605" s="8"/>
      <c r="R605" s="8"/>
      <c r="S605" s="8"/>
      <c r="T605" s="8"/>
      <c r="U605" s="12"/>
      <c r="V605" s="12"/>
      <c r="W605" s="12"/>
      <c r="X605" s="12"/>
      <c r="Y605" s="12"/>
      <c r="Z605" s="12"/>
      <c r="AA605" s="12"/>
      <c r="AB605" s="12"/>
      <c r="AC605" s="12"/>
      <c r="AD605" s="12"/>
      <c r="AE605" s="12"/>
      <c r="AF605" s="12"/>
    </row>
    <row r="606" spans="1:32">
      <c r="A606" s="8"/>
      <c r="B606" s="8"/>
      <c r="C606" s="8"/>
      <c r="D606" s="8"/>
      <c r="E606" s="8"/>
      <c r="F606" s="8"/>
      <c r="G606" s="8"/>
      <c r="H606" s="8"/>
      <c r="I606" s="8"/>
      <c r="J606" s="8"/>
      <c r="K606" s="8"/>
      <c r="L606" s="8"/>
      <c r="M606" s="8"/>
      <c r="N606" s="8"/>
      <c r="O606" s="8"/>
      <c r="P606" s="8"/>
      <c r="Q606" s="8"/>
      <c r="R606" s="8"/>
      <c r="S606" s="8"/>
      <c r="T606" s="8"/>
      <c r="U606" s="12"/>
      <c r="V606" s="12"/>
      <c r="W606" s="12"/>
      <c r="X606" s="12"/>
      <c r="Y606" s="12"/>
      <c r="Z606" s="12"/>
      <c r="AA606" s="12"/>
      <c r="AB606" s="12"/>
      <c r="AC606" s="12"/>
      <c r="AD606" s="12"/>
      <c r="AE606" s="12"/>
      <c r="AF606" s="12"/>
    </row>
    <row r="607" spans="1:32">
      <c r="A607" s="8"/>
      <c r="B607" s="8"/>
      <c r="C607" s="8"/>
      <c r="D607" s="8"/>
      <c r="E607" s="8"/>
      <c r="F607" s="8"/>
      <c r="G607" s="8"/>
      <c r="H607" s="8"/>
      <c r="I607" s="8"/>
      <c r="J607" s="8"/>
      <c r="K607" s="8"/>
      <c r="L607" s="8"/>
      <c r="M607" s="8"/>
      <c r="N607" s="8"/>
      <c r="O607" s="8"/>
      <c r="P607" s="8"/>
      <c r="Q607" s="8"/>
      <c r="R607" s="8"/>
      <c r="S607" s="8"/>
      <c r="T607" s="8"/>
      <c r="U607" s="12"/>
      <c r="V607" s="12"/>
      <c r="W607" s="12"/>
      <c r="X607" s="12"/>
      <c r="Y607" s="12"/>
      <c r="Z607" s="12"/>
      <c r="AA607" s="12"/>
      <c r="AB607" s="12"/>
      <c r="AC607" s="12"/>
      <c r="AD607" s="12"/>
      <c r="AE607" s="12"/>
      <c r="AF607" s="12"/>
    </row>
    <row r="608" spans="1:32">
      <c r="A608" s="8"/>
      <c r="B608" s="8"/>
      <c r="C608" s="8"/>
      <c r="D608" s="8"/>
      <c r="E608" s="8"/>
      <c r="F608" s="8"/>
      <c r="G608" s="8"/>
      <c r="H608" s="8"/>
      <c r="I608" s="8"/>
      <c r="J608" s="8"/>
      <c r="K608" s="8"/>
      <c r="L608" s="8"/>
      <c r="M608" s="8"/>
      <c r="N608" s="8"/>
      <c r="O608" s="8"/>
      <c r="P608" s="8"/>
      <c r="Q608" s="8"/>
      <c r="R608" s="8"/>
      <c r="S608" s="8"/>
      <c r="T608" s="8"/>
      <c r="U608" s="12"/>
      <c r="V608" s="12"/>
      <c r="W608" s="12"/>
      <c r="X608" s="12"/>
      <c r="Y608" s="12"/>
      <c r="Z608" s="12"/>
      <c r="AA608" s="12"/>
      <c r="AB608" s="12"/>
      <c r="AC608" s="12"/>
      <c r="AD608" s="12"/>
      <c r="AE608" s="12"/>
      <c r="AF608" s="12"/>
    </row>
    <row r="609" spans="1:32">
      <c r="A609" s="8"/>
      <c r="B609" s="8"/>
      <c r="C609" s="8"/>
      <c r="D609" s="8"/>
      <c r="E609" s="8"/>
      <c r="F609" s="8"/>
      <c r="G609" s="8"/>
      <c r="H609" s="8"/>
      <c r="I609" s="8"/>
      <c r="J609" s="8"/>
      <c r="K609" s="8"/>
      <c r="L609" s="8"/>
      <c r="M609" s="8"/>
      <c r="N609" s="8"/>
      <c r="O609" s="8"/>
      <c r="P609" s="8"/>
      <c r="Q609" s="8"/>
      <c r="R609" s="8"/>
      <c r="S609" s="8"/>
      <c r="T609" s="8"/>
      <c r="U609" s="12"/>
      <c r="V609" s="12"/>
      <c r="W609" s="12"/>
      <c r="X609" s="12"/>
      <c r="Y609" s="12"/>
      <c r="Z609" s="12"/>
      <c r="AA609" s="12"/>
      <c r="AB609" s="12"/>
      <c r="AC609" s="12"/>
      <c r="AD609" s="12"/>
      <c r="AE609" s="12"/>
      <c r="AF609" s="12"/>
    </row>
    <row r="610" spans="1:32">
      <c r="A610" s="8"/>
      <c r="B610" s="8"/>
      <c r="C610" s="8"/>
      <c r="D610" s="8"/>
      <c r="E610" s="8"/>
      <c r="F610" s="8"/>
      <c r="G610" s="8"/>
      <c r="H610" s="8"/>
      <c r="I610" s="8"/>
      <c r="J610" s="8"/>
      <c r="K610" s="8"/>
      <c r="L610" s="8"/>
      <c r="M610" s="8"/>
      <c r="N610" s="8"/>
      <c r="O610" s="8"/>
      <c r="P610" s="8"/>
      <c r="Q610" s="8"/>
      <c r="R610" s="8"/>
      <c r="S610" s="8"/>
      <c r="T610" s="8"/>
      <c r="U610" s="12"/>
      <c r="V610" s="12"/>
      <c r="W610" s="12"/>
      <c r="X610" s="12"/>
      <c r="Y610" s="12"/>
      <c r="Z610" s="12"/>
      <c r="AA610" s="12"/>
      <c r="AB610" s="12"/>
      <c r="AC610" s="12"/>
      <c r="AD610" s="12"/>
      <c r="AE610" s="12"/>
      <c r="AF610" s="12"/>
    </row>
    <row r="611" spans="1:32">
      <c r="A611" s="8"/>
      <c r="B611" s="8"/>
      <c r="C611" s="8"/>
      <c r="D611" s="8"/>
      <c r="E611" s="8"/>
      <c r="F611" s="8"/>
      <c r="G611" s="8"/>
      <c r="H611" s="8"/>
      <c r="I611" s="8"/>
      <c r="J611" s="8"/>
      <c r="K611" s="8"/>
      <c r="L611" s="8"/>
      <c r="M611" s="8"/>
      <c r="N611" s="8"/>
      <c r="O611" s="8"/>
      <c r="P611" s="8"/>
      <c r="Q611" s="8"/>
      <c r="R611" s="8"/>
      <c r="S611" s="8"/>
      <c r="T611" s="8"/>
      <c r="U611" s="12"/>
      <c r="V611" s="12"/>
      <c r="W611" s="12"/>
      <c r="X611" s="12"/>
      <c r="Y611" s="12"/>
      <c r="Z611" s="12"/>
      <c r="AA611" s="12"/>
      <c r="AB611" s="12"/>
      <c r="AC611" s="12"/>
      <c r="AD611" s="12"/>
      <c r="AE611" s="12"/>
      <c r="AF611" s="12"/>
    </row>
    <row r="612" spans="1:32">
      <c r="A612" s="8"/>
      <c r="B612" s="8"/>
      <c r="C612" s="8"/>
      <c r="D612" s="8"/>
      <c r="E612" s="8"/>
      <c r="F612" s="8"/>
      <c r="G612" s="8"/>
      <c r="H612" s="8"/>
      <c r="I612" s="8"/>
      <c r="J612" s="8"/>
      <c r="K612" s="8"/>
      <c r="L612" s="8"/>
      <c r="M612" s="8"/>
      <c r="N612" s="8"/>
      <c r="O612" s="8"/>
      <c r="P612" s="8"/>
      <c r="Q612" s="8"/>
      <c r="R612" s="8"/>
      <c r="S612" s="8"/>
      <c r="T612" s="8"/>
      <c r="U612" s="12"/>
      <c r="V612" s="12"/>
      <c r="W612" s="12"/>
      <c r="X612" s="12"/>
      <c r="Y612" s="12"/>
      <c r="Z612" s="12"/>
      <c r="AA612" s="12"/>
      <c r="AB612" s="12"/>
      <c r="AC612" s="12"/>
      <c r="AD612" s="12"/>
      <c r="AE612" s="12"/>
      <c r="AF612" s="12"/>
    </row>
    <row r="613" spans="1:32">
      <c r="A613" s="8"/>
      <c r="B613" s="8"/>
      <c r="C613" s="8"/>
      <c r="D613" s="8"/>
      <c r="E613" s="8"/>
      <c r="F613" s="8"/>
      <c r="G613" s="8"/>
      <c r="H613" s="8"/>
      <c r="I613" s="8"/>
      <c r="J613" s="8"/>
      <c r="K613" s="8"/>
      <c r="L613" s="8"/>
      <c r="M613" s="8"/>
      <c r="N613" s="8"/>
      <c r="O613" s="8"/>
      <c r="P613" s="8"/>
      <c r="Q613" s="8"/>
      <c r="R613" s="8"/>
      <c r="S613" s="8"/>
      <c r="T613" s="8"/>
      <c r="U613" s="12"/>
      <c r="V613" s="12"/>
      <c r="W613" s="12"/>
      <c r="X613" s="12"/>
      <c r="Y613" s="12"/>
      <c r="Z613" s="12"/>
      <c r="AA613" s="12"/>
      <c r="AB613" s="12"/>
      <c r="AC613" s="12"/>
      <c r="AD613" s="12"/>
      <c r="AE613" s="12"/>
      <c r="AF613" s="12"/>
    </row>
    <row r="614" spans="1:32">
      <c r="A614" s="8"/>
      <c r="B614" s="8"/>
      <c r="C614" s="8"/>
      <c r="D614" s="8"/>
      <c r="E614" s="8"/>
      <c r="F614" s="8"/>
      <c r="G614" s="8"/>
      <c r="H614" s="8"/>
      <c r="I614" s="8"/>
      <c r="J614" s="8"/>
      <c r="K614" s="8"/>
      <c r="L614" s="8"/>
      <c r="M614" s="8"/>
      <c r="N614" s="8"/>
      <c r="O614" s="8"/>
      <c r="P614" s="8"/>
      <c r="Q614" s="8"/>
      <c r="R614" s="8"/>
      <c r="S614" s="8"/>
      <c r="T614" s="8"/>
      <c r="U614" s="12"/>
      <c r="V614" s="12"/>
      <c r="W614" s="12"/>
      <c r="X614" s="12"/>
      <c r="Y614" s="12"/>
      <c r="Z614" s="12"/>
      <c r="AA614" s="12"/>
      <c r="AB614" s="12"/>
      <c r="AC614" s="12"/>
      <c r="AD614" s="12"/>
      <c r="AE614" s="12"/>
      <c r="AF614" s="12"/>
    </row>
    <row r="615" spans="1:32">
      <c r="A615" s="8"/>
      <c r="B615" s="8"/>
      <c r="C615" s="8"/>
      <c r="D615" s="8"/>
      <c r="E615" s="8"/>
      <c r="F615" s="8"/>
      <c r="G615" s="8"/>
      <c r="H615" s="8"/>
      <c r="I615" s="8"/>
      <c r="J615" s="8"/>
      <c r="K615" s="8"/>
      <c r="L615" s="8"/>
      <c r="M615" s="8"/>
      <c r="N615" s="8"/>
      <c r="O615" s="8"/>
      <c r="P615" s="8"/>
      <c r="Q615" s="8"/>
      <c r="R615" s="8"/>
      <c r="S615" s="8"/>
      <c r="T615" s="8"/>
      <c r="U615" s="12"/>
      <c r="V615" s="12"/>
      <c r="W615" s="12"/>
      <c r="X615" s="12"/>
      <c r="Y615" s="12"/>
      <c r="Z615" s="12"/>
      <c r="AA615" s="12"/>
      <c r="AB615" s="12"/>
      <c r="AC615" s="12"/>
      <c r="AD615" s="12"/>
      <c r="AE615" s="12"/>
      <c r="AF615" s="12"/>
    </row>
    <row r="616" spans="1:32">
      <c r="A616" s="8"/>
      <c r="B616" s="8"/>
      <c r="C616" s="8"/>
      <c r="D616" s="8"/>
      <c r="E616" s="8"/>
      <c r="F616" s="8"/>
      <c r="G616" s="8"/>
      <c r="H616" s="8"/>
      <c r="I616" s="8"/>
      <c r="J616" s="8"/>
      <c r="K616" s="8"/>
      <c r="L616" s="8"/>
      <c r="M616" s="8"/>
      <c r="N616" s="8"/>
      <c r="O616" s="8"/>
      <c r="P616" s="8"/>
      <c r="Q616" s="8"/>
      <c r="R616" s="8"/>
      <c r="S616" s="8"/>
      <c r="T616" s="8"/>
      <c r="U616" s="12"/>
      <c r="V616" s="12"/>
      <c r="W616" s="12"/>
      <c r="X616" s="12"/>
      <c r="Y616" s="12"/>
      <c r="Z616" s="12"/>
      <c r="AA616" s="12"/>
      <c r="AB616" s="12"/>
      <c r="AC616" s="12"/>
      <c r="AD616" s="12"/>
      <c r="AE616" s="12"/>
      <c r="AF616" s="12"/>
    </row>
    <row r="617" spans="1:32">
      <c r="A617" s="8"/>
      <c r="B617" s="8"/>
      <c r="C617" s="8"/>
      <c r="D617" s="8"/>
      <c r="E617" s="8"/>
      <c r="F617" s="8"/>
      <c r="G617" s="8"/>
      <c r="H617" s="8"/>
      <c r="I617" s="8"/>
      <c r="J617" s="8"/>
      <c r="K617" s="8"/>
      <c r="L617" s="8"/>
      <c r="M617" s="8"/>
      <c r="N617" s="8"/>
      <c r="O617" s="8"/>
      <c r="P617" s="8"/>
      <c r="Q617" s="8"/>
      <c r="R617" s="8"/>
      <c r="S617" s="8"/>
      <c r="T617" s="8"/>
      <c r="U617" s="12"/>
      <c r="V617" s="12"/>
      <c r="W617" s="12"/>
      <c r="X617" s="12"/>
      <c r="Y617" s="12"/>
      <c r="Z617" s="12"/>
      <c r="AA617" s="12"/>
      <c r="AB617" s="12"/>
      <c r="AC617" s="12"/>
      <c r="AD617" s="12"/>
      <c r="AE617" s="12"/>
      <c r="AF617" s="12"/>
    </row>
    <row r="618" spans="1:32">
      <c r="A618" s="8"/>
      <c r="B618" s="8"/>
      <c r="C618" s="8"/>
      <c r="D618" s="8"/>
      <c r="E618" s="8"/>
      <c r="F618" s="8"/>
      <c r="G618" s="8"/>
      <c r="H618" s="8"/>
      <c r="I618" s="8"/>
      <c r="J618" s="8"/>
      <c r="K618" s="8"/>
      <c r="L618" s="8"/>
      <c r="M618" s="8"/>
      <c r="N618" s="8"/>
      <c r="O618" s="8"/>
      <c r="P618" s="8"/>
      <c r="Q618" s="8"/>
      <c r="R618" s="8"/>
      <c r="S618" s="8"/>
      <c r="T618" s="8"/>
      <c r="U618" s="12"/>
      <c r="V618" s="12"/>
      <c r="W618" s="12"/>
      <c r="X618" s="12"/>
      <c r="Y618" s="12"/>
      <c r="Z618" s="12"/>
      <c r="AA618" s="12"/>
      <c r="AB618" s="12"/>
      <c r="AC618" s="12"/>
      <c r="AD618" s="12"/>
      <c r="AE618" s="12"/>
      <c r="AF618" s="12"/>
    </row>
    <row r="619" spans="1:32">
      <c r="A619" s="8"/>
      <c r="B619" s="8"/>
      <c r="C619" s="8"/>
      <c r="D619" s="8"/>
      <c r="E619" s="8"/>
      <c r="F619" s="8"/>
      <c r="G619" s="8"/>
      <c r="H619" s="8"/>
      <c r="I619" s="8"/>
      <c r="J619" s="8"/>
      <c r="K619" s="8"/>
      <c r="L619" s="8"/>
      <c r="M619" s="8"/>
      <c r="N619" s="8"/>
      <c r="O619" s="8"/>
      <c r="P619" s="8"/>
      <c r="Q619" s="8"/>
      <c r="R619" s="8"/>
      <c r="S619" s="8"/>
      <c r="T619" s="8"/>
      <c r="U619" s="12"/>
      <c r="V619" s="12"/>
      <c r="W619" s="12"/>
      <c r="X619" s="12"/>
      <c r="Y619" s="12"/>
      <c r="Z619" s="12"/>
      <c r="AA619" s="12"/>
      <c r="AB619" s="12"/>
      <c r="AC619" s="12"/>
      <c r="AD619" s="12"/>
      <c r="AE619" s="12"/>
      <c r="AF619" s="12"/>
    </row>
    <row r="620" spans="1:32">
      <c r="A620" s="8"/>
      <c r="B620" s="8"/>
      <c r="C620" s="8"/>
      <c r="D620" s="8"/>
      <c r="E620" s="8"/>
      <c r="F620" s="8"/>
      <c r="G620" s="8"/>
      <c r="H620" s="8"/>
      <c r="I620" s="8"/>
      <c r="J620" s="8"/>
      <c r="K620" s="8"/>
      <c r="L620" s="8"/>
      <c r="M620" s="8"/>
      <c r="N620" s="8"/>
      <c r="O620" s="8"/>
      <c r="P620" s="8"/>
      <c r="Q620" s="8"/>
      <c r="R620" s="8"/>
      <c r="S620" s="8"/>
      <c r="T620" s="8"/>
      <c r="U620" s="12"/>
      <c r="V620" s="12"/>
      <c r="W620" s="12"/>
      <c r="X620" s="12"/>
      <c r="Y620" s="12"/>
      <c r="Z620" s="12"/>
      <c r="AA620" s="12"/>
      <c r="AB620" s="12"/>
      <c r="AC620" s="12"/>
      <c r="AD620" s="12"/>
      <c r="AE620" s="12"/>
      <c r="AF620" s="12"/>
    </row>
    <row r="621" spans="1:32">
      <c r="A621" s="8"/>
      <c r="B621" s="8"/>
      <c r="C621" s="8"/>
      <c r="D621" s="8"/>
      <c r="E621" s="8"/>
      <c r="F621" s="8"/>
      <c r="G621" s="8"/>
      <c r="H621" s="8"/>
      <c r="I621" s="8"/>
      <c r="J621" s="8"/>
      <c r="K621" s="8"/>
      <c r="L621" s="8"/>
      <c r="M621" s="8"/>
      <c r="N621" s="8"/>
      <c r="O621" s="8"/>
      <c r="P621" s="8"/>
      <c r="Q621" s="8"/>
      <c r="R621" s="8"/>
      <c r="S621" s="8"/>
      <c r="T621" s="8"/>
      <c r="U621" s="12"/>
      <c r="V621" s="12"/>
      <c r="W621" s="12"/>
      <c r="X621" s="12"/>
      <c r="Y621" s="12"/>
      <c r="Z621" s="12"/>
      <c r="AA621" s="12"/>
      <c r="AB621" s="12"/>
      <c r="AC621" s="12"/>
      <c r="AD621" s="12"/>
      <c r="AE621" s="12"/>
      <c r="AF621" s="12"/>
    </row>
    <row r="622" spans="1:32">
      <c r="A622" s="8"/>
      <c r="B622" s="8"/>
      <c r="C622" s="8"/>
      <c r="D622" s="8"/>
      <c r="E622" s="8"/>
      <c r="F622" s="8"/>
      <c r="G622" s="8"/>
      <c r="H622" s="8"/>
      <c r="I622" s="8"/>
      <c r="J622" s="8"/>
      <c r="K622" s="8"/>
      <c r="L622" s="8"/>
      <c r="M622" s="8"/>
      <c r="N622" s="8"/>
      <c r="O622" s="8"/>
      <c r="P622" s="8"/>
      <c r="Q622" s="8"/>
      <c r="R622" s="8"/>
      <c r="S622" s="8"/>
      <c r="T622" s="8"/>
      <c r="U622" s="12"/>
      <c r="V622" s="12"/>
      <c r="W622" s="12"/>
      <c r="X622" s="12"/>
      <c r="Y622" s="12"/>
      <c r="Z622" s="12"/>
      <c r="AA622" s="12"/>
      <c r="AB622" s="12"/>
      <c r="AC622" s="12"/>
      <c r="AD622" s="12"/>
      <c r="AE622" s="12"/>
      <c r="AF622" s="12"/>
    </row>
    <row r="623" spans="1:32">
      <c r="A623" s="8"/>
      <c r="B623" s="8"/>
      <c r="C623" s="8"/>
      <c r="D623" s="8"/>
      <c r="E623" s="8"/>
      <c r="F623" s="8"/>
      <c r="G623" s="8"/>
      <c r="H623" s="8"/>
      <c r="I623" s="8"/>
      <c r="J623" s="8"/>
      <c r="K623" s="8"/>
      <c r="L623" s="8"/>
      <c r="M623" s="8"/>
      <c r="N623" s="8"/>
      <c r="O623" s="8"/>
      <c r="P623" s="8"/>
      <c r="Q623" s="8"/>
      <c r="R623" s="8"/>
      <c r="S623" s="8"/>
      <c r="T623" s="8"/>
      <c r="U623" s="12"/>
      <c r="V623" s="12"/>
      <c r="W623" s="12"/>
      <c r="X623" s="12"/>
      <c r="Y623" s="12"/>
      <c r="Z623" s="12"/>
      <c r="AA623" s="12"/>
      <c r="AB623" s="12"/>
      <c r="AC623" s="12"/>
      <c r="AD623" s="12"/>
      <c r="AE623" s="12"/>
      <c r="AF623" s="12"/>
    </row>
    <row r="624" spans="1:32">
      <c r="A624" s="8"/>
      <c r="B624" s="8"/>
      <c r="C624" s="8"/>
      <c r="D624" s="8"/>
      <c r="E624" s="8"/>
      <c r="F624" s="8"/>
      <c r="G624" s="8"/>
      <c r="H624" s="8"/>
      <c r="I624" s="8"/>
      <c r="J624" s="8"/>
      <c r="K624" s="8"/>
      <c r="L624" s="8"/>
      <c r="M624" s="8"/>
      <c r="N624" s="8"/>
      <c r="O624" s="8"/>
      <c r="P624" s="8"/>
      <c r="Q624" s="8"/>
      <c r="R624" s="8"/>
      <c r="S624" s="8"/>
      <c r="T624" s="8"/>
      <c r="U624" s="12"/>
      <c r="V624" s="12"/>
      <c r="W624" s="12"/>
      <c r="X624" s="12"/>
      <c r="Y624" s="12"/>
      <c r="Z624" s="12"/>
      <c r="AA624" s="12"/>
      <c r="AB624" s="12"/>
      <c r="AC624" s="12"/>
      <c r="AD624" s="12"/>
      <c r="AE624" s="12"/>
      <c r="AF624" s="12"/>
    </row>
    <row r="625" spans="1:32">
      <c r="A625" s="8"/>
      <c r="B625" s="8"/>
      <c r="C625" s="8"/>
      <c r="D625" s="8"/>
      <c r="E625" s="8"/>
      <c r="F625" s="8"/>
      <c r="G625" s="8"/>
      <c r="H625" s="8"/>
      <c r="I625" s="8"/>
      <c r="J625" s="8"/>
      <c r="K625" s="8"/>
      <c r="L625" s="8"/>
      <c r="M625" s="8"/>
      <c r="N625" s="8"/>
      <c r="O625" s="8"/>
      <c r="P625" s="8"/>
      <c r="Q625" s="8"/>
      <c r="R625" s="8"/>
      <c r="S625" s="8"/>
      <c r="T625" s="8"/>
      <c r="U625" s="12"/>
      <c r="V625" s="12"/>
      <c r="W625" s="12"/>
      <c r="X625" s="12"/>
      <c r="Y625" s="12"/>
      <c r="Z625" s="12"/>
      <c r="AA625" s="12"/>
      <c r="AB625" s="12"/>
      <c r="AC625" s="12"/>
      <c r="AD625" s="12"/>
      <c r="AE625" s="12"/>
      <c r="AF625" s="12"/>
    </row>
    <row r="626" spans="1:32">
      <c r="A626" s="8"/>
      <c r="B626" s="8"/>
      <c r="C626" s="8"/>
      <c r="D626" s="8"/>
      <c r="E626" s="8"/>
      <c r="F626" s="8"/>
      <c r="G626" s="8"/>
      <c r="H626" s="8"/>
      <c r="I626" s="8"/>
      <c r="J626" s="8"/>
      <c r="K626" s="8"/>
      <c r="L626" s="8"/>
      <c r="M626" s="8"/>
      <c r="N626" s="8"/>
      <c r="O626" s="8"/>
      <c r="P626" s="8"/>
      <c r="Q626" s="8"/>
      <c r="R626" s="8"/>
      <c r="S626" s="8"/>
      <c r="T626" s="8"/>
      <c r="U626" s="12"/>
      <c r="V626" s="12"/>
      <c r="W626" s="12"/>
      <c r="X626" s="12"/>
      <c r="Y626" s="12"/>
      <c r="Z626" s="12"/>
      <c r="AA626" s="12"/>
      <c r="AB626" s="12"/>
      <c r="AC626" s="12"/>
      <c r="AD626" s="12"/>
      <c r="AE626" s="12"/>
      <c r="AF626" s="12"/>
    </row>
    <row r="627" spans="1:32">
      <c r="A627" s="8"/>
      <c r="B627" s="8"/>
      <c r="C627" s="8"/>
      <c r="D627" s="8"/>
      <c r="E627" s="8"/>
      <c r="F627" s="8"/>
      <c r="G627" s="8"/>
      <c r="H627" s="8"/>
      <c r="I627" s="8"/>
      <c r="J627" s="8"/>
      <c r="K627" s="8"/>
      <c r="L627" s="8"/>
      <c r="M627" s="8"/>
      <c r="N627" s="8"/>
      <c r="O627" s="8"/>
      <c r="P627" s="8"/>
      <c r="Q627" s="8"/>
      <c r="R627" s="8"/>
      <c r="S627" s="8"/>
      <c r="T627" s="8"/>
      <c r="U627" s="12"/>
      <c r="V627" s="12"/>
      <c r="W627" s="12"/>
      <c r="X627" s="12"/>
      <c r="Y627" s="12"/>
      <c r="Z627" s="12"/>
      <c r="AA627" s="12"/>
      <c r="AB627" s="12"/>
      <c r="AC627" s="12"/>
      <c r="AD627" s="12"/>
      <c r="AE627" s="12"/>
      <c r="AF627" s="12"/>
    </row>
    <row r="628" spans="1:32">
      <c r="A628" s="8"/>
      <c r="B628" s="8"/>
      <c r="C628" s="8"/>
      <c r="D628" s="8"/>
      <c r="E628" s="8"/>
      <c r="F628" s="8"/>
      <c r="G628" s="8"/>
      <c r="H628" s="8"/>
      <c r="I628" s="8"/>
      <c r="J628" s="8"/>
      <c r="K628" s="8"/>
      <c r="L628" s="8"/>
      <c r="M628" s="8"/>
      <c r="N628" s="8"/>
      <c r="O628" s="8"/>
      <c r="P628" s="8"/>
      <c r="Q628" s="8"/>
      <c r="R628" s="8"/>
      <c r="S628" s="8"/>
      <c r="T628" s="8"/>
      <c r="U628" s="12"/>
      <c r="V628" s="12"/>
      <c r="W628" s="12"/>
      <c r="X628" s="12"/>
      <c r="Y628" s="12"/>
      <c r="Z628" s="12"/>
      <c r="AA628" s="12"/>
      <c r="AB628" s="12"/>
      <c r="AC628" s="12"/>
      <c r="AD628" s="12"/>
      <c r="AE628" s="12"/>
      <c r="AF628" s="12"/>
    </row>
    <row r="629" spans="1:32">
      <c r="A629" s="8"/>
      <c r="B629" s="8"/>
      <c r="C629" s="8"/>
      <c r="D629" s="8"/>
      <c r="E629" s="8"/>
      <c r="F629" s="8"/>
      <c r="G629" s="8"/>
      <c r="H629" s="8"/>
      <c r="I629" s="8"/>
      <c r="J629" s="8"/>
      <c r="K629" s="8"/>
      <c r="L629" s="8"/>
      <c r="M629" s="8"/>
      <c r="N629" s="8"/>
      <c r="O629" s="8"/>
      <c r="P629" s="8"/>
      <c r="Q629" s="8"/>
      <c r="R629" s="8"/>
      <c r="S629" s="8"/>
      <c r="T629" s="8"/>
      <c r="U629" s="12"/>
      <c r="V629" s="12"/>
      <c r="W629" s="12"/>
      <c r="X629" s="12"/>
      <c r="Y629" s="12"/>
      <c r="Z629" s="12"/>
      <c r="AA629" s="12"/>
      <c r="AB629" s="12"/>
      <c r="AC629" s="12"/>
      <c r="AD629" s="12"/>
      <c r="AE629" s="12"/>
      <c r="AF629" s="12"/>
    </row>
    <row r="630" spans="1:32">
      <c r="A630" s="8"/>
      <c r="B630" s="8"/>
      <c r="C630" s="8"/>
      <c r="D630" s="8"/>
      <c r="E630" s="8"/>
      <c r="F630" s="8"/>
      <c r="G630" s="8"/>
      <c r="H630" s="8"/>
      <c r="I630" s="8"/>
      <c r="J630" s="8"/>
      <c r="K630" s="8"/>
      <c r="L630" s="8"/>
      <c r="M630" s="8"/>
      <c r="N630" s="8"/>
      <c r="O630" s="8"/>
      <c r="P630" s="8"/>
      <c r="Q630" s="8"/>
      <c r="R630" s="8"/>
      <c r="S630" s="8"/>
      <c r="T630" s="8"/>
      <c r="U630" s="12"/>
      <c r="V630" s="12"/>
      <c r="W630" s="12"/>
      <c r="X630" s="12"/>
      <c r="Y630" s="12"/>
      <c r="Z630" s="12"/>
      <c r="AA630" s="12"/>
      <c r="AB630" s="12"/>
      <c r="AC630" s="12"/>
      <c r="AD630" s="12"/>
      <c r="AE630" s="12"/>
      <c r="AF630" s="12"/>
    </row>
    <row r="631" spans="1:32">
      <c r="A631" s="8"/>
      <c r="B631" s="8"/>
      <c r="C631" s="8"/>
      <c r="D631" s="8"/>
      <c r="E631" s="8"/>
      <c r="F631" s="8"/>
      <c r="G631" s="8"/>
      <c r="H631" s="8"/>
      <c r="I631" s="8"/>
      <c r="J631" s="8"/>
      <c r="K631" s="8"/>
      <c r="L631" s="8"/>
      <c r="M631" s="8"/>
      <c r="N631" s="8"/>
      <c r="O631" s="8"/>
      <c r="P631" s="8"/>
      <c r="Q631" s="8"/>
      <c r="R631" s="8"/>
      <c r="S631" s="8"/>
      <c r="T631" s="8"/>
      <c r="U631" s="12"/>
      <c r="V631" s="12"/>
      <c r="W631" s="12"/>
      <c r="X631" s="12"/>
      <c r="Y631" s="12"/>
      <c r="Z631" s="12"/>
      <c r="AA631" s="12"/>
      <c r="AB631" s="12"/>
      <c r="AC631" s="12"/>
      <c r="AD631" s="12"/>
      <c r="AE631" s="12"/>
      <c r="AF631" s="12"/>
    </row>
    <row r="632" spans="1:32">
      <c r="A632" s="8"/>
      <c r="B632" s="8"/>
      <c r="C632" s="8"/>
      <c r="D632" s="8"/>
      <c r="E632" s="8"/>
      <c r="F632" s="8"/>
      <c r="G632" s="8"/>
      <c r="H632" s="8"/>
      <c r="I632" s="8"/>
      <c r="J632" s="8"/>
      <c r="K632" s="8"/>
      <c r="L632" s="8"/>
      <c r="M632" s="8"/>
      <c r="N632" s="8"/>
      <c r="O632" s="8"/>
      <c r="P632" s="8"/>
      <c r="Q632" s="8"/>
      <c r="R632" s="8"/>
      <c r="S632" s="8"/>
      <c r="T632" s="8"/>
      <c r="U632" s="12"/>
      <c r="V632" s="12"/>
      <c r="W632" s="12"/>
      <c r="X632" s="12"/>
      <c r="Y632" s="12"/>
      <c r="Z632" s="12"/>
      <c r="AA632" s="12"/>
      <c r="AB632" s="12"/>
      <c r="AC632" s="12"/>
      <c r="AD632" s="12"/>
      <c r="AE632" s="12"/>
      <c r="AF632" s="12"/>
    </row>
    <row r="633" spans="1:32">
      <c r="A633" s="8"/>
      <c r="B633" s="8"/>
      <c r="C633" s="8"/>
      <c r="D633" s="8"/>
      <c r="E633" s="8"/>
      <c r="F633" s="8"/>
      <c r="G633" s="8"/>
      <c r="H633" s="8"/>
      <c r="I633" s="8"/>
      <c r="J633" s="8"/>
      <c r="K633" s="8"/>
      <c r="L633" s="8"/>
      <c r="M633" s="8"/>
      <c r="N633" s="8"/>
      <c r="O633" s="8"/>
      <c r="P633" s="8"/>
      <c r="Q633" s="8"/>
      <c r="R633" s="8"/>
      <c r="S633" s="8"/>
      <c r="T633" s="8"/>
      <c r="U633" s="12"/>
      <c r="V633" s="12"/>
      <c r="W633" s="12"/>
      <c r="X633" s="12"/>
      <c r="Y633" s="12"/>
      <c r="Z633" s="12"/>
      <c r="AA633" s="12"/>
      <c r="AB633" s="12"/>
      <c r="AC633" s="12"/>
      <c r="AD633" s="12"/>
      <c r="AE633" s="12"/>
      <c r="AF633" s="12"/>
    </row>
    <row r="634" spans="1:32">
      <c r="A634" s="8"/>
      <c r="B634" s="8"/>
      <c r="C634" s="8"/>
      <c r="D634" s="8"/>
      <c r="E634" s="8"/>
      <c r="F634" s="8"/>
      <c r="G634" s="8"/>
      <c r="H634" s="8"/>
      <c r="I634" s="8"/>
      <c r="J634" s="8"/>
      <c r="K634" s="8"/>
      <c r="L634" s="8"/>
      <c r="M634" s="8"/>
      <c r="N634" s="8"/>
      <c r="O634" s="8"/>
      <c r="P634" s="8"/>
      <c r="Q634" s="8"/>
      <c r="R634" s="8"/>
      <c r="S634" s="8"/>
      <c r="T634" s="8"/>
      <c r="U634" s="12"/>
      <c r="V634" s="12"/>
      <c r="W634" s="12"/>
      <c r="X634" s="12"/>
      <c r="Y634" s="12"/>
      <c r="Z634" s="12"/>
      <c r="AA634" s="12"/>
      <c r="AB634" s="12"/>
      <c r="AC634" s="12"/>
      <c r="AD634" s="12"/>
      <c r="AE634" s="12"/>
      <c r="AF634" s="12"/>
    </row>
    <row r="635" spans="1:32">
      <c r="A635" s="8"/>
      <c r="B635" s="8"/>
      <c r="C635" s="8"/>
      <c r="D635" s="8"/>
      <c r="E635" s="8"/>
      <c r="F635" s="8"/>
      <c r="G635" s="8"/>
      <c r="H635" s="8"/>
      <c r="I635" s="8"/>
      <c r="J635" s="8"/>
      <c r="K635" s="8"/>
      <c r="L635" s="8"/>
      <c r="M635" s="8"/>
      <c r="N635" s="8"/>
      <c r="O635" s="8"/>
      <c r="P635" s="8"/>
      <c r="Q635" s="8"/>
      <c r="R635" s="8"/>
      <c r="S635" s="8"/>
      <c r="T635" s="8"/>
      <c r="U635" s="12"/>
      <c r="V635" s="12"/>
      <c r="W635" s="12"/>
      <c r="X635" s="12"/>
      <c r="Y635" s="12"/>
      <c r="Z635" s="12"/>
      <c r="AA635" s="12"/>
      <c r="AB635" s="12"/>
      <c r="AC635" s="12"/>
      <c r="AD635" s="12"/>
      <c r="AE635" s="12"/>
      <c r="AF635" s="12"/>
    </row>
    <row r="636" spans="1:32">
      <c r="A636" s="8"/>
      <c r="B636" s="8"/>
      <c r="C636" s="8"/>
      <c r="D636" s="8"/>
      <c r="E636" s="8"/>
      <c r="F636" s="8"/>
      <c r="G636" s="8"/>
      <c r="H636" s="8"/>
      <c r="I636" s="8"/>
      <c r="J636" s="8"/>
      <c r="K636" s="8"/>
      <c r="L636" s="8"/>
      <c r="M636" s="8"/>
      <c r="N636" s="8"/>
      <c r="O636" s="8"/>
      <c r="P636" s="8"/>
      <c r="Q636" s="8"/>
      <c r="R636" s="8"/>
      <c r="S636" s="8"/>
      <c r="T636" s="8"/>
      <c r="U636" s="12"/>
      <c r="V636" s="12"/>
      <c r="W636" s="12"/>
      <c r="X636" s="12"/>
      <c r="Y636" s="12"/>
      <c r="Z636" s="12"/>
      <c r="AA636" s="12"/>
      <c r="AB636" s="12"/>
      <c r="AC636" s="12"/>
      <c r="AD636" s="12"/>
      <c r="AE636" s="12"/>
      <c r="AF636" s="12"/>
    </row>
    <row r="637" spans="1:32">
      <c r="A637" s="8"/>
      <c r="B637" s="8"/>
      <c r="C637" s="8"/>
      <c r="D637" s="8"/>
      <c r="E637" s="8"/>
      <c r="F637" s="8"/>
      <c r="G637" s="8"/>
      <c r="H637" s="8"/>
      <c r="I637" s="8"/>
      <c r="J637" s="8"/>
      <c r="K637" s="8"/>
      <c r="L637" s="8"/>
      <c r="M637" s="8"/>
      <c r="N637" s="8"/>
      <c r="O637" s="8"/>
      <c r="P637" s="8"/>
      <c r="Q637" s="8"/>
      <c r="R637" s="8"/>
      <c r="S637" s="8"/>
      <c r="T637" s="8"/>
      <c r="U637" s="12"/>
      <c r="V637" s="12"/>
      <c r="W637" s="12"/>
      <c r="X637" s="12"/>
      <c r="Y637" s="12"/>
      <c r="Z637" s="12"/>
      <c r="AA637" s="12"/>
      <c r="AB637" s="12"/>
      <c r="AC637" s="12"/>
      <c r="AD637" s="12"/>
      <c r="AE637" s="12"/>
      <c r="AF637" s="12"/>
    </row>
    <row r="638" spans="1:32">
      <c r="A638" s="8"/>
      <c r="B638" s="8"/>
      <c r="C638" s="8"/>
      <c r="D638" s="8"/>
      <c r="E638" s="8"/>
      <c r="F638" s="8"/>
      <c r="G638" s="8"/>
      <c r="H638" s="8"/>
      <c r="I638" s="8"/>
      <c r="J638" s="8"/>
      <c r="K638" s="8"/>
      <c r="L638" s="8"/>
      <c r="M638" s="8"/>
      <c r="N638" s="8"/>
      <c r="O638" s="8"/>
      <c r="P638" s="8"/>
      <c r="Q638" s="8"/>
      <c r="R638" s="8"/>
      <c r="S638" s="8"/>
      <c r="T638" s="8"/>
      <c r="U638" s="12"/>
      <c r="V638" s="12"/>
      <c r="W638" s="12"/>
      <c r="X638" s="12"/>
      <c r="Y638" s="12"/>
      <c r="Z638" s="12"/>
      <c r="AA638" s="12"/>
      <c r="AB638" s="12"/>
      <c r="AC638" s="12"/>
      <c r="AD638" s="12"/>
      <c r="AE638" s="12"/>
      <c r="AF638" s="12"/>
    </row>
    <row r="639" spans="1:32">
      <c r="A639" s="8"/>
      <c r="B639" s="8"/>
      <c r="C639" s="8"/>
      <c r="D639" s="8"/>
      <c r="E639" s="8"/>
      <c r="F639" s="8"/>
      <c r="G639" s="8"/>
      <c r="H639" s="8"/>
      <c r="I639" s="8"/>
      <c r="J639" s="8"/>
      <c r="K639" s="8"/>
      <c r="L639" s="8"/>
      <c r="M639" s="8"/>
      <c r="N639" s="8"/>
      <c r="O639" s="8"/>
      <c r="P639" s="8"/>
      <c r="Q639" s="8"/>
      <c r="R639" s="8"/>
      <c r="S639" s="8"/>
      <c r="T639" s="8"/>
      <c r="U639" s="12"/>
      <c r="V639" s="12"/>
      <c r="W639" s="12"/>
      <c r="X639" s="12"/>
      <c r="Y639" s="12"/>
      <c r="Z639" s="12"/>
      <c r="AA639" s="12"/>
      <c r="AB639" s="12"/>
      <c r="AC639" s="12"/>
      <c r="AD639" s="12"/>
      <c r="AE639" s="12"/>
      <c r="AF639" s="12"/>
    </row>
    <row r="640" spans="1:32">
      <c r="A640" s="8"/>
      <c r="B640" s="8"/>
      <c r="C640" s="8"/>
      <c r="D640" s="8"/>
      <c r="E640" s="8"/>
      <c r="F640" s="8"/>
      <c r="G640" s="8"/>
      <c r="H640" s="8"/>
      <c r="I640" s="8"/>
      <c r="J640" s="8"/>
      <c r="K640" s="8"/>
      <c r="L640" s="8"/>
      <c r="M640" s="8"/>
      <c r="N640" s="8"/>
      <c r="O640" s="8"/>
      <c r="P640" s="8"/>
      <c r="Q640" s="8"/>
      <c r="R640" s="8"/>
      <c r="S640" s="8"/>
      <c r="T640" s="8"/>
      <c r="U640" s="12"/>
      <c r="V640" s="12"/>
      <c r="W640" s="12"/>
      <c r="X640" s="12"/>
      <c r="Y640" s="12"/>
      <c r="Z640" s="12"/>
      <c r="AA640" s="12"/>
      <c r="AB640" s="12"/>
      <c r="AC640" s="12"/>
      <c r="AD640" s="12"/>
      <c r="AE640" s="12"/>
      <c r="AF640" s="12"/>
    </row>
    <row r="641" spans="1:32">
      <c r="A641" s="8"/>
      <c r="B641" s="8"/>
      <c r="C641" s="8"/>
      <c r="D641" s="8"/>
      <c r="E641" s="8"/>
      <c r="F641" s="8"/>
      <c r="G641" s="8"/>
      <c r="H641" s="8"/>
      <c r="I641" s="8"/>
      <c r="J641" s="8"/>
      <c r="K641" s="8"/>
      <c r="L641" s="8"/>
      <c r="M641" s="8"/>
      <c r="N641" s="8"/>
      <c r="O641" s="8"/>
      <c r="P641" s="8"/>
      <c r="Q641" s="8"/>
      <c r="R641" s="8"/>
      <c r="S641" s="8"/>
      <c r="T641" s="8"/>
      <c r="U641" s="12"/>
      <c r="V641" s="12"/>
      <c r="W641" s="12"/>
      <c r="X641" s="12"/>
      <c r="Y641" s="12"/>
      <c r="Z641" s="12"/>
      <c r="AA641" s="12"/>
      <c r="AB641" s="12"/>
      <c r="AC641" s="12"/>
      <c r="AD641" s="12"/>
      <c r="AE641" s="12"/>
      <c r="AF641" s="12"/>
    </row>
    <row r="642" spans="1:32">
      <c r="A642" s="8"/>
      <c r="B642" s="8"/>
      <c r="C642" s="8"/>
      <c r="D642" s="8"/>
      <c r="E642" s="8"/>
      <c r="F642" s="8"/>
      <c r="G642" s="8"/>
      <c r="H642" s="8"/>
      <c r="I642" s="8"/>
      <c r="J642" s="8"/>
      <c r="K642" s="8"/>
      <c r="L642" s="8"/>
      <c r="M642" s="8"/>
      <c r="N642" s="8"/>
      <c r="O642" s="8"/>
      <c r="P642" s="8"/>
      <c r="Q642" s="8"/>
      <c r="R642" s="8"/>
      <c r="S642" s="8"/>
      <c r="T642" s="8"/>
      <c r="U642" s="12"/>
      <c r="V642" s="12"/>
      <c r="W642" s="12"/>
      <c r="X642" s="12"/>
      <c r="Y642" s="12"/>
      <c r="Z642" s="12"/>
      <c r="AA642" s="12"/>
      <c r="AB642" s="12"/>
      <c r="AC642" s="12"/>
      <c r="AD642" s="12"/>
      <c r="AE642" s="12"/>
      <c r="AF642" s="12"/>
    </row>
    <row r="643" spans="1:32">
      <c r="A643" s="8"/>
      <c r="B643" s="8"/>
      <c r="C643" s="8"/>
      <c r="D643" s="8"/>
      <c r="E643" s="8"/>
      <c r="F643" s="8"/>
      <c r="G643" s="8"/>
      <c r="H643" s="8"/>
      <c r="I643" s="8"/>
      <c r="J643" s="8"/>
      <c r="K643" s="8"/>
      <c r="L643" s="8"/>
      <c r="M643" s="8"/>
      <c r="N643" s="8"/>
      <c r="O643" s="8"/>
      <c r="P643" s="8"/>
      <c r="Q643" s="8"/>
      <c r="R643" s="8"/>
      <c r="S643" s="8"/>
      <c r="T643" s="8"/>
      <c r="U643" s="12"/>
      <c r="V643" s="12"/>
      <c r="W643" s="12"/>
      <c r="X643" s="12"/>
      <c r="Y643" s="12"/>
      <c r="Z643" s="12"/>
      <c r="AA643" s="12"/>
      <c r="AB643" s="12"/>
      <c r="AC643" s="12"/>
      <c r="AD643" s="12"/>
      <c r="AE643" s="12"/>
      <c r="AF643" s="12"/>
    </row>
    <row r="644" spans="1:32">
      <c r="A644" s="8"/>
      <c r="B644" s="8"/>
      <c r="C644" s="8"/>
      <c r="D644" s="8"/>
      <c r="E644" s="8"/>
      <c r="F644" s="8"/>
      <c r="G644" s="8"/>
      <c r="H644" s="8"/>
      <c r="I644" s="8"/>
      <c r="J644" s="8"/>
      <c r="K644" s="8"/>
      <c r="L644" s="8"/>
      <c r="M644" s="8"/>
      <c r="N644" s="8"/>
      <c r="O644" s="8"/>
      <c r="P644" s="8"/>
      <c r="Q644" s="8"/>
      <c r="R644" s="8"/>
      <c r="S644" s="8"/>
      <c r="T644" s="8"/>
      <c r="U644" s="12"/>
      <c r="V644" s="12"/>
      <c r="W644" s="12"/>
      <c r="X644" s="12"/>
      <c r="Y644" s="12"/>
      <c r="Z644" s="12"/>
      <c r="AA644" s="12"/>
      <c r="AB644" s="12"/>
      <c r="AC644" s="12"/>
      <c r="AD644" s="12"/>
      <c r="AE644" s="12"/>
      <c r="AF644" s="12"/>
    </row>
    <row r="645" spans="1:32">
      <c r="A645" s="8"/>
      <c r="B645" s="8"/>
      <c r="C645" s="8"/>
      <c r="D645" s="8"/>
      <c r="E645" s="8"/>
      <c r="F645" s="8"/>
      <c r="G645" s="8"/>
      <c r="H645" s="8"/>
      <c r="I645" s="8"/>
      <c r="J645" s="8"/>
      <c r="K645" s="8"/>
      <c r="L645" s="8"/>
      <c r="M645" s="8"/>
      <c r="N645" s="8"/>
      <c r="O645" s="8"/>
      <c r="P645" s="8"/>
      <c r="Q645" s="8"/>
      <c r="R645" s="8"/>
      <c r="S645" s="8"/>
      <c r="T645" s="8"/>
      <c r="U645" s="12"/>
      <c r="V645" s="12"/>
      <c r="W645" s="12"/>
      <c r="X645" s="12"/>
      <c r="Y645" s="12"/>
      <c r="Z645" s="12"/>
      <c r="AA645" s="12"/>
      <c r="AB645" s="12"/>
      <c r="AC645" s="12"/>
      <c r="AD645" s="12"/>
      <c r="AE645" s="12"/>
      <c r="AF645" s="12"/>
    </row>
    <row r="646" spans="1:32">
      <c r="A646" s="8"/>
      <c r="B646" s="8"/>
      <c r="C646" s="8"/>
      <c r="D646" s="8"/>
      <c r="E646" s="8"/>
      <c r="F646" s="8"/>
      <c r="G646" s="8"/>
      <c r="H646" s="8"/>
      <c r="I646" s="8"/>
      <c r="J646" s="8"/>
      <c r="K646" s="8"/>
      <c r="L646" s="8"/>
      <c r="M646" s="8"/>
      <c r="N646" s="8"/>
      <c r="O646" s="8"/>
      <c r="P646" s="8"/>
      <c r="Q646" s="8"/>
      <c r="R646" s="8"/>
      <c r="S646" s="8"/>
      <c r="T646" s="8"/>
      <c r="U646" s="12"/>
      <c r="V646" s="12"/>
      <c r="W646" s="12"/>
      <c r="X646" s="12"/>
      <c r="Y646" s="12"/>
      <c r="Z646" s="12"/>
      <c r="AA646" s="12"/>
      <c r="AB646" s="12"/>
      <c r="AC646" s="12"/>
      <c r="AD646" s="12"/>
      <c r="AE646" s="12"/>
      <c r="AF646" s="12"/>
    </row>
    <row r="647" spans="1:32">
      <c r="A647" s="8"/>
      <c r="B647" s="8"/>
      <c r="C647" s="8"/>
      <c r="D647" s="8"/>
      <c r="E647" s="8"/>
      <c r="F647" s="8"/>
      <c r="G647" s="8"/>
      <c r="H647" s="8"/>
      <c r="I647" s="8"/>
      <c r="J647" s="8"/>
      <c r="K647" s="8"/>
      <c r="L647" s="8"/>
      <c r="M647" s="8"/>
      <c r="N647" s="8"/>
      <c r="O647" s="8"/>
      <c r="P647" s="8"/>
      <c r="Q647" s="8"/>
      <c r="R647" s="8"/>
      <c r="S647" s="8"/>
      <c r="T647" s="8"/>
      <c r="U647" s="12"/>
      <c r="V647" s="12"/>
      <c r="W647" s="12"/>
      <c r="X647" s="12"/>
      <c r="Y647" s="12"/>
      <c r="Z647" s="12"/>
      <c r="AA647" s="12"/>
      <c r="AB647" s="12"/>
      <c r="AC647" s="12"/>
      <c r="AD647" s="12"/>
      <c r="AE647" s="12"/>
      <c r="AF647" s="12"/>
    </row>
    <row r="648" spans="1:32">
      <c r="A648" s="8"/>
      <c r="B648" s="8"/>
      <c r="C648" s="8"/>
      <c r="D648" s="8"/>
      <c r="E648" s="8"/>
      <c r="F648" s="8"/>
      <c r="G648" s="8"/>
      <c r="H648" s="8"/>
      <c r="I648" s="8"/>
      <c r="J648" s="8"/>
      <c r="K648" s="8"/>
      <c r="L648" s="8"/>
      <c r="M648" s="8"/>
      <c r="N648" s="8"/>
      <c r="O648" s="8"/>
      <c r="P648" s="8"/>
      <c r="Q648" s="8"/>
      <c r="R648" s="8"/>
      <c r="S648" s="8"/>
      <c r="T648" s="8"/>
      <c r="U648" s="12"/>
      <c r="V648" s="12"/>
      <c r="W648" s="12"/>
      <c r="X648" s="12"/>
      <c r="Y648" s="12"/>
      <c r="Z648" s="12"/>
      <c r="AA648" s="12"/>
      <c r="AB648" s="12"/>
      <c r="AC648" s="12"/>
      <c r="AD648" s="12"/>
      <c r="AE648" s="12"/>
      <c r="AF648" s="12"/>
    </row>
    <row r="649" spans="1:32">
      <c r="A649" s="8"/>
      <c r="B649" s="8"/>
      <c r="C649" s="8"/>
      <c r="D649" s="8"/>
      <c r="E649" s="8"/>
      <c r="F649" s="8"/>
      <c r="G649" s="8"/>
      <c r="H649" s="8"/>
      <c r="I649" s="8"/>
      <c r="J649" s="8"/>
      <c r="K649" s="8"/>
      <c r="L649" s="8"/>
      <c r="M649" s="8"/>
      <c r="N649" s="8"/>
      <c r="O649" s="8"/>
      <c r="P649" s="8"/>
      <c r="Q649" s="8"/>
      <c r="R649" s="8"/>
      <c r="S649" s="8"/>
      <c r="T649" s="8"/>
      <c r="U649" s="12"/>
      <c r="V649" s="12"/>
      <c r="W649" s="12"/>
      <c r="X649" s="12"/>
      <c r="Y649" s="12"/>
      <c r="Z649" s="12"/>
      <c r="AA649" s="12"/>
      <c r="AB649" s="12"/>
      <c r="AC649" s="12"/>
      <c r="AD649" s="12"/>
      <c r="AE649" s="12"/>
      <c r="AF649" s="12"/>
    </row>
    <row r="650" spans="1:32">
      <c r="A650" s="8"/>
      <c r="B650" s="8"/>
      <c r="C650" s="8"/>
      <c r="D650" s="8"/>
      <c r="E650" s="8"/>
      <c r="F650" s="8"/>
      <c r="G650" s="8"/>
      <c r="H650" s="8"/>
      <c r="I650" s="8"/>
      <c r="J650" s="8"/>
      <c r="K650" s="8"/>
      <c r="L650" s="8"/>
      <c r="M650" s="8"/>
      <c r="N650" s="8"/>
      <c r="O650" s="8"/>
      <c r="P650" s="8"/>
      <c r="Q650" s="8"/>
      <c r="R650" s="8"/>
      <c r="S650" s="8"/>
      <c r="T650" s="8"/>
      <c r="U650" s="12"/>
      <c r="V650" s="12"/>
      <c r="W650" s="12"/>
      <c r="X650" s="12"/>
      <c r="Y650" s="12"/>
      <c r="Z650" s="12"/>
      <c r="AA650" s="12"/>
      <c r="AB650" s="12"/>
      <c r="AC650" s="12"/>
      <c r="AD650" s="12"/>
      <c r="AE650" s="12"/>
      <c r="AF650" s="12"/>
    </row>
    <row r="651" spans="1:32">
      <c r="A651" s="8"/>
      <c r="B651" s="8"/>
      <c r="C651" s="8"/>
      <c r="D651" s="8"/>
      <c r="E651" s="8"/>
      <c r="F651" s="8"/>
      <c r="G651" s="8"/>
      <c r="H651" s="8"/>
      <c r="I651" s="8"/>
      <c r="J651" s="8"/>
      <c r="K651" s="8"/>
      <c r="L651" s="8"/>
      <c r="M651" s="8"/>
      <c r="N651" s="8"/>
      <c r="O651" s="8"/>
      <c r="P651" s="8"/>
      <c r="Q651" s="8"/>
      <c r="R651" s="8"/>
      <c r="S651" s="8"/>
      <c r="T651" s="8"/>
      <c r="U651" s="12"/>
      <c r="V651" s="12"/>
      <c r="W651" s="12"/>
      <c r="X651" s="12"/>
      <c r="Y651" s="12"/>
      <c r="Z651" s="12"/>
      <c r="AA651" s="12"/>
      <c r="AB651" s="12"/>
      <c r="AC651" s="12"/>
      <c r="AD651" s="12"/>
      <c r="AE651" s="12"/>
      <c r="AF651" s="12"/>
    </row>
    <row r="652" spans="1:32">
      <c r="A652" s="8"/>
      <c r="B652" s="8"/>
      <c r="C652" s="8"/>
      <c r="D652" s="8"/>
      <c r="E652" s="8"/>
      <c r="F652" s="8"/>
      <c r="G652" s="8"/>
      <c r="H652" s="8"/>
      <c r="I652" s="8"/>
      <c r="J652" s="8"/>
      <c r="K652" s="8"/>
      <c r="L652" s="8"/>
      <c r="M652" s="8"/>
      <c r="N652" s="8"/>
      <c r="O652" s="8"/>
      <c r="P652" s="8"/>
      <c r="Q652" s="8"/>
      <c r="R652" s="8"/>
      <c r="S652" s="8"/>
      <c r="T652" s="8"/>
      <c r="U652" s="12"/>
      <c r="V652" s="12"/>
      <c r="W652" s="12"/>
      <c r="X652" s="12"/>
      <c r="Y652" s="12"/>
      <c r="Z652" s="12"/>
      <c r="AA652" s="12"/>
      <c r="AB652" s="12"/>
      <c r="AC652" s="12"/>
      <c r="AD652" s="12"/>
      <c r="AE652" s="12"/>
      <c r="AF652" s="12"/>
    </row>
    <row r="653" spans="1:32">
      <c r="A653" s="8"/>
      <c r="B653" s="8"/>
      <c r="C653" s="8"/>
      <c r="D653" s="8"/>
      <c r="E653" s="8"/>
      <c r="F653" s="8"/>
      <c r="G653" s="8"/>
      <c r="H653" s="8"/>
      <c r="I653" s="8"/>
      <c r="J653" s="8"/>
      <c r="K653" s="8"/>
      <c r="L653" s="8"/>
      <c r="M653" s="8"/>
      <c r="N653" s="8"/>
      <c r="O653" s="8"/>
      <c r="P653" s="8"/>
      <c r="Q653" s="8"/>
      <c r="R653" s="8"/>
      <c r="S653" s="8"/>
      <c r="T653" s="8"/>
      <c r="U653" s="12"/>
      <c r="V653" s="12"/>
      <c r="W653" s="12"/>
      <c r="X653" s="12"/>
      <c r="Y653" s="12"/>
      <c r="Z653" s="12"/>
      <c r="AA653" s="12"/>
      <c r="AB653" s="12"/>
      <c r="AC653" s="12"/>
      <c r="AD653" s="12"/>
      <c r="AE653" s="12"/>
      <c r="AF653" s="12"/>
    </row>
    <row r="654" spans="1:32">
      <c r="A654" s="8"/>
      <c r="B654" s="8"/>
      <c r="C654" s="8"/>
      <c r="D654" s="8"/>
      <c r="E654" s="8"/>
      <c r="F654" s="8"/>
      <c r="G654" s="8"/>
      <c r="H654" s="8"/>
      <c r="I654" s="8"/>
      <c r="J654" s="8"/>
      <c r="K654" s="8"/>
      <c r="L654" s="8"/>
      <c r="M654" s="8"/>
      <c r="N654" s="8"/>
      <c r="O654" s="8"/>
      <c r="P654" s="8"/>
      <c r="Q654" s="8"/>
      <c r="R654" s="8"/>
      <c r="S654" s="8"/>
      <c r="T654" s="8"/>
      <c r="U654" s="12"/>
      <c r="V654" s="12"/>
      <c r="W654" s="12"/>
      <c r="X654" s="12"/>
      <c r="Y654" s="12"/>
      <c r="Z654" s="12"/>
      <c r="AA654" s="12"/>
      <c r="AB654" s="12"/>
      <c r="AC654" s="12"/>
      <c r="AD654" s="12"/>
      <c r="AE654" s="12"/>
      <c r="AF654" s="12"/>
    </row>
    <row r="655" spans="1:32">
      <c r="A655" s="8"/>
      <c r="B655" s="8"/>
      <c r="C655" s="8"/>
      <c r="D655" s="8"/>
      <c r="E655" s="8"/>
      <c r="F655" s="8"/>
      <c r="G655" s="8"/>
      <c r="H655" s="8"/>
      <c r="I655" s="8"/>
      <c r="J655" s="8"/>
      <c r="K655" s="8"/>
      <c r="L655" s="8"/>
      <c r="M655" s="8"/>
      <c r="N655" s="8"/>
      <c r="O655" s="8"/>
      <c r="P655" s="8"/>
      <c r="Q655" s="8"/>
      <c r="R655" s="8"/>
      <c r="S655" s="8"/>
      <c r="T655" s="8"/>
      <c r="U655" s="12"/>
      <c r="V655" s="12"/>
      <c r="W655" s="12"/>
      <c r="X655" s="12"/>
      <c r="Y655" s="12"/>
      <c r="Z655" s="12"/>
      <c r="AA655" s="12"/>
      <c r="AB655" s="12"/>
      <c r="AC655" s="12"/>
      <c r="AD655" s="12"/>
      <c r="AE655" s="12"/>
      <c r="AF655" s="12"/>
    </row>
    <row r="656" spans="1:32">
      <c r="A656" s="8"/>
      <c r="B656" s="8"/>
      <c r="C656" s="8"/>
      <c r="D656" s="8"/>
      <c r="E656" s="8"/>
      <c r="F656" s="8"/>
      <c r="G656" s="8"/>
      <c r="H656" s="8"/>
      <c r="I656" s="8"/>
      <c r="J656" s="8"/>
      <c r="K656" s="8"/>
      <c r="L656" s="8"/>
      <c r="M656" s="8"/>
      <c r="N656" s="8"/>
      <c r="O656" s="8"/>
      <c r="P656" s="8"/>
      <c r="Q656" s="8"/>
      <c r="R656" s="8"/>
      <c r="S656" s="8"/>
      <c r="T656" s="8"/>
      <c r="U656" s="12"/>
      <c r="V656" s="12"/>
      <c r="W656" s="12"/>
      <c r="X656" s="12"/>
      <c r="Y656" s="12"/>
      <c r="Z656" s="12"/>
      <c r="AA656" s="12"/>
      <c r="AB656" s="12"/>
      <c r="AC656" s="12"/>
      <c r="AD656" s="12"/>
      <c r="AE656" s="12"/>
      <c r="AF656" s="12"/>
    </row>
    <row r="657" spans="1:32">
      <c r="A657" s="8"/>
      <c r="B657" s="8"/>
      <c r="C657" s="8"/>
      <c r="D657" s="8"/>
      <c r="E657" s="8"/>
      <c r="F657" s="8"/>
      <c r="G657" s="8"/>
      <c r="H657" s="8"/>
      <c r="I657" s="8"/>
      <c r="J657" s="8"/>
      <c r="K657" s="8"/>
      <c r="L657" s="8"/>
      <c r="M657" s="8"/>
      <c r="N657" s="8"/>
      <c r="O657" s="8"/>
      <c r="P657" s="8"/>
      <c r="Q657" s="8"/>
      <c r="R657" s="8"/>
      <c r="S657" s="8"/>
      <c r="T657" s="8"/>
      <c r="U657" s="12"/>
      <c r="V657" s="12"/>
      <c r="W657" s="12"/>
      <c r="X657" s="12"/>
      <c r="Y657" s="12"/>
      <c r="Z657" s="12"/>
      <c r="AA657" s="12"/>
      <c r="AB657" s="12"/>
      <c r="AC657" s="12"/>
      <c r="AD657" s="12"/>
      <c r="AE657" s="12"/>
      <c r="AF657" s="12"/>
    </row>
    <row r="658" spans="1:32">
      <c r="A658" s="8"/>
      <c r="B658" s="8"/>
      <c r="C658" s="8"/>
      <c r="D658" s="8"/>
      <c r="E658" s="8"/>
      <c r="F658" s="8"/>
      <c r="G658" s="8"/>
      <c r="H658" s="8"/>
      <c r="I658" s="8"/>
      <c r="J658" s="8"/>
      <c r="K658" s="8"/>
      <c r="L658" s="8"/>
      <c r="M658" s="8"/>
      <c r="N658" s="8"/>
      <c r="O658" s="8"/>
      <c r="P658" s="8"/>
      <c r="Q658" s="8"/>
      <c r="R658" s="8"/>
      <c r="S658" s="8"/>
      <c r="T658" s="8"/>
      <c r="U658" s="12"/>
      <c r="V658" s="12"/>
      <c r="W658" s="12"/>
      <c r="X658" s="12"/>
      <c r="Y658" s="12"/>
      <c r="Z658" s="12"/>
      <c r="AA658" s="12"/>
      <c r="AB658" s="12"/>
      <c r="AC658" s="12"/>
      <c r="AD658" s="12"/>
      <c r="AE658" s="12"/>
      <c r="AF658" s="12"/>
    </row>
    <row r="659" spans="1:32">
      <c r="A659" s="8"/>
      <c r="B659" s="8"/>
      <c r="C659" s="8"/>
      <c r="D659" s="8"/>
      <c r="E659" s="8"/>
      <c r="F659" s="8"/>
      <c r="G659" s="8"/>
      <c r="H659" s="8"/>
      <c r="I659" s="8"/>
      <c r="J659" s="8"/>
      <c r="K659" s="8"/>
      <c r="L659" s="8"/>
      <c r="M659" s="8"/>
      <c r="N659" s="8"/>
      <c r="O659" s="8"/>
      <c r="P659" s="8"/>
      <c r="Q659" s="8"/>
      <c r="R659" s="8"/>
      <c r="S659" s="8"/>
      <c r="T659" s="8"/>
      <c r="U659" s="12"/>
      <c r="V659" s="12"/>
      <c r="W659" s="12"/>
      <c r="X659" s="12"/>
      <c r="Y659" s="12"/>
      <c r="Z659" s="12"/>
      <c r="AA659" s="12"/>
      <c r="AB659" s="12"/>
      <c r="AC659" s="12"/>
      <c r="AD659" s="12"/>
      <c r="AE659" s="12"/>
      <c r="AF659" s="12"/>
    </row>
    <row r="660" spans="1:32">
      <c r="A660" s="8"/>
      <c r="B660" s="8"/>
      <c r="C660" s="8"/>
      <c r="D660" s="8"/>
      <c r="E660" s="8"/>
      <c r="F660" s="8"/>
      <c r="G660" s="8"/>
      <c r="H660" s="8"/>
      <c r="I660" s="8"/>
      <c r="J660" s="8"/>
      <c r="K660" s="8"/>
      <c r="L660" s="8"/>
      <c r="M660" s="8"/>
      <c r="N660" s="8"/>
      <c r="O660" s="8"/>
      <c r="P660" s="8"/>
      <c r="Q660" s="8"/>
      <c r="R660" s="8"/>
      <c r="S660" s="8"/>
      <c r="T660" s="8"/>
      <c r="U660" s="12"/>
      <c r="V660" s="12"/>
      <c r="W660" s="12"/>
      <c r="X660" s="12"/>
      <c r="Y660" s="12"/>
      <c r="Z660" s="12"/>
      <c r="AA660" s="12"/>
      <c r="AB660" s="12"/>
      <c r="AC660" s="12"/>
      <c r="AD660" s="12"/>
      <c r="AE660" s="12"/>
      <c r="AF660" s="12"/>
    </row>
    <row r="661" spans="1:32">
      <c r="A661" s="8"/>
      <c r="B661" s="8"/>
      <c r="C661" s="8"/>
      <c r="D661" s="8"/>
      <c r="E661" s="8"/>
      <c r="F661" s="8"/>
      <c r="G661" s="8"/>
      <c r="H661" s="8"/>
      <c r="I661" s="8"/>
      <c r="J661" s="8"/>
      <c r="K661" s="8"/>
      <c r="L661" s="8"/>
      <c r="M661" s="8"/>
      <c r="N661" s="8"/>
      <c r="O661" s="8"/>
      <c r="P661" s="8"/>
      <c r="Q661" s="8"/>
      <c r="R661" s="8"/>
      <c r="S661" s="8"/>
      <c r="T661" s="8"/>
      <c r="U661" s="12"/>
      <c r="V661" s="12"/>
      <c r="W661" s="12"/>
      <c r="X661" s="12"/>
      <c r="Y661" s="12"/>
      <c r="Z661" s="12"/>
      <c r="AA661" s="12"/>
      <c r="AB661" s="12"/>
      <c r="AC661" s="12"/>
      <c r="AD661" s="12"/>
      <c r="AE661" s="12"/>
      <c r="AF661" s="12"/>
    </row>
    <row r="662" spans="1:32">
      <c r="A662" s="8"/>
      <c r="B662" s="8"/>
      <c r="C662" s="8"/>
      <c r="D662" s="8"/>
      <c r="E662" s="8"/>
      <c r="F662" s="8"/>
      <c r="G662" s="8"/>
      <c r="H662" s="8"/>
      <c r="I662" s="8"/>
      <c r="J662" s="8"/>
      <c r="K662" s="8"/>
      <c r="L662" s="8"/>
      <c r="M662" s="8"/>
      <c r="N662" s="8"/>
      <c r="O662" s="8"/>
      <c r="P662" s="8"/>
      <c r="Q662" s="8"/>
      <c r="R662" s="8"/>
      <c r="S662" s="8"/>
      <c r="T662" s="8"/>
      <c r="U662" s="12"/>
      <c r="V662" s="12"/>
      <c r="W662" s="12"/>
      <c r="X662" s="12"/>
      <c r="Y662" s="12"/>
      <c r="Z662" s="12"/>
      <c r="AA662" s="12"/>
      <c r="AB662" s="12"/>
      <c r="AC662" s="12"/>
      <c r="AD662" s="12"/>
      <c r="AE662" s="12"/>
      <c r="AF662" s="12"/>
    </row>
    <row r="663" spans="1:32">
      <c r="A663" s="8"/>
      <c r="B663" s="8"/>
      <c r="C663" s="8"/>
      <c r="D663" s="8"/>
      <c r="E663" s="8"/>
      <c r="F663" s="8"/>
      <c r="G663" s="8"/>
      <c r="H663" s="8"/>
      <c r="I663" s="8"/>
      <c r="J663" s="8"/>
      <c r="K663" s="8"/>
      <c r="L663" s="8"/>
      <c r="M663" s="8"/>
      <c r="N663" s="8"/>
      <c r="O663" s="8"/>
      <c r="P663" s="8"/>
      <c r="Q663" s="8"/>
      <c r="R663" s="8"/>
      <c r="S663" s="8"/>
      <c r="T663" s="8"/>
      <c r="U663" s="12"/>
      <c r="V663" s="12"/>
      <c r="W663" s="12"/>
      <c r="X663" s="12"/>
      <c r="Y663" s="12"/>
      <c r="Z663" s="12"/>
      <c r="AA663" s="12"/>
      <c r="AB663" s="12"/>
      <c r="AC663" s="12"/>
      <c r="AD663" s="12"/>
      <c r="AE663" s="12"/>
      <c r="AF663" s="12"/>
    </row>
    <row r="664" spans="1:32">
      <c r="A664" s="8"/>
      <c r="B664" s="8"/>
      <c r="C664" s="8"/>
      <c r="D664" s="8"/>
      <c r="E664" s="8"/>
      <c r="F664" s="8"/>
      <c r="G664" s="8"/>
      <c r="H664" s="8"/>
      <c r="I664" s="8"/>
      <c r="J664" s="8"/>
      <c r="K664" s="8"/>
      <c r="L664" s="8"/>
      <c r="M664" s="8"/>
      <c r="N664" s="8"/>
      <c r="O664" s="8"/>
      <c r="P664" s="8"/>
      <c r="Q664" s="8"/>
      <c r="R664" s="8"/>
      <c r="S664" s="8"/>
      <c r="T664" s="8"/>
      <c r="U664" s="12"/>
      <c r="V664" s="12"/>
      <c r="W664" s="12"/>
      <c r="X664" s="12"/>
      <c r="Y664" s="12"/>
      <c r="Z664" s="12"/>
      <c r="AA664" s="12"/>
      <c r="AB664" s="12"/>
      <c r="AC664" s="12"/>
      <c r="AD664" s="12"/>
      <c r="AE664" s="12"/>
      <c r="AF664" s="12"/>
    </row>
    <row r="665" spans="1:32">
      <c r="A665" s="8"/>
      <c r="B665" s="8"/>
      <c r="C665" s="8"/>
      <c r="D665" s="8"/>
      <c r="E665" s="8"/>
      <c r="F665" s="8"/>
      <c r="G665" s="8"/>
      <c r="H665" s="8"/>
      <c r="I665" s="8"/>
      <c r="J665" s="8"/>
      <c r="K665" s="8"/>
      <c r="L665" s="8"/>
      <c r="M665" s="8"/>
      <c r="N665" s="8"/>
      <c r="O665" s="8"/>
      <c r="P665" s="8"/>
      <c r="Q665" s="8"/>
      <c r="R665" s="8"/>
      <c r="S665" s="8"/>
      <c r="T665" s="8"/>
      <c r="U665" s="12"/>
      <c r="V665" s="12"/>
      <c r="W665" s="12"/>
      <c r="X665" s="12"/>
      <c r="Y665" s="12"/>
      <c r="Z665" s="12"/>
      <c r="AA665" s="12"/>
      <c r="AB665" s="12"/>
      <c r="AC665" s="12"/>
      <c r="AD665" s="12"/>
      <c r="AE665" s="12"/>
      <c r="AF665" s="12"/>
    </row>
    <row r="666" spans="1:32">
      <c r="A666" s="8"/>
      <c r="B666" s="8"/>
      <c r="C666" s="8"/>
      <c r="D666" s="8"/>
      <c r="E666" s="8"/>
      <c r="F666" s="8"/>
      <c r="G666" s="8"/>
      <c r="H666" s="8"/>
      <c r="I666" s="8"/>
      <c r="J666" s="8"/>
      <c r="K666" s="8"/>
      <c r="L666" s="8"/>
      <c r="M666" s="8"/>
      <c r="N666" s="8"/>
      <c r="O666" s="8"/>
      <c r="P666" s="8"/>
      <c r="Q666" s="8"/>
      <c r="R666" s="8"/>
      <c r="S666" s="8"/>
      <c r="T666" s="8"/>
      <c r="U666" s="12"/>
      <c r="V666" s="12"/>
      <c r="W666" s="12"/>
      <c r="X666" s="12"/>
      <c r="Y666" s="12"/>
      <c r="Z666" s="12"/>
      <c r="AA666" s="12"/>
      <c r="AB666" s="12"/>
      <c r="AC666" s="12"/>
      <c r="AD666" s="12"/>
      <c r="AE666" s="12"/>
      <c r="AF666" s="12"/>
    </row>
    <row r="667" spans="1:32">
      <c r="A667" s="8"/>
      <c r="B667" s="8"/>
      <c r="C667" s="8"/>
      <c r="D667" s="8"/>
      <c r="E667" s="8"/>
      <c r="F667" s="8"/>
      <c r="G667" s="8"/>
      <c r="H667" s="8"/>
      <c r="I667" s="8"/>
      <c r="J667" s="8"/>
      <c r="K667" s="8"/>
      <c r="L667" s="8"/>
      <c r="M667" s="8"/>
      <c r="N667" s="8"/>
      <c r="O667" s="8"/>
      <c r="P667" s="8"/>
      <c r="Q667" s="8"/>
      <c r="R667" s="8"/>
      <c r="S667" s="8"/>
      <c r="T667" s="8"/>
      <c r="U667" s="12"/>
      <c r="V667" s="12"/>
      <c r="W667" s="12"/>
      <c r="X667" s="12"/>
      <c r="Y667" s="12"/>
      <c r="Z667" s="12"/>
      <c r="AA667" s="12"/>
      <c r="AB667" s="12"/>
      <c r="AC667" s="12"/>
      <c r="AD667" s="12"/>
      <c r="AE667" s="12"/>
      <c r="AF667" s="12"/>
    </row>
    <row r="668" spans="1:32">
      <c r="A668" s="8"/>
      <c r="B668" s="8"/>
      <c r="C668" s="8"/>
      <c r="D668" s="8"/>
      <c r="E668" s="8"/>
      <c r="F668" s="8"/>
      <c r="G668" s="8"/>
      <c r="H668" s="8"/>
      <c r="I668" s="8"/>
      <c r="J668" s="8"/>
      <c r="K668" s="8"/>
      <c r="L668" s="8"/>
      <c r="M668" s="8"/>
      <c r="N668" s="8"/>
      <c r="O668" s="8"/>
      <c r="P668" s="8"/>
      <c r="Q668" s="8"/>
      <c r="R668" s="8"/>
      <c r="S668" s="8"/>
      <c r="T668" s="8"/>
      <c r="U668" s="12"/>
      <c r="V668" s="12"/>
      <c r="W668" s="12"/>
      <c r="X668" s="12"/>
      <c r="Y668" s="12"/>
      <c r="Z668" s="12"/>
      <c r="AA668" s="12"/>
      <c r="AB668" s="12"/>
      <c r="AC668" s="12"/>
      <c r="AD668" s="12"/>
      <c r="AE668" s="12"/>
      <c r="AF668" s="12"/>
    </row>
    <row r="669" spans="1:32">
      <c r="A669" s="8"/>
      <c r="B669" s="8"/>
      <c r="C669" s="8"/>
      <c r="D669" s="8"/>
      <c r="E669" s="8"/>
      <c r="F669" s="8"/>
      <c r="G669" s="8"/>
      <c r="H669" s="8"/>
      <c r="I669" s="8"/>
      <c r="J669" s="8"/>
      <c r="K669" s="8"/>
      <c r="L669" s="8"/>
      <c r="M669" s="8"/>
      <c r="N669" s="8"/>
      <c r="O669" s="8"/>
      <c r="P669" s="8"/>
      <c r="Q669" s="8"/>
      <c r="R669" s="8"/>
      <c r="S669" s="8"/>
      <c r="T669" s="8"/>
      <c r="U669" s="12"/>
      <c r="V669" s="12"/>
      <c r="W669" s="12"/>
      <c r="X669" s="12"/>
      <c r="Y669" s="12"/>
      <c r="Z669" s="12"/>
      <c r="AA669" s="12"/>
      <c r="AB669" s="12"/>
      <c r="AC669" s="12"/>
      <c r="AD669" s="12"/>
      <c r="AE669" s="12"/>
      <c r="AF669" s="12"/>
    </row>
    <row r="670" spans="1:32">
      <c r="A670" s="8"/>
      <c r="B670" s="8"/>
      <c r="C670" s="8"/>
      <c r="D670" s="8"/>
      <c r="E670" s="8"/>
      <c r="F670" s="8"/>
      <c r="G670" s="8"/>
      <c r="H670" s="8"/>
      <c r="I670" s="8"/>
      <c r="J670" s="8"/>
      <c r="K670" s="8"/>
      <c r="L670" s="8"/>
      <c r="M670" s="8"/>
      <c r="N670" s="8"/>
      <c r="O670" s="8"/>
      <c r="P670" s="8"/>
      <c r="Q670" s="8"/>
      <c r="R670" s="8"/>
      <c r="S670" s="8"/>
      <c r="T670" s="8"/>
      <c r="U670" s="12"/>
      <c r="V670" s="12"/>
      <c r="W670" s="12"/>
      <c r="X670" s="12"/>
      <c r="Y670" s="12"/>
      <c r="Z670" s="12"/>
      <c r="AA670" s="12"/>
      <c r="AB670" s="12"/>
      <c r="AC670" s="12"/>
      <c r="AD670" s="12"/>
      <c r="AE670" s="12"/>
      <c r="AF670" s="12"/>
    </row>
    <row r="671" spans="1:32">
      <c r="A671" s="8"/>
      <c r="B671" s="8"/>
      <c r="C671" s="8"/>
      <c r="D671" s="8"/>
      <c r="E671" s="8"/>
      <c r="F671" s="8"/>
      <c r="G671" s="8"/>
      <c r="H671" s="8"/>
      <c r="I671" s="8"/>
      <c r="J671" s="8"/>
      <c r="K671" s="8"/>
      <c r="L671" s="8"/>
      <c r="M671" s="8"/>
      <c r="N671" s="8"/>
      <c r="O671" s="8"/>
      <c r="P671" s="8"/>
      <c r="Q671" s="8"/>
      <c r="R671" s="8"/>
      <c r="S671" s="8"/>
      <c r="T671" s="8"/>
      <c r="U671" s="12"/>
      <c r="V671" s="12"/>
      <c r="W671" s="12"/>
      <c r="X671" s="12"/>
      <c r="Y671" s="12"/>
      <c r="Z671" s="12"/>
      <c r="AA671" s="12"/>
      <c r="AB671" s="12"/>
      <c r="AC671" s="12"/>
      <c r="AD671" s="12"/>
      <c r="AE671" s="12"/>
      <c r="AF671" s="12"/>
    </row>
    <row r="672" spans="1:32">
      <c r="A672" s="8"/>
      <c r="B672" s="8"/>
      <c r="C672" s="8"/>
      <c r="D672" s="8"/>
      <c r="E672" s="8"/>
      <c r="F672" s="8"/>
      <c r="G672" s="8"/>
      <c r="H672" s="8"/>
      <c r="I672" s="8"/>
      <c r="J672" s="8"/>
      <c r="K672" s="8"/>
      <c r="L672" s="8"/>
      <c r="M672" s="8"/>
      <c r="N672" s="8"/>
      <c r="O672" s="8"/>
      <c r="P672" s="8"/>
      <c r="Q672" s="8"/>
      <c r="R672" s="8"/>
      <c r="S672" s="8"/>
      <c r="T672" s="8"/>
      <c r="U672" s="12"/>
      <c r="V672" s="12"/>
      <c r="W672" s="12"/>
      <c r="X672" s="12"/>
      <c r="Y672" s="12"/>
      <c r="Z672" s="12"/>
      <c r="AA672" s="12"/>
      <c r="AB672" s="12"/>
      <c r="AC672" s="12"/>
      <c r="AD672" s="12"/>
      <c r="AE672" s="12"/>
      <c r="AF672" s="12"/>
    </row>
    <row r="673" spans="1:32">
      <c r="A673" s="8"/>
      <c r="B673" s="8"/>
      <c r="C673" s="8"/>
      <c r="D673" s="8"/>
      <c r="E673" s="8"/>
      <c r="F673" s="8"/>
      <c r="G673" s="8"/>
      <c r="H673" s="8"/>
      <c r="I673" s="8"/>
      <c r="J673" s="8"/>
      <c r="K673" s="8"/>
      <c r="L673" s="8"/>
      <c r="M673" s="8"/>
      <c r="N673" s="8"/>
      <c r="O673" s="8"/>
      <c r="P673" s="8"/>
      <c r="Q673" s="8"/>
      <c r="R673" s="8"/>
      <c r="S673" s="8"/>
      <c r="T673" s="8"/>
      <c r="U673" s="12"/>
      <c r="V673" s="12"/>
      <c r="W673" s="12"/>
      <c r="X673" s="12"/>
      <c r="Y673" s="12"/>
      <c r="Z673" s="12"/>
      <c r="AA673" s="12"/>
      <c r="AB673" s="12"/>
      <c r="AC673" s="12"/>
      <c r="AD673" s="12"/>
      <c r="AE673" s="12"/>
      <c r="AF673" s="12"/>
    </row>
    <row r="674" spans="1:32">
      <c r="A674" s="8"/>
      <c r="B674" s="8"/>
      <c r="C674" s="8"/>
      <c r="D674" s="8"/>
      <c r="E674" s="8"/>
      <c r="F674" s="8"/>
      <c r="G674" s="8"/>
      <c r="H674" s="8"/>
      <c r="I674" s="8"/>
      <c r="J674" s="8"/>
      <c r="K674" s="8"/>
      <c r="L674" s="8"/>
      <c r="M674" s="8"/>
      <c r="N674" s="8"/>
      <c r="O674" s="8"/>
      <c r="P674" s="8"/>
      <c r="Q674" s="8"/>
      <c r="R674" s="8"/>
      <c r="S674" s="8"/>
      <c r="T674" s="8"/>
      <c r="U674" s="12"/>
      <c r="V674" s="12"/>
      <c r="W674" s="12"/>
      <c r="X674" s="12"/>
      <c r="Y674" s="12"/>
      <c r="Z674" s="12"/>
      <c r="AA674" s="12"/>
      <c r="AB674" s="12"/>
      <c r="AC674" s="12"/>
      <c r="AD674" s="12"/>
      <c r="AE674" s="12"/>
      <c r="AF674" s="12"/>
    </row>
    <row r="675" spans="1:32">
      <c r="A675" s="8"/>
      <c r="B675" s="8"/>
      <c r="C675" s="8"/>
      <c r="D675" s="8"/>
      <c r="E675" s="8"/>
      <c r="F675" s="8"/>
      <c r="G675" s="8"/>
      <c r="H675" s="8"/>
      <c r="I675" s="8"/>
      <c r="J675" s="8"/>
      <c r="K675" s="8"/>
      <c r="L675" s="8"/>
      <c r="M675" s="8"/>
      <c r="N675" s="8"/>
      <c r="O675" s="8"/>
      <c r="P675" s="8"/>
      <c r="Q675" s="8"/>
      <c r="R675" s="8"/>
      <c r="S675" s="8"/>
      <c r="T675" s="8"/>
      <c r="U675" s="12"/>
      <c r="V675" s="12"/>
      <c r="W675" s="12"/>
      <c r="X675" s="12"/>
      <c r="Y675" s="12"/>
      <c r="Z675" s="12"/>
      <c r="AA675" s="12"/>
      <c r="AB675" s="12"/>
      <c r="AC675" s="12"/>
      <c r="AD675" s="12"/>
      <c r="AE675" s="12"/>
      <c r="AF675" s="12"/>
    </row>
    <row r="676" spans="1:32">
      <c r="A676" s="8"/>
      <c r="B676" s="8"/>
      <c r="C676" s="8"/>
      <c r="D676" s="8"/>
      <c r="E676" s="8"/>
      <c r="F676" s="8"/>
      <c r="G676" s="8"/>
      <c r="H676" s="8"/>
      <c r="I676" s="8"/>
      <c r="J676" s="8"/>
      <c r="K676" s="8"/>
      <c r="L676" s="8"/>
      <c r="M676" s="8"/>
      <c r="N676" s="8"/>
      <c r="O676" s="8"/>
      <c r="P676" s="8"/>
      <c r="Q676" s="8"/>
      <c r="R676" s="8"/>
      <c r="S676" s="8"/>
      <c r="T676" s="8"/>
      <c r="U676" s="12"/>
      <c r="V676" s="12"/>
      <c r="W676" s="12"/>
      <c r="X676" s="12"/>
      <c r="Y676" s="12"/>
      <c r="Z676" s="12"/>
      <c r="AA676" s="12"/>
      <c r="AB676" s="12"/>
      <c r="AC676" s="12"/>
      <c r="AD676" s="12"/>
      <c r="AE676" s="12"/>
      <c r="AF676" s="12"/>
    </row>
    <row r="677" spans="1:32">
      <c r="A677" s="8"/>
      <c r="B677" s="8"/>
      <c r="C677" s="8"/>
      <c r="D677" s="8"/>
      <c r="E677" s="8"/>
      <c r="F677" s="8"/>
      <c r="G677" s="8"/>
      <c r="H677" s="8"/>
      <c r="I677" s="8"/>
      <c r="J677" s="8"/>
      <c r="K677" s="8"/>
      <c r="L677" s="8"/>
      <c r="M677" s="8"/>
      <c r="N677" s="8"/>
      <c r="O677" s="8"/>
      <c r="P677" s="8"/>
      <c r="Q677" s="8"/>
      <c r="R677" s="8"/>
      <c r="S677" s="8"/>
      <c r="T677" s="8"/>
      <c r="U677" s="12"/>
      <c r="V677" s="12"/>
      <c r="W677" s="12"/>
      <c r="X677" s="12"/>
      <c r="Y677" s="12"/>
      <c r="Z677" s="12"/>
      <c r="AA677" s="12"/>
      <c r="AB677" s="12"/>
      <c r="AC677" s="12"/>
      <c r="AD677" s="12"/>
      <c r="AE677" s="12"/>
      <c r="AF677" s="12"/>
    </row>
    <row r="678" spans="1:32">
      <c r="A678" s="8"/>
      <c r="B678" s="8"/>
      <c r="C678" s="8"/>
      <c r="D678" s="8"/>
      <c r="E678" s="8"/>
      <c r="F678" s="8"/>
      <c r="G678" s="8"/>
      <c r="H678" s="8"/>
      <c r="I678" s="8"/>
      <c r="J678" s="8"/>
      <c r="K678" s="8"/>
      <c r="L678" s="8"/>
      <c r="M678" s="8"/>
      <c r="N678" s="8"/>
      <c r="O678" s="8"/>
      <c r="P678" s="8"/>
      <c r="Q678" s="8"/>
      <c r="R678" s="8"/>
      <c r="S678" s="8"/>
      <c r="T678" s="8"/>
      <c r="U678" s="12"/>
      <c r="V678" s="12"/>
      <c r="W678" s="12"/>
      <c r="X678" s="12"/>
      <c r="Y678" s="12"/>
      <c r="Z678" s="12"/>
      <c r="AA678" s="12"/>
      <c r="AB678" s="12"/>
      <c r="AC678" s="12"/>
      <c r="AD678" s="12"/>
      <c r="AE678" s="12"/>
      <c r="AF678" s="12"/>
    </row>
    <row r="679" spans="1:32">
      <c r="A679" s="8"/>
      <c r="B679" s="8"/>
      <c r="C679" s="8"/>
      <c r="D679" s="8"/>
      <c r="E679" s="8"/>
      <c r="F679" s="8"/>
      <c r="G679" s="8"/>
      <c r="H679" s="8"/>
      <c r="I679" s="8"/>
      <c r="J679" s="8"/>
      <c r="K679" s="8"/>
      <c r="L679" s="8"/>
      <c r="M679" s="8"/>
      <c r="N679" s="8"/>
      <c r="O679" s="8"/>
      <c r="P679" s="8"/>
      <c r="Q679" s="8"/>
      <c r="R679" s="8"/>
      <c r="S679" s="8"/>
      <c r="T679" s="8"/>
      <c r="U679" s="12"/>
      <c r="V679" s="12"/>
      <c r="W679" s="12"/>
      <c r="X679" s="12"/>
      <c r="Y679" s="12"/>
      <c r="Z679" s="12"/>
      <c r="AA679" s="12"/>
      <c r="AB679" s="12"/>
      <c r="AC679" s="12"/>
      <c r="AD679" s="12"/>
      <c r="AE679" s="12"/>
      <c r="AF679" s="12"/>
    </row>
    <row r="680" spans="1:32">
      <c r="A680" s="8"/>
      <c r="B680" s="8"/>
      <c r="C680" s="8"/>
      <c r="D680" s="8"/>
      <c r="E680" s="8"/>
      <c r="F680" s="8"/>
      <c r="G680" s="8"/>
      <c r="H680" s="8"/>
      <c r="I680" s="8"/>
      <c r="J680" s="8"/>
      <c r="K680" s="8"/>
      <c r="L680" s="8"/>
      <c r="M680" s="8"/>
      <c r="N680" s="8"/>
      <c r="O680" s="8"/>
      <c r="P680" s="8"/>
      <c r="Q680" s="8"/>
      <c r="R680" s="8"/>
      <c r="S680" s="8"/>
      <c r="T680" s="8"/>
      <c r="U680" s="12"/>
      <c r="V680" s="12"/>
      <c r="W680" s="12"/>
      <c r="X680" s="12"/>
      <c r="Y680" s="12"/>
      <c r="Z680" s="12"/>
      <c r="AA680" s="12"/>
      <c r="AB680" s="12"/>
      <c r="AC680" s="12"/>
      <c r="AD680" s="12"/>
      <c r="AE680" s="12"/>
      <c r="AF680" s="12"/>
    </row>
    <row r="681" spans="1:32">
      <c r="A681" s="8"/>
      <c r="B681" s="8"/>
      <c r="C681" s="8"/>
      <c r="D681" s="8"/>
      <c r="E681" s="8"/>
      <c r="F681" s="8"/>
      <c r="G681" s="8"/>
      <c r="H681" s="8"/>
      <c r="I681" s="8"/>
      <c r="J681" s="8"/>
      <c r="K681" s="8"/>
      <c r="L681" s="8"/>
      <c r="M681" s="8"/>
      <c r="N681" s="8"/>
      <c r="O681" s="8"/>
      <c r="P681" s="8"/>
      <c r="Q681" s="8"/>
      <c r="R681" s="8"/>
      <c r="S681" s="8"/>
      <c r="T681" s="8"/>
      <c r="U681" s="12"/>
      <c r="V681" s="12"/>
      <c r="W681" s="12"/>
      <c r="X681" s="12"/>
      <c r="Y681" s="12"/>
      <c r="Z681" s="12"/>
      <c r="AA681" s="12"/>
      <c r="AB681" s="12"/>
      <c r="AC681" s="12"/>
      <c r="AD681" s="12"/>
      <c r="AE681" s="12"/>
      <c r="AF681" s="12"/>
    </row>
    <row r="682" spans="1:32">
      <c r="A682" s="8"/>
      <c r="B682" s="8"/>
      <c r="C682" s="8"/>
      <c r="D682" s="8"/>
      <c r="E682" s="8"/>
      <c r="F682" s="8"/>
      <c r="G682" s="8"/>
      <c r="H682" s="8"/>
      <c r="I682" s="8"/>
      <c r="J682" s="8"/>
      <c r="K682" s="8"/>
      <c r="L682" s="8"/>
      <c r="M682" s="8"/>
      <c r="N682" s="8"/>
      <c r="O682" s="8"/>
      <c r="P682" s="8"/>
      <c r="Q682" s="8"/>
      <c r="R682" s="8"/>
      <c r="S682" s="8"/>
      <c r="T682" s="8"/>
      <c r="U682" s="12"/>
      <c r="V682" s="12"/>
      <c r="W682" s="12"/>
      <c r="X682" s="12"/>
      <c r="Y682" s="12"/>
      <c r="Z682" s="12"/>
      <c r="AA682" s="12"/>
      <c r="AB682" s="12"/>
      <c r="AC682" s="12"/>
      <c r="AD682" s="12"/>
      <c r="AE682" s="12"/>
      <c r="AF682" s="12"/>
    </row>
    <row r="683" spans="1:32">
      <c r="A683" s="8"/>
      <c r="B683" s="8"/>
      <c r="C683" s="8"/>
      <c r="D683" s="8"/>
      <c r="E683" s="8"/>
      <c r="F683" s="8"/>
      <c r="G683" s="8"/>
      <c r="H683" s="8"/>
      <c r="I683" s="8"/>
      <c r="J683" s="8"/>
      <c r="K683" s="8"/>
      <c r="L683" s="8"/>
      <c r="M683" s="8"/>
      <c r="N683" s="8"/>
      <c r="O683" s="8"/>
      <c r="P683" s="8"/>
      <c r="Q683" s="8"/>
      <c r="R683" s="8"/>
      <c r="S683" s="8"/>
      <c r="T683" s="8"/>
      <c r="U683" s="12"/>
      <c r="V683" s="12"/>
      <c r="W683" s="12"/>
      <c r="X683" s="12"/>
      <c r="Y683" s="12"/>
      <c r="Z683" s="12"/>
      <c r="AA683" s="12"/>
      <c r="AB683" s="12"/>
      <c r="AC683" s="12"/>
      <c r="AD683" s="12"/>
      <c r="AE683" s="12"/>
      <c r="AF683" s="12"/>
    </row>
    <row r="684" spans="1:32">
      <c r="A684" s="8"/>
      <c r="B684" s="8"/>
      <c r="C684" s="8"/>
      <c r="D684" s="8"/>
      <c r="E684" s="8"/>
      <c r="F684" s="8"/>
      <c r="G684" s="8"/>
      <c r="H684" s="8"/>
      <c r="I684" s="8"/>
      <c r="J684" s="8"/>
      <c r="K684" s="8"/>
      <c r="L684" s="8"/>
      <c r="M684" s="8"/>
      <c r="N684" s="8"/>
      <c r="O684" s="8"/>
      <c r="P684" s="8"/>
      <c r="Q684" s="8"/>
      <c r="R684" s="8"/>
      <c r="S684" s="8"/>
      <c r="T684" s="8"/>
      <c r="U684" s="12"/>
      <c r="V684" s="12"/>
      <c r="W684" s="12"/>
      <c r="X684" s="12"/>
      <c r="Y684" s="12"/>
      <c r="Z684" s="12"/>
      <c r="AA684" s="12"/>
      <c r="AB684" s="12"/>
      <c r="AC684" s="12"/>
      <c r="AD684" s="12"/>
      <c r="AE684" s="12"/>
      <c r="AF684" s="12"/>
    </row>
    <row r="685" spans="1:32">
      <c r="A685" s="8"/>
      <c r="B685" s="8"/>
      <c r="C685" s="8"/>
      <c r="D685" s="8"/>
      <c r="E685" s="8"/>
      <c r="F685" s="8"/>
      <c r="G685" s="8"/>
      <c r="H685" s="8"/>
      <c r="I685" s="8"/>
      <c r="J685" s="8"/>
      <c r="K685" s="8"/>
      <c r="L685" s="8"/>
      <c r="M685" s="8"/>
      <c r="N685" s="8"/>
      <c r="O685" s="8"/>
      <c r="P685" s="8"/>
      <c r="Q685" s="8"/>
      <c r="R685" s="8"/>
      <c r="S685" s="8"/>
      <c r="T685" s="8"/>
      <c r="U685" s="12"/>
      <c r="V685" s="12"/>
      <c r="W685" s="12"/>
      <c r="X685" s="12"/>
      <c r="Y685" s="12"/>
      <c r="Z685" s="12"/>
      <c r="AA685" s="12"/>
      <c r="AB685" s="12"/>
      <c r="AC685" s="12"/>
      <c r="AD685" s="12"/>
      <c r="AE685" s="12"/>
      <c r="AF685" s="12"/>
    </row>
    <row r="686" spans="1:32">
      <c r="A686" s="8"/>
      <c r="B686" s="8"/>
      <c r="C686" s="8"/>
      <c r="D686" s="8"/>
      <c r="E686" s="8"/>
      <c r="F686" s="8"/>
      <c r="G686" s="8"/>
      <c r="H686" s="8"/>
      <c r="I686" s="8"/>
      <c r="J686" s="8"/>
      <c r="K686" s="8"/>
      <c r="L686" s="8"/>
      <c r="M686" s="8"/>
      <c r="N686" s="8"/>
      <c r="O686" s="8"/>
      <c r="P686" s="8"/>
      <c r="Q686" s="8"/>
      <c r="R686" s="8"/>
      <c r="S686" s="8"/>
      <c r="T686" s="8"/>
      <c r="U686" s="12"/>
      <c r="V686" s="12"/>
      <c r="W686" s="12"/>
      <c r="X686" s="12"/>
      <c r="Y686" s="12"/>
      <c r="Z686" s="12"/>
      <c r="AA686" s="12"/>
      <c r="AB686" s="12"/>
      <c r="AC686" s="12"/>
      <c r="AD686" s="12"/>
      <c r="AE686" s="12"/>
      <c r="AF686" s="12"/>
    </row>
    <row r="687" spans="1:32">
      <c r="A687" s="8"/>
      <c r="B687" s="8"/>
      <c r="C687" s="8"/>
      <c r="D687" s="8"/>
      <c r="E687" s="8"/>
      <c r="F687" s="8"/>
      <c r="G687" s="8"/>
      <c r="H687" s="8"/>
      <c r="I687" s="8"/>
      <c r="J687" s="8"/>
      <c r="K687" s="8"/>
      <c r="L687" s="8"/>
      <c r="M687" s="8"/>
      <c r="N687" s="8"/>
      <c r="O687" s="8"/>
      <c r="P687" s="8"/>
      <c r="Q687" s="8"/>
      <c r="R687" s="8"/>
      <c r="S687" s="8"/>
      <c r="T687" s="8"/>
      <c r="U687" s="12"/>
      <c r="V687" s="12"/>
      <c r="W687" s="12"/>
      <c r="X687" s="12"/>
      <c r="Y687" s="12"/>
      <c r="Z687" s="12"/>
      <c r="AA687" s="12"/>
      <c r="AB687" s="12"/>
      <c r="AC687" s="12"/>
      <c r="AD687" s="12"/>
      <c r="AE687" s="12"/>
      <c r="AF687" s="12"/>
    </row>
    <row r="688" spans="1:32">
      <c r="A688" s="8"/>
      <c r="B688" s="8"/>
      <c r="C688" s="8"/>
      <c r="D688" s="8"/>
      <c r="E688" s="8"/>
      <c r="F688" s="8"/>
      <c r="G688" s="8"/>
      <c r="H688" s="8"/>
      <c r="I688" s="8"/>
      <c r="J688" s="8"/>
      <c r="K688" s="8"/>
      <c r="L688" s="8"/>
      <c r="M688" s="8"/>
      <c r="N688" s="8"/>
      <c r="O688" s="8"/>
      <c r="P688" s="8"/>
      <c r="Q688" s="8"/>
      <c r="R688" s="8"/>
      <c r="S688" s="8"/>
      <c r="T688" s="8"/>
      <c r="U688" s="12"/>
      <c r="V688" s="12"/>
      <c r="W688" s="12"/>
      <c r="X688" s="12"/>
      <c r="Y688" s="12"/>
      <c r="Z688" s="12"/>
      <c r="AA688" s="12"/>
      <c r="AB688" s="12"/>
      <c r="AC688" s="12"/>
      <c r="AD688" s="12"/>
      <c r="AE688" s="12"/>
      <c r="AF688" s="12"/>
    </row>
    <row r="689" spans="1:32">
      <c r="A689" s="8"/>
      <c r="B689" s="8"/>
      <c r="C689" s="8"/>
      <c r="D689" s="8"/>
      <c r="E689" s="8"/>
      <c r="F689" s="8"/>
      <c r="G689" s="8"/>
      <c r="H689" s="8"/>
      <c r="I689" s="8"/>
      <c r="J689" s="8"/>
      <c r="K689" s="8"/>
      <c r="L689" s="8"/>
      <c r="M689" s="8"/>
      <c r="N689" s="8"/>
      <c r="O689" s="8"/>
      <c r="P689" s="8"/>
      <c r="Q689" s="8"/>
      <c r="R689" s="8"/>
      <c r="S689" s="8"/>
      <c r="T689" s="8"/>
      <c r="U689" s="12"/>
      <c r="V689" s="12"/>
      <c r="W689" s="12"/>
      <c r="X689" s="12"/>
      <c r="Y689" s="12"/>
      <c r="Z689" s="12"/>
      <c r="AA689" s="12"/>
      <c r="AB689" s="12"/>
      <c r="AC689" s="12"/>
      <c r="AD689" s="12"/>
      <c r="AE689" s="12"/>
      <c r="AF689" s="12"/>
    </row>
    <row r="690" spans="1:32">
      <c r="A690" s="8"/>
      <c r="B690" s="8"/>
      <c r="C690" s="8"/>
      <c r="D690" s="8"/>
      <c r="E690" s="8"/>
      <c r="F690" s="8"/>
      <c r="G690" s="8"/>
      <c r="H690" s="8"/>
      <c r="I690" s="8"/>
      <c r="J690" s="8"/>
      <c r="K690" s="8"/>
      <c r="L690" s="8"/>
      <c r="M690" s="8"/>
      <c r="N690" s="8"/>
      <c r="O690" s="8"/>
      <c r="P690" s="8"/>
      <c r="Q690" s="8"/>
      <c r="R690" s="8"/>
      <c r="S690" s="8"/>
      <c r="T690" s="8"/>
      <c r="U690" s="12"/>
      <c r="V690" s="12"/>
      <c r="W690" s="12"/>
      <c r="X690" s="12"/>
      <c r="Y690" s="12"/>
      <c r="Z690" s="12"/>
      <c r="AA690" s="12"/>
      <c r="AB690" s="12"/>
      <c r="AC690" s="12"/>
      <c r="AD690" s="12"/>
      <c r="AE690" s="12"/>
      <c r="AF690" s="12"/>
    </row>
    <row r="691" spans="1:32">
      <c r="A691" s="8"/>
      <c r="B691" s="8"/>
      <c r="C691" s="8"/>
      <c r="D691" s="8"/>
      <c r="E691" s="8"/>
      <c r="F691" s="8"/>
      <c r="G691" s="8"/>
      <c r="H691" s="8"/>
      <c r="I691" s="8"/>
      <c r="J691" s="8"/>
      <c r="K691" s="8"/>
      <c r="L691" s="8"/>
      <c r="M691" s="8"/>
      <c r="N691" s="8"/>
      <c r="O691" s="8"/>
      <c r="P691" s="8"/>
      <c r="Q691" s="8"/>
      <c r="R691" s="8"/>
      <c r="S691" s="8"/>
      <c r="T691" s="8"/>
      <c r="U691" s="12"/>
      <c r="V691" s="12"/>
      <c r="W691" s="12"/>
      <c r="X691" s="12"/>
      <c r="Y691" s="12"/>
      <c r="Z691" s="12"/>
      <c r="AA691" s="12"/>
      <c r="AB691" s="12"/>
      <c r="AC691" s="12"/>
      <c r="AD691" s="12"/>
      <c r="AE691" s="12"/>
      <c r="AF691" s="12"/>
    </row>
    <row r="692" spans="1:32">
      <c r="A692" s="8"/>
      <c r="B692" s="8"/>
      <c r="C692" s="8"/>
      <c r="D692" s="8"/>
      <c r="E692" s="8"/>
      <c r="F692" s="8"/>
      <c r="G692" s="8"/>
      <c r="H692" s="8"/>
      <c r="I692" s="8"/>
      <c r="J692" s="8"/>
      <c r="K692" s="8"/>
      <c r="L692" s="8"/>
      <c r="M692" s="8"/>
      <c r="N692" s="8"/>
      <c r="O692" s="8"/>
      <c r="P692" s="8"/>
      <c r="Q692" s="8"/>
      <c r="R692" s="8"/>
      <c r="S692" s="8"/>
      <c r="T692" s="8"/>
      <c r="U692" s="12"/>
      <c r="V692" s="12"/>
      <c r="W692" s="12"/>
      <c r="X692" s="12"/>
      <c r="Y692" s="12"/>
      <c r="Z692" s="12"/>
      <c r="AA692" s="12"/>
      <c r="AB692" s="12"/>
      <c r="AC692" s="12"/>
      <c r="AD692" s="12"/>
      <c r="AE692" s="12"/>
      <c r="AF692" s="12"/>
    </row>
    <row r="693" spans="1:32">
      <c r="A693" s="8"/>
      <c r="B693" s="8"/>
      <c r="C693" s="8"/>
      <c r="D693" s="8"/>
      <c r="E693" s="8"/>
      <c r="F693" s="8"/>
      <c r="G693" s="8"/>
      <c r="H693" s="8"/>
      <c r="I693" s="8"/>
      <c r="J693" s="8"/>
      <c r="K693" s="8"/>
      <c r="L693" s="8"/>
      <c r="M693" s="8"/>
      <c r="N693" s="8"/>
      <c r="O693" s="8"/>
      <c r="P693" s="8"/>
      <c r="Q693" s="8"/>
      <c r="R693" s="8"/>
      <c r="S693" s="8"/>
      <c r="T693" s="8"/>
      <c r="U693" s="12"/>
      <c r="V693" s="12"/>
      <c r="W693" s="12"/>
      <c r="X693" s="12"/>
      <c r="Y693" s="12"/>
      <c r="Z693" s="12"/>
      <c r="AA693" s="12"/>
      <c r="AB693" s="12"/>
      <c r="AC693" s="12"/>
      <c r="AD693" s="12"/>
      <c r="AE693" s="12"/>
      <c r="AF693" s="12"/>
    </row>
    <row r="694" spans="1:32">
      <c r="A694" s="8"/>
      <c r="B694" s="8"/>
      <c r="C694" s="8"/>
      <c r="D694" s="8"/>
      <c r="E694" s="8"/>
      <c r="F694" s="8"/>
      <c r="G694" s="8"/>
      <c r="H694" s="8"/>
      <c r="I694" s="8"/>
      <c r="J694" s="8"/>
      <c r="K694" s="8"/>
      <c r="L694" s="8"/>
      <c r="M694" s="8"/>
      <c r="N694" s="8"/>
      <c r="O694" s="8"/>
      <c r="P694" s="8"/>
      <c r="Q694" s="8"/>
      <c r="R694" s="8"/>
      <c r="S694" s="8"/>
      <c r="T694" s="8"/>
      <c r="U694" s="12"/>
      <c r="V694" s="12"/>
      <c r="W694" s="12"/>
      <c r="X694" s="12"/>
      <c r="Y694" s="12"/>
      <c r="Z694" s="12"/>
      <c r="AA694" s="12"/>
      <c r="AB694" s="12"/>
      <c r="AC694" s="12"/>
      <c r="AD694" s="12"/>
      <c r="AE694" s="12"/>
      <c r="AF694" s="12"/>
    </row>
    <row r="695" spans="1:32">
      <c r="A695" s="8"/>
      <c r="B695" s="8"/>
      <c r="C695" s="8"/>
      <c r="D695" s="8"/>
      <c r="E695" s="8"/>
      <c r="F695" s="8"/>
      <c r="G695" s="8"/>
      <c r="H695" s="8"/>
      <c r="I695" s="8"/>
      <c r="J695" s="8"/>
      <c r="K695" s="8"/>
      <c r="L695" s="8"/>
      <c r="M695" s="8"/>
      <c r="N695" s="8"/>
      <c r="O695" s="8"/>
      <c r="P695" s="8"/>
      <c r="Q695" s="8"/>
      <c r="R695" s="8"/>
      <c r="S695" s="8"/>
      <c r="T695" s="8"/>
      <c r="U695" s="12"/>
      <c r="V695" s="12"/>
      <c r="W695" s="12"/>
      <c r="X695" s="12"/>
      <c r="Y695" s="12"/>
      <c r="Z695" s="12"/>
      <c r="AA695" s="12"/>
      <c r="AB695" s="12"/>
      <c r="AC695" s="12"/>
      <c r="AD695" s="12"/>
      <c r="AE695" s="12"/>
      <c r="AF695" s="12"/>
    </row>
    <row r="696" spans="1:32">
      <c r="A696" s="8"/>
      <c r="B696" s="8"/>
      <c r="C696" s="8"/>
      <c r="D696" s="8"/>
      <c r="E696" s="8"/>
      <c r="F696" s="8"/>
      <c r="G696" s="8"/>
      <c r="H696" s="8"/>
      <c r="I696" s="8"/>
      <c r="J696" s="8"/>
      <c r="K696" s="8"/>
      <c r="L696" s="8"/>
      <c r="M696" s="8"/>
      <c r="N696" s="8"/>
      <c r="O696" s="8"/>
      <c r="P696" s="8"/>
      <c r="Q696" s="8"/>
      <c r="R696" s="8"/>
      <c r="S696" s="8"/>
      <c r="T696" s="8"/>
      <c r="U696" s="12"/>
      <c r="V696" s="12"/>
      <c r="W696" s="12"/>
      <c r="X696" s="12"/>
      <c r="Y696" s="12"/>
      <c r="Z696" s="12"/>
      <c r="AA696" s="12"/>
      <c r="AB696" s="12"/>
      <c r="AC696" s="12"/>
      <c r="AD696" s="12"/>
      <c r="AE696" s="12"/>
      <c r="AF696" s="12"/>
    </row>
    <row r="697" spans="1:32">
      <c r="A697" s="8"/>
      <c r="B697" s="8"/>
      <c r="C697" s="8"/>
      <c r="D697" s="8"/>
      <c r="E697" s="8"/>
      <c r="F697" s="8"/>
      <c r="G697" s="8"/>
      <c r="H697" s="8"/>
      <c r="I697" s="8"/>
      <c r="J697" s="8"/>
      <c r="K697" s="8"/>
      <c r="L697" s="8"/>
      <c r="M697" s="8"/>
      <c r="N697" s="8"/>
      <c r="O697" s="8"/>
      <c r="P697" s="8"/>
      <c r="Q697" s="8"/>
      <c r="R697" s="8"/>
      <c r="S697" s="8"/>
      <c r="T697" s="8"/>
      <c r="U697" s="12"/>
      <c r="V697" s="12"/>
      <c r="W697" s="12"/>
      <c r="X697" s="12"/>
      <c r="Y697" s="12"/>
      <c r="Z697" s="12"/>
      <c r="AA697" s="12"/>
      <c r="AB697" s="12"/>
      <c r="AC697" s="12"/>
      <c r="AD697" s="12"/>
      <c r="AE697" s="12"/>
      <c r="AF697" s="12"/>
    </row>
    <row r="698" spans="1:32">
      <c r="A698" s="8"/>
      <c r="B698" s="8"/>
      <c r="C698" s="8"/>
      <c r="D698" s="8"/>
      <c r="E698" s="8"/>
      <c r="F698" s="8"/>
      <c r="G698" s="8"/>
      <c r="H698" s="8"/>
      <c r="I698" s="8"/>
      <c r="J698" s="8"/>
      <c r="K698" s="8"/>
      <c r="L698" s="8"/>
      <c r="M698" s="8"/>
      <c r="N698" s="8"/>
      <c r="O698" s="8"/>
      <c r="P698" s="8"/>
      <c r="Q698" s="8"/>
      <c r="R698" s="8"/>
      <c r="S698" s="8"/>
      <c r="T698" s="8"/>
      <c r="U698" s="12"/>
      <c r="V698" s="12"/>
      <c r="W698" s="12"/>
      <c r="X698" s="12"/>
      <c r="Y698" s="12"/>
      <c r="Z698" s="12"/>
      <c r="AA698" s="12"/>
      <c r="AB698" s="12"/>
      <c r="AC698" s="12"/>
      <c r="AD698" s="12"/>
      <c r="AE698" s="12"/>
      <c r="AF698" s="12"/>
    </row>
    <row r="699" spans="1:32">
      <c r="A699" s="8"/>
      <c r="B699" s="8"/>
      <c r="C699" s="8"/>
      <c r="D699" s="8"/>
      <c r="E699" s="8"/>
      <c r="F699" s="8"/>
      <c r="G699" s="8"/>
      <c r="H699" s="8"/>
      <c r="I699" s="8"/>
      <c r="J699" s="8"/>
      <c r="K699" s="8"/>
      <c r="L699" s="8"/>
      <c r="M699" s="8"/>
      <c r="N699" s="8"/>
      <c r="O699" s="8"/>
      <c r="P699" s="8"/>
      <c r="Q699" s="8"/>
      <c r="R699" s="8"/>
      <c r="S699" s="8"/>
      <c r="T699" s="8"/>
      <c r="U699" s="12"/>
      <c r="V699" s="12"/>
      <c r="W699" s="12"/>
      <c r="X699" s="12"/>
      <c r="Y699" s="12"/>
      <c r="Z699" s="12"/>
      <c r="AA699" s="12"/>
      <c r="AB699" s="12"/>
      <c r="AC699" s="12"/>
      <c r="AD699" s="12"/>
      <c r="AE699" s="12"/>
      <c r="AF699" s="12"/>
    </row>
    <row r="700" spans="1:32">
      <c r="A700" s="8"/>
      <c r="B700" s="8"/>
      <c r="C700" s="8"/>
      <c r="D700" s="8"/>
      <c r="E700" s="8"/>
      <c r="F700" s="8"/>
      <c r="G700" s="8"/>
      <c r="H700" s="8"/>
      <c r="I700" s="8"/>
      <c r="J700" s="8"/>
      <c r="K700" s="8"/>
      <c r="L700" s="8"/>
      <c r="M700" s="8"/>
      <c r="N700" s="8"/>
      <c r="O700" s="8"/>
      <c r="P700" s="8"/>
      <c r="Q700" s="8"/>
      <c r="R700" s="8"/>
      <c r="S700" s="8"/>
      <c r="T700" s="8"/>
      <c r="U700" s="12"/>
      <c r="V700" s="12"/>
      <c r="W700" s="12"/>
      <c r="X700" s="12"/>
      <c r="Y700" s="12"/>
      <c r="Z700" s="12"/>
      <c r="AA700" s="12"/>
      <c r="AB700" s="12"/>
      <c r="AC700" s="12"/>
      <c r="AD700" s="12"/>
      <c r="AE700" s="12"/>
      <c r="AF700" s="12"/>
    </row>
    <row r="701" spans="1:32">
      <c r="A701" s="8"/>
      <c r="B701" s="8"/>
      <c r="C701" s="8"/>
      <c r="D701" s="8"/>
      <c r="E701" s="8"/>
      <c r="F701" s="8"/>
      <c r="G701" s="8"/>
      <c r="H701" s="8"/>
      <c r="I701" s="8"/>
      <c r="J701" s="8"/>
      <c r="K701" s="8"/>
      <c r="L701" s="8"/>
      <c r="M701" s="8"/>
      <c r="N701" s="8"/>
      <c r="O701" s="8"/>
      <c r="P701" s="8"/>
      <c r="Q701" s="8"/>
      <c r="R701" s="8"/>
      <c r="S701" s="8"/>
      <c r="T701" s="8"/>
      <c r="U701" s="12"/>
      <c r="V701" s="12"/>
      <c r="W701" s="12"/>
      <c r="X701" s="12"/>
      <c r="Y701" s="12"/>
      <c r="Z701" s="12"/>
      <c r="AA701" s="12"/>
      <c r="AB701" s="12"/>
      <c r="AC701" s="12"/>
      <c r="AD701" s="12"/>
      <c r="AE701" s="12"/>
      <c r="AF701" s="12"/>
    </row>
    <row r="702" spans="1:32">
      <c r="A702" s="8"/>
      <c r="B702" s="8"/>
      <c r="C702" s="8"/>
      <c r="D702" s="8"/>
      <c r="E702" s="8"/>
      <c r="F702" s="8"/>
      <c r="G702" s="8"/>
      <c r="H702" s="8"/>
      <c r="I702" s="8"/>
      <c r="J702" s="8"/>
      <c r="K702" s="8"/>
      <c r="L702" s="8"/>
      <c r="M702" s="8"/>
      <c r="N702" s="8"/>
      <c r="O702" s="8"/>
      <c r="P702" s="8"/>
      <c r="Q702" s="8"/>
      <c r="R702" s="8"/>
      <c r="S702" s="8"/>
      <c r="T702" s="8"/>
      <c r="U702" s="12"/>
      <c r="V702" s="12"/>
      <c r="W702" s="12"/>
      <c r="X702" s="12"/>
      <c r="Y702" s="12"/>
      <c r="Z702" s="12"/>
      <c r="AA702" s="12"/>
      <c r="AB702" s="12"/>
      <c r="AC702" s="12"/>
      <c r="AD702" s="12"/>
      <c r="AE702" s="12"/>
      <c r="AF702" s="12"/>
    </row>
    <row r="703" spans="1:32">
      <c r="A703" s="8"/>
      <c r="B703" s="8"/>
      <c r="C703" s="8"/>
      <c r="D703" s="8"/>
      <c r="E703" s="8"/>
      <c r="F703" s="8"/>
      <c r="G703" s="8"/>
      <c r="H703" s="8"/>
      <c r="I703" s="8"/>
      <c r="J703" s="8"/>
      <c r="K703" s="8"/>
      <c r="L703" s="8"/>
      <c r="M703" s="8"/>
      <c r="N703" s="8"/>
      <c r="O703" s="8"/>
      <c r="P703" s="8"/>
      <c r="Q703" s="8"/>
      <c r="R703" s="8"/>
      <c r="S703" s="8"/>
      <c r="T703" s="8"/>
      <c r="U703" s="12"/>
      <c r="V703" s="12"/>
      <c r="W703" s="12"/>
      <c r="X703" s="12"/>
      <c r="Y703" s="12"/>
      <c r="Z703" s="12"/>
      <c r="AA703" s="12"/>
      <c r="AB703" s="12"/>
      <c r="AC703" s="12"/>
      <c r="AD703" s="12"/>
      <c r="AE703" s="12"/>
      <c r="AF703" s="12"/>
    </row>
    <row r="704" spans="1:32">
      <c r="A704" s="8"/>
      <c r="B704" s="8"/>
      <c r="C704" s="8"/>
      <c r="D704" s="8"/>
      <c r="E704" s="8"/>
      <c r="F704" s="8"/>
      <c r="G704" s="8"/>
      <c r="H704" s="8"/>
      <c r="I704" s="8"/>
      <c r="J704" s="8"/>
      <c r="K704" s="8"/>
      <c r="L704" s="8"/>
      <c r="M704" s="8"/>
      <c r="N704" s="8"/>
      <c r="O704" s="8"/>
      <c r="P704" s="8"/>
      <c r="Q704" s="8"/>
      <c r="R704" s="8"/>
      <c r="S704" s="8"/>
      <c r="T704" s="8"/>
      <c r="U704" s="12"/>
      <c r="V704" s="12"/>
      <c r="W704" s="12"/>
      <c r="X704" s="12"/>
      <c r="Y704" s="12"/>
      <c r="Z704" s="12"/>
      <c r="AA704" s="12"/>
      <c r="AB704" s="12"/>
      <c r="AC704" s="12"/>
      <c r="AD704" s="12"/>
      <c r="AE704" s="12"/>
      <c r="AF704" s="12"/>
    </row>
    <row r="705" spans="1:32">
      <c r="A705" s="8"/>
      <c r="B705" s="8"/>
      <c r="C705" s="8"/>
      <c r="D705" s="8"/>
      <c r="E705" s="8"/>
      <c r="F705" s="8"/>
      <c r="G705" s="8"/>
      <c r="H705" s="8"/>
      <c r="I705" s="8"/>
      <c r="J705" s="8"/>
      <c r="K705" s="8"/>
      <c r="L705" s="8"/>
      <c r="M705" s="8"/>
      <c r="N705" s="8"/>
      <c r="O705" s="8"/>
      <c r="P705" s="8"/>
      <c r="Q705" s="8"/>
      <c r="R705" s="8"/>
      <c r="S705" s="8"/>
      <c r="T705" s="8"/>
      <c r="U705" s="12"/>
      <c r="V705" s="12"/>
      <c r="W705" s="12"/>
      <c r="X705" s="12"/>
      <c r="Y705" s="12"/>
      <c r="Z705" s="12"/>
      <c r="AA705" s="12"/>
      <c r="AB705" s="12"/>
      <c r="AC705" s="12"/>
      <c r="AD705" s="12"/>
      <c r="AE705" s="12"/>
      <c r="AF705" s="12"/>
    </row>
    <row r="706" spans="1:32">
      <c r="A706" s="8"/>
      <c r="B706" s="8"/>
      <c r="C706" s="8"/>
      <c r="D706" s="8"/>
      <c r="E706" s="8"/>
      <c r="F706" s="8"/>
      <c r="G706" s="8"/>
      <c r="H706" s="8"/>
      <c r="I706" s="8"/>
      <c r="J706" s="8"/>
      <c r="K706" s="8"/>
      <c r="L706" s="8"/>
      <c r="M706" s="8"/>
      <c r="N706" s="8"/>
      <c r="O706" s="8"/>
      <c r="P706" s="8"/>
      <c r="Q706" s="8"/>
      <c r="R706" s="8"/>
      <c r="S706" s="8"/>
      <c r="T706" s="8"/>
      <c r="U706" s="12"/>
      <c r="V706" s="12"/>
      <c r="W706" s="12"/>
      <c r="X706" s="12"/>
      <c r="Y706" s="12"/>
      <c r="Z706" s="12"/>
      <c r="AA706" s="12"/>
      <c r="AB706" s="12"/>
      <c r="AC706" s="12"/>
      <c r="AD706" s="12"/>
      <c r="AE706" s="12"/>
      <c r="AF706" s="12"/>
    </row>
    <row r="707" spans="1:32">
      <c r="A707" s="8"/>
      <c r="B707" s="8"/>
      <c r="C707" s="8"/>
      <c r="D707" s="8"/>
      <c r="E707" s="8"/>
      <c r="F707" s="8"/>
      <c r="G707" s="8"/>
      <c r="H707" s="8"/>
      <c r="I707" s="8"/>
      <c r="J707" s="8"/>
      <c r="K707" s="8"/>
      <c r="L707" s="8"/>
      <c r="M707" s="8"/>
      <c r="N707" s="8"/>
      <c r="O707" s="8"/>
      <c r="P707" s="8"/>
      <c r="Q707" s="8"/>
      <c r="R707" s="8"/>
      <c r="S707" s="8"/>
      <c r="T707" s="8"/>
      <c r="U707" s="12"/>
      <c r="V707" s="12"/>
      <c r="W707" s="12"/>
      <c r="X707" s="12"/>
      <c r="Y707" s="12"/>
      <c r="Z707" s="12"/>
      <c r="AA707" s="12"/>
      <c r="AB707" s="12"/>
      <c r="AC707" s="12"/>
      <c r="AD707" s="12"/>
      <c r="AE707" s="12"/>
      <c r="AF707" s="12"/>
    </row>
    <row r="708" spans="1:32">
      <c r="A708" s="8"/>
      <c r="B708" s="8"/>
      <c r="C708" s="8"/>
      <c r="D708" s="8"/>
      <c r="E708" s="8"/>
      <c r="F708" s="8"/>
      <c r="G708" s="8"/>
      <c r="H708" s="8"/>
      <c r="I708" s="8"/>
      <c r="J708" s="8"/>
      <c r="K708" s="8"/>
      <c r="L708" s="8"/>
      <c r="M708" s="8"/>
      <c r="N708" s="8"/>
      <c r="O708" s="8"/>
      <c r="P708" s="8"/>
      <c r="Q708" s="8"/>
      <c r="R708" s="8"/>
      <c r="S708" s="8"/>
      <c r="T708" s="8"/>
      <c r="U708" s="12"/>
      <c r="V708" s="12"/>
      <c r="W708" s="12"/>
      <c r="X708" s="12"/>
      <c r="Y708" s="12"/>
      <c r="Z708" s="12"/>
      <c r="AA708" s="12"/>
      <c r="AB708" s="12"/>
      <c r="AC708" s="12"/>
      <c r="AD708" s="12"/>
      <c r="AE708" s="12"/>
      <c r="AF708" s="12"/>
    </row>
    <row r="709" spans="1:32">
      <c r="A709" s="8"/>
      <c r="B709" s="8"/>
      <c r="C709" s="8"/>
      <c r="D709" s="8"/>
      <c r="E709" s="8"/>
      <c r="F709" s="8"/>
      <c r="G709" s="8"/>
      <c r="H709" s="8"/>
      <c r="I709" s="8"/>
      <c r="J709" s="8"/>
      <c r="K709" s="8"/>
      <c r="L709" s="8"/>
      <c r="M709" s="8"/>
      <c r="N709" s="8"/>
      <c r="O709" s="8"/>
      <c r="P709" s="8"/>
      <c r="Q709" s="8"/>
      <c r="R709" s="8"/>
      <c r="S709" s="8"/>
      <c r="T709" s="8"/>
      <c r="U709" s="12"/>
      <c r="V709" s="12"/>
      <c r="W709" s="12"/>
      <c r="X709" s="12"/>
      <c r="Y709" s="12"/>
      <c r="Z709" s="12"/>
      <c r="AA709" s="12"/>
      <c r="AB709" s="12"/>
      <c r="AC709" s="12"/>
      <c r="AD709" s="12"/>
      <c r="AE709" s="12"/>
      <c r="AF709" s="12"/>
    </row>
    <row r="710" spans="1:32">
      <c r="A710" s="8"/>
      <c r="B710" s="8"/>
      <c r="C710" s="8"/>
      <c r="D710" s="8"/>
      <c r="E710" s="8"/>
      <c r="F710" s="8"/>
      <c r="G710" s="8"/>
      <c r="H710" s="8"/>
      <c r="I710" s="8"/>
      <c r="J710" s="8"/>
      <c r="K710" s="8"/>
      <c r="L710" s="8"/>
      <c r="M710" s="8"/>
      <c r="N710" s="8"/>
      <c r="O710" s="8"/>
      <c r="P710" s="8"/>
      <c r="Q710" s="8"/>
      <c r="R710" s="8"/>
      <c r="S710" s="8"/>
      <c r="T710" s="8"/>
      <c r="U710" s="12"/>
      <c r="V710" s="12"/>
      <c r="W710" s="12"/>
      <c r="X710" s="12"/>
      <c r="Y710" s="12"/>
      <c r="Z710" s="12"/>
      <c r="AA710" s="12"/>
      <c r="AB710" s="12"/>
      <c r="AC710" s="12"/>
      <c r="AD710" s="12"/>
      <c r="AE710" s="12"/>
      <c r="AF710" s="12"/>
    </row>
    <row r="711" spans="1:32">
      <c r="A711" s="8"/>
      <c r="B711" s="8"/>
      <c r="C711" s="8"/>
      <c r="D711" s="8"/>
      <c r="E711" s="8"/>
      <c r="F711" s="8"/>
      <c r="G711" s="8"/>
      <c r="H711" s="8"/>
      <c r="I711" s="8"/>
      <c r="J711" s="8"/>
      <c r="K711" s="8"/>
      <c r="L711" s="8"/>
      <c r="M711" s="8"/>
      <c r="N711" s="8"/>
      <c r="O711" s="8"/>
      <c r="P711" s="8"/>
      <c r="Q711" s="8"/>
      <c r="R711" s="8"/>
      <c r="S711" s="8"/>
      <c r="T711" s="8"/>
      <c r="U711" s="12"/>
      <c r="V711" s="12"/>
      <c r="W711" s="12"/>
      <c r="X711" s="12"/>
      <c r="Y711" s="12"/>
      <c r="Z711" s="12"/>
      <c r="AA711" s="12"/>
      <c r="AB711" s="12"/>
      <c r="AC711" s="12"/>
      <c r="AD711" s="12"/>
      <c r="AE711" s="12"/>
      <c r="AF711" s="12"/>
    </row>
    <row r="712" spans="1:32">
      <c r="A712" s="8"/>
      <c r="B712" s="8"/>
      <c r="C712" s="8"/>
      <c r="D712" s="8"/>
      <c r="E712" s="8"/>
      <c r="F712" s="8"/>
      <c r="G712" s="8"/>
      <c r="H712" s="8"/>
      <c r="I712" s="8"/>
      <c r="J712" s="8"/>
      <c r="K712" s="8"/>
      <c r="L712" s="8"/>
      <c r="M712" s="8"/>
      <c r="N712" s="8"/>
      <c r="O712" s="8"/>
      <c r="P712" s="8"/>
      <c r="Q712" s="8"/>
      <c r="R712" s="8"/>
      <c r="S712" s="8"/>
      <c r="T712" s="8"/>
      <c r="U712" s="12"/>
      <c r="V712" s="12"/>
      <c r="W712" s="12"/>
      <c r="X712" s="12"/>
      <c r="Y712" s="12"/>
      <c r="Z712" s="12"/>
      <c r="AA712" s="12"/>
      <c r="AB712" s="12"/>
      <c r="AC712" s="12"/>
      <c r="AD712" s="12"/>
      <c r="AE712" s="12"/>
      <c r="AF712" s="12"/>
    </row>
    <row r="713" spans="1:32">
      <c r="A713" s="8"/>
      <c r="B713" s="8"/>
      <c r="C713" s="8"/>
      <c r="D713" s="8"/>
      <c r="E713" s="8"/>
      <c r="F713" s="8"/>
      <c r="G713" s="8"/>
      <c r="H713" s="8"/>
      <c r="I713" s="8"/>
      <c r="J713" s="8"/>
      <c r="K713" s="8"/>
      <c r="L713" s="8"/>
      <c r="M713" s="8"/>
      <c r="N713" s="8"/>
      <c r="O713" s="8"/>
      <c r="P713" s="8"/>
      <c r="Q713" s="8"/>
      <c r="R713" s="8"/>
      <c r="S713" s="8"/>
      <c r="T713" s="8"/>
      <c r="U713" s="12"/>
      <c r="V713" s="12"/>
      <c r="W713" s="12"/>
      <c r="X713" s="12"/>
      <c r="Y713" s="12"/>
      <c r="Z713" s="12"/>
      <c r="AA713" s="12"/>
      <c r="AB713" s="12"/>
      <c r="AC713" s="12"/>
      <c r="AD713" s="12"/>
      <c r="AE713" s="12"/>
      <c r="AF713" s="12"/>
    </row>
    <row r="714" spans="1:32">
      <c r="A714" s="8"/>
      <c r="B714" s="8"/>
      <c r="C714" s="8"/>
      <c r="D714" s="8"/>
      <c r="E714" s="8"/>
      <c r="F714" s="8"/>
      <c r="G714" s="8"/>
      <c r="H714" s="8"/>
      <c r="I714" s="8"/>
      <c r="J714" s="8"/>
      <c r="K714" s="8"/>
      <c r="L714" s="8"/>
      <c r="M714" s="8"/>
      <c r="N714" s="8"/>
      <c r="O714" s="8"/>
      <c r="P714" s="8"/>
      <c r="Q714" s="8"/>
      <c r="R714" s="8"/>
      <c r="S714" s="8"/>
      <c r="T714" s="8"/>
      <c r="U714" s="12"/>
      <c r="V714" s="12"/>
      <c r="W714" s="12"/>
      <c r="X714" s="12"/>
      <c r="Y714" s="12"/>
      <c r="Z714" s="12"/>
      <c r="AA714" s="12"/>
      <c r="AB714" s="12"/>
      <c r="AC714" s="12"/>
      <c r="AD714" s="12"/>
      <c r="AE714" s="12"/>
      <c r="AF714" s="12"/>
    </row>
    <row r="715" spans="1:32">
      <c r="A715" s="8"/>
      <c r="B715" s="8"/>
      <c r="C715" s="8"/>
      <c r="D715" s="8"/>
      <c r="E715" s="8"/>
      <c r="F715" s="8"/>
      <c r="G715" s="8"/>
      <c r="H715" s="8"/>
      <c r="I715" s="8"/>
      <c r="J715" s="8"/>
      <c r="K715" s="8"/>
      <c r="L715" s="8"/>
      <c r="M715" s="8"/>
      <c r="N715" s="8"/>
      <c r="O715" s="8"/>
      <c r="P715" s="8"/>
      <c r="Q715" s="8"/>
      <c r="R715" s="8"/>
      <c r="S715" s="8"/>
      <c r="T715" s="8"/>
      <c r="U715" s="12"/>
      <c r="V715" s="12"/>
      <c r="W715" s="12"/>
      <c r="X715" s="12"/>
      <c r="Y715" s="12"/>
      <c r="Z715" s="12"/>
      <c r="AA715" s="12"/>
      <c r="AB715" s="12"/>
      <c r="AC715" s="12"/>
      <c r="AD715" s="12"/>
      <c r="AE715" s="12"/>
      <c r="AF715" s="12"/>
    </row>
    <row r="716" spans="1:32">
      <c r="A716" s="8"/>
      <c r="B716" s="8"/>
      <c r="C716" s="8"/>
      <c r="D716" s="8"/>
      <c r="E716" s="8"/>
      <c r="F716" s="8"/>
      <c r="G716" s="8"/>
      <c r="H716" s="8"/>
      <c r="I716" s="8"/>
      <c r="J716" s="8"/>
      <c r="K716" s="8"/>
      <c r="L716" s="8"/>
      <c r="M716" s="8"/>
      <c r="N716" s="8"/>
      <c r="O716" s="8"/>
      <c r="P716" s="8"/>
      <c r="Q716" s="8"/>
      <c r="R716" s="8"/>
      <c r="S716" s="8"/>
      <c r="T716" s="8"/>
      <c r="U716" s="12"/>
      <c r="V716" s="12"/>
      <c r="W716" s="12"/>
      <c r="X716" s="12"/>
      <c r="Y716" s="12"/>
      <c r="Z716" s="12"/>
      <c r="AA716" s="12"/>
      <c r="AB716" s="12"/>
      <c r="AC716" s="12"/>
      <c r="AD716" s="12"/>
      <c r="AE716" s="12"/>
      <c r="AF716" s="12"/>
    </row>
    <row r="717" spans="1:32">
      <c r="A717" s="8"/>
      <c r="B717" s="8"/>
      <c r="C717" s="8"/>
      <c r="D717" s="8"/>
      <c r="E717" s="8"/>
      <c r="F717" s="8"/>
      <c r="G717" s="8"/>
      <c r="H717" s="8"/>
      <c r="I717" s="8"/>
      <c r="J717" s="8"/>
      <c r="K717" s="8"/>
      <c r="L717" s="8"/>
      <c r="M717" s="8"/>
      <c r="N717" s="8"/>
      <c r="O717" s="8"/>
      <c r="P717" s="8"/>
      <c r="Q717" s="8"/>
      <c r="R717" s="8"/>
      <c r="S717" s="8"/>
      <c r="T717" s="8"/>
      <c r="U717" s="12"/>
      <c r="V717" s="12"/>
      <c r="W717" s="12"/>
      <c r="X717" s="12"/>
      <c r="Y717" s="12"/>
      <c r="Z717" s="12"/>
      <c r="AA717" s="12"/>
      <c r="AB717" s="12"/>
      <c r="AC717" s="12"/>
      <c r="AD717" s="12"/>
      <c r="AE717" s="12"/>
      <c r="AF717" s="12"/>
    </row>
    <row r="718" spans="1:32">
      <c r="A718" s="8"/>
      <c r="B718" s="8"/>
      <c r="C718" s="8"/>
      <c r="D718" s="8"/>
      <c r="E718" s="8"/>
      <c r="F718" s="8"/>
      <c r="G718" s="8"/>
      <c r="H718" s="8"/>
      <c r="I718" s="8"/>
      <c r="J718" s="8"/>
      <c r="K718" s="8"/>
      <c r="L718" s="8"/>
      <c r="M718" s="8"/>
      <c r="N718" s="8"/>
      <c r="O718" s="8"/>
      <c r="P718" s="8"/>
      <c r="Q718" s="8"/>
      <c r="R718" s="8"/>
      <c r="S718" s="8"/>
      <c r="T718" s="8"/>
      <c r="U718" s="12"/>
      <c r="V718" s="12"/>
      <c r="W718" s="12"/>
      <c r="X718" s="12"/>
      <c r="Y718" s="12"/>
      <c r="Z718" s="12"/>
      <c r="AA718" s="12"/>
      <c r="AB718" s="12"/>
      <c r="AC718" s="12"/>
      <c r="AD718" s="12"/>
      <c r="AE718" s="12"/>
      <c r="AF718" s="12"/>
    </row>
    <row r="719" spans="1:32">
      <c r="A719" s="8"/>
      <c r="B719" s="8"/>
      <c r="C719" s="8"/>
      <c r="D719" s="8"/>
      <c r="E719" s="8"/>
      <c r="F719" s="8"/>
      <c r="G719" s="8"/>
      <c r="H719" s="8"/>
      <c r="I719" s="8"/>
      <c r="J719" s="8"/>
      <c r="K719" s="8"/>
      <c r="L719" s="8"/>
      <c r="M719" s="8"/>
      <c r="N719" s="8"/>
      <c r="O719" s="8"/>
      <c r="P719" s="8"/>
      <c r="Q719" s="8"/>
      <c r="R719" s="8"/>
      <c r="S719" s="8"/>
      <c r="T719" s="8"/>
      <c r="U719" s="12"/>
      <c r="V719" s="12"/>
      <c r="W719" s="12"/>
      <c r="X719" s="12"/>
      <c r="Y719" s="12"/>
      <c r="Z719" s="12"/>
      <c r="AA719" s="12"/>
      <c r="AB719" s="12"/>
      <c r="AC719" s="12"/>
      <c r="AD719" s="12"/>
      <c r="AE719" s="12"/>
      <c r="AF719" s="12"/>
    </row>
    <row r="720" spans="1:32">
      <c r="A720" s="8"/>
      <c r="B720" s="8"/>
      <c r="C720" s="8"/>
      <c r="D720" s="8"/>
      <c r="E720" s="8"/>
      <c r="F720" s="8"/>
      <c r="G720" s="8"/>
      <c r="H720" s="8"/>
      <c r="I720" s="8"/>
      <c r="J720" s="8"/>
      <c r="K720" s="8"/>
      <c r="L720" s="8"/>
      <c r="M720" s="8"/>
      <c r="N720" s="8"/>
      <c r="O720" s="8"/>
      <c r="P720" s="8"/>
      <c r="Q720" s="8"/>
      <c r="R720" s="8"/>
      <c r="S720" s="8"/>
      <c r="T720" s="8"/>
      <c r="U720" s="12"/>
      <c r="V720" s="12"/>
      <c r="W720" s="12"/>
      <c r="X720" s="12"/>
      <c r="Y720" s="12"/>
      <c r="Z720" s="12"/>
      <c r="AA720" s="12"/>
      <c r="AB720" s="12"/>
      <c r="AC720" s="12"/>
      <c r="AD720" s="12"/>
      <c r="AE720" s="12"/>
      <c r="AF720" s="12"/>
    </row>
    <row r="721" spans="1:32">
      <c r="A721" s="8"/>
      <c r="B721" s="8"/>
      <c r="C721" s="8"/>
      <c r="D721" s="8"/>
      <c r="E721" s="8"/>
      <c r="F721" s="8"/>
      <c r="G721" s="8"/>
      <c r="H721" s="8"/>
      <c r="I721" s="8"/>
      <c r="J721" s="8"/>
      <c r="K721" s="8"/>
      <c r="L721" s="8"/>
      <c r="M721" s="8"/>
      <c r="N721" s="8"/>
      <c r="O721" s="8"/>
      <c r="P721" s="8"/>
      <c r="Q721" s="8"/>
      <c r="R721" s="8"/>
      <c r="S721" s="8"/>
      <c r="T721" s="8"/>
      <c r="U721" s="12"/>
      <c r="V721" s="12"/>
      <c r="W721" s="12"/>
      <c r="X721" s="12"/>
      <c r="Y721" s="12"/>
      <c r="Z721" s="12"/>
      <c r="AA721" s="12"/>
      <c r="AB721" s="12"/>
      <c r="AC721" s="12"/>
      <c r="AD721" s="12"/>
      <c r="AE721" s="12"/>
      <c r="AF721" s="12"/>
    </row>
    <row r="722" spans="1:32">
      <c r="A722" s="8"/>
      <c r="B722" s="8"/>
      <c r="C722" s="8"/>
      <c r="D722" s="8"/>
      <c r="E722" s="8"/>
      <c r="F722" s="8"/>
      <c r="G722" s="8"/>
      <c r="H722" s="8"/>
      <c r="I722" s="8"/>
      <c r="J722" s="8"/>
      <c r="K722" s="8"/>
      <c r="L722" s="8"/>
      <c r="M722" s="8"/>
      <c r="N722" s="8"/>
      <c r="O722" s="8"/>
      <c r="P722" s="8"/>
      <c r="Q722" s="8"/>
      <c r="R722" s="8"/>
      <c r="S722" s="8"/>
      <c r="T722" s="8"/>
      <c r="U722" s="12"/>
      <c r="V722" s="12"/>
      <c r="W722" s="12"/>
      <c r="X722" s="12"/>
      <c r="Y722" s="12"/>
      <c r="Z722" s="12"/>
      <c r="AA722" s="12"/>
      <c r="AB722" s="12"/>
      <c r="AC722" s="12"/>
      <c r="AD722" s="12"/>
      <c r="AE722" s="12"/>
      <c r="AF722" s="12"/>
    </row>
    <row r="723" spans="1:32">
      <c r="A723" s="8"/>
      <c r="B723" s="8"/>
      <c r="C723" s="8"/>
      <c r="D723" s="8"/>
      <c r="E723" s="8"/>
      <c r="F723" s="8"/>
      <c r="G723" s="8"/>
      <c r="H723" s="8"/>
      <c r="I723" s="8"/>
      <c r="J723" s="8"/>
      <c r="K723" s="8"/>
      <c r="L723" s="8"/>
      <c r="M723" s="8"/>
      <c r="N723" s="8"/>
      <c r="O723" s="8"/>
      <c r="P723" s="8"/>
      <c r="Q723" s="8"/>
      <c r="R723" s="8"/>
      <c r="S723" s="8"/>
      <c r="T723" s="8"/>
      <c r="U723" s="12"/>
      <c r="V723" s="12"/>
      <c r="W723" s="12"/>
      <c r="X723" s="12"/>
      <c r="Y723" s="12"/>
      <c r="Z723" s="12"/>
      <c r="AA723" s="12"/>
      <c r="AB723" s="12"/>
      <c r="AC723" s="12"/>
      <c r="AD723" s="12"/>
      <c r="AE723" s="12"/>
      <c r="AF723" s="12"/>
    </row>
    <row r="724" spans="1:32">
      <c r="A724" s="8"/>
      <c r="B724" s="8"/>
      <c r="C724" s="8"/>
      <c r="D724" s="8"/>
      <c r="E724" s="8"/>
      <c r="F724" s="8"/>
      <c r="G724" s="8"/>
      <c r="H724" s="8"/>
      <c r="I724" s="8"/>
      <c r="J724" s="8"/>
      <c r="K724" s="8"/>
      <c r="L724" s="8"/>
      <c r="M724" s="8"/>
      <c r="N724" s="8"/>
      <c r="O724" s="8"/>
      <c r="P724" s="8"/>
      <c r="Q724" s="8"/>
      <c r="R724" s="8"/>
      <c r="S724" s="8"/>
      <c r="T724" s="8"/>
      <c r="U724" s="12"/>
      <c r="V724" s="12"/>
      <c r="W724" s="12"/>
      <c r="X724" s="12"/>
      <c r="Y724" s="12"/>
      <c r="Z724" s="12"/>
      <c r="AA724" s="12"/>
      <c r="AB724" s="12"/>
      <c r="AC724" s="12"/>
      <c r="AD724" s="12"/>
      <c r="AE724" s="12"/>
      <c r="AF724" s="12"/>
    </row>
    <row r="725" spans="1:32">
      <c r="A725" s="8"/>
      <c r="B725" s="8"/>
      <c r="C725" s="8"/>
      <c r="D725" s="8"/>
      <c r="E725" s="8"/>
      <c r="F725" s="8"/>
      <c r="G725" s="8"/>
      <c r="H725" s="8"/>
      <c r="I725" s="8"/>
      <c r="J725" s="8"/>
      <c r="K725" s="8"/>
      <c r="L725" s="8"/>
      <c r="M725" s="8"/>
      <c r="N725" s="8"/>
      <c r="O725" s="8"/>
      <c r="P725" s="8"/>
      <c r="Q725" s="8"/>
      <c r="R725" s="8"/>
      <c r="S725" s="8"/>
      <c r="T725" s="8"/>
      <c r="U725" s="12"/>
      <c r="V725" s="12"/>
      <c r="W725" s="12"/>
      <c r="X725" s="12"/>
      <c r="Y725" s="12"/>
      <c r="Z725" s="12"/>
      <c r="AA725" s="12"/>
      <c r="AB725" s="12"/>
      <c r="AC725" s="12"/>
      <c r="AD725" s="12"/>
      <c r="AE725" s="12"/>
      <c r="AF725" s="12"/>
    </row>
    <row r="726" spans="1:32">
      <c r="A726" s="8"/>
      <c r="B726" s="8"/>
      <c r="C726" s="8"/>
      <c r="D726" s="8"/>
      <c r="E726" s="8"/>
      <c r="F726" s="8"/>
      <c r="G726" s="8"/>
      <c r="H726" s="8"/>
      <c r="I726" s="8"/>
      <c r="J726" s="8"/>
      <c r="K726" s="8"/>
      <c r="L726" s="8"/>
      <c r="M726" s="8"/>
      <c r="N726" s="8"/>
      <c r="O726" s="8"/>
      <c r="P726" s="8"/>
      <c r="Q726" s="8"/>
      <c r="R726" s="8"/>
      <c r="S726" s="8"/>
      <c r="T726" s="8"/>
      <c r="U726" s="12"/>
      <c r="V726" s="12"/>
      <c r="W726" s="12"/>
      <c r="X726" s="12"/>
      <c r="Y726" s="12"/>
      <c r="Z726" s="12"/>
      <c r="AA726" s="12"/>
      <c r="AB726" s="12"/>
      <c r="AC726" s="12"/>
      <c r="AD726" s="12"/>
      <c r="AE726" s="12"/>
      <c r="AF726" s="12"/>
    </row>
    <row r="727" spans="1:32">
      <c r="A727" s="8"/>
      <c r="B727" s="8"/>
      <c r="C727" s="8"/>
      <c r="D727" s="8"/>
      <c r="E727" s="8"/>
      <c r="F727" s="8"/>
      <c r="G727" s="8"/>
      <c r="H727" s="8"/>
      <c r="I727" s="8"/>
      <c r="J727" s="8"/>
      <c r="K727" s="8"/>
      <c r="L727" s="8"/>
      <c r="M727" s="8"/>
      <c r="N727" s="8"/>
      <c r="O727" s="8"/>
      <c r="P727" s="8"/>
      <c r="Q727" s="8"/>
      <c r="R727" s="8"/>
      <c r="S727" s="8"/>
      <c r="T727" s="8"/>
      <c r="U727" s="12"/>
      <c r="V727" s="12"/>
      <c r="W727" s="12"/>
      <c r="X727" s="12"/>
      <c r="Y727" s="12"/>
      <c r="Z727" s="12"/>
      <c r="AA727" s="12"/>
      <c r="AB727" s="12"/>
      <c r="AC727" s="12"/>
      <c r="AD727" s="12"/>
      <c r="AE727" s="12"/>
      <c r="AF727" s="12"/>
    </row>
    <row r="728" spans="1:32">
      <c r="A728" s="8"/>
      <c r="B728" s="8"/>
      <c r="C728" s="8"/>
      <c r="D728" s="8"/>
      <c r="E728" s="8"/>
      <c r="F728" s="8"/>
      <c r="G728" s="8"/>
      <c r="H728" s="8"/>
      <c r="I728" s="8"/>
      <c r="J728" s="8"/>
      <c r="K728" s="8"/>
      <c r="L728" s="8"/>
      <c r="M728" s="8"/>
      <c r="N728" s="8"/>
      <c r="O728" s="8"/>
      <c r="P728" s="8"/>
      <c r="Q728" s="8"/>
      <c r="R728" s="8"/>
      <c r="S728" s="8"/>
      <c r="T728" s="8"/>
      <c r="U728" s="12"/>
      <c r="V728" s="12"/>
      <c r="W728" s="12"/>
      <c r="X728" s="12"/>
      <c r="Y728" s="12"/>
      <c r="Z728" s="12"/>
      <c r="AA728" s="12"/>
      <c r="AB728" s="12"/>
      <c r="AC728" s="12"/>
      <c r="AD728" s="12"/>
      <c r="AE728" s="12"/>
      <c r="AF728" s="12"/>
    </row>
    <row r="729" spans="1:32">
      <c r="A729" s="8"/>
      <c r="B729" s="8"/>
      <c r="C729" s="8"/>
      <c r="D729" s="8"/>
      <c r="E729" s="8"/>
      <c r="F729" s="8"/>
      <c r="G729" s="8"/>
      <c r="H729" s="8"/>
      <c r="I729" s="8"/>
      <c r="J729" s="8"/>
      <c r="K729" s="8"/>
      <c r="L729" s="8"/>
      <c r="M729" s="8"/>
      <c r="N729" s="8"/>
      <c r="O729" s="8"/>
      <c r="P729" s="8"/>
      <c r="Q729" s="8"/>
      <c r="R729" s="8"/>
      <c r="S729" s="8"/>
      <c r="T729" s="8"/>
      <c r="U729" s="12"/>
      <c r="V729" s="12"/>
      <c r="W729" s="12"/>
      <c r="X729" s="12"/>
      <c r="Y729" s="12"/>
      <c r="Z729" s="12"/>
      <c r="AA729" s="12"/>
      <c r="AB729" s="12"/>
      <c r="AC729" s="12"/>
      <c r="AD729" s="12"/>
      <c r="AE729" s="12"/>
      <c r="AF729" s="12"/>
    </row>
    <row r="730" spans="1:32">
      <c r="A730" s="8"/>
      <c r="B730" s="8"/>
      <c r="C730" s="8"/>
      <c r="D730" s="8"/>
      <c r="E730" s="8"/>
      <c r="F730" s="8"/>
      <c r="G730" s="8"/>
      <c r="H730" s="8"/>
      <c r="I730" s="8"/>
      <c r="J730" s="8"/>
      <c r="K730" s="8"/>
      <c r="L730" s="8"/>
      <c r="M730" s="8"/>
      <c r="N730" s="8"/>
      <c r="O730" s="8"/>
      <c r="P730" s="8"/>
      <c r="Q730" s="8"/>
      <c r="R730" s="8"/>
      <c r="S730" s="8"/>
      <c r="T730" s="8"/>
      <c r="U730" s="12"/>
      <c r="V730" s="12"/>
      <c r="W730" s="12"/>
      <c r="X730" s="12"/>
      <c r="Y730" s="12"/>
      <c r="Z730" s="12"/>
      <c r="AA730" s="12"/>
      <c r="AB730" s="12"/>
      <c r="AC730" s="12"/>
      <c r="AD730" s="12"/>
      <c r="AE730" s="12"/>
      <c r="AF730" s="12"/>
    </row>
    <row r="731" spans="1:32">
      <c r="A731" s="8"/>
      <c r="B731" s="8"/>
      <c r="C731" s="8"/>
      <c r="D731" s="8"/>
      <c r="E731" s="8"/>
      <c r="F731" s="8"/>
      <c r="G731" s="8"/>
      <c r="H731" s="8"/>
      <c r="I731" s="8"/>
      <c r="J731" s="8"/>
      <c r="K731" s="8"/>
      <c r="L731" s="8"/>
      <c r="M731" s="8"/>
      <c r="N731" s="8"/>
      <c r="O731" s="8"/>
      <c r="P731" s="8"/>
      <c r="Q731" s="8"/>
      <c r="R731" s="8"/>
      <c r="S731" s="8"/>
      <c r="T731" s="8"/>
      <c r="U731" s="12"/>
      <c r="V731" s="12"/>
      <c r="W731" s="12"/>
      <c r="X731" s="12"/>
      <c r="Y731" s="12"/>
      <c r="Z731" s="12"/>
      <c r="AA731" s="12"/>
      <c r="AB731" s="12"/>
      <c r="AC731" s="12"/>
      <c r="AD731" s="12"/>
      <c r="AE731" s="12"/>
      <c r="AF731" s="12"/>
    </row>
    <row r="732" spans="1:32">
      <c r="A732" s="8"/>
      <c r="B732" s="8"/>
      <c r="C732" s="8"/>
      <c r="D732" s="8"/>
      <c r="E732" s="8"/>
      <c r="F732" s="8"/>
      <c r="G732" s="8"/>
      <c r="H732" s="8"/>
      <c r="I732" s="8"/>
      <c r="J732" s="8"/>
      <c r="K732" s="8"/>
      <c r="L732" s="8"/>
      <c r="M732" s="8"/>
      <c r="N732" s="8"/>
      <c r="O732" s="8"/>
      <c r="P732" s="8"/>
      <c r="Q732" s="8"/>
      <c r="R732" s="8"/>
      <c r="S732" s="8"/>
      <c r="T732" s="8"/>
      <c r="U732" s="12"/>
      <c r="V732" s="12"/>
      <c r="W732" s="12"/>
      <c r="X732" s="12"/>
      <c r="Y732" s="12"/>
      <c r="Z732" s="12"/>
      <c r="AA732" s="12"/>
      <c r="AB732" s="12"/>
      <c r="AC732" s="12"/>
      <c r="AD732" s="12"/>
      <c r="AE732" s="12"/>
      <c r="AF732" s="12"/>
    </row>
    <row r="733" spans="1:32">
      <c r="A733" s="8"/>
      <c r="B733" s="8"/>
      <c r="C733" s="8"/>
      <c r="D733" s="8"/>
      <c r="E733" s="8"/>
      <c r="F733" s="8"/>
      <c r="G733" s="8"/>
      <c r="H733" s="8"/>
      <c r="I733" s="8"/>
      <c r="J733" s="8"/>
      <c r="K733" s="8"/>
      <c r="L733" s="8"/>
      <c r="M733" s="8"/>
      <c r="N733" s="8"/>
      <c r="O733" s="8"/>
      <c r="P733" s="8"/>
      <c r="Q733" s="8"/>
      <c r="R733" s="8"/>
      <c r="S733" s="8"/>
      <c r="T733" s="8"/>
      <c r="U733" s="12"/>
      <c r="V733" s="12"/>
      <c r="W733" s="12"/>
      <c r="X733" s="12"/>
      <c r="Y733" s="12"/>
      <c r="Z733" s="12"/>
      <c r="AA733" s="12"/>
      <c r="AB733" s="12"/>
      <c r="AC733" s="12"/>
      <c r="AD733" s="12"/>
      <c r="AE733" s="12"/>
      <c r="AF733" s="12"/>
    </row>
    <row r="734" spans="1:32">
      <c r="A734" s="8"/>
      <c r="B734" s="8"/>
      <c r="C734" s="8"/>
      <c r="D734" s="8"/>
      <c r="E734" s="8"/>
      <c r="F734" s="8"/>
      <c r="G734" s="8"/>
      <c r="H734" s="8"/>
      <c r="I734" s="8"/>
      <c r="J734" s="8"/>
      <c r="K734" s="8"/>
      <c r="L734" s="8"/>
      <c r="M734" s="8"/>
      <c r="N734" s="8"/>
      <c r="O734" s="8"/>
      <c r="P734" s="8"/>
      <c r="Q734" s="8"/>
      <c r="R734" s="8"/>
      <c r="S734" s="8"/>
      <c r="T734" s="8"/>
      <c r="U734" s="12"/>
      <c r="V734" s="12"/>
      <c r="W734" s="12"/>
      <c r="X734" s="12"/>
      <c r="Y734" s="12"/>
      <c r="Z734" s="12"/>
      <c r="AA734" s="12"/>
      <c r="AB734" s="12"/>
      <c r="AC734" s="12"/>
      <c r="AD734" s="12"/>
      <c r="AE734" s="12"/>
      <c r="AF734" s="12"/>
    </row>
    <row r="735" spans="1:32">
      <c r="A735" s="8"/>
      <c r="B735" s="8"/>
      <c r="C735" s="8"/>
      <c r="D735" s="8"/>
      <c r="E735" s="8"/>
      <c r="F735" s="8"/>
      <c r="G735" s="8"/>
      <c r="H735" s="8"/>
      <c r="I735" s="8"/>
      <c r="J735" s="8"/>
      <c r="K735" s="8"/>
      <c r="L735" s="8"/>
      <c r="M735" s="8"/>
      <c r="N735" s="8"/>
      <c r="O735" s="8"/>
      <c r="P735" s="8"/>
      <c r="Q735" s="8"/>
      <c r="R735" s="8"/>
      <c r="S735" s="8"/>
      <c r="T735" s="8"/>
      <c r="U735" s="12"/>
      <c r="V735" s="12"/>
      <c r="W735" s="12"/>
      <c r="X735" s="12"/>
      <c r="Y735" s="12"/>
      <c r="Z735" s="12"/>
      <c r="AA735" s="12"/>
      <c r="AB735" s="12"/>
      <c r="AC735" s="12"/>
      <c r="AD735" s="12"/>
      <c r="AE735" s="12"/>
      <c r="AF735" s="12"/>
    </row>
    <row r="736" spans="1:32">
      <c r="A736" s="8"/>
      <c r="B736" s="8"/>
      <c r="C736" s="8"/>
      <c r="D736" s="8"/>
      <c r="E736" s="8"/>
      <c r="F736" s="8"/>
      <c r="G736" s="8"/>
      <c r="H736" s="8"/>
      <c r="I736" s="8"/>
      <c r="J736" s="8"/>
      <c r="K736" s="8"/>
      <c r="L736" s="8"/>
      <c r="M736" s="8"/>
      <c r="N736" s="8"/>
      <c r="O736" s="8"/>
      <c r="P736" s="8"/>
      <c r="Q736" s="8"/>
      <c r="R736" s="8"/>
      <c r="S736" s="8"/>
      <c r="T736" s="8"/>
      <c r="U736" s="12"/>
      <c r="V736" s="12"/>
      <c r="W736" s="12"/>
      <c r="X736" s="12"/>
      <c r="Y736" s="12"/>
      <c r="Z736" s="12"/>
      <c r="AA736" s="12"/>
      <c r="AB736" s="12"/>
      <c r="AC736" s="12"/>
      <c r="AD736" s="12"/>
      <c r="AE736" s="12"/>
      <c r="AF736" s="12"/>
    </row>
    <row r="737" spans="1:32">
      <c r="A737" s="8"/>
      <c r="B737" s="8"/>
      <c r="C737" s="8"/>
      <c r="D737" s="8"/>
      <c r="E737" s="8"/>
      <c r="F737" s="8"/>
      <c r="G737" s="8"/>
      <c r="H737" s="8"/>
      <c r="I737" s="8"/>
      <c r="J737" s="8"/>
      <c r="K737" s="8"/>
      <c r="L737" s="8"/>
      <c r="M737" s="8"/>
      <c r="N737" s="8"/>
      <c r="O737" s="8"/>
      <c r="P737" s="8"/>
      <c r="Q737" s="8"/>
      <c r="R737" s="8"/>
      <c r="S737" s="8"/>
      <c r="T737" s="8"/>
      <c r="U737" s="12"/>
      <c r="V737" s="12"/>
      <c r="W737" s="12"/>
      <c r="X737" s="12"/>
      <c r="Y737" s="12"/>
      <c r="Z737" s="12"/>
      <c r="AA737" s="12"/>
      <c r="AB737" s="12"/>
      <c r="AC737" s="12"/>
      <c r="AD737" s="12"/>
      <c r="AE737" s="12"/>
      <c r="AF737" s="12"/>
    </row>
    <row r="738" spans="1:32">
      <c r="A738" s="8"/>
      <c r="B738" s="8"/>
      <c r="C738" s="8"/>
      <c r="D738" s="8"/>
      <c r="E738" s="8"/>
      <c r="F738" s="8"/>
      <c r="G738" s="8"/>
      <c r="H738" s="8"/>
      <c r="I738" s="8"/>
      <c r="J738" s="8"/>
      <c r="K738" s="8"/>
      <c r="L738" s="8"/>
      <c r="M738" s="8"/>
      <c r="N738" s="8"/>
      <c r="O738" s="8"/>
      <c r="P738" s="8"/>
      <c r="Q738" s="8"/>
      <c r="R738" s="8"/>
      <c r="S738" s="8"/>
      <c r="T738" s="8"/>
      <c r="U738" s="12"/>
      <c r="V738" s="12"/>
      <c r="W738" s="12"/>
      <c r="X738" s="12"/>
      <c r="Y738" s="12"/>
      <c r="Z738" s="12"/>
      <c r="AA738" s="12"/>
      <c r="AB738" s="12"/>
      <c r="AC738" s="12"/>
      <c r="AD738" s="12"/>
      <c r="AE738" s="12"/>
      <c r="AF738" s="12"/>
    </row>
    <row r="739" spans="1:32">
      <c r="A739" s="8"/>
      <c r="B739" s="8"/>
      <c r="C739" s="8"/>
      <c r="D739" s="8"/>
      <c r="E739" s="8"/>
      <c r="F739" s="8"/>
      <c r="G739" s="8"/>
      <c r="H739" s="8"/>
      <c r="I739" s="8"/>
      <c r="J739" s="8"/>
      <c r="K739" s="8"/>
      <c r="L739" s="8"/>
      <c r="M739" s="8"/>
      <c r="N739" s="8"/>
      <c r="O739" s="8"/>
      <c r="P739" s="8"/>
      <c r="Q739" s="8"/>
      <c r="R739" s="8"/>
      <c r="S739" s="8"/>
      <c r="T739" s="8"/>
      <c r="U739" s="12"/>
      <c r="V739" s="12"/>
      <c r="W739" s="12"/>
      <c r="X739" s="12"/>
      <c r="Y739" s="12"/>
      <c r="Z739" s="12"/>
      <c r="AA739" s="12"/>
      <c r="AB739" s="12"/>
      <c r="AC739" s="12"/>
      <c r="AD739" s="12"/>
      <c r="AE739" s="12"/>
      <c r="AF739" s="12"/>
    </row>
    <row r="740" spans="1:32">
      <c r="A740" s="8"/>
      <c r="B740" s="8"/>
      <c r="C740" s="8"/>
      <c r="D740" s="8"/>
      <c r="E740" s="8"/>
      <c r="F740" s="8"/>
      <c r="G740" s="8"/>
      <c r="H740" s="8"/>
      <c r="I740" s="8"/>
      <c r="J740" s="8"/>
      <c r="K740" s="8"/>
      <c r="L740" s="8"/>
      <c r="M740" s="8"/>
      <c r="N740" s="8"/>
      <c r="O740" s="8"/>
      <c r="P740" s="8"/>
      <c r="Q740" s="8"/>
      <c r="R740" s="8"/>
      <c r="S740" s="8"/>
      <c r="T740" s="8"/>
      <c r="U740" s="12"/>
      <c r="V740" s="12"/>
      <c r="W740" s="12"/>
      <c r="X740" s="12"/>
      <c r="Y740" s="12"/>
      <c r="Z740" s="12"/>
      <c r="AA740" s="12"/>
      <c r="AB740" s="12"/>
      <c r="AC740" s="12"/>
      <c r="AD740" s="12"/>
      <c r="AE740" s="12"/>
      <c r="AF740" s="12"/>
    </row>
    <row r="741" spans="1:32">
      <c r="A741" s="8"/>
      <c r="B741" s="8"/>
      <c r="C741" s="8"/>
      <c r="D741" s="8"/>
      <c r="E741" s="8"/>
      <c r="F741" s="8"/>
      <c r="G741" s="8"/>
      <c r="H741" s="8"/>
      <c r="I741" s="8"/>
      <c r="J741" s="8"/>
      <c r="K741" s="8"/>
      <c r="L741" s="8"/>
      <c r="M741" s="8"/>
      <c r="N741" s="8"/>
      <c r="O741" s="8"/>
      <c r="P741" s="8"/>
      <c r="Q741" s="8"/>
      <c r="R741" s="8"/>
      <c r="S741" s="8"/>
      <c r="T741" s="8"/>
      <c r="U741" s="12"/>
      <c r="V741" s="12"/>
      <c r="W741" s="12"/>
      <c r="X741" s="12"/>
      <c r="Y741" s="12"/>
      <c r="Z741" s="12"/>
      <c r="AA741" s="12"/>
      <c r="AB741" s="12"/>
      <c r="AC741" s="12"/>
      <c r="AD741" s="12"/>
      <c r="AE741" s="12"/>
      <c r="AF741" s="12"/>
    </row>
    <row r="742" spans="1:32">
      <c r="A742" s="8"/>
      <c r="B742" s="8"/>
      <c r="C742" s="8"/>
      <c r="D742" s="8"/>
      <c r="E742" s="8"/>
      <c r="F742" s="8"/>
      <c r="G742" s="8"/>
      <c r="H742" s="8"/>
      <c r="I742" s="8"/>
      <c r="J742" s="8"/>
      <c r="K742" s="8"/>
      <c r="L742" s="8"/>
      <c r="M742" s="8"/>
      <c r="N742" s="8"/>
      <c r="O742" s="8"/>
      <c r="P742" s="8"/>
      <c r="Q742" s="8"/>
      <c r="R742" s="8"/>
      <c r="S742" s="8"/>
      <c r="T742" s="8"/>
      <c r="U742" s="12"/>
      <c r="V742" s="12"/>
      <c r="W742" s="12"/>
      <c r="X742" s="12"/>
      <c r="Y742" s="12"/>
      <c r="Z742" s="12"/>
      <c r="AA742" s="12"/>
      <c r="AB742" s="12"/>
      <c r="AC742" s="12"/>
      <c r="AD742" s="12"/>
      <c r="AE742" s="12"/>
      <c r="AF742" s="12"/>
    </row>
    <row r="743" spans="1:32">
      <c r="A743" s="8"/>
      <c r="B743" s="8"/>
      <c r="C743" s="8"/>
      <c r="D743" s="8"/>
      <c r="E743" s="8"/>
      <c r="F743" s="8"/>
      <c r="G743" s="8"/>
      <c r="H743" s="8"/>
      <c r="I743" s="8"/>
      <c r="J743" s="8"/>
      <c r="K743" s="8"/>
      <c r="L743" s="8"/>
      <c r="M743" s="8"/>
      <c r="N743" s="8"/>
      <c r="O743" s="8"/>
      <c r="P743" s="8"/>
      <c r="Q743" s="8"/>
      <c r="R743" s="8"/>
      <c r="S743" s="8"/>
      <c r="T743" s="8"/>
      <c r="U743" s="12"/>
      <c r="V743" s="12"/>
      <c r="W743" s="12"/>
      <c r="X743" s="12"/>
      <c r="Y743" s="12"/>
      <c r="Z743" s="12"/>
      <c r="AA743" s="12"/>
      <c r="AB743" s="12"/>
      <c r="AC743" s="12"/>
      <c r="AD743" s="12"/>
      <c r="AE743" s="12"/>
      <c r="AF743" s="12"/>
    </row>
    <row r="744" spans="1:32">
      <c r="A744" s="8"/>
      <c r="B744" s="8"/>
      <c r="C744" s="8"/>
      <c r="D744" s="8"/>
      <c r="E744" s="8"/>
      <c r="F744" s="8"/>
      <c r="G744" s="8"/>
      <c r="H744" s="8"/>
      <c r="I744" s="8"/>
      <c r="J744" s="8"/>
      <c r="K744" s="8"/>
      <c r="L744" s="8"/>
      <c r="M744" s="8"/>
      <c r="N744" s="8"/>
      <c r="O744" s="8"/>
      <c r="P744" s="8"/>
      <c r="Q744" s="8"/>
      <c r="R744" s="8"/>
      <c r="S744" s="8"/>
      <c r="T744" s="8"/>
      <c r="U744" s="12"/>
      <c r="V744" s="12"/>
      <c r="W744" s="12"/>
      <c r="X744" s="12"/>
      <c r="Y744" s="12"/>
      <c r="Z744" s="12"/>
      <c r="AA744" s="12"/>
      <c r="AB744" s="12"/>
      <c r="AC744" s="12"/>
      <c r="AD744" s="12"/>
      <c r="AE744" s="12"/>
      <c r="AF744" s="12"/>
    </row>
    <row r="745" spans="1:32">
      <c r="A745" s="8"/>
      <c r="B745" s="8"/>
      <c r="C745" s="8"/>
      <c r="D745" s="8"/>
      <c r="E745" s="8"/>
      <c r="F745" s="8"/>
      <c r="G745" s="8"/>
      <c r="H745" s="8"/>
      <c r="I745" s="8"/>
      <c r="J745" s="8"/>
      <c r="K745" s="8"/>
      <c r="L745" s="8"/>
      <c r="M745" s="8"/>
      <c r="N745" s="8"/>
      <c r="O745" s="8"/>
      <c r="P745" s="8"/>
      <c r="Q745" s="8"/>
      <c r="R745" s="8"/>
      <c r="S745" s="8"/>
      <c r="T745" s="8"/>
      <c r="U745" s="12"/>
      <c r="V745" s="12"/>
      <c r="W745" s="12"/>
      <c r="X745" s="12"/>
      <c r="Y745" s="12"/>
      <c r="Z745" s="12"/>
      <c r="AA745" s="12"/>
      <c r="AB745" s="12"/>
      <c r="AC745" s="12"/>
      <c r="AD745" s="12"/>
      <c r="AE745" s="12"/>
      <c r="AF745" s="12"/>
    </row>
    <row r="746" spans="1:32">
      <c r="A746" s="8"/>
      <c r="B746" s="8"/>
      <c r="C746" s="8"/>
      <c r="D746" s="8"/>
      <c r="E746" s="8"/>
      <c r="F746" s="8"/>
      <c r="G746" s="8"/>
      <c r="H746" s="8"/>
      <c r="I746" s="8"/>
      <c r="J746" s="8"/>
      <c r="K746" s="8"/>
      <c r="L746" s="8"/>
      <c r="M746" s="8"/>
      <c r="N746" s="8"/>
      <c r="O746" s="8"/>
      <c r="P746" s="8"/>
      <c r="Q746" s="8"/>
      <c r="R746" s="8"/>
      <c r="S746" s="8"/>
      <c r="T746" s="8"/>
      <c r="U746" s="12"/>
      <c r="V746" s="12"/>
      <c r="W746" s="12"/>
      <c r="X746" s="12"/>
      <c r="Y746" s="12"/>
      <c r="Z746" s="12"/>
      <c r="AA746" s="12"/>
      <c r="AB746" s="12"/>
      <c r="AC746" s="12"/>
      <c r="AD746" s="12"/>
      <c r="AE746" s="12"/>
      <c r="AF746" s="12"/>
    </row>
    <row r="747" spans="1:32">
      <c r="A747" s="8"/>
      <c r="B747" s="8"/>
      <c r="C747" s="8"/>
      <c r="D747" s="8"/>
      <c r="E747" s="8"/>
      <c r="F747" s="8"/>
      <c r="G747" s="8"/>
      <c r="H747" s="8"/>
      <c r="I747" s="8"/>
      <c r="J747" s="8"/>
      <c r="K747" s="8"/>
      <c r="L747" s="8"/>
      <c r="M747" s="8"/>
      <c r="N747" s="8"/>
      <c r="O747" s="8"/>
      <c r="P747" s="8"/>
      <c r="Q747" s="8"/>
      <c r="R747" s="8"/>
      <c r="S747" s="8"/>
      <c r="T747" s="8"/>
      <c r="U747" s="12"/>
      <c r="V747" s="12"/>
      <c r="W747" s="12"/>
      <c r="X747" s="12"/>
      <c r="Y747" s="12"/>
      <c r="Z747" s="12"/>
      <c r="AA747" s="12"/>
      <c r="AB747" s="12"/>
      <c r="AC747" s="12"/>
      <c r="AD747" s="12"/>
      <c r="AE747" s="12"/>
      <c r="AF747" s="12"/>
    </row>
    <row r="748" spans="1:32">
      <c r="A748" s="8"/>
      <c r="B748" s="8"/>
      <c r="C748" s="8"/>
      <c r="D748" s="8"/>
      <c r="E748" s="8"/>
      <c r="F748" s="8"/>
      <c r="G748" s="8"/>
      <c r="H748" s="8"/>
      <c r="I748" s="8"/>
      <c r="J748" s="8"/>
      <c r="K748" s="8"/>
      <c r="L748" s="8"/>
      <c r="M748" s="8"/>
      <c r="N748" s="8"/>
      <c r="O748" s="8"/>
      <c r="P748" s="8"/>
      <c r="Q748" s="8"/>
      <c r="R748" s="8"/>
      <c r="S748" s="8"/>
      <c r="T748" s="8"/>
      <c r="U748" s="12"/>
      <c r="V748" s="12"/>
      <c r="W748" s="12"/>
      <c r="X748" s="12"/>
      <c r="Y748" s="12"/>
      <c r="Z748" s="12"/>
      <c r="AA748" s="12"/>
      <c r="AB748" s="12"/>
      <c r="AC748" s="12"/>
      <c r="AD748" s="12"/>
      <c r="AE748" s="12"/>
      <c r="AF748" s="12"/>
    </row>
    <row r="749" spans="1:32">
      <c r="A749" s="8"/>
      <c r="B749" s="8"/>
      <c r="C749" s="8"/>
      <c r="D749" s="8"/>
      <c r="E749" s="8"/>
      <c r="F749" s="8"/>
      <c r="G749" s="8"/>
      <c r="H749" s="8"/>
      <c r="I749" s="8"/>
      <c r="J749" s="8"/>
      <c r="K749" s="8"/>
      <c r="L749" s="8"/>
      <c r="M749" s="8"/>
      <c r="N749" s="8"/>
      <c r="O749" s="8"/>
      <c r="P749" s="8"/>
      <c r="Q749" s="8"/>
      <c r="R749" s="8"/>
      <c r="S749" s="8"/>
      <c r="T749" s="8"/>
      <c r="U749" s="12"/>
      <c r="V749" s="12"/>
      <c r="W749" s="12"/>
      <c r="X749" s="12"/>
      <c r="Y749" s="12"/>
      <c r="Z749" s="12"/>
      <c r="AA749" s="12"/>
      <c r="AB749" s="12"/>
      <c r="AC749" s="12"/>
      <c r="AD749" s="12"/>
      <c r="AE749" s="12"/>
      <c r="AF749" s="12"/>
    </row>
    <row r="750" spans="1:32">
      <c r="A750" s="8"/>
      <c r="B750" s="8"/>
      <c r="C750" s="8"/>
      <c r="D750" s="8"/>
      <c r="E750" s="8"/>
      <c r="F750" s="8"/>
      <c r="G750" s="8"/>
      <c r="H750" s="8"/>
      <c r="I750" s="8"/>
      <c r="J750" s="8"/>
      <c r="K750" s="8"/>
      <c r="L750" s="8"/>
      <c r="M750" s="8"/>
      <c r="N750" s="8"/>
      <c r="O750" s="8"/>
      <c r="P750" s="8"/>
      <c r="Q750" s="8"/>
      <c r="R750" s="8"/>
      <c r="S750" s="8"/>
      <c r="T750" s="8"/>
      <c r="U750" s="12"/>
      <c r="V750" s="12"/>
      <c r="W750" s="12"/>
      <c r="X750" s="12"/>
      <c r="Y750" s="12"/>
      <c r="Z750" s="12"/>
      <c r="AA750" s="12"/>
      <c r="AB750" s="12"/>
      <c r="AC750" s="12"/>
      <c r="AD750" s="12"/>
      <c r="AE750" s="12"/>
      <c r="AF750" s="12"/>
    </row>
    <row r="751" spans="1:32">
      <c r="A751" s="8"/>
      <c r="B751" s="8"/>
      <c r="C751" s="8"/>
      <c r="D751" s="8"/>
      <c r="E751" s="8"/>
      <c r="F751" s="8"/>
      <c r="G751" s="8"/>
      <c r="H751" s="8"/>
      <c r="I751" s="8"/>
      <c r="J751" s="8"/>
      <c r="K751" s="8"/>
      <c r="L751" s="8"/>
      <c r="M751" s="8"/>
      <c r="N751" s="8"/>
      <c r="O751" s="8"/>
      <c r="P751" s="8"/>
      <c r="Q751" s="8"/>
      <c r="R751" s="8"/>
      <c r="S751" s="8"/>
      <c r="T751" s="8"/>
      <c r="U751" s="12"/>
      <c r="V751" s="12"/>
      <c r="W751" s="12"/>
      <c r="X751" s="12"/>
      <c r="Y751" s="12"/>
      <c r="Z751" s="12"/>
      <c r="AA751" s="12"/>
      <c r="AB751" s="12"/>
      <c r="AC751" s="12"/>
      <c r="AD751" s="12"/>
      <c r="AE751" s="12"/>
      <c r="AF751" s="12"/>
    </row>
    <row r="752" spans="1:32">
      <c r="A752" s="8"/>
      <c r="B752" s="8"/>
      <c r="C752" s="8"/>
      <c r="D752" s="8"/>
      <c r="E752" s="8"/>
      <c r="F752" s="8"/>
      <c r="G752" s="8"/>
      <c r="H752" s="8"/>
      <c r="I752" s="8"/>
      <c r="J752" s="8"/>
      <c r="K752" s="8"/>
      <c r="L752" s="8"/>
      <c r="M752" s="8"/>
      <c r="N752" s="8"/>
      <c r="O752" s="8"/>
      <c r="P752" s="8"/>
      <c r="Q752" s="8"/>
      <c r="R752" s="8"/>
      <c r="S752" s="8"/>
      <c r="T752" s="8"/>
      <c r="U752" s="12"/>
      <c r="V752" s="12"/>
      <c r="W752" s="12"/>
      <c r="X752" s="12"/>
      <c r="Y752" s="12"/>
      <c r="Z752" s="12"/>
      <c r="AA752" s="12"/>
      <c r="AB752" s="12"/>
      <c r="AC752" s="12"/>
      <c r="AD752" s="12"/>
      <c r="AE752" s="12"/>
      <c r="AF752" s="12"/>
    </row>
    <row r="753" spans="1:32">
      <c r="A753" s="8"/>
      <c r="B753" s="8"/>
      <c r="C753" s="8"/>
      <c r="D753" s="8"/>
      <c r="E753" s="8"/>
      <c r="F753" s="8"/>
      <c r="G753" s="8"/>
      <c r="H753" s="8"/>
      <c r="I753" s="8"/>
      <c r="J753" s="8"/>
      <c r="K753" s="8"/>
      <c r="L753" s="8"/>
      <c r="M753" s="8"/>
      <c r="N753" s="8"/>
      <c r="O753" s="8"/>
      <c r="P753" s="8"/>
      <c r="Q753" s="8"/>
      <c r="R753" s="8"/>
      <c r="S753" s="8"/>
      <c r="T753" s="8"/>
      <c r="U753" s="12"/>
      <c r="V753" s="12"/>
      <c r="W753" s="12"/>
      <c r="X753" s="12"/>
      <c r="Y753" s="12"/>
      <c r="Z753" s="12"/>
      <c r="AA753" s="12"/>
      <c r="AB753" s="12"/>
      <c r="AC753" s="12"/>
      <c r="AD753" s="12"/>
      <c r="AE753" s="12"/>
      <c r="AF753" s="12"/>
    </row>
    <row r="754" spans="1:32">
      <c r="A754" s="8"/>
      <c r="B754" s="8"/>
      <c r="C754" s="8"/>
      <c r="D754" s="8"/>
      <c r="E754" s="8"/>
      <c r="F754" s="8"/>
      <c r="G754" s="8"/>
      <c r="H754" s="8"/>
      <c r="I754" s="8"/>
      <c r="J754" s="8"/>
      <c r="K754" s="8"/>
      <c r="L754" s="8"/>
      <c r="M754" s="8"/>
      <c r="N754" s="8"/>
      <c r="O754" s="8"/>
      <c r="P754" s="8"/>
      <c r="Q754" s="8"/>
      <c r="R754" s="8"/>
      <c r="S754" s="8"/>
      <c r="T754" s="8"/>
      <c r="U754" s="12"/>
      <c r="V754" s="12"/>
      <c r="W754" s="12"/>
      <c r="X754" s="12"/>
      <c r="Y754" s="12"/>
      <c r="Z754" s="12"/>
      <c r="AA754" s="12"/>
      <c r="AB754" s="12"/>
      <c r="AC754" s="12"/>
      <c r="AD754" s="12"/>
      <c r="AE754" s="12"/>
      <c r="AF754" s="12"/>
    </row>
    <row r="755" spans="1:32">
      <c r="A755" s="8"/>
      <c r="B755" s="8"/>
      <c r="C755" s="8"/>
      <c r="D755" s="8"/>
      <c r="E755" s="8"/>
      <c r="F755" s="8"/>
      <c r="G755" s="8"/>
      <c r="H755" s="8"/>
      <c r="I755" s="8"/>
      <c r="J755" s="8"/>
      <c r="K755" s="8"/>
      <c r="L755" s="8"/>
      <c r="M755" s="8"/>
      <c r="N755" s="8"/>
      <c r="O755" s="8"/>
      <c r="P755" s="8"/>
      <c r="Q755" s="8"/>
      <c r="R755" s="8"/>
      <c r="S755" s="8"/>
      <c r="T755" s="8"/>
      <c r="U755" s="12"/>
      <c r="V755" s="12"/>
      <c r="W755" s="12"/>
      <c r="X755" s="12"/>
      <c r="Y755" s="12"/>
      <c r="Z755" s="12"/>
      <c r="AA755" s="12"/>
      <c r="AB755" s="12"/>
      <c r="AC755" s="12"/>
      <c r="AD755" s="12"/>
      <c r="AE755" s="12"/>
      <c r="AF755" s="12"/>
    </row>
    <row r="756" spans="1:32">
      <c r="A756" s="8"/>
      <c r="B756" s="8"/>
      <c r="C756" s="8"/>
      <c r="D756" s="8"/>
      <c r="E756" s="8"/>
      <c r="F756" s="8"/>
      <c r="G756" s="8"/>
      <c r="H756" s="8"/>
      <c r="I756" s="8"/>
      <c r="J756" s="8"/>
      <c r="K756" s="8"/>
      <c r="L756" s="8"/>
      <c r="M756" s="8"/>
      <c r="N756" s="8"/>
      <c r="O756" s="8"/>
      <c r="P756" s="8"/>
      <c r="Q756" s="8"/>
      <c r="R756" s="8"/>
      <c r="S756" s="8"/>
      <c r="T756" s="8"/>
      <c r="U756" s="12"/>
      <c r="V756" s="12"/>
      <c r="W756" s="12"/>
      <c r="X756" s="12"/>
      <c r="Y756" s="12"/>
      <c r="Z756" s="12"/>
      <c r="AA756" s="12"/>
      <c r="AB756" s="12"/>
      <c r="AC756" s="12"/>
      <c r="AD756" s="12"/>
      <c r="AE756" s="12"/>
      <c r="AF756" s="12"/>
    </row>
    <row r="757" spans="1:32">
      <c r="A757" s="8"/>
      <c r="B757" s="8"/>
      <c r="C757" s="8"/>
      <c r="D757" s="8"/>
      <c r="E757" s="8"/>
      <c r="F757" s="8"/>
      <c r="G757" s="8"/>
      <c r="H757" s="8"/>
      <c r="I757" s="8"/>
      <c r="J757" s="8"/>
      <c r="K757" s="8"/>
      <c r="L757" s="8"/>
      <c r="M757" s="8"/>
      <c r="N757" s="8"/>
      <c r="O757" s="8"/>
      <c r="P757" s="8"/>
      <c r="Q757" s="8"/>
      <c r="R757" s="8"/>
      <c r="S757" s="8"/>
      <c r="T757" s="8"/>
      <c r="U757" s="12"/>
      <c r="V757" s="12"/>
      <c r="W757" s="12"/>
      <c r="X757" s="12"/>
      <c r="Y757" s="12"/>
      <c r="Z757" s="12"/>
      <c r="AA757" s="12"/>
      <c r="AB757" s="12"/>
      <c r="AC757" s="12"/>
      <c r="AD757" s="12"/>
      <c r="AE757" s="12"/>
      <c r="AF757" s="12"/>
    </row>
    <row r="758" spans="1:32">
      <c r="A758" s="8"/>
      <c r="B758" s="8"/>
      <c r="C758" s="8"/>
      <c r="D758" s="8"/>
      <c r="E758" s="8"/>
      <c r="F758" s="8"/>
      <c r="G758" s="8"/>
      <c r="H758" s="8"/>
      <c r="I758" s="8"/>
      <c r="J758" s="8"/>
      <c r="K758" s="8"/>
      <c r="L758" s="8"/>
      <c r="M758" s="8"/>
      <c r="N758" s="8"/>
      <c r="O758" s="8"/>
      <c r="P758" s="8"/>
      <c r="Q758" s="8"/>
      <c r="R758" s="8"/>
      <c r="S758" s="8"/>
      <c r="T758" s="8"/>
      <c r="U758" s="12"/>
      <c r="V758" s="12"/>
      <c r="W758" s="12"/>
      <c r="X758" s="12"/>
      <c r="Y758" s="12"/>
      <c r="Z758" s="12"/>
      <c r="AA758" s="12"/>
      <c r="AB758" s="12"/>
      <c r="AC758" s="12"/>
      <c r="AD758" s="12"/>
      <c r="AE758" s="12"/>
      <c r="AF758" s="12"/>
    </row>
    <row r="759" spans="1:32">
      <c r="A759" s="8"/>
      <c r="B759" s="8"/>
      <c r="C759" s="8"/>
      <c r="D759" s="8"/>
      <c r="E759" s="8"/>
      <c r="F759" s="8"/>
      <c r="G759" s="8"/>
      <c r="H759" s="8"/>
      <c r="I759" s="8"/>
      <c r="J759" s="8"/>
      <c r="K759" s="8"/>
      <c r="L759" s="8"/>
      <c r="M759" s="8"/>
      <c r="N759" s="8"/>
      <c r="O759" s="8"/>
      <c r="P759" s="8"/>
      <c r="Q759" s="8"/>
      <c r="R759" s="8"/>
      <c r="S759" s="8"/>
      <c r="T759" s="8"/>
      <c r="U759" s="12"/>
      <c r="V759" s="12"/>
      <c r="W759" s="12"/>
      <c r="X759" s="12"/>
      <c r="Y759" s="12"/>
      <c r="Z759" s="12"/>
      <c r="AA759" s="12"/>
      <c r="AB759" s="12"/>
      <c r="AC759" s="12"/>
      <c r="AD759" s="12"/>
      <c r="AE759" s="12"/>
      <c r="AF759" s="12"/>
    </row>
    <row r="760" spans="1:32">
      <c r="A760" s="8"/>
      <c r="B760" s="8"/>
      <c r="C760" s="8"/>
      <c r="D760" s="8"/>
      <c r="E760" s="8"/>
      <c r="F760" s="8"/>
      <c r="G760" s="8"/>
      <c r="H760" s="8"/>
      <c r="I760" s="8"/>
      <c r="J760" s="8"/>
      <c r="K760" s="8"/>
      <c r="L760" s="8"/>
      <c r="M760" s="8"/>
      <c r="N760" s="8"/>
      <c r="O760" s="8"/>
      <c r="P760" s="8"/>
      <c r="Q760" s="8"/>
      <c r="R760" s="8"/>
      <c r="S760" s="8"/>
      <c r="T760" s="8"/>
      <c r="U760" s="12"/>
      <c r="V760" s="12"/>
      <c r="W760" s="12"/>
      <c r="X760" s="12"/>
      <c r="Y760" s="12"/>
      <c r="Z760" s="12"/>
      <c r="AA760" s="12"/>
      <c r="AB760" s="12"/>
      <c r="AC760" s="12"/>
      <c r="AD760" s="12"/>
      <c r="AE760" s="12"/>
      <c r="AF760" s="12"/>
    </row>
    <row r="761" spans="1:32">
      <c r="A761" s="8"/>
      <c r="B761" s="8"/>
      <c r="C761" s="8"/>
      <c r="D761" s="8"/>
      <c r="E761" s="8"/>
      <c r="F761" s="8"/>
      <c r="G761" s="8"/>
      <c r="H761" s="8"/>
      <c r="I761" s="8"/>
      <c r="J761" s="8"/>
      <c r="K761" s="8"/>
      <c r="L761" s="8"/>
      <c r="M761" s="8"/>
      <c r="N761" s="8"/>
      <c r="O761" s="8"/>
      <c r="P761" s="8"/>
      <c r="Q761" s="8"/>
      <c r="R761" s="8"/>
      <c r="S761" s="8"/>
      <c r="T761" s="8"/>
      <c r="U761" s="12"/>
      <c r="V761" s="12"/>
      <c r="W761" s="12"/>
      <c r="X761" s="12"/>
      <c r="Y761" s="12"/>
      <c r="Z761" s="12"/>
      <c r="AA761" s="12"/>
      <c r="AB761" s="12"/>
      <c r="AC761" s="12"/>
      <c r="AD761" s="12"/>
      <c r="AE761" s="12"/>
      <c r="AF761" s="12"/>
    </row>
    <row r="762" spans="1:32">
      <c r="A762" s="8"/>
      <c r="B762" s="8"/>
      <c r="C762" s="8"/>
      <c r="D762" s="8"/>
      <c r="E762" s="8"/>
      <c r="F762" s="8"/>
      <c r="G762" s="8"/>
      <c r="H762" s="8"/>
      <c r="I762" s="8"/>
      <c r="J762" s="8"/>
      <c r="K762" s="8"/>
      <c r="L762" s="8"/>
      <c r="M762" s="8"/>
      <c r="N762" s="8"/>
      <c r="O762" s="8"/>
      <c r="P762" s="8"/>
      <c r="Q762" s="8"/>
      <c r="R762" s="8"/>
      <c r="S762" s="8"/>
      <c r="T762" s="8"/>
      <c r="U762" s="12"/>
      <c r="V762" s="12"/>
      <c r="W762" s="12"/>
      <c r="X762" s="12"/>
      <c r="Y762" s="12"/>
      <c r="Z762" s="12"/>
      <c r="AA762" s="12"/>
      <c r="AB762" s="12"/>
      <c r="AC762" s="12"/>
      <c r="AD762" s="12"/>
      <c r="AE762" s="12"/>
      <c r="AF762" s="12"/>
    </row>
    <row r="763" spans="1:32">
      <c r="A763" s="8"/>
      <c r="B763" s="8"/>
      <c r="C763" s="8"/>
      <c r="D763" s="8"/>
      <c r="E763" s="8"/>
      <c r="F763" s="8"/>
      <c r="G763" s="8"/>
      <c r="H763" s="8"/>
      <c r="I763" s="8"/>
      <c r="J763" s="8"/>
      <c r="K763" s="8"/>
      <c r="L763" s="8"/>
      <c r="M763" s="8"/>
      <c r="N763" s="8"/>
      <c r="O763" s="8"/>
      <c r="P763" s="8"/>
      <c r="Q763" s="8"/>
      <c r="R763" s="8"/>
      <c r="S763" s="8"/>
      <c r="T763" s="8"/>
      <c r="U763" s="12"/>
      <c r="V763" s="12"/>
      <c r="W763" s="12"/>
      <c r="X763" s="12"/>
      <c r="Y763" s="12"/>
      <c r="Z763" s="12"/>
      <c r="AA763" s="12"/>
      <c r="AB763" s="12"/>
      <c r="AC763" s="12"/>
      <c r="AD763" s="12"/>
      <c r="AE763" s="12"/>
      <c r="AF763" s="12"/>
    </row>
    <row r="764" spans="1:32">
      <c r="A764" s="8"/>
      <c r="B764" s="8"/>
      <c r="C764" s="8"/>
      <c r="D764" s="8"/>
      <c r="E764" s="8"/>
      <c r="F764" s="8"/>
      <c r="G764" s="8"/>
      <c r="H764" s="8"/>
      <c r="I764" s="8"/>
      <c r="J764" s="8"/>
      <c r="K764" s="8"/>
      <c r="L764" s="8"/>
      <c r="M764" s="8"/>
      <c r="N764" s="8"/>
      <c r="O764" s="8"/>
      <c r="P764" s="8"/>
      <c r="Q764" s="8"/>
      <c r="R764" s="8"/>
      <c r="S764" s="8"/>
      <c r="T764" s="8"/>
      <c r="U764" s="12"/>
      <c r="V764" s="12"/>
      <c r="W764" s="12"/>
      <c r="X764" s="12"/>
      <c r="Y764" s="12"/>
      <c r="Z764" s="12"/>
      <c r="AA764" s="12"/>
      <c r="AB764" s="12"/>
      <c r="AC764" s="12"/>
      <c r="AD764" s="12"/>
      <c r="AE764" s="12"/>
      <c r="AF764" s="12"/>
    </row>
    <row r="765" spans="1:32">
      <c r="A765" s="8"/>
      <c r="B765" s="8"/>
      <c r="C765" s="8"/>
      <c r="D765" s="8"/>
      <c r="E765" s="8"/>
      <c r="F765" s="8"/>
      <c r="G765" s="8"/>
      <c r="H765" s="8"/>
      <c r="I765" s="8"/>
      <c r="J765" s="8"/>
      <c r="K765" s="8"/>
      <c r="L765" s="8"/>
      <c r="M765" s="8"/>
      <c r="N765" s="8"/>
      <c r="O765" s="8"/>
      <c r="P765" s="8"/>
      <c r="Q765" s="8"/>
      <c r="R765" s="8"/>
      <c r="S765" s="8"/>
      <c r="T765" s="8"/>
      <c r="U765" s="12"/>
      <c r="V765" s="12"/>
      <c r="W765" s="12"/>
      <c r="X765" s="12"/>
      <c r="Y765" s="12"/>
      <c r="Z765" s="12"/>
      <c r="AA765" s="12"/>
      <c r="AB765" s="12"/>
      <c r="AC765" s="12"/>
      <c r="AD765" s="12"/>
      <c r="AE765" s="12"/>
      <c r="AF765" s="12"/>
    </row>
    <row r="766" spans="1:32">
      <c r="A766" s="8"/>
      <c r="B766" s="8"/>
      <c r="C766" s="8"/>
      <c r="D766" s="8"/>
      <c r="E766" s="8"/>
      <c r="F766" s="8"/>
      <c r="G766" s="8"/>
      <c r="H766" s="8"/>
      <c r="I766" s="8"/>
      <c r="J766" s="8"/>
      <c r="K766" s="8"/>
      <c r="L766" s="8"/>
      <c r="M766" s="8"/>
      <c r="N766" s="8"/>
      <c r="O766" s="8"/>
      <c r="P766" s="8"/>
      <c r="Q766" s="8"/>
      <c r="R766" s="8"/>
      <c r="S766" s="8"/>
      <c r="T766" s="8"/>
      <c r="U766" s="12"/>
      <c r="V766" s="12"/>
      <c r="W766" s="12"/>
      <c r="X766" s="12"/>
      <c r="Y766" s="12"/>
      <c r="Z766" s="12"/>
      <c r="AA766" s="12"/>
      <c r="AB766" s="12"/>
      <c r="AC766" s="12"/>
      <c r="AD766" s="12"/>
      <c r="AE766" s="12"/>
      <c r="AF766" s="12"/>
    </row>
    <row r="767" spans="1:32">
      <c r="A767" s="8"/>
      <c r="B767" s="8"/>
      <c r="C767" s="8"/>
      <c r="D767" s="8"/>
      <c r="E767" s="8"/>
      <c r="F767" s="8"/>
      <c r="G767" s="8"/>
      <c r="H767" s="8"/>
      <c r="I767" s="8"/>
      <c r="J767" s="8"/>
      <c r="K767" s="8"/>
      <c r="L767" s="8"/>
      <c r="M767" s="8"/>
      <c r="N767" s="8"/>
      <c r="O767" s="8"/>
      <c r="P767" s="8"/>
      <c r="Q767" s="8"/>
      <c r="R767" s="8"/>
      <c r="S767" s="8"/>
      <c r="T767" s="8"/>
      <c r="U767" s="12"/>
      <c r="V767" s="12"/>
      <c r="W767" s="12"/>
      <c r="X767" s="12"/>
      <c r="Y767" s="12"/>
      <c r="Z767" s="12"/>
      <c r="AA767" s="12"/>
      <c r="AB767" s="12"/>
      <c r="AC767" s="12"/>
      <c r="AD767" s="12"/>
      <c r="AE767" s="12"/>
      <c r="AF767" s="12"/>
    </row>
    <row r="768" spans="1:32">
      <c r="A768" s="8"/>
      <c r="B768" s="8"/>
      <c r="C768" s="8"/>
      <c r="D768" s="8"/>
      <c r="E768" s="8"/>
      <c r="F768" s="8"/>
      <c r="G768" s="8"/>
      <c r="H768" s="8"/>
      <c r="I768" s="8"/>
      <c r="J768" s="8"/>
      <c r="K768" s="8"/>
      <c r="L768" s="8"/>
      <c r="M768" s="8"/>
      <c r="N768" s="8"/>
      <c r="O768" s="8"/>
      <c r="P768" s="8"/>
      <c r="Q768" s="8"/>
      <c r="R768" s="8"/>
      <c r="S768" s="8"/>
      <c r="T768" s="8"/>
      <c r="U768" s="12"/>
      <c r="V768" s="12"/>
      <c r="W768" s="12"/>
      <c r="X768" s="12"/>
      <c r="Y768" s="12"/>
      <c r="Z768" s="12"/>
      <c r="AA768" s="12"/>
      <c r="AB768" s="12"/>
      <c r="AC768" s="12"/>
      <c r="AD768" s="12"/>
      <c r="AE768" s="12"/>
      <c r="AF768" s="12"/>
    </row>
    <row r="769" spans="1:32">
      <c r="A769" s="8"/>
      <c r="B769" s="8"/>
      <c r="C769" s="8"/>
      <c r="D769" s="8"/>
      <c r="E769" s="8"/>
      <c r="F769" s="8"/>
      <c r="G769" s="8"/>
      <c r="H769" s="8"/>
      <c r="I769" s="8"/>
      <c r="J769" s="8"/>
      <c r="K769" s="8"/>
      <c r="L769" s="8"/>
      <c r="M769" s="8"/>
      <c r="N769" s="8"/>
      <c r="O769" s="8"/>
      <c r="P769" s="8"/>
      <c r="Q769" s="8"/>
      <c r="R769" s="8"/>
      <c r="S769" s="8"/>
      <c r="T769" s="8"/>
      <c r="U769" s="12"/>
      <c r="V769" s="12"/>
      <c r="W769" s="12"/>
      <c r="X769" s="12"/>
      <c r="Y769" s="12"/>
      <c r="Z769" s="12"/>
      <c r="AA769" s="12"/>
      <c r="AB769" s="12"/>
      <c r="AC769" s="12"/>
      <c r="AD769" s="12"/>
      <c r="AE769" s="12"/>
      <c r="AF769" s="12"/>
    </row>
    <row r="770" spans="1:32">
      <c r="A770" s="8"/>
      <c r="B770" s="8"/>
      <c r="C770" s="8"/>
      <c r="D770" s="8"/>
      <c r="E770" s="8"/>
      <c r="F770" s="8"/>
      <c r="G770" s="8"/>
      <c r="H770" s="8"/>
      <c r="I770" s="8"/>
      <c r="J770" s="8"/>
      <c r="K770" s="8"/>
      <c r="L770" s="8"/>
      <c r="M770" s="8"/>
      <c r="N770" s="8"/>
      <c r="O770" s="8"/>
      <c r="P770" s="8"/>
      <c r="Q770" s="8"/>
      <c r="R770" s="8"/>
      <c r="S770" s="8"/>
      <c r="T770" s="8"/>
      <c r="U770" s="12"/>
      <c r="V770" s="12"/>
      <c r="W770" s="12"/>
      <c r="X770" s="12"/>
      <c r="Y770" s="12"/>
      <c r="Z770" s="12"/>
      <c r="AA770" s="12"/>
      <c r="AB770" s="12"/>
      <c r="AC770" s="12"/>
      <c r="AD770" s="12"/>
      <c r="AE770" s="12"/>
      <c r="AF770" s="12"/>
    </row>
    <row r="771" spans="1:32">
      <c r="A771" s="8"/>
      <c r="B771" s="8"/>
      <c r="C771" s="8"/>
      <c r="D771" s="8"/>
      <c r="E771" s="8"/>
      <c r="F771" s="8"/>
      <c r="G771" s="8"/>
      <c r="H771" s="8"/>
      <c r="I771" s="8"/>
      <c r="J771" s="8"/>
      <c r="K771" s="8"/>
      <c r="L771" s="8"/>
      <c r="M771" s="8"/>
      <c r="N771" s="8"/>
      <c r="O771" s="8"/>
      <c r="P771" s="8"/>
      <c r="Q771" s="8"/>
      <c r="R771" s="8"/>
      <c r="S771" s="8"/>
      <c r="T771" s="8"/>
      <c r="U771" s="12"/>
      <c r="V771" s="12"/>
      <c r="W771" s="12"/>
      <c r="X771" s="12"/>
      <c r="Y771" s="12"/>
      <c r="Z771" s="12"/>
      <c r="AA771" s="12"/>
      <c r="AB771" s="12"/>
      <c r="AC771" s="12"/>
      <c r="AD771" s="12"/>
      <c r="AE771" s="12"/>
      <c r="AF771" s="12"/>
    </row>
    <row r="772" spans="1:32">
      <c r="A772" s="8"/>
      <c r="B772" s="8"/>
      <c r="C772" s="8"/>
      <c r="D772" s="8"/>
      <c r="E772" s="8"/>
      <c r="F772" s="8"/>
      <c r="G772" s="8"/>
      <c r="H772" s="8"/>
      <c r="I772" s="8"/>
      <c r="J772" s="8"/>
      <c r="K772" s="8"/>
      <c r="L772" s="8"/>
      <c r="M772" s="8"/>
      <c r="N772" s="8"/>
      <c r="O772" s="8"/>
      <c r="P772" s="8"/>
      <c r="Q772" s="8"/>
      <c r="R772" s="8"/>
      <c r="S772" s="8"/>
      <c r="T772" s="8"/>
      <c r="U772" s="12"/>
      <c r="V772" s="12"/>
      <c r="W772" s="12"/>
      <c r="X772" s="12"/>
      <c r="Y772" s="12"/>
      <c r="Z772" s="12"/>
      <c r="AA772" s="12"/>
      <c r="AB772" s="12"/>
      <c r="AC772" s="12"/>
      <c r="AD772" s="12"/>
      <c r="AE772" s="12"/>
      <c r="AF772" s="12"/>
    </row>
    <row r="773" spans="1:32">
      <c r="A773" s="8"/>
      <c r="B773" s="8"/>
      <c r="C773" s="8"/>
      <c r="D773" s="8"/>
      <c r="E773" s="8"/>
      <c r="F773" s="8"/>
      <c r="G773" s="8"/>
      <c r="H773" s="8"/>
      <c r="I773" s="8"/>
      <c r="J773" s="8"/>
      <c r="K773" s="8"/>
      <c r="L773" s="8"/>
      <c r="M773" s="8"/>
      <c r="N773" s="8"/>
      <c r="O773" s="8"/>
      <c r="P773" s="8"/>
      <c r="Q773" s="8"/>
      <c r="R773" s="8"/>
      <c r="S773" s="8"/>
      <c r="T773" s="8"/>
      <c r="U773" s="12"/>
      <c r="V773" s="12"/>
      <c r="W773" s="12"/>
      <c r="X773" s="12"/>
      <c r="Y773" s="12"/>
      <c r="Z773" s="12"/>
      <c r="AA773" s="12"/>
      <c r="AB773" s="12"/>
      <c r="AC773" s="12"/>
      <c r="AD773" s="12"/>
      <c r="AE773" s="12"/>
      <c r="AF773" s="12"/>
    </row>
    <row r="774" spans="1:32">
      <c r="A774" s="8"/>
      <c r="B774" s="8"/>
      <c r="C774" s="8"/>
      <c r="D774" s="8"/>
      <c r="E774" s="8"/>
      <c r="F774" s="8"/>
      <c r="G774" s="8"/>
      <c r="H774" s="8"/>
      <c r="I774" s="8"/>
      <c r="J774" s="8"/>
      <c r="K774" s="8"/>
      <c r="L774" s="8"/>
      <c r="M774" s="8"/>
      <c r="N774" s="8"/>
      <c r="O774" s="8"/>
      <c r="P774" s="8"/>
      <c r="Q774" s="8"/>
      <c r="R774" s="8"/>
      <c r="S774" s="8"/>
      <c r="T774" s="8"/>
      <c r="U774" s="12"/>
      <c r="V774" s="12"/>
      <c r="W774" s="12"/>
      <c r="X774" s="12"/>
      <c r="Y774" s="12"/>
      <c r="Z774" s="12"/>
      <c r="AA774" s="12"/>
      <c r="AB774" s="12"/>
      <c r="AC774" s="12"/>
      <c r="AD774" s="12"/>
      <c r="AE774" s="12"/>
      <c r="AF774" s="12"/>
    </row>
    <row r="775" spans="1:32">
      <c r="A775" s="8"/>
      <c r="B775" s="8"/>
      <c r="C775" s="8"/>
      <c r="D775" s="8"/>
      <c r="E775" s="8"/>
      <c r="F775" s="8"/>
      <c r="G775" s="8"/>
      <c r="H775" s="8"/>
      <c r="I775" s="8"/>
      <c r="J775" s="8"/>
      <c r="K775" s="8"/>
      <c r="L775" s="8"/>
      <c r="M775" s="8"/>
      <c r="N775" s="8"/>
      <c r="O775" s="8"/>
      <c r="P775" s="8"/>
      <c r="Q775" s="8"/>
      <c r="R775" s="8"/>
      <c r="S775" s="8"/>
      <c r="T775" s="8"/>
      <c r="U775" s="12"/>
      <c r="V775" s="12"/>
      <c r="W775" s="12"/>
      <c r="X775" s="12"/>
      <c r="Y775" s="12"/>
      <c r="Z775" s="12"/>
      <c r="AA775" s="12"/>
      <c r="AB775" s="12"/>
      <c r="AC775" s="12"/>
      <c r="AD775" s="12"/>
      <c r="AE775" s="12"/>
      <c r="AF775" s="12"/>
    </row>
    <row r="776" spans="1:32">
      <c r="A776" s="8"/>
      <c r="B776" s="8"/>
      <c r="C776" s="8"/>
      <c r="D776" s="8"/>
      <c r="E776" s="8"/>
      <c r="F776" s="8"/>
      <c r="G776" s="8"/>
      <c r="H776" s="8"/>
      <c r="I776" s="8"/>
      <c r="J776" s="8"/>
      <c r="K776" s="8"/>
      <c r="L776" s="8"/>
      <c r="M776" s="8"/>
      <c r="N776" s="8"/>
      <c r="O776" s="8"/>
      <c r="P776" s="8"/>
      <c r="Q776" s="8"/>
      <c r="R776" s="8"/>
      <c r="S776" s="8"/>
      <c r="T776" s="8"/>
      <c r="U776" s="12"/>
      <c r="V776" s="12"/>
      <c r="W776" s="12"/>
      <c r="X776" s="12"/>
      <c r="Y776" s="12"/>
      <c r="Z776" s="12"/>
      <c r="AA776" s="12"/>
      <c r="AB776" s="12"/>
      <c r="AC776" s="12"/>
      <c r="AD776" s="12"/>
      <c r="AE776" s="12"/>
      <c r="AF776" s="12"/>
    </row>
    <row r="777" spans="1:32">
      <c r="A777" s="8"/>
      <c r="B777" s="8"/>
      <c r="C777" s="8"/>
      <c r="D777" s="8"/>
      <c r="E777" s="8"/>
      <c r="F777" s="8"/>
      <c r="G777" s="8"/>
      <c r="H777" s="8"/>
      <c r="I777" s="8"/>
      <c r="J777" s="8"/>
      <c r="K777" s="8"/>
      <c r="L777" s="8"/>
      <c r="M777" s="8"/>
      <c r="N777" s="8"/>
      <c r="O777" s="8"/>
      <c r="P777" s="8"/>
      <c r="Q777" s="8"/>
      <c r="R777" s="8"/>
      <c r="S777" s="8"/>
      <c r="T777" s="8"/>
      <c r="U777" s="12"/>
      <c r="V777" s="12"/>
      <c r="W777" s="12"/>
      <c r="X777" s="12"/>
      <c r="Y777" s="12"/>
      <c r="Z777" s="12"/>
      <c r="AA777" s="12"/>
      <c r="AB777" s="12"/>
      <c r="AC777" s="12"/>
      <c r="AD777" s="12"/>
      <c r="AE777" s="12"/>
      <c r="AF777" s="12"/>
    </row>
    <row r="778" spans="1:32">
      <c r="A778" s="8"/>
      <c r="B778" s="8"/>
      <c r="C778" s="8"/>
      <c r="D778" s="8"/>
      <c r="E778" s="8"/>
      <c r="F778" s="8"/>
      <c r="G778" s="8"/>
      <c r="H778" s="8"/>
      <c r="I778" s="8"/>
      <c r="J778" s="8"/>
      <c r="K778" s="8"/>
      <c r="L778" s="8"/>
      <c r="M778" s="8"/>
      <c r="N778" s="8"/>
      <c r="O778" s="8"/>
      <c r="P778" s="8"/>
      <c r="Q778" s="8"/>
      <c r="R778" s="8"/>
      <c r="S778" s="8"/>
      <c r="T778" s="8"/>
      <c r="U778" s="12"/>
      <c r="V778" s="12"/>
      <c r="W778" s="12"/>
      <c r="X778" s="12"/>
      <c r="Y778" s="12"/>
      <c r="Z778" s="12"/>
      <c r="AA778" s="12"/>
      <c r="AB778" s="12"/>
      <c r="AC778" s="12"/>
      <c r="AD778" s="12"/>
      <c r="AE778" s="12"/>
      <c r="AF778" s="12"/>
    </row>
    <row r="779" spans="1:32">
      <c r="A779" s="8"/>
      <c r="B779" s="8"/>
      <c r="C779" s="8"/>
      <c r="D779" s="8"/>
      <c r="E779" s="8"/>
      <c r="F779" s="8"/>
      <c r="G779" s="8"/>
      <c r="H779" s="8"/>
      <c r="I779" s="8"/>
      <c r="J779" s="8"/>
      <c r="K779" s="8"/>
      <c r="L779" s="8"/>
      <c r="M779" s="8"/>
      <c r="N779" s="8"/>
      <c r="O779" s="8"/>
      <c r="P779" s="8"/>
      <c r="Q779" s="8"/>
      <c r="R779" s="8"/>
      <c r="S779" s="8"/>
      <c r="T779" s="8"/>
      <c r="U779" s="12"/>
      <c r="V779" s="12"/>
      <c r="W779" s="12"/>
      <c r="X779" s="12"/>
      <c r="Y779" s="12"/>
      <c r="Z779" s="12"/>
      <c r="AA779" s="12"/>
      <c r="AB779" s="12"/>
      <c r="AC779" s="12"/>
      <c r="AD779" s="12"/>
      <c r="AE779" s="12"/>
      <c r="AF779" s="12"/>
    </row>
    <row r="780" spans="1:32">
      <c r="A780" s="8"/>
      <c r="B780" s="8"/>
      <c r="C780" s="8"/>
      <c r="D780" s="8"/>
      <c r="E780" s="8"/>
      <c r="F780" s="8"/>
      <c r="G780" s="8"/>
      <c r="H780" s="8"/>
      <c r="I780" s="8"/>
      <c r="J780" s="8"/>
      <c r="K780" s="8"/>
      <c r="L780" s="8"/>
      <c r="M780" s="8"/>
      <c r="N780" s="8"/>
      <c r="O780" s="8"/>
      <c r="P780" s="8"/>
      <c r="Q780" s="8"/>
      <c r="R780" s="8"/>
      <c r="S780" s="8"/>
      <c r="T780" s="8"/>
      <c r="U780" s="12"/>
      <c r="V780" s="12"/>
      <c r="W780" s="12"/>
      <c r="X780" s="12"/>
      <c r="Y780" s="12"/>
      <c r="Z780" s="12"/>
      <c r="AA780" s="12"/>
      <c r="AB780" s="12"/>
      <c r="AC780" s="12"/>
      <c r="AD780" s="12"/>
      <c r="AE780" s="12"/>
      <c r="AF780" s="12"/>
    </row>
    <row r="781" spans="1:32">
      <c r="A781" s="8"/>
      <c r="B781" s="8"/>
      <c r="C781" s="8"/>
      <c r="D781" s="8"/>
      <c r="E781" s="8"/>
      <c r="F781" s="8"/>
      <c r="G781" s="8"/>
      <c r="H781" s="8"/>
      <c r="I781" s="8"/>
      <c r="J781" s="8"/>
      <c r="K781" s="8"/>
      <c r="L781" s="8"/>
      <c r="M781" s="8"/>
      <c r="N781" s="8"/>
      <c r="O781" s="8"/>
      <c r="P781" s="8"/>
      <c r="Q781" s="8"/>
      <c r="R781" s="8"/>
      <c r="S781" s="8"/>
      <c r="T781" s="8"/>
      <c r="U781" s="12"/>
      <c r="V781" s="12"/>
      <c r="W781" s="12"/>
      <c r="X781" s="12"/>
      <c r="Y781" s="12"/>
      <c r="Z781" s="12"/>
      <c r="AA781" s="12"/>
      <c r="AB781" s="12"/>
      <c r="AC781" s="12"/>
      <c r="AD781" s="12"/>
      <c r="AE781" s="12"/>
      <c r="AF781" s="12"/>
    </row>
    <row r="782" spans="1:32">
      <c r="A782" s="8"/>
      <c r="B782" s="8"/>
      <c r="C782" s="8"/>
      <c r="D782" s="8"/>
      <c r="E782" s="8"/>
      <c r="F782" s="8"/>
      <c r="G782" s="8"/>
      <c r="H782" s="8"/>
      <c r="I782" s="8"/>
      <c r="J782" s="8"/>
      <c r="K782" s="8"/>
      <c r="L782" s="8"/>
      <c r="M782" s="8"/>
      <c r="N782" s="8"/>
      <c r="O782" s="8"/>
      <c r="P782" s="8"/>
      <c r="Q782" s="8"/>
      <c r="R782" s="8"/>
      <c r="S782" s="8"/>
      <c r="T782" s="8"/>
      <c r="U782" s="12"/>
      <c r="V782" s="12"/>
      <c r="W782" s="12"/>
      <c r="X782" s="12"/>
      <c r="Y782" s="12"/>
      <c r="Z782" s="12"/>
      <c r="AA782" s="12"/>
      <c r="AB782" s="12"/>
      <c r="AC782" s="12"/>
      <c r="AD782" s="12"/>
      <c r="AE782" s="12"/>
      <c r="AF782" s="12"/>
    </row>
    <row r="783" spans="1:32">
      <c r="A783" s="8"/>
      <c r="B783" s="8"/>
      <c r="C783" s="8"/>
      <c r="D783" s="8"/>
      <c r="E783" s="8"/>
      <c r="F783" s="8"/>
      <c r="G783" s="8"/>
      <c r="H783" s="8"/>
      <c r="I783" s="8"/>
      <c r="J783" s="8"/>
      <c r="K783" s="8"/>
      <c r="L783" s="8"/>
      <c r="M783" s="8"/>
      <c r="N783" s="8"/>
      <c r="O783" s="8"/>
      <c r="P783" s="8"/>
      <c r="Q783" s="8"/>
      <c r="R783" s="8"/>
      <c r="S783" s="8"/>
      <c r="T783" s="8"/>
      <c r="U783" s="12"/>
      <c r="V783" s="12"/>
      <c r="W783" s="12"/>
      <c r="X783" s="12"/>
      <c r="Y783" s="12"/>
      <c r="Z783" s="12"/>
      <c r="AA783" s="12"/>
      <c r="AB783" s="12"/>
      <c r="AC783" s="12"/>
      <c r="AD783" s="12"/>
      <c r="AE783" s="12"/>
      <c r="AF783" s="12"/>
    </row>
    <row r="784" spans="1:32">
      <c r="A784" s="8"/>
      <c r="B784" s="8"/>
      <c r="C784" s="8"/>
      <c r="D784" s="8"/>
      <c r="E784" s="8"/>
      <c r="F784" s="8"/>
      <c r="G784" s="8"/>
      <c r="H784" s="8"/>
      <c r="I784" s="8"/>
      <c r="J784" s="8"/>
      <c r="K784" s="8"/>
      <c r="L784" s="8"/>
      <c r="M784" s="8"/>
      <c r="N784" s="8"/>
      <c r="O784" s="8"/>
      <c r="P784" s="8"/>
      <c r="Q784" s="8"/>
      <c r="R784" s="8"/>
      <c r="S784" s="8"/>
      <c r="T784" s="8"/>
      <c r="U784" s="12"/>
      <c r="V784" s="12"/>
      <c r="W784" s="12"/>
      <c r="X784" s="12"/>
      <c r="Y784" s="12"/>
      <c r="Z784" s="12"/>
      <c r="AA784" s="12"/>
      <c r="AB784" s="12"/>
      <c r="AC784" s="12"/>
      <c r="AD784" s="12"/>
      <c r="AE784" s="12"/>
      <c r="AF784" s="12"/>
    </row>
    <row r="785" spans="1:32">
      <c r="A785" s="8"/>
      <c r="B785" s="8"/>
      <c r="C785" s="8"/>
      <c r="D785" s="8"/>
      <c r="E785" s="8"/>
      <c r="F785" s="8"/>
      <c r="G785" s="8"/>
      <c r="H785" s="8"/>
      <c r="I785" s="8"/>
      <c r="J785" s="8"/>
      <c r="K785" s="8"/>
      <c r="L785" s="8"/>
      <c r="M785" s="8"/>
      <c r="N785" s="8"/>
      <c r="O785" s="8"/>
      <c r="P785" s="8"/>
      <c r="Q785" s="8"/>
      <c r="R785" s="8"/>
      <c r="S785" s="8"/>
      <c r="T785" s="8"/>
      <c r="U785" s="12"/>
      <c r="V785" s="12"/>
      <c r="W785" s="12"/>
      <c r="X785" s="12"/>
      <c r="Y785" s="12"/>
      <c r="Z785" s="12"/>
      <c r="AA785" s="12"/>
      <c r="AB785" s="12"/>
      <c r="AC785" s="12"/>
      <c r="AD785" s="12"/>
      <c r="AE785" s="12"/>
      <c r="AF785" s="12"/>
    </row>
    <row r="786" spans="1:32">
      <c r="A786" s="8"/>
      <c r="B786" s="8"/>
      <c r="C786" s="8"/>
      <c r="D786" s="8"/>
      <c r="E786" s="8"/>
      <c r="F786" s="8"/>
      <c r="G786" s="8"/>
      <c r="H786" s="8"/>
      <c r="I786" s="8"/>
      <c r="J786" s="8"/>
      <c r="K786" s="8"/>
      <c r="L786" s="8"/>
      <c r="M786" s="8"/>
      <c r="N786" s="8"/>
      <c r="O786" s="8"/>
      <c r="P786" s="8"/>
      <c r="Q786" s="8"/>
      <c r="R786" s="8"/>
      <c r="S786" s="8"/>
      <c r="T786" s="8"/>
      <c r="U786" s="12"/>
      <c r="V786" s="12"/>
      <c r="W786" s="12"/>
      <c r="X786" s="12"/>
      <c r="Y786" s="12"/>
      <c r="Z786" s="12"/>
      <c r="AA786" s="12"/>
      <c r="AB786" s="12"/>
      <c r="AC786" s="12"/>
      <c r="AD786" s="12"/>
      <c r="AE786" s="12"/>
      <c r="AF786" s="12"/>
    </row>
    <row r="787" spans="1:32">
      <c r="A787" s="8"/>
      <c r="B787" s="8"/>
      <c r="C787" s="8"/>
      <c r="D787" s="8"/>
      <c r="E787" s="8"/>
      <c r="F787" s="8"/>
      <c r="G787" s="8"/>
      <c r="H787" s="8"/>
      <c r="I787" s="8"/>
      <c r="J787" s="8"/>
      <c r="K787" s="8"/>
      <c r="L787" s="8"/>
      <c r="M787" s="8"/>
      <c r="N787" s="8"/>
      <c r="O787" s="8"/>
      <c r="P787" s="8"/>
      <c r="Q787" s="8"/>
      <c r="R787" s="8"/>
      <c r="S787" s="8"/>
      <c r="T787" s="8"/>
      <c r="U787" s="12"/>
      <c r="V787" s="12"/>
      <c r="W787" s="12"/>
      <c r="X787" s="12"/>
      <c r="Y787" s="12"/>
      <c r="Z787" s="12"/>
      <c r="AA787" s="12"/>
      <c r="AB787" s="12"/>
      <c r="AC787" s="12"/>
      <c r="AD787" s="12"/>
      <c r="AE787" s="12"/>
      <c r="AF787" s="12"/>
    </row>
    <row r="788" spans="1:32">
      <c r="A788" s="8"/>
      <c r="B788" s="8"/>
      <c r="C788" s="8"/>
      <c r="D788" s="8"/>
      <c r="E788" s="8"/>
      <c r="F788" s="8"/>
      <c r="G788" s="8"/>
      <c r="H788" s="8"/>
      <c r="I788" s="8"/>
      <c r="J788" s="8"/>
      <c r="K788" s="8"/>
      <c r="L788" s="8"/>
      <c r="M788" s="8"/>
      <c r="N788" s="8"/>
      <c r="O788" s="8"/>
      <c r="P788" s="8"/>
      <c r="Q788" s="8"/>
      <c r="R788" s="8"/>
      <c r="S788" s="8"/>
      <c r="T788" s="8"/>
      <c r="U788" s="12"/>
      <c r="V788" s="12"/>
      <c r="W788" s="12"/>
      <c r="X788" s="12"/>
      <c r="Y788" s="12"/>
      <c r="Z788" s="12"/>
      <c r="AA788" s="12"/>
      <c r="AB788" s="12"/>
      <c r="AC788" s="12"/>
      <c r="AD788" s="12"/>
      <c r="AE788" s="12"/>
      <c r="AF788" s="12"/>
    </row>
    <row r="789" spans="1:32">
      <c r="A789" s="8"/>
      <c r="B789" s="8"/>
      <c r="C789" s="8"/>
      <c r="D789" s="8"/>
      <c r="E789" s="8"/>
      <c r="F789" s="8"/>
      <c r="G789" s="8"/>
      <c r="H789" s="8"/>
      <c r="I789" s="8"/>
      <c r="J789" s="8"/>
      <c r="K789" s="8"/>
      <c r="L789" s="8"/>
      <c r="M789" s="8"/>
      <c r="N789" s="8"/>
      <c r="O789" s="8"/>
      <c r="P789" s="8"/>
      <c r="Q789" s="8"/>
      <c r="R789" s="8"/>
      <c r="S789" s="8"/>
      <c r="T789" s="8"/>
      <c r="U789" s="12"/>
      <c r="V789" s="12"/>
      <c r="W789" s="12"/>
      <c r="X789" s="12"/>
      <c r="Y789" s="12"/>
      <c r="Z789" s="12"/>
      <c r="AA789" s="12"/>
      <c r="AB789" s="12"/>
      <c r="AC789" s="12"/>
      <c r="AD789" s="12"/>
      <c r="AE789" s="12"/>
      <c r="AF789" s="12"/>
    </row>
    <row r="790" spans="1:32">
      <c r="A790" s="8"/>
      <c r="B790" s="8"/>
      <c r="C790" s="8"/>
      <c r="D790" s="8"/>
      <c r="E790" s="8"/>
      <c r="F790" s="8"/>
      <c r="G790" s="8"/>
      <c r="H790" s="8"/>
      <c r="I790" s="8"/>
      <c r="J790" s="8"/>
      <c r="K790" s="8"/>
      <c r="L790" s="8"/>
      <c r="M790" s="8"/>
      <c r="N790" s="8"/>
      <c r="O790" s="8"/>
      <c r="P790" s="8"/>
      <c r="Q790" s="8"/>
      <c r="R790" s="8"/>
      <c r="S790" s="8"/>
      <c r="T790" s="8"/>
      <c r="U790" s="12"/>
      <c r="V790" s="12"/>
      <c r="W790" s="12"/>
      <c r="X790" s="12"/>
      <c r="Y790" s="12"/>
      <c r="Z790" s="12"/>
      <c r="AA790" s="12"/>
      <c r="AB790" s="12"/>
      <c r="AC790" s="12"/>
      <c r="AD790" s="12"/>
      <c r="AE790" s="12"/>
      <c r="AF790" s="12"/>
    </row>
    <row r="791" spans="1:32">
      <c r="A791" s="8"/>
      <c r="B791" s="8"/>
      <c r="C791" s="8"/>
      <c r="D791" s="8"/>
      <c r="E791" s="8"/>
      <c r="F791" s="8"/>
      <c r="G791" s="8"/>
      <c r="H791" s="8"/>
      <c r="I791" s="8"/>
      <c r="J791" s="8"/>
      <c r="K791" s="8"/>
      <c r="L791" s="8"/>
      <c r="M791" s="8"/>
      <c r="N791" s="8"/>
      <c r="O791" s="8"/>
      <c r="P791" s="8"/>
      <c r="Q791" s="8"/>
      <c r="R791" s="8"/>
      <c r="S791" s="8"/>
      <c r="T791" s="8"/>
      <c r="U791" s="12"/>
      <c r="V791" s="12"/>
      <c r="W791" s="12"/>
      <c r="X791" s="12"/>
      <c r="Y791" s="12"/>
      <c r="Z791" s="12"/>
      <c r="AA791" s="12"/>
      <c r="AB791" s="12"/>
      <c r="AC791" s="12"/>
      <c r="AD791" s="12"/>
      <c r="AE791" s="12"/>
      <c r="AF791" s="12"/>
    </row>
    <row r="792" spans="1:32">
      <c r="A792" s="8"/>
      <c r="B792" s="8"/>
      <c r="C792" s="8"/>
      <c r="D792" s="8"/>
      <c r="E792" s="8"/>
      <c r="F792" s="8"/>
      <c r="G792" s="8"/>
      <c r="H792" s="8"/>
      <c r="I792" s="8"/>
      <c r="J792" s="8"/>
      <c r="K792" s="8"/>
      <c r="L792" s="8"/>
      <c r="M792" s="8"/>
      <c r="N792" s="8"/>
      <c r="O792" s="8"/>
      <c r="P792" s="8"/>
      <c r="Q792" s="8"/>
      <c r="R792" s="8"/>
      <c r="S792" s="8"/>
      <c r="T792" s="8"/>
      <c r="U792" s="12"/>
      <c r="V792" s="12"/>
      <c r="W792" s="12"/>
      <c r="X792" s="12"/>
      <c r="Y792" s="12"/>
      <c r="Z792" s="12"/>
      <c r="AA792" s="12"/>
      <c r="AB792" s="12"/>
      <c r="AC792" s="12"/>
      <c r="AD792" s="12"/>
      <c r="AE792" s="12"/>
      <c r="AF792" s="12"/>
    </row>
    <row r="793" spans="1:32">
      <c r="A793" s="8"/>
      <c r="B793" s="8"/>
      <c r="C793" s="8"/>
      <c r="D793" s="8"/>
      <c r="E793" s="8"/>
      <c r="F793" s="8"/>
      <c r="G793" s="8"/>
      <c r="H793" s="8"/>
      <c r="I793" s="8"/>
      <c r="J793" s="8"/>
      <c r="K793" s="8"/>
      <c r="L793" s="8"/>
      <c r="M793" s="8"/>
      <c r="N793" s="8"/>
      <c r="O793" s="8"/>
      <c r="P793" s="8"/>
      <c r="Q793" s="8"/>
      <c r="R793" s="8"/>
      <c r="S793" s="8"/>
      <c r="T793" s="8"/>
      <c r="U793" s="12"/>
      <c r="V793" s="12"/>
      <c r="W793" s="12"/>
      <c r="X793" s="12"/>
      <c r="Y793" s="12"/>
      <c r="Z793" s="12"/>
      <c r="AA793" s="12"/>
      <c r="AB793" s="12"/>
      <c r="AC793" s="12"/>
      <c r="AD793" s="12"/>
      <c r="AE793" s="12"/>
      <c r="AF793" s="12"/>
    </row>
    <row r="794" spans="1:32">
      <c r="A794" s="8"/>
      <c r="B794" s="8"/>
      <c r="C794" s="8"/>
      <c r="D794" s="8"/>
      <c r="E794" s="8"/>
      <c r="F794" s="8"/>
      <c r="G794" s="8"/>
      <c r="H794" s="8"/>
      <c r="I794" s="8"/>
      <c r="J794" s="8"/>
      <c r="K794" s="8"/>
      <c r="L794" s="8"/>
      <c r="M794" s="8"/>
      <c r="N794" s="8"/>
      <c r="O794" s="8"/>
      <c r="P794" s="8"/>
      <c r="Q794" s="8"/>
      <c r="R794" s="8"/>
      <c r="S794" s="8"/>
      <c r="T794" s="8"/>
      <c r="U794" s="12"/>
      <c r="V794" s="12"/>
      <c r="W794" s="12"/>
      <c r="X794" s="12"/>
      <c r="Y794" s="12"/>
      <c r="Z794" s="12"/>
      <c r="AA794" s="12"/>
      <c r="AB794" s="12"/>
      <c r="AC794" s="12"/>
      <c r="AD794" s="12"/>
      <c r="AE794" s="12"/>
      <c r="AF794" s="12"/>
    </row>
    <row r="795" spans="1:32">
      <c r="A795" s="8"/>
      <c r="B795" s="8"/>
      <c r="C795" s="8"/>
      <c r="D795" s="8"/>
      <c r="E795" s="8"/>
      <c r="F795" s="8"/>
      <c r="G795" s="8"/>
      <c r="H795" s="8"/>
      <c r="I795" s="8"/>
      <c r="J795" s="8"/>
      <c r="K795" s="8"/>
      <c r="L795" s="8"/>
      <c r="M795" s="8"/>
      <c r="N795" s="8"/>
      <c r="O795" s="8"/>
      <c r="P795" s="8"/>
      <c r="Q795" s="8"/>
      <c r="R795" s="8"/>
      <c r="S795" s="8"/>
      <c r="T795" s="8"/>
      <c r="U795" s="12"/>
      <c r="V795" s="12"/>
      <c r="W795" s="12"/>
      <c r="X795" s="12"/>
      <c r="Y795" s="12"/>
      <c r="Z795" s="12"/>
      <c r="AA795" s="12"/>
      <c r="AB795" s="12"/>
      <c r="AC795" s="12"/>
      <c r="AD795" s="12"/>
      <c r="AE795" s="12"/>
      <c r="AF795" s="12"/>
    </row>
    <row r="796" spans="1:32">
      <c r="A796" s="8"/>
      <c r="B796" s="8"/>
      <c r="C796" s="8"/>
      <c r="D796" s="8"/>
      <c r="E796" s="8"/>
      <c r="F796" s="8"/>
      <c r="G796" s="8"/>
      <c r="H796" s="8"/>
      <c r="I796" s="8"/>
      <c r="J796" s="8"/>
      <c r="K796" s="8"/>
      <c r="L796" s="8"/>
      <c r="M796" s="8"/>
      <c r="N796" s="8"/>
      <c r="O796" s="8"/>
      <c r="P796" s="8"/>
      <c r="Q796" s="8"/>
      <c r="R796" s="8"/>
      <c r="S796" s="8"/>
      <c r="T796" s="8"/>
      <c r="U796" s="12"/>
      <c r="V796" s="12"/>
      <c r="W796" s="12"/>
      <c r="X796" s="12"/>
      <c r="Y796" s="12"/>
      <c r="Z796" s="12"/>
      <c r="AA796" s="12"/>
      <c r="AB796" s="12"/>
      <c r="AC796" s="12"/>
      <c r="AD796" s="12"/>
      <c r="AE796" s="12"/>
      <c r="AF796" s="12"/>
    </row>
    <row r="797" spans="1:32">
      <c r="A797" s="8"/>
      <c r="B797" s="8"/>
      <c r="C797" s="8"/>
      <c r="D797" s="8"/>
      <c r="E797" s="8"/>
      <c r="F797" s="8"/>
      <c r="G797" s="8"/>
      <c r="H797" s="8"/>
      <c r="I797" s="8"/>
      <c r="J797" s="8"/>
      <c r="K797" s="8"/>
      <c r="L797" s="8"/>
      <c r="M797" s="8"/>
      <c r="N797" s="8"/>
      <c r="O797" s="8"/>
      <c r="P797" s="8"/>
      <c r="Q797" s="8"/>
      <c r="R797" s="8"/>
      <c r="S797" s="8"/>
      <c r="T797" s="8"/>
      <c r="U797" s="12"/>
      <c r="V797" s="12"/>
      <c r="W797" s="12"/>
      <c r="X797" s="12"/>
      <c r="Y797" s="12"/>
      <c r="Z797" s="12"/>
      <c r="AA797" s="12"/>
      <c r="AB797" s="12"/>
      <c r="AC797" s="12"/>
      <c r="AD797" s="12"/>
      <c r="AE797" s="12"/>
      <c r="AF797" s="12"/>
    </row>
    <row r="798" spans="1:32">
      <c r="A798" s="8"/>
      <c r="B798" s="8"/>
      <c r="C798" s="8"/>
      <c r="D798" s="8"/>
      <c r="E798" s="8"/>
      <c r="F798" s="8"/>
      <c r="G798" s="8"/>
      <c r="H798" s="8"/>
      <c r="I798" s="8"/>
      <c r="J798" s="8"/>
      <c r="K798" s="8"/>
      <c r="L798" s="8"/>
      <c r="M798" s="8"/>
      <c r="N798" s="8"/>
      <c r="O798" s="8"/>
      <c r="P798" s="8"/>
      <c r="Q798" s="8"/>
      <c r="R798" s="8"/>
      <c r="S798" s="8"/>
      <c r="T798" s="8"/>
      <c r="U798" s="12"/>
      <c r="V798" s="12"/>
      <c r="W798" s="12"/>
      <c r="X798" s="12"/>
      <c r="Y798" s="12"/>
      <c r="Z798" s="12"/>
      <c r="AA798" s="12"/>
      <c r="AB798" s="12"/>
      <c r="AC798" s="12"/>
      <c r="AD798" s="12"/>
      <c r="AE798" s="12"/>
      <c r="AF798" s="12"/>
    </row>
    <row r="799" spans="1:32">
      <c r="A799" s="8"/>
      <c r="B799" s="8"/>
      <c r="C799" s="8"/>
      <c r="D799" s="8"/>
      <c r="E799" s="8"/>
      <c r="F799" s="8"/>
      <c r="G799" s="8"/>
      <c r="H799" s="8"/>
      <c r="I799" s="8"/>
      <c r="J799" s="8"/>
      <c r="K799" s="8"/>
      <c r="L799" s="8"/>
      <c r="M799" s="8"/>
      <c r="N799" s="8"/>
      <c r="O799" s="8"/>
      <c r="P799" s="8"/>
      <c r="Q799" s="8"/>
      <c r="R799" s="8"/>
      <c r="S799" s="8"/>
      <c r="T799" s="8"/>
      <c r="U799" s="12"/>
      <c r="V799" s="12"/>
      <c r="W799" s="12"/>
      <c r="X799" s="12"/>
      <c r="Y799" s="12"/>
      <c r="Z799" s="12"/>
      <c r="AA799" s="12"/>
      <c r="AB799" s="12"/>
      <c r="AC799" s="12"/>
      <c r="AD799" s="12"/>
      <c r="AE799" s="12"/>
      <c r="AF799" s="12"/>
    </row>
    <row r="800" spans="1:32">
      <c r="A800" s="8"/>
      <c r="B800" s="8"/>
      <c r="C800" s="8"/>
      <c r="D800" s="8"/>
      <c r="E800" s="8"/>
      <c r="F800" s="8"/>
      <c r="G800" s="8"/>
      <c r="H800" s="8"/>
      <c r="I800" s="8"/>
      <c r="J800" s="8"/>
      <c r="K800" s="8"/>
      <c r="L800" s="8"/>
      <c r="M800" s="8"/>
      <c r="N800" s="8"/>
      <c r="O800" s="8"/>
      <c r="P800" s="8"/>
      <c r="Q800" s="8"/>
      <c r="R800" s="8"/>
      <c r="S800" s="8"/>
      <c r="T800" s="8"/>
      <c r="U800" s="12"/>
      <c r="V800" s="12"/>
      <c r="W800" s="12"/>
      <c r="X800" s="12"/>
      <c r="Y800" s="12"/>
      <c r="Z800" s="12"/>
      <c r="AA800" s="12"/>
      <c r="AB800" s="12"/>
      <c r="AC800" s="12"/>
      <c r="AD800" s="12"/>
      <c r="AE800" s="12"/>
      <c r="AF800" s="12"/>
    </row>
    <row r="801" spans="1:32">
      <c r="A801" s="8"/>
      <c r="B801" s="8"/>
      <c r="C801" s="8"/>
      <c r="D801" s="8"/>
      <c r="E801" s="8"/>
      <c r="F801" s="8"/>
      <c r="G801" s="8"/>
      <c r="H801" s="8"/>
      <c r="I801" s="8"/>
      <c r="J801" s="8"/>
      <c r="K801" s="8"/>
      <c r="L801" s="8"/>
      <c r="M801" s="8"/>
      <c r="N801" s="8"/>
      <c r="O801" s="8"/>
      <c r="P801" s="8"/>
      <c r="Q801" s="8"/>
      <c r="R801" s="8"/>
      <c r="S801" s="8"/>
      <c r="T801" s="8"/>
      <c r="U801" s="12"/>
      <c r="V801" s="12"/>
      <c r="W801" s="12"/>
      <c r="X801" s="12"/>
      <c r="Y801" s="12"/>
      <c r="Z801" s="12"/>
      <c r="AA801" s="12"/>
      <c r="AB801" s="12"/>
      <c r="AC801" s="12"/>
      <c r="AD801" s="12"/>
      <c r="AE801" s="12"/>
      <c r="AF801" s="12"/>
    </row>
    <row r="802" spans="1:32">
      <c r="A802" s="8"/>
      <c r="B802" s="8"/>
      <c r="C802" s="8"/>
      <c r="D802" s="8"/>
      <c r="E802" s="8"/>
      <c r="F802" s="8"/>
      <c r="G802" s="8"/>
      <c r="H802" s="8"/>
      <c r="I802" s="8"/>
      <c r="J802" s="8"/>
      <c r="K802" s="8"/>
      <c r="L802" s="8"/>
      <c r="M802" s="8"/>
      <c r="N802" s="8"/>
      <c r="O802" s="8"/>
      <c r="P802" s="8"/>
      <c r="Q802" s="8"/>
      <c r="R802" s="8"/>
      <c r="S802" s="8"/>
      <c r="T802" s="8"/>
      <c r="U802" s="12"/>
      <c r="V802" s="12"/>
      <c r="W802" s="12"/>
      <c r="X802" s="12"/>
      <c r="Y802" s="12"/>
      <c r="Z802" s="12"/>
      <c r="AA802" s="12"/>
      <c r="AB802" s="12"/>
      <c r="AC802" s="12"/>
      <c r="AD802" s="12"/>
      <c r="AE802" s="12"/>
      <c r="AF802" s="12"/>
    </row>
    <row r="803" spans="1:32">
      <c r="A803" s="8"/>
      <c r="B803" s="8"/>
      <c r="C803" s="8"/>
      <c r="D803" s="8"/>
      <c r="E803" s="8"/>
      <c r="F803" s="8"/>
      <c r="G803" s="8"/>
      <c r="H803" s="8"/>
      <c r="I803" s="8"/>
      <c r="J803" s="8"/>
      <c r="K803" s="8"/>
      <c r="L803" s="8"/>
      <c r="M803" s="8"/>
      <c r="N803" s="8"/>
      <c r="O803" s="8"/>
      <c r="P803" s="8"/>
      <c r="Q803" s="8"/>
      <c r="R803" s="8"/>
      <c r="S803" s="8"/>
      <c r="T803" s="8"/>
      <c r="U803" s="12"/>
      <c r="V803" s="12"/>
      <c r="W803" s="12"/>
      <c r="X803" s="12"/>
      <c r="Y803" s="12"/>
      <c r="Z803" s="12"/>
      <c r="AA803" s="12"/>
      <c r="AB803" s="12"/>
      <c r="AC803" s="12"/>
      <c r="AD803" s="12"/>
      <c r="AE803" s="12"/>
      <c r="AF803" s="12"/>
    </row>
    <row r="804" spans="1:32">
      <c r="A804" s="8"/>
      <c r="B804" s="8"/>
      <c r="C804" s="8"/>
      <c r="D804" s="8"/>
      <c r="E804" s="8"/>
      <c r="F804" s="8"/>
      <c r="G804" s="8"/>
      <c r="H804" s="8"/>
      <c r="I804" s="8"/>
      <c r="J804" s="8"/>
      <c r="K804" s="8"/>
      <c r="L804" s="8"/>
      <c r="M804" s="8"/>
      <c r="N804" s="8"/>
      <c r="O804" s="8"/>
      <c r="P804" s="8"/>
      <c r="Q804" s="8"/>
      <c r="R804" s="8"/>
      <c r="S804" s="8"/>
      <c r="T804" s="8"/>
      <c r="U804" s="12"/>
      <c r="V804" s="12"/>
      <c r="W804" s="12"/>
      <c r="X804" s="12"/>
      <c r="Y804" s="12"/>
      <c r="Z804" s="12"/>
      <c r="AA804" s="12"/>
      <c r="AB804" s="12"/>
      <c r="AC804" s="12"/>
      <c r="AD804" s="12"/>
      <c r="AE804" s="12"/>
      <c r="AF804" s="12"/>
    </row>
    <row r="805" spans="1:32">
      <c r="A805" s="8"/>
      <c r="B805" s="8"/>
      <c r="C805" s="8"/>
      <c r="D805" s="8"/>
      <c r="E805" s="8"/>
      <c r="F805" s="8"/>
      <c r="G805" s="8"/>
      <c r="H805" s="8"/>
      <c r="I805" s="8"/>
      <c r="J805" s="8"/>
      <c r="K805" s="8"/>
      <c r="L805" s="8"/>
      <c r="M805" s="8"/>
      <c r="N805" s="8"/>
      <c r="O805" s="8"/>
      <c r="P805" s="8"/>
      <c r="Q805" s="8"/>
      <c r="R805" s="8"/>
      <c r="S805" s="8"/>
      <c r="T805" s="8"/>
      <c r="U805" s="12"/>
      <c r="V805" s="12"/>
      <c r="W805" s="12"/>
      <c r="X805" s="12"/>
      <c r="Y805" s="12"/>
      <c r="Z805" s="12"/>
      <c r="AA805" s="12"/>
      <c r="AB805" s="12"/>
      <c r="AC805" s="12"/>
      <c r="AD805" s="12"/>
      <c r="AE805" s="12"/>
      <c r="AF805" s="12"/>
    </row>
    <row r="806" spans="1:32">
      <c r="A806" s="8"/>
      <c r="B806" s="8"/>
      <c r="C806" s="8"/>
      <c r="D806" s="8"/>
      <c r="E806" s="8"/>
      <c r="F806" s="8"/>
      <c r="G806" s="8"/>
      <c r="H806" s="8"/>
      <c r="I806" s="8"/>
      <c r="J806" s="8"/>
      <c r="K806" s="8"/>
      <c r="L806" s="8"/>
      <c r="M806" s="8"/>
      <c r="N806" s="8"/>
      <c r="O806" s="8"/>
      <c r="P806" s="8"/>
      <c r="Q806" s="8"/>
      <c r="R806" s="8"/>
      <c r="S806" s="8"/>
      <c r="T806" s="8"/>
      <c r="U806" s="12"/>
      <c r="V806" s="12"/>
      <c r="W806" s="12"/>
      <c r="X806" s="12"/>
      <c r="Y806" s="12"/>
      <c r="Z806" s="12"/>
      <c r="AA806" s="12"/>
      <c r="AB806" s="12"/>
      <c r="AC806" s="12"/>
      <c r="AD806" s="12"/>
      <c r="AE806" s="12"/>
      <c r="AF806" s="12"/>
    </row>
    <row r="807" spans="1:32">
      <c r="A807" s="8"/>
      <c r="B807" s="8"/>
      <c r="C807" s="8"/>
      <c r="D807" s="8"/>
      <c r="E807" s="8"/>
      <c r="F807" s="8"/>
      <c r="G807" s="8"/>
      <c r="H807" s="8"/>
      <c r="I807" s="8"/>
      <c r="J807" s="8"/>
      <c r="K807" s="8"/>
      <c r="L807" s="8"/>
      <c r="M807" s="8"/>
      <c r="N807" s="8"/>
      <c r="O807" s="8"/>
      <c r="P807" s="8"/>
      <c r="Q807" s="8"/>
      <c r="R807" s="8"/>
      <c r="S807" s="8"/>
      <c r="T807" s="8"/>
      <c r="U807" s="12"/>
      <c r="V807" s="12"/>
      <c r="W807" s="12"/>
      <c r="X807" s="12"/>
      <c r="Y807" s="12"/>
      <c r="Z807" s="12"/>
      <c r="AA807" s="12"/>
      <c r="AB807" s="12"/>
      <c r="AC807" s="12"/>
      <c r="AD807" s="12"/>
      <c r="AE807" s="12"/>
      <c r="AF807" s="12"/>
    </row>
    <row r="808" spans="1:32">
      <c r="A808" s="8"/>
      <c r="B808" s="8"/>
      <c r="C808" s="8"/>
      <c r="D808" s="8"/>
      <c r="E808" s="8"/>
      <c r="F808" s="8"/>
      <c r="G808" s="8"/>
      <c r="H808" s="8"/>
      <c r="I808" s="8"/>
      <c r="J808" s="8"/>
      <c r="K808" s="8"/>
      <c r="L808" s="8"/>
      <c r="M808" s="8"/>
      <c r="N808" s="8"/>
      <c r="O808" s="8"/>
      <c r="P808" s="8"/>
      <c r="Q808" s="8"/>
      <c r="R808" s="8"/>
      <c r="S808" s="8"/>
      <c r="T808" s="8"/>
      <c r="U808" s="12"/>
      <c r="V808" s="12"/>
      <c r="W808" s="12"/>
      <c r="X808" s="12"/>
      <c r="Y808" s="12"/>
      <c r="Z808" s="12"/>
      <c r="AA808" s="12"/>
      <c r="AB808" s="12"/>
      <c r="AC808" s="12"/>
      <c r="AD808" s="12"/>
      <c r="AE808" s="12"/>
      <c r="AF808" s="12"/>
    </row>
    <row r="809" spans="1:32">
      <c r="A809" s="8"/>
      <c r="B809" s="8"/>
      <c r="C809" s="8"/>
      <c r="D809" s="8"/>
      <c r="E809" s="8"/>
      <c r="F809" s="8"/>
      <c r="G809" s="8"/>
      <c r="H809" s="8"/>
      <c r="I809" s="8"/>
      <c r="J809" s="8"/>
      <c r="K809" s="8"/>
      <c r="L809" s="8"/>
      <c r="M809" s="8"/>
      <c r="N809" s="8"/>
      <c r="O809" s="8"/>
      <c r="P809" s="8"/>
      <c r="Q809" s="8"/>
      <c r="R809" s="8"/>
      <c r="S809" s="8"/>
      <c r="T809" s="8"/>
      <c r="U809" s="12"/>
      <c r="V809" s="12"/>
      <c r="W809" s="12"/>
      <c r="X809" s="12"/>
      <c r="Y809" s="12"/>
      <c r="Z809" s="12"/>
      <c r="AA809" s="12"/>
      <c r="AB809" s="12"/>
      <c r="AC809" s="12"/>
      <c r="AD809" s="12"/>
      <c r="AE809" s="12"/>
      <c r="AF809" s="12"/>
    </row>
    <row r="810" spans="1:32">
      <c r="A810" s="8"/>
      <c r="B810" s="8"/>
      <c r="C810" s="8"/>
      <c r="D810" s="8"/>
      <c r="E810" s="8"/>
      <c r="F810" s="8"/>
      <c r="G810" s="8"/>
      <c r="H810" s="8"/>
      <c r="I810" s="8"/>
      <c r="J810" s="8"/>
      <c r="K810" s="8"/>
      <c r="L810" s="8"/>
      <c r="M810" s="8"/>
      <c r="N810" s="8"/>
      <c r="O810" s="8"/>
      <c r="P810" s="8"/>
      <c r="Q810" s="8"/>
      <c r="R810" s="8"/>
      <c r="S810" s="8"/>
      <c r="T810" s="8"/>
      <c r="U810" s="12"/>
      <c r="V810" s="12"/>
      <c r="W810" s="12"/>
      <c r="X810" s="12"/>
      <c r="Y810" s="12"/>
      <c r="Z810" s="12"/>
      <c r="AA810" s="12"/>
      <c r="AB810" s="12"/>
      <c r="AC810" s="12"/>
      <c r="AD810" s="12"/>
      <c r="AE810" s="12"/>
      <c r="AF810" s="12"/>
    </row>
    <row r="811" spans="1:32">
      <c r="A811" s="8"/>
      <c r="B811" s="8"/>
      <c r="C811" s="8"/>
      <c r="D811" s="8"/>
      <c r="E811" s="8"/>
      <c r="F811" s="8"/>
      <c r="G811" s="8"/>
      <c r="H811" s="8"/>
      <c r="I811" s="8"/>
      <c r="J811" s="8"/>
      <c r="K811" s="8"/>
      <c r="L811" s="8"/>
      <c r="M811" s="8"/>
      <c r="N811" s="8"/>
      <c r="O811" s="8"/>
      <c r="P811" s="8"/>
      <c r="Q811" s="8"/>
      <c r="R811" s="8"/>
      <c r="S811" s="8"/>
      <c r="T811" s="8"/>
      <c r="U811" s="12"/>
      <c r="V811" s="12"/>
      <c r="W811" s="12"/>
      <c r="X811" s="12"/>
      <c r="Y811" s="12"/>
      <c r="Z811" s="12"/>
      <c r="AA811" s="12"/>
      <c r="AB811" s="12"/>
      <c r="AC811" s="12"/>
      <c r="AD811" s="12"/>
      <c r="AE811" s="12"/>
      <c r="AF811" s="12"/>
    </row>
    <row r="812" spans="1:32">
      <c r="A812" s="8"/>
      <c r="B812" s="8"/>
      <c r="C812" s="8"/>
      <c r="D812" s="8"/>
      <c r="E812" s="8"/>
      <c r="F812" s="8"/>
      <c r="G812" s="8"/>
      <c r="H812" s="8"/>
      <c r="I812" s="8"/>
      <c r="J812" s="8"/>
      <c r="K812" s="8"/>
      <c r="L812" s="8"/>
      <c r="M812" s="8"/>
      <c r="N812" s="8"/>
      <c r="O812" s="8"/>
      <c r="P812" s="8"/>
      <c r="Q812" s="8"/>
      <c r="R812" s="8"/>
      <c r="S812" s="8"/>
      <c r="T812" s="8"/>
      <c r="U812" s="12"/>
      <c r="V812" s="12"/>
      <c r="W812" s="12"/>
      <c r="X812" s="12"/>
      <c r="Y812" s="12"/>
      <c r="Z812" s="12"/>
      <c r="AA812" s="12"/>
      <c r="AB812" s="12"/>
      <c r="AC812" s="12"/>
      <c r="AD812" s="12"/>
      <c r="AE812" s="12"/>
      <c r="AF812" s="12"/>
    </row>
    <row r="813" spans="1:32">
      <c r="A813" s="8"/>
      <c r="B813" s="8"/>
      <c r="C813" s="8"/>
      <c r="D813" s="8"/>
      <c r="E813" s="8"/>
      <c r="F813" s="8"/>
      <c r="G813" s="8"/>
      <c r="H813" s="8"/>
      <c r="I813" s="8"/>
      <c r="J813" s="8"/>
      <c r="K813" s="8"/>
      <c r="L813" s="8"/>
      <c r="M813" s="8"/>
      <c r="N813" s="8"/>
      <c r="O813" s="8"/>
      <c r="P813" s="8"/>
      <c r="Q813" s="8"/>
      <c r="R813" s="8"/>
      <c r="S813" s="8"/>
      <c r="T813" s="8"/>
      <c r="U813" s="12"/>
      <c r="V813" s="12"/>
      <c r="W813" s="12"/>
      <c r="X813" s="12"/>
      <c r="Y813" s="12"/>
      <c r="Z813" s="12"/>
      <c r="AA813" s="12"/>
      <c r="AB813" s="12"/>
      <c r="AC813" s="12"/>
      <c r="AD813" s="12"/>
      <c r="AE813" s="12"/>
      <c r="AF813" s="12"/>
    </row>
    <row r="814" spans="1:32">
      <c r="A814" s="8"/>
      <c r="B814" s="8"/>
      <c r="C814" s="8"/>
      <c r="D814" s="8"/>
      <c r="E814" s="8"/>
      <c r="F814" s="8"/>
      <c r="G814" s="8"/>
      <c r="H814" s="8"/>
      <c r="I814" s="8"/>
      <c r="J814" s="8"/>
      <c r="K814" s="8"/>
      <c r="L814" s="8"/>
      <c r="M814" s="8"/>
      <c r="N814" s="8"/>
      <c r="O814" s="8"/>
      <c r="P814" s="8"/>
      <c r="Q814" s="8"/>
      <c r="R814" s="8"/>
      <c r="S814" s="8"/>
      <c r="T814" s="8"/>
      <c r="U814" s="12"/>
      <c r="V814" s="12"/>
      <c r="W814" s="12"/>
      <c r="X814" s="12"/>
      <c r="Y814" s="12"/>
      <c r="Z814" s="12"/>
      <c r="AA814" s="12"/>
      <c r="AB814" s="12"/>
      <c r="AC814" s="12"/>
      <c r="AD814" s="12"/>
      <c r="AE814" s="12"/>
      <c r="AF814" s="12"/>
    </row>
    <row r="815" spans="1:32">
      <c r="A815" s="8"/>
      <c r="B815" s="8"/>
      <c r="C815" s="8"/>
      <c r="D815" s="8"/>
      <c r="E815" s="8"/>
      <c r="F815" s="8"/>
      <c r="G815" s="8"/>
      <c r="H815" s="8"/>
      <c r="I815" s="8"/>
      <c r="J815" s="8"/>
      <c r="K815" s="8"/>
      <c r="L815" s="8"/>
      <c r="M815" s="8"/>
      <c r="N815" s="8"/>
      <c r="O815" s="8"/>
      <c r="P815" s="8"/>
      <c r="Q815" s="8"/>
      <c r="R815" s="8"/>
      <c r="S815" s="8"/>
      <c r="T815" s="8"/>
      <c r="U815" s="12"/>
      <c r="V815" s="12"/>
      <c r="W815" s="12"/>
      <c r="X815" s="12"/>
      <c r="Y815" s="12"/>
      <c r="Z815" s="12"/>
      <c r="AA815" s="12"/>
      <c r="AB815" s="12"/>
      <c r="AC815" s="12"/>
      <c r="AD815" s="12"/>
      <c r="AE815" s="12"/>
      <c r="AF815" s="12"/>
    </row>
    <row r="816" spans="1:32">
      <c r="A816" s="8"/>
      <c r="B816" s="8"/>
      <c r="C816" s="8"/>
      <c r="D816" s="8"/>
      <c r="E816" s="8"/>
      <c r="F816" s="8"/>
      <c r="G816" s="8"/>
      <c r="H816" s="8"/>
      <c r="I816" s="8"/>
      <c r="J816" s="8"/>
      <c r="K816" s="8"/>
      <c r="L816" s="8"/>
      <c r="M816" s="8"/>
      <c r="N816" s="8"/>
      <c r="O816" s="8"/>
      <c r="P816" s="8"/>
      <c r="Q816" s="8"/>
      <c r="R816" s="8"/>
      <c r="S816" s="8"/>
      <c r="T816" s="8"/>
      <c r="U816" s="12"/>
      <c r="V816" s="12"/>
      <c r="W816" s="12"/>
      <c r="X816" s="12"/>
      <c r="Y816" s="12"/>
      <c r="Z816" s="12"/>
      <c r="AA816" s="12"/>
      <c r="AB816" s="12"/>
      <c r="AC816" s="12"/>
      <c r="AD816" s="12"/>
      <c r="AE816" s="12"/>
      <c r="AF816" s="12"/>
    </row>
    <row r="817" spans="1:32">
      <c r="A817" s="8"/>
      <c r="B817" s="8"/>
      <c r="C817" s="8"/>
      <c r="D817" s="8"/>
      <c r="E817" s="8"/>
      <c r="F817" s="8"/>
      <c r="G817" s="8"/>
      <c r="H817" s="8"/>
      <c r="I817" s="8"/>
      <c r="J817" s="8"/>
      <c r="K817" s="8"/>
      <c r="L817" s="8"/>
      <c r="M817" s="8"/>
      <c r="N817" s="8"/>
      <c r="O817" s="8"/>
      <c r="P817" s="8"/>
      <c r="Q817" s="8"/>
      <c r="R817" s="8"/>
      <c r="S817" s="8"/>
      <c r="T817" s="8"/>
      <c r="U817" s="12"/>
      <c r="V817" s="12"/>
      <c r="W817" s="12"/>
      <c r="X817" s="12"/>
      <c r="Y817" s="12"/>
      <c r="Z817" s="12"/>
      <c r="AA817" s="12"/>
      <c r="AB817" s="12"/>
      <c r="AC817" s="12"/>
      <c r="AD817" s="12"/>
      <c r="AE817" s="12"/>
      <c r="AF817" s="12"/>
    </row>
    <row r="818" spans="1:32">
      <c r="A818" s="8"/>
      <c r="B818" s="8"/>
      <c r="C818" s="8"/>
      <c r="D818" s="8"/>
      <c r="E818" s="8"/>
      <c r="F818" s="8"/>
      <c r="G818" s="8"/>
      <c r="H818" s="8"/>
      <c r="I818" s="8"/>
      <c r="J818" s="8"/>
      <c r="K818" s="8"/>
      <c r="L818" s="8"/>
      <c r="M818" s="8"/>
      <c r="N818" s="8"/>
      <c r="O818" s="8"/>
      <c r="P818" s="8"/>
      <c r="Q818" s="8"/>
      <c r="R818" s="8"/>
      <c r="S818" s="8"/>
      <c r="T818" s="8"/>
      <c r="U818" s="12"/>
      <c r="V818" s="12"/>
      <c r="W818" s="12"/>
      <c r="X818" s="12"/>
      <c r="Y818" s="12"/>
      <c r="Z818" s="12"/>
      <c r="AA818" s="12"/>
      <c r="AB818" s="12"/>
      <c r="AC818" s="12"/>
      <c r="AD818" s="12"/>
      <c r="AE818" s="12"/>
      <c r="AF818" s="12"/>
    </row>
    <row r="819" spans="1:32">
      <c r="A819" s="8"/>
      <c r="B819" s="8"/>
      <c r="C819" s="8"/>
      <c r="D819" s="8"/>
      <c r="E819" s="8"/>
      <c r="F819" s="8"/>
      <c r="G819" s="8"/>
      <c r="H819" s="8"/>
      <c r="I819" s="8"/>
      <c r="J819" s="8"/>
      <c r="K819" s="8"/>
      <c r="L819" s="8"/>
      <c r="M819" s="8"/>
      <c r="N819" s="8"/>
      <c r="O819" s="8"/>
      <c r="P819" s="8"/>
      <c r="Q819" s="8"/>
      <c r="R819" s="8"/>
      <c r="S819" s="8"/>
      <c r="T819" s="8"/>
      <c r="U819" s="12"/>
      <c r="V819" s="12"/>
      <c r="W819" s="12"/>
      <c r="X819" s="12"/>
      <c r="Y819" s="12"/>
      <c r="Z819" s="12"/>
      <c r="AA819" s="12"/>
      <c r="AB819" s="12"/>
      <c r="AC819" s="12"/>
      <c r="AD819" s="12"/>
      <c r="AE819" s="12"/>
      <c r="AF819" s="12"/>
    </row>
    <row r="820" spans="1:32">
      <c r="A820" s="8"/>
      <c r="B820" s="8"/>
      <c r="C820" s="8"/>
      <c r="D820" s="8"/>
      <c r="E820" s="8"/>
      <c r="F820" s="8"/>
      <c r="G820" s="8"/>
      <c r="H820" s="8"/>
      <c r="I820" s="8"/>
      <c r="J820" s="8"/>
      <c r="K820" s="8"/>
      <c r="L820" s="8"/>
      <c r="M820" s="8"/>
      <c r="N820" s="8"/>
      <c r="O820" s="8"/>
      <c r="P820" s="8"/>
      <c r="Q820" s="8"/>
      <c r="R820" s="8"/>
      <c r="S820" s="8"/>
      <c r="T820" s="8"/>
      <c r="U820" s="12"/>
      <c r="V820" s="12"/>
      <c r="W820" s="12"/>
      <c r="X820" s="12"/>
      <c r="Y820" s="12"/>
      <c r="Z820" s="12"/>
      <c r="AA820" s="12"/>
      <c r="AB820" s="12"/>
      <c r="AC820" s="12"/>
      <c r="AD820" s="12"/>
      <c r="AE820" s="12"/>
      <c r="AF820" s="12"/>
    </row>
    <row r="821" spans="1:32">
      <c r="A821" s="8"/>
      <c r="B821" s="8"/>
      <c r="C821" s="8"/>
      <c r="D821" s="8"/>
      <c r="E821" s="8"/>
      <c r="F821" s="8"/>
      <c r="G821" s="8"/>
      <c r="H821" s="8"/>
      <c r="I821" s="8"/>
      <c r="J821" s="8"/>
      <c r="K821" s="8"/>
      <c r="L821" s="8"/>
      <c r="M821" s="8"/>
      <c r="N821" s="8"/>
      <c r="O821" s="8"/>
      <c r="P821" s="8"/>
      <c r="Q821" s="8"/>
      <c r="R821" s="8"/>
      <c r="S821" s="8"/>
      <c r="T821" s="8"/>
      <c r="U821" s="12"/>
      <c r="V821" s="12"/>
      <c r="W821" s="12"/>
      <c r="X821" s="12"/>
      <c r="Y821" s="12"/>
      <c r="Z821" s="12"/>
      <c r="AA821" s="12"/>
      <c r="AB821" s="12"/>
      <c r="AC821" s="12"/>
      <c r="AD821" s="12"/>
      <c r="AE821" s="12"/>
      <c r="AF821" s="12"/>
    </row>
    <row r="822" spans="1:32">
      <c r="A822" s="8"/>
      <c r="B822" s="8"/>
      <c r="C822" s="8"/>
      <c r="D822" s="8"/>
      <c r="E822" s="8"/>
      <c r="F822" s="8"/>
      <c r="G822" s="8"/>
      <c r="H822" s="8"/>
      <c r="I822" s="8"/>
      <c r="J822" s="8"/>
      <c r="K822" s="8"/>
      <c r="L822" s="8"/>
      <c r="M822" s="8"/>
      <c r="N822" s="8"/>
      <c r="O822" s="8"/>
      <c r="P822" s="8"/>
      <c r="Q822" s="8"/>
      <c r="R822" s="8"/>
      <c r="S822" s="8"/>
      <c r="T822" s="8"/>
      <c r="U822" s="12"/>
      <c r="V822" s="12"/>
      <c r="W822" s="12"/>
      <c r="X822" s="12"/>
      <c r="Y822" s="12"/>
      <c r="Z822" s="12"/>
      <c r="AA822" s="12"/>
      <c r="AB822" s="12"/>
      <c r="AC822" s="12"/>
      <c r="AD822" s="12"/>
      <c r="AE822" s="12"/>
      <c r="AF822" s="12"/>
    </row>
    <row r="823" spans="1:32">
      <c r="A823" s="8"/>
      <c r="B823" s="8"/>
      <c r="C823" s="8"/>
      <c r="D823" s="8"/>
      <c r="E823" s="8"/>
      <c r="F823" s="8"/>
      <c r="G823" s="8"/>
      <c r="H823" s="8"/>
      <c r="I823" s="8"/>
      <c r="J823" s="8"/>
      <c r="K823" s="8"/>
      <c r="L823" s="8"/>
      <c r="M823" s="8"/>
      <c r="N823" s="8"/>
      <c r="O823" s="8"/>
      <c r="P823" s="8"/>
      <c r="Q823" s="8"/>
      <c r="R823" s="8"/>
      <c r="S823" s="8"/>
      <c r="T823" s="8"/>
      <c r="U823" s="12"/>
      <c r="V823" s="12"/>
      <c r="W823" s="12"/>
      <c r="X823" s="12"/>
      <c r="Y823" s="12"/>
      <c r="Z823" s="12"/>
      <c r="AA823" s="12"/>
      <c r="AB823" s="12"/>
      <c r="AC823" s="12"/>
      <c r="AD823" s="12"/>
      <c r="AE823" s="12"/>
      <c r="AF823" s="12"/>
    </row>
    <row r="824" spans="1:32">
      <c r="A824" s="8"/>
      <c r="B824" s="8"/>
      <c r="C824" s="8"/>
      <c r="D824" s="8"/>
      <c r="E824" s="8"/>
      <c r="F824" s="8"/>
      <c r="G824" s="8"/>
      <c r="H824" s="8"/>
      <c r="I824" s="8"/>
      <c r="J824" s="8"/>
      <c r="K824" s="8"/>
      <c r="L824" s="8"/>
      <c r="M824" s="8"/>
      <c r="N824" s="8"/>
      <c r="O824" s="8"/>
      <c r="P824" s="8"/>
      <c r="Q824" s="8"/>
      <c r="R824" s="8"/>
      <c r="S824" s="8"/>
      <c r="T824" s="8"/>
      <c r="U824" s="12"/>
      <c r="V824" s="12"/>
      <c r="W824" s="12"/>
      <c r="X824" s="12"/>
      <c r="Y824" s="12"/>
      <c r="Z824" s="12"/>
      <c r="AA824" s="12"/>
      <c r="AB824" s="12"/>
      <c r="AC824" s="12"/>
      <c r="AD824" s="12"/>
      <c r="AE824" s="12"/>
      <c r="AF824" s="12"/>
    </row>
    <row r="825" spans="1:32">
      <c r="A825" s="8"/>
      <c r="B825" s="8"/>
      <c r="C825" s="8"/>
      <c r="D825" s="8"/>
      <c r="E825" s="8"/>
      <c r="F825" s="8"/>
      <c r="G825" s="8"/>
      <c r="H825" s="8"/>
      <c r="I825" s="8"/>
      <c r="J825" s="8"/>
      <c r="K825" s="8"/>
      <c r="L825" s="8"/>
      <c r="M825" s="8"/>
      <c r="N825" s="8"/>
      <c r="O825" s="8"/>
      <c r="P825" s="8"/>
      <c r="Q825" s="8"/>
      <c r="R825" s="8"/>
      <c r="S825" s="8"/>
      <c r="T825" s="8"/>
      <c r="U825" s="12"/>
      <c r="V825" s="12"/>
      <c r="W825" s="12"/>
      <c r="X825" s="12"/>
      <c r="Y825" s="12"/>
      <c r="Z825" s="12"/>
      <c r="AA825" s="12"/>
      <c r="AB825" s="12"/>
      <c r="AC825" s="12"/>
      <c r="AD825" s="12"/>
      <c r="AE825" s="12"/>
      <c r="AF825" s="12"/>
    </row>
    <row r="826" spans="1:32">
      <c r="A826" s="8"/>
      <c r="B826" s="8"/>
      <c r="C826" s="8"/>
      <c r="D826" s="8"/>
      <c r="E826" s="8"/>
      <c r="F826" s="8"/>
      <c r="G826" s="8"/>
      <c r="H826" s="8"/>
      <c r="I826" s="8"/>
      <c r="J826" s="8"/>
      <c r="K826" s="8"/>
      <c r="L826" s="8"/>
      <c r="M826" s="8"/>
      <c r="N826" s="8"/>
      <c r="O826" s="8"/>
      <c r="P826" s="8"/>
      <c r="Q826" s="8"/>
      <c r="R826" s="8"/>
      <c r="S826" s="8"/>
      <c r="T826" s="8"/>
      <c r="U826" s="12"/>
      <c r="V826" s="12"/>
      <c r="W826" s="12"/>
      <c r="X826" s="12"/>
      <c r="Y826" s="12"/>
      <c r="Z826" s="12"/>
      <c r="AA826" s="12"/>
      <c r="AB826" s="12"/>
      <c r="AC826" s="12"/>
      <c r="AD826" s="12"/>
      <c r="AE826" s="12"/>
      <c r="AF826" s="12"/>
    </row>
    <row r="827" spans="1:32">
      <c r="A827" s="8"/>
      <c r="B827" s="8"/>
      <c r="C827" s="8"/>
      <c r="D827" s="8"/>
      <c r="E827" s="8"/>
      <c r="F827" s="8"/>
      <c r="G827" s="8"/>
      <c r="H827" s="8"/>
      <c r="I827" s="8"/>
      <c r="J827" s="8"/>
      <c r="K827" s="8"/>
      <c r="L827" s="8"/>
      <c r="M827" s="8"/>
      <c r="N827" s="8"/>
      <c r="O827" s="8"/>
      <c r="P827" s="8"/>
      <c r="Q827" s="8"/>
      <c r="R827" s="8"/>
      <c r="S827" s="8"/>
      <c r="T827" s="8"/>
      <c r="U827" s="12"/>
      <c r="V827" s="12"/>
      <c r="W827" s="12"/>
      <c r="X827" s="12"/>
      <c r="Y827" s="12"/>
      <c r="Z827" s="12"/>
      <c r="AA827" s="12"/>
      <c r="AB827" s="12"/>
      <c r="AC827" s="12"/>
      <c r="AD827" s="12"/>
      <c r="AE827" s="12"/>
      <c r="AF827" s="12"/>
    </row>
    <row r="828" spans="1:32">
      <c r="A828" s="8"/>
      <c r="B828" s="8"/>
      <c r="C828" s="8"/>
      <c r="D828" s="8"/>
      <c r="E828" s="8"/>
      <c r="F828" s="8"/>
      <c r="G828" s="8"/>
      <c r="H828" s="8"/>
      <c r="I828" s="8"/>
      <c r="J828" s="8"/>
      <c r="K828" s="8"/>
      <c r="L828" s="8"/>
      <c r="M828" s="8"/>
      <c r="N828" s="8"/>
      <c r="O828" s="8"/>
      <c r="P828" s="8"/>
      <c r="Q828" s="8"/>
      <c r="R828" s="8"/>
      <c r="S828" s="8"/>
      <c r="T828" s="8"/>
      <c r="U828" s="12"/>
      <c r="V828" s="12"/>
      <c r="W828" s="12"/>
      <c r="X828" s="12"/>
      <c r="Y828" s="12"/>
      <c r="Z828" s="12"/>
      <c r="AA828" s="12"/>
      <c r="AB828" s="12"/>
      <c r="AC828" s="12"/>
      <c r="AD828" s="12"/>
      <c r="AE828" s="12"/>
      <c r="AF828" s="12"/>
    </row>
    <row r="829" spans="1:32">
      <c r="A829" s="8"/>
      <c r="B829" s="8"/>
      <c r="C829" s="8"/>
      <c r="D829" s="8"/>
      <c r="E829" s="8"/>
      <c r="F829" s="8"/>
      <c r="G829" s="8"/>
      <c r="H829" s="8"/>
      <c r="I829" s="8"/>
      <c r="J829" s="8"/>
      <c r="K829" s="8"/>
      <c r="L829" s="8"/>
      <c r="M829" s="8"/>
      <c r="N829" s="8"/>
      <c r="O829" s="8"/>
      <c r="P829" s="8"/>
      <c r="Q829" s="8"/>
      <c r="R829" s="8"/>
      <c r="S829" s="8"/>
      <c r="T829" s="8"/>
      <c r="U829" s="12"/>
      <c r="V829" s="12"/>
      <c r="W829" s="12"/>
      <c r="X829" s="12"/>
      <c r="Y829" s="12"/>
      <c r="Z829" s="12"/>
      <c r="AA829" s="12"/>
      <c r="AB829" s="12"/>
      <c r="AC829" s="12"/>
      <c r="AD829" s="12"/>
      <c r="AE829" s="12"/>
      <c r="AF829" s="12"/>
    </row>
    <row r="830" spans="1:32">
      <c r="A830" s="8"/>
      <c r="B830" s="8"/>
      <c r="C830" s="8"/>
      <c r="D830" s="8"/>
      <c r="E830" s="8"/>
      <c r="F830" s="8"/>
      <c r="G830" s="8"/>
      <c r="H830" s="8"/>
      <c r="I830" s="8"/>
      <c r="J830" s="8"/>
      <c r="K830" s="8"/>
      <c r="L830" s="8"/>
      <c r="M830" s="8"/>
      <c r="N830" s="8"/>
      <c r="O830" s="8"/>
      <c r="P830" s="8"/>
      <c r="Q830" s="8"/>
      <c r="R830" s="8"/>
      <c r="S830" s="8"/>
      <c r="T830" s="8"/>
      <c r="U830" s="12"/>
      <c r="V830" s="12"/>
      <c r="W830" s="12"/>
      <c r="X830" s="12"/>
      <c r="Y830" s="12"/>
      <c r="Z830" s="12"/>
      <c r="AA830" s="12"/>
      <c r="AB830" s="12"/>
      <c r="AC830" s="12"/>
      <c r="AD830" s="12"/>
      <c r="AE830" s="12"/>
      <c r="AF830" s="12"/>
    </row>
    <row r="831" spans="1:32">
      <c r="A831" s="8"/>
      <c r="B831" s="8"/>
      <c r="C831" s="8"/>
      <c r="D831" s="8"/>
      <c r="E831" s="8"/>
      <c r="F831" s="8"/>
      <c r="G831" s="8"/>
      <c r="H831" s="8"/>
      <c r="I831" s="8"/>
      <c r="J831" s="8"/>
      <c r="K831" s="8"/>
      <c r="L831" s="8"/>
      <c r="M831" s="8"/>
      <c r="N831" s="8"/>
      <c r="O831" s="8"/>
      <c r="P831" s="8"/>
      <c r="Q831" s="8"/>
      <c r="R831" s="8"/>
      <c r="S831" s="8"/>
      <c r="T831" s="8"/>
      <c r="U831" s="12"/>
      <c r="V831" s="12"/>
      <c r="W831" s="12"/>
      <c r="X831" s="12"/>
      <c r="Y831" s="12"/>
      <c r="Z831" s="12"/>
      <c r="AA831" s="12"/>
      <c r="AB831" s="12"/>
      <c r="AC831" s="12"/>
      <c r="AD831" s="12"/>
      <c r="AE831" s="12"/>
      <c r="AF831" s="12"/>
    </row>
    <row r="832" spans="1:32">
      <c r="A832" s="8"/>
      <c r="B832" s="8"/>
      <c r="C832" s="8"/>
      <c r="D832" s="8"/>
      <c r="E832" s="8"/>
      <c r="F832" s="8"/>
      <c r="G832" s="8"/>
      <c r="H832" s="8"/>
      <c r="I832" s="8"/>
      <c r="J832" s="8"/>
      <c r="K832" s="8"/>
      <c r="L832" s="8"/>
      <c r="M832" s="8"/>
      <c r="N832" s="8"/>
      <c r="O832" s="8"/>
      <c r="P832" s="8"/>
      <c r="Q832" s="8"/>
      <c r="R832" s="8"/>
      <c r="S832" s="8"/>
      <c r="T832" s="8"/>
      <c r="U832" s="12"/>
      <c r="V832" s="12"/>
      <c r="W832" s="12"/>
      <c r="X832" s="12"/>
      <c r="Y832" s="12"/>
      <c r="Z832" s="12"/>
      <c r="AA832" s="12"/>
      <c r="AB832" s="12"/>
      <c r="AC832" s="12"/>
      <c r="AD832" s="12"/>
      <c r="AE832" s="12"/>
      <c r="AF832" s="12"/>
    </row>
    <row r="833" spans="1:32">
      <c r="A833" s="8"/>
      <c r="B833" s="8"/>
      <c r="C833" s="8"/>
      <c r="D833" s="8"/>
      <c r="E833" s="8"/>
      <c r="F833" s="8"/>
      <c r="G833" s="8"/>
      <c r="H833" s="8"/>
      <c r="I833" s="8"/>
      <c r="J833" s="8"/>
      <c r="K833" s="8"/>
      <c r="L833" s="8"/>
      <c r="M833" s="8"/>
      <c r="N833" s="8"/>
      <c r="O833" s="8"/>
      <c r="P833" s="8"/>
      <c r="Q833" s="8"/>
      <c r="R833" s="8"/>
      <c r="S833" s="8"/>
      <c r="T833" s="8"/>
      <c r="U833" s="12"/>
      <c r="V833" s="12"/>
      <c r="W833" s="12"/>
      <c r="X833" s="12"/>
      <c r="Y833" s="12"/>
      <c r="Z833" s="12"/>
      <c r="AA833" s="12"/>
      <c r="AB833" s="12"/>
      <c r="AC833" s="12"/>
      <c r="AD833" s="12"/>
      <c r="AE833" s="12"/>
      <c r="AF833" s="12"/>
    </row>
    <row r="834" spans="1:32">
      <c r="A834" s="8"/>
      <c r="B834" s="8"/>
      <c r="C834" s="8"/>
      <c r="D834" s="8"/>
      <c r="E834" s="8"/>
      <c r="F834" s="8"/>
      <c r="G834" s="8"/>
      <c r="H834" s="8"/>
      <c r="I834" s="8"/>
      <c r="J834" s="8"/>
      <c r="K834" s="8"/>
      <c r="L834" s="8"/>
      <c r="M834" s="8"/>
      <c r="N834" s="8"/>
      <c r="O834" s="8"/>
      <c r="P834" s="8"/>
      <c r="Q834" s="8"/>
      <c r="R834" s="8"/>
      <c r="S834" s="8"/>
      <c r="T834" s="8"/>
      <c r="U834" s="12"/>
      <c r="V834" s="12"/>
      <c r="W834" s="12"/>
      <c r="X834" s="12"/>
      <c r="Y834" s="12"/>
      <c r="Z834" s="12"/>
      <c r="AA834" s="12"/>
      <c r="AB834" s="12"/>
      <c r="AC834" s="12"/>
      <c r="AD834" s="12"/>
      <c r="AE834" s="12"/>
      <c r="AF834" s="12"/>
    </row>
    <row r="835" spans="1:32">
      <c r="A835" s="8"/>
      <c r="B835" s="8"/>
      <c r="C835" s="8"/>
      <c r="D835" s="8"/>
      <c r="E835" s="8"/>
      <c r="F835" s="8"/>
      <c r="G835" s="8"/>
      <c r="H835" s="8"/>
      <c r="I835" s="8"/>
      <c r="J835" s="8"/>
      <c r="K835" s="8"/>
      <c r="L835" s="8"/>
      <c r="M835" s="8"/>
      <c r="N835" s="8"/>
      <c r="O835" s="8"/>
      <c r="P835" s="8"/>
      <c r="Q835" s="8"/>
      <c r="R835" s="8"/>
      <c r="S835" s="8"/>
      <c r="T835" s="8"/>
      <c r="U835" s="12"/>
      <c r="V835" s="12"/>
      <c r="W835" s="12"/>
      <c r="X835" s="12"/>
      <c r="Y835" s="12"/>
      <c r="Z835" s="12"/>
      <c r="AA835" s="12"/>
      <c r="AB835" s="12"/>
      <c r="AC835" s="12"/>
      <c r="AD835" s="12"/>
      <c r="AE835" s="12"/>
      <c r="AF835" s="12"/>
    </row>
    <row r="836" spans="1:32">
      <c r="A836" s="8"/>
      <c r="B836" s="8"/>
      <c r="C836" s="8"/>
      <c r="D836" s="8"/>
      <c r="E836" s="8"/>
      <c r="F836" s="8"/>
      <c r="G836" s="8"/>
      <c r="H836" s="8"/>
      <c r="I836" s="8"/>
      <c r="J836" s="8"/>
      <c r="K836" s="8"/>
      <c r="L836" s="8"/>
      <c r="M836" s="8"/>
      <c r="N836" s="8"/>
      <c r="O836" s="8"/>
      <c r="P836" s="8"/>
      <c r="Q836" s="8"/>
      <c r="R836" s="8"/>
      <c r="S836" s="8"/>
      <c r="T836" s="8"/>
      <c r="U836" s="12"/>
      <c r="V836" s="12"/>
      <c r="W836" s="12"/>
      <c r="X836" s="12"/>
      <c r="Y836" s="12"/>
      <c r="Z836" s="12"/>
      <c r="AA836" s="12"/>
      <c r="AB836" s="12"/>
      <c r="AC836" s="12"/>
      <c r="AD836" s="12"/>
      <c r="AE836" s="12"/>
      <c r="AF836" s="12"/>
    </row>
    <row r="837" spans="1:32">
      <c r="A837" s="8"/>
      <c r="B837" s="8"/>
      <c r="C837" s="8"/>
      <c r="D837" s="8"/>
      <c r="E837" s="8"/>
      <c r="F837" s="8"/>
      <c r="G837" s="8"/>
      <c r="H837" s="8"/>
      <c r="I837" s="8"/>
      <c r="J837" s="8"/>
      <c r="K837" s="8"/>
      <c r="L837" s="8"/>
      <c r="M837" s="8"/>
      <c r="N837" s="8"/>
      <c r="O837" s="8"/>
      <c r="P837" s="8"/>
      <c r="Q837" s="8"/>
      <c r="R837" s="8"/>
      <c r="S837" s="8"/>
      <c r="T837" s="8"/>
      <c r="U837" s="12"/>
      <c r="V837" s="12"/>
      <c r="W837" s="12"/>
      <c r="X837" s="12"/>
      <c r="Y837" s="12"/>
      <c r="Z837" s="12"/>
      <c r="AA837" s="12"/>
      <c r="AB837" s="12"/>
      <c r="AC837" s="12"/>
      <c r="AD837" s="12"/>
      <c r="AE837" s="12"/>
      <c r="AF837" s="12"/>
    </row>
    <row r="838" spans="1:32">
      <c r="A838" s="8"/>
      <c r="B838" s="8"/>
      <c r="C838" s="8"/>
      <c r="D838" s="8"/>
      <c r="E838" s="8"/>
      <c r="F838" s="8"/>
      <c r="G838" s="8"/>
      <c r="H838" s="8"/>
      <c r="I838" s="8"/>
      <c r="J838" s="8"/>
      <c r="K838" s="8"/>
      <c r="L838" s="8"/>
      <c r="M838" s="8"/>
      <c r="N838" s="8"/>
      <c r="O838" s="8"/>
      <c r="P838" s="8"/>
      <c r="Q838" s="8"/>
      <c r="R838" s="8"/>
      <c r="S838" s="8"/>
      <c r="T838" s="8"/>
      <c r="U838" s="12"/>
      <c r="V838" s="12"/>
      <c r="W838" s="12"/>
      <c r="X838" s="12"/>
      <c r="Y838" s="12"/>
      <c r="Z838" s="12"/>
      <c r="AA838" s="12"/>
      <c r="AB838" s="12"/>
      <c r="AC838" s="12"/>
      <c r="AD838" s="12"/>
      <c r="AE838" s="12"/>
      <c r="AF838" s="12"/>
    </row>
    <row r="839" spans="1:32">
      <c r="A839" s="8"/>
      <c r="B839" s="8"/>
      <c r="C839" s="8"/>
      <c r="D839" s="8"/>
      <c r="E839" s="8"/>
      <c r="F839" s="8"/>
      <c r="G839" s="8"/>
      <c r="H839" s="8"/>
      <c r="I839" s="8"/>
      <c r="J839" s="8"/>
      <c r="K839" s="8"/>
      <c r="L839" s="8"/>
      <c r="M839" s="8"/>
      <c r="N839" s="8"/>
      <c r="O839" s="8"/>
      <c r="P839" s="8"/>
      <c r="Q839" s="8"/>
      <c r="R839" s="8"/>
      <c r="S839" s="8"/>
      <c r="T839" s="8"/>
      <c r="U839" s="12"/>
      <c r="V839" s="12"/>
      <c r="W839" s="12"/>
      <c r="X839" s="12"/>
      <c r="Y839" s="12"/>
      <c r="Z839" s="12"/>
      <c r="AA839" s="12"/>
      <c r="AB839" s="12"/>
      <c r="AC839" s="12"/>
      <c r="AD839" s="12"/>
      <c r="AE839" s="12"/>
      <c r="AF839" s="12"/>
    </row>
    <row r="840" spans="1:32">
      <c r="A840" s="8"/>
      <c r="B840" s="8"/>
      <c r="C840" s="8"/>
      <c r="D840" s="8"/>
      <c r="E840" s="8"/>
      <c r="F840" s="8"/>
      <c r="G840" s="8"/>
      <c r="H840" s="8"/>
      <c r="I840" s="8"/>
      <c r="J840" s="8"/>
      <c r="K840" s="8"/>
      <c r="L840" s="8"/>
      <c r="M840" s="8"/>
      <c r="N840" s="8"/>
      <c r="O840" s="8"/>
      <c r="P840" s="8"/>
      <c r="Q840" s="8"/>
      <c r="R840" s="8"/>
      <c r="S840" s="8"/>
      <c r="T840" s="8"/>
      <c r="U840" s="12"/>
      <c r="V840" s="12"/>
      <c r="W840" s="12"/>
      <c r="X840" s="12"/>
      <c r="Y840" s="12"/>
      <c r="Z840" s="12"/>
      <c r="AA840" s="12"/>
      <c r="AB840" s="12"/>
      <c r="AC840" s="12"/>
      <c r="AD840" s="12"/>
      <c r="AE840" s="12"/>
      <c r="AF840" s="12"/>
    </row>
    <row r="841" spans="1:32">
      <c r="A841" s="8"/>
      <c r="B841" s="8"/>
      <c r="C841" s="8"/>
      <c r="D841" s="8"/>
      <c r="E841" s="8"/>
      <c r="F841" s="8"/>
      <c r="G841" s="8"/>
      <c r="H841" s="8"/>
      <c r="I841" s="8"/>
      <c r="J841" s="8"/>
      <c r="K841" s="8"/>
      <c r="L841" s="8"/>
      <c r="M841" s="8"/>
      <c r="N841" s="8"/>
      <c r="O841" s="8"/>
      <c r="P841" s="8"/>
      <c r="Q841" s="8"/>
      <c r="R841" s="8"/>
      <c r="S841" s="8"/>
      <c r="T841" s="8"/>
      <c r="U841" s="12"/>
      <c r="V841" s="12"/>
      <c r="W841" s="12"/>
      <c r="X841" s="12"/>
      <c r="Y841" s="12"/>
      <c r="Z841" s="12"/>
      <c r="AA841" s="12"/>
      <c r="AB841" s="12"/>
      <c r="AC841" s="12"/>
      <c r="AD841" s="12"/>
      <c r="AE841" s="12"/>
      <c r="AF841" s="12"/>
    </row>
    <row r="842" spans="1:32">
      <c r="A842" s="8"/>
      <c r="B842" s="8"/>
      <c r="C842" s="8"/>
      <c r="D842" s="8"/>
      <c r="E842" s="8"/>
      <c r="F842" s="8"/>
      <c r="G842" s="8"/>
      <c r="H842" s="8"/>
      <c r="I842" s="8"/>
      <c r="J842" s="8"/>
      <c r="K842" s="8"/>
      <c r="L842" s="8"/>
      <c r="M842" s="8"/>
      <c r="N842" s="8"/>
      <c r="O842" s="8"/>
      <c r="P842" s="8"/>
      <c r="Q842" s="8"/>
      <c r="R842" s="8"/>
      <c r="S842" s="8"/>
      <c r="T842" s="8"/>
      <c r="U842" s="12"/>
      <c r="V842" s="12"/>
      <c r="W842" s="12"/>
      <c r="X842" s="12"/>
      <c r="Y842" s="12"/>
      <c r="Z842" s="12"/>
      <c r="AA842" s="12"/>
      <c r="AB842" s="12"/>
      <c r="AC842" s="12"/>
      <c r="AD842" s="12"/>
      <c r="AE842" s="12"/>
      <c r="AF842" s="12"/>
    </row>
    <row r="843" spans="1:32">
      <c r="A843" s="8"/>
      <c r="B843" s="8"/>
      <c r="C843" s="8"/>
      <c r="D843" s="8"/>
      <c r="E843" s="8"/>
      <c r="F843" s="8"/>
      <c r="G843" s="8"/>
      <c r="H843" s="8"/>
      <c r="I843" s="8"/>
      <c r="J843" s="8"/>
      <c r="K843" s="8"/>
      <c r="L843" s="8"/>
      <c r="M843" s="8"/>
      <c r="N843" s="8"/>
      <c r="O843" s="8"/>
      <c r="P843" s="8"/>
      <c r="Q843" s="8"/>
      <c r="R843" s="8"/>
      <c r="S843" s="8"/>
      <c r="T843" s="8"/>
      <c r="U843" s="12"/>
      <c r="V843" s="12"/>
      <c r="W843" s="12"/>
      <c r="X843" s="12"/>
      <c r="Y843" s="12"/>
      <c r="Z843" s="12"/>
      <c r="AA843" s="12"/>
      <c r="AB843" s="12"/>
      <c r="AC843" s="12"/>
      <c r="AD843" s="12"/>
      <c r="AE843" s="12"/>
      <c r="AF843" s="12"/>
    </row>
    <row r="844" spans="1:32">
      <c r="A844" s="8"/>
      <c r="B844" s="8"/>
      <c r="C844" s="8"/>
      <c r="D844" s="8"/>
      <c r="E844" s="8"/>
      <c r="F844" s="8"/>
      <c r="G844" s="8"/>
      <c r="H844" s="8"/>
      <c r="I844" s="8"/>
      <c r="J844" s="8"/>
      <c r="K844" s="8"/>
      <c r="L844" s="8"/>
      <c r="M844" s="8"/>
      <c r="N844" s="8"/>
      <c r="O844" s="8"/>
      <c r="P844" s="8"/>
      <c r="Q844" s="8"/>
      <c r="R844" s="8"/>
      <c r="S844" s="8"/>
      <c r="T844" s="8"/>
      <c r="U844" s="12"/>
      <c r="V844" s="12"/>
      <c r="W844" s="12"/>
      <c r="X844" s="12"/>
      <c r="Y844" s="12"/>
      <c r="Z844" s="12"/>
      <c r="AA844" s="12"/>
      <c r="AB844" s="12"/>
      <c r="AC844" s="12"/>
      <c r="AD844" s="12"/>
      <c r="AE844" s="12"/>
      <c r="AF844" s="12"/>
    </row>
    <row r="845" spans="1:32">
      <c r="A845" s="8"/>
      <c r="B845" s="8"/>
      <c r="C845" s="8"/>
      <c r="D845" s="8"/>
      <c r="E845" s="8"/>
      <c r="F845" s="8"/>
      <c r="G845" s="8"/>
      <c r="H845" s="8"/>
      <c r="I845" s="8"/>
      <c r="J845" s="8"/>
      <c r="K845" s="8"/>
      <c r="L845" s="8"/>
      <c r="M845" s="8"/>
      <c r="N845" s="8"/>
      <c r="O845" s="8"/>
      <c r="P845" s="8"/>
      <c r="Q845" s="8"/>
      <c r="R845" s="8"/>
      <c r="S845" s="8"/>
      <c r="T845" s="8"/>
      <c r="U845" s="12"/>
      <c r="V845" s="12"/>
      <c r="W845" s="12"/>
      <c r="X845" s="12"/>
      <c r="Y845" s="12"/>
      <c r="Z845" s="12"/>
      <c r="AA845" s="12"/>
      <c r="AB845" s="12"/>
      <c r="AC845" s="12"/>
      <c r="AD845" s="12"/>
      <c r="AE845" s="12"/>
      <c r="AF845" s="12"/>
    </row>
    <row r="846" spans="1:32">
      <c r="A846" s="8"/>
      <c r="B846" s="8"/>
      <c r="C846" s="8"/>
      <c r="D846" s="8"/>
      <c r="E846" s="8"/>
      <c r="F846" s="8"/>
      <c r="G846" s="8"/>
      <c r="H846" s="8"/>
      <c r="I846" s="8"/>
      <c r="J846" s="8"/>
      <c r="K846" s="8"/>
      <c r="L846" s="8"/>
      <c r="M846" s="8"/>
      <c r="N846" s="8"/>
      <c r="O846" s="8"/>
      <c r="P846" s="8"/>
      <c r="Q846" s="8"/>
      <c r="R846" s="8"/>
      <c r="S846" s="8"/>
      <c r="T846" s="8"/>
      <c r="U846" s="12"/>
      <c r="V846" s="12"/>
      <c r="W846" s="12"/>
      <c r="X846" s="12"/>
      <c r="Y846" s="12"/>
      <c r="Z846" s="12"/>
      <c r="AA846" s="12"/>
      <c r="AB846" s="12"/>
      <c r="AC846" s="12"/>
      <c r="AD846" s="12"/>
      <c r="AE846" s="12"/>
      <c r="AF846" s="12"/>
    </row>
    <row r="847" spans="1:32">
      <c r="A847" s="8"/>
      <c r="B847" s="8"/>
      <c r="C847" s="8"/>
      <c r="D847" s="8"/>
      <c r="E847" s="8"/>
      <c r="F847" s="8"/>
      <c r="G847" s="8"/>
      <c r="H847" s="8"/>
      <c r="I847" s="8"/>
      <c r="J847" s="8"/>
      <c r="K847" s="8"/>
      <c r="L847" s="8"/>
      <c r="M847" s="8"/>
      <c r="N847" s="8"/>
      <c r="O847" s="8"/>
      <c r="P847" s="8"/>
      <c r="Q847" s="8"/>
      <c r="R847" s="8"/>
      <c r="S847" s="8"/>
      <c r="T847" s="8"/>
      <c r="U847" s="12"/>
      <c r="V847" s="12"/>
      <c r="W847" s="12"/>
      <c r="X847" s="12"/>
      <c r="Y847" s="12"/>
      <c r="Z847" s="12"/>
      <c r="AA847" s="12"/>
      <c r="AB847" s="12"/>
      <c r="AC847" s="12"/>
      <c r="AD847" s="12"/>
      <c r="AE847" s="12"/>
      <c r="AF847" s="12"/>
    </row>
    <row r="848" spans="1:32">
      <c r="A848" s="8"/>
      <c r="B848" s="8"/>
      <c r="C848" s="8"/>
      <c r="D848" s="8"/>
      <c r="E848" s="8"/>
      <c r="F848" s="8"/>
      <c r="G848" s="8"/>
      <c r="H848" s="8"/>
      <c r="I848" s="8"/>
      <c r="J848" s="8"/>
      <c r="K848" s="8"/>
      <c r="L848" s="8"/>
      <c r="M848" s="8"/>
      <c r="N848" s="8"/>
      <c r="O848" s="8"/>
      <c r="P848" s="8"/>
      <c r="Q848" s="8"/>
      <c r="R848" s="8"/>
      <c r="S848" s="8"/>
      <c r="T848" s="8"/>
      <c r="U848" s="12"/>
      <c r="V848" s="12"/>
      <c r="W848" s="12"/>
      <c r="X848" s="12"/>
      <c r="Y848" s="12"/>
      <c r="Z848" s="12"/>
      <c r="AA848" s="12"/>
      <c r="AB848" s="12"/>
      <c r="AC848" s="12"/>
      <c r="AD848" s="12"/>
      <c r="AE848" s="12"/>
      <c r="AF848" s="12"/>
    </row>
    <row r="849" spans="1:32">
      <c r="A849" s="8"/>
      <c r="B849" s="8"/>
      <c r="C849" s="8"/>
      <c r="D849" s="8"/>
      <c r="E849" s="8"/>
      <c r="F849" s="8"/>
      <c r="G849" s="8"/>
      <c r="H849" s="8"/>
      <c r="I849" s="8"/>
      <c r="J849" s="8"/>
      <c r="K849" s="8"/>
      <c r="L849" s="8"/>
      <c r="M849" s="8"/>
      <c r="N849" s="8"/>
      <c r="O849" s="8"/>
      <c r="P849" s="8"/>
      <c r="Q849" s="8"/>
      <c r="R849" s="8"/>
      <c r="S849" s="8"/>
      <c r="T849" s="8"/>
      <c r="U849" s="12"/>
      <c r="V849" s="12"/>
      <c r="W849" s="12"/>
      <c r="X849" s="12"/>
      <c r="Y849" s="12"/>
      <c r="Z849" s="12"/>
      <c r="AA849" s="12"/>
      <c r="AB849" s="12"/>
      <c r="AC849" s="12"/>
      <c r="AD849" s="12"/>
      <c r="AE849" s="12"/>
      <c r="AF849" s="12"/>
    </row>
    <row r="850" spans="1:32">
      <c r="A850" s="8"/>
      <c r="B850" s="8"/>
      <c r="C850" s="8"/>
      <c r="D850" s="8"/>
      <c r="E850" s="8"/>
      <c r="F850" s="8"/>
      <c r="G850" s="8"/>
      <c r="H850" s="8"/>
      <c r="I850" s="8"/>
      <c r="J850" s="8"/>
      <c r="K850" s="8"/>
      <c r="L850" s="8"/>
      <c r="M850" s="8"/>
      <c r="N850" s="8"/>
      <c r="O850" s="8"/>
      <c r="P850" s="8"/>
      <c r="Q850" s="8"/>
      <c r="R850" s="8"/>
      <c r="S850" s="8"/>
      <c r="T850" s="8"/>
      <c r="U850" s="12"/>
      <c r="V850" s="12"/>
      <c r="W850" s="12"/>
      <c r="X850" s="12"/>
      <c r="Y850" s="12"/>
      <c r="Z850" s="12"/>
      <c r="AA850" s="12"/>
      <c r="AB850" s="12"/>
      <c r="AC850" s="12"/>
      <c r="AD850" s="12"/>
      <c r="AE850" s="12"/>
      <c r="AF850" s="12"/>
    </row>
    <row r="851" spans="1:32">
      <c r="A851" s="8"/>
      <c r="B851" s="8"/>
      <c r="C851" s="8"/>
      <c r="D851" s="8"/>
      <c r="E851" s="8"/>
      <c r="F851" s="8"/>
      <c r="G851" s="8"/>
      <c r="H851" s="8"/>
      <c r="I851" s="8"/>
      <c r="J851" s="8"/>
      <c r="K851" s="8"/>
      <c r="L851" s="8"/>
      <c r="M851" s="8"/>
      <c r="N851" s="8"/>
      <c r="O851" s="8"/>
      <c r="P851" s="8"/>
      <c r="Q851" s="8"/>
      <c r="R851" s="8"/>
      <c r="S851" s="8"/>
      <c r="T851" s="8"/>
      <c r="U851" s="12"/>
      <c r="V851" s="12"/>
      <c r="W851" s="12"/>
      <c r="X851" s="12"/>
      <c r="Y851" s="12"/>
      <c r="Z851" s="12"/>
      <c r="AA851" s="12"/>
      <c r="AB851" s="12"/>
      <c r="AC851" s="12"/>
      <c r="AD851" s="12"/>
      <c r="AE851" s="12"/>
      <c r="AF851" s="12"/>
    </row>
    <row r="852" spans="1:32">
      <c r="A852" s="8"/>
      <c r="B852" s="8"/>
      <c r="C852" s="8"/>
      <c r="D852" s="8"/>
      <c r="E852" s="8"/>
      <c r="F852" s="8"/>
      <c r="G852" s="8"/>
      <c r="H852" s="8"/>
      <c r="I852" s="8"/>
      <c r="J852" s="8"/>
      <c r="K852" s="8"/>
      <c r="L852" s="8"/>
      <c r="M852" s="8"/>
      <c r="N852" s="8"/>
      <c r="O852" s="8"/>
      <c r="P852" s="8"/>
      <c r="Q852" s="8"/>
      <c r="R852" s="8"/>
      <c r="S852" s="8"/>
      <c r="T852" s="8"/>
      <c r="U852" s="12"/>
      <c r="V852" s="12"/>
      <c r="W852" s="12"/>
      <c r="X852" s="12"/>
      <c r="Y852" s="12"/>
      <c r="Z852" s="12"/>
      <c r="AA852" s="12"/>
      <c r="AB852" s="12"/>
      <c r="AC852" s="12"/>
      <c r="AD852" s="12"/>
      <c r="AE852" s="12"/>
      <c r="AF852" s="12"/>
    </row>
    <row r="853" spans="1:32">
      <c r="A853" s="8"/>
      <c r="B853" s="8"/>
      <c r="C853" s="8"/>
      <c r="D853" s="8"/>
      <c r="E853" s="8"/>
      <c r="F853" s="8"/>
      <c r="G853" s="8"/>
      <c r="H853" s="8"/>
      <c r="I853" s="8"/>
      <c r="J853" s="8"/>
      <c r="K853" s="8"/>
      <c r="L853" s="8"/>
      <c r="M853" s="8"/>
      <c r="N853" s="8"/>
      <c r="O853" s="8"/>
      <c r="P853" s="8"/>
      <c r="Q853" s="8"/>
      <c r="R853" s="8"/>
      <c r="S853" s="8"/>
      <c r="T853" s="8"/>
      <c r="U853" s="12"/>
      <c r="V853" s="12"/>
      <c r="W853" s="12"/>
      <c r="X853" s="12"/>
      <c r="Y853" s="12"/>
      <c r="Z853" s="12"/>
      <c r="AA853" s="12"/>
      <c r="AB853" s="12"/>
      <c r="AC853" s="12"/>
      <c r="AD853" s="12"/>
      <c r="AE853" s="12"/>
      <c r="AF853" s="12"/>
    </row>
    <row r="854" spans="1:32">
      <c r="A854" s="8"/>
      <c r="B854" s="8"/>
      <c r="C854" s="8"/>
      <c r="D854" s="8"/>
      <c r="E854" s="8"/>
      <c r="F854" s="8"/>
      <c r="G854" s="8"/>
      <c r="H854" s="8"/>
      <c r="I854" s="8"/>
      <c r="J854" s="8"/>
      <c r="K854" s="8"/>
      <c r="L854" s="8"/>
      <c r="M854" s="8"/>
      <c r="N854" s="8"/>
      <c r="O854" s="8"/>
      <c r="P854" s="8"/>
      <c r="Q854" s="8"/>
      <c r="R854" s="8"/>
      <c r="S854" s="8"/>
      <c r="T854" s="8"/>
      <c r="U854" s="12"/>
      <c r="V854" s="12"/>
      <c r="W854" s="12"/>
      <c r="X854" s="12"/>
      <c r="Y854" s="12"/>
      <c r="Z854" s="12"/>
      <c r="AA854" s="12"/>
      <c r="AB854" s="12"/>
      <c r="AC854" s="12"/>
      <c r="AD854" s="12"/>
      <c r="AE854" s="12"/>
      <c r="AF854" s="12"/>
    </row>
    <row r="855" spans="1:32">
      <c r="A855" s="8"/>
      <c r="B855" s="8"/>
      <c r="C855" s="8"/>
      <c r="D855" s="8"/>
      <c r="E855" s="8"/>
      <c r="F855" s="8"/>
      <c r="G855" s="8"/>
      <c r="H855" s="8"/>
      <c r="I855" s="8"/>
      <c r="J855" s="8"/>
      <c r="K855" s="8"/>
      <c r="L855" s="8"/>
      <c r="M855" s="8"/>
      <c r="N855" s="8"/>
      <c r="O855" s="8"/>
      <c r="P855" s="8"/>
      <c r="Q855" s="8"/>
      <c r="R855" s="8"/>
      <c r="S855" s="8"/>
      <c r="T855" s="8"/>
      <c r="U855" s="12"/>
      <c r="V855" s="12"/>
      <c r="W855" s="12"/>
      <c r="X855" s="12"/>
      <c r="Y855" s="12"/>
      <c r="Z855" s="12"/>
      <c r="AA855" s="12"/>
      <c r="AB855" s="12"/>
      <c r="AC855" s="12"/>
      <c r="AD855" s="12"/>
      <c r="AE855" s="12"/>
      <c r="AF855" s="12"/>
    </row>
    <row r="856" spans="1:32">
      <c r="A856" s="8"/>
      <c r="B856" s="8"/>
      <c r="C856" s="8"/>
      <c r="D856" s="8"/>
      <c r="E856" s="8"/>
      <c r="F856" s="8"/>
      <c r="G856" s="8"/>
      <c r="H856" s="8"/>
      <c r="I856" s="8"/>
      <c r="J856" s="8"/>
      <c r="K856" s="8"/>
      <c r="L856" s="8"/>
      <c r="M856" s="8"/>
      <c r="N856" s="8"/>
      <c r="O856" s="8"/>
      <c r="P856" s="8"/>
      <c r="Q856" s="8"/>
      <c r="R856" s="8"/>
      <c r="S856" s="8"/>
      <c r="T856" s="8"/>
      <c r="U856" s="12"/>
      <c r="V856" s="12"/>
      <c r="W856" s="12"/>
      <c r="X856" s="12"/>
      <c r="Y856" s="12"/>
      <c r="Z856" s="12"/>
      <c r="AA856" s="12"/>
      <c r="AB856" s="12"/>
      <c r="AC856" s="12"/>
      <c r="AD856" s="12"/>
      <c r="AE856" s="12"/>
      <c r="AF856" s="12"/>
    </row>
    <row r="857" spans="1:32">
      <c r="A857" s="8"/>
      <c r="B857" s="8"/>
      <c r="C857" s="8"/>
      <c r="D857" s="8"/>
      <c r="E857" s="8"/>
      <c r="F857" s="8"/>
      <c r="G857" s="8"/>
      <c r="H857" s="8"/>
      <c r="I857" s="8"/>
      <c r="J857" s="8"/>
      <c r="K857" s="8"/>
      <c r="L857" s="8"/>
      <c r="M857" s="8"/>
      <c r="N857" s="8"/>
      <c r="O857" s="8"/>
      <c r="P857" s="8"/>
      <c r="Q857" s="8"/>
      <c r="R857" s="8"/>
      <c r="S857" s="8"/>
      <c r="T857" s="8"/>
      <c r="U857" s="12"/>
      <c r="V857" s="12"/>
      <c r="W857" s="12"/>
      <c r="X857" s="12"/>
      <c r="Y857" s="12"/>
      <c r="Z857" s="12"/>
      <c r="AA857" s="12"/>
      <c r="AB857" s="12"/>
      <c r="AC857" s="12"/>
      <c r="AD857" s="12"/>
      <c r="AE857" s="12"/>
      <c r="AF857" s="12"/>
    </row>
    <row r="858" spans="1:32">
      <c r="A858" s="8"/>
      <c r="B858" s="8"/>
      <c r="C858" s="8"/>
      <c r="D858" s="8"/>
      <c r="E858" s="8"/>
      <c r="F858" s="8"/>
      <c r="G858" s="8"/>
      <c r="H858" s="8"/>
      <c r="I858" s="8"/>
      <c r="J858" s="8"/>
      <c r="K858" s="8"/>
      <c r="L858" s="8"/>
      <c r="M858" s="8"/>
      <c r="N858" s="8"/>
      <c r="O858" s="8"/>
      <c r="P858" s="8"/>
      <c r="Q858" s="8"/>
      <c r="R858" s="8"/>
      <c r="S858" s="8"/>
      <c r="T858" s="8"/>
      <c r="U858" s="12"/>
      <c r="V858" s="12"/>
      <c r="W858" s="12"/>
      <c r="X858" s="12"/>
      <c r="Y858" s="12"/>
      <c r="Z858" s="12"/>
      <c r="AA858" s="12"/>
      <c r="AB858" s="12"/>
      <c r="AC858" s="12"/>
      <c r="AD858" s="12"/>
      <c r="AE858" s="12"/>
      <c r="AF858" s="12"/>
    </row>
    <row r="859" spans="1:32">
      <c r="A859" s="8"/>
      <c r="B859" s="8"/>
      <c r="C859" s="8"/>
      <c r="D859" s="8"/>
      <c r="E859" s="8"/>
      <c r="F859" s="8"/>
      <c r="G859" s="8"/>
      <c r="H859" s="8"/>
      <c r="I859" s="8"/>
      <c r="J859" s="8"/>
      <c r="K859" s="8"/>
      <c r="L859" s="8"/>
      <c r="M859" s="8"/>
      <c r="N859" s="8"/>
      <c r="O859" s="8"/>
      <c r="P859" s="8"/>
      <c r="Q859" s="8"/>
      <c r="R859" s="8"/>
      <c r="S859" s="8"/>
      <c r="T859" s="8"/>
      <c r="U859" s="12"/>
      <c r="V859" s="12"/>
      <c r="W859" s="12"/>
      <c r="X859" s="12"/>
      <c r="Y859" s="12"/>
      <c r="Z859" s="12"/>
      <c r="AA859" s="12"/>
      <c r="AB859" s="12"/>
      <c r="AC859" s="12"/>
      <c r="AD859" s="12"/>
      <c r="AE859" s="12"/>
      <c r="AF859" s="12"/>
    </row>
    <row r="860" spans="1:32">
      <c r="A860" s="8"/>
      <c r="B860" s="8"/>
      <c r="C860" s="8"/>
      <c r="D860" s="8"/>
      <c r="E860" s="8"/>
      <c r="F860" s="8"/>
      <c r="G860" s="8"/>
      <c r="H860" s="8"/>
      <c r="I860" s="8"/>
      <c r="J860" s="8"/>
      <c r="K860" s="8"/>
      <c r="L860" s="8"/>
      <c r="M860" s="8"/>
      <c r="N860" s="8"/>
      <c r="O860" s="8"/>
      <c r="P860" s="8"/>
      <c r="Q860" s="8"/>
      <c r="R860" s="8"/>
      <c r="S860" s="8"/>
      <c r="T860" s="8"/>
      <c r="U860" s="12"/>
      <c r="V860" s="12"/>
      <c r="W860" s="12"/>
      <c r="X860" s="12"/>
      <c r="Y860" s="12"/>
      <c r="Z860" s="12"/>
      <c r="AA860" s="12"/>
      <c r="AB860" s="12"/>
      <c r="AC860" s="12"/>
      <c r="AD860" s="12"/>
      <c r="AE860" s="12"/>
      <c r="AF860" s="12"/>
    </row>
    <row r="861" spans="1:32">
      <c r="A861" s="8"/>
      <c r="B861" s="8"/>
      <c r="C861" s="8"/>
      <c r="D861" s="8"/>
      <c r="E861" s="8"/>
      <c r="F861" s="8"/>
      <c r="G861" s="8"/>
      <c r="H861" s="8"/>
      <c r="I861" s="8"/>
      <c r="J861" s="8"/>
      <c r="K861" s="8"/>
      <c r="L861" s="8"/>
      <c r="M861" s="8"/>
      <c r="N861" s="8"/>
      <c r="O861" s="8"/>
      <c r="P861" s="8"/>
      <c r="Q861" s="8"/>
      <c r="R861" s="8"/>
      <c r="S861" s="8"/>
      <c r="T861" s="8"/>
      <c r="U861" s="12"/>
      <c r="V861" s="12"/>
      <c r="W861" s="12"/>
      <c r="X861" s="12"/>
      <c r="Y861" s="12"/>
      <c r="Z861" s="12"/>
      <c r="AA861" s="12"/>
      <c r="AB861" s="12"/>
      <c r="AC861" s="12"/>
      <c r="AD861" s="12"/>
      <c r="AE861" s="12"/>
      <c r="AF861" s="12"/>
    </row>
    <row r="862" spans="1:32">
      <c r="A862" s="8"/>
      <c r="B862" s="8"/>
      <c r="C862" s="8"/>
      <c r="D862" s="8"/>
      <c r="E862" s="8"/>
      <c r="F862" s="8"/>
      <c r="G862" s="8"/>
      <c r="H862" s="8"/>
      <c r="I862" s="8"/>
      <c r="J862" s="8"/>
      <c r="K862" s="8"/>
      <c r="L862" s="8"/>
      <c r="M862" s="8"/>
      <c r="N862" s="8"/>
      <c r="O862" s="8"/>
      <c r="P862" s="8"/>
      <c r="Q862" s="8"/>
      <c r="R862" s="8"/>
      <c r="S862" s="8"/>
      <c r="T862" s="8"/>
      <c r="U862" s="12"/>
      <c r="V862" s="12"/>
      <c r="W862" s="12"/>
      <c r="X862" s="12"/>
      <c r="Y862" s="12"/>
      <c r="Z862" s="12"/>
      <c r="AA862" s="12"/>
      <c r="AB862" s="12"/>
      <c r="AC862" s="12"/>
      <c r="AD862" s="12"/>
      <c r="AE862" s="12"/>
      <c r="AF862" s="12"/>
    </row>
    <row r="863" spans="1:32">
      <c r="A863" s="8"/>
      <c r="B863" s="8"/>
      <c r="C863" s="8"/>
      <c r="D863" s="8"/>
      <c r="E863" s="8"/>
      <c r="F863" s="8"/>
      <c r="G863" s="8"/>
      <c r="H863" s="8"/>
      <c r="I863" s="8"/>
      <c r="J863" s="8"/>
      <c r="K863" s="8"/>
      <c r="L863" s="8"/>
      <c r="M863" s="8"/>
      <c r="N863" s="8"/>
      <c r="O863" s="8"/>
      <c r="P863" s="8"/>
      <c r="Q863" s="8"/>
      <c r="R863" s="8"/>
      <c r="S863" s="8"/>
      <c r="T863" s="8"/>
      <c r="U863" s="12"/>
      <c r="V863" s="12"/>
      <c r="W863" s="12"/>
      <c r="X863" s="12"/>
      <c r="Y863" s="12"/>
      <c r="Z863" s="12"/>
      <c r="AA863" s="12"/>
      <c r="AB863" s="12"/>
      <c r="AC863" s="12"/>
      <c r="AD863" s="12"/>
      <c r="AE863" s="12"/>
      <c r="AF863" s="12"/>
    </row>
    <row r="864" spans="1:32">
      <c r="A864" s="8"/>
      <c r="B864" s="8"/>
      <c r="C864" s="8"/>
      <c r="D864" s="8"/>
      <c r="E864" s="8"/>
      <c r="F864" s="8"/>
      <c r="G864" s="8"/>
      <c r="H864" s="8"/>
      <c r="I864" s="8"/>
      <c r="J864" s="8"/>
      <c r="K864" s="8"/>
      <c r="L864" s="8"/>
      <c r="M864" s="8"/>
      <c r="N864" s="8"/>
      <c r="O864" s="8"/>
      <c r="P864" s="8"/>
      <c r="Q864" s="8"/>
      <c r="R864" s="8"/>
      <c r="S864" s="8"/>
      <c r="T864" s="8"/>
      <c r="U864" s="12"/>
      <c r="V864" s="12"/>
      <c r="W864" s="12"/>
      <c r="X864" s="12"/>
      <c r="Y864" s="12"/>
      <c r="Z864" s="12"/>
      <c r="AA864" s="12"/>
      <c r="AB864" s="12"/>
      <c r="AC864" s="12"/>
      <c r="AD864" s="12"/>
      <c r="AE864" s="12"/>
      <c r="AF864" s="12"/>
    </row>
    <row r="865" spans="1:32">
      <c r="A865" s="8"/>
      <c r="B865" s="8"/>
      <c r="C865" s="8"/>
      <c r="D865" s="8"/>
      <c r="E865" s="8"/>
      <c r="F865" s="8"/>
      <c r="G865" s="8"/>
      <c r="H865" s="8"/>
      <c r="I865" s="8"/>
      <c r="J865" s="8"/>
      <c r="K865" s="8"/>
      <c r="L865" s="8"/>
      <c r="M865" s="8"/>
      <c r="N865" s="8"/>
      <c r="O865" s="8"/>
      <c r="P865" s="8"/>
      <c r="Q865" s="8"/>
      <c r="R865" s="8"/>
      <c r="S865" s="8"/>
      <c r="T865" s="8"/>
      <c r="U865" s="12"/>
      <c r="V865" s="12"/>
      <c r="W865" s="12"/>
      <c r="X865" s="12"/>
      <c r="Y865" s="12"/>
      <c r="Z865" s="12"/>
      <c r="AA865" s="12"/>
      <c r="AB865" s="12"/>
      <c r="AC865" s="12"/>
      <c r="AD865" s="12"/>
      <c r="AE865" s="12"/>
      <c r="AF865" s="12"/>
    </row>
    <row r="866" spans="1:32">
      <c r="A866" s="8"/>
      <c r="B866" s="8"/>
      <c r="C866" s="8"/>
      <c r="D866" s="8"/>
      <c r="E866" s="8"/>
      <c r="F866" s="8"/>
      <c r="G866" s="8"/>
      <c r="H866" s="8"/>
      <c r="I866" s="8"/>
      <c r="J866" s="8"/>
      <c r="K866" s="8"/>
      <c r="L866" s="8"/>
      <c r="M866" s="8"/>
      <c r="N866" s="8"/>
      <c r="O866" s="8"/>
      <c r="P866" s="8"/>
      <c r="Q866" s="8"/>
      <c r="R866" s="8"/>
      <c r="S866" s="8"/>
      <c r="T866" s="8"/>
      <c r="U866" s="12"/>
      <c r="V866" s="12"/>
      <c r="W866" s="12"/>
      <c r="X866" s="12"/>
      <c r="Y866" s="12"/>
      <c r="Z866" s="12"/>
      <c r="AA866" s="12"/>
      <c r="AB866" s="12"/>
      <c r="AC866" s="12"/>
      <c r="AD866" s="12"/>
      <c r="AE866" s="12"/>
      <c r="AF866" s="12"/>
    </row>
    <row r="867" spans="1:32">
      <c r="A867" s="8"/>
      <c r="B867" s="8"/>
      <c r="C867" s="8"/>
      <c r="D867" s="8"/>
      <c r="E867" s="8"/>
      <c r="F867" s="8"/>
      <c r="G867" s="8"/>
      <c r="H867" s="8"/>
      <c r="I867" s="8"/>
      <c r="J867" s="8"/>
      <c r="K867" s="8"/>
      <c r="L867" s="8"/>
      <c r="M867" s="8"/>
      <c r="N867" s="8"/>
      <c r="O867" s="8"/>
      <c r="P867" s="8"/>
      <c r="Q867" s="8"/>
      <c r="R867" s="8"/>
      <c r="S867" s="8"/>
      <c r="T867" s="8"/>
      <c r="U867" s="12"/>
      <c r="V867" s="12"/>
      <c r="W867" s="12"/>
      <c r="X867" s="12"/>
      <c r="Y867" s="12"/>
      <c r="Z867" s="12"/>
      <c r="AA867" s="12"/>
      <c r="AB867" s="12"/>
      <c r="AC867" s="12"/>
      <c r="AD867" s="12"/>
      <c r="AE867" s="12"/>
      <c r="AF867" s="12"/>
    </row>
    <row r="868" spans="1:32">
      <c r="A868" s="8"/>
      <c r="B868" s="8"/>
      <c r="C868" s="8"/>
      <c r="D868" s="8"/>
      <c r="E868" s="8"/>
      <c r="F868" s="8"/>
      <c r="G868" s="8"/>
      <c r="H868" s="8"/>
      <c r="I868" s="8"/>
      <c r="J868" s="8"/>
      <c r="K868" s="8"/>
      <c r="L868" s="8"/>
      <c r="M868" s="8"/>
      <c r="N868" s="8"/>
      <c r="O868" s="8"/>
      <c r="P868" s="8"/>
      <c r="Q868" s="8"/>
      <c r="R868" s="8"/>
      <c r="S868" s="8"/>
      <c r="T868" s="8"/>
      <c r="U868" s="12"/>
      <c r="V868" s="12"/>
      <c r="W868" s="12"/>
      <c r="X868" s="12"/>
      <c r="Y868" s="12"/>
      <c r="Z868" s="12"/>
      <c r="AA868" s="12"/>
      <c r="AB868" s="12"/>
      <c r="AC868" s="12"/>
      <c r="AD868" s="12"/>
      <c r="AE868" s="12"/>
      <c r="AF868" s="12"/>
    </row>
    <row r="869" spans="1:32">
      <c r="A869" s="8"/>
      <c r="B869" s="8"/>
      <c r="C869" s="8"/>
      <c r="D869" s="8"/>
      <c r="E869" s="8"/>
      <c r="F869" s="8"/>
      <c r="G869" s="8"/>
      <c r="H869" s="8"/>
      <c r="I869" s="8"/>
      <c r="J869" s="8"/>
      <c r="K869" s="8"/>
      <c r="L869" s="8"/>
      <c r="M869" s="8"/>
      <c r="N869" s="8"/>
      <c r="O869" s="8"/>
      <c r="P869" s="8"/>
      <c r="Q869" s="8"/>
      <c r="R869" s="8"/>
      <c r="S869" s="8"/>
      <c r="T869" s="8"/>
      <c r="U869" s="12"/>
      <c r="V869" s="12"/>
      <c r="W869" s="12"/>
      <c r="X869" s="12"/>
      <c r="Y869" s="12"/>
      <c r="Z869" s="12"/>
      <c r="AA869" s="12"/>
      <c r="AB869" s="12"/>
      <c r="AC869" s="12"/>
      <c r="AD869" s="12"/>
      <c r="AE869" s="12"/>
      <c r="AF869" s="12"/>
    </row>
    <row r="870" spans="1:32">
      <c r="A870" s="8"/>
      <c r="B870" s="8"/>
      <c r="C870" s="8"/>
      <c r="D870" s="8"/>
      <c r="E870" s="8"/>
      <c r="F870" s="8"/>
      <c r="G870" s="8"/>
      <c r="H870" s="8"/>
      <c r="I870" s="8"/>
      <c r="J870" s="8"/>
      <c r="K870" s="8"/>
      <c r="L870" s="8"/>
      <c r="M870" s="8"/>
      <c r="N870" s="8"/>
      <c r="O870" s="8"/>
      <c r="P870" s="8"/>
      <c r="Q870" s="8"/>
      <c r="R870" s="8"/>
      <c r="S870" s="8"/>
      <c r="T870" s="8"/>
      <c r="U870" s="12"/>
      <c r="V870" s="12"/>
      <c r="W870" s="12"/>
      <c r="X870" s="12"/>
      <c r="Y870" s="12"/>
      <c r="Z870" s="12"/>
      <c r="AA870" s="12"/>
      <c r="AB870" s="12"/>
      <c r="AC870" s="12"/>
      <c r="AD870" s="12"/>
      <c r="AE870" s="12"/>
      <c r="AF870" s="12"/>
    </row>
    <row r="871" spans="1:32">
      <c r="A871" s="8"/>
      <c r="B871" s="8"/>
      <c r="C871" s="8"/>
      <c r="D871" s="8"/>
      <c r="E871" s="8"/>
      <c r="F871" s="8"/>
      <c r="G871" s="8"/>
      <c r="H871" s="8"/>
      <c r="I871" s="8"/>
      <c r="J871" s="8"/>
      <c r="K871" s="8"/>
      <c r="L871" s="8"/>
      <c r="M871" s="8"/>
      <c r="N871" s="8"/>
      <c r="O871" s="8"/>
      <c r="P871" s="8"/>
      <c r="Q871" s="8"/>
      <c r="R871" s="8"/>
      <c r="S871" s="8"/>
      <c r="T871" s="8"/>
      <c r="U871" s="12"/>
      <c r="V871" s="12"/>
      <c r="W871" s="12"/>
      <c r="X871" s="12"/>
      <c r="Y871" s="12"/>
      <c r="Z871" s="12"/>
      <c r="AA871" s="12"/>
      <c r="AB871" s="12"/>
      <c r="AC871" s="12"/>
      <c r="AD871" s="12"/>
      <c r="AE871" s="12"/>
      <c r="AF871" s="12"/>
    </row>
    <row r="872" spans="1:32">
      <c r="A872" s="8"/>
      <c r="B872" s="8"/>
      <c r="C872" s="8"/>
      <c r="D872" s="8"/>
      <c r="E872" s="8"/>
      <c r="F872" s="8"/>
      <c r="G872" s="8"/>
      <c r="H872" s="8"/>
      <c r="I872" s="8"/>
      <c r="J872" s="8"/>
      <c r="K872" s="8"/>
      <c r="L872" s="8"/>
      <c r="M872" s="8"/>
      <c r="N872" s="8"/>
      <c r="O872" s="8"/>
      <c r="P872" s="8"/>
      <c r="Q872" s="8"/>
      <c r="R872" s="8"/>
      <c r="S872" s="8"/>
      <c r="T872" s="8"/>
      <c r="U872" s="12"/>
      <c r="V872" s="12"/>
      <c r="W872" s="12"/>
      <c r="X872" s="12"/>
      <c r="Y872" s="12"/>
      <c r="Z872" s="12"/>
      <c r="AA872" s="12"/>
      <c r="AB872" s="12"/>
      <c r="AC872" s="12"/>
      <c r="AD872" s="12"/>
      <c r="AE872" s="12"/>
      <c r="AF872" s="12"/>
    </row>
    <row r="873" spans="1:32">
      <c r="A873" s="8"/>
      <c r="B873" s="8"/>
      <c r="C873" s="8"/>
      <c r="D873" s="8"/>
      <c r="E873" s="8"/>
      <c r="F873" s="8"/>
      <c r="G873" s="8"/>
      <c r="H873" s="8"/>
      <c r="I873" s="8"/>
      <c r="J873" s="8"/>
      <c r="K873" s="8"/>
      <c r="L873" s="8"/>
      <c r="M873" s="8"/>
      <c r="N873" s="8"/>
      <c r="O873" s="8"/>
      <c r="P873" s="8"/>
      <c r="Q873" s="8"/>
      <c r="R873" s="8"/>
      <c r="S873" s="8"/>
      <c r="T873" s="8"/>
      <c r="U873" s="12"/>
      <c r="V873" s="12"/>
      <c r="W873" s="12"/>
      <c r="X873" s="12"/>
      <c r="Y873" s="12"/>
      <c r="Z873" s="12"/>
      <c r="AA873" s="12"/>
      <c r="AB873" s="12"/>
      <c r="AC873" s="12"/>
      <c r="AD873" s="12"/>
      <c r="AE873" s="12"/>
      <c r="AF873" s="12"/>
    </row>
    <row r="874" spans="1:32">
      <c r="A874" s="8"/>
      <c r="B874" s="8"/>
      <c r="C874" s="8"/>
      <c r="D874" s="8"/>
      <c r="E874" s="8"/>
      <c r="F874" s="8"/>
      <c r="G874" s="8"/>
      <c r="H874" s="8"/>
      <c r="I874" s="8"/>
      <c r="J874" s="8"/>
      <c r="K874" s="8"/>
      <c r="L874" s="8"/>
      <c r="M874" s="8"/>
      <c r="N874" s="8"/>
      <c r="O874" s="8"/>
      <c r="P874" s="8"/>
      <c r="Q874" s="8"/>
      <c r="R874" s="8"/>
      <c r="S874" s="8"/>
      <c r="T874" s="8"/>
      <c r="U874" s="12"/>
      <c r="V874" s="12"/>
      <c r="W874" s="12"/>
      <c r="X874" s="12"/>
      <c r="Y874" s="12"/>
      <c r="Z874" s="12"/>
      <c r="AA874" s="12"/>
      <c r="AB874" s="12"/>
      <c r="AC874" s="12"/>
      <c r="AD874" s="12"/>
      <c r="AE874" s="12"/>
      <c r="AF874" s="12"/>
    </row>
    <row r="875" spans="1:32">
      <c r="A875" s="8"/>
      <c r="B875" s="8"/>
      <c r="C875" s="8"/>
      <c r="D875" s="8"/>
      <c r="E875" s="8"/>
      <c r="F875" s="8"/>
      <c r="G875" s="8"/>
      <c r="H875" s="8"/>
      <c r="I875" s="8"/>
      <c r="J875" s="8"/>
      <c r="K875" s="8"/>
      <c r="L875" s="8"/>
      <c r="M875" s="8"/>
      <c r="N875" s="8"/>
      <c r="O875" s="8"/>
      <c r="P875" s="8"/>
      <c r="Q875" s="8"/>
      <c r="R875" s="8"/>
      <c r="S875" s="8"/>
      <c r="T875" s="8"/>
      <c r="U875" s="12"/>
      <c r="V875" s="12"/>
      <c r="W875" s="12"/>
      <c r="X875" s="12"/>
      <c r="Y875" s="12"/>
      <c r="Z875" s="12"/>
      <c r="AA875" s="12"/>
      <c r="AB875" s="12"/>
      <c r="AC875" s="12"/>
      <c r="AD875" s="12"/>
      <c r="AE875" s="12"/>
      <c r="AF875" s="12"/>
    </row>
    <row r="876" spans="1:32">
      <c r="A876" s="8"/>
      <c r="B876" s="8"/>
      <c r="C876" s="8"/>
      <c r="D876" s="8"/>
      <c r="E876" s="8"/>
      <c r="F876" s="8"/>
      <c r="G876" s="8"/>
      <c r="H876" s="8"/>
      <c r="I876" s="8"/>
      <c r="J876" s="8"/>
      <c r="K876" s="8"/>
      <c r="L876" s="8"/>
      <c r="M876" s="8"/>
      <c r="N876" s="8"/>
      <c r="O876" s="8"/>
      <c r="P876" s="8"/>
      <c r="Q876" s="8"/>
      <c r="R876" s="8"/>
      <c r="S876" s="8"/>
      <c r="T876" s="8"/>
      <c r="U876" s="12"/>
      <c r="V876" s="12"/>
      <c r="W876" s="12"/>
      <c r="X876" s="12"/>
      <c r="Y876" s="12"/>
      <c r="Z876" s="12"/>
      <c r="AA876" s="12"/>
      <c r="AB876" s="12"/>
      <c r="AC876" s="12"/>
      <c r="AD876" s="12"/>
      <c r="AE876" s="12"/>
      <c r="AF876" s="12"/>
    </row>
    <row r="877" spans="1:32">
      <c r="A877" s="8"/>
      <c r="B877" s="8"/>
      <c r="C877" s="8"/>
      <c r="D877" s="8"/>
      <c r="E877" s="8"/>
      <c r="F877" s="8"/>
      <c r="G877" s="8"/>
      <c r="H877" s="8"/>
      <c r="I877" s="8"/>
      <c r="J877" s="8"/>
      <c r="K877" s="8"/>
      <c r="L877" s="8"/>
      <c r="M877" s="8"/>
      <c r="N877" s="8"/>
      <c r="O877" s="8"/>
      <c r="P877" s="8"/>
      <c r="Q877" s="8"/>
      <c r="R877" s="8"/>
      <c r="S877" s="8"/>
      <c r="T877" s="8"/>
      <c r="U877" s="12"/>
      <c r="V877" s="12"/>
      <c r="W877" s="12"/>
      <c r="X877" s="12"/>
      <c r="Y877" s="12"/>
      <c r="Z877" s="12"/>
      <c r="AA877" s="12"/>
      <c r="AB877" s="12"/>
      <c r="AC877" s="12"/>
      <c r="AD877" s="12"/>
      <c r="AE877" s="12"/>
      <c r="AF877" s="12"/>
    </row>
    <row r="878" spans="1:32">
      <c r="A878" s="8"/>
      <c r="B878" s="8"/>
      <c r="C878" s="8"/>
      <c r="D878" s="8"/>
      <c r="E878" s="8"/>
      <c r="F878" s="8"/>
      <c r="G878" s="8"/>
      <c r="H878" s="8"/>
      <c r="I878" s="8"/>
      <c r="J878" s="8"/>
      <c r="K878" s="8"/>
      <c r="L878" s="8"/>
      <c r="M878" s="8"/>
      <c r="N878" s="8"/>
      <c r="O878" s="8"/>
      <c r="P878" s="8"/>
      <c r="Q878" s="8"/>
      <c r="R878" s="8"/>
      <c r="S878" s="8"/>
      <c r="T878" s="8"/>
      <c r="U878" s="12"/>
      <c r="V878" s="12"/>
      <c r="W878" s="12"/>
      <c r="X878" s="12"/>
      <c r="Y878" s="12"/>
      <c r="Z878" s="12"/>
      <c r="AA878" s="12"/>
      <c r="AB878" s="12"/>
      <c r="AC878" s="12"/>
      <c r="AD878" s="12"/>
      <c r="AE878" s="12"/>
      <c r="AF878" s="12"/>
    </row>
    <row r="879" spans="1:32">
      <c r="A879" s="8"/>
      <c r="B879" s="8"/>
      <c r="C879" s="8"/>
      <c r="D879" s="8"/>
      <c r="E879" s="8"/>
      <c r="F879" s="8"/>
      <c r="G879" s="8"/>
      <c r="H879" s="8"/>
      <c r="I879" s="8"/>
      <c r="J879" s="8"/>
      <c r="K879" s="8"/>
      <c r="L879" s="8"/>
      <c r="M879" s="8"/>
      <c r="N879" s="8"/>
      <c r="O879" s="8"/>
      <c r="P879" s="8"/>
      <c r="Q879" s="8"/>
      <c r="R879" s="8"/>
      <c r="S879" s="8"/>
      <c r="T879" s="8"/>
      <c r="U879" s="12"/>
      <c r="V879" s="12"/>
      <c r="W879" s="12"/>
      <c r="X879" s="12"/>
      <c r="Y879" s="12"/>
      <c r="Z879" s="12"/>
      <c r="AA879" s="12"/>
      <c r="AB879" s="12"/>
      <c r="AC879" s="12"/>
      <c r="AD879" s="12"/>
      <c r="AE879" s="12"/>
      <c r="AF879" s="12"/>
    </row>
    <row r="880" spans="1:32">
      <c r="A880" s="8"/>
      <c r="B880" s="8"/>
      <c r="C880" s="8"/>
      <c r="D880" s="8"/>
      <c r="E880" s="8"/>
      <c r="F880" s="8"/>
      <c r="G880" s="8"/>
      <c r="H880" s="8"/>
      <c r="I880" s="8"/>
      <c r="J880" s="8"/>
      <c r="K880" s="8"/>
      <c r="L880" s="8"/>
      <c r="M880" s="8"/>
      <c r="N880" s="8"/>
      <c r="O880" s="8"/>
      <c r="P880" s="8"/>
      <c r="Q880" s="8"/>
      <c r="R880" s="8"/>
      <c r="S880" s="8"/>
      <c r="T880" s="8"/>
      <c r="U880" s="12"/>
      <c r="V880" s="12"/>
      <c r="W880" s="12"/>
      <c r="X880" s="12"/>
      <c r="Y880" s="12"/>
      <c r="Z880" s="12"/>
      <c r="AA880" s="12"/>
      <c r="AB880" s="12"/>
      <c r="AC880" s="12"/>
      <c r="AD880" s="12"/>
      <c r="AE880" s="12"/>
      <c r="AF880" s="12"/>
    </row>
    <row r="881" spans="1:32">
      <c r="A881" s="8"/>
      <c r="B881" s="8"/>
      <c r="C881" s="8"/>
      <c r="D881" s="8"/>
      <c r="E881" s="8"/>
      <c r="F881" s="8"/>
      <c r="G881" s="8"/>
      <c r="H881" s="8"/>
      <c r="I881" s="8"/>
      <c r="J881" s="8"/>
      <c r="K881" s="8"/>
      <c r="L881" s="8"/>
      <c r="M881" s="8"/>
      <c r="N881" s="8"/>
      <c r="O881" s="8"/>
      <c r="P881" s="8"/>
      <c r="Q881" s="8"/>
      <c r="R881" s="8"/>
      <c r="S881" s="8"/>
      <c r="T881" s="8"/>
      <c r="U881" s="12"/>
      <c r="V881" s="12"/>
      <c r="W881" s="12"/>
      <c r="X881" s="12"/>
      <c r="Y881" s="12"/>
      <c r="Z881" s="12"/>
      <c r="AA881" s="12"/>
      <c r="AB881" s="12"/>
      <c r="AC881" s="12"/>
      <c r="AD881" s="12"/>
      <c r="AE881" s="12"/>
      <c r="AF881" s="12"/>
    </row>
    <row r="882" spans="1:32">
      <c r="A882" s="8"/>
      <c r="B882" s="8"/>
      <c r="C882" s="8"/>
      <c r="D882" s="8"/>
      <c r="E882" s="8"/>
      <c r="F882" s="8"/>
      <c r="G882" s="8"/>
      <c r="H882" s="8"/>
      <c r="I882" s="8"/>
      <c r="J882" s="8"/>
      <c r="K882" s="8"/>
      <c r="L882" s="8"/>
      <c r="M882" s="8"/>
      <c r="N882" s="8"/>
      <c r="O882" s="8"/>
      <c r="P882" s="8"/>
      <c r="Q882" s="8"/>
      <c r="R882" s="8"/>
      <c r="S882" s="8"/>
      <c r="T882" s="8"/>
      <c r="U882" s="12"/>
      <c r="V882" s="12"/>
      <c r="W882" s="12"/>
      <c r="X882" s="12"/>
      <c r="Y882" s="12"/>
      <c r="Z882" s="12"/>
      <c r="AA882" s="12"/>
      <c r="AB882" s="12"/>
      <c r="AC882" s="12"/>
      <c r="AD882" s="12"/>
      <c r="AE882" s="12"/>
      <c r="AF882" s="12"/>
    </row>
    <row r="883" spans="1:32">
      <c r="A883" s="8"/>
      <c r="B883" s="8"/>
      <c r="C883" s="8"/>
      <c r="D883" s="8"/>
      <c r="E883" s="8"/>
      <c r="F883" s="8"/>
      <c r="G883" s="8"/>
      <c r="H883" s="8"/>
      <c r="I883" s="8"/>
      <c r="J883" s="8"/>
      <c r="K883" s="8"/>
      <c r="L883" s="8"/>
      <c r="M883" s="8"/>
      <c r="N883" s="8"/>
      <c r="O883" s="8"/>
      <c r="P883" s="8"/>
      <c r="Q883" s="8"/>
      <c r="R883" s="8"/>
      <c r="S883" s="8"/>
      <c r="T883" s="8"/>
      <c r="U883" s="12"/>
      <c r="V883" s="12"/>
      <c r="W883" s="12"/>
      <c r="X883" s="12"/>
      <c r="Y883" s="12"/>
      <c r="Z883" s="12"/>
      <c r="AA883" s="12"/>
      <c r="AB883" s="12"/>
      <c r="AC883" s="12"/>
      <c r="AD883" s="12"/>
      <c r="AE883" s="12"/>
      <c r="AF883" s="12"/>
    </row>
    <row r="884" spans="1:32">
      <c r="A884" s="8"/>
      <c r="B884" s="8"/>
      <c r="C884" s="8"/>
      <c r="D884" s="8"/>
      <c r="E884" s="8"/>
      <c r="F884" s="8"/>
      <c r="G884" s="8"/>
      <c r="H884" s="8"/>
      <c r="I884" s="8"/>
      <c r="J884" s="8"/>
      <c r="K884" s="8"/>
      <c r="L884" s="8"/>
      <c r="M884" s="8"/>
      <c r="N884" s="8"/>
      <c r="O884" s="8"/>
      <c r="P884" s="8"/>
      <c r="Q884" s="8"/>
      <c r="R884" s="8"/>
      <c r="S884" s="8"/>
      <c r="T884" s="8"/>
      <c r="U884" s="12"/>
      <c r="V884" s="12"/>
      <c r="W884" s="12"/>
      <c r="X884" s="12"/>
      <c r="Y884" s="12"/>
      <c r="Z884" s="12"/>
      <c r="AA884" s="12"/>
      <c r="AB884" s="12"/>
      <c r="AC884" s="12"/>
      <c r="AD884" s="12"/>
      <c r="AE884" s="12"/>
      <c r="AF884" s="12"/>
    </row>
    <row r="885" spans="1:32">
      <c r="A885" s="8"/>
      <c r="B885" s="8"/>
      <c r="C885" s="8"/>
      <c r="D885" s="8"/>
      <c r="E885" s="8"/>
      <c r="F885" s="8"/>
      <c r="G885" s="8"/>
      <c r="H885" s="8"/>
      <c r="I885" s="8"/>
      <c r="J885" s="8"/>
      <c r="K885" s="8"/>
      <c r="L885" s="8"/>
      <c r="M885" s="8"/>
      <c r="N885" s="8"/>
      <c r="O885" s="8"/>
      <c r="P885" s="8"/>
      <c r="Q885" s="8"/>
      <c r="R885" s="8"/>
      <c r="S885" s="8"/>
      <c r="T885" s="8"/>
      <c r="U885" s="12"/>
      <c r="V885" s="12"/>
      <c r="W885" s="12"/>
      <c r="X885" s="12"/>
      <c r="Y885" s="12"/>
      <c r="Z885" s="12"/>
      <c r="AA885" s="12"/>
      <c r="AB885" s="12"/>
      <c r="AC885" s="12"/>
      <c r="AD885" s="12"/>
      <c r="AE885" s="12"/>
      <c r="AF885" s="12"/>
    </row>
    <row r="886" spans="1:32">
      <c r="A886" s="8"/>
      <c r="B886" s="8"/>
      <c r="C886" s="8"/>
      <c r="D886" s="8"/>
      <c r="E886" s="8"/>
      <c r="F886" s="8"/>
      <c r="G886" s="8"/>
      <c r="H886" s="8"/>
      <c r="I886" s="8"/>
      <c r="J886" s="8"/>
      <c r="K886" s="8"/>
      <c r="L886" s="8"/>
      <c r="M886" s="8"/>
      <c r="N886" s="8"/>
      <c r="O886" s="8"/>
      <c r="P886" s="8"/>
      <c r="Q886" s="8"/>
      <c r="R886" s="8"/>
      <c r="S886" s="8"/>
      <c r="T886" s="8"/>
      <c r="U886" s="12"/>
      <c r="V886" s="12"/>
      <c r="W886" s="12"/>
      <c r="X886" s="12"/>
      <c r="Y886" s="12"/>
      <c r="Z886" s="12"/>
      <c r="AA886" s="12"/>
      <c r="AB886" s="12"/>
      <c r="AC886" s="12"/>
      <c r="AD886" s="12"/>
      <c r="AE886" s="12"/>
      <c r="AF886" s="12"/>
    </row>
    <row r="887" spans="1:32">
      <c r="A887" s="8"/>
      <c r="B887" s="8"/>
      <c r="C887" s="8"/>
      <c r="D887" s="8"/>
      <c r="E887" s="8"/>
      <c r="F887" s="8"/>
      <c r="G887" s="8"/>
      <c r="H887" s="8"/>
      <c r="I887" s="8"/>
      <c r="J887" s="8"/>
      <c r="K887" s="8"/>
      <c r="L887" s="8"/>
      <c r="M887" s="8"/>
      <c r="N887" s="8"/>
      <c r="O887" s="8"/>
      <c r="P887" s="8"/>
      <c r="Q887" s="8"/>
      <c r="R887" s="8"/>
      <c r="S887" s="8"/>
      <c r="T887" s="8"/>
      <c r="U887" s="12"/>
      <c r="V887" s="12"/>
      <c r="W887" s="12"/>
      <c r="X887" s="12"/>
      <c r="Y887" s="12"/>
      <c r="Z887" s="12"/>
      <c r="AA887" s="12"/>
      <c r="AB887" s="12"/>
      <c r="AC887" s="12"/>
      <c r="AD887" s="12"/>
      <c r="AE887" s="12"/>
      <c r="AF887" s="12"/>
    </row>
    <row r="888" spans="1:32">
      <c r="A888" s="8"/>
      <c r="B888" s="8"/>
      <c r="C888" s="8"/>
      <c r="D888" s="8"/>
      <c r="E888" s="8"/>
      <c r="F888" s="8"/>
      <c r="G888" s="8"/>
      <c r="H888" s="8"/>
      <c r="I888" s="8"/>
      <c r="J888" s="8"/>
      <c r="K888" s="8"/>
      <c r="L888" s="8"/>
      <c r="M888" s="8"/>
      <c r="N888" s="8"/>
      <c r="O888" s="8"/>
      <c r="P888" s="8"/>
      <c r="Q888" s="8"/>
      <c r="R888" s="8"/>
      <c r="S888" s="8"/>
      <c r="T888" s="8"/>
      <c r="U888" s="12"/>
      <c r="V888" s="12"/>
      <c r="W888" s="12"/>
      <c r="X888" s="12"/>
      <c r="Y888" s="12"/>
      <c r="Z888" s="12"/>
      <c r="AA888" s="12"/>
      <c r="AB888" s="12"/>
      <c r="AC888" s="12"/>
      <c r="AD888" s="12"/>
      <c r="AE888" s="12"/>
      <c r="AF888" s="12"/>
    </row>
    <row r="889" spans="1:32">
      <c r="A889" s="8"/>
      <c r="B889" s="8"/>
      <c r="C889" s="8"/>
      <c r="D889" s="8"/>
      <c r="E889" s="8"/>
      <c r="F889" s="8"/>
      <c r="G889" s="8"/>
      <c r="H889" s="8"/>
      <c r="I889" s="8"/>
      <c r="J889" s="8"/>
      <c r="K889" s="8"/>
      <c r="L889" s="8"/>
      <c r="M889" s="8"/>
      <c r="N889" s="8"/>
      <c r="O889" s="8"/>
      <c r="P889" s="8"/>
      <c r="Q889" s="8"/>
      <c r="R889" s="8"/>
      <c r="S889" s="8"/>
      <c r="T889" s="8"/>
      <c r="U889" s="12"/>
      <c r="V889" s="12"/>
      <c r="W889" s="12"/>
      <c r="X889" s="12"/>
      <c r="Y889" s="12"/>
      <c r="Z889" s="12"/>
      <c r="AA889" s="12"/>
      <c r="AB889" s="12"/>
      <c r="AC889" s="12"/>
      <c r="AD889" s="12"/>
      <c r="AE889" s="12"/>
      <c r="AF889" s="12"/>
    </row>
    <row r="890" spans="1:32">
      <c r="A890" s="8"/>
      <c r="B890" s="8"/>
      <c r="C890" s="8"/>
      <c r="D890" s="8"/>
      <c r="E890" s="8"/>
      <c r="F890" s="8"/>
      <c r="G890" s="8"/>
      <c r="H890" s="8"/>
      <c r="I890" s="8"/>
      <c r="J890" s="8"/>
      <c r="K890" s="8"/>
      <c r="L890" s="8"/>
      <c r="M890" s="8"/>
      <c r="N890" s="8"/>
      <c r="O890" s="8"/>
      <c r="P890" s="8"/>
      <c r="Q890" s="8"/>
      <c r="R890" s="8"/>
      <c r="S890" s="8"/>
      <c r="T890" s="8"/>
      <c r="U890" s="12"/>
      <c r="V890" s="12"/>
      <c r="W890" s="12"/>
      <c r="X890" s="12"/>
      <c r="Y890" s="12"/>
      <c r="Z890" s="12"/>
      <c r="AA890" s="12"/>
      <c r="AB890" s="12"/>
      <c r="AC890" s="12"/>
      <c r="AD890" s="12"/>
      <c r="AE890" s="12"/>
      <c r="AF890" s="12"/>
    </row>
    <row r="891" spans="1:32">
      <c r="A891" s="8"/>
      <c r="B891" s="8"/>
      <c r="C891" s="8"/>
      <c r="D891" s="8"/>
      <c r="E891" s="8"/>
      <c r="F891" s="8"/>
      <c r="G891" s="8"/>
      <c r="H891" s="8"/>
      <c r="I891" s="8"/>
      <c r="J891" s="8"/>
      <c r="K891" s="8"/>
      <c r="L891" s="8"/>
      <c r="M891" s="8"/>
      <c r="N891" s="8"/>
      <c r="O891" s="8"/>
      <c r="P891" s="8"/>
      <c r="Q891" s="8"/>
      <c r="R891" s="8"/>
      <c r="S891" s="8"/>
      <c r="T891" s="8"/>
      <c r="U891" s="12"/>
      <c r="V891" s="12"/>
      <c r="W891" s="12"/>
      <c r="X891" s="12"/>
      <c r="Y891" s="12"/>
      <c r="Z891" s="12"/>
      <c r="AA891" s="12"/>
      <c r="AB891" s="12"/>
      <c r="AC891" s="12"/>
      <c r="AD891" s="12"/>
      <c r="AE891" s="12"/>
      <c r="AF891" s="12"/>
    </row>
    <row r="892" spans="1:32">
      <c r="A892" s="8"/>
      <c r="B892" s="8"/>
      <c r="C892" s="8"/>
      <c r="D892" s="8"/>
      <c r="E892" s="8"/>
      <c r="F892" s="8"/>
      <c r="G892" s="8"/>
      <c r="H892" s="8"/>
      <c r="I892" s="8"/>
      <c r="J892" s="8"/>
      <c r="K892" s="8"/>
      <c r="L892" s="8"/>
      <c r="M892" s="8"/>
      <c r="N892" s="8"/>
      <c r="O892" s="8"/>
      <c r="P892" s="8"/>
      <c r="Q892" s="8"/>
      <c r="R892" s="8"/>
      <c r="S892" s="8"/>
      <c r="T892" s="8"/>
      <c r="U892" s="12"/>
      <c r="V892" s="12"/>
      <c r="W892" s="12"/>
      <c r="X892" s="12"/>
      <c r="Y892" s="12"/>
      <c r="Z892" s="12"/>
      <c r="AA892" s="12"/>
      <c r="AB892" s="12"/>
      <c r="AC892" s="12"/>
      <c r="AD892" s="12"/>
      <c r="AE892" s="12"/>
      <c r="AF892" s="12"/>
    </row>
    <row r="893" spans="1:32">
      <c r="A893" s="8"/>
      <c r="B893" s="8"/>
      <c r="C893" s="8"/>
      <c r="D893" s="8"/>
      <c r="E893" s="8"/>
      <c r="F893" s="8"/>
      <c r="G893" s="8"/>
      <c r="H893" s="8"/>
      <c r="I893" s="8"/>
      <c r="J893" s="8"/>
      <c r="K893" s="8"/>
      <c r="L893" s="8"/>
      <c r="M893" s="8"/>
      <c r="N893" s="8"/>
      <c r="O893" s="8"/>
      <c r="P893" s="8"/>
      <c r="Q893" s="8"/>
      <c r="R893" s="8"/>
      <c r="S893" s="8"/>
      <c r="T893" s="8"/>
      <c r="U893" s="12"/>
      <c r="V893" s="12"/>
      <c r="W893" s="12"/>
      <c r="X893" s="12"/>
      <c r="Y893" s="12"/>
      <c r="Z893" s="12"/>
      <c r="AA893" s="12"/>
      <c r="AB893" s="12"/>
      <c r="AC893" s="12"/>
      <c r="AD893" s="12"/>
      <c r="AE893" s="12"/>
      <c r="AF893" s="12"/>
    </row>
    <row r="894" spans="1:32">
      <c r="A894" s="8"/>
      <c r="B894" s="8"/>
      <c r="C894" s="8"/>
      <c r="D894" s="8"/>
      <c r="E894" s="8"/>
      <c r="F894" s="8"/>
      <c r="G894" s="8"/>
      <c r="H894" s="8"/>
      <c r="I894" s="8"/>
      <c r="J894" s="8"/>
      <c r="K894" s="8"/>
      <c r="L894" s="8"/>
      <c r="M894" s="8"/>
      <c r="N894" s="8"/>
      <c r="O894" s="8"/>
      <c r="P894" s="8"/>
      <c r="Q894" s="8"/>
      <c r="R894" s="8"/>
      <c r="S894" s="8"/>
      <c r="T894" s="8"/>
      <c r="U894" s="12"/>
      <c r="V894" s="12"/>
      <c r="W894" s="12"/>
      <c r="X894" s="12"/>
      <c r="Y894" s="12"/>
      <c r="Z894" s="12"/>
      <c r="AA894" s="12"/>
      <c r="AB894" s="12"/>
      <c r="AC894" s="12"/>
      <c r="AD894" s="12"/>
      <c r="AE894" s="12"/>
      <c r="AF894" s="12"/>
    </row>
    <row r="895" spans="1:32">
      <c r="A895" s="8"/>
      <c r="B895" s="8"/>
      <c r="C895" s="8"/>
      <c r="D895" s="8"/>
      <c r="E895" s="8"/>
      <c r="F895" s="8"/>
      <c r="G895" s="8"/>
      <c r="H895" s="8"/>
      <c r="I895" s="8"/>
      <c r="J895" s="8"/>
      <c r="K895" s="8"/>
      <c r="L895" s="8"/>
      <c r="M895" s="8"/>
      <c r="N895" s="8"/>
      <c r="O895" s="8"/>
      <c r="P895" s="8"/>
      <c r="Q895" s="8"/>
      <c r="R895" s="8"/>
      <c r="S895" s="8"/>
      <c r="T895" s="8"/>
      <c r="U895" s="12"/>
      <c r="V895" s="12"/>
      <c r="W895" s="12"/>
      <c r="X895" s="12"/>
      <c r="Y895" s="12"/>
      <c r="Z895" s="12"/>
      <c r="AA895" s="12"/>
      <c r="AB895" s="12"/>
      <c r="AC895" s="12"/>
      <c r="AD895" s="12"/>
      <c r="AE895" s="12"/>
      <c r="AF895" s="12"/>
    </row>
    <row r="896" spans="1:32">
      <c r="A896" s="8"/>
      <c r="B896" s="8"/>
      <c r="C896" s="8"/>
      <c r="D896" s="8"/>
      <c r="E896" s="8"/>
      <c r="F896" s="8"/>
      <c r="G896" s="8"/>
      <c r="H896" s="8"/>
      <c r="I896" s="8"/>
      <c r="J896" s="8"/>
      <c r="K896" s="8"/>
      <c r="L896" s="8"/>
      <c r="M896" s="8"/>
      <c r="N896" s="8"/>
      <c r="O896" s="8"/>
      <c r="P896" s="8"/>
      <c r="Q896" s="8"/>
      <c r="R896" s="8"/>
      <c r="S896" s="8"/>
      <c r="T896" s="8"/>
      <c r="U896" s="12"/>
      <c r="V896" s="12"/>
      <c r="W896" s="12"/>
      <c r="X896" s="12"/>
      <c r="Y896" s="12"/>
      <c r="Z896" s="12"/>
      <c r="AA896" s="12"/>
      <c r="AB896" s="12"/>
      <c r="AC896" s="12"/>
      <c r="AD896" s="12"/>
      <c r="AE896" s="12"/>
      <c r="AF896" s="12"/>
    </row>
    <row r="897" spans="1:32">
      <c r="A897" s="8"/>
      <c r="B897" s="8"/>
      <c r="C897" s="8"/>
      <c r="D897" s="8"/>
      <c r="E897" s="8"/>
      <c r="F897" s="8"/>
      <c r="G897" s="8"/>
      <c r="H897" s="8"/>
      <c r="I897" s="8"/>
      <c r="J897" s="8"/>
      <c r="K897" s="8"/>
      <c r="L897" s="8"/>
      <c r="M897" s="8"/>
      <c r="N897" s="8"/>
      <c r="O897" s="8"/>
      <c r="P897" s="8"/>
      <c r="Q897" s="8"/>
      <c r="R897" s="8"/>
      <c r="S897" s="8"/>
      <c r="T897" s="8"/>
      <c r="U897" s="12"/>
      <c r="V897" s="12"/>
      <c r="W897" s="12"/>
      <c r="X897" s="12"/>
      <c r="Y897" s="12"/>
      <c r="Z897" s="12"/>
      <c r="AA897" s="12"/>
      <c r="AB897" s="12"/>
      <c r="AC897" s="12"/>
      <c r="AD897" s="12"/>
      <c r="AE897" s="12"/>
      <c r="AF897" s="12"/>
    </row>
    <row r="898" spans="1:32">
      <c r="A898" s="8"/>
      <c r="B898" s="8"/>
      <c r="C898" s="8"/>
      <c r="D898" s="8"/>
      <c r="E898" s="8"/>
      <c r="F898" s="8"/>
      <c r="G898" s="8"/>
      <c r="H898" s="8"/>
      <c r="I898" s="8"/>
      <c r="J898" s="8"/>
      <c r="K898" s="8"/>
      <c r="L898" s="8"/>
      <c r="M898" s="8"/>
      <c r="N898" s="8"/>
      <c r="O898" s="8"/>
      <c r="P898" s="8"/>
      <c r="Q898" s="8"/>
      <c r="R898" s="8"/>
      <c r="S898" s="8"/>
      <c r="T898" s="8"/>
      <c r="U898" s="12"/>
      <c r="V898" s="12"/>
      <c r="W898" s="12"/>
      <c r="X898" s="12"/>
      <c r="Y898" s="12"/>
      <c r="Z898" s="12"/>
      <c r="AA898" s="12"/>
      <c r="AB898" s="12"/>
      <c r="AC898" s="12"/>
      <c r="AD898" s="12"/>
      <c r="AE898" s="12"/>
      <c r="AF898" s="12"/>
    </row>
    <row r="899" spans="1:32">
      <c r="A899" s="8"/>
      <c r="B899" s="8"/>
      <c r="C899" s="8"/>
      <c r="D899" s="8"/>
      <c r="E899" s="8"/>
      <c r="F899" s="8"/>
      <c r="G899" s="8"/>
      <c r="H899" s="8"/>
      <c r="I899" s="8"/>
      <c r="J899" s="8"/>
      <c r="K899" s="8"/>
      <c r="L899" s="8"/>
      <c r="M899" s="8"/>
      <c r="N899" s="8"/>
      <c r="O899" s="8"/>
      <c r="P899" s="8"/>
      <c r="Q899" s="8"/>
      <c r="R899" s="8"/>
      <c r="S899" s="8"/>
      <c r="T899" s="8"/>
      <c r="U899" s="12"/>
      <c r="V899" s="12"/>
      <c r="W899" s="12"/>
      <c r="X899" s="12"/>
      <c r="Y899" s="12"/>
      <c r="Z899" s="12"/>
      <c r="AA899" s="12"/>
      <c r="AB899" s="12"/>
      <c r="AC899" s="12"/>
      <c r="AD899" s="12"/>
      <c r="AE899" s="12"/>
      <c r="AF899" s="12"/>
    </row>
    <row r="900" spans="1:32">
      <c r="A900" s="8"/>
      <c r="B900" s="8"/>
      <c r="C900" s="8"/>
      <c r="D900" s="8"/>
      <c r="E900" s="8"/>
      <c r="F900" s="8"/>
      <c r="G900" s="8"/>
      <c r="H900" s="8"/>
      <c r="I900" s="8"/>
      <c r="J900" s="8"/>
      <c r="K900" s="8"/>
      <c r="L900" s="8"/>
      <c r="M900" s="8"/>
      <c r="N900" s="8"/>
      <c r="O900" s="8"/>
      <c r="P900" s="8"/>
      <c r="Q900" s="8"/>
      <c r="R900" s="8"/>
      <c r="S900" s="8"/>
      <c r="T900" s="8"/>
      <c r="U900" s="12"/>
      <c r="V900" s="12"/>
      <c r="W900" s="12"/>
      <c r="X900" s="12"/>
      <c r="Y900" s="12"/>
      <c r="Z900" s="12"/>
      <c r="AA900" s="12"/>
      <c r="AB900" s="12"/>
      <c r="AC900" s="12"/>
      <c r="AD900" s="12"/>
      <c r="AE900" s="12"/>
      <c r="AF900" s="12"/>
    </row>
    <row r="901" spans="1:32">
      <c r="A901" s="8"/>
      <c r="B901" s="8"/>
      <c r="C901" s="8"/>
      <c r="D901" s="8"/>
      <c r="E901" s="8"/>
      <c r="F901" s="8"/>
      <c r="G901" s="8"/>
      <c r="H901" s="8"/>
      <c r="I901" s="8"/>
      <c r="J901" s="8"/>
      <c r="K901" s="8"/>
      <c r="L901" s="8"/>
      <c r="M901" s="8"/>
      <c r="N901" s="8"/>
      <c r="O901" s="8"/>
      <c r="P901" s="8"/>
      <c r="Q901" s="8"/>
      <c r="R901" s="8"/>
      <c r="S901" s="8"/>
      <c r="T901" s="8"/>
      <c r="U901" s="12"/>
      <c r="V901" s="12"/>
      <c r="W901" s="12"/>
      <c r="X901" s="12"/>
      <c r="Y901" s="12"/>
      <c r="Z901" s="12"/>
      <c r="AA901" s="12"/>
      <c r="AB901" s="12"/>
      <c r="AC901" s="12"/>
      <c r="AD901" s="12"/>
      <c r="AE901" s="12"/>
      <c r="AF901" s="12"/>
    </row>
    <row r="902" spans="1:32">
      <c r="A902" s="8"/>
      <c r="B902" s="8"/>
      <c r="C902" s="8"/>
      <c r="D902" s="8"/>
      <c r="E902" s="8"/>
      <c r="F902" s="8"/>
      <c r="G902" s="8"/>
      <c r="H902" s="8"/>
      <c r="I902" s="8"/>
      <c r="J902" s="8"/>
      <c r="K902" s="8"/>
      <c r="L902" s="8"/>
      <c r="M902" s="8"/>
      <c r="N902" s="8"/>
      <c r="O902" s="8"/>
      <c r="P902" s="8"/>
      <c r="Q902" s="8"/>
      <c r="R902" s="8"/>
      <c r="S902" s="8"/>
      <c r="T902" s="8"/>
      <c r="U902" s="12"/>
      <c r="V902" s="12"/>
      <c r="W902" s="12"/>
      <c r="X902" s="12"/>
      <c r="Y902" s="12"/>
      <c r="Z902" s="12"/>
      <c r="AA902" s="12"/>
      <c r="AB902" s="12"/>
      <c r="AC902" s="12"/>
      <c r="AD902" s="12"/>
      <c r="AE902" s="12"/>
      <c r="AF902" s="12"/>
    </row>
    <row r="903" spans="1:32">
      <c r="A903" s="8"/>
      <c r="B903" s="8"/>
      <c r="C903" s="8"/>
      <c r="D903" s="8"/>
      <c r="E903" s="8"/>
      <c r="F903" s="8"/>
      <c r="G903" s="8"/>
      <c r="H903" s="8"/>
      <c r="I903" s="8"/>
      <c r="J903" s="8"/>
      <c r="K903" s="8"/>
      <c r="L903" s="8"/>
      <c r="M903" s="8"/>
      <c r="N903" s="8"/>
      <c r="O903" s="8"/>
      <c r="P903" s="8"/>
      <c r="Q903" s="8"/>
      <c r="R903" s="8"/>
      <c r="S903" s="8"/>
      <c r="T903" s="8"/>
      <c r="U903" s="12"/>
      <c r="V903" s="12"/>
      <c r="W903" s="12"/>
      <c r="X903" s="12"/>
      <c r="Y903" s="12"/>
      <c r="Z903" s="12"/>
      <c r="AA903" s="12"/>
      <c r="AB903" s="12"/>
      <c r="AC903" s="12"/>
      <c r="AD903" s="12"/>
      <c r="AE903" s="12"/>
      <c r="AF903" s="12"/>
    </row>
    <row r="904" spans="1:32">
      <c r="A904" s="8"/>
      <c r="B904" s="8"/>
      <c r="C904" s="8"/>
      <c r="D904" s="8"/>
      <c r="E904" s="8"/>
      <c r="F904" s="8"/>
      <c r="G904" s="8"/>
      <c r="H904" s="8"/>
      <c r="I904" s="8"/>
      <c r="J904" s="8"/>
      <c r="K904" s="8"/>
      <c r="L904" s="8"/>
      <c r="M904" s="8"/>
      <c r="N904" s="8"/>
      <c r="O904" s="8"/>
      <c r="P904" s="8"/>
      <c r="Q904" s="8"/>
      <c r="R904" s="8"/>
      <c r="S904" s="8"/>
      <c r="T904" s="8"/>
      <c r="U904" s="12"/>
      <c r="V904" s="12"/>
      <c r="W904" s="12"/>
      <c r="X904" s="12"/>
      <c r="Y904" s="12"/>
      <c r="Z904" s="12"/>
      <c r="AA904" s="12"/>
      <c r="AB904" s="12"/>
      <c r="AC904" s="12"/>
      <c r="AD904" s="12"/>
      <c r="AE904" s="12"/>
      <c r="AF904" s="12"/>
    </row>
    <row r="905" spans="1:32">
      <c r="A905" s="8"/>
      <c r="B905" s="8"/>
      <c r="C905" s="8"/>
      <c r="D905" s="8"/>
      <c r="E905" s="8"/>
      <c r="F905" s="8"/>
      <c r="G905" s="8"/>
      <c r="H905" s="8"/>
      <c r="I905" s="8"/>
      <c r="J905" s="8"/>
      <c r="K905" s="8"/>
      <c r="L905" s="8"/>
      <c r="M905" s="8"/>
      <c r="N905" s="8"/>
      <c r="O905" s="8"/>
      <c r="P905" s="8"/>
      <c r="Q905" s="8"/>
      <c r="R905" s="8"/>
      <c r="S905" s="8"/>
      <c r="T905" s="8"/>
      <c r="U905" s="12"/>
      <c r="V905" s="12"/>
      <c r="W905" s="12"/>
      <c r="X905" s="12"/>
      <c r="Y905" s="12"/>
      <c r="Z905" s="12"/>
      <c r="AA905" s="12"/>
      <c r="AB905" s="12"/>
      <c r="AC905" s="12"/>
      <c r="AD905" s="12"/>
      <c r="AE905" s="12"/>
      <c r="AF905" s="12"/>
    </row>
    <row r="906" spans="1:32">
      <c r="A906" s="8"/>
      <c r="B906" s="8"/>
      <c r="C906" s="8"/>
      <c r="D906" s="8"/>
      <c r="E906" s="8"/>
      <c r="F906" s="8"/>
      <c r="G906" s="8"/>
      <c r="H906" s="8"/>
      <c r="I906" s="8"/>
      <c r="J906" s="8"/>
      <c r="K906" s="8"/>
      <c r="L906" s="8"/>
      <c r="M906" s="8"/>
      <c r="N906" s="8"/>
      <c r="O906" s="8"/>
      <c r="P906" s="8"/>
      <c r="Q906" s="8"/>
      <c r="R906" s="8"/>
      <c r="S906" s="8"/>
      <c r="T906" s="8"/>
      <c r="U906" s="12"/>
      <c r="V906" s="12"/>
      <c r="W906" s="12"/>
      <c r="X906" s="12"/>
      <c r="Y906" s="12"/>
      <c r="Z906" s="12"/>
      <c r="AA906" s="12"/>
      <c r="AB906" s="12"/>
      <c r="AC906" s="12"/>
      <c r="AD906" s="12"/>
      <c r="AE906" s="12"/>
      <c r="AF906" s="12"/>
    </row>
    <row r="907" spans="1:32">
      <c r="A907" s="8"/>
      <c r="B907" s="8"/>
      <c r="C907" s="8"/>
      <c r="D907" s="8"/>
      <c r="E907" s="8"/>
      <c r="F907" s="8"/>
      <c r="G907" s="8"/>
      <c r="H907" s="8"/>
      <c r="I907" s="8"/>
      <c r="J907" s="8"/>
      <c r="K907" s="8"/>
      <c r="L907" s="8"/>
      <c r="M907" s="8"/>
      <c r="N907" s="8"/>
      <c r="O907" s="8"/>
      <c r="P907" s="8"/>
      <c r="Q907" s="8"/>
      <c r="R907" s="8"/>
      <c r="S907" s="8"/>
      <c r="T907" s="8"/>
      <c r="U907" s="12"/>
      <c r="V907" s="12"/>
      <c r="W907" s="12"/>
      <c r="X907" s="12"/>
      <c r="Y907" s="12"/>
      <c r="Z907" s="12"/>
      <c r="AA907" s="12"/>
      <c r="AB907" s="12"/>
      <c r="AC907" s="12"/>
      <c r="AD907" s="12"/>
      <c r="AE907" s="12"/>
      <c r="AF907" s="12"/>
    </row>
    <row r="908" spans="1:32">
      <c r="A908" s="8"/>
      <c r="B908" s="8"/>
      <c r="C908" s="8"/>
      <c r="D908" s="8"/>
      <c r="E908" s="8"/>
      <c r="F908" s="8"/>
      <c r="G908" s="8"/>
      <c r="H908" s="8"/>
      <c r="I908" s="8"/>
      <c r="J908" s="8"/>
      <c r="K908" s="8"/>
      <c r="L908" s="8"/>
      <c r="M908" s="8"/>
      <c r="N908" s="8"/>
      <c r="O908" s="8"/>
      <c r="P908" s="8"/>
      <c r="Q908" s="8"/>
      <c r="R908" s="8"/>
      <c r="S908" s="8"/>
      <c r="T908" s="8"/>
      <c r="U908" s="12"/>
      <c r="V908" s="12"/>
      <c r="W908" s="12"/>
      <c r="X908" s="12"/>
      <c r="Y908" s="12"/>
      <c r="Z908" s="12"/>
      <c r="AA908" s="12"/>
      <c r="AB908" s="12"/>
      <c r="AC908" s="12"/>
      <c r="AD908" s="12"/>
      <c r="AE908" s="12"/>
      <c r="AF908" s="12"/>
    </row>
    <row r="909" spans="1:32">
      <c r="A909" s="8"/>
      <c r="B909" s="8"/>
      <c r="C909" s="8"/>
      <c r="D909" s="8"/>
      <c r="E909" s="8"/>
      <c r="F909" s="8"/>
      <c r="G909" s="8"/>
      <c r="H909" s="8"/>
      <c r="I909" s="8"/>
      <c r="J909" s="8"/>
      <c r="K909" s="8"/>
      <c r="L909" s="8"/>
      <c r="M909" s="8"/>
      <c r="N909" s="8"/>
      <c r="O909" s="8"/>
      <c r="P909" s="8"/>
      <c r="Q909" s="8"/>
      <c r="R909" s="8"/>
      <c r="S909" s="8"/>
      <c r="T909" s="8"/>
      <c r="U909" s="12"/>
      <c r="V909" s="12"/>
      <c r="W909" s="12"/>
      <c r="X909" s="12"/>
      <c r="Y909" s="12"/>
      <c r="Z909" s="12"/>
      <c r="AA909" s="12"/>
      <c r="AB909" s="12"/>
      <c r="AC909" s="12"/>
      <c r="AD909" s="12"/>
      <c r="AE909" s="12"/>
      <c r="AF909" s="12"/>
    </row>
    <row r="910" spans="1:32">
      <c r="A910" s="8"/>
      <c r="B910" s="8"/>
      <c r="C910" s="8"/>
      <c r="D910" s="8"/>
      <c r="E910" s="8"/>
      <c r="F910" s="8"/>
      <c r="G910" s="8"/>
      <c r="H910" s="8"/>
      <c r="I910" s="8"/>
      <c r="J910" s="8"/>
      <c r="K910" s="8"/>
      <c r="L910" s="8"/>
      <c r="M910" s="8"/>
      <c r="N910" s="8"/>
      <c r="O910" s="8"/>
      <c r="P910" s="8"/>
      <c r="Q910" s="8"/>
      <c r="R910" s="8"/>
      <c r="S910" s="8"/>
      <c r="T910" s="8"/>
      <c r="U910" s="12"/>
      <c r="V910" s="12"/>
      <c r="W910" s="12"/>
      <c r="X910" s="12"/>
      <c r="Y910" s="12"/>
      <c r="Z910" s="12"/>
      <c r="AA910" s="12"/>
      <c r="AB910" s="12"/>
      <c r="AC910" s="12"/>
      <c r="AD910" s="12"/>
      <c r="AE910" s="12"/>
      <c r="AF910" s="12"/>
    </row>
    <row r="911" spans="1:32">
      <c r="A911" s="8"/>
      <c r="B911" s="8"/>
      <c r="C911" s="8"/>
      <c r="D911" s="8"/>
      <c r="E911" s="8"/>
      <c r="F911" s="8"/>
      <c r="G911" s="8"/>
      <c r="H911" s="8"/>
      <c r="I911" s="8"/>
      <c r="J911" s="8"/>
      <c r="K911" s="8"/>
      <c r="L911" s="8"/>
      <c r="M911" s="8"/>
      <c r="N911" s="8"/>
      <c r="O911" s="8"/>
      <c r="P911" s="8"/>
      <c r="Q911" s="8"/>
      <c r="R911" s="8"/>
      <c r="S911" s="8"/>
      <c r="T911" s="8"/>
      <c r="U911" s="12"/>
      <c r="V911" s="12"/>
      <c r="W911" s="12"/>
      <c r="X911" s="12"/>
      <c r="Y911" s="12"/>
      <c r="Z911" s="12"/>
      <c r="AA911" s="12"/>
      <c r="AB911" s="12"/>
      <c r="AC911" s="12"/>
      <c r="AD911" s="12"/>
      <c r="AE911" s="12"/>
      <c r="AF911" s="12"/>
    </row>
    <row r="912" spans="1:32">
      <c r="A912" s="8"/>
      <c r="B912" s="8"/>
      <c r="C912" s="8"/>
      <c r="D912" s="8"/>
      <c r="E912" s="8"/>
      <c r="F912" s="8"/>
      <c r="G912" s="8"/>
      <c r="H912" s="8"/>
      <c r="I912" s="8"/>
      <c r="J912" s="8"/>
      <c r="K912" s="8"/>
      <c r="L912" s="8"/>
      <c r="M912" s="8"/>
      <c r="N912" s="8"/>
      <c r="O912" s="8"/>
      <c r="P912" s="8"/>
      <c r="Q912" s="8"/>
      <c r="R912" s="8"/>
      <c r="S912" s="8"/>
      <c r="T912" s="8"/>
      <c r="U912" s="12"/>
      <c r="V912" s="12"/>
      <c r="W912" s="12"/>
      <c r="X912" s="12"/>
      <c r="Y912" s="12"/>
      <c r="Z912" s="12"/>
      <c r="AA912" s="12"/>
      <c r="AB912" s="12"/>
      <c r="AC912" s="12"/>
      <c r="AD912" s="12"/>
      <c r="AE912" s="12"/>
      <c r="AF912" s="12"/>
    </row>
    <row r="913" spans="1:32">
      <c r="A913" s="8"/>
      <c r="B913" s="8"/>
      <c r="C913" s="8"/>
      <c r="D913" s="8"/>
      <c r="E913" s="8"/>
      <c r="F913" s="8"/>
      <c r="G913" s="8"/>
      <c r="H913" s="8"/>
      <c r="I913" s="8"/>
      <c r="J913" s="8"/>
      <c r="K913" s="8"/>
      <c r="L913" s="8"/>
      <c r="M913" s="8"/>
      <c r="N913" s="8"/>
      <c r="O913" s="8"/>
      <c r="P913" s="8"/>
      <c r="Q913" s="8"/>
      <c r="R913" s="8"/>
      <c r="S913" s="8"/>
      <c r="T913" s="8"/>
      <c r="U913" s="12"/>
      <c r="V913" s="12"/>
      <c r="W913" s="12"/>
      <c r="X913" s="12"/>
      <c r="Y913" s="12"/>
      <c r="Z913" s="12"/>
      <c r="AA913" s="12"/>
      <c r="AB913" s="12"/>
      <c r="AC913" s="12"/>
      <c r="AD913" s="12"/>
      <c r="AE913" s="12"/>
      <c r="AF913" s="12"/>
    </row>
    <row r="914" spans="1:32">
      <c r="A914" s="8"/>
      <c r="B914" s="8"/>
      <c r="C914" s="8"/>
      <c r="D914" s="8"/>
      <c r="E914" s="8"/>
      <c r="F914" s="8"/>
      <c r="G914" s="8"/>
      <c r="H914" s="8"/>
      <c r="I914" s="8"/>
      <c r="J914" s="8"/>
      <c r="K914" s="8"/>
      <c r="L914" s="8"/>
      <c r="M914" s="8"/>
      <c r="N914" s="8"/>
      <c r="O914" s="8"/>
      <c r="P914" s="8"/>
      <c r="Q914" s="8"/>
      <c r="R914" s="8"/>
      <c r="S914" s="8"/>
      <c r="T914" s="8"/>
      <c r="U914" s="12"/>
      <c r="V914" s="12"/>
      <c r="W914" s="12"/>
      <c r="X914" s="12"/>
      <c r="Y914" s="12"/>
      <c r="Z914" s="12"/>
      <c r="AA914" s="12"/>
      <c r="AB914" s="12"/>
      <c r="AC914" s="12"/>
      <c r="AD914" s="12"/>
      <c r="AE914" s="12"/>
      <c r="AF914" s="12"/>
    </row>
    <row r="915" spans="1:32">
      <c r="A915" s="8"/>
      <c r="B915" s="8"/>
      <c r="C915" s="8"/>
      <c r="D915" s="8"/>
      <c r="E915" s="8"/>
      <c r="F915" s="8"/>
      <c r="G915" s="8"/>
      <c r="H915" s="8"/>
      <c r="I915" s="8"/>
      <c r="J915" s="8"/>
      <c r="K915" s="8"/>
      <c r="L915" s="8"/>
      <c r="M915" s="8"/>
      <c r="N915" s="8"/>
      <c r="O915" s="8"/>
      <c r="P915" s="8"/>
      <c r="Q915" s="8"/>
      <c r="R915" s="8"/>
      <c r="S915" s="8"/>
      <c r="T915" s="8"/>
      <c r="U915" s="12"/>
      <c r="V915" s="12"/>
      <c r="W915" s="12"/>
      <c r="X915" s="12"/>
      <c r="Y915" s="12"/>
      <c r="Z915" s="12"/>
      <c r="AA915" s="12"/>
      <c r="AB915" s="12"/>
      <c r="AC915" s="12"/>
      <c r="AD915" s="12"/>
      <c r="AE915" s="12"/>
      <c r="AF915" s="12"/>
    </row>
    <row r="916" spans="1:32">
      <c r="A916" s="8"/>
      <c r="B916" s="8"/>
      <c r="C916" s="8"/>
      <c r="D916" s="8"/>
      <c r="E916" s="8"/>
      <c r="F916" s="8"/>
      <c r="G916" s="8"/>
      <c r="H916" s="8"/>
      <c r="I916" s="8"/>
      <c r="J916" s="8"/>
      <c r="K916" s="8"/>
      <c r="L916" s="8"/>
      <c r="M916" s="8"/>
      <c r="N916" s="8"/>
      <c r="O916" s="8"/>
      <c r="P916" s="8"/>
      <c r="Q916" s="8"/>
      <c r="R916" s="8"/>
      <c r="S916" s="8"/>
      <c r="T916" s="8"/>
      <c r="U916" s="12"/>
      <c r="V916" s="12"/>
      <c r="W916" s="12"/>
      <c r="X916" s="12"/>
      <c r="Y916" s="12"/>
      <c r="Z916" s="12"/>
      <c r="AA916" s="12"/>
      <c r="AB916" s="12"/>
      <c r="AC916" s="12"/>
      <c r="AD916" s="12"/>
      <c r="AE916" s="12"/>
      <c r="AF916" s="12"/>
    </row>
    <row r="917" spans="1:32">
      <c r="A917" s="8"/>
      <c r="B917" s="8"/>
      <c r="C917" s="8"/>
      <c r="D917" s="8"/>
      <c r="E917" s="8"/>
      <c r="F917" s="8"/>
      <c r="G917" s="8"/>
      <c r="H917" s="8"/>
      <c r="I917" s="8"/>
      <c r="J917" s="8"/>
      <c r="K917" s="8"/>
      <c r="L917" s="8"/>
      <c r="M917" s="8"/>
      <c r="N917" s="8"/>
      <c r="O917" s="8"/>
      <c r="P917" s="8"/>
      <c r="Q917" s="8"/>
      <c r="R917" s="8"/>
      <c r="S917" s="8"/>
      <c r="T917" s="8"/>
      <c r="U917" s="12"/>
      <c r="V917" s="12"/>
      <c r="W917" s="12"/>
      <c r="X917" s="12"/>
      <c r="Y917" s="12"/>
      <c r="Z917" s="12"/>
      <c r="AA917" s="12"/>
      <c r="AB917" s="12"/>
      <c r="AC917" s="12"/>
      <c r="AD917" s="12"/>
      <c r="AE917" s="12"/>
      <c r="AF917" s="12"/>
    </row>
    <row r="918" spans="1:32">
      <c r="A918" s="8"/>
      <c r="B918" s="8"/>
      <c r="C918" s="8"/>
      <c r="D918" s="8"/>
      <c r="E918" s="8"/>
      <c r="F918" s="8"/>
      <c r="G918" s="8"/>
      <c r="H918" s="8"/>
      <c r="I918" s="8"/>
      <c r="J918" s="8"/>
      <c r="K918" s="8"/>
      <c r="L918" s="8"/>
      <c r="M918" s="8"/>
      <c r="N918" s="8"/>
      <c r="O918" s="8"/>
      <c r="P918" s="8"/>
      <c r="Q918" s="8"/>
      <c r="R918" s="8"/>
      <c r="S918" s="8"/>
      <c r="T918" s="8"/>
      <c r="U918" s="12"/>
      <c r="V918" s="12"/>
      <c r="W918" s="12"/>
      <c r="X918" s="12"/>
      <c r="Y918" s="12"/>
      <c r="Z918" s="12"/>
      <c r="AA918" s="12"/>
      <c r="AB918" s="12"/>
      <c r="AC918" s="12"/>
      <c r="AD918" s="12"/>
      <c r="AE918" s="12"/>
      <c r="AF918" s="12"/>
    </row>
    <row r="919" spans="1:32">
      <c r="A919" s="8"/>
      <c r="B919" s="8"/>
      <c r="C919" s="8"/>
      <c r="D919" s="8"/>
      <c r="E919" s="8"/>
      <c r="F919" s="8"/>
      <c r="G919" s="8"/>
      <c r="H919" s="8"/>
      <c r="I919" s="8"/>
      <c r="J919" s="8"/>
      <c r="K919" s="8"/>
      <c r="L919" s="8"/>
      <c r="M919" s="8"/>
      <c r="N919" s="8"/>
      <c r="O919" s="8"/>
      <c r="P919" s="8"/>
      <c r="Q919" s="8"/>
      <c r="R919" s="8"/>
      <c r="S919" s="8"/>
      <c r="T919" s="8"/>
      <c r="U919" s="12"/>
      <c r="V919" s="12"/>
      <c r="W919" s="12"/>
      <c r="X919" s="12"/>
      <c r="Y919" s="12"/>
      <c r="Z919" s="12"/>
      <c r="AA919" s="12"/>
      <c r="AB919" s="12"/>
      <c r="AC919" s="12"/>
      <c r="AD919" s="12"/>
      <c r="AE919" s="12"/>
      <c r="AF919" s="12"/>
    </row>
    <row r="920" spans="1:32">
      <c r="A920" s="8"/>
      <c r="B920" s="8"/>
      <c r="C920" s="8"/>
      <c r="D920" s="8"/>
      <c r="E920" s="8"/>
      <c r="F920" s="8"/>
      <c r="G920" s="8"/>
      <c r="H920" s="8"/>
      <c r="I920" s="8"/>
      <c r="J920" s="8"/>
      <c r="K920" s="8"/>
      <c r="L920" s="8"/>
      <c r="M920" s="8"/>
      <c r="N920" s="8"/>
      <c r="O920" s="8"/>
      <c r="P920" s="8"/>
      <c r="Q920" s="8"/>
      <c r="R920" s="8"/>
      <c r="S920" s="8"/>
      <c r="T920" s="8"/>
      <c r="U920" s="12"/>
      <c r="V920" s="12"/>
      <c r="W920" s="12"/>
      <c r="X920" s="12"/>
      <c r="Y920" s="12"/>
      <c r="Z920" s="12"/>
      <c r="AA920" s="12"/>
      <c r="AB920" s="12"/>
      <c r="AC920" s="12"/>
      <c r="AD920" s="12"/>
      <c r="AE920" s="12"/>
      <c r="AF920" s="12"/>
    </row>
    <row r="921" spans="1:32">
      <c r="A921" s="8"/>
      <c r="B921" s="8"/>
      <c r="C921" s="8"/>
      <c r="D921" s="8"/>
      <c r="E921" s="8"/>
      <c r="F921" s="8"/>
      <c r="G921" s="8"/>
      <c r="H921" s="8"/>
      <c r="I921" s="8"/>
      <c r="J921" s="8"/>
      <c r="K921" s="8"/>
      <c r="L921" s="8"/>
      <c r="M921" s="8"/>
      <c r="N921" s="8"/>
      <c r="O921" s="8"/>
      <c r="P921" s="8"/>
      <c r="Q921" s="8"/>
      <c r="R921" s="8"/>
      <c r="S921" s="8"/>
      <c r="T921" s="8"/>
      <c r="U921" s="12"/>
      <c r="V921" s="12"/>
      <c r="W921" s="12"/>
      <c r="X921" s="12"/>
      <c r="Y921" s="12"/>
      <c r="Z921" s="12"/>
      <c r="AA921" s="12"/>
      <c r="AB921" s="12"/>
      <c r="AC921" s="12"/>
      <c r="AD921" s="12"/>
      <c r="AE921" s="12"/>
      <c r="AF921" s="12"/>
    </row>
    <row r="922" spans="1:32">
      <c r="A922" s="8"/>
      <c r="B922" s="8"/>
      <c r="C922" s="8"/>
      <c r="D922" s="8"/>
      <c r="E922" s="8"/>
      <c r="F922" s="8"/>
      <c r="G922" s="8"/>
      <c r="H922" s="8"/>
      <c r="I922" s="8"/>
      <c r="J922" s="8"/>
      <c r="K922" s="8"/>
      <c r="L922" s="8"/>
      <c r="M922" s="8"/>
      <c r="N922" s="8"/>
      <c r="O922" s="8"/>
      <c r="P922" s="8"/>
      <c r="Q922" s="8"/>
      <c r="R922" s="8"/>
      <c r="S922" s="8"/>
      <c r="T922" s="8"/>
      <c r="U922" s="12"/>
      <c r="V922" s="12"/>
      <c r="W922" s="12"/>
      <c r="X922" s="12"/>
      <c r="Y922" s="12"/>
      <c r="Z922" s="12"/>
      <c r="AA922" s="12"/>
      <c r="AB922" s="12"/>
      <c r="AC922" s="12"/>
      <c r="AD922" s="12"/>
      <c r="AE922" s="12"/>
      <c r="AF922" s="12"/>
    </row>
    <row r="923" spans="1:32">
      <c r="A923" s="8"/>
      <c r="B923" s="8"/>
      <c r="C923" s="8"/>
      <c r="D923" s="8"/>
      <c r="E923" s="8"/>
      <c r="F923" s="8"/>
      <c r="G923" s="8"/>
      <c r="H923" s="8"/>
      <c r="I923" s="8"/>
      <c r="J923" s="8"/>
      <c r="K923" s="8"/>
      <c r="L923" s="8"/>
      <c r="M923" s="8"/>
      <c r="N923" s="8"/>
      <c r="O923" s="8"/>
      <c r="P923" s="8"/>
      <c r="Q923" s="8"/>
      <c r="R923" s="8"/>
      <c r="S923" s="8"/>
      <c r="T923" s="8"/>
      <c r="U923" s="12"/>
      <c r="V923" s="12"/>
      <c r="W923" s="12"/>
      <c r="X923" s="12"/>
      <c r="Y923" s="12"/>
      <c r="Z923" s="12"/>
      <c r="AA923" s="12"/>
      <c r="AB923" s="12"/>
      <c r="AC923" s="12"/>
      <c r="AD923" s="12"/>
      <c r="AE923" s="12"/>
      <c r="AF923" s="12"/>
    </row>
    <row r="924" spans="1:32">
      <c r="A924" s="8"/>
      <c r="B924" s="8"/>
      <c r="C924" s="8"/>
      <c r="D924" s="8"/>
      <c r="E924" s="8"/>
      <c r="F924" s="8"/>
      <c r="G924" s="8"/>
      <c r="H924" s="8"/>
      <c r="I924" s="8"/>
      <c r="J924" s="8"/>
      <c r="K924" s="8"/>
      <c r="L924" s="8"/>
      <c r="M924" s="8"/>
      <c r="N924" s="8"/>
      <c r="O924" s="8"/>
      <c r="P924" s="8"/>
      <c r="Q924" s="8"/>
      <c r="R924" s="8"/>
      <c r="S924" s="8"/>
      <c r="T924" s="8"/>
      <c r="U924" s="12"/>
      <c r="V924" s="12"/>
      <c r="W924" s="12"/>
      <c r="X924" s="12"/>
      <c r="Y924" s="12"/>
      <c r="Z924" s="12"/>
      <c r="AA924" s="12"/>
      <c r="AB924" s="12"/>
      <c r="AC924" s="12"/>
      <c r="AD924" s="12"/>
      <c r="AE924" s="12"/>
      <c r="AF924" s="12"/>
    </row>
    <row r="925" spans="1:32">
      <c r="A925" s="8"/>
      <c r="B925" s="8"/>
      <c r="C925" s="8"/>
      <c r="D925" s="8"/>
      <c r="E925" s="8"/>
      <c r="F925" s="8"/>
      <c r="G925" s="8"/>
      <c r="H925" s="8"/>
      <c r="I925" s="8"/>
      <c r="J925" s="8"/>
      <c r="K925" s="8"/>
      <c r="L925" s="8"/>
      <c r="M925" s="8"/>
      <c r="N925" s="8"/>
      <c r="O925" s="8"/>
      <c r="P925" s="8"/>
      <c r="Q925" s="8"/>
      <c r="R925" s="8"/>
      <c r="S925" s="8"/>
      <c r="T925" s="8"/>
      <c r="U925" s="12"/>
      <c r="V925" s="12"/>
      <c r="W925" s="12"/>
      <c r="X925" s="12"/>
      <c r="Y925" s="12"/>
      <c r="Z925" s="12"/>
      <c r="AA925" s="12"/>
      <c r="AB925" s="12"/>
      <c r="AC925" s="12"/>
      <c r="AD925" s="12"/>
      <c r="AE925" s="12"/>
      <c r="AF925" s="12"/>
    </row>
    <row r="926" spans="1:32">
      <c r="A926" s="8"/>
      <c r="B926" s="8"/>
      <c r="C926" s="8"/>
      <c r="D926" s="8"/>
      <c r="E926" s="8"/>
      <c r="F926" s="8"/>
      <c r="G926" s="8"/>
      <c r="H926" s="8"/>
      <c r="I926" s="8"/>
      <c r="J926" s="8"/>
      <c r="K926" s="8"/>
      <c r="L926" s="8"/>
      <c r="M926" s="8"/>
      <c r="N926" s="8"/>
      <c r="O926" s="8"/>
      <c r="P926" s="8"/>
      <c r="Q926" s="8"/>
      <c r="R926" s="8"/>
      <c r="S926" s="8"/>
      <c r="T926" s="8"/>
      <c r="U926" s="12"/>
      <c r="V926" s="12"/>
      <c r="W926" s="12"/>
      <c r="X926" s="12"/>
      <c r="Y926" s="12"/>
      <c r="Z926" s="12"/>
      <c r="AA926" s="12"/>
      <c r="AB926" s="12"/>
      <c r="AC926" s="12"/>
      <c r="AD926" s="12"/>
      <c r="AE926" s="12"/>
      <c r="AF926" s="12"/>
    </row>
    <row r="927" spans="1:32">
      <c r="A927" s="8"/>
      <c r="B927" s="8"/>
      <c r="C927" s="8"/>
      <c r="D927" s="8"/>
      <c r="E927" s="8"/>
      <c r="F927" s="8"/>
      <c r="G927" s="8"/>
      <c r="H927" s="8"/>
      <c r="I927" s="8"/>
      <c r="J927" s="8"/>
      <c r="K927" s="8"/>
      <c r="L927" s="8"/>
      <c r="M927" s="8"/>
      <c r="N927" s="8"/>
      <c r="O927" s="8"/>
      <c r="P927" s="8"/>
      <c r="Q927" s="8"/>
      <c r="R927" s="8"/>
      <c r="S927" s="8"/>
      <c r="T927" s="8"/>
      <c r="U927" s="12"/>
      <c r="V927" s="12"/>
      <c r="W927" s="12"/>
      <c r="X927" s="12"/>
      <c r="Y927" s="12"/>
      <c r="Z927" s="12"/>
      <c r="AA927" s="12"/>
      <c r="AB927" s="12"/>
      <c r="AC927" s="12"/>
      <c r="AD927" s="12"/>
      <c r="AE927" s="12"/>
      <c r="AF927" s="12"/>
    </row>
    <row r="928" spans="1:32">
      <c r="A928" s="8"/>
      <c r="B928" s="8"/>
      <c r="C928" s="8"/>
      <c r="D928" s="8"/>
      <c r="E928" s="8"/>
      <c r="F928" s="8"/>
      <c r="G928" s="8"/>
      <c r="H928" s="8"/>
      <c r="I928" s="8"/>
      <c r="J928" s="8"/>
      <c r="K928" s="8"/>
      <c r="L928" s="8"/>
      <c r="M928" s="8"/>
      <c r="N928" s="8"/>
      <c r="O928" s="8"/>
      <c r="P928" s="8"/>
      <c r="Q928" s="8"/>
      <c r="R928" s="8"/>
      <c r="S928" s="8"/>
      <c r="T928" s="8"/>
      <c r="U928" s="12"/>
      <c r="V928" s="12"/>
      <c r="W928" s="12"/>
      <c r="X928" s="12"/>
      <c r="Y928" s="12"/>
      <c r="Z928" s="12"/>
      <c r="AA928" s="12"/>
      <c r="AB928" s="12"/>
      <c r="AC928" s="12"/>
      <c r="AD928" s="12"/>
      <c r="AE928" s="12"/>
      <c r="AF928" s="12"/>
    </row>
    <row r="929" spans="1:32">
      <c r="A929" s="8"/>
      <c r="B929" s="8"/>
      <c r="C929" s="8"/>
      <c r="D929" s="8"/>
      <c r="E929" s="8"/>
      <c r="F929" s="8"/>
      <c r="G929" s="8"/>
      <c r="H929" s="8"/>
      <c r="I929" s="8"/>
      <c r="J929" s="8"/>
      <c r="K929" s="8"/>
      <c r="L929" s="8"/>
      <c r="M929" s="8"/>
      <c r="N929" s="8"/>
      <c r="O929" s="8"/>
      <c r="P929" s="8"/>
      <c r="Q929" s="8"/>
      <c r="R929" s="8"/>
      <c r="S929" s="8"/>
      <c r="T929" s="8"/>
      <c r="U929" s="12"/>
      <c r="V929" s="12"/>
      <c r="W929" s="12"/>
      <c r="X929" s="12"/>
      <c r="Y929" s="12"/>
      <c r="Z929" s="12"/>
      <c r="AA929" s="12"/>
      <c r="AB929" s="12"/>
      <c r="AC929" s="12"/>
      <c r="AD929" s="12"/>
      <c r="AE929" s="12"/>
      <c r="AF929" s="12"/>
    </row>
    <row r="930" spans="1:32">
      <c r="A930" s="8"/>
      <c r="B930" s="8"/>
      <c r="C930" s="8"/>
      <c r="D930" s="8"/>
      <c r="E930" s="8"/>
      <c r="F930" s="8"/>
      <c r="G930" s="8"/>
      <c r="H930" s="8"/>
      <c r="I930" s="8"/>
      <c r="J930" s="8"/>
      <c r="K930" s="8"/>
      <c r="L930" s="8"/>
      <c r="M930" s="8"/>
      <c r="N930" s="8"/>
      <c r="O930" s="8"/>
      <c r="P930" s="8"/>
      <c r="Q930" s="8"/>
      <c r="R930" s="8"/>
      <c r="S930" s="8"/>
      <c r="T930" s="8"/>
      <c r="U930" s="12"/>
      <c r="V930" s="12"/>
      <c r="W930" s="12"/>
      <c r="X930" s="12"/>
      <c r="Y930" s="12"/>
      <c r="Z930" s="12"/>
      <c r="AA930" s="12"/>
      <c r="AB930" s="12"/>
      <c r="AC930" s="12"/>
      <c r="AD930" s="12"/>
      <c r="AE930" s="12"/>
      <c r="AF930" s="12"/>
    </row>
    <row r="931" spans="1:32">
      <c r="A931" s="8"/>
      <c r="B931" s="8"/>
      <c r="C931" s="8"/>
      <c r="D931" s="8"/>
      <c r="E931" s="8"/>
      <c r="F931" s="8"/>
      <c r="G931" s="8"/>
      <c r="H931" s="8"/>
      <c r="I931" s="8"/>
      <c r="J931" s="8"/>
      <c r="K931" s="8"/>
      <c r="L931" s="8"/>
      <c r="M931" s="8"/>
      <c r="N931" s="8"/>
      <c r="O931" s="8"/>
      <c r="P931" s="8"/>
      <c r="Q931" s="8"/>
      <c r="R931" s="8"/>
      <c r="S931" s="8"/>
      <c r="T931" s="8"/>
      <c r="U931" s="12"/>
      <c r="V931" s="12"/>
      <c r="W931" s="12"/>
      <c r="X931" s="12"/>
      <c r="Y931" s="12"/>
      <c r="Z931" s="12"/>
      <c r="AA931" s="12"/>
      <c r="AB931" s="12"/>
      <c r="AC931" s="12"/>
      <c r="AD931" s="12"/>
      <c r="AE931" s="12"/>
      <c r="AF931" s="12"/>
    </row>
    <row r="932" spans="1:32">
      <c r="A932" s="8"/>
      <c r="B932" s="8"/>
      <c r="C932" s="8"/>
      <c r="D932" s="8"/>
      <c r="E932" s="8"/>
      <c r="F932" s="8"/>
      <c r="G932" s="8"/>
      <c r="H932" s="8"/>
      <c r="I932" s="8"/>
      <c r="J932" s="8"/>
      <c r="K932" s="8"/>
      <c r="L932" s="8"/>
      <c r="M932" s="8"/>
      <c r="N932" s="8"/>
      <c r="O932" s="8"/>
      <c r="P932" s="8"/>
      <c r="Q932" s="8"/>
      <c r="R932" s="8"/>
      <c r="S932" s="8"/>
      <c r="T932" s="8"/>
      <c r="U932" s="12"/>
      <c r="V932" s="12"/>
      <c r="W932" s="12"/>
      <c r="X932" s="12"/>
      <c r="Y932" s="12"/>
      <c r="Z932" s="12"/>
      <c r="AA932" s="12"/>
      <c r="AB932" s="12"/>
      <c r="AC932" s="12"/>
      <c r="AD932" s="12"/>
      <c r="AE932" s="12"/>
      <c r="AF932" s="12"/>
    </row>
    <row r="933" spans="1:32">
      <c r="A933" s="8"/>
      <c r="B933" s="8"/>
      <c r="C933" s="8"/>
      <c r="D933" s="8"/>
      <c r="E933" s="8"/>
      <c r="F933" s="8"/>
      <c r="G933" s="8"/>
      <c r="H933" s="8"/>
      <c r="I933" s="8"/>
      <c r="J933" s="8"/>
      <c r="K933" s="8"/>
      <c r="L933" s="8"/>
      <c r="M933" s="8"/>
      <c r="N933" s="8"/>
      <c r="O933" s="8"/>
      <c r="P933" s="8"/>
      <c r="Q933" s="8"/>
      <c r="R933" s="8"/>
      <c r="S933" s="8"/>
      <c r="T933" s="8"/>
      <c r="U933" s="12"/>
      <c r="V933" s="12"/>
      <c r="W933" s="12"/>
      <c r="X933" s="12"/>
      <c r="Y933" s="12"/>
      <c r="Z933" s="12"/>
      <c r="AA933" s="12"/>
      <c r="AB933" s="12"/>
      <c r="AC933" s="12"/>
      <c r="AD933" s="12"/>
      <c r="AE933" s="12"/>
      <c r="AF933" s="12"/>
    </row>
    <row r="934" spans="1:32">
      <c r="A934" s="8"/>
      <c r="B934" s="8"/>
      <c r="C934" s="8"/>
      <c r="D934" s="8"/>
      <c r="E934" s="8"/>
      <c r="F934" s="8"/>
      <c r="G934" s="8"/>
      <c r="H934" s="8"/>
      <c r="I934" s="8"/>
      <c r="J934" s="8"/>
      <c r="K934" s="8"/>
      <c r="L934" s="8"/>
      <c r="M934" s="8"/>
      <c r="N934" s="8"/>
      <c r="O934" s="8"/>
      <c r="P934" s="8"/>
      <c r="Q934" s="8"/>
      <c r="R934" s="8"/>
      <c r="S934" s="8"/>
      <c r="T934" s="8"/>
      <c r="U934" s="12"/>
      <c r="V934" s="12"/>
      <c r="W934" s="12"/>
      <c r="X934" s="12"/>
      <c r="Y934" s="12"/>
      <c r="Z934" s="12"/>
      <c r="AA934" s="12"/>
      <c r="AB934" s="12"/>
      <c r="AC934" s="12"/>
      <c r="AD934" s="12"/>
      <c r="AE934" s="12"/>
      <c r="AF934" s="12"/>
    </row>
    <row r="935" spans="1:32">
      <c r="A935" s="8"/>
      <c r="B935" s="8"/>
      <c r="C935" s="8"/>
      <c r="D935" s="8"/>
      <c r="E935" s="8"/>
      <c r="F935" s="8"/>
      <c r="G935" s="8"/>
      <c r="H935" s="8"/>
      <c r="I935" s="8"/>
      <c r="J935" s="8"/>
      <c r="K935" s="8"/>
      <c r="L935" s="8"/>
      <c r="M935" s="8"/>
      <c r="N935" s="8"/>
      <c r="O935" s="8"/>
      <c r="P935" s="8"/>
      <c r="Q935" s="8"/>
      <c r="R935" s="8"/>
      <c r="S935" s="8"/>
      <c r="T935" s="8"/>
      <c r="U935" s="12"/>
      <c r="V935" s="12"/>
      <c r="W935" s="12"/>
      <c r="X935" s="12"/>
      <c r="Y935" s="12"/>
      <c r="Z935" s="12"/>
      <c r="AA935" s="12"/>
      <c r="AB935" s="12"/>
      <c r="AC935" s="12"/>
      <c r="AD935" s="12"/>
      <c r="AE935" s="12"/>
      <c r="AF935" s="12"/>
    </row>
    <row r="936" spans="1:32">
      <c r="A936" s="8"/>
      <c r="B936" s="8"/>
      <c r="C936" s="8"/>
      <c r="D936" s="8"/>
      <c r="E936" s="8"/>
      <c r="F936" s="8"/>
      <c r="G936" s="8"/>
      <c r="H936" s="8"/>
      <c r="I936" s="8"/>
      <c r="J936" s="8"/>
      <c r="K936" s="8"/>
      <c r="L936" s="8"/>
      <c r="M936" s="8"/>
      <c r="N936" s="8"/>
      <c r="O936" s="8"/>
      <c r="P936" s="8"/>
      <c r="Q936" s="8"/>
      <c r="R936" s="8"/>
      <c r="S936" s="8"/>
      <c r="T936" s="8"/>
      <c r="U936" s="12"/>
      <c r="V936" s="12"/>
      <c r="W936" s="12"/>
      <c r="X936" s="12"/>
      <c r="Y936" s="12"/>
      <c r="Z936" s="12"/>
      <c r="AA936" s="12"/>
      <c r="AB936" s="12"/>
      <c r="AC936" s="12"/>
      <c r="AD936" s="12"/>
      <c r="AE936" s="12"/>
      <c r="AF936" s="12"/>
    </row>
    <row r="937" spans="1:32">
      <c r="A937" s="8"/>
      <c r="B937" s="8"/>
      <c r="C937" s="8"/>
      <c r="D937" s="8"/>
      <c r="E937" s="8"/>
      <c r="F937" s="8"/>
      <c r="G937" s="8"/>
      <c r="H937" s="8"/>
      <c r="I937" s="8"/>
      <c r="J937" s="8"/>
      <c r="K937" s="8"/>
      <c r="L937" s="8"/>
      <c r="M937" s="8"/>
      <c r="N937" s="8"/>
      <c r="O937" s="8"/>
      <c r="P937" s="8"/>
      <c r="Q937" s="8"/>
      <c r="R937" s="8"/>
      <c r="S937" s="8"/>
      <c r="T937" s="8"/>
      <c r="U937" s="12"/>
      <c r="V937" s="12"/>
      <c r="W937" s="12"/>
      <c r="X937" s="12"/>
      <c r="Y937" s="12"/>
      <c r="Z937" s="12"/>
      <c r="AA937" s="12"/>
      <c r="AB937" s="12"/>
      <c r="AC937" s="12"/>
      <c r="AD937" s="12"/>
      <c r="AE937" s="12"/>
      <c r="AF937" s="12"/>
    </row>
    <row r="938" spans="1:32">
      <c r="A938" s="8"/>
      <c r="B938" s="8"/>
      <c r="C938" s="8"/>
      <c r="D938" s="8"/>
      <c r="E938" s="8"/>
      <c r="F938" s="8"/>
      <c r="G938" s="8"/>
      <c r="H938" s="8"/>
      <c r="I938" s="8"/>
      <c r="J938" s="8"/>
      <c r="K938" s="8"/>
      <c r="L938" s="8"/>
      <c r="M938" s="8"/>
      <c r="N938" s="8"/>
      <c r="O938" s="8"/>
      <c r="P938" s="8"/>
      <c r="Q938" s="8"/>
      <c r="R938" s="8"/>
      <c r="S938" s="8"/>
      <c r="T938" s="8"/>
      <c r="U938" s="12"/>
      <c r="V938" s="12"/>
      <c r="W938" s="12"/>
      <c r="X938" s="12"/>
      <c r="Y938" s="12"/>
      <c r="Z938" s="12"/>
      <c r="AA938" s="12"/>
      <c r="AB938" s="12"/>
      <c r="AC938" s="12"/>
      <c r="AD938" s="12"/>
      <c r="AE938" s="12"/>
      <c r="AF938" s="12"/>
    </row>
    <row r="939" spans="1:32">
      <c r="A939" s="8"/>
      <c r="B939" s="8"/>
      <c r="C939" s="8"/>
      <c r="D939" s="8"/>
      <c r="E939" s="8"/>
      <c r="F939" s="8"/>
      <c r="G939" s="8"/>
      <c r="H939" s="8"/>
      <c r="I939" s="8"/>
      <c r="J939" s="8"/>
      <c r="K939" s="8"/>
      <c r="L939" s="8"/>
      <c r="M939" s="8"/>
      <c r="N939" s="8"/>
      <c r="O939" s="8"/>
      <c r="P939" s="8"/>
      <c r="Q939" s="8"/>
      <c r="R939" s="8"/>
      <c r="S939" s="8"/>
      <c r="T939" s="8"/>
      <c r="U939" s="12"/>
      <c r="V939" s="12"/>
      <c r="W939" s="12"/>
      <c r="X939" s="12"/>
      <c r="Y939" s="12"/>
      <c r="Z939" s="12"/>
      <c r="AA939" s="12"/>
      <c r="AB939" s="12"/>
      <c r="AC939" s="12"/>
      <c r="AD939" s="12"/>
      <c r="AE939" s="12"/>
      <c r="AF939" s="12"/>
    </row>
    <row r="940" spans="1:32">
      <c r="A940" s="8"/>
      <c r="B940" s="8"/>
      <c r="C940" s="8"/>
      <c r="D940" s="8"/>
      <c r="E940" s="8"/>
      <c r="F940" s="8"/>
      <c r="G940" s="8"/>
      <c r="H940" s="8"/>
      <c r="I940" s="8"/>
      <c r="J940" s="8"/>
      <c r="K940" s="8"/>
      <c r="L940" s="8"/>
      <c r="M940" s="8"/>
      <c r="N940" s="8"/>
      <c r="O940" s="8"/>
      <c r="P940" s="8"/>
      <c r="Q940" s="8"/>
      <c r="R940" s="8"/>
      <c r="S940" s="8"/>
      <c r="T940" s="8"/>
      <c r="U940" s="12"/>
      <c r="V940" s="12"/>
      <c r="W940" s="12"/>
      <c r="X940" s="12"/>
      <c r="Y940" s="12"/>
      <c r="Z940" s="12"/>
      <c r="AA940" s="12"/>
      <c r="AB940" s="12"/>
      <c r="AC940" s="12"/>
      <c r="AD940" s="12"/>
      <c r="AE940" s="12"/>
      <c r="AF940" s="12"/>
    </row>
    <row r="941" spans="1:32">
      <c r="A941" s="8"/>
      <c r="B941" s="8"/>
      <c r="C941" s="8"/>
      <c r="D941" s="8"/>
      <c r="E941" s="8"/>
      <c r="F941" s="8"/>
      <c r="G941" s="8"/>
      <c r="H941" s="8"/>
      <c r="I941" s="8"/>
      <c r="J941" s="8"/>
      <c r="K941" s="8"/>
      <c r="L941" s="8"/>
      <c r="M941" s="8"/>
      <c r="N941" s="8"/>
      <c r="O941" s="8"/>
      <c r="P941" s="8"/>
      <c r="Q941" s="8"/>
      <c r="R941" s="8"/>
      <c r="S941" s="8"/>
      <c r="T941" s="8"/>
      <c r="U941" s="12"/>
      <c r="V941" s="12"/>
      <c r="W941" s="12"/>
      <c r="X941" s="12"/>
      <c r="Y941" s="12"/>
      <c r="Z941" s="12"/>
      <c r="AA941" s="12"/>
      <c r="AB941" s="12"/>
      <c r="AC941" s="12"/>
      <c r="AD941" s="12"/>
      <c r="AE941" s="12"/>
      <c r="AF941" s="12"/>
    </row>
    <row r="942" spans="1:32">
      <c r="A942" s="8"/>
      <c r="B942" s="8"/>
      <c r="C942" s="8"/>
      <c r="D942" s="8"/>
      <c r="E942" s="8"/>
      <c r="F942" s="8"/>
      <c r="G942" s="8"/>
      <c r="H942" s="8"/>
      <c r="I942" s="8"/>
      <c r="J942" s="8"/>
      <c r="K942" s="8"/>
      <c r="L942" s="8"/>
      <c r="M942" s="8"/>
      <c r="N942" s="8"/>
      <c r="O942" s="8"/>
      <c r="P942" s="8"/>
      <c r="Q942" s="8"/>
      <c r="R942" s="8"/>
      <c r="S942" s="8"/>
      <c r="T942" s="8"/>
      <c r="U942" s="12"/>
      <c r="V942" s="12"/>
      <c r="W942" s="12"/>
      <c r="X942" s="12"/>
      <c r="Y942" s="12"/>
      <c r="Z942" s="12"/>
      <c r="AA942" s="12"/>
      <c r="AB942" s="12"/>
      <c r="AC942" s="12"/>
      <c r="AD942" s="12"/>
      <c r="AE942" s="12"/>
      <c r="AF942" s="12"/>
    </row>
    <row r="943" spans="1:32">
      <c r="A943" s="8"/>
      <c r="B943" s="8"/>
      <c r="C943" s="8"/>
      <c r="D943" s="8"/>
      <c r="E943" s="8"/>
      <c r="F943" s="8"/>
      <c r="G943" s="8"/>
      <c r="H943" s="8"/>
      <c r="I943" s="8"/>
      <c r="J943" s="8"/>
      <c r="K943" s="8"/>
      <c r="L943" s="8"/>
      <c r="M943" s="8"/>
      <c r="N943" s="8"/>
      <c r="O943" s="8"/>
      <c r="P943" s="8"/>
      <c r="Q943" s="8"/>
      <c r="R943" s="8"/>
      <c r="S943" s="8"/>
      <c r="T943" s="8"/>
      <c r="U943" s="12"/>
      <c r="V943" s="12"/>
      <c r="W943" s="12"/>
      <c r="X943" s="12"/>
      <c r="Y943" s="12"/>
      <c r="Z943" s="12"/>
      <c r="AA943" s="12"/>
      <c r="AB943" s="12"/>
      <c r="AC943" s="12"/>
      <c r="AD943" s="12"/>
      <c r="AE943" s="12"/>
      <c r="AF943" s="12"/>
    </row>
    <row r="944" spans="1:32">
      <c r="A944" s="8"/>
      <c r="B944" s="8"/>
      <c r="C944" s="8"/>
      <c r="D944" s="8"/>
      <c r="E944" s="8"/>
      <c r="F944" s="8"/>
      <c r="G944" s="8"/>
      <c r="H944" s="8"/>
      <c r="I944" s="8"/>
      <c r="J944" s="8"/>
      <c r="K944" s="8"/>
      <c r="L944" s="8"/>
      <c r="M944" s="8"/>
      <c r="N944" s="8"/>
      <c r="O944" s="8"/>
      <c r="P944" s="8"/>
      <c r="Q944" s="8"/>
      <c r="R944" s="8"/>
      <c r="S944" s="8"/>
      <c r="T944" s="8"/>
      <c r="U944" s="12"/>
      <c r="V944" s="12"/>
      <c r="W944" s="12"/>
      <c r="X944" s="12"/>
      <c r="Y944" s="12"/>
      <c r="Z944" s="12"/>
      <c r="AA944" s="12"/>
      <c r="AB944" s="12"/>
      <c r="AC944" s="12"/>
      <c r="AD944" s="12"/>
      <c r="AE944" s="12"/>
      <c r="AF944" s="12"/>
    </row>
    <row r="945" spans="1:32">
      <c r="A945" s="8"/>
      <c r="B945" s="8"/>
      <c r="C945" s="8"/>
      <c r="D945" s="8"/>
      <c r="E945" s="8"/>
      <c r="F945" s="8"/>
      <c r="G945" s="8"/>
      <c r="H945" s="8"/>
      <c r="I945" s="8"/>
      <c r="J945" s="8"/>
      <c r="K945" s="8"/>
      <c r="L945" s="8"/>
      <c r="M945" s="8"/>
      <c r="N945" s="8"/>
      <c r="O945" s="8"/>
      <c r="P945" s="8"/>
      <c r="Q945" s="8"/>
      <c r="R945" s="8"/>
      <c r="S945" s="8"/>
      <c r="T945" s="8"/>
      <c r="U945" s="12"/>
      <c r="V945" s="12"/>
      <c r="W945" s="12"/>
      <c r="X945" s="12"/>
      <c r="Y945" s="12"/>
      <c r="Z945" s="12"/>
      <c r="AA945" s="12"/>
      <c r="AB945" s="12"/>
      <c r="AC945" s="12"/>
      <c r="AD945" s="12"/>
      <c r="AE945" s="12"/>
      <c r="AF945" s="12"/>
    </row>
    <row r="946" spans="1:32">
      <c r="A946" s="8"/>
      <c r="B946" s="8"/>
      <c r="C946" s="8"/>
      <c r="D946" s="8"/>
      <c r="E946" s="8"/>
      <c r="F946" s="8"/>
      <c r="G946" s="8"/>
      <c r="H946" s="8"/>
      <c r="I946" s="8"/>
      <c r="J946" s="8"/>
      <c r="K946" s="8"/>
      <c r="L946" s="8"/>
      <c r="M946" s="8"/>
      <c r="N946" s="8"/>
      <c r="O946" s="8"/>
      <c r="P946" s="8"/>
      <c r="Q946" s="8"/>
      <c r="R946" s="8"/>
      <c r="S946" s="8"/>
      <c r="T946" s="8"/>
      <c r="U946" s="12"/>
      <c r="V946" s="12"/>
      <c r="W946" s="12"/>
      <c r="X946" s="12"/>
      <c r="Y946" s="12"/>
      <c r="Z946" s="12"/>
      <c r="AA946" s="12"/>
      <c r="AB946" s="12"/>
      <c r="AC946" s="12"/>
      <c r="AD946" s="12"/>
      <c r="AE946" s="12"/>
      <c r="AF946" s="12"/>
    </row>
    <row r="947" spans="1:32">
      <c r="A947" s="8"/>
      <c r="B947" s="8"/>
      <c r="C947" s="8"/>
      <c r="D947" s="8"/>
      <c r="E947" s="8"/>
      <c r="F947" s="8"/>
      <c r="G947" s="8"/>
      <c r="H947" s="8"/>
      <c r="I947" s="8"/>
      <c r="J947" s="8"/>
      <c r="K947" s="8"/>
      <c r="L947" s="8"/>
      <c r="M947" s="8"/>
      <c r="N947" s="8"/>
      <c r="O947" s="8"/>
      <c r="P947" s="8"/>
      <c r="Q947" s="8"/>
      <c r="R947" s="8"/>
      <c r="S947" s="8"/>
      <c r="T947" s="8"/>
      <c r="U947" s="12"/>
      <c r="V947" s="12"/>
      <c r="W947" s="12"/>
      <c r="X947" s="12"/>
      <c r="Y947" s="12"/>
      <c r="Z947" s="12"/>
      <c r="AA947" s="12"/>
      <c r="AB947" s="12"/>
      <c r="AC947" s="12"/>
      <c r="AD947" s="12"/>
      <c r="AE947" s="12"/>
      <c r="AF947" s="12"/>
    </row>
    <row r="948" spans="1:32">
      <c r="A948" s="8"/>
      <c r="B948" s="8"/>
      <c r="C948" s="8"/>
      <c r="D948" s="8"/>
      <c r="E948" s="8"/>
      <c r="F948" s="8"/>
      <c r="G948" s="8"/>
      <c r="H948" s="8"/>
      <c r="I948" s="8"/>
      <c r="J948" s="8"/>
      <c r="K948" s="8"/>
      <c r="L948" s="8"/>
      <c r="M948" s="8"/>
      <c r="N948" s="8"/>
      <c r="O948" s="8"/>
      <c r="P948" s="8"/>
      <c r="Q948" s="8"/>
      <c r="R948" s="8"/>
      <c r="S948" s="8"/>
      <c r="T948" s="8"/>
      <c r="U948" s="12"/>
      <c r="V948" s="12"/>
      <c r="W948" s="12"/>
      <c r="X948" s="12"/>
      <c r="Y948" s="12"/>
      <c r="Z948" s="12"/>
      <c r="AA948" s="12"/>
      <c r="AB948" s="12"/>
      <c r="AC948" s="12"/>
      <c r="AD948" s="12"/>
      <c r="AE948" s="12"/>
      <c r="AF948" s="12"/>
    </row>
    <row r="949" spans="1:32">
      <c r="A949" s="8"/>
      <c r="B949" s="8"/>
      <c r="C949" s="8"/>
      <c r="D949" s="8"/>
      <c r="E949" s="8"/>
      <c r="F949" s="8"/>
      <c r="G949" s="8"/>
      <c r="H949" s="8"/>
      <c r="I949" s="8"/>
      <c r="J949" s="8"/>
      <c r="K949" s="8"/>
      <c r="L949" s="8"/>
      <c r="M949" s="8"/>
      <c r="N949" s="8"/>
      <c r="O949" s="8"/>
      <c r="P949" s="8"/>
      <c r="Q949" s="8"/>
      <c r="R949" s="8"/>
      <c r="S949" s="8"/>
      <c r="T949" s="8"/>
      <c r="U949" s="12"/>
      <c r="V949" s="12"/>
      <c r="W949" s="12"/>
      <c r="X949" s="12"/>
      <c r="Y949" s="12"/>
      <c r="Z949" s="12"/>
      <c r="AA949" s="12"/>
      <c r="AB949" s="12"/>
      <c r="AC949" s="12"/>
      <c r="AD949" s="12"/>
      <c r="AE949" s="12"/>
      <c r="AF949" s="12"/>
    </row>
    <row r="950" spans="1:32">
      <c r="A950" s="8"/>
      <c r="B950" s="8"/>
      <c r="C950" s="8"/>
      <c r="D950" s="8"/>
      <c r="E950" s="8"/>
      <c r="F950" s="8"/>
      <c r="G950" s="8"/>
      <c r="H950" s="8"/>
      <c r="I950" s="8"/>
      <c r="J950" s="8"/>
      <c r="K950" s="8"/>
      <c r="L950" s="8"/>
      <c r="M950" s="8"/>
      <c r="N950" s="8"/>
      <c r="O950" s="8"/>
      <c r="P950" s="8"/>
      <c r="Q950" s="8"/>
      <c r="R950" s="8"/>
      <c r="S950" s="8"/>
      <c r="T950" s="8"/>
      <c r="U950" s="12"/>
      <c r="V950" s="12"/>
      <c r="W950" s="12"/>
      <c r="X950" s="12"/>
      <c r="Y950" s="12"/>
      <c r="Z950" s="12"/>
      <c r="AA950" s="12"/>
      <c r="AB950" s="12"/>
      <c r="AC950" s="12"/>
      <c r="AD950" s="12"/>
      <c r="AE950" s="12"/>
      <c r="AF950" s="12"/>
    </row>
    <row r="951" spans="1:32">
      <c r="A951" s="8"/>
      <c r="B951" s="8"/>
      <c r="C951" s="8"/>
      <c r="D951" s="8"/>
      <c r="E951" s="8"/>
      <c r="F951" s="8"/>
      <c r="G951" s="8"/>
      <c r="H951" s="8"/>
      <c r="I951" s="8"/>
      <c r="J951" s="8"/>
      <c r="K951" s="8"/>
      <c r="L951" s="8"/>
      <c r="M951" s="8"/>
      <c r="N951" s="8"/>
      <c r="O951" s="8"/>
      <c r="P951" s="8"/>
      <c r="Q951" s="8"/>
      <c r="R951" s="8"/>
      <c r="S951" s="8"/>
      <c r="T951" s="8"/>
      <c r="U951" s="12"/>
      <c r="V951" s="12"/>
      <c r="W951" s="12"/>
      <c r="X951" s="12"/>
      <c r="Y951" s="12"/>
      <c r="Z951" s="12"/>
      <c r="AA951" s="12"/>
      <c r="AB951" s="12"/>
      <c r="AC951" s="12"/>
      <c r="AD951" s="12"/>
      <c r="AE951" s="12"/>
      <c r="AF951" s="12"/>
    </row>
    <row r="952" spans="1:32">
      <c r="A952" s="8"/>
      <c r="B952" s="8"/>
      <c r="C952" s="8"/>
      <c r="D952" s="8"/>
      <c r="E952" s="8"/>
      <c r="F952" s="8"/>
      <c r="G952" s="8"/>
      <c r="H952" s="8"/>
      <c r="I952" s="8"/>
      <c r="J952" s="8"/>
      <c r="K952" s="8"/>
      <c r="L952" s="8"/>
      <c r="M952" s="8"/>
      <c r="N952" s="8"/>
      <c r="O952" s="8"/>
      <c r="P952" s="8"/>
      <c r="Q952" s="8"/>
      <c r="R952" s="8"/>
      <c r="S952" s="8"/>
      <c r="T952" s="8"/>
      <c r="U952" s="12"/>
      <c r="V952" s="12"/>
      <c r="W952" s="12"/>
      <c r="X952" s="12"/>
      <c r="Y952" s="12"/>
      <c r="Z952" s="12"/>
      <c r="AA952" s="12"/>
      <c r="AB952" s="12"/>
      <c r="AC952" s="12"/>
      <c r="AD952" s="12"/>
      <c r="AE952" s="12"/>
      <c r="AF952" s="12"/>
    </row>
    <row r="953" spans="1:32">
      <c r="A953" s="8"/>
      <c r="B953" s="8"/>
      <c r="C953" s="8"/>
      <c r="D953" s="8"/>
      <c r="E953" s="8"/>
      <c r="F953" s="8"/>
      <c r="G953" s="8"/>
      <c r="H953" s="8"/>
      <c r="I953" s="8"/>
      <c r="J953" s="8"/>
      <c r="K953" s="8"/>
      <c r="L953" s="8"/>
      <c r="M953" s="8"/>
      <c r="N953" s="8"/>
      <c r="O953" s="8"/>
      <c r="P953" s="8"/>
      <c r="Q953" s="8"/>
      <c r="R953" s="8"/>
      <c r="S953" s="8"/>
      <c r="T953" s="8"/>
      <c r="U953" s="12"/>
      <c r="V953" s="12"/>
      <c r="W953" s="12"/>
      <c r="X953" s="12"/>
      <c r="Y953" s="12"/>
      <c r="Z953" s="12"/>
      <c r="AA953" s="12"/>
      <c r="AB953" s="12"/>
      <c r="AC953" s="12"/>
      <c r="AD953" s="12"/>
      <c r="AE953" s="12"/>
      <c r="AF953" s="12"/>
    </row>
    <row r="954" spans="1:32">
      <c r="A954" s="8"/>
      <c r="B954" s="8"/>
      <c r="C954" s="8"/>
      <c r="D954" s="8"/>
      <c r="E954" s="8"/>
      <c r="F954" s="8"/>
      <c r="G954" s="8"/>
      <c r="H954" s="8"/>
      <c r="I954" s="8"/>
      <c r="J954" s="8"/>
      <c r="K954" s="8"/>
      <c r="L954" s="8"/>
      <c r="M954" s="8"/>
      <c r="N954" s="8"/>
      <c r="O954" s="8"/>
      <c r="P954" s="8"/>
      <c r="Q954" s="8"/>
      <c r="R954" s="8"/>
      <c r="S954" s="8"/>
      <c r="T954" s="8"/>
      <c r="U954" s="12"/>
      <c r="V954" s="12"/>
      <c r="W954" s="12"/>
      <c r="X954" s="12"/>
      <c r="Y954" s="12"/>
      <c r="Z954" s="12"/>
      <c r="AA954" s="12"/>
      <c r="AB954" s="12"/>
      <c r="AC954" s="12"/>
      <c r="AD954" s="12"/>
      <c r="AE954" s="12"/>
      <c r="AF954" s="12"/>
    </row>
    <row r="955" spans="1:32">
      <c r="A955" s="8"/>
      <c r="B955" s="8"/>
      <c r="C955" s="8"/>
      <c r="D955" s="8"/>
      <c r="E955" s="8"/>
      <c r="F955" s="8"/>
      <c r="G955" s="8"/>
      <c r="H955" s="8"/>
      <c r="I955" s="8"/>
      <c r="J955" s="8"/>
      <c r="K955" s="8"/>
      <c r="L955" s="8"/>
      <c r="M955" s="8"/>
      <c r="N955" s="8"/>
      <c r="O955" s="8"/>
      <c r="P955" s="8"/>
      <c r="Q955" s="8"/>
      <c r="R955" s="8"/>
      <c r="S955" s="8"/>
      <c r="T955" s="8"/>
      <c r="U955" s="12"/>
      <c r="V955" s="12"/>
      <c r="W955" s="12"/>
      <c r="X955" s="12"/>
      <c r="Y955" s="12"/>
      <c r="Z955" s="12"/>
      <c r="AA955" s="12"/>
      <c r="AB955" s="12"/>
      <c r="AC955" s="12"/>
      <c r="AD955" s="12"/>
      <c r="AE955" s="12"/>
      <c r="AF955" s="12"/>
    </row>
    <row r="956" spans="1:32">
      <c r="A956" s="8"/>
      <c r="B956" s="8"/>
      <c r="C956" s="8"/>
      <c r="D956" s="8"/>
      <c r="E956" s="8"/>
      <c r="F956" s="8"/>
      <c r="G956" s="8"/>
      <c r="H956" s="8"/>
      <c r="I956" s="8"/>
      <c r="J956" s="8"/>
      <c r="K956" s="8"/>
      <c r="L956" s="8"/>
      <c r="M956" s="8"/>
      <c r="N956" s="8"/>
      <c r="O956" s="8"/>
      <c r="P956" s="8"/>
      <c r="Q956" s="8"/>
      <c r="R956" s="8"/>
      <c r="S956" s="8"/>
      <c r="T956" s="8"/>
      <c r="U956" s="12"/>
      <c r="V956" s="12"/>
      <c r="W956" s="12"/>
      <c r="X956" s="12"/>
      <c r="Y956" s="12"/>
      <c r="Z956" s="12"/>
      <c r="AA956" s="12"/>
      <c r="AB956" s="12"/>
      <c r="AC956" s="12"/>
      <c r="AD956" s="12"/>
      <c r="AE956" s="12"/>
      <c r="AF956" s="12"/>
    </row>
    <row r="957" spans="1:32">
      <c r="A957" s="8"/>
      <c r="B957" s="8"/>
      <c r="C957" s="8"/>
      <c r="D957" s="8"/>
      <c r="E957" s="8"/>
      <c r="F957" s="8"/>
      <c r="G957" s="8"/>
      <c r="H957" s="8"/>
      <c r="I957" s="8"/>
      <c r="J957" s="8"/>
      <c r="K957" s="8"/>
      <c r="L957" s="8"/>
      <c r="M957" s="8"/>
      <c r="N957" s="8"/>
      <c r="O957" s="8"/>
      <c r="P957" s="8"/>
      <c r="Q957" s="8"/>
      <c r="R957" s="8"/>
      <c r="S957" s="8"/>
      <c r="T957" s="8"/>
      <c r="U957" s="12"/>
      <c r="V957" s="12"/>
      <c r="W957" s="12"/>
      <c r="X957" s="12"/>
      <c r="Y957" s="12"/>
      <c r="Z957" s="12"/>
      <c r="AA957" s="12"/>
      <c r="AB957" s="12"/>
      <c r="AC957" s="12"/>
      <c r="AD957" s="12"/>
      <c r="AE957" s="12"/>
      <c r="AF957" s="12"/>
    </row>
    <row r="958" spans="1:32">
      <c r="A958" s="8"/>
      <c r="B958" s="8"/>
      <c r="C958" s="8"/>
      <c r="D958" s="8"/>
      <c r="E958" s="8"/>
      <c r="F958" s="8"/>
      <c r="G958" s="8"/>
      <c r="H958" s="8"/>
      <c r="I958" s="8"/>
      <c r="J958" s="8"/>
      <c r="K958" s="8"/>
      <c r="L958" s="8"/>
      <c r="M958" s="8"/>
      <c r="N958" s="8"/>
      <c r="O958" s="8"/>
      <c r="P958" s="8"/>
      <c r="Q958" s="8"/>
      <c r="R958" s="8"/>
      <c r="S958" s="8"/>
      <c r="T958" s="8"/>
      <c r="U958" s="12"/>
      <c r="V958" s="12"/>
      <c r="W958" s="12"/>
      <c r="X958" s="12"/>
      <c r="Y958" s="12"/>
      <c r="Z958" s="12"/>
      <c r="AA958" s="12"/>
      <c r="AB958" s="12"/>
      <c r="AC958" s="12"/>
      <c r="AD958" s="12"/>
      <c r="AE958" s="12"/>
      <c r="AF958" s="12"/>
    </row>
    <row r="959" spans="1:32">
      <c r="A959" s="8"/>
      <c r="B959" s="8"/>
      <c r="C959" s="8"/>
      <c r="D959" s="8"/>
      <c r="E959" s="8"/>
      <c r="F959" s="8"/>
      <c r="G959" s="8"/>
      <c r="H959" s="8"/>
      <c r="I959" s="8"/>
      <c r="J959" s="8"/>
      <c r="K959" s="8"/>
      <c r="L959" s="8"/>
      <c r="M959" s="8"/>
      <c r="N959" s="8"/>
      <c r="O959" s="8"/>
      <c r="P959" s="8"/>
      <c r="Q959" s="8"/>
      <c r="R959" s="8"/>
      <c r="S959" s="8"/>
      <c r="T959" s="8"/>
      <c r="U959" s="12"/>
      <c r="V959" s="12"/>
      <c r="W959" s="12"/>
      <c r="X959" s="12"/>
      <c r="Y959" s="12"/>
      <c r="Z959" s="12"/>
      <c r="AA959" s="12"/>
      <c r="AB959" s="12"/>
      <c r="AC959" s="12"/>
      <c r="AD959" s="12"/>
      <c r="AE959" s="12"/>
      <c r="AF959" s="12"/>
    </row>
    <row r="960" spans="1:32">
      <c r="A960" s="8"/>
      <c r="B960" s="8"/>
      <c r="C960" s="8"/>
      <c r="D960" s="8"/>
      <c r="E960" s="8"/>
      <c r="F960" s="8"/>
      <c r="G960" s="8"/>
      <c r="H960" s="8"/>
      <c r="I960" s="8"/>
      <c r="J960" s="8"/>
      <c r="K960" s="8"/>
      <c r="L960" s="8"/>
      <c r="M960" s="8"/>
      <c r="N960" s="8"/>
      <c r="O960" s="8"/>
      <c r="P960" s="8"/>
      <c r="Q960" s="8"/>
      <c r="R960" s="8"/>
      <c r="S960" s="8"/>
      <c r="T960" s="8"/>
      <c r="U960" s="12"/>
      <c r="V960" s="12"/>
      <c r="W960" s="12"/>
      <c r="X960" s="12"/>
      <c r="Y960" s="12"/>
      <c r="Z960" s="12"/>
      <c r="AA960" s="12"/>
      <c r="AB960" s="12"/>
      <c r="AC960" s="12"/>
      <c r="AD960" s="12"/>
      <c r="AE960" s="12"/>
      <c r="AF960" s="12"/>
    </row>
    <row r="961" spans="1:32">
      <c r="A961" s="8"/>
      <c r="B961" s="8"/>
      <c r="C961" s="8"/>
      <c r="D961" s="8"/>
      <c r="E961" s="8"/>
      <c r="F961" s="8"/>
      <c r="G961" s="8"/>
      <c r="H961" s="8"/>
      <c r="I961" s="8"/>
      <c r="J961" s="8"/>
      <c r="K961" s="8"/>
      <c r="L961" s="8"/>
      <c r="M961" s="8"/>
      <c r="N961" s="8"/>
      <c r="O961" s="8"/>
      <c r="P961" s="8"/>
      <c r="Q961" s="8"/>
      <c r="R961" s="8"/>
      <c r="S961" s="8"/>
      <c r="T961" s="8"/>
      <c r="U961" s="12"/>
      <c r="V961" s="12"/>
      <c r="W961" s="12"/>
      <c r="X961" s="12"/>
      <c r="Y961" s="12"/>
      <c r="Z961" s="12"/>
      <c r="AA961" s="12"/>
      <c r="AB961" s="12"/>
      <c r="AC961" s="12"/>
      <c r="AD961" s="12"/>
      <c r="AE961" s="12"/>
      <c r="AF961" s="12"/>
    </row>
    <row r="962" spans="1:32">
      <c r="A962" s="8"/>
      <c r="B962" s="8"/>
      <c r="C962" s="8"/>
      <c r="D962" s="8"/>
      <c r="E962" s="8"/>
      <c r="F962" s="8"/>
      <c r="G962" s="8"/>
      <c r="H962" s="8"/>
      <c r="I962" s="8"/>
      <c r="J962" s="8"/>
      <c r="K962" s="8"/>
      <c r="L962" s="8"/>
      <c r="M962" s="8"/>
      <c r="N962" s="8"/>
      <c r="O962" s="8"/>
      <c r="P962" s="8"/>
      <c r="Q962" s="8"/>
      <c r="R962" s="8"/>
      <c r="S962" s="8"/>
      <c r="T962" s="8"/>
      <c r="U962" s="12"/>
      <c r="V962" s="12"/>
      <c r="W962" s="12"/>
      <c r="X962" s="12"/>
      <c r="Y962" s="12"/>
      <c r="Z962" s="12"/>
      <c r="AA962" s="12"/>
      <c r="AB962" s="12"/>
      <c r="AC962" s="12"/>
      <c r="AD962" s="12"/>
      <c r="AE962" s="12"/>
      <c r="AF962" s="12"/>
    </row>
    <row r="963" spans="1:32">
      <c r="A963" s="8"/>
      <c r="B963" s="8"/>
      <c r="C963" s="8"/>
      <c r="D963" s="8"/>
      <c r="E963" s="8"/>
      <c r="F963" s="8"/>
      <c r="G963" s="8"/>
      <c r="H963" s="8"/>
      <c r="I963" s="8"/>
      <c r="J963" s="8"/>
      <c r="K963" s="8"/>
      <c r="L963" s="8"/>
      <c r="M963" s="8"/>
      <c r="N963" s="8"/>
      <c r="O963" s="8"/>
      <c r="P963" s="8"/>
      <c r="Q963" s="8"/>
      <c r="R963" s="8"/>
      <c r="S963" s="8"/>
      <c r="T963" s="8"/>
      <c r="U963" s="12"/>
      <c r="V963" s="12"/>
      <c r="W963" s="12"/>
      <c r="X963" s="12"/>
      <c r="Y963" s="12"/>
      <c r="Z963" s="12"/>
      <c r="AA963" s="12"/>
      <c r="AB963" s="12"/>
      <c r="AC963" s="12"/>
      <c r="AD963" s="12"/>
      <c r="AE963" s="12"/>
      <c r="AF963" s="12"/>
    </row>
    <row r="964" spans="1:32">
      <c r="A964" s="8"/>
      <c r="B964" s="8"/>
      <c r="C964" s="8"/>
      <c r="D964" s="8"/>
      <c r="E964" s="8"/>
      <c r="F964" s="8"/>
      <c r="G964" s="8"/>
      <c r="H964" s="8"/>
      <c r="I964" s="8"/>
      <c r="J964" s="8"/>
      <c r="K964" s="8"/>
      <c r="L964" s="8"/>
      <c r="M964" s="8"/>
      <c r="N964" s="8"/>
      <c r="O964" s="8"/>
      <c r="P964" s="8"/>
      <c r="Q964" s="8"/>
      <c r="R964" s="8"/>
      <c r="S964" s="8"/>
      <c r="T964" s="8"/>
      <c r="U964" s="12"/>
      <c r="V964" s="12"/>
      <c r="W964" s="12"/>
      <c r="X964" s="12"/>
      <c r="Y964" s="12"/>
      <c r="Z964" s="12"/>
      <c r="AA964" s="12"/>
      <c r="AB964" s="12"/>
      <c r="AC964" s="12"/>
      <c r="AD964" s="12"/>
      <c r="AE964" s="12"/>
      <c r="AF964" s="12"/>
    </row>
    <row r="965" spans="1:32">
      <c r="A965" s="8"/>
      <c r="B965" s="8"/>
      <c r="C965" s="8"/>
      <c r="D965" s="8"/>
      <c r="E965" s="8"/>
      <c r="F965" s="8"/>
      <c r="G965" s="8"/>
      <c r="H965" s="8"/>
      <c r="I965" s="8"/>
      <c r="J965" s="8"/>
      <c r="K965" s="8"/>
      <c r="L965" s="8"/>
      <c r="M965" s="8"/>
      <c r="N965" s="8"/>
      <c r="O965" s="8"/>
      <c r="P965" s="8"/>
      <c r="Q965" s="8"/>
      <c r="R965" s="8"/>
      <c r="S965" s="8"/>
      <c r="T965" s="8"/>
      <c r="U965" s="12"/>
      <c r="V965" s="12"/>
      <c r="W965" s="12"/>
      <c r="X965" s="12"/>
      <c r="Y965" s="12"/>
      <c r="Z965" s="12"/>
      <c r="AA965" s="12"/>
      <c r="AB965" s="12"/>
      <c r="AC965" s="12"/>
      <c r="AD965" s="12"/>
      <c r="AE965" s="12"/>
      <c r="AF965" s="12"/>
    </row>
    <row r="966" spans="1:32">
      <c r="A966" s="8"/>
      <c r="B966" s="8"/>
      <c r="C966" s="8"/>
      <c r="D966" s="8"/>
      <c r="E966" s="8"/>
      <c r="F966" s="8"/>
      <c r="G966" s="8"/>
      <c r="H966" s="8"/>
      <c r="I966" s="8"/>
      <c r="J966" s="8"/>
      <c r="K966" s="8"/>
      <c r="L966" s="8"/>
      <c r="M966" s="8"/>
      <c r="N966" s="8"/>
      <c r="O966" s="8"/>
      <c r="P966" s="8"/>
      <c r="Q966" s="8"/>
      <c r="R966" s="8"/>
      <c r="S966" s="8"/>
      <c r="T966" s="8"/>
      <c r="U966" s="12"/>
      <c r="V966" s="12"/>
      <c r="W966" s="12"/>
      <c r="X966" s="12"/>
      <c r="Y966" s="12"/>
      <c r="Z966" s="12"/>
      <c r="AA966" s="12"/>
      <c r="AB966" s="12"/>
      <c r="AC966" s="12"/>
      <c r="AD966" s="12"/>
      <c r="AE966" s="12"/>
      <c r="AF966" s="12"/>
    </row>
    <row r="967" spans="1:32">
      <c r="A967" s="8"/>
      <c r="B967" s="8"/>
      <c r="C967" s="8"/>
      <c r="D967" s="8"/>
      <c r="E967" s="8"/>
      <c r="F967" s="8"/>
      <c r="G967" s="8"/>
      <c r="H967" s="8"/>
      <c r="I967" s="8"/>
      <c r="J967" s="8"/>
      <c r="K967" s="8"/>
      <c r="L967" s="8"/>
      <c r="M967" s="8"/>
      <c r="N967" s="8"/>
      <c r="O967" s="8"/>
      <c r="P967" s="8"/>
      <c r="Q967" s="8"/>
      <c r="R967" s="8"/>
      <c r="S967" s="8"/>
      <c r="T967" s="8"/>
      <c r="U967" s="12"/>
      <c r="V967" s="12"/>
      <c r="W967" s="12"/>
      <c r="X967" s="12"/>
      <c r="Y967" s="12"/>
      <c r="Z967" s="12"/>
      <c r="AA967" s="12"/>
      <c r="AB967" s="12"/>
      <c r="AC967" s="12"/>
      <c r="AD967" s="12"/>
      <c r="AE967" s="12"/>
      <c r="AF967" s="12"/>
    </row>
    <row r="968" spans="1:32">
      <c r="A968" s="8"/>
      <c r="B968" s="8"/>
      <c r="C968" s="8"/>
      <c r="D968" s="8"/>
      <c r="E968" s="8"/>
      <c r="F968" s="8"/>
      <c r="G968" s="8"/>
      <c r="H968" s="8"/>
      <c r="I968" s="8"/>
      <c r="J968" s="8"/>
      <c r="K968" s="8"/>
      <c r="L968" s="8"/>
      <c r="M968" s="8"/>
      <c r="N968" s="8"/>
      <c r="O968" s="8"/>
      <c r="P968" s="8"/>
      <c r="Q968" s="8"/>
      <c r="R968" s="8"/>
      <c r="S968" s="8"/>
      <c r="T968" s="8"/>
      <c r="U968" s="12"/>
      <c r="V968" s="12"/>
      <c r="W968" s="12"/>
      <c r="X968" s="12"/>
      <c r="Y968" s="12"/>
      <c r="Z968" s="12"/>
      <c r="AA968" s="12"/>
      <c r="AB968" s="12"/>
      <c r="AC968" s="12"/>
      <c r="AD968" s="12"/>
      <c r="AE968" s="12"/>
      <c r="AF968" s="12"/>
    </row>
    <row r="969" spans="1:32">
      <c r="A969" s="8"/>
      <c r="B969" s="8"/>
      <c r="C969" s="8"/>
      <c r="D969" s="8"/>
      <c r="E969" s="8"/>
      <c r="F969" s="8"/>
      <c r="G969" s="8"/>
      <c r="H969" s="8"/>
      <c r="I969" s="8"/>
      <c r="J969" s="8"/>
      <c r="K969" s="8"/>
      <c r="L969" s="8"/>
      <c r="M969" s="8"/>
      <c r="N969" s="8"/>
      <c r="O969" s="8"/>
      <c r="P969" s="8"/>
      <c r="Q969" s="8"/>
      <c r="R969" s="8"/>
      <c r="S969" s="8"/>
      <c r="T969" s="8"/>
      <c r="U969" s="12"/>
      <c r="V969" s="12"/>
      <c r="W969" s="12"/>
      <c r="X969" s="12"/>
      <c r="Y969" s="12"/>
      <c r="Z969" s="12"/>
      <c r="AA969" s="12"/>
      <c r="AB969" s="12"/>
      <c r="AC969" s="12"/>
      <c r="AD969" s="12"/>
      <c r="AE969" s="12"/>
      <c r="AF969" s="12"/>
    </row>
    <row r="970" spans="1:32">
      <c r="A970" s="8"/>
      <c r="B970" s="8"/>
      <c r="C970" s="8"/>
      <c r="D970" s="8"/>
      <c r="E970" s="8"/>
      <c r="F970" s="8"/>
      <c r="G970" s="8"/>
      <c r="H970" s="8"/>
      <c r="I970" s="8"/>
      <c r="J970" s="8"/>
      <c r="K970" s="8"/>
      <c r="L970" s="8"/>
      <c r="M970" s="8"/>
      <c r="N970" s="8"/>
      <c r="O970" s="8"/>
      <c r="P970" s="8"/>
      <c r="Q970" s="8"/>
      <c r="R970" s="8"/>
      <c r="S970" s="8"/>
      <c r="T970" s="8"/>
      <c r="U970" s="12"/>
      <c r="V970" s="12"/>
      <c r="W970" s="12"/>
      <c r="X970" s="12"/>
      <c r="Y970" s="12"/>
      <c r="Z970" s="12"/>
      <c r="AA970" s="12"/>
      <c r="AB970" s="12"/>
      <c r="AC970" s="12"/>
      <c r="AD970" s="12"/>
      <c r="AE970" s="12"/>
      <c r="AF970" s="12"/>
    </row>
    <row r="971" spans="1:32">
      <c r="A971" s="8"/>
      <c r="B971" s="8"/>
      <c r="C971" s="8"/>
      <c r="D971" s="8"/>
      <c r="E971" s="8"/>
      <c r="F971" s="8"/>
      <c r="G971" s="8"/>
      <c r="H971" s="8"/>
      <c r="I971" s="8"/>
      <c r="J971" s="8"/>
      <c r="K971" s="8"/>
      <c r="L971" s="8"/>
      <c r="M971" s="8"/>
      <c r="N971" s="8"/>
      <c r="O971" s="8"/>
      <c r="P971" s="8"/>
      <c r="Q971" s="8"/>
      <c r="R971" s="8"/>
      <c r="S971" s="8"/>
      <c r="T971" s="8"/>
      <c r="U971" s="12"/>
      <c r="V971" s="12"/>
      <c r="W971" s="12"/>
      <c r="X971" s="12"/>
      <c r="Y971" s="12"/>
      <c r="Z971" s="12"/>
      <c r="AA971" s="12"/>
      <c r="AB971" s="12"/>
      <c r="AC971" s="12"/>
      <c r="AD971" s="12"/>
      <c r="AE971" s="12"/>
      <c r="AF971" s="12"/>
    </row>
    <row r="972" spans="1:32">
      <c r="A972" s="8"/>
      <c r="B972" s="8"/>
      <c r="C972" s="8"/>
      <c r="D972" s="8"/>
      <c r="E972" s="8"/>
      <c r="F972" s="8"/>
      <c r="G972" s="8"/>
      <c r="H972" s="8"/>
      <c r="I972" s="8"/>
      <c r="J972" s="8"/>
      <c r="K972" s="8"/>
      <c r="L972" s="8"/>
      <c r="M972" s="8"/>
      <c r="N972" s="8"/>
      <c r="O972" s="8"/>
      <c r="P972" s="8"/>
      <c r="Q972" s="8"/>
      <c r="R972" s="8"/>
      <c r="S972" s="8"/>
      <c r="T972" s="8"/>
      <c r="U972" s="12"/>
      <c r="V972" s="12"/>
      <c r="W972" s="12"/>
      <c r="X972" s="12"/>
      <c r="Y972" s="12"/>
      <c r="Z972" s="12"/>
      <c r="AA972" s="12"/>
      <c r="AB972" s="12"/>
      <c r="AC972" s="12"/>
      <c r="AD972" s="12"/>
      <c r="AE972" s="12"/>
      <c r="AF972" s="12"/>
    </row>
    <row r="973" spans="1:32">
      <c r="A973" s="8"/>
      <c r="B973" s="8"/>
      <c r="C973" s="8"/>
      <c r="D973" s="8"/>
      <c r="E973" s="8"/>
      <c r="F973" s="8"/>
      <c r="G973" s="8"/>
      <c r="H973" s="8"/>
      <c r="I973" s="8"/>
      <c r="J973" s="8"/>
      <c r="K973" s="8"/>
      <c r="L973" s="8"/>
      <c r="M973" s="8"/>
      <c r="N973" s="8"/>
      <c r="O973" s="8"/>
      <c r="P973" s="8"/>
      <c r="Q973" s="8"/>
      <c r="R973" s="8"/>
      <c r="S973" s="8"/>
      <c r="T973" s="8"/>
      <c r="U973" s="12"/>
      <c r="V973" s="12"/>
      <c r="W973" s="12"/>
      <c r="X973" s="12"/>
      <c r="Y973" s="12"/>
      <c r="Z973" s="12"/>
      <c r="AA973" s="12"/>
      <c r="AB973" s="12"/>
      <c r="AC973" s="12"/>
      <c r="AD973" s="12"/>
      <c r="AE973" s="12"/>
      <c r="AF973" s="12"/>
    </row>
    <row r="974" spans="1:32">
      <c r="A974" s="8"/>
      <c r="B974" s="8"/>
      <c r="C974" s="8"/>
      <c r="D974" s="8"/>
      <c r="E974" s="8"/>
      <c r="F974" s="8"/>
      <c r="G974" s="8"/>
      <c r="H974" s="8"/>
      <c r="I974" s="8"/>
      <c r="J974" s="8"/>
      <c r="K974" s="8"/>
      <c r="L974" s="8"/>
      <c r="M974" s="8"/>
      <c r="N974" s="8"/>
      <c r="O974" s="8"/>
      <c r="P974" s="8"/>
      <c r="Q974" s="8"/>
      <c r="R974" s="8"/>
      <c r="S974" s="8"/>
      <c r="T974" s="8"/>
      <c r="U974" s="12"/>
      <c r="V974" s="12"/>
      <c r="W974" s="12"/>
      <c r="X974" s="12"/>
      <c r="Y974" s="12"/>
      <c r="Z974" s="12"/>
      <c r="AA974" s="12"/>
      <c r="AB974" s="12"/>
      <c r="AC974" s="12"/>
      <c r="AD974" s="12"/>
      <c r="AE974" s="12"/>
      <c r="AF974" s="12"/>
    </row>
    <row r="975" spans="1:32">
      <c r="A975" s="8"/>
      <c r="B975" s="8"/>
      <c r="C975" s="8"/>
      <c r="D975" s="8"/>
      <c r="E975" s="8"/>
      <c r="F975" s="8"/>
      <c r="G975" s="8"/>
      <c r="H975" s="8"/>
      <c r="I975" s="8"/>
      <c r="J975" s="8"/>
      <c r="K975" s="8"/>
      <c r="L975" s="8"/>
      <c r="M975" s="8"/>
      <c r="N975" s="8"/>
      <c r="O975" s="8"/>
      <c r="P975" s="8"/>
      <c r="Q975" s="8"/>
      <c r="R975" s="8"/>
      <c r="S975" s="8"/>
      <c r="T975" s="8"/>
      <c r="U975" s="12"/>
      <c r="V975" s="12"/>
      <c r="W975" s="12"/>
      <c r="X975" s="12"/>
      <c r="Y975" s="12"/>
      <c r="Z975" s="12"/>
      <c r="AA975" s="12"/>
      <c r="AB975" s="12"/>
      <c r="AC975" s="12"/>
      <c r="AD975" s="12"/>
      <c r="AE975" s="12"/>
      <c r="AF975" s="12"/>
    </row>
    <row r="976" spans="1:32">
      <c r="A976" s="8"/>
      <c r="B976" s="8"/>
      <c r="C976" s="8"/>
      <c r="D976" s="8"/>
      <c r="E976" s="8"/>
      <c r="F976" s="8"/>
      <c r="G976" s="8"/>
      <c r="H976" s="8"/>
      <c r="I976" s="8"/>
      <c r="J976" s="8"/>
      <c r="K976" s="8"/>
      <c r="L976" s="8"/>
      <c r="M976" s="8"/>
      <c r="N976" s="8"/>
      <c r="O976" s="8"/>
      <c r="P976" s="8"/>
      <c r="Q976" s="8"/>
      <c r="R976" s="8"/>
      <c r="S976" s="8"/>
      <c r="T976" s="8"/>
      <c r="U976" s="12"/>
      <c r="V976" s="12"/>
      <c r="W976" s="12"/>
      <c r="X976" s="12"/>
      <c r="Y976" s="12"/>
      <c r="Z976" s="12"/>
      <c r="AA976" s="12"/>
      <c r="AB976" s="12"/>
      <c r="AC976" s="12"/>
      <c r="AD976" s="12"/>
      <c r="AE976" s="12"/>
      <c r="AF976" s="12"/>
    </row>
    <row r="977" spans="1:32">
      <c r="A977" s="8"/>
      <c r="B977" s="8"/>
      <c r="C977" s="8"/>
      <c r="D977" s="8"/>
      <c r="E977" s="8"/>
      <c r="F977" s="8"/>
      <c r="G977" s="8"/>
      <c r="H977" s="8"/>
      <c r="I977" s="8"/>
      <c r="J977" s="8"/>
      <c r="K977" s="8"/>
      <c r="L977" s="8"/>
      <c r="M977" s="8"/>
      <c r="N977" s="8"/>
      <c r="O977" s="8"/>
      <c r="P977" s="8"/>
      <c r="Q977" s="8"/>
      <c r="R977" s="8"/>
      <c r="S977" s="8"/>
      <c r="T977" s="8"/>
      <c r="U977" s="12"/>
      <c r="V977" s="12"/>
      <c r="W977" s="12"/>
      <c r="X977" s="12"/>
      <c r="Y977" s="12"/>
      <c r="Z977" s="12"/>
      <c r="AA977" s="12"/>
      <c r="AB977" s="12"/>
      <c r="AC977" s="12"/>
      <c r="AD977" s="12"/>
      <c r="AE977" s="12"/>
      <c r="AF977" s="12"/>
    </row>
    <row r="978" spans="1:32">
      <c r="A978" s="8"/>
      <c r="B978" s="8"/>
      <c r="C978" s="8"/>
      <c r="D978" s="8"/>
      <c r="E978" s="8"/>
      <c r="F978" s="8"/>
      <c r="G978" s="8"/>
      <c r="H978" s="8"/>
      <c r="I978" s="8"/>
      <c r="J978" s="8"/>
      <c r="K978" s="8"/>
      <c r="L978" s="8"/>
      <c r="M978" s="8"/>
      <c r="N978" s="8"/>
      <c r="O978" s="8"/>
      <c r="P978" s="8"/>
      <c r="Q978" s="8"/>
      <c r="R978" s="8"/>
      <c r="S978" s="8"/>
      <c r="T978" s="8"/>
      <c r="U978" s="12"/>
      <c r="V978" s="12"/>
      <c r="W978" s="12"/>
      <c r="X978" s="12"/>
      <c r="Y978" s="12"/>
      <c r="Z978" s="12"/>
      <c r="AA978" s="12"/>
      <c r="AB978" s="12"/>
      <c r="AC978" s="12"/>
      <c r="AD978" s="12"/>
      <c r="AE978" s="12"/>
      <c r="AF978" s="12"/>
    </row>
    <row r="979" spans="1:32">
      <c r="A979" s="8"/>
      <c r="B979" s="8"/>
      <c r="C979" s="8"/>
      <c r="D979" s="8"/>
      <c r="E979" s="8"/>
      <c r="F979" s="8"/>
      <c r="G979" s="8"/>
      <c r="H979" s="8"/>
      <c r="I979" s="8"/>
      <c r="J979" s="8"/>
      <c r="K979" s="8"/>
      <c r="L979" s="8"/>
      <c r="M979" s="8"/>
      <c r="N979" s="8"/>
      <c r="O979" s="8"/>
      <c r="P979" s="8"/>
      <c r="Q979" s="8"/>
      <c r="R979" s="8"/>
      <c r="S979" s="8"/>
      <c r="T979" s="8"/>
      <c r="U979" s="12"/>
      <c r="V979" s="12"/>
      <c r="W979" s="12"/>
      <c r="X979" s="12"/>
      <c r="Y979" s="12"/>
      <c r="Z979" s="12"/>
      <c r="AA979" s="12"/>
      <c r="AB979" s="12"/>
      <c r="AC979" s="12"/>
      <c r="AD979" s="12"/>
      <c r="AE979" s="12"/>
      <c r="AF979" s="12"/>
    </row>
    <row r="980" spans="1:32">
      <c r="A980" s="8"/>
      <c r="B980" s="8"/>
      <c r="C980" s="8"/>
      <c r="D980" s="8"/>
      <c r="E980" s="8"/>
      <c r="F980" s="8"/>
      <c r="G980" s="8"/>
      <c r="H980" s="8"/>
      <c r="I980" s="8"/>
      <c r="J980" s="8"/>
      <c r="K980" s="8"/>
      <c r="L980" s="8"/>
      <c r="M980" s="8"/>
      <c r="N980" s="8"/>
      <c r="O980" s="8"/>
      <c r="P980" s="8"/>
      <c r="Q980" s="8"/>
      <c r="R980" s="8"/>
      <c r="S980" s="8"/>
      <c r="T980" s="8"/>
      <c r="U980" s="12"/>
      <c r="V980" s="12"/>
      <c r="W980" s="12"/>
      <c r="X980" s="12"/>
      <c r="Y980" s="12"/>
      <c r="Z980" s="12"/>
      <c r="AA980" s="12"/>
      <c r="AB980" s="12"/>
      <c r="AC980" s="12"/>
      <c r="AD980" s="12"/>
      <c r="AE980" s="12"/>
      <c r="AF980" s="12"/>
    </row>
    <row r="981" spans="1:32">
      <c r="A981" s="8"/>
      <c r="B981" s="8"/>
      <c r="C981" s="8"/>
      <c r="D981" s="8"/>
      <c r="E981" s="8"/>
      <c r="F981" s="8"/>
      <c r="G981" s="8"/>
      <c r="H981" s="8"/>
      <c r="I981" s="8"/>
      <c r="J981" s="8"/>
      <c r="K981" s="8"/>
      <c r="L981" s="8"/>
      <c r="M981" s="8"/>
      <c r="N981" s="8"/>
      <c r="O981" s="8"/>
      <c r="P981" s="8"/>
      <c r="Q981" s="8"/>
      <c r="R981" s="8"/>
      <c r="S981" s="8"/>
      <c r="T981" s="8"/>
      <c r="U981" s="12"/>
      <c r="V981" s="12"/>
      <c r="W981" s="12"/>
      <c r="X981" s="12"/>
      <c r="Y981" s="12"/>
      <c r="Z981" s="12"/>
      <c r="AA981" s="12"/>
      <c r="AB981" s="12"/>
      <c r="AC981" s="12"/>
      <c r="AD981" s="12"/>
      <c r="AE981" s="12"/>
      <c r="AF981" s="12"/>
    </row>
    <row r="982" spans="1:32">
      <c r="A982" s="8"/>
      <c r="B982" s="8"/>
      <c r="C982" s="8"/>
      <c r="D982" s="8"/>
      <c r="E982" s="8"/>
      <c r="F982" s="8"/>
      <c r="G982" s="8"/>
      <c r="H982" s="8"/>
      <c r="I982" s="8"/>
      <c r="J982" s="8"/>
      <c r="K982" s="8"/>
      <c r="L982" s="8"/>
      <c r="M982" s="8"/>
      <c r="N982" s="8"/>
      <c r="O982" s="8"/>
      <c r="P982" s="8"/>
      <c r="Q982" s="8"/>
      <c r="R982" s="8"/>
      <c r="S982" s="8"/>
      <c r="T982" s="8"/>
      <c r="U982" s="12"/>
      <c r="V982" s="12"/>
      <c r="W982" s="12"/>
      <c r="X982" s="12"/>
      <c r="Y982" s="12"/>
      <c r="Z982" s="12"/>
      <c r="AA982" s="12"/>
      <c r="AB982" s="12"/>
      <c r="AC982" s="12"/>
      <c r="AD982" s="12"/>
      <c r="AE982" s="12"/>
      <c r="AF982" s="12"/>
    </row>
    <row r="983" spans="1:32">
      <c r="A983" s="8"/>
      <c r="B983" s="8"/>
      <c r="C983" s="8"/>
      <c r="D983" s="8"/>
      <c r="E983" s="8"/>
      <c r="F983" s="8"/>
      <c r="G983" s="8"/>
      <c r="H983" s="8"/>
      <c r="I983" s="8"/>
      <c r="J983" s="8"/>
      <c r="K983" s="8"/>
      <c r="L983" s="8"/>
      <c r="M983" s="8"/>
      <c r="N983" s="8"/>
      <c r="O983" s="8"/>
      <c r="P983" s="8"/>
      <c r="Q983" s="8"/>
      <c r="R983" s="8"/>
      <c r="S983" s="8"/>
      <c r="T983" s="8"/>
      <c r="U983" s="12"/>
      <c r="V983" s="12"/>
      <c r="W983" s="12"/>
      <c r="X983" s="12"/>
      <c r="Y983" s="12"/>
      <c r="Z983" s="12"/>
      <c r="AA983" s="12"/>
      <c r="AB983" s="12"/>
      <c r="AC983" s="12"/>
      <c r="AD983" s="12"/>
      <c r="AE983" s="12"/>
      <c r="AF983" s="12"/>
    </row>
    <row r="984" spans="1:32">
      <c r="A984" s="8"/>
      <c r="B984" s="8"/>
      <c r="C984" s="8"/>
      <c r="D984" s="8"/>
      <c r="E984" s="8"/>
      <c r="F984" s="8"/>
      <c r="G984" s="8"/>
      <c r="H984" s="8"/>
      <c r="I984" s="8"/>
      <c r="J984" s="8"/>
      <c r="K984" s="8"/>
      <c r="L984" s="8"/>
      <c r="M984" s="8"/>
      <c r="N984" s="8"/>
      <c r="O984" s="8"/>
      <c r="P984" s="8"/>
      <c r="Q984" s="8"/>
      <c r="R984" s="8"/>
      <c r="S984" s="8"/>
      <c r="T984" s="8"/>
      <c r="U984" s="12"/>
      <c r="V984" s="12"/>
      <c r="W984" s="12"/>
      <c r="X984" s="12"/>
      <c r="Y984" s="12"/>
      <c r="Z984" s="12"/>
      <c r="AA984" s="12"/>
      <c r="AB984" s="12"/>
      <c r="AC984" s="12"/>
      <c r="AD984" s="12"/>
      <c r="AE984" s="12"/>
      <c r="AF984" s="12"/>
    </row>
    <row r="985" spans="1:32">
      <c r="A985" s="8"/>
      <c r="B985" s="8"/>
      <c r="C985" s="8"/>
      <c r="D985" s="8"/>
      <c r="E985" s="8"/>
      <c r="F985" s="8"/>
      <c r="G985" s="8"/>
      <c r="H985" s="8"/>
      <c r="I985" s="8"/>
      <c r="J985" s="8"/>
      <c r="K985" s="8"/>
      <c r="L985" s="8"/>
      <c r="M985" s="8"/>
      <c r="N985" s="8"/>
      <c r="O985" s="8"/>
      <c r="P985" s="8"/>
      <c r="Q985" s="8"/>
      <c r="R985" s="8"/>
      <c r="S985" s="8"/>
      <c r="T985" s="8"/>
      <c r="U985" s="12"/>
      <c r="V985" s="12"/>
      <c r="W985" s="12"/>
      <c r="X985" s="12"/>
      <c r="Y985" s="12"/>
      <c r="Z985" s="12"/>
      <c r="AA985" s="12"/>
      <c r="AB985" s="12"/>
      <c r="AC985" s="12"/>
      <c r="AD985" s="12"/>
      <c r="AE985" s="12"/>
      <c r="AF985" s="12"/>
    </row>
    <row r="986" spans="1:32">
      <c r="A986" s="8"/>
      <c r="B986" s="8"/>
      <c r="C986" s="8"/>
      <c r="D986" s="8"/>
      <c r="E986" s="8"/>
      <c r="F986" s="8"/>
      <c r="G986" s="8"/>
      <c r="H986" s="8"/>
      <c r="I986" s="8"/>
      <c r="J986" s="8"/>
      <c r="K986" s="8"/>
      <c r="L986" s="8"/>
      <c r="M986" s="8"/>
      <c r="N986" s="8"/>
      <c r="O986" s="8"/>
      <c r="P986" s="8"/>
      <c r="Q986" s="8"/>
      <c r="R986" s="8"/>
      <c r="S986" s="8"/>
      <c r="T986" s="8"/>
      <c r="U986" s="12"/>
      <c r="V986" s="12"/>
      <c r="W986" s="12"/>
      <c r="X986" s="12"/>
      <c r="Y986" s="12"/>
      <c r="Z986" s="12"/>
      <c r="AA986" s="12"/>
      <c r="AB986" s="12"/>
      <c r="AC986" s="12"/>
      <c r="AD986" s="12"/>
      <c r="AE986" s="12"/>
      <c r="AF986" s="12"/>
    </row>
    <row r="987" spans="1:32">
      <c r="A987" s="8"/>
      <c r="B987" s="8"/>
      <c r="C987" s="8"/>
      <c r="D987" s="8"/>
      <c r="E987" s="8"/>
      <c r="F987" s="8"/>
      <c r="G987" s="8"/>
      <c r="H987" s="8"/>
      <c r="I987" s="8"/>
      <c r="J987" s="8"/>
      <c r="K987" s="8"/>
      <c r="L987" s="8"/>
      <c r="M987" s="8"/>
      <c r="N987" s="8"/>
      <c r="O987" s="8"/>
      <c r="P987" s="8"/>
      <c r="Q987" s="8"/>
      <c r="R987" s="8"/>
      <c r="S987" s="8"/>
      <c r="T987" s="8"/>
      <c r="U987" s="12"/>
      <c r="V987" s="12"/>
      <c r="W987" s="12"/>
      <c r="X987" s="12"/>
      <c r="Y987" s="12"/>
      <c r="Z987" s="12"/>
      <c r="AA987" s="12"/>
      <c r="AB987" s="12"/>
      <c r="AC987" s="12"/>
      <c r="AD987" s="12"/>
      <c r="AE987" s="12"/>
      <c r="AF987" s="12"/>
    </row>
    <row r="988" spans="1:32">
      <c r="A988" s="8"/>
      <c r="B988" s="8"/>
      <c r="C988" s="8"/>
      <c r="D988" s="8"/>
      <c r="E988" s="8"/>
      <c r="F988" s="8"/>
      <c r="G988" s="8"/>
      <c r="H988" s="8"/>
      <c r="I988" s="8"/>
      <c r="J988" s="8"/>
      <c r="K988" s="8"/>
      <c r="L988" s="8"/>
      <c r="M988" s="8"/>
      <c r="N988" s="8"/>
      <c r="O988" s="8"/>
      <c r="P988" s="8"/>
      <c r="Q988" s="8"/>
      <c r="R988" s="8"/>
      <c r="S988" s="8"/>
      <c r="T988" s="8"/>
      <c r="U988" s="12"/>
      <c r="V988" s="12"/>
      <c r="W988" s="12"/>
      <c r="X988" s="12"/>
      <c r="Y988" s="12"/>
      <c r="Z988" s="12"/>
      <c r="AA988" s="12"/>
      <c r="AB988" s="12"/>
      <c r="AC988" s="12"/>
      <c r="AD988" s="12"/>
      <c r="AE988" s="12"/>
      <c r="AF988" s="12"/>
    </row>
    <row r="989" spans="1:32">
      <c r="A989" s="8"/>
      <c r="B989" s="8"/>
      <c r="C989" s="8"/>
      <c r="D989" s="8"/>
      <c r="E989" s="8"/>
      <c r="F989" s="8"/>
      <c r="G989" s="8"/>
      <c r="H989" s="8"/>
      <c r="I989" s="8"/>
      <c r="J989" s="8"/>
      <c r="K989" s="8"/>
      <c r="L989" s="8"/>
      <c r="M989" s="8"/>
      <c r="N989" s="8"/>
      <c r="O989" s="8"/>
      <c r="P989" s="8"/>
      <c r="Q989" s="8"/>
      <c r="R989" s="8"/>
      <c r="S989" s="8"/>
      <c r="T989" s="8"/>
      <c r="U989" s="12"/>
      <c r="V989" s="12"/>
      <c r="W989" s="12"/>
      <c r="X989" s="12"/>
      <c r="Y989" s="12"/>
      <c r="Z989" s="12"/>
      <c r="AA989" s="12"/>
      <c r="AB989" s="12"/>
      <c r="AC989" s="12"/>
      <c r="AD989" s="12"/>
      <c r="AE989" s="12"/>
      <c r="AF989" s="12"/>
    </row>
    <row r="990" spans="1:32">
      <c r="A990" s="8"/>
      <c r="B990" s="8"/>
      <c r="C990" s="8"/>
      <c r="D990" s="8"/>
      <c r="E990" s="8"/>
      <c r="F990" s="8"/>
      <c r="G990" s="8"/>
      <c r="H990" s="8"/>
      <c r="I990" s="8"/>
      <c r="J990" s="8"/>
      <c r="K990" s="8"/>
      <c r="L990" s="8"/>
      <c r="M990" s="8"/>
      <c r="N990" s="8"/>
      <c r="O990" s="8"/>
      <c r="P990" s="8"/>
      <c r="Q990" s="8"/>
      <c r="R990" s="8"/>
      <c r="S990" s="8"/>
      <c r="T990" s="8"/>
      <c r="U990" s="12"/>
      <c r="V990" s="12"/>
      <c r="W990" s="12"/>
      <c r="X990" s="12"/>
      <c r="Y990" s="12"/>
      <c r="Z990" s="12"/>
      <c r="AA990" s="12"/>
      <c r="AB990" s="12"/>
      <c r="AC990" s="12"/>
      <c r="AD990" s="12"/>
      <c r="AE990" s="12"/>
      <c r="AF990" s="12"/>
    </row>
    <row r="991" spans="1:32">
      <c r="A991" s="8"/>
      <c r="B991" s="8"/>
      <c r="C991" s="8"/>
      <c r="D991" s="8"/>
      <c r="E991" s="8"/>
      <c r="F991" s="8"/>
      <c r="G991" s="8"/>
      <c r="H991" s="8"/>
      <c r="I991" s="8"/>
      <c r="J991" s="8"/>
      <c r="K991" s="8"/>
      <c r="L991" s="8"/>
      <c r="M991" s="8"/>
      <c r="N991" s="8"/>
      <c r="O991" s="8"/>
      <c r="P991" s="8"/>
      <c r="Q991" s="8"/>
      <c r="R991" s="8"/>
      <c r="S991" s="8"/>
      <c r="T991" s="8"/>
      <c r="U991" s="12"/>
      <c r="V991" s="12"/>
      <c r="W991" s="12"/>
      <c r="X991" s="12"/>
      <c r="Y991" s="12"/>
      <c r="Z991" s="12"/>
      <c r="AA991" s="12"/>
      <c r="AB991" s="12"/>
      <c r="AC991" s="12"/>
      <c r="AD991" s="12"/>
      <c r="AE991" s="12"/>
      <c r="AF991" s="12"/>
    </row>
    <row r="992" spans="1:32">
      <c r="A992" s="8"/>
      <c r="B992" s="8"/>
      <c r="C992" s="8"/>
      <c r="D992" s="8"/>
      <c r="E992" s="8"/>
      <c r="F992" s="8"/>
      <c r="G992" s="8"/>
      <c r="H992" s="8"/>
      <c r="I992" s="8"/>
      <c r="J992" s="8"/>
      <c r="K992" s="8"/>
      <c r="L992" s="8"/>
      <c r="M992" s="8"/>
      <c r="N992" s="8"/>
      <c r="O992" s="8"/>
      <c r="P992" s="8"/>
      <c r="Q992" s="8"/>
      <c r="R992" s="8"/>
      <c r="S992" s="8"/>
      <c r="T992" s="8"/>
      <c r="U992" s="12"/>
      <c r="V992" s="12"/>
      <c r="W992" s="12"/>
      <c r="X992" s="12"/>
      <c r="Y992" s="12"/>
      <c r="Z992" s="12"/>
      <c r="AA992" s="12"/>
      <c r="AB992" s="12"/>
      <c r="AC992" s="12"/>
      <c r="AD992" s="12"/>
      <c r="AE992" s="12"/>
      <c r="AF992" s="12"/>
    </row>
    <row r="993" spans="1:32">
      <c r="A993" s="8"/>
      <c r="B993" s="8"/>
      <c r="C993" s="8"/>
      <c r="D993" s="8"/>
      <c r="E993" s="8"/>
      <c r="F993" s="8"/>
      <c r="G993" s="8"/>
      <c r="H993" s="8"/>
      <c r="I993" s="8"/>
      <c r="J993" s="8"/>
      <c r="K993" s="8"/>
      <c r="L993" s="8"/>
      <c r="M993" s="8"/>
      <c r="N993" s="8"/>
      <c r="O993" s="8"/>
      <c r="P993" s="8"/>
      <c r="Q993" s="8"/>
      <c r="R993" s="8"/>
      <c r="S993" s="8"/>
      <c r="T993" s="8"/>
      <c r="U993" s="12"/>
      <c r="V993" s="12"/>
      <c r="W993" s="12"/>
      <c r="X993" s="12"/>
      <c r="Y993" s="12"/>
      <c r="Z993" s="12"/>
      <c r="AA993" s="12"/>
      <c r="AB993" s="12"/>
      <c r="AC993" s="12"/>
      <c r="AD993" s="12"/>
      <c r="AE993" s="12"/>
      <c r="AF993" s="12"/>
    </row>
    <row r="994" spans="1:32">
      <c r="A994" s="8"/>
      <c r="B994" s="8"/>
      <c r="C994" s="8"/>
      <c r="D994" s="8"/>
      <c r="E994" s="8"/>
      <c r="F994" s="8"/>
      <c r="G994" s="8"/>
      <c r="H994" s="8"/>
      <c r="I994" s="8"/>
      <c r="J994" s="8"/>
      <c r="K994" s="8"/>
      <c r="L994" s="8"/>
      <c r="M994" s="8"/>
      <c r="N994" s="8"/>
      <c r="O994" s="8"/>
      <c r="P994" s="8"/>
      <c r="Q994" s="8"/>
      <c r="R994" s="8"/>
      <c r="S994" s="8"/>
      <c r="T994" s="8"/>
      <c r="U994" s="12"/>
      <c r="V994" s="12"/>
      <c r="W994" s="12"/>
      <c r="X994" s="12"/>
      <c r="Y994" s="12"/>
      <c r="Z994" s="12"/>
      <c r="AA994" s="12"/>
      <c r="AB994" s="12"/>
      <c r="AC994" s="12"/>
      <c r="AD994" s="12"/>
      <c r="AE994" s="12"/>
      <c r="AF994" s="12"/>
    </row>
    <row r="995" spans="1:32">
      <c r="A995" s="8"/>
      <c r="B995" s="8"/>
      <c r="C995" s="8"/>
      <c r="D995" s="8"/>
      <c r="E995" s="8"/>
      <c r="F995" s="8"/>
      <c r="G995" s="8"/>
      <c r="H995" s="8"/>
      <c r="I995" s="8"/>
      <c r="J995" s="8"/>
      <c r="K995" s="8"/>
      <c r="L995" s="8"/>
      <c r="M995" s="8"/>
      <c r="N995" s="8"/>
      <c r="O995" s="8"/>
      <c r="P995" s="8"/>
      <c r="Q995" s="8"/>
      <c r="R995" s="8"/>
      <c r="S995" s="8"/>
      <c r="T995" s="8"/>
      <c r="U995" s="12"/>
      <c r="V995" s="12"/>
      <c r="W995" s="12"/>
      <c r="X995" s="12"/>
      <c r="Y995" s="12"/>
      <c r="Z995" s="12"/>
      <c r="AA995" s="12"/>
      <c r="AB995" s="12"/>
      <c r="AC995" s="12"/>
      <c r="AD995" s="12"/>
      <c r="AE995" s="12"/>
      <c r="AF995" s="12"/>
    </row>
    <row r="996" spans="1:32">
      <c r="A996" s="8"/>
      <c r="B996" s="8"/>
      <c r="C996" s="8"/>
      <c r="D996" s="8"/>
      <c r="E996" s="8"/>
      <c r="F996" s="8"/>
      <c r="G996" s="8"/>
      <c r="H996" s="8"/>
      <c r="I996" s="8"/>
      <c r="J996" s="8"/>
      <c r="K996" s="8"/>
      <c r="L996" s="8"/>
      <c r="M996" s="8"/>
      <c r="N996" s="8"/>
      <c r="O996" s="8"/>
      <c r="P996" s="8"/>
      <c r="Q996" s="8"/>
      <c r="R996" s="8"/>
      <c r="S996" s="8"/>
      <c r="T996" s="8"/>
      <c r="U996" s="12"/>
      <c r="V996" s="12"/>
      <c r="W996" s="12"/>
      <c r="X996" s="12"/>
      <c r="Y996" s="12"/>
      <c r="Z996" s="12"/>
      <c r="AA996" s="12"/>
      <c r="AB996" s="12"/>
      <c r="AC996" s="12"/>
      <c r="AD996" s="12"/>
      <c r="AE996" s="12"/>
      <c r="AF996" s="12"/>
    </row>
    <row r="997" spans="1:32">
      <c r="A997" s="8"/>
      <c r="B997" s="8"/>
      <c r="C997" s="8"/>
      <c r="D997" s="8"/>
      <c r="E997" s="8"/>
      <c r="F997" s="8"/>
      <c r="G997" s="8"/>
      <c r="H997" s="8"/>
      <c r="I997" s="8"/>
      <c r="J997" s="8"/>
      <c r="K997" s="8"/>
      <c r="L997" s="8"/>
      <c r="M997" s="8"/>
      <c r="N997" s="8"/>
      <c r="O997" s="8"/>
      <c r="P997" s="8"/>
      <c r="Q997" s="8"/>
      <c r="R997" s="8"/>
      <c r="S997" s="8"/>
      <c r="T997" s="8"/>
      <c r="U997" s="12"/>
      <c r="V997" s="12"/>
      <c r="W997" s="12"/>
      <c r="X997" s="12"/>
      <c r="Y997" s="12"/>
      <c r="Z997" s="12"/>
      <c r="AA997" s="12"/>
      <c r="AB997" s="12"/>
      <c r="AC997" s="12"/>
      <c r="AD997" s="12"/>
      <c r="AE997" s="12"/>
      <c r="AF997" s="12"/>
    </row>
  </sheetData>
  <customSheetViews>
    <customSheetView guid="{8E5FD777-F8E9-423F-B70C-DD1B63F38FB2}" filter="1" showAutoFilter="1">
      <pageMargins left="0.7" right="0.7" top="0.75" bottom="0.75" header="0.3" footer="0.3"/>
      <autoFilter ref="A1:T134" xr:uid="{3F945073-E377-4AC9-9580-018C972D4693}">
        <filterColumn colId="3">
          <filters>
            <filter val="Physics"/>
          </filters>
        </filterColumn>
      </autoFilter>
    </customSheetView>
  </customSheetView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AT991"/>
  <sheetViews>
    <sheetView workbookViewId="0">
      <pane ySplit="1" topLeftCell="A2" activePane="bottomLeft" state="frozen"/>
      <selection pane="bottomLeft" activeCell="B3" sqref="B3"/>
    </sheetView>
  </sheetViews>
  <sheetFormatPr defaultColWidth="12.6640625" defaultRowHeight="15.75" customHeight="1"/>
  <cols>
    <col min="1" max="1" width="10.77734375" customWidth="1"/>
    <col min="2" max="2" width="9.6640625" customWidth="1"/>
    <col min="3" max="3" width="10.109375" customWidth="1"/>
    <col min="4" max="4" width="10" customWidth="1"/>
    <col min="5" max="5" width="20.77734375" customWidth="1"/>
    <col min="6" max="6" width="26.88671875" customWidth="1"/>
    <col min="7" max="7" width="13.33203125" customWidth="1"/>
    <col min="8" max="8" width="37.21875" customWidth="1"/>
    <col min="10" max="10" width="38.77734375" customWidth="1"/>
    <col min="12" max="12" width="38.6640625" customWidth="1"/>
    <col min="14" max="14" width="38.109375" customWidth="1"/>
    <col min="16" max="16" width="38.77734375" customWidth="1"/>
    <col min="18" max="18" width="44.21875" customWidth="1"/>
    <col min="20" max="20" width="38" customWidth="1"/>
  </cols>
  <sheetData>
    <row r="1" spans="1:46" ht="39.6">
      <c r="A1" s="119" t="s">
        <v>0</v>
      </c>
      <c r="B1" s="119" t="s">
        <v>1</v>
      </c>
      <c r="C1" s="119" t="s">
        <v>2</v>
      </c>
      <c r="D1" s="119" t="s">
        <v>3</v>
      </c>
      <c r="E1" s="119" t="s">
        <v>4</v>
      </c>
      <c r="F1" s="119" t="s">
        <v>5</v>
      </c>
      <c r="G1" s="119" t="s">
        <v>6</v>
      </c>
      <c r="H1" s="120" t="s">
        <v>7</v>
      </c>
      <c r="I1" s="10" t="s">
        <v>8</v>
      </c>
      <c r="J1" s="10" t="s">
        <v>9</v>
      </c>
      <c r="K1" s="10" t="s">
        <v>10</v>
      </c>
      <c r="L1" s="10" t="s">
        <v>11</v>
      </c>
      <c r="M1" s="10" t="s">
        <v>12</v>
      </c>
      <c r="N1" s="10" t="s">
        <v>13</v>
      </c>
      <c r="O1" s="10" t="s">
        <v>14</v>
      </c>
      <c r="P1" s="10" t="s">
        <v>15</v>
      </c>
      <c r="Q1" s="10" t="s">
        <v>16</v>
      </c>
      <c r="R1" s="10" t="s">
        <v>17</v>
      </c>
      <c r="S1" s="10" t="s">
        <v>18</v>
      </c>
      <c r="T1" s="10" t="s">
        <v>19</v>
      </c>
      <c r="U1" s="121" t="s">
        <v>20</v>
      </c>
      <c r="V1" s="121" t="s">
        <v>21</v>
      </c>
      <c r="W1" s="121" t="s">
        <v>22</v>
      </c>
      <c r="X1" s="121" t="s">
        <v>23</v>
      </c>
      <c r="Y1" s="121" t="s">
        <v>24</v>
      </c>
      <c r="Z1" s="121" t="s">
        <v>25</v>
      </c>
      <c r="AA1" s="121" t="s">
        <v>26</v>
      </c>
      <c r="AB1" s="122" t="s">
        <v>27</v>
      </c>
      <c r="AC1" s="121" t="s">
        <v>28</v>
      </c>
      <c r="AD1" s="121" t="s">
        <v>29</v>
      </c>
      <c r="AE1" s="121" t="s">
        <v>30</v>
      </c>
      <c r="AF1" s="122" t="s">
        <v>415</v>
      </c>
      <c r="AG1" s="6" t="s">
        <v>32</v>
      </c>
      <c r="AH1" s="7" t="s">
        <v>33</v>
      </c>
      <c r="AI1" s="6" t="s">
        <v>34</v>
      </c>
      <c r="AJ1" s="7" t="s">
        <v>35</v>
      </c>
      <c r="AK1" s="6" t="s">
        <v>36</v>
      </c>
      <c r="AL1" s="7" t="s">
        <v>37</v>
      </c>
      <c r="AM1" s="6" t="s">
        <v>38</v>
      </c>
      <c r="AN1" s="7" t="s">
        <v>39</v>
      </c>
      <c r="AO1" s="6" t="s">
        <v>40</v>
      </c>
      <c r="AP1" s="7" t="s">
        <v>41</v>
      </c>
      <c r="AQ1" s="6" t="s">
        <v>42</v>
      </c>
      <c r="AR1" s="7" t="s">
        <v>43</v>
      </c>
      <c r="AS1" s="6" t="s">
        <v>44</v>
      </c>
      <c r="AT1" s="7" t="s">
        <v>45</v>
      </c>
    </row>
    <row r="2" spans="1:46" ht="52.8">
      <c r="A2" s="8" t="s">
        <v>247</v>
      </c>
      <c r="B2" s="8" t="s">
        <v>47</v>
      </c>
      <c r="C2" s="8" t="s">
        <v>731</v>
      </c>
      <c r="D2" s="8" t="s">
        <v>1406</v>
      </c>
      <c r="E2" s="8" t="s">
        <v>2013</v>
      </c>
      <c r="F2" s="8" t="s">
        <v>2014</v>
      </c>
      <c r="G2" s="8" t="s">
        <v>2015</v>
      </c>
      <c r="H2" s="8" t="str">
        <f ca="1">IFERROR(__xludf.DUMMYFUNCTION("VLOOKUP(G2, IMPORTRANGE(""https://docs.google.com/spreadsheets/d/14deopnvwcrKtEGCKuYXdUHJbeLDZlkiSSWWT0g7x2pM/edit#gid=849066331"", ""LU List Science (Filter)!A:B""), 2, FALSE)"),"Definition of Crop, Crop Production, and Agriculture")</f>
        <v>Definition of Crop, Crop Production, and Agriculture</v>
      </c>
      <c r="I2" s="10" t="str">
        <f t="shared" ref="I2:I130" si="0">G2 &amp; ".001"</f>
        <v>LU005614.001</v>
      </c>
      <c r="J2" s="10" t="str">
        <f ca="1">IFERROR(__xludf.DUMMYFUNCTION("VLOOKUP(I2, IMPORTRANGE(""https://docs.google.com/spreadsheets/d/1yDAaXNsi4Mr5FtRQL4tbmSdIzhx6_m4wkOD7IG-k_eo/edit#gid=1336395716"", ""Science!M:N""), 2, FALSE)"),"Recall the precise definitions of ""crop,"" ""crop production,"" and ""agriculture,"" and provide a brief explanation of their interrelationship.")</f>
        <v>Recall the precise definitions of "crop," "crop production," and "agriculture," and provide a brief explanation of their interrelationship.</v>
      </c>
      <c r="K2" s="10" t="str">
        <f t="shared" ref="K2:K22" si="1">G2 &amp; ".002"</f>
        <v>LU005614.002</v>
      </c>
      <c r="L2" s="10" t="str">
        <f ca="1">IFERROR(__xludf.DUMMYFUNCTION("VLOOKUP(K2, IMPORTRANGE(""https://docs.google.com/spreadsheets/d/1yDAaXNsi4Mr5FtRQL4tbmSdIzhx6_m4wkOD7IG-k_eo/edit#gid=1336395716"", ""Science!M:N""), 2, FALSE)"),"Explain how crop production is a subset of the broader concept of agriculture, detailing how crops are systematically cultivated as part of agricultural practices.")</f>
        <v>Explain how crop production is a subset of the broader concept of agriculture, detailing how crops are systematically cultivated as part of agricultural practices.</v>
      </c>
      <c r="M2" s="10" t="str">
        <f t="shared" ref="M2:M130" si="2">G2 &amp; ".003"</f>
        <v>LU005614.003</v>
      </c>
      <c r="N2" s="10" t="str">
        <f ca="1">IFERROR(__xludf.DUMMYFUNCTION("VLOOKUP(M2, IMPORTRANGE(""https://docs.google.com/spreadsheets/d/1yDAaXNsi4Mr5FtRQL4tbmSdIzhx6_m4wkOD7IG-k_eo/edit#gid=1336395716"", ""Science!M:N""), 2, FALSE)"),"Apply your understanding of crop production by describing the step-by-step process involved in cultivating a specific crop.")</f>
        <v>Apply your understanding of crop production by describing the step-by-step process involved in cultivating a specific crop.</v>
      </c>
      <c r="O2" s="10" t="str">
        <f t="shared" ref="O2:O130" si="3">G2 &amp; ".004"</f>
        <v>LU005614.004</v>
      </c>
      <c r="P2" s="10" t="str">
        <f ca="1">IFERROR(__xludf.DUMMYFUNCTION("VLOOKUP(O2, IMPORTRANGE(""https://docs.google.com/spreadsheets/d/1yDAaXNsi4Mr5FtRQL4tbmSdIzhx6_m4wkOD7IG-k_eo/edit#gid=1336395716"", ""Science!M:N""), 2, FALSE)"),"Analyze the significance of agriculture in relation to food security, societal development, and economic growth, focusing on the integral role of crop production.")</f>
        <v>Analyze the significance of agriculture in relation to food security, societal development, and economic growth, focusing on the integral role of crop production.</v>
      </c>
      <c r="Q2" s="10" t="str">
        <f t="shared" ref="Q2:Q130" si="4">G2 &amp; ".005"</f>
        <v>LU005614.005</v>
      </c>
      <c r="R2" s="10" t="str">
        <f ca="1">IFERROR(__xludf.DUMMYFUNCTION("VLOOKUP(Q2, IMPORTRANGE(""https://docs.google.com/spreadsheets/d/1yDAaXNsi4Mr5FtRQL4tbmSdIzhx6_m4wkOD7IG-k_eo/edit#gid=1336395716"", ""Science!M:N""), 2, FALSE)"),"Evaluate the effectiveness of modern agricultural techniques on crop production, weighing their advantages against potential environmental and social concerns.")</f>
        <v>Evaluate the effectiveness of modern agricultural techniques on crop production, weighing their advantages against potential environmental and social concerns.</v>
      </c>
      <c r="S2" s="10" t="str">
        <f t="shared" ref="S2:S130" si="5">G2 &amp; ".006"</f>
        <v>LU005614.006</v>
      </c>
      <c r="T2" s="10" t="str">
        <f ca="1">IFERROR(__xludf.DUMMYFUNCTION("VLOOKUP(S2, IMPORTRANGE(""https://docs.google.com/spreadsheets/d/1yDAaXNsi4Mr5FtRQL4tbmSdIzhx6_m4wkOD7IG-k_eo/edit#gid=1336395716"", ""Science!M:N""), 2, FALSE)"),"#N/A")</f>
        <v>#N/A</v>
      </c>
      <c r="U2" s="116">
        <f ca="1">IFERROR(__xludf.DUMMYFUNCTION("ArrayFormula(VLOOKUP(G2, IMPORTRANGE(""https://docs.google.com/spreadsheets/d/1p7R4vtkWt5VOBim4ltsDG9KTzSjrtKXsMtQGXPHyND0/edit#gid=795171502"", ""'Filter 30_05_2024'!A1:M2000""), {2, 3, 4, 5,6,7,8,9,10,11,12,13}, 0))"),4)</f>
        <v>4</v>
      </c>
      <c r="V2" s="116">
        <f ca="1">IFERROR(__xludf.DUMMYFUNCTION("""COMPUTED_VALUE"""),6)</f>
        <v>6</v>
      </c>
      <c r="W2" s="116">
        <f ca="1">IFERROR(__xludf.DUMMYFUNCTION("""COMPUTED_VALUE"""),2)</f>
        <v>2</v>
      </c>
      <c r="X2" s="116">
        <f ca="1">IFERROR(__xludf.DUMMYFUNCTION("""COMPUTED_VALUE"""),12)</f>
        <v>12</v>
      </c>
      <c r="Y2" s="116">
        <f ca="1">IFERROR(__xludf.DUMMYFUNCTION("""COMPUTED_VALUE"""),4)</f>
        <v>4</v>
      </c>
      <c r="Z2" s="12">
        <f ca="1">IFERROR(__xludf.DUMMYFUNCTION("""COMPUTED_VALUE"""),3)</f>
        <v>3</v>
      </c>
      <c r="AA2" s="12">
        <f ca="1">IFERROR(__xludf.DUMMYFUNCTION("""COMPUTED_VALUE"""),1)</f>
        <v>1</v>
      </c>
      <c r="AB2" s="12">
        <f ca="1">IFERROR(__xludf.DUMMYFUNCTION("""COMPUTED_VALUE"""),8)</f>
        <v>8</v>
      </c>
      <c r="AC2" s="12"/>
      <c r="AD2" s="12"/>
      <c r="AE2" s="12"/>
      <c r="AF2" s="12"/>
      <c r="AG2" s="13" t="str">
        <f ca="1">IFERROR(__xludf.DUMMYFUNCTION("ArrayFormula(VLOOKUP(G2, IMPORTRANGE(""https://docs.google.com/spreadsheets/d/1Co934fvtviyaRiMsrIlT05Jaq7iiYq07aLvRr35KA48/edit?gid=173865642#gid=173865642"", ""'G8_Sci_Pri_LU'!G2:V2000""), {3, 4, 5, 6, 7, 8, 9, 10, 11, 12, 13, 14, 15, 16}, 0))"),"")</f>
        <v/>
      </c>
      <c r="AH2" s="13"/>
      <c r="AI2" s="13"/>
      <c r="AJ2" s="13"/>
      <c r="AK2" s="13"/>
      <c r="AL2" s="13"/>
      <c r="AM2" s="13"/>
      <c r="AN2" s="13"/>
      <c r="AO2" s="13"/>
      <c r="AP2" s="13"/>
      <c r="AQ2" s="13"/>
      <c r="AR2" s="13"/>
      <c r="AS2" s="13"/>
      <c r="AT2" s="13"/>
    </row>
    <row r="3" spans="1:46" ht="66">
      <c r="A3" s="8" t="s">
        <v>247</v>
      </c>
      <c r="B3" s="8" t="s">
        <v>47</v>
      </c>
      <c r="C3" s="8" t="s">
        <v>731</v>
      </c>
      <c r="D3" s="8" t="s">
        <v>1406</v>
      </c>
      <c r="E3" s="8" t="s">
        <v>2013</v>
      </c>
      <c r="F3" s="8" t="s">
        <v>2014</v>
      </c>
      <c r="G3" s="8" t="s">
        <v>2016</v>
      </c>
      <c r="H3" s="8" t="str">
        <f ca="1">IFERROR(__xludf.DUMMYFUNCTION("VLOOKUP(G3, IMPORTRANGE(""https://docs.google.com/spreadsheets/d/14deopnvwcrKtEGCKuYXdUHJbeLDZlkiSSWWT0g7x2pM/edit#gid=849066331"", ""LU List Science (Filter)!A:B""), 2, FALSE)"),"Definition of Broad Cropping Patterns in India
")</f>
        <v xml:space="preserve">Definition of Broad Cropping Patterns in India
</v>
      </c>
      <c r="I3" s="10" t="str">
        <f t="shared" si="0"/>
        <v>LU005615.001</v>
      </c>
      <c r="J3" s="10" t="str">
        <f ca="1">IFERROR(__xludf.DUMMYFUNCTION("VLOOKUP(I3, IMPORTRANGE(""https://docs.google.com/spreadsheets/d/1yDAaXNsi4Mr5FtRQL4tbmSdIzhx6_m4wkOD7IG-k_eo/edit#gid=1336395716"", ""Science!M:N""), 2, FALSE)"),"Recall and define the terms ""Rabi crops"" and ""Kharif crops,"" and accurately identify their respective cropping seasons.")</f>
        <v>Recall and define the terms "Rabi crops" and "Kharif crops," and accurately identify their respective cropping seasons.</v>
      </c>
      <c r="K3" s="10" t="str">
        <f t="shared" si="1"/>
        <v>LU005615.002</v>
      </c>
      <c r="L3" s="10" t="str">
        <f ca="1">IFERROR(__xludf.DUMMYFUNCTION("VLOOKUP(K3, IMPORTRANGE(""https://docs.google.com/spreadsheets/d/1yDAaXNsi4Mr5FtRQL4tbmSdIzhx6_m4wkOD7IG-k_eo/edit#gid=1336395716"", ""Science!M:N""), 2, FALSE)"),"Explain the rationale behind categorizing crops into Rabi and Kharif patterns based on the monsoon cycle, and describe the climatic factors that influence their cultivation.")</f>
        <v>Explain the rationale behind categorizing crops into Rabi and Kharif patterns based on the monsoon cycle, and describe the climatic factors that influence their cultivation.</v>
      </c>
      <c r="M3" s="10" t="str">
        <f t="shared" si="2"/>
        <v>LU005615.003</v>
      </c>
      <c r="N3" s="10" t="str">
        <f ca="1">IFERROR(__xludf.DUMMYFUNCTION("VLOOKUP(M3, IMPORTRANGE(""https://docs.google.com/spreadsheets/d/1yDAaXNsi4Mr5FtRQL4tbmSdIzhx6_m4wkOD7IG-k_eo/edit#gid=1336395716"", ""Science!M:N""), 2, FALSE)"),"Given a set of crops, classify them into Rabi or Kharif categories based on their growth requirements and suitable planting seasons.")</f>
        <v>Given a set of crops, classify them into Rabi or Kharif categories based on their growth requirements and suitable planting seasons.</v>
      </c>
      <c r="O3" s="10" t="str">
        <f t="shared" si="3"/>
        <v>LU005615.004</v>
      </c>
      <c r="P3" s="10" t="str">
        <f ca="1">IFERROR(__xludf.DUMMYFUNCTION("VLOOKUP(O3, IMPORTRANGE(""https://docs.google.com/spreadsheets/d/1yDAaXNsi4Mr5FtRQL4tbmSdIzhx6_m4wkOD7IG-k_eo/edit#gid=1336395716"", ""Science!M:N""), 2, FALSE)"),"Compare and contrast the differences between Rabi and Kharif crops in terms of their growth periods, temperature preferences, and water requirements.")</f>
        <v>Compare and contrast the differences between Rabi and Kharif crops in terms of their growth periods, temperature preferences, and water requirements.</v>
      </c>
      <c r="Q3" s="10" t="str">
        <f t="shared" si="4"/>
        <v>LU005615.005</v>
      </c>
      <c r="R3" s="10" t="str">
        <f ca="1">IFERROR(__xludf.DUMMYFUNCTION("VLOOKUP(Q3, IMPORTRANGE(""https://docs.google.com/spreadsheets/d/1yDAaXNsi4Mr5FtRQL4tbmSdIzhx6_m4wkOD7IG-k_eo/edit#gid=1336395716"", ""Science!M:N""), 2, FALSE)"),"Evaluate the impact of a region's dependency on either Rabi or Kharif crops in terms of its resilience to climate variability and its contribution to food security.")</f>
        <v>Evaluate the impact of a region's dependency on either Rabi or Kharif crops in terms of its resilience to climate variability and its contribution to food security.</v>
      </c>
      <c r="S3" s="10" t="str">
        <f t="shared" si="5"/>
        <v>LU005615.006</v>
      </c>
      <c r="T3" s="10" t="str">
        <f ca="1">IFERROR(__xludf.DUMMYFUNCTION("VLOOKUP(S3, IMPORTRANGE(""https://docs.google.com/spreadsheets/d/1yDAaXNsi4Mr5FtRQL4tbmSdIzhx6_m4wkOD7IG-k_eo/edit#gid=1336395716"", ""Science!M:N""), 2, FALSE)"),"Devise an experiment to investigate the effects of altering planting times on the growth and yield of a specific Rabi or Kharif crop, and formulate a hypothesis predicting the outcomes.")</f>
        <v>Devise an experiment to investigate the effects of altering planting times on the growth and yield of a specific Rabi or Kharif crop, and formulate a hypothesis predicting the outcomes.</v>
      </c>
      <c r="U3" s="116">
        <f ca="1">IFERROR(__xludf.DUMMYFUNCTION("ArrayFormula(VLOOKUP(G3, IMPORTRANGE(""https://docs.google.com/spreadsheets/d/1p7R4vtkWt5VOBim4ltsDG9KTzSjrtKXsMtQGXPHyND0/edit#gid=795171502"", ""'Filter 30_05_2024'!A1:M2000""), {2, 3, 4, 5,6,7,8,9,10,11,12,13}, 0))"),4)</f>
        <v>4</v>
      </c>
      <c r="V3" s="116">
        <f ca="1">IFERROR(__xludf.DUMMYFUNCTION("""COMPUTED_VALUE"""),6)</f>
        <v>6</v>
      </c>
      <c r="W3" s="116">
        <f ca="1">IFERROR(__xludf.DUMMYFUNCTION("""COMPUTED_VALUE"""),2)</f>
        <v>2</v>
      </c>
      <c r="X3" s="116">
        <f ca="1">IFERROR(__xludf.DUMMYFUNCTION("""COMPUTED_VALUE"""),12)</f>
        <v>12</v>
      </c>
      <c r="Y3" s="116">
        <f ca="1">IFERROR(__xludf.DUMMYFUNCTION("""COMPUTED_VALUE"""),4)</f>
        <v>4</v>
      </c>
      <c r="Z3" s="12">
        <f ca="1">IFERROR(__xludf.DUMMYFUNCTION("""COMPUTED_VALUE"""),3)</f>
        <v>3</v>
      </c>
      <c r="AA3" s="12">
        <f ca="1">IFERROR(__xludf.DUMMYFUNCTION("""COMPUTED_VALUE"""),1)</f>
        <v>1</v>
      </c>
      <c r="AB3" s="12">
        <f ca="1">IFERROR(__xludf.DUMMYFUNCTION("""COMPUTED_VALUE"""),8)</f>
        <v>8</v>
      </c>
      <c r="AC3" s="12"/>
      <c r="AD3" s="12"/>
      <c r="AE3" s="12"/>
      <c r="AF3" s="12"/>
      <c r="AG3" s="13" t="str">
        <f ca="1">IFERROR(__xludf.DUMMYFUNCTION("ArrayFormula(VLOOKUP(G3, IMPORTRANGE(""https://docs.google.com/spreadsheets/d/1Co934fvtviyaRiMsrIlT05Jaq7iiYq07aLvRr35KA48/edit?gid=173865642#gid=173865642"", ""'G8_Sci_Pri_LU'!G2:V2000""), {3, 4, 5, 6, 7, 8, 9, 10, 11, 12, 13, 14, 15, 16}, 0))"),"LU005614")</f>
        <v>LU005614</v>
      </c>
      <c r="AH3" s="13" t="str">
        <f ca="1">IFERROR(__xludf.DUMMYFUNCTION("""COMPUTED_VALUE"""),"Definition of Crop, Crop Production, and Agriculture")</f>
        <v>Definition of Crop, Crop Production, and Agriculture</v>
      </c>
      <c r="AI3" s="13" t="str">
        <f ca="1">IFERROR(__xludf.DUMMYFUNCTION("""COMPUTED_VALUE"""),"LU005067")</f>
        <v>LU005067</v>
      </c>
      <c r="AJ3" s="13" t="str">
        <f ca="1">IFERROR(__xludf.DUMMYFUNCTION("""COMPUTED_VALUE"""),"Variety of crops grown in India")</f>
        <v>Variety of crops grown in India</v>
      </c>
      <c r="AK3" s="13"/>
      <c r="AL3" s="13"/>
      <c r="AM3" s="13"/>
      <c r="AN3" s="13"/>
      <c r="AO3" s="13"/>
      <c r="AP3" s="13"/>
      <c r="AQ3" s="13"/>
      <c r="AR3" s="13"/>
      <c r="AS3" s="13"/>
      <c r="AT3" s="13"/>
    </row>
    <row r="4" spans="1:46" ht="52.8">
      <c r="A4" s="8" t="s">
        <v>247</v>
      </c>
      <c r="B4" s="8" t="s">
        <v>47</v>
      </c>
      <c r="C4" s="8" t="s">
        <v>731</v>
      </c>
      <c r="D4" s="8" t="s">
        <v>1406</v>
      </c>
      <c r="E4" s="8" t="s">
        <v>2013</v>
      </c>
      <c r="F4" s="8" t="s">
        <v>2017</v>
      </c>
      <c r="G4" s="8" t="s">
        <v>2018</v>
      </c>
      <c r="H4" s="8" t="str">
        <f ca="1">IFERROR(__xludf.DUMMYFUNCTION("VLOOKUP(G4, IMPORTRANGE(""https://docs.google.com/spreadsheets/d/14deopnvwcrKtEGCKuYXdUHJbeLDZlkiSSWWT0g7x2pM/edit#gid=849066331"", ""LU List Science (Filter)!A:B""), 2, FALSE)"),"Soil preparation for crop production")</f>
        <v>Soil preparation for crop production</v>
      </c>
      <c r="I4" s="10" t="str">
        <f t="shared" si="0"/>
        <v>LU005616.001</v>
      </c>
      <c r="J4" s="10" t="str">
        <f ca="1">IFERROR(__xludf.DUMMYFUNCTION("VLOOKUP(I4, IMPORTRANGE(""https://docs.google.com/spreadsheets/d/1yDAaXNsi4Mr5FtRQL4tbmSdIzhx6_m4wkOD7IG-k_eo/edit#gid=1336395716"", ""Science!M:N""), 2, FALSE)"),"Students will identify the steps involved in preparing soil for crop production.")</f>
        <v>Students will identify the steps involved in preparing soil for crop production.</v>
      </c>
      <c r="K4" s="10" t="str">
        <f t="shared" si="1"/>
        <v>LU005616.002</v>
      </c>
      <c r="L4" s="10" t="str">
        <f ca="1">IFERROR(__xludf.DUMMYFUNCTION("VLOOKUP(K4, IMPORTRANGE(""https://docs.google.com/spreadsheets/d/1yDAaXNsi4Mr5FtRQL4tbmSdIzhx6_m4wkOD7IG-k_eo/edit#gid=1336395716"", ""Science!M:N""), 2, FALSE)"),"Students will summarize the reasons for each step in the soil preparation process.")</f>
        <v>Students will summarize the reasons for each step in the soil preparation process.</v>
      </c>
      <c r="M4" s="10" t="str">
        <f t="shared" si="2"/>
        <v>LU005616.003</v>
      </c>
      <c r="N4" s="10" t="str">
        <f ca="1">IFERROR(__xludf.DUMMYFUNCTION("VLOOKUP(M4, IMPORTRANGE(""https://docs.google.com/spreadsheets/d/1yDAaXNsi4Mr5FtRQL4tbmSdIzhx6_m4wkOD7IG-k_eo/edit#gid=1336395716"", ""Science!M:N""), 2, FALSE)"),"Students will demonstrate the correct order of operations in soil preparation on a model farm plot.")</f>
        <v>Students will demonstrate the correct order of operations in soil preparation on a model farm plot.</v>
      </c>
      <c r="O4" s="10" t="str">
        <f t="shared" si="3"/>
        <v>LU005616.004</v>
      </c>
      <c r="P4" s="10" t="str">
        <f ca="1">IFERROR(__xludf.DUMMYFUNCTION("VLOOKUP(O4, IMPORTRANGE(""https://docs.google.com/spreadsheets/d/1yDAaXNsi4Mr5FtRQL4tbmSdIzhx6_m4wkOD7IG-k_eo/edit#gid=1336395716"", ""Science!M:N""), 2, FALSE)"),"Students will assess the impact of different soil preparation techniques on the fertility of the soil and subsequent crop yield.")</f>
        <v>Students will assess the impact of different soil preparation techniques on the fertility of the soil and subsequent crop yield.</v>
      </c>
      <c r="Q4" s="10" t="str">
        <f t="shared" si="4"/>
        <v>LU005616.005</v>
      </c>
      <c r="R4" s="10" t="str">
        <f ca="1">IFERROR(__xludf.DUMMYFUNCTION("VLOOKUP(Q4, IMPORTRANGE(""https://docs.google.com/spreadsheets/d/1yDAaXNsi4Mr5FtRQL4tbmSdIzhx6_m4wkOD7IG-k_eo/edit#gid=1336395716"", ""Science!M:N""), 2, FALSE)"),"Students will compare and contrast traditional and modern methods of soil preparation, justifying the most effective methods for sustainable crop production.")</f>
        <v>Students will compare and contrast traditional and modern methods of soil preparation, justifying the most effective methods for sustainable crop production.</v>
      </c>
      <c r="S4" s="10" t="str">
        <f t="shared" si="5"/>
        <v>LU005616.006</v>
      </c>
      <c r="T4" s="10" t="str">
        <f ca="1">IFERROR(__xludf.DUMMYFUNCTION("VLOOKUP(S4, IMPORTRANGE(""https://docs.google.com/spreadsheets/d/1yDAaXNsi4Mr5FtRQL4tbmSdIzhx6_m4wkOD7IG-k_eo/edit#gid=1336395716"", ""Science!M:N""), 2, FALSE)"),"#N/A")</f>
        <v>#N/A</v>
      </c>
      <c r="U4" s="116">
        <f ca="1">IFERROR(__xludf.DUMMYFUNCTION("ArrayFormula(VLOOKUP(G4, IMPORTRANGE(""https://docs.google.com/spreadsheets/d/1p7R4vtkWt5VOBim4ltsDG9KTzSjrtKXsMtQGXPHyND0/edit#gid=795171502"", ""'Filter 30_05_2024'!A1:M2000""), {2, 3, 4, 5,6,7,8,9,10,11,12,13}, 0))"),4)</f>
        <v>4</v>
      </c>
      <c r="V4" s="116">
        <f ca="1">IFERROR(__xludf.DUMMYFUNCTION("""COMPUTED_VALUE"""),6)</f>
        <v>6</v>
      </c>
      <c r="W4" s="116">
        <f ca="1">IFERROR(__xludf.DUMMYFUNCTION("""COMPUTED_VALUE"""),2)</f>
        <v>2</v>
      </c>
      <c r="X4" s="116">
        <f ca="1">IFERROR(__xludf.DUMMYFUNCTION("""COMPUTED_VALUE"""),12)</f>
        <v>12</v>
      </c>
      <c r="Y4" s="116">
        <f ca="1">IFERROR(__xludf.DUMMYFUNCTION("""COMPUTED_VALUE"""),4)</f>
        <v>4</v>
      </c>
      <c r="Z4" s="12">
        <f ca="1">IFERROR(__xludf.DUMMYFUNCTION("""COMPUTED_VALUE"""),3)</f>
        <v>3</v>
      </c>
      <c r="AA4" s="12">
        <f ca="1">IFERROR(__xludf.DUMMYFUNCTION("""COMPUTED_VALUE"""),1)</f>
        <v>1</v>
      </c>
      <c r="AB4" s="12">
        <f ca="1">IFERROR(__xludf.DUMMYFUNCTION("""COMPUTED_VALUE"""),8)</f>
        <v>8</v>
      </c>
      <c r="AC4" s="12"/>
      <c r="AD4" s="12"/>
      <c r="AE4" s="12"/>
      <c r="AF4" s="12"/>
      <c r="AG4" s="13" t="str">
        <f ca="1">IFERROR(__xludf.DUMMYFUNCTION("ArrayFormula(VLOOKUP(G4, IMPORTRANGE(""https://docs.google.com/spreadsheets/d/1Co934fvtviyaRiMsrIlT05Jaq7iiYq07aLvRr35KA48/edit?gid=173865642#gid=173865642"", ""'G8_Sci_Pri_LU'!G2:V2000""), {3, 4, 5, 6, 7, 8, 9, 10, 11, 12, 13, 14, 15, 16}, 0))"),"LU005443")</f>
        <v>LU005443</v>
      </c>
      <c r="AH4" s="13" t="str">
        <f ca="1">IFERROR(__xludf.DUMMYFUNCTION("""COMPUTED_VALUE"""),"Introduction to respiration in Plants")</f>
        <v>Introduction to respiration in Plants</v>
      </c>
      <c r="AI4" s="13" t="str">
        <f ca="1">IFERROR(__xludf.DUMMYFUNCTION("""COMPUTED_VALUE"""),"LU005946")</f>
        <v>LU005946</v>
      </c>
      <c r="AJ4" s="13" t="str">
        <f ca="1">IFERROR(__xludf.DUMMYFUNCTION("""COMPUTED_VALUE"""),"A typical plant root's function")</f>
        <v>A typical plant root's function</v>
      </c>
      <c r="AK4" s="13" t="str">
        <f ca="1">IFERROR(__xludf.DUMMYFUNCTION("""COMPUTED_VALUE"""),"LU005253")</f>
        <v>LU005253</v>
      </c>
      <c r="AL4" s="13" t="str">
        <f ca="1">IFERROR(__xludf.DUMMYFUNCTION("""COMPUTED_VALUE"""),"Definition of abiotic components")</f>
        <v>Definition of abiotic components</v>
      </c>
      <c r="AM4" s="13"/>
      <c r="AN4" s="13"/>
      <c r="AO4" s="13"/>
      <c r="AP4" s="13"/>
      <c r="AQ4" s="13"/>
      <c r="AR4" s="13"/>
      <c r="AS4" s="13"/>
      <c r="AT4" s="13"/>
    </row>
    <row r="5" spans="1:46" ht="52.8">
      <c r="A5" s="8" t="s">
        <v>247</v>
      </c>
      <c r="B5" s="8" t="s">
        <v>47</v>
      </c>
      <c r="C5" s="8" t="s">
        <v>731</v>
      </c>
      <c r="D5" s="8" t="s">
        <v>1406</v>
      </c>
      <c r="E5" s="8" t="s">
        <v>2013</v>
      </c>
      <c r="F5" s="8" t="s">
        <v>2017</v>
      </c>
      <c r="G5" s="8" t="s">
        <v>2019</v>
      </c>
      <c r="H5" s="8" t="str">
        <f ca="1">IFERROR(__xludf.DUMMYFUNCTION("VLOOKUP(G5, IMPORTRANGE(""https://docs.google.com/spreadsheets/d/14deopnvwcrKtEGCKuYXdUHJbeLDZlkiSSWWT0g7x2pM/edit#gid=849066331"", ""LU List Science (Filter)!A:B""), 2, FALSE)"),"Sowing and selecting seeds for crop production")</f>
        <v>Sowing and selecting seeds for crop production</v>
      </c>
      <c r="I5" s="10" t="str">
        <f t="shared" si="0"/>
        <v>LU005617.001</v>
      </c>
      <c r="J5" s="10" t="str">
        <f ca="1">IFERROR(__xludf.DUMMYFUNCTION("VLOOKUP(I5, IMPORTRANGE(""https://docs.google.com/spreadsheets/d/1yDAaXNsi4Mr5FtRQL4tbmSdIzhx6_m4wkOD7IG-k_eo/edit#gid=1336395716"", ""Science!M:N""), 2, FALSE)"),"Students will identify the criteria for selecting good quality seeds for sowing.")</f>
        <v>Students will identify the criteria for selecting good quality seeds for sowing.</v>
      </c>
      <c r="K5" s="10" t="str">
        <f t="shared" si="1"/>
        <v>LU005617.002</v>
      </c>
      <c r="L5" s="10" t="str">
        <f ca="1">IFERROR(__xludf.DUMMYFUNCTION("VLOOKUP(K5, IMPORTRANGE(""https://docs.google.com/spreadsheets/d/1yDAaXNsi4Mr5FtRQL4tbmSdIzhx6_m4wkOD7IG-k_eo/edit#gid=1336395716"", ""Science!M:N""), 2, FALSE)"),"Students will explain the importance of seed selection and sowing in crop production.")</f>
        <v>Students will explain the importance of seed selection and sowing in crop production.</v>
      </c>
      <c r="M5" s="10" t="str">
        <f t="shared" si="2"/>
        <v>LU005617.003</v>
      </c>
      <c r="N5" s="10" t="str">
        <f ca="1">IFERROR(__xludf.DUMMYFUNCTION("VLOOKUP(M5, IMPORTRANGE(""https://docs.google.com/spreadsheets/d/1yDAaXNsi4Mr5FtRQL4tbmSdIzhx6_m4wkOD7IG-k_eo/edit#gid=1336395716"", ""Science!M:N""), 2, FALSE)"),"Students will apply methods of seed selection and demonstrate sowing techniques in a model garden or simulation.")</f>
        <v>Students will apply methods of seed selection and demonstrate sowing techniques in a model garden or simulation.</v>
      </c>
      <c r="O5" s="10" t="str">
        <f t="shared" si="3"/>
        <v>LU005617.004</v>
      </c>
      <c r="P5" s="10" t="str">
        <f ca="1">IFERROR(__xludf.DUMMYFUNCTION("VLOOKUP(O5, IMPORTRANGE(""https://docs.google.com/spreadsheets/d/1yDAaXNsi4Mr5FtRQL4tbmSdIzhx6_m4wkOD7IG-k_eo/edit#gid=1336395716"", ""Science!M:N""), 2, FALSE)"),"Students will analyze the impact of seed quality on crop yield and the potential economic benefits.")</f>
        <v>Students will analyze the impact of seed quality on crop yield and the potential economic benefits.</v>
      </c>
      <c r="Q5" s="10" t="str">
        <f t="shared" si="4"/>
        <v>LU005617.005</v>
      </c>
      <c r="R5" s="10" t="str">
        <f ca="1">IFERROR(__xludf.DUMMYFUNCTION("VLOOKUP(Q5, IMPORTRANGE(""https://docs.google.com/spreadsheets/d/1yDAaXNsi4Mr5FtRQL4tbmSdIzhx6_m4wkOD7IG-k_eo/edit#gid=1336395716"", ""Science!M:N""), 2, FALSE)"),"Students will evaluate the outcomes of different seed selection techniques and sowing methods to determine the most effective strategy for crop production.")</f>
        <v>Students will evaluate the outcomes of different seed selection techniques and sowing methods to determine the most effective strategy for crop production.</v>
      </c>
      <c r="S5" s="10" t="str">
        <f t="shared" si="5"/>
        <v>LU005617.006</v>
      </c>
      <c r="T5" s="10" t="str">
        <f ca="1">IFERROR(__xludf.DUMMYFUNCTION("VLOOKUP(S5, IMPORTRANGE(""https://docs.google.com/spreadsheets/d/1yDAaXNsi4Mr5FtRQL4tbmSdIzhx6_m4wkOD7IG-k_eo/edit#gid=1336395716"", ""Science!M:N""), 2, FALSE)"),"#N/A")</f>
        <v>#N/A</v>
      </c>
      <c r="U5" s="116">
        <f ca="1">IFERROR(__xludf.DUMMYFUNCTION("ArrayFormula(VLOOKUP(G5, IMPORTRANGE(""https://docs.google.com/spreadsheets/d/1p7R4vtkWt5VOBim4ltsDG9KTzSjrtKXsMtQGXPHyND0/edit#gid=795171502"", ""'Filter 30_05_2024'!A1:M2000""), {2, 3, 4, 5,6,7,8,9,10,11,12,13}, 0))"),4)</f>
        <v>4</v>
      </c>
      <c r="V5" s="116">
        <f ca="1">IFERROR(__xludf.DUMMYFUNCTION("""COMPUTED_VALUE"""),6)</f>
        <v>6</v>
      </c>
      <c r="W5" s="116">
        <f ca="1">IFERROR(__xludf.DUMMYFUNCTION("""COMPUTED_VALUE"""),2)</f>
        <v>2</v>
      </c>
      <c r="X5" s="116">
        <f ca="1">IFERROR(__xludf.DUMMYFUNCTION("""COMPUTED_VALUE"""),12)</f>
        <v>12</v>
      </c>
      <c r="Y5" s="116">
        <f ca="1">IFERROR(__xludf.DUMMYFUNCTION("""COMPUTED_VALUE"""),4)</f>
        <v>4</v>
      </c>
      <c r="Z5" s="12">
        <f ca="1">IFERROR(__xludf.DUMMYFUNCTION("""COMPUTED_VALUE"""),3)</f>
        <v>3</v>
      </c>
      <c r="AA5" s="12">
        <f ca="1">IFERROR(__xludf.DUMMYFUNCTION("""COMPUTED_VALUE"""),1)</f>
        <v>1</v>
      </c>
      <c r="AB5" s="12">
        <f ca="1">IFERROR(__xludf.DUMMYFUNCTION("""COMPUTED_VALUE"""),8)</f>
        <v>8</v>
      </c>
      <c r="AC5" s="12"/>
      <c r="AD5" s="12"/>
      <c r="AE5" s="12"/>
      <c r="AF5" s="12"/>
      <c r="AG5" s="13" t="str">
        <f ca="1">IFERROR(__xludf.DUMMYFUNCTION("ArrayFormula(VLOOKUP(G5, IMPORTRANGE(""https://docs.google.com/spreadsheets/d/1Co934fvtviyaRiMsrIlT05Jaq7iiYq07aLvRr35KA48/edit?gid=173865642#gid=173865642"", ""'G8_Sci_Pri_LU'!G2:V2000""), {3, 4, 5, 6, 7, 8, 9, 10, 11, 12, 13, 14, 15, 16}, 0))"),"LU006431")</f>
        <v>LU006431</v>
      </c>
      <c r="AH5" s="13" t="str">
        <f ca="1">IFERROR(__xludf.DUMMYFUNCTION("""COMPUTED_VALUE"""),"Essential Conditions for Seed Germination")</f>
        <v>Essential Conditions for Seed Germination</v>
      </c>
      <c r="AI5" s="13" t="str">
        <f ca="1">IFERROR(__xludf.DUMMYFUNCTION("""COMPUTED_VALUE"""),"LU005064")</f>
        <v>LU005064</v>
      </c>
      <c r="AJ5" s="13" t="str">
        <f ca="1">IFERROR(__xludf.DUMMYFUNCTION("""COMPUTED_VALUE"""),"Journey of a Food Grain")</f>
        <v>Journey of a Food Grain</v>
      </c>
      <c r="AK5" s="13"/>
      <c r="AL5" s="13"/>
      <c r="AM5" s="13"/>
      <c r="AN5" s="13"/>
      <c r="AO5" s="13"/>
      <c r="AP5" s="13"/>
      <c r="AQ5" s="13"/>
      <c r="AR5" s="13"/>
      <c r="AS5" s="13"/>
      <c r="AT5" s="13"/>
    </row>
    <row r="6" spans="1:46" ht="39.6">
      <c r="A6" s="8" t="s">
        <v>247</v>
      </c>
      <c r="B6" s="8" t="s">
        <v>47</v>
      </c>
      <c r="C6" s="8" t="s">
        <v>731</v>
      </c>
      <c r="D6" s="8" t="s">
        <v>1406</v>
      </c>
      <c r="E6" s="8" t="s">
        <v>2013</v>
      </c>
      <c r="F6" s="8" t="s">
        <v>2020</v>
      </c>
      <c r="G6" s="8" t="s">
        <v>2021</v>
      </c>
      <c r="H6" s="8" t="s">
        <v>2022</v>
      </c>
      <c r="I6" s="10" t="str">
        <f t="shared" si="0"/>
        <v>LU005618.001</v>
      </c>
      <c r="J6" s="10" t="str">
        <f ca="1">IFERROR(__xludf.DUMMYFUNCTION("VLOOKUP(I6, IMPORTRANGE(""https://docs.google.com/spreadsheets/d/1yDAaXNsi4Mr5FtRQL4tbmSdIzhx6_m4wkOD7IG-k_eo/edit#gid=1336395716"", ""Science!M:N""), 2, FALSE)"),"Students will identify the various methods of soil replenishment used in crop production.")</f>
        <v>Students will identify the various methods of soil replenishment used in crop production.</v>
      </c>
      <c r="K6" s="10" t="str">
        <f t="shared" si="1"/>
        <v>LU005618.002</v>
      </c>
      <c r="L6" s="10" t="str">
        <f ca="1">IFERROR(__xludf.DUMMYFUNCTION("VLOOKUP(K6, IMPORTRANGE(""https://docs.google.com/spreadsheets/d/1yDAaXNsi4Mr5FtRQL4tbmSdIzhx6_m4wkOD7IG-k_eo/edit#gid=1336395716"", ""Science!M:N""), 2, FALSE)"),"Students will outline the steps involved in each method of soil replenishment.")</f>
        <v>Students will outline the steps involved in each method of soil replenishment.</v>
      </c>
      <c r="M6" s="10" t="str">
        <f t="shared" si="2"/>
        <v>LU005618.003</v>
      </c>
      <c r="N6" s="10" t="str">
        <f ca="1">IFERROR(__xludf.DUMMYFUNCTION("VLOOKUP(M6, IMPORTRANGE(""https://docs.google.com/spreadsheets/d/1yDAaXNsi4Mr5FtRQL4tbmSdIzhx6_m4wkOD7IG-k_eo/edit#gid=1336395716"", ""Science!M:N""), 2, FALSE)"),"Students will apply at least one method of soil replenishment in a simulated activity or garden project.")</f>
        <v>Students will apply at least one method of soil replenishment in a simulated activity or garden project.</v>
      </c>
      <c r="O6" s="10" t="str">
        <f t="shared" si="3"/>
        <v>LU005618.004</v>
      </c>
      <c r="P6" s="10" t="str">
        <f ca="1">IFERROR(__xludf.DUMMYFUNCTION("VLOOKUP(O6, IMPORTRANGE(""https://docs.google.com/spreadsheets/d/1yDAaXNsi4Mr5FtRQL4tbmSdIzhx6_m4wkOD7IG-k_eo/edit#gid=1336395716"", ""Science!M:N""), 2, FALSE)"),"Students will analyze the impact of different soil replenishment techniques on soil fertility and crop yield.")</f>
        <v>Students will analyze the impact of different soil replenishment techniques on soil fertility and crop yield.</v>
      </c>
      <c r="Q6" s="10" t="str">
        <f t="shared" si="4"/>
        <v>LU005618.005</v>
      </c>
      <c r="R6" s="10" t="str">
        <f ca="1">IFERROR(__xludf.DUMMYFUNCTION("VLOOKUP(Q6, IMPORTRANGE(""https://docs.google.com/spreadsheets/d/1yDAaXNsi4Mr5FtRQL4tbmSdIzhx6_m4wkOD7IG-k_eo/edit#gid=1336395716"", ""Science!M:N""), 2, FALSE)"),"Students will evaluate the sustainability and environmental impact of various soil replenishment methods.")</f>
        <v>Students will evaluate the sustainability and environmental impact of various soil replenishment methods.</v>
      </c>
      <c r="S6" s="10" t="str">
        <f t="shared" si="5"/>
        <v>LU005618.006</v>
      </c>
      <c r="T6" s="10" t="str">
        <f ca="1">IFERROR(__xludf.DUMMYFUNCTION("VLOOKUP(S6, IMPORTRANGE(""https://docs.google.com/spreadsheets/d/1yDAaXNsi4Mr5FtRQL4tbmSdIzhx6_m4wkOD7IG-k_eo/edit#gid=1336395716"", ""Science!M:N""), 2, FALSE)"),"#N/A")</f>
        <v>#N/A</v>
      </c>
      <c r="U6" s="116">
        <f ca="1">IFERROR(__xludf.DUMMYFUNCTION("ArrayFormula(VLOOKUP(G6, IMPORTRANGE(""https://docs.google.com/spreadsheets/d/1p7R4vtkWt5VOBim4ltsDG9KTzSjrtKXsMtQGXPHyND0/edit#gid=795171502"", ""'Filter 30_05_2024'!A1:M2000""), {2, 3, 4, 5,6,7,8,9,10,11,12,13}, 0))"),4)</f>
        <v>4</v>
      </c>
      <c r="V6" s="116">
        <f ca="1">IFERROR(__xludf.DUMMYFUNCTION("""COMPUTED_VALUE"""),6)</f>
        <v>6</v>
      </c>
      <c r="W6" s="116">
        <f ca="1">IFERROR(__xludf.DUMMYFUNCTION("""COMPUTED_VALUE"""),2)</f>
        <v>2</v>
      </c>
      <c r="X6" s="116">
        <f ca="1">IFERROR(__xludf.DUMMYFUNCTION("""COMPUTED_VALUE"""),12)</f>
        <v>12</v>
      </c>
      <c r="Y6" s="116">
        <f ca="1">IFERROR(__xludf.DUMMYFUNCTION("""COMPUTED_VALUE"""),4)</f>
        <v>4</v>
      </c>
      <c r="Z6" s="12">
        <f ca="1">IFERROR(__xludf.DUMMYFUNCTION("""COMPUTED_VALUE"""),4)</f>
        <v>4</v>
      </c>
      <c r="AA6" s="12">
        <f ca="1">IFERROR(__xludf.DUMMYFUNCTION("""COMPUTED_VALUE"""),1)</f>
        <v>1</v>
      </c>
      <c r="AB6" s="12">
        <f ca="1">IFERROR(__xludf.DUMMYFUNCTION("""COMPUTED_VALUE"""),9)</f>
        <v>9</v>
      </c>
      <c r="AC6" s="12"/>
      <c r="AD6" s="12"/>
      <c r="AE6" s="12"/>
      <c r="AF6" s="12"/>
      <c r="AG6" s="13" t="str">
        <f ca="1">IFERROR(__xludf.DUMMYFUNCTION("ArrayFormula(VLOOKUP(G6, IMPORTRANGE(""https://docs.google.com/spreadsheets/d/1Co934fvtviyaRiMsrIlT05Jaq7iiYq07aLvRr35KA48/edit?gid=173865642#gid=173865642"", ""'G8_Sci_Pri_LU'!G2:V2000""), {3, 4, 5, 6, 7, 8, 9, 10, 11, 12, 13, 14, 15, 16}, 0))"),"LU005413")</f>
        <v>LU005413</v>
      </c>
      <c r="AH6" s="13" t="str">
        <f ca="1">IFERROR(__xludf.DUMMYFUNCTION("""COMPUTED_VALUE"""),"Different types of soil replenishment methods")</f>
        <v>Different types of soil replenishment methods</v>
      </c>
      <c r="AI6" s="13" t="str">
        <f ca="1">IFERROR(__xludf.DUMMYFUNCTION("""COMPUTED_VALUE"""),"LU005412")</f>
        <v>LU005412</v>
      </c>
      <c r="AJ6" s="13" t="str">
        <f ca="1">IFERROR(__xludf.DUMMYFUNCTION("""COMPUTED_VALUE"""),"Symbiotic Relationship between plants and bacteria")</f>
        <v>Symbiotic Relationship between plants and bacteria</v>
      </c>
      <c r="AK6" s="13"/>
      <c r="AL6" s="13"/>
      <c r="AM6" s="13"/>
      <c r="AN6" s="13"/>
      <c r="AO6" s="13"/>
      <c r="AP6" s="13"/>
      <c r="AQ6" s="13"/>
      <c r="AR6" s="13"/>
      <c r="AS6" s="13"/>
      <c r="AT6" s="13"/>
    </row>
    <row r="7" spans="1:46" ht="52.8">
      <c r="A7" s="8" t="s">
        <v>247</v>
      </c>
      <c r="B7" s="8" t="s">
        <v>47</v>
      </c>
      <c r="C7" s="8" t="s">
        <v>731</v>
      </c>
      <c r="D7" s="8" t="s">
        <v>1406</v>
      </c>
      <c r="E7" s="8" t="s">
        <v>2013</v>
      </c>
      <c r="F7" s="8" t="s">
        <v>2023</v>
      </c>
      <c r="G7" s="8" t="s">
        <v>2024</v>
      </c>
      <c r="H7" s="8" t="s">
        <v>2025</v>
      </c>
      <c r="I7" s="10" t="str">
        <f t="shared" si="0"/>
        <v>LU005619.001</v>
      </c>
      <c r="J7" s="10" t="str">
        <f ca="1">IFERROR(__xludf.DUMMYFUNCTION("VLOOKUP(I7, IMPORTRANGE(""https://docs.google.com/spreadsheets/d/1yDAaXNsi4Mr5FtRQL4tbmSdIzhx6_m4wkOD7IG-k_eo/edit#gid=1336395716"", ""Science!M:N""), 2, FALSE)"),"Students will define and identify different irrigation methods used in crop production.")</f>
        <v>Students will define and identify different irrigation methods used in crop production.</v>
      </c>
      <c r="K7" s="10" t="str">
        <f t="shared" si="1"/>
        <v>LU005619.002</v>
      </c>
      <c r="L7" s="10" t="str">
        <f ca="1">IFERROR(__xludf.DUMMYFUNCTION("VLOOKUP(K7, IMPORTRANGE(""https://docs.google.com/spreadsheets/d/1yDAaXNsi4Mr5FtRQL4tbmSdIzhx6_m4wkOD7IG-k_eo/edit#gid=1336395716"", ""Science!M:N""), 2, FALSE)"),"Students will explain the significance of irrigation for crop production and how it impacts plant growth.")</f>
        <v>Students will explain the significance of irrigation for crop production and how it impacts plant growth.</v>
      </c>
      <c r="M7" s="10" t="str">
        <f t="shared" si="2"/>
        <v>LU005619.003</v>
      </c>
      <c r="N7" s="10" t="str">
        <f ca="1">IFERROR(__xludf.DUMMYFUNCTION("VLOOKUP(M7, IMPORTRANGE(""https://docs.google.com/spreadsheets/d/1yDAaXNsi4Mr5FtRQL4tbmSdIzhx6_m4wkOD7IG-k_eo/edit#gid=1336395716"", ""Science!M:N""), 2, FALSE)"),"Students will apply their understanding by determining the most suitable irrigation method for a given crop and soil type in a hypothetical farming scenario.")</f>
        <v>Students will apply their understanding by determining the most suitable irrigation method for a given crop and soil type in a hypothetical farming scenario.</v>
      </c>
      <c r="O7" s="10" t="str">
        <f t="shared" si="3"/>
        <v>LU005619.004</v>
      </c>
      <c r="P7" s="10" t="str">
        <f ca="1">IFERROR(__xludf.DUMMYFUNCTION("VLOOKUP(O7, IMPORTRANGE(""https://docs.google.com/spreadsheets/d/1yDAaXNsi4Mr5FtRQL4tbmSdIzhx6_m4wkOD7IG-k_eo/edit#gid=1336395716"", ""Science!M:N""), 2, FALSE)"),"Students will analyze the efficiency and resource utilization of various irrigation techniques.")</f>
        <v>Students will analyze the efficiency and resource utilization of various irrigation techniques.</v>
      </c>
      <c r="Q7" s="10" t="str">
        <f t="shared" si="4"/>
        <v>LU005619.005</v>
      </c>
      <c r="R7" s="10" t="str">
        <f ca="1">IFERROR(__xludf.DUMMYFUNCTION("VLOOKUP(Q7, IMPORTRANGE(""https://docs.google.com/spreadsheets/d/1yDAaXNsi4Mr5FtRQL4tbmSdIzhx6_m4wkOD7IG-k_eo/edit#gid=1336395716"", ""Science!M:N""), 2, FALSE)"),"Students will assess the sustainability of modern irrigation practices in the context of water conservation.")</f>
        <v>Students will assess the sustainability of modern irrigation practices in the context of water conservation.</v>
      </c>
      <c r="S7" s="10" t="str">
        <f t="shared" si="5"/>
        <v>LU005619.006</v>
      </c>
      <c r="T7" s="10" t="str">
        <f ca="1">IFERROR(__xludf.DUMMYFUNCTION("VLOOKUP(S7, IMPORTRANGE(""https://docs.google.com/spreadsheets/d/1yDAaXNsi4Mr5FtRQL4tbmSdIzhx6_m4wkOD7IG-k_eo/edit#gid=1336395716"", ""Science!M:N""), 2, FALSE)"),"Students will design a model of an efficient irrigation system for a small-scale farm, incorporating concepts of water conservation and crop requirements.")</f>
        <v>Students will design a model of an efficient irrigation system for a small-scale farm, incorporating concepts of water conservation and crop requirements.</v>
      </c>
      <c r="U7" s="116">
        <f ca="1">IFERROR(__xludf.DUMMYFUNCTION("ArrayFormula(VLOOKUP(G7, IMPORTRANGE(""https://docs.google.com/spreadsheets/d/1p7R4vtkWt5VOBim4ltsDG9KTzSjrtKXsMtQGXPHyND0/edit#gid=795171502"", ""'Filter 30_05_2024'!A1:M2000""), {2, 3, 4, 5,6,7,8,9,10,11,12,13}, 0))"),4)</f>
        <v>4</v>
      </c>
      <c r="V7" s="116">
        <f ca="1">IFERROR(__xludf.DUMMYFUNCTION("""COMPUTED_VALUE"""),6)</f>
        <v>6</v>
      </c>
      <c r="W7" s="116">
        <f ca="1">IFERROR(__xludf.DUMMYFUNCTION("""COMPUTED_VALUE"""),2)</f>
        <v>2</v>
      </c>
      <c r="X7" s="116">
        <f ca="1">IFERROR(__xludf.DUMMYFUNCTION("""COMPUTED_VALUE"""),12)</f>
        <v>12</v>
      </c>
      <c r="Y7" s="116">
        <f ca="1">IFERROR(__xludf.DUMMYFUNCTION("""COMPUTED_VALUE"""),4)</f>
        <v>4</v>
      </c>
      <c r="Z7" s="12">
        <f ca="1">IFERROR(__xludf.DUMMYFUNCTION("""COMPUTED_VALUE"""),4)</f>
        <v>4</v>
      </c>
      <c r="AA7" s="12">
        <f ca="1">IFERROR(__xludf.DUMMYFUNCTION("""COMPUTED_VALUE"""),1)</f>
        <v>1</v>
      </c>
      <c r="AB7" s="12">
        <f ca="1">IFERROR(__xludf.DUMMYFUNCTION("""COMPUTED_VALUE"""),9)</f>
        <v>9</v>
      </c>
      <c r="AC7" s="12"/>
      <c r="AD7" s="12"/>
      <c r="AE7" s="12"/>
      <c r="AF7" s="12"/>
      <c r="AG7" s="13" t="str">
        <f ca="1">IFERROR(__xludf.DUMMYFUNCTION("ArrayFormula(VLOOKUP(G7, IMPORTRANGE(""https://docs.google.com/spreadsheets/d/1Co934fvtviyaRiMsrIlT05Jaq7iiYq07aLvRr35KA48/edit?gid=173865642#gid=173865642"", ""'G8_Sci_Pri_LU'!G2:V2000""), {3, 4, 5, 6, 7, 8, 9, 10, 11, 12, 13, 14, 15, 16}, 0))"),"LU006431")</f>
        <v>LU006431</v>
      </c>
      <c r="AH7" s="13" t="str">
        <f ca="1">IFERROR(__xludf.DUMMYFUNCTION("""COMPUTED_VALUE"""),"Essential Conditions for Seed Germination")</f>
        <v>Essential Conditions for Seed Germination</v>
      </c>
      <c r="AI7" s="13" t="str">
        <f ca="1">IFERROR(__xludf.DUMMYFUNCTION("""COMPUTED_VALUE"""),"LU005945")</f>
        <v>LU005945</v>
      </c>
      <c r="AJ7" s="13" t="str">
        <f ca="1">IFERROR(__xludf.DUMMYFUNCTION("""COMPUTED_VALUE"""),"Introduction to transpiration process in plants")</f>
        <v>Introduction to transpiration process in plants</v>
      </c>
      <c r="AK7" s="13" t="str">
        <f ca="1">IFERROR(__xludf.DUMMYFUNCTION("""COMPUTED_VALUE"""),"LU005944")</f>
        <v>LU005944</v>
      </c>
      <c r="AL7" s="13" t="str">
        <f ca="1">IFERROR(__xludf.DUMMYFUNCTION("""COMPUTED_VALUE"""),"Introduction to photosynthesis process in plants")</f>
        <v>Introduction to photosynthesis process in plants</v>
      </c>
      <c r="AM7" s="13"/>
      <c r="AN7" s="13"/>
      <c r="AO7" s="13"/>
      <c r="AP7" s="13"/>
      <c r="AQ7" s="13"/>
      <c r="AR7" s="13"/>
      <c r="AS7" s="13"/>
      <c r="AT7" s="13"/>
    </row>
    <row r="8" spans="1:46" ht="52.8">
      <c r="A8" s="8" t="s">
        <v>247</v>
      </c>
      <c r="B8" s="8" t="s">
        <v>47</v>
      </c>
      <c r="C8" s="8" t="s">
        <v>731</v>
      </c>
      <c r="D8" s="8" t="s">
        <v>1406</v>
      </c>
      <c r="E8" s="8" t="s">
        <v>2013</v>
      </c>
      <c r="F8" s="8" t="s">
        <v>2026</v>
      </c>
      <c r="G8" s="8" t="s">
        <v>2027</v>
      </c>
      <c r="H8" s="8" t="str">
        <f ca="1">IFERROR(__xludf.DUMMYFUNCTION("VLOOKUP(G8, IMPORTRANGE(""https://docs.google.com/spreadsheets/d/14deopnvwcrKtEGCKuYXdUHJbeLDZlkiSSWWT0g7x2pM/edit#gid=849066331"", ""LU List Science (Filter)!A:B""), 2, FALSE)"),"Methods of Crop Protection in agricultural practices")</f>
        <v>Methods of Crop Protection in agricultural practices</v>
      </c>
      <c r="I8" s="10" t="str">
        <f t="shared" si="0"/>
        <v>LU005620.001</v>
      </c>
      <c r="J8" s="10" t="str">
        <f ca="1">IFERROR(__xludf.DUMMYFUNCTION("VLOOKUP(I8, IMPORTRANGE(""https://docs.google.com/spreadsheets/d/1yDAaXNsi4Mr5FtRQL4tbmSdIzhx6_m4wkOD7IG-k_eo/edit#gid=1336395716"", ""Science!M:N""), 2, FALSE)"),"Students will enumerate the various methods of crop protection used in agriculture.")</f>
        <v>Students will enumerate the various methods of crop protection used in agriculture.</v>
      </c>
      <c r="K8" s="10" t="str">
        <f t="shared" si="1"/>
        <v>LU005620.002</v>
      </c>
      <c r="L8" s="10" t="str">
        <f ca="1">IFERROR(__xludf.DUMMYFUNCTION("VLOOKUP(K8, IMPORTRANGE(""https://docs.google.com/spreadsheets/d/1yDAaXNsi4Mr5FtRQL4tbmSdIzhx6_m4wkOD7IG-k_eo/edit#gid=1336395716"", ""Science!M:N""), 2, FALSE)"),"Students will explain how different crop protection practices prevent damage from weeds, pests and diseases.")</f>
        <v>Students will explain how different crop protection practices prevent damage from weeds, pests and diseases.</v>
      </c>
      <c r="M8" s="10" t="str">
        <f t="shared" si="2"/>
        <v>LU005620.003</v>
      </c>
      <c r="N8" s="10" t="str">
        <f ca="1">IFERROR(__xludf.DUMMYFUNCTION("VLOOKUP(M8, IMPORTRANGE(""https://docs.google.com/spreadsheets/d/1yDAaXNsi4Mr5FtRQL4tbmSdIzhx6_m4wkOD7IG-k_eo/edit#gid=1336395716"", ""Science!M:N""), 2, FALSE)"),"Students will employ a decision-making process to choose appropriate crop protection methods for given agricultural scenarios.")</f>
        <v>Students will employ a decision-making process to choose appropriate crop protection methods for given agricultural scenarios.</v>
      </c>
      <c r="O8" s="10" t="str">
        <f t="shared" si="3"/>
        <v>LU005620.004</v>
      </c>
      <c r="P8" s="10" t="str">
        <f ca="1">IFERROR(__xludf.DUMMYFUNCTION("VLOOKUP(O8, IMPORTRANGE(""https://docs.google.com/spreadsheets/d/1yDAaXNsi4Mr5FtRQL4tbmSdIzhx6_m4wkOD7IG-k_eo/edit#gid=1336395716"", ""Science!M:N""), 2, FALSE)"),"Students will assess the impact of various crop protection methods on crop health and yield.")</f>
        <v>Students will assess the impact of various crop protection methods on crop health and yield.</v>
      </c>
      <c r="Q8" s="10" t="str">
        <f t="shared" si="4"/>
        <v>LU005620.005</v>
      </c>
      <c r="R8" s="10" t="str">
        <f ca="1">IFERROR(__xludf.DUMMYFUNCTION("VLOOKUP(Q8, IMPORTRANGE(""https://docs.google.com/spreadsheets/d/1yDAaXNsi4Mr5FtRQL4tbmSdIzhx6_m4wkOD7IG-k_eo/edit#gid=1336395716"", ""Science!M:N""), 2, FALSE)"),"Students will critique the sustainability and environmental impact of different crop protection techniques.")</f>
        <v>Students will critique the sustainability and environmental impact of different crop protection techniques.</v>
      </c>
      <c r="S8" s="10" t="str">
        <f t="shared" si="5"/>
        <v>LU005620.006</v>
      </c>
      <c r="T8" s="10" t="str">
        <f ca="1">IFERROR(__xludf.DUMMYFUNCTION("VLOOKUP(S8, IMPORTRANGE(""https://docs.google.com/spreadsheets/d/1yDAaXNsi4Mr5FtRQL4tbmSdIzhx6_m4wkOD7IG-k_eo/edit#gid=1336395716"", ""Science!M:N""), 2, FALSE)"),"#N/A")</f>
        <v>#N/A</v>
      </c>
      <c r="U8" s="116">
        <f ca="1">IFERROR(__xludf.DUMMYFUNCTION("ArrayFormula(VLOOKUP(G8, IMPORTRANGE(""https://docs.google.com/spreadsheets/d/1p7R4vtkWt5VOBim4ltsDG9KTzSjrtKXsMtQGXPHyND0/edit#gid=795171502"", ""'Filter 30_05_2024'!A1:M2000""), {2, 3, 4, 5,6,7,8,9,10,11,12,13}, 0))"),4)</f>
        <v>4</v>
      </c>
      <c r="V8" s="116">
        <f ca="1">IFERROR(__xludf.DUMMYFUNCTION("""COMPUTED_VALUE"""),6)</f>
        <v>6</v>
      </c>
      <c r="W8" s="116">
        <f ca="1">IFERROR(__xludf.DUMMYFUNCTION("""COMPUTED_VALUE"""),2)</f>
        <v>2</v>
      </c>
      <c r="X8" s="116">
        <f ca="1">IFERROR(__xludf.DUMMYFUNCTION("""COMPUTED_VALUE"""),12)</f>
        <v>12</v>
      </c>
      <c r="Y8" s="116">
        <f ca="1">IFERROR(__xludf.DUMMYFUNCTION("""COMPUTED_VALUE"""),4)</f>
        <v>4</v>
      </c>
      <c r="Z8" s="12">
        <f ca="1">IFERROR(__xludf.DUMMYFUNCTION("""COMPUTED_VALUE"""),3)</f>
        <v>3</v>
      </c>
      <c r="AA8" s="12">
        <f ca="1">IFERROR(__xludf.DUMMYFUNCTION("""COMPUTED_VALUE"""),1)</f>
        <v>1</v>
      </c>
      <c r="AB8" s="12">
        <f ca="1">IFERROR(__xludf.DUMMYFUNCTION("""COMPUTED_VALUE"""),8)</f>
        <v>8</v>
      </c>
      <c r="AC8" s="12"/>
      <c r="AD8" s="12"/>
      <c r="AE8" s="12"/>
      <c r="AF8" s="12"/>
      <c r="AG8" s="13" t="str">
        <f ca="1">IFERROR(__xludf.DUMMYFUNCTION("ArrayFormula(VLOOKUP(G8, IMPORTRANGE(""https://docs.google.com/spreadsheets/d/1Co934fvtviyaRiMsrIlT05Jaq7iiYq07aLvRr35KA48/edit?gid=173865642#gid=173865642"", ""'G8_Sci_Pri_LU'!G2:V2000""), {3, 4, 5, 6, 7, 8, 9, 10, 11, 12, 13, 14, 15, 16}, 0))"),"LU005423")</f>
        <v>LU005423</v>
      </c>
      <c r="AH8" s="13" t="str">
        <f ca="1">IFERROR(__xludf.DUMMYFUNCTION("""COMPUTED_VALUE"""),"Seed Dispersal (Definition and Purpose)")</f>
        <v>Seed Dispersal (Definition and Purpose)</v>
      </c>
      <c r="AI8" s="13" t="str">
        <f ca="1">IFERROR(__xludf.DUMMYFUNCTION("""COMPUTED_VALUE"""),"LU005253")</f>
        <v>LU005253</v>
      </c>
      <c r="AJ8" s="13" t="str">
        <f ca="1">IFERROR(__xludf.DUMMYFUNCTION("""COMPUTED_VALUE"""),"Definition of abiotic components")</f>
        <v>Definition of abiotic components</v>
      </c>
      <c r="AK8" s="13" t="str">
        <f ca="1">IFERROR(__xludf.DUMMYFUNCTION("""COMPUTED_VALUE"""),"LU005421")</f>
        <v>LU005421</v>
      </c>
      <c r="AL8" s="13" t="str">
        <f ca="1">IFERROR(__xludf.DUMMYFUNCTION("""COMPUTED_VALUE"""),"Vegetative Propagation from stem, leaves, and roots of the plant.")</f>
        <v>Vegetative Propagation from stem, leaves, and roots of the plant.</v>
      </c>
      <c r="AM8" s="13"/>
      <c r="AN8" s="13"/>
      <c r="AO8" s="13"/>
      <c r="AP8" s="13"/>
      <c r="AQ8" s="13"/>
      <c r="AR8" s="13"/>
      <c r="AS8" s="13"/>
      <c r="AT8" s="13"/>
    </row>
    <row r="9" spans="1:46" ht="39.6">
      <c r="A9" s="8" t="s">
        <v>247</v>
      </c>
      <c r="B9" s="8" t="s">
        <v>47</v>
      </c>
      <c r="C9" s="8" t="s">
        <v>731</v>
      </c>
      <c r="D9" s="8" t="s">
        <v>1406</v>
      </c>
      <c r="E9" s="8" t="s">
        <v>2013</v>
      </c>
      <c r="F9" s="8" t="s">
        <v>2026</v>
      </c>
      <c r="G9" s="8" t="s">
        <v>2028</v>
      </c>
      <c r="H9" s="8" t="str">
        <f ca="1">IFERROR(__xludf.DUMMYFUNCTION("VLOOKUP(G9, IMPORTRANGE(""https://docs.google.com/spreadsheets/d/14deopnvwcrKtEGCKuYXdUHJbeLDZlkiSSWWT0g7x2pM/edit#gid=849066331"", ""LU List Science (Filter)!A:B""), 2, FALSE)"),"Harvesting and storage in crop production")</f>
        <v>Harvesting and storage in crop production</v>
      </c>
      <c r="I9" s="10" t="str">
        <f t="shared" si="0"/>
        <v>LU005621.001</v>
      </c>
      <c r="J9" s="10" t="str">
        <f ca="1">IFERROR(__xludf.DUMMYFUNCTION("VLOOKUP(I9, IMPORTRANGE(""https://docs.google.com/spreadsheets/d/1yDAaXNsi4Mr5FtRQL4tbmSdIzhx6_m4wkOD7IG-k_eo/edit#gid=1336395716"", ""Science!M:N""), 2, FALSE)"),"Students will define harvesting and identify the steps involved in harvesting, and the methods of storing crops.")</f>
        <v>Students will define harvesting and identify the steps involved in harvesting, and the methods of storing crops.</v>
      </c>
      <c r="K9" s="10" t="str">
        <f t="shared" si="1"/>
        <v>LU005621.002</v>
      </c>
      <c r="L9" s="10" t="str">
        <f ca="1">IFERROR(__xludf.DUMMYFUNCTION("VLOOKUP(K9, IMPORTRANGE(""https://docs.google.com/spreadsheets/d/1yDAaXNsi4Mr5FtRQL4tbmSdIzhx6_m4wkOD7IG-k_eo/edit#gid=1336395716"", ""Science!M:N""), 2, FALSE)"),"Students will explain the importance of proper harvesting techniques and storage conditions for maintaining crop quality.")</f>
        <v>Students will explain the importance of proper harvesting techniques and storage conditions for maintaining crop quality.</v>
      </c>
      <c r="M9" s="10" t="str">
        <f t="shared" si="2"/>
        <v>LU005621.003</v>
      </c>
      <c r="N9" s="10" t="str">
        <f ca="1">IFERROR(__xludf.DUMMYFUNCTION("VLOOKUP(M9, IMPORTRANGE(""https://docs.google.com/spreadsheets/d/1yDAaXNsi4Mr5FtRQL4tbmSdIzhx6_m4wkOD7IG-k_eo/edit#gid=1336395716"", ""Science!M:N""), 2, FALSE)"),"Students will demonstrate the correct method of harvesting a particular crop in a role-play or practical activity.")</f>
        <v>Students will demonstrate the correct method of harvesting a particular crop in a role-play or practical activity.</v>
      </c>
      <c r="O9" s="10" t="str">
        <f t="shared" si="3"/>
        <v>LU005621.004</v>
      </c>
      <c r="P9" s="10" t="str">
        <f ca="1">IFERROR(__xludf.DUMMYFUNCTION("VLOOKUP(O9, IMPORTRANGE(""https://docs.google.com/spreadsheets/d/1yDAaXNsi4Mr5FtRQL4tbmSdIzhx6_m4wkOD7IG-k_eo/edit#gid=1336395716"", ""Science!M:N""), 2, FALSE)"),"Students will analyze the consequences of improper harvesting and storage practices on crop yield and quality.")</f>
        <v>Students will analyze the consequences of improper harvesting and storage practices on crop yield and quality.</v>
      </c>
      <c r="Q9" s="10" t="str">
        <f t="shared" si="4"/>
        <v>LU005621.005</v>
      </c>
      <c r="R9" s="10" t="str">
        <f ca="1">IFERROR(__xludf.DUMMYFUNCTION("VLOOKUP(Q9, IMPORTRANGE(""https://docs.google.com/spreadsheets/d/1yDAaXNsi4Mr5FtRQL4tbmSdIzhx6_m4wkOD7IG-k_eo/edit#gid=1336395716"", ""Science!M:N""), 2, FALSE)"),"Students will evaluate various traditional and modern storage facilities to determine their effectiveness in reducing post-harvest losses.")</f>
        <v>Students will evaluate various traditional and modern storage facilities to determine their effectiveness in reducing post-harvest losses.</v>
      </c>
      <c r="S9" s="10" t="str">
        <f t="shared" si="5"/>
        <v>LU005621.006</v>
      </c>
      <c r="T9" s="10" t="str">
        <f ca="1">IFERROR(__xludf.DUMMYFUNCTION("VLOOKUP(S9, IMPORTRANGE(""https://docs.google.com/spreadsheets/d/1yDAaXNsi4Mr5FtRQL4tbmSdIzhx6_m4wkOD7IG-k_eo/edit#gid=1336395716"", ""Science!M:N""), 2, FALSE)"),"#N/A")</f>
        <v>#N/A</v>
      </c>
      <c r="U9" s="116">
        <f ca="1">IFERROR(__xludf.DUMMYFUNCTION("ArrayFormula(VLOOKUP(G9, IMPORTRANGE(""https://docs.google.com/spreadsheets/d/1p7R4vtkWt5VOBim4ltsDG9KTzSjrtKXsMtQGXPHyND0/edit#gid=795171502"", ""'Filter 30_05_2024'!A1:M2000""), {2, 3, 4, 5,6,7,8,9,10,11,12,13}, 0))"),4)</f>
        <v>4</v>
      </c>
      <c r="V9" s="116">
        <f ca="1">IFERROR(__xludf.DUMMYFUNCTION("""COMPUTED_VALUE"""),6)</f>
        <v>6</v>
      </c>
      <c r="W9" s="116">
        <f ca="1">IFERROR(__xludf.DUMMYFUNCTION("""COMPUTED_VALUE"""),2)</f>
        <v>2</v>
      </c>
      <c r="X9" s="116">
        <f ca="1">IFERROR(__xludf.DUMMYFUNCTION("""COMPUTED_VALUE"""),12)</f>
        <v>12</v>
      </c>
      <c r="Y9" s="116">
        <f ca="1">IFERROR(__xludf.DUMMYFUNCTION("""COMPUTED_VALUE"""),6)</f>
        <v>6</v>
      </c>
      <c r="Z9" s="12">
        <f ca="1">IFERROR(__xludf.DUMMYFUNCTION("""COMPUTED_VALUE"""),4)</f>
        <v>4</v>
      </c>
      <c r="AA9" s="12">
        <f ca="1">IFERROR(__xludf.DUMMYFUNCTION("""COMPUTED_VALUE"""),1)</f>
        <v>1</v>
      </c>
      <c r="AB9" s="12">
        <f ca="1">IFERROR(__xludf.DUMMYFUNCTION("""COMPUTED_VALUE"""),11)</f>
        <v>11</v>
      </c>
      <c r="AC9" s="12"/>
      <c r="AD9" s="12"/>
      <c r="AE9" s="12"/>
      <c r="AF9" s="12"/>
      <c r="AG9" s="13" t="str">
        <f ca="1">IFERROR(__xludf.DUMMYFUNCTION("ArrayFormula(VLOOKUP(G9, IMPORTRANGE(""https://docs.google.com/spreadsheets/d/1Co934fvtviyaRiMsrIlT05Jaq7iiYq07aLvRr35KA48/edit?gid=173865642#gid=173865642"", ""'G8_Sci_Pri_LU'!G2:V2000""), {3, 4, 5, 6, 7, 8, 9, 10, 11, 12, 13, 14, 15, 16}, 0))"),"LU005064")</f>
        <v>LU005064</v>
      </c>
      <c r="AH9" s="13" t="str">
        <f ca="1">IFERROR(__xludf.DUMMYFUNCTION("""COMPUTED_VALUE"""),"Journey of a Food Grain")</f>
        <v>Journey of a Food Grain</v>
      </c>
      <c r="AI9" s="13" t="str">
        <f ca="1">IFERROR(__xludf.DUMMYFUNCTION("""COMPUTED_VALUE"""),"LU005294")</f>
        <v>LU005294</v>
      </c>
      <c r="AJ9" s="13" t="str">
        <f ca="1">IFERROR(__xludf.DUMMYFUNCTION("""COMPUTED_VALUE"""),"Handpicking, threshing, winnowing, and sieving")</f>
        <v>Handpicking, threshing, winnowing, and sieving</v>
      </c>
      <c r="AK9" s="13" t="str">
        <f ca="1">IFERROR(__xludf.DUMMYFUNCTION("""COMPUTED_VALUE"""),"LU005614")</f>
        <v>LU005614</v>
      </c>
      <c r="AL9" s="13" t="str">
        <f ca="1">IFERROR(__xludf.DUMMYFUNCTION("""COMPUTED_VALUE"""),"Definition of Crop, Crop Production, and Agriculture")</f>
        <v>Definition of Crop, Crop Production, and Agriculture</v>
      </c>
      <c r="AM9" s="13"/>
      <c r="AN9" s="13"/>
      <c r="AO9" s="13"/>
      <c r="AP9" s="13"/>
      <c r="AQ9" s="13"/>
      <c r="AR9" s="13"/>
      <c r="AS9" s="13"/>
      <c r="AT9" s="13"/>
    </row>
    <row r="10" spans="1:46" ht="39.6">
      <c r="A10" s="8" t="s">
        <v>247</v>
      </c>
      <c r="B10" s="8" t="s">
        <v>47</v>
      </c>
      <c r="C10" s="8" t="s">
        <v>731</v>
      </c>
      <c r="D10" s="8" t="s">
        <v>1406</v>
      </c>
      <c r="E10" s="8" t="s">
        <v>2029</v>
      </c>
      <c r="F10" s="123" t="s">
        <v>2030</v>
      </c>
      <c r="G10" s="8" t="s">
        <v>2031</v>
      </c>
      <c r="H10" s="8" t="str">
        <f ca="1">IFERROR(__xludf.DUMMYFUNCTION("VLOOKUP(G10, IMPORTRANGE(""https://docs.google.com/spreadsheets/d/14deopnvwcrKtEGCKuYXdUHJbeLDZlkiSSWWT0g7x2pM/edit#gid=849066331"", ""LU List Science (Filter)!A:B""), 2, FALSE)"),"Introduction to Microorganisms")</f>
        <v>Introduction to Microorganisms</v>
      </c>
      <c r="I10" s="10" t="str">
        <f t="shared" si="0"/>
        <v>LU005635.001</v>
      </c>
      <c r="J10" s="10" t="str">
        <f ca="1">IFERROR(__xludf.DUMMYFUNCTION("VLOOKUP(I10, IMPORTRANGE(""https://docs.google.com/spreadsheets/d/1yDAaXNsi4Mr5FtRQL4tbmSdIzhx6_m4wkOD7IG-k_eo/edit#gid=1336395716"", ""Science!M:N""), 2, FALSE)"),"Recall the definition of microorganisms and various major groups of microorganims with examples.")</f>
        <v>Recall the definition of microorganisms and various major groups of microorganims with examples.</v>
      </c>
      <c r="K10" s="10" t="str">
        <f t="shared" si="1"/>
        <v>LU005635.002</v>
      </c>
      <c r="L10" s="10" t="str">
        <f ca="1">IFERROR(__xludf.DUMMYFUNCTION("VLOOKUP(K10, IMPORTRANGE(""https://docs.google.com/spreadsheets/d/1yDAaXNsi4Mr5FtRQL4tbmSdIzhx6_m4wkOD7IG-k_eo/edit#gid=1336395716"", ""Science!M:N""), 2, FALSE)"),"Explain where microorganisms can be found.")</f>
        <v>Explain where microorganisms can be found.</v>
      </c>
      <c r="M10" s="10" t="str">
        <f t="shared" si="2"/>
        <v>LU005635.003</v>
      </c>
      <c r="N10" s="10" t="str">
        <f ca="1">IFERROR(__xludf.DUMMYFUNCTION("VLOOKUP(M10, IMPORTRANGE(""https://docs.google.com/spreadsheets/d/1yDAaXNsi4Mr5FtRQL4tbmSdIzhx6_m4wkOD7IG-k_eo/edit#gid=1336395716"", ""Science!M:N""), 2, FALSE)"),"Use a microscope to observe microorganisms.")</f>
        <v>Use a microscope to observe microorganisms.</v>
      </c>
      <c r="O10" s="10" t="str">
        <f t="shared" si="3"/>
        <v>LU005635.004</v>
      </c>
      <c r="P10" s="10" t="str">
        <f ca="1">IFERROR(__xludf.DUMMYFUNCTION("VLOOKUP(O10, IMPORTRANGE(""https://docs.google.com/spreadsheets/d/1yDAaXNsi4Mr5FtRQL4tbmSdIzhx6_m4wkOD7IG-k_eo/edit#gid=1336395716"", ""Science!M:N""), 2, FALSE)"),"Compare the sizes of different types of microorganisms.")</f>
        <v>Compare the sizes of different types of microorganisms.</v>
      </c>
      <c r="Q10" s="10" t="str">
        <f t="shared" si="4"/>
        <v>LU005635.005</v>
      </c>
      <c r="R10" s="10" t="str">
        <f ca="1">IFERROR(__xludf.DUMMYFUNCTION("VLOOKUP(Q10, IMPORTRANGE(""https://docs.google.com/spreadsheets/d/1yDAaXNsi4Mr5FtRQL4tbmSdIzhx6_m4wkOD7IG-k_eo/edit#gid=1336395716"", ""Science!M:N""), 2, FALSE)"),"Judge the importance of studying microorganisms.")</f>
        <v>Judge the importance of studying microorganisms.</v>
      </c>
      <c r="S10" s="10" t="str">
        <f t="shared" si="5"/>
        <v>LU005635.006</v>
      </c>
      <c r="T10" s="10" t="str">
        <f ca="1">IFERROR(__xludf.DUMMYFUNCTION("VLOOKUP(S10, IMPORTRANGE(""https://docs.google.com/spreadsheets/d/1yDAaXNsi4Mr5FtRQL4tbmSdIzhx6_m4wkOD7IG-k_eo/edit#gid=1336395716"", ""Science!M:N""), 2, FALSE)"),"Design a simple experiment to demonstrate the presence of microorganisms in different samples.")</f>
        <v>Design a simple experiment to demonstrate the presence of microorganisms in different samples.</v>
      </c>
      <c r="U10" s="116">
        <f ca="1">IFERROR(__xludf.DUMMYFUNCTION("ArrayFormula(VLOOKUP(G10, IMPORTRANGE(""https://docs.google.com/spreadsheets/d/1p7R4vtkWt5VOBim4ltsDG9KTzSjrtKXsMtQGXPHyND0/edit#gid=795171502"", ""'Filter 30_05_2024'!A1:M2000""), {2, 3, 4, 5,6,7,8,9,10,11,12,13}, 0))"),4)</f>
        <v>4</v>
      </c>
      <c r="V10" s="116">
        <f ca="1">IFERROR(__xludf.DUMMYFUNCTION("""COMPUTED_VALUE"""),6)</f>
        <v>6</v>
      </c>
      <c r="W10" s="116">
        <f ca="1">IFERROR(__xludf.DUMMYFUNCTION("""COMPUTED_VALUE"""),2)</f>
        <v>2</v>
      </c>
      <c r="X10" s="116">
        <f ca="1">IFERROR(__xludf.DUMMYFUNCTION("""COMPUTED_VALUE"""),12)</f>
        <v>12</v>
      </c>
      <c r="Y10" s="116">
        <f ca="1">IFERROR(__xludf.DUMMYFUNCTION("""COMPUTED_VALUE"""),4)</f>
        <v>4</v>
      </c>
      <c r="Z10" s="12">
        <f ca="1">IFERROR(__xludf.DUMMYFUNCTION("""COMPUTED_VALUE"""),3)</f>
        <v>3</v>
      </c>
      <c r="AA10" s="12">
        <f ca="1">IFERROR(__xludf.DUMMYFUNCTION("""COMPUTED_VALUE"""),1)</f>
        <v>1</v>
      </c>
      <c r="AB10" s="12">
        <f ca="1">IFERROR(__xludf.DUMMYFUNCTION("""COMPUTED_VALUE"""),8)</f>
        <v>8</v>
      </c>
      <c r="AC10" s="12"/>
      <c r="AD10" s="12"/>
      <c r="AE10" s="12"/>
      <c r="AF10" s="12"/>
      <c r="AG10" s="13" t="str">
        <f ca="1">IFERROR(__xludf.DUMMYFUNCTION("ArrayFormula(VLOOKUP(G10, IMPORTRANGE(""https://docs.google.com/spreadsheets/d/1Co934fvtviyaRiMsrIlT05Jaq7iiYq07aLvRr35KA48/edit?gid=173865642#gid=173865642"", ""'G8_Sci_Pri_LU'!G2:V2000""), {3, 4, 5, 6, 7, 8, 9, 10, 11, 12, 13, 14, 15, 16}, 0))"),"")</f>
        <v/>
      </c>
      <c r="AH10" s="13"/>
      <c r="AI10" s="13"/>
      <c r="AJ10" s="13"/>
      <c r="AK10" s="13"/>
      <c r="AL10" s="13"/>
      <c r="AM10" s="13"/>
      <c r="AN10" s="13"/>
      <c r="AO10" s="13"/>
      <c r="AP10" s="13"/>
      <c r="AQ10" s="13"/>
      <c r="AR10" s="13"/>
      <c r="AS10" s="13"/>
      <c r="AT10" s="13"/>
    </row>
    <row r="11" spans="1:46" ht="52.8">
      <c r="A11" s="8" t="s">
        <v>247</v>
      </c>
      <c r="B11" s="8" t="s">
        <v>47</v>
      </c>
      <c r="C11" s="8" t="s">
        <v>731</v>
      </c>
      <c r="D11" s="8" t="s">
        <v>1406</v>
      </c>
      <c r="E11" s="8" t="s">
        <v>2029</v>
      </c>
      <c r="F11" s="10" t="s">
        <v>2030</v>
      </c>
      <c r="G11" s="8" t="s">
        <v>2032</v>
      </c>
      <c r="H11" s="8" t="str">
        <f ca="1">IFERROR(__xludf.DUMMYFUNCTION("VLOOKUP(G11, IMPORTRANGE(""https://docs.google.com/spreadsheets/d/14deopnvwcrKtEGCKuYXdUHJbeLDZlkiSSWWT0g7x2pM/edit#gid=849066331"", ""LU List Science (Filter)!A:B""), 2, FALSE)"),"Using Microbes for Curd, Bread and Alcohol Formation ")</f>
        <v xml:space="preserve">Using Microbes for Curd, Bread and Alcohol Formation </v>
      </c>
      <c r="I11" s="10" t="str">
        <f t="shared" si="0"/>
        <v>LU005645.001</v>
      </c>
      <c r="J11" s="10" t="str">
        <f ca="1">IFERROR(__xludf.DUMMYFUNCTION("VLOOKUP(I11, IMPORTRANGE(""https://docs.google.com/spreadsheets/d/1yDAaXNsi4Mr5FtRQL4tbmSdIzhx6_m4wkOD7IG-k_eo/edit#gid=1336395716"", ""Science!M:N""), 2, FALSE)"),"Recall the roles of specific microbes in the fermentation processes for curd, bread, and alcohol.")</f>
        <v>Recall the roles of specific microbes in the fermentation processes for curd, bread, and alcohol.</v>
      </c>
      <c r="K11" s="10" t="str">
        <f t="shared" si="1"/>
        <v>LU005645.002</v>
      </c>
      <c r="L11" s="10" t="str">
        <f ca="1">IFERROR(__xludf.DUMMYFUNCTION("VLOOKUP(K11, IMPORTRANGE(""https://docs.google.com/spreadsheets/d/1yDAaXNsi4Mr5FtRQL4tbmSdIzhx6_m4wkOD7IG-k_eo/edit#gid=1336395716"", ""Science!M:N""), 2, FALSE)"),"Explain the basic principles of fermentation and how it is used to produce curd, bread, and alcohol.")</f>
        <v>Explain the basic principles of fermentation and how it is used to produce curd, bread, and alcohol.</v>
      </c>
      <c r="M11" s="10" t="str">
        <f t="shared" si="2"/>
        <v>LU005645.003</v>
      </c>
      <c r="N11" s="10" t="str">
        <f ca="1">IFERROR(__xludf.DUMMYFUNCTION("VLOOKUP(M11, IMPORTRANGE(""https://docs.google.com/spreadsheets/d/1yDAaXNsi4Mr5FtRQL4tbmSdIzhx6_m4wkOD7IG-k_eo/edit#gid=1336395716"", ""Science!M:N""), 2, FALSE)"),"Demonstrate the fermentation process through a simple experiment or model, such as making a basic yeast bread.")</f>
        <v>Demonstrate the fermentation process through a simple experiment or model, such as making a basic yeast bread.</v>
      </c>
      <c r="O11" s="10" t="str">
        <f t="shared" si="3"/>
        <v>LU005645.004</v>
      </c>
      <c r="P11" s="10" t="str">
        <f ca="1">IFERROR(__xludf.DUMMYFUNCTION("VLOOKUP(O11, IMPORTRANGE(""https://docs.google.com/spreadsheets/d/1yDAaXNsi4Mr5FtRQL4tbmSdIzhx6_m4wkOD7IG-k_eo/edit#gid=1336395716"", ""Science!M:N""), 2, FALSE)"),"Analyze the impact of different fermentation conditions (like temperature and time) on the quality of curd, bread, or alcohol.")</f>
        <v>Analyze the impact of different fermentation conditions (like temperature and time) on the quality of curd, bread, or alcohol.</v>
      </c>
      <c r="Q11" s="10" t="str">
        <f t="shared" si="4"/>
        <v>LU005645.005</v>
      </c>
      <c r="R11" s="10" t="str">
        <f ca="1">IFERROR(__xludf.DUMMYFUNCTION("VLOOKUP(Q11, IMPORTRANGE(""https://docs.google.com/spreadsheets/d/1yDAaXNsi4Mr5FtRQL4tbmSdIzhx6_m4wkOD7IG-k_eo/edit#gid=1336395716"", ""Science!M:N""), 2, FALSE)"),"Evaluate the nutritional and economic importance of fermented foods and beverages in different cultures.")</f>
        <v>Evaluate the nutritional and economic importance of fermented foods and beverages in different cultures.</v>
      </c>
      <c r="S11" s="10" t="str">
        <f t="shared" si="5"/>
        <v>LU005645.006</v>
      </c>
      <c r="T11" s="10" t="str">
        <f ca="1">IFERROR(__xludf.DUMMYFUNCTION("VLOOKUP(S11, IMPORTRANGE(""https://docs.google.com/spreadsheets/d/1yDAaXNsi4Mr5FtRQL4tbmSdIzhx6_m4wkOD7IG-k_eo/edit#gid=1336395716"", ""Science!M:N""), 2, FALSE)"),"Create a project proposal or experiment to explore innovative uses of fermentation in food production, focusing on sustainability or health benefits.")</f>
        <v>Create a project proposal or experiment to explore innovative uses of fermentation in food production, focusing on sustainability or health benefits.</v>
      </c>
      <c r="U11" s="116">
        <f ca="1">IFERROR(__xludf.DUMMYFUNCTION("ArrayFormula(VLOOKUP(G11, IMPORTRANGE(""https://docs.google.com/spreadsheets/d/1p7R4vtkWt5VOBim4ltsDG9KTzSjrtKXsMtQGXPHyND0/edit#gid=795171502"", ""'Filter 30_05_2024'!A1:M2000""), {2, 3, 4, 5,6,7,8,9,10,11,12,13}, 0))"),4)</f>
        <v>4</v>
      </c>
      <c r="V11" s="116">
        <f ca="1">IFERROR(__xludf.DUMMYFUNCTION("""COMPUTED_VALUE"""),6)</f>
        <v>6</v>
      </c>
      <c r="W11" s="116">
        <f ca="1">IFERROR(__xludf.DUMMYFUNCTION("""COMPUTED_VALUE"""),2)</f>
        <v>2</v>
      </c>
      <c r="X11" s="116">
        <f ca="1">IFERROR(__xludf.DUMMYFUNCTION("""COMPUTED_VALUE"""),12)</f>
        <v>12</v>
      </c>
      <c r="Y11" s="116">
        <f ca="1">IFERROR(__xludf.DUMMYFUNCTION("""COMPUTED_VALUE"""),4)</f>
        <v>4</v>
      </c>
      <c r="Z11" s="12">
        <f ca="1">IFERROR(__xludf.DUMMYFUNCTION("""COMPUTED_VALUE"""),3)</f>
        <v>3</v>
      </c>
      <c r="AA11" s="12">
        <f ca="1">IFERROR(__xludf.DUMMYFUNCTION("""COMPUTED_VALUE"""),1)</f>
        <v>1</v>
      </c>
      <c r="AB11" s="12">
        <f ca="1">IFERROR(__xludf.DUMMYFUNCTION("""COMPUTED_VALUE"""),8)</f>
        <v>8</v>
      </c>
      <c r="AC11" s="12"/>
      <c r="AD11" s="12"/>
      <c r="AE11" s="12"/>
      <c r="AF11" s="12"/>
      <c r="AG11" s="13" t="str">
        <f ca="1">IFERROR(__xludf.DUMMYFUNCTION("ArrayFormula(VLOOKUP(G11, IMPORTRANGE(""https://docs.google.com/spreadsheets/d/1Co934fvtviyaRiMsrIlT05Jaq7iiYq07aLvRr35KA48/edit?gid=173865642#gid=173865642"", ""'G8_Sci_Pri_LU'!G2:V2000""), {3, 4, 5, 6, 7, 8, 9, 10, 11, 12, 13, 14, 15, 16}, 0))"),"LU005435")</f>
        <v>LU005435</v>
      </c>
      <c r="AH11" s="13" t="str">
        <f ca="1">IFERROR(__xludf.DUMMYFUNCTION("""COMPUTED_VALUE"""),"Introduction to cellular, aerobic and anaerobic respiration")</f>
        <v>Introduction to cellular, aerobic and anaerobic respiration</v>
      </c>
      <c r="AI11" s="13" t="str">
        <f ca="1">IFERROR(__xludf.DUMMYFUNCTION("""COMPUTED_VALUE"""),"LU005436")</f>
        <v>LU005436</v>
      </c>
      <c r="AJ11" s="13" t="str">
        <f ca="1">IFERROR(__xludf.DUMMYFUNCTION("""COMPUTED_VALUE"""),"Anaerobic Respiration in Yeast")</f>
        <v>Anaerobic Respiration in Yeast</v>
      </c>
      <c r="AK11" s="13"/>
      <c r="AL11" s="13"/>
      <c r="AM11" s="13"/>
      <c r="AN11" s="13"/>
      <c r="AO11" s="13"/>
      <c r="AP11" s="13"/>
      <c r="AQ11" s="13"/>
      <c r="AR11" s="13"/>
      <c r="AS11" s="13"/>
      <c r="AT11" s="13"/>
    </row>
    <row r="12" spans="1:46" ht="79.2">
      <c r="A12" s="8" t="s">
        <v>247</v>
      </c>
      <c r="B12" s="8" t="s">
        <v>47</v>
      </c>
      <c r="C12" s="8" t="s">
        <v>731</v>
      </c>
      <c r="D12" s="8" t="s">
        <v>1406</v>
      </c>
      <c r="E12" s="8" t="s">
        <v>2029</v>
      </c>
      <c r="F12" s="10" t="s">
        <v>2033</v>
      </c>
      <c r="G12" s="8" t="s">
        <v>2034</v>
      </c>
      <c r="H12" s="8" t="str">
        <f ca="1">IFERROR(__xludf.DUMMYFUNCTION("VLOOKUP(G12, IMPORTRANGE(""https://docs.google.com/spreadsheets/d/14deopnvwcrKtEGCKuYXdUHJbeLDZlkiSSWWT0g7x2pM/edit#gid=849066331"", ""LU List Science (Filter)!A:B""), 2, FALSE)"),"Role of Microbes in Soil Health")</f>
        <v>Role of Microbes in Soil Health</v>
      </c>
      <c r="I12" s="10" t="str">
        <f t="shared" si="0"/>
        <v>LU005649.001</v>
      </c>
      <c r="J12" s="10" t="str">
        <f ca="1">IFERROR(__xludf.DUMMYFUNCTION("VLOOKUP(I12, IMPORTRANGE(""https://docs.google.com/spreadsheets/d/1yDAaXNsi4Mr5FtRQL4tbmSdIzhx6_m4wkOD7IG-k_eo/edit#gid=1336395716"", ""Science!M:N""), 2, FALSE)"),"Recall the types of microbes found in soil, such as bacteria, fungi, and protozoa.")</f>
        <v>Recall the types of microbes found in soil, such as bacteria, fungi, and protozoa.</v>
      </c>
      <c r="K12" s="10" t="str">
        <f t="shared" si="1"/>
        <v>LU005649.002</v>
      </c>
      <c r="L12" s="10" t="str">
        <f ca="1">IFERROR(__xludf.DUMMYFUNCTION("VLOOKUP(K12, IMPORTRANGE(""https://docs.google.com/spreadsheets/d/1yDAaXNsi4Mr5FtRQL4tbmSdIzhx6_m4wkOD7IG-k_eo/edit#gid=1336395716"", ""Science!M:N""), 2, FALSE)"),"Explain how microbes in soil contribute to soil health by describing their roles in nutrient cycling, decomposition, and soil structure improvement.")</f>
        <v>Explain how microbes in soil contribute to soil health by describing their roles in nutrient cycling, decomposition, and soil structure improvement.</v>
      </c>
      <c r="M12" s="10" t="str">
        <f t="shared" si="2"/>
        <v>LU005649.003</v>
      </c>
      <c r="N12" s="10" t="str">
        <f ca="1">IFERROR(__xludf.DUMMYFUNCTION("VLOOKUP(M12, IMPORTRANGE(""https://docs.google.com/spreadsheets/d/1yDAaXNsi4Mr5FtRQL4tbmSdIzhx6_m4wkOD7IG-k_eo/edit#gid=1336395716"", ""Science!M:N""), 2, FALSE)"),"Apply knowledge of soil microbes to practical gardening or farming activities by selecting appropriate microbial treatments or practices to enhance soil health.")</f>
        <v>Apply knowledge of soil microbes to practical gardening or farming activities by selecting appropriate microbial treatments or practices to enhance soil health.</v>
      </c>
      <c r="O12" s="10" t="str">
        <f t="shared" si="3"/>
        <v>LU005649.004</v>
      </c>
      <c r="P12" s="10" t="str">
        <f ca="1">IFERROR(__xludf.DUMMYFUNCTION("VLOOKUP(O12, IMPORTRANGE(""https://docs.google.com/spreadsheets/d/1yDAaXNsi4Mr5FtRQL4tbmSdIzhx6_m4wkOD7IG-k_eo/edit#gid=1336395716"", ""Science!M:N""), 2, FALSE)"),"Analyze the consequences of soil degradation and the loss of microbial diversity, including its impact on agricultural productivity and environmental sustainability.")</f>
        <v>Analyze the consequences of soil degradation and the loss of microbial diversity, including its impact on agricultural productivity and environmental sustainability.</v>
      </c>
      <c r="Q12" s="10" t="str">
        <f t="shared" si="4"/>
        <v>LU005649.005</v>
      </c>
      <c r="R12" s="10" t="str">
        <f ca="1">IFERROR(__xludf.DUMMYFUNCTION("VLOOKUP(Q12, IMPORTRANGE(""https://docs.google.com/spreadsheets/d/1yDAaXNsi4Mr5FtRQL4tbmSdIzhx6_m4wkOD7IG-k_eo/edit#gid=1336395716"", ""Science!M:N""), 2, FALSE)"),"Evaluate the importance of preserving and promoting microbial diversity in soil for sustainable agriculture and environmental conservation, considering the long-term benefits.")</f>
        <v>Evaluate the importance of preserving and promoting microbial diversity in soil for sustainable agriculture and environmental conservation, considering the long-term benefits.</v>
      </c>
      <c r="S12" s="10" t="str">
        <f t="shared" si="5"/>
        <v>LU005649.006</v>
      </c>
      <c r="T12" s="10" t="str">
        <f ca="1">IFERROR(__xludf.DUMMYFUNCTION("VLOOKUP(S12, IMPORTRANGE(""https://docs.google.com/spreadsheets/d/1yDAaXNsi4Mr5FtRQL4tbmSdIzhx6_m4wkOD7IG-k_eo/edit#gid=1336395716"", ""Science!M:N""), 2, FALSE)"),"Design a soil management plan for a specific agricultural or gardening project that emphasizes the promotion of soil microbial activity, including the use of organic matter and other practices to enhance soil health and fertility")</f>
        <v>Design a soil management plan for a specific agricultural or gardening project that emphasizes the promotion of soil microbial activity, including the use of organic matter and other practices to enhance soil health and fertility</v>
      </c>
      <c r="U12" s="116">
        <f ca="1">IFERROR(__xludf.DUMMYFUNCTION("ArrayFormula(VLOOKUP(G12, IMPORTRANGE(""https://docs.google.com/spreadsheets/d/1p7R4vtkWt5VOBim4ltsDG9KTzSjrtKXsMtQGXPHyND0/edit#gid=795171502"", ""'Filter 30_05_2024'!A1:M2000""), {2, 3, 4, 5,6,7,8,9,10,11,12,13}, 0))"),4)</f>
        <v>4</v>
      </c>
      <c r="V12" s="116">
        <f ca="1">IFERROR(__xludf.DUMMYFUNCTION("""COMPUTED_VALUE"""),6)</f>
        <v>6</v>
      </c>
      <c r="W12" s="116">
        <f ca="1">IFERROR(__xludf.DUMMYFUNCTION("""COMPUTED_VALUE"""),2)</f>
        <v>2</v>
      </c>
      <c r="X12" s="116">
        <f ca="1">IFERROR(__xludf.DUMMYFUNCTION("""COMPUTED_VALUE"""),12)</f>
        <v>12</v>
      </c>
      <c r="Y12" s="116">
        <f ca="1">IFERROR(__xludf.DUMMYFUNCTION("""COMPUTED_VALUE"""),4)</f>
        <v>4</v>
      </c>
      <c r="Z12" s="12">
        <f ca="1">IFERROR(__xludf.DUMMYFUNCTION("""COMPUTED_VALUE"""),3)</f>
        <v>3</v>
      </c>
      <c r="AA12" s="12">
        <f ca="1">IFERROR(__xludf.DUMMYFUNCTION("""COMPUTED_VALUE"""),1)</f>
        <v>1</v>
      </c>
      <c r="AB12" s="12">
        <f ca="1">IFERROR(__xludf.DUMMYFUNCTION("""COMPUTED_VALUE"""),8)</f>
        <v>8</v>
      </c>
      <c r="AC12" s="12"/>
      <c r="AD12" s="12"/>
      <c r="AE12" s="12"/>
      <c r="AF12" s="12"/>
      <c r="AG12" s="13" t="str">
        <f ca="1">IFERROR(__xludf.DUMMYFUNCTION("ArrayFormula(VLOOKUP(G12, IMPORTRANGE(""https://docs.google.com/spreadsheets/d/1Co934fvtviyaRiMsrIlT05Jaq7iiYq07aLvRr35KA48/edit?gid=173865642#gid=173865642"", ""'G8_Sci_Pri_LU'!G2:V2000""), {3, 4, 5, 6, 7, 8, 9, 10, 11, 12, 13, 14, 15, 16}, 0))"),"LU005409")</f>
        <v>LU005409</v>
      </c>
      <c r="AH12" s="13" t="str">
        <f ca="1">IFERROR(__xludf.DUMMYFUNCTION("""COMPUTED_VALUE"""),"Nitrogen Source and Fate in Plants")</f>
        <v>Nitrogen Source and Fate in Plants</v>
      </c>
      <c r="AI12" s="13" t="str">
        <f ca="1">IFERROR(__xludf.DUMMYFUNCTION("""COMPUTED_VALUE"""),"LU005412")</f>
        <v>LU005412</v>
      </c>
      <c r="AJ12" s="13" t="str">
        <f ca="1">IFERROR(__xludf.DUMMYFUNCTION("""COMPUTED_VALUE"""),"Symbiotic Relationship between plants and bacteria")</f>
        <v>Symbiotic Relationship between plants and bacteria</v>
      </c>
      <c r="AK12" s="13" t="str">
        <f ca="1">IFERROR(__xludf.DUMMYFUNCTION("""COMPUTED_VALUE"""),"LU005749")</f>
        <v>LU005749</v>
      </c>
      <c r="AL12" s="13" t="str">
        <f ca="1">IFERROR(__xludf.DUMMYFUNCTION("""COMPUTED_VALUE"""),"Definition of Soil")</f>
        <v>Definition of Soil</v>
      </c>
      <c r="AM12" s="13"/>
      <c r="AN12" s="13"/>
      <c r="AO12" s="13"/>
      <c r="AP12" s="13"/>
      <c r="AQ12" s="13"/>
      <c r="AR12" s="13"/>
      <c r="AS12" s="13"/>
      <c r="AT12" s="13"/>
    </row>
    <row r="13" spans="1:46" ht="66">
      <c r="A13" s="8" t="s">
        <v>247</v>
      </c>
      <c r="B13" s="8" t="s">
        <v>47</v>
      </c>
      <c r="C13" s="8" t="s">
        <v>731</v>
      </c>
      <c r="D13" s="8" t="s">
        <v>1406</v>
      </c>
      <c r="E13" s="8" t="s">
        <v>2029</v>
      </c>
      <c r="F13" s="10" t="s">
        <v>2033</v>
      </c>
      <c r="G13" s="8" t="s">
        <v>2035</v>
      </c>
      <c r="H13" s="8" t="str">
        <f ca="1">IFERROR(__xludf.DUMMYFUNCTION("VLOOKUP(G13, IMPORTRANGE(""https://docs.google.com/spreadsheets/d/14deopnvwcrKtEGCKuYXdUHJbeLDZlkiSSWWT0g7x2pM/edit#gid=849066331"", ""LU List Science (Filter)!A:B""), 2, FALSE)"),"Using Microbes for cleaning the environment")</f>
        <v>Using Microbes for cleaning the environment</v>
      </c>
      <c r="I13" s="10" t="str">
        <f t="shared" si="0"/>
        <v>LU005646.001</v>
      </c>
      <c r="J13" s="10" t="str">
        <f ca="1">IFERROR(__xludf.DUMMYFUNCTION("VLOOKUP(I13, IMPORTRANGE(""https://docs.google.com/spreadsheets/d/1yDAaXNsi4Mr5FtRQL4tbmSdIzhx6_m4wkOD7IG-k_eo/edit#gid=1336395716"", ""Science!M:N""), 2, FALSE)"),"List the ways in which microbes can be used to clean the environment, focusing on general methods rather than specific microbes.")</f>
        <v>List the ways in which microbes can be used to clean the environment, focusing on general methods rather than specific microbes.</v>
      </c>
      <c r="K13" s="10" t="str">
        <f t="shared" si="1"/>
        <v>LU005646.002</v>
      </c>
      <c r="L13" s="10" t="str">
        <f ca="1">IFERROR(__xludf.DUMMYFUNCTION("VLOOKUP(K13, IMPORTRANGE(""https://docs.google.com/spreadsheets/d/1yDAaXNsi4Mr5FtRQL4tbmSdIzhx6_m4wkOD7IG-k_eo/edit#gid=1336395716"", ""Science!M:N""), 2, FALSE)"),"Explain the basic process by which microbes contribute to environmental cleaning, emphasizing general principles.")</f>
        <v>Explain the basic process by which microbes contribute to environmental cleaning, emphasizing general principles.</v>
      </c>
      <c r="M13" s="10" t="str">
        <f t="shared" si="2"/>
        <v>LU005646.003</v>
      </c>
      <c r="N13" s="10" t="str">
        <f ca="1">IFERROR(__xludf.DUMMYFUNCTION("VLOOKUP(M13, IMPORTRANGE(""https://docs.google.com/spreadsheets/d/1yDAaXNsi4Mr5FtRQL4tbmSdIzhx6_m4wkOD7IG-k_eo/edit#gid=1336395716"", ""Science!M:N""), 2, FALSE)"),"Demonstrate the role of microbial action in environmental cleaning through a simple model or diagram.")</f>
        <v>Demonstrate the role of microbial action in environmental cleaning through a simple model or diagram.</v>
      </c>
      <c r="O13" s="10" t="str">
        <f t="shared" si="3"/>
        <v>LU005646.004</v>
      </c>
      <c r="P13" s="10" t="str">
        <f ca="1">IFERROR(__xludf.DUMMYFUNCTION("VLOOKUP(O13, IMPORTRANGE(""https://docs.google.com/spreadsheets/d/1yDAaXNsi4Mr5FtRQL4tbmSdIzhx6_m4wkOD7IG-k_eo/edit#gid=1336395716"", ""Science!M:N""), 2, FALSE)"),"Differentiate between the roles of various types of microbes in the environment, such as those breaking down organic matter and those aiding in bioremediation.")</f>
        <v>Differentiate between the roles of various types of microbes in the environment, such as those breaking down organic matter and those aiding in bioremediation.</v>
      </c>
      <c r="Q13" s="10" t="str">
        <f t="shared" si="4"/>
        <v>LU005646.005</v>
      </c>
      <c r="R13" s="10" t="str">
        <f ca="1">IFERROR(__xludf.DUMMYFUNCTION("VLOOKUP(Q13, IMPORTRANGE(""https://docs.google.com/spreadsheets/d/1yDAaXNsi4Mr5FtRQL4tbmSdIzhx6_m4wkOD7IG-k_eo/edit#gid=1336395716"", ""Science!M:N""), 2, FALSE)"),"Assess the effectiveness and limitations of using microbes for environmental cleaning in various scenarios like oil spill cleanup or waste management, without focusing on specific microbial species.")</f>
        <v>Assess the effectiveness and limitations of using microbes for environmental cleaning in various scenarios like oil spill cleanup or waste management, without focusing on specific microbial species.</v>
      </c>
      <c r="S13" s="10" t="str">
        <f t="shared" si="5"/>
        <v>LU005646.006</v>
      </c>
      <c r="T13" s="10" t="str">
        <f ca="1">IFERROR(__xludf.DUMMYFUNCTION("VLOOKUP(S13, IMPORTRANGE(""https://docs.google.com/spreadsheets/d/1yDAaXNsi4Mr5FtRQL4tbmSdIzhx6_m4wkOD7IG-k_eo/edit#gid=1336395716"", ""Science!M:N""), 2, FALSE)"),"#N/A")</f>
        <v>#N/A</v>
      </c>
      <c r="U13" s="116">
        <f ca="1">IFERROR(__xludf.DUMMYFUNCTION("ArrayFormula(VLOOKUP(G13, IMPORTRANGE(""https://docs.google.com/spreadsheets/d/1p7R4vtkWt5VOBim4ltsDG9KTzSjrtKXsMtQGXPHyND0/edit#gid=795171502"", ""'Filter 30_05_2024'!A1:M2000""), {2, 3, 4, 5,6,7,8,9,10,11,12,13}, 0))"),4)</f>
        <v>4</v>
      </c>
      <c r="V13" s="116">
        <f ca="1">IFERROR(__xludf.DUMMYFUNCTION("""COMPUTED_VALUE"""),6)</f>
        <v>6</v>
      </c>
      <c r="W13" s="116">
        <f ca="1">IFERROR(__xludf.DUMMYFUNCTION("""COMPUTED_VALUE"""),2)</f>
        <v>2</v>
      </c>
      <c r="X13" s="116">
        <f ca="1">IFERROR(__xludf.DUMMYFUNCTION("""COMPUTED_VALUE"""),12)</f>
        <v>12</v>
      </c>
      <c r="Y13" s="116">
        <f ca="1">IFERROR(__xludf.DUMMYFUNCTION("""COMPUTED_VALUE"""),4)</f>
        <v>4</v>
      </c>
      <c r="Z13" s="12">
        <f ca="1">IFERROR(__xludf.DUMMYFUNCTION("""COMPUTED_VALUE"""),3)</f>
        <v>3</v>
      </c>
      <c r="AA13" s="12">
        <f ca="1">IFERROR(__xludf.DUMMYFUNCTION("""COMPUTED_VALUE"""),1)</f>
        <v>1</v>
      </c>
      <c r="AB13" s="12">
        <f ca="1">IFERROR(__xludf.DUMMYFUNCTION("""COMPUTED_VALUE"""),8)</f>
        <v>8</v>
      </c>
      <c r="AC13" s="12"/>
      <c r="AD13" s="12"/>
      <c r="AE13" s="12"/>
      <c r="AF13" s="12"/>
      <c r="AG13" s="13" t="str">
        <f ca="1">IFERROR(__xludf.DUMMYFUNCTION("ArrayFormula(VLOOKUP(G13, IMPORTRANGE(""https://docs.google.com/spreadsheets/d/1Co934fvtviyaRiMsrIlT05Jaq7iiYq07aLvRr35KA48/edit?gid=173865642#gid=173865642"", ""'G8_Sci_Pri_LU'!G2:V2000""), {3, 4, 5, 6, 7, 8, 9, 10, 11, 12, 13, 14, 15, 16}, 0))"),"LU005260")</f>
        <v>LU005260</v>
      </c>
      <c r="AH13" s="13" t="str">
        <f ca="1">IFERROR(__xludf.DUMMYFUNCTION("""COMPUTED_VALUE"""),"Definition of biodegradable and non-biodegradable substances")</f>
        <v>Definition of biodegradable and non-biodegradable substances</v>
      </c>
      <c r="AI13" s="13" t="str">
        <f ca="1">IFERROR(__xludf.DUMMYFUNCTION("""COMPUTED_VALUE"""),"LU005964")</f>
        <v>LU005964</v>
      </c>
      <c r="AJ13" s="13" t="str">
        <f ca="1">IFERROR(__xludf.DUMMYFUNCTION("""COMPUTED_VALUE"""),"Decomposers' Role in Forest Health")</f>
        <v>Decomposers' Role in Forest Health</v>
      </c>
      <c r="AK13" s="13"/>
      <c r="AL13" s="13"/>
      <c r="AM13" s="13"/>
      <c r="AN13" s="13"/>
      <c r="AO13" s="13"/>
      <c r="AP13" s="13"/>
      <c r="AQ13" s="13"/>
      <c r="AR13" s="13"/>
      <c r="AS13" s="13"/>
      <c r="AT13" s="13"/>
    </row>
    <row r="14" spans="1:46" ht="52.8">
      <c r="A14" s="8" t="s">
        <v>247</v>
      </c>
      <c r="B14" s="8" t="s">
        <v>47</v>
      </c>
      <c r="C14" s="8" t="s">
        <v>731</v>
      </c>
      <c r="D14" s="8" t="s">
        <v>1406</v>
      </c>
      <c r="E14" s="8" t="s">
        <v>2029</v>
      </c>
      <c r="F14" s="8" t="s">
        <v>2036</v>
      </c>
      <c r="G14" s="8" t="s">
        <v>2037</v>
      </c>
      <c r="H14" s="8" t="str">
        <f ca="1">IFERROR(__xludf.DUMMYFUNCTION("VLOOKUP(G14, IMPORTRANGE(""https://docs.google.com/spreadsheets/d/14deopnvwcrKtEGCKuYXdUHJbeLDZlkiSSWWT0g7x2pM/edit#gid=849066331"", ""LU List Science (Filter)!A:B""), 2, FALSE)"),"Usage of microbes for making antibiotics")</f>
        <v>Usage of microbes for making antibiotics</v>
      </c>
      <c r="I14" s="10" t="str">
        <f t="shared" si="0"/>
        <v>LU005643.001</v>
      </c>
      <c r="J14" s="10" t="str">
        <f ca="1">IFERROR(__xludf.DUMMYFUNCTION("VLOOKUP(I14, IMPORTRANGE(""https://docs.google.com/spreadsheets/d/1yDAaXNsi4Mr5FtRQL4tbmSdIzhx6_m4wkOD7IG-k_eo/edit#gid=1336395716"", ""Science!M:N""), 2, FALSE)"),"Students will recall the discovery of antibiotics by Alexander Fleming and identify common antibiotics produced using microbes.")</f>
        <v>Students will recall the discovery of antibiotics by Alexander Fleming and identify common antibiotics produced using microbes.</v>
      </c>
      <c r="K14" s="10" t="str">
        <f t="shared" si="1"/>
        <v>LU005643.002</v>
      </c>
      <c r="L14" s="10" t="str">
        <f ca="1">IFERROR(__xludf.DUMMYFUNCTION("VLOOKUP(K14, IMPORTRANGE(""https://docs.google.com/spreadsheets/d/1yDAaXNsi4Mr5FtRQL4tbmSdIzhx6_m4wkOD7IG-k_eo/edit#gid=1336395716"", ""Science!M:N""), 2, FALSE)"),"Students will explain the process of antibiotic production using microbes and their role in medicine and animal husbandry.")</f>
        <v>Students will explain the process of antibiotic production using microbes and their role in medicine and animal husbandry.</v>
      </c>
      <c r="M14" s="10" t="str">
        <f t="shared" si="2"/>
        <v>LU005643.003</v>
      </c>
      <c r="N14" s="10" t="str">
        <f ca="1">IFERROR(__xludf.DUMMYFUNCTION("VLOOKUP(M14, IMPORTRANGE(""https://docs.google.com/spreadsheets/d/1yDAaXNsi4Mr5FtRQL4tbmSdIzhx6_m4wkOD7IG-k_eo/edit#gid=1336395716"", ""Science!M:N""), 2, FALSE)"),"Students will demonstrate the steps involved in the production of antibiotics through a diagram or a simple model.")</f>
        <v>Students will demonstrate the steps involved in the production of antibiotics through a diagram or a simple model.</v>
      </c>
      <c r="O14" s="10" t="str">
        <f t="shared" si="3"/>
        <v>LU005643.004</v>
      </c>
      <c r="P14" s="10" t="str">
        <f ca="1">IFERROR(__xludf.DUMMYFUNCTION("VLOOKUP(O14, IMPORTRANGE(""https://docs.google.com/spreadsheets/d/1yDAaXNsi4Mr5FtRQL4tbmSdIzhx6_m4wkOD7IG-k_eo/edit#gid=1336395716"", ""Science!M:N""), 2, FALSE)"),"Students will analyze the impact of antibiotics in healthcare and animal husbandry, including their benefits and potential risks.")</f>
        <v>Students will analyze the impact of antibiotics in healthcare and animal husbandry, including their benefits and potential risks.</v>
      </c>
      <c r="Q14" s="10" t="str">
        <f t="shared" si="4"/>
        <v>LU005643.005</v>
      </c>
      <c r="R14" s="10" t="str">
        <f ca="1">IFERROR(__xludf.DUMMYFUNCTION("VLOOKUP(Q14, IMPORTRANGE(""https://docs.google.com/spreadsheets/d/1yDAaXNsi4Mr5FtRQL4tbmSdIzhx6_m4wkOD7IG-k_eo/edit#gid=1336395716"", ""Science!M:N""), 2, FALSE)"),"Students will evaluate the ethical and environmental implications of antibiotic usage in medicine and animal husbandry.")</f>
        <v>Students will evaluate the ethical and environmental implications of antibiotic usage in medicine and animal husbandry.</v>
      </c>
      <c r="S14" s="10" t="str">
        <f t="shared" si="5"/>
        <v>LU005643.006</v>
      </c>
      <c r="T14" s="10" t="str">
        <f ca="1">IFERROR(__xludf.DUMMYFUNCTION("VLOOKUP(S14, IMPORTRANGE(""https://docs.google.com/spreadsheets/d/1yDAaXNsi4Mr5FtRQL4tbmSdIzhx6_m4wkOD7IG-k_eo/edit#gid=1336395716"", ""Science!M:N""), 2, FALSE)"),"#N/A")</f>
        <v>#N/A</v>
      </c>
      <c r="U14" s="116">
        <f ca="1">IFERROR(__xludf.DUMMYFUNCTION("ArrayFormula(VLOOKUP(G14, IMPORTRANGE(""https://docs.google.com/spreadsheets/d/1p7R4vtkWt5VOBim4ltsDG9KTzSjrtKXsMtQGXPHyND0/edit#gid=795171502"", ""'Filter 30_05_2024'!A1:M2000""), {2, 3, 4, 5,6,7,8,9,10,11,12,13}, 0))"),4)</f>
        <v>4</v>
      </c>
      <c r="V14" s="116">
        <f ca="1">IFERROR(__xludf.DUMMYFUNCTION("""COMPUTED_VALUE"""),6)</f>
        <v>6</v>
      </c>
      <c r="W14" s="116">
        <f ca="1">IFERROR(__xludf.DUMMYFUNCTION("""COMPUTED_VALUE"""),2)</f>
        <v>2</v>
      </c>
      <c r="X14" s="116">
        <f ca="1">IFERROR(__xludf.DUMMYFUNCTION("""COMPUTED_VALUE"""),12)</f>
        <v>12</v>
      </c>
      <c r="Y14" s="116">
        <f ca="1">IFERROR(__xludf.DUMMYFUNCTION("""COMPUTED_VALUE"""),4)</f>
        <v>4</v>
      </c>
      <c r="Z14" s="12">
        <f ca="1">IFERROR(__xludf.DUMMYFUNCTION("""COMPUTED_VALUE"""),3)</f>
        <v>3</v>
      </c>
      <c r="AA14" s="12">
        <f ca="1">IFERROR(__xludf.DUMMYFUNCTION("""COMPUTED_VALUE"""),1)</f>
        <v>1</v>
      </c>
      <c r="AB14" s="12">
        <f ca="1">IFERROR(__xludf.DUMMYFUNCTION("""COMPUTED_VALUE"""),8)</f>
        <v>8</v>
      </c>
      <c r="AC14" s="12"/>
      <c r="AD14" s="12"/>
      <c r="AE14" s="12"/>
      <c r="AF14" s="12"/>
      <c r="AG14" s="13" t="str">
        <f ca="1">IFERROR(__xludf.DUMMYFUNCTION("ArrayFormula(VLOOKUP(G14, IMPORTRANGE(""https://docs.google.com/spreadsheets/d/1Co934fvtviyaRiMsrIlT05Jaq7iiYq07aLvRr35KA48/edit?gid=173865642#gid=173865642"", ""'G8_Sci_Pri_LU'!G2:V2000""), {3, 4, 5, 6, 7, 8, 9, 10, 11, 12, 13, 14, 15, 16}, 0))"),"LU005635")</f>
        <v>LU005635</v>
      </c>
      <c r="AH14" s="13" t="str">
        <f ca="1">IFERROR(__xludf.DUMMYFUNCTION("""COMPUTED_VALUE"""),"Introduction to Microorganisms")</f>
        <v>Introduction to Microorganisms</v>
      </c>
      <c r="AI14" s="13" t="str">
        <f ca="1">IFERROR(__xludf.DUMMYFUNCTION("""COMPUTED_VALUE"""),"LU005088")</f>
        <v>LU005088</v>
      </c>
      <c r="AJ14" s="13" t="str">
        <f ca="1">IFERROR(__xludf.DUMMYFUNCTION("""COMPUTED_VALUE"""),"Definition of diseases")</f>
        <v>Definition of diseases</v>
      </c>
      <c r="AK14" s="13"/>
      <c r="AL14" s="13"/>
      <c r="AM14" s="13"/>
      <c r="AN14" s="13"/>
      <c r="AO14" s="13"/>
      <c r="AP14" s="13"/>
      <c r="AQ14" s="13"/>
      <c r="AR14" s="13"/>
      <c r="AS14" s="13"/>
      <c r="AT14" s="13"/>
    </row>
    <row r="15" spans="1:46" ht="52.8">
      <c r="A15" s="8" t="s">
        <v>247</v>
      </c>
      <c r="B15" s="8" t="s">
        <v>47</v>
      </c>
      <c r="C15" s="8" t="s">
        <v>731</v>
      </c>
      <c r="D15" s="8" t="s">
        <v>1406</v>
      </c>
      <c r="E15" s="8" t="s">
        <v>2029</v>
      </c>
      <c r="F15" s="8" t="s">
        <v>2036</v>
      </c>
      <c r="G15" s="8" t="s">
        <v>2038</v>
      </c>
      <c r="H15" s="8" t="str">
        <f ca="1">IFERROR(__xludf.DUMMYFUNCTION("VLOOKUP(G15, IMPORTRANGE(""https://docs.google.com/spreadsheets/d/14deopnvwcrKtEGCKuYXdUHJbeLDZlkiSSWWT0g7x2pM/edit#gid=849066331"", ""LU List Science (Filter)!A:B""), 2, FALSE)"),"Usage of Microbes in Vaccination")</f>
        <v>Usage of Microbes in Vaccination</v>
      </c>
      <c r="I15" s="10" t="str">
        <f t="shared" si="0"/>
        <v>LU005647.001</v>
      </c>
      <c r="J15" s="10" t="str">
        <f ca="1">IFERROR(__xludf.DUMMYFUNCTION("VLOOKUP(I15, IMPORTRANGE(""https://docs.google.com/spreadsheets/d/1yDAaXNsi4Mr5FtRQL4tbmSdIzhx6_m4wkOD7IG-k_eo/edit#gid=1336395716"", ""Science!M:N""), 2, FALSE)"),"Recall the types of microbes commonly used in vaccine production, such as viruses or bacteria.")</f>
        <v>Recall the types of microbes commonly used in vaccine production, such as viruses or bacteria.</v>
      </c>
      <c r="K15" s="10" t="str">
        <f t="shared" si="1"/>
        <v>LU005647.002</v>
      </c>
      <c r="L15" s="10" t="str">
        <f ca="1">IFERROR(__xludf.DUMMYFUNCTION("VLOOKUP(K15, IMPORTRANGE(""https://docs.google.com/spreadsheets/d/1yDAaXNsi4Mr5FtRQL4tbmSdIzhx6_m4wkOD7IG-k_eo/edit#gid=1336395716"", ""Science!M:N""), 2, FALSE)"),"Explain how vaccines work by using weakened or inactivated microbes to stimulate the immune system and provide immunity against diseases.")</f>
        <v>Explain how vaccines work by using weakened or inactivated microbes to stimulate the immune system and provide immunity against diseases.</v>
      </c>
      <c r="M15" s="10" t="str">
        <f t="shared" si="2"/>
        <v>LU005647.003</v>
      </c>
      <c r="N15" s="10" t="str">
        <f ca="1">IFERROR(__xludf.DUMMYFUNCTION("VLOOKUP(M15, IMPORTRANGE(""https://docs.google.com/spreadsheets/d/1yDAaXNsi4Mr5FtRQL4tbmSdIzhx6_m4wkOD7IG-k_eo/edit#gid=1336395716"", ""Science!M:N""), 2, FALSE)"),"Demonstrate the process of vaccine administration, including proper storage, handling, and the importance of vaccination schedules.")</f>
        <v>Demonstrate the process of vaccine administration, including proper storage, handling, and the importance of vaccination schedules.</v>
      </c>
      <c r="O15" s="10" t="str">
        <f t="shared" si="3"/>
        <v>LU005647.004</v>
      </c>
      <c r="P15" s="10" t="str">
        <f ca="1">IFERROR(__xludf.DUMMYFUNCTION("VLOOKUP(O15, IMPORTRANGE(""https://docs.google.com/spreadsheets/d/1yDAaXNsi4Mr5FtRQL4tbmSdIzhx6_m4wkOD7IG-k_eo/edit#gid=1336395716"", ""Science!M:N""), 2, FALSE)"),"Analyze the role of specific microbes in the development of vaccines for different diseases, considering their mode of action and effectiveness.")</f>
        <v>Analyze the role of specific microbes in the development of vaccines for different diseases, considering their mode of action and effectiveness.</v>
      </c>
      <c r="Q15" s="10" t="str">
        <f t="shared" si="4"/>
        <v>LU005647.005</v>
      </c>
      <c r="R15" s="10" t="str">
        <f ca="1">IFERROR(__xludf.DUMMYFUNCTION("VLOOKUP(Q15, IMPORTRANGE(""https://docs.google.com/spreadsheets/d/1yDAaXNsi4Mr5FtRQL4tbmSdIzhx6_m4wkOD7IG-k_eo/edit#gid=1336395716"", ""Science!M:N""), 2, FALSE)"),"Evaluate the significance of vaccination in preventing and controlling infectious diseases, considering its impact on public health and herd immunity.")</f>
        <v>Evaluate the significance of vaccination in preventing and controlling infectious diseases, considering its impact on public health and herd immunity.</v>
      </c>
      <c r="S15" s="10" t="str">
        <f t="shared" si="5"/>
        <v>LU005647.006</v>
      </c>
      <c r="T15" s="10" t="str">
        <f ca="1">IFERROR(__xludf.DUMMYFUNCTION("VLOOKUP(S15, IMPORTRANGE(""https://docs.google.com/spreadsheets/d/1yDAaXNsi4Mr5FtRQL4tbmSdIzhx6_m4wkOD7IG-k_eo/edit#gid=1336395716"", ""Science!M:N""), 2, FALSE)"),"#N/A")</f>
        <v>#N/A</v>
      </c>
      <c r="U15" s="116">
        <f ca="1">IFERROR(__xludf.DUMMYFUNCTION("ArrayFormula(VLOOKUP(G15, IMPORTRANGE(""https://docs.google.com/spreadsheets/d/1p7R4vtkWt5VOBim4ltsDG9KTzSjrtKXsMtQGXPHyND0/edit#gid=795171502"", ""'Filter 30_05_2024'!A1:M2000""), {2, 3, 4, 5,6,7,8,9,10,11,12,13}, 0))"),4)</f>
        <v>4</v>
      </c>
      <c r="V15" s="116">
        <f ca="1">IFERROR(__xludf.DUMMYFUNCTION("""COMPUTED_VALUE"""),6)</f>
        <v>6</v>
      </c>
      <c r="W15" s="116">
        <f ca="1">IFERROR(__xludf.DUMMYFUNCTION("""COMPUTED_VALUE"""),2)</f>
        <v>2</v>
      </c>
      <c r="X15" s="116">
        <f ca="1">IFERROR(__xludf.DUMMYFUNCTION("""COMPUTED_VALUE"""),12)</f>
        <v>12</v>
      </c>
      <c r="Y15" s="116">
        <f ca="1">IFERROR(__xludf.DUMMYFUNCTION("""COMPUTED_VALUE"""),5)</f>
        <v>5</v>
      </c>
      <c r="Z15" s="12">
        <f ca="1">IFERROR(__xludf.DUMMYFUNCTION("""COMPUTED_VALUE"""),3)</f>
        <v>3</v>
      </c>
      <c r="AA15" s="12">
        <f ca="1">IFERROR(__xludf.DUMMYFUNCTION("""COMPUTED_VALUE"""),1)</f>
        <v>1</v>
      </c>
      <c r="AB15" s="12">
        <f ca="1">IFERROR(__xludf.DUMMYFUNCTION("""COMPUTED_VALUE"""),9)</f>
        <v>9</v>
      </c>
      <c r="AC15" s="12"/>
      <c r="AD15" s="12"/>
      <c r="AE15" s="12"/>
      <c r="AF15" s="12"/>
      <c r="AG15" s="13" t="str">
        <f ca="1">IFERROR(__xludf.DUMMYFUNCTION("ArrayFormula(VLOOKUP(G15, IMPORTRANGE(""https://docs.google.com/spreadsheets/d/1Co934fvtviyaRiMsrIlT05Jaq7iiYq07aLvRr35KA48/edit?gid=173865642#gid=173865642"", ""'G8_Sci_Pri_LU'!G2:V2000""), {3, 4, 5, 6, 7, 8, 9, 10, 11, 12, 13, 14, 15, 16}, 0))"),"LU005635")</f>
        <v>LU005635</v>
      </c>
      <c r="AH15" s="13" t="str">
        <f ca="1">IFERROR(__xludf.DUMMYFUNCTION("""COMPUTED_VALUE"""),"Introduction to Microorganisms")</f>
        <v>Introduction to Microorganisms</v>
      </c>
      <c r="AI15" s="13" t="str">
        <f ca="1">IFERROR(__xludf.DUMMYFUNCTION("""COMPUTED_VALUE"""),"LU005088")</f>
        <v>LU005088</v>
      </c>
      <c r="AJ15" s="13" t="str">
        <f ca="1">IFERROR(__xludf.DUMMYFUNCTION("""COMPUTED_VALUE"""),"Definition of diseases")</f>
        <v>Definition of diseases</v>
      </c>
      <c r="AK15" s="13"/>
      <c r="AL15" s="13"/>
      <c r="AM15" s="13"/>
      <c r="AN15" s="13"/>
      <c r="AO15" s="13"/>
      <c r="AP15" s="13"/>
      <c r="AQ15" s="13"/>
      <c r="AR15" s="13"/>
      <c r="AS15" s="13"/>
      <c r="AT15" s="13"/>
    </row>
    <row r="16" spans="1:46" ht="39.6">
      <c r="A16" s="8" t="s">
        <v>247</v>
      </c>
      <c r="B16" s="8" t="s">
        <v>47</v>
      </c>
      <c r="C16" s="8" t="s">
        <v>731</v>
      </c>
      <c r="D16" s="8" t="s">
        <v>1406</v>
      </c>
      <c r="E16" s="8" t="s">
        <v>2029</v>
      </c>
      <c r="F16" s="8" t="s">
        <v>2039</v>
      </c>
      <c r="G16" s="8" t="s">
        <v>2040</v>
      </c>
      <c r="H16" s="8" t="str">
        <f ca="1">IFERROR(__xludf.DUMMYFUNCTION("VLOOKUP(G16, IMPORTRANGE(""https://docs.google.com/spreadsheets/d/14deopnvwcrKtEGCKuYXdUHJbeLDZlkiSSWWT0g7x2pM/edit#gid=849066331"", ""LU List Science (Filter)!A:B""), 2, FALSE)"),"Harmful microbes to humans, animals and plants")</f>
        <v>Harmful microbes to humans, animals and plants</v>
      </c>
      <c r="I16" s="10" t="str">
        <f t="shared" si="0"/>
        <v>LU005637.001</v>
      </c>
      <c r="J16" s="10" t="str">
        <f ca="1">IFERROR(__xludf.DUMMYFUNCTION("VLOOKUP(I16, IMPORTRANGE(""https://docs.google.com/spreadsheets/d/1yDAaXNsi4Mr5FtRQL4tbmSdIzhx6_m4wkOD7IG-k_eo/edit#gid=1336395716"", ""Science!M:N""), 2, FALSE)"),"Students will list common harmful microbes that affect humans, animals, and plants.")</f>
        <v>Students will list common harmful microbes that affect humans, animals, and plants.</v>
      </c>
      <c r="K16" s="10" t="str">
        <f t="shared" si="1"/>
        <v>LU005637.002</v>
      </c>
      <c r="L16" s="10" t="str">
        <f ca="1">IFERROR(__xludf.DUMMYFUNCTION("VLOOKUP(K16, IMPORTRANGE(""https://docs.google.com/spreadsheets/d/1yDAaXNsi4Mr5FtRQL4tbmSdIzhx6_m4wkOD7IG-k_eo/edit#gid=1336395716"", ""Science!M:N""), 2, FALSE)"),"Students will describe how specific microbes are harmful to humans, animals, and plants.")</f>
        <v>Students will describe how specific microbes are harmful to humans, animals, and plants.</v>
      </c>
      <c r="M16" s="10" t="str">
        <f t="shared" si="2"/>
        <v>LU005637.003</v>
      </c>
      <c r="N16" s="10" t="str">
        <f ca="1">IFERROR(__xludf.DUMMYFUNCTION("VLOOKUP(M16, IMPORTRANGE(""https://docs.google.com/spreadsheets/d/1yDAaXNsi4Mr5FtRQL4tbmSdIzhx6_m4wkOD7IG-k_eo/edit#gid=1336395716"", ""Science!M:N""), 2, FALSE)"),"Students will demonstrate the transmission process of a selected harmful microbe using a diagram or model.")</f>
        <v>Students will demonstrate the transmission process of a selected harmful microbe using a diagram or model.</v>
      </c>
      <c r="O16" s="10" t="str">
        <f t="shared" si="3"/>
        <v>LU005637.004</v>
      </c>
      <c r="P16" s="10" t="str">
        <f ca="1">IFERROR(__xludf.DUMMYFUNCTION("VLOOKUP(O16, IMPORTRANGE(""https://docs.google.com/spreadsheets/d/1yDAaXNsi4Mr5FtRQL4tbmSdIzhx6_m4wkOD7IG-k_eo/edit#gid=1336395716"", ""Science!M:N""), 2, FALSE)"),"Students will analyze the impact of harmful microbes on human health, agriculture, and the ecosystem.")</f>
        <v>Students will analyze the impact of harmful microbes on human health, agriculture, and the ecosystem.</v>
      </c>
      <c r="Q16" s="10" t="str">
        <f t="shared" si="4"/>
        <v>LU005637.005</v>
      </c>
      <c r="R16" s="10" t="str">
        <f ca="1">IFERROR(__xludf.DUMMYFUNCTION("VLOOKUP(Q16, IMPORTRANGE(""https://docs.google.com/spreadsheets/d/1yDAaXNsi4Mr5FtRQL4tbmSdIzhx6_m4wkOD7IG-k_eo/edit#gid=1336395716"", ""Science!M:N""), 2, FALSE)"),"Students will evaluate the effectiveness of various methods used to control harmful microbes.")</f>
        <v>Students will evaluate the effectiveness of various methods used to control harmful microbes.</v>
      </c>
      <c r="S16" s="10" t="str">
        <f t="shared" si="5"/>
        <v>LU005637.006</v>
      </c>
      <c r="T16" s="10" t="str">
        <f ca="1">IFERROR(__xludf.DUMMYFUNCTION("VLOOKUP(S16, IMPORTRANGE(""https://docs.google.com/spreadsheets/d/1yDAaXNsi4Mr5FtRQL4tbmSdIzhx6_m4wkOD7IG-k_eo/edit#gid=1336395716"", ""Science!M:N""), 2, FALSE)"),"#N/A")</f>
        <v>#N/A</v>
      </c>
      <c r="U16" s="116">
        <f ca="1">IFERROR(__xludf.DUMMYFUNCTION("ArrayFormula(VLOOKUP(G16, IMPORTRANGE(""https://docs.google.com/spreadsheets/d/1p7R4vtkWt5VOBim4ltsDG9KTzSjrtKXsMtQGXPHyND0/edit#gid=795171502"", ""'Filter 30_05_2024'!A1:M2000""), {2, 3, 4, 5,6,7,8,9,10,11,12,13}, 0))"),3)</f>
        <v>3</v>
      </c>
      <c r="V16" s="116">
        <f ca="1">IFERROR(__xludf.DUMMYFUNCTION("""COMPUTED_VALUE"""),6)</f>
        <v>6</v>
      </c>
      <c r="W16" s="116">
        <f ca="1">IFERROR(__xludf.DUMMYFUNCTION("""COMPUTED_VALUE"""),2)</f>
        <v>2</v>
      </c>
      <c r="X16" s="116">
        <f ca="1">IFERROR(__xludf.DUMMYFUNCTION("""COMPUTED_VALUE"""),11)</f>
        <v>11</v>
      </c>
      <c r="Y16" s="116">
        <f ca="1">IFERROR(__xludf.DUMMYFUNCTION("""COMPUTED_VALUE"""),5)</f>
        <v>5</v>
      </c>
      <c r="Z16" s="12">
        <f ca="1">IFERROR(__xludf.DUMMYFUNCTION("""COMPUTED_VALUE"""),3)</f>
        <v>3</v>
      </c>
      <c r="AA16" s="12">
        <f ca="1">IFERROR(__xludf.DUMMYFUNCTION("""COMPUTED_VALUE"""),1)</f>
        <v>1</v>
      </c>
      <c r="AB16" s="12">
        <f ca="1">IFERROR(__xludf.DUMMYFUNCTION("""COMPUTED_VALUE"""),9)</f>
        <v>9</v>
      </c>
      <c r="AC16" s="12"/>
      <c r="AD16" s="12"/>
      <c r="AE16" s="12"/>
      <c r="AF16" s="12"/>
      <c r="AG16" s="13" t="str">
        <f ca="1">IFERROR(__xludf.DUMMYFUNCTION("ArrayFormula(VLOOKUP(G16, IMPORTRANGE(""https://docs.google.com/spreadsheets/d/1Co934fvtviyaRiMsrIlT05Jaq7iiYq07aLvRr35KA48/edit?gid=173865642#gid=173865642"", ""'G8_Sci_Pri_LU'!G2:V2000""), {3, 4, 5, 6, 7, 8, 9, 10, 11, 12, 13, 14, 15, 16}, 0))"),"LU005088")</f>
        <v>LU005088</v>
      </c>
      <c r="AH16" s="13" t="str">
        <f ca="1">IFERROR(__xludf.DUMMYFUNCTION("""COMPUTED_VALUE"""),"Definition of diseases")</f>
        <v>Definition of diseases</v>
      </c>
      <c r="AI16" s="13" t="str">
        <f ca="1">IFERROR(__xludf.DUMMYFUNCTION("""COMPUTED_VALUE"""),"LU005093")</f>
        <v>LU005093</v>
      </c>
      <c r="AJ16" s="13" t="str">
        <f ca="1">IFERROR(__xludf.DUMMYFUNCTION("""COMPUTED_VALUE"""),"Two Types of Diseases - Communicable and Non-Communicable Diseases (with Examples)")</f>
        <v>Two Types of Diseases - Communicable and Non-Communicable Diseases (with Examples)</v>
      </c>
      <c r="AK16" s="13" t="str">
        <f ca="1">IFERROR(__xludf.DUMMYFUNCTION("""COMPUTED_VALUE"""),"LU005094")</f>
        <v>LU005094</v>
      </c>
      <c r="AL16" s="13" t="str">
        <f ca="1">IFERROR(__xludf.DUMMYFUNCTION("""COMPUTED_VALUE"""),"Various Mosquito-Borne Diseases")</f>
        <v>Various Mosquito-Borne Diseases</v>
      </c>
      <c r="AM16" s="13"/>
      <c r="AN16" s="13"/>
      <c r="AO16" s="13"/>
      <c r="AP16" s="13"/>
      <c r="AQ16" s="13"/>
      <c r="AR16" s="13"/>
      <c r="AS16" s="13"/>
      <c r="AT16" s="13"/>
    </row>
    <row r="17" spans="1:46" ht="52.8">
      <c r="A17" s="8" t="s">
        <v>247</v>
      </c>
      <c r="B17" s="8" t="s">
        <v>47</v>
      </c>
      <c r="C17" s="8" t="s">
        <v>731</v>
      </c>
      <c r="D17" s="8" t="s">
        <v>1406</v>
      </c>
      <c r="E17" s="8" t="s">
        <v>2029</v>
      </c>
      <c r="F17" s="8" t="s">
        <v>2039</v>
      </c>
      <c r="G17" s="8" t="s">
        <v>2041</v>
      </c>
      <c r="H17" s="8" t="str">
        <f ca="1">IFERROR(__xludf.DUMMYFUNCTION("VLOOKUP(G17, IMPORTRANGE(""https://docs.google.com/spreadsheets/d/14deopnvwcrKtEGCKuYXdUHJbeLDZlkiSSWWT0g7x2pM/edit#gid=849066331"", ""LU List Science (Filter)!A:B""), 2, FALSE)"),"Food poisoning and various methods of food preservation")</f>
        <v>Food poisoning and various methods of food preservation</v>
      </c>
      <c r="I17" s="10" t="str">
        <f t="shared" si="0"/>
        <v>LU005640.001</v>
      </c>
      <c r="J17" s="10" t="str">
        <f ca="1">IFERROR(__xludf.DUMMYFUNCTION("VLOOKUP(I17, IMPORTRANGE(""https://docs.google.com/spreadsheets/d/1yDAaXNsi4Mr5FtRQL4tbmSdIzhx6_m4wkOD7IG-k_eo/edit#gid=1336395716"", ""Science!M:N""), 2, FALSE)"),"Students will recall the causes of food poisoning and list common methods of food preservation.")</f>
        <v>Students will recall the causes of food poisoning and list common methods of food preservation.</v>
      </c>
      <c r="K17" s="10" t="str">
        <f t="shared" si="1"/>
        <v>LU005640.002</v>
      </c>
      <c r="L17" s="10" t="str">
        <f ca="1">IFERROR(__xludf.DUMMYFUNCTION("VLOOKUP(K17, IMPORTRANGE(""https://docs.google.com/spreadsheets/d/1yDAaXNsi4Mr5FtRQL4tbmSdIzhx6_m4wkOD7IG-k_eo/edit#gid=1336395716"", ""Science!M:N""), 2, FALSE)"),"Students will describe how different food preservation methods prevent food poisoning.")</f>
        <v>Students will describe how different food preservation methods prevent food poisoning.</v>
      </c>
      <c r="M17" s="10" t="str">
        <f t="shared" si="2"/>
        <v>LU005640.003</v>
      </c>
      <c r="N17" s="10" t="str">
        <f ca="1">IFERROR(__xludf.DUMMYFUNCTION("VLOOKUP(M17, IMPORTRANGE(""https://docs.google.com/spreadsheets/d/1yDAaXNsi4Mr5FtRQL4tbmSdIzhx6_m4wkOD7IG-k_eo/edit#gid=1336395716"", ""Science!M:N""), 2, FALSE)"),"Students will demonstrate one method of food preservation in a class experiment or practical demonstration.")</f>
        <v>Students will demonstrate one method of food preservation in a class experiment or practical demonstration.</v>
      </c>
      <c r="O17" s="10" t="str">
        <f t="shared" si="3"/>
        <v>LU005640.004</v>
      </c>
      <c r="P17" s="10" t="str">
        <f ca="1">IFERROR(__xludf.DUMMYFUNCTION("VLOOKUP(O17, IMPORTRANGE(""https://docs.google.com/spreadsheets/d/1yDAaXNsi4Mr5FtRQL4tbmSdIzhx6_m4wkOD7IG-k_eo/edit#gid=1336395716"", ""Science!M:N""), 2, FALSE)"),"Students will analyze the effectiveness of various food preservation techniques in inhibiting the growth of microorganisms that cause food poisoning.")</f>
        <v>Students will analyze the effectiveness of various food preservation techniques in inhibiting the growth of microorganisms that cause food poisoning.</v>
      </c>
      <c r="Q17" s="10" t="str">
        <f t="shared" si="4"/>
        <v>LU005640.005</v>
      </c>
      <c r="R17" s="10" t="str">
        <f ca="1">IFERROR(__xludf.DUMMYFUNCTION("VLOOKUP(Q17, IMPORTRANGE(""https://docs.google.com/spreadsheets/d/1yDAaXNsi4Mr5FtRQL4tbmSdIzhx6_m4wkOD7IG-k_eo/edit#gid=1336395716"", ""Science!M:N""), 2, FALSE)"),"Students will evaluate the advantages and disadvantages of different food preservation methods in terms of nutritional value, cost, and practicality.")</f>
        <v>Students will evaluate the advantages and disadvantages of different food preservation methods in terms of nutritional value, cost, and practicality.</v>
      </c>
      <c r="S17" s="10" t="str">
        <f t="shared" si="5"/>
        <v>LU005640.006</v>
      </c>
      <c r="T17" s="10" t="str">
        <f ca="1">IFERROR(__xludf.DUMMYFUNCTION("VLOOKUP(S17, IMPORTRANGE(""https://docs.google.com/spreadsheets/d/1yDAaXNsi4Mr5FtRQL4tbmSdIzhx6_m4wkOD7IG-k_eo/edit#gid=1336395716"", ""Science!M:N""), 2, FALSE)"),"#N/A")</f>
        <v>#N/A</v>
      </c>
      <c r="U17" s="116">
        <f ca="1">IFERROR(__xludf.DUMMYFUNCTION("ArrayFormula(VLOOKUP(G17, IMPORTRANGE(""https://docs.google.com/spreadsheets/d/1p7R4vtkWt5VOBim4ltsDG9KTzSjrtKXsMtQGXPHyND0/edit#gid=795171502"", ""'Filter 30_05_2024'!A1:M2000""), {2, 3, 4, 5,6,7,8,9,10,11,12,13}, 0))"),4)</f>
        <v>4</v>
      </c>
      <c r="V17" s="116">
        <f ca="1">IFERROR(__xludf.DUMMYFUNCTION("""COMPUTED_VALUE"""),6)</f>
        <v>6</v>
      </c>
      <c r="W17" s="116">
        <f ca="1">IFERROR(__xludf.DUMMYFUNCTION("""COMPUTED_VALUE"""),2)</f>
        <v>2</v>
      </c>
      <c r="X17" s="116">
        <f ca="1">IFERROR(__xludf.DUMMYFUNCTION("""COMPUTED_VALUE"""),12)</f>
        <v>12</v>
      </c>
      <c r="Y17" s="116">
        <f ca="1">IFERROR(__xludf.DUMMYFUNCTION("""COMPUTED_VALUE"""),4)</f>
        <v>4</v>
      </c>
      <c r="Z17" s="12">
        <f ca="1">IFERROR(__xludf.DUMMYFUNCTION("""COMPUTED_VALUE"""),3)</f>
        <v>3</v>
      </c>
      <c r="AA17" s="12">
        <f ca="1">IFERROR(__xludf.DUMMYFUNCTION("""COMPUTED_VALUE"""),1)</f>
        <v>1</v>
      </c>
      <c r="AB17" s="12">
        <f ca="1">IFERROR(__xludf.DUMMYFUNCTION("""COMPUTED_VALUE"""),8)</f>
        <v>8</v>
      </c>
      <c r="AC17" s="12"/>
      <c r="AD17" s="12"/>
      <c r="AE17" s="12"/>
      <c r="AF17" s="12"/>
      <c r="AG17" s="13" t="str">
        <f ca="1">IFERROR(__xludf.DUMMYFUNCTION("ArrayFormula(VLOOKUP(G17, IMPORTRANGE(""https://docs.google.com/spreadsheets/d/1Co934fvtviyaRiMsrIlT05Jaq7iiYq07aLvRr35KA48/edit?gid=173865642#gid=173865642"", ""'G8_Sci_Pri_LU'!G2:V2000""), {3, 4, 5, 6, 7, 8, 9, 10, 11, 12, 13, 14, 15, 16}, 0))"),"LU005068")</f>
        <v>LU005068</v>
      </c>
      <c r="AH17" s="13" t="str">
        <f ca="1">IFERROR(__xludf.DUMMYFUNCTION("""COMPUTED_VALUE"""),"Food spoilage and its causes")</f>
        <v>Food spoilage and its causes</v>
      </c>
      <c r="AI17" s="13" t="str">
        <f ca="1">IFERROR(__xludf.DUMMYFUNCTION("""COMPUTED_VALUE"""),"LU005071")</f>
        <v>LU005071</v>
      </c>
      <c r="AJ17" s="13" t="str">
        <f ca="1">IFERROR(__xludf.DUMMYFUNCTION("""COMPUTED_VALUE"""),"Food Storage and Preservation Basics ")</f>
        <v xml:space="preserve">Food Storage and Preservation Basics </v>
      </c>
      <c r="AK17" s="13" t="str">
        <f ca="1">IFERROR(__xludf.DUMMYFUNCTION("""COMPUTED_VALUE"""),"LU005635")</f>
        <v>LU005635</v>
      </c>
      <c r="AL17" s="13" t="str">
        <f ca="1">IFERROR(__xludf.DUMMYFUNCTION("""COMPUTED_VALUE"""),"Introduction to Microorganisms")</f>
        <v>Introduction to Microorganisms</v>
      </c>
      <c r="AM17" s="13"/>
      <c r="AN17" s="13"/>
      <c r="AO17" s="13"/>
      <c r="AP17" s="13"/>
      <c r="AQ17" s="13"/>
      <c r="AR17" s="13"/>
      <c r="AS17" s="13"/>
      <c r="AT17" s="13"/>
    </row>
    <row r="18" spans="1:46" ht="26.4">
      <c r="A18" s="8" t="s">
        <v>247</v>
      </c>
      <c r="B18" s="8" t="s">
        <v>47</v>
      </c>
      <c r="C18" s="8" t="s">
        <v>731</v>
      </c>
      <c r="D18" s="8" t="s">
        <v>1406</v>
      </c>
      <c r="E18" s="8" t="s">
        <v>2029</v>
      </c>
      <c r="F18" s="8" t="s">
        <v>2042</v>
      </c>
      <c r="G18" s="8" t="s">
        <v>2043</v>
      </c>
      <c r="H18" s="8" t="str">
        <f ca="1">IFERROR(__xludf.DUMMYFUNCTION("VLOOKUP(G18, IMPORTRANGE(""https://docs.google.com/spreadsheets/d/14deopnvwcrKtEGCKuYXdUHJbeLDZlkiSSWWT0g7x2pM/edit#gid=849066331"", ""LU List Science (Filter)!A:B""), 2, FALSE)"),"Nitrogen Cycle")</f>
        <v>Nitrogen Cycle</v>
      </c>
      <c r="I18" s="10" t="str">
        <f t="shared" si="0"/>
        <v>LU005642.001</v>
      </c>
      <c r="J18" s="10" t="str">
        <f ca="1">IFERROR(__xludf.DUMMYFUNCTION("VLOOKUP(I18, IMPORTRANGE(""https://docs.google.com/spreadsheets/d/1yDAaXNsi4Mr5FtRQL4tbmSdIzhx6_m4wkOD7IG-k_eo/edit#gid=1336395716"", ""Science!M:N""), 2, FALSE)"),"Recall the basic concept of the nitrogen cycle.")</f>
        <v>Recall the basic concept of the nitrogen cycle.</v>
      </c>
      <c r="K18" s="10" t="str">
        <f t="shared" si="1"/>
        <v>LU005642.002</v>
      </c>
      <c r="L18" s="10" t="str">
        <f ca="1">IFERROR(__xludf.DUMMYFUNCTION("VLOOKUP(K18, IMPORTRANGE(""https://docs.google.com/spreadsheets/d/1yDAaXNsi4Mr5FtRQL4tbmSdIzhx6_m4wkOD7IG-k_eo/edit#gid=1336395716"", ""Science!M:N""), 2, FALSE)"),"Explain how nitrogen moves through the environment.")</f>
        <v>Explain how nitrogen moves through the environment.</v>
      </c>
      <c r="M18" s="10" t="str">
        <f t="shared" si="2"/>
        <v>LU005642.003</v>
      </c>
      <c r="N18" s="10" t="str">
        <f ca="1">IFERROR(__xludf.DUMMYFUNCTION("VLOOKUP(M18, IMPORTRANGE(""https://docs.google.com/spreadsheets/d/1yDAaXNsi4Mr5FtRQL4tbmSdIzhx6_m4wkOD7IG-k_eo/edit#gid=1336395716"", ""Science!M:N""), 2, FALSE)"),"Apply knowledge to describe the role of microorganisms in the nitrogen cycle.")</f>
        <v>Apply knowledge to describe the role of microorganisms in the nitrogen cycle.</v>
      </c>
      <c r="O18" s="10" t="str">
        <f t="shared" si="3"/>
        <v>LU005642.004</v>
      </c>
      <c r="P18" s="10" t="str">
        <f ca="1">IFERROR(__xludf.DUMMYFUNCTION("VLOOKUP(O18, IMPORTRANGE(""https://docs.google.com/spreadsheets/d/1yDAaXNsi4Mr5FtRQL4tbmSdIzhx6_m4wkOD7IG-k_eo/edit#gid=1336395716"", ""Science!M:N""), 2, FALSE)"),"Analyze the importance of nitrogen fixation and its impact on plant growth.")</f>
        <v>Analyze the importance of nitrogen fixation and its impact on plant growth.</v>
      </c>
      <c r="Q18" s="10" t="str">
        <f t="shared" si="4"/>
        <v>LU005642.005</v>
      </c>
      <c r="R18" s="10" t="str">
        <f ca="1">IFERROR(__xludf.DUMMYFUNCTION("VLOOKUP(Q18, IMPORTRANGE(""https://docs.google.com/spreadsheets/d/1yDAaXNsi4Mr5FtRQL4tbmSdIzhx6_m4wkOD7IG-k_eo/edit#gid=1336395716"", ""Science!M:N""), 2, FALSE)"),"Judge the significance of maintaining a balanced nitrogen cycle for ecosystems.")</f>
        <v>Judge the significance of maintaining a balanced nitrogen cycle for ecosystems.</v>
      </c>
      <c r="S18" s="10" t="str">
        <f t="shared" si="5"/>
        <v>LU005642.006</v>
      </c>
      <c r="T18" s="10" t="str">
        <f ca="1">IFERROR(__xludf.DUMMYFUNCTION("VLOOKUP(S18, IMPORTRANGE(""https://docs.google.com/spreadsheets/d/1yDAaXNsi4Mr5FtRQL4tbmSdIzhx6_m4wkOD7IG-k_eo/edit#gid=1336395716"", ""Science!M:N""), 2, FALSE)"),"#N/A")</f>
        <v>#N/A</v>
      </c>
      <c r="U18" s="116">
        <f ca="1">IFERROR(__xludf.DUMMYFUNCTION("ArrayFormula(VLOOKUP(G18, IMPORTRANGE(""https://docs.google.com/spreadsheets/d/1p7R4vtkWt5VOBim4ltsDG9KTzSjrtKXsMtQGXPHyND0/edit#gid=795171502"", ""'Filter 30_05_2024'!A1:M2000""), {2, 3, 4, 5,6,7,8,9,10,11,12,13}, 0))"),4)</f>
        <v>4</v>
      </c>
      <c r="V18" s="116">
        <f ca="1">IFERROR(__xludf.DUMMYFUNCTION("""COMPUTED_VALUE"""),6)</f>
        <v>6</v>
      </c>
      <c r="W18" s="116">
        <f ca="1">IFERROR(__xludf.DUMMYFUNCTION("""COMPUTED_VALUE"""),2)</f>
        <v>2</v>
      </c>
      <c r="X18" s="116">
        <f ca="1">IFERROR(__xludf.DUMMYFUNCTION("""COMPUTED_VALUE"""),12)</f>
        <v>12</v>
      </c>
      <c r="Y18" s="116">
        <f ca="1">IFERROR(__xludf.DUMMYFUNCTION("""COMPUTED_VALUE"""),4)</f>
        <v>4</v>
      </c>
      <c r="Z18" s="12">
        <f ca="1">IFERROR(__xludf.DUMMYFUNCTION("""COMPUTED_VALUE"""),3)</f>
        <v>3</v>
      </c>
      <c r="AA18" s="12">
        <f ca="1">IFERROR(__xludf.DUMMYFUNCTION("""COMPUTED_VALUE"""),1)</f>
        <v>1</v>
      </c>
      <c r="AB18" s="12">
        <f ca="1">IFERROR(__xludf.DUMMYFUNCTION("""COMPUTED_VALUE"""),8)</f>
        <v>8</v>
      </c>
      <c r="AC18" s="12"/>
      <c r="AD18" s="12"/>
      <c r="AE18" s="12"/>
      <c r="AF18" s="12"/>
      <c r="AG18" s="13" t="str">
        <f ca="1">IFERROR(__xludf.DUMMYFUNCTION("ArrayFormula(VLOOKUP(G18, IMPORTRANGE(""https://docs.google.com/spreadsheets/d/1Co934fvtviyaRiMsrIlT05Jaq7iiYq07aLvRr35KA48/edit?gid=173865642#gid=173865642"", ""'G8_Sci_Pri_LU'!G2:V2000""), {3, 4, 5, 6, 7, 8, 9, 10, 11, 12, 13, 14, 15, 16}, 0))"),"LU005409")</f>
        <v>LU005409</v>
      </c>
      <c r="AH18" s="13" t="str">
        <f ca="1">IFERROR(__xludf.DUMMYFUNCTION("""COMPUTED_VALUE"""),"Nitrogen Source and Fate in Plants")</f>
        <v>Nitrogen Source and Fate in Plants</v>
      </c>
      <c r="AI18" s="13" t="str">
        <f ca="1">IFERROR(__xludf.DUMMYFUNCTION("""COMPUTED_VALUE"""),"LU005412")</f>
        <v>LU005412</v>
      </c>
      <c r="AJ18" s="13" t="str">
        <f ca="1">IFERROR(__xludf.DUMMYFUNCTION("""COMPUTED_VALUE"""),"Symbiotic Relationship between plants and bacteria")</f>
        <v>Symbiotic Relationship between plants and bacteria</v>
      </c>
      <c r="AK18" s="13" t="str">
        <f ca="1">IFERROR(__xludf.DUMMYFUNCTION("""COMPUTED_VALUE"""),"LU005749")</f>
        <v>LU005749</v>
      </c>
      <c r="AL18" s="13" t="str">
        <f ca="1">IFERROR(__xludf.DUMMYFUNCTION("""COMPUTED_VALUE"""),"Definition of Soil")</f>
        <v>Definition of Soil</v>
      </c>
      <c r="AM18" s="13"/>
      <c r="AN18" s="13"/>
      <c r="AO18" s="13"/>
      <c r="AP18" s="13"/>
      <c r="AQ18" s="13"/>
      <c r="AR18" s="13"/>
      <c r="AS18" s="13"/>
      <c r="AT18" s="13"/>
    </row>
    <row r="19" spans="1:46" ht="26.4">
      <c r="A19" s="8" t="s">
        <v>247</v>
      </c>
      <c r="B19" s="8" t="s">
        <v>47</v>
      </c>
      <c r="C19" s="8" t="s">
        <v>731</v>
      </c>
      <c r="D19" s="8" t="s">
        <v>1441</v>
      </c>
      <c r="E19" s="8" t="s">
        <v>2044</v>
      </c>
      <c r="F19" s="8" t="s">
        <v>2045</v>
      </c>
      <c r="G19" s="8" t="s">
        <v>2046</v>
      </c>
      <c r="H19" s="8" t="str">
        <f ca="1">IFERROR(__xludf.DUMMYFUNCTION("VLOOKUP(G19, IMPORTRANGE(""https://docs.google.com/spreadsheets/d/14deopnvwcrKtEGCKuYXdUHJbeLDZlkiSSWWT0g7x2pM/edit#gid=849066331"", ""LU List Science (Filter)!A:B""), 2, FALSE)"),"Definition and Types of Natural Resources")</f>
        <v>Definition and Types of Natural Resources</v>
      </c>
      <c r="I19" s="10" t="str">
        <f t="shared" si="0"/>
        <v>LU005700.001</v>
      </c>
      <c r="J19" s="10" t="str">
        <f ca="1">IFERROR(__xludf.DUMMYFUNCTION("VLOOKUP(I19, IMPORTRANGE(""https://docs.google.com/spreadsheets/d/1yDAaXNsi4Mr5FtRQL4tbmSdIzhx6_m4wkOD7IG-k_eo/edit#gid=1336395716"", ""Science!M:N""), 2, FALSE)"),"List the types of natural resources.")</f>
        <v>List the types of natural resources.</v>
      </c>
      <c r="K19" s="10" t="str">
        <f t="shared" si="1"/>
        <v>LU005700.002</v>
      </c>
      <c r="L19" s="10" t="str">
        <f ca="1">IFERROR(__xludf.DUMMYFUNCTION("VLOOKUP(K19, IMPORTRANGE(""https://docs.google.com/spreadsheets/d/1yDAaXNsi4Mr5FtRQL4tbmSdIzhx6_m4wkOD7IG-k_eo/edit#gid=1336395716"", ""Science!M:N""), 2, FALSE)"),"Explain the difference between renewable and non-renewable resources.")</f>
        <v>Explain the difference between renewable and non-renewable resources.</v>
      </c>
      <c r="M19" s="10" t="str">
        <f t="shared" si="2"/>
        <v>LU005700.003</v>
      </c>
      <c r="N19" s="10" t="str">
        <f ca="1">IFERROR(__xludf.DUMMYFUNCTION("VLOOKUP(M19, IMPORTRANGE(""https://docs.google.com/spreadsheets/d/1yDAaXNsi4Mr5FtRQL4tbmSdIzhx6_m4wkOD7IG-k_eo/edit#gid=1336395716"", ""Science!M:N""), 2, FALSE)"),"Demonstrate how natural resources are used in daily life.")</f>
        <v>Demonstrate how natural resources are used in daily life.</v>
      </c>
      <c r="O19" s="10" t="str">
        <f t="shared" si="3"/>
        <v>LU005700.004</v>
      </c>
      <c r="P19" s="10" t="str">
        <f ca="1">IFERROR(__xludf.DUMMYFUNCTION("VLOOKUP(O19, IMPORTRANGE(""https://docs.google.com/spreadsheets/d/1yDAaXNsi4Mr5FtRQL4tbmSdIzhx6_m4wkOD7IG-k_eo/edit#gid=1336395716"", ""Science!M:N""), 2, FALSE)"),"Analyze the importance of different natural resources.")</f>
        <v>Analyze the importance of different natural resources.</v>
      </c>
      <c r="Q19" s="10" t="str">
        <f t="shared" si="4"/>
        <v>LU005700.005</v>
      </c>
      <c r="R19" s="10" t="str">
        <f ca="1">IFERROR(__xludf.DUMMYFUNCTION("VLOOKUP(Q19, IMPORTRANGE(""https://docs.google.com/spreadsheets/d/1yDAaXNsi4Mr5FtRQL4tbmSdIzhx6_m4wkOD7IG-k_eo/edit#gid=1336395716"", ""Science!M:N""), 2, FALSE)"),"Justify the need for sustainable use of natural resources.")</f>
        <v>Justify the need for sustainable use of natural resources.</v>
      </c>
      <c r="S19" s="10" t="str">
        <f t="shared" si="5"/>
        <v>LU005700.006</v>
      </c>
      <c r="T19" s="10" t="str">
        <f ca="1">IFERROR(__xludf.DUMMYFUNCTION("VLOOKUP(S19, IMPORTRANGE(""https://docs.google.com/spreadsheets/d/1yDAaXNsi4Mr5FtRQL4tbmSdIzhx6_m4wkOD7IG-k_eo/edit#gid=1336395716"", ""Science!M:N""), 2, FALSE)"),"#N/A")</f>
        <v>#N/A</v>
      </c>
      <c r="U19" s="116">
        <f ca="1">IFERROR(__xludf.DUMMYFUNCTION("ArrayFormula(VLOOKUP(G19, IMPORTRANGE(""https://docs.google.com/spreadsheets/d/1p7R4vtkWt5VOBim4ltsDG9KTzSjrtKXsMtQGXPHyND0/edit#gid=795171502"", ""'Filter 30_05_2024'!A1:M2000""), {2, 3, 4, 5,6,7,8,9,10,11,12,13}, 0))"),4)</f>
        <v>4</v>
      </c>
      <c r="V19" s="116">
        <f ca="1">IFERROR(__xludf.DUMMYFUNCTION("""COMPUTED_VALUE"""),6)</f>
        <v>6</v>
      </c>
      <c r="W19" s="116">
        <f ca="1">IFERROR(__xludf.DUMMYFUNCTION("""COMPUTED_VALUE"""),2)</f>
        <v>2</v>
      </c>
      <c r="X19" s="116">
        <f ca="1">IFERROR(__xludf.DUMMYFUNCTION("""COMPUTED_VALUE"""),12)</f>
        <v>12</v>
      </c>
      <c r="Y19" s="116">
        <f ca="1">IFERROR(__xludf.DUMMYFUNCTION("""COMPUTED_VALUE"""),4)</f>
        <v>4</v>
      </c>
      <c r="Z19" s="12">
        <f ca="1">IFERROR(__xludf.DUMMYFUNCTION("""COMPUTED_VALUE"""),3)</f>
        <v>3</v>
      </c>
      <c r="AA19" s="12">
        <f ca="1">IFERROR(__xludf.DUMMYFUNCTION("""COMPUTED_VALUE"""),1)</f>
        <v>1</v>
      </c>
      <c r="AB19" s="12">
        <f ca="1">IFERROR(__xludf.DUMMYFUNCTION("""COMPUTED_VALUE"""),8)</f>
        <v>8</v>
      </c>
      <c r="AC19" s="12"/>
      <c r="AD19" s="12"/>
      <c r="AE19" s="12"/>
      <c r="AF19" s="12"/>
      <c r="AG19" s="13" t="str">
        <f ca="1">IFERROR(__xludf.DUMMYFUNCTION("ArrayFormula(VLOOKUP(G19, IMPORTRANGE(""https://docs.google.com/spreadsheets/d/1Co934fvtviyaRiMsrIlT05Jaq7iiYq07aLvRr35KA48/edit?gid=173865642#gid=173865642"", ""'G8_Sci_Pri_LU'!G2:V2000""), {3, 4, 5, 6, 7, 8, 9, 10, 11, 12, 13, 14, 15, 16}, 0))"),"")</f>
        <v/>
      </c>
      <c r="AH19" s="13"/>
      <c r="AI19" s="13"/>
      <c r="AJ19" s="13"/>
      <c r="AK19" s="13"/>
      <c r="AL19" s="13"/>
      <c r="AM19" s="13"/>
      <c r="AN19" s="13"/>
      <c r="AO19" s="13"/>
      <c r="AP19" s="13"/>
      <c r="AQ19" s="13"/>
      <c r="AR19" s="13"/>
      <c r="AS19" s="13"/>
      <c r="AT19" s="13"/>
    </row>
    <row r="20" spans="1:46" ht="26.4">
      <c r="A20" s="8" t="s">
        <v>247</v>
      </c>
      <c r="B20" s="8" t="s">
        <v>47</v>
      </c>
      <c r="C20" s="8" t="s">
        <v>731</v>
      </c>
      <c r="D20" s="8" t="s">
        <v>1441</v>
      </c>
      <c r="E20" s="8" t="s">
        <v>2044</v>
      </c>
      <c r="F20" s="8" t="s">
        <v>2045</v>
      </c>
      <c r="G20" s="8" t="s">
        <v>1638</v>
      </c>
      <c r="H20" s="8" t="str">
        <f ca="1">IFERROR(__xludf.DUMMYFUNCTION("VLOOKUP(G20, IMPORTRANGE(""https://docs.google.com/spreadsheets/d/14deopnvwcrKtEGCKuYXdUHJbeLDZlkiSSWWT0g7x2pM/edit#gid=849066331"", ""LU List Science (Filter)!A:B""), 2, FALSE)"),"Overview of Fossil Fuels (Coal, Petroleum, Natural Gas)")</f>
        <v>Overview of Fossil Fuels (Coal, Petroleum, Natural Gas)</v>
      </c>
      <c r="I20" s="10" t="str">
        <f t="shared" si="0"/>
        <v>LU005708.001</v>
      </c>
      <c r="J20" s="10" t="str">
        <f ca="1">IFERROR(__xludf.DUMMYFUNCTION("VLOOKUP(I20, IMPORTRANGE(""https://docs.google.com/spreadsheets/d/1yDAaXNsi4Mr5FtRQL4tbmSdIzhx6_m4wkOD7IG-k_eo/edit#gid=1336395716"", ""Science!M:N""), 2, FALSE)"),"Name the three main types of fossil fuels.")</f>
        <v>Name the three main types of fossil fuels.</v>
      </c>
      <c r="K20" s="10" t="str">
        <f t="shared" si="1"/>
        <v>LU005708.002</v>
      </c>
      <c r="L20" s="10" t="str">
        <f ca="1">IFERROR(__xludf.DUMMYFUNCTION("VLOOKUP(K20, IMPORTRANGE(""https://docs.google.com/spreadsheets/d/1yDAaXNsi4Mr5FtRQL4tbmSdIzhx6_m4wkOD7IG-k_eo/edit#gid=1336395716"", ""Science!M:N""), 2, FALSE)"),"Summarize the origin of each fossil fuel.")</f>
        <v>Summarize the origin of each fossil fuel.</v>
      </c>
      <c r="M20" s="10" t="str">
        <f t="shared" si="2"/>
        <v>LU005708.003</v>
      </c>
      <c r="N20" s="10" t="str">
        <f ca="1">IFERROR(__xludf.DUMMYFUNCTION("VLOOKUP(M20, IMPORTRANGE(""https://docs.google.com/spreadsheets/d/1yDAaXNsi4Mr5FtRQL4tbmSdIzhx6_m4wkOD7IG-k_eo/edit#gid=1336395716"", ""Science!M:N""), 2, FALSE)"),"Illustrate the formation process of fossil fuels.")</f>
        <v>Illustrate the formation process of fossil fuels.</v>
      </c>
      <c r="O20" s="10" t="str">
        <f t="shared" si="3"/>
        <v>LU005708.004</v>
      </c>
      <c r="P20" s="10" t="str">
        <f ca="1">IFERROR(__xludf.DUMMYFUNCTION("VLOOKUP(O20, IMPORTRANGE(""https://docs.google.com/spreadsheets/d/1yDAaXNsi4Mr5FtRQL4tbmSdIzhx6_m4wkOD7IG-k_eo/edit#gid=1336395716"", ""Science!M:N""), 2, FALSE)"),"Compare and contrast coal, petroleum, and natural gas.")</f>
        <v>Compare and contrast coal, petroleum, and natural gas.</v>
      </c>
      <c r="Q20" s="10" t="str">
        <f t="shared" si="4"/>
        <v>LU005708.005</v>
      </c>
      <c r="R20" s="10" t="str">
        <f ca="1">IFERROR(__xludf.DUMMYFUNCTION("VLOOKUP(Q20, IMPORTRANGE(""https://docs.google.com/spreadsheets/d/1yDAaXNsi4Mr5FtRQL4tbmSdIzhx6_m4wkOD7IG-k_eo/edit#gid=1336395716"", ""Science!M:N""), 2, FALSE)"),"Evaluate the efficiency of each fossil fuel.")</f>
        <v>Evaluate the efficiency of each fossil fuel.</v>
      </c>
      <c r="S20" s="10" t="str">
        <f t="shared" si="5"/>
        <v>LU005708.006</v>
      </c>
      <c r="T20" s="10" t="str">
        <f ca="1">IFERROR(__xludf.DUMMYFUNCTION("VLOOKUP(S20, IMPORTRANGE(""https://docs.google.com/spreadsheets/d/1yDAaXNsi4Mr5FtRQL4tbmSdIzhx6_m4wkOD7IG-k_eo/edit#gid=1336395716"", ""Science!M:N""), 2, FALSE)"),"#N/A")</f>
        <v>#N/A</v>
      </c>
      <c r="U20" s="116">
        <f ca="1">IFERROR(__xludf.DUMMYFUNCTION("ArrayFormula(VLOOKUP(G20, IMPORTRANGE(""https://docs.google.com/spreadsheets/d/1p7R4vtkWt5VOBim4ltsDG9KTzSjrtKXsMtQGXPHyND0/edit#gid=795171502"", ""'Filter 30_05_2024'!A1:M2000""), {2, 3, 4, 5,6,7,8,9,10,11,12,13}, 0))"),4)</f>
        <v>4</v>
      </c>
      <c r="V20" s="116">
        <f ca="1">IFERROR(__xludf.DUMMYFUNCTION("""COMPUTED_VALUE"""),6)</f>
        <v>6</v>
      </c>
      <c r="W20" s="116">
        <f ca="1">IFERROR(__xludf.DUMMYFUNCTION("""COMPUTED_VALUE"""),2)</f>
        <v>2</v>
      </c>
      <c r="X20" s="116">
        <f ca="1">IFERROR(__xludf.DUMMYFUNCTION("""COMPUTED_VALUE"""),12)</f>
        <v>12</v>
      </c>
      <c r="Y20" s="116">
        <f ca="1">IFERROR(__xludf.DUMMYFUNCTION("""COMPUTED_VALUE"""),4)</f>
        <v>4</v>
      </c>
      <c r="Z20" s="12">
        <f ca="1">IFERROR(__xludf.DUMMYFUNCTION("""COMPUTED_VALUE"""),3)</f>
        <v>3</v>
      </c>
      <c r="AA20" s="12">
        <f ca="1">IFERROR(__xludf.DUMMYFUNCTION("""COMPUTED_VALUE"""),1)</f>
        <v>1</v>
      </c>
      <c r="AB20" s="12">
        <f ca="1">IFERROR(__xludf.DUMMYFUNCTION("""COMPUTED_VALUE"""),8)</f>
        <v>8</v>
      </c>
      <c r="AC20" s="12"/>
      <c r="AD20" s="12"/>
      <c r="AE20" s="12"/>
      <c r="AF20" s="12"/>
      <c r="AG20" s="13" t="str">
        <f ca="1">IFERROR(__xludf.DUMMYFUNCTION("ArrayFormula(VLOOKUP(G20, IMPORTRANGE(""https://docs.google.com/spreadsheets/d/1Co934fvtviyaRiMsrIlT05Jaq7iiYq07aLvRr35KA48/edit?gid=173865642#gid=173865642"", ""'G8_Sci_Pri_LU'!G2:V2000""), {3, 4, 5, 6, 7, 8, 9, 10, 11, 12, 13, 14, 15, 16}, 0))"),"")</f>
        <v/>
      </c>
      <c r="AH20" s="13"/>
      <c r="AI20" s="13"/>
      <c r="AJ20" s="13"/>
      <c r="AK20" s="13"/>
      <c r="AL20" s="13"/>
      <c r="AM20" s="13"/>
      <c r="AN20" s="13"/>
      <c r="AO20" s="13"/>
      <c r="AP20" s="13"/>
      <c r="AQ20" s="13"/>
      <c r="AR20" s="13"/>
      <c r="AS20" s="13"/>
      <c r="AT20" s="13"/>
    </row>
    <row r="21" spans="1:46" ht="26.4">
      <c r="A21" s="8" t="s">
        <v>247</v>
      </c>
      <c r="B21" s="8" t="s">
        <v>47</v>
      </c>
      <c r="C21" s="8" t="s">
        <v>731</v>
      </c>
      <c r="D21" s="8" t="s">
        <v>1441</v>
      </c>
      <c r="E21" s="8" t="s">
        <v>2044</v>
      </c>
      <c r="F21" s="8" t="s">
        <v>2047</v>
      </c>
      <c r="G21" s="8" t="s">
        <v>2048</v>
      </c>
      <c r="H21" s="8" t="str">
        <f ca="1">IFERROR(__xludf.DUMMYFUNCTION("VLOOKUP(G21, IMPORTRANGE(""https://docs.google.com/spreadsheets/d/14deopnvwcrKtEGCKuYXdUHJbeLDZlkiSSWWT0g7x2pM/edit#gid=849066331"", ""LU List Science (Filter)!A:B""), 2, FALSE)"),"Coal Formation Process (Coalification)")</f>
        <v>Coal Formation Process (Coalification)</v>
      </c>
      <c r="I21" s="10" t="str">
        <f t="shared" si="0"/>
        <v>LU005696.001</v>
      </c>
      <c r="J21" s="10" t="str">
        <f ca="1">IFERROR(__xludf.DUMMYFUNCTION("VLOOKUP(I21, IMPORTRANGE(""https://docs.google.com/spreadsheets/d/1yDAaXNsi4Mr5FtRQL4tbmSdIzhx6_m4wkOD7IG-k_eo/edit#gid=1336395716"", ""Science!M:N""), 2, FALSE)"),"State the stages of coal formation.")</f>
        <v>State the stages of coal formation.</v>
      </c>
      <c r="K21" s="10" t="str">
        <f t="shared" si="1"/>
        <v>LU005696.002</v>
      </c>
      <c r="L21" s="10" t="str">
        <f ca="1">IFERROR(__xludf.DUMMYFUNCTION("VLOOKUP(K21, IMPORTRANGE(""https://docs.google.com/spreadsheets/d/1yDAaXNsi4Mr5FtRQL4tbmSdIzhx6_m4wkOD7IG-k_eo/edit#gid=1336395716"", ""Science!M:N""), 2, FALSE)"),"Describe the process of coalification.")</f>
        <v>Describe the process of coalification.</v>
      </c>
      <c r="M21" s="10" t="str">
        <f t="shared" si="2"/>
        <v>LU005696.003</v>
      </c>
      <c r="N21" s="10" t="str">
        <f ca="1">IFERROR(__xludf.DUMMYFUNCTION("VLOOKUP(M21, IMPORTRANGE(""https://docs.google.com/spreadsheets/d/1yDAaXNsi4Mr5FtRQL4tbmSdIzhx6_m4wkOD7IG-k_eo/edit#gid=1336395716"", ""Science!M:N""), 2, FALSE)"),"Apply knowledge of coalification to explain the types of coal.")</f>
        <v>Apply knowledge of coalification to explain the types of coal.</v>
      </c>
      <c r="O21" s="10" t="str">
        <f t="shared" si="3"/>
        <v>LU005696.004</v>
      </c>
      <c r="P21" s="10" t="str">
        <f ca="1">IFERROR(__xludf.DUMMYFUNCTION("VLOOKUP(O21, IMPORTRANGE(""https://docs.google.com/spreadsheets/d/1yDAaXNsi4Mr5FtRQL4tbmSdIzhx6_m4wkOD7IG-k_eo/edit#gid=1336395716"", ""Science!M:N""), 2, FALSE)"),"Draw the coalification process.")</f>
        <v>Draw the coalification process.</v>
      </c>
      <c r="Q21" s="10" t="str">
        <f t="shared" si="4"/>
        <v>LU005696.005</v>
      </c>
      <c r="R21" s="10" t="str">
        <f ca="1">IFERROR(__xludf.DUMMYFUNCTION("VLOOKUP(Q21, IMPORTRANGE(""https://docs.google.com/spreadsheets/d/1yDAaXNsi4Mr5FtRQL4tbmSdIzhx6_m4wkOD7IG-k_eo/edit#gid=1336395716"", ""Science!M:N""), 2, FALSE)"),"Evaluate the environmental impact of coal mining.")</f>
        <v>Evaluate the environmental impact of coal mining.</v>
      </c>
      <c r="S21" s="10" t="str">
        <f t="shared" si="5"/>
        <v>LU005696.006</v>
      </c>
      <c r="T21" s="10" t="str">
        <f ca="1">IFERROR(__xludf.DUMMYFUNCTION("VLOOKUP(S21, IMPORTRANGE(""https://docs.google.com/spreadsheets/d/1yDAaXNsi4Mr5FtRQL4tbmSdIzhx6_m4wkOD7IG-k_eo/edit#gid=1336395716"", ""Science!M:N""), 2, FALSE)"),"#N/A")</f>
        <v>#N/A</v>
      </c>
      <c r="U21" s="116">
        <f ca="1">IFERROR(__xludf.DUMMYFUNCTION("ArrayFormula(VLOOKUP(G21, IMPORTRANGE(""https://docs.google.com/spreadsheets/d/1p7R4vtkWt5VOBim4ltsDG9KTzSjrtKXsMtQGXPHyND0/edit#gid=795171502"", ""'Filter 30_05_2024'!A1:M2000""), {2, 3, 4, 5,6,7,8,9,10,11,12,13}, 0))"),4)</f>
        <v>4</v>
      </c>
      <c r="V21" s="116">
        <f ca="1">IFERROR(__xludf.DUMMYFUNCTION("""COMPUTED_VALUE"""),6)</f>
        <v>6</v>
      </c>
      <c r="W21" s="116">
        <f ca="1">IFERROR(__xludf.DUMMYFUNCTION("""COMPUTED_VALUE"""),2)</f>
        <v>2</v>
      </c>
      <c r="X21" s="116">
        <f ca="1">IFERROR(__xludf.DUMMYFUNCTION("""COMPUTED_VALUE"""),12)</f>
        <v>12</v>
      </c>
      <c r="Y21" s="116">
        <f ca="1">IFERROR(__xludf.DUMMYFUNCTION("""COMPUTED_VALUE"""),4)</f>
        <v>4</v>
      </c>
      <c r="Z21" s="12">
        <f ca="1">IFERROR(__xludf.DUMMYFUNCTION("""COMPUTED_VALUE"""),3)</f>
        <v>3</v>
      </c>
      <c r="AA21" s="12">
        <f ca="1">IFERROR(__xludf.DUMMYFUNCTION("""COMPUTED_VALUE"""),1)</f>
        <v>1</v>
      </c>
      <c r="AB21" s="12">
        <f ca="1">IFERROR(__xludf.DUMMYFUNCTION("""COMPUTED_VALUE"""),8)</f>
        <v>8</v>
      </c>
      <c r="AC21" s="12"/>
      <c r="AD21" s="12"/>
      <c r="AE21" s="12"/>
      <c r="AF21" s="12"/>
      <c r="AG21" s="13" t="str">
        <f ca="1">IFERROR(__xludf.DUMMYFUNCTION("ArrayFormula(VLOOKUP(G21, IMPORTRANGE(""https://docs.google.com/spreadsheets/d/1Co934fvtviyaRiMsrIlT05Jaq7iiYq07aLvRr35KA48/edit?gid=173865642#gid=173865642"", ""'G8_Sci_Pri_LU'!G2:V2000""), {3, 4, 5, 6, 7, 8, 9, 10, 11, 12, 13, 14, 15, 16}, 0))"),"LU005708")</f>
        <v>LU005708</v>
      </c>
      <c r="AH21" s="13" t="str">
        <f ca="1">IFERROR(__xludf.DUMMYFUNCTION("""COMPUTED_VALUE"""),"Overview of Fossil Fuels (Coal, Petroleum, Natural Gas)")</f>
        <v>Overview of Fossil Fuels (Coal, Petroleum, Natural Gas)</v>
      </c>
      <c r="AI21" s="13" t="str">
        <f ca="1">IFERROR(__xludf.DUMMYFUNCTION("""COMPUTED_VALUE"""),"LU005700")</f>
        <v>LU005700</v>
      </c>
      <c r="AJ21" s="13" t="str">
        <f ca="1">IFERROR(__xludf.DUMMYFUNCTION("""COMPUTED_VALUE"""),"Definition and Types of Natural Resources")</f>
        <v>Definition and Types of Natural Resources</v>
      </c>
      <c r="AK21" s="13"/>
      <c r="AL21" s="13"/>
      <c r="AM21" s="13"/>
      <c r="AN21" s="13"/>
      <c r="AO21" s="13"/>
      <c r="AP21" s="13"/>
      <c r="AQ21" s="13"/>
      <c r="AR21" s="13"/>
      <c r="AS21" s="13"/>
      <c r="AT21" s="13"/>
    </row>
    <row r="22" spans="1:46" ht="52.8">
      <c r="A22" s="8" t="s">
        <v>247</v>
      </c>
      <c r="B22" s="8" t="s">
        <v>47</v>
      </c>
      <c r="C22" s="8" t="s">
        <v>731</v>
      </c>
      <c r="D22" s="8" t="s">
        <v>1441</v>
      </c>
      <c r="E22" s="8" t="s">
        <v>2044</v>
      </c>
      <c r="F22" s="8" t="s">
        <v>2047</v>
      </c>
      <c r="G22" s="8" t="s">
        <v>2049</v>
      </c>
      <c r="H22" s="8" t="str">
        <f ca="1">IFERROR(__xludf.DUMMYFUNCTION("VLOOKUP(G22, IMPORTRANGE(""https://docs.google.com/spreadsheets/d/14deopnvwcrKtEGCKuYXdUHJbeLDZlkiSSWWT0g7x2pM/edit#gid=849066331"", ""LU List Science (Filter)!A:B""), 2, FALSE)"),"Process and Products Obtained from Coal")</f>
        <v>Process and Products Obtained from Coal</v>
      </c>
      <c r="I22" s="10" t="str">
        <f t="shared" si="0"/>
        <v>LU005710.001</v>
      </c>
      <c r="J22" s="10" t="str">
        <f ca="1">IFERROR(__xludf.DUMMYFUNCTION("VLOOKUP(I22, IMPORTRANGE(""https://docs.google.com/spreadsheets/d/1yDAaXNsi4Mr5FtRQL4tbmSdIzhx6_m4wkOD7IG-k_eo/edit#gid=1336395716"", ""Science!M:N""), 2, FALSE)"),"List products obtained from coal.")</f>
        <v>List products obtained from coal.</v>
      </c>
      <c r="K22" s="10" t="str">
        <f t="shared" si="1"/>
        <v>LU005710.002</v>
      </c>
      <c r="L22" s="10" t="str">
        <f ca="1">IFERROR(__xludf.DUMMYFUNCTION("VLOOKUP(K22, IMPORTRANGE(""https://docs.google.com/spreadsheets/d/1yDAaXNsi4Mr5FtRQL4tbmSdIzhx6_m4wkOD7IG-k_eo/edit#gid=1336395716"", ""Science!M:N""), 2, FALSE)"),"Summarize the process of coal distillation.")</f>
        <v>Summarize the process of coal distillation.</v>
      </c>
      <c r="M22" s="10" t="str">
        <f t="shared" si="2"/>
        <v>LU005710.003</v>
      </c>
      <c r="N22" s="10" t="str">
        <f ca="1">IFERROR(__xludf.DUMMYFUNCTION("VLOOKUP(M22, IMPORTRANGE(""https://docs.google.com/spreadsheets/d/1yDAaXNsi4Mr5FtRQL4tbmSdIzhx6_m4wkOD7IG-k_eo/edit#gid=1336395716"", ""Science!M:N""), 2, FALSE)"),"Devise practical solutions for optimizing the utilization of coal by-products in various industries, considering economic and ecological factors.")</f>
        <v>Devise practical solutions for optimizing the utilization of coal by-products in various industries, considering economic and ecological factors.</v>
      </c>
      <c r="O22" s="10" t="str">
        <f t="shared" si="3"/>
        <v>LU005710.004</v>
      </c>
      <c r="P22" s="10" t="str">
        <f ca="1">IFERROR(__xludf.DUMMYFUNCTION("VLOOKUP(O22, IMPORTRANGE(""https://docs.google.com/spreadsheets/d/1yDAaXNsi4Mr5FtRQL4tbmSdIzhx6_m4wkOD7IG-k_eo/edit#gid=1336395716"", ""Science!M:N""), 2, FALSE)"),"Analyze the environmental impact of coal processing methods, considering emissions, waste disposal, and potential ecological consequences.")</f>
        <v>Analyze the environmental impact of coal processing methods, considering emissions, waste disposal, and potential ecological consequences.</v>
      </c>
      <c r="Q22" s="10" t="str">
        <f t="shared" si="4"/>
        <v>LU005710.005</v>
      </c>
      <c r="R22" s="10" t="str">
        <f ca="1">IFERROR(__xludf.DUMMYFUNCTION("VLOOKUP(Q22, IMPORTRANGE(""https://docs.google.com/spreadsheets/d/1yDAaXNsi4Mr5FtRQL4tbmSdIzhx6_m4wkOD7IG-k_eo/edit#gid=1336395716"", ""Science!M:N""), 2, FALSE)"),"Assess the long-term sustainability of utilizing coal-derived products in comparison to other renewable energy sources, considering economic, social, and environmental factors.")</f>
        <v>Assess the long-term sustainability of utilizing coal-derived products in comparison to other renewable energy sources, considering economic, social, and environmental factors.</v>
      </c>
      <c r="S22" s="10" t="str">
        <f t="shared" si="5"/>
        <v>LU005710.006</v>
      </c>
      <c r="T22" s="10" t="str">
        <f ca="1">IFERROR(__xludf.DUMMYFUNCTION("VLOOKUP(S22, IMPORTRANGE(""https://docs.google.com/spreadsheets/d/1yDAaXNsi4Mr5FtRQL4tbmSdIzhx6_m4wkOD7IG-k_eo/edit#gid=1336395716"", ""Science!M:N""), 2, FALSE)"),"#N/A")</f>
        <v>#N/A</v>
      </c>
      <c r="U22" s="116">
        <f ca="1">IFERROR(__xludf.DUMMYFUNCTION("ArrayFormula(VLOOKUP(G22, IMPORTRANGE(""https://docs.google.com/spreadsheets/d/1p7R4vtkWt5VOBim4ltsDG9KTzSjrtKXsMtQGXPHyND0/edit#gid=795171502"", ""'Filter 30_05_2024'!A1:M2000""), {2, 3, 4, 5,6,7,8,9,10,11,12,13}, 0))"),4)</f>
        <v>4</v>
      </c>
      <c r="V22" s="116">
        <f ca="1">IFERROR(__xludf.DUMMYFUNCTION("""COMPUTED_VALUE"""),6)</f>
        <v>6</v>
      </c>
      <c r="W22" s="116">
        <f ca="1">IFERROR(__xludf.DUMMYFUNCTION("""COMPUTED_VALUE"""),2)</f>
        <v>2</v>
      </c>
      <c r="X22" s="116">
        <f ca="1">IFERROR(__xludf.DUMMYFUNCTION("""COMPUTED_VALUE"""),12)</f>
        <v>12</v>
      </c>
      <c r="Y22" s="116">
        <f ca="1">IFERROR(__xludf.DUMMYFUNCTION("""COMPUTED_VALUE"""),4)</f>
        <v>4</v>
      </c>
      <c r="Z22" s="12">
        <f ca="1">IFERROR(__xludf.DUMMYFUNCTION("""COMPUTED_VALUE"""),3)</f>
        <v>3</v>
      </c>
      <c r="AA22" s="12">
        <f ca="1">IFERROR(__xludf.DUMMYFUNCTION("""COMPUTED_VALUE"""),1)</f>
        <v>1</v>
      </c>
      <c r="AB22" s="12">
        <f ca="1">IFERROR(__xludf.DUMMYFUNCTION("""COMPUTED_VALUE"""),8)</f>
        <v>8</v>
      </c>
      <c r="AC22" s="12"/>
      <c r="AD22" s="12"/>
      <c r="AE22" s="12"/>
      <c r="AF22" s="12"/>
      <c r="AG22" s="13" t="str">
        <f ca="1">IFERROR(__xludf.DUMMYFUNCTION("ArrayFormula(VLOOKUP(G22, IMPORTRANGE(""https://docs.google.com/spreadsheets/d/1Co934fvtviyaRiMsrIlT05Jaq7iiYq07aLvRr35KA48/edit?gid=173865642#gid=173865642"", ""'G8_Sci_Pri_LU'!G2:V2000""), {3, 4, 5, 6, 7, 8, 9, 10, 11, 12, 13, 14, 15, 16}, 0))"),"LU005696")</f>
        <v>LU005696</v>
      </c>
      <c r="AH22" s="13" t="str">
        <f ca="1">IFERROR(__xludf.DUMMYFUNCTION("""COMPUTED_VALUE"""),"Coal Formation Process (Coalification)")</f>
        <v>Coal Formation Process (Coalification)</v>
      </c>
      <c r="AI22" s="13" t="str">
        <f ca="1">IFERROR(__xludf.DUMMYFUNCTION("""COMPUTED_VALUE"""),"LU005708")</f>
        <v>LU005708</v>
      </c>
      <c r="AJ22" s="13" t="str">
        <f ca="1">IFERROR(__xludf.DUMMYFUNCTION("""COMPUTED_VALUE"""),"Overview of Fossil Fuels (Coal, Petroleum, Natural Gas)")</f>
        <v>Overview of Fossil Fuels (Coal, Petroleum, Natural Gas)</v>
      </c>
      <c r="AK22" s="13"/>
      <c r="AL22" s="13"/>
      <c r="AM22" s="13"/>
      <c r="AN22" s="13"/>
      <c r="AO22" s="13"/>
      <c r="AP22" s="13"/>
      <c r="AQ22" s="13"/>
      <c r="AR22" s="13"/>
      <c r="AS22" s="13"/>
      <c r="AT22" s="13"/>
    </row>
    <row r="23" spans="1:46" ht="52.8">
      <c r="A23" s="8" t="s">
        <v>247</v>
      </c>
      <c r="B23" s="8" t="s">
        <v>47</v>
      </c>
      <c r="C23" s="8" t="s">
        <v>731</v>
      </c>
      <c r="D23" s="8" t="s">
        <v>1441</v>
      </c>
      <c r="E23" s="8" t="s">
        <v>2044</v>
      </c>
      <c r="F23" s="8" t="s">
        <v>2050</v>
      </c>
      <c r="G23" s="8" t="s">
        <v>2051</v>
      </c>
      <c r="H23" s="8" t="str">
        <f ca="1">IFERROR(__xludf.DUMMYFUNCTION("VLOOKUP(G23, IMPORTRANGE(""https://docs.google.com/spreadsheets/d/14deopnvwcrKtEGCKuYXdUHJbeLDZlkiSSWWT0g7x2pM/edit#gid=849066331"", ""LU List Science (Filter)!A:B""), 2, FALSE)"),"Formation of petroleum and its deposits")</f>
        <v>Formation of petroleum and its deposits</v>
      </c>
      <c r="I23" s="10" t="str">
        <f t="shared" si="0"/>
        <v>LU005707.001</v>
      </c>
      <c r="J23" s="10" t="str">
        <f ca="1">IFERROR(__xludf.DUMMYFUNCTION("VLOOKUP(I23, IMPORTRANGE(""https://docs.google.com/spreadsheets/d/1yDAaXNsi4Mr5FtRQL4tbmSdIzhx6_m4wkOD7IG-k_eo/edit#gid=1336395716"", ""Science!M:N""), 2, FALSE)"),"List key components involved in the formation of petroleum and its deposits and recall the names of petroleum deposits.")</f>
        <v>List key components involved in the formation of petroleum and its deposits and recall the names of petroleum deposits.</v>
      </c>
      <c r="K23" s="13" t="s">
        <v>2052</v>
      </c>
      <c r="L23" s="10" t="str">
        <f ca="1">IFERROR(__xludf.DUMMYFUNCTION("VLOOKUP(K23, IMPORTRANGE(""https://docs.google.com/spreadsheets/d/1yDAaXNsi4Mr5FtRQL4tbmSdIzhx6_m4wkOD7IG-k_eo/edit#gid=1336395716"", ""Science!M:N""), 2, FALSE)"),"Explain the process of petroleum formation and how it accumulates in deposits.")</f>
        <v>Explain the process of petroleum formation and how it accumulates in deposits.</v>
      </c>
      <c r="M23" s="10" t="str">
        <f t="shared" si="2"/>
        <v>LU005707.003</v>
      </c>
      <c r="N23" s="10" t="str">
        <f ca="1">IFERROR(__xludf.DUMMYFUNCTION("VLOOKUP(M23, IMPORTRANGE(""https://docs.google.com/spreadsheets/d/1yDAaXNsi4Mr5FtRQL4tbmSdIzhx6_m4wkOD7IG-k_eo/edit#gid=1336395716"", ""Science!M:N""), 2, FALSE)"),"Illustrate the formation of petroleum using a diagram or model, showing various stages and conditions necessary for its formation.")</f>
        <v>Illustrate the formation of petroleum using a diagram or model, showing various stages and conditions necessary for its formation.</v>
      </c>
      <c r="O23" s="10" t="str">
        <f t="shared" si="3"/>
        <v>LU005707.004</v>
      </c>
      <c r="P23" s="10" t="str">
        <f ca="1">IFERROR(__xludf.DUMMYFUNCTION("VLOOKUP(O23, IMPORTRANGE(""https://docs.google.com/spreadsheets/d/1yDAaXNsi4Mr5FtRQL4tbmSdIzhx6_m4wkOD7IG-k_eo/edit#gid=1336395716"", ""Science!M:N""), 2, FALSE)"),"Compare and contrast the formation of petroleum with the formation of coal, identifying similarities and differences in their processes.")</f>
        <v>Compare and contrast the formation of petroleum with the formation of coal, identifying similarities and differences in their processes.</v>
      </c>
      <c r="Q23" s="10" t="str">
        <f t="shared" si="4"/>
        <v>LU005707.005</v>
      </c>
      <c r="R23" s="10" t="str">
        <f ca="1">IFERROR(__xludf.DUMMYFUNCTION("VLOOKUP(Q23, IMPORTRANGE(""https://docs.google.com/spreadsheets/d/1yDAaXNsi4Mr5FtRQL4tbmSdIzhx6_m4wkOD7IG-k_eo/edit#gid=1336395716"", ""Science!M:N""), 2, FALSE)"),"Assess the environmental impacts of extracting petroleum from its deposits, considering both benefits and drawbacks.")</f>
        <v>Assess the environmental impacts of extracting petroleum from its deposits, considering both benefits and drawbacks.</v>
      </c>
      <c r="S23" s="10" t="str">
        <f t="shared" si="5"/>
        <v>LU005707.006</v>
      </c>
      <c r="T23" s="10" t="str">
        <f ca="1">IFERROR(__xludf.DUMMYFUNCTION("VLOOKUP(S23, IMPORTRANGE(""https://docs.google.com/spreadsheets/d/1yDAaXNsi4Mr5FtRQL4tbmSdIzhx6_m4wkOD7IG-k_eo/edit#gid=1336395716"", ""Science!M:N""), 2, FALSE)"),"#N/A")</f>
        <v>#N/A</v>
      </c>
      <c r="U23" s="116">
        <f ca="1">IFERROR(__xludf.DUMMYFUNCTION("ArrayFormula(VLOOKUP(G23, IMPORTRANGE(""https://docs.google.com/spreadsheets/d/1p7R4vtkWt5VOBim4ltsDG9KTzSjrtKXsMtQGXPHyND0/edit#gid=795171502"", ""'Filter 30_05_2024'!A1:M2000""), {2, 3, 4, 5,6,7,8,9,10,11,12,13}, 0))"),3)</f>
        <v>3</v>
      </c>
      <c r="V23" s="116">
        <f ca="1">IFERROR(__xludf.DUMMYFUNCTION("""COMPUTED_VALUE"""),6)</f>
        <v>6</v>
      </c>
      <c r="W23" s="116">
        <f ca="1">IFERROR(__xludf.DUMMYFUNCTION("""COMPUTED_VALUE"""),2)</f>
        <v>2</v>
      </c>
      <c r="X23" s="116">
        <f ca="1">IFERROR(__xludf.DUMMYFUNCTION("""COMPUTED_VALUE"""),11)</f>
        <v>11</v>
      </c>
      <c r="Y23" s="116">
        <f ca="1">IFERROR(__xludf.DUMMYFUNCTION("""COMPUTED_VALUE"""),4)</f>
        <v>4</v>
      </c>
      <c r="Z23" s="12">
        <f ca="1">IFERROR(__xludf.DUMMYFUNCTION("""COMPUTED_VALUE"""),3)</f>
        <v>3</v>
      </c>
      <c r="AA23" s="12">
        <f ca="1">IFERROR(__xludf.DUMMYFUNCTION("""COMPUTED_VALUE"""),1)</f>
        <v>1</v>
      </c>
      <c r="AB23" s="12">
        <f ca="1">IFERROR(__xludf.DUMMYFUNCTION("""COMPUTED_VALUE"""),8)</f>
        <v>8</v>
      </c>
      <c r="AC23" s="12"/>
      <c r="AD23" s="12"/>
      <c r="AE23" s="12"/>
      <c r="AF23" s="12"/>
      <c r="AG23" s="13" t="str">
        <f ca="1">IFERROR(__xludf.DUMMYFUNCTION("ArrayFormula(VLOOKUP(G23, IMPORTRANGE(""https://docs.google.com/spreadsheets/d/1Co934fvtviyaRiMsrIlT05Jaq7iiYq07aLvRr35KA48/edit?gid=173865642#gid=173865642"", ""'G8_Sci_Pri_LU'!G2:V2000""), {3, 4, 5, 6, 7, 8, 9, 10, 11, 12, 13, 14, 15, 16}, 0))"),"LU005696")</f>
        <v>LU005696</v>
      </c>
      <c r="AH23" s="13" t="str">
        <f ca="1">IFERROR(__xludf.DUMMYFUNCTION("""COMPUTED_VALUE"""),"Coal Formation Process (Coalification)")</f>
        <v>Coal Formation Process (Coalification)</v>
      </c>
      <c r="AI23" s="13" t="str">
        <f ca="1">IFERROR(__xludf.DUMMYFUNCTION("""COMPUTED_VALUE"""),"LU005708")</f>
        <v>LU005708</v>
      </c>
      <c r="AJ23" s="13" t="str">
        <f ca="1">IFERROR(__xludf.DUMMYFUNCTION("""COMPUTED_VALUE"""),"Overview of Fossil Fuels (Coal, Petroleum, Natural Gas)")</f>
        <v>Overview of Fossil Fuels (Coal, Petroleum, Natural Gas)</v>
      </c>
      <c r="AK23" s="13" t="str">
        <f ca="1">IFERROR(__xludf.DUMMYFUNCTION("""COMPUTED_VALUE"""),"LU005700")</f>
        <v>LU005700</v>
      </c>
      <c r="AL23" s="13" t="str">
        <f ca="1">IFERROR(__xludf.DUMMYFUNCTION("""COMPUTED_VALUE"""),"Definition and Types of Natural Resources")</f>
        <v>Definition and Types of Natural Resources</v>
      </c>
      <c r="AM23" s="13"/>
      <c r="AN23" s="13"/>
      <c r="AO23" s="13"/>
      <c r="AP23" s="13"/>
      <c r="AQ23" s="13"/>
      <c r="AR23" s="13"/>
      <c r="AS23" s="13"/>
      <c r="AT23" s="13"/>
    </row>
    <row r="24" spans="1:46" ht="39.6">
      <c r="A24" s="8" t="s">
        <v>247</v>
      </c>
      <c r="B24" s="8" t="s">
        <v>47</v>
      </c>
      <c r="C24" s="8" t="s">
        <v>731</v>
      </c>
      <c r="D24" s="8" t="s">
        <v>1441</v>
      </c>
      <c r="E24" s="8" t="s">
        <v>2044</v>
      </c>
      <c r="F24" s="8" t="s">
        <v>2050</v>
      </c>
      <c r="G24" s="8" t="s">
        <v>2053</v>
      </c>
      <c r="H24" s="8" t="str">
        <f ca="1">IFERROR(__xludf.DUMMYFUNCTION("VLOOKUP(G24, IMPORTRANGE(""https://docs.google.com/spreadsheets/d/14deopnvwcrKtEGCKuYXdUHJbeLDZlkiSSWWT0g7x2pM/edit#gid=849066331"", ""LU List Science (Filter)!A:B""), 2, FALSE)"),"Refining of Petroleum")</f>
        <v>Refining of Petroleum</v>
      </c>
      <c r="I24" s="10" t="str">
        <f t="shared" si="0"/>
        <v>LU005702.001</v>
      </c>
      <c r="J24" s="10" t="str">
        <f ca="1">IFERROR(__xludf.DUMMYFUNCTION("VLOOKUP(I24, IMPORTRANGE(""https://docs.google.com/spreadsheets/d/1yDAaXNsi4Mr5FtRQL4tbmSdIzhx6_m4wkOD7IG-k_eo/edit#gid=1336395716"", ""Science!M:N""), 2, FALSE)"),"List the steps involved in the refining of petroleum.")</f>
        <v>List the steps involved in the refining of petroleum.</v>
      </c>
      <c r="K24" s="10" t="str">
        <f t="shared" ref="K24:K130" si="6">G24 &amp; ".002"</f>
        <v>LU005702.002</v>
      </c>
      <c r="L24" s="10" t="str">
        <f ca="1">IFERROR(__xludf.DUMMYFUNCTION("VLOOKUP(K24, IMPORTRANGE(""https://docs.google.com/spreadsheets/d/1yDAaXNsi4Mr5FtRQL4tbmSdIzhx6_m4wkOD7IG-k_eo/edit#gid=1336395716"", ""Science!M:N""), 2, FALSE)"),"Explain the purpose of each step in the petroleum refining process.")</f>
        <v>Explain the purpose of each step in the petroleum refining process.</v>
      </c>
      <c r="M24" s="10" t="str">
        <f t="shared" si="2"/>
        <v>LU005702.003</v>
      </c>
      <c r="N24" s="10" t="str">
        <f ca="1">IFERROR(__xludf.DUMMYFUNCTION("VLOOKUP(M24, IMPORTRANGE(""https://docs.google.com/spreadsheets/d/1yDAaXNsi4Mr5FtRQL4tbmSdIzhx6_m4wkOD7IG-k_eo/edit#gid=1336395716"", ""Science!M:N""), 2, FALSE)"),"Apply the knowledge of petroleum refining to identify the products obtained at each stage.")</f>
        <v>Apply the knowledge of petroleum refining to identify the products obtained at each stage.</v>
      </c>
      <c r="O24" s="10" t="str">
        <f t="shared" si="3"/>
        <v>LU005702.004</v>
      </c>
      <c r="P24" s="10" t="str">
        <f ca="1">IFERROR(__xludf.DUMMYFUNCTION("VLOOKUP(O24, IMPORTRANGE(""https://docs.google.com/spreadsheets/d/1yDAaXNsi4Mr5FtRQL4tbmSdIzhx6_m4wkOD7IG-k_eo/edit#gid=1336395716"", ""Science!M:N""), 2, FALSE)"),"Analyze the relationship between the refining process and the quality of different petroleum products.")</f>
        <v>Analyze the relationship between the refining process and the quality of different petroleum products.</v>
      </c>
      <c r="Q24" s="10" t="str">
        <f t="shared" si="4"/>
        <v>LU005702.005</v>
      </c>
      <c r="R24" s="10" t="str">
        <f ca="1">IFERROR(__xludf.DUMMYFUNCTION("VLOOKUP(Q24, IMPORTRANGE(""https://docs.google.com/spreadsheets/d/1yDAaXNsi4Mr5FtRQL4tbmSdIzhx6_m4wkOD7IG-k_eo/edit#gid=1336395716"", ""Science!M:N""), 2, FALSE)"),"Evaluate the environmental and economic impacts of the petroleum refining process.")</f>
        <v>Evaluate the environmental and economic impacts of the petroleum refining process.</v>
      </c>
      <c r="S24" s="10" t="str">
        <f t="shared" si="5"/>
        <v>LU005702.006</v>
      </c>
      <c r="T24" s="10" t="str">
        <f ca="1">IFERROR(__xludf.DUMMYFUNCTION("VLOOKUP(S24, IMPORTRANGE(""https://docs.google.com/spreadsheets/d/1yDAaXNsi4Mr5FtRQL4tbmSdIzhx6_m4wkOD7IG-k_eo/edit#gid=1336395716"", ""Science!M:N""), 2, FALSE)"),"#N/A")</f>
        <v>#N/A</v>
      </c>
      <c r="U24" s="116">
        <f ca="1">IFERROR(__xludf.DUMMYFUNCTION("ArrayFormula(VLOOKUP(G24, IMPORTRANGE(""https://docs.google.com/spreadsheets/d/1p7R4vtkWt5VOBim4ltsDG9KTzSjrtKXsMtQGXPHyND0/edit#gid=795171502"", ""'Filter 30_05_2024'!A1:M2000""), {2, 3, 4, 5,6,7,8,9,10,11,12,13}, 0))"),4)</f>
        <v>4</v>
      </c>
      <c r="V24" s="116">
        <f ca="1">IFERROR(__xludf.DUMMYFUNCTION("""COMPUTED_VALUE"""),6)</f>
        <v>6</v>
      </c>
      <c r="W24" s="116">
        <f ca="1">IFERROR(__xludf.DUMMYFUNCTION("""COMPUTED_VALUE"""),2)</f>
        <v>2</v>
      </c>
      <c r="X24" s="116">
        <f ca="1">IFERROR(__xludf.DUMMYFUNCTION("""COMPUTED_VALUE"""),12)</f>
        <v>12</v>
      </c>
      <c r="Y24" s="116">
        <f ca="1">IFERROR(__xludf.DUMMYFUNCTION("""COMPUTED_VALUE"""),4)</f>
        <v>4</v>
      </c>
      <c r="Z24" s="12">
        <f ca="1">IFERROR(__xludf.DUMMYFUNCTION("""COMPUTED_VALUE"""),3)</f>
        <v>3</v>
      </c>
      <c r="AA24" s="12">
        <f ca="1">IFERROR(__xludf.DUMMYFUNCTION("""COMPUTED_VALUE"""),1)</f>
        <v>1</v>
      </c>
      <c r="AB24" s="12">
        <f ca="1">IFERROR(__xludf.DUMMYFUNCTION("""COMPUTED_VALUE"""),8)</f>
        <v>8</v>
      </c>
      <c r="AC24" s="12"/>
      <c r="AD24" s="12"/>
      <c r="AE24" s="12"/>
      <c r="AF24" s="12"/>
      <c r="AG24" s="13" t="str">
        <f ca="1">IFERROR(__xludf.DUMMYFUNCTION("ArrayFormula(VLOOKUP(G24, IMPORTRANGE(""https://docs.google.com/spreadsheets/d/1Co934fvtviyaRiMsrIlT05Jaq7iiYq07aLvRr35KA48/edit?gid=173865642#gid=173865642"", ""'G8_Sci_Pri_LU'!G2:V2000""), {3, 4, 5, 6, 7, 8, 9, 10, 11, 12, 13, 14, 15, 16}, 0))"),"LU005707")</f>
        <v>LU005707</v>
      </c>
      <c r="AH24" s="13" t="str">
        <f ca="1">IFERROR(__xludf.DUMMYFUNCTION("""COMPUTED_VALUE"""),"Formation of petroleum and its deposits")</f>
        <v>Formation of petroleum and its deposits</v>
      </c>
      <c r="AI24" s="13" t="str">
        <f ca="1">IFERROR(__xludf.DUMMYFUNCTION("""COMPUTED_VALUE"""),"LU005708")</f>
        <v>LU005708</v>
      </c>
      <c r="AJ24" s="13" t="str">
        <f ca="1">IFERROR(__xludf.DUMMYFUNCTION("""COMPUTED_VALUE"""),"Overview of Fossil Fuels (Coal, Petroleum, Natural Gas)")</f>
        <v>Overview of Fossil Fuels (Coal, Petroleum, Natural Gas)</v>
      </c>
      <c r="AK24" s="13" t="str">
        <f ca="1">IFERROR(__xludf.DUMMYFUNCTION("""COMPUTED_VALUE"""),"LU005700")</f>
        <v>LU005700</v>
      </c>
      <c r="AL24" s="13" t="str">
        <f ca="1">IFERROR(__xludf.DUMMYFUNCTION("""COMPUTED_VALUE"""),"Definition and Types of Natural Resources")</f>
        <v>Definition and Types of Natural Resources</v>
      </c>
      <c r="AM24" s="13"/>
      <c r="AN24" s="13"/>
      <c r="AO24" s="13"/>
      <c r="AP24" s="13"/>
      <c r="AQ24" s="13"/>
      <c r="AR24" s="13"/>
      <c r="AS24" s="13"/>
      <c r="AT24" s="13"/>
    </row>
    <row r="25" spans="1:46" ht="26.4">
      <c r="A25" s="8" t="s">
        <v>247</v>
      </c>
      <c r="B25" s="8" t="s">
        <v>47</v>
      </c>
      <c r="C25" s="8" t="s">
        <v>731</v>
      </c>
      <c r="D25" s="8" t="s">
        <v>1441</v>
      </c>
      <c r="E25" s="8" t="s">
        <v>2044</v>
      </c>
      <c r="F25" s="8" t="s">
        <v>2054</v>
      </c>
      <c r="G25" s="8" t="s">
        <v>2055</v>
      </c>
      <c r="H25" s="8" t="str">
        <f ca="1">IFERROR(__xludf.DUMMYFUNCTION("VLOOKUP(G25, IMPORTRANGE(""https://docs.google.com/spreadsheets/d/14deopnvwcrKtEGCKuYXdUHJbeLDZlkiSSWWT0g7x2pM/edit#gid=849066331"", ""LU List Science (Filter)!A:B""), 2, FALSE)"),"Natural gas and its applications")</f>
        <v>Natural gas and its applications</v>
      </c>
      <c r="I25" s="10" t="str">
        <f t="shared" si="0"/>
        <v>LU005697.001</v>
      </c>
      <c r="J25" s="10" t="str">
        <f ca="1">IFERROR(__xludf.DUMMYFUNCTION("VLOOKUP(I25, IMPORTRANGE(""https://docs.google.com/spreadsheets/d/1yDAaXNsi4Mr5FtRQL4tbmSdIzhx6_m4wkOD7IG-k_eo/edit#gid=1336395716"", ""Science!M:N""), 2, FALSE)"),"Define natural gas and its components.")</f>
        <v>Define natural gas and its components.</v>
      </c>
      <c r="K25" s="10" t="str">
        <f t="shared" si="6"/>
        <v>LU005697.002</v>
      </c>
      <c r="L25" s="10" t="str">
        <f ca="1">IFERROR(__xludf.DUMMYFUNCTION("VLOOKUP(K25, IMPORTRANGE(""https://docs.google.com/spreadsheets/d/1yDAaXNsi4Mr5FtRQL4tbmSdIzhx6_m4wkOD7IG-k_eo/edit#gid=1336395716"", ""Science!M:N""), 2, FALSE)"),"Explain the benefits of using natural gas over other fossil fuels.")</f>
        <v>Explain the benefits of using natural gas over other fossil fuels.</v>
      </c>
      <c r="M25" s="10" t="str">
        <f t="shared" si="2"/>
        <v>LU005697.003</v>
      </c>
      <c r="N25" s="10" t="str">
        <f ca="1">IFERROR(__xludf.DUMMYFUNCTION("VLOOKUP(M25, IMPORTRANGE(""https://docs.google.com/spreadsheets/d/1yDAaXNsi4Mr5FtRQL4tbmSdIzhx6_m4wkOD7IG-k_eo/edit#gid=1336395716"", ""Science!M:N""), 2, FALSE)"),"Identify the unique charecteristics of natural gas and its application in specific industries.")</f>
        <v>Identify the unique charecteristics of natural gas and its application in specific industries.</v>
      </c>
      <c r="O25" s="10" t="str">
        <f t="shared" si="3"/>
        <v>LU005697.004</v>
      </c>
      <c r="P25" s="10" t="str">
        <f ca="1">IFERROR(__xludf.DUMMYFUNCTION("VLOOKUP(O25, IMPORTRANGE(""https://docs.google.com/spreadsheets/d/1yDAaXNsi4Mr5FtRQL4tbmSdIzhx6_m4wkOD7IG-k_eo/edit#gid=1336395716"", ""Science!M:N""), 2, FALSE)"),"Contrast natural gas with other fossil fuels.")</f>
        <v>Contrast natural gas with other fossil fuels.</v>
      </c>
      <c r="Q25" s="10" t="str">
        <f t="shared" si="4"/>
        <v>LU005697.005</v>
      </c>
      <c r="R25" s="10" t="str">
        <f ca="1">IFERROR(__xludf.DUMMYFUNCTION("VLOOKUP(Q25, IMPORTRANGE(""https://docs.google.com/spreadsheets/d/1yDAaXNsi4Mr5FtRQL4tbmSdIzhx6_m4wkOD7IG-k_eo/edit#gid=1336395716"", ""Science!M:N""), 2, FALSE)"),"Evaluate the safety concerns of natural gas usage.")</f>
        <v>Evaluate the safety concerns of natural gas usage.</v>
      </c>
      <c r="S25" s="10" t="str">
        <f t="shared" si="5"/>
        <v>LU005697.006</v>
      </c>
      <c r="T25" s="10" t="str">
        <f ca="1">IFERROR(__xludf.DUMMYFUNCTION("VLOOKUP(S25, IMPORTRANGE(""https://docs.google.com/spreadsheets/d/1yDAaXNsi4Mr5FtRQL4tbmSdIzhx6_m4wkOD7IG-k_eo/edit#gid=1336395716"", ""Science!M:N""), 2, FALSE)"),"#N/A")</f>
        <v>#N/A</v>
      </c>
      <c r="U25" s="116">
        <f ca="1">IFERROR(__xludf.DUMMYFUNCTION("ArrayFormula(VLOOKUP(G25, IMPORTRANGE(""https://docs.google.com/spreadsheets/d/1p7R4vtkWt5VOBim4ltsDG9KTzSjrtKXsMtQGXPHyND0/edit#gid=795171502"", ""'Filter 30_05_2024'!A1:M2000""), {2, 3, 4, 5,6,7,8,9,10,11,12,13}, 0))"),4)</f>
        <v>4</v>
      </c>
      <c r="V25" s="116">
        <f ca="1">IFERROR(__xludf.DUMMYFUNCTION("""COMPUTED_VALUE"""),6)</f>
        <v>6</v>
      </c>
      <c r="W25" s="116">
        <f ca="1">IFERROR(__xludf.DUMMYFUNCTION("""COMPUTED_VALUE"""),2)</f>
        <v>2</v>
      </c>
      <c r="X25" s="116">
        <f ca="1">IFERROR(__xludf.DUMMYFUNCTION("""COMPUTED_VALUE"""),12)</f>
        <v>12</v>
      </c>
      <c r="Y25" s="116">
        <f ca="1">IFERROR(__xludf.DUMMYFUNCTION("""COMPUTED_VALUE"""),4)</f>
        <v>4</v>
      </c>
      <c r="Z25" s="12">
        <f ca="1">IFERROR(__xludf.DUMMYFUNCTION("""COMPUTED_VALUE"""),3)</f>
        <v>3</v>
      </c>
      <c r="AA25" s="12">
        <f ca="1">IFERROR(__xludf.DUMMYFUNCTION("""COMPUTED_VALUE"""),1)</f>
        <v>1</v>
      </c>
      <c r="AB25" s="12">
        <f ca="1">IFERROR(__xludf.DUMMYFUNCTION("""COMPUTED_VALUE"""),8)</f>
        <v>8</v>
      </c>
      <c r="AC25" s="12"/>
      <c r="AD25" s="12"/>
      <c r="AE25" s="12"/>
      <c r="AF25" s="12"/>
      <c r="AG25" s="13" t="str">
        <f ca="1">IFERROR(__xludf.DUMMYFUNCTION("ArrayFormula(VLOOKUP(G25, IMPORTRANGE(""https://docs.google.com/spreadsheets/d/1Co934fvtviyaRiMsrIlT05Jaq7iiYq07aLvRr35KA48/edit?gid=173865642#gid=173865642"", ""'G8_Sci_Pri_LU'!G2:V2000""), {3, 4, 5, 6, 7, 8, 9, 10, 11, 12, 13, 14, 15, 16}, 0))"),"LU005708")</f>
        <v>LU005708</v>
      </c>
      <c r="AH25" s="13" t="str">
        <f ca="1">IFERROR(__xludf.DUMMYFUNCTION("""COMPUTED_VALUE"""),"Overview of Fossil Fuels (Coal, Petroleum, Natural Gas)")</f>
        <v>Overview of Fossil Fuels (Coal, Petroleum, Natural Gas)</v>
      </c>
      <c r="AI25" s="13"/>
      <c r="AJ25" s="13"/>
      <c r="AK25" s="13"/>
      <c r="AL25" s="13"/>
      <c r="AM25" s="13"/>
      <c r="AN25" s="13"/>
      <c r="AO25" s="13"/>
      <c r="AP25" s="13"/>
      <c r="AQ25" s="13"/>
      <c r="AR25" s="13"/>
      <c r="AS25" s="13"/>
      <c r="AT25" s="13"/>
    </row>
    <row r="26" spans="1:46" ht="26.4">
      <c r="A26" s="8" t="s">
        <v>247</v>
      </c>
      <c r="B26" s="8" t="s">
        <v>47</v>
      </c>
      <c r="C26" s="8" t="s">
        <v>731</v>
      </c>
      <c r="D26" s="8" t="s">
        <v>1441</v>
      </c>
      <c r="E26" s="8" t="s">
        <v>2044</v>
      </c>
      <c r="F26" s="59" t="s">
        <v>2054</v>
      </c>
      <c r="G26" s="114" t="s">
        <v>2056</v>
      </c>
      <c r="H26" s="8" t="str">
        <f ca="1">IFERROR(__xludf.DUMMYFUNCTION("VLOOKUP(G26, IMPORTRANGE(""https://docs.google.com/spreadsheets/d/14deopnvwcrKtEGCKuYXdUHJbeLDZlkiSSWWT0g7x2pM/edit#gid=849066331"", ""LU List Science (Filter)!A:B""), 2, FALSE)"),"Conservation of resources")</f>
        <v>Conservation of resources</v>
      </c>
      <c r="I26" s="10" t="str">
        <f t="shared" si="0"/>
        <v>LU005705.001</v>
      </c>
      <c r="J26" s="10" t="str">
        <f ca="1">IFERROR(__xludf.DUMMYFUNCTION("VLOOKUP(I26, IMPORTRANGE(""https://docs.google.com/spreadsheets/d/1yDAaXNsi4Mr5FtRQL4tbmSdIzhx6_m4wkOD7IG-k_eo/edit#gid=1336395716"", ""Science!M:N""), 2, FALSE)"),"State the reasons for conserving resources.")</f>
        <v>State the reasons for conserving resources.</v>
      </c>
      <c r="K26" s="10" t="str">
        <f t="shared" si="6"/>
        <v>LU005705.002</v>
      </c>
      <c r="L26" s="10" t="str">
        <f ca="1">IFERROR(__xludf.DUMMYFUNCTION("VLOOKUP(K26, IMPORTRANGE(""https://docs.google.com/spreadsheets/d/1yDAaXNsi4Mr5FtRQL4tbmSdIzhx6_m4wkOD7IG-k_eo/edit#gid=1336395716"", ""Science!M:N""), 2, FALSE)"),"Discuss the benefits of sustainable resource usage.")</f>
        <v>Discuss the benefits of sustainable resource usage.</v>
      </c>
      <c r="M26" s="10" t="str">
        <f t="shared" si="2"/>
        <v>LU005705.003</v>
      </c>
      <c r="N26" s="10" t="str">
        <f ca="1">IFERROR(__xludf.DUMMYFUNCTION("VLOOKUP(M26, IMPORTRANGE(""https://docs.google.com/spreadsheets/d/1yDAaXNsi4Mr5FtRQL4tbmSdIzhx6_m4wkOD7IG-k_eo/edit#gid=1336395716"", ""Science!M:N""), 2, FALSE)"),"Illustrate the consequences of resource depletion.")</f>
        <v>Illustrate the consequences of resource depletion.</v>
      </c>
      <c r="O26" s="10" t="str">
        <f t="shared" si="3"/>
        <v>LU005705.004</v>
      </c>
      <c r="P26" s="10" t="str">
        <f ca="1">IFERROR(__xludf.DUMMYFUNCTION("VLOOKUP(O26, IMPORTRANGE(""https://docs.google.com/spreadsheets/d/1yDAaXNsi4Mr5FtRQL4tbmSdIzhx6_m4wkOD7IG-k_eo/edit#gid=1336395716"", ""Science!M:N""), 2, FALSE)"),"Compare resource conservation methods.")</f>
        <v>Compare resource conservation methods.</v>
      </c>
      <c r="Q26" s="10" t="str">
        <f t="shared" si="4"/>
        <v>LU005705.005</v>
      </c>
      <c r="R26" s="10" t="str">
        <f ca="1">IFERROR(__xludf.DUMMYFUNCTION("VLOOKUP(Q26, IMPORTRANGE(""https://docs.google.com/spreadsheets/d/1yDAaXNsi4Mr5FtRQL4tbmSdIzhx6_m4wkOD7IG-k_eo/edit#gid=1336395716"", ""Science!M:N""), 2, FALSE)"),"Justify the need for global cooperation in resource conservation.")</f>
        <v>Justify the need for global cooperation in resource conservation.</v>
      </c>
      <c r="S26" s="10" t="str">
        <f t="shared" si="5"/>
        <v>LU005705.006</v>
      </c>
      <c r="T26" s="10" t="str">
        <f ca="1">IFERROR(__xludf.DUMMYFUNCTION("VLOOKUP(S26, IMPORTRANGE(""https://docs.google.com/spreadsheets/d/1yDAaXNsi4Mr5FtRQL4tbmSdIzhx6_m4wkOD7IG-k_eo/edit#gid=1336395716"", ""Science!M:N""), 2, FALSE)"),"#N/A")</f>
        <v>#N/A</v>
      </c>
      <c r="U26" s="116">
        <f ca="1">IFERROR(__xludf.DUMMYFUNCTION("ArrayFormula(VLOOKUP(G26, IMPORTRANGE(""https://docs.google.com/spreadsheets/d/1p7R4vtkWt5VOBim4ltsDG9KTzSjrtKXsMtQGXPHyND0/edit#gid=795171502"", ""'Filter 30_05_2024'!A1:M2000""), {2, 3, 4, 5,6,7,8,9,10,11,12,13}, 0))"),4)</f>
        <v>4</v>
      </c>
      <c r="V26" s="116">
        <f ca="1">IFERROR(__xludf.DUMMYFUNCTION("""COMPUTED_VALUE"""),6)</f>
        <v>6</v>
      </c>
      <c r="W26" s="116">
        <f ca="1">IFERROR(__xludf.DUMMYFUNCTION("""COMPUTED_VALUE"""),2)</f>
        <v>2</v>
      </c>
      <c r="X26" s="116">
        <f ca="1">IFERROR(__xludf.DUMMYFUNCTION("""COMPUTED_VALUE"""),12)</f>
        <v>12</v>
      </c>
      <c r="Y26" s="116">
        <f ca="1">IFERROR(__xludf.DUMMYFUNCTION("""COMPUTED_VALUE"""),4)</f>
        <v>4</v>
      </c>
      <c r="Z26" s="12">
        <f ca="1">IFERROR(__xludf.DUMMYFUNCTION("""COMPUTED_VALUE"""),3)</f>
        <v>3</v>
      </c>
      <c r="AA26" s="12">
        <f ca="1">IFERROR(__xludf.DUMMYFUNCTION("""COMPUTED_VALUE"""),1)</f>
        <v>1</v>
      </c>
      <c r="AB26" s="12">
        <f ca="1">IFERROR(__xludf.DUMMYFUNCTION("""COMPUTED_VALUE"""),8)</f>
        <v>8</v>
      </c>
      <c r="AC26" s="12"/>
      <c r="AD26" s="12"/>
      <c r="AE26" s="12"/>
      <c r="AF26" s="12"/>
      <c r="AG26" s="13" t="str">
        <f ca="1">IFERROR(__xludf.DUMMYFUNCTION("ArrayFormula(VLOOKUP(G26, IMPORTRANGE(""https://docs.google.com/spreadsheets/d/1Co934fvtviyaRiMsrIlT05Jaq7iiYq07aLvRr35KA48/edit?gid=173865642#gid=173865642"", ""'G8_Sci_Pri_LU'!G2:V2000""), {3, 4, 5, 6, 7, 8, 9, 10, 11, 12, 13, 14, 15, 16}, 0))"),"LU006439")</f>
        <v>LU006439</v>
      </c>
      <c r="AH26" s="13" t="str">
        <f ca="1">IFERROR(__xludf.DUMMYFUNCTION("""COMPUTED_VALUE"""),"Judicial Use of Natural Resources")</f>
        <v>Judicial Use of Natural Resources</v>
      </c>
      <c r="AI26" s="13" t="str">
        <f ca="1">IFERROR(__xludf.DUMMYFUNCTION("""COMPUTED_VALUE"""),"LU005708")</f>
        <v>LU005708</v>
      </c>
      <c r="AJ26" s="13" t="str">
        <f ca="1">IFERROR(__xludf.DUMMYFUNCTION("""COMPUTED_VALUE"""),"Overview of Fossil Fuels (Coal, Petroleum, Natural Gas)")</f>
        <v>Overview of Fossil Fuels (Coal, Petroleum, Natural Gas)</v>
      </c>
      <c r="AK26" s="13" t="str">
        <f ca="1">IFERROR(__xludf.DUMMYFUNCTION("""COMPUTED_VALUE"""),"LU005700")</f>
        <v>LU005700</v>
      </c>
      <c r="AL26" s="13" t="str">
        <f ca="1">IFERROR(__xludf.DUMMYFUNCTION("""COMPUTED_VALUE"""),"Definition and Types of Natural Resources")</f>
        <v>Definition and Types of Natural Resources</v>
      </c>
      <c r="AM26" s="13"/>
      <c r="AN26" s="13"/>
      <c r="AO26" s="13"/>
      <c r="AP26" s="13"/>
      <c r="AQ26" s="13"/>
      <c r="AR26" s="13"/>
      <c r="AS26" s="13"/>
      <c r="AT26" s="13"/>
    </row>
    <row r="27" spans="1:46" ht="39.6">
      <c r="A27" s="8" t="s">
        <v>247</v>
      </c>
      <c r="B27" s="8" t="s">
        <v>47</v>
      </c>
      <c r="C27" s="8" t="s">
        <v>731</v>
      </c>
      <c r="D27" s="8" t="s">
        <v>1441</v>
      </c>
      <c r="E27" s="8" t="s">
        <v>2057</v>
      </c>
      <c r="F27" s="8" t="s">
        <v>2058</v>
      </c>
      <c r="G27" s="8" t="s">
        <v>2059</v>
      </c>
      <c r="H27" s="8" t="str">
        <f ca="1">IFERROR(__xludf.DUMMYFUNCTION("VLOOKUP(G27, IMPORTRANGE(""https://docs.google.com/spreadsheets/d/14deopnvwcrKtEGCKuYXdUHJbeLDZlkiSSWWT0g7x2pM/edit#gid=849066331"", ""LU List Science (Filter)!A:B""), 2, FALSE)"),"Definition and Explanation of Combustion")</f>
        <v>Definition and Explanation of Combustion</v>
      </c>
      <c r="I27" s="10" t="str">
        <f t="shared" si="0"/>
        <v>LU005683.001</v>
      </c>
      <c r="J27" s="10" t="str">
        <f ca="1">IFERROR(__xludf.DUMMYFUNCTION("VLOOKUP(I27, IMPORTRANGE(""https://docs.google.com/spreadsheets/d/1yDAaXNsi4Mr5FtRQL4tbmSdIzhx6_m4wkOD7IG-k_eo/edit#gid=1336395716"", ""Science!M:N""), 2, FALSE)"),"Define combustion as a chemical reaction.")</f>
        <v>Define combustion as a chemical reaction.</v>
      </c>
      <c r="K27" s="10" t="str">
        <f t="shared" si="6"/>
        <v>LU005683.002</v>
      </c>
      <c r="L27" s="10" t="str">
        <f ca="1">IFERROR(__xludf.DUMMYFUNCTION("VLOOKUP(K27, IMPORTRANGE(""https://docs.google.com/spreadsheets/d/1yDAaXNsi4Mr5FtRQL4tbmSdIzhx6_m4wkOD7IG-k_eo/edit#gid=1336395716"", ""Science!M:N""), 2, FALSE)"),"Explain the process of combustion, including the involvement of fuel, oxygen, and heat.")</f>
        <v>Explain the process of combustion, including the involvement of fuel, oxygen, and heat.</v>
      </c>
      <c r="M27" s="10" t="str">
        <f t="shared" si="2"/>
        <v>LU005683.003</v>
      </c>
      <c r="N27" s="10" t="str">
        <f ca="1">IFERROR(__xludf.DUMMYFUNCTION("VLOOKUP(M27, IMPORTRANGE(""https://docs.google.com/spreadsheets/d/1yDAaXNsi4Mr5FtRQL4tbmSdIzhx6_m4wkOD7IG-k_eo/edit#gid=1336395716"", ""Science!M:N""), 2, FALSE)"),"Apply knowledge of combustion to identify and describe examples of combustion reactions.")</f>
        <v>Apply knowledge of combustion to identify and describe examples of combustion reactions.</v>
      </c>
      <c r="O27" s="10" t="str">
        <f t="shared" si="3"/>
        <v>LU005683.004</v>
      </c>
      <c r="P27" s="10" t="str">
        <f ca="1">IFERROR(__xludf.DUMMYFUNCTION("VLOOKUP(O27, IMPORTRANGE(""https://docs.google.com/spreadsheets/d/1yDAaXNsi4Mr5FtRQL4tbmSdIzhx6_m4wkOD7IG-k_eo/edit#gid=1336395716"", ""Science!M:N""), 2, FALSE)"),"Analyze the key characteristics of combustion, such as the release of energy, heat, light, and the formation of products.")</f>
        <v>Analyze the key characteristics of combustion, such as the release of energy, heat, light, and the formation of products.</v>
      </c>
      <c r="Q27" s="10" t="str">
        <f t="shared" si="4"/>
        <v>LU005683.005</v>
      </c>
      <c r="R27" s="10" t="str">
        <f ca="1">IFERROR(__xludf.DUMMYFUNCTION("VLOOKUP(Q27, IMPORTRANGE(""https://docs.google.com/spreadsheets/d/1yDAaXNsi4Mr5FtRQL4tbmSdIzhx6_m4wkOD7IG-k_eo/edit#gid=1336395716"", ""Science!M:N""), 2, FALSE)"),"Evaluate the importance of combustion in energy production, cooking, and transportation.")</f>
        <v>Evaluate the importance of combustion in energy production, cooking, and transportation.</v>
      </c>
      <c r="S27" s="10" t="str">
        <f t="shared" si="5"/>
        <v>LU005683.006</v>
      </c>
      <c r="T27" s="10" t="str">
        <f ca="1">IFERROR(__xludf.DUMMYFUNCTION("VLOOKUP(S27, IMPORTRANGE(""https://docs.google.com/spreadsheets/d/1yDAaXNsi4Mr5FtRQL4tbmSdIzhx6_m4wkOD7IG-k_eo/edit#gid=1336395716"", ""Science!M:N""), 2, FALSE)"),"#N/A")</f>
        <v>#N/A</v>
      </c>
      <c r="U27" s="116">
        <f ca="1">IFERROR(__xludf.DUMMYFUNCTION("ArrayFormula(VLOOKUP(G27, IMPORTRANGE(""https://docs.google.com/spreadsheets/d/1p7R4vtkWt5VOBim4ltsDG9KTzSjrtKXsMtQGXPHyND0/edit#gid=795171502"", ""'Filter 30_05_2024'!A1:M2000""), {2, 3, 4, 5,6,7,8,9,10,11,12,13}, 0))"),4)</f>
        <v>4</v>
      </c>
      <c r="V27" s="116">
        <f ca="1">IFERROR(__xludf.DUMMYFUNCTION("""COMPUTED_VALUE"""),6)</f>
        <v>6</v>
      </c>
      <c r="W27" s="116">
        <f ca="1">IFERROR(__xludf.DUMMYFUNCTION("""COMPUTED_VALUE"""),2)</f>
        <v>2</v>
      </c>
      <c r="X27" s="116">
        <f ca="1">IFERROR(__xludf.DUMMYFUNCTION("""COMPUTED_VALUE"""),12)</f>
        <v>12</v>
      </c>
      <c r="Y27" s="116">
        <f ca="1">IFERROR(__xludf.DUMMYFUNCTION("""COMPUTED_VALUE"""),4)</f>
        <v>4</v>
      </c>
      <c r="Z27" s="12">
        <f ca="1">IFERROR(__xludf.DUMMYFUNCTION("""COMPUTED_VALUE"""),3)</f>
        <v>3</v>
      </c>
      <c r="AA27" s="12">
        <f ca="1">IFERROR(__xludf.DUMMYFUNCTION("""COMPUTED_VALUE"""),1)</f>
        <v>1</v>
      </c>
      <c r="AB27" s="12">
        <f ca="1">IFERROR(__xludf.DUMMYFUNCTION("""COMPUTED_VALUE"""),8)</f>
        <v>8</v>
      </c>
      <c r="AC27" s="12"/>
      <c r="AD27" s="12"/>
      <c r="AE27" s="12"/>
      <c r="AF27" s="12"/>
      <c r="AG27" s="13" t="str">
        <f ca="1">IFERROR(__xludf.DUMMYFUNCTION("ArrayFormula(VLOOKUP(G27, IMPORTRANGE(""https://docs.google.com/spreadsheets/d/1Co934fvtviyaRiMsrIlT05Jaq7iiYq07aLvRr35KA48/edit?gid=173865642#gid=173865642"", ""'G8_Sci_Pri_LU'!G2:V2000""), {3, 4, 5, 6, 7, 8, 9, 10, 11, 12, 13, 14, 15, 16}, 0))"),"LU005488")</f>
        <v>LU005488</v>
      </c>
      <c r="AH27" s="13" t="str">
        <f ca="1">IFERROR(__xludf.DUMMYFUNCTION("""COMPUTED_VALUE"""),"Effects Indicating Chemical Changes")</f>
        <v>Effects Indicating Chemical Changes</v>
      </c>
      <c r="AI27" s="13" t="str">
        <f ca="1">IFERROR(__xludf.DUMMYFUNCTION("""COMPUTED_VALUE"""),"LU005493")</f>
        <v>LU005493</v>
      </c>
      <c r="AJ27" s="13" t="str">
        <f ca="1">IFERROR(__xludf.DUMMYFUNCTION("""COMPUTED_VALUE"""),"Introduction to Chemical Changes")</f>
        <v>Introduction to Chemical Changes</v>
      </c>
      <c r="AK27" s="13"/>
      <c r="AL27" s="13"/>
      <c r="AM27" s="13"/>
      <c r="AN27" s="13"/>
      <c r="AO27" s="13"/>
      <c r="AP27" s="13"/>
      <c r="AQ27" s="13"/>
      <c r="AR27" s="13"/>
      <c r="AS27" s="13"/>
      <c r="AT27" s="13"/>
    </row>
    <row r="28" spans="1:46" ht="39.6">
      <c r="A28" s="8" t="s">
        <v>247</v>
      </c>
      <c r="B28" s="8" t="s">
        <v>47</v>
      </c>
      <c r="C28" s="8" t="s">
        <v>731</v>
      </c>
      <c r="D28" s="8" t="s">
        <v>1441</v>
      </c>
      <c r="E28" s="8" t="s">
        <v>2057</v>
      </c>
      <c r="F28" s="8" t="s">
        <v>2058</v>
      </c>
      <c r="G28" s="8" t="s">
        <v>2060</v>
      </c>
      <c r="H28" s="8" t="str">
        <f ca="1">IFERROR(__xludf.DUMMYFUNCTION("VLOOKUP(G28, IMPORTRANGE(""https://docs.google.com/spreadsheets/d/14deopnvwcrKtEGCKuYXdUHJbeLDZlkiSSWWT0g7x2pM/edit#gid=849066331"", ""LU List Science (Filter)!A:B""), 2, FALSE)"),"Combustible and Non-combustible substances")</f>
        <v>Combustible and Non-combustible substances</v>
      </c>
      <c r="I28" s="10" t="str">
        <f t="shared" si="0"/>
        <v>LU005694.001</v>
      </c>
      <c r="J28" s="10" t="str">
        <f ca="1">IFERROR(__xludf.DUMMYFUNCTION("VLOOKUP(I28, IMPORTRANGE(""https://docs.google.com/spreadsheets/d/1yDAaXNsi4Mr5FtRQL4tbmSdIzhx6_m4wkOD7IG-k_eo/edit#gid=1336395716"", ""Science!M:N""), 2, FALSE)"),"List examples of common combustible materials.")</f>
        <v>List examples of common combustible materials.</v>
      </c>
      <c r="K28" s="10" t="str">
        <f t="shared" si="6"/>
        <v>LU005694.002</v>
      </c>
      <c r="L28" s="10" t="str">
        <f ca="1">IFERROR(__xludf.DUMMYFUNCTION("VLOOKUP(K28, IMPORTRANGE(""https://docs.google.com/spreadsheets/d/1yDAaXNsi4Mr5FtRQL4tbmSdIzhx6_m4wkOD7IG-k_eo/edit#gid=1336395716"", ""Science!M:N""), 2, FALSE)"),"Differentiate between combustible and non-combustible substances.")</f>
        <v>Differentiate between combustible and non-combustible substances.</v>
      </c>
      <c r="M28" s="10" t="str">
        <f t="shared" si="2"/>
        <v>LU005694.003</v>
      </c>
      <c r="N28" s="10" t="str">
        <f ca="1">IFERROR(__xludf.DUMMYFUNCTION("VLOOKUP(M28, IMPORTRANGE(""https://docs.google.com/spreadsheets/d/1yDAaXNsi4Mr5FtRQL4tbmSdIzhx6_m4wkOD7IG-k_eo/edit#gid=1336395716"", ""Science!M:N""), 2, FALSE)"),"Identify non-combustible materials and explain why they don't undergo combustion.")</f>
        <v>Identify non-combustible materials and explain why they don't undergo combustion.</v>
      </c>
      <c r="O28" s="10" t="str">
        <f t="shared" si="3"/>
        <v>LU005694.004</v>
      </c>
      <c r="P28" s="10" t="str">
        <f ca="1">IFERROR(__xludf.DUMMYFUNCTION("VLOOKUP(O28, IMPORTRANGE(""https://docs.google.com/spreadsheets/d/1yDAaXNsi4Mr5FtRQL4tbmSdIzhx6_m4wkOD7IG-k_eo/edit#gid=1336395716"", ""Science!M:N""), 2, FALSE)"),"Apply the concept of combustion to predict the behavior of different materials when exposed to heat or flame.")</f>
        <v>Apply the concept of combustion to predict the behavior of different materials when exposed to heat or flame.</v>
      </c>
      <c r="Q28" s="10" t="str">
        <f t="shared" si="4"/>
        <v>LU005694.005</v>
      </c>
      <c r="R28" s="10" t="str">
        <f ca="1">IFERROR(__xludf.DUMMYFUNCTION("VLOOKUP(Q28, IMPORTRANGE(""https://docs.google.com/spreadsheets/d/1yDAaXNsi4Mr5FtRQL4tbmSdIzhx6_m4wkOD7IG-k_eo/edit#gid=1336395716"", ""Science!M:N""), 2, FALSE)"),"Analyze the fire resistance properties of non-combustible materials in construction and safety.")</f>
        <v>Analyze the fire resistance properties of non-combustible materials in construction and safety.</v>
      </c>
      <c r="S28" s="10" t="str">
        <f t="shared" si="5"/>
        <v>LU005694.006</v>
      </c>
      <c r="T28" s="10" t="str">
        <f ca="1">IFERROR(__xludf.DUMMYFUNCTION("VLOOKUP(S28, IMPORTRANGE(""https://docs.google.com/spreadsheets/d/1yDAaXNsi4Mr5FtRQL4tbmSdIzhx6_m4wkOD7IG-k_eo/edit#gid=1336395716"", ""Science!M:N""), 2, FALSE)"),"#N/A")</f>
        <v>#N/A</v>
      </c>
      <c r="U28" s="116">
        <f ca="1">IFERROR(__xludf.DUMMYFUNCTION("ArrayFormula(VLOOKUP(G28, IMPORTRANGE(""https://docs.google.com/spreadsheets/d/1p7R4vtkWt5VOBim4ltsDG9KTzSjrtKXsMtQGXPHyND0/edit#gid=795171502"", ""'Filter 30_05_2024'!A1:M2000""), {2, 3, 4, 5,6,7,8,9,10,11,12,13}, 0))"),4)</f>
        <v>4</v>
      </c>
      <c r="V28" s="116">
        <f ca="1">IFERROR(__xludf.DUMMYFUNCTION("""COMPUTED_VALUE"""),6)</f>
        <v>6</v>
      </c>
      <c r="W28" s="116">
        <f ca="1">IFERROR(__xludf.DUMMYFUNCTION("""COMPUTED_VALUE"""),2)</f>
        <v>2</v>
      </c>
      <c r="X28" s="116">
        <f ca="1">IFERROR(__xludf.DUMMYFUNCTION("""COMPUTED_VALUE"""),12)</f>
        <v>12</v>
      </c>
      <c r="Y28" s="116">
        <f ca="1">IFERROR(__xludf.DUMMYFUNCTION("""COMPUTED_VALUE"""),4)</f>
        <v>4</v>
      </c>
      <c r="Z28" s="12">
        <f ca="1">IFERROR(__xludf.DUMMYFUNCTION("""COMPUTED_VALUE"""),3)</f>
        <v>3</v>
      </c>
      <c r="AA28" s="12">
        <f ca="1">IFERROR(__xludf.DUMMYFUNCTION("""COMPUTED_VALUE"""),1)</f>
        <v>1</v>
      </c>
      <c r="AB28" s="12">
        <f ca="1">IFERROR(__xludf.DUMMYFUNCTION("""COMPUTED_VALUE"""),8)</f>
        <v>8</v>
      </c>
      <c r="AC28" s="12"/>
      <c r="AD28" s="12"/>
      <c r="AE28" s="12"/>
      <c r="AF28" s="12"/>
      <c r="AG28" s="13" t="str">
        <f ca="1">IFERROR(__xludf.DUMMYFUNCTION("ArrayFormula(VLOOKUP(G28, IMPORTRANGE(""https://docs.google.com/spreadsheets/d/1Co934fvtviyaRiMsrIlT05Jaq7iiYq07aLvRr35KA48/edit?gid=173865642#gid=173865642"", ""'G8_Sci_Pri_LU'!G2:V2000""), {3, 4, 5, 6, 7, 8, 9, 10, 11, 12, 13, 14, 15, 16}, 0))"),"LU005683")</f>
        <v>LU005683</v>
      </c>
      <c r="AH28" s="13" t="str">
        <f ca="1">IFERROR(__xludf.DUMMYFUNCTION("""COMPUTED_VALUE"""),"Definition and Explanation of Combustion")</f>
        <v>Definition and Explanation of Combustion</v>
      </c>
      <c r="AI28" s="13"/>
      <c r="AJ28" s="13"/>
      <c r="AK28" s="13"/>
      <c r="AL28" s="13"/>
      <c r="AM28" s="13"/>
      <c r="AN28" s="13"/>
      <c r="AO28" s="13"/>
      <c r="AP28" s="13"/>
      <c r="AQ28" s="13"/>
      <c r="AR28" s="13"/>
      <c r="AS28" s="13"/>
      <c r="AT28" s="13"/>
    </row>
    <row r="29" spans="1:46" ht="26.4">
      <c r="A29" s="8" t="s">
        <v>247</v>
      </c>
      <c r="B29" s="8" t="s">
        <v>47</v>
      </c>
      <c r="C29" s="8" t="s">
        <v>731</v>
      </c>
      <c r="D29" s="8" t="s">
        <v>1441</v>
      </c>
      <c r="E29" s="8" t="s">
        <v>2057</v>
      </c>
      <c r="F29" s="8" t="s">
        <v>2061</v>
      </c>
      <c r="G29" s="8" t="s">
        <v>2062</v>
      </c>
      <c r="H29" s="8" t="str">
        <f ca="1">IFERROR(__xludf.DUMMYFUNCTION("VLOOKUP(G29, IMPORTRANGE(""https://docs.google.com/spreadsheets/d/14deopnvwcrKtEGCKuYXdUHJbeLDZlkiSSWWT0g7x2pM/edit#gid=849066331"", ""LU List Science (Filter)!A:B""), 2, FALSE)"),"Ignition temperature and categorisation of inflammable substances")</f>
        <v>Ignition temperature and categorisation of inflammable substances</v>
      </c>
      <c r="I29" s="10" t="str">
        <f t="shared" si="0"/>
        <v>LU005692.001</v>
      </c>
      <c r="J29" s="10" t="str">
        <f ca="1">IFERROR(__xludf.DUMMYFUNCTION("VLOOKUP(I29, IMPORTRANGE(""https://docs.google.com/spreadsheets/d/1yDAaXNsi4Mr5FtRQL4tbmSdIzhx6_m4wkOD7IG-k_eo/edit#gid=1336395716"", ""Science!M:N""), 2, FALSE)"),"Define ignition temperature and briefly mention why it's important in combustion.")</f>
        <v>Define ignition temperature and briefly mention why it's important in combustion.</v>
      </c>
      <c r="K29" s="10" t="str">
        <f t="shared" si="6"/>
        <v>LU005692.002</v>
      </c>
      <c r="L29" s="10" t="str">
        <f ca="1">IFERROR(__xludf.DUMMYFUNCTION("VLOOKUP(K29, IMPORTRANGE(""https://docs.google.com/spreadsheets/d/1yDAaXNsi4Mr5FtRQL4tbmSdIzhx6_m4wkOD7IG-k_eo/edit#gid=1336395716"", ""Science!M:N""), 2, FALSE)"),"Describe how ignition temperature varies for different materials and fuels.")</f>
        <v>Describe how ignition temperature varies for different materials and fuels.</v>
      </c>
      <c r="M29" s="10" t="str">
        <f t="shared" si="2"/>
        <v>LU005692.003</v>
      </c>
      <c r="N29" s="10" t="str">
        <f ca="1">IFERROR(__xludf.DUMMYFUNCTION("VLOOKUP(M29, IMPORTRANGE(""https://docs.google.com/spreadsheets/d/1yDAaXNsi4Mr5FtRQL4tbmSdIzhx6_m4wkOD7IG-k_eo/edit#gid=1336395716"", ""Science!M:N""), 2, FALSE)"),"Apply knowledge of ignition temperature to predict whether a substance will combust.")</f>
        <v>Apply knowledge of ignition temperature to predict whether a substance will combust.</v>
      </c>
      <c r="O29" s="10" t="str">
        <f t="shared" si="3"/>
        <v>LU005692.004</v>
      </c>
      <c r="P29" s="10" t="str">
        <f ca="1">IFERROR(__xludf.DUMMYFUNCTION("VLOOKUP(O29, IMPORTRANGE(""https://docs.google.com/spreadsheets/d/1yDAaXNsi4Mr5FtRQL4tbmSdIzhx6_m4wkOD7IG-k_eo/edit#gid=1336395716"", ""Science!M:N""), 2, FALSE)"),"Analyze the factors that influence the ignition temperature of fuels and materials.")</f>
        <v>Analyze the factors that influence the ignition temperature of fuels and materials.</v>
      </c>
      <c r="Q29" s="10" t="str">
        <f t="shared" si="4"/>
        <v>LU005692.005</v>
      </c>
      <c r="R29" s="10" t="str">
        <f ca="1">IFERROR(__xludf.DUMMYFUNCTION("VLOOKUP(Q29, IMPORTRANGE(""https://docs.google.com/spreadsheets/d/1yDAaXNsi4Mr5FtRQL4tbmSdIzhx6_m4wkOD7IG-k_eo/edit#gid=1336395716"", ""Science!M:N""), 2, FALSE)"),"Evaluate the importance of understanding ignition temperature in fire prevention.")</f>
        <v>Evaluate the importance of understanding ignition temperature in fire prevention.</v>
      </c>
      <c r="S29" s="10" t="str">
        <f t="shared" si="5"/>
        <v>LU005692.006</v>
      </c>
      <c r="T29" s="10" t="str">
        <f ca="1">IFERROR(__xludf.DUMMYFUNCTION("VLOOKUP(S29, IMPORTRANGE(""https://docs.google.com/spreadsheets/d/1yDAaXNsi4Mr5FtRQL4tbmSdIzhx6_m4wkOD7IG-k_eo/edit#gid=1336395716"", ""Science!M:N""), 2, FALSE)"),"#N/A")</f>
        <v>#N/A</v>
      </c>
      <c r="U29" s="116">
        <f ca="1">IFERROR(__xludf.DUMMYFUNCTION("ArrayFormula(VLOOKUP(G29, IMPORTRANGE(""https://docs.google.com/spreadsheets/d/1p7R4vtkWt5VOBim4ltsDG9KTzSjrtKXsMtQGXPHyND0/edit#gid=795171502"", ""'Filter 30_05_2024'!A1:M2000""), {2, 3, 4, 5,6,7,8,9,10,11,12,13}, 0))"),4)</f>
        <v>4</v>
      </c>
      <c r="V29" s="116">
        <f ca="1">IFERROR(__xludf.DUMMYFUNCTION("""COMPUTED_VALUE"""),6)</f>
        <v>6</v>
      </c>
      <c r="W29" s="116">
        <f ca="1">IFERROR(__xludf.DUMMYFUNCTION("""COMPUTED_VALUE"""),2)</f>
        <v>2</v>
      </c>
      <c r="X29" s="116">
        <f ca="1">IFERROR(__xludf.DUMMYFUNCTION("""COMPUTED_VALUE"""),12)</f>
        <v>12</v>
      </c>
      <c r="Y29" s="116">
        <f ca="1">IFERROR(__xludf.DUMMYFUNCTION("""COMPUTED_VALUE"""),4)</f>
        <v>4</v>
      </c>
      <c r="Z29" s="12">
        <f ca="1">IFERROR(__xludf.DUMMYFUNCTION("""COMPUTED_VALUE"""),3)</f>
        <v>3</v>
      </c>
      <c r="AA29" s="12">
        <f ca="1">IFERROR(__xludf.DUMMYFUNCTION("""COMPUTED_VALUE"""),1)</f>
        <v>1</v>
      </c>
      <c r="AB29" s="12">
        <f ca="1">IFERROR(__xludf.DUMMYFUNCTION("""COMPUTED_VALUE"""),8)</f>
        <v>8</v>
      </c>
      <c r="AC29" s="12"/>
      <c r="AD29" s="12"/>
      <c r="AE29" s="12"/>
      <c r="AF29" s="12"/>
      <c r="AG29" s="13" t="str">
        <f ca="1">IFERROR(__xludf.DUMMYFUNCTION("ArrayFormula(VLOOKUP(G29, IMPORTRANGE(""https://docs.google.com/spreadsheets/d/1Co934fvtviyaRiMsrIlT05Jaq7iiYq07aLvRr35KA48/edit?gid=173865642#gid=173865642"", ""'G8_Sci_Pri_LU'!G2:V2000""), {3, 4, 5, 6, 7, 8, 9, 10, 11, 12, 13, 14, 15, 16}, 0))"),"LU005683")</f>
        <v>LU005683</v>
      </c>
      <c r="AH29" s="13" t="str">
        <f ca="1">IFERROR(__xludf.DUMMYFUNCTION("""COMPUTED_VALUE"""),"Definition and Explanation of Combustion")</f>
        <v>Definition and Explanation of Combustion</v>
      </c>
      <c r="AI29" s="13" t="str">
        <f ca="1">IFERROR(__xludf.DUMMYFUNCTION("""COMPUTED_VALUE"""),"LU005694")</f>
        <v>LU005694</v>
      </c>
      <c r="AJ29" s="13" t="str">
        <f ca="1">IFERROR(__xludf.DUMMYFUNCTION("""COMPUTED_VALUE"""),"Combustible and Non-combustible substances")</f>
        <v>Combustible and Non-combustible substances</v>
      </c>
      <c r="AK29" s="13"/>
      <c r="AL29" s="13"/>
      <c r="AM29" s="13"/>
      <c r="AN29" s="13"/>
      <c r="AO29" s="13"/>
      <c r="AP29" s="13"/>
      <c r="AQ29" s="13"/>
      <c r="AR29" s="13"/>
      <c r="AS29" s="13"/>
      <c r="AT29" s="13"/>
    </row>
    <row r="30" spans="1:46" ht="26.4">
      <c r="A30" s="8" t="s">
        <v>247</v>
      </c>
      <c r="B30" s="8" t="s">
        <v>47</v>
      </c>
      <c r="C30" s="8" t="s">
        <v>731</v>
      </c>
      <c r="D30" s="8" t="s">
        <v>1441</v>
      </c>
      <c r="E30" s="8" t="s">
        <v>2057</v>
      </c>
      <c r="F30" s="8" t="s">
        <v>2061</v>
      </c>
      <c r="G30" s="8" t="s">
        <v>2063</v>
      </c>
      <c r="H30" s="8" t="str">
        <f ca="1">IFERROR(__xludf.DUMMYFUNCTION("VLOOKUP(G30, IMPORTRANGE(""https://docs.google.com/spreadsheets/d/14deopnvwcrKtEGCKuYXdUHJbeLDZlkiSSWWT0g7x2pM/edit#gid=849066331"", ""LU List Science (Filter)!A:B""), 2, FALSE)"),"Conditions required for combustion")</f>
        <v>Conditions required for combustion</v>
      </c>
      <c r="I30" s="10" t="str">
        <f t="shared" si="0"/>
        <v>LU005691.001</v>
      </c>
      <c r="J30" s="10" t="str">
        <f ca="1">IFERROR(__xludf.DUMMYFUNCTION("VLOOKUP(I30, IMPORTRANGE(""https://docs.google.com/spreadsheets/d/1yDAaXNsi4Mr5FtRQL4tbmSdIzhx6_m4wkOD7IG-k_eo/edit#gid=1336395716"", ""Science!M:N""), 2, FALSE)"),"List the essential conditions required for combustion.")</f>
        <v>List the essential conditions required for combustion.</v>
      </c>
      <c r="K30" s="10" t="str">
        <f t="shared" si="6"/>
        <v>LU005691.002</v>
      </c>
      <c r="L30" s="10" t="str">
        <f ca="1">IFERROR(__xludf.DUMMYFUNCTION("VLOOKUP(K30, IMPORTRANGE(""https://docs.google.com/spreadsheets/d/1yDAaXNsi4Mr5FtRQL4tbmSdIzhx6_m4wkOD7IG-k_eo/edit#gid=1336395716"", ""Science!M:N""), 2, FALSE)"),"Describe how each condition contributes to the process of combustion.")</f>
        <v>Describe how each condition contributes to the process of combustion.</v>
      </c>
      <c r="M30" s="10" t="str">
        <f t="shared" si="2"/>
        <v>LU005691.003</v>
      </c>
      <c r="N30" s="10" t="str">
        <f ca="1">IFERROR(__xludf.DUMMYFUNCTION("VLOOKUP(M30, IMPORTRANGE(""https://docs.google.com/spreadsheets/d/1yDAaXNsi4Mr5FtRQL4tbmSdIzhx6_m4wkOD7IG-k_eo/edit#gid=1336395716"", ""Science!M:N""), 2, FALSE)"),"Demonstrate the role of each condition in a practical combustion experiment.")</f>
        <v>Demonstrate the role of each condition in a practical combustion experiment.</v>
      </c>
      <c r="O30" s="10" t="str">
        <f t="shared" si="3"/>
        <v>LU005691.004</v>
      </c>
      <c r="P30" s="10" t="str">
        <f ca="1">IFERROR(__xludf.DUMMYFUNCTION("VLOOKUP(O30, IMPORTRANGE(""https://docs.google.com/spreadsheets/d/1yDAaXNsi4Mr5FtRQL4tbmSdIzhx6_m4wkOD7IG-k_eo/edit#gid=1336395716"", ""Science!M:N""), 2, FALSE)"),"Analyze the effect of varying each condition on the combustion process.")</f>
        <v>Analyze the effect of varying each condition on the combustion process.</v>
      </c>
      <c r="Q30" s="10" t="str">
        <f t="shared" si="4"/>
        <v>LU005691.005</v>
      </c>
      <c r="R30" s="10" t="str">
        <f ca="1">IFERROR(__xludf.DUMMYFUNCTION("VLOOKUP(Q30, IMPORTRANGE(""https://docs.google.com/spreadsheets/d/1yDAaXNsi4Mr5FtRQL4tbmSdIzhx6_m4wkOD7IG-k_eo/edit#gid=1336395716"", ""Science!M:N""), 2, FALSE)"),"Evaluate the safety and efficiency implications of different combustion conditions.")</f>
        <v>Evaluate the safety and efficiency implications of different combustion conditions.</v>
      </c>
      <c r="S30" s="10" t="str">
        <f t="shared" si="5"/>
        <v>LU005691.006</v>
      </c>
      <c r="T30" s="10" t="str">
        <f ca="1">IFERROR(__xludf.DUMMYFUNCTION("VLOOKUP(S30, IMPORTRANGE(""https://docs.google.com/spreadsheets/d/1yDAaXNsi4Mr5FtRQL4tbmSdIzhx6_m4wkOD7IG-k_eo/edit#gid=1336395716"", ""Science!M:N""), 2, FALSE)"),"#N/A")</f>
        <v>#N/A</v>
      </c>
      <c r="U30" s="116">
        <f ca="1">IFERROR(__xludf.DUMMYFUNCTION("ArrayFormula(VLOOKUP(G30, IMPORTRANGE(""https://docs.google.com/spreadsheets/d/1p7R4vtkWt5VOBim4ltsDG9KTzSjrtKXsMtQGXPHyND0/edit#gid=795171502"", ""'Filter 30_05_2024'!A1:M2000""), {2, 3, 4, 5,6,7,8,9,10,11,12,13}, 0))"),4)</f>
        <v>4</v>
      </c>
      <c r="V30" s="116">
        <f ca="1">IFERROR(__xludf.DUMMYFUNCTION("""COMPUTED_VALUE"""),6)</f>
        <v>6</v>
      </c>
      <c r="W30" s="116">
        <f ca="1">IFERROR(__xludf.DUMMYFUNCTION("""COMPUTED_VALUE"""),2)</f>
        <v>2</v>
      </c>
      <c r="X30" s="116">
        <f ca="1">IFERROR(__xludf.DUMMYFUNCTION("""COMPUTED_VALUE"""),12)</f>
        <v>12</v>
      </c>
      <c r="Y30" s="116">
        <f ca="1">IFERROR(__xludf.DUMMYFUNCTION("""COMPUTED_VALUE"""),4)</f>
        <v>4</v>
      </c>
      <c r="Z30" s="12">
        <f ca="1">IFERROR(__xludf.DUMMYFUNCTION("""COMPUTED_VALUE"""),3)</f>
        <v>3</v>
      </c>
      <c r="AA30" s="12">
        <f ca="1">IFERROR(__xludf.DUMMYFUNCTION("""COMPUTED_VALUE"""),1)</f>
        <v>1</v>
      </c>
      <c r="AB30" s="12">
        <f ca="1">IFERROR(__xludf.DUMMYFUNCTION("""COMPUTED_VALUE"""),8)</f>
        <v>8</v>
      </c>
      <c r="AC30" s="12"/>
      <c r="AD30" s="12"/>
      <c r="AE30" s="12"/>
      <c r="AF30" s="12"/>
      <c r="AG30" s="13" t="str">
        <f ca="1">IFERROR(__xludf.DUMMYFUNCTION("ArrayFormula(VLOOKUP(G30, IMPORTRANGE(""https://docs.google.com/spreadsheets/d/1Co934fvtviyaRiMsrIlT05Jaq7iiYq07aLvRr35KA48/edit?gid=173865642#gid=173865642"", ""'G8_Sci_Pri_LU'!G2:V2000""), {3, 4, 5, 6, 7, 8, 9, 10, 11, 12, 13, 14, 15, 16}, 0))"),"LU005692")</f>
        <v>LU005692</v>
      </c>
      <c r="AH30" s="13" t="str">
        <f ca="1">IFERROR(__xludf.DUMMYFUNCTION("""COMPUTED_VALUE"""),"Ignition temperature and categorisation of inflammable substances")</f>
        <v>Ignition temperature and categorisation of inflammable substances</v>
      </c>
      <c r="AI30" s="13" t="str">
        <f ca="1">IFERROR(__xludf.DUMMYFUNCTION("""COMPUTED_VALUE"""),"LU005683")</f>
        <v>LU005683</v>
      </c>
      <c r="AJ30" s="13" t="str">
        <f ca="1">IFERROR(__xludf.DUMMYFUNCTION("""COMPUTED_VALUE"""),"Definition and Explanation of Combustion")</f>
        <v>Definition and Explanation of Combustion</v>
      </c>
      <c r="AK30" s="13" t="str">
        <f ca="1">IFERROR(__xludf.DUMMYFUNCTION("""COMPUTED_VALUE"""),"LU005694")</f>
        <v>LU005694</v>
      </c>
      <c r="AL30" s="13" t="str">
        <f ca="1">IFERROR(__xludf.DUMMYFUNCTION("""COMPUTED_VALUE"""),"Combustible and Non-combustible substances")</f>
        <v>Combustible and Non-combustible substances</v>
      </c>
      <c r="AM30" s="13"/>
      <c r="AN30" s="13"/>
      <c r="AO30" s="13"/>
      <c r="AP30" s="13"/>
      <c r="AQ30" s="13"/>
      <c r="AR30" s="13"/>
      <c r="AS30" s="13"/>
      <c r="AT30" s="13"/>
    </row>
    <row r="31" spans="1:46" ht="39.6">
      <c r="A31" s="8" t="s">
        <v>247</v>
      </c>
      <c r="B31" s="8" t="s">
        <v>47</v>
      </c>
      <c r="C31" s="8" t="s">
        <v>731</v>
      </c>
      <c r="D31" s="8" t="s">
        <v>1441</v>
      </c>
      <c r="E31" s="8" t="s">
        <v>2057</v>
      </c>
      <c r="F31" s="8" t="s">
        <v>2064</v>
      </c>
      <c r="G31" s="8" t="s">
        <v>2065</v>
      </c>
      <c r="H31" s="8" t="str">
        <f ca="1">IFERROR(__xludf.DUMMYFUNCTION("VLOOKUP(G31, IMPORTRANGE(""https://docs.google.com/spreadsheets/d/14deopnvwcrKtEGCKuYXdUHJbeLDZlkiSSWWT0g7x2pM/edit#gid=849066331"", ""LU List Science (Filter)!A:B""), 2, FALSE)"),"Different ways to control various fire hazards")</f>
        <v>Different ways to control various fire hazards</v>
      </c>
      <c r="I31" s="10" t="str">
        <f t="shared" si="0"/>
        <v>LU005685.001</v>
      </c>
      <c r="J31" s="10" t="str">
        <f ca="1">IFERROR(__xludf.DUMMYFUNCTION("VLOOKUP(I31, IMPORTRANGE(""https://docs.google.com/spreadsheets/d/1yDAaXNsi4Mr5FtRQL4tbmSdIzhx6_m4wkOD7IG-k_eo/edit#gid=1336395716"", ""Science!M:N""), 2, FALSE)"),"Identify different types of fire hazards.")</f>
        <v>Identify different types of fire hazards.</v>
      </c>
      <c r="K31" s="10" t="str">
        <f t="shared" si="6"/>
        <v>LU005685.002</v>
      </c>
      <c r="L31" s="10" t="str">
        <f ca="1">IFERROR(__xludf.DUMMYFUNCTION("VLOOKUP(K31, IMPORTRANGE(""https://docs.google.com/spreadsheets/d/1yDAaXNsi4Mr5FtRQL4tbmSdIzhx6_m4wkOD7IG-k_eo/edit#gid=1336395716"", ""Science!M:N""), 2, FALSE)"),"Describe various methods to control fire hazards.")</f>
        <v>Describe various methods to control fire hazards.</v>
      </c>
      <c r="M31" s="10" t="str">
        <f t="shared" si="2"/>
        <v>LU005685.003</v>
      </c>
      <c r="N31" s="10" t="str">
        <f ca="1">IFERROR(__xludf.DUMMYFUNCTION("VLOOKUP(M31, IMPORTRANGE(""https://docs.google.com/spreadsheets/d/1yDAaXNsi4Mr5FtRQL4tbmSdIzhx6_m4wkOD7IG-k_eo/edit#gid=1336395716"", ""Science!M:N""), 2, FALSE)"),"Apply appropriate techniques to control specific types of fire hazards in simulated scenarios.")</f>
        <v>Apply appropriate techniques to control specific types of fire hazards in simulated scenarios.</v>
      </c>
      <c r="O31" s="10" t="str">
        <f t="shared" si="3"/>
        <v>LU005685.004</v>
      </c>
      <c r="P31" s="10" t="str">
        <f ca="1">IFERROR(__xludf.DUMMYFUNCTION("VLOOKUP(O31, IMPORTRANGE(""https://docs.google.com/spreadsheets/d/1yDAaXNsi4Mr5FtRQL4tbmSdIzhx6_m4wkOD7IG-k_eo/edit#gid=1336395716"", ""Science!M:N""), 2, FALSE)"),"Analyze the effectiveness of different fire control methods in various situations.")</f>
        <v>Analyze the effectiveness of different fire control methods in various situations.</v>
      </c>
      <c r="Q31" s="10" t="str">
        <f t="shared" si="4"/>
        <v>LU005685.005</v>
      </c>
      <c r="R31" s="10" t="str">
        <f ca="1">IFERROR(__xludf.DUMMYFUNCTION("VLOOKUP(Q31, IMPORTRANGE(""https://docs.google.com/spreadsheets/d/1yDAaXNsi4Mr5FtRQL4tbmSdIzhx6_m4wkOD7IG-k_eo/edit#gid=1336395716"", ""Science!M:N""), 2, FALSE)"),"Evaluate the impact of fire control methods on safety and property protection.")</f>
        <v>Evaluate the impact of fire control methods on safety and property protection.</v>
      </c>
      <c r="S31" s="10" t="str">
        <f t="shared" si="5"/>
        <v>LU005685.006</v>
      </c>
      <c r="T31" s="10" t="str">
        <f ca="1">IFERROR(__xludf.DUMMYFUNCTION("VLOOKUP(S31, IMPORTRANGE(""https://docs.google.com/spreadsheets/d/1yDAaXNsi4Mr5FtRQL4tbmSdIzhx6_m4wkOD7IG-k_eo/edit#gid=1336395716"", ""Science!M:N""), 2, FALSE)"),"#N/A")</f>
        <v>#N/A</v>
      </c>
      <c r="U31" s="116">
        <f ca="1">IFERROR(__xludf.DUMMYFUNCTION("ArrayFormula(VLOOKUP(G31, IMPORTRANGE(""https://docs.google.com/spreadsheets/d/1p7R4vtkWt5VOBim4ltsDG9KTzSjrtKXsMtQGXPHyND0/edit#gid=795171502"", ""'Filter 30_05_2024'!A1:M2000""), {2, 3, 4, 5,6,7,8,9,10,11,12,13}, 0))"),4)</f>
        <v>4</v>
      </c>
      <c r="V31" s="116">
        <f ca="1">IFERROR(__xludf.DUMMYFUNCTION("""COMPUTED_VALUE"""),6)</f>
        <v>6</v>
      </c>
      <c r="W31" s="116">
        <f ca="1">IFERROR(__xludf.DUMMYFUNCTION("""COMPUTED_VALUE"""),2)</f>
        <v>2</v>
      </c>
      <c r="X31" s="116">
        <f ca="1">IFERROR(__xludf.DUMMYFUNCTION("""COMPUTED_VALUE"""),12)</f>
        <v>12</v>
      </c>
      <c r="Y31" s="116">
        <f ca="1">IFERROR(__xludf.DUMMYFUNCTION("""COMPUTED_VALUE"""),4)</f>
        <v>4</v>
      </c>
      <c r="Z31" s="12">
        <f ca="1">IFERROR(__xludf.DUMMYFUNCTION("""COMPUTED_VALUE"""),3)</f>
        <v>3</v>
      </c>
      <c r="AA31" s="12">
        <f ca="1">IFERROR(__xludf.DUMMYFUNCTION("""COMPUTED_VALUE"""),1)</f>
        <v>1</v>
      </c>
      <c r="AB31" s="12">
        <f ca="1">IFERROR(__xludf.DUMMYFUNCTION("""COMPUTED_VALUE"""),8)</f>
        <v>8</v>
      </c>
      <c r="AC31" s="12"/>
      <c r="AD31" s="12"/>
      <c r="AE31" s="12"/>
      <c r="AF31" s="12"/>
      <c r="AG31" s="13" t="str">
        <f ca="1">IFERROR(__xludf.DUMMYFUNCTION("ArrayFormula(VLOOKUP(G31, IMPORTRANGE(""https://docs.google.com/spreadsheets/d/1Co934fvtviyaRiMsrIlT05Jaq7iiYq07aLvRr35KA48/edit?gid=173865642#gid=173865642"", ""'G8_Sci_Pri_LU'!G2:V2000""), {3, 4, 5, 6, 7, 8, 9, 10, 11, 12, 13, 14, 15, 16}, 0))"),"LU005691")</f>
        <v>LU005691</v>
      </c>
      <c r="AH31" s="13" t="str">
        <f ca="1">IFERROR(__xludf.DUMMYFUNCTION("""COMPUTED_VALUE"""),"Conditions required for combustion")</f>
        <v>Conditions required for combustion</v>
      </c>
      <c r="AI31" s="13" t="str">
        <f ca="1">IFERROR(__xludf.DUMMYFUNCTION("""COMPUTED_VALUE"""),"LU005692")</f>
        <v>LU005692</v>
      </c>
      <c r="AJ31" s="13" t="str">
        <f ca="1">IFERROR(__xludf.DUMMYFUNCTION("""COMPUTED_VALUE"""),"Ignition temperature and categorisation of inflammable substances")</f>
        <v>Ignition temperature and categorisation of inflammable substances</v>
      </c>
      <c r="AK31" s="13" t="str">
        <f ca="1">IFERROR(__xludf.DUMMYFUNCTION("""COMPUTED_VALUE"""),"LU005694")</f>
        <v>LU005694</v>
      </c>
      <c r="AL31" s="13" t="str">
        <f ca="1">IFERROR(__xludf.DUMMYFUNCTION("""COMPUTED_VALUE"""),"Combustible and Non-combustible substances")</f>
        <v>Combustible and Non-combustible substances</v>
      </c>
      <c r="AM31" s="13"/>
      <c r="AN31" s="13"/>
      <c r="AO31" s="13"/>
      <c r="AP31" s="13"/>
      <c r="AQ31" s="13"/>
      <c r="AR31" s="13"/>
      <c r="AS31" s="13"/>
      <c r="AT31" s="13"/>
    </row>
    <row r="32" spans="1:46" ht="39.6">
      <c r="A32" s="8" t="s">
        <v>247</v>
      </c>
      <c r="B32" s="8" t="s">
        <v>47</v>
      </c>
      <c r="C32" s="8" t="s">
        <v>731</v>
      </c>
      <c r="D32" s="8" t="s">
        <v>1441</v>
      </c>
      <c r="E32" s="8" t="s">
        <v>2057</v>
      </c>
      <c r="F32" s="8" t="s">
        <v>2066</v>
      </c>
      <c r="G32" s="8" t="s">
        <v>2067</v>
      </c>
      <c r="H32" s="8" t="str">
        <f ca="1">IFERROR(__xludf.DUMMYFUNCTION("VLOOKUP(G32, IMPORTRANGE(""https://docs.google.com/spreadsheets/d/14deopnvwcrKtEGCKuYXdUHJbeLDZlkiSSWWT0g7x2pM/edit#gid=849066331"", ""LU List Science (Filter)!A:B""), 2, FALSE)"),"Types of Combustion (e.g., Rapid, Spontaneous)")</f>
        <v>Types of Combustion (e.g., Rapid, Spontaneous)</v>
      </c>
      <c r="I32" s="10" t="str">
        <f t="shared" si="0"/>
        <v>LU005687.001</v>
      </c>
      <c r="J32" s="10" t="str">
        <f ca="1">IFERROR(__xludf.DUMMYFUNCTION("VLOOKUP(I32, IMPORTRANGE(""https://docs.google.com/spreadsheets/d/1yDAaXNsi4Mr5FtRQL4tbmSdIzhx6_m4wkOD7IG-k_eo/edit#gid=1336395716"", ""Science!M:N""), 2, FALSE)"),"Introduce different types of combustion, including rapid and spontaneous combustion.")</f>
        <v>Introduce different types of combustion, including rapid and spontaneous combustion.</v>
      </c>
      <c r="K32" s="10" t="str">
        <f t="shared" si="6"/>
        <v>LU005687.002</v>
      </c>
      <c r="L32" s="10" t="str">
        <f ca="1">IFERROR(__xludf.DUMMYFUNCTION("VLOOKUP(K32, IMPORTRANGE(""https://docs.google.com/spreadsheets/d/1yDAaXNsi4Mr5FtRQL4tbmSdIzhx6_m4wkOD7IG-k_eo/edit#gid=1336395716"", ""Science!M:N""), 2, FALSE)"),"Describe the characteristics and conditions associated with each type.")</f>
        <v>Describe the characteristics and conditions associated with each type.</v>
      </c>
      <c r="M32" s="10" t="str">
        <f t="shared" si="2"/>
        <v>LU005687.003</v>
      </c>
      <c r="N32" s="10" t="str">
        <f ca="1">IFERROR(__xludf.DUMMYFUNCTION("VLOOKUP(M32, IMPORTRANGE(""https://docs.google.com/spreadsheets/d/1yDAaXNsi4Mr5FtRQL4tbmSdIzhx6_m4wkOD7IG-k_eo/edit#gid=1336395716"", ""Science!M:N""), 2, FALSE)"),"Explain how factors like temperature, oxygen supply, and fuel properties influence combustion types.")</f>
        <v>Explain how factors like temperature, oxygen supply, and fuel properties influence combustion types.</v>
      </c>
      <c r="O32" s="10" t="str">
        <f t="shared" si="3"/>
        <v>LU005687.004</v>
      </c>
      <c r="P32" s="10" t="str">
        <f ca="1">IFERROR(__xludf.DUMMYFUNCTION("VLOOKUP(O32, IMPORTRANGE(""https://docs.google.com/spreadsheets/d/1yDAaXNsi4Mr5FtRQL4tbmSdIzhx6_m4wkOD7IG-k_eo/edit#gid=1336395716"", ""Science!M:N""), 2, FALSE)"),"Analyze real-world examples where rapid and spontaneous combustion occur.")</f>
        <v>Analyze real-world examples where rapid and spontaneous combustion occur.</v>
      </c>
      <c r="Q32" s="10" t="str">
        <f t="shared" si="4"/>
        <v>LU005687.005</v>
      </c>
      <c r="R32" s="10" t="str">
        <f ca="1">IFERROR(__xludf.DUMMYFUNCTION("VLOOKUP(Q32, IMPORTRANGE(""https://docs.google.com/spreadsheets/d/1yDAaXNsi4Mr5FtRQL4tbmSdIzhx6_m4wkOD7IG-k_eo/edit#gid=1336395716"", ""Science!M:N""), 2, FALSE)"),"Evaluate the safety and environmental implications of different combustion types.")</f>
        <v>Evaluate the safety and environmental implications of different combustion types.</v>
      </c>
      <c r="S32" s="10" t="str">
        <f t="shared" si="5"/>
        <v>LU005687.006</v>
      </c>
      <c r="T32" s="10" t="str">
        <f ca="1">IFERROR(__xludf.DUMMYFUNCTION("VLOOKUP(S32, IMPORTRANGE(""https://docs.google.com/spreadsheets/d/1yDAaXNsi4Mr5FtRQL4tbmSdIzhx6_m4wkOD7IG-k_eo/edit#gid=1336395716"", ""Science!M:N""), 2, FALSE)"),"#N/A")</f>
        <v>#N/A</v>
      </c>
      <c r="U32" s="116">
        <f ca="1">IFERROR(__xludf.DUMMYFUNCTION("ArrayFormula(VLOOKUP(G32, IMPORTRANGE(""https://docs.google.com/spreadsheets/d/1p7R4vtkWt5VOBim4ltsDG9KTzSjrtKXsMtQGXPHyND0/edit#gid=795171502"", ""'Filter 30_05_2024'!A1:M2000""), {2, 3, 4, 5,6,7,8,9,10,11,12,13}, 0))"),4)</f>
        <v>4</v>
      </c>
      <c r="V32" s="116">
        <f ca="1">IFERROR(__xludf.DUMMYFUNCTION("""COMPUTED_VALUE"""),6)</f>
        <v>6</v>
      </c>
      <c r="W32" s="116">
        <f ca="1">IFERROR(__xludf.DUMMYFUNCTION("""COMPUTED_VALUE"""),2)</f>
        <v>2</v>
      </c>
      <c r="X32" s="116">
        <f ca="1">IFERROR(__xludf.DUMMYFUNCTION("""COMPUTED_VALUE"""),12)</f>
        <v>12</v>
      </c>
      <c r="Y32" s="116">
        <f ca="1">IFERROR(__xludf.DUMMYFUNCTION("""COMPUTED_VALUE"""),4)</f>
        <v>4</v>
      </c>
      <c r="Z32" s="12">
        <f ca="1">IFERROR(__xludf.DUMMYFUNCTION("""COMPUTED_VALUE"""),3)</f>
        <v>3</v>
      </c>
      <c r="AA32" s="12">
        <f ca="1">IFERROR(__xludf.DUMMYFUNCTION("""COMPUTED_VALUE"""),1)</f>
        <v>1</v>
      </c>
      <c r="AB32" s="12">
        <f ca="1">IFERROR(__xludf.DUMMYFUNCTION("""COMPUTED_VALUE"""),8)</f>
        <v>8</v>
      </c>
      <c r="AC32" s="12"/>
      <c r="AD32" s="12"/>
      <c r="AE32" s="12"/>
      <c r="AF32" s="12"/>
      <c r="AG32" s="13" t="str">
        <f ca="1">IFERROR(__xludf.DUMMYFUNCTION("ArrayFormula(VLOOKUP(G32, IMPORTRANGE(""https://docs.google.com/spreadsheets/d/1Co934fvtviyaRiMsrIlT05Jaq7iiYq07aLvRr35KA48/edit?gid=173865642#gid=173865642"", ""'G8_Sci_Pri_LU'!G2:V2000""), {3, 4, 5, 6, 7, 8, 9, 10, 11, 12, 13, 14, 15, 16}, 0))"),"LU005691")</f>
        <v>LU005691</v>
      </c>
      <c r="AH32" s="13" t="str">
        <f ca="1">IFERROR(__xludf.DUMMYFUNCTION("""COMPUTED_VALUE"""),"Conditions required for combustion")</f>
        <v>Conditions required for combustion</v>
      </c>
      <c r="AI32" s="13" t="str">
        <f ca="1">IFERROR(__xludf.DUMMYFUNCTION("""COMPUTED_VALUE"""),"LU005683")</f>
        <v>LU005683</v>
      </c>
      <c r="AJ32" s="13" t="str">
        <f ca="1">IFERROR(__xludf.DUMMYFUNCTION("""COMPUTED_VALUE"""),"Definition and Explanation of Combustion")</f>
        <v>Definition and Explanation of Combustion</v>
      </c>
      <c r="AK32" s="13"/>
      <c r="AL32" s="13"/>
      <c r="AM32" s="13"/>
      <c r="AN32" s="13"/>
      <c r="AO32" s="13"/>
      <c r="AP32" s="13"/>
      <c r="AQ32" s="13"/>
      <c r="AR32" s="13"/>
      <c r="AS32" s="13"/>
      <c r="AT32" s="13"/>
    </row>
    <row r="33" spans="1:46" ht="26.4">
      <c r="A33" s="8" t="s">
        <v>247</v>
      </c>
      <c r="B33" s="8" t="s">
        <v>47</v>
      </c>
      <c r="C33" s="8" t="s">
        <v>731</v>
      </c>
      <c r="D33" s="8" t="s">
        <v>1441</v>
      </c>
      <c r="E33" s="8" t="s">
        <v>2057</v>
      </c>
      <c r="F33" s="8" t="s">
        <v>2068</v>
      </c>
      <c r="G33" s="8" t="s">
        <v>2069</v>
      </c>
      <c r="H33" s="8" t="str">
        <f ca="1">IFERROR(__xludf.DUMMYFUNCTION("VLOOKUP(G33, IMPORTRANGE(""https://docs.google.com/spreadsheets/d/14deopnvwcrKtEGCKuYXdUHJbeLDZlkiSSWWT0g7x2pM/edit#gid=849066331"", ""LU List Science (Filter)!A:B""), 2, FALSE)"),"Flame and its anatomy")</f>
        <v>Flame and its anatomy</v>
      </c>
      <c r="I33" s="10" t="str">
        <f t="shared" si="0"/>
        <v>LU005678.001</v>
      </c>
      <c r="J33" s="10" t="str">
        <f ca="1">IFERROR(__xludf.DUMMYFUNCTION("VLOOKUP(I33, IMPORTRANGE(""https://docs.google.com/spreadsheets/d/1yDAaXNsi4Mr5FtRQL4tbmSdIzhx6_m4wkOD7IG-k_eo/edit#gid=1336395716"", ""Science!M:N""), 2, FALSE)"),"List the temperature, color, and combustion characteristics of each flame zone.")</f>
        <v>List the temperature, color, and combustion characteristics of each flame zone.</v>
      </c>
      <c r="K33" s="10" t="str">
        <f t="shared" si="6"/>
        <v>LU005678.002</v>
      </c>
      <c r="L33" s="10" t="str">
        <f ca="1">IFERROR(__xludf.DUMMYFUNCTION("VLOOKUP(K33, IMPORTRANGE(""https://docs.google.com/spreadsheets/d/1yDAaXNsi4Mr5FtRQL4tbmSdIzhx6_m4wkOD7IG-k_eo/edit#gid=1336395716"", ""Science!M:N""), 2, FALSE)"),"Explain the structure of a flame, including its outer zone, middle zone, and innermost zone.")</f>
        <v>Explain the structure of a flame, including its outer zone, middle zone, and innermost zone.</v>
      </c>
      <c r="M33" s="10" t="str">
        <f t="shared" si="2"/>
        <v>LU005678.003</v>
      </c>
      <c r="N33" s="10" t="str">
        <f ca="1">IFERROR(__xludf.DUMMYFUNCTION("VLOOKUP(M33, IMPORTRANGE(""https://docs.google.com/spreadsheets/d/1yDAaXNsi4Mr5FtRQL4tbmSdIzhx6_m4wkOD7IG-k_eo/edit#gid=1336395716"", ""Science!M:N""), 2, FALSE)"),"Apply knowledge of flame anatomy to identify different parts of a flame.")</f>
        <v>Apply knowledge of flame anatomy to identify different parts of a flame.</v>
      </c>
      <c r="O33" s="10" t="str">
        <f t="shared" si="3"/>
        <v>LU005678.004</v>
      </c>
      <c r="P33" s="10" t="str">
        <f ca="1">IFERROR(__xludf.DUMMYFUNCTION("VLOOKUP(O33, IMPORTRANGE(""https://docs.google.com/spreadsheets/d/1yDAaXNsi4Mr5FtRQL4tbmSdIzhx6_m4wkOD7IG-k_eo/edit#gid=1336395716"", ""Science!M:N""), 2, FALSE)"),"Analyze the role of each zone in the combustion process and heat transfer.")</f>
        <v>Analyze the role of each zone in the combustion process and heat transfer.</v>
      </c>
      <c r="Q33" s="10" t="str">
        <f t="shared" si="4"/>
        <v>LU005678.005</v>
      </c>
      <c r="R33" s="10" t="str">
        <f ca="1">IFERROR(__xludf.DUMMYFUNCTION("VLOOKUP(Q33, IMPORTRANGE(""https://docs.google.com/spreadsheets/d/1yDAaXNsi4Mr5FtRQL4tbmSdIzhx6_m4wkOD7IG-k_eo/edit#gid=1336395716"", ""Science!M:N""), 2, FALSE)"),"Evaluate the practical applications of understanding flame anatomy in cooking and industrial processes.")</f>
        <v>Evaluate the practical applications of understanding flame anatomy in cooking and industrial processes.</v>
      </c>
      <c r="S33" s="10" t="str">
        <f t="shared" si="5"/>
        <v>LU005678.006</v>
      </c>
      <c r="T33" s="10" t="str">
        <f ca="1">IFERROR(__xludf.DUMMYFUNCTION("VLOOKUP(S33, IMPORTRANGE(""https://docs.google.com/spreadsheets/d/1yDAaXNsi4Mr5FtRQL4tbmSdIzhx6_m4wkOD7IG-k_eo/edit#gid=1336395716"", ""Science!M:N""), 2, FALSE)"),"#N/A")</f>
        <v>#N/A</v>
      </c>
      <c r="U33" s="116">
        <f ca="1">IFERROR(__xludf.DUMMYFUNCTION("ArrayFormula(VLOOKUP(G33, IMPORTRANGE(""https://docs.google.com/spreadsheets/d/1p7R4vtkWt5VOBim4ltsDG9KTzSjrtKXsMtQGXPHyND0/edit#gid=795171502"", ""'Filter 30_05_2024'!A1:M2000""), {2, 3, 4, 5,6,7,8,9,10,11,12,13}, 0))"),4)</f>
        <v>4</v>
      </c>
      <c r="V33" s="116">
        <f ca="1">IFERROR(__xludf.DUMMYFUNCTION("""COMPUTED_VALUE"""),6)</f>
        <v>6</v>
      </c>
      <c r="W33" s="116">
        <f ca="1">IFERROR(__xludf.DUMMYFUNCTION("""COMPUTED_VALUE"""),2)</f>
        <v>2</v>
      </c>
      <c r="X33" s="116">
        <f ca="1">IFERROR(__xludf.DUMMYFUNCTION("""COMPUTED_VALUE"""),12)</f>
        <v>12</v>
      </c>
      <c r="Y33" s="116">
        <f ca="1">IFERROR(__xludf.DUMMYFUNCTION("""COMPUTED_VALUE"""),4)</f>
        <v>4</v>
      </c>
      <c r="Z33" s="12">
        <f ca="1">IFERROR(__xludf.DUMMYFUNCTION("""COMPUTED_VALUE"""),3)</f>
        <v>3</v>
      </c>
      <c r="AA33" s="12">
        <f ca="1">IFERROR(__xludf.DUMMYFUNCTION("""COMPUTED_VALUE"""),1)</f>
        <v>1</v>
      </c>
      <c r="AB33" s="12">
        <f ca="1">IFERROR(__xludf.DUMMYFUNCTION("""COMPUTED_VALUE"""),8)</f>
        <v>8</v>
      </c>
      <c r="AC33" s="12"/>
      <c r="AD33" s="12"/>
      <c r="AE33" s="12"/>
      <c r="AF33" s="12"/>
      <c r="AG33" s="13" t="str">
        <f ca="1">IFERROR(__xludf.DUMMYFUNCTION("ArrayFormula(VLOOKUP(G33, IMPORTRANGE(""https://docs.google.com/spreadsheets/d/1Co934fvtviyaRiMsrIlT05Jaq7iiYq07aLvRr35KA48/edit?gid=173865642#gid=173865642"", ""'G8_Sci_Pri_LU'!G2:V2000""), {3, 4, 5, 6, 7, 8, 9, 10, 11, 12, 13, 14, 15, 16}, 0))"),"LU005683")</f>
        <v>LU005683</v>
      </c>
      <c r="AH33" s="13" t="str">
        <f ca="1">IFERROR(__xludf.DUMMYFUNCTION("""COMPUTED_VALUE"""),"Definition and Explanation of Combustion")</f>
        <v>Definition and Explanation of Combustion</v>
      </c>
      <c r="AI33" s="13"/>
      <c r="AJ33" s="13"/>
      <c r="AK33" s="13"/>
      <c r="AL33" s="13"/>
      <c r="AM33" s="13"/>
      <c r="AN33" s="13"/>
      <c r="AO33" s="13"/>
      <c r="AP33" s="13"/>
      <c r="AQ33" s="13"/>
      <c r="AR33" s="13"/>
      <c r="AS33" s="13"/>
      <c r="AT33" s="13"/>
    </row>
    <row r="34" spans="1:46" ht="39.6">
      <c r="A34" s="8" t="s">
        <v>247</v>
      </c>
      <c r="B34" s="8" t="s">
        <v>47</v>
      </c>
      <c r="C34" s="8" t="s">
        <v>731</v>
      </c>
      <c r="D34" s="8" t="s">
        <v>1441</v>
      </c>
      <c r="E34" s="8" t="s">
        <v>2057</v>
      </c>
      <c r="F34" s="8" t="s">
        <v>2070</v>
      </c>
      <c r="G34" s="8" t="s">
        <v>2071</v>
      </c>
      <c r="H34" s="8" t="str">
        <f ca="1">IFERROR(__xludf.DUMMYFUNCTION("VLOOKUP(G34, IMPORTRANGE(""https://docs.google.com/spreadsheets/d/14deopnvwcrKtEGCKuYXdUHJbeLDZlkiSSWWT0g7x2pM/edit#gid=849066331"", ""LU List Science (Filter)!A:B""), 2, FALSE)"),"Definition, Types, and Characteristics of Fuel")</f>
        <v>Definition, Types, and Characteristics of Fuel</v>
      </c>
      <c r="I34" s="10" t="str">
        <f t="shared" si="0"/>
        <v>LU005681.001</v>
      </c>
      <c r="J34" s="10" t="str">
        <f ca="1">IFERROR(__xludf.DUMMYFUNCTION("VLOOKUP(I34, IMPORTRANGE(""https://docs.google.com/spreadsheets/d/1yDAaXNsi4Mr5FtRQL4tbmSdIzhx6_m4wkOD7IG-k_eo/edit#gid=1336395716"", ""Science!M:N""), 2, FALSE)"),"Define fuel and its role in providing energy through combustion.")</f>
        <v>Define fuel and its role in providing energy through combustion.</v>
      </c>
      <c r="K34" s="10" t="str">
        <f t="shared" si="6"/>
        <v>LU005681.002</v>
      </c>
      <c r="L34" s="10" t="str">
        <f ca="1">IFERROR(__xludf.DUMMYFUNCTION("VLOOKUP(K34, IMPORTRANGE(""https://docs.google.com/spreadsheets/d/1yDAaXNsi4Mr5FtRQL4tbmSdIzhx6_m4wkOD7IG-k_eo/edit#gid=1336395716"", ""Science!M:N""), 2, FALSE)"),"Describe the characteristics of ideal fuels, including high energy content and stability.")</f>
        <v>Describe the characteristics of ideal fuels, including high energy content and stability.</v>
      </c>
      <c r="M34" s="10" t="str">
        <f t="shared" si="2"/>
        <v>LU005681.003</v>
      </c>
      <c r="N34" s="10" t="str">
        <f ca="1">IFERROR(__xludf.DUMMYFUNCTION("VLOOKUP(M34, IMPORTRANGE(""https://docs.google.com/spreadsheets/d/1yDAaXNsi4Mr5FtRQL4tbmSdIzhx6_m4wkOD7IG-k_eo/edit#gid=1336395716"", ""Science!M:N""), 2, FALSE)"),"Explain the chemical composition of common fuels and their combustion products.")</f>
        <v>Explain the chemical composition of common fuels and their combustion products.</v>
      </c>
      <c r="O34" s="10" t="str">
        <f t="shared" si="3"/>
        <v>LU005681.004</v>
      </c>
      <c r="P34" s="10" t="str">
        <f ca="1">IFERROR(__xludf.DUMMYFUNCTION("VLOOKUP(O34, IMPORTRANGE(""https://docs.google.com/spreadsheets/d/1yDAaXNsi4Mr5FtRQL4tbmSdIzhx6_m4wkOD7IG-k_eo/edit#gid=1336395716"", ""Science!M:N""), 2, FALSE)"),"Analyze the properties that make a substance suitable as a fuel.")</f>
        <v>Analyze the properties that make a substance suitable as a fuel.</v>
      </c>
      <c r="Q34" s="10" t="str">
        <f t="shared" si="4"/>
        <v>LU005681.005</v>
      </c>
      <c r="R34" s="10" t="str">
        <f ca="1">IFERROR(__xludf.DUMMYFUNCTION("VLOOKUP(Q34, IMPORTRANGE(""https://docs.google.com/spreadsheets/d/1yDAaXNsi4Mr5FtRQL4tbmSdIzhx6_m4wkOD7IG-k_eo/edit#gid=1336395716"", ""Science!M:N""), 2, FALSE)"),"Evaluate the environmental impact of different fuels, considering emissions and sustainability.")</f>
        <v>Evaluate the environmental impact of different fuels, considering emissions and sustainability.</v>
      </c>
      <c r="S34" s="10" t="str">
        <f t="shared" si="5"/>
        <v>LU005681.006</v>
      </c>
      <c r="T34" s="10" t="str">
        <f ca="1">IFERROR(__xludf.DUMMYFUNCTION("VLOOKUP(S34, IMPORTRANGE(""https://docs.google.com/spreadsheets/d/1yDAaXNsi4Mr5FtRQL4tbmSdIzhx6_m4wkOD7IG-k_eo/edit#gid=1336395716"", ""Science!M:N""), 2, FALSE)"),"#N/A")</f>
        <v>#N/A</v>
      </c>
      <c r="U34" s="116">
        <f ca="1">IFERROR(__xludf.DUMMYFUNCTION("ArrayFormula(VLOOKUP(G34, IMPORTRANGE(""https://docs.google.com/spreadsheets/d/1p7R4vtkWt5VOBim4ltsDG9KTzSjrtKXsMtQGXPHyND0/edit#gid=795171502"", ""'Filter 30_05_2024'!A1:M2000""), {2, 3, 4, 5,6,7,8,9,10,11,12,13}, 0))"),4)</f>
        <v>4</v>
      </c>
      <c r="V34" s="116">
        <f ca="1">IFERROR(__xludf.DUMMYFUNCTION("""COMPUTED_VALUE"""),6)</f>
        <v>6</v>
      </c>
      <c r="W34" s="116">
        <f ca="1">IFERROR(__xludf.DUMMYFUNCTION("""COMPUTED_VALUE"""),2)</f>
        <v>2</v>
      </c>
      <c r="X34" s="116">
        <f ca="1">IFERROR(__xludf.DUMMYFUNCTION("""COMPUTED_VALUE"""),12)</f>
        <v>12</v>
      </c>
      <c r="Y34" s="116">
        <f ca="1">IFERROR(__xludf.DUMMYFUNCTION("""COMPUTED_VALUE"""),4)</f>
        <v>4</v>
      </c>
      <c r="Z34" s="12">
        <f ca="1">IFERROR(__xludf.DUMMYFUNCTION("""COMPUTED_VALUE"""),3)</f>
        <v>3</v>
      </c>
      <c r="AA34" s="12">
        <f ca="1">IFERROR(__xludf.DUMMYFUNCTION("""COMPUTED_VALUE"""),1)</f>
        <v>1</v>
      </c>
      <c r="AB34" s="12">
        <f ca="1">IFERROR(__xludf.DUMMYFUNCTION("""COMPUTED_VALUE"""),8)</f>
        <v>8</v>
      </c>
      <c r="AC34" s="12"/>
      <c r="AD34" s="12"/>
      <c r="AE34" s="12"/>
      <c r="AF34" s="12"/>
      <c r="AG34" s="13" t="str">
        <f ca="1">IFERROR(__xludf.DUMMYFUNCTION("ArrayFormula(VLOOKUP(G34, IMPORTRANGE(""https://docs.google.com/spreadsheets/d/1Co934fvtviyaRiMsrIlT05Jaq7iiYq07aLvRr35KA48/edit?gid=173865642#gid=173865642"", ""'G8_Sci_Pri_LU'!G2:V2000""), {3, 4, 5, 6, 7, 8, 9, 10, 11, 12, 13, 14, 15, 16}, 0))"),"LU005143")</f>
        <v>LU005143</v>
      </c>
      <c r="AH34" s="13" t="str">
        <f ca="1">IFERROR(__xludf.DUMMYFUNCTION("""COMPUTED_VALUE"""),"Traditional Cooking Fuels and Their Properties")</f>
        <v>Traditional Cooking Fuels and Their Properties</v>
      </c>
      <c r="AI34" s="13" t="str">
        <f ca="1">IFERROR(__xludf.DUMMYFUNCTION("""COMPUTED_VALUE"""),"LU005138")</f>
        <v>LU005138</v>
      </c>
      <c r="AJ34" s="13" t="str">
        <f ca="1">IFERROR(__xludf.DUMMYFUNCTION("""COMPUTED_VALUE"""),"Different forms of Fuels")</f>
        <v>Different forms of Fuels</v>
      </c>
      <c r="AK34" s="13"/>
      <c r="AL34" s="13"/>
      <c r="AM34" s="13"/>
      <c r="AN34" s="13"/>
      <c r="AO34" s="13"/>
      <c r="AP34" s="13"/>
      <c r="AQ34" s="13"/>
      <c r="AR34" s="13"/>
      <c r="AS34" s="13"/>
      <c r="AT34" s="13"/>
    </row>
    <row r="35" spans="1:46" ht="39.6">
      <c r="A35" s="8" t="s">
        <v>247</v>
      </c>
      <c r="B35" s="8" t="s">
        <v>47</v>
      </c>
      <c r="C35" s="8" t="s">
        <v>731</v>
      </c>
      <c r="D35" s="8" t="s">
        <v>1441</v>
      </c>
      <c r="E35" s="8" t="s">
        <v>2057</v>
      </c>
      <c r="F35" s="8" t="s">
        <v>2072</v>
      </c>
      <c r="G35" s="8" t="s">
        <v>2073</v>
      </c>
      <c r="H35" s="8" t="str">
        <f ca="1">IFERROR(__xludf.DUMMYFUNCTION("VLOOKUP(G35, IMPORTRANGE(""https://docs.google.com/spreadsheets/d/14deopnvwcrKtEGCKuYXdUHJbeLDZlkiSSWWT0g7x2pM/edit#gid=849066331"", ""LU List Science (Filter)!A:B""), 2, FALSE)"),"Implications of harmful products formed by burning of fuels")</f>
        <v>Implications of harmful products formed by burning of fuels</v>
      </c>
      <c r="I35" s="10" t="str">
        <f t="shared" si="0"/>
        <v>LU005703.001</v>
      </c>
      <c r="J35" s="10" t="str">
        <f ca="1">IFERROR(__xludf.DUMMYFUNCTION("VLOOKUP(I35, IMPORTRANGE(""https://docs.google.com/spreadsheets/d/1yDAaXNsi4Mr5FtRQL4tbmSdIzhx6_m4wkOD7IG-k_eo/edit#gid=1336395716"", ""Science!M:N""), 2, FALSE)"),"List harmful products formed by the burning of fuels.")</f>
        <v>List harmful products formed by the burning of fuels.</v>
      </c>
      <c r="K35" s="10" t="str">
        <f t="shared" si="6"/>
        <v>LU005703.002</v>
      </c>
      <c r="L35" s="10" t="str">
        <f ca="1">IFERROR(__xludf.DUMMYFUNCTION("VLOOKUP(K35, IMPORTRANGE(""https://docs.google.com/spreadsheets/d/1yDAaXNsi4Mr5FtRQL4tbmSdIzhx6_m4wkOD7IG-k_eo/edit#gid=1336395716"", ""Science!M:N""), 2, FALSE)"),"Explain how burning fuels creates harmful byproducts.")</f>
        <v>Explain how burning fuels creates harmful byproducts.</v>
      </c>
      <c r="M35" s="10" t="str">
        <f t="shared" si="2"/>
        <v>LU005703.003</v>
      </c>
      <c r="N35" s="10" t="str">
        <f ca="1">IFERROR(__xludf.DUMMYFUNCTION("VLOOKUP(M35, IMPORTRANGE(""https://docs.google.com/spreadsheets/d/1yDAaXNsi4Mr5FtRQL4tbmSdIzhx6_m4wkOD7IG-k_eo/edit#gid=1336395716"", ""Science!M:N""), 2, FALSE)"),"Demonstrate the effects of these harmful byproducts on the environment and health.")</f>
        <v>Demonstrate the effects of these harmful byproducts on the environment and health.</v>
      </c>
      <c r="O35" s="10" t="str">
        <f t="shared" si="3"/>
        <v>LU005703.004</v>
      </c>
      <c r="P35" s="10" t="str">
        <f ca="1">IFERROR(__xludf.DUMMYFUNCTION("VLOOKUP(O35, IMPORTRANGE(""https://docs.google.com/spreadsheets/d/1yDAaXNsi4Mr5FtRQL4tbmSdIzhx6_m4wkOD7IG-k_eo/edit#gid=1336395716"", ""Science!M:N""), 2, FALSE)"),"Analyze the relationship between fuel types and the byproducts they produce when burned.")</f>
        <v>Analyze the relationship between fuel types and the byproducts they produce when burned.</v>
      </c>
      <c r="Q35" s="10" t="str">
        <f t="shared" si="4"/>
        <v>LU005703.005</v>
      </c>
      <c r="R35" s="10" t="str">
        <f ca="1">IFERROR(__xludf.DUMMYFUNCTION("VLOOKUP(Q35, IMPORTRANGE(""https://docs.google.com/spreadsheets/d/1yDAaXNsi4Mr5FtRQL4tbmSdIzhx6_m4wkOD7IG-k_eo/edit#gid=1336395716"", ""Science!M:N""), 2, FALSE)"),"Evaluate the impact of various fuel-burning practices on environmental and public health.")</f>
        <v>Evaluate the impact of various fuel-burning practices on environmental and public health.</v>
      </c>
      <c r="S35" s="10" t="str">
        <f t="shared" si="5"/>
        <v>LU005703.006</v>
      </c>
      <c r="T35" s="10" t="str">
        <f ca="1">IFERROR(__xludf.DUMMYFUNCTION("VLOOKUP(S35, IMPORTRANGE(""https://docs.google.com/spreadsheets/d/1yDAaXNsi4Mr5FtRQL4tbmSdIzhx6_m4wkOD7IG-k_eo/edit#gid=1336395716"", ""Science!M:N""), 2, FALSE)"),"#N/A")</f>
        <v>#N/A</v>
      </c>
      <c r="U35" s="116">
        <f ca="1">IFERROR(__xludf.DUMMYFUNCTION("ArrayFormula(VLOOKUP(G35, IMPORTRANGE(""https://docs.google.com/spreadsheets/d/1p7R4vtkWt5VOBim4ltsDG9KTzSjrtKXsMtQGXPHyND0/edit#gid=795171502"", ""'Filter 30_05_2024'!A1:M2000""), {2, 3, 4, 5,6,7,8,9,10,11,12,13}, 0))"),4)</f>
        <v>4</v>
      </c>
      <c r="V35" s="116">
        <f ca="1">IFERROR(__xludf.DUMMYFUNCTION("""COMPUTED_VALUE"""),6)</f>
        <v>6</v>
      </c>
      <c r="W35" s="116">
        <f ca="1">IFERROR(__xludf.DUMMYFUNCTION("""COMPUTED_VALUE"""),2)</f>
        <v>2</v>
      </c>
      <c r="X35" s="116">
        <f ca="1">IFERROR(__xludf.DUMMYFUNCTION("""COMPUTED_VALUE"""),12)</f>
        <v>12</v>
      </c>
      <c r="Y35" s="116">
        <f ca="1">IFERROR(__xludf.DUMMYFUNCTION("""COMPUTED_VALUE"""),5)</f>
        <v>5</v>
      </c>
      <c r="Z35" s="12">
        <f ca="1">IFERROR(__xludf.DUMMYFUNCTION("""COMPUTED_VALUE"""),3)</f>
        <v>3</v>
      </c>
      <c r="AA35" s="12">
        <f ca="1">IFERROR(__xludf.DUMMYFUNCTION("""COMPUTED_VALUE"""),1)</f>
        <v>1</v>
      </c>
      <c r="AB35" s="12">
        <f ca="1">IFERROR(__xludf.DUMMYFUNCTION("""COMPUTED_VALUE"""),9)</f>
        <v>9</v>
      </c>
      <c r="AC35" s="12"/>
      <c r="AD35" s="12"/>
      <c r="AE35" s="12"/>
      <c r="AF35" s="12"/>
      <c r="AG35" s="13" t="str">
        <f ca="1">IFERROR(__xludf.DUMMYFUNCTION("ArrayFormula(VLOOKUP(G35, IMPORTRANGE(""https://docs.google.com/spreadsheets/d/1Co934fvtviyaRiMsrIlT05Jaq7iiYq07aLvRr35KA48/edit?gid=173865642#gid=173865642"", ""'G8_Sci_Pri_LU'!G2:V2000""), {3, 4, 5, 6, 7, 8, 9, 10, 11, 12, 13, 14, 15, 16}, 0))"),"LU005681")</f>
        <v>LU005681</v>
      </c>
      <c r="AH35" s="13" t="str">
        <f ca="1">IFERROR(__xludf.DUMMYFUNCTION("""COMPUTED_VALUE"""),"Definition, Types, and Characteristics of Fuel")</f>
        <v>Definition, Types, and Characteristics of Fuel</v>
      </c>
      <c r="AI35" s="13"/>
      <c r="AJ35" s="13"/>
      <c r="AK35" s="13"/>
      <c r="AL35" s="13"/>
      <c r="AM35" s="13"/>
      <c r="AN35" s="13"/>
      <c r="AO35" s="13"/>
      <c r="AP35" s="13"/>
      <c r="AQ35" s="13"/>
      <c r="AR35" s="13"/>
      <c r="AS35" s="13"/>
      <c r="AT35" s="13"/>
    </row>
    <row r="36" spans="1:46" ht="52.8">
      <c r="A36" s="8" t="s">
        <v>247</v>
      </c>
      <c r="B36" s="8" t="s">
        <v>47</v>
      </c>
      <c r="C36" s="8" t="s">
        <v>731</v>
      </c>
      <c r="D36" s="8" t="s">
        <v>1406</v>
      </c>
      <c r="E36" s="8" t="s">
        <v>2074</v>
      </c>
      <c r="F36" s="8" t="s">
        <v>2075</v>
      </c>
      <c r="G36" s="8" t="s">
        <v>2076</v>
      </c>
      <c r="H36" s="8" t="str">
        <f ca="1">IFERROR(__xludf.DUMMYFUNCTION("VLOOKUP(G36, IMPORTRANGE(""https://docs.google.com/spreadsheets/d/14deopnvwcrKtEGCKuYXdUHJbeLDZlkiSSWWT0g7x2pM/edit#gid=849066331"", ""LU List Science (Filter)!A:B""), 2, FALSE)"),"Causes of Deforestation (Natural and Man-Made Causes)")</f>
        <v>Causes of Deforestation (Natural and Man-Made Causes)</v>
      </c>
      <c r="I36" s="10" t="str">
        <f t="shared" si="0"/>
        <v>LU005910.001</v>
      </c>
      <c r="J36" s="10" t="str">
        <f ca="1">IFERROR(__xludf.DUMMYFUNCTION("VLOOKUP(I36, IMPORTRANGE(""https://docs.google.com/spreadsheets/d/1yDAaXNsi4Mr5FtRQL4tbmSdIzhx6_m4wkOD7IG-k_eo/edit#gid=1336395716"", ""Science!M:N""), 2, FALSE)"),"Students will be able to list the key natural and man-made causes of deforestation.")</f>
        <v>Students will be able to list the key natural and man-made causes of deforestation.</v>
      </c>
      <c r="K36" s="10" t="str">
        <f t="shared" si="6"/>
        <v>LU005910.002</v>
      </c>
      <c r="L36" s="10" t="str">
        <f ca="1">IFERROR(__xludf.DUMMYFUNCTION("VLOOKUP(K36, IMPORTRANGE(""https://docs.google.com/spreadsheets/d/1yDAaXNsi4Mr5FtRQL4tbmSdIzhx6_m4wkOD7IG-k_eo/edit#gid=1336395716"", ""Science!M:N""), 2, FALSE)"),"Students will be able to explain how natural events and human activities contribute to deforestation.")</f>
        <v>Students will be able to explain how natural events and human activities contribute to deforestation.</v>
      </c>
      <c r="M36" s="10" t="str">
        <f t="shared" si="2"/>
        <v>LU005910.003</v>
      </c>
      <c r="N36" s="10" t="str">
        <f ca="1">IFERROR(__xludf.DUMMYFUNCTION("VLOOKUP(M36, IMPORTRANGE(""https://docs.google.com/spreadsheets/d/1yDAaXNsi4Mr5FtRQL4tbmSdIzhx6_m4wkOD7IG-k_eo/edit#gid=1336395716"", ""Science!M:N""), 2, FALSE)"),"Students will be able to identify examples of deforestation in local or global contexts and associate them with their respective natural or man-made causes.")</f>
        <v>Students will be able to identify examples of deforestation in local or global contexts and associate them with their respective natural or man-made causes.</v>
      </c>
      <c r="O36" s="10" t="str">
        <f t="shared" si="3"/>
        <v>LU005910.004</v>
      </c>
      <c r="P36" s="10" t="str">
        <f ca="1">IFERROR(__xludf.DUMMYFUNCTION("VLOOKUP(O36, IMPORTRANGE(""https://docs.google.com/spreadsheets/d/1yDAaXNsi4Mr5FtRQL4tbmSdIzhx6_m4wkOD7IG-k_eo/edit#gid=1336395716"", ""Science!M:N""), 2, FALSE)"),"Students will be able to differentiate between natural and man-made causes of deforestation and understand their interconnections.")</f>
        <v>Students will be able to differentiate between natural and man-made causes of deforestation and understand their interconnections.</v>
      </c>
      <c r="Q36" s="10" t="str">
        <f t="shared" si="4"/>
        <v>LU005910.005</v>
      </c>
      <c r="R36" s="10" t="str">
        <f ca="1">IFERROR(__xludf.DUMMYFUNCTION("VLOOKUP(Q36, IMPORTRANGE(""https://docs.google.com/spreadsheets/d/1yDAaXNsi4Mr5FtRQL4tbmSdIzhx6_m4wkOD7IG-k_eo/edit#gid=1336395716"", ""Science!M:N""), 2, FALSE)"),"Students will be able to assess the impact of different causes of deforestation on local ecosystems and biodiversity.")</f>
        <v>Students will be able to assess the impact of different causes of deforestation on local ecosystems and biodiversity.</v>
      </c>
      <c r="S36" s="10" t="str">
        <f t="shared" si="5"/>
        <v>LU005910.006</v>
      </c>
      <c r="T36" s="10" t="str">
        <f ca="1">IFERROR(__xludf.DUMMYFUNCTION("VLOOKUP(S36, IMPORTRANGE(""https://docs.google.com/spreadsheets/d/1yDAaXNsi4Mr5FtRQL4tbmSdIzhx6_m4wkOD7IG-k_eo/edit#gid=1336395716"", ""Science!M:N""), 2, FALSE)"),"Students will be able to design a small-scale project or campaign to raise awareness about the causes of deforestation and their effects on the environment.")</f>
        <v>Students will be able to design a small-scale project or campaign to raise awareness about the causes of deforestation and their effects on the environment.</v>
      </c>
      <c r="U36" s="116">
        <f ca="1">IFERROR(__xludf.DUMMYFUNCTION("ArrayFormula(VLOOKUP(G36, IMPORTRANGE(""https://docs.google.com/spreadsheets/d/1p7R4vtkWt5VOBim4ltsDG9KTzSjrtKXsMtQGXPHyND0/edit#gid=795171502"", ""'Filter 30_05_2024'!A1:M2000""), {2, 3, 4, 5,6,7,8,9,10,11,12,13}, 0))"),4)</f>
        <v>4</v>
      </c>
      <c r="V36" s="116">
        <f ca="1">IFERROR(__xludf.DUMMYFUNCTION("""COMPUTED_VALUE"""),6)</f>
        <v>6</v>
      </c>
      <c r="W36" s="116">
        <f ca="1">IFERROR(__xludf.DUMMYFUNCTION("""COMPUTED_VALUE"""),2)</f>
        <v>2</v>
      </c>
      <c r="X36" s="116">
        <f ca="1">IFERROR(__xludf.DUMMYFUNCTION("""COMPUTED_VALUE"""),12)</f>
        <v>12</v>
      </c>
      <c r="Y36" s="116">
        <f ca="1">IFERROR(__xludf.DUMMYFUNCTION("""COMPUTED_VALUE"""),4)</f>
        <v>4</v>
      </c>
      <c r="Z36" s="12">
        <f ca="1">IFERROR(__xludf.DUMMYFUNCTION("""COMPUTED_VALUE"""),3)</f>
        <v>3</v>
      </c>
      <c r="AA36" s="12">
        <f ca="1">IFERROR(__xludf.DUMMYFUNCTION("""COMPUTED_VALUE"""),1)</f>
        <v>1</v>
      </c>
      <c r="AB36" s="12">
        <f ca="1">IFERROR(__xludf.DUMMYFUNCTION("""COMPUTED_VALUE"""),8)</f>
        <v>8</v>
      </c>
      <c r="AC36" s="12"/>
      <c r="AD36" s="12"/>
      <c r="AE36" s="12"/>
      <c r="AF36" s="12"/>
      <c r="AG36" s="13" t="str">
        <f ca="1">IFERROR(__xludf.DUMMYFUNCTION("ArrayFormula(VLOOKUP(G36, IMPORTRANGE(""https://docs.google.com/spreadsheets/d/1Co934fvtviyaRiMsrIlT05Jaq7iiYq07aLvRr35KA48/edit?gid=173865642#gid=173865642"", ""'G8_Sci_Pri_LU'!G2:V2000""), {3, 4, 5, 6, 7, 8, 9, 10, 11, 12, 13, 14, 15, 16}, 0))"),"LU005324")</f>
        <v>LU005324</v>
      </c>
      <c r="AH36" s="13" t="str">
        <f ca="1">IFERROR(__xludf.DUMMYFUNCTION("""COMPUTED_VALUE"""),"Definition of deforestation and its consequences")</f>
        <v>Definition of deforestation and its consequences</v>
      </c>
      <c r="AI36" s="13"/>
      <c r="AJ36" s="13"/>
      <c r="AK36" s="13"/>
      <c r="AL36" s="13"/>
      <c r="AM36" s="13"/>
      <c r="AN36" s="13"/>
      <c r="AO36" s="13"/>
      <c r="AP36" s="13"/>
      <c r="AQ36" s="13"/>
      <c r="AR36" s="13"/>
      <c r="AS36" s="13"/>
      <c r="AT36" s="13"/>
    </row>
    <row r="37" spans="1:46" ht="66">
      <c r="A37" s="8" t="s">
        <v>247</v>
      </c>
      <c r="B37" s="8" t="s">
        <v>47</v>
      </c>
      <c r="C37" s="8" t="s">
        <v>731</v>
      </c>
      <c r="D37" s="8" t="s">
        <v>1406</v>
      </c>
      <c r="E37" s="8" t="s">
        <v>2074</v>
      </c>
      <c r="F37" s="8" t="s">
        <v>2075</v>
      </c>
      <c r="G37" s="8" t="s">
        <v>2077</v>
      </c>
      <c r="H37" s="8" t="str">
        <f ca="1">IFERROR(__xludf.DUMMYFUNCTION("VLOOKUP(G37, IMPORTRANGE(""https://docs.google.com/spreadsheets/d/14deopnvwcrKtEGCKuYXdUHJbeLDZlkiSSWWT0g7x2pM/edit#gid=849066331"", ""LU List Science (Filter)!A:B""), 2, FALSE)"),"Domestic Consequences of Deforestation")</f>
        <v>Domestic Consequences of Deforestation</v>
      </c>
      <c r="I37" s="10" t="str">
        <f t="shared" si="0"/>
        <v>LU005602.001</v>
      </c>
      <c r="J37" s="10" t="str">
        <f ca="1">IFERROR(__xludf.DUMMYFUNCTION("VLOOKUP(I37, IMPORTRANGE(""https://docs.google.com/spreadsheets/d/1yDAaXNsi4Mr5FtRQL4tbmSdIzhx6_m4wkOD7IG-k_eo/edit#gid=1336395716"", ""Science!M:N""), 2, FALSE)"),"Recall some immediate effects of deforestation on local communities, such as loss of homes or resources.")</f>
        <v>Recall some immediate effects of deforestation on local communities, such as loss of homes or resources.</v>
      </c>
      <c r="K37" s="10" t="str">
        <f t="shared" si="6"/>
        <v>LU005602.002</v>
      </c>
      <c r="L37" s="10" t="str">
        <f ca="1">IFERROR(__xludf.DUMMYFUNCTION("VLOOKUP(K37, IMPORTRANGE(""https://docs.google.com/spreadsheets/d/1yDAaXNsi4Mr5FtRQL4tbmSdIzhx6_m4wkOD7IG-k_eo/edit#gid=1336395716"", ""Science!M:N""), 2, FALSE)"),"Explain how deforestation can lead to disruptions in the availability of essential resources like clean water and food for nearby communities.")</f>
        <v>Explain how deforestation can lead to disruptions in the availability of essential resources like clean water and food for nearby communities.</v>
      </c>
      <c r="M37" s="10" t="str">
        <f t="shared" si="2"/>
        <v>LU005602.003</v>
      </c>
      <c r="N37" s="10" t="str">
        <f ca="1">IFERROR(__xludf.DUMMYFUNCTION("VLOOKUP(M37, IMPORTRANGE(""https://docs.google.com/spreadsheets/d/1yDAaXNsi4Mr5FtRQL4tbmSdIzhx6_m4wkOD7IG-k_eo/edit#gid=1336395716"", ""Science!M:N""), 2, FALSE)"),"Apply knowledge of the domestic consequences of deforestation to propose practical solutions or strategies for mitigating its impact on local populations.")</f>
        <v>Apply knowledge of the domestic consequences of deforestation to propose practical solutions or strategies for mitigating its impact on local populations.</v>
      </c>
      <c r="O37" s="10" t="str">
        <f t="shared" si="3"/>
        <v>LU005602.004</v>
      </c>
      <c r="P37" s="10" t="str">
        <f ca="1">IFERROR(__xludf.DUMMYFUNCTION("VLOOKUP(O37, IMPORTRANGE(""https://docs.google.com/spreadsheets/d/1yDAaXNsi4Mr5FtRQL4tbmSdIzhx6_m4wkOD7IG-k_eo/edit#gid=1336395716"", ""Science!M:N""), 2, FALSE)"),"Analyze the socio-economic consequences of deforestation on local communities, including changes in livelihoods and cultural practices.")</f>
        <v>Analyze the socio-economic consequences of deforestation on local communities, including changes in livelihoods and cultural practices.</v>
      </c>
      <c r="Q37" s="10" t="str">
        <f t="shared" si="4"/>
        <v>LU005602.005</v>
      </c>
      <c r="R37" s="10" t="str">
        <f ca="1">IFERROR(__xludf.DUMMYFUNCTION("VLOOKUP(Q37, IMPORTRANGE(""https://docs.google.com/spreadsheets/d/1yDAaXNsi4Mr5FtRQL4tbmSdIzhx6_m4wkOD7IG-k_eo/edit#gid=1336395716"", ""Science!M:N""), 2, FALSE)"),"Evaluate the role of government policies and initiatives in addressing the domestic consequences of deforestation, considering their effectiveness in protecting the rights and well-being of affected communities.")</f>
        <v>Evaluate the role of government policies and initiatives in addressing the domestic consequences of deforestation, considering their effectiveness in protecting the rights and well-being of affected communities.</v>
      </c>
      <c r="S37" s="10" t="str">
        <f t="shared" si="5"/>
        <v>LU005602.006</v>
      </c>
      <c r="T37" s="10" t="str">
        <f ca="1">IFERROR(__xludf.DUMMYFUNCTION("VLOOKUP(S37, IMPORTRANGE(""https://docs.google.com/spreadsheets/d/1yDAaXNsi4Mr5FtRQL4tbmSdIzhx6_m4wkOD7IG-k_eo/edit#gid=1336395716"", ""Science!M:N""), 2, FALSE)"),"#N/A")</f>
        <v>#N/A</v>
      </c>
      <c r="U37" s="116">
        <f ca="1">IFERROR(__xludf.DUMMYFUNCTION("ArrayFormula(VLOOKUP(G37, IMPORTRANGE(""https://docs.google.com/spreadsheets/d/1p7R4vtkWt5VOBim4ltsDG9KTzSjrtKXsMtQGXPHyND0/edit#gid=795171502"", ""'Filter 30_05_2024'!A1:M2000""), {2, 3, 4, 5,6,7,8,9,10,11,12,13}, 0))"),4)</f>
        <v>4</v>
      </c>
      <c r="V37" s="116">
        <f ca="1">IFERROR(__xludf.DUMMYFUNCTION("""COMPUTED_VALUE"""),6)</f>
        <v>6</v>
      </c>
      <c r="W37" s="116">
        <f ca="1">IFERROR(__xludf.DUMMYFUNCTION("""COMPUTED_VALUE"""),2)</f>
        <v>2</v>
      </c>
      <c r="X37" s="116">
        <f ca="1">IFERROR(__xludf.DUMMYFUNCTION("""COMPUTED_VALUE"""),12)</f>
        <v>12</v>
      </c>
      <c r="Y37" s="116">
        <f ca="1">IFERROR(__xludf.DUMMYFUNCTION("""COMPUTED_VALUE"""),4)</f>
        <v>4</v>
      </c>
      <c r="Z37" s="12">
        <f ca="1">IFERROR(__xludf.DUMMYFUNCTION("""COMPUTED_VALUE"""),3)</f>
        <v>3</v>
      </c>
      <c r="AA37" s="12">
        <f ca="1">IFERROR(__xludf.DUMMYFUNCTION("""COMPUTED_VALUE"""),1)</f>
        <v>1</v>
      </c>
      <c r="AB37" s="12">
        <f ca="1">IFERROR(__xludf.DUMMYFUNCTION("""COMPUTED_VALUE"""),8)</f>
        <v>8</v>
      </c>
      <c r="AC37" s="12"/>
      <c r="AD37" s="12"/>
      <c r="AE37" s="12"/>
      <c r="AF37" s="12"/>
      <c r="AG37" s="13" t="str">
        <f ca="1">IFERROR(__xludf.DUMMYFUNCTION("ArrayFormula(VLOOKUP(G37, IMPORTRANGE(""https://docs.google.com/spreadsheets/d/1Co934fvtviyaRiMsrIlT05Jaq7iiYq07aLvRr35KA48/edit?gid=173865642#gid=173865642"", ""'G8_Sci_Pri_LU'!G2:V2000""), {3, 4, 5, 6, 7, 8, 9, 10, 11, 12, 13, 14, 15, 16}, 0))"),"LU005324")</f>
        <v>LU005324</v>
      </c>
      <c r="AH37" s="13" t="str">
        <f ca="1">IFERROR(__xludf.DUMMYFUNCTION("""COMPUTED_VALUE"""),"Definition of deforestation and its consequences")</f>
        <v>Definition of deforestation and its consequences</v>
      </c>
      <c r="AI37" s="13" t="str">
        <f ca="1">IFERROR(__xludf.DUMMYFUNCTION("""COMPUTED_VALUE"""),"LU005769")</f>
        <v>LU005769</v>
      </c>
      <c r="AJ37" s="13" t="str">
        <f ca="1">IFERROR(__xludf.DUMMYFUNCTION("""COMPUTED_VALUE"""),"Soil erosion (Definition and Causes) ")</f>
        <v xml:space="preserve">Soil erosion (Definition and Causes) </v>
      </c>
      <c r="AK37" s="13"/>
      <c r="AL37" s="13"/>
      <c r="AM37" s="13"/>
      <c r="AN37" s="13"/>
      <c r="AO37" s="13"/>
      <c r="AP37" s="13"/>
      <c r="AQ37" s="13"/>
      <c r="AR37" s="13"/>
      <c r="AS37" s="13"/>
      <c r="AT37" s="13"/>
    </row>
    <row r="38" spans="1:46" ht="66">
      <c r="A38" s="8" t="s">
        <v>247</v>
      </c>
      <c r="B38" s="8" t="s">
        <v>47</v>
      </c>
      <c r="C38" s="8" t="s">
        <v>731</v>
      </c>
      <c r="D38" s="8" t="s">
        <v>1406</v>
      </c>
      <c r="E38" s="8" t="s">
        <v>2074</v>
      </c>
      <c r="F38" s="8" t="s">
        <v>2075</v>
      </c>
      <c r="G38" s="8" t="s">
        <v>2078</v>
      </c>
      <c r="H38" s="8" t="str">
        <f ca="1">IFERROR(__xludf.DUMMYFUNCTION("VLOOKUP(G38, IMPORTRANGE(""https://docs.google.com/spreadsheets/d/14deopnvwcrKtEGCKuYXdUHJbeLDZlkiSSWWT0g7x2pM/edit#gid=849066331"", ""LU List Science (Filter)!A:B""), 2, FALSE)"),"Global Consequences of Deforestation")</f>
        <v>Global Consequences of Deforestation</v>
      </c>
      <c r="I38" s="10" t="str">
        <f t="shared" si="0"/>
        <v>LU005601.001</v>
      </c>
      <c r="J38" s="10" t="str">
        <f ca="1">IFERROR(__xludf.DUMMYFUNCTION("VLOOKUP(I38, IMPORTRANGE(""https://docs.google.com/spreadsheets/d/1yDAaXNsi4Mr5FtRQL4tbmSdIzhx6_m4wkOD7IG-k_eo/edit#gid=1336395716"", ""Science!M:N""), 2, FALSE)"),"Recall the environmental consequences of deforestation, including habitat loss, disruption of ecosystems, and the impact on endangered species.")</f>
        <v>Recall the environmental consequences of deforestation, including habitat loss, disruption of ecosystems, and the impact on endangered species.</v>
      </c>
      <c r="K38" s="10" t="str">
        <f t="shared" si="6"/>
        <v>LU005601.002</v>
      </c>
      <c r="L38" s="10" t="str">
        <f ca="1">IFERROR(__xludf.DUMMYFUNCTION("VLOOKUP(K38, IMPORTRANGE(""https://docs.google.com/spreadsheets/d/1yDAaXNsi4Mr5FtRQL4tbmSdIzhx6_m4wkOD7IG-k_eo/edit#gid=1336395716"", ""Science!M:N""), 2, FALSE)"),"Explain the role of deforestation in climate change, specifically its contribution to greenhouse gas emissions and its effects on global weather patterns.")</f>
        <v>Explain the role of deforestation in climate change, specifically its contribution to greenhouse gas emissions and its effects on global weather patterns.</v>
      </c>
      <c r="M38" s="10" t="str">
        <f t="shared" si="2"/>
        <v>LU005601.003</v>
      </c>
      <c r="N38" s="10" t="str">
        <f ca="1">IFERROR(__xludf.DUMMYFUNCTION("VLOOKUP(M38, IMPORTRANGE(""https://docs.google.com/spreadsheets/d/1yDAaXNsi4Mr5FtRQL4tbmSdIzhx6_m4wkOD7IG-k_eo/edit#gid=1336395716"", ""Science!M:N""), 2, FALSE)"),"Apply your understanding of the role of deforestation in climate change by articulating how it contributes to the release of greenhouse gases and elucidating its impact on global weather patterns")</f>
        <v>Apply your understanding of the role of deforestation in climate change by articulating how it contributes to the release of greenhouse gases and elucidating its impact on global weather patterns</v>
      </c>
      <c r="O38" s="10" t="str">
        <f t="shared" si="3"/>
        <v>LU005601.004</v>
      </c>
      <c r="P38" s="10" t="str">
        <f ca="1">IFERROR(__xludf.DUMMYFUNCTION("VLOOKUP(O38, IMPORTRANGE(""https://docs.google.com/spreadsheets/d/1yDAaXNsi4Mr5FtRQL4tbmSdIzhx6_m4wkOD7IG-k_eo/edit#gid=1336395716"", ""Science!M:N""), 2, FALSE)"),"Investigate the link between deforestation and the disruption of global water cycles and the increased risk of natural disasters.")</f>
        <v>Investigate the link between deforestation and the disruption of global water cycles and the increased risk of natural disasters.</v>
      </c>
      <c r="Q38" s="10" t="str">
        <f t="shared" si="4"/>
        <v>LU005601.005</v>
      </c>
      <c r="R38" s="10" t="str">
        <f ca="1">IFERROR(__xludf.DUMMYFUNCTION("VLOOKUP(Q38, IMPORTRANGE(""https://docs.google.com/spreadsheets/d/1yDAaXNsi4Mr5FtRQL4tbmSdIzhx6_m4wkOD7IG-k_eo/edit#gid=1336395716"", ""Science!M:N""), 2, FALSE)"),"Propose and assess strategies for mitigating the global consequences of deforestation, emphasizing the importance of sustainable forestry practices and reforestation efforts.")</f>
        <v>Propose and assess strategies for mitigating the global consequences of deforestation, emphasizing the importance of sustainable forestry practices and reforestation efforts.</v>
      </c>
      <c r="S38" s="10" t="str">
        <f t="shared" si="5"/>
        <v>LU005601.006</v>
      </c>
      <c r="T38" s="10" t="str">
        <f ca="1">IFERROR(__xludf.DUMMYFUNCTION("VLOOKUP(S38, IMPORTRANGE(""https://docs.google.com/spreadsheets/d/1yDAaXNsi4Mr5FtRQL4tbmSdIzhx6_m4wkOD7IG-k_eo/edit#gid=1336395716"", ""Science!M:N""), 2, FALSE)"),"#N/A")</f>
        <v>#N/A</v>
      </c>
      <c r="U38" s="116">
        <f ca="1">IFERROR(__xludf.DUMMYFUNCTION("ArrayFormula(VLOOKUP(G38, IMPORTRANGE(""https://docs.google.com/spreadsheets/d/1p7R4vtkWt5VOBim4ltsDG9KTzSjrtKXsMtQGXPHyND0/edit#gid=795171502"", ""'Filter 30_05_2024'!A1:M2000""), {2, 3, 4, 5,6,7,8,9,10,11,12,13}, 0))"),4)</f>
        <v>4</v>
      </c>
      <c r="V38" s="116">
        <f ca="1">IFERROR(__xludf.DUMMYFUNCTION("""COMPUTED_VALUE"""),6)</f>
        <v>6</v>
      </c>
      <c r="W38" s="116">
        <f ca="1">IFERROR(__xludf.DUMMYFUNCTION("""COMPUTED_VALUE"""),2)</f>
        <v>2</v>
      </c>
      <c r="X38" s="116">
        <f ca="1">IFERROR(__xludf.DUMMYFUNCTION("""COMPUTED_VALUE"""),12)</f>
        <v>12</v>
      </c>
      <c r="Y38" s="116">
        <f ca="1">IFERROR(__xludf.DUMMYFUNCTION("""COMPUTED_VALUE"""),4)</f>
        <v>4</v>
      </c>
      <c r="Z38" s="12">
        <f ca="1">IFERROR(__xludf.DUMMYFUNCTION("""COMPUTED_VALUE"""),3)</f>
        <v>3</v>
      </c>
      <c r="AA38" s="12">
        <f ca="1">IFERROR(__xludf.DUMMYFUNCTION("""COMPUTED_VALUE"""),1)</f>
        <v>1</v>
      </c>
      <c r="AB38" s="12">
        <f ca="1">IFERROR(__xludf.DUMMYFUNCTION("""COMPUTED_VALUE"""),8)</f>
        <v>8</v>
      </c>
      <c r="AC38" s="12"/>
      <c r="AD38" s="12"/>
      <c r="AE38" s="12"/>
      <c r="AF38" s="12"/>
      <c r="AG38" s="13" t="str">
        <f ca="1">IFERROR(__xludf.DUMMYFUNCTION("ArrayFormula(VLOOKUP(G38, IMPORTRANGE(""https://docs.google.com/spreadsheets/d/1Co934fvtviyaRiMsrIlT05Jaq7iiYq07aLvRr35KA48/edit?gid=173865642#gid=173865642"", ""'G8_Sci_Pri_LU'!G2:V2000""), {3, 4, 5, 6, 7, 8, 9, 10, 11, 12, 13, 14, 15, 16}, 0))"),"LU005324")</f>
        <v>LU005324</v>
      </c>
      <c r="AH38" s="13" t="str">
        <f ca="1">IFERROR(__xludf.DUMMYFUNCTION("""COMPUTED_VALUE"""),"Definition of deforestation and its consequences")</f>
        <v>Definition of deforestation and its consequences</v>
      </c>
      <c r="AI38" s="13" t="str">
        <f ca="1">IFERROR(__xludf.DUMMYFUNCTION("""COMPUTED_VALUE"""),"LU005769")</f>
        <v>LU005769</v>
      </c>
      <c r="AJ38" s="13" t="str">
        <f ca="1">IFERROR(__xludf.DUMMYFUNCTION("""COMPUTED_VALUE"""),"Soil erosion (Definition and Causes) ")</f>
        <v xml:space="preserve">Soil erosion (Definition and Causes) </v>
      </c>
      <c r="AK38" s="13"/>
      <c r="AL38" s="13"/>
      <c r="AM38" s="13"/>
      <c r="AN38" s="13"/>
      <c r="AO38" s="13"/>
      <c r="AP38" s="13"/>
      <c r="AQ38" s="13"/>
      <c r="AR38" s="13"/>
      <c r="AS38" s="13"/>
      <c r="AT38" s="13"/>
    </row>
    <row r="39" spans="1:46" ht="66">
      <c r="A39" s="8" t="s">
        <v>247</v>
      </c>
      <c r="B39" s="8" t="s">
        <v>47</v>
      </c>
      <c r="C39" s="8" t="s">
        <v>731</v>
      </c>
      <c r="D39" s="8" t="s">
        <v>1406</v>
      </c>
      <c r="E39" s="8" t="s">
        <v>2074</v>
      </c>
      <c r="F39" s="8" t="s">
        <v>2079</v>
      </c>
      <c r="G39" s="8" t="s">
        <v>2080</v>
      </c>
      <c r="H39" s="8" t="str">
        <f ca="1">IFERROR(__xludf.DUMMYFUNCTION("VLOOKUP(G39, IMPORTRANGE(""https://docs.google.com/spreadsheets/d/14deopnvwcrKtEGCKuYXdUHJbeLDZlkiSSWWT0g7x2pM/edit#gid=849066331"", ""LU List Science (Filter)!A:B""), 2, FALSE)"),"Definition of conservation, biosphere, protected areas, etc.")</f>
        <v>Definition of conservation, biosphere, protected areas, etc.</v>
      </c>
      <c r="I39" s="10" t="str">
        <f t="shared" si="0"/>
        <v>LU005598.001</v>
      </c>
      <c r="J39" s="10" t="str">
        <f ca="1">IFERROR(__xludf.DUMMYFUNCTION("VLOOKUP(I39, IMPORTRANGE(""https://docs.google.com/spreadsheets/d/1yDAaXNsi4Mr5FtRQL4tbmSdIzhx6_m4wkOD7IG-k_eo/edit#gid=1336395716"", ""Science!M:N""), 2, FALSE)"),"Students will list the terms conservation, biosphere, biodiversity, protected areas, biosphere reserves, national parks, zoos, and wildlife sanctuaries.")</f>
        <v>Students will list the terms conservation, biosphere, biodiversity, protected areas, biosphere reserves, national parks, zoos, and wildlife sanctuaries.</v>
      </c>
      <c r="K39" s="10" t="str">
        <f t="shared" si="6"/>
        <v>LU005598.002</v>
      </c>
      <c r="L39" s="10" t="str">
        <f ca="1">IFERROR(__xludf.DUMMYFUNCTION("VLOOKUP(K39, IMPORTRANGE(""https://docs.google.com/spreadsheets/d/1yDAaXNsi4Mr5FtRQL4tbmSdIzhx6_m4wkOD7IG-k_eo/edit#gid=1336395716"", ""Science!M:N""), 2, FALSE)"),"Students will describe the purpose of conservation and the role of protected areas such as biosphere reserves, national parks, zoos, and wildlife sanctuaries in maintaining biodiversity.")</f>
        <v>Students will describe the purpose of conservation and the role of protected areas such as biosphere reserves, national parks, zoos, and wildlife sanctuaries in maintaining biodiversity.</v>
      </c>
      <c r="M39" s="10" t="str">
        <f t="shared" si="2"/>
        <v>LU005598.003</v>
      </c>
      <c r="N39" s="10" t="str">
        <f ca="1">IFERROR(__xludf.DUMMYFUNCTION("VLOOKUP(M39, IMPORTRANGE(""https://docs.google.com/spreadsheets/d/1yDAaXNsi4Mr5FtRQL4tbmSdIzhx6_m4wkOD7IG-k_eo/edit#gid=1336395716"", ""Science!M:N""), 2, FALSE)"),"Students will apply their understanding by identifying local examples of biosphere reserves, national parks, zoos, and wildlife sanctuaries, and discussing their conservation efforts.")</f>
        <v>Students will apply their understanding by identifying local examples of biosphere reserves, national parks, zoos, and wildlife sanctuaries, and discussing their conservation efforts.</v>
      </c>
      <c r="O39" s="10" t="str">
        <f t="shared" si="3"/>
        <v>LU005598.004</v>
      </c>
      <c r="P39" s="10" t="str">
        <f ca="1">IFERROR(__xludf.DUMMYFUNCTION("VLOOKUP(O39, IMPORTRANGE(""https://docs.google.com/spreadsheets/d/1yDAaXNsi4Mr5FtRQL4tbmSdIzhx6_m4wkOD7IG-k_eo/edit#gid=1336395716"", ""Science!M:N""), 2, FALSE)"),"Students will compare the effectiveness of different types of protected areas in conserving biodiversity.")</f>
        <v>Students will compare the effectiveness of different types of protected areas in conserving biodiversity.</v>
      </c>
      <c r="Q39" s="10" t="str">
        <f t="shared" si="4"/>
        <v>LU005598.005</v>
      </c>
      <c r="R39" s="10" t="str">
        <f ca="1">IFERROR(__xludf.DUMMYFUNCTION("VLOOKUP(Q39, IMPORTRANGE(""https://docs.google.com/spreadsheets/d/1yDAaXNsi4Mr5FtRQL4tbmSdIzhx6_m4wkOD7IG-k_eo/edit#gid=1336395716"", ""Science!M:N""), 2, FALSE)"),"Students will assess the impact of human activities on biodiversity and the effectiveness of conservation strategies in protected areas.")</f>
        <v>Students will assess the impact of human activities on biodiversity and the effectiveness of conservation strategies in protected areas.</v>
      </c>
      <c r="S39" s="10" t="str">
        <f t="shared" si="5"/>
        <v>LU005598.006</v>
      </c>
      <c r="T39" s="10" t="str">
        <f ca="1">IFERROR(__xludf.DUMMYFUNCTION("VLOOKUP(S39, IMPORTRANGE(""https://docs.google.com/spreadsheets/d/1yDAaXNsi4Mr5FtRQL4tbmSdIzhx6_m4wkOD7IG-k_eo/edit#gid=1336395716"", ""Science!M:N""), 2, FALSE)"),"#N/A")</f>
        <v>#N/A</v>
      </c>
      <c r="U39" s="116">
        <f ca="1">IFERROR(__xludf.DUMMYFUNCTION("ArrayFormula(VLOOKUP(G39, IMPORTRANGE(""https://docs.google.com/spreadsheets/d/1p7R4vtkWt5VOBim4ltsDG9KTzSjrtKXsMtQGXPHyND0/edit#gid=795171502"", ""'Filter 30_05_2024'!A1:M2000""), {2, 3, 4, 5,6,7,8,9,10,11,12,13}, 0))"),4)</f>
        <v>4</v>
      </c>
      <c r="V39" s="116">
        <f ca="1">IFERROR(__xludf.DUMMYFUNCTION("""COMPUTED_VALUE"""),6)</f>
        <v>6</v>
      </c>
      <c r="W39" s="116">
        <f ca="1">IFERROR(__xludf.DUMMYFUNCTION("""COMPUTED_VALUE"""),2)</f>
        <v>2</v>
      </c>
      <c r="X39" s="116">
        <f ca="1">IFERROR(__xludf.DUMMYFUNCTION("""COMPUTED_VALUE"""),12)</f>
        <v>12</v>
      </c>
      <c r="Y39" s="116">
        <f ca="1">IFERROR(__xludf.DUMMYFUNCTION("""COMPUTED_VALUE"""),4)</f>
        <v>4</v>
      </c>
      <c r="Z39" s="12">
        <f ca="1">IFERROR(__xludf.DUMMYFUNCTION("""COMPUTED_VALUE"""),3)</f>
        <v>3</v>
      </c>
      <c r="AA39" s="12">
        <f ca="1">IFERROR(__xludf.DUMMYFUNCTION("""COMPUTED_VALUE"""),1)</f>
        <v>1</v>
      </c>
      <c r="AB39" s="12">
        <f ca="1">IFERROR(__xludf.DUMMYFUNCTION("""COMPUTED_VALUE"""),8)</f>
        <v>8</v>
      </c>
      <c r="AC39" s="12"/>
      <c r="AD39" s="12"/>
      <c r="AE39" s="12"/>
      <c r="AF39" s="12"/>
      <c r="AG39" s="13" t="str">
        <f ca="1">IFERROR(__xludf.DUMMYFUNCTION("ArrayFormula(VLOOKUP(G39, IMPORTRANGE(""https://docs.google.com/spreadsheets/d/1Co934fvtviyaRiMsrIlT05Jaq7iiYq07aLvRr35KA48/edit?gid=173865642#gid=173865642"", ""'G8_Sci_Pri_LU'!G2:V2000""), {3, 4, 5, 6, 7, 8, 9, 10, 11, 12, 13, 14, 15, 16}, 0))"),"LU005024")</f>
        <v>LU005024</v>
      </c>
      <c r="AH39" s="13" t="str">
        <f ca="1">IFERROR(__xludf.DUMMYFUNCTION("""COMPUTED_VALUE"""),"Importance of Forests for Sustaining Lives")</f>
        <v>Importance of Forests for Sustaining Lives</v>
      </c>
      <c r="AI39" s="13" t="str">
        <f ca="1">IFERROR(__xludf.DUMMYFUNCTION("""COMPUTED_VALUE"""),"LU005053")</f>
        <v>LU005053</v>
      </c>
      <c r="AJ39" s="13" t="str">
        <f ca="1">IFERROR(__xludf.DUMMYFUNCTION("""COMPUTED_VALUE"""),"Definition of Wildlife")</f>
        <v>Definition of Wildlife</v>
      </c>
      <c r="AK39" s="13"/>
      <c r="AL39" s="13"/>
      <c r="AM39" s="13"/>
      <c r="AN39" s="13"/>
      <c r="AO39" s="13"/>
      <c r="AP39" s="13"/>
      <c r="AQ39" s="13"/>
      <c r="AR39" s="13"/>
      <c r="AS39" s="13"/>
      <c r="AT39" s="13"/>
    </row>
    <row r="40" spans="1:46" ht="39.6">
      <c r="A40" s="8" t="s">
        <v>247</v>
      </c>
      <c r="B40" s="8" t="s">
        <v>47</v>
      </c>
      <c r="C40" s="8" t="s">
        <v>731</v>
      </c>
      <c r="D40" s="8" t="s">
        <v>1406</v>
      </c>
      <c r="E40" s="8" t="s">
        <v>2074</v>
      </c>
      <c r="F40" s="8" t="s">
        <v>2081</v>
      </c>
      <c r="G40" s="8" t="s">
        <v>2082</v>
      </c>
      <c r="H40" s="8" t="str">
        <f ca="1">IFERROR(__xludf.DUMMYFUNCTION("VLOOKUP(G40, IMPORTRANGE(""https://docs.google.com/spreadsheets/d/14deopnvwcrKtEGCKuYXdUHJbeLDZlkiSSWWT0g7x2pM/edit#gid=849066331"", ""LU List Science (Filter)!A:B""), 2, FALSE)"),"Definition of flora, fauna, and species.")</f>
        <v>Definition of flora, fauna, and species.</v>
      </c>
      <c r="I40" s="10" t="str">
        <f t="shared" si="0"/>
        <v>LU005599.001</v>
      </c>
      <c r="J40" s="10" t="str">
        <f ca="1">IFERROR(__xludf.DUMMYFUNCTION("VLOOKUP(I40, IMPORTRANGE(""https://docs.google.com/spreadsheets/d/1yDAaXNsi4Mr5FtRQL4tbmSdIzhx6_m4wkOD7IG-k_eo/edit#gid=1336395716"", ""Science!M:N""), 2, FALSE)"),"Students will list the definitions of flora, fauna, and species.")</f>
        <v>Students will list the definitions of flora, fauna, and species.</v>
      </c>
      <c r="K40" s="10" t="str">
        <f t="shared" si="6"/>
        <v>LU005599.002</v>
      </c>
      <c r="L40" s="10" t="str">
        <f ca="1">IFERROR(__xludf.DUMMYFUNCTION("VLOOKUP(K40, IMPORTRANGE(""https://docs.google.com/spreadsheets/d/1yDAaXNsi4Mr5FtRQL4tbmSdIzhx6_m4wkOD7IG-k_eo/edit#gid=1336395716"", ""Science!M:N""), 2, FALSE)"),"Students will describe the roles of flora and fauna within an ecosystem.")</f>
        <v>Students will describe the roles of flora and fauna within an ecosystem.</v>
      </c>
      <c r="M40" s="10" t="str">
        <f t="shared" si="2"/>
        <v>LU005599.003</v>
      </c>
      <c r="N40" s="10" t="str">
        <f ca="1">IFERROR(__xludf.DUMMYFUNCTION("VLOOKUP(M40, IMPORTRANGE(""https://docs.google.com/spreadsheets/d/1yDAaXNsi4Mr5FtRQL4tbmSdIzhx6_m4wkOD7IG-k_eo/edit#gid=1336395716"", ""Science!M:N""), 2, FALSE)"),"Students will apply the terms flora, fauna, and species to categorize organisms in a local habitat.")</f>
        <v>Students will apply the terms flora, fauna, and species to categorize organisms in a local habitat.</v>
      </c>
      <c r="O40" s="10" t="str">
        <f t="shared" si="3"/>
        <v>LU005599.004</v>
      </c>
      <c r="P40" s="10" t="str">
        <f ca="1">IFERROR(__xludf.DUMMYFUNCTION("VLOOKUP(O40, IMPORTRANGE(""https://docs.google.com/spreadsheets/d/1yDAaXNsi4Mr5FtRQL4tbmSdIzhx6_m4wkOD7IG-k_eo/edit#gid=1336395716"", ""Science!M:N""), 2, FALSE)"),"Students will analyze the interdependence between flora and fauna in a given ecosystem.")</f>
        <v>Students will analyze the interdependence between flora and fauna in a given ecosystem.</v>
      </c>
      <c r="Q40" s="10" t="str">
        <f t="shared" si="4"/>
        <v>LU005599.005</v>
      </c>
      <c r="R40" s="10" t="str">
        <f ca="1">IFERROR(__xludf.DUMMYFUNCTION("VLOOKUP(Q40, IMPORTRANGE(""https://docs.google.com/spreadsheets/d/1yDAaXNsi4Mr5FtRQL4tbmSdIzhx6_m4wkOD7IG-k_eo/edit#gid=1336395716"", ""Science!M:N""), 2, FALSE)"),"Students will evaluate the impact of species loss on flora and fauna diversity in an ecosystem.")</f>
        <v>Students will evaluate the impact of species loss on flora and fauna diversity in an ecosystem.</v>
      </c>
      <c r="S40" s="10" t="str">
        <f t="shared" si="5"/>
        <v>LU005599.006</v>
      </c>
      <c r="T40" s="10" t="str">
        <f ca="1">IFERROR(__xludf.DUMMYFUNCTION("VLOOKUP(S40, IMPORTRANGE(""https://docs.google.com/spreadsheets/d/1yDAaXNsi4Mr5FtRQL4tbmSdIzhx6_m4wkOD7IG-k_eo/edit#gid=1336395716"", ""Science!M:N""), 2, FALSE)"),"#N/A")</f>
        <v>#N/A</v>
      </c>
      <c r="U40" s="116">
        <f ca="1">IFERROR(__xludf.DUMMYFUNCTION("ArrayFormula(VLOOKUP(G40, IMPORTRANGE(""https://docs.google.com/spreadsheets/d/1p7R4vtkWt5VOBim4ltsDG9KTzSjrtKXsMtQGXPHyND0/edit#gid=795171502"", ""'Filter 30_05_2024'!A1:M2000""), {2, 3, 4, 5,6,7,8,9,10,11,12,13}, 0))"),4)</f>
        <v>4</v>
      </c>
      <c r="V40" s="116">
        <f ca="1">IFERROR(__xludf.DUMMYFUNCTION("""COMPUTED_VALUE"""),7)</f>
        <v>7</v>
      </c>
      <c r="W40" s="116">
        <f ca="1">IFERROR(__xludf.DUMMYFUNCTION("""COMPUTED_VALUE"""),2)</f>
        <v>2</v>
      </c>
      <c r="X40" s="116">
        <f ca="1">IFERROR(__xludf.DUMMYFUNCTION("""COMPUTED_VALUE"""),13)</f>
        <v>13</v>
      </c>
      <c r="Y40" s="116">
        <f ca="1">IFERROR(__xludf.DUMMYFUNCTION("""COMPUTED_VALUE"""),4)</f>
        <v>4</v>
      </c>
      <c r="Z40" s="12">
        <f ca="1">IFERROR(__xludf.DUMMYFUNCTION("""COMPUTED_VALUE"""),3)</f>
        <v>3</v>
      </c>
      <c r="AA40" s="12">
        <f ca="1">IFERROR(__xludf.DUMMYFUNCTION("""COMPUTED_VALUE"""),1)</f>
        <v>1</v>
      </c>
      <c r="AB40" s="12">
        <f ca="1">IFERROR(__xludf.DUMMYFUNCTION("""COMPUTED_VALUE"""),8)</f>
        <v>8</v>
      </c>
      <c r="AC40" s="12"/>
      <c r="AD40" s="12"/>
      <c r="AE40" s="12"/>
      <c r="AF40" s="12"/>
      <c r="AG40" s="13" t="str">
        <f ca="1">IFERROR(__xludf.DUMMYFUNCTION("ArrayFormula(VLOOKUP(G40, IMPORTRANGE(""https://docs.google.com/spreadsheets/d/1Co934fvtviyaRiMsrIlT05Jaq7iiYq07aLvRr35KA48/edit?gid=173865642#gid=173865642"", ""'G8_Sci_Pri_LU'!G2:V2000""), {3, 4, 5, 6, 7, 8, 9, 10, 11, 12, 13, 14, 15, 16}, 0))"),"LU005258")</f>
        <v>LU005258</v>
      </c>
      <c r="AH40" s="13" t="str">
        <f ca="1">IFERROR(__xludf.DUMMYFUNCTION("""COMPUTED_VALUE"""),"Definition of habitats and adaptations.")</f>
        <v>Definition of habitats and adaptations.</v>
      </c>
      <c r="AI40" s="13" t="str">
        <f ca="1">IFERROR(__xludf.DUMMYFUNCTION("""COMPUTED_VALUE"""),"LU005252")</f>
        <v>LU005252</v>
      </c>
      <c r="AJ40" s="13" t="str">
        <f ca="1">IFERROR(__xludf.DUMMYFUNCTION("""COMPUTED_VALUE"""),"Animals, plants, and natural objects in different surroundings")</f>
        <v>Animals, plants, and natural objects in different surroundings</v>
      </c>
      <c r="AK40" s="13"/>
      <c r="AL40" s="13"/>
      <c r="AM40" s="13"/>
      <c r="AN40" s="13"/>
      <c r="AO40" s="13"/>
      <c r="AP40" s="13"/>
      <c r="AQ40" s="13"/>
      <c r="AR40" s="13"/>
      <c r="AS40" s="13"/>
      <c r="AT40" s="13"/>
    </row>
    <row r="41" spans="1:46" ht="52.8">
      <c r="A41" s="8" t="s">
        <v>247</v>
      </c>
      <c r="B41" s="8" t="s">
        <v>47</v>
      </c>
      <c r="C41" s="8" t="s">
        <v>731</v>
      </c>
      <c r="D41" s="8" t="s">
        <v>1406</v>
      </c>
      <c r="E41" s="8" t="s">
        <v>2074</v>
      </c>
      <c r="F41" s="8" t="s">
        <v>2081</v>
      </c>
      <c r="G41" s="8" t="s">
        <v>2083</v>
      </c>
      <c r="H41" s="8" t="str">
        <f ca="1">IFERROR(__xludf.DUMMYFUNCTION("VLOOKUP(G41, IMPORTRANGE(""https://docs.google.com/spreadsheets/d/14deopnvwcrKtEGCKuYXdUHJbeLDZlkiSSWWT0g7x2pM/edit#gid=849066331"", ""LU List Science (Filter)!A:B""), 2, FALSE)"),"Definition of Ecosystem")</f>
        <v>Definition of Ecosystem</v>
      </c>
      <c r="I41" s="10" t="str">
        <f t="shared" si="0"/>
        <v>LU005605.001</v>
      </c>
      <c r="J41" s="10" t="str">
        <f ca="1">IFERROR(__xludf.DUMMYFUNCTION("VLOOKUP(I41, IMPORTRANGE(""https://docs.google.com/spreadsheets/d/1yDAaXNsi4Mr5FtRQL4tbmSdIzhx6_m4wkOD7IG-k_eo/edit#gid=1336395716"", ""Science!M:N""), 2, FALSE)"),"Students will memorize the definition of an ecosystem.")</f>
        <v>Students will memorize the definition of an ecosystem.</v>
      </c>
      <c r="K41" s="10" t="str">
        <f t="shared" si="6"/>
        <v>LU005605.002</v>
      </c>
      <c r="L41" s="10" t="str">
        <f ca="1">IFERROR(__xludf.DUMMYFUNCTION("VLOOKUP(K41, IMPORTRANGE(""https://docs.google.com/spreadsheets/d/1yDAaXNsi4Mr5FtRQL4tbmSdIzhx6_m4wkOD7IG-k_eo/edit#gid=1336395716"", ""Science!M:N""), 2, FALSE)"),"Students will explain the components and functions of an ecosystem.")</f>
        <v>Students will explain the components and functions of an ecosystem.</v>
      </c>
      <c r="M41" s="10" t="str">
        <f t="shared" si="2"/>
        <v>LU005605.003</v>
      </c>
      <c r="N41" s="10" t="str">
        <f ca="1">IFERROR(__xludf.DUMMYFUNCTION("VLOOKUP(M41, IMPORTRANGE(""https://docs.google.com/spreadsheets/d/1yDAaXNsi4Mr5FtRQL4tbmSdIzhx6_m4wkOD7IG-k_eo/edit#gid=1336395716"", ""Science!M:N""), 2, FALSE)"),"Students will apply the concept of an ecosystem to differentiate between various examples like forests, ponds, and grasslands.")</f>
        <v>Students will apply the concept of an ecosystem to differentiate between various examples like forests, ponds, and grasslands.</v>
      </c>
      <c r="O41" s="10" t="str">
        <f t="shared" si="3"/>
        <v>LU005605.004</v>
      </c>
      <c r="P41" s="10" t="str">
        <f ca="1">IFERROR(__xludf.DUMMYFUNCTION("VLOOKUP(O41, IMPORTRANGE(""https://docs.google.com/spreadsheets/d/1yDAaXNsi4Mr5FtRQL4tbmSdIzhx6_m4wkOD7IG-k_eo/edit#gid=1336395716"", ""Science!M:N""), 2, FALSE)"),"Students will analyze the interdependent relationships within an ecosystem, such as those between predators and prey or plants and pollinators.")</f>
        <v>Students will analyze the interdependent relationships within an ecosystem, such as those between predators and prey or plants and pollinators.</v>
      </c>
      <c r="Q41" s="10" t="str">
        <f t="shared" si="4"/>
        <v>LU005605.005</v>
      </c>
      <c r="R41" s="10" t="str">
        <f ca="1">IFERROR(__xludf.DUMMYFUNCTION("VLOOKUP(Q41, IMPORTRANGE(""https://docs.google.com/spreadsheets/d/1yDAaXNsi4Mr5FtRQL4tbmSdIzhx6_m4wkOD7IG-k_eo/edit#gid=1336395716"", ""Science!M:N""), 2, FALSE)"),"Students will evaluate the impact of human activities on local ecosystems.")</f>
        <v>Students will evaluate the impact of human activities on local ecosystems.</v>
      </c>
      <c r="S41" s="10" t="str">
        <f t="shared" si="5"/>
        <v>LU005605.006</v>
      </c>
      <c r="T41" s="10" t="str">
        <f ca="1">IFERROR(__xludf.DUMMYFUNCTION("VLOOKUP(S41, IMPORTRANGE(""https://docs.google.com/spreadsheets/d/1yDAaXNsi4Mr5FtRQL4tbmSdIzhx6_m4wkOD7IG-k_eo/edit#gid=1336395716"", ""Science!M:N""), 2, FALSE)"),"#N/A")</f>
        <v>#N/A</v>
      </c>
      <c r="U41" s="116">
        <f ca="1">IFERROR(__xludf.DUMMYFUNCTION("ArrayFormula(VLOOKUP(G41, IMPORTRANGE(""https://docs.google.com/spreadsheets/d/1p7R4vtkWt5VOBim4ltsDG9KTzSjrtKXsMtQGXPHyND0/edit#gid=795171502"", ""'Filter 30_05_2024'!A1:M2000""), {2, 3, 4, 5,6,7,8,9,10,11,12,13}, 0))"),4)</f>
        <v>4</v>
      </c>
      <c r="V41" s="116">
        <f ca="1">IFERROR(__xludf.DUMMYFUNCTION("""COMPUTED_VALUE"""),6)</f>
        <v>6</v>
      </c>
      <c r="W41" s="116">
        <f ca="1">IFERROR(__xludf.DUMMYFUNCTION("""COMPUTED_VALUE"""),2)</f>
        <v>2</v>
      </c>
      <c r="X41" s="116">
        <f ca="1">IFERROR(__xludf.DUMMYFUNCTION("""COMPUTED_VALUE"""),12)</f>
        <v>12</v>
      </c>
      <c r="Y41" s="116">
        <f ca="1">IFERROR(__xludf.DUMMYFUNCTION("""COMPUTED_VALUE"""),4)</f>
        <v>4</v>
      </c>
      <c r="Z41" s="12">
        <f ca="1">IFERROR(__xludf.DUMMYFUNCTION("""COMPUTED_VALUE"""),3)</f>
        <v>3</v>
      </c>
      <c r="AA41" s="12">
        <f ca="1">IFERROR(__xludf.DUMMYFUNCTION("""COMPUTED_VALUE"""),1)</f>
        <v>1</v>
      </c>
      <c r="AB41" s="12">
        <f ca="1">IFERROR(__xludf.DUMMYFUNCTION("""COMPUTED_VALUE"""),8)</f>
        <v>8</v>
      </c>
      <c r="AC41" s="12"/>
      <c r="AD41" s="12"/>
      <c r="AE41" s="12"/>
      <c r="AF41" s="12"/>
      <c r="AG41" s="13" t="str">
        <f ca="1">IFERROR(__xludf.DUMMYFUNCTION("ArrayFormula(VLOOKUP(G41, IMPORTRANGE(""https://docs.google.com/spreadsheets/d/1Co934fvtviyaRiMsrIlT05Jaq7iiYq07aLvRr35KA48/edit?gid=173865642#gid=173865642"", ""'G8_Sci_Pri_LU'!G2:V2000""), {3, 4, 5, 6, 7, 8, 9, 10, 11, 12, 13, 14, 15, 16}, 0))"),"LU005259")</f>
        <v>LU005259</v>
      </c>
      <c r="AH41" s="13" t="str">
        <f ca="1">IFERROR(__xludf.DUMMYFUNCTION("""COMPUTED_VALUE"""),"Definition of biotic components")</f>
        <v>Definition of biotic components</v>
      </c>
      <c r="AI41" s="13" t="str">
        <f ca="1">IFERROR(__xludf.DUMMYFUNCTION("""COMPUTED_VALUE"""),"LU005253")</f>
        <v>LU005253</v>
      </c>
      <c r="AJ41" s="13" t="str">
        <f ca="1">IFERROR(__xludf.DUMMYFUNCTION("""COMPUTED_VALUE"""),"Definition of abiotic components")</f>
        <v>Definition of abiotic components</v>
      </c>
      <c r="AK41" s="13"/>
      <c r="AL41" s="13"/>
      <c r="AM41" s="13"/>
      <c r="AN41" s="13"/>
      <c r="AO41" s="13"/>
      <c r="AP41" s="13"/>
      <c r="AQ41" s="13"/>
      <c r="AR41" s="13"/>
      <c r="AS41" s="13"/>
      <c r="AT41" s="13"/>
    </row>
    <row r="42" spans="1:46" ht="39.6">
      <c r="A42" s="8" t="s">
        <v>247</v>
      </c>
      <c r="B42" s="8" t="s">
        <v>47</v>
      </c>
      <c r="C42" s="8" t="s">
        <v>731</v>
      </c>
      <c r="D42" s="8" t="s">
        <v>1406</v>
      </c>
      <c r="E42" s="8" t="s">
        <v>2074</v>
      </c>
      <c r="F42" s="8" t="s">
        <v>2081</v>
      </c>
      <c r="G42" s="8" t="s">
        <v>2084</v>
      </c>
      <c r="H42" s="8" t="str">
        <f ca="1">IFERROR(__xludf.DUMMYFUNCTION("VLOOKUP(G42, IMPORTRANGE(""https://docs.google.com/spreadsheets/d/14deopnvwcrKtEGCKuYXdUHJbeLDZlkiSSWWT0g7x2pM/edit#gid=849066331"", ""LU List Science (Filter)!A:B""), 2, FALSE)"),"Definition of endemic species and its causes of extinction.")</f>
        <v>Definition of endemic species and its causes of extinction.</v>
      </c>
      <c r="I42" s="10" t="str">
        <f t="shared" si="0"/>
        <v>LU005600.001</v>
      </c>
      <c r="J42" s="10" t="str">
        <f ca="1">IFERROR(__xludf.DUMMYFUNCTION("VLOOKUP(I42, IMPORTRANGE(""https://docs.google.com/spreadsheets/d/1yDAaXNsi4Mr5FtRQL4tbmSdIzhx6_m4wkOD7IG-k_eo/edit#gid=1336395716"", ""Science!M:N""), 2, FALSE)"),"Students will list the characteristics that define endemic species and identify factors leading to their extinction.")</f>
        <v>Students will list the characteristics that define endemic species and identify factors leading to their extinction.</v>
      </c>
      <c r="K42" s="10" t="str">
        <f t="shared" si="6"/>
        <v>LU005600.002</v>
      </c>
      <c r="L42" s="10" t="str">
        <f ca="1">IFERROR(__xludf.DUMMYFUNCTION("VLOOKUP(K42, IMPORTRANGE(""https://docs.google.com/spreadsheets/d/1yDAaXNsi4Mr5FtRQL4tbmSdIzhx6_m4wkOD7IG-k_eo/edit#gid=1336395716"", ""Science!M:N""), 2, FALSE)"),"Students will explain the concept of endemic species and discuss the common causes of their extinction.")</f>
        <v>Students will explain the concept of endemic species and discuss the common causes of their extinction.</v>
      </c>
      <c r="M42" s="10" t="str">
        <f t="shared" si="2"/>
        <v>LU005600.003</v>
      </c>
      <c r="N42" s="10" t="str">
        <f ca="1">IFERROR(__xludf.DUMMYFUNCTION("VLOOKUP(M42, IMPORTRANGE(""https://docs.google.com/spreadsheets/d/1yDAaXNsi4Mr5FtRQL4tbmSdIzhx6_m4wkOD7IG-k_eo/edit#gid=1336395716"", ""Science!M:N""), 2, FALSE)"),"Students will assess the status of local endemic species using provided data and apply conservation measures.")</f>
        <v>Students will assess the status of local endemic species using provided data and apply conservation measures.</v>
      </c>
      <c r="O42" s="10" t="str">
        <f t="shared" si="3"/>
        <v>LU005600.004</v>
      </c>
      <c r="P42" s="10" t="str">
        <f ca="1">IFERROR(__xludf.DUMMYFUNCTION("VLOOKUP(O42, IMPORTRANGE(""https://docs.google.com/spreadsheets/d/1yDAaXNsi4Mr5FtRQL4tbmSdIzhx6_m4wkOD7IG-k_eo/edit#gid=1336395716"", ""Science!M:N""), 2, FALSE)"),"Students will examine the impact of human activities on the habitat of endemic species and analyze their vulnerability to extinction.")</f>
        <v>Students will examine the impact of human activities on the habitat of endemic species and analyze their vulnerability to extinction.</v>
      </c>
      <c r="Q42" s="10" t="str">
        <f t="shared" si="4"/>
        <v>LU005600.005</v>
      </c>
      <c r="R42" s="10" t="str">
        <f ca="1">IFERROR(__xludf.DUMMYFUNCTION("VLOOKUP(Q42, IMPORTRANGE(""https://docs.google.com/spreadsheets/d/1yDAaXNsi4Mr5FtRQL4tbmSdIzhx6_m4wkOD7IG-k_eo/edit#gid=1336395716"", ""Science!M:N""), 2, FALSE)"),"Students will critique current conservation strategies for endemic species and propose improvements.")</f>
        <v>Students will critique current conservation strategies for endemic species and propose improvements.</v>
      </c>
      <c r="S42" s="10" t="str">
        <f t="shared" si="5"/>
        <v>LU005600.006</v>
      </c>
      <c r="T42" s="10" t="str">
        <f ca="1">IFERROR(__xludf.DUMMYFUNCTION("VLOOKUP(S42, IMPORTRANGE(""https://docs.google.com/spreadsheets/d/1yDAaXNsi4Mr5FtRQL4tbmSdIzhx6_m4wkOD7IG-k_eo/edit#gid=1336395716"", ""Science!M:N""), 2, FALSE)"),"#N/A")</f>
        <v>#N/A</v>
      </c>
      <c r="U42" s="116">
        <f ca="1">IFERROR(__xludf.DUMMYFUNCTION("ArrayFormula(VLOOKUP(G42, IMPORTRANGE(""https://docs.google.com/spreadsheets/d/1p7R4vtkWt5VOBim4ltsDG9KTzSjrtKXsMtQGXPHyND0/edit#gid=795171502"", ""'Filter 30_05_2024'!A1:M2000""), {2, 3, 4, 5,6,7,8,9,10,11,12,13}, 0))"),4)</f>
        <v>4</v>
      </c>
      <c r="V42" s="116">
        <f ca="1">IFERROR(__xludf.DUMMYFUNCTION("""COMPUTED_VALUE"""),6)</f>
        <v>6</v>
      </c>
      <c r="W42" s="116">
        <f ca="1">IFERROR(__xludf.DUMMYFUNCTION("""COMPUTED_VALUE"""),2)</f>
        <v>2</v>
      </c>
      <c r="X42" s="116">
        <f ca="1">IFERROR(__xludf.DUMMYFUNCTION("""COMPUTED_VALUE"""),12)</f>
        <v>12</v>
      </c>
      <c r="Y42" s="116">
        <f ca="1">IFERROR(__xludf.DUMMYFUNCTION("""COMPUTED_VALUE"""),4)</f>
        <v>4</v>
      </c>
      <c r="Z42" s="12">
        <f ca="1">IFERROR(__xludf.DUMMYFUNCTION("""COMPUTED_VALUE"""),3)</f>
        <v>3</v>
      </c>
      <c r="AA42" s="12">
        <f ca="1">IFERROR(__xludf.DUMMYFUNCTION("""COMPUTED_VALUE"""),1)</f>
        <v>1</v>
      </c>
      <c r="AB42" s="12">
        <f ca="1">IFERROR(__xludf.DUMMYFUNCTION("""COMPUTED_VALUE"""),8)</f>
        <v>8</v>
      </c>
      <c r="AC42" s="12"/>
      <c r="AD42" s="12"/>
      <c r="AE42" s="12"/>
      <c r="AF42" s="12"/>
      <c r="AG42" s="13" t="str">
        <f ca="1">IFERROR(__xludf.DUMMYFUNCTION("ArrayFormula(VLOOKUP(G42, IMPORTRANGE(""https://docs.google.com/spreadsheets/d/1Co934fvtviyaRiMsrIlT05Jaq7iiYq07aLvRr35KA48/edit?gid=173865642#gid=173865642"", ""'G8_Sci_Pri_LU'!G2:V2000""), {3, 4, 5, 6, 7, 8, 9, 10, 11, 12, 13, 14, 15, 16}, 0))"),"LU005052")</f>
        <v>LU005052</v>
      </c>
      <c r="AH42" s="13" t="str">
        <f ca="1">IFERROR(__xludf.DUMMYFUNCTION("""COMPUTED_VALUE"""),"Definition of Endangered and Extinct Animals")</f>
        <v>Definition of Endangered and Extinct Animals</v>
      </c>
      <c r="AI42" s="13" t="str">
        <f ca="1">IFERROR(__xludf.DUMMYFUNCTION("""COMPUTED_VALUE"""),"LU005599")</f>
        <v>LU005599</v>
      </c>
      <c r="AJ42" s="13" t="str">
        <f ca="1">IFERROR(__xludf.DUMMYFUNCTION("""COMPUTED_VALUE"""),"Definition of flora, fauna, and species.")</f>
        <v>Definition of flora, fauna, and species.</v>
      </c>
      <c r="AK42" s="13"/>
      <c r="AL42" s="13"/>
      <c r="AM42" s="13"/>
      <c r="AN42" s="13"/>
      <c r="AO42" s="13"/>
      <c r="AP42" s="13"/>
      <c r="AQ42" s="13"/>
      <c r="AR42" s="13"/>
      <c r="AS42" s="13"/>
      <c r="AT42" s="13"/>
    </row>
    <row r="43" spans="1:46" ht="79.2">
      <c r="A43" s="8" t="s">
        <v>247</v>
      </c>
      <c r="B43" s="8" t="s">
        <v>47</v>
      </c>
      <c r="C43" s="8" t="s">
        <v>731</v>
      </c>
      <c r="D43" s="8" t="s">
        <v>1406</v>
      </c>
      <c r="E43" s="8" t="s">
        <v>2074</v>
      </c>
      <c r="F43" s="8" t="s">
        <v>2085</v>
      </c>
      <c r="G43" s="8" t="s">
        <v>2086</v>
      </c>
      <c r="H43" s="8" t="str">
        <f ca="1">IFERROR(__xludf.DUMMYFUNCTION("VLOOKUP(G43, IMPORTRANGE(""https://docs.google.com/spreadsheets/d/14deopnvwcrKtEGCKuYXdUHJbeLDZlkiSSWWT0g7x2pM/edit#gid=849066331"", ""LU List Science (Filter)!A:B""), 2, FALSE)"),"Satpura National Park and Project Tiger")</f>
        <v>Satpura National Park and Project Tiger</v>
      </c>
      <c r="I43" s="10" t="str">
        <f t="shared" si="0"/>
        <v>LU005603.001</v>
      </c>
      <c r="J43" s="10" t="str">
        <f ca="1">IFERROR(__xludf.DUMMYFUNCTION("VLOOKUP(I43, IMPORTRANGE(""https://docs.google.com/spreadsheets/d/1yDAaXNsi4Mr5FtRQL4tbmSdIzhx6_m4wkOD7IG-k_eo/edit#gid=1336395716"", ""Science!M:N""), 2, FALSE)"),"Recall and identify Satpura National Park as a protected area in India. Remember that Project Tiger is an initiative aimed at conserving and protecting the Bengal tiger and its habitats.")</f>
        <v>Recall and identify Satpura National Park as a protected area in India. Remember that Project Tiger is an initiative aimed at conserving and protecting the Bengal tiger and its habitats.</v>
      </c>
      <c r="K43" s="10" t="str">
        <f t="shared" si="6"/>
        <v>LU005603.002</v>
      </c>
      <c r="L43" s="10" t="str">
        <f ca="1">IFERROR(__xludf.DUMMYFUNCTION("VLOOKUP(K43, IMPORTRANGE(""https://docs.google.com/spreadsheets/d/1yDAaXNsi4Mr5FtRQL4tbmSdIzhx6_m4wkOD7IG-k_eo/edit#gid=1336395716"", ""Science!M:N""), 2, FALSE)"),"Explain in your own words the significance of Satpura National Park and Project Tiger. ")</f>
        <v xml:space="preserve">Explain in your own words the significance of Satpura National Park and Project Tiger. </v>
      </c>
      <c r="M43" s="10" t="str">
        <f t="shared" si="2"/>
        <v>LU005603.003</v>
      </c>
      <c r="N43" s="10" t="str">
        <f ca="1">IFERROR(__xludf.DUMMYFUNCTION("VLOOKUP(M43, IMPORTRANGE(""https://docs.google.com/spreadsheets/d/1yDAaXNsi4Mr5FtRQL4tbmSdIzhx6_m4wkOD7IG-k_eo/edit#gid=1336395716"", ""Science!M:N""), 2, FALSE)"),"Apply your knowledge by describing the purpose of Satpura National Park and how it contributes to biodiversity preservation. Similarly, explain the objectives of Project Tiger and its efforts to ensure the survival of the Bengal tiger.")</f>
        <v>Apply your knowledge by describing the purpose of Satpura National Park and how it contributes to biodiversity preservation. Similarly, explain the objectives of Project Tiger and its efforts to ensure the survival of the Bengal tiger.</v>
      </c>
      <c r="O43" s="10" t="str">
        <f t="shared" si="3"/>
        <v>LU005603.004</v>
      </c>
      <c r="P43" s="10" t="str">
        <f ca="1">IFERROR(__xludf.DUMMYFUNCTION("VLOOKUP(O43, IMPORTRANGE(""https://docs.google.com/spreadsheets/d/1yDAaXNsi4Mr5FtRQL4tbmSdIzhx6_m4wkOD7IG-k_eo/edit#gid=1336395716"", ""Science!M:N""), 2, FALSE)"),"Analyze the relationship between Satpura National Park and Project Tiger. Discuss how the park's inclusion in the Project Tiger initiative enhances the conservation of both the park's ecosystem and the Bengal tiger species.")</f>
        <v>Analyze the relationship between Satpura National Park and Project Tiger. Discuss how the park's inclusion in the Project Tiger initiative enhances the conservation of both the park's ecosystem and the Bengal tiger species.</v>
      </c>
      <c r="Q43" s="10" t="str">
        <f t="shared" si="4"/>
        <v>LU005603.005</v>
      </c>
      <c r="R43" s="10" t="str">
        <f ca="1">IFERROR(__xludf.DUMMYFUNCTION("VLOOKUP(Q43, IMPORTRANGE(""https://docs.google.com/spreadsheets/d/1yDAaXNsi4Mr5FtRQL4tbmSdIzhx6_m4wkOD7IG-k_eo/edit#gid=1336395716"", ""Science!M:N""), 2, FALSE)"),"Evaluate the effectiveness of Project Tiger in preserving the Bengal tiger population. Discuss the successes and challenges of the project, considering factors such as habitat protection, anti-poaching efforts, and community involvement.")</f>
        <v>Evaluate the effectiveness of Project Tiger in preserving the Bengal tiger population. Discuss the successes and challenges of the project, considering factors such as habitat protection, anti-poaching efforts, and community involvement.</v>
      </c>
      <c r="S43" s="10" t="str">
        <f t="shared" si="5"/>
        <v>LU005603.006</v>
      </c>
      <c r="T43" s="10" t="str">
        <f ca="1">IFERROR(__xludf.DUMMYFUNCTION("VLOOKUP(S43, IMPORTRANGE(""https://docs.google.com/spreadsheets/d/1yDAaXNsi4Mr5FtRQL4tbmSdIzhx6_m4wkOD7IG-k_eo/edit#gid=1336395716"", ""Science!M:N""), 2, FALSE)"),"#N/A")</f>
        <v>#N/A</v>
      </c>
      <c r="U43" s="116">
        <f ca="1">IFERROR(__xludf.DUMMYFUNCTION("ArrayFormula(VLOOKUP(G43, IMPORTRANGE(""https://docs.google.com/spreadsheets/d/1p7R4vtkWt5VOBim4ltsDG9KTzSjrtKXsMtQGXPHyND0/edit#gid=795171502"", ""'Filter 30_05_2024'!A1:M2000""), {2, 3, 4, 5,6,7,8,9,10,11,12,13}, 0))"),4)</f>
        <v>4</v>
      </c>
      <c r="V43" s="116">
        <f ca="1">IFERROR(__xludf.DUMMYFUNCTION("""COMPUTED_VALUE"""),6)</f>
        <v>6</v>
      </c>
      <c r="W43" s="116">
        <f ca="1">IFERROR(__xludf.DUMMYFUNCTION("""COMPUTED_VALUE"""),2)</f>
        <v>2</v>
      </c>
      <c r="X43" s="116">
        <f ca="1">IFERROR(__xludf.DUMMYFUNCTION("""COMPUTED_VALUE"""),12)</f>
        <v>12</v>
      </c>
      <c r="Y43" s="116">
        <f ca="1">IFERROR(__xludf.DUMMYFUNCTION("""COMPUTED_VALUE"""),4)</f>
        <v>4</v>
      </c>
      <c r="Z43" s="12">
        <f ca="1">IFERROR(__xludf.DUMMYFUNCTION("""COMPUTED_VALUE"""),3)</f>
        <v>3</v>
      </c>
      <c r="AA43" s="12">
        <f ca="1">IFERROR(__xludf.DUMMYFUNCTION("""COMPUTED_VALUE"""),1)</f>
        <v>1</v>
      </c>
      <c r="AB43" s="12">
        <f ca="1">IFERROR(__xludf.DUMMYFUNCTION("""COMPUTED_VALUE"""),8)</f>
        <v>8</v>
      </c>
      <c r="AC43" s="12"/>
      <c r="AD43" s="12"/>
      <c r="AE43" s="12"/>
      <c r="AF43" s="12"/>
      <c r="AG43" s="13" t="str">
        <f ca="1">IFERROR(__xludf.DUMMYFUNCTION("ArrayFormula(VLOOKUP(G43, IMPORTRANGE(""https://docs.google.com/spreadsheets/d/1Co934fvtviyaRiMsrIlT05Jaq7iiYq07aLvRr35KA48/edit?gid=173865642#gid=173865642"", ""'G8_Sci_Pri_LU'!G2:V2000""), {3, 4, 5, 6, 7, 8, 9, 10, 11, 12, 13, 14, 15, 16}, 0))"),"LU005598")</f>
        <v>LU005598</v>
      </c>
      <c r="AH43" s="13" t="str">
        <f ca="1">IFERROR(__xludf.DUMMYFUNCTION("""COMPUTED_VALUE"""),"Definition of conservation, biosphere, protected areas, etc.")</f>
        <v>Definition of conservation, biosphere, protected areas, etc.</v>
      </c>
      <c r="AI43" s="13" t="str">
        <f ca="1">IFERROR(__xludf.DUMMYFUNCTION("""COMPUTED_VALUE"""),"LU005052")</f>
        <v>LU005052</v>
      </c>
      <c r="AJ43" s="13" t="str">
        <f ca="1">IFERROR(__xludf.DUMMYFUNCTION("""COMPUTED_VALUE"""),"Definition of Endangered and Extinct Animals")</f>
        <v>Definition of Endangered and Extinct Animals</v>
      </c>
      <c r="AK43" s="13" t="str">
        <f ca="1">IFERROR(__xludf.DUMMYFUNCTION("""COMPUTED_VALUE"""),"LU005599")</f>
        <v>LU005599</v>
      </c>
      <c r="AL43" s="13" t="str">
        <f ca="1">IFERROR(__xludf.DUMMYFUNCTION("""COMPUTED_VALUE"""),"Definition of flora, fauna, and species.")</f>
        <v>Definition of flora, fauna, and species.</v>
      </c>
      <c r="AM43" s="13"/>
      <c r="AN43" s="13"/>
      <c r="AO43" s="13"/>
      <c r="AP43" s="13"/>
      <c r="AQ43" s="13"/>
      <c r="AR43" s="13"/>
      <c r="AS43" s="13"/>
      <c r="AT43" s="13"/>
    </row>
    <row r="44" spans="1:46" ht="39.6">
      <c r="A44" s="8" t="s">
        <v>247</v>
      </c>
      <c r="B44" s="8" t="s">
        <v>47</v>
      </c>
      <c r="C44" s="8" t="s">
        <v>731</v>
      </c>
      <c r="D44" s="8" t="s">
        <v>1406</v>
      </c>
      <c r="E44" s="8" t="s">
        <v>2074</v>
      </c>
      <c r="F44" s="8" t="s">
        <v>2087</v>
      </c>
      <c r="G44" s="8" t="s">
        <v>2088</v>
      </c>
      <c r="H44" s="8" t="str">
        <f ca="1">IFERROR(__xludf.DUMMYFUNCTION("VLOOKUP(G44, IMPORTRANGE(""https://docs.google.com/spreadsheets/d/14deopnvwcrKtEGCKuYXdUHJbeLDZlkiSSWWT0g7x2pM/edit#gid=849066331"", ""LU List Science (Filter)!A:B""), 2, FALSE)"),"Red Data Book and its various species classification system")</f>
        <v>Red Data Book and its various species classification system</v>
      </c>
      <c r="I44" s="10" t="str">
        <f t="shared" si="0"/>
        <v>LU005604.001</v>
      </c>
      <c r="J44" s="10" t="str">
        <f ca="1">IFERROR(__xludf.DUMMYFUNCTION("VLOOKUP(I44, IMPORTRANGE(""https://docs.google.com/spreadsheets/d/1yDAaXNsi4Mr5FtRQL4tbmSdIzhx6_m4wkOD7IG-k_eo/edit#gid=1336395716"", ""Science!M:N""), 2, FALSE)"),"Students will list the categories of species as classified in the Red Data Book.")</f>
        <v>Students will list the categories of species as classified in the Red Data Book.</v>
      </c>
      <c r="K44" s="10" t="str">
        <f t="shared" si="6"/>
        <v>LU005604.002</v>
      </c>
      <c r="L44" s="10" t="str">
        <f ca="1">IFERROR(__xludf.DUMMYFUNCTION("VLOOKUP(K44, IMPORTRANGE(""https://docs.google.com/spreadsheets/d/1yDAaXNsi4Mr5FtRQL4tbmSdIzhx6_m4wkOD7IG-k_eo/edit#gid=1336395716"", ""Science!M:N""), 2, FALSE)"),"Students will describe the purpose of the Red Data Book and the criteria for classifying species within its system.")</f>
        <v>Students will describe the purpose of the Red Data Book and the criteria for classifying species within its system.</v>
      </c>
      <c r="M44" s="10" t="str">
        <f t="shared" si="2"/>
        <v>LU005604.003</v>
      </c>
      <c r="N44" s="10" t="str">
        <f ca="1">IFERROR(__xludf.DUMMYFUNCTION("VLOOKUP(M44, IMPORTRANGE(""https://docs.google.com/spreadsheets/d/1yDAaXNsi4Mr5FtRQL4tbmSdIzhx6_m4wkOD7IG-k_eo/edit#gid=1336395716"", ""Science!M:N""), 2, FALSE)"),"Students will apply the classification system of the Red Data Book to categorize given examples of species.")</f>
        <v>Students will apply the classification system of the Red Data Book to categorize given examples of species.</v>
      </c>
      <c r="O44" s="10" t="str">
        <f t="shared" si="3"/>
        <v>LU005604.004</v>
      </c>
      <c r="P44" s="10" t="str">
        <f ca="1">IFERROR(__xludf.DUMMYFUNCTION("VLOOKUP(O44, IMPORTRANGE(""https://docs.google.com/spreadsheets/d/1yDAaXNsi4Mr5FtRQL4tbmSdIzhx6_m4wkOD7IG-k_eo/edit#gid=1336395716"", ""Science!M:N""), 2, FALSE)"),"Students will analyze the implications of a species being classified in a particular category of the Red Data Book.")</f>
        <v>Students will analyze the implications of a species being classified in a particular category of the Red Data Book.</v>
      </c>
      <c r="Q44" s="10" t="str">
        <f t="shared" si="4"/>
        <v>LU005604.005</v>
      </c>
      <c r="R44" s="10" t="str">
        <f ca="1">IFERROR(__xludf.DUMMYFUNCTION("VLOOKUP(Q44, IMPORTRANGE(""https://docs.google.com/spreadsheets/d/1yDAaXNsi4Mr5FtRQL4tbmSdIzhx6_m4wkOD7IG-k_eo/edit#gid=1336395716"", ""Science!M:N""), 2, FALSE)"),"Students will assess the impact of conservation efforts on the status of species listed in the Red Data Book.")</f>
        <v>Students will assess the impact of conservation efforts on the status of species listed in the Red Data Book.</v>
      </c>
      <c r="S44" s="10" t="str">
        <f t="shared" si="5"/>
        <v>LU005604.006</v>
      </c>
      <c r="T44" s="10" t="str">
        <f ca="1">IFERROR(__xludf.DUMMYFUNCTION("VLOOKUP(S44, IMPORTRANGE(""https://docs.google.com/spreadsheets/d/1yDAaXNsi4Mr5FtRQL4tbmSdIzhx6_m4wkOD7IG-k_eo/edit#gid=1336395716"", ""Science!M:N""), 2, FALSE)"),"#N/A")</f>
        <v>#N/A</v>
      </c>
      <c r="U44" s="116">
        <f ca="1">IFERROR(__xludf.DUMMYFUNCTION("ArrayFormula(VLOOKUP(G44, IMPORTRANGE(""https://docs.google.com/spreadsheets/d/1p7R4vtkWt5VOBim4ltsDG9KTzSjrtKXsMtQGXPHyND0/edit#gid=795171502"", ""'Filter 30_05_2024'!A1:M2000""), {2, 3, 4, 5,6,7,8,9,10,11,12,13}, 0))"),4)</f>
        <v>4</v>
      </c>
      <c r="V44" s="116">
        <f ca="1">IFERROR(__xludf.DUMMYFUNCTION("""COMPUTED_VALUE"""),6)</f>
        <v>6</v>
      </c>
      <c r="W44" s="116">
        <f ca="1">IFERROR(__xludf.DUMMYFUNCTION("""COMPUTED_VALUE"""),2)</f>
        <v>2</v>
      </c>
      <c r="X44" s="116">
        <f ca="1">IFERROR(__xludf.DUMMYFUNCTION("""COMPUTED_VALUE"""),12)</f>
        <v>12</v>
      </c>
      <c r="Y44" s="116">
        <f ca="1">IFERROR(__xludf.DUMMYFUNCTION("""COMPUTED_VALUE"""),4)</f>
        <v>4</v>
      </c>
      <c r="Z44" s="12">
        <f ca="1">IFERROR(__xludf.DUMMYFUNCTION("""COMPUTED_VALUE"""),3)</f>
        <v>3</v>
      </c>
      <c r="AA44" s="12">
        <f ca="1">IFERROR(__xludf.DUMMYFUNCTION("""COMPUTED_VALUE"""),1)</f>
        <v>1</v>
      </c>
      <c r="AB44" s="12">
        <f ca="1">IFERROR(__xludf.DUMMYFUNCTION("""COMPUTED_VALUE"""),8)</f>
        <v>8</v>
      </c>
      <c r="AC44" s="12"/>
      <c r="AD44" s="12"/>
      <c r="AE44" s="12"/>
      <c r="AF44" s="12"/>
      <c r="AG44" s="13" t="str">
        <f ca="1">IFERROR(__xludf.DUMMYFUNCTION("ArrayFormula(VLOOKUP(G44, IMPORTRANGE(""https://docs.google.com/spreadsheets/d/1Co934fvtviyaRiMsrIlT05Jaq7iiYq07aLvRr35KA48/edit?gid=173865642#gid=173865642"", ""'G8_Sci_Pri_LU'!G2:V2000""), {3, 4, 5, 6, 7, 8, 9, 10, 11, 12, 13, 14, 15, 16}, 0))"),"LU005052")</f>
        <v>LU005052</v>
      </c>
      <c r="AH44" s="13" t="str">
        <f ca="1">IFERROR(__xludf.DUMMYFUNCTION("""COMPUTED_VALUE"""),"Definition of Endangered and Extinct Animals")</f>
        <v>Definition of Endangered and Extinct Animals</v>
      </c>
      <c r="AI44" s="13" t="str">
        <f ca="1">IFERROR(__xludf.DUMMYFUNCTION("""COMPUTED_VALUE"""),"LU005599")</f>
        <v>LU005599</v>
      </c>
      <c r="AJ44" s="13" t="str">
        <f ca="1">IFERROR(__xludf.DUMMYFUNCTION("""COMPUTED_VALUE"""),"Definition of flora, fauna, and species.")</f>
        <v>Definition of flora, fauna, and species.</v>
      </c>
      <c r="AK44" s="13" t="str">
        <f ca="1">IFERROR(__xludf.DUMMYFUNCTION("""COMPUTED_VALUE"""),"LU005598")</f>
        <v>LU005598</v>
      </c>
      <c r="AL44" s="13" t="str">
        <f ca="1">IFERROR(__xludf.DUMMYFUNCTION("""COMPUTED_VALUE"""),"Definition of conservation, biosphere, protected areas, etc.")</f>
        <v>Definition of conservation, biosphere, protected areas, etc.</v>
      </c>
      <c r="AM44" s="13"/>
      <c r="AN44" s="13"/>
      <c r="AO44" s="13"/>
      <c r="AP44" s="13"/>
      <c r="AQ44" s="13"/>
      <c r="AR44" s="13"/>
      <c r="AS44" s="13"/>
      <c r="AT44" s="13"/>
    </row>
    <row r="45" spans="1:46" ht="52.8">
      <c r="A45" s="8" t="s">
        <v>247</v>
      </c>
      <c r="B45" s="8" t="s">
        <v>47</v>
      </c>
      <c r="C45" s="8" t="s">
        <v>731</v>
      </c>
      <c r="D45" s="8" t="s">
        <v>1406</v>
      </c>
      <c r="E45" s="8" t="s">
        <v>2074</v>
      </c>
      <c r="F45" s="8" t="s">
        <v>2087</v>
      </c>
      <c r="G45" s="8" t="s">
        <v>2089</v>
      </c>
      <c r="H45" s="8" t="str">
        <f ca="1">IFERROR(__xludf.DUMMYFUNCTION("VLOOKUP(G45, IMPORTRANGE(""https://docs.google.com/spreadsheets/d/14deopnvwcrKtEGCKuYXdUHJbeLDZlkiSSWWT0g7x2pM/edit#gid=849066331"", ""LU List Science (Filter)!A:B""), 2, FALSE)"),"Migration in Animals")</f>
        <v>Migration in Animals</v>
      </c>
      <c r="I45" s="10" t="str">
        <f t="shared" si="0"/>
        <v>LU005606.001</v>
      </c>
      <c r="J45" s="10" t="str">
        <f ca="1">IFERROR(__xludf.DUMMYFUNCTION("VLOOKUP(I45, IMPORTRANGE(""https://docs.google.com/spreadsheets/d/1yDAaXNsi4Mr5FtRQL4tbmSdIzhx6_m4wkOD7IG-k_eo/edit#gid=1336395716"", ""Science!M:N""), 2, FALSE)"),"Students will list reasons why animals migrate.")</f>
        <v>Students will list reasons why animals migrate.</v>
      </c>
      <c r="K45" s="10" t="str">
        <f t="shared" si="6"/>
        <v>LU005606.002</v>
      </c>
      <c r="L45" s="10" t="str">
        <f ca="1">IFERROR(__xludf.DUMMYFUNCTION("VLOOKUP(K45, IMPORTRANGE(""https://docs.google.com/spreadsheets/d/1yDAaXNsi4Mr5FtRQL4tbmSdIzhx6_m4wkOD7IG-k_eo/edit#gid=1336395716"", ""Science!M:N""), 2, FALSE)"),"Students will describe the migration patterns of specific animals.")</f>
        <v>Students will describe the migration patterns of specific animals.</v>
      </c>
      <c r="M45" s="10" t="str">
        <f t="shared" si="2"/>
        <v>LU005606.003</v>
      </c>
      <c r="N45" s="10" t="str">
        <f ca="1">IFERROR(__xludf.DUMMYFUNCTION("VLOOKUP(M45, IMPORTRANGE(""https://docs.google.com/spreadsheets/d/1yDAaXNsi4Mr5FtRQL4tbmSdIzhx6_m4wkOD7IG-k_eo/edit#gid=1336395716"", ""Science!M:N""), 2, FALSE)"),"Students will apply knowledge of migration to explain the seasonal behaviors of local migratory species.")</f>
        <v>Students will apply knowledge of migration to explain the seasonal behaviors of local migratory species.</v>
      </c>
      <c r="O45" s="10" t="str">
        <f t="shared" si="3"/>
        <v>LU005606.004</v>
      </c>
      <c r="P45" s="10" t="str">
        <f ca="1">IFERROR(__xludf.DUMMYFUNCTION("VLOOKUP(O45, IMPORTRANGE(""https://docs.google.com/spreadsheets/d/1yDAaXNsi4Mr5FtRQL4tbmSdIzhx6_m4wkOD7IG-k_eo/edit#gid=1336395716"", ""Science!M:N""), 2, FALSE)"),"Students will compare the migration strategies of different animals.")</f>
        <v>Students will compare the migration strategies of different animals.</v>
      </c>
      <c r="Q45" s="10" t="str">
        <f t="shared" si="4"/>
        <v>LU005606.005</v>
      </c>
      <c r="R45" s="10" t="str">
        <f ca="1">IFERROR(__xludf.DUMMYFUNCTION("VLOOKUP(Q45, IMPORTRANGE(""https://docs.google.com/spreadsheets/d/1yDAaXNsi4Mr5FtRQL4tbmSdIzhx6_m4wkOD7IG-k_eo/edit#gid=1336395716"", ""Science!M:N""), 2, FALSE)"),"Students will evaluate the impact of environmental changes on animal migration patterns.")</f>
        <v>Students will evaluate the impact of environmental changes on animal migration patterns.</v>
      </c>
      <c r="S45" s="10" t="str">
        <f t="shared" si="5"/>
        <v>LU005606.006</v>
      </c>
      <c r="T45" s="10" t="str">
        <f ca="1">IFERROR(__xludf.DUMMYFUNCTION("VLOOKUP(S45, IMPORTRANGE(""https://docs.google.com/spreadsheets/d/1yDAaXNsi4Mr5FtRQL4tbmSdIzhx6_m4wkOD7IG-k_eo/edit#gid=1336395716"", ""Science!M:N""), 2, FALSE)"),"Students will design a research project or presentation that explores the migration of a particular species, incorporating maps and data on migration routes and timings.")</f>
        <v>Students will design a research project or presentation that explores the migration of a particular species, incorporating maps and data on migration routes and timings.</v>
      </c>
      <c r="U45" s="116">
        <f ca="1">IFERROR(__xludf.DUMMYFUNCTION("ArrayFormula(VLOOKUP(G45, IMPORTRANGE(""https://docs.google.com/spreadsheets/d/1p7R4vtkWt5VOBim4ltsDG9KTzSjrtKXsMtQGXPHyND0/edit#gid=795171502"", ""'Filter 30_05_2024'!A1:M2000""), {2, 3, 4, 5,6,7,8,9,10,11,12,13}, 0))"),4)</f>
        <v>4</v>
      </c>
      <c r="V45" s="116">
        <f ca="1">IFERROR(__xludf.DUMMYFUNCTION("""COMPUTED_VALUE"""),6)</f>
        <v>6</v>
      </c>
      <c r="W45" s="116">
        <f ca="1">IFERROR(__xludf.DUMMYFUNCTION("""COMPUTED_VALUE"""),2)</f>
        <v>2</v>
      </c>
      <c r="X45" s="116">
        <f ca="1">IFERROR(__xludf.DUMMYFUNCTION("""COMPUTED_VALUE"""),12)</f>
        <v>12</v>
      </c>
      <c r="Y45" s="116">
        <f ca="1">IFERROR(__xludf.DUMMYFUNCTION("""COMPUTED_VALUE"""),4)</f>
        <v>4</v>
      </c>
      <c r="Z45" s="12">
        <f ca="1">IFERROR(__xludf.DUMMYFUNCTION("""COMPUTED_VALUE"""),3)</f>
        <v>3</v>
      </c>
      <c r="AA45" s="12">
        <f ca="1">IFERROR(__xludf.DUMMYFUNCTION("""COMPUTED_VALUE"""),1)</f>
        <v>1</v>
      </c>
      <c r="AB45" s="12">
        <f ca="1">IFERROR(__xludf.DUMMYFUNCTION("""COMPUTED_VALUE"""),8)</f>
        <v>8</v>
      </c>
      <c r="AC45" s="12"/>
      <c r="AD45" s="12"/>
      <c r="AE45" s="12"/>
      <c r="AF45" s="12"/>
      <c r="AG45" s="13" t="str">
        <f ca="1">IFERROR(__xludf.DUMMYFUNCTION("ArrayFormula(VLOOKUP(G45, IMPORTRANGE(""https://docs.google.com/spreadsheets/d/1Co934fvtviyaRiMsrIlT05Jaq7iiYq07aLvRr35KA48/edit?gid=173865642#gid=173865642"", ""'G8_Sci_Pri_LU'!G2:V2000""), {3, 4, 5, 6, 7, 8, 9, 10, 11, 12, 13, 14, 15, 16}, 0))"),"LU005258")</f>
        <v>LU005258</v>
      </c>
      <c r="AH45" s="13" t="str">
        <f ca="1">IFERROR(__xludf.DUMMYFUNCTION("""COMPUTED_VALUE"""),"Definition of habitats and adaptations.")</f>
        <v>Definition of habitats and adaptations.</v>
      </c>
      <c r="AI45" s="13"/>
      <c r="AJ45" s="13"/>
      <c r="AK45" s="13"/>
      <c r="AL45" s="13"/>
      <c r="AM45" s="13"/>
      <c r="AN45" s="13"/>
      <c r="AO45" s="13"/>
      <c r="AP45" s="13"/>
      <c r="AQ45" s="13"/>
      <c r="AR45" s="13"/>
      <c r="AS45" s="13"/>
      <c r="AT45" s="13"/>
    </row>
    <row r="46" spans="1:46" ht="39.6">
      <c r="A46" s="8" t="s">
        <v>247</v>
      </c>
      <c r="B46" s="8" t="s">
        <v>47</v>
      </c>
      <c r="C46" s="8" t="s">
        <v>731</v>
      </c>
      <c r="D46" s="8" t="s">
        <v>1406</v>
      </c>
      <c r="E46" s="8" t="s">
        <v>2074</v>
      </c>
      <c r="F46" s="8" t="s">
        <v>2090</v>
      </c>
      <c r="G46" s="8" t="s">
        <v>2091</v>
      </c>
      <c r="H46" s="8" t="str">
        <f ca="1">IFERROR(__xludf.DUMMYFUNCTION("VLOOKUP(G46, IMPORTRANGE(""https://docs.google.com/spreadsheets/d/14deopnvwcrKtEGCKuYXdUHJbeLDZlkiSSWWT0g7x2pM/edit#gid=849066331"", ""LU List Science (Filter)!A:B""), 2, FALSE)"),"Reasons for Recycling of Paper")</f>
        <v>Reasons for Recycling of Paper</v>
      </c>
      <c r="I46" s="10" t="str">
        <f t="shared" si="0"/>
        <v>LU005608.001</v>
      </c>
      <c r="J46" s="10" t="str">
        <f ca="1">IFERROR(__xludf.DUMMYFUNCTION("VLOOKUP(I46, IMPORTRANGE(""https://docs.google.com/spreadsheets/d/1yDAaXNsi4Mr5FtRQL4tbmSdIzhx6_m4wkOD7IG-k_eo/edit#gid=1336395716"", ""Science!M:N""), 2, FALSE)"),"Students will list the environmental and economic reasons for recycling paper.")</f>
        <v>Students will list the environmental and economic reasons for recycling paper.</v>
      </c>
      <c r="K46" s="10" t="str">
        <f t="shared" si="6"/>
        <v>LU005608.002</v>
      </c>
      <c r="L46" s="10" t="str">
        <f ca="1">IFERROR(__xludf.DUMMYFUNCTION("VLOOKUP(K46, IMPORTRANGE(""https://docs.google.com/spreadsheets/d/1yDAaXNsi4Mr5FtRQL4tbmSdIzhx6_m4wkOD7IG-k_eo/edit#gid=1336395716"", ""Science!M:N""), 2, FALSE)"),"Students will describe the process and benefits of recycling paper.")</f>
        <v>Students will describe the process and benefits of recycling paper.</v>
      </c>
      <c r="M46" s="10" t="str">
        <f t="shared" si="2"/>
        <v>LU005608.003</v>
      </c>
      <c r="N46" s="10" t="str">
        <f ca="1">IFERROR(__xludf.DUMMYFUNCTION("VLOOKUP(M46, IMPORTRANGE(""https://docs.google.com/spreadsheets/d/1yDAaXNsi4Mr5FtRQL4tbmSdIzhx6_m4wkOD7IG-k_eo/edit#gid=1336395716"", ""Science!M:N""), 2, FALSE)"),"Students will apply the principles of paper recycling in a class project to create recycled paper.")</f>
        <v>Students will apply the principles of paper recycling in a class project to create recycled paper.</v>
      </c>
      <c r="O46" s="10" t="str">
        <f t="shared" si="3"/>
        <v>LU005608.004</v>
      </c>
      <c r="P46" s="10" t="str">
        <f ca="1">IFERROR(__xludf.DUMMYFUNCTION("VLOOKUP(O46, IMPORTRANGE(""https://docs.google.com/spreadsheets/d/1yDAaXNsi4Mr5FtRQL4tbmSdIzhx6_m4wkOD7IG-k_eo/edit#gid=1336395716"", ""Science!M:N""), 2, FALSE)"),"Students will compare the energy consumption and raw material use in new paper production versus recycling paper.")</f>
        <v>Students will compare the energy consumption and raw material use in new paper production versus recycling paper.</v>
      </c>
      <c r="Q46" s="10" t="str">
        <f t="shared" si="4"/>
        <v>LU005608.005</v>
      </c>
      <c r="R46" s="10" t="str">
        <f ca="1">IFERROR(__xludf.DUMMYFUNCTION("VLOOKUP(Q46, IMPORTRANGE(""https://docs.google.com/spreadsheets/d/1yDAaXNsi4Mr5FtRQL4tbmSdIzhx6_m4wkOD7IG-k_eo/edit#gid=1336395716"", ""Science!M:N""), 2, FALSE)"),"Students will argue for or against the statement: ""Recycling paper is a key component in conserving our forests.""")</f>
        <v>Students will argue for or against the statement: "Recycling paper is a key component in conserving our forests."</v>
      </c>
      <c r="S46" s="10" t="str">
        <f t="shared" si="5"/>
        <v>LU005608.006</v>
      </c>
      <c r="T46" s="10" t="str">
        <f ca="1">IFERROR(__xludf.DUMMYFUNCTION("VLOOKUP(S46, IMPORTRANGE(""https://docs.google.com/spreadsheets/d/1yDAaXNsi4Mr5FtRQL4tbmSdIzhx6_m4wkOD7IG-k_eo/edit#gid=1336395716"", ""Science!M:N""), 2, FALSE)"),"#N/A")</f>
        <v>#N/A</v>
      </c>
      <c r="U46" s="116">
        <f ca="1">IFERROR(__xludf.DUMMYFUNCTION("ArrayFormula(VLOOKUP(G46, IMPORTRANGE(""https://docs.google.com/spreadsheets/d/1p7R4vtkWt5VOBim4ltsDG9KTzSjrtKXsMtQGXPHyND0/edit#gid=795171502"", ""'Filter 30_05_2024'!A1:M2000""), {2, 3, 4, 5,6,7,8,9,10,11,12,13}, 0))"),4)</f>
        <v>4</v>
      </c>
      <c r="V46" s="116">
        <f ca="1">IFERROR(__xludf.DUMMYFUNCTION("""COMPUTED_VALUE"""),6)</f>
        <v>6</v>
      </c>
      <c r="W46" s="116">
        <f ca="1">IFERROR(__xludf.DUMMYFUNCTION("""COMPUTED_VALUE"""),2)</f>
        <v>2</v>
      </c>
      <c r="X46" s="116">
        <f ca="1">IFERROR(__xludf.DUMMYFUNCTION("""COMPUTED_VALUE"""),12)</f>
        <v>12</v>
      </c>
      <c r="Y46" s="116">
        <f ca="1">IFERROR(__xludf.DUMMYFUNCTION("""COMPUTED_VALUE"""),4)</f>
        <v>4</v>
      </c>
      <c r="Z46" s="12">
        <f ca="1">IFERROR(__xludf.DUMMYFUNCTION("""COMPUTED_VALUE"""),3)</f>
        <v>3</v>
      </c>
      <c r="AA46" s="12">
        <f ca="1">IFERROR(__xludf.DUMMYFUNCTION("""COMPUTED_VALUE"""),1)</f>
        <v>1</v>
      </c>
      <c r="AB46" s="12">
        <f ca="1">IFERROR(__xludf.DUMMYFUNCTION("""COMPUTED_VALUE"""),8)</f>
        <v>8</v>
      </c>
      <c r="AC46" s="12"/>
      <c r="AD46" s="12"/>
      <c r="AE46" s="12"/>
      <c r="AF46" s="12"/>
      <c r="AG46" s="13" t="str">
        <f ca="1">IFERROR(__xludf.DUMMYFUNCTION("ArrayFormula(VLOOKUP(G46, IMPORTRANGE(""https://docs.google.com/spreadsheets/d/1Co934fvtviyaRiMsrIlT05Jaq7iiYq07aLvRr35KA48/edit?gid=173865642#gid=173865642"", ""'G8_Sci_Pri_LU'!G2:V2000""), {3, 4, 5, 6, 7, 8, 9, 10, 11, 12, 13, 14, 15, 16}, 0))"),"LU005324")</f>
        <v>LU005324</v>
      </c>
      <c r="AH46" s="13" t="str">
        <f ca="1">IFERROR(__xludf.DUMMYFUNCTION("""COMPUTED_VALUE"""),"Definition of deforestation and its consequences")</f>
        <v>Definition of deforestation and its consequences</v>
      </c>
      <c r="AI46" s="13"/>
      <c r="AJ46" s="13"/>
      <c r="AK46" s="13"/>
      <c r="AL46" s="13"/>
      <c r="AM46" s="13"/>
      <c r="AN46" s="13"/>
      <c r="AO46" s="13"/>
      <c r="AP46" s="13"/>
      <c r="AQ46" s="13"/>
      <c r="AR46" s="13"/>
      <c r="AS46" s="13"/>
      <c r="AT46" s="13"/>
    </row>
    <row r="47" spans="1:46" ht="39.6">
      <c r="A47" s="8" t="s">
        <v>247</v>
      </c>
      <c r="B47" s="8" t="s">
        <v>47</v>
      </c>
      <c r="C47" s="8" t="s">
        <v>731</v>
      </c>
      <c r="D47" s="8" t="s">
        <v>1406</v>
      </c>
      <c r="E47" s="8" t="s">
        <v>2074</v>
      </c>
      <c r="F47" s="8" t="s">
        <v>2090</v>
      </c>
      <c r="G47" s="8" t="s">
        <v>2092</v>
      </c>
      <c r="H47" s="8" t="str">
        <f ca="1">IFERROR(__xludf.DUMMYFUNCTION("VLOOKUP(G47, IMPORTRANGE(""https://docs.google.com/spreadsheets/d/14deopnvwcrKtEGCKuYXdUHJbeLDZlkiSSWWT0g7x2pM/edit#gid=849066331"", ""LU List Science (Filter)!A:B""), 2, FALSE)"),"Definition of Reforestation and its advantages")</f>
        <v>Definition of Reforestation and its advantages</v>
      </c>
      <c r="I47" s="10" t="str">
        <f t="shared" si="0"/>
        <v>LU005607.001</v>
      </c>
      <c r="J47" s="10" t="str">
        <f ca="1">IFERROR(__xludf.DUMMYFUNCTION("VLOOKUP(I47, IMPORTRANGE(""https://docs.google.com/spreadsheets/d/1yDAaXNsi4Mr5FtRQL4tbmSdIzhx6_m4wkOD7IG-k_eo/edit#gid=1336395716"", ""Science!M:N""), 2, FALSE)"),"Students will state the definition of reforestation.")</f>
        <v>Students will state the definition of reforestation.</v>
      </c>
      <c r="K47" s="10" t="str">
        <f t="shared" si="6"/>
        <v>LU005607.002</v>
      </c>
      <c r="L47" s="10" t="str">
        <f ca="1">IFERROR(__xludf.DUMMYFUNCTION("VLOOKUP(K47, IMPORTRANGE(""https://docs.google.com/spreadsheets/d/1yDAaXNsi4Mr5FtRQL4tbmSdIzhx6_m4wkOD7IG-k_eo/edit#gid=1336395716"", ""Science!M:N""), 2, FALSE)"),"Students will explain the purpose and importance of reforestation.")</f>
        <v>Students will explain the purpose and importance of reforestation.</v>
      </c>
      <c r="M47" s="10" t="str">
        <f t="shared" si="2"/>
        <v>LU005607.003</v>
      </c>
      <c r="N47" s="10" t="str">
        <f ca="1">IFERROR(__xludf.DUMMYFUNCTION("VLOOKUP(M47, IMPORTRANGE(""https://docs.google.com/spreadsheets/d/1yDAaXNsi4Mr5FtRQL4tbmSdIzhx6_m4wkOD7IG-k_eo/edit#gid=1336395716"", ""Science!M:N""), 2, FALSE)"),"Students will demonstrate the process of reforestation through a series of steps in a given scenario.")</f>
        <v>Students will demonstrate the process of reforestation through a series of steps in a given scenario.</v>
      </c>
      <c r="O47" s="10" t="str">
        <f t="shared" si="3"/>
        <v>LU005607.004</v>
      </c>
      <c r="P47" s="10" t="str">
        <f ca="1">IFERROR(__xludf.DUMMYFUNCTION("VLOOKUP(O47, IMPORTRANGE(""https://docs.google.com/spreadsheets/d/1yDAaXNsi4Mr5FtRQL4tbmSdIzhx6_m4wkOD7IG-k_eo/edit#gid=1336395716"", ""Science!M:N""), 2, FALSE)"),"Students will analyze the impact of reforestation on biodiversity and local climate.")</f>
        <v>Students will analyze the impact of reforestation on biodiversity and local climate.</v>
      </c>
      <c r="Q47" s="10" t="str">
        <f t="shared" si="4"/>
        <v>LU005607.005</v>
      </c>
      <c r="R47" s="10" t="str">
        <f ca="1">IFERROR(__xludf.DUMMYFUNCTION("VLOOKUP(Q47, IMPORTRANGE(""https://docs.google.com/spreadsheets/d/1yDAaXNsi4Mr5FtRQL4tbmSdIzhx6_m4wkOD7IG-k_eo/edit#gid=1336395716"", ""Science!M:N""), 2, FALSE)"),"Students will assess the effectiveness of different reforestation methods.")</f>
        <v>Students will assess the effectiveness of different reforestation methods.</v>
      </c>
      <c r="S47" s="10" t="str">
        <f t="shared" si="5"/>
        <v>LU005607.006</v>
      </c>
      <c r="T47" s="10" t="str">
        <f ca="1">IFERROR(__xludf.DUMMYFUNCTION("VLOOKUP(S47, IMPORTRANGE(""https://docs.google.com/spreadsheets/d/1yDAaXNsi4Mr5FtRQL4tbmSdIzhx6_m4wkOD7IG-k_eo/edit#gid=1336395716"", ""Science!M:N""), 2, FALSE)"),"#N/A")</f>
        <v>#N/A</v>
      </c>
      <c r="U47" s="116">
        <f ca="1">IFERROR(__xludf.DUMMYFUNCTION("ArrayFormula(VLOOKUP(G47, IMPORTRANGE(""https://docs.google.com/spreadsheets/d/1p7R4vtkWt5VOBim4ltsDG9KTzSjrtKXsMtQGXPHyND0/edit#gid=795171502"", ""'Filter 30_05_2024'!A1:M2000""), {2, 3, 4, 5,6,7,8,9,10,11,12,13}, 0))"),4)</f>
        <v>4</v>
      </c>
      <c r="V47" s="116">
        <f ca="1">IFERROR(__xludf.DUMMYFUNCTION("""COMPUTED_VALUE"""),6)</f>
        <v>6</v>
      </c>
      <c r="W47" s="116">
        <f ca="1">IFERROR(__xludf.DUMMYFUNCTION("""COMPUTED_VALUE"""),2)</f>
        <v>2</v>
      </c>
      <c r="X47" s="116">
        <f ca="1">IFERROR(__xludf.DUMMYFUNCTION("""COMPUTED_VALUE"""),12)</f>
        <v>12</v>
      </c>
      <c r="Y47" s="116">
        <f ca="1">IFERROR(__xludf.DUMMYFUNCTION("""COMPUTED_VALUE"""),4)</f>
        <v>4</v>
      </c>
      <c r="Z47" s="12">
        <f ca="1">IFERROR(__xludf.DUMMYFUNCTION("""COMPUTED_VALUE"""),3)</f>
        <v>3</v>
      </c>
      <c r="AA47" s="12">
        <f ca="1">IFERROR(__xludf.DUMMYFUNCTION("""COMPUTED_VALUE"""),1)</f>
        <v>1</v>
      </c>
      <c r="AB47" s="12">
        <f ca="1">IFERROR(__xludf.DUMMYFUNCTION("""COMPUTED_VALUE"""),8)</f>
        <v>8</v>
      </c>
      <c r="AC47" s="12"/>
      <c r="AD47" s="12"/>
      <c r="AE47" s="12"/>
      <c r="AF47" s="12"/>
      <c r="AG47" s="13" t="str">
        <f ca="1">IFERROR(__xludf.DUMMYFUNCTION("ArrayFormula(VLOOKUP(G47, IMPORTRANGE(""https://docs.google.com/spreadsheets/d/1Co934fvtviyaRiMsrIlT05Jaq7iiYq07aLvRr35KA48/edit?gid=173865642#gid=173865642"", ""'G8_Sci_Pri_LU'!G2:V2000""), {3, 4, 5, 6, 7, 8, 9, 10, 11, 12, 13, 14, 15, 16}, 0))"),"LU005324")</f>
        <v>LU005324</v>
      </c>
      <c r="AH47" s="13" t="str">
        <f ca="1">IFERROR(__xludf.DUMMYFUNCTION("""COMPUTED_VALUE"""),"Definition of deforestation and its consequences")</f>
        <v>Definition of deforestation and its consequences</v>
      </c>
      <c r="AI47" s="13" t="str">
        <f ca="1">IFERROR(__xludf.DUMMYFUNCTION("""COMPUTED_VALUE"""),"LU005029")</f>
        <v>LU005029</v>
      </c>
      <c r="AJ47" s="13" t="str">
        <f ca="1">IFERROR(__xludf.DUMMYFUNCTION("""COMPUTED_VALUE"""),"Right to Forest Act, 2007")</f>
        <v>Right to Forest Act, 2007</v>
      </c>
      <c r="AK47" s="13" t="str">
        <f ca="1">IFERROR(__xludf.DUMMYFUNCTION("""COMPUTED_VALUE"""),"LU005024")</f>
        <v>LU005024</v>
      </c>
      <c r="AL47" s="13" t="str">
        <f ca="1">IFERROR(__xludf.DUMMYFUNCTION("""COMPUTED_VALUE"""),"Importance of Forests for Sustaining Lives")</f>
        <v>Importance of Forests for Sustaining Lives</v>
      </c>
      <c r="AM47" s="13"/>
      <c r="AN47" s="13"/>
      <c r="AO47" s="13"/>
      <c r="AP47" s="13"/>
      <c r="AQ47" s="13"/>
      <c r="AR47" s="13"/>
      <c r="AS47" s="13"/>
      <c r="AT47" s="13"/>
    </row>
    <row r="48" spans="1:46" ht="52.8">
      <c r="A48" s="8" t="s">
        <v>247</v>
      </c>
      <c r="B48" s="8" t="s">
        <v>47</v>
      </c>
      <c r="C48" s="8" t="s">
        <v>731</v>
      </c>
      <c r="D48" s="8" t="s">
        <v>1406</v>
      </c>
      <c r="E48" s="8" t="s">
        <v>2093</v>
      </c>
      <c r="F48" s="8" t="s">
        <v>2094</v>
      </c>
      <c r="G48" s="8" t="s">
        <v>2095</v>
      </c>
      <c r="H48" s="8" t="str">
        <f ca="1">IFERROR(__xludf.DUMMYFUNCTION("VLOOKUP(G48, IMPORTRANGE(""https://docs.google.com/spreadsheets/d/14deopnvwcrKtEGCKuYXdUHJbeLDZlkiSSWWT0g7x2pM/edit#gid=849066331"", ""LU List Science (Filter)!A:B""), 2, FALSE)"),"Reproduction in organisms(types and significance)")</f>
        <v>Reproduction in organisms(types and significance)</v>
      </c>
      <c r="I48" s="10" t="str">
        <f t="shared" si="0"/>
        <v>LU005911.001</v>
      </c>
      <c r="J48" s="10" t="str">
        <f ca="1">IFERROR(__xludf.DUMMYFUNCTION("VLOOKUP(I48, IMPORTRANGE(""https://docs.google.com/spreadsheets/d/1yDAaXNsi4Mr5FtRQL4tbmSdIzhx6_m4wkOD7IG-k_eo/edit#gid=1336395716"", ""Science!M:N""), 2, FALSE)"),"Identify and list the different types of reproduction in organisms.")</f>
        <v>Identify and list the different types of reproduction in organisms.</v>
      </c>
      <c r="K48" s="10" t="str">
        <f t="shared" si="6"/>
        <v>LU005911.002</v>
      </c>
      <c r="L48" s="10" t="str">
        <f ca="1">IFERROR(__xludf.DUMMYFUNCTION("VLOOKUP(K48, IMPORTRANGE(""https://docs.google.com/spreadsheets/d/1yDAaXNsi4Mr5FtRQL4tbmSdIzhx6_m4wkOD7IG-k_eo/edit#gid=1336395716"", ""Science!M:N""), 2, FALSE)"),"Explain the basic process and significance of sexual and asexual reproduction in organisms.")</f>
        <v>Explain the basic process and significance of sexual and asexual reproduction in organisms.</v>
      </c>
      <c r="M48" s="10" t="str">
        <f t="shared" si="2"/>
        <v>LU005911.003</v>
      </c>
      <c r="N48" s="10" t="str">
        <f ca="1">IFERROR(__xludf.DUMMYFUNCTION("VLOOKUP(M48, IMPORTRANGE(""https://docs.google.com/spreadsheets/d/1yDAaXNsi4Mr5FtRQL4tbmSdIzhx6_m4wkOD7IG-k_eo/edit#gid=1336395716"", ""Science!M:N""), 2, FALSE)"),"Demonstrate understanding by comparing and contrasting sexual and asexual reproduction in different species.")</f>
        <v>Demonstrate understanding by comparing and contrasting sexual and asexual reproduction in different species.</v>
      </c>
      <c r="O48" s="10" t="str">
        <f t="shared" si="3"/>
        <v>LU005911.004</v>
      </c>
      <c r="P48" s="10" t="str">
        <f ca="1">IFERROR(__xludf.DUMMYFUNCTION("VLOOKUP(O48, IMPORTRANGE(""https://docs.google.com/spreadsheets/d/1yDAaXNsi4Mr5FtRQL4tbmSdIzhx6_m4wkOD7IG-k_eo/edit#gid=1336395716"", ""Science!M:N""), 2, FALSE)"),"Analyze the advantages and disadvantages of sexual and asexual reproduction in terms of genetic diversity and adaptation.")</f>
        <v>Analyze the advantages and disadvantages of sexual and asexual reproduction in terms of genetic diversity and adaptation.</v>
      </c>
      <c r="Q48" s="10" t="str">
        <f t="shared" si="4"/>
        <v>LU005911.005</v>
      </c>
      <c r="R48" s="10" t="str">
        <f ca="1">IFERROR(__xludf.DUMMYFUNCTION("VLOOKUP(Q48, IMPORTRANGE(""https://docs.google.com/spreadsheets/d/1yDAaXNsi4Mr5FtRQL4tbmSdIzhx6_m4wkOD7IG-k_eo/edit#gid=1336395716"", ""Science!M:N""), 2, FALSE)"),"Evaluate the impact of environmental factors on the reproductive strategies of different organisms.")</f>
        <v>Evaluate the impact of environmental factors on the reproductive strategies of different organisms.</v>
      </c>
      <c r="S48" s="10" t="str">
        <f t="shared" si="5"/>
        <v>LU005911.006</v>
      </c>
      <c r="T48" s="10" t="str">
        <f ca="1">IFERROR(__xludf.DUMMYFUNCTION("VLOOKUP(S48, IMPORTRANGE(""https://docs.google.com/spreadsheets/d/1yDAaXNsi4Mr5FtRQL4tbmSdIzhx6_m4wkOD7IG-k_eo/edit#gid=1336395716"", ""Science!M:N""), 2, FALSE)"),"Design a hypothetical organism, choosing an appropriate reproductive strategy based on its environment and lifestyle, and justify the choice.")</f>
        <v>Design a hypothetical organism, choosing an appropriate reproductive strategy based on its environment and lifestyle, and justify the choice.</v>
      </c>
      <c r="U48" s="116">
        <f ca="1">IFERROR(__xludf.DUMMYFUNCTION("ArrayFormula(VLOOKUP(G48, IMPORTRANGE(""https://docs.google.com/spreadsheets/d/1p7R4vtkWt5VOBim4ltsDG9KTzSjrtKXsMtQGXPHyND0/edit#gid=795171502"", ""'Filter 30_05_2024'!A1:M2000""), {2, 3, 4, 5,6,7,8,9,10,11,12,13}, 0))"),4)</f>
        <v>4</v>
      </c>
      <c r="V48" s="116">
        <f ca="1">IFERROR(__xludf.DUMMYFUNCTION("""COMPUTED_VALUE"""),6)</f>
        <v>6</v>
      </c>
      <c r="W48" s="116">
        <f ca="1">IFERROR(__xludf.DUMMYFUNCTION("""COMPUTED_VALUE"""),2)</f>
        <v>2</v>
      </c>
      <c r="X48" s="116">
        <f ca="1">IFERROR(__xludf.DUMMYFUNCTION("""COMPUTED_VALUE"""),12)</f>
        <v>12</v>
      </c>
      <c r="Y48" s="116">
        <f ca="1">IFERROR(__xludf.DUMMYFUNCTION("""COMPUTED_VALUE"""),4)</f>
        <v>4</v>
      </c>
      <c r="Z48" s="12">
        <f ca="1">IFERROR(__xludf.DUMMYFUNCTION("""COMPUTED_VALUE"""),3)</f>
        <v>3</v>
      </c>
      <c r="AA48" s="12">
        <f ca="1">IFERROR(__xludf.DUMMYFUNCTION("""COMPUTED_VALUE"""),1)</f>
        <v>1</v>
      </c>
      <c r="AB48" s="12">
        <f ca="1">IFERROR(__xludf.DUMMYFUNCTION("""COMPUTED_VALUE"""),8)</f>
        <v>8</v>
      </c>
      <c r="AC48" s="12"/>
      <c r="AD48" s="12"/>
      <c r="AE48" s="12"/>
      <c r="AF48" s="12"/>
      <c r="AG48" s="13" t="str">
        <f ca="1">IFERROR(__xludf.DUMMYFUNCTION("ArrayFormula(VLOOKUP(G48, IMPORTRANGE(""https://docs.google.com/spreadsheets/d/1Co934fvtviyaRiMsrIlT05Jaq7iiYq07aLvRr35KA48/edit?gid=173865642#gid=173865642"", ""'G8_Sci_Pri_LU'!G2:V2000""), {3, 4, 5, 6, 7, 8, 9, 10, 11, 12, 13, 14, 15, 16}, 0))"),"LU006086")</f>
        <v>LU006086</v>
      </c>
      <c r="AH48" s="13" t="str">
        <f ca="1">IFERROR(__xludf.DUMMYFUNCTION("""COMPUTED_VALUE"""),"Living things reproduce, grow, and have a definite life span")</f>
        <v>Living things reproduce, grow, and have a definite life span</v>
      </c>
      <c r="AI48" s="13"/>
      <c r="AJ48" s="13"/>
      <c r="AK48" s="13"/>
      <c r="AL48" s="13"/>
      <c r="AM48" s="13"/>
      <c r="AN48" s="13"/>
      <c r="AO48" s="13"/>
      <c r="AP48" s="13"/>
      <c r="AQ48" s="13"/>
      <c r="AR48" s="13"/>
      <c r="AS48" s="13"/>
      <c r="AT48" s="13"/>
    </row>
    <row r="49" spans="1:46" ht="66">
      <c r="A49" s="8" t="s">
        <v>247</v>
      </c>
      <c r="B49" s="8" t="s">
        <v>47</v>
      </c>
      <c r="C49" s="8" t="s">
        <v>731</v>
      </c>
      <c r="D49" s="8" t="s">
        <v>1406</v>
      </c>
      <c r="E49" s="8" t="s">
        <v>2093</v>
      </c>
      <c r="F49" s="8" t="s">
        <v>2096</v>
      </c>
      <c r="G49" s="8" t="s">
        <v>2097</v>
      </c>
      <c r="H49" s="8" t="str">
        <f ca="1">IFERROR(__xludf.DUMMYFUNCTION("VLOOKUP(G49, IMPORTRANGE(""https://docs.google.com/spreadsheets/d/14deopnvwcrKtEGCKuYXdUHJbeLDZlkiSSWWT0g7x2pM/edit#gid=849066331"", ""LU List Science (Filter)!A:B""), 2, FALSE)"),"Binary fission as an asexual mode of reproduction in animals.")</f>
        <v>Binary fission as an asexual mode of reproduction in animals.</v>
      </c>
      <c r="I49" s="10" t="str">
        <f t="shared" si="0"/>
        <v>LU005966.001</v>
      </c>
      <c r="J49" s="10" t="str">
        <f ca="1">IFERROR(__xludf.DUMMYFUNCTION("VLOOKUP(I49, IMPORTRANGE(""https://docs.google.com/spreadsheets/d/1yDAaXNsi4Mr5FtRQL4tbmSdIzhx6_m4wkOD7IG-k_eo/edit#gid=1336395716"", ""Science!M:N""), 2, FALSE)"),"Define binary fission and explain its role in asexual reproduction in animals.")</f>
        <v>Define binary fission and explain its role in asexual reproduction in animals.</v>
      </c>
      <c r="K49" s="10" t="str">
        <f t="shared" si="6"/>
        <v>LU005966.002</v>
      </c>
      <c r="L49" s="10" t="str">
        <f ca="1">IFERROR(__xludf.DUMMYFUNCTION("VLOOKUP(K49, IMPORTRANGE(""https://docs.google.com/spreadsheets/d/1yDAaXNsi4Mr5FtRQL4tbmSdIzhx6_m4wkOD7IG-k_eo/edit#gid=1336395716"", ""Science!M:N""), 2, FALSE)"),"Describe the key steps of binary fission, illustrating how a single parent organism gives rise to genetically identical offspring.")</f>
        <v>Describe the key steps of binary fission, illustrating how a single parent organism gives rise to genetically identical offspring.</v>
      </c>
      <c r="M49" s="10" t="str">
        <f t="shared" si="2"/>
        <v>LU005966.003</v>
      </c>
      <c r="N49" s="10" t="str">
        <f ca="1">IFERROR(__xludf.DUMMYFUNCTION("VLOOKUP(M49, IMPORTRANGE(""https://docs.google.com/spreadsheets/d/1yDAaXNsi4Mr5FtRQL4tbmSdIzhx6_m4wkOD7IG-k_eo/edit#gid=1336395716"", ""Science!M:N""), 2, FALSE)"),"Apply knowledge of binary fission to identify examples in animals and explain its contribution to their survival and population growth.")</f>
        <v>Apply knowledge of binary fission to identify examples in animals and explain its contribution to their survival and population growth.</v>
      </c>
      <c r="O49" s="10" t="str">
        <f t="shared" si="3"/>
        <v>LU005966.004</v>
      </c>
      <c r="P49" s="10" t="str">
        <f ca="1">IFERROR(__xludf.DUMMYFUNCTION("VLOOKUP(O49, IMPORTRANGE(""https://docs.google.com/spreadsheets/d/1yDAaXNsi4Mr5FtRQL4tbmSdIzhx6_m4wkOD7IG-k_eo/edit#gid=1336395716"", ""Science!M:N""), 2, FALSE)"),"Compare binary fission with other reproductive modes, highlighting advantages and disadvantages in terms of genetic diversity, adaptation, and environmental conditions.")</f>
        <v>Compare binary fission with other reproductive modes, highlighting advantages and disadvantages in terms of genetic diversity, adaptation, and environmental conditions.</v>
      </c>
      <c r="Q49" s="10" t="str">
        <f t="shared" si="4"/>
        <v>LU005966.005</v>
      </c>
      <c r="R49" s="10" t="str">
        <f ca="1">IFERROR(__xludf.DUMMYFUNCTION("VLOOKUP(Q49, IMPORTRANGE(""https://docs.google.com/spreadsheets/d/1yDAaXNsi4Mr5FtRQL4tbmSdIzhx6_m4wkOD7IG-k_eo/edit#gid=1336395716"", ""Science!M:N""), 2, FALSE)"),"Assess the significance of binary fission in maintaining population stability, discussing potential challenges or limitations in specific ecological contexts.")</f>
        <v>Assess the significance of binary fission in maintaining population stability, discussing potential challenges or limitations in specific ecological contexts.</v>
      </c>
      <c r="S49" s="10" t="str">
        <f t="shared" si="5"/>
        <v>LU005966.006</v>
      </c>
      <c r="T49" s="10" t="str">
        <f ca="1">IFERROR(__xludf.DUMMYFUNCTION("VLOOKUP(S49, IMPORTRANGE(""https://docs.google.com/spreadsheets/d/1yDAaXNsi4Mr5FtRQL4tbmSdIzhx6_m4wkOD7IG-k_eo/edit#gid=1336395716"", ""Science!M:N""), 2, FALSE)"),"Propose hypothetical scenarios favoring binary fission over sexual reproduction in certain animal species, considering ecological pressures and reproductive strategies.")</f>
        <v>Propose hypothetical scenarios favoring binary fission over sexual reproduction in certain animal species, considering ecological pressures and reproductive strategies.</v>
      </c>
      <c r="U49" s="116">
        <f ca="1">IFERROR(__xludf.DUMMYFUNCTION("ArrayFormula(VLOOKUP(G49, IMPORTRANGE(""https://docs.google.com/spreadsheets/d/1p7R4vtkWt5VOBim4ltsDG9KTzSjrtKXsMtQGXPHyND0/edit#gid=795171502"", ""'Filter 30_05_2024'!A1:M2000""), {2, 3, 4, 5,6,7,8,9,10,11,12,13}, 0))"),4)</f>
        <v>4</v>
      </c>
      <c r="V49" s="116">
        <f ca="1">IFERROR(__xludf.DUMMYFUNCTION("""COMPUTED_VALUE"""),6)</f>
        <v>6</v>
      </c>
      <c r="W49" s="116">
        <f ca="1">IFERROR(__xludf.DUMMYFUNCTION("""COMPUTED_VALUE"""),2)</f>
        <v>2</v>
      </c>
      <c r="X49" s="116">
        <f ca="1">IFERROR(__xludf.DUMMYFUNCTION("""COMPUTED_VALUE"""),12)</f>
        <v>12</v>
      </c>
      <c r="Y49" s="116">
        <f ca="1">IFERROR(__xludf.DUMMYFUNCTION("""COMPUTED_VALUE"""),4)</f>
        <v>4</v>
      </c>
      <c r="Z49" s="12">
        <f ca="1">IFERROR(__xludf.DUMMYFUNCTION("""COMPUTED_VALUE"""),3)</f>
        <v>3</v>
      </c>
      <c r="AA49" s="12">
        <f ca="1">IFERROR(__xludf.DUMMYFUNCTION("""COMPUTED_VALUE"""),1)</f>
        <v>1</v>
      </c>
      <c r="AB49" s="12">
        <f ca="1">IFERROR(__xludf.DUMMYFUNCTION("""COMPUTED_VALUE"""),8)</f>
        <v>8</v>
      </c>
      <c r="AC49" s="12"/>
      <c r="AD49" s="12"/>
      <c r="AE49" s="12"/>
      <c r="AF49" s="12"/>
      <c r="AG49" s="13" t="str">
        <f ca="1">IFERROR(__xludf.DUMMYFUNCTION("ArrayFormula(VLOOKUP(G49, IMPORTRANGE(""https://docs.google.com/spreadsheets/d/1Co934fvtviyaRiMsrIlT05Jaq7iiYq07aLvRr35KA48/edit?gid=173865642#gid=173865642"", ""'G8_Sci_Pri_LU'!G2:V2000""), {3, 4, 5, 6, 7, 8, 9, 10, 11, 12, 13, 14, 15, 16}, 0))"),"LU005911")</f>
        <v>LU005911</v>
      </c>
      <c r="AH49" s="13" t="str">
        <f ca="1">IFERROR(__xludf.DUMMYFUNCTION("""COMPUTED_VALUE"""),"Reproduction in organisms(types and significance)")</f>
        <v>Reproduction in organisms(types and significance)</v>
      </c>
      <c r="AI49" s="13" t="str">
        <f ca="1">IFERROR(__xludf.DUMMYFUNCTION("""COMPUTED_VALUE"""),"LU006086")</f>
        <v>LU006086</v>
      </c>
      <c r="AJ49" s="13" t="str">
        <f ca="1">IFERROR(__xludf.DUMMYFUNCTION("""COMPUTED_VALUE"""),"Living things reproduce, grow, and have a definite life span")</f>
        <v>Living things reproduce, grow, and have a definite life span</v>
      </c>
      <c r="AK49" s="13"/>
      <c r="AL49" s="13"/>
      <c r="AM49" s="13"/>
      <c r="AN49" s="13"/>
      <c r="AO49" s="13"/>
      <c r="AP49" s="13"/>
      <c r="AQ49" s="13"/>
      <c r="AR49" s="13"/>
      <c r="AS49" s="13"/>
      <c r="AT49" s="13"/>
    </row>
    <row r="50" spans="1:46" ht="66">
      <c r="A50" s="8" t="s">
        <v>247</v>
      </c>
      <c r="B50" s="8" t="s">
        <v>47</v>
      </c>
      <c r="C50" s="8" t="s">
        <v>731</v>
      </c>
      <c r="D50" s="8" t="s">
        <v>1406</v>
      </c>
      <c r="E50" s="8" t="s">
        <v>2093</v>
      </c>
      <c r="F50" s="8" t="s">
        <v>2096</v>
      </c>
      <c r="G50" s="8" t="s">
        <v>2098</v>
      </c>
      <c r="H50" s="8" t="str">
        <f ca="1">IFERROR(__xludf.DUMMYFUNCTION("VLOOKUP(G50, IMPORTRANGE(""https://docs.google.com/spreadsheets/d/14deopnvwcrKtEGCKuYXdUHJbeLDZlkiSSWWT0g7x2pM/edit#gid=849066331"", ""LU List Science (Filter)!A:B""), 2, FALSE)"),"Budding as an asexual mode of reproduction in animals")</f>
        <v>Budding as an asexual mode of reproduction in animals</v>
      </c>
      <c r="I50" s="10" t="str">
        <f t="shared" si="0"/>
        <v>LU005968.001</v>
      </c>
      <c r="J50" s="10" t="str">
        <f ca="1">IFERROR(__xludf.DUMMYFUNCTION("VLOOKUP(I50, IMPORTRANGE(""https://docs.google.com/spreadsheets/d/1yDAaXNsi4Mr5FtRQL4tbmSdIzhx6_m4wkOD7IG-k_eo/edit#gid=1336395716"", ""Science!M:N""), 2, FALSE)"),"Define budding as an asexual mode of reproduction in animals.")</f>
        <v>Define budding as an asexual mode of reproduction in animals.</v>
      </c>
      <c r="K50" s="10" t="str">
        <f t="shared" si="6"/>
        <v>LU005968.002</v>
      </c>
      <c r="L50" s="10" t="str">
        <f ca="1">IFERROR(__xludf.DUMMYFUNCTION("VLOOKUP(K50, IMPORTRANGE(""https://docs.google.com/spreadsheets/d/1yDAaXNsi4Mr5FtRQL4tbmSdIzhx6_m4wkOD7IG-k_eo/edit#gid=1336395716"", ""Science!M:N""), 2, FALSE)"),"Explain how budding works, detailing the process by which a new organism develops as an outgrowth from the parent organism.")</f>
        <v>Explain how budding works, detailing the process by which a new organism develops as an outgrowth from the parent organism.</v>
      </c>
      <c r="M50" s="10" t="str">
        <f t="shared" si="2"/>
        <v>LU005968.003</v>
      </c>
      <c r="N50" s="10" t="str">
        <f ca="1">IFERROR(__xludf.DUMMYFUNCTION("VLOOKUP(M50, IMPORTRANGE(""https://docs.google.com/spreadsheets/d/1yDAaXNsi4Mr5FtRQL4tbmSdIzhx6_m4wkOD7IG-k_eo/edit#gid=1336395716"", ""Science!M:N""), 2, FALSE)"),"Apply knowledge of budding to identify examples in the animal kingdom and describe how this mode of reproduction contributes to population growth and species survival.")</f>
        <v>Apply knowledge of budding to identify examples in the animal kingdom and describe how this mode of reproduction contributes to population growth and species survival.</v>
      </c>
      <c r="O50" s="10" t="str">
        <f t="shared" si="3"/>
        <v>LU005968.004</v>
      </c>
      <c r="P50" s="10" t="str">
        <f ca="1">IFERROR(__xludf.DUMMYFUNCTION("VLOOKUP(O50, IMPORTRANGE(""https://docs.google.com/spreadsheets/d/1yDAaXNsi4Mr5FtRQL4tbmSdIzhx6_m4wkOD7IG-k_eo/edit#gid=1336395716"", ""Science!M:N""), 2, FALSE)"),"Analyze the advantages and disadvantages of budding in comparison to other reproductive strategies, considering factors such as genetic diversity, environmental adaptation, and resource utilization.")</f>
        <v>Analyze the advantages and disadvantages of budding in comparison to other reproductive strategies, considering factors such as genetic diversity, environmental adaptation, and resource utilization.</v>
      </c>
      <c r="Q50" s="10" t="str">
        <f t="shared" si="4"/>
        <v>LU005968.005</v>
      </c>
      <c r="R50" s="10" t="str">
        <f ca="1">IFERROR(__xludf.DUMMYFUNCTION("VLOOKUP(Q50, IMPORTRANGE(""https://docs.google.com/spreadsheets/d/1yDAaXNsi4Mr5FtRQL4tbmSdIzhx6_m4wkOD7IG-k_eo/edit#gid=1336395716"", ""Science!M:N""), 2, FALSE)"),"Evaluate the ecological significance of budding, discussing its role in maintaining biodiversity and potential implications for animal populations in various environments.")</f>
        <v>Evaluate the ecological significance of budding, discussing its role in maintaining biodiversity and potential implications for animal populations in various environments.</v>
      </c>
      <c r="S50" s="10" t="str">
        <f t="shared" si="5"/>
        <v>LU005968.006</v>
      </c>
      <c r="T50" s="10" t="str">
        <f ca="1">IFERROR(__xludf.DUMMYFUNCTION("VLOOKUP(S50, IMPORTRANGE(""https://docs.google.com/spreadsheets/d/1yDAaXNsi4Mr5FtRQL4tbmSdIzhx6_m4wkOD7IG-k_eo/edit#gid=1336395716"", ""Science!M:N""), 2, FALSE)"),"#N/A")</f>
        <v>#N/A</v>
      </c>
      <c r="U50" s="116">
        <f ca="1">IFERROR(__xludf.DUMMYFUNCTION("ArrayFormula(VLOOKUP(G50, IMPORTRANGE(""https://docs.google.com/spreadsheets/d/1p7R4vtkWt5VOBim4ltsDG9KTzSjrtKXsMtQGXPHyND0/edit#gid=795171502"", ""'Filter 30_05_2024'!A1:M2000""), {2, 3, 4, 5,6,7,8,9,10,11,12,13}, 0))"),6)</f>
        <v>6</v>
      </c>
      <c r="V50" s="116">
        <f ca="1">IFERROR(__xludf.DUMMYFUNCTION("""COMPUTED_VALUE"""),6)</f>
        <v>6</v>
      </c>
      <c r="W50" s="116">
        <f ca="1">IFERROR(__xludf.DUMMYFUNCTION("""COMPUTED_VALUE"""),2)</f>
        <v>2</v>
      </c>
      <c r="X50" s="116">
        <f ca="1">IFERROR(__xludf.DUMMYFUNCTION("""COMPUTED_VALUE"""),14)</f>
        <v>14</v>
      </c>
      <c r="Y50" s="116">
        <f ca="1">IFERROR(__xludf.DUMMYFUNCTION("""COMPUTED_VALUE"""),5)</f>
        <v>5</v>
      </c>
      <c r="Z50" s="12">
        <f ca="1">IFERROR(__xludf.DUMMYFUNCTION("""COMPUTED_VALUE"""),3)</f>
        <v>3</v>
      </c>
      <c r="AA50" s="12">
        <f ca="1">IFERROR(__xludf.DUMMYFUNCTION("""COMPUTED_VALUE"""),1)</f>
        <v>1</v>
      </c>
      <c r="AB50" s="12">
        <f ca="1">IFERROR(__xludf.DUMMYFUNCTION("""COMPUTED_VALUE"""),9)</f>
        <v>9</v>
      </c>
      <c r="AC50" s="12"/>
      <c r="AD50" s="12"/>
      <c r="AE50" s="12"/>
      <c r="AF50" s="12"/>
      <c r="AG50" s="13" t="str">
        <f ca="1">IFERROR(__xludf.DUMMYFUNCTION("ArrayFormula(VLOOKUP(G50, IMPORTRANGE(""https://docs.google.com/spreadsheets/d/1Co934fvtviyaRiMsrIlT05Jaq7iiYq07aLvRr35KA48/edit?gid=173865642#gid=173865642"", ""'G8_Sci_Pri_LU'!G2:V2000""), {3, 4, 5, 6, 7, 8, 9, 10, 11, 12, 13, 14, 15, 16}, 0))"),"LU005911")</f>
        <v>LU005911</v>
      </c>
      <c r="AH50" s="13" t="str">
        <f ca="1">IFERROR(__xludf.DUMMYFUNCTION("""COMPUTED_VALUE"""),"Reproduction in organisms(types and significance)")</f>
        <v>Reproduction in organisms(types and significance)</v>
      </c>
      <c r="AI50" s="13" t="str">
        <f ca="1">IFERROR(__xludf.DUMMYFUNCTION("""COMPUTED_VALUE"""),"LU006086")</f>
        <v>LU006086</v>
      </c>
      <c r="AJ50" s="13" t="str">
        <f ca="1">IFERROR(__xludf.DUMMYFUNCTION("""COMPUTED_VALUE"""),"Living things reproduce, grow, and have a definite life span")</f>
        <v>Living things reproduce, grow, and have a definite life span</v>
      </c>
      <c r="AK50" s="13"/>
      <c r="AL50" s="13"/>
      <c r="AM50" s="13"/>
      <c r="AN50" s="13"/>
      <c r="AO50" s="13"/>
      <c r="AP50" s="13"/>
      <c r="AQ50" s="13"/>
      <c r="AR50" s="13"/>
      <c r="AS50" s="13"/>
      <c r="AT50" s="13"/>
    </row>
    <row r="51" spans="1:46" ht="39.6">
      <c r="A51" s="8" t="s">
        <v>247</v>
      </c>
      <c r="B51" s="8" t="s">
        <v>47</v>
      </c>
      <c r="C51" s="8" t="s">
        <v>731</v>
      </c>
      <c r="D51" s="8" t="s">
        <v>1406</v>
      </c>
      <c r="E51" s="8" t="s">
        <v>2093</v>
      </c>
      <c r="F51" s="8" t="s">
        <v>2096</v>
      </c>
      <c r="G51" s="8" t="s">
        <v>2099</v>
      </c>
      <c r="H51" s="8" t="str">
        <f ca="1">IFERROR(__xludf.DUMMYFUNCTION("VLOOKUP(G51, IMPORTRANGE(""https://docs.google.com/spreadsheets/d/14deopnvwcrKtEGCKuYXdUHJbeLDZlkiSSWWT0g7x2pM/edit#gid=849066331"", ""LU List Science (Filter)!A:B""), 2, FALSE)"),"Binary fission and budding in animals
")</f>
        <v xml:space="preserve">Binary fission and budding in animals
</v>
      </c>
      <c r="I51" s="10" t="str">
        <f t="shared" si="0"/>
        <v>LU005661.001</v>
      </c>
      <c r="J51" s="10" t="str">
        <f ca="1">IFERROR(__xludf.DUMMYFUNCTION("VLOOKUP(I51, IMPORTRANGE(""https://docs.google.com/spreadsheets/d/1yDAaXNsi4Mr5FtRQL4tbmSdIzhx6_m4wkOD7IG-k_eo/edit#gid=1336395716"", ""Science!M:N""), 2, FALSE)"),"Students will identify and define binary fission and budding as methods of asexual reproduction in animals.")</f>
        <v>Students will identify and define binary fission and budding as methods of asexual reproduction in animals.</v>
      </c>
      <c r="K51" s="10" t="str">
        <f t="shared" si="6"/>
        <v>LU005661.002</v>
      </c>
      <c r="L51" s="10" t="str">
        <f ca="1">IFERROR(__xludf.DUMMYFUNCTION("VLOOKUP(K51, IMPORTRANGE(""https://docs.google.com/spreadsheets/d/1yDAaXNsi4Mr5FtRQL4tbmSdIzhx6_m4wkOD7IG-k_eo/edit#gid=1336395716"", ""Science!M:N""), 2, FALSE)"),"Students will describe the process of each asexual reproduction method.")</f>
        <v>Students will describe the process of each asexual reproduction method.</v>
      </c>
      <c r="M51" s="10" t="str">
        <f t="shared" si="2"/>
        <v>LU005661.003</v>
      </c>
      <c r="N51" s="10" t="str">
        <f ca="1">IFERROR(__xludf.DUMMYFUNCTION("VLOOKUP(M51, IMPORTRANGE(""https://docs.google.com/spreadsheets/d/1yDAaXNsi4Mr5FtRQL4tbmSdIzhx6_m4wkOD7IG-k_eo/edit#gid=1336395716"", ""Science!M:N""), 2, FALSE)"),"Students will compare these asexual reproduction methods using examples from different animal species.")</f>
        <v>Students will compare these asexual reproduction methods using examples from different animal species.</v>
      </c>
      <c r="O51" s="10" t="str">
        <f t="shared" si="3"/>
        <v>LU005661.004</v>
      </c>
      <c r="P51" s="10" t="str">
        <f ca="1">IFERROR(__xludf.DUMMYFUNCTION("VLOOKUP(O51, IMPORTRANGE(""https://docs.google.com/spreadsheets/d/1yDAaXNsi4Mr5FtRQL4tbmSdIzhx6_m4wkOD7IG-k_eo/edit#gid=1336395716"", ""Science!M:N""), 2, FALSE)"),"Students will analyze the advantages and limitations of asexual reproduction in animals.")</f>
        <v>Students will analyze the advantages and limitations of asexual reproduction in animals.</v>
      </c>
      <c r="Q51" s="10" t="str">
        <f t="shared" si="4"/>
        <v>LU005661.005</v>
      </c>
      <c r="R51" s="10" t="str">
        <f ca="1">IFERROR(__xludf.DUMMYFUNCTION("VLOOKUP(Q51, IMPORTRANGE(""https://docs.google.com/spreadsheets/d/1yDAaXNsi4Mr5FtRQL4tbmSdIzhx6_m4wkOD7IG-k_eo/edit#gid=1336395716"", ""Science!M:N""), 2, FALSE)"),"Students will evaluate the role of asexual reproduction in the survival and evolution of certain animal species.")</f>
        <v>Students will evaluate the role of asexual reproduction in the survival and evolution of certain animal species.</v>
      </c>
      <c r="S51" s="10" t="str">
        <f t="shared" si="5"/>
        <v>LU005661.006</v>
      </c>
      <c r="T51" s="10" t="str">
        <f ca="1">IFERROR(__xludf.DUMMYFUNCTION("VLOOKUP(S51, IMPORTRANGE(""https://docs.google.com/spreadsheets/d/1yDAaXNsi4Mr5FtRQL4tbmSdIzhx6_m4wkOD7IG-k_eo/edit#gid=1336395716"", ""Science!M:N""), 2, FALSE)"),"#N/A")</f>
        <v>#N/A</v>
      </c>
      <c r="U51" s="116">
        <f ca="1">IFERROR(__xludf.DUMMYFUNCTION("ArrayFormula(VLOOKUP(G51, IMPORTRANGE(""https://docs.google.com/spreadsheets/d/1p7R4vtkWt5VOBim4ltsDG9KTzSjrtKXsMtQGXPHyND0/edit#gid=795171502"", ""'Filter 30_05_2024'!A1:M2000""), {2, 3, 4, 5,6,7,8,9,10,11,12,13}, 0))"),4)</f>
        <v>4</v>
      </c>
      <c r="V51" s="116">
        <f ca="1">IFERROR(__xludf.DUMMYFUNCTION("""COMPUTED_VALUE"""),4)</f>
        <v>4</v>
      </c>
      <c r="W51" s="116">
        <f ca="1">IFERROR(__xludf.DUMMYFUNCTION("""COMPUTED_VALUE"""),2)</f>
        <v>2</v>
      </c>
      <c r="X51" s="116">
        <f ca="1">IFERROR(__xludf.DUMMYFUNCTION("""COMPUTED_VALUE"""),10)</f>
        <v>10</v>
      </c>
      <c r="Y51" s="116">
        <f ca="1">IFERROR(__xludf.DUMMYFUNCTION("""COMPUTED_VALUE"""),4)</f>
        <v>4</v>
      </c>
      <c r="Z51" s="12">
        <f ca="1">IFERROR(__xludf.DUMMYFUNCTION("""COMPUTED_VALUE"""),2)</f>
        <v>2</v>
      </c>
      <c r="AA51" s="12">
        <f ca="1">IFERROR(__xludf.DUMMYFUNCTION("""COMPUTED_VALUE"""),1)</f>
        <v>1</v>
      </c>
      <c r="AB51" s="12">
        <f ca="1">IFERROR(__xludf.DUMMYFUNCTION("""COMPUTED_VALUE"""),7)</f>
        <v>7</v>
      </c>
      <c r="AC51" s="12"/>
      <c r="AD51" s="12"/>
      <c r="AE51" s="12"/>
      <c r="AF51" s="12"/>
      <c r="AG51" s="13" t="str">
        <f ca="1">IFERROR(__xludf.DUMMYFUNCTION("ArrayFormula(VLOOKUP(G51, IMPORTRANGE(""https://docs.google.com/spreadsheets/d/1Co934fvtviyaRiMsrIlT05Jaq7iiYq07aLvRr35KA48/edit?gid=173865642#gid=173865642"", ""'G8_Sci_Pri_LU'!G2:V2000""), {3, 4, 5, 6, 7, 8, 9, 10, 11, 12, 13, 14, 15, 16}, 0))"),"LU005966")</f>
        <v>LU005966</v>
      </c>
      <c r="AH51" s="13" t="str">
        <f ca="1">IFERROR(__xludf.DUMMYFUNCTION("""COMPUTED_VALUE"""),"Binary fission as an asexual mode of reproduction in animals.")</f>
        <v>Binary fission as an asexual mode of reproduction in animals.</v>
      </c>
      <c r="AI51" s="13" t="str">
        <f ca="1">IFERROR(__xludf.DUMMYFUNCTION("""COMPUTED_VALUE"""),"LU005968")</f>
        <v>LU005968</v>
      </c>
      <c r="AJ51" s="13" t="str">
        <f ca="1">IFERROR(__xludf.DUMMYFUNCTION("""COMPUTED_VALUE"""),"Budding as an asexual mode of reproduction in animals")</f>
        <v>Budding as an asexual mode of reproduction in animals</v>
      </c>
      <c r="AK51" s="13"/>
      <c r="AL51" s="13"/>
      <c r="AM51" s="13"/>
      <c r="AN51" s="13"/>
      <c r="AO51" s="13"/>
      <c r="AP51" s="13"/>
      <c r="AQ51" s="13"/>
      <c r="AR51" s="13"/>
      <c r="AS51" s="13"/>
      <c r="AT51" s="13"/>
    </row>
    <row r="52" spans="1:46" ht="66">
      <c r="A52" s="8" t="s">
        <v>247</v>
      </c>
      <c r="B52" s="8" t="s">
        <v>47</v>
      </c>
      <c r="C52" s="8" t="s">
        <v>731</v>
      </c>
      <c r="D52" s="8" t="s">
        <v>1406</v>
      </c>
      <c r="E52" s="8" t="s">
        <v>2093</v>
      </c>
      <c r="F52" s="8" t="s">
        <v>2100</v>
      </c>
      <c r="G52" s="8" t="s">
        <v>2101</v>
      </c>
      <c r="H52" s="8" t="str">
        <f ca="1">IFERROR(__xludf.DUMMYFUNCTION("VLOOKUP(G52, IMPORTRANGE(""https://docs.google.com/spreadsheets/d/14deopnvwcrKtEGCKuYXdUHJbeLDZlkiSSWWT0g7x2pM/edit#gid=849066331"", ""LU List Science (Filter)!A:B""), 2, FALSE)"),"Male reproductive system in humans")</f>
        <v>Male reproductive system in humans</v>
      </c>
      <c r="I52" s="10" t="str">
        <f t="shared" si="0"/>
        <v>LU005659.001</v>
      </c>
      <c r="J52" s="10" t="str">
        <f ca="1">IFERROR(__xludf.DUMMYFUNCTION("VLOOKUP(I52, IMPORTRANGE(""https://docs.google.com/spreadsheets/d/1yDAaXNsi4Mr5FtRQL4tbmSdIzhx6_m4wkOD7IG-k_eo/edit#gid=1336395716"", ""Science!M:N""), 2, FALSE)"),"Recall the names and locations of the major male reproductive organs in humans, including the testes, epididymis, vas deferens, and penis.")</f>
        <v>Recall the names and locations of the major male reproductive organs in humans, including the testes, epididymis, vas deferens, and penis.</v>
      </c>
      <c r="K52" s="10" t="str">
        <f t="shared" si="6"/>
        <v>LU005659.002</v>
      </c>
      <c r="L52" s="10" t="str">
        <f ca="1">IFERROR(__xludf.DUMMYFUNCTION("VLOOKUP(K52, IMPORTRANGE(""https://docs.google.com/spreadsheets/d/1yDAaXNsi4Mr5FtRQL4tbmSdIzhx6_m4wkOD7IG-k_eo/edit#gid=1336395716"", ""Science!M:N""), 2, FALSE)"),"Explain the primary functions of the major male reproductive organs, emphasizing their roles in producing and transporting sperm for fertilization.")</f>
        <v>Explain the primary functions of the major male reproductive organs, emphasizing their roles in producing and transporting sperm for fertilization.</v>
      </c>
      <c r="M52" s="10" t="str">
        <f t="shared" si="2"/>
        <v>LU005659.003</v>
      </c>
      <c r="N52" s="10" t="str">
        <f ca="1">IFERROR(__xludf.DUMMYFUNCTION("VLOOKUP(M52, IMPORTRANGE(""https://docs.google.com/spreadsheets/d/1yDAaXNsi4Mr5FtRQL4tbmSdIzhx6_m4wkOD7IG-k_eo/edit#gid=1336395716"", ""Science!M:N""), 2, FALSE)"),"Apply knowledge of the male reproductive system to describe how the various organs work together to facilitate the passage of sperm from the testes to the outside of the body.")</f>
        <v>Apply knowledge of the male reproductive system to describe how the various organs work together to facilitate the passage of sperm from the testes to the outside of the body.</v>
      </c>
      <c r="O52" s="10" t="str">
        <f t="shared" si="3"/>
        <v>LU005659.004</v>
      </c>
      <c r="P52" s="10" t="str">
        <f ca="1">IFERROR(__xludf.DUMMYFUNCTION("VLOOKUP(O52, IMPORTRANGE(""https://docs.google.com/spreadsheets/d/1yDAaXNsi4Mr5FtRQL4tbmSdIzhx6_m4wkOD7IG-k_eo/edit#gid=1336395716"", ""Science!M:N""), 2, FALSE)"),"Analyze the structural adaptations of male reproductive organs that aid in their functions, such as the role of the scrotum in temperature regulation for sperm production.")</f>
        <v>Analyze the structural adaptations of male reproductive organs that aid in their functions, such as the role of the scrotum in temperature regulation for sperm production.</v>
      </c>
      <c r="Q52" s="10" t="str">
        <f t="shared" si="4"/>
        <v>LU005659.005</v>
      </c>
      <c r="R52" s="10" t="str">
        <f ca="1">IFERROR(__xludf.DUMMYFUNCTION("VLOOKUP(Q52, IMPORTRANGE(""https://docs.google.com/spreadsheets/d/1yDAaXNsi4Mr5FtRQL4tbmSdIzhx6_m4wkOD7IG-k_eo/edit#gid=1336395716"", ""Science!M:N""), 2, FALSE)"),"#N/A")</f>
        <v>#N/A</v>
      </c>
      <c r="S52" s="10" t="str">
        <f t="shared" si="5"/>
        <v>LU005659.006</v>
      </c>
      <c r="T52" s="10" t="str">
        <f ca="1">IFERROR(__xludf.DUMMYFUNCTION("VLOOKUP(S52, IMPORTRANGE(""https://docs.google.com/spreadsheets/d/1yDAaXNsi4Mr5FtRQL4tbmSdIzhx6_m4wkOD7IG-k_eo/edit#gid=1336395716"", ""Science!M:N""), 2, FALSE)"),"#N/A")</f>
        <v>#N/A</v>
      </c>
      <c r="U52" s="116">
        <f ca="1">IFERROR(__xludf.DUMMYFUNCTION("ArrayFormula(VLOOKUP(G52, IMPORTRANGE(""https://docs.google.com/spreadsheets/d/1p7R4vtkWt5VOBim4ltsDG9KTzSjrtKXsMtQGXPHyND0/edit#gid=795171502"", ""'Filter 30_05_2024'!A1:M2000""), {2, 3, 4, 5,6,7,8,9,10,11,12,13}, 0))"),4)</f>
        <v>4</v>
      </c>
      <c r="V52" s="116">
        <f ca="1">IFERROR(__xludf.DUMMYFUNCTION("""COMPUTED_VALUE"""),6)</f>
        <v>6</v>
      </c>
      <c r="W52" s="116">
        <f ca="1">IFERROR(__xludf.DUMMYFUNCTION("""COMPUTED_VALUE"""),2)</f>
        <v>2</v>
      </c>
      <c r="X52" s="116">
        <f ca="1">IFERROR(__xludf.DUMMYFUNCTION("""COMPUTED_VALUE"""),12)</f>
        <v>12</v>
      </c>
      <c r="Y52" s="116">
        <f ca="1">IFERROR(__xludf.DUMMYFUNCTION("""COMPUTED_VALUE"""),4)</f>
        <v>4</v>
      </c>
      <c r="Z52" s="12">
        <f ca="1">IFERROR(__xludf.DUMMYFUNCTION("""COMPUTED_VALUE"""),3)</f>
        <v>3</v>
      </c>
      <c r="AA52" s="12">
        <f ca="1">IFERROR(__xludf.DUMMYFUNCTION("""COMPUTED_VALUE"""),1)</f>
        <v>1</v>
      </c>
      <c r="AB52" s="12">
        <f ca="1">IFERROR(__xludf.DUMMYFUNCTION("""COMPUTED_VALUE"""),8)</f>
        <v>8</v>
      </c>
      <c r="AC52" s="12"/>
      <c r="AD52" s="12"/>
      <c r="AE52" s="12"/>
      <c r="AF52" s="12"/>
      <c r="AG52" s="13" t="str">
        <f ca="1">IFERROR(__xludf.DUMMYFUNCTION("ArrayFormula(VLOOKUP(G52, IMPORTRANGE(""https://docs.google.com/spreadsheets/d/1Co934fvtviyaRiMsrIlT05Jaq7iiYq07aLvRr35KA48/edit?gid=173865642#gid=173865642"", ""'G8_Sci_Pri_LU'!G2:V2000""), {3, 4, 5, 6, 7, 8, 9, 10, 11, 12, 13, 14, 15, 16}, 0))"),"LU005986")</f>
        <v>LU005986</v>
      </c>
      <c r="AH52" s="13" t="str">
        <f ca="1">IFERROR(__xludf.DUMMYFUNCTION("""COMPUTED_VALUE"""),"Definition of reproductive system in humans.")</f>
        <v>Definition of reproductive system in humans.</v>
      </c>
      <c r="AI52" s="13"/>
      <c r="AJ52" s="13"/>
      <c r="AK52" s="13"/>
      <c r="AL52" s="13"/>
      <c r="AM52" s="13"/>
      <c r="AN52" s="13"/>
      <c r="AO52" s="13"/>
      <c r="AP52" s="13"/>
      <c r="AQ52" s="13"/>
      <c r="AR52" s="13"/>
      <c r="AS52" s="13"/>
      <c r="AT52" s="13"/>
    </row>
    <row r="53" spans="1:46" ht="66">
      <c r="A53" s="8" t="s">
        <v>247</v>
      </c>
      <c r="B53" s="8" t="s">
        <v>47</v>
      </c>
      <c r="C53" s="8" t="s">
        <v>731</v>
      </c>
      <c r="D53" s="8" t="s">
        <v>1406</v>
      </c>
      <c r="E53" s="8" t="s">
        <v>2093</v>
      </c>
      <c r="F53" s="8" t="s">
        <v>2100</v>
      </c>
      <c r="G53" s="8" t="s">
        <v>2102</v>
      </c>
      <c r="H53" s="8" t="str">
        <f ca="1">IFERROR(__xludf.DUMMYFUNCTION("VLOOKUP(G53, IMPORTRANGE(""https://docs.google.com/spreadsheets/d/14deopnvwcrKtEGCKuYXdUHJbeLDZlkiSSWWT0g7x2pM/edit#gid=849066331"", ""LU List Science (Filter)!A:B""), 2, FALSE)"),"Female reproductive system in humans")</f>
        <v>Female reproductive system in humans</v>
      </c>
      <c r="I53" s="10" t="str">
        <f t="shared" si="0"/>
        <v>LU005658.001</v>
      </c>
      <c r="J53" s="10" t="str">
        <f ca="1">IFERROR(__xludf.DUMMYFUNCTION("VLOOKUP(I53, IMPORTRANGE(""https://docs.google.com/spreadsheets/d/1yDAaXNsi4Mr5FtRQL4tbmSdIzhx6_m4wkOD7IG-k_eo/edit#gid=1336395716"", ""Science!M:N""), 2, FALSE)"),"Recall the names and locations of the major female reproductive organs in humans, including the ovaries, fallopian tubes, uterus, and vagina.")</f>
        <v>Recall the names and locations of the major female reproductive organs in humans, including the ovaries, fallopian tubes, uterus, and vagina.</v>
      </c>
      <c r="K53" s="10" t="str">
        <f t="shared" si="6"/>
        <v>LU005658.002</v>
      </c>
      <c r="L53" s="10" t="str">
        <f ca="1">IFERROR(__xludf.DUMMYFUNCTION("VLOOKUP(K53, IMPORTRANGE(""https://docs.google.com/spreadsheets/d/1yDAaXNsi4Mr5FtRQL4tbmSdIzhx6_m4wkOD7IG-k_eo/edit#gid=1336395716"", ""Science!M:N""), 2, FALSE)"),"Explain the primary functions of the major female reproductive organs, emphasizing their roles in producing and releasing eggs, facilitating fertilization, and supporting reproductive processes.")</f>
        <v>Explain the primary functions of the major female reproductive organs, emphasizing their roles in producing and releasing eggs, facilitating fertilization, and supporting reproductive processes.</v>
      </c>
      <c r="M53" s="10" t="str">
        <f t="shared" si="2"/>
        <v>LU005658.003</v>
      </c>
      <c r="N53" s="10" t="str">
        <f ca="1">IFERROR(__xludf.DUMMYFUNCTION("VLOOKUP(M53, IMPORTRANGE(""https://docs.google.com/spreadsheets/d/1yDAaXNsi4Mr5FtRQL4tbmSdIzhx6_m4wkOD7IG-k_eo/edit#gid=1336395716"", ""Science!M:N""), 2, FALSE)"),"Apply knowledge of the female reproductive system to describe how the various organs work together to ensure the readiness and transport of eggs for potential fertilization.")</f>
        <v>Apply knowledge of the female reproductive system to describe how the various organs work together to ensure the readiness and transport of eggs for potential fertilization.</v>
      </c>
      <c r="O53" s="10" t="str">
        <f t="shared" si="3"/>
        <v>LU005658.004</v>
      </c>
      <c r="P53" s="10" t="str">
        <f ca="1">IFERROR(__xludf.DUMMYFUNCTION("VLOOKUP(O53, IMPORTRANGE(""https://docs.google.com/spreadsheets/d/1yDAaXNsi4Mr5FtRQL4tbmSdIzhx6_m4wkOD7IG-k_eo/edit#gid=1336395716"", ""Science!M:N""), 2, FALSE)"),"Analyze the structural adaptations of female reproductive organs that enable their functions, such as the role of the uterus in providing a suitable environment for potential embryo development.")</f>
        <v>Analyze the structural adaptations of female reproductive organs that enable their functions, such as the role of the uterus in providing a suitable environment for potential embryo development.</v>
      </c>
      <c r="Q53" s="10" t="str">
        <f t="shared" si="4"/>
        <v>LU005658.005</v>
      </c>
      <c r="R53" s="10" t="str">
        <f ca="1">IFERROR(__xludf.DUMMYFUNCTION("VLOOKUP(Q53, IMPORTRANGE(""https://docs.google.com/spreadsheets/d/1yDAaXNsi4Mr5FtRQL4tbmSdIzhx6_m4wkOD7IG-k_eo/edit#gid=1336395716"", ""Science!M:N""), 2, FALSE)"),"#N/A")</f>
        <v>#N/A</v>
      </c>
      <c r="S53" s="10" t="str">
        <f t="shared" si="5"/>
        <v>LU005658.006</v>
      </c>
      <c r="T53" s="10" t="str">
        <f ca="1">IFERROR(__xludf.DUMMYFUNCTION("VLOOKUP(S53, IMPORTRANGE(""https://docs.google.com/spreadsheets/d/1yDAaXNsi4Mr5FtRQL4tbmSdIzhx6_m4wkOD7IG-k_eo/edit#gid=1336395716"", ""Science!M:N""), 2, FALSE)"),"#N/A")</f>
        <v>#N/A</v>
      </c>
      <c r="U53" s="116">
        <f ca="1">IFERROR(__xludf.DUMMYFUNCTION("ArrayFormula(VLOOKUP(G53, IMPORTRANGE(""https://docs.google.com/spreadsheets/d/1p7R4vtkWt5VOBim4ltsDG9KTzSjrtKXsMtQGXPHyND0/edit#gid=795171502"", ""'Filter 30_05_2024'!A1:M2000""), {2, 3, 4, 5,6,7,8,9,10,11,12,13}, 0))"),4)</f>
        <v>4</v>
      </c>
      <c r="V53" s="116">
        <f ca="1">IFERROR(__xludf.DUMMYFUNCTION("""COMPUTED_VALUE"""),6)</f>
        <v>6</v>
      </c>
      <c r="W53" s="116">
        <f ca="1">IFERROR(__xludf.DUMMYFUNCTION("""COMPUTED_VALUE"""),2)</f>
        <v>2</v>
      </c>
      <c r="X53" s="116">
        <f ca="1">IFERROR(__xludf.DUMMYFUNCTION("""COMPUTED_VALUE"""),12)</f>
        <v>12</v>
      </c>
      <c r="Y53" s="116">
        <f ca="1">IFERROR(__xludf.DUMMYFUNCTION("""COMPUTED_VALUE"""),4)</f>
        <v>4</v>
      </c>
      <c r="Z53" s="12">
        <f ca="1">IFERROR(__xludf.DUMMYFUNCTION("""COMPUTED_VALUE"""),3)</f>
        <v>3</v>
      </c>
      <c r="AA53" s="12">
        <f ca="1">IFERROR(__xludf.DUMMYFUNCTION("""COMPUTED_VALUE"""),1)</f>
        <v>1</v>
      </c>
      <c r="AB53" s="12">
        <f ca="1">IFERROR(__xludf.DUMMYFUNCTION("""COMPUTED_VALUE"""),8)</f>
        <v>8</v>
      </c>
      <c r="AC53" s="12"/>
      <c r="AD53" s="12"/>
      <c r="AE53" s="12"/>
      <c r="AF53" s="12"/>
      <c r="AG53" s="13" t="str">
        <f ca="1">IFERROR(__xludf.DUMMYFUNCTION("ArrayFormula(VLOOKUP(G53, IMPORTRANGE(""https://docs.google.com/spreadsheets/d/1Co934fvtviyaRiMsrIlT05Jaq7iiYq07aLvRr35KA48/edit?gid=173865642#gid=173865642"", ""'G8_Sci_Pri_LU'!G2:V2000""), {3, 4, 5, 6, 7, 8, 9, 10, 11, 12, 13, 14, 15, 16}, 0))"),"LU005986")</f>
        <v>LU005986</v>
      </c>
      <c r="AH53" s="13" t="str">
        <f ca="1">IFERROR(__xludf.DUMMYFUNCTION("""COMPUTED_VALUE"""),"Definition of reproductive system in humans.")</f>
        <v>Definition of reproductive system in humans.</v>
      </c>
      <c r="AI53" s="13" t="str">
        <f ca="1">IFERROR(__xludf.DUMMYFUNCTION("""COMPUTED_VALUE"""),"LU005659")</f>
        <v>LU005659</v>
      </c>
      <c r="AJ53" s="13" t="str">
        <f ca="1">IFERROR(__xludf.DUMMYFUNCTION("""COMPUTED_VALUE"""),"Male reproductive system in humans")</f>
        <v>Male reproductive system in humans</v>
      </c>
      <c r="AK53" s="13"/>
      <c r="AL53" s="13"/>
      <c r="AM53" s="13"/>
      <c r="AN53" s="13"/>
      <c r="AO53" s="13"/>
      <c r="AP53" s="13"/>
      <c r="AQ53" s="13"/>
      <c r="AR53" s="13"/>
      <c r="AS53" s="13"/>
      <c r="AT53" s="13"/>
    </row>
    <row r="54" spans="1:46" ht="39.6">
      <c r="A54" s="8" t="s">
        <v>247</v>
      </c>
      <c r="B54" s="8" t="s">
        <v>47</v>
      </c>
      <c r="C54" s="8" t="s">
        <v>731</v>
      </c>
      <c r="D54" s="8" t="s">
        <v>1406</v>
      </c>
      <c r="E54" s="8" t="s">
        <v>2093</v>
      </c>
      <c r="F54" s="8" t="s">
        <v>2103</v>
      </c>
      <c r="G54" s="8" t="s">
        <v>2104</v>
      </c>
      <c r="H54" s="8" t="str">
        <f ca="1">IFERROR(__xludf.DUMMYFUNCTION("VLOOKUP(G54, IMPORTRANGE(""https://docs.google.com/spreadsheets/d/14deopnvwcrKtEGCKuYXdUHJbeLDZlkiSSWWT0g7x2pM/edit#gid=849066331"", ""LU List Science (Filter)!A:B""), 2, FALSE)"),"Basics of fertilisation and post-fertilisation events in humans")</f>
        <v>Basics of fertilisation and post-fertilisation events in humans</v>
      </c>
      <c r="I54" s="10" t="str">
        <f t="shared" si="0"/>
        <v>LU005660.001</v>
      </c>
      <c r="J54" s="10" t="str">
        <f ca="1">IFERROR(__xludf.DUMMYFUNCTION("VLOOKUP(I54, IMPORTRANGE(""https://docs.google.com/spreadsheets/d/1yDAaXNsi4Mr5FtRQL4tbmSdIzhx6_m4wkOD7IG-k_eo/edit#gid=1336395716"", ""Science!M:N""), 2, FALSE)"),"Students will define fertilization and post-fertilization events in human reproduction.")</f>
        <v>Students will define fertilization and post-fertilization events in human reproduction.</v>
      </c>
      <c r="K54" s="10" t="str">
        <f t="shared" si="6"/>
        <v>LU005660.002</v>
      </c>
      <c r="L54" s="10" t="str">
        <f ca="1">IFERROR(__xludf.DUMMYFUNCTION("VLOOKUP(K54, IMPORTRANGE(""https://docs.google.com/spreadsheets/d/1yDAaXNsi4Mr5FtRQL4tbmSdIzhx6_m4wkOD7IG-k_eo/edit#gid=1336395716"", ""Science!M:N""), 2, FALSE)"),"Students will describe the process of fertilization and the sequence of post-fertilization events in humans.")</f>
        <v>Students will describe the process of fertilization and the sequence of post-fertilization events in humans.</v>
      </c>
      <c r="M54" s="10" t="str">
        <f t="shared" si="2"/>
        <v>LU005660.003</v>
      </c>
      <c r="N54" s="10" t="str">
        <f ca="1">IFERROR(__xludf.DUMMYFUNCTION("VLOOKUP(M54, IMPORTRANGE(""https://docs.google.com/spreadsheets/d/1yDAaXNsi4Mr5FtRQL4tbmSdIzhx6_m4wkOD7IG-k_eo/edit#gid=1336395716"", ""Science!M:N""), 2, FALSE)"),"Students will illustrate the stages of human development from fertilization to birth.")</f>
        <v>Students will illustrate the stages of human development from fertilization to birth.</v>
      </c>
      <c r="O54" s="10" t="str">
        <f t="shared" si="3"/>
        <v>LU005660.004</v>
      </c>
      <c r="P54" s="10" t="str">
        <f ca="1">IFERROR(__xludf.DUMMYFUNCTION("VLOOKUP(O54, IMPORTRANGE(""https://docs.google.com/spreadsheets/d/1yDAaXNsi4Mr5FtRQL4tbmSdIzhx6_m4wkOD7IG-k_eo/edit#gid=1336395716"", ""Science!M:N""), 2, FALSE)"),"Students will compare and contrast human fertilization with that of another mammal, analyzing similarities and differences.")</f>
        <v>Students will compare and contrast human fertilization with that of another mammal, analyzing similarities and differences.</v>
      </c>
      <c r="Q54" s="10" t="str">
        <f t="shared" si="4"/>
        <v>LU005660.005</v>
      </c>
      <c r="R54" s="10" t="str">
        <f ca="1">IFERROR(__xludf.DUMMYFUNCTION("VLOOKUP(Q54, IMPORTRANGE(""https://docs.google.com/spreadsheets/d/1yDAaXNsi4Mr5FtRQL4tbmSdIzhx6_m4wkOD7IG-k_eo/edit#gid=1336395716"", ""Science!M:N""), 2, FALSE)"),"Students will assess the impact of environmental and genetic factors on the post-fertilization development in humans.")</f>
        <v>Students will assess the impact of environmental and genetic factors on the post-fertilization development in humans.</v>
      </c>
      <c r="S54" s="10" t="str">
        <f t="shared" si="5"/>
        <v>LU005660.006</v>
      </c>
      <c r="T54" s="10" t="str">
        <f ca="1">IFERROR(__xludf.DUMMYFUNCTION("VLOOKUP(S54, IMPORTRANGE(""https://docs.google.com/spreadsheets/d/1yDAaXNsi4Mr5FtRQL4tbmSdIzhx6_m4wkOD7IG-k_eo/edit#gid=1336395716"", ""Science!M:N""), 2, FALSE)"),"#N/A")</f>
        <v>#N/A</v>
      </c>
      <c r="U54" s="116">
        <f ca="1">IFERROR(__xludf.DUMMYFUNCTION("ArrayFormula(VLOOKUP(G54, IMPORTRANGE(""https://docs.google.com/spreadsheets/d/1p7R4vtkWt5VOBim4ltsDG9KTzSjrtKXsMtQGXPHyND0/edit#gid=795171502"", ""'Filter 30_05_2024'!A1:M2000""), {2, 3, 4, 5,6,7,8,9,10,11,12,13}, 0))"),4)</f>
        <v>4</v>
      </c>
      <c r="V54" s="116">
        <f ca="1">IFERROR(__xludf.DUMMYFUNCTION("""COMPUTED_VALUE"""),6)</f>
        <v>6</v>
      </c>
      <c r="W54" s="116">
        <f ca="1">IFERROR(__xludf.DUMMYFUNCTION("""COMPUTED_VALUE"""),2)</f>
        <v>2</v>
      </c>
      <c r="X54" s="116">
        <f ca="1">IFERROR(__xludf.DUMMYFUNCTION("""COMPUTED_VALUE"""),12)</f>
        <v>12</v>
      </c>
      <c r="Y54" s="116">
        <f ca="1">IFERROR(__xludf.DUMMYFUNCTION("""COMPUTED_VALUE"""),4)</f>
        <v>4</v>
      </c>
      <c r="Z54" s="12">
        <f ca="1">IFERROR(__xludf.DUMMYFUNCTION("""COMPUTED_VALUE"""),3)</f>
        <v>3</v>
      </c>
      <c r="AA54" s="12">
        <f ca="1">IFERROR(__xludf.DUMMYFUNCTION("""COMPUTED_VALUE"""),1)</f>
        <v>1</v>
      </c>
      <c r="AB54" s="12">
        <f ca="1">IFERROR(__xludf.DUMMYFUNCTION("""COMPUTED_VALUE"""),8)</f>
        <v>8</v>
      </c>
      <c r="AC54" s="12"/>
      <c r="AD54" s="12"/>
      <c r="AE54" s="12"/>
      <c r="AF54" s="12"/>
      <c r="AG54" s="13" t="str">
        <f ca="1">IFERROR(__xludf.DUMMYFUNCTION("ArrayFormula(VLOOKUP(G54, IMPORTRANGE(""https://docs.google.com/spreadsheets/d/1Co934fvtviyaRiMsrIlT05Jaq7iiYq07aLvRr35KA48/edit?gid=173865642#gid=173865642"", ""'G8_Sci_Pri_LU'!G2:V2000""), {3, 4, 5, 6, 7, 8, 9, 10, 11, 12, 13, 14, 15, 16}, 0))"),"LU005658")</f>
        <v>LU005658</v>
      </c>
      <c r="AH54" s="13" t="str">
        <f ca="1">IFERROR(__xludf.DUMMYFUNCTION("""COMPUTED_VALUE"""),"Female reproductive system in humans")</f>
        <v>Female reproductive system in humans</v>
      </c>
      <c r="AI54" s="13" t="str">
        <f ca="1">IFERROR(__xludf.DUMMYFUNCTION("""COMPUTED_VALUE"""),"LU005659")</f>
        <v>LU005659</v>
      </c>
      <c r="AJ54" s="13" t="str">
        <f ca="1">IFERROR(__xludf.DUMMYFUNCTION("""COMPUTED_VALUE"""),"Male reproductive system in humans")</f>
        <v>Male reproductive system in humans</v>
      </c>
      <c r="AK54" s="13" t="str">
        <f ca="1">IFERROR(__xludf.DUMMYFUNCTION("""COMPUTED_VALUE"""),"LU005986")</f>
        <v>LU005986</v>
      </c>
      <c r="AL54" s="13" t="str">
        <f ca="1">IFERROR(__xludf.DUMMYFUNCTION("""COMPUTED_VALUE"""),"Definition of reproductive system in humans.")</f>
        <v>Definition of reproductive system in humans.</v>
      </c>
      <c r="AM54" s="13"/>
      <c r="AN54" s="13"/>
      <c r="AO54" s="13"/>
      <c r="AP54" s="13"/>
      <c r="AQ54" s="13"/>
      <c r="AR54" s="13"/>
      <c r="AS54" s="13"/>
      <c r="AT54" s="13"/>
    </row>
    <row r="55" spans="1:46" ht="39.6">
      <c r="A55" s="8" t="s">
        <v>247</v>
      </c>
      <c r="B55" s="8" t="s">
        <v>47</v>
      </c>
      <c r="C55" s="8" t="s">
        <v>731</v>
      </c>
      <c r="D55" s="8" t="s">
        <v>1406</v>
      </c>
      <c r="E55" s="8" t="s">
        <v>2093</v>
      </c>
      <c r="F55" s="8" t="s">
        <v>2105</v>
      </c>
      <c r="G55" s="8" t="s">
        <v>2106</v>
      </c>
      <c r="H55" s="8" t="str">
        <f ca="1">IFERROR(__xludf.DUMMYFUNCTION("VLOOKUP(G55, IMPORTRANGE(""https://docs.google.com/spreadsheets/d/14deopnvwcrKtEGCKuYXdUHJbeLDZlkiSSWWT0g7x2pM/edit#gid=849066331"", ""LU List Science (Filter)!A:B""), 2, FALSE)"),"Types of Reproductive Patterns in animals
")</f>
        <v xml:space="preserve">Types of Reproductive Patterns in animals
</v>
      </c>
      <c r="I55" s="10" t="str">
        <f t="shared" si="0"/>
        <v>LU005662.001</v>
      </c>
      <c r="J55" s="10" t="str">
        <f ca="1">IFERROR(__xludf.DUMMYFUNCTION("VLOOKUP(I55, IMPORTRANGE(""https://docs.google.com/spreadsheets/d/1yDAaXNsi4Mr5FtRQL4tbmSdIzhx6_m4wkOD7IG-k_eo/edit#gid=1336395716"", ""Science!M:N""), 2, FALSE)"),"Students will list different reproductive patterns in animals based on the site of fertilization and development.")</f>
        <v>Students will list different reproductive patterns in animals based on the site of fertilization and development.</v>
      </c>
      <c r="K55" s="10" t="str">
        <f t="shared" si="6"/>
        <v>LU005662.002</v>
      </c>
      <c r="L55" s="10" t="str">
        <f ca="1">IFERROR(__xludf.DUMMYFUNCTION("VLOOKUP(K55, IMPORTRANGE(""https://docs.google.com/spreadsheets/d/1yDAaXNsi4Mr5FtRQL4tbmSdIzhx6_m4wkOD7IG-k_eo/edit#gid=1336395716"", ""Science!M:N""), 2, FALSE)"),"Students will describe how fertilization and developmental sites vary among different animal species.")</f>
        <v>Students will describe how fertilization and developmental sites vary among different animal species.</v>
      </c>
      <c r="M55" s="10" t="str">
        <f t="shared" si="2"/>
        <v>LU005662.003</v>
      </c>
      <c r="N55" s="10" t="str">
        <f ca="1">IFERROR(__xludf.DUMMYFUNCTION("VLOOKUP(M55, IMPORTRANGE(""https://docs.google.com/spreadsheets/d/1yDAaXNsi4Mr5FtRQL4tbmSdIzhx6_m4wkOD7IG-k_eo/edit#gid=1336395716"", ""Science!M:N""), 2, FALSE)"),"Students will classify animals into groups based on whether they have internal or external fertilization and development.")</f>
        <v>Students will classify animals into groups based on whether they have internal or external fertilization and development.</v>
      </c>
      <c r="O55" s="10" t="str">
        <f t="shared" si="3"/>
        <v>LU005662.004</v>
      </c>
      <c r="P55" s="10" t="str">
        <f ca="1">IFERROR(__xludf.DUMMYFUNCTION("VLOOKUP(O55, IMPORTRANGE(""https://docs.google.com/spreadsheets/d/1yDAaXNsi4Mr5FtRQL4tbmSdIzhx6_m4wkOD7IG-k_eo/edit#gid=1336395716"", ""Science!M:N""), 2, FALSE)"),"Students will analyze the advantages and disadvantages of internal versus external fertilization and development in animals.")</f>
        <v>Students will analyze the advantages and disadvantages of internal versus external fertilization and development in animals.</v>
      </c>
      <c r="Q55" s="10" t="str">
        <f t="shared" si="4"/>
        <v>LU005662.005</v>
      </c>
      <c r="R55" s="10" t="str">
        <f ca="1">IFERROR(__xludf.DUMMYFUNCTION("VLOOKUP(Q55, IMPORTRANGE(""https://docs.google.com/spreadsheets/d/1yDAaXNsi4Mr5FtRQL4tbmSdIzhx6_m4wkOD7IG-k_eo/edit#gid=1336395716"", ""Science!M:N""), 2, FALSE)"),"Students will assess the evolutionary significance of different reproductive strategies in animals.")</f>
        <v>Students will assess the evolutionary significance of different reproductive strategies in animals.</v>
      </c>
      <c r="S55" s="10" t="str">
        <f t="shared" si="5"/>
        <v>LU005662.006</v>
      </c>
      <c r="T55" s="10" t="str">
        <f ca="1">IFERROR(__xludf.DUMMYFUNCTION("VLOOKUP(S55, IMPORTRANGE(""https://docs.google.com/spreadsheets/d/1yDAaXNsi4Mr5FtRQL4tbmSdIzhx6_m4wkOD7IG-k_eo/edit#gid=1336395716"", ""Science!M:N""), 2, FALSE)"),"#N/A")</f>
        <v>#N/A</v>
      </c>
      <c r="U55" s="116">
        <f ca="1">IFERROR(__xludf.DUMMYFUNCTION("ArrayFormula(VLOOKUP(G55, IMPORTRANGE(""https://docs.google.com/spreadsheets/d/1p7R4vtkWt5VOBim4ltsDG9KTzSjrtKXsMtQGXPHyND0/edit#gid=795171502"", ""'Filter 30_05_2024'!A1:M2000""), {2, 3, 4, 5,6,7,8,9,10,11,12,13}, 0))"),4)</f>
        <v>4</v>
      </c>
      <c r="V55" s="116">
        <f ca="1">IFERROR(__xludf.DUMMYFUNCTION("""COMPUTED_VALUE"""),6)</f>
        <v>6</v>
      </c>
      <c r="W55" s="116">
        <f ca="1">IFERROR(__xludf.DUMMYFUNCTION("""COMPUTED_VALUE"""),2)</f>
        <v>2</v>
      </c>
      <c r="X55" s="116">
        <f ca="1">IFERROR(__xludf.DUMMYFUNCTION("""COMPUTED_VALUE"""),12)</f>
        <v>12</v>
      </c>
      <c r="Y55" s="116">
        <f ca="1">IFERROR(__xludf.DUMMYFUNCTION("""COMPUTED_VALUE"""),4)</f>
        <v>4</v>
      </c>
      <c r="Z55" s="12">
        <f ca="1">IFERROR(__xludf.DUMMYFUNCTION("""COMPUTED_VALUE"""),3)</f>
        <v>3</v>
      </c>
      <c r="AA55" s="12">
        <f ca="1">IFERROR(__xludf.DUMMYFUNCTION("""COMPUTED_VALUE"""),1)</f>
        <v>1</v>
      </c>
      <c r="AB55" s="12">
        <f ca="1">IFERROR(__xludf.DUMMYFUNCTION("""COMPUTED_VALUE"""),8)</f>
        <v>8</v>
      </c>
      <c r="AC55" s="12"/>
      <c r="AD55" s="12"/>
      <c r="AE55" s="12"/>
      <c r="AF55" s="12"/>
      <c r="AG55" s="13" t="str">
        <f ca="1">IFERROR(__xludf.DUMMYFUNCTION("ArrayFormula(VLOOKUP(G55, IMPORTRANGE(""https://docs.google.com/spreadsheets/d/1Co934fvtviyaRiMsrIlT05Jaq7iiYq07aLvRr35KA48/edit?gid=173865642#gid=173865642"", ""'G8_Sci_Pri_LU'!G2:V2000""), {3, 4, 5, 6, 7, 8, 9, 10, 11, 12, 13, 14, 15, 16}, 0))"),"LU005657")</f>
        <v>LU005657</v>
      </c>
      <c r="AH55" s="13" t="str">
        <f ca="1">IFERROR(__xludf.DUMMYFUNCTION("""COMPUTED_VALUE"""),"Definition of sexual reproduction in animals(gametes, sperms, eggs, zygote, fertilisation, hermaphrodite)")</f>
        <v>Definition of sexual reproduction in animals(gametes, sperms, eggs, zygote, fertilisation, hermaphrodite)</v>
      </c>
      <c r="AI55" s="13" t="str">
        <f ca="1">IFERROR(__xludf.DUMMYFUNCTION("""COMPUTED_VALUE"""),"LU005911")</f>
        <v>LU005911</v>
      </c>
      <c r="AJ55" s="13" t="str">
        <f ca="1">IFERROR(__xludf.DUMMYFUNCTION("""COMPUTED_VALUE"""),"Reproduction in organisms(types and significance)")</f>
        <v>Reproduction in organisms(types and significance)</v>
      </c>
      <c r="AK55" s="13"/>
      <c r="AL55" s="13"/>
      <c r="AM55" s="13"/>
      <c r="AN55" s="13"/>
      <c r="AO55" s="13"/>
      <c r="AP55" s="13"/>
      <c r="AQ55" s="13"/>
      <c r="AR55" s="13"/>
      <c r="AS55" s="13"/>
      <c r="AT55" s="13"/>
    </row>
    <row r="56" spans="1:46" ht="52.8">
      <c r="A56" s="8" t="s">
        <v>247</v>
      </c>
      <c r="B56" s="8" t="s">
        <v>47</v>
      </c>
      <c r="C56" s="8" t="s">
        <v>731</v>
      </c>
      <c r="D56" s="8" t="s">
        <v>1406</v>
      </c>
      <c r="E56" s="8" t="s">
        <v>2093</v>
      </c>
      <c r="F56" s="8" t="s">
        <v>2105</v>
      </c>
      <c r="G56" s="8" t="s">
        <v>2107</v>
      </c>
      <c r="H56" s="8" t="str">
        <f ca="1">IFERROR(__xludf.DUMMYFUNCTION("VLOOKUP(G56, IMPORTRANGE(""https://docs.google.com/spreadsheets/d/14deopnvwcrKtEGCKuYXdUHJbeLDZlkiSSWWT0g7x2pM/edit#gid=849066331"", ""LU List Science (Filter)!A:B""), 2, FALSE)"),"Basics of oviparous and viviparous animals")</f>
        <v>Basics of oviparous and viviparous animals</v>
      </c>
      <c r="I56" s="10" t="str">
        <f t="shared" si="0"/>
        <v>LU005666.001</v>
      </c>
      <c r="J56" s="10" t="str">
        <f ca="1">IFERROR(__xludf.DUMMYFUNCTION("VLOOKUP(I56, IMPORTRANGE(""https://docs.google.com/spreadsheets/d/1yDAaXNsi4Mr5FtRQL4tbmSdIzhx6_m4wkOD7IG-k_eo/edit#gid=1336395716"", ""Science!M:N""), 2, FALSE)"),"Students will define oviparous and viviparous animals and list examples of each.")</f>
        <v>Students will define oviparous and viviparous animals and list examples of each.</v>
      </c>
      <c r="K56" s="10" t="str">
        <f t="shared" si="6"/>
        <v>LU005666.002</v>
      </c>
      <c r="L56" s="10" t="str">
        <f ca="1">IFERROR(__xludf.DUMMYFUNCTION("VLOOKUP(K56, IMPORTRANGE(""https://docs.google.com/spreadsheets/d/1yDAaXNsi4Mr5FtRQL4tbmSdIzhx6_m4wkOD7IG-k_eo/edit#gid=1336395716"", ""Science!M:N""), 2, FALSE)"),"Students will describe the differences in the reproductive processes of oviparous and viviparous animals.")</f>
        <v>Students will describe the differences in the reproductive processes of oviparous and viviparous animals.</v>
      </c>
      <c r="M56" s="10" t="str">
        <f t="shared" si="2"/>
        <v>LU005666.003</v>
      </c>
      <c r="N56" s="10" t="str">
        <f ca="1">IFERROR(__xludf.DUMMYFUNCTION("VLOOKUP(M56, IMPORTRANGE(""https://docs.google.com/spreadsheets/d/1yDAaXNsi4Mr5FtRQL4tbmSdIzhx6_m4wkOD7IG-k_eo/edit#gid=1336395716"", ""Science!M:N""), 2, FALSE)"),"Students will classify a given list of animals into oviparous and viviparous categories based on their reproductive characteristics.")</f>
        <v>Students will classify a given list of animals into oviparous and viviparous categories based on their reproductive characteristics.</v>
      </c>
      <c r="O56" s="10" t="str">
        <f t="shared" si="3"/>
        <v>LU005666.004</v>
      </c>
      <c r="P56" s="10" t="str">
        <f ca="1">IFERROR(__xludf.DUMMYFUNCTION("VLOOKUP(O56, IMPORTRANGE(""https://docs.google.com/spreadsheets/d/1yDAaXNsi4Mr5FtRQL4tbmSdIzhx6_m4wkOD7IG-k_eo/edit#gid=1336395716"", ""Science!M:N""), 2, FALSE)"),"Students will analyze the advantages and disadvantages of oviparous and viviparous modes of reproduction in different environmental contexts.")</f>
        <v>Students will analyze the advantages and disadvantages of oviparous and viviparous modes of reproduction in different environmental contexts.</v>
      </c>
      <c r="Q56" s="10" t="str">
        <f t="shared" si="4"/>
        <v>LU005666.005</v>
      </c>
      <c r="R56" s="10" t="str">
        <f ca="1">IFERROR(__xludf.DUMMYFUNCTION("VLOOKUP(Q56, IMPORTRANGE(""https://docs.google.com/spreadsheets/d/1yDAaXNsi4Mr5FtRQL4tbmSdIzhx6_m4wkOD7IG-k_eo/edit#gid=1336395716"", ""Science!M:N""), 2, FALSE)"),"Students will evaluate the impact of environmental changes on the survival of oviparous and viviparous species.")</f>
        <v>Students will evaluate the impact of environmental changes on the survival of oviparous and viviparous species.</v>
      </c>
      <c r="S56" s="10" t="str">
        <f t="shared" si="5"/>
        <v>LU005666.006</v>
      </c>
      <c r="T56" s="10" t="str">
        <f ca="1">IFERROR(__xludf.DUMMYFUNCTION("VLOOKUP(S56, IMPORTRANGE(""https://docs.google.com/spreadsheets/d/1yDAaXNsi4Mr5FtRQL4tbmSdIzhx6_m4wkOD7IG-k_eo/edit#gid=1336395716"", ""Science!M:N""), 2, FALSE)"),"#N/A")</f>
        <v>#N/A</v>
      </c>
      <c r="U56" s="116">
        <f ca="1">IFERROR(__xludf.DUMMYFUNCTION("ArrayFormula(VLOOKUP(G56, IMPORTRANGE(""https://docs.google.com/spreadsheets/d/1p7R4vtkWt5VOBim4ltsDG9KTzSjrtKXsMtQGXPHyND0/edit#gid=795171502"", ""'Filter 30_05_2024'!A1:M2000""), {2, 3, 4, 5,6,7,8,9,10,11,12,13}, 0))"),4)</f>
        <v>4</v>
      </c>
      <c r="V56" s="116">
        <f ca="1">IFERROR(__xludf.DUMMYFUNCTION("""COMPUTED_VALUE"""),6)</f>
        <v>6</v>
      </c>
      <c r="W56" s="116">
        <f ca="1">IFERROR(__xludf.DUMMYFUNCTION("""COMPUTED_VALUE"""),2)</f>
        <v>2</v>
      </c>
      <c r="X56" s="116">
        <f ca="1">IFERROR(__xludf.DUMMYFUNCTION("""COMPUTED_VALUE"""),12)</f>
        <v>12</v>
      </c>
      <c r="Y56" s="116">
        <f ca="1">IFERROR(__xludf.DUMMYFUNCTION("""COMPUTED_VALUE"""),4)</f>
        <v>4</v>
      </c>
      <c r="Z56" s="12">
        <f ca="1">IFERROR(__xludf.DUMMYFUNCTION("""COMPUTED_VALUE"""),3)</f>
        <v>3</v>
      </c>
      <c r="AA56" s="12">
        <f ca="1">IFERROR(__xludf.DUMMYFUNCTION("""COMPUTED_VALUE"""),1)</f>
        <v>1</v>
      </c>
      <c r="AB56" s="12">
        <f ca="1">IFERROR(__xludf.DUMMYFUNCTION("""COMPUTED_VALUE"""),8)</f>
        <v>8</v>
      </c>
      <c r="AC56" s="12"/>
      <c r="AD56" s="12"/>
      <c r="AE56" s="12"/>
      <c r="AF56" s="12"/>
      <c r="AG56" s="13" t="str">
        <f ca="1">IFERROR(__xludf.DUMMYFUNCTION("ArrayFormula(VLOOKUP(G56, IMPORTRANGE(""https://docs.google.com/spreadsheets/d/1Co934fvtviyaRiMsrIlT05Jaq7iiYq07aLvRr35KA48/edit?gid=173865642#gid=173865642"", ""'G8_Sci_Pri_LU'!G2:V2000""), {3, 4, 5, 6, 7, 8, 9, 10, 11, 12, 13, 14, 15, 16}, 0))"),"LU005662")</f>
        <v>LU005662</v>
      </c>
      <c r="AH56" s="13" t="str">
        <f ca="1">IFERROR(__xludf.DUMMYFUNCTION("""COMPUTED_VALUE"""),"Types of Reproductive Patterns in animals
")</f>
        <v xml:space="preserve">Types of Reproductive Patterns in animals
</v>
      </c>
      <c r="AI56" s="13" t="str">
        <f ca="1">IFERROR(__xludf.DUMMYFUNCTION("""COMPUTED_VALUE"""),"LU005657")</f>
        <v>LU005657</v>
      </c>
      <c r="AJ56" s="13" t="str">
        <f ca="1">IFERROR(__xludf.DUMMYFUNCTION("""COMPUTED_VALUE"""),"Definition of sexual reproduction in animals(gametes, sperms, eggs, zygote, fertilisation, hermaphrodite)")</f>
        <v>Definition of sexual reproduction in animals(gametes, sperms, eggs, zygote, fertilisation, hermaphrodite)</v>
      </c>
      <c r="AK56" s="13" t="str">
        <f ca="1">IFERROR(__xludf.DUMMYFUNCTION("""COMPUTED_VALUE"""),"LU005911")</f>
        <v>LU005911</v>
      </c>
      <c r="AL56" s="13" t="str">
        <f ca="1">IFERROR(__xludf.DUMMYFUNCTION("""COMPUTED_VALUE"""),"Reproduction in organisms(types and significance)")</f>
        <v>Reproduction in organisms(types and significance)</v>
      </c>
      <c r="AM56" s="13"/>
      <c r="AN56" s="13"/>
      <c r="AO56" s="13"/>
      <c r="AP56" s="13"/>
      <c r="AQ56" s="13"/>
      <c r="AR56" s="13"/>
      <c r="AS56" s="13"/>
      <c r="AT56" s="13"/>
    </row>
    <row r="57" spans="1:46" ht="66">
      <c r="A57" s="8" t="s">
        <v>247</v>
      </c>
      <c r="B57" s="8" t="s">
        <v>47</v>
      </c>
      <c r="C57" s="8" t="s">
        <v>731</v>
      </c>
      <c r="D57" s="8" t="s">
        <v>1406</v>
      </c>
      <c r="E57" s="8" t="s">
        <v>2093</v>
      </c>
      <c r="F57" s="8" t="s">
        <v>2105</v>
      </c>
      <c r="G57" s="8" t="s">
        <v>2108</v>
      </c>
      <c r="H57" s="8" t="str">
        <f ca="1">IFERROR(__xludf.DUMMYFUNCTION("VLOOKUP(G57, IMPORTRANGE(""https://docs.google.com/spreadsheets/d/14deopnvwcrKtEGCKuYXdUHJbeLDZlkiSSWWT0g7x2pM/edit#gid=849066331"", ""LU List Science (Filter)!A:B""), 2, FALSE)"),"Hens' Egg Laying Process (Till Hatching)")</f>
        <v>Hens' Egg Laying Process (Till Hatching)</v>
      </c>
      <c r="I57" s="10" t="str">
        <f t="shared" si="0"/>
        <v>LU005663.001</v>
      </c>
      <c r="J57" s="10" t="str">
        <f ca="1">IFERROR(__xludf.DUMMYFUNCTION("VLOOKUP(I57, IMPORTRANGE(""https://docs.google.com/spreadsheets/d/1yDAaXNsi4Mr5FtRQL4tbmSdIzhx6_m4wkOD7IG-k_eo/edit#gid=1336395716"", ""Science!M:N""), 2, FALSE)"),"Recall and list the key stages in the hens' egg laying process, from the formation of the egg to the hatching of chicks.")</f>
        <v>Recall and list the key stages in the hens' egg laying process, from the formation of the egg to the hatching of chicks.</v>
      </c>
      <c r="K57" s="10" t="str">
        <f t="shared" si="6"/>
        <v>LU005663.002</v>
      </c>
      <c r="L57" s="10" t="str">
        <f ca="1">IFERROR(__xludf.DUMMYFUNCTION("VLOOKUP(K57, IMPORTRANGE(""https://docs.google.com/spreadsheets/d/1yDAaXNsi4Mr5FtRQL4tbmSdIzhx6_m4wkOD7IG-k_eo/edit#gid=1336395716"", ""Science!M:N""), 2, FALSE)"),"Explain in simple terms why hens lay eggs and how the process leads to the formation of chicks.")</f>
        <v>Explain in simple terms why hens lay eggs and how the process leads to the formation of chicks.</v>
      </c>
      <c r="M57" s="10" t="str">
        <f t="shared" si="2"/>
        <v>LU005663.003</v>
      </c>
      <c r="N57" s="10" t="str">
        <f ca="1">IFERROR(__xludf.DUMMYFUNCTION("VLOOKUP(M57, IMPORTRANGE(""https://docs.google.com/spreadsheets/d/1yDAaXNsi4Mr5FtRQL4tbmSdIzhx6_m4wkOD7IG-k_eo/edit#gid=1336395716"", ""Science!M:N""), 2, FALSE)"),"Describe the sequence of events in the hens' egg laying process, including fertilization, egg development, and incubation, using a basic diagram or visual representation.")</f>
        <v>Describe the sequence of events in the hens' egg laying process, including fertilization, egg development, and incubation, using a basic diagram or visual representation.</v>
      </c>
      <c r="O57" s="10" t="str">
        <f t="shared" si="3"/>
        <v>LU005663.004</v>
      </c>
      <c r="P57" s="10" t="str">
        <f ca="1">IFERROR(__xludf.DUMMYFUNCTION("VLOOKUP(O57, IMPORTRANGE(""https://docs.google.com/spreadsheets/d/1yDAaXNsi4Mr5FtRQL4tbmSdIzhx6_m4wkOD7IG-k_eo/edit#gid=1336395716"", ""Science!M:N""), 2, FALSE)"),"Analyze the role of each stage in the hens' egg laying process, emphasizing the importance of fertilization and the function of the brood patch during incubation.")</f>
        <v>Analyze the role of each stage in the hens' egg laying process, emphasizing the importance of fertilization and the function of the brood patch during incubation.</v>
      </c>
      <c r="Q57" s="10" t="str">
        <f t="shared" si="4"/>
        <v>LU005663.005</v>
      </c>
      <c r="R57" s="10" t="str">
        <f ca="1">IFERROR(__xludf.DUMMYFUNCTION("VLOOKUP(Q57, IMPORTRANGE(""https://docs.google.com/spreadsheets/d/1yDAaXNsi4Mr5FtRQL4tbmSdIzhx6_m4wkOD7IG-k_eo/edit#gid=1336395716"", ""Science!M:N""), 2, FALSE)"),"Evaluate the conditions required for successful egg hatching in hens, including factors like temperature, humidity, and maternal care.")</f>
        <v>Evaluate the conditions required for successful egg hatching in hens, including factors like temperature, humidity, and maternal care.</v>
      </c>
      <c r="S57" s="10" t="str">
        <f t="shared" si="5"/>
        <v>LU005663.006</v>
      </c>
      <c r="T57" s="10" t="str">
        <f ca="1">IFERROR(__xludf.DUMMYFUNCTION("VLOOKUP(S57, IMPORTRANGE(""https://docs.google.com/spreadsheets/d/1yDAaXNsi4Mr5FtRQL4tbmSdIzhx6_m4wkOD7IG-k_eo/edit#gid=1336395716"", ""Science!M:N""), 2, FALSE)"),"#N/A")</f>
        <v>#N/A</v>
      </c>
      <c r="U57" s="116">
        <f ca="1">IFERROR(__xludf.DUMMYFUNCTION("ArrayFormula(VLOOKUP(G57, IMPORTRANGE(""https://docs.google.com/spreadsheets/d/1p7R4vtkWt5VOBim4ltsDG9KTzSjrtKXsMtQGXPHyND0/edit#gid=795171502"", ""'Filter 30_05_2024'!A1:M2000""), {2, 3, 4, 5,6,7,8,9,10,11,12,13}, 0))"),4)</f>
        <v>4</v>
      </c>
      <c r="V57" s="116">
        <f ca="1">IFERROR(__xludf.DUMMYFUNCTION("""COMPUTED_VALUE"""),6)</f>
        <v>6</v>
      </c>
      <c r="W57" s="116">
        <f ca="1">IFERROR(__xludf.DUMMYFUNCTION("""COMPUTED_VALUE"""),2)</f>
        <v>2</v>
      </c>
      <c r="X57" s="116">
        <f ca="1">IFERROR(__xludf.DUMMYFUNCTION("""COMPUTED_VALUE"""),12)</f>
        <v>12</v>
      </c>
      <c r="Y57" s="116">
        <f ca="1">IFERROR(__xludf.DUMMYFUNCTION("""COMPUTED_VALUE"""),4)</f>
        <v>4</v>
      </c>
      <c r="Z57" s="12">
        <f ca="1">IFERROR(__xludf.DUMMYFUNCTION("""COMPUTED_VALUE"""),3)</f>
        <v>3</v>
      </c>
      <c r="AA57" s="12">
        <f ca="1">IFERROR(__xludf.DUMMYFUNCTION("""COMPUTED_VALUE"""),1)</f>
        <v>1</v>
      </c>
      <c r="AB57" s="12">
        <f ca="1">IFERROR(__xludf.DUMMYFUNCTION("""COMPUTED_VALUE"""),8)</f>
        <v>8</v>
      </c>
      <c r="AC57" s="12"/>
      <c r="AD57" s="12"/>
      <c r="AE57" s="12"/>
      <c r="AF57" s="12"/>
      <c r="AG57" s="13" t="str">
        <f ca="1">IFERROR(__xludf.DUMMYFUNCTION("ArrayFormula(VLOOKUP(G57, IMPORTRANGE(""https://docs.google.com/spreadsheets/d/1Co934fvtviyaRiMsrIlT05Jaq7iiYq07aLvRr35KA48/edit?gid=173865642#gid=173865642"", ""'G8_Sci_Pri_LU'!G2:V2000""), {3, 4, 5, 6, 7, 8, 9, 10, 11, 12, 13, 14, 15, 16}, 0))"),"LU005666")</f>
        <v>LU005666</v>
      </c>
      <c r="AH57" s="13" t="str">
        <f ca="1">IFERROR(__xludf.DUMMYFUNCTION("""COMPUTED_VALUE"""),"Basics of oviparous and viviparous animals")</f>
        <v>Basics of oviparous and viviparous animals</v>
      </c>
      <c r="AI57" s="13" t="str">
        <f ca="1">IFERROR(__xludf.DUMMYFUNCTION("""COMPUTED_VALUE"""),"LU005657")</f>
        <v>LU005657</v>
      </c>
      <c r="AJ57" s="13" t="str">
        <f ca="1">IFERROR(__xludf.DUMMYFUNCTION("""COMPUTED_VALUE"""),"Definition of sexual reproduction in animals(gametes, sperms, eggs, zygote, fertilisation, hermaphrodite)")</f>
        <v>Definition of sexual reproduction in animals(gametes, sperms, eggs, zygote, fertilisation, hermaphrodite)</v>
      </c>
      <c r="AK57" s="13" t="str">
        <f ca="1">IFERROR(__xludf.DUMMYFUNCTION("""COMPUTED_VALUE"""),"LU005911")</f>
        <v>LU005911</v>
      </c>
      <c r="AL57" s="13" t="str">
        <f ca="1">IFERROR(__xludf.DUMMYFUNCTION("""COMPUTED_VALUE"""),"Reproduction in organisms(types and significance)")</f>
        <v>Reproduction in organisms(types and significance)</v>
      </c>
      <c r="AM57" s="13"/>
      <c r="AN57" s="13"/>
      <c r="AO57" s="13"/>
      <c r="AP57" s="13"/>
      <c r="AQ57" s="13"/>
      <c r="AR57" s="13"/>
      <c r="AS57" s="13"/>
      <c r="AT57" s="13"/>
    </row>
    <row r="58" spans="1:46" ht="79.2">
      <c r="A58" s="8" t="s">
        <v>247</v>
      </c>
      <c r="B58" s="8" t="s">
        <v>47</v>
      </c>
      <c r="C58" s="8" t="s">
        <v>731</v>
      </c>
      <c r="D58" s="8" t="s">
        <v>1406</v>
      </c>
      <c r="E58" s="8" t="s">
        <v>2093</v>
      </c>
      <c r="F58" s="8" t="s">
        <v>2109</v>
      </c>
      <c r="G58" s="8" t="s">
        <v>2110</v>
      </c>
      <c r="H58" s="8" t="str">
        <f ca="1">IFERROR(__xludf.DUMMYFUNCTION("VLOOKUP(G58, IMPORTRANGE(""https://docs.google.com/spreadsheets/d/14deopnvwcrKtEGCKuYXdUHJbeLDZlkiSSWWT0g7x2pM/edit#gid=849066331"", ""LU List Science (Filter)!A:B""), 2, FALSE)"),"Life Cycle of a Frog")</f>
        <v>Life Cycle of a Frog</v>
      </c>
      <c r="I58" s="10" t="str">
        <f t="shared" si="0"/>
        <v>LU005665.001</v>
      </c>
      <c r="J58" s="10" t="str">
        <f ca="1">IFERROR(__xludf.DUMMYFUNCTION("VLOOKUP(I58, IMPORTRANGE(""https://docs.google.com/spreadsheets/d/1yDAaXNsi4Mr5FtRQL4tbmSdIzhx6_m4wkOD7IG-k_eo/edit#gid=1336395716"", ""Science!M:N""), 2, FALSE)"),"Recall and list the stages of the life cycle of a frog, including the egg, tadpole, metamorph, and adult frog stages, in the correct sequence.")</f>
        <v>Recall and list the stages of the life cycle of a frog, including the egg, tadpole, metamorph, and adult frog stages, in the correct sequence.</v>
      </c>
      <c r="K58" s="10" t="str">
        <f t="shared" si="6"/>
        <v>LU005665.002</v>
      </c>
      <c r="L58" s="10" t="str">
        <f ca="1">IFERROR(__xludf.DUMMYFUNCTION("VLOOKUP(K58, IMPORTRANGE(""https://docs.google.com/spreadsheets/d/1yDAaXNsi4Mr5FtRQL4tbmSdIzhx6_m4wkOD7IG-k_eo/edit#gid=1336395716"", ""Science!M:N""), 2, FALSE)"),"Explain the purpose and significance of each stage in the life cycle of a frog, emphasizing how each stage contributes to their survival and adaptation to both aquatic and terrestrial habitats.")</f>
        <v>Explain the purpose and significance of each stage in the life cycle of a frog, emphasizing how each stage contributes to their survival and adaptation to both aquatic and terrestrial habitats.</v>
      </c>
      <c r="M58" s="10" t="str">
        <f t="shared" si="2"/>
        <v>LU005665.003</v>
      </c>
      <c r="N58" s="10" t="str">
        <f ca="1">IFERROR(__xludf.DUMMYFUNCTION("VLOOKUP(M58, IMPORTRANGE(""https://docs.google.com/spreadsheets/d/1yDAaXNsi4Mr5FtRQL4tbmSdIzhx6_m4wkOD7IG-k_eo/edit#gid=1336395716"", ""Science!M:N""), 2, FALSE)"),"Apply knowledge of the frog's life cycle to describe the adaptations and changes in form, physiology, and behavior that occur during each stage, and how these adaptations help them thrive in different environments.")</f>
        <v>Apply knowledge of the frog's life cycle to describe the adaptations and changes in form, physiology, and behavior that occur during each stage, and how these adaptations help them thrive in different environments.</v>
      </c>
      <c r="O58" s="10" t="str">
        <f t="shared" si="3"/>
        <v>LU005665.004</v>
      </c>
      <c r="P58" s="10" t="str">
        <f ca="1">IFERROR(__xludf.DUMMYFUNCTION("VLOOKUP(O58, IMPORTRANGE(""https://docs.google.com/spreadsheets/d/1yDAaXNsi4Mr5FtRQL4tbmSdIzhx6_m4wkOD7IG-k_eo/edit#gid=1336395716"", ""Science!M:N""), 2, FALSE)"),"Analyze the ecological advantages of the frog's life cycle, considering how it reduces competition for resources in aquatic habitats, and how it enables frogs to exploit both aquatic and terrestrial environments.")</f>
        <v>Analyze the ecological advantages of the frog's life cycle, considering how it reduces competition for resources in aquatic habitats, and how it enables frogs to exploit both aquatic and terrestrial environments.</v>
      </c>
      <c r="Q58" s="10" t="str">
        <f t="shared" si="4"/>
        <v>LU005665.005</v>
      </c>
      <c r="R58" s="10" t="str">
        <f ca="1">IFERROR(__xludf.DUMMYFUNCTION("VLOOKUP(Q58, IMPORTRANGE(""https://docs.google.com/spreadsheets/d/1yDAaXNsi4Mr5FtRQL4tbmSdIzhx6_m4wkOD7IG-k_eo/edit#gid=1336395716"", ""Science!M:N""), 2, FALSE)"),"Evaluate the role of the frog's life cycle in the survival and reproductive success of frog species, considering how it enhances their ability to occupy diverse habitats and avoid predation.")</f>
        <v>Evaluate the role of the frog's life cycle in the survival and reproductive success of frog species, considering how it enhances their ability to occupy diverse habitats and avoid predation.</v>
      </c>
      <c r="S58" s="10" t="str">
        <f t="shared" si="5"/>
        <v>LU005665.006</v>
      </c>
      <c r="T58" s="10" t="str">
        <f ca="1">IFERROR(__xludf.DUMMYFUNCTION("VLOOKUP(S58, IMPORTRANGE(""https://docs.google.com/spreadsheets/d/1yDAaXNsi4Mr5FtRQL4tbmSdIzhx6_m4wkOD7IG-k_eo/edit#gid=1336395716"", ""Science!M:N""), 2, FALSE)"),"#N/A")</f>
        <v>#N/A</v>
      </c>
      <c r="U58" s="116">
        <f ca="1">IFERROR(__xludf.DUMMYFUNCTION("ArrayFormula(VLOOKUP(G58, IMPORTRANGE(""https://docs.google.com/spreadsheets/d/1p7R4vtkWt5VOBim4ltsDG9KTzSjrtKXsMtQGXPHyND0/edit#gid=795171502"", ""'Filter 30_05_2024'!A1:M2000""), {2, 3, 4, 5,6,7,8,9,10,11,12,13}, 0))"),4)</f>
        <v>4</v>
      </c>
      <c r="V58" s="116">
        <f ca="1">IFERROR(__xludf.DUMMYFUNCTION("""COMPUTED_VALUE"""),6)</f>
        <v>6</v>
      </c>
      <c r="W58" s="116">
        <f ca="1">IFERROR(__xludf.DUMMYFUNCTION("""COMPUTED_VALUE"""),2)</f>
        <v>2</v>
      </c>
      <c r="X58" s="116">
        <f ca="1">IFERROR(__xludf.DUMMYFUNCTION("""COMPUTED_VALUE"""),12)</f>
        <v>12</v>
      </c>
      <c r="Y58" s="116">
        <f ca="1">IFERROR(__xludf.DUMMYFUNCTION("""COMPUTED_VALUE"""),4)</f>
        <v>4</v>
      </c>
      <c r="Z58" s="12">
        <f ca="1">IFERROR(__xludf.DUMMYFUNCTION("""COMPUTED_VALUE"""),3)</f>
        <v>3</v>
      </c>
      <c r="AA58" s="12">
        <f ca="1">IFERROR(__xludf.DUMMYFUNCTION("""COMPUTED_VALUE"""),1)</f>
        <v>1</v>
      </c>
      <c r="AB58" s="12">
        <f ca="1">IFERROR(__xludf.DUMMYFUNCTION("""COMPUTED_VALUE"""),8)</f>
        <v>8</v>
      </c>
      <c r="AC58" s="12"/>
      <c r="AD58" s="12"/>
      <c r="AE58" s="12"/>
      <c r="AF58" s="12"/>
      <c r="AG58" s="13" t="str">
        <f ca="1">IFERROR(__xludf.DUMMYFUNCTION("ArrayFormula(VLOOKUP(G58, IMPORTRANGE(""https://docs.google.com/spreadsheets/d/1Co934fvtviyaRiMsrIlT05Jaq7iiYq07aLvRr35KA48/edit?gid=173865642#gid=173865642"", ""'G8_Sci_Pri_LU'!G2:V2000""), {3, 4, 5, 6, 7, 8, 9, 10, 11, 12, 13, 14, 15, 16}, 0))"),"LU006434")</f>
        <v>LU006434</v>
      </c>
      <c r="AH58" s="13" t="str">
        <f ca="1">IFERROR(__xludf.DUMMYFUNCTION("""COMPUTED_VALUE"""),"Stages of Life Cycle of a Frog")</f>
        <v>Stages of Life Cycle of a Frog</v>
      </c>
      <c r="AI58" s="13" t="str">
        <f ca="1">IFERROR(__xludf.DUMMYFUNCTION("""COMPUTED_VALUE"""),"LU005662")</f>
        <v>LU005662</v>
      </c>
      <c r="AJ58" s="13" t="str">
        <f ca="1">IFERROR(__xludf.DUMMYFUNCTION("""COMPUTED_VALUE"""),"Types of Reproductive Patterns in animals
")</f>
        <v xml:space="preserve">Types of Reproductive Patterns in animals
</v>
      </c>
      <c r="AK58" s="13" t="str">
        <f ca="1">IFERROR(__xludf.DUMMYFUNCTION("""COMPUTED_VALUE"""),"LU005657")</f>
        <v>LU005657</v>
      </c>
      <c r="AL58" s="13" t="str">
        <f ca="1">IFERROR(__xludf.DUMMYFUNCTION("""COMPUTED_VALUE"""),"Definition of sexual reproduction in animals(gametes, sperms, eggs, zygote, fertilisation, hermaphrodite)")</f>
        <v>Definition of sexual reproduction in animals(gametes, sperms, eggs, zygote, fertilisation, hermaphrodite)</v>
      </c>
      <c r="AM58" s="13"/>
      <c r="AN58" s="13"/>
      <c r="AO58" s="13"/>
      <c r="AP58" s="13"/>
      <c r="AQ58" s="13"/>
      <c r="AR58" s="13"/>
      <c r="AS58" s="13"/>
      <c r="AT58" s="13"/>
    </row>
    <row r="59" spans="1:46" ht="52.8">
      <c r="A59" s="8" t="s">
        <v>247</v>
      </c>
      <c r="B59" s="8" t="s">
        <v>47</v>
      </c>
      <c r="C59" s="8" t="s">
        <v>731</v>
      </c>
      <c r="D59" s="8" t="s">
        <v>1406</v>
      </c>
      <c r="E59" s="8" t="s">
        <v>2111</v>
      </c>
      <c r="F59" s="8" t="s">
        <v>2112</v>
      </c>
      <c r="G59" s="8" t="s">
        <v>2113</v>
      </c>
      <c r="H59" s="8" t="str">
        <f ca="1">IFERROR(__xludf.DUMMYFUNCTION("VLOOKUP(G59, IMPORTRANGE(""https://docs.google.com/spreadsheets/d/14deopnvwcrKtEGCKuYXdUHJbeLDZlkiSSWWT0g7x2pM/edit#gid=849066331"", ""LU List Science (Filter)!A:B""), 2, FALSE)"),"Introduction to adolescence and puberty")</f>
        <v>Introduction to adolescence and puberty</v>
      </c>
      <c r="I59" s="10" t="str">
        <f t="shared" si="0"/>
        <v>LU005654.001</v>
      </c>
      <c r="J59" s="10" t="str">
        <f ca="1">IFERROR(__xludf.DUMMYFUNCTION("VLOOKUP(I59, IMPORTRANGE(""https://docs.google.com/spreadsheets/d/1yDAaXNsi4Mr5FtRQL4tbmSdIzhx6_m4wkOD7IG-k_eo/edit#gid=1336395716"", ""Science!M:N""), 2, FALSE)"),"Recall the definition of ""adolescence"" and ""puberty"" and list at least two physical changes that typically occur during puberty.")</f>
        <v>Recall the definition of "adolescence" and "puberty" and list at least two physical changes that typically occur during puberty.</v>
      </c>
      <c r="K59" s="10" t="str">
        <f t="shared" si="6"/>
        <v>LU005654.002</v>
      </c>
      <c r="L59" s="10" t="str">
        <f ca="1">IFERROR(__xludf.DUMMYFUNCTION("VLOOKUP(K59, IMPORTRANGE(""https://docs.google.com/spreadsheets/d/1yDAaXNsi4Mr5FtRQL4tbmSdIzhx6_m4wkOD7IG-k_eo/edit#gid=1336395716"", ""Science!M:N""), 2, FALSE)"),"Explain the difference between adolescence and childhood, highlighting the key psychological and physical changes that mark the transition.")</f>
        <v>Explain the difference between adolescence and childhood, highlighting the key psychological and physical changes that mark the transition.</v>
      </c>
      <c r="M59" s="10" t="str">
        <f t="shared" si="2"/>
        <v>LU005654.003</v>
      </c>
      <c r="N59" s="10" t="str">
        <f ca="1">IFERROR(__xludf.DUMMYFUNCTION("VLOOKUP(M59, IMPORTRANGE(""https://docs.google.com/spreadsheets/d/1yDAaXNsi4Mr5FtRQL4tbmSdIzhx6_m4wkOD7IG-k_eo/edit#gid=1336395716"", ""Science!M:N""), 2, FALSE)"),"Given a list of physical changes, categorize them as either typical characteristics of childhood or features of adolescence.")</f>
        <v>Given a list of physical changes, categorize them as either typical characteristics of childhood or features of adolescence.</v>
      </c>
      <c r="O59" s="10" t="str">
        <f t="shared" si="3"/>
        <v>LU005654.004</v>
      </c>
      <c r="P59" s="10" t="str">
        <f ca="1">IFERROR(__xludf.DUMMYFUNCTION("VLOOKUP(O59, IMPORTRANGE(""https://docs.google.com/spreadsheets/d/1yDAaXNsi4Mr5FtRQL4tbmSdIzhx6_m4wkOD7IG-k_eo/edit#gid=1336395716"", ""Science!M:N""), 2, FALSE)"),"#N/A")</f>
        <v>#N/A</v>
      </c>
      <c r="Q59" s="10" t="str">
        <f t="shared" si="4"/>
        <v>LU005654.005</v>
      </c>
      <c r="R59" s="10" t="str">
        <f ca="1">IFERROR(__xludf.DUMMYFUNCTION("VLOOKUP(Q59, IMPORTRANGE(""https://docs.google.com/spreadsheets/d/1yDAaXNsi4Mr5FtRQL4tbmSdIzhx6_m4wkOD7IG-k_eo/edit#gid=1336395716"", ""Science!M:N""), 2, FALSE)"),"#N/A")</f>
        <v>#N/A</v>
      </c>
      <c r="S59" s="10" t="str">
        <f t="shared" si="5"/>
        <v>LU005654.006</v>
      </c>
      <c r="T59" s="10" t="str">
        <f ca="1">IFERROR(__xludf.DUMMYFUNCTION("VLOOKUP(S59, IMPORTRANGE(""https://docs.google.com/spreadsheets/d/1yDAaXNsi4Mr5FtRQL4tbmSdIzhx6_m4wkOD7IG-k_eo/edit#gid=1336395716"", ""Science!M:N""), 2, FALSE)"),"#N/A")</f>
        <v>#N/A</v>
      </c>
      <c r="U59" s="116">
        <f ca="1">IFERROR(__xludf.DUMMYFUNCTION("ArrayFormula(VLOOKUP(G59, IMPORTRANGE(""https://docs.google.com/spreadsheets/d/1p7R4vtkWt5VOBim4ltsDG9KTzSjrtKXsMtQGXPHyND0/edit#gid=795171502"", ""'Filter 30_05_2024'!A1:M2000""), {2, 3, 4, 5,6,7,8,9,10,11,12,13}, 0))"),4)</f>
        <v>4</v>
      </c>
      <c r="V59" s="116">
        <f ca="1">IFERROR(__xludf.DUMMYFUNCTION("""COMPUTED_VALUE"""),6)</f>
        <v>6</v>
      </c>
      <c r="W59" s="116">
        <f ca="1">IFERROR(__xludf.DUMMYFUNCTION("""COMPUTED_VALUE"""),2)</f>
        <v>2</v>
      </c>
      <c r="X59" s="116">
        <f ca="1">IFERROR(__xludf.DUMMYFUNCTION("""COMPUTED_VALUE"""),12)</f>
        <v>12</v>
      </c>
      <c r="Y59" s="116">
        <f ca="1">IFERROR(__xludf.DUMMYFUNCTION("""COMPUTED_VALUE"""),4)</f>
        <v>4</v>
      </c>
      <c r="Z59" s="12">
        <f ca="1">IFERROR(__xludf.DUMMYFUNCTION("""COMPUTED_VALUE"""),3)</f>
        <v>3</v>
      </c>
      <c r="AA59" s="12">
        <f ca="1">IFERROR(__xludf.DUMMYFUNCTION("""COMPUTED_VALUE"""),1)</f>
        <v>1</v>
      </c>
      <c r="AB59" s="12">
        <f ca="1">IFERROR(__xludf.DUMMYFUNCTION("""COMPUTED_VALUE"""),8)</f>
        <v>8</v>
      </c>
      <c r="AC59" s="12"/>
      <c r="AD59" s="12"/>
      <c r="AE59" s="12"/>
      <c r="AF59" s="12"/>
      <c r="AG59" s="13" t="str">
        <f ca="1">IFERROR(__xludf.DUMMYFUNCTION("ArrayFormula(VLOOKUP(G59, IMPORTRANGE(""https://docs.google.com/spreadsheets/d/1Co934fvtviyaRiMsrIlT05Jaq7iiYq07aLvRr35KA48/edit?gid=173865642#gid=173865642"", ""'G8_Sci_Pri_LU'!G2:V2000""), {3, 4, 5, 6, 7, 8, 9, 10, 11, 12, 13, 14, 15, 16}, 0))"),"")</f>
        <v/>
      </c>
      <c r="AH59" s="13"/>
      <c r="AI59" s="13"/>
      <c r="AJ59" s="13"/>
      <c r="AK59" s="13"/>
      <c r="AL59" s="13"/>
      <c r="AM59" s="13"/>
      <c r="AN59" s="13"/>
      <c r="AO59" s="13"/>
      <c r="AP59" s="13"/>
      <c r="AQ59" s="13"/>
      <c r="AR59" s="13"/>
      <c r="AS59" s="13"/>
      <c r="AT59" s="13"/>
    </row>
    <row r="60" spans="1:46" ht="66">
      <c r="A60" s="8" t="s">
        <v>247</v>
      </c>
      <c r="B60" s="8" t="s">
        <v>47</v>
      </c>
      <c r="C60" s="8" t="s">
        <v>731</v>
      </c>
      <c r="D60" s="8" t="s">
        <v>1406</v>
      </c>
      <c r="E60" s="8" t="s">
        <v>2111</v>
      </c>
      <c r="F60" s="8" t="s">
        <v>2112</v>
      </c>
      <c r="G60" s="8" t="s">
        <v>2114</v>
      </c>
      <c r="H60" s="8" t="str">
        <f ca="1">IFERROR(__xludf.DUMMYFUNCTION("VLOOKUP(G60, IMPORTRANGE(""https://docs.google.com/spreadsheets/d/14deopnvwcrKtEGCKuYXdUHJbeLDZlkiSSWWT0g7x2pM/edit#gid=849066331"", ""LU List Science (Filter)!A:B""), 2, FALSE)"),"Changes at Puberty")</f>
        <v>Changes at Puberty</v>
      </c>
      <c r="I60" s="10" t="str">
        <f t="shared" si="0"/>
        <v>LU005653.001</v>
      </c>
      <c r="J60" s="10" t="str">
        <f ca="1">IFERROR(__xludf.DUMMYFUNCTION("VLOOKUP(I60, IMPORTRANGE(""https://docs.google.com/spreadsheets/d/1yDAaXNsi4Mr5FtRQL4tbmSdIzhx6_m4wkOD7IG-k_eo/edit#gid=1336395716"", ""Science!M:N""), 2, FALSE)"),"Recall and list the primary physical changes that typically occur during puberty.")</f>
        <v>Recall and list the primary physical changes that typically occur during puberty.</v>
      </c>
      <c r="K60" s="10" t="str">
        <f t="shared" si="6"/>
        <v>LU005653.002</v>
      </c>
      <c r="L60" s="10" t="str">
        <f ca="1">IFERROR(__xludf.DUMMYFUNCTION("VLOOKUP(K60, IMPORTRANGE(""https://docs.google.com/spreadsheets/d/1yDAaXNsi4Mr5FtRQL4tbmSdIzhx6_m4wkOD7IG-k_eo/edit#gid=1336395716"", ""Science!M:N""), 2, FALSE)"),"Explain the importance of these physical changes during puberty in the transition from childhood to adolescence, without discussing the specific role of hormones.")</f>
        <v>Explain the importance of these physical changes during puberty in the transition from childhood to adolescence, without discussing the specific role of hormones.</v>
      </c>
      <c r="M60" s="10" t="str">
        <f t="shared" si="2"/>
        <v>LU005653.003</v>
      </c>
      <c r="N60" s="10" t="str">
        <f ca="1">IFERROR(__xludf.DUMMYFUNCTION("VLOOKUP(M60, IMPORTRANGE(""https://docs.google.com/spreadsheets/d/1yDAaXNsi4Mr5FtRQL4tbmSdIzhx6_m4wkOD7IG-k_eo/edit#gid=1336395716"", ""Science!M:N""), 2, FALSE)"),"Given everyday situations, analyze how one or more of the physical changes during puberty may impact an individual's daily life, social interactions, or self-esteem, without delving into hormonal explanations.")</f>
        <v>Given everyday situations, analyze how one or more of the physical changes during puberty may impact an individual's daily life, social interactions, or self-esteem, without delving into hormonal explanations.</v>
      </c>
      <c r="O60" s="10" t="str">
        <f t="shared" si="3"/>
        <v>LU005653.004</v>
      </c>
      <c r="P60" s="10" t="str">
        <f ca="1">IFERROR(__xludf.DUMMYFUNCTION("VLOOKUP(O60, IMPORTRANGE(""https://docs.google.com/spreadsheets/d/1yDAaXNsi4Mr5FtRQL4tbmSdIzhx6_m4wkOD7IG-k_eo/edit#gid=1336395716"", ""Science!M:N""), 2, FALSE)"),"Compare and contrast the physical changes related to puberty in boys and girls, highlighting the similarities and differences without exploring the hormonal aspects.")</f>
        <v>Compare and contrast the physical changes related to puberty in boys and girls, highlighting the similarities and differences without exploring the hormonal aspects.</v>
      </c>
      <c r="Q60" s="10" t="str">
        <f t="shared" si="4"/>
        <v>LU005653.005</v>
      </c>
      <c r="R60" s="10" t="str">
        <f ca="1">IFERROR(__xludf.DUMMYFUNCTION("VLOOKUP(Q60, IMPORTRANGE(""https://docs.google.com/spreadsheets/d/1yDAaXNsi4Mr5FtRQL4tbmSdIzhx6_m4wkOD7IG-k_eo/edit#gid=1336395716"", ""Science!M:N""), 2, FALSE)"),"Evaluate the importance of providing age-appropriate information about the physical changes of puberty to Grade 8 students, considering how it can positively influence their self-image and emotional well-being, without mentioning hormones.")</f>
        <v>Evaluate the importance of providing age-appropriate information about the physical changes of puberty to Grade 8 students, considering how it can positively influence their self-image and emotional well-being, without mentioning hormones.</v>
      </c>
      <c r="S60" s="10" t="str">
        <f t="shared" si="5"/>
        <v>LU005653.006</v>
      </c>
      <c r="T60" s="10" t="str">
        <f ca="1">IFERROR(__xludf.DUMMYFUNCTION("VLOOKUP(S60, IMPORTRANGE(""https://docs.google.com/spreadsheets/d/1yDAaXNsi4Mr5FtRQL4tbmSdIzhx6_m4wkOD7IG-k_eo/edit#gid=1336395716"", ""Science!M:N""), 2, FALSE)"),"#N/A")</f>
        <v>#N/A</v>
      </c>
      <c r="U60" s="116">
        <f ca="1">IFERROR(__xludf.DUMMYFUNCTION("ArrayFormula(VLOOKUP(G60, IMPORTRANGE(""https://docs.google.com/spreadsheets/d/1p7R4vtkWt5VOBim4ltsDG9KTzSjrtKXsMtQGXPHyND0/edit#gid=795171502"", ""'Filter 30_05_2024'!A1:M2000""), {2, 3, 4, 5,6,7,8,9,10,11,12,13}, 0))"),4)</f>
        <v>4</v>
      </c>
      <c r="V60" s="116">
        <f ca="1">IFERROR(__xludf.DUMMYFUNCTION("""COMPUTED_VALUE"""),6)</f>
        <v>6</v>
      </c>
      <c r="W60" s="116">
        <f ca="1">IFERROR(__xludf.DUMMYFUNCTION("""COMPUTED_VALUE"""),2)</f>
        <v>2</v>
      </c>
      <c r="X60" s="116">
        <f ca="1">IFERROR(__xludf.DUMMYFUNCTION("""COMPUTED_VALUE"""),12)</f>
        <v>12</v>
      </c>
      <c r="Y60" s="116">
        <f ca="1">IFERROR(__xludf.DUMMYFUNCTION("""COMPUTED_VALUE"""),4)</f>
        <v>4</v>
      </c>
      <c r="Z60" s="12">
        <f ca="1">IFERROR(__xludf.DUMMYFUNCTION("""COMPUTED_VALUE"""),4)</f>
        <v>4</v>
      </c>
      <c r="AA60" s="12">
        <f ca="1">IFERROR(__xludf.DUMMYFUNCTION("""COMPUTED_VALUE"""),1)</f>
        <v>1</v>
      </c>
      <c r="AB60" s="12">
        <f ca="1">IFERROR(__xludf.DUMMYFUNCTION("""COMPUTED_VALUE"""),9)</f>
        <v>9</v>
      </c>
      <c r="AC60" s="12"/>
      <c r="AD60" s="12"/>
      <c r="AE60" s="12"/>
      <c r="AF60" s="12"/>
      <c r="AG60" s="13" t="str">
        <f ca="1">IFERROR(__xludf.DUMMYFUNCTION("ArrayFormula(VLOOKUP(G60, IMPORTRANGE(""https://docs.google.com/spreadsheets/d/1Co934fvtviyaRiMsrIlT05Jaq7iiYq07aLvRr35KA48/edit?gid=173865642#gid=173865642"", ""'G8_Sci_Pri_LU'!G2:V2000""), {3, 4, 5, 6, 7, 8, 9, 10, 11, 12, 13, 14, 15, 16}, 0))"),"LU005654")</f>
        <v>LU005654</v>
      </c>
      <c r="AH60" s="13" t="str">
        <f ca="1">IFERROR(__xludf.DUMMYFUNCTION("""COMPUTED_VALUE"""),"Introduction to adolescence and puberty")</f>
        <v>Introduction to adolescence and puberty</v>
      </c>
      <c r="AI60" s="13"/>
      <c r="AJ60" s="13"/>
      <c r="AK60" s="13"/>
      <c r="AL60" s="13"/>
      <c r="AM60" s="13"/>
      <c r="AN60" s="13"/>
      <c r="AO60" s="13"/>
      <c r="AP60" s="13"/>
      <c r="AQ60" s="13"/>
      <c r="AR60" s="13"/>
      <c r="AS60" s="13"/>
      <c r="AT60" s="13"/>
    </row>
    <row r="61" spans="1:46" ht="66">
      <c r="A61" s="8" t="s">
        <v>247</v>
      </c>
      <c r="B61" s="8" t="s">
        <v>47</v>
      </c>
      <c r="C61" s="8" t="s">
        <v>731</v>
      </c>
      <c r="D61" s="8" t="s">
        <v>1406</v>
      </c>
      <c r="E61" s="8" t="s">
        <v>2111</v>
      </c>
      <c r="F61" s="8" t="s">
        <v>2112</v>
      </c>
      <c r="G61" s="8" t="s">
        <v>2115</v>
      </c>
      <c r="H61" s="8" t="str">
        <f ca="1">IFERROR(__xludf.DUMMYFUNCTION("VLOOKUP(G61, IMPORTRANGE(""https://docs.google.com/spreadsheets/d/14deopnvwcrKtEGCKuYXdUHJbeLDZlkiSSWWT0g7x2pM/edit#gid=849066331"", ""LU List Science (Filter)!A:B""), 2, FALSE)"),"Secondary Sexual Characteristics and Role of Hormones ")</f>
        <v xml:space="preserve">Secondary Sexual Characteristics and Role of Hormones </v>
      </c>
      <c r="I61" s="10" t="str">
        <f t="shared" si="0"/>
        <v>LU005656.001</v>
      </c>
      <c r="J61" s="10" t="str">
        <f ca="1">IFERROR(__xludf.DUMMYFUNCTION("VLOOKUP(I61, IMPORTRANGE(""https://docs.google.com/spreadsheets/d/1yDAaXNsi4Mr5FtRQL4tbmSdIzhx6_m4wkOD7IG-k_eo/edit#gid=1336395716"", ""Science!M:N""), 2, FALSE)"),"Recall and list at least two secondary sexual characteristics that develop during puberty in boys and girls, and name the hormones responsible for their development.")</f>
        <v>Recall and list at least two secondary sexual characteristics that develop during puberty in boys and girls, and name the hormones responsible for their development.</v>
      </c>
      <c r="K61" s="10" t="str">
        <f t="shared" si="6"/>
        <v>LU005656.002</v>
      </c>
      <c r="L61" s="10" t="str">
        <f ca="1">IFERROR(__xludf.DUMMYFUNCTION("VLOOKUP(K61, IMPORTRANGE(""https://docs.google.com/spreadsheets/d/1yDAaXNsi4Mr5FtRQL4tbmSdIzhx6_m4wkOD7IG-k_eo/edit#gid=1336395716"", ""Science!M:N""), 2, FALSE)"),"Explain the significance of secondary sexual characteristics in the context of reproductive development and how hormones play a role in their initiation.")</f>
        <v>Explain the significance of secondary sexual characteristics in the context of reproductive development and how hormones play a role in their initiation.</v>
      </c>
      <c r="M61" s="10" t="str">
        <f t="shared" si="2"/>
        <v>LU005656.003</v>
      </c>
      <c r="N61" s="10" t="str">
        <f ca="1">IFERROR(__xludf.DUMMYFUNCTION("VLOOKUP(M61, IMPORTRANGE(""https://docs.google.com/spreadsheets/d/1yDAaXNsi4Mr5FtRQL4tbmSdIzhx6_m4wkOD7IG-k_eo/edit#gid=1336395716"", ""Science!M:N""), 2, FALSE)"),"Given a case study, analyze how the development of secondary sexual characteristics might vary among individuals and how this can impact their emotional and social experiences during adolescence.")</f>
        <v>Given a case study, analyze how the development of secondary sexual characteristics might vary among individuals and how this can impact their emotional and social experiences during adolescence.</v>
      </c>
      <c r="O61" s="10" t="str">
        <f t="shared" si="3"/>
        <v>LU005656.004</v>
      </c>
      <c r="P61" s="10" t="str">
        <f ca="1">IFERROR(__xludf.DUMMYFUNCTION("VLOOKUP(O61, IMPORTRANGE(""https://docs.google.com/spreadsheets/d/1yDAaXNsi4Mr5FtRQL4tbmSdIzhx6_m4wkOD7IG-k_eo/edit#gid=1336395716"", ""Science!M:N""), 2, FALSE)"),"Break down the hormonal processes involved in the development of secondary sexual characteristics in boys and girls, highlighting the similarities and differences.")</f>
        <v>Break down the hormonal processes involved in the development of secondary sexual characteristics in boys and girls, highlighting the similarities and differences.</v>
      </c>
      <c r="Q61" s="10" t="str">
        <f t="shared" si="4"/>
        <v>LU005656.005</v>
      </c>
      <c r="R61" s="10" t="str">
        <f ca="1">IFERROR(__xludf.DUMMYFUNCTION("VLOOKUP(Q61, IMPORTRANGE(""https://docs.google.com/spreadsheets/d/1yDAaXNsi4Mr5FtRQL4tbmSdIzhx6_m4wkOD7IG-k_eo/edit#gid=1336395716"", ""Science!M:N""), 2, FALSE)"),"Evaluate the importance of understanding the role of hormones in initiating reproductive function for early age teenagers, considering how this knowledge can empower them to make informed decisions about their health and well-being.")</f>
        <v>Evaluate the importance of understanding the role of hormones in initiating reproductive function for early age teenagers, considering how this knowledge can empower them to make informed decisions about their health and well-being.</v>
      </c>
      <c r="S61" s="10" t="str">
        <f t="shared" si="5"/>
        <v>LU005656.006</v>
      </c>
      <c r="T61" s="10" t="str">
        <f ca="1">IFERROR(__xludf.DUMMYFUNCTION("VLOOKUP(S61, IMPORTRANGE(""https://docs.google.com/spreadsheets/d/1yDAaXNsi4Mr5FtRQL4tbmSdIzhx6_m4wkOD7IG-k_eo/edit#gid=1336395716"", ""Science!M:N""), 2, FALSE)"),"#N/A")</f>
        <v>#N/A</v>
      </c>
      <c r="U61" s="116">
        <f ca="1">IFERROR(__xludf.DUMMYFUNCTION("ArrayFormula(VLOOKUP(G61, IMPORTRANGE(""https://docs.google.com/spreadsheets/d/1p7R4vtkWt5VOBim4ltsDG9KTzSjrtKXsMtQGXPHyND0/edit#gid=795171502"", ""'Filter 30_05_2024'!A1:M2000""), {2, 3, 4, 5,6,7,8,9,10,11,12,13}, 0))"),4)</f>
        <v>4</v>
      </c>
      <c r="V61" s="116">
        <f ca="1">IFERROR(__xludf.DUMMYFUNCTION("""COMPUTED_VALUE"""),6)</f>
        <v>6</v>
      </c>
      <c r="W61" s="116">
        <f ca="1">IFERROR(__xludf.DUMMYFUNCTION("""COMPUTED_VALUE"""),2)</f>
        <v>2</v>
      </c>
      <c r="X61" s="116">
        <f ca="1">IFERROR(__xludf.DUMMYFUNCTION("""COMPUTED_VALUE"""),12)</f>
        <v>12</v>
      </c>
      <c r="Y61" s="116">
        <f ca="1">IFERROR(__xludf.DUMMYFUNCTION("""COMPUTED_VALUE"""),4)</f>
        <v>4</v>
      </c>
      <c r="Z61" s="12">
        <f ca="1">IFERROR(__xludf.DUMMYFUNCTION("""COMPUTED_VALUE"""),4)</f>
        <v>4</v>
      </c>
      <c r="AA61" s="12">
        <f ca="1">IFERROR(__xludf.DUMMYFUNCTION("""COMPUTED_VALUE"""),1)</f>
        <v>1</v>
      </c>
      <c r="AB61" s="12">
        <f ca="1">IFERROR(__xludf.DUMMYFUNCTION("""COMPUTED_VALUE"""),9)</f>
        <v>9</v>
      </c>
      <c r="AC61" s="12"/>
      <c r="AD61" s="12"/>
      <c r="AE61" s="12"/>
      <c r="AF61" s="12"/>
      <c r="AG61" s="13" t="str">
        <f ca="1">IFERROR(__xludf.DUMMYFUNCTION("ArrayFormula(VLOOKUP(G61, IMPORTRANGE(""https://docs.google.com/spreadsheets/d/1Co934fvtviyaRiMsrIlT05Jaq7iiYq07aLvRr35KA48/edit?gid=173865642#gid=173865642"", ""'G8_Sci_Pri_LU'!G2:V2000""), {3, 4, 5, 6, 7, 8, 9, 10, 11, 12, 13, 14, 15, 16}, 0))"),"LU005653")</f>
        <v>LU005653</v>
      </c>
      <c r="AH61" s="13" t="str">
        <f ca="1">IFERROR(__xludf.DUMMYFUNCTION("""COMPUTED_VALUE"""),"Changes at Puberty")</f>
        <v>Changes at Puberty</v>
      </c>
      <c r="AI61" s="13" t="str">
        <f ca="1">IFERROR(__xludf.DUMMYFUNCTION("""COMPUTED_VALUE"""),"LU005654")</f>
        <v>LU005654</v>
      </c>
      <c r="AJ61" s="13" t="str">
        <f ca="1">IFERROR(__xludf.DUMMYFUNCTION("""COMPUTED_VALUE"""),"Introduction to adolescence and puberty")</f>
        <v>Introduction to adolescence and puberty</v>
      </c>
      <c r="AK61" s="13"/>
      <c r="AL61" s="13"/>
      <c r="AM61" s="13"/>
      <c r="AN61" s="13"/>
      <c r="AO61" s="13"/>
      <c r="AP61" s="13"/>
      <c r="AQ61" s="13"/>
      <c r="AR61" s="13"/>
      <c r="AS61" s="13"/>
      <c r="AT61" s="13"/>
    </row>
    <row r="62" spans="1:46" ht="66">
      <c r="A62" s="8" t="s">
        <v>247</v>
      </c>
      <c r="B62" s="8" t="s">
        <v>47</v>
      </c>
      <c r="C62" s="8" t="s">
        <v>731</v>
      </c>
      <c r="D62" s="8" t="s">
        <v>1406</v>
      </c>
      <c r="E62" s="8" t="s">
        <v>2111</v>
      </c>
      <c r="F62" s="8" t="s">
        <v>2116</v>
      </c>
      <c r="G62" s="8" t="s">
        <v>2117</v>
      </c>
      <c r="H62" s="8" t="str">
        <f ca="1">IFERROR(__xludf.DUMMYFUNCTION("VLOOKUP(G62, IMPORTRANGE(""https://docs.google.com/spreadsheets/d/14deopnvwcrKtEGCKuYXdUHJbeLDZlkiSSWWT0g7x2pM/edit#gid=849066331"", ""LU List Science (Filter)!A:B""), 2, FALSE)"),"Reproductive Phase of Life in Humans")</f>
        <v>Reproductive Phase of Life in Humans</v>
      </c>
      <c r="I62" s="10" t="str">
        <f t="shared" si="0"/>
        <v>LU005655.001</v>
      </c>
      <c r="J62" s="10" t="str">
        <f ca="1">IFERROR(__xludf.DUMMYFUNCTION("VLOOKUP(I62, IMPORTRANGE(""https://docs.google.com/spreadsheets/d/1yDAaXNsi4Mr5FtRQL4tbmSdIzhx6_m4wkOD7IG-k_eo/edit#gid=1336395716"", ""Science!M:N""), 2, FALSE)"),"Recall the basic features of the reproductive phase of life in humans, including the age when it typically begins in females, terms like ""menarche"" and ""menopause,"" and the menstrual cycle.")</f>
        <v>Recall the basic features of the reproductive phase of life in humans, including the age when it typically begins in females, terms like "menarche" and "menopause," and the menstrual cycle.</v>
      </c>
      <c r="K62" s="10" t="str">
        <f t="shared" si="6"/>
        <v>LU005655.002</v>
      </c>
      <c r="L62" s="10" t="str">
        <f ca="1">IFERROR(__xludf.DUMMYFUNCTION("VLOOKUP(K62, IMPORTRANGE(""https://docs.google.com/spreadsheets/d/1yDAaXNsi4Mr5FtRQL4tbmSdIzhx6_m4wkOD7IG-k_eo/edit#gid=1336395716"", ""Science!M:N""), 2, FALSE)"),"Explain why the reproductive phase begins earlier in females (around puberty) compared to males and describe the general process of the menstrual cycle without going into specific hormonal details.")</f>
        <v>Explain why the reproductive phase begins earlier in females (around puberty) compared to males and describe the general process of the menstrual cycle without going into specific hormonal details.</v>
      </c>
      <c r="M62" s="10" t="str">
        <f t="shared" si="2"/>
        <v>LU005655.003</v>
      </c>
      <c r="N62" s="10" t="str">
        <f ca="1">IFERROR(__xludf.DUMMYFUNCTION("VLOOKUP(M62, IMPORTRANGE(""https://docs.google.com/spreadsheets/d/1yDAaXNsi4Mr5FtRQL4tbmSdIzhx6_m4wkOD7IG-k_eo/edit#gid=1336395716"", ""Science!M:N""), 2, FALSE)"),"Given a scenario, analyze the potential physical and emotional challenges that individuals may face during the reproductive phase of life, such as irregular menstrual cycles and the onset of menopause.")</f>
        <v>Given a scenario, analyze the potential physical and emotional challenges that individuals may face during the reproductive phase of life, such as irregular menstrual cycles and the onset of menopause.</v>
      </c>
      <c r="O62" s="10" t="str">
        <f t="shared" si="3"/>
        <v>LU005655.004</v>
      </c>
      <c r="P62" s="10" t="str">
        <f ca="1">IFERROR(__xludf.DUMMYFUNCTION("VLOOKUP(O62, IMPORTRANGE(""https://docs.google.com/spreadsheets/d/1yDAaXNsi4Mr5FtRQL4tbmSdIzhx6_m4wkOD7IG-k_eo/edit#gid=1336395716"", ""Science!M:N""), 2, FALSE)"),"Break down the stages of the menstrual cycle, from egg maturation to menstruation, without delving into hormonal specifics, and discuss the importance of the thickening of the uterine wall in case of pregnancy.")</f>
        <v>Break down the stages of the menstrual cycle, from egg maturation to menstruation, without delving into hormonal specifics, and discuss the importance of the thickening of the uterine wall in case of pregnancy.</v>
      </c>
      <c r="Q62" s="10" t="str">
        <f t="shared" si="4"/>
        <v>LU005655.005</v>
      </c>
      <c r="R62" s="10" t="str">
        <f ca="1">IFERROR(__xludf.DUMMYFUNCTION("VLOOKUP(Q62, IMPORTRANGE(""https://docs.google.com/spreadsheets/d/1yDAaXNsi4Mr5FtRQL4tbmSdIzhx6_m4wkOD7IG-k_eo/edit#gid=1336395716"", ""Science!M:N""), 2, FALSE)"),"Evaluate the importance of educating adolescents about the reproductive phase of life, emphasizing how a basic understanding of the menstrual cycle can empower them to make informed health decisions and address any concerns.")</f>
        <v>Evaluate the importance of educating adolescents about the reproductive phase of life, emphasizing how a basic understanding of the menstrual cycle can empower them to make informed health decisions and address any concerns.</v>
      </c>
      <c r="S62" s="10" t="str">
        <f t="shared" si="5"/>
        <v>LU005655.006</v>
      </c>
      <c r="T62" s="10" t="str">
        <f ca="1">IFERROR(__xludf.DUMMYFUNCTION("VLOOKUP(S62, IMPORTRANGE(""https://docs.google.com/spreadsheets/d/1yDAaXNsi4Mr5FtRQL4tbmSdIzhx6_m4wkOD7IG-k_eo/edit#gid=1336395716"", ""Science!M:N""), 2, FALSE)"),"#N/A")</f>
        <v>#N/A</v>
      </c>
      <c r="U62" s="116">
        <f ca="1">IFERROR(__xludf.DUMMYFUNCTION("ArrayFormula(VLOOKUP(G62, IMPORTRANGE(""https://docs.google.com/spreadsheets/d/1p7R4vtkWt5VOBim4ltsDG9KTzSjrtKXsMtQGXPHyND0/edit#gid=795171502"", ""'Filter 30_05_2024'!A1:M2000""), {2, 3, 4, 5,6,7,8,9,10,11,12,13}, 0))"),4)</f>
        <v>4</v>
      </c>
      <c r="V62" s="116">
        <f ca="1">IFERROR(__xludf.DUMMYFUNCTION("""COMPUTED_VALUE"""),6)</f>
        <v>6</v>
      </c>
      <c r="W62" s="116">
        <f ca="1">IFERROR(__xludf.DUMMYFUNCTION("""COMPUTED_VALUE"""),2)</f>
        <v>2</v>
      </c>
      <c r="X62" s="116">
        <f ca="1">IFERROR(__xludf.DUMMYFUNCTION("""COMPUTED_VALUE"""),12)</f>
        <v>12</v>
      </c>
      <c r="Y62" s="116">
        <f ca="1">IFERROR(__xludf.DUMMYFUNCTION("""COMPUTED_VALUE"""),4)</f>
        <v>4</v>
      </c>
      <c r="Z62" s="12">
        <f ca="1">IFERROR(__xludf.DUMMYFUNCTION("""COMPUTED_VALUE"""),3)</f>
        <v>3</v>
      </c>
      <c r="AA62" s="12">
        <f ca="1">IFERROR(__xludf.DUMMYFUNCTION("""COMPUTED_VALUE"""),1)</f>
        <v>1</v>
      </c>
      <c r="AB62" s="12">
        <f ca="1">IFERROR(__xludf.DUMMYFUNCTION("""COMPUTED_VALUE"""),8)</f>
        <v>8</v>
      </c>
      <c r="AC62" s="12"/>
      <c r="AD62" s="12"/>
      <c r="AE62" s="12"/>
      <c r="AF62" s="12"/>
      <c r="AG62" s="13" t="str">
        <f ca="1">IFERROR(__xludf.DUMMYFUNCTION("ArrayFormula(VLOOKUP(G62, IMPORTRANGE(""https://docs.google.com/spreadsheets/d/1Co934fvtviyaRiMsrIlT05Jaq7iiYq07aLvRr35KA48/edit?gid=173865642#gid=173865642"", ""'G8_Sci_Pri_LU'!G2:V2000""), {3, 4, 5, 6, 7, 8, 9, 10, 11, 12, 13, 14, 15, 16}, 0))"),"LU005658")</f>
        <v>LU005658</v>
      </c>
      <c r="AH62" s="13" t="str">
        <f ca="1">IFERROR(__xludf.DUMMYFUNCTION("""COMPUTED_VALUE"""),"Female reproductive system in humans")</f>
        <v>Female reproductive system in humans</v>
      </c>
      <c r="AI62" s="13" t="str">
        <f ca="1">IFERROR(__xludf.DUMMYFUNCTION("""COMPUTED_VALUE"""),"LU005660")</f>
        <v>LU005660</v>
      </c>
      <c r="AJ62" s="13" t="str">
        <f ca="1">IFERROR(__xludf.DUMMYFUNCTION("""COMPUTED_VALUE"""),"Basics of fertilisation and post-fertilisation events in humans")</f>
        <v>Basics of fertilisation and post-fertilisation events in humans</v>
      </c>
      <c r="AK62" s="13" t="str">
        <f ca="1">IFERROR(__xludf.DUMMYFUNCTION("""COMPUTED_VALUE"""),"LU005657")</f>
        <v>LU005657</v>
      </c>
      <c r="AL62" s="13" t="str">
        <f ca="1">IFERROR(__xludf.DUMMYFUNCTION("""COMPUTED_VALUE"""),"Definition of sexual reproduction in animals(gametes, sperms, eggs, zygote, fertilisation, hermaphrodite)")</f>
        <v>Definition of sexual reproduction in animals(gametes, sperms, eggs, zygote, fertilisation, hermaphrodite)</v>
      </c>
      <c r="AM62" s="13"/>
      <c r="AN62" s="13"/>
      <c r="AO62" s="13"/>
      <c r="AP62" s="13"/>
      <c r="AQ62" s="13"/>
      <c r="AR62" s="13"/>
      <c r="AS62" s="13"/>
      <c r="AT62" s="13"/>
    </row>
    <row r="63" spans="1:46" ht="66">
      <c r="A63" s="8" t="s">
        <v>247</v>
      </c>
      <c r="B63" s="8" t="s">
        <v>47</v>
      </c>
      <c r="C63" s="8" t="s">
        <v>731</v>
      </c>
      <c r="D63" s="8" t="s">
        <v>1406</v>
      </c>
      <c r="E63" s="8" t="s">
        <v>2111</v>
      </c>
      <c r="F63" s="8" t="s">
        <v>2116</v>
      </c>
      <c r="G63" s="8" t="s">
        <v>2118</v>
      </c>
      <c r="H63" s="8" t="str">
        <f ca="1">IFERROR(__xludf.DUMMYFUNCTION("VLOOKUP(G63, IMPORTRANGE(""https://docs.google.com/spreadsheets/d/14deopnvwcrKtEGCKuYXdUHJbeLDZlkiSSWWT0g7x2pM/edit#gid=849066331"", ""LU List Science (Filter)!A:B""), 2, FALSE)"),"Basic Mechanism of Sex Determination in Humans")</f>
        <v>Basic Mechanism of Sex Determination in Humans</v>
      </c>
      <c r="I63" s="10" t="str">
        <f t="shared" si="0"/>
        <v>LU005652.001</v>
      </c>
      <c r="J63" s="10" t="str">
        <f ca="1">IFERROR(__xludf.DUMMYFUNCTION("VLOOKUP(I63, IMPORTRANGE(""https://docs.google.com/spreadsheets/d/1yDAaXNsi4Mr5FtRQL4tbmSdIzhx6_m4wkOD7IG-k_eo/edit#gid=1336395716"", ""Science!M:N""), 2, FALSE)"),"Recall the basic principles of sex determination in humans, including the role of chromosomes and the distinction between autosomes and sex chromosomes.")</f>
        <v>Recall the basic principles of sex determination in humans, including the role of chromosomes and the distinction between autosomes and sex chromosomes.</v>
      </c>
      <c r="K63" s="10" t="str">
        <f t="shared" si="6"/>
        <v>LU005652.002</v>
      </c>
      <c r="L63" s="10" t="str">
        <f ca="1">IFERROR(__xludf.DUMMYFUNCTION("VLOOKUP(K63, IMPORTRANGE(""https://docs.google.com/spreadsheets/d/1yDAaXNsi4Mr5FtRQL4tbmSdIzhx6_m4wkOD7IG-k_eo/edit#gid=1336395716"", ""Science!M:N""), 2, FALSE)"),"Explain how sex is determined in humans, specifically how the combination of X and Y chromosomes leads to the development of male or female individuals during conception.")</f>
        <v>Explain how sex is determined in humans, specifically how the combination of X and Y chromosomes leads to the development of male or female individuals during conception.</v>
      </c>
      <c r="M63" s="10" t="str">
        <f t="shared" si="2"/>
        <v>LU005652.003</v>
      </c>
      <c r="N63" s="10" t="str">
        <f ca="1">IFERROR(__xludf.DUMMYFUNCTION("VLOOKUP(M63, IMPORTRANGE(""https://docs.google.com/spreadsheets/d/1yDAaXNsi4Mr5FtRQL4tbmSdIzhx6_m4wkOD7IG-k_eo/edit#gid=1336395716"", ""Science!M:N""), 2, FALSE)"),"Given a hypothetical genetic scenario, analyze the potential outcomes of sex determination based on the combination of sex chromosomes involved (XX for females, XY for males).")</f>
        <v>Given a hypothetical genetic scenario, analyze the potential outcomes of sex determination based on the combination of sex chromosomes involved (XX for females, XY for males).</v>
      </c>
      <c r="O63" s="10" t="str">
        <f t="shared" si="3"/>
        <v>LU005652.004</v>
      </c>
      <c r="P63" s="10" t="str">
        <f ca="1">IFERROR(__xludf.DUMMYFUNCTION("VLOOKUP(O63, IMPORTRANGE(""https://docs.google.com/spreadsheets/d/1yDAaXNsi4Mr5FtRQL4tbmSdIzhx6_m4wkOD7IG-k_eo/edit#gid=1336395716"", ""Science!M:N""), 2, FALSE)"),"Evaluate the importance of understanding the basic mechanism of sex determination in humans, emphasizing how this knowledge contributes to our understanding of human genetics and reproductive health.")</f>
        <v>Evaluate the importance of understanding the basic mechanism of sex determination in humans, emphasizing how this knowledge contributes to our understanding of human genetics and reproductive health.</v>
      </c>
      <c r="Q63" s="10" t="str">
        <f t="shared" si="4"/>
        <v>LU005652.005</v>
      </c>
      <c r="R63" s="10" t="str">
        <f ca="1">IFERROR(__xludf.DUMMYFUNCTION("VLOOKUP(Q63, IMPORTRANGE(""https://docs.google.com/spreadsheets/d/1yDAaXNsi4Mr5FtRQL4tbmSdIzhx6_m4wkOD7IG-k_eo/edit#gid=1336395716"", ""Science!M:N""), 2, FALSE)"),"default")</f>
        <v>default</v>
      </c>
      <c r="S63" s="10" t="str">
        <f t="shared" si="5"/>
        <v>LU005652.006</v>
      </c>
      <c r="T63" s="10" t="str">
        <f ca="1">IFERROR(__xludf.DUMMYFUNCTION("VLOOKUP(S63, IMPORTRANGE(""https://docs.google.com/spreadsheets/d/1yDAaXNsi4Mr5FtRQL4tbmSdIzhx6_m4wkOD7IG-k_eo/edit#gid=1336395716"", ""Science!M:N""), 2, FALSE)"),"Default")</f>
        <v>Default</v>
      </c>
      <c r="U63" s="116">
        <f ca="1">IFERROR(__xludf.DUMMYFUNCTION("ArrayFormula(VLOOKUP(G63, IMPORTRANGE(""https://docs.google.com/spreadsheets/d/1p7R4vtkWt5VOBim4ltsDG9KTzSjrtKXsMtQGXPHyND0/edit#gid=795171502"", ""'Filter 30_05_2024'!A1:M2000""), {2, 3, 4, 5,6,7,8,9,10,11,12,13}, 0))"),4)</f>
        <v>4</v>
      </c>
      <c r="V63" s="116">
        <f ca="1">IFERROR(__xludf.DUMMYFUNCTION("""COMPUTED_VALUE"""),6)</f>
        <v>6</v>
      </c>
      <c r="W63" s="116">
        <f ca="1">IFERROR(__xludf.DUMMYFUNCTION("""COMPUTED_VALUE"""),2)</f>
        <v>2</v>
      </c>
      <c r="X63" s="116">
        <f ca="1">IFERROR(__xludf.DUMMYFUNCTION("""COMPUTED_VALUE"""),12)</f>
        <v>12</v>
      </c>
      <c r="Y63" s="116">
        <f ca="1">IFERROR(__xludf.DUMMYFUNCTION("""COMPUTED_VALUE"""),4)</f>
        <v>4</v>
      </c>
      <c r="Z63" s="12">
        <f ca="1">IFERROR(__xludf.DUMMYFUNCTION("""COMPUTED_VALUE"""),4)</f>
        <v>4</v>
      </c>
      <c r="AA63" s="12">
        <f ca="1">IFERROR(__xludf.DUMMYFUNCTION("""COMPUTED_VALUE"""),1)</f>
        <v>1</v>
      </c>
      <c r="AB63" s="12">
        <f ca="1">IFERROR(__xludf.DUMMYFUNCTION("""COMPUTED_VALUE"""),9)</f>
        <v>9</v>
      </c>
      <c r="AC63" s="12"/>
      <c r="AD63" s="12"/>
      <c r="AE63" s="12"/>
      <c r="AF63" s="12"/>
      <c r="AG63" s="13" t="str">
        <f ca="1">IFERROR(__xludf.DUMMYFUNCTION("ArrayFormula(VLOOKUP(G63, IMPORTRANGE(""https://docs.google.com/spreadsheets/d/1Co934fvtviyaRiMsrIlT05Jaq7iiYq07aLvRr35KA48/edit?gid=173865642#gid=173865642"", ""'G8_Sci_Pri_LU'!G2:V2000""), {3, 4, 5, 6, 7, 8, 9, 10, 11, 12, 13, 14, 15, 16}, 0))"),"LU005660")</f>
        <v>LU005660</v>
      </c>
      <c r="AH63" s="13" t="str">
        <f ca="1">IFERROR(__xludf.DUMMYFUNCTION("""COMPUTED_VALUE"""),"Basics of fertilisation and post-fertilisation events in humans")</f>
        <v>Basics of fertilisation and post-fertilisation events in humans</v>
      </c>
      <c r="AI63" s="13" t="str">
        <f ca="1">IFERROR(__xludf.DUMMYFUNCTION("""COMPUTED_VALUE"""),"LU005659")</f>
        <v>LU005659</v>
      </c>
      <c r="AJ63" s="13" t="str">
        <f ca="1">IFERROR(__xludf.DUMMYFUNCTION("""COMPUTED_VALUE"""),"Male reproductive system in humans")</f>
        <v>Male reproductive system in humans</v>
      </c>
      <c r="AK63" s="13" t="str">
        <f ca="1">IFERROR(__xludf.DUMMYFUNCTION("""COMPUTED_VALUE"""),"LU005658")</f>
        <v>LU005658</v>
      </c>
      <c r="AL63" s="13" t="str">
        <f ca="1">IFERROR(__xludf.DUMMYFUNCTION("""COMPUTED_VALUE"""),"Female reproductive system in humans")</f>
        <v>Female reproductive system in humans</v>
      </c>
      <c r="AM63" s="13"/>
      <c r="AN63" s="13"/>
      <c r="AO63" s="13"/>
      <c r="AP63" s="13"/>
      <c r="AQ63" s="13"/>
      <c r="AR63" s="13"/>
      <c r="AS63" s="13"/>
      <c r="AT63" s="13"/>
    </row>
    <row r="64" spans="1:46" ht="66">
      <c r="A64" s="8" t="s">
        <v>247</v>
      </c>
      <c r="B64" s="8" t="s">
        <v>47</v>
      </c>
      <c r="C64" s="8" t="s">
        <v>731</v>
      </c>
      <c r="D64" s="8" t="s">
        <v>1406</v>
      </c>
      <c r="E64" s="8" t="s">
        <v>2111</v>
      </c>
      <c r="F64" s="118" t="s">
        <v>2119</v>
      </c>
      <c r="G64" s="8" t="s">
        <v>2120</v>
      </c>
      <c r="H64" s="8" t="str">
        <f ca="1">IFERROR(__xludf.DUMMYFUNCTION("VLOOKUP(G64, IMPORTRANGE(""https://docs.google.com/spreadsheets/d/14deopnvwcrKtEGCKuYXdUHJbeLDZlkiSSWWT0g7x2pM/edit#gid=849066331"", ""LU List Science (Filter)!A:B""), 2, FALSE)"),"Adrenaline, Insulin, Thyroxine, and Growth Hormones")</f>
        <v>Adrenaline, Insulin, Thyroxine, and Growth Hormones</v>
      </c>
      <c r="I64" s="10" t="str">
        <f t="shared" si="0"/>
        <v>LU005651.001</v>
      </c>
      <c r="J64" s="10" t="str">
        <f ca="1">IFERROR(__xludf.DUMMYFUNCTION("VLOOKUP(I64, IMPORTRANGE(""https://docs.google.com/spreadsheets/d/1yDAaXNsi4Mr5FtRQL4tbmSdIzhx6_m4wkOD7IG-k_eo/edit#gid=1336395716"", ""Science!M:N""), 2, FALSE)"),"Recall the names and locations of major hormone-producing glands in the human body, including the pituitary gland, thyroid gland, gonads, pancreas, and adrenal gland.")</f>
        <v>Recall the names and locations of major hormone-producing glands in the human body, including the pituitary gland, thyroid gland, gonads, pancreas, and adrenal gland.</v>
      </c>
      <c r="K64" s="10" t="str">
        <f t="shared" si="6"/>
        <v>LU005651.002</v>
      </c>
      <c r="L64" s="10" t="str">
        <f ca="1">IFERROR(__xludf.DUMMYFUNCTION("VLOOKUP(K64, IMPORTRANGE(""https://docs.google.com/spreadsheets/d/1yDAaXNsi4Mr5FtRQL4tbmSdIzhx6_m4wkOD7IG-k_eo/edit#gid=1336395716"", ""Science!M:N""), 2, FALSE)"),"Explain the general functions of hormones, highlighting their role in regulating various bodily processes.")</f>
        <v>Explain the general functions of hormones, highlighting their role in regulating various bodily processes.</v>
      </c>
      <c r="M64" s="10" t="str">
        <f t="shared" si="2"/>
        <v>LU005651.003</v>
      </c>
      <c r="N64" s="10" t="str">
        <f ca="1">IFERROR(__xludf.DUMMYFUNCTION("VLOOKUP(M64, IMPORTRANGE(""https://docs.google.com/spreadsheets/d/1yDAaXNsi4Mr5FtRQL4tbmSdIzhx6_m4wkOD7IG-k_eo/edit#gid=1336395716"", ""Science!M:N""), 2, FALSE)"),"Apply your understanding of the imbalance or dysfunction of specific hormones, such as insulin or thyroxine, leading to health issues or disorders.")</f>
        <v>Apply your understanding of the imbalance or dysfunction of specific hormones, such as insulin or thyroxine, leading to health issues or disorders.</v>
      </c>
      <c r="O64" s="10" t="str">
        <f t="shared" si="3"/>
        <v>LU005651.004</v>
      </c>
      <c r="P64" s="10" t="str">
        <f ca="1">IFERROR(__xludf.DUMMYFUNCTION("VLOOKUP(O64, IMPORTRANGE(""https://docs.google.com/spreadsheets/d/1yDAaXNsi4Mr5FtRQL4tbmSdIzhx6_m4wkOD7IG-k_eo/edit#gid=1336395716"", ""Science!M:N""), 2, FALSE)"),"Break down the functions of specific hormones, such as adrenaline and growth hormones, discussing their roles in response to stress or growth and development, respectively.")</f>
        <v>Break down the functions of specific hormones, such as adrenaline and growth hormones, discussing their roles in response to stress or growth and development, respectively.</v>
      </c>
      <c r="Q64" s="10" t="str">
        <f t="shared" si="4"/>
        <v>LU005651.005</v>
      </c>
      <c r="R64" s="10" t="str">
        <f ca="1">IFERROR(__xludf.DUMMYFUNCTION("VLOOKUP(Q64, IMPORTRANGE(""https://docs.google.com/spreadsheets/d/1yDAaXNsi4Mr5FtRQL4tbmSdIzhx6_m4wkOD7IG-k_eo/edit#gid=1336395716"", ""Science!M:N""), 2, FALSE)"),"Evaluate the significance of understanding the roles of non-sex hormones in the human body, emphasizing how this knowledge can empower individuals to make informed lifestyle and health choices.")</f>
        <v>Evaluate the significance of understanding the roles of non-sex hormones in the human body, emphasizing how this knowledge can empower individuals to make informed lifestyle and health choices.</v>
      </c>
      <c r="S64" s="10" t="str">
        <f t="shared" si="5"/>
        <v>LU005651.006</v>
      </c>
      <c r="T64" s="10" t="str">
        <f ca="1">IFERROR(__xludf.DUMMYFUNCTION("VLOOKUP(S64, IMPORTRANGE(""https://docs.google.com/spreadsheets/d/1yDAaXNsi4Mr5FtRQL4tbmSdIzhx6_m4wkOD7IG-k_eo/edit#gid=1336395716"", ""Science!M:N""), 2, FALSE)"),"#N/A")</f>
        <v>#N/A</v>
      </c>
      <c r="U64" s="116">
        <f ca="1">IFERROR(__xludf.DUMMYFUNCTION("ArrayFormula(VLOOKUP(G64, IMPORTRANGE(""https://docs.google.com/spreadsheets/d/1p7R4vtkWt5VOBim4ltsDG9KTzSjrtKXsMtQGXPHyND0/edit#gid=795171502"", ""'Filter 30_05_2024'!A1:M2000""), {2, 3, 4, 5,6,7,8,9,10,11,12,13}, 0))"),4)</f>
        <v>4</v>
      </c>
      <c r="V64" s="116">
        <f ca="1">IFERROR(__xludf.DUMMYFUNCTION("""COMPUTED_VALUE"""),6)</f>
        <v>6</v>
      </c>
      <c r="W64" s="116">
        <f ca="1">IFERROR(__xludf.DUMMYFUNCTION("""COMPUTED_VALUE"""),2)</f>
        <v>2</v>
      </c>
      <c r="X64" s="116">
        <f ca="1">IFERROR(__xludf.DUMMYFUNCTION("""COMPUTED_VALUE"""),12)</f>
        <v>12</v>
      </c>
      <c r="Y64" s="116">
        <f ca="1">IFERROR(__xludf.DUMMYFUNCTION("""COMPUTED_VALUE"""),4)</f>
        <v>4</v>
      </c>
      <c r="Z64" s="12">
        <f ca="1">IFERROR(__xludf.DUMMYFUNCTION("""COMPUTED_VALUE"""),3)</f>
        <v>3</v>
      </c>
      <c r="AA64" s="12">
        <f ca="1">IFERROR(__xludf.DUMMYFUNCTION("""COMPUTED_VALUE"""),1)</f>
        <v>1</v>
      </c>
      <c r="AB64" s="12">
        <f ca="1">IFERROR(__xludf.DUMMYFUNCTION("""COMPUTED_VALUE"""),8)</f>
        <v>8</v>
      </c>
      <c r="AC64" s="12"/>
      <c r="AD64" s="12"/>
      <c r="AE64" s="12"/>
      <c r="AF64" s="12"/>
      <c r="AG64" s="13" t="str">
        <f ca="1">IFERROR(__xludf.DUMMYFUNCTION("ArrayFormula(VLOOKUP(G64, IMPORTRANGE(""https://docs.google.com/spreadsheets/d/1Co934fvtviyaRiMsrIlT05Jaq7iiYq07aLvRr35KA48/edit?gid=173865642#gid=173865642"", ""'G8_Sci_Pri_LU'!G2:V2000""), {3, 4, 5, 6, 7, 8, 9, 10, 11, 12, 13, 14, 15, 16}, 0))"),"LU006079")</f>
        <v>LU006079</v>
      </c>
      <c r="AH64" s="13" t="str">
        <f ca="1">IFERROR(__xludf.DUMMYFUNCTION("""COMPUTED_VALUE"""),"Definition of hormones, endocrine glands, and endocrine system.")</f>
        <v>Definition of hormones, endocrine glands, and endocrine system.</v>
      </c>
      <c r="AI64" s="13"/>
      <c r="AJ64" s="13"/>
      <c r="AK64" s="13"/>
      <c r="AL64" s="13"/>
      <c r="AM64" s="13"/>
      <c r="AN64" s="13"/>
      <c r="AO64" s="13"/>
      <c r="AP64" s="13"/>
      <c r="AQ64" s="13"/>
      <c r="AR64" s="13"/>
      <c r="AS64" s="13"/>
      <c r="AT64" s="13"/>
    </row>
    <row r="65" spans="1:46" ht="79.2">
      <c r="A65" s="8" t="s">
        <v>247</v>
      </c>
      <c r="B65" s="8" t="s">
        <v>47</v>
      </c>
      <c r="C65" s="8" t="s">
        <v>731</v>
      </c>
      <c r="D65" s="8" t="s">
        <v>1406</v>
      </c>
      <c r="E65" s="8" t="s">
        <v>2111</v>
      </c>
      <c r="F65" s="118" t="s">
        <v>2121</v>
      </c>
      <c r="G65" s="8" t="s">
        <v>2122</v>
      </c>
      <c r="H65" s="8" t="str">
        <f ca="1">IFERROR(__xludf.DUMMYFUNCTION("VLOOKUP(G65, IMPORTRANGE(""https://docs.google.com/spreadsheets/d/14deopnvwcrKtEGCKuYXdUHJbeLDZlkiSSWWT0g7x2pM/edit#gid=849066331"", ""LU List Science (Filter)!A:B""), 2, FALSE)"),"Adolescent Reproductive health")</f>
        <v>Adolescent Reproductive health</v>
      </c>
      <c r="I65" s="10" t="str">
        <f t="shared" si="0"/>
        <v>LU005650.001</v>
      </c>
      <c r="J65" s="10" t="str">
        <f ca="1">IFERROR(__xludf.DUMMYFUNCTION("VLOOKUP(I65, IMPORTRANGE(""https://docs.google.com/spreadsheets/d/1yDAaXNsi4Mr5FtRQL4tbmSdIzhx6_m4wkOD7IG-k_eo/edit#gid=1336395716"", ""Science!M:N""), 2, FALSE)"),"Recall the key components of adolescent reproductive health, including nutritional needs, the importance of physical exercises, and the risks associated with substance abuse.")</f>
        <v>Recall the key components of adolescent reproductive health, including nutritional needs, the importance of physical exercises, and the risks associated with substance abuse.</v>
      </c>
      <c r="K65" s="10" t="str">
        <f t="shared" si="6"/>
        <v>LU005650.002</v>
      </c>
      <c r="L65" s="10" t="str">
        <f ca="1">IFERROR(__xludf.DUMMYFUNCTION("VLOOKUP(K65, IMPORTRANGE(""https://docs.google.com/spreadsheets/d/1yDAaXNsi4Mr5FtRQL4tbmSdIzhx6_m4wkOD7IG-k_eo/edit#gid=1336395716"", ""Science!M:N""), 2, FALSE)"),"Explain why addressing nutritional needs and engaging in physical exercises are essential aspects of adolescent reproductive health, and describe the potential consequences of drug abuse during this stage.")</f>
        <v>Explain why addressing nutritional needs and engaging in physical exercises are essential aspects of adolescent reproductive health, and describe the potential consequences of drug abuse during this stage.</v>
      </c>
      <c r="M65" s="10" t="str">
        <f t="shared" si="2"/>
        <v>LU005650.003</v>
      </c>
      <c r="N65" s="10" t="str">
        <f ca="1">IFERROR(__xludf.DUMMYFUNCTION("VLOOKUP(M65, IMPORTRANGE(""https://docs.google.com/spreadsheets/d/1yDAaXNsi4Mr5FtRQL4tbmSdIzhx6_m4wkOD7IG-k_eo/edit#gid=1336395716"", ""Science!M:N""), 2, FALSE)"),"Given specific scenarios, analyze how a balanced diet and regular physical activity contribute to the overall well-being and reproductive health of adolescents, and propose strategies to discourage drug use among peers.")</f>
        <v>Given specific scenarios, analyze how a balanced diet and regular physical activity contribute to the overall well-being and reproductive health of adolescents, and propose strategies to discourage drug use among peers.</v>
      </c>
      <c r="O65" s="10" t="str">
        <f t="shared" si="3"/>
        <v>LU005650.004</v>
      </c>
      <c r="P65" s="10" t="str">
        <f ca="1">IFERROR(__xludf.DUMMYFUNCTION("VLOOKUP(O65, IMPORTRANGE(""https://docs.google.com/spreadsheets/d/1yDAaXNsi4Mr5FtRQL4tbmSdIzhx6_m4wkOD7IG-k_eo/edit#gid=1336395716"", ""Science!M:N""), 2, FALSE)"),"Break down the factors contributing to adolescent pregnancy, including societal, educational, and economic aspects, and discuss the potential challenges and consequences faced by adolescent parents.")</f>
        <v>Break down the factors contributing to adolescent pregnancy, including societal, educational, and economic aspects, and discuss the potential challenges and consequences faced by adolescent parents.</v>
      </c>
      <c r="Q65" s="10" t="str">
        <f t="shared" si="4"/>
        <v>LU005650.005</v>
      </c>
      <c r="R65" s="10" t="str">
        <f ca="1">IFERROR(__xludf.DUMMYFUNCTION("VLOOKUP(Q65, IMPORTRANGE(""https://docs.google.com/spreadsheets/d/1yDAaXNsi4Mr5FtRQL4tbmSdIzhx6_m4wkOD7IG-k_eo/edit#gid=1336395716"", ""Science!M:N""), 2, FALSE)"),"Evaluate the reasons behind keeping a legal age for marriage in India and assess the implications of this legal requirement on adolescent reproductive health and social development.")</f>
        <v>Evaluate the reasons behind keeping a legal age for marriage in India and assess the implications of this legal requirement on adolescent reproductive health and social development.</v>
      </c>
      <c r="S65" s="10" t="str">
        <f t="shared" si="5"/>
        <v>LU005650.006</v>
      </c>
      <c r="T65" s="10" t="str">
        <f ca="1">IFERROR(__xludf.DUMMYFUNCTION("VLOOKUP(S65, IMPORTRANGE(""https://docs.google.com/spreadsheets/d/1yDAaXNsi4Mr5FtRQL4tbmSdIzhx6_m4wkOD7IG-k_eo/edit#gid=1336395716"", ""Science!M:N""), 2, FALSE)"),"#N/A")</f>
        <v>#N/A</v>
      </c>
      <c r="U65" s="116">
        <f ca="1">IFERROR(__xludf.DUMMYFUNCTION("ArrayFormula(VLOOKUP(G65, IMPORTRANGE(""https://docs.google.com/spreadsheets/d/1p7R4vtkWt5VOBim4ltsDG9KTzSjrtKXsMtQGXPHyND0/edit#gid=795171502"", ""'Filter 30_05_2024'!A1:M2000""), {2, 3, 4, 5,6,7,8,9,10,11,12,13}, 0))"),4)</f>
        <v>4</v>
      </c>
      <c r="V65" s="116">
        <f ca="1">IFERROR(__xludf.DUMMYFUNCTION("""COMPUTED_VALUE"""),6)</f>
        <v>6</v>
      </c>
      <c r="W65" s="116">
        <f ca="1">IFERROR(__xludf.DUMMYFUNCTION("""COMPUTED_VALUE"""),2)</f>
        <v>2</v>
      </c>
      <c r="X65" s="116">
        <f ca="1">IFERROR(__xludf.DUMMYFUNCTION("""COMPUTED_VALUE"""),12)</f>
        <v>12</v>
      </c>
      <c r="Y65" s="116">
        <f ca="1">IFERROR(__xludf.DUMMYFUNCTION("""COMPUTED_VALUE"""),4)</f>
        <v>4</v>
      </c>
      <c r="Z65" s="12">
        <f ca="1">IFERROR(__xludf.DUMMYFUNCTION("""COMPUTED_VALUE"""),3)</f>
        <v>3</v>
      </c>
      <c r="AA65" s="12">
        <f ca="1">IFERROR(__xludf.DUMMYFUNCTION("""COMPUTED_VALUE"""),1)</f>
        <v>1</v>
      </c>
      <c r="AB65" s="12">
        <f ca="1">IFERROR(__xludf.DUMMYFUNCTION("""COMPUTED_VALUE"""),8)</f>
        <v>8</v>
      </c>
      <c r="AC65" s="12"/>
      <c r="AD65" s="12"/>
      <c r="AE65" s="12"/>
      <c r="AF65" s="12"/>
      <c r="AG65" s="13" t="str">
        <f ca="1">IFERROR(__xludf.DUMMYFUNCTION("ArrayFormula(VLOOKUP(G65, IMPORTRANGE(""https://docs.google.com/spreadsheets/d/1Co934fvtviyaRiMsrIlT05Jaq7iiYq07aLvRr35KA48/edit?gid=173865642#gid=173865642"", ""'G8_Sci_Pri_LU'!G2:V2000""), {3, 4, 5, 6, 7, 8, 9, 10, 11, 12, 13, 14, 15, 16}, 0))"),"LU005218")</f>
        <v>LU005218</v>
      </c>
      <c r="AH65" s="13" t="str">
        <f ca="1">IFERROR(__xludf.DUMMYFUNCTION("""COMPUTED_VALUE"""),"Concept and constituents of balanced diet")</f>
        <v>Concept and constituents of balanced diet</v>
      </c>
      <c r="AI65" s="13" t="str">
        <f ca="1">IFERROR(__xludf.DUMMYFUNCTION("""COMPUTED_VALUE"""),"LU005654")</f>
        <v>LU005654</v>
      </c>
      <c r="AJ65" s="13" t="str">
        <f ca="1">IFERROR(__xludf.DUMMYFUNCTION("""COMPUTED_VALUE"""),"Introduction to adolescence and puberty")</f>
        <v>Introduction to adolescence and puberty</v>
      </c>
      <c r="AK65" s="13"/>
      <c r="AL65" s="13"/>
      <c r="AM65" s="13"/>
      <c r="AN65" s="13"/>
      <c r="AO65" s="13"/>
      <c r="AP65" s="13"/>
      <c r="AQ65" s="13"/>
      <c r="AR65" s="13"/>
      <c r="AS65" s="13"/>
      <c r="AT65" s="13"/>
    </row>
    <row r="66" spans="1:46" ht="39.6">
      <c r="A66" s="8" t="s">
        <v>247</v>
      </c>
      <c r="B66" s="8" t="s">
        <v>47</v>
      </c>
      <c r="C66" s="8" t="s">
        <v>731</v>
      </c>
      <c r="D66" s="8" t="s">
        <v>1510</v>
      </c>
      <c r="E66" s="8" t="s">
        <v>2123</v>
      </c>
      <c r="F66" s="8" t="s">
        <v>2124</v>
      </c>
      <c r="G66" s="8" t="s">
        <v>2125</v>
      </c>
      <c r="H66" s="8" t="str">
        <f ca="1">IFERROR(__xludf.DUMMYFUNCTION("VLOOKUP(G66, IMPORTRANGE(""https://docs.google.com/spreadsheets/d/14deopnvwcrKtEGCKuYXdUHJbeLDZlkiSSWWT0g7x2pM/edit#gid=849066331"", ""LU List Science (Filter)!A:B""), 2, FALSE)"),"Force - a push or pull")</f>
        <v>Force - a push or pull</v>
      </c>
      <c r="I66" s="10" t="str">
        <f t="shared" si="0"/>
        <v>LU005179.001</v>
      </c>
      <c r="J66" s="10" t="str">
        <f ca="1">IFERROR(__xludf.DUMMYFUNCTION("VLOOKUP(I66, IMPORTRANGE(""https://docs.google.com/spreadsheets/d/1yDAaXNsi4Mr5FtRQL4tbmSdIzhx6_m4wkOD7IG-k_eo/edit#gid=1336395716"", ""Science!M:N""), 2, FALSE)"),"Define the concept of force as a push or pull.")</f>
        <v>Define the concept of force as a push or pull.</v>
      </c>
      <c r="K66" s="10" t="str">
        <f t="shared" si="6"/>
        <v>LU005179.002</v>
      </c>
      <c r="L66" s="10" t="str">
        <f ca="1">IFERROR(__xludf.DUMMYFUNCTION("VLOOKUP(K66, IMPORTRANGE(""https://docs.google.com/spreadsheets/d/1yDAaXNsi4Mr5FtRQL4tbmSdIzhx6_m4wkOD7IG-k_eo/edit#gid=1336395716"", ""Science!M:N""), 2, FALSE)"),"Explain how force is a push or pull that can change the state of motion of an object.")</f>
        <v>Explain how force is a push or pull that can change the state of motion of an object.</v>
      </c>
      <c r="M66" s="10" t="str">
        <f t="shared" si="2"/>
        <v>LU005179.003</v>
      </c>
      <c r="N66" s="10" t="str">
        <f ca="1">IFERROR(__xludf.DUMMYFUNCTION("VLOOKUP(M66, IMPORTRANGE(""https://docs.google.com/spreadsheets/d/1yDAaXNsi4Mr5FtRQL4tbmSdIzhx6_m4wkOD7IG-k_eo/edit#gid=1336395716"", ""Science!M:N""), 2, FALSE)"),"Apply the concept of force to describe the motion of objects in different scenarios.")</f>
        <v>Apply the concept of force to describe the motion of objects in different scenarios.</v>
      </c>
      <c r="O66" s="10" t="str">
        <f t="shared" si="3"/>
        <v>LU005179.004</v>
      </c>
      <c r="P66" s="10" t="str">
        <f ca="1">IFERROR(__xludf.DUMMYFUNCTION("VLOOKUP(O66, IMPORTRANGE(""https://docs.google.com/spreadsheets/d/1yDAaXNsi4Mr5FtRQL4tbmSdIzhx6_m4wkOD7IG-k_eo/edit#gid=1336395716"", ""Science!M:N""), 2, FALSE)"),"Analyze situations to identify whether a force is a push or a pull and its impact on the motion of an object.")</f>
        <v>Analyze situations to identify whether a force is a push or a pull and its impact on the motion of an object.</v>
      </c>
      <c r="Q66" s="10" t="str">
        <f t="shared" si="4"/>
        <v>LU005179.005</v>
      </c>
      <c r="R66" s="10" t="str">
        <f ca="1">IFERROR(__xludf.DUMMYFUNCTION("VLOOKUP(Q66, IMPORTRANGE(""https://docs.google.com/spreadsheets/d/1yDAaXNsi4Mr5FtRQL4tbmSdIzhx6_m4wkOD7IG-k_eo/edit#gid=1336395716"", ""Science!M:N""), 2, FALSE)"),"#N/A")</f>
        <v>#N/A</v>
      </c>
      <c r="S66" s="10" t="str">
        <f t="shared" si="5"/>
        <v>LU005179.006</v>
      </c>
      <c r="T66" s="10" t="str">
        <f ca="1">IFERROR(__xludf.DUMMYFUNCTION("VLOOKUP(S66, IMPORTRANGE(""https://docs.google.com/spreadsheets/d/1yDAaXNsi4Mr5FtRQL4tbmSdIzhx6_m4wkOD7IG-k_eo/edit#gid=1336395716"", ""Science!M:N""), 2, FALSE)"),"Construct a simple experiment that demonstrates the effect of push and pull forces on the motion of an object")</f>
        <v>Construct a simple experiment that demonstrates the effect of push and pull forces on the motion of an object</v>
      </c>
      <c r="U66" s="116">
        <f ca="1">IFERROR(__xludf.DUMMYFUNCTION("ArrayFormula(VLOOKUP(G66, IMPORTRANGE(""https://docs.google.com/spreadsheets/d/1p7R4vtkWt5VOBim4ltsDG9KTzSjrtKXsMtQGXPHyND0/edit#gid=795171502"", ""'Filter 30_05_2024'!A1:M2000""), {2, 3, 4, 5,6,7,8,9,10,11,12,13}, 0))"),4)</f>
        <v>4</v>
      </c>
      <c r="V66" s="116">
        <f ca="1">IFERROR(__xludf.DUMMYFUNCTION("""COMPUTED_VALUE"""),6)</f>
        <v>6</v>
      </c>
      <c r="W66" s="116">
        <f ca="1">IFERROR(__xludf.DUMMYFUNCTION("""COMPUTED_VALUE"""),2)</f>
        <v>2</v>
      </c>
      <c r="X66" s="116">
        <f ca="1">IFERROR(__xludf.DUMMYFUNCTION("""COMPUTED_VALUE"""),12)</f>
        <v>12</v>
      </c>
      <c r="Y66" s="116">
        <f ca="1">IFERROR(__xludf.DUMMYFUNCTION("""COMPUTED_VALUE"""),4)</f>
        <v>4</v>
      </c>
      <c r="Z66" s="12">
        <f ca="1">IFERROR(__xludf.DUMMYFUNCTION("""COMPUTED_VALUE"""),4)</f>
        <v>4</v>
      </c>
      <c r="AA66" s="12">
        <f ca="1">IFERROR(__xludf.DUMMYFUNCTION("""COMPUTED_VALUE"""),1)</f>
        <v>1</v>
      </c>
      <c r="AB66" s="12">
        <f ca="1">IFERROR(__xludf.DUMMYFUNCTION("""COMPUTED_VALUE"""),9)</f>
        <v>9</v>
      </c>
      <c r="AC66" s="12"/>
      <c r="AD66" s="12"/>
      <c r="AE66" s="12"/>
      <c r="AF66" s="12"/>
      <c r="AG66" s="13" t="str">
        <f ca="1">IFERROR(__xludf.DUMMYFUNCTION("ArrayFormula(VLOOKUP(G66, IMPORTRANGE(""https://docs.google.com/spreadsheets/d/1Co934fvtviyaRiMsrIlT05Jaq7iiYq07aLvRr35KA48/edit?gid=173865642#gid=173865642"", ""'G8_Sci_Pri_LU'!G2:V2000""), {3, 4, 5, 6, 7, 8, 9, 10, 11, 12, 13, 14, 15, 16}, 0))"),"LU005177")</f>
        <v>LU005177</v>
      </c>
      <c r="AH66" s="13" t="str">
        <f ca="1">IFERROR(__xludf.DUMMYFUNCTION("""COMPUTED_VALUE"""),"Comparison of object in the State of rest vs State of Motion")</f>
        <v>Comparison of object in the State of rest vs State of Motion</v>
      </c>
      <c r="AI66" s="13"/>
      <c r="AJ66" s="13"/>
      <c r="AK66" s="13"/>
      <c r="AL66" s="13"/>
      <c r="AM66" s="13"/>
      <c r="AN66" s="13"/>
      <c r="AO66" s="13"/>
      <c r="AP66" s="13"/>
      <c r="AQ66" s="13"/>
      <c r="AR66" s="13"/>
      <c r="AS66" s="13"/>
      <c r="AT66" s="13"/>
    </row>
    <row r="67" spans="1:46" ht="52.8">
      <c r="A67" s="8" t="s">
        <v>247</v>
      </c>
      <c r="B67" s="8" t="s">
        <v>47</v>
      </c>
      <c r="C67" s="8" t="s">
        <v>731</v>
      </c>
      <c r="D67" s="8" t="s">
        <v>1510</v>
      </c>
      <c r="E67" s="8" t="s">
        <v>2123</v>
      </c>
      <c r="F67" s="8" t="s">
        <v>2124</v>
      </c>
      <c r="G67" s="8" t="s">
        <v>2126</v>
      </c>
      <c r="H67" s="8" t="str">
        <f ca="1">IFERROR(__xludf.DUMMYFUNCTION("VLOOKUP(G67, IMPORTRANGE(""https://docs.google.com/spreadsheets/d/14deopnvwcrKtEGCKuYXdUHJbeLDZlkiSSWWT0g7x2pM/edit#gid=849066331"", ""LU List Science (Filter)!A:B""), 2, FALSE)"),"Magnitude and direction of force")</f>
        <v>Magnitude and direction of force</v>
      </c>
      <c r="I67" s="10" t="str">
        <f t="shared" si="0"/>
        <v>LU005548.001</v>
      </c>
      <c r="J67" s="10" t="str">
        <f ca="1">IFERROR(__xludf.DUMMYFUNCTION("VLOOKUP(I67, IMPORTRANGE(""https://docs.google.com/spreadsheets/d/1yDAaXNsi4Mr5FtRQL4tbmSdIzhx6_m4wkOD7IG-k_eo/edit#gid=1336395716"", ""Science!M:N""), 2, FALSE)"),"List the definitions of 'magnitude' and 'direction' in the context of force.")</f>
        <v>List the definitions of 'magnitude' and 'direction' in the context of force.</v>
      </c>
      <c r="K67" s="10" t="str">
        <f t="shared" si="6"/>
        <v>LU005548.002</v>
      </c>
      <c r="L67" s="10" t="str">
        <f ca="1">IFERROR(__xludf.DUMMYFUNCTION("VLOOKUP(K67, IMPORTRANGE(""https://docs.google.com/spreadsheets/d/1yDAaXNsi4Mr5FtRQL4tbmSdIzhx6_m4wkOD7IG-k_eo/edit#gid=1336395716"", ""Science!M:N""), 2, FALSE)"),"Explain the difference between magnitude and direction of force using real-life examples.")</f>
        <v>Explain the difference between magnitude and direction of force using real-life examples.</v>
      </c>
      <c r="M67" s="10" t="str">
        <f t="shared" si="2"/>
        <v>LU005548.003</v>
      </c>
      <c r="N67" s="10" t="str">
        <f ca="1">IFERROR(__xludf.DUMMYFUNCTION("VLOOKUP(M67, IMPORTRANGE(""https://docs.google.com/spreadsheets/d/1yDAaXNsi4Mr5FtRQL4tbmSdIzhx6_m4wkOD7IG-k_eo/edit#gid=1336395716"", ""Science!M:N""), 2, FALSE)"),"Illustrate the magnitude and direction of force acting on an object by drawing force arrows on a diagram.")</f>
        <v>Illustrate the magnitude and direction of force acting on an object by drawing force arrows on a diagram.</v>
      </c>
      <c r="O67" s="10" t="str">
        <f t="shared" si="3"/>
        <v>LU005548.004</v>
      </c>
      <c r="P67" s="10" t="str">
        <f ca="1">IFERROR(__xludf.DUMMYFUNCTION("VLOOKUP(O67, IMPORTRANGE(""https://docs.google.com/spreadsheets/d/1yDAaXNsi4Mr5FtRQL4tbmSdIzhx6_m4wkOD7IG-k_eo/edit#gid=1336395716"", ""Science!M:N""), 2, FALSE)"),"Differentiate between situations where only the magnitude of the force changes versus situations where only the direction of the force changes.")</f>
        <v>Differentiate between situations where only the magnitude of the force changes versus situations where only the direction of the force changes.</v>
      </c>
      <c r="Q67" s="10" t="str">
        <f t="shared" si="4"/>
        <v>LU005548.005</v>
      </c>
      <c r="R67" s="10" t="str">
        <f ca="1">IFERROR(__xludf.DUMMYFUNCTION("VLOOKUP(Q67, IMPORTRANGE(""https://docs.google.com/spreadsheets/d/1yDAaXNsi4Mr5FtRQL4tbmSdIzhx6_m4wkOD7IG-k_eo/edit#gid=1336395716"", ""Science!M:N""), 2, FALSE)"),"Judge the effects of varying magnitudes and directions of force on the movement of an object.")</f>
        <v>Judge the effects of varying magnitudes and directions of force on the movement of an object.</v>
      </c>
      <c r="S67" s="10" t="str">
        <f t="shared" si="5"/>
        <v>LU005548.006</v>
      </c>
      <c r="T67" s="10" t="str">
        <f ca="1">IFERROR(__xludf.DUMMYFUNCTION("VLOOKUP(S67, IMPORTRANGE(""https://docs.google.com/spreadsheets/d/1yDAaXNsi4Mr5FtRQL4tbmSdIzhx6_m4wkOD7IG-k_eo/edit#gid=1336395716"", ""Science!M:N""), 2, FALSE)"),"Design a simple experiment demonstrating the impact of changing magnitude and direction of force on a moving object.")</f>
        <v>Design a simple experiment demonstrating the impact of changing magnitude and direction of force on a moving object.</v>
      </c>
      <c r="U67" s="116">
        <f ca="1">IFERROR(__xludf.DUMMYFUNCTION("ArrayFormula(VLOOKUP(G67, IMPORTRANGE(""https://docs.google.com/spreadsheets/d/1p7R4vtkWt5VOBim4ltsDG9KTzSjrtKXsMtQGXPHyND0/edit#gid=795171502"", ""'Filter 30_05_2024'!A1:M2000""), {2, 3, 4, 5,6,7,8,9,10,11,12,13}, 0))"),4)</f>
        <v>4</v>
      </c>
      <c r="V67" s="116">
        <f ca="1">IFERROR(__xludf.DUMMYFUNCTION("""COMPUTED_VALUE"""),6)</f>
        <v>6</v>
      </c>
      <c r="W67" s="116">
        <f ca="1">IFERROR(__xludf.DUMMYFUNCTION("""COMPUTED_VALUE"""),2)</f>
        <v>2</v>
      </c>
      <c r="X67" s="116">
        <f ca="1">IFERROR(__xludf.DUMMYFUNCTION("""COMPUTED_VALUE"""),12)</f>
        <v>12</v>
      </c>
      <c r="Y67" s="116">
        <f ca="1">IFERROR(__xludf.DUMMYFUNCTION("""COMPUTED_VALUE"""),4)</f>
        <v>4</v>
      </c>
      <c r="Z67" s="12">
        <f ca="1">IFERROR(__xludf.DUMMYFUNCTION("""COMPUTED_VALUE"""),3)</f>
        <v>3</v>
      </c>
      <c r="AA67" s="12">
        <f ca="1">IFERROR(__xludf.DUMMYFUNCTION("""COMPUTED_VALUE"""),1)</f>
        <v>1</v>
      </c>
      <c r="AB67" s="12">
        <f ca="1">IFERROR(__xludf.DUMMYFUNCTION("""COMPUTED_VALUE"""),8)</f>
        <v>8</v>
      </c>
      <c r="AC67" s="12"/>
      <c r="AD67" s="12"/>
      <c r="AE67" s="12"/>
      <c r="AF67" s="12"/>
      <c r="AG67" s="13" t="str">
        <f ca="1">IFERROR(__xludf.DUMMYFUNCTION("ArrayFormula(VLOOKUP(G67, IMPORTRANGE(""https://docs.google.com/spreadsheets/d/1Co934fvtviyaRiMsrIlT05Jaq7iiYq07aLvRr35KA48/edit?gid=173865642#gid=173865642"", ""'G8_Sci_Pri_LU'!G2:V2000""), {3, 4, 5, 6, 7, 8, 9, 10, 11, 12, 13, 14, 15, 16}, 0))"),"LU005179")</f>
        <v>LU005179</v>
      </c>
      <c r="AH67" s="13" t="str">
        <f ca="1">IFERROR(__xludf.DUMMYFUNCTION("""COMPUTED_VALUE"""),"Force - a push or pull")</f>
        <v>Force - a push or pull</v>
      </c>
      <c r="AI67" s="13" t="str">
        <f ca="1">IFERROR(__xludf.DUMMYFUNCTION("""COMPUTED_VALUE"""),"LU000005")</f>
        <v>LU000005</v>
      </c>
      <c r="AJ67" s="13" t="str">
        <f ca="1">IFERROR(__xludf.DUMMYFUNCTION("""COMPUTED_VALUE"""),"Introduction to cardinal directions")</f>
        <v>Introduction to cardinal directions</v>
      </c>
      <c r="AK67" s="13"/>
      <c r="AL67" s="13"/>
      <c r="AM67" s="13"/>
      <c r="AN67" s="13"/>
      <c r="AO67" s="13"/>
      <c r="AP67" s="13"/>
      <c r="AQ67" s="13"/>
      <c r="AR67" s="13"/>
      <c r="AS67" s="13"/>
      <c r="AT67" s="13"/>
    </row>
    <row r="68" spans="1:46" ht="52.8">
      <c r="A68" s="8" t="s">
        <v>247</v>
      </c>
      <c r="B68" s="8" t="s">
        <v>47</v>
      </c>
      <c r="C68" s="8" t="s">
        <v>731</v>
      </c>
      <c r="D68" s="8" t="s">
        <v>1510</v>
      </c>
      <c r="E68" s="8" t="s">
        <v>2123</v>
      </c>
      <c r="F68" s="8" t="s">
        <v>2124</v>
      </c>
      <c r="G68" s="8" t="s">
        <v>2127</v>
      </c>
      <c r="H68" s="8" t="str">
        <f ca="1">IFERROR(__xludf.DUMMYFUNCTION("VLOOKUP(G68, IMPORTRANGE(""https://docs.google.com/spreadsheets/d/14deopnvwcrKtEGCKuYXdUHJbeLDZlkiSSWWT0g7x2pM/edit#gid=849066331"", ""LU List Science (Filter)!A:B""), 2, FALSE)"),"Force due to the interaction between two objects")</f>
        <v>Force due to the interaction between two objects</v>
      </c>
      <c r="I68" s="10" t="str">
        <f t="shared" si="0"/>
        <v>LU005537.001</v>
      </c>
      <c r="J68" s="10" t="str">
        <f ca="1">IFERROR(__xludf.DUMMYFUNCTION("VLOOKUP(I68, IMPORTRANGE(""https://docs.google.com/spreadsheets/d/1yDAaXNsi4Mr5FtRQL4tbmSdIzhx6_m4wkOD7IG-k_eo/edit#gid=1336395716"", ""Science!M:N""), 2, FALSE)"),"Define the concept of force as a result of interaction between two objects.")</f>
        <v>Define the concept of force as a result of interaction between two objects.</v>
      </c>
      <c r="K68" s="10" t="str">
        <f t="shared" si="6"/>
        <v>LU005537.002</v>
      </c>
      <c r="L68" s="10" t="str">
        <f ca="1">IFERROR(__xludf.DUMMYFUNCTION("VLOOKUP(K68, IMPORTRANGE(""https://docs.google.com/spreadsheets/d/1yDAaXNsi4Mr5FtRQL4tbmSdIzhx6_m4wkOD7IG-k_eo/edit#gid=1336395716"", ""Science!M:N""), 2, FALSE)"),"Describe how the interaction between two objects can lead to a force acting on each of them.")</f>
        <v>Describe how the interaction between two objects can lead to a force acting on each of them.</v>
      </c>
      <c r="M68" s="10" t="str">
        <f t="shared" si="2"/>
        <v>LU005537.003</v>
      </c>
      <c r="N68" s="10" t="str">
        <f ca="1">IFERROR(__xludf.DUMMYFUNCTION("VLOOKUP(M68, IMPORTRANGE(""https://docs.google.com/spreadsheets/d/1yDAaXNsi4Mr5FtRQL4tbmSdIzhx6_m4wkOD7IG-k_eo/edit#gid=1336395716"", ""Science!M:N""), 2, FALSE)"),"Apply the principles of force resulting from the interaction between two objects to predict  the forces involved in a given scenario.")</f>
        <v>Apply the principles of force resulting from the interaction between two objects to predict  the forces involved in a given scenario.</v>
      </c>
      <c r="O68" s="10" t="str">
        <f t="shared" si="3"/>
        <v>LU005537.004</v>
      </c>
      <c r="P68" s="10" t="str">
        <f ca="1">IFERROR(__xludf.DUMMYFUNCTION("VLOOKUP(O68, IMPORTRANGE(""https://docs.google.com/spreadsheets/d/1yDAaXNsi4Mr5FtRQL4tbmSdIzhx6_m4wkOD7IG-k_eo/edit#gid=1336395716"", ""Science!M:N""), 2, FALSE)"),"Analyze different real-life scenarios to identify the forces resulting from interactions between objects.")</f>
        <v>Analyze different real-life scenarios to identify the forces resulting from interactions between objects.</v>
      </c>
      <c r="Q68" s="10" t="str">
        <f t="shared" si="4"/>
        <v>LU005537.005</v>
      </c>
      <c r="R68" s="10" t="str">
        <f ca="1">IFERROR(__xludf.DUMMYFUNCTION("VLOOKUP(Q68, IMPORTRANGE(""https://docs.google.com/spreadsheets/d/1yDAaXNsi4Mr5FtRQL4tbmSdIzhx6_m4wkOD7IG-k_eo/edit#gid=1336395716"", ""Science!M:N""), 2, FALSE)"),"Evaluate the effects of the interaction forces in terms of changes in motion or deformation of the objects involved.")</f>
        <v>Evaluate the effects of the interaction forces in terms of changes in motion or deformation of the objects involved.</v>
      </c>
      <c r="S68" s="10" t="str">
        <f t="shared" si="5"/>
        <v>LU005537.006</v>
      </c>
      <c r="T68" s="10" t="str">
        <f ca="1">IFERROR(__xludf.DUMMYFUNCTION("VLOOKUP(S68, IMPORTRANGE(""https://docs.google.com/spreadsheets/d/1yDAaXNsi4Mr5FtRQL4tbmSdIzhx6_m4wkOD7IG-k_eo/edit#gid=1336395716"", ""Science!M:N""), 2, FALSE)"),"#N/A")</f>
        <v>#N/A</v>
      </c>
      <c r="U68" s="116">
        <f ca="1">IFERROR(__xludf.DUMMYFUNCTION("ArrayFormula(VLOOKUP(G68, IMPORTRANGE(""https://docs.google.com/spreadsheets/d/1p7R4vtkWt5VOBim4ltsDG9KTzSjrtKXsMtQGXPHyND0/edit#gid=795171502"", ""'Filter 30_05_2024'!A1:M2000""), {2, 3, 4, 5,6,7,8,9,10,11,12,13}, 0))"),4)</f>
        <v>4</v>
      </c>
      <c r="V68" s="116">
        <f ca="1">IFERROR(__xludf.DUMMYFUNCTION("""COMPUTED_VALUE"""),6)</f>
        <v>6</v>
      </c>
      <c r="W68" s="116">
        <f ca="1">IFERROR(__xludf.DUMMYFUNCTION("""COMPUTED_VALUE"""),2)</f>
        <v>2</v>
      </c>
      <c r="X68" s="116">
        <f ca="1">IFERROR(__xludf.DUMMYFUNCTION("""COMPUTED_VALUE"""),12)</f>
        <v>12</v>
      </c>
      <c r="Y68" s="116">
        <f ca="1">IFERROR(__xludf.DUMMYFUNCTION("""COMPUTED_VALUE"""),4)</f>
        <v>4</v>
      </c>
      <c r="Z68" s="12">
        <f ca="1">IFERROR(__xludf.DUMMYFUNCTION("""COMPUTED_VALUE"""),3)</f>
        <v>3</v>
      </c>
      <c r="AA68" s="12">
        <f ca="1">IFERROR(__xludf.DUMMYFUNCTION("""COMPUTED_VALUE"""),1)</f>
        <v>1</v>
      </c>
      <c r="AB68" s="12">
        <f ca="1">IFERROR(__xludf.DUMMYFUNCTION("""COMPUTED_VALUE"""),8)</f>
        <v>8</v>
      </c>
      <c r="AC68" s="12"/>
      <c r="AD68" s="12"/>
      <c r="AE68" s="12"/>
      <c r="AF68" s="12"/>
      <c r="AG68" s="13" t="str">
        <f ca="1">IFERROR(__xludf.DUMMYFUNCTION("ArrayFormula(VLOOKUP(G68, IMPORTRANGE(""https://docs.google.com/spreadsheets/d/1Co934fvtviyaRiMsrIlT05Jaq7iiYq07aLvRr35KA48/edit?gid=173865642#gid=173865642"", ""'G8_Sci_Pri_LU'!G2:V2000""), {3, 4, 5, 6, 7, 8, 9, 10, 11, 12, 13, 14, 15, 16}, 0))"),"LU005179")</f>
        <v>LU005179</v>
      </c>
      <c r="AH68" s="13" t="str">
        <f ca="1">IFERROR(__xludf.DUMMYFUNCTION("""COMPUTED_VALUE"""),"Force - a push or pull")</f>
        <v>Force - a push or pull</v>
      </c>
      <c r="AI68" s="13"/>
      <c r="AJ68" s="13"/>
      <c r="AK68" s="13"/>
      <c r="AL68" s="13"/>
      <c r="AM68" s="13"/>
      <c r="AN68" s="13"/>
      <c r="AO68" s="13"/>
      <c r="AP68" s="13"/>
      <c r="AQ68" s="13"/>
      <c r="AR68" s="13"/>
      <c r="AS68" s="13"/>
      <c r="AT68" s="13"/>
    </row>
    <row r="69" spans="1:46" ht="52.8">
      <c r="A69" s="8" t="s">
        <v>247</v>
      </c>
      <c r="B69" s="8" t="s">
        <v>47</v>
      </c>
      <c r="C69" s="8" t="s">
        <v>731</v>
      </c>
      <c r="D69" s="8" t="s">
        <v>1510</v>
      </c>
      <c r="E69" s="8" t="s">
        <v>2123</v>
      </c>
      <c r="F69" s="8" t="s">
        <v>2128</v>
      </c>
      <c r="G69" s="8" t="s">
        <v>2129</v>
      </c>
      <c r="H69" s="8" t="str">
        <f ca="1">IFERROR(__xludf.DUMMYFUNCTION("VLOOKUP(G69, IMPORTRANGE(""https://docs.google.com/spreadsheets/d/14deopnvwcrKtEGCKuYXdUHJbeLDZlkiSSWWT0g7x2pM/edit#gid=849066331"", ""LU List Science (Filter)!A:B""), 2, FALSE)"),"Effects of force on the shape, motion and direction of motion of objects")</f>
        <v>Effects of force on the shape, motion and direction of motion of objects</v>
      </c>
      <c r="I69" s="10" t="str">
        <f t="shared" si="0"/>
        <v>LU005540.001</v>
      </c>
      <c r="J69" s="10" t="str">
        <f ca="1">IFERROR(__xludf.DUMMYFUNCTION("VLOOKUP(I69, IMPORTRANGE(""https://docs.google.com/spreadsheets/d/1yDAaXNsi4Mr5FtRQL4tbmSdIzhx6_m4wkOD7IG-k_eo/edit#gid=1336395716"", ""Science!M:N""), 2, FALSE)"),"Recall the types of changes caused by forces.")</f>
        <v>Recall the types of changes caused by forces.</v>
      </c>
      <c r="K69" s="10" t="str">
        <f t="shared" si="6"/>
        <v>LU005540.002</v>
      </c>
      <c r="L69" s="10" t="str">
        <f ca="1">IFERROR(__xludf.DUMMYFUNCTION("VLOOKUP(K69, IMPORTRANGE(""https://docs.google.com/spreadsheets/d/1yDAaXNsi4Mr5FtRQL4tbmSdIzhx6_m4wkOD7IG-k_eo/edit#gid=1336395716"", ""Science!M:N""), 2, FALSE)"),"Explain in your own words the effects of force, connecting them to real-life examples.")</f>
        <v>Explain in your own words the effects of force, connecting them to real-life examples.</v>
      </c>
      <c r="M69" s="10" t="str">
        <f t="shared" si="2"/>
        <v>LU005540.003</v>
      </c>
      <c r="N69" s="10" t="str">
        <f ca="1">IFERROR(__xludf.DUMMYFUNCTION("VLOOKUP(M69, IMPORTRANGE(""https://docs.google.com/spreadsheets/d/1yDAaXNsi4Mr5FtRQL4tbmSdIzhx6_m4wkOD7IG-k_eo/edit#gid=1336395716"", ""Science!M:N""), 2, FALSE)"),"Demonstrate the effects of force by conducting simple experiments to show changes in shape, motion, and direction of motion.")</f>
        <v>Demonstrate the effects of force by conducting simple experiments to show changes in shape, motion, and direction of motion.</v>
      </c>
      <c r="O69" s="10" t="str">
        <f t="shared" si="3"/>
        <v>LU005540.004</v>
      </c>
      <c r="P69" s="10" t="str">
        <f ca="1">IFERROR(__xludf.DUMMYFUNCTION("VLOOKUP(O69, IMPORTRANGE(""https://docs.google.com/spreadsheets/d/1yDAaXNsi4Mr5FtRQL4tbmSdIzhx6_m4wkOD7IG-k_eo/edit#gid=1336395716"", ""Science!M:N""), 2, FALSE)"),"#N/A")</f>
        <v>#N/A</v>
      </c>
      <c r="Q69" s="10" t="str">
        <f t="shared" si="4"/>
        <v>LU005540.005</v>
      </c>
      <c r="R69" s="10" t="str">
        <f ca="1">IFERROR(__xludf.DUMMYFUNCTION("VLOOKUP(Q69, IMPORTRANGE(""https://docs.google.com/spreadsheets/d/1yDAaXNsi4Mr5FtRQL4tbmSdIzhx6_m4wkOD7IG-k_eo/edit#gid=1336395716"", ""Science!M:N""), 2, FALSE)"),"#N/A")</f>
        <v>#N/A</v>
      </c>
      <c r="S69" s="10" t="str">
        <f t="shared" si="5"/>
        <v>LU005540.006</v>
      </c>
      <c r="T69" s="10" t="str">
        <f ca="1">IFERROR(__xludf.DUMMYFUNCTION("VLOOKUP(S69, IMPORTRANGE(""https://docs.google.com/spreadsheets/d/1yDAaXNsi4Mr5FtRQL4tbmSdIzhx6_m4wkOD7IG-k_eo/edit#gid=1336395716"", ""Science!M:N""), 2, FALSE)"),"Design an experiment to demonstrate and showcase the effects of force on different objects, effectively explaining the observed changes.")</f>
        <v>Design an experiment to demonstrate and showcase the effects of force on different objects, effectively explaining the observed changes.</v>
      </c>
      <c r="U69" s="116">
        <f ca="1">IFERROR(__xludf.DUMMYFUNCTION("ArrayFormula(VLOOKUP(G69, IMPORTRANGE(""https://docs.google.com/spreadsheets/d/1p7R4vtkWt5VOBim4ltsDG9KTzSjrtKXsMtQGXPHyND0/edit#gid=795171502"", ""'Filter 30_05_2024'!A1:M2000""), {2, 3, 4, 5,6,7,8,9,10,11,12,13}, 0))"),4)</f>
        <v>4</v>
      </c>
      <c r="V69" s="116">
        <f ca="1">IFERROR(__xludf.DUMMYFUNCTION("""COMPUTED_VALUE"""),6)</f>
        <v>6</v>
      </c>
      <c r="W69" s="116">
        <f ca="1">IFERROR(__xludf.DUMMYFUNCTION("""COMPUTED_VALUE"""),2)</f>
        <v>2</v>
      </c>
      <c r="X69" s="116">
        <f ca="1">IFERROR(__xludf.DUMMYFUNCTION("""COMPUTED_VALUE"""),12)</f>
        <v>12</v>
      </c>
      <c r="Y69" s="116">
        <f ca="1">IFERROR(__xludf.DUMMYFUNCTION("""COMPUTED_VALUE"""),4)</f>
        <v>4</v>
      </c>
      <c r="Z69" s="12">
        <f ca="1">IFERROR(__xludf.DUMMYFUNCTION("""COMPUTED_VALUE"""),3)</f>
        <v>3</v>
      </c>
      <c r="AA69" s="12">
        <f ca="1">IFERROR(__xludf.DUMMYFUNCTION("""COMPUTED_VALUE"""),1)</f>
        <v>1</v>
      </c>
      <c r="AB69" s="12">
        <f ca="1">IFERROR(__xludf.DUMMYFUNCTION("""COMPUTED_VALUE"""),8)</f>
        <v>8</v>
      </c>
      <c r="AC69" s="12"/>
      <c r="AD69" s="12"/>
      <c r="AE69" s="12"/>
      <c r="AF69" s="12"/>
      <c r="AG69" s="13" t="str">
        <f ca="1">IFERROR(__xludf.DUMMYFUNCTION("ArrayFormula(VLOOKUP(G69, IMPORTRANGE(""https://docs.google.com/spreadsheets/d/1Co934fvtviyaRiMsrIlT05Jaq7iiYq07aLvRr35KA48/edit?gid=173865642#gid=173865642"", ""'G8_Sci_Pri_LU'!G2:V2000""), {3, 4, 5, 6, 7, 8, 9, 10, 11, 12, 13, 14, 15, 16}, 0))"),"LU005548")</f>
        <v>LU005548</v>
      </c>
      <c r="AH69" s="13" t="str">
        <f ca="1">IFERROR(__xludf.DUMMYFUNCTION("""COMPUTED_VALUE"""),"Magnitude and direction of force")</f>
        <v>Magnitude and direction of force</v>
      </c>
      <c r="AI69" s="13" t="str">
        <f ca="1">IFERROR(__xludf.DUMMYFUNCTION("""COMPUTED_VALUE"""),"LU005179")</f>
        <v>LU005179</v>
      </c>
      <c r="AJ69" s="13" t="str">
        <f ca="1">IFERROR(__xludf.DUMMYFUNCTION("""COMPUTED_VALUE"""),"Force - a push or pull")</f>
        <v>Force - a push or pull</v>
      </c>
      <c r="AK69" s="13" t="str">
        <f ca="1">IFERROR(__xludf.DUMMYFUNCTION("""COMPUTED_VALUE"""),"LU005537")</f>
        <v>LU005537</v>
      </c>
      <c r="AL69" s="13" t="str">
        <f ca="1">IFERROR(__xludf.DUMMYFUNCTION("""COMPUTED_VALUE"""),"Force due to the interaction between two objects")</f>
        <v>Force due to the interaction between two objects</v>
      </c>
      <c r="AM69" s="13"/>
      <c r="AN69" s="13"/>
      <c r="AO69" s="13"/>
      <c r="AP69" s="13"/>
      <c r="AQ69" s="13"/>
      <c r="AR69" s="13"/>
      <c r="AS69" s="13"/>
      <c r="AT69" s="13"/>
    </row>
    <row r="70" spans="1:46" ht="39.6">
      <c r="A70" s="8" t="s">
        <v>247</v>
      </c>
      <c r="B70" s="8" t="s">
        <v>47</v>
      </c>
      <c r="C70" s="8" t="s">
        <v>731</v>
      </c>
      <c r="D70" s="8" t="s">
        <v>1510</v>
      </c>
      <c r="E70" s="8" t="s">
        <v>2123</v>
      </c>
      <c r="F70" s="8" t="s">
        <v>2128</v>
      </c>
      <c r="G70" s="8" t="s">
        <v>2130</v>
      </c>
      <c r="H70" s="8" t="str">
        <f ca="1">IFERROR(__xludf.DUMMYFUNCTION("VLOOKUP(G70, IMPORTRANGE(""https://docs.google.com/spreadsheets/d/14deopnvwcrKtEGCKuYXdUHJbeLDZlkiSSWWT0g7x2pM/edit#gid=849066331"", ""LU List Science (Filter)!A:B""), 2, FALSE)"),"Definition of balanced and unbalanced force")</f>
        <v>Definition of balanced and unbalanced force</v>
      </c>
      <c r="I70" s="10" t="str">
        <f t="shared" si="0"/>
        <v>LU005541.001</v>
      </c>
      <c r="J70" s="10" t="str">
        <f ca="1">IFERROR(__xludf.DUMMYFUNCTION("VLOOKUP(I70, IMPORTRANGE(""https://docs.google.com/spreadsheets/d/1yDAaXNsi4Mr5FtRQL4tbmSdIzhx6_m4wkOD7IG-k_eo/edit#gid=1336395716"", ""Science!M:N""), 2, FALSE)"),"Define balanced force and unbalanced force.")</f>
        <v>Define balanced force and unbalanced force.</v>
      </c>
      <c r="K70" s="10" t="str">
        <f t="shared" si="6"/>
        <v>LU005541.002</v>
      </c>
      <c r="L70" s="10" t="str">
        <f ca="1">IFERROR(__xludf.DUMMYFUNCTION("VLOOKUP(K70, IMPORTRANGE(""https://docs.google.com/spreadsheets/d/1yDAaXNsi4Mr5FtRQL4tbmSdIzhx6_m4wkOD7IG-k_eo/edit#gid=1336395716"", ""Science!M:N""), 2, FALSE)"),"Describe how balanced forces result in no change in motion, while unbalanced forces cause motion.")</f>
        <v>Describe how balanced forces result in no change in motion, while unbalanced forces cause motion.</v>
      </c>
      <c r="M70" s="10" t="str">
        <f t="shared" si="2"/>
        <v>LU005541.003</v>
      </c>
      <c r="N70" s="10" t="str">
        <f ca="1">IFERROR(__xludf.DUMMYFUNCTION("VLOOKUP(M70, IMPORTRANGE(""https://docs.google.com/spreadsheets/d/1yDAaXNsi4Mr5FtRQL4tbmSdIzhx6_m4wkOD7IG-k_eo/edit#gid=1336395716"", ""Science!M:N""), 2, FALSE)"),"Identify instances of balanced and unbalanced forces in real-life situations.")</f>
        <v>Identify instances of balanced and unbalanced forces in real-life situations.</v>
      </c>
      <c r="O70" s="10" t="str">
        <f t="shared" si="3"/>
        <v>LU005541.004</v>
      </c>
      <c r="P70" s="10" t="str">
        <f ca="1">IFERROR(__xludf.DUMMYFUNCTION("VLOOKUP(O70, IMPORTRANGE(""https://docs.google.com/spreadsheets/d/1yDAaXNsi4Mr5FtRQL4tbmSdIzhx6_m4wkOD7IG-k_eo/edit#gid=1336395716"", ""Science!M:N""), 2, FALSE)"),"Compare and contrast the effects of balanced and unbalanced forces on an object's motion.")</f>
        <v>Compare and contrast the effects of balanced and unbalanced forces on an object's motion.</v>
      </c>
      <c r="Q70" s="10" t="str">
        <f t="shared" si="4"/>
        <v>LU005541.005</v>
      </c>
      <c r="R70" s="10" t="str">
        <f ca="1">IFERROR(__xludf.DUMMYFUNCTION("VLOOKUP(Q70, IMPORTRANGE(""https://docs.google.com/spreadsheets/d/1yDAaXNsi4Mr5FtRQL4tbmSdIzhx6_m4wkOD7IG-k_eo/edit#gid=1336395716"", ""Science!M:N""), 2, FALSE)"),"Assess the impact of balanced and unbalanced forces on various types of objects")</f>
        <v>Assess the impact of balanced and unbalanced forces on various types of objects</v>
      </c>
      <c r="S70" s="10" t="str">
        <f t="shared" si="5"/>
        <v>LU005541.006</v>
      </c>
      <c r="T70" s="10" t="str">
        <f ca="1">IFERROR(__xludf.DUMMYFUNCTION("VLOOKUP(S70, IMPORTRANGE(""https://docs.google.com/spreadsheets/d/1yDAaXNsi4Mr5FtRQL4tbmSdIzhx6_m4wkOD7IG-k_eo/edit#gid=1336395716"", ""Science!M:N""), 2, FALSE)"),"Devise an experiment to demonstrate the principles of balanced and unbalanced forces.")</f>
        <v>Devise an experiment to demonstrate the principles of balanced and unbalanced forces.</v>
      </c>
      <c r="U70" s="116">
        <f ca="1">IFERROR(__xludf.DUMMYFUNCTION("ArrayFormula(VLOOKUP(G70, IMPORTRANGE(""https://docs.google.com/spreadsheets/d/1p7R4vtkWt5VOBim4ltsDG9KTzSjrtKXsMtQGXPHyND0/edit#gid=795171502"", ""'Filter 30_05_2024'!A1:M2000""), {2, 3, 4, 5,6,7,8,9,10,11,12,13}, 0))"),4)</f>
        <v>4</v>
      </c>
      <c r="V70" s="116">
        <f ca="1">IFERROR(__xludf.DUMMYFUNCTION("""COMPUTED_VALUE"""),6)</f>
        <v>6</v>
      </c>
      <c r="W70" s="116">
        <f ca="1">IFERROR(__xludf.DUMMYFUNCTION("""COMPUTED_VALUE"""),2)</f>
        <v>2</v>
      </c>
      <c r="X70" s="116">
        <f ca="1">IFERROR(__xludf.DUMMYFUNCTION("""COMPUTED_VALUE"""),12)</f>
        <v>12</v>
      </c>
      <c r="Y70" s="116">
        <f ca="1">IFERROR(__xludf.DUMMYFUNCTION("""COMPUTED_VALUE"""),4)</f>
        <v>4</v>
      </c>
      <c r="Z70" s="12">
        <f ca="1">IFERROR(__xludf.DUMMYFUNCTION("""COMPUTED_VALUE"""),3)</f>
        <v>3</v>
      </c>
      <c r="AA70" s="12">
        <f ca="1">IFERROR(__xludf.DUMMYFUNCTION("""COMPUTED_VALUE"""),1)</f>
        <v>1</v>
      </c>
      <c r="AB70" s="12">
        <f ca="1">IFERROR(__xludf.DUMMYFUNCTION("""COMPUTED_VALUE"""),8)</f>
        <v>8</v>
      </c>
      <c r="AC70" s="12"/>
      <c r="AD70" s="12"/>
      <c r="AE70" s="12"/>
      <c r="AF70" s="12"/>
      <c r="AG70" s="13" t="str">
        <f ca="1">IFERROR(__xludf.DUMMYFUNCTION("ArrayFormula(VLOOKUP(G70, IMPORTRANGE(""https://docs.google.com/spreadsheets/d/1Co934fvtviyaRiMsrIlT05Jaq7iiYq07aLvRr35KA48/edit?gid=173865642#gid=173865642"", ""'G8_Sci_Pri_LU'!G2:V2000""), {3, 4, 5, 6, 7, 8, 9, 10, 11, 12, 13, 14, 15, 16}, 0))"),"LU005548")</f>
        <v>LU005548</v>
      </c>
      <c r="AH70" s="13" t="str">
        <f ca="1">IFERROR(__xludf.DUMMYFUNCTION("""COMPUTED_VALUE"""),"Magnitude and direction of force")</f>
        <v>Magnitude and direction of force</v>
      </c>
      <c r="AI70" s="13" t="str">
        <f ca="1">IFERROR(__xludf.DUMMYFUNCTION("""COMPUTED_VALUE"""),"LU005537")</f>
        <v>LU005537</v>
      </c>
      <c r="AJ70" s="13" t="str">
        <f ca="1">IFERROR(__xludf.DUMMYFUNCTION("""COMPUTED_VALUE"""),"Force due to the interaction between two objects")</f>
        <v>Force due to the interaction between two objects</v>
      </c>
      <c r="AK70" s="13"/>
      <c r="AL70" s="13"/>
      <c r="AM70" s="13"/>
      <c r="AN70" s="13"/>
      <c r="AO70" s="13"/>
      <c r="AP70" s="13"/>
      <c r="AQ70" s="13"/>
      <c r="AR70" s="13"/>
      <c r="AS70" s="13"/>
      <c r="AT70" s="13"/>
    </row>
    <row r="71" spans="1:46" ht="26.4">
      <c r="A71" s="8" t="s">
        <v>247</v>
      </c>
      <c r="B71" s="8" t="s">
        <v>47</v>
      </c>
      <c r="C71" s="8" t="s">
        <v>731</v>
      </c>
      <c r="D71" s="8" t="s">
        <v>1510</v>
      </c>
      <c r="E71" s="8" t="s">
        <v>2123</v>
      </c>
      <c r="F71" s="8" t="s">
        <v>2131</v>
      </c>
      <c r="G71" s="8" t="s">
        <v>2132</v>
      </c>
      <c r="H71" s="8" t="str">
        <f ca="1">IFERROR(__xludf.DUMMYFUNCTION("VLOOKUP(G71, IMPORTRANGE(""https://docs.google.com/spreadsheets/d/14deopnvwcrKtEGCKuYXdUHJbeLDZlkiSSWWT0g7x2pM/edit#gid=849066331"", ""LU List Science (Filter)!A:B""), 2, FALSE)"),"Types of contact force (Muscular and frictional)")</f>
        <v>Types of contact force (Muscular and frictional)</v>
      </c>
      <c r="I71" s="10" t="str">
        <f t="shared" si="0"/>
        <v>LU005538.001</v>
      </c>
      <c r="J71" s="10" t="str">
        <f ca="1">IFERROR(__xludf.DUMMYFUNCTION("VLOOKUP(I71, IMPORTRANGE(""https://docs.google.com/spreadsheets/d/1yDAaXNsi4Mr5FtRQL4tbmSdIzhx6_m4wkOD7IG-k_eo/edit#gid=1336395716"", ""Science!M:N""), 2, FALSE)"),"List the different types of contact forces.")</f>
        <v>List the different types of contact forces.</v>
      </c>
      <c r="K71" s="10" t="str">
        <f t="shared" si="6"/>
        <v>LU005538.002</v>
      </c>
      <c r="L71" s="10" t="str">
        <f ca="1">IFERROR(__xludf.DUMMYFUNCTION("VLOOKUP(K71, IMPORTRANGE(""https://docs.google.com/spreadsheets/d/1yDAaXNsi4Mr5FtRQL4tbmSdIzhx6_m4wkOD7IG-k_eo/edit#gid=1336395716"", ""Science!M:N""), 2, FALSE)"),"Describe the characteristics of each type of contact force.")</f>
        <v>Describe the characteristics of each type of contact force.</v>
      </c>
      <c r="M71" s="10" t="str">
        <f t="shared" si="2"/>
        <v>LU005538.003</v>
      </c>
      <c r="N71" s="10" t="str">
        <f ca="1">IFERROR(__xludf.DUMMYFUNCTION("VLOOKUP(M71, IMPORTRANGE(""https://docs.google.com/spreadsheets/d/1yDAaXNsi4Mr5FtRQL4tbmSdIzhx6_m4wkOD7IG-k_eo/edit#gid=1336395716"", ""Science!M:N""), 2, FALSE)"),"Identify and classify real-life examples of each type of contact force.")</f>
        <v>Identify and classify real-life examples of each type of contact force.</v>
      </c>
      <c r="O71" s="10" t="str">
        <f t="shared" si="3"/>
        <v>LU005538.004</v>
      </c>
      <c r="P71" s="10" t="str">
        <f ca="1">IFERROR(__xludf.DUMMYFUNCTION("VLOOKUP(O71, IMPORTRANGE(""https://docs.google.com/spreadsheets/d/1yDAaXNsi4Mr5FtRQL4tbmSdIzhx6_m4wkOD7IG-k_eo/edit#gid=1336395716"", ""Science!M:N""), 2, FALSE)"),"Compare and contrast the types of contact forces based on their properties and effects.")</f>
        <v>Compare and contrast the types of contact forces based on their properties and effects.</v>
      </c>
      <c r="Q71" s="10" t="str">
        <f t="shared" si="4"/>
        <v>LU005538.005</v>
      </c>
      <c r="R71" s="10" t="str">
        <f ca="1">IFERROR(__xludf.DUMMYFUNCTION("VLOOKUP(Q71, IMPORTRANGE(""https://docs.google.com/spreadsheets/d/1yDAaXNsi4Mr5FtRQL4tbmSdIzhx6_m4wkOD7IG-k_eo/edit#gid=1336395716"", ""Science!M:N""), 2, FALSE)"),"Justify the classification of a given force as a particular type of contact force, based on evidence.")</f>
        <v>Justify the classification of a given force as a particular type of contact force, based on evidence.</v>
      </c>
      <c r="S71" s="10" t="str">
        <f t="shared" si="5"/>
        <v>LU005538.006</v>
      </c>
      <c r="T71" s="10" t="str">
        <f ca="1">IFERROR(__xludf.DUMMYFUNCTION("VLOOKUP(S71, IMPORTRANGE(""https://docs.google.com/spreadsheets/d/1yDAaXNsi4Mr5FtRQL4tbmSdIzhx6_m4wkOD7IG-k_eo/edit#gid=1336395716"", ""Science!M:N""), 2, FALSE)"),"Design a simple experiment to showcase a specific contact force in action.")</f>
        <v>Design a simple experiment to showcase a specific contact force in action.</v>
      </c>
      <c r="U71" s="116">
        <f ca="1">IFERROR(__xludf.DUMMYFUNCTION("ArrayFormula(VLOOKUP(G71, IMPORTRANGE(""https://docs.google.com/spreadsheets/d/1p7R4vtkWt5VOBim4ltsDG9KTzSjrtKXsMtQGXPHyND0/edit#gid=795171502"", ""'Filter 30_05_2024'!A1:M2000""), {2, 3, 4, 5,6,7,8,9,10,11,12,13}, 0))"),4)</f>
        <v>4</v>
      </c>
      <c r="V71" s="116">
        <f ca="1">IFERROR(__xludf.DUMMYFUNCTION("""COMPUTED_VALUE"""),6)</f>
        <v>6</v>
      </c>
      <c r="W71" s="116">
        <f ca="1">IFERROR(__xludf.DUMMYFUNCTION("""COMPUTED_VALUE"""),2)</f>
        <v>2</v>
      </c>
      <c r="X71" s="116">
        <f ca="1">IFERROR(__xludf.DUMMYFUNCTION("""COMPUTED_VALUE"""),12)</f>
        <v>12</v>
      </c>
      <c r="Y71" s="116">
        <f ca="1">IFERROR(__xludf.DUMMYFUNCTION("""COMPUTED_VALUE"""),4)</f>
        <v>4</v>
      </c>
      <c r="Z71" s="12">
        <f ca="1">IFERROR(__xludf.DUMMYFUNCTION("""COMPUTED_VALUE"""),3)</f>
        <v>3</v>
      </c>
      <c r="AA71" s="12">
        <f ca="1">IFERROR(__xludf.DUMMYFUNCTION("""COMPUTED_VALUE"""),1)</f>
        <v>1</v>
      </c>
      <c r="AB71" s="12">
        <f ca="1">IFERROR(__xludf.DUMMYFUNCTION("""COMPUTED_VALUE"""),8)</f>
        <v>8</v>
      </c>
      <c r="AC71" s="12"/>
      <c r="AD71" s="12"/>
      <c r="AE71" s="12"/>
      <c r="AF71" s="12"/>
      <c r="AG71" s="13" t="str">
        <f ca="1">IFERROR(__xludf.DUMMYFUNCTION("ArrayFormula(VLOOKUP(G71, IMPORTRANGE(""https://docs.google.com/spreadsheets/d/1Co934fvtviyaRiMsrIlT05Jaq7iiYq07aLvRr35KA48/edit?gid=173865642#gid=173865642"", ""'G8_Sci_Pri_LU'!G2:V2000""), {3, 4, 5, 6, 7, 8, 9, 10, 11, 12, 13, 14, 15, 16}, 0))"),"LU005537")</f>
        <v>LU005537</v>
      </c>
      <c r="AH71" s="13" t="str">
        <f ca="1">IFERROR(__xludf.DUMMYFUNCTION("""COMPUTED_VALUE"""),"Force due to the interaction between two objects")</f>
        <v>Force due to the interaction between two objects</v>
      </c>
      <c r="AI71" s="13" t="str">
        <f ca="1">IFERROR(__xludf.DUMMYFUNCTION("""COMPUTED_VALUE"""),"LU005179")</f>
        <v>LU005179</v>
      </c>
      <c r="AJ71" s="13" t="str">
        <f ca="1">IFERROR(__xludf.DUMMYFUNCTION("""COMPUTED_VALUE"""),"Force - a push or pull")</f>
        <v>Force - a push or pull</v>
      </c>
      <c r="AK71" s="13" t="str">
        <f ca="1">IFERROR(__xludf.DUMMYFUNCTION("""COMPUTED_VALUE"""),"LU005197")</f>
        <v>LU005197</v>
      </c>
      <c r="AL71" s="13" t="str">
        <f ca="1">IFERROR(__xludf.DUMMYFUNCTION("""COMPUTED_VALUE"""),"Muscles(skeletal muscles)-definition, function, characteristics")</f>
        <v>Muscles(skeletal muscles)-definition, function, characteristics</v>
      </c>
      <c r="AM71" s="13"/>
      <c r="AN71" s="13"/>
      <c r="AO71" s="13"/>
      <c r="AP71" s="13"/>
      <c r="AQ71" s="13"/>
      <c r="AR71" s="13"/>
      <c r="AS71" s="13"/>
      <c r="AT71" s="13"/>
    </row>
    <row r="72" spans="1:46" ht="39.6">
      <c r="A72" s="8" t="s">
        <v>247</v>
      </c>
      <c r="B72" s="8" t="s">
        <v>47</v>
      </c>
      <c r="C72" s="8" t="s">
        <v>731</v>
      </c>
      <c r="D72" s="8" t="s">
        <v>1510</v>
      </c>
      <c r="E72" s="8" t="s">
        <v>2123</v>
      </c>
      <c r="F72" s="8" t="s">
        <v>2131</v>
      </c>
      <c r="G72" s="8" t="s">
        <v>2133</v>
      </c>
      <c r="H72" s="8" t="str">
        <f ca="1">IFERROR(__xludf.DUMMYFUNCTION("VLOOKUP(G72, IMPORTRANGE(""https://docs.google.com/spreadsheets/d/14deopnvwcrKtEGCKuYXdUHJbeLDZlkiSSWWT0g7x2pM/edit#gid=849066331"", ""LU List Science (Filter)!A:B""), 2, FALSE)"),"Types of non contact force (Magnetic, Electrostatic and Gravitational force)")</f>
        <v>Types of non contact force (Magnetic, Electrostatic and Gravitational force)</v>
      </c>
      <c r="I72" s="10" t="str">
        <f t="shared" si="0"/>
        <v>LU005539.001</v>
      </c>
      <c r="J72" s="10" t="str">
        <f ca="1">IFERROR(__xludf.DUMMYFUNCTION("VLOOKUP(I72, IMPORTRANGE(""https://docs.google.com/spreadsheets/d/1yDAaXNsi4Mr5FtRQL4tbmSdIzhx6_m4wkOD7IG-k_eo/edit#gid=1336395716"", ""Science!M:N""), 2, FALSE)"),"List the different types of non contact forces.")</f>
        <v>List the different types of non contact forces.</v>
      </c>
      <c r="K72" s="10" t="str">
        <f t="shared" si="6"/>
        <v>LU005539.002</v>
      </c>
      <c r="L72" s="10" t="str">
        <f ca="1">IFERROR(__xludf.DUMMYFUNCTION("VLOOKUP(K72, IMPORTRANGE(""https://docs.google.com/spreadsheets/d/1yDAaXNsi4Mr5FtRQL4tbmSdIzhx6_m4wkOD7IG-k_eo/edit#gid=1336395716"", ""Science!M:N""), 2, FALSE)"),"Describe the characteristics of each type of non contact force.")</f>
        <v>Describe the characteristics of each type of non contact force.</v>
      </c>
      <c r="M72" s="10" t="str">
        <f t="shared" si="2"/>
        <v>LU005539.003</v>
      </c>
      <c r="N72" s="10" t="str">
        <f ca="1">IFERROR(__xludf.DUMMYFUNCTION("VLOOKUP(M72, IMPORTRANGE(""https://docs.google.com/spreadsheets/d/1yDAaXNsi4Mr5FtRQL4tbmSdIzhx6_m4wkOD7IG-k_eo/edit#gid=1336395716"", ""Science!M:N""), 2, FALSE)"),"Identify and classify real-life examples of each type of non contact force.")</f>
        <v>Identify and classify real-life examples of each type of non contact force.</v>
      </c>
      <c r="O72" s="10" t="str">
        <f t="shared" si="3"/>
        <v>LU005539.004</v>
      </c>
      <c r="P72" s="10" t="str">
        <f ca="1">IFERROR(__xludf.DUMMYFUNCTION("VLOOKUP(O72, IMPORTRANGE(""https://docs.google.com/spreadsheets/d/1yDAaXNsi4Mr5FtRQL4tbmSdIzhx6_m4wkOD7IG-k_eo/edit#gid=1336395716"", ""Science!M:N""), 2, FALSE)"),"Compare and contrast the types of non contact forces based on their properties and effects.")</f>
        <v>Compare and contrast the types of non contact forces based on their properties and effects.</v>
      </c>
      <c r="Q72" s="10" t="str">
        <f t="shared" si="4"/>
        <v>LU005539.005</v>
      </c>
      <c r="R72" s="10" t="str">
        <f ca="1">IFERROR(__xludf.DUMMYFUNCTION("VLOOKUP(Q72, IMPORTRANGE(""https://docs.google.com/spreadsheets/d/1yDAaXNsi4Mr5FtRQL4tbmSdIzhx6_m4wkOD7IG-k_eo/edit#gid=1336395716"", ""Science!M:N""), 2, FALSE)"),"Justify the classification of a given force as a particular type of non contact force, based on evidence.")</f>
        <v>Justify the classification of a given force as a particular type of non contact force, based on evidence.</v>
      </c>
      <c r="S72" s="10" t="str">
        <f t="shared" si="5"/>
        <v>LU005539.006</v>
      </c>
      <c r="T72" s="10" t="str">
        <f ca="1">IFERROR(__xludf.DUMMYFUNCTION("VLOOKUP(S72, IMPORTRANGE(""https://docs.google.com/spreadsheets/d/1yDAaXNsi4Mr5FtRQL4tbmSdIzhx6_m4wkOD7IG-k_eo/edit#gid=1336395716"", ""Science!M:N""), 2, FALSE)"),"Design a simple experiment to showcase a specific non contact force in action.")</f>
        <v>Design a simple experiment to showcase a specific non contact force in action.</v>
      </c>
      <c r="U72" s="116">
        <f ca="1">IFERROR(__xludf.DUMMYFUNCTION("ArrayFormula(VLOOKUP(G72, IMPORTRANGE(""https://docs.google.com/spreadsheets/d/1p7R4vtkWt5VOBim4ltsDG9KTzSjrtKXsMtQGXPHyND0/edit#gid=795171502"", ""'Filter 30_05_2024'!A1:M2000""), {2, 3, 4, 5,6,7,8,9,10,11,12,13}, 0))"),4)</f>
        <v>4</v>
      </c>
      <c r="V72" s="116">
        <f ca="1">IFERROR(__xludf.DUMMYFUNCTION("""COMPUTED_VALUE"""),6)</f>
        <v>6</v>
      </c>
      <c r="W72" s="116">
        <f ca="1">IFERROR(__xludf.DUMMYFUNCTION("""COMPUTED_VALUE"""),2)</f>
        <v>2</v>
      </c>
      <c r="X72" s="116">
        <f ca="1">IFERROR(__xludf.DUMMYFUNCTION("""COMPUTED_VALUE"""),12)</f>
        <v>12</v>
      </c>
      <c r="Y72" s="116">
        <f ca="1">IFERROR(__xludf.DUMMYFUNCTION("""COMPUTED_VALUE"""),4)</f>
        <v>4</v>
      </c>
      <c r="Z72" s="12">
        <f ca="1">IFERROR(__xludf.DUMMYFUNCTION("""COMPUTED_VALUE"""),3)</f>
        <v>3</v>
      </c>
      <c r="AA72" s="12">
        <f ca="1">IFERROR(__xludf.DUMMYFUNCTION("""COMPUTED_VALUE"""),1)</f>
        <v>1</v>
      </c>
      <c r="AB72" s="12">
        <f ca="1">IFERROR(__xludf.DUMMYFUNCTION("""COMPUTED_VALUE"""),8)</f>
        <v>8</v>
      </c>
      <c r="AC72" s="12"/>
      <c r="AD72" s="12"/>
      <c r="AE72" s="12"/>
      <c r="AF72" s="12"/>
      <c r="AG72" s="13" t="str">
        <f ca="1">IFERROR(__xludf.DUMMYFUNCTION("ArrayFormula(VLOOKUP(G72, IMPORTRANGE(""https://docs.google.com/spreadsheets/d/1Co934fvtviyaRiMsrIlT05Jaq7iiYq07aLvRr35KA48/edit?gid=173865642#gid=173865642"", ""'G8_Sci_Pri_LU'!G2:V2000""), {3, 4, 5, 6, 7, 8, 9, 10, 11, 12, 13, 14, 15, 16}, 0))"),"LU005538")</f>
        <v>LU005538</v>
      </c>
      <c r="AH72" s="13" t="str">
        <f ca="1">IFERROR(__xludf.DUMMYFUNCTION("""COMPUTED_VALUE"""),"Types of contact force (Muscular and frictional)")</f>
        <v>Types of contact force (Muscular and frictional)</v>
      </c>
      <c r="AI72" s="13" t="str">
        <f ca="1">IFERROR(__xludf.DUMMYFUNCTION("""COMPUTED_VALUE"""),"LU005537")</f>
        <v>LU005537</v>
      </c>
      <c r="AJ72" s="13" t="str">
        <f ca="1">IFERROR(__xludf.DUMMYFUNCTION("""COMPUTED_VALUE"""),"Force due to the interaction between two objects")</f>
        <v>Force due to the interaction between two objects</v>
      </c>
      <c r="AK72" s="13" t="str">
        <f ca="1">IFERROR(__xludf.DUMMYFUNCTION("""COMPUTED_VALUE"""),"LU005179")</f>
        <v>LU005179</v>
      </c>
      <c r="AL72" s="13" t="str">
        <f ca="1">IFERROR(__xludf.DUMMYFUNCTION("""COMPUTED_VALUE"""),"Force - a push or pull")</f>
        <v>Force - a push or pull</v>
      </c>
      <c r="AM72" s="13"/>
      <c r="AN72" s="13"/>
      <c r="AO72" s="13"/>
      <c r="AP72" s="13"/>
      <c r="AQ72" s="13"/>
      <c r="AR72" s="13"/>
      <c r="AS72" s="13"/>
      <c r="AT72" s="13"/>
    </row>
    <row r="73" spans="1:46" ht="39.6">
      <c r="A73" s="8" t="s">
        <v>247</v>
      </c>
      <c r="B73" s="8" t="s">
        <v>47</v>
      </c>
      <c r="C73" s="8" t="s">
        <v>731</v>
      </c>
      <c r="D73" s="8" t="s">
        <v>1510</v>
      </c>
      <c r="E73" s="8" t="s">
        <v>2123</v>
      </c>
      <c r="F73" s="118" t="s">
        <v>2134</v>
      </c>
      <c r="G73" s="118" t="s">
        <v>2135</v>
      </c>
      <c r="H73" s="118" t="str">
        <f ca="1">IFERROR(__xludf.DUMMYFUNCTION("VLOOKUP(G73, IMPORTRANGE(""https://docs.google.com/spreadsheets/d/14deopnvwcrKtEGCKuYXdUHJbeLDZlkiSSWWT0g7x2pM/edit#gid=849066331"", ""LU List Science (Filter)!A:B""), 2, FALSE)"),"Definition of pressure")</f>
        <v>Definition of pressure</v>
      </c>
      <c r="I73" s="10" t="str">
        <f t="shared" si="0"/>
        <v>LU005543.001</v>
      </c>
      <c r="J73" s="10" t="str">
        <f ca="1">IFERROR(__xludf.DUMMYFUNCTION("VLOOKUP(I73, IMPORTRANGE(""https://docs.google.com/spreadsheets/d/1yDAaXNsi4Mr5FtRQL4tbmSdIzhx6_m4wkOD7IG-k_eo/edit#gid=1336395716"", ""Science!M:N""), 2, FALSE)"),"Recall the basic definition of pressure.")</f>
        <v>Recall the basic definition of pressure.</v>
      </c>
      <c r="K73" s="10" t="str">
        <f t="shared" si="6"/>
        <v>LU005543.002</v>
      </c>
      <c r="L73" s="10" t="str">
        <f ca="1">IFERROR(__xludf.DUMMYFUNCTION("VLOOKUP(K73, IMPORTRANGE(""https://docs.google.com/spreadsheets/d/1yDAaXNsi4Mr5FtRQL4tbmSdIzhx6_m4wkOD7IG-k_eo/edit#gid=1336395716"", ""Science!M:N""), 2, FALSE)"),"Explain pressure in terms of force and area.")</f>
        <v>Explain pressure in terms of force and area.</v>
      </c>
      <c r="M73" s="10" t="str">
        <f t="shared" si="2"/>
        <v>LU005543.003</v>
      </c>
      <c r="N73" s="10" t="str">
        <f ca="1">IFERROR(__xludf.DUMMYFUNCTION("VLOOKUP(M73, IMPORTRANGE(""https://docs.google.com/spreadsheets/d/1yDAaXNsi4Mr5FtRQL4tbmSdIzhx6_m4wkOD7IG-k_eo/edit#gid=1336395716"", ""Science!M:N""), 2, FALSE)"),"Use the formula for pressure to calculate it given force and area values.")</f>
        <v>Use the formula for pressure to calculate it given force and area values.</v>
      </c>
      <c r="O73" s="10" t="str">
        <f t="shared" si="3"/>
        <v>LU005543.004</v>
      </c>
      <c r="P73" s="10" t="str">
        <f ca="1">IFERROR(__xludf.DUMMYFUNCTION("VLOOKUP(O73, IMPORTRANGE(""https://docs.google.com/spreadsheets/d/1yDAaXNsi4Mr5FtRQL4tbmSdIzhx6_m4wkOD7IG-k_eo/edit#gid=1336395716"", ""Science!M:N""), 2, FALSE)"),"#N/A")</f>
        <v>#N/A</v>
      </c>
      <c r="Q73" s="10" t="str">
        <f t="shared" si="4"/>
        <v>LU005543.005</v>
      </c>
      <c r="R73" s="10" t="str">
        <f ca="1">IFERROR(__xludf.DUMMYFUNCTION("VLOOKUP(Q73, IMPORTRANGE(""https://docs.google.com/spreadsheets/d/1yDAaXNsi4Mr5FtRQL4tbmSdIzhx6_m4wkOD7IG-k_eo/edit#gid=1336395716"", ""Science!M:N""), 2, FALSE)"),"Justify the importance of understanding pressure in everyday activities like inflating a balloon or bicycle tire.")</f>
        <v>Justify the importance of understanding pressure in everyday activities like inflating a balloon or bicycle tire.</v>
      </c>
      <c r="S73" s="10" t="str">
        <f t="shared" si="5"/>
        <v>LU005543.006</v>
      </c>
      <c r="T73" s="10" t="str">
        <f ca="1">IFERROR(__xludf.DUMMYFUNCTION("VLOOKUP(S73, IMPORTRANGE(""https://docs.google.com/spreadsheets/d/1yDAaXNsi4Mr5FtRQL4tbmSdIzhx6_m4wkOD7IG-k_eo/edit#gid=1336395716"", ""Science!M:N""), 2, FALSE)"),"#N/A")</f>
        <v>#N/A</v>
      </c>
      <c r="U73" s="116">
        <f ca="1">IFERROR(__xludf.DUMMYFUNCTION("ArrayFormula(VLOOKUP(G73, IMPORTRANGE(""https://docs.google.com/spreadsheets/d/1p7R4vtkWt5VOBim4ltsDG9KTzSjrtKXsMtQGXPHyND0/edit#gid=795171502"", ""'Filter 30_05_2024'!A1:M2000""), {2, 3, 4, 5,6,7,8,9,10,11,12,13}, 0))"),4)</f>
        <v>4</v>
      </c>
      <c r="V73" s="116">
        <f ca="1">IFERROR(__xludf.DUMMYFUNCTION("""COMPUTED_VALUE"""),6)</f>
        <v>6</v>
      </c>
      <c r="W73" s="116">
        <f ca="1">IFERROR(__xludf.DUMMYFUNCTION("""COMPUTED_VALUE"""),2)</f>
        <v>2</v>
      </c>
      <c r="X73" s="116">
        <f ca="1">IFERROR(__xludf.DUMMYFUNCTION("""COMPUTED_VALUE"""),12)</f>
        <v>12</v>
      </c>
      <c r="Y73" s="116">
        <f ca="1">IFERROR(__xludf.DUMMYFUNCTION("""COMPUTED_VALUE"""),4)</f>
        <v>4</v>
      </c>
      <c r="Z73" s="12">
        <f ca="1">IFERROR(__xludf.DUMMYFUNCTION("""COMPUTED_VALUE"""),3)</f>
        <v>3</v>
      </c>
      <c r="AA73" s="12">
        <f ca="1">IFERROR(__xludf.DUMMYFUNCTION("""COMPUTED_VALUE"""),1)</f>
        <v>1</v>
      </c>
      <c r="AB73" s="12">
        <f ca="1">IFERROR(__xludf.DUMMYFUNCTION("""COMPUTED_VALUE"""),8)</f>
        <v>8</v>
      </c>
      <c r="AC73" s="12"/>
      <c r="AD73" s="12"/>
      <c r="AE73" s="12"/>
      <c r="AF73" s="12"/>
      <c r="AG73" s="13" t="str">
        <f ca="1">IFERROR(__xludf.DUMMYFUNCTION("ArrayFormula(VLOOKUP(G73, IMPORTRANGE(""https://docs.google.com/spreadsheets/d/1Co934fvtviyaRiMsrIlT05Jaq7iiYq07aLvRr35KA48/edit?gid=173865642#gid=173865642"", ""'G8_Sci_Pri_LU'!G2:V2000""), {3, 4, 5, 6, 7, 8, 9, 10, 11, 12, 13, 14, 15, 16}, 0))"),"LU005548")</f>
        <v>LU005548</v>
      </c>
      <c r="AH73" s="13" t="str">
        <f ca="1">IFERROR(__xludf.DUMMYFUNCTION("""COMPUTED_VALUE"""),"Magnitude and direction of force")</f>
        <v>Magnitude and direction of force</v>
      </c>
      <c r="AI73" s="13"/>
      <c r="AJ73" s="13"/>
      <c r="AK73" s="13"/>
      <c r="AL73" s="13"/>
      <c r="AM73" s="13"/>
      <c r="AN73" s="13"/>
      <c r="AO73" s="13"/>
      <c r="AP73" s="13"/>
      <c r="AQ73" s="13"/>
      <c r="AR73" s="13"/>
      <c r="AS73" s="13"/>
      <c r="AT73" s="13"/>
    </row>
    <row r="74" spans="1:46" ht="39.6">
      <c r="A74" s="8" t="s">
        <v>247</v>
      </c>
      <c r="B74" s="8" t="s">
        <v>47</v>
      </c>
      <c r="C74" s="8" t="s">
        <v>731</v>
      </c>
      <c r="D74" s="8" t="s">
        <v>1510</v>
      </c>
      <c r="E74" s="8" t="s">
        <v>2123</v>
      </c>
      <c r="F74" s="118" t="s">
        <v>2134</v>
      </c>
      <c r="G74" s="118" t="s">
        <v>2136</v>
      </c>
      <c r="H74" s="118" t="str">
        <f ca="1">IFERROR(__xludf.DUMMYFUNCTION("VLOOKUP(G74, IMPORTRANGE(""https://docs.google.com/spreadsheets/d/14deopnvwcrKtEGCKuYXdUHJbeLDZlkiSSWWT0g7x2pM/edit#gid=849066331"", ""LU List Science (Filter)!A:B""), 2, FALSE)"),"Definition of liquid pressure/hydrostatic pressure")</f>
        <v>Definition of liquid pressure/hydrostatic pressure</v>
      </c>
      <c r="I74" s="10" t="str">
        <f t="shared" si="0"/>
        <v>LU005544.001</v>
      </c>
      <c r="J74" s="10" t="str">
        <f ca="1">IFERROR(__xludf.DUMMYFUNCTION("VLOOKUP(I74, IMPORTRANGE(""https://docs.google.com/spreadsheets/d/1yDAaXNsi4Mr5FtRQL4tbmSdIzhx6_m4wkOD7IG-k_eo/edit#gid=1336395716"", ""Science!M:N""), 2, FALSE)"),"State the definition of liquid pressure/hydrostatic pressure.")</f>
        <v>State the definition of liquid pressure/hydrostatic pressure.</v>
      </c>
      <c r="K74" s="10" t="str">
        <f t="shared" si="6"/>
        <v>LU005544.002</v>
      </c>
      <c r="L74" s="10" t="str">
        <f ca="1">IFERROR(__xludf.DUMMYFUNCTION("VLOOKUP(K74, IMPORTRANGE(""https://docs.google.com/spreadsheets/d/1yDAaXNsi4Mr5FtRQL4tbmSdIzhx6_m4wkOD7IG-k_eo/edit#gid=1336395716"", ""Science!M:N""), 2, FALSE)"),"Paraphrase the concept of liquid pressure/hydrostatic pressure in your own words.")</f>
        <v>Paraphrase the concept of liquid pressure/hydrostatic pressure in your own words.</v>
      </c>
      <c r="M74" s="10" t="str">
        <f t="shared" si="2"/>
        <v>LU005544.003</v>
      </c>
      <c r="N74" s="10" t="str">
        <f ca="1">IFERROR(__xludf.DUMMYFUNCTION("VLOOKUP(M74, IMPORTRANGE(""https://docs.google.com/spreadsheets/d/1yDAaXNsi4Mr5FtRQL4tbmSdIzhx6_m4wkOD7IG-k_eo/edit#gid=1336395716"", ""Science!M:N""), 2, FALSE)"),"Use the definition to identify instances of liquid pressure/hydrostatic pressure in everyday scenarios.")</f>
        <v>Use the definition to identify instances of liquid pressure/hydrostatic pressure in everyday scenarios.</v>
      </c>
      <c r="O74" s="10" t="str">
        <f t="shared" si="3"/>
        <v>LU005544.004</v>
      </c>
      <c r="P74" s="10" t="str">
        <f ca="1">IFERROR(__xludf.DUMMYFUNCTION("VLOOKUP(O74, IMPORTRANGE(""https://docs.google.com/spreadsheets/d/1yDAaXNsi4Mr5FtRQL4tbmSdIzhx6_m4wkOD7IG-k_eo/edit#gid=1336395716"", ""Science!M:N""), 2, FALSE)"),"#N/A")</f>
        <v>#N/A</v>
      </c>
      <c r="Q74" s="10" t="str">
        <f t="shared" si="4"/>
        <v>LU005544.005</v>
      </c>
      <c r="R74" s="10" t="str">
        <f ca="1">IFERROR(__xludf.DUMMYFUNCTION("VLOOKUP(Q74, IMPORTRANGE(""https://docs.google.com/spreadsheets/d/1yDAaXNsi4Mr5FtRQL4tbmSdIzhx6_m4wkOD7IG-k_eo/edit#gid=1336395716"", ""Science!M:N""), 2, FALSE)"),"Critique various definitions or explanations of liquid pressure/hydrostatic pressure from different sources for clarity and comprehensiveness.")</f>
        <v>Critique various definitions or explanations of liquid pressure/hydrostatic pressure from different sources for clarity and comprehensiveness.</v>
      </c>
      <c r="S74" s="10" t="str">
        <f t="shared" si="5"/>
        <v>LU005544.006</v>
      </c>
      <c r="T74" s="10" t="str">
        <f ca="1">IFERROR(__xludf.DUMMYFUNCTION("VLOOKUP(S74, IMPORTRANGE(""https://docs.google.com/spreadsheets/d/1yDAaXNsi4Mr5FtRQL4tbmSdIzhx6_m4wkOD7IG-k_eo/edit#gid=1336395716"", ""Science!M:N""), 2, FALSE)"),"#N/A")</f>
        <v>#N/A</v>
      </c>
      <c r="U74" s="116">
        <f ca="1">IFERROR(__xludf.DUMMYFUNCTION("ArrayFormula(VLOOKUP(G74, IMPORTRANGE(""https://docs.google.com/spreadsheets/d/1p7R4vtkWt5VOBim4ltsDG9KTzSjrtKXsMtQGXPHyND0/edit#gid=795171502"", ""'Filter 30_05_2024'!A1:M2000""), {2, 3, 4, 5,6,7,8,9,10,11,12,13}, 0))"),4)</f>
        <v>4</v>
      </c>
      <c r="V74" s="116">
        <f ca="1">IFERROR(__xludf.DUMMYFUNCTION("""COMPUTED_VALUE"""),6)</f>
        <v>6</v>
      </c>
      <c r="W74" s="116">
        <f ca="1">IFERROR(__xludf.DUMMYFUNCTION("""COMPUTED_VALUE"""),2)</f>
        <v>2</v>
      </c>
      <c r="X74" s="116">
        <f ca="1">IFERROR(__xludf.DUMMYFUNCTION("""COMPUTED_VALUE"""),12)</f>
        <v>12</v>
      </c>
      <c r="Y74" s="116">
        <f ca="1">IFERROR(__xludf.DUMMYFUNCTION("""COMPUTED_VALUE"""),4)</f>
        <v>4</v>
      </c>
      <c r="Z74" s="12">
        <f ca="1">IFERROR(__xludf.DUMMYFUNCTION("""COMPUTED_VALUE"""),3)</f>
        <v>3</v>
      </c>
      <c r="AA74" s="12">
        <f ca="1">IFERROR(__xludf.DUMMYFUNCTION("""COMPUTED_VALUE"""),1)</f>
        <v>1</v>
      </c>
      <c r="AB74" s="12">
        <f ca="1">IFERROR(__xludf.DUMMYFUNCTION("""COMPUTED_VALUE"""),8)</f>
        <v>8</v>
      </c>
      <c r="AC74" s="12"/>
      <c r="AD74" s="12"/>
      <c r="AE74" s="12"/>
      <c r="AF74" s="12"/>
      <c r="AG74" s="13" t="str">
        <f ca="1">IFERROR(__xludf.DUMMYFUNCTION("ArrayFormula(VLOOKUP(G74, IMPORTRANGE(""https://docs.google.com/spreadsheets/d/1Co934fvtviyaRiMsrIlT05Jaq7iiYq07aLvRr35KA48/edit?gid=173865642#gid=173865642"", ""'G8_Sci_Pri_LU'!G2:V2000""), {3, 4, 5, 6, 7, 8, 9, 10, 11, 12, 13, 14, 15, 16}, 0))"),"LU005543")</f>
        <v>LU005543</v>
      </c>
      <c r="AH74" s="13" t="str">
        <f ca="1">IFERROR(__xludf.DUMMYFUNCTION("""COMPUTED_VALUE"""),"Definition of pressure")</f>
        <v>Definition of pressure</v>
      </c>
      <c r="AI74" s="13" t="str">
        <f ca="1">IFERROR(__xludf.DUMMYFUNCTION("""COMPUTED_VALUE"""),"LU005548")</f>
        <v>LU005548</v>
      </c>
      <c r="AJ74" s="13" t="str">
        <f ca="1">IFERROR(__xludf.DUMMYFUNCTION("""COMPUTED_VALUE"""),"Magnitude and direction of force")</f>
        <v>Magnitude and direction of force</v>
      </c>
      <c r="AK74" s="13"/>
      <c r="AL74" s="13"/>
      <c r="AM74" s="13"/>
      <c r="AN74" s="13"/>
      <c r="AO74" s="13"/>
      <c r="AP74" s="13"/>
      <c r="AQ74" s="13"/>
      <c r="AR74" s="13"/>
      <c r="AS74" s="13"/>
      <c r="AT74" s="13"/>
    </row>
    <row r="75" spans="1:46" ht="39.6">
      <c r="A75" s="8" t="s">
        <v>247</v>
      </c>
      <c r="B75" s="8" t="s">
        <v>47</v>
      </c>
      <c r="C75" s="8" t="s">
        <v>731</v>
      </c>
      <c r="D75" s="8" t="s">
        <v>1510</v>
      </c>
      <c r="E75" s="8" t="s">
        <v>2123</v>
      </c>
      <c r="F75" s="118" t="s">
        <v>2137</v>
      </c>
      <c r="G75" s="118" t="s">
        <v>2138</v>
      </c>
      <c r="H75" s="118" t="str">
        <f ca="1">IFERROR(__xludf.DUMMYFUNCTION("VLOOKUP(G75, IMPORTRANGE(""https://docs.google.com/spreadsheets/d/14deopnvwcrKtEGCKuYXdUHJbeLDZlkiSSWWT0g7x2pM/edit#gid=849066331"", ""LU List Science (Filter)!A:B""), 2, FALSE)"),"Understanding Gaseous Pressure through Real-Life Examples")</f>
        <v>Understanding Gaseous Pressure through Real-Life Examples</v>
      </c>
      <c r="I75" s="10" t="str">
        <f t="shared" si="0"/>
        <v>LU005915.001</v>
      </c>
      <c r="J75" s="10" t="str">
        <f ca="1">IFERROR(__xludf.DUMMYFUNCTION("VLOOKUP(I75, IMPORTRANGE(""https://docs.google.com/spreadsheets/d/1yDAaXNsi4Mr5FtRQL4tbmSdIzhx6_m4wkOD7IG-k_eo/edit#gid=1336395716"", ""Science!M:N""), 2, FALSE)"),"Define gaseous pressure and identify real-life examples where it is observed.")</f>
        <v>Define gaseous pressure and identify real-life examples where it is observed.</v>
      </c>
      <c r="K75" s="10" t="str">
        <f t="shared" si="6"/>
        <v>LU005915.002</v>
      </c>
      <c r="L75" s="10" t="str">
        <f ca="1">IFERROR(__xludf.DUMMYFUNCTION("VLOOKUP(K75, IMPORTRANGE(""https://docs.google.com/spreadsheets/d/1yDAaXNsi4Mr5FtRQL4tbmSdIzhx6_m4wkOD7IG-k_eo/edit#gid=1336395716"", ""Science!M:N""), 2, FALSE)"),"Explain how gaseous pressure is generated and its effects in everyday scenarios like inflating a balloon or a bicycle tire.")</f>
        <v>Explain how gaseous pressure is generated and its effects in everyday scenarios like inflating a balloon or a bicycle tire.</v>
      </c>
      <c r="M75" s="10" t="str">
        <f t="shared" si="2"/>
        <v>LU005915.003</v>
      </c>
      <c r="N75" s="10" t="str">
        <f ca="1">IFERROR(__xludf.DUMMYFUNCTION("VLOOKUP(M75, IMPORTRANGE(""https://docs.google.com/spreadsheets/d/1yDAaXNsi4Mr5FtRQL4tbmSdIzhx6_m4wkOD7IG-k_eo/edit#gid=1336395716"", ""Science!M:N""), 2, FALSE)"),"Use gaseous pressure concepts in real-life examples like inflated balloons and air pumps.")</f>
        <v>Use gaseous pressure concepts in real-life examples like inflated balloons and air pumps.</v>
      </c>
      <c r="O75" s="10" t="str">
        <f t="shared" si="3"/>
        <v>LU005915.004</v>
      </c>
      <c r="P75" s="10" t="str">
        <f ca="1">IFERROR(__xludf.DUMMYFUNCTION("VLOOKUP(O75, IMPORTRANGE(""https://docs.google.com/spreadsheets/d/1yDAaXNsi4Mr5FtRQL4tbmSdIzhx6_m4wkOD7IG-k_eo/edit#gid=1336395716"", ""Science!M:N""), 2, FALSE)"),"Dissect roles of gaseous pressure in various scenarios such as weather systems and industrial processes.")</f>
        <v>Dissect roles of gaseous pressure in various scenarios such as weather systems and industrial processes.</v>
      </c>
      <c r="Q75" s="10" t="str">
        <f t="shared" si="4"/>
        <v>LU005915.005</v>
      </c>
      <c r="R75" s="10" t="str">
        <f ca="1">IFERROR(__xludf.DUMMYFUNCTION("VLOOKUP(Q75, IMPORTRANGE(""https://docs.google.com/spreadsheets/d/1yDAaXNsi4Mr5FtRQL4tbmSdIzhx6_m4wkOD7IG-k_eo/edit#gid=1336395716"", ""Science!M:N""), 2, FALSE)"),"Assess the impact of gaseous pressure in different practical applications.")</f>
        <v>Assess the impact of gaseous pressure in different practical applications.</v>
      </c>
      <c r="S75" s="10" t="str">
        <f t="shared" si="5"/>
        <v>LU005915.006</v>
      </c>
      <c r="T75" s="10" t="str">
        <f ca="1">IFERROR(__xludf.DUMMYFUNCTION("VLOOKUP(S75, IMPORTRANGE(""https://docs.google.com/spreadsheets/d/1yDAaXNsi4Mr5FtRQL4tbmSdIzhx6_m4wkOD7IG-k_eo/edit#gid=1336395716"", ""Science!M:N""), 2, FALSE)"),"Develop a simple project or experiment demonstrating gaseous pressure principles.")</f>
        <v>Develop a simple project or experiment demonstrating gaseous pressure principles.</v>
      </c>
      <c r="U75" s="116">
        <f ca="1">IFERROR(__xludf.DUMMYFUNCTION("ArrayFormula(VLOOKUP(G75, IMPORTRANGE(""https://docs.google.com/spreadsheets/d/1p7R4vtkWt5VOBim4ltsDG9KTzSjrtKXsMtQGXPHyND0/edit#gid=795171502"", ""'Filter 30_05_2024'!A1:M2000""), {2, 3, 4, 5,6,7,8,9,10,11,12,13}, 0))"),4)</f>
        <v>4</v>
      </c>
      <c r="V75" s="116">
        <f ca="1">IFERROR(__xludf.DUMMYFUNCTION("""COMPUTED_VALUE"""),6)</f>
        <v>6</v>
      </c>
      <c r="W75" s="116">
        <f ca="1">IFERROR(__xludf.DUMMYFUNCTION("""COMPUTED_VALUE"""),2)</f>
        <v>2</v>
      </c>
      <c r="X75" s="116">
        <f ca="1">IFERROR(__xludf.DUMMYFUNCTION("""COMPUTED_VALUE"""),12)</f>
        <v>12</v>
      </c>
      <c r="Y75" s="116">
        <f ca="1">IFERROR(__xludf.DUMMYFUNCTION("""COMPUTED_VALUE"""),4)</f>
        <v>4</v>
      </c>
      <c r="Z75" s="12">
        <f ca="1">IFERROR(__xludf.DUMMYFUNCTION("""COMPUTED_VALUE"""),3)</f>
        <v>3</v>
      </c>
      <c r="AA75" s="12">
        <f ca="1">IFERROR(__xludf.DUMMYFUNCTION("""COMPUTED_VALUE"""),1)</f>
        <v>1</v>
      </c>
      <c r="AB75" s="12">
        <f ca="1">IFERROR(__xludf.DUMMYFUNCTION("""COMPUTED_VALUE"""),8)</f>
        <v>8</v>
      </c>
      <c r="AC75" s="12"/>
      <c r="AD75" s="12"/>
      <c r="AE75" s="12"/>
      <c r="AF75" s="12"/>
      <c r="AG75" s="13" t="str">
        <f ca="1">IFERROR(__xludf.DUMMYFUNCTION("ArrayFormula(VLOOKUP(G75, IMPORTRANGE(""https://docs.google.com/spreadsheets/d/1Co934fvtviyaRiMsrIlT05Jaq7iiYq07aLvRr35KA48/edit?gid=173865642#gid=173865642"", ""'G8_Sci_Pri_LU'!G2:V2000""), {3, 4, 5, 6, 7, 8, 9, 10, 11, 12, 13, 14, 15, 16}, 0))"),"LU005543")</f>
        <v>LU005543</v>
      </c>
      <c r="AH75" s="13" t="str">
        <f ca="1">IFERROR(__xludf.DUMMYFUNCTION("""COMPUTED_VALUE"""),"Definition of pressure")</f>
        <v>Definition of pressure</v>
      </c>
      <c r="AI75" s="13" t="str">
        <f ca="1">IFERROR(__xludf.DUMMYFUNCTION("""COMPUTED_VALUE"""),"LU005548")</f>
        <v>LU005548</v>
      </c>
      <c r="AJ75" s="13" t="str">
        <f ca="1">IFERROR(__xludf.DUMMYFUNCTION("""COMPUTED_VALUE"""),"Magnitude and direction of force")</f>
        <v>Magnitude and direction of force</v>
      </c>
      <c r="AK75" s="13" t="str">
        <f ca="1">IFERROR(__xludf.DUMMYFUNCTION("""COMPUTED_VALUE"""),"LU005544")</f>
        <v>LU005544</v>
      </c>
      <c r="AL75" s="13" t="str">
        <f ca="1">IFERROR(__xludf.DUMMYFUNCTION("""COMPUTED_VALUE"""),"Definition of liquid pressure/hydrostatic pressure")</f>
        <v>Definition of liquid pressure/hydrostatic pressure</v>
      </c>
      <c r="AM75" s="13"/>
      <c r="AN75" s="13"/>
      <c r="AO75" s="13"/>
      <c r="AP75" s="13"/>
      <c r="AQ75" s="13"/>
      <c r="AR75" s="13"/>
      <c r="AS75" s="13"/>
      <c r="AT75" s="13"/>
    </row>
    <row r="76" spans="1:46" ht="39.6">
      <c r="A76" s="8" t="s">
        <v>247</v>
      </c>
      <c r="B76" s="8" t="s">
        <v>47</v>
      </c>
      <c r="C76" s="8" t="s">
        <v>731</v>
      </c>
      <c r="D76" s="8" t="s">
        <v>1510</v>
      </c>
      <c r="E76" s="8" t="s">
        <v>2123</v>
      </c>
      <c r="F76" s="118" t="s">
        <v>2137</v>
      </c>
      <c r="G76" s="118" t="s">
        <v>2139</v>
      </c>
      <c r="H76" s="118" t="str">
        <f ca="1">IFERROR(__xludf.DUMMYFUNCTION("VLOOKUP(G76, IMPORTRANGE(""https://docs.google.com/spreadsheets/d/14deopnvwcrKtEGCKuYXdUHJbeLDZlkiSSWWT0g7x2pM/edit#gid=849066331"", ""LU List Science (Filter)!A:B""), 2, FALSE)"),"Definition of atmospheric pressure")</f>
        <v>Definition of atmospheric pressure</v>
      </c>
      <c r="I76" s="10" t="str">
        <f t="shared" si="0"/>
        <v>LU005546.001</v>
      </c>
      <c r="J76" s="10" t="str">
        <f ca="1">IFERROR(__xludf.DUMMYFUNCTION("VLOOKUP(I76, IMPORTRANGE(""https://docs.google.com/spreadsheets/d/1yDAaXNsi4Mr5FtRQL4tbmSdIzhx6_m4wkOD7IG-k_eo/edit#gid=1336395716"", ""Science!M:N""), 2, FALSE)"),"Recall the definition of atmospheric pressure.")</f>
        <v>Recall the definition of atmospheric pressure.</v>
      </c>
      <c r="K76" s="10" t="str">
        <f t="shared" si="6"/>
        <v>LU005546.002</v>
      </c>
      <c r="L76" s="10" t="str">
        <f ca="1">IFERROR(__xludf.DUMMYFUNCTION("VLOOKUP(K76, IMPORTRANGE(""https://docs.google.com/spreadsheets/d/1yDAaXNsi4Mr5FtRQL4tbmSdIzhx6_m4wkOD7IG-k_eo/edit#gid=1336395716"", ""Science!M:N""), 2, FALSE)"),"Paraphrase the concept of atmospheric pressure in one's own words.")</f>
        <v>Paraphrase the concept of atmospheric pressure in one's own words.</v>
      </c>
      <c r="M76" s="10" t="str">
        <f t="shared" si="2"/>
        <v>LU005546.003</v>
      </c>
      <c r="N76" s="10" t="str">
        <f ca="1">IFERROR(__xludf.DUMMYFUNCTION("VLOOKUP(M76, IMPORTRANGE(""https://docs.google.com/spreadsheets/d/1yDAaXNsi4Mr5FtRQL4tbmSdIzhx6_m4wkOD7IG-k_eo/edit#gid=1336395716"", ""Science!M:N""), 2, FALSE)"),"Describe how atmospheric pressure affects our daily lives, using everyday examples.")</f>
        <v>Describe how atmospheric pressure affects our daily lives, using everyday examples.</v>
      </c>
      <c r="O76" s="10" t="str">
        <f t="shared" si="3"/>
        <v>LU005546.004</v>
      </c>
      <c r="P76" s="10" t="str">
        <f ca="1">IFERROR(__xludf.DUMMYFUNCTION("VLOOKUP(O76, IMPORTRANGE(""https://docs.google.com/spreadsheets/d/1yDAaXNsi4Mr5FtRQL4tbmSdIzhx6_m4wkOD7IG-k_eo/edit#gid=1336395716"", ""Science!M:N""), 2, FALSE)"),"Differentiate between atmospheric pressure and other types of pressure based on their definitions and causes.")</f>
        <v>Differentiate between atmospheric pressure and other types of pressure based on their definitions and causes.</v>
      </c>
      <c r="Q76" s="10" t="str">
        <f t="shared" si="4"/>
        <v>LU005546.005</v>
      </c>
      <c r="R76" s="10" t="str">
        <f ca="1">IFERROR(__xludf.DUMMYFUNCTION("VLOOKUP(Q76, IMPORTRANGE(""https://docs.google.com/spreadsheets/d/1yDAaXNsi4Mr5FtRQL4tbmSdIzhx6_m4wkOD7IG-k_eo/edit#gid=1336395716"", ""Science!M:N""), 2, FALSE)"),"Compare and critique different definitions or explanations of atmospheric pressure from multiple sources.")</f>
        <v>Compare and critique different definitions or explanations of atmospheric pressure from multiple sources.</v>
      </c>
      <c r="S76" s="10" t="str">
        <f t="shared" si="5"/>
        <v>LU005546.006</v>
      </c>
      <c r="T76" s="10" t="str">
        <f ca="1">IFERROR(__xludf.DUMMYFUNCTION("VLOOKUP(S76, IMPORTRANGE(""https://docs.google.com/spreadsheets/d/1yDAaXNsi4Mr5FtRQL4tbmSdIzhx6_m4wkOD7IG-k_eo/edit#gid=1336395716"", ""Science!M:N""), 2, FALSE)"),"#N/A")</f>
        <v>#N/A</v>
      </c>
      <c r="U76" s="116">
        <f ca="1">IFERROR(__xludf.DUMMYFUNCTION("ArrayFormula(VLOOKUP(G76, IMPORTRANGE(""https://docs.google.com/spreadsheets/d/1p7R4vtkWt5VOBim4ltsDG9KTzSjrtKXsMtQGXPHyND0/edit#gid=795171502"", ""'Filter 30_05_2024'!A1:M2000""), {2, 3, 4, 5,6,7,8,9,10,11,12,13}, 0))"),4)</f>
        <v>4</v>
      </c>
      <c r="V76" s="116">
        <f ca="1">IFERROR(__xludf.DUMMYFUNCTION("""COMPUTED_VALUE"""),6)</f>
        <v>6</v>
      </c>
      <c r="W76" s="116">
        <f ca="1">IFERROR(__xludf.DUMMYFUNCTION("""COMPUTED_VALUE"""),2)</f>
        <v>2</v>
      </c>
      <c r="X76" s="116">
        <f ca="1">IFERROR(__xludf.DUMMYFUNCTION("""COMPUTED_VALUE"""),12)</f>
        <v>12</v>
      </c>
      <c r="Y76" s="116">
        <f ca="1">IFERROR(__xludf.DUMMYFUNCTION("""COMPUTED_VALUE"""),4)</f>
        <v>4</v>
      </c>
      <c r="Z76" s="12">
        <f ca="1">IFERROR(__xludf.DUMMYFUNCTION("""COMPUTED_VALUE"""),3)</f>
        <v>3</v>
      </c>
      <c r="AA76" s="12">
        <f ca="1">IFERROR(__xludf.DUMMYFUNCTION("""COMPUTED_VALUE"""),1)</f>
        <v>1</v>
      </c>
      <c r="AB76" s="12">
        <f ca="1">IFERROR(__xludf.DUMMYFUNCTION("""COMPUTED_VALUE"""),8)</f>
        <v>8</v>
      </c>
      <c r="AC76" s="12"/>
      <c r="AD76" s="12"/>
      <c r="AE76" s="12"/>
      <c r="AF76" s="12"/>
      <c r="AG76" s="13" t="str">
        <f ca="1">IFERROR(__xludf.DUMMYFUNCTION("ArrayFormula(VLOOKUP(G76, IMPORTRANGE(""https://docs.google.com/spreadsheets/d/1Co934fvtviyaRiMsrIlT05Jaq7iiYq07aLvRr35KA48/edit?gid=173865642#gid=173865642"", ""'G8_Sci_Pri_LU'!G2:V2000""), {3, 4, 5, 6, 7, 8, 9, 10, 11, 12, 13, 14, 15, 16}, 0))"),"LU005915")</f>
        <v>LU005915</v>
      </c>
      <c r="AH76" s="13" t="str">
        <f ca="1">IFERROR(__xludf.DUMMYFUNCTION("""COMPUTED_VALUE"""),"Understanding Gaseous Pressure through Real-Life Examples")</f>
        <v>Understanding Gaseous Pressure through Real-Life Examples</v>
      </c>
      <c r="AI76" s="13" t="str">
        <f ca="1">IFERROR(__xludf.DUMMYFUNCTION("""COMPUTED_VALUE"""),"LU005543")</f>
        <v>LU005543</v>
      </c>
      <c r="AJ76" s="13" t="str">
        <f ca="1">IFERROR(__xludf.DUMMYFUNCTION("""COMPUTED_VALUE"""),"Definition of pressure")</f>
        <v>Definition of pressure</v>
      </c>
      <c r="AK76" s="13"/>
      <c r="AL76" s="13"/>
      <c r="AM76" s="13"/>
      <c r="AN76" s="13"/>
      <c r="AO76" s="13"/>
      <c r="AP76" s="13"/>
      <c r="AQ76" s="13"/>
      <c r="AR76" s="13"/>
      <c r="AS76" s="13"/>
      <c r="AT76" s="13"/>
    </row>
    <row r="77" spans="1:46" ht="39.6">
      <c r="A77" s="8" t="s">
        <v>247</v>
      </c>
      <c r="B77" s="8" t="s">
        <v>47</v>
      </c>
      <c r="C77" s="8" t="s">
        <v>731</v>
      </c>
      <c r="D77" s="8" t="s">
        <v>1510</v>
      </c>
      <c r="E77" s="8" t="s">
        <v>2140</v>
      </c>
      <c r="F77" s="8" t="s">
        <v>2141</v>
      </c>
      <c r="G77" s="8" t="s">
        <v>2142</v>
      </c>
      <c r="H77" s="8" t="str">
        <f ca="1">IFERROR(__xludf.DUMMYFUNCTION("VLOOKUP(G77, IMPORTRANGE(""https://docs.google.com/spreadsheets/d/14deopnvwcrKtEGCKuYXdUHJbeLDZlkiSSWWT0g7x2pM/edit#gid=849066331"", ""LU List Science (Filter)!A:B""), 2, FALSE)"),"Definition and direction of frictional force")</f>
        <v>Definition and direction of frictional force</v>
      </c>
      <c r="I77" s="10" t="str">
        <f t="shared" si="0"/>
        <v>LU005551.001</v>
      </c>
      <c r="J77" s="10" t="str">
        <f ca="1">IFERROR(__xludf.DUMMYFUNCTION("VLOOKUP(I77, IMPORTRANGE(""https://docs.google.com/spreadsheets/d/1yDAaXNsi4Mr5FtRQL4tbmSdIzhx6_m4wkOD7IG-k_eo/edit#gid=1336395716"", ""Science!M:N""), 2, FALSE)"),"Define frictional force.")</f>
        <v>Define frictional force.</v>
      </c>
      <c r="K77" s="10" t="str">
        <f t="shared" si="6"/>
        <v>LU005551.002</v>
      </c>
      <c r="L77" s="10" t="str">
        <f ca="1">IFERROR(__xludf.DUMMYFUNCTION("VLOOKUP(K77, IMPORTRANGE(""https://docs.google.com/spreadsheets/d/1yDAaXNsi4Mr5FtRQL4tbmSdIzhx6_m4wkOD7IG-k_eo/edit#gid=1336395716"", ""Science!M:N""), 2, FALSE)"),"Explain in their own words what frictional force is and how it acts on surfaces.")</f>
        <v>Explain in their own words what frictional force is and how it acts on surfaces.</v>
      </c>
      <c r="M77" s="10" t="str">
        <f t="shared" si="2"/>
        <v>LU005551.003</v>
      </c>
      <c r="N77" s="10" t="str">
        <f ca="1">IFERROR(__xludf.DUMMYFUNCTION("VLOOKUP(M77, IMPORTRANGE(""https://docs.google.com/spreadsheets/d/1yDAaXNsi4Mr5FtRQL4tbmSdIzhx6_m4wkOD7IG-k_eo/edit#gid=1336395716"", ""Science!M:N""), 2, FALSE)"),"Demonstrate how the direction of the frictional force acts against the direction of motion or intended motion of an object.")</f>
        <v>Demonstrate how the direction of the frictional force acts against the direction of motion or intended motion of an object.</v>
      </c>
      <c r="O77" s="10" t="str">
        <f t="shared" si="3"/>
        <v>LU005551.004</v>
      </c>
      <c r="P77" s="10" t="str">
        <f ca="1">IFERROR(__xludf.DUMMYFUNCTION("VLOOKUP(O77, IMPORTRANGE(""https://docs.google.com/spreadsheets/d/1yDAaXNsi4Mr5FtRQL4tbmSdIzhx6_m4wkOD7IG-k_eo/edit#gid=1336395716"", ""Science!M:N""), 2, FALSE)"),"#N/A")</f>
        <v>#N/A</v>
      </c>
      <c r="Q77" s="10" t="str">
        <f t="shared" si="4"/>
        <v>LU005551.005</v>
      </c>
      <c r="R77" s="10" t="str">
        <f ca="1">IFERROR(__xludf.DUMMYFUNCTION("VLOOKUP(Q77, IMPORTRANGE(""https://docs.google.com/spreadsheets/d/1yDAaXNsi4Mr5FtRQL4tbmSdIzhx6_m4wkOD7IG-k_eo/edit#gid=1336395716"", ""Science!M:N""), 2, FALSE)"),"Critique a given definition of friction for its clarity and completeness.")</f>
        <v>Critique a given definition of friction for its clarity and completeness.</v>
      </c>
      <c r="S77" s="10" t="str">
        <f t="shared" si="5"/>
        <v>LU005551.006</v>
      </c>
      <c r="T77" s="10" t="str">
        <f ca="1">IFERROR(__xludf.DUMMYFUNCTION("VLOOKUP(S77, IMPORTRANGE(""https://docs.google.com/spreadsheets/d/1yDAaXNsi4Mr5FtRQL4tbmSdIzhx6_m4wkOD7IG-k_eo/edit#gid=1336395716"", ""Science!M:N""), 2, FALSE)"),"#N/A")</f>
        <v>#N/A</v>
      </c>
      <c r="U77" s="116">
        <f ca="1">IFERROR(__xludf.DUMMYFUNCTION("ArrayFormula(VLOOKUP(G77, IMPORTRANGE(""https://docs.google.com/spreadsheets/d/1p7R4vtkWt5VOBim4ltsDG9KTzSjrtKXsMtQGXPHyND0/edit#gid=795171502"", ""'Filter 30_05_2024'!A1:M2000""), {2, 3, 4, 5,6,7,8,9,10,11,12,13}, 0))"),4)</f>
        <v>4</v>
      </c>
      <c r="V77" s="116">
        <f ca="1">IFERROR(__xludf.DUMMYFUNCTION("""COMPUTED_VALUE"""),6)</f>
        <v>6</v>
      </c>
      <c r="W77" s="116">
        <f ca="1">IFERROR(__xludf.DUMMYFUNCTION("""COMPUTED_VALUE"""),2)</f>
        <v>2</v>
      </c>
      <c r="X77" s="116">
        <f ca="1">IFERROR(__xludf.DUMMYFUNCTION("""COMPUTED_VALUE"""),12)</f>
        <v>12</v>
      </c>
      <c r="Y77" s="116">
        <f ca="1">IFERROR(__xludf.DUMMYFUNCTION("""COMPUTED_VALUE"""),4)</f>
        <v>4</v>
      </c>
      <c r="Z77" s="12">
        <f ca="1">IFERROR(__xludf.DUMMYFUNCTION("""COMPUTED_VALUE"""),3)</f>
        <v>3</v>
      </c>
      <c r="AA77" s="12">
        <f ca="1">IFERROR(__xludf.DUMMYFUNCTION("""COMPUTED_VALUE"""),1)</f>
        <v>1</v>
      </c>
      <c r="AB77" s="12">
        <f ca="1">IFERROR(__xludf.DUMMYFUNCTION("""COMPUTED_VALUE"""),8)</f>
        <v>8</v>
      </c>
      <c r="AC77" s="12"/>
      <c r="AD77" s="12"/>
      <c r="AE77" s="12"/>
      <c r="AF77" s="12"/>
      <c r="AG77" s="13" t="str">
        <f ca="1">IFERROR(__xludf.DUMMYFUNCTION("ArrayFormula(VLOOKUP(G77, IMPORTRANGE(""https://docs.google.com/spreadsheets/d/1Co934fvtviyaRiMsrIlT05Jaq7iiYq07aLvRr35KA48/edit?gid=173865642#gid=173865642"", ""'G8_Sci_Pri_LU'!G2:V2000""), {3, 4, 5, 6, 7, 8, 9, 10, 11, 12, 13, 14, 15, 16}, 0))"),"LU005538")</f>
        <v>LU005538</v>
      </c>
      <c r="AH77" s="13" t="str">
        <f ca="1">IFERROR(__xludf.DUMMYFUNCTION("""COMPUTED_VALUE"""),"Types of contact force (Muscular and frictional)")</f>
        <v>Types of contact force (Muscular and frictional)</v>
      </c>
      <c r="AI77" s="13" t="str">
        <f ca="1">IFERROR(__xludf.DUMMYFUNCTION("""COMPUTED_VALUE"""),"LU005537")</f>
        <v>LU005537</v>
      </c>
      <c r="AJ77" s="13" t="str">
        <f ca="1">IFERROR(__xludf.DUMMYFUNCTION("""COMPUTED_VALUE"""),"Force due to the interaction between two objects")</f>
        <v>Force due to the interaction between two objects</v>
      </c>
      <c r="AK77" s="13" t="str">
        <f ca="1">IFERROR(__xludf.DUMMYFUNCTION("""COMPUTED_VALUE"""),"LU005548")</f>
        <v>LU005548</v>
      </c>
      <c r="AL77" s="13" t="str">
        <f ca="1">IFERROR(__xludf.DUMMYFUNCTION("""COMPUTED_VALUE"""),"Magnitude and direction of force")</f>
        <v>Magnitude and direction of force</v>
      </c>
      <c r="AM77" s="13"/>
      <c r="AN77" s="13"/>
      <c r="AO77" s="13"/>
      <c r="AP77" s="13"/>
      <c r="AQ77" s="13"/>
      <c r="AR77" s="13"/>
      <c r="AS77" s="13"/>
      <c r="AT77" s="13"/>
    </row>
    <row r="78" spans="1:46" ht="52.8">
      <c r="A78" s="8" t="s">
        <v>247</v>
      </c>
      <c r="B78" s="8" t="s">
        <v>47</v>
      </c>
      <c r="C78" s="8" t="s">
        <v>731</v>
      </c>
      <c r="D78" s="8" t="s">
        <v>1510</v>
      </c>
      <c r="E78" s="8" t="s">
        <v>2140</v>
      </c>
      <c r="F78" s="8" t="s">
        <v>2141</v>
      </c>
      <c r="G78" s="8" t="s">
        <v>2143</v>
      </c>
      <c r="H78" s="8" t="str">
        <f ca="1">IFERROR(__xludf.DUMMYFUNCTION("VLOOKUP(G78, IMPORTRANGE(""https://docs.google.com/spreadsheets/d/14deopnvwcrKtEGCKuYXdUHJbeLDZlkiSSWWT0g7x2pM/edit#gid=849066331"", ""LU List Science (Filter)!A:B""), 2, FALSE)"),"Interlocking between two surfaces as a cause of friction")</f>
        <v>Interlocking between two surfaces as a cause of friction</v>
      </c>
      <c r="I78" s="10" t="str">
        <f t="shared" si="0"/>
        <v>LU005562.001</v>
      </c>
      <c r="J78" s="10" t="str">
        <f ca="1">IFERROR(__xludf.DUMMYFUNCTION("VLOOKUP(I78, IMPORTRANGE(""https://docs.google.com/spreadsheets/d/1yDAaXNsi4Mr5FtRQL4tbmSdIzhx6_m4wkOD7IG-k_eo/edit#gid=1336395716"", ""Science!M:N""), 2, FALSE)"),"Define the term 'interlocking' as it relates to two surfaces causing friction.")</f>
        <v>Define the term 'interlocking' as it relates to two surfaces causing friction.</v>
      </c>
      <c r="K78" s="10" t="str">
        <f t="shared" si="6"/>
        <v>LU005562.002</v>
      </c>
      <c r="L78" s="10" t="str">
        <f ca="1">IFERROR(__xludf.DUMMYFUNCTION("VLOOKUP(K78, IMPORTRANGE(""https://docs.google.com/spreadsheets/d/1yDAaXNsi4Mr5FtRQL4tbmSdIzhx6_m4wkOD7IG-k_eo/edit#gid=1336395716"", ""Science!M:N""), 2, FALSE)"),"Explain how interlocking between two surfaces results in frictional force.")</f>
        <v>Explain how interlocking between two surfaces results in frictional force.</v>
      </c>
      <c r="M78" s="10" t="str">
        <f t="shared" si="2"/>
        <v>LU005562.003</v>
      </c>
      <c r="N78" s="10" t="str">
        <f ca="1">IFERROR(__xludf.DUMMYFUNCTION("VLOOKUP(M78, IMPORTRANGE(""https://docs.google.com/spreadsheets/d/1yDAaXNsi4Mr5FtRQL4tbmSdIzhx6_m4wkOD7IG-k_eo/edit#gid=1336395716"", ""Science!M:N""), 2, FALSE)"),"Demonstrate how different surface textures (smooth vs. rough) can increase or decrease the degree of interlocking and thus the friction between them.")</f>
        <v>Demonstrate how different surface textures (smooth vs. rough) can increase or decrease the degree of interlocking and thus the friction between them.</v>
      </c>
      <c r="O78" s="10" t="str">
        <f t="shared" si="3"/>
        <v>LU005562.004</v>
      </c>
      <c r="P78" s="10" t="str">
        <f ca="1">IFERROR(__xludf.DUMMYFUNCTION("VLOOKUP(O78, IMPORTRANGE(""https://docs.google.com/spreadsheets/d/1yDAaXNsi4Mr5FtRQL4tbmSdIzhx6_m4wkOD7IG-k_eo/edit#gid=1336395716"", ""Science!M:N""), 2, FALSE)"),"Compare and contrast the effect of interlocking on friction across various materials and surfaces, identifying those with higher friction due to increased interlocking.")</f>
        <v>Compare and contrast the effect of interlocking on friction across various materials and surfaces, identifying those with higher friction due to increased interlocking.</v>
      </c>
      <c r="Q78" s="10" t="str">
        <f t="shared" si="4"/>
        <v>LU005562.005</v>
      </c>
      <c r="R78" s="10" t="str">
        <f ca="1">IFERROR(__xludf.DUMMYFUNCTION("VLOOKUP(Q78, IMPORTRANGE(""https://docs.google.com/spreadsheets/d/1yDAaXNsi4Mr5FtRQL4tbmSdIzhx6_m4wkOD7IG-k_eo/edit#gid=1336395716"", ""Science!M:N""), 2, FALSE)"),"#N/A")</f>
        <v>#N/A</v>
      </c>
      <c r="S78" s="10" t="str">
        <f t="shared" si="5"/>
        <v>LU005562.006</v>
      </c>
      <c r="T78" s="10" t="str">
        <f ca="1">IFERROR(__xludf.DUMMYFUNCTION("VLOOKUP(S78, IMPORTRANGE(""https://docs.google.com/spreadsheets/d/1yDAaXNsi4Mr5FtRQL4tbmSdIzhx6_m4wkOD7IG-k_eo/edit#gid=1336395716"", ""Science!M:N""), 2, FALSE)"),"Design an experiment to test the relationship between surface interlocking and friction, predicting outcomes based on different surface materials and textures.")</f>
        <v>Design an experiment to test the relationship between surface interlocking and friction, predicting outcomes based on different surface materials and textures.</v>
      </c>
      <c r="U78" s="116">
        <f ca="1">IFERROR(__xludf.DUMMYFUNCTION("ArrayFormula(VLOOKUP(G78, IMPORTRANGE(""https://docs.google.com/spreadsheets/d/1p7R4vtkWt5VOBim4ltsDG9KTzSjrtKXsMtQGXPHyND0/edit#gid=795171502"", ""'Filter 30_05_2024'!A1:M2000""), {2, 3, 4, 5,6,7,8,9,10,11,12,13}, 0))"),4)</f>
        <v>4</v>
      </c>
      <c r="V78" s="116">
        <f ca="1">IFERROR(__xludf.DUMMYFUNCTION("""COMPUTED_VALUE"""),6)</f>
        <v>6</v>
      </c>
      <c r="W78" s="116">
        <f ca="1">IFERROR(__xludf.DUMMYFUNCTION("""COMPUTED_VALUE"""),2)</f>
        <v>2</v>
      </c>
      <c r="X78" s="116">
        <f ca="1">IFERROR(__xludf.DUMMYFUNCTION("""COMPUTED_VALUE"""),12)</f>
        <v>12</v>
      </c>
      <c r="Y78" s="116">
        <f ca="1">IFERROR(__xludf.DUMMYFUNCTION("""COMPUTED_VALUE"""),4)</f>
        <v>4</v>
      </c>
      <c r="Z78" s="12">
        <f ca="1">IFERROR(__xludf.DUMMYFUNCTION("""COMPUTED_VALUE"""),3)</f>
        <v>3</v>
      </c>
      <c r="AA78" s="12">
        <f ca="1">IFERROR(__xludf.DUMMYFUNCTION("""COMPUTED_VALUE"""),1)</f>
        <v>1</v>
      </c>
      <c r="AB78" s="12">
        <f ca="1">IFERROR(__xludf.DUMMYFUNCTION("""COMPUTED_VALUE"""),8)</f>
        <v>8</v>
      </c>
      <c r="AC78" s="12"/>
      <c r="AD78" s="12"/>
      <c r="AE78" s="12"/>
      <c r="AF78" s="12"/>
      <c r="AG78" s="13" t="str">
        <f ca="1">IFERROR(__xludf.DUMMYFUNCTION("ArrayFormula(VLOOKUP(G78, IMPORTRANGE(""https://docs.google.com/spreadsheets/d/1Co934fvtviyaRiMsrIlT05Jaq7iiYq07aLvRr35KA48/edit?gid=173865642#gid=173865642"", ""'G8_Sci_Pri_LU'!G2:V2000""), {3, 4, 5, 6, 7, 8, 9, 10, 11, 12, 13, 14, 15, 16}, 0))"),"LU005551")</f>
        <v>LU005551</v>
      </c>
      <c r="AH78" s="13" t="str">
        <f ca="1">IFERROR(__xludf.DUMMYFUNCTION("""COMPUTED_VALUE"""),"Definition and direction of frictional force")</f>
        <v>Definition and direction of frictional force</v>
      </c>
      <c r="AI78" s="13" t="str">
        <f ca="1">IFERROR(__xludf.DUMMYFUNCTION("""COMPUTED_VALUE"""),"LU005314")</f>
        <v>LU005314</v>
      </c>
      <c r="AJ78" s="13" t="str">
        <f ca="1">IFERROR(__xludf.DUMMYFUNCTION("""COMPUTED_VALUE"""),"Properties of materials-Appearance and Feel")</f>
        <v>Properties of materials-Appearance and Feel</v>
      </c>
      <c r="AK78" s="13"/>
      <c r="AL78" s="13"/>
      <c r="AM78" s="13"/>
      <c r="AN78" s="13"/>
      <c r="AO78" s="13"/>
      <c r="AP78" s="13"/>
      <c r="AQ78" s="13"/>
      <c r="AR78" s="13"/>
      <c r="AS78" s="13"/>
      <c r="AT78" s="13"/>
    </row>
    <row r="79" spans="1:46" ht="52.8">
      <c r="A79" s="8" t="s">
        <v>247</v>
      </c>
      <c r="B79" s="8" t="s">
        <v>47</v>
      </c>
      <c r="C79" s="8" t="s">
        <v>731</v>
      </c>
      <c r="D79" s="8" t="s">
        <v>1510</v>
      </c>
      <c r="E79" s="8" t="s">
        <v>2140</v>
      </c>
      <c r="F79" s="8" t="s">
        <v>2141</v>
      </c>
      <c r="G79" s="8" t="s">
        <v>2144</v>
      </c>
      <c r="H79" s="8" t="str">
        <f ca="1">IFERROR(__xludf.DUMMYFUNCTION("VLOOKUP(G79, IMPORTRANGE(""https://docs.google.com/spreadsheets/d/14deopnvwcrKtEGCKuYXdUHJbeLDZlkiSSWWT0g7x2pM/edit#gid=849066331"", ""LU List Science (Filter)!A:B""), 2, FALSE)"),"Factors affecting Friction")</f>
        <v>Factors affecting Friction</v>
      </c>
      <c r="I79" s="10" t="str">
        <f t="shared" si="0"/>
        <v>LU005552.001</v>
      </c>
      <c r="J79" s="10" t="str">
        <f ca="1">IFERROR(__xludf.DUMMYFUNCTION("VLOOKUP(I79, IMPORTRANGE(""https://docs.google.com/spreadsheets/d/1yDAaXNsi4Mr5FtRQL4tbmSdIzhx6_m4wkOD7IG-k_eo/edit#gid=1336395716"", ""Science!M:N""), 2, FALSE)"),"List the factors that affect friction.")</f>
        <v>List the factors that affect friction.</v>
      </c>
      <c r="K79" s="10" t="str">
        <f t="shared" si="6"/>
        <v>LU005552.002</v>
      </c>
      <c r="L79" s="10" t="str">
        <f ca="1">IFERROR(__xludf.DUMMYFUNCTION("VLOOKUP(K79, IMPORTRANGE(""https://docs.google.com/spreadsheets/d/1yDAaXNsi4Mr5FtRQL4tbmSdIzhx6_m4wkOD7IG-k_eo/edit#gid=1336395716"", ""Science!M:N""), 2, FALSE)"),"Explain how the nature of surfaces in contact affects frictional force.")</f>
        <v>Explain how the nature of surfaces in contact affects frictional force.</v>
      </c>
      <c r="M79" s="10" t="str">
        <f t="shared" si="2"/>
        <v>LU005552.003</v>
      </c>
      <c r="N79" s="10" t="str">
        <f ca="1">IFERROR(__xludf.DUMMYFUNCTION("VLOOKUP(M79, IMPORTRANGE(""https://docs.google.com/spreadsheets/d/1yDAaXNsi4Mr5FtRQL4tbmSdIzhx6_m4wkOD7IG-k_eo/edit#gid=1336395716"", ""Science!M:N""), 2, FALSE)"),"Use a spring balance to measure the frictional force between different materials and surfaces.")</f>
        <v>Use a spring balance to measure the frictional force between different materials and surfaces.</v>
      </c>
      <c r="O79" s="10" t="str">
        <f t="shared" si="3"/>
        <v>LU005552.004</v>
      </c>
      <c r="P79" s="10" t="str">
        <f ca="1">IFERROR(__xludf.DUMMYFUNCTION("VLOOKUP(O79, IMPORTRANGE(""https://docs.google.com/spreadsheets/d/1yDAaXNsi4Mr5FtRQL4tbmSdIzhx6_m4wkOD7IG-k_eo/edit#gid=1336395716"", ""Science!M:N""), 2, FALSE)"),"Compare the frictional forces observed for smooth versus rough surfaces using the spring balance data.")</f>
        <v>Compare the frictional forces observed for smooth versus rough surfaces using the spring balance data.</v>
      </c>
      <c r="Q79" s="10" t="str">
        <f t="shared" si="4"/>
        <v>LU005552.005</v>
      </c>
      <c r="R79" s="10" t="str">
        <f ca="1">IFERROR(__xludf.DUMMYFUNCTION("VLOOKUP(Q79, IMPORTRANGE(""https://docs.google.com/spreadsheets/d/1yDAaXNsi4Mr5FtRQL4tbmSdIzhx6_m4wkOD7IG-k_eo/edit#gid=1336395716"", ""Science!M:N""), 2, FALSE)"),"Critique the influence of pressing two surfaces harder together on the friction they experience.")</f>
        <v>Critique the influence of pressing two surfaces harder together on the friction they experience.</v>
      </c>
      <c r="S79" s="10" t="str">
        <f t="shared" si="5"/>
        <v>LU005552.006</v>
      </c>
      <c r="T79" s="10" t="str">
        <f ca="1">IFERROR(__xludf.DUMMYFUNCTION("VLOOKUP(S79, IMPORTRANGE(""https://docs.google.com/spreadsheets/d/1yDAaXNsi4Mr5FtRQL4tbmSdIzhx6_m4wkOD7IG-k_eo/edit#gid=1336395716"", ""Science!M:N""), 2, FALSE)"),"Design a hands-on experiment to illustrate how different factors, like surface type and pressure, alter the amount of friction between two objects.")</f>
        <v>Design a hands-on experiment to illustrate how different factors, like surface type and pressure, alter the amount of friction between two objects.</v>
      </c>
      <c r="U79" s="116">
        <f ca="1">IFERROR(__xludf.DUMMYFUNCTION("ArrayFormula(VLOOKUP(G79, IMPORTRANGE(""https://docs.google.com/spreadsheets/d/1p7R4vtkWt5VOBim4ltsDG9KTzSjrtKXsMtQGXPHyND0/edit#gid=795171502"", ""'Filter 30_05_2024'!A1:M2000""), {2, 3, 4, 5,6,7,8,9,10,11,12,13}, 0))"),4)</f>
        <v>4</v>
      </c>
      <c r="V79" s="116">
        <f ca="1">IFERROR(__xludf.DUMMYFUNCTION("""COMPUTED_VALUE"""),6)</f>
        <v>6</v>
      </c>
      <c r="W79" s="116">
        <f ca="1">IFERROR(__xludf.DUMMYFUNCTION("""COMPUTED_VALUE"""),2)</f>
        <v>2</v>
      </c>
      <c r="X79" s="116">
        <f ca="1">IFERROR(__xludf.DUMMYFUNCTION("""COMPUTED_VALUE"""),12)</f>
        <v>12</v>
      </c>
      <c r="Y79" s="116">
        <f ca="1">IFERROR(__xludf.DUMMYFUNCTION("""COMPUTED_VALUE"""),4)</f>
        <v>4</v>
      </c>
      <c r="Z79" s="12">
        <f ca="1">IFERROR(__xludf.DUMMYFUNCTION("""COMPUTED_VALUE"""),3)</f>
        <v>3</v>
      </c>
      <c r="AA79" s="12">
        <f ca="1">IFERROR(__xludf.DUMMYFUNCTION("""COMPUTED_VALUE"""),1)</f>
        <v>1</v>
      </c>
      <c r="AB79" s="12">
        <f ca="1">IFERROR(__xludf.DUMMYFUNCTION("""COMPUTED_VALUE"""),8)</f>
        <v>8</v>
      </c>
      <c r="AC79" s="12"/>
      <c r="AD79" s="12"/>
      <c r="AE79" s="12"/>
      <c r="AF79" s="12"/>
      <c r="AG79" s="13" t="str">
        <f ca="1">IFERROR(__xludf.DUMMYFUNCTION("ArrayFormula(VLOOKUP(G79, IMPORTRANGE(""https://docs.google.com/spreadsheets/d/1Co934fvtviyaRiMsrIlT05Jaq7iiYq07aLvRr35KA48/edit?gid=173865642#gid=173865642"", ""'G8_Sci_Pri_LU'!G2:V2000""), {3, 4, 5, 6, 7, 8, 9, 10, 11, 12, 13, 14, 15, 16}, 0))"),"LU005562")</f>
        <v>LU005562</v>
      </c>
      <c r="AH79" s="13" t="str">
        <f ca="1">IFERROR(__xludf.DUMMYFUNCTION("""COMPUTED_VALUE"""),"Interlocking between two surfaces as a cause of friction")</f>
        <v>Interlocking between two surfaces as a cause of friction</v>
      </c>
      <c r="AI79" s="13" t="str">
        <f ca="1">IFERROR(__xludf.DUMMYFUNCTION("""COMPUTED_VALUE"""),"LU005551")</f>
        <v>LU005551</v>
      </c>
      <c r="AJ79" s="13" t="str">
        <f ca="1">IFERROR(__xludf.DUMMYFUNCTION("""COMPUTED_VALUE"""),"Definition and direction of frictional force")</f>
        <v>Definition and direction of frictional force</v>
      </c>
      <c r="AK79" s="13" t="str">
        <f ca="1">IFERROR(__xludf.DUMMYFUNCTION("""COMPUTED_VALUE"""),"LU005548")</f>
        <v>LU005548</v>
      </c>
      <c r="AL79" s="13" t="str">
        <f ca="1">IFERROR(__xludf.DUMMYFUNCTION("""COMPUTED_VALUE"""),"Magnitude and direction of force")</f>
        <v>Magnitude and direction of force</v>
      </c>
      <c r="AM79" s="13"/>
      <c r="AN79" s="13"/>
      <c r="AO79" s="13"/>
      <c r="AP79" s="13"/>
      <c r="AQ79" s="13"/>
      <c r="AR79" s="13"/>
      <c r="AS79" s="13"/>
      <c r="AT79" s="13"/>
    </row>
    <row r="80" spans="1:46" ht="39.6">
      <c r="A80" s="8" t="s">
        <v>247</v>
      </c>
      <c r="B80" s="8" t="s">
        <v>47</v>
      </c>
      <c r="C80" s="8" t="s">
        <v>731</v>
      </c>
      <c r="D80" s="8" t="s">
        <v>1510</v>
      </c>
      <c r="E80" s="8" t="s">
        <v>2140</v>
      </c>
      <c r="F80" s="8" t="s">
        <v>2145</v>
      </c>
      <c r="G80" s="8" t="s">
        <v>2146</v>
      </c>
      <c r="H80" s="8" t="str">
        <f ca="1">IFERROR(__xludf.DUMMYFUNCTION("VLOOKUP(G80, IMPORTRANGE(""https://docs.google.com/spreadsheets/d/14deopnvwcrKtEGCKuYXdUHJbeLDZlkiSSWWT0g7x2pM/edit#gid=849066331"", ""LU List Science (Filter)!A:B""), 2, FALSE)"),"Definition of Static and Sliding friction")</f>
        <v>Definition of Static and Sliding friction</v>
      </c>
      <c r="I80" s="10" t="str">
        <f t="shared" si="0"/>
        <v>LU005557.001</v>
      </c>
      <c r="J80" s="10" t="str">
        <f ca="1">IFERROR(__xludf.DUMMYFUNCTION("VLOOKUP(I80, IMPORTRANGE(""https://docs.google.com/spreadsheets/d/1yDAaXNsi4Mr5FtRQL4tbmSdIzhx6_m4wkOD7IG-k_eo/edit#gid=1336395716"", ""Science!M:N""), 2, FALSE)"),"Define static and sliding friction.")</f>
        <v>Define static and sliding friction.</v>
      </c>
      <c r="K80" s="10" t="str">
        <f t="shared" si="6"/>
        <v>LU005557.002</v>
      </c>
      <c r="L80" s="10" t="str">
        <f ca="1">IFERROR(__xludf.DUMMYFUNCTION("VLOOKUP(K80, IMPORTRANGE(""https://docs.google.com/spreadsheets/d/1yDAaXNsi4Mr5FtRQL4tbmSdIzhx6_m4wkOD7IG-k_eo/edit#gid=1336395716"", ""Science!M:N""), 2, FALSE)"),"Explain the differences between static, limiting, and sliding friction using appropriate examples")</f>
        <v>Explain the differences between static, limiting, and sliding friction using appropriate examples</v>
      </c>
      <c r="M80" s="10" t="str">
        <f t="shared" si="2"/>
        <v>LU005557.003</v>
      </c>
      <c r="N80" s="10" t="str">
        <f ca="1">IFERROR(__xludf.DUMMYFUNCTION("VLOOKUP(M80, IMPORTRANGE(""https://docs.google.com/spreadsheets/d/1yDAaXNsi4Mr5FtRQL4tbmSdIzhx6_m4wkOD7IG-k_eo/edit#gid=1336395716"", ""Science!M:N""), 2, FALSE)"),"Demonstrate through a hands-on activity how an object transitions from static to limiting friction before movement occurs.")</f>
        <v>Demonstrate through a hands-on activity how an object transitions from static to limiting friction before movement occurs.</v>
      </c>
      <c r="O80" s="10" t="str">
        <f t="shared" si="3"/>
        <v>LU005557.004</v>
      </c>
      <c r="P80" s="10" t="str">
        <f ca="1">IFERROR(__xludf.DUMMYFUNCTION("VLOOKUP(O80, IMPORTRANGE(""https://docs.google.com/spreadsheets/d/1yDAaXNsi4Mr5FtRQL4tbmSdIzhx6_m4wkOD7IG-k_eo/edit#gid=1336395716"", ""Science!M:N""), 2, FALSE)"),"Differentiate between the conditions or factors that cause objects to experience static, limiting, or sliding friction.")</f>
        <v>Differentiate between the conditions or factors that cause objects to experience static, limiting, or sliding friction.</v>
      </c>
      <c r="Q80" s="10" t="str">
        <f t="shared" si="4"/>
        <v>LU005557.005</v>
      </c>
      <c r="R80" s="10" t="str">
        <f ca="1">IFERROR(__xludf.DUMMYFUNCTION("VLOOKUP(Q80, IMPORTRANGE(""https://docs.google.com/spreadsheets/d/1yDAaXNsi4Mr5FtRQL4tbmSdIzhx6_m4wkOD7IG-k_eo/edit#gid=1336395716"", ""Science!M:N""), 2, FALSE)"),"#N/A")</f>
        <v>#N/A</v>
      </c>
      <c r="S80" s="10" t="str">
        <f t="shared" si="5"/>
        <v>LU005557.006</v>
      </c>
      <c r="T80" s="10" t="str">
        <f ca="1">IFERROR(__xludf.DUMMYFUNCTION("VLOOKUP(S80, IMPORTRANGE(""https://docs.google.com/spreadsheets/d/1yDAaXNsi4Mr5FtRQL4tbmSdIzhx6_m4wkOD7IG-k_eo/edit#gid=1336395716"", ""Science!M:N""), 2, FALSE)"),"Design a simple experiment to demonstrate the effects of static, limiting, and sliding friction using everyday materials.")</f>
        <v>Design a simple experiment to demonstrate the effects of static, limiting, and sliding friction using everyday materials.</v>
      </c>
      <c r="U80" s="116">
        <f ca="1">IFERROR(__xludf.DUMMYFUNCTION("ArrayFormula(VLOOKUP(G80, IMPORTRANGE(""https://docs.google.com/spreadsheets/d/1p7R4vtkWt5VOBim4ltsDG9KTzSjrtKXsMtQGXPHyND0/edit#gid=795171502"", ""'Filter 30_05_2024'!A1:M2000""), {2, 3, 4, 5,6,7,8,9,10,11,12,13}, 0))"),4)</f>
        <v>4</v>
      </c>
      <c r="V80" s="116">
        <f ca="1">IFERROR(__xludf.DUMMYFUNCTION("""COMPUTED_VALUE"""),6)</f>
        <v>6</v>
      </c>
      <c r="W80" s="116">
        <f ca="1">IFERROR(__xludf.DUMMYFUNCTION("""COMPUTED_VALUE"""),2)</f>
        <v>2</v>
      </c>
      <c r="X80" s="116">
        <f ca="1">IFERROR(__xludf.DUMMYFUNCTION("""COMPUTED_VALUE"""),12)</f>
        <v>12</v>
      </c>
      <c r="Y80" s="116">
        <f ca="1">IFERROR(__xludf.DUMMYFUNCTION("""COMPUTED_VALUE"""),4)</f>
        <v>4</v>
      </c>
      <c r="Z80" s="12">
        <f ca="1">IFERROR(__xludf.DUMMYFUNCTION("""COMPUTED_VALUE"""),3)</f>
        <v>3</v>
      </c>
      <c r="AA80" s="12">
        <f ca="1">IFERROR(__xludf.DUMMYFUNCTION("""COMPUTED_VALUE"""),1)</f>
        <v>1</v>
      </c>
      <c r="AB80" s="12">
        <f ca="1">IFERROR(__xludf.DUMMYFUNCTION("""COMPUTED_VALUE"""),8)</f>
        <v>8</v>
      </c>
      <c r="AC80" s="12"/>
      <c r="AD80" s="12"/>
      <c r="AE80" s="12"/>
      <c r="AF80" s="12"/>
      <c r="AG80" s="13" t="str">
        <f ca="1">IFERROR(__xludf.DUMMYFUNCTION("ArrayFormula(VLOOKUP(G80, IMPORTRANGE(""https://docs.google.com/spreadsheets/d/1Co934fvtviyaRiMsrIlT05Jaq7iiYq07aLvRr35KA48/edit?gid=173865642#gid=173865642"", ""'G8_Sci_Pri_LU'!G2:V2000""), {3, 4, 5, 6, 7, 8, 9, 10, 11, 12, 13, 14, 15, 16}, 0))"),"LU005551")</f>
        <v>LU005551</v>
      </c>
      <c r="AH80" s="13" t="str">
        <f ca="1">IFERROR(__xludf.DUMMYFUNCTION("""COMPUTED_VALUE"""),"Definition and direction of frictional force")</f>
        <v>Definition and direction of frictional force</v>
      </c>
      <c r="AI80" s="13" t="str">
        <f ca="1">IFERROR(__xludf.DUMMYFUNCTION("""COMPUTED_VALUE"""),"LU005177")</f>
        <v>LU005177</v>
      </c>
      <c r="AJ80" s="13" t="str">
        <f ca="1">IFERROR(__xludf.DUMMYFUNCTION("""COMPUTED_VALUE"""),"Comparison of object in the State of rest vs State of Motion")</f>
        <v>Comparison of object in the State of rest vs State of Motion</v>
      </c>
      <c r="AK80" s="13"/>
      <c r="AL80" s="13"/>
      <c r="AM80" s="13"/>
      <c r="AN80" s="13"/>
      <c r="AO80" s="13"/>
      <c r="AP80" s="13"/>
      <c r="AQ80" s="13"/>
      <c r="AR80" s="13"/>
      <c r="AS80" s="13"/>
      <c r="AT80" s="13"/>
    </row>
    <row r="81" spans="1:46" ht="52.8">
      <c r="A81" s="8" t="s">
        <v>247</v>
      </c>
      <c r="B81" s="8" t="s">
        <v>47</v>
      </c>
      <c r="C81" s="8" t="s">
        <v>731</v>
      </c>
      <c r="D81" s="8" t="s">
        <v>1510</v>
      </c>
      <c r="E81" s="8" t="s">
        <v>2140</v>
      </c>
      <c r="F81" s="8" t="s">
        <v>2145</v>
      </c>
      <c r="G81" s="8" t="s">
        <v>2147</v>
      </c>
      <c r="H81" s="8" t="str">
        <f ca="1">IFERROR(__xludf.DUMMYFUNCTION("VLOOKUP(G81, IMPORTRANGE(""https://docs.google.com/spreadsheets/d/14deopnvwcrKtEGCKuYXdUHJbeLDZlkiSSWWT0g7x2pM/edit#gid=849066331"", ""LU List Science (Filter)!A:B""), 2, FALSE)"),"Definition and Significance of Rolling Friction")</f>
        <v>Definition and Significance of Rolling Friction</v>
      </c>
      <c r="I81" s="10" t="str">
        <f t="shared" si="0"/>
        <v>LU005558.001</v>
      </c>
      <c r="J81" s="10" t="str">
        <f ca="1">IFERROR(__xludf.DUMMYFUNCTION("VLOOKUP(I81, IMPORTRANGE(""https://docs.google.com/spreadsheets/d/1yDAaXNsi4Mr5FtRQL4tbmSdIzhx6_m4wkOD7IG-k_eo/edit#gid=1336395716"", ""Science!M:N""), 2, FALSE)"),"Recall the definition of rolling friction.")</f>
        <v>Recall the definition of rolling friction.</v>
      </c>
      <c r="K81" s="10" t="str">
        <f t="shared" si="6"/>
        <v>LU005558.002</v>
      </c>
      <c r="L81" s="10" t="str">
        <f ca="1">IFERROR(__xludf.DUMMYFUNCTION("VLOOKUP(K81, IMPORTRANGE(""https://docs.google.com/spreadsheets/d/1yDAaXNsi4Mr5FtRQL4tbmSdIzhx6_m4wkOD7IG-k_eo/edit#gid=1336395716"", ""Science!M:N""), 2, FALSE)"),"Paraphrase the concept of rolling friction and its distinguishing features from other forms of friction.")</f>
        <v>Paraphrase the concept of rolling friction and its distinguishing features from other forms of friction.</v>
      </c>
      <c r="M81" s="10" t="str">
        <f t="shared" si="2"/>
        <v>LU005558.003</v>
      </c>
      <c r="N81" s="10" t="str">
        <f ca="1">IFERROR(__xludf.DUMMYFUNCTION("VLOOKUP(M81, IMPORTRANGE(""https://docs.google.com/spreadsheets/d/1yDAaXNsi4Mr5FtRQL4tbmSdIzhx6_m4wkOD7IG-k_eo/edit#gid=1336395716"", ""Science!M:N""), 2, FALSE)"),"Demonstrate the effect of rolling friction on a moving body. ")</f>
        <v xml:space="preserve">Demonstrate the effect of rolling friction on a moving body. </v>
      </c>
      <c r="O81" s="10" t="str">
        <f t="shared" si="3"/>
        <v>LU005558.004</v>
      </c>
      <c r="P81" s="10" t="str">
        <f ca="1">IFERROR(__xludf.DUMMYFUNCTION("VLOOKUP(O81, IMPORTRANGE(""https://docs.google.com/spreadsheets/d/1yDAaXNsi4Mr5FtRQL4tbmSdIzhx6_m4wkOD7IG-k_eo/edit#gid=1336395716"", ""Science!M:N""), 2, FALSE)"),"Compare rolling friction with other types of friction.")</f>
        <v>Compare rolling friction with other types of friction.</v>
      </c>
      <c r="Q81" s="10" t="str">
        <f t="shared" si="4"/>
        <v>LU005558.005</v>
      </c>
      <c r="R81" s="10" t="str">
        <f ca="1">IFERROR(__xludf.DUMMYFUNCTION("VLOOKUP(Q81, IMPORTRANGE(""https://docs.google.com/spreadsheets/d/1yDAaXNsi4Mr5FtRQL4tbmSdIzhx6_m4wkOD7IG-k_eo/edit#gid=1336395716"", ""Science!M:N""), 2, FALSE)"),"Justify the evolutionary and engineering importance of using rounded objects, like wheels, in transportation systems based on their interaction with rolling friction.")</f>
        <v>Justify the evolutionary and engineering importance of using rounded objects, like wheels, in transportation systems based on their interaction with rolling friction.</v>
      </c>
      <c r="S81" s="10" t="str">
        <f t="shared" si="5"/>
        <v>LU005558.006</v>
      </c>
      <c r="T81" s="10" t="str">
        <f ca="1">IFERROR(__xludf.DUMMYFUNCTION("VLOOKUP(S81, IMPORTRANGE(""https://docs.google.com/spreadsheets/d/1yDAaXNsi4Mr5FtRQL4tbmSdIzhx6_m4wkOD7IG-k_eo/edit#gid=1336395716"", ""Science!M:N""), 2, FALSE)"),"#N/A")</f>
        <v>#N/A</v>
      </c>
      <c r="U81" s="116">
        <f ca="1">IFERROR(__xludf.DUMMYFUNCTION("ArrayFormula(VLOOKUP(G81, IMPORTRANGE(""https://docs.google.com/spreadsheets/d/1p7R4vtkWt5VOBim4ltsDG9KTzSjrtKXsMtQGXPHyND0/edit#gid=795171502"", ""'Filter 30_05_2024'!A1:M2000""), {2, 3, 4, 5,6,7,8,9,10,11,12,13}, 0))"),4)</f>
        <v>4</v>
      </c>
      <c r="V81" s="116">
        <f ca="1">IFERROR(__xludf.DUMMYFUNCTION("""COMPUTED_VALUE"""),6)</f>
        <v>6</v>
      </c>
      <c r="W81" s="116">
        <f ca="1">IFERROR(__xludf.DUMMYFUNCTION("""COMPUTED_VALUE"""),2)</f>
        <v>2</v>
      </c>
      <c r="X81" s="116">
        <f ca="1">IFERROR(__xludf.DUMMYFUNCTION("""COMPUTED_VALUE"""),12)</f>
        <v>12</v>
      </c>
      <c r="Y81" s="116">
        <f ca="1">IFERROR(__xludf.DUMMYFUNCTION("""COMPUTED_VALUE"""),4)</f>
        <v>4</v>
      </c>
      <c r="Z81" s="12">
        <f ca="1">IFERROR(__xludf.DUMMYFUNCTION("""COMPUTED_VALUE"""),3)</f>
        <v>3</v>
      </c>
      <c r="AA81" s="12">
        <f ca="1">IFERROR(__xludf.DUMMYFUNCTION("""COMPUTED_VALUE"""),1)</f>
        <v>1</v>
      </c>
      <c r="AB81" s="12">
        <f ca="1">IFERROR(__xludf.DUMMYFUNCTION("""COMPUTED_VALUE"""),8)</f>
        <v>8</v>
      </c>
      <c r="AC81" s="12"/>
      <c r="AD81" s="12"/>
      <c r="AE81" s="12"/>
      <c r="AF81" s="12"/>
      <c r="AG81" s="13" t="str">
        <f ca="1">IFERROR(__xludf.DUMMYFUNCTION("ArrayFormula(VLOOKUP(G81, IMPORTRANGE(""https://docs.google.com/spreadsheets/d/1Co934fvtviyaRiMsrIlT05Jaq7iiYq07aLvRr35KA48/edit?gid=173865642#gid=173865642"", ""'G8_Sci_Pri_LU'!G2:V2000""), {3, 4, 5, 6, 7, 8, 9, 10, 11, 12, 13, 14, 15, 16}, 0))"),"LU005557")</f>
        <v>LU005557</v>
      </c>
      <c r="AH81" s="13" t="str">
        <f ca="1">IFERROR(__xludf.DUMMYFUNCTION("""COMPUTED_VALUE"""),"Definition of Static and Sliding friction")</f>
        <v>Definition of Static and Sliding friction</v>
      </c>
      <c r="AI81" s="13" t="str">
        <f ca="1">IFERROR(__xludf.DUMMYFUNCTION("""COMPUTED_VALUE"""),"LU005551")</f>
        <v>LU005551</v>
      </c>
      <c r="AJ81" s="13" t="str">
        <f ca="1">IFERROR(__xludf.DUMMYFUNCTION("""COMPUTED_VALUE"""),"Definition and direction of frictional force")</f>
        <v>Definition and direction of frictional force</v>
      </c>
      <c r="AK81" s="13"/>
      <c r="AL81" s="13"/>
      <c r="AM81" s="13"/>
      <c r="AN81" s="13"/>
      <c r="AO81" s="13"/>
      <c r="AP81" s="13"/>
      <c r="AQ81" s="13"/>
      <c r="AR81" s="13"/>
      <c r="AS81" s="13"/>
      <c r="AT81" s="13"/>
    </row>
    <row r="82" spans="1:46" ht="39.6">
      <c r="A82" s="8" t="s">
        <v>247</v>
      </c>
      <c r="B82" s="8" t="s">
        <v>47</v>
      </c>
      <c r="C82" s="8" t="s">
        <v>731</v>
      </c>
      <c r="D82" s="8" t="s">
        <v>1510</v>
      </c>
      <c r="E82" s="8" t="s">
        <v>2140</v>
      </c>
      <c r="F82" s="118" t="s">
        <v>2148</v>
      </c>
      <c r="G82" s="118" t="s">
        <v>2149</v>
      </c>
      <c r="H82" s="118" t="str">
        <f ca="1">IFERROR(__xludf.DUMMYFUNCTION("VLOOKUP(G82, IMPORTRANGE(""https://docs.google.com/spreadsheets/d/14deopnvwcrKtEGCKuYXdUHJbeLDZlkiSSWWT0g7x2pM/edit#gid=849066331"", ""LU List Science (Filter)!A:B""), 2, FALSE)"),"Advantages of Friction in Real World")</f>
        <v>Advantages of Friction in Real World</v>
      </c>
      <c r="I82" s="10" t="str">
        <f t="shared" si="0"/>
        <v>LU005553.001</v>
      </c>
      <c r="J82" s="10" t="str">
        <f ca="1">IFERROR(__xludf.DUMMYFUNCTION("VLOOKUP(I82, IMPORTRANGE(""https://docs.google.com/spreadsheets/d/1yDAaXNsi4Mr5FtRQL4tbmSdIzhx6_m4wkOD7IG-k_eo/edit#gid=1336395716"", ""Science!M:N""), 2, FALSE)"),"List the advantages of friction encountered in daily life.")</f>
        <v>List the advantages of friction encountered in daily life.</v>
      </c>
      <c r="K82" s="10" t="str">
        <f t="shared" si="6"/>
        <v>LU005553.002</v>
      </c>
      <c r="L82" s="10" t="str">
        <f ca="1">IFERROR(__xludf.DUMMYFUNCTION("VLOOKUP(K82, IMPORTRANGE(""https://docs.google.com/spreadsheets/d/1yDAaXNsi4Mr5FtRQL4tbmSdIzhx6_m4wkOD7IG-k_eo/edit#gid=1336395716"", ""Science!M:N""), 2, FALSE)"),"Describe in their own words why friction is essential for certain real-world activities, such as walking or driving.")</f>
        <v>Describe in their own words why friction is essential for certain real-world activities, such as walking or driving.</v>
      </c>
      <c r="M82" s="10" t="str">
        <f t="shared" si="2"/>
        <v>LU005553.003</v>
      </c>
      <c r="N82" s="10" t="str">
        <f ca="1">IFERROR(__xludf.DUMMYFUNCTION("VLOOKUP(M82, IMPORTRANGE(""https://docs.google.com/spreadsheets/d/1yDAaXNsi4Mr5FtRQL4tbmSdIzhx6_m4wkOD7IG-k_eo/edit#gid=1336395716"", ""Science!M:N""), 2, FALSE)"),"Interlocking between two surfaces as a cause of friction")</f>
        <v>Interlocking between two surfaces as a cause of friction</v>
      </c>
      <c r="O82" s="10" t="str">
        <f t="shared" si="3"/>
        <v>LU005553.004</v>
      </c>
      <c r="P82" s="10" t="str">
        <f ca="1">IFERROR(__xludf.DUMMYFUNCTION("VLOOKUP(O82, IMPORTRANGE(""https://docs.google.com/spreadsheets/d/1yDAaXNsi4Mr5FtRQL4tbmSdIzhx6_m4wkOD7IG-k_eo/edit#gid=1336395716"", ""Science!M:N""), 2, FALSE)"),"#N/A")</f>
        <v>#N/A</v>
      </c>
      <c r="Q82" s="10" t="str">
        <f t="shared" si="4"/>
        <v>LU005553.005</v>
      </c>
      <c r="R82" s="10" t="str">
        <f ca="1">IFERROR(__xludf.DUMMYFUNCTION("VLOOKUP(Q82, IMPORTRANGE(""https://docs.google.com/spreadsheets/d/1yDAaXNsi4Mr5FtRQL4tbmSdIzhx6_m4wkOD7IG-k_eo/edit#gid=1336395716"", ""Science!M:N""), 2, FALSE)"),"Assess the significance of friction in various real-world applications, discussing which activities would be impossible without it.")</f>
        <v>Assess the significance of friction in various real-world applications, discussing which activities would be impossible without it.</v>
      </c>
      <c r="S82" s="10" t="str">
        <f t="shared" si="5"/>
        <v>LU005553.006</v>
      </c>
      <c r="T82" s="10" t="str">
        <f ca="1">IFERROR(__xludf.DUMMYFUNCTION("VLOOKUP(S82, IMPORTRANGE(""https://docs.google.com/spreadsheets/d/1yDAaXNsi4Mr5FtRQL4tbmSdIzhx6_m4wkOD7IG-k_eo/edit#gid=1336395716"", ""Science!M:N""), 2, FALSE)"),"Design a simple experiment or model that showcases the advantages of friction in a particular real-world context.")</f>
        <v>Design a simple experiment or model that showcases the advantages of friction in a particular real-world context.</v>
      </c>
      <c r="U82" s="116">
        <f ca="1">IFERROR(__xludf.DUMMYFUNCTION("ArrayFormula(VLOOKUP(G82, IMPORTRANGE(""https://docs.google.com/spreadsheets/d/1p7R4vtkWt5VOBim4ltsDG9KTzSjrtKXsMtQGXPHyND0/edit#gid=795171502"", ""'Filter 30_05_2024'!A1:M2000""), {2, 3, 4, 5,6,7,8,9,10,11,12,13}, 0))"),4)</f>
        <v>4</v>
      </c>
      <c r="V82" s="116">
        <f ca="1">IFERROR(__xludf.DUMMYFUNCTION("""COMPUTED_VALUE"""),6)</f>
        <v>6</v>
      </c>
      <c r="W82" s="116">
        <f ca="1">IFERROR(__xludf.DUMMYFUNCTION("""COMPUTED_VALUE"""),2)</f>
        <v>2</v>
      </c>
      <c r="X82" s="116">
        <f ca="1">IFERROR(__xludf.DUMMYFUNCTION("""COMPUTED_VALUE"""),12)</f>
        <v>12</v>
      </c>
      <c r="Y82" s="116">
        <f ca="1">IFERROR(__xludf.DUMMYFUNCTION("""COMPUTED_VALUE"""),4)</f>
        <v>4</v>
      </c>
      <c r="Z82" s="12">
        <f ca="1">IFERROR(__xludf.DUMMYFUNCTION("""COMPUTED_VALUE"""),3)</f>
        <v>3</v>
      </c>
      <c r="AA82" s="12">
        <f ca="1">IFERROR(__xludf.DUMMYFUNCTION("""COMPUTED_VALUE"""),1)</f>
        <v>1</v>
      </c>
      <c r="AB82" s="12">
        <f ca="1">IFERROR(__xludf.DUMMYFUNCTION("""COMPUTED_VALUE"""),8)</f>
        <v>8</v>
      </c>
      <c r="AC82" s="12"/>
      <c r="AD82" s="12"/>
      <c r="AE82" s="12"/>
      <c r="AF82" s="12"/>
      <c r="AG82" s="13" t="str">
        <f ca="1">IFERROR(__xludf.DUMMYFUNCTION("ArrayFormula(VLOOKUP(G82, IMPORTRANGE(""https://docs.google.com/spreadsheets/d/1Co934fvtviyaRiMsrIlT05Jaq7iiYq07aLvRr35KA48/edit?gid=173865642#gid=173865642"", ""'G8_Sci_Pri_LU'!G2:V2000""), {3, 4, 5, 6, 7, 8, 9, 10, 11, 12, 13, 14, 15, 16}, 0))"),"LU005552")</f>
        <v>LU005552</v>
      </c>
      <c r="AH82" s="13" t="str">
        <f ca="1">IFERROR(__xludf.DUMMYFUNCTION("""COMPUTED_VALUE"""),"Factors affecting Friction")</f>
        <v>Factors affecting Friction</v>
      </c>
      <c r="AI82" s="13" t="str">
        <f ca="1">IFERROR(__xludf.DUMMYFUNCTION("""COMPUTED_VALUE"""),"LU005562")</f>
        <v>LU005562</v>
      </c>
      <c r="AJ82" s="13" t="str">
        <f ca="1">IFERROR(__xludf.DUMMYFUNCTION("""COMPUTED_VALUE"""),"Interlocking between two surfaces as a cause of friction")</f>
        <v>Interlocking between two surfaces as a cause of friction</v>
      </c>
      <c r="AK82" s="13" t="str">
        <f ca="1">IFERROR(__xludf.DUMMYFUNCTION("""COMPUTED_VALUE"""),"LU005551")</f>
        <v>LU005551</v>
      </c>
      <c r="AL82" s="13" t="str">
        <f ca="1">IFERROR(__xludf.DUMMYFUNCTION("""COMPUTED_VALUE"""),"Definition and direction of frictional force")</f>
        <v>Definition and direction of frictional force</v>
      </c>
      <c r="AM82" s="13"/>
      <c r="AN82" s="13"/>
      <c r="AO82" s="13"/>
      <c r="AP82" s="13"/>
      <c r="AQ82" s="13"/>
      <c r="AR82" s="13"/>
      <c r="AS82" s="13"/>
      <c r="AT82" s="13"/>
    </row>
    <row r="83" spans="1:46" ht="52.8">
      <c r="A83" s="8" t="s">
        <v>247</v>
      </c>
      <c r="B83" s="8" t="s">
        <v>47</v>
      </c>
      <c r="C83" s="8" t="s">
        <v>731</v>
      </c>
      <c r="D83" s="8" t="s">
        <v>1510</v>
      </c>
      <c r="E83" s="8" t="s">
        <v>2140</v>
      </c>
      <c r="F83" s="118" t="s">
        <v>2148</v>
      </c>
      <c r="G83" s="123" t="s">
        <v>2150</v>
      </c>
      <c r="H83" s="118" t="str">
        <f ca="1">IFERROR(__xludf.DUMMYFUNCTION("VLOOKUP(G83, IMPORTRANGE(""https://docs.google.com/spreadsheets/d/14deopnvwcrKtEGCKuYXdUHJbeLDZlkiSSWWT0g7x2pM/edit#gid=849066331"", ""LU List Science (Filter)!A:B""), 2, FALSE)"),"Ways to Increase Friction")</f>
        <v>Ways to Increase Friction</v>
      </c>
      <c r="I83" s="10" t="str">
        <f t="shared" si="0"/>
        <v>LU005554.001</v>
      </c>
      <c r="J83" s="10" t="str">
        <f ca="1">IFERROR(__xludf.DUMMYFUNCTION("VLOOKUP(I83, IMPORTRANGE(""https://docs.google.com/spreadsheets/d/1yDAaXNsi4Mr5FtRQL4tbmSdIzhx6_m4wkOD7IG-k_eo/edit#gid=1336395716"", ""Science!M:N""), 2, FALSE)"),"List different surfaces or materials that can be used to increase friction.")</f>
        <v>List different surfaces or materials that can be used to increase friction.</v>
      </c>
      <c r="K83" s="10" t="str">
        <f t="shared" si="6"/>
        <v>LU005554.002</v>
      </c>
      <c r="L83" s="10" t="str">
        <f ca="1">IFERROR(__xludf.DUMMYFUNCTION("VLOOKUP(K83, IMPORTRANGE(""https://docs.google.com/spreadsheets/d/1yDAaXNsi4Mr5FtRQL4tbmSdIzhx6_m4wkOD7IG-k_eo/edit#gid=1336395716"", ""Science!M:N""), 2, FALSE)"),"Explain how the use of treads in tyres enhance the friction between road and tyres. ")</f>
        <v xml:space="preserve">Explain how the use of treads in tyres enhance the friction between road and tyres. </v>
      </c>
      <c r="M83" s="10" t="str">
        <f t="shared" si="2"/>
        <v>LU005554.003</v>
      </c>
      <c r="N83" s="10" t="str">
        <f ca="1">IFERROR(__xludf.DUMMYFUNCTION("VLOOKUP(M83, IMPORTRANGE(""https://docs.google.com/spreadsheets/d/1yDAaXNsi4Mr5FtRQL4tbmSdIzhx6_m4wkOD7IG-k_eo/edit#gid=1336395716"", ""Science!M:N""), 2, FALSE)"),"Demonstrate how the design of shoe soles or car tyres affects the frictional force on different surfaces.")</f>
        <v>Demonstrate how the design of shoe soles or car tyres affects the frictional force on different surfaces.</v>
      </c>
      <c r="O83" s="10" t="str">
        <f t="shared" si="3"/>
        <v>LU005554.004</v>
      </c>
      <c r="P83" s="10" t="str">
        <f ca="1">IFERROR(__xludf.DUMMYFUNCTION("VLOOKUP(O83, IMPORTRANGE(""https://docs.google.com/spreadsheets/d/1yDAaXNsi4Mr5FtRQL4tbmSdIzhx6_m4wkOD7IG-k_eo/edit#gid=1336395716"", ""Science!M:N""), 2, FALSE)"),"Compare and contrast various material used for increasing friction to deduce which ones would suitable for specific conditions. ")</f>
        <v xml:space="preserve">Compare and contrast various material used for increasing friction to deduce which ones would suitable for specific conditions. </v>
      </c>
      <c r="Q83" s="10" t="str">
        <f t="shared" si="4"/>
        <v>LU005554.005</v>
      </c>
      <c r="R83" s="10" t="str">
        <f ca="1">IFERROR(__xludf.DUMMYFUNCTION("VLOOKUP(Q83, IMPORTRANGE(""https://docs.google.com/spreadsheets/d/1yDAaXNsi4Mr5FtRQL4tbmSdIzhx6_m4wkOD7IG-k_eo/edit#gid=1336395716"", ""Science!M:N""), 2, FALSE)"),"Judge the effectiveness of different methods to increase friction in various real-life scenarios, such as the usage of chalk by athletes or textured grips on tools.")</f>
        <v>Judge the effectiveness of different methods to increase friction in various real-life scenarios, such as the usage of chalk by athletes or textured grips on tools.</v>
      </c>
      <c r="S83" s="10" t="str">
        <f t="shared" si="5"/>
        <v>LU005554.006</v>
      </c>
      <c r="T83" s="10" t="str">
        <f ca="1">IFERROR(__xludf.DUMMYFUNCTION("VLOOKUP(S83, IMPORTRANGE(""https://docs.google.com/spreadsheets/d/1yDAaXNsi4Mr5FtRQL4tbmSdIzhx6_m4wkOD7IG-k_eo/edit#gid=1336395716"", ""Science!M:N""), 2, FALSE)"),"Design a new prototype or concept of a shoe sole or tyre tread that can maximize friction for a specific purpose, like racing or hiking.")</f>
        <v>Design a new prototype or concept of a shoe sole or tyre tread that can maximize friction for a specific purpose, like racing or hiking.</v>
      </c>
      <c r="U83" s="116">
        <f ca="1">IFERROR(__xludf.DUMMYFUNCTION("ArrayFormula(VLOOKUP(G83, IMPORTRANGE(""https://docs.google.com/spreadsheets/d/1p7R4vtkWt5VOBim4ltsDG9KTzSjrtKXsMtQGXPHyND0/edit#gid=795171502"", ""'Filter 30_05_2024'!A1:M2000""), {2, 3, 4, 5,6,7,8,9,10,11,12,13}, 0))"),4)</f>
        <v>4</v>
      </c>
      <c r="V83" s="116">
        <f ca="1">IFERROR(__xludf.DUMMYFUNCTION("""COMPUTED_VALUE"""),6)</f>
        <v>6</v>
      </c>
      <c r="W83" s="116">
        <f ca="1">IFERROR(__xludf.DUMMYFUNCTION("""COMPUTED_VALUE"""),2)</f>
        <v>2</v>
      </c>
      <c r="X83" s="116">
        <f ca="1">IFERROR(__xludf.DUMMYFUNCTION("""COMPUTED_VALUE"""),12)</f>
        <v>12</v>
      </c>
      <c r="Y83" s="116">
        <f ca="1">IFERROR(__xludf.DUMMYFUNCTION("""COMPUTED_VALUE"""),4)</f>
        <v>4</v>
      </c>
      <c r="Z83" s="12">
        <f ca="1">IFERROR(__xludf.DUMMYFUNCTION("""COMPUTED_VALUE"""),3)</f>
        <v>3</v>
      </c>
      <c r="AA83" s="12">
        <f ca="1">IFERROR(__xludf.DUMMYFUNCTION("""COMPUTED_VALUE"""),1)</f>
        <v>1</v>
      </c>
      <c r="AB83" s="12">
        <f ca="1">IFERROR(__xludf.DUMMYFUNCTION("""COMPUTED_VALUE"""),8)</f>
        <v>8</v>
      </c>
      <c r="AC83" s="12"/>
      <c r="AD83" s="12"/>
      <c r="AE83" s="12"/>
      <c r="AF83" s="12"/>
      <c r="AG83" s="13" t="str">
        <f ca="1">IFERROR(__xludf.DUMMYFUNCTION("ArrayFormula(VLOOKUP(G83, IMPORTRANGE(""https://docs.google.com/spreadsheets/d/1Co934fvtviyaRiMsrIlT05Jaq7iiYq07aLvRr35KA48/edit?gid=173865642#gid=173865642"", ""'G8_Sci_Pri_LU'!G2:V2000""), {3, 4, 5, 6, 7, 8, 9, 10, 11, 12, 13, 14, 15, 16}, 0))"),"LU005553")</f>
        <v>LU005553</v>
      </c>
      <c r="AH83" s="13" t="str">
        <f ca="1">IFERROR(__xludf.DUMMYFUNCTION("""COMPUTED_VALUE"""),"Advantages of Friction in Real World")</f>
        <v>Advantages of Friction in Real World</v>
      </c>
      <c r="AI83" s="13" t="str">
        <f ca="1">IFERROR(__xludf.DUMMYFUNCTION("""COMPUTED_VALUE"""),"LU005552")</f>
        <v>LU005552</v>
      </c>
      <c r="AJ83" s="13" t="str">
        <f ca="1">IFERROR(__xludf.DUMMYFUNCTION("""COMPUTED_VALUE"""),"Factors affecting Friction")</f>
        <v>Factors affecting Friction</v>
      </c>
      <c r="AK83" s="13" t="str">
        <f ca="1">IFERROR(__xludf.DUMMYFUNCTION("""COMPUTED_VALUE"""),"LU005562")</f>
        <v>LU005562</v>
      </c>
      <c r="AL83" s="13" t="str">
        <f ca="1">IFERROR(__xludf.DUMMYFUNCTION("""COMPUTED_VALUE"""),"Interlocking between two surfaces as a cause of friction")</f>
        <v>Interlocking between two surfaces as a cause of friction</v>
      </c>
      <c r="AM83" s="13"/>
      <c r="AN83" s="13"/>
      <c r="AO83" s="13"/>
      <c r="AP83" s="13"/>
      <c r="AQ83" s="13"/>
      <c r="AR83" s="13"/>
      <c r="AS83" s="13"/>
      <c r="AT83" s="13"/>
    </row>
    <row r="84" spans="1:46" ht="52.8">
      <c r="A84" s="8" t="s">
        <v>247</v>
      </c>
      <c r="B84" s="8" t="s">
        <v>47</v>
      </c>
      <c r="C84" s="8" t="s">
        <v>731</v>
      </c>
      <c r="D84" s="8" t="s">
        <v>1510</v>
      </c>
      <c r="E84" s="8" t="s">
        <v>2140</v>
      </c>
      <c r="F84" s="123" t="s">
        <v>2151</v>
      </c>
      <c r="G84" s="123" t="s">
        <v>2152</v>
      </c>
      <c r="H84" s="118" t="str">
        <f ca="1">IFERROR(__xludf.DUMMYFUNCTION("VLOOKUP(G84, IMPORTRANGE(""https://docs.google.com/spreadsheets/d/14deopnvwcrKtEGCKuYXdUHJbeLDZlkiSSWWT0g7x2pM/edit#gid=849066331"", ""LU List Science (Filter)!A:B""), 2, FALSE)"),"Disadvantages of Friction")</f>
        <v>Disadvantages of Friction</v>
      </c>
      <c r="I84" s="10" t="str">
        <f t="shared" si="0"/>
        <v>LU005555.001</v>
      </c>
      <c r="J84" s="10" t="str">
        <f ca="1">IFERROR(__xludf.DUMMYFUNCTION("VLOOKUP(I84, IMPORTRANGE(""https://docs.google.com/spreadsheets/d/1yDAaXNsi4Mr5FtRQL4tbmSdIzhx6_m4wkOD7IG-k_eo/edit#gid=1336395716"", ""Science!M:N""), 2, FALSE)"),"List the disadvantages of friction encountered in daily life.")</f>
        <v>List the disadvantages of friction encountered in daily life.</v>
      </c>
      <c r="K84" s="10" t="str">
        <f t="shared" si="6"/>
        <v>LU005555.002</v>
      </c>
      <c r="L84" s="10" t="str">
        <f ca="1">IFERROR(__xludf.DUMMYFUNCTION("VLOOKUP(K84, IMPORTRANGE(""https://docs.google.com/spreadsheets/d/1yDAaXNsi4Mr5FtRQL4tbmSdIzhx6_m4wkOD7IG-k_eo/edit#gid=1336395716"", ""Science!M:N""), 2, FALSE)"),"Describe how friction can result in the generation of heat energy or lead to the deterioration of materials.")</f>
        <v>Describe how friction can result in the generation of heat energy or lead to the deterioration of materials.</v>
      </c>
      <c r="M84" s="10" t="str">
        <f t="shared" si="2"/>
        <v>LU005555.003</v>
      </c>
      <c r="N84" s="10" t="str">
        <f ca="1">IFERROR(__xludf.DUMMYFUNCTION("VLOOKUP(M84, IMPORTRANGE(""https://docs.google.com/spreadsheets/d/1yDAaXNsi4Mr5FtRQL4tbmSdIzhx6_m4wkOD7IG-k_eo/edit#gid=1336395716"", ""Science!M:N""), 2, FALSE)"),"Illustrate real-life scenarios where excessive friction has caused damage or inefficiencies, like the heating up of machinery parts.")</f>
        <v>Illustrate real-life scenarios where excessive friction has caused damage or inefficiencies, like the heating up of machinery parts.</v>
      </c>
      <c r="O84" s="10" t="str">
        <f t="shared" si="3"/>
        <v>LU005555.004</v>
      </c>
      <c r="P84" s="10" t="str">
        <f ca="1">IFERROR(__xludf.DUMMYFUNCTION("VLOOKUP(O84, IMPORTRANGE(""https://docs.google.com/spreadsheets/d/1yDAaXNsi4Mr5FtRQL4tbmSdIzhx6_m4wkOD7IG-k_eo/edit#gid=1336395716"", ""Science!M:N""), 2, FALSE)"),"#N/A")</f>
        <v>#N/A</v>
      </c>
      <c r="Q84" s="10" t="str">
        <f t="shared" si="4"/>
        <v>LU005555.005</v>
      </c>
      <c r="R84" s="10" t="str">
        <f ca="1">IFERROR(__xludf.DUMMYFUNCTION("VLOOKUP(Q84, IMPORTRANGE(""https://docs.google.com/spreadsheets/d/1yDAaXNsi4Mr5FtRQL4tbmSdIzhx6_m4wkOD7IG-k_eo/edit#gid=1336395716"", ""Science!M:N""), 2, FALSE)"),"Assess the impact of friction-induced heat and wear on the longevity and efficiency of machinery or tools.")</f>
        <v>Assess the impact of friction-induced heat and wear on the longevity and efficiency of machinery or tools.</v>
      </c>
      <c r="S84" s="10" t="str">
        <f t="shared" si="5"/>
        <v>LU005555.006</v>
      </c>
      <c r="T84" s="10" t="str">
        <f ca="1">IFERROR(__xludf.DUMMYFUNCTION("VLOOKUP(S84, IMPORTRANGE(""https://docs.google.com/spreadsheets/d/1yDAaXNsi4Mr5FtRQL4tbmSdIzhx6_m4wkOD7IG-k_eo/edit#gid=1336395716"", ""Science!M:N""), 2, FALSE)"),"Conceptualize a solution or preventative measure to reduce the negative impacts of friction in a particular setting or use-case scenario.")</f>
        <v>Conceptualize a solution or preventative measure to reduce the negative impacts of friction in a particular setting or use-case scenario.</v>
      </c>
      <c r="U84" s="116">
        <f ca="1">IFERROR(__xludf.DUMMYFUNCTION("ArrayFormula(VLOOKUP(G84, IMPORTRANGE(""https://docs.google.com/spreadsheets/d/1p7R4vtkWt5VOBim4ltsDG9KTzSjrtKXsMtQGXPHyND0/edit#gid=795171502"", ""'Filter 30_05_2024'!A1:M2000""), {2, 3, 4, 5,6,7,8,9,10,11,12,13}, 0))"),4)</f>
        <v>4</v>
      </c>
      <c r="V84" s="116">
        <f ca="1">IFERROR(__xludf.DUMMYFUNCTION("""COMPUTED_VALUE"""),6)</f>
        <v>6</v>
      </c>
      <c r="W84" s="116">
        <f ca="1">IFERROR(__xludf.DUMMYFUNCTION("""COMPUTED_VALUE"""),2)</f>
        <v>2</v>
      </c>
      <c r="X84" s="116">
        <f ca="1">IFERROR(__xludf.DUMMYFUNCTION("""COMPUTED_VALUE"""),12)</f>
        <v>12</v>
      </c>
      <c r="Y84" s="116">
        <f ca="1">IFERROR(__xludf.DUMMYFUNCTION("""COMPUTED_VALUE"""),4)</f>
        <v>4</v>
      </c>
      <c r="Z84" s="12">
        <f ca="1">IFERROR(__xludf.DUMMYFUNCTION("""COMPUTED_VALUE"""),3)</f>
        <v>3</v>
      </c>
      <c r="AA84" s="12">
        <f ca="1">IFERROR(__xludf.DUMMYFUNCTION("""COMPUTED_VALUE"""),1)</f>
        <v>1</v>
      </c>
      <c r="AB84" s="12">
        <f ca="1">IFERROR(__xludf.DUMMYFUNCTION("""COMPUTED_VALUE"""),8)</f>
        <v>8</v>
      </c>
      <c r="AC84" s="12"/>
      <c r="AD84" s="12"/>
      <c r="AE84" s="12"/>
      <c r="AF84" s="12"/>
      <c r="AG84" s="13" t="str">
        <f ca="1">IFERROR(__xludf.DUMMYFUNCTION("ArrayFormula(VLOOKUP(G84, IMPORTRANGE(""https://docs.google.com/spreadsheets/d/1Co934fvtviyaRiMsrIlT05Jaq7iiYq07aLvRr35KA48/edit?gid=173865642#gid=173865642"", ""'G8_Sci_Pri_LU'!G2:V2000""), {3, 4, 5, 6, 7, 8, 9, 10, 11, 12, 13, 14, 15, 16}, 0))"),"LU005552")</f>
        <v>LU005552</v>
      </c>
      <c r="AH84" s="13" t="str">
        <f ca="1">IFERROR(__xludf.DUMMYFUNCTION("""COMPUTED_VALUE"""),"Factors affecting Friction")</f>
        <v>Factors affecting Friction</v>
      </c>
      <c r="AI84" s="13" t="str">
        <f ca="1">IFERROR(__xludf.DUMMYFUNCTION("""COMPUTED_VALUE"""),"LU005562")</f>
        <v>LU005562</v>
      </c>
      <c r="AJ84" s="13" t="str">
        <f ca="1">IFERROR(__xludf.DUMMYFUNCTION("""COMPUTED_VALUE"""),"Interlocking between two surfaces as a cause of friction")</f>
        <v>Interlocking between two surfaces as a cause of friction</v>
      </c>
      <c r="AK84" s="13" t="str">
        <f ca="1">IFERROR(__xludf.DUMMYFUNCTION("""COMPUTED_VALUE"""),"LU005551")</f>
        <v>LU005551</v>
      </c>
      <c r="AL84" s="13" t="str">
        <f ca="1">IFERROR(__xludf.DUMMYFUNCTION("""COMPUTED_VALUE"""),"Definition and direction of frictional force")</f>
        <v>Definition and direction of frictional force</v>
      </c>
      <c r="AM84" s="13"/>
      <c r="AN84" s="13"/>
      <c r="AO84" s="13"/>
      <c r="AP84" s="13"/>
      <c r="AQ84" s="13"/>
      <c r="AR84" s="13"/>
      <c r="AS84" s="13"/>
      <c r="AT84" s="13"/>
    </row>
    <row r="85" spans="1:46" ht="52.8">
      <c r="A85" s="8" t="s">
        <v>247</v>
      </c>
      <c r="B85" s="8" t="s">
        <v>47</v>
      </c>
      <c r="C85" s="8" t="s">
        <v>731</v>
      </c>
      <c r="D85" s="8" t="s">
        <v>1510</v>
      </c>
      <c r="E85" s="8" t="s">
        <v>2140</v>
      </c>
      <c r="F85" s="123" t="s">
        <v>2151</v>
      </c>
      <c r="G85" s="118" t="s">
        <v>2153</v>
      </c>
      <c r="H85" s="118" t="str">
        <f ca="1">IFERROR(__xludf.DUMMYFUNCTION("VLOOKUP(G85, IMPORTRANGE(""https://docs.google.com/spreadsheets/d/14deopnvwcrKtEGCKuYXdUHJbeLDZlkiSSWWT0g7x2pM/edit#gid=849066331"", ""LU List Science (Filter)!A:B""), 2, FALSE)"),"Ways to Reduce Friction")</f>
        <v>Ways to Reduce Friction</v>
      </c>
      <c r="I85" s="10" t="str">
        <f t="shared" si="0"/>
        <v>LU005556.001</v>
      </c>
      <c r="J85" s="10" t="str">
        <f ca="1">IFERROR(__xludf.DUMMYFUNCTION("VLOOKUP(I85, IMPORTRANGE(""https://docs.google.com/spreadsheets/d/1yDAaXNsi4Mr5FtRQL4tbmSdIzhx6_m4wkOD7IG-k_eo/edit#gid=1336395716"", ""Science!M:N""), 2, FALSE)"),"List methods commonly used to decrease friction between surfaces.")</f>
        <v>List methods commonly used to decrease friction between surfaces.</v>
      </c>
      <c r="K85" s="10" t="str">
        <f t="shared" si="6"/>
        <v>LU005556.002</v>
      </c>
      <c r="L85" s="10" t="str">
        <f ca="1">IFERROR(__xludf.DUMMYFUNCTION("VLOOKUP(K85, IMPORTRANGE(""https://docs.google.com/spreadsheets/d/1yDAaXNsi4Mr5FtRQL4tbmSdIzhx6_m4wkOD7IG-k_eo/edit#gid=1336395716"", ""Science!M:N""), 2, FALSE)"),"Summarize how lubrication works at the microscopic level to reduce surface interlocking and consequently friction.")</f>
        <v>Summarize how lubrication works at the microscopic level to reduce surface interlocking and consequently friction.</v>
      </c>
      <c r="M85" s="10" t="str">
        <f t="shared" si="2"/>
        <v>LU005556.003</v>
      </c>
      <c r="N85" s="10" t="str">
        <f ca="1">IFERROR(__xludf.DUMMYFUNCTION("VLOOKUP(M85, IMPORTRANGE(""https://docs.google.com/spreadsheets/d/1yDAaXNsi4Mr5FtRQL4tbmSdIzhx6_m4wkOD7IG-k_eo/edit#gid=1336395716"", ""Science!M:N""), 2, FALSE)"),"Illustrate through examples or simple demonstrations how particular methods reduce friction in everyday scenarios.")</f>
        <v>Illustrate through examples or simple demonstrations how particular methods reduce friction in everyday scenarios.</v>
      </c>
      <c r="O85" s="10" t="str">
        <f t="shared" si="3"/>
        <v>LU005556.004</v>
      </c>
      <c r="P85" s="10" t="str">
        <f ca="1">IFERROR(__xludf.DUMMYFUNCTION("VLOOKUP(O85, IMPORTRANGE(""https://docs.google.com/spreadsheets/d/1yDAaXNsi4Mr5FtRQL4tbmSdIzhx6_m4wkOD7IG-k_eo/edit#gid=1336395716"", ""Science!M:N""), 2, FALSE)"),"Compare and contrast the effectiveness of different lubrication methods (e.g., oiling, greasing) in minimizing friction for specific scenarios.")</f>
        <v>Compare and contrast the effectiveness of different lubrication methods (e.g., oiling, greasing) in minimizing friction for specific scenarios.</v>
      </c>
      <c r="Q85" s="10" t="str">
        <f t="shared" si="4"/>
        <v>LU005556.005</v>
      </c>
      <c r="R85" s="10" t="str">
        <f ca="1">IFERROR(__xludf.DUMMYFUNCTION("VLOOKUP(Q85, IMPORTRANGE(""https://docs.google.com/spreadsheets/d/1yDAaXNsi4Mr5FtRQL4tbmSdIzhx6_m4wkOD7IG-k_eo/edit#gid=1336395716"", ""Science!M:N""), 2, FALSE)"),"#N/A")</f>
        <v>#N/A</v>
      </c>
      <c r="S85" s="10" t="str">
        <f t="shared" si="5"/>
        <v>LU005556.006</v>
      </c>
      <c r="T85" s="10" t="str">
        <f ca="1">IFERROR(__xludf.DUMMYFUNCTION("VLOOKUP(S85, IMPORTRANGE(""https://docs.google.com/spreadsheets/d/1yDAaXNsi4Mr5FtRQL4tbmSdIzhx6_m4wkOD7IG-k_eo/edit#gid=1336395716"", ""Science!M:N""), 2, FALSE)"),"Design a basic experiment to showcase the effect of lubrication in reducing friction")</f>
        <v>Design a basic experiment to showcase the effect of lubrication in reducing friction</v>
      </c>
      <c r="U85" s="116">
        <f ca="1">IFERROR(__xludf.DUMMYFUNCTION("ArrayFormula(VLOOKUP(G85, IMPORTRANGE(""https://docs.google.com/spreadsheets/d/1p7R4vtkWt5VOBim4ltsDG9KTzSjrtKXsMtQGXPHyND0/edit#gid=795171502"", ""'Filter 30_05_2024'!A1:M2000""), {2, 3, 4, 5,6,7,8,9,10,11,12,13}, 0))"),4)</f>
        <v>4</v>
      </c>
      <c r="V85" s="116">
        <f ca="1">IFERROR(__xludf.DUMMYFUNCTION("""COMPUTED_VALUE"""),6)</f>
        <v>6</v>
      </c>
      <c r="W85" s="116">
        <f ca="1">IFERROR(__xludf.DUMMYFUNCTION("""COMPUTED_VALUE"""),2)</f>
        <v>2</v>
      </c>
      <c r="X85" s="116">
        <f ca="1">IFERROR(__xludf.DUMMYFUNCTION("""COMPUTED_VALUE"""),12)</f>
        <v>12</v>
      </c>
      <c r="Y85" s="116">
        <f ca="1">IFERROR(__xludf.DUMMYFUNCTION("""COMPUTED_VALUE"""),4)</f>
        <v>4</v>
      </c>
      <c r="Z85" s="12">
        <f ca="1">IFERROR(__xludf.DUMMYFUNCTION("""COMPUTED_VALUE"""),3)</f>
        <v>3</v>
      </c>
      <c r="AA85" s="12">
        <f ca="1">IFERROR(__xludf.DUMMYFUNCTION("""COMPUTED_VALUE"""),1)</f>
        <v>1</v>
      </c>
      <c r="AB85" s="12">
        <f ca="1">IFERROR(__xludf.DUMMYFUNCTION("""COMPUTED_VALUE"""),8)</f>
        <v>8</v>
      </c>
      <c r="AC85" s="12"/>
      <c r="AD85" s="12"/>
      <c r="AE85" s="12"/>
      <c r="AF85" s="12"/>
      <c r="AG85" s="13" t="str">
        <f ca="1">IFERROR(__xludf.DUMMYFUNCTION("ArrayFormula(VLOOKUP(G85, IMPORTRANGE(""https://docs.google.com/spreadsheets/d/1Co934fvtviyaRiMsrIlT05Jaq7iiYq07aLvRr35KA48/edit?gid=173865642#gid=173865642"", ""'G8_Sci_Pri_LU'!G2:V2000""), {3, 4, 5, 6, 7, 8, 9, 10, 11, 12, 13, 14, 15, 16}, 0))"),"LU005555")</f>
        <v>LU005555</v>
      </c>
      <c r="AH85" s="13" t="str">
        <f ca="1">IFERROR(__xludf.DUMMYFUNCTION("""COMPUTED_VALUE"""),"Disadvantages of Friction")</f>
        <v>Disadvantages of Friction</v>
      </c>
      <c r="AI85" s="13" t="str">
        <f ca="1">IFERROR(__xludf.DUMMYFUNCTION("""COMPUTED_VALUE"""),"LU005552")</f>
        <v>LU005552</v>
      </c>
      <c r="AJ85" s="13" t="str">
        <f ca="1">IFERROR(__xludf.DUMMYFUNCTION("""COMPUTED_VALUE"""),"Factors affecting Friction")</f>
        <v>Factors affecting Friction</v>
      </c>
      <c r="AK85" s="13" t="str">
        <f ca="1">IFERROR(__xludf.DUMMYFUNCTION("""COMPUTED_VALUE"""),"LU005562")</f>
        <v>LU005562</v>
      </c>
      <c r="AL85" s="13" t="str">
        <f ca="1">IFERROR(__xludf.DUMMYFUNCTION("""COMPUTED_VALUE"""),"Interlocking between two surfaces as a cause of friction")</f>
        <v>Interlocking between two surfaces as a cause of friction</v>
      </c>
      <c r="AM85" s="13"/>
      <c r="AN85" s="13"/>
      <c r="AO85" s="13"/>
      <c r="AP85" s="13"/>
      <c r="AQ85" s="13"/>
      <c r="AR85" s="13"/>
      <c r="AS85" s="13"/>
      <c r="AT85" s="13"/>
    </row>
    <row r="86" spans="1:46" ht="39.6">
      <c r="A86" s="8" t="s">
        <v>247</v>
      </c>
      <c r="B86" s="8" t="s">
        <v>47</v>
      </c>
      <c r="C86" s="8" t="s">
        <v>731</v>
      </c>
      <c r="D86" s="8" t="s">
        <v>1510</v>
      </c>
      <c r="E86" s="8" t="s">
        <v>2140</v>
      </c>
      <c r="F86" s="8" t="s">
        <v>2154</v>
      </c>
      <c r="G86" s="8" t="s">
        <v>2155</v>
      </c>
      <c r="H86" s="8" t="str">
        <f ca="1">IFERROR(__xludf.DUMMYFUNCTION("VLOOKUP(G86, IMPORTRANGE(""https://docs.google.com/spreadsheets/d/14deopnvwcrKtEGCKuYXdUHJbeLDZlkiSSWWT0g7x2pM/edit#gid=849066331"", ""LU List Science (Filter)!A:B""), 2, FALSE)"),"Definition of fluid friction")</f>
        <v>Definition of fluid friction</v>
      </c>
      <c r="I86" s="10" t="str">
        <f t="shared" si="0"/>
        <v>LU005559.001</v>
      </c>
      <c r="J86" s="10" t="str">
        <f ca="1">IFERROR(__xludf.DUMMYFUNCTION("VLOOKUP(I86, IMPORTRANGE(""https://docs.google.com/spreadsheets/d/1yDAaXNsi4Mr5FtRQL4tbmSdIzhx6_m4wkOD7IG-k_eo/edit#gid=1336395716"", ""Science!M:N""), 2, FALSE)"),"List basic terms related to fluid friction like drag and air resistance. ")</f>
        <v xml:space="preserve">List basic terms related to fluid friction like drag and air resistance. </v>
      </c>
      <c r="K86" s="10" t="str">
        <f t="shared" si="6"/>
        <v>LU005559.002</v>
      </c>
      <c r="L86" s="10" t="str">
        <f ca="1">IFERROR(__xludf.DUMMYFUNCTION("VLOOKUP(K86, IMPORTRANGE(""https://docs.google.com/spreadsheets/d/1yDAaXNsi4Mr5FtRQL4tbmSdIzhx6_m4wkOD7IG-k_eo/edit#gid=1336395716"", ""Science!M:N""), 2, FALSE)"),"Describe what fluid friction is and explain how it affects objects moving through a fluid.")</f>
        <v>Describe what fluid friction is and explain how it affects objects moving through a fluid.</v>
      </c>
      <c r="M86" s="10" t="str">
        <f t="shared" si="2"/>
        <v>LU005559.003</v>
      </c>
      <c r="N86" s="10" t="str">
        <f ca="1">IFERROR(__xludf.DUMMYFUNCTION("VLOOKUP(M86, IMPORTRANGE(""https://docs.google.com/spreadsheets/d/1yDAaXNsi4Mr5FtRQL4tbmSdIzhx6_m4wkOD7IG-k_eo/edit#gid=1336395716"", ""Science!M:N""), 2, FALSE)"),"#N/A")</f>
        <v>#N/A</v>
      </c>
      <c r="O86" s="10" t="str">
        <f t="shared" si="3"/>
        <v>LU005559.004</v>
      </c>
      <c r="P86" s="10" t="str">
        <f ca="1">IFERROR(__xludf.DUMMYFUNCTION("VLOOKUP(O86, IMPORTRANGE(""https://docs.google.com/spreadsheets/d/1yDAaXNsi4Mr5FtRQL4tbmSdIzhx6_m4wkOD7IG-k_eo/edit#gid=1336395716"", ""Science!M:N""), 2, FALSE)"),"Compare and contrast fluid friction with other types of friction (like static and sliding friction) ")</f>
        <v xml:space="preserve">Compare and contrast fluid friction with other types of friction (like static and sliding friction) </v>
      </c>
      <c r="Q86" s="10" t="str">
        <f t="shared" si="4"/>
        <v>LU005559.005</v>
      </c>
      <c r="R86" s="10" t="str">
        <f ca="1">IFERROR(__xludf.DUMMYFUNCTION("VLOOKUP(Q86, IMPORTRANGE(""https://docs.google.com/spreadsheets/d/1yDAaXNsi4Mr5FtRQL4tbmSdIzhx6_m4wkOD7IG-k_eo/edit#gid=1336395716"", ""Science!M:N""), 2, FALSE)"),"#N/A")</f>
        <v>#N/A</v>
      </c>
      <c r="S86" s="10" t="str">
        <f t="shared" si="5"/>
        <v>LU005559.006</v>
      </c>
      <c r="T86" s="10" t="str">
        <f ca="1">IFERROR(__xludf.DUMMYFUNCTION("VLOOKUP(S86, IMPORTRANGE(""https://docs.google.com/spreadsheets/d/1yDAaXNsi4Mr5FtRQL4tbmSdIzhx6_m4wkOD7IG-k_eo/edit#gid=1336395716"", ""Science!M:N""), 2, FALSE)"),"#N/A")</f>
        <v>#N/A</v>
      </c>
      <c r="U86" s="116">
        <f ca="1">IFERROR(__xludf.DUMMYFUNCTION("ArrayFormula(VLOOKUP(G86, IMPORTRANGE(""https://docs.google.com/spreadsheets/d/1p7R4vtkWt5VOBim4ltsDG9KTzSjrtKXsMtQGXPHyND0/edit#gid=795171502"", ""'Filter 30_05_2024'!A1:M2000""), {2, 3, 4, 5,6,7,8,9,10,11,12,13}, 0))"),4)</f>
        <v>4</v>
      </c>
      <c r="V86" s="116">
        <f ca="1">IFERROR(__xludf.DUMMYFUNCTION("""COMPUTED_VALUE"""),6)</f>
        <v>6</v>
      </c>
      <c r="W86" s="116">
        <f ca="1">IFERROR(__xludf.DUMMYFUNCTION("""COMPUTED_VALUE"""),2)</f>
        <v>2</v>
      </c>
      <c r="X86" s="116">
        <f ca="1">IFERROR(__xludf.DUMMYFUNCTION("""COMPUTED_VALUE"""),12)</f>
        <v>12</v>
      </c>
      <c r="Y86" s="116">
        <f ca="1">IFERROR(__xludf.DUMMYFUNCTION("""COMPUTED_VALUE"""),4)</f>
        <v>4</v>
      </c>
      <c r="Z86" s="12">
        <f ca="1">IFERROR(__xludf.DUMMYFUNCTION("""COMPUTED_VALUE"""),3)</f>
        <v>3</v>
      </c>
      <c r="AA86" s="12">
        <f ca="1">IFERROR(__xludf.DUMMYFUNCTION("""COMPUTED_VALUE"""),1)</f>
        <v>1</v>
      </c>
      <c r="AB86" s="12">
        <f ca="1">IFERROR(__xludf.DUMMYFUNCTION("""COMPUTED_VALUE"""),8)</f>
        <v>8</v>
      </c>
      <c r="AC86" s="12"/>
      <c r="AD86" s="12"/>
      <c r="AE86" s="12"/>
      <c r="AF86" s="12"/>
      <c r="AG86" s="13" t="str">
        <f ca="1">IFERROR(__xludf.DUMMYFUNCTION("ArrayFormula(VLOOKUP(G86, IMPORTRANGE(""https://docs.google.com/spreadsheets/d/1Co934fvtviyaRiMsrIlT05Jaq7iiYq07aLvRr35KA48/edit?gid=173865642#gid=173865642"", ""'G8_Sci_Pri_LU'!G2:V2000""), {3, 4, 5, 6, 7, 8, 9, 10, 11, 12, 13, 14, 15, 16}, 0))"),"LU005551")</f>
        <v>LU005551</v>
      </c>
      <c r="AH86" s="13" t="str">
        <f ca="1">IFERROR(__xludf.DUMMYFUNCTION("""COMPUTED_VALUE"""),"Definition and direction of frictional force")</f>
        <v>Definition and direction of frictional force</v>
      </c>
      <c r="AI86" s="13"/>
      <c r="AJ86" s="13"/>
      <c r="AK86" s="13"/>
      <c r="AL86" s="13"/>
      <c r="AM86" s="13"/>
      <c r="AN86" s="13"/>
      <c r="AO86" s="13"/>
      <c r="AP86" s="13"/>
      <c r="AQ86" s="13"/>
      <c r="AR86" s="13"/>
      <c r="AS86" s="13"/>
      <c r="AT86" s="13"/>
    </row>
    <row r="87" spans="1:46" ht="52.8">
      <c r="A87" s="8" t="s">
        <v>247</v>
      </c>
      <c r="B87" s="8" t="s">
        <v>47</v>
      </c>
      <c r="C87" s="8" t="s">
        <v>731</v>
      </c>
      <c r="D87" s="8" t="s">
        <v>1510</v>
      </c>
      <c r="E87" s="8" t="s">
        <v>2140</v>
      </c>
      <c r="F87" s="8" t="s">
        <v>2154</v>
      </c>
      <c r="G87" s="8" t="s">
        <v>2156</v>
      </c>
      <c r="H87" s="8" t="str">
        <f ca="1">IFERROR(__xludf.DUMMYFUNCTION("VLOOKUP(G87, IMPORTRANGE(""https://docs.google.com/spreadsheets/d/14deopnvwcrKtEGCKuYXdUHJbeLDZlkiSSWWT0g7x2pM/edit#gid=849066331"", ""LU List Science (Filter)!A:B""), 2, FALSE)"),"Ways to reduce fluid friction")</f>
        <v>Ways to reduce fluid friction</v>
      </c>
      <c r="I87" s="10" t="str">
        <f t="shared" si="0"/>
        <v>LU005561.001</v>
      </c>
      <c r="J87" s="10" t="str">
        <f ca="1">IFERROR(__xludf.DUMMYFUNCTION("VLOOKUP(I87, IMPORTRANGE(""https://docs.google.com/spreadsheets/d/1yDAaXNsi4Mr5FtRQL4tbmSdIzhx6_m4wkOD7IG-k_eo/edit#gid=1336395716"", ""Science!M:N""), 2, FALSE)"),"List the common methods used to reduce fluid friction.")</f>
        <v>List the common methods used to reduce fluid friction.</v>
      </c>
      <c r="K87" s="10" t="str">
        <f t="shared" si="6"/>
        <v>LU005561.002</v>
      </c>
      <c r="L87" s="10" t="str">
        <f ca="1">IFERROR(__xludf.DUMMYFUNCTION("VLOOKUP(K87, IMPORTRANGE(""https://docs.google.com/spreadsheets/d/1yDAaXNsi4Mr5FtRQL4tbmSdIzhx6_m4wkOD7IG-k_eo/edit#gid=1336395716"", ""Science!M:N""), 2, FALSE)"),"Describe how a streamlined shape reduces fluid friction for both boats (in water) and airplanes (in air).")</f>
        <v>Describe how a streamlined shape reduces fluid friction for both boats (in water) and airplanes (in air).</v>
      </c>
      <c r="M87" s="10" t="str">
        <f t="shared" si="2"/>
        <v>LU005561.003</v>
      </c>
      <c r="N87" s="10" t="str">
        <f ca="1">IFERROR(__xludf.DUMMYFUNCTION("VLOOKUP(M87, IMPORTRANGE(""https://docs.google.com/spreadsheets/d/1yDAaXNsi4Mr5FtRQL4tbmSdIzhx6_m4wkOD7IG-k_eo/edit#gid=1336395716"", ""Science!M:N""), 2, FALSE)"),"Illustrate the difference in fluid friction by comparing streamlined shapes to non-streamlined shapes in the context of boats and airplanes.")</f>
        <v>Illustrate the difference in fluid friction by comparing streamlined shapes to non-streamlined shapes in the context of boats and airplanes.</v>
      </c>
      <c r="O87" s="10" t="str">
        <f t="shared" si="3"/>
        <v>LU005561.004</v>
      </c>
      <c r="P87" s="10" t="str">
        <f ca="1">IFERROR(__xludf.DUMMYFUNCTION("VLOOKUP(O87, IMPORTRANGE(""https://docs.google.com/spreadsheets/d/1yDAaXNsi4Mr5FtRQL4tbmSdIzhx6_m4wkOD7IG-k_eo/edit#gid=1336395716"", ""Science!M:N""), 2, FALSE)"),"#N/A")</f>
        <v>#N/A</v>
      </c>
      <c r="Q87" s="10" t="str">
        <f t="shared" si="4"/>
        <v>LU005561.005</v>
      </c>
      <c r="R87" s="10" t="str">
        <f ca="1">IFERROR(__xludf.DUMMYFUNCTION("VLOOKUP(Q87, IMPORTRANGE(""https://docs.google.com/spreadsheets/d/1yDAaXNsi4Mr5FtRQL4tbmSdIzhx6_m4wkOD7IG-k_eo/edit#gid=1336395716"", ""Science!M:N""), 2, FALSE)"),"#N/A")</f>
        <v>#N/A</v>
      </c>
      <c r="S87" s="10" t="str">
        <f t="shared" si="5"/>
        <v>LU005561.006</v>
      </c>
      <c r="T87" s="10" t="str">
        <f ca="1">IFERROR(__xludf.DUMMYFUNCTION("VLOOKUP(S87, IMPORTRANGE(""https://docs.google.com/spreadsheets/d/1yDAaXNsi4Mr5FtRQL4tbmSdIzhx6_m4wkOD7IG-k_eo/edit#gid=1336395716"", ""Science!M:N""), 2, FALSE)"),"#N/A")</f>
        <v>#N/A</v>
      </c>
      <c r="U87" s="116">
        <f ca="1">IFERROR(__xludf.DUMMYFUNCTION("ArrayFormula(VLOOKUP(G87, IMPORTRANGE(""https://docs.google.com/spreadsheets/d/1p7R4vtkWt5VOBim4ltsDG9KTzSjrtKXsMtQGXPHyND0/edit#gid=795171502"", ""'Filter 30_05_2024'!A1:M2000""), {2, 3, 4, 5,6,7,8,9,10,11,12,13}, 0))"),4)</f>
        <v>4</v>
      </c>
      <c r="V87" s="116">
        <f ca="1">IFERROR(__xludf.DUMMYFUNCTION("""COMPUTED_VALUE"""),6)</f>
        <v>6</v>
      </c>
      <c r="W87" s="116">
        <f ca="1">IFERROR(__xludf.DUMMYFUNCTION("""COMPUTED_VALUE"""),2)</f>
        <v>2</v>
      </c>
      <c r="X87" s="116">
        <f ca="1">IFERROR(__xludf.DUMMYFUNCTION("""COMPUTED_VALUE"""),12)</f>
        <v>12</v>
      </c>
      <c r="Y87" s="116">
        <f ca="1">IFERROR(__xludf.DUMMYFUNCTION("""COMPUTED_VALUE"""),4)</f>
        <v>4</v>
      </c>
      <c r="Z87" s="12">
        <f ca="1">IFERROR(__xludf.DUMMYFUNCTION("""COMPUTED_VALUE"""),3)</f>
        <v>3</v>
      </c>
      <c r="AA87" s="12">
        <f ca="1">IFERROR(__xludf.DUMMYFUNCTION("""COMPUTED_VALUE"""),1)</f>
        <v>1</v>
      </c>
      <c r="AB87" s="12">
        <f ca="1">IFERROR(__xludf.DUMMYFUNCTION("""COMPUTED_VALUE"""),8)</f>
        <v>8</v>
      </c>
      <c r="AC87" s="12"/>
      <c r="AD87" s="12"/>
      <c r="AE87" s="12"/>
      <c r="AF87" s="12"/>
      <c r="AG87" s="13" t="str">
        <f ca="1">IFERROR(__xludf.DUMMYFUNCTION("ArrayFormula(VLOOKUP(G87, IMPORTRANGE(""https://docs.google.com/spreadsheets/d/1Co934fvtviyaRiMsrIlT05Jaq7iiYq07aLvRr35KA48/edit?gid=173865642#gid=173865642"", ""'G8_Sci_Pri_LU'!G2:V2000""), {3, 4, 5, 6, 7, 8, 9, 10, 11, 12, 13, 14, 15, 16}, 0))"),"LU005559")</f>
        <v>LU005559</v>
      </c>
      <c r="AH87" s="13" t="str">
        <f ca="1">IFERROR(__xludf.DUMMYFUNCTION("""COMPUTED_VALUE"""),"Definition of fluid friction")</f>
        <v>Definition of fluid friction</v>
      </c>
      <c r="AI87" s="13" t="str">
        <f ca="1">IFERROR(__xludf.DUMMYFUNCTION("""COMPUTED_VALUE"""),"LU005551")</f>
        <v>LU005551</v>
      </c>
      <c r="AJ87" s="13" t="str">
        <f ca="1">IFERROR(__xludf.DUMMYFUNCTION("""COMPUTED_VALUE"""),"Definition and direction of frictional force")</f>
        <v>Definition and direction of frictional force</v>
      </c>
      <c r="AK87" s="13"/>
      <c r="AL87" s="13"/>
      <c r="AM87" s="13"/>
      <c r="AN87" s="13"/>
      <c r="AO87" s="13"/>
      <c r="AP87" s="13"/>
      <c r="AQ87" s="13"/>
      <c r="AR87" s="13"/>
      <c r="AS87" s="13"/>
      <c r="AT87" s="13"/>
    </row>
    <row r="88" spans="1:46" ht="52.8">
      <c r="A88" s="8" t="s">
        <v>247</v>
      </c>
      <c r="B88" s="8" t="s">
        <v>47</v>
      </c>
      <c r="C88" s="8" t="s">
        <v>731</v>
      </c>
      <c r="D88" s="8" t="s">
        <v>1510</v>
      </c>
      <c r="E88" s="8" t="s">
        <v>2157</v>
      </c>
      <c r="F88" s="8" t="s">
        <v>2158</v>
      </c>
      <c r="G88" s="8" t="s">
        <v>2159</v>
      </c>
      <c r="H88" s="8" t="str">
        <f ca="1">IFERROR(__xludf.DUMMYFUNCTION("VLOOKUP(G88, IMPORTRANGE(""https://docs.google.com/spreadsheets/d/14deopnvwcrKtEGCKuYXdUHJbeLDZlkiSSWWT0g7x2pM/edit#gid=849066331"", ""LU List Science (Filter)!A:B""), 2, FALSE)"),"Cause of generation of sound")</f>
        <v>Cause of generation of sound</v>
      </c>
      <c r="I88" s="10" t="str">
        <f t="shared" si="0"/>
        <v>LU005572.001</v>
      </c>
      <c r="J88" s="10" t="str">
        <f ca="1">IFERROR(__xludf.DUMMYFUNCTION("VLOOKUP(I88, IMPORTRANGE(""https://docs.google.com/spreadsheets/d/1yDAaXNsi4Mr5FtRQL4tbmSdIzhx6_m4wkOD7IG-k_eo/edit#gid=1336395716"", ""Science!M:N""), 2, FALSE)"),"Define vibration as to and fro motion with the help of everyday examples")</f>
        <v>Define vibration as to and fro motion with the help of everyday examples</v>
      </c>
      <c r="K88" s="10" t="str">
        <f t="shared" si="6"/>
        <v>LU005572.002</v>
      </c>
      <c r="L88" s="10" t="str">
        <f ca="1">IFERROR(__xludf.DUMMYFUNCTION("VLOOKUP(K88, IMPORTRANGE(""https://docs.google.com/spreadsheets/d/1yDAaXNsi4Mr5FtRQL4tbmSdIzhx6_m4wkOD7IG-k_eo/edit#gid=1336395716"", ""Science!M:N""), 2, FALSE)"),"Explain how vibrations are responsible for the generation of sound.")</f>
        <v>Explain how vibrations are responsible for the generation of sound.</v>
      </c>
      <c r="M88" s="10" t="str">
        <f t="shared" si="2"/>
        <v>LU005572.003</v>
      </c>
      <c r="N88" s="10" t="str">
        <f ca="1">IFERROR(__xludf.DUMMYFUNCTION("VLOOKUP(M88, IMPORTRANGE(""https://docs.google.com/spreadsheets/d/1yDAaXNsi4Mr5FtRQL4tbmSdIzhx6_m4wkOD7IG-k_eo/edit#gid=1336395716"", ""Science!M:N""), 2, FALSE)"),"Demonstrate the concept of sound production by conducting an experiment using various objects to show how vibrations create sound.")</f>
        <v>Demonstrate the concept of sound production by conducting an experiment using various objects to show how vibrations create sound.</v>
      </c>
      <c r="O88" s="10" t="str">
        <f t="shared" si="3"/>
        <v>LU005572.004</v>
      </c>
      <c r="P88" s="10" t="str">
        <f ca="1">IFERROR(__xludf.DUMMYFUNCTION("VLOOKUP(O88, IMPORTRANGE(""https://docs.google.com/spreadsheets/d/1yDAaXNsi4Mr5FtRQL4tbmSdIzhx6_m4wkOD7IG-k_eo/edit#gid=1336395716"", ""Science!M:N""), 2, FALSE)"),"Analyze different objects or materials to determine which ones can produce sound when they vibrate.")</f>
        <v>Analyze different objects or materials to determine which ones can produce sound when they vibrate.</v>
      </c>
      <c r="Q88" s="10" t="str">
        <f t="shared" si="4"/>
        <v>LU005572.005</v>
      </c>
      <c r="R88" s="10" t="str">
        <f ca="1">IFERROR(__xludf.DUMMYFUNCTION("VLOOKUP(Q88, IMPORTRANGE(""https://docs.google.com/spreadsheets/d/1yDAaXNsi4Mr5FtRQL4tbmSdIzhx6_m4wkOD7IG-k_eo/edit#gid=1336395716"", ""Science!M:N""), 2, FALSE)"),"#N/A")</f>
        <v>#N/A</v>
      </c>
      <c r="S88" s="10" t="str">
        <f t="shared" si="5"/>
        <v>LU005572.006</v>
      </c>
      <c r="T88" s="10" t="str">
        <f ca="1">IFERROR(__xludf.DUMMYFUNCTION("VLOOKUP(S88, IMPORTRANGE(""https://docs.google.com/spreadsheets/d/1yDAaXNsi4Mr5FtRQL4tbmSdIzhx6_m4wkOD7IG-k_eo/edit#gid=1336395716"", ""Science!M:N""), 2, FALSE)"),"#N/A")</f>
        <v>#N/A</v>
      </c>
      <c r="U88" s="116">
        <f ca="1">IFERROR(__xludf.DUMMYFUNCTION("ArrayFormula(VLOOKUP(G88, IMPORTRANGE(""https://docs.google.com/spreadsheets/d/1p7R4vtkWt5VOBim4ltsDG9KTzSjrtKXsMtQGXPHyND0/edit#gid=795171502"", ""'Filter 30_05_2024'!A1:M2000""), {2, 3, 4, 5,6,7,8,9,10,11,12,13}, 0))"),4)</f>
        <v>4</v>
      </c>
      <c r="V88" s="116">
        <f ca="1">IFERROR(__xludf.DUMMYFUNCTION("""COMPUTED_VALUE"""),6)</f>
        <v>6</v>
      </c>
      <c r="W88" s="116">
        <f ca="1">IFERROR(__xludf.DUMMYFUNCTION("""COMPUTED_VALUE"""),2)</f>
        <v>2</v>
      </c>
      <c r="X88" s="116">
        <f ca="1">IFERROR(__xludf.DUMMYFUNCTION("""COMPUTED_VALUE"""),12)</f>
        <v>12</v>
      </c>
      <c r="Y88" s="116">
        <f ca="1">IFERROR(__xludf.DUMMYFUNCTION("""COMPUTED_VALUE"""),4)</f>
        <v>4</v>
      </c>
      <c r="Z88" s="12">
        <f ca="1">IFERROR(__xludf.DUMMYFUNCTION("""COMPUTED_VALUE"""),3)</f>
        <v>3</v>
      </c>
      <c r="AA88" s="12">
        <f ca="1">IFERROR(__xludf.DUMMYFUNCTION("""COMPUTED_VALUE"""),1)</f>
        <v>1</v>
      </c>
      <c r="AB88" s="12">
        <f ca="1">IFERROR(__xludf.DUMMYFUNCTION("""COMPUTED_VALUE"""),8)</f>
        <v>8</v>
      </c>
      <c r="AC88" s="12"/>
      <c r="AD88" s="12"/>
      <c r="AE88" s="12"/>
      <c r="AF88" s="12"/>
      <c r="AG88" s="13" t="str">
        <f ca="1">IFERROR(__xludf.DUMMYFUNCTION("ArrayFormula(VLOOKUP(G88, IMPORTRANGE(""https://docs.google.com/spreadsheets/d/1Co934fvtviyaRiMsrIlT05Jaq7iiYq07aLvRr35KA48/edit?gid=173865642#gid=173865642"", ""'G8_Sci_Pri_LU'!G2:V2000""), {3, 4, 5, 6, 7, 8, 9, 10, 11, 12, 13, 14, 15, 16}, 0))"),"LU005191")</f>
        <v>LU005191</v>
      </c>
      <c r="AH88" s="13" t="str">
        <f ca="1">IFERROR(__xludf.DUMMYFUNCTION("""COMPUTED_VALUE"""),"Understanding the Basics of Vibratory Motion")</f>
        <v>Understanding the Basics of Vibratory Motion</v>
      </c>
      <c r="AI88" s="13"/>
      <c r="AJ88" s="13"/>
      <c r="AK88" s="13"/>
      <c r="AL88" s="13"/>
      <c r="AM88" s="13"/>
      <c r="AN88" s="13"/>
      <c r="AO88" s="13"/>
      <c r="AP88" s="13"/>
      <c r="AQ88" s="13"/>
      <c r="AR88" s="13"/>
      <c r="AS88" s="13"/>
      <c r="AT88" s="13"/>
    </row>
    <row r="89" spans="1:46" ht="52.8">
      <c r="A89" s="8" t="s">
        <v>247</v>
      </c>
      <c r="B89" s="8" t="s">
        <v>47</v>
      </c>
      <c r="C89" s="8" t="s">
        <v>731</v>
      </c>
      <c r="D89" s="8" t="s">
        <v>1510</v>
      </c>
      <c r="E89" s="8" t="s">
        <v>2157</v>
      </c>
      <c r="F89" s="8" t="s">
        <v>2158</v>
      </c>
      <c r="G89" s="8" t="s">
        <v>2160</v>
      </c>
      <c r="H89" s="8" t="str">
        <f ca="1">IFERROR(__xludf.DUMMYFUNCTION("VLOOKUP(G89, IMPORTRANGE(""https://docs.google.com/spreadsheets/d/14deopnvwcrKtEGCKuYXdUHJbeLDZlkiSSWWT0g7x2pM/edit#gid=849066331"", ""LU List Science (Filter)!A:B""), 2, FALSE)"),"Musical Instruments and their Vibrating Parts (string, wind, and percussion)")</f>
        <v>Musical Instruments and their Vibrating Parts (string, wind, and percussion)</v>
      </c>
      <c r="I89" s="10" t="str">
        <f t="shared" si="0"/>
        <v>LU005573.001</v>
      </c>
      <c r="J89" s="10" t="str">
        <f ca="1">IFERROR(__xludf.DUMMYFUNCTION("VLOOKUP(I89, IMPORTRANGE(""https://docs.google.com/spreadsheets/d/1yDAaXNsi4Mr5FtRQL4tbmSdIzhx6_m4wkOD7IG-k_eo/edit#gid=1336395716"", ""Science!M:N""), 2, FALSE)"),"Identify the main categories of musical instruments: string, wind, and percussion.")</f>
        <v>Identify the main categories of musical instruments: string, wind, and percussion.</v>
      </c>
      <c r="K89" s="10" t="str">
        <f t="shared" si="6"/>
        <v>LU005573.002</v>
      </c>
      <c r="L89" s="10" t="str">
        <f ca="1">IFERROR(__xludf.DUMMYFUNCTION("VLOOKUP(K89, IMPORTRANGE(""https://docs.google.com/spreadsheets/d/1yDAaXNsi4Mr5FtRQL4tbmSdIzhx6_m4wkOD7IG-k_eo/edit#gid=1336395716"", ""Science!M:N""), 2, FALSE)"),"Describe how string, wind, and percussion instruments produce sound through vibration.")</f>
        <v>Describe how string, wind, and percussion instruments produce sound through vibration.</v>
      </c>
      <c r="M89" s="10" t="str">
        <f t="shared" si="2"/>
        <v>LU005573.003</v>
      </c>
      <c r="N89" s="10" t="str">
        <f ca="1">IFERROR(__xludf.DUMMYFUNCTION("VLOOKUP(M89, IMPORTRANGE(""https://docs.google.com/spreadsheets/d/1yDAaXNsi4Mr5FtRQL4tbmSdIzhx6_m4wkOD7IG-k_eo/edit#gid=1336395716"", ""Science!M:N""), 2, FALSE)"),"Classify a given set of musical instruments into string, wind, or percussion based on their vibrating parts.")</f>
        <v>Classify a given set of musical instruments into string, wind, or percussion based on their vibrating parts.</v>
      </c>
      <c r="O89" s="10" t="str">
        <f t="shared" si="3"/>
        <v>LU005573.004</v>
      </c>
      <c r="P89" s="10" t="str">
        <f ca="1">IFERROR(__xludf.DUMMYFUNCTION("VLOOKUP(O89, IMPORTRANGE(""https://docs.google.com/spreadsheets/d/1yDAaXNsi4Mr5FtRQL4tbmSdIzhx6_m4wkOD7IG-k_eo/edit#gid=1336395716"", ""Science!M:N""), 2, FALSE)"),"Compare and contrast the sound production mechanisms of string, wind and percussion instruments. ")</f>
        <v xml:space="preserve">Compare and contrast the sound production mechanisms of string, wind and percussion instruments. </v>
      </c>
      <c r="Q89" s="10" t="str">
        <f t="shared" si="4"/>
        <v>LU005573.005</v>
      </c>
      <c r="R89" s="10" t="str">
        <f ca="1">IFERROR(__xludf.DUMMYFUNCTION("VLOOKUP(Q89, IMPORTRANGE(""https://docs.google.com/spreadsheets/d/1yDAaXNsi4Mr5FtRQL4tbmSdIzhx6_m4wkOD7IG-k_eo/edit#gid=1336395716"", ""Science!M:N""), 2, FALSE)"),"#N/A")</f>
        <v>#N/A</v>
      </c>
      <c r="S89" s="10" t="str">
        <f t="shared" si="5"/>
        <v>LU005573.006</v>
      </c>
      <c r="T89" s="10" t="str">
        <f ca="1">IFERROR(__xludf.DUMMYFUNCTION("VLOOKUP(S89, IMPORTRANGE(""https://docs.google.com/spreadsheets/d/1yDAaXNsi4Mr5FtRQL4tbmSdIzhx6_m4wkOD7IG-k_eo/edit#gid=1336395716"", ""Science!M:N""), 2, FALSE)"),"Conceptualize a new musical instrument by integrating principles from two existing categories (e.g., string and percussion) and predict its sound characteristics.")</f>
        <v>Conceptualize a new musical instrument by integrating principles from two existing categories (e.g., string and percussion) and predict its sound characteristics.</v>
      </c>
      <c r="U89" s="116">
        <f ca="1">IFERROR(__xludf.DUMMYFUNCTION("ArrayFormula(VLOOKUP(G89, IMPORTRANGE(""https://docs.google.com/spreadsheets/d/1p7R4vtkWt5VOBim4ltsDG9KTzSjrtKXsMtQGXPHyND0/edit#gid=795171502"", ""'Filter 30_05_2024'!A1:M2000""), {2, 3, 4, 5,6,7,8,9,10,11,12,13}, 0))"),4)</f>
        <v>4</v>
      </c>
      <c r="V89" s="116">
        <f ca="1">IFERROR(__xludf.DUMMYFUNCTION("""COMPUTED_VALUE"""),6)</f>
        <v>6</v>
      </c>
      <c r="W89" s="116">
        <f ca="1">IFERROR(__xludf.DUMMYFUNCTION("""COMPUTED_VALUE"""),2)</f>
        <v>2</v>
      </c>
      <c r="X89" s="116">
        <f ca="1">IFERROR(__xludf.DUMMYFUNCTION("""COMPUTED_VALUE"""),12)</f>
        <v>12</v>
      </c>
      <c r="Y89" s="116">
        <f ca="1">IFERROR(__xludf.DUMMYFUNCTION("""COMPUTED_VALUE"""),5)</f>
        <v>5</v>
      </c>
      <c r="Z89" s="12">
        <f ca="1">IFERROR(__xludf.DUMMYFUNCTION("""COMPUTED_VALUE"""),3)</f>
        <v>3</v>
      </c>
      <c r="AA89" s="12">
        <f ca="1">IFERROR(__xludf.DUMMYFUNCTION("""COMPUTED_VALUE"""),1)</f>
        <v>1</v>
      </c>
      <c r="AB89" s="12">
        <f ca="1">IFERROR(__xludf.DUMMYFUNCTION("""COMPUTED_VALUE"""),9)</f>
        <v>9</v>
      </c>
      <c r="AC89" s="12"/>
      <c r="AD89" s="12"/>
      <c r="AE89" s="12"/>
      <c r="AF89" s="12"/>
      <c r="AG89" s="13" t="str">
        <f ca="1">IFERROR(__xludf.DUMMYFUNCTION("ArrayFormula(VLOOKUP(G89, IMPORTRANGE(""https://docs.google.com/spreadsheets/d/1Co934fvtviyaRiMsrIlT05Jaq7iiYq07aLvRr35KA48/edit?gid=173865642#gid=173865642"", ""'G8_Sci_Pri_LU'!G2:V2000""), {3, 4, 5, 6, 7, 8, 9, 10, 11, 12, 13, 14, 15, 16}, 0))"),"LU005572")</f>
        <v>LU005572</v>
      </c>
      <c r="AH89" s="13" t="str">
        <f ca="1">IFERROR(__xludf.DUMMYFUNCTION("""COMPUTED_VALUE"""),"Cause of generation of sound")</f>
        <v>Cause of generation of sound</v>
      </c>
      <c r="AI89" s="13" t="str">
        <f ca="1">IFERROR(__xludf.DUMMYFUNCTION("""COMPUTED_VALUE"""),"LU005191")</f>
        <v>LU005191</v>
      </c>
      <c r="AJ89" s="13" t="str">
        <f ca="1">IFERROR(__xludf.DUMMYFUNCTION("""COMPUTED_VALUE"""),"Understanding the Basics of Vibratory Motion")</f>
        <v>Understanding the Basics of Vibratory Motion</v>
      </c>
      <c r="AK89" s="13"/>
      <c r="AL89" s="13"/>
      <c r="AM89" s="13"/>
      <c r="AN89" s="13"/>
      <c r="AO89" s="13"/>
      <c r="AP89" s="13"/>
      <c r="AQ89" s="13"/>
      <c r="AR89" s="13"/>
      <c r="AS89" s="13"/>
      <c r="AT89" s="13"/>
    </row>
    <row r="90" spans="1:46" ht="52.8">
      <c r="A90" s="8" t="s">
        <v>247</v>
      </c>
      <c r="B90" s="8" t="s">
        <v>47</v>
      </c>
      <c r="C90" s="8" t="s">
        <v>731</v>
      </c>
      <c r="D90" s="8" t="s">
        <v>1510</v>
      </c>
      <c r="E90" s="8" t="s">
        <v>2157</v>
      </c>
      <c r="F90" s="8" t="s">
        <v>2161</v>
      </c>
      <c r="G90" s="8" t="s">
        <v>2162</v>
      </c>
      <c r="H90" s="8" t="str">
        <f ca="1">IFERROR(__xludf.DUMMYFUNCTION("VLOOKUP(G90, IMPORTRANGE(""https://docs.google.com/spreadsheets/d/14deopnvwcrKtEGCKuYXdUHJbeLDZlkiSSWWT0g7x2pM/edit#gid=849066331"", ""LU List Science (Filter)!A:B""), 2, FALSE)"),"Mechanism of production of sound in humans")</f>
        <v>Mechanism of production of sound in humans</v>
      </c>
      <c r="I90" s="10" t="str">
        <f t="shared" si="0"/>
        <v>LU005574.001</v>
      </c>
      <c r="J90" s="10" t="str">
        <f ca="1">IFERROR(__xludf.DUMMYFUNCTION("VLOOKUP(I90, IMPORTRANGE(""https://docs.google.com/spreadsheets/d/1yDAaXNsi4Mr5FtRQL4tbmSdIzhx6_m4wkOD7IG-k_eo/edit#gid=1336395716"", ""Science!M:N""), 2, FALSE)"),"Identify location of the larynx and vocal cords in the human body.")</f>
        <v>Identify location of the larynx and vocal cords in the human body.</v>
      </c>
      <c r="K90" s="10" t="str">
        <f t="shared" si="6"/>
        <v>LU005574.002</v>
      </c>
      <c r="L90" s="10" t="str">
        <f ca="1">IFERROR(__xludf.DUMMYFUNCTION("VLOOKUP(K90, IMPORTRANGE(""https://docs.google.com/spreadsheets/d/1yDAaXNsi4Mr5FtRQL4tbmSdIzhx6_m4wkOD7IG-k_eo/edit#gid=1336395716"", ""Science!M:N""), 2, FALSE)"),"Explain how the larynx, commonly known as the voice box, is involved in the production of sound in humans.")</f>
        <v>Explain how the larynx, commonly known as the voice box, is involved in the production of sound in humans.</v>
      </c>
      <c r="M90" s="10" t="str">
        <f t="shared" si="2"/>
        <v>LU005574.003</v>
      </c>
      <c r="N90" s="10" t="str">
        <f ca="1">IFERROR(__xludf.DUMMYFUNCTION("VLOOKUP(M90, IMPORTRANGE(""https://docs.google.com/spreadsheets/d/1yDAaXNsi4Mr5FtRQL4tbmSdIzhx6_m4wkOD7IG-k_eo/edit#gid=1336395716"", ""Science!M:N""), 2, FALSE)"),"Demonstrate an understanding of how the tension in vocal cords can be adjusted to produce different pitches of sound.")</f>
        <v>Demonstrate an understanding of how the tension in vocal cords can be adjusted to produce different pitches of sound.</v>
      </c>
      <c r="O90" s="10" t="str">
        <f t="shared" si="3"/>
        <v>LU005574.004</v>
      </c>
      <c r="P90" s="10" t="str">
        <f ca="1">IFERROR(__xludf.DUMMYFUNCTION("VLOOKUP(O90, IMPORTRANGE(""https://docs.google.com/spreadsheets/d/1yDAaXNsi4Mr5FtRQL4tbmSdIzhx6_m4wkOD7IG-k_eo/edit#gid=1336395716"", ""Science!M:N""), 2, FALSE)"),"#N/A")</f>
        <v>#N/A</v>
      </c>
      <c r="Q90" s="10" t="str">
        <f t="shared" si="4"/>
        <v>LU005574.005</v>
      </c>
      <c r="R90" s="10" t="str">
        <f ca="1">IFERROR(__xludf.DUMMYFUNCTION("VLOOKUP(Q90, IMPORTRANGE(""https://docs.google.com/spreadsheets/d/1yDAaXNsi4Mr5FtRQL4tbmSdIzhx6_m4wkOD7IG-k_eo/edit#gid=1336395716"", ""Science!M:N""), 2, FALSE)"),"Evaluate the importance of proper care and maintenance of the vocal cords for individuals whose professions depend heavily on vocal communication, such as singers or public speakers.")</f>
        <v>Evaluate the importance of proper care and maintenance of the vocal cords for individuals whose professions depend heavily on vocal communication, such as singers or public speakers.</v>
      </c>
      <c r="S90" s="10" t="str">
        <f t="shared" si="5"/>
        <v>LU005574.006</v>
      </c>
      <c r="T90" s="10" t="str">
        <f ca="1">IFERROR(__xludf.DUMMYFUNCTION("VLOOKUP(S90, IMPORTRANGE(""https://docs.google.com/spreadsheets/d/1yDAaXNsi4Mr5FtRQL4tbmSdIzhx6_m4wkOD7IG-k_eo/edit#gid=1336395716"", ""Science!M:N""), 2, FALSE)"),"#N/A")</f>
        <v>#N/A</v>
      </c>
      <c r="U90" s="116">
        <f ca="1">IFERROR(__xludf.DUMMYFUNCTION("ArrayFormula(VLOOKUP(G90, IMPORTRANGE(""https://docs.google.com/spreadsheets/d/1p7R4vtkWt5VOBim4ltsDG9KTzSjrtKXsMtQGXPHyND0/edit#gid=795171502"", ""'Filter 30_05_2024'!A1:M2000""), {2, 3, 4, 5,6,7,8,9,10,11,12,13}, 0))"),4)</f>
        <v>4</v>
      </c>
      <c r="V90" s="116">
        <f ca="1">IFERROR(__xludf.DUMMYFUNCTION("""COMPUTED_VALUE"""),6)</f>
        <v>6</v>
      </c>
      <c r="W90" s="116">
        <f ca="1">IFERROR(__xludf.DUMMYFUNCTION("""COMPUTED_VALUE"""),2)</f>
        <v>2</v>
      </c>
      <c r="X90" s="116">
        <f ca="1">IFERROR(__xludf.DUMMYFUNCTION("""COMPUTED_VALUE"""),12)</f>
        <v>12</v>
      </c>
      <c r="Y90" s="116">
        <f ca="1">IFERROR(__xludf.DUMMYFUNCTION("""COMPUTED_VALUE"""),4)</f>
        <v>4</v>
      </c>
      <c r="Z90" s="12">
        <f ca="1">IFERROR(__xludf.DUMMYFUNCTION("""COMPUTED_VALUE"""),3)</f>
        <v>3</v>
      </c>
      <c r="AA90" s="12">
        <f ca="1">IFERROR(__xludf.DUMMYFUNCTION("""COMPUTED_VALUE"""),1)</f>
        <v>1</v>
      </c>
      <c r="AB90" s="12">
        <f ca="1">IFERROR(__xludf.DUMMYFUNCTION("""COMPUTED_VALUE"""),8)</f>
        <v>8</v>
      </c>
      <c r="AC90" s="12"/>
      <c r="AD90" s="12"/>
      <c r="AE90" s="12"/>
      <c r="AF90" s="12"/>
      <c r="AG90" s="13" t="str">
        <f ca="1">IFERROR(__xludf.DUMMYFUNCTION("ArrayFormula(VLOOKUP(G90, IMPORTRANGE(""https://docs.google.com/spreadsheets/d/1Co934fvtviyaRiMsrIlT05Jaq7iiYq07aLvRr35KA48/edit?gid=173865642#gid=173865642"", ""'G8_Sci_Pri_LU'!G2:V2000""), {3, 4, 5, 6, 7, 8, 9, 10, 11, 12, 13, 14, 15, 16}, 0))"),"LU005572")</f>
        <v>LU005572</v>
      </c>
      <c r="AH90" s="13" t="str">
        <f ca="1">IFERROR(__xludf.DUMMYFUNCTION("""COMPUTED_VALUE"""),"Cause of generation of sound")</f>
        <v>Cause of generation of sound</v>
      </c>
      <c r="AI90" s="13"/>
      <c r="AJ90" s="13"/>
      <c r="AK90" s="13"/>
      <c r="AL90" s="13"/>
      <c r="AM90" s="13"/>
      <c r="AN90" s="13"/>
      <c r="AO90" s="13"/>
      <c r="AP90" s="13"/>
      <c r="AQ90" s="13"/>
      <c r="AR90" s="13"/>
      <c r="AS90" s="13"/>
      <c r="AT90" s="13"/>
    </row>
    <row r="91" spans="1:46" ht="64.5" customHeight="1">
      <c r="A91" s="8" t="s">
        <v>247</v>
      </c>
      <c r="B91" s="8" t="s">
        <v>47</v>
      </c>
      <c r="C91" s="8" t="s">
        <v>731</v>
      </c>
      <c r="D91" s="8" t="s">
        <v>1510</v>
      </c>
      <c r="E91" s="8" t="s">
        <v>2157</v>
      </c>
      <c r="F91" s="8" t="s">
        <v>2163</v>
      </c>
      <c r="G91" s="8" t="s">
        <v>2164</v>
      </c>
      <c r="H91" s="8" t="str">
        <f ca="1">IFERROR(__xludf.DUMMYFUNCTION("VLOOKUP(G91, IMPORTRANGE(""https://docs.google.com/spreadsheets/d/14deopnvwcrKtEGCKuYXdUHJbeLDZlkiSSWWT0g7x2pM/edit#gid=849066331"", ""LU List Science (Filter)!A:B""), 2, FALSE)"),"Propagation of sound through different mediums")</f>
        <v>Propagation of sound through different mediums</v>
      </c>
      <c r="I91" s="10" t="str">
        <f t="shared" si="0"/>
        <v>LU005575.001</v>
      </c>
      <c r="J91" s="10" t="str">
        <f ca="1">IFERROR(__xludf.DUMMYFUNCTION("VLOOKUP(I91, IMPORTRANGE(""https://docs.google.com/spreadsheets/d/1yDAaXNsi4Mr5FtRQL4tbmSdIzhx6_m4wkOD7IG-k_eo/edit#gid=1336395716"", ""Science!M:N""), 2, FALSE)"),"Define sound propagation and list different mediums through which sound can travel.")</f>
        <v>Define sound propagation and list different mediums through which sound can travel.</v>
      </c>
      <c r="K91" s="10" t="str">
        <f t="shared" si="6"/>
        <v>LU005575.002</v>
      </c>
      <c r="L91" s="10" t="str">
        <f ca="1">IFERROR(__xludf.DUMMYFUNCTION("VLOOKUP(K91, IMPORTRANGE(""https://docs.google.com/spreadsheets/d/1yDAaXNsi4Mr5FtRQL4tbmSdIzhx6_m4wkOD7IG-k_eo/edit#gid=1336395716"", ""Science!M:N""), 2, FALSE)"),"Describe how sound propagate differently through various mediums such as solids, liquids, and gases.")</f>
        <v>Describe how sound propagate differently through various mediums such as solids, liquids, and gases.</v>
      </c>
      <c r="M91" s="10" t="str">
        <f t="shared" si="2"/>
        <v>LU005575.003</v>
      </c>
      <c r="N91" s="10" t="str">
        <f ca="1">IFERROR(__xludf.DUMMYFUNCTION("VLOOKUP(M91, IMPORTRANGE(""https://docs.google.com/spreadsheets/d/1yDAaXNsi4Mr5FtRQL4tbmSdIzhx6_m4wkOD7IG-k_eo/edit#gid=1336395716"", ""Science!M:N""), 2, FALSE)"),"Demonstrate how sound travels through different mediums using simple classroom experiments ")</f>
        <v xml:space="preserve">Demonstrate how sound travels through different mediums using simple classroom experiments </v>
      </c>
      <c r="O91" s="10" t="str">
        <f t="shared" si="3"/>
        <v>LU005575.004</v>
      </c>
      <c r="P91" s="10" t="str">
        <f ca="1">IFERROR(__xludf.DUMMYFUNCTION("VLOOKUP(O91, IMPORTRANGE(""https://docs.google.com/spreadsheets/d/1yDAaXNsi4Mr5FtRQL4tbmSdIzhx6_m4wkOD7IG-k_eo/edit#gid=1336395716"", ""Science!M:N""), 2, FALSE)"),"Compare and contrast the speed and clarity of sound propagation in solids, liquids, and gase")</f>
        <v>Compare and contrast the speed and clarity of sound propagation in solids, liquids, and gase</v>
      </c>
      <c r="Q91" s="10" t="str">
        <f t="shared" si="4"/>
        <v>LU005575.005</v>
      </c>
      <c r="R91" s="10" t="str">
        <f ca="1">IFERROR(__xludf.DUMMYFUNCTION("VLOOKUP(Q91, IMPORTRANGE(""https://docs.google.com/spreadsheets/d/1yDAaXNsi4Mr5FtRQL4tbmSdIzhx6_m4wkOD7IG-k_eo/edit#gid=1336395716"", ""Science!M:N""), 2, FALSE)"),"Assess the effectiveness of different mediums in transmitting sound under various conditions and predict which medium would be best for specific real-life applications")</f>
        <v>Assess the effectiveness of different mediums in transmitting sound under various conditions and predict which medium would be best for specific real-life applications</v>
      </c>
      <c r="S91" s="10" t="str">
        <f t="shared" si="5"/>
        <v>LU005575.006</v>
      </c>
      <c r="T91" s="10" t="str">
        <f ca="1">IFERROR(__xludf.DUMMYFUNCTION("VLOOKUP(S91, IMPORTRANGE(""https://docs.google.com/spreadsheets/d/1yDAaXNsi4Mr5FtRQL4tbmSdIzhx6_m4wkOD7IG-k_eo/edit#gid=1336395716"", ""Science!M:N""), 2, FALSE)"),"Design an experiment to demonstrate the impact of a vacuum on sound propagation.")</f>
        <v>Design an experiment to demonstrate the impact of a vacuum on sound propagation.</v>
      </c>
      <c r="U91" s="116">
        <f ca="1">IFERROR(__xludf.DUMMYFUNCTION("ArrayFormula(VLOOKUP(G91, IMPORTRANGE(""https://docs.google.com/spreadsheets/d/1p7R4vtkWt5VOBim4ltsDG9KTzSjrtKXsMtQGXPHyND0/edit#gid=795171502"", ""'Filter 30_05_2024'!A1:M2000""), {2, 3, 4, 5,6,7,8,9,10,11,12,13}, 0))"),4)</f>
        <v>4</v>
      </c>
      <c r="V91" s="116">
        <f ca="1">IFERROR(__xludf.DUMMYFUNCTION("""COMPUTED_VALUE"""),6)</f>
        <v>6</v>
      </c>
      <c r="W91" s="116">
        <f ca="1">IFERROR(__xludf.DUMMYFUNCTION("""COMPUTED_VALUE"""),2)</f>
        <v>2</v>
      </c>
      <c r="X91" s="116">
        <f ca="1">IFERROR(__xludf.DUMMYFUNCTION("""COMPUTED_VALUE"""),12)</f>
        <v>12</v>
      </c>
      <c r="Y91" s="116">
        <f ca="1">IFERROR(__xludf.DUMMYFUNCTION("""COMPUTED_VALUE"""),4)</f>
        <v>4</v>
      </c>
      <c r="Z91" s="12">
        <f ca="1">IFERROR(__xludf.DUMMYFUNCTION("""COMPUTED_VALUE"""),3)</f>
        <v>3</v>
      </c>
      <c r="AA91" s="12">
        <f ca="1">IFERROR(__xludf.DUMMYFUNCTION("""COMPUTED_VALUE"""),1)</f>
        <v>1</v>
      </c>
      <c r="AB91" s="12">
        <f ca="1">IFERROR(__xludf.DUMMYFUNCTION("""COMPUTED_VALUE"""),8)</f>
        <v>8</v>
      </c>
      <c r="AC91" s="12"/>
      <c r="AD91" s="12"/>
      <c r="AE91" s="12"/>
      <c r="AF91" s="12"/>
      <c r="AG91" s="13" t="str">
        <f ca="1">IFERROR(__xludf.DUMMYFUNCTION("ArrayFormula(VLOOKUP(G91, IMPORTRANGE(""https://docs.google.com/spreadsheets/d/1Co934fvtviyaRiMsrIlT05Jaq7iiYq07aLvRr35KA48/edit?gid=173865642#gid=173865642"", ""'G8_Sci_Pri_LU'!G2:V2000""), {3, 4, 5, 6, 7, 8, 9, 10, 11, 12, 13, 14, 15, 16}, 0))"),"LU005572")</f>
        <v>LU005572</v>
      </c>
      <c r="AH91" s="13" t="str">
        <f ca="1">IFERROR(__xludf.DUMMYFUNCTION("""COMPUTED_VALUE"""),"Cause of generation of sound")</f>
        <v>Cause of generation of sound</v>
      </c>
      <c r="AI91" s="13" t="str">
        <f ca="1">IFERROR(__xludf.DUMMYFUNCTION("""COMPUTED_VALUE"""),"LU005312")</f>
        <v>LU005312</v>
      </c>
      <c r="AJ91" s="13" t="str">
        <f ca="1">IFERROR(__xludf.DUMMYFUNCTION("""COMPUTED_VALUE"""),"Comparion of Particle Arrangements in the Three State of Matter")</f>
        <v>Comparion of Particle Arrangements in the Three State of Matter</v>
      </c>
      <c r="AK91" s="13"/>
      <c r="AL91" s="13"/>
      <c r="AM91" s="13"/>
      <c r="AN91" s="13"/>
      <c r="AO91" s="13"/>
      <c r="AP91" s="13"/>
      <c r="AQ91" s="13"/>
      <c r="AR91" s="13"/>
      <c r="AS91" s="13"/>
      <c r="AT91" s="13"/>
    </row>
    <row r="92" spans="1:46" ht="52.8">
      <c r="A92" s="8" t="s">
        <v>247</v>
      </c>
      <c r="B92" s="8" t="s">
        <v>47</v>
      </c>
      <c r="C92" s="8" t="s">
        <v>731</v>
      </c>
      <c r="D92" s="8" t="s">
        <v>1510</v>
      </c>
      <c r="E92" s="8" t="s">
        <v>2157</v>
      </c>
      <c r="F92" s="8" t="s">
        <v>2165</v>
      </c>
      <c r="G92" s="8" t="s">
        <v>2166</v>
      </c>
      <c r="H92" s="8" t="str">
        <f ca="1">IFERROR(__xludf.DUMMYFUNCTION("VLOOKUP(G92, IMPORTRANGE(""https://docs.google.com/spreadsheets/d/14deopnvwcrKtEGCKuYXdUHJbeLDZlkiSSWWT0g7x2pM/edit#gid=849066331"", ""LU List Science (Filter)!A:B""), 2, FALSE)"),"Function of the Eardrum in Hearing")</f>
        <v>Function of the Eardrum in Hearing</v>
      </c>
      <c r="I92" s="10" t="str">
        <f t="shared" si="0"/>
        <v>LU005576.001</v>
      </c>
      <c r="J92" s="10" t="str">
        <f ca="1">IFERROR(__xludf.DUMMYFUNCTION("VLOOKUP(I92, IMPORTRANGE(""https://docs.google.com/spreadsheets/d/1yDAaXNsi4Mr5FtRQL4tbmSdIzhx6_m4wkOD7IG-k_eo/edit#gid=1336395716"", ""Science!M:N""), 2, FALSE)"),"Identify the location and name of the eardrum in the auditory system.")</f>
        <v>Identify the location and name of the eardrum in the auditory system.</v>
      </c>
      <c r="K92" s="10" t="str">
        <f t="shared" si="6"/>
        <v>LU005576.002</v>
      </c>
      <c r="L92" s="10" t="str">
        <f ca="1">IFERROR(__xludf.DUMMYFUNCTION("VLOOKUP(K92, IMPORTRANGE(""https://docs.google.com/spreadsheets/d/1yDAaXNsi4Mr5FtRQL4tbmSdIzhx6_m4wkOD7IG-k_eo/edit#gid=1336395716"", ""Science!M:N""), 2, FALSE)"),"Explain the basic structure of the eardrum and its role in capturing sound vibrations.")</f>
        <v>Explain the basic structure of the eardrum and its role in capturing sound vibrations.</v>
      </c>
      <c r="M92" s="10" t="str">
        <f t="shared" si="2"/>
        <v>LU005576.003</v>
      </c>
      <c r="N92" s="10" t="str">
        <f ca="1">IFERROR(__xludf.DUMMYFUNCTION("VLOOKUP(M92, IMPORTRANGE(""https://docs.google.com/spreadsheets/d/1yDAaXNsi4Mr5FtRQL4tbmSdIzhx6_m4wkOD7IG-k_eo/edit#gid=1336395716"", ""Science!M:N""), 2, FALSE)"),"Demonstrate how the eardrum vibrates in response to sound vibrations and transfers these vibrations to the middle ear. ")</f>
        <v xml:space="preserve">Demonstrate how the eardrum vibrates in response to sound vibrations and transfers these vibrations to the middle ear. </v>
      </c>
      <c r="O92" s="10" t="str">
        <f t="shared" si="3"/>
        <v>LU005576.004</v>
      </c>
      <c r="P92" s="10" t="str">
        <f ca="1">IFERROR(__xludf.DUMMYFUNCTION("VLOOKUP(O92, IMPORTRANGE(""https://docs.google.com/spreadsheets/d/1yDAaXNsi4Mr5FtRQL4tbmSdIzhx6_m4wkOD7IG-k_eo/edit#gid=1336395716"", ""Science!M:N""), 2, FALSE)"),"Analyze the significance of the eardrum's structure, such as its thin membrane and cone-like shape, in facilitating the transmission of sound energy.")</f>
        <v>Analyze the significance of the eardrum's structure, such as its thin membrane and cone-like shape, in facilitating the transmission of sound energy.</v>
      </c>
      <c r="Q92" s="10" t="str">
        <f t="shared" si="4"/>
        <v>LU005576.005</v>
      </c>
      <c r="R92" s="10" t="str">
        <f ca="1">IFERROR(__xludf.DUMMYFUNCTION("VLOOKUP(Q92, IMPORTRANGE(""https://docs.google.com/spreadsheets/d/1yDAaXNsi4Mr5FtRQL4tbmSdIzhx6_m4wkOD7IG-k_eo/edit#gid=1336395716"", ""Science!M:N""), 2, FALSE)"),"#N/A")</f>
        <v>#N/A</v>
      </c>
      <c r="S92" s="10" t="str">
        <f t="shared" si="5"/>
        <v>LU005576.006</v>
      </c>
      <c r="T92" s="10" t="str">
        <f ca="1">IFERROR(__xludf.DUMMYFUNCTION("VLOOKUP(S92, IMPORTRANGE(""https://docs.google.com/spreadsheets/d/1yDAaXNsi4Mr5FtRQL4tbmSdIzhx6_m4wkOD7IG-k_eo/edit#gid=1336395716"", ""Science!M:N""), 2, FALSE)"),"#N/A")</f>
        <v>#N/A</v>
      </c>
      <c r="U92" s="116">
        <f ca="1">IFERROR(__xludf.DUMMYFUNCTION("ArrayFormula(VLOOKUP(G92, IMPORTRANGE(""https://docs.google.com/spreadsheets/d/1p7R4vtkWt5VOBim4ltsDG9KTzSjrtKXsMtQGXPHyND0/edit#gid=795171502"", ""'Filter 30_05_2024'!A1:M2000""), {2, 3, 4, 5,6,7,8,9,10,11,12,13}, 0))"),4)</f>
        <v>4</v>
      </c>
      <c r="V92" s="116">
        <f ca="1">IFERROR(__xludf.DUMMYFUNCTION("""COMPUTED_VALUE"""),6)</f>
        <v>6</v>
      </c>
      <c r="W92" s="116">
        <f ca="1">IFERROR(__xludf.DUMMYFUNCTION("""COMPUTED_VALUE"""),2)</f>
        <v>2</v>
      </c>
      <c r="X92" s="116">
        <f ca="1">IFERROR(__xludf.DUMMYFUNCTION("""COMPUTED_VALUE"""),12)</f>
        <v>12</v>
      </c>
      <c r="Y92" s="116">
        <f ca="1">IFERROR(__xludf.DUMMYFUNCTION("""COMPUTED_VALUE"""),4)</f>
        <v>4</v>
      </c>
      <c r="Z92" s="12">
        <f ca="1">IFERROR(__xludf.DUMMYFUNCTION("""COMPUTED_VALUE"""),3)</f>
        <v>3</v>
      </c>
      <c r="AA92" s="12">
        <f ca="1">IFERROR(__xludf.DUMMYFUNCTION("""COMPUTED_VALUE"""),1)</f>
        <v>1</v>
      </c>
      <c r="AB92" s="12">
        <f ca="1">IFERROR(__xludf.DUMMYFUNCTION("""COMPUTED_VALUE"""),8)</f>
        <v>8</v>
      </c>
      <c r="AC92" s="12"/>
      <c r="AD92" s="12"/>
      <c r="AE92" s="12"/>
      <c r="AF92" s="12"/>
      <c r="AG92" s="13" t="str">
        <f ca="1">IFERROR(__xludf.DUMMYFUNCTION("ArrayFormula(VLOOKUP(G92, IMPORTRANGE(""https://docs.google.com/spreadsheets/d/1Co934fvtviyaRiMsrIlT05Jaq7iiYq07aLvRr35KA48/edit?gid=173865642#gid=173865642"", ""'G8_Sci_Pri_LU'!G2:V2000""), {3, 4, 5, 6, 7, 8, 9, 10, 11, 12, 13, 14, 15, 16}, 0))"),"LU005572")</f>
        <v>LU005572</v>
      </c>
      <c r="AH92" s="13" t="str">
        <f ca="1">IFERROR(__xludf.DUMMYFUNCTION("""COMPUTED_VALUE"""),"Cause of generation of sound")</f>
        <v>Cause of generation of sound</v>
      </c>
      <c r="AI92" s="13" t="str">
        <f ca="1">IFERROR(__xludf.DUMMYFUNCTION("""COMPUTED_VALUE"""),"LU005110")</f>
        <v>LU005110</v>
      </c>
      <c r="AJ92" s="13" t="str">
        <f ca="1">IFERROR(__xludf.DUMMYFUNCTION("""COMPUTED_VALUE"""),"Human sensory organs")</f>
        <v>Human sensory organs</v>
      </c>
      <c r="AK92" s="13"/>
      <c r="AL92" s="13"/>
      <c r="AM92" s="13"/>
      <c r="AN92" s="13"/>
      <c r="AO92" s="13"/>
      <c r="AP92" s="13"/>
      <c r="AQ92" s="13"/>
      <c r="AR92" s="13"/>
      <c r="AS92" s="13"/>
      <c r="AT92" s="13"/>
    </row>
    <row r="93" spans="1:46" ht="39.6">
      <c r="A93" s="8" t="s">
        <v>247</v>
      </c>
      <c r="B93" s="8" t="s">
        <v>47</v>
      </c>
      <c r="C93" s="8" t="s">
        <v>731</v>
      </c>
      <c r="D93" s="8" t="s">
        <v>1510</v>
      </c>
      <c r="E93" s="8" t="s">
        <v>2157</v>
      </c>
      <c r="F93" s="8" t="s">
        <v>2167</v>
      </c>
      <c r="G93" s="8" t="s">
        <v>2168</v>
      </c>
      <c r="H93" s="8" t="str">
        <f ca="1">IFERROR(__xludf.DUMMYFUNCTION("VLOOKUP(G93, IMPORTRANGE(""https://docs.google.com/spreadsheets/d/14deopnvwcrKtEGCKuYXdUHJbeLDZlkiSSWWT0g7x2pM/edit#gid=849066331"", ""LU List Science (Filter)!A:B""), 2, FALSE)"),"Definition of Amplitude of Vibration")</f>
        <v>Definition of Amplitude of Vibration</v>
      </c>
      <c r="I93" s="10" t="str">
        <f t="shared" si="0"/>
        <v>LU005577.001</v>
      </c>
      <c r="J93" s="10" t="str">
        <f ca="1">IFERROR(__xludf.DUMMYFUNCTION("VLOOKUP(I93, IMPORTRANGE(""https://docs.google.com/spreadsheets/d/1yDAaXNsi4Mr5FtRQL4tbmSdIzhx6_m4wkOD7IG-k_eo/edit#gid=1336395716"", ""Science!M:N""), 2, FALSE)"),"Define amplitude, frequency, and time period of vibration. ")</f>
        <v xml:space="preserve">Define amplitude, frequency, and time period of vibration. </v>
      </c>
      <c r="K93" s="10" t="str">
        <f t="shared" si="6"/>
        <v>LU005577.002</v>
      </c>
      <c r="L93" s="10" t="str">
        <f ca="1">IFERROR(__xludf.DUMMYFUNCTION("VLOOKUP(K93, IMPORTRANGE(""https://docs.google.com/spreadsheets/d/1yDAaXNsi4Mr5FtRQL4tbmSdIzhx6_m4wkOD7IG-k_eo/edit#gid=1336395716"", ""Science!M:N""), 2, FALSE)"),"")</f>
        <v/>
      </c>
      <c r="M93" s="10" t="str">
        <f t="shared" si="2"/>
        <v>LU005577.003</v>
      </c>
      <c r="N93" s="10" t="str">
        <f ca="1">IFERROR(__xludf.DUMMYFUNCTION("VLOOKUP(M93, IMPORTRANGE(""https://docs.google.com/spreadsheets/d/1yDAaXNsi4Mr5FtRQL4tbmSdIzhx6_m4wkOD7IG-k_eo/edit#gid=1336395716"", ""Science!M:N""), 2, FALSE)"),"Apply knowledge of amplitude and frequency to predict how changes in these properties alter the perception of sound")</f>
        <v>Apply knowledge of amplitude and frequency to predict how changes in these properties alter the perception of sound</v>
      </c>
      <c r="O93" s="10" t="str">
        <f t="shared" si="3"/>
        <v>LU005577.004</v>
      </c>
      <c r="P93" s="10" t="str">
        <f ca="1">IFERROR(__xludf.DUMMYFUNCTION("VLOOKUP(O93, IMPORTRANGE(""https://docs.google.com/spreadsheets/d/1yDAaXNsi4Mr5FtRQL4tbmSdIzhx6_m4wkOD7IG-k_eo/edit#gid=1336395716"", ""Science!M:N""), 2, FALSE)"),"Analyze the relationship between frequency and time period of vibration")</f>
        <v>Analyze the relationship between frequency and time period of vibration</v>
      </c>
      <c r="Q93" s="10" t="str">
        <f t="shared" si="4"/>
        <v>LU005577.005</v>
      </c>
      <c r="R93" s="10" t="str">
        <f ca="1">IFERROR(__xludf.DUMMYFUNCTION("VLOOKUP(Q93, IMPORTRANGE(""https://docs.google.com/spreadsheets/d/1yDAaXNsi4Mr5FtRQL4tbmSdIzhx6_m4wkOD7IG-k_eo/edit#gid=1336395716"", ""Science!M:N""), 2, FALSE)"),"Assess the impact of varying amplitudes and frequencies on the musical quality of different instruments")</f>
        <v>Assess the impact of varying amplitudes and frequencies on the musical quality of different instruments</v>
      </c>
      <c r="S93" s="10" t="str">
        <f t="shared" si="5"/>
        <v>LU005577.006</v>
      </c>
      <c r="T93" s="10" t="str">
        <f ca="1">IFERROR(__xludf.DUMMYFUNCTION("VLOOKUP(S93, IMPORTRANGE(""https://docs.google.com/spreadsheets/d/1yDAaXNsi4Mr5FtRQL4tbmSdIzhx6_m4wkOD7IG-k_eo/edit#gid=1336395716"", ""Science!M:N""), 2, FALSE)"),"#N/A")</f>
        <v>#N/A</v>
      </c>
      <c r="U93" s="116">
        <f ca="1">IFERROR(__xludf.DUMMYFUNCTION("ArrayFormula(VLOOKUP(G93, IMPORTRANGE(""https://docs.google.com/spreadsheets/d/1p7R4vtkWt5VOBim4ltsDG9KTzSjrtKXsMtQGXPHyND0/edit#gid=795171502"", ""'Filter 30_05_2024'!A1:M2000""), {2, 3, 4, 5,6,7,8,9,10,11,12,13}, 0))"),4)</f>
        <v>4</v>
      </c>
      <c r="V93" s="116">
        <f ca="1">IFERROR(__xludf.DUMMYFUNCTION("""COMPUTED_VALUE"""),6)</f>
        <v>6</v>
      </c>
      <c r="W93" s="116">
        <f ca="1">IFERROR(__xludf.DUMMYFUNCTION("""COMPUTED_VALUE"""),2)</f>
        <v>2</v>
      </c>
      <c r="X93" s="116">
        <f ca="1">IFERROR(__xludf.DUMMYFUNCTION("""COMPUTED_VALUE"""),12)</f>
        <v>12</v>
      </c>
      <c r="Y93" s="116">
        <f ca="1">IFERROR(__xludf.DUMMYFUNCTION("""COMPUTED_VALUE"""),4)</f>
        <v>4</v>
      </c>
      <c r="Z93" s="12">
        <f ca="1">IFERROR(__xludf.DUMMYFUNCTION("""COMPUTED_VALUE"""),3)</f>
        <v>3</v>
      </c>
      <c r="AA93" s="12">
        <f ca="1">IFERROR(__xludf.DUMMYFUNCTION("""COMPUTED_VALUE"""),1)</f>
        <v>1</v>
      </c>
      <c r="AB93" s="12">
        <f ca="1">IFERROR(__xludf.DUMMYFUNCTION("""COMPUTED_VALUE"""),8)</f>
        <v>8</v>
      </c>
      <c r="AC93" s="12"/>
      <c r="AD93" s="12"/>
      <c r="AE93" s="12"/>
      <c r="AF93" s="12"/>
      <c r="AG93" s="13" t="str">
        <f ca="1">IFERROR(__xludf.DUMMYFUNCTION("ArrayFormula(VLOOKUP(G93, IMPORTRANGE(""https://docs.google.com/spreadsheets/d/1Co934fvtviyaRiMsrIlT05Jaq7iiYq07aLvRr35KA48/edit?gid=173865642#gid=173865642"", ""'G8_Sci_Pri_LU'!G2:V2000""), {3, 4, 5, 6, 7, 8, 9, 10, 11, 12, 13, 14, 15, 16}, 0))"),"LU005190")</f>
        <v>LU005190</v>
      </c>
      <c r="AH93" s="13" t="str">
        <f ca="1">IFERROR(__xludf.DUMMYFUNCTION("""COMPUTED_VALUE"""),"Understanding the Basics of Oscillatory Motion")</f>
        <v>Understanding the Basics of Oscillatory Motion</v>
      </c>
      <c r="AI93" s="13"/>
      <c r="AJ93" s="13"/>
      <c r="AK93" s="13"/>
      <c r="AL93" s="13"/>
      <c r="AM93" s="13"/>
      <c r="AN93" s="13"/>
      <c r="AO93" s="13"/>
      <c r="AP93" s="13"/>
      <c r="AQ93" s="13"/>
      <c r="AR93" s="13"/>
      <c r="AS93" s="13"/>
      <c r="AT93" s="13"/>
    </row>
    <row r="94" spans="1:46" ht="39.6">
      <c r="A94" s="8" t="s">
        <v>247</v>
      </c>
      <c r="B94" s="8" t="s">
        <v>47</v>
      </c>
      <c r="C94" s="8" t="s">
        <v>731</v>
      </c>
      <c r="D94" s="8" t="s">
        <v>1510</v>
      </c>
      <c r="E94" s="8" t="s">
        <v>2157</v>
      </c>
      <c r="F94" s="8" t="s">
        <v>2167</v>
      </c>
      <c r="G94" s="8" t="s">
        <v>2169</v>
      </c>
      <c r="H94" s="8" t="str">
        <f ca="1">IFERROR(__xludf.DUMMYFUNCTION("VLOOKUP(G94, IMPORTRANGE(""https://docs.google.com/spreadsheets/d/14deopnvwcrKtEGCKuYXdUHJbeLDZlkiSSWWT0g7x2pM/edit#gid=849066331"", ""LU List Science (Filter)!A:B""), 2, FALSE)"),"Definition of frequency of vibration and its relationship with time period")</f>
        <v>Definition of frequency of vibration and its relationship with time period</v>
      </c>
      <c r="I94" s="10" t="str">
        <f t="shared" si="0"/>
        <v>LU005585.001</v>
      </c>
      <c r="J94" s="10" t="str">
        <f ca="1">IFERROR(__xludf.DUMMYFUNCTION("VLOOKUP(I94, IMPORTRANGE(""https://docs.google.com/spreadsheets/d/1yDAaXNsi4Mr5FtRQL4tbmSdIzhx6_m4wkOD7IG-k_eo/edit#gid=1336395716"", ""Science!M:N""), 2, FALSE)"),"Memorize the definition of frequency and the formula relating frequency to time period.")</f>
        <v>Memorize the definition of frequency and the formula relating frequency to time period.</v>
      </c>
      <c r="K94" s="10" t="str">
        <f t="shared" si="6"/>
        <v>LU005585.002</v>
      </c>
      <c r="L94" s="10" t="str">
        <f ca="1">IFERROR(__xludf.DUMMYFUNCTION("VLOOKUP(K94, IMPORTRANGE(""https://docs.google.com/spreadsheets/d/1yDAaXNsi4Mr5FtRQL4tbmSdIzhx6_m4wkOD7IG-k_eo/edit#gid=1336395716"", ""Science!M:N""), 2, FALSE)"),"Paraphrase the concept of frequency of vibration and its inverse relationship with time period.")</f>
        <v>Paraphrase the concept of frequency of vibration and its inverse relationship with time period.</v>
      </c>
      <c r="M94" s="10" t="str">
        <f t="shared" si="2"/>
        <v>LU005585.003</v>
      </c>
      <c r="N94" s="10" t="str">
        <f ca="1">IFERROR(__xludf.DUMMYFUNCTION("VLOOKUP(M94, IMPORTRANGE(""https://docs.google.com/spreadsheets/d/1yDAaXNsi4Mr5FtRQL4tbmSdIzhx6_m4wkOD7IG-k_eo/edit#gid=1336395716"", ""Science!M:N""), 2, FALSE)"),"Calculate the frequency or time period given one of the two values using the formula.")</f>
        <v>Calculate the frequency or time period given one of the two values using the formula.</v>
      </c>
      <c r="O94" s="10" t="str">
        <f t="shared" si="3"/>
        <v>LU005585.004</v>
      </c>
      <c r="P94" s="10" t="str">
        <f ca="1">IFERROR(__xludf.DUMMYFUNCTION("VLOOKUP(O94, IMPORTRANGE(""https://docs.google.com/spreadsheets/d/1yDAaXNsi4Mr5FtRQL4tbmSdIzhx6_m4wkOD7IG-k_eo/edit#gid=1336395716"", ""Science!M:N""), 2, FALSE)"),"#N/A")</f>
        <v>#N/A</v>
      </c>
      <c r="Q94" s="10" t="str">
        <f t="shared" si="4"/>
        <v>LU005585.005</v>
      </c>
      <c r="R94" s="10" t="str">
        <f ca="1">IFERROR(__xludf.DUMMYFUNCTION("VLOOKUP(Q94, IMPORTRANGE(""https://docs.google.com/spreadsheets/d/1yDAaXNsi4Mr5FtRQL4tbmSdIzhx6_m4wkOD7IG-k_eo/edit#gid=1336395716"", ""Science!M:N""), 2, FALSE)"),"#N/A")</f>
        <v>#N/A</v>
      </c>
      <c r="S94" s="10" t="str">
        <f t="shared" si="5"/>
        <v>LU005585.006</v>
      </c>
      <c r="T94" s="10" t="str">
        <f ca="1">IFERROR(__xludf.DUMMYFUNCTION("VLOOKUP(S94, IMPORTRANGE(""https://docs.google.com/spreadsheets/d/1yDAaXNsi4Mr5FtRQL4tbmSdIzhx6_m4wkOD7IG-k_eo/edit#gid=1336395716"", ""Science!M:N""), 2, FALSE)"),"Design a simple experiment to demonstrate the relationship between frequency of vibration and time period.")</f>
        <v>Design a simple experiment to demonstrate the relationship between frequency of vibration and time period.</v>
      </c>
      <c r="U94" s="116">
        <f ca="1">IFERROR(__xludf.DUMMYFUNCTION("ArrayFormula(VLOOKUP(G94, IMPORTRANGE(""https://docs.google.com/spreadsheets/d/1p7R4vtkWt5VOBim4ltsDG9KTzSjrtKXsMtQGXPHyND0/edit#gid=795171502"", ""'Filter 30_05_2024'!A1:M2000""), {2, 3, 4, 5,6,7,8,9,10,11,12,13}, 0))"),4)</f>
        <v>4</v>
      </c>
      <c r="V94" s="116">
        <f ca="1">IFERROR(__xludf.DUMMYFUNCTION("""COMPUTED_VALUE"""),6)</f>
        <v>6</v>
      </c>
      <c r="W94" s="116">
        <f ca="1">IFERROR(__xludf.DUMMYFUNCTION("""COMPUTED_VALUE"""),2)</f>
        <v>2</v>
      </c>
      <c r="X94" s="116">
        <f ca="1">IFERROR(__xludf.DUMMYFUNCTION("""COMPUTED_VALUE"""),12)</f>
        <v>12</v>
      </c>
      <c r="Y94" s="116">
        <f ca="1">IFERROR(__xludf.DUMMYFUNCTION("""COMPUTED_VALUE"""),4)</f>
        <v>4</v>
      </c>
      <c r="Z94" s="12">
        <f ca="1">IFERROR(__xludf.DUMMYFUNCTION("""COMPUTED_VALUE"""),3)</f>
        <v>3</v>
      </c>
      <c r="AA94" s="12">
        <f ca="1">IFERROR(__xludf.DUMMYFUNCTION("""COMPUTED_VALUE"""),1)</f>
        <v>1</v>
      </c>
      <c r="AB94" s="12">
        <f ca="1">IFERROR(__xludf.DUMMYFUNCTION("""COMPUTED_VALUE"""),8)</f>
        <v>8</v>
      </c>
      <c r="AC94" s="12"/>
      <c r="AD94" s="12"/>
      <c r="AE94" s="12"/>
      <c r="AF94" s="12"/>
      <c r="AG94" s="13" t="str">
        <f ca="1">IFERROR(__xludf.DUMMYFUNCTION("ArrayFormula(VLOOKUP(G94, IMPORTRANGE(""https://docs.google.com/spreadsheets/d/1Co934fvtviyaRiMsrIlT05Jaq7iiYq07aLvRr35KA48/edit?gid=173865642#gid=173865642"", ""'G8_Sci_Pri_LU'!G2:V2000""), {3, 4, 5, 6, 7, 8, 9, 10, 11, 12, 13, 14, 15, 16}, 0))"),"LU005190")</f>
        <v>LU005190</v>
      </c>
      <c r="AH94" s="13" t="str">
        <f ca="1">IFERROR(__xludf.DUMMYFUNCTION("""COMPUTED_VALUE"""),"Understanding the Basics of Oscillatory Motion")</f>
        <v>Understanding the Basics of Oscillatory Motion</v>
      </c>
      <c r="AI94" s="13"/>
      <c r="AJ94" s="13"/>
      <c r="AK94" s="13"/>
      <c r="AL94" s="13"/>
      <c r="AM94" s="13"/>
      <c r="AN94" s="13"/>
      <c r="AO94" s="13"/>
      <c r="AP94" s="13"/>
      <c r="AQ94" s="13"/>
      <c r="AR94" s="13"/>
      <c r="AS94" s="13"/>
      <c r="AT94" s="13"/>
    </row>
    <row r="95" spans="1:46" ht="52.8">
      <c r="A95" s="8" t="s">
        <v>247</v>
      </c>
      <c r="B95" s="8" t="s">
        <v>47</v>
      </c>
      <c r="C95" s="8" t="s">
        <v>731</v>
      </c>
      <c r="D95" s="8" t="s">
        <v>1510</v>
      </c>
      <c r="E95" s="8" t="s">
        <v>2157</v>
      </c>
      <c r="F95" s="8" t="s">
        <v>2167</v>
      </c>
      <c r="G95" s="8" t="s">
        <v>2170</v>
      </c>
      <c r="H95" s="8" t="str">
        <f ca="1">IFERROR(__xludf.DUMMYFUNCTION("VLOOKUP(G95, IMPORTRANGE(""https://docs.google.com/spreadsheets/d/14deopnvwcrKtEGCKuYXdUHJbeLDZlkiSSWWT0g7x2pM/edit#gid=849066331"", ""LU List Science (Filter)!A:B""), 2, FALSE)"),"Loudness and pitch of sound")</f>
        <v>Loudness and pitch of sound</v>
      </c>
      <c r="I95" s="10" t="str">
        <f t="shared" si="0"/>
        <v>LU005578.001</v>
      </c>
      <c r="J95" s="10" t="str">
        <f ca="1">IFERROR(__xludf.DUMMYFUNCTION("VLOOKUP(I95, IMPORTRANGE(""https://docs.google.com/spreadsheets/d/1yDAaXNsi4Mr5FtRQL4tbmSdIzhx6_m4wkOD7IG-k_eo/edit#gid=1336395716"", ""Science!M:N""), 2, FALSE)"),"Define loudness and pitch of a sound and provide examples of each.")</f>
        <v>Define loudness and pitch of a sound and provide examples of each.</v>
      </c>
      <c r="K95" s="10" t="str">
        <f t="shared" si="6"/>
        <v>LU005578.002</v>
      </c>
      <c r="L95" s="10" t="str">
        <f ca="1">IFERROR(__xludf.DUMMYFUNCTION("VLOOKUP(K95, IMPORTRANGE(""https://docs.google.com/spreadsheets/d/1yDAaXNsi4Mr5FtRQL4tbmSdIzhx6_m4wkOD7IG-k_eo/edit#gid=1336395716"", ""Science!M:N""), 2, FALSE)"),"Explain the relationship between the amplitude of a sound wave and its perceived loudness, as well as the relationship between frequency and pitch.")</f>
        <v>Explain the relationship between the amplitude of a sound wave and its perceived loudness, as well as the relationship between frequency and pitch.</v>
      </c>
      <c r="M95" s="10" t="str">
        <f t="shared" si="2"/>
        <v>LU005578.003</v>
      </c>
      <c r="N95" s="10" t="str">
        <f ca="1">IFERROR(__xludf.DUMMYFUNCTION("VLOOKUP(M95, IMPORTRANGE(""https://docs.google.com/spreadsheets/d/1yDAaXNsi4Mr5FtRQL4tbmSdIzhx6_m4wkOD7IG-k_eo/edit#gid=1336395716"", ""Science!M:N""), 2, FALSE)"),"#N/A")</f>
        <v>#N/A</v>
      </c>
      <c r="O95" s="10" t="str">
        <f t="shared" si="3"/>
        <v>LU005578.004</v>
      </c>
      <c r="P95" s="10" t="str">
        <f ca="1">IFERROR(__xludf.DUMMYFUNCTION("VLOOKUP(O95, IMPORTRANGE(""https://docs.google.com/spreadsheets/d/1yDAaXNsi4Mr5FtRQL4tbmSdIzhx6_m4wkOD7IG-k_eo/edit#gid=1336395716"", ""Science!M:N""), 2, FALSE)"),"Compare and contrast the characteristics of sounds with different loudness and pitch")</f>
        <v>Compare and contrast the characteristics of sounds with different loudness and pitch</v>
      </c>
      <c r="Q95" s="10" t="str">
        <f t="shared" si="4"/>
        <v>LU005578.005</v>
      </c>
      <c r="R95" s="10" t="str">
        <f ca="1">IFERROR(__xludf.DUMMYFUNCTION("VLOOKUP(Q95, IMPORTRANGE(""https://docs.google.com/spreadsheets/d/1yDAaXNsi4Mr5FtRQL4tbmSdIzhx6_m4wkOD7IG-k_eo/edit#gid=1336395716"", ""Science!M:N""), 2, FALSE)"),"#N/A")</f>
        <v>#N/A</v>
      </c>
      <c r="S95" s="10" t="str">
        <f t="shared" si="5"/>
        <v>LU005578.006</v>
      </c>
      <c r="T95" s="10" t="str">
        <f ca="1">IFERROR(__xludf.DUMMYFUNCTION("VLOOKUP(S95, IMPORTRANGE(""https://docs.google.com/spreadsheets/d/1yDAaXNsi4Mr5FtRQL4tbmSdIzhx6_m4wkOD7IG-k_eo/edit#gid=1336395716"", ""Science!M:N""), 2, FALSE)"),"Design an experiment to investigate how changes in the amplitude of a sound wave affect its perceived loudness.")</f>
        <v>Design an experiment to investigate how changes in the amplitude of a sound wave affect its perceived loudness.</v>
      </c>
      <c r="U95" s="116">
        <f ca="1">IFERROR(__xludf.DUMMYFUNCTION("ArrayFormula(VLOOKUP(G95, IMPORTRANGE(""https://docs.google.com/spreadsheets/d/1p7R4vtkWt5VOBim4ltsDG9KTzSjrtKXsMtQGXPHyND0/edit#gid=795171502"", ""'Filter 30_05_2024'!A1:M2000""), {2, 3, 4, 5,6,7,8,9,10,11,12,13}, 0))"),4)</f>
        <v>4</v>
      </c>
      <c r="V95" s="116">
        <f ca="1">IFERROR(__xludf.DUMMYFUNCTION("""COMPUTED_VALUE"""),6)</f>
        <v>6</v>
      </c>
      <c r="W95" s="116">
        <f ca="1">IFERROR(__xludf.DUMMYFUNCTION("""COMPUTED_VALUE"""),2)</f>
        <v>2</v>
      </c>
      <c r="X95" s="116">
        <f ca="1">IFERROR(__xludf.DUMMYFUNCTION("""COMPUTED_VALUE"""),12)</f>
        <v>12</v>
      </c>
      <c r="Y95" s="116">
        <f ca="1">IFERROR(__xludf.DUMMYFUNCTION("""COMPUTED_VALUE"""),4)</f>
        <v>4</v>
      </c>
      <c r="Z95" s="12">
        <f ca="1">IFERROR(__xludf.DUMMYFUNCTION("""COMPUTED_VALUE"""),3)</f>
        <v>3</v>
      </c>
      <c r="AA95" s="12">
        <f ca="1">IFERROR(__xludf.DUMMYFUNCTION("""COMPUTED_VALUE"""),1)</f>
        <v>1</v>
      </c>
      <c r="AB95" s="12">
        <f ca="1">IFERROR(__xludf.DUMMYFUNCTION("""COMPUTED_VALUE"""),8)</f>
        <v>8</v>
      </c>
      <c r="AC95" s="12"/>
      <c r="AD95" s="12"/>
      <c r="AE95" s="12"/>
      <c r="AF95" s="12"/>
      <c r="AG95" s="13" t="str">
        <f ca="1">IFERROR(__xludf.DUMMYFUNCTION("ArrayFormula(VLOOKUP(G95, IMPORTRANGE(""https://docs.google.com/spreadsheets/d/1Co934fvtviyaRiMsrIlT05Jaq7iiYq07aLvRr35KA48/edit?gid=173865642#gid=173865642"", ""'G8_Sci_Pri_LU'!G2:V2000""), {3, 4, 5, 6, 7, 8, 9, 10, 11, 12, 13, 14, 15, 16}, 0))"),"LU005577")</f>
        <v>LU005577</v>
      </c>
      <c r="AH95" s="13" t="str">
        <f ca="1">IFERROR(__xludf.DUMMYFUNCTION("""COMPUTED_VALUE"""),"Definition of Amplitude of Vibration")</f>
        <v>Definition of Amplitude of Vibration</v>
      </c>
      <c r="AI95" s="13" t="str">
        <f ca="1">IFERROR(__xludf.DUMMYFUNCTION("""COMPUTED_VALUE"""),"LU005585")</f>
        <v>LU005585</v>
      </c>
      <c r="AJ95" s="13" t="str">
        <f ca="1">IFERROR(__xludf.DUMMYFUNCTION("""COMPUTED_VALUE"""),"Definition of frequency of vibration and its relationship with time period")</f>
        <v>Definition of frequency of vibration and its relationship with time period</v>
      </c>
      <c r="AK95" s="13"/>
      <c r="AL95" s="13"/>
      <c r="AM95" s="13"/>
      <c r="AN95" s="13"/>
      <c r="AO95" s="13"/>
      <c r="AP95" s="13"/>
      <c r="AQ95" s="13"/>
      <c r="AR95" s="13"/>
      <c r="AS95" s="13"/>
      <c r="AT95" s="13"/>
    </row>
    <row r="96" spans="1:46" ht="39.6">
      <c r="A96" s="8" t="s">
        <v>247</v>
      </c>
      <c r="B96" s="8" t="s">
        <v>47</v>
      </c>
      <c r="C96" s="8" t="s">
        <v>731</v>
      </c>
      <c r="D96" s="8" t="s">
        <v>1510</v>
      </c>
      <c r="E96" s="8" t="s">
        <v>2157</v>
      </c>
      <c r="F96" s="8" t="s">
        <v>2171</v>
      </c>
      <c r="G96" s="8" t="s">
        <v>2172</v>
      </c>
      <c r="H96" s="8" t="str">
        <f ca="1">IFERROR(__xludf.DUMMYFUNCTION("VLOOKUP(G96, IMPORTRANGE(""https://docs.google.com/spreadsheets/d/14deopnvwcrKtEGCKuYXdUHJbeLDZlkiSSWWT0g7x2pM/edit#gid=849066331"", ""LU List Science (Filter)!A:B""), 2, FALSE)"),"Frequency range of Human Hearing")</f>
        <v>Frequency range of Human Hearing</v>
      </c>
      <c r="I96" s="10" t="str">
        <f t="shared" si="0"/>
        <v>LU005579.001</v>
      </c>
      <c r="J96" s="10" t="str">
        <f ca="1">IFERROR(__xludf.DUMMYFUNCTION("VLOOKUP(I96, IMPORTRANGE(""https://docs.google.com/spreadsheets/d/1yDAaXNsi4Mr5FtRQL4tbmSdIzhx6_m4wkOD7IG-k_eo/edit#gid=1336395716"", ""Science!M:N""), 2, FALSE)"),"identify the frequency limits for average human hearing.")</f>
        <v>identify the frequency limits for average human hearing.</v>
      </c>
      <c r="K96" s="10" t="str">
        <f t="shared" si="6"/>
        <v>LU005579.002</v>
      </c>
      <c r="L96" s="10" t="str">
        <f ca="1">IFERROR(__xludf.DUMMYFUNCTION("VLOOKUP(K96, IMPORTRANGE(""https://docs.google.com/spreadsheets/d/1yDAaXNsi4Mr5FtRQL4tbmSdIzhx6_m4wkOD7IG-k_eo/edit#gid=1336395716"", ""Science!M:N""), 2, FALSE)"),"Explain the differences between infrasound, audible sound, and ultrasound in terms of frequency ranges.")</f>
        <v>Explain the differences between infrasound, audible sound, and ultrasound in terms of frequency ranges.</v>
      </c>
      <c r="M96" s="10" t="str">
        <f t="shared" si="2"/>
        <v>LU005579.003</v>
      </c>
      <c r="N96" s="10" t="str">
        <f ca="1">IFERROR(__xludf.DUMMYFUNCTION("VLOOKUP(M96, IMPORTRANGE(""https://docs.google.com/spreadsheets/d/1yDAaXNsi4Mr5FtRQL4tbmSdIzhx6_m4wkOD7IG-k_eo/edit#gid=1336395716"", ""Science!M:N""), 2, FALSE)"),"Illustrate real-life situations where extremely high or low frequencies outside of the human range of hearing are employed")</f>
        <v>Illustrate real-life situations where extremely high or low frequencies outside of the human range of hearing are employed</v>
      </c>
      <c r="O96" s="10" t="str">
        <f t="shared" si="3"/>
        <v>LU005579.004</v>
      </c>
      <c r="P96" s="10" t="str">
        <f ca="1">IFERROR(__xludf.DUMMYFUNCTION("VLOOKUP(O96, IMPORTRANGE(""https://docs.google.com/spreadsheets/d/1yDAaXNsi4Mr5FtRQL4tbmSdIzhx6_m4wkOD7IG-k_eo/edit#gid=1336395716"", ""Science!M:N""), 2, FALSE)"),"#N/A")</f>
        <v>#N/A</v>
      </c>
      <c r="Q96" s="10" t="str">
        <f t="shared" si="4"/>
        <v>LU005579.005</v>
      </c>
      <c r="R96" s="10" t="str">
        <f ca="1">IFERROR(__xludf.DUMMYFUNCTION("VLOOKUP(Q96, IMPORTRANGE(""https://docs.google.com/spreadsheets/d/1yDAaXNsi4Mr5FtRQL4tbmSdIzhx6_m4wkOD7IG-k_eo/edit#gid=1336395716"", ""Science!M:N""), 2, FALSE)"),"Assess the importance of understanding the range of hearing when designing products or technologies meant for human interaction")</f>
        <v>Assess the importance of understanding the range of hearing when designing products or technologies meant for human interaction</v>
      </c>
      <c r="S96" s="10" t="str">
        <f t="shared" si="5"/>
        <v>LU005579.006</v>
      </c>
      <c r="T96" s="10" t="str">
        <f ca="1">IFERROR(__xludf.DUMMYFUNCTION("VLOOKUP(S96, IMPORTRANGE(""https://docs.google.com/spreadsheets/d/1yDAaXNsi4Mr5FtRQL4tbmSdIzhx6_m4wkOD7IG-k_eo/edit#gid=1336395716"", ""Science!M:N""), 2, FALSE)"),"#N/A")</f>
        <v>#N/A</v>
      </c>
      <c r="U96" s="116">
        <f ca="1">IFERROR(__xludf.DUMMYFUNCTION("ArrayFormula(VLOOKUP(G96, IMPORTRANGE(""https://docs.google.com/spreadsheets/d/1p7R4vtkWt5VOBim4ltsDG9KTzSjrtKXsMtQGXPHyND0/edit#gid=795171502"", ""'Filter 30_05_2024'!A1:M2000""), {2, 3, 4, 5,6,7,8,9,10,11,12,13}, 0))"),4)</f>
        <v>4</v>
      </c>
      <c r="V96" s="116">
        <f ca="1">IFERROR(__xludf.DUMMYFUNCTION("""COMPUTED_VALUE"""),6)</f>
        <v>6</v>
      </c>
      <c r="W96" s="116">
        <f ca="1">IFERROR(__xludf.DUMMYFUNCTION("""COMPUTED_VALUE"""),2)</f>
        <v>2</v>
      </c>
      <c r="X96" s="116">
        <f ca="1">IFERROR(__xludf.DUMMYFUNCTION("""COMPUTED_VALUE"""),12)</f>
        <v>12</v>
      </c>
      <c r="Y96" s="116">
        <f ca="1">IFERROR(__xludf.DUMMYFUNCTION("""COMPUTED_VALUE"""),4)</f>
        <v>4</v>
      </c>
      <c r="Z96" s="12">
        <f ca="1">IFERROR(__xludf.DUMMYFUNCTION("""COMPUTED_VALUE"""),3)</f>
        <v>3</v>
      </c>
      <c r="AA96" s="12">
        <f ca="1">IFERROR(__xludf.DUMMYFUNCTION("""COMPUTED_VALUE"""),1)</f>
        <v>1</v>
      </c>
      <c r="AB96" s="12">
        <f ca="1">IFERROR(__xludf.DUMMYFUNCTION("""COMPUTED_VALUE"""),8)</f>
        <v>8</v>
      </c>
      <c r="AC96" s="12"/>
      <c r="AD96" s="12"/>
      <c r="AE96" s="12"/>
      <c r="AF96" s="12"/>
      <c r="AG96" s="13" t="str">
        <f ca="1">IFERROR(__xludf.DUMMYFUNCTION("ArrayFormula(VLOOKUP(G96, IMPORTRANGE(""https://docs.google.com/spreadsheets/d/1Co934fvtviyaRiMsrIlT05Jaq7iiYq07aLvRr35KA48/edit?gid=173865642#gid=173865642"", ""'G8_Sci_Pri_LU'!G2:V2000""), {3, 4, 5, 6, 7, 8, 9, 10, 11, 12, 13, 14, 15, 16}, 0))"),"LU005585")</f>
        <v>LU005585</v>
      </c>
      <c r="AH96" s="13" t="str">
        <f ca="1">IFERROR(__xludf.DUMMYFUNCTION("""COMPUTED_VALUE"""),"Definition of frequency of vibration and its relationship with time period")</f>
        <v>Definition of frequency of vibration and its relationship with time period</v>
      </c>
      <c r="AI96" s="13" t="str">
        <f ca="1">IFERROR(__xludf.DUMMYFUNCTION("""COMPUTED_VALUE"""),"LU005576")</f>
        <v>LU005576</v>
      </c>
      <c r="AJ96" s="13" t="str">
        <f ca="1">IFERROR(__xludf.DUMMYFUNCTION("""COMPUTED_VALUE"""),"Function of the Eardrum in Hearing")</f>
        <v>Function of the Eardrum in Hearing</v>
      </c>
      <c r="AK96" s="13" t="str">
        <f ca="1">IFERROR(__xludf.DUMMYFUNCTION("""COMPUTED_VALUE"""),"LU005578")</f>
        <v>LU005578</v>
      </c>
      <c r="AL96" s="13" t="str">
        <f ca="1">IFERROR(__xludf.DUMMYFUNCTION("""COMPUTED_VALUE"""),"Loudness and pitch of sound")</f>
        <v>Loudness and pitch of sound</v>
      </c>
      <c r="AM96" s="13"/>
      <c r="AN96" s="13"/>
      <c r="AO96" s="13"/>
      <c r="AP96" s="13"/>
      <c r="AQ96" s="13"/>
      <c r="AR96" s="13"/>
      <c r="AS96" s="13"/>
      <c r="AT96" s="13"/>
    </row>
    <row r="97" spans="1:46" ht="26.4">
      <c r="A97" s="8" t="s">
        <v>247</v>
      </c>
      <c r="B97" s="8" t="s">
        <v>47</v>
      </c>
      <c r="C97" s="8" t="s">
        <v>731</v>
      </c>
      <c r="D97" s="8" t="s">
        <v>1510</v>
      </c>
      <c r="E97" s="8" t="s">
        <v>2157</v>
      </c>
      <c r="F97" s="8" t="s">
        <v>2171</v>
      </c>
      <c r="G97" s="8" t="s">
        <v>2173</v>
      </c>
      <c r="H97" s="8" t="str">
        <f ca="1">IFERROR(__xludf.DUMMYFUNCTION("VLOOKUP(G97, IMPORTRANGE(""https://docs.google.com/spreadsheets/d/14deopnvwcrKtEGCKuYXdUHJbeLDZlkiSSWWT0g7x2pM/edit#gid=849066331"", ""LU List Science (Filter)!A:B""), 2, FALSE)"),"Distinguish Noise from Music")</f>
        <v>Distinguish Noise from Music</v>
      </c>
      <c r="I97" s="10" t="str">
        <f t="shared" si="0"/>
        <v>LU005580.001</v>
      </c>
      <c r="J97" s="10" t="str">
        <f ca="1">IFERROR(__xludf.DUMMYFUNCTION("VLOOKUP(I97, IMPORTRANGE(""https://docs.google.com/spreadsheets/d/1yDAaXNsi4Mr5FtRQL4tbmSdIzhx6_m4wkOD7IG-k_eo/edit#gid=1336395716"", ""Science!M:N""), 2, FALSE)"),"Define noise and musical sound.")</f>
        <v>Define noise and musical sound.</v>
      </c>
      <c r="K97" s="10" t="str">
        <f t="shared" si="6"/>
        <v>LU005580.002</v>
      </c>
      <c r="L97" s="10" t="str">
        <f ca="1">IFERROR(__xludf.DUMMYFUNCTION("VLOOKUP(K97, IMPORTRANGE(""https://docs.google.com/spreadsheets/d/1yDAaXNsi4Mr5FtRQL4tbmSdIzhx6_m4wkOD7IG-k_eo/edit#gid=1336395716"", ""Science!M:N""), 2, FALSE)"),"Describe the characteristics that distinguish noise from musical sound.")</f>
        <v>Describe the characteristics that distinguish noise from musical sound.</v>
      </c>
      <c r="M97" s="10" t="str">
        <f t="shared" si="2"/>
        <v>LU005580.003</v>
      </c>
      <c r="N97" s="10" t="str">
        <f ca="1">IFERROR(__xludf.DUMMYFUNCTION("VLOOKUP(M97, IMPORTRANGE(""https://docs.google.com/spreadsheets/d/1yDAaXNsi4Mr5FtRQL4tbmSdIzhx6_m4wkOD7IG-k_eo/edit#gid=1336395716"", ""Science!M:N""), 2, FALSE)"),"Classify real-life sound examples as either noise or musical based on their properties.")</f>
        <v>Classify real-life sound examples as either noise or musical based on their properties.</v>
      </c>
      <c r="O97" s="10" t="str">
        <f t="shared" si="3"/>
        <v>LU005580.004</v>
      </c>
      <c r="P97" s="10" t="str">
        <f ca="1">IFERROR(__xludf.DUMMYFUNCTION("VLOOKUP(O97, IMPORTRANGE(""https://docs.google.com/spreadsheets/d/1yDAaXNsi4Mr5FtRQL4tbmSdIzhx6_m4wkOD7IG-k_eo/edit#gid=1336395716"", ""Science!M:N""), 2, FALSE)"),"Analyse the effect of volume on the pleasantness of musical sounds, ")</f>
        <v xml:space="preserve">Analyse the effect of volume on the pleasantness of musical sounds, </v>
      </c>
      <c r="Q97" s="10" t="str">
        <f t="shared" si="4"/>
        <v>LU005580.005</v>
      </c>
      <c r="R97" s="10" t="str">
        <f ca="1">IFERROR(__xludf.DUMMYFUNCTION("VLOOKUP(Q97, IMPORTRANGE(""https://docs.google.com/spreadsheets/d/1yDAaXNsi4Mr5FtRQL4tbmSdIzhx6_m4wkOD7IG-k_eo/edit#gid=1336395716"", ""Science!M:N""), 2, FALSE)"),"#N/A")</f>
        <v>#N/A</v>
      </c>
      <c r="S97" s="10" t="str">
        <f t="shared" si="5"/>
        <v>LU005580.006</v>
      </c>
      <c r="T97" s="10" t="str">
        <f ca="1">IFERROR(__xludf.DUMMYFUNCTION("VLOOKUP(S97, IMPORTRANGE(""https://docs.google.com/spreadsheets/d/1yDAaXNsi4Mr5FtRQL4tbmSdIzhx6_m4wkOD7IG-k_eo/edit#gid=1336395716"", ""Science!M:N""), 2, FALSE)"),"#N/A")</f>
        <v>#N/A</v>
      </c>
      <c r="U97" s="116">
        <f ca="1">IFERROR(__xludf.DUMMYFUNCTION("ArrayFormula(VLOOKUP(G97, IMPORTRANGE(""https://docs.google.com/spreadsheets/d/1p7R4vtkWt5VOBim4ltsDG9KTzSjrtKXsMtQGXPHyND0/edit#gid=795171502"", ""'Filter 30_05_2024'!A1:M2000""), {2, 3, 4, 5,6,7,8,9,10,11,12,13}, 0))"),4)</f>
        <v>4</v>
      </c>
      <c r="V97" s="116">
        <f ca="1">IFERROR(__xludf.DUMMYFUNCTION("""COMPUTED_VALUE"""),6)</f>
        <v>6</v>
      </c>
      <c r="W97" s="116">
        <f ca="1">IFERROR(__xludf.DUMMYFUNCTION("""COMPUTED_VALUE"""),2)</f>
        <v>2</v>
      </c>
      <c r="X97" s="116">
        <f ca="1">IFERROR(__xludf.DUMMYFUNCTION("""COMPUTED_VALUE"""),12)</f>
        <v>12</v>
      </c>
      <c r="Y97" s="116">
        <f ca="1">IFERROR(__xludf.DUMMYFUNCTION("""COMPUTED_VALUE"""),4)</f>
        <v>4</v>
      </c>
      <c r="Z97" s="12">
        <f ca="1">IFERROR(__xludf.DUMMYFUNCTION("""COMPUTED_VALUE"""),3)</f>
        <v>3</v>
      </c>
      <c r="AA97" s="12">
        <f ca="1">IFERROR(__xludf.DUMMYFUNCTION("""COMPUTED_VALUE"""),1)</f>
        <v>1</v>
      </c>
      <c r="AB97" s="12">
        <f ca="1">IFERROR(__xludf.DUMMYFUNCTION("""COMPUTED_VALUE"""),8)</f>
        <v>8</v>
      </c>
      <c r="AC97" s="12"/>
      <c r="AD97" s="12"/>
      <c r="AE97" s="12"/>
      <c r="AF97" s="12"/>
      <c r="AG97" s="13" t="str">
        <f ca="1">IFERROR(__xludf.DUMMYFUNCTION("ArrayFormula(VLOOKUP(G97, IMPORTRANGE(""https://docs.google.com/spreadsheets/d/1Co934fvtviyaRiMsrIlT05Jaq7iiYq07aLvRr35KA48/edit?gid=173865642#gid=173865642"", ""'G8_Sci_Pri_LU'!G2:V2000""), {3, 4, 5, 6, 7, 8, 9, 10, 11, 12, 13, 14, 15, 16}, 0))"),"LU005578")</f>
        <v>LU005578</v>
      </c>
      <c r="AH97" s="13" t="str">
        <f ca="1">IFERROR(__xludf.DUMMYFUNCTION("""COMPUTED_VALUE"""),"Loudness and pitch of sound")</f>
        <v>Loudness and pitch of sound</v>
      </c>
      <c r="AI97" s="13" t="str">
        <f ca="1">IFERROR(__xludf.DUMMYFUNCTION("""COMPUTED_VALUE"""),"LU005573")</f>
        <v>LU005573</v>
      </c>
      <c r="AJ97" s="13" t="str">
        <f ca="1">IFERROR(__xludf.DUMMYFUNCTION("""COMPUTED_VALUE"""),"Musical Instruments and their Vibrating Parts (string, wind, and percussion)")</f>
        <v>Musical Instruments and their Vibrating Parts (string, wind, and percussion)</v>
      </c>
      <c r="AK97" s="13"/>
      <c r="AL97" s="13"/>
      <c r="AM97" s="13"/>
      <c r="AN97" s="13"/>
      <c r="AO97" s="13"/>
      <c r="AP97" s="13"/>
      <c r="AQ97" s="13"/>
      <c r="AR97" s="13"/>
      <c r="AS97" s="13"/>
      <c r="AT97" s="13"/>
    </row>
    <row r="98" spans="1:46" ht="39.6">
      <c r="A98" s="8" t="s">
        <v>247</v>
      </c>
      <c r="B98" s="8" t="s">
        <v>47</v>
      </c>
      <c r="C98" s="8" t="s">
        <v>731</v>
      </c>
      <c r="D98" s="8" t="s">
        <v>1510</v>
      </c>
      <c r="E98" s="8" t="s">
        <v>2157</v>
      </c>
      <c r="F98" s="8" t="s">
        <v>2174</v>
      </c>
      <c r="G98" s="8" t="s">
        <v>2175</v>
      </c>
      <c r="H98" s="8" t="str">
        <f ca="1">IFERROR(__xludf.DUMMYFUNCTION("VLOOKUP(G98, IMPORTRANGE(""https://docs.google.com/spreadsheets/d/14deopnvwcrKtEGCKuYXdUHJbeLDZlkiSSWWT0g7x2pM/edit#gid=849066331"", ""LU List Science (Filter)!A:B""), 2, FALSE)"),"Sources of noise pollution")</f>
        <v>Sources of noise pollution</v>
      </c>
      <c r="I98" s="10" t="str">
        <f t="shared" si="0"/>
        <v>LU005581.001</v>
      </c>
      <c r="J98" s="10" t="str">
        <f ca="1">IFERROR(__xludf.DUMMYFUNCTION("VLOOKUP(I98, IMPORTRANGE(""https://docs.google.com/spreadsheets/d/1yDAaXNsi4Mr5FtRQL4tbmSdIzhx6_m4wkOD7IG-k_eo/edit#gid=1336395716"", ""Science!M:N""), 2, FALSE)"),"Recall the definition of noise pollution.")</f>
        <v>Recall the definition of noise pollution.</v>
      </c>
      <c r="K98" s="10" t="str">
        <f t="shared" si="6"/>
        <v>LU005581.002</v>
      </c>
      <c r="L98" s="10" t="str">
        <f ca="1">IFERROR(__xludf.DUMMYFUNCTION("VLOOKUP(K98, IMPORTRANGE(""https://docs.google.com/spreadsheets/d/1yDAaXNsi4Mr5FtRQL4tbmSdIzhx6_m4wkOD7IG-k_eo/edit#gid=1336395716"", ""Science!M:N""), 2, FALSE)"),"#N/A")</f>
        <v>#N/A</v>
      </c>
      <c r="M98" s="10" t="str">
        <f t="shared" si="2"/>
        <v>LU005581.003</v>
      </c>
      <c r="N98" s="10" t="str">
        <f ca="1">IFERROR(__xludf.DUMMYFUNCTION("VLOOKUP(M98, IMPORTRANGE(""https://docs.google.com/spreadsheets/d/1yDAaXNsi4Mr5FtRQL4tbmSdIzhx6_m4wkOD7IG-k_eo/edit#gid=1336395716"", ""Science!M:N""), 2, FALSE)"),"Identify common sources of noise pollution in the environment and at home.")</f>
        <v>Identify common sources of noise pollution in the environment and at home.</v>
      </c>
      <c r="O98" s="10" t="str">
        <f t="shared" si="3"/>
        <v>LU005581.004</v>
      </c>
      <c r="P98" s="10" t="str">
        <f ca="1">IFERROR(__xludf.DUMMYFUNCTION("VLOOKUP(O98, IMPORTRANGE(""https://docs.google.com/spreadsheets/d/1yDAaXNsi4Mr5FtRQL4tbmSdIzhx6_m4wkOD7IG-k_eo/edit#gid=1336395716"", ""Science!M:N""), 2, FALSE)"),"Compare noise pollution caused by external factors like vehicles and explosions, and those caused by household appliances.")</f>
        <v>Compare noise pollution caused by external factors like vehicles and explosions, and those caused by household appliances.</v>
      </c>
      <c r="Q98" s="10" t="str">
        <f t="shared" si="4"/>
        <v>LU005581.005</v>
      </c>
      <c r="R98" s="10" t="str">
        <f ca="1">IFERROR(__xludf.DUMMYFUNCTION("VLOOKUP(Q98, IMPORTRANGE(""https://docs.google.com/spreadsheets/d/1yDAaXNsi4Mr5FtRQL4tbmSdIzhx6_m4wkOD7IG-k_eo/edit#gid=1336395716"", ""Science!M:N""), 2, FALSE)"),"Judge the potential impact of household appliances on the overall noise pollution levels in a residential area.")</f>
        <v>Judge the potential impact of household appliances on the overall noise pollution levels in a residential area.</v>
      </c>
      <c r="S98" s="10" t="str">
        <f t="shared" si="5"/>
        <v>LU005581.006</v>
      </c>
      <c r="T98" s="10" t="str">
        <f ca="1">IFERROR(__xludf.DUMMYFUNCTION("VLOOKUP(S98, IMPORTRANGE(""https://docs.google.com/spreadsheets/d/1yDAaXNsi4Mr5FtRQL4tbmSdIzhx6_m4wkOD7IG-k_eo/edit#gid=1336395716"", ""Science!M:N""), 2, FALSE)"),"Propose ways to reduce noise pollution within a household setting.")</f>
        <v>Propose ways to reduce noise pollution within a household setting.</v>
      </c>
      <c r="U98" s="116">
        <f ca="1">IFERROR(__xludf.DUMMYFUNCTION("ArrayFormula(VLOOKUP(G98, IMPORTRANGE(""https://docs.google.com/spreadsheets/d/1p7R4vtkWt5VOBim4ltsDG9KTzSjrtKXsMtQGXPHyND0/edit#gid=795171502"", ""'Filter 30_05_2024'!A1:M2000""), {2, 3, 4, 5,6,7,8,9,10,11,12,13}, 0))"),4)</f>
        <v>4</v>
      </c>
      <c r="V98" s="116">
        <f ca="1">IFERROR(__xludf.DUMMYFUNCTION("""COMPUTED_VALUE"""),6)</f>
        <v>6</v>
      </c>
      <c r="W98" s="116">
        <f ca="1">IFERROR(__xludf.DUMMYFUNCTION("""COMPUTED_VALUE"""),2)</f>
        <v>2</v>
      </c>
      <c r="X98" s="116">
        <f ca="1">IFERROR(__xludf.DUMMYFUNCTION("""COMPUTED_VALUE"""),12)</f>
        <v>12</v>
      </c>
      <c r="Y98" s="116">
        <f ca="1">IFERROR(__xludf.DUMMYFUNCTION("""COMPUTED_VALUE"""),4)</f>
        <v>4</v>
      </c>
      <c r="Z98" s="12">
        <f ca="1">IFERROR(__xludf.DUMMYFUNCTION("""COMPUTED_VALUE"""),3)</f>
        <v>3</v>
      </c>
      <c r="AA98" s="12">
        <f ca="1">IFERROR(__xludf.DUMMYFUNCTION("""COMPUTED_VALUE"""),1)</f>
        <v>1</v>
      </c>
      <c r="AB98" s="12">
        <f ca="1">IFERROR(__xludf.DUMMYFUNCTION("""COMPUTED_VALUE"""),8)</f>
        <v>8</v>
      </c>
      <c r="AC98" s="12"/>
      <c r="AD98" s="12"/>
      <c r="AE98" s="12"/>
      <c r="AF98" s="12"/>
      <c r="AG98" s="13" t="str">
        <f ca="1">IFERROR(__xludf.DUMMYFUNCTION("ArrayFormula(VLOOKUP(G98, IMPORTRANGE(""https://docs.google.com/spreadsheets/d/1Co934fvtviyaRiMsrIlT05Jaq7iiYq07aLvRr35KA48/edit?gid=173865642#gid=173865642"", ""'G8_Sci_Pri_LU'!G2:V2000""), {3, 4, 5, 6, 7, 8, 9, 10, 11, 12, 13, 14, 15, 16}, 0))"),"LU005580")</f>
        <v>LU005580</v>
      </c>
      <c r="AH98" s="13" t="str">
        <f ca="1">IFERROR(__xludf.DUMMYFUNCTION("""COMPUTED_VALUE"""),"Distinguish Noise from Music")</f>
        <v>Distinguish Noise from Music</v>
      </c>
      <c r="AI98" s="13"/>
      <c r="AJ98" s="13"/>
      <c r="AK98" s="13"/>
      <c r="AL98" s="13"/>
      <c r="AM98" s="13"/>
      <c r="AN98" s="13"/>
      <c r="AO98" s="13"/>
      <c r="AP98" s="13"/>
      <c r="AQ98" s="13"/>
      <c r="AR98" s="13"/>
      <c r="AS98" s="13"/>
      <c r="AT98" s="13"/>
    </row>
    <row r="99" spans="1:46" ht="39.6">
      <c r="A99" s="8" t="s">
        <v>247</v>
      </c>
      <c r="B99" s="8" t="s">
        <v>47</v>
      </c>
      <c r="C99" s="8" t="s">
        <v>731</v>
      </c>
      <c r="D99" s="8" t="s">
        <v>1510</v>
      </c>
      <c r="E99" s="8" t="s">
        <v>2157</v>
      </c>
      <c r="F99" s="8" t="s">
        <v>2174</v>
      </c>
      <c r="G99" s="8" t="s">
        <v>2176</v>
      </c>
      <c r="H99" s="8" t="str">
        <f ca="1">IFERROR(__xludf.DUMMYFUNCTION("VLOOKUP(G99, IMPORTRANGE(""https://docs.google.com/spreadsheets/d/14deopnvwcrKtEGCKuYXdUHJbeLDZlkiSSWWT0g7x2pM/edit#gid=849066331"", ""LU List Science (Filter)!A:B""), 2, FALSE)"),"Effects of noise pollution on human health")</f>
        <v>Effects of noise pollution on human health</v>
      </c>
      <c r="I99" s="10" t="str">
        <f t="shared" si="0"/>
        <v>LU005582.001</v>
      </c>
      <c r="J99" s="10" t="str">
        <f ca="1">IFERROR(__xludf.DUMMYFUNCTION("VLOOKUP(I99, IMPORTRANGE(""https://docs.google.com/spreadsheets/d/1yDAaXNsi4Mr5FtRQL4tbmSdIzhx6_m4wkOD7IG-k_eo/edit#gid=1336395716"", ""Science!M:N""), 2, FALSE)"),"List the health-related problems caused by noise pollution")</f>
        <v>List the health-related problems caused by noise pollution</v>
      </c>
      <c r="K99" s="10" t="str">
        <f t="shared" si="6"/>
        <v>LU005582.002</v>
      </c>
      <c r="L99" s="10" t="str">
        <f ca="1">IFERROR(__xludf.DUMMYFUNCTION("VLOOKUP(K99, IMPORTRANGE(""https://docs.google.com/spreadsheets/d/1yDAaXNsi4Mr5FtRQL4tbmSdIzhx6_m4wkOD7IG-k_eo/edit#gid=1336395716"", ""Science!M:N""), 2, FALSE)"),"Explain in their own words how noise pollution can lead to hypertension and anxiety.")</f>
        <v>Explain in their own words how noise pollution can lead to hypertension and anxiety.</v>
      </c>
      <c r="M99" s="10" t="str">
        <f t="shared" si="2"/>
        <v>LU005582.003</v>
      </c>
      <c r="N99" s="10" t="str">
        <f ca="1">IFERROR(__xludf.DUMMYFUNCTION("VLOOKUP(M99, IMPORTRANGE(""https://docs.google.com/spreadsheets/d/1yDAaXNsi4Mr5FtRQL4tbmSdIzhx6_m4wkOD7IG-k_eo/edit#gid=1336395716"", ""Science!M:N""), 2, FALSE)"),"Demonstrate how continuous exposure to loud sounds can impact one's hearing.")</f>
        <v>Demonstrate how continuous exposure to loud sounds can impact one's hearing.</v>
      </c>
      <c r="O99" s="10" t="str">
        <f t="shared" si="3"/>
        <v>LU005582.004</v>
      </c>
      <c r="P99" s="10" t="str">
        <f ca="1">IFERROR(__xludf.DUMMYFUNCTION("VLOOKUP(O99, IMPORTRANGE(""https://docs.google.com/spreadsheets/d/1yDAaXNsi4Mr5FtRQL4tbmSdIzhx6_m4wkOD7IG-k_eo/edit#gid=1336395716"", ""Science!M:N""), 2, FALSE)"),"Differentiate between the effects of temporary and permanent impairment of hearing due to noise pollution.")</f>
        <v>Differentiate between the effects of temporary and permanent impairment of hearing due to noise pollution.</v>
      </c>
      <c r="Q99" s="10" t="str">
        <f t="shared" si="4"/>
        <v>LU005582.005</v>
      </c>
      <c r="R99" s="10" t="str">
        <f ca="1">IFERROR(__xludf.DUMMYFUNCTION("VLOOKUP(Q99, IMPORTRANGE(""https://docs.google.com/spreadsheets/d/1yDAaXNsi4Mr5FtRQL4tbmSdIzhx6_m4wkOD7IG-k_eo/edit#gid=1336395716"", ""Science!M:N""), 2, FALSE)"),"Assess the significance of managing noise pollution in one's environment to protect individual health.")</f>
        <v>Assess the significance of managing noise pollution in one's environment to protect individual health.</v>
      </c>
      <c r="S99" s="10" t="str">
        <f t="shared" si="5"/>
        <v>LU005582.006</v>
      </c>
      <c r="T99" s="10" t="str">
        <f ca="1">IFERROR(__xludf.DUMMYFUNCTION("VLOOKUP(S99, IMPORTRANGE(""https://docs.google.com/spreadsheets/d/1yDAaXNsi4Mr5FtRQL4tbmSdIzhx6_m4wkOD7IG-k_eo/edit#gid=1336395716"", ""Science!M:N""), 2, FALSE)"),"#N/A")</f>
        <v>#N/A</v>
      </c>
      <c r="U99" s="116">
        <f ca="1">IFERROR(__xludf.DUMMYFUNCTION("ArrayFormula(VLOOKUP(G99, IMPORTRANGE(""https://docs.google.com/spreadsheets/d/1p7R4vtkWt5VOBim4ltsDG9KTzSjrtKXsMtQGXPHyND0/edit#gid=795171502"", ""'Filter 30_05_2024'!A1:M2000""), {2, 3, 4, 5,6,7,8,9,10,11,12,13}, 0))"),4)</f>
        <v>4</v>
      </c>
      <c r="V99" s="116">
        <f ca="1">IFERROR(__xludf.DUMMYFUNCTION("""COMPUTED_VALUE"""),6)</f>
        <v>6</v>
      </c>
      <c r="W99" s="116">
        <f ca="1">IFERROR(__xludf.DUMMYFUNCTION("""COMPUTED_VALUE"""),2)</f>
        <v>2</v>
      </c>
      <c r="X99" s="116">
        <f ca="1">IFERROR(__xludf.DUMMYFUNCTION("""COMPUTED_VALUE"""),12)</f>
        <v>12</v>
      </c>
      <c r="Y99" s="116">
        <f ca="1">IFERROR(__xludf.DUMMYFUNCTION("""COMPUTED_VALUE"""),4)</f>
        <v>4</v>
      </c>
      <c r="Z99" s="12">
        <f ca="1">IFERROR(__xludf.DUMMYFUNCTION("""COMPUTED_VALUE"""),3)</f>
        <v>3</v>
      </c>
      <c r="AA99" s="12">
        <f ca="1">IFERROR(__xludf.DUMMYFUNCTION("""COMPUTED_VALUE"""),1)</f>
        <v>1</v>
      </c>
      <c r="AB99" s="12">
        <f ca="1">IFERROR(__xludf.DUMMYFUNCTION("""COMPUTED_VALUE"""),8)</f>
        <v>8</v>
      </c>
      <c r="AC99" s="12"/>
      <c r="AD99" s="12"/>
      <c r="AE99" s="12"/>
      <c r="AF99" s="12"/>
      <c r="AG99" s="13" t="str">
        <f ca="1">IFERROR(__xludf.DUMMYFUNCTION("ArrayFormula(VLOOKUP(G99, IMPORTRANGE(""https://docs.google.com/spreadsheets/d/1Co934fvtviyaRiMsrIlT05Jaq7iiYq07aLvRr35KA48/edit?gid=173865642#gid=173865642"", ""'G8_Sci_Pri_LU'!G2:V2000""), {3, 4, 5, 6, 7, 8, 9, 10, 11, 12, 13, 14, 15, 16}, 0))"),"LU005581")</f>
        <v>LU005581</v>
      </c>
      <c r="AH99" s="13" t="str">
        <f ca="1">IFERROR(__xludf.DUMMYFUNCTION("""COMPUTED_VALUE"""),"Sources of noise pollution")</f>
        <v>Sources of noise pollution</v>
      </c>
      <c r="AI99" s="13" t="str">
        <f ca="1">IFERROR(__xludf.DUMMYFUNCTION("""COMPUTED_VALUE"""),"LU005580")</f>
        <v>LU005580</v>
      </c>
      <c r="AJ99" s="13" t="str">
        <f ca="1">IFERROR(__xludf.DUMMYFUNCTION("""COMPUTED_VALUE"""),"Distinguish Noise from Music")</f>
        <v>Distinguish Noise from Music</v>
      </c>
      <c r="AK99" s="13"/>
      <c r="AL99" s="13"/>
      <c r="AM99" s="13"/>
      <c r="AN99" s="13"/>
      <c r="AO99" s="13"/>
      <c r="AP99" s="13"/>
      <c r="AQ99" s="13"/>
      <c r="AR99" s="13"/>
      <c r="AS99" s="13"/>
      <c r="AT99" s="13"/>
    </row>
    <row r="100" spans="1:46" ht="52.8">
      <c r="A100" s="8" t="s">
        <v>247</v>
      </c>
      <c r="B100" s="8" t="s">
        <v>47</v>
      </c>
      <c r="C100" s="8" t="s">
        <v>731</v>
      </c>
      <c r="D100" s="8" t="s">
        <v>1510</v>
      </c>
      <c r="E100" s="8" t="s">
        <v>2157</v>
      </c>
      <c r="F100" s="8" t="s">
        <v>2174</v>
      </c>
      <c r="G100" s="8" t="s">
        <v>2177</v>
      </c>
      <c r="H100" s="8" t="str">
        <f ca="1">IFERROR(__xludf.DUMMYFUNCTION("VLOOKUP(G100, IMPORTRANGE(""https://docs.google.com/spreadsheets/d/14deopnvwcrKtEGCKuYXdUHJbeLDZlkiSSWWT0g7x2pM/edit#gid=849066331"", ""LU List Science (Filter)!A:B""), 2, FALSE)"),"Measures to Limit Noise Pollution")</f>
        <v>Measures to Limit Noise Pollution</v>
      </c>
      <c r="I100" s="10" t="str">
        <f t="shared" si="0"/>
        <v>LU005583.001</v>
      </c>
      <c r="J100" s="10" t="str">
        <f ca="1">IFERROR(__xludf.DUMMYFUNCTION("VLOOKUP(I100, IMPORTRANGE(""https://docs.google.com/spreadsheets/d/1yDAaXNsi4Mr5FtRQL4tbmSdIzhx6_m4wkOD7IG-k_eo/edit#gid=1336395716"", ""Science!M:N""), 2, FALSE)"),"List the measures mentioned to control noise pollution in residential areas.")</f>
        <v>List the measures mentioned to control noise pollution in residential areas.</v>
      </c>
      <c r="K100" s="10" t="str">
        <f t="shared" si="6"/>
        <v>LU005583.002</v>
      </c>
      <c r="L100" s="10" t="str">
        <f ca="1">IFERROR(__xludf.DUMMYFUNCTION("VLOOKUP(K100, IMPORTRANGE(""https://docs.google.com/spreadsheets/d/1yDAaXNsi4Mr5FtRQL4tbmSdIzhx6_m4wkOD7IG-k_eo/edit#gid=1336395716"", ""Science!M:N""), 2, FALSE)"),"Explain how trees can help in reducing the effects of noise pollution")</f>
        <v>Explain how trees can help in reducing the effects of noise pollution</v>
      </c>
      <c r="M100" s="10" t="str">
        <f t="shared" si="2"/>
        <v>LU005583.003</v>
      </c>
      <c r="N100" s="10" t="str">
        <f ca="1">IFERROR(__xludf.DUMMYFUNCTION("VLOOKUP(M100, IMPORTRANGE(""https://docs.google.com/spreadsheets/d/1yDAaXNsi4Mr5FtRQL4tbmSdIzhx6_m4wkOD7IG-k_eo/edit#gid=1336395716"", ""Science!M:N""), 2, FALSE)"),"#N/A")</f>
        <v>#N/A</v>
      </c>
      <c r="O100" s="10" t="str">
        <f t="shared" si="3"/>
        <v>LU005583.004</v>
      </c>
      <c r="P100" s="10" t="str">
        <f ca="1">IFERROR(__xludf.DUMMYFUNCTION("VLOOKUP(O100, IMPORTRANGE(""https://docs.google.com/spreadsheets/d/1yDAaXNsi4Mr5FtRQL4tbmSdIzhx6_m4wkOD7IG-k_eo/edit#gid=1336395716"", ""Science!M:N""), 2, FALSE)"),"Compare and contrast the effectiveness of using silencing devices in transport vehicles versus planting trees around buildings to control noise.")</f>
        <v>Compare and contrast the effectiveness of using silencing devices in transport vehicles versus planting trees around buildings to control noise.</v>
      </c>
      <c r="Q100" s="10" t="str">
        <f t="shared" si="4"/>
        <v>LU005583.005</v>
      </c>
      <c r="R100" s="10" t="str">
        <f ca="1">IFERROR(__xludf.DUMMYFUNCTION("VLOOKUP(Q100, IMPORTRANGE(""https://docs.google.com/spreadsheets/d/1yDAaXNsi4Mr5FtRQL4tbmSdIzhx6_m4wkOD7IG-k_eo/edit#gid=1336395716"", ""Science!M:N""), 2, FALSE)"),"Assess the potential impact of running TV and music systems at high volumes in a residential area and justify the importance of keeping them at low volumes.")</f>
        <v>Assess the potential impact of running TV and music systems at high volumes in a residential area and justify the importance of keeping them at low volumes.</v>
      </c>
      <c r="S100" s="10" t="str">
        <f t="shared" si="5"/>
        <v>LU005583.006</v>
      </c>
      <c r="T100" s="10" t="str">
        <f ca="1">IFERROR(__xludf.DUMMYFUNCTION("VLOOKUP(S100, IMPORTRANGE(""https://docs.google.com/spreadsheets/d/1yDAaXNsi4Mr5FtRQL4tbmSdIzhx6_m4wkOD7IG-k_eo/edit#gid=1336395716"", ""Science!M:N""), 2, FALSE)"),"#N/A")</f>
        <v>#N/A</v>
      </c>
      <c r="U100" s="116">
        <f ca="1">IFERROR(__xludf.DUMMYFUNCTION("ArrayFormula(VLOOKUP(G100, IMPORTRANGE(""https://docs.google.com/spreadsheets/d/1p7R4vtkWt5VOBim4ltsDG9KTzSjrtKXsMtQGXPHyND0/edit#gid=795171502"", ""'Filter 30_05_2024'!A1:M2000""), {2, 3, 4, 5,6,7,8,9,10,11,12,13}, 0))"),4)</f>
        <v>4</v>
      </c>
      <c r="V100" s="116">
        <f ca="1">IFERROR(__xludf.DUMMYFUNCTION("""COMPUTED_VALUE"""),6)</f>
        <v>6</v>
      </c>
      <c r="W100" s="116">
        <f ca="1">IFERROR(__xludf.DUMMYFUNCTION("""COMPUTED_VALUE"""),2)</f>
        <v>2</v>
      </c>
      <c r="X100" s="116">
        <f ca="1">IFERROR(__xludf.DUMMYFUNCTION("""COMPUTED_VALUE"""),12)</f>
        <v>12</v>
      </c>
      <c r="Y100" s="116">
        <f ca="1">IFERROR(__xludf.DUMMYFUNCTION("""COMPUTED_VALUE"""),4)</f>
        <v>4</v>
      </c>
      <c r="Z100" s="12">
        <f ca="1">IFERROR(__xludf.DUMMYFUNCTION("""COMPUTED_VALUE"""),3)</f>
        <v>3</v>
      </c>
      <c r="AA100" s="12">
        <f ca="1">IFERROR(__xludf.DUMMYFUNCTION("""COMPUTED_VALUE"""),1)</f>
        <v>1</v>
      </c>
      <c r="AB100" s="12">
        <f ca="1">IFERROR(__xludf.DUMMYFUNCTION("""COMPUTED_VALUE"""),8)</f>
        <v>8</v>
      </c>
      <c r="AC100" s="12"/>
      <c r="AD100" s="12"/>
      <c r="AE100" s="12"/>
      <c r="AF100" s="12"/>
      <c r="AG100" s="13" t="str">
        <f ca="1">IFERROR(__xludf.DUMMYFUNCTION("ArrayFormula(VLOOKUP(G100, IMPORTRANGE(""https://docs.google.com/spreadsheets/d/1Co934fvtviyaRiMsrIlT05Jaq7iiYq07aLvRr35KA48/edit?gid=173865642#gid=173865642"", ""'G8_Sci_Pri_LU'!G2:V2000""), {3, 4, 5, 6, 7, 8, 9, 10, 11, 12, 13, 14, 15, 16}, 0))"),"LU005581")</f>
        <v>LU005581</v>
      </c>
      <c r="AH100" s="13" t="str">
        <f ca="1">IFERROR(__xludf.DUMMYFUNCTION("""COMPUTED_VALUE"""),"Sources of noise pollution")</f>
        <v>Sources of noise pollution</v>
      </c>
      <c r="AI100" s="13" t="str">
        <f ca="1">IFERROR(__xludf.DUMMYFUNCTION("""COMPUTED_VALUE"""),"LU005582")</f>
        <v>LU005582</v>
      </c>
      <c r="AJ100" s="13" t="str">
        <f ca="1">IFERROR(__xludf.DUMMYFUNCTION("""COMPUTED_VALUE"""),"Effects of noise pollution on human health")</f>
        <v>Effects of noise pollution on human health</v>
      </c>
      <c r="AK100" s="13" t="str">
        <f ca="1">IFERROR(__xludf.DUMMYFUNCTION("""COMPUTED_VALUE"""),"LU005580")</f>
        <v>LU005580</v>
      </c>
      <c r="AL100" s="13" t="str">
        <f ca="1">IFERROR(__xludf.DUMMYFUNCTION("""COMPUTED_VALUE"""),"Distinguish Noise from Music")</f>
        <v>Distinguish Noise from Music</v>
      </c>
      <c r="AM100" s="13"/>
      <c r="AN100" s="13"/>
      <c r="AO100" s="13"/>
      <c r="AP100" s="13"/>
      <c r="AQ100" s="13"/>
      <c r="AR100" s="13"/>
      <c r="AS100" s="13"/>
      <c r="AT100" s="13"/>
    </row>
    <row r="101" spans="1:46" ht="39.6">
      <c r="A101" s="8" t="s">
        <v>247</v>
      </c>
      <c r="B101" s="8" t="s">
        <v>47</v>
      </c>
      <c r="C101" s="8" t="s">
        <v>731</v>
      </c>
      <c r="D101" s="8" t="s">
        <v>1441</v>
      </c>
      <c r="E101" s="8" t="s">
        <v>2178</v>
      </c>
      <c r="F101" s="8" t="s">
        <v>2179</v>
      </c>
      <c r="G101" s="8" t="s">
        <v>2180</v>
      </c>
      <c r="H101" s="8" t="str">
        <f ca="1">IFERROR(__xludf.DUMMYFUNCTION("VLOOKUP(G101, IMPORTRANGE(""https://docs.google.com/spreadsheets/d/14deopnvwcrKtEGCKuYXdUHJbeLDZlkiSSWWT0g7x2pM/edit#gid=849066331"", ""LU List Science (Filter)!A:B""), 2, FALSE)"),"Exploring the electrical conduction in liquids")</f>
        <v>Exploring the electrical conduction in liquids</v>
      </c>
      <c r="I101" s="10" t="str">
        <f t="shared" si="0"/>
        <v>LU005528.001</v>
      </c>
      <c r="J101" s="10" t="str">
        <f ca="1">IFERROR(__xludf.DUMMYFUNCTION("VLOOKUP(I101, IMPORTRANGE(""https://docs.google.com/spreadsheets/d/1yDAaXNsi4Mr5FtRQL4tbmSdIzhx6_m4wkOD7IG-k_eo/edit#gid=1336395716"", ""Science!M:N""), 2, FALSE)"),"Recall the definition of a liquid conductor.")</f>
        <v>Recall the definition of a liquid conductor.</v>
      </c>
      <c r="K101" s="10" t="str">
        <f t="shared" si="6"/>
        <v>LU005528.002</v>
      </c>
      <c r="L101" s="10" t="str">
        <f ca="1">IFERROR(__xludf.DUMMYFUNCTION("VLOOKUP(K101, IMPORTRANGE(""https://docs.google.com/spreadsheets/d/1yDAaXNsi4Mr5FtRQL4tbmSdIzhx6_m4wkOD7IG-k_eo/edit#gid=1336395716"", ""Science!M:N""), 2, FALSE)"),"Explain why certain liquids conduct electricity and others do not.")</f>
        <v>Explain why certain liquids conduct electricity and others do not.</v>
      </c>
      <c r="M101" s="10" t="str">
        <f t="shared" si="2"/>
        <v>LU005528.003</v>
      </c>
      <c r="N101" s="10" t="str">
        <f ca="1">IFERROR(__xludf.DUMMYFUNCTION("VLOOKUP(M101, IMPORTRANGE(""https://docs.google.com/spreadsheets/d/1yDAaXNsi4Mr5FtRQL4tbmSdIzhx6_m4wkOD7IG-k_eo/edit#gid=1336395716"", ""Science!M:N""), 2, FALSE)"),"Demonstrate how to test the conductivity of a given liquid using a simple tester.")</f>
        <v>Demonstrate how to test the conductivity of a given liquid using a simple tester.</v>
      </c>
      <c r="O101" s="10" t="str">
        <f t="shared" si="3"/>
        <v>LU005528.004</v>
      </c>
      <c r="P101" s="10" t="str">
        <f ca="1">IFERROR(__xludf.DUMMYFUNCTION("VLOOKUP(O101, IMPORTRANGE(""https://docs.google.com/spreadsheets/d/1yDAaXNsi4Mr5FtRQL4tbmSdIzhx6_m4wkOD7IG-k_eo/edit#gid=1336395716"", ""Science!M:N""), 2, FALSE)"),"Compare and contrast the conductivity of different liquids.")</f>
        <v>Compare and contrast the conductivity of different liquids.</v>
      </c>
      <c r="Q101" s="10" t="str">
        <f t="shared" si="4"/>
        <v>LU005528.005</v>
      </c>
      <c r="R101" s="10" t="str">
        <f ca="1">IFERROR(__xludf.DUMMYFUNCTION("VLOOKUP(Q101, IMPORTRANGE(""https://docs.google.com/spreadsheets/d/1yDAaXNsi4Mr5FtRQL4tbmSdIzhx6_m4wkOD7IG-k_eo/edit#gid=1336395716"", ""Science!M:N""), 2, FALSE)"),"Justify the categorization of a liquid as a good conductor or a poor conductor based on experimental results.")</f>
        <v>Justify the categorization of a liquid as a good conductor or a poor conductor based on experimental results.</v>
      </c>
      <c r="S101" s="10" t="str">
        <f t="shared" si="5"/>
        <v>LU005528.006</v>
      </c>
      <c r="T101" s="10" t="str">
        <f ca="1">IFERROR(__xludf.DUMMYFUNCTION("VLOOKUP(S101, IMPORTRANGE(""https://docs.google.com/spreadsheets/d/1yDAaXNsi4Mr5FtRQL4tbmSdIzhx6_m4wkOD7IG-k_eo/edit#gid=1336395716"", ""Science!M:N""), 2, FALSE)"),"#N/A")</f>
        <v>#N/A</v>
      </c>
      <c r="U101" s="116">
        <f ca="1">IFERROR(__xludf.DUMMYFUNCTION("ArrayFormula(VLOOKUP(G101, IMPORTRANGE(""https://docs.google.com/spreadsheets/d/1p7R4vtkWt5VOBim4ltsDG9KTzSjrtKXsMtQGXPHyND0/edit#gid=795171502"", ""'Filter 30_05_2024'!A1:M2000""), {2, 3, 4, 5,6,7,8,9,10,11,12,13}, 0))"),4)</f>
        <v>4</v>
      </c>
      <c r="V101" s="116">
        <f ca="1">IFERROR(__xludf.DUMMYFUNCTION("""COMPUTED_VALUE"""),6)</f>
        <v>6</v>
      </c>
      <c r="W101" s="116">
        <f ca="1">IFERROR(__xludf.DUMMYFUNCTION("""COMPUTED_VALUE"""),2)</f>
        <v>2</v>
      </c>
      <c r="X101" s="116">
        <f ca="1">IFERROR(__xludf.DUMMYFUNCTION("""COMPUTED_VALUE"""),12)</f>
        <v>12</v>
      </c>
      <c r="Y101" s="116">
        <f ca="1">IFERROR(__xludf.DUMMYFUNCTION("""COMPUTED_VALUE"""),4)</f>
        <v>4</v>
      </c>
      <c r="Z101" s="12">
        <f ca="1">IFERROR(__xludf.DUMMYFUNCTION("""COMPUTED_VALUE"""),3)</f>
        <v>3</v>
      </c>
      <c r="AA101" s="12">
        <f ca="1">IFERROR(__xludf.DUMMYFUNCTION("""COMPUTED_VALUE"""),1)</f>
        <v>1</v>
      </c>
      <c r="AB101" s="12">
        <f ca="1">IFERROR(__xludf.DUMMYFUNCTION("""COMPUTED_VALUE"""),8)</f>
        <v>8</v>
      </c>
      <c r="AC101" s="12"/>
      <c r="AD101" s="12"/>
      <c r="AE101" s="12"/>
      <c r="AF101" s="12"/>
      <c r="AG101" s="13" t="str">
        <f ca="1">IFERROR(__xludf.DUMMYFUNCTION("ArrayFormula(VLOOKUP(G101, IMPORTRANGE(""https://docs.google.com/spreadsheets/d/1Co934fvtviyaRiMsrIlT05Jaq7iiYq07aLvRr35KA48/edit?gid=173865642#gid=173865642"", ""'G8_Sci_Pri_LU'!G2:V2000""), {3, 4, 5, 6, 7, 8, 9, 10, 11, 12, 13, 14, 15, 16}, 0))"),"LU005152")</f>
        <v>LU005152</v>
      </c>
      <c r="AH101" s="13" t="str">
        <f ca="1">IFERROR(__xludf.DUMMYFUNCTION("""COMPUTED_VALUE"""),"Electric Conductors and Insulators: Definition and Application")</f>
        <v>Electric Conductors and Insulators: Definition and Application</v>
      </c>
      <c r="AI101" s="13"/>
      <c r="AJ101" s="13"/>
      <c r="AK101" s="13"/>
      <c r="AL101" s="13"/>
      <c r="AM101" s="13"/>
      <c r="AN101" s="13"/>
      <c r="AO101" s="13"/>
      <c r="AP101" s="13"/>
      <c r="AQ101" s="13"/>
      <c r="AR101" s="13"/>
      <c r="AS101" s="13"/>
      <c r="AT101" s="13"/>
    </row>
    <row r="102" spans="1:46" ht="39.6">
      <c r="A102" s="8" t="s">
        <v>247</v>
      </c>
      <c r="B102" s="8" t="s">
        <v>47</v>
      </c>
      <c r="C102" s="8" t="s">
        <v>731</v>
      </c>
      <c r="D102" s="8" t="s">
        <v>1441</v>
      </c>
      <c r="E102" s="8" t="s">
        <v>2178</v>
      </c>
      <c r="F102" s="8" t="s">
        <v>2179</v>
      </c>
      <c r="G102" s="8" t="s">
        <v>2181</v>
      </c>
      <c r="H102" s="8" t="str">
        <f ca="1">IFERROR(__xludf.DUMMYFUNCTION("VLOOKUP(G102, IMPORTRANGE(""https://docs.google.com/spreadsheets/d/14deopnvwcrKtEGCKuYXdUHJbeLDZlkiSSWWT0g7x2pM/edit#gid=849066331"", ""LU List Science (Filter)!A:B""), 2, FALSE)"),"Electrical conductivity of Distilled water vs tap water")</f>
        <v>Electrical conductivity of Distilled water vs tap water</v>
      </c>
      <c r="I102" s="10" t="str">
        <f t="shared" si="0"/>
        <v>LU005529.001</v>
      </c>
      <c r="J102" s="10" t="str">
        <f ca="1">IFERROR(__xludf.DUMMYFUNCTION("VLOOKUP(I102, IMPORTRANGE(""https://docs.google.com/spreadsheets/d/1yDAaXNsi4Mr5FtRQL4tbmSdIzhx6_m4wkOD7IG-k_eo/edit#gid=1336395716"", ""Science!M:N""), 2, FALSE)"),"List the key differences between distilled water and tap water in terms of conductivity.")</f>
        <v>List the key differences between distilled water and tap water in terms of conductivity.</v>
      </c>
      <c r="K102" s="10" t="str">
        <f t="shared" si="6"/>
        <v>LU005529.002</v>
      </c>
      <c r="L102" s="10" t="str">
        <f ca="1">IFERROR(__xludf.DUMMYFUNCTION("VLOOKUP(K102, IMPORTRANGE(""https://docs.google.com/spreadsheets/d/1yDAaXNsi4Mr5FtRQL4tbmSdIzhx6_m4wkOD7IG-k_eo/edit#gid=1336395716"", ""Science!M:N""), 2, FALSE)"),"Describe why distilled water does not conduct electricity as effectively as tap water.")</f>
        <v>Describe why distilled water does not conduct electricity as effectively as tap water.</v>
      </c>
      <c r="M102" s="10" t="str">
        <f t="shared" si="2"/>
        <v>LU005529.003</v>
      </c>
      <c r="N102" s="10" t="str">
        <f ca="1">IFERROR(__xludf.DUMMYFUNCTION("VLOOKUP(M102, IMPORTRANGE(""https://docs.google.com/spreadsheets/d/1yDAaXNsi4Mr5FtRQL4tbmSdIzhx6_m4wkOD7IG-k_eo/edit#gid=1336395716"", ""Science!M:N""), 2, FALSE)"),"")</f>
        <v/>
      </c>
      <c r="O102" s="10" t="str">
        <f t="shared" si="3"/>
        <v>LU005529.004</v>
      </c>
      <c r="P102" s="10" t="str">
        <f ca="1">IFERROR(__xludf.DUMMYFUNCTION("VLOOKUP(O102, IMPORTRANGE(""https://docs.google.com/spreadsheets/d/1yDAaXNsi4Mr5FtRQL4tbmSdIzhx6_m4wkOD7IG-k_eo/edit#gid=1336395716"", ""Science!M:N""), 2, FALSE)"),"Differentiate between the conductivity properties of distilled water, saltwater, and tap water.")</f>
        <v>Differentiate between the conductivity properties of distilled water, saltwater, and tap water.</v>
      </c>
      <c r="Q102" s="10" t="str">
        <f t="shared" si="4"/>
        <v>LU005529.005</v>
      </c>
      <c r="R102" s="10" t="str">
        <f ca="1">IFERROR(__xludf.DUMMYFUNCTION("VLOOKUP(Q102, IMPORTRANGE(""https://docs.google.com/spreadsheets/d/1yDAaXNsi4Mr5FtRQL4tbmSdIzhx6_m4wkOD7IG-k_eo/edit#gid=1336395716"", ""Science!M:N""), 2, FALSE)"),"")</f>
        <v/>
      </c>
      <c r="S102" s="10" t="str">
        <f t="shared" si="5"/>
        <v>LU005529.006</v>
      </c>
      <c r="T102" s="10" t="str">
        <f ca="1">IFERROR(__xludf.DUMMYFUNCTION("VLOOKUP(S102, IMPORTRANGE(""https://docs.google.com/spreadsheets/d/1yDAaXNsi4Mr5FtRQL4tbmSdIzhx6_m4wkOD7IG-k_eo/edit#gid=1336395716"", ""Science!M:N""), 2, FALSE)"),"Propose a method to improve the conductivity of distilled water without using common salt.")</f>
        <v>Propose a method to improve the conductivity of distilled water without using common salt.</v>
      </c>
      <c r="U102" s="116">
        <f ca="1">IFERROR(__xludf.DUMMYFUNCTION("ArrayFormula(VLOOKUP(G102, IMPORTRANGE(""https://docs.google.com/spreadsheets/d/1p7R4vtkWt5VOBim4ltsDG9KTzSjrtKXsMtQGXPHyND0/edit#gid=795171502"", ""'Filter 30_05_2024'!A1:M2000""), {2, 3, 4, 5,6,7,8,9,10,11,12,13}, 0))"),4)</f>
        <v>4</v>
      </c>
      <c r="V102" s="116">
        <f ca="1">IFERROR(__xludf.DUMMYFUNCTION("""COMPUTED_VALUE"""),6)</f>
        <v>6</v>
      </c>
      <c r="W102" s="116">
        <f ca="1">IFERROR(__xludf.DUMMYFUNCTION("""COMPUTED_VALUE"""),2)</f>
        <v>2</v>
      </c>
      <c r="X102" s="116">
        <f ca="1">IFERROR(__xludf.DUMMYFUNCTION("""COMPUTED_VALUE"""),12)</f>
        <v>12</v>
      </c>
      <c r="Y102" s="116">
        <f ca="1">IFERROR(__xludf.DUMMYFUNCTION("""COMPUTED_VALUE"""),4)</f>
        <v>4</v>
      </c>
      <c r="Z102" s="12">
        <f ca="1">IFERROR(__xludf.DUMMYFUNCTION("""COMPUTED_VALUE"""),3)</f>
        <v>3</v>
      </c>
      <c r="AA102" s="12">
        <f ca="1">IFERROR(__xludf.DUMMYFUNCTION("""COMPUTED_VALUE"""),1)</f>
        <v>1</v>
      </c>
      <c r="AB102" s="12">
        <f ca="1">IFERROR(__xludf.DUMMYFUNCTION("""COMPUTED_VALUE"""),8)</f>
        <v>8</v>
      </c>
      <c r="AC102" s="12"/>
      <c r="AD102" s="12"/>
      <c r="AE102" s="12"/>
      <c r="AF102" s="12"/>
      <c r="AG102" s="13" t="str">
        <f ca="1">IFERROR(__xludf.DUMMYFUNCTION("ArrayFormula(VLOOKUP(G102, IMPORTRANGE(""https://docs.google.com/spreadsheets/d/1Co934fvtviyaRiMsrIlT05Jaq7iiYq07aLvRr35KA48/edit?gid=173865642#gid=173865642"", ""'G8_Sci_Pri_LU'!G2:V2000""), {3, 4, 5, 6, 7, 8, 9, 10, 11, 12, 13, 14, 15, 16}, 0))"),"LU005528")</f>
        <v>LU005528</v>
      </c>
      <c r="AH102" s="13" t="str">
        <f ca="1">IFERROR(__xludf.DUMMYFUNCTION("""COMPUTED_VALUE"""),"Exploring the electrical conduction in liquids")</f>
        <v>Exploring the electrical conduction in liquids</v>
      </c>
      <c r="AI102" s="13"/>
      <c r="AJ102" s="13"/>
      <c r="AK102" s="13"/>
      <c r="AL102" s="13"/>
      <c r="AM102" s="13"/>
      <c r="AN102" s="13"/>
      <c r="AO102" s="13"/>
      <c r="AP102" s="13"/>
      <c r="AQ102" s="13"/>
      <c r="AR102" s="13"/>
      <c r="AS102" s="13"/>
      <c r="AT102" s="13"/>
    </row>
    <row r="103" spans="1:46" ht="39.6">
      <c r="A103" s="8" t="s">
        <v>247</v>
      </c>
      <c r="B103" s="8" t="s">
        <v>47</v>
      </c>
      <c r="C103" s="8" t="s">
        <v>731</v>
      </c>
      <c r="D103" s="8" t="s">
        <v>1441</v>
      </c>
      <c r="E103" s="8" t="s">
        <v>2178</v>
      </c>
      <c r="F103" s="8" t="s">
        <v>2182</v>
      </c>
      <c r="G103" s="8" t="s">
        <v>2183</v>
      </c>
      <c r="H103" s="8" t="str">
        <f ca="1">IFERROR(__xludf.DUMMYFUNCTION("VLOOKUP(G103, IMPORTRANGE(""https://docs.google.com/spreadsheets/d/14deopnvwcrKtEGCKuYXdUHJbeLDZlkiSSWWT0g7x2pM/edit#gid=849066331"", ""LU List Science (Filter)!A:B""), 2, FALSE)"),"Cause of Conductivity of Liquids")</f>
        <v>Cause of Conductivity of Liquids</v>
      </c>
      <c r="I103" s="10" t="str">
        <f t="shared" si="0"/>
        <v>LU005530.001</v>
      </c>
      <c r="J103" s="10" t="str">
        <f ca="1">IFERROR(__xludf.DUMMYFUNCTION("VLOOKUP(I103, IMPORTRANGE(""https://docs.google.com/spreadsheets/d/1yDAaXNsi4Mr5FtRQL4tbmSdIzhx6_m4wkOD7IG-k_eo/edit#gid=1336395716"", ""Science!M:N""), 2, FALSE)"),"List the types of substances that can affect the conductivity of water.")</f>
        <v>List the types of substances that can affect the conductivity of water.</v>
      </c>
      <c r="K103" s="10" t="str">
        <f t="shared" si="6"/>
        <v>LU005530.002</v>
      </c>
      <c r="L103" s="10" t="str">
        <f ca="1">IFERROR(__xludf.DUMMYFUNCTION("VLOOKUP(K103, IMPORTRANGE(""https://docs.google.com/spreadsheets/d/1yDAaXNsi4Mr5FtRQL4tbmSdIzhx6_m4wkOD7IG-k_eo/edit#gid=1336395716"", ""Science!M:N""), 2, FALSE)"),"Explain how the presence of mineral salts in water can influence its conductivity.")</f>
        <v>Explain how the presence of mineral salts in water can influence its conductivity.</v>
      </c>
      <c r="M103" s="10" t="str">
        <f t="shared" si="2"/>
        <v>LU005530.003</v>
      </c>
      <c r="N103" s="10" t="str">
        <f ca="1">IFERROR(__xludf.DUMMYFUNCTION("VLOOKUP(M103, IMPORTRANGE(""https://docs.google.com/spreadsheets/d/1yDAaXNsi4Mr5FtRQL4tbmSdIzhx6_m4wkOD7IG-k_eo/edit#gid=1336395716"", ""Science!M:N""), 2, FALSE)"),"Demonstrate the effect of adding an acid, a base, or salts to distilled water on its conductivity using a simple test.")</f>
        <v>Demonstrate the effect of adding an acid, a base, or salts to distilled water on its conductivity using a simple test.</v>
      </c>
      <c r="O103" s="10" t="str">
        <f t="shared" si="3"/>
        <v>LU005530.004</v>
      </c>
      <c r="P103" s="10" t="str">
        <f ca="1">IFERROR(__xludf.DUMMYFUNCTION("VLOOKUP(O103, IMPORTRANGE(""https://docs.google.com/spreadsheets/d/1yDAaXNsi4Mr5FtRQL4tbmSdIzhx6_m4wkOD7IG-k_eo/edit#gid=1336395716"", ""Science!M:N""), 2, FALSE)"),"Analyze the differences in conductivity when various mineral salts are introduced to water.")</f>
        <v>Analyze the differences in conductivity when various mineral salts are introduced to water.</v>
      </c>
      <c r="Q103" s="10" t="str">
        <f t="shared" si="4"/>
        <v>LU005530.005</v>
      </c>
      <c r="R103" s="10" t="str">
        <f ca="1">IFERROR(__xludf.DUMMYFUNCTION("VLOOKUP(Q103, IMPORTRANGE(""https://docs.google.com/spreadsheets/d/1yDAaXNsi4Mr5FtRQL4tbmSdIzhx6_m4wkOD7IG-k_eo/edit#gid=1336395716"", ""Science!M:N""), 2, FALSE)"),"#N/A")</f>
        <v>#N/A</v>
      </c>
      <c r="S103" s="10" t="str">
        <f t="shared" si="5"/>
        <v>LU005530.006</v>
      </c>
      <c r="T103" s="10" t="str">
        <f ca="1">IFERROR(__xludf.DUMMYFUNCTION("VLOOKUP(S103, IMPORTRANGE(""https://docs.google.com/spreadsheets/d/1yDAaXNsi4Mr5FtRQL4tbmSdIzhx6_m4wkOD7IG-k_eo/edit#gid=1336395716"", ""Science!M:N""), 2, FALSE)"),"#N/A")</f>
        <v>#N/A</v>
      </c>
      <c r="U103" s="116">
        <f ca="1">IFERROR(__xludf.DUMMYFUNCTION("ArrayFormula(VLOOKUP(G103, IMPORTRANGE(""https://docs.google.com/spreadsheets/d/1p7R4vtkWt5VOBim4ltsDG9KTzSjrtKXsMtQGXPHyND0/edit#gid=795171502"", ""'Filter 30_05_2024'!A1:M2000""), {2, 3, 4, 5,6,7,8,9,10,11,12,13}, 0))"),4)</f>
        <v>4</v>
      </c>
      <c r="V103" s="116">
        <f ca="1">IFERROR(__xludf.DUMMYFUNCTION("""COMPUTED_VALUE"""),6)</f>
        <v>6</v>
      </c>
      <c r="W103" s="116">
        <f ca="1">IFERROR(__xludf.DUMMYFUNCTION("""COMPUTED_VALUE"""),2)</f>
        <v>2</v>
      </c>
      <c r="X103" s="116">
        <f ca="1">IFERROR(__xludf.DUMMYFUNCTION("""COMPUTED_VALUE"""),12)</f>
        <v>12</v>
      </c>
      <c r="Y103" s="116">
        <f ca="1">IFERROR(__xludf.DUMMYFUNCTION("""COMPUTED_VALUE"""),4)</f>
        <v>4</v>
      </c>
      <c r="Z103" s="12">
        <f ca="1">IFERROR(__xludf.DUMMYFUNCTION("""COMPUTED_VALUE"""),3)</f>
        <v>3</v>
      </c>
      <c r="AA103" s="12">
        <f ca="1">IFERROR(__xludf.DUMMYFUNCTION("""COMPUTED_VALUE"""),1)</f>
        <v>1</v>
      </c>
      <c r="AB103" s="12">
        <f ca="1">IFERROR(__xludf.DUMMYFUNCTION("""COMPUTED_VALUE"""),8)</f>
        <v>8</v>
      </c>
      <c r="AC103" s="12"/>
      <c r="AD103" s="12"/>
      <c r="AE103" s="12"/>
      <c r="AF103" s="12"/>
      <c r="AG103" s="13" t="str">
        <f ca="1">IFERROR(__xludf.DUMMYFUNCTION("ArrayFormula(VLOOKUP(G103, IMPORTRANGE(""https://docs.google.com/spreadsheets/d/1Co934fvtviyaRiMsrIlT05Jaq7iiYq07aLvRr35KA48/edit?gid=173865642#gid=173865642"", ""'G8_Sci_Pri_LU'!G2:V2000""), {3, 4, 5, 6, 7, 8, 9, 10, 11, 12, 13, 14, 15, 16}, 0))"),"LU005528")</f>
        <v>LU005528</v>
      </c>
      <c r="AH103" s="13" t="str">
        <f ca="1">IFERROR(__xludf.DUMMYFUNCTION("""COMPUTED_VALUE"""),"Exploring the electrical conduction in liquids")</f>
        <v>Exploring the electrical conduction in liquids</v>
      </c>
      <c r="AI103" s="13"/>
      <c r="AJ103" s="13"/>
      <c r="AK103" s="13"/>
      <c r="AL103" s="13"/>
      <c r="AM103" s="13"/>
      <c r="AN103" s="13"/>
      <c r="AO103" s="13"/>
      <c r="AP103" s="13"/>
      <c r="AQ103" s="13"/>
      <c r="AR103" s="13"/>
      <c r="AS103" s="13"/>
      <c r="AT103" s="13"/>
    </row>
    <row r="104" spans="1:46" ht="52.8">
      <c r="A104" s="8" t="s">
        <v>247</v>
      </c>
      <c r="B104" s="8" t="s">
        <v>47</v>
      </c>
      <c r="C104" s="8" t="s">
        <v>731</v>
      </c>
      <c r="D104" s="8" t="s">
        <v>1441</v>
      </c>
      <c r="E104" s="8" t="s">
        <v>2178</v>
      </c>
      <c r="F104" s="8" t="s">
        <v>2184</v>
      </c>
      <c r="G104" s="8" t="s">
        <v>2185</v>
      </c>
      <c r="H104" s="8" t="str">
        <f ca="1">IFERROR(__xludf.DUMMYFUNCTION("VLOOKUP(G104, IMPORTRANGE(""https://docs.google.com/spreadsheets/d/14deopnvwcrKtEGCKuYXdUHJbeLDZlkiSSWWT0g7x2pM/edit#gid=849066331"", ""LU List Science (Filter)!A:B""), 2, FALSE)"),"Chemical effects of electric current in liquids")</f>
        <v>Chemical effects of electric current in liquids</v>
      </c>
      <c r="I104" s="10" t="str">
        <f t="shared" si="0"/>
        <v>LU005531.001</v>
      </c>
      <c r="J104" s="10" t="str">
        <f ca="1">IFERROR(__xludf.DUMMYFUNCTION("VLOOKUP(I104, IMPORTRANGE(""https://docs.google.com/spreadsheets/d/1yDAaXNsi4Mr5FtRQL4tbmSdIzhx6_m4wkOD7IG-k_eo/edit#gid=1336395716"", ""Science!M:N""), 2, FALSE)"),"Define electrolysis.")</f>
        <v>Define electrolysis.</v>
      </c>
      <c r="K104" s="10" t="str">
        <f t="shared" si="6"/>
        <v>LU005531.002</v>
      </c>
      <c r="L104" s="10" t="str">
        <f ca="1">IFERROR(__xludf.DUMMYFUNCTION("VLOOKUP(K104, IMPORTRANGE(""https://docs.google.com/spreadsheets/d/1yDAaXNsi4Mr5FtRQL4tbmSdIzhx6_m4wkOD7IG-k_eo/edit#gid=1336395716"", ""Science!M:N""), 2, FALSE)"),"Describe the chemical effects observed when an electric current passes through an ionic solution.")</f>
        <v>Describe the chemical effects observed when an electric current passes through an ionic solution.</v>
      </c>
      <c r="M104" s="10" t="str">
        <f t="shared" si="2"/>
        <v>LU005531.003</v>
      </c>
      <c r="N104" s="10" t="str">
        <f ca="1">IFERROR(__xludf.DUMMYFUNCTION("VLOOKUP(M104, IMPORTRANGE(""https://docs.google.com/spreadsheets/d/1yDAaXNsi4Mr5FtRQL4tbmSdIzhx6_m4wkOD7IG-k_eo/edit#gid=1336395716"", ""Science!M:N""), 2, FALSE)"),"Set up a basic apparatus to demonstrate the electrolysis of water, identifying the anode and cathode.")</f>
        <v>Set up a basic apparatus to demonstrate the electrolysis of water, identifying the anode and cathode.</v>
      </c>
      <c r="O104" s="10" t="str">
        <f t="shared" si="3"/>
        <v>LU005531.004</v>
      </c>
      <c r="P104" s="10" t="str">
        <f ca="1">IFERROR(__xludf.DUMMYFUNCTION("VLOOKUP(O104, IMPORTRANGE(""https://docs.google.com/spreadsheets/d/1yDAaXNsi4Mr5FtRQL4tbmSdIzhx6_m4wkOD7IG-k_eo/edit#gid=1336395716"", ""Science!M:N""), 2, FALSE)"),"Analyze and interpret the practical implications of the chemical effects of electric current in real-world applications like electroplating, or electrorefining.")</f>
        <v>Analyze and interpret the practical implications of the chemical effects of electric current in real-world applications like electroplating, or electrorefining.</v>
      </c>
      <c r="Q104" s="10" t="str">
        <f t="shared" si="4"/>
        <v>LU005531.005</v>
      </c>
      <c r="R104" s="10" t="str">
        <f ca="1">IFERROR(__xludf.DUMMYFUNCTION("VLOOKUP(Q104, IMPORTRANGE(""https://docs.google.com/spreadsheets/d/1yDAaXNsi4Mr5FtRQL4tbmSdIzhx6_m4wkOD7IG-k_eo/edit#gid=1336395716"", ""Science!M:N""), 2, FALSE)"),"Assess the importance of the nature and concentration of the solution in influencing the outcomes of electrolysis.")</f>
        <v>Assess the importance of the nature and concentration of the solution in influencing the outcomes of electrolysis.</v>
      </c>
      <c r="S104" s="10" t="str">
        <f t="shared" si="5"/>
        <v>LU005531.006</v>
      </c>
      <c r="T104" s="10" t="str">
        <f ca="1">IFERROR(__xludf.DUMMYFUNCTION("VLOOKUP(S104, IMPORTRANGE(""https://docs.google.com/spreadsheets/d/1yDAaXNsi4Mr5FtRQL4tbmSdIzhx6_m4wkOD7IG-k_eo/edit#gid=1336395716"", ""Science!M:N""), 2, FALSE)"),"Design a safety protocol for conducting electrolysis experiments, considering the chemical changes that occur.")</f>
        <v>Design a safety protocol for conducting electrolysis experiments, considering the chemical changes that occur.</v>
      </c>
      <c r="U104" s="116">
        <f ca="1">IFERROR(__xludf.DUMMYFUNCTION("ArrayFormula(VLOOKUP(G104, IMPORTRANGE(""https://docs.google.com/spreadsheets/d/1p7R4vtkWt5VOBim4ltsDG9KTzSjrtKXsMtQGXPHyND0/edit#gid=795171502"", ""'Filter 30_05_2024'!A1:M2000""), {2, 3, 4, 5,6,7,8,9,10,11,12,13}, 0))"),4)</f>
        <v>4</v>
      </c>
      <c r="V104" s="116">
        <f ca="1">IFERROR(__xludf.DUMMYFUNCTION("""COMPUTED_VALUE"""),6)</f>
        <v>6</v>
      </c>
      <c r="W104" s="116">
        <f ca="1">IFERROR(__xludf.DUMMYFUNCTION("""COMPUTED_VALUE"""),2)</f>
        <v>2</v>
      </c>
      <c r="X104" s="116">
        <f ca="1">IFERROR(__xludf.DUMMYFUNCTION("""COMPUTED_VALUE"""),12)</f>
        <v>12</v>
      </c>
      <c r="Y104" s="116">
        <f ca="1">IFERROR(__xludf.DUMMYFUNCTION("""COMPUTED_VALUE"""),4)</f>
        <v>4</v>
      </c>
      <c r="Z104" s="12">
        <f ca="1">IFERROR(__xludf.DUMMYFUNCTION("""COMPUTED_VALUE"""),3)</f>
        <v>3</v>
      </c>
      <c r="AA104" s="12">
        <f ca="1">IFERROR(__xludf.DUMMYFUNCTION("""COMPUTED_VALUE"""),1)</f>
        <v>1</v>
      </c>
      <c r="AB104" s="12">
        <f ca="1">IFERROR(__xludf.DUMMYFUNCTION("""COMPUTED_VALUE"""),8)</f>
        <v>8</v>
      </c>
      <c r="AC104" s="12"/>
      <c r="AD104" s="12"/>
      <c r="AE104" s="12"/>
      <c r="AF104" s="12"/>
      <c r="AG104" s="13" t="str">
        <f ca="1">IFERROR(__xludf.DUMMYFUNCTION("ArrayFormula(VLOOKUP(G104, IMPORTRANGE(""https://docs.google.com/spreadsheets/d/1Co934fvtviyaRiMsrIlT05Jaq7iiYq07aLvRr35KA48/edit?gid=173865642#gid=173865642"", ""'G8_Sci_Pri_LU'!G2:V2000""), {3, 4, 5, 6, 7, 8, 9, 10, 11, 12, 13, 14, 15, 16}, 0))"),"LU005530")</f>
        <v>LU005530</v>
      </c>
      <c r="AH104" s="13" t="str">
        <f ca="1">IFERROR(__xludf.DUMMYFUNCTION("""COMPUTED_VALUE"""),"Cause of Conductivity of Liquids")</f>
        <v>Cause of Conductivity of Liquids</v>
      </c>
      <c r="AI104" s="13" t="str">
        <f ca="1">IFERROR(__xludf.DUMMYFUNCTION("""COMPUTED_VALUE"""),"LU005529")</f>
        <v>LU005529</v>
      </c>
      <c r="AJ104" s="13" t="str">
        <f ca="1">IFERROR(__xludf.DUMMYFUNCTION("""COMPUTED_VALUE"""),"Electrical conductivity of Distilled water vs tap water")</f>
        <v>Electrical conductivity of Distilled water vs tap water</v>
      </c>
      <c r="AK104" s="13"/>
      <c r="AL104" s="13"/>
      <c r="AM104" s="13"/>
      <c r="AN104" s="13"/>
      <c r="AO104" s="13"/>
      <c r="AP104" s="13"/>
      <c r="AQ104" s="13"/>
      <c r="AR104" s="13"/>
      <c r="AS104" s="13"/>
      <c r="AT104" s="13"/>
    </row>
    <row r="105" spans="1:46" ht="52.8">
      <c r="A105" s="8" t="s">
        <v>247</v>
      </c>
      <c r="B105" s="8" t="s">
        <v>47</v>
      </c>
      <c r="C105" s="8" t="s">
        <v>731</v>
      </c>
      <c r="D105" s="8" t="s">
        <v>1441</v>
      </c>
      <c r="E105" s="8" t="s">
        <v>2178</v>
      </c>
      <c r="F105" s="8" t="s">
        <v>2186</v>
      </c>
      <c r="G105" s="8" t="s">
        <v>2187</v>
      </c>
      <c r="H105" s="8" t="str">
        <f ca="1">IFERROR(__xludf.DUMMYFUNCTION("VLOOKUP(G105, IMPORTRANGE(""https://docs.google.com/spreadsheets/d/14deopnvwcrKtEGCKuYXdUHJbeLDZlkiSSWWT0g7x2pM/edit#gid=849066331"", ""LU List Science (Filter)!A:B""), 2, FALSE)"),"Purpose of Electroplating")</f>
        <v>Purpose of Electroplating</v>
      </c>
      <c r="I105" s="10" t="str">
        <f t="shared" si="0"/>
        <v>LU005533.001</v>
      </c>
      <c r="J105" s="10" t="str">
        <f ca="1">IFERROR(__xludf.DUMMYFUNCTION("VLOOKUP(I105, IMPORTRANGE(""https://docs.google.com/spreadsheets/d/1yDAaXNsi4Mr5FtRQL4tbmSdIzhx6_m4wkOD7IG-k_eo/edit#gid=1336395716"", ""Science!M:N""), 2, FALSE)"),"List common applications of electroplating in everyday objects.")</f>
        <v>List common applications of electroplating in everyday objects.</v>
      </c>
      <c r="K105" s="10" t="str">
        <f t="shared" si="6"/>
        <v>LU005533.002</v>
      </c>
      <c r="L105" s="10" t="str">
        <f ca="1">IFERROR(__xludf.DUMMYFUNCTION("VLOOKUP(K105, IMPORTRANGE(""https://docs.google.com/spreadsheets/d/1yDAaXNsi4Mr5FtRQL4tbmSdIzhx6_m4wkOD7IG-k_eo/edit#gid=1336395716"", ""Science!M:N""), 2, FALSE)"),"Explain the reasons behind the use of electroplating on specific objects like jewelry or car parts.")</f>
        <v>Explain the reasons behind the use of electroplating on specific objects like jewelry or car parts.</v>
      </c>
      <c r="M105" s="10" t="str">
        <f t="shared" si="2"/>
        <v>LU005533.003</v>
      </c>
      <c r="N105" s="10" t="str">
        <f ca="1">IFERROR(__xludf.DUMMYFUNCTION("VLOOKUP(M105, IMPORTRANGE(""https://docs.google.com/spreadsheets/d/1yDAaXNsi4Mr5FtRQL4tbmSdIzhx6_m4wkOD7IG-k_eo/edit#gid=1336395716"", ""Science!M:N""), 2, FALSE)"),"Choose appropriate metals for electroplating based on the desired properties and functions.")</f>
        <v>Choose appropriate metals for electroplating based on the desired properties and functions.</v>
      </c>
      <c r="O105" s="10" t="str">
        <f t="shared" si="3"/>
        <v>LU005533.004</v>
      </c>
      <c r="P105" s="10" t="str">
        <f ca="1">IFERROR(__xludf.DUMMYFUNCTION("VLOOKUP(O105, IMPORTRANGE(""https://docs.google.com/spreadsheets/d/1yDAaXNsi4Mr5FtRQL4tbmSdIzhx6_m4wkOD7IG-k_eo/edit#gid=1336395716"", ""Science!M:N""), 2, FALSE)"),"Compare and contrast the benefits of using different metals for electroplating in various industrial applications.")</f>
        <v>Compare and contrast the benefits of using different metals for electroplating in various industrial applications.</v>
      </c>
      <c r="Q105" s="10" t="str">
        <f t="shared" si="4"/>
        <v>LU005533.005</v>
      </c>
      <c r="R105" s="10" t="str">
        <f ca="1">IFERROR(__xludf.DUMMYFUNCTION("VLOOKUP(Q105, IMPORTRANGE(""https://docs.google.com/spreadsheets/d/1yDAaXNsi4Mr5FtRQL4tbmSdIzhx6_m4wkOD7IG-k_eo/edit#gid=1336395716"", ""Science!M:N""), 2, FALSE)"),"Judge the effectiveness of electroplating as a method for enhancing the properties of objects, both functionally and aesthetically.")</f>
        <v>Judge the effectiveness of electroplating as a method for enhancing the properties of objects, both functionally and aesthetically.</v>
      </c>
      <c r="S105" s="10" t="str">
        <f t="shared" si="5"/>
        <v>LU005533.006</v>
      </c>
      <c r="T105" s="10" t="str">
        <f ca="1">IFERROR(__xludf.DUMMYFUNCTION("VLOOKUP(S105, IMPORTRANGE(""https://docs.google.com/spreadsheets/d/1yDAaXNsi4Mr5FtRQL4tbmSdIzhx6_m4wkOD7IG-k_eo/edit#gid=1336395716"", ""Science!M:N""), 2, FALSE)"),"Propose a novel application for electroplating in an industry or field not currently utilizing the technique to its full potential.")</f>
        <v>Propose a novel application for electroplating in an industry or field not currently utilizing the technique to its full potential.</v>
      </c>
      <c r="U105" s="116">
        <f ca="1">IFERROR(__xludf.DUMMYFUNCTION("ArrayFormula(VLOOKUP(G105, IMPORTRANGE(""https://docs.google.com/spreadsheets/d/1p7R4vtkWt5VOBim4ltsDG9KTzSjrtKXsMtQGXPHyND0/edit#gid=795171502"", ""'Filter 30_05_2024'!A1:M2000""), {2, 3, 4, 5,6,7,8,9,10,11,12,13}, 0))"),5)</f>
        <v>5</v>
      </c>
      <c r="V105" s="116">
        <f ca="1">IFERROR(__xludf.DUMMYFUNCTION("""COMPUTED_VALUE"""),6)</f>
        <v>6</v>
      </c>
      <c r="W105" s="116">
        <f ca="1">IFERROR(__xludf.DUMMYFUNCTION("""COMPUTED_VALUE"""),2)</f>
        <v>2</v>
      </c>
      <c r="X105" s="116">
        <f ca="1">IFERROR(__xludf.DUMMYFUNCTION("""COMPUTED_VALUE"""),13)</f>
        <v>13</v>
      </c>
      <c r="Y105" s="116">
        <f ca="1">IFERROR(__xludf.DUMMYFUNCTION("""COMPUTED_VALUE"""),4)</f>
        <v>4</v>
      </c>
      <c r="Z105" s="12">
        <f ca="1">IFERROR(__xludf.DUMMYFUNCTION("""COMPUTED_VALUE"""),3)</f>
        <v>3</v>
      </c>
      <c r="AA105" s="12">
        <f ca="1">IFERROR(__xludf.DUMMYFUNCTION("""COMPUTED_VALUE"""),1)</f>
        <v>1</v>
      </c>
      <c r="AB105" s="12">
        <f ca="1">IFERROR(__xludf.DUMMYFUNCTION("""COMPUTED_VALUE"""),8)</f>
        <v>8</v>
      </c>
      <c r="AC105" s="12"/>
      <c r="AD105" s="12"/>
      <c r="AE105" s="12"/>
      <c r="AF105" s="12"/>
      <c r="AG105" s="13" t="str">
        <f ca="1">IFERROR(__xludf.DUMMYFUNCTION("ArrayFormula(VLOOKUP(G105, IMPORTRANGE(""https://docs.google.com/spreadsheets/d/1Co934fvtviyaRiMsrIlT05Jaq7iiYq07aLvRr35KA48/edit?gid=173865642#gid=173865642"", ""'G8_Sci_Pri_LU'!G2:V2000""), {3, 4, 5, 6, 7, 8, 9, 10, 11, 12, 13, 14, 15, 16}, 0))"),"LU005532")</f>
        <v>LU005532</v>
      </c>
      <c r="AH105" s="13" t="str">
        <f ca="1">IFERROR(__xludf.DUMMYFUNCTION("""COMPUTED_VALUE"""),"Process of Electroplating")</f>
        <v>Process of Electroplating</v>
      </c>
      <c r="AI105" s="13" t="str">
        <f ca="1">IFERROR(__xludf.DUMMYFUNCTION("""COMPUTED_VALUE"""),"LU005531")</f>
        <v>LU005531</v>
      </c>
      <c r="AJ105" s="13" t="str">
        <f ca="1">IFERROR(__xludf.DUMMYFUNCTION("""COMPUTED_VALUE"""),"Chemical effects of electric current in liquids")</f>
        <v>Chemical effects of electric current in liquids</v>
      </c>
      <c r="AK105" s="13" t="str">
        <f ca="1">IFERROR(__xludf.DUMMYFUNCTION("""COMPUTED_VALUE"""),"LU005906")</f>
        <v>LU005906</v>
      </c>
      <c r="AL105" s="13" t="str">
        <f ca="1">IFERROR(__xludf.DUMMYFUNCTION("""COMPUTED_VALUE"""),"Definition of reversible and irreversible changes")</f>
        <v>Definition of reversible and irreversible changes</v>
      </c>
      <c r="AM105" s="13"/>
      <c r="AN105" s="13"/>
      <c r="AO105" s="13"/>
      <c r="AP105" s="13"/>
      <c r="AQ105" s="13"/>
      <c r="AR105" s="13"/>
      <c r="AS105" s="13"/>
      <c r="AT105" s="13"/>
    </row>
    <row r="106" spans="1:46" ht="39.6">
      <c r="A106" s="8" t="s">
        <v>247</v>
      </c>
      <c r="B106" s="8" t="s">
        <v>47</v>
      </c>
      <c r="C106" s="8" t="s">
        <v>731</v>
      </c>
      <c r="D106" s="8" t="s">
        <v>1441</v>
      </c>
      <c r="E106" s="8" t="s">
        <v>2178</v>
      </c>
      <c r="F106" s="8" t="s">
        <v>2186</v>
      </c>
      <c r="G106" s="8" t="s">
        <v>2188</v>
      </c>
      <c r="H106" s="8" t="str">
        <f ca="1">IFERROR(__xludf.DUMMYFUNCTION("VLOOKUP(G106, IMPORTRANGE(""https://docs.google.com/spreadsheets/d/14deopnvwcrKtEGCKuYXdUHJbeLDZlkiSSWWT0g7x2pM/edit#gid=849066331"", ""LU List Science (Filter)!A:B""), 2, FALSE)"),"Process of Electroplating")</f>
        <v>Process of Electroplating</v>
      </c>
      <c r="I106" s="10" t="str">
        <f t="shared" si="0"/>
        <v>LU005532.001</v>
      </c>
      <c r="J106" s="10" t="str">
        <f ca="1">IFERROR(__xludf.DUMMYFUNCTION("VLOOKUP(I106, IMPORTRANGE(""https://docs.google.com/spreadsheets/d/1yDAaXNsi4Mr5FtRQL4tbmSdIzhx6_m4wkOD7IG-k_eo/edit#gid=1336395716"", ""Science!M:N""), 2, FALSE)"),"Define electroplating.")</f>
        <v>Define electroplating.</v>
      </c>
      <c r="K106" s="10" t="str">
        <f t="shared" si="6"/>
        <v>LU005532.002</v>
      </c>
      <c r="L106" s="10" t="str">
        <f ca="1">IFERROR(__xludf.DUMMYFUNCTION("VLOOKUP(K106, IMPORTRANGE(""https://docs.google.com/spreadsheets/d/1yDAaXNsi4Mr5FtRQL4tbmSdIzhx6_m4wkOD7IG-k_eo/edit#gid=1336395716"", ""Science!M:N""), 2, FALSE)"),"Explain the basic principles and processes involved in electroplating.")</f>
        <v>Explain the basic principles and processes involved in electroplating.</v>
      </c>
      <c r="M106" s="10" t="str">
        <f t="shared" si="2"/>
        <v>LU005532.003</v>
      </c>
      <c r="N106" s="10" t="str">
        <f ca="1">IFERROR(__xludf.DUMMYFUNCTION("VLOOKUP(M106, IMPORTRANGE(""https://docs.google.com/spreadsheets/d/1yDAaXNsi4Mr5FtRQL4tbmSdIzhx6_m4wkOD7IG-k_eo/edit#gid=1336395716"", ""Science!M:N""), 2, FALSE)"),"Perform a simple activity to demonstrate and observe the effects of electroplating on a metal object.")</f>
        <v>Perform a simple activity to demonstrate and observe the effects of electroplating on a metal object.</v>
      </c>
      <c r="O106" s="10" t="str">
        <f t="shared" si="3"/>
        <v>LU005532.004</v>
      </c>
      <c r="P106" s="10" t="str">
        <f ca="1">IFERROR(__xludf.DUMMYFUNCTION("VLOOKUP(O106, IMPORTRANGE(""https://docs.google.com/spreadsheets/d/1yDAaXNsi4Mr5FtRQL4tbmSdIzhx6_m4wkOD7IG-k_eo/edit#gid=1336395716"", ""Science!M:N""), 2, FALSE)"),"Analyze the before-and-after effects of the electroplating process on the object")</f>
        <v>Analyze the before-and-after effects of the electroplating process on the object</v>
      </c>
      <c r="Q106" s="10" t="str">
        <f t="shared" si="4"/>
        <v>LU005532.005</v>
      </c>
      <c r="R106" s="10" t="str">
        <f ca="1">IFERROR(__xludf.DUMMYFUNCTION("VLOOKUP(Q106, IMPORTRANGE(""https://docs.google.com/spreadsheets/d/1yDAaXNsi4Mr5FtRQL4tbmSdIzhx6_m4wkOD7IG-k_eo/edit#gid=1336395716"", ""Science!M:N""), 2, FALSE)"),"Assess the importance and practical applications of electroplating in industries, especially in terms of product durability and aesthetics.")</f>
        <v>Assess the importance and practical applications of electroplating in industries, especially in terms of product durability and aesthetics.</v>
      </c>
      <c r="S106" s="10" t="str">
        <f t="shared" si="5"/>
        <v>LU005532.006</v>
      </c>
      <c r="T106" s="10" t="str">
        <f ca="1">IFERROR(__xludf.DUMMYFUNCTION("VLOOKUP(S106, IMPORTRANGE(""https://docs.google.com/spreadsheets/d/1yDAaXNsi4Mr5FtRQL4tbmSdIzhx6_m4wkOD7IG-k_eo/edit#gid=1336395716"", ""Science!M:N""), 2, FALSE)"),"#N/A")</f>
        <v>#N/A</v>
      </c>
      <c r="U106" s="116">
        <f ca="1">IFERROR(__xludf.DUMMYFUNCTION("ArrayFormula(VLOOKUP(G106, IMPORTRANGE(""https://docs.google.com/spreadsheets/d/1p7R4vtkWt5VOBim4ltsDG9KTzSjrtKXsMtQGXPHyND0/edit#gid=795171502"", ""'Filter 30_05_2024'!A1:M2000""), {2, 3, 4, 5,6,7,8,9,10,11,12,13}, 0))"),4)</f>
        <v>4</v>
      </c>
      <c r="V106" s="116">
        <f ca="1">IFERROR(__xludf.DUMMYFUNCTION("""COMPUTED_VALUE"""),7)</f>
        <v>7</v>
      </c>
      <c r="W106" s="116">
        <f ca="1">IFERROR(__xludf.DUMMYFUNCTION("""COMPUTED_VALUE"""),2)</f>
        <v>2</v>
      </c>
      <c r="X106" s="116">
        <f ca="1">IFERROR(__xludf.DUMMYFUNCTION("""COMPUTED_VALUE"""),13)</f>
        <v>13</v>
      </c>
      <c r="Y106" s="116">
        <f ca="1">IFERROR(__xludf.DUMMYFUNCTION("""COMPUTED_VALUE"""),4)</f>
        <v>4</v>
      </c>
      <c r="Z106" s="12">
        <f ca="1">IFERROR(__xludf.DUMMYFUNCTION("""COMPUTED_VALUE"""),3)</f>
        <v>3</v>
      </c>
      <c r="AA106" s="12">
        <f ca="1">IFERROR(__xludf.DUMMYFUNCTION("""COMPUTED_VALUE"""),1)</f>
        <v>1</v>
      </c>
      <c r="AB106" s="12">
        <f ca="1">IFERROR(__xludf.DUMMYFUNCTION("""COMPUTED_VALUE"""),8)</f>
        <v>8</v>
      </c>
      <c r="AC106" s="12"/>
      <c r="AD106" s="12"/>
      <c r="AE106" s="12"/>
      <c r="AF106" s="12"/>
      <c r="AG106" s="13" t="str">
        <f ca="1">IFERROR(__xludf.DUMMYFUNCTION("ArrayFormula(VLOOKUP(G106, IMPORTRANGE(""https://docs.google.com/spreadsheets/d/1Co934fvtviyaRiMsrIlT05Jaq7iiYq07aLvRr35KA48/edit?gid=173865642#gid=173865642"", ""'G8_Sci_Pri_LU'!G2:V2000""), {3, 4, 5, 6, 7, 8, 9, 10, 11, 12, 13, 14, 15, 16}, 0))"),"LU005531")</f>
        <v>LU005531</v>
      </c>
      <c r="AH106" s="13" t="str">
        <f ca="1">IFERROR(__xludf.DUMMYFUNCTION("""COMPUTED_VALUE"""),"Chemical effects of electric current in liquids")</f>
        <v>Chemical effects of electric current in liquids</v>
      </c>
      <c r="AI106" s="13" t="str">
        <f ca="1">IFERROR(__xludf.DUMMYFUNCTION("""COMPUTED_VALUE"""),"LU005534")</f>
        <v>LU005534</v>
      </c>
      <c r="AJ106" s="13" t="str">
        <f ca="1">IFERROR(__xludf.DUMMYFUNCTION("""COMPUTED_VALUE"""),"Definition and types of electrolytes")</f>
        <v>Definition and types of electrolytes</v>
      </c>
      <c r="AK106" s="13" t="str">
        <f ca="1">IFERROR(__xludf.DUMMYFUNCTION("""COMPUTED_VALUE"""),"LU005530")</f>
        <v>LU005530</v>
      </c>
      <c r="AL106" s="13" t="str">
        <f ca="1">IFERROR(__xludf.DUMMYFUNCTION("""COMPUTED_VALUE"""),"Cause of Conductivity of Liquids")</f>
        <v>Cause of Conductivity of Liquids</v>
      </c>
      <c r="AM106" s="13"/>
      <c r="AN106" s="13"/>
      <c r="AO106" s="13"/>
      <c r="AP106" s="13"/>
      <c r="AQ106" s="13"/>
      <c r="AR106" s="13"/>
      <c r="AS106" s="13"/>
      <c r="AT106" s="13"/>
    </row>
    <row r="107" spans="1:46" ht="39.6">
      <c r="A107" s="8" t="s">
        <v>247</v>
      </c>
      <c r="B107" s="8" t="s">
        <v>47</v>
      </c>
      <c r="C107" s="8" t="s">
        <v>731</v>
      </c>
      <c r="D107" s="8" t="s">
        <v>1510</v>
      </c>
      <c r="E107" s="8" t="s">
        <v>2189</v>
      </c>
      <c r="F107" s="8" t="s">
        <v>2190</v>
      </c>
      <c r="G107" s="8" t="s">
        <v>2191</v>
      </c>
      <c r="H107" s="8" t="str">
        <f ca="1">IFERROR(__xludf.DUMMYFUNCTION("VLOOKUP(G107, IMPORTRANGE(""https://docs.google.com/spreadsheets/d/14deopnvwcrKtEGCKuYXdUHJbeLDZlkiSSWWT0g7x2pM/edit#gid=849066331"", ""LU List Science (Filter)!A:B""), 2, FALSE)"),"Attraction and Repulsion Between Electric Charges")</f>
        <v>Attraction and Repulsion Between Electric Charges</v>
      </c>
      <c r="I107" s="10" t="str">
        <f t="shared" si="0"/>
        <v>LU005511.001</v>
      </c>
      <c r="J107" s="10" t="str">
        <f ca="1">IFERROR(__xludf.DUMMYFUNCTION("VLOOKUP(I107, IMPORTRANGE(""https://docs.google.com/spreadsheets/d/1yDAaXNsi4Mr5FtRQL4tbmSdIzhx6_m4wkOD7IG-k_eo/edit#gid=1336395716"", ""Science!M:N""), 2, FALSE)"),"#N/A")</f>
        <v>#N/A</v>
      </c>
      <c r="K107" s="10" t="str">
        <f t="shared" si="6"/>
        <v>LU005511.002</v>
      </c>
      <c r="L107" s="10" t="str">
        <f ca="1">IFERROR(__xludf.DUMMYFUNCTION("VLOOKUP(K107, IMPORTRANGE(""https://docs.google.com/spreadsheets/d/1yDAaXNsi4Mr5FtRQL4tbmSdIzhx6_m4wkOD7IG-k_eo/edit#gid=1336395716"", ""Science!M:N""), 2, FALSE)"),"Explain the role of positive and negative charges in attraction and repulsion.")</f>
        <v>Explain the role of positive and negative charges in attraction and repulsion.</v>
      </c>
      <c r="M107" s="10" t="str">
        <f t="shared" si="2"/>
        <v>LU005511.003</v>
      </c>
      <c r="N107" s="10" t="str">
        <f ca="1">IFERROR(__xludf.DUMMYFUNCTION("VLOOKUP(M107, IMPORTRANGE(""https://docs.google.com/spreadsheets/d/1yDAaXNsi4Mr5FtRQL4tbmSdIzhx6_m4wkOD7IG-k_eo/edit#gid=1336395716"", ""Science!M:N""), 2, FALSE)"),"Apply the concept of electric fields in understanding these interactions.")</f>
        <v>Apply the concept of electric fields in understanding these interactions.</v>
      </c>
      <c r="O107" s="10" t="str">
        <f t="shared" si="3"/>
        <v>LU005511.004</v>
      </c>
      <c r="P107" s="10" t="str">
        <f ca="1">IFERROR(__xludf.DUMMYFUNCTION("VLOOKUP(O107, IMPORTRANGE(""https://docs.google.com/spreadsheets/d/1yDAaXNsi4Mr5FtRQL4tbmSdIzhx6_m4wkOD7IG-k_eo/edit#gid=1336395716"", ""Science!M:N""), 2, FALSE)"),"Analyze real-world scenarios where attraction and repulsion between charges are evident.")</f>
        <v>Analyze real-world scenarios where attraction and repulsion between charges are evident.</v>
      </c>
      <c r="Q107" s="10" t="str">
        <f t="shared" si="4"/>
        <v>LU005511.005</v>
      </c>
      <c r="R107" s="10" t="str">
        <f ca="1">IFERROR(__xludf.DUMMYFUNCTION("VLOOKUP(Q107, IMPORTRANGE(""https://docs.google.com/spreadsheets/d/1yDAaXNsi4Mr5FtRQL4tbmSdIzhx6_m4wkOD7IG-k_eo/edit#gid=1336395716"", ""Science!M:N""), 2, FALSE)"),"Evaluate the importance of understanding electric charge interactions in modern technology.")</f>
        <v>Evaluate the importance of understanding electric charge interactions in modern technology.</v>
      </c>
      <c r="S107" s="10" t="str">
        <f t="shared" si="5"/>
        <v>LU005511.006</v>
      </c>
      <c r="T107" s="10" t="str">
        <f ca="1">IFERROR(__xludf.DUMMYFUNCTION("VLOOKUP(S107, IMPORTRANGE(""https://docs.google.com/spreadsheets/d/1yDAaXNsi4Mr5FtRQL4tbmSdIzhx6_m4wkOD7IG-k_eo/edit#gid=1336395716"", ""Science!M:N""), 2, FALSE)"),"#N/A")</f>
        <v>#N/A</v>
      </c>
      <c r="U107" s="116">
        <f ca="1">IFERROR(__xludf.DUMMYFUNCTION("ArrayFormula(VLOOKUP(G107, IMPORTRANGE(""https://docs.google.com/spreadsheets/d/1p7R4vtkWt5VOBim4ltsDG9KTzSjrtKXsMtQGXPHyND0/edit#gid=795171502"", ""'Filter 30_05_2024'!A1:M2000""), {2, 3, 4, 5,6,7,8,9,10,11,12,13}, 0))"),4)</f>
        <v>4</v>
      </c>
      <c r="V107" s="116">
        <f ca="1">IFERROR(__xludf.DUMMYFUNCTION("""COMPUTED_VALUE"""),6)</f>
        <v>6</v>
      </c>
      <c r="W107" s="116">
        <f ca="1">IFERROR(__xludf.DUMMYFUNCTION("""COMPUTED_VALUE"""),2)</f>
        <v>2</v>
      </c>
      <c r="X107" s="116">
        <f ca="1">IFERROR(__xludf.DUMMYFUNCTION("""COMPUTED_VALUE"""),12)</f>
        <v>12</v>
      </c>
      <c r="Y107" s="116">
        <f ca="1">IFERROR(__xludf.DUMMYFUNCTION("""COMPUTED_VALUE"""),4)</f>
        <v>4</v>
      </c>
      <c r="Z107" s="12">
        <f ca="1">IFERROR(__xludf.DUMMYFUNCTION("""COMPUTED_VALUE"""),3)</f>
        <v>3</v>
      </c>
      <c r="AA107" s="12">
        <f ca="1">IFERROR(__xludf.DUMMYFUNCTION("""COMPUTED_VALUE"""),1)</f>
        <v>1</v>
      </c>
      <c r="AB107" s="12">
        <f ca="1">IFERROR(__xludf.DUMMYFUNCTION("""COMPUTED_VALUE"""),8)</f>
        <v>8</v>
      </c>
      <c r="AC107" s="12"/>
      <c r="AD107" s="12"/>
      <c r="AE107" s="12"/>
      <c r="AF107" s="12"/>
      <c r="AG107" s="13" t="str">
        <f ca="1">IFERROR(__xludf.DUMMYFUNCTION("ArrayFormula(VLOOKUP(G107, IMPORTRANGE(""https://docs.google.com/spreadsheets/d/1Co934fvtviyaRiMsrIlT05Jaq7iiYq07aLvRr35KA48/edit?gid=173865642#gid=173865642"", ""'G8_Sci_Pri_LU'!G2:V2000""), {3, 4, 5, 6, 7, 8, 9, 10, 11, 12, 13, 14, 15, 16}, 0))"),"LU005824")</f>
        <v>LU005824</v>
      </c>
      <c r="AH107" s="13" t="str">
        <f ca="1">IFERROR(__xludf.DUMMYFUNCTION("""COMPUTED_VALUE"""),"Definition and types of electric charges")</f>
        <v>Definition and types of electric charges</v>
      </c>
      <c r="AI107" s="13"/>
      <c r="AJ107" s="13"/>
      <c r="AK107" s="13"/>
      <c r="AL107" s="13"/>
      <c r="AM107" s="13"/>
      <c r="AN107" s="13"/>
      <c r="AO107" s="13"/>
      <c r="AP107" s="13"/>
      <c r="AQ107" s="13"/>
      <c r="AR107" s="13"/>
      <c r="AS107" s="13"/>
      <c r="AT107" s="13"/>
    </row>
    <row r="108" spans="1:46" ht="26.4">
      <c r="A108" s="8" t="s">
        <v>247</v>
      </c>
      <c r="B108" s="8" t="s">
        <v>47</v>
      </c>
      <c r="C108" s="8" t="s">
        <v>731</v>
      </c>
      <c r="D108" s="8" t="s">
        <v>1510</v>
      </c>
      <c r="E108" s="8" t="s">
        <v>2189</v>
      </c>
      <c r="F108" s="8" t="s">
        <v>2190</v>
      </c>
      <c r="G108" s="8" t="s">
        <v>2192</v>
      </c>
      <c r="H108" s="8" t="str">
        <f ca="1">IFERROR(__xludf.DUMMYFUNCTION("VLOOKUP(G108, IMPORTRANGE(""https://docs.google.com/spreadsheets/d/14deopnvwcrKtEGCKuYXdUHJbeLDZlkiSSWWT0g7x2pM/edit#gid=849066331"", ""LU List Science (Filter)!A:B""), 2, FALSE)"),"Charging Objects by Rubbing on Another Surface")</f>
        <v>Charging Objects by Rubbing on Another Surface</v>
      </c>
      <c r="I108" s="10" t="str">
        <f t="shared" si="0"/>
        <v>LU005512.001</v>
      </c>
      <c r="J108" s="10" t="str">
        <f ca="1">IFERROR(__xludf.DUMMYFUNCTION("VLOOKUP(I108, IMPORTRANGE(""https://docs.google.com/spreadsheets/d/1yDAaXNsi4Mr5FtRQL4tbmSdIzhx6_m4wkOD7IG-k_eo/edit#gid=1336395716"", ""Science!M:N""), 2, FALSE)"),"Define the concept of charging by friction.")</f>
        <v>Define the concept of charging by friction.</v>
      </c>
      <c r="K108" s="10" t="str">
        <f t="shared" si="6"/>
        <v>LU005512.002</v>
      </c>
      <c r="L108" s="10" t="str">
        <f ca="1">IFERROR(__xludf.DUMMYFUNCTION("VLOOKUP(K108, IMPORTRANGE(""https://docs.google.com/spreadsheets/d/1yDAaXNsi4Mr5FtRQL4tbmSdIzhx6_m4wkOD7IG-k_eo/edit#gid=1336395716"", ""Science!M:N""), 2, FALSE)"),"Explain how objects become charged when rubbed against each other.")</f>
        <v>Explain how objects become charged when rubbed against each other.</v>
      </c>
      <c r="M108" s="10" t="str">
        <f t="shared" si="2"/>
        <v>LU005512.003</v>
      </c>
      <c r="N108" s="10" t="str">
        <f ca="1">IFERROR(__xludf.DUMMYFUNCTION("VLOOKUP(M108, IMPORTRANGE(""https://docs.google.com/spreadsheets/d/1yDAaXNsi4Mr5FtRQL4tbmSdIzhx6_m4wkOD7IG-k_eo/edit#gid=1336395716"", ""Science!M:N""), 2, FALSE)"),"Apply the principles of electron transfer in charging by rubbing.")</f>
        <v>Apply the principles of electron transfer in charging by rubbing.</v>
      </c>
      <c r="O108" s="10" t="str">
        <f t="shared" si="3"/>
        <v>LU005512.004</v>
      </c>
      <c r="P108" s="10" t="str">
        <f ca="1">IFERROR(__xludf.DUMMYFUNCTION("VLOOKUP(O108, IMPORTRANGE(""https://docs.google.com/spreadsheets/d/1yDAaXNsi4Mr5FtRQL4tbmSdIzhx6_m4wkOD7IG-k_eo/edit#gid=1336395716"", ""Science!M:N""), 2, FALSE)"),"Analyze examples of everyday objects that can be charged through friction.")</f>
        <v>Analyze examples of everyday objects that can be charged through friction.</v>
      </c>
      <c r="Q108" s="10" t="str">
        <f t="shared" si="4"/>
        <v>LU005512.005</v>
      </c>
      <c r="R108" s="10" t="str">
        <f ca="1">IFERROR(__xludf.DUMMYFUNCTION("VLOOKUP(Q108, IMPORTRANGE(""https://docs.google.com/spreadsheets/d/1yDAaXNsi4Mr5FtRQL4tbmSdIzhx6_m4wkOD7IG-k_eo/edit#gid=1336395716"", ""Science!M:N""), 2, FALSE)"),"Evaluate the significance of static electricity in various applications.")</f>
        <v>Evaluate the significance of static electricity in various applications.</v>
      </c>
      <c r="S108" s="10" t="str">
        <f t="shared" si="5"/>
        <v>LU005512.006</v>
      </c>
      <c r="T108" s="10" t="str">
        <f ca="1">IFERROR(__xludf.DUMMYFUNCTION("VLOOKUP(S108, IMPORTRANGE(""https://docs.google.com/spreadsheets/d/1yDAaXNsi4Mr5FtRQL4tbmSdIzhx6_m4wkOD7IG-k_eo/edit#gid=1336395716"", ""Science!M:N""), 2, FALSE)"),"#N/A")</f>
        <v>#N/A</v>
      </c>
      <c r="U108" s="116">
        <f ca="1">IFERROR(__xludf.DUMMYFUNCTION("ArrayFormula(VLOOKUP(G108, IMPORTRANGE(""https://docs.google.com/spreadsheets/d/1p7R4vtkWt5VOBim4ltsDG9KTzSjrtKXsMtQGXPHyND0/edit#gid=795171502"", ""'Filter 30_05_2024'!A1:M2000""), {2, 3, 4, 5,6,7,8,9,10,11,12,13}, 0))"),4)</f>
        <v>4</v>
      </c>
      <c r="V108" s="116">
        <f ca="1">IFERROR(__xludf.DUMMYFUNCTION("""COMPUTED_VALUE"""),6)</f>
        <v>6</v>
      </c>
      <c r="W108" s="116">
        <f ca="1">IFERROR(__xludf.DUMMYFUNCTION("""COMPUTED_VALUE"""),2)</f>
        <v>2</v>
      </c>
      <c r="X108" s="116">
        <f ca="1">IFERROR(__xludf.DUMMYFUNCTION("""COMPUTED_VALUE"""),12)</f>
        <v>12</v>
      </c>
      <c r="Y108" s="116">
        <f ca="1">IFERROR(__xludf.DUMMYFUNCTION("""COMPUTED_VALUE"""),4)</f>
        <v>4</v>
      </c>
      <c r="Z108" s="12">
        <f ca="1">IFERROR(__xludf.DUMMYFUNCTION("""COMPUTED_VALUE"""),3)</f>
        <v>3</v>
      </c>
      <c r="AA108" s="12">
        <f ca="1">IFERROR(__xludf.DUMMYFUNCTION("""COMPUTED_VALUE"""),1)</f>
        <v>1</v>
      </c>
      <c r="AB108" s="12">
        <f ca="1">IFERROR(__xludf.DUMMYFUNCTION("""COMPUTED_VALUE"""),8)</f>
        <v>8</v>
      </c>
      <c r="AC108" s="12"/>
      <c r="AD108" s="12"/>
      <c r="AE108" s="12"/>
      <c r="AF108" s="12"/>
      <c r="AG108" s="13" t="str">
        <f ca="1">IFERROR(__xludf.DUMMYFUNCTION("ArrayFormula(VLOOKUP(G108, IMPORTRANGE(""https://docs.google.com/spreadsheets/d/1Co934fvtviyaRiMsrIlT05Jaq7iiYq07aLvRr35KA48/edit?gid=173865642#gid=173865642"", ""'G8_Sci_Pri_LU'!G2:V2000""), {3, 4, 5, 6, 7, 8, 9, 10, 11, 12, 13, 14, 15, 16}, 0))"),"LU005511")</f>
        <v>LU005511</v>
      </c>
      <c r="AH108" s="13" t="str">
        <f ca="1">IFERROR(__xludf.DUMMYFUNCTION("""COMPUTED_VALUE"""),"Attraction and Repulsion Between Electric Charges")</f>
        <v>Attraction and Repulsion Between Electric Charges</v>
      </c>
      <c r="AI108" s="13" t="str">
        <f ca="1">IFERROR(__xludf.DUMMYFUNCTION("""COMPUTED_VALUE"""),"LU005824")</f>
        <v>LU005824</v>
      </c>
      <c r="AJ108" s="13" t="str">
        <f ca="1">IFERROR(__xludf.DUMMYFUNCTION("""COMPUTED_VALUE"""),"Definition and types of electric charges")</f>
        <v>Definition and types of electric charges</v>
      </c>
      <c r="AK108" s="13"/>
      <c r="AL108" s="13"/>
      <c r="AM108" s="13"/>
      <c r="AN108" s="13"/>
      <c r="AO108" s="13"/>
      <c r="AP108" s="13"/>
      <c r="AQ108" s="13"/>
      <c r="AR108" s="13"/>
      <c r="AS108" s="13"/>
      <c r="AT108" s="13"/>
    </row>
    <row r="109" spans="1:46" ht="26.4">
      <c r="A109" s="8" t="s">
        <v>247</v>
      </c>
      <c r="B109" s="8" t="s">
        <v>47</v>
      </c>
      <c r="C109" s="8" t="s">
        <v>731</v>
      </c>
      <c r="D109" s="8" t="s">
        <v>1510</v>
      </c>
      <c r="E109" s="8" t="s">
        <v>2189</v>
      </c>
      <c r="F109" s="8" t="s">
        <v>2193</v>
      </c>
      <c r="G109" s="8" t="s">
        <v>2194</v>
      </c>
      <c r="H109" s="8" t="str">
        <f ca="1">IFERROR(__xludf.DUMMYFUNCTION("VLOOKUP(G109, IMPORTRANGE(""https://docs.google.com/spreadsheets/d/14deopnvwcrKtEGCKuYXdUHJbeLDZlkiSSWWT0g7x2pM/edit#gid=849066331"", ""LU List Science (Filter)!A:B""), 2, FALSE)"),"Definition and function of electroscope")</f>
        <v>Definition and function of electroscope</v>
      </c>
      <c r="I109" s="10" t="str">
        <f t="shared" si="0"/>
        <v>LU005513.001</v>
      </c>
      <c r="J109" s="10" t="str">
        <f ca="1">IFERROR(__xludf.DUMMYFUNCTION("VLOOKUP(I109, IMPORTRANGE(""https://docs.google.com/spreadsheets/d/1yDAaXNsi4Mr5FtRQL4tbmSdIzhx6_m4wkOD7IG-k_eo/edit#gid=1336395716"", ""Science!M:N""), 2, FALSE)"),"Define an electroscope and its purpose.")</f>
        <v>Define an electroscope and its purpose.</v>
      </c>
      <c r="K109" s="10" t="str">
        <f t="shared" si="6"/>
        <v>LU005513.002</v>
      </c>
      <c r="L109" s="10" t="str">
        <f ca="1">IFERROR(__xludf.DUMMYFUNCTION("VLOOKUP(K109, IMPORTRANGE(""https://docs.google.com/spreadsheets/d/1yDAaXNsi4Mr5FtRQL4tbmSdIzhx6_m4wkOD7IG-k_eo/edit#gid=1336395716"", ""Science!M:N""), 2, FALSE)"),"Describe the main components of an electroscope.")</f>
        <v>Describe the main components of an electroscope.</v>
      </c>
      <c r="M109" s="10" t="str">
        <f t="shared" si="2"/>
        <v>LU005513.003</v>
      </c>
      <c r="N109" s="10" t="str">
        <f ca="1">IFERROR(__xludf.DUMMYFUNCTION("VLOOKUP(M109, IMPORTRANGE(""https://docs.google.com/spreadsheets/d/1yDAaXNsi4Mr5FtRQL4tbmSdIzhx6_m4wkOD7IG-k_eo/edit#gid=1336395716"", ""Science!M:N""), 2, FALSE)"),"Apply the understanding of electroscope operation in detecting electric charges.")</f>
        <v>Apply the understanding of electroscope operation in detecting electric charges.</v>
      </c>
      <c r="O109" s="10" t="str">
        <f t="shared" si="3"/>
        <v>LU005513.004</v>
      </c>
      <c r="P109" s="10" t="str">
        <f ca="1">IFERROR(__xludf.DUMMYFUNCTION("VLOOKUP(O109, IMPORTRANGE(""https://docs.google.com/spreadsheets/d/1yDAaXNsi4Mr5FtRQL4tbmSdIzhx6_m4wkOD7IG-k_eo/edit#gid=1336395716"", ""Science!M:N""), 2, FALSE)"),"Analyze the role of an electroscope in determining the type of charge on an object.")</f>
        <v>Analyze the role of an electroscope in determining the type of charge on an object.</v>
      </c>
      <c r="Q109" s="10" t="str">
        <f t="shared" si="4"/>
        <v>LU005513.005</v>
      </c>
      <c r="R109" s="10" t="str">
        <f ca="1">IFERROR(__xludf.DUMMYFUNCTION("VLOOKUP(Q109, IMPORTRANGE(""https://docs.google.com/spreadsheets/d/1yDAaXNsi4Mr5FtRQL4tbmSdIzhx6_m4wkOD7IG-k_eo/edit#gid=1336395716"", ""Science!M:N""), 2, FALSE)"),"Evaluate the practical applications of electroscopes in scientific investigations.")</f>
        <v>Evaluate the practical applications of electroscopes in scientific investigations.</v>
      </c>
      <c r="S109" s="10" t="str">
        <f t="shared" si="5"/>
        <v>LU005513.006</v>
      </c>
      <c r="T109" s="10" t="str">
        <f ca="1">IFERROR(__xludf.DUMMYFUNCTION("VLOOKUP(S109, IMPORTRANGE(""https://docs.google.com/spreadsheets/d/1yDAaXNsi4Mr5FtRQL4tbmSdIzhx6_m4wkOD7IG-k_eo/edit#gid=1336395716"", ""Science!M:N""), 2, FALSE)"),"#N/A")</f>
        <v>#N/A</v>
      </c>
      <c r="U109" s="116">
        <f ca="1">IFERROR(__xludf.DUMMYFUNCTION("ArrayFormula(VLOOKUP(G109, IMPORTRANGE(""https://docs.google.com/spreadsheets/d/1p7R4vtkWt5VOBim4ltsDG9KTzSjrtKXsMtQGXPHyND0/edit#gid=795171502"", ""'Filter 30_05_2024'!A1:M2000""), {2, 3, 4, 5,6,7,8,9,10,11,12,13}, 0))"),4)</f>
        <v>4</v>
      </c>
      <c r="V109" s="116">
        <f ca="1">IFERROR(__xludf.DUMMYFUNCTION("""COMPUTED_VALUE"""),6)</f>
        <v>6</v>
      </c>
      <c r="W109" s="116">
        <f ca="1">IFERROR(__xludf.DUMMYFUNCTION("""COMPUTED_VALUE"""),2)</f>
        <v>2</v>
      </c>
      <c r="X109" s="116">
        <f ca="1">IFERROR(__xludf.DUMMYFUNCTION("""COMPUTED_VALUE"""),12)</f>
        <v>12</v>
      </c>
      <c r="Y109" s="116">
        <f ca="1">IFERROR(__xludf.DUMMYFUNCTION("""COMPUTED_VALUE"""),4)</f>
        <v>4</v>
      </c>
      <c r="Z109" s="12">
        <f ca="1">IFERROR(__xludf.DUMMYFUNCTION("""COMPUTED_VALUE"""),3)</f>
        <v>3</v>
      </c>
      <c r="AA109" s="12">
        <f ca="1">IFERROR(__xludf.DUMMYFUNCTION("""COMPUTED_VALUE"""),1)</f>
        <v>1</v>
      </c>
      <c r="AB109" s="12">
        <f ca="1">IFERROR(__xludf.DUMMYFUNCTION("""COMPUTED_VALUE"""),8)</f>
        <v>8</v>
      </c>
      <c r="AC109" s="12"/>
      <c r="AD109" s="12"/>
      <c r="AE109" s="12"/>
      <c r="AF109" s="12"/>
      <c r="AG109" s="13" t="str">
        <f ca="1">IFERROR(__xludf.DUMMYFUNCTION("ArrayFormula(VLOOKUP(G109, IMPORTRANGE(""https://docs.google.com/spreadsheets/d/1Co934fvtviyaRiMsrIlT05Jaq7iiYq07aLvRr35KA48/edit?gid=173865642#gid=173865642"", ""'G8_Sci_Pri_LU'!G2:V2000""), {3, 4, 5, 6, 7, 8, 9, 10, 11, 12, 13, 14, 15, 16}, 0))"),"LU005511")</f>
        <v>LU005511</v>
      </c>
      <c r="AH109" s="13" t="str">
        <f ca="1">IFERROR(__xludf.DUMMYFUNCTION("""COMPUTED_VALUE"""),"Attraction and Repulsion Between Electric Charges")</f>
        <v>Attraction and Repulsion Between Electric Charges</v>
      </c>
      <c r="AI109" s="13" t="str">
        <f ca="1">IFERROR(__xludf.DUMMYFUNCTION("""COMPUTED_VALUE"""),"LU005152")</f>
        <v>LU005152</v>
      </c>
      <c r="AJ109" s="13" t="str">
        <f ca="1">IFERROR(__xludf.DUMMYFUNCTION("""COMPUTED_VALUE"""),"Electric Conductors and Insulators: Definition and Application")</f>
        <v>Electric Conductors and Insulators: Definition and Application</v>
      </c>
      <c r="AK109" s="13"/>
      <c r="AL109" s="13"/>
      <c r="AM109" s="13"/>
      <c r="AN109" s="13"/>
      <c r="AO109" s="13"/>
      <c r="AP109" s="13"/>
      <c r="AQ109" s="13"/>
      <c r="AR109" s="13"/>
      <c r="AS109" s="13"/>
      <c r="AT109" s="13"/>
    </row>
    <row r="110" spans="1:46" ht="39.6">
      <c r="A110" s="8" t="s">
        <v>247</v>
      </c>
      <c r="B110" s="8" t="s">
        <v>47</v>
      </c>
      <c r="C110" s="8" t="s">
        <v>731</v>
      </c>
      <c r="D110" s="8" t="s">
        <v>1510</v>
      </c>
      <c r="E110" s="8" t="s">
        <v>2189</v>
      </c>
      <c r="F110" s="8" t="s">
        <v>2195</v>
      </c>
      <c r="G110" s="8" t="s">
        <v>2196</v>
      </c>
      <c r="H110" s="8" t="str">
        <f ca="1">IFERROR(__xludf.DUMMYFUNCTION("VLOOKUP(G110, IMPORTRANGE(""https://docs.google.com/spreadsheets/d/14deopnvwcrKtEGCKuYXdUHJbeLDZlkiSSWWT0g7x2pM/edit#gid=849066331"", ""LU List Science (Filter)!A:B""), 2, FALSE)"),"Definition and Phenomenon of Lightning")</f>
        <v>Definition and Phenomenon of Lightning</v>
      </c>
      <c r="I110" s="10" t="str">
        <f t="shared" si="0"/>
        <v>LU005515.001</v>
      </c>
      <c r="J110" s="10" t="str">
        <f ca="1">IFERROR(__xludf.DUMMYFUNCTION("VLOOKUP(I110, IMPORTRANGE(""https://docs.google.com/spreadsheets/d/1yDAaXNsi4Mr5FtRQL4tbmSdIzhx6_m4wkOD7IG-k_eo/edit#gid=1336395716"", ""Science!M:N""), 2, FALSE)"),"Define lightning and explain its natural occurrence.")</f>
        <v>Define lightning and explain its natural occurrence.</v>
      </c>
      <c r="K110" s="10" t="str">
        <f t="shared" si="6"/>
        <v>LU005515.002</v>
      </c>
      <c r="L110" s="10" t="str">
        <f ca="1">IFERROR(__xludf.DUMMYFUNCTION("VLOOKUP(K110, IMPORTRANGE(""https://docs.google.com/spreadsheets/d/1yDAaXNsi4Mr5FtRQL4tbmSdIzhx6_m4wkOD7IG-k_eo/edit#gid=1336395716"", ""Science!M:N""), 2, FALSE)"),"Describe the process and stages involved in the formation of lightning.")</f>
        <v>Describe the process and stages involved in the formation of lightning.</v>
      </c>
      <c r="M110" s="10" t="str">
        <f t="shared" si="2"/>
        <v>LU005515.003</v>
      </c>
      <c r="N110" s="10" t="str">
        <f ca="1">IFERROR(__xludf.DUMMYFUNCTION("VLOOKUP(M110, IMPORTRANGE(""https://docs.google.com/spreadsheets/d/1yDAaXNsi4Mr5FtRQL4tbmSdIzhx6_m4wkOD7IG-k_eo/edit#gid=1336395716"", ""Science!M:N""), 2, FALSE)"),"Apply knowledge of atmospheric conditions and electrical discharge to explain the phenomenon of lightning.")</f>
        <v>Apply knowledge of atmospheric conditions and electrical discharge to explain the phenomenon of lightning.</v>
      </c>
      <c r="O110" s="10" t="str">
        <f t="shared" si="3"/>
        <v>LU005515.004</v>
      </c>
      <c r="P110" s="10" t="str">
        <f ca="1">IFERROR(__xludf.DUMMYFUNCTION("VLOOKUP(O110, IMPORTRANGE(""https://docs.google.com/spreadsheets/d/1yDAaXNsi4Mr5FtRQL4tbmSdIzhx6_m4wkOD7IG-k_eo/edit#gid=1336395716"", ""Science!M:N""), 2, FALSE)"),"Analyze the dangers associated with lightning and its impact on the environment.")</f>
        <v>Analyze the dangers associated with lightning and its impact on the environment.</v>
      </c>
      <c r="Q110" s="10" t="str">
        <f t="shared" si="4"/>
        <v>LU005515.005</v>
      </c>
      <c r="R110" s="10" t="str">
        <f ca="1">IFERROR(__xludf.DUMMYFUNCTION("VLOOKUP(Q110, IMPORTRANGE(""https://docs.google.com/spreadsheets/d/1yDAaXNsi4Mr5FtRQL4tbmSdIzhx6_m4wkOD7IG-k_eo/edit#gid=1336395716"", ""Science!M:N""), 2, FALSE)"),"Evaluate historical and cultural perspectives on lightning.")</f>
        <v>Evaluate historical and cultural perspectives on lightning.</v>
      </c>
      <c r="S110" s="10" t="str">
        <f t="shared" si="5"/>
        <v>LU005515.006</v>
      </c>
      <c r="T110" s="10" t="str">
        <f ca="1">IFERROR(__xludf.DUMMYFUNCTION("VLOOKUP(S110, IMPORTRANGE(""https://docs.google.com/spreadsheets/d/1yDAaXNsi4Mr5FtRQL4tbmSdIzhx6_m4wkOD7IG-k_eo/edit#gid=1336395716"", ""Science!M:N""), 2, FALSE)"),"#N/A")</f>
        <v>#N/A</v>
      </c>
      <c r="U110" s="116">
        <f ca="1">IFERROR(__xludf.DUMMYFUNCTION("ArrayFormula(VLOOKUP(G110, IMPORTRANGE(""https://docs.google.com/spreadsheets/d/1p7R4vtkWt5VOBim4ltsDG9KTzSjrtKXsMtQGXPHyND0/edit#gid=795171502"", ""'Filter 30_05_2024'!A1:M2000""), {2, 3, 4, 5,6,7,8,9,10,11,12,13}, 0))"),4)</f>
        <v>4</v>
      </c>
      <c r="V110" s="116">
        <f ca="1">IFERROR(__xludf.DUMMYFUNCTION("""COMPUTED_VALUE"""),6)</f>
        <v>6</v>
      </c>
      <c r="W110" s="116">
        <f ca="1">IFERROR(__xludf.DUMMYFUNCTION("""COMPUTED_VALUE"""),2)</f>
        <v>2</v>
      </c>
      <c r="X110" s="116">
        <f ca="1">IFERROR(__xludf.DUMMYFUNCTION("""COMPUTED_VALUE"""),12)</f>
        <v>12</v>
      </c>
      <c r="Y110" s="116">
        <f ca="1">IFERROR(__xludf.DUMMYFUNCTION("""COMPUTED_VALUE"""),4)</f>
        <v>4</v>
      </c>
      <c r="Z110" s="12">
        <f ca="1">IFERROR(__xludf.DUMMYFUNCTION("""COMPUTED_VALUE"""),3)</f>
        <v>3</v>
      </c>
      <c r="AA110" s="12">
        <f ca="1">IFERROR(__xludf.DUMMYFUNCTION("""COMPUTED_VALUE"""),1)</f>
        <v>1</v>
      </c>
      <c r="AB110" s="12">
        <f ca="1">IFERROR(__xludf.DUMMYFUNCTION("""COMPUTED_VALUE"""),8)</f>
        <v>8</v>
      </c>
      <c r="AC110" s="12"/>
      <c r="AD110" s="12"/>
      <c r="AE110" s="12"/>
      <c r="AF110" s="12"/>
      <c r="AG110" s="13" t="str">
        <f ca="1">IFERROR(__xludf.DUMMYFUNCTION("ArrayFormula(VLOOKUP(G110, IMPORTRANGE(""https://docs.google.com/spreadsheets/d/1Co934fvtviyaRiMsrIlT05Jaq7iiYq07aLvRr35KA48/edit?gid=173865642#gid=173865642"", ""'G8_Sci_Pri_LU'!G2:V2000""), {3, 4, 5, 6, 7, 8, 9, 10, 11, 12, 13, 14, 15, 16}, 0))"),"LU005511")</f>
        <v>LU005511</v>
      </c>
      <c r="AH110" s="13" t="str">
        <f ca="1">IFERROR(__xludf.DUMMYFUNCTION("""COMPUTED_VALUE"""),"Attraction and Repulsion Between Electric Charges")</f>
        <v>Attraction and Repulsion Between Electric Charges</v>
      </c>
      <c r="AI110" s="13"/>
      <c r="AJ110" s="13"/>
      <c r="AK110" s="13"/>
      <c r="AL110" s="13"/>
      <c r="AM110" s="13"/>
      <c r="AN110" s="13"/>
      <c r="AO110" s="13"/>
      <c r="AP110" s="13"/>
      <c r="AQ110" s="13"/>
      <c r="AR110" s="13"/>
      <c r="AS110" s="13"/>
      <c r="AT110" s="13"/>
    </row>
    <row r="111" spans="1:46" ht="39.6">
      <c r="A111" s="8" t="s">
        <v>247</v>
      </c>
      <c r="B111" s="8" t="s">
        <v>47</v>
      </c>
      <c r="C111" s="8" t="s">
        <v>731</v>
      </c>
      <c r="D111" s="8" t="s">
        <v>1510</v>
      </c>
      <c r="E111" s="8" t="s">
        <v>2189</v>
      </c>
      <c r="F111" s="8" t="s">
        <v>2195</v>
      </c>
      <c r="G111" s="8" t="s">
        <v>2197</v>
      </c>
      <c r="H111" s="8" t="str">
        <f ca="1">IFERROR(__xludf.DUMMYFUNCTION("VLOOKUP(G111, IMPORTRANGE(""https://docs.google.com/spreadsheets/d/14deopnvwcrKtEGCKuYXdUHJbeLDZlkiSSWWT0g7x2pM/edit#gid=849066331"", ""LU List Science (Filter)!A:B""), 2, FALSE)"),"Lightning as natural electric discharge event.")</f>
        <v>Lightning as natural electric discharge event.</v>
      </c>
      <c r="I111" s="10" t="str">
        <f t="shared" si="0"/>
        <v>LU005521.001</v>
      </c>
      <c r="J111" s="10" t="str">
        <f ca="1">IFERROR(__xludf.DUMMYFUNCTION("VLOOKUP(I111, IMPORTRANGE(""https://docs.google.com/spreadsheets/d/1yDAaXNsi4Mr5FtRQL4tbmSdIzhx6_m4wkOD7IG-k_eo/edit#gid=1336395716"", ""Science!M:N""), 2, FALSE)"),"#N/A")</f>
        <v>#N/A</v>
      </c>
      <c r="K111" s="10" t="str">
        <f t="shared" si="6"/>
        <v>LU005521.002</v>
      </c>
      <c r="L111" s="10" t="str">
        <f ca="1">IFERROR(__xludf.DUMMYFUNCTION("VLOOKUP(K111, IMPORTRANGE(""https://docs.google.com/spreadsheets/d/1yDAaXNsi4Mr5FtRQL4tbmSdIzhx6_m4wkOD7IG-k_eo/edit#gid=1336395716"", ""Science!M:N""), 2, FALSE)"),"Describe the conditions that lead to the buildup of electric charges in clouds and on the ground.")</f>
        <v>Describe the conditions that lead to the buildup of electric charges in clouds and on the ground.</v>
      </c>
      <c r="M111" s="10" t="str">
        <f t="shared" si="2"/>
        <v>LU005521.003</v>
      </c>
      <c r="N111" s="10" t="str">
        <f ca="1">IFERROR(__xludf.DUMMYFUNCTION("VLOOKUP(M111, IMPORTRANGE(""https://docs.google.com/spreadsheets/d/1yDAaXNsi4Mr5FtRQL4tbmSdIzhx6_m4wkOD7IG-k_eo/edit#gid=1336395716"", ""Science!M:N""), 2, FALSE)"),"Apply knowledge of electrical potential and discharge pathways in lightning.")</f>
        <v>Apply knowledge of electrical potential and discharge pathways in lightning.</v>
      </c>
      <c r="O111" s="10" t="str">
        <f t="shared" si="3"/>
        <v>LU005521.004</v>
      </c>
      <c r="P111" s="10" t="str">
        <f ca="1">IFERROR(__xludf.DUMMYFUNCTION("VLOOKUP(O111, IMPORTRANGE(""https://docs.google.com/spreadsheets/d/1yDAaXNsi4Mr5FtRQL4tbmSdIzhx6_m4wkOD7IG-k_eo/edit#gid=1336395716"", ""Science!M:N""), 2, FALSE)"),"Analyze the characteristics of different types of lightning (e.g., cloud-to-ground, intracloud).")</f>
        <v>Analyze the characteristics of different types of lightning (e.g., cloud-to-ground, intracloud).</v>
      </c>
      <c r="Q111" s="10" t="str">
        <f t="shared" si="4"/>
        <v>LU005521.005</v>
      </c>
      <c r="R111" s="10" t="str">
        <f ca="1">IFERROR(__xludf.DUMMYFUNCTION("VLOOKUP(Q111, IMPORTRANGE(""https://docs.google.com/spreadsheets/d/1yDAaXNsi4Mr5FtRQL4tbmSdIzhx6_m4wkOD7IG-k_eo/edit#gid=1336395716"", ""Science!M:N""), 2, FALSE)"),"Evaluate the hazards and safety precautions associated with lightning storms.")</f>
        <v>Evaluate the hazards and safety precautions associated with lightning storms.</v>
      </c>
      <c r="S111" s="10" t="str">
        <f t="shared" si="5"/>
        <v>LU005521.006</v>
      </c>
      <c r="T111" s="10" t="str">
        <f ca="1">IFERROR(__xludf.DUMMYFUNCTION("VLOOKUP(S111, IMPORTRANGE(""https://docs.google.com/spreadsheets/d/1yDAaXNsi4Mr5FtRQL4tbmSdIzhx6_m4wkOD7IG-k_eo/edit#gid=1336395716"", ""Science!M:N""), 2, FALSE)"),"#N/A")</f>
        <v>#N/A</v>
      </c>
      <c r="U111" s="116">
        <f ca="1">IFERROR(__xludf.DUMMYFUNCTION("ArrayFormula(VLOOKUP(G111, IMPORTRANGE(""https://docs.google.com/spreadsheets/d/1p7R4vtkWt5VOBim4ltsDG9KTzSjrtKXsMtQGXPHyND0/edit#gid=795171502"", ""'Filter 30_05_2024'!A1:M2000""), {2, 3, 4, 5,6,7,8,9,10,11,12,13}, 0))"),4)</f>
        <v>4</v>
      </c>
      <c r="V111" s="116">
        <f ca="1">IFERROR(__xludf.DUMMYFUNCTION("""COMPUTED_VALUE"""),6)</f>
        <v>6</v>
      </c>
      <c r="W111" s="116">
        <f ca="1">IFERROR(__xludf.DUMMYFUNCTION("""COMPUTED_VALUE"""),2)</f>
        <v>2</v>
      </c>
      <c r="X111" s="116">
        <f ca="1">IFERROR(__xludf.DUMMYFUNCTION("""COMPUTED_VALUE"""),12)</f>
        <v>12</v>
      </c>
      <c r="Y111" s="116">
        <f ca="1">IFERROR(__xludf.DUMMYFUNCTION("""COMPUTED_VALUE"""),4)</f>
        <v>4</v>
      </c>
      <c r="Z111" s="12">
        <f ca="1">IFERROR(__xludf.DUMMYFUNCTION("""COMPUTED_VALUE"""),3)</f>
        <v>3</v>
      </c>
      <c r="AA111" s="12">
        <f ca="1">IFERROR(__xludf.DUMMYFUNCTION("""COMPUTED_VALUE"""),1)</f>
        <v>1</v>
      </c>
      <c r="AB111" s="12">
        <f ca="1">IFERROR(__xludf.DUMMYFUNCTION("""COMPUTED_VALUE"""),8)</f>
        <v>8</v>
      </c>
      <c r="AC111" s="12"/>
      <c r="AD111" s="12"/>
      <c r="AE111" s="12"/>
      <c r="AF111" s="12"/>
      <c r="AG111" s="13" t="str">
        <f ca="1">IFERROR(__xludf.DUMMYFUNCTION("ArrayFormula(VLOOKUP(G111, IMPORTRANGE(""https://docs.google.com/spreadsheets/d/1Co934fvtviyaRiMsrIlT05Jaq7iiYq07aLvRr35KA48/edit?gid=173865642#gid=173865642"", ""'G8_Sci_Pri_LU'!G2:V2000""), {3, 4, 5, 6, 7, 8, 9, 10, 11, 12, 13, 14, 15, 16}, 0))"),"LU005515")</f>
        <v>LU005515</v>
      </c>
      <c r="AH111" s="13" t="str">
        <f ca="1">IFERROR(__xludf.DUMMYFUNCTION("""COMPUTED_VALUE"""),"Definition and Phenomenon of Lightning")</f>
        <v>Definition and Phenomenon of Lightning</v>
      </c>
      <c r="AI111" s="13" t="str">
        <f ca="1">IFERROR(__xludf.DUMMYFUNCTION("""COMPUTED_VALUE"""),"LU005511")</f>
        <v>LU005511</v>
      </c>
      <c r="AJ111" s="13" t="str">
        <f ca="1">IFERROR(__xludf.DUMMYFUNCTION("""COMPUTED_VALUE"""),"Attraction and Repulsion Between Electric Charges")</f>
        <v>Attraction and Repulsion Between Electric Charges</v>
      </c>
      <c r="AK111" s="13"/>
      <c r="AL111" s="13"/>
      <c r="AM111" s="13"/>
      <c r="AN111" s="13"/>
      <c r="AO111" s="13"/>
      <c r="AP111" s="13"/>
      <c r="AQ111" s="13"/>
      <c r="AR111" s="13"/>
      <c r="AS111" s="13"/>
      <c r="AT111" s="13"/>
    </row>
    <row r="112" spans="1:46" ht="39.6">
      <c r="A112" s="8" t="s">
        <v>247</v>
      </c>
      <c r="B112" s="8" t="s">
        <v>47</v>
      </c>
      <c r="C112" s="8" t="s">
        <v>731</v>
      </c>
      <c r="D112" s="8" t="s">
        <v>1510</v>
      </c>
      <c r="E112" s="8" t="s">
        <v>2189</v>
      </c>
      <c r="F112" s="8" t="s">
        <v>2198</v>
      </c>
      <c r="G112" s="8" t="s">
        <v>2199</v>
      </c>
      <c r="H112" s="8" t="str">
        <f ca="1">IFERROR(__xludf.DUMMYFUNCTION("VLOOKUP(G112, IMPORTRANGE(""https://docs.google.com/spreadsheets/d/14deopnvwcrKtEGCKuYXdUHJbeLDZlkiSSWWT0g7x2pM/edit#gid=849066331"", ""LU List Science (Filter)!A:B""), 2, FALSE)"),"Indoor and Outdoor Safety Measures for Thunderstorm")</f>
        <v>Indoor and Outdoor Safety Measures for Thunderstorm</v>
      </c>
      <c r="I112" s="10" t="str">
        <f t="shared" si="0"/>
        <v>LU005520.001</v>
      </c>
      <c r="J112" s="10" t="str">
        <f ca="1">IFERROR(__xludf.DUMMYFUNCTION("VLOOKUP(I112, IMPORTRANGE(""https://docs.google.com/spreadsheets/d/1yDAaXNsi4Mr5FtRQL4tbmSdIzhx6_m4wkOD7IG-k_eo/edit#gid=1336395716"", ""Science!M:N""), 2, FALSE)"),"List safety measures to be taken indoors during a thunderstorm.")</f>
        <v>List safety measures to be taken indoors during a thunderstorm.</v>
      </c>
      <c r="K112" s="10" t="str">
        <f t="shared" si="6"/>
        <v>LU005520.002</v>
      </c>
      <c r="L112" s="10" t="str">
        <f ca="1">IFERROR(__xludf.DUMMYFUNCTION("VLOOKUP(K112, IMPORTRANGE(""https://docs.google.com/spreadsheets/d/1yDAaXNsi4Mr5FtRQL4tbmSdIzhx6_m4wkOD7IG-k_eo/edit#gid=1336395716"", ""Science!M:N""), 2, FALSE)"),"Describe outdoor safety precautions to follow when caught in a thunderstorm.")</f>
        <v>Describe outdoor safety precautions to follow when caught in a thunderstorm.</v>
      </c>
      <c r="M112" s="10" t="str">
        <f t="shared" si="2"/>
        <v>LU005520.003</v>
      </c>
      <c r="N112" s="10" t="str">
        <f ca="1">IFERROR(__xludf.DUMMYFUNCTION("VLOOKUP(M112, IMPORTRANGE(""https://docs.google.com/spreadsheets/d/1yDAaXNsi4Mr5FtRQL4tbmSdIzhx6_m4wkOD7IG-k_eo/edit#gid=1336395716"", ""Science!M:N""), 2, FALSE)"),"Apply the principles of lightning safety, including seeking shelter and avoiding risky behaviors.")</f>
        <v>Apply the principles of lightning safety, including seeking shelter and avoiding risky behaviors.</v>
      </c>
      <c r="O112" s="10" t="str">
        <f t="shared" si="3"/>
        <v>LU005520.004</v>
      </c>
      <c r="P112" s="10" t="str">
        <f ca="1">IFERROR(__xludf.DUMMYFUNCTION("VLOOKUP(O112, IMPORTRANGE(""https://docs.google.com/spreadsheets/d/1yDAaXNsi4Mr5FtRQL4tbmSdIzhx6_m4wkOD7IG-k_eo/edit#gid=1336395716"", ""Science!M:N""), 2, FALSE)"),"Analyze the importance of staying informed about weather forecasts and warnings.")</f>
        <v>Analyze the importance of staying informed about weather forecasts and warnings.</v>
      </c>
      <c r="Q112" s="10" t="str">
        <f t="shared" si="4"/>
        <v>LU005520.005</v>
      </c>
      <c r="R112" s="10" t="str">
        <f ca="1">IFERROR(__xludf.DUMMYFUNCTION("VLOOKUP(Q112, IMPORTRANGE(""https://docs.google.com/spreadsheets/d/1yDAaXNsi4Mr5FtRQL4tbmSdIzhx6_m4wkOD7IG-k_eo/edit#gid=1336395716"", ""Science!M:N""), 2, FALSE)"),"Evaluate the potential consequences of not following thunderstorm safety guidelines.")</f>
        <v>Evaluate the potential consequences of not following thunderstorm safety guidelines.</v>
      </c>
      <c r="S112" s="10" t="str">
        <f t="shared" si="5"/>
        <v>LU005520.006</v>
      </c>
      <c r="T112" s="10" t="str">
        <f ca="1">IFERROR(__xludf.DUMMYFUNCTION("VLOOKUP(S112, IMPORTRANGE(""https://docs.google.com/spreadsheets/d/1yDAaXNsi4Mr5FtRQL4tbmSdIzhx6_m4wkOD7IG-k_eo/edit#gid=1336395716"", ""Science!M:N""), 2, FALSE)"),"#N/A")</f>
        <v>#N/A</v>
      </c>
      <c r="U112" s="116">
        <f ca="1">IFERROR(__xludf.DUMMYFUNCTION("ArrayFormula(VLOOKUP(G112, IMPORTRANGE(""https://docs.google.com/spreadsheets/d/1p7R4vtkWt5VOBim4ltsDG9KTzSjrtKXsMtQGXPHyND0/edit#gid=795171502"", ""'Filter 30_05_2024'!A1:M2000""), {2, 3, 4, 5,6,7,8,9,10,11,12,13}, 0))"),4)</f>
        <v>4</v>
      </c>
      <c r="V112" s="116">
        <f ca="1">IFERROR(__xludf.DUMMYFUNCTION("""COMPUTED_VALUE"""),6)</f>
        <v>6</v>
      </c>
      <c r="W112" s="116">
        <f ca="1">IFERROR(__xludf.DUMMYFUNCTION("""COMPUTED_VALUE"""),2)</f>
        <v>2</v>
      </c>
      <c r="X112" s="116">
        <f ca="1">IFERROR(__xludf.DUMMYFUNCTION("""COMPUTED_VALUE"""),12)</f>
        <v>12</v>
      </c>
      <c r="Y112" s="116">
        <f ca="1">IFERROR(__xludf.DUMMYFUNCTION("""COMPUTED_VALUE"""),4)</f>
        <v>4</v>
      </c>
      <c r="Z112" s="12">
        <f ca="1">IFERROR(__xludf.DUMMYFUNCTION("""COMPUTED_VALUE"""),3)</f>
        <v>3</v>
      </c>
      <c r="AA112" s="12">
        <f ca="1">IFERROR(__xludf.DUMMYFUNCTION("""COMPUTED_VALUE"""),1)</f>
        <v>1</v>
      </c>
      <c r="AB112" s="12">
        <f ca="1">IFERROR(__xludf.DUMMYFUNCTION("""COMPUTED_VALUE"""),8)</f>
        <v>8</v>
      </c>
      <c r="AC112" s="12"/>
      <c r="AD112" s="12"/>
      <c r="AE112" s="12"/>
      <c r="AF112" s="12"/>
      <c r="AG112" s="13" t="str">
        <f ca="1">IFERROR(__xludf.DUMMYFUNCTION("ArrayFormula(VLOOKUP(G112, IMPORTRANGE(""https://docs.google.com/spreadsheets/d/1Co934fvtviyaRiMsrIlT05Jaq7iiYq07aLvRr35KA48/edit?gid=173865642#gid=173865642"", ""'G8_Sci_Pri_LU'!G2:V2000""), {3, 4, 5, 6, 7, 8, 9, 10, 11, 12, 13, 14, 15, 16}, 0))"),"LU005521")</f>
        <v>LU005521</v>
      </c>
      <c r="AH112" s="13" t="str">
        <f ca="1">IFERROR(__xludf.DUMMYFUNCTION("""COMPUTED_VALUE"""),"Lightning as natural electric discharge event.")</f>
        <v>Lightning as natural electric discharge event.</v>
      </c>
      <c r="AI112" s="13"/>
      <c r="AJ112" s="13"/>
      <c r="AK112" s="13"/>
      <c r="AL112" s="13"/>
      <c r="AM112" s="13"/>
      <c r="AN112" s="13"/>
      <c r="AO112" s="13"/>
      <c r="AP112" s="13"/>
      <c r="AQ112" s="13"/>
      <c r="AR112" s="13"/>
      <c r="AS112" s="13"/>
      <c r="AT112" s="13"/>
    </row>
    <row r="113" spans="1:46" ht="26.4">
      <c r="A113" s="8" t="s">
        <v>247</v>
      </c>
      <c r="B113" s="8" t="s">
        <v>47</v>
      </c>
      <c r="C113" s="8" t="s">
        <v>731</v>
      </c>
      <c r="D113" s="8" t="s">
        <v>1510</v>
      </c>
      <c r="E113" s="8" t="s">
        <v>2189</v>
      </c>
      <c r="F113" s="8" t="s">
        <v>2198</v>
      </c>
      <c r="G113" s="8" t="s">
        <v>2200</v>
      </c>
      <c r="H113" s="8" t="str">
        <f ca="1">IFERROR(__xludf.DUMMYFUNCTION("VLOOKUP(G113, IMPORTRANGE(""https://docs.google.com/spreadsheets/d/14deopnvwcrKtEGCKuYXdUHJbeLDZlkiSSWWT0g7x2pM/edit#gid=849066331"", ""LU List Science (Filter)!A:B""), 2, FALSE)"),"Role and Function of Lightning Conductors")</f>
        <v>Role and Function of Lightning Conductors</v>
      </c>
      <c r="I113" s="10" t="str">
        <f t="shared" si="0"/>
        <v>LU005524.001</v>
      </c>
      <c r="J113" s="10" t="str">
        <f ca="1">IFERROR(__xludf.DUMMYFUNCTION("VLOOKUP(I113, IMPORTRANGE(""https://docs.google.com/spreadsheets/d/1yDAaXNsi4Mr5FtRQL4tbmSdIzhx6_m4wkOD7IG-k_eo/edit#gid=1336395716"", ""Science!M:N""), 2, FALSE)"),"#N/A")</f>
        <v>#N/A</v>
      </c>
      <c r="K113" s="10" t="str">
        <f t="shared" si="6"/>
        <v>LU005524.002</v>
      </c>
      <c r="L113" s="10" t="str">
        <f ca="1">IFERROR(__xludf.DUMMYFUNCTION("VLOOKUP(K113, IMPORTRANGE(""https://docs.google.com/spreadsheets/d/1yDAaXNsi4Mr5FtRQL4tbmSdIzhx6_m4wkOD7IG-k_eo/edit#gid=1336395716"", ""Science!M:N""), 2, FALSE)"),"Describe the components and design of an effective lightning conductor system.")</f>
        <v>Describe the components and design of an effective lightning conductor system.</v>
      </c>
      <c r="M113" s="10" t="str">
        <f t="shared" si="2"/>
        <v>LU005524.003</v>
      </c>
      <c r="N113" s="10" t="str">
        <f ca="1">IFERROR(__xludf.DUMMYFUNCTION("VLOOKUP(M113, IMPORTRANGE(""https://docs.google.com/spreadsheets/d/1yDAaXNsi4Mr5FtRQL4tbmSdIzhx6_m4wkOD7IG-k_eo/edit#gid=1336395716"", ""Science!M:N""), 2, FALSE)"),"Apply knowledge of electrical grounding to ensure lightning safety.")</f>
        <v>Apply knowledge of electrical grounding to ensure lightning safety.</v>
      </c>
      <c r="O113" s="10" t="str">
        <f t="shared" si="3"/>
        <v>LU005524.004</v>
      </c>
      <c r="P113" s="10" t="str">
        <f ca="1">IFERROR(__xludf.DUMMYFUNCTION("VLOOKUP(O113, IMPORTRANGE(""https://docs.google.com/spreadsheets/d/1yDAaXNsi4Mr5FtRQL4tbmSdIzhx6_m4wkOD7IG-k_eo/edit#gid=1336395716"", ""Science!M:N""), 2, FALSE)"),"Analyze the function of lightning conductors in redirecting lightning strikes.")</f>
        <v>Analyze the function of lightning conductors in redirecting lightning strikes.</v>
      </c>
      <c r="Q113" s="10" t="str">
        <f t="shared" si="4"/>
        <v>LU005524.005</v>
      </c>
      <c r="R113" s="10" t="str">
        <f ca="1">IFERROR(__xludf.DUMMYFUNCTION("VLOOKUP(Q113, IMPORTRANGE(""https://docs.google.com/spreadsheets/d/1yDAaXNsi4Mr5FtRQL4tbmSdIzhx6_m4wkOD7IG-k_eo/edit#gid=1336395716"", ""Science!M:N""), 2, FALSE)"),"Evaluate the significance of installing lightning conductors on tall structures and buildings.")</f>
        <v>Evaluate the significance of installing lightning conductors on tall structures and buildings.</v>
      </c>
      <c r="S113" s="10" t="str">
        <f t="shared" si="5"/>
        <v>LU005524.006</v>
      </c>
      <c r="T113" s="10" t="str">
        <f ca="1">IFERROR(__xludf.DUMMYFUNCTION("VLOOKUP(S113, IMPORTRANGE(""https://docs.google.com/spreadsheets/d/1yDAaXNsi4Mr5FtRQL4tbmSdIzhx6_m4wkOD7IG-k_eo/edit#gid=1336395716"", ""Science!M:N""), 2, FALSE)"),"#N/A")</f>
        <v>#N/A</v>
      </c>
      <c r="U113" s="116">
        <f ca="1">IFERROR(__xludf.DUMMYFUNCTION("ArrayFormula(VLOOKUP(G113, IMPORTRANGE(""https://docs.google.com/spreadsheets/d/1p7R4vtkWt5VOBim4ltsDG9KTzSjrtKXsMtQGXPHyND0/edit#gid=795171502"", ""'Filter 30_05_2024'!A1:M2000""), {2, 3, 4, 5,6,7,8,9,10,11,12,13}, 0))"),4)</f>
        <v>4</v>
      </c>
      <c r="V113" s="116">
        <f ca="1">IFERROR(__xludf.DUMMYFUNCTION("""COMPUTED_VALUE"""),6)</f>
        <v>6</v>
      </c>
      <c r="W113" s="116">
        <f ca="1">IFERROR(__xludf.DUMMYFUNCTION("""COMPUTED_VALUE"""),2)</f>
        <v>2</v>
      </c>
      <c r="X113" s="116">
        <f ca="1">IFERROR(__xludf.DUMMYFUNCTION("""COMPUTED_VALUE"""),12)</f>
        <v>12</v>
      </c>
      <c r="Y113" s="116">
        <f ca="1">IFERROR(__xludf.DUMMYFUNCTION("""COMPUTED_VALUE"""),4)</f>
        <v>4</v>
      </c>
      <c r="Z113" s="12">
        <f ca="1">IFERROR(__xludf.DUMMYFUNCTION("""COMPUTED_VALUE"""),3)</f>
        <v>3</v>
      </c>
      <c r="AA113" s="12">
        <f ca="1">IFERROR(__xludf.DUMMYFUNCTION("""COMPUTED_VALUE"""),1)</f>
        <v>1</v>
      </c>
      <c r="AB113" s="12">
        <f ca="1">IFERROR(__xludf.DUMMYFUNCTION("""COMPUTED_VALUE"""),8)</f>
        <v>8</v>
      </c>
      <c r="AC113" s="12"/>
      <c r="AD113" s="12"/>
      <c r="AE113" s="12"/>
      <c r="AF113" s="12"/>
      <c r="AG113" s="13" t="str">
        <f ca="1">IFERROR(__xludf.DUMMYFUNCTION("ArrayFormula(VLOOKUP(G113, IMPORTRANGE(""https://docs.google.com/spreadsheets/d/1Co934fvtviyaRiMsrIlT05Jaq7iiYq07aLvRr35KA48/edit?gid=173865642#gid=173865642"", ""'G8_Sci_Pri_LU'!G2:V2000""), {3, 4, 5, 6, 7, 8, 9, 10, 11, 12, 13, 14, 15, 16}, 0))"),"LU005521")</f>
        <v>LU005521</v>
      </c>
      <c r="AH113" s="13" t="str">
        <f ca="1">IFERROR(__xludf.DUMMYFUNCTION("""COMPUTED_VALUE"""),"Lightning as natural electric discharge event.")</f>
        <v>Lightning as natural electric discharge event.</v>
      </c>
      <c r="AI113" s="13"/>
      <c r="AJ113" s="13"/>
      <c r="AK113" s="13"/>
      <c r="AL113" s="13"/>
      <c r="AM113" s="13"/>
      <c r="AN113" s="13"/>
      <c r="AO113" s="13"/>
      <c r="AP113" s="13"/>
      <c r="AQ113" s="13"/>
      <c r="AR113" s="13"/>
      <c r="AS113" s="13"/>
      <c r="AT113" s="13"/>
    </row>
    <row r="114" spans="1:46" ht="39.6">
      <c r="A114" s="8" t="s">
        <v>247</v>
      </c>
      <c r="B114" s="8" t="s">
        <v>47</v>
      </c>
      <c r="C114" s="8" t="s">
        <v>731</v>
      </c>
      <c r="D114" s="8" t="s">
        <v>1510</v>
      </c>
      <c r="E114" s="8" t="s">
        <v>2189</v>
      </c>
      <c r="F114" s="8" t="s">
        <v>2201</v>
      </c>
      <c r="G114" s="8" t="s">
        <v>2202</v>
      </c>
      <c r="H114" s="8" t="str">
        <f ca="1">IFERROR(__xludf.DUMMYFUNCTION("VLOOKUP(G114, IMPORTRANGE(""https://docs.google.com/spreadsheets/d/14deopnvwcrKtEGCKuYXdUHJbeLDZlkiSSWWT0g7x2pM/edit#gid=849066331"", ""LU List Science (Filter)!A:B""), 2, FALSE)"),"Definition, Characteristics and causes of Earthquakes")</f>
        <v>Definition, Characteristics and causes of Earthquakes</v>
      </c>
      <c r="I114" s="10" t="str">
        <f t="shared" si="0"/>
        <v>LU005516.001</v>
      </c>
      <c r="J114" s="10" t="str">
        <f ca="1">IFERROR(__xludf.DUMMYFUNCTION("VLOOKUP(I114, IMPORTRANGE(""https://docs.google.com/spreadsheets/d/1yDAaXNsi4Mr5FtRQL4tbmSdIzhx6_m4wkOD7IG-k_eo/edit#gid=1336395716"", ""Science!M:N""), 2, FALSE)"),"Define earthquakes and their significance in geology.")</f>
        <v>Define earthquakes and their significance in geology.</v>
      </c>
      <c r="K114" s="10" t="str">
        <f t="shared" si="6"/>
        <v>LU005516.002</v>
      </c>
      <c r="L114" s="10" t="str">
        <f ca="1">IFERROR(__xludf.DUMMYFUNCTION("VLOOKUP(K114, IMPORTRANGE(""https://docs.google.com/spreadsheets/d/1yDAaXNsi4Mr5FtRQL4tbmSdIzhx6_m4wkOD7IG-k_eo/edit#gid=1336395716"", ""Science!M:N""), 2, FALSE)"),"Describe the characteristics of seismic waves and their impact on the Earth's surface.")</f>
        <v>Describe the characteristics of seismic waves and their impact on the Earth's surface.</v>
      </c>
      <c r="M114" s="10" t="str">
        <f t="shared" si="2"/>
        <v>LU005516.003</v>
      </c>
      <c r="N114" s="10" t="str">
        <f ca="1">IFERROR(__xludf.DUMMYFUNCTION("VLOOKUP(M114, IMPORTRANGE(""https://docs.google.com/spreadsheets/d/1yDAaXNsi4Mr5FtRQL4tbmSdIzhx6_m4wkOD7IG-k_eo/edit#gid=1336395716"", ""Science!M:N""), 2, FALSE)"),"Explain the causes of earthquakes, including tectonic plate movements, volcanic activity, and human-induced factors.")</f>
        <v>Explain the causes of earthquakes, including tectonic plate movements, volcanic activity, and human-induced factors.</v>
      </c>
      <c r="O114" s="10" t="str">
        <f t="shared" si="3"/>
        <v>LU005516.004</v>
      </c>
      <c r="P114" s="10" t="str">
        <f ca="1">IFERROR(__xludf.DUMMYFUNCTION("VLOOKUP(O114, IMPORTRANGE(""https://docs.google.com/spreadsheets/d/1yDAaXNsi4Mr5FtRQL4tbmSdIzhx6_m4wkOD7IG-k_eo/edit#gid=1336395716"", ""Science!M:N""), 2, FALSE)"),"Analyze the geological features associated with earthquake-prone regions.")</f>
        <v>Analyze the geological features associated with earthquake-prone regions.</v>
      </c>
      <c r="Q114" s="10" t="str">
        <f t="shared" si="4"/>
        <v>LU005516.005</v>
      </c>
      <c r="R114" s="10" t="str">
        <f ca="1">IFERROR(__xludf.DUMMYFUNCTION("VLOOKUP(Q114, IMPORTRANGE(""https://docs.google.com/spreadsheets/d/1yDAaXNsi4Mr5FtRQL4tbmSdIzhx6_m4wkOD7IG-k_eo/edit#gid=1336395716"", ""Science!M:N""), 2, FALSE)"),"Evaluate the potential hazards and societal impacts of earthquakes.")</f>
        <v>Evaluate the potential hazards and societal impacts of earthquakes.</v>
      </c>
      <c r="S114" s="10" t="str">
        <f t="shared" si="5"/>
        <v>LU005516.006</v>
      </c>
      <c r="T114" s="10" t="str">
        <f ca="1">IFERROR(__xludf.DUMMYFUNCTION("VLOOKUP(S114, IMPORTRANGE(""https://docs.google.com/spreadsheets/d/1yDAaXNsi4Mr5FtRQL4tbmSdIzhx6_m4wkOD7IG-k_eo/edit#gid=1336395716"", ""Science!M:N""), 2, FALSE)"),"#N/A")</f>
        <v>#N/A</v>
      </c>
      <c r="U114" s="116">
        <f ca="1">IFERROR(__xludf.DUMMYFUNCTION("ArrayFormula(VLOOKUP(G114, IMPORTRANGE(""https://docs.google.com/spreadsheets/d/1p7R4vtkWt5VOBim4ltsDG9KTzSjrtKXsMtQGXPHyND0/edit#gid=795171502"", ""'Filter 30_05_2024'!A1:M2000""), {2, 3, 4, 5,6,7,8,9,10,11,12,13}, 0))"),4)</f>
        <v>4</v>
      </c>
      <c r="V114" s="116">
        <f ca="1">IFERROR(__xludf.DUMMYFUNCTION("""COMPUTED_VALUE"""),6)</f>
        <v>6</v>
      </c>
      <c r="W114" s="116">
        <f ca="1">IFERROR(__xludf.DUMMYFUNCTION("""COMPUTED_VALUE"""),2)</f>
        <v>2</v>
      </c>
      <c r="X114" s="116">
        <f ca="1">IFERROR(__xludf.DUMMYFUNCTION("""COMPUTED_VALUE"""),12)</f>
        <v>12</v>
      </c>
      <c r="Y114" s="116">
        <f ca="1">IFERROR(__xludf.DUMMYFUNCTION("""COMPUTED_VALUE"""),4)</f>
        <v>4</v>
      </c>
      <c r="Z114" s="12">
        <f ca="1">IFERROR(__xludf.DUMMYFUNCTION("""COMPUTED_VALUE"""),3)</f>
        <v>3</v>
      </c>
      <c r="AA114" s="12">
        <f ca="1">IFERROR(__xludf.DUMMYFUNCTION("""COMPUTED_VALUE"""),1)</f>
        <v>1</v>
      </c>
      <c r="AB114" s="12">
        <f ca="1">IFERROR(__xludf.DUMMYFUNCTION("""COMPUTED_VALUE"""),8)</f>
        <v>8</v>
      </c>
      <c r="AC114" s="12"/>
      <c r="AD114" s="12"/>
      <c r="AE114" s="12"/>
      <c r="AF114" s="12"/>
      <c r="AG114" s="13" t="str">
        <f ca="1">IFERROR(__xludf.DUMMYFUNCTION("ArrayFormula(VLOOKUP(G114, IMPORTRANGE(""https://docs.google.com/spreadsheets/d/1Co934fvtviyaRiMsrIlT05Jaq7iiYq07aLvRr35KA48/edit?gid=173865642#gid=173865642"", ""'G8_Sci_Pri_LU'!G2:V2000""), {3, 4, 5, 6, 7, 8, 9, 10, 11, 12, 13, 14, 15, 16}, 0))"),"LU005899")</f>
        <v>LU005899</v>
      </c>
      <c r="AH114" s="13" t="str">
        <f ca="1">IFERROR(__xludf.DUMMYFUNCTION("""COMPUTED_VALUE"""),"Identifying/Recognizing Earthquakes, famine, floods as Natural Disasters")</f>
        <v>Identifying/Recognizing Earthquakes, famine, floods as Natural Disasters</v>
      </c>
      <c r="AI114" s="13" t="str">
        <f ca="1">IFERROR(__xludf.DUMMYFUNCTION("""COMPUTED_VALUE"""),"LU005898")</f>
        <v>LU005898</v>
      </c>
      <c r="AJ114" s="13" t="str">
        <f ca="1">IFERROR(__xludf.DUMMYFUNCTION("""COMPUTED_VALUE"""),"Understanding Disasters")</f>
        <v>Understanding Disasters</v>
      </c>
      <c r="AK114" s="13"/>
      <c r="AL114" s="13"/>
      <c r="AM114" s="13"/>
      <c r="AN114" s="13"/>
      <c r="AO114" s="13"/>
      <c r="AP114" s="13"/>
      <c r="AQ114" s="13"/>
      <c r="AR114" s="13"/>
      <c r="AS114" s="13"/>
      <c r="AT114" s="13"/>
    </row>
    <row r="115" spans="1:46" ht="39.6">
      <c r="A115" s="8" t="s">
        <v>247</v>
      </c>
      <c r="B115" s="8" t="s">
        <v>47</v>
      </c>
      <c r="C115" s="8" t="s">
        <v>731</v>
      </c>
      <c r="D115" s="8" t="s">
        <v>1510</v>
      </c>
      <c r="E115" s="8" t="s">
        <v>2189</v>
      </c>
      <c r="F115" s="8" t="s">
        <v>2201</v>
      </c>
      <c r="G115" s="8" t="s">
        <v>2203</v>
      </c>
      <c r="H115" s="8" t="str">
        <f ca="1">IFERROR(__xludf.DUMMYFUNCTION("VLOOKUP(G115, IMPORTRANGE(""https://docs.google.com/spreadsheets/d/14deopnvwcrKtEGCKuYXdUHJbeLDZlkiSSWWT0g7x2pM/edit#gid=849066331"", ""LU List Science (Filter)!A:B""), 2, FALSE)"),"Movement of Tectonic Plates")</f>
        <v>Movement of Tectonic Plates</v>
      </c>
      <c r="I115" s="10" t="str">
        <f t="shared" si="0"/>
        <v>LU005522.001</v>
      </c>
      <c r="J115" s="10" t="str">
        <f ca="1">IFERROR(__xludf.DUMMYFUNCTION("VLOOKUP(I115, IMPORTRANGE(""https://docs.google.com/spreadsheets/d/1yDAaXNsi4Mr5FtRQL4tbmSdIzhx6_m4wkOD7IG-k_eo/edit#gid=1336395716"", ""Science!M:N""), 2, FALSE)"),"#N/A")</f>
        <v>#N/A</v>
      </c>
      <c r="K115" s="10" t="str">
        <f t="shared" si="6"/>
        <v>LU005522.002</v>
      </c>
      <c r="L115" s="10" t="str">
        <f ca="1">IFERROR(__xludf.DUMMYFUNCTION("VLOOKUP(K115, IMPORTRANGE(""https://docs.google.com/spreadsheets/d/1yDAaXNsi4Mr5FtRQL4tbmSdIzhx6_m4wkOD7IG-k_eo/edit#gid=1336395716"", ""Science!M:N""), 2, FALSE)"),"Describe the types of plate boundaries (e.g., divergent, convergent, transform) and their associated plate movements.")</f>
        <v>Describe the types of plate boundaries (e.g., divergent, convergent, transform) and their associated plate movements.</v>
      </c>
      <c r="M115" s="10" t="str">
        <f t="shared" si="2"/>
        <v>LU005522.003</v>
      </c>
      <c r="N115" s="10" t="str">
        <f ca="1">IFERROR(__xludf.DUMMYFUNCTION("VLOOKUP(M115, IMPORTRANGE(""https://docs.google.com/spreadsheets/d/1yDAaXNsi4Mr5FtRQL4tbmSdIzhx6_m4wkOD7IG-k_eo/edit#gid=1336395716"", ""Science!M:N""), 2, FALSE)"),"Apply knowledge of plate tectonics to predict geological events such as earthquakes and volcanic eruptions.")</f>
        <v>Apply knowledge of plate tectonics to predict geological events such as earthquakes and volcanic eruptions.</v>
      </c>
      <c r="O115" s="10" t="str">
        <f t="shared" si="3"/>
        <v>LU005522.004</v>
      </c>
      <c r="P115" s="10" t="str">
        <f ca="1">IFERROR(__xludf.DUMMYFUNCTION("VLOOKUP(O115, IMPORTRANGE(""https://docs.google.com/spreadsheets/d/1yDAaXNsi4Mr5FtRQL4tbmSdIzhx6_m4wkOD7IG-k_eo/edit#gid=1336395716"", ""Science!M:N""), 2, FALSE)"),"Analyze the evidence supporting the theory of plate tectonics.")</f>
        <v>Analyze the evidence supporting the theory of plate tectonics.</v>
      </c>
      <c r="Q115" s="10" t="str">
        <f t="shared" si="4"/>
        <v>LU005522.005</v>
      </c>
      <c r="R115" s="10" t="str">
        <f ca="1">IFERROR(__xludf.DUMMYFUNCTION("VLOOKUP(Q115, IMPORTRANGE(""https://docs.google.com/spreadsheets/d/1yDAaXNsi4Mr5FtRQL4tbmSdIzhx6_m4wkOD7IG-k_eo/edit#gid=1336395716"", ""Science!M:N""), 2, FALSE)"),"Evaluate the significance of plate movements in the distribution of earthquakes and volcanoes.")</f>
        <v>Evaluate the significance of plate movements in the distribution of earthquakes and volcanoes.</v>
      </c>
      <c r="S115" s="10" t="str">
        <f t="shared" si="5"/>
        <v>LU005522.006</v>
      </c>
      <c r="T115" s="10" t="str">
        <f ca="1">IFERROR(__xludf.DUMMYFUNCTION("VLOOKUP(S115, IMPORTRANGE(""https://docs.google.com/spreadsheets/d/1yDAaXNsi4Mr5FtRQL4tbmSdIzhx6_m4wkOD7IG-k_eo/edit#gid=1336395716"", ""Science!M:N""), 2, FALSE)"),"#N/A")</f>
        <v>#N/A</v>
      </c>
      <c r="U115" s="116">
        <f ca="1">IFERROR(__xludf.DUMMYFUNCTION("ArrayFormula(VLOOKUP(G115, IMPORTRANGE(""https://docs.google.com/spreadsheets/d/1p7R4vtkWt5VOBim4ltsDG9KTzSjrtKXsMtQGXPHyND0/edit#gid=795171502"", ""'Filter 30_05_2024'!A1:M2000""), {2, 3, 4, 5,6,7,8,9,10,11,12,13}, 0))"),4)</f>
        <v>4</v>
      </c>
      <c r="V115" s="116">
        <f ca="1">IFERROR(__xludf.DUMMYFUNCTION("""COMPUTED_VALUE"""),6)</f>
        <v>6</v>
      </c>
      <c r="W115" s="116">
        <f ca="1">IFERROR(__xludf.DUMMYFUNCTION("""COMPUTED_VALUE"""),2)</f>
        <v>2</v>
      </c>
      <c r="X115" s="116">
        <f ca="1">IFERROR(__xludf.DUMMYFUNCTION("""COMPUTED_VALUE"""),12)</f>
        <v>12</v>
      </c>
      <c r="Y115" s="116">
        <f ca="1">IFERROR(__xludf.DUMMYFUNCTION("""COMPUTED_VALUE"""),4)</f>
        <v>4</v>
      </c>
      <c r="Z115" s="12">
        <f ca="1">IFERROR(__xludf.DUMMYFUNCTION("""COMPUTED_VALUE"""),3)</f>
        <v>3</v>
      </c>
      <c r="AA115" s="12">
        <f ca="1">IFERROR(__xludf.DUMMYFUNCTION("""COMPUTED_VALUE"""),1)</f>
        <v>1</v>
      </c>
      <c r="AB115" s="12">
        <f ca="1">IFERROR(__xludf.DUMMYFUNCTION("""COMPUTED_VALUE"""),8)</f>
        <v>8</v>
      </c>
      <c r="AC115" s="12"/>
      <c r="AD115" s="12"/>
      <c r="AE115" s="12"/>
      <c r="AF115" s="12"/>
      <c r="AG115" s="13" t="str">
        <f ca="1">IFERROR(__xludf.DUMMYFUNCTION("ArrayFormula(VLOOKUP(G115, IMPORTRANGE(""https://docs.google.com/spreadsheets/d/1Co934fvtviyaRiMsrIlT05Jaq7iiYq07aLvRr35KA48/edit?gid=173865642#gid=173865642"", ""'G8_Sci_Pri_LU'!G2:V2000""), {3, 4, 5, 6, 7, 8, 9, 10, 11, 12, 13, 14, 15, 16}, 0))"),"LU005516")</f>
        <v>LU005516</v>
      </c>
      <c r="AH115" s="13" t="str">
        <f ca="1">IFERROR(__xludf.DUMMYFUNCTION("""COMPUTED_VALUE"""),"Definition, Characteristics and causes of Earthquakes")</f>
        <v>Definition, Characteristics and causes of Earthquakes</v>
      </c>
      <c r="AI115" s="13"/>
      <c r="AJ115" s="13"/>
      <c r="AK115" s="13"/>
      <c r="AL115" s="13"/>
      <c r="AM115" s="13"/>
      <c r="AN115" s="13"/>
      <c r="AO115" s="13"/>
      <c r="AP115" s="13"/>
      <c r="AQ115" s="13"/>
      <c r="AR115" s="13"/>
      <c r="AS115" s="13"/>
      <c r="AT115" s="13"/>
    </row>
    <row r="116" spans="1:46" ht="39.6">
      <c r="A116" s="8" t="s">
        <v>247</v>
      </c>
      <c r="B116" s="8" t="s">
        <v>47</v>
      </c>
      <c r="C116" s="8" t="s">
        <v>731</v>
      </c>
      <c r="D116" s="8" t="s">
        <v>1510</v>
      </c>
      <c r="E116" s="8" t="s">
        <v>2189</v>
      </c>
      <c r="F116" s="8" t="s">
        <v>2204</v>
      </c>
      <c r="G116" s="8" t="s">
        <v>2205</v>
      </c>
      <c r="H116" s="8" t="str">
        <f ca="1">IFERROR(__xludf.DUMMYFUNCTION("VLOOKUP(G116, IMPORTRANGE(""https://docs.google.com/spreadsheets/d/14deopnvwcrKtEGCKuYXdUHJbeLDZlkiSSWWT0g7x2pM/edit#gid=849066331"", ""LU List Science (Filter)!A:B""), 2, FALSE)"),"Explanation of Earthquake Magnitude Measurement using richter scale")</f>
        <v>Explanation of Earthquake Magnitude Measurement using richter scale</v>
      </c>
      <c r="I116" s="10" t="str">
        <f t="shared" si="0"/>
        <v>LU005518.001</v>
      </c>
      <c r="J116" s="10" t="str">
        <f ca="1">IFERROR(__xludf.DUMMYFUNCTION("VLOOKUP(I116, IMPORTRANGE(""https://docs.google.com/spreadsheets/d/1yDAaXNsi4Mr5FtRQL4tbmSdIzhx6_m4wkOD7IG-k_eo/edit#gid=1336395716"", ""Science!M:N""), 2, FALSE)"),"Provide a brief idea on the importance of quantifying earthquake size")</f>
        <v>Provide a brief idea on the importance of quantifying earthquake size</v>
      </c>
      <c r="K116" s="10" t="str">
        <f t="shared" si="6"/>
        <v>LU005518.002</v>
      </c>
      <c r="L116" s="10" t="str">
        <f ca="1">IFERROR(__xludf.DUMMYFUNCTION("VLOOKUP(K116, IMPORTRANGE(""https://docs.google.com/spreadsheets/d/1yDAaXNsi4Mr5FtRQL4tbmSdIzhx6_m4wkOD7IG-k_eo/edit#gid=1336395716"", ""Science!M:N""), 2, FALSE)"),"Describe the Richter scale and how it measures the energy released by an earthquake.")</f>
        <v>Describe the Richter scale and how it measures the energy released by an earthquake.</v>
      </c>
      <c r="M116" s="10" t="str">
        <f t="shared" si="2"/>
        <v>LU005518.003</v>
      </c>
      <c r="N116" s="10" t="str">
        <f ca="1">IFERROR(__xludf.DUMMYFUNCTION("VLOOKUP(M116, IMPORTRANGE(""https://docs.google.com/spreadsheets/d/1yDAaXNsi4Mr5FtRQL4tbmSdIzhx6_m4wkOD7IG-k_eo/edit#gid=1336395716"", ""Science!M:N""), 2, FALSE)"),"#N/A")</f>
        <v>#N/A</v>
      </c>
      <c r="O116" s="10" t="str">
        <f t="shared" si="3"/>
        <v>LU005518.004</v>
      </c>
      <c r="P116" s="10" t="str">
        <f ca="1">IFERROR(__xludf.DUMMYFUNCTION("VLOOKUP(O116, IMPORTRANGE(""https://docs.google.com/spreadsheets/d/1yDAaXNsi4Mr5FtRQL4tbmSdIzhx6_m4wkOD7IG-k_eo/edit#gid=1336395716"", ""Science!M:N""), 2, FALSE)"),"Analyze the logarithmic nature of the Richter scale and its implications.")</f>
        <v>Analyze the logarithmic nature of the Richter scale and its implications.</v>
      </c>
      <c r="Q116" s="10" t="str">
        <f t="shared" si="4"/>
        <v>LU005518.005</v>
      </c>
      <c r="R116" s="10" t="str">
        <f ca="1">IFERROR(__xludf.DUMMYFUNCTION("VLOOKUP(Q116, IMPORTRANGE(""https://docs.google.com/spreadsheets/d/1yDAaXNsi4Mr5FtRQL4tbmSdIzhx6_m4wkOD7IG-k_eo/edit#gid=1336395716"", ""Science!M:N""), 2, FALSE)"),"Evaluate the significance of accurate magnitude measurement for disaster response.")</f>
        <v>Evaluate the significance of accurate magnitude measurement for disaster response.</v>
      </c>
      <c r="S116" s="10" t="str">
        <f t="shared" si="5"/>
        <v>LU005518.006</v>
      </c>
      <c r="T116" s="10" t="str">
        <f ca="1">IFERROR(__xludf.DUMMYFUNCTION("VLOOKUP(S116, IMPORTRANGE(""https://docs.google.com/spreadsheets/d/1yDAaXNsi4Mr5FtRQL4tbmSdIzhx6_m4wkOD7IG-k_eo/edit#gid=1336395716"", ""Science!M:N""), 2, FALSE)"),"#N/A")</f>
        <v>#N/A</v>
      </c>
      <c r="U116" s="116">
        <f ca="1">IFERROR(__xludf.DUMMYFUNCTION("ArrayFormula(VLOOKUP(G116, IMPORTRANGE(""https://docs.google.com/spreadsheets/d/1p7R4vtkWt5VOBim4ltsDG9KTzSjrtKXsMtQGXPHyND0/edit#gid=795171502"", ""'Filter 30_05_2024'!A1:M2000""), {2, 3, 4, 5,6,7,8,9,10,11,12,13}, 0))"),4)</f>
        <v>4</v>
      </c>
      <c r="V116" s="116">
        <f ca="1">IFERROR(__xludf.DUMMYFUNCTION("""COMPUTED_VALUE"""),6)</f>
        <v>6</v>
      </c>
      <c r="W116" s="116">
        <f ca="1">IFERROR(__xludf.DUMMYFUNCTION("""COMPUTED_VALUE"""),2)</f>
        <v>2</v>
      </c>
      <c r="X116" s="116">
        <f ca="1">IFERROR(__xludf.DUMMYFUNCTION("""COMPUTED_VALUE"""),12)</f>
        <v>12</v>
      </c>
      <c r="Y116" s="116">
        <f ca="1">IFERROR(__xludf.DUMMYFUNCTION("""COMPUTED_VALUE"""),4)</f>
        <v>4</v>
      </c>
      <c r="Z116" s="12">
        <f ca="1">IFERROR(__xludf.DUMMYFUNCTION("""COMPUTED_VALUE"""),3)</f>
        <v>3</v>
      </c>
      <c r="AA116" s="12">
        <f ca="1">IFERROR(__xludf.DUMMYFUNCTION("""COMPUTED_VALUE"""),1)</f>
        <v>1</v>
      </c>
      <c r="AB116" s="12">
        <f ca="1">IFERROR(__xludf.DUMMYFUNCTION("""COMPUTED_VALUE"""),8)</f>
        <v>8</v>
      </c>
      <c r="AC116" s="12"/>
      <c r="AD116" s="12"/>
      <c r="AE116" s="12"/>
      <c r="AF116" s="12"/>
      <c r="AG116" s="13" t="str">
        <f ca="1">IFERROR(__xludf.DUMMYFUNCTION("ArrayFormula(VLOOKUP(G116, IMPORTRANGE(""https://docs.google.com/spreadsheets/d/1Co934fvtviyaRiMsrIlT05Jaq7iiYq07aLvRr35KA48/edit?gid=173865642#gid=173865642"", ""'G8_Sci_Pri_LU'!G2:V2000""), {3, 4, 5, 6, 7, 8, 9, 10, 11, 12, 13, 14, 15, 16}, 0))"),"LU005514")</f>
        <v>LU005514</v>
      </c>
      <c r="AH116" s="13" t="str">
        <f ca="1">IFERROR(__xludf.DUMMYFUNCTION("""COMPUTED_VALUE"""),"Seismograph and its significance")</f>
        <v>Seismograph and its significance</v>
      </c>
      <c r="AI116" s="13" t="str">
        <f ca="1">IFERROR(__xludf.DUMMYFUNCTION("""COMPUTED_VALUE"""),"LU005516")</f>
        <v>LU005516</v>
      </c>
      <c r="AJ116" s="13" t="str">
        <f ca="1">IFERROR(__xludf.DUMMYFUNCTION("""COMPUTED_VALUE"""),"Definition, Characteristics and causes of Earthquakes")</f>
        <v>Definition, Characteristics and causes of Earthquakes</v>
      </c>
      <c r="AK116" s="13"/>
      <c r="AL116" s="13"/>
      <c r="AM116" s="13"/>
      <c r="AN116" s="13"/>
      <c r="AO116" s="13"/>
      <c r="AP116" s="13"/>
      <c r="AQ116" s="13"/>
      <c r="AR116" s="13"/>
      <c r="AS116" s="13"/>
      <c r="AT116" s="13"/>
    </row>
    <row r="117" spans="1:46" ht="39.6">
      <c r="A117" s="8" t="s">
        <v>247</v>
      </c>
      <c r="B117" s="8" t="s">
        <v>47</v>
      </c>
      <c r="C117" s="8" t="s">
        <v>731</v>
      </c>
      <c r="D117" s="8" t="s">
        <v>1510</v>
      </c>
      <c r="E117" s="8" t="s">
        <v>2189</v>
      </c>
      <c r="F117" s="8" t="s">
        <v>2204</v>
      </c>
      <c r="G117" s="8" t="s">
        <v>2206</v>
      </c>
      <c r="H117" s="8" t="str">
        <f ca="1">IFERROR(__xludf.DUMMYFUNCTION("VLOOKUP(G117, IMPORTRANGE(""https://docs.google.com/spreadsheets/d/14deopnvwcrKtEGCKuYXdUHJbeLDZlkiSSWWT0g7x2pM/edit#gid=849066331"", ""LU List Science (Filter)!A:B""), 2, FALSE)"),"Seismograph and its significance")</f>
        <v>Seismograph and its significance</v>
      </c>
      <c r="I117" s="10" t="str">
        <f t="shared" si="0"/>
        <v>LU005514.001</v>
      </c>
      <c r="J117" s="10" t="str">
        <f ca="1">IFERROR(__xludf.DUMMYFUNCTION("VLOOKUP(I117, IMPORTRANGE(""https://docs.google.com/spreadsheets/d/1yDAaXNsi4Mr5FtRQL4tbmSdIzhx6_m4wkOD7IG-k_eo/edit#gid=1336395716"", ""Science!M:N""), 2, FALSE)"),"Give an overview of the role of seismographs in monitoring earthquakes")</f>
        <v>Give an overview of the role of seismographs in monitoring earthquakes</v>
      </c>
      <c r="K117" s="10" t="str">
        <f t="shared" si="6"/>
        <v>LU005514.002</v>
      </c>
      <c r="L117" s="10" t="str">
        <f ca="1">IFERROR(__xludf.DUMMYFUNCTION("VLOOKUP(K117, IMPORTRANGE(""https://docs.google.com/spreadsheets/d/1yDAaXNsi4Mr5FtRQL4tbmSdIzhx6_m4wkOD7IG-k_eo/edit#gid=1336395716"", ""Science!M:N""), 2, FALSE)"),"Describe the components of a seismograph and how they detect ground motion.")</f>
        <v>Describe the components of a seismograph and how they detect ground motion.</v>
      </c>
      <c r="M117" s="10" t="str">
        <f t="shared" si="2"/>
        <v>LU005514.003</v>
      </c>
      <c r="N117" s="10" t="str">
        <f ca="1">IFERROR(__xludf.DUMMYFUNCTION("VLOOKUP(M117, IMPORTRANGE(""https://docs.google.com/spreadsheets/d/1yDAaXNsi4Mr5FtRQL4tbmSdIzhx6_m4wkOD7IG-k_eo/edit#gid=1336395716"", ""Science!M:N""), 2, FALSE)"),"Explain the principles of seismograph operation in recording seismic waves.")</f>
        <v>Explain the principles of seismograph operation in recording seismic waves.</v>
      </c>
      <c r="O117" s="10" t="str">
        <f t="shared" si="3"/>
        <v>LU005514.004</v>
      </c>
      <c r="P117" s="10" t="str">
        <f ca="1">IFERROR(__xludf.DUMMYFUNCTION("VLOOKUP(O117, IMPORTRANGE(""https://docs.google.com/spreadsheets/d/1yDAaXNsi4Mr5FtRQL4tbmSdIzhx6_m4wkOD7IG-k_eo/edit#gid=1336395716"", ""Science!M:N""), 2, FALSE)"),"Analyze how seismograph data are used to locate the epicenter and determine earthquake magnitude.")</f>
        <v>Analyze how seismograph data are used to locate the epicenter and determine earthquake magnitude.</v>
      </c>
      <c r="Q117" s="10" t="str">
        <f t="shared" si="4"/>
        <v>LU005514.005</v>
      </c>
      <c r="R117" s="10" t="str">
        <f ca="1">IFERROR(__xludf.DUMMYFUNCTION("VLOOKUP(Q117, IMPORTRANGE(""https://docs.google.com/spreadsheets/d/1yDAaXNsi4Mr5FtRQL4tbmSdIzhx6_m4wkOD7IG-k_eo/edit#gid=1336395716"", ""Science!M:N""), 2, FALSE)"),"Evaluate the importance of seismographs in earthquake research and early warning systems.")</f>
        <v>Evaluate the importance of seismographs in earthquake research and early warning systems.</v>
      </c>
      <c r="S117" s="10" t="str">
        <f t="shared" si="5"/>
        <v>LU005514.006</v>
      </c>
      <c r="T117" s="10" t="str">
        <f ca="1">IFERROR(__xludf.DUMMYFUNCTION("VLOOKUP(S117, IMPORTRANGE(""https://docs.google.com/spreadsheets/d/1yDAaXNsi4Mr5FtRQL4tbmSdIzhx6_m4wkOD7IG-k_eo/edit#gid=1336395716"", ""Science!M:N""), 2, FALSE)"),"#N/A")</f>
        <v>#N/A</v>
      </c>
      <c r="U117" s="116">
        <f ca="1">IFERROR(__xludf.DUMMYFUNCTION("ArrayFormula(VLOOKUP(G117, IMPORTRANGE(""https://docs.google.com/spreadsheets/d/1p7R4vtkWt5VOBim4ltsDG9KTzSjrtKXsMtQGXPHyND0/edit#gid=795171502"", ""'Filter 30_05_2024'!A1:M2000""), {2, 3, 4, 5,6,7,8,9,10,11,12,13}, 0))"),4)</f>
        <v>4</v>
      </c>
      <c r="V117" s="116">
        <f ca="1">IFERROR(__xludf.DUMMYFUNCTION("""COMPUTED_VALUE"""),6)</f>
        <v>6</v>
      </c>
      <c r="W117" s="116">
        <f ca="1">IFERROR(__xludf.DUMMYFUNCTION("""COMPUTED_VALUE"""),2)</f>
        <v>2</v>
      </c>
      <c r="X117" s="116">
        <f ca="1">IFERROR(__xludf.DUMMYFUNCTION("""COMPUTED_VALUE"""),12)</f>
        <v>12</v>
      </c>
      <c r="Y117" s="116">
        <f ca="1">IFERROR(__xludf.DUMMYFUNCTION("""COMPUTED_VALUE"""),4)</f>
        <v>4</v>
      </c>
      <c r="Z117" s="12">
        <f ca="1">IFERROR(__xludf.DUMMYFUNCTION("""COMPUTED_VALUE"""),3)</f>
        <v>3</v>
      </c>
      <c r="AA117" s="12">
        <f ca="1">IFERROR(__xludf.DUMMYFUNCTION("""COMPUTED_VALUE"""),1)</f>
        <v>1</v>
      </c>
      <c r="AB117" s="12">
        <f ca="1">IFERROR(__xludf.DUMMYFUNCTION("""COMPUTED_VALUE"""),8)</f>
        <v>8</v>
      </c>
      <c r="AC117" s="12"/>
      <c r="AD117" s="12"/>
      <c r="AE117" s="12"/>
      <c r="AF117" s="12"/>
      <c r="AG117" s="13" t="str">
        <f ca="1">IFERROR(__xludf.DUMMYFUNCTION("ArrayFormula(VLOOKUP(G117, IMPORTRANGE(""https://docs.google.com/spreadsheets/d/1Co934fvtviyaRiMsrIlT05Jaq7iiYq07aLvRr35KA48/edit?gid=173865642#gid=173865642"", ""'G8_Sci_Pri_LU'!G2:V2000""), {3, 4, 5, 6, 7, 8, 9, 10, 11, 12, 13, 14, 15, 16}, 0))"),"LU005516")</f>
        <v>LU005516</v>
      </c>
      <c r="AH117" s="13" t="str">
        <f ca="1">IFERROR(__xludf.DUMMYFUNCTION("""COMPUTED_VALUE"""),"Definition, Characteristics and causes of Earthquakes")</f>
        <v>Definition, Characteristics and causes of Earthquakes</v>
      </c>
      <c r="AI117" s="13" t="str">
        <f ca="1">IFERROR(__xludf.DUMMYFUNCTION("""COMPUTED_VALUE"""),"LU005379")</f>
        <v>LU005379</v>
      </c>
      <c r="AJ117" s="13" t="str">
        <f ca="1">IFERROR(__xludf.DUMMYFUNCTION("""COMPUTED_VALUE"""),"Definition and Parts of a Simple Pendulum")</f>
        <v>Definition and Parts of a Simple Pendulum</v>
      </c>
      <c r="AK117" s="13"/>
      <c r="AL117" s="13"/>
      <c r="AM117" s="13"/>
      <c r="AN117" s="13"/>
      <c r="AO117" s="13"/>
      <c r="AP117" s="13"/>
      <c r="AQ117" s="13"/>
      <c r="AR117" s="13"/>
      <c r="AS117" s="13"/>
      <c r="AT117" s="13"/>
    </row>
    <row r="118" spans="1:46" ht="39.6">
      <c r="A118" s="8" t="s">
        <v>247</v>
      </c>
      <c r="B118" s="8" t="s">
        <v>47</v>
      </c>
      <c r="C118" s="8" t="s">
        <v>731</v>
      </c>
      <c r="D118" s="8" t="s">
        <v>1510</v>
      </c>
      <c r="E118" s="8" t="s">
        <v>2189</v>
      </c>
      <c r="F118" s="123" t="s">
        <v>2207</v>
      </c>
      <c r="G118" s="123" t="s">
        <v>2208</v>
      </c>
      <c r="H118" s="123" t="s">
        <v>2209</v>
      </c>
      <c r="I118" s="10" t="str">
        <f t="shared" si="0"/>
        <v>LU005523.001</v>
      </c>
      <c r="J118" s="10" t="str">
        <f ca="1">IFERROR(__xludf.DUMMYFUNCTION("VLOOKUP(I118, IMPORTRANGE(""https://docs.google.com/spreadsheets/d/1yDAaXNsi4Mr5FtRQL4tbmSdIzhx6_m4wkOD7IG-k_eo/edit#gid=1336395716"", ""Science!M:N""), 2, FALSE)"),"Provide an overview of the various effects of earthquakes, including ground shaking, surface rupture, and tsunamis.")</f>
        <v>Provide an overview of the various effects of earthquakes, including ground shaking, surface rupture, and tsunamis.</v>
      </c>
      <c r="K118" s="10" t="str">
        <f t="shared" si="6"/>
        <v>LU005523.002</v>
      </c>
      <c r="L118" s="10" t="str">
        <f ca="1">IFERROR(__xludf.DUMMYFUNCTION("VLOOKUP(K118, IMPORTRANGE(""https://docs.google.com/spreadsheets/d/1yDAaXNsi4Mr5FtRQL4tbmSdIzhx6_m4wkOD7IG-k_eo/edit#gid=1336395716"", ""Science!M:N""), 2, FALSE)"),"Describe the factors that influence the intensity of ground shaking during an earthquake.")</f>
        <v>Describe the factors that influence the intensity of ground shaking during an earthquake.</v>
      </c>
      <c r="M118" s="10" t="str">
        <f t="shared" si="2"/>
        <v>LU005523.003</v>
      </c>
      <c r="N118" s="10" t="str">
        <f ca="1">IFERROR(__xludf.DUMMYFUNCTION("VLOOKUP(M118, IMPORTRANGE(""https://docs.google.com/spreadsheets/d/1yDAaXNsi4Mr5FtRQL4tbmSdIzhx6_m4wkOD7IG-k_eo/edit#gid=1336395716"", ""Science!M:N""), 2, FALSE)"),"Explain how tsunamis are generated as a result of undersea earthquakes.")</f>
        <v>Explain how tsunamis are generated as a result of undersea earthquakes.</v>
      </c>
      <c r="O118" s="10" t="str">
        <f t="shared" si="3"/>
        <v>LU005523.004</v>
      </c>
      <c r="P118" s="10" t="str">
        <f ca="1">IFERROR(__xludf.DUMMYFUNCTION("VLOOKUP(O118, IMPORTRANGE(""https://docs.google.com/spreadsheets/d/1yDAaXNsi4Mr5FtRQL4tbmSdIzhx6_m4wkOD7IG-k_eo/edit#gid=1336395716"", ""Science!M:N""), 2, FALSE)"),"Analyze the consequences of earthquake effects on infrastructure and communities.")</f>
        <v>Analyze the consequences of earthquake effects on infrastructure and communities.</v>
      </c>
      <c r="Q118" s="10" t="str">
        <f t="shared" si="4"/>
        <v>LU005523.005</v>
      </c>
      <c r="R118" s="10" t="str">
        <f ca="1">IFERROR(__xludf.DUMMYFUNCTION("VLOOKUP(Q118, IMPORTRANGE(""https://docs.google.com/spreadsheets/d/1yDAaXNsi4Mr5FtRQL4tbmSdIzhx6_m4wkOD7IG-k_eo/edit#gid=1336395716"", ""Science!M:N""), 2, FALSE)"),"Evaluate the importance of early warning systems for tsunamis and ground shaking.")</f>
        <v>Evaluate the importance of early warning systems for tsunamis and ground shaking.</v>
      </c>
      <c r="S118" s="10" t="str">
        <f t="shared" si="5"/>
        <v>LU005523.006</v>
      </c>
      <c r="T118" s="10" t="str">
        <f ca="1">IFERROR(__xludf.DUMMYFUNCTION("VLOOKUP(S118, IMPORTRANGE(""https://docs.google.com/spreadsheets/d/1yDAaXNsi4Mr5FtRQL4tbmSdIzhx6_m4wkOD7IG-k_eo/edit#gid=1336395716"", ""Science!M:N""), 2, FALSE)"),"#N/A")</f>
        <v>#N/A</v>
      </c>
      <c r="U118" s="116">
        <f ca="1">IFERROR(__xludf.DUMMYFUNCTION("ArrayFormula(VLOOKUP(G118, IMPORTRANGE(""https://docs.google.com/spreadsheets/d/1p7R4vtkWt5VOBim4ltsDG9KTzSjrtKXsMtQGXPHyND0/edit#gid=795171502"", ""'Filter 30_05_2024'!A1:M2000""), {2, 3, 4, 5,6,7,8,9,10,11,12,13}, 0))"),4)</f>
        <v>4</v>
      </c>
      <c r="V118" s="116">
        <f ca="1">IFERROR(__xludf.DUMMYFUNCTION("""COMPUTED_VALUE"""),6)</f>
        <v>6</v>
      </c>
      <c r="W118" s="116">
        <f ca="1">IFERROR(__xludf.DUMMYFUNCTION("""COMPUTED_VALUE"""),2)</f>
        <v>2</v>
      </c>
      <c r="X118" s="116">
        <f ca="1">IFERROR(__xludf.DUMMYFUNCTION("""COMPUTED_VALUE"""),12)</f>
        <v>12</v>
      </c>
      <c r="Y118" s="116">
        <f ca="1">IFERROR(__xludf.DUMMYFUNCTION("""COMPUTED_VALUE"""),4)</f>
        <v>4</v>
      </c>
      <c r="Z118" s="12">
        <f ca="1">IFERROR(__xludf.DUMMYFUNCTION("""COMPUTED_VALUE"""),3)</f>
        <v>3</v>
      </c>
      <c r="AA118" s="12">
        <f ca="1">IFERROR(__xludf.DUMMYFUNCTION("""COMPUTED_VALUE"""),1)</f>
        <v>1</v>
      </c>
      <c r="AB118" s="12">
        <f ca="1">IFERROR(__xludf.DUMMYFUNCTION("""COMPUTED_VALUE"""),8)</f>
        <v>8</v>
      </c>
      <c r="AC118" s="12"/>
      <c r="AD118" s="12"/>
      <c r="AE118" s="12"/>
      <c r="AF118" s="12"/>
      <c r="AG118" s="13" t="str">
        <f ca="1">IFERROR(__xludf.DUMMYFUNCTION("ArrayFormula(VLOOKUP(G118, IMPORTRANGE(""https://docs.google.com/spreadsheets/d/1Co934fvtviyaRiMsrIlT05Jaq7iiYq07aLvRr35KA48/edit?gid=173865642#gid=173865642"", ""'G8_Sci_Pri_LU'!G2:V2000""), {3, 4, 5, 6, 7, 8, 9, 10, 11, 12, 13, 14, 15, 16}, 0))"),"LU005516")</f>
        <v>LU005516</v>
      </c>
      <c r="AH118" s="13" t="str">
        <f ca="1">IFERROR(__xludf.DUMMYFUNCTION("""COMPUTED_VALUE"""),"Definition, Characteristics and causes of Earthquakes")</f>
        <v>Definition, Characteristics and causes of Earthquakes</v>
      </c>
      <c r="AI118" s="13" t="str">
        <f ca="1">IFERROR(__xludf.DUMMYFUNCTION("""COMPUTED_VALUE"""),"LU005522")</f>
        <v>LU005522</v>
      </c>
      <c r="AJ118" s="13" t="str">
        <f ca="1">IFERROR(__xludf.DUMMYFUNCTION("""COMPUTED_VALUE"""),"Movement of Tectonic Plates")</f>
        <v>Movement of Tectonic Plates</v>
      </c>
      <c r="AK118" s="13"/>
      <c r="AL118" s="13"/>
      <c r="AM118" s="13"/>
      <c r="AN118" s="13"/>
      <c r="AO118" s="13"/>
      <c r="AP118" s="13"/>
      <c r="AQ118" s="13"/>
      <c r="AR118" s="13"/>
      <c r="AS118" s="13"/>
      <c r="AT118" s="13"/>
    </row>
    <row r="119" spans="1:46" ht="39.6">
      <c r="A119" s="8" t="s">
        <v>247</v>
      </c>
      <c r="B119" s="8" t="s">
        <v>47</v>
      </c>
      <c r="C119" s="8" t="s">
        <v>731</v>
      </c>
      <c r="D119" s="8" t="s">
        <v>1510</v>
      </c>
      <c r="E119" s="8" t="s">
        <v>2189</v>
      </c>
      <c r="F119" s="123" t="s">
        <v>2207</v>
      </c>
      <c r="G119" s="123" t="s">
        <v>2210</v>
      </c>
      <c r="H119" s="123" t="s">
        <v>2211</v>
      </c>
      <c r="I119" s="10" t="str">
        <f t="shared" si="0"/>
        <v>LU005525.001</v>
      </c>
      <c r="J119" s="10" t="str">
        <f ca="1">IFERROR(__xludf.DUMMYFUNCTION("VLOOKUP(I119, IMPORTRANGE(""https://docs.google.com/spreadsheets/d/1yDAaXNsi4Mr5FtRQL4tbmSdIzhx6_m4wkOD7IG-k_eo/edit#gid=1336395716"", ""Science!M:N""), 2, FALSE)"),"#N/A")</f>
        <v>#N/A</v>
      </c>
      <c r="K119" s="10" t="str">
        <f t="shared" si="6"/>
        <v>LU005525.002</v>
      </c>
      <c r="L119" s="10" t="str">
        <f ca="1">IFERROR(__xludf.DUMMYFUNCTION("VLOOKUP(K119, IMPORTRANGE(""https://docs.google.com/spreadsheets/d/1yDAaXNsi4Mr5FtRQL4tbmSdIzhx6_m4wkOD7IG-k_eo/edit#gid=1336395716"", ""Science!M:N""), 2, FALSE)"),"Explain the importance of staying indoors during an earthquake and avoiding hazards.")</f>
        <v>Explain the importance of staying indoors during an earthquake and avoiding hazards.</v>
      </c>
      <c r="M119" s="10" t="str">
        <f t="shared" si="2"/>
        <v>LU005525.003</v>
      </c>
      <c r="N119" s="10" t="str">
        <f ca="1">IFERROR(__xludf.DUMMYFUNCTION("VLOOKUP(M119, IMPORTRANGE(""https://docs.google.com/spreadsheets/d/1yDAaXNsi4Mr5FtRQL4tbmSdIzhx6_m4wkOD7IG-k_eo/edit#gid=1336395716"", ""Science!M:N""), 2, FALSE)"),"Apply knowledge of post-earthquake safety checks to assess building stability.")</f>
        <v>Apply knowledge of post-earthquake safety checks to assess building stability.</v>
      </c>
      <c r="O119" s="10" t="str">
        <f t="shared" si="3"/>
        <v>LU005525.004</v>
      </c>
      <c r="P119" s="10" t="str">
        <f ca="1">IFERROR(__xludf.DUMMYFUNCTION("VLOOKUP(O119, IMPORTRANGE(""https://docs.google.com/spreadsheets/d/1yDAaXNsi4Mr5FtRQL4tbmSdIzhx6_m4wkOD7IG-k_eo/edit#gid=1336395716"", ""Science!M:N""), 2, FALSE)"),"Analyze the risks associated with aftershocks and potential hazards after an earthquake.")</f>
        <v>Analyze the risks associated with aftershocks and potential hazards after an earthquake.</v>
      </c>
      <c r="Q119" s="10" t="str">
        <f t="shared" si="4"/>
        <v>LU005525.005</v>
      </c>
      <c r="R119" s="10" t="str">
        <f ca="1">IFERROR(__xludf.DUMMYFUNCTION("VLOOKUP(Q119, IMPORTRANGE(""https://docs.google.com/spreadsheets/d/1yDAaXNsi4Mr5FtRQL4tbmSdIzhx6_m4wkOD7IG-k_eo/edit#gid=1336395716"", ""Science!M:N""), 2, FALSE)"),"Evaluate the role of emergency kits and communication plans in earthquake preparedness.")</f>
        <v>Evaluate the role of emergency kits and communication plans in earthquake preparedness.</v>
      </c>
      <c r="S119" s="10" t="str">
        <f t="shared" si="5"/>
        <v>LU005525.006</v>
      </c>
      <c r="T119" s="10" t="str">
        <f ca="1">IFERROR(__xludf.DUMMYFUNCTION("VLOOKUP(S119, IMPORTRANGE(""https://docs.google.com/spreadsheets/d/1yDAaXNsi4Mr5FtRQL4tbmSdIzhx6_m4wkOD7IG-k_eo/edit#gid=1336395716"", ""Science!M:N""), 2, FALSE)"),"#N/A")</f>
        <v>#N/A</v>
      </c>
      <c r="U119" s="116">
        <f ca="1">IFERROR(__xludf.DUMMYFUNCTION("ArrayFormula(VLOOKUP(G119, IMPORTRANGE(""https://docs.google.com/spreadsheets/d/1p7R4vtkWt5VOBim4ltsDG9KTzSjrtKXsMtQGXPHyND0/edit#gid=795171502"", ""'Filter 30_05_2024'!A1:M2000""), {2, 3, 4, 5,6,7,8,9,10,11,12,13}, 0))"),4)</f>
        <v>4</v>
      </c>
      <c r="V119" s="116">
        <f ca="1">IFERROR(__xludf.DUMMYFUNCTION("""COMPUTED_VALUE"""),6)</f>
        <v>6</v>
      </c>
      <c r="W119" s="116">
        <f ca="1">IFERROR(__xludf.DUMMYFUNCTION("""COMPUTED_VALUE"""),2)</f>
        <v>2</v>
      </c>
      <c r="X119" s="116">
        <f ca="1">IFERROR(__xludf.DUMMYFUNCTION("""COMPUTED_VALUE"""),12)</f>
        <v>12</v>
      </c>
      <c r="Y119" s="116">
        <f ca="1">IFERROR(__xludf.DUMMYFUNCTION("""COMPUTED_VALUE"""),4)</f>
        <v>4</v>
      </c>
      <c r="Z119" s="12">
        <f ca="1">IFERROR(__xludf.DUMMYFUNCTION("""COMPUTED_VALUE"""),3)</f>
        <v>3</v>
      </c>
      <c r="AA119" s="12">
        <f ca="1">IFERROR(__xludf.DUMMYFUNCTION("""COMPUTED_VALUE"""),1)</f>
        <v>1</v>
      </c>
      <c r="AB119" s="12">
        <f ca="1">IFERROR(__xludf.DUMMYFUNCTION("""COMPUTED_VALUE"""),8)</f>
        <v>8</v>
      </c>
      <c r="AC119" s="12"/>
      <c r="AD119" s="12"/>
      <c r="AE119" s="12"/>
      <c r="AF119" s="12"/>
      <c r="AG119" s="13" t="str">
        <f ca="1">IFERROR(__xludf.DUMMYFUNCTION("ArrayFormula(VLOOKUP(G119, IMPORTRANGE(""https://docs.google.com/spreadsheets/d/1Co934fvtviyaRiMsrIlT05Jaq7iiYq07aLvRr35KA48/edit?gid=173865642#gid=173865642"", ""'G8_Sci_Pri_LU'!G2:V2000""), {3, 4, 5, 6, 7, 8, 9, 10, 11, 12, 13, 14, 15, 16}, 0))"),"LU005523")</f>
        <v>LU005523</v>
      </c>
      <c r="AH119" s="13" t="str">
        <f ca="1">IFERROR(__xludf.DUMMYFUNCTION("""COMPUTED_VALUE"""),"Overview of Earthquake Effects (e.g., Ground Shaking, Tsunamis)")</f>
        <v>Overview of Earthquake Effects (e.g., Ground Shaking, Tsunamis)</v>
      </c>
      <c r="AI119" s="13" t="str">
        <f ca="1">IFERROR(__xludf.DUMMYFUNCTION("""COMPUTED_VALUE"""),"LU005516")</f>
        <v>LU005516</v>
      </c>
      <c r="AJ119" s="13" t="str">
        <f ca="1">IFERROR(__xludf.DUMMYFUNCTION("""COMPUTED_VALUE"""),"Definition, Characteristics and causes of Earthquakes")</f>
        <v>Definition, Characteristics and causes of Earthquakes</v>
      </c>
      <c r="AK119" s="13"/>
      <c r="AL119" s="13"/>
      <c r="AM119" s="13"/>
      <c r="AN119" s="13"/>
      <c r="AO119" s="13"/>
      <c r="AP119" s="13"/>
      <c r="AQ119" s="13"/>
      <c r="AR119" s="13"/>
      <c r="AS119" s="13"/>
      <c r="AT119" s="13"/>
    </row>
    <row r="120" spans="1:46" ht="39.6">
      <c r="A120" s="8" t="s">
        <v>247</v>
      </c>
      <c r="B120" s="8" t="s">
        <v>47</v>
      </c>
      <c r="C120" s="8" t="s">
        <v>731</v>
      </c>
      <c r="D120" s="8" t="s">
        <v>1510</v>
      </c>
      <c r="E120" s="8" t="s">
        <v>1974</v>
      </c>
      <c r="F120" s="8" t="s">
        <v>2212</v>
      </c>
      <c r="G120" s="8" t="s">
        <v>2213</v>
      </c>
      <c r="H120" s="8" t="str">
        <f ca="1">IFERROR(__xludf.DUMMYFUNCTION("VLOOKUP(G120, IMPORTRANGE(""https://docs.google.com/spreadsheets/d/14deopnvwcrKtEGCKuYXdUHJbeLDZlkiSSWWT0g7x2pM/edit#gid=849066331"", ""LU List Science (Filter)!A:B""), 2, FALSE)"),"Definition of types of angles and rays used in reflection of light")</f>
        <v>Definition of types of angles and rays used in reflection of light</v>
      </c>
      <c r="I120" s="10" t="str">
        <f t="shared" si="0"/>
        <v>LU005917.001</v>
      </c>
      <c r="J120" s="10" t="str">
        <f ca="1">IFERROR(__xludf.DUMMYFUNCTION("VLOOKUP(I120, IMPORTRANGE(""https://docs.google.com/spreadsheets/d/1yDAaXNsi4Mr5FtRQL4tbmSdIzhx6_m4wkOD7IG-k_eo/edit#gid=1336395716"", ""Science!M:N""), 2, FALSE)"),"Identify and label angles of incidence, reflection, and the normal in a diagram.")</f>
        <v>Identify and label angles of incidence, reflection, and the normal in a diagram.</v>
      </c>
      <c r="K120" s="10" t="str">
        <f t="shared" si="6"/>
        <v>LU005917.002</v>
      </c>
      <c r="L120" s="10" t="str">
        <f ca="1">IFERROR(__xludf.DUMMYFUNCTION("VLOOKUP(K120, IMPORTRANGE(""https://docs.google.com/spreadsheets/d/1yDAaXNsi4Mr5FtRQL4tbmSdIzhx6_m4wkOD7IG-k_eo/edit#gid=1336395716"", ""Science!M:N""), 2, FALSE)"),"Explain the relationship between incident, reflected, and normal rays.")</f>
        <v>Explain the relationship between incident, reflected, and normal rays.</v>
      </c>
      <c r="M120" s="10" t="str">
        <f t="shared" si="2"/>
        <v>LU005917.003</v>
      </c>
      <c r="N120" s="10" t="str">
        <f ca="1">IFERROR(__xludf.DUMMYFUNCTION("VLOOKUP(M120, IMPORTRANGE(""https://docs.google.com/spreadsheets/d/1yDAaXNsi4Mr5FtRQL4tbmSdIzhx6_m4wkOD7IG-k_eo/edit#gid=1336395716"", ""Science!M:N""), 2, FALSE)"),"Apply geometric principles to predict the behavior of light upon reflection.")</f>
        <v>Apply geometric principles to predict the behavior of light upon reflection.</v>
      </c>
      <c r="O120" s="10" t="str">
        <f t="shared" si="3"/>
        <v>LU005917.004</v>
      </c>
      <c r="P120" s="10" t="str">
        <f ca="1">IFERROR(__xludf.DUMMYFUNCTION("VLOOKUP(O120, IMPORTRANGE(""https://docs.google.com/spreadsheets/d/1yDAaXNsi4Mr5FtRQL4tbmSdIzhx6_m4wkOD7IG-k_eo/edit#gid=1336395716"", ""Science!M:N""), 2, FALSE)"),"Analyze diagrams to determine the accuracy of angle representations.")</f>
        <v>Analyze diagrams to determine the accuracy of angle representations.</v>
      </c>
      <c r="Q120" s="10" t="str">
        <f t="shared" si="4"/>
        <v>LU005917.005</v>
      </c>
      <c r="R120" s="10" t="str">
        <f ca="1">IFERROR(__xludf.DUMMYFUNCTION("VLOOKUP(Q120, IMPORTRANGE(""https://docs.google.com/spreadsheets/d/1yDAaXNsi4Mr5FtRQL4tbmSdIzhx6_m4wkOD7IG-k_eo/edit#gid=1336395716"", ""Science!M:N""), 2, FALSE)"),"Evaluate the significance of these angles in practical applications of reflection.")</f>
        <v>Evaluate the significance of these angles in practical applications of reflection.</v>
      </c>
      <c r="S120" s="10" t="str">
        <f t="shared" si="5"/>
        <v>LU005917.006</v>
      </c>
      <c r="T120" s="10" t="str">
        <f ca="1">IFERROR(__xludf.DUMMYFUNCTION("VLOOKUP(S120, IMPORTRANGE(""https://docs.google.com/spreadsheets/d/1yDAaXNsi4Mr5FtRQL4tbmSdIzhx6_m4wkOD7IG-k_eo/edit#gid=1336395716"", ""Science!M:N""), 2, FALSE)"),"Construct accurate diagrams to demonstrate the laws governing reflective angles and rays.")</f>
        <v>Construct accurate diagrams to demonstrate the laws governing reflective angles and rays.</v>
      </c>
      <c r="U120" s="116">
        <f ca="1">IFERROR(__xludf.DUMMYFUNCTION("ArrayFormula(VLOOKUP(G120, IMPORTRANGE(""https://docs.google.com/spreadsheets/d/1p7R4vtkWt5VOBim4ltsDG9KTzSjrtKXsMtQGXPHyND0/edit#gid=795171502"", ""'Filter 30_05_2024'!A1:M2000""), {2, 3, 4, 5,6,7,8,9,10,11,12,13}, 0))"),4)</f>
        <v>4</v>
      </c>
      <c r="V120" s="116">
        <f ca="1">IFERROR(__xludf.DUMMYFUNCTION("""COMPUTED_VALUE"""),6)</f>
        <v>6</v>
      </c>
      <c r="W120" s="116">
        <f ca="1">IFERROR(__xludf.DUMMYFUNCTION("""COMPUTED_VALUE"""),2)</f>
        <v>2</v>
      </c>
      <c r="X120" s="116">
        <f ca="1">IFERROR(__xludf.DUMMYFUNCTION("""COMPUTED_VALUE"""),12)</f>
        <v>12</v>
      </c>
      <c r="Y120" s="116">
        <f ca="1">IFERROR(__xludf.DUMMYFUNCTION("""COMPUTED_VALUE"""),4)</f>
        <v>4</v>
      </c>
      <c r="Z120" s="12">
        <f ca="1">IFERROR(__xludf.DUMMYFUNCTION("""COMPUTED_VALUE"""),3)</f>
        <v>3</v>
      </c>
      <c r="AA120" s="12">
        <f ca="1">IFERROR(__xludf.DUMMYFUNCTION("""COMPUTED_VALUE"""),1)</f>
        <v>1</v>
      </c>
      <c r="AB120" s="12">
        <f ca="1">IFERROR(__xludf.DUMMYFUNCTION("""COMPUTED_VALUE"""),8)</f>
        <v>8</v>
      </c>
      <c r="AC120" s="12"/>
      <c r="AD120" s="12"/>
      <c r="AE120" s="12"/>
      <c r="AF120" s="12"/>
      <c r="AG120" s="13" t="str">
        <f ca="1">IFERROR(__xludf.DUMMYFUNCTION("ArrayFormula(VLOOKUP(G120, IMPORTRANGE(""https://docs.google.com/spreadsheets/d/1Co934fvtviyaRiMsrIlT05Jaq7iiYq07aLvRr35KA48/edit?gid=173865642#gid=173865642"", ""'G8_Sci_Pri_LU'!G2:V2000""), {3, 4, 5, 6, 7, 8, 9, 10, 11, 12, 13, 14, 15, 16}, 0))"),"LU005838")</f>
        <v>LU005838</v>
      </c>
      <c r="AH120" s="13" t="str">
        <f ca="1">IFERROR(__xludf.DUMMYFUNCTION("""COMPUTED_VALUE"""),"Definition of Reflection of Light")</f>
        <v>Definition of Reflection of Light</v>
      </c>
      <c r="AI120" s="13" t="str">
        <f ca="1">IFERROR(__xludf.DUMMYFUNCTION("""COMPUTED_VALUE"""),"LU000014")</f>
        <v>LU000014</v>
      </c>
      <c r="AJ120" s="13" t="str">
        <f ca="1">IFERROR(__xludf.DUMMYFUNCTION("""COMPUTED_VALUE"""),"Definition of an angle")</f>
        <v>Definition of an angle</v>
      </c>
      <c r="AK120" s="13" t="str">
        <f ca="1">IFERROR(__xludf.DUMMYFUNCTION("""COMPUTED_VALUE"""),"LU000024")</f>
        <v>LU000024</v>
      </c>
      <c r="AL120" s="13" t="str">
        <f ca="1">IFERROR(__xludf.DUMMYFUNCTION("""COMPUTED_VALUE"""),"Definition of degree as unit to measure an angle")</f>
        <v>Definition of degree as unit to measure an angle</v>
      </c>
      <c r="AM120" s="13"/>
      <c r="AN120" s="13"/>
      <c r="AO120" s="13"/>
      <c r="AP120" s="13"/>
      <c r="AQ120" s="13"/>
      <c r="AR120" s="13"/>
      <c r="AS120" s="13"/>
      <c r="AT120" s="13"/>
    </row>
    <row r="121" spans="1:46" ht="39.6">
      <c r="A121" s="8" t="s">
        <v>247</v>
      </c>
      <c r="B121" s="8" t="s">
        <v>47</v>
      </c>
      <c r="C121" s="8" t="s">
        <v>731</v>
      </c>
      <c r="D121" s="8" t="s">
        <v>1510</v>
      </c>
      <c r="E121" s="8" t="s">
        <v>1974</v>
      </c>
      <c r="F121" s="8" t="s">
        <v>2212</v>
      </c>
      <c r="G121" s="8" t="s">
        <v>2214</v>
      </c>
      <c r="H121" s="8" t="str">
        <f ca="1">IFERROR(__xludf.DUMMYFUNCTION("VLOOKUP(G121, IMPORTRANGE(""https://docs.google.com/spreadsheets/d/14deopnvwcrKtEGCKuYXdUHJbeLDZlkiSSWWT0g7x2pM/edit#gid=849066331"", ""LU List Science (Filter)!A:B""), 2, FALSE)"),"Laws of reflection")</f>
        <v>Laws of reflection</v>
      </c>
      <c r="I121" s="10" t="str">
        <f t="shared" si="0"/>
        <v>LU005372.001</v>
      </c>
      <c r="J121" s="10" t="str">
        <f ca="1">IFERROR(__xludf.DUMMYFUNCTION("VLOOKUP(I121, IMPORTRANGE(""https://docs.google.com/spreadsheets/d/1yDAaXNsi4Mr5FtRQL4tbmSdIzhx6_m4wkOD7IG-k_eo/edit#gid=1336395716"", ""Science!M:N""), 2, FALSE)"),"List the two laws of reflection")</f>
        <v>List the two laws of reflection</v>
      </c>
      <c r="K121" s="10" t="str">
        <f t="shared" si="6"/>
        <v>LU005372.002</v>
      </c>
      <c r="L121" s="10" t="str">
        <f ca="1">IFERROR(__xludf.DUMMYFUNCTION("VLOOKUP(K121, IMPORTRANGE(""https://docs.google.com/spreadsheets/d/1yDAaXNsi4Mr5FtRQL4tbmSdIzhx6_m4wkOD7IG-k_eo/edit#gid=1336395716"", ""Science!M:N""), 2, FALSE)"),"Explain  the relationship between the angle of incidence and the angle of reflection. ")</f>
        <v xml:space="preserve">Explain  the relationship between the angle of incidence and the angle of reflection. </v>
      </c>
      <c r="M121" s="10" t="str">
        <f t="shared" si="2"/>
        <v>LU005372.003</v>
      </c>
      <c r="N121" s="10" t="str">
        <f ca="1">IFERROR(__xludf.DUMMYFUNCTION("VLOOKUP(M121, IMPORTRANGE(""https://docs.google.com/spreadsheets/d/1yDAaXNsi4Mr5FtRQL4tbmSdIzhx6_m4wkOD7IG-k_eo/edit#gid=1336395716"", ""Science!M:N""), 2, FALSE)"),"Demonstrate an activity to show the relationship between angle of incidence and angle of reflection. ")</f>
        <v xml:space="preserve">Demonstrate an activity to show the relationship between angle of incidence and angle of reflection. </v>
      </c>
      <c r="O121" s="10" t="str">
        <f t="shared" si="3"/>
        <v>LU005372.004</v>
      </c>
      <c r="P121" s="10" t="str">
        <f ca="1">IFERROR(__xludf.DUMMYFUNCTION("VLOOKUP(O121, IMPORTRANGE(""https://docs.google.com/spreadsheets/d/1yDAaXNsi4Mr5FtRQL4tbmSdIzhx6_m4wkOD7IG-k_eo/edit#gid=1336395716"", ""Science!M:N""), 2, FALSE)"),"Analyze the factors that affect the angle of reflection.")</f>
        <v>Analyze the factors that affect the angle of reflection.</v>
      </c>
      <c r="Q121" s="10" t="str">
        <f t="shared" si="4"/>
        <v>LU005372.005</v>
      </c>
      <c r="R121" s="10" t="str">
        <f ca="1">IFERROR(__xludf.DUMMYFUNCTION("VLOOKUP(Q121, IMPORTRANGE(""https://docs.google.com/spreadsheets/d/1yDAaXNsi4Mr5FtRQL4tbmSdIzhx6_m4wkOD7IG-k_eo/edit#gid=1336395716"", ""Science!M:N""), 2, FALSE)"),"(LU005372.005); Default - Evaluate")</f>
        <v>(LU005372.005); Default - Evaluate</v>
      </c>
      <c r="S121" s="10" t="str">
        <f t="shared" si="5"/>
        <v>LU005372.006</v>
      </c>
      <c r="T121" s="10" t="str">
        <f ca="1">IFERROR(__xludf.DUMMYFUNCTION("VLOOKUP(S121, IMPORTRANGE(""https://docs.google.com/spreadsheets/d/1yDAaXNsi4Mr5FtRQL4tbmSdIzhx6_m4wkOD7IG-k_eo/edit#gid=1336395716"", ""Science!M:N""), 2, FALSE)"),"Design an experiment to verify the two law of reflection. ")</f>
        <v xml:space="preserve">Design an experiment to verify the two law of reflection. </v>
      </c>
      <c r="U121" s="116">
        <f ca="1">IFERROR(__xludf.DUMMYFUNCTION("ArrayFormula(VLOOKUP(G121, IMPORTRANGE(""https://docs.google.com/spreadsheets/d/1p7R4vtkWt5VOBim4ltsDG9KTzSjrtKXsMtQGXPHyND0/edit#gid=795171502"", ""'Filter 30_05_2024'!A1:M2000""), {2, 3, 4, 5,6,7,8,9,10,11,12,13}, 0))"),4)</f>
        <v>4</v>
      </c>
      <c r="V121" s="116">
        <f ca="1">IFERROR(__xludf.DUMMYFUNCTION("""COMPUTED_VALUE"""),6)</f>
        <v>6</v>
      </c>
      <c r="W121" s="116">
        <f ca="1">IFERROR(__xludf.DUMMYFUNCTION("""COMPUTED_VALUE"""),2)</f>
        <v>2</v>
      </c>
      <c r="X121" s="116">
        <f ca="1">IFERROR(__xludf.DUMMYFUNCTION("""COMPUTED_VALUE"""),12)</f>
        <v>12</v>
      </c>
      <c r="Y121" s="116">
        <f ca="1">IFERROR(__xludf.DUMMYFUNCTION("""COMPUTED_VALUE"""),4)</f>
        <v>4</v>
      </c>
      <c r="Z121" s="12">
        <f ca="1">IFERROR(__xludf.DUMMYFUNCTION("""COMPUTED_VALUE"""),3)</f>
        <v>3</v>
      </c>
      <c r="AA121" s="12">
        <f ca="1">IFERROR(__xludf.DUMMYFUNCTION("""COMPUTED_VALUE"""),1)</f>
        <v>1</v>
      </c>
      <c r="AB121" s="12">
        <f ca="1">IFERROR(__xludf.DUMMYFUNCTION("""COMPUTED_VALUE"""),8)</f>
        <v>8</v>
      </c>
      <c r="AC121" s="12"/>
      <c r="AD121" s="12"/>
      <c r="AE121" s="12"/>
      <c r="AF121" s="12"/>
      <c r="AG121" s="13" t="str">
        <f ca="1">IFERROR(__xludf.DUMMYFUNCTION("ArrayFormula(VLOOKUP(G121, IMPORTRANGE(""https://docs.google.com/spreadsheets/d/1Co934fvtviyaRiMsrIlT05Jaq7iiYq07aLvRr35KA48/edit?gid=173865642#gid=173865642"", ""'G8_Sci_Pri_LU'!G2:V2000""), {3, 4, 5, 6, 7, 8, 9, 10, 11, 12, 13, 14, 15, 16}, 0))"),"LU005917")</f>
        <v>LU005917</v>
      </c>
      <c r="AH121" s="13" t="str">
        <f ca="1">IFERROR(__xludf.DUMMYFUNCTION("""COMPUTED_VALUE"""),"Definition of types of angles and rays used in reflection of light")</f>
        <v>Definition of types of angles and rays used in reflection of light</v>
      </c>
      <c r="AI121" s="13" t="str">
        <f ca="1">IFERROR(__xludf.DUMMYFUNCTION("""COMPUTED_VALUE"""),"LU005838")</f>
        <v>LU005838</v>
      </c>
      <c r="AJ121" s="13" t="str">
        <f ca="1">IFERROR(__xludf.DUMMYFUNCTION("""COMPUTED_VALUE"""),"Definition of Reflection of Light")</f>
        <v>Definition of Reflection of Light</v>
      </c>
      <c r="AK121" s="13" t="str">
        <f ca="1">IFERROR(__xludf.DUMMYFUNCTION("""COMPUTED_VALUE"""),"LU005166")</f>
        <v>LU005166</v>
      </c>
      <c r="AL121" s="13" t="str">
        <f ca="1">IFERROR(__xludf.DUMMYFUNCTION("""COMPUTED_VALUE"""),"Light travels in straight line")</f>
        <v>Light travels in straight line</v>
      </c>
      <c r="AM121" s="13"/>
      <c r="AN121" s="13"/>
      <c r="AO121" s="13"/>
      <c r="AP121" s="13"/>
      <c r="AQ121" s="13"/>
      <c r="AR121" s="13"/>
      <c r="AS121" s="13"/>
      <c r="AT121" s="13"/>
    </row>
    <row r="122" spans="1:46" ht="39.6">
      <c r="A122" s="8" t="s">
        <v>247</v>
      </c>
      <c r="B122" s="8" t="s">
        <v>47</v>
      </c>
      <c r="C122" s="8" t="s">
        <v>731</v>
      </c>
      <c r="D122" s="8" t="s">
        <v>1510</v>
      </c>
      <c r="E122" s="8" t="s">
        <v>1974</v>
      </c>
      <c r="F122" s="8" t="s">
        <v>2215</v>
      </c>
      <c r="G122" s="8" t="s">
        <v>2216</v>
      </c>
      <c r="H122" s="8" t="str">
        <f ca="1">IFERROR(__xludf.DUMMYFUNCTION("VLOOKUP(G122, IMPORTRANGE(""https://docs.google.com/spreadsheets/d/14deopnvwcrKtEGCKuYXdUHJbeLDZlkiSSWWT0g7x2pM/edit#gid=849066331"", ""LU List Science (Filter)!A:B""), 2, FALSE)"),"Reflection of light from different surface")</f>
        <v>Reflection of light from different surface</v>
      </c>
      <c r="I122" s="10" t="str">
        <f t="shared" si="0"/>
        <v>LU005168.001</v>
      </c>
      <c r="J122" s="10" t="str">
        <f ca="1">IFERROR(__xludf.DUMMYFUNCTION("VLOOKUP(I122, IMPORTRANGE(""https://docs.google.com/spreadsheets/d/1yDAaXNsi4Mr5FtRQL4tbmSdIzhx6_m4wkOD7IG-k_eo/edit#gid=1336395716"", ""Science!M:N""), 2, FALSE)"),"List the various surfaces that can reflect light.")</f>
        <v>List the various surfaces that can reflect light.</v>
      </c>
      <c r="K122" s="10" t="str">
        <f t="shared" si="6"/>
        <v>LU005168.002</v>
      </c>
      <c r="L122" s="10" t="str">
        <f ca="1">IFERROR(__xludf.DUMMYFUNCTION("VLOOKUP(K122, IMPORTRANGE(""https://docs.google.com/spreadsheets/d/1yDAaXNsi4Mr5FtRQL4tbmSdIzhx6_m4wkOD7IG-k_eo/edit#gid=1336395716"", ""Science!M:N""), 2, FALSE)"),"Illustrate using diagram the difference between regular and diffused reflection.")</f>
        <v>Illustrate using diagram the difference between regular and diffused reflection.</v>
      </c>
      <c r="M122" s="10" t="str">
        <f t="shared" si="2"/>
        <v>LU005168.003</v>
      </c>
      <c r="N122" s="10" t="str">
        <f ca="1">IFERROR(__xludf.DUMMYFUNCTION("VLOOKUP(M122, IMPORTRANGE(""https://docs.google.com/spreadsheets/d/1yDAaXNsi4Mr5FtRQL4tbmSdIzhx6_m4wkOD7IG-k_eo/edit#gid=1336395716"", ""Science!M:N""), 2, FALSE)"),"Predict the type of reflection (regular or diffused) that would occur on given surfaces")</f>
        <v>Predict the type of reflection (regular or diffused) that would occur on given surfaces</v>
      </c>
      <c r="O122" s="10" t="str">
        <f t="shared" si="3"/>
        <v>LU005168.004</v>
      </c>
      <c r="P122" s="10" t="str">
        <f ca="1">IFERROR(__xludf.DUMMYFUNCTION("VLOOKUP(O122, IMPORTRANGE(""https://docs.google.com/spreadsheets/d/1yDAaXNsi4Mr5FtRQL4tbmSdIzhx6_m4wkOD7IG-k_eo/edit#gid=1336395716"", ""Science!M:N""), 2, FALSE)"),"Analyze the role of surface texture in the reflection of light from different surfaces. ")</f>
        <v xml:space="preserve">Analyze the role of surface texture in the reflection of light from different surfaces. </v>
      </c>
      <c r="Q122" s="10" t="str">
        <f t="shared" si="4"/>
        <v>LU005168.005</v>
      </c>
      <c r="R122" s="10" t="str">
        <f ca="1">IFERROR(__xludf.DUMMYFUNCTION("VLOOKUP(Q122, IMPORTRANGE(""https://docs.google.com/spreadsheets/d/1yDAaXNsi4Mr5FtRQL4tbmSdIzhx6_m4wkOD7IG-k_eo/edit#gid=1336395716"", ""Science!M:N""), 2, FALSE)"),"#N/A")</f>
        <v>#N/A</v>
      </c>
      <c r="S122" s="10" t="str">
        <f t="shared" si="5"/>
        <v>LU005168.006</v>
      </c>
      <c r="T122" s="10" t="str">
        <f ca="1">IFERROR(__xludf.DUMMYFUNCTION("VLOOKUP(S122, IMPORTRANGE(""https://docs.google.com/spreadsheets/d/1yDAaXNsi4Mr5FtRQL4tbmSdIzhx6_m4wkOD7IG-k_eo/edit#gid=1336395716"", ""Science!M:N""), 2, FALSE)"),"Design an experiment that investigates the effect of surface texture on the reflection of light.")</f>
        <v>Design an experiment that investigates the effect of surface texture on the reflection of light.</v>
      </c>
      <c r="U122" s="116">
        <f ca="1">IFERROR(__xludf.DUMMYFUNCTION("ArrayFormula(VLOOKUP(G122, IMPORTRANGE(""https://docs.google.com/spreadsheets/d/1p7R4vtkWt5VOBim4ltsDG9KTzSjrtKXsMtQGXPHyND0/edit#gid=795171502"", ""'Filter 30_05_2024'!A1:M2000""), {2, 3, 4, 5,6,7,8,9,10,11,12,13}, 0))"),4)</f>
        <v>4</v>
      </c>
      <c r="V122" s="116">
        <f ca="1">IFERROR(__xludf.DUMMYFUNCTION("""COMPUTED_VALUE"""),6)</f>
        <v>6</v>
      </c>
      <c r="W122" s="116">
        <f ca="1">IFERROR(__xludf.DUMMYFUNCTION("""COMPUTED_VALUE"""),2)</f>
        <v>2</v>
      </c>
      <c r="X122" s="116">
        <f ca="1">IFERROR(__xludf.DUMMYFUNCTION("""COMPUTED_VALUE"""),12)</f>
        <v>12</v>
      </c>
      <c r="Y122" s="116">
        <f ca="1">IFERROR(__xludf.DUMMYFUNCTION("""COMPUTED_VALUE"""),4)</f>
        <v>4</v>
      </c>
      <c r="Z122" s="12">
        <f ca="1">IFERROR(__xludf.DUMMYFUNCTION("""COMPUTED_VALUE"""),3)</f>
        <v>3</v>
      </c>
      <c r="AA122" s="12">
        <f ca="1">IFERROR(__xludf.DUMMYFUNCTION("""COMPUTED_VALUE"""),1)</f>
        <v>1</v>
      </c>
      <c r="AB122" s="12">
        <f ca="1">IFERROR(__xludf.DUMMYFUNCTION("""COMPUTED_VALUE"""),8)</f>
        <v>8</v>
      </c>
      <c r="AC122" s="12"/>
      <c r="AD122" s="12"/>
      <c r="AE122" s="12"/>
      <c r="AF122" s="12"/>
      <c r="AG122" s="13" t="str">
        <f ca="1">IFERROR(__xludf.DUMMYFUNCTION("ArrayFormula(VLOOKUP(G122, IMPORTRANGE(""https://docs.google.com/spreadsheets/d/1Co934fvtviyaRiMsrIlT05Jaq7iiYq07aLvRr35KA48/edit?gid=173865642#gid=173865642"", ""'G8_Sci_Pri_LU'!G2:V2000""), {3, 4, 5, 6, 7, 8, 9, 10, 11, 12, 13, 14, 15, 16}, 0))"),"LU005372")</f>
        <v>LU005372</v>
      </c>
      <c r="AH122" s="13" t="str">
        <f ca="1">IFERROR(__xludf.DUMMYFUNCTION("""COMPUTED_VALUE"""),"Laws of reflection")</f>
        <v>Laws of reflection</v>
      </c>
      <c r="AI122" s="13"/>
      <c r="AJ122" s="13"/>
      <c r="AK122" s="13"/>
      <c r="AL122" s="13"/>
      <c r="AM122" s="13"/>
      <c r="AN122" s="13"/>
      <c r="AO122" s="13"/>
      <c r="AP122" s="13"/>
      <c r="AQ122" s="13"/>
      <c r="AR122" s="13"/>
      <c r="AS122" s="13"/>
      <c r="AT122" s="13"/>
    </row>
    <row r="123" spans="1:46" ht="39.6">
      <c r="A123" s="8" t="s">
        <v>247</v>
      </c>
      <c r="B123" s="8" t="s">
        <v>47</v>
      </c>
      <c r="C123" s="8" t="s">
        <v>731</v>
      </c>
      <c r="D123" s="8" t="s">
        <v>1510</v>
      </c>
      <c r="E123" s="8" t="s">
        <v>1974</v>
      </c>
      <c r="F123" s="8" t="s">
        <v>2217</v>
      </c>
      <c r="G123" s="8" t="s">
        <v>2218</v>
      </c>
      <c r="H123" s="8" t="str">
        <f ca="1">IFERROR(__xludf.DUMMYFUNCTION("VLOOKUP(G123, IMPORTRANGE(""https://docs.google.com/spreadsheets/d/14deopnvwcrKtEGCKuYXdUHJbeLDZlkiSSWWT0g7x2pM/edit#gid=849066331"", ""LU List Science (Filter)!A:B""), 2, FALSE)"),"Principle of Multiple Reflection of Light")</f>
        <v>Principle of Multiple Reflection of Light</v>
      </c>
      <c r="I123" s="10" t="str">
        <f t="shared" si="0"/>
        <v>LU005563.001</v>
      </c>
      <c r="J123" s="10" t="str">
        <f ca="1">IFERROR(__xludf.DUMMYFUNCTION("VLOOKUP(I123, IMPORTRANGE(""https://docs.google.com/spreadsheets/d/1yDAaXNsi4Mr5FtRQL4tbmSdIzhx6_m4wkOD7IG-k_eo/edit#gid=1336395716"", ""Science!M:N""), 2, FALSE)"),"List the basic principles behind multiple reflections of light.")</f>
        <v>List the basic principles behind multiple reflections of light.</v>
      </c>
      <c r="K123" s="10" t="str">
        <f t="shared" si="6"/>
        <v>LU005563.002</v>
      </c>
      <c r="L123" s="10" t="str">
        <f ca="1">IFERROR(__xludf.DUMMYFUNCTION("VLOOKUP(K123, IMPORTRANGE(""https://docs.google.com/spreadsheets/d/1yDAaXNsi4Mr5FtRQL4tbmSdIzhx6_m4wkOD7IG-k_eo/edit#gid=1336395716"", ""Science!M:N""), 2, FALSE)"),"Describe the effect of using two plane mirrors at right angles on image formation.")</f>
        <v>Describe the effect of using two plane mirrors at right angles on image formation.</v>
      </c>
      <c r="M123" s="10" t="str">
        <f t="shared" si="2"/>
        <v>LU005563.003</v>
      </c>
      <c r="N123" s="10" t="str">
        <f ca="1">IFERROR(__xludf.DUMMYFUNCTION("VLOOKUP(M123, IMPORTRANGE(""https://docs.google.com/spreadsheets/d/1yDAaXNsi4Mr5FtRQL4tbmSdIzhx6_m4wkOD7IG-k_eo/edit#gid=1336395716"", ""Science!M:N""), 2, FALSE)")," Predict the number of images formed when two mirrors are set at given angles.")</f>
        <v xml:space="preserve"> Predict the number of images formed when two mirrors are set at given angles.</v>
      </c>
      <c r="O123" s="10" t="str">
        <f t="shared" si="3"/>
        <v>LU005563.004</v>
      </c>
      <c r="P123" s="10" t="str">
        <f ca="1">IFERROR(__xludf.DUMMYFUNCTION("VLOOKUP(O123, IMPORTRANGE(""https://docs.google.com/spreadsheets/d/1yDAaXNsi4Mr5FtRQL4tbmSdIzhx6_m4wkOD7IG-k_eo/edit#gid=1336395716"", ""Science!M:N""), 2, FALSE)"),"Investigate the relationship between the angle of mirrors and the number of images produced.")</f>
        <v>Investigate the relationship between the angle of mirrors and the number of images produced.</v>
      </c>
      <c r="Q123" s="10" t="str">
        <f t="shared" si="4"/>
        <v>LU005563.005</v>
      </c>
      <c r="R123" s="10" t="str">
        <f ca="1">IFERROR(__xludf.DUMMYFUNCTION("VLOOKUP(Q123, IMPORTRANGE(""https://docs.google.com/spreadsheets/d/1yDAaXNsi4Mr5FtRQL4tbmSdIzhx6_m4wkOD7IG-k_eo/edit#gid=1336395716"", ""Science!M:N""), 2, FALSE)"),"#N/A")</f>
        <v>#N/A</v>
      </c>
      <c r="S123" s="10" t="str">
        <f t="shared" si="5"/>
        <v>LU005563.006</v>
      </c>
      <c r="T123" s="10" t="str">
        <f ca="1">IFERROR(__xludf.DUMMYFUNCTION("VLOOKUP(S123, IMPORTRANGE(""https://docs.google.com/spreadsheets/d/1yDAaXNsi4Mr5FtRQL4tbmSdIzhx6_m4wkOD7IG-k_eo/edit#gid=1336395716"", ""Science!M:N""), 2, FALSE)"),"Design a new experiment to explore variations in multiple reflections using different objects and setups.")</f>
        <v>Design a new experiment to explore variations in multiple reflections using different objects and setups.</v>
      </c>
      <c r="U123" s="116">
        <f ca="1">IFERROR(__xludf.DUMMYFUNCTION("ArrayFormula(VLOOKUP(G123, IMPORTRANGE(""https://docs.google.com/spreadsheets/d/1p7R4vtkWt5VOBim4ltsDG9KTzSjrtKXsMtQGXPHyND0/edit#gid=795171502"", ""'Filter 30_05_2024'!A1:M2000""), {2, 3, 4, 5,6,7,8,9,10,11,12,13}, 0))"),4)</f>
        <v>4</v>
      </c>
      <c r="V123" s="116">
        <f ca="1">IFERROR(__xludf.DUMMYFUNCTION("""COMPUTED_VALUE"""),6)</f>
        <v>6</v>
      </c>
      <c r="W123" s="116">
        <f ca="1">IFERROR(__xludf.DUMMYFUNCTION("""COMPUTED_VALUE"""),2)</f>
        <v>2</v>
      </c>
      <c r="X123" s="116">
        <f ca="1">IFERROR(__xludf.DUMMYFUNCTION("""COMPUTED_VALUE"""),12)</f>
        <v>12</v>
      </c>
      <c r="Y123" s="116">
        <f ca="1">IFERROR(__xludf.DUMMYFUNCTION("""COMPUTED_VALUE"""),4)</f>
        <v>4</v>
      </c>
      <c r="Z123" s="12">
        <f ca="1">IFERROR(__xludf.DUMMYFUNCTION("""COMPUTED_VALUE"""),4)</f>
        <v>4</v>
      </c>
      <c r="AA123" s="12">
        <f ca="1">IFERROR(__xludf.DUMMYFUNCTION("""COMPUTED_VALUE"""),1)</f>
        <v>1</v>
      </c>
      <c r="AB123" s="12">
        <f ca="1">IFERROR(__xludf.DUMMYFUNCTION("""COMPUTED_VALUE"""),9)</f>
        <v>9</v>
      </c>
      <c r="AC123" s="12"/>
      <c r="AD123" s="12"/>
      <c r="AE123" s="12"/>
      <c r="AF123" s="12"/>
      <c r="AG123" s="13" t="str">
        <f ca="1">IFERROR(__xludf.DUMMYFUNCTION("ArrayFormula(VLOOKUP(G123, IMPORTRANGE(""https://docs.google.com/spreadsheets/d/1Co934fvtviyaRiMsrIlT05Jaq7iiYq07aLvRr35KA48/edit?gid=173865642#gid=173865642"", ""'G8_Sci_Pri_LU'!G2:V2000""), {3, 4, 5, 6, 7, 8, 9, 10, 11, 12, 13, 14, 15, 16}, 0))"),"LU005372")</f>
        <v>LU005372</v>
      </c>
      <c r="AH123" s="13" t="str">
        <f ca="1">IFERROR(__xludf.DUMMYFUNCTION("""COMPUTED_VALUE"""),"Laws of reflection")</f>
        <v>Laws of reflection</v>
      </c>
      <c r="AI123" s="13" t="str">
        <f ca="1">IFERROR(__xludf.DUMMYFUNCTION("""COMPUTED_VALUE"""),"LU005168")</f>
        <v>LU005168</v>
      </c>
      <c r="AJ123" s="13" t="str">
        <f ca="1">IFERROR(__xludf.DUMMYFUNCTION("""COMPUTED_VALUE"""),"Reflection of light from different surface")</f>
        <v>Reflection of light from different surface</v>
      </c>
      <c r="AK123" s="13"/>
      <c r="AL123" s="13"/>
      <c r="AM123" s="13"/>
      <c r="AN123" s="13"/>
      <c r="AO123" s="13"/>
      <c r="AP123" s="13"/>
      <c r="AQ123" s="13"/>
      <c r="AR123" s="13"/>
      <c r="AS123" s="13"/>
      <c r="AT123" s="13"/>
    </row>
    <row r="124" spans="1:46" ht="39.6">
      <c r="A124" s="8" t="s">
        <v>247</v>
      </c>
      <c r="B124" s="8" t="s">
        <v>47</v>
      </c>
      <c r="C124" s="8" t="s">
        <v>731</v>
      </c>
      <c r="D124" s="8" t="s">
        <v>1510</v>
      </c>
      <c r="E124" s="8" t="s">
        <v>1974</v>
      </c>
      <c r="F124" s="8" t="s">
        <v>2217</v>
      </c>
      <c r="G124" s="8" t="s">
        <v>2219</v>
      </c>
      <c r="H124" s="8" t="str">
        <f ca="1">IFERROR(__xludf.DUMMYFUNCTION("VLOOKUP(G124, IMPORTRANGE(""https://docs.google.com/spreadsheets/d/14deopnvwcrKtEGCKuYXdUHJbeLDZlkiSSWWT0g7x2pM/edit#gid=849066331"", ""LU List Science (Filter)!A:B""), 2, FALSE)"),"Applications of Multiple Reflection")</f>
        <v>Applications of Multiple Reflection</v>
      </c>
      <c r="I124" s="10" t="str">
        <f t="shared" si="0"/>
        <v>LU005564.001</v>
      </c>
      <c r="J124" s="10" t="str">
        <f ca="1">IFERROR(__xludf.DUMMYFUNCTION("VLOOKUP(I124, IMPORTRANGE(""https://docs.google.com/spreadsheets/d/1yDAaXNsi4Mr5FtRQL4tbmSdIzhx6_m4wkOD7IG-k_eo/edit#gid=1336395716"", ""Science!M:N""), 2, FALSE)"),"List the main components of a periscope and a kaleidoscope.")</f>
        <v>List the main components of a periscope and a kaleidoscope.</v>
      </c>
      <c r="K124" s="10" t="str">
        <f t="shared" si="6"/>
        <v>LU005564.002</v>
      </c>
      <c r="L124" s="10" t="str">
        <f ca="1">IFERROR(__xludf.DUMMYFUNCTION("VLOOKUP(K124, IMPORTRANGE(""https://docs.google.com/spreadsheets/d/1yDAaXNsi4Mr5FtRQL4tbmSdIzhx6_m4wkOD7IG-k_eo/edit#gid=1336395716"", ""Science!M:N""), 2, FALSE)"),"Explain the principle behind the functioning of a periscope and a kaleidoscope.")</f>
        <v>Explain the principle behind the functioning of a periscope and a kaleidoscope.</v>
      </c>
      <c r="M124" s="10" t="str">
        <f t="shared" si="2"/>
        <v>LU005564.003</v>
      </c>
      <c r="N124" s="10" t="str">
        <f ca="1">IFERROR(__xludf.DUMMYFUNCTION("VLOOKUP(M124, IMPORTRANGE(""https://docs.google.com/spreadsheets/d/1yDAaXNsi4Mr5FtRQL4tbmSdIzhx6_m4wkOD7IG-k_eo/edit#gid=1336395716"", ""Science!M:N""), 2, FALSE)"),"Construct a simple periscope or kaleidoscope using household materials.")</f>
        <v>Construct a simple periscope or kaleidoscope using household materials.</v>
      </c>
      <c r="O124" s="10" t="str">
        <f t="shared" si="3"/>
        <v>LU005564.004</v>
      </c>
      <c r="P124" s="10" t="str">
        <f ca="1">IFERROR(__xludf.DUMMYFUNCTION("VLOOKUP(O124, IMPORTRANGE(""https://docs.google.com/spreadsheets/d/1yDAaXNsi4Mr5FtRQL4tbmSdIzhx6_m4wkOD7IG-k_eo/edit#gid=1336395716"", ""Science!M:N""), 2, FALSE)"),"Compare and contrast the patterns observed in a kaleidoscope to the reflection mechanism of a periscope.")</f>
        <v>Compare and contrast the patterns observed in a kaleidoscope to the reflection mechanism of a periscope.</v>
      </c>
      <c r="Q124" s="10" t="str">
        <f t="shared" si="4"/>
        <v>LU005564.005</v>
      </c>
      <c r="R124" s="10" t="str">
        <f ca="1">IFERROR(__xludf.DUMMYFUNCTION("VLOOKUP(Q124, IMPORTRANGE(""https://docs.google.com/spreadsheets/d/1yDAaXNsi4Mr5FtRQL4tbmSdIzhx6_m4wkOD7IG-k_eo/edit#gid=1336395716"", ""Science!M:N""), 2, FALSE)")," Judge the effectiveness of different reflective materials in enhancing the clarity of images in a periscope or kaleidoscope.")</f>
        <v xml:space="preserve"> Judge the effectiveness of different reflective materials in enhancing the clarity of images in a periscope or kaleidoscope.</v>
      </c>
      <c r="S124" s="10" t="str">
        <f t="shared" si="5"/>
        <v>LU005564.006</v>
      </c>
      <c r="T124" s="10" t="str">
        <f ca="1">IFERROR(__xludf.DUMMYFUNCTION("VLOOKUP(S124, IMPORTRANGE(""https://docs.google.com/spreadsheets/d/1yDAaXNsi4Mr5FtRQL4tbmSdIzhx6_m4wkOD7IG-k_eo/edit#gid=1336395716"", ""Science!M:N""), 2, FALSE)"),"#N/A")</f>
        <v>#N/A</v>
      </c>
      <c r="U124" s="116">
        <f ca="1">IFERROR(__xludf.DUMMYFUNCTION("ArrayFormula(VLOOKUP(G124, IMPORTRANGE(""https://docs.google.com/spreadsheets/d/1p7R4vtkWt5VOBim4ltsDG9KTzSjrtKXsMtQGXPHyND0/edit#gid=795171502"", ""'Filter 30_05_2024'!A1:M2000""), {2, 3, 4, 5,6,7,8,9,10,11,12,13}, 0))"),4)</f>
        <v>4</v>
      </c>
      <c r="V124" s="116">
        <f ca="1">IFERROR(__xludf.DUMMYFUNCTION("""COMPUTED_VALUE"""),6)</f>
        <v>6</v>
      </c>
      <c r="W124" s="116">
        <f ca="1">IFERROR(__xludf.DUMMYFUNCTION("""COMPUTED_VALUE"""),2)</f>
        <v>2</v>
      </c>
      <c r="X124" s="116">
        <f ca="1">IFERROR(__xludf.DUMMYFUNCTION("""COMPUTED_VALUE"""),12)</f>
        <v>12</v>
      </c>
      <c r="Y124" s="116">
        <f ca="1">IFERROR(__xludf.DUMMYFUNCTION("""COMPUTED_VALUE"""),4)</f>
        <v>4</v>
      </c>
      <c r="Z124" s="12">
        <f ca="1">IFERROR(__xludf.DUMMYFUNCTION("""COMPUTED_VALUE"""),3)</f>
        <v>3</v>
      </c>
      <c r="AA124" s="12">
        <f ca="1">IFERROR(__xludf.DUMMYFUNCTION("""COMPUTED_VALUE"""),1)</f>
        <v>1</v>
      </c>
      <c r="AB124" s="12">
        <f ca="1">IFERROR(__xludf.DUMMYFUNCTION("""COMPUTED_VALUE"""),8)</f>
        <v>8</v>
      </c>
      <c r="AC124" s="12"/>
      <c r="AD124" s="12"/>
      <c r="AE124" s="12"/>
      <c r="AF124" s="12"/>
      <c r="AG124" s="13" t="str">
        <f ca="1">IFERROR(__xludf.DUMMYFUNCTION("ArrayFormula(VLOOKUP(G124, IMPORTRANGE(""https://docs.google.com/spreadsheets/d/1Co934fvtviyaRiMsrIlT05Jaq7iiYq07aLvRr35KA48/edit?gid=173865642#gid=173865642"", ""'G8_Sci_Pri_LU'!G2:V2000""), {3, 4, 5, 6, 7, 8, 9, 10, 11, 12, 13, 14, 15, 16}, 0))"),"LU005563")</f>
        <v>LU005563</v>
      </c>
      <c r="AH124" s="13" t="str">
        <f ca="1">IFERROR(__xludf.DUMMYFUNCTION("""COMPUTED_VALUE"""),"Principle of Multiple Reflection of Light")</f>
        <v>Principle of Multiple Reflection of Light</v>
      </c>
      <c r="AI124" s="13"/>
      <c r="AJ124" s="13"/>
      <c r="AK124" s="13"/>
      <c r="AL124" s="13"/>
      <c r="AM124" s="13"/>
      <c r="AN124" s="13"/>
      <c r="AO124" s="13"/>
      <c r="AP124" s="13"/>
      <c r="AQ124" s="13"/>
      <c r="AR124" s="13"/>
      <c r="AS124" s="13"/>
      <c r="AT124" s="13"/>
    </row>
    <row r="125" spans="1:46" ht="26.4">
      <c r="A125" s="8" t="s">
        <v>247</v>
      </c>
      <c r="B125" s="8" t="s">
        <v>47</v>
      </c>
      <c r="C125" s="8" t="s">
        <v>731</v>
      </c>
      <c r="D125" s="8" t="s">
        <v>1510</v>
      </c>
      <c r="E125" s="8" t="s">
        <v>1974</v>
      </c>
      <c r="F125" s="8" t="s">
        <v>2220</v>
      </c>
      <c r="G125" s="8" t="s">
        <v>2221</v>
      </c>
      <c r="H125" s="8" t="str">
        <f ca="1">IFERROR(__xludf.DUMMYFUNCTION("VLOOKUP(G125, IMPORTRANGE(""https://docs.google.com/spreadsheets/d/14deopnvwcrKtEGCKuYXdUHJbeLDZlkiSSWWT0g7x2pM/edit#gid=849066331"", ""LU List Science (Filter)!A:B""), 2, FALSE)"),"Definition of Dispersion of Light")</f>
        <v>Definition of Dispersion of Light</v>
      </c>
      <c r="I125" s="10" t="str">
        <f t="shared" si="0"/>
        <v>LU005565.001</v>
      </c>
      <c r="J125" s="10" t="str">
        <f ca="1">IFERROR(__xludf.DUMMYFUNCTION("VLOOKUP(I125, IMPORTRANGE(""https://docs.google.com/spreadsheets/d/1yDAaXNsi4Mr5FtRQL4tbmSdIzhx6_m4wkOD7IG-k_eo/edit#gid=1336395716"", ""Science!M:N""), 2, FALSE)"),"Define dispersion of light.")</f>
        <v>Define dispersion of light.</v>
      </c>
      <c r="K125" s="10" t="str">
        <f t="shared" si="6"/>
        <v>LU005565.002</v>
      </c>
      <c r="L125" s="10" t="str">
        <f ca="1">IFERROR(__xludf.DUMMYFUNCTION("VLOOKUP(K125, IMPORTRANGE(""https://docs.google.com/spreadsheets/d/1yDAaXNsi4Mr5FtRQL4tbmSdIzhx6_m4wkOD7IG-k_eo/edit#gid=1336395716"", ""Science!M:N""), 2, FALSE)"),"Paraphrase the definition of dispersion.")</f>
        <v>Paraphrase the definition of dispersion.</v>
      </c>
      <c r="M125" s="10" t="str">
        <f t="shared" si="2"/>
        <v>LU005565.003</v>
      </c>
      <c r="N125" s="10" t="str">
        <f ca="1">IFERROR(__xludf.DUMMYFUNCTION("VLOOKUP(M125, IMPORTRANGE(""https://docs.google.com/spreadsheets/d/1yDAaXNsi4Mr5FtRQL4tbmSdIzhx6_m4wkOD7IG-k_eo/edit#gid=1336395716"", ""Science!M:N""), 2, FALSE)"),"Illustrate dispersion of light using a simple diagram.")</f>
        <v>Illustrate dispersion of light using a simple diagram.</v>
      </c>
      <c r="O125" s="10" t="str">
        <f t="shared" si="3"/>
        <v>LU005565.004</v>
      </c>
      <c r="P125" s="10" t="str">
        <f ca="1">IFERROR(__xludf.DUMMYFUNCTION("VLOOKUP(O125, IMPORTRANGE(""https://docs.google.com/spreadsheets/d/1yDAaXNsi4Mr5FtRQL4tbmSdIzhx6_m4wkOD7IG-k_eo/edit#gid=1336395716"", ""Science!M:N""), 2, FALSE)"),"#N/A")</f>
        <v>#N/A</v>
      </c>
      <c r="Q125" s="10" t="str">
        <f t="shared" si="4"/>
        <v>LU005565.005</v>
      </c>
      <c r="R125" s="10" t="str">
        <f ca="1">IFERROR(__xludf.DUMMYFUNCTION("VLOOKUP(Q125, IMPORTRANGE(""https://docs.google.com/spreadsheets/d/1yDAaXNsi4Mr5FtRQL4tbmSdIzhx6_m4wkOD7IG-k_eo/edit#gid=1336395716"", ""Science!M:N""), 2, FALSE)"),"#N/A")</f>
        <v>#N/A</v>
      </c>
      <c r="S125" s="10" t="str">
        <f t="shared" si="5"/>
        <v>LU005565.006</v>
      </c>
      <c r="T125" s="10" t="str">
        <f ca="1">IFERROR(__xludf.DUMMYFUNCTION("VLOOKUP(S125, IMPORTRANGE(""https://docs.google.com/spreadsheets/d/1yDAaXNsi4Mr5FtRQL4tbmSdIzhx6_m4wkOD7IG-k_eo/edit#gid=1336395716"", ""Science!M:N""), 2, FALSE)"),"#N/A")</f>
        <v>#N/A</v>
      </c>
      <c r="U125" s="116">
        <f ca="1">IFERROR(__xludf.DUMMYFUNCTION("ArrayFormula(VLOOKUP(G125, IMPORTRANGE(""https://docs.google.com/spreadsheets/d/1p7R4vtkWt5VOBim4ltsDG9KTzSjrtKXsMtQGXPHyND0/edit#gid=795171502"", ""'Filter 30_05_2024'!A1:M2000""), {2, 3, 4, 5,6,7,8,9,10,11,12,13}, 0))"),4)</f>
        <v>4</v>
      </c>
      <c r="V125" s="116">
        <f ca="1">IFERROR(__xludf.DUMMYFUNCTION("""COMPUTED_VALUE"""),6)</f>
        <v>6</v>
      </c>
      <c r="W125" s="116">
        <f ca="1">IFERROR(__xludf.DUMMYFUNCTION("""COMPUTED_VALUE"""),2)</f>
        <v>2</v>
      </c>
      <c r="X125" s="116">
        <f ca="1">IFERROR(__xludf.DUMMYFUNCTION("""COMPUTED_VALUE"""),12)</f>
        <v>12</v>
      </c>
      <c r="Y125" s="116">
        <f ca="1">IFERROR(__xludf.DUMMYFUNCTION("""COMPUTED_VALUE"""),4)</f>
        <v>4</v>
      </c>
      <c r="Z125" s="12">
        <f ca="1">IFERROR(__xludf.DUMMYFUNCTION("""COMPUTED_VALUE"""),3)</f>
        <v>3</v>
      </c>
      <c r="AA125" s="12">
        <f ca="1">IFERROR(__xludf.DUMMYFUNCTION("""COMPUTED_VALUE"""),1)</f>
        <v>1</v>
      </c>
      <c r="AB125" s="12">
        <f ca="1">IFERROR(__xludf.DUMMYFUNCTION("""COMPUTED_VALUE"""),8)</f>
        <v>8</v>
      </c>
      <c r="AC125" s="12"/>
      <c r="AD125" s="12"/>
      <c r="AE125" s="12"/>
      <c r="AF125" s="12"/>
      <c r="AG125" s="13" t="str">
        <f ca="1">IFERROR(__xludf.DUMMYFUNCTION("ArrayFormula(VLOOKUP(G125, IMPORTRANGE(""https://docs.google.com/spreadsheets/d/1Co934fvtviyaRiMsrIlT05Jaq7iiYq07aLvRr35KA48/edit?gid=173865642#gid=173865642"", ""'G8_Sci_Pri_LU'!G2:V2000""), {3, 4, 5, 6, 7, 8, 9, 10, 11, 12, 13, 14, 15, 16}, 0))"),"LU005373")</f>
        <v>LU005373</v>
      </c>
      <c r="AH125" s="13" t="str">
        <f ca="1">IFERROR(__xludf.DUMMYFUNCTION("""COMPUTED_VALUE"""),"Light and its colours")</f>
        <v>Light and its colours</v>
      </c>
      <c r="AI125" s="13"/>
      <c r="AJ125" s="13"/>
      <c r="AK125" s="13"/>
      <c r="AL125" s="13"/>
      <c r="AM125" s="13"/>
      <c r="AN125" s="13"/>
      <c r="AO125" s="13"/>
      <c r="AP125" s="13"/>
      <c r="AQ125" s="13"/>
      <c r="AR125" s="13"/>
      <c r="AS125" s="13"/>
      <c r="AT125" s="13"/>
    </row>
    <row r="126" spans="1:46" ht="26.4">
      <c r="A126" s="8" t="s">
        <v>247</v>
      </c>
      <c r="B126" s="8" t="s">
        <v>47</v>
      </c>
      <c r="C126" s="8" t="s">
        <v>731</v>
      </c>
      <c r="D126" s="8" t="s">
        <v>1510</v>
      </c>
      <c r="E126" s="8" t="s">
        <v>1974</v>
      </c>
      <c r="F126" s="8" t="s">
        <v>2222</v>
      </c>
      <c r="G126" s="8" t="s">
        <v>2223</v>
      </c>
      <c r="H126" s="8" t="str">
        <f ca="1">IFERROR(__xludf.DUMMYFUNCTION("VLOOKUP(G126, IMPORTRANGE(""https://docs.google.com/spreadsheets/d/14deopnvwcrKtEGCKuYXdUHJbeLDZlkiSSWWT0g7x2pM/edit#gid=849066331"", ""LU List Science (Filter)!A:B""), 2, FALSE)"),"Structure of Human eye")</f>
        <v>Structure of Human eye</v>
      </c>
      <c r="I126" s="10" t="str">
        <f t="shared" si="0"/>
        <v>LU005566.001</v>
      </c>
      <c r="J126" s="10" t="str">
        <f ca="1">IFERROR(__xludf.DUMMYFUNCTION("VLOOKUP(I126, IMPORTRANGE(""https://docs.google.com/spreadsheets/d/1yDAaXNsi4Mr5FtRQL4tbmSdIzhx6_m4wkOD7IG-k_eo/edit#gid=1336395716"", ""Science!M:N""), 2, FALSE)"),"List the main parts of the human eye.")</f>
        <v>List the main parts of the human eye.</v>
      </c>
      <c r="K126" s="10" t="str">
        <f t="shared" si="6"/>
        <v>LU005566.002</v>
      </c>
      <c r="L126" s="10" t="str">
        <f ca="1">IFERROR(__xludf.DUMMYFUNCTION("VLOOKUP(K126, IMPORTRANGE(""https://docs.google.com/spreadsheets/d/1yDAaXNsi4Mr5FtRQL4tbmSdIzhx6_m4wkOD7IG-k_eo/edit#gid=1336395716"", ""Science!M:N""), 2, FALSE)"),"Explain the function of each part of the human eye.")</f>
        <v>Explain the function of each part of the human eye.</v>
      </c>
      <c r="M126" s="10" t="str">
        <f t="shared" si="2"/>
        <v>LU005566.003</v>
      </c>
      <c r="N126" s="10" t="str">
        <f ca="1">IFERROR(__xludf.DUMMYFUNCTION("VLOOKUP(M126, IMPORTRANGE(""https://docs.google.com/spreadsheets/d/1yDAaXNsi4Mr5FtRQL4tbmSdIzhx6_m4wkOD7IG-k_eo/edit#gid=1336395716"", ""Science!M:N""), 2, FALSE)"),"Illustrate how light enters and is focused within the eye")</f>
        <v>Illustrate how light enters and is focused within the eye</v>
      </c>
      <c r="O126" s="10" t="str">
        <f t="shared" si="3"/>
        <v>LU005566.004</v>
      </c>
      <c r="P126" s="10" t="str">
        <f ca="1">IFERROR(__xludf.DUMMYFUNCTION("VLOOKUP(O126, IMPORTRANGE(""https://docs.google.com/spreadsheets/d/1yDAaXNsi4Mr5FtRQL4tbmSdIzhx6_m4wkOD7IG-k_eo/edit#gid=1336395716"", ""Science!M:N""), 2, FALSE)"),"Differentiate between the roles of the cornea, lens, and retina in vision.")</f>
        <v>Differentiate between the roles of the cornea, lens, and retina in vision.</v>
      </c>
      <c r="Q126" s="10" t="str">
        <f t="shared" si="4"/>
        <v>LU005566.005</v>
      </c>
      <c r="R126" s="10" t="str">
        <f ca="1">IFERROR(__xludf.DUMMYFUNCTION("VLOOKUP(Q126, IMPORTRANGE(""https://docs.google.com/spreadsheets/d/1yDAaXNsi4Mr5FtRQL4tbmSdIzhx6_m4wkOD7IG-k_eo/edit#gid=1336395716"", ""Science!M:N""), 2, FALSE)"),"Judge the importance of the iris and pupil in regulating light entry into the eye.")</f>
        <v>Judge the importance of the iris and pupil in regulating light entry into the eye.</v>
      </c>
      <c r="S126" s="10" t="str">
        <f t="shared" si="5"/>
        <v>LU005566.006</v>
      </c>
      <c r="T126" s="10" t="str">
        <f ca="1">IFERROR(__xludf.DUMMYFUNCTION("VLOOKUP(S126, IMPORTRANGE(""https://docs.google.com/spreadsheets/d/1yDAaXNsi4Mr5FtRQL4tbmSdIzhx6_m4wkOD7IG-k_eo/edit#gid=1336395716"", ""Science!M:N""), 2, FALSE)"),"#N/A")</f>
        <v>#N/A</v>
      </c>
      <c r="U126" s="116">
        <f ca="1">IFERROR(__xludf.DUMMYFUNCTION("ArrayFormula(VLOOKUP(G126, IMPORTRANGE(""https://docs.google.com/spreadsheets/d/1p7R4vtkWt5VOBim4ltsDG9KTzSjrtKXsMtQGXPHyND0/edit#gid=795171502"", ""'Filter 30_05_2024'!A1:M2000""), {2, 3, 4, 5,6,7,8,9,10,11,12,13}, 0))"),4)</f>
        <v>4</v>
      </c>
      <c r="V126" s="116">
        <f ca="1">IFERROR(__xludf.DUMMYFUNCTION("""COMPUTED_VALUE"""),6)</f>
        <v>6</v>
      </c>
      <c r="W126" s="116">
        <f ca="1">IFERROR(__xludf.DUMMYFUNCTION("""COMPUTED_VALUE"""),2)</f>
        <v>2</v>
      </c>
      <c r="X126" s="116">
        <f ca="1">IFERROR(__xludf.DUMMYFUNCTION("""COMPUTED_VALUE"""),12)</f>
        <v>12</v>
      </c>
      <c r="Y126" s="116">
        <f ca="1">IFERROR(__xludf.DUMMYFUNCTION("""COMPUTED_VALUE"""),4)</f>
        <v>4</v>
      </c>
      <c r="Z126" s="12">
        <f ca="1">IFERROR(__xludf.DUMMYFUNCTION("""COMPUTED_VALUE"""),3)</f>
        <v>3</v>
      </c>
      <c r="AA126" s="12">
        <f ca="1">IFERROR(__xludf.DUMMYFUNCTION("""COMPUTED_VALUE"""),1)</f>
        <v>1</v>
      </c>
      <c r="AB126" s="12">
        <f ca="1">IFERROR(__xludf.DUMMYFUNCTION("""COMPUTED_VALUE"""),8)</f>
        <v>8</v>
      </c>
      <c r="AC126" s="12"/>
      <c r="AD126" s="12"/>
      <c r="AE126" s="12"/>
      <c r="AF126" s="12"/>
      <c r="AG126" s="13" t="str">
        <f ca="1">IFERROR(__xludf.DUMMYFUNCTION("ArrayFormula(VLOOKUP(G126, IMPORTRANGE(""https://docs.google.com/spreadsheets/d/1Co934fvtviyaRiMsrIlT05Jaq7iiYq07aLvRr35KA48/edit?gid=173865642#gid=173865642"", ""'G8_Sci_Pri_LU'!G2:V2000""), {3, 4, 5, 6, 7, 8, 9, 10, 11, 12, 13, 14, 15, 16}, 0))"),"LU005368")</f>
        <v>LU005368</v>
      </c>
      <c r="AH126" s="13" t="str">
        <f ca="1">IFERROR(__xludf.DUMMYFUNCTION("""COMPUTED_VALUE"""),"Definition of lenses")</f>
        <v>Definition of lenses</v>
      </c>
      <c r="AI126" s="13"/>
      <c r="AJ126" s="13"/>
      <c r="AK126" s="13"/>
      <c r="AL126" s="13"/>
      <c r="AM126" s="13"/>
      <c r="AN126" s="13"/>
      <c r="AO126" s="13"/>
      <c r="AP126" s="13"/>
      <c r="AQ126" s="13"/>
      <c r="AR126" s="13"/>
      <c r="AS126" s="13"/>
      <c r="AT126" s="13"/>
    </row>
    <row r="127" spans="1:46" ht="39.6">
      <c r="A127" s="8" t="s">
        <v>247</v>
      </c>
      <c r="B127" s="8" t="s">
        <v>47</v>
      </c>
      <c r="C127" s="8" t="s">
        <v>731</v>
      </c>
      <c r="D127" s="8" t="s">
        <v>1510</v>
      </c>
      <c r="E127" s="8" t="s">
        <v>1974</v>
      </c>
      <c r="F127" s="8" t="s">
        <v>2222</v>
      </c>
      <c r="G127" s="8" t="s">
        <v>2224</v>
      </c>
      <c r="H127" s="8" t="str">
        <f ca="1">IFERROR(__xludf.DUMMYFUNCTION("VLOOKUP(G127, IMPORTRANGE(""https://docs.google.com/spreadsheets/d/14deopnvwcrKtEGCKuYXdUHJbeLDZlkiSSWWT0g7x2pM/edit#gid=849066331"", ""LU List Science (Filter)!A:B""), 2, FALSE)"),"Demonstration of Blind spot")</f>
        <v>Demonstration of Blind spot</v>
      </c>
      <c r="I127" s="10" t="str">
        <f t="shared" si="0"/>
        <v>LU005567.001</v>
      </c>
      <c r="J127" s="10" t="str">
        <f ca="1">IFERROR(__xludf.DUMMYFUNCTION("VLOOKUP(I127, IMPORTRANGE(""https://docs.google.com/spreadsheets/d/1yDAaXNsi4Mr5FtRQL4tbmSdIzhx6_m4wkOD7IG-k_eo/edit#gid=1336395716"", ""Science!M:N""), 2, FALSE)"),"Recall the location of the blind spot in the human eye.")</f>
        <v>Recall the location of the blind spot in the human eye.</v>
      </c>
      <c r="K127" s="10" t="str">
        <f t="shared" si="6"/>
        <v>LU005567.002</v>
      </c>
      <c r="L127" s="10" t="str">
        <f ca="1">IFERROR(__xludf.DUMMYFUNCTION("VLOOKUP(K127, IMPORTRANGE(""https://docs.google.com/spreadsheets/d/1yDAaXNsi4Mr5FtRQL4tbmSdIzhx6_m4wkOD7IG-k_eo/edit#gid=1336395716"", ""Science!M:N""), 2, FALSE)"),"Explain the reason why a blind spot exists.")</f>
        <v>Explain the reason why a blind spot exists.</v>
      </c>
      <c r="M127" s="10" t="str">
        <f t="shared" si="2"/>
        <v>LU005567.003</v>
      </c>
      <c r="N127" s="10" t="str">
        <f ca="1">IFERROR(__xludf.DUMMYFUNCTION("VLOOKUP(M127, IMPORTRANGE(""https://docs.google.com/spreadsheets/d/1yDAaXNsi4Mr5FtRQL4tbmSdIzhx6_m4wkOD7IG-k_eo/edit#gid=1336395716"", ""Science!M:N""), 2, FALSE)"),"Perform a simple experiment to identify and demonstrate the blind spot.")</f>
        <v>Perform a simple experiment to identify and demonstrate the blind spot.</v>
      </c>
      <c r="O127" s="10" t="str">
        <f t="shared" si="3"/>
        <v>LU005567.004</v>
      </c>
      <c r="P127" s="10" t="str">
        <f ca="1">IFERROR(__xludf.DUMMYFUNCTION("VLOOKUP(O127, IMPORTRANGE(""https://docs.google.com/spreadsheets/d/1yDAaXNsi4Mr5FtRQL4tbmSdIzhx6_m4wkOD7IG-k_eo/edit#gid=1336395716"", ""Science!M:N""), 2, FALSE)"),"Distinguish between the blind spot and other regions of the retina in terms of the presence of photoreceptor cells.")</f>
        <v>Distinguish between the blind spot and other regions of the retina in terms of the presence of photoreceptor cells.</v>
      </c>
      <c r="Q127" s="10" t="str">
        <f t="shared" si="4"/>
        <v>LU005567.005</v>
      </c>
      <c r="R127" s="10" t="str">
        <f ca="1">IFERROR(__xludf.DUMMYFUNCTION("VLOOKUP(Q127, IMPORTRANGE(""https://docs.google.com/spreadsheets/d/1yDAaXNsi4Mr5FtRQL4tbmSdIzhx6_m4wkOD7IG-k_eo/edit#gid=1336395716"", ""Science!M:N""), 2, FALSE)"),"#N/A")</f>
        <v>#N/A</v>
      </c>
      <c r="S127" s="10" t="str">
        <f t="shared" si="5"/>
        <v>LU005567.006</v>
      </c>
      <c r="T127" s="10" t="str">
        <f ca="1">IFERROR(__xludf.DUMMYFUNCTION("VLOOKUP(S127, IMPORTRANGE(""https://docs.google.com/spreadsheets/d/1yDAaXNsi4Mr5FtRQL4tbmSdIzhx6_m4wkOD7IG-k_eo/edit#gid=1336395716"", ""Science!M:N""), 2, FALSE)"),"#N/A")</f>
        <v>#N/A</v>
      </c>
      <c r="U127" s="116">
        <f ca="1">IFERROR(__xludf.DUMMYFUNCTION("ArrayFormula(VLOOKUP(G127, IMPORTRANGE(""https://docs.google.com/spreadsheets/d/1p7R4vtkWt5VOBim4ltsDG9KTzSjrtKXsMtQGXPHyND0/edit#gid=795171502"", ""'Filter 30_05_2024'!A1:M2000""), {2, 3, 4, 5,6,7,8,9,10,11,12,13}, 0))"),4)</f>
        <v>4</v>
      </c>
      <c r="V127" s="116">
        <f ca="1">IFERROR(__xludf.DUMMYFUNCTION("""COMPUTED_VALUE"""),6)</f>
        <v>6</v>
      </c>
      <c r="W127" s="116">
        <f ca="1">IFERROR(__xludf.DUMMYFUNCTION("""COMPUTED_VALUE"""),2)</f>
        <v>2</v>
      </c>
      <c r="X127" s="116">
        <f ca="1">IFERROR(__xludf.DUMMYFUNCTION("""COMPUTED_VALUE"""),12)</f>
        <v>12</v>
      </c>
      <c r="Y127" s="116">
        <f ca="1">IFERROR(__xludf.DUMMYFUNCTION("""COMPUTED_VALUE"""),4)</f>
        <v>4</v>
      </c>
      <c r="Z127" s="12">
        <f ca="1">IFERROR(__xludf.DUMMYFUNCTION("""COMPUTED_VALUE"""),3)</f>
        <v>3</v>
      </c>
      <c r="AA127" s="12">
        <f ca="1">IFERROR(__xludf.DUMMYFUNCTION("""COMPUTED_VALUE"""),1)</f>
        <v>1</v>
      </c>
      <c r="AB127" s="12">
        <f ca="1">IFERROR(__xludf.DUMMYFUNCTION("""COMPUTED_VALUE"""),8)</f>
        <v>8</v>
      </c>
      <c r="AC127" s="12"/>
      <c r="AD127" s="12"/>
      <c r="AE127" s="12"/>
      <c r="AF127" s="12"/>
      <c r="AG127" s="13" t="str">
        <f ca="1">IFERROR(__xludf.DUMMYFUNCTION("ArrayFormula(VLOOKUP(G127, IMPORTRANGE(""https://docs.google.com/spreadsheets/d/1Co934fvtviyaRiMsrIlT05Jaq7iiYq07aLvRr35KA48/edit?gid=173865642#gid=173865642"", ""'G8_Sci_Pri_LU'!G2:V2000""), {3, 4, 5, 6, 7, 8, 9, 10, 11, 12, 13, 14, 15, 16}, 0))"),"LU005566")</f>
        <v>LU005566</v>
      </c>
      <c r="AH127" s="13" t="str">
        <f ca="1">IFERROR(__xludf.DUMMYFUNCTION("""COMPUTED_VALUE"""),"Structure of Human eye")</f>
        <v>Structure of Human eye</v>
      </c>
      <c r="AI127" s="13"/>
      <c r="AJ127" s="13"/>
      <c r="AK127" s="13"/>
      <c r="AL127" s="13"/>
      <c r="AM127" s="13"/>
      <c r="AN127" s="13"/>
      <c r="AO127" s="13"/>
      <c r="AP127" s="13"/>
      <c r="AQ127" s="13"/>
      <c r="AR127" s="13"/>
      <c r="AS127" s="13"/>
      <c r="AT127" s="13"/>
    </row>
    <row r="128" spans="1:46" ht="52.8">
      <c r="A128" s="8" t="s">
        <v>247</v>
      </c>
      <c r="B128" s="8" t="s">
        <v>47</v>
      </c>
      <c r="C128" s="8" t="s">
        <v>731</v>
      </c>
      <c r="D128" s="8" t="s">
        <v>1510</v>
      </c>
      <c r="E128" s="8" t="s">
        <v>1974</v>
      </c>
      <c r="F128" s="8" t="s">
        <v>2225</v>
      </c>
      <c r="G128" s="8" t="s">
        <v>2226</v>
      </c>
      <c r="H128" s="8" t="str">
        <f ca="1">IFERROR(__xludf.DUMMYFUNCTION("VLOOKUP(G128, IMPORTRANGE(""https://docs.google.com/spreadsheets/d/14deopnvwcrKtEGCKuYXdUHJbeLDZlkiSSWWT0g7x2pM/edit#gid=849066331"", ""LU List Science (Filter)!A:B""), 2, FALSE)"),"Understanding Motion Perception")</f>
        <v>Understanding Motion Perception</v>
      </c>
      <c r="I128" s="10" t="str">
        <f t="shared" si="0"/>
        <v>LU005568.001</v>
      </c>
      <c r="J128" s="10" t="str">
        <f ca="1">IFERROR(__xludf.DUMMYFUNCTION("VLOOKUP(I128, IMPORTRANGE(""https://docs.google.com/spreadsheets/d/1yDAaXNsi4Mr5FtRQL4tbmSdIzhx6_m4wkOD7IG-k_eo/edit#gid=1336395716"", ""Science!M:N""), 2, FALSE)"),"Recognize the significance of the 1/16th of a second in relation to persistence of vision.")</f>
        <v>Recognize the significance of the 1/16th of a second in relation to persistence of vision.</v>
      </c>
      <c r="K128" s="10" t="str">
        <f t="shared" si="6"/>
        <v>LU005568.002</v>
      </c>
      <c r="L128" s="10" t="str">
        <f ca="1">IFERROR(__xludf.DUMMYFUNCTION("VLOOKUP(K128, IMPORTRANGE(""https://docs.google.com/spreadsheets/d/1yDAaXNsi4Mr5FtRQL4tbmSdIzhx6_m4wkOD7IG-k_eo/edit#gid=1336395716"", ""Science!M:N""), 2, FALSE)"),"Describe how the eye perceives motion in films or TV shows based on the principle of persistence of vision.")</f>
        <v>Describe how the eye perceives motion in films or TV shows based on the principle of persistence of vision.</v>
      </c>
      <c r="M128" s="10" t="str">
        <f t="shared" si="2"/>
        <v>LU005568.003</v>
      </c>
      <c r="N128" s="10" t="str">
        <f ca="1">IFERROR(__xludf.DUMMYFUNCTION("VLOOKUP(M128, IMPORTRANGE(""https://docs.google.com/spreadsheets/d/1yDAaXNsi4Mr5FtRQL4tbmSdIzhx6_m4wkOD7IG-k_eo/edit#gid=1336395716"", ""Science!M:N""), 2, FALSE)"),"Demonstrate an activity to show how we perceive movies or TV programs as moving even though they consist of individual still images.")</f>
        <v>Demonstrate an activity to show how we perceive movies or TV programs as moving even though they consist of individual still images.</v>
      </c>
      <c r="O128" s="10" t="str">
        <f t="shared" si="3"/>
        <v>LU005568.004</v>
      </c>
      <c r="P128" s="10" t="str">
        <f ca="1">IFERROR(__xludf.DUMMYFUNCTION("VLOOKUP(O128, IMPORTRANGE(""https://docs.google.com/spreadsheets/d/1yDAaXNsi4Mr5FtRQL4tbmSdIzhx6_m4wkOD7IG-k_eo/edit#gid=1336395716"", ""Science!M:N""), 2, FALSE)"),"Examine the importance of the sequence in which still images are presented to create the illusion of motion.")</f>
        <v>Examine the importance of the sequence in which still images are presented to create the illusion of motion.</v>
      </c>
      <c r="Q128" s="10" t="str">
        <f t="shared" si="4"/>
        <v>LU005568.005</v>
      </c>
      <c r="R128" s="10" t="str">
        <f ca="1">IFERROR(__xludf.DUMMYFUNCTION("VLOOKUP(Q128, IMPORTRANGE(""https://docs.google.com/spreadsheets/d/1yDAaXNsi4Mr5FtRQL4tbmSdIzhx6_m4wkOD7IG-k_eo/edit#gid=1336395716"", ""Science!M:N""), 2, FALSE)"),"#N/A")</f>
        <v>#N/A</v>
      </c>
      <c r="S128" s="10" t="str">
        <f t="shared" si="5"/>
        <v>LU005568.006</v>
      </c>
      <c r="T128" s="10" t="str">
        <f ca="1">IFERROR(__xludf.DUMMYFUNCTION("VLOOKUP(S128, IMPORTRANGE(""https://docs.google.com/spreadsheets/d/1yDAaXNsi4Mr5FtRQL4tbmSdIzhx6_m4wkOD7IG-k_eo/edit#gid=1336395716"", ""Science!M:N""), 2, FALSE)"),"Conceptualize a short animation or flipbook utilizing the principle of persistence of vision to create an illusion of motion.")</f>
        <v>Conceptualize a short animation or flipbook utilizing the principle of persistence of vision to create an illusion of motion.</v>
      </c>
      <c r="U128" s="116">
        <f ca="1">IFERROR(__xludf.DUMMYFUNCTION("ArrayFormula(VLOOKUP(G128, IMPORTRANGE(""https://docs.google.com/spreadsheets/d/1p7R4vtkWt5VOBim4ltsDG9KTzSjrtKXsMtQGXPHyND0/edit#gid=795171502"", ""'Filter 30_05_2024'!A1:M2000""), {2, 3, 4, 5,6,7,8,9,10,11,12,13}, 0))"),4)</f>
        <v>4</v>
      </c>
      <c r="V128" s="116">
        <f ca="1">IFERROR(__xludf.DUMMYFUNCTION("""COMPUTED_VALUE"""),6)</f>
        <v>6</v>
      </c>
      <c r="W128" s="116">
        <f ca="1">IFERROR(__xludf.DUMMYFUNCTION("""COMPUTED_VALUE"""),2)</f>
        <v>2</v>
      </c>
      <c r="X128" s="116">
        <f ca="1">IFERROR(__xludf.DUMMYFUNCTION("""COMPUTED_VALUE"""),12)</f>
        <v>12</v>
      </c>
      <c r="Y128" s="116">
        <f ca="1">IFERROR(__xludf.DUMMYFUNCTION("""COMPUTED_VALUE"""),4)</f>
        <v>4</v>
      </c>
      <c r="Z128" s="12">
        <f ca="1">IFERROR(__xludf.DUMMYFUNCTION("""COMPUTED_VALUE"""),3)</f>
        <v>3</v>
      </c>
      <c r="AA128" s="12">
        <f ca="1">IFERROR(__xludf.DUMMYFUNCTION("""COMPUTED_VALUE"""),1)</f>
        <v>1</v>
      </c>
      <c r="AB128" s="12">
        <f ca="1">IFERROR(__xludf.DUMMYFUNCTION("""COMPUTED_VALUE"""),8)</f>
        <v>8</v>
      </c>
      <c r="AC128" s="12"/>
      <c r="AD128" s="12"/>
      <c r="AE128" s="12"/>
      <c r="AF128" s="12"/>
      <c r="AG128" s="13" t="str">
        <f ca="1">IFERROR(__xludf.DUMMYFUNCTION("ArrayFormula(VLOOKUP(G128, IMPORTRANGE(""https://docs.google.com/spreadsheets/d/1Co934fvtviyaRiMsrIlT05Jaq7iiYq07aLvRr35KA48/edit?gid=173865642#gid=173865642"", ""'G8_Sci_Pri_LU'!G2:V2000""), {3, 4, 5, 6, 7, 8, 9, 10, 11, 12, 13, 14, 15, 16}, 0))"),"LU005566")</f>
        <v>LU005566</v>
      </c>
      <c r="AH128" s="13" t="str">
        <f ca="1">IFERROR(__xludf.DUMMYFUNCTION("""COMPUTED_VALUE"""),"Structure of Human eye")</f>
        <v>Structure of Human eye</v>
      </c>
      <c r="AI128" s="13"/>
      <c r="AJ128" s="13"/>
      <c r="AK128" s="13"/>
      <c r="AL128" s="13"/>
      <c r="AM128" s="13"/>
      <c r="AN128" s="13"/>
      <c r="AO128" s="13"/>
      <c r="AP128" s="13"/>
      <c r="AQ128" s="13"/>
      <c r="AR128" s="13"/>
      <c r="AS128" s="13"/>
      <c r="AT128" s="13"/>
    </row>
    <row r="129" spans="1:46" ht="26.4">
      <c r="A129" s="8" t="s">
        <v>247</v>
      </c>
      <c r="B129" s="8" t="s">
        <v>47</v>
      </c>
      <c r="C129" s="8" t="s">
        <v>731</v>
      </c>
      <c r="D129" s="8" t="s">
        <v>1510</v>
      </c>
      <c r="E129" s="8" t="s">
        <v>1974</v>
      </c>
      <c r="F129" s="8" t="s">
        <v>2227</v>
      </c>
      <c r="G129" s="8" t="s">
        <v>2228</v>
      </c>
      <c r="H129" s="8" t="str">
        <f ca="1">IFERROR(__xludf.DUMMYFUNCTION("VLOOKUP(G129, IMPORTRANGE(""https://docs.google.com/spreadsheets/d/14deopnvwcrKtEGCKuYXdUHJbeLDZlkiSSWWT0g7x2pM/edit#gid=849066331"", ""LU List Science (Filter)!A:B""), 2, FALSE)"),"Taking care of eyes")</f>
        <v>Taking care of eyes</v>
      </c>
      <c r="I129" s="10" t="str">
        <f t="shared" si="0"/>
        <v>LU005570.001</v>
      </c>
      <c r="J129" s="10" t="str">
        <f ca="1">IFERROR(__xludf.DUMMYFUNCTION("VLOOKUP(I129, IMPORTRANGE(""https://docs.google.com/spreadsheets/d/1yDAaXNsi4Mr5FtRQL4tbmSdIzhx6_m4wkOD7IG-k_eo/edit#gid=1336395716"", ""Science!M:N""), 2, FALSE)"),"#N/A")</f>
        <v>#N/A</v>
      </c>
      <c r="K129" s="10" t="str">
        <f t="shared" si="6"/>
        <v>LU005570.002</v>
      </c>
      <c r="L129" s="10" t="str">
        <f ca="1">IFERROR(__xludf.DUMMYFUNCTION("VLOOKUP(K129, IMPORTRANGE(""https://docs.google.com/spreadsheets/d/1yDAaXNsi4Mr5FtRQL4tbmSdIzhx6_m4wkOD7IG-k_eo/edit#gid=1336395716"", ""Science!M:N""), 2, FALSE)"),"Explain the importance of proper lighting when reading or working.")</f>
        <v>Explain the importance of proper lighting when reading or working.</v>
      </c>
      <c r="M129" s="10" t="str">
        <f t="shared" si="2"/>
        <v>LU005570.003</v>
      </c>
      <c r="N129" s="10" t="str">
        <f ca="1">IFERROR(__xludf.DUMMYFUNCTION("VLOOKUP(M129, IMPORTRANGE(""https://docs.google.com/spreadsheets/d/1yDAaXNsi4Mr5FtRQL4tbmSdIzhx6_m4wkOD7IG-k_eo/edit#gid=1336395716"", ""Science!M:N""), 2, FALSE)"),"Demonstrate appropriate ways to protect eyes from direct sunlight and screen glare.")</f>
        <v>Demonstrate appropriate ways to protect eyes from direct sunlight and screen glare.</v>
      </c>
      <c r="O129" s="10" t="str">
        <f t="shared" si="3"/>
        <v>LU005570.004</v>
      </c>
      <c r="P129" s="10" t="str">
        <f ca="1">IFERROR(__xludf.DUMMYFUNCTION("VLOOKUP(O129, IMPORTRANGE(""https://docs.google.com/spreadsheets/d/1yDAaXNsi4Mr5FtRQL4tbmSdIzhx6_m4wkOD7IG-k_eo/edit#gid=1336395716"", ""Science!M:N""), 2, FALSE)"),"Differentiate between good and bad practices related to eye care.")</f>
        <v>Differentiate between good and bad practices related to eye care.</v>
      </c>
      <c r="Q129" s="10" t="str">
        <f t="shared" si="4"/>
        <v>LU005570.005</v>
      </c>
      <c r="R129" s="10" t="str">
        <f ca="1">IFERROR(__xludf.DUMMYFUNCTION("VLOOKUP(Q129, IMPORTRANGE(""https://docs.google.com/spreadsheets/d/1yDAaXNsi4Mr5FtRQL4tbmSdIzhx6_m4wkOD7IG-k_eo/edit#gid=1336395716"", ""Science!M:N""), 2, FALSE)"),"Assess the impact of extended screen time on eye health")</f>
        <v>Assess the impact of extended screen time on eye health</v>
      </c>
      <c r="S129" s="10" t="str">
        <f t="shared" si="5"/>
        <v>LU005570.006</v>
      </c>
      <c r="T129" s="10" t="str">
        <f ca="1">IFERROR(__xludf.DUMMYFUNCTION("VLOOKUP(S129, IMPORTRANGE(""https://docs.google.com/spreadsheets/d/1yDAaXNsi4Mr5FtRQL4tbmSdIzhx6_m4wkOD7IG-k_eo/edit#gid=1336395716"", ""Science!M:N""), 2, FALSE)"),"Design a daily routine or poster promoting optimal eye care.")</f>
        <v>Design a daily routine or poster promoting optimal eye care.</v>
      </c>
      <c r="U129" s="116">
        <f ca="1">IFERROR(__xludf.DUMMYFUNCTION("ArrayFormula(VLOOKUP(G129, IMPORTRANGE(""https://docs.google.com/spreadsheets/d/1p7R4vtkWt5VOBim4ltsDG9KTzSjrtKXsMtQGXPHyND0/edit#gid=795171502"", ""'Filter 30_05_2024'!A1:M2000""), {2, 3, 4, 5,6,7,8,9,10,11,12,13}, 0))"),4)</f>
        <v>4</v>
      </c>
      <c r="V129" s="116">
        <f ca="1">IFERROR(__xludf.DUMMYFUNCTION("""COMPUTED_VALUE"""),6)</f>
        <v>6</v>
      </c>
      <c r="W129" s="116">
        <f ca="1">IFERROR(__xludf.DUMMYFUNCTION("""COMPUTED_VALUE"""),2)</f>
        <v>2</v>
      </c>
      <c r="X129" s="116">
        <f ca="1">IFERROR(__xludf.DUMMYFUNCTION("""COMPUTED_VALUE"""),12)</f>
        <v>12</v>
      </c>
      <c r="Y129" s="116">
        <f ca="1">IFERROR(__xludf.DUMMYFUNCTION("""COMPUTED_VALUE"""),4)</f>
        <v>4</v>
      </c>
      <c r="Z129" s="12">
        <f ca="1">IFERROR(__xludf.DUMMYFUNCTION("""COMPUTED_VALUE"""),3)</f>
        <v>3</v>
      </c>
      <c r="AA129" s="12">
        <f ca="1">IFERROR(__xludf.DUMMYFUNCTION("""COMPUTED_VALUE"""),1)</f>
        <v>1</v>
      </c>
      <c r="AB129" s="12">
        <f ca="1">IFERROR(__xludf.DUMMYFUNCTION("""COMPUTED_VALUE"""),8)</f>
        <v>8</v>
      </c>
      <c r="AC129" s="12"/>
      <c r="AD129" s="12"/>
      <c r="AE129" s="12"/>
      <c r="AF129" s="12"/>
      <c r="AG129" s="13" t="str">
        <f ca="1">IFERROR(__xludf.DUMMYFUNCTION("ArrayFormula(VLOOKUP(G129, IMPORTRANGE(""https://docs.google.com/spreadsheets/d/1Co934fvtviyaRiMsrIlT05Jaq7iiYq07aLvRr35KA48/edit?gid=173865642#gid=173865642"", ""'G8_Sci_Pri_LU'!G2:V2000""), {3, 4, 5, 6, 7, 8, 9, 10, 11, 12, 13, 14, 15, 16}, 0))"),"LU005566")</f>
        <v>LU005566</v>
      </c>
      <c r="AH129" s="13" t="str">
        <f ca="1">IFERROR(__xludf.DUMMYFUNCTION("""COMPUTED_VALUE"""),"Structure of Human eye")</f>
        <v>Structure of Human eye</v>
      </c>
      <c r="AI129" s="13"/>
      <c r="AJ129" s="13"/>
      <c r="AK129" s="13"/>
      <c r="AL129" s="13"/>
      <c r="AM129" s="13"/>
      <c r="AN129" s="13"/>
      <c r="AO129" s="13"/>
      <c r="AP129" s="13"/>
      <c r="AQ129" s="13"/>
      <c r="AR129" s="13"/>
      <c r="AS129" s="13"/>
      <c r="AT129" s="13"/>
    </row>
    <row r="130" spans="1:46" ht="52.8">
      <c r="A130" s="8" t="s">
        <v>247</v>
      </c>
      <c r="B130" s="8" t="s">
        <v>47</v>
      </c>
      <c r="C130" s="8" t="s">
        <v>731</v>
      </c>
      <c r="D130" s="8" t="s">
        <v>1510</v>
      </c>
      <c r="E130" s="8" t="s">
        <v>1974</v>
      </c>
      <c r="F130" s="8" t="s">
        <v>2227</v>
      </c>
      <c r="G130" s="8" t="s">
        <v>2229</v>
      </c>
      <c r="H130" s="8" t="str">
        <f ca="1">IFERROR(__xludf.DUMMYFUNCTION("VLOOKUP(G130, IMPORTRANGE(""https://docs.google.com/spreadsheets/d/14deopnvwcrKtEGCKuYXdUHJbeLDZlkiSSWWT0g7x2pM/edit#gid=849066331"", ""LU List Science (Filter)!A:B""), 2, FALSE)"),"Types of aids for visually impaired people")</f>
        <v>Types of aids for visually impaired people</v>
      </c>
      <c r="I130" s="10" t="str">
        <f t="shared" si="0"/>
        <v>LU005571.001</v>
      </c>
      <c r="J130" s="10" t="str">
        <f ca="1">IFERROR(__xludf.DUMMYFUNCTION("VLOOKUP(I130, IMPORTRANGE(""https://docs.google.com/spreadsheets/d/1yDAaXNsi4Mr5FtRQL4tbmSdIzhx6_m4wkOD7IG-k_eo/edit#gid=1336395716"", ""Science!M:N""), 2, FALSE)"),"Identify the categories of non-optical aids for the visually impaired.")</f>
        <v>Identify the categories of non-optical aids for the visually impaired.</v>
      </c>
      <c r="K130" s="10" t="str">
        <f t="shared" si="6"/>
        <v>LU005571.002</v>
      </c>
      <c r="L130" s="10" t="str">
        <f ca="1">IFERROR(__xludf.DUMMYFUNCTION("VLOOKUP(K130, IMPORTRANGE(""https://docs.google.com/spreadsheets/d/1yDAaXNsi4Mr5FtRQL4tbmSdIzhx6_m4wkOD7IG-k_eo/edit#gid=1336395716"", ""Science!M:N""), 2, FALSE)"),"Describe the primary function of visual, tactual, auditory, and electronic aids for the visually impaired.")</f>
        <v>Describe the primary function of visual, tactual, auditory, and electronic aids for the visually impaired.</v>
      </c>
      <c r="M130" s="10" t="str">
        <f t="shared" si="2"/>
        <v>LU005571.003</v>
      </c>
      <c r="N130" s="10" t="str">
        <f ca="1">IFERROR(__xludf.DUMMYFUNCTION("VLOOKUP(M130, IMPORTRANGE(""https://docs.google.com/spreadsheets/d/1yDAaXNsi4Mr5FtRQL4tbmSdIzhx6_m4wkOD7IG-k_eo/edit#gid=1336395716"", ""Science!M:N""), 2, FALSE)"),"Illustrate how tactual aids, such as the Braille writer slate and stylus, facilitate reading and writing for the visually challenged.")</f>
        <v>Illustrate how tactual aids, such as the Braille writer slate and stylus, facilitate reading and writing for the visually challenged.</v>
      </c>
      <c r="O130" s="10" t="str">
        <f t="shared" si="3"/>
        <v>LU005571.004</v>
      </c>
      <c r="P130" s="10" t="str">
        <f ca="1">IFERROR(__xludf.DUMMYFUNCTION("VLOOKUP(O130, IMPORTRANGE(""https://docs.google.com/spreadsheets/d/1yDAaXNsi4Mr5FtRQL4tbmSdIzhx6_m4wkOD7IG-k_eo/edit#gid=1336395716"", ""Science!M:N""), 2, FALSE)"),"Differentiate between the purposes of optical aids like bifocal lenses and telescopic aids in a classroom setting for visually impaired students.")</f>
        <v>Differentiate between the purposes of optical aids like bifocal lenses and telescopic aids in a classroom setting for visually impaired students.</v>
      </c>
      <c r="Q130" s="10" t="str">
        <f t="shared" si="4"/>
        <v>LU005571.005</v>
      </c>
      <c r="R130" s="10" t="str">
        <f ca="1">IFERROR(__xludf.DUMMYFUNCTION("VLOOKUP(Q130, IMPORTRANGE(""https://docs.google.com/spreadsheets/d/1yDAaXNsi4Mr5FtRQL4tbmSdIzhx6_m4wkOD7IG-k_eo/edit#gid=1336395716"", ""Science!M:N""), 2, FALSE)"),"Assess the impact of the Braille system on the education and daily lives of visually impaired individuals.")</f>
        <v>Assess the impact of the Braille system on the education and daily lives of visually impaired individuals.</v>
      </c>
      <c r="S130" s="10" t="str">
        <f t="shared" si="5"/>
        <v>LU005571.006</v>
      </c>
      <c r="T130" s="10" t="str">
        <f ca="1">IFERROR(__xludf.DUMMYFUNCTION("VLOOKUP(S130, IMPORTRANGE(""https://docs.google.com/spreadsheets/d/1yDAaXNsi4Mr5FtRQL4tbmSdIzhx6_m4wkOD7IG-k_eo/edit#gid=1336395716"", ""Science!M:N""), 2, FALSE)"),"#N/A")</f>
        <v>#N/A</v>
      </c>
      <c r="U130" s="116">
        <f ca="1">IFERROR(__xludf.DUMMYFUNCTION("ArrayFormula(VLOOKUP(G130, IMPORTRANGE(""https://docs.google.com/spreadsheets/d/1p7R4vtkWt5VOBim4ltsDG9KTzSjrtKXsMtQGXPHyND0/edit#gid=795171502"", ""'Filter 30_05_2024'!A1:M2000""), {2, 3, 4, 5,6,7,8,9,10,11,12,13}, 0))"),4)</f>
        <v>4</v>
      </c>
      <c r="V130" s="116">
        <f ca="1">IFERROR(__xludf.DUMMYFUNCTION("""COMPUTED_VALUE"""),6)</f>
        <v>6</v>
      </c>
      <c r="W130" s="116">
        <f ca="1">IFERROR(__xludf.DUMMYFUNCTION("""COMPUTED_VALUE"""),2)</f>
        <v>2</v>
      </c>
      <c r="X130" s="116">
        <f ca="1">IFERROR(__xludf.DUMMYFUNCTION("""COMPUTED_VALUE"""),12)</f>
        <v>12</v>
      </c>
      <c r="Y130" s="116">
        <f ca="1">IFERROR(__xludf.DUMMYFUNCTION("""COMPUTED_VALUE"""),4)</f>
        <v>4</v>
      </c>
      <c r="Z130" s="12">
        <f ca="1">IFERROR(__xludf.DUMMYFUNCTION("""COMPUTED_VALUE"""),3)</f>
        <v>3</v>
      </c>
      <c r="AA130" s="12">
        <f ca="1">IFERROR(__xludf.DUMMYFUNCTION("""COMPUTED_VALUE"""),1)</f>
        <v>1</v>
      </c>
      <c r="AB130" s="12">
        <f ca="1">IFERROR(__xludf.DUMMYFUNCTION("""COMPUTED_VALUE"""),8)</f>
        <v>8</v>
      </c>
      <c r="AC130" s="12"/>
      <c r="AD130" s="12"/>
      <c r="AE130" s="12"/>
      <c r="AF130" s="12"/>
      <c r="AG130" s="13" t="str">
        <f ca="1">IFERROR(__xludf.DUMMYFUNCTION("ArrayFormula(VLOOKUP(G130, IMPORTRANGE(""https://docs.google.com/spreadsheets/d/1Co934fvtviyaRiMsrIlT05Jaq7iiYq07aLvRr35KA48/edit?gid=173865642#gid=173865642"", ""'G8_Sci_Pri_LU'!G2:V2000""), {3, 4, 5, 6, 7, 8, 9, 10, 11, 12, 13, 14, 15, 16}, 0))"),"LU005109")</f>
        <v>LU005109</v>
      </c>
      <c r="AH130" s="13" t="str">
        <f ca="1">IFERROR(__xludf.DUMMYFUNCTION("""COMPUTED_VALUE"""),"Human senses")</f>
        <v>Human senses</v>
      </c>
      <c r="AI130" s="13"/>
      <c r="AJ130" s="13"/>
      <c r="AK130" s="13"/>
      <c r="AL130" s="13"/>
      <c r="AM130" s="13"/>
      <c r="AN130" s="13"/>
      <c r="AO130" s="13"/>
      <c r="AP130" s="13"/>
      <c r="AQ130" s="13"/>
      <c r="AR130" s="13"/>
      <c r="AS130" s="13"/>
      <c r="AT130" s="13"/>
    </row>
    <row r="131" spans="1:46" ht="13.2">
      <c r="A131" s="8"/>
      <c r="B131" s="8"/>
      <c r="C131" s="8"/>
      <c r="D131" s="8"/>
      <c r="E131" s="8"/>
      <c r="F131" s="8"/>
      <c r="G131" s="8"/>
      <c r="H131" s="8"/>
      <c r="I131" s="8"/>
      <c r="J131" s="8"/>
      <c r="K131" s="8"/>
      <c r="L131" s="8"/>
      <c r="M131" s="8"/>
      <c r="N131" s="8"/>
      <c r="O131" s="8"/>
      <c r="P131" s="8"/>
      <c r="Q131" s="8"/>
      <c r="R131" s="8"/>
      <c r="S131" s="8"/>
      <c r="T131" s="8"/>
      <c r="U131" s="12"/>
      <c r="V131" s="12"/>
      <c r="W131" s="12"/>
      <c r="X131" s="12"/>
      <c r="Y131" s="12"/>
      <c r="Z131" s="12"/>
      <c r="AA131" s="12"/>
      <c r="AB131" s="12"/>
      <c r="AC131" s="12"/>
      <c r="AD131" s="12"/>
      <c r="AE131" s="12"/>
      <c r="AF131" s="12"/>
    </row>
    <row r="132" spans="1:46" ht="13.2">
      <c r="A132" s="8"/>
      <c r="B132" s="8"/>
      <c r="C132" s="8"/>
      <c r="D132" s="8"/>
      <c r="E132" s="8"/>
      <c r="F132" s="8"/>
      <c r="G132" s="8"/>
      <c r="H132" s="8"/>
      <c r="I132" s="8"/>
      <c r="J132" s="8"/>
      <c r="K132" s="8"/>
      <c r="L132" s="8"/>
      <c r="M132" s="8"/>
      <c r="N132" s="8"/>
      <c r="O132" s="8"/>
      <c r="P132" s="8"/>
      <c r="Q132" s="8"/>
      <c r="R132" s="8"/>
      <c r="S132" s="8"/>
      <c r="T132" s="8"/>
      <c r="U132" s="12"/>
      <c r="V132" s="12"/>
      <c r="W132" s="12"/>
      <c r="X132" s="12"/>
      <c r="Y132" s="12"/>
      <c r="Z132" s="12"/>
      <c r="AA132" s="12"/>
      <c r="AB132" s="12"/>
      <c r="AC132" s="12"/>
      <c r="AD132" s="12"/>
      <c r="AE132" s="12"/>
      <c r="AF132" s="12"/>
    </row>
    <row r="133" spans="1:46" ht="13.2">
      <c r="A133" s="8"/>
      <c r="B133" s="8"/>
      <c r="C133" s="8"/>
      <c r="D133" s="8"/>
      <c r="E133" s="8"/>
      <c r="F133" s="30"/>
      <c r="G133" s="30"/>
      <c r="H133" s="30"/>
      <c r="I133" s="8"/>
      <c r="J133" s="8"/>
      <c r="K133" s="8"/>
      <c r="L133" s="8"/>
      <c r="M133" s="8"/>
      <c r="N133" s="8"/>
      <c r="O133" s="8"/>
      <c r="P133" s="8"/>
      <c r="Q133" s="8"/>
      <c r="R133" s="8"/>
      <c r="S133" s="8"/>
      <c r="T133" s="8"/>
      <c r="U133" s="12"/>
      <c r="V133" s="12"/>
      <c r="W133" s="12"/>
      <c r="X133" s="12"/>
      <c r="Y133" s="12"/>
      <c r="Z133" s="12"/>
      <c r="AA133" s="12"/>
      <c r="AB133" s="12"/>
      <c r="AC133" s="12"/>
      <c r="AD133" s="12"/>
      <c r="AE133" s="12"/>
      <c r="AF133" s="12"/>
    </row>
    <row r="134" spans="1:46" ht="13.2">
      <c r="A134" s="8"/>
      <c r="B134" s="8"/>
      <c r="C134" s="8"/>
      <c r="D134" s="8"/>
      <c r="E134" s="8"/>
      <c r="F134" s="8"/>
      <c r="G134" s="8"/>
      <c r="H134" s="8"/>
      <c r="I134" s="8"/>
      <c r="J134" s="8"/>
      <c r="K134" s="8"/>
      <c r="L134" s="8"/>
      <c r="M134" s="8"/>
      <c r="N134" s="8"/>
      <c r="O134" s="8"/>
      <c r="P134" s="8"/>
      <c r="Q134" s="8"/>
      <c r="R134" s="8"/>
      <c r="S134" s="8"/>
      <c r="T134" s="8"/>
      <c r="U134" s="12"/>
      <c r="V134" s="12"/>
      <c r="W134" s="12"/>
      <c r="X134" s="12"/>
      <c r="Y134" s="12"/>
      <c r="Z134" s="12"/>
      <c r="AA134" s="12"/>
      <c r="AB134" s="12"/>
      <c r="AC134" s="12"/>
      <c r="AD134" s="12"/>
      <c r="AE134" s="12"/>
      <c r="AF134" s="12"/>
    </row>
    <row r="135" spans="1:46" ht="13.2">
      <c r="A135" s="8"/>
      <c r="B135" s="8"/>
      <c r="C135" s="8"/>
      <c r="D135" s="8"/>
      <c r="E135" s="8"/>
      <c r="F135" s="8"/>
      <c r="G135" s="8"/>
      <c r="H135" s="8"/>
      <c r="I135" s="8"/>
      <c r="J135" s="8"/>
      <c r="K135" s="8"/>
      <c r="L135" s="8"/>
      <c r="M135" s="8"/>
      <c r="N135" s="8"/>
      <c r="O135" s="8"/>
      <c r="P135" s="8"/>
      <c r="Q135" s="8"/>
      <c r="R135" s="8"/>
      <c r="S135" s="8"/>
      <c r="T135" s="8"/>
      <c r="U135" s="12"/>
      <c r="V135" s="12"/>
      <c r="W135" s="12"/>
      <c r="X135" s="12"/>
      <c r="Y135" s="12"/>
      <c r="Z135" s="12"/>
      <c r="AA135" s="12"/>
      <c r="AB135" s="12"/>
      <c r="AC135" s="12"/>
      <c r="AD135" s="12"/>
      <c r="AE135" s="12"/>
      <c r="AF135" s="12"/>
    </row>
    <row r="136" spans="1:46" ht="13.2">
      <c r="A136" s="8"/>
      <c r="B136" s="8"/>
      <c r="C136" s="8"/>
      <c r="D136" s="8"/>
      <c r="E136" s="8"/>
      <c r="F136" s="8"/>
      <c r="G136" s="8"/>
      <c r="H136" s="8"/>
      <c r="I136" s="8"/>
      <c r="J136" s="8"/>
      <c r="K136" s="8"/>
      <c r="L136" s="8"/>
      <c r="M136" s="8"/>
      <c r="N136" s="8"/>
      <c r="O136" s="8"/>
      <c r="P136" s="8"/>
      <c r="Q136" s="8"/>
      <c r="R136" s="8"/>
      <c r="S136" s="8"/>
      <c r="T136" s="8"/>
      <c r="U136" s="12"/>
      <c r="V136" s="12"/>
      <c r="W136" s="12"/>
      <c r="X136" s="12"/>
      <c r="Y136" s="12"/>
      <c r="Z136" s="12"/>
      <c r="AA136" s="12"/>
      <c r="AB136" s="12"/>
      <c r="AC136" s="12"/>
      <c r="AD136" s="12"/>
      <c r="AE136" s="12"/>
      <c r="AF136" s="12"/>
    </row>
    <row r="137" spans="1:46" ht="13.2">
      <c r="A137" s="8"/>
      <c r="B137" s="8"/>
      <c r="C137" s="8"/>
      <c r="D137" s="8"/>
      <c r="E137" s="8"/>
      <c r="F137" s="8"/>
      <c r="G137" s="8"/>
      <c r="H137" s="8"/>
      <c r="I137" s="8"/>
      <c r="J137" s="8"/>
      <c r="K137" s="8"/>
      <c r="L137" s="8"/>
      <c r="M137" s="8"/>
      <c r="N137" s="8"/>
      <c r="O137" s="8"/>
      <c r="P137" s="8"/>
      <c r="Q137" s="8"/>
      <c r="R137" s="8"/>
      <c r="S137" s="8"/>
      <c r="T137" s="8"/>
      <c r="U137" s="12"/>
      <c r="V137" s="12"/>
      <c r="W137" s="12"/>
      <c r="X137" s="12"/>
      <c r="Y137" s="12"/>
      <c r="Z137" s="12"/>
      <c r="AA137" s="12"/>
      <c r="AB137" s="12"/>
      <c r="AC137" s="12"/>
      <c r="AD137" s="12"/>
      <c r="AE137" s="12"/>
      <c r="AF137" s="12"/>
    </row>
    <row r="138" spans="1:46" ht="13.2">
      <c r="A138" s="8"/>
      <c r="B138" s="8"/>
      <c r="C138" s="8"/>
      <c r="D138" s="8"/>
      <c r="E138" s="8"/>
      <c r="F138" s="8"/>
      <c r="G138" s="8"/>
      <c r="H138" s="8"/>
      <c r="I138" s="8"/>
      <c r="J138" s="8"/>
      <c r="K138" s="8"/>
      <c r="L138" s="8"/>
      <c r="M138" s="8"/>
      <c r="N138" s="8"/>
      <c r="O138" s="8"/>
      <c r="P138" s="8"/>
      <c r="Q138" s="8"/>
      <c r="R138" s="8"/>
      <c r="S138" s="8"/>
      <c r="T138" s="8"/>
      <c r="U138" s="12"/>
      <c r="V138" s="12"/>
      <c r="W138" s="12"/>
      <c r="X138" s="12"/>
      <c r="Y138" s="12"/>
      <c r="Z138" s="12"/>
      <c r="AA138" s="12"/>
      <c r="AB138" s="12"/>
      <c r="AC138" s="12"/>
      <c r="AD138" s="12"/>
      <c r="AE138" s="12"/>
      <c r="AF138" s="12"/>
    </row>
    <row r="139" spans="1:46" ht="13.2">
      <c r="A139" s="8"/>
      <c r="B139" s="8"/>
      <c r="C139" s="8"/>
      <c r="D139" s="8"/>
      <c r="E139" s="8"/>
      <c r="F139" s="8"/>
      <c r="G139" s="8"/>
      <c r="H139" s="8"/>
      <c r="I139" s="8"/>
      <c r="J139" s="8"/>
      <c r="K139" s="8"/>
      <c r="L139" s="8"/>
      <c r="M139" s="8"/>
      <c r="N139" s="8"/>
      <c r="O139" s="8"/>
      <c r="P139" s="8"/>
      <c r="Q139" s="8"/>
      <c r="R139" s="8"/>
      <c r="S139" s="8"/>
      <c r="T139" s="8"/>
      <c r="U139" s="12"/>
      <c r="V139" s="12"/>
      <c r="W139" s="12"/>
      <c r="X139" s="12"/>
      <c r="Y139" s="12"/>
      <c r="Z139" s="12"/>
      <c r="AA139" s="12"/>
      <c r="AB139" s="12"/>
      <c r="AC139" s="12"/>
      <c r="AD139" s="12"/>
      <c r="AE139" s="12"/>
      <c r="AF139" s="12"/>
    </row>
    <row r="140" spans="1:46" ht="13.2">
      <c r="A140" s="8"/>
      <c r="B140" s="8"/>
      <c r="C140" s="8"/>
      <c r="D140" s="8"/>
      <c r="E140" s="8"/>
      <c r="F140" s="8"/>
      <c r="G140" s="8"/>
      <c r="H140" s="8"/>
      <c r="I140" s="8"/>
      <c r="J140" s="8"/>
      <c r="K140" s="8"/>
      <c r="L140" s="8"/>
      <c r="M140" s="8"/>
      <c r="N140" s="8"/>
      <c r="O140" s="8"/>
      <c r="P140" s="8"/>
      <c r="Q140" s="8"/>
      <c r="R140" s="8"/>
      <c r="S140" s="8"/>
      <c r="T140" s="8"/>
      <c r="U140" s="12"/>
      <c r="V140" s="12"/>
      <c r="W140" s="12"/>
      <c r="X140" s="12"/>
      <c r="Y140" s="12"/>
      <c r="Z140" s="12"/>
      <c r="AA140" s="12"/>
      <c r="AB140" s="12"/>
      <c r="AC140" s="12"/>
      <c r="AD140" s="12"/>
      <c r="AE140" s="12"/>
      <c r="AF140" s="12"/>
    </row>
    <row r="141" spans="1:46" ht="13.2">
      <c r="A141" s="8"/>
      <c r="B141" s="8"/>
      <c r="C141" s="8"/>
      <c r="D141" s="8"/>
      <c r="E141" s="8"/>
      <c r="F141" s="8"/>
      <c r="G141" s="8"/>
      <c r="H141" s="8"/>
      <c r="I141" s="8"/>
      <c r="J141" s="8"/>
      <c r="K141" s="8"/>
      <c r="L141" s="8"/>
      <c r="M141" s="8"/>
      <c r="N141" s="8"/>
      <c r="O141" s="8"/>
      <c r="P141" s="8"/>
      <c r="Q141" s="8"/>
      <c r="R141" s="8"/>
      <c r="S141" s="8"/>
      <c r="T141" s="8"/>
      <c r="U141" s="12"/>
      <c r="V141" s="12"/>
      <c r="W141" s="12"/>
      <c r="X141" s="12"/>
      <c r="Y141" s="12"/>
      <c r="Z141" s="12"/>
      <c r="AA141" s="12"/>
      <c r="AB141" s="12"/>
      <c r="AC141" s="12"/>
      <c r="AD141" s="12"/>
      <c r="AE141" s="12"/>
      <c r="AF141" s="12"/>
    </row>
    <row r="142" spans="1:46" ht="13.2">
      <c r="A142" s="8"/>
      <c r="B142" s="8"/>
      <c r="C142" s="8"/>
      <c r="D142" s="8"/>
      <c r="E142" s="8"/>
      <c r="F142" s="8"/>
      <c r="G142" s="8"/>
      <c r="H142" s="8"/>
      <c r="I142" s="8"/>
      <c r="J142" s="8"/>
      <c r="K142" s="8"/>
      <c r="L142" s="8"/>
      <c r="M142" s="8"/>
      <c r="N142" s="8"/>
      <c r="O142" s="8"/>
      <c r="P142" s="8"/>
      <c r="Q142" s="8"/>
      <c r="R142" s="8"/>
      <c r="S142" s="8"/>
      <c r="T142" s="8"/>
      <c r="U142" s="12"/>
      <c r="V142" s="12"/>
      <c r="W142" s="12"/>
      <c r="X142" s="12"/>
      <c r="Y142" s="12"/>
      <c r="Z142" s="12"/>
      <c r="AA142" s="12"/>
      <c r="AB142" s="12"/>
      <c r="AC142" s="12"/>
      <c r="AD142" s="12"/>
      <c r="AE142" s="12"/>
      <c r="AF142" s="12"/>
    </row>
    <row r="143" spans="1:46" ht="13.2">
      <c r="A143" s="8"/>
      <c r="B143" s="8"/>
      <c r="C143" s="8"/>
      <c r="D143" s="8"/>
      <c r="E143" s="8"/>
      <c r="F143" s="8"/>
      <c r="G143" s="8"/>
      <c r="H143" s="8"/>
      <c r="I143" s="8"/>
      <c r="J143" s="8"/>
      <c r="K143" s="8"/>
      <c r="L143" s="8"/>
      <c r="M143" s="8"/>
      <c r="N143" s="8"/>
      <c r="O143" s="8"/>
      <c r="P143" s="8"/>
      <c r="Q143" s="8"/>
      <c r="R143" s="8"/>
      <c r="S143" s="8"/>
      <c r="T143" s="8"/>
      <c r="U143" s="12"/>
      <c r="V143" s="12"/>
      <c r="W143" s="12"/>
      <c r="X143" s="12"/>
      <c r="Y143" s="12"/>
      <c r="Z143" s="12"/>
      <c r="AA143" s="12"/>
      <c r="AB143" s="12"/>
      <c r="AC143" s="12"/>
      <c r="AD143" s="12"/>
      <c r="AE143" s="12"/>
      <c r="AF143" s="12"/>
    </row>
    <row r="144" spans="1:46" ht="13.2">
      <c r="A144" s="8"/>
      <c r="B144" s="8"/>
      <c r="C144" s="8"/>
      <c r="D144" s="8"/>
      <c r="E144" s="8"/>
      <c r="F144" s="8"/>
      <c r="G144" s="8"/>
      <c r="H144" s="8"/>
      <c r="I144" s="8"/>
      <c r="J144" s="8"/>
      <c r="K144" s="8"/>
      <c r="L144" s="8"/>
      <c r="M144" s="8"/>
      <c r="N144" s="8"/>
      <c r="O144" s="8"/>
      <c r="P144" s="8"/>
      <c r="Q144" s="8"/>
      <c r="R144" s="8"/>
      <c r="S144" s="8"/>
      <c r="T144" s="8"/>
      <c r="U144" s="12"/>
      <c r="V144" s="12"/>
      <c r="W144" s="12"/>
      <c r="X144" s="12"/>
      <c r="Y144" s="12"/>
      <c r="Z144" s="12"/>
      <c r="AA144" s="12"/>
      <c r="AB144" s="12"/>
      <c r="AC144" s="12"/>
      <c r="AD144" s="12"/>
      <c r="AE144" s="12"/>
      <c r="AF144" s="12"/>
    </row>
    <row r="145" spans="1:32" ht="13.2">
      <c r="A145" s="8"/>
      <c r="B145" s="8"/>
      <c r="C145" s="8"/>
      <c r="D145" s="8"/>
      <c r="E145" s="8"/>
      <c r="F145" s="8"/>
      <c r="G145" s="8"/>
      <c r="H145" s="8"/>
      <c r="I145" s="8"/>
      <c r="J145" s="8"/>
      <c r="K145" s="8"/>
      <c r="L145" s="8"/>
      <c r="M145" s="8"/>
      <c r="N145" s="8"/>
      <c r="O145" s="8"/>
      <c r="P145" s="8"/>
      <c r="Q145" s="8"/>
      <c r="R145" s="8"/>
      <c r="S145" s="8"/>
      <c r="T145" s="8"/>
      <c r="U145" s="12"/>
      <c r="V145" s="12"/>
      <c r="W145" s="12"/>
      <c r="X145" s="12"/>
      <c r="Y145" s="12"/>
      <c r="Z145" s="12"/>
      <c r="AA145" s="12"/>
      <c r="AB145" s="12"/>
      <c r="AC145" s="12"/>
      <c r="AD145" s="12"/>
      <c r="AE145" s="12"/>
      <c r="AF145" s="12"/>
    </row>
    <row r="146" spans="1:32" ht="13.2">
      <c r="A146" s="8"/>
      <c r="B146" s="8"/>
      <c r="C146" s="8"/>
      <c r="D146" s="8"/>
      <c r="E146" s="8"/>
      <c r="F146" s="8"/>
      <c r="G146" s="8"/>
      <c r="H146" s="8"/>
      <c r="I146" s="8"/>
      <c r="J146" s="8"/>
      <c r="K146" s="8"/>
      <c r="L146" s="8"/>
      <c r="M146" s="8"/>
      <c r="N146" s="8"/>
      <c r="O146" s="8"/>
      <c r="P146" s="8"/>
      <c r="Q146" s="8"/>
      <c r="R146" s="8"/>
      <c r="S146" s="8"/>
      <c r="T146" s="8"/>
      <c r="U146" s="12"/>
      <c r="V146" s="12"/>
      <c r="W146" s="12"/>
      <c r="X146" s="12"/>
      <c r="Y146" s="12"/>
      <c r="Z146" s="12"/>
      <c r="AA146" s="12"/>
      <c r="AB146" s="12"/>
      <c r="AC146" s="12"/>
      <c r="AD146" s="12"/>
      <c r="AE146" s="12"/>
      <c r="AF146" s="12"/>
    </row>
    <row r="147" spans="1:32" ht="13.2">
      <c r="A147" s="8"/>
      <c r="B147" s="8"/>
      <c r="C147" s="8"/>
      <c r="D147" s="8"/>
      <c r="E147" s="8"/>
      <c r="F147" s="8"/>
      <c r="G147" s="8"/>
      <c r="H147" s="8"/>
      <c r="I147" s="8"/>
      <c r="J147" s="8"/>
      <c r="K147" s="8"/>
      <c r="L147" s="8"/>
      <c r="M147" s="8"/>
      <c r="N147" s="8"/>
      <c r="O147" s="8"/>
      <c r="P147" s="8"/>
      <c r="Q147" s="8"/>
      <c r="R147" s="8"/>
      <c r="S147" s="8"/>
      <c r="T147" s="8"/>
      <c r="U147" s="12"/>
      <c r="V147" s="12"/>
      <c r="W147" s="12"/>
      <c r="X147" s="12"/>
      <c r="Y147" s="12"/>
      <c r="Z147" s="12"/>
      <c r="AA147" s="12"/>
      <c r="AB147" s="12"/>
      <c r="AC147" s="12"/>
      <c r="AD147" s="12"/>
      <c r="AE147" s="12"/>
      <c r="AF147" s="12"/>
    </row>
    <row r="148" spans="1:32" ht="13.2">
      <c r="A148" s="8"/>
      <c r="B148" s="8"/>
      <c r="C148" s="8"/>
      <c r="D148" s="8"/>
      <c r="E148" s="8"/>
      <c r="F148" s="8"/>
      <c r="G148" s="8"/>
      <c r="H148" s="8"/>
      <c r="I148" s="8"/>
      <c r="J148" s="8"/>
      <c r="K148" s="8"/>
      <c r="L148" s="8"/>
      <c r="M148" s="8"/>
      <c r="N148" s="8"/>
      <c r="O148" s="8"/>
      <c r="P148" s="8"/>
      <c r="Q148" s="8"/>
      <c r="R148" s="8"/>
      <c r="S148" s="8"/>
      <c r="T148" s="8"/>
      <c r="U148" s="12"/>
      <c r="V148" s="12"/>
      <c r="W148" s="12"/>
      <c r="X148" s="12"/>
      <c r="Y148" s="12"/>
      <c r="Z148" s="12"/>
      <c r="AA148" s="12"/>
      <c r="AB148" s="12"/>
      <c r="AC148" s="12"/>
      <c r="AD148" s="12"/>
      <c r="AE148" s="12"/>
      <c r="AF148" s="12"/>
    </row>
    <row r="149" spans="1:32" ht="13.2">
      <c r="A149" s="8"/>
      <c r="B149" s="8"/>
      <c r="C149" s="8"/>
      <c r="D149" s="8"/>
      <c r="E149" s="8"/>
      <c r="F149" s="8"/>
      <c r="G149" s="8"/>
      <c r="H149" s="8"/>
      <c r="I149" s="8"/>
      <c r="J149" s="8"/>
      <c r="K149" s="8"/>
      <c r="L149" s="8"/>
      <c r="M149" s="8"/>
      <c r="N149" s="8"/>
      <c r="O149" s="8"/>
      <c r="P149" s="8"/>
      <c r="Q149" s="8"/>
      <c r="R149" s="8"/>
      <c r="S149" s="8"/>
      <c r="T149" s="8"/>
      <c r="U149" s="12"/>
      <c r="V149" s="12"/>
      <c r="W149" s="12"/>
      <c r="X149" s="12"/>
      <c r="Y149" s="12"/>
      <c r="Z149" s="12"/>
      <c r="AA149" s="12"/>
      <c r="AB149" s="12"/>
      <c r="AC149" s="12"/>
      <c r="AD149" s="12"/>
      <c r="AE149" s="12"/>
      <c r="AF149" s="12"/>
    </row>
    <row r="150" spans="1:32" ht="13.2">
      <c r="A150" s="8"/>
      <c r="B150" s="8"/>
      <c r="C150" s="8"/>
      <c r="D150" s="8"/>
      <c r="E150" s="8"/>
      <c r="F150" s="8"/>
      <c r="G150" s="8"/>
      <c r="H150" s="8"/>
      <c r="I150" s="8"/>
      <c r="J150" s="8"/>
      <c r="K150" s="8"/>
      <c r="L150" s="8"/>
      <c r="M150" s="8"/>
      <c r="N150" s="8"/>
      <c r="O150" s="8"/>
      <c r="P150" s="8"/>
      <c r="Q150" s="8"/>
      <c r="R150" s="8"/>
      <c r="S150" s="8"/>
      <c r="T150" s="8"/>
      <c r="U150" s="12"/>
      <c r="V150" s="12"/>
      <c r="W150" s="12"/>
      <c r="X150" s="12"/>
      <c r="Y150" s="12"/>
      <c r="Z150" s="12"/>
      <c r="AA150" s="12"/>
      <c r="AB150" s="12"/>
      <c r="AC150" s="12"/>
      <c r="AD150" s="12"/>
      <c r="AE150" s="12"/>
      <c r="AF150" s="12"/>
    </row>
    <row r="151" spans="1:32" ht="13.2">
      <c r="A151" s="8"/>
      <c r="B151" s="8"/>
      <c r="C151" s="8"/>
      <c r="D151" s="8"/>
      <c r="E151" s="8"/>
      <c r="F151" s="8"/>
      <c r="G151" s="8"/>
      <c r="H151" s="8"/>
      <c r="I151" s="8"/>
      <c r="J151" s="8"/>
      <c r="K151" s="8"/>
      <c r="L151" s="8"/>
      <c r="M151" s="8"/>
      <c r="N151" s="8"/>
      <c r="O151" s="8"/>
      <c r="P151" s="8"/>
      <c r="Q151" s="8"/>
      <c r="R151" s="8"/>
      <c r="S151" s="8"/>
      <c r="T151" s="8"/>
      <c r="U151" s="12"/>
      <c r="V151" s="12"/>
      <c r="W151" s="12"/>
      <c r="X151" s="12"/>
      <c r="Y151" s="12"/>
      <c r="Z151" s="12"/>
      <c r="AA151" s="12"/>
      <c r="AB151" s="12"/>
      <c r="AC151" s="12"/>
      <c r="AD151" s="12"/>
      <c r="AE151" s="12"/>
      <c r="AF151" s="12"/>
    </row>
    <row r="152" spans="1:32" ht="13.2">
      <c r="A152" s="8"/>
      <c r="B152" s="8"/>
      <c r="C152" s="8"/>
      <c r="D152" s="8"/>
      <c r="E152" s="8"/>
      <c r="F152" s="8"/>
      <c r="G152" s="8"/>
      <c r="H152" s="8"/>
      <c r="I152" s="8"/>
      <c r="J152" s="8"/>
      <c r="K152" s="8"/>
      <c r="L152" s="8"/>
      <c r="M152" s="8"/>
      <c r="N152" s="8"/>
      <c r="O152" s="8"/>
      <c r="P152" s="8"/>
      <c r="Q152" s="8"/>
      <c r="R152" s="8"/>
      <c r="S152" s="8"/>
      <c r="T152" s="8"/>
      <c r="U152" s="12"/>
      <c r="V152" s="12"/>
      <c r="W152" s="12"/>
      <c r="X152" s="12"/>
      <c r="Y152" s="12"/>
      <c r="Z152" s="12"/>
      <c r="AA152" s="12"/>
      <c r="AB152" s="12"/>
      <c r="AC152" s="12"/>
      <c r="AD152" s="12"/>
      <c r="AE152" s="12"/>
      <c r="AF152" s="12"/>
    </row>
    <row r="153" spans="1:32" ht="13.2">
      <c r="A153" s="8"/>
      <c r="B153" s="8"/>
      <c r="C153" s="8"/>
      <c r="D153" s="8"/>
      <c r="E153" s="8"/>
      <c r="F153" s="8"/>
      <c r="G153" s="8"/>
      <c r="H153" s="8"/>
      <c r="I153" s="8"/>
      <c r="J153" s="8"/>
      <c r="K153" s="8"/>
      <c r="L153" s="8"/>
      <c r="M153" s="8"/>
      <c r="N153" s="8"/>
      <c r="O153" s="8"/>
      <c r="P153" s="8"/>
      <c r="Q153" s="8"/>
      <c r="R153" s="8"/>
      <c r="S153" s="8"/>
      <c r="T153" s="8"/>
      <c r="U153" s="12"/>
      <c r="V153" s="12"/>
      <c r="W153" s="12"/>
      <c r="X153" s="12"/>
      <c r="Y153" s="12"/>
      <c r="Z153" s="12"/>
      <c r="AA153" s="12"/>
      <c r="AB153" s="12"/>
      <c r="AC153" s="12"/>
      <c r="AD153" s="12"/>
      <c r="AE153" s="12"/>
      <c r="AF153" s="12"/>
    </row>
    <row r="154" spans="1:32" ht="13.2">
      <c r="A154" s="8"/>
      <c r="B154" s="8"/>
      <c r="C154" s="8"/>
      <c r="D154" s="8"/>
      <c r="E154" s="8"/>
      <c r="F154" s="8"/>
      <c r="G154" s="8"/>
      <c r="H154" s="8"/>
      <c r="I154" s="8"/>
      <c r="J154" s="8"/>
      <c r="K154" s="8"/>
      <c r="L154" s="8"/>
      <c r="M154" s="8"/>
      <c r="N154" s="8"/>
      <c r="O154" s="8"/>
      <c r="P154" s="8"/>
      <c r="Q154" s="8"/>
      <c r="R154" s="8"/>
      <c r="S154" s="8"/>
      <c r="T154" s="8"/>
      <c r="U154" s="12"/>
      <c r="V154" s="12"/>
      <c r="W154" s="12"/>
      <c r="X154" s="12"/>
      <c r="Y154" s="12"/>
      <c r="Z154" s="12"/>
      <c r="AA154" s="12"/>
      <c r="AB154" s="12"/>
      <c r="AC154" s="12"/>
      <c r="AD154" s="12"/>
      <c r="AE154" s="12"/>
      <c r="AF154" s="12"/>
    </row>
    <row r="155" spans="1:32" ht="13.2">
      <c r="A155" s="8"/>
      <c r="B155" s="8"/>
      <c r="C155" s="8"/>
      <c r="D155" s="8"/>
      <c r="E155" s="8"/>
      <c r="F155" s="8"/>
      <c r="G155" s="8"/>
      <c r="H155" s="8"/>
      <c r="I155" s="8"/>
      <c r="J155" s="8"/>
      <c r="K155" s="8"/>
      <c r="L155" s="8"/>
      <c r="M155" s="8"/>
      <c r="N155" s="8"/>
      <c r="O155" s="8"/>
      <c r="P155" s="8"/>
      <c r="Q155" s="8"/>
      <c r="R155" s="8"/>
      <c r="S155" s="8"/>
      <c r="T155" s="8"/>
      <c r="U155" s="12"/>
      <c r="V155" s="12"/>
      <c r="W155" s="12"/>
      <c r="X155" s="12"/>
      <c r="Y155" s="12"/>
      <c r="Z155" s="12"/>
      <c r="AA155" s="12"/>
      <c r="AB155" s="12"/>
      <c r="AC155" s="12"/>
      <c r="AD155" s="12"/>
      <c r="AE155" s="12"/>
      <c r="AF155" s="12"/>
    </row>
    <row r="156" spans="1:32" ht="13.2">
      <c r="A156" s="8"/>
      <c r="B156" s="8"/>
      <c r="C156" s="8"/>
      <c r="D156" s="8"/>
      <c r="E156" s="8"/>
      <c r="F156" s="8"/>
      <c r="G156" s="8"/>
      <c r="H156" s="8"/>
      <c r="I156" s="8"/>
      <c r="J156" s="8"/>
      <c r="K156" s="8"/>
      <c r="L156" s="8"/>
      <c r="M156" s="8"/>
      <c r="N156" s="8"/>
      <c r="O156" s="8"/>
      <c r="P156" s="8"/>
      <c r="Q156" s="8"/>
      <c r="R156" s="8"/>
      <c r="S156" s="8"/>
      <c r="T156" s="8"/>
      <c r="U156" s="12"/>
      <c r="V156" s="12"/>
      <c r="W156" s="12"/>
      <c r="X156" s="12"/>
      <c r="Y156" s="12"/>
      <c r="Z156" s="12"/>
      <c r="AA156" s="12"/>
      <c r="AB156" s="12"/>
      <c r="AC156" s="12"/>
      <c r="AD156" s="12"/>
      <c r="AE156" s="12"/>
      <c r="AF156" s="12"/>
    </row>
    <row r="157" spans="1:32" ht="13.2">
      <c r="A157" s="8"/>
      <c r="B157" s="8"/>
      <c r="C157" s="8"/>
      <c r="D157" s="8"/>
      <c r="E157" s="8"/>
      <c r="F157" s="8"/>
      <c r="G157" s="8"/>
      <c r="H157" s="8"/>
      <c r="I157" s="8"/>
      <c r="J157" s="8"/>
      <c r="K157" s="8"/>
      <c r="L157" s="8"/>
      <c r="M157" s="8"/>
      <c r="N157" s="8"/>
      <c r="O157" s="8"/>
      <c r="P157" s="8"/>
      <c r="Q157" s="8"/>
      <c r="R157" s="8"/>
      <c r="S157" s="8"/>
      <c r="T157" s="8"/>
      <c r="U157" s="12"/>
      <c r="V157" s="12"/>
      <c r="W157" s="12"/>
      <c r="X157" s="12"/>
      <c r="Y157" s="12"/>
      <c r="Z157" s="12"/>
      <c r="AA157" s="12"/>
      <c r="AB157" s="12"/>
      <c r="AC157" s="12"/>
      <c r="AD157" s="12"/>
      <c r="AE157" s="12"/>
      <c r="AF157" s="12"/>
    </row>
    <row r="158" spans="1:32" ht="13.2">
      <c r="A158" s="8"/>
      <c r="B158" s="8"/>
      <c r="C158" s="8"/>
      <c r="D158" s="8"/>
      <c r="E158" s="8"/>
      <c r="F158" s="8"/>
      <c r="G158" s="8"/>
      <c r="H158" s="8"/>
      <c r="I158" s="8"/>
      <c r="J158" s="8"/>
      <c r="K158" s="8"/>
      <c r="L158" s="8"/>
      <c r="M158" s="8"/>
      <c r="N158" s="8"/>
      <c r="O158" s="8"/>
      <c r="P158" s="8"/>
      <c r="Q158" s="8"/>
      <c r="R158" s="8"/>
      <c r="S158" s="8"/>
      <c r="T158" s="8"/>
      <c r="U158" s="12"/>
      <c r="V158" s="12"/>
      <c r="W158" s="12"/>
      <c r="X158" s="12"/>
      <c r="Y158" s="12"/>
      <c r="Z158" s="12"/>
      <c r="AA158" s="12"/>
      <c r="AB158" s="12"/>
      <c r="AC158" s="12"/>
      <c r="AD158" s="12"/>
      <c r="AE158" s="12"/>
      <c r="AF158" s="12"/>
    </row>
    <row r="159" spans="1:32" ht="13.2">
      <c r="A159" s="8"/>
      <c r="B159" s="8"/>
      <c r="C159" s="8"/>
      <c r="D159" s="8"/>
      <c r="E159" s="8"/>
      <c r="F159" s="8"/>
      <c r="G159" s="8"/>
      <c r="H159" s="8"/>
      <c r="I159" s="8"/>
      <c r="J159" s="8"/>
      <c r="K159" s="8"/>
      <c r="L159" s="8"/>
      <c r="M159" s="8"/>
      <c r="N159" s="8"/>
      <c r="O159" s="8"/>
      <c r="P159" s="8"/>
      <c r="Q159" s="8"/>
      <c r="R159" s="8"/>
      <c r="S159" s="8"/>
      <c r="T159" s="8"/>
      <c r="U159" s="12"/>
      <c r="V159" s="12"/>
      <c r="W159" s="12"/>
      <c r="X159" s="12"/>
      <c r="Y159" s="12"/>
      <c r="Z159" s="12"/>
      <c r="AA159" s="12"/>
      <c r="AB159" s="12"/>
      <c r="AC159" s="12"/>
      <c r="AD159" s="12"/>
      <c r="AE159" s="12"/>
      <c r="AF159" s="12"/>
    </row>
    <row r="160" spans="1:32" ht="13.2">
      <c r="A160" s="8"/>
      <c r="B160" s="8"/>
      <c r="C160" s="8"/>
      <c r="D160" s="8"/>
      <c r="E160" s="8"/>
      <c r="F160" s="8"/>
      <c r="G160" s="8"/>
      <c r="H160" s="8"/>
      <c r="I160" s="8"/>
      <c r="J160" s="8"/>
      <c r="K160" s="8"/>
      <c r="L160" s="8"/>
      <c r="M160" s="8"/>
      <c r="N160" s="8"/>
      <c r="O160" s="8"/>
      <c r="P160" s="8"/>
      <c r="Q160" s="8"/>
      <c r="R160" s="8"/>
      <c r="S160" s="8"/>
      <c r="T160" s="8"/>
      <c r="U160" s="12"/>
      <c r="V160" s="12"/>
      <c r="W160" s="12"/>
      <c r="X160" s="12"/>
      <c r="Y160" s="12"/>
      <c r="Z160" s="12"/>
      <c r="AA160" s="12"/>
      <c r="AB160" s="12"/>
      <c r="AC160" s="12"/>
      <c r="AD160" s="12"/>
      <c r="AE160" s="12"/>
      <c r="AF160" s="12"/>
    </row>
    <row r="161" spans="1:32" ht="13.2">
      <c r="A161" s="8"/>
      <c r="B161" s="8"/>
      <c r="C161" s="8"/>
      <c r="D161" s="8"/>
      <c r="E161" s="8"/>
      <c r="F161" s="8"/>
      <c r="G161" s="8"/>
      <c r="H161" s="8"/>
      <c r="I161" s="8"/>
      <c r="J161" s="8"/>
      <c r="K161" s="8"/>
      <c r="L161" s="8"/>
      <c r="M161" s="8"/>
      <c r="N161" s="8"/>
      <c r="O161" s="8"/>
      <c r="P161" s="8"/>
      <c r="Q161" s="8"/>
      <c r="R161" s="8"/>
      <c r="S161" s="8"/>
      <c r="T161" s="8"/>
      <c r="U161" s="12"/>
      <c r="V161" s="12"/>
      <c r="W161" s="12"/>
      <c r="X161" s="12"/>
      <c r="Y161" s="12"/>
      <c r="Z161" s="12"/>
      <c r="AA161" s="12"/>
      <c r="AB161" s="12"/>
      <c r="AC161" s="12"/>
      <c r="AD161" s="12"/>
      <c r="AE161" s="12"/>
      <c r="AF161" s="12"/>
    </row>
    <row r="162" spans="1:32" ht="13.2">
      <c r="A162" s="8"/>
      <c r="B162" s="8"/>
      <c r="C162" s="8"/>
      <c r="D162" s="8"/>
      <c r="E162" s="8"/>
      <c r="F162" s="8"/>
      <c r="G162" s="8"/>
      <c r="H162" s="8"/>
      <c r="I162" s="8"/>
      <c r="J162" s="8"/>
      <c r="K162" s="8"/>
      <c r="L162" s="8"/>
      <c r="M162" s="8"/>
      <c r="N162" s="8"/>
      <c r="O162" s="8"/>
      <c r="P162" s="8"/>
      <c r="Q162" s="8"/>
      <c r="R162" s="8"/>
      <c r="S162" s="8"/>
      <c r="T162" s="8"/>
      <c r="U162" s="12"/>
      <c r="V162" s="12"/>
      <c r="W162" s="12"/>
      <c r="X162" s="12"/>
      <c r="Y162" s="12"/>
      <c r="Z162" s="12"/>
      <c r="AA162" s="12"/>
      <c r="AB162" s="12"/>
      <c r="AC162" s="12"/>
      <c r="AD162" s="12"/>
      <c r="AE162" s="12"/>
      <c r="AF162" s="12"/>
    </row>
    <row r="163" spans="1:32" ht="13.2">
      <c r="A163" s="8"/>
      <c r="B163" s="8"/>
      <c r="C163" s="8"/>
      <c r="D163" s="8"/>
      <c r="E163" s="8"/>
      <c r="F163" s="8"/>
      <c r="G163" s="8"/>
      <c r="H163" s="8"/>
      <c r="I163" s="8"/>
      <c r="J163" s="8"/>
      <c r="K163" s="8"/>
      <c r="L163" s="8"/>
      <c r="M163" s="8"/>
      <c r="N163" s="8"/>
      <c r="O163" s="8"/>
      <c r="P163" s="8"/>
      <c r="Q163" s="8"/>
      <c r="R163" s="8"/>
      <c r="S163" s="8"/>
      <c r="T163" s="8"/>
      <c r="U163" s="12"/>
      <c r="V163" s="12"/>
      <c r="W163" s="12"/>
      <c r="X163" s="12"/>
      <c r="Y163" s="12"/>
      <c r="Z163" s="12"/>
      <c r="AA163" s="12"/>
      <c r="AB163" s="12"/>
      <c r="AC163" s="12"/>
      <c r="AD163" s="12"/>
      <c r="AE163" s="12"/>
      <c r="AF163" s="12"/>
    </row>
    <row r="164" spans="1:32" ht="13.2">
      <c r="A164" s="8"/>
      <c r="B164" s="8"/>
      <c r="C164" s="8"/>
      <c r="D164" s="8"/>
      <c r="E164" s="8"/>
      <c r="F164" s="8"/>
      <c r="G164" s="8"/>
      <c r="H164" s="8"/>
      <c r="I164" s="8"/>
      <c r="J164" s="8"/>
      <c r="K164" s="8"/>
      <c r="L164" s="8"/>
      <c r="M164" s="8"/>
      <c r="N164" s="8"/>
      <c r="O164" s="8"/>
      <c r="P164" s="8"/>
      <c r="Q164" s="8"/>
      <c r="R164" s="8"/>
      <c r="S164" s="8"/>
      <c r="T164" s="8"/>
      <c r="U164" s="12"/>
      <c r="V164" s="12"/>
      <c r="W164" s="12"/>
      <c r="X164" s="12"/>
      <c r="Y164" s="12"/>
      <c r="Z164" s="12"/>
      <c r="AA164" s="12"/>
      <c r="AB164" s="12"/>
      <c r="AC164" s="12"/>
      <c r="AD164" s="12"/>
      <c r="AE164" s="12"/>
      <c r="AF164" s="12"/>
    </row>
    <row r="165" spans="1:32" ht="13.2">
      <c r="A165" s="8"/>
      <c r="B165" s="8"/>
      <c r="C165" s="8"/>
      <c r="D165" s="8"/>
      <c r="E165" s="8"/>
      <c r="F165" s="8"/>
      <c r="G165" s="8"/>
      <c r="H165" s="8"/>
      <c r="I165" s="8"/>
      <c r="J165" s="8"/>
      <c r="K165" s="8"/>
      <c r="L165" s="8"/>
      <c r="M165" s="8"/>
      <c r="N165" s="8"/>
      <c r="O165" s="8"/>
      <c r="P165" s="8"/>
      <c r="Q165" s="8"/>
      <c r="R165" s="8"/>
      <c r="S165" s="8"/>
      <c r="T165" s="8"/>
      <c r="U165" s="12"/>
      <c r="V165" s="12"/>
      <c r="W165" s="12"/>
      <c r="X165" s="12"/>
      <c r="Y165" s="12"/>
      <c r="Z165" s="12"/>
      <c r="AA165" s="12"/>
      <c r="AB165" s="12"/>
      <c r="AC165" s="12"/>
      <c r="AD165" s="12"/>
      <c r="AE165" s="12"/>
      <c r="AF165" s="12"/>
    </row>
    <row r="166" spans="1:32" ht="13.2">
      <c r="A166" s="8"/>
      <c r="B166" s="8"/>
      <c r="C166" s="8"/>
      <c r="D166" s="8"/>
      <c r="E166" s="8"/>
      <c r="F166" s="8"/>
      <c r="G166" s="8"/>
      <c r="H166" s="8"/>
      <c r="I166" s="8"/>
      <c r="J166" s="8"/>
      <c r="K166" s="8"/>
      <c r="L166" s="8"/>
      <c r="M166" s="8"/>
      <c r="N166" s="8"/>
      <c r="O166" s="8"/>
      <c r="P166" s="8"/>
      <c r="Q166" s="8"/>
      <c r="R166" s="8"/>
      <c r="S166" s="8"/>
      <c r="T166" s="8"/>
      <c r="U166" s="12"/>
      <c r="V166" s="12"/>
      <c r="W166" s="12"/>
      <c r="X166" s="12"/>
      <c r="Y166" s="12"/>
      <c r="Z166" s="12"/>
      <c r="AA166" s="12"/>
      <c r="AB166" s="12"/>
      <c r="AC166" s="12"/>
      <c r="AD166" s="12"/>
      <c r="AE166" s="12"/>
      <c r="AF166" s="12"/>
    </row>
    <row r="167" spans="1:32" ht="13.2">
      <c r="A167" s="8"/>
      <c r="B167" s="8"/>
      <c r="C167" s="8"/>
      <c r="D167" s="8"/>
      <c r="E167" s="8"/>
      <c r="F167" s="8"/>
      <c r="G167" s="8"/>
      <c r="H167" s="8"/>
      <c r="I167" s="8"/>
      <c r="J167" s="8"/>
      <c r="K167" s="8"/>
      <c r="L167" s="8"/>
      <c r="M167" s="8"/>
      <c r="N167" s="8"/>
      <c r="O167" s="8"/>
      <c r="P167" s="8"/>
      <c r="Q167" s="8"/>
      <c r="R167" s="8"/>
      <c r="S167" s="8"/>
      <c r="T167" s="8"/>
      <c r="U167" s="12"/>
      <c r="V167" s="12"/>
      <c r="W167" s="12"/>
      <c r="X167" s="12"/>
      <c r="Y167" s="12"/>
      <c r="Z167" s="12"/>
      <c r="AA167" s="12"/>
      <c r="AB167" s="12"/>
      <c r="AC167" s="12"/>
      <c r="AD167" s="12"/>
      <c r="AE167" s="12"/>
      <c r="AF167" s="12"/>
    </row>
    <row r="168" spans="1:32" ht="13.2">
      <c r="A168" s="8"/>
      <c r="B168" s="8"/>
      <c r="C168" s="8"/>
      <c r="D168" s="8"/>
      <c r="E168" s="8"/>
      <c r="F168" s="8"/>
      <c r="G168" s="8"/>
      <c r="H168" s="8"/>
      <c r="I168" s="8"/>
      <c r="J168" s="8"/>
      <c r="K168" s="8"/>
      <c r="L168" s="8"/>
      <c r="M168" s="8"/>
      <c r="N168" s="8"/>
      <c r="O168" s="8"/>
      <c r="P168" s="8"/>
      <c r="Q168" s="8"/>
      <c r="R168" s="8"/>
      <c r="S168" s="8"/>
      <c r="T168" s="8"/>
      <c r="U168" s="12"/>
      <c r="V168" s="12"/>
      <c r="W168" s="12"/>
      <c r="X168" s="12"/>
      <c r="Y168" s="12"/>
      <c r="Z168" s="12"/>
      <c r="AA168" s="12"/>
      <c r="AB168" s="12"/>
      <c r="AC168" s="12"/>
      <c r="AD168" s="12"/>
      <c r="AE168" s="12"/>
      <c r="AF168" s="12"/>
    </row>
    <row r="169" spans="1:32" ht="13.2">
      <c r="A169" s="8"/>
      <c r="B169" s="8"/>
      <c r="C169" s="8"/>
      <c r="D169" s="8"/>
      <c r="E169" s="8"/>
      <c r="F169" s="8"/>
      <c r="G169" s="8"/>
      <c r="H169" s="8"/>
      <c r="I169" s="8"/>
      <c r="J169" s="8"/>
      <c r="K169" s="8"/>
      <c r="L169" s="8"/>
      <c r="M169" s="8"/>
      <c r="N169" s="8"/>
      <c r="O169" s="8"/>
      <c r="P169" s="8"/>
      <c r="Q169" s="8"/>
      <c r="R169" s="8"/>
      <c r="S169" s="8"/>
      <c r="T169" s="8"/>
      <c r="U169" s="12"/>
      <c r="V169" s="12"/>
      <c r="W169" s="12"/>
      <c r="X169" s="12"/>
      <c r="Y169" s="12"/>
      <c r="Z169" s="12"/>
      <c r="AA169" s="12"/>
      <c r="AB169" s="12"/>
      <c r="AC169" s="12"/>
      <c r="AD169" s="12"/>
      <c r="AE169" s="12"/>
      <c r="AF169" s="12"/>
    </row>
    <row r="170" spans="1:32" ht="13.2">
      <c r="A170" s="8"/>
      <c r="B170" s="8"/>
      <c r="C170" s="8"/>
      <c r="D170" s="8"/>
      <c r="E170" s="8"/>
      <c r="F170" s="8"/>
      <c r="G170" s="8"/>
      <c r="H170" s="8"/>
      <c r="I170" s="8"/>
      <c r="J170" s="8"/>
      <c r="K170" s="8"/>
      <c r="L170" s="8"/>
      <c r="M170" s="8"/>
      <c r="N170" s="8"/>
      <c r="O170" s="8"/>
      <c r="P170" s="8"/>
      <c r="Q170" s="8"/>
      <c r="R170" s="8"/>
      <c r="S170" s="8"/>
      <c r="T170" s="8"/>
      <c r="U170" s="12"/>
      <c r="V170" s="12"/>
      <c r="W170" s="12"/>
      <c r="X170" s="12"/>
      <c r="Y170" s="12"/>
      <c r="Z170" s="12"/>
      <c r="AA170" s="12"/>
      <c r="AB170" s="12"/>
      <c r="AC170" s="12"/>
      <c r="AD170" s="12"/>
      <c r="AE170" s="12"/>
      <c r="AF170" s="12"/>
    </row>
    <row r="171" spans="1:32" ht="13.2">
      <c r="A171" s="8"/>
      <c r="B171" s="8"/>
      <c r="C171" s="8"/>
      <c r="D171" s="8"/>
      <c r="E171" s="8"/>
      <c r="F171" s="8"/>
      <c r="G171" s="8"/>
      <c r="H171" s="8"/>
      <c r="I171" s="8"/>
      <c r="J171" s="8"/>
      <c r="K171" s="8"/>
      <c r="L171" s="8"/>
      <c r="M171" s="8"/>
      <c r="N171" s="8"/>
      <c r="O171" s="8"/>
      <c r="P171" s="8"/>
      <c r="Q171" s="8"/>
      <c r="R171" s="8"/>
      <c r="S171" s="8"/>
      <c r="T171" s="8"/>
      <c r="U171" s="12"/>
      <c r="V171" s="12"/>
      <c r="W171" s="12"/>
      <c r="X171" s="12"/>
      <c r="Y171" s="12"/>
      <c r="Z171" s="12"/>
      <c r="AA171" s="12"/>
      <c r="AB171" s="12"/>
      <c r="AC171" s="12"/>
      <c r="AD171" s="12"/>
      <c r="AE171" s="12"/>
      <c r="AF171" s="12"/>
    </row>
    <row r="172" spans="1:32" ht="13.2">
      <c r="A172" s="8"/>
      <c r="B172" s="8"/>
      <c r="C172" s="8"/>
      <c r="D172" s="8"/>
      <c r="E172" s="8"/>
      <c r="F172" s="8"/>
      <c r="G172" s="8"/>
      <c r="H172" s="8"/>
      <c r="I172" s="8"/>
      <c r="J172" s="8"/>
      <c r="K172" s="8"/>
      <c r="L172" s="8"/>
      <c r="M172" s="8"/>
      <c r="N172" s="8"/>
      <c r="O172" s="8"/>
      <c r="P172" s="8"/>
      <c r="Q172" s="8"/>
      <c r="R172" s="8"/>
      <c r="S172" s="8"/>
      <c r="T172" s="8"/>
      <c r="U172" s="12"/>
      <c r="V172" s="12"/>
      <c r="W172" s="12"/>
      <c r="X172" s="12"/>
      <c r="Y172" s="12"/>
      <c r="Z172" s="12"/>
      <c r="AA172" s="12"/>
      <c r="AB172" s="12"/>
      <c r="AC172" s="12"/>
      <c r="AD172" s="12"/>
      <c r="AE172" s="12"/>
      <c r="AF172" s="12"/>
    </row>
    <row r="173" spans="1:32" ht="13.2">
      <c r="A173" s="8"/>
      <c r="B173" s="8"/>
      <c r="C173" s="8"/>
      <c r="D173" s="8"/>
      <c r="E173" s="8"/>
      <c r="F173" s="8"/>
      <c r="G173" s="8"/>
      <c r="H173" s="8"/>
      <c r="I173" s="8"/>
      <c r="J173" s="8"/>
      <c r="K173" s="8"/>
      <c r="L173" s="8"/>
      <c r="M173" s="8"/>
      <c r="N173" s="8"/>
      <c r="O173" s="8"/>
      <c r="P173" s="8"/>
      <c r="Q173" s="8"/>
      <c r="R173" s="8"/>
      <c r="S173" s="8"/>
      <c r="T173" s="8"/>
      <c r="U173" s="12"/>
      <c r="V173" s="12"/>
      <c r="W173" s="12"/>
      <c r="X173" s="12"/>
      <c r="Y173" s="12"/>
      <c r="Z173" s="12"/>
      <c r="AA173" s="12"/>
      <c r="AB173" s="12"/>
      <c r="AC173" s="12"/>
      <c r="AD173" s="12"/>
      <c r="AE173" s="12"/>
      <c r="AF173" s="12"/>
    </row>
    <row r="174" spans="1:32" ht="13.2">
      <c r="A174" s="8"/>
      <c r="B174" s="8"/>
      <c r="C174" s="8"/>
      <c r="D174" s="8"/>
      <c r="E174" s="8"/>
      <c r="F174" s="8"/>
      <c r="G174" s="8"/>
      <c r="H174" s="8"/>
      <c r="I174" s="8"/>
      <c r="J174" s="8"/>
      <c r="K174" s="8"/>
      <c r="L174" s="8"/>
      <c r="M174" s="8"/>
      <c r="N174" s="8"/>
      <c r="O174" s="8"/>
      <c r="P174" s="8"/>
      <c r="Q174" s="8"/>
      <c r="R174" s="8"/>
      <c r="S174" s="8"/>
      <c r="T174" s="8"/>
      <c r="U174" s="12"/>
      <c r="V174" s="12"/>
      <c r="W174" s="12"/>
      <c r="X174" s="12"/>
      <c r="Y174" s="12"/>
      <c r="Z174" s="12"/>
      <c r="AA174" s="12"/>
      <c r="AB174" s="12"/>
      <c r="AC174" s="12"/>
      <c r="AD174" s="12"/>
      <c r="AE174" s="12"/>
      <c r="AF174" s="12"/>
    </row>
    <row r="175" spans="1:32" ht="13.2">
      <c r="A175" s="8"/>
      <c r="B175" s="8"/>
      <c r="C175" s="8"/>
      <c r="D175" s="8"/>
      <c r="E175" s="8"/>
      <c r="F175" s="8"/>
      <c r="G175" s="8"/>
      <c r="H175" s="8"/>
      <c r="I175" s="8"/>
      <c r="J175" s="8"/>
      <c r="K175" s="8"/>
      <c r="L175" s="8"/>
      <c r="M175" s="8"/>
      <c r="N175" s="8"/>
      <c r="O175" s="8"/>
      <c r="P175" s="8"/>
      <c r="Q175" s="8"/>
      <c r="R175" s="8"/>
      <c r="S175" s="8"/>
      <c r="T175" s="8"/>
      <c r="U175" s="12"/>
      <c r="V175" s="12"/>
      <c r="W175" s="12"/>
      <c r="X175" s="12"/>
      <c r="Y175" s="12"/>
      <c r="Z175" s="12"/>
      <c r="AA175" s="12"/>
      <c r="AB175" s="12"/>
      <c r="AC175" s="12"/>
      <c r="AD175" s="12"/>
      <c r="AE175" s="12"/>
      <c r="AF175" s="12"/>
    </row>
    <row r="176" spans="1:32" ht="13.2">
      <c r="A176" s="8"/>
      <c r="B176" s="8"/>
      <c r="C176" s="8"/>
      <c r="D176" s="8"/>
      <c r="E176" s="8"/>
      <c r="F176" s="8"/>
      <c r="G176" s="8"/>
      <c r="H176" s="8"/>
      <c r="I176" s="8"/>
      <c r="J176" s="8"/>
      <c r="K176" s="8"/>
      <c r="L176" s="8"/>
      <c r="M176" s="8"/>
      <c r="N176" s="8"/>
      <c r="O176" s="8"/>
      <c r="P176" s="8"/>
      <c r="Q176" s="8"/>
      <c r="R176" s="8"/>
      <c r="S176" s="8"/>
      <c r="T176" s="8"/>
      <c r="U176" s="12"/>
      <c r="V176" s="12"/>
      <c r="W176" s="12"/>
      <c r="X176" s="12"/>
      <c r="Y176" s="12"/>
      <c r="Z176" s="12"/>
      <c r="AA176" s="12"/>
      <c r="AB176" s="12"/>
      <c r="AC176" s="12"/>
      <c r="AD176" s="12"/>
      <c r="AE176" s="12"/>
      <c r="AF176" s="12"/>
    </row>
    <row r="177" spans="1:32" ht="13.2">
      <c r="A177" s="8"/>
      <c r="B177" s="8"/>
      <c r="C177" s="8"/>
      <c r="D177" s="8"/>
      <c r="E177" s="8"/>
      <c r="F177" s="8"/>
      <c r="G177" s="8"/>
      <c r="H177" s="8"/>
      <c r="I177" s="8"/>
      <c r="J177" s="8"/>
      <c r="K177" s="8"/>
      <c r="L177" s="8"/>
      <c r="M177" s="8"/>
      <c r="N177" s="8"/>
      <c r="O177" s="8"/>
      <c r="P177" s="8"/>
      <c r="Q177" s="8"/>
      <c r="R177" s="8"/>
      <c r="S177" s="8"/>
      <c r="T177" s="8"/>
      <c r="U177" s="12"/>
      <c r="V177" s="12"/>
      <c r="W177" s="12"/>
      <c r="X177" s="12"/>
      <c r="Y177" s="12"/>
      <c r="Z177" s="12"/>
      <c r="AA177" s="12"/>
      <c r="AB177" s="12"/>
      <c r="AC177" s="12"/>
      <c r="AD177" s="12"/>
      <c r="AE177" s="12"/>
      <c r="AF177" s="12"/>
    </row>
    <row r="178" spans="1:32" ht="13.2">
      <c r="A178" s="8"/>
      <c r="B178" s="8"/>
      <c r="C178" s="8"/>
      <c r="D178" s="8"/>
      <c r="E178" s="8"/>
      <c r="F178" s="8"/>
      <c r="G178" s="8"/>
      <c r="H178" s="8"/>
      <c r="I178" s="8"/>
      <c r="J178" s="8"/>
      <c r="K178" s="8"/>
      <c r="L178" s="8"/>
      <c r="M178" s="8"/>
      <c r="N178" s="8"/>
      <c r="O178" s="8"/>
      <c r="P178" s="8"/>
      <c r="Q178" s="8"/>
      <c r="R178" s="8"/>
      <c r="S178" s="8"/>
      <c r="T178" s="8"/>
      <c r="U178" s="12"/>
      <c r="V178" s="12"/>
      <c r="W178" s="12"/>
      <c r="X178" s="12"/>
      <c r="Y178" s="12"/>
      <c r="Z178" s="12"/>
      <c r="AA178" s="12"/>
      <c r="AB178" s="12"/>
      <c r="AC178" s="12"/>
      <c r="AD178" s="12"/>
      <c r="AE178" s="12"/>
      <c r="AF178" s="12"/>
    </row>
    <row r="179" spans="1:32" ht="13.2">
      <c r="A179" s="8"/>
      <c r="B179" s="8"/>
      <c r="C179" s="8"/>
      <c r="D179" s="8"/>
      <c r="E179" s="8"/>
      <c r="F179" s="8"/>
      <c r="G179" s="8"/>
      <c r="H179" s="8"/>
      <c r="I179" s="8"/>
      <c r="J179" s="8"/>
      <c r="K179" s="8"/>
      <c r="L179" s="8"/>
      <c r="M179" s="8"/>
      <c r="N179" s="8"/>
      <c r="O179" s="8"/>
      <c r="P179" s="8"/>
      <c r="Q179" s="8"/>
      <c r="R179" s="8"/>
      <c r="S179" s="8"/>
      <c r="T179" s="8"/>
      <c r="U179" s="12"/>
      <c r="V179" s="12"/>
      <c r="W179" s="12"/>
      <c r="X179" s="12"/>
      <c r="Y179" s="12"/>
      <c r="Z179" s="12"/>
      <c r="AA179" s="12"/>
      <c r="AB179" s="12"/>
      <c r="AC179" s="12"/>
      <c r="AD179" s="12"/>
      <c r="AE179" s="12"/>
      <c r="AF179" s="12"/>
    </row>
    <row r="180" spans="1:32" ht="13.2">
      <c r="A180" s="8"/>
      <c r="B180" s="8"/>
      <c r="C180" s="8"/>
      <c r="D180" s="8"/>
      <c r="E180" s="8"/>
      <c r="F180" s="8"/>
      <c r="G180" s="8"/>
      <c r="H180" s="8"/>
      <c r="I180" s="8"/>
      <c r="J180" s="8"/>
      <c r="K180" s="8"/>
      <c r="L180" s="8"/>
      <c r="M180" s="8"/>
      <c r="N180" s="8"/>
      <c r="O180" s="8"/>
      <c r="P180" s="8"/>
      <c r="Q180" s="8"/>
      <c r="R180" s="8"/>
      <c r="S180" s="8"/>
      <c r="T180" s="8"/>
      <c r="U180" s="12"/>
      <c r="V180" s="12"/>
      <c r="W180" s="12"/>
      <c r="X180" s="12"/>
      <c r="Y180" s="12"/>
      <c r="Z180" s="12"/>
      <c r="AA180" s="12"/>
      <c r="AB180" s="12"/>
      <c r="AC180" s="12"/>
      <c r="AD180" s="12"/>
      <c r="AE180" s="12"/>
      <c r="AF180" s="12"/>
    </row>
    <row r="181" spans="1:32" ht="13.2">
      <c r="A181" s="8"/>
      <c r="B181" s="8"/>
      <c r="C181" s="8"/>
      <c r="D181" s="8"/>
      <c r="E181" s="8"/>
      <c r="F181" s="8"/>
      <c r="G181" s="8"/>
      <c r="H181" s="8"/>
      <c r="I181" s="8"/>
      <c r="J181" s="8"/>
      <c r="K181" s="8"/>
      <c r="L181" s="8"/>
      <c r="M181" s="8"/>
      <c r="N181" s="8"/>
      <c r="O181" s="8"/>
      <c r="P181" s="8"/>
      <c r="Q181" s="8"/>
      <c r="R181" s="8"/>
      <c r="S181" s="8"/>
      <c r="T181" s="8"/>
      <c r="U181" s="12"/>
      <c r="V181" s="12"/>
      <c r="W181" s="12"/>
      <c r="X181" s="12"/>
      <c r="Y181" s="12"/>
      <c r="Z181" s="12"/>
      <c r="AA181" s="12"/>
      <c r="AB181" s="12"/>
      <c r="AC181" s="12"/>
      <c r="AD181" s="12"/>
      <c r="AE181" s="12"/>
      <c r="AF181" s="12"/>
    </row>
    <row r="182" spans="1:32" ht="13.2">
      <c r="A182" s="8"/>
      <c r="B182" s="8"/>
      <c r="C182" s="8"/>
      <c r="D182" s="8"/>
      <c r="E182" s="8"/>
      <c r="F182" s="8"/>
      <c r="G182" s="8"/>
      <c r="H182" s="8"/>
      <c r="I182" s="8"/>
      <c r="J182" s="8"/>
      <c r="K182" s="8"/>
      <c r="L182" s="8"/>
      <c r="M182" s="8"/>
      <c r="N182" s="8"/>
      <c r="O182" s="8"/>
      <c r="P182" s="8"/>
      <c r="Q182" s="8"/>
      <c r="R182" s="8"/>
      <c r="S182" s="8"/>
      <c r="T182" s="8"/>
      <c r="U182" s="12"/>
      <c r="V182" s="12"/>
      <c r="W182" s="12"/>
      <c r="X182" s="12"/>
      <c r="Y182" s="12"/>
      <c r="Z182" s="12"/>
      <c r="AA182" s="12"/>
      <c r="AB182" s="12"/>
      <c r="AC182" s="12"/>
      <c r="AD182" s="12"/>
      <c r="AE182" s="12"/>
      <c r="AF182" s="12"/>
    </row>
    <row r="183" spans="1:32" ht="13.2">
      <c r="A183" s="8"/>
      <c r="B183" s="8"/>
      <c r="C183" s="8"/>
      <c r="D183" s="8"/>
      <c r="E183" s="8"/>
      <c r="F183" s="8"/>
      <c r="G183" s="8"/>
      <c r="H183" s="8"/>
      <c r="I183" s="8"/>
      <c r="J183" s="8"/>
      <c r="K183" s="8"/>
      <c r="L183" s="8"/>
      <c r="M183" s="8"/>
      <c r="N183" s="8"/>
      <c r="O183" s="8"/>
      <c r="P183" s="8"/>
      <c r="Q183" s="8"/>
      <c r="R183" s="8"/>
      <c r="S183" s="8"/>
      <c r="T183" s="8"/>
      <c r="U183" s="12"/>
      <c r="V183" s="12"/>
      <c r="W183" s="12"/>
      <c r="X183" s="12"/>
      <c r="Y183" s="12"/>
      <c r="Z183" s="12"/>
      <c r="AA183" s="12"/>
      <c r="AB183" s="12"/>
      <c r="AC183" s="12"/>
      <c r="AD183" s="12"/>
      <c r="AE183" s="12"/>
      <c r="AF183" s="12"/>
    </row>
    <row r="184" spans="1:32" ht="13.2">
      <c r="A184" s="8"/>
      <c r="B184" s="8"/>
      <c r="C184" s="8"/>
      <c r="D184" s="8"/>
      <c r="E184" s="8"/>
      <c r="F184" s="8"/>
      <c r="G184" s="8"/>
      <c r="H184" s="8"/>
      <c r="I184" s="8"/>
      <c r="J184" s="8"/>
      <c r="K184" s="8"/>
      <c r="L184" s="8"/>
      <c r="M184" s="8"/>
      <c r="N184" s="8"/>
      <c r="O184" s="8"/>
      <c r="P184" s="8"/>
      <c r="Q184" s="8"/>
      <c r="R184" s="8"/>
      <c r="S184" s="8"/>
      <c r="T184" s="8"/>
      <c r="U184" s="12"/>
      <c r="V184" s="12"/>
      <c r="W184" s="12"/>
      <c r="X184" s="12"/>
      <c r="Y184" s="12"/>
      <c r="Z184" s="12"/>
      <c r="AA184" s="12"/>
      <c r="AB184" s="12"/>
      <c r="AC184" s="12"/>
      <c r="AD184" s="12"/>
      <c r="AE184" s="12"/>
      <c r="AF184" s="12"/>
    </row>
    <row r="185" spans="1:32" ht="13.2">
      <c r="A185" s="8"/>
      <c r="B185" s="8"/>
      <c r="C185" s="8"/>
      <c r="D185" s="8"/>
      <c r="E185" s="8"/>
      <c r="F185" s="8"/>
      <c r="G185" s="8"/>
      <c r="H185" s="8"/>
      <c r="I185" s="8"/>
      <c r="J185" s="8"/>
      <c r="K185" s="8"/>
      <c r="L185" s="8"/>
      <c r="M185" s="8"/>
      <c r="N185" s="8"/>
      <c r="O185" s="8"/>
      <c r="P185" s="8"/>
      <c r="Q185" s="8"/>
      <c r="R185" s="8"/>
      <c r="S185" s="8"/>
      <c r="T185" s="8"/>
      <c r="U185" s="12"/>
      <c r="V185" s="12"/>
      <c r="W185" s="12"/>
      <c r="X185" s="12"/>
      <c r="Y185" s="12"/>
      <c r="Z185" s="12"/>
      <c r="AA185" s="12"/>
      <c r="AB185" s="12"/>
      <c r="AC185" s="12"/>
      <c r="AD185" s="12"/>
      <c r="AE185" s="12"/>
      <c r="AF185" s="12"/>
    </row>
    <row r="186" spans="1:32" ht="13.2">
      <c r="A186" s="8"/>
      <c r="B186" s="8"/>
      <c r="C186" s="8"/>
      <c r="D186" s="8"/>
      <c r="E186" s="8"/>
      <c r="F186" s="8"/>
      <c r="G186" s="8"/>
      <c r="H186" s="8"/>
      <c r="I186" s="8"/>
      <c r="J186" s="8"/>
      <c r="K186" s="8"/>
      <c r="L186" s="8"/>
      <c r="M186" s="8"/>
      <c r="N186" s="8"/>
      <c r="O186" s="8"/>
      <c r="P186" s="8"/>
      <c r="Q186" s="8"/>
      <c r="R186" s="8"/>
      <c r="S186" s="8"/>
      <c r="T186" s="8"/>
      <c r="U186" s="12"/>
      <c r="V186" s="12"/>
      <c r="W186" s="12"/>
      <c r="X186" s="12"/>
      <c r="Y186" s="12"/>
      <c r="Z186" s="12"/>
      <c r="AA186" s="12"/>
      <c r="AB186" s="12"/>
      <c r="AC186" s="12"/>
      <c r="AD186" s="12"/>
      <c r="AE186" s="12"/>
      <c r="AF186" s="12"/>
    </row>
    <row r="187" spans="1:32" ht="13.2">
      <c r="A187" s="8"/>
      <c r="B187" s="8"/>
      <c r="C187" s="8"/>
      <c r="D187" s="8"/>
      <c r="E187" s="8"/>
      <c r="F187" s="8"/>
      <c r="G187" s="8"/>
      <c r="H187" s="8"/>
      <c r="I187" s="8"/>
      <c r="J187" s="8"/>
      <c r="K187" s="8"/>
      <c r="L187" s="8"/>
      <c r="M187" s="8"/>
      <c r="N187" s="8"/>
      <c r="O187" s="8"/>
      <c r="P187" s="8"/>
      <c r="Q187" s="8"/>
      <c r="R187" s="8"/>
      <c r="S187" s="8"/>
      <c r="T187" s="8"/>
      <c r="U187" s="12"/>
      <c r="V187" s="12"/>
      <c r="W187" s="12"/>
      <c r="X187" s="12"/>
      <c r="Y187" s="12"/>
      <c r="Z187" s="12"/>
      <c r="AA187" s="12"/>
      <c r="AB187" s="12"/>
      <c r="AC187" s="12"/>
      <c r="AD187" s="12"/>
      <c r="AE187" s="12"/>
      <c r="AF187" s="12"/>
    </row>
    <row r="188" spans="1:32" ht="13.2">
      <c r="A188" s="8"/>
      <c r="B188" s="8"/>
      <c r="C188" s="8"/>
      <c r="D188" s="8"/>
      <c r="E188" s="8"/>
      <c r="F188" s="8"/>
      <c r="G188" s="8"/>
      <c r="H188" s="8"/>
      <c r="I188" s="8"/>
      <c r="J188" s="8"/>
      <c r="K188" s="8"/>
      <c r="L188" s="8"/>
      <c r="M188" s="8"/>
      <c r="N188" s="8"/>
      <c r="O188" s="8"/>
      <c r="P188" s="8"/>
      <c r="Q188" s="8"/>
      <c r="R188" s="8"/>
      <c r="S188" s="8"/>
      <c r="T188" s="8"/>
      <c r="U188" s="12"/>
      <c r="V188" s="12"/>
      <c r="W188" s="12"/>
      <c r="X188" s="12"/>
      <c r="Y188" s="12"/>
      <c r="Z188" s="12"/>
      <c r="AA188" s="12"/>
      <c r="AB188" s="12"/>
      <c r="AC188" s="12"/>
      <c r="AD188" s="12"/>
      <c r="AE188" s="12"/>
      <c r="AF188" s="12"/>
    </row>
    <row r="189" spans="1:32" ht="13.2">
      <c r="A189" s="8"/>
      <c r="B189" s="8"/>
      <c r="C189" s="8"/>
      <c r="D189" s="8"/>
      <c r="E189" s="8"/>
      <c r="F189" s="8"/>
      <c r="G189" s="8"/>
      <c r="H189" s="8"/>
      <c r="I189" s="8"/>
      <c r="J189" s="8"/>
      <c r="K189" s="8"/>
      <c r="L189" s="8"/>
      <c r="M189" s="8"/>
      <c r="N189" s="8"/>
      <c r="O189" s="8"/>
      <c r="P189" s="8"/>
      <c r="Q189" s="8"/>
      <c r="R189" s="8"/>
      <c r="S189" s="8"/>
      <c r="T189" s="8"/>
      <c r="U189" s="12"/>
      <c r="V189" s="12"/>
      <c r="W189" s="12"/>
      <c r="X189" s="12"/>
      <c r="Y189" s="12"/>
      <c r="Z189" s="12"/>
      <c r="AA189" s="12"/>
      <c r="AB189" s="12"/>
      <c r="AC189" s="12"/>
      <c r="AD189" s="12"/>
      <c r="AE189" s="12"/>
      <c r="AF189" s="12"/>
    </row>
    <row r="190" spans="1:32" ht="13.2">
      <c r="A190" s="8"/>
      <c r="B190" s="8"/>
      <c r="C190" s="8"/>
      <c r="D190" s="8"/>
      <c r="E190" s="8"/>
      <c r="F190" s="8"/>
      <c r="G190" s="8"/>
      <c r="H190" s="8"/>
      <c r="I190" s="8"/>
      <c r="J190" s="8"/>
      <c r="K190" s="8"/>
      <c r="L190" s="8"/>
      <c r="M190" s="8"/>
      <c r="N190" s="8"/>
      <c r="O190" s="8"/>
      <c r="P190" s="8"/>
      <c r="Q190" s="8"/>
      <c r="R190" s="8"/>
      <c r="S190" s="8"/>
      <c r="T190" s="8"/>
      <c r="U190" s="12"/>
      <c r="V190" s="12"/>
      <c r="W190" s="12"/>
      <c r="X190" s="12"/>
      <c r="Y190" s="12"/>
      <c r="Z190" s="12"/>
      <c r="AA190" s="12"/>
      <c r="AB190" s="12"/>
      <c r="AC190" s="12"/>
      <c r="AD190" s="12"/>
      <c r="AE190" s="12"/>
      <c r="AF190" s="12"/>
    </row>
    <row r="191" spans="1:32" ht="13.2">
      <c r="A191" s="8"/>
      <c r="B191" s="8"/>
      <c r="C191" s="8"/>
      <c r="D191" s="8"/>
      <c r="E191" s="8"/>
      <c r="F191" s="8"/>
      <c r="G191" s="8"/>
      <c r="H191" s="8"/>
      <c r="I191" s="8"/>
      <c r="J191" s="8"/>
      <c r="K191" s="8"/>
      <c r="L191" s="8"/>
      <c r="M191" s="8"/>
      <c r="N191" s="8"/>
      <c r="O191" s="8"/>
      <c r="P191" s="8"/>
      <c r="Q191" s="8"/>
      <c r="R191" s="8"/>
      <c r="S191" s="8"/>
      <c r="T191" s="8"/>
      <c r="U191" s="12"/>
      <c r="V191" s="12"/>
      <c r="W191" s="12"/>
      <c r="X191" s="12"/>
      <c r="Y191" s="12"/>
      <c r="Z191" s="12"/>
      <c r="AA191" s="12"/>
      <c r="AB191" s="12"/>
      <c r="AC191" s="12"/>
      <c r="AD191" s="12"/>
      <c r="AE191" s="12"/>
      <c r="AF191" s="12"/>
    </row>
    <row r="192" spans="1:32" ht="13.2">
      <c r="A192" s="8"/>
      <c r="B192" s="8"/>
      <c r="C192" s="8"/>
      <c r="D192" s="8"/>
      <c r="E192" s="8"/>
      <c r="F192" s="8"/>
      <c r="G192" s="8"/>
      <c r="H192" s="8"/>
      <c r="I192" s="8"/>
      <c r="J192" s="8"/>
      <c r="K192" s="8"/>
      <c r="L192" s="8"/>
      <c r="M192" s="8"/>
      <c r="N192" s="8"/>
      <c r="O192" s="8"/>
      <c r="P192" s="8"/>
      <c r="Q192" s="8"/>
      <c r="R192" s="8"/>
      <c r="S192" s="8"/>
      <c r="T192" s="8"/>
      <c r="U192" s="12"/>
      <c r="V192" s="12"/>
      <c r="W192" s="12"/>
      <c r="X192" s="12"/>
      <c r="Y192" s="12"/>
      <c r="Z192" s="12"/>
      <c r="AA192" s="12"/>
      <c r="AB192" s="12"/>
      <c r="AC192" s="12"/>
      <c r="AD192" s="12"/>
      <c r="AE192" s="12"/>
      <c r="AF192" s="12"/>
    </row>
    <row r="193" spans="1:32" ht="13.2">
      <c r="A193" s="8"/>
      <c r="B193" s="8"/>
      <c r="C193" s="8"/>
      <c r="D193" s="8"/>
      <c r="E193" s="8"/>
      <c r="F193" s="8"/>
      <c r="G193" s="8"/>
      <c r="H193" s="8"/>
      <c r="I193" s="8"/>
      <c r="J193" s="8"/>
      <c r="K193" s="8"/>
      <c r="L193" s="8"/>
      <c r="M193" s="8"/>
      <c r="N193" s="8"/>
      <c r="O193" s="8"/>
      <c r="P193" s="8"/>
      <c r="Q193" s="8"/>
      <c r="R193" s="8"/>
      <c r="S193" s="8"/>
      <c r="T193" s="8"/>
      <c r="U193" s="12"/>
      <c r="V193" s="12"/>
      <c r="W193" s="12"/>
      <c r="X193" s="12"/>
      <c r="Y193" s="12"/>
      <c r="Z193" s="12"/>
      <c r="AA193" s="12"/>
      <c r="AB193" s="12"/>
      <c r="AC193" s="12"/>
      <c r="AD193" s="12"/>
      <c r="AE193" s="12"/>
      <c r="AF193" s="12"/>
    </row>
    <row r="194" spans="1:32" ht="13.2">
      <c r="A194" s="8"/>
      <c r="B194" s="8"/>
      <c r="C194" s="8"/>
      <c r="D194" s="8"/>
      <c r="E194" s="8"/>
      <c r="F194" s="8"/>
      <c r="G194" s="8"/>
      <c r="H194" s="8"/>
      <c r="I194" s="8"/>
      <c r="J194" s="8"/>
      <c r="K194" s="8"/>
      <c r="L194" s="8"/>
      <c r="M194" s="8"/>
      <c r="N194" s="8"/>
      <c r="O194" s="8"/>
      <c r="P194" s="8"/>
      <c r="Q194" s="8"/>
      <c r="R194" s="8"/>
      <c r="S194" s="8"/>
      <c r="T194" s="8"/>
      <c r="U194" s="12"/>
      <c r="V194" s="12"/>
      <c r="W194" s="12"/>
      <c r="X194" s="12"/>
      <c r="Y194" s="12"/>
      <c r="Z194" s="12"/>
      <c r="AA194" s="12"/>
      <c r="AB194" s="12"/>
      <c r="AC194" s="12"/>
      <c r="AD194" s="12"/>
      <c r="AE194" s="12"/>
      <c r="AF194" s="12"/>
    </row>
    <row r="195" spans="1:32" ht="13.2">
      <c r="A195" s="8"/>
      <c r="B195" s="8"/>
      <c r="C195" s="8"/>
      <c r="D195" s="8"/>
      <c r="E195" s="8"/>
      <c r="F195" s="8"/>
      <c r="G195" s="8"/>
      <c r="H195" s="8"/>
      <c r="I195" s="8"/>
      <c r="J195" s="8"/>
      <c r="K195" s="8"/>
      <c r="L195" s="8"/>
      <c r="M195" s="8"/>
      <c r="N195" s="8"/>
      <c r="O195" s="8"/>
      <c r="P195" s="8"/>
      <c r="Q195" s="8"/>
      <c r="R195" s="8"/>
      <c r="S195" s="8"/>
      <c r="T195" s="8"/>
      <c r="U195" s="12"/>
      <c r="V195" s="12"/>
      <c r="W195" s="12"/>
      <c r="X195" s="12"/>
      <c r="Y195" s="12"/>
      <c r="Z195" s="12"/>
      <c r="AA195" s="12"/>
      <c r="AB195" s="12"/>
      <c r="AC195" s="12"/>
      <c r="AD195" s="12"/>
      <c r="AE195" s="12"/>
      <c r="AF195" s="12"/>
    </row>
    <row r="196" spans="1:32" ht="13.2">
      <c r="A196" s="8"/>
      <c r="B196" s="8"/>
      <c r="C196" s="8"/>
      <c r="D196" s="8"/>
      <c r="E196" s="8"/>
      <c r="F196" s="8"/>
      <c r="G196" s="8"/>
      <c r="H196" s="8"/>
      <c r="I196" s="8"/>
      <c r="J196" s="8"/>
      <c r="K196" s="8"/>
      <c r="L196" s="8"/>
      <c r="M196" s="8"/>
      <c r="N196" s="8"/>
      <c r="O196" s="8"/>
      <c r="P196" s="8"/>
      <c r="Q196" s="8"/>
      <c r="R196" s="8"/>
      <c r="S196" s="8"/>
      <c r="T196" s="8"/>
      <c r="U196" s="12"/>
      <c r="V196" s="12"/>
      <c r="W196" s="12"/>
      <c r="X196" s="12"/>
      <c r="Y196" s="12"/>
      <c r="Z196" s="12"/>
      <c r="AA196" s="12"/>
      <c r="AB196" s="12"/>
      <c r="AC196" s="12"/>
      <c r="AD196" s="12"/>
      <c r="AE196" s="12"/>
      <c r="AF196" s="12"/>
    </row>
    <row r="197" spans="1:32" ht="13.2">
      <c r="A197" s="8"/>
      <c r="B197" s="8"/>
      <c r="C197" s="8"/>
      <c r="D197" s="8"/>
      <c r="E197" s="8"/>
      <c r="F197" s="8"/>
      <c r="G197" s="8"/>
      <c r="H197" s="8"/>
      <c r="I197" s="8"/>
      <c r="J197" s="8"/>
      <c r="K197" s="8"/>
      <c r="L197" s="8"/>
      <c r="M197" s="8"/>
      <c r="N197" s="8"/>
      <c r="O197" s="8"/>
      <c r="P197" s="8"/>
      <c r="Q197" s="8"/>
      <c r="R197" s="8"/>
      <c r="S197" s="8"/>
      <c r="T197" s="8"/>
      <c r="U197" s="12"/>
      <c r="V197" s="12"/>
      <c r="W197" s="12"/>
      <c r="X197" s="12"/>
      <c r="Y197" s="12"/>
      <c r="Z197" s="12"/>
      <c r="AA197" s="12"/>
      <c r="AB197" s="12"/>
      <c r="AC197" s="12"/>
      <c r="AD197" s="12"/>
      <c r="AE197" s="12"/>
      <c r="AF197" s="12"/>
    </row>
    <row r="198" spans="1:32" ht="13.2">
      <c r="A198" s="8"/>
      <c r="B198" s="8"/>
      <c r="C198" s="8"/>
      <c r="D198" s="8"/>
      <c r="E198" s="8"/>
      <c r="F198" s="8"/>
      <c r="G198" s="8"/>
      <c r="H198" s="8"/>
      <c r="I198" s="8"/>
      <c r="J198" s="8"/>
      <c r="K198" s="8"/>
      <c r="L198" s="8"/>
      <c r="M198" s="8"/>
      <c r="N198" s="8"/>
      <c r="O198" s="8"/>
      <c r="P198" s="8"/>
      <c r="Q198" s="8"/>
      <c r="R198" s="8"/>
      <c r="S198" s="8"/>
      <c r="T198" s="8"/>
      <c r="U198" s="12"/>
      <c r="V198" s="12"/>
      <c r="W198" s="12"/>
      <c r="X198" s="12"/>
      <c r="Y198" s="12"/>
      <c r="Z198" s="12"/>
      <c r="AA198" s="12"/>
      <c r="AB198" s="12"/>
      <c r="AC198" s="12"/>
      <c r="AD198" s="12"/>
      <c r="AE198" s="12"/>
      <c r="AF198" s="12"/>
    </row>
    <row r="199" spans="1:32" ht="13.2">
      <c r="A199" s="8"/>
      <c r="B199" s="8"/>
      <c r="C199" s="8"/>
      <c r="D199" s="8"/>
      <c r="E199" s="8"/>
      <c r="F199" s="8"/>
      <c r="G199" s="8"/>
      <c r="H199" s="8"/>
      <c r="I199" s="8"/>
      <c r="J199" s="8"/>
      <c r="K199" s="8"/>
      <c r="L199" s="8"/>
      <c r="M199" s="8"/>
      <c r="N199" s="8"/>
      <c r="O199" s="8"/>
      <c r="P199" s="8"/>
      <c r="Q199" s="8"/>
      <c r="R199" s="8"/>
      <c r="S199" s="8"/>
      <c r="T199" s="8"/>
      <c r="U199" s="12"/>
      <c r="V199" s="12"/>
      <c r="W199" s="12"/>
      <c r="X199" s="12"/>
      <c r="Y199" s="12"/>
      <c r="Z199" s="12"/>
      <c r="AA199" s="12"/>
      <c r="AB199" s="12"/>
      <c r="AC199" s="12"/>
      <c r="AD199" s="12"/>
      <c r="AE199" s="12"/>
      <c r="AF199" s="12"/>
    </row>
    <row r="200" spans="1:32" ht="13.2">
      <c r="A200" s="8"/>
      <c r="B200" s="8"/>
      <c r="C200" s="8"/>
      <c r="D200" s="8"/>
      <c r="E200" s="8"/>
      <c r="F200" s="8"/>
      <c r="G200" s="8"/>
      <c r="H200" s="8"/>
      <c r="I200" s="8"/>
      <c r="J200" s="8"/>
      <c r="K200" s="8"/>
      <c r="L200" s="8"/>
      <c r="M200" s="8"/>
      <c r="N200" s="8"/>
      <c r="O200" s="8"/>
      <c r="P200" s="8"/>
      <c r="Q200" s="8"/>
      <c r="R200" s="8"/>
      <c r="S200" s="8"/>
      <c r="T200" s="8"/>
      <c r="U200" s="12"/>
      <c r="V200" s="12"/>
      <c r="W200" s="12"/>
      <c r="X200" s="12"/>
      <c r="Y200" s="12"/>
      <c r="Z200" s="12"/>
      <c r="AA200" s="12"/>
      <c r="AB200" s="12"/>
      <c r="AC200" s="12"/>
      <c r="AD200" s="12"/>
      <c r="AE200" s="12"/>
      <c r="AF200" s="12"/>
    </row>
    <row r="201" spans="1:32" ht="13.2">
      <c r="A201" s="8"/>
      <c r="B201" s="8"/>
      <c r="C201" s="8"/>
      <c r="D201" s="8"/>
      <c r="E201" s="8"/>
      <c r="F201" s="8"/>
      <c r="G201" s="8"/>
      <c r="H201" s="8"/>
      <c r="I201" s="8"/>
      <c r="J201" s="8"/>
      <c r="K201" s="8"/>
      <c r="L201" s="8"/>
      <c r="M201" s="8"/>
      <c r="N201" s="8"/>
      <c r="O201" s="8"/>
      <c r="P201" s="8"/>
      <c r="Q201" s="8"/>
      <c r="R201" s="8"/>
      <c r="S201" s="8"/>
      <c r="T201" s="8"/>
      <c r="U201" s="12"/>
      <c r="V201" s="12"/>
      <c r="W201" s="12"/>
      <c r="X201" s="12"/>
      <c r="Y201" s="12"/>
      <c r="Z201" s="12"/>
      <c r="AA201" s="12"/>
      <c r="AB201" s="12"/>
      <c r="AC201" s="12"/>
      <c r="AD201" s="12"/>
      <c r="AE201" s="12"/>
      <c r="AF201" s="12"/>
    </row>
    <row r="202" spans="1:32" ht="13.2">
      <c r="A202" s="8"/>
      <c r="B202" s="8"/>
      <c r="C202" s="8"/>
      <c r="D202" s="8"/>
      <c r="E202" s="8"/>
      <c r="F202" s="8"/>
      <c r="G202" s="8"/>
      <c r="H202" s="8"/>
      <c r="I202" s="8"/>
      <c r="J202" s="8"/>
      <c r="K202" s="8"/>
      <c r="L202" s="8"/>
      <c r="M202" s="8"/>
      <c r="N202" s="8"/>
      <c r="O202" s="8"/>
      <c r="P202" s="8"/>
      <c r="Q202" s="8"/>
      <c r="R202" s="8"/>
      <c r="S202" s="8"/>
      <c r="T202" s="8"/>
      <c r="U202" s="12"/>
      <c r="V202" s="12"/>
      <c r="W202" s="12"/>
      <c r="X202" s="12"/>
      <c r="Y202" s="12"/>
      <c r="Z202" s="12"/>
      <c r="AA202" s="12"/>
      <c r="AB202" s="12"/>
      <c r="AC202" s="12"/>
      <c r="AD202" s="12"/>
      <c r="AE202" s="12"/>
      <c r="AF202" s="12"/>
    </row>
    <row r="203" spans="1:32" ht="13.2">
      <c r="A203" s="8"/>
      <c r="B203" s="8"/>
      <c r="C203" s="8"/>
      <c r="D203" s="8"/>
      <c r="E203" s="8"/>
      <c r="F203" s="8"/>
      <c r="G203" s="8"/>
      <c r="H203" s="8"/>
      <c r="I203" s="8"/>
      <c r="J203" s="8"/>
      <c r="K203" s="8"/>
      <c r="L203" s="8"/>
      <c r="M203" s="8"/>
      <c r="N203" s="8"/>
      <c r="O203" s="8"/>
      <c r="P203" s="8"/>
      <c r="Q203" s="8"/>
      <c r="R203" s="8"/>
      <c r="S203" s="8"/>
      <c r="T203" s="8"/>
      <c r="U203" s="12"/>
      <c r="V203" s="12"/>
      <c r="W203" s="12"/>
      <c r="X203" s="12"/>
      <c r="Y203" s="12"/>
      <c r="Z203" s="12"/>
      <c r="AA203" s="12"/>
      <c r="AB203" s="12"/>
      <c r="AC203" s="12"/>
      <c r="AD203" s="12"/>
      <c r="AE203" s="12"/>
      <c r="AF203" s="12"/>
    </row>
    <row r="204" spans="1:32" ht="13.2">
      <c r="A204" s="8"/>
      <c r="B204" s="8"/>
      <c r="C204" s="8"/>
      <c r="D204" s="8"/>
      <c r="E204" s="8"/>
      <c r="F204" s="8"/>
      <c r="G204" s="8"/>
      <c r="H204" s="8"/>
      <c r="I204" s="8"/>
      <c r="J204" s="8"/>
      <c r="K204" s="8"/>
      <c r="L204" s="8"/>
      <c r="M204" s="8"/>
      <c r="N204" s="8"/>
      <c r="O204" s="8"/>
      <c r="P204" s="8"/>
      <c r="Q204" s="8"/>
      <c r="R204" s="8"/>
      <c r="S204" s="8"/>
      <c r="T204" s="8"/>
      <c r="U204" s="12"/>
      <c r="V204" s="12"/>
      <c r="W204" s="12"/>
      <c r="X204" s="12"/>
      <c r="Y204" s="12"/>
      <c r="Z204" s="12"/>
      <c r="AA204" s="12"/>
      <c r="AB204" s="12"/>
      <c r="AC204" s="12"/>
      <c r="AD204" s="12"/>
      <c r="AE204" s="12"/>
      <c r="AF204" s="12"/>
    </row>
    <row r="205" spans="1:32" ht="13.2">
      <c r="A205" s="8"/>
      <c r="B205" s="8"/>
      <c r="C205" s="8"/>
      <c r="D205" s="8"/>
      <c r="E205" s="8"/>
      <c r="F205" s="8"/>
      <c r="G205" s="8"/>
      <c r="H205" s="8"/>
      <c r="I205" s="8"/>
      <c r="J205" s="8"/>
      <c r="K205" s="8"/>
      <c r="L205" s="8"/>
      <c r="M205" s="8"/>
      <c r="N205" s="8"/>
      <c r="O205" s="8"/>
      <c r="P205" s="8"/>
      <c r="Q205" s="8"/>
      <c r="R205" s="8"/>
      <c r="S205" s="8"/>
      <c r="T205" s="8"/>
      <c r="U205" s="12"/>
      <c r="V205" s="12"/>
      <c r="W205" s="12"/>
      <c r="X205" s="12"/>
      <c r="Y205" s="12"/>
      <c r="Z205" s="12"/>
      <c r="AA205" s="12"/>
      <c r="AB205" s="12"/>
      <c r="AC205" s="12"/>
      <c r="AD205" s="12"/>
      <c r="AE205" s="12"/>
      <c r="AF205" s="12"/>
    </row>
    <row r="206" spans="1:32" ht="13.2">
      <c r="A206" s="8"/>
      <c r="B206" s="8"/>
      <c r="C206" s="8"/>
      <c r="D206" s="8"/>
      <c r="E206" s="8"/>
      <c r="F206" s="8"/>
      <c r="G206" s="8"/>
      <c r="H206" s="8"/>
      <c r="I206" s="8"/>
      <c r="J206" s="8"/>
      <c r="K206" s="8"/>
      <c r="L206" s="8"/>
      <c r="M206" s="8"/>
      <c r="N206" s="8"/>
      <c r="O206" s="8"/>
      <c r="P206" s="8"/>
      <c r="Q206" s="8"/>
      <c r="R206" s="8"/>
      <c r="S206" s="8"/>
      <c r="T206" s="8"/>
      <c r="U206" s="12"/>
      <c r="V206" s="12"/>
      <c r="W206" s="12"/>
      <c r="X206" s="12"/>
      <c r="Y206" s="12"/>
      <c r="Z206" s="12"/>
      <c r="AA206" s="12"/>
      <c r="AB206" s="12"/>
      <c r="AC206" s="12"/>
      <c r="AD206" s="12"/>
      <c r="AE206" s="12"/>
      <c r="AF206" s="12"/>
    </row>
    <row r="207" spans="1:32" ht="13.2">
      <c r="A207" s="8"/>
      <c r="B207" s="8"/>
      <c r="C207" s="8"/>
      <c r="D207" s="8"/>
      <c r="E207" s="8"/>
      <c r="F207" s="8"/>
      <c r="G207" s="8"/>
      <c r="H207" s="8"/>
      <c r="I207" s="8"/>
      <c r="J207" s="8"/>
      <c r="K207" s="8"/>
      <c r="L207" s="8"/>
      <c r="M207" s="8"/>
      <c r="N207" s="8"/>
      <c r="O207" s="8"/>
      <c r="P207" s="8"/>
      <c r="Q207" s="8"/>
      <c r="R207" s="8"/>
      <c r="S207" s="8"/>
      <c r="T207" s="8"/>
      <c r="U207" s="12"/>
      <c r="V207" s="12"/>
      <c r="W207" s="12"/>
      <c r="X207" s="12"/>
      <c r="Y207" s="12"/>
      <c r="Z207" s="12"/>
      <c r="AA207" s="12"/>
      <c r="AB207" s="12"/>
      <c r="AC207" s="12"/>
      <c r="AD207" s="12"/>
      <c r="AE207" s="12"/>
      <c r="AF207" s="12"/>
    </row>
    <row r="208" spans="1:32" ht="13.2">
      <c r="A208" s="8"/>
      <c r="B208" s="8"/>
      <c r="C208" s="8"/>
      <c r="D208" s="8"/>
      <c r="E208" s="8"/>
      <c r="F208" s="8"/>
      <c r="G208" s="8"/>
      <c r="H208" s="8"/>
      <c r="I208" s="8"/>
      <c r="J208" s="8"/>
      <c r="K208" s="8"/>
      <c r="L208" s="8"/>
      <c r="M208" s="8"/>
      <c r="N208" s="8"/>
      <c r="O208" s="8"/>
      <c r="P208" s="8"/>
      <c r="Q208" s="8"/>
      <c r="R208" s="8"/>
      <c r="S208" s="8"/>
      <c r="T208" s="8"/>
      <c r="U208" s="12"/>
      <c r="V208" s="12"/>
      <c r="W208" s="12"/>
      <c r="X208" s="12"/>
      <c r="Y208" s="12"/>
      <c r="Z208" s="12"/>
      <c r="AA208" s="12"/>
      <c r="AB208" s="12"/>
      <c r="AC208" s="12"/>
      <c r="AD208" s="12"/>
      <c r="AE208" s="12"/>
      <c r="AF208" s="12"/>
    </row>
    <row r="209" spans="1:32" ht="13.2">
      <c r="A209" s="8"/>
      <c r="B209" s="8"/>
      <c r="C209" s="8"/>
      <c r="D209" s="8"/>
      <c r="E209" s="8"/>
      <c r="F209" s="8"/>
      <c r="G209" s="8"/>
      <c r="H209" s="8"/>
      <c r="I209" s="8"/>
      <c r="J209" s="8"/>
      <c r="K209" s="8"/>
      <c r="L209" s="8"/>
      <c r="M209" s="8"/>
      <c r="N209" s="8"/>
      <c r="O209" s="8"/>
      <c r="P209" s="8"/>
      <c r="Q209" s="8"/>
      <c r="R209" s="8"/>
      <c r="S209" s="8"/>
      <c r="T209" s="8"/>
      <c r="U209" s="12"/>
      <c r="V209" s="12"/>
      <c r="W209" s="12"/>
      <c r="X209" s="12"/>
      <c r="Y209" s="12"/>
      <c r="Z209" s="12"/>
      <c r="AA209" s="12"/>
      <c r="AB209" s="12"/>
      <c r="AC209" s="12"/>
      <c r="AD209" s="12"/>
      <c r="AE209" s="12"/>
      <c r="AF209" s="12"/>
    </row>
    <row r="210" spans="1:32" ht="13.2">
      <c r="A210" s="8"/>
      <c r="B210" s="8"/>
      <c r="C210" s="8"/>
      <c r="D210" s="8"/>
      <c r="E210" s="8"/>
      <c r="F210" s="8"/>
      <c r="G210" s="8"/>
      <c r="H210" s="8"/>
      <c r="I210" s="8"/>
      <c r="J210" s="8"/>
      <c r="K210" s="8"/>
      <c r="L210" s="8"/>
      <c r="M210" s="8"/>
      <c r="N210" s="8"/>
      <c r="O210" s="8"/>
      <c r="P210" s="8"/>
      <c r="Q210" s="8"/>
      <c r="R210" s="8"/>
      <c r="S210" s="8"/>
      <c r="T210" s="8"/>
      <c r="U210" s="12"/>
      <c r="V210" s="12"/>
      <c r="W210" s="12"/>
      <c r="X210" s="12"/>
      <c r="Y210" s="12"/>
      <c r="Z210" s="12"/>
      <c r="AA210" s="12"/>
      <c r="AB210" s="12"/>
      <c r="AC210" s="12"/>
      <c r="AD210" s="12"/>
      <c r="AE210" s="12"/>
      <c r="AF210" s="12"/>
    </row>
    <row r="211" spans="1:32" ht="13.2">
      <c r="A211" s="8"/>
      <c r="B211" s="8"/>
      <c r="C211" s="8"/>
      <c r="D211" s="8"/>
      <c r="E211" s="8"/>
      <c r="F211" s="8"/>
      <c r="G211" s="8"/>
      <c r="H211" s="8"/>
      <c r="I211" s="8"/>
      <c r="J211" s="8"/>
      <c r="K211" s="8"/>
      <c r="L211" s="8"/>
      <c r="M211" s="8"/>
      <c r="N211" s="8"/>
      <c r="O211" s="8"/>
      <c r="P211" s="8"/>
      <c r="Q211" s="8"/>
      <c r="R211" s="8"/>
      <c r="S211" s="8"/>
      <c r="T211" s="8"/>
      <c r="U211" s="12"/>
      <c r="V211" s="12"/>
      <c r="W211" s="12"/>
      <c r="X211" s="12"/>
      <c r="Y211" s="12"/>
      <c r="Z211" s="12"/>
      <c r="AA211" s="12"/>
      <c r="AB211" s="12"/>
      <c r="AC211" s="12"/>
      <c r="AD211" s="12"/>
      <c r="AE211" s="12"/>
      <c r="AF211" s="12"/>
    </row>
    <row r="212" spans="1:32" ht="13.2">
      <c r="A212" s="8"/>
      <c r="B212" s="8"/>
      <c r="C212" s="8"/>
      <c r="D212" s="8"/>
      <c r="E212" s="8"/>
      <c r="F212" s="8"/>
      <c r="G212" s="8"/>
      <c r="H212" s="8"/>
      <c r="I212" s="8"/>
      <c r="J212" s="8"/>
      <c r="K212" s="8"/>
      <c r="L212" s="8"/>
      <c r="M212" s="8"/>
      <c r="N212" s="8"/>
      <c r="O212" s="8"/>
      <c r="P212" s="8"/>
      <c r="Q212" s="8"/>
      <c r="R212" s="8"/>
      <c r="S212" s="8"/>
      <c r="T212" s="8"/>
      <c r="U212" s="12"/>
      <c r="V212" s="12"/>
      <c r="W212" s="12"/>
      <c r="X212" s="12"/>
      <c r="Y212" s="12"/>
      <c r="Z212" s="12"/>
      <c r="AA212" s="12"/>
      <c r="AB212" s="12"/>
      <c r="AC212" s="12"/>
      <c r="AD212" s="12"/>
      <c r="AE212" s="12"/>
      <c r="AF212" s="12"/>
    </row>
    <row r="213" spans="1:32" ht="13.2">
      <c r="A213" s="8"/>
      <c r="B213" s="8"/>
      <c r="C213" s="8"/>
      <c r="D213" s="8"/>
      <c r="E213" s="8"/>
      <c r="F213" s="8"/>
      <c r="G213" s="8"/>
      <c r="H213" s="8"/>
      <c r="I213" s="8"/>
      <c r="J213" s="8"/>
      <c r="K213" s="8"/>
      <c r="L213" s="8"/>
      <c r="M213" s="8"/>
      <c r="N213" s="8"/>
      <c r="O213" s="8"/>
      <c r="P213" s="8"/>
      <c r="Q213" s="8"/>
      <c r="R213" s="8"/>
      <c r="S213" s="8"/>
      <c r="T213" s="8"/>
      <c r="U213" s="12"/>
      <c r="V213" s="12"/>
      <c r="W213" s="12"/>
      <c r="X213" s="12"/>
      <c r="Y213" s="12"/>
      <c r="Z213" s="12"/>
      <c r="AA213" s="12"/>
      <c r="AB213" s="12"/>
      <c r="AC213" s="12"/>
      <c r="AD213" s="12"/>
      <c r="AE213" s="12"/>
      <c r="AF213" s="12"/>
    </row>
    <row r="214" spans="1:32" ht="13.2">
      <c r="A214" s="8"/>
      <c r="B214" s="8"/>
      <c r="C214" s="8"/>
      <c r="D214" s="8"/>
      <c r="E214" s="8"/>
      <c r="F214" s="8"/>
      <c r="G214" s="8"/>
      <c r="H214" s="8"/>
      <c r="I214" s="8"/>
      <c r="J214" s="8"/>
      <c r="K214" s="8"/>
      <c r="L214" s="8"/>
      <c r="M214" s="8"/>
      <c r="N214" s="8"/>
      <c r="O214" s="8"/>
      <c r="P214" s="8"/>
      <c r="Q214" s="8"/>
      <c r="R214" s="8"/>
      <c r="S214" s="8"/>
      <c r="T214" s="8"/>
      <c r="U214" s="12"/>
      <c r="V214" s="12"/>
      <c r="W214" s="12"/>
      <c r="X214" s="12"/>
      <c r="Y214" s="12"/>
      <c r="Z214" s="12"/>
      <c r="AA214" s="12"/>
      <c r="AB214" s="12"/>
      <c r="AC214" s="12"/>
      <c r="AD214" s="12"/>
      <c r="AE214" s="12"/>
      <c r="AF214" s="12"/>
    </row>
    <row r="215" spans="1:32" ht="13.2">
      <c r="A215" s="8"/>
      <c r="B215" s="8"/>
      <c r="C215" s="8"/>
      <c r="D215" s="8"/>
      <c r="E215" s="8"/>
      <c r="F215" s="8"/>
      <c r="G215" s="8"/>
      <c r="H215" s="8"/>
      <c r="I215" s="8"/>
      <c r="J215" s="8"/>
      <c r="K215" s="8"/>
      <c r="L215" s="8"/>
      <c r="M215" s="8"/>
      <c r="N215" s="8"/>
      <c r="O215" s="8"/>
      <c r="P215" s="8"/>
      <c r="Q215" s="8"/>
      <c r="R215" s="8"/>
      <c r="S215" s="8"/>
      <c r="T215" s="8"/>
      <c r="U215" s="12"/>
      <c r="V215" s="12"/>
      <c r="W215" s="12"/>
      <c r="X215" s="12"/>
      <c r="Y215" s="12"/>
      <c r="Z215" s="12"/>
      <c r="AA215" s="12"/>
      <c r="AB215" s="12"/>
      <c r="AC215" s="12"/>
      <c r="AD215" s="12"/>
      <c r="AE215" s="12"/>
      <c r="AF215" s="12"/>
    </row>
    <row r="216" spans="1:32" ht="13.2">
      <c r="A216" s="8"/>
      <c r="B216" s="8"/>
      <c r="C216" s="8"/>
      <c r="D216" s="8"/>
      <c r="E216" s="8"/>
      <c r="F216" s="8"/>
      <c r="G216" s="8"/>
      <c r="H216" s="8"/>
      <c r="I216" s="8"/>
      <c r="J216" s="8"/>
      <c r="K216" s="8"/>
      <c r="L216" s="8"/>
      <c r="M216" s="8"/>
      <c r="N216" s="8"/>
      <c r="O216" s="8"/>
      <c r="P216" s="8"/>
      <c r="Q216" s="8"/>
      <c r="R216" s="8"/>
      <c r="S216" s="8"/>
      <c r="T216" s="8"/>
      <c r="U216" s="12"/>
      <c r="V216" s="12"/>
      <c r="W216" s="12"/>
      <c r="X216" s="12"/>
      <c r="Y216" s="12"/>
      <c r="Z216" s="12"/>
      <c r="AA216" s="12"/>
      <c r="AB216" s="12"/>
      <c r="AC216" s="12"/>
      <c r="AD216" s="12"/>
      <c r="AE216" s="12"/>
      <c r="AF216" s="12"/>
    </row>
    <row r="217" spans="1:32" ht="13.2">
      <c r="A217" s="8"/>
      <c r="B217" s="8"/>
      <c r="C217" s="8"/>
      <c r="D217" s="8"/>
      <c r="E217" s="8"/>
      <c r="F217" s="8"/>
      <c r="G217" s="8"/>
      <c r="H217" s="8"/>
      <c r="I217" s="8"/>
      <c r="J217" s="8"/>
      <c r="K217" s="8"/>
      <c r="L217" s="8"/>
      <c r="M217" s="8"/>
      <c r="N217" s="8"/>
      <c r="O217" s="8"/>
      <c r="P217" s="8"/>
      <c r="Q217" s="8"/>
      <c r="R217" s="8"/>
      <c r="S217" s="8"/>
      <c r="T217" s="8"/>
      <c r="U217" s="12"/>
      <c r="V217" s="12"/>
      <c r="W217" s="12"/>
      <c r="X217" s="12"/>
      <c r="Y217" s="12"/>
      <c r="Z217" s="12"/>
      <c r="AA217" s="12"/>
      <c r="AB217" s="12"/>
      <c r="AC217" s="12"/>
      <c r="AD217" s="12"/>
      <c r="AE217" s="12"/>
      <c r="AF217" s="12"/>
    </row>
    <row r="218" spans="1:32" ht="13.2">
      <c r="A218" s="8"/>
      <c r="B218" s="8"/>
      <c r="C218" s="8"/>
      <c r="D218" s="8"/>
      <c r="E218" s="8"/>
      <c r="F218" s="8"/>
      <c r="G218" s="8"/>
      <c r="H218" s="8"/>
      <c r="I218" s="8"/>
      <c r="J218" s="8"/>
      <c r="K218" s="8"/>
      <c r="L218" s="8"/>
      <c r="M218" s="8"/>
      <c r="N218" s="8"/>
      <c r="O218" s="8"/>
      <c r="P218" s="8"/>
      <c r="Q218" s="8"/>
      <c r="R218" s="8"/>
      <c r="S218" s="8"/>
      <c r="T218" s="8"/>
      <c r="U218" s="12"/>
      <c r="V218" s="12"/>
      <c r="W218" s="12"/>
      <c r="X218" s="12"/>
      <c r="Y218" s="12"/>
      <c r="Z218" s="12"/>
      <c r="AA218" s="12"/>
      <c r="AB218" s="12"/>
      <c r="AC218" s="12"/>
      <c r="AD218" s="12"/>
      <c r="AE218" s="12"/>
      <c r="AF218" s="12"/>
    </row>
    <row r="219" spans="1:32" ht="13.2">
      <c r="A219" s="8"/>
      <c r="B219" s="8"/>
      <c r="C219" s="8"/>
      <c r="D219" s="8"/>
      <c r="E219" s="8"/>
      <c r="F219" s="8"/>
      <c r="G219" s="8"/>
      <c r="H219" s="8"/>
      <c r="I219" s="8"/>
      <c r="J219" s="8"/>
      <c r="K219" s="8"/>
      <c r="L219" s="8"/>
      <c r="M219" s="8"/>
      <c r="N219" s="8"/>
      <c r="O219" s="8"/>
      <c r="P219" s="8"/>
      <c r="Q219" s="8"/>
      <c r="R219" s="8"/>
      <c r="S219" s="8"/>
      <c r="T219" s="8"/>
      <c r="U219" s="12"/>
      <c r="V219" s="12"/>
      <c r="W219" s="12"/>
      <c r="X219" s="12"/>
      <c r="Y219" s="12"/>
      <c r="Z219" s="12"/>
      <c r="AA219" s="12"/>
      <c r="AB219" s="12"/>
      <c r="AC219" s="12"/>
      <c r="AD219" s="12"/>
      <c r="AE219" s="12"/>
      <c r="AF219" s="12"/>
    </row>
    <row r="220" spans="1:32" ht="13.2">
      <c r="A220" s="8"/>
      <c r="B220" s="8"/>
      <c r="C220" s="8"/>
      <c r="D220" s="8"/>
      <c r="E220" s="8"/>
      <c r="F220" s="8"/>
      <c r="G220" s="8"/>
      <c r="H220" s="8"/>
      <c r="I220" s="8"/>
      <c r="J220" s="8"/>
      <c r="K220" s="8"/>
      <c r="L220" s="8"/>
      <c r="M220" s="8"/>
      <c r="N220" s="8"/>
      <c r="O220" s="8"/>
      <c r="P220" s="8"/>
      <c r="Q220" s="8"/>
      <c r="R220" s="8"/>
      <c r="S220" s="8"/>
      <c r="T220" s="8"/>
      <c r="U220" s="12"/>
      <c r="V220" s="12"/>
      <c r="W220" s="12"/>
      <c r="X220" s="12"/>
      <c r="Y220" s="12"/>
      <c r="Z220" s="12"/>
      <c r="AA220" s="12"/>
      <c r="AB220" s="12"/>
      <c r="AC220" s="12"/>
      <c r="AD220" s="12"/>
      <c r="AE220" s="12"/>
      <c r="AF220" s="12"/>
    </row>
    <row r="221" spans="1:32" ht="13.2">
      <c r="A221" s="8"/>
      <c r="B221" s="8"/>
      <c r="C221" s="8"/>
      <c r="D221" s="8"/>
      <c r="E221" s="8"/>
      <c r="F221" s="8"/>
      <c r="G221" s="8"/>
      <c r="H221" s="8"/>
      <c r="I221" s="8"/>
      <c r="J221" s="8"/>
      <c r="K221" s="8"/>
      <c r="L221" s="8"/>
      <c r="M221" s="8"/>
      <c r="N221" s="8"/>
      <c r="O221" s="8"/>
      <c r="P221" s="8"/>
      <c r="Q221" s="8"/>
      <c r="R221" s="8"/>
      <c r="S221" s="8"/>
      <c r="T221" s="8"/>
      <c r="U221" s="12"/>
      <c r="V221" s="12"/>
      <c r="W221" s="12"/>
      <c r="X221" s="12"/>
      <c r="Y221" s="12"/>
      <c r="Z221" s="12"/>
      <c r="AA221" s="12"/>
      <c r="AB221" s="12"/>
      <c r="AC221" s="12"/>
      <c r="AD221" s="12"/>
      <c r="AE221" s="12"/>
      <c r="AF221" s="12"/>
    </row>
    <row r="222" spans="1:32" ht="13.2">
      <c r="A222" s="8"/>
      <c r="B222" s="8"/>
      <c r="C222" s="8"/>
      <c r="D222" s="8"/>
      <c r="E222" s="8"/>
      <c r="F222" s="8"/>
      <c r="G222" s="8"/>
      <c r="H222" s="8"/>
      <c r="I222" s="8"/>
      <c r="J222" s="8"/>
      <c r="K222" s="8"/>
      <c r="L222" s="8"/>
      <c r="M222" s="8"/>
      <c r="N222" s="8"/>
      <c r="O222" s="8"/>
      <c r="P222" s="8"/>
      <c r="Q222" s="8"/>
      <c r="R222" s="8"/>
      <c r="S222" s="8"/>
      <c r="T222" s="8"/>
      <c r="U222" s="12"/>
      <c r="V222" s="12"/>
      <c r="W222" s="12"/>
      <c r="X222" s="12"/>
      <c r="Y222" s="12"/>
      <c r="Z222" s="12"/>
      <c r="AA222" s="12"/>
      <c r="AB222" s="12"/>
      <c r="AC222" s="12"/>
      <c r="AD222" s="12"/>
      <c r="AE222" s="12"/>
      <c r="AF222" s="12"/>
    </row>
    <row r="223" spans="1:32" ht="13.2">
      <c r="A223" s="8"/>
      <c r="B223" s="8"/>
      <c r="C223" s="8"/>
      <c r="D223" s="8"/>
      <c r="E223" s="8"/>
      <c r="F223" s="8"/>
      <c r="G223" s="8"/>
      <c r="H223" s="8"/>
      <c r="I223" s="8"/>
      <c r="J223" s="8"/>
      <c r="K223" s="8"/>
      <c r="L223" s="8"/>
      <c r="M223" s="8"/>
      <c r="N223" s="8"/>
      <c r="O223" s="8"/>
      <c r="P223" s="8"/>
      <c r="Q223" s="8"/>
      <c r="R223" s="8"/>
      <c r="S223" s="8"/>
      <c r="T223" s="8"/>
      <c r="U223" s="12"/>
      <c r="V223" s="12"/>
      <c r="W223" s="12"/>
      <c r="X223" s="12"/>
      <c r="Y223" s="12"/>
      <c r="Z223" s="12"/>
      <c r="AA223" s="12"/>
      <c r="AB223" s="12"/>
      <c r="AC223" s="12"/>
      <c r="AD223" s="12"/>
      <c r="AE223" s="12"/>
      <c r="AF223" s="12"/>
    </row>
    <row r="224" spans="1:32" ht="13.2">
      <c r="A224" s="8"/>
      <c r="B224" s="8"/>
      <c r="C224" s="8"/>
      <c r="D224" s="8"/>
      <c r="E224" s="8"/>
      <c r="F224" s="8"/>
      <c r="G224" s="8"/>
      <c r="H224" s="8"/>
      <c r="I224" s="8"/>
      <c r="J224" s="8"/>
      <c r="K224" s="8"/>
      <c r="L224" s="8"/>
      <c r="M224" s="8"/>
      <c r="N224" s="8"/>
      <c r="O224" s="8"/>
      <c r="P224" s="8"/>
      <c r="Q224" s="8"/>
      <c r="R224" s="8"/>
      <c r="S224" s="8"/>
      <c r="T224" s="8"/>
      <c r="U224" s="12"/>
      <c r="V224" s="12"/>
      <c r="W224" s="12"/>
      <c r="X224" s="12"/>
      <c r="Y224" s="12"/>
      <c r="Z224" s="12"/>
      <c r="AA224" s="12"/>
      <c r="AB224" s="12"/>
      <c r="AC224" s="12"/>
      <c r="AD224" s="12"/>
      <c r="AE224" s="12"/>
      <c r="AF224" s="12"/>
    </row>
    <row r="225" spans="1:32" ht="13.2">
      <c r="A225" s="8"/>
      <c r="B225" s="8"/>
      <c r="C225" s="8"/>
      <c r="D225" s="8"/>
      <c r="E225" s="8"/>
      <c r="F225" s="8"/>
      <c r="G225" s="8"/>
      <c r="H225" s="8"/>
      <c r="I225" s="8"/>
      <c r="J225" s="8"/>
      <c r="K225" s="8"/>
      <c r="L225" s="8"/>
      <c r="M225" s="8"/>
      <c r="N225" s="8"/>
      <c r="O225" s="8"/>
      <c r="P225" s="8"/>
      <c r="Q225" s="8"/>
      <c r="R225" s="8"/>
      <c r="S225" s="8"/>
      <c r="T225" s="8"/>
      <c r="U225" s="12"/>
      <c r="V225" s="12"/>
      <c r="W225" s="12"/>
      <c r="X225" s="12"/>
      <c r="Y225" s="12"/>
      <c r="Z225" s="12"/>
      <c r="AA225" s="12"/>
      <c r="AB225" s="12"/>
      <c r="AC225" s="12"/>
      <c r="AD225" s="12"/>
      <c r="AE225" s="12"/>
      <c r="AF225" s="12"/>
    </row>
    <row r="226" spans="1:32" ht="13.2">
      <c r="A226" s="8"/>
      <c r="B226" s="8"/>
      <c r="C226" s="8"/>
      <c r="D226" s="8"/>
      <c r="E226" s="8"/>
      <c r="F226" s="8"/>
      <c r="G226" s="8"/>
      <c r="H226" s="8"/>
      <c r="I226" s="8"/>
      <c r="J226" s="8"/>
      <c r="K226" s="8"/>
      <c r="L226" s="8"/>
      <c r="M226" s="8"/>
      <c r="N226" s="8"/>
      <c r="O226" s="8"/>
      <c r="P226" s="8"/>
      <c r="Q226" s="8"/>
      <c r="R226" s="8"/>
      <c r="S226" s="8"/>
      <c r="T226" s="8"/>
      <c r="U226" s="12"/>
      <c r="V226" s="12"/>
      <c r="W226" s="12"/>
      <c r="X226" s="12"/>
      <c r="Y226" s="12"/>
      <c r="Z226" s="12"/>
      <c r="AA226" s="12"/>
      <c r="AB226" s="12"/>
      <c r="AC226" s="12"/>
      <c r="AD226" s="12"/>
      <c r="AE226" s="12"/>
      <c r="AF226" s="12"/>
    </row>
    <row r="227" spans="1:32" ht="13.2">
      <c r="A227" s="8"/>
      <c r="B227" s="8"/>
      <c r="C227" s="8"/>
      <c r="D227" s="8"/>
      <c r="E227" s="8"/>
      <c r="F227" s="8"/>
      <c r="G227" s="8"/>
      <c r="H227" s="8"/>
      <c r="I227" s="8"/>
      <c r="J227" s="8"/>
      <c r="K227" s="8"/>
      <c r="L227" s="8"/>
      <c r="M227" s="8"/>
      <c r="N227" s="8"/>
      <c r="O227" s="8"/>
      <c r="P227" s="8"/>
      <c r="Q227" s="8"/>
      <c r="R227" s="8"/>
      <c r="S227" s="8"/>
      <c r="T227" s="8"/>
      <c r="U227" s="12"/>
      <c r="V227" s="12"/>
      <c r="W227" s="12"/>
      <c r="X227" s="12"/>
      <c r="Y227" s="12"/>
      <c r="Z227" s="12"/>
      <c r="AA227" s="12"/>
      <c r="AB227" s="12"/>
      <c r="AC227" s="12"/>
      <c r="AD227" s="12"/>
      <c r="AE227" s="12"/>
      <c r="AF227" s="12"/>
    </row>
    <row r="228" spans="1:32" ht="13.2">
      <c r="A228" s="8"/>
      <c r="B228" s="8"/>
      <c r="C228" s="8"/>
      <c r="D228" s="8"/>
      <c r="E228" s="8"/>
      <c r="F228" s="8"/>
      <c r="G228" s="8"/>
      <c r="H228" s="8"/>
      <c r="I228" s="8"/>
      <c r="J228" s="8"/>
      <c r="K228" s="8"/>
      <c r="L228" s="8"/>
      <c r="M228" s="8"/>
      <c r="N228" s="8"/>
      <c r="O228" s="8"/>
      <c r="P228" s="8"/>
      <c r="Q228" s="8"/>
      <c r="R228" s="8"/>
      <c r="S228" s="8"/>
      <c r="T228" s="8"/>
      <c r="U228" s="12"/>
      <c r="V228" s="12"/>
      <c r="W228" s="12"/>
      <c r="X228" s="12"/>
      <c r="Y228" s="12"/>
      <c r="Z228" s="12"/>
      <c r="AA228" s="12"/>
      <c r="AB228" s="12"/>
      <c r="AC228" s="12"/>
      <c r="AD228" s="12"/>
      <c r="AE228" s="12"/>
      <c r="AF228" s="12"/>
    </row>
    <row r="229" spans="1:32" ht="13.2">
      <c r="A229" s="8"/>
      <c r="B229" s="8"/>
      <c r="C229" s="8"/>
      <c r="D229" s="8"/>
      <c r="E229" s="8"/>
      <c r="F229" s="8"/>
      <c r="G229" s="8"/>
      <c r="H229" s="8"/>
      <c r="I229" s="8"/>
      <c r="J229" s="8"/>
      <c r="K229" s="8"/>
      <c r="L229" s="8"/>
      <c r="M229" s="8"/>
      <c r="N229" s="8"/>
      <c r="O229" s="8"/>
      <c r="P229" s="8"/>
      <c r="Q229" s="8"/>
      <c r="R229" s="8"/>
      <c r="S229" s="8"/>
      <c r="T229" s="8"/>
      <c r="U229" s="12"/>
      <c r="V229" s="12"/>
      <c r="W229" s="12"/>
      <c r="X229" s="12"/>
      <c r="Y229" s="12"/>
      <c r="Z229" s="12"/>
      <c r="AA229" s="12"/>
      <c r="AB229" s="12"/>
      <c r="AC229" s="12"/>
      <c r="AD229" s="12"/>
      <c r="AE229" s="12"/>
      <c r="AF229" s="12"/>
    </row>
    <row r="230" spans="1:32" ht="13.2">
      <c r="A230" s="8"/>
      <c r="B230" s="8"/>
      <c r="C230" s="8"/>
      <c r="D230" s="8"/>
      <c r="E230" s="8"/>
      <c r="F230" s="8"/>
      <c r="G230" s="8"/>
      <c r="H230" s="8"/>
      <c r="I230" s="8"/>
      <c r="J230" s="8"/>
      <c r="K230" s="8"/>
      <c r="L230" s="8"/>
      <c r="M230" s="8"/>
      <c r="N230" s="8"/>
      <c r="O230" s="8"/>
      <c r="P230" s="8"/>
      <c r="Q230" s="8"/>
      <c r="R230" s="8"/>
      <c r="S230" s="8"/>
      <c r="T230" s="8"/>
      <c r="U230" s="12"/>
      <c r="V230" s="12"/>
      <c r="W230" s="12"/>
      <c r="X230" s="12"/>
      <c r="Y230" s="12"/>
      <c r="Z230" s="12"/>
      <c r="AA230" s="12"/>
      <c r="AB230" s="12"/>
      <c r="AC230" s="12"/>
      <c r="AD230" s="12"/>
      <c r="AE230" s="12"/>
      <c r="AF230" s="12"/>
    </row>
    <row r="231" spans="1:32" ht="13.2">
      <c r="A231" s="8"/>
      <c r="B231" s="8"/>
      <c r="C231" s="8"/>
      <c r="D231" s="8"/>
      <c r="E231" s="8"/>
      <c r="F231" s="8"/>
      <c r="G231" s="8"/>
      <c r="H231" s="8"/>
      <c r="I231" s="8"/>
      <c r="J231" s="8"/>
      <c r="K231" s="8"/>
      <c r="L231" s="8"/>
      <c r="M231" s="8"/>
      <c r="N231" s="8"/>
      <c r="O231" s="8"/>
      <c r="P231" s="8"/>
      <c r="Q231" s="8"/>
      <c r="R231" s="8"/>
      <c r="S231" s="8"/>
      <c r="T231" s="8"/>
      <c r="U231" s="12"/>
      <c r="V231" s="12"/>
      <c r="W231" s="12"/>
      <c r="X231" s="12"/>
      <c r="Y231" s="12"/>
      <c r="Z231" s="12"/>
      <c r="AA231" s="12"/>
      <c r="AB231" s="12"/>
      <c r="AC231" s="12"/>
      <c r="AD231" s="12"/>
      <c r="AE231" s="12"/>
      <c r="AF231" s="12"/>
    </row>
    <row r="232" spans="1:32" ht="13.2">
      <c r="A232" s="8"/>
      <c r="B232" s="8"/>
      <c r="C232" s="8"/>
      <c r="D232" s="8"/>
      <c r="E232" s="8"/>
      <c r="F232" s="8"/>
      <c r="G232" s="8"/>
      <c r="H232" s="8"/>
      <c r="I232" s="8"/>
      <c r="J232" s="8"/>
      <c r="K232" s="8"/>
      <c r="L232" s="8"/>
      <c r="M232" s="8"/>
      <c r="N232" s="8"/>
      <c r="O232" s="8"/>
      <c r="P232" s="8"/>
      <c r="Q232" s="8"/>
      <c r="R232" s="8"/>
      <c r="S232" s="8"/>
      <c r="T232" s="8"/>
      <c r="U232" s="12"/>
      <c r="V232" s="12"/>
      <c r="W232" s="12"/>
      <c r="X232" s="12"/>
      <c r="Y232" s="12"/>
      <c r="Z232" s="12"/>
      <c r="AA232" s="12"/>
      <c r="AB232" s="12"/>
      <c r="AC232" s="12"/>
      <c r="AD232" s="12"/>
      <c r="AE232" s="12"/>
      <c r="AF232" s="12"/>
    </row>
    <row r="233" spans="1:32" ht="13.2">
      <c r="A233" s="8"/>
      <c r="B233" s="8"/>
      <c r="C233" s="8"/>
      <c r="D233" s="8"/>
      <c r="E233" s="8"/>
      <c r="F233" s="8"/>
      <c r="G233" s="8"/>
      <c r="H233" s="8"/>
      <c r="I233" s="8"/>
      <c r="J233" s="8"/>
      <c r="K233" s="8"/>
      <c r="L233" s="8"/>
      <c r="M233" s="8"/>
      <c r="N233" s="8"/>
      <c r="O233" s="8"/>
      <c r="P233" s="8"/>
      <c r="Q233" s="8"/>
      <c r="R233" s="8"/>
      <c r="S233" s="8"/>
      <c r="T233" s="8"/>
      <c r="U233" s="12"/>
      <c r="V233" s="12"/>
      <c r="W233" s="12"/>
      <c r="X233" s="12"/>
      <c r="Y233" s="12"/>
      <c r="Z233" s="12"/>
      <c r="AA233" s="12"/>
      <c r="AB233" s="12"/>
      <c r="AC233" s="12"/>
      <c r="AD233" s="12"/>
      <c r="AE233" s="12"/>
      <c r="AF233" s="12"/>
    </row>
    <row r="234" spans="1:32" ht="13.2">
      <c r="A234" s="8"/>
      <c r="B234" s="8"/>
      <c r="C234" s="8"/>
      <c r="D234" s="8"/>
      <c r="E234" s="8"/>
      <c r="F234" s="8"/>
      <c r="G234" s="8"/>
      <c r="H234" s="8"/>
      <c r="I234" s="8"/>
      <c r="J234" s="8"/>
      <c r="K234" s="8"/>
      <c r="L234" s="8"/>
      <c r="M234" s="8"/>
      <c r="N234" s="8"/>
      <c r="O234" s="8"/>
      <c r="P234" s="8"/>
      <c r="Q234" s="8"/>
      <c r="R234" s="8"/>
      <c r="S234" s="8"/>
      <c r="T234" s="8"/>
      <c r="U234" s="12"/>
      <c r="V234" s="12"/>
      <c r="W234" s="12"/>
      <c r="X234" s="12"/>
      <c r="Y234" s="12"/>
      <c r="Z234" s="12"/>
      <c r="AA234" s="12"/>
      <c r="AB234" s="12"/>
      <c r="AC234" s="12"/>
      <c r="AD234" s="12"/>
      <c r="AE234" s="12"/>
      <c r="AF234" s="12"/>
    </row>
    <row r="235" spans="1:32" ht="13.2">
      <c r="A235" s="8"/>
      <c r="B235" s="8"/>
      <c r="C235" s="8"/>
      <c r="D235" s="8"/>
      <c r="E235" s="8"/>
      <c r="F235" s="8"/>
      <c r="G235" s="8"/>
      <c r="H235" s="8"/>
      <c r="I235" s="8"/>
      <c r="J235" s="8"/>
      <c r="K235" s="8"/>
      <c r="L235" s="8"/>
      <c r="M235" s="8"/>
      <c r="N235" s="8"/>
      <c r="O235" s="8"/>
      <c r="P235" s="8"/>
      <c r="Q235" s="8"/>
      <c r="R235" s="8"/>
      <c r="S235" s="8"/>
      <c r="T235" s="8"/>
      <c r="U235" s="12"/>
      <c r="V235" s="12"/>
      <c r="W235" s="12"/>
      <c r="X235" s="12"/>
      <c r="Y235" s="12"/>
      <c r="Z235" s="12"/>
      <c r="AA235" s="12"/>
      <c r="AB235" s="12"/>
      <c r="AC235" s="12"/>
      <c r="AD235" s="12"/>
      <c r="AE235" s="12"/>
      <c r="AF235" s="12"/>
    </row>
    <row r="236" spans="1:32" ht="13.2">
      <c r="A236" s="8"/>
      <c r="B236" s="8"/>
      <c r="C236" s="8"/>
      <c r="D236" s="8"/>
      <c r="E236" s="8"/>
      <c r="F236" s="8"/>
      <c r="G236" s="8"/>
      <c r="H236" s="8"/>
      <c r="I236" s="8"/>
      <c r="J236" s="8"/>
      <c r="K236" s="8"/>
      <c r="L236" s="8"/>
      <c r="M236" s="8"/>
      <c r="N236" s="8"/>
      <c r="O236" s="8"/>
      <c r="P236" s="8"/>
      <c r="Q236" s="8"/>
      <c r="R236" s="8"/>
      <c r="S236" s="8"/>
      <c r="T236" s="8"/>
      <c r="U236" s="12"/>
      <c r="V236" s="12"/>
      <c r="W236" s="12"/>
      <c r="X236" s="12"/>
      <c r="Y236" s="12"/>
      <c r="Z236" s="12"/>
      <c r="AA236" s="12"/>
      <c r="AB236" s="12"/>
      <c r="AC236" s="12"/>
      <c r="AD236" s="12"/>
      <c r="AE236" s="12"/>
      <c r="AF236" s="12"/>
    </row>
    <row r="237" spans="1:32" ht="13.2">
      <c r="A237" s="8"/>
      <c r="B237" s="8"/>
      <c r="C237" s="8"/>
      <c r="D237" s="8"/>
      <c r="E237" s="8"/>
      <c r="F237" s="8"/>
      <c r="G237" s="8"/>
      <c r="H237" s="8"/>
      <c r="I237" s="8"/>
      <c r="J237" s="8"/>
      <c r="K237" s="8"/>
      <c r="L237" s="8"/>
      <c r="M237" s="8"/>
      <c r="N237" s="8"/>
      <c r="O237" s="8"/>
      <c r="P237" s="8"/>
      <c r="Q237" s="8"/>
      <c r="R237" s="8"/>
      <c r="S237" s="8"/>
      <c r="T237" s="8"/>
      <c r="U237" s="12"/>
      <c r="V237" s="12"/>
      <c r="W237" s="12"/>
      <c r="X237" s="12"/>
      <c r="Y237" s="12"/>
      <c r="Z237" s="12"/>
      <c r="AA237" s="12"/>
      <c r="AB237" s="12"/>
      <c r="AC237" s="12"/>
      <c r="AD237" s="12"/>
      <c r="AE237" s="12"/>
      <c r="AF237" s="12"/>
    </row>
    <row r="238" spans="1:32" ht="13.2">
      <c r="A238" s="8"/>
      <c r="B238" s="8"/>
      <c r="C238" s="8"/>
      <c r="D238" s="8"/>
      <c r="E238" s="8"/>
      <c r="F238" s="8"/>
      <c r="G238" s="8"/>
      <c r="H238" s="8"/>
      <c r="I238" s="8"/>
      <c r="J238" s="8"/>
      <c r="K238" s="8"/>
      <c r="L238" s="8"/>
      <c r="M238" s="8"/>
      <c r="N238" s="8"/>
      <c r="O238" s="8"/>
      <c r="P238" s="8"/>
      <c r="Q238" s="8"/>
      <c r="R238" s="8"/>
      <c r="S238" s="8"/>
      <c r="T238" s="8"/>
      <c r="U238" s="12"/>
      <c r="V238" s="12"/>
      <c r="W238" s="12"/>
      <c r="X238" s="12"/>
      <c r="Y238" s="12"/>
      <c r="Z238" s="12"/>
      <c r="AA238" s="12"/>
      <c r="AB238" s="12"/>
      <c r="AC238" s="12"/>
      <c r="AD238" s="12"/>
      <c r="AE238" s="12"/>
      <c r="AF238" s="12"/>
    </row>
    <row r="239" spans="1:32" ht="13.2">
      <c r="A239" s="8"/>
      <c r="B239" s="8"/>
      <c r="C239" s="8"/>
      <c r="D239" s="8"/>
      <c r="E239" s="8"/>
      <c r="F239" s="8"/>
      <c r="G239" s="8"/>
      <c r="H239" s="8"/>
      <c r="I239" s="8"/>
      <c r="J239" s="8"/>
      <c r="K239" s="8"/>
      <c r="L239" s="8"/>
      <c r="M239" s="8"/>
      <c r="N239" s="8"/>
      <c r="O239" s="8"/>
      <c r="P239" s="8"/>
      <c r="Q239" s="8"/>
      <c r="R239" s="8"/>
      <c r="S239" s="8"/>
      <c r="T239" s="8"/>
      <c r="U239" s="12"/>
      <c r="V239" s="12"/>
      <c r="W239" s="12"/>
      <c r="X239" s="12"/>
      <c r="Y239" s="12"/>
      <c r="Z239" s="12"/>
      <c r="AA239" s="12"/>
      <c r="AB239" s="12"/>
      <c r="AC239" s="12"/>
      <c r="AD239" s="12"/>
      <c r="AE239" s="12"/>
      <c r="AF239" s="12"/>
    </row>
    <row r="240" spans="1:32" ht="13.2">
      <c r="A240" s="8"/>
      <c r="B240" s="8"/>
      <c r="C240" s="8"/>
      <c r="D240" s="8"/>
      <c r="E240" s="8"/>
      <c r="F240" s="8"/>
      <c r="G240" s="8"/>
      <c r="H240" s="8"/>
      <c r="I240" s="8"/>
      <c r="J240" s="8"/>
      <c r="K240" s="8"/>
      <c r="L240" s="8"/>
      <c r="M240" s="8"/>
      <c r="N240" s="8"/>
      <c r="O240" s="8"/>
      <c r="P240" s="8"/>
      <c r="Q240" s="8"/>
      <c r="R240" s="8"/>
      <c r="S240" s="8"/>
      <c r="T240" s="8"/>
      <c r="U240" s="12"/>
      <c r="V240" s="12"/>
      <c r="W240" s="12"/>
      <c r="X240" s="12"/>
      <c r="Y240" s="12"/>
      <c r="Z240" s="12"/>
      <c r="AA240" s="12"/>
      <c r="AB240" s="12"/>
      <c r="AC240" s="12"/>
      <c r="AD240" s="12"/>
      <c r="AE240" s="12"/>
      <c r="AF240" s="12"/>
    </row>
    <row r="241" spans="1:32" ht="13.2">
      <c r="A241" s="8"/>
      <c r="B241" s="8"/>
      <c r="C241" s="8"/>
      <c r="D241" s="8"/>
      <c r="E241" s="8"/>
      <c r="F241" s="8"/>
      <c r="G241" s="8"/>
      <c r="H241" s="8"/>
      <c r="I241" s="8"/>
      <c r="J241" s="8"/>
      <c r="K241" s="8"/>
      <c r="L241" s="8"/>
      <c r="M241" s="8"/>
      <c r="N241" s="8"/>
      <c r="O241" s="8"/>
      <c r="P241" s="8"/>
      <c r="Q241" s="8"/>
      <c r="R241" s="8"/>
      <c r="S241" s="8"/>
      <c r="T241" s="8"/>
      <c r="U241" s="12"/>
      <c r="V241" s="12"/>
      <c r="W241" s="12"/>
      <c r="X241" s="12"/>
      <c r="Y241" s="12"/>
      <c r="Z241" s="12"/>
      <c r="AA241" s="12"/>
      <c r="AB241" s="12"/>
      <c r="AC241" s="12"/>
      <c r="AD241" s="12"/>
      <c r="AE241" s="12"/>
      <c r="AF241" s="12"/>
    </row>
    <row r="242" spans="1:32" ht="13.2">
      <c r="A242" s="8"/>
      <c r="B242" s="8"/>
      <c r="C242" s="8"/>
      <c r="D242" s="8"/>
      <c r="E242" s="8"/>
      <c r="F242" s="8"/>
      <c r="G242" s="8"/>
      <c r="H242" s="8"/>
      <c r="I242" s="8"/>
      <c r="J242" s="8"/>
      <c r="K242" s="8"/>
      <c r="L242" s="8"/>
      <c r="M242" s="8"/>
      <c r="N242" s="8"/>
      <c r="O242" s="8"/>
      <c r="P242" s="8"/>
      <c r="Q242" s="8"/>
      <c r="R242" s="8"/>
      <c r="S242" s="8"/>
      <c r="T242" s="8"/>
      <c r="U242" s="12"/>
      <c r="V242" s="12"/>
      <c r="W242" s="12"/>
      <c r="X242" s="12"/>
      <c r="Y242" s="12"/>
      <c r="Z242" s="12"/>
      <c r="AA242" s="12"/>
      <c r="AB242" s="12"/>
      <c r="AC242" s="12"/>
      <c r="AD242" s="12"/>
      <c r="AE242" s="12"/>
      <c r="AF242" s="12"/>
    </row>
    <row r="243" spans="1:32" ht="13.2">
      <c r="A243" s="8"/>
      <c r="B243" s="8"/>
      <c r="C243" s="8"/>
      <c r="D243" s="8"/>
      <c r="E243" s="8"/>
      <c r="F243" s="8"/>
      <c r="G243" s="8"/>
      <c r="H243" s="8"/>
      <c r="I243" s="8"/>
      <c r="J243" s="8"/>
      <c r="K243" s="8"/>
      <c r="L243" s="8"/>
      <c r="M243" s="8"/>
      <c r="N243" s="8"/>
      <c r="O243" s="8"/>
      <c r="P243" s="8"/>
      <c r="Q243" s="8"/>
      <c r="R243" s="8"/>
      <c r="S243" s="8"/>
      <c r="T243" s="8"/>
      <c r="U243" s="12"/>
      <c r="V243" s="12"/>
      <c r="W243" s="12"/>
      <c r="X243" s="12"/>
      <c r="Y243" s="12"/>
      <c r="Z243" s="12"/>
      <c r="AA243" s="12"/>
      <c r="AB243" s="12"/>
      <c r="AC243" s="12"/>
      <c r="AD243" s="12"/>
      <c r="AE243" s="12"/>
      <c r="AF243" s="12"/>
    </row>
    <row r="244" spans="1:32" ht="13.2">
      <c r="A244" s="8"/>
      <c r="B244" s="8"/>
      <c r="C244" s="8"/>
      <c r="D244" s="8"/>
      <c r="E244" s="8"/>
      <c r="F244" s="8"/>
      <c r="G244" s="8"/>
      <c r="H244" s="8"/>
      <c r="I244" s="8"/>
      <c r="J244" s="8"/>
      <c r="K244" s="8"/>
      <c r="L244" s="8"/>
      <c r="M244" s="8"/>
      <c r="N244" s="8"/>
      <c r="O244" s="8"/>
      <c r="P244" s="8"/>
      <c r="Q244" s="8"/>
      <c r="R244" s="8"/>
      <c r="S244" s="8"/>
      <c r="T244" s="8"/>
      <c r="U244" s="12"/>
      <c r="V244" s="12"/>
      <c r="W244" s="12"/>
      <c r="X244" s="12"/>
      <c r="Y244" s="12"/>
      <c r="Z244" s="12"/>
      <c r="AA244" s="12"/>
      <c r="AB244" s="12"/>
      <c r="AC244" s="12"/>
      <c r="AD244" s="12"/>
      <c r="AE244" s="12"/>
      <c r="AF244" s="12"/>
    </row>
    <row r="245" spans="1:32" ht="13.2">
      <c r="A245" s="8"/>
      <c r="B245" s="8"/>
      <c r="C245" s="8"/>
      <c r="D245" s="8"/>
      <c r="E245" s="8"/>
      <c r="F245" s="8"/>
      <c r="G245" s="8"/>
      <c r="H245" s="8"/>
      <c r="I245" s="8"/>
      <c r="J245" s="8"/>
      <c r="K245" s="8"/>
      <c r="L245" s="8"/>
      <c r="M245" s="8"/>
      <c r="N245" s="8"/>
      <c r="O245" s="8"/>
      <c r="P245" s="8"/>
      <c r="Q245" s="8"/>
      <c r="R245" s="8"/>
      <c r="S245" s="8"/>
      <c r="T245" s="8"/>
      <c r="U245" s="12"/>
      <c r="V245" s="12"/>
      <c r="W245" s="12"/>
      <c r="X245" s="12"/>
      <c r="Y245" s="12"/>
      <c r="Z245" s="12"/>
      <c r="AA245" s="12"/>
      <c r="AB245" s="12"/>
      <c r="AC245" s="12"/>
      <c r="AD245" s="12"/>
      <c r="AE245" s="12"/>
      <c r="AF245" s="12"/>
    </row>
    <row r="246" spans="1:32" ht="13.2">
      <c r="A246" s="8"/>
      <c r="B246" s="8"/>
      <c r="C246" s="8"/>
      <c r="D246" s="8"/>
      <c r="E246" s="8"/>
      <c r="F246" s="8"/>
      <c r="G246" s="8"/>
      <c r="H246" s="8"/>
      <c r="I246" s="8"/>
      <c r="J246" s="8"/>
      <c r="K246" s="8"/>
      <c r="L246" s="8"/>
      <c r="M246" s="8"/>
      <c r="N246" s="8"/>
      <c r="O246" s="8"/>
      <c r="P246" s="8"/>
      <c r="Q246" s="8"/>
      <c r="R246" s="8"/>
      <c r="S246" s="8"/>
      <c r="T246" s="8"/>
      <c r="U246" s="12"/>
      <c r="V246" s="12"/>
      <c r="W246" s="12"/>
      <c r="X246" s="12"/>
      <c r="Y246" s="12"/>
      <c r="Z246" s="12"/>
      <c r="AA246" s="12"/>
      <c r="AB246" s="12"/>
      <c r="AC246" s="12"/>
      <c r="AD246" s="12"/>
      <c r="AE246" s="12"/>
      <c r="AF246" s="12"/>
    </row>
    <row r="247" spans="1:32" ht="13.2">
      <c r="A247" s="8"/>
      <c r="B247" s="8"/>
      <c r="C247" s="8"/>
      <c r="D247" s="8"/>
      <c r="E247" s="8"/>
      <c r="F247" s="8"/>
      <c r="G247" s="8"/>
      <c r="H247" s="8"/>
      <c r="I247" s="8"/>
      <c r="J247" s="8"/>
      <c r="K247" s="8"/>
      <c r="L247" s="8"/>
      <c r="M247" s="8"/>
      <c r="N247" s="8"/>
      <c r="O247" s="8"/>
      <c r="P247" s="8"/>
      <c r="Q247" s="8"/>
      <c r="R247" s="8"/>
      <c r="S247" s="8"/>
      <c r="T247" s="8"/>
      <c r="U247" s="12"/>
      <c r="V247" s="12"/>
      <c r="W247" s="12"/>
      <c r="X247" s="12"/>
      <c r="Y247" s="12"/>
      <c r="Z247" s="12"/>
      <c r="AA247" s="12"/>
      <c r="AB247" s="12"/>
      <c r="AC247" s="12"/>
      <c r="AD247" s="12"/>
      <c r="AE247" s="12"/>
      <c r="AF247" s="12"/>
    </row>
    <row r="248" spans="1:32" ht="13.2">
      <c r="A248" s="8"/>
      <c r="B248" s="8"/>
      <c r="C248" s="8"/>
      <c r="D248" s="8"/>
      <c r="E248" s="8"/>
      <c r="F248" s="8"/>
      <c r="G248" s="8"/>
      <c r="H248" s="8"/>
      <c r="I248" s="8"/>
      <c r="J248" s="8"/>
      <c r="K248" s="8"/>
      <c r="L248" s="8"/>
      <c r="M248" s="8"/>
      <c r="N248" s="8"/>
      <c r="O248" s="8"/>
      <c r="P248" s="8"/>
      <c r="Q248" s="8"/>
      <c r="R248" s="8"/>
      <c r="S248" s="8"/>
      <c r="T248" s="8"/>
      <c r="U248" s="12"/>
      <c r="V248" s="12"/>
      <c r="W248" s="12"/>
      <c r="X248" s="12"/>
      <c r="Y248" s="12"/>
      <c r="Z248" s="12"/>
      <c r="AA248" s="12"/>
      <c r="AB248" s="12"/>
      <c r="AC248" s="12"/>
      <c r="AD248" s="12"/>
      <c r="AE248" s="12"/>
      <c r="AF248" s="12"/>
    </row>
    <row r="249" spans="1:32" ht="13.2">
      <c r="A249" s="8"/>
      <c r="B249" s="8"/>
      <c r="C249" s="8"/>
      <c r="D249" s="8"/>
      <c r="E249" s="8"/>
      <c r="F249" s="8"/>
      <c r="G249" s="8"/>
      <c r="H249" s="8"/>
      <c r="I249" s="8"/>
      <c r="J249" s="8"/>
      <c r="K249" s="8"/>
      <c r="L249" s="8"/>
      <c r="M249" s="8"/>
      <c r="N249" s="8"/>
      <c r="O249" s="8"/>
      <c r="P249" s="8"/>
      <c r="Q249" s="8"/>
      <c r="R249" s="8"/>
      <c r="S249" s="8"/>
      <c r="T249" s="8"/>
      <c r="U249" s="12"/>
      <c r="V249" s="12"/>
      <c r="W249" s="12"/>
      <c r="X249" s="12"/>
      <c r="Y249" s="12"/>
      <c r="Z249" s="12"/>
      <c r="AA249" s="12"/>
      <c r="AB249" s="12"/>
      <c r="AC249" s="12"/>
      <c r="AD249" s="12"/>
      <c r="AE249" s="12"/>
      <c r="AF249" s="12"/>
    </row>
    <row r="250" spans="1:32" ht="13.2">
      <c r="A250" s="8"/>
      <c r="B250" s="8"/>
      <c r="C250" s="8"/>
      <c r="D250" s="8"/>
      <c r="E250" s="8"/>
      <c r="F250" s="8"/>
      <c r="G250" s="8"/>
      <c r="H250" s="8"/>
      <c r="I250" s="8"/>
      <c r="J250" s="8"/>
      <c r="K250" s="8"/>
      <c r="L250" s="8"/>
      <c r="M250" s="8"/>
      <c r="N250" s="8"/>
      <c r="O250" s="8"/>
      <c r="P250" s="8"/>
      <c r="Q250" s="8"/>
      <c r="R250" s="8"/>
      <c r="S250" s="8"/>
      <c r="T250" s="8"/>
      <c r="U250" s="12"/>
      <c r="V250" s="12"/>
      <c r="W250" s="12"/>
      <c r="X250" s="12"/>
      <c r="Y250" s="12"/>
      <c r="Z250" s="12"/>
      <c r="AA250" s="12"/>
      <c r="AB250" s="12"/>
      <c r="AC250" s="12"/>
      <c r="AD250" s="12"/>
      <c r="AE250" s="12"/>
      <c r="AF250" s="12"/>
    </row>
    <row r="251" spans="1:32" ht="13.2">
      <c r="A251" s="8"/>
      <c r="B251" s="8"/>
      <c r="C251" s="8"/>
      <c r="D251" s="8"/>
      <c r="E251" s="8"/>
      <c r="F251" s="8"/>
      <c r="G251" s="8"/>
      <c r="H251" s="8"/>
      <c r="I251" s="8"/>
      <c r="J251" s="8"/>
      <c r="K251" s="8"/>
      <c r="L251" s="8"/>
      <c r="M251" s="8"/>
      <c r="N251" s="8"/>
      <c r="O251" s="8"/>
      <c r="P251" s="8"/>
      <c r="Q251" s="8"/>
      <c r="R251" s="8"/>
      <c r="S251" s="8"/>
      <c r="T251" s="8"/>
      <c r="U251" s="12"/>
      <c r="V251" s="12"/>
      <c r="W251" s="12"/>
      <c r="X251" s="12"/>
      <c r="Y251" s="12"/>
      <c r="Z251" s="12"/>
      <c r="AA251" s="12"/>
      <c r="AB251" s="12"/>
      <c r="AC251" s="12"/>
      <c r="AD251" s="12"/>
      <c r="AE251" s="12"/>
      <c r="AF251" s="12"/>
    </row>
    <row r="252" spans="1:32" ht="13.2">
      <c r="A252" s="8"/>
      <c r="B252" s="8"/>
      <c r="C252" s="8"/>
      <c r="D252" s="8"/>
      <c r="E252" s="8"/>
      <c r="F252" s="8"/>
      <c r="G252" s="8"/>
      <c r="H252" s="8"/>
      <c r="I252" s="8"/>
      <c r="J252" s="8"/>
      <c r="K252" s="8"/>
      <c r="L252" s="8"/>
      <c r="M252" s="8"/>
      <c r="N252" s="8"/>
      <c r="O252" s="8"/>
      <c r="P252" s="8"/>
      <c r="Q252" s="8"/>
      <c r="R252" s="8"/>
      <c r="S252" s="8"/>
      <c r="T252" s="8"/>
      <c r="U252" s="12"/>
      <c r="V252" s="12"/>
      <c r="W252" s="12"/>
      <c r="X252" s="12"/>
      <c r="Y252" s="12"/>
      <c r="Z252" s="12"/>
      <c r="AA252" s="12"/>
      <c r="AB252" s="12"/>
      <c r="AC252" s="12"/>
      <c r="AD252" s="12"/>
      <c r="AE252" s="12"/>
      <c r="AF252" s="12"/>
    </row>
    <row r="253" spans="1:32" ht="13.2">
      <c r="A253" s="8"/>
      <c r="B253" s="8"/>
      <c r="C253" s="8"/>
      <c r="D253" s="8"/>
      <c r="E253" s="8"/>
      <c r="F253" s="8"/>
      <c r="G253" s="8"/>
      <c r="H253" s="8"/>
      <c r="I253" s="8"/>
      <c r="J253" s="8"/>
      <c r="K253" s="8"/>
      <c r="L253" s="8"/>
      <c r="M253" s="8"/>
      <c r="N253" s="8"/>
      <c r="O253" s="8"/>
      <c r="P253" s="8"/>
      <c r="Q253" s="8"/>
      <c r="R253" s="8"/>
      <c r="S253" s="8"/>
      <c r="T253" s="8"/>
      <c r="U253" s="12"/>
      <c r="V253" s="12"/>
      <c r="W253" s="12"/>
      <c r="X253" s="12"/>
      <c r="Y253" s="12"/>
      <c r="Z253" s="12"/>
      <c r="AA253" s="12"/>
      <c r="AB253" s="12"/>
      <c r="AC253" s="12"/>
      <c r="AD253" s="12"/>
      <c r="AE253" s="12"/>
      <c r="AF253" s="12"/>
    </row>
    <row r="254" spans="1:32" ht="13.2">
      <c r="A254" s="8"/>
      <c r="B254" s="8"/>
      <c r="C254" s="8"/>
      <c r="D254" s="8"/>
      <c r="E254" s="8"/>
      <c r="F254" s="8"/>
      <c r="G254" s="8"/>
      <c r="H254" s="8"/>
      <c r="I254" s="8"/>
      <c r="J254" s="8"/>
      <c r="K254" s="8"/>
      <c r="L254" s="8"/>
      <c r="M254" s="8"/>
      <c r="N254" s="8"/>
      <c r="O254" s="8"/>
      <c r="P254" s="8"/>
      <c r="Q254" s="8"/>
      <c r="R254" s="8"/>
      <c r="S254" s="8"/>
      <c r="T254" s="8"/>
      <c r="U254" s="12"/>
      <c r="V254" s="12"/>
      <c r="W254" s="12"/>
      <c r="X254" s="12"/>
      <c r="Y254" s="12"/>
      <c r="Z254" s="12"/>
      <c r="AA254" s="12"/>
      <c r="AB254" s="12"/>
      <c r="AC254" s="12"/>
      <c r="AD254" s="12"/>
      <c r="AE254" s="12"/>
      <c r="AF254" s="12"/>
    </row>
    <row r="255" spans="1:32" ht="13.2">
      <c r="A255" s="8"/>
      <c r="B255" s="8"/>
      <c r="C255" s="8"/>
      <c r="D255" s="8"/>
      <c r="E255" s="8"/>
      <c r="F255" s="8"/>
      <c r="G255" s="8"/>
      <c r="H255" s="8"/>
      <c r="I255" s="8"/>
      <c r="J255" s="8"/>
      <c r="K255" s="8"/>
      <c r="L255" s="8"/>
      <c r="M255" s="8"/>
      <c r="N255" s="8"/>
      <c r="O255" s="8"/>
      <c r="P255" s="8"/>
      <c r="Q255" s="8"/>
      <c r="R255" s="8"/>
      <c r="S255" s="8"/>
      <c r="T255" s="8"/>
      <c r="U255" s="12"/>
      <c r="V255" s="12"/>
      <c r="W255" s="12"/>
      <c r="X255" s="12"/>
      <c r="Y255" s="12"/>
      <c r="Z255" s="12"/>
      <c r="AA255" s="12"/>
      <c r="AB255" s="12"/>
      <c r="AC255" s="12"/>
      <c r="AD255" s="12"/>
      <c r="AE255" s="12"/>
      <c r="AF255" s="12"/>
    </row>
    <row r="256" spans="1:32" ht="13.2">
      <c r="A256" s="8"/>
      <c r="B256" s="8"/>
      <c r="C256" s="8"/>
      <c r="D256" s="8"/>
      <c r="E256" s="8"/>
      <c r="F256" s="8"/>
      <c r="G256" s="8"/>
      <c r="H256" s="8"/>
      <c r="I256" s="8"/>
      <c r="J256" s="8"/>
      <c r="K256" s="8"/>
      <c r="L256" s="8"/>
      <c r="M256" s="8"/>
      <c r="N256" s="8"/>
      <c r="O256" s="8"/>
      <c r="P256" s="8"/>
      <c r="Q256" s="8"/>
      <c r="R256" s="8"/>
      <c r="S256" s="8"/>
      <c r="T256" s="8"/>
      <c r="U256" s="12"/>
      <c r="V256" s="12"/>
      <c r="W256" s="12"/>
      <c r="X256" s="12"/>
      <c r="Y256" s="12"/>
      <c r="Z256" s="12"/>
      <c r="AA256" s="12"/>
      <c r="AB256" s="12"/>
      <c r="AC256" s="12"/>
      <c r="AD256" s="12"/>
      <c r="AE256" s="12"/>
      <c r="AF256" s="12"/>
    </row>
    <row r="257" spans="1:32" ht="13.2">
      <c r="A257" s="8"/>
      <c r="B257" s="8"/>
      <c r="C257" s="8"/>
      <c r="D257" s="8"/>
      <c r="E257" s="8"/>
      <c r="F257" s="8"/>
      <c r="G257" s="8"/>
      <c r="H257" s="8"/>
      <c r="I257" s="8"/>
      <c r="J257" s="8"/>
      <c r="K257" s="8"/>
      <c r="L257" s="8"/>
      <c r="M257" s="8"/>
      <c r="N257" s="8"/>
      <c r="O257" s="8"/>
      <c r="P257" s="8"/>
      <c r="Q257" s="8"/>
      <c r="R257" s="8"/>
      <c r="S257" s="8"/>
      <c r="T257" s="8"/>
      <c r="U257" s="12"/>
      <c r="V257" s="12"/>
      <c r="W257" s="12"/>
      <c r="X257" s="12"/>
      <c r="Y257" s="12"/>
      <c r="Z257" s="12"/>
      <c r="AA257" s="12"/>
      <c r="AB257" s="12"/>
      <c r="AC257" s="12"/>
      <c r="AD257" s="12"/>
      <c r="AE257" s="12"/>
      <c r="AF257" s="12"/>
    </row>
    <row r="258" spans="1:32" ht="13.2">
      <c r="A258" s="8"/>
      <c r="B258" s="8"/>
      <c r="C258" s="8"/>
      <c r="D258" s="8"/>
      <c r="E258" s="8"/>
      <c r="F258" s="8"/>
      <c r="G258" s="8"/>
      <c r="H258" s="8"/>
      <c r="I258" s="8"/>
      <c r="J258" s="8"/>
      <c r="K258" s="8"/>
      <c r="L258" s="8"/>
      <c r="M258" s="8"/>
      <c r="N258" s="8"/>
      <c r="O258" s="8"/>
      <c r="P258" s="8"/>
      <c r="Q258" s="8"/>
      <c r="R258" s="8"/>
      <c r="S258" s="8"/>
      <c r="T258" s="8"/>
      <c r="U258" s="12"/>
      <c r="V258" s="12"/>
      <c r="W258" s="12"/>
      <c r="X258" s="12"/>
      <c r="Y258" s="12"/>
      <c r="Z258" s="12"/>
      <c r="AA258" s="12"/>
      <c r="AB258" s="12"/>
      <c r="AC258" s="12"/>
      <c r="AD258" s="12"/>
      <c r="AE258" s="12"/>
      <c r="AF258" s="12"/>
    </row>
    <row r="259" spans="1:32" ht="13.2">
      <c r="A259" s="8"/>
      <c r="B259" s="8"/>
      <c r="C259" s="8"/>
      <c r="D259" s="8"/>
      <c r="E259" s="8"/>
      <c r="F259" s="8"/>
      <c r="G259" s="8"/>
      <c r="H259" s="8"/>
      <c r="I259" s="8"/>
      <c r="J259" s="8"/>
      <c r="K259" s="8"/>
      <c r="L259" s="8"/>
      <c r="M259" s="8"/>
      <c r="N259" s="8"/>
      <c r="O259" s="8"/>
      <c r="P259" s="8"/>
      <c r="Q259" s="8"/>
      <c r="R259" s="8"/>
      <c r="S259" s="8"/>
      <c r="T259" s="8"/>
      <c r="U259" s="12"/>
      <c r="V259" s="12"/>
      <c r="W259" s="12"/>
      <c r="X259" s="12"/>
      <c r="Y259" s="12"/>
      <c r="Z259" s="12"/>
      <c r="AA259" s="12"/>
      <c r="AB259" s="12"/>
      <c r="AC259" s="12"/>
      <c r="AD259" s="12"/>
      <c r="AE259" s="12"/>
      <c r="AF259" s="12"/>
    </row>
    <row r="260" spans="1:32" ht="13.2">
      <c r="A260" s="8"/>
      <c r="B260" s="8"/>
      <c r="C260" s="8"/>
      <c r="D260" s="8"/>
      <c r="E260" s="8"/>
      <c r="F260" s="8"/>
      <c r="G260" s="8"/>
      <c r="H260" s="8"/>
      <c r="I260" s="8"/>
      <c r="J260" s="8"/>
      <c r="K260" s="8"/>
      <c r="L260" s="8"/>
      <c r="M260" s="8"/>
      <c r="N260" s="8"/>
      <c r="O260" s="8"/>
      <c r="P260" s="8"/>
      <c r="Q260" s="8"/>
      <c r="R260" s="8"/>
      <c r="S260" s="8"/>
      <c r="T260" s="8"/>
      <c r="U260" s="12"/>
      <c r="V260" s="12"/>
      <c r="W260" s="12"/>
      <c r="X260" s="12"/>
      <c r="Y260" s="12"/>
      <c r="Z260" s="12"/>
      <c r="AA260" s="12"/>
      <c r="AB260" s="12"/>
      <c r="AC260" s="12"/>
      <c r="AD260" s="12"/>
      <c r="AE260" s="12"/>
      <c r="AF260" s="12"/>
    </row>
    <row r="261" spans="1:32" ht="13.2">
      <c r="A261" s="8"/>
      <c r="B261" s="8"/>
      <c r="C261" s="8"/>
      <c r="D261" s="8"/>
      <c r="E261" s="8"/>
      <c r="F261" s="8"/>
      <c r="G261" s="8"/>
      <c r="H261" s="8"/>
      <c r="I261" s="8"/>
      <c r="J261" s="8"/>
      <c r="K261" s="8"/>
      <c r="L261" s="8"/>
      <c r="M261" s="8"/>
      <c r="N261" s="8"/>
      <c r="O261" s="8"/>
      <c r="P261" s="8"/>
      <c r="Q261" s="8"/>
      <c r="R261" s="8"/>
      <c r="S261" s="8"/>
      <c r="T261" s="8"/>
      <c r="U261" s="12"/>
      <c r="V261" s="12"/>
      <c r="W261" s="12"/>
      <c r="X261" s="12"/>
      <c r="Y261" s="12"/>
      <c r="Z261" s="12"/>
      <c r="AA261" s="12"/>
      <c r="AB261" s="12"/>
      <c r="AC261" s="12"/>
      <c r="AD261" s="12"/>
      <c r="AE261" s="12"/>
      <c r="AF261" s="12"/>
    </row>
    <row r="262" spans="1:32" ht="13.2">
      <c r="A262" s="8"/>
      <c r="B262" s="8"/>
      <c r="C262" s="8"/>
      <c r="D262" s="8"/>
      <c r="E262" s="8"/>
      <c r="F262" s="8"/>
      <c r="G262" s="8"/>
      <c r="H262" s="8"/>
      <c r="I262" s="8"/>
      <c r="J262" s="8"/>
      <c r="K262" s="8"/>
      <c r="L262" s="8"/>
      <c r="M262" s="8"/>
      <c r="N262" s="8"/>
      <c r="O262" s="8"/>
      <c r="P262" s="8"/>
      <c r="Q262" s="8"/>
      <c r="R262" s="8"/>
      <c r="S262" s="8"/>
      <c r="T262" s="8"/>
      <c r="U262" s="12"/>
      <c r="V262" s="12"/>
      <c r="W262" s="12"/>
      <c r="X262" s="12"/>
      <c r="Y262" s="12"/>
      <c r="Z262" s="12"/>
      <c r="AA262" s="12"/>
      <c r="AB262" s="12"/>
      <c r="AC262" s="12"/>
      <c r="AD262" s="12"/>
      <c r="AE262" s="12"/>
      <c r="AF262" s="12"/>
    </row>
    <row r="263" spans="1:32" ht="13.2">
      <c r="A263" s="8"/>
      <c r="B263" s="8"/>
      <c r="C263" s="8"/>
      <c r="D263" s="8"/>
      <c r="E263" s="8"/>
      <c r="F263" s="8"/>
      <c r="G263" s="8"/>
      <c r="H263" s="8"/>
      <c r="I263" s="8"/>
      <c r="J263" s="8"/>
      <c r="K263" s="8"/>
      <c r="L263" s="8"/>
      <c r="M263" s="8"/>
      <c r="N263" s="8"/>
      <c r="O263" s="8"/>
      <c r="P263" s="8"/>
      <c r="Q263" s="8"/>
      <c r="R263" s="8"/>
      <c r="S263" s="8"/>
      <c r="T263" s="8"/>
      <c r="U263" s="12"/>
      <c r="V263" s="12"/>
      <c r="W263" s="12"/>
      <c r="X263" s="12"/>
      <c r="Y263" s="12"/>
      <c r="Z263" s="12"/>
      <c r="AA263" s="12"/>
      <c r="AB263" s="12"/>
      <c r="AC263" s="12"/>
      <c r="AD263" s="12"/>
      <c r="AE263" s="12"/>
      <c r="AF263" s="12"/>
    </row>
    <row r="264" spans="1:32" ht="13.2">
      <c r="A264" s="8"/>
      <c r="B264" s="8"/>
      <c r="C264" s="8"/>
      <c r="D264" s="8"/>
      <c r="E264" s="8"/>
      <c r="F264" s="8"/>
      <c r="G264" s="8"/>
      <c r="H264" s="8"/>
      <c r="I264" s="8"/>
      <c r="J264" s="8"/>
      <c r="K264" s="8"/>
      <c r="L264" s="8"/>
      <c r="M264" s="8"/>
      <c r="N264" s="8"/>
      <c r="O264" s="8"/>
      <c r="P264" s="8"/>
      <c r="Q264" s="8"/>
      <c r="R264" s="8"/>
      <c r="S264" s="8"/>
      <c r="T264" s="8"/>
      <c r="U264" s="12"/>
      <c r="V264" s="12"/>
      <c r="W264" s="12"/>
      <c r="X264" s="12"/>
      <c r="Y264" s="12"/>
      <c r="Z264" s="12"/>
      <c r="AA264" s="12"/>
      <c r="AB264" s="12"/>
      <c r="AC264" s="12"/>
      <c r="AD264" s="12"/>
      <c r="AE264" s="12"/>
      <c r="AF264" s="12"/>
    </row>
    <row r="265" spans="1:32" ht="13.2">
      <c r="A265" s="8"/>
      <c r="B265" s="8"/>
      <c r="C265" s="8"/>
      <c r="D265" s="8"/>
      <c r="E265" s="8"/>
      <c r="F265" s="8"/>
      <c r="G265" s="8"/>
      <c r="H265" s="8"/>
      <c r="I265" s="8"/>
      <c r="J265" s="8"/>
      <c r="K265" s="8"/>
      <c r="L265" s="8"/>
      <c r="M265" s="8"/>
      <c r="N265" s="8"/>
      <c r="O265" s="8"/>
      <c r="P265" s="8"/>
      <c r="Q265" s="8"/>
      <c r="R265" s="8"/>
      <c r="S265" s="8"/>
      <c r="T265" s="8"/>
      <c r="U265" s="12"/>
      <c r="V265" s="12"/>
      <c r="W265" s="12"/>
      <c r="X265" s="12"/>
      <c r="Y265" s="12"/>
      <c r="Z265" s="12"/>
      <c r="AA265" s="12"/>
      <c r="AB265" s="12"/>
      <c r="AC265" s="12"/>
      <c r="AD265" s="12"/>
      <c r="AE265" s="12"/>
      <c r="AF265" s="12"/>
    </row>
    <row r="266" spans="1:32" ht="13.2">
      <c r="A266" s="8"/>
      <c r="B266" s="8"/>
      <c r="C266" s="8"/>
      <c r="D266" s="8"/>
      <c r="E266" s="8"/>
      <c r="F266" s="8"/>
      <c r="G266" s="8"/>
      <c r="H266" s="8"/>
      <c r="I266" s="8"/>
      <c r="J266" s="8"/>
      <c r="K266" s="8"/>
      <c r="L266" s="8"/>
      <c r="M266" s="8"/>
      <c r="N266" s="8"/>
      <c r="O266" s="8"/>
      <c r="P266" s="8"/>
      <c r="Q266" s="8"/>
      <c r="R266" s="8"/>
      <c r="S266" s="8"/>
      <c r="T266" s="8"/>
      <c r="U266" s="12"/>
      <c r="V266" s="12"/>
      <c r="W266" s="12"/>
      <c r="X266" s="12"/>
      <c r="Y266" s="12"/>
      <c r="Z266" s="12"/>
      <c r="AA266" s="12"/>
      <c r="AB266" s="12"/>
      <c r="AC266" s="12"/>
      <c r="AD266" s="12"/>
      <c r="AE266" s="12"/>
      <c r="AF266" s="12"/>
    </row>
    <row r="267" spans="1:32" ht="13.2">
      <c r="A267" s="8"/>
      <c r="B267" s="8"/>
      <c r="C267" s="8"/>
      <c r="D267" s="8"/>
      <c r="E267" s="8"/>
      <c r="F267" s="8"/>
      <c r="G267" s="8"/>
      <c r="H267" s="8"/>
      <c r="I267" s="8"/>
      <c r="J267" s="8"/>
      <c r="K267" s="8"/>
      <c r="L267" s="8"/>
      <c r="M267" s="8"/>
      <c r="N267" s="8"/>
      <c r="O267" s="8"/>
      <c r="P267" s="8"/>
      <c r="Q267" s="8"/>
      <c r="R267" s="8"/>
      <c r="S267" s="8"/>
      <c r="T267" s="8"/>
      <c r="U267" s="12"/>
      <c r="V267" s="12"/>
      <c r="W267" s="12"/>
      <c r="X267" s="12"/>
      <c r="Y267" s="12"/>
      <c r="Z267" s="12"/>
      <c r="AA267" s="12"/>
      <c r="AB267" s="12"/>
      <c r="AC267" s="12"/>
      <c r="AD267" s="12"/>
      <c r="AE267" s="12"/>
      <c r="AF267" s="12"/>
    </row>
    <row r="268" spans="1:32" ht="13.2">
      <c r="A268" s="8"/>
      <c r="B268" s="8"/>
      <c r="C268" s="8"/>
      <c r="D268" s="8"/>
      <c r="E268" s="8"/>
      <c r="F268" s="8"/>
      <c r="G268" s="8"/>
      <c r="H268" s="8"/>
      <c r="I268" s="8"/>
      <c r="J268" s="8"/>
      <c r="K268" s="8"/>
      <c r="L268" s="8"/>
      <c r="M268" s="8"/>
      <c r="N268" s="8"/>
      <c r="O268" s="8"/>
      <c r="P268" s="8"/>
      <c r="Q268" s="8"/>
      <c r="R268" s="8"/>
      <c r="S268" s="8"/>
      <c r="T268" s="8"/>
      <c r="U268" s="12"/>
      <c r="V268" s="12"/>
      <c r="W268" s="12"/>
      <c r="X268" s="12"/>
      <c r="Y268" s="12"/>
      <c r="Z268" s="12"/>
      <c r="AA268" s="12"/>
      <c r="AB268" s="12"/>
      <c r="AC268" s="12"/>
      <c r="AD268" s="12"/>
      <c r="AE268" s="12"/>
      <c r="AF268" s="12"/>
    </row>
    <row r="269" spans="1:32" ht="13.2">
      <c r="A269" s="8"/>
      <c r="B269" s="8"/>
      <c r="C269" s="8"/>
      <c r="D269" s="8"/>
      <c r="E269" s="8"/>
      <c r="F269" s="8"/>
      <c r="G269" s="8"/>
      <c r="H269" s="8"/>
      <c r="I269" s="8"/>
      <c r="J269" s="8"/>
      <c r="K269" s="8"/>
      <c r="L269" s="8"/>
      <c r="M269" s="8"/>
      <c r="N269" s="8"/>
      <c r="O269" s="8"/>
      <c r="P269" s="8"/>
      <c r="Q269" s="8"/>
      <c r="R269" s="8"/>
      <c r="S269" s="8"/>
      <c r="T269" s="8"/>
      <c r="U269" s="12"/>
      <c r="V269" s="12"/>
      <c r="W269" s="12"/>
      <c r="X269" s="12"/>
      <c r="Y269" s="12"/>
      <c r="Z269" s="12"/>
      <c r="AA269" s="12"/>
      <c r="AB269" s="12"/>
      <c r="AC269" s="12"/>
      <c r="AD269" s="12"/>
      <c r="AE269" s="12"/>
      <c r="AF269" s="12"/>
    </row>
    <row r="270" spans="1:32" ht="13.2">
      <c r="A270" s="8"/>
      <c r="B270" s="8"/>
      <c r="C270" s="8"/>
      <c r="D270" s="8"/>
      <c r="E270" s="8"/>
      <c r="F270" s="8"/>
      <c r="G270" s="8"/>
      <c r="H270" s="8"/>
      <c r="I270" s="8"/>
      <c r="J270" s="8"/>
      <c r="K270" s="8"/>
      <c r="L270" s="8"/>
      <c r="M270" s="8"/>
      <c r="N270" s="8"/>
      <c r="O270" s="8"/>
      <c r="P270" s="8"/>
      <c r="Q270" s="8"/>
      <c r="R270" s="8"/>
      <c r="S270" s="8"/>
      <c r="T270" s="8"/>
      <c r="U270" s="12"/>
      <c r="V270" s="12"/>
      <c r="W270" s="12"/>
      <c r="X270" s="12"/>
      <c r="Y270" s="12"/>
      <c r="Z270" s="12"/>
      <c r="AA270" s="12"/>
      <c r="AB270" s="12"/>
      <c r="AC270" s="12"/>
      <c r="AD270" s="12"/>
      <c r="AE270" s="12"/>
      <c r="AF270" s="12"/>
    </row>
    <row r="271" spans="1:32" ht="13.2">
      <c r="A271" s="8"/>
      <c r="B271" s="8"/>
      <c r="C271" s="8"/>
      <c r="D271" s="8"/>
      <c r="E271" s="8"/>
      <c r="F271" s="8"/>
      <c r="G271" s="8"/>
      <c r="H271" s="8"/>
      <c r="I271" s="8"/>
      <c r="J271" s="8"/>
      <c r="K271" s="8"/>
      <c r="L271" s="8"/>
      <c r="M271" s="8"/>
      <c r="N271" s="8"/>
      <c r="O271" s="8"/>
      <c r="P271" s="8"/>
      <c r="Q271" s="8"/>
      <c r="R271" s="8"/>
      <c r="S271" s="8"/>
      <c r="T271" s="8"/>
      <c r="U271" s="12"/>
      <c r="V271" s="12"/>
      <c r="W271" s="12"/>
      <c r="X271" s="12"/>
      <c r="Y271" s="12"/>
      <c r="Z271" s="12"/>
      <c r="AA271" s="12"/>
      <c r="AB271" s="12"/>
      <c r="AC271" s="12"/>
      <c r="AD271" s="12"/>
      <c r="AE271" s="12"/>
      <c r="AF271" s="12"/>
    </row>
    <row r="272" spans="1:32" ht="13.2">
      <c r="A272" s="8"/>
      <c r="B272" s="8"/>
      <c r="C272" s="8"/>
      <c r="D272" s="8"/>
      <c r="E272" s="8"/>
      <c r="F272" s="8"/>
      <c r="G272" s="8"/>
      <c r="H272" s="8"/>
      <c r="I272" s="8"/>
      <c r="J272" s="8"/>
      <c r="K272" s="8"/>
      <c r="L272" s="8"/>
      <c r="M272" s="8"/>
      <c r="N272" s="8"/>
      <c r="O272" s="8"/>
      <c r="P272" s="8"/>
      <c r="Q272" s="8"/>
      <c r="R272" s="8"/>
      <c r="S272" s="8"/>
      <c r="T272" s="8"/>
      <c r="U272" s="12"/>
      <c r="V272" s="12"/>
      <c r="W272" s="12"/>
      <c r="X272" s="12"/>
      <c r="Y272" s="12"/>
      <c r="Z272" s="12"/>
      <c r="AA272" s="12"/>
      <c r="AB272" s="12"/>
      <c r="AC272" s="12"/>
      <c r="AD272" s="12"/>
      <c r="AE272" s="12"/>
      <c r="AF272" s="12"/>
    </row>
    <row r="273" spans="1:32" ht="13.2">
      <c r="A273" s="8"/>
      <c r="B273" s="8"/>
      <c r="C273" s="8"/>
      <c r="D273" s="8"/>
      <c r="E273" s="8"/>
      <c r="F273" s="8"/>
      <c r="G273" s="8"/>
      <c r="H273" s="8"/>
      <c r="I273" s="8"/>
      <c r="J273" s="8"/>
      <c r="K273" s="8"/>
      <c r="L273" s="8"/>
      <c r="M273" s="8"/>
      <c r="N273" s="8"/>
      <c r="O273" s="8"/>
      <c r="P273" s="8"/>
      <c r="Q273" s="8"/>
      <c r="R273" s="8"/>
      <c r="S273" s="8"/>
      <c r="T273" s="8"/>
      <c r="U273" s="12"/>
      <c r="V273" s="12"/>
      <c r="W273" s="12"/>
      <c r="X273" s="12"/>
      <c r="Y273" s="12"/>
      <c r="Z273" s="12"/>
      <c r="AA273" s="12"/>
      <c r="AB273" s="12"/>
      <c r="AC273" s="12"/>
      <c r="AD273" s="12"/>
      <c r="AE273" s="12"/>
      <c r="AF273" s="12"/>
    </row>
    <row r="274" spans="1:32" ht="13.2">
      <c r="A274" s="8"/>
      <c r="B274" s="8"/>
      <c r="C274" s="8"/>
      <c r="D274" s="8"/>
      <c r="E274" s="8"/>
      <c r="F274" s="8"/>
      <c r="G274" s="8"/>
      <c r="H274" s="8"/>
      <c r="I274" s="8"/>
      <c r="J274" s="8"/>
      <c r="K274" s="8"/>
      <c r="L274" s="8"/>
      <c r="M274" s="8"/>
      <c r="N274" s="8"/>
      <c r="O274" s="8"/>
      <c r="P274" s="8"/>
      <c r="Q274" s="8"/>
      <c r="R274" s="8"/>
      <c r="S274" s="8"/>
      <c r="T274" s="8"/>
      <c r="U274" s="12"/>
      <c r="V274" s="12"/>
      <c r="W274" s="12"/>
      <c r="X274" s="12"/>
      <c r="Y274" s="12"/>
      <c r="Z274" s="12"/>
      <c r="AA274" s="12"/>
      <c r="AB274" s="12"/>
      <c r="AC274" s="12"/>
      <c r="AD274" s="12"/>
      <c r="AE274" s="12"/>
      <c r="AF274" s="12"/>
    </row>
    <row r="275" spans="1:32" ht="13.2">
      <c r="A275" s="8"/>
      <c r="B275" s="8"/>
      <c r="C275" s="8"/>
      <c r="D275" s="8"/>
      <c r="E275" s="8"/>
      <c r="F275" s="8"/>
      <c r="G275" s="8"/>
      <c r="H275" s="8"/>
      <c r="I275" s="8"/>
      <c r="J275" s="8"/>
      <c r="K275" s="8"/>
      <c r="L275" s="8"/>
      <c r="M275" s="8"/>
      <c r="N275" s="8"/>
      <c r="O275" s="8"/>
      <c r="P275" s="8"/>
      <c r="Q275" s="8"/>
      <c r="R275" s="8"/>
      <c r="S275" s="8"/>
      <c r="T275" s="8"/>
      <c r="U275" s="12"/>
      <c r="V275" s="12"/>
      <c r="W275" s="12"/>
      <c r="X275" s="12"/>
      <c r="Y275" s="12"/>
      <c r="Z275" s="12"/>
      <c r="AA275" s="12"/>
      <c r="AB275" s="12"/>
      <c r="AC275" s="12"/>
      <c r="AD275" s="12"/>
      <c r="AE275" s="12"/>
      <c r="AF275" s="12"/>
    </row>
    <row r="276" spans="1:32" ht="13.2">
      <c r="A276" s="8"/>
      <c r="B276" s="8"/>
      <c r="C276" s="8"/>
      <c r="D276" s="8"/>
      <c r="E276" s="8"/>
      <c r="F276" s="8"/>
      <c r="G276" s="8"/>
      <c r="H276" s="8"/>
      <c r="I276" s="8"/>
      <c r="J276" s="8"/>
      <c r="K276" s="8"/>
      <c r="L276" s="8"/>
      <c r="M276" s="8"/>
      <c r="N276" s="8"/>
      <c r="O276" s="8"/>
      <c r="P276" s="8"/>
      <c r="Q276" s="8"/>
      <c r="R276" s="8"/>
      <c r="S276" s="8"/>
      <c r="T276" s="8"/>
      <c r="U276" s="12"/>
      <c r="V276" s="12"/>
      <c r="W276" s="12"/>
      <c r="X276" s="12"/>
      <c r="Y276" s="12"/>
      <c r="Z276" s="12"/>
      <c r="AA276" s="12"/>
      <c r="AB276" s="12"/>
      <c r="AC276" s="12"/>
      <c r="AD276" s="12"/>
      <c r="AE276" s="12"/>
      <c r="AF276" s="12"/>
    </row>
    <row r="277" spans="1:32" ht="13.2">
      <c r="A277" s="8"/>
      <c r="B277" s="8"/>
      <c r="C277" s="8"/>
      <c r="D277" s="8"/>
      <c r="E277" s="8"/>
      <c r="F277" s="8"/>
      <c r="G277" s="8"/>
      <c r="H277" s="8"/>
      <c r="I277" s="8"/>
      <c r="J277" s="8"/>
      <c r="K277" s="8"/>
      <c r="L277" s="8"/>
      <c r="M277" s="8"/>
      <c r="N277" s="8"/>
      <c r="O277" s="8"/>
      <c r="P277" s="8"/>
      <c r="Q277" s="8"/>
      <c r="R277" s="8"/>
      <c r="S277" s="8"/>
      <c r="T277" s="8"/>
      <c r="U277" s="12"/>
      <c r="V277" s="12"/>
      <c r="W277" s="12"/>
      <c r="X277" s="12"/>
      <c r="Y277" s="12"/>
      <c r="Z277" s="12"/>
      <c r="AA277" s="12"/>
      <c r="AB277" s="12"/>
      <c r="AC277" s="12"/>
      <c r="AD277" s="12"/>
      <c r="AE277" s="12"/>
      <c r="AF277" s="12"/>
    </row>
    <row r="278" spans="1:32" ht="13.2">
      <c r="A278" s="8"/>
      <c r="B278" s="8"/>
      <c r="C278" s="8"/>
      <c r="D278" s="8"/>
      <c r="E278" s="8"/>
      <c r="F278" s="8"/>
      <c r="G278" s="8"/>
      <c r="H278" s="8"/>
      <c r="I278" s="8"/>
      <c r="J278" s="8"/>
      <c r="K278" s="8"/>
      <c r="L278" s="8"/>
      <c r="M278" s="8"/>
      <c r="N278" s="8"/>
      <c r="O278" s="8"/>
      <c r="P278" s="8"/>
      <c r="Q278" s="8"/>
      <c r="R278" s="8"/>
      <c r="S278" s="8"/>
      <c r="T278" s="8"/>
      <c r="U278" s="12"/>
      <c r="V278" s="12"/>
      <c r="W278" s="12"/>
      <c r="X278" s="12"/>
      <c r="Y278" s="12"/>
      <c r="Z278" s="12"/>
      <c r="AA278" s="12"/>
      <c r="AB278" s="12"/>
      <c r="AC278" s="12"/>
      <c r="AD278" s="12"/>
      <c r="AE278" s="12"/>
      <c r="AF278" s="12"/>
    </row>
    <row r="279" spans="1:32" ht="13.2">
      <c r="A279" s="8"/>
      <c r="B279" s="8"/>
      <c r="C279" s="8"/>
      <c r="D279" s="8"/>
      <c r="E279" s="8"/>
      <c r="F279" s="8"/>
      <c r="G279" s="8"/>
      <c r="H279" s="8"/>
      <c r="I279" s="8"/>
      <c r="J279" s="8"/>
      <c r="K279" s="8"/>
      <c r="L279" s="8"/>
      <c r="M279" s="8"/>
      <c r="N279" s="8"/>
      <c r="O279" s="8"/>
      <c r="P279" s="8"/>
      <c r="Q279" s="8"/>
      <c r="R279" s="8"/>
      <c r="S279" s="8"/>
      <c r="T279" s="8"/>
      <c r="U279" s="12"/>
      <c r="V279" s="12"/>
      <c r="W279" s="12"/>
      <c r="X279" s="12"/>
      <c r="Y279" s="12"/>
      <c r="Z279" s="12"/>
      <c r="AA279" s="12"/>
      <c r="AB279" s="12"/>
      <c r="AC279" s="12"/>
      <c r="AD279" s="12"/>
      <c r="AE279" s="12"/>
      <c r="AF279" s="12"/>
    </row>
    <row r="280" spans="1:32" ht="13.2">
      <c r="A280" s="8"/>
      <c r="B280" s="8"/>
      <c r="C280" s="8"/>
      <c r="D280" s="8"/>
      <c r="E280" s="8"/>
      <c r="F280" s="8"/>
      <c r="G280" s="8"/>
      <c r="H280" s="8"/>
      <c r="I280" s="8"/>
      <c r="J280" s="8"/>
      <c r="K280" s="8"/>
      <c r="L280" s="8"/>
      <c r="M280" s="8"/>
      <c r="N280" s="8"/>
      <c r="O280" s="8"/>
      <c r="P280" s="8"/>
      <c r="Q280" s="8"/>
      <c r="R280" s="8"/>
      <c r="S280" s="8"/>
      <c r="T280" s="8"/>
      <c r="U280" s="12"/>
      <c r="V280" s="12"/>
      <c r="W280" s="12"/>
      <c r="X280" s="12"/>
      <c r="Y280" s="12"/>
      <c r="Z280" s="12"/>
      <c r="AA280" s="12"/>
      <c r="AB280" s="12"/>
      <c r="AC280" s="12"/>
      <c r="AD280" s="12"/>
      <c r="AE280" s="12"/>
      <c r="AF280" s="12"/>
    </row>
    <row r="281" spans="1:32" ht="13.2">
      <c r="A281" s="8"/>
      <c r="B281" s="8"/>
      <c r="C281" s="8"/>
      <c r="D281" s="8"/>
      <c r="E281" s="8"/>
      <c r="F281" s="8"/>
      <c r="G281" s="8"/>
      <c r="H281" s="8"/>
      <c r="I281" s="8"/>
      <c r="J281" s="8"/>
      <c r="K281" s="8"/>
      <c r="L281" s="8"/>
      <c r="M281" s="8"/>
      <c r="N281" s="8"/>
      <c r="O281" s="8"/>
      <c r="P281" s="8"/>
      <c r="Q281" s="8"/>
      <c r="R281" s="8"/>
      <c r="S281" s="8"/>
      <c r="T281" s="8"/>
      <c r="U281" s="12"/>
      <c r="V281" s="12"/>
      <c r="W281" s="12"/>
      <c r="X281" s="12"/>
      <c r="Y281" s="12"/>
      <c r="Z281" s="12"/>
      <c r="AA281" s="12"/>
      <c r="AB281" s="12"/>
      <c r="AC281" s="12"/>
      <c r="AD281" s="12"/>
      <c r="AE281" s="12"/>
      <c r="AF281" s="12"/>
    </row>
    <row r="282" spans="1:32" ht="13.2">
      <c r="A282" s="8"/>
      <c r="B282" s="8"/>
      <c r="C282" s="8"/>
      <c r="D282" s="8"/>
      <c r="E282" s="8"/>
      <c r="F282" s="8"/>
      <c r="G282" s="8"/>
      <c r="H282" s="8"/>
      <c r="I282" s="8"/>
      <c r="J282" s="8"/>
      <c r="K282" s="8"/>
      <c r="L282" s="8"/>
      <c r="M282" s="8"/>
      <c r="N282" s="8"/>
      <c r="O282" s="8"/>
      <c r="P282" s="8"/>
      <c r="Q282" s="8"/>
      <c r="R282" s="8"/>
      <c r="S282" s="8"/>
      <c r="T282" s="8"/>
      <c r="U282" s="12"/>
      <c r="V282" s="12"/>
      <c r="W282" s="12"/>
      <c r="X282" s="12"/>
      <c r="Y282" s="12"/>
      <c r="Z282" s="12"/>
      <c r="AA282" s="12"/>
      <c r="AB282" s="12"/>
      <c r="AC282" s="12"/>
      <c r="AD282" s="12"/>
      <c r="AE282" s="12"/>
      <c r="AF282" s="12"/>
    </row>
    <row r="283" spans="1:32" ht="13.2">
      <c r="A283" s="8"/>
      <c r="B283" s="8"/>
      <c r="C283" s="8"/>
      <c r="D283" s="8"/>
      <c r="E283" s="8"/>
      <c r="F283" s="8"/>
      <c r="G283" s="8"/>
      <c r="H283" s="8"/>
      <c r="I283" s="8"/>
      <c r="J283" s="8"/>
      <c r="K283" s="8"/>
      <c r="L283" s="8"/>
      <c r="M283" s="8"/>
      <c r="N283" s="8"/>
      <c r="O283" s="8"/>
      <c r="P283" s="8"/>
      <c r="Q283" s="8"/>
      <c r="R283" s="8"/>
      <c r="S283" s="8"/>
      <c r="T283" s="8"/>
      <c r="U283" s="12"/>
      <c r="V283" s="12"/>
      <c r="W283" s="12"/>
      <c r="X283" s="12"/>
      <c r="Y283" s="12"/>
      <c r="Z283" s="12"/>
      <c r="AA283" s="12"/>
      <c r="AB283" s="12"/>
      <c r="AC283" s="12"/>
      <c r="AD283" s="12"/>
      <c r="AE283" s="12"/>
      <c r="AF283" s="12"/>
    </row>
    <row r="284" spans="1:32" ht="13.2">
      <c r="A284" s="8"/>
      <c r="B284" s="8"/>
      <c r="C284" s="8"/>
      <c r="D284" s="8"/>
      <c r="E284" s="8"/>
      <c r="F284" s="8"/>
      <c r="G284" s="8"/>
      <c r="H284" s="8"/>
      <c r="I284" s="8"/>
      <c r="J284" s="8"/>
      <c r="K284" s="8"/>
      <c r="L284" s="8"/>
      <c r="M284" s="8"/>
      <c r="N284" s="8"/>
      <c r="O284" s="8"/>
      <c r="P284" s="8"/>
      <c r="Q284" s="8"/>
      <c r="R284" s="8"/>
      <c r="S284" s="8"/>
      <c r="T284" s="8"/>
      <c r="U284" s="12"/>
      <c r="V284" s="12"/>
      <c r="W284" s="12"/>
      <c r="X284" s="12"/>
      <c r="Y284" s="12"/>
      <c r="Z284" s="12"/>
      <c r="AA284" s="12"/>
      <c r="AB284" s="12"/>
      <c r="AC284" s="12"/>
      <c r="AD284" s="12"/>
      <c r="AE284" s="12"/>
      <c r="AF284" s="12"/>
    </row>
    <row r="285" spans="1:32" ht="13.2">
      <c r="A285" s="8"/>
      <c r="B285" s="8"/>
      <c r="C285" s="8"/>
      <c r="D285" s="8"/>
      <c r="E285" s="8"/>
      <c r="F285" s="8"/>
      <c r="G285" s="8"/>
      <c r="H285" s="8"/>
      <c r="I285" s="8"/>
      <c r="J285" s="8"/>
      <c r="K285" s="8"/>
      <c r="L285" s="8"/>
      <c r="M285" s="8"/>
      <c r="N285" s="8"/>
      <c r="O285" s="8"/>
      <c r="P285" s="8"/>
      <c r="Q285" s="8"/>
      <c r="R285" s="8"/>
      <c r="S285" s="8"/>
      <c r="T285" s="8"/>
      <c r="U285" s="12"/>
      <c r="V285" s="12"/>
      <c r="W285" s="12"/>
      <c r="X285" s="12"/>
      <c r="Y285" s="12"/>
      <c r="Z285" s="12"/>
      <c r="AA285" s="12"/>
      <c r="AB285" s="12"/>
      <c r="AC285" s="12"/>
      <c r="AD285" s="12"/>
      <c r="AE285" s="12"/>
      <c r="AF285" s="12"/>
    </row>
    <row r="286" spans="1:32" ht="13.2">
      <c r="A286" s="8"/>
      <c r="B286" s="8"/>
      <c r="C286" s="8"/>
      <c r="D286" s="8"/>
      <c r="E286" s="8"/>
      <c r="F286" s="8"/>
      <c r="G286" s="8"/>
      <c r="H286" s="8"/>
      <c r="I286" s="8"/>
      <c r="J286" s="8"/>
      <c r="K286" s="8"/>
      <c r="L286" s="8"/>
      <c r="M286" s="8"/>
      <c r="N286" s="8"/>
      <c r="O286" s="8"/>
      <c r="P286" s="8"/>
      <c r="Q286" s="8"/>
      <c r="R286" s="8"/>
      <c r="S286" s="8"/>
      <c r="T286" s="8"/>
      <c r="U286" s="12"/>
      <c r="V286" s="12"/>
      <c r="W286" s="12"/>
      <c r="X286" s="12"/>
      <c r="Y286" s="12"/>
      <c r="Z286" s="12"/>
      <c r="AA286" s="12"/>
      <c r="AB286" s="12"/>
      <c r="AC286" s="12"/>
      <c r="AD286" s="12"/>
      <c r="AE286" s="12"/>
      <c r="AF286" s="12"/>
    </row>
    <row r="287" spans="1:32" ht="13.2">
      <c r="A287" s="8"/>
      <c r="B287" s="8"/>
      <c r="C287" s="8"/>
      <c r="D287" s="8"/>
      <c r="E287" s="8"/>
      <c r="F287" s="8"/>
      <c r="G287" s="8"/>
      <c r="H287" s="8"/>
      <c r="I287" s="8"/>
      <c r="J287" s="8"/>
      <c r="K287" s="8"/>
      <c r="L287" s="8"/>
      <c r="M287" s="8"/>
      <c r="N287" s="8"/>
      <c r="O287" s="8"/>
      <c r="P287" s="8"/>
      <c r="Q287" s="8"/>
      <c r="R287" s="8"/>
      <c r="S287" s="8"/>
      <c r="T287" s="8"/>
      <c r="U287" s="12"/>
      <c r="V287" s="12"/>
      <c r="W287" s="12"/>
      <c r="X287" s="12"/>
      <c r="Y287" s="12"/>
      <c r="Z287" s="12"/>
      <c r="AA287" s="12"/>
      <c r="AB287" s="12"/>
      <c r="AC287" s="12"/>
      <c r="AD287" s="12"/>
      <c r="AE287" s="12"/>
      <c r="AF287" s="12"/>
    </row>
    <row r="288" spans="1:32" ht="13.2">
      <c r="A288" s="8"/>
      <c r="B288" s="8"/>
      <c r="C288" s="8"/>
      <c r="D288" s="8"/>
      <c r="E288" s="8"/>
      <c r="F288" s="8"/>
      <c r="G288" s="8"/>
      <c r="H288" s="8"/>
      <c r="I288" s="8"/>
      <c r="J288" s="8"/>
      <c r="K288" s="8"/>
      <c r="L288" s="8"/>
      <c r="M288" s="8"/>
      <c r="N288" s="8"/>
      <c r="O288" s="8"/>
      <c r="P288" s="8"/>
      <c r="Q288" s="8"/>
      <c r="R288" s="8"/>
      <c r="S288" s="8"/>
      <c r="T288" s="8"/>
      <c r="U288" s="12"/>
      <c r="V288" s="12"/>
      <c r="W288" s="12"/>
      <c r="X288" s="12"/>
      <c r="Y288" s="12"/>
      <c r="Z288" s="12"/>
      <c r="AA288" s="12"/>
      <c r="AB288" s="12"/>
      <c r="AC288" s="12"/>
      <c r="AD288" s="12"/>
      <c r="AE288" s="12"/>
      <c r="AF288" s="12"/>
    </row>
    <row r="289" spans="1:32" ht="13.2">
      <c r="A289" s="8"/>
      <c r="B289" s="8"/>
      <c r="C289" s="8"/>
      <c r="D289" s="8"/>
      <c r="E289" s="8"/>
      <c r="F289" s="8"/>
      <c r="G289" s="8"/>
      <c r="H289" s="8"/>
      <c r="I289" s="8"/>
      <c r="J289" s="8"/>
      <c r="K289" s="8"/>
      <c r="L289" s="8"/>
      <c r="M289" s="8"/>
      <c r="N289" s="8"/>
      <c r="O289" s="8"/>
      <c r="P289" s="8"/>
      <c r="Q289" s="8"/>
      <c r="R289" s="8"/>
      <c r="S289" s="8"/>
      <c r="T289" s="8"/>
      <c r="U289" s="12"/>
      <c r="V289" s="12"/>
      <c r="W289" s="12"/>
      <c r="X289" s="12"/>
      <c r="Y289" s="12"/>
      <c r="Z289" s="12"/>
      <c r="AA289" s="12"/>
      <c r="AB289" s="12"/>
      <c r="AC289" s="12"/>
      <c r="AD289" s="12"/>
      <c r="AE289" s="12"/>
      <c r="AF289" s="12"/>
    </row>
    <row r="290" spans="1:32" ht="13.2">
      <c r="A290" s="8"/>
      <c r="B290" s="8"/>
      <c r="C290" s="8"/>
      <c r="D290" s="8"/>
      <c r="E290" s="8"/>
      <c r="F290" s="8"/>
      <c r="G290" s="8"/>
      <c r="H290" s="8"/>
      <c r="I290" s="8"/>
      <c r="J290" s="8"/>
      <c r="K290" s="8"/>
      <c r="L290" s="8"/>
      <c r="M290" s="8"/>
      <c r="N290" s="8"/>
      <c r="O290" s="8"/>
      <c r="P290" s="8"/>
      <c r="Q290" s="8"/>
      <c r="R290" s="8"/>
      <c r="S290" s="8"/>
      <c r="T290" s="8"/>
      <c r="U290" s="12"/>
      <c r="V290" s="12"/>
      <c r="W290" s="12"/>
      <c r="X290" s="12"/>
      <c r="Y290" s="12"/>
      <c r="Z290" s="12"/>
      <c r="AA290" s="12"/>
      <c r="AB290" s="12"/>
      <c r="AC290" s="12"/>
      <c r="AD290" s="12"/>
      <c r="AE290" s="12"/>
      <c r="AF290" s="12"/>
    </row>
    <row r="291" spans="1:32" ht="13.2">
      <c r="A291" s="8"/>
      <c r="B291" s="8"/>
      <c r="C291" s="8"/>
      <c r="D291" s="8"/>
      <c r="E291" s="8"/>
      <c r="F291" s="8"/>
      <c r="G291" s="8"/>
      <c r="H291" s="8"/>
      <c r="I291" s="8"/>
      <c r="J291" s="8"/>
      <c r="K291" s="8"/>
      <c r="L291" s="8"/>
      <c r="M291" s="8"/>
      <c r="N291" s="8"/>
      <c r="O291" s="8"/>
      <c r="P291" s="8"/>
      <c r="Q291" s="8"/>
      <c r="R291" s="8"/>
      <c r="S291" s="8"/>
      <c r="T291" s="8"/>
      <c r="U291" s="12"/>
      <c r="V291" s="12"/>
      <c r="W291" s="12"/>
      <c r="X291" s="12"/>
      <c r="Y291" s="12"/>
      <c r="Z291" s="12"/>
      <c r="AA291" s="12"/>
      <c r="AB291" s="12"/>
      <c r="AC291" s="12"/>
      <c r="AD291" s="12"/>
      <c r="AE291" s="12"/>
      <c r="AF291" s="12"/>
    </row>
    <row r="292" spans="1:32" ht="13.2">
      <c r="A292" s="8"/>
      <c r="B292" s="8"/>
      <c r="C292" s="8"/>
      <c r="D292" s="8"/>
      <c r="E292" s="8"/>
      <c r="F292" s="8"/>
      <c r="G292" s="8"/>
      <c r="H292" s="8"/>
      <c r="I292" s="8"/>
      <c r="J292" s="8"/>
      <c r="K292" s="8"/>
      <c r="L292" s="8"/>
      <c r="M292" s="8"/>
      <c r="N292" s="8"/>
      <c r="O292" s="8"/>
      <c r="P292" s="8"/>
      <c r="Q292" s="8"/>
      <c r="R292" s="8"/>
      <c r="S292" s="8"/>
      <c r="T292" s="8"/>
      <c r="U292" s="12"/>
      <c r="V292" s="12"/>
      <c r="W292" s="12"/>
      <c r="X292" s="12"/>
      <c r="Y292" s="12"/>
      <c r="Z292" s="12"/>
      <c r="AA292" s="12"/>
      <c r="AB292" s="12"/>
      <c r="AC292" s="12"/>
      <c r="AD292" s="12"/>
      <c r="AE292" s="12"/>
      <c r="AF292" s="12"/>
    </row>
    <row r="293" spans="1:32" ht="13.2">
      <c r="A293" s="8"/>
      <c r="B293" s="8"/>
      <c r="C293" s="8"/>
      <c r="D293" s="8"/>
      <c r="E293" s="8"/>
      <c r="F293" s="8"/>
      <c r="G293" s="8"/>
      <c r="H293" s="8"/>
      <c r="I293" s="8"/>
      <c r="J293" s="8"/>
      <c r="K293" s="8"/>
      <c r="L293" s="8"/>
      <c r="M293" s="8"/>
      <c r="N293" s="8"/>
      <c r="O293" s="8"/>
      <c r="P293" s="8"/>
      <c r="Q293" s="8"/>
      <c r="R293" s="8"/>
      <c r="S293" s="8"/>
      <c r="T293" s="8"/>
      <c r="U293" s="12"/>
      <c r="V293" s="12"/>
      <c r="W293" s="12"/>
      <c r="X293" s="12"/>
      <c r="Y293" s="12"/>
      <c r="Z293" s="12"/>
      <c r="AA293" s="12"/>
      <c r="AB293" s="12"/>
      <c r="AC293" s="12"/>
      <c r="AD293" s="12"/>
      <c r="AE293" s="12"/>
      <c r="AF293" s="12"/>
    </row>
    <row r="294" spans="1:32" ht="13.2">
      <c r="A294" s="8"/>
      <c r="B294" s="8"/>
      <c r="C294" s="8"/>
      <c r="D294" s="8"/>
      <c r="E294" s="8"/>
      <c r="F294" s="8"/>
      <c r="G294" s="8"/>
      <c r="H294" s="8"/>
      <c r="I294" s="8"/>
      <c r="J294" s="8"/>
      <c r="K294" s="8"/>
      <c r="L294" s="8"/>
      <c r="M294" s="8"/>
      <c r="N294" s="8"/>
      <c r="O294" s="8"/>
      <c r="P294" s="8"/>
      <c r="Q294" s="8"/>
      <c r="R294" s="8"/>
      <c r="S294" s="8"/>
      <c r="T294" s="8"/>
      <c r="U294" s="12"/>
      <c r="V294" s="12"/>
      <c r="W294" s="12"/>
      <c r="X294" s="12"/>
      <c r="Y294" s="12"/>
      <c r="Z294" s="12"/>
      <c r="AA294" s="12"/>
      <c r="AB294" s="12"/>
      <c r="AC294" s="12"/>
      <c r="AD294" s="12"/>
      <c r="AE294" s="12"/>
      <c r="AF294" s="12"/>
    </row>
    <row r="295" spans="1:32" ht="13.2">
      <c r="A295" s="8"/>
      <c r="B295" s="8"/>
      <c r="C295" s="8"/>
      <c r="D295" s="8"/>
      <c r="E295" s="8"/>
      <c r="F295" s="8"/>
      <c r="G295" s="8"/>
      <c r="H295" s="8"/>
      <c r="I295" s="8"/>
      <c r="J295" s="8"/>
      <c r="K295" s="8"/>
      <c r="L295" s="8"/>
      <c r="M295" s="8"/>
      <c r="N295" s="8"/>
      <c r="O295" s="8"/>
      <c r="P295" s="8"/>
      <c r="Q295" s="8"/>
      <c r="R295" s="8"/>
      <c r="S295" s="8"/>
      <c r="T295" s="8"/>
      <c r="U295" s="12"/>
      <c r="V295" s="12"/>
      <c r="W295" s="12"/>
      <c r="X295" s="12"/>
      <c r="Y295" s="12"/>
      <c r="Z295" s="12"/>
      <c r="AA295" s="12"/>
      <c r="AB295" s="12"/>
      <c r="AC295" s="12"/>
      <c r="AD295" s="12"/>
      <c r="AE295" s="12"/>
      <c r="AF295" s="12"/>
    </row>
    <row r="296" spans="1:32" ht="13.2">
      <c r="A296" s="8"/>
      <c r="B296" s="8"/>
      <c r="C296" s="8"/>
      <c r="D296" s="8"/>
      <c r="E296" s="8"/>
      <c r="F296" s="8"/>
      <c r="G296" s="8"/>
      <c r="H296" s="8"/>
      <c r="I296" s="8"/>
      <c r="J296" s="8"/>
      <c r="K296" s="8"/>
      <c r="L296" s="8"/>
      <c r="M296" s="8"/>
      <c r="N296" s="8"/>
      <c r="O296" s="8"/>
      <c r="P296" s="8"/>
      <c r="Q296" s="8"/>
      <c r="R296" s="8"/>
      <c r="S296" s="8"/>
      <c r="T296" s="8"/>
      <c r="U296" s="12"/>
      <c r="V296" s="12"/>
      <c r="W296" s="12"/>
      <c r="X296" s="12"/>
      <c r="Y296" s="12"/>
      <c r="Z296" s="12"/>
      <c r="AA296" s="12"/>
      <c r="AB296" s="12"/>
      <c r="AC296" s="12"/>
      <c r="AD296" s="12"/>
      <c r="AE296" s="12"/>
      <c r="AF296" s="12"/>
    </row>
    <row r="297" spans="1:32" ht="13.2">
      <c r="A297" s="8"/>
      <c r="B297" s="8"/>
      <c r="C297" s="8"/>
      <c r="D297" s="8"/>
      <c r="E297" s="8"/>
      <c r="F297" s="8"/>
      <c r="G297" s="8"/>
      <c r="H297" s="8"/>
      <c r="I297" s="8"/>
      <c r="J297" s="8"/>
      <c r="K297" s="8"/>
      <c r="L297" s="8"/>
      <c r="M297" s="8"/>
      <c r="N297" s="8"/>
      <c r="O297" s="8"/>
      <c r="P297" s="8"/>
      <c r="Q297" s="8"/>
      <c r="R297" s="8"/>
      <c r="S297" s="8"/>
      <c r="T297" s="8"/>
      <c r="U297" s="12"/>
      <c r="V297" s="12"/>
      <c r="W297" s="12"/>
      <c r="X297" s="12"/>
      <c r="Y297" s="12"/>
      <c r="Z297" s="12"/>
      <c r="AA297" s="12"/>
      <c r="AB297" s="12"/>
      <c r="AC297" s="12"/>
      <c r="AD297" s="12"/>
      <c r="AE297" s="12"/>
      <c r="AF297" s="12"/>
    </row>
    <row r="298" spans="1:32" ht="13.2">
      <c r="A298" s="8"/>
      <c r="B298" s="8"/>
      <c r="C298" s="8"/>
      <c r="D298" s="8"/>
      <c r="E298" s="8"/>
      <c r="F298" s="8"/>
      <c r="G298" s="8"/>
      <c r="H298" s="8"/>
      <c r="I298" s="8"/>
      <c r="J298" s="8"/>
      <c r="K298" s="8"/>
      <c r="L298" s="8"/>
      <c r="M298" s="8"/>
      <c r="N298" s="8"/>
      <c r="O298" s="8"/>
      <c r="P298" s="8"/>
      <c r="Q298" s="8"/>
      <c r="R298" s="8"/>
      <c r="S298" s="8"/>
      <c r="T298" s="8"/>
      <c r="U298" s="12"/>
      <c r="V298" s="12"/>
      <c r="W298" s="12"/>
      <c r="X298" s="12"/>
      <c r="Y298" s="12"/>
      <c r="Z298" s="12"/>
      <c r="AA298" s="12"/>
      <c r="AB298" s="12"/>
      <c r="AC298" s="12"/>
      <c r="AD298" s="12"/>
      <c r="AE298" s="12"/>
      <c r="AF298" s="12"/>
    </row>
    <row r="299" spans="1:32" ht="13.2">
      <c r="A299" s="8"/>
      <c r="B299" s="8"/>
      <c r="C299" s="8"/>
      <c r="D299" s="8"/>
      <c r="E299" s="8"/>
      <c r="F299" s="8"/>
      <c r="G299" s="8"/>
      <c r="H299" s="8"/>
      <c r="I299" s="8"/>
      <c r="J299" s="8"/>
      <c r="K299" s="8"/>
      <c r="L299" s="8"/>
      <c r="M299" s="8"/>
      <c r="N299" s="8"/>
      <c r="O299" s="8"/>
      <c r="P299" s="8"/>
      <c r="Q299" s="8"/>
      <c r="R299" s="8"/>
      <c r="S299" s="8"/>
      <c r="T299" s="8"/>
      <c r="U299" s="12"/>
      <c r="V299" s="12"/>
      <c r="W299" s="12"/>
      <c r="X299" s="12"/>
      <c r="Y299" s="12"/>
      <c r="Z299" s="12"/>
      <c r="AA299" s="12"/>
      <c r="AB299" s="12"/>
      <c r="AC299" s="12"/>
      <c r="AD299" s="12"/>
      <c r="AE299" s="12"/>
      <c r="AF299" s="12"/>
    </row>
    <row r="300" spans="1:32" ht="13.2">
      <c r="A300" s="8"/>
      <c r="B300" s="8"/>
      <c r="C300" s="8"/>
      <c r="D300" s="8"/>
      <c r="E300" s="8"/>
      <c r="F300" s="8"/>
      <c r="G300" s="8"/>
      <c r="H300" s="8"/>
      <c r="I300" s="8"/>
      <c r="J300" s="8"/>
      <c r="K300" s="8"/>
      <c r="L300" s="8"/>
      <c r="M300" s="8"/>
      <c r="N300" s="8"/>
      <c r="O300" s="8"/>
      <c r="P300" s="8"/>
      <c r="Q300" s="8"/>
      <c r="R300" s="8"/>
      <c r="S300" s="8"/>
      <c r="T300" s="8"/>
      <c r="U300" s="12"/>
      <c r="V300" s="12"/>
      <c r="W300" s="12"/>
      <c r="X300" s="12"/>
      <c r="Y300" s="12"/>
      <c r="Z300" s="12"/>
      <c r="AA300" s="12"/>
      <c r="AB300" s="12"/>
      <c r="AC300" s="12"/>
      <c r="AD300" s="12"/>
      <c r="AE300" s="12"/>
      <c r="AF300" s="12"/>
    </row>
    <row r="301" spans="1:32" ht="13.2">
      <c r="A301" s="8"/>
      <c r="B301" s="8"/>
      <c r="C301" s="8"/>
      <c r="D301" s="8"/>
      <c r="E301" s="8"/>
      <c r="F301" s="8"/>
      <c r="G301" s="8"/>
      <c r="H301" s="8"/>
      <c r="I301" s="8"/>
      <c r="J301" s="8"/>
      <c r="K301" s="8"/>
      <c r="L301" s="8"/>
      <c r="M301" s="8"/>
      <c r="N301" s="8"/>
      <c r="O301" s="8"/>
      <c r="P301" s="8"/>
      <c r="Q301" s="8"/>
      <c r="R301" s="8"/>
      <c r="S301" s="8"/>
      <c r="T301" s="8"/>
      <c r="U301" s="12"/>
      <c r="V301" s="12"/>
      <c r="W301" s="12"/>
      <c r="X301" s="12"/>
      <c r="Y301" s="12"/>
      <c r="Z301" s="12"/>
      <c r="AA301" s="12"/>
      <c r="AB301" s="12"/>
      <c r="AC301" s="12"/>
      <c r="AD301" s="12"/>
      <c r="AE301" s="12"/>
      <c r="AF301" s="12"/>
    </row>
    <row r="302" spans="1:32" ht="13.2">
      <c r="A302" s="8"/>
      <c r="B302" s="8"/>
      <c r="C302" s="8"/>
      <c r="D302" s="8"/>
      <c r="E302" s="8"/>
      <c r="F302" s="8"/>
      <c r="G302" s="8"/>
      <c r="H302" s="8"/>
      <c r="I302" s="8"/>
      <c r="J302" s="8"/>
      <c r="K302" s="8"/>
      <c r="L302" s="8"/>
      <c r="M302" s="8"/>
      <c r="N302" s="8"/>
      <c r="O302" s="8"/>
      <c r="P302" s="8"/>
      <c r="Q302" s="8"/>
      <c r="R302" s="8"/>
      <c r="S302" s="8"/>
      <c r="T302" s="8"/>
      <c r="U302" s="12"/>
      <c r="V302" s="12"/>
      <c r="W302" s="12"/>
      <c r="X302" s="12"/>
      <c r="Y302" s="12"/>
      <c r="Z302" s="12"/>
      <c r="AA302" s="12"/>
      <c r="AB302" s="12"/>
      <c r="AC302" s="12"/>
      <c r="AD302" s="12"/>
      <c r="AE302" s="12"/>
      <c r="AF302" s="12"/>
    </row>
    <row r="303" spans="1:32" ht="13.2">
      <c r="A303" s="8"/>
      <c r="B303" s="8"/>
      <c r="C303" s="8"/>
      <c r="D303" s="8"/>
      <c r="E303" s="8"/>
      <c r="F303" s="8"/>
      <c r="G303" s="8"/>
      <c r="H303" s="8"/>
      <c r="I303" s="8"/>
      <c r="J303" s="8"/>
      <c r="K303" s="8"/>
      <c r="L303" s="8"/>
      <c r="M303" s="8"/>
      <c r="N303" s="8"/>
      <c r="O303" s="8"/>
      <c r="P303" s="8"/>
      <c r="Q303" s="8"/>
      <c r="R303" s="8"/>
      <c r="S303" s="8"/>
      <c r="T303" s="8"/>
      <c r="U303" s="12"/>
      <c r="V303" s="12"/>
      <c r="W303" s="12"/>
      <c r="X303" s="12"/>
      <c r="Y303" s="12"/>
      <c r="Z303" s="12"/>
      <c r="AA303" s="12"/>
      <c r="AB303" s="12"/>
      <c r="AC303" s="12"/>
      <c r="AD303" s="12"/>
      <c r="AE303" s="12"/>
      <c r="AF303" s="12"/>
    </row>
    <row r="304" spans="1:32" ht="13.2">
      <c r="A304" s="8"/>
      <c r="B304" s="8"/>
      <c r="C304" s="8"/>
      <c r="D304" s="8"/>
      <c r="E304" s="8"/>
      <c r="F304" s="8"/>
      <c r="G304" s="8"/>
      <c r="H304" s="8"/>
      <c r="I304" s="8"/>
      <c r="J304" s="8"/>
      <c r="K304" s="8"/>
      <c r="L304" s="8"/>
      <c r="M304" s="8"/>
      <c r="N304" s="8"/>
      <c r="O304" s="8"/>
      <c r="P304" s="8"/>
      <c r="Q304" s="8"/>
      <c r="R304" s="8"/>
      <c r="S304" s="8"/>
      <c r="T304" s="8"/>
      <c r="U304" s="12"/>
      <c r="V304" s="12"/>
      <c r="W304" s="12"/>
      <c r="X304" s="12"/>
      <c r="Y304" s="12"/>
      <c r="Z304" s="12"/>
      <c r="AA304" s="12"/>
      <c r="AB304" s="12"/>
      <c r="AC304" s="12"/>
      <c r="AD304" s="12"/>
      <c r="AE304" s="12"/>
      <c r="AF304" s="12"/>
    </row>
    <row r="305" spans="1:32" ht="13.2">
      <c r="A305" s="8"/>
      <c r="B305" s="8"/>
      <c r="C305" s="8"/>
      <c r="D305" s="8"/>
      <c r="E305" s="8"/>
      <c r="F305" s="8"/>
      <c r="G305" s="8"/>
      <c r="H305" s="8"/>
      <c r="I305" s="8"/>
      <c r="J305" s="8"/>
      <c r="K305" s="8"/>
      <c r="L305" s="8"/>
      <c r="M305" s="8"/>
      <c r="N305" s="8"/>
      <c r="O305" s="8"/>
      <c r="P305" s="8"/>
      <c r="Q305" s="8"/>
      <c r="R305" s="8"/>
      <c r="S305" s="8"/>
      <c r="T305" s="8"/>
      <c r="U305" s="12"/>
      <c r="V305" s="12"/>
      <c r="W305" s="12"/>
      <c r="X305" s="12"/>
      <c r="Y305" s="12"/>
      <c r="Z305" s="12"/>
      <c r="AA305" s="12"/>
      <c r="AB305" s="12"/>
      <c r="AC305" s="12"/>
      <c r="AD305" s="12"/>
      <c r="AE305" s="12"/>
      <c r="AF305" s="12"/>
    </row>
    <row r="306" spans="1:32" ht="13.2">
      <c r="A306" s="8"/>
      <c r="B306" s="8"/>
      <c r="C306" s="8"/>
      <c r="D306" s="8"/>
      <c r="E306" s="8"/>
      <c r="F306" s="8"/>
      <c r="G306" s="8"/>
      <c r="H306" s="8"/>
      <c r="I306" s="8"/>
      <c r="J306" s="8"/>
      <c r="K306" s="8"/>
      <c r="L306" s="8"/>
      <c r="M306" s="8"/>
      <c r="N306" s="8"/>
      <c r="O306" s="8"/>
      <c r="P306" s="8"/>
      <c r="Q306" s="8"/>
      <c r="R306" s="8"/>
      <c r="S306" s="8"/>
      <c r="T306" s="8"/>
      <c r="U306" s="12"/>
      <c r="V306" s="12"/>
      <c r="W306" s="12"/>
      <c r="X306" s="12"/>
      <c r="Y306" s="12"/>
      <c r="Z306" s="12"/>
      <c r="AA306" s="12"/>
      <c r="AB306" s="12"/>
      <c r="AC306" s="12"/>
      <c r="AD306" s="12"/>
      <c r="AE306" s="12"/>
      <c r="AF306" s="12"/>
    </row>
    <row r="307" spans="1:32" ht="13.2">
      <c r="A307" s="8"/>
      <c r="B307" s="8"/>
      <c r="C307" s="8"/>
      <c r="D307" s="8"/>
      <c r="E307" s="8"/>
      <c r="F307" s="8"/>
      <c r="G307" s="8"/>
      <c r="H307" s="8"/>
      <c r="I307" s="8"/>
      <c r="J307" s="8"/>
      <c r="K307" s="8"/>
      <c r="L307" s="8"/>
      <c r="M307" s="8"/>
      <c r="N307" s="8"/>
      <c r="O307" s="8"/>
      <c r="P307" s="8"/>
      <c r="Q307" s="8"/>
      <c r="R307" s="8"/>
      <c r="S307" s="8"/>
      <c r="T307" s="8"/>
      <c r="U307" s="12"/>
      <c r="V307" s="12"/>
      <c r="W307" s="12"/>
      <c r="X307" s="12"/>
      <c r="Y307" s="12"/>
      <c r="Z307" s="12"/>
      <c r="AA307" s="12"/>
      <c r="AB307" s="12"/>
      <c r="AC307" s="12"/>
      <c r="AD307" s="12"/>
      <c r="AE307" s="12"/>
      <c r="AF307" s="12"/>
    </row>
    <row r="308" spans="1:32" ht="13.2">
      <c r="A308" s="8"/>
      <c r="B308" s="8"/>
      <c r="C308" s="8"/>
      <c r="D308" s="8"/>
      <c r="E308" s="8"/>
      <c r="F308" s="8"/>
      <c r="G308" s="8"/>
      <c r="H308" s="8"/>
      <c r="I308" s="8"/>
      <c r="J308" s="8"/>
      <c r="K308" s="8"/>
      <c r="L308" s="8"/>
      <c r="M308" s="8"/>
      <c r="N308" s="8"/>
      <c r="O308" s="8"/>
      <c r="P308" s="8"/>
      <c r="Q308" s="8"/>
      <c r="R308" s="8"/>
      <c r="S308" s="8"/>
      <c r="T308" s="8"/>
      <c r="U308" s="12"/>
      <c r="V308" s="12"/>
      <c r="W308" s="12"/>
      <c r="X308" s="12"/>
      <c r="Y308" s="12"/>
      <c r="Z308" s="12"/>
      <c r="AA308" s="12"/>
      <c r="AB308" s="12"/>
      <c r="AC308" s="12"/>
      <c r="AD308" s="12"/>
      <c r="AE308" s="12"/>
      <c r="AF308" s="12"/>
    </row>
    <row r="309" spans="1:32" ht="13.2">
      <c r="A309" s="8"/>
      <c r="B309" s="8"/>
      <c r="C309" s="8"/>
      <c r="D309" s="8"/>
      <c r="E309" s="8"/>
      <c r="F309" s="8"/>
      <c r="G309" s="8"/>
      <c r="H309" s="8"/>
      <c r="I309" s="8"/>
      <c r="J309" s="8"/>
      <c r="K309" s="8"/>
      <c r="L309" s="8"/>
      <c r="M309" s="8"/>
      <c r="N309" s="8"/>
      <c r="O309" s="8"/>
      <c r="P309" s="8"/>
      <c r="Q309" s="8"/>
      <c r="R309" s="8"/>
      <c r="S309" s="8"/>
      <c r="T309" s="8"/>
      <c r="U309" s="12"/>
      <c r="V309" s="12"/>
      <c r="W309" s="12"/>
      <c r="X309" s="12"/>
      <c r="Y309" s="12"/>
      <c r="Z309" s="12"/>
      <c r="AA309" s="12"/>
      <c r="AB309" s="12"/>
      <c r="AC309" s="12"/>
      <c r="AD309" s="12"/>
      <c r="AE309" s="12"/>
      <c r="AF309" s="12"/>
    </row>
    <row r="310" spans="1:32" ht="13.2">
      <c r="A310" s="8"/>
      <c r="B310" s="8"/>
      <c r="C310" s="8"/>
      <c r="D310" s="8"/>
      <c r="E310" s="8"/>
      <c r="F310" s="8"/>
      <c r="G310" s="8"/>
      <c r="H310" s="8"/>
      <c r="I310" s="8"/>
      <c r="J310" s="8"/>
      <c r="K310" s="8"/>
      <c r="L310" s="8"/>
      <c r="M310" s="8"/>
      <c r="N310" s="8"/>
      <c r="O310" s="8"/>
      <c r="P310" s="8"/>
      <c r="Q310" s="8"/>
      <c r="R310" s="8"/>
      <c r="S310" s="8"/>
      <c r="T310" s="8"/>
      <c r="U310" s="12"/>
      <c r="V310" s="12"/>
      <c r="W310" s="12"/>
      <c r="X310" s="12"/>
      <c r="Y310" s="12"/>
      <c r="Z310" s="12"/>
      <c r="AA310" s="12"/>
      <c r="AB310" s="12"/>
      <c r="AC310" s="12"/>
      <c r="AD310" s="12"/>
      <c r="AE310" s="12"/>
      <c r="AF310" s="12"/>
    </row>
    <row r="311" spans="1:32" ht="13.2">
      <c r="A311" s="8"/>
      <c r="B311" s="8"/>
      <c r="C311" s="8"/>
      <c r="D311" s="8"/>
      <c r="E311" s="8"/>
      <c r="F311" s="8"/>
      <c r="G311" s="8"/>
      <c r="H311" s="8"/>
      <c r="I311" s="8"/>
      <c r="J311" s="8"/>
      <c r="K311" s="8"/>
      <c r="L311" s="8"/>
      <c r="M311" s="8"/>
      <c r="N311" s="8"/>
      <c r="O311" s="8"/>
      <c r="P311" s="8"/>
      <c r="Q311" s="8"/>
      <c r="R311" s="8"/>
      <c r="S311" s="8"/>
      <c r="T311" s="8"/>
      <c r="U311" s="12"/>
      <c r="V311" s="12"/>
      <c r="W311" s="12"/>
      <c r="X311" s="12"/>
      <c r="Y311" s="12"/>
      <c r="Z311" s="12"/>
      <c r="AA311" s="12"/>
      <c r="AB311" s="12"/>
      <c r="AC311" s="12"/>
      <c r="AD311" s="12"/>
      <c r="AE311" s="12"/>
      <c r="AF311" s="12"/>
    </row>
    <row r="312" spans="1:32" ht="13.2">
      <c r="A312" s="8"/>
      <c r="B312" s="8"/>
      <c r="C312" s="8"/>
      <c r="D312" s="8"/>
      <c r="E312" s="8"/>
      <c r="F312" s="8"/>
      <c r="G312" s="8"/>
      <c r="H312" s="8"/>
      <c r="I312" s="8"/>
      <c r="J312" s="8"/>
      <c r="K312" s="8"/>
      <c r="L312" s="8"/>
      <c r="M312" s="8"/>
      <c r="N312" s="8"/>
      <c r="O312" s="8"/>
      <c r="P312" s="8"/>
      <c r="Q312" s="8"/>
      <c r="R312" s="8"/>
      <c r="S312" s="8"/>
      <c r="T312" s="8"/>
      <c r="U312" s="12"/>
      <c r="V312" s="12"/>
      <c r="W312" s="12"/>
      <c r="X312" s="12"/>
      <c r="Y312" s="12"/>
      <c r="Z312" s="12"/>
      <c r="AA312" s="12"/>
      <c r="AB312" s="12"/>
      <c r="AC312" s="12"/>
      <c r="AD312" s="12"/>
      <c r="AE312" s="12"/>
      <c r="AF312" s="12"/>
    </row>
    <row r="313" spans="1:32" ht="13.2">
      <c r="A313" s="8"/>
      <c r="B313" s="8"/>
      <c r="C313" s="8"/>
      <c r="D313" s="8"/>
      <c r="E313" s="8"/>
      <c r="F313" s="8"/>
      <c r="G313" s="8"/>
      <c r="H313" s="8"/>
      <c r="I313" s="8"/>
      <c r="J313" s="8"/>
      <c r="K313" s="8"/>
      <c r="L313" s="8"/>
      <c r="M313" s="8"/>
      <c r="N313" s="8"/>
      <c r="O313" s="8"/>
      <c r="P313" s="8"/>
      <c r="Q313" s="8"/>
      <c r="R313" s="8"/>
      <c r="S313" s="8"/>
      <c r="T313" s="8"/>
      <c r="U313" s="12"/>
      <c r="V313" s="12"/>
      <c r="W313" s="12"/>
      <c r="X313" s="12"/>
      <c r="Y313" s="12"/>
      <c r="Z313" s="12"/>
      <c r="AA313" s="12"/>
      <c r="AB313" s="12"/>
      <c r="AC313" s="12"/>
      <c r="AD313" s="12"/>
      <c r="AE313" s="12"/>
      <c r="AF313" s="12"/>
    </row>
    <row r="314" spans="1:32" ht="13.2">
      <c r="A314" s="8"/>
      <c r="B314" s="8"/>
      <c r="C314" s="8"/>
      <c r="D314" s="8"/>
      <c r="E314" s="8"/>
      <c r="F314" s="8"/>
      <c r="G314" s="8"/>
      <c r="H314" s="8"/>
      <c r="I314" s="8"/>
      <c r="J314" s="8"/>
      <c r="K314" s="8"/>
      <c r="L314" s="8"/>
      <c r="M314" s="8"/>
      <c r="N314" s="8"/>
      <c r="O314" s="8"/>
      <c r="P314" s="8"/>
      <c r="Q314" s="8"/>
      <c r="R314" s="8"/>
      <c r="S314" s="8"/>
      <c r="T314" s="8"/>
      <c r="U314" s="12"/>
      <c r="V314" s="12"/>
      <c r="W314" s="12"/>
      <c r="X314" s="12"/>
      <c r="Y314" s="12"/>
      <c r="Z314" s="12"/>
      <c r="AA314" s="12"/>
      <c r="AB314" s="12"/>
      <c r="AC314" s="12"/>
      <c r="AD314" s="12"/>
      <c r="AE314" s="12"/>
      <c r="AF314" s="12"/>
    </row>
    <row r="315" spans="1:32" ht="13.2">
      <c r="A315" s="8"/>
      <c r="B315" s="8"/>
      <c r="C315" s="8"/>
      <c r="D315" s="8"/>
      <c r="E315" s="8"/>
      <c r="F315" s="8"/>
      <c r="G315" s="8"/>
      <c r="H315" s="8"/>
      <c r="I315" s="8"/>
      <c r="J315" s="8"/>
      <c r="K315" s="8"/>
      <c r="L315" s="8"/>
      <c r="M315" s="8"/>
      <c r="N315" s="8"/>
      <c r="O315" s="8"/>
      <c r="P315" s="8"/>
      <c r="Q315" s="8"/>
      <c r="R315" s="8"/>
      <c r="S315" s="8"/>
      <c r="T315" s="8"/>
      <c r="U315" s="12"/>
      <c r="V315" s="12"/>
      <c r="W315" s="12"/>
      <c r="X315" s="12"/>
      <c r="Y315" s="12"/>
      <c r="Z315" s="12"/>
      <c r="AA315" s="12"/>
      <c r="AB315" s="12"/>
      <c r="AC315" s="12"/>
      <c r="AD315" s="12"/>
      <c r="AE315" s="12"/>
      <c r="AF315" s="12"/>
    </row>
    <row r="316" spans="1:32" ht="13.2">
      <c r="A316" s="8"/>
      <c r="B316" s="8"/>
      <c r="C316" s="8"/>
      <c r="D316" s="8"/>
      <c r="E316" s="8"/>
      <c r="F316" s="8"/>
      <c r="G316" s="8"/>
      <c r="H316" s="8"/>
      <c r="I316" s="8"/>
      <c r="J316" s="8"/>
      <c r="K316" s="8"/>
      <c r="L316" s="8"/>
      <c r="M316" s="8"/>
      <c r="N316" s="8"/>
      <c r="O316" s="8"/>
      <c r="P316" s="8"/>
      <c r="Q316" s="8"/>
      <c r="R316" s="8"/>
      <c r="S316" s="8"/>
      <c r="T316" s="8"/>
      <c r="U316" s="12"/>
      <c r="V316" s="12"/>
      <c r="W316" s="12"/>
      <c r="X316" s="12"/>
      <c r="Y316" s="12"/>
      <c r="Z316" s="12"/>
      <c r="AA316" s="12"/>
      <c r="AB316" s="12"/>
      <c r="AC316" s="12"/>
      <c r="AD316" s="12"/>
      <c r="AE316" s="12"/>
      <c r="AF316" s="12"/>
    </row>
    <row r="317" spans="1:32" ht="13.2">
      <c r="A317" s="8"/>
      <c r="B317" s="8"/>
      <c r="C317" s="8"/>
      <c r="D317" s="8"/>
      <c r="E317" s="8"/>
      <c r="F317" s="8"/>
      <c r="G317" s="8"/>
      <c r="H317" s="8"/>
      <c r="I317" s="8"/>
      <c r="J317" s="8"/>
      <c r="K317" s="8"/>
      <c r="L317" s="8"/>
      <c r="M317" s="8"/>
      <c r="N317" s="8"/>
      <c r="O317" s="8"/>
      <c r="P317" s="8"/>
      <c r="Q317" s="8"/>
      <c r="R317" s="8"/>
      <c r="S317" s="8"/>
      <c r="T317" s="8"/>
      <c r="U317" s="12"/>
      <c r="V317" s="12"/>
      <c r="W317" s="12"/>
      <c r="X317" s="12"/>
      <c r="Y317" s="12"/>
      <c r="Z317" s="12"/>
      <c r="AA317" s="12"/>
      <c r="AB317" s="12"/>
      <c r="AC317" s="12"/>
      <c r="AD317" s="12"/>
      <c r="AE317" s="12"/>
      <c r="AF317" s="12"/>
    </row>
    <row r="318" spans="1:32" ht="13.2">
      <c r="A318" s="8"/>
      <c r="B318" s="8"/>
      <c r="C318" s="8"/>
      <c r="D318" s="8"/>
      <c r="E318" s="8"/>
      <c r="F318" s="8"/>
      <c r="G318" s="8"/>
      <c r="H318" s="8"/>
      <c r="I318" s="8"/>
      <c r="J318" s="8"/>
      <c r="K318" s="8"/>
      <c r="L318" s="8"/>
      <c r="M318" s="8"/>
      <c r="N318" s="8"/>
      <c r="O318" s="8"/>
      <c r="P318" s="8"/>
      <c r="Q318" s="8"/>
      <c r="R318" s="8"/>
      <c r="S318" s="8"/>
      <c r="T318" s="8"/>
      <c r="U318" s="12"/>
      <c r="V318" s="12"/>
      <c r="W318" s="12"/>
      <c r="X318" s="12"/>
      <c r="Y318" s="12"/>
      <c r="Z318" s="12"/>
      <c r="AA318" s="12"/>
      <c r="AB318" s="12"/>
      <c r="AC318" s="12"/>
      <c r="AD318" s="12"/>
      <c r="AE318" s="12"/>
      <c r="AF318" s="12"/>
    </row>
    <row r="319" spans="1:32" ht="13.2">
      <c r="A319" s="8"/>
      <c r="B319" s="8"/>
      <c r="C319" s="8"/>
      <c r="D319" s="8"/>
      <c r="E319" s="8"/>
      <c r="F319" s="8"/>
      <c r="G319" s="8"/>
      <c r="H319" s="8"/>
      <c r="I319" s="8"/>
      <c r="J319" s="8"/>
      <c r="K319" s="8"/>
      <c r="L319" s="8"/>
      <c r="M319" s="8"/>
      <c r="N319" s="8"/>
      <c r="O319" s="8"/>
      <c r="P319" s="8"/>
      <c r="Q319" s="8"/>
      <c r="R319" s="8"/>
      <c r="S319" s="8"/>
      <c r="T319" s="8"/>
      <c r="U319" s="12"/>
      <c r="V319" s="12"/>
      <c r="W319" s="12"/>
      <c r="X319" s="12"/>
      <c r="Y319" s="12"/>
      <c r="Z319" s="12"/>
      <c r="AA319" s="12"/>
      <c r="AB319" s="12"/>
      <c r="AC319" s="12"/>
      <c r="AD319" s="12"/>
      <c r="AE319" s="12"/>
      <c r="AF319" s="12"/>
    </row>
    <row r="320" spans="1:32" ht="13.2">
      <c r="A320" s="8"/>
      <c r="B320" s="8"/>
      <c r="C320" s="8"/>
      <c r="D320" s="8"/>
      <c r="E320" s="8"/>
      <c r="F320" s="8"/>
      <c r="G320" s="8"/>
      <c r="H320" s="8"/>
      <c r="I320" s="8"/>
      <c r="J320" s="8"/>
      <c r="K320" s="8"/>
      <c r="L320" s="8"/>
      <c r="M320" s="8"/>
      <c r="N320" s="8"/>
      <c r="O320" s="8"/>
      <c r="P320" s="8"/>
      <c r="Q320" s="8"/>
      <c r="R320" s="8"/>
      <c r="S320" s="8"/>
      <c r="T320" s="8"/>
      <c r="U320" s="12"/>
      <c r="V320" s="12"/>
      <c r="W320" s="12"/>
      <c r="X320" s="12"/>
      <c r="Y320" s="12"/>
      <c r="Z320" s="12"/>
      <c r="AA320" s="12"/>
      <c r="AB320" s="12"/>
      <c r="AC320" s="12"/>
      <c r="AD320" s="12"/>
      <c r="AE320" s="12"/>
      <c r="AF320" s="12"/>
    </row>
    <row r="321" spans="1:32" ht="13.2">
      <c r="A321" s="8"/>
      <c r="B321" s="8"/>
      <c r="C321" s="8"/>
      <c r="D321" s="8"/>
      <c r="E321" s="8"/>
      <c r="F321" s="8"/>
      <c r="G321" s="8"/>
      <c r="H321" s="8"/>
      <c r="I321" s="8"/>
      <c r="J321" s="8"/>
      <c r="K321" s="8"/>
      <c r="L321" s="8"/>
      <c r="M321" s="8"/>
      <c r="N321" s="8"/>
      <c r="O321" s="8"/>
      <c r="P321" s="8"/>
      <c r="Q321" s="8"/>
      <c r="R321" s="8"/>
      <c r="S321" s="8"/>
      <c r="T321" s="8"/>
      <c r="U321" s="12"/>
      <c r="V321" s="12"/>
      <c r="W321" s="12"/>
      <c r="X321" s="12"/>
      <c r="Y321" s="12"/>
      <c r="Z321" s="12"/>
      <c r="AA321" s="12"/>
      <c r="AB321" s="12"/>
      <c r="AC321" s="12"/>
      <c r="AD321" s="12"/>
      <c r="AE321" s="12"/>
      <c r="AF321" s="12"/>
    </row>
    <row r="322" spans="1:32" ht="13.2">
      <c r="A322" s="8"/>
      <c r="B322" s="8"/>
      <c r="C322" s="8"/>
      <c r="D322" s="8"/>
      <c r="E322" s="8"/>
      <c r="F322" s="8"/>
      <c r="G322" s="8"/>
      <c r="H322" s="8"/>
      <c r="I322" s="8"/>
      <c r="J322" s="8"/>
      <c r="K322" s="8"/>
      <c r="L322" s="8"/>
      <c r="M322" s="8"/>
      <c r="N322" s="8"/>
      <c r="O322" s="8"/>
      <c r="P322" s="8"/>
      <c r="Q322" s="8"/>
      <c r="R322" s="8"/>
      <c r="S322" s="8"/>
      <c r="T322" s="8"/>
      <c r="U322" s="12"/>
      <c r="V322" s="12"/>
      <c r="W322" s="12"/>
      <c r="X322" s="12"/>
      <c r="Y322" s="12"/>
      <c r="Z322" s="12"/>
      <c r="AA322" s="12"/>
      <c r="AB322" s="12"/>
      <c r="AC322" s="12"/>
      <c r="AD322" s="12"/>
      <c r="AE322" s="12"/>
      <c r="AF322" s="12"/>
    </row>
    <row r="323" spans="1:32" ht="13.2">
      <c r="A323" s="8"/>
      <c r="B323" s="8"/>
      <c r="C323" s="8"/>
      <c r="D323" s="8"/>
      <c r="E323" s="8"/>
      <c r="F323" s="8"/>
      <c r="G323" s="8"/>
      <c r="H323" s="8"/>
      <c r="I323" s="8"/>
      <c r="J323" s="8"/>
      <c r="K323" s="8"/>
      <c r="L323" s="8"/>
      <c r="M323" s="8"/>
      <c r="N323" s="8"/>
      <c r="O323" s="8"/>
      <c r="P323" s="8"/>
      <c r="Q323" s="8"/>
      <c r="R323" s="8"/>
      <c r="S323" s="8"/>
      <c r="T323" s="8"/>
      <c r="U323" s="12"/>
      <c r="V323" s="12"/>
      <c r="W323" s="12"/>
      <c r="X323" s="12"/>
      <c r="Y323" s="12"/>
      <c r="Z323" s="12"/>
      <c r="AA323" s="12"/>
      <c r="AB323" s="12"/>
      <c r="AC323" s="12"/>
      <c r="AD323" s="12"/>
      <c r="AE323" s="12"/>
      <c r="AF323" s="12"/>
    </row>
    <row r="324" spans="1:32" ht="13.2">
      <c r="A324" s="8"/>
      <c r="B324" s="8"/>
      <c r="C324" s="8"/>
      <c r="D324" s="8"/>
      <c r="E324" s="8"/>
      <c r="F324" s="8"/>
      <c r="G324" s="8"/>
      <c r="H324" s="8"/>
      <c r="I324" s="8"/>
      <c r="J324" s="8"/>
      <c r="K324" s="8"/>
      <c r="L324" s="8"/>
      <c r="M324" s="8"/>
      <c r="N324" s="8"/>
      <c r="O324" s="8"/>
      <c r="P324" s="8"/>
      <c r="Q324" s="8"/>
      <c r="R324" s="8"/>
      <c r="S324" s="8"/>
      <c r="T324" s="8"/>
      <c r="U324" s="12"/>
      <c r="V324" s="12"/>
      <c r="W324" s="12"/>
      <c r="X324" s="12"/>
      <c r="Y324" s="12"/>
      <c r="Z324" s="12"/>
      <c r="AA324" s="12"/>
      <c r="AB324" s="12"/>
      <c r="AC324" s="12"/>
      <c r="AD324" s="12"/>
      <c r="AE324" s="12"/>
      <c r="AF324" s="12"/>
    </row>
    <row r="325" spans="1:32" ht="13.2">
      <c r="A325" s="8"/>
      <c r="B325" s="8"/>
      <c r="C325" s="8"/>
      <c r="D325" s="8"/>
      <c r="E325" s="8"/>
      <c r="F325" s="8"/>
      <c r="G325" s="8"/>
      <c r="H325" s="8"/>
      <c r="I325" s="8"/>
      <c r="J325" s="8"/>
      <c r="K325" s="8"/>
      <c r="L325" s="8"/>
      <c r="M325" s="8"/>
      <c r="N325" s="8"/>
      <c r="O325" s="8"/>
      <c r="P325" s="8"/>
      <c r="Q325" s="8"/>
      <c r="R325" s="8"/>
      <c r="S325" s="8"/>
      <c r="T325" s="8"/>
      <c r="U325" s="12"/>
      <c r="V325" s="12"/>
      <c r="W325" s="12"/>
      <c r="X325" s="12"/>
      <c r="Y325" s="12"/>
      <c r="Z325" s="12"/>
      <c r="AA325" s="12"/>
      <c r="AB325" s="12"/>
      <c r="AC325" s="12"/>
      <c r="AD325" s="12"/>
      <c r="AE325" s="12"/>
      <c r="AF325" s="12"/>
    </row>
    <row r="326" spans="1:32" ht="13.2">
      <c r="A326" s="8"/>
      <c r="B326" s="8"/>
      <c r="C326" s="8"/>
      <c r="D326" s="8"/>
      <c r="E326" s="8"/>
      <c r="F326" s="8"/>
      <c r="G326" s="8"/>
      <c r="H326" s="8"/>
      <c r="I326" s="8"/>
      <c r="J326" s="8"/>
      <c r="K326" s="8"/>
      <c r="L326" s="8"/>
      <c r="M326" s="8"/>
      <c r="N326" s="8"/>
      <c r="O326" s="8"/>
      <c r="P326" s="8"/>
      <c r="Q326" s="8"/>
      <c r="R326" s="8"/>
      <c r="S326" s="8"/>
      <c r="T326" s="8"/>
      <c r="U326" s="12"/>
      <c r="V326" s="12"/>
      <c r="W326" s="12"/>
      <c r="X326" s="12"/>
      <c r="Y326" s="12"/>
      <c r="Z326" s="12"/>
      <c r="AA326" s="12"/>
      <c r="AB326" s="12"/>
      <c r="AC326" s="12"/>
      <c r="AD326" s="12"/>
      <c r="AE326" s="12"/>
      <c r="AF326" s="12"/>
    </row>
    <row r="327" spans="1:32" ht="13.2">
      <c r="A327" s="8"/>
      <c r="B327" s="8"/>
      <c r="C327" s="8"/>
      <c r="D327" s="8"/>
      <c r="E327" s="8"/>
      <c r="F327" s="8"/>
      <c r="G327" s="8"/>
      <c r="H327" s="8"/>
      <c r="I327" s="8"/>
      <c r="J327" s="8"/>
      <c r="K327" s="8"/>
      <c r="L327" s="8"/>
      <c r="M327" s="8"/>
      <c r="N327" s="8"/>
      <c r="O327" s="8"/>
      <c r="P327" s="8"/>
      <c r="Q327" s="8"/>
      <c r="R327" s="8"/>
      <c r="S327" s="8"/>
      <c r="T327" s="8"/>
      <c r="U327" s="12"/>
      <c r="V327" s="12"/>
      <c r="W327" s="12"/>
      <c r="X327" s="12"/>
      <c r="Y327" s="12"/>
      <c r="Z327" s="12"/>
      <c r="AA327" s="12"/>
      <c r="AB327" s="12"/>
      <c r="AC327" s="12"/>
      <c r="AD327" s="12"/>
      <c r="AE327" s="12"/>
      <c r="AF327" s="12"/>
    </row>
    <row r="328" spans="1:32" ht="13.2">
      <c r="A328" s="8"/>
      <c r="B328" s="8"/>
      <c r="C328" s="8"/>
      <c r="D328" s="8"/>
      <c r="E328" s="8"/>
      <c r="F328" s="8"/>
      <c r="G328" s="8"/>
      <c r="H328" s="8"/>
      <c r="I328" s="8"/>
      <c r="J328" s="8"/>
      <c r="K328" s="8"/>
      <c r="L328" s="8"/>
      <c r="M328" s="8"/>
      <c r="N328" s="8"/>
      <c r="O328" s="8"/>
      <c r="P328" s="8"/>
      <c r="Q328" s="8"/>
      <c r="R328" s="8"/>
      <c r="S328" s="8"/>
      <c r="T328" s="8"/>
      <c r="U328" s="12"/>
      <c r="V328" s="12"/>
      <c r="W328" s="12"/>
      <c r="X328" s="12"/>
      <c r="Y328" s="12"/>
      <c r="Z328" s="12"/>
      <c r="AA328" s="12"/>
      <c r="AB328" s="12"/>
      <c r="AC328" s="12"/>
      <c r="AD328" s="12"/>
      <c r="AE328" s="12"/>
      <c r="AF328" s="12"/>
    </row>
    <row r="329" spans="1:32" ht="13.2">
      <c r="A329" s="8"/>
      <c r="B329" s="8"/>
      <c r="C329" s="8"/>
      <c r="D329" s="8"/>
      <c r="E329" s="8"/>
      <c r="F329" s="8"/>
      <c r="G329" s="8"/>
      <c r="H329" s="8"/>
      <c r="I329" s="8"/>
      <c r="J329" s="8"/>
      <c r="K329" s="8"/>
      <c r="L329" s="8"/>
      <c r="M329" s="8"/>
      <c r="N329" s="8"/>
      <c r="O329" s="8"/>
      <c r="P329" s="8"/>
      <c r="Q329" s="8"/>
      <c r="R329" s="8"/>
      <c r="S329" s="8"/>
      <c r="T329" s="8"/>
      <c r="U329" s="12"/>
      <c r="V329" s="12"/>
      <c r="W329" s="12"/>
      <c r="X329" s="12"/>
      <c r="Y329" s="12"/>
      <c r="Z329" s="12"/>
      <c r="AA329" s="12"/>
      <c r="AB329" s="12"/>
      <c r="AC329" s="12"/>
      <c r="AD329" s="12"/>
      <c r="AE329" s="12"/>
      <c r="AF329" s="12"/>
    </row>
    <row r="330" spans="1:32" ht="13.2">
      <c r="A330" s="8"/>
      <c r="B330" s="8"/>
      <c r="C330" s="8"/>
      <c r="D330" s="8"/>
      <c r="E330" s="8"/>
      <c r="F330" s="8"/>
      <c r="G330" s="8"/>
      <c r="H330" s="8"/>
      <c r="I330" s="8"/>
      <c r="J330" s="8"/>
      <c r="K330" s="8"/>
      <c r="L330" s="8"/>
      <c r="M330" s="8"/>
      <c r="N330" s="8"/>
      <c r="O330" s="8"/>
      <c r="P330" s="8"/>
      <c r="Q330" s="8"/>
      <c r="R330" s="8"/>
      <c r="S330" s="8"/>
      <c r="T330" s="8"/>
      <c r="U330" s="12"/>
      <c r="V330" s="12"/>
      <c r="W330" s="12"/>
      <c r="X330" s="12"/>
      <c r="Y330" s="12"/>
      <c r="Z330" s="12"/>
      <c r="AA330" s="12"/>
      <c r="AB330" s="12"/>
      <c r="AC330" s="12"/>
      <c r="AD330" s="12"/>
      <c r="AE330" s="12"/>
      <c r="AF330" s="12"/>
    </row>
    <row r="331" spans="1:32" ht="13.2">
      <c r="A331" s="8"/>
      <c r="B331" s="8"/>
      <c r="C331" s="8"/>
      <c r="D331" s="8"/>
      <c r="E331" s="8"/>
      <c r="F331" s="8"/>
      <c r="G331" s="8"/>
      <c r="H331" s="8"/>
      <c r="I331" s="8"/>
      <c r="J331" s="8"/>
      <c r="K331" s="8"/>
      <c r="L331" s="8"/>
      <c r="M331" s="8"/>
      <c r="N331" s="8"/>
      <c r="O331" s="8"/>
      <c r="P331" s="8"/>
      <c r="Q331" s="8"/>
      <c r="R331" s="8"/>
      <c r="S331" s="8"/>
      <c r="T331" s="8"/>
      <c r="U331" s="12"/>
      <c r="V331" s="12"/>
      <c r="W331" s="12"/>
      <c r="X331" s="12"/>
      <c r="Y331" s="12"/>
      <c r="Z331" s="12"/>
      <c r="AA331" s="12"/>
      <c r="AB331" s="12"/>
      <c r="AC331" s="12"/>
      <c r="AD331" s="12"/>
      <c r="AE331" s="12"/>
      <c r="AF331" s="12"/>
    </row>
    <row r="332" spans="1:32" ht="13.2">
      <c r="A332" s="8"/>
      <c r="B332" s="8"/>
      <c r="C332" s="8"/>
      <c r="D332" s="8"/>
      <c r="E332" s="8"/>
      <c r="F332" s="8"/>
      <c r="G332" s="8"/>
      <c r="H332" s="8"/>
      <c r="I332" s="8"/>
      <c r="J332" s="8"/>
      <c r="K332" s="8"/>
      <c r="L332" s="8"/>
      <c r="M332" s="8"/>
      <c r="N332" s="8"/>
      <c r="O332" s="8"/>
      <c r="P332" s="8"/>
      <c r="Q332" s="8"/>
      <c r="R332" s="8"/>
      <c r="S332" s="8"/>
      <c r="T332" s="8"/>
      <c r="U332" s="12"/>
      <c r="V332" s="12"/>
      <c r="W332" s="12"/>
      <c r="X332" s="12"/>
      <c r="Y332" s="12"/>
      <c r="Z332" s="12"/>
      <c r="AA332" s="12"/>
      <c r="AB332" s="12"/>
      <c r="AC332" s="12"/>
      <c r="AD332" s="12"/>
      <c r="AE332" s="12"/>
      <c r="AF332" s="12"/>
    </row>
    <row r="333" spans="1:32" ht="13.2">
      <c r="A333" s="8"/>
      <c r="B333" s="8"/>
      <c r="C333" s="8"/>
      <c r="D333" s="8"/>
      <c r="E333" s="8"/>
      <c r="F333" s="8"/>
      <c r="G333" s="8"/>
      <c r="H333" s="8"/>
      <c r="I333" s="8"/>
      <c r="J333" s="8"/>
      <c r="K333" s="8"/>
      <c r="L333" s="8"/>
      <c r="M333" s="8"/>
      <c r="N333" s="8"/>
      <c r="O333" s="8"/>
      <c r="P333" s="8"/>
      <c r="Q333" s="8"/>
      <c r="R333" s="8"/>
      <c r="S333" s="8"/>
      <c r="T333" s="8"/>
      <c r="U333" s="12"/>
      <c r="V333" s="12"/>
      <c r="W333" s="12"/>
      <c r="X333" s="12"/>
      <c r="Y333" s="12"/>
      <c r="Z333" s="12"/>
      <c r="AA333" s="12"/>
      <c r="AB333" s="12"/>
      <c r="AC333" s="12"/>
      <c r="AD333" s="12"/>
      <c r="AE333" s="12"/>
      <c r="AF333" s="12"/>
    </row>
    <row r="334" spans="1:32" ht="13.2">
      <c r="A334" s="8"/>
      <c r="B334" s="8"/>
      <c r="C334" s="8"/>
      <c r="D334" s="8"/>
      <c r="E334" s="8"/>
      <c r="F334" s="8"/>
      <c r="G334" s="8"/>
      <c r="H334" s="8"/>
      <c r="I334" s="8"/>
      <c r="J334" s="8"/>
      <c r="K334" s="8"/>
      <c r="L334" s="8"/>
      <c r="M334" s="8"/>
      <c r="N334" s="8"/>
      <c r="O334" s="8"/>
      <c r="P334" s="8"/>
      <c r="Q334" s="8"/>
      <c r="R334" s="8"/>
      <c r="S334" s="8"/>
      <c r="T334" s="8"/>
      <c r="U334" s="12"/>
      <c r="V334" s="12"/>
      <c r="W334" s="12"/>
      <c r="X334" s="12"/>
      <c r="Y334" s="12"/>
      <c r="Z334" s="12"/>
      <c r="AA334" s="12"/>
      <c r="AB334" s="12"/>
      <c r="AC334" s="12"/>
      <c r="AD334" s="12"/>
      <c r="AE334" s="12"/>
      <c r="AF334" s="12"/>
    </row>
    <row r="335" spans="1:32" ht="13.2">
      <c r="A335" s="8"/>
      <c r="B335" s="8"/>
      <c r="C335" s="8"/>
      <c r="D335" s="8"/>
      <c r="E335" s="8"/>
      <c r="F335" s="8"/>
      <c r="G335" s="8"/>
      <c r="H335" s="8"/>
      <c r="I335" s="8"/>
      <c r="J335" s="8"/>
      <c r="K335" s="8"/>
      <c r="L335" s="8"/>
      <c r="M335" s="8"/>
      <c r="N335" s="8"/>
      <c r="O335" s="8"/>
      <c r="P335" s="8"/>
      <c r="Q335" s="8"/>
      <c r="R335" s="8"/>
      <c r="S335" s="8"/>
      <c r="T335" s="8"/>
      <c r="U335" s="12"/>
      <c r="V335" s="12"/>
      <c r="W335" s="12"/>
      <c r="X335" s="12"/>
      <c r="Y335" s="12"/>
      <c r="Z335" s="12"/>
      <c r="AA335" s="12"/>
      <c r="AB335" s="12"/>
      <c r="AC335" s="12"/>
      <c r="AD335" s="12"/>
      <c r="AE335" s="12"/>
      <c r="AF335" s="12"/>
    </row>
    <row r="336" spans="1:32" ht="13.2">
      <c r="A336" s="8"/>
      <c r="B336" s="8"/>
      <c r="C336" s="8"/>
      <c r="D336" s="8"/>
      <c r="E336" s="8"/>
      <c r="F336" s="8"/>
      <c r="G336" s="8"/>
      <c r="H336" s="8"/>
      <c r="I336" s="8"/>
      <c r="J336" s="8"/>
      <c r="K336" s="8"/>
      <c r="L336" s="8"/>
      <c r="M336" s="8"/>
      <c r="N336" s="8"/>
      <c r="O336" s="8"/>
      <c r="P336" s="8"/>
      <c r="Q336" s="8"/>
      <c r="R336" s="8"/>
      <c r="S336" s="8"/>
      <c r="T336" s="8"/>
      <c r="U336" s="12"/>
      <c r="V336" s="12"/>
      <c r="W336" s="12"/>
      <c r="X336" s="12"/>
      <c r="Y336" s="12"/>
      <c r="Z336" s="12"/>
      <c r="AA336" s="12"/>
      <c r="AB336" s="12"/>
      <c r="AC336" s="12"/>
      <c r="AD336" s="12"/>
      <c r="AE336" s="12"/>
      <c r="AF336" s="12"/>
    </row>
    <row r="337" spans="1:32" ht="13.2">
      <c r="A337" s="8"/>
      <c r="B337" s="8"/>
      <c r="C337" s="8"/>
      <c r="D337" s="8"/>
      <c r="E337" s="8"/>
      <c r="F337" s="8"/>
      <c r="G337" s="8"/>
      <c r="H337" s="8"/>
      <c r="I337" s="8"/>
      <c r="J337" s="8"/>
      <c r="K337" s="8"/>
      <c r="L337" s="8"/>
      <c r="M337" s="8"/>
      <c r="N337" s="8"/>
      <c r="O337" s="8"/>
      <c r="P337" s="8"/>
      <c r="Q337" s="8"/>
      <c r="R337" s="8"/>
      <c r="S337" s="8"/>
      <c r="T337" s="8"/>
      <c r="U337" s="12"/>
      <c r="V337" s="12"/>
      <c r="W337" s="12"/>
      <c r="X337" s="12"/>
      <c r="Y337" s="12"/>
      <c r="Z337" s="12"/>
      <c r="AA337" s="12"/>
      <c r="AB337" s="12"/>
      <c r="AC337" s="12"/>
      <c r="AD337" s="12"/>
      <c r="AE337" s="12"/>
      <c r="AF337" s="12"/>
    </row>
    <row r="338" spans="1:32" ht="13.2">
      <c r="A338" s="8"/>
      <c r="B338" s="8"/>
      <c r="C338" s="8"/>
      <c r="D338" s="8"/>
      <c r="E338" s="8"/>
      <c r="F338" s="8"/>
      <c r="G338" s="8"/>
      <c r="H338" s="8"/>
      <c r="I338" s="8"/>
      <c r="J338" s="8"/>
      <c r="K338" s="8"/>
      <c r="L338" s="8"/>
      <c r="M338" s="8"/>
      <c r="N338" s="8"/>
      <c r="O338" s="8"/>
      <c r="P338" s="8"/>
      <c r="Q338" s="8"/>
      <c r="R338" s="8"/>
      <c r="S338" s="8"/>
      <c r="T338" s="8"/>
      <c r="U338" s="12"/>
      <c r="V338" s="12"/>
      <c r="W338" s="12"/>
      <c r="X338" s="12"/>
      <c r="Y338" s="12"/>
      <c r="Z338" s="12"/>
      <c r="AA338" s="12"/>
      <c r="AB338" s="12"/>
      <c r="AC338" s="12"/>
      <c r="AD338" s="12"/>
      <c r="AE338" s="12"/>
      <c r="AF338" s="12"/>
    </row>
    <row r="339" spans="1:32" ht="13.2">
      <c r="A339" s="8"/>
      <c r="B339" s="8"/>
      <c r="C339" s="8"/>
      <c r="D339" s="8"/>
      <c r="E339" s="8"/>
      <c r="F339" s="8"/>
      <c r="G339" s="8"/>
      <c r="H339" s="8"/>
      <c r="I339" s="8"/>
      <c r="J339" s="8"/>
      <c r="K339" s="8"/>
      <c r="L339" s="8"/>
      <c r="M339" s="8"/>
      <c r="N339" s="8"/>
      <c r="O339" s="8"/>
      <c r="P339" s="8"/>
      <c r="Q339" s="8"/>
      <c r="R339" s="8"/>
      <c r="S339" s="8"/>
      <c r="T339" s="8"/>
      <c r="U339" s="12"/>
      <c r="V339" s="12"/>
      <c r="W339" s="12"/>
      <c r="X339" s="12"/>
      <c r="Y339" s="12"/>
      <c r="Z339" s="12"/>
      <c r="AA339" s="12"/>
      <c r="AB339" s="12"/>
      <c r="AC339" s="12"/>
      <c r="AD339" s="12"/>
      <c r="AE339" s="12"/>
      <c r="AF339" s="12"/>
    </row>
    <row r="340" spans="1:32" ht="13.2">
      <c r="A340" s="8"/>
      <c r="B340" s="8"/>
      <c r="C340" s="8"/>
      <c r="D340" s="8"/>
      <c r="E340" s="8"/>
      <c r="F340" s="8"/>
      <c r="G340" s="8"/>
      <c r="H340" s="8"/>
      <c r="I340" s="8"/>
      <c r="J340" s="8"/>
      <c r="K340" s="8"/>
      <c r="L340" s="8"/>
      <c r="M340" s="8"/>
      <c r="N340" s="8"/>
      <c r="O340" s="8"/>
      <c r="P340" s="8"/>
      <c r="Q340" s="8"/>
      <c r="R340" s="8"/>
      <c r="S340" s="8"/>
      <c r="T340" s="8"/>
      <c r="U340" s="12"/>
      <c r="V340" s="12"/>
      <c r="W340" s="12"/>
      <c r="X340" s="12"/>
      <c r="Y340" s="12"/>
      <c r="Z340" s="12"/>
      <c r="AA340" s="12"/>
      <c r="AB340" s="12"/>
      <c r="AC340" s="12"/>
      <c r="AD340" s="12"/>
      <c r="AE340" s="12"/>
      <c r="AF340" s="12"/>
    </row>
    <row r="341" spans="1:32" ht="13.2">
      <c r="A341" s="8"/>
      <c r="B341" s="8"/>
      <c r="C341" s="8"/>
      <c r="D341" s="8"/>
      <c r="E341" s="8"/>
      <c r="F341" s="8"/>
      <c r="G341" s="8"/>
      <c r="H341" s="8"/>
      <c r="I341" s="8"/>
      <c r="J341" s="8"/>
      <c r="K341" s="8"/>
      <c r="L341" s="8"/>
      <c r="M341" s="8"/>
      <c r="N341" s="8"/>
      <c r="O341" s="8"/>
      <c r="P341" s="8"/>
      <c r="Q341" s="8"/>
      <c r="R341" s="8"/>
      <c r="S341" s="8"/>
      <c r="T341" s="8"/>
      <c r="U341" s="12"/>
      <c r="V341" s="12"/>
      <c r="W341" s="12"/>
      <c r="X341" s="12"/>
      <c r="Y341" s="12"/>
      <c r="Z341" s="12"/>
      <c r="AA341" s="12"/>
      <c r="AB341" s="12"/>
      <c r="AC341" s="12"/>
      <c r="AD341" s="12"/>
      <c r="AE341" s="12"/>
      <c r="AF341" s="12"/>
    </row>
    <row r="342" spans="1:32" ht="13.2">
      <c r="A342" s="8"/>
      <c r="B342" s="8"/>
      <c r="C342" s="8"/>
      <c r="D342" s="8"/>
      <c r="E342" s="8"/>
      <c r="F342" s="8"/>
      <c r="G342" s="8"/>
      <c r="H342" s="8"/>
      <c r="I342" s="8"/>
      <c r="J342" s="8"/>
      <c r="K342" s="8"/>
      <c r="L342" s="8"/>
      <c r="M342" s="8"/>
      <c r="N342" s="8"/>
      <c r="O342" s="8"/>
      <c r="P342" s="8"/>
      <c r="Q342" s="8"/>
      <c r="R342" s="8"/>
      <c r="S342" s="8"/>
      <c r="T342" s="8"/>
      <c r="U342" s="12"/>
      <c r="V342" s="12"/>
      <c r="W342" s="12"/>
      <c r="X342" s="12"/>
      <c r="Y342" s="12"/>
      <c r="Z342" s="12"/>
      <c r="AA342" s="12"/>
      <c r="AB342" s="12"/>
      <c r="AC342" s="12"/>
      <c r="AD342" s="12"/>
      <c r="AE342" s="12"/>
      <c r="AF342" s="12"/>
    </row>
    <row r="343" spans="1:32" ht="13.2">
      <c r="A343" s="8"/>
      <c r="B343" s="8"/>
      <c r="C343" s="8"/>
      <c r="D343" s="8"/>
      <c r="E343" s="8"/>
      <c r="F343" s="8"/>
      <c r="G343" s="8"/>
      <c r="H343" s="8"/>
      <c r="I343" s="8"/>
      <c r="J343" s="8"/>
      <c r="K343" s="8"/>
      <c r="L343" s="8"/>
      <c r="M343" s="8"/>
      <c r="N343" s="8"/>
      <c r="O343" s="8"/>
      <c r="P343" s="8"/>
      <c r="Q343" s="8"/>
      <c r="R343" s="8"/>
      <c r="S343" s="8"/>
      <c r="T343" s="8"/>
      <c r="U343" s="12"/>
      <c r="V343" s="12"/>
      <c r="W343" s="12"/>
      <c r="X343" s="12"/>
      <c r="Y343" s="12"/>
      <c r="Z343" s="12"/>
      <c r="AA343" s="12"/>
      <c r="AB343" s="12"/>
      <c r="AC343" s="12"/>
      <c r="AD343" s="12"/>
      <c r="AE343" s="12"/>
      <c r="AF343" s="12"/>
    </row>
    <row r="344" spans="1:32" ht="13.2">
      <c r="A344" s="8"/>
      <c r="B344" s="8"/>
      <c r="C344" s="8"/>
      <c r="D344" s="8"/>
      <c r="E344" s="8"/>
      <c r="F344" s="8"/>
      <c r="G344" s="8"/>
      <c r="H344" s="8"/>
      <c r="I344" s="8"/>
      <c r="J344" s="8"/>
      <c r="K344" s="8"/>
      <c r="L344" s="8"/>
      <c r="M344" s="8"/>
      <c r="N344" s="8"/>
      <c r="O344" s="8"/>
      <c r="P344" s="8"/>
      <c r="Q344" s="8"/>
      <c r="R344" s="8"/>
      <c r="S344" s="8"/>
      <c r="T344" s="8"/>
      <c r="U344" s="12"/>
      <c r="V344" s="12"/>
      <c r="W344" s="12"/>
      <c r="X344" s="12"/>
      <c r="Y344" s="12"/>
      <c r="Z344" s="12"/>
      <c r="AA344" s="12"/>
      <c r="AB344" s="12"/>
      <c r="AC344" s="12"/>
      <c r="AD344" s="12"/>
      <c r="AE344" s="12"/>
      <c r="AF344" s="12"/>
    </row>
    <row r="345" spans="1:32" ht="13.2">
      <c r="A345" s="8"/>
      <c r="B345" s="8"/>
      <c r="C345" s="8"/>
      <c r="D345" s="8"/>
      <c r="E345" s="8"/>
      <c r="F345" s="8"/>
      <c r="G345" s="8"/>
      <c r="H345" s="8"/>
      <c r="I345" s="8"/>
      <c r="J345" s="8"/>
      <c r="K345" s="8"/>
      <c r="L345" s="8"/>
      <c r="M345" s="8"/>
      <c r="N345" s="8"/>
      <c r="O345" s="8"/>
      <c r="P345" s="8"/>
      <c r="Q345" s="8"/>
      <c r="R345" s="8"/>
      <c r="S345" s="8"/>
      <c r="T345" s="8"/>
      <c r="U345" s="12"/>
      <c r="V345" s="12"/>
      <c r="W345" s="12"/>
      <c r="X345" s="12"/>
      <c r="Y345" s="12"/>
      <c r="Z345" s="12"/>
      <c r="AA345" s="12"/>
      <c r="AB345" s="12"/>
      <c r="AC345" s="12"/>
      <c r="AD345" s="12"/>
      <c r="AE345" s="12"/>
      <c r="AF345" s="12"/>
    </row>
    <row r="346" spans="1:32" ht="13.2">
      <c r="A346" s="8"/>
      <c r="B346" s="8"/>
      <c r="C346" s="8"/>
      <c r="D346" s="8"/>
      <c r="E346" s="8"/>
      <c r="F346" s="8"/>
      <c r="G346" s="8"/>
      <c r="H346" s="8"/>
      <c r="I346" s="8"/>
      <c r="J346" s="8"/>
      <c r="K346" s="8"/>
      <c r="L346" s="8"/>
      <c r="M346" s="8"/>
      <c r="N346" s="8"/>
      <c r="O346" s="8"/>
      <c r="P346" s="8"/>
      <c r="Q346" s="8"/>
      <c r="R346" s="8"/>
      <c r="S346" s="8"/>
      <c r="T346" s="8"/>
      <c r="U346" s="12"/>
      <c r="V346" s="12"/>
      <c r="W346" s="12"/>
      <c r="X346" s="12"/>
      <c r="Y346" s="12"/>
      <c r="Z346" s="12"/>
      <c r="AA346" s="12"/>
      <c r="AB346" s="12"/>
      <c r="AC346" s="12"/>
      <c r="AD346" s="12"/>
      <c r="AE346" s="12"/>
      <c r="AF346" s="12"/>
    </row>
    <row r="347" spans="1:32" ht="13.2">
      <c r="A347" s="8"/>
      <c r="B347" s="8"/>
      <c r="C347" s="8"/>
      <c r="D347" s="8"/>
      <c r="E347" s="8"/>
      <c r="F347" s="8"/>
      <c r="G347" s="8"/>
      <c r="H347" s="8"/>
      <c r="I347" s="8"/>
      <c r="J347" s="8"/>
      <c r="K347" s="8"/>
      <c r="L347" s="8"/>
      <c r="M347" s="8"/>
      <c r="N347" s="8"/>
      <c r="O347" s="8"/>
      <c r="P347" s="8"/>
      <c r="Q347" s="8"/>
      <c r="R347" s="8"/>
      <c r="S347" s="8"/>
      <c r="T347" s="8"/>
      <c r="U347" s="12"/>
      <c r="V347" s="12"/>
      <c r="W347" s="12"/>
      <c r="X347" s="12"/>
      <c r="Y347" s="12"/>
      <c r="Z347" s="12"/>
      <c r="AA347" s="12"/>
      <c r="AB347" s="12"/>
      <c r="AC347" s="12"/>
      <c r="AD347" s="12"/>
      <c r="AE347" s="12"/>
      <c r="AF347" s="12"/>
    </row>
    <row r="348" spans="1:32" ht="13.2">
      <c r="A348" s="8"/>
      <c r="B348" s="8"/>
      <c r="C348" s="8"/>
      <c r="D348" s="8"/>
      <c r="E348" s="8"/>
      <c r="F348" s="8"/>
      <c r="G348" s="8"/>
      <c r="H348" s="8"/>
      <c r="I348" s="8"/>
      <c r="J348" s="8"/>
      <c r="K348" s="8"/>
      <c r="L348" s="8"/>
      <c r="M348" s="8"/>
      <c r="N348" s="8"/>
      <c r="O348" s="8"/>
      <c r="P348" s="8"/>
      <c r="Q348" s="8"/>
      <c r="R348" s="8"/>
      <c r="S348" s="8"/>
      <c r="T348" s="8"/>
      <c r="U348" s="12"/>
      <c r="V348" s="12"/>
      <c r="W348" s="12"/>
      <c r="X348" s="12"/>
      <c r="Y348" s="12"/>
      <c r="Z348" s="12"/>
      <c r="AA348" s="12"/>
      <c r="AB348" s="12"/>
      <c r="AC348" s="12"/>
      <c r="AD348" s="12"/>
      <c r="AE348" s="12"/>
      <c r="AF348" s="12"/>
    </row>
    <row r="349" spans="1:32" ht="13.2">
      <c r="A349" s="8"/>
      <c r="B349" s="8"/>
      <c r="C349" s="8"/>
      <c r="D349" s="8"/>
      <c r="E349" s="8"/>
      <c r="F349" s="8"/>
      <c r="G349" s="8"/>
      <c r="H349" s="8"/>
      <c r="I349" s="8"/>
      <c r="J349" s="8"/>
      <c r="K349" s="8"/>
      <c r="L349" s="8"/>
      <c r="M349" s="8"/>
      <c r="N349" s="8"/>
      <c r="O349" s="8"/>
      <c r="P349" s="8"/>
      <c r="Q349" s="8"/>
      <c r="R349" s="8"/>
      <c r="S349" s="8"/>
      <c r="T349" s="8"/>
      <c r="U349" s="12"/>
      <c r="V349" s="12"/>
      <c r="W349" s="12"/>
      <c r="X349" s="12"/>
      <c r="Y349" s="12"/>
      <c r="Z349" s="12"/>
      <c r="AA349" s="12"/>
      <c r="AB349" s="12"/>
      <c r="AC349" s="12"/>
      <c r="AD349" s="12"/>
      <c r="AE349" s="12"/>
      <c r="AF349" s="12"/>
    </row>
    <row r="350" spans="1:32" ht="13.2">
      <c r="A350" s="8"/>
      <c r="B350" s="8"/>
      <c r="C350" s="8"/>
      <c r="D350" s="8"/>
      <c r="E350" s="8"/>
      <c r="F350" s="8"/>
      <c r="G350" s="8"/>
      <c r="H350" s="8"/>
      <c r="I350" s="8"/>
      <c r="J350" s="8"/>
      <c r="K350" s="8"/>
      <c r="L350" s="8"/>
      <c r="M350" s="8"/>
      <c r="N350" s="8"/>
      <c r="O350" s="8"/>
      <c r="P350" s="8"/>
      <c r="Q350" s="8"/>
      <c r="R350" s="8"/>
      <c r="S350" s="8"/>
      <c r="T350" s="8"/>
      <c r="U350" s="12"/>
      <c r="V350" s="12"/>
      <c r="W350" s="12"/>
      <c r="X350" s="12"/>
      <c r="Y350" s="12"/>
      <c r="Z350" s="12"/>
      <c r="AA350" s="12"/>
      <c r="AB350" s="12"/>
      <c r="AC350" s="12"/>
      <c r="AD350" s="12"/>
      <c r="AE350" s="12"/>
      <c r="AF350" s="12"/>
    </row>
    <row r="351" spans="1:32" ht="13.2">
      <c r="A351" s="8"/>
      <c r="B351" s="8"/>
      <c r="C351" s="8"/>
      <c r="D351" s="8"/>
      <c r="E351" s="8"/>
      <c r="F351" s="8"/>
      <c r="G351" s="8"/>
      <c r="H351" s="8"/>
      <c r="I351" s="8"/>
      <c r="J351" s="8"/>
      <c r="K351" s="8"/>
      <c r="L351" s="8"/>
      <c r="M351" s="8"/>
      <c r="N351" s="8"/>
      <c r="O351" s="8"/>
      <c r="P351" s="8"/>
      <c r="Q351" s="8"/>
      <c r="R351" s="8"/>
      <c r="S351" s="8"/>
      <c r="T351" s="8"/>
      <c r="U351" s="12"/>
      <c r="V351" s="12"/>
      <c r="W351" s="12"/>
      <c r="X351" s="12"/>
      <c r="Y351" s="12"/>
      <c r="Z351" s="12"/>
      <c r="AA351" s="12"/>
      <c r="AB351" s="12"/>
      <c r="AC351" s="12"/>
      <c r="AD351" s="12"/>
      <c r="AE351" s="12"/>
      <c r="AF351" s="12"/>
    </row>
    <row r="352" spans="1:32" ht="13.2">
      <c r="A352" s="8"/>
      <c r="B352" s="8"/>
      <c r="C352" s="8"/>
      <c r="D352" s="8"/>
      <c r="E352" s="8"/>
      <c r="F352" s="8"/>
      <c r="G352" s="8"/>
      <c r="H352" s="8"/>
      <c r="I352" s="8"/>
      <c r="J352" s="8"/>
      <c r="K352" s="8"/>
      <c r="L352" s="8"/>
      <c r="M352" s="8"/>
      <c r="N352" s="8"/>
      <c r="O352" s="8"/>
      <c r="P352" s="8"/>
      <c r="Q352" s="8"/>
      <c r="R352" s="8"/>
      <c r="S352" s="8"/>
      <c r="T352" s="8"/>
      <c r="U352" s="12"/>
      <c r="V352" s="12"/>
      <c r="W352" s="12"/>
      <c r="X352" s="12"/>
      <c r="Y352" s="12"/>
      <c r="Z352" s="12"/>
      <c r="AA352" s="12"/>
      <c r="AB352" s="12"/>
      <c r="AC352" s="12"/>
      <c r="AD352" s="12"/>
      <c r="AE352" s="12"/>
      <c r="AF352" s="12"/>
    </row>
    <row r="353" spans="1:32" ht="13.2">
      <c r="A353" s="8"/>
      <c r="B353" s="8"/>
      <c r="C353" s="8"/>
      <c r="D353" s="8"/>
      <c r="E353" s="8"/>
      <c r="F353" s="8"/>
      <c r="G353" s="8"/>
      <c r="H353" s="8"/>
      <c r="I353" s="8"/>
      <c r="J353" s="8"/>
      <c r="K353" s="8"/>
      <c r="L353" s="8"/>
      <c r="M353" s="8"/>
      <c r="N353" s="8"/>
      <c r="O353" s="8"/>
      <c r="P353" s="8"/>
      <c r="Q353" s="8"/>
      <c r="R353" s="8"/>
      <c r="S353" s="8"/>
      <c r="T353" s="8"/>
      <c r="U353" s="12"/>
      <c r="V353" s="12"/>
      <c r="W353" s="12"/>
      <c r="X353" s="12"/>
      <c r="Y353" s="12"/>
      <c r="Z353" s="12"/>
      <c r="AA353" s="12"/>
      <c r="AB353" s="12"/>
      <c r="AC353" s="12"/>
      <c r="AD353" s="12"/>
      <c r="AE353" s="12"/>
      <c r="AF353" s="12"/>
    </row>
    <row r="354" spans="1:32" ht="13.2">
      <c r="A354" s="8"/>
      <c r="B354" s="8"/>
      <c r="C354" s="8"/>
      <c r="D354" s="8"/>
      <c r="E354" s="8"/>
      <c r="F354" s="8"/>
      <c r="G354" s="8"/>
      <c r="H354" s="8"/>
      <c r="I354" s="8"/>
      <c r="J354" s="8"/>
      <c r="K354" s="8"/>
      <c r="L354" s="8"/>
      <c r="M354" s="8"/>
      <c r="N354" s="8"/>
      <c r="O354" s="8"/>
      <c r="P354" s="8"/>
      <c r="Q354" s="8"/>
      <c r="R354" s="8"/>
      <c r="S354" s="8"/>
      <c r="T354" s="8"/>
      <c r="U354" s="12"/>
      <c r="V354" s="12"/>
      <c r="W354" s="12"/>
      <c r="X354" s="12"/>
      <c r="Y354" s="12"/>
      <c r="Z354" s="12"/>
      <c r="AA354" s="12"/>
      <c r="AB354" s="12"/>
      <c r="AC354" s="12"/>
      <c r="AD354" s="12"/>
      <c r="AE354" s="12"/>
      <c r="AF354" s="12"/>
    </row>
    <row r="355" spans="1:32" ht="13.2">
      <c r="A355" s="8"/>
      <c r="B355" s="8"/>
      <c r="C355" s="8"/>
      <c r="D355" s="8"/>
      <c r="E355" s="8"/>
      <c r="F355" s="8"/>
      <c r="G355" s="8"/>
      <c r="H355" s="8"/>
      <c r="I355" s="8"/>
      <c r="J355" s="8"/>
      <c r="K355" s="8"/>
      <c r="L355" s="8"/>
      <c r="M355" s="8"/>
      <c r="N355" s="8"/>
      <c r="O355" s="8"/>
      <c r="P355" s="8"/>
      <c r="Q355" s="8"/>
      <c r="R355" s="8"/>
      <c r="S355" s="8"/>
      <c r="T355" s="8"/>
      <c r="U355" s="12"/>
      <c r="V355" s="12"/>
      <c r="W355" s="12"/>
      <c r="X355" s="12"/>
      <c r="Y355" s="12"/>
      <c r="Z355" s="12"/>
      <c r="AA355" s="12"/>
      <c r="AB355" s="12"/>
      <c r="AC355" s="12"/>
      <c r="AD355" s="12"/>
      <c r="AE355" s="12"/>
      <c r="AF355" s="12"/>
    </row>
    <row r="356" spans="1:32" ht="13.2">
      <c r="A356" s="8"/>
      <c r="B356" s="8"/>
      <c r="C356" s="8"/>
      <c r="D356" s="8"/>
      <c r="E356" s="8"/>
      <c r="F356" s="8"/>
      <c r="G356" s="8"/>
      <c r="H356" s="8"/>
      <c r="I356" s="8"/>
      <c r="J356" s="8"/>
      <c r="K356" s="8"/>
      <c r="L356" s="8"/>
      <c r="M356" s="8"/>
      <c r="N356" s="8"/>
      <c r="O356" s="8"/>
      <c r="P356" s="8"/>
      <c r="Q356" s="8"/>
      <c r="R356" s="8"/>
      <c r="S356" s="8"/>
      <c r="T356" s="8"/>
      <c r="U356" s="12"/>
      <c r="V356" s="12"/>
      <c r="W356" s="12"/>
      <c r="X356" s="12"/>
      <c r="Y356" s="12"/>
      <c r="Z356" s="12"/>
      <c r="AA356" s="12"/>
      <c r="AB356" s="12"/>
      <c r="AC356" s="12"/>
      <c r="AD356" s="12"/>
      <c r="AE356" s="12"/>
      <c r="AF356" s="12"/>
    </row>
    <row r="357" spans="1:32" ht="13.2">
      <c r="A357" s="8"/>
      <c r="B357" s="8"/>
      <c r="C357" s="8"/>
      <c r="D357" s="8"/>
      <c r="E357" s="8"/>
      <c r="F357" s="8"/>
      <c r="G357" s="8"/>
      <c r="H357" s="8"/>
      <c r="I357" s="8"/>
      <c r="J357" s="8"/>
      <c r="K357" s="8"/>
      <c r="L357" s="8"/>
      <c r="M357" s="8"/>
      <c r="N357" s="8"/>
      <c r="O357" s="8"/>
      <c r="P357" s="8"/>
      <c r="Q357" s="8"/>
      <c r="R357" s="8"/>
      <c r="S357" s="8"/>
      <c r="T357" s="8"/>
      <c r="U357" s="12"/>
      <c r="V357" s="12"/>
      <c r="W357" s="12"/>
      <c r="X357" s="12"/>
      <c r="Y357" s="12"/>
      <c r="Z357" s="12"/>
      <c r="AA357" s="12"/>
      <c r="AB357" s="12"/>
      <c r="AC357" s="12"/>
      <c r="AD357" s="12"/>
      <c r="AE357" s="12"/>
      <c r="AF357" s="12"/>
    </row>
    <row r="358" spans="1:32" ht="13.2">
      <c r="A358" s="8"/>
      <c r="B358" s="8"/>
      <c r="C358" s="8"/>
      <c r="D358" s="8"/>
      <c r="E358" s="8"/>
      <c r="F358" s="8"/>
      <c r="G358" s="8"/>
      <c r="H358" s="8"/>
      <c r="I358" s="8"/>
      <c r="J358" s="8"/>
      <c r="K358" s="8"/>
      <c r="L358" s="8"/>
      <c r="M358" s="8"/>
      <c r="N358" s="8"/>
      <c r="O358" s="8"/>
      <c r="P358" s="8"/>
      <c r="Q358" s="8"/>
      <c r="R358" s="8"/>
      <c r="S358" s="8"/>
      <c r="T358" s="8"/>
      <c r="U358" s="12"/>
      <c r="V358" s="12"/>
      <c r="W358" s="12"/>
      <c r="X358" s="12"/>
      <c r="Y358" s="12"/>
      <c r="Z358" s="12"/>
      <c r="AA358" s="12"/>
      <c r="AB358" s="12"/>
      <c r="AC358" s="12"/>
      <c r="AD358" s="12"/>
      <c r="AE358" s="12"/>
      <c r="AF358" s="12"/>
    </row>
    <row r="359" spans="1:32" ht="13.2">
      <c r="A359" s="8"/>
      <c r="B359" s="8"/>
      <c r="C359" s="8"/>
      <c r="D359" s="8"/>
      <c r="E359" s="8"/>
      <c r="F359" s="8"/>
      <c r="G359" s="8"/>
      <c r="H359" s="8"/>
      <c r="I359" s="8"/>
      <c r="J359" s="8"/>
      <c r="K359" s="8"/>
      <c r="L359" s="8"/>
      <c r="M359" s="8"/>
      <c r="N359" s="8"/>
      <c r="O359" s="8"/>
      <c r="P359" s="8"/>
      <c r="Q359" s="8"/>
      <c r="R359" s="8"/>
      <c r="S359" s="8"/>
      <c r="T359" s="8"/>
      <c r="U359" s="12"/>
      <c r="V359" s="12"/>
      <c r="W359" s="12"/>
      <c r="X359" s="12"/>
      <c r="Y359" s="12"/>
      <c r="Z359" s="12"/>
      <c r="AA359" s="12"/>
      <c r="AB359" s="12"/>
      <c r="AC359" s="12"/>
      <c r="AD359" s="12"/>
      <c r="AE359" s="12"/>
      <c r="AF359" s="12"/>
    </row>
    <row r="360" spans="1:32" ht="13.2">
      <c r="A360" s="8"/>
      <c r="B360" s="8"/>
      <c r="C360" s="8"/>
      <c r="D360" s="8"/>
      <c r="E360" s="8"/>
      <c r="F360" s="8"/>
      <c r="G360" s="8"/>
      <c r="H360" s="8"/>
      <c r="I360" s="8"/>
      <c r="J360" s="8"/>
      <c r="K360" s="8"/>
      <c r="L360" s="8"/>
      <c r="M360" s="8"/>
      <c r="N360" s="8"/>
      <c r="O360" s="8"/>
      <c r="P360" s="8"/>
      <c r="Q360" s="8"/>
      <c r="R360" s="8"/>
      <c r="S360" s="8"/>
      <c r="T360" s="8"/>
      <c r="U360" s="12"/>
      <c r="V360" s="12"/>
      <c r="W360" s="12"/>
      <c r="X360" s="12"/>
      <c r="Y360" s="12"/>
      <c r="Z360" s="12"/>
      <c r="AA360" s="12"/>
      <c r="AB360" s="12"/>
      <c r="AC360" s="12"/>
      <c r="AD360" s="12"/>
      <c r="AE360" s="12"/>
      <c r="AF360" s="12"/>
    </row>
    <row r="361" spans="1:32" ht="13.2">
      <c r="A361" s="8"/>
      <c r="B361" s="8"/>
      <c r="C361" s="8"/>
      <c r="D361" s="8"/>
      <c r="E361" s="8"/>
      <c r="F361" s="8"/>
      <c r="G361" s="8"/>
      <c r="H361" s="8"/>
      <c r="I361" s="8"/>
      <c r="J361" s="8"/>
      <c r="K361" s="8"/>
      <c r="L361" s="8"/>
      <c r="M361" s="8"/>
      <c r="N361" s="8"/>
      <c r="O361" s="8"/>
      <c r="P361" s="8"/>
      <c r="Q361" s="8"/>
      <c r="R361" s="8"/>
      <c r="S361" s="8"/>
      <c r="T361" s="8"/>
      <c r="U361" s="12"/>
      <c r="V361" s="12"/>
      <c r="W361" s="12"/>
      <c r="X361" s="12"/>
      <c r="Y361" s="12"/>
      <c r="Z361" s="12"/>
      <c r="AA361" s="12"/>
      <c r="AB361" s="12"/>
      <c r="AC361" s="12"/>
      <c r="AD361" s="12"/>
      <c r="AE361" s="12"/>
      <c r="AF361" s="12"/>
    </row>
    <row r="362" spans="1:32" ht="13.2">
      <c r="A362" s="8"/>
      <c r="B362" s="8"/>
      <c r="C362" s="8"/>
      <c r="D362" s="8"/>
      <c r="E362" s="8"/>
      <c r="F362" s="8"/>
      <c r="G362" s="8"/>
      <c r="H362" s="8"/>
      <c r="I362" s="8"/>
      <c r="J362" s="8"/>
      <c r="K362" s="8"/>
      <c r="L362" s="8"/>
      <c r="M362" s="8"/>
      <c r="N362" s="8"/>
      <c r="O362" s="8"/>
      <c r="P362" s="8"/>
      <c r="Q362" s="8"/>
      <c r="R362" s="8"/>
      <c r="S362" s="8"/>
      <c r="T362" s="8"/>
      <c r="U362" s="12"/>
      <c r="V362" s="12"/>
      <c r="W362" s="12"/>
      <c r="X362" s="12"/>
      <c r="Y362" s="12"/>
      <c r="Z362" s="12"/>
      <c r="AA362" s="12"/>
      <c r="AB362" s="12"/>
      <c r="AC362" s="12"/>
      <c r="AD362" s="12"/>
      <c r="AE362" s="12"/>
      <c r="AF362" s="12"/>
    </row>
    <row r="363" spans="1:32" ht="13.2">
      <c r="A363" s="8"/>
      <c r="B363" s="8"/>
      <c r="C363" s="8"/>
      <c r="D363" s="8"/>
      <c r="E363" s="8"/>
      <c r="F363" s="8"/>
      <c r="G363" s="8"/>
      <c r="H363" s="8"/>
      <c r="I363" s="8"/>
      <c r="J363" s="8"/>
      <c r="K363" s="8"/>
      <c r="L363" s="8"/>
      <c r="M363" s="8"/>
      <c r="N363" s="8"/>
      <c r="O363" s="8"/>
      <c r="P363" s="8"/>
      <c r="Q363" s="8"/>
      <c r="R363" s="8"/>
      <c r="S363" s="8"/>
      <c r="T363" s="8"/>
      <c r="U363" s="12"/>
      <c r="V363" s="12"/>
      <c r="W363" s="12"/>
      <c r="X363" s="12"/>
      <c r="Y363" s="12"/>
      <c r="Z363" s="12"/>
      <c r="AA363" s="12"/>
      <c r="AB363" s="12"/>
      <c r="AC363" s="12"/>
      <c r="AD363" s="12"/>
      <c r="AE363" s="12"/>
      <c r="AF363" s="12"/>
    </row>
    <row r="364" spans="1:32" ht="13.2">
      <c r="A364" s="8"/>
      <c r="B364" s="8"/>
      <c r="C364" s="8"/>
      <c r="D364" s="8"/>
      <c r="E364" s="8"/>
      <c r="F364" s="8"/>
      <c r="G364" s="8"/>
      <c r="H364" s="8"/>
      <c r="I364" s="8"/>
      <c r="J364" s="8"/>
      <c r="K364" s="8"/>
      <c r="L364" s="8"/>
      <c r="M364" s="8"/>
      <c r="N364" s="8"/>
      <c r="O364" s="8"/>
      <c r="P364" s="8"/>
      <c r="Q364" s="8"/>
      <c r="R364" s="8"/>
      <c r="S364" s="8"/>
      <c r="T364" s="8"/>
      <c r="U364" s="12"/>
      <c r="V364" s="12"/>
      <c r="W364" s="12"/>
      <c r="X364" s="12"/>
      <c r="Y364" s="12"/>
      <c r="Z364" s="12"/>
      <c r="AA364" s="12"/>
      <c r="AB364" s="12"/>
      <c r="AC364" s="12"/>
      <c r="AD364" s="12"/>
      <c r="AE364" s="12"/>
      <c r="AF364" s="12"/>
    </row>
    <row r="365" spans="1:32" ht="13.2">
      <c r="A365" s="8"/>
      <c r="B365" s="8"/>
      <c r="C365" s="8"/>
      <c r="D365" s="8"/>
      <c r="E365" s="8"/>
      <c r="F365" s="8"/>
      <c r="G365" s="8"/>
      <c r="H365" s="8"/>
      <c r="I365" s="8"/>
      <c r="J365" s="8"/>
      <c r="K365" s="8"/>
      <c r="L365" s="8"/>
      <c r="M365" s="8"/>
      <c r="N365" s="8"/>
      <c r="O365" s="8"/>
      <c r="P365" s="8"/>
      <c r="Q365" s="8"/>
      <c r="R365" s="8"/>
      <c r="S365" s="8"/>
      <c r="T365" s="8"/>
      <c r="U365" s="12"/>
      <c r="V365" s="12"/>
      <c r="W365" s="12"/>
      <c r="X365" s="12"/>
      <c r="Y365" s="12"/>
      <c r="Z365" s="12"/>
      <c r="AA365" s="12"/>
      <c r="AB365" s="12"/>
      <c r="AC365" s="12"/>
      <c r="AD365" s="12"/>
      <c r="AE365" s="12"/>
      <c r="AF365" s="12"/>
    </row>
    <row r="366" spans="1:32" ht="13.2">
      <c r="A366" s="8"/>
      <c r="B366" s="8"/>
      <c r="C366" s="8"/>
      <c r="D366" s="8"/>
      <c r="E366" s="8"/>
      <c r="F366" s="8"/>
      <c r="G366" s="8"/>
      <c r="H366" s="8"/>
      <c r="I366" s="8"/>
      <c r="J366" s="8"/>
      <c r="K366" s="8"/>
      <c r="L366" s="8"/>
      <c r="M366" s="8"/>
      <c r="N366" s="8"/>
      <c r="O366" s="8"/>
      <c r="P366" s="8"/>
      <c r="Q366" s="8"/>
      <c r="R366" s="8"/>
      <c r="S366" s="8"/>
      <c r="T366" s="8"/>
      <c r="U366" s="12"/>
      <c r="V366" s="12"/>
      <c r="W366" s="12"/>
      <c r="X366" s="12"/>
      <c r="Y366" s="12"/>
      <c r="Z366" s="12"/>
      <c r="AA366" s="12"/>
      <c r="AB366" s="12"/>
      <c r="AC366" s="12"/>
      <c r="AD366" s="12"/>
      <c r="AE366" s="12"/>
      <c r="AF366" s="12"/>
    </row>
    <row r="367" spans="1:32" ht="13.2">
      <c r="A367" s="8"/>
      <c r="B367" s="8"/>
      <c r="C367" s="8"/>
      <c r="D367" s="8"/>
      <c r="E367" s="8"/>
      <c r="F367" s="8"/>
      <c r="G367" s="8"/>
      <c r="H367" s="8"/>
      <c r="I367" s="8"/>
      <c r="J367" s="8"/>
      <c r="K367" s="8"/>
      <c r="L367" s="8"/>
      <c r="M367" s="8"/>
      <c r="N367" s="8"/>
      <c r="O367" s="8"/>
      <c r="P367" s="8"/>
      <c r="Q367" s="8"/>
      <c r="R367" s="8"/>
      <c r="S367" s="8"/>
      <c r="T367" s="8"/>
      <c r="U367" s="12"/>
      <c r="V367" s="12"/>
      <c r="W367" s="12"/>
      <c r="X367" s="12"/>
      <c r="Y367" s="12"/>
      <c r="Z367" s="12"/>
      <c r="AA367" s="12"/>
      <c r="AB367" s="12"/>
      <c r="AC367" s="12"/>
      <c r="AD367" s="12"/>
      <c r="AE367" s="12"/>
      <c r="AF367" s="12"/>
    </row>
    <row r="368" spans="1:32" ht="13.2">
      <c r="A368" s="8"/>
      <c r="B368" s="8"/>
      <c r="C368" s="8"/>
      <c r="D368" s="8"/>
      <c r="E368" s="8"/>
      <c r="F368" s="8"/>
      <c r="G368" s="8"/>
      <c r="H368" s="8"/>
      <c r="I368" s="8"/>
      <c r="J368" s="8"/>
      <c r="K368" s="8"/>
      <c r="L368" s="8"/>
      <c r="M368" s="8"/>
      <c r="N368" s="8"/>
      <c r="O368" s="8"/>
      <c r="P368" s="8"/>
      <c r="Q368" s="8"/>
      <c r="R368" s="8"/>
      <c r="S368" s="8"/>
      <c r="T368" s="8"/>
      <c r="U368" s="12"/>
      <c r="V368" s="12"/>
      <c r="W368" s="12"/>
      <c r="X368" s="12"/>
      <c r="Y368" s="12"/>
      <c r="Z368" s="12"/>
      <c r="AA368" s="12"/>
      <c r="AB368" s="12"/>
      <c r="AC368" s="12"/>
      <c r="AD368" s="12"/>
      <c r="AE368" s="12"/>
      <c r="AF368" s="12"/>
    </row>
    <row r="369" spans="1:32" ht="13.2">
      <c r="A369" s="8"/>
      <c r="B369" s="8"/>
      <c r="C369" s="8"/>
      <c r="D369" s="8"/>
      <c r="E369" s="8"/>
      <c r="F369" s="8"/>
      <c r="G369" s="8"/>
      <c r="H369" s="8"/>
      <c r="I369" s="8"/>
      <c r="J369" s="8"/>
      <c r="K369" s="8"/>
      <c r="L369" s="8"/>
      <c r="M369" s="8"/>
      <c r="N369" s="8"/>
      <c r="O369" s="8"/>
      <c r="P369" s="8"/>
      <c r="Q369" s="8"/>
      <c r="R369" s="8"/>
      <c r="S369" s="8"/>
      <c r="T369" s="8"/>
      <c r="U369" s="12"/>
      <c r="V369" s="12"/>
      <c r="W369" s="12"/>
      <c r="X369" s="12"/>
      <c r="Y369" s="12"/>
      <c r="Z369" s="12"/>
      <c r="AA369" s="12"/>
      <c r="AB369" s="12"/>
      <c r="AC369" s="12"/>
      <c r="AD369" s="12"/>
      <c r="AE369" s="12"/>
      <c r="AF369" s="12"/>
    </row>
    <row r="370" spans="1:32" ht="13.2">
      <c r="A370" s="8"/>
      <c r="B370" s="8"/>
      <c r="C370" s="8"/>
      <c r="D370" s="8"/>
      <c r="E370" s="8"/>
      <c r="F370" s="8"/>
      <c r="G370" s="8"/>
      <c r="H370" s="8"/>
      <c r="I370" s="8"/>
      <c r="J370" s="8"/>
      <c r="K370" s="8"/>
      <c r="L370" s="8"/>
      <c r="M370" s="8"/>
      <c r="N370" s="8"/>
      <c r="O370" s="8"/>
      <c r="P370" s="8"/>
      <c r="Q370" s="8"/>
      <c r="R370" s="8"/>
      <c r="S370" s="8"/>
      <c r="T370" s="8"/>
      <c r="U370" s="12"/>
      <c r="V370" s="12"/>
      <c r="W370" s="12"/>
      <c r="X370" s="12"/>
      <c r="Y370" s="12"/>
      <c r="Z370" s="12"/>
      <c r="AA370" s="12"/>
      <c r="AB370" s="12"/>
      <c r="AC370" s="12"/>
      <c r="AD370" s="12"/>
      <c r="AE370" s="12"/>
      <c r="AF370" s="12"/>
    </row>
    <row r="371" spans="1:32" ht="13.2">
      <c r="A371" s="8"/>
      <c r="B371" s="8"/>
      <c r="C371" s="8"/>
      <c r="D371" s="8"/>
      <c r="E371" s="8"/>
      <c r="F371" s="8"/>
      <c r="G371" s="8"/>
      <c r="H371" s="8"/>
      <c r="I371" s="8"/>
      <c r="J371" s="8"/>
      <c r="K371" s="8"/>
      <c r="L371" s="8"/>
      <c r="M371" s="8"/>
      <c r="N371" s="8"/>
      <c r="O371" s="8"/>
      <c r="P371" s="8"/>
      <c r="Q371" s="8"/>
      <c r="R371" s="8"/>
      <c r="S371" s="8"/>
      <c r="T371" s="8"/>
      <c r="U371" s="12"/>
      <c r="V371" s="12"/>
      <c r="W371" s="12"/>
      <c r="X371" s="12"/>
      <c r="Y371" s="12"/>
      <c r="Z371" s="12"/>
      <c r="AA371" s="12"/>
      <c r="AB371" s="12"/>
      <c r="AC371" s="12"/>
      <c r="AD371" s="12"/>
      <c r="AE371" s="12"/>
      <c r="AF371" s="12"/>
    </row>
    <row r="372" spans="1:32" ht="13.2">
      <c r="A372" s="8"/>
      <c r="B372" s="8"/>
      <c r="C372" s="8"/>
      <c r="D372" s="8"/>
      <c r="E372" s="8"/>
      <c r="F372" s="8"/>
      <c r="G372" s="8"/>
      <c r="H372" s="8"/>
      <c r="I372" s="8"/>
      <c r="J372" s="8"/>
      <c r="K372" s="8"/>
      <c r="L372" s="8"/>
      <c r="M372" s="8"/>
      <c r="N372" s="8"/>
      <c r="O372" s="8"/>
      <c r="P372" s="8"/>
      <c r="Q372" s="8"/>
      <c r="R372" s="8"/>
      <c r="S372" s="8"/>
      <c r="T372" s="8"/>
      <c r="U372" s="12"/>
      <c r="V372" s="12"/>
      <c r="W372" s="12"/>
      <c r="X372" s="12"/>
      <c r="Y372" s="12"/>
      <c r="Z372" s="12"/>
      <c r="AA372" s="12"/>
      <c r="AB372" s="12"/>
      <c r="AC372" s="12"/>
      <c r="AD372" s="12"/>
      <c r="AE372" s="12"/>
      <c r="AF372" s="12"/>
    </row>
    <row r="373" spans="1:32" ht="13.2">
      <c r="A373" s="8"/>
      <c r="B373" s="8"/>
      <c r="C373" s="8"/>
      <c r="D373" s="8"/>
      <c r="E373" s="8"/>
      <c r="F373" s="8"/>
      <c r="G373" s="8"/>
      <c r="H373" s="8"/>
      <c r="I373" s="8"/>
      <c r="J373" s="8"/>
      <c r="K373" s="8"/>
      <c r="L373" s="8"/>
      <c r="M373" s="8"/>
      <c r="N373" s="8"/>
      <c r="O373" s="8"/>
      <c r="P373" s="8"/>
      <c r="Q373" s="8"/>
      <c r="R373" s="8"/>
      <c r="S373" s="8"/>
      <c r="T373" s="8"/>
      <c r="U373" s="12"/>
      <c r="V373" s="12"/>
      <c r="W373" s="12"/>
      <c r="X373" s="12"/>
      <c r="Y373" s="12"/>
      <c r="Z373" s="12"/>
      <c r="AA373" s="12"/>
      <c r="AB373" s="12"/>
      <c r="AC373" s="12"/>
      <c r="AD373" s="12"/>
      <c r="AE373" s="12"/>
      <c r="AF373" s="12"/>
    </row>
    <row r="374" spans="1:32" ht="13.2">
      <c r="A374" s="8"/>
      <c r="B374" s="8"/>
      <c r="C374" s="8"/>
      <c r="D374" s="8"/>
      <c r="E374" s="8"/>
      <c r="F374" s="8"/>
      <c r="G374" s="8"/>
      <c r="H374" s="8"/>
      <c r="I374" s="8"/>
      <c r="J374" s="8"/>
      <c r="K374" s="8"/>
      <c r="L374" s="8"/>
      <c r="M374" s="8"/>
      <c r="N374" s="8"/>
      <c r="O374" s="8"/>
      <c r="P374" s="8"/>
      <c r="Q374" s="8"/>
      <c r="R374" s="8"/>
      <c r="S374" s="8"/>
      <c r="T374" s="8"/>
      <c r="U374" s="12"/>
      <c r="V374" s="12"/>
      <c r="W374" s="12"/>
      <c r="X374" s="12"/>
      <c r="Y374" s="12"/>
      <c r="Z374" s="12"/>
      <c r="AA374" s="12"/>
      <c r="AB374" s="12"/>
      <c r="AC374" s="12"/>
      <c r="AD374" s="12"/>
      <c r="AE374" s="12"/>
      <c r="AF374" s="12"/>
    </row>
    <row r="375" spans="1:32" ht="13.2">
      <c r="A375" s="8"/>
      <c r="B375" s="8"/>
      <c r="C375" s="8"/>
      <c r="D375" s="8"/>
      <c r="E375" s="8"/>
      <c r="F375" s="8"/>
      <c r="G375" s="8"/>
      <c r="H375" s="8"/>
      <c r="I375" s="8"/>
      <c r="J375" s="8"/>
      <c r="K375" s="8"/>
      <c r="L375" s="8"/>
      <c r="M375" s="8"/>
      <c r="N375" s="8"/>
      <c r="O375" s="8"/>
      <c r="P375" s="8"/>
      <c r="Q375" s="8"/>
      <c r="R375" s="8"/>
      <c r="S375" s="8"/>
      <c r="T375" s="8"/>
      <c r="U375" s="12"/>
      <c r="V375" s="12"/>
      <c r="W375" s="12"/>
      <c r="X375" s="12"/>
      <c r="Y375" s="12"/>
      <c r="Z375" s="12"/>
      <c r="AA375" s="12"/>
      <c r="AB375" s="12"/>
      <c r="AC375" s="12"/>
      <c r="AD375" s="12"/>
      <c r="AE375" s="12"/>
      <c r="AF375" s="12"/>
    </row>
    <row r="376" spans="1:32" ht="13.2">
      <c r="A376" s="8"/>
      <c r="B376" s="8"/>
      <c r="C376" s="8"/>
      <c r="D376" s="8"/>
      <c r="E376" s="8"/>
      <c r="F376" s="8"/>
      <c r="G376" s="8"/>
      <c r="H376" s="8"/>
      <c r="I376" s="8"/>
      <c r="J376" s="8"/>
      <c r="K376" s="8"/>
      <c r="L376" s="8"/>
      <c r="M376" s="8"/>
      <c r="N376" s="8"/>
      <c r="O376" s="8"/>
      <c r="P376" s="8"/>
      <c r="Q376" s="8"/>
      <c r="R376" s="8"/>
      <c r="S376" s="8"/>
      <c r="T376" s="8"/>
      <c r="U376" s="12"/>
      <c r="V376" s="12"/>
      <c r="W376" s="12"/>
      <c r="X376" s="12"/>
      <c r="Y376" s="12"/>
      <c r="Z376" s="12"/>
      <c r="AA376" s="12"/>
      <c r="AB376" s="12"/>
      <c r="AC376" s="12"/>
      <c r="AD376" s="12"/>
      <c r="AE376" s="12"/>
      <c r="AF376" s="12"/>
    </row>
    <row r="377" spans="1:32" ht="13.2">
      <c r="A377" s="8"/>
      <c r="B377" s="8"/>
      <c r="C377" s="8"/>
      <c r="D377" s="8"/>
      <c r="E377" s="8"/>
      <c r="F377" s="8"/>
      <c r="G377" s="8"/>
      <c r="H377" s="8"/>
      <c r="I377" s="8"/>
      <c r="J377" s="8"/>
      <c r="K377" s="8"/>
      <c r="L377" s="8"/>
      <c r="M377" s="8"/>
      <c r="N377" s="8"/>
      <c r="O377" s="8"/>
      <c r="P377" s="8"/>
      <c r="Q377" s="8"/>
      <c r="R377" s="8"/>
      <c r="S377" s="8"/>
      <c r="T377" s="8"/>
      <c r="U377" s="12"/>
      <c r="V377" s="12"/>
      <c r="W377" s="12"/>
      <c r="X377" s="12"/>
      <c r="Y377" s="12"/>
      <c r="Z377" s="12"/>
      <c r="AA377" s="12"/>
      <c r="AB377" s="12"/>
      <c r="AC377" s="12"/>
      <c r="AD377" s="12"/>
      <c r="AE377" s="12"/>
      <c r="AF377" s="12"/>
    </row>
    <row r="378" spans="1:32" ht="13.2">
      <c r="A378" s="8"/>
      <c r="B378" s="8"/>
      <c r="C378" s="8"/>
      <c r="D378" s="8"/>
      <c r="E378" s="8"/>
      <c r="F378" s="8"/>
      <c r="G378" s="8"/>
      <c r="H378" s="8"/>
      <c r="I378" s="8"/>
      <c r="J378" s="8"/>
      <c r="K378" s="8"/>
      <c r="L378" s="8"/>
      <c r="M378" s="8"/>
      <c r="N378" s="8"/>
      <c r="O378" s="8"/>
      <c r="P378" s="8"/>
      <c r="Q378" s="8"/>
      <c r="R378" s="8"/>
      <c r="S378" s="8"/>
      <c r="T378" s="8"/>
      <c r="U378" s="12"/>
      <c r="V378" s="12"/>
      <c r="W378" s="12"/>
      <c r="X378" s="12"/>
      <c r="Y378" s="12"/>
      <c r="Z378" s="12"/>
      <c r="AA378" s="12"/>
      <c r="AB378" s="12"/>
      <c r="AC378" s="12"/>
      <c r="AD378" s="12"/>
      <c r="AE378" s="12"/>
      <c r="AF378" s="12"/>
    </row>
    <row r="379" spans="1:32" ht="13.2">
      <c r="A379" s="8"/>
      <c r="B379" s="8"/>
      <c r="C379" s="8"/>
      <c r="D379" s="8"/>
      <c r="E379" s="8"/>
      <c r="F379" s="8"/>
      <c r="G379" s="8"/>
      <c r="H379" s="8"/>
      <c r="I379" s="8"/>
      <c r="J379" s="8"/>
      <c r="K379" s="8"/>
      <c r="L379" s="8"/>
      <c r="M379" s="8"/>
      <c r="N379" s="8"/>
      <c r="O379" s="8"/>
      <c r="P379" s="8"/>
      <c r="Q379" s="8"/>
      <c r="R379" s="8"/>
      <c r="S379" s="8"/>
      <c r="T379" s="8"/>
      <c r="U379" s="12"/>
      <c r="V379" s="12"/>
      <c r="W379" s="12"/>
      <c r="X379" s="12"/>
      <c r="Y379" s="12"/>
      <c r="Z379" s="12"/>
      <c r="AA379" s="12"/>
      <c r="AB379" s="12"/>
      <c r="AC379" s="12"/>
      <c r="AD379" s="12"/>
      <c r="AE379" s="12"/>
      <c r="AF379" s="12"/>
    </row>
    <row r="380" spans="1:32" ht="13.2">
      <c r="A380" s="8"/>
      <c r="B380" s="8"/>
      <c r="C380" s="8"/>
      <c r="D380" s="8"/>
      <c r="E380" s="8"/>
      <c r="F380" s="8"/>
      <c r="G380" s="8"/>
      <c r="H380" s="8"/>
      <c r="I380" s="8"/>
      <c r="J380" s="8"/>
      <c r="K380" s="8"/>
      <c r="L380" s="8"/>
      <c r="M380" s="8"/>
      <c r="N380" s="8"/>
      <c r="O380" s="8"/>
      <c r="P380" s="8"/>
      <c r="Q380" s="8"/>
      <c r="R380" s="8"/>
      <c r="S380" s="8"/>
      <c r="T380" s="8"/>
      <c r="U380" s="12"/>
      <c r="V380" s="12"/>
      <c r="W380" s="12"/>
      <c r="X380" s="12"/>
      <c r="Y380" s="12"/>
      <c r="Z380" s="12"/>
      <c r="AA380" s="12"/>
      <c r="AB380" s="12"/>
      <c r="AC380" s="12"/>
      <c r="AD380" s="12"/>
      <c r="AE380" s="12"/>
      <c r="AF380" s="12"/>
    </row>
    <row r="381" spans="1:32" ht="13.2">
      <c r="A381" s="8"/>
      <c r="B381" s="8"/>
      <c r="C381" s="8"/>
      <c r="D381" s="8"/>
      <c r="E381" s="8"/>
      <c r="F381" s="8"/>
      <c r="G381" s="8"/>
      <c r="H381" s="8"/>
      <c r="I381" s="8"/>
      <c r="J381" s="8"/>
      <c r="K381" s="8"/>
      <c r="L381" s="8"/>
      <c r="M381" s="8"/>
      <c r="N381" s="8"/>
      <c r="O381" s="8"/>
      <c r="P381" s="8"/>
      <c r="Q381" s="8"/>
      <c r="R381" s="8"/>
      <c r="S381" s="8"/>
      <c r="T381" s="8"/>
      <c r="U381" s="12"/>
      <c r="V381" s="12"/>
      <c r="W381" s="12"/>
      <c r="X381" s="12"/>
      <c r="Y381" s="12"/>
      <c r="Z381" s="12"/>
      <c r="AA381" s="12"/>
      <c r="AB381" s="12"/>
      <c r="AC381" s="12"/>
      <c r="AD381" s="12"/>
      <c r="AE381" s="12"/>
      <c r="AF381" s="12"/>
    </row>
    <row r="382" spans="1:32" ht="13.2">
      <c r="A382" s="8"/>
      <c r="B382" s="8"/>
      <c r="C382" s="8"/>
      <c r="D382" s="8"/>
      <c r="E382" s="8"/>
      <c r="F382" s="8"/>
      <c r="G382" s="8"/>
      <c r="H382" s="8"/>
      <c r="I382" s="8"/>
      <c r="J382" s="8"/>
      <c r="K382" s="8"/>
      <c r="L382" s="8"/>
      <c r="M382" s="8"/>
      <c r="N382" s="8"/>
      <c r="O382" s="8"/>
      <c r="P382" s="8"/>
      <c r="Q382" s="8"/>
      <c r="R382" s="8"/>
      <c r="S382" s="8"/>
      <c r="T382" s="8"/>
      <c r="U382" s="12"/>
      <c r="V382" s="12"/>
      <c r="W382" s="12"/>
      <c r="X382" s="12"/>
      <c r="Y382" s="12"/>
      <c r="Z382" s="12"/>
      <c r="AA382" s="12"/>
      <c r="AB382" s="12"/>
      <c r="AC382" s="12"/>
      <c r="AD382" s="12"/>
      <c r="AE382" s="12"/>
      <c r="AF382" s="12"/>
    </row>
    <row r="383" spans="1:32" ht="13.2">
      <c r="A383" s="8"/>
      <c r="B383" s="8"/>
      <c r="C383" s="8"/>
      <c r="D383" s="8"/>
      <c r="E383" s="8"/>
      <c r="F383" s="8"/>
      <c r="G383" s="8"/>
      <c r="H383" s="8"/>
      <c r="I383" s="8"/>
      <c r="J383" s="8"/>
      <c r="K383" s="8"/>
      <c r="L383" s="8"/>
      <c r="M383" s="8"/>
      <c r="N383" s="8"/>
      <c r="O383" s="8"/>
      <c r="P383" s="8"/>
      <c r="Q383" s="8"/>
      <c r="R383" s="8"/>
      <c r="S383" s="8"/>
      <c r="T383" s="8"/>
      <c r="U383" s="12"/>
      <c r="V383" s="12"/>
      <c r="W383" s="12"/>
      <c r="X383" s="12"/>
      <c r="Y383" s="12"/>
      <c r="Z383" s="12"/>
      <c r="AA383" s="12"/>
      <c r="AB383" s="12"/>
      <c r="AC383" s="12"/>
      <c r="AD383" s="12"/>
      <c r="AE383" s="12"/>
      <c r="AF383" s="12"/>
    </row>
    <row r="384" spans="1:32" ht="13.2">
      <c r="A384" s="8"/>
      <c r="B384" s="8"/>
      <c r="C384" s="8"/>
      <c r="D384" s="8"/>
      <c r="E384" s="8"/>
      <c r="F384" s="8"/>
      <c r="G384" s="8"/>
      <c r="H384" s="8"/>
      <c r="I384" s="8"/>
      <c r="J384" s="8"/>
      <c r="K384" s="8"/>
      <c r="L384" s="8"/>
      <c r="M384" s="8"/>
      <c r="N384" s="8"/>
      <c r="O384" s="8"/>
      <c r="P384" s="8"/>
      <c r="Q384" s="8"/>
      <c r="R384" s="8"/>
      <c r="S384" s="8"/>
      <c r="T384" s="8"/>
      <c r="U384" s="12"/>
      <c r="V384" s="12"/>
      <c r="W384" s="12"/>
      <c r="X384" s="12"/>
      <c r="Y384" s="12"/>
      <c r="Z384" s="12"/>
      <c r="AA384" s="12"/>
      <c r="AB384" s="12"/>
      <c r="AC384" s="12"/>
      <c r="AD384" s="12"/>
      <c r="AE384" s="12"/>
      <c r="AF384" s="12"/>
    </row>
    <row r="385" spans="1:32" ht="13.2">
      <c r="A385" s="8"/>
      <c r="B385" s="8"/>
      <c r="C385" s="8"/>
      <c r="D385" s="8"/>
      <c r="E385" s="8"/>
      <c r="F385" s="8"/>
      <c r="G385" s="8"/>
      <c r="H385" s="8"/>
      <c r="I385" s="8"/>
      <c r="J385" s="8"/>
      <c r="K385" s="8"/>
      <c r="L385" s="8"/>
      <c r="M385" s="8"/>
      <c r="N385" s="8"/>
      <c r="O385" s="8"/>
      <c r="P385" s="8"/>
      <c r="Q385" s="8"/>
      <c r="R385" s="8"/>
      <c r="S385" s="8"/>
      <c r="T385" s="8"/>
      <c r="U385" s="12"/>
      <c r="V385" s="12"/>
      <c r="W385" s="12"/>
      <c r="X385" s="12"/>
      <c r="Y385" s="12"/>
      <c r="Z385" s="12"/>
      <c r="AA385" s="12"/>
      <c r="AB385" s="12"/>
      <c r="AC385" s="12"/>
      <c r="AD385" s="12"/>
      <c r="AE385" s="12"/>
      <c r="AF385" s="12"/>
    </row>
    <row r="386" spans="1:32" ht="13.2">
      <c r="A386" s="8"/>
      <c r="B386" s="8"/>
      <c r="C386" s="8"/>
      <c r="D386" s="8"/>
      <c r="E386" s="8"/>
      <c r="F386" s="8"/>
      <c r="G386" s="8"/>
      <c r="H386" s="8"/>
      <c r="I386" s="8"/>
      <c r="J386" s="8"/>
      <c r="K386" s="8"/>
      <c r="L386" s="8"/>
      <c r="M386" s="8"/>
      <c r="N386" s="8"/>
      <c r="O386" s="8"/>
      <c r="P386" s="8"/>
      <c r="Q386" s="8"/>
      <c r="R386" s="8"/>
      <c r="S386" s="8"/>
      <c r="T386" s="8"/>
      <c r="U386" s="12"/>
      <c r="V386" s="12"/>
      <c r="W386" s="12"/>
      <c r="X386" s="12"/>
      <c r="Y386" s="12"/>
      <c r="Z386" s="12"/>
      <c r="AA386" s="12"/>
      <c r="AB386" s="12"/>
      <c r="AC386" s="12"/>
      <c r="AD386" s="12"/>
      <c r="AE386" s="12"/>
      <c r="AF386" s="12"/>
    </row>
    <row r="387" spans="1:32" ht="13.2">
      <c r="A387" s="8"/>
      <c r="B387" s="8"/>
      <c r="C387" s="8"/>
      <c r="D387" s="8"/>
      <c r="E387" s="8"/>
      <c r="F387" s="8"/>
      <c r="G387" s="8"/>
      <c r="H387" s="8"/>
      <c r="I387" s="8"/>
      <c r="J387" s="8"/>
      <c r="K387" s="8"/>
      <c r="L387" s="8"/>
      <c r="M387" s="8"/>
      <c r="N387" s="8"/>
      <c r="O387" s="8"/>
      <c r="P387" s="8"/>
      <c r="Q387" s="8"/>
      <c r="R387" s="8"/>
      <c r="S387" s="8"/>
      <c r="T387" s="8"/>
      <c r="U387" s="12"/>
      <c r="V387" s="12"/>
      <c r="W387" s="12"/>
      <c r="X387" s="12"/>
      <c r="Y387" s="12"/>
      <c r="Z387" s="12"/>
      <c r="AA387" s="12"/>
      <c r="AB387" s="12"/>
      <c r="AC387" s="12"/>
      <c r="AD387" s="12"/>
      <c r="AE387" s="12"/>
      <c r="AF387" s="12"/>
    </row>
    <row r="388" spans="1:32" ht="13.2">
      <c r="A388" s="8"/>
      <c r="B388" s="8"/>
      <c r="C388" s="8"/>
      <c r="D388" s="8"/>
      <c r="E388" s="8"/>
      <c r="F388" s="8"/>
      <c r="G388" s="8"/>
      <c r="H388" s="8"/>
      <c r="I388" s="8"/>
      <c r="J388" s="8"/>
      <c r="K388" s="8"/>
      <c r="L388" s="8"/>
      <c r="M388" s="8"/>
      <c r="N388" s="8"/>
      <c r="O388" s="8"/>
      <c r="P388" s="8"/>
      <c r="Q388" s="8"/>
      <c r="R388" s="8"/>
      <c r="S388" s="8"/>
      <c r="T388" s="8"/>
      <c r="U388" s="12"/>
      <c r="V388" s="12"/>
      <c r="W388" s="12"/>
      <c r="X388" s="12"/>
      <c r="Y388" s="12"/>
      <c r="Z388" s="12"/>
      <c r="AA388" s="12"/>
      <c r="AB388" s="12"/>
      <c r="AC388" s="12"/>
      <c r="AD388" s="12"/>
      <c r="AE388" s="12"/>
      <c r="AF388" s="12"/>
    </row>
    <row r="389" spans="1:32" ht="13.2">
      <c r="A389" s="8"/>
      <c r="B389" s="8"/>
      <c r="C389" s="8"/>
      <c r="D389" s="8"/>
      <c r="E389" s="8"/>
      <c r="F389" s="8"/>
      <c r="G389" s="8"/>
      <c r="H389" s="8"/>
      <c r="I389" s="8"/>
      <c r="J389" s="8"/>
      <c r="K389" s="8"/>
      <c r="L389" s="8"/>
      <c r="M389" s="8"/>
      <c r="N389" s="8"/>
      <c r="O389" s="8"/>
      <c r="P389" s="8"/>
      <c r="Q389" s="8"/>
      <c r="R389" s="8"/>
      <c r="S389" s="8"/>
      <c r="T389" s="8"/>
      <c r="U389" s="12"/>
      <c r="V389" s="12"/>
      <c r="W389" s="12"/>
      <c r="X389" s="12"/>
      <c r="Y389" s="12"/>
      <c r="Z389" s="12"/>
      <c r="AA389" s="12"/>
      <c r="AB389" s="12"/>
      <c r="AC389" s="12"/>
      <c r="AD389" s="12"/>
      <c r="AE389" s="12"/>
      <c r="AF389" s="12"/>
    </row>
    <row r="390" spans="1:32" ht="13.2">
      <c r="A390" s="8"/>
      <c r="B390" s="8"/>
      <c r="C390" s="8"/>
      <c r="D390" s="8"/>
      <c r="E390" s="8"/>
      <c r="F390" s="8"/>
      <c r="G390" s="8"/>
      <c r="H390" s="8"/>
      <c r="I390" s="8"/>
      <c r="J390" s="8"/>
      <c r="K390" s="8"/>
      <c r="L390" s="8"/>
      <c r="M390" s="8"/>
      <c r="N390" s="8"/>
      <c r="O390" s="8"/>
      <c r="P390" s="8"/>
      <c r="Q390" s="8"/>
      <c r="R390" s="8"/>
      <c r="S390" s="8"/>
      <c r="T390" s="8"/>
      <c r="U390" s="12"/>
      <c r="V390" s="12"/>
      <c r="W390" s="12"/>
      <c r="X390" s="12"/>
      <c r="Y390" s="12"/>
      <c r="Z390" s="12"/>
      <c r="AA390" s="12"/>
      <c r="AB390" s="12"/>
      <c r="AC390" s="12"/>
      <c r="AD390" s="12"/>
      <c r="AE390" s="12"/>
      <c r="AF390" s="12"/>
    </row>
    <row r="391" spans="1:32" ht="13.2">
      <c r="A391" s="8"/>
      <c r="B391" s="8"/>
      <c r="C391" s="8"/>
      <c r="D391" s="8"/>
      <c r="E391" s="8"/>
      <c r="F391" s="8"/>
      <c r="G391" s="8"/>
      <c r="H391" s="8"/>
      <c r="I391" s="8"/>
      <c r="J391" s="8"/>
      <c r="K391" s="8"/>
      <c r="L391" s="8"/>
      <c r="M391" s="8"/>
      <c r="N391" s="8"/>
      <c r="O391" s="8"/>
      <c r="P391" s="8"/>
      <c r="Q391" s="8"/>
      <c r="R391" s="8"/>
      <c r="S391" s="8"/>
      <c r="T391" s="8"/>
      <c r="U391" s="12"/>
      <c r="V391" s="12"/>
      <c r="W391" s="12"/>
      <c r="X391" s="12"/>
      <c r="Y391" s="12"/>
      <c r="Z391" s="12"/>
      <c r="AA391" s="12"/>
      <c r="AB391" s="12"/>
      <c r="AC391" s="12"/>
      <c r="AD391" s="12"/>
      <c r="AE391" s="12"/>
      <c r="AF391" s="12"/>
    </row>
    <row r="392" spans="1:32" ht="13.2">
      <c r="A392" s="8"/>
      <c r="B392" s="8"/>
      <c r="C392" s="8"/>
      <c r="D392" s="8"/>
      <c r="E392" s="8"/>
      <c r="F392" s="8"/>
      <c r="G392" s="8"/>
      <c r="H392" s="8"/>
      <c r="I392" s="8"/>
      <c r="J392" s="8"/>
      <c r="K392" s="8"/>
      <c r="L392" s="8"/>
      <c r="M392" s="8"/>
      <c r="N392" s="8"/>
      <c r="O392" s="8"/>
      <c r="P392" s="8"/>
      <c r="Q392" s="8"/>
      <c r="R392" s="8"/>
      <c r="S392" s="8"/>
      <c r="T392" s="8"/>
      <c r="U392" s="12"/>
      <c r="V392" s="12"/>
      <c r="W392" s="12"/>
      <c r="X392" s="12"/>
      <c r="Y392" s="12"/>
      <c r="Z392" s="12"/>
      <c r="AA392" s="12"/>
      <c r="AB392" s="12"/>
      <c r="AC392" s="12"/>
      <c r="AD392" s="12"/>
      <c r="AE392" s="12"/>
      <c r="AF392" s="12"/>
    </row>
    <row r="393" spans="1:32" ht="13.2">
      <c r="A393" s="8"/>
      <c r="B393" s="8"/>
      <c r="C393" s="8"/>
      <c r="D393" s="8"/>
      <c r="E393" s="8"/>
      <c r="F393" s="8"/>
      <c r="G393" s="8"/>
      <c r="H393" s="8"/>
      <c r="I393" s="8"/>
      <c r="J393" s="8"/>
      <c r="K393" s="8"/>
      <c r="L393" s="8"/>
      <c r="M393" s="8"/>
      <c r="N393" s="8"/>
      <c r="O393" s="8"/>
      <c r="P393" s="8"/>
      <c r="Q393" s="8"/>
      <c r="R393" s="8"/>
      <c r="S393" s="8"/>
      <c r="T393" s="8"/>
      <c r="U393" s="12"/>
      <c r="V393" s="12"/>
      <c r="W393" s="12"/>
      <c r="X393" s="12"/>
      <c r="Y393" s="12"/>
      <c r="Z393" s="12"/>
      <c r="AA393" s="12"/>
      <c r="AB393" s="12"/>
      <c r="AC393" s="12"/>
      <c r="AD393" s="12"/>
      <c r="AE393" s="12"/>
      <c r="AF393" s="12"/>
    </row>
    <row r="394" spans="1:32" ht="13.2">
      <c r="A394" s="8"/>
      <c r="B394" s="8"/>
      <c r="C394" s="8"/>
      <c r="D394" s="8"/>
      <c r="E394" s="8"/>
      <c r="F394" s="8"/>
      <c r="G394" s="8"/>
      <c r="H394" s="8"/>
      <c r="I394" s="8"/>
      <c r="J394" s="8"/>
      <c r="K394" s="8"/>
      <c r="L394" s="8"/>
      <c r="M394" s="8"/>
      <c r="N394" s="8"/>
      <c r="O394" s="8"/>
      <c r="P394" s="8"/>
      <c r="Q394" s="8"/>
      <c r="R394" s="8"/>
      <c r="S394" s="8"/>
      <c r="T394" s="8"/>
      <c r="U394" s="12"/>
      <c r="V394" s="12"/>
      <c r="W394" s="12"/>
      <c r="X394" s="12"/>
      <c r="Y394" s="12"/>
      <c r="Z394" s="12"/>
      <c r="AA394" s="12"/>
      <c r="AB394" s="12"/>
      <c r="AC394" s="12"/>
      <c r="AD394" s="12"/>
      <c r="AE394" s="12"/>
      <c r="AF394" s="12"/>
    </row>
    <row r="395" spans="1:32" ht="13.2">
      <c r="A395" s="8"/>
      <c r="B395" s="8"/>
      <c r="C395" s="8"/>
      <c r="D395" s="8"/>
      <c r="E395" s="8"/>
      <c r="F395" s="8"/>
      <c r="G395" s="8"/>
      <c r="H395" s="8"/>
      <c r="I395" s="8"/>
      <c r="J395" s="8"/>
      <c r="K395" s="8"/>
      <c r="L395" s="8"/>
      <c r="M395" s="8"/>
      <c r="N395" s="8"/>
      <c r="O395" s="8"/>
      <c r="P395" s="8"/>
      <c r="Q395" s="8"/>
      <c r="R395" s="8"/>
      <c r="S395" s="8"/>
      <c r="T395" s="8"/>
      <c r="U395" s="12"/>
      <c r="V395" s="12"/>
      <c r="W395" s="12"/>
      <c r="X395" s="12"/>
      <c r="Y395" s="12"/>
      <c r="Z395" s="12"/>
      <c r="AA395" s="12"/>
      <c r="AB395" s="12"/>
      <c r="AC395" s="12"/>
      <c r="AD395" s="12"/>
      <c r="AE395" s="12"/>
      <c r="AF395" s="12"/>
    </row>
    <row r="396" spans="1:32" ht="13.2">
      <c r="A396" s="8"/>
      <c r="B396" s="8"/>
      <c r="C396" s="8"/>
      <c r="D396" s="8"/>
      <c r="E396" s="8"/>
      <c r="F396" s="8"/>
      <c r="G396" s="8"/>
      <c r="H396" s="8"/>
      <c r="I396" s="8"/>
      <c r="J396" s="8"/>
      <c r="K396" s="8"/>
      <c r="L396" s="8"/>
      <c r="M396" s="8"/>
      <c r="N396" s="8"/>
      <c r="O396" s="8"/>
      <c r="P396" s="8"/>
      <c r="Q396" s="8"/>
      <c r="R396" s="8"/>
      <c r="S396" s="8"/>
      <c r="T396" s="8"/>
      <c r="U396" s="12"/>
      <c r="V396" s="12"/>
      <c r="W396" s="12"/>
      <c r="X396" s="12"/>
      <c r="Y396" s="12"/>
      <c r="Z396" s="12"/>
      <c r="AA396" s="12"/>
      <c r="AB396" s="12"/>
      <c r="AC396" s="12"/>
      <c r="AD396" s="12"/>
      <c r="AE396" s="12"/>
      <c r="AF396" s="12"/>
    </row>
    <row r="397" spans="1:32" ht="13.2">
      <c r="A397" s="8"/>
      <c r="B397" s="8"/>
      <c r="C397" s="8"/>
      <c r="D397" s="8"/>
      <c r="E397" s="8"/>
      <c r="F397" s="8"/>
      <c r="G397" s="8"/>
      <c r="H397" s="8"/>
      <c r="I397" s="8"/>
      <c r="J397" s="8"/>
      <c r="K397" s="8"/>
      <c r="L397" s="8"/>
      <c r="M397" s="8"/>
      <c r="N397" s="8"/>
      <c r="O397" s="8"/>
      <c r="P397" s="8"/>
      <c r="Q397" s="8"/>
      <c r="R397" s="8"/>
      <c r="S397" s="8"/>
      <c r="T397" s="8"/>
      <c r="U397" s="12"/>
      <c r="V397" s="12"/>
      <c r="W397" s="12"/>
      <c r="X397" s="12"/>
      <c r="Y397" s="12"/>
      <c r="Z397" s="12"/>
      <c r="AA397" s="12"/>
      <c r="AB397" s="12"/>
      <c r="AC397" s="12"/>
      <c r="AD397" s="12"/>
      <c r="AE397" s="12"/>
      <c r="AF397" s="12"/>
    </row>
    <row r="398" spans="1:32" ht="13.2">
      <c r="A398" s="8"/>
      <c r="B398" s="8"/>
      <c r="C398" s="8"/>
      <c r="D398" s="8"/>
      <c r="E398" s="8"/>
      <c r="F398" s="8"/>
      <c r="G398" s="8"/>
      <c r="H398" s="8"/>
      <c r="I398" s="8"/>
      <c r="J398" s="8"/>
      <c r="K398" s="8"/>
      <c r="L398" s="8"/>
      <c r="M398" s="8"/>
      <c r="N398" s="8"/>
      <c r="O398" s="8"/>
      <c r="P398" s="8"/>
      <c r="Q398" s="8"/>
      <c r="R398" s="8"/>
      <c r="S398" s="8"/>
      <c r="T398" s="8"/>
      <c r="U398" s="12"/>
      <c r="V398" s="12"/>
      <c r="W398" s="12"/>
      <c r="X398" s="12"/>
      <c r="Y398" s="12"/>
      <c r="Z398" s="12"/>
      <c r="AA398" s="12"/>
      <c r="AB398" s="12"/>
      <c r="AC398" s="12"/>
      <c r="AD398" s="12"/>
      <c r="AE398" s="12"/>
      <c r="AF398" s="12"/>
    </row>
    <row r="399" spans="1:32" ht="13.2">
      <c r="A399" s="8"/>
      <c r="B399" s="8"/>
      <c r="C399" s="8"/>
      <c r="D399" s="8"/>
      <c r="E399" s="8"/>
      <c r="F399" s="8"/>
      <c r="G399" s="8"/>
      <c r="H399" s="8"/>
      <c r="I399" s="8"/>
      <c r="J399" s="8"/>
      <c r="K399" s="8"/>
      <c r="L399" s="8"/>
      <c r="M399" s="8"/>
      <c r="N399" s="8"/>
      <c r="O399" s="8"/>
      <c r="P399" s="8"/>
      <c r="Q399" s="8"/>
      <c r="R399" s="8"/>
      <c r="S399" s="8"/>
      <c r="T399" s="8"/>
      <c r="U399" s="12"/>
      <c r="V399" s="12"/>
      <c r="W399" s="12"/>
      <c r="X399" s="12"/>
      <c r="Y399" s="12"/>
      <c r="Z399" s="12"/>
      <c r="AA399" s="12"/>
      <c r="AB399" s="12"/>
      <c r="AC399" s="12"/>
      <c r="AD399" s="12"/>
      <c r="AE399" s="12"/>
      <c r="AF399" s="12"/>
    </row>
    <row r="400" spans="1:32" ht="13.2">
      <c r="A400" s="8"/>
      <c r="B400" s="8"/>
      <c r="C400" s="8"/>
      <c r="D400" s="8"/>
      <c r="E400" s="8"/>
      <c r="F400" s="8"/>
      <c r="G400" s="8"/>
      <c r="H400" s="8"/>
      <c r="I400" s="8"/>
      <c r="J400" s="8"/>
      <c r="K400" s="8"/>
      <c r="L400" s="8"/>
      <c r="M400" s="8"/>
      <c r="N400" s="8"/>
      <c r="O400" s="8"/>
      <c r="P400" s="8"/>
      <c r="Q400" s="8"/>
      <c r="R400" s="8"/>
      <c r="S400" s="8"/>
      <c r="T400" s="8"/>
      <c r="U400" s="12"/>
      <c r="V400" s="12"/>
      <c r="W400" s="12"/>
      <c r="X400" s="12"/>
      <c r="Y400" s="12"/>
      <c r="Z400" s="12"/>
      <c r="AA400" s="12"/>
      <c r="AB400" s="12"/>
      <c r="AC400" s="12"/>
      <c r="AD400" s="12"/>
      <c r="AE400" s="12"/>
      <c r="AF400" s="12"/>
    </row>
    <row r="401" spans="1:32" ht="13.2">
      <c r="A401" s="8"/>
      <c r="B401" s="8"/>
      <c r="C401" s="8"/>
      <c r="D401" s="8"/>
      <c r="E401" s="8"/>
      <c r="F401" s="8"/>
      <c r="G401" s="8"/>
      <c r="H401" s="8"/>
      <c r="I401" s="8"/>
      <c r="J401" s="8"/>
      <c r="K401" s="8"/>
      <c r="L401" s="8"/>
      <c r="M401" s="8"/>
      <c r="N401" s="8"/>
      <c r="O401" s="8"/>
      <c r="P401" s="8"/>
      <c r="Q401" s="8"/>
      <c r="R401" s="8"/>
      <c r="S401" s="8"/>
      <c r="T401" s="8"/>
      <c r="U401" s="12"/>
      <c r="V401" s="12"/>
      <c r="W401" s="12"/>
      <c r="X401" s="12"/>
      <c r="Y401" s="12"/>
      <c r="Z401" s="12"/>
      <c r="AA401" s="12"/>
      <c r="AB401" s="12"/>
      <c r="AC401" s="12"/>
      <c r="AD401" s="12"/>
      <c r="AE401" s="12"/>
      <c r="AF401" s="12"/>
    </row>
    <row r="402" spans="1:32" ht="13.2">
      <c r="A402" s="8"/>
      <c r="B402" s="8"/>
      <c r="C402" s="8"/>
      <c r="D402" s="8"/>
      <c r="E402" s="8"/>
      <c r="F402" s="8"/>
      <c r="G402" s="8"/>
      <c r="H402" s="8"/>
      <c r="I402" s="8"/>
      <c r="J402" s="8"/>
      <c r="K402" s="8"/>
      <c r="L402" s="8"/>
      <c r="M402" s="8"/>
      <c r="N402" s="8"/>
      <c r="O402" s="8"/>
      <c r="P402" s="8"/>
      <c r="Q402" s="8"/>
      <c r="R402" s="8"/>
      <c r="S402" s="8"/>
      <c r="T402" s="8"/>
      <c r="U402" s="12"/>
      <c r="V402" s="12"/>
      <c r="W402" s="12"/>
      <c r="X402" s="12"/>
      <c r="Y402" s="12"/>
      <c r="Z402" s="12"/>
      <c r="AA402" s="12"/>
      <c r="AB402" s="12"/>
      <c r="AC402" s="12"/>
      <c r="AD402" s="12"/>
      <c r="AE402" s="12"/>
      <c r="AF402" s="12"/>
    </row>
    <row r="403" spans="1:32" ht="13.2">
      <c r="A403" s="8"/>
      <c r="B403" s="8"/>
      <c r="C403" s="8"/>
      <c r="D403" s="8"/>
      <c r="E403" s="8"/>
      <c r="F403" s="8"/>
      <c r="G403" s="8"/>
      <c r="H403" s="8"/>
      <c r="I403" s="8"/>
      <c r="J403" s="8"/>
      <c r="K403" s="8"/>
      <c r="L403" s="8"/>
      <c r="M403" s="8"/>
      <c r="N403" s="8"/>
      <c r="O403" s="8"/>
      <c r="P403" s="8"/>
      <c r="Q403" s="8"/>
      <c r="R403" s="8"/>
      <c r="S403" s="8"/>
      <c r="T403" s="8"/>
      <c r="U403" s="12"/>
      <c r="V403" s="12"/>
      <c r="W403" s="12"/>
      <c r="X403" s="12"/>
      <c r="Y403" s="12"/>
      <c r="Z403" s="12"/>
      <c r="AA403" s="12"/>
      <c r="AB403" s="12"/>
      <c r="AC403" s="12"/>
      <c r="AD403" s="12"/>
      <c r="AE403" s="12"/>
      <c r="AF403" s="12"/>
    </row>
    <row r="404" spans="1:32" ht="13.2">
      <c r="A404" s="8"/>
      <c r="B404" s="8"/>
      <c r="C404" s="8"/>
      <c r="D404" s="8"/>
      <c r="E404" s="8"/>
      <c r="F404" s="8"/>
      <c r="G404" s="8"/>
      <c r="H404" s="8"/>
      <c r="I404" s="8"/>
      <c r="J404" s="8"/>
      <c r="K404" s="8"/>
      <c r="L404" s="8"/>
      <c r="M404" s="8"/>
      <c r="N404" s="8"/>
      <c r="O404" s="8"/>
      <c r="P404" s="8"/>
      <c r="Q404" s="8"/>
      <c r="R404" s="8"/>
      <c r="S404" s="8"/>
      <c r="T404" s="8"/>
      <c r="U404" s="12"/>
      <c r="V404" s="12"/>
      <c r="W404" s="12"/>
      <c r="X404" s="12"/>
      <c r="Y404" s="12"/>
      <c r="Z404" s="12"/>
      <c r="AA404" s="12"/>
      <c r="AB404" s="12"/>
      <c r="AC404" s="12"/>
      <c r="AD404" s="12"/>
      <c r="AE404" s="12"/>
      <c r="AF404" s="12"/>
    </row>
    <row r="405" spans="1:32" ht="13.2">
      <c r="A405" s="8"/>
      <c r="B405" s="8"/>
      <c r="C405" s="8"/>
      <c r="D405" s="8"/>
      <c r="E405" s="8"/>
      <c r="F405" s="8"/>
      <c r="G405" s="8"/>
      <c r="H405" s="8"/>
      <c r="I405" s="8"/>
      <c r="J405" s="8"/>
      <c r="K405" s="8"/>
      <c r="L405" s="8"/>
      <c r="M405" s="8"/>
      <c r="N405" s="8"/>
      <c r="O405" s="8"/>
      <c r="P405" s="8"/>
      <c r="Q405" s="8"/>
      <c r="R405" s="8"/>
      <c r="S405" s="8"/>
      <c r="T405" s="8"/>
      <c r="U405" s="12"/>
      <c r="V405" s="12"/>
      <c r="W405" s="12"/>
      <c r="X405" s="12"/>
      <c r="Y405" s="12"/>
      <c r="Z405" s="12"/>
      <c r="AA405" s="12"/>
      <c r="AB405" s="12"/>
      <c r="AC405" s="12"/>
      <c r="AD405" s="12"/>
      <c r="AE405" s="12"/>
      <c r="AF405" s="12"/>
    </row>
    <row r="406" spans="1:32" ht="13.2">
      <c r="A406" s="8"/>
      <c r="B406" s="8"/>
      <c r="C406" s="8"/>
      <c r="D406" s="8"/>
      <c r="E406" s="8"/>
      <c r="F406" s="8"/>
      <c r="G406" s="8"/>
      <c r="H406" s="8"/>
      <c r="I406" s="8"/>
      <c r="J406" s="8"/>
      <c r="K406" s="8"/>
      <c r="L406" s="8"/>
      <c r="M406" s="8"/>
      <c r="N406" s="8"/>
      <c r="O406" s="8"/>
      <c r="P406" s="8"/>
      <c r="Q406" s="8"/>
      <c r="R406" s="8"/>
      <c r="S406" s="8"/>
      <c r="T406" s="8"/>
      <c r="U406" s="12"/>
      <c r="V406" s="12"/>
      <c r="W406" s="12"/>
      <c r="X406" s="12"/>
      <c r="Y406" s="12"/>
      <c r="Z406" s="12"/>
      <c r="AA406" s="12"/>
      <c r="AB406" s="12"/>
      <c r="AC406" s="12"/>
      <c r="AD406" s="12"/>
      <c r="AE406" s="12"/>
      <c r="AF406" s="12"/>
    </row>
    <row r="407" spans="1:32" ht="13.2">
      <c r="A407" s="8"/>
      <c r="B407" s="8"/>
      <c r="C407" s="8"/>
      <c r="D407" s="8"/>
      <c r="E407" s="8"/>
      <c r="F407" s="8"/>
      <c r="G407" s="8"/>
      <c r="H407" s="8"/>
      <c r="I407" s="8"/>
      <c r="J407" s="8"/>
      <c r="K407" s="8"/>
      <c r="L407" s="8"/>
      <c r="M407" s="8"/>
      <c r="N407" s="8"/>
      <c r="O407" s="8"/>
      <c r="P407" s="8"/>
      <c r="Q407" s="8"/>
      <c r="R407" s="8"/>
      <c r="S407" s="8"/>
      <c r="T407" s="8"/>
      <c r="U407" s="12"/>
      <c r="V407" s="12"/>
      <c r="W407" s="12"/>
      <c r="X407" s="12"/>
      <c r="Y407" s="12"/>
      <c r="Z407" s="12"/>
      <c r="AA407" s="12"/>
      <c r="AB407" s="12"/>
      <c r="AC407" s="12"/>
      <c r="AD407" s="12"/>
      <c r="AE407" s="12"/>
      <c r="AF407" s="12"/>
    </row>
    <row r="408" spans="1:32" ht="13.2">
      <c r="A408" s="8"/>
      <c r="B408" s="8"/>
      <c r="C408" s="8"/>
      <c r="D408" s="8"/>
      <c r="E408" s="8"/>
      <c r="F408" s="8"/>
      <c r="G408" s="8"/>
      <c r="H408" s="8"/>
      <c r="I408" s="8"/>
      <c r="J408" s="8"/>
      <c r="K408" s="8"/>
      <c r="L408" s="8"/>
      <c r="M408" s="8"/>
      <c r="N408" s="8"/>
      <c r="O408" s="8"/>
      <c r="P408" s="8"/>
      <c r="Q408" s="8"/>
      <c r="R408" s="8"/>
      <c r="S408" s="8"/>
      <c r="T408" s="8"/>
      <c r="U408" s="12"/>
      <c r="V408" s="12"/>
      <c r="W408" s="12"/>
      <c r="X408" s="12"/>
      <c r="Y408" s="12"/>
      <c r="Z408" s="12"/>
      <c r="AA408" s="12"/>
      <c r="AB408" s="12"/>
      <c r="AC408" s="12"/>
      <c r="AD408" s="12"/>
      <c r="AE408" s="12"/>
      <c r="AF408" s="12"/>
    </row>
    <row r="409" spans="1:32" ht="13.2">
      <c r="A409" s="8"/>
      <c r="B409" s="8"/>
      <c r="C409" s="8"/>
      <c r="D409" s="8"/>
      <c r="E409" s="8"/>
      <c r="F409" s="8"/>
      <c r="G409" s="8"/>
      <c r="H409" s="8"/>
      <c r="I409" s="8"/>
      <c r="J409" s="8"/>
      <c r="K409" s="8"/>
      <c r="L409" s="8"/>
      <c r="M409" s="8"/>
      <c r="N409" s="8"/>
      <c r="O409" s="8"/>
      <c r="P409" s="8"/>
      <c r="Q409" s="8"/>
      <c r="R409" s="8"/>
      <c r="S409" s="8"/>
      <c r="T409" s="8"/>
      <c r="U409" s="12"/>
      <c r="V409" s="12"/>
      <c r="W409" s="12"/>
      <c r="X409" s="12"/>
      <c r="Y409" s="12"/>
      <c r="Z409" s="12"/>
      <c r="AA409" s="12"/>
      <c r="AB409" s="12"/>
      <c r="AC409" s="12"/>
      <c r="AD409" s="12"/>
      <c r="AE409" s="12"/>
      <c r="AF409" s="12"/>
    </row>
    <row r="410" spans="1:32" ht="13.2">
      <c r="A410" s="8"/>
      <c r="B410" s="8"/>
      <c r="C410" s="8"/>
      <c r="D410" s="8"/>
      <c r="E410" s="8"/>
      <c r="F410" s="8"/>
      <c r="G410" s="8"/>
      <c r="H410" s="8"/>
      <c r="I410" s="8"/>
      <c r="J410" s="8"/>
      <c r="K410" s="8"/>
      <c r="L410" s="8"/>
      <c r="M410" s="8"/>
      <c r="N410" s="8"/>
      <c r="O410" s="8"/>
      <c r="P410" s="8"/>
      <c r="Q410" s="8"/>
      <c r="R410" s="8"/>
      <c r="S410" s="8"/>
      <c r="T410" s="8"/>
      <c r="U410" s="12"/>
      <c r="V410" s="12"/>
      <c r="W410" s="12"/>
      <c r="X410" s="12"/>
      <c r="Y410" s="12"/>
      <c r="Z410" s="12"/>
      <c r="AA410" s="12"/>
      <c r="AB410" s="12"/>
      <c r="AC410" s="12"/>
      <c r="AD410" s="12"/>
      <c r="AE410" s="12"/>
      <c r="AF410" s="12"/>
    </row>
    <row r="411" spans="1:32" ht="13.2">
      <c r="A411" s="8"/>
      <c r="B411" s="8"/>
      <c r="C411" s="8"/>
      <c r="D411" s="8"/>
      <c r="E411" s="8"/>
      <c r="F411" s="8"/>
      <c r="G411" s="8"/>
      <c r="H411" s="8"/>
      <c r="I411" s="8"/>
      <c r="J411" s="8"/>
      <c r="K411" s="8"/>
      <c r="L411" s="8"/>
      <c r="M411" s="8"/>
      <c r="N411" s="8"/>
      <c r="O411" s="8"/>
      <c r="P411" s="8"/>
      <c r="Q411" s="8"/>
      <c r="R411" s="8"/>
      <c r="S411" s="8"/>
      <c r="T411" s="8"/>
      <c r="U411" s="12"/>
      <c r="V411" s="12"/>
      <c r="W411" s="12"/>
      <c r="X411" s="12"/>
      <c r="Y411" s="12"/>
      <c r="Z411" s="12"/>
      <c r="AA411" s="12"/>
      <c r="AB411" s="12"/>
      <c r="AC411" s="12"/>
      <c r="AD411" s="12"/>
      <c r="AE411" s="12"/>
      <c r="AF411" s="12"/>
    </row>
    <row r="412" spans="1:32" ht="13.2">
      <c r="A412" s="8"/>
      <c r="B412" s="8"/>
      <c r="C412" s="8"/>
      <c r="D412" s="8"/>
      <c r="E412" s="8"/>
      <c r="F412" s="8"/>
      <c r="G412" s="8"/>
      <c r="H412" s="8"/>
      <c r="I412" s="8"/>
      <c r="J412" s="8"/>
      <c r="K412" s="8"/>
      <c r="L412" s="8"/>
      <c r="M412" s="8"/>
      <c r="N412" s="8"/>
      <c r="O412" s="8"/>
      <c r="P412" s="8"/>
      <c r="Q412" s="8"/>
      <c r="R412" s="8"/>
      <c r="S412" s="8"/>
      <c r="T412" s="8"/>
      <c r="U412" s="12"/>
      <c r="V412" s="12"/>
      <c r="W412" s="12"/>
      <c r="X412" s="12"/>
      <c r="Y412" s="12"/>
      <c r="Z412" s="12"/>
      <c r="AA412" s="12"/>
      <c r="AB412" s="12"/>
      <c r="AC412" s="12"/>
      <c r="AD412" s="12"/>
      <c r="AE412" s="12"/>
      <c r="AF412" s="12"/>
    </row>
    <row r="413" spans="1:32" ht="13.2">
      <c r="A413" s="8"/>
      <c r="B413" s="8"/>
      <c r="C413" s="8"/>
      <c r="D413" s="8"/>
      <c r="E413" s="8"/>
      <c r="F413" s="8"/>
      <c r="G413" s="8"/>
      <c r="H413" s="8"/>
      <c r="I413" s="8"/>
      <c r="J413" s="8"/>
      <c r="K413" s="8"/>
      <c r="L413" s="8"/>
      <c r="M413" s="8"/>
      <c r="N413" s="8"/>
      <c r="O413" s="8"/>
      <c r="P413" s="8"/>
      <c r="Q413" s="8"/>
      <c r="R413" s="8"/>
      <c r="S413" s="8"/>
      <c r="T413" s="8"/>
      <c r="U413" s="12"/>
      <c r="V413" s="12"/>
      <c r="W413" s="12"/>
      <c r="X413" s="12"/>
      <c r="Y413" s="12"/>
      <c r="Z413" s="12"/>
      <c r="AA413" s="12"/>
      <c r="AB413" s="12"/>
      <c r="AC413" s="12"/>
      <c r="AD413" s="12"/>
      <c r="AE413" s="12"/>
      <c r="AF413" s="12"/>
    </row>
    <row r="414" spans="1:32" ht="13.2">
      <c r="A414" s="8"/>
      <c r="B414" s="8"/>
      <c r="C414" s="8"/>
      <c r="D414" s="8"/>
      <c r="E414" s="8"/>
      <c r="F414" s="8"/>
      <c r="G414" s="8"/>
      <c r="H414" s="8"/>
      <c r="I414" s="8"/>
      <c r="J414" s="8"/>
      <c r="K414" s="8"/>
      <c r="L414" s="8"/>
      <c r="M414" s="8"/>
      <c r="N414" s="8"/>
      <c r="O414" s="8"/>
      <c r="P414" s="8"/>
      <c r="Q414" s="8"/>
      <c r="R414" s="8"/>
      <c r="S414" s="8"/>
      <c r="T414" s="8"/>
      <c r="U414" s="12"/>
      <c r="V414" s="12"/>
      <c r="W414" s="12"/>
      <c r="X414" s="12"/>
      <c r="Y414" s="12"/>
      <c r="Z414" s="12"/>
      <c r="AA414" s="12"/>
      <c r="AB414" s="12"/>
      <c r="AC414" s="12"/>
      <c r="AD414" s="12"/>
      <c r="AE414" s="12"/>
      <c r="AF414" s="12"/>
    </row>
    <row r="415" spans="1:32" ht="13.2">
      <c r="A415" s="8"/>
      <c r="B415" s="8"/>
      <c r="C415" s="8"/>
      <c r="D415" s="8"/>
      <c r="E415" s="8"/>
      <c r="F415" s="8"/>
      <c r="G415" s="8"/>
      <c r="H415" s="8"/>
      <c r="I415" s="8"/>
      <c r="J415" s="8"/>
      <c r="K415" s="8"/>
      <c r="L415" s="8"/>
      <c r="M415" s="8"/>
      <c r="N415" s="8"/>
      <c r="O415" s="8"/>
      <c r="P415" s="8"/>
      <c r="Q415" s="8"/>
      <c r="R415" s="8"/>
      <c r="S415" s="8"/>
      <c r="T415" s="8"/>
      <c r="U415" s="12"/>
      <c r="V415" s="12"/>
      <c r="W415" s="12"/>
      <c r="X415" s="12"/>
      <c r="Y415" s="12"/>
      <c r="Z415" s="12"/>
      <c r="AA415" s="12"/>
      <c r="AB415" s="12"/>
      <c r="AC415" s="12"/>
      <c r="AD415" s="12"/>
      <c r="AE415" s="12"/>
      <c r="AF415" s="12"/>
    </row>
    <row r="416" spans="1:32" ht="13.2">
      <c r="A416" s="8"/>
      <c r="B416" s="8"/>
      <c r="C416" s="8"/>
      <c r="D416" s="8"/>
      <c r="E416" s="8"/>
      <c r="F416" s="8"/>
      <c r="G416" s="8"/>
      <c r="H416" s="8"/>
      <c r="I416" s="8"/>
      <c r="J416" s="8"/>
      <c r="K416" s="8"/>
      <c r="L416" s="8"/>
      <c r="M416" s="8"/>
      <c r="N416" s="8"/>
      <c r="O416" s="8"/>
      <c r="P416" s="8"/>
      <c r="Q416" s="8"/>
      <c r="R416" s="8"/>
      <c r="S416" s="8"/>
      <c r="T416" s="8"/>
      <c r="U416" s="12"/>
      <c r="V416" s="12"/>
      <c r="W416" s="12"/>
      <c r="X416" s="12"/>
      <c r="Y416" s="12"/>
      <c r="Z416" s="12"/>
      <c r="AA416" s="12"/>
      <c r="AB416" s="12"/>
      <c r="AC416" s="12"/>
      <c r="AD416" s="12"/>
      <c r="AE416" s="12"/>
      <c r="AF416" s="12"/>
    </row>
    <row r="417" spans="1:32" ht="13.2">
      <c r="A417" s="8"/>
      <c r="B417" s="8"/>
      <c r="C417" s="8"/>
      <c r="D417" s="8"/>
      <c r="E417" s="8"/>
      <c r="F417" s="8"/>
      <c r="G417" s="8"/>
      <c r="H417" s="8"/>
      <c r="I417" s="8"/>
      <c r="J417" s="8"/>
      <c r="K417" s="8"/>
      <c r="L417" s="8"/>
      <c r="M417" s="8"/>
      <c r="N417" s="8"/>
      <c r="O417" s="8"/>
      <c r="P417" s="8"/>
      <c r="Q417" s="8"/>
      <c r="R417" s="8"/>
      <c r="S417" s="8"/>
      <c r="T417" s="8"/>
      <c r="U417" s="12"/>
      <c r="V417" s="12"/>
      <c r="W417" s="12"/>
      <c r="X417" s="12"/>
      <c r="Y417" s="12"/>
      <c r="Z417" s="12"/>
      <c r="AA417" s="12"/>
      <c r="AB417" s="12"/>
      <c r="AC417" s="12"/>
      <c r="AD417" s="12"/>
      <c r="AE417" s="12"/>
      <c r="AF417" s="12"/>
    </row>
    <row r="418" spans="1:32" ht="13.2">
      <c r="A418" s="8"/>
      <c r="B418" s="8"/>
      <c r="C418" s="8"/>
      <c r="D418" s="8"/>
      <c r="E418" s="8"/>
      <c r="F418" s="8"/>
      <c r="G418" s="8"/>
      <c r="H418" s="8"/>
      <c r="I418" s="8"/>
      <c r="J418" s="8"/>
      <c r="K418" s="8"/>
      <c r="L418" s="8"/>
      <c r="M418" s="8"/>
      <c r="N418" s="8"/>
      <c r="O418" s="8"/>
      <c r="P418" s="8"/>
      <c r="Q418" s="8"/>
      <c r="R418" s="8"/>
      <c r="S418" s="8"/>
      <c r="T418" s="8"/>
      <c r="U418" s="12"/>
      <c r="V418" s="12"/>
      <c r="W418" s="12"/>
      <c r="X418" s="12"/>
      <c r="Y418" s="12"/>
      <c r="Z418" s="12"/>
      <c r="AA418" s="12"/>
      <c r="AB418" s="12"/>
      <c r="AC418" s="12"/>
      <c r="AD418" s="12"/>
      <c r="AE418" s="12"/>
      <c r="AF418" s="12"/>
    </row>
    <row r="419" spans="1:32" ht="13.2">
      <c r="A419" s="8"/>
      <c r="B419" s="8"/>
      <c r="C419" s="8"/>
      <c r="D419" s="8"/>
      <c r="E419" s="8"/>
      <c r="F419" s="8"/>
      <c r="G419" s="8"/>
      <c r="H419" s="8"/>
      <c r="I419" s="8"/>
      <c r="J419" s="8"/>
      <c r="K419" s="8"/>
      <c r="L419" s="8"/>
      <c r="M419" s="8"/>
      <c r="N419" s="8"/>
      <c r="O419" s="8"/>
      <c r="P419" s="8"/>
      <c r="Q419" s="8"/>
      <c r="R419" s="8"/>
      <c r="S419" s="8"/>
      <c r="T419" s="8"/>
      <c r="U419" s="12"/>
      <c r="V419" s="12"/>
      <c r="W419" s="12"/>
      <c r="X419" s="12"/>
      <c r="Y419" s="12"/>
      <c r="Z419" s="12"/>
      <c r="AA419" s="12"/>
      <c r="AB419" s="12"/>
      <c r="AC419" s="12"/>
      <c r="AD419" s="12"/>
      <c r="AE419" s="12"/>
      <c r="AF419" s="12"/>
    </row>
    <row r="420" spans="1:32" ht="13.2">
      <c r="A420" s="8"/>
      <c r="B420" s="8"/>
      <c r="C420" s="8"/>
      <c r="D420" s="8"/>
      <c r="E420" s="8"/>
      <c r="F420" s="8"/>
      <c r="G420" s="8"/>
      <c r="H420" s="8"/>
      <c r="I420" s="8"/>
      <c r="J420" s="8"/>
      <c r="K420" s="8"/>
      <c r="L420" s="8"/>
      <c r="M420" s="8"/>
      <c r="N420" s="8"/>
      <c r="O420" s="8"/>
      <c r="P420" s="8"/>
      <c r="Q420" s="8"/>
      <c r="R420" s="8"/>
      <c r="S420" s="8"/>
      <c r="T420" s="8"/>
      <c r="U420" s="12"/>
      <c r="V420" s="12"/>
      <c r="W420" s="12"/>
      <c r="X420" s="12"/>
      <c r="Y420" s="12"/>
      <c r="Z420" s="12"/>
      <c r="AA420" s="12"/>
      <c r="AB420" s="12"/>
      <c r="AC420" s="12"/>
      <c r="AD420" s="12"/>
      <c r="AE420" s="12"/>
      <c r="AF420" s="12"/>
    </row>
    <row r="421" spans="1:32" ht="13.2">
      <c r="A421" s="8"/>
      <c r="B421" s="8"/>
      <c r="C421" s="8"/>
      <c r="D421" s="8"/>
      <c r="E421" s="8"/>
      <c r="F421" s="8"/>
      <c r="G421" s="8"/>
      <c r="H421" s="8"/>
      <c r="I421" s="8"/>
      <c r="J421" s="8"/>
      <c r="K421" s="8"/>
      <c r="L421" s="8"/>
      <c r="M421" s="8"/>
      <c r="N421" s="8"/>
      <c r="O421" s="8"/>
      <c r="P421" s="8"/>
      <c r="Q421" s="8"/>
      <c r="R421" s="8"/>
      <c r="S421" s="8"/>
      <c r="T421" s="8"/>
      <c r="U421" s="12"/>
      <c r="V421" s="12"/>
      <c r="W421" s="12"/>
      <c r="X421" s="12"/>
      <c r="Y421" s="12"/>
      <c r="Z421" s="12"/>
      <c r="AA421" s="12"/>
      <c r="AB421" s="12"/>
      <c r="AC421" s="12"/>
      <c r="AD421" s="12"/>
      <c r="AE421" s="12"/>
      <c r="AF421" s="12"/>
    </row>
    <row r="422" spans="1:32" ht="13.2">
      <c r="A422" s="8"/>
      <c r="B422" s="8"/>
      <c r="C422" s="8"/>
      <c r="D422" s="8"/>
      <c r="E422" s="8"/>
      <c r="F422" s="8"/>
      <c r="G422" s="8"/>
      <c r="H422" s="8"/>
      <c r="I422" s="8"/>
      <c r="J422" s="8"/>
      <c r="K422" s="8"/>
      <c r="L422" s="8"/>
      <c r="M422" s="8"/>
      <c r="N422" s="8"/>
      <c r="O422" s="8"/>
      <c r="P422" s="8"/>
      <c r="Q422" s="8"/>
      <c r="R422" s="8"/>
      <c r="S422" s="8"/>
      <c r="T422" s="8"/>
      <c r="U422" s="12"/>
      <c r="V422" s="12"/>
      <c r="W422" s="12"/>
      <c r="X422" s="12"/>
      <c r="Y422" s="12"/>
      <c r="Z422" s="12"/>
      <c r="AA422" s="12"/>
      <c r="AB422" s="12"/>
      <c r="AC422" s="12"/>
      <c r="AD422" s="12"/>
      <c r="AE422" s="12"/>
      <c r="AF422" s="12"/>
    </row>
    <row r="423" spans="1:32" ht="13.2">
      <c r="A423" s="8"/>
      <c r="B423" s="8"/>
      <c r="C423" s="8"/>
      <c r="D423" s="8"/>
      <c r="E423" s="8"/>
      <c r="F423" s="8"/>
      <c r="G423" s="8"/>
      <c r="H423" s="8"/>
      <c r="I423" s="8"/>
      <c r="J423" s="8"/>
      <c r="K423" s="8"/>
      <c r="L423" s="8"/>
      <c r="M423" s="8"/>
      <c r="N423" s="8"/>
      <c r="O423" s="8"/>
      <c r="P423" s="8"/>
      <c r="Q423" s="8"/>
      <c r="R423" s="8"/>
      <c r="S423" s="8"/>
      <c r="T423" s="8"/>
      <c r="U423" s="12"/>
      <c r="V423" s="12"/>
      <c r="W423" s="12"/>
      <c r="X423" s="12"/>
      <c r="Y423" s="12"/>
      <c r="Z423" s="12"/>
      <c r="AA423" s="12"/>
      <c r="AB423" s="12"/>
      <c r="AC423" s="12"/>
      <c r="AD423" s="12"/>
      <c r="AE423" s="12"/>
      <c r="AF423" s="12"/>
    </row>
    <row r="424" spans="1:32" ht="13.2">
      <c r="A424" s="8"/>
      <c r="B424" s="8"/>
      <c r="C424" s="8"/>
      <c r="D424" s="8"/>
      <c r="E424" s="8"/>
      <c r="F424" s="8"/>
      <c r="G424" s="8"/>
      <c r="H424" s="8"/>
      <c r="I424" s="8"/>
      <c r="J424" s="8"/>
      <c r="K424" s="8"/>
      <c r="L424" s="8"/>
      <c r="M424" s="8"/>
      <c r="N424" s="8"/>
      <c r="O424" s="8"/>
      <c r="P424" s="8"/>
      <c r="Q424" s="8"/>
      <c r="R424" s="8"/>
      <c r="S424" s="8"/>
      <c r="T424" s="8"/>
      <c r="U424" s="12"/>
      <c r="V424" s="12"/>
      <c r="W424" s="12"/>
      <c r="X424" s="12"/>
      <c r="Y424" s="12"/>
      <c r="Z424" s="12"/>
      <c r="AA424" s="12"/>
      <c r="AB424" s="12"/>
      <c r="AC424" s="12"/>
      <c r="AD424" s="12"/>
      <c r="AE424" s="12"/>
      <c r="AF424" s="12"/>
    </row>
    <row r="425" spans="1:32" ht="13.2">
      <c r="A425" s="8"/>
      <c r="B425" s="8"/>
      <c r="C425" s="8"/>
      <c r="D425" s="8"/>
      <c r="E425" s="8"/>
      <c r="F425" s="8"/>
      <c r="G425" s="8"/>
      <c r="H425" s="8"/>
      <c r="I425" s="8"/>
      <c r="J425" s="8"/>
      <c r="K425" s="8"/>
      <c r="L425" s="8"/>
      <c r="M425" s="8"/>
      <c r="N425" s="8"/>
      <c r="O425" s="8"/>
      <c r="P425" s="8"/>
      <c r="Q425" s="8"/>
      <c r="R425" s="8"/>
      <c r="S425" s="8"/>
      <c r="T425" s="8"/>
      <c r="U425" s="12"/>
      <c r="V425" s="12"/>
      <c r="W425" s="12"/>
      <c r="X425" s="12"/>
      <c r="Y425" s="12"/>
      <c r="Z425" s="12"/>
      <c r="AA425" s="12"/>
      <c r="AB425" s="12"/>
      <c r="AC425" s="12"/>
      <c r="AD425" s="12"/>
      <c r="AE425" s="12"/>
      <c r="AF425" s="12"/>
    </row>
    <row r="426" spans="1:32" ht="13.2">
      <c r="A426" s="8"/>
      <c r="B426" s="8"/>
      <c r="C426" s="8"/>
      <c r="D426" s="8"/>
      <c r="E426" s="8"/>
      <c r="F426" s="8"/>
      <c r="G426" s="8"/>
      <c r="H426" s="8"/>
      <c r="I426" s="8"/>
      <c r="J426" s="8"/>
      <c r="K426" s="8"/>
      <c r="L426" s="8"/>
      <c r="M426" s="8"/>
      <c r="N426" s="8"/>
      <c r="O426" s="8"/>
      <c r="P426" s="8"/>
      <c r="Q426" s="8"/>
      <c r="R426" s="8"/>
      <c r="S426" s="8"/>
      <c r="T426" s="8"/>
      <c r="U426" s="12"/>
      <c r="V426" s="12"/>
      <c r="W426" s="12"/>
      <c r="X426" s="12"/>
      <c r="Y426" s="12"/>
      <c r="Z426" s="12"/>
      <c r="AA426" s="12"/>
      <c r="AB426" s="12"/>
      <c r="AC426" s="12"/>
      <c r="AD426" s="12"/>
      <c r="AE426" s="12"/>
      <c r="AF426" s="12"/>
    </row>
    <row r="427" spans="1:32" ht="13.2">
      <c r="A427" s="8"/>
      <c r="B427" s="8"/>
      <c r="C427" s="8"/>
      <c r="D427" s="8"/>
      <c r="E427" s="8"/>
      <c r="F427" s="8"/>
      <c r="G427" s="8"/>
      <c r="H427" s="8"/>
      <c r="I427" s="8"/>
      <c r="J427" s="8"/>
      <c r="K427" s="8"/>
      <c r="L427" s="8"/>
      <c r="M427" s="8"/>
      <c r="N427" s="8"/>
      <c r="O427" s="8"/>
      <c r="P427" s="8"/>
      <c r="Q427" s="8"/>
      <c r="R427" s="8"/>
      <c r="S427" s="8"/>
      <c r="T427" s="8"/>
      <c r="U427" s="12"/>
      <c r="V427" s="12"/>
      <c r="W427" s="12"/>
      <c r="X427" s="12"/>
      <c r="Y427" s="12"/>
      <c r="Z427" s="12"/>
      <c r="AA427" s="12"/>
      <c r="AB427" s="12"/>
      <c r="AC427" s="12"/>
      <c r="AD427" s="12"/>
      <c r="AE427" s="12"/>
      <c r="AF427" s="12"/>
    </row>
    <row r="428" spans="1:32" ht="13.2">
      <c r="A428" s="8"/>
      <c r="B428" s="8"/>
      <c r="C428" s="8"/>
      <c r="D428" s="8"/>
      <c r="E428" s="8"/>
      <c r="F428" s="8"/>
      <c r="G428" s="8"/>
      <c r="H428" s="8"/>
      <c r="I428" s="8"/>
      <c r="J428" s="8"/>
      <c r="K428" s="8"/>
      <c r="L428" s="8"/>
      <c r="M428" s="8"/>
      <c r="N428" s="8"/>
      <c r="O428" s="8"/>
      <c r="P428" s="8"/>
      <c r="Q428" s="8"/>
      <c r="R428" s="8"/>
      <c r="S428" s="8"/>
      <c r="T428" s="8"/>
      <c r="U428" s="12"/>
      <c r="V428" s="12"/>
      <c r="W428" s="12"/>
      <c r="X428" s="12"/>
      <c r="Y428" s="12"/>
      <c r="Z428" s="12"/>
      <c r="AA428" s="12"/>
      <c r="AB428" s="12"/>
      <c r="AC428" s="12"/>
      <c r="AD428" s="12"/>
      <c r="AE428" s="12"/>
      <c r="AF428" s="12"/>
    </row>
    <row r="429" spans="1:32" ht="13.2">
      <c r="A429" s="8"/>
      <c r="B429" s="8"/>
      <c r="C429" s="8"/>
      <c r="D429" s="8"/>
      <c r="E429" s="8"/>
      <c r="F429" s="8"/>
      <c r="G429" s="8"/>
      <c r="H429" s="8"/>
      <c r="I429" s="8"/>
      <c r="J429" s="8"/>
      <c r="K429" s="8"/>
      <c r="L429" s="8"/>
      <c r="M429" s="8"/>
      <c r="N429" s="8"/>
      <c r="O429" s="8"/>
      <c r="P429" s="8"/>
      <c r="Q429" s="8"/>
      <c r="R429" s="8"/>
      <c r="S429" s="8"/>
      <c r="T429" s="8"/>
      <c r="U429" s="12"/>
      <c r="V429" s="12"/>
      <c r="W429" s="12"/>
      <c r="X429" s="12"/>
      <c r="Y429" s="12"/>
      <c r="Z429" s="12"/>
      <c r="AA429" s="12"/>
      <c r="AB429" s="12"/>
      <c r="AC429" s="12"/>
      <c r="AD429" s="12"/>
      <c r="AE429" s="12"/>
      <c r="AF429" s="12"/>
    </row>
    <row r="430" spans="1:32" ht="13.2">
      <c r="A430" s="8"/>
      <c r="B430" s="8"/>
      <c r="C430" s="8"/>
      <c r="D430" s="8"/>
      <c r="E430" s="8"/>
      <c r="F430" s="8"/>
      <c r="G430" s="8"/>
      <c r="H430" s="8"/>
      <c r="I430" s="8"/>
      <c r="J430" s="8"/>
      <c r="K430" s="8"/>
      <c r="L430" s="8"/>
      <c r="M430" s="8"/>
      <c r="N430" s="8"/>
      <c r="O430" s="8"/>
      <c r="P430" s="8"/>
      <c r="Q430" s="8"/>
      <c r="R430" s="8"/>
      <c r="S430" s="8"/>
      <c r="T430" s="8"/>
      <c r="U430" s="12"/>
      <c r="V430" s="12"/>
      <c r="W430" s="12"/>
      <c r="X430" s="12"/>
      <c r="Y430" s="12"/>
      <c r="Z430" s="12"/>
      <c r="AA430" s="12"/>
      <c r="AB430" s="12"/>
      <c r="AC430" s="12"/>
      <c r="AD430" s="12"/>
      <c r="AE430" s="12"/>
      <c r="AF430" s="12"/>
    </row>
    <row r="431" spans="1:32" ht="13.2">
      <c r="A431" s="8"/>
      <c r="B431" s="8"/>
      <c r="C431" s="8"/>
      <c r="D431" s="8"/>
      <c r="E431" s="8"/>
      <c r="F431" s="8"/>
      <c r="G431" s="8"/>
      <c r="H431" s="8"/>
      <c r="I431" s="8"/>
      <c r="J431" s="8"/>
      <c r="K431" s="8"/>
      <c r="L431" s="8"/>
      <c r="M431" s="8"/>
      <c r="N431" s="8"/>
      <c r="O431" s="8"/>
      <c r="P431" s="8"/>
      <c r="Q431" s="8"/>
      <c r="R431" s="8"/>
      <c r="S431" s="8"/>
      <c r="T431" s="8"/>
      <c r="U431" s="12"/>
      <c r="V431" s="12"/>
      <c r="W431" s="12"/>
      <c r="X431" s="12"/>
      <c r="Y431" s="12"/>
      <c r="Z431" s="12"/>
      <c r="AA431" s="12"/>
      <c r="AB431" s="12"/>
      <c r="AC431" s="12"/>
      <c r="AD431" s="12"/>
      <c r="AE431" s="12"/>
      <c r="AF431" s="12"/>
    </row>
    <row r="432" spans="1:32" ht="13.2">
      <c r="A432" s="8"/>
      <c r="B432" s="8"/>
      <c r="C432" s="8"/>
      <c r="D432" s="8"/>
      <c r="E432" s="8"/>
      <c r="F432" s="8"/>
      <c r="G432" s="8"/>
      <c r="H432" s="8"/>
      <c r="I432" s="8"/>
      <c r="J432" s="8"/>
      <c r="K432" s="8"/>
      <c r="L432" s="8"/>
      <c r="M432" s="8"/>
      <c r="N432" s="8"/>
      <c r="O432" s="8"/>
      <c r="P432" s="8"/>
      <c r="Q432" s="8"/>
      <c r="R432" s="8"/>
      <c r="S432" s="8"/>
      <c r="T432" s="8"/>
      <c r="U432" s="12"/>
      <c r="V432" s="12"/>
      <c r="W432" s="12"/>
      <c r="X432" s="12"/>
      <c r="Y432" s="12"/>
      <c r="Z432" s="12"/>
      <c r="AA432" s="12"/>
      <c r="AB432" s="12"/>
      <c r="AC432" s="12"/>
      <c r="AD432" s="12"/>
      <c r="AE432" s="12"/>
      <c r="AF432" s="12"/>
    </row>
    <row r="433" spans="1:32" ht="13.2">
      <c r="A433" s="8"/>
      <c r="B433" s="8"/>
      <c r="C433" s="8"/>
      <c r="D433" s="8"/>
      <c r="E433" s="8"/>
      <c r="F433" s="8"/>
      <c r="G433" s="8"/>
      <c r="H433" s="8"/>
      <c r="I433" s="8"/>
      <c r="J433" s="8"/>
      <c r="K433" s="8"/>
      <c r="L433" s="8"/>
      <c r="M433" s="8"/>
      <c r="N433" s="8"/>
      <c r="O433" s="8"/>
      <c r="P433" s="8"/>
      <c r="Q433" s="8"/>
      <c r="R433" s="8"/>
      <c r="S433" s="8"/>
      <c r="T433" s="8"/>
      <c r="U433" s="12"/>
      <c r="V433" s="12"/>
      <c r="W433" s="12"/>
      <c r="X433" s="12"/>
      <c r="Y433" s="12"/>
      <c r="Z433" s="12"/>
      <c r="AA433" s="12"/>
      <c r="AB433" s="12"/>
      <c r="AC433" s="12"/>
      <c r="AD433" s="12"/>
      <c r="AE433" s="12"/>
      <c r="AF433" s="12"/>
    </row>
    <row r="434" spans="1:32" ht="13.2">
      <c r="A434" s="8"/>
      <c r="B434" s="8"/>
      <c r="C434" s="8"/>
      <c r="D434" s="8"/>
      <c r="E434" s="8"/>
      <c r="F434" s="8"/>
      <c r="G434" s="8"/>
      <c r="H434" s="8"/>
      <c r="I434" s="8"/>
      <c r="J434" s="8"/>
      <c r="K434" s="8"/>
      <c r="L434" s="8"/>
      <c r="M434" s="8"/>
      <c r="N434" s="8"/>
      <c r="O434" s="8"/>
      <c r="P434" s="8"/>
      <c r="Q434" s="8"/>
      <c r="R434" s="8"/>
      <c r="S434" s="8"/>
      <c r="T434" s="8"/>
      <c r="U434" s="12"/>
      <c r="V434" s="12"/>
      <c r="W434" s="12"/>
      <c r="X434" s="12"/>
      <c r="Y434" s="12"/>
      <c r="Z434" s="12"/>
      <c r="AA434" s="12"/>
      <c r="AB434" s="12"/>
      <c r="AC434" s="12"/>
      <c r="AD434" s="12"/>
      <c r="AE434" s="12"/>
      <c r="AF434" s="12"/>
    </row>
    <row r="435" spans="1:32" ht="13.2">
      <c r="A435" s="8"/>
      <c r="B435" s="8"/>
      <c r="C435" s="8"/>
      <c r="D435" s="8"/>
      <c r="E435" s="8"/>
      <c r="F435" s="8"/>
      <c r="G435" s="8"/>
      <c r="H435" s="8"/>
      <c r="I435" s="8"/>
      <c r="J435" s="8"/>
      <c r="K435" s="8"/>
      <c r="L435" s="8"/>
      <c r="M435" s="8"/>
      <c r="N435" s="8"/>
      <c r="O435" s="8"/>
      <c r="P435" s="8"/>
      <c r="Q435" s="8"/>
      <c r="R435" s="8"/>
      <c r="S435" s="8"/>
      <c r="T435" s="8"/>
      <c r="U435" s="12"/>
      <c r="V435" s="12"/>
      <c r="W435" s="12"/>
      <c r="X435" s="12"/>
      <c r="Y435" s="12"/>
      <c r="Z435" s="12"/>
      <c r="AA435" s="12"/>
      <c r="AB435" s="12"/>
      <c r="AC435" s="12"/>
      <c r="AD435" s="12"/>
      <c r="AE435" s="12"/>
      <c r="AF435" s="12"/>
    </row>
    <row r="436" spans="1:32" ht="13.2">
      <c r="A436" s="8"/>
      <c r="B436" s="8"/>
      <c r="C436" s="8"/>
      <c r="D436" s="8"/>
      <c r="E436" s="8"/>
      <c r="F436" s="8"/>
      <c r="G436" s="8"/>
      <c r="H436" s="8"/>
      <c r="I436" s="8"/>
      <c r="J436" s="8"/>
      <c r="K436" s="8"/>
      <c r="L436" s="8"/>
      <c r="M436" s="8"/>
      <c r="N436" s="8"/>
      <c r="O436" s="8"/>
      <c r="P436" s="8"/>
      <c r="Q436" s="8"/>
      <c r="R436" s="8"/>
      <c r="S436" s="8"/>
      <c r="T436" s="8"/>
      <c r="U436" s="12"/>
      <c r="V436" s="12"/>
      <c r="W436" s="12"/>
      <c r="X436" s="12"/>
      <c r="Y436" s="12"/>
      <c r="Z436" s="12"/>
      <c r="AA436" s="12"/>
      <c r="AB436" s="12"/>
      <c r="AC436" s="12"/>
      <c r="AD436" s="12"/>
      <c r="AE436" s="12"/>
      <c r="AF436" s="12"/>
    </row>
    <row r="437" spans="1:32" ht="13.2">
      <c r="A437" s="8"/>
      <c r="B437" s="8"/>
      <c r="C437" s="8"/>
      <c r="D437" s="8"/>
      <c r="E437" s="8"/>
      <c r="F437" s="8"/>
      <c r="G437" s="8"/>
      <c r="H437" s="8"/>
      <c r="I437" s="8"/>
      <c r="J437" s="8"/>
      <c r="K437" s="8"/>
      <c r="L437" s="8"/>
      <c r="M437" s="8"/>
      <c r="N437" s="8"/>
      <c r="O437" s="8"/>
      <c r="P437" s="8"/>
      <c r="Q437" s="8"/>
      <c r="R437" s="8"/>
      <c r="S437" s="8"/>
      <c r="T437" s="8"/>
      <c r="U437" s="12"/>
      <c r="V437" s="12"/>
      <c r="W437" s="12"/>
      <c r="X437" s="12"/>
      <c r="Y437" s="12"/>
      <c r="Z437" s="12"/>
      <c r="AA437" s="12"/>
      <c r="AB437" s="12"/>
      <c r="AC437" s="12"/>
      <c r="AD437" s="12"/>
      <c r="AE437" s="12"/>
      <c r="AF437" s="12"/>
    </row>
    <row r="438" spans="1:32" ht="13.2">
      <c r="A438" s="8"/>
      <c r="B438" s="8"/>
      <c r="C438" s="8"/>
      <c r="D438" s="8"/>
      <c r="E438" s="8"/>
      <c r="F438" s="8"/>
      <c r="G438" s="8"/>
      <c r="H438" s="8"/>
      <c r="I438" s="8"/>
      <c r="J438" s="8"/>
      <c r="K438" s="8"/>
      <c r="L438" s="8"/>
      <c r="M438" s="8"/>
      <c r="N438" s="8"/>
      <c r="O438" s="8"/>
      <c r="P438" s="8"/>
      <c r="Q438" s="8"/>
      <c r="R438" s="8"/>
      <c r="S438" s="8"/>
      <c r="T438" s="8"/>
      <c r="U438" s="12"/>
      <c r="V438" s="12"/>
      <c r="W438" s="12"/>
      <c r="X438" s="12"/>
      <c r="Y438" s="12"/>
      <c r="Z438" s="12"/>
      <c r="AA438" s="12"/>
      <c r="AB438" s="12"/>
      <c r="AC438" s="12"/>
      <c r="AD438" s="12"/>
      <c r="AE438" s="12"/>
      <c r="AF438" s="12"/>
    </row>
    <row r="439" spans="1:32" ht="13.2">
      <c r="A439" s="8"/>
      <c r="B439" s="8"/>
      <c r="C439" s="8"/>
      <c r="D439" s="8"/>
      <c r="E439" s="8"/>
      <c r="F439" s="8"/>
      <c r="G439" s="8"/>
      <c r="H439" s="8"/>
      <c r="I439" s="8"/>
      <c r="J439" s="8"/>
      <c r="K439" s="8"/>
      <c r="L439" s="8"/>
      <c r="M439" s="8"/>
      <c r="N439" s="8"/>
      <c r="O439" s="8"/>
      <c r="P439" s="8"/>
      <c r="Q439" s="8"/>
      <c r="R439" s="8"/>
      <c r="S439" s="8"/>
      <c r="T439" s="8"/>
      <c r="U439" s="12"/>
      <c r="V439" s="12"/>
      <c r="W439" s="12"/>
      <c r="X439" s="12"/>
      <c r="Y439" s="12"/>
      <c r="Z439" s="12"/>
      <c r="AA439" s="12"/>
      <c r="AB439" s="12"/>
      <c r="AC439" s="12"/>
      <c r="AD439" s="12"/>
      <c r="AE439" s="12"/>
      <c r="AF439" s="12"/>
    </row>
    <row r="440" spans="1:32" ht="13.2">
      <c r="A440" s="8"/>
      <c r="B440" s="8"/>
      <c r="C440" s="8"/>
      <c r="D440" s="8"/>
      <c r="E440" s="8"/>
      <c r="F440" s="8"/>
      <c r="G440" s="8"/>
      <c r="H440" s="8"/>
      <c r="I440" s="8"/>
      <c r="J440" s="8"/>
      <c r="K440" s="8"/>
      <c r="L440" s="8"/>
      <c r="M440" s="8"/>
      <c r="N440" s="8"/>
      <c r="O440" s="8"/>
      <c r="P440" s="8"/>
      <c r="Q440" s="8"/>
      <c r="R440" s="8"/>
      <c r="S440" s="8"/>
      <c r="T440" s="8"/>
      <c r="U440" s="12"/>
      <c r="V440" s="12"/>
      <c r="W440" s="12"/>
      <c r="X440" s="12"/>
      <c r="Y440" s="12"/>
      <c r="Z440" s="12"/>
      <c r="AA440" s="12"/>
      <c r="AB440" s="12"/>
      <c r="AC440" s="12"/>
      <c r="AD440" s="12"/>
      <c r="AE440" s="12"/>
      <c r="AF440" s="12"/>
    </row>
    <row r="441" spans="1:32" ht="13.2">
      <c r="A441" s="8"/>
      <c r="B441" s="8"/>
      <c r="C441" s="8"/>
      <c r="D441" s="8"/>
      <c r="E441" s="8"/>
      <c r="F441" s="8"/>
      <c r="G441" s="8"/>
      <c r="H441" s="8"/>
      <c r="I441" s="8"/>
      <c r="J441" s="8"/>
      <c r="K441" s="8"/>
      <c r="L441" s="8"/>
      <c r="M441" s="8"/>
      <c r="N441" s="8"/>
      <c r="O441" s="8"/>
      <c r="P441" s="8"/>
      <c r="Q441" s="8"/>
      <c r="R441" s="8"/>
      <c r="S441" s="8"/>
      <c r="T441" s="8"/>
      <c r="U441" s="12"/>
      <c r="V441" s="12"/>
      <c r="W441" s="12"/>
      <c r="X441" s="12"/>
      <c r="Y441" s="12"/>
      <c r="Z441" s="12"/>
      <c r="AA441" s="12"/>
      <c r="AB441" s="12"/>
      <c r="AC441" s="12"/>
      <c r="AD441" s="12"/>
      <c r="AE441" s="12"/>
      <c r="AF441" s="12"/>
    </row>
    <row r="442" spans="1:32" ht="13.2">
      <c r="A442" s="8"/>
      <c r="B442" s="8"/>
      <c r="C442" s="8"/>
      <c r="D442" s="8"/>
      <c r="E442" s="8"/>
      <c r="F442" s="8"/>
      <c r="G442" s="8"/>
      <c r="H442" s="8"/>
      <c r="I442" s="8"/>
      <c r="J442" s="8"/>
      <c r="K442" s="8"/>
      <c r="L442" s="8"/>
      <c r="M442" s="8"/>
      <c r="N442" s="8"/>
      <c r="O442" s="8"/>
      <c r="P442" s="8"/>
      <c r="Q442" s="8"/>
      <c r="R442" s="8"/>
      <c r="S442" s="8"/>
      <c r="T442" s="8"/>
      <c r="U442" s="12"/>
      <c r="V442" s="12"/>
      <c r="W442" s="12"/>
      <c r="X442" s="12"/>
      <c r="Y442" s="12"/>
      <c r="Z442" s="12"/>
      <c r="AA442" s="12"/>
      <c r="AB442" s="12"/>
      <c r="AC442" s="12"/>
      <c r="AD442" s="12"/>
      <c r="AE442" s="12"/>
      <c r="AF442" s="12"/>
    </row>
    <row r="443" spans="1:32" ht="13.2">
      <c r="A443" s="8"/>
      <c r="B443" s="8"/>
      <c r="C443" s="8"/>
      <c r="D443" s="8"/>
      <c r="E443" s="8"/>
      <c r="F443" s="8"/>
      <c r="G443" s="8"/>
      <c r="H443" s="8"/>
      <c r="I443" s="8"/>
      <c r="J443" s="8"/>
      <c r="K443" s="8"/>
      <c r="L443" s="8"/>
      <c r="M443" s="8"/>
      <c r="N443" s="8"/>
      <c r="O443" s="8"/>
      <c r="P443" s="8"/>
      <c r="Q443" s="8"/>
      <c r="R443" s="8"/>
      <c r="S443" s="8"/>
      <c r="T443" s="8"/>
      <c r="U443" s="12"/>
      <c r="V443" s="12"/>
      <c r="W443" s="12"/>
      <c r="X443" s="12"/>
      <c r="Y443" s="12"/>
      <c r="Z443" s="12"/>
      <c r="AA443" s="12"/>
      <c r="AB443" s="12"/>
      <c r="AC443" s="12"/>
      <c r="AD443" s="12"/>
      <c r="AE443" s="12"/>
      <c r="AF443" s="12"/>
    </row>
    <row r="444" spans="1:32" ht="13.2">
      <c r="A444" s="8"/>
      <c r="B444" s="8"/>
      <c r="C444" s="8"/>
      <c r="D444" s="8"/>
      <c r="E444" s="8"/>
      <c r="F444" s="8"/>
      <c r="G444" s="8"/>
      <c r="H444" s="8"/>
      <c r="I444" s="8"/>
      <c r="J444" s="8"/>
      <c r="K444" s="8"/>
      <c r="L444" s="8"/>
      <c r="M444" s="8"/>
      <c r="N444" s="8"/>
      <c r="O444" s="8"/>
      <c r="P444" s="8"/>
      <c r="Q444" s="8"/>
      <c r="R444" s="8"/>
      <c r="S444" s="8"/>
      <c r="T444" s="8"/>
      <c r="U444" s="12"/>
      <c r="V444" s="12"/>
      <c r="W444" s="12"/>
      <c r="X444" s="12"/>
      <c r="Y444" s="12"/>
      <c r="Z444" s="12"/>
      <c r="AA444" s="12"/>
      <c r="AB444" s="12"/>
      <c r="AC444" s="12"/>
      <c r="AD444" s="12"/>
      <c r="AE444" s="12"/>
      <c r="AF444" s="12"/>
    </row>
    <row r="445" spans="1:32" ht="13.2">
      <c r="A445" s="8"/>
      <c r="B445" s="8"/>
      <c r="C445" s="8"/>
      <c r="D445" s="8"/>
      <c r="E445" s="8"/>
      <c r="F445" s="8"/>
      <c r="G445" s="8"/>
      <c r="H445" s="8"/>
      <c r="I445" s="8"/>
      <c r="J445" s="8"/>
      <c r="K445" s="8"/>
      <c r="L445" s="8"/>
      <c r="M445" s="8"/>
      <c r="N445" s="8"/>
      <c r="O445" s="8"/>
      <c r="P445" s="8"/>
      <c r="Q445" s="8"/>
      <c r="R445" s="8"/>
      <c r="S445" s="8"/>
      <c r="T445" s="8"/>
      <c r="U445" s="12"/>
      <c r="V445" s="12"/>
      <c r="W445" s="12"/>
      <c r="X445" s="12"/>
      <c r="Y445" s="12"/>
      <c r="Z445" s="12"/>
      <c r="AA445" s="12"/>
      <c r="AB445" s="12"/>
      <c r="AC445" s="12"/>
      <c r="AD445" s="12"/>
      <c r="AE445" s="12"/>
      <c r="AF445" s="12"/>
    </row>
    <row r="446" spans="1:32" ht="13.2">
      <c r="A446" s="8"/>
      <c r="B446" s="8"/>
      <c r="C446" s="8"/>
      <c r="D446" s="8"/>
      <c r="E446" s="8"/>
      <c r="F446" s="8"/>
      <c r="G446" s="8"/>
      <c r="H446" s="8"/>
      <c r="I446" s="8"/>
      <c r="J446" s="8"/>
      <c r="K446" s="8"/>
      <c r="L446" s="8"/>
      <c r="M446" s="8"/>
      <c r="N446" s="8"/>
      <c r="O446" s="8"/>
      <c r="P446" s="8"/>
      <c r="Q446" s="8"/>
      <c r="R446" s="8"/>
      <c r="S446" s="8"/>
      <c r="T446" s="8"/>
      <c r="U446" s="12"/>
      <c r="V446" s="12"/>
      <c r="W446" s="12"/>
      <c r="X446" s="12"/>
      <c r="Y446" s="12"/>
      <c r="Z446" s="12"/>
      <c r="AA446" s="12"/>
      <c r="AB446" s="12"/>
      <c r="AC446" s="12"/>
      <c r="AD446" s="12"/>
      <c r="AE446" s="12"/>
      <c r="AF446" s="12"/>
    </row>
    <row r="447" spans="1:32" ht="13.2">
      <c r="A447" s="8"/>
      <c r="B447" s="8"/>
      <c r="C447" s="8"/>
      <c r="D447" s="8"/>
      <c r="E447" s="8"/>
      <c r="F447" s="8"/>
      <c r="G447" s="8"/>
      <c r="H447" s="8"/>
      <c r="I447" s="8"/>
      <c r="J447" s="8"/>
      <c r="K447" s="8"/>
      <c r="L447" s="8"/>
      <c r="M447" s="8"/>
      <c r="N447" s="8"/>
      <c r="O447" s="8"/>
      <c r="P447" s="8"/>
      <c r="Q447" s="8"/>
      <c r="R447" s="8"/>
      <c r="S447" s="8"/>
      <c r="T447" s="8"/>
      <c r="U447" s="12"/>
      <c r="V447" s="12"/>
      <c r="W447" s="12"/>
      <c r="X447" s="12"/>
      <c r="Y447" s="12"/>
      <c r="Z447" s="12"/>
      <c r="AA447" s="12"/>
      <c r="AB447" s="12"/>
      <c r="AC447" s="12"/>
      <c r="AD447" s="12"/>
      <c r="AE447" s="12"/>
      <c r="AF447" s="12"/>
    </row>
    <row r="448" spans="1:32" ht="13.2">
      <c r="A448" s="8"/>
      <c r="B448" s="8"/>
      <c r="C448" s="8"/>
      <c r="D448" s="8"/>
      <c r="E448" s="8"/>
      <c r="F448" s="8"/>
      <c r="G448" s="8"/>
      <c r="H448" s="8"/>
      <c r="I448" s="8"/>
      <c r="J448" s="8"/>
      <c r="K448" s="8"/>
      <c r="L448" s="8"/>
      <c r="M448" s="8"/>
      <c r="N448" s="8"/>
      <c r="O448" s="8"/>
      <c r="P448" s="8"/>
      <c r="Q448" s="8"/>
      <c r="R448" s="8"/>
      <c r="S448" s="8"/>
      <c r="T448" s="8"/>
      <c r="U448" s="12"/>
      <c r="V448" s="12"/>
      <c r="W448" s="12"/>
      <c r="X448" s="12"/>
      <c r="Y448" s="12"/>
      <c r="Z448" s="12"/>
      <c r="AA448" s="12"/>
      <c r="AB448" s="12"/>
      <c r="AC448" s="12"/>
      <c r="AD448" s="12"/>
      <c r="AE448" s="12"/>
      <c r="AF448" s="12"/>
    </row>
    <row r="449" spans="1:32" ht="13.2">
      <c r="A449" s="8"/>
      <c r="B449" s="8"/>
      <c r="C449" s="8"/>
      <c r="D449" s="8"/>
      <c r="E449" s="8"/>
      <c r="F449" s="8"/>
      <c r="G449" s="8"/>
      <c r="H449" s="8"/>
      <c r="I449" s="8"/>
      <c r="J449" s="8"/>
      <c r="K449" s="8"/>
      <c r="L449" s="8"/>
      <c r="M449" s="8"/>
      <c r="N449" s="8"/>
      <c r="O449" s="8"/>
      <c r="P449" s="8"/>
      <c r="Q449" s="8"/>
      <c r="R449" s="8"/>
      <c r="S449" s="8"/>
      <c r="T449" s="8"/>
      <c r="U449" s="12"/>
      <c r="V449" s="12"/>
      <c r="W449" s="12"/>
      <c r="X449" s="12"/>
      <c r="Y449" s="12"/>
      <c r="Z449" s="12"/>
      <c r="AA449" s="12"/>
      <c r="AB449" s="12"/>
      <c r="AC449" s="12"/>
      <c r="AD449" s="12"/>
      <c r="AE449" s="12"/>
      <c r="AF449" s="12"/>
    </row>
    <row r="450" spans="1:32" ht="13.2">
      <c r="A450" s="8"/>
      <c r="B450" s="8"/>
      <c r="C450" s="8"/>
      <c r="D450" s="8"/>
      <c r="E450" s="8"/>
      <c r="F450" s="8"/>
      <c r="G450" s="8"/>
      <c r="H450" s="8"/>
      <c r="I450" s="8"/>
      <c r="J450" s="8"/>
      <c r="K450" s="8"/>
      <c r="L450" s="8"/>
      <c r="M450" s="8"/>
      <c r="N450" s="8"/>
      <c r="O450" s="8"/>
      <c r="P450" s="8"/>
      <c r="Q450" s="8"/>
      <c r="R450" s="8"/>
      <c r="S450" s="8"/>
      <c r="T450" s="8"/>
      <c r="U450" s="12"/>
      <c r="V450" s="12"/>
      <c r="W450" s="12"/>
      <c r="X450" s="12"/>
      <c r="Y450" s="12"/>
      <c r="Z450" s="12"/>
      <c r="AA450" s="12"/>
      <c r="AB450" s="12"/>
      <c r="AC450" s="12"/>
      <c r="AD450" s="12"/>
      <c r="AE450" s="12"/>
      <c r="AF450" s="12"/>
    </row>
    <row r="451" spans="1:32" ht="13.2">
      <c r="A451" s="8"/>
      <c r="B451" s="8"/>
      <c r="C451" s="8"/>
      <c r="D451" s="8"/>
      <c r="E451" s="8"/>
      <c r="F451" s="8"/>
      <c r="G451" s="8"/>
      <c r="H451" s="8"/>
      <c r="I451" s="8"/>
      <c r="J451" s="8"/>
      <c r="K451" s="8"/>
      <c r="L451" s="8"/>
      <c r="M451" s="8"/>
      <c r="N451" s="8"/>
      <c r="O451" s="8"/>
      <c r="P451" s="8"/>
      <c r="Q451" s="8"/>
      <c r="R451" s="8"/>
      <c r="S451" s="8"/>
      <c r="T451" s="8"/>
      <c r="U451" s="12"/>
      <c r="V451" s="12"/>
      <c r="W451" s="12"/>
      <c r="X451" s="12"/>
      <c r="Y451" s="12"/>
      <c r="Z451" s="12"/>
      <c r="AA451" s="12"/>
      <c r="AB451" s="12"/>
      <c r="AC451" s="12"/>
      <c r="AD451" s="12"/>
      <c r="AE451" s="12"/>
      <c r="AF451" s="12"/>
    </row>
    <row r="452" spans="1:32" ht="13.2">
      <c r="A452" s="8"/>
      <c r="B452" s="8"/>
      <c r="C452" s="8"/>
      <c r="D452" s="8"/>
      <c r="E452" s="8"/>
      <c r="F452" s="8"/>
      <c r="G452" s="8"/>
      <c r="H452" s="8"/>
      <c r="I452" s="8"/>
      <c r="J452" s="8"/>
      <c r="K452" s="8"/>
      <c r="L452" s="8"/>
      <c r="M452" s="8"/>
      <c r="N452" s="8"/>
      <c r="O452" s="8"/>
      <c r="P452" s="8"/>
      <c r="Q452" s="8"/>
      <c r="R452" s="8"/>
      <c r="S452" s="8"/>
      <c r="T452" s="8"/>
      <c r="U452" s="12"/>
      <c r="V452" s="12"/>
      <c r="W452" s="12"/>
      <c r="X452" s="12"/>
      <c r="Y452" s="12"/>
      <c r="Z452" s="12"/>
      <c r="AA452" s="12"/>
      <c r="AB452" s="12"/>
      <c r="AC452" s="12"/>
      <c r="AD452" s="12"/>
      <c r="AE452" s="12"/>
      <c r="AF452" s="12"/>
    </row>
    <row r="453" spans="1:32" ht="13.2">
      <c r="A453" s="8"/>
      <c r="B453" s="8"/>
      <c r="C453" s="8"/>
      <c r="D453" s="8"/>
      <c r="E453" s="8"/>
      <c r="F453" s="8"/>
      <c r="G453" s="8"/>
      <c r="H453" s="8"/>
      <c r="I453" s="8"/>
      <c r="J453" s="8"/>
      <c r="K453" s="8"/>
      <c r="L453" s="8"/>
      <c r="M453" s="8"/>
      <c r="N453" s="8"/>
      <c r="O453" s="8"/>
      <c r="P453" s="8"/>
      <c r="Q453" s="8"/>
      <c r="R453" s="8"/>
      <c r="S453" s="8"/>
      <c r="T453" s="8"/>
      <c r="U453" s="12"/>
      <c r="V453" s="12"/>
      <c r="W453" s="12"/>
      <c r="X453" s="12"/>
      <c r="Y453" s="12"/>
      <c r="Z453" s="12"/>
      <c r="AA453" s="12"/>
      <c r="AB453" s="12"/>
      <c r="AC453" s="12"/>
      <c r="AD453" s="12"/>
      <c r="AE453" s="12"/>
      <c r="AF453" s="12"/>
    </row>
    <row r="454" spans="1:32" ht="13.2">
      <c r="A454" s="8"/>
      <c r="B454" s="8"/>
      <c r="C454" s="8"/>
      <c r="D454" s="8"/>
      <c r="E454" s="8"/>
      <c r="F454" s="8"/>
      <c r="G454" s="8"/>
      <c r="H454" s="8"/>
      <c r="I454" s="8"/>
      <c r="J454" s="8"/>
      <c r="K454" s="8"/>
      <c r="L454" s="8"/>
      <c r="M454" s="8"/>
      <c r="N454" s="8"/>
      <c r="O454" s="8"/>
      <c r="P454" s="8"/>
      <c r="Q454" s="8"/>
      <c r="R454" s="8"/>
      <c r="S454" s="8"/>
      <c r="T454" s="8"/>
      <c r="U454" s="12"/>
      <c r="V454" s="12"/>
      <c r="W454" s="12"/>
      <c r="X454" s="12"/>
      <c r="Y454" s="12"/>
      <c r="Z454" s="12"/>
      <c r="AA454" s="12"/>
      <c r="AB454" s="12"/>
      <c r="AC454" s="12"/>
      <c r="AD454" s="12"/>
      <c r="AE454" s="12"/>
      <c r="AF454" s="12"/>
    </row>
    <row r="455" spans="1:32" ht="13.2">
      <c r="A455" s="8"/>
      <c r="B455" s="8"/>
      <c r="C455" s="8"/>
      <c r="D455" s="8"/>
      <c r="E455" s="8"/>
      <c r="F455" s="8"/>
      <c r="G455" s="8"/>
      <c r="H455" s="8"/>
      <c r="I455" s="8"/>
      <c r="J455" s="8"/>
      <c r="K455" s="8"/>
      <c r="L455" s="8"/>
      <c r="M455" s="8"/>
      <c r="N455" s="8"/>
      <c r="O455" s="8"/>
      <c r="P455" s="8"/>
      <c r="Q455" s="8"/>
      <c r="R455" s="8"/>
      <c r="S455" s="8"/>
      <c r="T455" s="8"/>
      <c r="U455" s="12"/>
      <c r="V455" s="12"/>
      <c r="W455" s="12"/>
      <c r="X455" s="12"/>
      <c r="Y455" s="12"/>
      <c r="Z455" s="12"/>
      <c r="AA455" s="12"/>
      <c r="AB455" s="12"/>
      <c r="AC455" s="12"/>
      <c r="AD455" s="12"/>
      <c r="AE455" s="12"/>
      <c r="AF455" s="12"/>
    </row>
    <row r="456" spans="1:32" ht="13.2">
      <c r="A456" s="8"/>
      <c r="B456" s="8"/>
      <c r="C456" s="8"/>
      <c r="D456" s="8"/>
      <c r="E456" s="8"/>
      <c r="F456" s="8"/>
      <c r="G456" s="8"/>
      <c r="H456" s="8"/>
      <c r="I456" s="8"/>
      <c r="J456" s="8"/>
      <c r="K456" s="8"/>
      <c r="L456" s="8"/>
      <c r="M456" s="8"/>
      <c r="N456" s="8"/>
      <c r="O456" s="8"/>
      <c r="P456" s="8"/>
      <c r="Q456" s="8"/>
      <c r="R456" s="8"/>
      <c r="S456" s="8"/>
      <c r="T456" s="8"/>
      <c r="U456" s="12"/>
      <c r="V456" s="12"/>
      <c r="W456" s="12"/>
      <c r="X456" s="12"/>
      <c r="Y456" s="12"/>
      <c r="Z456" s="12"/>
      <c r="AA456" s="12"/>
      <c r="AB456" s="12"/>
      <c r="AC456" s="12"/>
      <c r="AD456" s="12"/>
      <c r="AE456" s="12"/>
      <c r="AF456" s="12"/>
    </row>
    <row r="457" spans="1:32" ht="13.2">
      <c r="A457" s="8"/>
      <c r="B457" s="8"/>
      <c r="C457" s="8"/>
      <c r="D457" s="8"/>
      <c r="E457" s="8"/>
      <c r="F457" s="8"/>
      <c r="G457" s="8"/>
      <c r="H457" s="8"/>
      <c r="I457" s="8"/>
      <c r="J457" s="8"/>
      <c r="K457" s="8"/>
      <c r="L457" s="8"/>
      <c r="M457" s="8"/>
      <c r="N457" s="8"/>
      <c r="O457" s="8"/>
      <c r="P457" s="8"/>
      <c r="Q457" s="8"/>
      <c r="R457" s="8"/>
      <c r="S457" s="8"/>
      <c r="T457" s="8"/>
      <c r="U457" s="12"/>
      <c r="V457" s="12"/>
      <c r="W457" s="12"/>
      <c r="X457" s="12"/>
      <c r="Y457" s="12"/>
      <c r="Z457" s="12"/>
      <c r="AA457" s="12"/>
      <c r="AB457" s="12"/>
      <c r="AC457" s="12"/>
      <c r="AD457" s="12"/>
      <c r="AE457" s="12"/>
      <c r="AF457" s="12"/>
    </row>
    <row r="458" spans="1:32" ht="13.2">
      <c r="A458" s="8"/>
      <c r="B458" s="8"/>
      <c r="C458" s="8"/>
      <c r="D458" s="8"/>
      <c r="E458" s="8"/>
      <c r="F458" s="8"/>
      <c r="G458" s="8"/>
      <c r="H458" s="8"/>
      <c r="I458" s="8"/>
      <c r="J458" s="8"/>
      <c r="K458" s="8"/>
      <c r="L458" s="8"/>
      <c r="M458" s="8"/>
      <c r="N458" s="8"/>
      <c r="O458" s="8"/>
      <c r="P458" s="8"/>
      <c r="Q458" s="8"/>
      <c r="R458" s="8"/>
      <c r="S458" s="8"/>
      <c r="T458" s="8"/>
      <c r="U458" s="12"/>
      <c r="V458" s="12"/>
      <c r="W458" s="12"/>
      <c r="X458" s="12"/>
      <c r="Y458" s="12"/>
      <c r="Z458" s="12"/>
      <c r="AA458" s="12"/>
      <c r="AB458" s="12"/>
      <c r="AC458" s="12"/>
      <c r="AD458" s="12"/>
      <c r="AE458" s="12"/>
      <c r="AF458" s="12"/>
    </row>
    <row r="459" spans="1:32" ht="13.2">
      <c r="A459" s="8"/>
      <c r="B459" s="8"/>
      <c r="C459" s="8"/>
      <c r="D459" s="8"/>
      <c r="E459" s="8"/>
      <c r="F459" s="8"/>
      <c r="G459" s="8"/>
      <c r="H459" s="8"/>
      <c r="I459" s="8"/>
      <c r="J459" s="8"/>
      <c r="K459" s="8"/>
      <c r="L459" s="8"/>
      <c r="M459" s="8"/>
      <c r="N459" s="8"/>
      <c r="O459" s="8"/>
      <c r="P459" s="8"/>
      <c r="Q459" s="8"/>
      <c r="R459" s="8"/>
      <c r="S459" s="8"/>
      <c r="T459" s="8"/>
      <c r="U459" s="12"/>
      <c r="V459" s="12"/>
      <c r="W459" s="12"/>
      <c r="X459" s="12"/>
      <c r="Y459" s="12"/>
      <c r="Z459" s="12"/>
      <c r="AA459" s="12"/>
      <c r="AB459" s="12"/>
      <c r="AC459" s="12"/>
      <c r="AD459" s="12"/>
      <c r="AE459" s="12"/>
      <c r="AF459" s="12"/>
    </row>
    <row r="460" spans="1:32" ht="13.2">
      <c r="A460" s="8"/>
      <c r="B460" s="8"/>
      <c r="C460" s="8"/>
      <c r="D460" s="8"/>
      <c r="E460" s="8"/>
      <c r="F460" s="8"/>
      <c r="G460" s="8"/>
      <c r="H460" s="8"/>
      <c r="I460" s="8"/>
      <c r="J460" s="8"/>
      <c r="K460" s="8"/>
      <c r="L460" s="8"/>
      <c r="M460" s="8"/>
      <c r="N460" s="8"/>
      <c r="O460" s="8"/>
      <c r="P460" s="8"/>
      <c r="Q460" s="8"/>
      <c r="R460" s="8"/>
      <c r="S460" s="8"/>
      <c r="T460" s="8"/>
      <c r="U460" s="12"/>
      <c r="V460" s="12"/>
      <c r="W460" s="12"/>
      <c r="X460" s="12"/>
      <c r="Y460" s="12"/>
      <c r="Z460" s="12"/>
      <c r="AA460" s="12"/>
      <c r="AB460" s="12"/>
      <c r="AC460" s="12"/>
      <c r="AD460" s="12"/>
      <c r="AE460" s="12"/>
      <c r="AF460" s="12"/>
    </row>
    <row r="461" spans="1:32" ht="13.2">
      <c r="A461" s="8"/>
      <c r="B461" s="8"/>
      <c r="C461" s="8"/>
      <c r="D461" s="8"/>
      <c r="E461" s="8"/>
      <c r="F461" s="8"/>
      <c r="G461" s="8"/>
      <c r="H461" s="8"/>
      <c r="I461" s="8"/>
      <c r="J461" s="8"/>
      <c r="K461" s="8"/>
      <c r="L461" s="8"/>
      <c r="M461" s="8"/>
      <c r="N461" s="8"/>
      <c r="O461" s="8"/>
      <c r="P461" s="8"/>
      <c r="Q461" s="8"/>
      <c r="R461" s="8"/>
      <c r="S461" s="8"/>
      <c r="T461" s="8"/>
      <c r="U461" s="12"/>
      <c r="V461" s="12"/>
      <c r="W461" s="12"/>
      <c r="X461" s="12"/>
      <c r="Y461" s="12"/>
      <c r="Z461" s="12"/>
      <c r="AA461" s="12"/>
      <c r="AB461" s="12"/>
      <c r="AC461" s="12"/>
      <c r="AD461" s="12"/>
      <c r="AE461" s="12"/>
      <c r="AF461" s="12"/>
    </row>
    <row r="462" spans="1:32" ht="13.2">
      <c r="A462" s="8"/>
      <c r="B462" s="8"/>
      <c r="C462" s="8"/>
      <c r="D462" s="8"/>
      <c r="E462" s="8"/>
      <c r="F462" s="8"/>
      <c r="G462" s="8"/>
      <c r="H462" s="8"/>
      <c r="I462" s="8"/>
      <c r="J462" s="8"/>
      <c r="K462" s="8"/>
      <c r="L462" s="8"/>
      <c r="M462" s="8"/>
      <c r="N462" s="8"/>
      <c r="O462" s="8"/>
      <c r="P462" s="8"/>
      <c r="Q462" s="8"/>
      <c r="R462" s="8"/>
      <c r="S462" s="8"/>
      <c r="T462" s="8"/>
      <c r="U462" s="12"/>
      <c r="V462" s="12"/>
      <c r="W462" s="12"/>
      <c r="X462" s="12"/>
      <c r="Y462" s="12"/>
      <c r="Z462" s="12"/>
      <c r="AA462" s="12"/>
      <c r="AB462" s="12"/>
      <c r="AC462" s="12"/>
      <c r="AD462" s="12"/>
      <c r="AE462" s="12"/>
      <c r="AF462" s="12"/>
    </row>
    <row r="463" spans="1:32" ht="13.2">
      <c r="A463" s="8"/>
      <c r="B463" s="8"/>
      <c r="C463" s="8"/>
      <c r="D463" s="8"/>
      <c r="E463" s="8"/>
      <c r="F463" s="8"/>
      <c r="G463" s="8"/>
      <c r="H463" s="8"/>
      <c r="I463" s="8"/>
      <c r="J463" s="8"/>
      <c r="K463" s="8"/>
      <c r="L463" s="8"/>
      <c r="M463" s="8"/>
      <c r="N463" s="8"/>
      <c r="O463" s="8"/>
      <c r="P463" s="8"/>
      <c r="Q463" s="8"/>
      <c r="R463" s="8"/>
      <c r="S463" s="8"/>
      <c r="T463" s="8"/>
      <c r="U463" s="12"/>
      <c r="V463" s="12"/>
      <c r="W463" s="12"/>
      <c r="X463" s="12"/>
      <c r="Y463" s="12"/>
      <c r="Z463" s="12"/>
      <c r="AA463" s="12"/>
      <c r="AB463" s="12"/>
      <c r="AC463" s="12"/>
      <c r="AD463" s="12"/>
      <c r="AE463" s="12"/>
      <c r="AF463" s="12"/>
    </row>
    <row r="464" spans="1:32" ht="13.2">
      <c r="A464" s="8"/>
      <c r="B464" s="8"/>
      <c r="C464" s="8"/>
      <c r="D464" s="8"/>
      <c r="E464" s="8"/>
      <c r="F464" s="8"/>
      <c r="G464" s="8"/>
      <c r="H464" s="8"/>
      <c r="I464" s="8"/>
      <c r="J464" s="8"/>
      <c r="K464" s="8"/>
      <c r="L464" s="8"/>
      <c r="M464" s="8"/>
      <c r="N464" s="8"/>
      <c r="O464" s="8"/>
      <c r="P464" s="8"/>
      <c r="Q464" s="8"/>
      <c r="R464" s="8"/>
      <c r="S464" s="8"/>
      <c r="T464" s="8"/>
      <c r="U464" s="12"/>
      <c r="V464" s="12"/>
      <c r="W464" s="12"/>
      <c r="X464" s="12"/>
      <c r="Y464" s="12"/>
      <c r="Z464" s="12"/>
      <c r="AA464" s="12"/>
      <c r="AB464" s="12"/>
      <c r="AC464" s="12"/>
      <c r="AD464" s="12"/>
      <c r="AE464" s="12"/>
      <c r="AF464" s="12"/>
    </row>
    <row r="465" spans="1:32" ht="13.2">
      <c r="A465" s="8"/>
      <c r="B465" s="8"/>
      <c r="C465" s="8"/>
      <c r="D465" s="8"/>
      <c r="E465" s="8"/>
      <c r="F465" s="8"/>
      <c r="G465" s="8"/>
      <c r="H465" s="8"/>
      <c r="I465" s="8"/>
      <c r="J465" s="8"/>
      <c r="K465" s="8"/>
      <c r="L465" s="8"/>
      <c r="M465" s="8"/>
      <c r="N465" s="8"/>
      <c r="O465" s="8"/>
      <c r="P465" s="8"/>
      <c r="Q465" s="8"/>
      <c r="R465" s="8"/>
      <c r="S465" s="8"/>
      <c r="T465" s="8"/>
      <c r="U465" s="12"/>
      <c r="V465" s="12"/>
      <c r="W465" s="12"/>
      <c r="X465" s="12"/>
      <c r="Y465" s="12"/>
      <c r="Z465" s="12"/>
      <c r="AA465" s="12"/>
      <c r="AB465" s="12"/>
      <c r="AC465" s="12"/>
      <c r="AD465" s="12"/>
      <c r="AE465" s="12"/>
      <c r="AF465" s="12"/>
    </row>
    <row r="466" spans="1:32" ht="13.2">
      <c r="A466" s="8"/>
      <c r="B466" s="8"/>
      <c r="C466" s="8"/>
      <c r="D466" s="8"/>
      <c r="E466" s="8"/>
      <c r="F466" s="8"/>
      <c r="G466" s="8"/>
      <c r="H466" s="8"/>
      <c r="I466" s="8"/>
      <c r="J466" s="8"/>
      <c r="K466" s="8"/>
      <c r="L466" s="8"/>
      <c r="M466" s="8"/>
      <c r="N466" s="8"/>
      <c r="O466" s="8"/>
      <c r="P466" s="8"/>
      <c r="Q466" s="8"/>
      <c r="R466" s="8"/>
      <c r="S466" s="8"/>
      <c r="T466" s="8"/>
      <c r="U466" s="12"/>
      <c r="V466" s="12"/>
      <c r="W466" s="12"/>
      <c r="X466" s="12"/>
      <c r="Y466" s="12"/>
      <c r="Z466" s="12"/>
      <c r="AA466" s="12"/>
      <c r="AB466" s="12"/>
      <c r="AC466" s="12"/>
      <c r="AD466" s="12"/>
      <c r="AE466" s="12"/>
      <c r="AF466" s="12"/>
    </row>
    <row r="467" spans="1:32" ht="13.2">
      <c r="A467" s="8"/>
      <c r="B467" s="8"/>
      <c r="C467" s="8"/>
      <c r="D467" s="8"/>
      <c r="E467" s="8"/>
      <c r="F467" s="8"/>
      <c r="G467" s="8"/>
      <c r="H467" s="8"/>
      <c r="I467" s="8"/>
      <c r="J467" s="8"/>
      <c r="K467" s="8"/>
      <c r="L467" s="8"/>
      <c r="M467" s="8"/>
      <c r="N467" s="8"/>
      <c r="O467" s="8"/>
      <c r="P467" s="8"/>
      <c r="Q467" s="8"/>
      <c r="R467" s="8"/>
      <c r="S467" s="8"/>
      <c r="T467" s="8"/>
      <c r="U467" s="12"/>
      <c r="V467" s="12"/>
      <c r="W467" s="12"/>
      <c r="X467" s="12"/>
      <c r="Y467" s="12"/>
      <c r="Z467" s="12"/>
      <c r="AA467" s="12"/>
      <c r="AB467" s="12"/>
      <c r="AC467" s="12"/>
      <c r="AD467" s="12"/>
      <c r="AE467" s="12"/>
      <c r="AF467" s="12"/>
    </row>
    <row r="468" spans="1:32" ht="13.2">
      <c r="A468" s="8"/>
      <c r="B468" s="8"/>
      <c r="C468" s="8"/>
      <c r="D468" s="8"/>
      <c r="E468" s="8"/>
      <c r="F468" s="8"/>
      <c r="G468" s="8"/>
      <c r="H468" s="8"/>
      <c r="I468" s="8"/>
      <c r="J468" s="8"/>
      <c r="K468" s="8"/>
      <c r="L468" s="8"/>
      <c r="M468" s="8"/>
      <c r="N468" s="8"/>
      <c r="O468" s="8"/>
      <c r="P468" s="8"/>
      <c r="Q468" s="8"/>
      <c r="R468" s="8"/>
      <c r="S468" s="8"/>
      <c r="T468" s="8"/>
      <c r="U468" s="12"/>
      <c r="V468" s="12"/>
      <c r="W468" s="12"/>
      <c r="X468" s="12"/>
      <c r="Y468" s="12"/>
      <c r="Z468" s="12"/>
      <c r="AA468" s="12"/>
      <c r="AB468" s="12"/>
      <c r="AC468" s="12"/>
      <c r="AD468" s="12"/>
      <c r="AE468" s="12"/>
      <c r="AF468" s="12"/>
    </row>
    <row r="469" spans="1:32" ht="13.2">
      <c r="A469" s="8"/>
      <c r="B469" s="8"/>
      <c r="C469" s="8"/>
      <c r="D469" s="8"/>
      <c r="E469" s="8"/>
      <c r="F469" s="8"/>
      <c r="G469" s="8"/>
      <c r="H469" s="8"/>
      <c r="I469" s="8"/>
      <c r="J469" s="8"/>
      <c r="K469" s="8"/>
      <c r="L469" s="8"/>
      <c r="M469" s="8"/>
      <c r="N469" s="8"/>
      <c r="O469" s="8"/>
      <c r="P469" s="8"/>
      <c r="Q469" s="8"/>
      <c r="R469" s="8"/>
      <c r="S469" s="8"/>
      <c r="T469" s="8"/>
      <c r="U469" s="12"/>
      <c r="V469" s="12"/>
      <c r="W469" s="12"/>
      <c r="X469" s="12"/>
      <c r="Y469" s="12"/>
      <c r="Z469" s="12"/>
      <c r="AA469" s="12"/>
      <c r="AB469" s="12"/>
      <c r="AC469" s="12"/>
      <c r="AD469" s="12"/>
      <c r="AE469" s="12"/>
      <c r="AF469" s="12"/>
    </row>
    <row r="470" spans="1:32" ht="13.2">
      <c r="A470" s="8"/>
      <c r="B470" s="8"/>
      <c r="C470" s="8"/>
      <c r="D470" s="8"/>
      <c r="E470" s="8"/>
      <c r="F470" s="8"/>
      <c r="G470" s="8"/>
      <c r="H470" s="8"/>
      <c r="I470" s="8"/>
      <c r="J470" s="8"/>
      <c r="K470" s="8"/>
      <c r="L470" s="8"/>
      <c r="M470" s="8"/>
      <c r="N470" s="8"/>
      <c r="O470" s="8"/>
      <c r="P470" s="8"/>
      <c r="Q470" s="8"/>
      <c r="R470" s="8"/>
      <c r="S470" s="8"/>
      <c r="T470" s="8"/>
      <c r="U470" s="12"/>
      <c r="V470" s="12"/>
      <c r="W470" s="12"/>
      <c r="X470" s="12"/>
      <c r="Y470" s="12"/>
      <c r="Z470" s="12"/>
      <c r="AA470" s="12"/>
      <c r="AB470" s="12"/>
      <c r="AC470" s="12"/>
      <c r="AD470" s="12"/>
      <c r="AE470" s="12"/>
      <c r="AF470" s="12"/>
    </row>
    <row r="471" spans="1:32" ht="13.2">
      <c r="A471" s="8"/>
      <c r="B471" s="8"/>
      <c r="C471" s="8"/>
      <c r="D471" s="8"/>
      <c r="E471" s="8"/>
      <c r="F471" s="8"/>
      <c r="G471" s="8"/>
      <c r="H471" s="8"/>
      <c r="I471" s="8"/>
      <c r="J471" s="8"/>
      <c r="K471" s="8"/>
      <c r="L471" s="8"/>
      <c r="M471" s="8"/>
      <c r="N471" s="8"/>
      <c r="O471" s="8"/>
      <c r="P471" s="8"/>
      <c r="Q471" s="8"/>
      <c r="R471" s="8"/>
      <c r="S471" s="8"/>
      <c r="T471" s="8"/>
      <c r="U471" s="12"/>
      <c r="V471" s="12"/>
      <c r="W471" s="12"/>
      <c r="X471" s="12"/>
      <c r="Y471" s="12"/>
      <c r="Z471" s="12"/>
      <c r="AA471" s="12"/>
      <c r="AB471" s="12"/>
      <c r="AC471" s="12"/>
      <c r="AD471" s="12"/>
      <c r="AE471" s="12"/>
      <c r="AF471" s="12"/>
    </row>
    <row r="472" spans="1:32" ht="13.2">
      <c r="A472" s="8"/>
      <c r="B472" s="8"/>
      <c r="C472" s="8"/>
      <c r="D472" s="8"/>
      <c r="E472" s="8"/>
      <c r="F472" s="8"/>
      <c r="G472" s="8"/>
      <c r="H472" s="8"/>
      <c r="I472" s="8"/>
      <c r="J472" s="8"/>
      <c r="K472" s="8"/>
      <c r="L472" s="8"/>
      <c r="M472" s="8"/>
      <c r="N472" s="8"/>
      <c r="O472" s="8"/>
      <c r="P472" s="8"/>
      <c r="Q472" s="8"/>
      <c r="R472" s="8"/>
      <c r="S472" s="8"/>
      <c r="T472" s="8"/>
      <c r="U472" s="12"/>
      <c r="V472" s="12"/>
      <c r="W472" s="12"/>
      <c r="X472" s="12"/>
      <c r="Y472" s="12"/>
      <c r="Z472" s="12"/>
      <c r="AA472" s="12"/>
      <c r="AB472" s="12"/>
      <c r="AC472" s="12"/>
      <c r="AD472" s="12"/>
      <c r="AE472" s="12"/>
      <c r="AF472" s="12"/>
    </row>
    <row r="473" spans="1:32" ht="13.2">
      <c r="A473" s="8"/>
      <c r="B473" s="8"/>
      <c r="C473" s="8"/>
      <c r="D473" s="8"/>
      <c r="E473" s="8"/>
      <c r="F473" s="8"/>
      <c r="G473" s="8"/>
      <c r="H473" s="8"/>
      <c r="I473" s="8"/>
      <c r="J473" s="8"/>
      <c r="K473" s="8"/>
      <c r="L473" s="8"/>
      <c r="M473" s="8"/>
      <c r="N473" s="8"/>
      <c r="O473" s="8"/>
      <c r="P473" s="8"/>
      <c r="Q473" s="8"/>
      <c r="R473" s="8"/>
      <c r="S473" s="8"/>
      <c r="T473" s="8"/>
      <c r="U473" s="12"/>
      <c r="V473" s="12"/>
      <c r="W473" s="12"/>
      <c r="X473" s="12"/>
      <c r="Y473" s="12"/>
      <c r="Z473" s="12"/>
      <c r="AA473" s="12"/>
      <c r="AB473" s="12"/>
      <c r="AC473" s="12"/>
      <c r="AD473" s="12"/>
      <c r="AE473" s="12"/>
      <c r="AF473" s="12"/>
    </row>
    <row r="474" spans="1:32" ht="13.2">
      <c r="A474" s="8"/>
      <c r="B474" s="8"/>
      <c r="C474" s="8"/>
      <c r="D474" s="8"/>
      <c r="E474" s="8"/>
      <c r="F474" s="8"/>
      <c r="G474" s="8"/>
      <c r="H474" s="8"/>
      <c r="I474" s="8"/>
      <c r="J474" s="8"/>
      <c r="K474" s="8"/>
      <c r="L474" s="8"/>
      <c r="M474" s="8"/>
      <c r="N474" s="8"/>
      <c r="O474" s="8"/>
      <c r="P474" s="8"/>
      <c r="Q474" s="8"/>
      <c r="R474" s="8"/>
      <c r="S474" s="8"/>
      <c r="T474" s="8"/>
      <c r="U474" s="12"/>
      <c r="V474" s="12"/>
      <c r="W474" s="12"/>
      <c r="X474" s="12"/>
      <c r="Y474" s="12"/>
      <c r="Z474" s="12"/>
      <c r="AA474" s="12"/>
      <c r="AB474" s="12"/>
      <c r="AC474" s="12"/>
      <c r="AD474" s="12"/>
      <c r="AE474" s="12"/>
      <c r="AF474" s="12"/>
    </row>
    <row r="475" spans="1:32" ht="13.2">
      <c r="A475" s="8"/>
      <c r="B475" s="8"/>
      <c r="C475" s="8"/>
      <c r="D475" s="8"/>
      <c r="E475" s="8"/>
      <c r="F475" s="8"/>
      <c r="G475" s="8"/>
      <c r="H475" s="8"/>
      <c r="I475" s="8"/>
      <c r="J475" s="8"/>
      <c r="K475" s="8"/>
      <c r="L475" s="8"/>
      <c r="M475" s="8"/>
      <c r="N475" s="8"/>
      <c r="O475" s="8"/>
      <c r="P475" s="8"/>
      <c r="Q475" s="8"/>
      <c r="R475" s="8"/>
      <c r="S475" s="8"/>
      <c r="T475" s="8"/>
      <c r="U475" s="12"/>
      <c r="V475" s="12"/>
      <c r="W475" s="12"/>
      <c r="X475" s="12"/>
      <c r="Y475" s="12"/>
      <c r="Z475" s="12"/>
      <c r="AA475" s="12"/>
      <c r="AB475" s="12"/>
      <c r="AC475" s="12"/>
      <c r="AD475" s="12"/>
      <c r="AE475" s="12"/>
      <c r="AF475" s="12"/>
    </row>
    <row r="476" spans="1:32" ht="13.2">
      <c r="A476" s="8"/>
      <c r="B476" s="8"/>
      <c r="C476" s="8"/>
      <c r="D476" s="8"/>
      <c r="E476" s="8"/>
      <c r="F476" s="8"/>
      <c r="G476" s="8"/>
      <c r="H476" s="8"/>
      <c r="I476" s="8"/>
      <c r="J476" s="8"/>
      <c r="K476" s="8"/>
      <c r="L476" s="8"/>
      <c r="M476" s="8"/>
      <c r="N476" s="8"/>
      <c r="O476" s="8"/>
      <c r="P476" s="8"/>
      <c r="Q476" s="8"/>
      <c r="R476" s="8"/>
      <c r="S476" s="8"/>
      <c r="T476" s="8"/>
      <c r="U476" s="12"/>
      <c r="V476" s="12"/>
      <c r="W476" s="12"/>
      <c r="X476" s="12"/>
      <c r="Y476" s="12"/>
      <c r="Z476" s="12"/>
      <c r="AA476" s="12"/>
      <c r="AB476" s="12"/>
      <c r="AC476" s="12"/>
      <c r="AD476" s="12"/>
      <c r="AE476" s="12"/>
      <c r="AF476" s="12"/>
    </row>
    <row r="477" spans="1:32" ht="13.2">
      <c r="A477" s="8"/>
      <c r="B477" s="8"/>
      <c r="C477" s="8"/>
      <c r="D477" s="8"/>
      <c r="E477" s="8"/>
      <c r="F477" s="8"/>
      <c r="G477" s="8"/>
      <c r="H477" s="8"/>
      <c r="I477" s="8"/>
      <c r="J477" s="8"/>
      <c r="K477" s="8"/>
      <c r="L477" s="8"/>
      <c r="M477" s="8"/>
      <c r="N477" s="8"/>
      <c r="O477" s="8"/>
      <c r="P477" s="8"/>
      <c r="Q477" s="8"/>
      <c r="R477" s="8"/>
      <c r="S477" s="8"/>
      <c r="T477" s="8"/>
      <c r="U477" s="12"/>
      <c r="V477" s="12"/>
      <c r="W477" s="12"/>
      <c r="X477" s="12"/>
      <c r="Y477" s="12"/>
      <c r="Z477" s="12"/>
      <c r="AA477" s="12"/>
      <c r="AB477" s="12"/>
      <c r="AC477" s="12"/>
      <c r="AD477" s="12"/>
      <c r="AE477" s="12"/>
      <c r="AF477" s="12"/>
    </row>
    <row r="478" spans="1:32" ht="13.2">
      <c r="A478" s="8"/>
      <c r="B478" s="8"/>
      <c r="C478" s="8"/>
      <c r="D478" s="8"/>
      <c r="E478" s="8"/>
      <c r="F478" s="8"/>
      <c r="G478" s="8"/>
      <c r="H478" s="8"/>
      <c r="I478" s="8"/>
      <c r="J478" s="8"/>
      <c r="K478" s="8"/>
      <c r="L478" s="8"/>
      <c r="M478" s="8"/>
      <c r="N478" s="8"/>
      <c r="O478" s="8"/>
      <c r="P478" s="8"/>
      <c r="Q478" s="8"/>
      <c r="R478" s="8"/>
      <c r="S478" s="8"/>
      <c r="T478" s="8"/>
      <c r="U478" s="12"/>
      <c r="V478" s="12"/>
      <c r="W478" s="12"/>
      <c r="X478" s="12"/>
      <c r="Y478" s="12"/>
      <c r="Z478" s="12"/>
      <c r="AA478" s="12"/>
      <c r="AB478" s="12"/>
      <c r="AC478" s="12"/>
      <c r="AD478" s="12"/>
      <c r="AE478" s="12"/>
      <c r="AF478" s="12"/>
    </row>
    <row r="479" spans="1:32" ht="13.2">
      <c r="A479" s="8"/>
      <c r="B479" s="8"/>
      <c r="C479" s="8"/>
      <c r="D479" s="8"/>
      <c r="E479" s="8"/>
      <c r="F479" s="8"/>
      <c r="G479" s="8"/>
      <c r="H479" s="8"/>
      <c r="I479" s="8"/>
      <c r="J479" s="8"/>
      <c r="K479" s="8"/>
      <c r="L479" s="8"/>
      <c r="M479" s="8"/>
      <c r="N479" s="8"/>
      <c r="O479" s="8"/>
      <c r="P479" s="8"/>
      <c r="Q479" s="8"/>
      <c r="R479" s="8"/>
      <c r="S479" s="8"/>
      <c r="T479" s="8"/>
      <c r="U479" s="12"/>
      <c r="V479" s="12"/>
      <c r="W479" s="12"/>
      <c r="X479" s="12"/>
      <c r="Y479" s="12"/>
      <c r="Z479" s="12"/>
      <c r="AA479" s="12"/>
      <c r="AB479" s="12"/>
      <c r="AC479" s="12"/>
      <c r="AD479" s="12"/>
      <c r="AE479" s="12"/>
      <c r="AF479" s="12"/>
    </row>
    <row r="480" spans="1:32" ht="13.2">
      <c r="A480" s="8"/>
      <c r="B480" s="8"/>
      <c r="C480" s="8"/>
      <c r="D480" s="8"/>
      <c r="E480" s="8"/>
      <c r="F480" s="8"/>
      <c r="G480" s="8"/>
      <c r="H480" s="8"/>
      <c r="I480" s="8"/>
      <c r="J480" s="8"/>
      <c r="K480" s="8"/>
      <c r="L480" s="8"/>
      <c r="M480" s="8"/>
      <c r="N480" s="8"/>
      <c r="O480" s="8"/>
      <c r="P480" s="8"/>
      <c r="Q480" s="8"/>
      <c r="R480" s="8"/>
      <c r="S480" s="8"/>
      <c r="T480" s="8"/>
      <c r="U480" s="12"/>
      <c r="V480" s="12"/>
      <c r="W480" s="12"/>
      <c r="X480" s="12"/>
      <c r="Y480" s="12"/>
      <c r="Z480" s="12"/>
      <c r="AA480" s="12"/>
      <c r="AB480" s="12"/>
      <c r="AC480" s="12"/>
      <c r="AD480" s="12"/>
      <c r="AE480" s="12"/>
      <c r="AF480" s="12"/>
    </row>
    <row r="481" spans="1:32" ht="13.2">
      <c r="A481" s="8"/>
      <c r="B481" s="8"/>
      <c r="C481" s="8"/>
      <c r="D481" s="8"/>
      <c r="E481" s="8"/>
      <c r="F481" s="8"/>
      <c r="G481" s="8"/>
      <c r="H481" s="8"/>
      <c r="I481" s="8"/>
      <c r="J481" s="8"/>
      <c r="K481" s="8"/>
      <c r="L481" s="8"/>
      <c r="M481" s="8"/>
      <c r="N481" s="8"/>
      <c r="O481" s="8"/>
      <c r="P481" s="8"/>
      <c r="Q481" s="8"/>
      <c r="R481" s="8"/>
      <c r="S481" s="8"/>
      <c r="T481" s="8"/>
      <c r="U481" s="12"/>
      <c r="V481" s="12"/>
      <c r="W481" s="12"/>
      <c r="X481" s="12"/>
      <c r="Y481" s="12"/>
      <c r="Z481" s="12"/>
      <c r="AA481" s="12"/>
      <c r="AB481" s="12"/>
      <c r="AC481" s="12"/>
      <c r="AD481" s="12"/>
      <c r="AE481" s="12"/>
      <c r="AF481" s="12"/>
    </row>
    <row r="482" spans="1:32" ht="13.2">
      <c r="A482" s="8"/>
      <c r="B482" s="8"/>
      <c r="C482" s="8"/>
      <c r="D482" s="8"/>
      <c r="E482" s="8"/>
      <c r="F482" s="8"/>
      <c r="G482" s="8"/>
      <c r="H482" s="8"/>
      <c r="I482" s="8"/>
      <c r="J482" s="8"/>
      <c r="K482" s="8"/>
      <c r="L482" s="8"/>
      <c r="M482" s="8"/>
      <c r="N482" s="8"/>
      <c r="O482" s="8"/>
      <c r="P482" s="8"/>
      <c r="Q482" s="8"/>
      <c r="R482" s="8"/>
      <c r="S482" s="8"/>
      <c r="T482" s="8"/>
      <c r="U482" s="12"/>
      <c r="V482" s="12"/>
      <c r="W482" s="12"/>
      <c r="X482" s="12"/>
      <c r="Y482" s="12"/>
      <c r="Z482" s="12"/>
      <c r="AA482" s="12"/>
      <c r="AB482" s="12"/>
      <c r="AC482" s="12"/>
      <c r="AD482" s="12"/>
      <c r="AE482" s="12"/>
      <c r="AF482" s="12"/>
    </row>
    <row r="483" spans="1:32" ht="13.2">
      <c r="A483" s="8"/>
      <c r="B483" s="8"/>
      <c r="C483" s="8"/>
      <c r="D483" s="8"/>
      <c r="E483" s="8"/>
      <c r="F483" s="8"/>
      <c r="G483" s="8"/>
      <c r="H483" s="8"/>
      <c r="I483" s="8"/>
      <c r="J483" s="8"/>
      <c r="K483" s="8"/>
      <c r="L483" s="8"/>
      <c r="M483" s="8"/>
      <c r="N483" s="8"/>
      <c r="O483" s="8"/>
      <c r="P483" s="8"/>
      <c r="Q483" s="8"/>
      <c r="R483" s="8"/>
      <c r="S483" s="8"/>
      <c r="T483" s="8"/>
      <c r="U483" s="12"/>
      <c r="V483" s="12"/>
      <c r="W483" s="12"/>
      <c r="X483" s="12"/>
      <c r="Y483" s="12"/>
      <c r="Z483" s="12"/>
      <c r="AA483" s="12"/>
      <c r="AB483" s="12"/>
      <c r="AC483" s="12"/>
      <c r="AD483" s="12"/>
      <c r="AE483" s="12"/>
      <c r="AF483" s="12"/>
    </row>
    <row r="484" spans="1:32" ht="13.2">
      <c r="A484" s="8"/>
      <c r="B484" s="8"/>
      <c r="C484" s="8"/>
      <c r="D484" s="8"/>
      <c r="E484" s="8"/>
      <c r="F484" s="8"/>
      <c r="G484" s="8"/>
      <c r="H484" s="8"/>
      <c r="I484" s="8"/>
      <c r="J484" s="8"/>
      <c r="K484" s="8"/>
      <c r="L484" s="8"/>
      <c r="M484" s="8"/>
      <c r="N484" s="8"/>
      <c r="O484" s="8"/>
      <c r="P484" s="8"/>
      <c r="Q484" s="8"/>
      <c r="R484" s="8"/>
      <c r="S484" s="8"/>
      <c r="T484" s="8"/>
      <c r="U484" s="12"/>
      <c r="V484" s="12"/>
      <c r="W484" s="12"/>
      <c r="X484" s="12"/>
      <c r="Y484" s="12"/>
      <c r="Z484" s="12"/>
      <c r="AA484" s="12"/>
      <c r="AB484" s="12"/>
      <c r="AC484" s="12"/>
      <c r="AD484" s="12"/>
      <c r="AE484" s="12"/>
      <c r="AF484" s="12"/>
    </row>
    <row r="485" spans="1:32" ht="13.2">
      <c r="A485" s="8"/>
      <c r="B485" s="8"/>
      <c r="C485" s="8"/>
      <c r="D485" s="8"/>
      <c r="E485" s="8"/>
      <c r="F485" s="8"/>
      <c r="G485" s="8"/>
      <c r="H485" s="8"/>
      <c r="I485" s="8"/>
      <c r="J485" s="8"/>
      <c r="K485" s="8"/>
      <c r="L485" s="8"/>
      <c r="M485" s="8"/>
      <c r="N485" s="8"/>
      <c r="O485" s="8"/>
      <c r="P485" s="8"/>
      <c r="Q485" s="8"/>
      <c r="R485" s="8"/>
      <c r="S485" s="8"/>
      <c r="T485" s="8"/>
      <c r="U485" s="12"/>
      <c r="V485" s="12"/>
      <c r="W485" s="12"/>
      <c r="X485" s="12"/>
      <c r="Y485" s="12"/>
      <c r="Z485" s="12"/>
      <c r="AA485" s="12"/>
      <c r="AB485" s="12"/>
      <c r="AC485" s="12"/>
      <c r="AD485" s="12"/>
      <c r="AE485" s="12"/>
      <c r="AF485" s="12"/>
    </row>
    <row r="486" spans="1:32" ht="13.2">
      <c r="A486" s="8"/>
      <c r="B486" s="8"/>
      <c r="C486" s="8"/>
      <c r="D486" s="8"/>
      <c r="E486" s="8"/>
      <c r="F486" s="8"/>
      <c r="G486" s="8"/>
      <c r="H486" s="8"/>
      <c r="I486" s="8"/>
      <c r="J486" s="8"/>
      <c r="K486" s="8"/>
      <c r="L486" s="8"/>
      <c r="M486" s="8"/>
      <c r="N486" s="8"/>
      <c r="O486" s="8"/>
      <c r="P486" s="8"/>
      <c r="Q486" s="8"/>
      <c r="R486" s="8"/>
      <c r="S486" s="8"/>
      <c r="T486" s="8"/>
      <c r="U486" s="12"/>
      <c r="V486" s="12"/>
      <c r="W486" s="12"/>
      <c r="X486" s="12"/>
      <c r="Y486" s="12"/>
      <c r="Z486" s="12"/>
      <c r="AA486" s="12"/>
      <c r="AB486" s="12"/>
      <c r="AC486" s="12"/>
      <c r="AD486" s="12"/>
      <c r="AE486" s="12"/>
      <c r="AF486" s="12"/>
    </row>
    <row r="487" spans="1:32" ht="13.2">
      <c r="A487" s="8"/>
      <c r="B487" s="8"/>
      <c r="C487" s="8"/>
      <c r="D487" s="8"/>
      <c r="E487" s="8"/>
      <c r="F487" s="8"/>
      <c r="G487" s="8"/>
      <c r="H487" s="8"/>
      <c r="I487" s="8"/>
      <c r="J487" s="8"/>
      <c r="K487" s="8"/>
      <c r="L487" s="8"/>
      <c r="M487" s="8"/>
      <c r="N487" s="8"/>
      <c r="O487" s="8"/>
      <c r="P487" s="8"/>
      <c r="Q487" s="8"/>
      <c r="R487" s="8"/>
      <c r="S487" s="8"/>
      <c r="T487" s="8"/>
      <c r="U487" s="12"/>
      <c r="V487" s="12"/>
      <c r="W487" s="12"/>
      <c r="X487" s="12"/>
      <c r="Y487" s="12"/>
      <c r="Z487" s="12"/>
      <c r="AA487" s="12"/>
      <c r="AB487" s="12"/>
      <c r="AC487" s="12"/>
      <c r="AD487" s="12"/>
      <c r="AE487" s="12"/>
      <c r="AF487" s="12"/>
    </row>
    <row r="488" spans="1:32" ht="13.2">
      <c r="A488" s="8"/>
      <c r="B488" s="8"/>
      <c r="C488" s="8"/>
      <c r="D488" s="8"/>
      <c r="E488" s="8"/>
      <c r="F488" s="8"/>
      <c r="G488" s="8"/>
      <c r="H488" s="8"/>
      <c r="I488" s="8"/>
      <c r="J488" s="8"/>
      <c r="K488" s="8"/>
      <c r="L488" s="8"/>
      <c r="M488" s="8"/>
      <c r="N488" s="8"/>
      <c r="O488" s="8"/>
      <c r="P488" s="8"/>
      <c r="Q488" s="8"/>
      <c r="R488" s="8"/>
      <c r="S488" s="8"/>
      <c r="T488" s="8"/>
      <c r="U488" s="12"/>
      <c r="V488" s="12"/>
      <c r="W488" s="12"/>
      <c r="X488" s="12"/>
      <c r="Y488" s="12"/>
      <c r="Z488" s="12"/>
      <c r="AA488" s="12"/>
      <c r="AB488" s="12"/>
      <c r="AC488" s="12"/>
      <c r="AD488" s="12"/>
      <c r="AE488" s="12"/>
      <c r="AF488" s="12"/>
    </row>
    <row r="489" spans="1:32" ht="13.2">
      <c r="A489" s="8"/>
      <c r="B489" s="8"/>
      <c r="C489" s="8"/>
      <c r="D489" s="8"/>
      <c r="E489" s="8"/>
      <c r="F489" s="8"/>
      <c r="G489" s="8"/>
      <c r="H489" s="8"/>
      <c r="I489" s="8"/>
      <c r="J489" s="8"/>
      <c r="K489" s="8"/>
      <c r="L489" s="8"/>
      <c r="M489" s="8"/>
      <c r="N489" s="8"/>
      <c r="O489" s="8"/>
      <c r="P489" s="8"/>
      <c r="Q489" s="8"/>
      <c r="R489" s="8"/>
      <c r="S489" s="8"/>
      <c r="T489" s="8"/>
      <c r="U489" s="12"/>
      <c r="V489" s="12"/>
      <c r="W489" s="12"/>
      <c r="X489" s="12"/>
      <c r="Y489" s="12"/>
      <c r="Z489" s="12"/>
      <c r="AA489" s="12"/>
      <c r="AB489" s="12"/>
      <c r="AC489" s="12"/>
      <c r="AD489" s="12"/>
      <c r="AE489" s="12"/>
      <c r="AF489" s="12"/>
    </row>
    <row r="490" spans="1:32" ht="13.2">
      <c r="A490" s="8"/>
      <c r="B490" s="8"/>
      <c r="C490" s="8"/>
      <c r="D490" s="8"/>
      <c r="E490" s="8"/>
      <c r="F490" s="8"/>
      <c r="G490" s="8"/>
      <c r="H490" s="8"/>
      <c r="I490" s="8"/>
      <c r="J490" s="8"/>
      <c r="K490" s="8"/>
      <c r="L490" s="8"/>
      <c r="M490" s="8"/>
      <c r="N490" s="8"/>
      <c r="O490" s="8"/>
      <c r="P490" s="8"/>
      <c r="Q490" s="8"/>
      <c r="R490" s="8"/>
      <c r="S490" s="8"/>
      <c r="T490" s="8"/>
      <c r="U490" s="12"/>
      <c r="V490" s="12"/>
      <c r="W490" s="12"/>
      <c r="X490" s="12"/>
      <c r="Y490" s="12"/>
      <c r="Z490" s="12"/>
      <c r="AA490" s="12"/>
      <c r="AB490" s="12"/>
      <c r="AC490" s="12"/>
      <c r="AD490" s="12"/>
      <c r="AE490" s="12"/>
      <c r="AF490" s="12"/>
    </row>
    <row r="491" spans="1:32" ht="13.2">
      <c r="A491" s="8"/>
      <c r="B491" s="8"/>
      <c r="C491" s="8"/>
      <c r="D491" s="8"/>
      <c r="E491" s="8"/>
      <c r="F491" s="8"/>
      <c r="G491" s="8"/>
      <c r="H491" s="8"/>
      <c r="I491" s="8"/>
      <c r="J491" s="8"/>
      <c r="K491" s="8"/>
      <c r="L491" s="8"/>
      <c r="M491" s="8"/>
      <c r="N491" s="8"/>
      <c r="O491" s="8"/>
      <c r="P491" s="8"/>
      <c r="Q491" s="8"/>
      <c r="R491" s="8"/>
      <c r="S491" s="8"/>
      <c r="T491" s="8"/>
      <c r="U491" s="12"/>
      <c r="V491" s="12"/>
      <c r="W491" s="12"/>
      <c r="X491" s="12"/>
      <c r="Y491" s="12"/>
      <c r="Z491" s="12"/>
      <c r="AA491" s="12"/>
      <c r="AB491" s="12"/>
      <c r="AC491" s="12"/>
      <c r="AD491" s="12"/>
      <c r="AE491" s="12"/>
      <c r="AF491" s="12"/>
    </row>
    <row r="492" spans="1:32" ht="13.2">
      <c r="A492" s="8"/>
      <c r="B492" s="8"/>
      <c r="C492" s="8"/>
      <c r="D492" s="8"/>
      <c r="E492" s="8"/>
      <c r="F492" s="8"/>
      <c r="G492" s="8"/>
      <c r="H492" s="8"/>
      <c r="I492" s="8"/>
      <c r="J492" s="8"/>
      <c r="K492" s="8"/>
      <c r="L492" s="8"/>
      <c r="M492" s="8"/>
      <c r="N492" s="8"/>
      <c r="O492" s="8"/>
      <c r="P492" s="8"/>
      <c r="Q492" s="8"/>
      <c r="R492" s="8"/>
      <c r="S492" s="8"/>
      <c r="T492" s="8"/>
      <c r="U492" s="12"/>
      <c r="V492" s="12"/>
      <c r="W492" s="12"/>
      <c r="X492" s="12"/>
      <c r="Y492" s="12"/>
      <c r="Z492" s="12"/>
      <c r="AA492" s="12"/>
      <c r="AB492" s="12"/>
      <c r="AC492" s="12"/>
      <c r="AD492" s="12"/>
      <c r="AE492" s="12"/>
      <c r="AF492" s="12"/>
    </row>
    <row r="493" spans="1:32" ht="13.2">
      <c r="A493" s="8"/>
      <c r="B493" s="8"/>
      <c r="C493" s="8"/>
      <c r="D493" s="8"/>
      <c r="E493" s="8"/>
      <c r="F493" s="8"/>
      <c r="G493" s="8"/>
      <c r="H493" s="8"/>
      <c r="I493" s="8"/>
      <c r="J493" s="8"/>
      <c r="K493" s="8"/>
      <c r="L493" s="8"/>
      <c r="M493" s="8"/>
      <c r="N493" s="8"/>
      <c r="O493" s="8"/>
      <c r="P493" s="8"/>
      <c r="Q493" s="8"/>
      <c r="R493" s="8"/>
      <c r="S493" s="8"/>
      <c r="T493" s="8"/>
      <c r="U493" s="12"/>
      <c r="V493" s="12"/>
      <c r="W493" s="12"/>
      <c r="X493" s="12"/>
      <c r="Y493" s="12"/>
      <c r="Z493" s="12"/>
      <c r="AA493" s="12"/>
      <c r="AB493" s="12"/>
      <c r="AC493" s="12"/>
      <c r="AD493" s="12"/>
      <c r="AE493" s="12"/>
      <c r="AF493" s="12"/>
    </row>
    <row r="494" spans="1:32" ht="13.2">
      <c r="A494" s="8"/>
      <c r="B494" s="8"/>
      <c r="C494" s="8"/>
      <c r="D494" s="8"/>
      <c r="E494" s="8"/>
      <c r="F494" s="8"/>
      <c r="G494" s="8"/>
      <c r="H494" s="8"/>
      <c r="I494" s="8"/>
      <c r="J494" s="8"/>
      <c r="K494" s="8"/>
      <c r="L494" s="8"/>
      <c r="M494" s="8"/>
      <c r="N494" s="8"/>
      <c r="O494" s="8"/>
      <c r="P494" s="8"/>
      <c r="Q494" s="8"/>
      <c r="R494" s="8"/>
      <c r="S494" s="8"/>
      <c r="T494" s="8"/>
      <c r="U494" s="12"/>
      <c r="V494" s="12"/>
      <c r="W494" s="12"/>
      <c r="X494" s="12"/>
      <c r="Y494" s="12"/>
      <c r="Z494" s="12"/>
      <c r="AA494" s="12"/>
      <c r="AB494" s="12"/>
      <c r="AC494" s="12"/>
      <c r="AD494" s="12"/>
      <c r="AE494" s="12"/>
      <c r="AF494" s="12"/>
    </row>
    <row r="495" spans="1:32" ht="13.2">
      <c r="A495" s="8"/>
      <c r="B495" s="8"/>
      <c r="C495" s="8"/>
      <c r="D495" s="8"/>
      <c r="E495" s="8"/>
      <c r="F495" s="8"/>
      <c r="G495" s="8"/>
      <c r="H495" s="8"/>
      <c r="I495" s="8"/>
      <c r="J495" s="8"/>
      <c r="K495" s="8"/>
      <c r="L495" s="8"/>
      <c r="M495" s="8"/>
      <c r="N495" s="8"/>
      <c r="O495" s="8"/>
      <c r="P495" s="8"/>
      <c r="Q495" s="8"/>
      <c r="R495" s="8"/>
      <c r="S495" s="8"/>
      <c r="T495" s="8"/>
      <c r="U495" s="12"/>
      <c r="V495" s="12"/>
      <c r="W495" s="12"/>
      <c r="X495" s="12"/>
      <c r="Y495" s="12"/>
      <c r="Z495" s="12"/>
      <c r="AA495" s="12"/>
      <c r="AB495" s="12"/>
      <c r="AC495" s="12"/>
      <c r="AD495" s="12"/>
      <c r="AE495" s="12"/>
      <c r="AF495" s="12"/>
    </row>
    <row r="496" spans="1:32" ht="13.2">
      <c r="A496" s="8"/>
      <c r="B496" s="8"/>
      <c r="C496" s="8"/>
      <c r="D496" s="8"/>
      <c r="E496" s="8"/>
      <c r="F496" s="8"/>
      <c r="G496" s="8"/>
      <c r="H496" s="8"/>
      <c r="I496" s="8"/>
      <c r="J496" s="8"/>
      <c r="K496" s="8"/>
      <c r="L496" s="8"/>
      <c r="M496" s="8"/>
      <c r="N496" s="8"/>
      <c r="O496" s="8"/>
      <c r="P496" s="8"/>
      <c r="Q496" s="8"/>
      <c r="R496" s="8"/>
      <c r="S496" s="8"/>
      <c r="T496" s="8"/>
      <c r="U496" s="12"/>
      <c r="V496" s="12"/>
      <c r="W496" s="12"/>
      <c r="X496" s="12"/>
      <c r="Y496" s="12"/>
      <c r="Z496" s="12"/>
      <c r="AA496" s="12"/>
      <c r="AB496" s="12"/>
      <c r="AC496" s="12"/>
      <c r="AD496" s="12"/>
      <c r="AE496" s="12"/>
      <c r="AF496" s="12"/>
    </row>
    <row r="497" spans="1:32" ht="13.2">
      <c r="A497" s="8"/>
      <c r="B497" s="8"/>
      <c r="C497" s="8"/>
      <c r="D497" s="8"/>
      <c r="E497" s="8"/>
      <c r="F497" s="8"/>
      <c r="G497" s="8"/>
      <c r="H497" s="8"/>
      <c r="I497" s="8"/>
      <c r="J497" s="8"/>
      <c r="K497" s="8"/>
      <c r="L497" s="8"/>
      <c r="M497" s="8"/>
      <c r="N497" s="8"/>
      <c r="O497" s="8"/>
      <c r="P497" s="8"/>
      <c r="Q497" s="8"/>
      <c r="R497" s="8"/>
      <c r="S497" s="8"/>
      <c r="T497" s="8"/>
      <c r="U497" s="12"/>
      <c r="V497" s="12"/>
      <c r="W497" s="12"/>
      <c r="X497" s="12"/>
      <c r="Y497" s="12"/>
      <c r="Z497" s="12"/>
      <c r="AA497" s="12"/>
      <c r="AB497" s="12"/>
      <c r="AC497" s="12"/>
      <c r="AD497" s="12"/>
      <c r="AE497" s="12"/>
      <c r="AF497" s="12"/>
    </row>
    <row r="498" spans="1:32" ht="13.2">
      <c r="A498" s="8"/>
      <c r="B498" s="8"/>
      <c r="C498" s="8"/>
      <c r="D498" s="8"/>
      <c r="E498" s="8"/>
      <c r="F498" s="8"/>
      <c r="G498" s="8"/>
      <c r="H498" s="8"/>
      <c r="I498" s="8"/>
      <c r="J498" s="8"/>
      <c r="K498" s="8"/>
      <c r="L498" s="8"/>
      <c r="M498" s="8"/>
      <c r="N498" s="8"/>
      <c r="O498" s="8"/>
      <c r="P498" s="8"/>
      <c r="Q498" s="8"/>
      <c r="R498" s="8"/>
      <c r="S498" s="8"/>
      <c r="T498" s="8"/>
      <c r="U498" s="12"/>
      <c r="V498" s="12"/>
      <c r="W498" s="12"/>
      <c r="X498" s="12"/>
      <c r="Y498" s="12"/>
      <c r="Z498" s="12"/>
      <c r="AA498" s="12"/>
      <c r="AB498" s="12"/>
      <c r="AC498" s="12"/>
      <c r="AD498" s="12"/>
      <c r="AE498" s="12"/>
      <c r="AF498" s="12"/>
    </row>
    <row r="499" spans="1:32" ht="13.2">
      <c r="A499" s="8"/>
      <c r="B499" s="8"/>
      <c r="C499" s="8"/>
      <c r="D499" s="8"/>
      <c r="E499" s="8"/>
      <c r="F499" s="8"/>
      <c r="G499" s="8"/>
      <c r="H499" s="8"/>
      <c r="I499" s="8"/>
      <c r="J499" s="8"/>
      <c r="K499" s="8"/>
      <c r="L499" s="8"/>
      <c r="M499" s="8"/>
      <c r="N499" s="8"/>
      <c r="O499" s="8"/>
      <c r="P499" s="8"/>
      <c r="Q499" s="8"/>
      <c r="R499" s="8"/>
      <c r="S499" s="8"/>
      <c r="T499" s="8"/>
      <c r="U499" s="12"/>
      <c r="V499" s="12"/>
      <c r="W499" s="12"/>
      <c r="X499" s="12"/>
      <c r="Y499" s="12"/>
      <c r="Z499" s="12"/>
      <c r="AA499" s="12"/>
      <c r="AB499" s="12"/>
      <c r="AC499" s="12"/>
      <c r="AD499" s="12"/>
      <c r="AE499" s="12"/>
      <c r="AF499" s="12"/>
    </row>
    <row r="500" spans="1:32" ht="13.2">
      <c r="A500" s="8"/>
      <c r="B500" s="8"/>
      <c r="C500" s="8"/>
      <c r="D500" s="8"/>
      <c r="E500" s="8"/>
      <c r="F500" s="8"/>
      <c r="G500" s="8"/>
      <c r="H500" s="8"/>
      <c r="I500" s="8"/>
      <c r="J500" s="8"/>
      <c r="K500" s="8"/>
      <c r="L500" s="8"/>
      <c r="M500" s="8"/>
      <c r="N500" s="8"/>
      <c r="O500" s="8"/>
      <c r="P500" s="8"/>
      <c r="Q500" s="8"/>
      <c r="R500" s="8"/>
      <c r="S500" s="8"/>
      <c r="T500" s="8"/>
      <c r="U500" s="12"/>
      <c r="V500" s="12"/>
      <c r="W500" s="12"/>
      <c r="X500" s="12"/>
      <c r="Y500" s="12"/>
      <c r="Z500" s="12"/>
      <c r="AA500" s="12"/>
      <c r="AB500" s="12"/>
      <c r="AC500" s="12"/>
      <c r="AD500" s="12"/>
      <c r="AE500" s="12"/>
      <c r="AF500" s="12"/>
    </row>
    <row r="501" spans="1:32" ht="13.2">
      <c r="A501" s="8"/>
      <c r="B501" s="8"/>
      <c r="C501" s="8"/>
      <c r="D501" s="8"/>
      <c r="E501" s="8"/>
      <c r="F501" s="8"/>
      <c r="G501" s="8"/>
      <c r="H501" s="8"/>
      <c r="I501" s="8"/>
      <c r="J501" s="8"/>
      <c r="K501" s="8"/>
      <c r="L501" s="8"/>
      <c r="M501" s="8"/>
      <c r="N501" s="8"/>
      <c r="O501" s="8"/>
      <c r="P501" s="8"/>
      <c r="Q501" s="8"/>
      <c r="R501" s="8"/>
      <c r="S501" s="8"/>
      <c r="T501" s="8"/>
      <c r="U501" s="12"/>
      <c r="V501" s="12"/>
      <c r="W501" s="12"/>
      <c r="X501" s="12"/>
      <c r="Y501" s="12"/>
      <c r="Z501" s="12"/>
      <c r="AA501" s="12"/>
      <c r="AB501" s="12"/>
      <c r="AC501" s="12"/>
      <c r="AD501" s="12"/>
      <c r="AE501" s="12"/>
      <c r="AF501" s="12"/>
    </row>
    <row r="502" spans="1:32" ht="13.2">
      <c r="A502" s="8"/>
      <c r="B502" s="8"/>
      <c r="C502" s="8"/>
      <c r="D502" s="8"/>
      <c r="E502" s="8"/>
      <c r="F502" s="8"/>
      <c r="G502" s="8"/>
      <c r="H502" s="8"/>
      <c r="I502" s="8"/>
      <c r="J502" s="8"/>
      <c r="K502" s="8"/>
      <c r="L502" s="8"/>
      <c r="M502" s="8"/>
      <c r="N502" s="8"/>
      <c r="O502" s="8"/>
      <c r="P502" s="8"/>
      <c r="Q502" s="8"/>
      <c r="R502" s="8"/>
      <c r="S502" s="8"/>
      <c r="T502" s="8"/>
      <c r="U502" s="12"/>
      <c r="V502" s="12"/>
      <c r="W502" s="12"/>
      <c r="X502" s="12"/>
      <c r="Y502" s="12"/>
      <c r="Z502" s="12"/>
      <c r="AA502" s="12"/>
      <c r="AB502" s="12"/>
      <c r="AC502" s="12"/>
      <c r="AD502" s="12"/>
      <c r="AE502" s="12"/>
      <c r="AF502" s="12"/>
    </row>
    <row r="503" spans="1:32" ht="13.2">
      <c r="A503" s="8"/>
      <c r="B503" s="8"/>
      <c r="C503" s="8"/>
      <c r="D503" s="8"/>
      <c r="E503" s="8"/>
      <c r="F503" s="8"/>
      <c r="G503" s="8"/>
      <c r="H503" s="8"/>
      <c r="I503" s="8"/>
      <c r="J503" s="8"/>
      <c r="K503" s="8"/>
      <c r="L503" s="8"/>
      <c r="M503" s="8"/>
      <c r="N503" s="8"/>
      <c r="O503" s="8"/>
      <c r="P503" s="8"/>
      <c r="Q503" s="8"/>
      <c r="R503" s="8"/>
      <c r="S503" s="8"/>
      <c r="T503" s="8"/>
      <c r="U503" s="12"/>
      <c r="V503" s="12"/>
      <c r="W503" s="12"/>
      <c r="X503" s="12"/>
      <c r="Y503" s="12"/>
      <c r="Z503" s="12"/>
      <c r="AA503" s="12"/>
      <c r="AB503" s="12"/>
      <c r="AC503" s="12"/>
      <c r="AD503" s="12"/>
      <c r="AE503" s="12"/>
      <c r="AF503" s="12"/>
    </row>
    <row r="504" spans="1:32" ht="13.2">
      <c r="A504" s="8"/>
      <c r="B504" s="8"/>
      <c r="C504" s="8"/>
      <c r="D504" s="8"/>
      <c r="E504" s="8"/>
      <c r="F504" s="8"/>
      <c r="G504" s="8"/>
      <c r="H504" s="8"/>
      <c r="I504" s="8"/>
      <c r="J504" s="8"/>
      <c r="K504" s="8"/>
      <c r="L504" s="8"/>
      <c r="M504" s="8"/>
      <c r="N504" s="8"/>
      <c r="O504" s="8"/>
      <c r="P504" s="8"/>
      <c r="Q504" s="8"/>
      <c r="R504" s="8"/>
      <c r="S504" s="8"/>
      <c r="T504" s="8"/>
      <c r="U504" s="12"/>
      <c r="V504" s="12"/>
      <c r="W504" s="12"/>
      <c r="X504" s="12"/>
      <c r="Y504" s="12"/>
      <c r="Z504" s="12"/>
      <c r="AA504" s="12"/>
      <c r="AB504" s="12"/>
      <c r="AC504" s="12"/>
      <c r="AD504" s="12"/>
      <c r="AE504" s="12"/>
      <c r="AF504" s="12"/>
    </row>
    <row r="505" spans="1:32" ht="13.2">
      <c r="A505" s="8"/>
      <c r="B505" s="8"/>
      <c r="C505" s="8"/>
      <c r="D505" s="8"/>
      <c r="E505" s="8"/>
      <c r="F505" s="8"/>
      <c r="G505" s="8"/>
      <c r="H505" s="8"/>
      <c r="I505" s="8"/>
      <c r="J505" s="8"/>
      <c r="K505" s="8"/>
      <c r="L505" s="8"/>
      <c r="M505" s="8"/>
      <c r="N505" s="8"/>
      <c r="O505" s="8"/>
      <c r="P505" s="8"/>
      <c r="Q505" s="8"/>
      <c r="R505" s="8"/>
      <c r="S505" s="8"/>
      <c r="T505" s="8"/>
      <c r="U505" s="12"/>
      <c r="V505" s="12"/>
      <c r="W505" s="12"/>
      <c r="X505" s="12"/>
      <c r="Y505" s="12"/>
      <c r="Z505" s="12"/>
      <c r="AA505" s="12"/>
      <c r="AB505" s="12"/>
      <c r="AC505" s="12"/>
      <c r="AD505" s="12"/>
      <c r="AE505" s="12"/>
      <c r="AF505" s="12"/>
    </row>
    <row r="506" spans="1:32" ht="13.2">
      <c r="A506" s="8"/>
      <c r="B506" s="8"/>
      <c r="C506" s="8"/>
      <c r="D506" s="8"/>
      <c r="E506" s="8"/>
      <c r="F506" s="8"/>
      <c r="G506" s="8"/>
      <c r="H506" s="8"/>
      <c r="I506" s="8"/>
      <c r="J506" s="8"/>
      <c r="K506" s="8"/>
      <c r="L506" s="8"/>
      <c r="M506" s="8"/>
      <c r="N506" s="8"/>
      <c r="O506" s="8"/>
      <c r="P506" s="8"/>
      <c r="Q506" s="8"/>
      <c r="R506" s="8"/>
      <c r="S506" s="8"/>
      <c r="T506" s="8"/>
      <c r="U506" s="12"/>
      <c r="V506" s="12"/>
      <c r="W506" s="12"/>
      <c r="X506" s="12"/>
      <c r="Y506" s="12"/>
      <c r="Z506" s="12"/>
      <c r="AA506" s="12"/>
      <c r="AB506" s="12"/>
      <c r="AC506" s="12"/>
      <c r="AD506" s="12"/>
      <c r="AE506" s="12"/>
      <c r="AF506" s="12"/>
    </row>
    <row r="507" spans="1:32" ht="13.2">
      <c r="A507" s="8"/>
      <c r="B507" s="8"/>
      <c r="C507" s="8"/>
      <c r="D507" s="8"/>
      <c r="E507" s="8"/>
      <c r="F507" s="8"/>
      <c r="G507" s="8"/>
      <c r="H507" s="8"/>
      <c r="I507" s="8"/>
      <c r="J507" s="8"/>
      <c r="K507" s="8"/>
      <c r="L507" s="8"/>
      <c r="M507" s="8"/>
      <c r="N507" s="8"/>
      <c r="O507" s="8"/>
      <c r="P507" s="8"/>
      <c r="Q507" s="8"/>
      <c r="R507" s="8"/>
      <c r="S507" s="8"/>
      <c r="T507" s="8"/>
      <c r="U507" s="12"/>
      <c r="V507" s="12"/>
      <c r="W507" s="12"/>
      <c r="X507" s="12"/>
      <c r="Y507" s="12"/>
      <c r="Z507" s="12"/>
      <c r="AA507" s="12"/>
      <c r="AB507" s="12"/>
      <c r="AC507" s="12"/>
      <c r="AD507" s="12"/>
      <c r="AE507" s="12"/>
      <c r="AF507" s="12"/>
    </row>
    <row r="508" spans="1:32" ht="13.2">
      <c r="A508" s="8"/>
      <c r="B508" s="8"/>
      <c r="C508" s="8"/>
      <c r="D508" s="8"/>
      <c r="E508" s="8"/>
      <c r="F508" s="8"/>
      <c r="G508" s="8"/>
      <c r="H508" s="8"/>
      <c r="I508" s="8"/>
      <c r="J508" s="8"/>
      <c r="K508" s="8"/>
      <c r="L508" s="8"/>
      <c r="M508" s="8"/>
      <c r="N508" s="8"/>
      <c r="O508" s="8"/>
      <c r="P508" s="8"/>
      <c r="Q508" s="8"/>
      <c r="R508" s="8"/>
      <c r="S508" s="8"/>
      <c r="T508" s="8"/>
      <c r="U508" s="12"/>
      <c r="V508" s="12"/>
      <c r="W508" s="12"/>
      <c r="X508" s="12"/>
      <c r="Y508" s="12"/>
      <c r="Z508" s="12"/>
      <c r="AA508" s="12"/>
      <c r="AB508" s="12"/>
      <c r="AC508" s="12"/>
      <c r="AD508" s="12"/>
      <c r="AE508" s="12"/>
      <c r="AF508" s="12"/>
    </row>
    <row r="509" spans="1:32" ht="13.2">
      <c r="A509" s="8"/>
      <c r="B509" s="8"/>
      <c r="C509" s="8"/>
      <c r="D509" s="8"/>
      <c r="E509" s="8"/>
      <c r="F509" s="8"/>
      <c r="G509" s="8"/>
      <c r="H509" s="8"/>
      <c r="I509" s="8"/>
      <c r="J509" s="8"/>
      <c r="K509" s="8"/>
      <c r="L509" s="8"/>
      <c r="M509" s="8"/>
      <c r="N509" s="8"/>
      <c r="O509" s="8"/>
      <c r="P509" s="8"/>
      <c r="Q509" s="8"/>
      <c r="R509" s="8"/>
      <c r="S509" s="8"/>
      <c r="T509" s="8"/>
      <c r="U509" s="12"/>
      <c r="V509" s="12"/>
      <c r="W509" s="12"/>
      <c r="X509" s="12"/>
      <c r="Y509" s="12"/>
      <c r="Z509" s="12"/>
      <c r="AA509" s="12"/>
      <c r="AB509" s="12"/>
      <c r="AC509" s="12"/>
      <c r="AD509" s="12"/>
      <c r="AE509" s="12"/>
      <c r="AF509" s="12"/>
    </row>
    <row r="510" spans="1:32" ht="13.2">
      <c r="A510" s="8"/>
      <c r="B510" s="8"/>
      <c r="C510" s="8"/>
      <c r="D510" s="8"/>
      <c r="E510" s="8"/>
      <c r="F510" s="8"/>
      <c r="G510" s="8"/>
      <c r="H510" s="8"/>
      <c r="I510" s="8"/>
      <c r="J510" s="8"/>
      <c r="K510" s="8"/>
      <c r="L510" s="8"/>
      <c r="M510" s="8"/>
      <c r="N510" s="8"/>
      <c r="O510" s="8"/>
      <c r="P510" s="8"/>
      <c r="Q510" s="8"/>
      <c r="R510" s="8"/>
      <c r="S510" s="8"/>
      <c r="T510" s="8"/>
      <c r="U510" s="12"/>
      <c r="V510" s="12"/>
      <c r="W510" s="12"/>
      <c r="X510" s="12"/>
      <c r="Y510" s="12"/>
      <c r="Z510" s="12"/>
      <c r="AA510" s="12"/>
      <c r="AB510" s="12"/>
      <c r="AC510" s="12"/>
      <c r="AD510" s="12"/>
      <c r="AE510" s="12"/>
      <c r="AF510" s="12"/>
    </row>
    <row r="511" spans="1:32" ht="13.2">
      <c r="A511" s="8"/>
      <c r="B511" s="8"/>
      <c r="C511" s="8"/>
      <c r="D511" s="8"/>
      <c r="E511" s="8"/>
      <c r="F511" s="8"/>
      <c r="G511" s="8"/>
      <c r="H511" s="8"/>
      <c r="I511" s="8"/>
      <c r="J511" s="8"/>
      <c r="K511" s="8"/>
      <c r="L511" s="8"/>
      <c r="M511" s="8"/>
      <c r="N511" s="8"/>
      <c r="O511" s="8"/>
      <c r="P511" s="8"/>
      <c r="Q511" s="8"/>
      <c r="R511" s="8"/>
      <c r="S511" s="8"/>
      <c r="T511" s="8"/>
      <c r="U511" s="12"/>
      <c r="V511" s="12"/>
      <c r="W511" s="12"/>
      <c r="X511" s="12"/>
      <c r="Y511" s="12"/>
      <c r="Z511" s="12"/>
      <c r="AA511" s="12"/>
      <c r="AB511" s="12"/>
      <c r="AC511" s="12"/>
      <c r="AD511" s="12"/>
      <c r="AE511" s="12"/>
      <c r="AF511" s="12"/>
    </row>
    <row r="512" spans="1:32" ht="13.2">
      <c r="A512" s="8"/>
      <c r="B512" s="8"/>
      <c r="C512" s="8"/>
      <c r="D512" s="8"/>
      <c r="E512" s="8"/>
      <c r="F512" s="8"/>
      <c r="G512" s="8"/>
      <c r="H512" s="8"/>
      <c r="I512" s="8"/>
      <c r="J512" s="8"/>
      <c r="K512" s="8"/>
      <c r="L512" s="8"/>
      <c r="M512" s="8"/>
      <c r="N512" s="8"/>
      <c r="O512" s="8"/>
      <c r="P512" s="8"/>
      <c r="Q512" s="8"/>
      <c r="R512" s="8"/>
      <c r="S512" s="8"/>
      <c r="T512" s="8"/>
      <c r="U512" s="12"/>
      <c r="V512" s="12"/>
      <c r="W512" s="12"/>
      <c r="X512" s="12"/>
      <c r="Y512" s="12"/>
      <c r="Z512" s="12"/>
      <c r="AA512" s="12"/>
      <c r="AB512" s="12"/>
      <c r="AC512" s="12"/>
      <c r="AD512" s="12"/>
      <c r="AE512" s="12"/>
      <c r="AF512" s="12"/>
    </row>
    <row r="513" spans="1:32" ht="13.2">
      <c r="A513" s="8"/>
      <c r="B513" s="8"/>
      <c r="C513" s="8"/>
      <c r="D513" s="8"/>
      <c r="E513" s="8"/>
      <c r="F513" s="8"/>
      <c r="G513" s="8"/>
      <c r="H513" s="8"/>
      <c r="I513" s="8"/>
      <c r="J513" s="8"/>
      <c r="K513" s="8"/>
      <c r="L513" s="8"/>
      <c r="M513" s="8"/>
      <c r="N513" s="8"/>
      <c r="O513" s="8"/>
      <c r="P513" s="8"/>
      <c r="Q513" s="8"/>
      <c r="R513" s="8"/>
      <c r="S513" s="8"/>
      <c r="T513" s="8"/>
      <c r="U513" s="12"/>
      <c r="V513" s="12"/>
      <c r="W513" s="12"/>
      <c r="X513" s="12"/>
      <c r="Y513" s="12"/>
      <c r="Z513" s="12"/>
      <c r="AA513" s="12"/>
      <c r="AB513" s="12"/>
      <c r="AC513" s="12"/>
      <c r="AD513" s="12"/>
      <c r="AE513" s="12"/>
      <c r="AF513" s="12"/>
    </row>
    <row r="514" spans="1:32" ht="13.2">
      <c r="A514" s="8"/>
      <c r="B514" s="8"/>
      <c r="C514" s="8"/>
      <c r="D514" s="8"/>
      <c r="E514" s="8"/>
      <c r="F514" s="8"/>
      <c r="G514" s="8"/>
      <c r="H514" s="8"/>
      <c r="I514" s="8"/>
      <c r="J514" s="8"/>
      <c r="K514" s="8"/>
      <c r="L514" s="8"/>
      <c r="M514" s="8"/>
      <c r="N514" s="8"/>
      <c r="O514" s="8"/>
      <c r="P514" s="8"/>
      <c r="Q514" s="8"/>
      <c r="R514" s="8"/>
      <c r="S514" s="8"/>
      <c r="T514" s="8"/>
      <c r="U514" s="12"/>
      <c r="V514" s="12"/>
      <c r="W514" s="12"/>
      <c r="X514" s="12"/>
      <c r="Y514" s="12"/>
      <c r="Z514" s="12"/>
      <c r="AA514" s="12"/>
      <c r="AB514" s="12"/>
      <c r="AC514" s="12"/>
      <c r="AD514" s="12"/>
      <c r="AE514" s="12"/>
      <c r="AF514" s="12"/>
    </row>
    <row r="515" spans="1:32" ht="13.2">
      <c r="A515" s="8"/>
      <c r="B515" s="8"/>
      <c r="C515" s="8"/>
      <c r="D515" s="8"/>
      <c r="E515" s="8"/>
      <c r="F515" s="8"/>
      <c r="G515" s="8"/>
      <c r="H515" s="8"/>
      <c r="I515" s="8"/>
      <c r="J515" s="8"/>
      <c r="K515" s="8"/>
      <c r="L515" s="8"/>
      <c r="M515" s="8"/>
      <c r="N515" s="8"/>
      <c r="O515" s="8"/>
      <c r="P515" s="8"/>
      <c r="Q515" s="8"/>
      <c r="R515" s="8"/>
      <c r="S515" s="8"/>
      <c r="T515" s="8"/>
      <c r="U515" s="12"/>
      <c r="V515" s="12"/>
      <c r="W515" s="12"/>
      <c r="X515" s="12"/>
      <c r="Y515" s="12"/>
      <c r="Z515" s="12"/>
      <c r="AA515" s="12"/>
      <c r="AB515" s="12"/>
      <c r="AC515" s="12"/>
      <c r="AD515" s="12"/>
      <c r="AE515" s="12"/>
      <c r="AF515" s="12"/>
    </row>
    <row r="516" spans="1:32" ht="13.2">
      <c r="A516" s="8"/>
      <c r="B516" s="8"/>
      <c r="C516" s="8"/>
      <c r="D516" s="8"/>
      <c r="E516" s="8"/>
      <c r="F516" s="8"/>
      <c r="G516" s="8"/>
      <c r="H516" s="8"/>
      <c r="I516" s="8"/>
      <c r="J516" s="8"/>
      <c r="K516" s="8"/>
      <c r="L516" s="8"/>
      <c r="M516" s="8"/>
      <c r="N516" s="8"/>
      <c r="O516" s="8"/>
      <c r="P516" s="8"/>
      <c r="Q516" s="8"/>
      <c r="R516" s="8"/>
      <c r="S516" s="8"/>
      <c r="T516" s="8"/>
      <c r="U516" s="12"/>
      <c r="V516" s="12"/>
      <c r="W516" s="12"/>
      <c r="X516" s="12"/>
      <c r="Y516" s="12"/>
      <c r="Z516" s="12"/>
      <c r="AA516" s="12"/>
      <c r="AB516" s="12"/>
      <c r="AC516" s="12"/>
      <c r="AD516" s="12"/>
      <c r="AE516" s="12"/>
      <c r="AF516" s="12"/>
    </row>
    <row r="517" spans="1:32" ht="13.2">
      <c r="A517" s="8"/>
      <c r="B517" s="8"/>
      <c r="C517" s="8"/>
      <c r="D517" s="8"/>
      <c r="E517" s="8"/>
      <c r="F517" s="8"/>
      <c r="G517" s="8"/>
      <c r="H517" s="8"/>
      <c r="I517" s="8"/>
      <c r="J517" s="8"/>
      <c r="K517" s="8"/>
      <c r="L517" s="8"/>
      <c r="M517" s="8"/>
      <c r="N517" s="8"/>
      <c r="O517" s="8"/>
      <c r="P517" s="8"/>
      <c r="Q517" s="8"/>
      <c r="R517" s="8"/>
      <c r="S517" s="8"/>
      <c r="T517" s="8"/>
      <c r="U517" s="12"/>
      <c r="V517" s="12"/>
      <c r="W517" s="12"/>
      <c r="X517" s="12"/>
      <c r="Y517" s="12"/>
      <c r="Z517" s="12"/>
      <c r="AA517" s="12"/>
      <c r="AB517" s="12"/>
      <c r="AC517" s="12"/>
      <c r="AD517" s="12"/>
      <c r="AE517" s="12"/>
      <c r="AF517" s="12"/>
    </row>
    <row r="518" spans="1:32" ht="13.2">
      <c r="A518" s="8"/>
      <c r="B518" s="8"/>
      <c r="C518" s="8"/>
      <c r="D518" s="8"/>
      <c r="E518" s="8"/>
      <c r="F518" s="8"/>
      <c r="G518" s="8"/>
      <c r="H518" s="8"/>
      <c r="I518" s="8"/>
      <c r="J518" s="8"/>
      <c r="K518" s="8"/>
      <c r="L518" s="8"/>
      <c r="M518" s="8"/>
      <c r="N518" s="8"/>
      <c r="O518" s="8"/>
      <c r="P518" s="8"/>
      <c r="Q518" s="8"/>
      <c r="R518" s="8"/>
      <c r="S518" s="8"/>
      <c r="T518" s="8"/>
      <c r="U518" s="12"/>
      <c r="V518" s="12"/>
      <c r="W518" s="12"/>
      <c r="X518" s="12"/>
      <c r="Y518" s="12"/>
      <c r="Z518" s="12"/>
      <c r="AA518" s="12"/>
      <c r="AB518" s="12"/>
      <c r="AC518" s="12"/>
      <c r="AD518" s="12"/>
      <c r="AE518" s="12"/>
      <c r="AF518" s="12"/>
    </row>
    <row r="519" spans="1:32" ht="13.2">
      <c r="A519" s="8"/>
      <c r="B519" s="8"/>
      <c r="C519" s="8"/>
      <c r="D519" s="8"/>
      <c r="E519" s="8"/>
      <c r="F519" s="8"/>
      <c r="G519" s="8"/>
      <c r="H519" s="8"/>
      <c r="I519" s="8"/>
      <c r="J519" s="8"/>
      <c r="K519" s="8"/>
      <c r="L519" s="8"/>
      <c r="M519" s="8"/>
      <c r="N519" s="8"/>
      <c r="O519" s="8"/>
      <c r="P519" s="8"/>
      <c r="Q519" s="8"/>
      <c r="R519" s="8"/>
      <c r="S519" s="8"/>
      <c r="T519" s="8"/>
      <c r="U519" s="12"/>
      <c r="V519" s="12"/>
      <c r="W519" s="12"/>
      <c r="X519" s="12"/>
      <c r="Y519" s="12"/>
      <c r="Z519" s="12"/>
      <c r="AA519" s="12"/>
      <c r="AB519" s="12"/>
      <c r="AC519" s="12"/>
      <c r="AD519" s="12"/>
      <c r="AE519" s="12"/>
      <c r="AF519" s="12"/>
    </row>
    <row r="520" spans="1:32" ht="13.2">
      <c r="A520" s="8"/>
      <c r="B520" s="8"/>
      <c r="C520" s="8"/>
      <c r="D520" s="8"/>
      <c r="E520" s="8"/>
      <c r="F520" s="8"/>
      <c r="G520" s="8"/>
      <c r="H520" s="8"/>
      <c r="I520" s="8"/>
      <c r="J520" s="8"/>
      <c r="K520" s="8"/>
      <c r="L520" s="8"/>
      <c r="M520" s="8"/>
      <c r="N520" s="8"/>
      <c r="O520" s="8"/>
      <c r="P520" s="8"/>
      <c r="Q520" s="8"/>
      <c r="R520" s="8"/>
      <c r="S520" s="8"/>
      <c r="T520" s="8"/>
      <c r="U520" s="12"/>
      <c r="V520" s="12"/>
      <c r="W520" s="12"/>
      <c r="X520" s="12"/>
      <c r="Y520" s="12"/>
      <c r="Z520" s="12"/>
      <c r="AA520" s="12"/>
      <c r="AB520" s="12"/>
      <c r="AC520" s="12"/>
      <c r="AD520" s="12"/>
      <c r="AE520" s="12"/>
      <c r="AF520" s="12"/>
    </row>
    <row r="521" spans="1:32" ht="13.2">
      <c r="A521" s="8"/>
      <c r="B521" s="8"/>
      <c r="C521" s="8"/>
      <c r="D521" s="8"/>
      <c r="E521" s="8"/>
      <c r="F521" s="8"/>
      <c r="G521" s="8"/>
      <c r="H521" s="8"/>
      <c r="I521" s="8"/>
      <c r="J521" s="8"/>
      <c r="K521" s="8"/>
      <c r="L521" s="8"/>
      <c r="M521" s="8"/>
      <c r="N521" s="8"/>
      <c r="O521" s="8"/>
      <c r="P521" s="8"/>
      <c r="Q521" s="8"/>
      <c r="R521" s="8"/>
      <c r="S521" s="8"/>
      <c r="T521" s="8"/>
      <c r="U521" s="12"/>
      <c r="V521" s="12"/>
      <c r="W521" s="12"/>
      <c r="X521" s="12"/>
      <c r="Y521" s="12"/>
      <c r="Z521" s="12"/>
      <c r="AA521" s="12"/>
      <c r="AB521" s="12"/>
      <c r="AC521" s="12"/>
      <c r="AD521" s="12"/>
      <c r="AE521" s="12"/>
      <c r="AF521" s="12"/>
    </row>
    <row r="522" spans="1:32" ht="13.2">
      <c r="A522" s="8"/>
      <c r="B522" s="8"/>
      <c r="C522" s="8"/>
      <c r="D522" s="8"/>
      <c r="E522" s="8"/>
      <c r="F522" s="8"/>
      <c r="G522" s="8"/>
      <c r="H522" s="8"/>
      <c r="I522" s="8"/>
      <c r="J522" s="8"/>
      <c r="K522" s="8"/>
      <c r="L522" s="8"/>
      <c r="M522" s="8"/>
      <c r="N522" s="8"/>
      <c r="O522" s="8"/>
      <c r="P522" s="8"/>
      <c r="Q522" s="8"/>
      <c r="R522" s="8"/>
      <c r="S522" s="8"/>
      <c r="T522" s="8"/>
      <c r="U522" s="12"/>
      <c r="V522" s="12"/>
      <c r="W522" s="12"/>
      <c r="X522" s="12"/>
      <c r="Y522" s="12"/>
      <c r="Z522" s="12"/>
      <c r="AA522" s="12"/>
      <c r="AB522" s="12"/>
      <c r="AC522" s="12"/>
      <c r="AD522" s="12"/>
      <c r="AE522" s="12"/>
      <c r="AF522" s="12"/>
    </row>
    <row r="523" spans="1:32" ht="13.2">
      <c r="A523" s="8"/>
      <c r="B523" s="8"/>
      <c r="C523" s="8"/>
      <c r="D523" s="8"/>
      <c r="E523" s="8"/>
      <c r="F523" s="8"/>
      <c r="G523" s="8"/>
      <c r="H523" s="8"/>
      <c r="I523" s="8"/>
      <c r="J523" s="8"/>
      <c r="K523" s="8"/>
      <c r="L523" s="8"/>
      <c r="M523" s="8"/>
      <c r="N523" s="8"/>
      <c r="O523" s="8"/>
      <c r="P523" s="8"/>
      <c r="Q523" s="8"/>
      <c r="R523" s="8"/>
      <c r="S523" s="8"/>
      <c r="T523" s="8"/>
      <c r="U523" s="12"/>
      <c r="V523" s="12"/>
      <c r="W523" s="12"/>
      <c r="X523" s="12"/>
      <c r="Y523" s="12"/>
      <c r="Z523" s="12"/>
      <c r="AA523" s="12"/>
      <c r="AB523" s="12"/>
      <c r="AC523" s="12"/>
      <c r="AD523" s="12"/>
      <c r="AE523" s="12"/>
      <c r="AF523" s="12"/>
    </row>
    <row r="524" spans="1:32" ht="13.2">
      <c r="A524" s="8"/>
      <c r="B524" s="8"/>
      <c r="C524" s="8"/>
      <c r="D524" s="8"/>
      <c r="E524" s="8"/>
      <c r="F524" s="8"/>
      <c r="G524" s="8"/>
      <c r="H524" s="8"/>
      <c r="I524" s="8"/>
      <c r="J524" s="8"/>
      <c r="K524" s="8"/>
      <c r="L524" s="8"/>
      <c r="M524" s="8"/>
      <c r="N524" s="8"/>
      <c r="O524" s="8"/>
      <c r="P524" s="8"/>
      <c r="Q524" s="8"/>
      <c r="R524" s="8"/>
      <c r="S524" s="8"/>
      <c r="T524" s="8"/>
      <c r="U524" s="12"/>
      <c r="V524" s="12"/>
      <c r="W524" s="12"/>
      <c r="X524" s="12"/>
      <c r="Y524" s="12"/>
      <c r="Z524" s="12"/>
      <c r="AA524" s="12"/>
      <c r="AB524" s="12"/>
      <c r="AC524" s="12"/>
      <c r="AD524" s="12"/>
      <c r="AE524" s="12"/>
      <c r="AF524" s="12"/>
    </row>
    <row r="525" spans="1:32" ht="13.2">
      <c r="A525" s="8"/>
      <c r="B525" s="8"/>
      <c r="C525" s="8"/>
      <c r="D525" s="8"/>
      <c r="E525" s="8"/>
      <c r="F525" s="8"/>
      <c r="G525" s="8"/>
      <c r="H525" s="8"/>
      <c r="I525" s="8"/>
      <c r="J525" s="8"/>
      <c r="K525" s="8"/>
      <c r="L525" s="8"/>
      <c r="M525" s="8"/>
      <c r="N525" s="8"/>
      <c r="O525" s="8"/>
      <c r="P525" s="8"/>
      <c r="Q525" s="8"/>
      <c r="R525" s="8"/>
      <c r="S525" s="8"/>
      <c r="T525" s="8"/>
      <c r="U525" s="12"/>
      <c r="V525" s="12"/>
      <c r="W525" s="12"/>
      <c r="X525" s="12"/>
      <c r="Y525" s="12"/>
      <c r="Z525" s="12"/>
      <c r="AA525" s="12"/>
      <c r="AB525" s="12"/>
      <c r="AC525" s="12"/>
      <c r="AD525" s="12"/>
      <c r="AE525" s="12"/>
      <c r="AF525" s="12"/>
    </row>
    <row r="526" spans="1:32" ht="13.2">
      <c r="A526" s="8"/>
      <c r="B526" s="8"/>
      <c r="C526" s="8"/>
      <c r="D526" s="8"/>
      <c r="E526" s="8"/>
      <c r="F526" s="8"/>
      <c r="G526" s="8"/>
      <c r="H526" s="8"/>
      <c r="I526" s="8"/>
      <c r="J526" s="8"/>
      <c r="K526" s="8"/>
      <c r="L526" s="8"/>
      <c r="M526" s="8"/>
      <c r="N526" s="8"/>
      <c r="O526" s="8"/>
      <c r="P526" s="8"/>
      <c r="Q526" s="8"/>
      <c r="R526" s="8"/>
      <c r="S526" s="8"/>
      <c r="T526" s="8"/>
      <c r="U526" s="12"/>
      <c r="V526" s="12"/>
      <c r="W526" s="12"/>
      <c r="X526" s="12"/>
      <c r="Y526" s="12"/>
      <c r="Z526" s="12"/>
      <c r="AA526" s="12"/>
      <c r="AB526" s="12"/>
      <c r="AC526" s="12"/>
      <c r="AD526" s="12"/>
      <c r="AE526" s="12"/>
      <c r="AF526" s="12"/>
    </row>
    <row r="527" spans="1:32" ht="13.2">
      <c r="A527" s="8"/>
      <c r="B527" s="8"/>
      <c r="C527" s="8"/>
      <c r="D527" s="8"/>
      <c r="E527" s="8"/>
      <c r="F527" s="8"/>
      <c r="G527" s="8"/>
      <c r="H527" s="8"/>
      <c r="I527" s="8"/>
      <c r="J527" s="8"/>
      <c r="K527" s="8"/>
      <c r="L527" s="8"/>
      <c r="M527" s="8"/>
      <c r="N527" s="8"/>
      <c r="O527" s="8"/>
      <c r="P527" s="8"/>
      <c r="Q527" s="8"/>
      <c r="R527" s="8"/>
      <c r="S527" s="8"/>
      <c r="T527" s="8"/>
      <c r="U527" s="12"/>
      <c r="V527" s="12"/>
      <c r="W527" s="12"/>
      <c r="X527" s="12"/>
      <c r="Y527" s="12"/>
      <c r="Z527" s="12"/>
      <c r="AA527" s="12"/>
      <c r="AB527" s="12"/>
      <c r="AC527" s="12"/>
      <c r="AD527" s="12"/>
      <c r="AE527" s="12"/>
      <c r="AF527" s="12"/>
    </row>
    <row r="528" spans="1:32" ht="13.2">
      <c r="A528" s="8"/>
      <c r="B528" s="8"/>
      <c r="C528" s="8"/>
      <c r="D528" s="8"/>
      <c r="E528" s="8"/>
      <c r="F528" s="8"/>
      <c r="G528" s="8"/>
      <c r="H528" s="8"/>
      <c r="I528" s="8"/>
      <c r="J528" s="8"/>
      <c r="K528" s="8"/>
      <c r="L528" s="8"/>
      <c r="M528" s="8"/>
      <c r="N528" s="8"/>
      <c r="O528" s="8"/>
      <c r="P528" s="8"/>
      <c r="Q528" s="8"/>
      <c r="R528" s="8"/>
      <c r="S528" s="8"/>
      <c r="T528" s="8"/>
      <c r="U528" s="12"/>
      <c r="V528" s="12"/>
      <c r="W528" s="12"/>
      <c r="X528" s="12"/>
      <c r="Y528" s="12"/>
      <c r="Z528" s="12"/>
      <c r="AA528" s="12"/>
      <c r="AB528" s="12"/>
      <c r="AC528" s="12"/>
      <c r="AD528" s="12"/>
      <c r="AE528" s="12"/>
      <c r="AF528" s="12"/>
    </row>
    <row r="529" spans="1:32" ht="13.2">
      <c r="A529" s="8"/>
      <c r="B529" s="8"/>
      <c r="C529" s="8"/>
      <c r="D529" s="8"/>
      <c r="E529" s="8"/>
      <c r="F529" s="8"/>
      <c r="G529" s="8"/>
      <c r="H529" s="8"/>
      <c r="I529" s="8"/>
      <c r="J529" s="8"/>
      <c r="K529" s="8"/>
      <c r="L529" s="8"/>
      <c r="M529" s="8"/>
      <c r="N529" s="8"/>
      <c r="O529" s="8"/>
      <c r="P529" s="8"/>
      <c r="Q529" s="8"/>
      <c r="R529" s="8"/>
      <c r="S529" s="8"/>
      <c r="T529" s="8"/>
      <c r="U529" s="12"/>
      <c r="V529" s="12"/>
      <c r="W529" s="12"/>
      <c r="X529" s="12"/>
      <c r="Y529" s="12"/>
      <c r="Z529" s="12"/>
      <c r="AA529" s="12"/>
      <c r="AB529" s="12"/>
      <c r="AC529" s="12"/>
      <c r="AD529" s="12"/>
      <c r="AE529" s="12"/>
      <c r="AF529" s="12"/>
    </row>
    <row r="530" spans="1:32" ht="13.2">
      <c r="A530" s="8"/>
      <c r="B530" s="8"/>
      <c r="C530" s="8"/>
      <c r="D530" s="8"/>
      <c r="E530" s="8"/>
      <c r="F530" s="8"/>
      <c r="G530" s="8"/>
      <c r="H530" s="8"/>
      <c r="I530" s="8"/>
      <c r="J530" s="8"/>
      <c r="K530" s="8"/>
      <c r="L530" s="8"/>
      <c r="M530" s="8"/>
      <c r="N530" s="8"/>
      <c r="O530" s="8"/>
      <c r="P530" s="8"/>
      <c r="Q530" s="8"/>
      <c r="R530" s="8"/>
      <c r="S530" s="8"/>
      <c r="T530" s="8"/>
      <c r="U530" s="12"/>
      <c r="V530" s="12"/>
      <c r="W530" s="12"/>
      <c r="X530" s="12"/>
      <c r="Y530" s="12"/>
      <c r="Z530" s="12"/>
      <c r="AA530" s="12"/>
      <c r="AB530" s="12"/>
      <c r="AC530" s="12"/>
      <c r="AD530" s="12"/>
      <c r="AE530" s="12"/>
      <c r="AF530" s="12"/>
    </row>
    <row r="531" spans="1:32" ht="13.2">
      <c r="A531" s="8"/>
      <c r="B531" s="8"/>
      <c r="C531" s="8"/>
      <c r="D531" s="8"/>
      <c r="E531" s="8"/>
      <c r="F531" s="8"/>
      <c r="G531" s="8"/>
      <c r="H531" s="8"/>
      <c r="I531" s="8"/>
      <c r="J531" s="8"/>
      <c r="K531" s="8"/>
      <c r="L531" s="8"/>
      <c r="M531" s="8"/>
      <c r="N531" s="8"/>
      <c r="O531" s="8"/>
      <c r="P531" s="8"/>
      <c r="Q531" s="8"/>
      <c r="R531" s="8"/>
      <c r="S531" s="8"/>
      <c r="T531" s="8"/>
      <c r="U531" s="12"/>
      <c r="V531" s="12"/>
      <c r="W531" s="12"/>
      <c r="X531" s="12"/>
      <c r="Y531" s="12"/>
      <c r="Z531" s="12"/>
      <c r="AA531" s="12"/>
      <c r="AB531" s="12"/>
      <c r="AC531" s="12"/>
      <c r="AD531" s="12"/>
      <c r="AE531" s="12"/>
      <c r="AF531" s="12"/>
    </row>
    <row r="532" spans="1:32" ht="13.2">
      <c r="A532" s="8"/>
      <c r="B532" s="8"/>
      <c r="C532" s="8"/>
      <c r="D532" s="8"/>
      <c r="E532" s="8"/>
      <c r="F532" s="8"/>
      <c r="G532" s="8"/>
      <c r="H532" s="8"/>
      <c r="I532" s="8"/>
      <c r="J532" s="8"/>
      <c r="K532" s="8"/>
      <c r="L532" s="8"/>
      <c r="M532" s="8"/>
      <c r="N532" s="8"/>
      <c r="O532" s="8"/>
      <c r="P532" s="8"/>
      <c r="Q532" s="8"/>
      <c r="R532" s="8"/>
      <c r="S532" s="8"/>
      <c r="T532" s="8"/>
      <c r="U532" s="12"/>
      <c r="V532" s="12"/>
      <c r="W532" s="12"/>
      <c r="X532" s="12"/>
      <c r="Y532" s="12"/>
      <c r="Z532" s="12"/>
      <c r="AA532" s="12"/>
      <c r="AB532" s="12"/>
      <c r="AC532" s="12"/>
      <c r="AD532" s="12"/>
      <c r="AE532" s="12"/>
      <c r="AF532" s="12"/>
    </row>
    <row r="533" spans="1:32" ht="13.2">
      <c r="A533" s="8"/>
      <c r="B533" s="8"/>
      <c r="C533" s="8"/>
      <c r="D533" s="8"/>
      <c r="E533" s="8"/>
      <c r="F533" s="8"/>
      <c r="G533" s="8"/>
      <c r="H533" s="8"/>
      <c r="I533" s="8"/>
      <c r="J533" s="8"/>
      <c r="K533" s="8"/>
      <c r="L533" s="8"/>
      <c r="M533" s="8"/>
      <c r="N533" s="8"/>
      <c r="O533" s="8"/>
      <c r="P533" s="8"/>
      <c r="Q533" s="8"/>
      <c r="R533" s="8"/>
      <c r="S533" s="8"/>
      <c r="T533" s="8"/>
      <c r="U533" s="12"/>
      <c r="V533" s="12"/>
      <c r="W533" s="12"/>
      <c r="X533" s="12"/>
      <c r="Y533" s="12"/>
      <c r="Z533" s="12"/>
      <c r="AA533" s="12"/>
      <c r="AB533" s="12"/>
      <c r="AC533" s="12"/>
      <c r="AD533" s="12"/>
      <c r="AE533" s="12"/>
      <c r="AF533" s="12"/>
    </row>
    <row r="534" spans="1:32" ht="13.2">
      <c r="A534" s="8"/>
      <c r="B534" s="8"/>
      <c r="C534" s="8"/>
      <c r="D534" s="8"/>
      <c r="E534" s="8"/>
      <c r="F534" s="8"/>
      <c r="G534" s="8"/>
      <c r="H534" s="8"/>
      <c r="I534" s="8"/>
      <c r="J534" s="8"/>
      <c r="K534" s="8"/>
      <c r="L534" s="8"/>
      <c r="M534" s="8"/>
      <c r="N534" s="8"/>
      <c r="O534" s="8"/>
      <c r="P534" s="8"/>
      <c r="Q534" s="8"/>
      <c r="R534" s="8"/>
      <c r="S534" s="8"/>
      <c r="T534" s="8"/>
      <c r="U534" s="12"/>
      <c r="V534" s="12"/>
      <c r="W534" s="12"/>
      <c r="X534" s="12"/>
      <c r="Y534" s="12"/>
      <c r="Z534" s="12"/>
      <c r="AA534" s="12"/>
      <c r="AB534" s="12"/>
      <c r="AC534" s="12"/>
      <c r="AD534" s="12"/>
      <c r="AE534" s="12"/>
      <c r="AF534" s="12"/>
    </row>
    <row r="535" spans="1:32" ht="13.2">
      <c r="A535" s="8"/>
      <c r="B535" s="8"/>
      <c r="C535" s="8"/>
      <c r="D535" s="8"/>
      <c r="E535" s="8"/>
      <c r="F535" s="8"/>
      <c r="G535" s="8"/>
      <c r="H535" s="8"/>
      <c r="I535" s="8"/>
      <c r="J535" s="8"/>
      <c r="K535" s="8"/>
      <c r="L535" s="8"/>
      <c r="M535" s="8"/>
      <c r="N535" s="8"/>
      <c r="O535" s="8"/>
      <c r="P535" s="8"/>
      <c r="Q535" s="8"/>
      <c r="R535" s="8"/>
      <c r="S535" s="8"/>
      <c r="T535" s="8"/>
      <c r="U535" s="12"/>
      <c r="V535" s="12"/>
      <c r="W535" s="12"/>
      <c r="X535" s="12"/>
      <c r="Y535" s="12"/>
      <c r="Z535" s="12"/>
      <c r="AA535" s="12"/>
      <c r="AB535" s="12"/>
      <c r="AC535" s="12"/>
      <c r="AD535" s="12"/>
      <c r="AE535" s="12"/>
      <c r="AF535" s="12"/>
    </row>
    <row r="536" spans="1:32" ht="13.2">
      <c r="A536" s="8"/>
      <c r="B536" s="8"/>
      <c r="C536" s="8"/>
      <c r="D536" s="8"/>
      <c r="E536" s="8"/>
      <c r="F536" s="8"/>
      <c r="G536" s="8"/>
      <c r="H536" s="8"/>
      <c r="I536" s="8"/>
      <c r="J536" s="8"/>
      <c r="K536" s="8"/>
      <c r="L536" s="8"/>
      <c r="M536" s="8"/>
      <c r="N536" s="8"/>
      <c r="O536" s="8"/>
      <c r="P536" s="8"/>
      <c r="Q536" s="8"/>
      <c r="R536" s="8"/>
      <c r="S536" s="8"/>
      <c r="T536" s="8"/>
      <c r="U536" s="12"/>
      <c r="V536" s="12"/>
      <c r="W536" s="12"/>
      <c r="X536" s="12"/>
      <c r="Y536" s="12"/>
      <c r="Z536" s="12"/>
      <c r="AA536" s="12"/>
      <c r="AB536" s="12"/>
      <c r="AC536" s="12"/>
      <c r="AD536" s="12"/>
      <c r="AE536" s="12"/>
      <c r="AF536" s="12"/>
    </row>
    <row r="537" spans="1:32" ht="13.2">
      <c r="A537" s="8"/>
      <c r="B537" s="8"/>
      <c r="C537" s="8"/>
      <c r="D537" s="8"/>
      <c r="E537" s="8"/>
      <c r="F537" s="8"/>
      <c r="G537" s="8"/>
      <c r="H537" s="8"/>
      <c r="I537" s="8"/>
      <c r="J537" s="8"/>
      <c r="K537" s="8"/>
      <c r="L537" s="8"/>
      <c r="M537" s="8"/>
      <c r="N537" s="8"/>
      <c r="O537" s="8"/>
      <c r="P537" s="8"/>
      <c r="Q537" s="8"/>
      <c r="R537" s="8"/>
      <c r="S537" s="8"/>
      <c r="T537" s="8"/>
      <c r="U537" s="12"/>
      <c r="V537" s="12"/>
      <c r="W537" s="12"/>
      <c r="X537" s="12"/>
      <c r="Y537" s="12"/>
      <c r="Z537" s="12"/>
      <c r="AA537" s="12"/>
      <c r="AB537" s="12"/>
      <c r="AC537" s="12"/>
      <c r="AD537" s="12"/>
      <c r="AE537" s="12"/>
      <c r="AF537" s="12"/>
    </row>
    <row r="538" spans="1:32" ht="13.2">
      <c r="A538" s="8"/>
      <c r="B538" s="8"/>
      <c r="C538" s="8"/>
      <c r="D538" s="8"/>
      <c r="E538" s="8"/>
      <c r="F538" s="8"/>
      <c r="G538" s="8"/>
      <c r="H538" s="8"/>
      <c r="I538" s="8"/>
      <c r="J538" s="8"/>
      <c r="K538" s="8"/>
      <c r="L538" s="8"/>
      <c r="M538" s="8"/>
      <c r="N538" s="8"/>
      <c r="O538" s="8"/>
      <c r="P538" s="8"/>
      <c r="Q538" s="8"/>
      <c r="R538" s="8"/>
      <c r="S538" s="8"/>
      <c r="T538" s="8"/>
      <c r="U538" s="12"/>
      <c r="V538" s="12"/>
      <c r="W538" s="12"/>
      <c r="X538" s="12"/>
      <c r="Y538" s="12"/>
      <c r="Z538" s="12"/>
      <c r="AA538" s="12"/>
      <c r="AB538" s="12"/>
      <c r="AC538" s="12"/>
      <c r="AD538" s="12"/>
      <c r="AE538" s="12"/>
      <c r="AF538" s="12"/>
    </row>
    <row r="539" spans="1:32" ht="13.2">
      <c r="A539" s="8"/>
      <c r="B539" s="8"/>
      <c r="C539" s="8"/>
      <c r="D539" s="8"/>
      <c r="E539" s="8"/>
      <c r="F539" s="8"/>
      <c r="G539" s="8"/>
      <c r="H539" s="8"/>
      <c r="I539" s="8"/>
      <c r="J539" s="8"/>
      <c r="K539" s="8"/>
      <c r="L539" s="8"/>
      <c r="M539" s="8"/>
      <c r="N539" s="8"/>
      <c r="O539" s="8"/>
      <c r="P539" s="8"/>
      <c r="Q539" s="8"/>
      <c r="R539" s="8"/>
      <c r="S539" s="8"/>
      <c r="T539" s="8"/>
      <c r="U539" s="12"/>
      <c r="V539" s="12"/>
      <c r="W539" s="12"/>
      <c r="X539" s="12"/>
      <c r="Y539" s="12"/>
      <c r="Z539" s="12"/>
      <c r="AA539" s="12"/>
      <c r="AB539" s="12"/>
      <c r="AC539" s="12"/>
      <c r="AD539" s="12"/>
      <c r="AE539" s="12"/>
      <c r="AF539" s="12"/>
    </row>
    <row r="540" spans="1:32" ht="13.2">
      <c r="A540" s="8"/>
      <c r="B540" s="8"/>
      <c r="C540" s="8"/>
      <c r="D540" s="8"/>
      <c r="E540" s="8"/>
      <c r="F540" s="8"/>
      <c r="G540" s="8"/>
      <c r="H540" s="8"/>
      <c r="I540" s="8"/>
      <c r="J540" s="8"/>
      <c r="K540" s="8"/>
      <c r="L540" s="8"/>
      <c r="M540" s="8"/>
      <c r="N540" s="8"/>
      <c r="O540" s="8"/>
      <c r="P540" s="8"/>
      <c r="Q540" s="8"/>
      <c r="R540" s="8"/>
      <c r="S540" s="8"/>
      <c r="T540" s="8"/>
      <c r="U540" s="12"/>
      <c r="V540" s="12"/>
      <c r="W540" s="12"/>
      <c r="X540" s="12"/>
      <c r="Y540" s="12"/>
      <c r="Z540" s="12"/>
      <c r="AA540" s="12"/>
      <c r="AB540" s="12"/>
      <c r="AC540" s="12"/>
      <c r="AD540" s="12"/>
      <c r="AE540" s="12"/>
      <c r="AF540" s="12"/>
    </row>
    <row r="541" spans="1:32" ht="13.2">
      <c r="A541" s="8"/>
      <c r="B541" s="8"/>
      <c r="C541" s="8"/>
      <c r="D541" s="8"/>
      <c r="E541" s="8"/>
      <c r="F541" s="8"/>
      <c r="G541" s="8"/>
      <c r="H541" s="8"/>
      <c r="I541" s="8"/>
      <c r="J541" s="8"/>
      <c r="K541" s="8"/>
      <c r="L541" s="8"/>
      <c r="M541" s="8"/>
      <c r="N541" s="8"/>
      <c r="O541" s="8"/>
      <c r="P541" s="8"/>
      <c r="Q541" s="8"/>
      <c r="R541" s="8"/>
      <c r="S541" s="8"/>
      <c r="T541" s="8"/>
      <c r="U541" s="12"/>
      <c r="V541" s="12"/>
      <c r="W541" s="12"/>
      <c r="X541" s="12"/>
      <c r="Y541" s="12"/>
      <c r="Z541" s="12"/>
      <c r="AA541" s="12"/>
      <c r="AB541" s="12"/>
      <c r="AC541" s="12"/>
      <c r="AD541" s="12"/>
      <c r="AE541" s="12"/>
      <c r="AF541" s="12"/>
    </row>
    <row r="542" spans="1:32" ht="13.2">
      <c r="A542" s="8"/>
      <c r="B542" s="8"/>
      <c r="C542" s="8"/>
      <c r="D542" s="8"/>
      <c r="E542" s="8"/>
      <c r="F542" s="8"/>
      <c r="G542" s="8"/>
      <c r="H542" s="8"/>
      <c r="I542" s="8"/>
      <c r="J542" s="8"/>
      <c r="K542" s="8"/>
      <c r="L542" s="8"/>
      <c r="M542" s="8"/>
      <c r="N542" s="8"/>
      <c r="O542" s="8"/>
      <c r="P542" s="8"/>
      <c r="Q542" s="8"/>
      <c r="R542" s="8"/>
      <c r="S542" s="8"/>
      <c r="T542" s="8"/>
      <c r="U542" s="12"/>
      <c r="V542" s="12"/>
      <c r="W542" s="12"/>
      <c r="X542" s="12"/>
      <c r="Y542" s="12"/>
      <c r="Z542" s="12"/>
      <c r="AA542" s="12"/>
      <c r="AB542" s="12"/>
      <c r="AC542" s="12"/>
      <c r="AD542" s="12"/>
      <c r="AE542" s="12"/>
      <c r="AF542" s="12"/>
    </row>
    <row r="543" spans="1:32" ht="13.2">
      <c r="A543" s="8"/>
      <c r="B543" s="8"/>
      <c r="C543" s="8"/>
      <c r="D543" s="8"/>
      <c r="E543" s="8"/>
      <c r="F543" s="8"/>
      <c r="G543" s="8"/>
      <c r="H543" s="8"/>
      <c r="I543" s="8"/>
      <c r="J543" s="8"/>
      <c r="K543" s="8"/>
      <c r="L543" s="8"/>
      <c r="M543" s="8"/>
      <c r="N543" s="8"/>
      <c r="O543" s="8"/>
      <c r="P543" s="8"/>
      <c r="Q543" s="8"/>
      <c r="R543" s="8"/>
      <c r="S543" s="8"/>
      <c r="T543" s="8"/>
      <c r="U543" s="12"/>
      <c r="V543" s="12"/>
      <c r="W543" s="12"/>
      <c r="X543" s="12"/>
      <c r="Y543" s="12"/>
      <c r="Z543" s="12"/>
      <c r="AA543" s="12"/>
      <c r="AB543" s="12"/>
      <c r="AC543" s="12"/>
      <c r="AD543" s="12"/>
      <c r="AE543" s="12"/>
      <c r="AF543" s="12"/>
    </row>
    <row r="544" spans="1:32" ht="13.2">
      <c r="A544" s="8"/>
      <c r="B544" s="8"/>
      <c r="C544" s="8"/>
      <c r="D544" s="8"/>
      <c r="E544" s="8"/>
      <c r="F544" s="8"/>
      <c r="G544" s="8"/>
      <c r="H544" s="8"/>
      <c r="I544" s="8"/>
      <c r="J544" s="8"/>
      <c r="K544" s="8"/>
      <c r="L544" s="8"/>
      <c r="M544" s="8"/>
      <c r="N544" s="8"/>
      <c r="O544" s="8"/>
      <c r="P544" s="8"/>
      <c r="Q544" s="8"/>
      <c r="R544" s="8"/>
      <c r="S544" s="8"/>
      <c r="T544" s="8"/>
      <c r="U544" s="12"/>
      <c r="V544" s="12"/>
      <c r="W544" s="12"/>
      <c r="X544" s="12"/>
      <c r="Y544" s="12"/>
      <c r="Z544" s="12"/>
      <c r="AA544" s="12"/>
      <c r="AB544" s="12"/>
      <c r="AC544" s="12"/>
      <c r="AD544" s="12"/>
      <c r="AE544" s="12"/>
      <c r="AF544" s="12"/>
    </row>
    <row r="545" spans="1:32" ht="13.2">
      <c r="A545" s="8"/>
      <c r="B545" s="8"/>
      <c r="C545" s="8"/>
      <c r="D545" s="8"/>
      <c r="E545" s="8"/>
      <c r="F545" s="8"/>
      <c r="G545" s="8"/>
      <c r="H545" s="8"/>
      <c r="I545" s="8"/>
      <c r="J545" s="8"/>
      <c r="K545" s="8"/>
      <c r="L545" s="8"/>
      <c r="M545" s="8"/>
      <c r="N545" s="8"/>
      <c r="O545" s="8"/>
      <c r="P545" s="8"/>
      <c r="Q545" s="8"/>
      <c r="R545" s="8"/>
      <c r="S545" s="8"/>
      <c r="T545" s="8"/>
      <c r="U545" s="12"/>
      <c r="V545" s="12"/>
      <c r="W545" s="12"/>
      <c r="X545" s="12"/>
      <c r="Y545" s="12"/>
      <c r="Z545" s="12"/>
      <c r="AA545" s="12"/>
      <c r="AB545" s="12"/>
      <c r="AC545" s="12"/>
      <c r="AD545" s="12"/>
      <c r="AE545" s="12"/>
      <c r="AF545" s="12"/>
    </row>
    <row r="546" spans="1:32" ht="13.2">
      <c r="A546" s="8"/>
      <c r="B546" s="8"/>
      <c r="C546" s="8"/>
      <c r="D546" s="8"/>
      <c r="E546" s="8"/>
      <c r="F546" s="8"/>
      <c r="G546" s="8"/>
      <c r="H546" s="8"/>
      <c r="I546" s="8"/>
      <c r="J546" s="8"/>
      <c r="K546" s="8"/>
      <c r="L546" s="8"/>
      <c r="M546" s="8"/>
      <c r="N546" s="8"/>
      <c r="O546" s="8"/>
      <c r="P546" s="8"/>
      <c r="Q546" s="8"/>
      <c r="R546" s="8"/>
      <c r="S546" s="8"/>
      <c r="T546" s="8"/>
      <c r="U546" s="12"/>
      <c r="V546" s="12"/>
      <c r="W546" s="12"/>
      <c r="X546" s="12"/>
      <c r="Y546" s="12"/>
      <c r="Z546" s="12"/>
      <c r="AA546" s="12"/>
      <c r="AB546" s="12"/>
      <c r="AC546" s="12"/>
      <c r="AD546" s="12"/>
      <c r="AE546" s="12"/>
      <c r="AF546" s="12"/>
    </row>
    <row r="547" spans="1:32" ht="13.2">
      <c r="A547" s="8"/>
      <c r="B547" s="8"/>
      <c r="C547" s="8"/>
      <c r="D547" s="8"/>
      <c r="E547" s="8"/>
      <c r="F547" s="8"/>
      <c r="G547" s="8"/>
      <c r="H547" s="8"/>
      <c r="I547" s="8"/>
      <c r="J547" s="8"/>
      <c r="K547" s="8"/>
      <c r="L547" s="8"/>
      <c r="M547" s="8"/>
      <c r="N547" s="8"/>
      <c r="O547" s="8"/>
      <c r="P547" s="8"/>
      <c r="Q547" s="8"/>
      <c r="R547" s="8"/>
      <c r="S547" s="8"/>
      <c r="T547" s="8"/>
      <c r="U547" s="12"/>
      <c r="V547" s="12"/>
      <c r="W547" s="12"/>
      <c r="X547" s="12"/>
      <c r="Y547" s="12"/>
      <c r="Z547" s="12"/>
      <c r="AA547" s="12"/>
      <c r="AB547" s="12"/>
      <c r="AC547" s="12"/>
      <c r="AD547" s="12"/>
      <c r="AE547" s="12"/>
      <c r="AF547" s="12"/>
    </row>
    <row r="548" spans="1:32" ht="13.2">
      <c r="A548" s="8"/>
      <c r="B548" s="8"/>
      <c r="C548" s="8"/>
      <c r="D548" s="8"/>
      <c r="E548" s="8"/>
      <c r="F548" s="8"/>
      <c r="G548" s="8"/>
      <c r="H548" s="8"/>
      <c r="I548" s="8"/>
      <c r="J548" s="8"/>
      <c r="K548" s="8"/>
      <c r="L548" s="8"/>
      <c r="M548" s="8"/>
      <c r="N548" s="8"/>
      <c r="O548" s="8"/>
      <c r="P548" s="8"/>
      <c r="Q548" s="8"/>
      <c r="R548" s="8"/>
      <c r="S548" s="8"/>
      <c r="T548" s="8"/>
      <c r="U548" s="12"/>
      <c r="V548" s="12"/>
      <c r="W548" s="12"/>
      <c r="X548" s="12"/>
      <c r="Y548" s="12"/>
      <c r="Z548" s="12"/>
      <c r="AA548" s="12"/>
      <c r="AB548" s="12"/>
      <c r="AC548" s="12"/>
      <c r="AD548" s="12"/>
      <c r="AE548" s="12"/>
      <c r="AF548" s="12"/>
    </row>
    <row r="549" spans="1:32" ht="13.2">
      <c r="A549" s="8"/>
      <c r="B549" s="8"/>
      <c r="C549" s="8"/>
      <c r="D549" s="8"/>
      <c r="E549" s="8"/>
      <c r="F549" s="8"/>
      <c r="G549" s="8"/>
      <c r="H549" s="8"/>
      <c r="I549" s="8"/>
      <c r="J549" s="8"/>
      <c r="K549" s="8"/>
      <c r="L549" s="8"/>
      <c r="M549" s="8"/>
      <c r="N549" s="8"/>
      <c r="O549" s="8"/>
      <c r="P549" s="8"/>
      <c r="Q549" s="8"/>
      <c r="R549" s="8"/>
      <c r="S549" s="8"/>
      <c r="T549" s="8"/>
      <c r="U549" s="12"/>
      <c r="V549" s="12"/>
      <c r="W549" s="12"/>
      <c r="X549" s="12"/>
      <c r="Y549" s="12"/>
      <c r="Z549" s="12"/>
      <c r="AA549" s="12"/>
      <c r="AB549" s="12"/>
      <c r="AC549" s="12"/>
      <c r="AD549" s="12"/>
      <c r="AE549" s="12"/>
      <c r="AF549" s="12"/>
    </row>
    <row r="550" spans="1:32" ht="13.2">
      <c r="A550" s="8"/>
      <c r="B550" s="8"/>
      <c r="C550" s="8"/>
      <c r="D550" s="8"/>
      <c r="E550" s="8"/>
      <c r="F550" s="8"/>
      <c r="G550" s="8"/>
      <c r="H550" s="8"/>
      <c r="I550" s="8"/>
      <c r="J550" s="8"/>
      <c r="K550" s="8"/>
      <c r="L550" s="8"/>
      <c r="M550" s="8"/>
      <c r="N550" s="8"/>
      <c r="O550" s="8"/>
      <c r="P550" s="8"/>
      <c r="Q550" s="8"/>
      <c r="R550" s="8"/>
      <c r="S550" s="8"/>
      <c r="T550" s="8"/>
      <c r="U550" s="12"/>
      <c r="V550" s="12"/>
      <c r="W550" s="12"/>
      <c r="X550" s="12"/>
      <c r="Y550" s="12"/>
      <c r="Z550" s="12"/>
      <c r="AA550" s="12"/>
      <c r="AB550" s="12"/>
      <c r="AC550" s="12"/>
      <c r="AD550" s="12"/>
      <c r="AE550" s="12"/>
      <c r="AF550" s="12"/>
    </row>
    <row r="551" spans="1:32" ht="13.2">
      <c r="A551" s="8"/>
      <c r="B551" s="8"/>
      <c r="C551" s="8"/>
      <c r="D551" s="8"/>
      <c r="E551" s="8"/>
      <c r="F551" s="8"/>
      <c r="G551" s="8"/>
      <c r="H551" s="8"/>
      <c r="I551" s="8"/>
      <c r="J551" s="8"/>
      <c r="K551" s="8"/>
      <c r="L551" s="8"/>
      <c r="M551" s="8"/>
      <c r="N551" s="8"/>
      <c r="O551" s="8"/>
      <c r="P551" s="8"/>
      <c r="Q551" s="8"/>
      <c r="R551" s="8"/>
      <c r="S551" s="8"/>
      <c r="T551" s="8"/>
      <c r="U551" s="12"/>
      <c r="V551" s="12"/>
      <c r="W551" s="12"/>
      <c r="X551" s="12"/>
      <c r="Y551" s="12"/>
      <c r="Z551" s="12"/>
      <c r="AA551" s="12"/>
      <c r="AB551" s="12"/>
      <c r="AC551" s="12"/>
      <c r="AD551" s="12"/>
      <c r="AE551" s="12"/>
      <c r="AF551" s="12"/>
    </row>
    <row r="552" spans="1:32" ht="13.2">
      <c r="A552" s="8"/>
      <c r="B552" s="8"/>
      <c r="C552" s="8"/>
      <c r="D552" s="8"/>
      <c r="E552" s="8"/>
      <c r="F552" s="8"/>
      <c r="G552" s="8"/>
      <c r="H552" s="8"/>
      <c r="I552" s="8"/>
      <c r="J552" s="8"/>
      <c r="K552" s="8"/>
      <c r="L552" s="8"/>
      <c r="M552" s="8"/>
      <c r="N552" s="8"/>
      <c r="O552" s="8"/>
      <c r="P552" s="8"/>
      <c r="Q552" s="8"/>
      <c r="R552" s="8"/>
      <c r="S552" s="8"/>
      <c r="T552" s="8"/>
      <c r="U552" s="12"/>
      <c r="V552" s="12"/>
      <c r="W552" s="12"/>
      <c r="X552" s="12"/>
      <c r="Y552" s="12"/>
      <c r="Z552" s="12"/>
      <c r="AA552" s="12"/>
      <c r="AB552" s="12"/>
      <c r="AC552" s="12"/>
      <c r="AD552" s="12"/>
      <c r="AE552" s="12"/>
      <c r="AF552" s="12"/>
    </row>
    <row r="553" spans="1:32" ht="13.2">
      <c r="A553" s="8"/>
      <c r="B553" s="8"/>
      <c r="C553" s="8"/>
      <c r="D553" s="8"/>
      <c r="E553" s="8"/>
      <c r="F553" s="8"/>
      <c r="G553" s="8"/>
      <c r="H553" s="8"/>
      <c r="I553" s="8"/>
      <c r="J553" s="8"/>
      <c r="K553" s="8"/>
      <c r="L553" s="8"/>
      <c r="M553" s="8"/>
      <c r="N553" s="8"/>
      <c r="O553" s="8"/>
      <c r="P553" s="8"/>
      <c r="Q553" s="8"/>
      <c r="R553" s="8"/>
      <c r="S553" s="8"/>
      <c r="T553" s="8"/>
      <c r="U553" s="12"/>
      <c r="V553" s="12"/>
      <c r="W553" s="12"/>
      <c r="X553" s="12"/>
      <c r="Y553" s="12"/>
      <c r="Z553" s="12"/>
      <c r="AA553" s="12"/>
      <c r="AB553" s="12"/>
      <c r="AC553" s="12"/>
      <c r="AD553" s="12"/>
      <c r="AE553" s="12"/>
      <c r="AF553" s="12"/>
    </row>
    <row r="554" spans="1:32" ht="13.2">
      <c r="A554" s="8"/>
      <c r="B554" s="8"/>
      <c r="C554" s="8"/>
      <c r="D554" s="8"/>
      <c r="E554" s="8"/>
      <c r="F554" s="8"/>
      <c r="G554" s="8"/>
      <c r="H554" s="8"/>
      <c r="I554" s="8"/>
      <c r="J554" s="8"/>
      <c r="K554" s="8"/>
      <c r="L554" s="8"/>
      <c r="M554" s="8"/>
      <c r="N554" s="8"/>
      <c r="O554" s="8"/>
      <c r="P554" s="8"/>
      <c r="Q554" s="8"/>
      <c r="R554" s="8"/>
      <c r="S554" s="8"/>
      <c r="T554" s="8"/>
      <c r="U554" s="12"/>
      <c r="V554" s="12"/>
      <c r="W554" s="12"/>
      <c r="X554" s="12"/>
      <c r="Y554" s="12"/>
      <c r="Z554" s="12"/>
      <c r="AA554" s="12"/>
      <c r="AB554" s="12"/>
      <c r="AC554" s="12"/>
      <c r="AD554" s="12"/>
      <c r="AE554" s="12"/>
      <c r="AF554" s="12"/>
    </row>
    <row r="555" spans="1:32" ht="13.2">
      <c r="A555" s="8"/>
      <c r="B555" s="8"/>
      <c r="C555" s="8"/>
      <c r="D555" s="8"/>
      <c r="E555" s="8"/>
      <c r="F555" s="8"/>
      <c r="G555" s="8"/>
      <c r="H555" s="8"/>
      <c r="I555" s="8"/>
      <c r="J555" s="8"/>
      <c r="K555" s="8"/>
      <c r="L555" s="8"/>
      <c r="M555" s="8"/>
      <c r="N555" s="8"/>
      <c r="O555" s="8"/>
      <c r="P555" s="8"/>
      <c r="Q555" s="8"/>
      <c r="R555" s="8"/>
      <c r="S555" s="8"/>
      <c r="T555" s="8"/>
      <c r="U555" s="12"/>
      <c r="V555" s="12"/>
      <c r="W555" s="12"/>
      <c r="X555" s="12"/>
      <c r="Y555" s="12"/>
      <c r="Z555" s="12"/>
      <c r="AA555" s="12"/>
      <c r="AB555" s="12"/>
      <c r="AC555" s="12"/>
      <c r="AD555" s="12"/>
      <c r="AE555" s="12"/>
      <c r="AF555" s="12"/>
    </row>
    <row r="556" spans="1:32" ht="13.2">
      <c r="A556" s="8"/>
      <c r="B556" s="8"/>
      <c r="C556" s="8"/>
      <c r="D556" s="8"/>
      <c r="E556" s="8"/>
      <c r="F556" s="8"/>
      <c r="G556" s="8"/>
      <c r="H556" s="8"/>
      <c r="I556" s="8"/>
      <c r="J556" s="8"/>
      <c r="K556" s="8"/>
      <c r="L556" s="8"/>
      <c r="M556" s="8"/>
      <c r="N556" s="8"/>
      <c r="O556" s="8"/>
      <c r="P556" s="8"/>
      <c r="Q556" s="8"/>
      <c r="R556" s="8"/>
      <c r="S556" s="8"/>
      <c r="T556" s="8"/>
      <c r="U556" s="12"/>
      <c r="V556" s="12"/>
      <c r="W556" s="12"/>
      <c r="X556" s="12"/>
      <c r="Y556" s="12"/>
      <c r="Z556" s="12"/>
      <c r="AA556" s="12"/>
      <c r="AB556" s="12"/>
      <c r="AC556" s="12"/>
      <c r="AD556" s="12"/>
      <c r="AE556" s="12"/>
      <c r="AF556" s="12"/>
    </row>
    <row r="557" spans="1:32" ht="13.2">
      <c r="A557" s="8"/>
      <c r="B557" s="8"/>
      <c r="C557" s="8"/>
      <c r="D557" s="8"/>
      <c r="E557" s="8"/>
      <c r="F557" s="8"/>
      <c r="G557" s="8"/>
      <c r="H557" s="8"/>
      <c r="I557" s="8"/>
      <c r="J557" s="8"/>
      <c r="K557" s="8"/>
      <c r="L557" s="8"/>
      <c r="M557" s="8"/>
      <c r="N557" s="8"/>
      <c r="O557" s="8"/>
      <c r="P557" s="8"/>
      <c r="Q557" s="8"/>
      <c r="R557" s="8"/>
      <c r="S557" s="8"/>
      <c r="T557" s="8"/>
      <c r="U557" s="12"/>
      <c r="V557" s="12"/>
      <c r="W557" s="12"/>
      <c r="X557" s="12"/>
      <c r="Y557" s="12"/>
      <c r="Z557" s="12"/>
      <c r="AA557" s="12"/>
      <c r="AB557" s="12"/>
      <c r="AC557" s="12"/>
      <c r="AD557" s="12"/>
      <c r="AE557" s="12"/>
      <c r="AF557" s="12"/>
    </row>
    <row r="558" spans="1:32" ht="13.2">
      <c r="A558" s="8"/>
      <c r="B558" s="8"/>
      <c r="C558" s="8"/>
      <c r="D558" s="8"/>
      <c r="E558" s="8"/>
      <c r="F558" s="8"/>
      <c r="G558" s="8"/>
      <c r="H558" s="8"/>
      <c r="I558" s="8"/>
      <c r="J558" s="8"/>
      <c r="K558" s="8"/>
      <c r="L558" s="8"/>
      <c r="M558" s="8"/>
      <c r="N558" s="8"/>
      <c r="O558" s="8"/>
      <c r="P558" s="8"/>
      <c r="Q558" s="8"/>
      <c r="R558" s="8"/>
      <c r="S558" s="8"/>
      <c r="T558" s="8"/>
      <c r="U558" s="12"/>
      <c r="V558" s="12"/>
      <c r="W558" s="12"/>
      <c r="X558" s="12"/>
      <c r="Y558" s="12"/>
      <c r="Z558" s="12"/>
      <c r="AA558" s="12"/>
      <c r="AB558" s="12"/>
      <c r="AC558" s="12"/>
      <c r="AD558" s="12"/>
      <c r="AE558" s="12"/>
      <c r="AF558" s="12"/>
    </row>
    <row r="559" spans="1:32" ht="13.2">
      <c r="A559" s="8"/>
      <c r="B559" s="8"/>
      <c r="C559" s="8"/>
      <c r="D559" s="8"/>
      <c r="E559" s="8"/>
      <c r="F559" s="8"/>
      <c r="G559" s="8"/>
      <c r="H559" s="8"/>
      <c r="I559" s="8"/>
      <c r="J559" s="8"/>
      <c r="K559" s="8"/>
      <c r="L559" s="8"/>
      <c r="M559" s="8"/>
      <c r="N559" s="8"/>
      <c r="O559" s="8"/>
      <c r="P559" s="8"/>
      <c r="Q559" s="8"/>
      <c r="R559" s="8"/>
      <c r="S559" s="8"/>
      <c r="T559" s="8"/>
      <c r="U559" s="12"/>
      <c r="V559" s="12"/>
      <c r="W559" s="12"/>
      <c r="X559" s="12"/>
      <c r="Y559" s="12"/>
      <c r="Z559" s="12"/>
      <c r="AA559" s="12"/>
      <c r="AB559" s="12"/>
      <c r="AC559" s="12"/>
      <c r="AD559" s="12"/>
      <c r="AE559" s="12"/>
      <c r="AF559" s="12"/>
    </row>
    <row r="560" spans="1:32" ht="13.2">
      <c r="A560" s="8"/>
      <c r="B560" s="8"/>
      <c r="C560" s="8"/>
      <c r="D560" s="8"/>
      <c r="E560" s="8"/>
      <c r="F560" s="8"/>
      <c r="G560" s="8"/>
      <c r="H560" s="8"/>
      <c r="I560" s="8"/>
      <c r="J560" s="8"/>
      <c r="K560" s="8"/>
      <c r="L560" s="8"/>
      <c r="M560" s="8"/>
      <c r="N560" s="8"/>
      <c r="O560" s="8"/>
      <c r="P560" s="8"/>
      <c r="Q560" s="8"/>
      <c r="R560" s="8"/>
      <c r="S560" s="8"/>
      <c r="T560" s="8"/>
      <c r="U560" s="12"/>
      <c r="V560" s="12"/>
      <c r="W560" s="12"/>
      <c r="X560" s="12"/>
      <c r="Y560" s="12"/>
      <c r="Z560" s="12"/>
      <c r="AA560" s="12"/>
      <c r="AB560" s="12"/>
      <c r="AC560" s="12"/>
      <c r="AD560" s="12"/>
      <c r="AE560" s="12"/>
      <c r="AF560" s="12"/>
    </row>
    <row r="561" spans="1:32" ht="13.2">
      <c r="A561" s="8"/>
      <c r="B561" s="8"/>
      <c r="C561" s="8"/>
      <c r="D561" s="8"/>
      <c r="E561" s="8"/>
      <c r="F561" s="8"/>
      <c r="G561" s="8"/>
      <c r="H561" s="8"/>
      <c r="I561" s="8"/>
      <c r="J561" s="8"/>
      <c r="K561" s="8"/>
      <c r="L561" s="8"/>
      <c r="M561" s="8"/>
      <c r="N561" s="8"/>
      <c r="O561" s="8"/>
      <c r="P561" s="8"/>
      <c r="Q561" s="8"/>
      <c r="R561" s="8"/>
      <c r="S561" s="8"/>
      <c r="T561" s="8"/>
      <c r="U561" s="12"/>
      <c r="V561" s="12"/>
      <c r="W561" s="12"/>
      <c r="X561" s="12"/>
      <c r="Y561" s="12"/>
      <c r="Z561" s="12"/>
      <c r="AA561" s="12"/>
      <c r="AB561" s="12"/>
      <c r="AC561" s="12"/>
      <c r="AD561" s="12"/>
      <c r="AE561" s="12"/>
      <c r="AF561" s="12"/>
    </row>
    <row r="562" spans="1:32" ht="13.2">
      <c r="A562" s="8"/>
      <c r="B562" s="8"/>
      <c r="C562" s="8"/>
      <c r="D562" s="8"/>
      <c r="E562" s="8"/>
      <c r="F562" s="8"/>
      <c r="G562" s="8"/>
      <c r="H562" s="8"/>
      <c r="I562" s="8"/>
      <c r="J562" s="8"/>
      <c r="K562" s="8"/>
      <c r="L562" s="8"/>
      <c r="M562" s="8"/>
      <c r="N562" s="8"/>
      <c r="O562" s="8"/>
      <c r="P562" s="8"/>
      <c r="Q562" s="8"/>
      <c r="R562" s="8"/>
      <c r="S562" s="8"/>
      <c r="T562" s="8"/>
      <c r="U562" s="12"/>
      <c r="V562" s="12"/>
      <c r="W562" s="12"/>
      <c r="X562" s="12"/>
      <c r="Y562" s="12"/>
      <c r="Z562" s="12"/>
      <c r="AA562" s="12"/>
      <c r="AB562" s="12"/>
      <c r="AC562" s="12"/>
      <c r="AD562" s="12"/>
      <c r="AE562" s="12"/>
      <c r="AF562" s="12"/>
    </row>
    <row r="563" spans="1:32" ht="13.2">
      <c r="A563" s="8"/>
      <c r="B563" s="8"/>
      <c r="C563" s="8"/>
      <c r="D563" s="8"/>
      <c r="E563" s="8"/>
      <c r="F563" s="8"/>
      <c r="G563" s="8"/>
      <c r="H563" s="8"/>
      <c r="I563" s="8"/>
      <c r="J563" s="8"/>
      <c r="K563" s="8"/>
      <c r="L563" s="8"/>
      <c r="M563" s="8"/>
      <c r="N563" s="8"/>
      <c r="O563" s="8"/>
      <c r="P563" s="8"/>
      <c r="Q563" s="8"/>
      <c r="R563" s="8"/>
      <c r="S563" s="8"/>
      <c r="T563" s="8"/>
      <c r="U563" s="12"/>
      <c r="V563" s="12"/>
      <c r="W563" s="12"/>
      <c r="X563" s="12"/>
      <c r="Y563" s="12"/>
      <c r="Z563" s="12"/>
      <c r="AA563" s="12"/>
      <c r="AB563" s="12"/>
      <c r="AC563" s="12"/>
      <c r="AD563" s="12"/>
      <c r="AE563" s="12"/>
      <c r="AF563" s="12"/>
    </row>
    <row r="564" spans="1:32" ht="13.2">
      <c r="A564" s="8"/>
      <c r="B564" s="8"/>
      <c r="C564" s="8"/>
      <c r="D564" s="8"/>
      <c r="E564" s="8"/>
      <c r="F564" s="8"/>
      <c r="G564" s="8"/>
      <c r="H564" s="8"/>
      <c r="I564" s="8"/>
      <c r="J564" s="8"/>
      <c r="K564" s="8"/>
      <c r="L564" s="8"/>
      <c r="M564" s="8"/>
      <c r="N564" s="8"/>
      <c r="O564" s="8"/>
      <c r="P564" s="8"/>
      <c r="Q564" s="8"/>
      <c r="R564" s="8"/>
      <c r="S564" s="8"/>
      <c r="T564" s="8"/>
      <c r="U564" s="12"/>
      <c r="V564" s="12"/>
      <c r="W564" s="12"/>
      <c r="X564" s="12"/>
      <c r="Y564" s="12"/>
      <c r="Z564" s="12"/>
      <c r="AA564" s="12"/>
      <c r="AB564" s="12"/>
      <c r="AC564" s="12"/>
      <c r="AD564" s="12"/>
      <c r="AE564" s="12"/>
      <c r="AF564" s="12"/>
    </row>
    <row r="565" spans="1:32" ht="13.2">
      <c r="A565" s="8"/>
      <c r="B565" s="8"/>
      <c r="C565" s="8"/>
      <c r="D565" s="8"/>
      <c r="E565" s="8"/>
      <c r="F565" s="8"/>
      <c r="G565" s="8"/>
      <c r="H565" s="8"/>
      <c r="I565" s="8"/>
      <c r="J565" s="8"/>
      <c r="K565" s="8"/>
      <c r="L565" s="8"/>
      <c r="M565" s="8"/>
      <c r="N565" s="8"/>
      <c r="O565" s="8"/>
      <c r="P565" s="8"/>
      <c r="Q565" s="8"/>
      <c r="R565" s="8"/>
      <c r="S565" s="8"/>
      <c r="T565" s="8"/>
      <c r="U565" s="12"/>
      <c r="V565" s="12"/>
      <c r="W565" s="12"/>
      <c r="X565" s="12"/>
      <c r="Y565" s="12"/>
      <c r="Z565" s="12"/>
      <c r="AA565" s="12"/>
      <c r="AB565" s="12"/>
      <c r="AC565" s="12"/>
      <c r="AD565" s="12"/>
      <c r="AE565" s="12"/>
      <c r="AF565" s="12"/>
    </row>
    <row r="566" spans="1:32" ht="13.2">
      <c r="A566" s="8"/>
      <c r="B566" s="8"/>
      <c r="C566" s="8"/>
      <c r="D566" s="8"/>
      <c r="E566" s="8"/>
      <c r="F566" s="8"/>
      <c r="G566" s="8"/>
      <c r="H566" s="8"/>
      <c r="I566" s="8"/>
      <c r="J566" s="8"/>
      <c r="K566" s="8"/>
      <c r="L566" s="8"/>
      <c r="M566" s="8"/>
      <c r="N566" s="8"/>
      <c r="O566" s="8"/>
      <c r="P566" s="8"/>
      <c r="Q566" s="8"/>
      <c r="R566" s="8"/>
      <c r="S566" s="8"/>
      <c r="T566" s="8"/>
      <c r="U566" s="12"/>
      <c r="V566" s="12"/>
      <c r="W566" s="12"/>
      <c r="X566" s="12"/>
      <c r="Y566" s="12"/>
      <c r="Z566" s="12"/>
      <c r="AA566" s="12"/>
      <c r="AB566" s="12"/>
      <c r="AC566" s="12"/>
      <c r="AD566" s="12"/>
      <c r="AE566" s="12"/>
      <c r="AF566" s="12"/>
    </row>
    <row r="567" spans="1:32" ht="13.2">
      <c r="A567" s="8"/>
      <c r="B567" s="8"/>
      <c r="C567" s="8"/>
      <c r="D567" s="8"/>
      <c r="E567" s="8"/>
      <c r="F567" s="8"/>
      <c r="G567" s="8"/>
      <c r="H567" s="8"/>
      <c r="I567" s="8"/>
      <c r="J567" s="8"/>
      <c r="K567" s="8"/>
      <c r="L567" s="8"/>
      <c r="M567" s="8"/>
      <c r="N567" s="8"/>
      <c r="O567" s="8"/>
      <c r="P567" s="8"/>
      <c r="Q567" s="8"/>
      <c r="R567" s="8"/>
      <c r="S567" s="8"/>
      <c r="T567" s="8"/>
      <c r="U567" s="12"/>
      <c r="V567" s="12"/>
      <c r="W567" s="12"/>
      <c r="X567" s="12"/>
      <c r="Y567" s="12"/>
      <c r="Z567" s="12"/>
      <c r="AA567" s="12"/>
      <c r="AB567" s="12"/>
      <c r="AC567" s="12"/>
      <c r="AD567" s="12"/>
      <c r="AE567" s="12"/>
      <c r="AF567" s="12"/>
    </row>
    <row r="568" spans="1:32" ht="13.2">
      <c r="A568" s="8"/>
      <c r="B568" s="8"/>
      <c r="C568" s="8"/>
      <c r="D568" s="8"/>
      <c r="E568" s="8"/>
      <c r="F568" s="8"/>
      <c r="G568" s="8"/>
      <c r="H568" s="8"/>
      <c r="I568" s="8"/>
      <c r="J568" s="8"/>
      <c r="K568" s="8"/>
      <c r="L568" s="8"/>
      <c r="M568" s="8"/>
      <c r="N568" s="8"/>
      <c r="O568" s="8"/>
      <c r="P568" s="8"/>
      <c r="Q568" s="8"/>
      <c r="R568" s="8"/>
      <c r="S568" s="8"/>
      <c r="T568" s="8"/>
      <c r="U568" s="12"/>
      <c r="V568" s="12"/>
      <c r="W568" s="12"/>
      <c r="X568" s="12"/>
      <c r="Y568" s="12"/>
      <c r="Z568" s="12"/>
      <c r="AA568" s="12"/>
      <c r="AB568" s="12"/>
      <c r="AC568" s="12"/>
      <c r="AD568" s="12"/>
      <c r="AE568" s="12"/>
      <c r="AF568" s="12"/>
    </row>
    <row r="569" spans="1:32" ht="13.2">
      <c r="A569" s="8"/>
      <c r="B569" s="8"/>
      <c r="C569" s="8"/>
      <c r="D569" s="8"/>
      <c r="E569" s="8"/>
      <c r="F569" s="8"/>
      <c r="G569" s="8"/>
      <c r="H569" s="8"/>
      <c r="I569" s="8"/>
      <c r="J569" s="8"/>
      <c r="K569" s="8"/>
      <c r="L569" s="8"/>
      <c r="M569" s="8"/>
      <c r="N569" s="8"/>
      <c r="O569" s="8"/>
      <c r="P569" s="8"/>
      <c r="Q569" s="8"/>
      <c r="R569" s="8"/>
      <c r="S569" s="8"/>
      <c r="T569" s="8"/>
      <c r="U569" s="12"/>
      <c r="V569" s="12"/>
      <c r="W569" s="12"/>
      <c r="X569" s="12"/>
      <c r="Y569" s="12"/>
      <c r="Z569" s="12"/>
      <c r="AA569" s="12"/>
      <c r="AB569" s="12"/>
      <c r="AC569" s="12"/>
      <c r="AD569" s="12"/>
      <c r="AE569" s="12"/>
      <c r="AF569" s="12"/>
    </row>
    <row r="570" spans="1:32" ht="13.2">
      <c r="A570" s="8"/>
      <c r="B570" s="8"/>
      <c r="C570" s="8"/>
      <c r="D570" s="8"/>
      <c r="E570" s="8"/>
      <c r="F570" s="8"/>
      <c r="G570" s="8"/>
      <c r="H570" s="8"/>
      <c r="I570" s="8"/>
      <c r="J570" s="8"/>
      <c r="K570" s="8"/>
      <c r="L570" s="8"/>
      <c r="M570" s="8"/>
      <c r="N570" s="8"/>
      <c r="O570" s="8"/>
      <c r="P570" s="8"/>
      <c r="Q570" s="8"/>
      <c r="R570" s="8"/>
      <c r="S570" s="8"/>
      <c r="T570" s="8"/>
      <c r="U570" s="12"/>
      <c r="V570" s="12"/>
      <c r="W570" s="12"/>
      <c r="X570" s="12"/>
      <c r="Y570" s="12"/>
      <c r="Z570" s="12"/>
      <c r="AA570" s="12"/>
      <c r="AB570" s="12"/>
      <c r="AC570" s="12"/>
      <c r="AD570" s="12"/>
      <c r="AE570" s="12"/>
      <c r="AF570" s="12"/>
    </row>
    <row r="571" spans="1:32" ht="13.2">
      <c r="A571" s="8"/>
      <c r="B571" s="8"/>
      <c r="C571" s="8"/>
      <c r="D571" s="8"/>
      <c r="E571" s="8"/>
      <c r="F571" s="8"/>
      <c r="G571" s="8"/>
      <c r="H571" s="8"/>
      <c r="I571" s="8"/>
      <c r="J571" s="8"/>
      <c r="K571" s="8"/>
      <c r="L571" s="8"/>
      <c r="M571" s="8"/>
      <c r="N571" s="8"/>
      <c r="O571" s="8"/>
      <c r="P571" s="8"/>
      <c r="Q571" s="8"/>
      <c r="R571" s="8"/>
      <c r="S571" s="8"/>
      <c r="T571" s="8"/>
      <c r="U571" s="12"/>
      <c r="V571" s="12"/>
      <c r="W571" s="12"/>
      <c r="X571" s="12"/>
      <c r="Y571" s="12"/>
      <c r="Z571" s="12"/>
      <c r="AA571" s="12"/>
      <c r="AB571" s="12"/>
      <c r="AC571" s="12"/>
      <c r="AD571" s="12"/>
      <c r="AE571" s="12"/>
      <c r="AF571" s="12"/>
    </row>
    <row r="572" spans="1:32" ht="13.2">
      <c r="A572" s="8"/>
      <c r="B572" s="8"/>
      <c r="C572" s="8"/>
      <c r="D572" s="8"/>
      <c r="E572" s="8"/>
      <c r="F572" s="8"/>
      <c r="G572" s="8"/>
      <c r="H572" s="8"/>
      <c r="I572" s="8"/>
      <c r="J572" s="8"/>
      <c r="K572" s="8"/>
      <c r="L572" s="8"/>
      <c r="M572" s="8"/>
      <c r="N572" s="8"/>
      <c r="O572" s="8"/>
      <c r="P572" s="8"/>
      <c r="Q572" s="8"/>
      <c r="R572" s="8"/>
      <c r="S572" s="8"/>
      <c r="T572" s="8"/>
      <c r="U572" s="12"/>
      <c r="V572" s="12"/>
      <c r="W572" s="12"/>
      <c r="X572" s="12"/>
      <c r="Y572" s="12"/>
      <c r="Z572" s="12"/>
      <c r="AA572" s="12"/>
      <c r="AB572" s="12"/>
      <c r="AC572" s="12"/>
      <c r="AD572" s="12"/>
      <c r="AE572" s="12"/>
      <c r="AF572" s="12"/>
    </row>
    <row r="573" spans="1:32" ht="13.2">
      <c r="A573" s="8"/>
      <c r="B573" s="8"/>
      <c r="C573" s="8"/>
      <c r="D573" s="8"/>
      <c r="E573" s="8"/>
      <c r="F573" s="8"/>
      <c r="G573" s="8"/>
      <c r="H573" s="8"/>
      <c r="I573" s="8"/>
      <c r="J573" s="8"/>
      <c r="K573" s="8"/>
      <c r="L573" s="8"/>
      <c r="M573" s="8"/>
      <c r="N573" s="8"/>
      <c r="O573" s="8"/>
      <c r="P573" s="8"/>
      <c r="Q573" s="8"/>
      <c r="R573" s="8"/>
      <c r="S573" s="8"/>
      <c r="T573" s="8"/>
      <c r="U573" s="12"/>
      <c r="V573" s="12"/>
      <c r="W573" s="12"/>
      <c r="X573" s="12"/>
      <c r="Y573" s="12"/>
      <c r="Z573" s="12"/>
      <c r="AA573" s="12"/>
      <c r="AB573" s="12"/>
      <c r="AC573" s="12"/>
      <c r="AD573" s="12"/>
      <c r="AE573" s="12"/>
      <c r="AF573" s="12"/>
    </row>
    <row r="574" spans="1:32" ht="13.2">
      <c r="A574" s="8"/>
      <c r="B574" s="8"/>
      <c r="C574" s="8"/>
      <c r="D574" s="8"/>
      <c r="E574" s="8"/>
      <c r="F574" s="8"/>
      <c r="G574" s="8"/>
      <c r="H574" s="8"/>
      <c r="I574" s="8"/>
      <c r="J574" s="8"/>
      <c r="K574" s="8"/>
      <c r="L574" s="8"/>
      <c r="M574" s="8"/>
      <c r="N574" s="8"/>
      <c r="O574" s="8"/>
      <c r="P574" s="8"/>
      <c r="Q574" s="8"/>
      <c r="R574" s="8"/>
      <c r="S574" s="8"/>
      <c r="T574" s="8"/>
      <c r="U574" s="12"/>
      <c r="V574" s="12"/>
      <c r="W574" s="12"/>
      <c r="X574" s="12"/>
      <c r="Y574" s="12"/>
      <c r="Z574" s="12"/>
      <c r="AA574" s="12"/>
      <c r="AB574" s="12"/>
      <c r="AC574" s="12"/>
      <c r="AD574" s="12"/>
      <c r="AE574" s="12"/>
      <c r="AF574" s="12"/>
    </row>
    <row r="575" spans="1:32" ht="13.2">
      <c r="A575" s="8"/>
      <c r="B575" s="8"/>
      <c r="C575" s="8"/>
      <c r="D575" s="8"/>
      <c r="E575" s="8"/>
      <c r="F575" s="8"/>
      <c r="G575" s="8"/>
      <c r="H575" s="8"/>
      <c r="I575" s="8"/>
      <c r="J575" s="8"/>
      <c r="K575" s="8"/>
      <c r="L575" s="8"/>
      <c r="M575" s="8"/>
      <c r="N575" s="8"/>
      <c r="O575" s="8"/>
      <c r="P575" s="8"/>
      <c r="Q575" s="8"/>
      <c r="R575" s="8"/>
      <c r="S575" s="8"/>
      <c r="T575" s="8"/>
      <c r="U575" s="12"/>
      <c r="V575" s="12"/>
      <c r="W575" s="12"/>
      <c r="X575" s="12"/>
      <c r="Y575" s="12"/>
      <c r="Z575" s="12"/>
      <c r="AA575" s="12"/>
      <c r="AB575" s="12"/>
      <c r="AC575" s="12"/>
      <c r="AD575" s="12"/>
      <c r="AE575" s="12"/>
      <c r="AF575" s="12"/>
    </row>
    <row r="576" spans="1:32" ht="13.2">
      <c r="A576" s="8"/>
      <c r="B576" s="8"/>
      <c r="C576" s="8"/>
      <c r="D576" s="8"/>
      <c r="E576" s="8"/>
      <c r="F576" s="8"/>
      <c r="G576" s="8"/>
      <c r="H576" s="8"/>
      <c r="I576" s="8"/>
      <c r="J576" s="8"/>
      <c r="K576" s="8"/>
      <c r="L576" s="8"/>
      <c r="M576" s="8"/>
      <c r="N576" s="8"/>
      <c r="O576" s="8"/>
      <c r="P576" s="8"/>
      <c r="Q576" s="8"/>
      <c r="R576" s="8"/>
      <c r="S576" s="8"/>
      <c r="T576" s="8"/>
      <c r="U576" s="12"/>
      <c r="V576" s="12"/>
      <c r="W576" s="12"/>
      <c r="X576" s="12"/>
      <c r="Y576" s="12"/>
      <c r="Z576" s="12"/>
      <c r="AA576" s="12"/>
      <c r="AB576" s="12"/>
      <c r="AC576" s="12"/>
      <c r="AD576" s="12"/>
      <c r="AE576" s="12"/>
      <c r="AF576" s="12"/>
    </row>
    <row r="577" spans="1:32" ht="13.2">
      <c r="A577" s="8"/>
      <c r="B577" s="8"/>
      <c r="C577" s="8"/>
      <c r="D577" s="8"/>
      <c r="E577" s="8"/>
      <c r="F577" s="8"/>
      <c r="G577" s="8"/>
      <c r="H577" s="8"/>
      <c r="I577" s="8"/>
      <c r="J577" s="8"/>
      <c r="K577" s="8"/>
      <c r="L577" s="8"/>
      <c r="M577" s="8"/>
      <c r="N577" s="8"/>
      <c r="O577" s="8"/>
      <c r="P577" s="8"/>
      <c r="Q577" s="8"/>
      <c r="R577" s="8"/>
      <c r="S577" s="8"/>
      <c r="T577" s="8"/>
      <c r="U577" s="12"/>
      <c r="V577" s="12"/>
      <c r="W577" s="12"/>
      <c r="X577" s="12"/>
      <c r="Y577" s="12"/>
      <c r="Z577" s="12"/>
      <c r="AA577" s="12"/>
      <c r="AB577" s="12"/>
      <c r="AC577" s="12"/>
      <c r="AD577" s="12"/>
      <c r="AE577" s="12"/>
      <c r="AF577" s="12"/>
    </row>
    <row r="578" spans="1:32" ht="13.2">
      <c r="A578" s="8"/>
      <c r="B578" s="8"/>
      <c r="C578" s="8"/>
      <c r="D578" s="8"/>
      <c r="E578" s="8"/>
      <c r="F578" s="8"/>
      <c r="G578" s="8"/>
      <c r="H578" s="8"/>
      <c r="I578" s="8"/>
      <c r="J578" s="8"/>
      <c r="K578" s="8"/>
      <c r="L578" s="8"/>
      <c r="M578" s="8"/>
      <c r="N578" s="8"/>
      <c r="O578" s="8"/>
      <c r="P578" s="8"/>
      <c r="Q578" s="8"/>
      <c r="R578" s="8"/>
      <c r="S578" s="8"/>
      <c r="T578" s="8"/>
      <c r="U578" s="12"/>
      <c r="V578" s="12"/>
      <c r="W578" s="12"/>
      <c r="X578" s="12"/>
      <c r="Y578" s="12"/>
      <c r="Z578" s="12"/>
      <c r="AA578" s="12"/>
      <c r="AB578" s="12"/>
      <c r="AC578" s="12"/>
      <c r="AD578" s="12"/>
      <c r="AE578" s="12"/>
      <c r="AF578" s="12"/>
    </row>
    <row r="579" spans="1:32" ht="13.2">
      <c r="A579" s="8"/>
      <c r="B579" s="8"/>
      <c r="C579" s="8"/>
      <c r="D579" s="8"/>
      <c r="E579" s="8"/>
      <c r="F579" s="8"/>
      <c r="G579" s="8"/>
      <c r="H579" s="8"/>
      <c r="I579" s="8"/>
      <c r="J579" s="8"/>
      <c r="K579" s="8"/>
      <c r="L579" s="8"/>
      <c r="M579" s="8"/>
      <c r="N579" s="8"/>
      <c r="O579" s="8"/>
      <c r="P579" s="8"/>
      <c r="Q579" s="8"/>
      <c r="R579" s="8"/>
      <c r="S579" s="8"/>
      <c r="T579" s="8"/>
      <c r="U579" s="12"/>
      <c r="V579" s="12"/>
      <c r="W579" s="12"/>
      <c r="X579" s="12"/>
      <c r="Y579" s="12"/>
      <c r="Z579" s="12"/>
      <c r="AA579" s="12"/>
      <c r="AB579" s="12"/>
      <c r="AC579" s="12"/>
      <c r="AD579" s="12"/>
      <c r="AE579" s="12"/>
      <c r="AF579" s="12"/>
    </row>
    <row r="580" spans="1:32" ht="13.2">
      <c r="A580" s="8"/>
      <c r="B580" s="8"/>
      <c r="C580" s="8"/>
      <c r="D580" s="8"/>
      <c r="E580" s="8"/>
      <c r="F580" s="8"/>
      <c r="G580" s="8"/>
      <c r="H580" s="8"/>
      <c r="I580" s="8"/>
      <c r="J580" s="8"/>
      <c r="K580" s="8"/>
      <c r="L580" s="8"/>
      <c r="M580" s="8"/>
      <c r="N580" s="8"/>
      <c r="O580" s="8"/>
      <c r="P580" s="8"/>
      <c r="Q580" s="8"/>
      <c r="R580" s="8"/>
      <c r="S580" s="8"/>
      <c r="T580" s="8"/>
      <c r="U580" s="12"/>
      <c r="V580" s="12"/>
      <c r="W580" s="12"/>
      <c r="X580" s="12"/>
      <c r="Y580" s="12"/>
      <c r="Z580" s="12"/>
      <c r="AA580" s="12"/>
      <c r="AB580" s="12"/>
      <c r="AC580" s="12"/>
      <c r="AD580" s="12"/>
      <c r="AE580" s="12"/>
      <c r="AF580" s="12"/>
    </row>
    <row r="581" spans="1:32" ht="13.2">
      <c r="A581" s="8"/>
      <c r="B581" s="8"/>
      <c r="C581" s="8"/>
      <c r="D581" s="8"/>
      <c r="E581" s="8"/>
      <c r="F581" s="8"/>
      <c r="G581" s="8"/>
      <c r="H581" s="8"/>
      <c r="I581" s="8"/>
      <c r="J581" s="8"/>
      <c r="K581" s="8"/>
      <c r="L581" s="8"/>
      <c r="M581" s="8"/>
      <c r="N581" s="8"/>
      <c r="O581" s="8"/>
      <c r="P581" s="8"/>
      <c r="Q581" s="8"/>
      <c r="R581" s="8"/>
      <c r="S581" s="8"/>
      <c r="T581" s="8"/>
      <c r="U581" s="12"/>
      <c r="V581" s="12"/>
      <c r="W581" s="12"/>
      <c r="X581" s="12"/>
      <c r="Y581" s="12"/>
      <c r="Z581" s="12"/>
      <c r="AA581" s="12"/>
      <c r="AB581" s="12"/>
      <c r="AC581" s="12"/>
      <c r="AD581" s="12"/>
      <c r="AE581" s="12"/>
      <c r="AF581" s="12"/>
    </row>
    <row r="582" spans="1:32" ht="13.2">
      <c r="A582" s="8"/>
      <c r="B582" s="8"/>
      <c r="C582" s="8"/>
      <c r="D582" s="8"/>
      <c r="E582" s="8"/>
      <c r="F582" s="8"/>
      <c r="G582" s="8"/>
      <c r="H582" s="8"/>
      <c r="I582" s="8"/>
      <c r="J582" s="8"/>
      <c r="K582" s="8"/>
      <c r="L582" s="8"/>
      <c r="M582" s="8"/>
      <c r="N582" s="8"/>
      <c r="O582" s="8"/>
      <c r="P582" s="8"/>
      <c r="Q582" s="8"/>
      <c r="R582" s="8"/>
      <c r="S582" s="8"/>
      <c r="T582" s="8"/>
      <c r="U582" s="12"/>
      <c r="V582" s="12"/>
      <c r="W582" s="12"/>
      <c r="X582" s="12"/>
      <c r="Y582" s="12"/>
      <c r="Z582" s="12"/>
      <c r="AA582" s="12"/>
      <c r="AB582" s="12"/>
      <c r="AC582" s="12"/>
      <c r="AD582" s="12"/>
      <c r="AE582" s="12"/>
      <c r="AF582" s="12"/>
    </row>
    <row r="583" spans="1:32" ht="13.2">
      <c r="A583" s="8"/>
      <c r="B583" s="8"/>
      <c r="C583" s="8"/>
      <c r="D583" s="8"/>
      <c r="E583" s="8"/>
      <c r="F583" s="8"/>
      <c r="G583" s="8"/>
      <c r="H583" s="8"/>
      <c r="I583" s="8"/>
      <c r="J583" s="8"/>
      <c r="K583" s="8"/>
      <c r="L583" s="8"/>
      <c r="M583" s="8"/>
      <c r="N583" s="8"/>
      <c r="O583" s="8"/>
      <c r="P583" s="8"/>
      <c r="Q583" s="8"/>
      <c r="R583" s="8"/>
      <c r="S583" s="8"/>
      <c r="T583" s="8"/>
      <c r="U583" s="12"/>
      <c r="V583" s="12"/>
      <c r="W583" s="12"/>
      <c r="X583" s="12"/>
      <c r="Y583" s="12"/>
      <c r="Z583" s="12"/>
      <c r="AA583" s="12"/>
      <c r="AB583" s="12"/>
      <c r="AC583" s="12"/>
      <c r="AD583" s="12"/>
      <c r="AE583" s="12"/>
      <c r="AF583" s="12"/>
    </row>
    <row r="584" spans="1:32" ht="13.2">
      <c r="A584" s="8"/>
      <c r="B584" s="8"/>
      <c r="C584" s="8"/>
      <c r="D584" s="8"/>
      <c r="E584" s="8"/>
      <c r="F584" s="8"/>
      <c r="G584" s="8"/>
      <c r="H584" s="8"/>
      <c r="I584" s="8"/>
      <c r="J584" s="8"/>
      <c r="K584" s="8"/>
      <c r="L584" s="8"/>
      <c r="M584" s="8"/>
      <c r="N584" s="8"/>
      <c r="O584" s="8"/>
      <c r="P584" s="8"/>
      <c r="Q584" s="8"/>
      <c r="R584" s="8"/>
      <c r="S584" s="8"/>
      <c r="T584" s="8"/>
      <c r="U584" s="12"/>
      <c r="V584" s="12"/>
      <c r="W584" s="12"/>
      <c r="X584" s="12"/>
      <c r="Y584" s="12"/>
      <c r="Z584" s="12"/>
      <c r="AA584" s="12"/>
      <c r="AB584" s="12"/>
      <c r="AC584" s="12"/>
      <c r="AD584" s="12"/>
      <c r="AE584" s="12"/>
      <c r="AF584" s="12"/>
    </row>
    <row r="585" spans="1:32" ht="13.2">
      <c r="A585" s="8"/>
      <c r="B585" s="8"/>
      <c r="C585" s="8"/>
      <c r="D585" s="8"/>
      <c r="E585" s="8"/>
      <c r="F585" s="8"/>
      <c r="G585" s="8"/>
      <c r="H585" s="8"/>
      <c r="I585" s="8"/>
      <c r="J585" s="8"/>
      <c r="K585" s="8"/>
      <c r="L585" s="8"/>
      <c r="M585" s="8"/>
      <c r="N585" s="8"/>
      <c r="O585" s="8"/>
      <c r="P585" s="8"/>
      <c r="Q585" s="8"/>
      <c r="R585" s="8"/>
      <c r="S585" s="8"/>
      <c r="T585" s="8"/>
      <c r="U585" s="12"/>
      <c r="V585" s="12"/>
      <c r="W585" s="12"/>
      <c r="X585" s="12"/>
      <c r="Y585" s="12"/>
      <c r="Z585" s="12"/>
      <c r="AA585" s="12"/>
      <c r="AB585" s="12"/>
      <c r="AC585" s="12"/>
      <c r="AD585" s="12"/>
      <c r="AE585" s="12"/>
      <c r="AF585" s="12"/>
    </row>
    <row r="586" spans="1:32" ht="13.2">
      <c r="A586" s="8"/>
      <c r="B586" s="8"/>
      <c r="C586" s="8"/>
      <c r="D586" s="8"/>
      <c r="E586" s="8"/>
      <c r="F586" s="8"/>
      <c r="G586" s="8"/>
      <c r="H586" s="8"/>
      <c r="I586" s="8"/>
      <c r="J586" s="8"/>
      <c r="K586" s="8"/>
      <c r="L586" s="8"/>
      <c r="M586" s="8"/>
      <c r="N586" s="8"/>
      <c r="O586" s="8"/>
      <c r="P586" s="8"/>
      <c r="Q586" s="8"/>
      <c r="R586" s="8"/>
      <c r="S586" s="8"/>
      <c r="T586" s="8"/>
      <c r="U586" s="12"/>
      <c r="V586" s="12"/>
      <c r="W586" s="12"/>
      <c r="X586" s="12"/>
      <c r="Y586" s="12"/>
      <c r="Z586" s="12"/>
      <c r="AA586" s="12"/>
      <c r="AB586" s="12"/>
      <c r="AC586" s="12"/>
      <c r="AD586" s="12"/>
      <c r="AE586" s="12"/>
      <c r="AF586" s="12"/>
    </row>
    <row r="587" spans="1:32" ht="13.2">
      <c r="A587" s="8"/>
      <c r="B587" s="8"/>
      <c r="C587" s="8"/>
      <c r="D587" s="8"/>
      <c r="E587" s="8"/>
      <c r="F587" s="8"/>
      <c r="G587" s="8"/>
      <c r="H587" s="8"/>
      <c r="I587" s="8"/>
      <c r="J587" s="8"/>
      <c r="K587" s="8"/>
      <c r="L587" s="8"/>
      <c r="M587" s="8"/>
      <c r="N587" s="8"/>
      <c r="O587" s="8"/>
      <c r="P587" s="8"/>
      <c r="Q587" s="8"/>
      <c r="R587" s="8"/>
      <c r="S587" s="8"/>
      <c r="T587" s="8"/>
      <c r="U587" s="12"/>
      <c r="V587" s="12"/>
      <c r="W587" s="12"/>
      <c r="X587" s="12"/>
      <c r="Y587" s="12"/>
      <c r="Z587" s="12"/>
      <c r="AA587" s="12"/>
      <c r="AB587" s="12"/>
      <c r="AC587" s="12"/>
      <c r="AD587" s="12"/>
      <c r="AE587" s="12"/>
      <c r="AF587" s="12"/>
    </row>
    <row r="588" spans="1:32" ht="13.2">
      <c r="A588" s="8"/>
      <c r="B588" s="8"/>
      <c r="C588" s="8"/>
      <c r="D588" s="8"/>
      <c r="E588" s="8"/>
      <c r="F588" s="8"/>
      <c r="G588" s="8"/>
      <c r="H588" s="8"/>
      <c r="I588" s="8"/>
      <c r="J588" s="8"/>
      <c r="K588" s="8"/>
      <c r="L588" s="8"/>
      <c r="M588" s="8"/>
      <c r="N588" s="8"/>
      <c r="O588" s="8"/>
      <c r="P588" s="8"/>
      <c r="Q588" s="8"/>
      <c r="R588" s="8"/>
      <c r="S588" s="8"/>
      <c r="T588" s="8"/>
      <c r="U588" s="12"/>
      <c r="V588" s="12"/>
      <c r="W588" s="12"/>
      <c r="X588" s="12"/>
      <c r="Y588" s="12"/>
      <c r="Z588" s="12"/>
      <c r="AA588" s="12"/>
      <c r="AB588" s="12"/>
      <c r="AC588" s="12"/>
      <c r="AD588" s="12"/>
      <c r="AE588" s="12"/>
      <c r="AF588" s="12"/>
    </row>
    <row r="589" spans="1:32" ht="13.2">
      <c r="A589" s="8"/>
      <c r="B589" s="8"/>
      <c r="C589" s="8"/>
      <c r="D589" s="8"/>
      <c r="E589" s="8"/>
      <c r="F589" s="8"/>
      <c r="G589" s="8"/>
      <c r="H589" s="8"/>
      <c r="I589" s="8"/>
      <c r="J589" s="8"/>
      <c r="K589" s="8"/>
      <c r="L589" s="8"/>
      <c r="M589" s="8"/>
      <c r="N589" s="8"/>
      <c r="O589" s="8"/>
      <c r="P589" s="8"/>
      <c r="Q589" s="8"/>
      <c r="R589" s="8"/>
      <c r="S589" s="8"/>
      <c r="T589" s="8"/>
      <c r="U589" s="12"/>
      <c r="V589" s="12"/>
      <c r="W589" s="12"/>
      <c r="X589" s="12"/>
      <c r="Y589" s="12"/>
      <c r="Z589" s="12"/>
      <c r="AA589" s="12"/>
      <c r="AB589" s="12"/>
      <c r="AC589" s="12"/>
      <c r="AD589" s="12"/>
      <c r="AE589" s="12"/>
      <c r="AF589" s="12"/>
    </row>
    <row r="590" spans="1:32" ht="13.2">
      <c r="A590" s="8"/>
      <c r="B590" s="8"/>
      <c r="C590" s="8"/>
      <c r="D590" s="8"/>
      <c r="E590" s="8"/>
      <c r="F590" s="8"/>
      <c r="G590" s="8"/>
      <c r="H590" s="8"/>
      <c r="I590" s="8"/>
      <c r="J590" s="8"/>
      <c r="K590" s="8"/>
      <c r="L590" s="8"/>
      <c r="M590" s="8"/>
      <c r="N590" s="8"/>
      <c r="O590" s="8"/>
      <c r="P590" s="8"/>
      <c r="Q590" s="8"/>
      <c r="R590" s="8"/>
      <c r="S590" s="8"/>
      <c r="T590" s="8"/>
      <c r="U590" s="12"/>
      <c r="V590" s="12"/>
      <c r="W590" s="12"/>
      <c r="X590" s="12"/>
      <c r="Y590" s="12"/>
      <c r="Z590" s="12"/>
      <c r="AA590" s="12"/>
      <c r="AB590" s="12"/>
      <c r="AC590" s="12"/>
      <c r="AD590" s="12"/>
      <c r="AE590" s="12"/>
      <c r="AF590" s="12"/>
    </row>
    <row r="591" spans="1:32" ht="13.2">
      <c r="A591" s="8"/>
      <c r="B591" s="8"/>
      <c r="C591" s="8"/>
      <c r="D591" s="8"/>
      <c r="E591" s="8"/>
      <c r="F591" s="8"/>
      <c r="G591" s="8"/>
      <c r="H591" s="8"/>
      <c r="I591" s="8"/>
      <c r="J591" s="8"/>
      <c r="K591" s="8"/>
      <c r="L591" s="8"/>
      <c r="M591" s="8"/>
      <c r="N591" s="8"/>
      <c r="O591" s="8"/>
      <c r="P591" s="8"/>
      <c r="Q591" s="8"/>
      <c r="R591" s="8"/>
      <c r="S591" s="8"/>
      <c r="T591" s="8"/>
      <c r="U591" s="12"/>
      <c r="V591" s="12"/>
      <c r="W591" s="12"/>
      <c r="X591" s="12"/>
      <c r="Y591" s="12"/>
      <c r="Z591" s="12"/>
      <c r="AA591" s="12"/>
      <c r="AB591" s="12"/>
      <c r="AC591" s="12"/>
      <c r="AD591" s="12"/>
      <c r="AE591" s="12"/>
      <c r="AF591" s="12"/>
    </row>
    <row r="592" spans="1:32" ht="13.2">
      <c r="A592" s="8"/>
      <c r="B592" s="8"/>
      <c r="C592" s="8"/>
      <c r="D592" s="8"/>
      <c r="E592" s="8"/>
      <c r="F592" s="8"/>
      <c r="G592" s="8"/>
      <c r="H592" s="8"/>
      <c r="I592" s="8"/>
      <c r="J592" s="8"/>
      <c r="K592" s="8"/>
      <c r="L592" s="8"/>
      <c r="M592" s="8"/>
      <c r="N592" s="8"/>
      <c r="O592" s="8"/>
      <c r="P592" s="8"/>
      <c r="Q592" s="8"/>
      <c r="R592" s="8"/>
      <c r="S592" s="8"/>
      <c r="T592" s="8"/>
      <c r="U592" s="12"/>
      <c r="V592" s="12"/>
      <c r="W592" s="12"/>
      <c r="X592" s="12"/>
      <c r="Y592" s="12"/>
      <c r="Z592" s="12"/>
      <c r="AA592" s="12"/>
      <c r="AB592" s="12"/>
      <c r="AC592" s="12"/>
      <c r="AD592" s="12"/>
      <c r="AE592" s="12"/>
      <c r="AF592" s="12"/>
    </row>
    <row r="593" spans="1:32" ht="13.2">
      <c r="A593" s="8"/>
      <c r="B593" s="8"/>
      <c r="C593" s="8"/>
      <c r="D593" s="8"/>
      <c r="E593" s="8"/>
      <c r="F593" s="8"/>
      <c r="G593" s="8"/>
      <c r="H593" s="8"/>
      <c r="I593" s="8"/>
      <c r="J593" s="8"/>
      <c r="K593" s="8"/>
      <c r="L593" s="8"/>
      <c r="M593" s="8"/>
      <c r="N593" s="8"/>
      <c r="O593" s="8"/>
      <c r="P593" s="8"/>
      <c r="Q593" s="8"/>
      <c r="R593" s="8"/>
      <c r="S593" s="8"/>
      <c r="T593" s="8"/>
      <c r="U593" s="12"/>
      <c r="V593" s="12"/>
      <c r="W593" s="12"/>
      <c r="X593" s="12"/>
      <c r="Y593" s="12"/>
      <c r="Z593" s="12"/>
      <c r="AA593" s="12"/>
      <c r="AB593" s="12"/>
      <c r="AC593" s="12"/>
      <c r="AD593" s="12"/>
      <c r="AE593" s="12"/>
      <c r="AF593" s="12"/>
    </row>
    <row r="594" spans="1:32" ht="13.2">
      <c r="A594" s="8"/>
      <c r="B594" s="8"/>
      <c r="C594" s="8"/>
      <c r="D594" s="8"/>
      <c r="E594" s="8"/>
      <c r="F594" s="8"/>
      <c r="G594" s="8"/>
      <c r="H594" s="8"/>
      <c r="I594" s="8"/>
      <c r="J594" s="8"/>
      <c r="K594" s="8"/>
      <c r="L594" s="8"/>
      <c r="M594" s="8"/>
      <c r="N594" s="8"/>
      <c r="O594" s="8"/>
      <c r="P594" s="8"/>
      <c r="Q594" s="8"/>
      <c r="R594" s="8"/>
      <c r="S594" s="8"/>
      <c r="T594" s="8"/>
      <c r="U594" s="12"/>
      <c r="V594" s="12"/>
      <c r="W594" s="12"/>
      <c r="X594" s="12"/>
      <c r="Y594" s="12"/>
      <c r="Z594" s="12"/>
      <c r="AA594" s="12"/>
      <c r="AB594" s="12"/>
      <c r="AC594" s="12"/>
      <c r="AD594" s="12"/>
      <c r="AE594" s="12"/>
      <c r="AF594" s="12"/>
    </row>
    <row r="595" spans="1:32" ht="13.2">
      <c r="A595" s="8"/>
      <c r="B595" s="8"/>
      <c r="C595" s="8"/>
      <c r="D595" s="8"/>
      <c r="E595" s="8"/>
      <c r="F595" s="8"/>
      <c r="G595" s="8"/>
      <c r="H595" s="8"/>
      <c r="I595" s="8"/>
      <c r="J595" s="8"/>
      <c r="K595" s="8"/>
      <c r="L595" s="8"/>
      <c r="M595" s="8"/>
      <c r="N595" s="8"/>
      <c r="O595" s="8"/>
      <c r="P595" s="8"/>
      <c r="Q595" s="8"/>
      <c r="R595" s="8"/>
      <c r="S595" s="8"/>
      <c r="T595" s="8"/>
      <c r="U595" s="12"/>
      <c r="V595" s="12"/>
      <c r="W595" s="12"/>
      <c r="X595" s="12"/>
      <c r="Y595" s="12"/>
      <c r="Z595" s="12"/>
      <c r="AA595" s="12"/>
      <c r="AB595" s="12"/>
      <c r="AC595" s="12"/>
      <c r="AD595" s="12"/>
      <c r="AE595" s="12"/>
      <c r="AF595" s="12"/>
    </row>
    <row r="596" spans="1:32" ht="13.2">
      <c r="A596" s="8"/>
      <c r="B596" s="8"/>
      <c r="C596" s="8"/>
      <c r="D596" s="8"/>
      <c r="E596" s="8"/>
      <c r="F596" s="8"/>
      <c r="G596" s="8"/>
      <c r="H596" s="8"/>
      <c r="I596" s="8"/>
      <c r="J596" s="8"/>
      <c r="K596" s="8"/>
      <c r="L596" s="8"/>
      <c r="M596" s="8"/>
      <c r="N596" s="8"/>
      <c r="O596" s="8"/>
      <c r="P596" s="8"/>
      <c r="Q596" s="8"/>
      <c r="R596" s="8"/>
      <c r="S596" s="8"/>
      <c r="T596" s="8"/>
      <c r="U596" s="12"/>
      <c r="V596" s="12"/>
      <c r="W596" s="12"/>
      <c r="X596" s="12"/>
      <c r="Y596" s="12"/>
      <c r="Z596" s="12"/>
      <c r="AA596" s="12"/>
      <c r="AB596" s="12"/>
      <c r="AC596" s="12"/>
      <c r="AD596" s="12"/>
      <c r="AE596" s="12"/>
      <c r="AF596" s="12"/>
    </row>
    <row r="597" spans="1:32" ht="13.2">
      <c r="A597" s="8"/>
      <c r="B597" s="8"/>
      <c r="C597" s="8"/>
      <c r="D597" s="8"/>
      <c r="E597" s="8"/>
      <c r="F597" s="8"/>
      <c r="G597" s="8"/>
      <c r="H597" s="8"/>
      <c r="I597" s="8"/>
      <c r="J597" s="8"/>
      <c r="K597" s="8"/>
      <c r="L597" s="8"/>
      <c r="M597" s="8"/>
      <c r="N597" s="8"/>
      <c r="O597" s="8"/>
      <c r="P597" s="8"/>
      <c r="Q597" s="8"/>
      <c r="R597" s="8"/>
      <c r="S597" s="8"/>
      <c r="T597" s="8"/>
      <c r="U597" s="12"/>
      <c r="V597" s="12"/>
      <c r="W597" s="12"/>
      <c r="X597" s="12"/>
      <c r="Y597" s="12"/>
      <c r="Z597" s="12"/>
      <c r="AA597" s="12"/>
      <c r="AB597" s="12"/>
      <c r="AC597" s="12"/>
      <c r="AD597" s="12"/>
      <c r="AE597" s="12"/>
      <c r="AF597" s="12"/>
    </row>
    <row r="598" spans="1:32" ht="13.2">
      <c r="A598" s="8"/>
      <c r="B598" s="8"/>
      <c r="C598" s="8"/>
      <c r="D598" s="8"/>
      <c r="E598" s="8"/>
      <c r="F598" s="8"/>
      <c r="G598" s="8"/>
      <c r="H598" s="8"/>
      <c r="I598" s="8"/>
      <c r="J598" s="8"/>
      <c r="K598" s="8"/>
      <c r="L598" s="8"/>
      <c r="M598" s="8"/>
      <c r="N598" s="8"/>
      <c r="O598" s="8"/>
      <c r="P598" s="8"/>
      <c r="Q598" s="8"/>
      <c r="R598" s="8"/>
      <c r="S598" s="8"/>
      <c r="T598" s="8"/>
      <c r="U598" s="12"/>
      <c r="V598" s="12"/>
      <c r="W598" s="12"/>
      <c r="X598" s="12"/>
      <c r="Y598" s="12"/>
      <c r="Z598" s="12"/>
      <c r="AA598" s="12"/>
      <c r="AB598" s="12"/>
      <c r="AC598" s="12"/>
      <c r="AD598" s="12"/>
      <c r="AE598" s="12"/>
      <c r="AF598" s="12"/>
    </row>
    <row r="599" spans="1:32" ht="13.2">
      <c r="A599" s="8"/>
      <c r="B599" s="8"/>
      <c r="C599" s="8"/>
      <c r="D599" s="8"/>
      <c r="E599" s="8"/>
      <c r="F599" s="8"/>
      <c r="G599" s="8"/>
      <c r="H599" s="8"/>
      <c r="I599" s="8"/>
      <c r="J599" s="8"/>
      <c r="K599" s="8"/>
      <c r="L599" s="8"/>
      <c r="M599" s="8"/>
      <c r="N599" s="8"/>
      <c r="O599" s="8"/>
      <c r="P599" s="8"/>
      <c r="Q599" s="8"/>
      <c r="R599" s="8"/>
      <c r="S599" s="8"/>
      <c r="T599" s="8"/>
      <c r="U599" s="12"/>
      <c r="V599" s="12"/>
      <c r="W599" s="12"/>
      <c r="X599" s="12"/>
      <c r="Y599" s="12"/>
      <c r="Z599" s="12"/>
      <c r="AA599" s="12"/>
      <c r="AB599" s="12"/>
      <c r="AC599" s="12"/>
      <c r="AD599" s="12"/>
      <c r="AE599" s="12"/>
      <c r="AF599" s="12"/>
    </row>
    <row r="600" spans="1:32" ht="13.2">
      <c r="A600" s="8"/>
      <c r="B600" s="8"/>
      <c r="C600" s="8"/>
      <c r="D600" s="8"/>
      <c r="E600" s="8"/>
      <c r="F600" s="8"/>
      <c r="G600" s="8"/>
      <c r="H600" s="8"/>
      <c r="I600" s="8"/>
      <c r="J600" s="8"/>
      <c r="K600" s="8"/>
      <c r="L600" s="8"/>
      <c r="M600" s="8"/>
      <c r="N600" s="8"/>
      <c r="O600" s="8"/>
      <c r="P600" s="8"/>
      <c r="Q600" s="8"/>
      <c r="R600" s="8"/>
      <c r="S600" s="8"/>
      <c r="T600" s="8"/>
      <c r="U600" s="12"/>
      <c r="V600" s="12"/>
      <c r="W600" s="12"/>
      <c r="X600" s="12"/>
      <c r="Y600" s="12"/>
      <c r="Z600" s="12"/>
      <c r="AA600" s="12"/>
      <c r="AB600" s="12"/>
      <c r="AC600" s="12"/>
      <c r="AD600" s="12"/>
      <c r="AE600" s="12"/>
      <c r="AF600" s="12"/>
    </row>
    <row r="601" spans="1:32" ht="13.2">
      <c r="A601" s="8"/>
      <c r="B601" s="8"/>
      <c r="C601" s="8"/>
      <c r="D601" s="8"/>
      <c r="E601" s="8"/>
      <c r="F601" s="8"/>
      <c r="G601" s="8"/>
      <c r="H601" s="8"/>
      <c r="I601" s="8"/>
      <c r="J601" s="8"/>
      <c r="K601" s="8"/>
      <c r="L601" s="8"/>
      <c r="M601" s="8"/>
      <c r="N601" s="8"/>
      <c r="O601" s="8"/>
      <c r="P601" s="8"/>
      <c r="Q601" s="8"/>
      <c r="R601" s="8"/>
      <c r="S601" s="8"/>
      <c r="T601" s="8"/>
      <c r="U601" s="12"/>
      <c r="V601" s="12"/>
      <c r="W601" s="12"/>
      <c r="X601" s="12"/>
      <c r="Y601" s="12"/>
      <c r="Z601" s="12"/>
      <c r="AA601" s="12"/>
      <c r="AB601" s="12"/>
      <c r="AC601" s="12"/>
      <c r="AD601" s="12"/>
      <c r="AE601" s="12"/>
      <c r="AF601" s="12"/>
    </row>
    <row r="602" spans="1:32" ht="13.2">
      <c r="A602" s="8"/>
      <c r="B602" s="8"/>
      <c r="C602" s="8"/>
      <c r="D602" s="8"/>
      <c r="E602" s="8"/>
      <c r="F602" s="8"/>
      <c r="G602" s="8"/>
      <c r="H602" s="8"/>
      <c r="I602" s="8"/>
      <c r="J602" s="8"/>
      <c r="K602" s="8"/>
      <c r="L602" s="8"/>
      <c r="M602" s="8"/>
      <c r="N602" s="8"/>
      <c r="O602" s="8"/>
      <c r="P602" s="8"/>
      <c r="Q602" s="8"/>
      <c r="R602" s="8"/>
      <c r="S602" s="8"/>
      <c r="T602" s="8"/>
      <c r="U602" s="12"/>
      <c r="V602" s="12"/>
      <c r="W602" s="12"/>
      <c r="X602" s="12"/>
      <c r="Y602" s="12"/>
      <c r="Z602" s="12"/>
      <c r="AA602" s="12"/>
      <c r="AB602" s="12"/>
      <c r="AC602" s="12"/>
      <c r="AD602" s="12"/>
      <c r="AE602" s="12"/>
      <c r="AF602" s="12"/>
    </row>
    <row r="603" spans="1:32" ht="13.2">
      <c r="A603" s="8"/>
      <c r="B603" s="8"/>
      <c r="C603" s="8"/>
      <c r="D603" s="8"/>
      <c r="E603" s="8"/>
      <c r="F603" s="8"/>
      <c r="G603" s="8"/>
      <c r="H603" s="8"/>
      <c r="I603" s="8"/>
      <c r="J603" s="8"/>
      <c r="K603" s="8"/>
      <c r="L603" s="8"/>
      <c r="M603" s="8"/>
      <c r="N603" s="8"/>
      <c r="O603" s="8"/>
      <c r="P603" s="8"/>
      <c r="Q603" s="8"/>
      <c r="R603" s="8"/>
      <c r="S603" s="8"/>
      <c r="T603" s="8"/>
      <c r="U603" s="12"/>
      <c r="V603" s="12"/>
      <c r="W603" s="12"/>
      <c r="X603" s="12"/>
      <c r="Y603" s="12"/>
      <c r="Z603" s="12"/>
      <c r="AA603" s="12"/>
      <c r="AB603" s="12"/>
      <c r="AC603" s="12"/>
      <c r="AD603" s="12"/>
      <c r="AE603" s="12"/>
      <c r="AF603" s="12"/>
    </row>
    <row r="604" spans="1:32" ht="13.2">
      <c r="A604" s="8"/>
      <c r="B604" s="8"/>
      <c r="C604" s="8"/>
      <c r="D604" s="8"/>
      <c r="E604" s="8"/>
      <c r="F604" s="8"/>
      <c r="G604" s="8"/>
      <c r="H604" s="8"/>
      <c r="I604" s="8"/>
      <c r="J604" s="8"/>
      <c r="K604" s="8"/>
      <c r="L604" s="8"/>
      <c r="M604" s="8"/>
      <c r="N604" s="8"/>
      <c r="O604" s="8"/>
      <c r="P604" s="8"/>
      <c r="Q604" s="8"/>
      <c r="R604" s="8"/>
      <c r="S604" s="8"/>
      <c r="T604" s="8"/>
      <c r="U604" s="12"/>
      <c r="V604" s="12"/>
      <c r="W604" s="12"/>
      <c r="X604" s="12"/>
      <c r="Y604" s="12"/>
      <c r="Z604" s="12"/>
      <c r="AA604" s="12"/>
      <c r="AB604" s="12"/>
      <c r="AC604" s="12"/>
      <c r="AD604" s="12"/>
      <c r="AE604" s="12"/>
      <c r="AF604" s="12"/>
    </row>
    <row r="605" spans="1:32" ht="13.2">
      <c r="A605" s="8"/>
      <c r="B605" s="8"/>
      <c r="C605" s="8"/>
      <c r="D605" s="8"/>
      <c r="E605" s="8"/>
      <c r="F605" s="8"/>
      <c r="G605" s="8"/>
      <c r="H605" s="8"/>
      <c r="I605" s="8"/>
      <c r="J605" s="8"/>
      <c r="K605" s="8"/>
      <c r="L605" s="8"/>
      <c r="M605" s="8"/>
      <c r="N605" s="8"/>
      <c r="O605" s="8"/>
      <c r="P605" s="8"/>
      <c r="Q605" s="8"/>
      <c r="R605" s="8"/>
      <c r="S605" s="8"/>
      <c r="T605" s="8"/>
      <c r="U605" s="12"/>
      <c r="V605" s="12"/>
      <c r="W605" s="12"/>
      <c r="X605" s="12"/>
      <c r="Y605" s="12"/>
      <c r="Z605" s="12"/>
      <c r="AA605" s="12"/>
      <c r="AB605" s="12"/>
      <c r="AC605" s="12"/>
      <c r="AD605" s="12"/>
      <c r="AE605" s="12"/>
      <c r="AF605" s="12"/>
    </row>
    <row r="606" spans="1:32" ht="13.2">
      <c r="A606" s="8"/>
      <c r="B606" s="8"/>
      <c r="C606" s="8"/>
      <c r="D606" s="8"/>
      <c r="E606" s="8"/>
      <c r="F606" s="8"/>
      <c r="G606" s="8"/>
      <c r="H606" s="8"/>
      <c r="I606" s="8"/>
      <c r="J606" s="8"/>
      <c r="K606" s="8"/>
      <c r="L606" s="8"/>
      <c r="M606" s="8"/>
      <c r="N606" s="8"/>
      <c r="O606" s="8"/>
      <c r="P606" s="8"/>
      <c r="Q606" s="8"/>
      <c r="R606" s="8"/>
      <c r="S606" s="8"/>
      <c r="T606" s="8"/>
      <c r="U606" s="12"/>
      <c r="V606" s="12"/>
      <c r="W606" s="12"/>
      <c r="X606" s="12"/>
      <c r="Y606" s="12"/>
      <c r="Z606" s="12"/>
      <c r="AA606" s="12"/>
      <c r="AB606" s="12"/>
      <c r="AC606" s="12"/>
      <c r="AD606" s="12"/>
      <c r="AE606" s="12"/>
      <c r="AF606" s="12"/>
    </row>
    <row r="607" spans="1:32" ht="13.2">
      <c r="A607" s="8"/>
      <c r="B607" s="8"/>
      <c r="C607" s="8"/>
      <c r="D607" s="8"/>
      <c r="E607" s="8"/>
      <c r="F607" s="8"/>
      <c r="G607" s="8"/>
      <c r="H607" s="8"/>
      <c r="I607" s="8"/>
      <c r="J607" s="8"/>
      <c r="K607" s="8"/>
      <c r="L607" s="8"/>
      <c r="M607" s="8"/>
      <c r="N607" s="8"/>
      <c r="O607" s="8"/>
      <c r="P607" s="8"/>
      <c r="Q607" s="8"/>
      <c r="R607" s="8"/>
      <c r="S607" s="8"/>
      <c r="T607" s="8"/>
      <c r="U607" s="12"/>
      <c r="V607" s="12"/>
      <c r="W607" s="12"/>
      <c r="X607" s="12"/>
      <c r="Y607" s="12"/>
      <c r="Z607" s="12"/>
      <c r="AA607" s="12"/>
      <c r="AB607" s="12"/>
      <c r="AC607" s="12"/>
      <c r="AD607" s="12"/>
      <c r="AE607" s="12"/>
      <c r="AF607" s="12"/>
    </row>
    <row r="608" spans="1:32" ht="13.2">
      <c r="A608" s="8"/>
      <c r="B608" s="8"/>
      <c r="C608" s="8"/>
      <c r="D608" s="8"/>
      <c r="E608" s="8"/>
      <c r="F608" s="8"/>
      <c r="G608" s="8"/>
      <c r="H608" s="8"/>
      <c r="I608" s="8"/>
      <c r="J608" s="8"/>
      <c r="K608" s="8"/>
      <c r="L608" s="8"/>
      <c r="M608" s="8"/>
      <c r="N608" s="8"/>
      <c r="O608" s="8"/>
      <c r="P608" s="8"/>
      <c r="Q608" s="8"/>
      <c r="R608" s="8"/>
      <c r="S608" s="8"/>
      <c r="T608" s="8"/>
      <c r="U608" s="12"/>
      <c r="V608" s="12"/>
      <c r="W608" s="12"/>
      <c r="X608" s="12"/>
      <c r="Y608" s="12"/>
      <c r="Z608" s="12"/>
      <c r="AA608" s="12"/>
      <c r="AB608" s="12"/>
      <c r="AC608" s="12"/>
      <c r="AD608" s="12"/>
      <c r="AE608" s="12"/>
      <c r="AF608" s="12"/>
    </row>
    <row r="609" spans="1:32" ht="13.2">
      <c r="A609" s="8"/>
      <c r="B609" s="8"/>
      <c r="C609" s="8"/>
      <c r="D609" s="8"/>
      <c r="E609" s="8"/>
      <c r="F609" s="8"/>
      <c r="G609" s="8"/>
      <c r="H609" s="8"/>
      <c r="I609" s="8"/>
      <c r="J609" s="8"/>
      <c r="K609" s="8"/>
      <c r="L609" s="8"/>
      <c r="M609" s="8"/>
      <c r="N609" s="8"/>
      <c r="O609" s="8"/>
      <c r="P609" s="8"/>
      <c r="Q609" s="8"/>
      <c r="R609" s="8"/>
      <c r="S609" s="8"/>
      <c r="T609" s="8"/>
      <c r="U609" s="12"/>
      <c r="V609" s="12"/>
      <c r="W609" s="12"/>
      <c r="X609" s="12"/>
      <c r="Y609" s="12"/>
      <c r="Z609" s="12"/>
      <c r="AA609" s="12"/>
      <c r="AB609" s="12"/>
      <c r="AC609" s="12"/>
      <c r="AD609" s="12"/>
      <c r="AE609" s="12"/>
      <c r="AF609" s="12"/>
    </row>
    <row r="610" spans="1:32" ht="13.2">
      <c r="A610" s="8"/>
      <c r="B610" s="8"/>
      <c r="C610" s="8"/>
      <c r="D610" s="8"/>
      <c r="E610" s="8"/>
      <c r="F610" s="8"/>
      <c r="G610" s="8"/>
      <c r="H610" s="8"/>
      <c r="I610" s="8"/>
      <c r="J610" s="8"/>
      <c r="K610" s="8"/>
      <c r="L610" s="8"/>
      <c r="M610" s="8"/>
      <c r="N610" s="8"/>
      <c r="O610" s="8"/>
      <c r="P610" s="8"/>
      <c r="Q610" s="8"/>
      <c r="R610" s="8"/>
      <c r="S610" s="8"/>
      <c r="T610" s="8"/>
      <c r="U610" s="12"/>
      <c r="V610" s="12"/>
      <c r="W610" s="12"/>
      <c r="X610" s="12"/>
      <c r="Y610" s="12"/>
      <c r="Z610" s="12"/>
      <c r="AA610" s="12"/>
      <c r="AB610" s="12"/>
      <c r="AC610" s="12"/>
      <c r="AD610" s="12"/>
      <c r="AE610" s="12"/>
      <c r="AF610" s="12"/>
    </row>
    <row r="611" spans="1:32" ht="13.2">
      <c r="A611" s="8"/>
      <c r="B611" s="8"/>
      <c r="C611" s="8"/>
      <c r="D611" s="8"/>
      <c r="E611" s="8"/>
      <c r="F611" s="8"/>
      <c r="G611" s="8"/>
      <c r="H611" s="8"/>
      <c r="I611" s="8"/>
      <c r="J611" s="8"/>
      <c r="K611" s="8"/>
      <c r="L611" s="8"/>
      <c r="M611" s="8"/>
      <c r="N611" s="8"/>
      <c r="O611" s="8"/>
      <c r="P611" s="8"/>
      <c r="Q611" s="8"/>
      <c r="R611" s="8"/>
      <c r="S611" s="8"/>
      <c r="T611" s="8"/>
      <c r="U611" s="12"/>
      <c r="V611" s="12"/>
      <c r="W611" s="12"/>
      <c r="X611" s="12"/>
      <c r="Y611" s="12"/>
      <c r="Z611" s="12"/>
      <c r="AA611" s="12"/>
      <c r="AB611" s="12"/>
      <c r="AC611" s="12"/>
      <c r="AD611" s="12"/>
      <c r="AE611" s="12"/>
      <c r="AF611" s="12"/>
    </row>
    <row r="612" spans="1:32" ht="13.2">
      <c r="A612" s="8"/>
      <c r="B612" s="8"/>
      <c r="C612" s="8"/>
      <c r="D612" s="8"/>
      <c r="E612" s="8"/>
      <c r="F612" s="8"/>
      <c r="G612" s="8"/>
      <c r="H612" s="8"/>
      <c r="I612" s="8"/>
      <c r="J612" s="8"/>
      <c r="K612" s="8"/>
      <c r="L612" s="8"/>
      <c r="M612" s="8"/>
      <c r="N612" s="8"/>
      <c r="O612" s="8"/>
      <c r="P612" s="8"/>
      <c r="Q612" s="8"/>
      <c r="R612" s="8"/>
      <c r="S612" s="8"/>
      <c r="T612" s="8"/>
      <c r="U612" s="12"/>
      <c r="V612" s="12"/>
      <c r="W612" s="12"/>
      <c r="X612" s="12"/>
      <c r="Y612" s="12"/>
      <c r="Z612" s="12"/>
      <c r="AA612" s="12"/>
      <c r="AB612" s="12"/>
      <c r="AC612" s="12"/>
      <c r="AD612" s="12"/>
      <c r="AE612" s="12"/>
      <c r="AF612" s="12"/>
    </row>
    <row r="613" spans="1:32" ht="13.2">
      <c r="A613" s="8"/>
      <c r="B613" s="8"/>
      <c r="C613" s="8"/>
      <c r="D613" s="8"/>
      <c r="E613" s="8"/>
      <c r="F613" s="8"/>
      <c r="G613" s="8"/>
      <c r="H613" s="8"/>
      <c r="I613" s="8"/>
      <c r="J613" s="8"/>
      <c r="K613" s="8"/>
      <c r="L613" s="8"/>
      <c r="M613" s="8"/>
      <c r="N613" s="8"/>
      <c r="O613" s="8"/>
      <c r="P613" s="8"/>
      <c r="Q613" s="8"/>
      <c r="R613" s="8"/>
      <c r="S613" s="8"/>
      <c r="T613" s="8"/>
      <c r="U613" s="12"/>
      <c r="V613" s="12"/>
      <c r="W613" s="12"/>
      <c r="X613" s="12"/>
      <c r="Y613" s="12"/>
      <c r="Z613" s="12"/>
      <c r="AA613" s="12"/>
      <c r="AB613" s="12"/>
      <c r="AC613" s="12"/>
      <c r="AD613" s="12"/>
      <c r="AE613" s="12"/>
      <c r="AF613" s="12"/>
    </row>
    <row r="614" spans="1:32" ht="13.2">
      <c r="A614" s="8"/>
      <c r="B614" s="8"/>
      <c r="C614" s="8"/>
      <c r="D614" s="8"/>
      <c r="E614" s="8"/>
      <c r="F614" s="8"/>
      <c r="G614" s="8"/>
      <c r="H614" s="8"/>
      <c r="I614" s="8"/>
      <c r="J614" s="8"/>
      <c r="K614" s="8"/>
      <c r="L614" s="8"/>
      <c r="M614" s="8"/>
      <c r="N614" s="8"/>
      <c r="O614" s="8"/>
      <c r="P614" s="8"/>
      <c r="Q614" s="8"/>
      <c r="R614" s="8"/>
      <c r="S614" s="8"/>
      <c r="T614" s="8"/>
      <c r="U614" s="12"/>
      <c r="V614" s="12"/>
      <c r="W614" s="12"/>
      <c r="X614" s="12"/>
      <c r="Y614" s="12"/>
      <c r="Z614" s="12"/>
      <c r="AA614" s="12"/>
      <c r="AB614" s="12"/>
      <c r="AC614" s="12"/>
      <c r="AD614" s="12"/>
      <c r="AE614" s="12"/>
      <c r="AF614" s="12"/>
    </row>
    <row r="615" spans="1:32" ht="13.2">
      <c r="A615" s="8"/>
      <c r="B615" s="8"/>
      <c r="C615" s="8"/>
      <c r="D615" s="8"/>
      <c r="E615" s="8"/>
      <c r="F615" s="8"/>
      <c r="G615" s="8"/>
      <c r="H615" s="8"/>
      <c r="I615" s="8"/>
      <c r="J615" s="8"/>
      <c r="K615" s="8"/>
      <c r="L615" s="8"/>
      <c r="M615" s="8"/>
      <c r="N615" s="8"/>
      <c r="O615" s="8"/>
      <c r="P615" s="8"/>
      <c r="Q615" s="8"/>
      <c r="R615" s="8"/>
      <c r="S615" s="8"/>
      <c r="T615" s="8"/>
      <c r="U615" s="12"/>
      <c r="V615" s="12"/>
      <c r="W615" s="12"/>
      <c r="X615" s="12"/>
      <c r="Y615" s="12"/>
      <c r="Z615" s="12"/>
      <c r="AA615" s="12"/>
      <c r="AB615" s="12"/>
      <c r="AC615" s="12"/>
      <c r="AD615" s="12"/>
      <c r="AE615" s="12"/>
      <c r="AF615" s="12"/>
    </row>
    <row r="616" spans="1:32" ht="13.2">
      <c r="A616" s="8"/>
      <c r="B616" s="8"/>
      <c r="C616" s="8"/>
      <c r="D616" s="8"/>
      <c r="E616" s="8"/>
      <c r="F616" s="8"/>
      <c r="G616" s="8"/>
      <c r="H616" s="8"/>
      <c r="I616" s="8"/>
      <c r="J616" s="8"/>
      <c r="K616" s="8"/>
      <c r="L616" s="8"/>
      <c r="M616" s="8"/>
      <c r="N616" s="8"/>
      <c r="O616" s="8"/>
      <c r="P616" s="8"/>
      <c r="Q616" s="8"/>
      <c r="R616" s="8"/>
      <c r="S616" s="8"/>
      <c r="T616" s="8"/>
      <c r="U616" s="12"/>
      <c r="V616" s="12"/>
      <c r="W616" s="12"/>
      <c r="X616" s="12"/>
      <c r="Y616" s="12"/>
      <c r="Z616" s="12"/>
      <c r="AA616" s="12"/>
      <c r="AB616" s="12"/>
      <c r="AC616" s="12"/>
      <c r="AD616" s="12"/>
      <c r="AE616" s="12"/>
      <c r="AF616" s="12"/>
    </row>
    <row r="617" spans="1:32" ht="13.2">
      <c r="A617" s="8"/>
      <c r="B617" s="8"/>
      <c r="C617" s="8"/>
      <c r="D617" s="8"/>
      <c r="E617" s="8"/>
      <c r="F617" s="8"/>
      <c r="G617" s="8"/>
      <c r="H617" s="8"/>
      <c r="I617" s="8"/>
      <c r="J617" s="8"/>
      <c r="K617" s="8"/>
      <c r="L617" s="8"/>
      <c r="M617" s="8"/>
      <c r="N617" s="8"/>
      <c r="O617" s="8"/>
      <c r="P617" s="8"/>
      <c r="Q617" s="8"/>
      <c r="R617" s="8"/>
      <c r="S617" s="8"/>
      <c r="T617" s="8"/>
      <c r="U617" s="12"/>
      <c r="V617" s="12"/>
      <c r="W617" s="12"/>
      <c r="X617" s="12"/>
      <c r="Y617" s="12"/>
      <c r="Z617" s="12"/>
      <c r="AA617" s="12"/>
      <c r="AB617" s="12"/>
      <c r="AC617" s="12"/>
      <c r="AD617" s="12"/>
      <c r="AE617" s="12"/>
      <c r="AF617" s="12"/>
    </row>
    <row r="618" spans="1:32" ht="13.2">
      <c r="A618" s="8"/>
      <c r="B618" s="8"/>
      <c r="C618" s="8"/>
      <c r="D618" s="8"/>
      <c r="E618" s="8"/>
      <c r="F618" s="8"/>
      <c r="G618" s="8"/>
      <c r="H618" s="8"/>
      <c r="I618" s="8"/>
      <c r="J618" s="8"/>
      <c r="K618" s="8"/>
      <c r="L618" s="8"/>
      <c r="M618" s="8"/>
      <c r="N618" s="8"/>
      <c r="O618" s="8"/>
      <c r="P618" s="8"/>
      <c r="Q618" s="8"/>
      <c r="R618" s="8"/>
      <c r="S618" s="8"/>
      <c r="T618" s="8"/>
      <c r="U618" s="12"/>
      <c r="V618" s="12"/>
      <c r="W618" s="12"/>
      <c r="X618" s="12"/>
      <c r="Y618" s="12"/>
      <c r="Z618" s="12"/>
      <c r="AA618" s="12"/>
      <c r="AB618" s="12"/>
      <c r="AC618" s="12"/>
      <c r="AD618" s="12"/>
      <c r="AE618" s="12"/>
      <c r="AF618" s="12"/>
    </row>
    <row r="619" spans="1:32" ht="13.2">
      <c r="A619" s="8"/>
      <c r="B619" s="8"/>
      <c r="C619" s="8"/>
      <c r="D619" s="8"/>
      <c r="E619" s="8"/>
      <c r="F619" s="8"/>
      <c r="G619" s="8"/>
      <c r="H619" s="8"/>
      <c r="I619" s="8"/>
      <c r="J619" s="8"/>
      <c r="K619" s="8"/>
      <c r="L619" s="8"/>
      <c r="M619" s="8"/>
      <c r="N619" s="8"/>
      <c r="O619" s="8"/>
      <c r="P619" s="8"/>
      <c r="Q619" s="8"/>
      <c r="R619" s="8"/>
      <c r="S619" s="8"/>
      <c r="T619" s="8"/>
      <c r="U619" s="12"/>
      <c r="V619" s="12"/>
      <c r="W619" s="12"/>
      <c r="X619" s="12"/>
      <c r="Y619" s="12"/>
      <c r="Z619" s="12"/>
      <c r="AA619" s="12"/>
      <c r="AB619" s="12"/>
      <c r="AC619" s="12"/>
      <c r="AD619" s="12"/>
      <c r="AE619" s="12"/>
      <c r="AF619" s="12"/>
    </row>
    <row r="620" spans="1:32" ht="13.2">
      <c r="A620" s="8"/>
      <c r="B620" s="8"/>
      <c r="C620" s="8"/>
      <c r="D620" s="8"/>
      <c r="E620" s="8"/>
      <c r="F620" s="8"/>
      <c r="G620" s="8"/>
      <c r="H620" s="8"/>
      <c r="I620" s="8"/>
      <c r="J620" s="8"/>
      <c r="K620" s="8"/>
      <c r="L620" s="8"/>
      <c r="M620" s="8"/>
      <c r="N620" s="8"/>
      <c r="O620" s="8"/>
      <c r="P620" s="8"/>
      <c r="Q620" s="8"/>
      <c r="R620" s="8"/>
      <c r="S620" s="8"/>
      <c r="T620" s="8"/>
      <c r="U620" s="12"/>
      <c r="V620" s="12"/>
      <c r="W620" s="12"/>
      <c r="X620" s="12"/>
      <c r="Y620" s="12"/>
      <c r="Z620" s="12"/>
      <c r="AA620" s="12"/>
      <c r="AB620" s="12"/>
      <c r="AC620" s="12"/>
      <c r="AD620" s="12"/>
      <c r="AE620" s="12"/>
      <c r="AF620" s="12"/>
    </row>
    <row r="621" spans="1:32" ht="13.2">
      <c r="A621" s="8"/>
      <c r="B621" s="8"/>
      <c r="C621" s="8"/>
      <c r="D621" s="8"/>
      <c r="E621" s="8"/>
      <c r="F621" s="8"/>
      <c r="G621" s="8"/>
      <c r="H621" s="8"/>
      <c r="I621" s="8"/>
      <c r="J621" s="8"/>
      <c r="K621" s="8"/>
      <c r="L621" s="8"/>
      <c r="M621" s="8"/>
      <c r="N621" s="8"/>
      <c r="O621" s="8"/>
      <c r="P621" s="8"/>
      <c r="Q621" s="8"/>
      <c r="R621" s="8"/>
      <c r="S621" s="8"/>
      <c r="T621" s="8"/>
      <c r="U621" s="12"/>
      <c r="V621" s="12"/>
      <c r="W621" s="12"/>
      <c r="X621" s="12"/>
      <c r="Y621" s="12"/>
      <c r="Z621" s="12"/>
      <c r="AA621" s="12"/>
      <c r="AB621" s="12"/>
      <c r="AC621" s="12"/>
      <c r="AD621" s="12"/>
      <c r="AE621" s="12"/>
      <c r="AF621" s="12"/>
    </row>
    <row r="622" spans="1:32" ht="13.2">
      <c r="A622" s="8"/>
      <c r="B622" s="8"/>
      <c r="C622" s="8"/>
      <c r="D622" s="8"/>
      <c r="E622" s="8"/>
      <c r="F622" s="8"/>
      <c r="G622" s="8"/>
      <c r="H622" s="8"/>
      <c r="I622" s="8"/>
      <c r="J622" s="8"/>
      <c r="K622" s="8"/>
      <c r="L622" s="8"/>
      <c r="M622" s="8"/>
      <c r="N622" s="8"/>
      <c r="O622" s="8"/>
      <c r="P622" s="8"/>
      <c r="Q622" s="8"/>
      <c r="R622" s="8"/>
      <c r="S622" s="8"/>
      <c r="T622" s="8"/>
      <c r="U622" s="12"/>
      <c r="V622" s="12"/>
      <c r="W622" s="12"/>
      <c r="X622" s="12"/>
      <c r="Y622" s="12"/>
      <c r="Z622" s="12"/>
      <c r="AA622" s="12"/>
      <c r="AB622" s="12"/>
      <c r="AC622" s="12"/>
      <c r="AD622" s="12"/>
      <c r="AE622" s="12"/>
      <c r="AF622" s="12"/>
    </row>
    <row r="623" spans="1:32" ht="13.2">
      <c r="A623" s="8"/>
      <c r="B623" s="8"/>
      <c r="C623" s="8"/>
      <c r="D623" s="8"/>
      <c r="E623" s="8"/>
      <c r="F623" s="8"/>
      <c r="G623" s="8"/>
      <c r="H623" s="8"/>
      <c r="I623" s="8"/>
      <c r="J623" s="8"/>
      <c r="K623" s="8"/>
      <c r="L623" s="8"/>
      <c r="M623" s="8"/>
      <c r="N623" s="8"/>
      <c r="O623" s="8"/>
      <c r="P623" s="8"/>
      <c r="Q623" s="8"/>
      <c r="R623" s="8"/>
      <c r="S623" s="8"/>
      <c r="T623" s="8"/>
      <c r="U623" s="12"/>
      <c r="V623" s="12"/>
      <c r="W623" s="12"/>
      <c r="X623" s="12"/>
      <c r="Y623" s="12"/>
      <c r="Z623" s="12"/>
      <c r="AA623" s="12"/>
      <c r="AB623" s="12"/>
      <c r="AC623" s="12"/>
      <c r="AD623" s="12"/>
      <c r="AE623" s="12"/>
      <c r="AF623" s="12"/>
    </row>
    <row r="624" spans="1:32" ht="13.2">
      <c r="A624" s="8"/>
      <c r="B624" s="8"/>
      <c r="C624" s="8"/>
      <c r="D624" s="8"/>
      <c r="E624" s="8"/>
      <c r="F624" s="8"/>
      <c r="G624" s="8"/>
      <c r="H624" s="8"/>
      <c r="I624" s="8"/>
      <c r="J624" s="8"/>
      <c r="K624" s="8"/>
      <c r="L624" s="8"/>
      <c r="M624" s="8"/>
      <c r="N624" s="8"/>
      <c r="O624" s="8"/>
      <c r="P624" s="8"/>
      <c r="Q624" s="8"/>
      <c r="R624" s="8"/>
      <c r="S624" s="8"/>
      <c r="T624" s="8"/>
      <c r="U624" s="12"/>
      <c r="V624" s="12"/>
      <c r="W624" s="12"/>
      <c r="X624" s="12"/>
      <c r="Y624" s="12"/>
      <c r="Z624" s="12"/>
      <c r="AA624" s="12"/>
      <c r="AB624" s="12"/>
      <c r="AC624" s="12"/>
      <c r="AD624" s="12"/>
      <c r="AE624" s="12"/>
      <c r="AF624" s="12"/>
    </row>
    <row r="625" spans="1:32" ht="13.2">
      <c r="A625" s="8"/>
      <c r="B625" s="8"/>
      <c r="C625" s="8"/>
      <c r="D625" s="8"/>
      <c r="E625" s="8"/>
      <c r="F625" s="8"/>
      <c r="G625" s="8"/>
      <c r="H625" s="8"/>
      <c r="I625" s="8"/>
      <c r="J625" s="8"/>
      <c r="K625" s="8"/>
      <c r="L625" s="8"/>
      <c r="M625" s="8"/>
      <c r="N625" s="8"/>
      <c r="O625" s="8"/>
      <c r="P625" s="8"/>
      <c r="Q625" s="8"/>
      <c r="R625" s="8"/>
      <c r="S625" s="8"/>
      <c r="T625" s="8"/>
      <c r="U625" s="12"/>
      <c r="V625" s="12"/>
      <c r="W625" s="12"/>
      <c r="X625" s="12"/>
      <c r="Y625" s="12"/>
      <c r="Z625" s="12"/>
      <c r="AA625" s="12"/>
      <c r="AB625" s="12"/>
      <c r="AC625" s="12"/>
      <c r="AD625" s="12"/>
      <c r="AE625" s="12"/>
      <c r="AF625" s="12"/>
    </row>
    <row r="626" spans="1:32" ht="13.2">
      <c r="A626" s="8"/>
      <c r="B626" s="8"/>
      <c r="C626" s="8"/>
      <c r="D626" s="8"/>
      <c r="E626" s="8"/>
      <c r="F626" s="8"/>
      <c r="G626" s="8"/>
      <c r="H626" s="8"/>
      <c r="I626" s="8"/>
      <c r="J626" s="8"/>
      <c r="K626" s="8"/>
      <c r="L626" s="8"/>
      <c r="M626" s="8"/>
      <c r="N626" s="8"/>
      <c r="O626" s="8"/>
      <c r="P626" s="8"/>
      <c r="Q626" s="8"/>
      <c r="R626" s="8"/>
      <c r="S626" s="8"/>
      <c r="T626" s="8"/>
      <c r="U626" s="12"/>
      <c r="V626" s="12"/>
      <c r="W626" s="12"/>
      <c r="X626" s="12"/>
      <c r="Y626" s="12"/>
      <c r="Z626" s="12"/>
      <c r="AA626" s="12"/>
      <c r="AB626" s="12"/>
      <c r="AC626" s="12"/>
      <c r="AD626" s="12"/>
      <c r="AE626" s="12"/>
      <c r="AF626" s="12"/>
    </row>
    <row r="627" spans="1:32" ht="13.2">
      <c r="A627" s="8"/>
      <c r="B627" s="8"/>
      <c r="C627" s="8"/>
      <c r="D627" s="8"/>
      <c r="E627" s="8"/>
      <c r="F627" s="8"/>
      <c r="G627" s="8"/>
      <c r="H627" s="8"/>
      <c r="I627" s="8"/>
      <c r="J627" s="8"/>
      <c r="K627" s="8"/>
      <c r="L627" s="8"/>
      <c r="M627" s="8"/>
      <c r="N627" s="8"/>
      <c r="O627" s="8"/>
      <c r="P627" s="8"/>
      <c r="Q627" s="8"/>
      <c r="R627" s="8"/>
      <c r="S627" s="8"/>
      <c r="T627" s="8"/>
      <c r="U627" s="12"/>
      <c r="V627" s="12"/>
      <c r="W627" s="12"/>
      <c r="X627" s="12"/>
      <c r="Y627" s="12"/>
      <c r="Z627" s="12"/>
      <c r="AA627" s="12"/>
      <c r="AB627" s="12"/>
      <c r="AC627" s="12"/>
      <c r="AD627" s="12"/>
      <c r="AE627" s="12"/>
      <c r="AF627" s="12"/>
    </row>
    <row r="628" spans="1:32" ht="13.2">
      <c r="A628" s="8"/>
      <c r="B628" s="8"/>
      <c r="C628" s="8"/>
      <c r="D628" s="8"/>
      <c r="E628" s="8"/>
      <c r="F628" s="8"/>
      <c r="G628" s="8"/>
      <c r="H628" s="8"/>
      <c r="I628" s="8"/>
      <c r="J628" s="8"/>
      <c r="K628" s="8"/>
      <c r="L628" s="8"/>
      <c r="M628" s="8"/>
      <c r="N628" s="8"/>
      <c r="O628" s="8"/>
      <c r="P628" s="8"/>
      <c r="Q628" s="8"/>
      <c r="R628" s="8"/>
      <c r="S628" s="8"/>
      <c r="T628" s="8"/>
      <c r="U628" s="12"/>
      <c r="V628" s="12"/>
      <c r="W628" s="12"/>
      <c r="X628" s="12"/>
      <c r="Y628" s="12"/>
      <c r="Z628" s="12"/>
      <c r="AA628" s="12"/>
      <c r="AB628" s="12"/>
      <c r="AC628" s="12"/>
      <c r="AD628" s="12"/>
      <c r="AE628" s="12"/>
      <c r="AF628" s="12"/>
    </row>
    <row r="629" spans="1:32" ht="13.2">
      <c r="A629" s="8"/>
      <c r="B629" s="8"/>
      <c r="C629" s="8"/>
      <c r="D629" s="8"/>
      <c r="E629" s="8"/>
      <c r="F629" s="8"/>
      <c r="G629" s="8"/>
      <c r="H629" s="8"/>
      <c r="I629" s="8"/>
      <c r="J629" s="8"/>
      <c r="K629" s="8"/>
      <c r="L629" s="8"/>
      <c r="M629" s="8"/>
      <c r="N629" s="8"/>
      <c r="O629" s="8"/>
      <c r="P629" s="8"/>
      <c r="Q629" s="8"/>
      <c r="R629" s="8"/>
      <c r="S629" s="8"/>
      <c r="T629" s="8"/>
      <c r="U629" s="12"/>
      <c r="V629" s="12"/>
      <c r="W629" s="12"/>
      <c r="X629" s="12"/>
      <c r="Y629" s="12"/>
      <c r="Z629" s="12"/>
      <c r="AA629" s="12"/>
      <c r="AB629" s="12"/>
      <c r="AC629" s="12"/>
      <c r="AD629" s="12"/>
      <c r="AE629" s="12"/>
      <c r="AF629" s="12"/>
    </row>
    <row r="630" spans="1:32" ht="13.2">
      <c r="A630" s="8"/>
      <c r="B630" s="8"/>
      <c r="C630" s="8"/>
      <c r="D630" s="8"/>
      <c r="E630" s="8"/>
      <c r="F630" s="8"/>
      <c r="G630" s="8"/>
      <c r="H630" s="8"/>
      <c r="I630" s="8"/>
      <c r="J630" s="8"/>
      <c r="K630" s="8"/>
      <c r="L630" s="8"/>
      <c r="M630" s="8"/>
      <c r="N630" s="8"/>
      <c r="O630" s="8"/>
      <c r="P630" s="8"/>
      <c r="Q630" s="8"/>
      <c r="R630" s="8"/>
      <c r="S630" s="8"/>
      <c r="T630" s="8"/>
      <c r="U630" s="12"/>
      <c r="V630" s="12"/>
      <c r="W630" s="12"/>
      <c r="X630" s="12"/>
      <c r="Y630" s="12"/>
      <c r="Z630" s="12"/>
      <c r="AA630" s="12"/>
      <c r="AB630" s="12"/>
      <c r="AC630" s="12"/>
      <c r="AD630" s="12"/>
      <c r="AE630" s="12"/>
      <c r="AF630" s="12"/>
    </row>
    <row r="631" spans="1:32" ht="13.2">
      <c r="A631" s="8"/>
      <c r="B631" s="8"/>
      <c r="C631" s="8"/>
      <c r="D631" s="8"/>
      <c r="E631" s="8"/>
      <c r="F631" s="8"/>
      <c r="G631" s="8"/>
      <c r="H631" s="8"/>
      <c r="I631" s="8"/>
      <c r="J631" s="8"/>
      <c r="K631" s="8"/>
      <c r="L631" s="8"/>
      <c r="M631" s="8"/>
      <c r="N631" s="8"/>
      <c r="O631" s="8"/>
      <c r="P631" s="8"/>
      <c r="Q631" s="8"/>
      <c r="R631" s="8"/>
      <c r="S631" s="8"/>
      <c r="T631" s="8"/>
      <c r="U631" s="12"/>
      <c r="V631" s="12"/>
      <c r="W631" s="12"/>
      <c r="X631" s="12"/>
      <c r="Y631" s="12"/>
      <c r="Z631" s="12"/>
      <c r="AA631" s="12"/>
      <c r="AB631" s="12"/>
      <c r="AC631" s="12"/>
      <c r="AD631" s="12"/>
      <c r="AE631" s="12"/>
      <c r="AF631" s="12"/>
    </row>
    <row r="632" spans="1:32" ht="13.2">
      <c r="A632" s="8"/>
      <c r="B632" s="8"/>
      <c r="C632" s="8"/>
      <c r="D632" s="8"/>
      <c r="E632" s="8"/>
      <c r="F632" s="8"/>
      <c r="G632" s="8"/>
      <c r="H632" s="8"/>
      <c r="I632" s="8"/>
      <c r="J632" s="8"/>
      <c r="K632" s="8"/>
      <c r="L632" s="8"/>
      <c r="M632" s="8"/>
      <c r="N632" s="8"/>
      <c r="O632" s="8"/>
      <c r="P632" s="8"/>
      <c r="Q632" s="8"/>
      <c r="R632" s="8"/>
      <c r="S632" s="8"/>
      <c r="T632" s="8"/>
      <c r="U632" s="12"/>
      <c r="V632" s="12"/>
      <c r="W632" s="12"/>
      <c r="X632" s="12"/>
      <c r="Y632" s="12"/>
      <c r="Z632" s="12"/>
      <c r="AA632" s="12"/>
      <c r="AB632" s="12"/>
      <c r="AC632" s="12"/>
      <c r="AD632" s="12"/>
      <c r="AE632" s="12"/>
      <c r="AF632" s="12"/>
    </row>
    <row r="633" spans="1:32" ht="13.2">
      <c r="A633" s="8"/>
      <c r="B633" s="8"/>
      <c r="C633" s="8"/>
      <c r="D633" s="8"/>
      <c r="E633" s="8"/>
      <c r="F633" s="8"/>
      <c r="G633" s="8"/>
      <c r="H633" s="8"/>
      <c r="I633" s="8"/>
      <c r="J633" s="8"/>
      <c r="K633" s="8"/>
      <c r="L633" s="8"/>
      <c r="M633" s="8"/>
      <c r="N633" s="8"/>
      <c r="O633" s="8"/>
      <c r="P633" s="8"/>
      <c r="Q633" s="8"/>
      <c r="R633" s="8"/>
      <c r="S633" s="8"/>
      <c r="T633" s="8"/>
      <c r="U633" s="12"/>
      <c r="V633" s="12"/>
      <c r="W633" s="12"/>
      <c r="X633" s="12"/>
      <c r="Y633" s="12"/>
      <c r="Z633" s="12"/>
      <c r="AA633" s="12"/>
      <c r="AB633" s="12"/>
      <c r="AC633" s="12"/>
      <c r="AD633" s="12"/>
      <c r="AE633" s="12"/>
      <c r="AF633" s="12"/>
    </row>
    <row r="634" spans="1:32" ht="13.2">
      <c r="A634" s="8"/>
      <c r="B634" s="8"/>
      <c r="C634" s="8"/>
      <c r="D634" s="8"/>
      <c r="E634" s="8"/>
      <c r="F634" s="8"/>
      <c r="G634" s="8"/>
      <c r="H634" s="8"/>
      <c r="I634" s="8"/>
      <c r="J634" s="8"/>
      <c r="K634" s="8"/>
      <c r="L634" s="8"/>
      <c r="M634" s="8"/>
      <c r="N634" s="8"/>
      <c r="O634" s="8"/>
      <c r="P634" s="8"/>
      <c r="Q634" s="8"/>
      <c r="R634" s="8"/>
      <c r="S634" s="8"/>
      <c r="T634" s="8"/>
      <c r="U634" s="12"/>
      <c r="V634" s="12"/>
      <c r="W634" s="12"/>
      <c r="X634" s="12"/>
      <c r="Y634" s="12"/>
      <c r="Z634" s="12"/>
      <c r="AA634" s="12"/>
      <c r="AB634" s="12"/>
      <c r="AC634" s="12"/>
      <c r="AD634" s="12"/>
      <c r="AE634" s="12"/>
      <c r="AF634" s="12"/>
    </row>
    <row r="635" spans="1:32" ht="13.2">
      <c r="A635" s="8"/>
      <c r="B635" s="8"/>
      <c r="C635" s="8"/>
      <c r="D635" s="8"/>
      <c r="E635" s="8"/>
      <c r="F635" s="8"/>
      <c r="G635" s="8"/>
      <c r="H635" s="8"/>
      <c r="I635" s="8"/>
      <c r="J635" s="8"/>
      <c r="K635" s="8"/>
      <c r="L635" s="8"/>
      <c r="M635" s="8"/>
      <c r="N635" s="8"/>
      <c r="O635" s="8"/>
      <c r="P635" s="8"/>
      <c r="Q635" s="8"/>
      <c r="R635" s="8"/>
      <c r="S635" s="8"/>
      <c r="T635" s="8"/>
      <c r="U635" s="12"/>
      <c r="V635" s="12"/>
      <c r="W635" s="12"/>
      <c r="X635" s="12"/>
      <c r="Y635" s="12"/>
      <c r="Z635" s="12"/>
      <c r="AA635" s="12"/>
      <c r="AB635" s="12"/>
      <c r="AC635" s="12"/>
      <c r="AD635" s="12"/>
      <c r="AE635" s="12"/>
      <c r="AF635" s="12"/>
    </row>
    <row r="636" spans="1:32" ht="13.2">
      <c r="A636" s="8"/>
      <c r="B636" s="8"/>
      <c r="C636" s="8"/>
      <c r="D636" s="8"/>
      <c r="E636" s="8"/>
      <c r="F636" s="8"/>
      <c r="G636" s="8"/>
      <c r="H636" s="8"/>
      <c r="I636" s="8"/>
      <c r="J636" s="8"/>
      <c r="K636" s="8"/>
      <c r="L636" s="8"/>
      <c r="M636" s="8"/>
      <c r="N636" s="8"/>
      <c r="O636" s="8"/>
      <c r="P636" s="8"/>
      <c r="Q636" s="8"/>
      <c r="R636" s="8"/>
      <c r="S636" s="8"/>
      <c r="T636" s="8"/>
      <c r="U636" s="12"/>
      <c r="V636" s="12"/>
      <c r="W636" s="12"/>
      <c r="X636" s="12"/>
      <c r="Y636" s="12"/>
      <c r="Z636" s="12"/>
      <c r="AA636" s="12"/>
      <c r="AB636" s="12"/>
      <c r="AC636" s="12"/>
      <c r="AD636" s="12"/>
      <c r="AE636" s="12"/>
      <c r="AF636" s="12"/>
    </row>
    <row r="637" spans="1:32" ht="13.2">
      <c r="A637" s="8"/>
      <c r="B637" s="8"/>
      <c r="C637" s="8"/>
      <c r="D637" s="8"/>
      <c r="E637" s="8"/>
      <c r="F637" s="8"/>
      <c r="G637" s="8"/>
      <c r="H637" s="8"/>
      <c r="I637" s="8"/>
      <c r="J637" s="8"/>
      <c r="K637" s="8"/>
      <c r="L637" s="8"/>
      <c r="M637" s="8"/>
      <c r="N637" s="8"/>
      <c r="O637" s="8"/>
      <c r="P637" s="8"/>
      <c r="Q637" s="8"/>
      <c r="R637" s="8"/>
      <c r="S637" s="8"/>
      <c r="T637" s="8"/>
      <c r="U637" s="12"/>
      <c r="V637" s="12"/>
      <c r="W637" s="12"/>
      <c r="X637" s="12"/>
      <c r="Y637" s="12"/>
      <c r="Z637" s="12"/>
      <c r="AA637" s="12"/>
      <c r="AB637" s="12"/>
      <c r="AC637" s="12"/>
      <c r="AD637" s="12"/>
      <c r="AE637" s="12"/>
      <c r="AF637" s="12"/>
    </row>
    <row r="638" spans="1:32" ht="13.2">
      <c r="A638" s="8"/>
      <c r="B638" s="8"/>
      <c r="C638" s="8"/>
      <c r="D638" s="8"/>
      <c r="E638" s="8"/>
      <c r="F638" s="8"/>
      <c r="G638" s="8"/>
      <c r="H638" s="8"/>
      <c r="I638" s="8"/>
      <c r="J638" s="8"/>
      <c r="K638" s="8"/>
      <c r="L638" s="8"/>
      <c r="M638" s="8"/>
      <c r="N638" s="8"/>
      <c r="O638" s="8"/>
      <c r="P638" s="8"/>
      <c r="Q638" s="8"/>
      <c r="R638" s="8"/>
      <c r="S638" s="8"/>
      <c r="T638" s="8"/>
      <c r="U638" s="12"/>
      <c r="V638" s="12"/>
      <c r="W638" s="12"/>
      <c r="X638" s="12"/>
      <c r="Y638" s="12"/>
      <c r="Z638" s="12"/>
      <c r="AA638" s="12"/>
      <c r="AB638" s="12"/>
      <c r="AC638" s="12"/>
      <c r="AD638" s="12"/>
      <c r="AE638" s="12"/>
      <c r="AF638" s="12"/>
    </row>
    <row r="639" spans="1:32" ht="13.2">
      <c r="A639" s="8"/>
      <c r="B639" s="8"/>
      <c r="C639" s="8"/>
      <c r="D639" s="8"/>
      <c r="E639" s="8"/>
      <c r="F639" s="8"/>
      <c r="G639" s="8"/>
      <c r="H639" s="8"/>
      <c r="I639" s="8"/>
      <c r="J639" s="8"/>
      <c r="K639" s="8"/>
      <c r="L639" s="8"/>
      <c r="M639" s="8"/>
      <c r="N639" s="8"/>
      <c r="O639" s="8"/>
      <c r="P639" s="8"/>
      <c r="Q639" s="8"/>
      <c r="R639" s="8"/>
      <c r="S639" s="8"/>
      <c r="T639" s="8"/>
      <c r="U639" s="12"/>
      <c r="V639" s="12"/>
      <c r="W639" s="12"/>
      <c r="X639" s="12"/>
      <c r="Y639" s="12"/>
      <c r="Z639" s="12"/>
      <c r="AA639" s="12"/>
      <c r="AB639" s="12"/>
      <c r="AC639" s="12"/>
      <c r="AD639" s="12"/>
      <c r="AE639" s="12"/>
      <c r="AF639" s="12"/>
    </row>
    <row r="640" spans="1:32" ht="13.2">
      <c r="A640" s="8"/>
      <c r="B640" s="8"/>
      <c r="C640" s="8"/>
      <c r="D640" s="8"/>
      <c r="E640" s="8"/>
      <c r="F640" s="8"/>
      <c r="G640" s="8"/>
      <c r="H640" s="8"/>
      <c r="I640" s="8"/>
      <c r="J640" s="8"/>
      <c r="K640" s="8"/>
      <c r="L640" s="8"/>
      <c r="M640" s="8"/>
      <c r="N640" s="8"/>
      <c r="O640" s="8"/>
      <c r="P640" s="8"/>
      <c r="Q640" s="8"/>
      <c r="R640" s="8"/>
      <c r="S640" s="8"/>
      <c r="T640" s="8"/>
      <c r="U640" s="12"/>
      <c r="V640" s="12"/>
      <c r="W640" s="12"/>
      <c r="X640" s="12"/>
      <c r="Y640" s="12"/>
      <c r="Z640" s="12"/>
      <c r="AA640" s="12"/>
      <c r="AB640" s="12"/>
      <c r="AC640" s="12"/>
      <c r="AD640" s="12"/>
      <c r="AE640" s="12"/>
      <c r="AF640" s="12"/>
    </row>
    <row r="641" spans="1:32" ht="13.2">
      <c r="A641" s="8"/>
      <c r="B641" s="8"/>
      <c r="C641" s="8"/>
      <c r="D641" s="8"/>
      <c r="E641" s="8"/>
      <c r="F641" s="8"/>
      <c r="G641" s="8"/>
      <c r="H641" s="8"/>
      <c r="I641" s="8"/>
      <c r="J641" s="8"/>
      <c r="K641" s="8"/>
      <c r="L641" s="8"/>
      <c r="M641" s="8"/>
      <c r="N641" s="8"/>
      <c r="O641" s="8"/>
      <c r="P641" s="8"/>
      <c r="Q641" s="8"/>
      <c r="R641" s="8"/>
      <c r="S641" s="8"/>
      <c r="T641" s="8"/>
      <c r="U641" s="12"/>
      <c r="V641" s="12"/>
      <c r="W641" s="12"/>
      <c r="X641" s="12"/>
      <c r="Y641" s="12"/>
      <c r="Z641" s="12"/>
      <c r="AA641" s="12"/>
      <c r="AB641" s="12"/>
      <c r="AC641" s="12"/>
      <c r="AD641" s="12"/>
      <c r="AE641" s="12"/>
      <c r="AF641" s="12"/>
    </row>
    <row r="642" spans="1:32" ht="13.2">
      <c r="A642" s="8"/>
      <c r="B642" s="8"/>
      <c r="C642" s="8"/>
      <c r="D642" s="8"/>
      <c r="E642" s="8"/>
      <c r="F642" s="8"/>
      <c r="G642" s="8"/>
      <c r="H642" s="8"/>
      <c r="I642" s="8"/>
      <c r="J642" s="8"/>
      <c r="K642" s="8"/>
      <c r="L642" s="8"/>
      <c r="M642" s="8"/>
      <c r="N642" s="8"/>
      <c r="O642" s="8"/>
      <c r="P642" s="8"/>
      <c r="Q642" s="8"/>
      <c r="R642" s="8"/>
      <c r="S642" s="8"/>
      <c r="T642" s="8"/>
      <c r="U642" s="12"/>
      <c r="V642" s="12"/>
      <c r="W642" s="12"/>
      <c r="X642" s="12"/>
      <c r="Y642" s="12"/>
      <c r="Z642" s="12"/>
      <c r="AA642" s="12"/>
      <c r="AB642" s="12"/>
      <c r="AC642" s="12"/>
      <c r="AD642" s="12"/>
      <c r="AE642" s="12"/>
      <c r="AF642" s="12"/>
    </row>
    <row r="643" spans="1:32" ht="13.2">
      <c r="A643" s="8"/>
      <c r="B643" s="8"/>
      <c r="C643" s="8"/>
      <c r="D643" s="8"/>
      <c r="E643" s="8"/>
      <c r="F643" s="8"/>
      <c r="G643" s="8"/>
      <c r="H643" s="8"/>
      <c r="I643" s="8"/>
      <c r="J643" s="8"/>
      <c r="K643" s="8"/>
      <c r="L643" s="8"/>
      <c r="M643" s="8"/>
      <c r="N643" s="8"/>
      <c r="O643" s="8"/>
      <c r="P643" s="8"/>
      <c r="Q643" s="8"/>
      <c r="R643" s="8"/>
      <c r="S643" s="8"/>
      <c r="T643" s="8"/>
      <c r="U643" s="12"/>
      <c r="V643" s="12"/>
      <c r="W643" s="12"/>
      <c r="X643" s="12"/>
      <c r="Y643" s="12"/>
      <c r="Z643" s="12"/>
      <c r="AA643" s="12"/>
      <c r="AB643" s="12"/>
      <c r="AC643" s="12"/>
      <c r="AD643" s="12"/>
      <c r="AE643" s="12"/>
      <c r="AF643" s="12"/>
    </row>
    <row r="644" spans="1:32" ht="13.2">
      <c r="A644" s="8"/>
      <c r="B644" s="8"/>
      <c r="C644" s="8"/>
      <c r="D644" s="8"/>
      <c r="E644" s="8"/>
      <c r="F644" s="8"/>
      <c r="G644" s="8"/>
      <c r="H644" s="8"/>
      <c r="I644" s="8"/>
      <c r="J644" s="8"/>
      <c r="K644" s="8"/>
      <c r="L644" s="8"/>
      <c r="M644" s="8"/>
      <c r="N644" s="8"/>
      <c r="O644" s="8"/>
      <c r="P644" s="8"/>
      <c r="Q644" s="8"/>
      <c r="R644" s="8"/>
      <c r="S644" s="8"/>
      <c r="T644" s="8"/>
      <c r="U644" s="12"/>
      <c r="V644" s="12"/>
      <c r="W644" s="12"/>
      <c r="X644" s="12"/>
      <c r="Y644" s="12"/>
      <c r="Z644" s="12"/>
      <c r="AA644" s="12"/>
      <c r="AB644" s="12"/>
      <c r="AC644" s="12"/>
      <c r="AD644" s="12"/>
      <c r="AE644" s="12"/>
      <c r="AF644" s="12"/>
    </row>
    <row r="645" spans="1:32" ht="13.2">
      <c r="A645" s="8"/>
      <c r="B645" s="8"/>
      <c r="C645" s="8"/>
      <c r="D645" s="8"/>
      <c r="E645" s="8"/>
      <c r="F645" s="8"/>
      <c r="G645" s="8"/>
      <c r="H645" s="8"/>
      <c r="I645" s="8"/>
      <c r="J645" s="8"/>
      <c r="K645" s="8"/>
      <c r="L645" s="8"/>
      <c r="M645" s="8"/>
      <c r="N645" s="8"/>
      <c r="O645" s="8"/>
      <c r="P645" s="8"/>
      <c r="Q645" s="8"/>
      <c r="R645" s="8"/>
      <c r="S645" s="8"/>
      <c r="T645" s="8"/>
      <c r="U645" s="12"/>
      <c r="V645" s="12"/>
      <c r="W645" s="12"/>
      <c r="X645" s="12"/>
      <c r="Y645" s="12"/>
      <c r="Z645" s="12"/>
      <c r="AA645" s="12"/>
      <c r="AB645" s="12"/>
      <c r="AC645" s="12"/>
      <c r="AD645" s="12"/>
      <c r="AE645" s="12"/>
      <c r="AF645" s="12"/>
    </row>
    <row r="646" spans="1:32" ht="13.2">
      <c r="A646" s="8"/>
      <c r="B646" s="8"/>
      <c r="C646" s="8"/>
      <c r="D646" s="8"/>
      <c r="E646" s="8"/>
      <c r="F646" s="8"/>
      <c r="G646" s="8"/>
      <c r="H646" s="8"/>
      <c r="I646" s="8"/>
      <c r="J646" s="8"/>
      <c r="K646" s="8"/>
      <c r="L646" s="8"/>
      <c r="M646" s="8"/>
      <c r="N646" s="8"/>
      <c r="O646" s="8"/>
      <c r="P646" s="8"/>
      <c r="Q646" s="8"/>
      <c r="R646" s="8"/>
      <c r="S646" s="8"/>
      <c r="T646" s="8"/>
      <c r="U646" s="12"/>
      <c r="V646" s="12"/>
      <c r="W646" s="12"/>
      <c r="X646" s="12"/>
      <c r="Y646" s="12"/>
      <c r="Z646" s="12"/>
      <c r="AA646" s="12"/>
      <c r="AB646" s="12"/>
      <c r="AC646" s="12"/>
      <c r="AD646" s="12"/>
      <c r="AE646" s="12"/>
      <c r="AF646" s="12"/>
    </row>
    <row r="647" spans="1:32" ht="13.2">
      <c r="A647" s="8"/>
      <c r="B647" s="8"/>
      <c r="C647" s="8"/>
      <c r="D647" s="8"/>
      <c r="E647" s="8"/>
      <c r="F647" s="8"/>
      <c r="G647" s="8"/>
      <c r="H647" s="8"/>
      <c r="I647" s="8"/>
      <c r="J647" s="8"/>
      <c r="K647" s="8"/>
      <c r="L647" s="8"/>
      <c r="M647" s="8"/>
      <c r="N647" s="8"/>
      <c r="O647" s="8"/>
      <c r="P647" s="8"/>
      <c r="Q647" s="8"/>
      <c r="R647" s="8"/>
      <c r="S647" s="8"/>
      <c r="T647" s="8"/>
      <c r="U647" s="12"/>
      <c r="V647" s="12"/>
      <c r="W647" s="12"/>
      <c r="X647" s="12"/>
      <c r="Y647" s="12"/>
      <c r="Z647" s="12"/>
      <c r="AA647" s="12"/>
      <c r="AB647" s="12"/>
      <c r="AC647" s="12"/>
      <c r="AD647" s="12"/>
      <c r="AE647" s="12"/>
      <c r="AF647" s="12"/>
    </row>
    <row r="648" spans="1:32" ht="13.2">
      <c r="A648" s="8"/>
      <c r="B648" s="8"/>
      <c r="C648" s="8"/>
      <c r="D648" s="8"/>
      <c r="E648" s="8"/>
      <c r="F648" s="8"/>
      <c r="G648" s="8"/>
      <c r="H648" s="8"/>
      <c r="I648" s="8"/>
      <c r="J648" s="8"/>
      <c r="K648" s="8"/>
      <c r="L648" s="8"/>
      <c r="M648" s="8"/>
      <c r="N648" s="8"/>
      <c r="O648" s="8"/>
      <c r="P648" s="8"/>
      <c r="Q648" s="8"/>
      <c r="R648" s="8"/>
      <c r="S648" s="8"/>
      <c r="T648" s="8"/>
      <c r="U648" s="12"/>
      <c r="V648" s="12"/>
      <c r="W648" s="12"/>
      <c r="X648" s="12"/>
      <c r="Y648" s="12"/>
      <c r="Z648" s="12"/>
      <c r="AA648" s="12"/>
      <c r="AB648" s="12"/>
      <c r="AC648" s="12"/>
      <c r="AD648" s="12"/>
      <c r="AE648" s="12"/>
      <c r="AF648" s="12"/>
    </row>
    <row r="649" spans="1:32" ht="13.2">
      <c r="A649" s="8"/>
      <c r="B649" s="8"/>
      <c r="C649" s="8"/>
      <c r="D649" s="8"/>
      <c r="E649" s="8"/>
      <c r="F649" s="8"/>
      <c r="G649" s="8"/>
      <c r="H649" s="8"/>
      <c r="I649" s="8"/>
      <c r="J649" s="8"/>
      <c r="K649" s="8"/>
      <c r="L649" s="8"/>
      <c r="M649" s="8"/>
      <c r="N649" s="8"/>
      <c r="O649" s="8"/>
      <c r="P649" s="8"/>
      <c r="Q649" s="8"/>
      <c r="R649" s="8"/>
      <c r="S649" s="8"/>
      <c r="T649" s="8"/>
      <c r="U649" s="12"/>
      <c r="V649" s="12"/>
      <c r="W649" s="12"/>
      <c r="X649" s="12"/>
      <c r="Y649" s="12"/>
      <c r="Z649" s="12"/>
      <c r="AA649" s="12"/>
      <c r="AB649" s="12"/>
      <c r="AC649" s="12"/>
      <c r="AD649" s="12"/>
      <c r="AE649" s="12"/>
      <c r="AF649" s="12"/>
    </row>
    <row r="650" spans="1:32" ht="13.2">
      <c r="A650" s="8"/>
      <c r="B650" s="8"/>
      <c r="C650" s="8"/>
      <c r="D650" s="8"/>
      <c r="E650" s="8"/>
      <c r="F650" s="8"/>
      <c r="G650" s="8"/>
      <c r="H650" s="8"/>
      <c r="I650" s="8"/>
      <c r="J650" s="8"/>
      <c r="K650" s="8"/>
      <c r="L650" s="8"/>
      <c r="M650" s="8"/>
      <c r="N650" s="8"/>
      <c r="O650" s="8"/>
      <c r="P650" s="8"/>
      <c r="Q650" s="8"/>
      <c r="R650" s="8"/>
      <c r="S650" s="8"/>
      <c r="T650" s="8"/>
      <c r="U650" s="12"/>
      <c r="V650" s="12"/>
      <c r="W650" s="12"/>
      <c r="X650" s="12"/>
      <c r="Y650" s="12"/>
      <c r="Z650" s="12"/>
      <c r="AA650" s="12"/>
      <c r="AB650" s="12"/>
      <c r="AC650" s="12"/>
      <c r="AD650" s="12"/>
      <c r="AE650" s="12"/>
      <c r="AF650" s="12"/>
    </row>
    <row r="651" spans="1:32" ht="13.2">
      <c r="A651" s="8"/>
      <c r="B651" s="8"/>
      <c r="C651" s="8"/>
      <c r="D651" s="8"/>
      <c r="E651" s="8"/>
      <c r="F651" s="8"/>
      <c r="G651" s="8"/>
      <c r="H651" s="8"/>
      <c r="I651" s="8"/>
      <c r="J651" s="8"/>
      <c r="K651" s="8"/>
      <c r="L651" s="8"/>
      <c r="M651" s="8"/>
      <c r="N651" s="8"/>
      <c r="O651" s="8"/>
      <c r="P651" s="8"/>
      <c r="Q651" s="8"/>
      <c r="R651" s="8"/>
      <c r="S651" s="8"/>
      <c r="T651" s="8"/>
      <c r="U651" s="12"/>
      <c r="V651" s="12"/>
      <c r="W651" s="12"/>
      <c r="X651" s="12"/>
      <c r="Y651" s="12"/>
      <c r="Z651" s="12"/>
      <c r="AA651" s="12"/>
      <c r="AB651" s="12"/>
      <c r="AC651" s="12"/>
      <c r="AD651" s="12"/>
      <c r="AE651" s="12"/>
      <c r="AF651" s="12"/>
    </row>
    <row r="652" spans="1:32" ht="13.2">
      <c r="A652" s="8"/>
      <c r="B652" s="8"/>
      <c r="C652" s="8"/>
      <c r="D652" s="8"/>
      <c r="E652" s="8"/>
      <c r="F652" s="8"/>
      <c r="G652" s="8"/>
      <c r="H652" s="8"/>
      <c r="I652" s="8"/>
      <c r="J652" s="8"/>
      <c r="K652" s="8"/>
      <c r="L652" s="8"/>
      <c r="M652" s="8"/>
      <c r="N652" s="8"/>
      <c r="O652" s="8"/>
      <c r="P652" s="8"/>
      <c r="Q652" s="8"/>
      <c r="R652" s="8"/>
      <c r="S652" s="8"/>
      <c r="T652" s="8"/>
      <c r="U652" s="12"/>
      <c r="V652" s="12"/>
      <c r="W652" s="12"/>
      <c r="X652" s="12"/>
      <c r="Y652" s="12"/>
      <c r="Z652" s="12"/>
      <c r="AA652" s="12"/>
      <c r="AB652" s="12"/>
      <c r="AC652" s="12"/>
      <c r="AD652" s="12"/>
      <c r="AE652" s="12"/>
      <c r="AF652" s="12"/>
    </row>
    <row r="653" spans="1:32" ht="13.2">
      <c r="A653" s="8"/>
      <c r="B653" s="8"/>
      <c r="C653" s="8"/>
      <c r="D653" s="8"/>
      <c r="E653" s="8"/>
      <c r="F653" s="8"/>
      <c r="G653" s="8"/>
      <c r="H653" s="8"/>
      <c r="I653" s="8"/>
      <c r="J653" s="8"/>
      <c r="K653" s="8"/>
      <c r="L653" s="8"/>
      <c r="M653" s="8"/>
      <c r="N653" s="8"/>
      <c r="O653" s="8"/>
      <c r="P653" s="8"/>
      <c r="Q653" s="8"/>
      <c r="R653" s="8"/>
      <c r="S653" s="8"/>
      <c r="T653" s="8"/>
      <c r="U653" s="12"/>
      <c r="V653" s="12"/>
      <c r="W653" s="12"/>
      <c r="X653" s="12"/>
      <c r="Y653" s="12"/>
      <c r="Z653" s="12"/>
      <c r="AA653" s="12"/>
      <c r="AB653" s="12"/>
      <c r="AC653" s="12"/>
      <c r="AD653" s="12"/>
      <c r="AE653" s="12"/>
      <c r="AF653" s="12"/>
    </row>
    <row r="654" spans="1:32" ht="13.2">
      <c r="A654" s="8"/>
      <c r="B654" s="8"/>
      <c r="C654" s="8"/>
      <c r="D654" s="8"/>
      <c r="E654" s="8"/>
      <c r="F654" s="8"/>
      <c r="G654" s="8"/>
      <c r="H654" s="8"/>
      <c r="I654" s="8"/>
      <c r="J654" s="8"/>
      <c r="K654" s="8"/>
      <c r="L654" s="8"/>
      <c r="M654" s="8"/>
      <c r="N654" s="8"/>
      <c r="O654" s="8"/>
      <c r="P654" s="8"/>
      <c r="Q654" s="8"/>
      <c r="R654" s="8"/>
      <c r="S654" s="8"/>
      <c r="T654" s="8"/>
      <c r="U654" s="12"/>
      <c r="V654" s="12"/>
      <c r="W654" s="12"/>
      <c r="X654" s="12"/>
      <c r="Y654" s="12"/>
      <c r="Z654" s="12"/>
      <c r="AA654" s="12"/>
      <c r="AB654" s="12"/>
      <c r="AC654" s="12"/>
      <c r="AD654" s="12"/>
      <c r="AE654" s="12"/>
      <c r="AF654" s="12"/>
    </row>
    <row r="655" spans="1:32" ht="13.2">
      <c r="A655" s="8"/>
      <c r="B655" s="8"/>
      <c r="C655" s="8"/>
      <c r="D655" s="8"/>
      <c r="E655" s="8"/>
      <c r="F655" s="8"/>
      <c r="G655" s="8"/>
      <c r="H655" s="8"/>
      <c r="I655" s="8"/>
      <c r="J655" s="8"/>
      <c r="K655" s="8"/>
      <c r="L655" s="8"/>
      <c r="M655" s="8"/>
      <c r="N655" s="8"/>
      <c r="O655" s="8"/>
      <c r="P655" s="8"/>
      <c r="Q655" s="8"/>
      <c r="R655" s="8"/>
      <c r="S655" s="8"/>
      <c r="T655" s="8"/>
      <c r="U655" s="12"/>
      <c r="V655" s="12"/>
      <c r="W655" s="12"/>
      <c r="X655" s="12"/>
      <c r="Y655" s="12"/>
      <c r="Z655" s="12"/>
      <c r="AA655" s="12"/>
      <c r="AB655" s="12"/>
      <c r="AC655" s="12"/>
      <c r="AD655" s="12"/>
      <c r="AE655" s="12"/>
      <c r="AF655" s="12"/>
    </row>
    <row r="656" spans="1:32" ht="13.2">
      <c r="A656" s="8"/>
      <c r="B656" s="8"/>
      <c r="C656" s="8"/>
      <c r="D656" s="8"/>
      <c r="E656" s="8"/>
      <c r="F656" s="8"/>
      <c r="G656" s="8"/>
      <c r="H656" s="8"/>
      <c r="I656" s="8"/>
      <c r="J656" s="8"/>
      <c r="K656" s="8"/>
      <c r="L656" s="8"/>
      <c r="M656" s="8"/>
      <c r="N656" s="8"/>
      <c r="O656" s="8"/>
      <c r="P656" s="8"/>
      <c r="Q656" s="8"/>
      <c r="R656" s="8"/>
      <c r="S656" s="8"/>
      <c r="T656" s="8"/>
      <c r="U656" s="12"/>
      <c r="V656" s="12"/>
      <c r="W656" s="12"/>
      <c r="X656" s="12"/>
      <c r="Y656" s="12"/>
      <c r="Z656" s="12"/>
      <c r="AA656" s="12"/>
      <c r="AB656" s="12"/>
      <c r="AC656" s="12"/>
      <c r="AD656" s="12"/>
      <c r="AE656" s="12"/>
      <c r="AF656" s="12"/>
    </row>
    <row r="657" spans="1:32" ht="13.2">
      <c r="A657" s="8"/>
      <c r="B657" s="8"/>
      <c r="C657" s="8"/>
      <c r="D657" s="8"/>
      <c r="E657" s="8"/>
      <c r="F657" s="8"/>
      <c r="G657" s="8"/>
      <c r="H657" s="8"/>
      <c r="I657" s="8"/>
      <c r="J657" s="8"/>
      <c r="K657" s="8"/>
      <c r="L657" s="8"/>
      <c r="M657" s="8"/>
      <c r="N657" s="8"/>
      <c r="O657" s="8"/>
      <c r="P657" s="8"/>
      <c r="Q657" s="8"/>
      <c r="R657" s="8"/>
      <c r="S657" s="8"/>
      <c r="T657" s="8"/>
      <c r="U657" s="12"/>
      <c r="V657" s="12"/>
      <c r="W657" s="12"/>
      <c r="X657" s="12"/>
      <c r="Y657" s="12"/>
      <c r="Z657" s="12"/>
      <c r="AA657" s="12"/>
      <c r="AB657" s="12"/>
      <c r="AC657" s="12"/>
      <c r="AD657" s="12"/>
      <c r="AE657" s="12"/>
      <c r="AF657" s="12"/>
    </row>
    <row r="658" spans="1:32" ht="13.2">
      <c r="A658" s="8"/>
      <c r="B658" s="8"/>
      <c r="C658" s="8"/>
      <c r="D658" s="8"/>
      <c r="E658" s="8"/>
      <c r="F658" s="8"/>
      <c r="G658" s="8"/>
      <c r="H658" s="8"/>
      <c r="I658" s="8"/>
      <c r="J658" s="8"/>
      <c r="K658" s="8"/>
      <c r="L658" s="8"/>
      <c r="M658" s="8"/>
      <c r="N658" s="8"/>
      <c r="O658" s="8"/>
      <c r="P658" s="8"/>
      <c r="Q658" s="8"/>
      <c r="R658" s="8"/>
      <c r="S658" s="8"/>
      <c r="T658" s="8"/>
      <c r="U658" s="12"/>
      <c r="V658" s="12"/>
      <c r="W658" s="12"/>
      <c r="X658" s="12"/>
      <c r="Y658" s="12"/>
      <c r="Z658" s="12"/>
      <c r="AA658" s="12"/>
      <c r="AB658" s="12"/>
      <c r="AC658" s="12"/>
      <c r="AD658" s="12"/>
      <c r="AE658" s="12"/>
      <c r="AF658" s="12"/>
    </row>
    <row r="659" spans="1:32" ht="13.2">
      <c r="A659" s="8"/>
      <c r="B659" s="8"/>
      <c r="C659" s="8"/>
      <c r="D659" s="8"/>
      <c r="E659" s="8"/>
      <c r="F659" s="8"/>
      <c r="G659" s="8"/>
      <c r="H659" s="8"/>
      <c r="I659" s="8"/>
      <c r="J659" s="8"/>
      <c r="K659" s="8"/>
      <c r="L659" s="8"/>
      <c r="M659" s="8"/>
      <c r="N659" s="8"/>
      <c r="O659" s="8"/>
      <c r="P659" s="8"/>
      <c r="Q659" s="8"/>
      <c r="R659" s="8"/>
      <c r="S659" s="8"/>
      <c r="T659" s="8"/>
      <c r="U659" s="12"/>
      <c r="V659" s="12"/>
      <c r="W659" s="12"/>
      <c r="X659" s="12"/>
      <c r="Y659" s="12"/>
      <c r="Z659" s="12"/>
      <c r="AA659" s="12"/>
      <c r="AB659" s="12"/>
      <c r="AC659" s="12"/>
      <c r="AD659" s="12"/>
      <c r="AE659" s="12"/>
      <c r="AF659" s="12"/>
    </row>
    <row r="660" spans="1:32" ht="13.2">
      <c r="A660" s="8"/>
      <c r="B660" s="8"/>
      <c r="C660" s="8"/>
      <c r="D660" s="8"/>
      <c r="E660" s="8"/>
      <c r="F660" s="8"/>
      <c r="G660" s="8"/>
      <c r="H660" s="8"/>
      <c r="I660" s="8"/>
      <c r="J660" s="8"/>
      <c r="K660" s="8"/>
      <c r="L660" s="8"/>
      <c r="M660" s="8"/>
      <c r="N660" s="8"/>
      <c r="O660" s="8"/>
      <c r="P660" s="8"/>
      <c r="Q660" s="8"/>
      <c r="R660" s="8"/>
      <c r="S660" s="8"/>
      <c r="T660" s="8"/>
      <c r="U660" s="12"/>
      <c r="V660" s="12"/>
      <c r="W660" s="12"/>
      <c r="X660" s="12"/>
      <c r="Y660" s="12"/>
      <c r="Z660" s="12"/>
      <c r="AA660" s="12"/>
      <c r="AB660" s="12"/>
      <c r="AC660" s="12"/>
      <c r="AD660" s="12"/>
      <c r="AE660" s="12"/>
      <c r="AF660" s="12"/>
    </row>
    <row r="661" spans="1:32" ht="13.2">
      <c r="A661" s="8"/>
      <c r="B661" s="8"/>
      <c r="C661" s="8"/>
      <c r="D661" s="8"/>
      <c r="E661" s="8"/>
      <c r="F661" s="8"/>
      <c r="G661" s="8"/>
      <c r="H661" s="8"/>
      <c r="I661" s="8"/>
      <c r="J661" s="8"/>
      <c r="K661" s="8"/>
      <c r="L661" s="8"/>
      <c r="M661" s="8"/>
      <c r="N661" s="8"/>
      <c r="O661" s="8"/>
      <c r="P661" s="8"/>
      <c r="Q661" s="8"/>
      <c r="R661" s="8"/>
      <c r="S661" s="8"/>
      <c r="T661" s="8"/>
      <c r="U661" s="12"/>
      <c r="V661" s="12"/>
      <c r="W661" s="12"/>
      <c r="X661" s="12"/>
      <c r="Y661" s="12"/>
      <c r="Z661" s="12"/>
      <c r="AA661" s="12"/>
      <c r="AB661" s="12"/>
      <c r="AC661" s="12"/>
      <c r="AD661" s="12"/>
      <c r="AE661" s="12"/>
      <c r="AF661" s="12"/>
    </row>
    <row r="662" spans="1:32" ht="13.2">
      <c r="A662" s="8"/>
      <c r="B662" s="8"/>
      <c r="C662" s="8"/>
      <c r="D662" s="8"/>
      <c r="E662" s="8"/>
      <c r="F662" s="8"/>
      <c r="G662" s="8"/>
      <c r="H662" s="8"/>
      <c r="I662" s="8"/>
      <c r="J662" s="8"/>
      <c r="K662" s="8"/>
      <c r="L662" s="8"/>
      <c r="M662" s="8"/>
      <c r="N662" s="8"/>
      <c r="O662" s="8"/>
      <c r="P662" s="8"/>
      <c r="Q662" s="8"/>
      <c r="R662" s="8"/>
      <c r="S662" s="8"/>
      <c r="T662" s="8"/>
      <c r="U662" s="12"/>
      <c r="V662" s="12"/>
      <c r="W662" s="12"/>
      <c r="X662" s="12"/>
      <c r="Y662" s="12"/>
      <c r="Z662" s="12"/>
      <c r="AA662" s="12"/>
      <c r="AB662" s="12"/>
      <c r="AC662" s="12"/>
      <c r="AD662" s="12"/>
      <c r="AE662" s="12"/>
      <c r="AF662" s="12"/>
    </row>
    <row r="663" spans="1:32" ht="13.2">
      <c r="A663" s="8"/>
      <c r="B663" s="8"/>
      <c r="C663" s="8"/>
      <c r="D663" s="8"/>
      <c r="E663" s="8"/>
      <c r="F663" s="8"/>
      <c r="G663" s="8"/>
      <c r="H663" s="8"/>
      <c r="I663" s="8"/>
      <c r="J663" s="8"/>
      <c r="K663" s="8"/>
      <c r="L663" s="8"/>
      <c r="M663" s="8"/>
      <c r="N663" s="8"/>
      <c r="O663" s="8"/>
      <c r="P663" s="8"/>
      <c r="Q663" s="8"/>
      <c r="R663" s="8"/>
      <c r="S663" s="8"/>
      <c r="T663" s="8"/>
      <c r="U663" s="12"/>
      <c r="V663" s="12"/>
      <c r="W663" s="12"/>
      <c r="X663" s="12"/>
      <c r="Y663" s="12"/>
      <c r="Z663" s="12"/>
      <c r="AA663" s="12"/>
      <c r="AB663" s="12"/>
      <c r="AC663" s="12"/>
      <c r="AD663" s="12"/>
      <c r="AE663" s="12"/>
      <c r="AF663" s="12"/>
    </row>
    <row r="664" spans="1:32" ht="13.2">
      <c r="A664" s="8"/>
      <c r="B664" s="8"/>
      <c r="C664" s="8"/>
      <c r="D664" s="8"/>
      <c r="E664" s="8"/>
      <c r="F664" s="8"/>
      <c r="G664" s="8"/>
      <c r="H664" s="8"/>
      <c r="I664" s="8"/>
      <c r="J664" s="8"/>
      <c r="K664" s="8"/>
      <c r="L664" s="8"/>
      <c r="M664" s="8"/>
      <c r="N664" s="8"/>
      <c r="O664" s="8"/>
      <c r="P664" s="8"/>
      <c r="Q664" s="8"/>
      <c r="R664" s="8"/>
      <c r="S664" s="8"/>
      <c r="T664" s="8"/>
      <c r="U664" s="12"/>
      <c r="V664" s="12"/>
      <c r="W664" s="12"/>
      <c r="X664" s="12"/>
      <c r="Y664" s="12"/>
      <c r="Z664" s="12"/>
      <c r="AA664" s="12"/>
      <c r="AB664" s="12"/>
      <c r="AC664" s="12"/>
      <c r="AD664" s="12"/>
      <c r="AE664" s="12"/>
      <c r="AF664" s="12"/>
    </row>
    <row r="665" spans="1:32" ht="13.2">
      <c r="A665" s="8"/>
      <c r="B665" s="8"/>
      <c r="C665" s="8"/>
      <c r="D665" s="8"/>
      <c r="E665" s="8"/>
      <c r="F665" s="8"/>
      <c r="G665" s="8"/>
      <c r="H665" s="8"/>
      <c r="I665" s="8"/>
      <c r="J665" s="8"/>
      <c r="K665" s="8"/>
      <c r="L665" s="8"/>
      <c r="M665" s="8"/>
      <c r="N665" s="8"/>
      <c r="O665" s="8"/>
      <c r="P665" s="8"/>
      <c r="Q665" s="8"/>
      <c r="R665" s="8"/>
      <c r="S665" s="8"/>
      <c r="T665" s="8"/>
      <c r="U665" s="12"/>
      <c r="V665" s="12"/>
      <c r="W665" s="12"/>
      <c r="X665" s="12"/>
      <c r="Y665" s="12"/>
      <c r="Z665" s="12"/>
      <c r="AA665" s="12"/>
      <c r="AB665" s="12"/>
      <c r="AC665" s="12"/>
      <c r="AD665" s="12"/>
      <c r="AE665" s="12"/>
      <c r="AF665" s="12"/>
    </row>
    <row r="666" spans="1:32" ht="13.2">
      <c r="A666" s="8"/>
      <c r="B666" s="8"/>
      <c r="C666" s="8"/>
      <c r="D666" s="8"/>
      <c r="E666" s="8"/>
      <c r="F666" s="8"/>
      <c r="G666" s="8"/>
      <c r="H666" s="8"/>
      <c r="I666" s="8"/>
      <c r="J666" s="8"/>
      <c r="K666" s="8"/>
      <c r="L666" s="8"/>
      <c r="M666" s="8"/>
      <c r="N666" s="8"/>
      <c r="O666" s="8"/>
      <c r="P666" s="8"/>
      <c r="Q666" s="8"/>
      <c r="R666" s="8"/>
      <c r="S666" s="8"/>
      <c r="T666" s="8"/>
      <c r="U666" s="12"/>
      <c r="V666" s="12"/>
      <c r="W666" s="12"/>
      <c r="X666" s="12"/>
      <c r="Y666" s="12"/>
      <c r="Z666" s="12"/>
      <c r="AA666" s="12"/>
      <c r="AB666" s="12"/>
      <c r="AC666" s="12"/>
      <c r="AD666" s="12"/>
      <c r="AE666" s="12"/>
      <c r="AF666" s="12"/>
    </row>
    <row r="667" spans="1:32" ht="13.2">
      <c r="A667" s="8"/>
      <c r="B667" s="8"/>
      <c r="C667" s="8"/>
      <c r="D667" s="8"/>
      <c r="E667" s="8"/>
      <c r="F667" s="8"/>
      <c r="G667" s="8"/>
      <c r="H667" s="8"/>
      <c r="I667" s="8"/>
      <c r="J667" s="8"/>
      <c r="K667" s="8"/>
      <c r="L667" s="8"/>
      <c r="M667" s="8"/>
      <c r="N667" s="8"/>
      <c r="O667" s="8"/>
      <c r="P667" s="8"/>
      <c r="Q667" s="8"/>
      <c r="R667" s="8"/>
      <c r="S667" s="8"/>
      <c r="T667" s="8"/>
      <c r="U667" s="12"/>
      <c r="V667" s="12"/>
      <c r="W667" s="12"/>
      <c r="X667" s="12"/>
      <c r="Y667" s="12"/>
      <c r="Z667" s="12"/>
      <c r="AA667" s="12"/>
      <c r="AB667" s="12"/>
      <c r="AC667" s="12"/>
      <c r="AD667" s="12"/>
      <c r="AE667" s="12"/>
      <c r="AF667" s="12"/>
    </row>
    <row r="668" spans="1:32" ht="13.2">
      <c r="A668" s="8"/>
      <c r="B668" s="8"/>
      <c r="C668" s="8"/>
      <c r="D668" s="8"/>
      <c r="E668" s="8"/>
      <c r="F668" s="8"/>
      <c r="G668" s="8"/>
      <c r="H668" s="8"/>
      <c r="I668" s="8"/>
      <c r="J668" s="8"/>
      <c r="K668" s="8"/>
      <c r="L668" s="8"/>
      <c r="M668" s="8"/>
      <c r="N668" s="8"/>
      <c r="O668" s="8"/>
      <c r="P668" s="8"/>
      <c r="Q668" s="8"/>
      <c r="R668" s="8"/>
      <c r="S668" s="8"/>
      <c r="T668" s="8"/>
      <c r="U668" s="12"/>
      <c r="V668" s="12"/>
      <c r="W668" s="12"/>
      <c r="X668" s="12"/>
      <c r="Y668" s="12"/>
      <c r="Z668" s="12"/>
      <c r="AA668" s="12"/>
      <c r="AB668" s="12"/>
      <c r="AC668" s="12"/>
      <c r="AD668" s="12"/>
      <c r="AE668" s="12"/>
      <c r="AF668" s="12"/>
    </row>
    <row r="669" spans="1:32" ht="13.2">
      <c r="A669" s="8"/>
      <c r="B669" s="8"/>
      <c r="C669" s="8"/>
      <c r="D669" s="8"/>
      <c r="E669" s="8"/>
      <c r="F669" s="8"/>
      <c r="G669" s="8"/>
      <c r="H669" s="8"/>
      <c r="I669" s="8"/>
      <c r="J669" s="8"/>
      <c r="K669" s="8"/>
      <c r="L669" s="8"/>
      <c r="M669" s="8"/>
      <c r="N669" s="8"/>
      <c r="O669" s="8"/>
      <c r="P669" s="8"/>
      <c r="Q669" s="8"/>
      <c r="R669" s="8"/>
      <c r="S669" s="8"/>
      <c r="T669" s="8"/>
      <c r="U669" s="12"/>
      <c r="V669" s="12"/>
      <c r="W669" s="12"/>
      <c r="X669" s="12"/>
      <c r="Y669" s="12"/>
      <c r="Z669" s="12"/>
      <c r="AA669" s="12"/>
      <c r="AB669" s="12"/>
      <c r="AC669" s="12"/>
      <c r="AD669" s="12"/>
      <c r="AE669" s="12"/>
      <c r="AF669" s="12"/>
    </row>
    <row r="670" spans="1:32" ht="13.2">
      <c r="A670" s="8"/>
      <c r="B670" s="8"/>
      <c r="C670" s="8"/>
      <c r="D670" s="8"/>
      <c r="E670" s="8"/>
      <c r="F670" s="8"/>
      <c r="G670" s="8"/>
      <c r="H670" s="8"/>
      <c r="I670" s="8"/>
      <c r="J670" s="8"/>
      <c r="K670" s="8"/>
      <c r="L670" s="8"/>
      <c r="M670" s="8"/>
      <c r="N670" s="8"/>
      <c r="O670" s="8"/>
      <c r="P670" s="8"/>
      <c r="Q670" s="8"/>
      <c r="R670" s="8"/>
      <c r="S670" s="8"/>
      <c r="T670" s="8"/>
      <c r="U670" s="12"/>
      <c r="V670" s="12"/>
      <c r="W670" s="12"/>
      <c r="X670" s="12"/>
      <c r="Y670" s="12"/>
      <c r="Z670" s="12"/>
      <c r="AA670" s="12"/>
      <c r="AB670" s="12"/>
      <c r="AC670" s="12"/>
      <c r="AD670" s="12"/>
      <c r="AE670" s="12"/>
      <c r="AF670" s="12"/>
    </row>
    <row r="671" spans="1:32" ht="13.2">
      <c r="A671" s="8"/>
      <c r="B671" s="8"/>
      <c r="C671" s="8"/>
      <c r="D671" s="8"/>
      <c r="E671" s="8"/>
      <c r="F671" s="8"/>
      <c r="G671" s="8"/>
      <c r="H671" s="8"/>
      <c r="I671" s="8"/>
      <c r="J671" s="8"/>
      <c r="K671" s="8"/>
      <c r="L671" s="8"/>
      <c r="M671" s="8"/>
      <c r="N671" s="8"/>
      <c r="O671" s="8"/>
      <c r="P671" s="8"/>
      <c r="Q671" s="8"/>
      <c r="R671" s="8"/>
      <c r="S671" s="8"/>
      <c r="T671" s="8"/>
      <c r="U671" s="12"/>
      <c r="V671" s="12"/>
      <c r="W671" s="12"/>
      <c r="X671" s="12"/>
      <c r="Y671" s="12"/>
      <c r="Z671" s="12"/>
      <c r="AA671" s="12"/>
      <c r="AB671" s="12"/>
      <c r="AC671" s="12"/>
      <c r="AD671" s="12"/>
      <c r="AE671" s="12"/>
      <c r="AF671" s="12"/>
    </row>
    <row r="672" spans="1:32" ht="13.2">
      <c r="A672" s="8"/>
      <c r="B672" s="8"/>
      <c r="C672" s="8"/>
      <c r="D672" s="8"/>
      <c r="E672" s="8"/>
      <c r="F672" s="8"/>
      <c r="G672" s="8"/>
      <c r="H672" s="8"/>
      <c r="I672" s="8"/>
      <c r="J672" s="8"/>
      <c r="K672" s="8"/>
      <c r="L672" s="8"/>
      <c r="M672" s="8"/>
      <c r="N672" s="8"/>
      <c r="O672" s="8"/>
      <c r="P672" s="8"/>
      <c r="Q672" s="8"/>
      <c r="R672" s="8"/>
      <c r="S672" s="8"/>
      <c r="T672" s="8"/>
      <c r="U672" s="12"/>
      <c r="V672" s="12"/>
      <c r="W672" s="12"/>
      <c r="X672" s="12"/>
      <c r="Y672" s="12"/>
      <c r="Z672" s="12"/>
      <c r="AA672" s="12"/>
      <c r="AB672" s="12"/>
      <c r="AC672" s="12"/>
      <c r="AD672" s="12"/>
      <c r="AE672" s="12"/>
      <c r="AF672" s="12"/>
    </row>
    <row r="673" spans="1:32" ht="13.2">
      <c r="A673" s="8"/>
      <c r="B673" s="8"/>
      <c r="C673" s="8"/>
      <c r="D673" s="8"/>
      <c r="E673" s="8"/>
      <c r="F673" s="8"/>
      <c r="G673" s="8"/>
      <c r="H673" s="8"/>
      <c r="I673" s="8"/>
      <c r="J673" s="8"/>
      <c r="K673" s="8"/>
      <c r="L673" s="8"/>
      <c r="M673" s="8"/>
      <c r="N673" s="8"/>
      <c r="O673" s="8"/>
      <c r="P673" s="8"/>
      <c r="Q673" s="8"/>
      <c r="R673" s="8"/>
      <c r="S673" s="8"/>
      <c r="T673" s="8"/>
      <c r="U673" s="12"/>
      <c r="V673" s="12"/>
      <c r="W673" s="12"/>
      <c r="X673" s="12"/>
      <c r="Y673" s="12"/>
      <c r="Z673" s="12"/>
      <c r="AA673" s="12"/>
      <c r="AB673" s="12"/>
      <c r="AC673" s="12"/>
      <c r="AD673" s="12"/>
      <c r="AE673" s="12"/>
      <c r="AF673" s="12"/>
    </row>
    <row r="674" spans="1:32" ht="13.2">
      <c r="A674" s="8"/>
      <c r="B674" s="8"/>
      <c r="C674" s="8"/>
      <c r="D674" s="8"/>
      <c r="E674" s="8"/>
      <c r="F674" s="8"/>
      <c r="G674" s="8"/>
      <c r="H674" s="8"/>
      <c r="I674" s="8"/>
      <c r="J674" s="8"/>
      <c r="K674" s="8"/>
      <c r="L674" s="8"/>
      <c r="M674" s="8"/>
      <c r="N674" s="8"/>
      <c r="O674" s="8"/>
      <c r="P674" s="8"/>
      <c r="Q674" s="8"/>
      <c r="R674" s="8"/>
      <c r="S674" s="8"/>
      <c r="T674" s="8"/>
      <c r="U674" s="12"/>
      <c r="V674" s="12"/>
      <c r="W674" s="12"/>
      <c r="X674" s="12"/>
      <c r="Y674" s="12"/>
      <c r="Z674" s="12"/>
      <c r="AA674" s="12"/>
      <c r="AB674" s="12"/>
      <c r="AC674" s="12"/>
      <c r="AD674" s="12"/>
      <c r="AE674" s="12"/>
      <c r="AF674" s="12"/>
    </row>
    <row r="675" spans="1:32" ht="13.2">
      <c r="A675" s="8"/>
      <c r="B675" s="8"/>
      <c r="C675" s="8"/>
      <c r="D675" s="8"/>
      <c r="E675" s="8"/>
      <c r="F675" s="8"/>
      <c r="G675" s="8"/>
      <c r="H675" s="8"/>
      <c r="I675" s="8"/>
      <c r="J675" s="8"/>
      <c r="K675" s="8"/>
      <c r="L675" s="8"/>
      <c r="M675" s="8"/>
      <c r="N675" s="8"/>
      <c r="O675" s="8"/>
      <c r="P675" s="8"/>
      <c r="Q675" s="8"/>
      <c r="R675" s="8"/>
      <c r="S675" s="8"/>
      <c r="T675" s="8"/>
      <c r="U675" s="12"/>
      <c r="V675" s="12"/>
      <c r="W675" s="12"/>
      <c r="X675" s="12"/>
      <c r="Y675" s="12"/>
      <c r="Z675" s="12"/>
      <c r="AA675" s="12"/>
      <c r="AB675" s="12"/>
      <c r="AC675" s="12"/>
      <c r="AD675" s="12"/>
      <c r="AE675" s="12"/>
      <c r="AF675" s="12"/>
    </row>
    <row r="676" spans="1:32" ht="13.2">
      <c r="A676" s="8"/>
      <c r="B676" s="8"/>
      <c r="C676" s="8"/>
      <c r="D676" s="8"/>
      <c r="E676" s="8"/>
      <c r="F676" s="8"/>
      <c r="G676" s="8"/>
      <c r="H676" s="8"/>
      <c r="I676" s="8"/>
      <c r="J676" s="8"/>
      <c r="K676" s="8"/>
      <c r="L676" s="8"/>
      <c r="M676" s="8"/>
      <c r="N676" s="8"/>
      <c r="O676" s="8"/>
      <c r="P676" s="8"/>
      <c r="Q676" s="8"/>
      <c r="R676" s="8"/>
      <c r="S676" s="8"/>
      <c r="T676" s="8"/>
      <c r="U676" s="12"/>
      <c r="V676" s="12"/>
      <c r="W676" s="12"/>
      <c r="X676" s="12"/>
      <c r="Y676" s="12"/>
      <c r="Z676" s="12"/>
      <c r="AA676" s="12"/>
      <c r="AB676" s="12"/>
      <c r="AC676" s="12"/>
      <c r="AD676" s="12"/>
      <c r="AE676" s="12"/>
      <c r="AF676" s="12"/>
    </row>
    <row r="677" spans="1:32" ht="13.2">
      <c r="A677" s="8"/>
      <c r="B677" s="8"/>
      <c r="C677" s="8"/>
      <c r="D677" s="8"/>
      <c r="E677" s="8"/>
      <c r="F677" s="8"/>
      <c r="G677" s="8"/>
      <c r="H677" s="8"/>
      <c r="I677" s="8"/>
      <c r="J677" s="8"/>
      <c r="K677" s="8"/>
      <c r="L677" s="8"/>
      <c r="M677" s="8"/>
      <c r="N677" s="8"/>
      <c r="O677" s="8"/>
      <c r="P677" s="8"/>
      <c r="Q677" s="8"/>
      <c r="R677" s="8"/>
      <c r="S677" s="8"/>
      <c r="T677" s="8"/>
      <c r="U677" s="12"/>
      <c r="V677" s="12"/>
      <c r="W677" s="12"/>
      <c r="X677" s="12"/>
      <c r="Y677" s="12"/>
      <c r="Z677" s="12"/>
      <c r="AA677" s="12"/>
      <c r="AB677" s="12"/>
      <c r="AC677" s="12"/>
      <c r="AD677" s="12"/>
      <c r="AE677" s="12"/>
      <c r="AF677" s="12"/>
    </row>
    <row r="678" spans="1:32" ht="13.2">
      <c r="A678" s="8"/>
      <c r="B678" s="8"/>
      <c r="C678" s="8"/>
      <c r="D678" s="8"/>
      <c r="E678" s="8"/>
      <c r="F678" s="8"/>
      <c r="G678" s="8"/>
      <c r="H678" s="8"/>
      <c r="I678" s="8"/>
      <c r="J678" s="8"/>
      <c r="K678" s="8"/>
      <c r="L678" s="8"/>
      <c r="M678" s="8"/>
      <c r="N678" s="8"/>
      <c r="O678" s="8"/>
      <c r="P678" s="8"/>
      <c r="Q678" s="8"/>
      <c r="R678" s="8"/>
      <c r="S678" s="8"/>
      <c r="T678" s="8"/>
      <c r="U678" s="12"/>
      <c r="V678" s="12"/>
      <c r="W678" s="12"/>
      <c r="X678" s="12"/>
      <c r="Y678" s="12"/>
      <c r="Z678" s="12"/>
      <c r="AA678" s="12"/>
      <c r="AB678" s="12"/>
      <c r="AC678" s="12"/>
      <c r="AD678" s="12"/>
      <c r="AE678" s="12"/>
      <c r="AF678" s="12"/>
    </row>
    <row r="679" spans="1:32" ht="13.2">
      <c r="A679" s="8"/>
      <c r="B679" s="8"/>
      <c r="C679" s="8"/>
      <c r="D679" s="8"/>
      <c r="E679" s="8"/>
      <c r="F679" s="8"/>
      <c r="G679" s="8"/>
      <c r="H679" s="8"/>
      <c r="I679" s="8"/>
      <c r="J679" s="8"/>
      <c r="K679" s="8"/>
      <c r="L679" s="8"/>
      <c r="M679" s="8"/>
      <c r="N679" s="8"/>
      <c r="O679" s="8"/>
      <c r="P679" s="8"/>
      <c r="Q679" s="8"/>
      <c r="R679" s="8"/>
      <c r="S679" s="8"/>
      <c r="T679" s="8"/>
      <c r="U679" s="12"/>
      <c r="V679" s="12"/>
      <c r="W679" s="12"/>
      <c r="X679" s="12"/>
      <c r="Y679" s="12"/>
      <c r="Z679" s="12"/>
      <c r="AA679" s="12"/>
      <c r="AB679" s="12"/>
      <c r="AC679" s="12"/>
      <c r="AD679" s="12"/>
      <c r="AE679" s="12"/>
      <c r="AF679" s="12"/>
    </row>
    <row r="680" spans="1:32" ht="13.2">
      <c r="A680" s="8"/>
      <c r="B680" s="8"/>
      <c r="C680" s="8"/>
      <c r="D680" s="8"/>
      <c r="E680" s="8"/>
      <c r="F680" s="8"/>
      <c r="G680" s="8"/>
      <c r="H680" s="8"/>
      <c r="I680" s="8"/>
      <c r="J680" s="8"/>
      <c r="K680" s="8"/>
      <c r="L680" s="8"/>
      <c r="M680" s="8"/>
      <c r="N680" s="8"/>
      <c r="O680" s="8"/>
      <c r="P680" s="8"/>
      <c r="Q680" s="8"/>
      <c r="R680" s="8"/>
      <c r="S680" s="8"/>
      <c r="T680" s="8"/>
      <c r="U680" s="12"/>
      <c r="V680" s="12"/>
      <c r="W680" s="12"/>
      <c r="X680" s="12"/>
      <c r="Y680" s="12"/>
      <c r="Z680" s="12"/>
      <c r="AA680" s="12"/>
      <c r="AB680" s="12"/>
      <c r="AC680" s="12"/>
      <c r="AD680" s="12"/>
      <c r="AE680" s="12"/>
      <c r="AF680" s="12"/>
    </row>
    <row r="681" spans="1:32" ht="13.2">
      <c r="A681" s="8"/>
      <c r="B681" s="8"/>
      <c r="C681" s="8"/>
      <c r="D681" s="8"/>
      <c r="E681" s="8"/>
      <c r="F681" s="8"/>
      <c r="G681" s="8"/>
      <c r="H681" s="8"/>
      <c r="I681" s="8"/>
      <c r="J681" s="8"/>
      <c r="K681" s="8"/>
      <c r="L681" s="8"/>
      <c r="M681" s="8"/>
      <c r="N681" s="8"/>
      <c r="O681" s="8"/>
      <c r="P681" s="8"/>
      <c r="Q681" s="8"/>
      <c r="R681" s="8"/>
      <c r="S681" s="8"/>
      <c r="T681" s="8"/>
      <c r="U681" s="12"/>
      <c r="V681" s="12"/>
      <c r="W681" s="12"/>
      <c r="X681" s="12"/>
      <c r="Y681" s="12"/>
      <c r="Z681" s="12"/>
      <c r="AA681" s="12"/>
      <c r="AB681" s="12"/>
      <c r="AC681" s="12"/>
      <c r="AD681" s="12"/>
      <c r="AE681" s="12"/>
      <c r="AF681" s="12"/>
    </row>
    <row r="682" spans="1:32" ht="13.2">
      <c r="A682" s="8"/>
      <c r="B682" s="8"/>
      <c r="C682" s="8"/>
      <c r="D682" s="8"/>
      <c r="E682" s="8"/>
      <c r="F682" s="8"/>
      <c r="G682" s="8"/>
      <c r="H682" s="8"/>
      <c r="I682" s="8"/>
      <c r="J682" s="8"/>
      <c r="K682" s="8"/>
      <c r="L682" s="8"/>
      <c r="M682" s="8"/>
      <c r="N682" s="8"/>
      <c r="O682" s="8"/>
      <c r="P682" s="8"/>
      <c r="Q682" s="8"/>
      <c r="R682" s="8"/>
      <c r="S682" s="8"/>
      <c r="T682" s="8"/>
      <c r="U682" s="12"/>
      <c r="V682" s="12"/>
      <c r="W682" s="12"/>
      <c r="X682" s="12"/>
      <c r="Y682" s="12"/>
      <c r="Z682" s="12"/>
      <c r="AA682" s="12"/>
      <c r="AB682" s="12"/>
      <c r="AC682" s="12"/>
      <c r="AD682" s="12"/>
      <c r="AE682" s="12"/>
      <c r="AF682" s="12"/>
    </row>
    <row r="683" spans="1:32" ht="13.2">
      <c r="A683" s="8"/>
      <c r="B683" s="8"/>
      <c r="C683" s="8"/>
      <c r="D683" s="8"/>
      <c r="E683" s="8"/>
      <c r="F683" s="8"/>
      <c r="G683" s="8"/>
      <c r="H683" s="8"/>
      <c r="I683" s="8"/>
      <c r="J683" s="8"/>
      <c r="K683" s="8"/>
      <c r="L683" s="8"/>
      <c r="M683" s="8"/>
      <c r="N683" s="8"/>
      <c r="O683" s="8"/>
      <c r="P683" s="8"/>
      <c r="Q683" s="8"/>
      <c r="R683" s="8"/>
      <c r="S683" s="8"/>
      <c r="T683" s="8"/>
      <c r="U683" s="12"/>
      <c r="V683" s="12"/>
      <c r="W683" s="12"/>
      <c r="X683" s="12"/>
      <c r="Y683" s="12"/>
      <c r="Z683" s="12"/>
      <c r="AA683" s="12"/>
      <c r="AB683" s="12"/>
      <c r="AC683" s="12"/>
      <c r="AD683" s="12"/>
      <c r="AE683" s="12"/>
      <c r="AF683" s="12"/>
    </row>
    <row r="684" spans="1:32" ht="13.2">
      <c r="A684" s="8"/>
      <c r="B684" s="8"/>
      <c r="C684" s="8"/>
      <c r="D684" s="8"/>
      <c r="E684" s="8"/>
      <c r="F684" s="8"/>
      <c r="G684" s="8"/>
      <c r="H684" s="8"/>
      <c r="I684" s="8"/>
      <c r="J684" s="8"/>
      <c r="K684" s="8"/>
      <c r="L684" s="8"/>
      <c r="M684" s="8"/>
      <c r="N684" s="8"/>
      <c r="O684" s="8"/>
      <c r="P684" s="8"/>
      <c r="Q684" s="8"/>
      <c r="R684" s="8"/>
      <c r="S684" s="8"/>
      <c r="T684" s="8"/>
      <c r="U684" s="12"/>
      <c r="V684" s="12"/>
      <c r="W684" s="12"/>
      <c r="X684" s="12"/>
      <c r="Y684" s="12"/>
      <c r="Z684" s="12"/>
      <c r="AA684" s="12"/>
      <c r="AB684" s="12"/>
      <c r="AC684" s="12"/>
      <c r="AD684" s="12"/>
      <c r="AE684" s="12"/>
      <c r="AF684" s="12"/>
    </row>
    <row r="685" spans="1:32" ht="13.2">
      <c r="A685" s="8"/>
      <c r="B685" s="8"/>
      <c r="C685" s="8"/>
      <c r="D685" s="8"/>
      <c r="E685" s="8"/>
      <c r="F685" s="8"/>
      <c r="G685" s="8"/>
      <c r="H685" s="8"/>
      <c r="I685" s="8"/>
      <c r="J685" s="8"/>
      <c r="K685" s="8"/>
      <c r="L685" s="8"/>
      <c r="M685" s="8"/>
      <c r="N685" s="8"/>
      <c r="O685" s="8"/>
      <c r="P685" s="8"/>
      <c r="Q685" s="8"/>
      <c r="R685" s="8"/>
      <c r="S685" s="8"/>
      <c r="T685" s="8"/>
      <c r="U685" s="12"/>
      <c r="V685" s="12"/>
      <c r="W685" s="12"/>
      <c r="X685" s="12"/>
      <c r="Y685" s="12"/>
      <c r="Z685" s="12"/>
      <c r="AA685" s="12"/>
      <c r="AB685" s="12"/>
      <c r="AC685" s="12"/>
      <c r="AD685" s="12"/>
      <c r="AE685" s="12"/>
      <c r="AF685" s="12"/>
    </row>
    <row r="686" spans="1:32" ht="13.2">
      <c r="A686" s="8"/>
      <c r="B686" s="8"/>
      <c r="C686" s="8"/>
      <c r="D686" s="8"/>
      <c r="E686" s="8"/>
      <c r="F686" s="8"/>
      <c r="G686" s="8"/>
      <c r="H686" s="8"/>
      <c r="I686" s="8"/>
      <c r="J686" s="8"/>
      <c r="K686" s="8"/>
      <c r="L686" s="8"/>
      <c r="M686" s="8"/>
      <c r="N686" s="8"/>
      <c r="O686" s="8"/>
      <c r="P686" s="8"/>
      <c r="Q686" s="8"/>
      <c r="R686" s="8"/>
      <c r="S686" s="8"/>
      <c r="T686" s="8"/>
      <c r="U686" s="12"/>
      <c r="V686" s="12"/>
      <c r="W686" s="12"/>
      <c r="X686" s="12"/>
      <c r="Y686" s="12"/>
      <c r="Z686" s="12"/>
      <c r="AA686" s="12"/>
      <c r="AB686" s="12"/>
      <c r="AC686" s="12"/>
      <c r="AD686" s="12"/>
      <c r="AE686" s="12"/>
      <c r="AF686" s="12"/>
    </row>
    <row r="687" spans="1:32" ht="13.2">
      <c r="A687" s="8"/>
      <c r="B687" s="8"/>
      <c r="C687" s="8"/>
      <c r="D687" s="8"/>
      <c r="E687" s="8"/>
      <c r="F687" s="8"/>
      <c r="G687" s="8"/>
      <c r="H687" s="8"/>
      <c r="I687" s="8"/>
      <c r="J687" s="8"/>
      <c r="K687" s="8"/>
      <c r="L687" s="8"/>
      <c r="M687" s="8"/>
      <c r="N687" s="8"/>
      <c r="O687" s="8"/>
      <c r="P687" s="8"/>
      <c r="Q687" s="8"/>
      <c r="R687" s="8"/>
      <c r="S687" s="8"/>
      <c r="T687" s="8"/>
      <c r="U687" s="12"/>
      <c r="V687" s="12"/>
      <c r="W687" s="12"/>
      <c r="X687" s="12"/>
      <c r="Y687" s="12"/>
      <c r="Z687" s="12"/>
      <c r="AA687" s="12"/>
      <c r="AB687" s="12"/>
      <c r="AC687" s="12"/>
      <c r="AD687" s="12"/>
      <c r="AE687" s="12"/>
      <c r="AF687" s="12"/>
    </row>
    <row r="688" spans="1:32" ht="13.2">
      <c r="A688" s="8"/>
      <c r="B688" s="8"/>
      <c r="C688" s="8"/>
      <c r="D688" s="8"/>
      <c r="E688" s="8"/>
      <c r="F688" s="8"/>
      <c r="G688" s="8"/>
      <c r="H688" s="8"/>
      <c r="I688" s="8"/>
      <c r="J688" s="8"/>
      <c r="K688" s="8"/>
      <c r="L688" s="8"/>
      <c r="M688" s="8"/>
      <c r="N688" s="8"/>
      <c r="O688" s="8"/>
      <c r="P688" s="8"/>
      <c r="Q688" s="8"/>
      <c r="R688" s="8"/>
      <c r="S688" s="8"/>
      <c r="T688" s="8"/>
      <c r="U688" s="12"/>
      <c r="V688" s="12"/>
      <c r="W688" s="12"/>
      <c r="X688" s="12"/>
      <c r="Y688" s="12"/>
      <c r="Z688" s="12"/>
      <c r="AA688" s="12"/>
      <c r="AB688" s="12"/>
      <c r="AC688" s="12"/>
      <c r="AD688" s="12"/>
      <c r="AE688" s="12"/>
      <c r="AF688" s="12"/>
    </row>
    <row r="689" spans="1:32" ht="13.2">
      <c r="A689" s="8"/>
      <c r="B689" s="8"/>
      <c r="C689" s="8"/>
      <c r="D689" s="8"/>
      <c r="E689" s="8"/>
      <c r="F689" s="8"/>
      <c r="G689" s="8"/>
      <c r="H689" s="8"/>
      <c r="I689" s="8"/>
      <c r="J689" s="8"/>
      <c r="K689" s="8"/>
      <c r="L689" s="8"/>
      <c r="M689" s="8"/>
      <c r="N689" s="8"/>
      <c r="O689" s="8"/>
      <c r="P689" s="8"/>
      <c r="Q689" s="8"/>
      <c r="R689" s="8"/>
      <c r="S689" s="8"/>
      <c r="T689" s="8"/>
      <c r="U689" s="12"/>
      <c r="V689" s="12"/>
      <c r="W689" s="12"/>
      <c r="X689" s="12"/>
      <c r="Y689" s="12"/>
      <c r="Z689" s="12"/>
      <c r="AA689" s="12"/>
      <c r="AB689" s="12"/>
      <c r="AC689" s="12"/>
      <c r="AD689" s="12"/>
      <c r="AE689" s="12"/>
      <c r="AF689" s="12"/>
    </row>
    <row r="690" spans="1:32" ht="13.2">
      <c r="A690" s="8"/>
      <c r="B690" s="8"/>
      <c r="C690" s="8"/>
      <c r="D690" s="8"/>
      <c r="E690" s="8"/>
      <c r="F690" s="8"/>
      <c r="G690" s="8"/>
      <c r="H690" s="8"/>
      <c r="I690" s="8"/>
      <c r="J690" s="8"/>
      <c r="K690" s="8"/>
      <c r="L690" s="8"/>
      <c r="M690" s="8"/>
      <c r="N690" s="8"/>
      <c r="O690" s="8"/>
      <c r="P690" s="8"/>
      <c r="Q690" s="8"/>
      <c r="R690" s="8"/>
      <c r="S690" s="8"/>
      <c r="T690" s="8"/>
      <c r="U690" s="12"/>
      <c r="V690" s="12"/>
      <c r="W690" s="12"/>
      <c r="X690" s="12"/>
      <c r="Y690" s="12"/>
      <c r="Z690" s="12"/>
      <c r="AA690" s="12"/>
      <c r="AB690" s="12"/>
      <c r="AC690" s="12"/>
      <c r="AD690" s="12"/>
      <c r="AE690" s="12"/>
      <c r="AF690" s="12"/>
    </row>
    <row r="691" spans="1:32" ht="13.2">
      <c r="A691" s="8"/>
      <c r="B691" s="8"/>
      <c r="C691" s="8"/>
      <c r="D691" s="8"/>
      <c r="E691" s="8"/>
      <c r="F691" s="8"/>
      <c r="G691" s="8"/>
      <c r="H691" s="8"/>
      <c r="I691" s="8"/>
      <c r="J691" s="8"/>
      <c r="K691" s="8"/>
      <c r="L691" s="8"/>
      <c r="M691" s="8"/>
      <c r="N691" s="8"/>
      <c r="O691" s="8"/>
      <c r="P691" s="8"/>
      <c r="Q691" s="8"/>
      <c r="R691" s="8"/>
      <c r="S691" s="8"/>
      <c r="T691" s="8"/>
      <c r="U691" s="12"/>
      <c r="V691" s="12"/>
      <c r="W691" s="12"/>
      <c r="X691" s="12"/>
      <c r="Y691" s="12"/>
      <c r="Z691" s="12"/>
      <c r="AA691" s="12"/>
      <c r="AB691" s="12"/>
      <c r="AC691" s="12"/>
      <c r="AD691" s="12"/>
      <c r="AE691" s="12"/>
      <c r="AF691" s="12"/>
    </row>
    <row r="692" spans="1:32" ht="13.2">
      <c r="A692" s="8"/>
      <c r="B692" s="8"/>
      <c r="C692" s="8"/>
      <c r="D692" s="8"/>
      <c r="E692" s="8"/>
      <c r="F692" s="8"/>
      <c r="G692" s="8"/>
      <c r="H692" s="8"/>
      <c r="I692" s="8"/>
      <c r="J692" s="8"/>
      <c r="K692" s="8"/>
      <c r="L692" s="8"/>
      <c r="M692" s="8"/>
      <c r="N692" s="8"/>
      <c r="O692" s="8"/>
      <c r="P692" s="8"/>
      <c r="Q692" s="8"/>
      <c r="R692" s="8"/>
      <c r="S692" s="8"/>
      <c r="T692" s="8"/>
      <c r="U692" s="12"/>
      <c r="V692" s="12"/>
      <c r="W692" s="12"/>
      <c r="X692" s="12"/>
      <c r="Y692" s="12"/>
      <c r="Z692" s="12"/>
      <c r="AA692" s="12"/>
      <c r="AB692" s="12"/>
      <c r="AC692" s="12"/>
      <c r="AD692" s="12"/>
      <c r="AE692" s="12"/>
      <c r="AF692" s="12"/>
    </row>
    <row r="693" spans="1:32" ht="13.2">
      <c r="A693" s="8"/>
      <c r="B693" s="8"/>
      <c r="C693" s="8"/>
      <c r="D693" s="8"/>
      <c r="E693" s="8"/>
      <c r="F693" s="8"/>
      <c r="G693" s="8"/>
      <c r="H693" s="8"/>
      <c r="I693" s="8"/>
      <c r="J693" s="8"/>
      <c r="K693" s="8"/>
      <c r="L693" s="8"/>
      <c r="M693" s="8"/>
      <c r="N693" s="8"/>
      <c r="O693" s="8"/>
      <c r="P693" s="8"/>
      <c r="Q693" s="8"/>
      <c r="R693" s="8"/>
      <c r="S693" s="8"/>
      <c r="T693" s="8"/>
      <c r="U693" s="12"/>
      <c r="V693" s="12"/>
      <c r="W693" s="12"/>
      <c r="X693" s="12"/>
      <c r="Y693" s="12"/>
      <c r="Z693" s="12"/>
      <c r="AA693" s="12"/>
      <c r="AB693" s="12"/>
      <c r="AC693" s="12"/>
      <c r="AD693" s="12"/>
      <c r="AE693" s="12"/>
      <c r="AF693" s="12"/>
    </row>
    <row r="694" spans="1:32" ht="13.2">
      <c r="A694" s="8"/>
      <c r="B694" s="8"/>
      <c r="C694" s="8"/>
      <c r="D694" s="8"/>
      <c r="E694" s="8"/>
      <c r="F694" s="8"/>
      <c r="G694" s="8"/>
      <c r="H694" s="8"/>
      <c r="I694" s="8"/>
      <c r="J694" s="8"/>
      <c r="K694" s="8"/>
      <c r="L694" s="8"/>
      <c r="M694" s="8"/>
      <c r="N694" s="8"/>
      <c r="O694" s="8"/>
      <c r="P694" s="8"/>
      <c r="Q694" s="8"/>
      <c r="R694" s="8"/>
      <c r="S694" s="8"/>
      <c r="T694" s="8"/>
      <c r="U694" s="12"/>
      <c r="V694" s="12"/>
      <c r="W694" s="12"/>
      <c r="X694" s="12"/>
      <c r="Y694" s="12"/>
      <c r="Z694" s="12"/>
      <c r="AA694" s="12"/>
      <c r="AB694" s="12"/>
      <c r="AC694" s="12"/>
      <c r="AD694" s="12"/>
      <c r="AE694" s="12"/>
      <c r="AF694" s="12"/>
    </row>
    <row r="695" spans="1:32" ht="13.2">
      <c r="A695" s="8"/>
      <c r="B695" s="8"/>
      <c r="C695" s="8"/>
      <c r="D695" s="8"/>
      <c r="E695" s="8"/>
      <c r="F695" s="8"/>
      <c r="G695" s="8"/>
      <c r="H695" s="8"/>
      <c r="I695" s="8"/>
      <c r="J695" s="8"/>
      <c r="K695" s="8"/>
      <c r="L695" s="8"/>
      <c r="M695" s="8"/>
      <c r="N695" s="8"/>
      <c r="O695" s="8"/>
      <c r="P695" s="8"/>
      <c r="Q695" s="8"/>
      <c r="R695" s="8"/>
      <c r="S695" s="8"/>
      <c r="T695" s="8"/>
      <c r="U695" s="12"/>
      <c r="V695" s="12"/>
      <c r="W695" s="12"/>
      <c r="X695" s="12"/>
      <c r="Y695" s="12"/>
      <c r="Z695" s="12"/>
      <c r="AA695" s="12"/>
      <c r="AB695" s="12"/>
      <c r="AC695" s="12"/>
      <c r="AD695" s="12"/>
      <c r="AE695" s="12"/>
      <c r="AF695" s="12"/>
    </row>
    <row r="696" spans="1:32" ht="13.2">
      <c r="A696" s="8"/>
      <c r="B696" s="8"/>
      <c r="C696" s="8"/>
      <c r="D696" s="8"/>
      <c r="E696" s="8"/>
      <c r="F696" s="8"/>
      <c r="G696" s="8"/>
      <c r="H696" s="8"/>
      <c r="I696" s="8"/>
      <c r="J696" s="8"/>
      <c r="K696" s="8"/>
      <c r="L696" s="8"/>
      <c r="M696" s="8"/>
      <c r="N696" s="8"/>
      <c r="O696" s="8"/>
      <c r="P696" s="8"/>
      <c r="Q696" s="8"/>
      <c r="R696" s="8"/>
      <c r="S696" s="8"/>
      <c r="T696" s="8"/>
      <c r="U696" s="12"/>
      <c r="V696" s="12"/>
      <c r="W696" s="12"/>
      <c r="X696" s="12"/>
      <c r="Y696" s="12"/>
      <c r="Z696" s="12"/>
      <c r="AA696" s="12"/>
      <c r="AB696" s="12"/>
      <c r="AC696" s="12"/>
      <c r="AD696" s="12"/>
      <c r="AE696" s="12"/>
      <c r="AF696" s="12"/>
    </row>
    <row r="697" spans="1:32" ht="13.2">
      <c r="A697" s="8"/>
      <c r="B697" s="8"/>
      <c r="C697" s="8"/>
      <c r="D697" s="8"/>
      <c r="E697" s="8"/>
      <c r="F697" s="8"/>
      <c r="G697" s="8"/>
      <c r="H697" s="8"/>
      <c r="I697" s="8"/>
      <c r="J697" s="8"/>
      <c r="K697" s="8"/>
      <c r="L697" s="8"/>
      <c r="M697" s="8"/>
      <c r="N697" s="8"/>
      <c r="O697" s="8"/>
      <c r="P697" s="8"/>
      <c r="Q697" s="8"/>
      <c r="R697" s="8"/>
      <c r="S697" s="8"/>
      <c r="T697" s="8"/>
      <c r="U697" s="12"/>
      <c r="V697" s="12"/>
      <c r="W697" s="12"/>
      <c r="X697" s="12"/>
      <c r="Y697" s="12"/>
      <c r="Z697" s="12"/>
      <c r="AA697" s="12"/>
      <c r="AB697" s="12"/>
      <c r="AC697" s="12"/>
      <c r="AD697" s="12"/>
      <c r="AE697" s="12"/>
      <c r="AF697" s="12"/>
    </row>
    <row r="698" spans="1:32" ht="13.2">
      <c r="A698" s="8"/>
      <c r="B698" s="8"/>
      <c r="C698" s="8"/>
      <c r="D698" s="8"/>
      <c r="E698" s="8"/>
      <c r="F698" s="8"/>
      <c r="G698" s="8"/>
      <c r="H698" s="8"/>
      <c r="I698" s="8"/>
      <c r="J698" s="8"/>
      <c r="K698" s="8"/>
      <c r="L698" s="8"/>
      <c r="M698" s="8"/>
      <c r="N698" s="8"/>
      <c r="O698" s="8"/>
      <c r="P698" s="8"/>
      <c r="Q698" s="8"/>
      <c r="R698" s="8"/>
      <c r="S698" s="8"/>
      <c r="T698" s="8"/>
      <c r="U698" s="12"/>
      <c r="V698" s="12"/>
      <c r="W698" s="12"/>
      <c r="X698" s="12"/>
      <c r="Y698" s="12"/>
      <c r="Z698" s="12"/>
      <c r="AA698" s="12"/>
      <c r="AB698" s="12"/>
      <c r="AC698" s="12"/>
      <c r="AD698" s="12"/>
      <c r="AE698" s="12"/>
      <c r="AF698" s="12"/>
    </row>
    <row r="699" spans="1:32" ht="13.2">
      <c r="A699" s="8"/>
      <c r="B699" s="8"/>
      <c r="C699" s="8"/>
      <c r="D699" s="8"/>
      <c r="E699" s="8"/>
      <c r="F699" s="8"/>
      <c r="G699" s="8"/>
      <c r="H699" s="8"/>
      <c r="I699" s="8"/>
      <c r="J699" s="8"/>
      <c r="K699" s="8"/>
      <c r="L699" s="8"/>
      <c r="M699" s="8"/>
      <c r="N699" s="8"/>
      <c r="O699" s="8"/>
      <c r="P699" s="8"/>
      <c r="Q699" s="8"/>
      <c r="R699" s="8"/>
      <c r="S699" s="8"/>
      <c r="T699" s="8"/>
      <c r="U699" s="12"/>
      <c r="V699" s="12"/>
      <c r="W699" s="12"/>
      <c r="X699" s="12"/>
      <c r="Y699" s="12"/>
      <c r="Z699" s="12"/>
      <c r="AA699" s="12"/>
      <c r="AB699" s="12"/>
      <c r="AC699" s="12"/>
      <c r="AD699" s="12"/>
      <c r="AE699" s="12"/>
      <c r="AF699" s="12"/>
    </row>
    <row r="700" spans="1:32" ht="13.2">
      <c r="A700" s="8"/>
      <c r="B700" s="8"/>
      <c r="C700" s="8"/>
      <c r="D700" s="8"/>
      <c r="E700" s="8"/>
      <c r="F700" s="8"/>
      <c r="G700" s="8"/>
      <c r="H700" s="8"/>
      <c r="I700" s="8"/>
      <c r="J700" s="8"/>
      <c r="K700" s="8"/>
      <c r="L700" s="8"/>
      <c r="M700" s="8"/>
      <c r="N700" s="8"/>
      <c r="O700" s="8"/>
      <c r="P700" s="8"/>
      <c r="Q700" s="8"/>
      <c r="R700" s="8"/>
      <c r="S700" s="8"/>
      <c r="T700" s="8"/>
      <c r="U700" s="12"/>
      <c r="V700" s="12"/>
      <c r="W700" s="12"/>
      <c r="X700" s="12"/>
      <c r="Y700" s="12"/>
      <c r="Z700" s="12"/>
      <c r="AA700" s="12"/>
      <c r="AB700" s="12"/>
      <c r="AC700" s="12"/>
      <c r="AD700" s="12"/>
      <c r="AE700" s="12"/>
      <c r="AF700" s="12"/>
    </row>
    <row r="701" spans="1:32" ht="13.2">
      <c r="A701" s="8"/>
      <c r="B701" s="8"/>
      <c r="C701" s="8"/>
      <c r="D701" s="8"/>
      <c r="E701" s="8"/>
      <c r="F701" s="8"/>
      <c r="G701" s="8"/>
      <c r="H701" s="8"/>
      <c r="I701" s="8"/>
      <c r="J701" s="8"/>
      <c r="K701" s="8"/>
      <c r="L701" s="8"/>
      <c r="M701" s="8"/>
      <c r="N701" s="8"/>
      <c r="O701" s="8"/>
      <c r="P701" s="8"/>
      <c r="Q701" s="8"/>
      <c r="R701" s="8"/>
      <c r="S701" s="8"/>
      <c r="T701" s="8"/>
      <c r="U701" s="12"/>
      <c r="V701" s="12"/>
      <c r="W701" s="12"/>
      <c r="X701" s="12"/>
      <c r="Y701" s="12"/>
      <c r="Z701" s="12"/>
      <c r="AA701" s="12"/>
      <c r="AB701" s="12"/>
      <c r="AC701" s="12"/>
      <c r="AD701" s="12"/>
      <c r="AE701" s="12"/>
      <c r="AF701" s="12"/>
    </row>
    <row r="702" spans="1:32" ht="13.2">
      <c r="A702" s="8"/>
      <c r="B702" s="8"/>
      <c r="C702" s="8"/>
      <c r="D702" s="8"/>
      <c r="E702" s="8"/>
      <c r="F702" s="8"/>
      <c r="G702" s="8"/>
      <c r="H702" s="8"/>
      <c r="I702" s="8"/>
      <c r="J702" s="8"/>
      <c r="K702" s="8"/>
      <c r="L702" s="8"/>
      <c r="M702" s="8"/>
      <c r="N702" s="8"/>
      <c r="O702" s="8"/>
      <c r="P702" s="8"/>
      <c r="Q702" s="8"/>
      <c r="R702" s="8"/>
      <c r="S702" s="8"/>
      <c r="T702" s="8"/>
      <c r="U702" s="12"/>
      <c r="V702" s="12"/>
      <c r="W702" s="12"/>
      <c r="X702" s="12"/>
      <c r="Y702" s="12"/>
      <c r="Z702" s="12"/>
      <c r="AA702" s="12"/>
      <c r="AB702" s="12"/>
      <c r="AC702" s="12"/>
      <c r="AD702" s="12"/>
      <c r="AE702" s="12"/>
      <c r="AF702" s="12"/>
    </row>
    <row r="703" spans="1:32" ht="13.2">
      <c r="A703" s="8"/>
      <c r="B703" s="8"/>
      <c r="C703" s="8"/>
      <c r="D703" s="8"/>
      <c r="E703" s="8"/>
      <c r="F703" s="8"/>
      <c r="G703" s="8"/>
      <c r="H703" s="8"/>
      <c r="I703" s="8"/>
      <c r="J703" s="8"/>
      <c r="K703" s="8"/>
      <c r="L703" s="8"/>
      <c r="M703" s="8"/>
      <c r="N703" s="8"/>
      <c r="O703" s="8"/>
      <c r="P703" s="8"/>
      <c r="Q703" s="8"/>
      <c r="R703" s="8"/>
      <c r="S703" s="8"/>
      <c r="T703" s="8"/>
      <c r="U703" s="12"/>
      <c r="V703" s="12"/>
      <c r="W703" s="12"/>
      <c r="X703" s="12"/>
      <c r="Y703" s="12"/>
      <c r="Z703" s="12"/>
      <c r="AA703" s="12"/>
      <c r="AB703" s="12"/>
      <c r="AC703" s="12"/>
      <c r="AD703" s="12"/>
      <c r="AE703" s="12"/>
      <c r="AF703" s="12"/>
    </row>
    <row r="704" spans="1:32" ht="13.2">
      <c r="A704" s="8"/>
      <c r="B704" s="8"/>
      <c r="C704" s="8"/>
      <c r="D704" s="8"/>
      <c r="E704" s="8"/>
      <c r="F704" s="8"/>
      <c r="G704" s="8"/>
      <c r="H704" s="8"/>
      <c r="I704" s="8"/>
      <c r="J704" s="8"/>
      <c r="K704" s="8"/>
      <c r="L704" s="8"/>
      <c r="M704" s="8"/>
      <c r="N704" s="8"/>
      <c r="O704" s="8"/>
      <c r="P704" s="8"/>
      <c r="Q704" s="8"/>
      <c r="R704" s="8"/>
      <c r="S704" s="8"/>
      <c r="T704" s="8"/>
      <c r="U704" s="12"/>
      <c r="V704" s="12"/>
      <c r="W704" s="12"/>
      <c r="X704" s="12"/>
      <c r="Y704" s="12"/>
      <c r="Z704" s="12"/>
      <c r="AA704" s="12"/>
      <c r="AB704" s="12"/>
      <c r="AC704" s="12"/>
      <c r="AD704" s="12"/>
      <c r="AE704" s="12"/>
      <c r="AF704" s="12"/>
    </row>
    <row r="705" spans="1:32" ht="13.2">
      <c r="A705" s="8"/>
      <c r="B705" s="8"/>
      <c r="C705" s="8"/>
      <c r="D705" s="8"/>
      <c r="E705" s="8"/>
      <c r="F705" s="8"/>
      <c r="G705" s="8"/>
      <c r="H705" s="8"/>
      <c r="I705" s="8"/>
      <c r="J705" s="8"/>
      <c r="K705" s="8"/>
      <c r="L705" s="8"/>
      <c r="M705" s="8"/>
      <c r="N705" s="8"/>
      <c r="O705" s="8"/>
      <c r="P705" s="8"/>
      <c r="Q705" s="8"/>
      <c r="R705" s="8"/>
      <c r="S705" s="8"/>
      <c r="T705" s="8"/>
      <c r="U705" s="12"/>
      <c r="V705" s="12"/>
      <c r="W705" s="12"/>
      <c r="X705" s="12"/>
      <c r="Y705" s="12"/>
      <c r="Z705" s="12"/>
      <c r="AA705" s="12"/>
      <c r="AB705" s="12"/>
      <c r="AC705" s="12"/>
      <c r="AD705" s="12"/>
      <c r="AE705" s="12"/>
      <c r="AF705" s="12"/>
    </row>
    <row r="706" spans="1:32" ht="13.2">
      <c r="A706" s="8"/>
      <c r="B706" s="8"/>
      <c r="C706" s="8"/>
      <c r="D706" s="8"/>
      <c r="E706" s="8"/>
      <c r="F706" s="8"/>
      <c r="G706" s="8"/>
      <c r="H706" s="8"/>
      <c r="I706" s="8"/>
      <c r="J706" s="8"/>
      <c r="K706" s="8"/>
      <c r="L706" s="8"/>
      <c r="M706" s="8"/>
      <c r="N706" s="8"/>
      <c r="O706" s="8"/>
      <c r="P706" s="8"/>
      <c r="Q706" s="8"/>
      <c r="R706" s="8"/>
      <c r="S706" s="8"/>
      <c r="T706" s="8"/>
      <c r="U706" s="12"/>
      <c r="V706" s="12"/>
      <c r="W706" s="12"/>
      <c r="X706" s="12"/>
      <c r="Y706" s="12"/>
      <c r="Z706" s="12"/>
      <c r="AA706" s="12"/>
      <c r="AB706" s="12"/>
      <c r="AC706" s="12"/>
      <c r="AD706" s="12"/>
      <c r="AE706" s="12"/>
      <c r="AF706" s="12"/>
    </row>
    <row r="707" spans="1:32" ht="13.2">
      <c r="A707" s="8"/>
      <c r="B707" s="8"/>
      <c r="C707" s="8"/>
      <c r="D707" s="8"/>
      <c r="E707" s="8"/>
      <c r="F707" s="8"/>
      <c r="G707" s="8"/>
      <c r="H707" s="8"/>
      <c r="I707" s="8"/>
      <c r="J707" s="8"/>
      <c r="K707" s="8"/>
      <c r="L707" s="8"/>
      <c r="M707" s="8"/>
      <c r="N707" s="8"/>
      <c r="O707" s="8"/>
      <c r="P707" s="8"/>
      <c r="Q707" s="8"/>
      <c r="R707" s="8"/>
      <c r="S707" s="8"/>
      <c r="T707" s="8"/>
      <c r="U707" s="12"/>
      <c r="V707" s="12"/>
      <c r="W707" s="12"/>
      <c r="X707" s="12"/>
      <c r="Y707" s="12"/>
      <c r="Z707" s="12"/>
      <c r="AA707" s="12"/>
      <c r="AB707" s="12"/>
      <c r="AC707" s="12"/>
      <c r="AD707" s="12"/>
      <c r="AE707" s="12"/>
      <c r="AF707" s="12"/>
    </row>
    <row r="708" spans="1:32" ht="13.2">
      <c r="A708" s="8"/>
      <c r="B708" s="8"/>
      <c r="C708" s="8"/>
      <c r="D708" s="8"/>
      <c r="E708" s="8"/>
      <c r="F708" s="8"/>
      <c r="G708" s="8"/>
      <c r="H708" s="8"/>
      <c r="I708" s="8"/>
      <c r="J708" s="8"/>
      <c r="K708" s="8"/>
      <c r="L708" s="8"/>
      <c r="M708" s="8"/>
      <c r="N708" s="8"/>
      <c r="O708" s="8"/>
      <c r="P708" s="8"/>
      <c r="Q708" s="8"/>
      <c r="R708" s="8"/>
      <c r="S708" s="8"/>
      <c r="T708" s="8"/>
      <c r="U708" s="12"/>
      <c r="V708" s="12"/>
      <c r="W708" s="12"/>
      <c r="X708" s="12"/>
      <c r="Y708" s="12"/>
      <c r="Z708" s="12"/>
      <c r="AA708" s="12"/>
      <c r="AB708" s="12"/>
      <c r="AC708" s="12"/>
      <c r="AD708" s="12"/>
      <c r="AE708" s="12"/>
      <c r="AF708" s="12"/>
    </row>
    <row r="709" spans="1:32" ht="13.2">
      <c r="A709" s="8"/>
      <c r="B709" s="8"/>
      <c r="C709" s="8"/>
      <c r="D709" s="8"/>
      <c r="E709" s="8"/>
      <c r="F709" s="8"/>
      <c r="G709" s="8"/>
      <c r="H709" s="8"/>
      <c r="I709" s="8"/>
      <c r="J709" s="8"/>
      <c r="K709" s="8"/>
      <c r="L709" s="8"/>
      <c r="M709" s="8"/>
      <c r="N709" s="8"/>
      <c r="O709" s="8"/>
      <c r="P709" s="8"/>
      <c r="Q709" s="8"/>
      <c r="R709" s="8"/>
      <c r="S709" s="8"/>
      <c r="T709" s="8"/>
      <c r="U709" s="12"/>
      <c r="V709" s="12"/>
      <c r="W709" s="12"/>
      <c r="X709" s="12"/>
      <c r="Y709" s="12"/>
      <c r="Z709" s="12"/>
      <c r="AA709" s="12"/>
      <c r="AB709" s="12"/>
      <c r="AC709" s="12"/>
      <c r="AD709" s="12"/>
      <c r="AE709" s="12"/>
      <c r="AF709" s="12"/>
    </row>
    <row r="710" spans="1:32" ht="13.2">
      <c r="A710" s="8"/>
      <c r="B710" s="8"/>
      <c r="C710" s="8"/>
      <c r="D710" s="8"/>
      <c r="E710" s="8"/>
      <c r="F710" s="8"/>
      <c r="G710" s="8"/>
      <c r="H710" s="8"/>
      <c r="I710" s="8"/>
      <c r="J710" s="8"/>
      <c r="K710" s="8"/>
      <c r="L710" s="8"/>
      <c r="M710" s="8"/>
      <c r="N710" s="8"/>
      <c r="O710" s="8"/>
      <c r="P710" s="8"/>
      <c r="Q710" s="8"/>
      <c r="R710" s="8"/>
      <c r="S710" s="8"/>
      <c r="T710" s="8"/>
      <c r="U710" s="12"/>
      <c r="V710" s="12"/>
      <c r="W710" s="12"/>
      <c r="X710" s="12"/>
      <c r="Y710" s="12"/>
      <c r="Z710" s="12"/>
      <c r="AA710" s="12"/>
      <c r="AB710" s="12"/>
      <c r="AC710" s="12"/>
      <c r="AD710" s="12"/>
      <c r="AE710" s="12"/>
      <c r="AF710" s="12"/>
    </row>
    <row r="711" spans="1:32" ht="13.2">
      <c r="A711" s="8"/>
      <c r="B711" s="8"/>
      <c r="C711" s="8"/>
      <c r="D711" s="8"/>
      <c r="E711" s="8"/>
      <c r="F711" s="8"/>
      <c r="G711" s="8"/>
      <c r="H711" s="8"/>
      <c r="I711" s="8"/>
      <c r="J711" s="8"/>
      <c r="K711" s="8"/>
      <c r="L711" s="8"/>
      <c r="M711" s="8"/>
      <c r="N711" s="8"/>
      <c r="O711" s="8"/>
      <c r="P711" s="8"/>
      <c r="Q711" s="8"/>
      <c r="R711" s="8"/>
      <c r="S711" s="8"/>
      <c r="T711" s="8"/>
      <c r="U711" s="12"/>
      <c r="V711" s="12"/>
      <c r="W711" s="12"/>
      <c r="X711" s="12"/>
      <c r="Y711" s="12"/>
      <c r="Z711" s="12"/>
      <c r="AA711" s="12"/>
      <c r="AB711" s="12"/>
      <c r="AC711" s="12"/>
      <c r="AD711" s="12"/>
      <c r="AE711" s="12"/>
      <c r="AF711" s="12"/>
    </row>
    <row r="712" spans="1:32" ht="13.2">
      <c r="A712" s="8"/>
      <c r="B712" s="8"/>
      <c r="C712" s="8"/>
      <c r="D712" s="8"/>
      <c r="E712" s="8"/>
      <c r="F712" s="8"/>
      <c r="G712" s="8"/>
      <c r="H712" s="8"/>
      <c r="I712" s="8"/>
      <c r="J712" s="8"/>
      <c r="K712" s="8"/>
      <c r="L712" s="8"/>
      <c r="M712" s="8"/>
      <c r="N712" s="8"/>
      <c r="O712" s="8"/>
      <c r="P712" s="8"/>
      <c r="Q712" s="8"/>
      <c r="R712" s="8"/>
      <c r="S712" s="8"/>
      <c r="T712" s="8"/>
      <c r="U712" s="12"/>
      <c r="V712" s="12"/>
      <c r="W712" s="12"/>
      <c r="X712" s="12"/>
      <c r="Y712" s="12"/>
      <c r="Z712" s="12"/>
      <c r="AA712" s="12"/>
      <c r="AB712" s="12"/>
      <c r="AC712" s="12"/>
      <c r="AD712" s="12"/>
      <c r="AE712" s="12"/>
      <c r="AF712" s="12"/>
    </row>
    <row r="713" spans="1:32" ht="13.2">
      <c r="A713" s="8"/>
      <c r="B713" s="8"/>
      <c r="C713" s="8"/>
      <c r="D713" s="8"/>
      <c r="E713" s="8"/>
      <c r="F713" s="8"/>
      <c r="G713" s="8"/>
      <c r="H713" s="8"/>
      <c r="I713" s="8"/>
      <c r="J713" s="8"/>
      <c r="K713" s="8"/>
      <c r="L713" s="8"/>
      <c r="M713" s="8"/>
      <c r="N713" s="8"/>
      <c r="O713" s="8"/>
      <c r="P713" s="8"/>
      <c r="Q713" s="8"/>
      <c r="R713" s="8"/>
      <c r="S713" s="8"/>
      <c r="T713" s="8"/>
      <c r="U713" s="12"/>
      <c r="V713" s="12"/>
      <c r="W713" s="12"/>
      <c r="X713" s="12"/>
      <c r="Y713" s="12"/>
      <c r="Z713" s="12"/>
      <c r="AA713" s="12"/>
      <c r="AB713" s="12"/>
      <c r="AC713" s="12"/>
      <c r="AD713" s="12"/>
      <c r="AE713" s="12"/>
      <c r="AF713" s="12"/>
    </row>
    <row r="714" spans="1:32" ht="13.2">
      <c r="A714" s="8"/>
      <c r="B714" s="8"/>
      <c r="C714" s="8"/>
      <c r="D714" s="8"/>
      <c r="E714" s="8"/>
      <c r="F714" s="8"/>
      <c r="G714" s="8"/>
      <c r="H714" s="8"/>
      <c r="I714" s="8"/>
      <c r="J714" s="8"/>
      <c r="K714" s="8"/>
      <c r="L714" s="8"/>
      <c r="M714" s="8"/>
      <c r="N714" s="8"/>
      <c r="O714" s="8"/>
      <c r="P714" s="8"/>
      <c r="Q714" s="8"/>
      <c r="R714" s="8"/>
      <c r="S714" s="8"/>
      <c r="T714" s="8"/>
      <c r="U714" s="12"/>
      <c r="V714" s="12"/>
      <c r="W714" s="12"/>
      <c r="X714" s="12"/>
      <c r="Y714" s="12"/>
      <c r="Z714" s="12"/>
      <c r="AA714" s="12"/>
      <c r="AB714" s="12"/>
      <c r="AC714" s="12"/>
      <c r="AD714" s="12"/>
      <c r="AE714" s="12"/>
      <c r="AF714" s="12"/>
    </row>
    <row r="715" spans="1:32" ht="13.2">
      <c r="A715" s="8"/>
      <c r="B715" s="8"/>
      <c r="C715" s="8"/>
      <c r="D715" s="8"/>
      <c r="E715" s="8"/>
      <c r="F715" s="8"/>
      <c r="G715" s="8"/>
      <c r="H715" s="8"/>
      <c r="I715" s="8"/>
      <c r="J715" s="8"/>
      <c r="K715" s="8"/>
      <c r="L715" s="8"/>
      <c r="M715" s="8"/>
      <c r="N715" s="8"/>
      <c r="O715" s="8"/>
      <c r="P715" s="8"/>
      <c r="Q715" s="8"/>
      <c r="R715" s="8"/>
      <c r="S715" s="8"/>
      <c r="T715" s="8"/>
      <c r="U715" s="12"/>
      <c r="V715" s="12"/>
      <c r="W715" s="12"/>
      <c r="X715" s="12"/>
      <c r="Y715" s="12"/>
      <c r="Z715" s="12"/>
      <c r="AA715" s="12"/>
      <c r="AB715" s="12"/>
      <c r="AC715" s="12"/>
      <c r="AD715" s="12"/>
      <c r="AE715" s="12"/>
      <c r="AF715" s="12"/>
    </row>
    <row r="716" spans="1:32" ht="13.2">
      <c r="A716" s="8"/>
      <c r="B716" s="8"/>
      <c r="C716" s="8"/>
      <c r="D716" s="8"/>
      <c r="E716" s="8"/>
      <c r="F716" s="8"/>
      <c r="G716" s="8"/>
      <c r="H716" s="8"/>
      <c r="I716" s="8"/>
      <c r="J716" s="8"/>
      <c r="K716" s="8"/>
      <c r="L716" s="8"/>
      <c r="M716" s="8"/>
      <c r="N716" s="8"/>
      <c r="O716" s="8"/>
      <c r="P716" s="8"/>
      <c r="Q716" s="8"/>
      <c r="R716" s="8"/>
      <c r="S716" s="8"/>
      <c r="T716" s="8"/>
      <c r="U716" s="12"/>
      <c r="V716" s="12"/>
      <c r="W716" s="12"/>
      <c r="X716" s="12"/>
      <c r="Y716" s="12"/>
      <c r="Z716" s="12"/>
      <c r="AA716" s="12"/>
      <c r="AB716" s="12"/>
      <c r="AC716" s="12"/>
      <c r="AD716" s="12"/>
      <c r="AE716" s="12"/>
      <c r="AF716" s="12"/>
    </row>
    <row r="717" spans="1:32" ht="13.2">
      <c r="A717" s="8"/>
      <c r="B717" s="8"/>
      <c r="C717" s="8"/>
      <c r="D717" s="8"/>
      <c r="E717" s="8"/>
      <c r="F717" s="8"/>
      <c r="G717" s="8"/>
      <c r="H717" s="8"/>
      <c r="I717" s="8"/>
      <c r="J717" s="8"/>
      <c r="K717" s="8"/>
      <c r="L717" s="8"/>
      <c r="M717" s="8"/>
      <c r="N717" s="8"/>
      <c r="O717" s="8"/>
      <c r="P717" s="8"/>
      <c r="Q717" s="8"/>
      <c r="R717" s="8"/>
      <c r="S717" s="8"/>
      <c r="T717" s="8"/>
      <c r="U717" s="12"/>
      <c r="V717" s="12"/>
      <c r="W717" s="12"/>
      <c r="X717" s="12"/>
      <c r="Y717" s="12"/>
      <c r="Z717" s="12"/>
      <c r="AA717" s="12"/>
      <c r="AB717" s="12"/>
      <c r="AC717" s="12"/>
      <c r="AD717" s="12"/>
      <c r="AE717" s="12"/>
      <c r="AF717" s="12"/>
    </row>
    <row r="718" spans="1:32" ht="13.2">
      <c r="A718" s="8"/>
      <c r="B718" s="8"/>
      <c r="C718" s="8"/>
      <c r="D718" s="8"/>
      <c r="E718" s="8"/>
      <c r="F718" s="8"/>
      <c r="G718" s="8"/>
      <c r="H718" s="8"/>
      <c r="I718" s="8"/>
      <c r="J718" s="8"/>
      <c r="K718" s="8"/>
      <c r="L718" s="8"/>
      <c r="M718" s="8"/>
      <c r="N718" s="8"/>
      <c r="O718" s="8"/>
      <c r="P718" s="8"/>
      <c r="Q718" s="8"/>
      <c r="R718" s="8"/>
      <c r="S718" s="8"/>
      <c r="T718" s="8"/>
      <c r="U718" s="12"/>
      <c r="V718" s="12"/>
      <c r="W718" s="12"/>
      <c r="X718" s="12"/>
      <c r="Y718" s="12"/>
      <c r="Z718" s="12"/>
      <c r="AA718" s="12"/>
      <c r="AB718" s="12"/>
      <c r="AC718" s="12"/>
      <c r="AD718" s="12"/>
      <c r="AE718" s="12"/>
      <c r="AF718" s="12"/>
    </row>
    <row r="719" spans="1:32" ht="13.2">
      <c r="A719" s="8"/>
      <c r="B719" s="8"/>
      <c r="C719" s="8"/>
      <c r="D719" s="8"/>
      <c r="E719" s="8"/>
      <c r="F719" s="8"/>
      <c r="G719" s="8"/>
      <c r="H719" s="8"/>
      <c r="I719" s="8"/>
      <c r="J719" s="8"/>
      <c r="K719" s="8"/>
      <c r="L719" s="8"/>
      <c r="M719" s="8"/>
      <c r="N719" s="8"/>
      <c r="O719" s="8"/>
      <c r="P719" s="8"/>
      <c r="Q719" s="8"/>
      <c r="R719" s="8"/>
      <c r="S719" s="8"/>
      <c r="T719" s="8"/>
      <c r="U719" s="12"/>
      <c r="V719" s="12"/>
      <c r="W719" s="12"/>
      <c r="X719" s="12"/>
      <c r="Y719" s="12"/>
      <c r="Z719" s="12"/>
      <c r="AA719" s="12"/>
      <c r="AB719" s="12"/>
      <c r="AC719" s="12"/>
      <c r="AD719" s="12"/>
      <c r="AE719" s="12"/>
      <c r="AF719" s="12"/>
    </row>
    <row r="720" spans="1:32" ht="13.2">
      <c r="A720" s="8"/>
      <c r="B720" s="8"/>
      <c r="C720" s="8"/>
      <c r="D720" s="8"/>
      <c r="E720" s="8"/>
      <c r="F720" s="8"/>
      <c r="G720" s="8"/>
      <c r="H720" s="8"/>
      <c r="I720" s="8"/>
      <c r="J720" s="8"/>
      <c r="K720" s="8"/>
      <c r="L720" s="8"/>
      <c r="M720" s="8"/>
      <c r="N720" s="8"/>
      <c r="O720" s="8"/>
      <c r="P720" s="8"/>
      <c r="Q720" s="8"/>
      <c r="R720" s="8"/>
      <c r="S720" s="8"/>
      <c r="T720" s="8"/>
      <c r="U720" s="12"/>
      <c r="V720" s="12"/>
      <c r="W720" s="12"/>
      <c r="X720" s="12"/>
      <c r="Y720" s="12"/>
      <c r="Z720" s="12"/>
      <c r="AA720" s="12"/>
      <c r="AB720" s="12"/>
      <c r="AC720" s="12"/>
      <c r="AD720" s="12"/>
      <c r="AE720" s="12"/>
      <c r="AF720" s="12"/>
    </row>
    <row r="721" spans="1:32" ht="13.2">
      <c r="A721" s="8"/>
      <c r="B721" s="8"/>
      <c r="C721" s="8"/>
      <c r="D721" s="8"/>
      <c r="E721" s="8"/>
      <c r="F721" s="8"/>
      <c r="G721" s="8"/>
      <c r="H721" s="8"/>
      <c r="I721" s="8"/>
      <c r="J721" s="8"/>
      <c r="K721" s="8"/>
      <c r="L721" s="8"/>
      <c r="M721" s="8"/>
      <c r="N721" s="8"/>
      <c r="O721" s="8"/>
      <c r="P721" s="8"/>
      <c r="Q721" s="8"/>
      <c r="R721" s="8"/>
      <c r="S721" s="8"/>
      <c r="T721" s="8"/>
      <c r="U721" s="12"/>
      <c r="V721" s="12"/>
      <c r="W721" s="12"/>
      <c r="X721" s="12"/>
      <c r="Y721" s="12"/>
      <c r="Z721" s="12"/>
      <c r="AA721" s="12"/>
      <c r="AB721" s="12"/>
      <c r="AC721" s="12"/>
      <c r="AD721" s="12"/>
      <c r="AE721" s="12"/>
      <c r="AF721" s="12"/>
    </row>
    <row r="722" spans="1:32" ht="13.2">
      <c r="A722" s="8"/>
      <c r="B722" s="8"/>
      <c r="C722" s="8"/>
      <c r="D722" s="8"/>
      <c r="E722" s="8"/>
      <c r="F722" s="8"/>
      <c r="G722" s="8"/>
      <c r="H722" s="8"/>
      <c r="I722" s="8"/>
      <c r="J722" s="8"/>
      <c r="K722" s="8"/>
      <c r="L722" s="8"/>
      <c r="M722" s="8"/>
      <c r="N722" s="8"/>
      <c r="O722" s="8"/>
      <c r="P722" s="8"/>
      <c r="Q722" s="8"/>
      <c r="R722" s="8"/>
      <c r="S722" s="8"/>
      <c r="T722" s="8"/>
      <c r="U722" s="12"/>
      <c r="V722" s="12"/>
      <c r="W722" s="12"/>
      <c r="X722" s="12"/>
      <c r="Y722" s="12"/>
      <c r="Z722" s="12"/>
      <c r="AA722" s="12"/>
      <c r="AB722" s="12"/>
      <c r="AC722" s="12"/>
      <c r="AD722" s="12"/>
      <c r="AE722" s="12"/>
      <c r="AF722" s="12"/>
    </row>
    <row r="723" spans="1:32" ht="13.2">
      <c r="A723" s="8"/>
      <c r="B723" s="8"/>
      <c r="C723" s="8"/>
      <c r="D723" s="8"/>
      <c r="E723" s="8"/>
      <c r="F723" s="8"/>
      <c r="G723" s="8"/>
      <c r="H723" s="8"/>
      <c r="I723" s="8"/>
      <c r="J723" s="8"/>
      <c r="K723" s="8"/>
      <c r="L723" s="8"/>
      <c r="M723" s="8"/>
      <c r="N723" s="8"/>
      <c r="O723" s="8"/>
      <c r="P723" s="8"/>
      <c r="Q723" s="8"/>
      <c r="R723" s="8"/>
      <c r="S723" s="8"/>
      <c r="T723" s="8"/>
      <c r="U723" s="12"/>
      <c r="V723" s="12"/>
      <c r="W723" s="12"/>
      <c r="X723" s="12"/>
      <c r="Y723" s="12"/>
      <c r="Z723" s="12"/>
      <c r="AA723" s="12"/>
      <c r="AB723" s="12"/>
      <c r="AC723" s="12"/>
      <c r="AD723" s="12"/>
      <c r="AE723" s="12"/>
      <c r="AF723" s="12"/>
    </row>
    <row r="724" spans="1:32" ht="13.2">
      <c r="A724" s="8"/>
      <c r="B724" s="8"/>
      <c r="C724" s="8"/>
      <c r="D724" s="8"/>
      <c r="E724" s="8"/>
      <c r="F724" s="8"/>
      <c r="G724" s="8"/>
      <c r="H724" s="8"/>
      <c r="I724" s="8"/>
      <c r="J724" s="8"/>
      <c r="K724" s="8"/>
      <c r="L724" s="8"/>
      <c r="M724" s="8"/>
      <c r="N724" s="8"/>
      <c r="O724" s="8"/>
      <c r="P724" s="8"/>
      <c r="Q724" s="8"/>
      <c r="R724" s="8"/>
      <c r="S724" s="8"/>
      <c r="T724" s="8"/>
      <c r="U724" s="12"/>
      <c r="V724" s="12"/>
      <c r="W724" s="12"/>
      <c r="X724" s="12"/>
      <c r="Y724" s="12"/>
      <c r="Z724" s="12"/>
      <c r="AA724" s="12"/>
      <c r="AB724" s="12"/>
      <c r="AC724" s="12"/>
      <c r="AD724" s="12"/>
      <c r="AE724" s="12"/>
      <c r="AF724" s="12"/>
    </row>
    <row r="725" spans="1:32" ht="13.2">
      <c r="A725" s="8"/>
      <c r="B725" s="8"/>
      <c r="C725" s="8"/>
      <c r="D725" s="8"/>
      <c r="E725" s="8"/>
      <c r="F725" s="8"/>
      <c r="G725" s="8"/>
      <c r="H725" s="8"/>
      <c r="I725" s="8"/>
      <c r="J725" s="8"/>
      <c r="K725" s="8"/>
      <c r="L725" s="8"/>
      <c r="M725" s="8"/>
      <c r="N725" s="8"/>
      <c r="O725" s="8"/>
      <c r="P725" s="8"/>
      <c r="Q725" s="8"/>
      <c r="R725" s="8"/>
      <c r="S725" s="8"/>
      <c r="T725" s="8"/>
      <c r="U725" s="12"/>
      <c r="V725" s="12"/>
      <c r="W725" s="12"/>
      <c r="X725" s="12"/>
      <c r="Y725" s="12"/>
      <c r="Z725" s="12"/>
      <c r="AA725" s="12"/>
      <c r="AB725" s="12"/>
      <c r="AC725" s="12"/>
      <c r="AD725" s="12"/>
      <c r="AE725" s="12"/>
      <c r="AF725" s="12"/>
    </row>
    <row r="726" spans="1:32" ht="13.2">
      <c r="A726" s="8"/>
      <c r="B726" s="8"/>
      <c r="C726" s="8"/>
      <c r="D726" s="8"/>
      <c r="E726" s="8"/>
      <c r="F726" s="8"/>
      <c r="G726" s="8"/>
      <c r="H726" s="8"/>
      <c r="I726" s="8"/>
      <c r="J726" s="8"/>
      <c r="K726" s="8"/>
      <c r="L726" s="8"/>
      <c r="M726" s="8"/>
      <c r="N726" s="8"/>
      <c r="O726" s="8"/>
      <c r="P726" s="8"/>
      <c r="Q726" s="8"/>
      <c r="R726" s="8"/>
      <c r="S726" s="8"/>
      <c r="T726" s="8"/>
      <c r="U726" s="12"/>
      <c r="V726" s="12"/>
      <c r="W726" s="12"/>
      <c r="X726" s="12"/>
      <c r="Y726" s="12"/>
      <c r="Z726" s="12"/>
      <c r="AA726" s="12"/>
      <c r="AB726" s="12"/>
      <c r="AC726" s="12"/>
      <c r="AD726" s="12"/>
      <c r="AE726" s="12"/>
      <c r="AF726" s="12"/>
    </row>
    <row r="727" spans="1:32" ht="13.2">
      <c r="A727" s="8"/>
      <c r="B727" s="8"/>
      <c r="C727" s="8"/>
      <c r="D727" s="8"/>
      <c r="E727" s="8"/>
      <c r="F727" s="8"/>
      <c r="G727" s="8"/>
      <c r="H727" s="8"/>
      <c r="I727" s="8"/>
      <c r="J727" s="8"/>
      <c r="K727" s="8"/>
      <c r="L727" s="8"/>
      <c r="M727" s="8"/>
      <c r="N727" s="8"/>
      <c r="O727" s="8"/>
      <c r="P727" s="8"/>
      <c r="Q727" s="8"/>
      <c r="R727" s="8"/>
      <c r="S727" s="8"/>
      <c r="T727" s="8"/>
      <c r="U727" s="12"/>
      <c r="V727" s="12"/>
      <c r="W727" s="12"/>
      <c r="X727" s="12"/>
      <c r="Y727" s="12"/>
      <c r="Z727" s="12"/>
      <c r="AA727" s="12"/>
      <c r="AB727" s="12"/>
      <c r="AC727" s="12"/>
      <c r="AD727" s="12"/>
      <c r="AE727" s="12"/>
      <c r="AF727" s="12"/>
    </row>
    <row r="728" spans="1:32" ht="13.2">
      <c r="A728" s="8"/>
      <c r="B728" s="8"/>
      <c r="C728" s="8"/>
      <c r="D728" s="8"/>
      <c r="E728" s="8"/>
      <c r="F728" s="8"/>
      <c r="G728" s="8"/>
      <c r="H728" s="8"/>
      <c r="I728" s="8"/>
      <c r="J728" s="8"/>
      <c r="K728" s="8"/>
      <c r="L728" s="8"/>
      <c r="M728" s="8"/>
      <c r="N728" s="8"/>
      <c r="O728" s="8"/>
      <c r="P728" s="8"/>
      <c r="Q728" s="8"/>
      <c r="R728" s="8"/>
      <c r="S728" s="8"/>
      <c r="T728" s="8"/>
      <c r="U728" s="12"/>
      <c r="V728" s="12"/>
      <c r="W728" s="12"/>
      <c r="X728" s="12"/>
      <c r="Y728" s="12"/>
      <c r="Z728" s="12"/>
      <c r="AA728" s="12"/>
      <c r="AB728" s="12"/>
      <c r="AC728" s="12"/>
      <c r="AD728" s="12"/>
      <c r="AE728" s="12"/>
      <c r="AF728" s="12"/>
    </row>
    <row r="729" spans="1:32" ht="13.2">
      <c r="A729" s="8"/>
      <c r="B729" s="8"/>
      <c r="C729" s="8"/>
      <c r="D729" s="8"/>
      <c r="E729" s="8"/>
      <c r="F729" s="8"/>
      <c r="G729" s="8"/>
      <c r="H729" s="8"/>
      <c r="I729" s="8"/>
      <c r="J729" s="8"/>
      <c r="K729" s="8"/>
      <c r="L729" s="8"/>
      <c r="M729" s="8"/>
      <c r="N729" s="8"/>
      <c r="O729" s="8"/>
      <c r="P729" s="8"/>
      <c r="Q729" s="8"/>
      <c r="R729" s="8"/>
      <c r="S729" s="8"/>
      <c r="T729" s="8"/>
      <c r="U729" s="12"/>
      <c r="V729" s="12"/>
      <c r="W729" s="12"/>
      <c r="X729" s="12"/>
      <c r="Y729" s="12"/>
      <c r="Z729" s="12"/>
      <c r="AA729" s="12"/>
      <c r="AB729" s="12"/>
      <c r="AC729" s="12"/>
      <c r="AD729" s="12"/>
      <c r="AE729" s="12"/>
      <c r="AF729" s="12"/>
    </row>
    <row r="730" spans="1:32" ht="13.2">
      <c r="A730" s="8"/>
      <c r="B730" s="8"/>
      <c r="C730" s="8"/>
      <c r="D730" s="8"/>
      <c r="E730" s="8"/>
      <c r="F730" s="8"/>
      <c r="G730" s="8"/>
      <c r="H730" s="8"/>
      <c r="I730" s="8"/>
      <c r="J730" s="8"/>
      <c r="K730" s="8"/>
      <c r="L730" s="8"/>
      <c r="M730" s="8"/>
      <c r="N730" s="8"/>
      <c r="O730" s="8"/>
      <c r="P730" s="8"/>
      <c r="Q730" s="8"/>
      <c r="R730" s="8"/>
      <c r="S730" s="8"/>
      <c r="T730" s="8"/>
      <c r="U730" s="12"/>
      <c r="V730" s="12"/>
      <c r="W730" s="12"/>
      <c r="X730" s="12"/>
      <c r="Y730" s="12"/>
      <c r="Z730" s="12"/>
      <c r="AA730" s="12"/>
      <c r="AB730" s="12"/>
      <c r="AC730" s="12"/>
      <c r="AD730" s="12"/>
      <c r="AE730" s="12"/>
      <c r="AF730" s="12"/>
    </row>
    <row r="731" spans="1:32" ht="13.2">
      <c r="A731" s="8"/>
      <c r="B731" s="8"/>
      <c r="C731" s="8"/>
      <c r="D731" s="8"/>
      <c r="E731" s="8"/>
      <c r="F731" s="8"/>
      <c r="G731" s="8"/>
      <c r="H731" s="8"/>
      <c r="I731" s="8"/>
      <c r="J731" s="8"/>
      <c r="K731" s="8"/>
      <c r="L731" s="8"/>
      <c r="M731" s="8"/>
      <c r="N731" s="8"/>
      <c r="O731" s="8"/>
      <c r="P731" s="8"/>
      <c r="Q731" s="8"/>
      <c r="R731" s="8"/>
      <c r="S731" s="8"/>
      <c r="T731" s="8"/>
      <c r="U731" s="12"/>
      <c r="V731" s="12"/>
      <c r="W731" s="12"/>
      <c r="X731" s="12"/>
      <c r="Y731" s="12"/>
      <c r="Z731" s="12"/>
      <c r="AA731" s="12"/>
      <c r="AB731" s="12"/>
      <c r="AC731" s="12"/>
      <c r="AD731" s="12"/>
      <c r="AE731" s="12"/>
      <c r="AF731" s="12"/>
    </row>
    <row r="732" spans="1:32" ht="13.2">
      <c r="A732" s="8"/>
      <c r="B732" s="8"/>
      <c r="C732" s="8"/>
      <c r="D732" s="8"/>
      <c r="E732" s="8"/>
      <c r="F732" s="8"/>
      <c r="G732" s="8"/>
      <c r="H732" s="8"/>
      <c r="I732" s="8"/>
      <c r="J732" s="8"/>
      <c r="K732" s="8"/>
      <c r="L732" s="8"/>
      <c r="M732" s="8"/>
      <c r="N732" s="8"/>
      <c r="O732" s="8"/>
      <c r="P732" s="8"/>
      <c r="Q732" s="8"/>
      <c r="R732" s="8"/>
      <c r="S732" s="8"/>
      <c r="T732" s="8"/>
      <c r="U732" s="12"/>
      <c r="V732" s="12"/>
      <c r="W732" s="12"/>
      <c r="X732" s="12"/>
      <c r="Y732" s="12"/>
      <c r="Z732" s="12"/>
      <c r="AA732" s="12"/>
      <c r="AB732" s="12"/>
      <c r="AC732" s="12"/>
      <c r="AD732" s="12"/>
      <c r="AE732" s="12"/>
      <c r="AF732" s="12"/>
    </row>
    <row r="733" spans="1:32" ht="13.2">
      <c r="A733" s="8"/>
      <c r="B733" s="8"/>
      <c r="C733" s="8"/>
      <c r="D733" s="8"/>
      <c r="E733" s="8"/>
      <c r="F733" s="8"/>
      <c r="G733" s="8"/>
      <c r="H733" s="8"/>
      <c r="I733" s="8"/>
      <c r="J733" s="8"/>
      <c r="K733" s="8"/>
      <c r="L733" s="8"/>
      <c r="M733" s="8"/>
      <c r="N733" s="8"/>
      <c r="O733" s="8"/>
      <c r="P733" s="8"/>
      <c r="Q733" s="8"/>
      <c r="R733" s="8"/>
      <c r="S733" s="8"/>
      <c r="T733" s="8"/>
      <c r="U733" s="12"/>
      <c r="V733" s="12"/>
      <c r="W733" s="12"/>
      <c r="X733" s="12"/>
      <c r="Y733" s="12"/>
      <c r="Z733" s="12"/>
      <c r="AA733" s="12"/>
      <c r="AB733" s="12"/>
      <c r="AC733" s="12"/>
      <c r="AD733" s="12"/>
      <c r="AE733" s="12"/>
      <c r="AF733" s="12"/>
    </row>
    <row r="734" spans="1:32" ht="13.2">
      <c r="A734" s="8"/>
      <c r="B734" s="8"/>
      <c r="C734" s="8"/>
      <c r="D734" s="8"/>
      <c r="E734" s="8"/>
      <c r="F734" s="8"/>
      <c r="G734" s="8"/>
      <c r="H734" s="8"/>
      <c r="I734" s="8"/>
      <c r="J734" s="8"/>
      <c r="K734" s="8"/>
      <c r="L734" s="8"/>
      <c r="M734" s="8"/>
      <c r="N734" s="8"/>
      <c r="O734" s="8"/>
      <c r="P734" s="8"/>
      <c r="Q734" s="8"/>
      <c r="R734" s="8"/>
      <c r="S734" s="8"/>
      <c r="T734" s="8"/>
      <c r="U734" s="12"/>
      <c r="V734" s="12"/>
      <c r="W734" s="12"/>
      <c r="X734" s="12"/>
      <c r="Y734" s="12"/>
      <c r="Z734" s="12"/>
      <c r="AA734" s="12"/>
      <c r="AB734" s="12"/>
      <c r="AC734" s="12"/>
      <c r="AD734" s="12"/>
      <c r="AE734" s="12"/>
      <c r="AF734" s="12"/>
    </row>
    <row r="735" spans="1:32" ht="13.2">
      <c r="A735" s="8"/>
      <c r="B735" s="8"/>
      <c r="C735" s="8"/>
      <c r="D735" s="8"/>
      <c r="E735" s="8"/>
      <c r="F735" s="8"/>
      <c r="G735" s="8"/>
      <c r="H735" s="8"/>
      <c r="I735" s="8"/>
      <c r="J735" s="8"/>
      <c r="K735" s="8"/>
      <c r="L735" s="8"/>
      <c r="M735" s="8"/>
      <c r="N735" s="8"/>
      <c r="O735" s="8"/>
      <c r="P735" s="8"/>
      <c r="Q735" s="8"/>
      <c r="R735" s="8"/>
      <c r="S735" s="8"/>
      <c r="T735" s="8"/>
      <c r="U735" s="12"/>
      <c r="V735" s="12"/>
      <c r="W735" s="12"/>
      <c r="X735" s="12"/>
      <c r="Y735" s="12"/>
      <c r="Z735" s="12"/>
      <c r="AA735" s="12"/>
      <c r="AB735" s="12"/>
      <c r="AC735" s="12"/>
      <c r="AD735" s="12"/>
      <c r="AE735" s="12"/>
      <c r="AF735" s="12"/>
    </row>
    <row r="736" spans="1:32" ht="13.2">
      <c r="A736" s="8"/>
      <c r="B736" s="8"/>
      <c r="C736" s="8"/>
      <c r="D736" s="8"/>
      <c r="E736" s="8"/>
      <c r="F736" s="8"/>
      <c r="G736" s="8"/>
      <c r="H736" s="8"/>
      <c r="I736" s="8"/>
      <c r="J736" s="8"/>
      <c r="K736" s="8"/>
      <c r="L736" s="8"/>
      <c r="M736" s="8"/>
      <c r="N736" s="8"/>
      <c r="O736" s="8"/>
      <c r="P736" s="8"/>
      <c r="Q736" s="8"/>
      <c r="R736" s="8"/>
      <c r="S736" s="8"/>
      <c r="T736" s="8"/>
      <c r="U736" s="12"/>
      <c r="V736" s="12"/>
      <c r="W736" s="12"/>
      <c r="X736" s="12"/>
      <c r="Y736" s="12"/>
      <c r="Z736" s="12"/>
      <c r="AA736" s="12"/>
      <c r="AB736" s="12"/>
      <c r="AC736" s="12"/>
      <c r="AD736" s="12"/>
      <c r="AE736" s="12"/>
      <c r="AF736" s="12"/>
    </row>
    <row r="737" spans="1:32" ht="13.2">
      <c r="A737" s="8"/>
      <c r="B737" s="8"/>
      <c r="C737" s="8"/>
      <c r="D737" s="8"/>
      <c r="E737" s="8"/>
      <c r="F737" s="8"/>
      <c r="G737" s="8"/>
      <c r="H737" s="8"/>
      <c r="I737" s="8"/>
      <c r="J737" s="8"/>
      <c r="K737" s="8"/>
      <c r="L737" s="8"/>
      <c r="M737" s="8"/>
      <c r="N737" s="8"/>
      <c r="O737" s="8"/>
      <c r="P737" s="8"/>
      <c r="Q737" s="8"/>
      <c r="R737" s="8"/>
      <c r="S737" s="8"/>
      <c r="T737" s="8"/>
      <c r="U737" s="12"/>
      <c r="V737" s="12"/>
      <c r="W737" s="12"/>
      <c r="X737" s="12"/>
      <c r="Y737" s="12"/>
      <c r="Z737" s="12"/>
      <c r="AA737" s="12"/>
      <c r="AB737" s="12"/>
      <c r="AC737" s="12"/>
      <c r="AD737" s="12"/>
      <c r="AE737" s="12"/>
      <c r="AF737" s="12"/>
    </row>
    <row r="738" spans="1:32" ht="13.2">
      <c r="A738" s="8"/>
      <c r="B738" s="8"/>
      <c r="C738" s="8"/>
      <c r="D738" s="8"/>
      <c r="E738" s="8"/>
      <c r="F738" s="8"/>
      <c r="G738" s="8"/>
      <c r="H738" s="8"/>
      <c r="I738" s="8"/>
      <c r="J738" s="8"/>
      <c r="K738" s="8"/>
      <c r="L738" s="8"/>
      <c r="M738" s="8"/>
      <c r="N738" s="8"/>
      <c r="O738" s="8"/>
      <c r="P738" s="8"/>
      <c r="Q738" s="8"/>
      <c r="R738" s="8"/>
      <c r="S738" s="8"/>
      <c r="T738" s="8"/>
      <c r="U738" s="12"/>
      <c r="V738" s="12"/>
      <c r="W738" s="12"/>
      <c r="X738" s="12"/>
      <c r="Y738" s="12"/>
      <c r="Z738" s="12"/>
      <c r="AA738" s="12"/>
      <c r="AB738" s="12"/>
      <c r="AC738" s="12"/>
      <c r="AD738" s="12"/>
      <c r="AE738" s="12"/>
      <c r="AF738" s="12"/>
    </row>
    <row r="739" spans="1:32" ht="13.2">
      <c r="A739" s="8"/>
      <c r="B739" s="8"/>
      <c r="C739" s="8"/>
      <c r="D739" s="8"/>
      <c r="E739" s="8"/>
      <c r="F739" s="8"/>
      <c r="G739" s="8"/>
      <c r="H739" s="8"/>
      <c r="I739" s="8"/>
      <c r="J739" s="8"/>
      <c r="K739" s="8"/>
      <c r="L739" s="8"/>
      <c r="M739" s="8"/>
      <c r="N739" s="8"/>
      <c r="O739" s="8"/>
      <c r="P739" s="8"/>
      <c r="Q739" s="8"/>
      <c r="R739" s="8"/>
      <c r="S739" s="8"/>
      <c r="T739" s="8"/>
      <c r="U739" s="12"/>
      <c r="V739" s="12"/>
      <c r="W739" s="12"/>
      <c r="X739" s="12"/>
      <c r="Y739" s="12"/>
      <c r="Z739" s="12"/>
      <c r="AA739" s="12"/>
      <c r="AB739" s="12"/>
      <c r="AC739" s="12"/>
      <c r="AD739" s="12"/>
      <c r="AE739" s="12"/>
      <c r="AF739" s="12"/>
    </row>
    <row r="740" spans="1:32" ht="13.2">
      <c r="A740" s="8"/>
      <c r="B740" s="8"/>
      <c r="C740" s="8"/>
      <c r="D740" s="8"/>
      <c r="E740" s="8"/>
      <c r="F740" s="8"/>
      <c r="G740" s="8"/>
      <c r="H740" s="8"/>
      <c r="I740" s="8"/>
      <c r="J740" s="8"/>
      <c r="K740" s="8"/>
      <c r="L740" s="8"/>
      <c r="M740" s="8"/>
      <c r="N740" s="8"/>
      <c r="O740" s="8"/>
      <c r="P740" s="8"/>
      <c r="Q740" s="8"/>
      <c r="R740" s="8"/>
      <c r="S740" s="8"/>
      <c r="T740" s="8"/>
      <c r="U740" s="12"/>
      <c r="V740" s="12"/>
      <c r="W740" s="12"/>
      <c r="X740" s="12"/>
      <c r="Y740" s="12"/>
      <c r="Z740" s="12"/>
      <c r="AA740" s="12"/>
      <c r="AB740" s="12"/>
      <c r="AC740" s="12"/>
      <c r="AD740" s="12"/>
      <c r="AE740" s="12"/>
      <c r="AF740" s="12"/>
    </row>
    <row r="741" spans="1:32" ht="13.2">
      <c r="A741" s="8"/>
      <c r="B741" s="8"/>
      <c r="C741" s="8"/>
      <c r="D741" s="8"/>
      <c r="E741" s="8"/>
      <c r="F741" s="8"/>
      <c r="G741" s="8"/>
      <c r="H741" s="8"/>
      <c r="I741" s="8"/>
      <c r="J741" s="8"/>
      <c r="K741" s="8"/>
      <c r="L741" s="8"/>
      <c r="M741" s="8"/>
      <c r="N741" s="8"/>
      <c r="O741" s="8"/>
      <c r="P741" s="8"/>
      <c r="Q741" s="8"/>
      <c r="R741" s="8"/>
      <c r="S741" s="8"/>
      <c r="T741" s="8"/>
      <c r="U741" s="12"/>
      <c r="V741" s="12"/>
      <c r="W741" s="12"/>
      <c r="X741" s="12"/>
      <c r="Y741" s="12"/>
      <c r="Z741" s="12"/>
      <c r="AA741" s="12"/>
      <c r="AB741" s="12"/>
      <c r="AC741" s="12"/>
      <c r="AD741" s="12"/>
      <c r="AE741" s="12"/>
      <c r="AF741" s="12"/>
    </row>
    <row r="742" spans="1:32" ht="13.2">
      <c r="A742" s="8"/>
      <c r="B742" s="8"/>
      <c r="C742" s="8"/>
      <c r="D742" s="8"/>
      <c r="E742" s="8"/>
      <c r="F742" s="8"/>
      <c r="G742" s="8"/>
      <c r="H742" s="8"/>
      <c r="I742" s="8"/>
      <c r="J742" s="8"/>
      <c r="K742" s="8"/>
      <c r="L742" s="8"/>
      <c r="M742" s="8"/>
      <c r="N742" s="8"/>
      <c r="O742" s="8"/>
      <c r="P742" s="8"/>
      <c r="Q742" s="8"/>
      <c r="R742" s="8"/>
      <c r="S742" s="8"/>
      <c r="T742" s="8"/>
      <c r="U742" s="12"/>
      <c r="V742" s="12"/>
      <c r="W742" s="12"/>
      <c r="X742" s="12"/>
      <c r="Y742" s="12"/>
      <c r="Z742" s="12"/>
      <c r="AA742" s="12"/>
      <c r="AB742" s="12"/>
      <c r="AC742" s="12"/>
      <c r="AD742" s="12"/>
      <c r="AE742" s="12"/>
      <c r="AF742" s="12"/>
    </row>
    <row r="743" spans="1:32" ht="13.2">
      <c r="A743" s="8"/>
      <c r="B743" s="8"/>
      <c r="C743" s="8"/>
      <c r="D743" s="8"/>
      <c r="E743" s="8"/>
      <c r="F743" s="8"/>
      <c r="G743" s="8"/>
      <c r="H743" s="8"/>
      <c r="I743" s="8"/>
      <c r="J743" s="8"/>
      <c r="K743" s="8"/>
      <c r="L743" s="8"/>
      <c r="M743" s="8"/>
      <c r="N743" s="8"/>
      <c r="O743" s="8"/>
      <c r="P743" s="8"/>
      <c r="Q743" s="8"/>
      <c r="R743" s="8"/>
      <c r="S743" s="8"/>
      <c r="T743" s="8"/>
      <c r="U743" s="12"/>
      <c r="V743" s="12"/>
      <c r="W743" s="12"/>
      <c r="X743" s="12"/>
      <c r="Y743" s="12"/>
      <c r="Z743" s="12"/>
      <c r="AA743" s="12"/>
      <c r="AB743" s="12"/>
      <c r="AC743" s="12"/>
      <c r="AD743" s="12"/>
      <c r="AE743" s="12"/>
      <c r="AF743" s="12"/>
    </row>
    <row r="744" spans="1:32" ht="13.2">
      <c r="A744" s="8"/>
      <c r="B744" s="8"/>
      <c r="C744" s="8"/>
      <c r="D744" s="8"/>
      <c r="E744" s="8"/>
      <c r="F744" s="8"/>
      <c r="G744" s="8"/>
      <c r="H744" s="8"/>
      <c r="I744" s="8"/>
      <c r="J744" s="8"/>
      <c r="K744" s="8"/>
      <c r="L744" s="8"/>
      <c r="M744" s="8"/>
      <c r="N744" s="8"/>
      <c r="O744" s="8"/>
      <c r="P744" s="8"/>
      <c r="Q744" s="8"/>
      <c r="R744" s="8"/>
      <c r="S744" s="8"/>
      <c r="T744" s="8"/>
      <c r="U744" s="12"/>
      <c r="V744" s="12"/>
      <c r="W744" s="12"/>
      <c r="X744" s="12"/>
      <c r="Y744" s="12"/>
      <c r="Z744" s="12"/>
      <c r="AA744" s="12"/>
      <c r="AB744" s="12"/>
      <c r="AC744" s="12"/>
      <c r="AD744" s="12"/>
      <c r="AE744" s="12"/>
      <c r="AF744" s="12"/>
    </row>
    <row r="745" spans="1:32" ht="13.2">
      <c r="A745" s="8"/>
      <c r="B745" s="8"/>
      <c r="C745" s="8"/>
      <c r="D745" s="8"/>
      <c r="E745" s="8"/>
      <c r="F745" s="8"/>
      <c r="G745" s="8"/>
      <c r="H745" s="8"/>
      <c r="I745" s="8"/>
      <c r="J745" s="8"/>
      <c r="K745" s="8"/>
      <c r="L745" s="8"/>
      <c r="M745" s="8"/>
      <c r="N745" s="8"/>
      <c r="O745" s="8"/>
      <c r="P745" s="8"/>
      <c r="Q745" s="8"/>
      <c r="R745" s="8"/>
      <c r="S745" s="8"/>
      <c r="T745" s="8"/>
      <c r="U745" s="12"/>
      <c r="V745" s="12"/>
      <c r="W745" s="12"/>
      <c r="X745" s="12"/>
      <c r="Y745" s="12"/>
      <c r="Z745" s="12"/>
      <c r="AA745" s="12"/>
      <c r="AB745" s="12"/>
      <c r="AC745" s="12"/>
      <c r="AD745" s="12"/>
      <c r="AE745" s="12"/>
      <c r="AF745" s="12"/>
    </row>
    <row r="746" spans="1:32" ht="13.2">
      <c r="A746" s="8"/>
      <c r="B746" s="8"/>
      <c r="C746" s="8"/>
      <c r="D746" s="8"/>
      <c r="E746" s="8"/>
      <c r="F746" s="8"/>
      <c r="G746" s="8"/>
      <c r="H746" s="8"/>
      <c r="I746" s="8"/>
      <c r="J746" s="8"/>
      <c r="K746" s="8"/>
      <c r="L746" s="8"/>
      <c r="M746" s="8"/>
      <c r="N746" s="8"/>
      <c r="O746" s="8"/>
      <c r="P746" s="8"/>
      <c r="Q746" s="8"/>
      <c r="R746" s="8"/>
      <c r="S746" s="8"/>
      <c r="T746" s="8"/>
      <c r="U746" s="12"/>
      <c r="V746" s="12"/>
      <c r="W746" s="12"/>
      <c r="X746" s="12"/>
      <c r="Y746" s="12"/>
      <c r="Z746" s="12"/>
      <c r="AA746" s="12"/>
      <c r="AB746" s="12"/>
      <c r="AC746" s="12"/>
      <c r="AD746" s="12"/>
      <c r="AE746" s="12"/>
      <c r="AF746" s="12"/>
    </row>
    <row r="747" spans="1:32" ht="13.2">
      <c r="A747" s="8"/>
      <c r="B747" s="8"/>
      <c r="C747" s="8"/>
      <c r="D747" s="8"/>
      <c r="E747" s="8"/>
      <c r="F747" s="8"/>
      <c r="G747" s="8"/>
      <c r="H747" s="8"/>
      <c r="I747" s="8"/>
      <c r="J747" s="8"/>
      <c r="K747" s="8"/>
      <c r="L747" s="8"/>
      <c r="M747" s="8"/>
      <c r="N747" s="8"/>
      <c r="O747" s="8"/>
      <c r="P747" s="8"/>
      <c r="Q747" s="8"/>
      <c r="R747" s="8"/>
      <c r="S747" s="8"/>
      <c r="T747" s="8"/>
      <c r="U747" s="12"/>
      <c r="V747" s="12"/>
      <c r="W747" s="12"/>
      <c r="X747" s="12"/>
      <c r="Y747" s="12"/>
      <c r="Z747" s="12"/>
      <c r="AA747" s="12"/>
      <c r="AB747" s="12"/>
      <c r="AC747" s="12"/>
      <c r="AD747" s="12"/>
      <c r="AE747" s="12"/>
      <c r="AF747" s="12"/>
    </row>
    <row r="748" spans="1:32" ht="13.2">
      <c r="A748" s="8"/>
      <c r="B748" s="8"/>
      <c r="C748" s="8"/>
      <c r="D748" s="8"/>
      <c r="E748" s="8"/>
      <c r="F748" s="8"/>
      <c r="G748" s="8"/>
      <c r="H748" s="8"/>
      <c r="I748" s="8"/>
      <c r="J748" s="8"/>
      <c r="K748" s="8"/>
      <c r="L748" s="8"/>
      <c r="M748" s="8"/>
      <c r="N748" s="8"/>
      <c r="O748" s="8"/>
      <c r="P748" s="8"/>
      <c r="Q748" s="8"/>
      <c r="R748" s="8"/>
      <c r="S748" s="8"/>
      <c r="T748" s="8"/>
      <c r="U748" s="12"/>
      <c r="V748" s="12"/>
      <c r="W748" s="12"/>
      <c r="X748" s="12"/>
      <c r="Y748" s="12"/>
      <c r="Z748" s="12"/>
      <c r="AA748" s="12"/>
      <c r="AB748" s="12"/>
      <c r="AC748" s="12"/>
      <c r="AD748" s="12"/>
      <c r="AE748" s="12"/>
      <c r="AF748" s="12"/>
    </row>
    <row r="749" spans="1:32" ht="13.2">
      <c r="A749" s="8"/>
      <c r="B749" s="8"/>
      <c r="C749" s="8"/>
      <c r="D749" s="8"/>
      <c r="E749" s="8"/>
      <c r="F749" s="8"/>
      <c r="G749" s="8"/>
      <c r="H749" s="8"/>
      <c r="I749" s="8"/>
      <c r="J749" s="8"/>
      <c r="K749" s="8"/>
      <c r="L749" s="8"/>
      <c r="M749" s="8"/>
      <c r="N749" s="8"/>
      <c r="O749" s="8"/>
      <c r="P749" s="8"/>
      <c r="Q749" s="8"/>
      <c r="R749" s="8"/>
      <c r="S749" s="8"/>
      <c r="T749" s="8"/>
      <c r="U749" s="12"/>
      <c r="V749" s="12"/>
      <c r="W749" s="12"/>
      <c r="X749" s="12"/>
      <c r="Y749" s="12"/>
      <c r="Z749" s="12"/>
      <c r="AA749" s="12"/>
      <c r="AB749" s="12"/>
      <c r="AC749" s="12"/>
      <c r="AD749" s="12"/>
      <c r="AE749" s="12"/>
      <c r="AF749" s="12"/>
    </row>
    <row r="750" spans="1:32" ht="13.2">
      <c r="A750" s="8"/>
      <c r="B750" s="8"/>
      <c r="C750" s="8"/>
      <c r="D750" s="8"/>
      <c r="E750" s="8"/>
      <c r="F750" s="8"/>
      <c r="G750" s="8"/>
      <c r="H750" s="8"/>
      <c r="I750" s="8"/>
      <c r="J750" s="8"/>
      <c r="K750" s="8"/>
      <c r="L750" s="8"/>
      <c r="M750" s="8"/>
      <c r="N750" s="8"/>
      <c r="O750" s="8"/>
      <c r="P750" s="8"/>
      <c r="Q750" s="8"/>
      <c r="R750" s="8"/>
      <c r="S750" s="8"/>
      <c r="T750" s="8"/>
      <c r="U750" s="12"/>
      <c r="V750" s="12"/>
      <c r="W750" s="12"/>
      <c r="X750" s="12"/>
      <c r="Y750" s="12"/>
      <c r="Z750" s="12"/>
      <c r="AA750" s="12"/>
      <c r="AB750" s="12"/>
      <c r="AC750" s="12"/>
      <c r="AD750" s="12"/>
      <c r="AE750" s="12"/>
      <c r="AF750" s="12"/>
    </row>
    <row r="751" spans="1:32" ht="13.2">
      <c r="A751" s="8"/>
      <c r="B751" s="8"/>
      <c r="C751" s="8"/>
      <c r="D751" s="8"/>
      <c r="E751" s="8"/>
      <c r="F751" s="8"/>
      <c r="G751" s="8"/>
      <c r="H751" s="8"/>
      <c r="I751" s="8"/>
      <c r="J751" s="8"/>
      <c r="K751" s="8"/>
      <c r="L751" s="8"/>
      <c r="M751" s="8"/>
      <c r="N751" s="8"/>
      <c r="O751" s="8"/>
      <c r="P751" s="8"/>
      <c r="Q751" s="8"/>
      <c r="R751" s="8"/>
      <c r="S751" s="8"/>
      <c r="T751" s="8"/>
      <c r="U751" s="12"/>
      <c r="V751" s="12"/>
      <c r="W751" s="12"/>
      <c r="X751" s="12"/>
      <c r="Y751" s="12"/>
      <c r="Z751" s="12"/>
      <c r="AA751" s="12"/>
      <c r="AB751" s="12"/>
      <c r="AC751" s="12"/>
      <c r="AD751" s="12"/>
      <c r="AE751" s="12"/>
      <c r="AF751" s="12"/>
    </row>
    <row r="752" spans="1:32" ht="13.2">
      <c r="A752" s="8"/>
      <c r="B752" s="8"/>
      <c r="C752" s="8"/>
      <c r="D752" s="8"/>
      <c r="E752" s="8"/>
      <c r="F752" s="8"/>
      <c r="G752" s="8"/>
      <c r="H752" s="8"/>
      <c r="I752" s="8"/>
      <c r="J752" s="8"/>
      <c r="K752" s="8"/>
      <c r="L752" s="8"/>
      <c r="M752" s="8"/>
      <c r="N752" s="8"/>
      <c r="O752" s="8"/>
      <c r="P752" s="8"/>
      <c r="Q752" s="8"/>
      <c r="R752" s="8"/>
      <c r="S752" s="8"/>
      <c r="T752" s="8"/>
      <c r="U752" s="12"/>
      <c r="V752" s="12"/>
      <c r="W752" s="12"/>
      <c r="X752" s="12"/>
      <c r="Y752" s="12"/>
      <c r="Z752" s="12"/>
      <c r="AA752" s="12"/>
      <c r="AB752" s="12"/>
      <c r="AC752" s="12"/>
      <c r="AD752" s="12"/>
      <c r="AE752" s="12"/>
      <c r="AF752" s="12"/>
    </row>
    <row r="753" spans="1:32" ht="13.2">
      <c r="A753" s="8"/>
      <c r="B753" s="8"/>
      <c r="C753" s="8"/>
      <c r="D753" s="8"/>
      <c r="E753" s="8"/>
      <c r="F753" s="8"/>
      <c r="G753" s="8"/>
      <c r="H753" s="8"/>
      <c r="I753" s="8"/>
      <c r="J753" s="8"/>
      <c r="K753" s="8"/>
      <c r="L753" s="8"/>
      <c r="M753" s="8"/>
      <c r="N753" s="8"/>
      <c r="O753" s="8"/>
      <c r="P753" s="8"/>
      <c r="Q753" s="8"/>
      <c r="R753" s="8"/>
      <c r="S753" s="8"/>
      <c r="T753" s="8"/>
      <c r="U753" s="12"/>
      <c r="V753" s="12"/>
      <c r="W753" s="12"/>
      <c r="X753" s="12"/>
      <c r="Y753" s="12"/>
      <c r="Z753" s="12"/>
      <c r="AA753" s="12"/>
      <c r="AB753" s="12"/>
      <c r="AC753" s="12"/>
      <c r="AD753" s="12"/>
      <c r="AE753" s="12"/>
      <c r="AF753" s="12"/>
    </row>
    <row r="754" spans="1:32" ht="13.2">
      <c r="A754" s="8"/>
      <c r="B754" s="8"/>
      <c r="C754" s="8"/>
      <c r="D754" s="8"/>
      <c r="E754" s="8"/>
      <c r="F754" s="8"/>
      <c r="G754" s="8"/>
      <c r="H754" s="8"/>
      <c r="I754" s="8"/>
      <c r="J754" s="8"/>
      <c r="K754" s="8"/>
      <c r="L754" s="8"/>
      <c r="M754" s="8"/>
      <c r="N754" s="8"/>
      <c r="O754" s="8"/>
      <c r="P754" s="8"/>
      <c r="Q754" s="8"/>
      <c r="R754" s="8"/>
      <c r="S754" s="8"/>
      <c r="T754" s="8"/>
      <c r="U754" s="12"/>
      <c r="V754" s="12"/>
      <c r="W754" s="12"/>
      <c r="X754" s="12"/>
      <c r="Y754" s="12"/>
      <c r="Z754" s="12"/>
      <c r="AA754" s="12"/>
      <c r="AB754" s="12"/>
      <c r="AC754" s="12"/>
      <c r="AD754" s="12"/>
      <c r="AE754" s="12"/>
      <c r="AF754" s="12"/>
    </row>
    <row r="755" spans="1:32" ht="13.2">
      <c r="A755" s="8"/>
      <c r="B755" s="8"/>
      <c r="C755" s="8"/>
      <c r="D755" s="8"/>
      <c r="E755" s="8"/>
      <c r="F755" s="8"/>
      <c r="G755" s="8"/>
      <c r="H755" s="8"/>
      <c r="I755" s="8"/>
      <c r="J755" s="8"/>
      <c r="K755" s="8"/>
      <c r="L755" s="8"/>
      <c r="M755" s="8"/>
      <c r="N755" s="8"/>
      <c r="O755" s="8"/>
      <c r="P755" s="8"/>
      <c r="Q755" s="8"/>
      <c r="R755" s="8"/>
      <c r="S755" s="8"/>
      <c r="T755" s="8"/>
      <c r="U755" s="12"/>
      <c r="V755" s="12"/>
      <c r="W755" s="12"/>
      <c r="X755" s="12"/>
      <c r="Y755" s="12"/>
      <c r="Z755" s="12"/>
      <c r="AA755" s="12"/>
      <c r="AB755" s="12"/>
      <c r="AC755" s="12"/>
      <c r="AD755" s="12"/>
      <c r="AE755" s="12"/>
      <c r="AF755" s="12"/>
    </row>
    <row r="756" spans="1:32" ht="13.2">
      <c r="A756" s="8"/>
      <c r="B756" s="8"/>
      <c r="C756" s="8"/>
      <c r="D756" s="8"/>
      <c r="E756" s="8"/>
      <c r="F756" s="8"/>
      <c r="G756" s="8"/>
      <c r="H756" s="8"/>
      <c r="I756" s="8"/>
      <c r="J756" s="8"/>
      <c r="K756" s="8"/>
      <c r="L756" s="8"/>
      <c r="M756" s="8"/>
      <c r="N756" s="8"/>
      <c r="O756" s="8"/>
      <c r="P756" s="8"/>
      <c r="Q756" s="8"/>
      <c r="R756" s="8"/>
      <c r="S756" s="8"/>
      <c r="T756" s="8"/>
      <c r="U756" s="12"/>
      <c r="V756" s="12"/>
      <c r="W756" s="12"/>
      <c r="X756" s="12"/>
      <c r="Y756" s="12"/>
      <c r="Z756" s="12"/>
      <c r="AA756" s="12"/>
      <c r="AB756" s="12"/>
      <c r="AC756" s="12"/>
      <c r="AD756" s="12"/>
      <c r="AE756" s="12"/>
      <c r="AF756" s="12"/>
    </row>
    <row r="757" spans="1:32" ht="13.2">
      <c r="A757" s="8"/>
      <c r="B757" s="8"/>
      <c r="C757" s="8"/>
      <c r="D757" s="8"/>
      <c r="E757" s="8"/>
      <c r="F757" s="8"/>
      <c r="G757" s="8"/>
      <c r="H757" s="8"/>
      <c r="I757" s="8"/>
      <c r="J757" s="8"/>
      <c r="K757" s="8"/>
      <c r="L757" s="8"/>
      <c r="M757" s="8"/>
      <c r="N757" s="8"/>
      <c r="O757" s="8"/>
      <c r="P757" s="8"/>
      <c r="Q757" s="8"/>
      <c r="R757" s="8"/>
      <c r="S757" s="8"/>
      <c r="T757" s="8"/>
      <c r="U757" s="12"/>
      <c r="V757" s="12"/>
      <c r="W757" s="12"/>
      <c r="X757" s="12"/>
      <c r="Y757" s="12"/>
      <c r="Z757" s="12"/>
      <c r="AA757" s="12"/>
      <c r="AB757" s="12"/>
      <c r="AC757" s="12"/>
      <c r="AD757" s="12"/>
      <c r="AE757" s="12"/>
      <c r="AF757" s="12"/>
    </row>
    <row r="758" spans="1:32" ht="13.2">
      <c r="A758" s="8"/>
      <c r="B758" s="8"/>
      <c r="C758" s="8"/>
      <c r="D758" s="8"/>
      <c r="E758" s="8"/>
      <c r="F758" s="8"/>
      <c r="G758" s="8"/>
      <c r="H758" s="8"/>
      <c r="I758" s="8"/>
      <c r="J758" s="8"/>
      <c r="K758" s="8"/>
      <c r="L758" s="8"/>
      <c r="M758" s="8"/>
      <c r="N758" s="8"/>
      <c r="O758" s="8"/>
      <c r="P758" s="8"/>
      <c r="Q758" s="8"/>
      <c r="R758" s="8"/>
      <c r="S758" s="8"/>
      <c r="T758" s="8"/>
      <c r="U758" s="12"/>
      <c r="V758" s="12"/>
      <c r="W758" s="12"/>
      <c r="X758" s="12"/>
      <c r="Y758" s="12"/>
      <c r="Z758" s="12"/>
      <c r="AA758" s="12"/>
      <c r="AB758" s="12"/>
      <c r="AC758" s="12"/>
      <c r="AD758" s="12"/>
      <c r="AE758" s="12"/>
      <c r="AF758" s="12"/>
    </row>
    <row r="759" spans="1:32" ht="13.2">
      <c r="A759" s="8"/>
      <c r="B759" s="8"/>
      <c r="C759" s="8"/>
      <c r="D759" s="8"/>
      <c r="E759" s="8"/>
      <c r="F759" s="8"/>
      <c r="G759" s="8"/>
      <c r="H759" s="8"/>
      <c r="I759" s="8"/>
      <c r="J759" s="8"/>
      <c r="K759" s="8"/>
      <c r="L759" s="8"/>
      <c r="M759" s="8"/>
      <c r="N759" s="8"/>
      <c r="O759" s="8"/>
      <c r="P759" s="8"/>
      <c r="Q759" s="8"/>
      <c r="R759" s="8"/>
      <c r="S759" s="8"/>
      <c r="T759" s="8"/>
      <c r="U759" s="12"/>
      <c r="V759" s="12"/>
      <c r="W759" s="12"/>
      <c r="X759" s="12"/>
      <c r="Y759" s="12"/>
      <c r="Z759" s="12"/>
      <c r="AA759" s="12"/>
      <c r="AB759" s="12"/>
      <c r="AC759" s="12"/>
      <c r="AD759" s="12"/>
      <c r="AE759" s="12"/>
      <c r="AF759" s="12"/>
    </row>
    <row r="760" spans="1:32" ht="13.2">
      <c r="A760" s="8"/>
      <c r="B760" s="8"/>
      <c r="C760" s="8"/>
      <c r="D760" s="8"/>
      <c r="E760" s="8"/>
      <c r="F760" s="8"/>
      <c r="G760" s="8"/>
      <c r="H760" s="8"/>
      <c r="I760" s="8"/>
      <c r="J760" s="8"/>
      <c r="K760" s="8"/>
      <c r="L760" s="8"/>
      <c r="M760" s="8"/>
      <c r="N760" s="8"/>
      <c r="O760" s="8"/>
      <c r="P760" s="8"/>
      <c r="Q760" s="8"/>
      <c r="R760" s="8"/>
      <c r="S760" s="8"/>
      <c r="T760" s="8"/>
      <c r="U760" s="12"/>
      <c r="V760" s="12"/>
      <c r="W760" s="12"/>
      <c r="X760" s="12"/>
      <c r="Y760" s="12"/>
      <c r="Z760" s="12"/>
      <c r="AA760" s="12"/>
      <c r="AB760" s="12"/>
      <c r="AC760" s="12"/>
      <c r="AD760" s="12"/>
      <c r="AE760" s="12"/>
      <c r="AF760" s="12"/>
    </row>
    <row r="761" spans="1:32" ht="13.2">
      <c r="A761" s="8"/>
      <c r="B761" s="8"/>
      <c r="C761" s="8"/>
      <c r="D761" s="8"/>
      <c r="E761" s="8"/>
      <c r="F761" s="8"/>
      <c r="G761" s="8"/>
      <c r="H761" s="8"/>
      <c r="I761" s="8"/>
      <c r="J761" s="8"/>
      <c r="K761" s="8"/>
      <c r="L761" s="8"/>
      <c r="M761" s="8"/>
      <c r="N761" s="8"/>
      <c r="O761" s="8"/>
      <c r="P761" s="8"/>
      <c r="Q761" s="8"/>
      <c r="R761" s="8"/>
      <c r="S761" s="8"/>
      <c r="T761" s="8"/>
      <c r="U761" s="12"/>
      <c r="V761" s="12"/>
      <c r="W761" s="12"/>
      <c r="X761" s="12"/>
      <c r="Y761" s="12"/>
      <c r="Z761" s="12"/>
      <c r="AA761" s="12"/>
      <c r="AB761" s="12"/>
      <c r="AC761" s="12"/>
      <c r="AD761" s="12"/>
      <c r="AE761" s="12"/>
      <c r="AF761" s="12"/>
    </row>
    <row r="762" spans="1:32" ht="13.2">
      <c r="A762" s="8"/>
      <c r="B762" s="8"/>
      <c r="C762" s="8"/>
      <c r="D762" s="8"/>
      <c r="E762" s="8"/>
      <c r="F762" s="8"/>
      <c r="G762" s="8"/>
      <c r="H762" s="8"/>
      <c r="I762" s="8"/>
      <c r="J762" s="8"/>
      <c r="K762" s="8"/>
      <c r="L762" s="8"/>
      <c r="M762" s="8"/>
      <c r="N762" s="8"/>
      <c r="O762" s="8"/>
      <c r="P762" s="8"/>
      <c r="Q762" s="8"/>
      <c r="R762" s="8"/>
      <c r="S762" s="8"/>
      <c r="T762" s="8"/>
      <c r="U762" s="12"/>
      <c r="V762" s="12"/>
      <c r="W762" s="12"/>
      <c r="X762" s="12"/>
      <c r="Y762" s="12"/>
      <c r="Z762" s="12"/>
      <c r="AA762" s="12"/>
      <c r="AB762" s="12"/>
      <c r="AC762" s="12"/>
      <c r="AD762" s="12"/>
      <c r="AE762" s="12"/>
      <c r="AF762" s="12"/>
    </row>
    <row r="763" spans="1:32" ht="13.2">
      <c r="A763" s="8"/>
      <c r="B763" s="8"/>
      <c r="C763" s="8"/>
      <c r="D763" s="8"/>
      <c r="E763" s="8"/>
      <c r="F763" s="8"/>
      <c r="G763" s="8"/>
      <c r="H763" s="8"/>
      <c r="I763" s="8"/>
      <c r="J763" s="8"/>
      <c r="K763" s="8"/>
      <c r="L763" s="8"/>
      <c r="M763" s="8"/>
      <c r="N763" s="8"/>
      <c r="O763" s="8"/>
      <c r="P763" s="8"/>
      <c r="Q763" s="8"/>
      <c r="R763" s="8"/>
      <c r="S763" s="8"/>
      <c r="T763" s="8"/>
      <c r="U763" s="12"/>
      <c r="V763" s="12"/>
      <c r="W763" s="12"/>
      <c r="X763" s="12"/>
      <c r="Y763" s="12"/>
      <c r="Z763" s="12"/>
      <c r="AA763" s="12"/>
      <c r="AB763" s="12"/>
      <c r="AC763" s="12"/>
      <c r="AD763" s="12"/>
      <c r="AE763" s="12"/>
      <c r="AF763" s="12"/>
    </row>
    <row r="764" spans="1:32" ht="13.2">
      <c r="A764" s="8"/>
      <c r="B764" s="8"/>
      <c r="C764" s="8"/>
      <c r="D764" s="8"/>
      <c r="E764" s="8"/>
      <c r="F764" s="8"/>
      <c r="G764" s="8"/>
      <c r="H764" s="8"/>
      <c r="I764" s="8"/>
      <c r="J764" s="8"/>
      <c r="K764" s="8"/>
      <c r="L764" s="8"/>
      <c r="M764" s="8"/>
      <c r="N764" s="8"/>
      <c r="O764" s="8"/>
      <c r="P764" s="8"/>
      <c r="Q764" s="8"/>
      <c r="R764" s="8"/>
      <c r="S764" s="8"/>
      <c r="T764" s="8"/>
      <c r="U764" s="12"/>
      <c r="V764" s="12"/>
      <c r="W764" s="12"/>
      <c r="X764" s="12"/>
      <c r="Y764" s="12"/>
      <c r="Z764" s="12"/>
      <c r="AA764" s="12"/>
      <c r="AB764" s="12"/>
      <c r="AC764" s="12"/>
      <c r="AD764" s="12"/>
      <c r="AE764" s="12"/>
      <c r="AF764" s="12"/>
    </row>
    <row r="765" spans="1:32" ht="13.2">
      <c r="A765" s="8"/>
      <c r="B765" s="8"/>
      <c r="C765" s="8"/>
      <c r="D765" s="8"/>
      <c r="E765" s="8"/>
      <c r="F765" s="8"/>
      <c r="G765" s="8"/>
      <c r="H765" s="8"/>
      <c r="I765" s="8"/>
      <c r="J765" s="8"/>
      <c r="K765" s="8"/>
      <c r="L765" s="8"/>
      <c r="M765" s="8"/>
      <c r="N765" s="8"/>
      <c r="O765" s="8"/>
      <c r="P765" s="8"/>
      <c r="Q765" s="8"/>
      <c r="R765" s="8"/>
      <c r="S765" s="8"/>
      <c r="T765" s="8"/>
      <c r="U765" s="12"/>
      <c r="V765" s="12"/>
      <c r="W765" s="12"/>
      <c r="X765" s="12"/>
      <c r="Y765" s="12"/>
      <c r="Z765" s="12"/>
      <c r="AA765" s="12"/>
      <c r="AB765" s="12"/>
      <c r="AC765" s="12"/>
      <c r="AD765" s="12"/>
      <c r="AE765" s="12"/>
      <c r="AF765" s="12"/>
    </row>
    <row r="766" spans="1:32" ht="13.2">
      <c r="A766" s="8"/>
      <c r="B766" s="8"/>
      <c r="C766" s="8"/>
      <c r="D766" s="8"/>
      <c r="E766" s="8"/>
      <c r="F766" s="8"/>
      <c r="G766" s="8"/>
      <c r="H766" s="8"/>
      <c r="I766" s="8"/>
      <c r="J766" s="8"/>
      <c r="K766" s="8"/>
      <c r="L766" s="8"/>
      <c r="M766" s="8"/>
      <c r="N766" s="8"/>
      <c r="O766" s="8"/>
      <c r="P766" s="8"/>
      <c r="Q766" s="8"/>
      <c r="R766" s="8"/>
      <c r="S766" s="8"/>
      <c r="T766" s="8"/>
      <c r="U766" s="12"/>
      <c r="V766" s="12"/>
      <c r="W766" s="12"/>
      <c r="X766" s="12"/>
      <c r="Y766" s="12"/>
      <c r="Z766" s="12"/>
      <c r="AA766" s="12"/>
      <c r="AB766" s="12"/>
      <c r="AC766" s="12"/>
      <c r="AD766" s="12"/>
      <c r="AE766" s="12"/>
      <c r="AF766" s="12"/>
    </row>
    <row r="767" spans="1:32" ht="13.2">
      <c r="A767" s="8"/>
      <c r="B767" s="8"/>
      <c r="C767" s="8"/>
      <c r="D767" s="8"/>
      <c r="E767" s="8"/>
      <c r="F767" s="8"/>
      <c r="G767" s="8"/>
      <c r="H767" s="8"/>
      <c r="I767" s="8"/>
      <c r="J767" s="8"/>
      <c r="K767" s="8"/>
      <c r="L767" s="8"/>
      <c r="M767" s="8"/>
      <c r="N767" s="8"/>
      <c r="O767" s="8"/>
      <c r="P767" s="8"/>
      <c r="Q767" s="8"/>
      <c r="R767" s="8"/>
      <c r="S767" s="8"/>
      <c r="T767" s="8"/>
      <c r="U767" s="12"/>
      <c r="V767" s="12"/>
      <c r="W767" s="12"/>
      <c r="X767" s="12"/>
      <c r="Y767" s="12"/>
      <c r="Z767" s="12"/>
      <c r="AA767" s="12"/>
      <c r="AB767" s="12"/>
      <c r="AC767" s="12"/>
      <c r="AD767" s="12"/>
      <c r="AE767" s="12"/>
      <c r="AF767" s="12"/>
    </row>
    <row r="768" spans="1:32" ht="13.2">
      <c r="A768" s="8"/>
      <c r="B768" s="8"/>
      <c r="C768" s="8"/>
      <c r="D768" s="8"/>
      <c r="E768" s="8"/>
      <c r="F768" s="8"/>
      <c r="G768" s="8"/>
      <c r="H768" s="8"/>
      <c r="I768" s="8"/>
      <c r="J768" s="8"/>
      <c r="K768" s="8"/>
      <c r="L768" s="8"/>
      <c r="M768" s="8"/>
      <c r="N768" s="8"/>
      <c r="O768" s="8"/>
      <c r="P768" s="8"/>
      <c r="Q768" s="8"/>
      <c r="R768" s="8"/>
      <c r="S768" s="8"/>
      <c r="T768" s="8"/>
      <c r="U768" s="12"/>
      <c r="V768" s="12"/>
      <c r="W768" s="12"/>
      <c r="X768" s="12"/>
      <c r="Y768" s="12"/>
      <c r="Z768" s="12"/>
      <c r="AA768" s="12"/>
      <c r="AB768" s="12"/>
      <c r="AC768" s="12"/>
      <c r="AD768" s="12"/>
      <c r="AE768" s="12"/>
      <c r="AF768" s="12"/>
    </row>
    <row r="769" spans="1:32" ht="13.2">
      <c r="A769" s="8"/>
      <c r="B769" s="8"/>
      <c r="C769" s="8"/>
      <c r="D769" s="8"/>
      <c r="E769" s="8"/>
      <c r="F769" s="8"/>
      <c r="G769" s="8"/>
      <c r="H769" s="8"/>
      <c r="I769" s="8"/>
      <c r="J769" s="8"/>
      <c r="K769" s="8"/>
      <c r="L769" s="8"/>
      <c r="M769" s="8"/>
      <c r="N769" s="8"/>
      <c r="O769" s="8"/>
      <c r="P769" s="8"/>
      <c r="Q769" s="8"/>
      <c r="R769" s="8"/>
      <c r="S769" s="8"/>
      <c r="T769" s="8"/>
      <c r="U769" s="12"/>
      <c r="V769" s="12"/>
      <c r="W769" s="12"/>
      <c r="X769" s="12"/>
      <c r="Y769" s="12"/>
      <c r="Z769" s="12"/>
      <c r="AA769" s="12"/>
      <c r="AB769" s="12"/>
      <c r="AC769" s="12"/>
      <c r="AD769" s="12"/>
      <c r="AE769" s="12"/>
      <c r="AF769" s="12"/>
    </row>
    <row r="770" spans="1:32" ht="13.2">
      <c r="A770" s="8"/>
      <c r="B770" s="8"/>
      <c r="C770" s="8"/>
      <c r="D770" s="8"/>
      <c r="E770" s="8"/>
      <c r="F770" s="8"/>
      <c r="G770" s="8"/>
      <c r="H770" s="8"/>
      <c r="I770" s="8"/>
      <c r="J770" s="8"/>
      <c r="K770" s="8"/>
      <c r="L770" s="8"/>
      <c r="M770" s="8"/>
      <c r="N770" s="8"/>
      <c r="O770" s="8"/>
      <c r="P770" s="8"/>
      <c r="Q770" s="8"/>
      <c r="R770" s="8"/>
      <c r="S770" s="8"/>
      <c r="T770" s="8"/>
      <c r="U770" s="12"/>
      <c r="V770" s="12"/>
      <c r="W770" s="12"/>
      <c r="X770" s="12"/>
      <c r="Y770" s="12"/>
      <c r="Z770" s="12"/>
      <c r="AA770" s="12"/>
      <c r="AB770" s="12"/>
      <c r="AC770" s="12"/>
      <c r="AD770" s="12"/>
      <c r="AE770" s="12"/>
      <c r="AF770" s="12"/>
    </row>
    <row r="771" spans="1:32" ht="13.2">
      <c r="A771" s="8"/>
      <c r="B771" s="8"/>
      <c r="C771" s="8"/>
      <c r="D771" s="8"/>
      <c r="E771" s="8"/>
      <c r="F771" s="8"/>
      <c r="G771" s="8"/>
      <c r="H771" s="8"/>
      <c r="I771" s="8"/>
      <c r="J771" s="8"/>
      <c r="K771" s="8"/>
      <c r="L771" s="8"/>
      <c r="M771" s="8"/>
      <c r="N771" s="8"/>
      <c r="O771" s="8"/>
      <c r="P771" s="8"/>
      <c r="Q771" s="8"/>
      <c r="R771" s="8"/>
      <c r="S771" s="8"/>
      <c r="T771" s="8"/>
      <c r="U771" s="12"/>
      <c r="V771" s="12"/>
      <c r="W771" s="12"/>
      <c r="X771" s="12"/>
      <c r="Y771" s="12"/>
      <c r="Z771" s="12"/>
      <c r="AA771" s="12"/>
      <c r="AB771" s="12"/>
      <c r="AC771" s="12"/>
      <c r="AD771" s="12"/>
      <c r="AE771" s="12"/>
      <c r="AF771" s="12"/>
    </row>
    <row r="772" spans="1:32" ht="13.2">
      <c r="A772" s="8"/>
      <c r="B772" s="8"/>
      <c r="C772" s="8"/>
      <c r="D772" s="8"/>
      <c r="E772" s="8"/>
      <c r="F772" s="8"/>
      <c r="G772" s="8"/>
      <c r="H772" s="8"/>
      <c r="I772" s="8"/>
      <c r="J772" s="8"/>
      <c r="K772" s="8"/>
      <c r="L772" s="8"/>
      <c r="M772" s="8"/>
      <c r="N772" s="8"/>
      <c r="O772" s="8"/>
      <c r="P772" s="8"/>
      <c r="Q772" s="8"/>
      <c r="R772" s="8"/>
      <c r="S772" s="8"/>
      <c r="T772" s="8"/>
      <c r="U772" s="12"/>
      <c r="V772" s="12"/>
      <c r="W772" s="12"/>
      <c r="X772" s="12"/>
      <c r="Y772" s="12"/>
      <c r="Z772" s="12"/>
      <c r="AA772" s="12"/>
      <c r="AB772" s="12"/>
      <c r="AC772" s="12"/>
      <c r="AD772" s="12"/>
      <c r="AE772" s="12"/>
      <c r="AF772" s="12"/>
    </row>
    <row r="773" spans="1:32" ht="13.2">
      <c r="A773" s="8"/>
      <c r="B773" s="8"/>
      <c r="C773" s="8"/>
      <c r="D773" s="8"/>
      <c r="E773" s="8"/>
      <c r="F773" s="8"/>
      <c r="G773" s="8"/>
      <c r="H773" s="8"/>
      <c r="I773" s="8"/>
      <c r="J773" s="8"/>
      <c r="K773" s="8"/>
      <c r="L773" s="8"/>
      <c r="M773" s="8"/>
      <c r="N773" s="8"/>
      <c r="O773" s="8"/>
      <c r="P773" s="8"/>
      <c r="Q773" s="8"/>
      <c r="R773" s="8"/>
      <c r="S773" s="8"/>
      <c r="T773" s="8"/>
      <c r="U773" s="12"/>
      <c r="V773" s="12"/>
      <c r="W773" s="12"/>
      <c r="X773" s="12"/>
      <c r="Y773" s="12"/>
      <c r="Z773" s="12"/>
      <c r="AA773" s="12"/>
      <c r="AB773" s="12"/>
      <c r="AC773" s="12"/>
      <c r="AD773" s="12"/>
      <c r="AE773" s="12"/>
      <c r="AF773" s="12"/>
    </row>
    <row r="774" spans="1:32" ht="13.2">
      <c r="A774" s="8"/>
      <c r="B774" s="8"/>
      <c r="C774" s="8"/>
      <c r="D774" s="8"/>
      <c r="E774" s="8"/>
      <c r="F774" s="8"/>
      <c r="G774" s="8"/>
      <c r="H774" s="8"/>
      <c r="I774" s="8"/>
      <c r="J774" s="8"/>
      <c r="K774" s="8"/>
      <c r="L774" s="8"/>
      <c r="M774" s="8"/>
      <c r="N774" s="8"/>
      <c r="O774" s="8"/>
      <c r="P774" s="8"/>
      <c r="Q774" s="8"/>
      <c r="R774" s="8"/>
      <c r="S774" s="8"/>
      <c r="T774" s="8"/>
      <c r="U774" s="12"/>
      <c r="V774" s="12"/>
      <c r="W774" s="12"/>
      <c r="X774" s="12"/>
      <c r="Y774" s="12"/>
      <c r="Z774" s="12"/>
      <c r="AA774" s="12"/>
      <c r="AB774" s="12"/>
      <c r="AC774" s="12"/>
      <c r="AD774" s="12"/>
      <c r="AE774" s="12"/>
      <c r="AF774" s="12"/>
    </row>
    <row r="775" spans="1:32" ht="13.2">
      <c r="A775" s="8"/>
      <c r="B775" s="8"/>
      <c r="C775" s="8"/>
      <c r="D775" s="8"/>
      <c r="E775" s="8"/>
      <c r="F775" s="8"/>
      <c r="G775" s="8"/>
      <c r="H775" s="8"/>
      <c r="I775" s="8"/>
      <c r="J775" s="8"/>
      <c r="K775" s="8"/>
      <c r="L775" s="8"/>
      <c r="M775" s="8"/>
      <c r="N775" s="8"/>
      <c r="O775" s="8"/>
      <c r="P775" s="8"/>
      <c r="Q775" s="8"/>
      <c r="R775" s="8"/>
      <c r="S775" s="8"/>
      <c r="T775" s="8"/>
      <c r="U775" s="12"/>
      <c r="V775" s="12"/>
      <c r="W775" s="12"/>
      <c r="X775" s="12"/>
      <c r="Y775" s="12"/>
      <c r="Z775" s="12"/>
      <c r="AA775" s="12"/>
      <c r="AB775" s="12"/>
      <c r="AC775" s="12"/>
      <c r="AD775" s="12"/>
      <c r="AE775" s="12"/>
      <c r="AF775" s="12"/>
    </row>
    <row r="776" spans="1:32" ht="13.2">
      <c r="A776" s="8"/>
      <c r="B776" s="8"/>
      <c r="C776" s="8"/>
      <c r="D776" s="8"/>
      <c r="E776" s="8"/>
      <c r="F776" s="8"/>
      <c r="G776" s="8"/>
      <c r="H776" s="8"/>
      <c r="I776" s="8"/>
      <c r="J776" s="8"/>
      <c r="K776" s="8"/>
      <c r="L776" s="8"/>
      <c r="M776" s="8"/>
      <c r="N776" s="8"/>
      <c r="O776" s="8"/>
      <c r="P776" s="8"/>
      <c r="Q776" s="8"/>
      <c r="R776" s="8"/>
      <c r="S776" s="8"/>
      <c r="T776" s="8"/>
      <c r="U776" s="12"/>
      <c r="V776" s="12"/>
      <c r="W776" s="12"/>
      <c r="X776" s="12"/>
      <c r="Y776" s="12"/>
      <c r="Z776" s="12"/>
      <c r="AA776" s="12"/>
      <c r="AB776" s="12"/>
      <c r="AC776" s="12"/>
      <c r="AD776" s="12"/>
      <c r="AE776" s="12"/>
      <c r="AF776" s="12"/>
    </row>
    <row r="777" spans="1:32" ht="13.2">
      <c r="A777" s="8"/>
      <c r="B777" s="8"/>
      <c r="C777" s="8"/>
      <c r="D777" s="8"/>
      <c r="E777" s="8"/>
      <c r="F777" s="8"/>
      <c r="G777" s="8"/>
      <c r="H777" s="8"/>
      <c r="I777" s="8"/>
      <c r="J777" s="8"/>
      <c r="K777" s="8"/>
      <c r="L777" s="8"/>
      <c r="M777" s="8"/>
      <c r="N777" s="8"/>
      <c r="O777" s="8"/>
      <c r="P777" s="8"/>
      <c r="Q777" s="8"/>
      <c r="R777" s="8"/>
      <c r="S777" s="8"/>
      <c r="T777" s="8"/>
      <c r="U777" s="12"/>
      <c r="V777" s="12"/>
      <c r="W777" s="12"/>
      <c r="X777" s="12"/>
      <c r="Y777" s="12"/>
      <c r="Z777" s="12"/>
      <c r="AA777" s="12"/>
      <c r="AB777" s="12"/>
      <c r="AC777" s="12"/>
      <c r="AD777" s="12"/>
      <c r="AE777" s="12"/>
      <c r="AF777" s="12"/>
    </row>
    <row r="778" spans="1:32" ht="13.2">
      <c r="A778" s="8"/>
      <c r="B778" s="8"/>
      <c r="C778" s="8"/>
      <c r="D778" s="8"/>
      <c r="E778" s="8"/>
      <c r="F778" s="8"/>
      <c r="G778" s="8"/>
      <c r="H778" s="8"/>
      <c r="I778" s="8"/>
      <c r="J778" s="8"/>
      <c r="K778" s="8"/>
      <c r="L778" s="8"/>
      <c r="M778" s="8"/>
      <c r="N778" s="8"/>
      <c r="O778" s="8"/>
      <c r="P778" s="8"/>
      <c r="Q778" s="8"/>
      <c r="R778" s="8"/>
      <c r="S778" s="8"/>
      <c r="T778" s="8"/>
      <c r="U778" s="12"/>
      <c r="V778" s="12"/>
      <c r="W778" s="12"/>
      <c r="X778" s="12"/>
      <c r="Y778" s="12"/>
      <c r="Z778" s="12"/>
      <c r="AA778" s="12"/>
      <c r="AB778" s="12"/>
      <c r="AC778" s="12"/>
      <c r="AD778" s="12"/>
      <c r="AE778" s="12"/>
      <c r="AF778" s="12"/>
    </row>
    <row r="779" spans="1:32" ht="13.2">
      <c r="A779" s="8"/>
      <c r="B779" s="8"/>
      <c r="C779" s="8"/>
      <c r="D779" s="8"/>
      <c r="E779" s="8"/>
      <c r="F779" s="8"/>
      <c r="G779" s="8"/>
      <c r="H779" s="8"/>
      <c r="I779" s="8"/>
      <c r="J779" s="8"/>
      <c r="K779" s="8"/>
      <c r="L779" s="8"/>
      <c r="M779" s="8"/>
      <c r="N779" s="8"/>
      <c r="O779" s="8"/>
      <c r="P779" s="8"/>
      <c r="Q779" s="8"/>
      <c r="R779" s="8"/>
      <c r="S779" s="8"/>
      <c r="T779" s="8"/>
      <c r="U779" s="12"/>
      <c r="V779" s="12"/>
      <c r="W779" s="12"/>
      <c r="X779" s="12"/>
      <c r="Y779" s="12"/>
      <c r="Z779" s="12"/>
      <c r="AA779" s="12"/>
      <c r="AB779" s="12"/>
      <c r="AC779" s="12"/>
      <c r="AD779" s="12"/>
      <c r="AE779" s="12"/>
      <c r="AF779" s="12"/>
    </row>
    <row r="780" spans="1:32" ht="13.2">
      <c r="A780" s="8"/>
      <c r="B780" s="8"/>
      <c r="C780" s="8"/>
      <c r="D780" s="8"/>
      <c r="E780" s="8"/>
      <c r="F780" s="8"/>
      <c r="G780" s="8"/>
      <c r="H780" s="8"/>
      <c r="I780" s="8"/>
      <c r="J780" s="8"/>
      <c r="K780" s="8"/>
      <c r="L780" s="8"/>
      <c r="M780" s="8"/>
      <c r="N780" s="8"/>
      <c r="O780" s="8"/>
      <c r="P780" s="8"/>
      <c r="Q780" s="8"/>
      <c r="R780" s="8"/>
      <c r="S780" s="8"/>
      <c r="T780" s="8"/>
      <c r="U780" s="12"/>
      <c r="V780" s="12"/>
      <c r="W780" s="12"/>
      <c r="X780" s="12"/>
      <c r="Y780" s="12"/>
      <c r="Z780" s="12"/>
      <c r="AA780" s="12"/>
      <c r="AB780" s="12"/>
      <c r="AC780" s="12"/>
      <c r="AD780" s="12"/>
      <c r="AE780" s="12"/>
      <c r="AF780" s="12"/>
    </row>
    <row r="781" spans="1:32" ht="13.2">
      <c r="A781" s="8"/>
      <c r="B781" s="8"/>
      <c r="C781" s="8"/>
      <c r="D781" s="8"/>
      <c r="E781" s="8"/>
      <c r="F781" s="8"/>
      <c r="G781" s="8"/>
      <c r="H781" s="8"/>
      <c r="I781" s="8"/>
      <c r="J781" s="8"/>
      <c r="K781" s="8"/>
      <c r="L781" s="8"/>
      <c r="M781" s="8"/>
      <c r="N781" s="8"/>
      <c r="O781" s="8"/>
      <c r="P781" s="8"/>
      <c r="Q781" s="8"/>
      <c r="R781" s="8"/>
      <c r="S781" s="8"/>
      <c r="T781" s="8"/>
      <c r="U781" s="12"/>
      <c r="V781" s="12"/>
      <c r="W781" s="12"/>
      <c r="X781" s="12"/>
      <c r="Y781" s="12"/>
      <c r="Z781" s="12"/>
      <c r="AA781" s="12"/>
      <c r="AB781" s="12"/>
      <c r="AC781" s="12"/>
      <c r="AD781" s="12"/>
      <c r="AE781" s="12"/>
      <c r="AF781" s="12"/>
    </row>
    <row r="782" spans="1:32" ht="13.2">
      <c r="A782" s="8"/>
      <c r="B782" s="8"/>
      <c r="C782" s="8"/>
      <c r="D782" s="8"/>
      <c r="E782" s="8"/>
      <c r="F782" s="8"/>
      <c r="G782" s="8"/>
      <c r="H782" s="8"/>
      <c r="I782" s="8"/>
      <c r="J782" s="8"/>
      <c r="K782" s="8"/>
      <c r="L782" s="8"/>
      <c r="M782" s="8"/>
      <c r="N782" s="8"/>
      <c r="O782" s="8"/>
      <c r="P782" s="8"/>
      <c r="Q782" s="8"/>
      <c r="R782" s="8"/>
      <c r="S782" s="8"/>
      <c r="T782" s="8"/>
      <c r="U782" s="12"/>
      <c r="V782" s="12"/>
      <c r="W782" s="12"/>
      <c r="X782" s="12"/>
      <c r="Y782" s="12"/>
      <c r="Z782" s="12"/>
      <c r="AA782" s="12"/>
      <c r="AB782" s="12"/>
      <c r="AC782" s="12"/>
      <c r="AD782" s="12"/>
      <c r="AE782" s="12"/>
      <c r="AF782" s="12"/>
    </row>
    <row r="783" spans="1:32" ht="13.2">
      <c r="A783" s="8"/>
      <c r="B783" s="8"/>
      <c r="C783" s="8"/>
      <c r="D783" s="8"/>
      <c r="E783" s="8"/>
      <c r="F783" s="8"/>
      <c r="G783" s="8"/>
      <c r="H783" s="8"/>
      <c r="I783" s="8"/>
      <c r="J783" s="8"/>
      <c r="K783" s="8"/>
      <c r="L783" s="8"/>
      <c r="M783" s="8"/>
      <c r="N783" s="8"/>
      <c r="O783" s="8"/>
      <c r="P783" s="8"/>
      <c r="Q783" s="8"/>
      <c r="R783" s="8"/>
      <c r="S783" s="8"/>
      <c r="T783" s="8"/>
      <c r="U783" s="12"/>
      <c r="V783" s="12"/>
      <c r="W783" s="12"/>
      <c r="X783" s="12"/>
      <c r="Y783" s="12"/>
      <c r="Z783" s="12"/>
      <c r="AA783" s="12"/>
      <c r="AB783" s="12"/>
      <c r="AC783" s="12"/>
      <c r="AD783" s="12"/>
      <c r="AE783" s="12"/>
      <c r="AF783" s="12"/>
    </row>
    <row r="784" spans="1:32" ht="13.2">
      <c r="A784" s="8"/>
      <c r="B784" s="8"/>
      <c r="C784" s="8"/>
      <c r="D784" s="8"/>
      <c r="E784" s="8"/>
      <c r="F784" s="8"/>
      <c r="G784" s="8"/>
      <c r="H784" s="8"/>
      <c r="I784" s="8"/>
      <c r="J784" s="8"/>
      <c r="K784" s="8"/>
      <c r="L784" s="8"/>
      <c r="M784" s="8"/>
      <c r="N784" s="8"/>
      <c r="O784" s="8"/>
      <c r="P784" s="8"/>
      <c r="Q784" s="8"/>
      <c r="R784" s="8"/>
      <c r="S784" s="8"/>
      <c r="T784" s="8"/>
      <c r="U784" s="12"/>
      <c r="V784" s="12"/>
      <c r="W784" s="12"/>
      <c r="X784" s="12"/>
      <c r="Y784" s="12"/>
      <c r="Z784" s="12"/>
      <c r="AA784" s="12"/>
      <c r="AB784" s="12"/>
      <c r="AC784" s="12"/>
      <c r="AD784" s="12"/>
      <c r="AE784" s="12"/>
      <c r="AF784" s="12"/>
    </row>
    <row r="785" spans="1:32" ht="13.2">
      <c r="A785" s="8"/>
      <c r="B785" s="8"/>
      <c r="C785" s="8"/>
      <c r="D785" s="8"/>
      <c r="E785" s="8"/>
      <c r="F785" s="8"/>
      <c r="G785" s="8"/>
      <c r="H785" s="8"/>
      <c r="I785" s="8"/>
      <c r="J785" s="8"/>
      <c r="K785" s="8"/>
      <c r="L785" s="8"/>
      <c r="M785" s="8"/>
      <c r="N785" s="8"/>
      <c r="O785" s="8"/>
      <c r="P785" s="8"/>
      <c r="Q785" s="8"/>
      <c r="R785" s="8"/>
      <c r="S785" s="8"/>
      <c r="T785" s="8"/>
      <c r="U785" s="12"/>
      <c r="V785" s="12"/>
      <c r="W785" s="12"/>
      <c r="X785" s="12"/>
      <c r="Y785" s="12"/>
      <c r="Z785" s="12"/>
      <c r="AA785" s="12"/>
      <c r="AB785" s="12"/>
      <c r="AC785" s="12"/>
      <c r="AD785" s="12"/>
      <c r="AE785" s="12"/>
      <c r="AF785" s="12"/>
    </row>
    <row r="786" spans="1:32" ht="13.2">
      <c r="A786" s="8"/>
      <c r="B786" s="8"/>
      <c r="C786" s="8"/>
      <c r="D786" s="8"/>
      <c r="E786" s="8"/>
      <c r="F786" s="8"/>
      <c r="G786" s="8"/>
      <c r="H786" s="8"/>
      <c r="I786" s="8"/>
      <c r="J786" s="8"/>
      <c r="K786" s="8"/>
      <c r="L786" s="8"/>
      <c r="M786" s="8"/>
      <c r="N786" s="8"/>
      <c r="O786" s="8"/>
      <c r="P786" s="8"/>
      <c r="Q786" s="8"/>
      <c r="R786" s="8"/>
      <c r="S786" s="8"/>
      <c r="T786" s="8"/>
      <c r="U786" s="12"/>
      <c r="V786" s="12"/>
      <c r="W786" s="12"/>
      <c r="X786" s="12"/>
      <c r="Y786" s="12"/>
      <c r="Z786" s="12"/>
      <c r="AA786" s="12"/>
      <c r="AB786" s="12"/>
      <c r="AC786" s="12"/>
      <c r="AD786" s="12"/>
      <c r="AE786" s="12"/>
      <c r="AF786" s="12"/>
    </row>
    <row r="787" spans="1:32" ht="13.2">
      <c r="A787" s="8"/>
      <c r="B787" s="8"/>
      <c r="C787" s="8"/>
      <c r="D787" s="8"/>
      <c r="E787" s="8"/>
      <c r="F787" s="8"/>
      <c r="G787" s="8"/>
      <c r="H787" s="8"/>
      <c r="I787" s="8"/>
      <c r="J787" s="8"/>
      <c r="K787" s="8"/>
      <c r="L787" s="8"/>
      <c r="M787" s="8"/>
      <c r="N787" s="8"/>
      <c r="O787" s="8"/>
      <c r="P787" s="8"/>
      <c r="Q787" s="8"/>
      <c r="R787" s="8"/>
      <c r="S787" s="8"/>
      <c r="T787" s="8"/>
      <c r="U787" s="12"/>
      <c r="V787" s="12"/>
      <c r="W787" s="12"/>
      <c r="X787" s="12"/>
      <c r="Y787" s="12"/>
      <c r="Z787" s="12"/>
      <c r="AA787" s="12"/>
      <c r="AB787" s="12"/>
      <c r="AC787" s="12"/>
      <c r="AD787" s="12"/>
      <c r="AE787" s="12"/>
      <c r="AF787" s="12"/>
    </row>
    <row r="788" spans="1:32" ht="13.2">
      <c r="A788" s="8"/>
      <c r="B788" s="8"/>
      <c r="C788" s="8"/>
      <c r="D788" s="8"/>
      <c r="E788" s="8"/>
      <c r="F788" s="8"/>
      <c r="G788" s="8"/>
      <c r="H788" s="8"/>
      <c r="I788" s="8"/>
      <c r="J788" s="8"/>
      <c r="K788" s="8"/>
      <c r="L788" s="8"/>
      <c r="M788" s="8"/>
      <c r="N788" s="8"/>
      <c r="O788" s="8"/>
      <c r="P788" s="8"/>
      <c r="Q788" s="8"/>
      <c r="R788" s="8"/>
      <c r="S788" s="8"/>
      <c r="T788" s="8"/>
      <c r="U788" s="12"/>
      <c r="V788" s="12"/>
      <c r="W788" s="12"/>
      <c r="X788" s="12"/>
      <c r="Y788" s="12"/>
      <c r="Z788" s="12"/>
      <c r="AA788" s="12"/>
      <c r="AB788" s="12"/>
      <c r="AC788" s="12"/>
      <c r="AD788" s="12"/>
      <c r="AE788" s="12"/>
      <c r="AF788" s="12"/>
    </row>
    <row r="789" spans="1:32" ht="13.2">
      <c r="A789" s="8"/>
      <c r="B789" s="8"/>
      <c r="C789" s="8"/>
      <c r="D789" s="8"/>
      <c r="E789" s="8"/>
      <c r="F789" s="8"/>
      <c r="G789" s="8"/>
      <c r="H789" s="8"/>
      <c r="I789" s="8"/>
      <c r="J789" s="8"/>
      <c r="K789" s="8"/>
      <c r="L789" s="8"/>
      <c r="M789" s="8"/>
      <c r="N789" s="8"/>
      <c r="O789" s="8"/>
      <c r="P789" s="8"/>
      <c r="Q789" s="8"/>
      <c r="R789" s="8"/>
      <c r="S789" s="8"/>
      <c r="T789" s="8"/>
      <c r="U789" s="12"/>
      <c r="V789" s="12"/>
      <c r="W789" s="12"/>
      <c r="X789" s="12"/>
      <c r="Y789" s="12"/>
      <c r="Z789" s="12"/>
      <c r="AA789" s="12"/>
      <c r="AB789" s="12"/>
      <c r="AC789" s="12"/>
      <c r="AD789" s="12"/>
      <c r="AE789" s="12"/>
      <c r="AF789" s="12"/>
    </row>
    <row r="790" spans="1:32" ht="13.2">
      <c r="A790" s="8"/>
      <c r="B790" s="8"/>
      <c r="C790" s="8"/>
      <c r="D790" s="8"/>
      <c r="E790" s="8"/>
      <c r="F790" s="8"/>
      <c r="G790" s="8"/>
      <c r="H790" s="8"/>
      <c r="I790" s="8"/>
      <c r="J790" s="8"/>
      <c r="K790" s="8"/>
      <c r="L790" s="8"/>
      <c r="M790" s="8"/>
      <c r="N790" s="8"/>
      <c r="O790" s="8"/>
      <c r="P790" s="8"/>
      <c r="Q790" s="8"/>
      <c r="R790" s="8"/>
      <c r="S790" s="8"/>
      <c r="T790" s="8"/>
      <c r="U790" s="12"/>
      <c r="V790" s="12"/>
      <c r="W790" s="12"/>
      <c r="X790" s="12"/>
      <c r="Y790" s="12"/>
      <c r="Z790" s="12"/>
      <c r="AA790" s="12"/>
      <c r="AB790" s="12"/>
      <c r="AC790" s="12"/>
      <c r="AD790" s="12"/>
      <c r="AE790" s="12"/>
      <c r="AF790" s="12"/>
    </row>
    <row r="791" spans="1:32" ht="13.2">
      <c r="A791" s="8"/>
      <c r="B791" s="8"/>
      <c r="C791" s="8"/>
      <c r="D791" s="8"/>
      <c r="E791" s="8"/>
      <c r="F791" s="8"/>
      <c r="G791" s="8"/>
      <c r="H791" s="8"/>
      <c r="I791" s="8"/>
      <c r="J791" s="8"/>
      <c r="K791" s="8"/>
      <c r="L791" s="8"/>
      <c r="M791" s="8"/>
      <c r="N791" s="8"/>
      <c r="O791" s="8"/>
      <c r="P791" s="8"/>
      <c r="Q791" s="8"/>
      <c r="R791" s="8"/>
      <c r="S791" s="8"/>
      <c r="T791" s="8"/>
      <c r="U791" s="12"/>
      <c r="V791" s="12"/>
      <c r="W791" s="12"/>
      <c r="X791" s="12"/>
      <c r="Y791" s="12"/>
      <c r="Z791" s="12"/>
      <c r="AA791" s="12"/>
      <c r="AB791" s="12"/>
      <c r="AC791" s="12"/>
      <c r="AD791" s="12"/>
      <c r="AE791" s="12"/>
      <c r="AF791" s="12"/>
    </row>
    <row r="792" spans="1:32" ht="13.2">
      <c r="A792" s="8"/>
      <c r="B792" s="8"/>
      <c r="C792" s="8"/>
      <c r="D792" s="8"/>
      <c r="E792" s="8"/>
      <c r="F792" s="8"/>
      <c r="G792" s="8"/>
      <c r="H792" s="8"/>
      <c r="I792" s="8"/>
      <c r="J792" s="8"/>
      <c r="K792" s="8"/>
      <c r="L792" s="8"/>
      <c r="M792" s="8"/>
      <c r="N792" s="8"/>
      <c r="O792" s="8"/>
      <c r="P792" s="8"/>
      <c r="Q792" s="8"/>
      <c r="R792" s="8"/>
      <c r="S792" s="8"/>
      <c r="T792" s="8"/>
      <c r="U792" s="12"/>
      <c r="V792" s="12"/>
      <c r="W792" s="12"/>
      <c r="X792" s="12"/>
      <c r="Y792" s="12"/>
      <c r="Z792" s="12"/>
      <c r="AA792" s="12"/>
      <c r="AB792" s="12"/>
      <c r="AC792" s="12"/>
      <c r="AD792" s="12"/>
      <c r="AE792" s="12"/>
      <c r="AF792" s="12"/>
    </row>
    <row r="793" spans="1:32" ht="13.2">
      <c r="A793" s="8"/>
      <c r="B793" s="8"/>
      <c r="C793" s="8"/>
      <c r="D793" s="8"/>
      <c r="E793" s="8"/>
      <c r="F793" s="8"/>
      <c r="G793" s="8"/>
      <c r="H793" s="8"/>
      <c r="I793" s="8"/>
      <c r="J793" s="8"/>
      <c r="K793" s="8"/>
      <c r="L793" s="8"/>
      <c r="M793" s="8"/>
      <c r="N793" s="8"/>
      <c r="O793" s="8"/>
      <c r="P793" s="8"/>
      <c r="Q793" s="8"/>
      <c r="R793" s="8"/>
      <c r="S793" s="8"/>
      <c r="T793" s="8"/>
      <c r="U793" s="12"/>
      <c r="V793" s="12"/>
      <c r="W793" s="12"/>
      <c r="X793" s="12"/>
      <c r="Y793" s="12"/>
      <c r="Z793" s="12"/>
      <c r="AA793" s="12"/>
      <c r="AB793" s="12"/>
      <c r="AC793" s="12"/>
      <c r="AD793" s="12"/>
      <c r="AE793" s="12"/>
      <c r="AF793" s="12"/>
    </row>
    <row r="794" spans="1:32" ht="13.2">
      <c r="A794" s="8"/>
      <c r="B794" s="8"/>
      <c r="C794" s="8"/>
      <c r="D794" s="8"/>
      <c r="E794" s="8"/>
      <c r="F794" s="8"/>
      <c r="G794" s="8"/>
      <c r="H794" s="8"/>
      <c r="I794" s="8"/>
      <c r="J794" s="8"/>
      <c r="K794" s="8"/>
      <c r="L794" s="8"/>
      <c r="M794" s="8"/>
      <c r="N794" s="8"/>
      <c r="O794" s="8"/>
      <c r="P794" s="8"/>
      <c r="Q794" s="8"/>
      <c r="R794" s="8"/>
      <c r="S794" s="8"/>
      <c r="T794" s="8"/>
      <c r="U794" s="12"/>
      <c r="V794" s="12"/>
      <c r="W794" s="12"/>
      <c r="X794" s="12"/>
      <c r="Y794" s="12"/>
      <c r="Z794" s="12"/>
      <c r="AA794" s="12"/>
      <c r="AB794" s="12"/>
      <c r="AC794" s="12"/>
      <c r="AD794" s="12"/>
      <c r="AE794" s="12"/>
      <c r="AF794" s="12"/>
    </row>
    <row r="795" spans="1:32" ht="13.2">
      <c r="A795" s="8"/>
      <c r="B795" s="8"/>
      <c r="C795" s="8"/>
      <c r="D795" s="8"/>
      <c r="E795" s="8"/>
      <c r="F795" s="8"/>
      <c r="G795" s="8"/>
      <c r="H795" s="8"/>
      <c r="I795" s="8"/>
      <c r="J795" s="8"/>
      <c r="K795" s="8"/>
      <c r="L795" s="8"/>
      <c r="M795" s="8"/>
      <c r="N795" s="8"/>
      <c r="O795" s="8"/>
      <c r="P795" s="8"/>
      <c r="Q795" s="8"/>
      <c r="R795" s="8"/>
      <c r="S795" s="8"/>
      <c r="T795" s="8"/>
      <c r="U795" s="12"/>
      <c r="V795" s="12"/>
      <c r="W795" s="12"/>
      <c r="X795" s="12"/>
      <c r="Y795" s="12"/>
      <c r="Z795" s="12"/>
      <c r="AA795" s="12"/>
      <c r="AB795" s="12"/>
      <c r="AC795" s="12"/>
      <c r="AD795" s="12"/>
      <c r="AE795" s="12"/>
      <c r="AF795" s="12"/>
    </row>
    <row r="796" spans="1:32" ht="13.2">
      <c r="A796" s="8"/>
      <c r="B796" s="8"/>
      <c r="C796" s="8"/>
      <c r="D796" s="8"/>
      <c r="E796" s="8"/>
      <c r="F796" s="8"/>
      <c r="G796" s="8"/>
      <c r="H796" s="8"/>
      <c r="I796" s="8"/>
      <c r="J796" s="8"/>
      <c r="K796" s="8"/>
      <c r="L796" s="8"/>
      <c r="M796" s="8"/>
      <c r="N796" s="8"/>
      <c r="O796" s="8"/>
      <c r="P796" s="8"/>
      <c r="Q796" s="8"/>
      <c r="R796" s="8"/>
      <c r="S796" s="8"/>
      <c r="T796" s="8"/>
      <c r="U796" s="12"/>
      <c r="V796" s="12"/>
      <c r="W796" s="12"/>
      <c r="X796" s="12"/>
      <c r="Y796" s="12"/>
      <c r="Z796" s="12"/>
      <c r="AA796" s="12"/>
      <c r="AB796" s="12"/>
      <c r="AC796" s="12"/>
      <c r="AD796" s="12"/>
      <c r="AE796" s="12"/>
      <c r="AF796" s="12"/>
    </row>
    <row r="797" spans="1:32" ht="13.2">
      <c r="A797" s="8"/>
      <c r="B797" s="8"/>
      <c r="C797" s="8"/>
      <c r="D797" s="8"/>
      <c r="E797" s="8"/>
      <c r="F797" s="8"/>
      <c r="G797" s="8"/>
      <c r="H797" s="8"/>
      <c r="I797" s="8"/>
      <c r="J797" s="8"/>
      <c r="K797" s="8"/>
      <c r="L797" s="8"/>
      <c r="M797" s="8"/>
      <c r="N797" s="8"/>
      <c r="O797" s="8"/>
      <c r="P797" s="8"/>
      <c r="Q797" s="8"/>
      <c r="R797" s="8"/>
      <c r="S797" s="8"/>
      <c r="T797" s="8"/>
      <c r="U797" s="12"/>
      <c r="V797" s="12"/>
      <c r="W797" s="12"/>
      <c r="X797" s="12"/>
      <c r="Y797" s="12"/>
      <c r="Z797" s="12"/>
      <c r="AA797" s="12"/>
      <c r="AB797" s="12"/>
      <c r="AC797" s="12"/>
      <c r="AD797" s="12"/>
      <c r="AE797" s="12"/>
      <c r="AF797" s="12"/>
    </row>
    <row r="798" spans="1:32" ht="13.2">
      <c r="A798" s="8"/>
      <c r="B798" s="8"/>
      <c r="C798" s="8"/>
      <c r="D798" s="8"/>
      <c r="E798" s="8"/>
      <c r="F798" s="8"/>
      <c r="G798" s="8"/>
      <c r="H798" s="8"/>
      <c r="I798" s="8"/>
      <c r="J798" s="8"/>
      <c r="K798" s="8"/>
      <c r="L798" s="8"/>
      <c r="M798" s="8"/>
      <c r="N798" s="8"/>
      <c r="O798" s="8"/>
      <c r="P798" s="8"/>
      <c r="Q798" s="8"/>
      <c r="R798" s="8"/>
      <c r="S798" s="8"/>
      <c r="T798" s="8"/>
      <c r="U798" s="12"/>
      <c r="V798" s="12"/>
      <c r="W798" s="12"/>
      <c r="X798" s="12"/>
      <c r="Y798" s="12"/>
      <c r="Z798" s="12"/>
      <c r="AA798" s="12"/>
      <c r="AB798" s="12"/>
      <c r="AC798" s="12"/>
      <c r="AD798" s="12"/>
      <c r="AE798" s="12"/>
      <c r="AF798" s="12"/>
    </row>
    <row r="799" spans="1:32" ht="13.2">
      <c r="A799" s="8"/>
      <c r="B799" s="8"/>
      <c r="C799" s="8"/>
      <c r="D799" s="8"/>
      <c r="E799" s="8"/>
      <c r="F799" s="8"/>
      <c r="G799" s="8"/>
      <c r="H799" s="8"/>
      <c r="I799" s="8"/>
      <c r="J799" s="8"/>
      <c r="K799" s="8"/>
      <c r="L799" s="8"/>
      <c r="M799" s="8"/>
      <c r="N799" s="8"/>
      <c r="O799" s="8"/>
      <c r="P799" s="8"/>
      <c r="Q799" s="8"/>
      <c r="R799" s="8"/>
      <c r="S799" s="8"/>
      <c r="T799" s="8"/>
      <c r="U799" s="12"/>
      <c r="V799" s="12"/>
      <c r="W799" s="12"/>
      <c r="X799" s="12"/>
      <c r="Y799" s="12"/>
      <c r="Z799" s="12"/>
      <c r="AA799" s="12"/>
      <c r="AB799" s="12"/>
      <c r="AC799" s="12"/>
      <c r="AD799" s="12"/>
      <c r="AE799" s="12"/>
      <c r="AF799" s="12"/>
    </row>
    <row r="800" spans="1:32" ht="13.2">
      <c r="A800" s="8"/>
      <c r="B800" s="8"/>
      <c r="C800" s="8"/>
      <c r="D800" s="8"/>
      <c r="E800" s="8"/>
      <c r="F800" s="8"/>
      <c r="G800" s="8"/>
      <c r="H800" s="8"/>
      <c r="I800" s="8"/>
      <c r="J800" s="8"/>
      <c r="K800" s="8"/>
      <c r="L800" s="8"/>
      <c r="M800" s="8"/>
      <c r="N800" s="8"/>
      <c r="O800" s="8"/>
      <c r="P800" s="8"/>
      <c r="Q800" s="8"/>
      <c r="R800" s="8"/>
      <c r="S800" s="8"/>
      <c r="T800" s="8"/>
      <c r="U800" s="12"/>
      <c r="V800" s="12"/>
      <c r="W800" s="12"/>
      <c r="X800" s="12"/>
      <c r="Y800" s="12"/>
      <c r="Z800" s="12"/>
      <c r="AA800" s="12"/>
      <c r="AB800" s="12"/>
      <c r="AC800" s="12"/>
      <c r="AD800" s="12"/>
      <c r="AE800" s="12"/>
      <c r="AF800" s="12"/>
    </row>
    <row r="801" spans="1:32" ht="13.2">
      <c r="A801" s="8"/>
      <c r="B801" s="8"/>
      <c r="C801" s="8"/>
      <c r="D801" s="8"/>
      <c r="E801" s="8"/>
      <c r="F801" s="8"/>
      <c r="G801" s="8"/>
      <c r="H801" s="8"/>
      <c r="I801" s="8"/>
      <c r="J801" s="8"/>
      <c r="K801" s="8"/>
      <c r="L801" s="8"/>
      <c r="M801" s="8"/>
      <c r="N801" s="8"/>
      <c r="O801" s="8"/>
      <c r="P801" s="8"/>
      <c r="Q801" s="8"/>
      <c r="R801" s="8"/>
      <c r="S801" s="8"/>
      <c r="T801" s="8"/>
      <c r="U801" s="12"/>
      <c r="V801" s="12"/>
      <c r="W801" s="12"/>
      <c r="X801" s="12"/>
      <c r="Y801" s="12"/>
      <c r="Z801" s="12"/>
      <c r="AA801" s="12"/>
      <c r="AB801" s="12"/>
      <c r="AC801" s="12"/>
      <c r="AD801" s="12"/>
      <c r="AE801" s="12"/>
      <c r="AF801" s="12"/>
    </row>
    <row r="802" spans="1:32" ht="13.2">
      <c r="A802" s="8"/>
      <c r="B802" s="8"/>
      <c r="C802" s="8"/>
      <c r="D802" s="8"/>
      <c r="E802" s="8"/>
      <c r="F802" s="8"/>
      <c r="G802" s="8"/>
      <c r="H802" s="8"/>
      <c r="I802" s="8"/>
      <c r="J802" s="8"/>
      <c r="K802" s="8"/>
      <c r="L802" s="8"/>
      <c r="M802" s="8"/>
      <c r="N802" s="8"/>
      <c r="O802" s="8"/>
      <c r="P802" s="8"/>
      <c r="Q802" s="8"/>
      <c r="R802" s="8"/>
      <c r="S802" s="8"/>
      <c r="T802" s="8"/>
      <c r="U802" s="12"/>
      <c r="V802" s="12"/>
      <c r="W802" s="12"/>
      <c r="X802" s="12"/>
      <c r="Y802" s="12"/>
      <c r="Z802" s="12"/>
      <c r="AA802" s="12"/>
      <c r="AB802" s="12"/>
      <c r="AC802" s="12"/>
      <c r="AD802" s="12"/>
      <c r="AE802" s="12"/>
      <c r="AF802" s="12"/>
    </row>
    <row r="803" spans="1:32" ht="13.2">
      <c r="A803" s="8"/>
      <c r="B803" s="8"/>
      <c r="C803" s="8"/>
      <c r="D803" s="8"/>
      <c r="E803" s="8"/>
      <c r="F803" s="8"/>
      <c r="G803" s="8"/>
      <c r="H803" s="8"/>
      <c r="I803" s="8"/>
      <c r="J803" s="8"/>
      <c r="K803" s="8"/>
      <c r="L803" s="8"/>
      <c r="M803" s="8"/>
      <c r="N803" s="8"/>
      <c r="O803" s="8"/>
      <c r="P803" s="8"/>
      <c r="Q803" s="8"/>
      <c r="R803" s="8"/>
      <c r="S803" s="8"/>
      <c r="T803" s="8"/>
      <c r="U803" s="12"/>
      <c r="V803" s="12"/>
      <c r="W803" s="12"/>
      <c r="X803" s="12"/>
      <c r="Y803" s="12"/>
      <c r="Z803" s="12"/>
      <c r="AA803" s="12"/>
      <c r="AB803" s="12"/>
      <c r="AC803" s="12"/>
      <c r="AD803" s="12"/>
      <c r="AE803" s="12"/>
      <c r="AF803" s="12"/>
    </row>
    <row r="804" spans="1:32" ht="13.2">
      <c r="A804" s="8"/>
      <c r="B804" s="8"/>
      <c r="C804" s="8"/>
      <c r="D804" s="8"/>
      <c r="E804" s="8"/>
      <c r="F804" s="8"/>
      <c r="G804" s="8"/>
      <c r="H804" s="8"/>
      <c r="I804" s="8"/>
      <c r="J804" s="8"/>
      <c r="K804" s="8"/>
      <c r="L804" s="8"/>
      <c r="M804" s="8"/>
      <c r="N804" s="8"/>
      <c r="O804" s="8"/>
      <c r="P804" s="8"/>
      <c r="Q804" s="8"/>
      <c r="R804" s="8"/>
      <c r="S804" s="8"/>
      <c r="T804" s="8"/>
      <c r="U804" s="12"/>
      <c r="V804" s="12"/>
      <c r="W804" s="12"/>
      <c r="X804" s="12"/>
      <c r="Y804" s="12"/>
      <c r="Z804" s="12"/>
      <c r="AA804" s="12"/>
      <c r="AB804" s="12"/>
      <c r="AC804" s="12"/>
      <c r="AD804" s="12"/>
      <c r="AE804" s="12"/>
      <c r="AF804" s="12"/>
    </row>
    <row r="805" spans="1:32" ht="13.2">
      <c r="A805" s="8"/>
      <c r="B805" s="8"/>
      <c r="C805" s="8"/>
      <c r="D805" s="8"/>
      <c r="E805" s="8"/>
      <c r="F805" s="8"/>
      <c r="G805" s="8"/>
      <c r="H805" s="8"/>
      <c r="I805" s="8"/>
      <c r="J805" s="8"/>
      <c r="K805" s="8"/>
      <c r="L805" s="8"/>
      <c r="M805" s="8"/>
      <c r="N805" s="8"/>
      <c r="O805" s="8"/>
      <c r="P805" s="8"/>
      <c r="Q805" s="8"/>
      <c r="R805" s="8"/>
      <c r="S805" s="8"/>
      <c r="T805" s="8"/>
      <c r="U805" s="12"/>
      <c r="V805" s="12"/>
      <c r="W805" s="12"/>
      <c r="X805" s="12"/>
      <c r="Y805" s="12"/>
      <c r="Z805" s="12"/>
      <c r="AA805" s="12"/>
      <c r="AB805" s="12"/>
      <c r="AC805" s="12"/>
      <c r="AD805" s="12"/>
      <c r="AE805" s="12"/>
      <c r="AF805" s="12"/>
    </row>
    <row r="806" spans="1:32" ht="13.2">
      <c r="A806" s="8"/>
      <c r="B806" s="8"/>
      <c r="C806" s="8"/>
      <c r="D806" s="8"/>
      <c r="E806" s="8"/>
      <c r="F806" s="8"/>
      <c r="G806" s="8"/>
      <c r="H806" s="8"/>
      <c r="I806" s="8"/>
      <c r="J806" s="8"/>
      <c r="K806" s="8"/>
      <c r="L806" s="8"/>
      <c r="M806" s="8"/>
      <c r="N806" s="8"/>
      <c r="O806" s="8"/>
      <c r="P806" s="8"/>
      <c r="Q806" s="8"/>
      <c r="R806" s="8"/>
      <c r="S806" s="8"/>
      <c r="T806" s="8"/>
      <c r="U806" s="12"/>
      <c r="V806" s="12"/>
      <c r="W806" s="12"/>
      <c r="X806" s="12"/>
      <c r="Y806" s="12"/>
      <c r="Z806" s="12"/>
      <c r="AA806" s="12"/>
      <c r="AB806" s="12"/>
      <c r="AC806" s="12"/>
      <c r="AD806" s="12"/>
      <c r="AE806" s="12"/>
      <c r="AF806" s="12"/>
    </row>
    <row r="807" spans="1:32" ht="13.2">
      <c r="A807" s="8"/>
      <c r="B807" s="8"/>
      <c r="C807" s="8"/>
      <c r="D807" s="8"/>
      <c r="E807" s="8"/>
      <c r="F807" s="8"/>
      <c r="G807" s="8"/>
      <c r="H807" s="8"/>
      <c r="I807" s="8"/>
      <c r="J807" s="8"/>
      <c r="K807" s="8"/>
      <c r="L807" s="8"/>
      <c r="M807" s="8"/>
      <c r="N807" s="8"/>
      <c r="O807" s="8"/>
      <c r="P807" s="8"/>
      <c r="Q807" s="8"/>
      <c r="R807" s="8"/>
      <c r="S807" s="8"/>
      <c r="T807" s="8"/>
      <c r="U807" s="12"/>
      <c r="V807" s="12"/>
      <c r="W807" s="12"/>
      <c r="X807" s="12"/>
      <c r="Y807" s="12"/>
      <c r="Z807" s="12"/>
      <c r="AA807" s="12"/>
      <c r="AB807" s="12"/>
      <c r="AC807" s="12"/>
      <c r="AD807" s="12"/>
      <c r="AE807" s="12"/>
      <c r="AF807" s="12"/>
    </row>
    <row r="808" spans="1:32" ht="13.2">
      <c r="A808" s="8"/>
      <c r="B808" s="8"/>
      <c r="C808" s="8"/>
      <c r="D808" s="8"/>
      <c r="E808" s="8"/>
      <c r="F808" s="8"/>
      <c r="G808" s="8"/>
      <c r="H808" s="8"/>
      <c r="I808" s="8"/>
      <c r="J808" s="8"/>
      <c r="K808" s="8"/>
      <c r="L808" s="8"/>
      <c r="M808" s="8"/>
      <c r="N808" s="8"/>
      <c r="O808" s="8"/>
      <c r="P808" s="8"/>
      <c r="Q808" s="8"/>
      <c r="R808" s="8"/>
      <c r="S808" s="8"/>
      <c r="T808" s="8"/>
      <c r="U808" s="12"/>
      <c r="V808" s="12"/>
      <c r="W808" s="12"/>
      <c r="X808" s="12"/>
      <c r="Y808" s="12"/>
      <c r="Z808" s="12"/>
      <c r="AA808" s="12"/>
      <c r="AB808" s="12"/>
      <c r="AC808" s="12"/>
      <c r="AD808" s="12"/>
      <c r="AE808" s="12"/>
      <c r="AF808" s="12"/>
    </row>
    <row r="809" spans="1:32" ht="13.2">
      <c r="A809" s="8"/>
      <c r="B809" s="8"/>
      <c r="C809" s="8"/>
      <c r="D809" s="8"/>
      <c r="E809" s="8"/>
      <c r="F809" s="8"/>
      <c r="G809" s="8"/>
      <c r="H809" s="8"/>
      <c r="I809" s="8"/>
      <c r="J809" s="8"/>
      <c r="K809" s="8"/>
      <c r="L809" s="8"/>
      <c r="M809" s="8"/>
      <c r="N809" s="8"/>
      <c r="O809" s="8"/>
      <c r="P809" s="8"/>
      <c r="Q809" s="8"/>
      <c r="R809" s="8"/>
      <c r="S809" s="8"/>
      <c r="T809" s="8"/>
      <c r="U809" s="12"/>
      <c r="V809" s="12"/>
      <c r="W809" s="12"/>
      <c r="X809" s="12"/>
      <c r="Y809" s="12"/>
      <c r="Z809" s="12"/>
      <c r="AA809" s="12"/>
      <c r="AB809" s="12"/>
      <c r="AC809" s="12"/>
      <c r="AD809" s="12"/>
      <c r="AE809" s="12"/>
      <c r="AF809" s="12"/>
    </row>
    <row r="810" spans="1:32" ht="13.2">
      <c r="A810" s="8"/>
      <c r="B810" s="8"/>
      <c r="C810" s="8"/>
      <c r="D810" s="8"/>
      <c r="E810" s="8"/>
      <c r="F810" s="8"/>
      <c r="G810" s="8"/>
      <c r="H810" s="8"/>
      <c r="I810" s="8"/>
      <c r="J810" s="8"/>
      <c r="K810" s="8"/>
      <c r="L810" s="8"/>
      <c r="M810" s="8"/>
      <c r="N810" s="8"/>
      <c r="O810" s="8"/>
      <c r="P810" s="8"/>
      <c r="Q810" s="8"/>
      <c r="R810" s="8"/>
      <c r="S810" s="8"/>
      <c r="T810" s="8"/>
      <c r="U810" s="12"/>
      <c r="V810" s="12"/>
      <c r="W810" s="12"/>
      <c r="X810" s="12"/>
      <c r="Y810" s="12"/>
      <c r="Z810" s="12"/>
      <c r="AA810" s="12"/>
      <c r="AB810" s="12"/>
      <c r="AC810" s="12"/>
      <c r="AD810" s="12"/>
      <c r="AE810" s="12"/>
      <c r="AF810" s="12"/>
    </row>
    <row r="811" spans="1:32" ht="13.2">
      <c r="A811" s="8"/>
      <c r="B811" s="8"/>
      <c r="C811" s="8"/>
      <c r="D811" s="8"/>
      <c r="E811" s="8"/>
      <c r="F811" s="8"/>
      <c r="G811" s="8"/>
      <c r="H811" s="8"/>
      <c r="I811" s="8"/>
      <c r="J811" s="8"/>
      <c r="K811" s="8"/>
      <c r="L811" s="8"/>
      <c r="M811" s="8"/>
      <c r="N811" s="8"/>
      <c r="O811" s="8"/>
      <c r="P811" s="8"/>
      <c r="Q811" s="8"/>
      <c r="R811" s="8"/>
      <c r="S811" s="8"/>
      <c r="T811" s="8"/>
      <c r="U811" s="12"/>
      <c r="V811" s="12"/>
      <c r="W811" s="12"/>
      <c r="X811" s="12"/>
      <c r="Y811" s="12"/>
      <c r="Z811" s="12"/>
      <c r="AA811" s="12"/>
      <c r="AB811" s="12"/>
      <c r="AC811" s="12"/>
      <c r="AD811" s="12"/>
      <c r="AE811" s="12"/>
      <c r="AF811" s="12"/>
    </row>
    <row r="812" spans="1:32" ht="13.2">
      <c r="A812" s="8"/>
      <c r="B812" s="8"/>
      <c r="C812" s="8"/>
      <c r="D812" s="8"/>
      <c r="E812" s="8"/>
      <c r="F812" s="8"/>
      <c r="G812" s="8"/>
      <c r="H812" s="8"/>
      <c r="I812" s="8"/>
      <c r="J812" s="8"/>
      <c r="K812" s="8"/>
      <c r="L812" s="8"/>
      <c r="M812" s="8"/>
      <c r="N812" s="8"/>
      <c r="O812" s="8"/>
      <c r="P812" s="8"/>
      <c r="Q812" s="8"/>
      <c r="R812" s="8"/>
      <c r="S812" s="8"/>
      <c r="T812" s="8"/>
      <c r="U812" s="12"/>
      <c r="V812" s="12"/>
      <c r="W812" s="12"/>
      <c r="X812" s="12"/>
      <c r="Y812" s="12"/>
      <c r="Z812" s="12"/>
      <c r="AA812" s="12"/>
      <c r="AB812" s="12"/>
      <c r="AC812" s="12"/>
      <c r="AD812" s="12"/>
      <c r="AE812" s="12"/>
      <c r="AF812" s="12"/>
    </row>
    <row r="813" spans="1:32" ht="13.2">
      <c r="A813" s="8"/>
      <c r="B813" s="8"/>
      <c r="C813" s="8"/>
      <c r="D813" s="8"/>
      <c r="E813" s="8"/>
      <c r="F813" s="8"/>
      <c r="G813" s="8"/>
      <c r="H813" s="8"/>
      <c r="I813" s="8"/>
      <c r="J813" s="8"/>
      <c r="K813" s="8"/>
      <c r="L813" s="8"/>
      <c r="M813" s="8"/>
      <c r="N813" s="8"/>
      <c r="O813" s="8"/>
      <c r="P813" s="8"/>
      <c r="Q813" s="8"/>
      <c r="R813" s="8"/>
      <c r="S813" s="8"/>
      <c r="T813" s="8"/>
      <c r="U813" s="12"/>
      <c r="V813" s="12"/>
      <c r="W813" s="12"/>
      <c r="X813" s="12"/>
      <c r="Y813" s="12"/>
      <c r="Z813" s="12"/>
      <c r="AA813" s="12"/>
      <c r="AB813" s="12"/>
      <c r="AC813" s="12"/>
      <c r="AD813" s="12"/>
      <c r="AE813" s="12"/>
      <c r="AF813" s="12"/>
    </row>
    <row r="814" spans="1:32" ht="13.2">
      <c r="A814" s="8"/>
      <c r="B814" s="8"/>
      <c r="C814" s="8"/>
      <c r="D814" s="8"/>
      <c r="E814" s="8"/>
      <c r="F814" s="8"/>
      <c r="G814" s="8"/>
      <c r="H814" s="8"/>
      <c r="I814" s="8"/>
      <c r="J814" s="8"/>
      <c r="K814" s="8"/>
      <c r="L814" s="8"/>
      <c r="M814" s="8"/>
      <c r="N814" s="8"/>
      <c r="O814" s="8"/>
      <c r="P814" s="8"/>
      <c r="Q814" s="8"/>
      <c r="R814" s="8"/>
      <c r="S814" s="8"/>
      <c r="T814" s="8"/>
      <c r="U814" s="12"/>
      <c r="V814" s="12"/>
      <c r="W814" s="12"/>
      <c r="X814" s="12"/>
      <c r="Y814" s="12"/>
      <c r="Z814" s="12"/>
      <c r="AA814" s="12"/>
      <c r="AB814" s="12"/>
      <c r="AC814" s="12"/>
      <c r="AD814" s="12"/>
      <c r="AE814" s="12"/>
      <c r="AF814" s="12"/>
    </row>
    <row r="815" spans="1:32" ht="13.2">
      <c r="A815" s="8"/>
      <c r="B815" s="8"/>
      <c r="C815" s="8"/>
      <c r="D815" s="8"/>
      <c r="E815" s="8"/>
      <c r="F815" s="8"/>
      <c r="G815" s="8"/>
      <c r="H815" s="8"/>
      <c r="I815" s="8"/>
      <c r="J815" s="8"/>
      <c r="K815" s="8"/>
      <c r="L815" s="8"/>
      <c r="M815" s="8"/>
      <c r="N815" s="8"/>
      <c r="O815" s="8"/>
      <c r="P815" s="8"/>
      <c r="Q815" s="8"/>
      <c r="R815" s="8"/>
      <c r="S815" s="8"/>
      <c r="T815" s="8"/>
      <c r="U815" s="12"/>
      <c r="V815" s="12"/>
      <c r="W815" s="12"/>
      <c r="X815" s="12"/>
      <c r="Y815" s="12"/>
      <c r="Z815" s="12"/>
      <c r="AA815" s="12"/>
      <c r="AB815" s="12"/>
      <c r="AC815" s="12"/>
      <c r="AD815" s="12"/>
      <c r="AE815" s="12"/>
      <c r="AF815" s="12"/>
    </row>
    <row r="816" spans="1:32" ht="13.2">
      <c r="A816" s="8"/>
      <c r="B816" s="8"/>
      <c r="C816" s="8"/>
      <c r="D816" s="8"/>
      <c r="E816" s="8"/>
      <c r="F816" s="8"/>
      <c r="G816" s="8"/>
      <c r="H816" s="8"/>
      <c r="I816" s="8"/>
      <c r="J816" s="8"/>
      <c r="K816" s="8"/>
      <c r="L816" s="8"/>
      <c r="M816" s="8"/>
      <c r="N816" s="8"/>
      <c r="O816" s="8"/>
      <c r="P816" s="8"/>
      <c r="Q816" s="8"/>
      <c r="R816" s="8"/>
      <c r="S816" s="8"/>
      <c r="T816" s="8"/>
      <c r="U816" s="12"/>
      <c r="V816" s="12"/>
      <c r="W816" s="12"/>
      <c r="X816" s="12"/>
      <c r="Y816" s="12"/>
      <c r="Z816" s="12"/>
      <c r="AA816" s="12"/>
      <c r="AB816" s="12"/>
      <c r="AC816" s="12"/>
      <c r="AD816" s="12"/>
      <c r="AE816" s="12"/>
      <c r="AF816" s="12"/>
    </row>
    <row r="817" spans="1:32" ht="13.2">
      <c r="A817" s="8"/>
      <c r="B817" s="8"/>
      <c r="C817" s="8"/>
      <c r="D817" s="8"/>
      <c r="E817" s="8"/>
      <c r="F817" s="8"/>
      <c r="G817" s="8"/>
      <c r="H817" s="8"/>
      <c r="I817" s="8"/>
      <c r="J817" s="8"/>
      <c r="K817" s="8"/>
      <c r="L817" s="8"/>
      <c r="M817" s="8"/>
      <c r="N817" s="8"/>
      <c r="O817" s="8"/>
      <c r="P817" s="8"/>
      <c r="Q817" s="8"/>
      <c r="R817" s="8"/>
      <c r="S817" s="8"/>
      <c r="T817" s="8"/>
      <c r="U817" s="12"/>
      <c r="V817" s="12"/>
      <c r="W817" s="12"/>
      <c r="X817" s="12"/>
      <c r="Y817" s="12"/>
      <c r="Z817" s="12"/>
      <c r="AA817" s="12"/>
      <c r="AB817" s="12"/>
      <c r="AC817" s="12"/>
      <c r="AD817" s="12"/>
      <c r="AE817" s="12"/>
      <c r="AF817" s="12"/>
    </row>
    <row r="818" spans="1:32" ht="13.2">
      <c r="A818" s="8"/>
      <c r="B818" s="8"/>
      <c r="C818" s="8"/>
      <c r="D818" s="8"/>
      <c r="E818" s="8"/>
      <c r="F818" s="8"/>
      <c r="G818" s="8"/>
      <c r="H818" s="8"/>
      <c r="I818" s="8"/>
      <c r="J818" s="8"/>
      <c r="K818" s="8"/>
      <c r="L818" s="8"/>
      <c r="M818" s="8"/>
      <c r="N818" s="8"/>
      <c r="O818" s="8"/>
      <c r="P818" s="8"/>
      <c r="Q818" s="8"/>
      <c r="R818" s="8"/>
      <c r="S818" s="8"/>
      <c r="T818" s="8"/>
      <c r="U818" s="12"/>
      <c r="V818" s="12"/>
      <c r="W818" s="12"/>
      <c r="X818" s="12"/>
      <c r="Y818" s="12"/>
      <c r="Z818" s="12"/>
      <c r="AA818" s="12"/>
      <c r="AB818" s="12"/>
      <c r="AC818" s="12"/>
      <c r="AD818" s="12"/>
      <c r="AE818" s="12"/>
      <c r="AF818" s="12"/>
    </row>
    <row r="819" spans="1:32" ht="13.2">
      <c r="A819" s="8"/>
      <c r="B819" s="8"/>
      <c r="C819" s="8"/>
      <c r="D819" s="8"/>
      <c r="E819" s="8"/>
      <c r="F819" s="8"/>
      <c r="G819" s="8"/>
      <c r="H819" s="8"/>
      <c r="I819" s="8"/>
      <c r="J819" s="8"/>
      <c r="K819" s="8"/>
      <c r="L819" s="8"/>
      <c r="M819" s="8"/>
      <c r="N819" s="8"/>
      <c r="O819" s="8"/>
      <c r="P819" s="8"/>
      <c r="Q819" s="8"/>
      <c r="R819" s="8"/>
      <c r="S819" s="8"/>
      <c r="T819" s="8"/>
      <c r="U819" s="12"/>
      <c r="V819" s="12"/>
      <c r="W819" s="12"/>
      <c r="X819" s="12"/>
      <c r="Y819" s="12"/>
      <c r="Z819" s="12"/>
      <c r="AA819" s="12"/>
      <c r="AB819" s="12"/>
      <c r="AC819" s="12"/>
      <c r="AD819" s="12"/>
      <c r="AE819" s="12"/>
      <c r="AF819" s="12"/>
    </row>
    <row r="820" spans="1:32" ht="13.2">
      <c r="A820" s="8"/>
      <c r="B820" s="8"/>
      <c r="C820" s="8"/>
      <c r="D820" s="8"/>
      <c r="E820" s="8"/>
      <c r="F820" s="8"/>
      <c r="G820" s="8"/>
      <c r="H820" s="8"/>
      <c r="I820" s="8"/>
      <c r="J820" s="8"/>
      <c r="K820" s="8"/>
      <c r="L820" s="8"/>
      <c r="M820" s="8"/>
      <c r="N820" s="8"/>
      <c r="O820" s="8"/>
      <c r="P820" s="8"/>
      <c r="Q820" s="8"/>
      <c r="R820" s="8"/>
      <c r="S820" s="8"/>
      <c r="T820" s="8"/>
      <c r="U820" s="12"/>
      <c r="V820" s="12"/>
      <c r="W820" s="12"/>
      <c r="X820" s="12"/>
      <c r="Y820" s="12"/>
      <c r="Z820" s="12"/>
      <c r="AA820" s="12"/>
      <c r="AB820" s="12"/>
      <c r="AC820" s="12"/>
      <c r="AD820" s="12"/>
      <c r="AE820" s="12"/>
      <c r="AF820" s="12"/>
    </row>
    <row r="821" spans="1:32" ht="13.2">
      <c r="A821" s="8"/>
      <c r="B821" s="8"/>
      <c r="C821" s="8"/>
      <c r="D821" s="8"/>
      <c r="E821" s="8"/>
      <c r="F821" s="8"/>
      <c r="G821" s="8"/>
      <c r="H821" s="8"/>
      <c r="I821" s="8"/>
      <c r="J821" s="8"/>
      <c r="K821" s="8"/>
      <c r="L821" s="8"/>
      <c r="M821" s="8"/>
      <c r="N821" s="8"/>
      <c r="O821" s="8"/>
      <c r="P821" s="8"/>
      <c r="Q821" s="8"/>
      <c r="R821" s="8"/>
      <c r="S821" s="8"/>
      <c r="T821" s="8"/>
      <c r="U821" s="12"/>
      <c r="V821" s="12"/>
      <c r="W821" s="12"/>
      <c r="X821" s="12"/>
      <c r="Y821" s="12"/>
      <c r="Z821" s="12"/>
      <c r="AA821" s="12"/>
      <c r="AB821" s="12"/>
      <c r="AC821" s="12"/>
      <c r="AD821" s="12"/>
      <c r="AE821" s="12"/>
      <c r="AF821" s="12"/>
    </row>
    <row r="822" spans="1:32" ht="13.2">
      <c r="A822" s="8"/>
      <c r="B822" s="8"/>
      <c r="C822" s="8"/>
      <c r="D822" s="8"/>
      <c r="E822" s="8"/>
      <c r="F822" s="8"/>
      <c r="G822" s="8"/>
      <c r="H822" s="8"/>
      <c r="I822" s="8"/>
      <c r="J822" s="8"/>
      <c r="K822" s="8"/>
      <c r="L822" s="8"/>
      <c r="M822" s="8"/>
      <c r="N822" s="8"/>
      <c r="O822" s="8"/>
      <c r="P822" s="8"/>
      <c r="Q822" s="8"/>
      <c r="R822" s="8"/>
      <c r="S822" s="8"/>
      <c r="T822" s="8"/>
      <c r="U822" s="12"/>
      <c r="V822" s="12"/>
      <c r="W822" s="12"/>
      <c r="X822" s="12"/>
      <c r="Y822" s="12"/>
      <c r="Z822" s="12"/>
      <c r="AA822" s="12"/>
      <c r="AB822" s="12"/>
      <c r="AC822" s="12"/>
      <c r="AD822" s="12"/>
      <c r="AE822" s="12"/>
      <c r="AF822" s="12"/>
    </row>
    <row r="823" spans="1:32" ht="13.2">
      <c r="A823" s="8"/>
      <c r="B823" s="8"/>
      <c r="C823" s="8"/>
      <c r="D823" s="8"/>
      <c r="E823" s="8"/>
      <c r="F823" s="8"/>
      <c r="G823" s="8"/>
      <c r="H823" s="8"/>
      <c r="I823" s="8"/>
      <c r="J823" s="8"/>
      <c r="K823" s="8"/>
      <c r="L823" s="8"/>
      <c r="M823" s="8"/>
      <c r="N823" s="8"/>
      <c r="O823" s="8"/>
      <c r="P823" s="8"/>
      <c r="Q823" s="8"/>
      <c r="R823" s="8"/>
      <c r="S823" s="8"/>
      <c r="T823" s="8"/>
      <c r="U823" s="12"/>
      <c r="V823" s="12"/>
      <c r="W823" s="12"/>
      <c r="X823" s="12"/>
      <c r="Y823" s="12"/>
      <c r="Z823" s="12"/>
      <c r="AA823" s="12"/>
      <c r="AB823" s="12"/>
      <c r="AC823" s="12"/>
      <c r="AD823" s="12"/>
      <c r="AE823" s="12"/>
      <c r="AF823" s="12"/>
    </row>
    <row r="824" spans="1:32" ht="13.2">
      <c r="A824" s="8"/>
      <c r="B824" s="8"/>
      <c r="C824" s="8"/>
      <c r="D824" s="8"/>
      <c r="E824" s="8"/>
      <c r="F824" s="8"/>
      <c r="G824" s="8"/>
      <c r="H824" s="8"/>
      <c r="I824" s="8"/>
      <c r="J824" s="8"/>
      <c r="K824" s="8"/>
      <c r="L824" s="8"/>
      <c r="M824" s="8"/>
      <c r="N824" s="8"/>
      <c r="O824" s="8"/>
      <c r="P824" s="8"/>
      <c r="Q824" s="8"/>
      <c r="R824" s="8"/>
      <c r="S824" s="8"/>
      <c r="T824" s="8"/>
      <c r="U824" s="12"/>
      <c r="V824" s="12"/>
      <c r="W824" s="12"/>
      <c r="X824" s="12"/>
      <c r="Y824" s="12"/>
      <c r="Z824" s="12"/>
      <c r="AA824" s="12"/>
      <c r="AB824" s="12"/>
      <c r="AC824" s="12"/>
      <c r="AD824" s="12"/>
      <c r="AE824" s="12"/>
      <c r="AF824" s="12"/>
    </row>
    <row r="825" spans="1:32" ht="13.2">
      <c r="A825" s="8"/>
      <c r="B825" s="8"/>
      <c r="C825" s="8"/>
      <c r="D825" s="8"/>
      <c r="E825" s="8"/>
      <c r="F825" s="8"/>
      <c r="G825" s="8"/>
      <c r="H825" s="8"/>
      <c r="I825" s="8"/>
      <c r="J825" s="8"/>
      <c r="K825" s="8"/>
      <c r="L825" s="8"/>
      <c r="M825" s="8"/>
      <c r="N825" s="8"/>
      <c r="O825" s="8"/>
      <c r="P825" s="8"/>
      <c r="Q825" s="8"/>
      <c r="R825" s="8"/>
      <c r="S825" s="8"/>
      <c r="T825" s="8"/>
      <c r="U825" s="12"/>
      <c r="V825" s="12"/>
      <c r="W825" s="12"/>
      <c r="X825" s="12"/>
      <c r="Y825" s="12"/>
      <c r="Z825" s="12"/>
      <c r="AA825" s="12"/>
      <c r="AB825" s="12"/>
      <c r="AC825" s="12"/>
      <c r="AD825" s="12"/>
      <c r="AE825" s="12"/>
      <c r="AF825" s="12"/>
    </row>
    <row r="826" spans="1:32" ht="13.2">
      <c r="A826" s="8"/>
      <c r="B826" s="8"/>
      <c r="C826" s="8"/>
      <c r="D826" s="8"/>
      <c r="E826" s="8"/>
      <c r="F826" s="8"/>
      <c r="G826" s="8"/>
      <c r="H826" s="8"/>
      <c r="I826" s="8"/>
      <c r="J826" s="8"/>
      <c r="K826" s="8"/>
      <c r="L826" s="8"/>
      <c r="M826" s="8"/>
      <c r="N826" s="8"/>
      <c r="O826" s="8"/>
      <c r="P826" s="8"/>
      <c r="Q826" s="8"/>
      <c r="R826" s="8"/>
      <c r="S826" s="8"/>
      <c r="T826" s="8"/>
      <c r="U826" s="12"/>
      <c r="V826" s="12"/>
      <c r="W826" s="12"/>
      <c r="X826" s="12"/>
      <c r="Y826" s="12"/>
      <c r="Z826" s="12"/>
      <c r="AA826" s="12"/>
      <c r="AB826" s="12"/>
      <c r="AC826" s="12"/>
      <c r="AD826" s="12"/>
      <c r="AE826" s="12"/>
      <c r="AF826" s="12"/>
    </row>
    <row r="827" spans="1:32" ht="13.2">
      <c r="A827" s="8"/>
      <c r="B827" s="8"/>
      <c r="C827" s="8"/>
      <c r="D827" s="8"/>
      <c r="E827" s="8"/>
      <c r="F827" s="8"/>
      <c r="G827" s="8"/>
      <c r="H827" s="8"/>
      <c r="I827" s="8"/>
      <c r="J827" s="8"/>
      <c r="K827" s="8"/>
      <c r="L827" s="8"/>
      <c r="M827" s="8"/>
      <c r="N827" s="8"/>
      <c r="O827" s="8"/>
      <c r="P827" s="8"/>
      <c r="Q827" s="8"/>
      <c r="R827" s="8"/>
      <c r="S827" s="8"/>
      <c r="T827" s="8"/>
      <c r="U827" s="12"/>
      <c r="V827" s="12"/>
      <c r="W827" s="12"/>
      <c r="X827" s="12"/>
      <c r="Y827" s="12"/>
      <c r="Z827" s="12"/>
      <c r="AA827" s="12"/>
      <c r="AB827" s="12"/>
      <c r="AC827" s="12"/>
      <c r="AD827" s="12"/>
      <c r="AE827" s="12"/>
      <c r="AF827" s="12"/>
    </row>
    <row r="828" spans="1:32" ht="13.2">
      <c r="A828" s="8"/>
      <c r="B828" s="8"/>
      <c r="C828" s="8"/>
      <c r="D828" s="8"/>
      <c r="E828" s="8"/>
      <c r="F828" s="8"/>
      <c r="G828" s="8"/>
      <c r="H828" s="8"/>
      <c r="I828" s="8"/>
      <c r="J828" s="8"/>
      <c r="K828" s="8"/>
      <c r="L828" s="8"/>
      <c r="M828" s="8"/>
      <c r="N828" s="8"/>
      <c r="O828" s="8"/>
      <c r="P828" s="8"/>
      <c r="Q828" s="8"/>
      <c r="R828" s="8"/>
      <c r="S828" s="8"/>
      <c r="T828" s="8"/>
      <c r="U828" s="12"/>
      <c r="V828" s="12"/>
      <c r="W828" s="12"/>
      <c r="X828" s="12"/>
      <c r="Y828" s="12"/>
      <c r="Z828" s="12"/>
      <c r="AA828" s="12"/>
      <c r="AB828" s="12"/>
      <c r="AC828" s="12"/>
      <c r="AD828" s="12"/>
      <c r="AE828" s="12"/>
      <c r="AF828" s="12"/>
    </row>
    <row r="829" spans="1:32" ht="13.2">
      <c r="A829" s="8"/>
      <c r="B829" s="8"/>
      <c r="C829" s="8"/>
      <c r="D829" s="8"/>
      <c r="E829" s="8"/>
      <c r="F829" s="8"/>
      <c r="G829" s="8"/>
      <c r="H829" s="8"/>
      <c r="I829" s="8"/>
      <c r="J829" s="8"/>
      <c r="K829" s="8"/>
      <c r="L829" s="8"/>
      <c r="M829" s="8"/>
      <c r="N829" s="8"/>
      <c r="O829" s="8"/>
      <c r="P829" s="8"/>
      <c r="Q829" s="8"/>
      <c r="R829" s="8"/>
      <c r="S829" s="8"/>
      <c r="T829" s="8"/>
      <c r="U829" s="12"/>
      <c r="V829" s="12"/>
      <c r="W829" s="12"/>
      <c r="X829" s="12"/>
      <c r="Y829" s="12"/>
      <c r="Z829" s="12"/>
      <c r="AA829" s="12"/>
      <c r="AB829" s="12"/>
      <c r="AC829" s="12"/>
      <c r="AD829" s="12"/>
      <c r="AE829" s="12"/>
      <c r="AF829" s="12"/>
    </row>
    <row r="830" spans="1:32" ht="13.2">
      <c r="A830" s="8"/>
      <c r="B830" s="8"/>
      <c r="C830" s="8"/>
      <c r="D830" s="8"/>
      <c r="E830" s="8"/>
      <c r="F830" s="8"/>
      <c r="G830" s="8"/>
      <c r="H830" s="8"/>
      <c r="I830" s="8"/>
      <c r="J830" s="8"/>
      <c r="K830" s="8"/>
      <c r="L830" s="8"/>
      <c r="M830" s="8"/>
      <c r="N830" s="8"/>
      <c r="O830" s="8"/>
      <c r="P830" s="8"/>
      <c r="Q830" s="8"/>
      <c r="R830" s="8"/>
      <c r="S830" s="8"/>
      <c r="T830" s="8"/>
      <c r="U830" s="12"/>
      <c r="V830" s="12"/>
      <c r="W830" s="12"/>
      <c r="X830" s="12"/>
      <c r="Y830" s="12"/>
      <c r="Z830" s="12"/>
      <c r="AA830" s="12"/>
      <c r="AB830" s="12"/>
      <c r="AC830" s="12"/>
      <c r="AD830" s="12"/>
      <c r="AE830" s="12"/>
      <c r="AF830" s="12"/>
    </row>
    <row r="831" spans="1:32" ht="13.2">
      <c r="A831" s="8"/>
      <c r="B831" s="8"/>
      <c r="C831" s="8"/>
      <c r="D831" s="8"/>
      <c r="E831" s="8"/>
      <c r="F831" s="8"/>
      <c r="G831" s="8"/>
      <c r="H831" s="8"/>
      <c r="I831" s="8"/>
      <c r="J831" s="8"/>
      <c r="K831" s="8"/>
      <c r="L831" s="8"/>
      <c r="M831" s="8"/>
      <c r="N831" s="8"/>
      <c r="O831" s="8"/>
      <c r="P831" s="8"/>
      <c r="Q831" s="8"/>
      <c r="R831" s="8"/>
      <c r="S831" s="8"/>
      <c r="T831" s="8"/>
      <c r="U831" s="12"/>
      <c r="V831" s="12"/>
      <c r="W831" s="12"/>
      <c r="X831" s="12"/>
      <c r="Y831" s="12"/>
      <c r="Z831" s="12"/>
      <c r="AA831" s="12"/>
      <c r="AB831" s="12"/>
      <c r="AC831" s="12"/>
      <c r="AD831" s="12"/>
      <c r="AE831" s="12"/>
      <c r="AF831" s="12"/>
    </row>
    <row r="832" spans="1:32" ht="13.2">
      <c r="A832" s="8"/>
      <c r="B832" s="8"/>
      <c r="C832" s="8"/>
      <c r="D832" s="8"/>
      <c r="E832" s="8"/>
      <c r="F832" s="8"/>
      <c r="G832" s="8"/>
      <c r="H832" s="8"/>
      <c r="I832" s="8"/>
      <c r="J832" s="8"/>
      <c r="K832" s="8"/>
      <c r="L832" s="8"/>
      <c r="M832" s="8"/>
      <c r="N832" s="8"/>
      <c r="O832" s="8"/>
      <c r="P832" s="8"/>
      <c r="Q832" s="8"/>
      <c r="R832" s="8"/>
      <c r="S832" s="8"/>
      <c r="T832" s="8"/>
      <c r="U832" s="12"/>
      <c r="V832" s="12"/>
      <c r="W832" s="12"/>
      <c r="X832" s="12"/>
      <c r="Y832" s="12"/>
      <c r="Z832" s="12"/>
      <c r="AA832" s="12"/>
      <c r="AB832" s="12"/>
      <c r="AC832" s="12"/>
      <c r="AD832" s="12"/>
      <c r="AE832" s="12"/>
      <c r="AF832" s="12"/>
    </row>
    <row r="833" spans="1:32" ht="13.2">
      <c r="A833" s="8"/>
      <c r="B833" s="8"/>
      <c r="C833" s="8"/>
      <c r="D833" s="8"/>
      <c r="E833" s="8"/>
      <c r="F833" s="8"/>
      <c r="G833" s="8"/>
      <c r="H833" s="8"/>
      <c r="I833" s="8"/>
      <c r="J833" s="8"/>
      <c r="K833" s="8"/>
      <c r="L833" s="8"/>
      <c r="M833" s="8"/>
      <c r="N833" s="8"/>
      <c r="O833" s="8"/>
      <c r="P833" s="8"/>
      <c r="Q833" s="8"/>
      <c r="R833" s="8"/>
      <c r="S833" s="8"/>
      <c r="T833" s="8"/>
      <c r="U833" s="12"/>
      <c r="V833" s="12"/>
      <c r="W833" s="12"/>
      <c r="X833" s="12"/>
      <c r="Y833" s="12"/>
      <c r="Z833" s="12"/>
      <c r="AA833" s="12"/>
      <c r="AB833" s="12"/>
      <c r="AC833" s="12"/>
      <c r="AD833" s="12"/>
      <c r="AE833" s="12"/>
      <c r="AF833" s="12"/>
    </row>
    <row r="834" spans="1:32" ht="13.2">
      <c r="A834" s="8"/>
      <c r="B834" s="8"/>
      <c r="C834" s="8"/>
      <c r="D834" s="8"/>
      <c r="E834" s="8"/>
      <c r="F834" s="8"/>
      <c r="G834" s="8"/>
      <c r="H834" s="8"/>
      <c r="I834" s="8"/>
      <c r="J834" s="8"/>
      <c r="K834" s="8"/>
      <c r="L834" s="8"/>
      <c r="M834" s="8"/>
      <c r="N834" s="8"/>
      <c r="O834" s="8"/>
      <c r="P834" s="8"/>
      <c r="Q834" s="8"/>
      <c r="R834" s="8"/>
      <c r="S834" s="8"/>
      <c r="T834" s="8"/>
      <c r="U834" s="12"/>
      <c r="V834" s="12"/>
      <c r="W834" s="12"/>
      <c r="X834" s="12"/>
      <c r="Y834" s="12"/>
      <c r="Z834" s="12"/>
      <c r="AA834" s="12"/>
      <c r="AB834" s="12"/>
      <c r="AC834" s="12"/>
      <c r="AD834" s="12"/>
      <c r="AE834" s="12"/>
      <c r="AF834" s="12"/>
    </row>
    <row r="835" spans="1:32" ht="13.2">
      <c r="A835" s="8"/>
      <c r="B835" s="8"/>
      <c r="C835" s="8"/>
      <c r="D835" s="8"/>
      <c r="E835" s="8"/>
      <c r="F835" s="8"/>
      <c r="G835" s="8"/>
      <c r="H835" s="8"/>
      <c r="I835" s="8"/>
      <c r="J835" s="8"/>
      <c r="K835" s="8"/>
      <c r="L835" s="8"/>
      <c r="M835" s="8"/>
      <c r="N835" s="8"/>
      <c r="O835" s="8"/>
      <c r="P835" s="8"/>
      <c r="Q835" s="8"/>
      <c r="R835" s="8"/>
      <c r="S835" s="8"/>
      <c r="T835" s="8"/>
      <c r="U835" s="12"/>
      <c r="V835" s="12"/>
      <c r="W835" s="12"/>
      <c r="X835" s="12"/>
      <c r="Y835" s="12"/>
      <c r="Z835" s="12"/>
      <c r="AA835" s="12"/>
      <c r="AB835" s="12"/>
      <c r="AC835" s="12"/>
      <c r="AD835" s="12"/>
      <c r="AE835" s="12"/>
      <c r="AF835" s="12"/>
    </row>
    <row r="836" spans="1:32" ht="13.2">
      <c r="A836" s="8"/>
      <c r="B836" s="8"/>
      <c r="C836" s="8"/>
      <c r="D836" s="8"/>
      <c r="E836" s="8"/>
      <c r="F836" s="8"/>
      <c r="G836" s="8"/>
      <c r="H836" s="8"/>
      <c r="I836" s="8"/>
      <c r="J836" s="8"/>
      <c r="K836" s="8"/>
      <c r="L836" s="8"/>
      <c r="M836" s="8"/>
      <c r="N836" s="8"/>
      <c r="O836" s="8"/>
      <c r="P836" s="8"/>
      <c r="Q836" s="8"/>
      <c r="R836" s="8"/>
      <c r="S836" s="8"/>
      <c r="T836" s="8"/>
      <c r="U836" s="12"/>
      <c r="V836" s="12"/>
      <c r="W836" s="12"/>
      <c r="X836" s="12"/>
      <c r="Y836" s="12"/>
      <c r="Z836" s="12"/>
      <c r="AA836" s="12"/>
      <c r="AB836" s="12"/>
      <c r="AC836" s="12"/>
      <c r="AD836" s="12"/>
      <c r="AE836" s="12"/>
      <c r="AF836" s="12"/>
    </row>
    <row r="837" spans="1:32" ht="13.2">
      <c r="A837" s="8"/>
      <c r="B837" s="8"/>
      <c r="C837" s="8"/>
      <c r="D837" s="8"/>
      <c r="E837" s="8"/>
      <c r="F837" s="8"/>
      <c r="G837" s="8"/>
      <c r="H837" s="8"/>
      <c r="I837" s="8"/>
      <c r="J837" s="8"/>
      <c r="K837" s="8"/>
      <c r="L837" s="8"/>
      <c r="M837" s="8"/>
      <c r="N837" s="8"/>
      <c r="O837" s="8"/>
      <c r="P837" s="8"/>
      <c r="Q837" s="8"/>
      <c r="R837" s="8"/>
      <c r="S837" s="8"/>
      <c r="T837" s="8"/>
      <c r="U837" s="12"/>
      <c r="V837" s="12"/>
      <c r="W837" s="12"/>
      <c r="X837" s="12"/>
      <c r="Y837" s="12"/>
      <c r="Z837" s="12"/>
      <c r="AA837" s="12"/>
      <c r="AB837" s="12"/>
      <c r="AC837" s="12"/>
      <c r="AD837" s="12"/>
      <c r="AE837" s="12"/>
      <c r="AF837" s="12"/>
    </row>
    <row r="838" spans="1:32" ht="13.2">
      <c r="A838" s="8"/>
      <c r="B838" s="8"/>
      <c r="C838" s="8"/>
      <c r="D838" s="8"/>
      <c r="E838" s="8"/>
      <c r="F838" s="8"/>
      <c r="G838" s="8"/>
      <c r="H838" s="8"/>
      <c r="I838" s="8"/>
      <c r="J838" s="8"/>
      <c r="K838" s="8"/>
      <c r="L838" s="8"/>
      <c r="M838" s="8"/>
      <c r="N838" s="8"/>
      <c r="O838" s="8"/>
      <c r="P838" s="8"/>
      <c r="Q838" s="8"/>
      <c r="R838" s="8"/>
      <c r="S838" s="8"/>
      <c r="T838" s="8"/>
      <c r="U838" s="12"/>
      <c r="V838" s="12"/>
      <c r="W838" s="12"/>
      <c r="X838" s="12"/>
      <c r="Y838" s="12"/>
      <c r="Z838" s="12"/>
      <c r="AA838" s="12"/>
      <c r="AB838" s="12"/>
      <c r="AC838" s="12"/>
      <c r="AD838" s="12"/>
      <c r="AE838" s="12"/>
      <c r="AF838" s="12"/>
    </row>
    <row r="839" spans="1:32" ht="13.2">
      <c r="A839" s="8"/>
      <c r="B839" s="8"/>
      <c r="C839" s="8"/>
      <c r="D839" s="8"/>
      <c r="E839" s="8"/>
      <c r="F839" s="8"/>
      <c r="G839" s="8"/>
      <c r="H839" s="8"/>
      <c r="I839" s="8"/>
      <c r="J839" s="8"/>
      <c r="K839" s="8"/>
      <c r="L839" s="8"/>
      <c r="M839" s="8"/>
      <c r="N839" s="8"/>
      <c r="O839" s="8"/>
      <c r="P839" s="8"/>
      <c r="Q839" s="8"/>
      <c r="R839" s="8"/>
      <c r="S839" s="8"/>
      <c r="T839" s="8"/>
      <c r="U839" s="12"/>
      <c r="V839" s="12"/>
      <c r="W839" s="12"/>
      <c r="X839" s="12"/>
      <c r="Y839" s="12"/>
      <c r="Z839" s="12"/>
      <c r="AA839" s="12"/>
      <c r="AB839" s="12"/>
      <c r="AC839" s="12"/>
      <c r="AD839" s="12"/>
      <c r="AE839" s="12"/>
      <c r="AF839" s="12"/>
    </row>
    <row r="840" spans="1:32" ht="13.2">
      <c r="A840" s="8"/>
      <c r="B840" s="8"/>
      <c r="C840" s="8"/>
      <c r="D840" s="8"/>
      <c r="E840" s="8"/>
      <c r="F840" s="8"/>
      <c r="G840" s="8"/>
      <c r="H840" s="8"/>
      <c r="I840" s="8"/>
      <c r="J840" s="8"/>
      <c r="K840" s="8"/>
      <c r="L840" s="8"/>
      <c r="M840" s="8"/>
      <c r="N840" s="8"/>
      <c r="O840" s="8"/>
      <c r="P840" s="8"/>
      <c r="Q840" s="8"/>
      <c r="R840" s="8"/>
      <c r="S840" s="8"/>
      <c r="T840" s="8"/>
      <c r="U840" s="12"/>
      <c r="V840" s="12"/>
      <c r="W840" s="12"/>
      <c r="X840" s="12"/>
      <c r="Y840" s="12"/>
      <c r="Z840" s="12"/>
      <c r="AA840" s="12"/>
      <c r="AB840" s="12"/>
      <c r="AC840" s="12"/>
      <c r="AD840" s="12"/>
      <c r="AE840" s="12"/>
      <c r="AF840" s="12"/>
    </row>
    <row r="841" spans="1:32" ht="13.2">
      <c r="A841" s="8"/>
      <c r="B841" s="8"/>
      <c r="C841" s="8"/>
      <c r="D841" s="8"/>
      <c r="E841" s="8"/>
      <c r="F841" s="8"/>
      <c r="G841" s="8"/>
      <c r="H841" s="8"/>
      <c r="I841" s="8"/>
      <c r="J841" s="8"/>
      <c r="K841" s="8"/>
      <c r="L841" s="8"/>
      <c r="M841" s="8"/>
      <c r="N841" s="8"/>
      <c r="O841" s="8"/>
      <c r="P841" s="8"/>
      <c r="Q841" s="8"/>
      <c r="R841" s="8"/>
      <c r="S841" s="8"/>
      <c r="T841" s="8"/>
      <c r="U841" s="12"/>
      <c r="V841" s="12"/>
      <c r="W841" s="12"/>
      <c r="X841" s="12"/>
      <c r="Y841" s="12"/>
      <c r="Z841" s="12"/>
      <c r="AA841" s="12"/>
      <c r="AB841" s="12"/>
      <c r="AC841" s="12"/>
      <c r="AD841" s="12"/>
      <c r="AE841" s="12"/>
      <c r="AF841" s="12"/>
    </row>
    <row r="842" spans="1:32" ht="13.2">
      <c r="A842" s="8"/>
      <c r="B842" s="8"/>
      <c r="C842" s="8"/>
      <c r="D842" s="8"/>
      <c r="E842" s="8"/>
      <c r="F842" s="8"/>
      <c r="G842" s="8"/>
      <c r="H842" s="8"/>
      <c r="I842" s="8"/>
      <c r="J842" s="8"/>
      <c r="K842" s="8"/>
      <c r="L842" s="8"/>
      <c r="M842" s="8"/>
      <c r="N842" s="8"/>
      <c r="O842" s="8"/>
      <c r="P842" s="8"/>
      <c r="Q842" s="8"/>
      <c r="R842" s="8"/>
      <c r="S842" s="8"/>
      <c r="T842" s="8"/>
      <c r="U842" s="12"/>
      <c r="V842" s="12"/>
      <c r="W842" s="12"/>
      <c r="X842" s="12"/>
      <c r="Y842" s="12"/>
      <c r="Z842" s="12"/>
      <c r="AA842" s="12"/>
      <c r="AB842" s="12"/>
      <c r="AC842" s="12"/>
      <c r="AD842" s="12"/>
      <c r="AE842" s="12"/>
      <c r="AF842" s="12"/>
    </row>
    <row r="843" spans="1:32" ht="13.2">
      <c r="A843" s="8"/>
      <c r="B843" s="8"/>
      <c r="C843" s="8"/>
      <c r="D843" s="8"/>
      <c r="E843" s="8"/>
      <c r="F843" s="8"/>
      <c r="G843" s="8"/>
      <c r="H843" s="8"/>
      <c r="I843" s="8"/>
      <c r="J843" s="8"/>
      <c r="K843" s="8"/>
      <c r="L843" s="8"/>
      <c r="M843" s="8"/>
      <c r="N843" s="8"/>
      <c r="O843" s="8"/>
      <c r="P843" s="8"/>
      <c r="Q843" s="8"/>
      <c r="R843" s="8"/>
      <c r="S843" s="8"/>
      <c r="T843" s="8"/>
      <c r="U843" s="12"/>
      <c r="V843" s="12"/>
      <c r="W843" s="12"/>
      <c r="X843" s="12"/>
      <c r="Y843" s="12"/>
      <c r="Z843" s="12"/>
      <c r="AA843" s="12"/>
      <c r="AB843" s="12"/>
      <c r="AC843" s="12"/>
      <c r="AD843" s="12"/>
      <c r="AE843" s="12"/>
      <c r="AF843" s="12"/>
    </row>
    <row r="844" spans="1:32" ht="13.2">
      <c r="A844" s="8"/>
      <c r="B844" s="8"/>
      <c r="C844" s="8"/>
      <c r="D844" s="8"/>
      <c r="E844" s="8"/>
      <c r="F844" s="8"/>
      <c r="G844" s="8"/>
      <c r="H844" s="8"/>
      <c r="I844" s="8"/>
      <c r="J844" s="8"/>
      <c r="K844" s="8"/>
      <c r="L844" s="8"/>
      <c r="M844" s="8"/>
      <c r="N844" s="8"/>
      <c r="O844" s="8"/>
      <c r="P844" s="8"/>
      <c r="Q844" s="8"/>
      <c r="R844" s="8"/>
      <c r="S844" s="8"/>
      <c r="T844" s="8"/>
      <c r="U844" s="12"/>
      <c r="V844" s="12"/>
      <c r="W844" s="12"/>
      <c r="X844" s="12"/>
      <c r="Y844" s="12"/>
      <c r="Z844" s="12"/>
      <c r="AA844" s="12"/>
      <c r="AB844" s="12"/>
      <c r="AC844" s="12"/>
      <c r="AD844" s="12"/>
      <c r="AE844" s="12"/>
      <c r="AF844" s="12"/>
    </row>
    <row r="845" spans="1:32" ht="13.2">
      <c r="A845" s="8"/>
      <c r="B845" s="8"/>
      <c r="C845" s="8"/>
      <c r="D845" s="8"/>
      <c r="E845" s="8"/>
      <c r="F845" s="8"/>
      <c r="G845" s="8"/>
      <c r="H845" s="8"/>
      <c r="I845" s="8"/>
      <c r="J845" s="8"/>
      <c r="K845" s="8"/>
      <c r="L845" s="8"/>
      <c r="M845" s="8"/>
      <c r="N845" s="8"/>
      <c r="O845" s="8"/>
      <c r="P845" s="8"/>
      <c r="Q845" s="8"/>
      <c r="R845" s="8"/>
      <c r="S845" s="8"/>
      <c r="T845" s="8"/>
      <c r="U845" s="12"/>
      <c r="V845" s="12"/>
      <c r="W845" s="12"/>
      <c r="X845" s="12"/>
      <c r="Y845" s="12"/>
      <c r="Z845" s="12"/>
      <c r="AA845" s="12"/>
      <c r="AB845" s="12"/>
      <c r="AC845" s="12"/>
      <c r="AD845" s="12"/>
      <c r="AE845" s="12"/>
      <c r="AF845" s="12"/>
    </row>
    <row r="846" spans="1:32" ht="13.2">
      <c r="A846" s="8"/>
      <c r="B846" s="8"/>
      <c r="C846" s="8"/>
      <c r="D846" s="8"/>
      <c r="E846" s="8"/>
      <c r="F846" s="8"/>
      <c r="G846" s="8"/>
      <c r="H846" s="8"/>
      <c r="I846" s="8"/>
      <c r="J846" s="8"/>
      <c r="K846" s="8"/>
      <c r="L846" s="8"/>
      <c r="M846" s="8"/>
      <c r="N846" s="8"/>
      <c r="O846" s="8"/>
      <c r="P846" s="8"/>
      <c r="Q846" s="8"/>
      <c r="R846" s="8"/>
      <c r="S846" s="8"/>
      <c r="T846" s="8"/>
      <c r="U846" s="12"/>
      <c r="V846" s="12"/>
      <c r="W846" s="12"/>
      <c r="X846" s="12"/>
      <c r="Y846" s="12"/>
      <c r="Z846" s="12"/>
      <c r="AA846" s="12"/>
      <c r="AB846" s="12"/>
      <c r="AC846" s="12"/>
      <c r="AD846" s="12"/>
      <c r="AE846" s="12"/>
      <c r="AF846" s="12"/>
    </row>
    <row r="847" spans="1:32" ht="13.2">
      <c r="A847" s="8"/>
      <c r="B847" s="8"/>
      <c r="C847" s="8"/>
      <c r="D847" s="8"/>
      <c r="E847" s="8"/>
      <c r="F847" s="8"/>
      <c r="G847" s="8"/>
      <c r="H847" s="8"/>
      <c r="I847" s="8"/>
      <c r="J847" s="8"/>
      <c r="K847" s="8"/>
      <c r="L847" s="8"/>
      <c r="M847" s="8"/>
      <c r="N847" s="8"/>
      <c r="O847" s="8"/>
      <c r="P847" s="8"/>
      <c r="Q847" s="8"/>
      <c r="R847" s="8"/>
      <c r="S847" s="8"/>
      <c r="T847" s="8"/>
      <c r="U847" s="12"/>
      <c r="V847" s="12"/>
      <c r="W847" s="12"/>
      <c r="X847" s="12"/>
      <c r="Y847" s="12"/>
      <c r="Z847" s="12"/>
      <c r="AA847" s="12"/>
      <c r="AB847" s="12"/>
      <c r="AC847" s="12"/>
      <c r="AD847" s="12"/>
      <c r="AE847" s="12"/>
      <c r="AF847" s="12"/>
    </row>
    <row r="848" spans="1:32" ht="13.2">
      <c r="A848" s="8"/>
      <c r="B848" s="8"/>
      <c r="C848" s="8"/>
      <c r="D848" s="8"/>
      <c r="E848" s="8"/>
      <c r="F848" s="8"/>
      <c r="G848" s="8"/>
      <c r="H848" s="8"/>
      <c r="I848" s="8"/>
      <c r="J848" s="8"/>
      <c r="K848" s="8"/>
      <c r="L848" s="8"/>
      <c r="M848" s="8"/>
      <c r="N848" s="8"/>
      <c r="O848" s="8"/>
      <c r="P848" s="8"/>
      <c r="Q848" s="8"/>
      <c r="R848" s="8"/>
      <c r="S848" s="8"/>
      <c r="T848" s="8"/>
      <c r="U848" s="12"/>
      <c r="V848" s="12"/>
      <c r="W848" s="12"/>
      <c r="X848" s="12"/>
      <c r="Y848" s="12"/>
      <c r="Z848" s="12"/>
      <c r="AA848" s="12"/>
      <c r="AB848" s="12"/>
      <c r="AC848" s="12"/>
      <c r="AD848" s="12"/>
      <c r="AE848" s="12"/>
      <c r="AF848" s="12"/>
    </row>
    <row r="849" spans="1:32" ht="13.2">
      <c r="A849" s="8"/>
      <c r="B849" s="8"/>
      <c r="C849" s="8"/>
      <c r="D849" s="8"/>
      <c r="E849" s="8"/>
      <c r="F849" s="8"/>
      <c r="G849" s="8"/>
      <c r="H849" s="8"/>
      <c r="I849" s="8"/>
      <c r="J849" s="8"/>
      <c r="K849" s="8"/>
      <c r="L849" s="8"/>
      <c r="M849" s="8"/>
      <c r="N849" s="8"/>
      <c r="O849" s="8"/>
      <c r="P849" s="8"/>
      <c r="Q849" s="8"/>
      <c r="R849" s="8"/>
      <c r="S849" s="8"/>
      <c r="T849" s="8"/>
      <c r="U849" s="12"/>
      <c r="V849" s="12"/>
      <c r="W849" s="12"/>
      <c r="X849" s="12"/>
      <c r="Y849" s="12"/>
      <c r="Z849" s="12"/>
      <c r="AA849" s="12"/>
      <c r="AB849" s="12"/>
      <c r="AC849" s="12"/>
      <c r="AD849" s="12"/>
      <c r="AE849" s="12"/>
      <c r="AF849" s="12"/>
    </row>
    <row r="850" spans="1:32" ht="13.2">
      <c r="A850" s="8"/>
      <c r="B850" s="8"/>
      <c r="C850" s="8"/>
      <c r="D850" s="8"/>
      <c r="E850" s="8"/>
      <c r="F850" s="8"/>
      <c r="G850" s="8"/>
      <c r="H850" s="8"/>
      <c r="I850" s="8"/>
      <c r="J850" s="8"/>
      <c r="K850" s="8"/>
      <c r="L850" s="8"/>
      <c r="M850" s="8"/>
      <c r="N850" s="8"/>
      <c r="O850" s="8"/>
      <c r="P850" s="8"/>
      <c r="Q850" s="8"/>
      <c r="R850" s="8"/>
      <c r="S850" s="8"/>
      <c r="T850" s="8"/>
      <c r="U850" s="12"/>
      <c r="V850" s="12"/>
      <c r="W850" s="12"/>
      <c r="X850" s="12"/>
      <c r="Y850" s="12"/>
      <c r="Z850" s="12"/>
      <c r="AA850" s="12"/>
      <c r="AB850" s="12"/>
      <c r="AC850" s="12"/>
      <c r="AD850" s="12"/>
      <c r="AE850" s="12"/>
      <c r="AF850" s="12"/>
    </row>
    <row r="851" spans="1:32" ht="13.2">
      <c r="A851" s="8"/>
      <c r="B851" s="8"/>
      <c r="C851" s="8"/>
      <c r="D851" s="8"/>
      <c r="E851" s="8"/>
      <c r="F851" s="8"/>
      <c r="G851" s="8"/>
      <c r="H851" s="8"/>
      <c r="I851" s="8"/>
      <c r="J851" s="8"/>
      <c r="K851" s="8"/>
      <c r="L851" s="8"/>
      <c r="M851" s="8"/>
      <c r="N851" s="8"/>
      <c r="O851" s="8"/>
      <c r="P851" s="8"/>
      <c r="Q851" s="8"/>
      <c r="R851" s="8"/>
      <c r="S851" s="8"/>
      <c r="T851" s="8"/>
      <c r="U851" s="12"/>
      <c r="V851" s="12"/>
      <c r="W851" s="12"/>
      <c r="X851" s="12"/>
      <c r="Y851" s="12"/>
      <c r="Z851" s="12"/>
      <c r="AA851" s="12"/>
      <c r="AB851" s="12"/>
      <c r="AC851" s="12"/>
      <c r="AD851" s="12"/>
      <c r="AE851" s="12"/>
      <c r="AF851" s="12"/>
    </row>
    <row r="852" spans="1:32" ht="13.2">
      <c r="A852" s="8"/>
      <c r="B852" s="8"/>
      <c r="C852" s="8"/>
      <c r="D852" s="8"/>
      <c r="E852" s="8"/>
      <c r="F852" s="8"/>
      <c r="G852" s="8"/>
      <c r="H852" s="8"/>
      <c r="I852" s="8"/>
      <c r="J852" s="8"/>
      <c r="K852" s="8"/>
      <c r="L852" s="8"/>
      <c r="M852" s="8"/>
      <c r="N852" s="8"/>
      <c r="O852" s="8"/>
      <c r="P852" s="8"/>
      <c r="Q852" s="8"/>
      <c r="R852" s="8"/>
      <c r="S852" s="8"/>
      <c r="T852" s="8"/>
      <c r="U852" s="12"/>
      <c r="V852" s="12"/>
      <c r="W852" s="12"/>
      <c r="X852" s="12"/>
      <c r="Y852" s="12"/>
      <c r="Z852" s="12"/>
      <c r="AA852" s="12"/>
      <c r="AB852" s="12"/>
      <c r="AC852" s="12"/>
      <c r="AD852" s="12"/>
      <c r="AE852" s="12"/>
      <c r="AF852" s="12"/>
    </row>
    <row r="853" spans="1:32" ht="13.2">
      <c r="A853" s="8"/>
      <c r="B853" s="8"/>
      <c r="C853" s="8"/>
      <c r="D853" s="8"/>
      <c r="E853" s="8"/>
      <c r="F853" s="8"/>
      <c r="G853" s="8"/>
      <c r="H853" s="8"/>
      <c r="I853" s="8"/>
      <c r="J853" s="8"/>
      <c r="K853" s="8"/>
      <c r="L853" s="8"/>
      <c r="M853" s="8"/>
      <c r="N853" s="8"/>
      <c r="O853" s="8"/>
      <c r="P853" s="8"/>
      <c r="Q853" s="8"/>
      <c r="R853" s="8"/>
      <c r="S853" s="8"/>
      <c r="T853" s="8"/>
      <c r="U853" s="12"/>
      <c r="V853" s="12"/>
      <c r="W853" s="12"/>
      <c r="X853" s="12"/>
      <c r="Y853" s="12"/>
      <c r="Z853" s="12"/>
      <c r="AA853" s="12"/>
      <c r="AB853" s="12"/>
      <c r="AC853" s="12"/>
      <c r="AD853" s="12"/>
      <c r="AE853" s="12"/>
      <c r="AF853" s="12"/>
    </row>
    <row r="854" spans="1:32" ht="13.2">
      <c r="A854" s="8"/>
      <c r="B854" s="8"/>
      <c r="C854" s="8"/>
      <c r="D854" s="8"/>
      <c r="E854" s="8"/>
      <c r="F854" s="8"/>
      <c r="G854" s="8"/>
      <c r="H854" s="8"/>
      <c r="I854" s="8"/>
      <c r="J854" s="8"/>
      <c r="K854" s="8"/>
      <c r="L854" s="8"/>
      <c r="M854" s="8"/>
      <c r="N854" s="8"/>
      <c r="O854" s="8"/>
      <c r="P854" s="8"/>
      <c r="Q854" s="8"/>
      <c r="R854" s="8"/>
      <c r="S854" s="8"/>
      <c r="T854" s="8"/>
      <c r="U854" s="12"/>
      <c r="V854" s="12"/>
      <c r="W854" s="12"/>
      <c r="X854" s="12"/>
      <c r="Y854" s="12"/>
      <c r="Z854" s="12"/>
      <c r="AA854" s="12"/>
      <c r="AB854" s="12"/>
      <c r="AC854" s="12"/>
      <c r="AD854" s="12"/>
      <c r="AE854" s="12"/>
      <c r="AF854" s="12"/>
    </row>
    <row r="855" spans="1:32" ht="13.2">
      <c r="A855" s="8"/>
      <c r="B855" s="8"/>
      <c r="C855" s="8"/>
      <c r="D855" s="8"/>
      <c r="E855" s="8"/>
      <c r="F855" s="8"/>
      <c r="G855" s="8"/>
      <c r="H855" s="8"/>
      <c r="I855" s="8"/>
      <c r="J855" s="8"/>
      <c r="K855" s="8"/>
      <c r="L855" s="8"/>
      <c r="M855" s="8"/>
      <c r="N855" s="8"/>
      <c r="O855" s="8"/>
      <c r="P855" s="8"/>
      <c r="Q855" s="8"/>
      <c r="R855" s="8"/>
      <c r="S855" s="8"/>
      <c r="T855" s="8"/>
      <c r="U855" s="12"/>
      <c r="V855" s="12"/>
      <c r="W855" s="12"/>
      <c r="X855" s="12"/>
      <c r="Y855" s="12"/>
      <c r="Z855" s="12"/>
      <c r="AA855" s="12"/>
      <c r="AB855" s="12"/>
      <c r="AC855" s="12"/>
      <c r="AD855" s="12"/>
      <c r="AE855" s="12"/>
      <c r="AF855" s="12"/>
    </row>
    <row r="856" spans="1:32" ht="13.2">
      <c r="A856" s="8"/>
      <c r="B856" s="8"/>
      <c r="C856" s="8"/>
      <c r="D856" s="8"/>
      <c r="E856" s="8"/>
      <c r="F856" s="8"/>
      <c r="G856" s="8"/>
      <c r="H856" s="8"/>
      <c r="I856" s="8"/>
      <c r="J856" s="8"/>
      <c r="K856" s="8"/>
      <c r="L856" s="8"/>
      <c r="M856" s="8"/>
      <c r="N856" s="8"/>
      <c r="O856" s="8"/>
      <c r="P856" s="8"/>
      <c r="Q856" s="8"/>
      <c r="R856" s="8"/>
      <c r="S856" s="8"/>
      <c r="T856" s="8"/>
      <c r="U856" s="12"/>
      <c r="V856" s="12"/>
      <c r="W856" s="12"/>
      <c r="X856" s="12"/>
      <c r="Y856" s="12"/>
      <c r="Z856" s="12"/>
      <c r="AA856" s="12"/>
      <c r="AB856" s="12"/>
      <c r="AC856" s="12"/>
      <c r="AD856" s="12"/>
      <c r="AE856" s="12"/>
      <c r="AF856" s="12"/>
    </row>
    <row r="857" spans="1:32" ht="13.2">
      <c r="A857" s="8"/>
      <c r="B857" s="8"/>
      <c r="C857" s="8"/>
      <c r="D857" s="8"/>
      <c r="E857" s="8"/>
      <c r="F857" s="8"/>
      <c r="G857" s="8"/>
      <c r="H857" s="8"/>
      <c r="I857" s="8"/>
      <c r="J857" s="8"/>
      <c r="K857" s="8"/>
      <c r="L857" s="8"/>
      <c r="M857" s="8"/>
      <c r="N857" s="8"/>
      <c r="O857" s="8"/>
      <c r="P857" s="8"/>
      <c r="Q857" s="8"/>
      <c r="R857" s="8"/>
      <c r="S857" s="8"/>
      <c r="T857" s="8"/>
      <c r="U857" s="12"/>
      <c r="V857" s="12"/>
      <c r="W857" s="12"/>
      <c r="X857" s="12"/>
      <c r="Y857" s="12"/>
      <c r="Z857" s="12"/>
      <c r="AA857" s="12"/>
      <c r="AB857" s="12"/>
      <c r="AC857" s="12"/>
      <c r="AD857" s="12"/>
      <c r="AE857" s="12"/>
      <c r="AF857" s="12"/>
    </row>
    <row r="858" spans="1:32" ht="13.2">
      <c r="A858" s="8"/>
      <c r="B858" s="8"/>
      <c r="C858" s="8"/>
      <c r="D858" s="8"/>
      <c r="E858" s="8"/>
      <c r="F858" s="8"/>
      <c r="G858" s="8"/>
      <c r="H858" s="8"/>
      <c r="I858" s="8"/>
      <c r="J858" s="8"/>
      <c r="K858" s="8"/>
      <c r="L858" s="8"/>
      <c r="M858" s="8"/>
      <c r="N858" s="8"/>
      <c r="O858" s="8"/>
      <c r="P858" s="8"/>
      <c r="Q858" s="8"/>
      <c r="R858" s="8"/>
      <c r="S858" s="8"/>
      <c r="T858" s="8"/>
      <c r="U858" s="12"/>
      <c r="V858" s="12"/>
      <c r="W858" s="12"/>
      <c r="X858" s="12"/>
      <c r="Y858" s="12"/>
      <c r="Z858" s="12"/>
      <c r="AA858" s="12"/>
      <c r="AB858" s="12"/>
      <c r="AC858" s="12"/>
      <c r="AD858" s="12"/>
      <c r="AE858" s="12"/>
      <c r="AF858" s="12"/>
    </row>
    <row r="859" spans="1:32" ht="13.2">
      <c r="A859" s="8"/>
      <c r="B859" s="8"/>
      <c r="C859" s="8"/>
      <c r="D859" s="8"/>
      <c r="E859" s="8"/>
      <c r="F859" s="8"/>
      <c r="G859" s="8"/>
      <c r="H859" s="8"/>
      <c r="I859" s="8"/>
      <c r="J859" s="8"/>
      <c r="K859" s="8"/>
      <c r="L859" s="8"/>
      <c r="M859" s="8"/>
      <c r="N859" s="8"/>
      <c r="O859" s="8"/>
      <c r="P859" s="8"/>
      <c r="Q859" s="8"/>
      <c r="R859" s="8"/>
      <c r="S859" s="8"/>
      <c r="T859" s="8"/>
      <c r="U859" s="12"/>
      <c r="V859" s="12"/>
      <c r="W859" s="12"/>
      <c r="X859" s="12"/>
      <c r="Y859" s="12"/>
      <c r="Z859" s="12"/>
      <c r="AA859" s="12"/>
      <c r="AB859" s="12"/>
      <c r="AC859" s="12"/>
      <c r="AD859" s="12"/>
      <c r="AE859" s="12"/>
      <c r="AF859" s="12"/>
    </row>
    <row r="860" spans="1:32" ht="13.2">
      <c r="A860" s="8"/>
      <c r="B860" s="8"/>
      <c r="C860" s="8"/>
      <c r="D860" s="8"/>
      <c r="E860" s="8"/>
      <c r="F860" s="8"/>
      <c r="G860" s="8"/>
      <c r="H860" s="8"/>
      <c r="I860" s="8"/>
      <c r="J860" s="8"/>
      <c r="K860" s="8"/>
      <c r="L860" s="8"/>
      <c r="M860" s="8"/>
      <c r="N860" s="8"/>
      <c r="O860" s="8"/>
      <c r="P860" s="8"/>
      <c r="Q860" s="8"/>
      <c r="R860" s="8"/>
      <c r="S860" s="8"/>
      <c r="T860" s="8"/>
      <c r="U860" s="12"/>
      <c r="V860" s="12"/>
      <c r="W860" s="12"/>
      <c r="X860" s="12"/>
      <c r="Y860" s="12"/>
      <c r="Z860" s="12"/>
      <c r="AA860" s="12"/>
      <c r="AB860" s="12"/>
      <c r="AC860" s="12"/>
      <c r="AD860" s="12"/>
      <c r="AE860" s="12"/>
      <c r="AF860" s="12"/>
    </row>
    <row r="861" spans="1:32" ht="13.2">
      <c r="A861" s="8"/>
      <c r="B861" s="8"/>
      <c r="C861" s="8"/>
      <c r="D861" s="8"/>
      <c r="E861" s="8"/>
      <c r="F861" s="8"/>
      <c r="G861" s="8"/>
      <c r="H861" s="8"/>
      <c r="I861" s="8"/>
      <c r="J861" s="8"/>
      <c r="K861" s="8"/>
      <c r="L861" s="8"/>
      <c r="M861" s="8"/>
      <c r="N861" s="8"/>
      <c r="O861" s="8"/>
      <c r="P861" s="8"/>
      <c r="Q861" s="8"/>
      <c r="R861" s="8"/>
      <c r="S861" s="8"/>
      <c r="T861" s="8"/>
      <c r="U861" s="12"/>
      <c r="V861" s="12"/>
      <c r="W861" s="12"/>
      <c r="X861" s="12"/>
      <c r="Y861" s="12"/>
      <c r="Z861" s="12"/>
      <c r="AA861" s="12"/>
      <c r="AB861" s="12"/>
      <c r="AC861" s="12"/>
      <c r="AD861" s="12"/>
      <c r="AE861" s="12"/>
      <c r="AF861" s="12"/>
    </row>
    <row r="862" spans="1:32" ht="13.2">
      <c r="A862" s="8"/>
      <c r="B862" s="8"/>
      <c r="C862" s="8"/>
      <c r="D862" s="8"/>
      <c r="E862" s="8"/>
      <c r="F862" s="8"/>
      <c r="G862" s="8"/>
      <c r="H862" s="8"/>
      <c r="I862" s="8"/>
      <c r="J862" s="8"/>
      <c r="K862" s="8"/>
      <c r="L862" s="8"/>
      <c r="M862" s="8"/>
      <c r="N862" s="8"/>
      <c r="O862" s="8"/>
      <c r="P862" s="8"/>
      <c r="Q862" s="8"/>
      <c r="R862" s="8"/>
      <c r="S862" s="8"/>
      <c r="T862" s="8"/>
      <c r="U862" s="12"/>
      <c r="V862" s="12"/>
      <c r="W862" s="12"/>
      <c r="X862" s="12"/>
      <c r="Y862" s="12"/>
      <c r="Z862" s="12"/>
      <c r="AA862" s="12"/>
      <c r="AB862" s="12"/>
      <c r="AC862" s="12"/>
      <c r="AD862" s="12"/>
      <c r="AE862" s="12"/>
      <c r="AF862" s="12"/>
    </row>
    <row r="863" spans="1:32" ht="13.2">
      <c r="A863" s="8"/>
      <c r="B863" s="8"/>
      <c r="C863" s="8"/>
      <c r="D863" s="8"/>
      <c r="E863" s="8"/>
      <c r="F863" s="8"/>
      <c r="G863" s="8"/>
      <c r="H863" s="8"/>
      <c r="I863" s="8"/>
      <c r="J863" s="8"/>
      <c r="K863" s="8"/>
      <c r="L863" s="8"/>
      <c r="M863" s="8"/>
      <c r="N863" s="8"/>
      <c r="O863" s="8"/>
      <c r="P863" s="8"/>
      <c r="Q863" s="8"/>
      <c r="R863" s="8"/>
      <c r="S863" s="8"/>
      <c r="T863" s="8"/>
      <c r="U863" s="12"/>
      <c r="V863" s="12"/>
      <c r="W863" s="12"/>
      <c r="X863" s="12"/>
      <c r="Y863" s="12"/>
      <c r="Z863" s="12"/>
      <c r="AA863" s="12"/>
      <c r="AB863" s="12"/>
      <c r="AC863" s="12"/>
      <c r="AD863" s="12"/>
      <c r="AE863" s="12"/>
      <c r="AF863" s="12"/>
    </row>
    <row r="864" spans="1:32" ht="13.2">
      <c r="A864" s="8"/>
      <c r="B864" s="8"/>
      <c r="C864" s="8"/>
      <c r="D864" s="8"/>
      <c r="E864" s="8"/>
      <c r="F864" s="8"/>
      <c r="G864" s="8"/>
      <c r="H864" s="8"/>
      <c r="I864" s="8"/>
      <c r="J864" s="8"/>
      <c r="K864" s="8"/>
      <c r="L864" s="8"/>
      <c r="M864" s="8"/>
      <c r="N864" s="8"/>
      <c r="O864" s="8"/>
      <c r="P864" s="8"/>
      <c r="Q864" s="8"/>
      <c r="R864" s="8"/>
      <c r="S864" s="8"/>
      <c r="T864" s="8"/>
      <c r="U864" s="12"/>
      <c r="V864" s="12"/>
      <c r="W864" s="12"/>
      <c r="X864" s="12"/>
      <c r="Y864" s="12"/>
      <c r="Z864" s="12"/>
      <c r="AA864" s="12"/>
      <c r="AB864" s="12"/>
      <c r="AC864" s="12"/>
      <c r="AD864" s="12"/>
      <c r="AE864" s="12"/>
      <c r="AF864" s="12"/>
    </row>
    <row r="865" spans="1:32" ht="13.2">
      <c r="A865" s="8"/>
      <c r="B865" s="8"/>
      <c r="C865" s="8"/>
      <c r="D865" s="8"/>
      <c r="E865" s="8"/>
      <c r="F865" s="8"/>
      <c r="G865" s="8"/>
      <c r="H865" s="8"/>
      <c r="I865" s="8"/>
      <c r="J865" s="8"/>
      <c r="K865" s="8"/>
      <c r="L865" s="8"/>
      <c r="M865" s="8"/>
      <c r="N865" s="8"/>
      <c r="O865" s="8"/>
      <c r="P865" s="8"/>
      <c r="Q865" s="8"/>
      <c r="R865" s="8"/>
      <c r="S865" s="8"/>
      <c r="T865" s="8"/>
      <c r="U865" s="12"/>
      <c r="V865" s="12"/>
      <c r="W865" s="12"/>
      <c r="X865" s="12"/>
      <c r="Y865" s="12"/>
      <c r="Z865" s="12"/>
      <c r="AA865" s="12"/>
      <c r="AB865" s="12"/>
      <c r="AC865" s="12"/>
      <c r="AD865" s="12"/>
      <c r="AE865" s="12"/>
      <c r="AF865" s="12"/>
    </row>
    <row r="866" spans="1:32" ht="13.2">
      <c r="A866" s="8"/>
      <c r="B866" s="8"/>
      <c r="C866" s="8"/>
      <c r="D866" s="8"/>
      <c r="E866" s="8"/>
      <c r="F866" s="8"/>
      <c r="G866" s="8"/>
      <c r="H866" s="8"/>
      <c r="I866" s="8"/>
      <c r="J866" s="8"/>
      <c r="K866" s="8"/>
      <c r="L866" s="8"/>
      <c r="M866" s="8"/>
      <c r="N866" s="8"/>
      <c r="O866" s="8"/>
      <c r="P866" s="8"/>
      <c r="Q866" s="8"/>
      <c r="R866" s="8"/>
      <c r="S866" s="8"/>
      <c r="T866" s="8"/>
      <c r="U866" s="12"/>
      <c r="V866" s="12"/>
      <c r="W866" s="12"/>
      <c r="X866" s="12"/>
      <c r="Y866" s="12"/>
      <c r="Z866" s="12"/>
      <c r="AA866" s="12"/>
      <c r="AB866" s="12"/>
      <c r="AC866" s="12"/>
      <c r="AD866" s="12"/>
      <c r="AE866" s="12"/>
      <c r="AF866" s="12"/>
    </row>
    <row r="867" spans="1:32" ht="13.2">
      <c r="A867" s="8"/>
      <c r="B867" s="8"/>
      <c r="C867" s="8"/>
      <c r="D867" s="8"/>
      <c r="E867" s="8"/>
      <c r="F867" s="8"/>
      <c r="G867" s="8"/>
      <c r="H867" s="8"/>
      <c r="I867" s="8"/>
      <c r="J867" s="8"/>
      <c r="K867" s="8"/>
      <c r="L867" s="8"/>
      <c r="M867" s="8"/>
      <c r="N867" s="8"/>
      <c r="O867" s="8"/>
      <c r="P867" s="8"/>
      <c r="Q867" s="8"/>
      <c r="R867" s="8"/>
      <c r="S867" s="8"/>
      <c r="T867" s="8"/>
      <c r="U867" s="12"/>
      <c r="V867" s="12"/>
      <c r="W867" s="12"/>
      <c r="X867" s="12"/>
      <c r="Y867" s="12"/>
      <c r="Z867" s="12"/>
      <c r="AA867" s="12"/>
      <c r="AB867" s="12"/>
      <c r="AC867" s="12"/>
      <c r="AD867" s="12"/>
      <c r="AE867" s="12"/>
      <c r="AF867" s="12"/>
    </row>
    <row r="868" spans="1:32" ht="13.2">
      <c r="A868" s="8"/>
      <c r="B868" s="8"/>
      <c r="C868" s="8"/>
      <c r="D868" s="8"/>
      <c r="E868" s="8"/>
      <c r="F868" s="8"/>
      <c r="G868" s="8"/>
      <c r="H868" s="8"/>
      <c r="I868" s="8"/>
      <c r="J868" s="8"/>
      <c r="K868" s="8"/>
      <c r="L868" s="8"/>
      <c r="M868" s="8"/>
      <c r="N868" s="8"/>
      <c r="O868" s="8"/>
      <c r="P868" s="8"/>
      <c r="Q868" s="8"/>
      <c r="R868" s="8"/>
      <c r="S868" s="8"/>
      <c r="T868" s="8"/>
      <c r="U868" s="12"/>
      <c r="V868" s="12"/>
      <c r="W868" s="12"/>
      <c r="X868" s="12"/>
      <c r="Y868" s="12"/>
      <c r="Z868" s="12"/>
      <c r="AA868" s="12"/>
      <c r="AB868" s="12"/>
      <c r="AC868" s="12"/>
      <c r="AD868" s="12"/>
      <c r="AE868" s="12"/>
      <c r="AF868" s="12"/>
    </row>
    <row r="869" spans="1:32" ht="13.2">
      <c r="A869" s="8"/>
      <c r="B869" s="8"/>
      <c r="C869" s="8"/>
      <c r="D869" s="8"/>
      <c r="E869" s="8"/>
      <c r="F869" s="8"/>
      <c r="G869" s="8"/>
      <c r="H869" s="8"/>
      <c r="I869" s="8"/>
      <c r="J869" s="8"/>
      <c r="K869" s="8"/>
      <c r="L869" s="8"/>
      <c r="M869" s="8"/>
      <c r="N869" s="8"/>
      <c r="O869" s="8"/>
      <c r="P869" s="8"/>
      <c r="Q869" s="8"/>
      <c r="R869" s="8"/>
      <c r="S869" s="8"/>
      <c r="T869" s="8"/>
      <c r="U869" s="12"/>
      <c r="V869" s="12"/>
      <c r="W869" s="12"/>
      <c r="X869" s="12"/>
      <c r="Y869" s="12"/>
      <c r="Z869" s="12"/>
      <c r="AA869" s="12"/>
      <c r="AB869" s="12"/>
      <c r="AC869" s="12"/>
      <c r="AD869" s="12"/>
      <c r="AE869" s="12"/>
      <c r="AF869" s="12"/>
    </row>
    <row r="870" spans="1:32" ht="13.2">
      <c r="A870" s="8"/>
      <c r="B870" s="8"/>
      <c r="C870" s="8"/>
      <c r="D870" s="8"/>
      <c r="E870" s="8"/>
      <c r="F870" s="8"/>
      <c r="G870" s="8"/>
      <c r="H870" s="8"/>
      <c r="I870" s="8"/>
      <c r="J870" s="8"/>
      <c r="K870" s="8"/>
      <c r="L870" s="8"/>
      <c r="M870" s="8"/>
      <c r="N870" s="8"/>
      <c r="O870" s="8"/>
      <c r="P870" s="8"/>
      <c r="Q870" s="8"/>
      <c r="R870" s="8"/>
      <c r="S870" s="8"/>
      <c r="T870" s="8"/>
      <c r="U870" s="12"/>
      <c r="V870" s="12"/>
      <c r="W870" s="12"/>
      <c r="X870" s="12"/>
      <c r="Y870" s="12"/>
      <c r="Z870" s="12"/>
      <c r="AA870" s="12"/>
      <c r="AB870" s="12"/>
      <c r="AC870" s="12"/>
      <c r="AD870" s="12"/>
      <c r="AE870" s="12"/>
      <c r="AF870" s="12"/>
    </row>
    <row r="871" spans="1:32" ht="13.2">
      <c r="A871" s="8"/>
      <c r="B871" s="8"/>
      <c r="C871" s="8"/>
      <c r="D871" s="8"/>
      <c r="E871" s="8"/>
      <c r="F871" s="8"/>
      <c r="G871" s="8"/>
      <c r="H871" s="8"/>
      <c r="I871" s="8"/>
      <c r="J871" s="8"/>
      <c r="K871" s="8"/>
      <c r="L871" s="8"/>
      <c r="M871" s="8"/>
      <c r="N871" s="8"/>
      <c r="O871" s="8"/>
      <c r="P871" s="8"/>
      <c r="Q871" s="8"/>
      <c r="R871" s="8"/>
      <c r="S871" s="8"/>
      <c r="T871" s="8"/>
      <c r="U871" s="12"/>
      <c r="V871" s="12"/>
      <c r="W871" s="12"/>
      <c r="X871" s="12"/>
      <c r="Y871" s="12"/>
      <c r="Z871" s="12"/>
      <c r="AA871" s="12"/>
      <c r="AB871" s="12"/>
      <c r="AC871" s="12"/>
      <c r="AD871" s="12"/>
      <c r="AE871" s="12"/>
      <c r="AF871" s="12"/>
    </row>
    <row r="872" spans="1:32" ht="13.2">
      <c r="A872" s="8"/>
      <c r="B872" s="8"/>
      <c r="C872" s="8"/>
      <c r="D872" s="8"/>
      <c r="E872" s="8"/>
      <c r="F872" s="8"/>
      <c r="G872" s="8"/>
      <c r="H872" s="8"/>
      <c r="I872" s="8"/>
      <c r="J872" s="8"/>
      <c r="K872" s="8"/>
      <c r="L872" s="8"/>
      <c r="M872" s="8"/>
      <c r="N872" s="8"/>
      <c r="O872" s="8"/>
      <c r="P872" s="8"/>
      <c r="Q872" s="8"/>
      <c r="R872" s="8"/>
      <c r="S872" s="8"/>
      <c r="T872" s="8"/>
      <c r="U872" s="12"/>
      <c r="V872" s="12"/>
      <c r="W872" s="12"/>
      <c r="X872" s="12"/>
      <c r="Y872" s="12"/>
      <c r="Z872" s="12"/>
      <c r="AA872" s="12"/>
      <c r="AB872" s="12"/>
      <c r="AC872" s="12"/>
      <c r="AD872" s="12"/>
      <c r="AE872" s="12"/>
      <c r="AF872" s="12"/>
    </row>
    <row r="873" spans="1:32" ht="13.2">
      <c r="A873" s="8"/>
      <c r="B873" s="8"/>
      <c r="C873" s="8"/>
      <c r="D873" s="8"/>
      <c r="E873" s="8"/>
      <c r="F873" s="8"/>
      <c r="G873" s="8"/>
      <c r="H873" s="8"/>
      <c r="I873" s="8"/>
      <c r="J873" s="8"/>
      <c r="K873" s="8"/>
      <c r="L873" s="8"/>
      <c r="M873" s="8"/>
      <c r="N873" s="8"/>
      <c r="O873" s="8"/>
      <c r="P873" s="8"/>
      <c r="Q873" s="8"/>
      <c r="R873" s="8"/>
      <c r="S873" s="8"/>
      <c r="T873" s="8"/>
      <c r="U873" s="12"/>
      <c r="V873" s="12"/>
      <c r="W873" s="12"/>
      <c r="X873" s="12"/>
      <c r="Y873" s="12"/>
      <c r="Z873" s="12"/>
      <c r="AA873" s="12"/>
      <c r="AB873" s="12"/>
      <c r="AC873" s="12"/>
      <c r="AD873" s="12"/>
      <c r="AE873" s="12"/>
      <c r="AF873" s="12"/>
    </row>
    <row r="874" spans="1:32" ht="13.2">
      <c r="A874" s="8"/>
      <c r="B874" s="8"/>
      <c r="C874" s="8"/>
      <c r="D874" s="8"/>
      <c r="E874" s="8"/>
      <c r="F874" s="8"/>
      <c r="G874" s="8"/>
      <c r="H874" s="8"/>
      <c r="I874" s="8"/>
      <c r="J874" s="8"/>
      <c r="K874" s="8"/>
      <c r="L874" s="8"/>
      <c r="M874" s="8"/>
      <c r="N874" s="8"/>
      <c r="O874" s="8"/>
      <c r="P874" s="8"/>
      <c r="Q874" s="8"/>
      <c r="R874" s="8"/>
      <c r="S874" s="8"/>
      <c r="T874" s="8"/>
      <c r="U874" s="12"/>
      <c r="V874" s="12"/>
      <c r="W874" s="12"/>
      <c r="X874" s="12"/>
      <c r="Y874" s="12"/>
      <c r="Z874" s="12"/>
      <c r="AA874" s="12"/>
      <c r="AB874" s="12"/>
      <c r="AC874" s="12"/>
      <c r="AD874" s="12"/>
      <c r="AE874" s="12"/>
      <c r="AF874" s="12"/>
    </row>
    <row r="875" spans="1:32" ht="13.2">
      <c r="A875" s="8"/>
      <c r="B875" s="8"/>
      <c r="C875" s="8"/>
      <c r="D875" s="8"/>
      <c r="E875" s="8"/>
      <c r="F875" s="8"/>
      <c r="G875" s="8"/>
      <c r="H875" s="8"/>
      <c r="I875" s="8"/>
      <c r="J875" s="8"/>
      <c r="K875" s="8"/>
      <c r="L875" s="8"/>
      <c r="M875" s="8"/>
      <c r="N875" s="8"/>
      <c r="O875" s="8"/>
      <c r="P875" s="8"/>
      <c r="Q875" s="8"/>
      <c r="R875" s="8"/>
      <c r="S875" s="8"/>
      <c r="T875" s="8"/>
      <c r="U875" s="12"/>
      <c r="V875" s="12"/>
      <c r="W875" s="12"/>
      <c r="X875" s="12"/>
      <c r="Y875" s="12"/>
      <c r="Z875" s="12"/>
      <c r="AA875" s="12"/>
      <c r="AB875" s="12"/>
      <c r="AC875" s="12"/>
      <c r="AD875" s="12"/>
      <c r="AE875" s="12"/>
      <c r="AF875" s="12"/>
    </row>
    <row r="876" spans="1:32" ht="13.2">
      <c r="A876" s="8"/>
      <c r="B876" s="8"/>
      <c r="C876" s="8"/>
      <c r="D876" s="8"/>
      <c r="E876" s="8"/>
      <c r="F876" s="8"/>
      <c r="G876" s="8"/>
      <c r="H876" s="8"/>
      <c r="I876" s="8"/>
      <c r="J876" s="8"/>
      <c r="K876" s="8"/>
      <c r="L876" s="8"/>
      <c r="M876" s="8"/>
      <c r="N876" s="8"/>
      <c r="O876" s="8"/>
      <c r="P876" s="8"/>
      <c r="Q876" s="8"/>
      <c r="R876" s="8"/>
      <c r="S876" s="8"/>
      <c r="T876" s="8"/>
      <c r="U876" s="12"/>
      <c r="V876" s="12"/>
      <c r="W876" s="12"/>
      <c r="X876" s="12"/>
      <c r="Y876" s="12"/>
      <c r="Z876" s="12"/>
      <c r="AA876" s="12"/>
      <c r="AB876" s="12"/>
      <c r="AC876" s="12"/>
      <c r="AD876" s="12"/>
      <c r="AE876" s="12"/>
      <c r="AF876" s="12"/>
    </row>
    <row r="877" spans="1:32" ht="13.2">
      <c r="A877" s="8"/>
      <c r="B877" s="8"/>
      <c r="C877" s="8"/>
      <c r="D877" s="8"/>
      <c r="E877" s="8"/>
      <c r="F877" s="8"/>
      <c r="G877" s="8"/>
      <c r="H877" s="8"/>
      <c r="I877" s="8"/>
      <c r="J877" s="8"/>
      <c r="K877" s="8"/>
      <c r="L877" s="8"/>
      <c r="M877" s="8"/>
      <c r="N877" s="8"/>
      <c r="O877" s="8"/>
      <c r="P877" s="8"/>
      <c r="Q877" s="8"/>
      <c r="R877" s="8"/>
      <c r="S877" s="8"/>
      <c r="T877" s="8"/>
      <c r="U877" s="12"/>
      <c r="V877" s="12"/>
      <c r="W877" s="12"/>
      <c r="X877" s="12"/>
      <c r="Y877" s="12"/>
      <c r="Z877" s="12"/>
      <c r="AA877" s="12"/>
      <c r="AB877" s="12"/>
      <c r="AC877" s="12"/>
      <c r="AD877" s="12"/>
      <c r="AE877" s="12"/>
      <c r="AF877" s="12"/>
    </row>
    <row r="878" spans="1:32" ht="13.2">
      <c r="A878" s="8"/>
      <c r="B878" s="8"/>
      <c r="C878" s="8"/>
      <c r="D878" s="8"/>
      <c r="E878" s="8"/>
      <c r="F878" s="8"/>
      <c r="G878" s="8"/>
      <c r="H878" s="8"/>
      <c r="I878" s="8"/>
      <c r="J878" s="8"/>
      <c r="K878" s="8"/>
      <c r="L878" s="8"/>
      <c r="M878" s="8"/>
      <c r="N878" s="8"/>
      <c r="O878" s="8"/>
      <c r="P878" s="8"/>
      <c r="Q878" s="8"/>
      <c r="R878" s="8"/>
      <c r="S878" s="8"/>
      <c r="T878" s="8"/>
      <c r="U878" s="12"/>
      <c r="V878" s="12"/>
      <c r="W878" s="12"/>
      <c r="X878" s="12"/>
      <c r="Y878" s="12"/>
      <c r="Z878" s="12"/>
      <c r="AA878" s="12"/>
      <c r="AB878" s="12"/>
      <c r="AC878" s="12"/>
      <c r="AD878" s="12"/>
      <c r="AE878" s="12"/>
      <c r="AF878" s="12"/>
    </row>
    <row r="879" spans="1:32" ht="13.2">
      <c r="A879" s="8"/>
      <c r="B879" s="8"/>
      <c r="C879" s="8"/>
      <c r="D879" s="8"/>
      <c r="E879" s="8"/>
      <c r="F879" s="8"/>
      <c r="G879" s="8"/>
      <c r="H879" s="8"/>
      <c r="I879" s="8"/>
      <c r="J879" s="8"/>
      <c r="K879" s="8"/>
      <c r="L879" s="8"/>
      <c r="M879" s="8"/>
      <c r="N879" s="8"/>
      <c r="O879" s="8"/>
      <c r="P879" s="8"/>
      <c r="Q879" s="8"/>
      <c r="R879" s="8"/>
      <c r="S879" s="8"/>
      <c r="T879" s="8"/>
      <c r="U879" s="12"/>
      <c r="V879" s="12"/>
      <c r="W879" s="12"/>
      <c r="X879" s="12"/>
      <c r="Y879" s="12"/>
      <c r="Z879" s="12"/>
      <c r="AA879" s="12"/>
      <c r="AB879" s="12"/>
      <c r="AC879" s="12"/>
      <c r="AD879" s="12"/>
      <c r="AE879" s="12"/>
      <c r="AF879" s="12"/>
    </row>
    <row r="880" spans="1:32" ht="13.2">
      <c r="A880" s="8"/>
      <c r="B880" s="8"/>
      <c r="C880" s="8"/>
      <c r="D880" s="8"/>
      <c r="E880" s="8"/>
      <c r="F880" s="8"/>
      <c r="G880" s="8"/>
      <c r="H880" s="8"/>
      <c r="I880" s="8"/>
      <c r="J880" s="8"/>
      <c r="K880" s="8"/>
      <c r="L880" s="8"/>
      <c r="M880" s="8"/>
      <c r="N880" s="8"/>
      <c r="O880" s="8"/>
      <c r="P880" s="8"/>
      <c r="Q880" s="8"/>
      <c r="R880" s="8"/>
      <c r="S880" s="8"/>
      <c r="T880" s="8"/>
      <c r="U880" s="12"/>
      <c r="V880" s="12"/>
      <c r="W880" s="12"/>
      <c r="X880" s="12"/>
      <c r="Y880" s="12"/>
      <c r="Z880" s="12"/>
      <c r="AA880" s="12"/>
      <c r="AB880" s="12"/>
      <c r="AC880" s="12"/>
      <c r="AD880" s="12"/>
      <c r="AE880" s="12"/>
      <c r="AF880" s="12"/>
    </row>
    <row r="881" spans="1:32" ht="13.2">
      <c r="A881" s="8"/>
      <c r="B881" s="8"/>
      <c r="C881" s="8"/>
      <c r="D881" s="8"/>
      <c r="E881" s="8"/>
      <c r="F881" s="8"/>
      <c r="G881" s="8"/>
      <c r="H881" s="8"/>
      <c r="I881" s="8"/>
      <c r="J881" s="8"/>
      <c r="K881" s="8"/>
      <c r="L881" s="8"/>
      <c r="M881" s="8"/>
      <c r="N881" s="8"/>
      <c r="O881" s="8"/>
      <c r="P881" s="8"/>
      <c r="Q881" s="8"/>
      <c r="R881" s="8"/>
      <c r="S881" s="8"/>
      <c r="T881" s="8"/>
      <c r="U881" s="12"/>
      <c r="V881" s="12"/>
      <c r="W881" s="12"/>
      <c r="X881" s="12"/>
      <c r="Y881" s="12"/>
      <c r="Z881" s="12"/>
      <c r="AA881" s="12"/>
      <c r="AB881" s="12"/>
      <c r="AC881" s="12"/>
      <c r="AD881" s="12"/>
      <c r="AE881" s="12"/>
      <c r="AF881" s="12"/>
    </row>
    <row r="882" spans="1:32" ht="13.2">
      <c r="A882" s="8"/>
      <c r="B882" s="8"/>
      <c r="C882" s="8"/>
      <c r="D882" s="8"/>
      <c r="E882" s="8"/>
      <c r="F882" s="8"/>
      <c r="G882" s="8"/>
      <c r="H882" s="8"/>
      <c r="I882" s="8"/>
      <c r="J882" s="8"/>
      <c r="K882" s="8"/>
      <c r="L882" s="8"/>
      <c r="M882" s="8"/>
      <c r="N882" s="8"/>
      <c r="O882" s="8"/>
      <c r="P882" s="8"/>
      <c r="Q882" s="8"/>
      <c r="R882" s="8"/>
      <c r="S882" s="8"/>
      <c r="T882" s="8"/>
      <c r="U882" s="12"/>
      <c r="V882" s="12"/>
      <c r="W882" s="12"/>
      <c r="X882" s="12"/>
      <c r="Y882" s="12"/>
      <c r="Z882" s="12"/>
      <c r="AA882" s="12"/>
      <c r="AB882" s="12"/>
      <c r="AC882" s="12"/>
      <c r="AD882" s="12"/>
      <c r="AE882" s="12"/>
      <c r="AF882" s="12"/>
    </row>
    <row r="883" spans="1:32" ht="13.2">
      <c r="A883" s="8"/>
      <c r="B883" s="8"/>
      <c r="C883" s="8"/>
      <c r="D883" s="8"/>
      <c r="E883" s="8"/>
      <c r="F883" s="8"/>
      <c r="G883" s="8"/>
      <c r="H883" s="8"/>
      <c r="I883" s="8"/>
      <c r="J883" s="8"/>
      <c r="K883" s="8"/>
      <c r="L883" s="8"/>
      <c r="M883" s="8"/>
      <c r="N883" s="8"/>
      <c r="O883" s="8"/>
      <c r="P883" s="8"/>
      <c r="Q883" s="8"/>
      <c r="R883" s="8"/>
      <c r="S883" s="8"/>
      <c r="T883" s="8"/>
      <c r="U883" s="12"/>
      <c r="V883" s="12"/>
      <c r="W883" s="12"/>
      <c r="X883" s="12"/>
      <c r="Y883" s="12"/>
      <c r="Z883" s="12"/>
      <c r="AA883" s="12"/>
      <c r="AB883" s="12"/>
      <c r="AC883" s="12"/>
      <c r="AD883" s="12"/>
      <c r="AE883" s="12"/>
      <c r="AF883" s="12"/>
    </row>
    <row r="884" spans="1:32" ht="13.2">
      <c r="A884" s="8"/>
      <c r="B884" s="8"/>
      <c r="C884" s="8"/>
      <c r="D884" s="8"/>
      <c r="E884" s="8"/>
      <c r="F884" s="8"/>
      <c r="G884" s="8"/>
      <c r="H884" s="8"/>
      <c r="I884" s="8"/>
      <c r="J884" s="8"/>
      <c r="K884" s="8"/>
      <c r="L884" s="8"/>
      <c r="M884" s="8"/>
      <c r="N884" s="8"/>
      <c r="O884" s="8"/>
      <c r="P884" s="8"/>
      <c r="Q884" s="8"/>
      <c r="R884" s="8"/>
      <c r="S884" s="8"/>
      <c r="T884" s="8"/>
      <c r="U884" s="12"/>
      <c r="V884" s="12"/>
      <c r="W884" s="12"/>
      <c r="X884" s="12"/>
      <c r="Y884" s="12"/>
      <c r="Z884" s="12"/>
      <c r="AA884" s="12"/>
      <c r="AB884" s="12"/>
      <c r="AC884" s="12"/>
      <c r="AD884" s="12"/>
      <c r="AE884" s="12"/>
      <c r="AF884" s="12"/>
    </row>
    <row r="885" spans="1:32" ht="13.2">
      <c r="A885" s="8"/>
      <c r="B885" s="8"/>
      <c r="C885" s="8"/>
      <c r="D885" s="8"/>
      <c r="E885" s="8"/>
      <c r="F885" s="8"/>
      <c r="G885" s="8"/>
      <c r="H885" s="8"/>
      <c r="I885" s="8"/>
      <c r="J885" s="8"/>
      <c r="K885" s="8"/>
      <c r="L885" s="8"/>
      <c r="M885" s="8"/>
      <c r="N885" s="8"/>
      <c r="O885" s="8"/>
      <c r="P885" s="8"/>
      <c r="Q885" s="8"/>
      <c r="R885" s="8"/>
      <c r="S885" s="8"/>
      <c r="T885" s="8"/>
      <c r="U885" s="12"/>
      <c r="V885" s="12"/>
      <c r="W885" s="12"/>
      <c r="X885" s="12"/>
      <c r="Y885" s="12"/>
      <c r="Z885" s="12"/>
      <c r="AA885" s="12"/>
      <c r="AB885" s="12"/>
      <c r="AC885" s="12"/>
      <c r="AD885" s="12"/>
      <c r="AE885" s="12"/>
      <c r="AF885" s="12"/>
    </row>
    <row r="886" spans="1:32" ht="13.2">
      <c r="A886" s="8"/>
      <c r="B886" s="8"/>
      <c r="C886" s="8"/>
      <c r="D886" s="8"/>
      <c r="E886" s="8"/>
      <c r="F886" s="8"/>
      <c r="G886" s="8"/>
      <c r="H886" s="8"/>
      <c r="I886" s="8"/>
      <c r="J886" s="8"/>
      <c r="K886" s="8"/>
      <c r="L886" s="8"/>
      <c r="M886" s="8"/>
      <c r="N886" s="8"/>
      <c r="O886" s="8"/>
      <c r="P886" s="8"/>
      <c r="Q886" s="8"/>
      <c r="R886" s="8"/>
      <c r="S886" s="8"/>
      <c r="T886" s="8"/>
      <c r="U886" s="12"/>
      <c r="V886" s="12"/>
      <c r="W886" s="12"/>
      <c r="X886" s="12"/>
      <c r="Y886" s="12"/>
      <c r="Z886" s="12"/>
      <c r="AA886" s="12"/>
      <c r="AB886" s="12"/>
      <c r="AC886" s="12"/>
      <c r="AD886" s="12"/>
      <c r="AE886" s="12"/>
      <c r="AF886" s="12"/>
    </row>
    <row r="887" spans="1:32" ht="13.2">
      <c r="A887" s="8"/>
      <c r="B887" s="8"/>
      <c r="C887" s="8"/>
      <c r="D887" s="8"/>
      <c r="E887" s="8"/>
      <c r="F887" s="8"/>
      <c r="G887" s="8"/>
      <c r="H887" s="8"/>
      <c r="I887" s="8"/>
      <c r="J887" s="8"/>
      <c r="K887" s="8"/>
      <c r="L887" s="8"/>
      <c r="M887" s="8"/>
      <c r="N887" s="8"/>
      <c r="O887" s="8"/>
      <c r="P887" s="8"/>
      <c r="Q887" s="8"/>
      <c r="R887" s="8"/>
      <c r="S887" s="8"/>
      <c r="T887" s="8"/>
      <c r="U887" s="12"/>
      <c r="V887" s="12"/>
      <c r="W887" s="12"/>
      <c r="X887" s="12"/>
      <c r="Y887" s="12"/>
      <c r="Z887" s="12"/>
      <c r="AA887" s="12"/>
      <c r="AB887" s="12"/>
      <c r="AC887" s="12"/>
      <c r="AD887" s="12"/>
      <c r="AE887" s="12"/>
      <c r="AF887" s="12"/>
    </row>
    <row r="888" spans="1:32" ht="13.2">
      <c r="A888" s="8"/>
      <c r="B888" s="8"/>
      <c r="C888" s="8"/>
      <c r="D888" s="8"/>
      <c r="E888" s="8"/>
      <c r="F888" s="8"/>
      <c r="G888" s="8"/>
      <c r="H888" s="8"/>
      <c r="I888" s="8"/>
      <c r="J888" s="8"/>
      <c r="K888" s="8"/>
      <c r="L888" s="8"/>
      <c r="M888" s="8"/>
      <c r="N888" s="8"/>
      <c r="O888" s="8"/>
      <c r="P888" s="8"/>
      <c r="Q888" s="8"/>
      <c r="R888" s="8"/>
      <c r="S888" s="8"/>
      <c r="T888" s="8"/>
      <c r="U888" s="12"/>
      <c r="V888" s="12"/>
      <c r="W888" s="12"/>
      <c r="X888" s="12"/>
      <c r="Y888" s="12"/>
      <c r="Z888" s="12"/>
      <c r="AA888" s="12"/>
      <c r="AB888" s="12"/>
      <c r="AC888" s="12"/>
      <c r="AD888" s="12"/>
      <c r="AE888" s="12"/>
      <c r="AF888" s="12"/>
    </row>
    <row r="889" spans="1:32" ht="13.2">
      <c r="A889" s="8"/>
      <c r="B889" s="8"/>
      <c r="C889" s="8"/>
      <c r="D889" s="8"/>
      <c r="E889" s="8"/>
      <c r="F889" s="8"/>
      <c r="G889" s="8"/>
      <c r="H889" s="8"/>
      <c r="I889" s="8"/>
      <c r="J889" s="8"/>
      <c r="K889" s="8"/>
      <c r="L889" s="8"/>
      <c r="M889" s="8"/>
      <c r="N889" s="8"/>
      <c r="O889" s="8"/>
      <c r="P889" s="8"/>
      <c r="Q889" s="8"/>
      <c r="R889" s="8"/>
      <c r="S889" s="8"/>
      <c r="T889" s="8"/>
      <c r="U889" s="12"/>
      <c r="V889" s="12"/>
      <c r="W889" s="12"/>
      <c r="X889" s="12"/>
      <c r="Y889" s="12"/>
      <c r="Z889" s="12"/>
      <c r="AA889" s="12"/>
      <c r="AB889" s="12"/>
      <c r="AC889" s="12"/>
      <c r="AD889" s="12"/>
      <c r="AE889" s="12"/>
      <c r="AF889" s="12"/>
    </row>
    <row r="890" spans="1:32" ht="13.2">
      <c r="A890" s="8"/>
      <c r="B890" s="8"/>
      <c r="C890" s="8"/>
      <c r="D890" s="8"/>
      <c r="E890" s="8"/>
      <c r="F890" s="8"/>
      <c r="G890" s="8"/>
      <c r="H890" s="8"/>
      <c r="I890" s="8"/>
      <c r="J890" s="8"/>
      <c r="K890" s="8"/>
      <c r="L890" s="8"/>
      <c r="M890" s="8"/>
      <c r="N890" s="8"/>
      <c r="O890" s="8"/>
      <c r="P890" s="8"/>
      <c r="Q890" s="8"/>
      <c r="R890" s="8"/>
      <c r="S890" s="8"/>
      <c r="T890" s="8"/>
      <c r="U890" s="12"/>
      <c r="V890" s="12"/>
      <c r="W890" s="12"/>
      <c r="X890" s="12"/>
      <c r="Y890" s="12"/>
      <c r="Z890" s="12"/>
      <c r="AA890" s="12"/>
      <c r="AB890" s="12"/>
      <c r="AC890" s="12"/>
      <c r="AD890" s="12"/>
      <c r="AE890" s="12"/>
      <c r="AF890" s="12"/>
    </row>
    <row r="891" spans="1:32" ht="13.2">
      <c r="A891" s="8"/>
      <c r="B891" s="8"/>
      <c r="C891" s="8"/>
      <c r="D891" s="8"/>
      <c r="E891" s="8"/>
      <c r="F891" s="8"/>
      <c r="G891" s="8"/>
      <c r="H891" s="8"/>
      <c r="I891" s="8"/>
      <c r="J891" s="8"/>
      <c r="K891" s="8"/>
      <c r="L891" s="8"/>
      <c r="M891" s="8"/>
      <c r="N891" s="8"/>
      <c r="O891" s="8"/>
      <c r="P891" s="8"/>
      <c r="Q891" s="8"/>
      <c r="R891" s="8"/>
      <c r="S891" s="8"/>
      <c r="T891" s="8"/>
      <c r="U891" s="12"/>
      <c r="V891" s="12"/>
      <c r="W891" s="12"/>
      <c r="X891" s="12"/>
      <c r="Y891" s="12"/>
      <c r="Z891" s="12"/>
      <c r="AA891" s="12"/>
      <c r="AB891" s="12"/>
      <c r="AC891" s="12"/>
      <c r="AD891" s="12"/>
      <c r="AE891" s="12"/>
      <c r="AF891" s="12"/>
    </row>
    <row r="892" spans="1:32" ht="13.2">
      <c r="A892" s="8"/>
      <c r="B892" s="8"/>
      <c r="C892" s="8"/>
      <c r="D892" s="8"/>
      <c r="E892" s="8"/>
      <c r="F892" s="8"/>
      <c r="G892" s="8"/>
      <c r="H892" s="8"/>
      <c r="I892" s="8"/>
      <c r="J892" s="8"/>
      <c r="K892" s="8"/>
      <c r="L892" s="8"/>
      <c r="M892" s="8"/>
      <c r="N892" s="8"/>
      <c r="O892" s="8"/>
      <c r="P892" s="8"/>
      <c r="Q892" s="8"/>
      <c r="R892" s="8"/>
      <c r="S892" s="8"/>
      <c r="T892" s="8"/>
      <c r="U892" s="12"/>
      <c r="V892" s="12"/>
      <c r="W892" s="12"/>
      <c r="X892" s="12"/>
      <c r="Y892" s="12"/>
      <c r="Z892" s="12"/>
      <c r="AA892" s="12"/>
      <c r="AB892" s="12"/>
      <c r="AC892" s="12"/>
      <c r="AD892" s="12"/>
      <c r="AE892" s="12"/>
      <c r="AF892" s="12"/>
    </row>
    <row r="893" spans="1:32" ht="13.2">
      <c r="A893" s="8"/>
      <c r="B893" s="8"/>
      <c r="C893" s="8"/>
      <c r="D893" s="8"/>
      <c r="E893" s="8"/>
      <c r="F893" s="8"/>
      <c r="G893" s="8"/>
      <c r="H893" s="8"/>
      <c r="I893" s="8"/>
      <c r="J893" s="8"/>
      <c r="K893" s="8"/>
      <c r="L893" s="8"/>
      <c r="M893" s="8"/>
      <c r="N893" s="8"/>
      <c r="O893" s="8"/>
      <c r="P893" s="8"/>
      <c r="Q893" s="8"/>
      <c r="R893" s="8"/>
      <c r="S893" s="8"/>
      <c r="T893" s="8"/>
      <c r="U893" s="12"/>
      <c r="V893" s="12"/>
      <c r="W893" s="12"/>
      <c r="X893" s="12"/>
      <c r="Y893" s="12"/>
      <c r="Z893" s="12"/>
      <c r="AA893" s="12"/>
      <c r="AB893" s="12"/>
      <c r="AC893" s="12"/>
      <c r="AD893" s="12"/>
      <c r="AE893" s="12"/>
      <c r="AF893" s="12"/>
    </row>
    <row r="894" spans="1:32" ht="13.2">
      <c r="A894" s="8"/>
      <c r="B894" s="8"/>
      <c r="C894" s="8"/>
      <c r="D894" s="8"/>
      <c r="E894" s="8"/>
      <c r="F894" s="8"/>
      <c r="G894" s="8"/>
      <c r="H894" s="8"/>
      <c r="I894" s="8"/>
      <c r="J894" s="8"/>
      <c r="K894" s="8"/>
      <c r="L894" s="8"/>
      <c r="M894" s="8"/>
      <c r="N894" s="8"/>
      <c r="O894" s="8"/>
      <c r="P894" s="8"/>
      <c r="Q894" s="8"/>
      <c r="R894" s="8"/>
      <c r="S894" s="8"/>
      <c r="T894" s="8"/>
      <c r="U894" s="12"/>
      <c r="V894" s="12"/>
      <c r="W894" s="12"/>
      <c r="X894" s="12"/>
      <c r="Y894" s="12"/>
      <c r="Z894" s="12"/>
      <c r="AA894" s="12"/>
      <c r="AB894" s="12"/>
      <c r="AC894" s="12"/>
      <c r="AD894" s="12"/>
      <c r="AE894" s="12"/>
      <c r="AF894" s="12"/>
    </row>
    <row r="895" spans="1:32" ht="13.2">
      <c r="A895" s="8"/>
      <c r="B895" s="8"/>
      <c r="C895" s="8"/>
      <c r="D895" s="8"/>
      <c r="E895" s="8"/>
      <c r="F895" s="8"/>
      <c r="G895" s="8"/>
      <c r="H895" s="8"/>
      <c r="I895" s="8"/>
      <c r="J895" s="8"/>
      <c r="K895" s="8"/>
      <c r="L895" s="8"/>
      <c r="M895" s="8"/>
      <c r="N895" s="8"/>
      <c r="O895" s="8"/>
      <c r="P895" s="8"/>
      <c r="Q895" s="8"/>
      <c r="R895" s="8"/>
      <c r="S895" s="8"/>
      <c r="T895" s="8"/>
      <c r="U895" s="12"/>
      <c r="V895" s="12"/>
      <c r="W895" s="12"/>
      <c r="X895" s="12"/>
      <c r="Y895" s="12"/>
      <c r="Z895" s="12"/>
      <c r="AA895" s="12"/>
      <c r="AB895" s="12"/>
      <c r="AC895" s="12"/>
      <c r="AD895" s="12"/>
      <c r="AE895" s="12"/>
      <c r="AF895" s="12"/>
    </row>
    <row r="896" spans="1:32" ht="13.2">
      <c r="A896" s="8"/>
      <c r="B896" s="8"/>
      <c r="C896" s="8"/>
      <c r="D896" s="8"/>
      <c r="E896" s="8"/>
      <c r="F896" s="8"/>
      <c r="G896" s="8"/>
      <c r="H896" s="8"/>
      <c r="I896" s="8"/>
      <c r="J896" s="8"/>
      <c r="K896" s="8"/>
      <c r="L896" s="8"/>
      <c r="M896" s="8"/>
      <c r="N896" s="8"/>
      <c r="O896" s="8"/>
      <c r="P896" s="8"/>
      <c r="Q896" s="8"/>
      <c r="R896" s="8"/>
      <c r="S896" s="8"/>
      <c r="T896" s="8"/>
      <c r="U896" s="12"/>
      <c r="V896" s="12"/>
      <c r="W896" s="12"/>
      <c r="X896" s="12"/>
      <c r="Y896" s="12"/>
      <c r="Z896" s="12"/>
      <c r="AA896" s="12"/>
      <c r="AB896" s="12"/>
      <c r="AC896" s="12"/>
      <c r="AD896" s="12"/>
      <c r="AE896" s="12"/>
      <c r="AF896" s="12"/>
    </row>
    <row r="897" spans="1:32" ht="13.2">
      <c r="A897" s="8"/>
      <c r="B897" s="8"/>
      <c r="C897" s="8"/>
      <c r="D897" s="8"/>
      <c r="E897" s="8"/>
      <c r="F897" s="8"/>
      <c r="G897" s="8"/>
      <c r="H897" s="8"/>
      <c r="I897" s="8"/>
      <c r="J897" s="8"/>
      <c r="K897" s="8"/>
      <c r="L897" s="8"/>
      <c r="M897" s="8"/>
      <c r="N897" s="8"/>
      <c r="O897" s="8"/>
      <c r="P897" s="8"/>
      <c r="Q897" s="8"/>
      <c r="R897" s="8"/>
      <c r="S897" s="8"/>
      <c r="T897" s="8"/>
      <c r="U897" s="12"/>
      <c r="V897" s="12"/>
      <c r="W897" s="12"/>
      <c r="X897" s="12"/>
      <c r="Y897" s="12"/>
      <c r="Z897" s="12"/>
      <c r="AA897" s="12"/>
      <c r="AB897" s="12"/>
      <c r="AC897" s="12"/>
      <c r="AD897" s="12"/>
      <c r="AE897" s="12"/>
      <c r="AF897" s="12"/>
    </row>
    <row r="898" spans="1:32" ht="13.2">
      <c r="A898" s="8"/>
      <c r="B898" s="8"/>
      <c r="C898" s="8"/>
      <c r="D898" s="8"/>
      <c r="E898" s="8"/>
      <c r="F898" s="8"/>
      <c r="G898" s="8"/>
      <c r="H898" s="8"/>
      <c r="I898" s="8"/>
      <c r="J898" s="8"/>
      <c r="K898" s="8"/>
      <c r="L898" s="8"/>
      <c r="M898" s="8"/>
      <c r="N898" s="8"/>
      <c r="O898" s="8"/>
      <c r="P898" s="8"/>
      <c r="Q898" s="8"/>
      <c r="R898" s="8"/>
      <c r="S898" s="8"/>
      <c r="T898" s="8"/>
      <c r="U898" s="12"/>
      <c r="V898" s="12"/>
      <c r="W898" s="12"/>
      <c r="X898" s="12"/>
      <c r="Y898" s="12"/>
      <c r="Z898" s="12"/>
      <c r="AA898" s="12"/>
      <c r="AB898" s="12"/>
      <c r="AC898" s="12"/>
      <c r="AD898" s="12"/>
      <c r="AE898" s="12"/>
      <c r="AF898" s="12"/>
    </row>
    <row r="899" spans="1:32" ht="13.2">
      <c r="A899" s="8"/>
      <c r="B899" s="8"/>
      <c r="C899" s="8"/>
      <c r="D899" s="8"/>
      <c r="E899" s="8"/>
      <c r="F899" s="8"/>
      <c r="G899" s="8"/>
      <c r="H899" s="8"/>
      <c r="I899" s="8"/>
      <c r="J899" s="8"/>
      <c r="K899" s="8"/>
      <c r="L899" s="8"/>
      <c r="M899" s="8"/>
      <c r="N899" s="8"/>
      <c r="O899" s="8"/>
      <c r="P899" s="8"/>
      <c r="Q899" s="8"/>
      <c r="R899" s="8"/>
      <c r="S899" s="8"/>
      <c r="T899" s="8"/>
      <c r="U899" s="12"/>
      <c r="V899" s="12"/>
      <c r="W899" s="12"/>
      <c r="X899" s="12"/>
      <c r="Y899" s="12"/>
      <c r="Z899" s="12"/>
      <c r="AA899" s="12"/>
      <c r="AB899" s="12"/>
      <c r="AC899" s="12"/>
      <c r="AD899" s="12"/>
      <c r="AE899" s="12"/>
      <c r="AF899" s="12"/>
    </row>
    <row r="900" spans="1:32" ht="13.2">
      <c r="A900" s="8"/>
      <c r="B900" s="8"/>
      <c r="C900" s="8"/>
      <c r="D900" s="8"/>
      <c r="E900" s="8"/>
      <c r="F900" s="8"/>
      <c r="G900" s="8"/>
      <c r="H900" s="8"/>
      <c r="I900" s="8"/>
      <c r="J900" s="8"/>
      <c r="K900" s="8"/>
      <c r="L900" s="8"/>
      <c r="M900" s="8"/>
      <c r="N900" s="8"/>
      <c r="O900" s="8"/>
      <c r="P900" s="8"/>
      <c r="Q900" s="8"/>
      <c r="R900" s="8"/>
      <c r="S900" s="8"/>
      <c r="T900" s="8"/>
      <c r="U900" s="12"/>
      <c r="V900" s="12"/>
      <c r="W900" s="12"/>
      <c r="X900" s="12"/>
      <c r="Y900" s="12"/>
      <c r="Z900" s="12"/>
      <c r="AA900" s="12"/>
      <c r="AB900" s="12"/>
      <c r="AC900" s="12"/>
      <c r="AD900" s="12"/>
      <c r="AE900" s="12"/>
      <c r="AF900" s="12"/>
    </row>
    <row r="901" spans="1:32" ht="13.2">
      <c r="A901" s="8"/>
      <c r="B901" s="8"/>
      <c r="C901" s="8"/>
      <c r="D901" s="8"/>
      <c r="E901" s="8"/>
      <c r="F901" s="8"/>
      <c r="G901" s="8"/>
      <c r="H901" s="8"/>
      <c r="I901" s="8"/>
      <c r="J901" s="8"/>
      <c r="K901" s="8"/>
      <c r="L901" s="8"/>
      <c r="M901" s="8"/>
      <c r="N901" s="8"/>
      <c r="O901" s="8"/>
      <c r="P901" s="8"/>
      <c r="Q901" s="8"/>
      <c r="R901" s="8"/>
      <c r="S901" s="8"/>
      <c r="T901" s="8"/>
      <c r="U901" s="12"/>
      <c r="V901" s="12"/>
      <c r="W901" s="12"/>
      <c r="X901" s="12"/>
      <c r="Y901" s="12"/>
      <c r="Z901" s="12"/>
      <c r="AA901" s="12"/>
      <c r="AB901" s="12"/>
      <c r="AC901" s="12"/>
      <c r="AD901" s="12"/>
      <c r="AE901" s="12"/>
      <c r="AF901" s="12"/>
    </row>
    <row r="902" spans="1:32" ht="13.2">
      <c r="A902" s="8"/>
      <c r="B902" s="8"/>
      <c r="C902" s="8"/>
      <c r="D902" s="8"/>
      <c r="E902" s="8"/>
      <c r="F902" s="8"/>
      <c r="G902" s="8"/>
      <c r="H902" s="8"/>
      <c r="I902" s="8"/>
      <c r="J902" s="8"/>
      <c r="K902" s="8"/>
      <c r="L902" s="8"/>
      <c r="M902" s="8"/>
      <c r="N902" s="8"/>
      <c r="O902" s="8"/>
      <c r="P902" s="8"/>
      <c r="Q902" s="8"/>
      <c r="R902" s="8"/>
      <c r="S902" s="8"/>
      <c r="T902" s="8"/>
      <c r="U902" s="12"/>
      <c r="V902" s="12"/>
      <c r="W902" s="12"/>
      <c r="X902" s="12"/>
      <c r="Y902" s="12"/>
      <c r="Z902" s="12"/>
      <c r="AA902" s="12"/>
      <c r="AB902" s="12"/>
      <c r="AC902" s="12"/>
      <c r="AD902" s="12"/>
      <c r="AE902" s="12"/>
      <c r="AF902" s="12"/>
    </row>
    <row r="903" spans="1:32" ht="13.2">
      <c r="A903" s="8"/>
      <c r="B903" s="8"/>
      <c r="C903" s="8"/>
      <c r="D903" s="8"/>
      <c r="E903" s="8"/>
      <c r="F903" s="8"/>
      <c r="G903" s="8"/>
      <c r="H903" s="8"/>
      <c r="I903" s="8"/>
      <c r="J903" s="8"/>
      <c r="K903" s="8"/>
      <c r="L903" s="8"/>
      <c r="M903" s="8"/>
      <c r="N903" s="8"/>
      <c r="O903" s="8"/>
      <c r="P903" s="8"/>
      <c r="Q903" s="8"/>
      <c r="R903" s="8"/>
      <c r="S903" s="8"/>
      <c r="T903" s="8"/>
      <c r="U903" s="12"/>
      <c r="V903" s="12"/>
      <c r="W903" s="12"/>
      <c r="X903" s="12"/>
      <c r="Y903" s="12"/>
      <c r="Z903" s="12"/>
      <c r="AA903" s="12"/>
      <c r="AB903" s="12"/>
      <c r="AC903" s="12"/>
      <c r="AD903" s="12"/>
      <c r="AE903" s="12"/>
      <c r="AF903" s="12"/>
    </row>
    <row r="904" spans="1:32" ht="13.2">
      <c r="A904" s="8"/>
      <c r="B904" s="8"/>
      <c r="C904" s="8"/>
      <c r="D904" s="8"/>
      <c r="E904" s="8"/>
      <c r="F904" s="8"/>
      <c r="G904" s="8"/>
      <c r="H904" s="8"/>
      <c r="I904" s="8"/>
      <c r="J904" s="8"/>
      <c r="K904" s="8"/>
      <c r="L904" s="8"/>
      <c r="M904" s="8"/>
      <c r="N904" s="8"/>
      <c r="O904" s="8"/>
      <c r="P904" s="8"/>
      <c r="Q904" s="8"/>
      <c r="R904" s="8"/>
      <c r="S904" s="8"/>
      <c r="T904" s="8"/>
      <c r="U904" s="12"/>
      <c r="V904" s="12"/>
      <c r="W904" s="12"/>
      <c r="X904" s="12"/>
      <c r="Y904" s="12"/>
      <c r="Z904" s="12"/>
      <c r="AA904" s="12"/>
      <c r="AB904" s="12"/>
      <c r="AC904" s="12"/>
      <c r="AD904" s="12"/>
      <c r="AE904" s="12"/>
      <c r="AF904" s="12"/>
    </row>
    <row r="905" spans="1:32" ht="13.2">
      <c r="A905" s="8"/>
      <c r="B905" s="8"/>
      <c r="C905" s="8"/>
      <c r="D905" s="8"/>
      <c r="E905" s="8"/>
      <c r="F905" s="8"/>
      <c r="G905" s="8"/>
      <c r="H905" s="8"/>
      <c r="I905" s="8"/>
      <c r="J905" s="8"/>
      <c r="K905" s="8"/>
      <c r="L905" s="8"/>
      <c r="M905" s="8"/>
      <c r="N905" s="8"/>
      <c r="O905" s="8"/>
      <c r="P905" s="8"/>
      <c r="Q905" s="8"/>
      <c r="R905" s="8"/>
      <c r="S905" s="8"/>
      <c r="T905" s="8"/>
      <c r="U905" s="12"/>
      <c r="V905" s="12"/>
      <c r="W905" s="12"/>
      <c r="X905" s="12"/>
      <c r="Y905" s="12"/>
      <c r="Z905" s="12"/>
      <c r="AA905" s="12"/>
      <c r="AB905" s="12"/>
      <c r="AC905" s="12"/>
      <c r="AD905" s="12"/>
      <c r="AE905" s="12"/>
      <c r="AF905" s="12"/>
    </row>
    <row r="906" spans="1:32" ht="13.2">
      <c r="A906" s="8"/>
      <c r="B906" s="8"/>
      <c r="C906" s="8"/>
      <c r="D906" s="8"/>
      <c r="E906" s="8"/>
      <c r="F906" s="8"/>
      <c r="G906" s="8"/>
      <c r="H906" s="8"/>
      <c r="I906" s="8"/>
      <c r="J906" s="8"/>
      <c r="K906" s="8"/>
      <c r="L906" s="8"/>
      <c r="M906" s="8"/>
      <c r="N906" s="8"/>
      <c r="O906" s="8"/>
      <c r="P906" s="8"/>
      <c r="Q906" s="8"/>
      <c r="R906" s="8"/>
      <c r="S906" s="8"/>
      <c r="T906" s="8"/>
      <c r="U906" s="12"/>
      <c r="V906" s="12"/>
      <c r="W906" s="12"/>
      <c r="X906" s="12"/>
      <c r="Y906" s="12"/>
      <c r="Z906" s="12"/>
      <c r="AA906" s="12"/>
      <c r="AB906" s="12"/>
      <c r="AC906" s="12"/>
      <c r="AD906" s="12"/>
      <c r="AE906" s="12"/>
      <c r="AF906" s="12"/>
    </row>
    <row r="907" spans="1:32" ht="13.2">
      <c r="A907" s="8"/>
      <c r="B907" s="8"/>
      <c r="C907" s="8"/>
      <c r="D907" s="8"/>
      <c r="E907" s="8"/>
      <c r="F907" s="8"/>
      <c r="G907" s="8"/>
      <c r="H907" s="8"/>
      <c r="I907" s="8"/>
      <c r="J907" s="8"/>
      <c r="K907" s="8"/>
      <c r="L907" s="8"/>
      <c r="M907" s="8"/>
      <c r="N907" s="8"/>
      <c r="O907" s="8"/>
      <c r="P907" s="8"/>
      <c r="Q907" s="8"/>
      <c r="R907" s="8"/>
      <c r="S907" s="8"/>
      <c r="T907" s="8"/>
      <c r="U907" s="12"/>
      <c r="V907" s="12"/>
      <c r="W907" s="12"/>
      <c r="X907" s="12"/>
      <c r="Y907" s="12"/>
      <c r="Z907" s="12"/>
      <c r="AA907" s="12"/>
      <c r="AB907" s="12"/>
      <c r="AC907" s="12"/>
      <c r="AD907" s="12"/>
      <c r="AE907" s="12"/>
      <c r="AF907" s="12"/>
    </row>
    <row r="908" spans="1:32" ht="13.2">
      <c r="A908" s="8"/>
      <c r="B908" s="8"/>
      <c r="C908" s="8"/>
      <c r="D908" s="8"/>
      <c r="E908" s="8"/>
      <c r="F908" s="8"/>
      <c r="G908" s="8"/>
      <c r="H908" s="8"/>
      <c r="I908" s="8"/>
      <c r="J908" s="8"/>
      <c r="K908" s="8"/>
      <c r="L908" s="8"/>
      <c r="M908" s="8"/>
      <c r="N908" s="8"/>
      <c r="O908" s="8"/>
      <c r="P908" s="8"/>
      <c r="Q908" s="8"/>
      <c r="R908" s="8"/>
      <c r="S908" s="8"/>
      <c r="T908" s="8"/>
      <c r="U908" s="12"/>
      <c r="V908" s="12"/>
      <c r="W908" s="12"/>
      <c r="X908" s="12"/>
      <c r="Y908" s="12"/>
      <c r="Z908" s="12"/>
      <c r="AA908" s="12"/>
      <c r="AB908" s="12"/>
      <c r="AC908" s="12"/>
      <c r="AD908" s="12"/>
      <c r="AE908" s="12"/>
      <c r="AF908" s="12"/>
    </row>
    <row r="909" spans="1:32" ht="13.2">
      <c r="A909" s="8"/>
      <c r="B909" s="8"/>
      <c r="C909" s="8"/>
      <c r="D909" s="8"/>
      <c r="E909" s="8"/>
      <c r="F909" s="8"/>
      <c r="G909" s="8"/>
      <c r="H909" s="8"/>
      <c r="I909" s="8"/>
      <c r="J909" s="8"/>
      <c r="K909" s="8"/>
      <c r="L909" s="8"/>
      <c r="M909" s="8"/>
      <c r="N909" s="8"/>
      <c r="O909" s="8"/>
      <c r="P909" s="8"/>
      <c r="Q909" s="8"/>
      <c r="R909" s="8"/>
      <c r="S909" s="8"/>
      <c r="T909" s="8"/>
      <c r="U909" s="12"/>
      <c r="V909" s="12"/>
      <c r="W909" s="12"/>
      <c r="X909" s="12"/>
      <c r="Y909" s="12"/>
      <c r="Z909" s="12"/>
      <c r="AA909" s="12"/>
      <c r="AB909" s="12"/>
      <c r="AC909" s="12"/>
      <c r="AD909" s="12"/>
      <c r="AE909" s="12"/>
      <c r="AF909" s="12"/>
    </row>
    <row r="910" spans="1:32" ht="13.2">
      <c r="A910" s="8"/>
      <c r="B910" s="8"/>
      <c r="C910" s="8"/>
      <c r="D910" s="8"/>
      <c r="E910" s="8"/>
      <c r="F910" s="8"/>
      <c r="G910" s="8"/>
      <c r="H910" s="8"/>
      <c r="I910" s="8"/>
      <c r="J910" s="8"/>
      <c r="K910" s="8"/>
      <c r="L910" s="8"/>
      <c r="M910" s="8"/>
      <c r="N910" s="8"/>
      <c r="O910" s="8"/>
      <c r="P910" s="8"/>
      <c r="Q910" s="8"/>
      <c r="R910" s="8"/>
      <c r="S910" s="8"/>
      <c r="T910" s="8"/>
      <c r="U910" s="12"/>
      <c r="V910" s="12"/>
      <c r="W910" s="12"/>
      <c r="X910" s="12"/>
      <c r="Y910" s="12"/>
      <c r="Z910" s="12"/>
      <c r="AA910" s="12"/>
      <c r="AB910" s="12"/>
      <c r="AC910" s="12"/>
      <c r="AD910" s="12"/>
      <c r="AE910" s="12"/>
      <c r="AF910" s="12"/>
    </row>
    <row r="911" spans="1:32" ht="13.2">
      <c r="A911" s="8"/>
      <c r="B911" s="8"/>
      <c r="C911" s="8"/>
      <c r="D911" s="8"/>
      <c r="E911" s="8"/>
      <c r="F911" s="8"/>
      <c r="G911" s="8"/>
      <c r="H911" s="8"/>
      <c r="I911" s="8"/>
      <c r="J911" s="8"/>
      <c r="K911" s="8"/>
      <c r="L911" s="8"/>
      <c r="M911" s="8"/>
      <c r="N911" s="8"/>
      <c r="O911" s="8"/>
      <c r="P911" s="8"/>
      <c r="Q911" s="8"/>
      <c r="R911" s="8"/>
      <c r="S911" s="8"/>
      <c r="T911" s="8"/>
      <c r="U911" s="12"/>
      <c r="V911" s="12"/>
      <c r="W911" s="12"/>
      <c r="X911" s="12"/>
      <c r="Y911" s="12"/>
      <c r="Z911" s="12"/>
      <c r="AA911" s="12"/>
      <c r="AB911" s="12"/>
      <c r="AC911" s="12"/>
      <c r="AD911" s="12"/>
      <c r="AE911" s="12"/>
      <c r="AF911" s="12"/>
    </row>
    <row r="912" spans="1:32" ht="13.2">
      <c r="A912" s="8"/>
      <c r="B912" s="8"/>
      <c r="C912" s="8"/>
      <c r="D912" s="8"/>
      <c r="E912" s="8"/>
      <c r="F912" s="8"/>
      <c r="G912" s="8"/>
      <c r="H912" s="8"/>
      <c r="I912" s="8"/>
      <c r="J912" s="8"/>
      <c r="K912" s="8"/>
      <c r="L912" s="8"/>
      <c r="M912" s="8"/>
      <c r="N912" s="8"/>
      <c r="O912" s="8"/>
      <c r="P912" s="8"/>
      <c r="Q912" s="8"/>
      <c r="R912" s="8"/>
      <c r="S912" s="8"/>
      <c r="T912" s="8"/>
      <c r="U912" s="12"/>
      <c r="V912" s="12"/>
      <c r="W912" s="12"/>
      <c r="X912" s="12"/>
      <c r="Y912" s="12"/>
      <c r="Z912" s="12"/>
      <c r="AA912" s="12"/>
      <c r="AB912" s="12"/>
      <c r="AC912" s="12"/>
      <c r="AD912" s="12"/>
      <c r="AE912" s="12"/>
      <c r="AF912" s="12"/>
    </row>
    <row r="913" spans="1:32" ht="13.2">
      <c r="A913" s="8"/>
      <c r="B913" s="8"/>
      <c r="C913" s="8"/>
      <c r="D913" s="8"/>
      <c r="E913" s="8"/>
      <c r="F913" s="8"/>
      <c r="G913" s="8"/>
      <c r="H913" s="8"/>
      <c r="I913" s="8"/>
      <c r="J913" s="8"/>
      <c r="K913" s="8"/>
      <c r="L913" s="8"/>
      <c r="M913" s="8"/>
      <c r="N913" s="8"/>
      <c r="O913" s="8"/>
      <c r="P913" s="8"/>
      <c r="Q913" s="8"/>
      <c r="R913" s="8"/>
      <c r="S913" s="8"/>
      <c r="T913" s="8"/>
      <c r="U913" s="12"/>
      <c r="V913" s="12"/>
      <c r="W913" s="12"/>
      <c r="X913" s="12"/>
      <c r="Y913" s="12"/>
      <c r="Z913" s="12"/>
      <c r="AA913" s="12"/>
      <c r="AB913" s="12"/>
      <c r="AC913" s="12"/>
      <c r="AD913" s="12"/>
      <c r="AE913" s="12"/>
      <c r="AF913" s="12"/>
    </row>
    <row r="914" spans="1:32" ht="13.2">
      <c r="A914" s="8"/>
      <c r="B914" s="8"/>
      <c r="C914" s="8"/>
      <c r="D914" s="8"/>
      <c r="E914" s="8"/>
      <c r="F914" s="8"/>
      <c r="G914" s="8"/>
      <c r="H914" s="8"/>
      <c r="I914" s="8"/>
      <c r="J914" s="8"/>
      <c r="K914" s="8"/>
      <c r="L914" s="8"/>
      <c r="M914" s="8"/>
      <c r="N914" s="8"/>
      <c r="O914" s="8"/>
      <c r="P914" s="8"/>
      <c r="Q914" s="8"/>
      <c r="R914" s="8"/>
      <c r="S914" s="8"/>
      <c r="T914" s="8"/>
      <c r="U914" s="12"/>
      <c r="V914" s="12"/>
      <c r="W914" s="12"/>
      <c r="X914" s="12"/>
      <c r="Y914" s="12"/>
      <c r="Z914" s="12"/>
      <c r="AA914" s="12"/>
      <c r="AB914" s="12"/>
      <c r="AC914" s="12"/>
      <c r="AD914" s="12"/>
      <c r="AE914" s="12"/>
      <c r="AF914" s="12"/>
    </row>
    <row r="915" spans="1:32" ht="13.2">
      <c r="A915" s="8"/>
      <c r="B915" s="8"/>
      <c r="C915" s="8"/>
      <c r="D915" s="8"/>
      <c r="E915" s="8"/>
      <c r="F915" s="8"/>
      <c r="G915" s="8"/>
      <c r="H915" s="8"/>
      <c r="I915" s="8"/>
      <c r="J915" s="8"/>
      <c r="K915" s="8"/>
      <c r="L915" s="8"/>
      <c r="M915" s="8"/>
      <c r="N915" s="8"/>
      <c r="O915" s="8"/>
      <c r="P915" s="8"/>
      <c r="Q915" s="8"/>
      <c r="R915" s="8"/>
      <c r="S915" s="8"/>
      <c r="T915" s="8"/>
      <c r="U915" s="12"/>
      <c r="V915" s="12"/>
      <c r="W915" s="12"/>
      <c r="X915" s="12"/>
      <c r="Y915" s="12"/>
      <c r="Z915" s="12"/>
      <c r="AA915" s="12"/>
      <c r="AB915" s="12"/>
      <c r="AC915" s="12"/>
      <c r="AD915" s="12"/>
      <c r="AE915" s="12"/>
      <c r="AF915" s="12"/>
    </row>
    <row r="916" spans="1:32" ht="13.2">
      <c r="A916" s="8"/>
      <c r="B916" s="8"/>
      <c r="C916" s="8"/>
      <c r="D916" s="8"/>
      <c r="E916" s="8"/>
      <c r="F916" s="8"/>
      <c r="G916" s="8"/>
      <c r="H916" s="8"/>
      <c r="I916" s="8"/>
      <c r="J916" s="8"/>
      <c r="K916" s="8"/>
      <c r="L916" s="8"/>
      <c r="M916" s="8"/>
      <c r="N916" s="8"/>
      <c r="O916" s="8"/>
      <c r="P916" s="8"/>
      <c r="Q916" s="8"/>
      <c r="R916" s="8"/>
      <c r="S916" s="8"/>
      <c r="T916" s="8"/>
      <c r="U916" s="12"/>
      <c r="V916" s="12"/>
      <c r="W916" s="12"/>
      <c r="X916" s="12"/>
      <c r="Y916" s="12"/>
      <c r="Z916" s="12"/>
      <c r="AA916" s="12"/>
      <c r="AB916" s="12"/>
      <c r="AC916" s="12"/>
      <c r="AD916" s="12"/>
      <c r="AE916" s="12"/>
      <c r="AF916" s="12"/>
    </row>
    <row r="917" spans="1:32" ht="13.2">
      <c r="A917" s="8"/>
      <c r="B917" s="8"/>
      <c r="C917" s="8"/>
      <c r="D917" s="8"/>
      <c r="E917" s="8"/>
      <c r="F917" s="8"/>
      <c r="G917" s="8"/>
      <c r="H917" s="8"/>
      <c r="I917" s="8"/>
      <c r="J917" s="8"/>
      <c r="K917" s="8"/>
      <c r="L917" s="8"/>
      <c r="M917" s="8"/>
      <c r="N917" s="8"/>
      <c r="O917" s="8"/>
      <c r="P917" s="8"/>
      <c r="Q917" s="8"/>
      <c r="R917" s="8"/>
      <c r="S917" s="8"/>
      <c r="T917" s="8"/>
      <c r="U917" s="12"/>
      <c r="V917" s="12"/>
      <c r="W917" s="12"/>
      <c r="X917" s="12"/>
      <c r="Y917" s="12"/>
      <c r="Z917" s="12"/>
      <c r="AA917" s="12"/>
      <c r="AB917" s="12"/>
      <c r="AC917" s="12"/>
      <c r="AD917" s="12"/>
      <c r="AE917" s="12"/>
      <c r="AF917" s="12"/>
    </row>
    <row r="918" spans="1:32" ht="13.2">
      <c r="A918" s="8"/>
      <c r="B918" s="8"/>
      <c r="C918" s="8"/>
      <c r="D918" s="8"/>
      <c r="E918" s="8"/>
      <c r="F918" s="8"/>
      <c r="G918" s="8"/>
      <c r="H918" s="8"/>
      <c r="I918" s="8"/>
      <c r="J918" s="8"/>
      <c r="K918" s="8"/>
      <c r="L918" s="8"/>
      <c r="M918" s="8"/>
      <c r="N918" s="8"/>
      <c r="O918" s="8"/>
      <c r="P918" s="8"/>
      <c r="Q918" s="8"/>
      <c r="R918" s="8"/>
      <c r="S918" s="8"/>
      <c r="T918" s="8"/>
      <c r="U918" s="12"/>
      <c r="V918" s="12"/>
      <c r="W918" s="12"/>
      <c r="X918" s="12"/>
      <c r="Y918" s="12"/>
      <c r="Z918" s="12"/>
      <c r="AA918" s="12"/>
      <c r="AB918" s="12"/>
      <c r="AC918" s="12"/>
      <c r="AD918" s="12"/>
      <c r="AE918" s="12"/>
      <c r="AF918" s="12"/>
    </row>
    <row r="919" spans="1:32" ht="13.2">
      <c r="A919" s="8"/>
      <c r="B919" s="8"/>
      <c r="C919" s="8"/>
      <c r="D919" s="8"/>
      <c r="E919" s="8"/>
      <c r="F919" s="8"/>
      <c r="G919" s="8"/>
      <c r="H919" s="8"/>
      <c r="I919" s="8"/>
      <c r="J919" s="8"/>
      <c r="K919" s="8"/>
      <c r="L919" s="8"/>
      <c r="M919" s="8"/>
      <c r="N919" s="8"/>
      <c r="O919" s="8"/>
      <c r="P919" s="8"/>
      <c r="Q919" s="8"/>
      <c r="R919" s="8"/>
      <c r="S919" s="8"/>
      <c r="T919" s="8"/>
      <c r="U919" s="12"/>
      <c r="V919" s="12"/>
      <c r="W919" s="12"/>
      <c r="X919" s="12"/>
      <c r="Y919" s="12"/>
      <c r="Z919" s="12"/>
      <c r="AA919" s="12"/>
      <c r="AB919" s="12"/>
      <c r="AC919" s="12"/>
      <c r="AD919" s="12"/>
      <c r="AE919" s="12"/>
      <c r="AF919" s="12"/>
    </row>
    <row r="920" spans="1:32" ht="13.2">
      <c r="A920" s="8"/>
      <c r="B920" s="8"/>
      <c r="C920" s="8"/>
      <c r="D920" s="8"/>
      <c r="E920" s="8"/>
      <c r="F920" s="8"/>
      <c r="G920" s="8"/>
      <c r="H920" s="8"/>
      <c r="I920" s="8"/>
      <c r="J920" s="8"/>
      <c r="K920" s="8"/>
      <c r="L920" s="8"/>
      <c r="M920" s="8"/>
      <c r="N920" s="8"/>
      <c r="O920" s="8"/>
      <c r="P920" s="8"/>
      <c r="Q920" s="8"/>
      <c r="R920" s="8"/>
      <c r="S920" s="8"/>
      <c r="T920" s="8"/>
      <c r="U920" s="12"/>
      <c r="V920" s="12"/>
      <c r="W920" s="12"/>
      <c r="X920" s="12"/>
      <c r="Y920" s="12"/>
      <c r="Z920" s="12"/>
      <c r="AA920" s="12"/>
      <c r="AB920" s="12"/>
      <c r="AC920" s="12"/>
      <c r="AD920" s="12"/>
      <c r="AE920" s="12"/>
      <c r="AF920" s="12"/>
    </row>
    <row r="921" spans="1:32" ht="13.2">
      <c r="A921" s="8"/>
      <c r="B921" s="8"/>
      <c r="C921" s="8"/>
      <c r="D921" s="8"/>
      <c r="E921" s="8"/>
      <c r="F921" s="8"/>
      <c r="G921" s="8"/>
      <c r="H921" s="8"/>
      <c r="I921" s="8"/>
      <c r="J921" s="8"/>
      <c r="K921" s="8"/>
      <c r="L921" s="8"/>
      <c r="M921" s="8"/>
      <c r="N921" s="8"/>
      <c r="O921" s="8"/>
      <c r="P921" s="8"/>
      <c r="Q921" s="8"/>
      <c r="R921" s="8"/>
      <c r="S921" s="8"/>
      <c r="T921" s="8"/>
      <c r="U921" s="12"/>
      <c r="V921" s="12"/>
      <c r="W921" s="12"/>
      <c r="X921" s="12"/>
      <c r="Y921" s="12"/>
      <c r="Z921" s="12"/>
      <c r="AA921" s="12"/>
      <c r="AB921" s="12"/>
      <c r="AC921" s="12"/>
      <c r="AD921" s="12"/>
      <c r="AE921" s="12"/>
      <c r="AF921" s="12"/>
    </row>
    <row r="922" spans="1:32" ht="13.2">
      <c r="A922" s="8"/>
      <c r="B922" s="8"/>
      <c r="C922" s="8"/>
      <c r="D922" s="8"/>
      <c r="E922" s="8"/>
      <c r="F922" s="8"/>
      <c r="G922" s="8"/>
      <c r="H922" s="8"/>
      <c r="I922" s="8"/>
      <c r="J922" s="8"/>
      <c r="K922" s="8"/>
      <c r="L922" s="8"/>
      <c r="M922" s="8"/>
      <c r="N922" s="8"/>
      <c r="O922" s="8"/>
      <c r="P922" s="8"/>
      <c r="Q922" s="8"/>
      <c r="R922" s="8"/>
      <c r="S922" s="8"/>
      <c r="T922" s="8"/>
      <c r="U922" s="12"/>
      <c r="V922" s="12"/>
      <c r="W922" s="12"/>
      <c r="X922" s="12"/>
      <c r="Y922" s="12"/>
      <c r="Z922" s="12"/>
      <c r="AA922" s="12"/>
      <c r="AB922" s="12"/>
      <c r="AC922" s="12"/>
      <c r="AD922" s="12"/>
      <c r="AE922" s="12"/>
      <c r="AF922" s="12"/>
    </row>
    <row r="923" spans="1:32" ht="13.2">
      <c r="A923" s="8"/>
      <c r="B923" s="8"/>
      <c r="C923" s="8"/>
      <c r="D923" s="8"/>
      <c r="E923" s="8"/>
      <c r="F923" s="8"/>
      <c r="G923" s="8"/>
      <c r="H923" s="8"/>
      <c r="I923" s="8"/>
      <c r="J923" s="8"/>
      <c r="K923" s="8"/>
      <c r="L923" s="8"/>
      <c r="M923" s="8"/>
      <c r="N923" s="8"/>
      <c r="O923" s="8"/>
      <c r="P923" s="8"/>
      <c r="Q923" s="8"/>
      <c r="R923" s="8"/>
      <c r="S923" s="8"/>
      <c r="T923" s="8"/>
      <c r="U923" s="12"/>
      <c r="V923" s="12"/>
      <c r="W923" s="12"/>
      <c r="X923" s="12"/>
      <c r="Y923" s="12"/>
      <c r="Z923" s="12"/>
      <c r="AA923" s="12"/>
      <c r="AB923" s="12"/>
      <c r="AC923" s="12"/>
      <c r="AD923" s="12"/>
      <c r="AE923" s="12"/>
      <c r="AF923" s="12"/>
    </row>
    <row r="924" spans="1:32" ht="13.2">
      <c r="A924" s="8"/>
      <c r="B924" s="8"/>
      <c r="C924" s="8"/>
      <c r="D924" s="8"/>
      <c r="E924" s="8"/>
      <c r="F924" s="8"/>
      <c r="G924" s="8"/>
      <c r="H924" s="8"/>
      <c r="I924" s="8"/>
      <c r="J924" s="8"/>
      <c r="K924" s="8"/>
      <c r="L924" s="8"/>
      <c r="M924" s="8"/>
      <c r="N924" s="8"/>
      <c r="O924" s="8"/>
      <c r="P924" s="8"/>
      <c r="Q924" s="8"/>
      <c r="R924" s="8"/>
      <c r="S924" s="8"/>
      <c r="T924" s="8"/>
      <c r="U924" s="12"/>
      <c r="V924" s="12"/>
      <c r="W924" s="12"/>
      <c r="X924" s="12"/>
      <c r="Y924" s="12"/>
      <c r="Z924" s="12"/>
      <c r="AA924" s="12"/>
      <c r="AB924" s="12"/>
      <c r="AC924" s="12"/>
      <c r="AD924" s="12"/>
      <c r="AE924" s="12"/>
      <c r="AF924" s="12"/>
    </row>
    <row r="925" spans="1:32" ht="13.2">
      <c r="A925" s="8"/>
      <c r="B925" s="8"/>
      <c r="C925" s="8"/>
      <c r="D925" s="8"/>
      <c r="E925" s="8"/>
      <c r="F925" s="8"/>
      <c r="G925" s="8"/>
      <c r="H925" s="8"/>
      <c r="I925" s="8"/>
      <c r="J925" s="8"/>
      <c r="K925" s="8"/>
      <c r="L925" s="8"/>
      <c r="M925" s="8"/>
      <c r="N925" s="8"/>
      <c r="O925" s="8"/>
      <c r="P925" s="8"/>
      <c r="Q925" s="8"/>
      <c r="R925" s="8"/>
      <c r="S925" s="8"/>
      <c r="T925" s="8"/>
      <c r="U925" s="12"/>
      <c r="V925" s="12"/>
      <c r="W925" s="12"/>
      <c r="X925" s="12"/>
      <c r="Y925" s="12"/>
      <c r="Z925" s="12"/>
      <c r="AA925" s="12"/>
      <c r="AB925" s="12"/>
      <c r="AC925" s="12"/>
      <c r="AD925" s="12"/>
      <c r="AE925" s="12"/>
      <c r="AF925" s="12"/>
    </row>
    <row r="926" spans="1:32" ht="13.2">
      <c r="A926" s="8"/>
      <c r="B926" s="8"/>
      <c r="C926" s="8"/>
      <c r="D926" s="8"/>
      <c r="E926" s="8"/>
      <c r="F926" s="8"/>
      <c r="G926" s="8"/>
      <c r="H926" s="8"/>
      <c r="I926" s="8"/>
      <c r="J926" s="8"/>
      <c r="K926" s="8"/>
      <c r="L926" s="8"/>
      <c r="M926" s="8"/>
      <c r="N926" s="8"/>
      <c r="O926" s="8"/>
      <c r="P926" s="8"/>
      <c r="Q926" s="8"/>
      <c r="R926" s="8"/>
      <c r="S926" s="8"/>
      <c r="T926" s="8"/>
      <c r="U926" s="12"/>
      <c r="V926" s="12"/>
      <c r="W926" s="12"/>
      <c r="X926" s="12"/>
      <c r="Y926" s="12"/>
      <c r="Z926" s="12"/>
      <c r="AA926" s="12"/>
      <c r="AB926" s="12"/>
      <c r="AC926" s="12"/>
      <c r="AD926" s="12"/>
      <c r="AE926" s="12"/>
      <c r="AF926" s="12"/>
    </row>
    <row r="927" spans="1:32" ht="13.2">
      <c r="A927" s="8"/>
      <c r="B927" s="8"/>
      <c r="C927" s="8"/>
      <c r="D927" s="8"/>
      <c r="E927" s="8"/>
      <c r="F927" s="8"/>
      <c r="G927" s="8"/>
      <c r="H927" s="8"/>
      <c r="I927" s="8"/>
      <c r="J927" s="8"/>
      <c r="K927" s="8"/>
      <c r="L927" s="8"/>
      <c r="M927" s="8"/>
      <c r="N927" s="8"/>
      <c r="O927" s="8"/>
      <c r="P927" s="8"/>
      <c r="Q927" s="8"/>
      <c r="R927" s="8"/>
      <c r="S927" s="8"/>
      <c r="T927" s="8"/>
      <c r="U927" s="12"/>
      <c r="V927" s="12"/>
      <c r="W927" s="12"/>
      <c r="X927" s="12"/>
      <c r="Y927" s="12"/>
      <c r="Z927" s="12"/>
      <c r="AA927" s="12"/>
      <c r="AB927" s="12"/>
      <c r="AC927" s="12"/>
      <c r="AD927" s="12"/>
      <c r="AE927" s="12"/>
      <c r="AF927" s="12"/>
    </row>
    <row r="928" spans="1:32" ht="13.2">
      <c r="A928" s="8"/>
      <c r="B928" s="8"/>
      <c r="C928" s="8"/>
      <c r="D928" s="8"/>
      <c r="E928" s="8"/>
      <c r="F928" s="8"/>
      <c r="G928" s="8"/>
      <c r="H928" s="8"/>
      <c r="I928" s="8"/>
      <c r="J928" s="8"/>
      <c r="K928" s="8"/>
      <c r="L928" s="8"/>
      <c r="M928" s="8"/>
      <c r="N928" s="8"/>
      <c r="O928" s="8"/>
      <c r="P928" s="8"/>
      <c r="Q928" s="8"/>
      <c r="R928" s="8"/>
      <c r="S928" s="8"/>
      <c r="T928" s="8"/>
      <c r="U928" s="12"/>
      <c r="V928" s="12"/>
      <c r="W928" s="12"/>
      <c r="X928" s="12"/>
      <c r="Y928" s="12"/>
      <c r="Z928" s="12"/>
      <c r="AA928" s="12"/>
      <c r="AB928" s="12"/>
      <c r="AC928" s="12"/>
      <c r="AD928" s="12"/>
      <c r="AE928" s="12"/>
      <c r="AF928" s="12"/>
    </row>
    <row r="929" spans="1:32" ht="13.2">
      <c r="A929" s="8"/>
      <c r="B929" s="8"/>
      <c r="C929" s="8"/>
      <c r="D929" s="8"/>
      <c r="E929" s="8"/>
      <c r="F929" s="8"/>
      <c r="G929" s="8"/>
      <c r="H929" s="8"/>
      <c r="I929" s="8"/>
      <c r="J929" s="8"/>
      <c r="K929" s="8"/>
      <c r="L929" s="8"/>
      <c r="M929" s="8"/>
      <c r="N929" s="8"/>
      <c r="O929" s="8"/>
      <c r="P929" s="8"/>
      <c r="Q929" s="8"/>
      <c r="R929" s="8"/>
      <c r="S929" s="8"/>
      <c r="T929" s="8"/>
      <c r="U929" s="12"/>
      <c r="V929" s="12"/>
      <c r="W929" s="12"/>
      <c r="X929" s="12"/>
      <c r="Y929" s="12"/>
      <c r="Z929" s="12"/>
      <c r="AA929" s="12"/>
      <c r="AB929" s="12"/>
      <c r="AC929" s="12"/>
      <c r="AD929" s="12"/>
      <c r="AE929" s="12"/>
      <c r="AF929" s="12"/>
    </row>
    <row r="930" spans="1:32" ht="13.2">
      <c r="A930" s="8"/>
      <c r="B930" s="8"/>
      <c r="C930" s="8"/>
      <c r="D930" s="8"/>
      <c r="E930" s="8"/>
      <c r="F930" s="8"/>
      <c r="G930" s="8"/>
      <c r="H930" s="8"/>
      <c r="I930" s="8"/>
      <c r="J930" s="8"/>
      <c r="K930" s="8"/>
      <c r="L930" s="8"/>
      <c r="M930" s="8"/>
      <c r="N930" s="8"/>
      <c r="O930" s="8"/>
      <c r="P930" s="8"/>
      <c r="Q930" s="8"/>
      <c r="R930" s="8"/>
      <c r="S930" s="8"/>
      <c r="T930" s="8"/>
      <c r="U930" s="12"/>
      <c r="V930" s="12"/>
      <c r="W930" s="12"/>
      <c r="X930" s="12"/>
      <c r="Y930" s="12"/>
      <c r="Z930" s="12"/>
      <c r="AA930" s="12"/>
      <c r="AB930" s="12"/>
      <c r="AC930" s="12"/>
      <c r="AD930" s="12"/>
      <c r="AE930" s="12"/>
      <c r="AF930" s="12"/>
    </row>
    <row r="931" spans="1:32" ht="13.2">
      <c r="A931" s="8"/>
      <c r="B931" s="8"/>
      <c r="C931" s="8"/>
      <c r="D931" s="8"/>
      <c r="E931" s="8"/>
      <c r="F931" s="8"/>
      <c r="G931" s="8"/>
      <c r="H931" s="8"/>
      <c r="I931" s="8"/>
      <c r="J931" s="8"/>
      <c r="K931" s="8"/>
      <c r="L931" s="8"/>
      <c r="M931" s="8"/>
      <c r="N931" s="8"/>
      <c r="O931" s="8"/>
      <c r="P931" s="8"/>
      <c r="Q931" s="8"/>
      <c r="R931" s="8"/>
      <c r="S931" s="8"/>
      <c r="T931" s="8"/>
      <c r="U931" s="12"/>
      <c r="V931" s="12"/>
      <c r="W931" s="12"/>
      <c r="X931" s="12"/>
      <c r="Y931" s="12"/>
      <c r="Z931" s="12"/>
      <c r="AA931" s="12"/>
      <c r="AB931" s="12"/>
      <c r="AC931" s="12"/>
      <c r="AD931" s="12"/>
      <c r="AE931" s="12"/>
      <c r="AF931" s="12"/>
    </row>
    <row r="932" spans="1:32" ht="13.2">
      <c r="A932" s="8"/>
      <c r="B932" s="8"/>
      <c r="C932" s="8"/>
      <c r="D932" s="8"/>
      <c r="E932" s="8"/>
      <c r="F932" s="8"/>
      <c r="G932" s="8"/>
      <c r="H932" s="8"/>
      <c r="I932" s="8"/>
      <c r="J932" s="8"/>
      <c r="K932" s="8"/>
      <c r="L932" s="8"/>
      <c r="M932" s="8"/>
      <c r="N932" s="8"/>
      <c r="O932" s="8"/>
      <c r="P932" s="8"/>
      <c r="Q932" s="8"/>
      <c r="R932" s="8"/>
      <c r="S932" s="8"/>
      <c r="T932" s="8"/>
      <c r="U932" s="12"/>
      <c r="V932" s="12"/>
      <c r="W932" s="12"/>
      <c r="X932" s="12"/>
      <c r="Y932" s="12"/>
      <c r="Z932" s="12"/>
      <c r="AA932" s="12"/>
      <c r="AB932" s="12"/>
      <c r="AC932" s="12"/>
      <c r="AD932" s="12"/>
      <c r="AE932" s="12"/>
      <c r="AF932" s="12"/>
    </row>
    <row r="933" spans="1:32" ht="13.2">
      <c r="A933" s="8"/>
      <c r="B933" s="8"/>
      <c r="C933" s="8"/>
      <c r="D933" s="8"/>
      <c r="E933" s="8"/>
      <c r="F933" s="8"/>
      <c r="G933" s="8"/>
      <c r="H933" s="8"/>
      <c r="I933" s="8"/>
      <c r="J933" s="8"/>
      <c r="K933" s="8"/>
      <c r="L933" s="8"/>
      <c r="M933" s="8"/>
      <c r="N933" s="8"/>
      <c r="O933" s="8"/>
      <c r="P933" s="8"/>
      <c r="Q933" s="8"/>
      <c r="R933" s="8"/>
      <c r="S933" s="8"/>
      <c r="T933" s="8"/>
      <c r="U933" s="12"/>
      <c r="V933" s="12"/>
      <c r="W933" s="12"/>
      <c r="X933" s="12"/>
      <c r="Y933" s="12"/>
      <c r="Z933" s="12"/>
      <c r="AA933" s="12"/>
      <c r="AB933" s="12"/>
      <c r="AC933" s="12"/>
      <c r="AD933" s="12"/>
      <c r="AE933" s="12"/>
      <c r="AF933" s="12"/>
    </row>
    <row r="934" spans="1:32" ht="13.2">
      <c r="A934" s="8"/>
      <c r="B934" s="8"/>
      <c r="C934" s="8"/>
      <c r="D934" s="8"/>
      <c r="E934" s="8"/>
      <c r="F934" s="8"/>
      <c r="G934" s="8"/>
      <c r="H934" s="8"/>
      <c r="I934" s="8"/>
      <c r="J934" s="8"/>
      <c r="K934" s="8"/>
      <c r="L934" s="8"/>
      <c r="M934" s="8"/>
      <c r="N934" s="8"/>
      <c r="O934" s="8"/>
      <c r="P934" s="8"/>
      <c r="Q934" s="8"/>
      <c r="R934" s="8"/>
      <c r="S934" s="8"/>
      <c r="T934" s="8"/>
      <c r="U934" s="12"/>
      <c r="V934" s="12"/>
      <c r="W934" s="12"/>
      <c r="X934" s="12"/>
      <c r="Y934" s="12"/>
      <c r="Z934" s="12"/>
      <c r="AA934" s="12"/>
      <c r="AB934" s="12"/>
      <c r="AC934" s="12"/>
      <c r="AD934" s="12"/>
      <c r="AE934" s="12"/>
      <c r="AF934" s="12"/>
    </row>
    <row r="935" spans="1:32" ht="13.2">
      <c r="A935" s="8"/>
      <c r="B935" s="8"/>
      <c r="C935" s="8"/>
      <c r="D935" s="8"/>
      <c r="E935" s="8"/>
      <c r="F935" s="8"/>
      <c r="G935" s="8"/>
      <c r="H935" s="8"/>
      <c r="I935" s="8"/>
      <c r="J935" s="8"/>
      <c r="K935" s="8"/>
      <c r="L935" s="8"/>
      <c r="M935" s="8"/>
      <c r="N935" s="8"/>
      <c r="O935" s="8"/>
      <c r="P935" s="8"/>
      <c r="Q935" s="8"/>
      <c r="R935" s="8"/>
      <c r="S935" s="8"/>
      <c r="T935" s="8"/>
      <c r="U935" s="12"/>
      <c r="V935" s="12"/>
      <c r="W935" s="12"/>
      <c r="X935" s="12"/>
      <c r="Y935" s="12"/>
      <c r="Z935" s="12"/>
      <c r="AA935" s="12"/>
      <c r="AB935" s="12"/>
      <c r="AC935" s="12"/>
      <c r="AD935" s="12"/>
      <c r="AE935" s="12"/>
      <c r="AF935" s="12"/>
    </row>
    <row r="936" spans="1:32" ht="13.2">
      <c r="A936" s="8"/>
      <c r="B936" s="8"/>
      <c r="C936" s="8"/>
      <c r="D936" s="8"/>
      <c r="E936" s="8"/>
      <c r="F936" s="8"/>
      <c r="G936" s="8"/>
      <c r="H936" s="8"/>
      <c r="I936" s="8"/>
      <c r="J936" s="8"/>
      <c r="K936" s="8"/>
      <c r="L936" s="8"/>
      <c r="M936" s="8"/>
      <c r="N936" s="8"/>
      <c r="O936" s="8"/>
      <c r="P936" s="8"/>
      <c r="Q936" s="8"/>
      <c r="R936" s="8"/>
      <c r="S936" s="8"/>
      <c r="T936" s="8"/>
      <c r="U936" s="12"/>
      <c r="V936" s="12"/>
      <c r="W936" s="12"/>
      <c r="X936" s="12"/>
      <c r="Y936" s="12"/>
      <c r="Z936" s="12"/>
      <c r="AA936" s="12"/>
      <c r="AB936" s="12"/>
      <c r="AC936" s="12"/>
      <c r="AD936" s="12"/>
      <c r="AE936" s="12"/>
      <c r="AF936" s="12"/>
    </row>
    <row r="937" spans="1:32" ht="13.2">
      <c r="A937" s="8"/>
      <c r="B937" s="8"/>
      <c r="C937" s="8"/>
      <c r="D937" s="8"/>
      <c r="E937" s="8"/>
      <c r="F937" s="8"/>
      <c r="G937" s="8"/>
      <c r="H937" s="8"/>
      <c r="I937" s="8"/>
      <c r="J937" s="8"/>
      <c r="K937" s="8"/>
      <c r="L937" s="8"/>
      <c r="M937" s="8"/>
      <c r="N937" s="8"/>
      <c r="O937" s="8"/>
      <c r="P937" s="8"/>
      <c r="Q937" s="8"/>
      <c r="R937" s="8"/>
      <c r="S937" s="8"/>
      <c r="T937" s="8"/>
      <c r="U937" s="12"/>
      <c r="V937" s="12"/>
      <c r="W937" s="12"/>
      <c r="X937" s="12"/>
      <c r="Y937" s="12"/>
      <c r="Z937" s="12"/>
      <c r="AA937" s="12"/>
      <c r="AB937" s="12"/>
      <c r="AC937" s="12"/>
      <c r="AD937" s="12"/>
      <c r="AE937" s="12"/>
      <c r="AF937" s="12"/>
    </row>
    <row r="938" spans="1:32" ht="13.2">
      <c r="A938" s="8"/>
      <c r="B938" s="8"/>
      <c r="C938" s="8"/>
      <c r="D938" s="8"/>
      <c r="E938" s="8"/>
      <c r="F938" s="8"/>
      <c r="G938" s="8"/>
      <c r="H938" s="8"/>
      <c r="I938" s="8"/>
      <c r="J938" s="8"/>
      <c r="K938" s="8"/>
      <c r="L938" s="8"/>
      <c r="M938" s="8"/>
      <c r="N938" s="8"/>
      <c r="O938" s="8"/>
      <c r="P938" s="8"/>
      <c r="Q938" s="8"/>
      <c r="R938" s="8"/>
      <c r="S938" s="8"/>
      <c r="T938" s="8"/>
      <c r="U938" s="12"/>
      <c r="V938" s="12"/>
      <c r="W938" s="12"/>
      <c r="X938" s="12"/>
      <c r="Y938" s="12"/>
      <c r="Z938" s="12"/>
      <c r="AA938" s="12"/>
      <c r="AB938" s="12"/>
      <c r="AC938" s="12"/>
      <c r="AD938" s="12"/>
      <c r="AE938" s="12"/>
      <c r="AF938" s="12"/>
    </row>
    <row r="939" spans="1:32" ht="13.2">
      <c r="A939" s="8"/>
      <c r="B939" s="8"/>
      <c r="C939" s="8"/>
      <c r="D939" s="8"/>
      <c r="E939" s="8"/>
      <c r="F939" s="8"/>
      <c r="G939" s="8"/>
      <c r="H939" s="8"/>
      <c r="I939" s="8"/>
      <c r="J939" s="8"/>
      <c r="K939" s="8"/>
      <c r="L939" s="8"/>
      <c r="M939" s="8"/>
      <c r="N939" s="8"/>
      <c r="O939" s="8"/>
      <c r="P939" s="8"/>
      <c r="Q939" s="8"/>
      <c r="R939" s="8"/>
      <c r="S939" s="8"/>
      <c r="T939" s="8"/>
      <c r="U939" s="12"/>
      <c r="V939" s="12"/>
      <c r="W939" s="12"/>
      <c r="X939" s="12"/>
      <c r="Y939" s="12"/>
      <c r="Z939" s="12"/>
      <c r="AA939" s="12"/>
      <c r="AB939" s="12"/>
      <c r="AC939" s="12"/>
      <c r="AD939" s="12"/>
      <c r="AE939" s="12"/>
      <c r="AF939" s="12"/>
    </row>
    <row r="940" spans="1:32" ht="13.2">
      <c r="A940" s="8"/>
      <c r="B940" s="8"/>
      <c r="C940" s="8"/>
      <c r="D940" s="8"/>
      <c r="E940" s="8"/>
      <c r="F940" s="8"/>
      <c r="G940" s="8"/>
      <c r="H940" s="8"/>
      <c r="I940" s="8"/>
      <c r="J940" s="8"/>
      <c r="K940" s="8"/>
      <c r="L940" s="8"/>
      <c r="M940" s="8"/>
      <c r="N940" s="8"/>
      <c r="O940" s="8"/>
      <c r="P940" s="8"/>
      <c r="Q940" s="8"/>
      <c r="R940" s="8"/>
      <c r="S940" s="8"/>
      <c r="T940" s="8"/>
      <c r="U940" s="12"/>
      <c r="V940" s="12"/>
      <c r="W940" s="12"/>
      <c r="X940" s="12"/>
      <c r="Y940" s="12"/>
      <c r="Z940" s="12"/>
      <c r="AA940" s="12"/>
      <c r="AB940" s="12"/>
      <c r="AC940" s="12"/>
      <c r="AD940" s="12"/>
      <c r="AE940" s="12"/>
      <c r="AF940" s="12"/>
    </row>
    <row r="941" spans="1:32" ht="13.2">
      <c r="A941" s="8"/>
      <c r="B941" s="8"/>
      <c r="C941" s="8"/>
      <c r="D941" s="8"/>
      <c r="E941" s="8"/>
      <c r="F941" s="8"/>
      <c r="G941" s="8"/>
      <c r="H941" s="8"/>
      <c r="I941" s="8"/>
      <c r="J941" s="8"/>
      <c r="K941" s="8"/>
      <c r="L941" s="8"/>
      <c r="M941" s="8"/>
      <c r="N941" s="8"/>
      <c r="O941" s="8"/>
      <c r="P941" s="8"/>
      <c r="Q941" s="8"/>
      <c r="R941" s="8"/>
      <c r="S941" s="8"/>
      <c r="T941" s="8"/>
      <c r="U941" s="12"/>
      <c r="V941" s="12"/>
      <c r="W941" s="12"/>
      <c r="X941" s="12"/>
      <c r="Y941" s="12"/>
      <c r="Z941" s="12"/>
      <c r="AA941" s="12"/>
      <c r="AB941" s="12"/>
      <c r="AC941" s="12"/>
      <c r="AD941" s="12"/>
      <c r="AE941" s="12"/>
      <c r="AF941" s="12"/>
    </row>
    <row r="942" spans="1:32" ht="13.2">
      <c r="A942" s="8"/>
      <c r="B942" s="8"/>
      <c r="C942" s="8"/>
      <c r="D942" s="8"/>
      <c r="E942" s="8"/>
      <c r="F942" s="8"/>
      <c r="G942" s="8"/>
      <c r="H942" s="8"/>
      <c r="I942" s="8"/>
      <c r="J942" s="8"/>
      <c r="K942" s="8"/>
      <c r="L942" s="8"/>
      <c r="M942" s="8"/>
      <c r="N942" s="8"/>
      <c r="O942" s="8"/>
      <c r="P942" s="8"/>
      <c r="Q942" s="8"/>
      <c r="R942" s="8"/>
      <c r="S942" s="8"/>
      <c r="T942" s="8"/>
      <c r="U942" s="12"/>
      <c r="V942" s="12"/>
      <c r="W942" s="12"/>
      <c r="X942" s="12"/>
      <c r="Y942" s="12"/>
      <c r="Z942" s="12"/>
      <c r="AA942" s="12"/>
      <c r="AB942" s="12"/>
      <c r="AC942" s="12"/>
      <c r="AD942" s="12"/>
      <c r="AE942" s="12"/>
      <c r="AF942" s="12"/>
    </row>
    <row r="943" spans="1:32" ht="13.2">
      <c r="A943" s="8"/>
      <c r="B943" s="8"/>
      <c r="C943" s="8"/>
      <c r="D943" s="8"/>
      <c r="E943" s="8"/>
      <c r="F943" s="8"/>
      <c r="G943" s="8"/>
      <c r="H943" s="8"/>
      <c r="I943" s="8"/>
      <c r="J943" s="8"/>
      <c r="K943" s="8"/>
      <c r="L943" s="8"/>
      <c r="M943" s="8"/>
      <c r="N943" s="8"/>
      <c r="O943" s="8"/>
      <c r="P943" s="8"/>
      <c r="Q943" s="8"/>
      <c r="R943" s="8"/>
      <c r="S943" s="8"/>
      <c r="T943" s="8"/>
      <c r="U943" s="12"/>
      <c r="V943" s="12"/>
      <c r="W943" s="12"/>
      <c r="X943" s="12"/>
      <c r="Y943" s="12"/>
      <c r="Z943" s="12"/>
      <c r="AA943" s="12"/>
      <c r="AB943" s="12"/>
      <c r="AC943" s="12"/>
      <c r="AD943" s="12"/>
      <c r="AE943" s="12"/>
      <c r="AF943" s="12"/>
    </row>
    <row r="944" spans="1:32" ht="13.2">
      <c r="A944" s="8"/>
      <c r="B944" s="8"/>
      <c r="C944" s="8"/>
      <c r="D944" s="8"/>
      <c r="E944" s="8"/>
      <c r="F944" s="8"/>
      <c r="G944" s="8"/>
      <c r="H944" s="8"/>
      <c r="I944" s="8"/>
      <c r="J944" s="8"/>
      <c r="K944" s="8"/>
      <c r="L944" s="8"/>
      <c r="M944" s="8"/>
      <c r="N944" s="8"/>
      <c r="O944" s="8"/>
      <c r="P944" s="8"/>
      <c r="Q944" s="8"/>
      <c r="R944" s="8"/>
      <c r="S944" s="8"/>
      <c r="T944" s="8"/>
      <c r="U944" s="12"/>
      <c r="V944" s="12"/>
      <c r="W944" s="12"/>
      <c r="X944" s="12"/>
      <c r="Y944" s="12"/>
      <c r="Z944" s="12"/>
      <c r="AA944" s="12"/>
      <c r="AB944" s="12"/>
      <c r="AC944" s="12"/>
      <c r="AD944" s="12"/>
      <c r="AE944" s="12"/>
      <c r="AF944" s="12"/>
    </row>
    <row r="945" spans="1:32" ht="13.2">
      <c r="A945" s="8"/>
      <c r="B945" s="8"/>
      <c r="C945" s="8"/>
      <c r="D945" s="8"/>
      <c r="E945" s="8"/>
      <c r="F945" s="8"/>
      <c r="G945" s="8"/>
      <c r="H945" s="8"/>
      <c r="I945" s="8"/>
      <c r="J945" s="8"/>
      <c r="K945" s="8"/>
      <c r="L945" s="8"/>
      <c r="M945" s="8"/>
      <c r="N945" s="8"/>
      <c r="O945" s="8"/>
      <c r="P945" s="8"/>
      <c r="Q945" s="8"/>
      <c r="R945" s="8"/>
      <c r="S945" s="8"/>
      <c r="T945" s="8"/>
      <c r="U945" s="12"/>
      <c r="V945" s="12"/>
      <c r="W945" s="12"/>
      <c r="X945" s="12"/>
      <c r="Y945" s="12"/>
      <c r="Z945" s="12"/>
      <c r="AA945" s="12"/>
      <c r="AB945" s="12"/>
      <c r="AC945" s="12"/>
      <c r="AD945" s="12"/>
      <c r="AE945" s="12"/>
      <c r="AF945" s="12"/>
    </row>
    <row r="946" spans="1:32" ht="13.2">
      <c r="A946" s="8"/>
      <c r="B946" s="8"/>
      <c r="C946" s="8"/>
      <c r="D946" s="8"/>
      <c r="E946" s="8"/>
      <c r="F946" s="8"/>
      <c r="G946" s="8"/>
      <c r="H946" s="8"/>
      <c r="I946" s="8"/>
      <c r="J946" s="8"/>
      <c r="K946" s="8"/>
      <c r="L946" s="8"/>
      <c r="M946" s="8"/>
      <c r="N946" s="8"/>
      <c r="O946" s="8"/>
      <c r="P946" s="8"/>
      <c r="Q946" s="8"/>
      <c r="R946" s="8"/>
      <c r="S946" s="8"/>
      <c r="T946" s="8"/>
      <c r="U946" s="12"/>
      <c r="V946" s="12"/>
      <c r="W946" s="12"/>
      <c r="X946" s="12"/>
      <c r="Y946" s="12"/>
      <c r="Z946" s="12"/>
      <c r="AA946" s="12"/>
      <c r="AB946" s="12"/>
      <c r="AC946" s="12"/>
      <c r="AD946" s="12"/>
      <c r="AE946" s="12"/>
      <c r="AF946" s="12"/>
    </row>
    <row r="947" spans="1:32" ht="13.2">
      <c r="A947" s="8"/>
      <c r="B947" s="8"/>
      <c r="C947" s="8"/>
      <c r="D947" s="8"/>
      <c r="E947" s="8"/>
      <c r="F947" s="8"/>
      <c r="G947" s="8"/>
      <c r="H947" s="8"/>
      <c r="I947" s="8"/>
      <c r="J947" s="8"/>
      <c r="K947" s="8"/>
      <c r="L947" s="8"/>
      <c r="M947" s="8"/>
      <c r="N947" s="8"/>
      <c r="O947" s="8"/>
      <c r="P947" s="8"/>
      <c r="Q947" s="8"/>
      <c r="R947" s="8"/>
      <c r="S947" s="8"/>
      <c r="T947" s="8"/>
      <c r="U947" s="12"/>
      <c r="V947" s="12"/>
      <c r="W947" s="12"/>
      <c r="X947" s="12"/>
      <c r="Y947" s="12"/>
      <c r="Z947" s="12"/>
      <c r="AA947" s="12"/>
      <c r="AB947" s="12"/>
      <c r="AC947" s="12"/>
      <c r="AD947" s="12"/>
      <c r="AE947" s="12"/>
      <c r="AF947" s="12"/>
    </row>
    <row r="948" spans="1:32" ht="13.2">
      <c r="A948" s="8"/>
      <c r="B948" s="8"/>
      <c r="C948" s="8"/>
      <c r="D948" s="8"/>
      <c r="E948" s="8"/>
      <c r="F948" s="8"/>
      <c r="G948" s="8"/>
      <c r="H948" s="8"/>
      <c r="I948" s="8"/>
      <c r="J948" s="8"/>
      <c r="K948" s="8"/>
      <c r="L948" s="8"/>
      <c r="M948" s="8"/>
      <c r="N948" s="8"/>
      <c r="O948" s="8"/>
      <c r="P948" s="8"/>
      <c r="Q948" s="8"/>
      <c r="R948" s="8"/>
      <c r="S948" s="8"/>
      <c r="T948" s="8"/>
      <c r="U948" s="12"/>
      <c r="V948" s="12"/>
      <c r="W948" s="12"/>
      <c r="X948" s="12"/>
      <c r="Y948" s="12"/>
      <c r="Z948" s="12"/>
      <c r="AA948" s="12"/>
      <c r="AB948" s="12"/>
      <c r="AC948" s="12"/>
      <c r="AD948" s="12"/>
      <c r="AE948" s="12"/>
      <c r="AF948" s="12"/>
    </row>
    <row r="949" spans="1:32" ht="13.2">
      <c r="A949" s="8"/>
      <c r="B949" s="8"/>
      <c r="C949" s="8"/>
      <c r="D949" s="8"/>
      <c r="E949" s="8"/>
      <c r="F949" s="8"/>
      <c r="G949" s="8"/>
      <c r="H949" s="8"/>
      <c r="I949" s="8"/>
      <c r="J949" s="8"/>
      <c r="K949" s="8"/>
      <c r="L949" s="8"/>
      <c r="M949" s="8"/>
      <c r="N949" s="8"/>
      <c r="O949" s="8"/>
      <c r="P949" s="8"/>
      <c r="Q949" s="8"/>
      <c r="R949" s="8"/>
      <c r="S949" s="8"/>
      <c r="T949" s="8"/>
      <c r="U949" s="12"/>
      <c r="V949" s="12"/>
      <c r="W949" s="12"/>
      <c r="X949" s="12"/>
      <c r="Y949" s="12"/>
      <c r="Z949" s="12"/>
      <c r="AA949" s="12"/>
      <c r="AB949" s="12"/>
      <c r="AC949" s="12"/>
      <c r="AD949" s="12"/>
      <c r="AE949" s="12"/>
      <c r="AF949" s="12"/>
    </row>
    <row r="950" spans="1:32" ht="13.2">
      <c r="A950" s="8"/>
      <c r="B950" s="8"/>
      <c r="C950" s="8"/>
      <c r="D950" s="8"/>
      <c r="E950" s="8"/>
      <c r="F950" s="8"/>
      <c r="G950" s="8"/>
      <c r="H950" s="8"/>
      <c r="I950" s="8"/>
      <c r="J950" s="8"/>
      <c r="K950" s="8"/>
      <c r="L950" s="8"/>
      <c r="M950" s="8"/>
      <c r="N950" s="8"/>
      <c r="O950" s="8"/>
      <c r="P950" s="8"/>
      <c r="Q950" s="8"/>
      <c r="R950" s="8"/>
      <c r="S950" s="8"/>
      <c r="T950" s="8"/>
      <c r="U950" s="12"/>
      <c r="V950" s="12"/>
      <c r="W950" s="12"/>
      <c r="X950" s="12"/>
      <c r="Y950" s="12"/>
      <c r="Z950" s="12"/>
      <c r="AA950" s="12"/>
      <c r="AB950" s="12"/>
      <c r="AC950" s="12"/>
      <c r="AD950" s="12"/>
      <c r="AE950" s="12"/>
      <c r="AF950" s="12"/>
    </row>
    <row r="951" spans="1:32" ht="13.2">
      <c r="A951" s="8"/>
      <c r="B951" s="8"/>
      <c r="C951" s="8"/>
      <c r="D951" s="8"/>
      <c r="E951" s="8"/>
      <c r="F951" s="8"/>
      <c r="G951" s="8"/>
      <c r="H951" s="8"/>
      <c r="I951" s="8"/>
      <c r="J951" s="8"/>
      <c r="K951" s="8"/>
      <c r="L951" s="8"/>
      <c r="M951" s="8"/>
      <c r="N951" s="8"/>
      <c r="O951" s="8"/>
      <c r="P951" s="8"/>
      <c r="Q951" s="8"/>
      <c r="R951" s="8"/>
      <c r="S951" s="8"/>
      <c r="T951" s="8"/>
      <c r="U951" s="12"/>
      <c r="V951" s="12"/>
      <c r="W951" s="12"/>
      <c r="X951" s="12"/>
      <c r="Y951" s="12"/>
      <c r="Z951" s="12"/>
      <c r="AA951" s="12"/>
      <c r="AB951" s="12"/>
      <c r="AC951" s="12"/>
      <c r="AD951" s="12"/>
      <c r="AE951" s="12"/>
      <c r="AF951" s="12"/>
    </row>
    <row r="952" spans="1:32" ht="13.2">
      <c r="A952" s="8"/>
      <c r="B952" s="8"/>
      <c r="C952" s="8"/>
      <c r="D952" s="8"/>
      <c r="E952" s="8"/>
      <c r="F952" s="8"/>
      <c r="G952" s="8"/>
      <c r="H952" s="8"/>
      <c r="I952" s="8"/>
      <c r="J952" s="8"/>
      <c r="K952" s="8"/>
      <c r="L952" s="8"/>
      <c r="M952" s="8"/>
      <c r="N952" s="8"/>
      <c r="O952" s="8"/>
      <c r="P952" s="8"/>
      <c r="Q952" s="8"/>
      <c r="R952" s="8"/>
      <c r="S952" s="8"/>
      <c r="T952" s="8"/>
      <c r="U952" s="12"/>
      <c r="V952" s="12"/>
      <c r="W952" s="12"/>
      <c r="X952" s="12"/>
      <c r="Y952" s="12"/>
      <c r="Z952" s="12"/>
      <c r="AA952" s="12"/>
      <c r="AB952" s="12"/>
      <c r="AC952" s="12"/>
      <c r="AD952" s="12"/>
      <c r="AE952" s="12"/>
      <c r="AF952" s="12"/>
    </row>
    <row r="953" spans="1:32" ht="13.2">
      <c r="A953" s="8"/>
      <c r="B953" s="8"/>
      <c r="C953" s="8"/>
      <c r="D953" s="8"/>
      <c r="E953" s="8"/>
      <c r="F953" s="8"/>
      <c r="G953" s="8"/>
      <c r="H953" s="8"/>
      <c r="I953" s="8"/>
      <c r="J953" s="8"/>
      <c r="K953" s="8"/>
      <c r="L953" s="8"/>
      <c r="M953" s="8"/>
      <c r="N953" s="8"/>
      <c r="O953" s="8"/>
      <c r="P953" s="8"/>
      <c r="Q953" s="8"/>
      <c r="R953" s="8"/>
      <c r="S953" s="8"/>
      <c r="T953" s="8"/>
      <c r="U953" s="12"/>
      <c r="V953" s="12"/>
      <c r="W953" s="12"/>
      <c r="X953" s="12"/>
      <c r="Y953" s="12"/>
      <c r="Z953" s="12"/>
      <c r="AA953" s="12"/>
      <c r="AB953" s="12"/>
      <c r="AC953" s="12"/>
      <c r="AD953" s="12"/>
      <c r="AE953" s="12"/>
      <c r="AF953" s="12"/>
    </row>
    <row r="954" spans="1:32" ht="13.2">
      <c r="A954" s="8"/>
      <c r="B954" s="8"/>
      <c r="C954" s="8"/>
      <c r="D954" s="8"/>
      <c r="E954" s="8"/>
      <c r="F954" s="8"/>
      <c r="G954" s="8"/>
      <c r="H954" s="8"/>
      <c r="I954" s="8"/>
      <c r="J954" s="8"/>
      <c r="K954" s="8"/>
      <c r="L954" s="8"/>
      <c r="M954" s="8"/>
      <c r="N954" s="8"/>
      <c r="O954" s="8"/>
      <c r="P954" s="8"/>
      <c r="Q954" s="8"/>
      <c r="R954" s="8"/>
      <c r="S954" s="8"/>
      <c r="T954" s="8"/>
      <c r="U954" s="12"/>
      <c r="V954" s="12"/>
      <c r="W954" s="12"/>
      <c r="X954" s="12"/>
      <c r="Y954" s="12"/>
      <c r="Z954" s="12"/>
      <c r="AA954" s="12"/>
      <c r="AB954" s="12"/>
      <c r="AC954" s="12"/>
      <c r="AD954" s="12"/>
      <c r="AE954" s="12"/>
      <c r="AF954" s="12"/>
    </row>
    <row r="955" spans="1:32" ht="13.2">
      <c r="A955" s="8"/>
      <c r="B955" s="8"/>
      <c r="C955" s="8"/>
      <c r="D955" s="8"/>
      <c r="E955" s="8"/>
      <c r="F955" s="8"/>
      <c r="G955" s="8"/>
      <c r="H955" s="8"/>
      <c r="I955" s="8"/>
      <c r="J955" s="8"/>
      <c r="K955" s="8"/>
      <c r="L955" s="8"/>
      <c r="M955" s="8"/>
      <c r="N955" s="8"/>
      <c r="O955" s="8"/>
      <c r="P955" s="8"/>
      <c r="Q955" s="8"/>
      <c r="R955" s="8"/>
      <c r="S955" s="8"/>
      <c r="T955" s="8"/>
      <c r="U955" s="12"/>
      <c r="V955" s="12"/>
      <c r="W955" s="12"/>
      <c r="X955" s="12"/>
      <c r="Y955" s="12"/>
      <c r="Z955" s="12"/>
      <c r="AA955" s="12"/>
      <c r="AB955" s="12"/>
      <c r="AC955" s="12"/>
      <c r="AD955" s="12"/>
      <c r="AE955" s="12"/>
      <c r="AF955" s="12"/>
    </row>
    <row r="956" spans="1:32" ht="13.2">
      <c r="A956" s="8"/>
      <c r="B956" s="8"/>
      <c r="C956" s="8"/>
      <c r="D956" s="8"/>
      <c r="E956" s="8"/>
      <c r="F956" s="8"/>
      <c r="G956" s="8"/>
      <c r="H956" s="8"/>
      <c r="I956" s="8"/>
      <c r="J956" s="8"/>
      <c r="K956" s="8"/>
      <c r="L956" s="8"/>
      <c r="M956" s="8"/>
      <c r="N956" s="8"/>
      <c r="O956" s="8"/>
      <c r="P956" s="8"/>
      <c r="Q956" s="8"/>
      <c r="R956" s="8"/>
      <c r="S956" s="8"/>
      <c r="T956" s="8"/>
      <c r="U956" s="12"/>
      <c r="V956" s="12"/>
      <c r="W956" s="12"/>
      <c r="X956" s="12"/>
      <c r="Y956" s="12"/>
      <c r="Z956" s="12"/>
      <c r="AA956" s="12"/>
      <c r="AB956" s="12"/>
      <c r="AC956" s="12"/>
      <c r="AD956" s="12"/>
      <c r="AE956" s="12"/>
      <c r="AF956" s="12"/>
    </row>
    <row r="957" spans="1:32" ht="13.2">
      <c r="A957" s="8"/>
      <c r="B957" s="8"/>
      <c r="C957" s="8"/>
      <c r="D957" s="8"/>
      <c r="E957" s="8"/>
      <c r="F957" s="8"/>
      <c r="G957" s="8"/>
      <c r="H957" s="8"/>
      <c r="I957" s="8"/>
      <c r="J957" s="8"/>
      <c r="K957" s="8"/>
      <c r="L957" s="8"/>
      <c r="M957" s="8"/>
      <c r="N957" s="8"/>
      <c r="O957" s="8"/>
      <c r="P957" s="8"/>
      <c r="Q957" s="8"/>
      <c r="R957" s="8"/>
      <c r="S957" s="8"/>
      <c r="T957" s="8"/>
      <c r="U957" s="12"/>
      <c r="V957" s="12"/>
      <c r="W957" s="12"/>
      <c r="X957" s="12"/>
      <c r="Y957" s="12"/>
      <c r="Z957" s="12"/>
      <c r="AA957" s="12"/>
      <c r="AB957" s="12"/>
      <c r="AC957" s="12"/>
      <c r="AD957" s="12"/>
      <c r="AE957" s="12"/>
      <c r="AF957" s="12"/>
    </row>
    <row r="958" spans="1:32" ht="13.2">
      <c r="A958" s="8"/>
      <c r="B958" s="8"/>
      <c r="C958" s="8"/>
      <c r="D958" s="8"/>
      <c r="E958" s="8"/>
      <c r="F958" s="8"/>
      <c r="G958" s="8"/>
      <c r="H958" s="8"/>
      <c r="I958" s="8"/>
      <c r="J958" s="8"/>
      <c r="K958" s="8"/>
      <c r="L958" s="8"/>
      <c r="M958" s="8"/>
      <c r="N958" s="8"/>
      <c r="O958" s="8"/>
      <c r="P958" s="8"/>
      <c r="Q958" s="8"/>
      <c r="R958" s="8"/>
      <c r="S958" s="8"/>
      <c r="T958" s="8"/>
      <c r="U958" s="12"/>
      <c r="V958" s="12"/>
      <c r="W958" s="12"/>
      <c r="X958" s="12"/>
      <c r="Y958" s="12"/>
      <c r="Z958" s="12"/>
      <c r="AA958" s="12"/>
      <c r="AB958" s="12"/>
      <c r="AC958" s="12"/>
      <c r="AD958" s="12"/>
      <c r="AE958" s="12"/>
      <c r="AF958" s="12"/>
    </row>
    <row r="959" spans="1:32" ht="13.2">
      <c r="A959" s="8"/>
      <c r="B959" s="8"/>
      <c r="C959" s="8"/>
      <c r="D959" s="8"/>
      <c r="E959" s="8"/>
      <c r="F959" s="8"/>
      <c r="G959" s="8"/>
      <c r="H959" s="8"/>
      <c r="I959" s="8"/>
      <c r="J959" s="8"/>
      <c r="K959" s="8"/>
      <c r="L959" s="8"/>
      <c r="M959" s="8"/>
      <c r="N959" s="8"/>
      <c r="O959" s="8"/>
      <c r="P959" s="8"/>
      <c r="Q959" s="8"/>
      <c r="R959" s="8"/>
      <c r="S959" s="8"/>
      <c r="T959" s="8"/>
      <c r="U959" s="12"/>
      <c r="V959" s="12"/>
      <c r="W959" s="12"/>
      <c r="X959" s="12"/>
      <c r="Y959" s="12"/>
      <c r="Z959" s="12"/>
      <c r="AA959" s="12"/>
      <c r="AB959" s="12"/>
      <c r="AC959" s="12"/>
      <c r="AD959" s="12"/>
      <c r="AE959" s="12"/>
      <c r="AF959" s="12"/>
    </row>
    <row r="960" spans="1:32" ht="13.2">
      <c r="A960" s="8"/>
      <c r="B960" s="8"/>
      <c r="C960" s="8"/>
      <c r="D960" s="8"/>
      <c r="E960" s="8"/>
      <c r="F960" s="8"/>
      <c r="G960" s="8"/>
      <c r="H960" s="8"/>
      <c r="I960" s="8"/>
      <c r="J960" s="8"/>
      <c r="K960" s="8"/>
      <c r="L960" s="8"/>
      <c r="M960" s="8"/>
      <c r="N960" s="8"/>
      <c r="O960" s="8"/>
      <c r="P960" s="8"/>
      <c r="Q960" s="8"/>
      <c r="R960" s="8"/>
      <c r="S960" s="8"/>
      <c r="T960" s="8"/>
      <c r="U960" s="12"/>
      <c r="V960" s="12"/>
      <c r="W960" s="12"/>
      <c r="X960" s="12"/>
      <c r="Y960" s="12"/>
      <c r="Z960" s="12"/>
      <c r="AA960" s="12"/>
      <c r="AB960" s="12"/>
      <c r="AC960" s="12"/>
      <c r="AD960" s="12"/>
      <c r="AE960" s="12"/>
      <c r="AF960" s="12"/>
    </row>
    <row r="961" spans="1:32" ht="13.2">
      <c r="A961" s="8"/>
      <c r="B961" s="8"/>
      <c r="C961" s="8"/>
      <c r="D961" s="8"/>
      <c r="E961" s="8"/>
      <c r="F961" s="8"/>
      <c r="G961" s="8"/>
      <c r="H961" s="8"/>
      <c r="I961" s="8"/>
      <c r="J961" s="8"/>
      <c r="K961" s="8"/>
      <c r="L961" s="8"/>
      <c r="M961" s="8"/>
      <c r="N961" s="8"/>
      <c r="O961" s="8"/>
      <c r="P961" s="8"/>
      <c r="Q961" s="8"/>
      <c r="R961" s="8"/>
      <c r="S961" s="8"/>
      <c r="T961" s="8"/>
      <c r="U961" s="12"/>
      <c r="V961" s="12"/>
      <c r="W961" s="12"/>
      <c r="X961" s="12"/>
      <c r="Y961" s="12"/>
      <c r="Z961" s="12"/>
      <c r="AA961" s="12"/>
      <c r="AB961" s="12"/>
      <c r="AC961" s="12"/>
      <c r="AD961" s="12"/>
      <c r="AE961" s="12"/>
      <c r="AF961" s="12"/>
    </row>
    <row r="962" spans="1:32" ht="13.2">
      <c r="A962" s="8"/>
      <c r="B962" s="8"/>
      <c r="C962" s="8"/>
      <c r="D962" s="8"/>
      <c r="E962" s="8"/>
      <c r="F962" s="8"/>
      <c r="G962" s="8"/>
      <c r="H962" s="8"/>
      <c r="I962" s="8"/>
      <c r="J962" s="8"/>
      <c r="K962" s="8"/>
      <c r="L962" s="8"/>
      <c r="M962" s="8"/>
      <c r="N962" s="8"/>
      <c r="O962" s="8"/>
      <c r="P962" s="8"/>
      <c r="Q962" s="8"/>
      <c r="R962" s="8"/>
      <c r="S962" s="8"/>
      <c r="T962" s="8"/>
      <c r="U962" s="12"/>
      <c r="V962" s="12"/>
      <c r="W962" s="12"/>
      <c r="X962" s="12"/>
      <c r="Y962" s="12"/>
      <c r="Z962" s="12"/>
      <c r="AA962" s="12"/>
      <c r="AB962" s="12"/>
      <c r="AC962" s="12"/>
      <c r="AD962" s="12"/>
      <c r="AE962" s="12"/>
      <c r="AF962" s="12"/>
    </row>
    <row r="963" spans="1:32" ht="13.2">
      <c r="A963" s="8"/>
      <c r="B963" s="8"/>
      <c r="C963" s="8"/>
      <c r="D963" s="8"/>
      <c r="E963" s="8"/>
      <c r="F963" s="8"/>
      <c r="G963" s="8"/>
      <c r="H963" s="8"/>
      <c r="I963" s="8"/>
      <c r="J963" s="8"/>
      <c r="K963" s="8"/>
      <c r="L963" s="8"/>
      <c r="M963" s="8"/>
      <c r="N963" s="8"/>
      <c r="O963" s="8"/>
      <c r="P963" s="8"/>
      <c r="Q963" s="8"/>
      <c r="R963" s="8"/>
      <c r="S963" s="8"/>
      <c r="T963" s="8"/>
      <c r="U963" s="12"/>
      <c r="V963" s="12"/>
      <c r="W963" s="12"/>
      <c r="X963" s="12"/>
      <c r="Y963" s="12"/>
      <c r="Z963" s="12"/>
      <c r="AA963" s="12"/>
      <c r="AB963" s="12"/>
      <c r="AC963" s="12"/>
      <c r="AD963" s="12"/>
      <c r="AE963" s="12"/>
      <c r="AF963" s="12"/>
    </row>
    <row r="964" spans="1:32" ht="13.2">
      <c r="A964" s="8"/>
      <c r="B964" s="8"/>
      <c r="C964" s="8"/>
      <c r="D964" s="8"/>
      <c r="E964" s="8"/>
      <c r="F964" s="8"/>
      <c r="G964" s="8"/>
      <c r="H964" s="8"/>
      <c r="I964" s="8"/>
      <c r="J964" s="8"/>
      <c r="K964" s="8"/>
      <c r="L964" s="8"/>
      <c r="M964" s="8"/>
      <c r="N964" s="8"/>
      <c r="O964" s="8"/>
      <c r="P964" s="8"/>
      <c r="Q964" s="8"/>
      <c r="R964" s="8"/>
      <c r="S964" s="8"/>
      <c r="T964" s="8"/>
      <c r="U964" s="12"/>
      <c r="V964" s="12"/>
      <c r="W964" s="12"/>
      <c r="X964" s="12"/>
      <c r="Y964" s="12"/>
      <c r="Z964" s="12"/>
      <c r="AA964" s="12"/>
      <c r="AB964" s="12"/>
      <c r="AC964" s="12"/>
      <c r="AD964" s="12"/>
      <c r="AE964" s="12"/>
      <c r="AF964" s="12"/>
    </row>
    <row r="965" spans="1:32" ht="13.2">
      <c r="A965" s="8"/>
      <c r="B965" s="8"/>
      <c r="C965" s="8"/>
      <c r="D965" s="8"/>
      <c r="E965" s="8"/>
      <c r="F965" s="8"/>
      <c r="G965" s="8"/>
      <c r="H965" s="8"/>
      <c r="I965" s="8"/>
      <c r="J965" s="8"/>
      <c r="K965" s="8"/>
      <c r="L965" s="8"/>
      <c r="M965" s="8"/>
      <c r="N965" s="8"/>
      <c r="O965" s="8"/>
      <c r="P965" s="8"/>
      <c r="Q965" s="8"/>
      <c r="R965" s="8"/>
      <c r="S965" s="8"/>
      <c r="T965" s="8"/>
      <c r="U965" s="12"/>
      <c r="V965" s="12"/>
      <c r="W965" s="12"/>
      <c r="X965" s="12"/>
      <c r="Y965" s="12"/>
      <c r="Z965" s="12"/>
      <c r="AA965" s="12"/>
      <c r="AB965" s="12"/>
      <c r="AC965" s="12"/>
      <c r="AD965" s="12"/>
      <c r="AE965" s="12"/>
      <c r="AF965" s="12"/>
    </row>
    <row r="966" spans="1:32" ht="13.2">
      <c r="A966" s="8"/>
      <c r="B966" s="8"/>
      <c r="C966" s="8"/>
      <c r="D966" s="8"/>
      <c r="E966" s="8"/>
      <c r="F966" s="8"/>
      <c r="G966" s="8"/>
      <c r="H966" s="8"/>
      <c r="I966" s="8"/>
      <c r="J966" s="8"/>
      <c r="K966" s="8"/>
      <c r="L966" s="8"/>
      <c r="M966" s="8"/>
      <c r="N966" s="8"/>
      <c r="O966" s="8"/>
      <c r="P966" s="8"/>
      <c r="Q966" s="8"/>
      <c r="R966" s="8"/>
      <c r="S966" s="8"/>
      <c r="T966" s="8"/>
      <c r="U966" s="12"/>
      <c r="V966" s="12"/>
      <c r="W966" s="12"/>
      <c r="X966" s="12"/>
      <c r="Y966" s="12"/>
      <c r="Z966" s="12"/>
      <c r="AA966" s="12"/>
      <c r="AB966" s="12"/>
      <c r="AC966" s="12"/>
      <c r="AD966" s="12"/>
      <c r="AE966" s="12"/>
      <c r="AF966" s="12"/>
    </row>
    <row r="967" spans="1:32" ht="13.2">
      <c r="A967" s="8"/>
      <c r="B967" s="8"/>
      <c r="C967" s="8"/>
      <c r="D967" s="8"/>
      <c r="E967" s="8"/>
      <c r="F967" s="8"/>
      <c r="G967" s="8"/>
      <c r="H967" s="8"/>
      <c r="I967" s="8"/>
      <c r="J967" s="8"/>
      <c r="K967" s="8"/>
      <c r="L967" s="8"/>
      <c r="M967" s="8"/>
      <c r="N967" s="8"/>
      <c r="O967" s="8"/>
      <c r="P967" s="8"/>
      <c r="Q967" s="8"/>
      <c r="R967" s="8"/>
      <c r="S967" s="8"/>
      <c r="T967" s="8"/>
      <c r="U967" s="12"/>
      <c r="V967" s="12"/>
      <c r="W967" s="12"/>
      <c r="X967" s="12"/>
      <c r="Y967" s="12"/>
      <c r="Z967" s="12"/>
      <c r="AA967" s="12"/>
      <c r="AB967" s="12"/>
      <c r="AC967" s="12"/>
      <c r="AD967" s="12"/>
      <c r="AE967" s="12"/>
      <c r="AF967" s="12"/>
    </row>
    <row r="968" spans="1:32" ht="13.2">
      <c r="A968" s="8"/>
      <c r="B968" s="8"/>
      <c r="C968" s="8"/>
      <c r="D968" s="8"/>
      <c r="E968" s="8"/>
      <c r="F968" s="8"/>
      <c r="G968" s="8"/>
      <c r="H968" s="8"/>
      <c r="I968" s="8"/>
      <c r="J968" s="8"/>
      <c r="K968" s="8"/>
      <c r="L968" s="8"/>
      <c r="M968" s="8"/>
      <c r="N968" s="8"/>
      <c r="O968" s="8"/>
      <c r="P968" s="8"/>
      <c r="Q968" s="8"/>
      <c r="R968" s="8"/>
      <c r="S968" s="8"/>
      <c r="T968" s="8"/>
      <c r="U968" s="12"/>
      <c r="V968" s="12"/>
      <c r="W968" s="12"/>
      <c r="X968" s="12"/>
      <c r="Y968" s="12"/>
      <c r="Z968" s="12"/>
      <c r="AA968" s="12"/>
      <c r="AB968" s="12"/>
      <c r="AC968" s="12"/>
      <c r="AD968" s="12"/>
      <c r="AE968" s="12"/>
      <c r="AF968" s="12"/>
    </row>
    <row r="969" spans="1:32" ht="13.2">
      <c r="A969" s="8"/>
      <c r="B969" s="8"/>
      <c r="C969" s="8"/>
      <c r="D969" s="8"/>
      <c r="E969" s="8"/>
      <c r="F969" s="8"/>
      <c r="G969" s="8"/>
      <c r="H969" s="8"/>
      <c r="I969" s="8"/>
      <c r="J969" s="8"/>
      <c r="K969" s="8"/>
      <c r="L969" s="8"/>
      <c r="M969" s="8"/>
      <c r="N969" s="8"/>
      <c r="O969" s="8"/>
      <c r="P969" s="8"/>
      <c r="Q969" s="8"/>
      <c r="R969" s="8"/>
      <c r="S969" s="8"/>
      <c r="T969" s="8"/>
      <c r="U969" s="12"/>
      <c r="V969" s="12"/>
      <c r="W969" s="12"/>
      <c r="X969" s="12"/>
      <c r="Y969" s="12"/>
      <c r="Z969" s="12"/>
      <c r="AA969" s="12"/>
      <c r="AB969" s="12"/>
      <c r="AC969" s="12"/>
      <c r="AD969" s="12"/>
      <c r="AE969" s="12"/>
      <c r="AF969" s="12"/>
    </row>
    <row r="970" spans="1:32" ht="13.2">
      <c r="A970" s="8"/>
      <c r="B970" s="8"/>
      <c r="C970" s="8"/>
      <c r="D970" s="8"/>
      <c r="E970" s="8"/>
      <c r="F970" s="8"/>
      <c r="G970" s="8"/>
      <c r="H970" s="8"/>
      <c r="I970" s="8"/>
      <c r="J970" s="8"/>
      <c r="K970" s="8"/>
      <c r="L970" s="8"/>
      <c r="M970" s="8"/>
      <c r="N970" s="8"/>
      <c r="O970" s="8"/>
      <c r="P970" s="8"/>
      <c r="Q970" s="8"/>
      <c r="R970" s="8"/>
      <c r="S970" s="8"/>
      <c r="T970" s="8"/>
      <c r="U970" s="12"/>
      <c r="V970" s="12"/>
      <c r="W970" s="12"/>
      <c r="X970" s="12"/>
      <c r="Y970" s="12"/>
      <c r="Z970" s="12"/>
      <c r="AA970" s="12"/>
      <c r="AB970" s="12"/>
      <c r="AC970" s="12"/>
      <c r="AD970" s="12"/>
      <c r="AE970" s="12"/>
      <c r="AF970" s="12"/>
    </row>
    <row r="971" spans="1:32" ht="13.2">
      <c r="A971" s="8"/>
      <c r="B971" s="8"/>
      <c r="C971" s="8"/>
      <c r="D971" s="8"/>
      <c r="E971" s="8"/>
      <c r="F971" s="8"/>
      <c r="G971" s="8"/>
      <c r="H971" s="8"/>
      <c r="I971" s="8"/>
      <c r="J971" s="8"/>
      <c r="K971" s="8"/>
      <c r="L971" s="8"/>
      <c r="M971" s="8"/>
      <c r="N971" s="8"/>
      <c r="O971" s="8"/>
      <c r="P971" s="8"/>
      <c r="Q971" s="8"/>
      <c r="R971" s="8"/>
      <c r="S971" s="8"/>
      <c r="T971" s="8"/>
      <c r="U971" s="12"/>
      <c r="V971" s="12"/>
      <c r="W971" s="12"/>
      <c r="X971" s="12"/>
      <c r="Y971" s="12"/>
      <c r="Z971" s="12"/>
      <c r="AA971" s="12"/>
      <c r="AB971" s="12"/>
      <c r="AC971" s="12"/>
      <c r="AD971" s="12"/>
      <c r="AE971" s="12"/>
      <c r="AF971" s="12"/>
    </row>
    <row r="972" spans="1:32" ht="13.2">
      <c r="A972" s="8"/>
      <c r="B972" s="8"/>
      <c r="C972" s="8"/>
      <c r="D972" s="8"/>
      <c r="E972" s="8"/>
      <c r="F972" s="8"/>
      <c r="G972" s="8"/>
      <c r="H972" s="8"/>
      <c r="I972" s="8"/>
      <c r="J972" s="8"/>
      <c r="K972" s="8"/>
      <c r="L972" s="8"/>
      <c r="M972" s="8"/>
      <c r="N972" s="8"/>
      <c r="O972" s="8"/>
      <c r="P972" s="8"/>
      <c r="Q972" s="8"/>
      <c r="R972" s="8"/>
      <c r="S972" s="8"/>
      <c r="T972" s="8"/>
      <c r="U972" s="12"/>
      <c r="V972" s="12"/>
      <c r="W972" s="12"/>
      <c r="X972" s="12"/>
      <c r="Y972" s="12"/>
      <c r="Z972" s="12"/>
      <c r="AA972" s="12"/>
      <c r="AB972" s="12"/>
      <c r="AC972" s="12"/>
      <c r="AD972" s="12"/>
      <c r="AE972" s="12"/>
      <c r="AF972" s="12"/>
    </row>
    <row r="973" spans="1:32" ht="13.2">
      <c r="A973" s="8"/>
      <c r="B973" s="8"/>
      <c r="C973" s="8"/>
      <c r="D973" s="8"/>
      <c r="E973" s="8"/>
      <c r="F973" s="8"/>
      <c r="G973" s="8"/>
      <c r="H973" s="8"/>
      <c r="I973" s="8"/>
      <c r="J973" s="8"/>
      <c r="K973" s="8"/>
      <c r="L973" s="8"/>
      <c r="M973" s="8"/>
      <c r="N973" s="8"/>
      <c r="O973" s="8"/>
      <c r="P973" s="8"/>
      <c r="Q973" s="8"/>
      <c r="R973" s="8"/>
      <c r="S973" s="8"/>
      <c r="T973" s="8"/>
      <c r="U973" s="12"/>
      <c r="V973" s="12"/>
      <c r="W973" s="12"/>
      <c r="X973" s="12"/>
      <c r="Y973" s="12"/>
      <c r="Z973" s="12"/>
      <c r="AA973" s="12"/>
      <c r="AB973" s="12"/>
      <c r="AC973" s="12"/>
      <c r="AD973" s="12"/>
      <c r="AE973" s="12"/>
      <c r="AF973" s="12"/>
    </row>
    <row r="974" spans="1:32" ht="13.2">
      <c r="A974" s="8"/>
      <c r="B974" s="8"/>
      <c r="C974" s="8"/>
      <c r="D974" s="8"/>
      <c r="E974" s="8"/>
      <c r="F974" s="8"/>
      <c r="G974" s="8"/>
      <c r="H974" s="8"/>
      <c r="I974" s="8"/>
      <c r="J974" s="8"/>
      <c r="K974" s="8"/>
      <c r="L974" s="8"/>
      <c r="M974" s="8"/>
      <c r="N974" s="8"/>
      <c r="O974" s="8"/>
      <c r="P974" s="8"/>
      <c r="Q974" s="8"/>
      <c r="R974" s="8"/>
      <c r="S974" s="8"/>
      <c r="T974" s="8"/>
      <c r="U974" s="12"/>
      <c r="V974" s="12"/>
      <c r="W974" s="12"/>
      <c r="X974" s="12"/>
      <c r="Y974" s="12"/>
      <c r="Z974" s="12"/>
      <c r="AA974" s="12"/>
      <c r="AB974" s="12"/>
      <c r="AC974" s="12"/>
      <c r="AD974" s="12"/>
      <c r="AE974" s="12"/>
      <c r="AF974" s="12"/>
    </row>
    <row r="975" spans="1:32" ht="13.2">
      <c r="A975" s="8"/>
      <c r="B975" s="8"/>
      <c r="C975" s="8"/>
      <c r="D975" s="8"/>
      <c r="E975" s="8"/>
      <c r="F975" s="8"/>
      <c r="G975" s="8"/>
      <c r="H975" s="8"/>
      <c r="I975" s="8"/>
      <c r="J975" s="8"/>
      <c r="K975" s="8"/>
      <c r="L975" s="8"/>
      <c r="M975" s="8"/>
      <c r="N975" s="8"/>
      <c r="O975" s="8"/>
      <c r="P975" s="8"/>
      <c r="Q975" s="8"/>
      <c r="R975" s="8"/>
      <c r="S975" s="8"/>
      <c r="T975" s="8"/>
      <c r="U975" s="12"/>
      <c r="V975" s="12"/>
      <c r="W975" s="12"/>
      <c r="X975" s="12"/>
      <c r="Y975" s="12"/>
      <c r="Z975" s="12"/>
      <c r="AA975" s="12"/>
      <c r="AB975" s="12"/>
      <c r="AC975" s="12"/>
      <c r="AD975" s="12"/>
      <c r="AE975" s="12"/>
      <c r="AF975" s="12"/>
    </row>
    <row r="976" spans="1:32" ht="13.2">
      <c r="A976" s="8"/>
      <c r="B976" s="8"/>
      <c r="C976" s="8"/>
      <c r="D976" s="8"/>
      <c r="E976" s="8"/>
      <c r="F976" s="8"/>
      <c r="G976" s="8"/>
      <c r="H976" s="8"/>
      <c r="I976" s="8"/>
      <c r="J976" s="8"/>
      <c r="K976" s="8"/>
      <c r="L976" s="8"/>
      <c r="M976" s="8"/>
      <c r="N976" s="8"/>
      <c r="O976" s="8"/>
      <c r="P976" s="8"/>
      <c r="Q976" s="8"/>
      <c r="R976" s="8"/>
      <c r="S976" s="8"/>
      <c r="T976" s="8"/>
      <c r="U976" s="12"/>
      <c r="V976" s="12"/>
      <c r="W976" s="12"/>
      <c r="X976" s="12"/>
      <c r="Y976" s="12"/>
      <c r="Z976" s="12"/>
      <c r="AA976" s="12"/>
      <c r="AB976" s="12"/>
      <c r="AC976" s="12"/>
      <c r="AD976" s="12"/>
      <c r="AE976" s="12"/>
      <c r="AF976" s="12"/>
    </row>
    <row r="977" spans="1:32" ht="13.2">
      <c r="A977" s="8"/>
      <c r="B977" s="8"/>
      <c r="C977" s="8"/>
      <c r="D977" s="8"/>
      <c r="E977" s="8"/>
      <c r="F977" s="8"/>
      <c r="G977" s="8"/>
      <c r="H977" s="8"/>
      <c r="I977" s="8"/>
      <c r="J977" s="8"/>
      <c r="K977" s="8"/>
      <c r="L977" s="8"/>
      <c r="M977" s="8"/>
      <c r="N977" s="8"/>
      <c r="O977" s="8"/>
      <c r="P977" s="8"/>
      <c r="Q977" s="8"/>
      <c r="R977" s="8"/>
      <c r="S977" s="8"/>
      <c r="T977" s="8"/>
      <c r="U977" s="12"/>
      <c r="V977" s="12"/>
      <c r="W977" s="12"/>
      <c r="X977" s="12"/>
      <c r="Y977" s="12"/>
      <c r="Z977" s="12"/>
      <c r="AA977" s="12"/>
      <c r="AB977" s="12"/>
      <c r="AC977" s="12"/>
      <c r="AD977" s="12"/>
      <c r="AE977" s="12"/>
      <c r="AF977" s="12"/>
    </row>
    <row r="978" spans="1:32" ht="13.2">
      <c r="A978" s="8"/>
      <c r="B978" s="8"/>
      <c r="C978" s="8"/>
      <c r="D978" s="8"/>
      <c r="E978" s="8"/>
      <c r="F978" s="8"/>
      <c r="G978" s="8"/>
      <c r="H978" s="8"/>
      <c r="I978" s="8"/>
      <c r="J978" s="8"/>
      <c r="K978" s="8"/>
      <c r="L978" s="8"/>
      <c r="M978" s="8"/>
      <c r="N978" s="8"/>
      <c r="O978" s="8"/>
      <c r="P978" s="8"/>
      <c r="Q978" s="8"/>
      <c r="R978" s="8"/>
      <c r="S978" s="8"/>
      <c r="T978" s="8"/>
      <c r="U978" s="12"/>
      <c r="V978" s="12"/>
      <c r="W978" s="12"/>
      <c r="X978" s="12"/>
      <c r="Y978" s="12"/>
      <c r="Z978" s="12"/>
      <c r="AA978" s="12"/>
      <c r="AB978" s="12"/>
      <c r="AC978" s="12"/>
      <c r="AD978" s="12"/>
      <c r="AE978" s="12"/>
      <c r="AF978" s="12"/>
    </row>
    <row r="979" spans="1:32" ht="13.2">
      <c r="A979" s="8"/>
      <c r="B979" s="8"/>
      <c r="C979" s="8"/>
      <c r="D979" s="8"/>
      <c r="E979" s="8"/>
      <c r="F979" s="8"/>
      <c r="G979" s="8"/>
      <c r="H979" s="8"/>
      <c r="I979" s="8"/>
      <c r="J979" s="8"/>
      <c r="K979" s="8"/>
      <c r="L979" s="8"/>
      <c r="M979" s="8"/>
      <c r="N979" s="8"/>
      <c r="O979" s="8"/>
      <c r="P979" s="8"/>
      <c r="Q979" s="8"/>
      <c r="R979" s="8"/>
      <c r="S979" s="8"/>
      <c r="T979" s="8"/>
      <c r="U979" s="12"/>
      <c r="V979" s="12"/>
      <c r="W979" s="12"/>
      <c r="X979" s="12"/>
      <c r="Y979" s="12"/>
      <c r="Z979" s="12"/>
      <c r="AA979" s="12"/>
      <c r="AB979" s="12"/>
      <c r="AC979" s="12"/>
      <c r="AD979" s="12"/>
      <c r="AE979" s="12"/>
      <c r="AF979" s="12"/>
    </row>
    <row r="980" spans="1:32" ht="13.2">
      <c r="A980" s="8"/>
      <c r="B980" s="8"/>
      <c r="C980" s="8"/>
      <c r="D980" s="8"/>
      <c r="E980" s="8"/>
      <c r="F980" s="8"/>
      <c r="G980" s="8"/>
      <c r="H980" s="8"/>
      <c r="I980" s="8"/>
      <c r="J980" s="8"/>
      <c r="K980" s="8"/>
      <c r="L980" s="8"/>
      <c r="M980" s="8"/>
      <c r="N980" s="8"/>
      <c r="O980" s="8"/>
      <c r="P980" s="8"/>
      <c r="Q980" s="8"/>
      <c r="R980" s="8"/>
      <c r="S980" s="8"/>
      <c r="T980" s="8"/>
      <c r="U980" s="12"/>
      <c r="V980" s="12"/>
      <c r="W980" s="12"/>
      <c r="X980" s="12"/>
      <c r="Y980" s="12"/>
      <c r="Z980" s="12"/>
      <c r="AA980" s="12"/>
      <c r="AB980" s="12"/>
      <c r="AC980" s="12"/>
      <c r="AD980" s="12"/>
      <c r="AE980" s="12"/>
      <c r="AF980" s="12"/>
    </row>
    <row r="981" spans="1:32" ht="13.2">
      <c r="A981" s="8"/>
      <c r="B981" s="8"/>
      <c r="C981" s="8"/>
      <c r="D981" s="8"/>
      <c r="E981" s="8"/>
      <c r="F981" s="8"/>
      <c r="G981" s="8"/>
      <c r="H981" s="8"/>
      <c r="I981" s="8"/>
      <c r="J981" s="8"/>
      <c r="K981" s="8"/>
      <c r="L981" s="8"/>
      <c r="M981" s="8"/>
      <c r="N981" s="8"/>
      <c r="O981" s="8"/>
      <c r="P981" s="8"/>
      <c r="Q981" s="8"/>
      <c r="R981" s="8"/>
      <c r="S981" s="8"/>
      <c r="T981" s="8"/>
      <c r="U981" s="12"/>
      <c r="V981" s="12"/>
      <c r="W981" s="12"/>
      <c r="X981" s="12"/>
      <c r="Y981" s="12"/>
      <c r="Z981" s="12"/>
      <c r="AA981" s="12"/>
      <c r="AB981" s="12"/>
      <c r="AC981" s="12"/>
      <c r="AD981" s="12"/>
      <c r="AE981" s="12"/>
      <c r="AF981" s="12"/>
    </row>
    <row r="982" spans="1:32" ht="13.2">
      <c r="A982" s="8"/>
      <c r="B982" s="8"/>
      <c r="C982" s="8"/>
      <c r="D982" s="8"/>
      <c r="E982" s="8"/>
      <c r="F982" s="8"/>
      <c r="G982" s="8"/>
      <c r="H982" s="8"/>
      <c r="I982" s="8"/>
      <c r="J982" s="8"/>
      <c r="K982" s="8"/>
      <c r="L982" s="8"/>
      <c r="M982" s="8"/>
      <c r="N982" s="8"/>
      <c r="O982" s="8"/>
      <c r="P982" s="8"/>
      <c r="Q982" s="8"/>
      <c r="R982" s="8"/>
      <c r="S982" s="8"/>
      <c r="T982" s="8"/>
      <c r="U982" s="12"/>
      <c r="V982" s="12"/>
      <c r="W982" s="12"/>
      <c r="X982" s="12"/>
      <c r="Y982" s="12"/>
      <c r="Z982" s="12"/>
      <c r="AA982" s="12"/>
      <c r="AB982" s="12"/>
      <c r="AC982" s="12"/>
      <c r="AD982" s="12"/>
      <c r="AE982" s="12"/>
      <c r="AF982" s="12"/>
    </row>
    <row r="983" spans="1:32" ht="13.2">
      <c r="A983" s="8"/>
      <c r="B983" s="8"/>
      <c r="C983" s="8"/>
      <c r="D983" s="8"/>
      <c r="E983" s="8"/>
      <c r="F983" s="8"/>
      <c r="G983" s="8"/>
      <c r="H983" s="8"/>
      <c r="I983" s="8"/>
      <c r="J983" s="8"/>
      <c r="K983" s="8"/>
      <c r="L983" s="8"/>
      <c r="M983" s="8"/>
      <c r="N983" s="8"/>
      <c r="O983" s="8"/>
      <c r="P983" s="8"/>
      <c r="Q983" s="8"/>
      <c r="R983" s="8"/>
      <c r="S983" s="8"/>
      <c r="T983" s="8"/>
      <c r="U983" s="12"/>
      <c r="V983" s="12"/>
      <c r="W983" s="12"/>
      <c r="X983" s="12"/>
      <c r="Y983" s="12"/>
      <c r="Z983" s="12"/>
      <c r="AA983" s="12"/>
      <c r="AB983" s="12"/>
      <c r="AC983" s="12"/>
      <c r="AD983" s="12"/>
      <c r="AE983" s="12"/>
      <c r="AF983" s="12"/>
    </row>
    <row r="984" spans="1:32" ht="13.2">
      <c r="A984" s="8"/>
      <c r="B984" s="8"/>
      <c r="C984" s="8"/>
      <c r="D984" s="8"/>
      <c r="E984" s="8"/>
      <c r="F984" s="8"/>
      <c r="G984" s="8"/>
      <c r="H984" s="8"/>
      <c r="I984" s="8"/>
      <c r="J984" s="8"/>
      <c r="K984" s="8"/>
      <c r="L984" s="8"/>
      <c r="M984" s="8"/>
      <c r="N984" s="8"/>
      <c r="O984" s="8"/>
      <c r="P984" s="8"/>
      <c r="Q984" s="8"/>
      <c r="R984" s="8"/>
      <c r="S984" s="8"/>
      <c r="T984" s="8"/>
      <c r="U984" s="12"/>
      <c r="V984" s="12"/>
      <c r="W984" s="12"/>
      <c r="X984" s="12"/>
      <c r="Y984" s="12"/>
      <c r="Z984" s="12"/>
      <c r="AA984" s="12"/>
      <c r="AB984" s="12"/>
      <c r="AC984" s="12"/>
      <c r="AD984" s="12"/>
      <c r="AE984" s="12"/>
      <c r="AF984" s="12"/>
    </row>
    <row r="985" spans="1:32" ht="13.2">
      <c r="A985" s="8"/>
      <c r="B985" s="8"/>
      <c r="C985" s="8"/>
      <c r="D985" s="8"/>
      <c r="E985" s="8"/>
      <c r="F985" s="8"/>
      <c r="G985" s="8"/>
      <c r="H985" s="8"/>
      <c r="I985" s="8"/>
      <c r="J985" s="8"/>
      <c r="K985" s="8"/>
      <c r="L985" s="8"/>
      <c r="M985" s="8"/>
      <c r="N985" s="8"/>
      <c r="O985" s="8"/>
      <c r="P985" s="8"/>
      <c r="Q985" s="8"/>
      <c r="R985" s="8"/>
      <c r="S985" s="8"/>
      <c r="T985" s="8"/>
      <c r="U985" s="12"/>
      <c r="V985" s="12"/>
      <c r="W985" s="12"/>
      <c r="X985" s="12"/>
      <c r="Y985" s="12"/>
      <c r="Z985" s="12"/>
      <c r="AA985" s="12"/>
      <c r="AB985" s="12"/>
      <c r="AC985" s="12"/>
      <c r="AD985" s="12"/>
      <c r="AE985" s="12"/>
      <c r="AF985" s="12"/>
    </row>
    <row r="986" spans="1:32" ht="13.2">
      <c r="A986" s="8"/>
      <c r="B986" s="8"/>
      <c r="C986" s="8"/>
      <c r="D986" s="8"/>
      <c r="E986" s="8"/>
      <c r="F986" s="8"/>
      <c r="G986" s="8"/>
      <c r="H986" s="8"/>
      <c r="I986" s="8"/>
      <c r="J986" s="8"/>
      <c r="K986" s="8"/>
      <c r="L986" s="8"/>
      <c r="M986" s="8"/>
      <c r="N986" s="8"/>
      <c r="O986" s="8"/>
      <c r="P986" s="8"/>
      <c r="Q986" s="8"/>
      <c r="R986" s="8"/>
      <c r="S986" s="8"/>
      <c r="T986" s="8"/>
      <c r="U986" s="12"/>
      <c r="V986" s="12"/>
      <c r="W986" s="12"/>
      <c r="X986" s="12"/>
      <c r="Y986" s="12"/>
      <c r="Z986" s="12"/>
      <c r="AA986" s="12"/>
      <c r="AB986" s="12"/>
      <c r="AC986" s="12"/>
      <c r="AD986" s="12"/>
      <c r="AE986" s="12"/>
      <c r="AF986" s="12"/>
    </row>
    <row r="987" spans="1:32" ht="13.2">
      <c r="A987" s="8"/>
      <c r="B987" s="8"/>
      <c r="C987" s="8"/>
      <c r="D987" s="8"/>
      <c r="E987" s="8"/>
      <c r="F987" s="8"/>
      <c r="G987" s="8"/>
      <c r="H987" s="8"/>
      <c r="I987" s="8"/>
      <c r="J987" s="8"/>
      <c r="K987" s="8"/>
      <c r="L987" s="8"/>
      <c r="M987" s="8"/>
      <c r="N987" s="8"/>
      <c r="O987" s="8"/>
      <c r="P987" s="8"/>
      <c r="Q987" s="8"/>
      <c r="R987" s="8"/>
      <c r="S987" s="8"/>
      <c r="T987" s="8"/>
      <c r="U987" s="12"/>
      <c r="V987" s="12"/>
      <c r="W987" s="12"/>
      <c r="X987" s="12"/>
      <c r="Y987" s="12"/>
      <c r="Z987" s="12"/>
      <c r="AA987" s="12"/>
      <c r="AB987" s="12"/>
      <c r="AC987" s="12"/>
      <c r="AD987" s="12"/>
      <c r="AE987" s="12"/>
      <c r="AF987" s="12"/>
    </row>
    <row r="988" spans="1:32" ht="13.2">
      <c r="A988" s="8"/>
      <c r="B988" s="8"/>
      <c r="C988" s="8"/>
      <c r="D988" s="8"/>
      <c r="E988" s="8"/>
      <c r="F988" s="8"/>
      <c r="G988" s="8"/>
      <c r="H988" s="8"/>
      <c r="I988" s="8"/>
      <c r="J988" s="8"/>
      <c r="K988" s="8"/>
      <c r="L988" s="8"/>
      <c r="M988" s="8"/>
      <c r="N988" s="8"/>
      <c r="O988" s="8"/>
      <c r="P988" s="8"/>
      <c r="Q988" s="8"/>
      <c r="R988" s="8"/>
      <c r="S988" s="8"/>
      <c r="T988" s="8"/>
      <c r="U988" s="12"/>
      <c r="V988" s="12"/>
      <c r="W988" s="12"/>
      <c r="X988" s="12"/>
      <c r="Y988" s="12"/>
      <c r="Z988" s="12"/>
      <c r="AA988" s="12"/>
      <c r="AB988" s="12"/>
      <c r="AC988" s="12"/>
      <c r="AD988" s="12"/>
      <c r="AE988" s="12"/>
      <c r="AF988" s="12"/>
    </row>
    <row r="989" spans="1:32" ht="13.2">
      <c r="A989" s="8"/>
      <c r="B989" s="8"/>
      <c r="C989" s="8"/>
      <c r="D989" s="8"/>
      <c r="E989" s="8"/>
      <c r="F989" s="8"/>
      <c r="G989" s="8"/>
      <c r="H989" s="8"/>
      <c r="I989" s="8"/>
      <c r="J989" s="8"/>
      <c r="K989" s="8"/>
      <c r="L989" s="8"/>
      <c r="M989" s="8"/>
      <c r="N989" s="8"/>
      <c r="O989" s="8"/>
      <c r="P989" s="8"/>
      <c r="Q989" s="8"/>
      <c r="R989" s="8"/>
      <c r="S989" s="8"/>
      <c r="T989" s="8"/>
      <c r="U989" s="12"/>
      <c r="V989" s="12"/>
      <c r="W989" s="12"/>
      <c r="X989" s="12"/>
      <c r="Y989" s="12"/>
      <c r="Z989" s="12"/>
      <c r="AA989" s="12"/>
      <c r="AB989" s="12"/>
      <c r="AC989" s="12"/>
      <c r="AD989" s="12"/>
      <c r="AE989" s="12"/>
      <c r="AF989" s="12"/>
    </row>
    <row r="990" spans="1:32" ht="13.2">
      <c r="A990" s="8"/>
      <c r="B990" s="8"/>
      <c r="C990" s="8"/>
      <c r="D990" s="8"/>
      <c r="E990" s="8"/>
      <c r="F990" s="8"/>
      <c r="G990" s="8"/>
      <c r="H990" s="8"/>
      <c r="I990" s="8"/>
      <c r="J990" s="8"/>
      <c r="K990" s="8"/>
      <c r="L990" s="8"/>
      <c r="M990" s="8"/>
      <c r="N990" s="8"/>
      <c r="O990" s="8"/>
      <c r="P990" s="8"/>
      <c r="Q990" s="8"/>
      <c r="R990" s="8"/>
      <c r="S990" s="8"/>
      <c r="T990" s="8"/>
      <c r="U990" s="12"/>
      <c r="V990" s="12"/>
      <c r="W990" s="12"/>
      <c r="X990" s="12"/>
      <c r="Y990" s="12"/>
      <c r="Z990" s="12"/>
      <c r="AA990" s="12"/>
      <c r="AB990" s="12"/>
      <c r="AC990" s="12"/>
      <c r="AD990" s="12"/>
      <c r="AE990" s="12"/>
      <c r="AF990" s="12"/>
    </row>
    <row r="991" spans="1:32" ht="13.2">
      <c r="A991" s="8"/>
      <c r="B991" s="8"/>
      <c r="C991" s="8"/>
      <c r="D991" s="8"/>
      <c r="E991" s="8"/>
      <c r="F991" s="8"/>
      <c r="G991" s="8"/>
      <c r="H991" s="8"/>
      <c r="I991" s="8"/>
      <c r="J991" s="8"/>
      <c r="K991" s="8"/>
      <c r="L991" s="8"/>
      <c r="M991" s="8"/>
      <c r="N991" s="8"/>
      <c r="O991" s="8"/>
      <c r="P991" s="8"/>
      <c r="Q991" s="8"/>
      <c r="R991" s="8"/>
      <c r="S991" s="8"/>
      <c r="T991" s="8"/>
      <c r="U991" s="12"/>
      <c r="V991" s="12"/>
      <c r="W991" s="12"/>
      <c r="X991" s="12"/>
      <c r="Y991" s="12"/>
      <c r="Z991" s="12"/>
      <c r="AA991" s="12"/>
      <c r="AB991" s="12"/>
      <c r="AC991" s="12"/>
      <c r="AD991" s="12"/>
      <c r="AE991" s="12"/>
      <c r="AF991" s="12"/>
    </row>
  </sheetData>
  <customSheetViews>
    <customSheetView guid="{8E5FD777-F8E9-423F-B70C-DD1B63F38FB2}" filter="1" showAutoFilter="1">
      <pageMargins left="0.7" right="0.7" top="0.75" bottom="0.75" header="0.3" footer="0.3"/>
      <autoFilter ref="E1:E991" xr:uid="{4765EB7F-7FB9-44A9-82ED-F1A1DDB822BC}"/>
    </customSheetView>
  </customSheetViews>
  <pageMargins left="0.7" right="0.7" top="0.75" bottom="0.75" header="0.3" footer="0.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AT978"/>
  <sheetViews>
    <sheetView workbookViewId="0">
      <pane ySplit="1" topLeftCell="A2" activePane="bottomLeft" state="frozen"/>
      <selection pane="bottomLeft" activeCell="B3" sqref="B3"/>
    </sheetView>
  </sheetViews>
  <sheetFormatPr defaultColWidth="12.6640625" defaultRowHeight="15.75" customHeight="1"/>
  <cols>
    <col min="1" max="1" width="8.88671875" customWidth="1"/>
    <col min="2" max="2" width="7.77734375" customWidth="1"/>
    <col min="3" max="3" width="6.77734375" customWidth="1"/>
    <col min="4" max="4" width="9.6640625" customWidth="1"/>
    <col min="5" max="5" width="14.109375" customWidth="1"/>
    <col min="6" max="6" width="21.109375" customWidth="1"/>
    <col min="7" max="7" width="13.33203125" customWidth="1"/>
    <col min="8" max="8" width="16.77734375" customWidth="1"/>
    <col min="10" max="10" width="38.77734375" customWidth="1"/>
    <col min="12" max="12" width="38.6640625" customWidth="1"/>
    <col min="14" max="14" width="38.109375" customWidth="1"/>
    <col min="16" max="16" width="38.77734375" customWidth="1"/>
    <col min="18" max="18" width="44.21875" customWidth="1"/>
    <col min="20" max="20" width="38" customWidth="1"/>
  </cols>
  <sheetData>
    <row r="1" spans="1:46">
      <c r="A1" s="31" t="s">
        <v>0</v>
      </c>
      <c r="B1" s="31" t="s">
        <v>1</v>
      </c>
      <c r="C1" s="31" t="s">
        <v>2</v>
      </c>
      <c r="D1" s="32" t="s">
        <v>3</v>
      </c>
      <c r="E1" s="32" t="s">
        <v>4</v>
      </c>
      <c r="F1" s="32" t="s">
        <v>5</v>
      </c>
      <c r="G1" s="32" t="s">
        <v>6</v>
      </c>
      <c r="H1" s="32" t="s">
        <v>7</v>
      </c>
      <c r="I1" s="39" t="s">
        <v>8</v>
      </c>
      <c r="J1" s="39" t="s">
        <v>9</v>
      </c>
      <c r="K1" s="39" t="s">
        <v>10</v>
      </c>
      <c r="L1" s="39" t="s">
        <v>11</v>
      </c>
      <c r="M1" s="39" t="s">
        <v>12</v>
      </c>
      <c r="N1" s="39" t="s">
        <v>13</v>
      </c>
      <c r="O1" s="39" t="s">
        <v>14</v>
      </c>
      <c r="P1" s="39" t="s">
        <v>15</v>
      </c>
      <c r="Q1" s="39" t="s">
        <v>16</v>
      </c>
      <c r="R1" s="39" t="s">
        <v>17</v>
      </c>
      <c r="S1" s="39" t="s">
        <v>18</v>
      </c>
      <c r="T1" s="39" t="s">
        <v>19</v>
      </c>
      <c r="U1" s="33" t="s">
        <v>20</v>
      </c>
      <c r="V1" s="33" t="s">
        <v>21</v>
      </c>
      <c r="W1" s="33" t="s">
        <v>22</v>
      </c>
      <c r="X1" s="33" t="s">
        <v>23</v>
      </c>
      <c r="Y1" s="33" t="s">
        <v>24</v>
      </c>
      <c r="Z1" s="33" t="s">
        <v>25</v>
      </c>
      <c r="AA1" s="33" t="s">
        <v>26</v>
      </c>
      <c r="AB1" s="35" t="s">
        <v>27</v>
      </c>
      <c r="AC1" s="36" t="s">
        <v>28</v>
      </c>
      <c r="AD1" s="36" t="s">
        <v>29</v>
      </c>
      <c r="AE1" s="36" t="s">
        <v>30</v>
      </c>
      <c r="AF1" s="37" t="s">
        <v>415</v>
      </c>
      <c r="AG1" s="80" t="s">
        <v>32</v>
      </c>
      <c r="AH1" s="81" t="s">
        <v>33</v>
      </c>
      <c r="AI1" s="80" t="s">
        <v>34</v>
      </c>
      <c r="AJ1" s="81" t="s">
        <v>35</v>
      </c>
      <c r="AK1" s="80" t="s">
        <v>36</v>
      </c>
      <c r="AL1" s="81" t="s">
        <v>37</v>
      </c>
      <c r="AM1" s="80" t="s">
        <v>38</v>
      </c>
      <c r="AN1" s="7" t="s">
        <v>39</v>
      </c>
      <c r="AO1" s="6" t="s">
        <v>40</v>
      </c>
      <c r="AP1" s="7" t="s">
        <v>41</v>
      </c>
      <c r="AQ1" s="6" t="s">
        <v>42</v>
      </c>
      <c r="AR1" s="7" t="s">
        <v>43</v>
      </c>
      <c r="AS1" s="6" t="s">
        <v>44</v>
      </c>
      <c r="AT1" s="7" t="s">
        <v>45</v>
      </c>
    </row>
    <row r="2" spans="1:46">
      <c r="A2" s="8" t="s">
        <v>247</v>
      </c>
      <c r="B2" s="8" t="s">
        <v>47</v>
      </c>
      <c r="C2" s="8" t="s">
        <v>979</v>
      </c>
      <c r="D2" s="8" t="s">
        <v>1441</v>
      </c>
      <c r="E2" s="8" t="s">
        <v>2230</v>
      </c>
      <c r="F2" s="117" t="s">
        <v>2231</v>
      </c>
      <c r="G2" s="8" t="s">
        <v>2232</v>
      </c>
      <c r="H2" s="8" t="str">
        <f ca="1">IFERROR(__xludf.DUMMYFUNCTION("VLOOKUP(G2, IMPORTRANGE(""https://docs.google.com/spreadsheets/d/14deopnvwcrKtEGCKuYXdUHJbeLDZlkiSSWWT0g7x2pM/edit#gid=849066331"", ""LU List Science (Filter)!A:B""), 2, FALSE)"),"How materials are alike")</f>
        <v>How materials are alike</v>
      </c>
      <c r="I2" s="10" t="str">
        <f t="shared" ref="I2:I152" si="0">G2 &amp; ".001"</f>
        <v>LU006081.001</v>
      </c>
      <c r="J2" s="10" t="str">
        <f ca="1">IFERROR(__xludf.DUMMYFUNCTION("VLOOKUP(I2, IMPORTRANGE(""https://docs.google.com/spreadsheets/d/1yDAaXNsi4Mr5FtRQL4tbmSdIzhx6_m4wkOD7IG-k_eo/edit#gid=1336395716"", ""Science!M:N""), 2, FALSE)"),"Identify that all materials, including air, occupy space and have mass.")</f>
        <v>Identify that all materials, including air, occupy space and have mass.</v>
      </c>
      <c r="K2" s="10" t="str">
        <f t="shared" ref="K2:K152" si="1">G2 &amp; ".002"</f>
        <v>LU006081.002</v>
      </c>
      <c r="L2" s="10" t="str">
        <f ca="1">IFERROR(__xludf.DUMMYFUNCTION("VLOOKUP(K2, IMPORTRANGE(""https://docs.google.com/spreadsheets/d/1yDAaXNsi4Mr5FtRQL4tbmSdIzhx6_m4wkOD7IG-k_eo/edit#gid=1336395716"", ""Science!M:N""), 2, FALSE)"),"Describe the properties common to all materials, such as volume and mass.")</f>
        <v>Describe the properties common to all materials, such as volume and mass.</v>
      </c>
      <c r="M2" s="10" t="str">
        <f t="shared" ref="M2:M152" si="2">G2 &amp; ".003"</f>
        <v>LU006081.003</v>
      </c>
      <c r="N2" s="10" t="str">
        <f ca="1">IFERROR(__xludf.DUMMYFUNCTION("VLOOKUP(M2, IMPORTRANGE(""https://docs.google.com/spreadsheets/d/1yDAaXNsi4Mr5FtRQL4tbmSdIzhx6_m4wkOD7IG-k_eo/edit#gid=1336395716"", ""Science!M:N""), 2, FALSE)"),"Demonstrate understanding by giving examples of different materials and their shared properties of volume and mass.")</f>
        <v>Demonstrate understanding by giving examples of different materials and their shared properties of volume and mass.</v>
      </c>
      <c r="O2" s="10" t="str">
        <f t="shared" ref="O2:O152" si="3">G2 &amp; ".004"</f>
        <v>LU006081.004</v>
      </c>
      <c r="P2" s="10" t="str">
        <f ca="1">IFERROR(__xludf.DUMMYFUNCTION("VLOOKUP(O2, IMPORTRANGE(""https://docs.google.com/spreadsheets/d/1yDAaXNsi4Mr5FtRQL4tbmSdIzhx6_m4wkOD7IG-k_eo/edit#gid=1336395716"", ""Science!M:N""), 2, FALSE)"),"Compare the volume and mass of different materials, like air versus a solid object.")</f>
        <v>Compare the volume and mass of different materials, like air versus a solid object.</v>
      </c>
      <c r="Q2" s="10" t="str">
        <f t="shared" ref="Q2:Q152" si="4">G2 &amp; ".005"</f>
        <v>LU006081.005</v>
      </c>
      <c r="R2" s="10" t="str">
        <f ca="1">IFERROR(__xludf.DUMMYFUNCTION("VLOOKUP(Q2, IMPORTRANGE(""https://docs.google.com/spreadsheets/d/1yDAaXNsi4Mr5FtRQL4tbmSdIzhx6_m4wkOD7IG-k_eo/edit#gid=1336395716"", ""Science!M:N""), 2, FALSE)"),"Assess why understanding that all materials have volume and mass is important in various scientific contexts.")</f>
        <v>Assess why understanding that all materials have volume and mass is important in various scientific contexts.</v>
      </c>
      <c r="S2" s="10" t="str">
        <f t="shared" ref="S2:S152" si="5">G2 &amp; ".006"</f>
        <v>LU006081.006</v>
      </c>
      <c r="T2" s="10" t="str">
        <f ca="1">IFERROR(__xludf.DUMMYFUNCTION("VLOOKUP(S2, IMPORTRANGE(""https://docs.google.com/spreadsheets/d/1yDAaXNsi4Mr5FtRQL4tbmSdIzhx6_m4wkOD7IG-k_eo/edit#gid=1336395716"", ""Science!M:N""), 2, FALSE)"),"#N/A")</f>
        <v>#N/A</v>
      </c>
      <c r="U2" s="11">
        <f ca="1">IFERROR(__xludf.DUMMYFUNCTION("ArrayFormula(VLOOKUP(G2, IMPORTRANGE(""https://docs.google.com/spreadsheets/d/1p7R4vtkWt5VOBim4ltsDG9KTzSjrtKXsMtQGXPHyND0/edit#gid=795171502"", ""'Filter 30_05_2024'!A1:M2000""), {2, 3, 4, 5,6,7,8,9,10,11,12,13}, 0))"),4)</f>
        <v>4</v>
      </c>
      <c r="V2" s="11">
        <f ca="1">IFERROR(__xludf.DUMMYFUNCTION("""COMPUTED_VALUE"""),6)</f>
        <v>6</v>
      </c>
      <c r="W2" s="11">
        <f ca="1">IFERROR(__xludf.DUMMYFUNCTION("""COMPUTED_VALUE"""),2)</f>
        <v>2</v>
      </c>
      <c r="X2" s="11">
        <f ca="1">IFERROR(__xludf.DUMMYFUNCTION("""COMPUTED_VALUE"""),12)</f>
        <v>12</v>
      </c>
      <c r="Y2" s="11">
        <f ca="1">IFERROR(__xludf.DUMMYFUNCTION("""COMPUTED_VALUE"""),4)</f>
        <v>4</v>
      </c>
      <c r="Z2" s="12">
        <f ca="1">IFERROR(__xludf.DUMMYFUNCTION("""COMPUTED_VALUE"""),3)</f>
        <v>3</v>
      </c>
      <c r="AA2" s="12">
        <f ca="1">IFERROR(__xludf.DUMMYFUNCTION("""COMPUTED_VALUE"""),1)</f>
        <v>1</v>
      </c>
      <c r="AB2" s="12">
        <f ca="1">IFERROR(__xludf.DUMMYFUNCTION("""COMPUTED_VALUE"""),8)</f>
        <v>8</v>
      </c>
      <c r="AC2" s="12"/>
      <c r="AD2" s="12"/>
      <c r="AE2" s="12"/>
      <c r="AF2" s="12"/>
      <c r="AG2" s="13" t="str">
        <f ca="1">IFERROR(__xludf.DUMMYFUNCTION("ArrayFormula(VLOOKUP(G2, IMPORTRANGE(""https://docs.google.com/spreadsheets/d/1Co934fvtviyaRiMsrIlT05Jaq7iiYq07aLvRr35KA48/edit?gid=173865642#gid=173865642"", ""'G9 Sci_Pri_LU'!G2:V2000""), {3, 4, 5, 6, 7, 8, 9, 10, 11, 12, 13, 14, 15, 16}, 0))"),"")</f>
        <v/>
      </c>
      <c r="AH2" s="13"/>
      <c r="AI2" s="13"/>
      <c r="AJ2" s="13"/>
      <c r="AK2" s="13"/>
      <c r="AL2" s="13"/>
      <c r="AM2" s="13"/>
      <c r="AN2" s="13"/>
      <c r="AO2" s="13"/>
      <c r="AP2" s="13"/>
      <c r="AQ2" s="13"/>
      <c r="AR2" s="13"/>
      <c r="AS2" s="13"/>
      <c r="AT2" s="13"/>
    </row>
    <row r="3" spans="1:46">
      <c r="A3" s="8" t="s">
        <v>247</v>
      </c>
      <c r="B3" s="8" t="s">
        <v>47</v>
      </c>
      <c r="C3" s="8" t="s">
        <v>979</v>
      </c>
      <c r="D3" s="8" t="s">
        <v>1441</v>
      </c>
      <c r="E3" s="8" t="s">
        <v>2230</v>
      </c>
      <c r="F3" s="8" t="s">
        <v>2233</v>
      </c>
      <c r="G3" s="114" t="s">
        <v>2234</v>
      </c>
      <c r="H3" s="8" t="str">
        <f ca="1">IFERROR(__xludf.DUMMYFUNCTION("VLOOKUP(G3, IMPORTRANGE(""https://docs.google.com/spreadsheets/d/14deopnvwcrKtEGCKuYXdUHJbeLDZlkiSSWWT0g7x2pM/edit#gid=849066331"", ""LU List Science (Filter)!A:B""), 2, FALSE)"),"Matter and Its Particles(size and space between them)")</f>
        <v>Matter and Its Particles(size and space between them)</v>
      </c>
      <c r="I3" s="10" t="str">
        <f t="shared" si="0"/>
        <v>LU006196.001</v>
      </c>
      <c r="J3" s="10" t="str">
        <f ca="1">IFERROR(__xludf.DUMMYFUNCTION("VLOOKUP(I3, IMPORTRANGE(""https://docs.google.com/spreadsheets/d/1yDAaXNsi4Mr5FtRQL4tbmSdIzhx6_m4wkOD7IG-k_eo/edit#gid=1336395716"", ""Science!M:N""), 2, FALSE)"),"Identify and list examples of matter in everyday life, such as air, water, and sugar.")</f>
        <v>Identify and list examples of matter in everyday life, such as air, water, and sugar.</v>
      </c>
      <c r="K3" s="10" t="str">
        <f t="shared" si="1"/>
        <v>LU006196.002</v>
      </c>
      <c r="L3" s="10" t="str">
        <f ca="1">IFERROR(__xludf.DUMMYFUNCTION("VLOOKUP(K3, IMPORTRANGE(""https://docs.google.com/spreadsheets/d/1yDAaXNsi4Mr5FtRQL4tbmSdIzhx6_m4wkOD7IG-k_eo/edit#gid=1336395716"", ""Science!M:N""), 2, FALSE)"),"Describe the concept that matter is made up of particles and explain how sugar dissolves in water.")</f>
        <v>Describe the concept that matter is made up of particles and explain how sugar dissolves in water.</v>
      </c>
      <c r="M3" s="10" t="str">
        <f t="shared" si="2"/>
        <v>LU006196.003</v>
      </c>
      <c r="N3" s="10" t="str">
        <f ca="1">IFERROR(__xludf.DUMMYFUNCTION("VLOOKUP(M3, IMPORTRANGE(""https://docs.google.com/spreadsheets/d/1yDAaXNsi4Mr5FtRQL4tbmSdIzhx6_m4wkOD7IG-k_eo/edit#gid=1336395716"", ""Science!M:N""), 2, FALSE)"),"Demonstrate the process of dissolving a substance in water and explain the observation.")</f>
        <v>Demonstrate the process of dissolving a substance in water and explain the observation.</v>
      </c>
      <c r="O3" s="10" t="str">
        <f t="shared" si="3"/>
        <v>LU006196.004</v>
      </c>
      <c r="P3" s="10" t="str">
        <f ca="1">IFERROR(__xludf.DUMMYFUNCTION("VLOOKUP(O3, IMPORTRANGE(""https://docs.google.com/spreadsheets/d/1yDAaXNsi4Mr5FtRQL4tbmSdIzhx6_m4wkOD7IG-k_eo/edit#gid=1336395716"", ""Science!M:N""), 2, FALSE)"),"Analyze the results of the dissolution experiments (sugar in water and potassium permanganate in water) to determine the evidence of particles and space between them.")</f>
        <v>Analyze the results of the dissolution experiments (sugar in water and potassium permanganate in water) to determine the evidence of particles and space between them.</v>
      </c>
      <c r="Q3" s="10" t="str">
        <f t="shared" si="4"/>
        <v>LU006196.005</v>
      </c>
      <c r="R3" s="10" t="str">
        <f ca="1">IFERROR(__xludf.DUMMYFUNCTION("VLOOKUP(Q3, IMPORTRANGE(""https://docs.google.com/spreadsheets/d/1yDAaXNsi4Mr5FtRQL4tbmSdIzhx6_m4wkOD7IG-k_eo/edit#gid=1336395716"", ""Science!M:N""), 2, FALSE)"),"Assess the effectiveness of the activities in demonstrating the particulate nature of matter and suggest improvements.")</f>
        <v>Assess the effectiveness of the activities in demonstrating the particulate nature of matter and suggest improvements.</v>
      </c>
      <c r="S3" s="10" t="str">
        <f t="shared" si="5"/>
        <v>LU006196.006</v>
      </c>
      <c r="T3" s="10" t="str">
        <f ca="1">IFERROR(__xludf.DUMMYFUNCTION("VLOOKUP(S3, IMPORTRANGE(""https://docs.google.com/spreadsheets/d/1yDAaXNsi4Mr5FtRQL4tbmSdIzhx6_m4wkOD7IG-k_eo/edit#gid=1336395716"", ""Science!M:N""), 2, FALSE)"),"Design a new activity or experiment that demonstrates the small size and space between particles of matter.")</f>
        <v>Design a new activity or experiment that demonstrates the small size and space between particles of matter.</v>
      </c>
      <c r="U3" s="11" t="str">
        <f ca="1">IFERROR(__xludf.DUMMYFUNCTION("ArrayFormula(VLOOKUP(G3, IMPORTRANGE(""https://docs.google.com/spreadsheets/d/1p7R4vtkWt5VOBim4ltsDG9KTzSjrtKXsMtQGXPHyND0/edit#gid=795171502"", ""'Filter 30_05_2024'!A1:M2000""), {2, 3, 4, 5,6,7,8,9,10,11,12,13}, 0))"),"#N/A")</f>
        <v>#N/A</v>
      </c>
      <c r="V3" s="11" t="str">
        <f ca="1">IFERROR(__xludf.DUMMYFUNCTION("""COMPUTED_VALUE"""),"#N/A")</f>
        <v>#N/A</v>
      </c>
      <c r="W3" s="11" t="str">
        <f ca="1">IFERROR(__xludf.DUMMYFUNCTION("""COMPUTED_VALUE"""),"#N/A")</f>
        <v>#N/A</v>
      </c>
      <c r="X3" s="11" t="str">
        <f ca="1">IFERROR(__xludf.DUMMYFUNCTION("""COMPUTED_VALUE"""),"#N/A")</f>
        <v>#N/A</v>
      </c>
      <c r="Y3" s="11" t="str">
        <f ca="1">IFERROR(__xludf.DUMMYFUNCTION("""COMPUTED_VALUE"""),"#N/A")</f>
        <v>#N/A</v>
      </c>
      <c r="Z3" s="12" t="str">
        <f ca="1">IFERROR(__xludf.DUMMYFUNCTION("""COMPUTED_VALUE"""),"#N/A")</f>
        <v>#N/A</v>
      </c>
      <c r="AA3" s="12" t="str">
        <f ca="1">IFERROR(__xludf.DUMMYFUNCTION("""COMPUTED_VALUE"""),"#N/A")</f>
        <v>#N/A</v>
      </c>
      <c r="AB3" s="12" t="str">
        <f ca="1">IFERROR(__xludf.DUMMYFUNCTION("""COMPUTED_VALUE"""),"#N/A")</f>
        <v>#N/A</v>
      </c>
      <c r="AC3" s="12" t="str">
        <f ca="1">IFERROR(__xludf.DUMMYFUNCTION("""COMPUTED_VALUE"""),"#N/A")</f>
        <v>#N/A</v>
      </c>
      <c r="AD3" s="12" t="str">
        <f ca="1">IFERROR(__xludf.DUMMYFUNCTION("""COMPUTED_VALUE"""),"#N/A")</f>
        <v>#N/A</v>
      </c>
      <c r="AE3" s="12" t="str">
        <f ca="1">IFERROR(__xludf.DUMMYFUNCTION("""COMPUTED_VALUE"""),"#N/A")</f>
        <v>#N/A</v>
      </c>
      <c r="AF3" s="12" t="str">
        <f ca="1">IFERROR(__xludf.DUMMYFUNCTION("""COMPUTED_VALUE"""),"#N/A")</f>
        <v>#N/A</v>
      </c>
      <c r="AG3" s="13" t="str">
        <f ca="1">IFERROR(__xludf.DUMMYFUNCTION("ArrayFormula(VLOOKUP(G3, IMPORTRANGE(""https://docs.google.com/spreadsheets/d/1Co934fvtviyaRiMsrIlT05Jaq7iiYq07aLvRr35KA48/edit?gid=173865642#gid=173865642"", ""'G9 Sci_Pri_LU'!G2:V2000""), {3, 4, 5, 6, 7, 8, 9, 10, 11, 12, 13, 14, 15, 16}, 0))"),"LU006081")</f>
        <v>LU006081</v>
      </c>
      <c r="AH3" s="22" t="str">
        <f ca="1">IFERROR(__xludf.DUMMYFUNCTION("""COMPUTED_VALUE"""),"How materials are alike")</f>
        <v>How materials are alike</v>
      </c>
      <c r="AI3" s="13"/>
      <c r="AJ3" s="13"/>
      <c r="AK3" s="13"/>
      <c r="AL3" s="13"/>
      <c r="AM3" s="13"/>
      <c r="AN3" s="13"/>
      <c r="AO3" s="13"/>
      <c r="AP3" s="13"/>
      <c r="AQ3" s="13"/>
      <c r="AR3" s="13"/>
      <c r="AS3" s="13"/>
      <c r="AT3" s="13"/>
    </row>
    <row r="4" spans="1:46">
      <c r="A4" s="8" t="s">
        <v>247</v>
      </c>
      <c r="B4" s="8" t="s">
        <v>47</v>
      </c>
      <c r="C4" s="8" t="s">
        <v>979</v>
      </c>
      <c r="D4" s="8" t="s">
        <v>1441</v>
      </c>
      <c r="E4" s="8" t="s">
        <v>2230</v>
      </c>
      <c r="F4" s="8" t="s">
        <v>2233</v>
      </c>
      <c r="G4" s="114" t="s">
        <v>2235</v>
      </c>
      <c r="H4" s="8" t="str">
        <f ca="1">IFERROR(__xludf.DUMMYFUNCTION("VLOOKUP(G4, IMPORTRANGE(""https://docs.google.com/spreadsheets/d/14deopnvwcrKtEGCKuYXdUHJbeLDZlkiSSWWT0g7x2pM/edit#gid=849066331"", ""LU List Science (Filter)!A:B""), 2, FALSE)"),"Particles are Continuously Moving(concept of diffusion)")</f>
        <v>Particles are Continuously Moving(concept of diffusion)</v>
      </c>
      <c r="I4" s="10" t="str">
        <f t="shared" si="0"/>
        <v>LU006197.001</v>
      </c>
      <c r="J4" s="10" t="str">
        <f ca="1">IFERROR(__xludf.DUMMYFUNCTION("VLOOKUP(I4, IMPORTRANGE(""https://docs.google.com/spreadsheets/d/1yDAaXNsi4Mr5FtRQL4tbmSdIzhx6_m4wkOD7IG-k_eo/edit#gid=1336395716"", ""Science!M:N""), 2, FALSE)"),"Define diffusion and kinetic energy in the context of particles of matter.")</f>
        <v>Define diffusion and kinetic energy in the context of particles of matter.</v>
      </c>
      <c r="K4" s="10" t="str">
        <f t="shared" si="1"/>
        <v>LU006197.002</v>
      </c>
      <c r="L4" s="10" t="str">
        <f ca="1">IFERROR(__xludf.DUMMYFUNCTION("VLOOKUP(K4, IMPORTRANGE(""https://docs.google.com/spreadsheets/d/1yDAaXNsi4Mr5FtRQL4tbmSdIzhx6_m4wkOD7IG-k_eo/edit#gid=1336395716"", ""Science!M:N""), 2, FALSE)"),"Explain how temperature affects the movement of particles in matter.")</f>
        <v>Explain how temperature affects the movement of particles in matter.</v>
      </c>
      <c r="M4" s="10" t="str">
        <f t="shared" si="2"/>
        <v>LU006197.003</v>
      </c>
      <c r="N4" s="10" t="str">
        <f ca="1">IFERROR(__xludf.DUMMYFUNCTION("VLOOKUP(M4, IMPORTRANGE(""https://docs.google.com/spreadsheets/d/1yDAaXNsi4Mr5FtRQL4tbmSdIzhx6_m4wkOD7IG-k_eo/edit#gid=1336395716"", ""Science!M:N""), 2, FALSE)"),"Demonstrate diffusion through a simple experiment using everyday materials (e.g., ink in water).")</f>
        <v>Demonstrate diffusion through a simple experiment using everyday materials (e.g., ink in water).</v>
      </c>
      <c r="O4" s="10" t="str">
        <f t="shared" si="3"/>
        <v>LU006197.004</v>
      </c>
      <c r="P4" s="10" t="str">
        <f ca="1">IFERROR(__xludf.DUMMYFUNCTION("VLOOKUP(O4, IMPORTRANGE(""https://docs.google.com/spreadsheets/d/1yDAaXNsi4Mr5FtRQL4tbmSdIzhx6_m4wkOD7IG-k_eo/edit#gid=1336395716"", ""Science!M:N""), 2, FALSE)"),"Compare the rate of diffusion in hot and cold water using experimental data.")</f>
        <v>Compare the rate of diffusion in hot and cold water using experimental data.</v>
      </c>
      <c r="Q4" s="10" t="str">
        <f t="shared" si="4"/>
        <v>LU006197.005</v>
      </c>
      <c r="R4" s="10" t="str">
        <f ca="1">IFERROR(__xludf.DUMMYFUNCTION("VLOOKUP(Q4, IMPORTRANGE(""https://docs.google.com/spreadsheets/d/1yDAaXNsi4Mr5FtRQL4tbmSdIzhx6_m4wkOD7IG-k_eo/edit#gid=1336395716"", ""Science!M:N""), 2, FALSE)"),"Evaluate the effectiveness of different methods to observe diffusion in various states of matter (solid, liquid, gas).")</f>
        <v>Evaluate the effectiveness of different methods to observe diffusion in various states of matter (solid, liquid, gas).</v>
      </c>
      <c r="S4" s="10" t="str">
        <f t="shared" si="5"/>
        <v>LU006197.006</v>
      </c>
      <c r="T4" s="10" t="str">
        <f ca="1">IFERROR(__xludf.DUMMYFUNCTION("VLOOKUP(S4, IMPORTRANGE(""https://docs.google.com/spreadsheets/d/1yDAaXNsi4Mr5FtRQL4tbmSdIzhx6_m4wkOD7IG-k_eo/edit#gid=1336395716"", ""Science!M:N""), 2, FALSE)"),"Design a new experiment to explore how different substances diffuse in water.")</f>
        <v>Design a new experiment to explore how different substances diffuse in water.</v>
      </c>
      <c r="U4" s="11" t="str">
        <f ca="1">IFERROR(__xludf.DUMMYFUNCTION("ArrayFormula(VLOOKUP(G4, IMPORTRANGE(""https://docs.google.com/spreadsheets/d/1p7R4vtkWt5VOBim4ltsDG9KTzSjrtKXsMtQGXPHyND0/edit#gid=795171502"", ""'Filter 30_05_2024'!A1:M2000""), {2, 3, 4, 5,6,7,8,9,10,11,12,13}, 0))"),"#N/A")</f>
        <v>#N/A</v>
      </c>
      <c r="V4" s="11" t="str">
        <f ca="1">IFERROR(__xludf.DUMMYFUNCTION("""COMPUTED_VALUE"""),"#N/A")</f>
        <v>#N/A</v>
      </c>
      <c r="W4" s="11" t="str">
        <f ca="1">IFERROR(__xludf.DUMMYFUNCTION("""COMPUTED_VALUE"""),"#N/A")</f>
        <v>#N/A</v>
      </c>
      <c r="X4" s="11" t="str">
        <f ca="1">IFERROR(__xludf.DUMMYFUNCTION("""COMPUTED_VALUE"""),"#N/A")</f>
        <v>#N/A</v>
      </c>
      <c r="Y4" s="11" t="str">
        <f ca="1">IFERROR(__xludf.DUMMYFUNCTION("""COMPUTED_VALUE"""),"#N/A")</f>
        <v>#N/A</v>
      </c>
      <c r="Z4" s="12" t="str">
        <f ca="1">IFERROR(__xludf.DUMMYFUNCTION("""COMPUTED_VALUE"""),"#N/A")</f>
        <v>#N/A</v>
      </c>
      <c r="AA4" s="12" t="str">
        <f ca="1">IFERROR(__xludf.DUMMYFUNCTION("""COMPUTED_VALUE"""),"#N/A")</f>
        <v>#N/A</v>
      </c>
      <c r="AB4" s="12" t="str">
        <f ca="1">IFERROR(__xludf.DUMMYFUNCTION("""COMPUTED_VALUE"""),"#N/A")</f>
        <v>#N/A</v>
      </c>
      <c r="AC4" s="12" t="str">
        <f ca="1">IFERROR(__xludf.DUMMYFUNCTION("""COMPUTED_VALUE"""),"#N/A")</f>
        <v>#N/A</v>
      </c>
      <c r="AD4" s="12" t="str">
        <f ca="1">IFERROR(__xludf.DUMMYFUNCTION("""COMPUTED_VALUE"""),"#N/A")</f>
        <v>#N/A</v>
      </c>
      <c r="AE4" s="12" t="str">
        <f ca="1">IFERROR(__xludf.DUMMYFUNCTION("""COMPUTED_VALUE"""),"#N/A")</f>
        <v>#N/A</v>
      </c>
      <c r="AF4" s="12" t="str">
        <f ca="1">IFERROR(__xludf.DUMMYFUNCTION("""COMPUTED_VALUE"""),"#N/A")</f>
        <v>#N/A</v>
      </c>
      <c r="AG4" s="13" t="str">
        <f ca="1">IFERROR(__xludf.DUMMYFUNCTION("ArrayFormula(VLOOKUP(G4, IMPORTRANGE(""https://docs.google.com/spreadsheets/d/1Co934fvtviyaRiMsrIlT05Jaq7iiYq07aLvRr35KA48/edit?gid=173865642#gid=173865642"", ""'G9 Sci_Pri_LU'!G2:V2000""), {3, 4, 5, 6, 7, 8, 9, 10, 11, 12, 13, 14, 15, 16}, 0))"),"LU006196")</f>
        <v>LU006196</v>
      </c>
      <c r="AH4" s="22" t="str">
        <f ca="1">IFERROR(__xludf.DUMMYFUNCTION("""COMPUTED_VALUE"""),"Matter and Its Particles(size and space between them)")</f>
        <v>Matter and Its Particles(size and space between them)</v>
      </c>
      <c r="AI4" s="13"/>
      <c r="AJ4" s="13"/>
      <c r="AK4" s="13"/>
      <c r="AL4" s="13"/>
      <c r="AM4" s="13"/>
      <c r="AN4" s="13"/>
      <c r="AO4" s="13"/>
      <c r="AP4" s="13"/>
      <c r="AQ4" s="13"/>
      <c r="AR4" s="13"/>
      <c r="AS4" s="13"/>
      <c r="AT4" s="13"/>
    </row>
    <row r="5" spans="1:46">
      <c r="A5" s="8" t="s">
        <v>247</v>
      </c>
      <c r="B5" s="8" t="s">
        <v>47</v>
      </c>
      <c r="C5" s="8" t="s">
        <v>979</v>
      </c>
      <c r="D5" s="8" t="s">
        <v>1441</v>
      </c>
      <c r="E5" s="8" t="s">
        <v>2230</v>
      </c>
      <c r="F5" s="8" t="s">
        <v>2233</v>
      </c>
      <c r="G5" s="114" t="s">
        <v>2236</v>
      </c>
      <c r="H5" s="8" t="str">
        <f ca="1">IFERROR(__xludf.DUMMYFUNCTION("VLOOKUP(G5, IMPORTRANGE(""https://docs.google.com/spreadsheets/d/14deopnvwcrKtEGCKuYXdUHJbeLDZlkiSSWWT0g7x2pM/edit#gid=849066331"", ""LU List Science (Filter)!A:B""), 2, FALSE)"),"Particles of Matter Attract Each Other")</f>
        <v>Particles of Matter Attract Each Other</v>
      </c>
      <c r="I5" s="10" t="str">
        <f t="shared" si="0"/>
        <v>LU006198.001</v>
      </c>
      <c r="J5" s="10" t="str">
        <f ca="1">IFERROR(__xludf.DUMMYFUNCTION("VLOOKUP(I5, IMPORTRANGE(""https://docs.google.com/spreadsheets/d/1yDAaXNsi4Mr5FtRQL4tbmSdIzhx6_m4wkOD7IG-k_eo/edit#gid=1336395716"", ""Science!M:N""), 2, FALSE)"),"Define the concept that particles of matter attract each other.")</f>
        <v>Define the concept that particles of matter attract each other.</v>
      </c>
      <c r="K5" s="10" t="str">
        <f t="shared" si="1"/>
        <v>LU006198.002</v>
      </c>
      <c r="L5" s="10" t="str">
        <f ca="1">IFERROR(__xludf.DUMMYFUNCTION("VLOOKUP(K5, IMPORTRANGE(""https://docs.google.com/spreadsheets/d/1yDAaXNsi4Mr5FtRQL4tbmSdIzhx6_m4wkOD7IG-k_eo/edit#gid=1336395716"", ""Science!M:N""), 2, FALSE)"),"Describe in your own words how the attraction between particles helps in holding matter together.")</f>
        <v>Describe in your own words how the attraction between particles helps in holding matter together.</v>
      </c>
      <c r="M5" s="10" t="str">
        <f t="shared" si="2"/>
        <v>LU006198.003</v>
      </c>
      <c r="N5" s="10" t="str">
        <f ca="1">IFERROR(__xludf.DUMMYFUNCTION("VLOOKUP(M5, IMPORTRANGE(""https://docs.google.com/spreadsheets/d/1yDAaXNsi4Mr5FtRQL4tbmSdIzhx6_m4wkOD7IG-k_eo/edit#gid=1336395716"", ""Science!M:N""), 2, FALSE)"),"Demonstrate the concept of particle attraction through a class activity.")</f>
        <v>Demonstrate the concept of particle attraction through a class activity.</v>
      </c>
      <c r="O5" s="10" t="str">
        <f t="shared" si="3"/>
        <v>LU006198.004</v>
      </c>
      <c r="P5" s="10" t="str">
        <f ca="1">IFERROR(__xludf.DUMMYFUNCTION("VLOOKUP(O5, IMPORTRANGE(""https://docs.google.com/spreadsheets/d/1yDAaXNsi4Mr5FtRQL4tbmSdIzhx6_m4wkOD7IG-k_eo/edit#gid=1336395716"", ""Science!M:N""), 2, FALSE)"),"Analyze the difficulty in breaking different human chains and explain the variation in terms of particle attraction.")</f>
        <v>Analyze the difficulty in breaking different human chains and explain the variation in terms of particle attraction.</v>
      </c>
      <c r="Q5" s="10" t="str">
        <f t="shared" si="4"/>
        <v>LU006198.005</v>
      </c>
      <c r="R5" s="10" t="str">
        <f ca="1">IFERROR(__xludf.DUMMYFUNCTION("VLOOKUP(Q5, IMPORTRANGE(""https://docs.google.com/spreadsheets/d/1yDAaXNsi4Mr5FtRQL4tbmSdIzhx6_m4wkOD7IG-k_eo/edit#gid=1336395716"", ""Science!M:N""), 2, FALSE)"),"Evaluate and discuss the importance of attractive forces in everyday objects, such as how they maintain structure and form.")</f>
        <v>Evaluate and discuss the importance of attractive forces in everyday objects, such as how they maintain structure and form.</v>
      </c>
      <c r="S5" s="10" t="str">
        <f t="shared" si="5"/>
        <v>LU006198.006</v>
      </c>
      <c r="T5" s="10" t="str">
        <f ca="1">IFERROR(__xludf.DUMMYFUNCTION("VLOOKUP(S5, IMPORTRANGE(""https://docs.google.com/spreadsheets/d/1yDAaXNsi4Mr5FtRQL4tbmSdIzhx6_m4wkOD7IG-k_eo/edit#gid=1336395716"", ""Science!M:N""), 2, FALSE)"),"Design a simple experiment to demonstrate the concept of attractive forces between particles.")</f>
        <v>Design a simple experiment to demonstrate the concept of attractive forces between particles.</v>
      </c>
      <c r="U5" s="11" t="str">
        <f ca="1">IFERROR(__xludf.DUMMYFUNCTION("ArrayFormula(VLOOKUP(G5, IMPORTRANGE(""https://docs.google.com/spreadsheets/d/1p7R4vtkWt5VOBim4ltsDG9KTzSjrtKXsMtQGXPHyND0/edit#gid=795171502"", ""'Filter 30_05_2024'!A1:M2000""), {2, 3, 4, 5,6,7,8,9,10,11,12,13}, 0))"),"#N/A")</f>
        <v>#N/A</v>
      </c>
      <c r="V5" s="11" t="str">
        <f ca="1">IFERROR(__xludf.DUMMYFUNCTION("""COMPUTED_VALUE"""),"#N/A")</f>
        <v>#N/A</v>
      </c>
      <c r="W5" s="11" t="str">
        <f ca="1">IFERROR(__xludf.DUMMYFUNCTION("""COMPUTED_VALUE"""),"#N/A")</f>
        <v>#N/A</v>
      </c>
      <c r="X5" s="11" t="str">
        <f ca="1">IFERROR(__xludf.DUMMYFUNCTION("""COMPUTED_VALUE"""),"#N/A")</f>
        <v>#N/A</v>
      </c>
      <c r="Y5" s="11" t="str">
        <f ca="1">IFERROR(__xludf.DUMMYFUNCTION("""COMPUTED_VALUE"""),"#N/A")</f>
        <v>#N/A</v>
      </c>
      <c r="Z5" s="12" t="str">
        <f ca="1">IFERROR(__xludf.DUMMYFUNCTION("""COMPUTED_VALUE"""),"#N/A")</f>
        <v>#N/A</v>
      </c>
      <c r="AA5" s="12" t="str">
        <f ca="1">IFERROR(__xludf.DUMMYFUNCTION("""COMPUTED_VALUE"""),"#N/A")</f>
        <v>#N/A</v>
      </c>
      <c r="AB5" s="12" t="str">
        <f ca="1">IFERROR(__xludf.DUMMYFUNCTION("""COMPUTED_VALUE"""),"#N/A")</f>
        <v>#N/A</v>
      </c>
      <c r="AC5" s="12" t="str">
        <f ca="1">IFERROR(__xludf.DUMMYFUNCTION("""COMPUTED_VALUE"""),"#N/A")</f>
        <v>#N/A</v>
      </c>
      <c r="AD5" s="12" t="str">
        <f ca="1">IFERROR(__xludf.DUMMYFUNCTION("""COMPUTED_VALUE"""),"#N/A")</f>
        <v>#N/A</v>
      </c>
      <c r="AE5" s="12" t="str">
        <f ca="1">IFERROR(__xludf.DUMMYFUNCTION("""COMPUTED_VALUE"""),"#N/A")</f>
        <v>#N/A</v>
      </c>
      <c r="AF5" s="12" t="str">
        <f ca="1">IFERROR(__xludf.DUMMYFUNCTION("""COMPUTED_VALUE"""),"#N/A")</f>
        <v>#N/A</v>
      </c>
      <c r="AG5" s="13" t="str">
        <f ca="1">IFERROR(__xludf.DUMMYFUNCTION("ArrayFormula(VLOOKUP(G5, IMPORTRANGE(""https://docs.google.com/spreadsheets/d/1Co934fvtviyaRiMsrIlT05Jaq7iiYq07aLvRr35KA48/edit?gid=173865642#gid=173865642"", ""'G9 Sci_Pri_LU'!G2:V2000""), {3, 4, 5, 6, 7, 8, 9, 10, 11, 12, 13, 14, 15, 16}, 0))"),"LU006197")</f>
        <v>LU006197</v>
      </c>
      <c r="AH5" s="22" t="str">
        <f ca="1">IFERROR(__xludf.DUMMYFUNCTION("""COMPUTED_VALUE"""),"Particles are Continuously Moving(concept of diffusion)")</f>
        <v>Particles are Continuously Moving(concept of diffusion)</v>
      </c>
      <c r="AI5" s="13"/>
      <c r="AJ5" s="13"/>
      <c r="AK5" s="13"/>
      <c r="AL5" s="13"/>
      <c r="AM5" s="13"/>
      <c r="AN5" s="13"/>
      <c r="AO5" s="13"/>
      <c r="AP5" s="13"/>
      <c r="AQ5" s="13"/>
      <c r="AR5" s="13"/>
      <c r="AS5" s="13"/>
      <c r="AT5" s="13"/>
    </row>
    <row r="6" spans="1:46">
      <c r="A6" s="8" t="s">
        <v>247</v>
      </c>
      <c r="B6" s="8" t="s">
        <v>47</v>
      </c>
      <c r="C6" s="8" t="s">
        <v>979</v>
      </c>
      <c r="D6" s="8" t="s">
        <v>1441</v>
      </c>
      <c r="E6" s="8" t="s">
        <v>2230</v>
      </c>
      <c r="F6" s="9" t="s">
        <v>2237</v>
      </c>
      <c r="G6" s="114" t="s">
        <v>2238</v>
      </c>
      <c r="H6" s="8" t="str">
        <f ca="1">IFERROR(__xludf.DUMMYFUNCTION("VLOOKUP(G6, IMPORTRANGE(""https://docs.google.com/spreadsheets/d/14deopnvwcrKtEGCKuYXdUHJbeLDZlkiSSWWT0g7x2pM/edit#gid=849066331"", ""LU List Science (Filter)!A:B""), 2, FALSE)"),"General Properties of Matter in Solid state")</f>
        <v>General Properties of Matter in Solid state</v>
      </c>
      <c r="I6" s="10" t="str">
        <f t="shared" si="0"/>
        <v>LU006199.001</v>
      </c>
      <c r="J6" s="10" t="str">
        <f ca="1">IFERROR(__xludf.DUMMYFUNCTION("VLOOKUP(I6, IMPORTRANGE(""https://docs.google.com/spreadsheets/d/1yDAaXNsi4Mr5FtRQL4tbmSdIzhx6_m4wkOD7IG-k_eo/edit#gid=1336395716"", ""Science!M:N""), 2, FALSE)"),"List the key properties of solids, such as definite shape, fixed volume, high density, rigidity, incompressibility, low diffusion rate, and strong intermolecular forces")</f>
        <v>List the key properties of solids, such as definite shape, fixed volume, high density, rigidity, incompressibility, low diffusion rate, and strong intermolecular forces</v>
      </c>
      <c r="K6" s="10" t="str">
        <f t="shared" si="1"/>
        <v>LU006199.002</v>
      </c>
      <c r="L6" s="10" t="str">
        <f ca="1">IFERROR(__xludf.DUMMYFUNCTION("VLOOKUP(K6, IMPORTRANGE(""https://docs.google.com/spreadsheets/d/1yDAaXNsi4Mr5FtRQL4tbmSdIzhx6_m4wkOD7IG-k_eo/edit#gid=1336395716"", ""Science!M:N""), 2, FALSE)"),"Explain why solids have a definite shape and volume by describing the arrangement and interaction of particles in the solid state")</f>
        <v>Explain why solids have a definite shape and volume by describing the arrangement and interaction of particles in the solid state</v>
      </c>
      <c r="M6" s="10" t="str">
        <f t="shared" si="2"/>
        <v>LU006199.003</v>
      </c>
      <c r="N6" s="10" t="str">
        <f ca="1">IFERROR(__xludf.DUMMYFUNCTION("VLOOKUP(M6, IMPORTRANGE(""https://docs.google.com/spreadsheets/d/1yDAaXNsi4Mr5FtRQL4tbmSdIzhx6_m4wkOD7IG-k_eo/edit#gid=1336395716"", ""Science!M:N""), 2, FALSE)"),"Demonstrate the incompressibility of solids by performing a simple experiment using a sponge, an iron nail, and a piece of chalk, and recording their observations")</f>
        <v>Demonstrate the incompressibility of solids by performing a simple experiment using a sponge, an iron nail, and a piece of chalk, and recording their observations</v>
      </c>
      <c r="O6" s="10" t="str">
        <f t="shared" si="3"/>
        <v>LU006199.004</v>
      </c>
      <c r="P6" s="10" t="str">
        <f ca="1">IFERROR(__xludf.DUMMYFUNCTION("VLOOKUP(O6, IMPORTRANGE(""https://docs.google.com/spreadsheets/d/1yDAaXNsi4Mr5FtRQL4tbmSdIzhx6_m4wkOD7IG-k_eo/edit#gid=1336395716"", ""Science!M:N""), 2, FALSE)"),"Compare and contrast the properties of solids with those of liquids and gases, identifying key differences and similarities in terms of particle arrangement and movement")</f>
        <v>Compare and contrast the properties of solids with those of liquids and gases, identifying key differences and similarities in terms of particle arrangement and movement</v>
      </c>
      <c r="Q6" s="10" t="str">
        <f t="shared" si="4"/>
        <v>LU006199.005</v>
      </c>
      <c r="R6" s="10" t="str">
        <f ca="1">IFERROR(__xludf.DUMMYFUNCTION("VLOOKUP(Q6, IMPORTRANGE(""https://docs.google.com/spreadsheets/d/1yDAaXNsi4Mr5FtRQL4tbmSdIzhx6_m4wkOD7IG-k_eo/edit#gid=1336395716"", ""Science!M:N""), 2, FALSE)"),"Assess the suitability of different materials (e.g., rubber band, sugar, sponge) for specific applications based on their solid-state properties, providing justification for their choices")</f>
        <v>Assess the suitability of different materials (e.g., rubber band, sugar, sponge) for specific applications based on their solid-state properties, providing justification for their choices</v>
      </c>
      <c r="S6" s="10" t="str">
        <f t="shared" si="5"/>
        <v>LU006199.006</v>
      </c>
      <c r="T6" s="10" t="str">
        <f ca="1">IFERROR(__xludf.DUMMYFUNCTION("VLOOKUP(S6, IMPORTRANGE(""https://docs.google.com/spreadsheets/d/1yDAaXNsi4Mr5FtRQL4tbmSdIzhx6_m4wkOD7IG-k_eo/edit#gid=1336395716"", ""Science!M:N""), 2, FALSE)"),"Design a simple model or experiment to visually demonstrate the rigidity and incompressibility of solids, and present the model to the class, explaining the scientific principles it illustrates")</f>
        <v>Design a simple model or experiment to visually demonstrate the rigidity and incompressibility of solids, and present the model to the class, explaining the scientific principles it illustrates</v>
      </c>
      <c r="U6" s="11" t="str">
        <f ca="1">IFERROR(__xludf.DUMMYFUNCTION("ArrayFormula(VLOOKUP(G6, IMPORTRANGE(""https://docs.google.com/spreadsheets/d/1p7R4vtkWt5VOBim4ltsDG9KTzSjrtKXsMtQGXPHyND0/edit#gid=795171502"", ""'Filter 30_05_2024'!A1:M2000""), {2, 3, 4, 5,6,7,8,9,10,11,12,13}, 0))"),"#N/A")</f>
        <v>#N/A</v>
      </c>
      <c r="V6" s="11" t="str">
        <f ca="1">IFERROR(__xludf.DUMMYFUNCTION("""COMPUTED_VALUE"""),"#N/A")</f>
        <v>#N/A</v>
      </c>
      <c r="W6" s="11" t="str">
        <f ca="1">IFERROR(__xludf.DUMMYFUNCTION("""COMPUTED_VALUE"""),"#N/A")</f>
        <v>#N/A</v>
      </c>
      <c r="X6" s="11" t="str">
        <f ca="1">IFERROR(__xludf.DUMMYFUNCTION("""COMPUTED_VALUE"""),"#N/A")</f>
        <v>#N/A</v>
      </c>
      <c r="Y6" s="11" t="str">
        <f ca="1">IFERROR(__xludf.DUMMYFUNCTION("""COMPUTED_VALUE"""),"#N/A")</f>
        <v>#N/A</v>
      </c>
      <c r="Z6" s="12" t="str">
        <f ca="1">IFERROR(__xludf.DUMMYFUNCTION("""COMPUTED_VALUE"""),"#N/A")</f>
        <v>#N/A</v>
      </c>
      <c r="AA6" s="12" t="str">
        <f ca="1">IFERROR(__xludf.DUMMYFUNCTION("""COMPUTED_VALUE"""),"#N/A")</f>
        <v>#N/A</v>
      </c>
      <c r="AB6" s="12" t="str">
        <f ca="1">IFERROR(__xludf.DUMMYFUNCTION("""COMPUTED_VALUE"""),"#N/A")</f>
        <v>#N/A</v>
      </c>
      <c r="AC6" s="12" t="str">
        <f ca="1">IFERROR(__xludf.DUMMYFUNCTION("""COMPUTED_VALUE"""),"#N/A")</f>
        <v>#N/A</v>
      </c>
      <c r="AD6" s="12" t="str">
        <f ca="1">IFERROR(__xludf.DUMMYFUNCTION("""COMPUTED_VALUE"""),"#N/A")</f>
        <v>#N/A</v>
      </c>
      <c r="AE6" s="12" t="str">
        <f ca="1">IFERROR(__xludf.DUMMYFUNCTION("""COMPUTED_VALUE"""),"#N/A")</f>
        <v>#N/A</v>
      </c>
      <c r="AF6" s="12" t="str">
        <f ca="1">IFERROR(__xludf.DUMMYFUNCTION("""COMPUTED_VALUE"""),"#N/A")</f>
        <v>#N/A</v>
      </c>
      <c r="AG6" s="13" t="str">
        <f ca="1">IFERROR(__xludf.DUMMYFUNCTION("ArrayFormula(VLOOKUP(G6, IMPORTRANGE(""https://docs.google.com/spreadsheets/d/1Co934fvtviyaRiMsrIlT05Jaq7iiYq07aLvRr35KA48/edit?gid=173865642#gid=173865642"", ""'G9 Sci_Pri_LU'!G2:V2000""), {3, 4, 5, 6, 7, 8, 9, 10, 11, 12, 13, 14, 15, 16}, 0))"),"LU006198")</f>
        <v>LU006198</v>
      </c>
      <c r="AH6" s="22" t="str">
        <f ca="1">IFERROR(__xludf.DUMMYFUNCTION("""COMPUTED_VALUE"""),"Particles of Matter Attract Each Other")</f>
        <v>Particles of Matter Attract Each Other</v>
      </c>
      <c r="AI6" s="13"/>
      <c r="AJ6" s="13"/>
      <c r="AK6" s="13"/>
      <c r="AL6" s="13"/>
      <c r="AM6" s="13"/>
      <c r="AN6" s="13"/>
      <c r="AO6" s="13"/>
      <c r="AP6" s="13"/>
      <c r="AQ6" s="13"/>
      <c r="AR6" s="13"/>
      <c r="AS6" s="13"/>
      <c r="AT6" s="13"/>
    </row>
    <row r="7" spans="1:46">
      <c r="A7" s="8" t="s">
        <v>247</v>
      </c>
      <c r="B7" s="8" t="s">
        <v>47</v>
      </c>
      <c r="C7" s="8" t="s">
        <v>979</v>
      </c>
      <c r="D7" s="8" t="s">
        <v>1441</v>
      </c>
      <c r="E7" s="8" t="s">
        <v>2230</v>
      </c>
      <c r="F7" s="9" t="s">
        <v>2237</v>
      </c>
      <c r="G7" s="114" t="s">
        <v>2239</v>
      </c>
      <c r="H7" s="8" t="str">
        <f ca="1">IFERROR(__xludf.DUMMYFUNCTION("VLOOKUP(G7, IMPORTRANGE(""https://docs.google.com/spreadsheets/d/14deopnvwcrKtEGCKuYXdUHJbeLDZlkiSSWWT0g7x2pM/edit#gid=849066331"", ""LU List Science (Filter)!A:B""), 2, FALSE)"),"General Properties of Matter in Liquid State")</f>
        <v>General Properties of Matter in Liquid State</v>
      </c>
      <c r="I7" s="10" t="str">
        <f t="shared" si="0"/>
        <v>LU006200.001</v>
      </c>
      <c r="J7" s="10" t="str">
        <f ca="1">IFERROR(__xludf.DUMMYFUNCTION("VLOOKUP(I7, IMPORTRANGE(""https://docs.google.com/spreadsheets/d/1yDAaXNsi4Mr5FtRQL4tbmSdIzhx6_m4wkOD7IG-k_eo/edit#gid=1336395716"", ""Science!M:N""), 2, FALSE)"),"List the general properties of liquids such as having a fixed volume, no fixed shape, and the ability to flow.")</f>
        <v>List the general properties of liquids such as having a fixed volume, no fixed shape, and the ability to flow.</v>
      </c>
      <c r="K7" s="10" t="str">
        <f t="shared" si="1"/>
        <v>LU006200.002</v>
      </c>
      <c r="L7" s="10" t="str">
        <f ca="1">IFERROR(__xludf.DUMMYFUNCTION("VLOOKUP(K7, IMPORTRANGE(""https://docs.google.com/spreadsheets/d/1yDAaXNsi4Mr5FtRQL4tbmSdIzhx6_m4wkOD7IG-k_eo/edit#gid=1336395716"", ""Science!M:N""), 2, FALSE)"),"Explain why liquids take the shape of their container but retain a fixed volume.")</f>
        <v>Explain why liquids take the shape of their container but retain a fixed volume.</v>
      </c>
      <c r="M7" s="10" t="str">
        <f t="shared" si="2"/>
        <v>LU006200.003</v>
      </c>
      <c r="N7" s="10" t="str">
        <f ca="1">IFERROR(__xludf.DUMMYFUNCTION("VLOOKUP(M7, IMPORTRANGE(""https://docs.google.com/spreadsheets/d/1yDAaXNsi4Mr5FtRQL4tbmSdIzhx6_m4wkOD7IG-k_eo/edit#gid=1336395716"", ""Science!M:N""), 2, FALSE)"),"Demonstrate the fluidity of liquids by transferring a liquid from one container to another and observing its shape change.")</f>
        <v>Demonstrate the fluidity of liquids by transferring a liquid from one container to another and observing its shape change.</v>
      </c>
      <c r="O7" s="10" t="str">
        <f t="shared" si="3"/>
        <v>LU006200.004</v>
      </c>
      <c r="P7" s="10" t="str">
        <f ca="1">IFERROR(__xludf.DUMMYFUNCTION("VLOOKUP(O7, IMPORTRANGE(""https://docs.google.com/spreadsheets/d/1yDAaXNsi4Mr5FtRQL4tbmSdIzhx6_m4wkOD7IG-k_eo/edit#gid=1336395716"", ""Science!M:N""), 2, FALSE)"),"Differentiate between the diffusion rates of solids and liquids using examples from everyday life.")</f>
        <v>Differentiate between the diffusion rates of solids and liquids using examples from everyday life.</v>
      </c>
      <c r="Q7" s="10" t="str">
        <f t="shared" si="4"/>
        <v>LU006200.005</v>
      </c>
      <c r="R7" s="10" t="str">
        <f ca="1">IFERROR(__xludf.DUMMYFUNCTION("VLOOKUP(Q7, IMPORTRANGE(""https://docs.google.com/spreadsheets/d/1yDAaXNsi4Mr5FtRQL4tbmSdIzhx6_m4wkOD7IG-k_eo/edit#gid=1336395716"", ""Science!M:N""), 2, FALSE)"),"Evaluate the importance of liquids' ability to diffuse gases, such as oxygen and carbon dioxide, for aquatic life.")</f>
        <v>Evaluate the importance of liquids' ability to diffuse gases, such as oxygen and carbon dioxide, for aquatic life.</v>
      </c>
      <c r="S7" s="10" t="str">
        <f t="shared" si="5"/>
        <v>LU006200.006</v>
      </c>
      <c r="T7" s="10" t="str">
        <f ca="1">IFERROR(__xludf.DUMMYFUNCTION("VLOOKUP(S7, IMPORTRANGE(""https://docs.google.com/spreadsheets/d/1yDAaXNsi4Mr5FtRQL4tbmSdIzhx6_m4wkOD7IG-k_eo/edit#gid=1336395716"", ""Science!M:N""), 2, FALSE)"),"Design an experiment to measure the effect of temperature on the diffusion rate of a liquid.")</f>
        <v>Design an experiment to measure the effect of temperature on the diffusion rate of a liquid.</v>
      </c>
      <c r="U7" s="11" t="str">
        <f ca="1">IFERROR(__xludf.DUMMYFUNCTION("ArrayFormula(VLOOKUP(G7, IMPORTRANGE(""https://docs.google.com/spreadsheets/d/1p7R4vtkWt5VOBim4ltsDG9KTzSjrtKXsMtQGXPHyND0/edit#gid=795171502"", ""'Filter 30_05_2024'!A1:M2000""), {2, 3, 4, 5,6,7,8,9,10,11,12,13}, 0))"),"#N/A")</f>
        <v>#N/A</v>
      </c>
      <c r="V7" s="11" t="str">
        <f ca="1">IFERROR(__xludf.DUMMYFUNCTION("""COMPUTED_VALUE"""),"#N/A")</f>
        <v>#N/A</v>
      </c>
      <c r="W7" s="11" t="str">
        <f ca="1">IFERROR(__xludf.DUMMYFUNCTION("""COMPUTED_VALUE"""),"#N/A")</f>
        <v>#N/A</v>
      </c>
      <c r="X7" s="11" t="str">
        <f ca="1">IFERROR(__xludf.DUMMYFUNCTION("""COMPUTED_VALUE"""),"#N/A")</f>
        <v>#N/A</v>
      </c>
      <c r="Y7" s="11" t="str">
        <f ca="1">IFERROR(__xludf.DUMMYFUNCTION("""COMPUTED_VALUE"""),"#N/A")</f>
        <v>#N/A</v>
      </c>
      <c r="Z7" s="12" t="str">
        <f ca="1">IFERROR(__xludf.DUMMYFUNCTION("""COMPUTED_VALUE"""),"#N/A")</f>
        <v>#N/A</v>
      </c>
      <c r="AA7" s="12" t="str">
        <f ca="1">IFERROR(__xludf.DUMMYFUNCTION("""COMPUTED_VALUE"""),"#N/A")</f>
        <v>#N/A</v>
      </c>
      <c r="AB7" s="12" t="str">
        <f ca="1">IFERROR(__xludf.DUMMYFUNCTION("""COMPUTED_VALUE"""),"#N/A")</f>
        <v>#N/A</v>
      </c>
      <c r="AC7" s="12" t="str">
        <f ca="1">IFERROR(__xludf.DUMMYFUNCTION("""COMPUTED_VALUE"""),"#N/A")</f>
        <v>#N/A</v>
      </c>
      <c r="AD7" s="12" t="str">
        <f ca="1">IFERROR(__xludf.DUMMYFUNCTION("""COMPUTED_VALUE"""),"#N/A")</f>
        <v>#N/A</v>
      </c>
      <c r="AE7" s="12" t="str">
        <f ca="1">IFERROR(__xludf.DUMMYFUNCTION("""COMPUTED_VALUE"""),"#N/A")</f>
        <v>#N/A</v>
      </c>
      <c r="AF7" s="12" t="str">
        <f ca="1">IFERROR(__xludf.DUMMYFUNCTION("""COMPUTED_VALUE"""),"#N/A")</f>
        <v>#N/A</v>
      </c>
      <c r="AG7" s="13" t="str">
        <f ca="1">IFERROR(__xludf.DUMMYFUNCTION("ArrayFormula(VLOOKUP(G7, IMPORTRANGE(""https://docs.google.com/spreadsheets/d/1Co934fvtviyaRiMsrIlT05Jaq7iiYq07aLvRr35KA48/edit?gid=173865642#gid=173865642"", ""'G9 Sci_Pri_LU'!G2:V2000""), {3, 4, 5, 6, 7, 8, 9, 10, 11, 12, 13, 14, 15, 16}, 0))"),"LU006199")</f>
        <v>LU006199</v>
      </c>
      <c r="AH7" s="22" t="str">
        <f ca="1">IFERROR(__xludf.DUMMYFUNCTION("""COMPUTED_VALUE"""),"General Properties of Matter in Solid state")</f>
        <v>General Properties of Matter in Solid state</v>
      </c>
      <c r="AI7" s="13"/>
      <c r="AJ7" s="13"/>
      <c r="AK7" s="13"/>
      <c r="AL7" s="13"/>
      <c r="AM7" s="13"/>
      <c r="AN7" s="13"/>
      <c r="AO7" s="13"/>
      <c r="AP7" s="13"/>
      <c r="AQ7" s="13"/>
      <c r="AR7" s="13"/>
      <c r="AS7" s="13"/>
      <c r="AT7" s="13"/>
    </row>
    <row r="8" spans="1:46">
      <c r="A8" s="8" t="s">
        <v>247</v>
      </c>
      <c r="B8" s="8" t="s">
        <v>47</v>
      </c>
      <c r="C8" s="8" t="s">
        <v>979</v>
      </c>
      <c r="D8" s="8" t="s">
        <v>1441</v>
      </c>
      <c r="E8" s="8" t="s">
        <v>2230</v>
      </c>
      <c r="F8" s="9" t="s">
        <v>2237</v>
      </c>
      <c r="G8" s="114" t="s">
        <v>2240</v>
      </c>
      <c r="H8" s="8" t="str">
        <f ca="1">IFERROR(__xludf.DUMMYFUNCTION("VLOOKUP(G8, IMPORTRANGE(""https://docs.google.com/spreadsheets/d/14deopnvwcrKtEGCKuYXdUHJbeLDZlkiSSWWT0g7x2pM/edit#gid=849066331"", ""LU List Science (Filter)!A:B""), 2, FALSE)"),"General Properties of Matter in Gaseous State")</f>
        <v>General Properties of Matter in Gaseous State</v>
      </c>
      <c r="I8" s="10" t="str">
        <f t="shared" si="0"/>
        <v>LU006201.001</v>
      </c>
      <c r="J8" s="10" t="str">
        <f ca="1">IFERROR(__xludf.DUMMYFUNCTION("VLOOKUP(I8, IMPORTRANGE(""https://docs.google.com/spreadsheets/d/1yDAaXNsi4Mr5FtRQL4tbmSdIzhx6_m4wkOD7IG-k_eo/edit#gid=1336395716"", ""Science!M:N""), 2, FALSE)"),"List the general properties of gases such as having no fixed shape or volume, and high compressibility.")</f>
        <v>List the general properties of gases such as having no fixed shape or volume, and high compressibility.</v>
      </c>
      <c r="K8" s="10" t="str">
        <f t="shared" si="1"/>
        <v>LU006201.002</v>
      </c>
      <c r="L8" s="10" t="str">
        <f ca="1">IFERROR(__xludf.DUMMYFUNCTION("VLOOKUP(K8, IMPORTRANGE(""https://docs.google.com/spreadsheets/d/1yDAaXNsi4Mr5FtRQL4tbmSdIzhx6_m4wkOD7IG-k_eo/edit#gid=1336395716"", ""Science!M:N""), 2, FALSE)"),"Explain why gases can fill any container regardless of its shape or size.")</f>
        <v>Explain why gases can fill any container regardless of its shape or size.</v>
      </c>
      <c r="M8" s="10" t="str">
        <f t="shared" si="2"/>
        <v>LU006201.003</v>
      </c>
      <c r="N8" s="10" t="str">
        <f ca="1">IFERROR(__xludf.DUMMYFUNCTION("VLOOKUP(M8, IMPORTRANGE(""https://docs.google.com/spreadsheets/d/1yDAaXNsi4Mr5FtRQL4tbmSdIzhx6_m4wkOD7IG-k_eo/edit#gid=1336395716"", ""Science!M:N""), 2, FALSE)"),"Demonstrate the compressibility of gases using a syringe experiment.")</f>
        <v>Demonstrate the compressibility of gases using a syringe experiment.</v>
      </c>
      <c r="O8" s="10" t="str">
        <f t="shared" si="3"/>
        <v>LU006201.004</v>
      </c>
      <c r="P8" s="10" t="str">
        <f ca="1">IFERROR(__xludf.DUMMYFUNCTION("VLOOKUP(O8, IMPORTRANGE(""https://docs.google.com/spreadsheets/d/1yDAaXNsi4Mr5FtRQL4tbmSdIzhx6_m4wkOD7IG-k_eo/edit#gid=1336395716"", ""Science!M:N""), 2, FALSE)"),"Differentiate between the diffusion rates of gases, liquids, and solids using examples from everyday life.")</f>
        <v>Differentiate between the diffusion rates of gases, liquids, and solids using examples from everyday life.</v>
      </c>
      <c r="Q8" s="10" t="str">
        <f t="shared" si="4"/>
        <v>LU006201.005</v>
      </c>
      <c r="R8" s="10" t="str">
        <f ca="1">IFERROR(__xludf.DUMMYFUNCTION("VLOOKUP(Q8, IMPORTRANGE(""https://docs.google.com/spreadsheets/d/1yDAaXNsi4Mr5FtRQL4tbmSdIzhx6_m4wkOD7IG-k_eo/edit#gid=1336395716"", ""Science!M:N""), 2, FALSE)"),"Evaluate the impact of gas diffusion on the distribution of scents in a room.")</f>
        <v>Evaluate the impact of gas diffusion on the distribution of scents in a room.</v>
      </c>
      <c r="S8" s="10" t="str">
        <f t="shared" si="5"/>
        <v>LU006201.006</v>
      </c>
      <c r="T8" s="10" t="str">
        <f ca="1">IFERROR(__xludf.DUMMYFUNCTION("VLOOKUP(S8, IMPORTRANGE(""https://docs.google.com/spreadsheets/d/1yDAaXNsi4Mr5FtRQL4tbmSdIzhx6_m4wkOD7IG-k_eo/edit#gid=1336395716"", ""Science!M:N""), 2, FALSE)"),"Design an experiment to measure the effect of temperature on the pressure exerted by a gas in a closed container.")</f>
        <v>Design an experiment to measure the effect of temperature on the pressure exerted by a gas in a closed container.</v>
      </c>
      <c r="U8" s="11" t="str">
        <f ca="1">IFERROR(__xludf.DUMMYFUNCTION("ArrayFormula(VLOOKUP(G8, IMPORTRANGE(""https://docs.google.com/spreadsheets/d/1p7R4vtkWt5VOBim4ltsDG9KTzSjrtKXsMtQGXPHyND0/edit#gid=795171502"", ""'Filter 30_05_2024'!A1:M2000""), {2, 3, 4, 5,6,7,8,9,10,11,12,13}, 0))"),"#N/A")</f>
        <v>#N/A</v>
      </c>
      <c r="V8" s="11" t="str">
        <f ca="1">IFERROR(__xludf.DUMMYFUNCTION("""COMPUTED_VALUE"""),"#N/A")</f>
        <v>#N/A</v>
      </c>
      <c r="W8" s="11" t="str">
        <f ca="1">IFERROR(__xludf.DUMMYFUNCTION("""COMPUTED_VALUE"""),"#N/A")</f>
        <v>#N/A</v>
      </c>
      <c r="X8" s="11" t="str">
        <f ca="1">IFERROR(__xludf.DUMMYFUNCTION("""COMPUTED_VALUE"""),"#N/A")</f>
        <v>#N/A</v>
      </c>
      <c r="Y8" s="11" t="str">
        <f ca="1">IFERROR(__xludf.DUMMYFUNCTION("""COMPUTED_VALUE"""),"#N/A")</f>
        <v>#N/A</v>
      </c>
      <c r="Z8" s="12" t="str">
        <f ca="1">IFERROR(__xludf.DUMMYFUNCTION("""COMPUTED_VALUE"""),"#N/A")</f>
        <v>#N/A</v>
      </c>
      <c r="AA8" s="12" t="str">
        <f ca="1">IFERROR(__xludf.DUMMYFUNCTION("""COMPUTED_VALUE"""),"#N/A")</f>
        <v>#N/A</v>
      </c>
      <c r="AB8" s="12" t="str">
        <f ca="1">IFERROR(__xludf.DUMMYFUNCTION("""COMPUTED_VALUE"""),"#N/A")</f>
        <v>#N/A</v>
      </c>
      <c r="AC8" s="12" t="str">
        <f ca="1">IFERROR(__xludf.DUMMYFUNCTION("""COMPUTED_VALUE"""),"#N/A")</f>
        <v>#N/A</v>
      </c>
      <c r="AD8" s="12" t="str">
        <f ca="1">IFERROR(__xludf.DUMMYFUNCTION("""COMPUTED_VALUE"""),"#N/A")</f>
        <v>#N/A</v>
      </c>
      <c r="AE8" s="12" t="str">
        <f ca="1">IFERROR(__xludf.DUMMYFUNCTION("""COMPUTED_VALUE"""),"#N/A")</f>
        <v>#N/A</v>
      </c>
      <c r="AF8" s="12" t="str">
        <f ca="1">IFERROR(__xludf.DUMMYFUNCTION("""COMPUTED_VALUE"""),"#N/A")</f>
        <v>#N/A</v>
      </c>
      <c r="AG8" s="13" t="str">
        <f ca="1">IFERROR(__xludf.DUMMYFUNCTION("ArrayFormula(VLOOKUP(G8, IMPORTRANGE(""https://docs.google.com/spreadsheets/d/1Co934fvtviyaRiMsrIlT05Jaq7iiYq07aLvRr35KA48/edit?gid=173865642#gid=173865642"", ""'G9 Sci_Pri_LU'!G2:V2000""), {3, 4, 5, 6, 7, 8, 9, 10, 11, 12, 13, 14, 15, 16}, 0))"),"LU006200")</f>
        <v>LU006200</v>
      </c>
      <c r="AH8" s="22" t="str">
        <f ca="1">IFERROR(__xludf.DUMMYFUNCTION("""COMPUTED_VALUE"""),"General Properties of Matter in Liquid State")</f>
        <v>General Properties of Matter in Liquid State</v>
      </c>
      <c r="AI8" s="13"/>
      <c r="AJ8" s="13"/>
      <c r="AK8" s="13"/>
      <c r="AL8" s="13"/>
      <c r="AM8" s="13"/>
      <c r="AN8" s="13"/>
      <c r="AO8" s="13"/>
      <c r="AP8" s="13"/>
      <c r="AQ8" s="13"/>
      <c r="AR8" s="13"/>
      <c r="AS8" s="13"/>
      <c r="AT8" s="13"/>
    </row>
    <row r="9" spans="1:46">
      <c r="A9" s="8" t="s">
        <v>247</v>
      </c>
      <c r="B9" s="8" t="s">
        <v>47</v>
      </c>
      <c r="C9" s="8" t="s">
        <v>979</v>
      </c>
      <c r="D9" s="8" t="s">
        <v>1441</v>
      </c>
      <c r="E9" s="8" t="s">
        <v>2230</v>
      </c>
      <c r="F9" s="117" t="s">
        <v>2241</v>
      </c>
      <c r="G9" s="9" t="s">
        <v>2242</v>
      </c>
      <c r="H9" s="8" t="str">
        <f ca="1">IFERROR(__xludf.DUMMYFUNCTION("VLOOKUP(G9, IMPORTRANGE(""https://docs.google.com/spreadsheets/d/14deopnvwcrKtEGCKuYXdUHJbeLDZlkiSSWWT0g7x2pM/edit#gid=849066331"", ""LU List Science (Filter)!A:B""), 2, FALSE)"),"Comparion of Particle Arrangements in the Three State of Matter")</f>
        <v>Comparion of Particle Arrangements in the Three State of Matter</v>
      </c>
      <c r="I9" s="10" t="str">
        <f t="shared" si="0"/>
        <v>LU005312.001</v>
      </c>
      <c r="J9" s="10" t="str">
        <f ca="1">IFERROR(__xludf.DUMMYFUNCTION("VLOOKUP(I9, IMPORTRANGE(""https://docs.google.com/spreadsheets/d/1yDAaXNsi4Mr5FtRQL4tbmSdIzhx6_m4wkOD7IG-k_eo/edit#gid=1336395716"", ""Science!M:N""), 2, FALSE)"),"Students will recite the definitions of the particle arrangement in solids, liquids, and gases.")</f>
        <v>Students will recite the definitions of the particle arrangement in solids, liquids, and gases.</v>
      </c>
      <c r="K9" s="10" t="str">
        <f t="shared" si="1"/>
        <v>LU005312.002</v>
      </c>
      <c r="L9" s="10" t="str">
        <f ca="1">IFERROR(__xludf.DUMMYFUNCTION("VLOOKUP(K9, IMPORTRANGE(""https://docs.google.com/spreadsheets/d/1yDAaXNsi4Mr5FtRQL4tbmSdIzhx6_m4wkOD7IG-k_eo/edit#gid=1336395716"", ""Science!M:N""), 2, FALSE)"),"Students will interpret diagrams showing particle arrangements in solids, liquids, and gases.")</f>
        <v>Students will interpret diagrams showing particle arrangements in solids, liquids, and gases.</v>
      </c>
      <c r="M9" s="10" t="str">
        <f t="shared" si="2"/>
        <v>LU005312.003</v>
      </c>
      <c r="N9" s="10" t="str">
        <f ca="1">IFERROR(__xludf.DUMMYFUNCTION("VLOOKUP(M9, IMPORTRANGE(""https://docs.google.com/spreadsheets/d/1yDAaXNsi4Mr5FtRQL4tbmSdIzhx6_m4wkOD7IG-k_eo/edit#gid=1336395716"", ""Science!M:N""), 2, FALSE)"),"Students will demonstrate the particle arrangements of solids, liquids, and gases using models or simulations.")</f>
        <v>Students will demonstrate the particle arrangements of solids, liquids, and gases using models or simulations.</v>
      </c>
      <c r="O9" s="10" t="str">
        <f t="shared" si="3"/>
        <v>LU005312.004</v>
      </c>
      <c r="P9" s="10" t="str">
        <f ca="1">IFERROR(__xludf.DUMMYFUNCTION("VLOOKUP(O9, IMPORTRANGE(""https://docs.google.com/spreadsheets/d/1yDAaXNsi4Mr5FtRQL4tbmSdIzhx6_m4wkOD7IG-k_eo/edit#gid=1336395716"", ""Science!M:N""), 2, FALSE)"),"Students will differentiate between the particle arrangements in solids, liquids, and gases by examining their properties.")</f>
        <v>Students will differentiate between the particle arrangements in solids, liquids, and gases by examining their properties.</v>
      </c>
      <c r="Q9" s="10" t="str">
        <f t="shared" si="4"/>
        <v>LU005312.005</v>
      </c>
      <c r="R9" s="10" t="str">
        <f ca="1">IFERROR(__xludf.DUMMYFUNCTION("VLOOKUP(Q9, IMPORTRANGE(""https://docs.google.com/spreadsheets/d/1yDAaXNsi4Mr5FtRQL4tbmSdIzhx6_m4wkOD7IG-k_eo/edit#gid=1336395716"", ""Science!M:N""), 2, FALSE)"),"Students will justify the suitability of different states of matter for various applications based on particle arrangement.")</f>
        <v>Students will justify the suitability of different states of matter for various applications based on particle arrangement.</v>
      </c>
      <c r="S9" s="10" t="str">
        <f t="shared" si="5"/>
        <v>LU005312.006</v>
      </c>
      <c r="T9" s="10" t="str">
        <f ca="1">IFERROR(__xludf.DUMMYFUNCTION("VLOOKUP(S9, IMPORTRANGE(""https://docs.google.com/spreadsheets/d/1yDAaXNsi4Mr5FtRQL4tbmSdIzhx6_m4wkOD7IG-k_eo/edit#gid=1336395716"", ""Science!M:N""), 2, FALSE)"),"Students will design an experiment that shows the change in particle arrangement when matter transitions between solid, liquid, and gas states.")</f>
        <v>Students will design an experiment that shows the change in particle arrangement when matter transitions between solid, liquid, and gas states.</v>
      </c>
      <c r="U9" s="11" t="str">
        <f ca="1">IFERROR(__xludf.DUMMYFUNCTION("ArrayFormula(VLOOKUP(G9, IMPORTRANGE(""https://docs.google.com/spreadsheets/d/1p7R4vtkWt5VOBim4ltsDG9KTzSjrtKXsMtQGXPHyND0/edit#gid=795171502"", ""'Filter 30_05_2024'!A1:M2000""), {2, 3, 4, 5,6,7,8,9,10,11,12,13}, 0))"),"#N/A")</f>
        <v>#N/A</v>
      </c>
      <c r="V9" s="11" t="str">
        <f ca="1">IFERROR(__xludf.DUMMYFUNCTION("""COMPUTED_VALUE"""),"#N/A")</f>
        <v>#N/A</v>
      </c>
      <c r="W9" s="11" t="str">
        <f ca="1">IFERROR(__xludf.DUMMYFUNCTION("""COMPUTED_VALUE"""),"#N/A")</f>
        <v>#N/A</v>
      </c>
      <c r="X9" s="11" t="str">
        <f ca="1">IFERROR(__xludf.DUMMYFUNCTION("""COMPUTED_VALUE"""),"#N/A")</f>
        <v>#N/A</v>
      </c>
      <c r="Y9" s="11" t="str">
        <f ca="1">IFERROR(__xludf.DUMMYFUNCTION("""COMPUTED_VALUE"""),"#N/A")</f>
        <v>#N/A</v>
      </c>
      <c r="Z9" s="12" t="str">
        <f ca="1">IFERROR(__xludf.DUMMYFUNCTION("""COMPUTED_VALUE"""),"#N/A")</f>
        <v>#N/A</v>
      </c>
      <c r="AA9" s="12" t="str">
        <f ca="1">IFERROR(__xludf.DUMMYFUNCTION("""COMPUTED_VALUE"""),"#N/A")</f>
        <v>#N/A</v>
      </c>
      <c r="AB9" s="12" t="str">
        <f ca="1">IFERROR(__xludf.DUMMYFUNCTION("""COMPUTED_VALUE"""),"#N/A")</f>
        <v>#N/A</v>
      </c>
      <c r="AC9" s="12" t="str">
        <f ca="1">IFERROR(__xludf.DUMMYFUNCTION("""COMPUTED_VALUE"""),"#N/A")</f>
        <v>#N/A</v>
      </c>
      <c r="AD9" s="12" t="str">
        <f ca="1">IFERROR(__xludf.DUMMYFUNCTION("""COMPUTED_VALUE"""),"#N/A")</f>
        <v>#N/A</v>
      </c>
      <c r="AE9" s="12" t="str">
        <f ca="1">IFERROR(__xludf.DUMMYFUNCTION("""COMPUTED_VALUE"""),"#N/A")</f>
        <v>#N/A</v>
      </c>
      <c r="AF9" s="12" t="str">
        <f ca="1">IFERROR(__xludf.DUMMYFUNCTION("""COMPUTED_VALUE"""),"#N/A")</f>
        <v>#N/A</v>
      </c>
      <c r="AG9" s="13" t="str">
        <f ca="1">IFERROR(__xludf.DUMMYFUNCTION("ArrayFormula(VLOOKUP(G9, IMPORTRANGE(""https://docs.google.com/spreadsheets/d/1Co934fvtviyaRiMsrIlT05Jaq7iiYq07aLvRr35KA48/edit?gid=173865642#gid=173865642"", ""'G9 Sci_Pri_LU'!G2:V2000""), {3, 4, 5, 6, 7, 8, 9, 10, 11, 12, 13, 14, 15, 16}, 0))"),"LU006201")</f>
        <v>LU006201</v>
      </c>
      <c r="AH9" s="22" t="str">
        <f ca="1">IFERROR(__xludf.DUMMYFUNCTION("""COMPUTED_VALUE"""),"General Properties of Matter in Gaseous State")</f>
        <v>General Properties of Matter in Gaseous State</v>
      </c>
      <c r="AI9" s="13"/>
      <c r="AJ9" s="13"/>
      <c r="AK9" s="13"/>
      <c r="AL9" s="13"/>
      <c r="AM9" s="13"/>
      <c r="AN9" s="13"/>
      <c r="AO9" s="13"/>
      <c r="AP9" s="13"/>
      <c r="AQ9" s="13"/>
      <c r="AR9" s="13"/>
      <c r="AS9" s="13"/>
      <c r="AT9" s="13"/>
    </row>
    <row r="10" spans="1:46">
      <c r="A10" s="8" t="s">
        <v>247</v>
      </c>
      <c r="B10" s="8" t="s">
        <v>47</v>
      </c>
      <c r="C10" s="8" t="s">
        <v>979</v>
      </c>
      <c r="D10" s="8" t="s">
        <v>1441</v>
      </c>
      <c r="E10" s="8" t="s">
        <v>2230</v>
      </c>
      <c r="F10" s="9" t="s">
        <v>2243</v>
      </c>
      <c r="G10" s="114" t="s">
        <v>2244</v>
      </c>
      <c r="H10" s="8" t="str">
        <f ca="1">IFERROR(__xludf.DUMMYFUNCTION("VLOOKUP(G10, IMPORTRANGE(""https://docs.google.com/spreadsheets/d/14deopnvwcrKtEGCKuYXdUHJbeLDZlkiSSWWT0g7x2pM/edit#gid=849066331"", ""LU List Science (Filter)!A:B""), 2, FALSE)"),"Change of State of Matter by Pressure and Temperature")</f>
        <v>Change of State of Matter by Pressure and Temperature</v>
      </c>
      <c r="I10" s="10" t="str">
        <f t="shared" si="0"/>
        <v>LU006202.001</v>
      </c>
      <c r="J10" s="10" t="str">
        <f ca="1">IFERROR(__xludf.DUMMYFUNCTION("VLOOKUP(I10, IMPORTRANGE(""https://docs.google.com/spreadsheets/d/1yDAaXNsi4Mr5FtRQL4tbmSdIzhx6_m4wkOD7IG-k_eo/edit#gid=1336395716"", ""Science!M:N""), 2, FALSE)"),"Recall that matter changes state due to variations in temperature and pressure.")</f>
        <v>Recall that matter changes state due to variations in temperature and pressure.</v>
      </c>
      <c r="K10" s="10" t="str">
        <f t="shared" si="1"/>
        <v>LU006202.002</v>
      </c>
      <c r="L10" s="10" t="str">
        <f ca="1">IFERROR(__xludf.DUMMYFUNCTION("VLOOKUP(K10, IMPORTRANGE(""https://docs.google.com/spreadsheets/d/1yDAaXNsi4Mr5FtRQL4tbmSdIzhx6_m4wkOD7IG-k_eo/edit#gid=1336395716"", ""Science!M:N""), 2, FALSE)"),"Explain how increasing temperature and pressure affects the state of matter.")</f>
        <v>Explain how increasing temperature and pressure affects the state of matter.</v>
      </c>
      <c r="M10" s="10" t="str">
        <f t="shared" si="2"/>
        <v>LU006202.003</v>
      </c>
      <c r="N10" s="10" t="str">
        <f ca="1">IFERROR(__xludf.DUMMYFUNCTION("VLOOKUP(M10, IMPORTRANGE(""https://docs.google.com/spreadsheets/d/1yDAaXNsi4Mr5FtRQL4tbmSdIzhx6_m4wkOD7IG-k_eo/edit#gid=1336395716"", ""Science!M:N""), 2, FALSE)"),"Predict the state of a substance when given specific temperature and pressure conditions.")</f>
        <v>Predict the state of a substance when given specific temperature and pressure conditions.</v>
      </c>
      <c r="O10" s="10" t="str">
        <f t="shared" si="3"/>
        <v>LU006202.004</v>
      </c>
      <c r="P10" s="10" t="str">
        <f ca="1">IFERROR(__xludf.DUMMYFUNCTION("VLOOKUP(O10, IMPORTRANGE(""https://docs.google.com/spreadsheets/d/1yDAaXNsi4Mr5FtRQL4tbmSdIzhx6_m4wkOD7IG-k_eo/edit#gid=1336395716"", ""Science!M:N""), 2, FALSE)"),"Compare and contrast the effects of pressure and temperature on the state of matter.")</f>
        <v>Compare and contrast the effects of pressure and temperature on the state of matter.</v>
      </c>
      <c r="Q10" s="10" t="str">
        <f t="shared" si="4"/>
        <v>LU006202.005</v>
      </c>
      <c r="R10" s="10" t="str">
        <f ca="1">IFERROR(__xludf.DUMMYFUNCTION("VLOOKUP(Q10, IMPORTRANGE(""https://docs.google.com/spreadsheets/d/1yDAaXNsi4Mr5FtRQL4tbmSdIzhx6_m4wkOD7IG-k_eo/edit#gid=1336395716"", ""Science!M:N""), 2, FALSE)"),"Assess the effectiveness of using pressure changes to control the state of matter in industrial applications.")</f>
        <v>Assess the effectiveness of using pressure changes to control the state of matter in industrial applications.</v>
      </c>
      <c r="S10" s="10" t="str">
        <f t="shared" si="5"/>
        <v>LU006202.006</v>
      </c>
      <c r="T10" s="10" t="str">
        <f ca="1">IFERROR(__xludf.DUMMYFUNCTION("VLOOKUP(S10, IMPORTRANGE(""https://docs.google.com/spreadsheets/d/1yDAaXNsi4Mr5FtRQL4tbmSdIzhx6_m4wkOD7IG-k_eo/edit#gid=1336395716"", ""Science!M:N""), 2, FALSE)"),"Design an experiment to demonstrate how changing temperature and pressure can change the state of matter.")</f>
        <v>Design an experiment to demonstrate how changing temperature and pressure can change the state of matter.</v>
      </c>
      <c r="U10" s="11" t="str">
        <f ca="1">IFERROR(__xludf.DUMMYFUNCTION("ArrayFormula(VLOOKUP(G10, IMPORTRANGE(""https://docs.google.com/spreadsheets/d/1p7R4vtkWt5VOBim4ltsDG9KTzSjrtKXsMtQGXPHyND0/edit#gid=795171502"", ""'Filter 30_05_2024'!A1:M2000""), {2, 3, 4, 5,6,7,8,9,10,11,12,13}, 0))"),"#N/A")</f>
        <v>#N/A</v>
      </c>
      <c r="V10" s="11" t="str">
        <f ca="1">IFERROR(__xludf.DUMMYFUNCTION("""COMPUTED_VALUE"""),"#N/A")</f>
        <v>#N/A</v>
      </c>
      <c r="W10" s="11" t="str">
        <f ca="1">IFERROR(__xludf.DUMMYFUNCTION("""COMPUTED_VALUE"""),"#N/A")</f>
        <v>#N/A</v>
      </c>
      <c r="X10" s="11" t="str">
        <f ca="1">IFERROR(__xludf.DUMMYFUNCTION("""COMPUTED_VALUE"""),"#N/A")</f>
        <v>#N/A</v>
      </c>
      <c r="Y10" s="11" t="str">
        <f ca="1">IFERROR(__xludf.DUMMYFUNCTION("""COMPUTED_VALUE"""),"#N/A")</f>
        <v>#N/A</v>
      </c>
      <c r="Z10" s="12" t="str">
        <f ca="1">IFERROR(__xludf.DUMMYFUNCTION("""COMPUTED_VALUE"""),"#N/A")</f>
        <v>#N/A</v>
      </c>
      <c r="AA10" s="12" t="str">
        <f ca="1">IFERROR(__xludf.DUMMYFUNCTION("""COMPUTED_VALUE"""),"#N/A")</f>
        <v>#N/A</v>
      </c>
      <c r="AB10" s="12" t="str">
        <f ca="1">IFERROR(__xludf.DUMMYFUNCTION("""COMPUTED_VALUE"""),"#N/A")</f>
        <v>#N/A</v>
      </c>
      <c r="AC10" s="12" t="str">
        <f ca="1">IFERROR(__xludf.DUMMYFUNCTION("""COMPUTED_VALUE"""),"#N/A")</f>
        <v>#N/A</v>
      </c>
      <c r="AD10" s="12" t="str">
        <f ca="1">IFERROR(__xludf.DUMMYFUNCTION("""COMPUTED_VALUE"""),"#N/A")</f>
        <v>#N/A</v>
      </c>
      <c r="AE10" s="12" t="str">
        <f ca="1">IFERROR(__xludf.DUMMYFUNCTION("""COMPUTED_VALUE"""),"#N/A")</f>
        <v>#N/A</v>
      </c>
      <c r="AF10" s="12" t="str">
        <f ca="1">IFERROR(__xludf.DUMMYFUNCTION("""COMPUTED_VALUE"""),"#N/A")</f>
        <v>#N/A</v>
      </c>
      <c r="AG10" s="13" t="str">
        <f ca="1">IFERROR(__xludf.DUMMYFUNCTION("ArrayFormula(VLOOKUP(G10, IMPORTRANGE(""https://docs.google.com/spreadsheets/d/1Co934fvtviyaRiMsrIlT05Jaq7iiYq07aLvRr35KA48/edit?gid=173865642#gid=173865642"", ""'G9 Sci_Pri_LU'!G2:V2000""), {3, 4, 5, 6, 7, 8, 9, 10, 11, 12, 13, 14, 15, 16}, 0))"),"LU005312")</f>
        <v>LU005312</v>
      </c>
      <c r="AH10" s="22" t="str">
        <f ca="1">IFERROR(__xludf.DUMMYFUNCTION("""COMPUTED_VALUE"""),"Comparion of Particle Arrangements in the Three State of Matter")</f>
        <v>Comparion of Particle Arrangements in the Three State of Matter</v>
      </c>
      <c r="AI10" s="13"/>
      <c r="AJ10" s="13"/>
      <c r="AK10" s="13"/>
      <c r="AL10" s="13"/>
      <c r="AM10" s="13"/>
      <c r="AN10" s="13"/>
      <c r="AO10" s="13"/>
      <c r="AP10" s="13"/>
      <c r="AQ10" s="13"/>
      <c r="AR10" s="13"/>
      <c r="AS10" s="13"/>
      <c r="AT10" s="13"/>
    </row>
    <row r="11" spans="1:46">
      <c r="A11" s="8" t="s">
        <v>247</v>
      </c>
      <c r="B11" s="8" t="s">
        <v>47</v>
      </c>
      <c r="C11" s="8" t="s">
        <v>979</v>
      </c>
      <c r="D11" s="8" t="s">
        <v>1441</v>
      </c>
      <c r="E11" s="8" t="s">
        <v>2230</v>
      </c>
      <c r="F11" s="9" t="s">
        <v>2243</v>
      </c>
      <c r="G11" s="114" t="s">
        <v>2245</v>
      </c>
      <c r="H11" s="8" t="str">
        <f ca="1">IFERROR(__xludf.DUMMYFUNCTION("VLOOKUP(G11, IMPORTRANGE(""https://docs.google.com/spreadsheets/d/14deopnvwcrKtEGCKuYXdUHJbeLDZlkiSSWWT0g7x2pM/edit#gid=849066331"", ""LU List Science (Filter)!A:B""), 2, FALSE)"),"Conversion of temperature units(Celsius and Kelvin scale)")</f>
        <v>Conversion of temperature units(Celsius and Kelvin scale)</v>
      </c>
      <c r="I11" s="10" t="str">
        <f t="shared" si="0"/>
        <v>LU006203.001</v>
      </c>
      <c r="J11" s="10" t="str">
        <f ca="1">IFERROR(__xludf.DUMMYFUNCTION("VLOOKUP(I11, IMPORTRANGE(""https://docs.google.com/spreadsheets/d/1yDAaXNsi4Mr5FtRQL4tbmSdIzhx6_m4wkOD7IG-k_eo/edit#gid=1336395716"", ""Science!M:N""), 2, FALSE)"),"Recall the freezing and boiling points of water on both the Celsius and Kelvin scales.")</f>
        <v>Recall the freezing and boiling points of water on both the Celsius and Kelvin scales.</v>
      </c>
      <c r="K11" s="10" t="str">
        <f t="shared" si="1"/>
        <v>LU006203.002</v>
      </c>
      <c r="L11" s="10" t="str">
        <f ca="1">IFERROR(__xludf.DUMMYFUNCTION("VLOOKUP(K11, IMPORTRANGE(""https://docs.google.com/spreadsheets/d/1yDAaXNsi4Mr5FtRQL4tbmSdIzhx6_m4wkOD7IG-k_eo/edit#gid=1336395716"", ""Science!M:N""), 2, FALSE)"),"Explain the relationship between the Celsius and Kelvin scales.")</f>
        <v>Explain the relationship between the Celsius and Kelvin scales.</v>
      </c>
      <c r="M11" s="10" t="str">
        <f t="shared" si="2"/>
        <v>LU006203.003</v>
      </c>
      <c r="N11" s="10" t="str">
        <f ca="1">IFERROR(__xludf.DUMMYFUNCTION("VLOOKUP(M11, IMPORTRANGE(""https://docs.google.com/spreadsheets/d/1yDAaXNsi4Mr5FtRQL4tbmSdIzhx6_m4wkOD7IG-k_eo/edit#gid=1336395716"", ""Science!M:N""), 2, FALSE)"),"Identify situations where converting temperatures between Celsius and Kelvin scales is necessary, and perform these conversions accurately.")</f>
        <v>Identify situations where converting temperatures between Celsius and Kelvin scales is necessary, and perform these conversions accurately.</v>
      </c>
      <c r="O11" s="10" t="str">
        <f t="shared" si="3"/>
        <v>LU006203.004</v>
      </c>
      <c r="P11" s="10" t="str">
        <f ca="1">IFERROR(__xludf.DUMMYFUNCTION("VLOOKUP(O11, IMPORTRANGE(""https://docs.google.com/spreadsheets/d/1yDAaXNsi4Mr5FtRQL4tbmSdIzhx6_m4wkOD7IG-k_eo/edit#gid=1336395716"", ""Science!M:N""), 2, FALSE)"),"Differentiate between scenarios where using the Kelvin scale is more appropriate than the Celsius scale.")</f>
        <v>Differentiate between scenarios where using the Kelvin scale is more appropriate than the Celsius scale.</v>
      </c>
      <c r="Q11" s="10" t="str">
        <f t="shared" si="4"/>
        <v>LU006203.005</v>
      </c>
      <c r="R11" s="10" t="str">
        <f ca="1">IFERROR(__xludf.DUMMYFUNCTION("VLOOKUP(Q11, IMPORTRANGE(""https://docs.google.com/spreadsheets/d/1yDAaXNsi4Mr5FtRQL4tbmSdIzhx6_m4wkOD7IG-k_eo/edit#gid=1336395716"", ""Science!M:N""), 2, FALSE)"),"Assess the accuracy of temperature conversions between Celsius and Kelvin.")</f>
        <v>Assess the accuracy of temperature conversions between Celsius and Kelvin.</v>
      </c>
      <c r="S11" s="10" t="str">
        <f t="shared" si="5"/>
        <v>LU006203.006</v>
      </c>
      <c r="T11" s="10" t="str">
        <f ca="1">IFERROR(__xludf.DUMMYFUNCTION("VLOOKUP(S11, IMPORTRANGE(""https://docs.google.com/spreadsheets/d/1yDAaXNsi4Mr5FtRQL4tbmSdIzhx6_m4wkOD7IG-k_eo/edit#gid=1336395716"", ""Science!M:N""), 2, FALSE)"),"Design a simple experiment or practical activity that involves converting temperatures between Celsius and Kelvin.")</f>
        <v>Design a simple experiment or practical activity that involves converting temperatures between Celsius and Kelvin.</v>
      </c>
      <c r="U11" s="11" t="str">
        <f ca="1">IFERROR(__xludf.DUMMYFUNCTION("ArrayFormula(VLOOKUP(G11, IMPORTRANGE(""https://docs.google.com/spreadsheets/d/1p7R4vtkWt5VOBim4ltsDG9KTzSjrtKXsMtQGXPHyND0/edit#gid=795171502"", ""'Filter 30_05_2024'!A1:M2000""), {2, 3, 4, 5,6,7,8,9,10,11,12,13}, 0))"),"#N/A")</f>
        <v>#N/A</v>
      </c>
      <c r="V11" s="11" t="str">
        <f ca="1">IFERROR(__xludf.DUMMYFUNCTION("""COMPUTED_VALUE"""),"#N/A")</f>
        <v>#N/A</v>
      </c>
      <c r="W11" s="11" t="str">
        <f ca="1">IFERROR(__xludf.DUMMYFUNCTION("""COMPUTED_VALUE"""),"#N/A")</f>
        <v>#N/A</v>
      </c>
      <c r="X11" s="11" t="str">
        <f ca="1">IFERROR(__xludf.DUMMYFUNCTION("""COMPUTED_VALUE"""),"#N/A")</f>
        <v>#N/A</v>
      </c>
      <c r="Y11" s="11" t="str">
        <f ca="1">IFERROR(__xludf.DUMMYFUNCTION("""COMPUTED_VALUE"""),"#N/A")</f>
        <v>#N/A</v>
      </c>
      <c r="Z11" s="12" t="str">
        <f ca="1">IFERROR(__xludf.DUMMYFUNCTION("""COMPUTED_VALUE"""),"#N/A")</f>
        <v>#N/A</v>
      </c>
      <c r="AA11" s="12" t="str">
        <f ca="1">IFERROR(__xludf.DUMMYFUNCTION("""COMPUTED_VALUE"""),"#N/A")</f>
        <v>#N/A</v>
      </c>
      <c r="AB11" s="12" t="str">
        <f ca="1">IFERROR(__xludf.DUMMYFUNCTION("""COMPUTED_VALUE"""),"#N/A")</f>
        <v>#N/A</v>
      </c>
      <c r="AC11" s="12" t="str">
        <f ca="1">IFERROR(__xludf.DUMMYFUNCTION("""COMPUTED_VALUE"""),"#N/A")</f>
        <v>#N/A</v>
      </c>
      <c r="AD11" s="12" t="str">
        <f ca="1">IFERROR(__xludf.DUMMYFUNCTION("""COMPUTED_VALUE"""),"#N/A")</f>
        <v>#N/A</v>
      </c>
      <c r="AE11" s="12" t="str">
        <f ca="1">IFERROR(__xludf.DUMMYFUNCTION("""COMPUTED_VALUE"""),"#N/A")</f>
        <v>#N/A</v>
      </c>
      <c r="AF11" s="12" t="str">
        <f ca="1">IFERROR(__xludf.DUMMYFUNCTION("""COMPUTED_VALUE"""),"#N/A")</f>
        <v>#N/A</v>
      </c>
      <c r="AG11" s="13" t="str">
        <f ca="1">IFERROR(__xludf.DUMMYFUNCTION("ArrayFormula(VLOOKUP(G11, IMPORTRANGE(""https://docs.google.com/spreadsheets/d/1Co934fvtviyaRiMsrIlT05Jaq7iiYq07aLvRr35KA48/edit?gid=173865642#gid=173865642"", ""'G9 Sci_Pri_LU'!G2:V2000""), {3, 4, 5, 6, 7, 8, 9, 10, 11, 12, 13, 14, 15, 16}, 0))"),"LU006202")</f>
        <v>LU006202</v>
      </c>
      <c r="AH11" s="22" t="str">
        <f ca="1">IFERROR(__xludf.DUMMYFUNCTION("""COMPUTED_VALUE"""),"Change of State of Matter by Pressure and Temperature")</f>
        <v>Change of State of Matter by Pressure and Temperature</v>
      </c>
      <c r="AI11" s="13"/>
      <c r="AJ11" s="13"/>
      <c r="AK11" s="13"/>
      <c r="AL11" s="13"/>
      <c r="AM11" s="13"/>
      <c r="AN11" s="13"/>
      <c r="AO11" s="13"/>
      <c r="AP11" s="13"/>
      <c r="AQ11" s="13"/>
      <c r="AR11" s="13"/>
      <c r="AS11" s="13"/>
      <c r="AT11" s="13"/>
    </row>
    <row r="12" spans="1:46">
      <c r="A12" s="8" t="s">
        <v>247</v>
      </c>
      <c r="B12" s="8" t="s">
        <v>47</v>
      </c>
      <c r="C12" s="8" t="s">
        <v>979</v>
      </c>
      <c r="D12" s="8" t="s">
        <v>1441</v>
      </c>
      <c r="E12" s="8" t="s">
        <v>2230</v>
      </c>
      <c r="F12" s="9" t="s">
        <v>2246</v>
      </c>
      <c r="G12" s="114" t="s">
        <v>2247</v>
      </c>
      <c r="H12" s="8" t="str">
        <f ca="1">IFERROR(__xludf.DUMMYFUNCTION("VLOOKUP(G12, IMPORTRANGE(""https://docs.google.com/spreadsheets/d/14deopnvwcrKtEGCKuYXdUHJbeLDZlkiSSWWT0g7x2pM/edit#gid=849066331"", ""LU List Science (Filter)!A:B""), 2, FALSE)"),"Concept of Melting, Melting point and Latent Heat of Fusion")</f>
        <v>Concept of Melting, Melting point and Latent Heat of Fusion</v>
      </c>
      <c r="I12" s="10" t="str">
        <f t="shared" si="0"/>
        <v>LU006204.001</v>
      </c>
      <c r="J12" s="10" t="str">
        <f ca="1">IFERROR(__xludf.DUMMYFUNCTION("VLOOKUP(I12, IMPORTRANGE(""https://docs.google.com/spreadsheets/d/1yDAaXNsi4Mr5FtRQL4tbmSdIzhx6_m4wkOD7IG-k_eo/edit#gid=1336395716"", ""Science!M:N""), 2, FALSE)"),"Define the terms melting, melting point, and latent heat of fusion.")</f>
        <v>Define the terms melting, melting point, and latent heat of fusion.</v>
      </c>
      <c r="K12" s="10" t="str">
        <f t="shared" si="1"/>
        <v>LU006204.002</v>
      </c>
      <c r="L12" s="10" t="str">
        <f ca="1">IFERROR(__xludf.DUMMYFUNCTION("VLOOKUP(K12, IMPORTRANGE(""https://docs.google.com/spreadsheets/d/1yDAaXNsi4Mr5FtRQL4tbmSdIzhx6_m4wkOD7IG-k_eo/edit#gid=1336395716"", ""Science!M:N""), 2, FALSE)"),"Explain the process of melting and describe the significance of the melting point in phase changes.")</f>
        <v>Explain the process of melting and describe the significance of the melting point in phase changes.</v>
      </c>
      <c r="M12" s="10" t="str">
        <f t="shared" si="2"/>
        <v>LU006204.003</v>
      </c>
      <c r="N12" s="10" t="str">
        <f ca="1">IFERROR(__xludf.DUMMYFUNCTION("VLOOKUP(M12, IMPORTRANGE(""https://docs.google.com/spreadsheets/d/1yDAaXNsi4Mr5FtRQL4tbmSdIzhx6_m4wkOD7IG-k_eo/edit#gid=1336395716"", ""Science!M:N""), 2, FALSE)"),"Identify situations where concept of latent heat of fusion is being used and calculate the amount of energy required to melt a given mass of a solid using the latent heat of fusion.")</f>
        <v>Identify situations where concept of latent heat of fusion is being used and calculate the amount of energy required to melt a given mass of a solid using the latent heat of fusion.</v>
      </c>
      <c r="O12" s="10" t="str">
        <f t="shared" si="3"/>
        <v>LU006204.004</v>
      </c>
      <c r="P12" s="10" t="str">
        <f ca="1">IFERROR(__xludf.DUMMYFUNCTION("VLOOKUP(O12, IMPORTRANGE(""https://docs.google.com/spreadsheets/d/1yDAaXNsi4Mr5FtRQL4tbmSdIzhx6_m4wkOD7IG-k_eo/edit#gid=1336395716"", ""Science!M:N""), 2, FALSE)"),"Compare and contrast the melting points of different substances and analyze the factors that affect these melting points.")</f>
        <v>Compare and contrast the melting points of different substances and analyze the factors that affect these melting points.</v>
      </c>
      <c r="Q12" s="10" t="str">
        <f t="shared" si="4"/>
        <v>LU006204.005</v>
      </c>
      <c r="R12" s="10" t="str">
        <f ca="1">IFERROR(__xludf.DUMMYFUNCTION("VLOOKUP(Q12, IMPORTRANGE(""https://docs.google.com/spreadsheets/d/1yDAaXNsi4Mr5FtRQL4tbmSdIzhx6_m4wkOD7IG-k_eo/edit#gid=1336395716"", ""Science!M:N""), 2, FALSE)"),"Assess the practical applications of latent heat of fusion in real-world scenarios, such as in refrigeration and climate control systems.")</f>
        <v>Assess the practical applications of latent heat of fusion in real-world scenarios, such as in refrigeration and climate control systems.</v>
      </c>
      <c r="S12" s="10" t="str">
        <f t="shared" si="5"/>
        <v>LU006204.006</v>
      </c>
      <c r="T12" s="10" t="str">
        <f ca="1">IFERROR(__xludf.DUMMYFUNCTION("VLOOKUP(S12, IMPORTRANGE(""https://docs.google.com/spreadsheets/d/1yDAaXNsi4Mr5FtRQL4tbmSdIzhx6_m4wkOD7IG-k_eo/edit#gid=1336395716"", ""Science!M:N""), 2, FALSE)"),"#N/A")</f>
        <v>#N/A</v>
      </c>
      <c r="U12" s="11" t="str">
        <f ca="1">IFERROR(__xludf.DUMMYFUNCTION("ArrayFormula(VLOOKUP(G12, IMPORTRANGE(""https://docs.google.com/spreadsheets/d/1p7R4vtkWt5VOBim4ltsDG9KTzSjrtKXsMtQGXPHyND0/edit#gid=795171502"", ""'Filter 30_05_2024'!A1:M2000""), {2, 3, 4, 5,6,7,8,9,10,11,12,13}, 0))"),"#N/A")</f>
        <v>#N/A</v>
      </c>
      <c r="V12" s="11" t="str">
        <f ca="1">IFERROR(__xludf.DUMMYFUNCTION("""COMPUTED_VALUE"""),"#N/A")</f>
        <v>#N/A</v>
      </c>
      <c r="W12" s="11" t="str">
        <f ca="1">IFERROR(__xludf.DUMMYFUNCTION("""COMPUTED_VALUE"""),"#N/A")</f>
        <v>#N/A</v>
      </c>
      <c r="X12" s="11" t="str">
        <f ca="1">IFERROR(__xludf.DUMMYFUNCTION("""COMPUTED_VALUE"""),"#N/A")</f>
        <v>#N/A</v>
      </c>
      <c r="Y12" s="11" t="str">
        <f ca="1">IFERROR(__xludf.DUMMYFUNCTION("""COMPUTED_VALUE"""),"#N/A")</f>
        <v>#N/A</v>
      </c>
      <c r="Z12" s="12" t="str">
        <f ca="1">IFERROR(__xludf.DUMMYFUNCTION("""COMPUTED_VALUE"""),"#N/A")</f>
        <v>#N/A</v>
      </c>
      <c r="AA12" s="12" t="str">
        <f ca="1">IFERROR(__xludf.DUMMYFUNCTION("""COMPUTED_VALUE"""),"#N/A")</f>
        <v>#N/A</v>
      </c>
      <c r="AB12" s="12" t="str">
        <f ca="1">IFERROR(__xludf.DUMMYFUNCTION("""COMPUTED_VALUE"""),"#N/A")</f>
        <v>#N/A</v>
      </c>
      <c r="AC12" s="12" t="str">
        <f ca="1">IFERROR(__xludf.DUMMYFUNCTION("""COMPUTED_VALUE"""),"#N/A")</f>
        <v>#N/A</v>
      </c>
      <c r="AD12" s="12" t="str">
        <f ca="1">IFERROR(__xludf.DUMMYFUNCTION("""COMPUTED_VALUE"""),"#N/A")</f>
        <v>#N/A</v>
      </c>
      <c r="AE12" s="12" t="str">
        <f ca="1">IFERROR(__xludf.DUMMYFUNCTION("""COMPUTED_VALUE"""),"#N/A")</f>
        <v>#N/A</v>
      </c>
      <c r="AF12" s="12" t="str">
        <f ca="1">IFERROR(__xludf.DUMMYFUNCTION("""COMPUTED_VALUE"""),"#N/A")</f>
        <v>#N/A</v>
      </c>
      <c r="AG12" s="13" t="str">
        <f ca="1">IFERROR(__xludf.DUMMYFUNCTION("ArrayFormula(VLOOKUP(G12, IMPORTRANGE(""https://docs.google.com/spreadsheets/d/1Co934fvtviyaRiMsrIlT05Jaq7iiYq07aLvRr35KA48/edit?gid=173865642#gid=173865642"", ""'G9 Sci_Pri_LU'!G2:V2000""), {3, 4, 5, 6, 7, 8, 9, 10, 11, 12, 13, 14, 15, 16}, 0))"),"LU006203")</f>
        <v>LU006203</v>
      </c>
      <c r="AH12" s="22" t="str">
        <f ca="1">IFERROR(__xludf.DUMMYFUNCTION("""COMPUTED_VALUE"""),"Conversion of temperature units(Celsius and Kelvin scale)")</f>
        <v>Conversion of temperature units(Celsius and Kelvin scale)</v>
      </c>
      <c r="AI12" s="13"/>
      <c r="AJ12" s="13"/>
      <c r="AK12" s="13"/>
      <c r="AL12" s="13"/>
      <c r="AM12" s="13"/>
      <c r="AN12" s="13"/>
      <c r="AO12" s="13"/>
      <c r="AP12" s="13"/>
      <c r="AQ12" s="13"/>
      <c r="AR12" s="13"/>
      <c r="AS12" s="13"/>
      <c r="AT12" s="13"/>
    </row>
    <row r="13" spans="1:46">
      <c r="A13" s="8" t="s">
        <v>247</v>
      </c>
      <c r="B13" s="8" t="s">
        <v>47</v>
      </c>
      <c r="C13" s="8" t="s">
        <v>979</v>
      </c>
      <c r="D13" s="8" t="s">
        <v>1441</v>
      </c>
      <c r="E13" s="8" t="s">
        <v>2230</v>
      </c>
      <c r="F13" s="9" t="s">
        <v>2246</v>
      </c>
      <c r="G13" s="114" t="s">
        <v>2248</v>
      </c>
      <c r="H13" s="8" t="str">
        <f ca="1">IFERROR(__xludf.DUMMYFUNCTION("VLOOKUP(G13, IMPORTRANGE(""https://docs.google.com/spreadsheets/d/14deopnvwcrKtEGCKuYXdUHJbeLDZlkiSSWWT0g7x2pM/edit#gid=849066331"", ""LU List Science (Filter)!A:B""), 2, FALSE)"),"Concept of Boiling, Boiling point and Latent heat of Vaporisation")</f>
        <v>Concept of Boiling, Boiling point and Latent heat of Vaporisation</v>
      </c>
      <c r="I13" s="10" t="str">
        <f t="shared" si="0"/>
        <v>LU006205.001</v>
      </c>
      <c r="J13" s="10" t="str">
        <f ca="1">IFERROR(__xludf.DUMMYFUNCTION("VLOOKUP(I13, IMPORTRANGE(""https://docs.google.com/spreadsheets/d/1yDAaXNsi4Mr5FtRQL4tbmSdIzhx6_m4wkOD7IG-k_eo/edit#gid=1336395716"", ""Science!M:N""), 2, FALSE)"),"Define the terms boiling, boiling point, and latent heat of vaporization..")</f>
        <v>Define the terms boiling, boiling point, and latent heat of vaporization..</v>
      </c>
      <c r="K13" s="10" t="str">
        <f t="shared" si="1"/>
        <v>LU006205.002</v>
      </c>
      <c r="L13" s="10" t="str">
        <f ca="1">IFERROR(__xludf.DUMMYFUNCTION("VLOOKUP(K13, IMPORTRANGE(""https://docs.google.com/spreadsheets/d/1yDAaXNsi4Mr5FtRQL4tbmSdIzhx6_m4wkOD7IG-k_eo/edit#gid=1336395716"", ""Science!M:N""), 2, FALSE)"),"Explain the process of boiling and how latent heat of vaporization is related to the phase change from liquid to gas.")</f>
        <v>Explain the process of boiling and how latent heat of vaporization is related to the phase change from liquid to gas.</v>
      </c>
      <c r="M13" s="10" t="str">
        <f t="shared" si="2"/>
        <v>LU006205.003</v>
      </c>
      <c r="N13" s="10" t="str">
        <f ca="1">IFERROR(__xludf.DUMMYFUNCTION("VLOOKUP(M13, IMPORTRANGE(""https://docs.google.com/spreadsheets/d/1yDAaXNsi4Mr5FtRQL4tbmSdIzhx6_m4wkOD7IG-k_eo/edit#gid=1336395716"", ""Science!M:N""), 2, FALSE)"),"Identify situations where concept of latent heat of vaporisation is being used and calculate the amount of energy required to vaporise a substance.")</f>
        <v>Identify situations where concept of latent heat of vaporisation is being used and calculate the amount of energy required to vaporise a substance.</v>
      </c>
      <c r="O13" s="10" t="str">
        <f t="shared" si="3"/>
        <v>LU006205.004</v>
      </c>
      <c r="P13" s="10" t="str">
        <f ca="1">IFERROR(__xludf.DUMMYFUNCTION("VLOOKUP(O13, IMPORTRANGE(""https://docs.google.com/spreadsheets/d/1yDAaXNsi4Mr5FtRQL4tbmSdIzhx6_m4wkOD7IG-k_eo/edit#gid=1336395716"", ""Science!M:N""), 2, FALSE)"),"Compare the energy states of water and steam at the same temperature and explain the difference.")</f>
        <v>Compare the energy states of water and steam at the same temperature and explain the difference.</v>
      </c>
      <c r="Q13" s="10" t="str">
        <f t="shared" si="4"/>
        <v>LU006205.005</v>
      </c>
      <c r="R13" s="10" t="str">
        <f ca="1">IFERROR(__xludf.DUMMYFUNCTION("VLOOKUP(Q13, IMPORTRANGE(""https://docs.google.com/spreadsheets/d/1yDAaXNsi4Mr5FtRQL4tbmSdIzhx6_m4wkOD7IG-k_eo/edit#gid=1336395716"", ""Science!M:N""), 2, FALSE)"),"Assess the importance of the latent heat of vaporization in everyday applications such as cooking and industrial processes.")</f>
        <v>Assess the importance of the latent heat of vaporization in everyday applications such as cooking and industrial processes.</v>
      </c>
      <c r="S13" s="10" t="str">
        <f t="shared" si="5"/>
        <v>LU006205.006</v>
      </c>
      <c r="T13" s="10" t="str">
        <f ca="1">IFERROR(__xludf.DUMMYFUNCTION("VLOOKUP(S13, IMPORTRANGE(""https://docs.google.com/spreadsheets/d/1yDAaXNsi4Mr5FtRQL4tbmSdIzhx6_m4wkOD7IG-k_eo/edit#gid=1336395716"", ""Science!M:N""), 2, FALSE)"),"#N/A")</f>
        <v>#N/A</v>
      </c>
      <c r="U13" s="11" t="str">
        <f ca="1">IFERROR(__xludf.DUMMYFUNCTION("ArrayFormula(VLOOKUP(G13, IMPORTRANGE(""https://docs.google.com/spreadsheets/d/1p7R4vtkWt5VOBim4ltsDG9KTzSjrtKXsMtQGXPHyND0/edit#gid=795171502"", ""'Filter 30_05_2024'!A1:M2000""), {2, 3, 4, 5,6,7,8,9,10,11,12,13}, 0))"),"#N/A")</f>
        <v>#N/A</v>
      </c>
      <c r="V13" s="11" t="str">
        <f ca="1">IFERROR(__xludf.DUMMYFUNCTION("""COMPUTED_VALUE"""),"#N/A")</f>
        <v>#N/A</v>
      </c>
      <c r="W13" s="11" t="str">
        <f ca="1">IFERROR(__xludf.DUMMYFUNCTION("""COMPUTED_VALUE"""),"#N/A")</f>
        <v>#N/A</v>
      </c>
      <c r="X13" s="11" t="str">
        <f ca="1">IFERROR(__xludf.DUMMYFUNCTION("""COMPUTED_VALUE"""),"#N/A")</f>
        <v>#N/A</v>
      </c>
      <c r="Y13" s="11" t="str">
        <f ca="1">IFERROR(__xludf.DUMMYFUNCTION("""COMPUTED_VALUE"""),"#N/A")</f>
        <v>#N/A</v>
      </c>
      <c r="Z13" s="12" t="str">
        <f ca="1">IFERROR(__xludf.DUMMYFUNCTION("""COMPUTED_VALUE"""),"#N/A")</f>
        <v>#N/A</v>
      </c>
      <c r="AA13" s="12" t="str">
        <f ca="1">IFERROR(__xludf.DUMMYFUNCTION("""COMPUTED_VALUE"""),"#N/A")</f>
        <v>#N/A</v>
      </c>
      <c r="AB13" s="12" t="str">
        <f ca="1">IFERROR(__xludf.DUMMYFUNCTION("""COMPUTED_VALUE"""),"#N/A")</f>
        <v>#N/A</v>
      </c>
      <c r="AC13" s="12" t="str">
        <f ca="1">IFERROR(__xludf.DUMMYFUNCTION("""COMPUTED_VALUE"""),"#N/A")</f>
        <v>#N/A</v>
      </c>
      <c r="AD13" s="12" t="str">
        <f ca="1">IFERROR(__xludf.DUMMYFUNCTION("""COMPUTED_VALUE"""),"#N/A")</f>
        <v>#N/A</v>
      </c>
      <c r="AE13" s="12" t="str">
        <f ca="1">IFERROR(__xludf.DUMMYFUNCTION("""COMPUTED_VALUE"""),"#N/A")</f>
        <v>#N/A</v>
      </c>
      <c r="AF13" s="12" t="str">
        <f ca="1">IFERROR(__xludf.DUMMYFUNCTION("""COMPUTED_VALUE"""),"#N/A")</f>
        <v>#N/A</v>
      </c>
      <c r="AG13" s="13" t="str">
        <f ca="1">IFERROR(__xludf.DUMMYFUNCTION("ArrayFormula(VLOOKUP(G13, IMPORTRANGE(""https://docs.google.com/spreadsheets/d/1Co934fvtviyaRiMsrIlT05Jaq7iiYq07aLvRr35KA48/edit?gid=173865642#gid=173865642"", ""'G9 Sci_Pri_LU'!G2:V2000""), {3, 4, 5, 6, 7, 8, 9, 10, 11, 12, 13, 14, 15, 16}, 0))"),"LU006204")</f>
        <v>LU006204</v>
      </c>
      <c r="AH13" s="22" t="str">
        <f ca="1">IFERROR(__xludf.DUMMYFUNCTION("""COMPUTED_VALUE"""),"Concept of Melting, Melting point and Latent Heat of Fusion")</f>
        <v>Concept of Melting, Melting point and Latent Heat of Fusion</v>
      </c>
      <c r="AI13" s="13"/>
      <c r="AJ13" s="13"/>
      <c r="AK13" s="13"/>
      <c r="AL13" s="13"/>
      <c r="AM13" s="13"/>
      <c r="AN13" s="13"/>
      <c r="AO13" s="13"/>
      <c r="AP13" s="13"/>
      <c r="AQ13" s="13"/>
      <c r="AR13" s="13"/>
      <c r="AS13" s="13"/>
      <c r="AT13" s="13"/>
    </row>
    <row r="14" spans="1:46">
      <c r="A14" s="8" t="s">
        <v>247</v>
      </c>
      <c r="B14" s="8" t="s">
        <v>47</v>
      </c>
      <c r="C14" s="8" t="s">
        <v>979</v>
      </c>
      <c r="D14" s="8" t="s">
        <v>1441</v>
      </c>
      <c r="E14" s="8" t="s">
        <v>2230</v>
      </c>
      <c r="F14" s="9" t="s">
        <v>2246</v>
      </c>
      <c r="G14" s="114" t="s">
        <v>2249</v>
      </c>
      <c r="H14" s="8" t="str">
        <f ca="1">IFERROR(__xludf.DUMMYFUNCTION("VLOOKUP(G14, IMPORTRANGE(""https://docs.google.com/spreadsheets/d/14deopnvwcrKtEGCKuYXdUHJbeLDZlkiSSWWT0g7x2pM/edit#gid=849066331"", ""LU List Science (Filter)!A:B""), 2, FALSE)"),"Concept of Sublimation and Deposition")</f>
        <v>Concept of Sublimation and Deposition</v>
      </c>
      <c r="I14" s="10" t="str">
        <f t="shared" si="0"/>
        <v>LU006206.001</v>
      </c>
      <c r="J14" s="10" t="str">
        <f ca="1">IFERROR(__xludf.DUMMYFUNCTION("VLOOKUP(I14, IMPORTRANGE(""https://docs.google.com/spreadsheets/d/1yDAaXNsi4Mr5FtRQL4tbmSdIzhx6_m4wkOD7IG-k_eo/edit#gid=1336395716"", ""Science!M:N""), 2, FALSE)"),"Define the processes of sublimation and deposition.")</f>
        <v>Define the processes of sublimation and deposition.</v>
      </c>
      <c r="K14" s="10" t="str">
        <f t="shared" si="1"/>
        <v>LU006206.002</v>
      </c>
      <c r="L14" s="10" t="str">
        <f ca="1">IFERROR(__xludf.DUMMYFUNCTION("VLOOKUP(K14, IMPORTRANGE(""https://docs.google.com/spreadsheets/d/1yDAaXNsi4Mr5FtRQL4tbmSdIzhx6_m4wkOD7IG-k_eo/edit#gid=1336395716"", ""Science!M:N""), 2, FALSE)"),"Explain how sublimation and deposition occur under specific conditions.")</f>
        <v>Explain how sublimation and deposition occur under specific conditions.</v>
      </c>
      <c r="M14" s="10" t="str">
        <f t="shared" si="2"/>
        <v>LU006206.003</v>
      </c>
      <c r="N14" s="10" t="str">
        <f ca="1">IFERROR(__xludf.DUMMYFUNCTION("VLOOKUP(M14, IMPORTRANGE(""https://docs.google.com/spreadsheets/d/1yDAaXNsi4Mr5FtRQL4tbmSdIzhx6_m4wkOD7IG-k_eo/edit#gid=1336395716"", ""Science!M:N""), 2, FALSE)"),"Identify everyday examples where sublimation and deposition take place, such as dry ice and frost formation.")</f>
        <v>Identify everyday examples where sublimation and deposition take place, such as dry ice and frost formation.</v>
      </c>
      <c r="O14" s="10" t="str">
        <f t="shared" si="3"/>
        <v>LU006206.004</v>
      </c>
      <c r="P14" s="10" t="str">
        <f ca="1">IFERROR(__xludf.DUMMYFUNCTION("VLOOKUP(O14, IMPORTRANGE(""https://docs.google.com/spreadsheets/d/1yDAaXNsi4Mr5FtRQL4tbmSdIzhx6_m4wkOD7IG-k_eo/edit#gid=1336395716"", ""Science!M:N""), 2, FALSE)"),"Compare sublimation and deposition with the processes of melting and freezing in terms of energy changes and phase transitions.")</f>
        <v>Compare sublimation and deposition with the processes of melting and freezing in terms of energy changes and phase transitions.</v>
      </c>
      <c r="Q14" s="10" t="str">
        <f t="shared" si="4"/>
        <v>LU006206.005</v>
      </c>
      <c r="R14" s="10" t="str">
        <f ca="1">IFERROR(__xludf.DUMMYFUNCTION("VLOOKUP(Q14, IMPORTRANGE(""https://docs.google.com/spreadsheets/d/1yDAaXNsi4Mr5FtRQL4tbmSdIzhx6_m4wkOD7IG-k_eo/edit#gid=1336395716"", ""Science!M:N""), 2, FALSE)"),"Evaluate the importance of sublimation and deposition in processes such as freeze-drying of food and the formation of frost.")</f>
        <v>Evaluate the importance of sublimation and deposition in processes such as freeze-drying of food and the formation of frost.</v>
      </c>
      <c r="S14" s="10" t="str">
        <f t="shared" si="5"/>
        <v>LU006206.006</v>
      </c>
      <c r="T14" s="10" t="str">
        <f ca="1">IFERROR(__xludf.DUMMYFUNCTION("VLOOKUP(S14, IMPORTRANGE(""https://docs.google.com/spreadsheets/d/1yDAaXNsi4Mr5FtRQL4tbmSdIzhx6_m4wkOD7IG-k_eo/edit#gid=1336395716"", ""Science!M:N""), 2, FALSE)"),"Design an experiment to show the sublimation of iodine or camphor using materials available at home.")</f>
        <v>Design an experiment to show the sublimation of iodine or camphor using materials available at home.</v>
      </c>
      <c r="U14" s="11" t="str">
        <f ca="1">IFERROR(__xludf.DUMMYFUNCTION("ArrayFormula(VLOOKUP(G14, IMPORTRANGE(""https://docs.google.com/spreadsheets/d/1p7R4vtkWt5VOBim4ltsDG9KTzSjrtKXsMtQGXPHyND0/edit#gid=795171502"", ""'Filter 30_05_2024'!A1:M2000""), {2, 3, 4, 5,6,7,8,9,10,11,12,13}, 0))"),"#N/A")</f>
        <v>#N/A</v>
      </c>
      <c r="V14" s="11" t="str">
        <f ca="1">IFERROR(__xludf.DUMMYFUNCTION("""COMPUTED_VALUE"""),"#N/A")</f>
        <v>#N/A</v>
      </c>
      <c r="W14" s="11" t="str">
        <f ca="1">IFERROR(__xludf.DUMMYFUNCTION("""COMPUTED_VALUE"""),"#N/A")</f>
        <v>#N/A</v>
      </c>
      <c r="X14" s="11" t="str">
        <f ca="1">IFERROR(__xludf.DUMMYFUNCTION("""COMPUTED_VALUE"""),"#N/A")</f>
        <v>#N/A</v>
      </c>
      <c r="Y14" s="11" t="str">
        <f ca="1">IFERROR(__xludf.DUMMYFUNCTION("""COMPUTED_VALUE"""),"#N/A")</f>
        <v>#N/A</v>
      </c>
      <c r="Z14" s="12" t="str">
        <f ca="1">IFERROR(__xludf.DUMMYFUNCTION("""COMPUTED_VALUE"""),"#N/A")</f>
        <v>#N/A</v>
      </c>
      <c r="AA14" s="12" t="str">
        <f ca="1">IFERROR(__xludf.DUMMYFUNCTION("""COMPUTED_VALUE"""),"#N/A")</f>
        <v>#N/A</v>
      </c>
      <c r="AB14" s="12" t="str">
        <f ca="1">IFERROR(__xludf.DUMMYFUNCTION("""COMPUTED_VALUE"""),"#N/A")</f>
        <v>#N/A</v>
      </c>
      <c r="AC14" s="12" t="str">
        <f ca="1">IFERROR(__xludf.DUMMYFUNCTION("""COMPUTED_VALUE"""),"#N/A")</f>
        <v>#N/A</v>
      </c>
      <c r="AD14" s="12" t="str">
        <f ca="1">IFERROR(__xludf.DUMMYFUNCTION("""COMPUTED_VALUE"""),"#N/A")</f>
        <v>#N/A</v>
      </c>
      <c r="AE14" s="12" t="str">
        <f ca="1">IFERROR(__xludf.DUMMYFUNCTION("""COMPUTED_VALUE"""),"#N/A")</f>
        <v>#N/A</v>
      </c>
      <c r="AF14" s="12" t="str">
        <f ca="1">IFERROR(__xludf.DUMMYFUNCTION("""COMPUTED_VALUE"""),"#N/A")</f>
        <v>#N/A</v>
      </c>
      <c r="AG14" s="13" t="str">
        <f ca="1">IFERROR(__xludf.DUMMYFUNCTION("ArrayFormula(VLOOKUP(G14, IMPORTRANGE(""https://docs.google.com/spreadsheets/d/1Co934fvtviyaRiMsrIlT05Jaq7iiYq07aLvRr35KA48/edit?gid=173865642#gid=173865642"", ""'G9 Sci_Pri_LU'!G2:V2000""), {3, 4, 5, 6, 7, 8, 9, 10, 11, 12, 13, 14, 15, 16}, 0))"),"LU006205")</f>
        <v>LU006205</v>
      </c>
      <c r="AH14" s="22" t="str">
        <f ca="1">IFERROR(__xludf.DUMMYFUNCTION("""COMPUTED_VALUE"""),"Concept of Boiling, Boiling point and Latent heat of Vaporisation")</f>
        <v>Concept of Boiling, Boiling point and Latent heat of Vaporisation</v>
      </c>
      <c r="AI14" s="13"/>
      <c r="AJ14" s="13"/>
      <c r="AK14" s="13"/>
      <c r="AL14" s="13"/>
      <c r="AM14" s="13"/>
      <c r="AN14" s="13"/>
      <c r="AO14" s="13"/>
      <c r="AP14" s="13"/>
      <c r="AQ14" s="13"/>
      <c r="AR14" s="13"/>
      <c r="AS14" s="13"/>
      <c r="AT14" s="13"/>
    </row>
    <row r="15" spans="1:46">
      <c r="A15" s="8" t="s">
        <v>247</v>
      </c>
      <c r="B15" s="8" t="s">
        <v>47</v>
      </c>
      <c r="C15" s="8" t="s">
        <v>979</v>
      </c>
      <c r="D15" s="8" t="s">
        <v>1441</v>
      </c>
      <c r="E15" s="8" t="s">
        <v>2230</v>
      </c>
      <c r="F15" s="9" t="s">
        <v>2250</v>
      </c>
      <c r="G15" s="114" t="s">
        <v>2251</v>
      </c>
      <c r="H15" s="8" t="str">
        <f ca="1">IFERROR(__xludf.DUMMYFUNCTION("VLOOKUP(G15, IMPORTRANGE(""https://docs.google.com/spreadsheets/d/14deopnvwcrKtEGCKuYXdUHJbeLDZlkiSSWWT0g7x2pM/edit#gid=849066331"", ""LU List Science (Filter)!A:B""), 2, FALSE)"),"Effect of Change in Pressure on a State of Matter")</f>
        <v>Effect of Change in Pressure on a State of Matter</v>
      </c>
      <c r="I15" s="10" t="str">
        <f t="shared" si="0"/>
        <v>LU006207.001</v>
      </c>
      <c r="J15" s="10" t="str">
        <f ca="1">IFERROR(__xludf.DUMMYFUNCTION("VLOOKUP(I15, IMPORTRANGE(""https://docs.google.com/spreadsheets/d/1yDAaXNsi4Mr5FtRQL4tbmSdIzhx6_m4wkOD7IG-k_eo/edit#gid=1336395716"", ""Science!M:N""), 2, FALSE)"),"Recall that pressure can bring particles of matter closer together.")</f>
        <v>Recall that pressure can bring particles of matter closer together.</v>
      </c>
      <c r="K15" s="10" t="str">
        <f t="shared" si="1"/>
        <v>LU006207.002</v>
      </c>
      <c r="L15" s="10" t="str">
        <f ca="1">IFERROR(__xludf.DUMMYFUNCTION("VLOOKUP(K15, IMPORTRANGE(""https://docs.google.com/spreadsheets/d/1yDAaXNsi4Mr5FtRQL4tbmSdIzhx6_m4wkOD7IG-k_eo/edit#gid=1336395716"", ""Science!M:N""), 2, FALSE)"),"Explain how applying pressure and reducing temperature can liquefy gases.")</f>
        <v>Explain how applying pressure and reducing temperature can liquefy gases.</v>
      </c>
      <c r="M15" s="10" t="str">
        <f t="shared" si="2"/>
        <v>LU006207.003</v>
      </c>
      <c r="N15" s="10" t="str">
        <f ca="1">IFERROR(__xludf.DUMMYFUNCTION("VLOOKUP(M15, IMPORTRANGE(""https://docs.google.com/spreadsheets/d/1yDAaXNsi4Mr5FtRQL4tbmSdIzhx6_m4wkOD7IG-k_eo/edit#gid=1336395716"", ""Science!M:N""), 2, FALSE)"),"Demonstrate the process of converting solid CO2 (dry ice) directly into gaseous CO2 by decreasing the pressure.")</f>
        <v>Demonstrate the process of converting solid CO2 (dry ice) directly into gaseous CO2 by decreasing the pressure.</v>
      </c>
      <c r="O15" s="10" t="str">
        <f t="shared" si="3"/>
        <v>LU006207.004</v>
      </c>
      <c r="P15" s="10" t="str">
        <f ca="1">IFERROR(__xludf.DUMMYFUNCTION("VLOOKUP(O15, IMPORTRANGE(""https://docs.google.com/spreadsheets/d/1yDAaXNsi4Mr5FtRQL4tbmSdIzhx6_m4wkOD7IG-k_eo/edit#gid=1336395716"", ""Science!M:N""), 2, FALSE)"),"Differentiate the states of matter when pressure is applied to CO2 and when it is decreased.")</f>
        <v>Differentiate the states of matter when pressure is applied to CO2 and when it is decreased.</v>
      </c>
      <c r="Q15" s="10" t="str">
        <f t="shared" si="4"/>
        <v>LU006207.005</v>
      </c>
      <c r="R15" s="10" t="str">
        <f ca="1">IFERROR(__xludf.DUMMYFUNCTION("VLOOKUP(Q15, IMPORTRANGE(""https://docs.google.com/spreadsheets/d/1yDAaXNsi4Mr5FtRQL4tbmSdIzhx6_m4wkOD7IG-k_eo/edit#gid=1336395716"", ""Science!M:N""), 2, FALSE)"),"Assess why solid carbon dioxide (dry ice) does not turn into liquid but directly into gas at 1 atmosphere pressure.")</f>
        <v>Assess why solid carbon dioxide (dry ice) does not turn into liquid but directly into gas at 1 atmosphere pressure.</v>
      </c>
      <c r="S15" s="10" t="str">
        <f t="shared" si="5"/>
        <v>LU006207.006</v>
      </c>
      <c r="T15" s="10" t="str">
        <f ca="1">IFERROR(__xludf.DUMMYFUNCTION("VLOOKUP(S15, IMPORTRANGE(""https://docs.google.com/spreadsheets/d/1yDAaXNsi4Mr5FtRQL4tbmSdIzhx6_m4wkOD7IG-k_eo/edit#gid=1336395716"", ""Science!M:N""), 2, FALSE)"),"Design an experiment to show the change of state in CO2 when pressure is increased and decreased.")</f>
        <v>Design an experiment to show the change of state in CO2 when pressure is increased and decreased.</v>
      </c>
      <c r="U15" s="11" t="str">
        <f ca="1">IFERROR(__xludf.DUMMYFUNCTION("ArrayFormula(VLOOKUP(G15, IMPORTRANGE(""https://docs.google.com/spreadsheets/d/1p7R4vtkWt5VOBim4ltsDG9KTzSjrtKXsMtQGXPHyND0/edit#gid=795171502"", ""'Filter 30_05_2024'!A1:M2000""), {2, 3, 4, 5,6,7,8,9,10,11,12,13}, 0))"),"#N/A")</f>
        <v>#N/A</v>
      </c>
      <c r="V15" s="11" t="str">
        <f ca="1">IFERROR(__xludf.DUMMYFUNCTION("""COMPUTED_VALUE"""),"#N/A")</f>
        <v>#N/A</v>
      </c>
      <c r="W15" s="11" t="str">
        <f ca="1">IFERROR(__xludf.DUMMYFUNCTION("""COMPUTED_VALUE"""),"#N/A")</f>
        <v>#N/A</v>
      </c>
      <c r="X15" s="11" t="str">
        <f ca="1">IFERROR(__xludf.DUMMYFUNCTION("""COMPUTED_VALUE"""),"#N/A")</f>
        <v>#N/A</v>
      </c>
      <c r="Y15" s="11" t="str">
        <f ca="1">IFERROR(__xludf.DUMMYFUNCTION("""COMPUTED_VALUE"""),"#N/A")</f>
        <v>#N/A</v>
      </c>
      <c r="Z15" s="12" t="str">
        <f ca="1">IFERROR(__xludf.DUMMYFUNCTION("""COMPUTED_VALUE"""),"#N/A")</f>
        <v>#N/A</v>
      </c>
      <c r="AA15" s="12" t="str">
        <f ca="1">IFERROR(__xludf.DUMMYFUNCTION("""COMPUTED_VALUE"""),"#N/A")</f>
        <v>#N/A</v>
      </c>
      <c r="AB15" s="12" t="str">
        <f ca="1">IFERROR(__xludf.DUMMYFUNCTION("""COMPUTED_VALUE"""),"#N/A")</f>
        <v>#N/A</v>
      </c>
      <c r="AC15" s="12" t="str">
        <f ca="1">IFERROR(__xludf.DUMMYFUNCTION("""COMPUTED_VALUE"""),"#N/A")</f>
        <v>#N/A</v>
      </c>
      <c r="AD15" s="12" t="str">
        <f ca="1">IFERROR(__xludf.DUMMYFUNCTION("""COMPUTED_VALUE"""),"#N/A")</f>
        <v>#N/A</v>
      </c>
      <c r="AE15" s="12" t="str">
        <f ca="1">IFERROR(__xludf.DUMMYFUNCTION("""COMPUTED_VALUE"""),"#N/A")</f>
        <v>#N/A</v>
      </c>
      <c r="AF15" s="12" t="str">
        <f ca="1">IFERROR(__xludf.DUMMYFUNCTION("""COMPUTED_VALUE"""),"#N/A")</f>
        <v>#N/A</v>
      </c>
      <c r="AG15" s="13" t="str">
        <f ca="1">IFERROR(__xludf.DUMMYFUNCTION("ArrayFormula(VLOOKUP(G15, IMPORTRANGE(""https://docs.google.com/spreadsheets/d/1Co934fvtviyaRiMsrIlT05Jaq7iiYq07aLvRr35KA48/edit?gid=173865642#gid=173865642"", ""'G9 Sci_Pri_LU'!G2:V2000""), {3, 4, 5, 6, 7, 8, 9, 10, 11, 12, 13, 14, 15, 16}, 0))"),"LU006202")</f>
        <v>LU006202</v>
      </c>
      <c r="AH15" s="22" t="str">
        <f ca="1">IFERROR(__xludf.DUMMYFUNCTION("""COMPUTED_VALUE"""),"Change of State of Matter by Pressure and Temperature")</f>
        <v>Change of State of Matter by Pressure and Temperature</v>
      </c>
      <c r="AI15" s="13"/>
      <c r="AJ15" s="13"/>
      <c r="AK15" s="13"/>
      <c r="AL15" s="13"/>
      <c r="AM15" s="13"/>
      <c r="AN15" s="13"/>
      <c r="AO15" s="13"/>
      <c r="AP15" s="13"/>
      <c r="AQ15" s="13"/>
      <c r="AR15" s="13"/>
      <c r="AS15" s="13"/>
      <c r="AT15" s="13"/>
    </row>
    <row r="16" spans="1:46">
      <c r="A16" s="8" t="s">
        <v>247</v>
      </c>
      <c r="B16" s="8" t="s">
        <v>47</v>
      </c>
      <c r="C16" s="8" t="s">
        <v>979</v>
      </c>
      <c r="D16" s="8" t="s">
        <v>1441</v>
      </c>
      <c r="E16" s="8" t="s">
        <v>2230</v>
      </c>
      <c r="F16" s="9" t="s">
        <v>2252</v>
      </c>
      <c r="G16" s="114" t="s">
        <v>1554</v>
      </c>
      <c r="H16" s="8" t="str">
        <f ca="1">IFERROR(__xludf.DUMMYFUNCTION("VLOOKUP(G16, IMPORTRANGE(""https://docs.google.com/spreadsheets/d/14deopnvwcrKtEGCKuYXdUHJbeLDZlkiSSWWT0g7x2pM/edit#gid=849066331"", ""LU List Science (Filter)!A:B""), 2, FALSE)"),"Factors Affecting Evaporation")</f>
        <v>Factors Affecting Evaporation</v>
      </c>
      <c r="I16" s="10" t="str">
        <f t="shared" si="0"/>
        <v>LU006208.001</v>
      </c>
      <c r="J16" s="10" t="str">
        <f ca="1">IFERROR(__xludf.DUMMYFUNCTION("VLOOKUP(I16, IMPORTRANGE(""https://docs.google.com/spreadsheets/d/1yDAaXNsi4Mr5FtRQL4tbmSdIzhx6_m4wkOD7IG-k_eo/edit#gid=1336395716"", ""Science!M:N""), 2, FALSE)"),"List the factors that affect the rate of evaporation.")</f>
        <v>List the factors that affect the rate of evaporation.</v>
      </c>
      <c r="K16" s="10" t="str">
        <f t="shared" si="1"/>
        <v>LU006208.002</v>
      </c>
      <c r="L16" s="10" t="str">
        <f ca="1">IFERROR(__xludf.DUMMYFUNCTION("VLOOKUP(K16, IMPORTRANGE(""https://docs.google.com/spreadsheets/d/1yDAaXNsi4Mr5FtRQL4tbmSdIzhx6_m4wkOD7IG-k_eo/edit#gid=1336395716"", ""Science!M:N""), 2, FALSE)"),"Explain how an increase in surface area influences the rate of evaporation.")</f>
        <v>Explain how an increase in surface area influences the rate of evaporation.</v>
      </c>
      <c r="M16" s="10" t="str">
        <f t="shared" si="2"/>
        <v>LU006208.003</v>
      </c>
      <c r="N16" s="10" t="str">
        <f ca="1">IFERROR(__xludf.DUMMYFUNCTION("VLOOKUP(M16, IMPORTRANGE(""https://docs.google.com/spreadsheets/d/1yDAaXNsi4Mr5FtRQL4tbmSdIzhx6_m4wkOD7IG-k_eo/edit#gid=1336395716"", ""Science!M:N""), 2, FALSE)"),"Demonstrate the effect of temperature on the rate of evaporation by heating water and observing the change.")</f>
        <v>Demonstrate the effect of temperature on the rate of evaporation by heating water and observing the change.</v>
      </c>
      <c r="O16" s="10" t="str">
        <f t="shared" si="3"/>
        <v>LU006208.004</v>
      </c>
      <c r="P16" s="10" t="str">
        <f ca="1">IFERROR(__xludf.DUMMYFUNCTION("VLOOKUP(O16, IMPORTRANGE(""https://docs.google.com/spreadsheets/d/1yDAaXNsi4Mr5FtRQL4tbmSdIzhx6_m4wkOD7IG-k_eo/edit#gid=1336395716"", ""Science!M:N""), 2, FALSE)"),"Differentiate between the impact of humidity and wind speed on the rate of evaporation.")</f>
        <v>Differentiate between the impact of humidity and wind speed on the rate of evaporation.</v>
      </c>
      <c r="Q16" s="10" t="str">
        <f t="shared" si="4"/>
        <v>LU006208.005</v>
      </c>
      <c r="R16" s="10" t="str">
        <f ca="1">IFERROR(__xludf.DUMMYFUNCTION("VLOOKUP(Q16, IMPORTRANGE(""https://docs.google.com/spreadsheets/d/1yDAaXNsi4Mr5FtRQL4tbmSdIzhx6_m4wkOD7IG-k_eo/edit#gid=1336395716"", ""Science!M:N""), 2, FALSE)"),"Evaluate why clothes dry faster on a windy day compared to a humid day.")</f>
        <v>Evaluate why clothes dry faster on a windy day compared to a humid day.</v>
      </c>
      <c r="S16" s="10" t="str">
        <f t="shared" si="5"/>
        <v>LU006208.006</v>
      </c>
      <c r="T16" s="10" t="str">
        <f ca="1">IFERROR(__xludf.DUMMYFUNCTION("VLOOKUP(S16, IMPORTRANGE(""https://docs.google.com/spreadsheets/d/1yDAaXNsi4Mr5FtRQL4tbmSdIzhx6_m4wkOD7IG-k_eo/edit#gid=1336395716"", ""Science!M:N""), 2, FALSE)"),"Design an experiment to show the effect of surface area on the rate of evaporation by comparing evaporation in wide and narrow containers.")</f>
        <v>Design an experiment to show the effect of surface area on the rate of evaporation by comparing evaporation in wide and narrow containers.</v>
      </c>
      <c r="U16" s="11" t="str">
        <f ca="1">IFERROR(__xludf.DUMMYFUNCTION("ArrayFormula(VLOOKUP(G16, IMPORTRANGE(""https://docs.google.com/spreadsheets/d/1p7R4vtkWt5VOBim4ltsDG9KTzSjrtKXsMtQGXPHyND0/edit#gid=795171502"", ""'Filter 30_05_2024'!A1:M2000""), {2, 3, 4, 5,6,7,8,9,10,11,12,13}, 0))"),"#N/A")</f>
        <v>#N/A</v>
      </c>
      <c r="V16" s="11" t="str">
        <f ca="1">IFERROR(__xludf.DUMMYFUNCTION("""COMPUTED_VALUE"""),"#N/A")</f>
        <v>#N/A</v>
      </c>
      <c r="W16" s="11" t="str">
        <f ca="1">IFERROR(__xludf.DUMMYFUNCTION("""COMPUTED_VALUE"""),"#N/A")</f>
        <v>#N/A</v>
      </c>
      <c r="X16" s="11" t="str">
        <f ca="1">IFERROR(__xludf.DUMMYFUNCTION("""COMPUTED_VALUE"""),"#N/A")</f>
        <v>#N/A</v>
      </c>
      <c r="Y16" s="11" t="str">
        <f ca="1">IFERROR(__xludf.DUMMYFUNCTION("""COMPUTED_VALUE"""),"#N/A")</f>
        <v>#N/A</v>
      </c>
      <c r="Z16" s="12" t="str">
        <f ca="1">IFERROR(__xludf.DUMMYFUNCTION("""COMPUTED_VALUE"""),"#N/A")</f>
        <v>#N/A</v>
      </c>
      <c r="AA16" s="12" t="str">
        <f ca="1">IFERROR(__xludf.DUMMYFUNCTION("""COMPUTED_VALUE"""),"#N/A")</f>
        <v>#N/A</v>
      </c>
      <c r="AB16" s="12" t="str">
        <f ca="1">IFERROR(__xludf.DUMMYFUNCTION("""COMPUTED_VALUE"""),"#N/A")</f>
        <v>#N/A</v>
      </c>
      <c r="AC16" s="12" t="str">
        <f ca="1">IFERROR(__xludf.DUMMYFUNCTION("""COMPUTED_VALUE"""),"#N/A")</f>
        <v>#N/A</v>
      </c>
      <c r="AD16" s="12" t="str">
        <f ca="1">IFERROR(__xludf.DUMMYFUNCTION("""COMPUTED_VALUE"""),"#N/A")</f>
        <v>#N/A</v>
      </c>
      <c r="AE16" s="12" t="str">
        <f ca="1">IFERROR(__xludf.DUMMYFUNCTION("""COMPUTED_VALUE"""),"#N/A")</f>
        <v>#N/A</v>
      </c>
      <c r="AF16" s="12" t="str">
        <f ca="1">IFERROR(__xludf.DUMMYFUNCTION("""COMPUTED_VALUE"""),"#N/A")</f>
        <v>#N/A</v>
      </c>
      <c r="AG16" s="13" t="str">
        <f ca="1">IFERROR(__xludf.DUMMYFUNCTION("ArrayFormula(VLOOKUP(G16, IMPORTRANGE(""https://docs.google.com/spreadsheets/d/1Co934fvtviyaRiMsrIlT05Jaq7iiYq07aLvRr35KA48/edit?gid=173865642#gid=173865642"", ""'G9 Sci_Pri_LU'!G2:V2000""), {3, 4, 5, 6, 7, 8, 9, 10, 11, 12, 13, 14, 15, 16}, 0))"),"LU006205")</f>
        <v>LU006205</v>
      </c>
      <c r="AH16" s="22" t="str">
        <f ca="1">IFERROR(__xludf.DUMMYFUNCTION("""COMPUTED_VALUE"""),"Concept of Boiling, Boiling point and Latent heat of Vaporisation")</f>
        <v>Concept of Boiling, Boiling point and Latent heat of Vaporisation</v>
      </c>
      <c r="AI16" s="13"/>
      <c r="AJ16" s="13"/>
      <c r="AK16" s="13"/>
      <c r="AL16" s="13"/>
      <c r="AM16" s="13"/>
      <c r="AN16" s="13"/>
      <c r="AO16" s="13"/>
      <c r="AP16" s="13"/>
      <c r="AQ16" s="13"/>
      <c r="AR16" s="13"/>
      <c r="AS16" s="13"/>
      <c r="AT16" s="13"/>
    </row>
    <row r="17" spans="1:46">
      <c r="A17" s="8" t="s">
        <v>247</v>
      </c>
      <c r="B17" s="8" t="s">
        <v>47</v>
      </c>
      <c r="C17" s="8" t="s">
        <v>979</v>
      </c>
      <c r="D17" s="8" t="s">
        <v>1441</v>
      </c>
      <c r="E17" s="8" t="s">
        <v>2230</v>
      </c>
      <c r="F17" s="9" t="s">
        <v>2252</v>
      </c>
      <c r="G17" s="114" t="s">
        <v>2253</v>
      </c>
      <c r="H17" s="8" t="str">
        <f ca="1">IFERROR(__xludf.DUMMYFUNCTION("VLOOKUP(G17, IMPORTRANGE(""https://docs.google.com/spreadsheets/d/14deopnvwcrKtEGCKuYXdUHJbeLDZlkiSSWWT0g7x2pM/edit#gid=849066331"", ""LU List Science (Filter)!A:B""), 2, FALSE)"),"Cooling Effect of Evaporation")</f>
        <v>Cooling Effect of Evaporation</v>
      </c>
      <c r="I17" s="10" t="str">
        <f t="shared" si="0"/>
        <v>LU006209.001</v>
      </c>
      <c r="J17" s="10" t="str">
        <f ca="1">IFERROR(__xludf.DUMMYFUNCTION("VLOOKUP(I17, IMPORTRANGE(""https://docs.google.com/spreadsheets/d/1yDAaXNsi4Mr5FtRQL4tbmSdIzhx6_m4wkOD7IG-k_eo/edit#gid=1336395716"", ""Science!M:N""), 2, FALSE)"),"Define the cooling effect of evaporation.")</f>
        <v>Define the cooling effect of evaporation.</v>
      </c>
      <c r="K17" s="10" t="str">
        <f t="shared" si="1"/>
        <v>LU006209.002</v>
      </c>
      <c r="L17" s="10" t="str">
        <f ca="1">IFERROR(__xludf.DUMMYFUNCTION("VLOOKUP(K17, IMPORTRANGE(""https://docs.google.com/spreadsheets/d/1yDAaXNsi4Mr5FtRQL4tbmSdIzhx6_m4wkOD7IG-k_eo/edit#gid=1336395716"", ""Science!M:N""), 2, FALSE)"),"Explain why we feel cool when acetone evaporates from our skin.")</f>
        <v>Explain why we feel cool when acetone evaporates from our skin.</v>
      </c>
      <c r="M17" s="10" t="str">
        <f t="shared" si="2"/>
        <v>LU006209.003</v>
      </c>
      <c r="N17" s="10" t="str">
        <f ca="1">IFERROR(__xludf.DUMMYFUNCTION("VLOOKUP(M17, IMPORTRANGE(""https://docs.google.com/spreadsheets/d/1yDAaXNsi4Mr5FtRQL4tbmSdIzhx6_m4wkOD7IG-k_eo/edit#gid=1336395716"", ""Science!M:N""), 2, FALSE)"),"Demonstrate the cooling effect by sprinkling water on a hot surface and observing the temperature change.")</f>
        <v>Demonstrate the cooling effect by sprinkling water on a hot surface and observing the temperature change.</v>
      </c>
      <c r="O17" s="10" t="str">
        <f t="shared" si="3"/>
        <v>LU006209.004</v>
      </c>
      <c r="P17" s="10" t="str">
        <f ca="1">IFERROR(__xludf.DUMMYFUNCTION("VLOOKUP(O17, IMPORTRANGE(""https://docs.google.com/spreadsheets/d/1yDAaXNsi4Mr5FtRQL4tbmSdIzhx6_m4wkOD7IG-k_eo/edit#gid=1336395716"", ""Science!M:N""), 2, FALSE)"),"Compare the cooling effects of different liquids like water and acetone when they evaporate from the skin.")</f>
        <v>Compare the cooling effects of different liquids like water and acetone when they evaporate from the skin.</v>
      </c>
      <c r="Q17" s="10" t="str">
        <f t="shared" si="4"/>
        <v>LU006209.005</v>
      </c>
      <c r="R17" s="10" t="str">
        <f ca="1">IFERROR(__xludf.DUMMYFUNCTION("VLOOKUP(Q17, IMPORTRANGE(""https://docs.google.com/spreadsheets/d/1yDAaXNsi4Mr5FtRQL4tbmSdIzhx6_m4wkOD7IG-k_eo/edit#gid=1336395716"", ""Science!M:N""), 2, FALSE)"),"Evaluate why wearing cotton clothes in summer helps to keep us cool.")</f>
        <v>Evaluate why wearing cotton clothes in summer helps to keep us cool.</v>
      </c>
      <c r="S17" s="10" t="str">
        <f t="shared" si="5"/>
        <v>LU006209.006</v>
      </c>
      <c r="T17" s="10" t="str">
        <f ca="1">IFERROR(__xludf.DUMMYFUNCTION("VLOOKUP(S17, IMPORTRANGE(""https://docs.google.com/spreadsheets/d/1yDAaXNsi4Mr5FtRQL4tbmSdIzhx6_m4wkOD7IG-k_eo/edit#gid=1336395716"", ""Science!M:N""), 2, FALSE)"),"Design an experiment to observe cooling effect of evaporation.")</f>
        <v>Design an experiment to observe cooling effect of evaporation.</v>
      </c>
      <c r="U17" s="11" t="str">
        <f ca="1">IFERROR(__xludf.DUMMYFUNCTION("ArrayFormula(VLOOKUP(G17, IMPORTRANGE(""https://docs.google.com/spreadsheets/d/1p7R4vtkWt5VOBim4ltsDG9KTzSjrtKXsMtQGXPHyND0/edit#gid=795171502"", ""'Filter 30_05_2024'!A1:M2000""), {2, 3, 4, 5,6,7,8,9,10,11,12,13}, 0))"),"#N/A")</f>
        <v>#N/A</v>
      </c>
      <c r="V17" s="11" t="str">
        <f ca="1">IFERROR(__xludf.DUMMYFUNCTION("""COMPUTED_VALUE"""),"#N/A")</f>
        <v>#N/A</v>
      </c>
      <c r="W17" s="11" t="str">
        <f ca="1">IFERROR(__xludf.DUMMYFUNCTION("""COMPUTED_VALUE"""),"#N/A")</f>
        <v>#N/A</v>
      </c>
      <c r="X17" s="11" t="str">
        <f ca="1">IFERROR(__xludf.DUMMYFUNCTION("""COMPUTED_VALUE"""),"#N/A")</f>
        <v>#N/A</v>
      </c>
      <c r="Y17" s="11" t="str">
        <f ca="1">IFERROR(__xludf.DUMMYFUNCTION("""COMPUTED_VALUE"""),"#N/A")</f>
        <v>#N/A</v>
      </c>
      <c r="Z17" s="12" t="str">
        <f ca="1">IFERROR(__xludf.DUMMYFUNCTION("""COMPUTED_VALUE"""),"#N/A")</f>
        <v>#N/A</v>
      </c>
      <c r="AA17" s="12" t="str">
        <f ca="1">IFERROR(__xludf.DUMMYFUNCTION("""COMPUTED_VALUE"""),"#N/A")</f>
        <v>#N/A</v>
      </c>
      <c r="AB17" s="12" t="str">
        <f ca="1">IFERROR(__xludf.DUMMYFUNCTION("""COMPUTED_VALUE"""),"#N/A")</f>
        <v>#N/A</v>
      </c>
      <c r="AC17" s="12" t="str">
        <f ca="1">IFERROR(__xludf.DUMMYFUNCTION("""COMPUTED_VALUE"""),"#N/A")</f>
        <v>#N/A</v>
      </c>
      <c r="AD17" s="12" t="str">
        <f ca="1">IFERROR(__xludf.DUMMYFUNCTION("""COMPUTED_VALUE"""),"#N/A")</f>
        <v>#N/A</v>
      </c>
      <c r="AE17" s="12" t="str">
        <f ca="1">IFERROR(__xludf.DUMMYFUNCTION("""COMPUTED_VALUE"""),"#N/A")</f>
        <v>#N/A</v>
      </c>
      <c r="AF17" s="12" t="str">
        <f ca="1">IFERROR(__xludf.DUMMYFUNCTION("""COMPUTED_VALUE"""),"#N/A")</f>
        <v>#N/A</v>
      </c>
      <c r="AG17" s="13" t="str">
        <f ca="1">IFERROR(__xludf.DUMMYFUNCTION("ArrayFormula(VLOOKUP(G17, IMPORTRANGE(""https://docs.google.com/spreadsheets/d/1Co934fvtviyaRiMsrIlT05Jaq7iiYq07aLvRr35KA48/edit?gid=173865642#gid=173865642"", ""'G9 Sci_Pri_LU'!G2:V2000""), {3, 4, 5, 6, 7, 8, 9, 10, 11, 12, 13, 14, 15, 16}, 0))"),"LU006208")</f>
        <v>LU006208</v>
      </c>
      <c r="AH17" s="22" t="str">
        <f ca="1">IFERROR(__xludf.DUMMYFUNCTION("""COMPUTED_VALUE"""),"Factors Affecting Evaporation")</f>
        <v>Factors Affecting Evaporation</v>
      </c>
      <c r="AI17" s="13"/>
      <c r="AJ17" s="13"/>
      <c r="AK17" s="13"/>
      <c r="AL17" s="13"/>
      <c r="AM17" s="13"/>
      <c r="AN17" s="13"/>
      <c r="AO17" s="13"/>
      <c r="AP17" s="13"/>
      <c r="AQ17" s="13"/>
      <c r="AR17" s="13"/>
      <c r="AS17" s="13"/>
      <c r="AT17" s="13"/>
    </row>
    <row r="18" spans="1:46">
      <c r="A18" s="8" t="s">
        <v>247</v>
      </c>
      <c r="B18" s="8" t="s">
        <v>47</v>
      </c>
      <c r="C18" s="8" t="s">
        <v>979</v>
      </c>
      <c r="D18" s="8" t="s">
        <v>1441</v>
      </c>
      <c r="E18" s="9" t="s">
        <v>2254</v>
      </c>
      <c r="F18" s="9" t="s">
        <v>2255</v>
      </c>
      <c r="G18" s="9" t="s">
        <v>2256</v>
      </c>
      <c r="H18" s="9" t="str">
        <f ca="1">IFERROR(__xludf.DUMMYFUNCTION("VLOOKUP(G18, IMPORTRANGE(""https://docs.google.com/spreadsheets/d/14deopnvwcrKtEGCKuYXdUHJbeLDZlkiSSWWT0g7x2pM/edit#gid=849066331"", ""LU List Science (Filter)!A:B""), 2, FALSE)"),"Definition of mixtures, components of mixture, and pure substance.")</f>
        <v>Definition of mixtures, components of mixture, and pure substance.</v>
      </c>
      <c r="I18" s="10" t="str">
        <f t="shared" si="0"/>
        <v>LU005299.001</v>
      </c>
      <c r="J18" s="10" t="str">
        <f ca="1">IFERROR(__xludf.DUMMYFUNCTION("VLOOKUP(I18, IMPORTRANGE(""https://docs.google.com/spreadsheets/d/1yDAaXNsi4Mr5FtRQL4tbmSdIzhx6_m4wkOD7IG-k_eo/edit#gid=1336395716"", ""Science!M:N""), 2, FALSE)"),"Recall the definitions of mixtures, components of a mixture, and pure substances.")</f>
        <v>Recall the definitions of mixtures, components of a mixture, and pure substances.</v>
      </c>
      <c r="K18" s="10" t="str">
        <f t="shared" si="1"/>
        <v>LU005299.002</v>
      </c>
      <c r="L18" s="10" t="str">
        <f ca="1">IFERROR(__xludf.DUMMYFUNCTION("VLOOKUP(K18, IMPORTRANGE(""https://docs.google.com/spreadsheets/d/1yDAaXNsi4Mr5FtRQL4tbmSdIzhx6_m4wkOD7IG-k_eo/edit#gid=1336395716"", ""Science!M:N""), 2, FALSE)"),"Explain the differences between mixtures and pure substances.")</f>
        <v>Explain the differences between mixtures and pure substances.</v>
      </c>
      <c r="M18" s="10" t="str">
        <f t="shared" si="2"/>
        <v>LU005299.003</v>
      </c>
      <c r="N18" s="10" t="str">
        <f ca="1">IFERROR(__xludf.DUMMYFUNCTION("VLOOKUP(M18, IMPORTRANGE(""https://docs.google.com/spreadsheets/d/1yDAaXNsi4Mr5FtRQL4tbmSdIzhx6_m4wkOD7IG-k_eo/edit#gid=1336395716"", ""Science!M:N""), 2, FALSE)"),"Classify various substances as mixtures or pure substances.")</f>
        <v>Classify various substances as mixtures or pure substances.</v>
      </c>
      <c r="O18" s="10" t="str">
        <f t="shared" si="3"/>
        <v>LU005299.004</v>
      </c>
      <c r="P18" s="10" t="str">
        <f ca="1">IFERROR(__xludf.DUMMYFUNCTION("VLOOKUP(O18, IMPORTRANGE(""https://docs.google.com/spreadsheets/d/1yDAaXNsi4Mr5FtRQL4tbmSdIzhx6_m4wkOD7IG-k_eo/edit#gid=1336395716"", ""Science!M:N""), 2, FALSE)"),"Analyze the composition of different mixtures to identify their components.")</f>
        <v>Analyze the composition of different mixtures to identify their components.</v>
      </c>
      <c r="Q18" s="10" t="str">
        <f t="shared" si="4"/>
        <v>LU005299.005</v>
      </c>
      <c r="R18" s="10" t="str">
        <f ca="1">IFERROR(__xludf.DUMMYFUNCTION("VLOOKUP(Q18, IMPORTRANGE(""https://docs.google.com/spreadsheets/d/1yDAaXNsi4Mr5FtRQL4tbmSdIzhx6_m4wkOD7IG-k_eo/edit#gid=1336395716"", ""Science!M:N""), 2, FALSE)"),"Evaluate the properties of a given substance to determine if it is a mixture or a pure substance.")</f>
        <v>Evaluate the properties of a given substance to determine if it is a mixture or a pure substance.</v>
      </c>
      <c r="S18" s="10" t="str">
        <f t="shared" si="5"/>
        <v>LU005299.006</v>
      </c>
      <c r="T18" s="10" t="str">
        <f ca="1">IFERROR(__xludf.DUMMYFUNCTION("VLOOKUP(S18, IMPORTRANGE(""https://docs.google.com/spreadsheets/d/1yDAaXNsi4Mr5FtRQL4tbmSdIzhx6_m4wkOD7IG-k_eo/edit#gid=1336395716"", ""Science!M:N""), 2, FALSE)"),"#N/A")</f>
        <v>#N/A</v>
      </c>
      <c r="U18" s="11" t="str">
        <f ca="1">IFERROR(__xludf.DUMMYFUNCTION("ArrayFormula(VLOOKUP(G18, IMPORTRANGE(""https://docs.google.com/spreadsheets/d/1p7R4vtkWt5VOBim4ltsDG9KTzSjrtKXsMtQGXPHyND0/edit#gid=795171502"", ""'Filter 30_05_2024'!A1:M2000""), {2, 3, 4, 5,6,7,8,9,10,11,12,13}, 0))"),"#N/A")</f>
        <v>#N/A</v>
      </c>
      <c r="V18" s="11" t="str">
        <f ca="1">IFERROR(__xludf.DUMMYFUNCTION("""COMPUTED_VALUE"""),"#N/A")</f>
        <v>#N/A</v>
      </c>
      <c r="W18" s="11" t="str">
        <f ca="1">IFERROR(__xludf.DUMMYFUNCTION("""COMPUTED_VALUE"""),"#N/A")</f>
        <v>#N/A</v>
      </c>
      <c r="X18" s="11" t="str">
        <f ca="1">IFERROR(__xludf.DUMMYFUNCTION("""COMPUTED_VALUE"""),"#N/A")</f>
        <v>#N/A</v>
      </c>
      <c r="Y18" s="11" t="str">
        <f ca="1">IFERROR(__xludf.DUMMYFUNCTION("""COMPUTED_VALUE"""),"#N/A")</f>
        <v>#N/A</v>
      </c>
      <c r="Z18" s="12" t="str">
        <f ca="1">IFERROR(__xludf.DUMMYFUNCTION("""COMPUTED_VALUE"""),"#N/A")</f>
        <v>#N/A</v>
      </c>
      <c r="AA18" s="12" t="str">
        <f ca="1">IFERROR(__xludf.DUMMYFUNCTION("""COMPUTED_VALUE"""),"#N/A")</f>
        <v>#N/A</v>
      </c>
      <c r="AB18" s="12" t="str">
        <f ca="1">IFERROR(__xludf.DUMMYFUNCTION("""COMPUTED_VALUE"""),"#N/A")</f>
        <v>#N/A</v>
      </c>
      <c r="AC18" s="12" t="str">
        <f ca="1">IFERROR(__xludf.DUMMYFUNCTION("""COMPUTED_VALUE"""),"#N/A")</f>
        <v>#N/A</v>
      </c>
      <c r="AD18" s="12" t="str">
        <f ca="1">IFERROR(__xludf.DUMMYFUNCTION("""COMPUTED_VALUE"""),"#N/A")</f>
        <v>#N/A</v>
      </c>
      <c r="AE18" s="12" t="str">
        <f ca="1">IFERROR(__xludf.DUMMYFUNCTION("""COMPUTED_VALUE"""),"#N/A")</f>
        <v>#N/A</v>
      </c>
      <c r="AF18" s="12" t="str">
        <f ca="1">IFERROR(__xludf.DUMMYFUNCTION("""COMPUTED_VALUE"""),"#N/A")</f>
        <v>#N/A</v>
      </c>
      <c r="AG18" s="13" t="str">
        <f ca="1">IFERROR(__xludf.DUMMYFUNCTION("ArrayFormula(VLOOKUP(G18, IMPORTRANGE(""https://docs.google.com/spreadsheets/d/1Co934fvtviyaRiMsrIlT05Jaq7iiYq07aLvRr35KA48/edit?gid=173865642#gid=173865642"", ""'G9 Sci_Pri_LU'!G2:V2000""), {3, 4, 5, 6, 7, 8, 9, 10, 11, 12, 13, 14, 15, 16}, 0))"),"")</f>
        <v/>
      </c>
      <c r="AH18" s="22"/>
      <c r="AI18" s="13"/>
      <c r="AJ18" s="13"/>
      <c r="AK18" s="13"/>
      <c r="AL18" s="13"/>
      <c r="AM18" s="13"/>
      <c r="AN18" s="13"/>
      <c r="AO18" s="13"/>
      <c r="AP18" s="13"/>
      <c r="AQ18" s="13"/>
      <c r="AR18" s="13"/>
      <c r="AS18" s="13"/>
      <c r="AT18" s="13"/>
    </row>
    <row r="19" spans="1:46">
      <c r="A19" s="8" t="s">
        <v>247</v>
      </c>
      <c r="B19" s="8" t="s">
        <v>47</v>
      </c>
      <c r="C19" s="8" t="s">
        <v>979</v>
      </c>
      <c r="D19" s="8" t="s">
        <v>1441</v>
      </c>
      <c r="E19" s="9" t="s">
        <v>2254</v>
      </c>
      <c r="F19" s="9" t="s">
        <v>2255</v>
      </c>
      <c r="G19" s="9" t="s">
        <v>2257</v>
      </c>
      <c r="H19" s="8" t="str">
        <f ca="1">IFERROR(__xludf.DUMMYFUNCTION("VLOOKUP(G19, IMPORTRANGE(""https://docs.google.com/spreadsheets/d/14deopnvwcrKtEGCKuYXdUHJbeLDZlkiSSWWT0g7x2pM/edit#gid=849066331"", ""LU List Science (Filter)!A:B""), 2, FALSE)"),"Definition of Heterogenous and Homogenous mixtures")</f>
        <v>Definition of Heterogenous and Homogenous mixtures</v>
      </c>
      <c r="I19" s="10" t="str">
        <f t="shared" si="0"/>
        <v>LU006082.001</v>
      </c>
      <c r="J19" s="10" t="str">
        <f ca="1">IFERROR(__xludf.DUMMYFUNCTION("VLOOKUP(I19, IMPORTRANGE(""https://docs.google.com/spreadsheets/d/1yDAaXNsi4Mr5FtRQL4tbmSdIzhx6_m4wkOD7IG-k_eo/edit#gid=1336395716"", ""Science!M:N""), 2, FALSE)"),"Define heterogenous and homogenous mixtures.")</f>
        <v>Define heterogenous and homogenous mixtures.</v>
      </c>
      <c r="K19" s="10" t="str">
        <f t="shared" si="1"/>
        <v>LU006082.002</v>
      </c>
      <c r="L19" s="10" t="str">
        <f ca="1">IFERROR(__xludf.DUMMYFUNCTION("VLOOKUP(K19, IMPORTRANGE(""https://docs.google.com/spreadsheets/d/1yDAaXNsi4Mr5FtRQL4tbmSdIzhx6_m4wkOD7IG-k_eo/edit#gid=1336395716"", ""Science!M:N""), 2, FALSE)"),"Describe the characteristics that distinguish heterogenous and homogenous mixtures.")</f>
        <v>Describe the characteristics that distinguish heterogenous and homogenous mixtures.</v>
      </c>
      <c r="M19" s="10" t="str">
        <f t="shared" si="2"/>
        <v>LU006082.003</v>
      </c>
      <c r="N19" s="10" t="str">
        <f ca="1">IFERROR(__xludf.DUMMYFUNCTION("VLOOKUP(M19, IMPORTRANGE(""https://docs.google.com/spreadsheets/d/1yDAaXNsi4Mr5FtRQL4tbmSdIzhx6_m4wkOD7IG-k_eo/edit#gid=1336395716"", ""Science!M:N""), 2, FALSE)"),"Classify given examples of mixtures as either heterogenous or homogenous and explain the reasoning behind the classification.")</f>
        <v>Classify given examples of mixtures as either heterogenous or homogenous and explain the reasoning behind the classification.</v>
      </c>
      <c r="O19" s="10" t="str">
        <f t="shared" si="3"/>
        <v>LU006082.004</v>
      </c>
      <c r="P19" s="10" t="str">
        <f ca="1">IFERROR(__xludf.DUMMYFUNCTION("VLOOKUP(O19, IMPORTRANGE(""https://docs.google.com/spreadsheets/d/1yDAaXNsi4Mr5FtRQL4tbmSdIzhx6_m4wkOD7IG-k_eo/edit#gid=1336395716"", ""Science!M:N""), 2, FALSE)"),"Compare and contrast the properties of heterogenous and homogenous mixtures, including their appearance, composition, and uniformity.")</f>
        <v>Compare and contrast the properties of heterogenous and homogenous mixtures, including their appearance, composition, and uniformity.</v>
      </c>
      <c r="Q19" s="10" t="str">
        <f t="shared" si="4"/>
        <v>LU006082.005</v>
      </c>
      <c r="R19" s="10" t="str">
        <f ca="1">IFERROR(__xludf.DUMMYFUNCTION("VLOOKUP(Q19, IMPORTRANGE(""https://docs.google.com/spreadsheets/d/1yDAaXNsi4Mr5FtRQL4tbmSdIzhx6_m4wkOD7IG-k_eo/edit#gid=1336395716"", ""Science!M:N""), 2, FALSE)"),"Evaluate the effectiveness of different separation techniques for heterogenous and homogenous mixtures based on their physical properties.")</f>
        <v>Evaluate the effectiveness of different separation techniques for heterogenous and homogenous mixtures based on their physical properties.</v>
      </c>
      <c r="S19" s="10" t="str">
        <f t="shared" si="5"/>
        <v>LU006082.006</v>
      </c>
      <c r="T19" s="10" t="str">
        <f ca="1">IFERROR(__xludf.DUMMYFUNCTION("VLOOKUP(S19, IMPORTRANGE(""https://docs.google.com/spreadsheets/d/1yDAaXNsi4Mr5FtRQL4tbmSdIzhx6_m4wkOD7IG-k_eo/edit#gid=1336395716"", ""Science!M:N""), 2, FALSE)"),"#N/A")</f>
        <v>#N/A</v>
      </c>
      <c r="U19" s="11" t="str">
        <f ca="1">IFERROR(__xludf.DUMMYFUNCTION("ArrayFormula(VLOOKUP(G19, IMPORTRANGE(""https://docs.google.com/spreadsheets/d/1p7R4vtkWt5VOBim4ltsDG9KTzSjrtKXsMtQGXPHyND0/edit#gid=795171502"", ""'Filter 30_05_2024'!A1:M2000""), {2, 3, 4, 5,6,7,8,9,10,11,12,13}, 0))"),"#N/A")</f>
        <v>#N/A</v>
      </c>
      <c r="V19" s="11" t="str">
        <f ca="1">IFERROR(__xludf.DUMMYFUNCTION("""COMPUTED_VALUE"""),"#N/A")</f>
        <v>#N/A</v>
      </c>
      <c r="W19" s="11" t="str">
        <f ca="1">IFERROR(__xludf.DUMMYFUNCTION("""COMPUTED_VALUE"""),"#N/A")</f>
        <v>#N/A</v>
      </c>
      <c r="X19" s="11" t="str">
        <f ca="1">IFERROR(__xludf.DUMMYFUNCTION("""COMPUTED_VALUE"""),"#N/A")</f>
        <v>#N/A</v>
      </c>
      <c r="Y19" s="11" t="str">
        <f ca="1">IFERROR(__xludf.DUMMYFUNCTION("""COMPUTED_VALUE"""),"#N/A")</f>
        <v>#N/A</v>
      </c>
      <c r="Z19" s="12" t="str">
        <f ca="1">IFERROR(__xludf.DUMMYFUNCTION("""COMPUTED_VALUE"""),"#N/A")</f>
        <v>#N/A</v>
      </c>
      <c r="AA19" s="12" t="str">
        <f ca="1">IFERROR(__xludf.DUMMYFUNCTION("""COMPUTED_VALUE"""),"#N/A")</f>
        <v>#N/A</v>
      </c>
      <c r="AB19" s="12" t="str">
        <f ca="1">IFERROR(__xludf.DUMMYFUNCTION("""COMPUTED_VALUE"""),"#N/A")</f>
        <v>#N/A</v>
      </c>
      <c r="AC19" s="12" t="str">
        <f ca="1">IFERROR(__xludf.DUMMYFUNCTION("""COMPUTED_VALUE"""),"#N/A")</f>
        <v>#N/A</v>
      </c>
      <c r="AD19" s="12" t="str">
        <f ca="1">IFERROR(__xludf.DUMMYFUNCTION("""COMPUTED_VALUE"""),"#N/A")</f>
        <v>#N/A</v>
      </c>
      <c r="AE19" s="12" t="str">
        <f ca="1">IFERROR(__xludf.DUMMYFUNCTION("""COMPUTED_VALUE"""),"#N/A")</f>
        <v>#N/A</v>
      </c>
      <c r="AF19" s="12" t="str">
        <f ca="1">IFERROR(__xludf.DUMMYFUNCTION("""COMPUTED_VALUE"""),"#N/A")</f>
        <v>#N/A</v>
      </c>
      <c r="AG19" s="13" t="str">
        <f ca="1">IFERROR(__xludf.DUMMYFUNCTION("ArrayFormula(VLOOKUP(G19, IMPORTRANGE(""https://docs.google.com/spreadsheets/d/1Co934fvtviyaRiMsrIlT05Jaq7iiYq07aLvRr35KA48/edit?gid=173865642#gid=173865642"", ""'G9 Sci_Pri_LU'!G2:V2000""), {3, 4, 5, 6, 7, 8, 9, 10, 11, 12, 13, 14, 15, 16}, 0))"),"LU005299")</f>
        <v>LU005299</v>
      </c>
      <c r="AH19" s="22" t="str">
        <f ca="1">IFERROR(__xludf.DUMMYFUNCTION("""COMPUTED_VALUE"""),"Definition of mixtures, components of mixture, and pure substance.")</f>
        <v>Definition of mixtures, components of mixture, and pure substance.</v>
      </c>
      <c r="AI19" s="13"/>
      <c r="AJ19" s="13"/>
      <c r="AK19" s="13"/>
      <c r="AL19" s="13"/>
      <c r="AM19" s="13"/>
      <c r="AN19" s="13"/>
      <c r="AO19" s="13"/>
      <c r="AP19" s="13"/>
      <c r="AQ19" s="13"/>
      <c r="AR19" s="13"/>
      <c r="AS19" s="13"/>
      <c r="AT19" s="13"/>
    </row>
    <row r="20" spans="1:46">
      <c r="A20" s="8" t="s">
        <v>247</v>
      </c>
      <c r="B20" s="8" t="s">
        <v>47</v>
      </c>
      <c r="C20" s="8" t="s">
        <v>979</v>
      </c>
      <c r="D20" s="8" t="s">
        <v>1441</v>
      </c>
      <c r="E20" s="9" t="s">
        <v>2254</v>
      </c>
      <c r="F20" s="9" t="s">
        <v>2258</v>
      </c>
      <c r="G20" s="9" t="s">
        <v>2259</v>
      </c>
      <c r="H20" s="8" t="str">
        <f ca="1">IFERROR(__xludf.DUMMYFUNCTION("VLOOKUP(G20, IMPORTRANGE(""https://docs.google.com/spreadsheets/d/14deopnvwcrKtEGCKuYXdUHJbeLDZlkiSSWWT0g7x2pM/edit#gid=849066331"", ""LU List Science (Filter)!A:B""), 2, FALSE)"),"Solution and Its Properties")</f>
        <v>Solution and Its Properties</v>
      </c>
      <c r="I20" s="10" t="str">
        <f t="shared" si="0"/>
        <v>LU006210.001</v>
      </c>
      <c r="J20" s="10" t="str">
        <f ca="1">IFERROR(__xludf.DUMMYFUNCTION("VLOOKUP(I20, IMPORTRANGE(""https://docs.google.com/spreadsheets/d/1yDAaXNsi4Mr5FtRQL4tbmSdIzhx6_m4wkOD7IG-k_eo/edit#gid=1336395716"", ""Science!M:N""), 2, FALSE)"),"Define what a solution is and identify its components.")</f>
        <v>Define what a solution is and identify its components.</v>
      </c>
      <c r="K20" s="10" t="str">
        <f t="shared" si="1"/>
        <v>LU006210.002</v>
      </c>
      <c r="L20" s="10" t="str">
        <f ca="1">IFERROR(__xludf.DUMMYFUNCTION("VLOOKUP(K20, IMPORTRANGE(""https://docs.google.com/spreadsheets/d/1yDAaXNsi4Mr5FtRQL4tbmSdIzhx6_m4wkOD7IG-k_eo/edit#gid=1336395716"", ""Science!M:N""), 2, FALSE)"),"Explain the roles of solvent and solute in a solution.")</f>
        <v>Explain the roles of solvent and solute in a solution.</v>
      </c>
      <c r="M20" s="10" t="str">
        <f t="shared" si="2"/>
        <v>LU006210.003</v>
      </c>
      <c r="N20" s="10" t="str">
        <f ca="1">IFERROR(__xludf.DUMMYFUNCTION("VLOOKUP(M20, IMPORTRANGE(""https://docs.google.com/spreadsheets/d/1yDAaXNsi4Mr5FtRQL4tbmSdIzhx6_m4wkOD7IG-k_eo/edit#gid=1336395716"", ""Science!M:N""), 2, FALSE)"),"Demonstrate the preparation of different types of solutions, such as solid in liquid and gas in liquid, using common household substances.")</f>
        <v>Demonstrate the preparation of different types of solutions, such as solid in liquid and gas in liquid, using common household substances.</v>
      </c>
      <c r="O20" s="10" t="str">
        <f t="shared" si="3"/>
        <v>LU006210.004</v>
      </c>
      <c r="P20" s="10" t="str">
        <f ca="1">IFERROR(__xludf.DUMMYFUNCTION("VLOOKUP(O20, IMPORTRANGE(""https://docs.google.com/spreadsheets/d/1yDAaXNsi4Mr5FtRQL4tbmSdIzhx6_m4wkOD7IG-k_eo/edit#gid=1336395716"", ""Science!M:N""), 2, FALSE)"),"Compare different types of solutions, like solid solutions and gaseous solutions, based on their components.")</f>
        <v>Compare different types of solutions, like solid solutions and gaseous solutions, based on their components.</v>
      </c>
      <c r="Q20" s="10" t="str">
        <f t="shared" si="4"/>
        <v>LU006210.005</v>
      </c>
      <c r="R20" s="10" t="str">
        <f ca="1">IFERROR(__xludf.DUMMYFUNCTION("VLOOKUP(Q20, IMPORTRANGE(""https://docs.google.com/spreadsheets/d/1yDAaXNsi4Mr5FtRQL4tbmSdIzhx6_m4wkOD7IG-k_eo/edit#gid=1336395716"", ""Science!M:N""), 2, FALSE)"),"Evaluate why lemonade tastes the same throughout, considering the homogeneity at the particle level.")</f>
        <v>Evaluate why lemonade tastes the same throughout, considering the homogeneity at the particle level.</v>
      </c>
      <c r="S20" s="10" t="str">
        <f t="shared" si="5"/>
        <v>LU006210.006</v>
      </c>
      <c r="T20" s="10" t="str">
        <f ca="1">IFERROR(__xludf.DUMMYFUNCTION("VLOOKUP(S20, IMPORTRANGE(""https://docs.google.com/spreadsheets/d/1yDAaXNsi4Mr5FtRQL4tbmSdIzhx6_m4wkOD7IG-k_eo/edit#gid=1336395716"", ""Science!M:N""), 2, FALSE)"),"Design an experiment to demonstrate the homogeneity of a solution using common household substances like salt and water.")</f>
        <v>Design an experiment to demonstrate the homogeneity of a solution using common household substances like salt and water.</v>
      </c>
      <c r="U20" s="11" t="str">
        <f ca="1">IFERROR(__xludf.DUMMYFUNCTION("ArrayFormula(VLOOKUP(G20, IMPORTRANGE(""https://docs.google.com/spreadsheets/d/1p7R4vtkWt5VOBim4ltsDG9KTzSjrtKXsMtQGXPHyND0/edit#gid=795171502"", ""'Filter 30_05_2024'!A1:M2000""), {2, 3, 4, 5,6,7,8,9,10,11,12,13}, 0))"),"#N/A")</f>
        <v>#N/A</v>
      </c>
      <c r="V20" s="11" t="str">
        <f ca="1">IFERROR(__xludf.DUMMYFUNCTION("""COMPUTED_VALUE"""),"#N/A")</f>
        <v>#N/A</v>
      </c>
      <c r="W20" s="11" t="str">
        <f ca="1">IFERROR(__xludf.DUMMYFUNCTION("""COMPUTED_VALUE"""),"#N/A")</f>
        <v>#N/A</v>
      </c>
      <c r="X20" s="11" t="str">
        <f ca="1">IFERROR(__xludf.DUMMYFUNCTION("""COMPUTED_VALUE"""),"#N/A")</f>
        <v>#N/A</v>
      </c>
      <c r="Y20" s="11" t="str">
        <f ca="1">IFERROR(__xludf.DUMMYFUNCTION("""COMPUTED_VALUE"""),"#N/A")</f>
        <v>#N/A</v>
      </c>
      <c r="Z20" s="12" t="str">
        <f ca="1">IFERROR(__xludf.DUMMYFUNCTION("""COMPUTED_VALUE"""),"#N/A")</f>
        <v>#N/A</v>
      </c>
      <c r="AA20" s="12" t="str">
        <f ca="1">IFERROR(__xludf.DUMMYFUNCTION("""COMPUTED_VALUE"""),"#N/A")</f>
        <v>#N/A</v>
      </c>
      <c r="AB20" s="12" t="str">
        <f ca="1">IFERROR(__xludf.DUMMYFUNCTION("""COMPUTED_VALUE"""),"#N/A")</f>
        <v>#N/A</v>
      </c>
      <c r="AC20" s="12" t="str">
        <f ca="1">IFERROR(__xludf.DUMMYFUNCTION("""COMPUTED_VALUE"""),"#N/A")</f>
        <v>#N/A</v>
      </c>
      <c r="AD20" s="12" t="str">
        <f ca="1">IFERROR(__xludf.DUMMYFUNCTION("""COMPUTED_VALUE"""),"#N/A")</f>
        <v>#N/A</v>
      </c>
      <c r="AE20" s="12" t="str">
        <f ca="1">IFERROR(__xludf.DUMMYFUNCTION("""COMPUTED_VALUE"""),"#N/A")</f>
        <v>#N/A</v>
      </c>
      <c r="AF20" s="12" t="str">
        <f ca="1">IFERROR(__xludf.DUMMYFUNCTION("""COMPUTED_VALUE"""),"#N/A")</f>
        <v>#N/A</v>
      </c>
      <c r="AG20" s="13" t="str">
        <f ca="1">IFERROR(__xludf.DUMMYFUNCTION("ArrayFormula(VLOOKUP(G20, IMPORTRANGE(""https://docs.google.com/spreadsheets/d/1Co934fvtviyaRiMsrIlT05Jaq7iiYq07aLvRr35KA48/edit?gid=173865642#gid=173865642"", ""'G9 Sci_Pri_LU'!G2:V2000""), {3, 4, 5, 6, 7, 8, 9, 10, 11, 12, 13, 14, 15, 16}, 0))"),"LU006082")</f>
        <v>LU006082</v>
      </c>
      <c r="AH20" s="22" t="str">
        <f ca="1">IFERROR(__xludf.DUMMYFUNCTION("""COMPUTED_VALUE"""),"Definition of Heterogenous and Homogenous mixtures")</f>
        <v>Definition of Heterogenous and Homogenous mixtures</v>
      </c>
      <c r="AI20" s="13"/>
      <c r="AJ20" s="13"/>
      <c r="AK20" s="13"/>
      <c r="AL20" s="13"/>
      <c r="AM20" s="13"/>
      <c r="AN20" s="13"/>
      <c r="AO20" s="13"/>
      <c r="AP20" s="13"/>
      <c r="AQ20" s="13"/>
      <c r="AR20" s="13"/>
      <c r="AS20" s="13"/>
      <c r="AT20" s="13"/>
    </row>
    <row r="21" spans="1:46">
      <c r="A21" s="8" t="s">
        <v>247</v>
      </c>
      <c r="B21" s="8" t="s">
        <v>47</v>
      </c>
      <c r="C21" s="8" t="s">
        <v>979</v>
      </c>
      <c r="D21" s="8" t="s">
        <v>1441</v>
      </c>
      <c r="E21" s="9" t="s">
        <v>2254</v>
      </c>
      <c r="F21" s="9" t="s">
        <v>2258</v>
      </c>
      <c r="G21" s="9" t="s">
        <v>2260</v>
      </c>
      <c r="H21" s="8" t="str">
        <f ca="1">IFERROR(__xludf.DUMMYFUNCTION("VLOOKUP(G21, IMPORTRANGE(""https://docs.google.com/spreadsheets/d/14deopnvwcrKtEGCKuYXdUHJbeLDZlkiSSWWT0g7x2pM/edit#gid=849066331"", ""LU List Science (Filter)!A:B""), 2, FALSE)"),"Concentration of a Solution")</f>
        <v>Concentration of a Solution</v>
      </c>
      <c r="I21" s="10" t="str">
        <f t="shared" si="0"/>
        <v>LU006212.001</v>
      </c>
      <c r="J21" s="10" t="str">
        <f ca="1">IFERROR(__xludf.DUMMYFUNCTION("VLOOKUP(I21, IMPORTRANGE(""https://docs.google.com/spreadsheets/d/1yDAaXNsi4Mr5FtRQL4tbmSdIzhx6_m4wkOD7IG-k_eo/edit#gid=1336395716"", ""Science!M:N""), 2, FALSE)"),"Define the terms dilute, concentrated, and saturated solution.")</f>
        <v>Define the terms dilute, concentrated, and saturated solution.</v>
      </c>
      <c r="K21" s="10" t="str">
        <f t="shared" si="1"/>
        <v>LU006212.002</v>
      </c>
      <c r="L21" s="10" t="str">
        <f ca="1">IFERROR(__xludf.DUMMYFUNCTION("VLOOKUP(K21, IMPORTRANGE(""https://docs.google.com/spreadsheets/d/1yDAaXNsi4Mr5FtRQL4tbmSdIzhx6_m4wkOD7IG-k_eo/edit#gid=1336395716"", ""Science!M:N""), 2, FALSE)"),"Explain the concept of a saturated solution and how no more solute can dissolve in it.")</f>
        <v>Explain the concept of a saturated solution and how no more solute can dissolve in it.</v>
      </c>
      <c r="M21" s="10" t="str">
        <f t="shared" si="2"/>
        <v>LU006212.003</v>
      </c>
      <c r="N21" s="10" t="str">
        <f ca="1">IFERROR(__xludf.DUMMYFUNCTION("VLOOKUP(M21, IMPORTRANGE(""https://docs.google.com/spreadsheets/d/1yDAaXNsi4Mr5FtRQL4tbmSdIzhx6_m4wkOD7IG-k_eo/edit#gid=1336395716"", ""Science!M:N""), 2, FALSE)"),"Demonstrate the process of making a saturated solution by dissolving a solute in water until no more can dissolve.")</f>
        <v>Demonstrate the process of making a saturated solution by dissolving a solute in water until no more can dissolve.</v>
      </c>
      <c r="O21" s="10" t="str">
        <f t="shared" si="3"/>
        <v>LU006212.004</v>
      </c>
      <c r="P21" s="10" t="str">
        <f ca="1">IFERROR(__xludf.DUMMYFUNCTION("VLOOKUP(O21, IMPORTRANGE(""https://docs.google.com/spreadsheets/d/1yDAaXNsi4Mr5FtRQL4tbmSdIzhx6_m4wkOD7IG-k_eo/edit#gid=1336395716"", ""Science!M:N""), 2, FALSE)"),"Compare the amount of solute that can be dissolved in a solvent to distinguish between saturated and unsaturated solutions.")</f>
        <v>Compare the amount of solute that can be dissolved in a solvent to distinguish between saturated and unsaturated solutions.</v>
      </c>
      <c r="Q21" s="10" t="str">
        <f t="shared" si="4"/>
        <v>LU006212.005</v>
      </c>
      <c r="R21" s="10" t="str">
        <f ca="1">IFERROR(__xludf.DUMMYFUNCTION("VLOOKUP(Q21, IMPORTRANGE(""https://docs.google.com/spreadsheets/d/1yDAaXNsi4Mr5FtRQL4tbmSdIzhx6_m4wkOD7IG-k_eo/edit#gid=1336395716"", ""Science!M:N""), 2, FALSE)"),"Evaluate the differences between dilute and concentrated solutions based on the proportion of solute to solvent.")</f>
        <v>Evaluate the differences between dilute and concentrated solutions based on the proportion of solute to solvent.</v>
      </c>
      <c r="S21" s="10" t="str">
        <f t="shared" si="5"/>
        <v>LU006212.006</v>
      </c>
      <c r="T21" s="10" t="str">
        <f ca="1">IFERROR(__xludf.DUMMYFUNCTION("VLOOKUP(S21, IMPORTRANGE(""https://docs.google.com/spreadsheets/d/1yDAaXNsi4Mr5FtRQL4tbmSdIzhx6_m4wkOD7IG-k_eo/edit#gid=1336395716"", ""Science!M:N""), 2, FALSE)"),"Design an experiment to determine when a solution becomes saturated by continuously adding solute until it no longer dissolves.")</f>
        <v>Design an experiment to determine when a solution becomes saturated by continuously adding solute until it no longer dissolves.</v>
      </c>
      <c r="U21" s="11" t="str">
        <f ca="1">IFERROR(__xludf.DUMMYFUNCTION("ArrayFormula(VLOOKUP(G21, IMPORTRANGE(""https://docs.google.com/spreadsheets/d/1p7R4vtkWt5VOBim4ltsDG9KTzSjrtKXsMtQGXPHyND0/edit#gid=795171502"", ""'Filter 30_05_2024'!A1:M2000""), {2, 3, 4, 5,6,7,8,9,10,11,12,13}, 0))"),"#N/A")</f>
        <v>#N/A</v>
      </c>
      <c r="V21" s="11" t="str">
        <f ca="1">IFERROR(__xludf.DUMMYFUNCTION("""COMPUTED_VALUE"""),"#N/A")</f>
        <v>#N/A</v>
      </c>
      <c r="W21" s="11" t="str">
        <f ca="1">IFERROR(__xludf.DUMMYFUNCTION("""COMPUTED_VALUE"""),"#N/A")</f>
        <v>#N/A</v>
      </c>
      <c r="X21" s="11" t="str">
        <f ca="1">IFERROR(__xludf.DUMMYFUNCTION("""COMPUTED_VALUE"""),"#N/A")</f>
        <v>#N/A</v>
      </c>
      <c r="Y21" s="11" t="str">
        <f ca="1">IFERROR(__xludf.DUMMYFUNCTION("""COMPUTED_VALUE"""),"#N/A")</f>
        <v>#N/A</v>
      </c>
      <c r="Z21" s="12" t="str">
        <f ca="1">IFERROR(__xludf.DUMMYFUNCTION("""COMPUTED_VALUE"""),"#N/A")</f>
        <v>#N/A</v>
      </c>
      <c r="AA21" s="12" t="str">
        <f ca="1">IFERROR(__xludf.DUMMYFUNCTION("""COMPUTED_VALUE"""),"#N/A")</f>
        <v>#N/A</v>
      </c>
      <c r="AB21" s="12" t="str">
        <f ca="1">IFERROR(__xludf.DUMMYFUNCTION("""COMPUTED_VALUE"""),"#N/A")</f>
        <v>#N/A</v>
      </c>
      <c r="AC21" s="12" t="str">
        <f ca="1">IFERROR(__xludf.DUMMYFUNCTION("""COMPUTED_VALUE"""),"#N/A")</f>
        <v>#N/A</v>
      </c>
      <c r="AD21" s="12" t="str">
        <f ca="1">IFERROR(__xludf.DUMMYFUNCTION("""COMPUTED_VALUE"""),"#N/A")</f>
        <v>#N/A</v>
      </c>
      <c r="AE21" s="12" t="str">
        <f ca="1">IFERROR(__xludf.DUMMYFUNCTION("""COMPUTED_VALUE"""),"#N/A")</f>
        <v>#N/A</v>
      </c>
      <c r="AF21" s="12" t="str">
        <f ca="1">IFERROR(__xludf.DUMMYFUNCTION("""COMPUTED_VALUE"""),"#N/A")</f>
        <v>#N/A</v>
      </c>
      <c r="AG21" s="13" t="str">
        <f ca="1">IFERROR(__xludf.DUMMYFUNCTION("ArrayFormula(VLOOKUP(G21, IMPORTRANGE(""https://docs.google.com/spreadsheets/d/1Co934fvtviyaRiMsrIlT05Jaq7iiYq07aLvRr35KA48/edit?gid=173865642#gid=173865642"", ""'G9 Sci_Pri_LU'!G2:V2000""), {3, 4, 5, 6, 7, 8, 9, 10, 11, 12, 13, 14, 15, 16}, 0))"),"LU006210")</f>
        <v>LU006210</v>
      </c>
      <c r="AH21" s="22" t="str">
        <f ca="1">IFERROR(__xludf.DUMMYFUNCTION("""COMPUTED_VALUE"""),"Solution and Its Properties")</f>
        <v>Solution and Its Properties</v>
      </c>
      <c r="AI21" s="13"/>
      <c r="AJ21" s="13"/>
      <c r="AK21" s="13"/>
      <c r="AL21" s="13"/>
      <c r="AM21" s="13"/>
      <c r="AN21" s="13"/>
      <c r="AO21" s="13"/>
      <c r="AP21" s="13"/>
      <c r="AQ21" s="13"/>
      <c r="AR21" s="13"/>
      <c r="AS21" s="13"/>
      <c r="AT21" s="13"/>
    </row>
    <row r="22" spans="1:46">
      <c r="A22" s="8" t="s">
        <v>247</v>
      </c>
      <c r="B22" s="8" t="s">
        <v>47</v>
      </c>
      <c r="C22" s="8" t="s">
        <v>979</v>
      </c>
      <c r="D22" s="8" t="s">
        <v>1441</v>
      </c>
      <c r="E22" s="9" t="s">
        <v>2254</v>
      </c>
      <c r="F22" s="9" t="s">
        <v>2261</v>
      </c>
      <c r="G22" s="9" t="s">
        <v>2262</v>
      </c>
      <c r="H22" s="8" t="str">
        <f ca="1">IFERROR(__xludf.DUMMYFUNCTION("VLOOKUP(G22, IMPORTRANGE(""https://docs.google.com/spreadsheets/d/14deopnvwcrKtEGCKuYXdUHJbeLDZlkiSSWWT0g7x2pM/edit#gid=849066331"", ""LU List Science (Filter)!A:B""), 2, FALSE)"),"Definition and Properties of a Suspension")</f>
        <v>Definition and Properties of a Suspension</v>
      </c>
      <c r="I22" s="10" t="str">
        <f t="shared" si="0"/>
        <v>LU006215.001</v>
      </c>
      <c r="J22" s="10" t="str">
        <f ca="1">IFERROR(__xludf.DUMMYFUNCTION("VLOOKUP(I22, IMPORTRANGE(""https://docs.google.com/spreadsheets/d/1yDAaXNsi4Mr5FtRQL4tbmSdIzhx6_m4wkOD7IG-k_eo/edit#gid=1336395716"", ""Science!M:N""), 2, FALSE)"),"Define suspension and identify its main characteristics.")</f>
        <v>Define suspension and identify its main characteristics.</v>
      </c>
      <c r="K22" s="10" t="str">
        <f t="shared" si="1"/>
        <v>LU006215.002</v>
      </c>
      <c r="L22" s="10" t="str">
        <f ca="1">IFERROR(__xludf.DUMMYFUNCTION("VLOOKUP(K22, IMPORTRANGE(""https://docs.google.com/spreadsheets/d/1yDAaXNsi4Mr5FtRQL4tbmSdIzhx6_m4wkOD7IG-k_eo/edit#gid=1336395716"", ""Science!M:N""), 2, FALSE)"),"Explain the properties of a suspension compared to solutions.")</f>
        <v>Explain the properties of a suspension compared to solutions.</v>
      </c>
      <c r="M22" s="10" t="str">
        <f t="shared" si="2"/>
        <v>LU006215.003</v>
      </c>
      <c r="N22" s="10" t="str">
        <f ca="1">IFERROR(__xludf.DUMMYFUNCTION("VLOOKUP(M22, IMPORTRANGE(""https://docs.google.com/spreadsheets/d/1yDAaXNsi4Mr5FtRQL4tbmSdIzhx6_m4wkOD7IG-k_eo/edit#gid=1336395716"", ""Science!M:N""), 2, FALSE)"),"Demonstrate the process of creating a suspension using common materials.")</f>
        <v>Demonstrate the process of creating a suspension using common materials.</v>
      </c>
      <c r="O22" s="10" t="str">
        <f t="shared" si="3"/>
        <v>LU006215.004</v>
      </c>
      <c r="P22" s="10" t="str">
        <f ca="1">IFERROR(__xludf.DUMMYFUNCTION("VLOOKUP(O22, IMPORTRANGE(""https://docs.google.com/spreadsheets/d/1yDAaXNsi4Mr5FtRQL4tbmSdIzhx6_m4wkOD7IG-k_eo/edit#gid=1336395716"", ""Science!M:N""), 2, FALSE)"),"Compare and contrast the behavior of suspensions with other types of mixtures.")</f>
        <v>Compare and contrast the behavior of suspensions with other types of mixtures.</v>
      </c>
      <c r="Q22" s="10" t="str">
        <f t="shared" si="4"/>
        <v>LU006215.005</v>
      </c>
      <c r="R22" s="10" t="str">
        <f ca="1">IFERROR(__xludf.DUMMYFUNCTION("VLOOKUP(Q22, IMPORTRANGE(""https://docs.google.com/spreadsheets/d/1yDAaXNsi4Mr5FtRQL4tbmSdIzhx6_m4wkOD7IG-k_eo/edit#gid=1336395716"", ""Science!M:N""), 2, FALSE)"),"Assess the stability of various suspensions and predict their behavior over time.")</f>
        <v>Assess the stability of various suspensions and predict their behavior over time.</v>
      </c>
      <c r="S22" s="10" t="str">
        <f t="shared" si="5"/>
        <v>LU006215.006</v>
      </c>
      <c r="T22" s="10" t="str">
        <f ca="1">IFERROR(__xludf.DUMMYFUNCTION("VLOOKUP(S22, IMPORTRANGE(""https://docs.google.com/spreadsheets/d/1yDAaXNsi4Mr5FtRQL4tbmSdIzhx6_m4wkOD7IG-k_eo/edit#gid=1336395716"", ""Science!M:N""), 2, FALSE)"),"Design an experiment to separate particles from a suspension using filtration.")</f>
        <v>Design an experiment to separate particles from a suspension using filtration.</v>
      </c>
      <c r="U22" s="11" t="str">
        <f ca="1">IFERROR(__xludf.DUMMYFUNCTION("ArrayFormula(VLOOKUP(G22, IMPORTRANGE(""https://docs.google.com/spreadsheets/d/1p7R4vtkWt5VOBim4ltsDG9KTzSjrtKXsMtQGXPHyND0/edit#gid=795171502"", ""'Filter 30_05_2024'!A1:M2000""), {2, 3, 4, 5,6,7,8,9,10,11,12,13}, 0))"),"#N/A")</f>
        <v>#N/A</v>
      </c>
      <c r="V22" s="11" t="str">
        <f ca="1">IFERROR(__xludf.DUMMYFUNCTION("""COMPUTED_VALUE"""),"#N/A")</f>
        <v>#N/A</v>
      </c>
      <c r="W22" s="11" t="str">
        <f ca="1">IFERROR(__xludf.DUMMYFUNCTION("""COMPUTED_VALUE"""),"#N/A")</f>
        <v>#N/A</v>
      </c>
      <c r="X22" s="11" t="str">
        <f ca="1">IFERROR(__xludf.DUMMYFUNCTION("""COMPUTED_VALUE"""),"#N/A")</f>
        <v>#N/A</v>
      </c>
      <c r="Y22" s="11" t="str">
        <f ca="1">IFERROR(__xludf.DUMMYFUNCTION("""COMPUTED_VALUE"""),"#N/A")</f>
        <v>#N/A</v>
      </c>
      <c r="Z22" s="12" t="str">
        <f ca="1">IFERROR(__xludf.DUMMYFUNCTION("""COMPUTED_VALUE"""),"#N/A")</f>
        <v>#N/A</v>
      </c>
      <c r="AA22" s="12" t="str">
        <f ca="1">IFERROR(__xludf.DUMMYFUNCTION("""COMPUTED_VALUE"""),"#N/A")</f>
        <v>#N/A</v>
      </c>
      <c r="AB22" s="12" t="str">
        <f ca="1">IFERROR(__xludf.DUMMYFUNCTION("""COMPUTED_VALUE"""),"#N/A")</f>
        <v>#N/A</v>
      </c>
      <c r="AC22" s="12" t="str">
        <f ca="1">IFERROR(__xludf.DUMMYFUNCTION("""COMPUTED_VALUE"""),"#N/A")</f>
        <v>#N/A</v>
      </c>
      <c r="AD22" s="12" t="str">
        <f ca="1">IFERROR(__xludf.DUMMYFUNCTION("""COMPUTED_VALUE"""),"#N/A")</f>
        <v>#N/A</v>
      </c>
      <c r="AE22" s="12" t="str">
        <f ca="1">IFERROR(__xludf.DUMMYFUNCTION("""COMPUTED_VALUE"""),"#N/A")</f>
        <v>#N/A</v>
      </c>
      <c r="AF22" s="12" t="str">
        <f ca="1">IFERROR(__xludf.DUMMYFUNCTION("""COMPUTED_VALUE"""),"#N/A")</f>
        <v>#N/A</v>
      </c>
      <c r="AG22" s="13" t="str">
        <f ca="1">IFERROR(__xludf.DUMMYFUNCTION("ArrayFormula(VLOOKUP(G22, IMPORTRANGE(""https://docs.google.com/spreadsheets/d/1Co934fvtviyaRiMsrIlT05Jaq7iiYq07aLvRr35KA48/edit?gid=173865642#gid=173865642"", ""'G9 Sci_Pri_LU'!G2:V2000""), {3, 4, 5, 6, 7, 8, 9, 10, 11, 12, 13, 14, 15, 16}, 0))"),"LU006082")</f>
        <v>LU006082</v>
      </c>
      <c r="AH22" s="22" t="str">
        <f ca="1">IFERROR(__xludf.DUMMYFUNCTION("""COMPUTED_VALUE"""),"Definition of Heterogenous and Homogenous mixtures")</f>
        <v>Definition of Heterogenous and Homogenous mixtures</v>
      </c>
      <c r="AI22" s="13"/>
      <c r="AJ22" s="13"/>
      <c r="AK22" s="13"/>
      <c r="AL22" s="13"/>
      <c r="AM22" s="13"/>
      <c r="AN22" s="13"/>
      <c r="AO22" s="13"/>
      <c r="AP22" s="13"/>
      <c r="AQ22" s="13"/>
      <c r="AR22" s="13"/>
      <c r="AS22" s="13"/>
      <c r="AT22" s="13"/>
    </row>
    <row r="23" spans="1:46">
      <c r="A23" s="8" t="s">
        <v>247</v>
      </c>
      <c r="B23" s="8" t="s">
        <v>47</v>
      </c>
      <c r="C23" s="8" t="s">
        <v>979</v>
      </c>
      <c r="D23" s="8" t="s">
        <v>1441</v>
      </c>
      <c r="E23" s="9" t="s">
        <v>2254</v>
      </c>
      <c r="F23" s="9" t="s">
        <v>2261</v>
      </c>
      <c r="G23" s="124" t="s">
        <v>2263</v>
      </c>
      <c r="H23" s="8" t="str">
        <f ca="1">IFERROR(__xludf.DUMMYFUNCTION("VLOOKUP(G23, IMPORTRANGE(""https://docs.google.com/spreadsheets/d/14deopnvwcrKtEGCKuYXdUHJbeLDZlkiSSWWT0g7x2pM/edit#gid=849066331"", ""LU List Science (Filter)!A:B""), 2, FALSE)"),"Colloidal Solution and Their Types")</f>
        <v>Colloidal Solution and Their Types</v>
      </c>
      <c r="I23" s="10" t="str">
        <f t="shared" si="0"/>
        <v>LU006216.001</v>
      </c>
      <c r="J23" s="10" t="str">
        <f ca="1">IFERROR(__xludf.DUMMYFUNCTION("VLOOKUP(I23, IMPORTRANGE(""https://docs.google.com/spreadsheets/d/1yDAaXNsi4Mr5FtRQL4tbmSdIzhx6_m4wkOD7IG-k_eo/edit#gid=1336395716"", ""Science!M:N""), 2, FALSE)"),"Define a colloidal solution, including the terms dispersed phase and dispersion medium.")</f>
        <v>Define a colloidal solution, including the terms dispersed phase and dispersion medium.</v>
      </c>
      <c r="K23" s="10" t="str">
        <f t="shared" si="1"/>
        <v>LU006216.002</v>
      </c>
      <c r="L23" s="10" t="str">
        <f ca="1">IFERROR(__xludf.DUMMYFUNCTION("VLOOKUP(K23, IMPORTRANGE(""https://docs.google.com/spreadsheets/d/1yDAaXNsi4Mr5FtRQL4tbmSdIzhx6_m4wkOD7IG-k_eo/edit#gid=1336395716"", ""Science!M:N""), 2, FALSE)"),"Explain why colloidal solutions appear homogeneous but are actually heterogeneous.")</f>
        <v>Explain why colloidal solutions appear homogeneous but are actually heterogeneous.</v>
      </c>
      <c r="M23" s="10" t="str">
        <f t="shared" si="2"/>
        <v>LU006216.003</v>
      </c>
      <c r="N23" s="10" t="str">
        <f ca="1">IFERROR(__xludf.DUMMYFUNCTION("VLOOKUP(M23, IMPORTRANGE(""https://docs.google.com/spreadsheets/d/1yDAaXNsi4Mr5FtRQL4tbmSdIzhx6_m4wkOD7IG-k_eo/edit#gid=1336395716"", ""Science!M:N""), 2, FALSE)"),"Demonstrate the identification of dispersed phase and dispersion medium in a given colloidal solution.")</f>
        <v>Demonstrate the identification of dispersed phase and dispersion medium in a given colloidal solution.</v>
      </c>
      <c r="O23" s="10" t="str">
        <f t="shared" si="3"/>
        <v>LU006216.004</v>
      </c>
      <c r="P23" s="10" t="str">
        <f ca="1">IFERROR(__xludf.DUMMYFUNCTION("VLOOKUP(O23, IMPORTRANGE(""https://docs.google.com/spreadsheets/d/1yDAaXNsi4Mr5FtRQL4tbmSdIzhx6_m4wkOD7IG-k_eo/edit#gid=1336395716"", ""Science!M:N""), 2, FALSE)"),"Compare the particle sizes in colloidal solutions to those in suspensions and true solutions, explaining their visibility.")</f>
        <v>Compare the particle sizes in colloidal solutions to those in suspensions and true solutions, explaining their visibility.</v>
      </c>
      <c r="Q23" s="10" t="str">
        <f t="shared" si="4"/>
        <v>LU006216.005</v>
      </c>
      <c r="R23" s="10" t="str">
        <f ca="1">IFERROR(__xludf.DUMMYFUNCTION("VLOOKUP(Q23, IMPORTRANGE(""https://docs.google.com/spreadsheets/d/1yDAaXNsi4Mr5FtRQL4tbmSdIzhx6_m4wkOD7IG-k_eo/edit#gid=1336395716"", ""Science!M:N""), 2, FALSE)"),"Evaluate the properties of colloidal solutions that make them appear homogeneous despite being heterogeneous.")</f>
        <v>Evaluate the properties of colloidal solutions that make them appear homogeneous despite being heterogeneous.</v>
      </c>
      <c r="S23" s="10" t="str">
        <f t="shared" si="5"/>
        <v>LU006216.006</v>
      </c>
      <c r="T23" s="10" t="str">
        <f ca="1">IFERROR(__xludf.DUMMYFUNCTION("VLOOKUP(S23, IMPORTRANGE(""https://docs.google.com/spreadsheets/d/1yDAaXNsi4Mr5FtRQL4tbmSdIzhx6_m4wkOD7IG-k_eo/edit#gid=1336395716"", ""Science!M:N""), 2, FALSE)"),"Design an experiment to create a colloidal solution and identify its dispersed phase and dispersion medium.")</f>
        <v>Design an experiment to create a colloidal solution and identify its dispersed phase and dispersion medium.</v>
      </c>
      <c r="U23" s="11" t="str">
        <f ca="1">IFERROR(__xludf.DUMMYFUNCTION("ArrayFormula(VLOOKUP(G23, IMPORTRANGE(""https://docs.google.com/spreadsheets/d/1p7R4vtkWt5VOBim4ltsDG9KTzSjrtKXsMtQGXPHyND0/edit#gid=795171502"", ""'Filter 30_05_2024'!A1:M2000""), {2, 3, 4, 5,6,7,8,9,10,11,12,13}, 0))"),"#N/A")</f>
        <v>#N/A</v>
      </c>
      <c r="V23" s="11" t="str">
        <f ca="1">IFERROR(__xludf.DUMMYFUNCTION("""COMPUTED_VALUE"""),"#N/A")</f>
        <v>#N/A</v>
      </c>
      <c r="W23" s="11" t="str">
        <f ca="1">IFERROR(__xludf.DUMMYFUNCTION("""COMPUTED_VALUE"""),"#N/A")</f>
        <v>#N/A</v>
      </c>
      <c r="X23" s="11" t="str">
        <f ca="1">IFERROR(__xludf.DUMMYFUNCTION("""COMPUTED_VALUE"""),"#N/A")</f>
        <v>#N/A</v>
      </c>
      <c r="Y23" s="11" t="str">
        <f ca="1">IFERROR(__xludf.DUMMYFUNCTION("""COMPUTED_VALUE"""),"#N/A")</f>
        <v>#N/A</v>
      </c>
      <c r="Z23" s="12" t="str">
        <f ca="1">IFERROR(__xludf.DUMMYFUNCTION("""COMPUTED_VALUE"""),"#N/A")</f>
        <v>#N/A</v>
      </c>
      <c r="AA23" s="12" t="str">
        <f ca="1">IFERROR(__xludf.DUMMYFUNCTION("""COMPUTED_VALUE"""),"#N/A")</f>
        <v>#N/A</v>
      </c>
      <c r="AB23" s="12" t="str">
        <f ca="1">IFERROR(__xludf.DUMMYFUNCTION("""COMPUTED_VALUE"""),"#N/A")</f>
        <v>#N/A</v>
      </c>
      <c r="AC23" s="12" t="str">
        <f ca="1">IFERROR(__xludf.DUMMYFUNCTION("""COMPUTED_VALUE"""),"#N/A")</f>
        <v>#N/A</v>
      </c>
      <c r="AD23" s="12" t="str">
        <f ca="1">IFERROR(__xludf.DUMMYFUNCTION("""COMPUTED_VALUE"""),"#N/A")</f>
        <v>#N/A</v>
      </c>
      <c r="AE23" s="12" t="str">
        <f ca="1">IFERROR(__xludf.DUMMYFUNCTION("""COMPUTED_VALUE"""),"#N/A")</f>
        <v>#N/A</v>
      </c>
      <c r="AF23" s="12" t="str">
        <f ca="1">IFERROR(__xludf.DUMMYFUNCTION("""COMPUTED_VALUE"""),"#N/A")</f>
        <v>#N/A</v>
      </c>
      <c r="AG23" s="13" t="str">
        <f ca="1">IFERROR(__xludf.DUMMYFUNCTION("ArrayFormula(VLOOKUP(G23, IMPORTRANGE(""https://docs.google.com/spreadsheets/d/1Co934fvtviyaRiMsrIlT05Jaq7iiYq07aLvRr35KA48/edit?gid=173865642#gid=173865642"", ""'G9 Sci_Pri_LU'!G2:V2000""), {3, 4, 5, 6, 7, 8, 9, 10, 11, 12, 13, 14, 15, 16}, 0))"),"LU006082")</f>
        <v>LU006082</v>
      </c>
      <c r="AH23" s="22" t="str">
        <f ca="1">IFERROR(__xludf.DUMMYFUNCTION("""COMPUTED_VALUE"""),"Definition of Heterogenous and Homogenous mixtures")</f>
        <v>Definition of Heterogenous and Homogenous mixtures</v>
      </c>
      <c r="AI23" s="13"/>
      <c r="AJ23" s="13"/>
      <c r="AK23" s="13"/>
      <c r="AL23" s="13"/>
      <c r="AM23" s="13"/>
      <c r="AN23" s="13"/>
      <c r="AO23" s="13"/>
      <c r="AP23" s="13"/>
      <c r="AQ23" s="13"/>
      <c r="AR23" s="13"/>
      <c r="AS23" s="13"/>
      <c r="AT23" s="13"/>
    </row>
    <row r="24" spans="1:46">
      <c r="A24" s="8" t="s">
        <v>247</v>
      </c>
      <c r="B24" s="8" t="s">
        <v>47</v>
      </c>
      <c r="C24" s="8" t="s">
        <v>979</v>
      </c>
      <c r="D24" s="8" t="s">
        <v>1441</v>
      </c>
      <c r="E24" s="9" t="s">
        <v>2254</v>
      </c>
      <c r="F24" s="9" t="s">
        <v>2261</v>
      </c>
      <c r="G24" s="9" t="s">
        <v>2264</v>
      </c>
      <c r="H24" s="8" t="str">
        <f ca="1">IFERROR(__xludf.DUMMYFUNCTION("VLOOKUP(G24, IMPORTRANGE(""https://docs.google.com/spreadsheets/d/14deopnvwcrKtEGCKuYXdUHJbeLDZlkiSSWWT0g7x2pM/edit#gid=849066331"", ""LU List Science (Filter)!A:B""), 2, FALSE)"),"Properties of Colloids")</f>
        <v>Properties of Colloids</v>
      </c>
      <c r="I24" s="10" t="str">
        <f t="shared" si="0"/>
        <v>LU006218.001</v>
      </c>
      <c r="J24" s="10" t="str">
        <f ca="1">IFERROR(__xludf.DUMMYFUNCTION("VLOOKUP(I24, IMPORTRANGE(""https://docs.google.com/spreadsheets/d/1yDAaXNsi4Mr5FtRQL4tbmSdIzhx6_m4wkOD7IG-k_eo/edit#gid=1336395716"", ""Science!M:N""), 2, FALSE)"),"Identify the key properties of colloids, including the Tyndall effect.")</f>
        <v>Identify the key properties of colloids, including the Tyndall effect.</v>
      </c>
      <c r="K24" s="10" t="str">
        <f t="shared" si="1"/>
        <v>LU006218.002</v>
      </c>
      <c r="L24" s="10" t="str">
        <f ca="1">IFERROR(__xludf.DUMMYFUNCTION("VLOOKUP(K24, IMPORTRANGE(""https://docs.google.com/spreadsheets/d/1yDAaXNsi4Mr5FtRQL4tbmSdIzhx6_m4wkOD7IG-k_eo/edit#gid=1336395716"", ""Science!M:N""), 2, FALSE)"),"Explain why colloids are heterogeneous mixtures and how the Tyndall effect helps in observing colloidal particles.")</f>
        <v>Explain why colloids are heterogeneous mixtures and how the Tyndall effect helps in observing colloidal particles.</v>
      </c>
      <c r="M24" s="10" t="str">
        <f t="shared" si="2"/>
        <v>LU006218.003</v>
      </c>
      <c r="N24" s="10" t="str">
        <f ca="1">IFERROR(__xludf.DUMMYFUNCTION("VLOOKUP(M24, IMPORTRANGE(""https://docs.google.com/spreadsheets/d/1yDAaXNsi4Mr5FtRQL4tbmSdIzhx6_m4wkOD7IG-k_eo/edit#gid=1336395716"", ""Science!M:N""), 2, FALSE)"),"Demonstrate the Tyndall effect by shining a light beam through a colloidal solution and observing the scattering of light.")</f>
        <v>Demonstrate the Tyndall effect by shining a light beam through a colloidal solution and observing the scattering of light.</v>
      </c>
      <c r="O24" s="10" t="str">
        <f t="shared" si="3"/>
        <v>LU006218.004</v>
      </c>
      <c r="P24" s="10" t="str">
        <f ca="1">IFERROR(__xludf.DUMMYFUNCTION("VLOOKUP(O24, IMPORTRANGE(""https://docs.google.com/spreadsheets/d/1yDAaXNsi4Mr5FtRQL4tbmSdIzhx6_m4wkOD7IG-k_eo/edit#gid=1336395716"", ""Science!M:N""), 2, FALSE)"),"Compare colloids with true solutions and suspensions based on their ability to scatter light and stability.")</f>
        <v>Compare colloids with true solutions and suspensions based on their ability to scatter light and stability.</v>
      </c>
      <c r="Q24" s="10" t="str">
        <f t="shared" si="4"/>
        <v>LU006218.005</v>
      </c>
      <c r="R24" s="10" t="str">
        <f ca="1">IFERROR(__xludf.DUMMYFUNCTION("VLOOKUP(Q24, IMPORTRANGE(""https://docs.google.com/spreadsheets/d/1yDAaXNsi4Mr5FtRQL4tbmSdIzhx6_m4wkOD7IG-k_eo/edit#gid=1336395716"", ""Science!M:N""), 2, FALSE)"),"Evaluate the effectiveness of centrifugation in separating colloidal particles from the dispersion medium.")</f>
        <v>Evaluate the effectiveness of centrifugation in separating colloidal particles from the dispersion medium.</v>
      </c>
      <c r="S24" s="10" t="str">
        <f t="shared" si="5"/>
        <v>LU006218.006</v>
      </c>
      <c r="T24" s="10" t="str">
        <f ca="1">IFERROR(__xludf.DUMMYFUNCTION("VLOOKUP(S24, IMPORTRANGE(""https://docs.google.com/spreadsheets/d/1yDAaXNsi4Mr5FtRQL4tbmSdIzhx6_m4wkOD7IG-k_eo/edit#gid=1336395716"", ""Science!M:N""), 2, FALSE)"),"Design an experiment to observe the Tyndall effect using a colloidal solution and explain the results based on the properties of colloids.")</f>
        <v>Design an experiment to observe the Tyndall effect using a colloidal solution and explain the results based on the properties of colloids.</v>
      </c>
      <c r="U24" s="11" t="str">
        <f ca="1">IFERROR(__xludf.DUMMYFUNCTION("ArrayFormula(VLOOKUP(G24, IMPORTRANGE(""https://docs.google.com/spreadsheets/d/1p7R4vtkWt5VOBim4ltsDG9KTzSjrtKXsMtQGXPHyND0/edit#gid=795171502"", ""'Filter 30_05_2024'!A1:M2000""), {2, 3, 4, 5,6,7,8,9,10,11,12,13}, 0))"),"#N/A")</f>
        <v>#N/A</v>
      </c>
      <c r="V24" s="11" t="str">
        <f ca="1">IFERROR(__xludf.DUMMYFUNCTION("""COMPUTED_VALUE"""),"#N/A")</f>
        <v>#N/A</v>
      </c>
      <c r="W24" s="11" t="str">
        <f ca="1">IFERROR(__xludf.DUMMYFUNCTION("""COMPUTED_VALUE"""),"#N/A")</f>
        <v>#N/A</v>
      </c>
      <c r="X24" s="11" t="str">
        <f ca="1">IFERROR(__xludf.DUMMYFUNCTION("""COMPUTED_VALUE"""),"#N/A")</f>
        <v>#N/A</v>
      </c>
      <c r="Y24" s="11" t="str">
        <f ca="1">IFERROR(__xludf.DUMMYFUNCTION("""COMPUTED_VALUE"""),"#N/A")</f>
        <v>#N/A</v>
      </c>
      <c r="Z24" s="12" t="str">
        <f ca="1">IFERROR(__xludf.DUMMYFUNCTION("""COMPUTED_VALUE"""),"#N/A")</f>
        <v>#N/A</v>
      </c>
      <c r="AA24" s="12" t="str">
        <f ca="1">IFERROR(__xludf.DUMMYFUNCTION("""COMPUTED_VALUE"""),"#N/A")</f>
        <v>#N/A</v>
      </c>
      <c r="AB24" s="12" t="str">
        <f ca="1">IFERROR(__xludf.DUMMYFUNCTION("""COMPUTED_VALUE"""),"#N/A")</f>
        <v>#N/A</v>
      </c>
      <c r="AC24" s="12" t="str">
        <f ca="1">IFERROR(__xludf.DUMMYFUNCTION("""COMPUTED_VALUE"""),"#N/A")</f>
        <v>#N/A</v>
      </c>
      <c r="AD24" s="12" t="str">
        <f ca="1">IFERROR(__xludf.DUMMYFUNCTION("""COMPUTED_VALUE"""),"#N/A")</f>
        <v>#N/A</v>
      </c>
      <c r="AE24" s="12" t="str">
        <f ca="1">IFERROR(__xludf.DUMMYFUNCTION("""COMPUTED_VALUE"""),"#N/A")</f>
        <v>#N/A</v>
      </c>
      <c r="AF24" s="12" t="str">
        <f ca="1">IFERROR(__xludf.DUMMYFUNCTION("""COMPUTED_VALUE"""),"#N/A")</f>
        <v>#N/A</v>
      </c>
      <c r="AG24" s="13" t="str">
        <f ca="1">IFERROR(__xludf.DUMMYFUNCTION("ArrayFormula(VLOOKUP(G24, IMPORTRANGE(""https://docs.google.com/spreadsheets/d/1Co934fvtviyaRiMsrIlT05Jaq7iiYq07aLvRr35KA48/edit?gid=173865642#gid=173865642"", ""'G9 Sci_Pri_LU'!G2:V2000""), {3, 4, 5, 6, 7, 8, 9, 10, 11, 12, 13, 14, 15, 16}, 0))"),"LU006216")</f>
        <v>LU006216</v>
      </c>
      <c r="AH24" s="22" t="str">
        <f ca="1">IFERROR(__xludf.DUMMYFUNCTION("""COMPUTED_VALUE"""),"Colloidal Solution and Their Types")</f>
        <v>Colloidal Solution and Their Types</v>
      </c>
      <c r="AI24" s="13"/>
      <c r="AJ24" s="13"/>
      <c r="AK24" s="13"/>
      <c r="AL24" s="13"/>
      <c r="AM24" s="13"/>
      <c r="AN24" s="13"/>
      <c r="AO24" s="13"/>
      <c r="AP24" s="13"/>
      <c r="AQ24" s="13"/>
      <c r="AR24" s="13"/>
      <c r="AS24" s="13"/>
      <c r="AT24" s="13"/>
    </row>
    <row r="25" spans="1:46">
      <c r="A25" s="8" t="s">
        <v>247</v>
      </c>
      <c r="B25" s="8" t="s">
        <v>47</v>
      </c>
      <c r="C25" s="8" t="s">
        <v>979</v>
      </c>
      <c r="D25" s="8" t="s">
        <v>1441</v>
      </c>
      <c r="E25" s="9" t="s">
        <v>2254</v>
      </c>
      <c r="F25" s="9" t="s">
        <v>2265</v>
      </c>
      <c r="G25" s="9" t="s">
        <v>2266</v>
      </c>
      <c r="H25" s="8" t="str">
        <f ca="1">IFERROR(__xludf.DUMMYFUNCTION("VLOOKUP(G25, IMPORTRANGE(""https://docs.google.com/spreadsheets/d/14deopnvwcrKtEGCKuYXdUHJbeLDZlkiSSWWT0g7x2pM/edit#gid=849066331"", ""LU List Science (Filter)!A:B""), 2, FALSE)"),"Comparison of Suspension, Solution, and Colloidal solution")</f>
        <v>Comparison of Suspension, Solution, and Colloidal solution</v>
      </c>
      <c r="I25" s="10" t="str">
        <f t="shared" si="0"/>
        <v>LU006219.001</v>
      </c>
      <c r="J25" s="10" t="str">
        <f ca="1">IFERROR(__xludf.DUMMYFUNCTION("VLOOKUP(I25, IMPORTRANGE(""https://docs.google.com/spreadsheets/d/1yDAaXNsi4Mr5FtRQL4tbmSdIzhx6_m4wkOD7IG-k_eo/edit#gid=1336395716"", ""Science!M:N""), 2, FALSE)"),"Compare the particle sizes in suspensions, solutions, and colloidal solutions.")</f>
        <v>Compare the particle sizes in suspensions, solutions, and colloidal solutions.</v>
      </c>
      <c r="K25" s="10" t="str">
        <f t="shared" si="1"/>
        <v>LU006219.002</v>
      </c>
      <c r="L25" s="10" t="str">
        <f ca="1">IFERROR(__xludf.DUMMYFUNCTION("VLOOKUP(K25, IMPORTRANGE(""https://docs.google.com/spreadsheets/d/1yDAaXNsi4Mr5FtRQL4tbmSdIzhx6_m4wkOD7IG-k_eo/edit#gid=1336395716"", ""Science!M:N""), 2, FALSE)"),"Explain the differences in light scattering among suspensions, solutions, and colloidal solutions.")</f>
        <v>Explain the differences in light scattering among suspensions, solutions, and colloidal solutions.</v>
      </c>
      <c r="M25" s="10" t="str">
        <f t="shared" si="2"/>
        <v>LU006219.003</v>
      </c>
      <c r="N25" s="10" t="str">
        <f ca="1">IFERROR(__xludf.DUMMYFUNCTION("VLOOKUP(M25, IMPORTRANGE(""https://docs.google.com/spreadsheets/d/1yDAaXNsi4Mr5FtRQL4tbmSdIzhx6_m4wkOD7IG-k_eo/edit#gid=1336395716"", ""Science!M:N""), 2, FALSE)"),"Demonstrate how suspensions, solutions, and colloidal solutions behave when filtered.")</f>
        <v>Demonstrate how suspensions, solutions, and colloidal solutions behave when filtered.</v>
      </c>
      <c r="O25" s="10" t="str">
        <f t="shared" si="3"/>
        <v>LU006219.004</v>
      </c>
      <c r="P25" s="10" t="str">
        <f ca="1">IFERROR(__xludf.DUMMYFUNCTION("VLOOKUP(O25, IMPORTRANGE(""https://docs.google.com/spreadsheets/d/1yDAaXNsi4Mr5FtRQL4tbmSdIzhx6_m4wkOD7IG-k_eo/edit#gid=1336395716"", ""Science!M:N""), 2, FALSE)"),"Analyze the stability of suspensions, solutions, and colloidal solutions over time.")</f>
        <v>Analyze the stability of suspensions, solutions, and colloidal solutions over time.</v>
      </c>
      <c r="Q25" s="10" t="str">
        <f t="shared" si="4"/>
        <v>LU006219.005</v>
      </c>
      <c r="R25" s="10" t="str">
        <f ca="1">IFERROR(__xludf.DUMMYFUNCTION("VLOOKUP(Q25, IMPORTRANGE(""https://docs.google.com/spreadsheets/d/1yDAaXNsi4Mr5FtRQL4tbmSdIzhx6_m4wkOD7IG-k_eo/edit#gid=1336395716"", ""Science!M:N""), 2, FALSE)"),"Evaluate the practical applications of suspensions, solutions, and colloidal solutions in everyday life.")</f>
        <v>Evaluate the practical applications of suspensions, solutions, and colloidal solutions in everyday life.</v>
      </c>
      <c r="S25" s="10" t="str">
        <f t="shared" si="5"/>
        <v>LU006219.006</v>
      </c>
      <c r="T25" s="10" t="str">
        <f ca="1">IFERROR(__xludf.DUMMYFUNCTION("VLOOKUP(S25, IMPORTRANGE(""https://docs.google.com/spreadsheets/d/1yDAaXNsi4Mr5FtRQL4tbmSdIzhx6_m4wkOD7IG-k_eo/edit#gid=1336395716"", ""Science!M:N""), 2, FALSE)"),"Design an experiment to compare the properties of suspensions, solutions, and colloidal solutions, and document the observed differences.")</f>
        <v>Design an experiment to compare the properties of suspensions, solutions, and colloidal solutions, and document the observed differences.</v>
      </c>
      <c r="U25" s="11" t="str">
        <f ca="1">IFERROR(__xludf.DUMMYFUNCTION("ArrayFormula(VLOOKUP(G25, IMPORTRANGE(""https://docs.google.com/spreadsheets/d/1p7R4vtkWt5VOBim4ltsDG9KTzSjrtKXsMtQGXPHyND0/edit#gid=795171502"", ""'Filter 30_05_2024'!A1:M2000""), {2, 3, 4, 5,6,7,8,9,10,11,12,13}, 0))"),"#N/A")</f>
        <v>#N/A</v>
      </c>
      <c r="V25" s="11" t="str">
        <f ca="1">IFERROR(__xludf.DUMMYFUNCTION("""COMPUTED_VALUE"""),"#N/A")</f>
        <v>#N/A</v>
      </c>
      <c r="W25" s="11" t="str">
        <f ca="1">IFERROR(__xludf.DUMMYFUNCTION("""COMPUTED_VALUE"""),"#N/A")</f>
        <v>#N/A</v>
      </c>
      <c r="X25" s="11" t="str">
        <f ca="1">IFERROR(__xludf.DUMMYFUNCTION("""COMPUTED_VALUE"""),"#N/A")</f>
        <v>#N/A</v>
      </c>
      <c r="Y25" s="11" t="str">
        <f ca="1">IFERROR(__xludf.DUMMYFUNCTION("""COMPUTED_VALUE"""),"#N/A")</f>
        <v>#N/A</v>
      </c>
      <c r="Z25" s="12" t="str">
        <f ca="1">IFERROR(__xludf.DUMMYFUNCTION("""COMPUTED_VALUE"""),"#N/A")</f>
        <v>#N/A</v>
      </c>
      <c r="AA25" s="12" t="str">
        <f ca="1">IFERROR(__xludf.DUMMYFUNCTION("""COMPUTED_VALUE"""),"#N/A")</f>
        <v>#N/A</v>
      </c>
      <c r="AB25" s="12" t="str">
        <f ca="1">IFERROR(__xludf.DUMMYFUNCTION("""COMPUTED_VALUE"""),"#N/A")</f>
        <v>#N/A</v>
      </c>
      <c r="AC25" s="12" t="str">
        <f ca="1">IFERROR(__xludf.DUMMYFUNCTION("""COMPUTED_VALUE"""),"#N/A")</f>
        <v>#N/A</v>
      </c>
      <c r="AD25" s="12" t="str">
        <f ca="1">IFERROR(__xludf.DUMMYFUNCTION("""COMPUTED_VALUE"""),"#N/A")</f>
        <v>#N/A</v>
      </c>
      <c r="AE25" s="12" t="str">
        <f ca="1">IFERROR(__xludf.DUMMYFUNCTION("""COMPUTED_VALUE"""),"#N/A")</f>
        <v>#N/A</v>
      </c>
      <c r="AF25" s="12" t="str">
        <f ca="1">IFERROR(__xludf.DUMMYFUNCTION("""COMPUTED_VALUE"""),"#N/A")</f>
        <v>#N/A</v>
      </c>
      <c r="AG25" s="13" t="str">
        <f ca="1">IFERROR(__xludf.DUMMYFUNCTION("ArrayFormula(VLOOKUP(G25, IMPORTRANGE(""https://docs.google.com/spreadsheets/d/1Co934fvtviyaRiMsrIlT05Jaq7iiYq07aLvRr35KA48/edit?gid=173865642#gid=173865642"", ""'G9 Sci_Pri_LU'!G2:V2000""), {3, 4, 5, 6, 7, 8, 9, 10, 11, 12, 13, 14, 15, 16}, 0))"),"LU006218")</f>
        <v>LU006218</v>
      </c>
      <c r="AH25" s="22" t="str">
        <f ca="1">IFERROR(__xludf.DUMMYFUNCTION("""COMPUTED_VALUE"""),"Properties of Colloids")</f>
        <v>Properties of Colloids</v>
      </c>
      <c r="AI25" s="13" t="str">
        <f ca="1">IFERROR(__xludf.DUMMYFUNCTION("""COMPUTED_VALUE"""),"LU006215")</f>
        <v>LU006215</v>
      </c>
      <c r="AJ25" s="13" t="str">
        <f ca="1">IFERROR(__xludf.DUMMYFUNCTION("""COMPUTED_VALUE"""),"Definition and Properties of a Suspension")</f>
        <v>Definition and Properties of a Suspension</v>
      </c>
      <c r="AK25" s="13" t="str">
        <f ca="1">IFERROR(__xludf.DUMMYFUNCTION("""COMPUTED_VALUE"""),"LU006210")</f>
        <v>LU006210</v>
      </c>
      <c r="AL25" s="13" t="str">
        <f ca="1">IFERROR(__xludf.DUMMYFUNCTION("""COMPUTED_VALUE"""),"Solution and Its Properties")</f>
        <v>Solution and Its Properties</v>
      </c>
      <c r="AM25" s="13"/>
      <c r="AN25" s="13"/>
      <c r="AO25" s="13"/>
      <c r="AP25" s="13"/>
      <c r="AQ25" s="13"/>
      <c r="AR25" s="13"/>
      <c r="AS25" s="13"/>
      <c r="AT25" s="13"/>
    </row>
    <row r="26" spans="1:46">
      <c r="A26" s="8" t="s">
        <v>247</v>
      </c>
      <c r="B26" s="8" t="s">
        <v>47</v>
      </c>
      <c r="C26" s="8" t="s">
        <v>979</v>
      </c>
      <c r="D26" s="8" t="s">
        <v>1441</v>
      </c>
      <c r="E26" s="9" t="s">
        <v>2254</v>
      </c>
      <c r="F26" s="9" t="s">
        <v>2267</v>
      </c>
      <c r="G26" s="9" t="s">
        <v>1877</v>
      </c>
      <c r="H26" s="8" t="str">
        <f ca="1">IFERROR(__xludf.DUMMYFUNCTION("VLOOKUP(G26, IMPORTRANGE(""https://docs.google.com/spreadsheets/d/14deopnvwcrKtEGCKuYXdUHJbeLDZlkiSSWWT0g7x2pM/edit#gid=849066331"", ""LU List Science (Filter)!A:B""), 2, FALSE)"),"Introduction to Chemical Changes")</f>
        <v>Introduction to Chemical Changes</v>
      </c>
      <c r="I26" s="10" t="str">
        <f t="shared" si="0"/>
        <v>LU005493.001</v>
      </c>
      <c r="J26" s="10" t="str">
        <f ca="1">IFERROR(__xludf.DUMMYFUNCTION("VLOOKUP(I26, IMPORTRANGE(""https://docs.google.com/spreadsheets/d/1yDAaXNsi4Mr5FtRQL4tbmSdIzhx6_m4wkOD7IG-k_eo/edit#gid=1336395716"", ""Science!M:N""), 2, FALSE)"),"Define chemical changes and their characteristics.")</f>
        <v>Define chemical changes and their characteristics.</v>
      </c>
      <c r="K26" s="10" t="str">
        <f t="shared" si="1"/>
        <v>LU005493.002</v>
      </c>
      <c r="L26" s="10" t="str">
        <f ca="1">IFERROR(__xludf.DUMMYFUNCTION("VLOOKUP(K26, IMPORTRANGE(""https://docs.google.com/spreadsheets/d/1yDAaXNsi4Mr5FtRQL4tbmSdIzhx6_m4wkOD7IG-k_eo/edit#gid=1336395716"", ""Science!M:N""), 2, FALSE)"),"List examples of common chemical changes in everyday life.")</f>
        <v>List examples of common chemical changes in everyday life.</v>
      </c>
      <c r="M26" s="10" t="str">
        <f t="shared" si="2"/>
        <v>LU005493.003</v>
      </c>
      <c r="N26" s="10" t="str">
        <f ca="1">IFERROR(__xludf.DUMMYFUNCTION("VLOOKUP(M26, IMPORTRANGE(""https://docs.google.com/spreadsheets/d/1yDAaXNsi4Mr5FtRQL4tbmSdIzhx6_m4wkOD7IG-k_eo/edit#gid=1336395716"", ""Science!M:N""), 2, FALSE)"),"Explain why chemical changes result in the formation of new substances with distinct properties.")</f>
        <v>Explain why chemical changes result in the formation of new substances with distinct properties.</v>
      </c>
      <c r="O26" s="10" t="str">
        <f t="shared" si="3"/>
        <v>LU005493.004</v>
      </c>
      <c r="P26" s="10" t="str">
        <f ca="1">IFERROR(__xludf.DUMMYFUNCTION("VLOOKUP(O26, IMPORTRANGE(""https://docs.google.com/spreadsheets/d/1yDAaXNsi4Mr5FtRQL4tbmSdIzhx6_m4wkOD7IG-k_eo/edit#gid=1336395716"", ""Science!M:N""), 2, FALSE)"),"Apply the concept of chemical changes to differentiate between physical and chemical processes.")</f>
        <v>Apply the concept of chemical changes to differentiate between physical and chemical processes.</v>
      </c>
      <c r="Q26" s="10" t="str">
        <f t="shared" si="4"/>
        <v>LU005493.005</v>
      </c>
      <c r="R26" s="10" t="str">
        <f ca="1">IFERROR(__xludf.DUMMYFUNCTION("VLOOKUP(Q26, IMPORTRANGE(""https://docs.google.com/spreadsheets/d/1yDAaXNsi4Mr5FtRQL4tbmSdIzhx6_m4wkOD7IG-k_eo/edit#gid=1336395716"", ""Science!M:N""), 2, FALSE)"),"Analyze the role of energy changes and reactants in chemical changes.")</f>
        <v>Analyze the role of energy changes and reactants in chemical changes.</v>
      </c>
      <c r="S26" s="10" t="str">
        <f t="shared" si="5"/>
        <v>LU005493.006</v>
      </c>
      <c r="T26" s="10" t="str">
        <f ca="1">IFERROR(__xludf.DUMMYFUNCTION("VLOOKUP(S26, IMPORTRANGE(""https://docs.google.com/spreadsheets/d/1yDAaXNsi4Mr5FtRQL4tbmSdIzhx6_m4wkOD7IG-k_eo/edit#gid=1336395716"", ""Science!M:N""), 2, FALSE)"),"#N/A")</f>
        <v>#N/A</v>
      </c>
      <c r="U26" s="11">
        <f ca="1">IFERROR(__xludf.DUMMYFUNCTION("ArrayFormula(VLOOKUP(G26, IMPORTRANGE(""https://docs.google.com/spreadsheets/d/1p7R4vtkWt5VOBim4ltsDG9KTzSjrtKXsMtQGXPHyND0/edit#gid=795171502"", ""'Filter 30_05_2024'!A1:M2000""), {2, 3, 4, 5,6,7,8,9,10,11,12,13}, 0))"),8)</f>
        <v>8</v>
      </c>
      <c r="V26" s="11">
        <f ca="1">IFERROR(__xludf.DUMMYFUNCTION("""COMPUTED_VALUE"""),6)</f>
        <v>6</v>
      </c>
      <c r="W26" s="11">
        <f ca="1">IFERROR(__xludf.DUMMYFUNCTION("""COMPUTED_VALUE"""),2)</f>
        <v>2</v>
      </c>
      <c r="X26" s="11">
        <f ca="1">IFERROR(__xludf.DUMMYFUNCTION("""COMPUTED_VALUE"""),16)</f>
        <v>16</v>
      </c>
      <c r="Y26" s="11">
        <f ca="1">IFERROR(__xludf.DUMMYFUNCTION("""COMPUTED_VALUE"""),12)</f>
        <v>12</v>
      </c>
      <c r="Z26" s="12">
        <f ca="1">IFERROR(__xludf.DUMMYFUNCTION("""COMPUTED_VALUE"""),3)</f>
        <v>3</v>
      </c>
      <c r="AA26" s="12">
        <f ca="1">IFERROR(__xludf.DUMMYFUNCTION("""COMPUTED_VALUE"""),1)</f>
        <v>1</v>
      </c>
      <c r="AB26" s="12">
        <f ca="1">IFERROR(__xludf.DUMMYFUNCTION("""COMPUTED_VALUE"""),16)</f>
        <v>16</v>
      </c>
      <c r="AC26" s="12"/>
      <c r="AD26" s="12"/>
      <c r="AE26" s="12"/>
      <c r="AF26" s="12"/>
      <c r="AG26" s="13" t="str">
        <f ca="1">IFERROR(__xludf.DUMMYFUNCTION("ArrayFormula(VLOOKUP(G26, IMPORTRANGE(""https://docs.google.com/spreadsheets/d/1Co934fvtviyaRiMsrIlT05Jaq7iiYq07aLvRr35KA48/edit?gid=173865642#gid=173865642"", ""'G9 Sci_Pri_LU'!G2:V2000""), {3, 4, 5, 6, 7, 8, 9, 10, 11, 12, 13, 14, 15, 16}, 0))"),"LU005488")</f>
        <v>LU005488</v>
      </c>
      <c r="AH26" s="22" t="str">
        <f ca="1">IFERROR(__xludf.DUMMYFUNCTION("""COMPUTED_VALUE"""),"Effects Indicating Chemical Changes")</f>
        <v>Effects Indicating Chemical Changes</v>
      </c>
      <c r="AI26" s="13"/>
      <c r="AJ26" s="13"/>
      <c r="AK26" s="13"/>
      <c r="AL26" s="13"/>
      <c r="AM26" s="13"/>
      <c r="AN26" s="13"/>
      <c r="AO26" s="13"/>
      <c r="AP26" s="13"/>
      <c r="AQ26" s="13"/>
      <c r="AR26" s="13"/>
      <c r="AS26" s="13"/>
      <c r="AT26" s="13"/>
    </row>
    <row r="27" spans="1:46">
      <c r="A27" s="8" t="s">
        <v>247</v>
      </c>
      <c r="B27" s="8" t="s">
        <v>47</v>
      </c>
      <c r="C27" s="8" t="s">
        <v>979</v>
      </c>
      <c r="D27" s="8" t="s">
        <v>1441</v>
      </c>
      <c r="E27" s="9" t="s">
        <v>2254</v>
      </c>
      <c r="F27" s="9" t="s">
        <v>2267</v>
      </c>
      <c r="G27" s="9" t="s">
        <v>1874</v>
      </c>
      <c r="H27" s="8" t="str">
        <f ca="1">IFERROR(__xludf.DUMMYFUNCTION("VLOOKUP(G27, IMPORTRANGE(""https://docs.google.com/spreadsheets/d/14deopnvwcrKtEGCKuYXdUHJbeLDZlkiSSWWT0g7x2pM/edit#gid=849066331"", ""LU List Science (Filter)!A:B""), 2, FALSE)"),"Introduction to Physical Changes")</f>
        <v>Introduction to Physical Changes</v>
      </c>
      <c r="I27" s="10" t="str">
        <f t="shared" si="0"/>
        <v>LU005494.001</v>
      </c>
      <c r="J27" s="10" t="str">
        <f ca="1">IFERROR(__xludf.DUMMYFUNCTION("VLOOKUP(I27, IMPORTRANGE(""https://docs.google.com/spreadsheets/d/1yDAaXNsi4Mr5FtRQL4tbmSdIzhx6_m4wkOD7IG-k_eo/edit#gid=1336395716"", ""Science!M:N""), 2, FALSE)"),"List examples of physical changes encountered in daily life.")</f>
        <v>List examples of physical changes encountered in daily life.</v>
      </c>
      <c r="K27" s="10" t="str">
        <f t="shared" si="1"/>
        <v>LU005494.002</v>
      </c>
      <c r="L27" s="10" t="str">
        <f ca="1">IFERROR(__xludf.DUMMYFUNCTION("VLOOKUP(K27, IMPORTRANGE(""https://docs.google.com/spreadsheets/d/1yDAaXNsi4Mr5FtRQL4tbmSdIzhx6_m4wkOD7IG-k_eo/edit#gid=1336395716"", ""Science!M:N""), 2, FALSE)"),"Describe the characteristics of a physical change.")</f>
        <v>Describe the characteristics of a physical change.</v>
      </c>
      <c r="M27" s="10" t="str">
        <f t="shared" si="2"/>
        <v>LU005494.003</v>
      </c>
      <c r="N27" s="10" t="str">
        <f ca="1">IFERROR(__xludf.DUMMYFUNCTION("VLOOKUP(M27, IMPORTRANGE(""https://docs.google.com/spreadsheets/d/1yDAaXNsi4Mr5FtRQL4tbmSdIzhx6_m4wkOD7IG-k_eo/edit#gid=1336395716"", ""Science!M:N""), 2, FALSE)"),"Demonstrate the process of a physical change by using various examples.")</f>
        <v>Demonstrate the process of a physical change by using various examples.</v>
      </c>
      <c r="O27" s="10" t="str">
        <f t="shared" si="3"/>
        <v>LU005494.004</v>
      </c>
      <c r="P27" s="10" t="str">
        <f ca="1">IFERROR(__xludf.DUMMYFUNCTION("VLOOKUP(O27, IMPORTRANGE(""https://docs.google.com/spreadsheets/d/1yDAaXNsi4Mr5FtRQL4tbmSdIzhx6_m4wkOD7IG-k_eo/edit#gid=1336395716"", ""Science!M:N""), 2, FALSE)"),"Analyse given scenarios in the light of the characteristics of the physical changes.")</f>
        <v>Analyse given scenarios in the light of the characteristics of the physical changes.</v>
      </c>
      <c r="Q27" s="10" t="str">
        <f t="shared" si="4"/>
        <v>LU005494.005</v>
      </c>
      <c r="R27" s="10" t="str">
        <f ca="1">IFERROR(__xludf.DUMMYFUNCTION("VLOOKUP(Q27, IMPORTRANGE(""https://docs.google.com/spreadsheets/d/1yDAaXNsi4Mr5FtRQL4tbmSdIzhx6_m4wkOD7IG-k_eo/edit#gid=1336395716"", ""Science!M:N""), 2, FALSE)"),"#N/A")</f>
        <v>#N/A</v>
      </c>
      <c r="S27" s="10" t="str">
        <f t="shared" si="5"/>
        <v>LU005494.006</v>
      </c>
      <c r="T27" s="10" t="str">
        <f ca="1">IFERROR(__xludf.DUMMYFUNCTION("VLOOKUP(S27, IMPORTRANGE(""https://docs.google.com/spreadsheets/d/1yDAaXNsi4Mr5FtRQL4tbmSdIzhx6_m4wkOD7IG-k_eo/edit#gid=1336395716"", ""Science!M:N""), 2, FALSE)"),"Design an experiment to determine the relationship between temperature and the rate of physical changes.")</f>
        <v>Design an experiment to determine the relationship between temperature and the rate of physical changes.</v>
      </c>
      <c r="U27" s="11">
        <f ca="1">IFERROR(__xludf.DUMMYFUNCTION("ArrayFormula(VLOOKUP(G27, IMPORTRANGE(""https://docs.google.com/spreadsheets/d/1p7R4vtkWt5VOBim4ltsDG9KTzSjrtKXsMtQGXPHyND0/edit#gid=795171502"", ""'Filter 30_05_2024'!A1:M2000""), {2, 3, 4, 5,6,7,8,9,10,11,12,13}, 0))"),19)</f>
        <v>19</v>
      </c>
      <c r="V27" s="11">
        <f ca="1">IFERROR(__xludf.DUMMYFUNCTION("""COMPUTED_VALUE"""),7)</f>
        <v>7</v>
      </c>
      <c r="W27" s="11">
        <f ca="1">IFERROR(__xludf.DUMMYFUNCTION("""COMPUTED_VALUE"""),5)</f>
        <v>5</v>
      </c>
      <c r="X27" s="11">
        <f ca="1">IFERROR(__xludf.DUMMYFUNCTION("""COMPUTED_VALUE"""),31)</f>
        <v>31</v>
      </c>
      <c r="Y27" s="11">
        <f ca="1">IFERROR(__xludf.DUMMYFUNCTION("""COMPUTED_VALUE"""),9)</f>
        <v>9</v>
      </c>
      <c r="Z27" s="12">
        <f ca="1">IFERROR(__xludf.DUMMYFUNCTION("""COMPUTED_VALUE"""),5)</f>
        <v>5</v>
      </c>
      <c r="AA27" s="12">
        <f ca="1">IFERROR(__xludf.DUMMYFUNCTION("""COMPUTED_VALUE"""),1)</f>
        <v>1</v>
      </c>
      <c r="AB27" s="12">
        <f ca="1">IFERROR(__xludf.DUMMYFUNCTION("""COMPUTED_VALUE"""),15)</f>
        <v>15</v>
      </c>
      <c r="AC27" s="12"/>
      <c r="AD27" s="12"/>
      <c r="AE27" s="12"/>
      <c r="AF27" s="12"/>
      <c r="AG27" s="13" t="str">
        <f ca="1">IFERROR(__xludf.DUMMYFUNCTION("ArrayFormula(VLOOKUP(G27, IMPORTRANGE(""https://docs.google.com/spreadsheets/d/1Co934fvtviyaRiMsrIlT05Jaq7iiYq07aLvRr35KA48/edit?gid=173865642#gid=173865642"", ""'G9 Sci_Pri_LU'!G2:V2000""), {3, 4, 5, 6, 7, 8, 9, 10, 11, 12, 13, 14, 15, 16}, 0))"),"LU005489")</f>
        <v>LU005489</v>
      </c>
      <c r="AH27" s="22" t="str">
        <f ca="1">IFERROR(__xludf.DUMMYFUNCTION("""COMPUTED_VALUE"""),"Effects Indicating Physical Changes")</f>
        <v>Effects Indicating Physical Changes</v>
      </c>
      <c r="AI27" s="13"/>
      <c r="AJ27" s="13"/>
      <c r="AK27" s="13"/>
      <c r="AL27" s="13"/>
      <c r="AM27" s="13"/>
      <c r="AN27" s="13"/>
      <c r="AO27" s="13"/>
      <c r="AP27" s="13"/>
      <c r="AQ27" s="13"/>
      <c r="AR27" s="13"/>
      <c r="AS27" s="13"/>
      <c r="AT27" s="13"/>
    </row>
    <row r="28" spans="1:46">
      <c r="A28" s="8" t="s">
        <v>247</v>
      </c>
      <c r="B28" s="8" t="s">
        <v>47</v>
      </c>
      <c r="C28" s="8" t="s">
        <v>979</v>
      </c>
      <c r="D28" s="8" t="s">
        <v>1441</v>
      </c>
      <c r="E28" s="9" t="s">
        <v>2254</v>
      </c>
      <c r="F28" s="9" t="s">
        <v>2268</v>
      </c>
      <c r="G28" s="114" t="s">
        <v>2269</v>
      </c>
      <c r="H28" s="8" t="str">
        <f ca="1">IFERROR(__xludf.DUMMYFUNCTION("VLOOKUP(G28, IMPORTRANGE(""https://docs.google.com/spreadsheets/d/14deopnvwcrKtEGCKuYXdUHJbeLDZlkiSSWWT0g7x2pM/edit#gid=849066331"", ""LU List Science (Filter)!A:B""), 2, FALSE)"),"Elements and Their Classification")</f>
        <v>Elements and Their Classification</v>
      </c>
      <c r="I28" s="10" t="str">
        <f t="shared" si="0"/>
        <v>LU006226.001</v>
      </c>
      <c r="J28" s="10" t="str">
        <f ca="1">IFERROR(__xludf.DUMMYFUNCTION("VLOOKUP(I28, IMPORTRANGE(""https://docs.google.com/spreadsheets/d/1yDAaXNsi4Mr5FtRQL4tbmSdIzhx6_m4wkOD7IG-k_eo/edit#gid=1336395716"", ""Science!M:N""), 2, FALSE)"),"Define an element and identify the differences between metals, non-metals, and metalloids.")</f>
        <v>Define an element and identify the differences between metals, non-metals, and metalloids.</v>
      </c>
      <c r="K28" s="10" t="str">
        <f t="shared" si="1"/>
        <v>LU006226.002</v>
      </c>
      <c r="L28" s="10" t="str">
        <f ca="1">IFERROR(__xludf.DUMMYFUNCTION("VLOOKUP(K28, IMPORTRANGE(""https://docs.google.com/spreadsheets/d/1yDAaXNsi4Mr5FtRQL4tbmSdIzhx6_m4wkOD7IG-k_eo/edit#gid=1336395716"", ""Science!M:N""), 2, FALSE)"),"Explain the properties of metals, non-metals, and metalloids with examples.")</f>
        <v>Explain the properties of metals, non-metals, and metalloids with examples.</v>
      </c>
      <c r="M28" s="10" t="str">
        <f t="shared" si="2"/>
        <v>LU006226.003</v>
      </c>
      <c r="N28" s="10" t="str">
        <f ca="1">IFERROR(__xludf.DUMMYFUNCTION("VLOOKUP(M28, IMPORTRANGE(""https://docs.google.com/spreadsheets/d/1yDAaXNsi4Mr5FtRQL4tbmSdIzhx6_m4wkOD7IG-k_eo/edit#gid=1336395716"", ""Science!M:N""), 2, FALSE)"),"Demonstrate the properties of metals such as malleability and ductility using appropriate materials.")</f>
        <v>Demonstrate the properties of metals such as malleability and ductility using appropriate materials.</v>
      </c>
      <c r="O28" s="10" t="str">
        <f t="shared" si="3"/>
        <v>LU006226.004</v>
      </c>
      <c r="P28" s="10" t="str">
        <f ca="1">IFERROR(__xludf.DUMMYFUNCTION("VLOOKUP(O28, IMPORTRANGE(""https://docs.google.com/spreadsheets/d/1yDAaXNsi4Mr5FtRQL4tbmSdIzhx6_m4wkOD7IG-k_eo/edit#gid=1336395716"", ""Science!M:N""), 2, FALSE)"),"Compare the conductivity of metals and non-metals by setting up a simple circuit.")</f>
        <v>Compare the conductivity of metals and non-metals by setting up a simple circuit.</v>
      </c>
      <c r="Q28" s="10" t="str">
        <f t="shared" si="4"/>
        <v>LU006226.005</v>
      </c>
      <c r="R28" s="10" t="str">
        <f ca="1">IFERROR(__xludf.DUMMYFUNCTION("VLOOKUP(Q28, IMPORTRANGE(""https://docs.google.com/spreadsheets/d/1yDAaXNsi4Mr5FtRQL4tbmSdIzhx6_m4wkOD7IG-k_eo/edit#gid=1336395716"", ""Science!M:N""), 2, FALSE)"),"Evaluate the usefulness of classifying elements into metals, non-metals, and metalloids based on their properties.")</f>
        <v>Evaluate the usefulness of classifying elements into metals, non-metals, and metalloids based on their properties.</v>
      </c>
      <c r="S28" s="10" t="str">
        <f t="shared" si="5"/>
        <v>LU006226.006</v>
      </c>
      <c r="T28" s="10" t="str">
        <f ca="1">IFERROR(__xludf.DUMMYFUNCTION("VLOOKUP(S28, IMPORTRANGE(""https://docs.google.com/spreadsheets/d/1yDAaXNsi4Mr5FtRQL4tbmSdIzhx6_m4wkOD7IG-k_eo/edit#gid=1336395716"", ""Science!M:N""), 2, FALSE)"),"Design an experiment to test and observe the physical properties of metals, non-metals, and metalloids, and classify given samples accordingly.")</f>
        <v>Design an experiment to test and observe the physical properties of metals, non-metals, and metalloids, and classify given samples accordingly.</v>
      </c>
      <c r="U28" s="11" t="str">
        <f ca="1">IFERROR(__xludf.DUMMYFUNCTION("ArrayFormula(VLOOKUP(G28, IMPORTRANGE(""https://docs.google.com/spreadsheets/d/1p7R4vtkWt5VOBim4ltsDG9KTzSjrtKXsMtQGXPHyND0/edit#gid=795171502"", ""'Filter 30_05_2024'!A1:M2000""), {2, 3, 4, 5,6,7,8,9,10,11,12,13}, 0))"),"#N/A")</f>
        <v>#N/A</v>
      </c>
      <c r="V28" s="11" t="str">
        <f ca="1">IFERROR(__xludf.DUMMYFUNCTION("""COMPUTED_VALUE"""),"#N/A")</f>
        <v>#N/A</v>
      </c>
      <c r="W28" s="11" t="str">
        <f ca="1">IFERROR(__xludf.DUMMYFUNCTION("""COMPUTED_VALUE"""),"#N/A")</f>
        <v>#N/A</v>
      </c>
      <c r="X28" s="11" t="str">
        <f ca="1">IFERROR(__xludf.DUMMYFUNCTION("""COMPUTED_VALUE"""),"#N/A")</f>
        <v>#N/A</v>
      </c>
      <c r="Y28" s="11" t="str">
        <f ca="1">IFERROR(__xludf.DUMMYFUNCTION("""COMPUTED_VALUE"""),"#N/A")</f>
        <v>#N/A</v>
      </c>
      <c r="Z28" s="12" t="str">
        <f ca="1">IFERROR(__xludf.DUMMYFUNCTION("""COMPUTED_VALUE"""),"#N/A")</f>
        <v>#N/A</v>
      </c>
      <c r="AA28" s="12" t="str">
        <f ca="1">IFERROR(__xludf.DUMMYFUNCTION("""COMPUTED_VALUE"""),"#N/A")</f>
        <v>#N/A</v>
      </c>
      <c r="AB28" s="12" t="str">
        <f ca="1">IFERROR(__xludf.DUMMYFUNCTION("""COMPUTED_VALUE"""),"#N/A")</f>
        <v>#N/A</v>
      </c>
      <c r="AC28" s="12" t="str">
        <f ca="1">IFERROR(__xludf.DUMMYFUNCTION("""COMPUTED_VALUE"""),"#N/A")</f>
        <v>#N/A</v>
      </c>
      <c r="AD28" s="12" t="str">
        <f ca="1">IFERROR(__xludf.DUMMYFUNCTION("""COMPUTED_VALUE"""),"#N/A")</f>
        <v>#N/A</v>
      </c>
      <c r="AE28" s="12" t="str">
        <f ca="1">IFERROR(__xludf.DUMMYFUNCTION("""COMPUTED_VALUE"""),"#N/A")</f>
        <v>#N/A</v>
      </c>
      <c r="AF28" s="12" t="str">
        <f ca="1">IFERROR(__xludf.DUMMYFUNCTION("""COMPUTED_VALUE"""),"#N/A")</f>
        <v>#N/A</v>
      </c>
      <c r="AG28" s="13" t="str">
        <f ca="1">IFERROR(__xludf.DUMMYFUNCTION("ArrayFormula(VLOOKUP(G28, IMPORTRANGE(""https://docs.google.com/spreadsheets/d/1Co934fvtviyaRiMsrIlT05Jaq7iiYq07aLvRr35KA48/edit?gid=173865642#gid=173865642"", ""'G9 Sci_Pri_LU'!G2:V2000""), {3, 4, 5, 6, 7, 8, 9, 10, 11, 12, 13, 14, 15, 16}, 0))"),"LU005299")</f>
        <v>LU005299</v>
      </c>
      <c r="AH28" s="22" t="str">
        <f ca="1">IFERROR(__xludf.DUMMYFUNCTION("""COMPUTED_VALUE"""),"Definition of mixtures, components of mixture, and pure substance.")</f>
        <v>Definition of mixtures, components of mixture, and pure substance.</v>
      </c>
      <c r="AI28" s="13"/>
      <c r="AJ28" s="13"/>
      <c r="AK28" s="13"/>
      <c r="AL28" s="13"/>
      <c r="AM28" s="13"/>
      <c r="AN28" s="13"/>
      <c r="AO28" s="13"/>
      <c r="AP28" s="13"/>
      <c r="AQ28" s="13"/>
      <c r="AR28" s="13"/>
      <c r="AS28" s="13"/>
      <c r="AT28" s="13"/>
    </row>
    <row r="29" spans="1:46">
      <c r="A29" s="8" t="s">
        <v>247</v>
      </c>
      <c r="B29" s="8" t="s">
        <v>47</v>
      </c>
      <c r="C29" s="8" t="s">
        <v>979</v>
      </c>
      <c r="D29" s="8" t="s">
        <v>1441</v>
      </c>
      <c r="E29" s="9" t="s">
        <v>2254</v>
      </c>
      <c r="F29" s="9" t="s">
        <v>2268</v>
      </c>
      <c r="G29" s="114" t="s">
        <v>2270</v>
      </c>
      <c r="H29" s="8" t="str">
        <f ca="1">IFERROR(__xludf.DUMMYFUNCTION("VLOOKUP(G29, IMPORTRANGE(""https://docs.google.com/spreadsheets/d/14deopnvwcrKtEGCKuYXdUHJbeLDZlkiSSWWT0g7x2pM/edit#gid=849066331"", ""LU List Science (Filter)!A:B""), 2, FALSE)"),"Compounds and Their Properties")</f>
        <v>Compounds and Their Properties</v>
      </c>
      <c r="I29" s="10" t="str">
        <f t="shared" si="0"/>
        <v>LU006227.001</v>
      </c>
      <c r="J29" s="10" t="str">
        <f ca="1">IFERROR(__xludf.DUMMYFUNCTION("VLOOKUP(I29, IMPORTRANGE(""https://docs.google.com/spreadsheets/d/1yDAaXNsi4Mr5FtRQL4tbmSdIzhx6_m4wkOD7IG-k_eo/edit#gid=1336395716"", ""Science!M:N""), 2, FALSE)"),"Identify compounds as a type of pure matter.")</f>
        <v>Identify compounds as a type of pure matter.</v>
      </c>
      <c r="K29" s="10" t="str">
        <f t="shared" si="1"/>
        <v>LU006227.002</v>
      </c>
      <c r="L29" s="10" t="str">
        <f ca="1">IFERROR(__xludf.DUMMYFUNCTION("VLOOKUP(K29, IMPORTRANGE(""https://docs.google.com/spreadsheets/d/1yDAaXNsi4Mr5FtRQL4tbmSdIzhx6_m4wkOD7IG-k_eo/edit#gid=1336395716"", ""Science!M:N""), 2, FALSE)"),"Explain the characteristics that differentiate compounds from mixtures.")</f>
        <v>Explain the characteristics that differentiate compounds from mixtures.</v>
      </c>
      <c r="M29" s="10" t="str">
        <f t="shared" si="2"/>
        <v>LU006227.003</v>
      </c>
      <c r="N29" s="10" t="str">
        <f ca="1">IFERROR(__xludf.DUMMYFUNCTION("VLOOKUP(M29, IMPORTRANGE(""https://docs.google.com/spreadsheets/d/1yDAaXNsi4Mr5FtRQL4tbmSdIzhx6_m4wkOD7IG-k_eo/edit#gid=1336395716"", ""Science!M:N""), 2, FALSE)"),"Demonstrate the formation of a compound by combining elements in a chemical reaction, such as creating water from hydrogen and oxygen.")</f>
        <v>Demonstrate the formation of a compound by combining elements in a chemical reaction, such as creating water from hydrogen and oxygen.</v>
      </c>
      <c r="O29" s="10" t="str">
        <f t="shared" si="3"/>
        <v>LU006227.004</v>
      </c>
      <c r="P29" s="10" t="str">
        <f ca="1">IFERROR(__xludf.DUMMYFUNCTION("VLOOKUP(O29, IMPORTRANGE(""https://docs.google.com/spreadsheets/d/1yDAaXNsi4Mr5FtRQL4tbmSdIzhx6_m4wkOD7IG-k_eo/edit#gid=1336395716"", ""Science!M:N""), 2, FALSE)"),"Compare compounds with elements and mixtures in terms of their composition and properties.")</f>
        <v>Compare compounds with elements and mixtures in terms of their composition and properties.</v>
      </c>
      <c r="Q29" s="10" t="str">
        <f t="shared" si="4"/>
        <v>LU006227.005</v>
      </c>
      <c r="R29" s="10" t="str">
        <f ca="1">IFERROR(__xludf.DUMMYFUNCTION("VLOOKUP(Q29, IMPORTRANGE(""https://docs.google.com/spreadsheets/d/1yDAaXNsi4Mr5FtRQL4tbmSdIzhx6_m4wkOD7IG-k_eo/edit#gid=1336395716"", ""Science!M:N""), 2, FALSE)"),"Evaluate the purity of a substance by determining whether it is a compound or a mixture based on its properties and behavior in chemical reactions.")</f>
        <v>Evaluate the purity of a substance by determining whether it is a compound or a mixture based on its properties and behavior in chemical reactions.</v>
      </c>
      <c r="S29" s="10" t="str">
        <f t="shared" si="5"/>
        <v>LU006227.006</v>
      </c>
      <c r="T29" s="10" t="str">
        <f ca="1">IFERROR(__xludf.DUMMYFUNCTION("VLOOKUP(S29, IMPORTRANGE(""https://docs.google.com/spreadsheets/d/1yDAaXNsi4Mr5FtRQL4tbmSdIzhx6_m4wkOD7IG-k_eo/edit#gid=1336395716"", ""Science!M:N""), 2, FALSE)"),"Design an experiment to distinguish between a compound and a mixture, using techniques such as heating and chemical reactions to observe differences in behavior.")</f>
        <v>Design an experiment to distinguish between a compound and a mixture, using techniques such as heating and chemical reactions to observe differences in behavior.</v>
      </c>
      <c r="U29" s="11" t="str">
        <f ca="1">IFERROR(__xludf.DUMMYFUNCTION("ArrayFormula(VLOOKUP(G29, IMPORTRANGE(""https://docs.google.com/spreadsheets/d/1p7R4vtkWt5VOBim4ltsDG9KTzSjrtKXsMtQGXPHyND0/edit#gid=795171502"", ""'Filter 30_05_2024'!A1:M2000""), {2, 3, 4, 5,6,7,8,9,10,11,12,13}, 0))"),"#N/A")</f>
        <v>#N/A</v>
      </c>
      <c r="V29" s="11" t="str">
        <f ca="1">IFERROR(__xludf.DUMMYFUNCTION("""COMPUTED_VALUE"""),"#N/A")</f>
        <v>#N/A</v>
      </c>
      <c r="W29" s="11" t="str">
        <f ca="1">IFERROR(__xludf.DUMMYFUNCTION("""COMPUTED_VALUE"""),"#N/A")</f>
        <v>#N/A</v>
      </c>
      <c r="X29" s="11" t="str">
        <f ca="1">IFERROR(__xludf.DUMMYFUNCTION("""COMPUTED_VALUE"""),"#N/A")</f>
        <v>#N/A</v>
      </c>
      <c r="Y29" s="11" t="str">
        <f ca="1">IFERROR(__xludf.DUMMYFUNCTION("""COMPUTED_VALUE"""),"#N/A")</f>
        <v>#N/A</v>
      </c>
      <c r="Z29" s="12" t="str">
        <f ca="1">IFERROR(__xludf.DUMMYFUNCTION("""COMPUTED_VALUE"""),"#N/A")</f>
        <v>#N/A</v>
      </c>
      <c r="AA29" s="12" t="str">
        <f ca="1">IFERROR(__xludf.DUMMYFUNCTION("""COMPUTED_VALUE"""),"#N/A")</f>
        <v>#N/A</v>
      </c>
      <c r="AB29" s="12" t="str">
        <f ca="1">IFERROR(__xludf.DUMMYFUNCTION("""COMPUTED_VALUE"""),"#N/A")</f>
        <v>#N/A</v>
      </c>
      <c r="AC29" s="12" t="str">
        <f ca="1">IFERROR(__xludf.DUMMYFUNCTION("""COMPUTED_VALUE"""),"#N/A")</f>
        <v>#N/A</v>
      </c>
      <c r="AD29" s="12" t="str">
        <f ca="1">IFERROR(__xludf.DUMMYFUNCTION("""COMPUTED_VALUE"""),"#N/A")</f>
        <v>#N/A</v>
      </c>
      <c r="AE29" s="12" t="str">
        <f ca="1">IFERROR(__xludf.DUMMYFUNCTION("""COMPUTED_VALUE"""),"#N/A")</f>
        <v>#N/A</v>
      </c>
      <c r="AF29" s="12" t="str">
        <f ca="1">IFERROR(__xludf.DUMMYFUNCTION("""COMPUTED_VALUE"""),"#N/A")</f>
        <v>#N/A</v>
      </c>
      <c r="AG29" s="13" t="str">
        <f ca="1">IFERROR(__xludf.DUMMYFUNCTION("ArrayFormula(VLOOKUP(G29, IMPORTRANGE(""https://docs.google.com/spreadsheets/d/1Co934fvtviyaRiMsrIlT05Jaq7iiYq07aLvRr35KA48/edit?gid=173865642#gid=173865642"", ""'G9 Sci_Pri_LU'!G2:V2000""), {3, 4, 5, 6, 7, 8, 9, 10, 11, 12, 13, 14, 15, 16}, 0))"),"LU006226")</f>
        <v>LU006226</v>
      </c>
      <c r="AH29" s="22" t="str">
        <f ca="1">IFERROR(__xludf.DUMMYFUNCTION("""COMPUTED_VALUE"""),"Elements and Their Classification")</f>
        <v>Elements and Their Classification</v>
      </c>
      <c r="AI29" s="13"/>
      <c r="AJ29" s="13"/>
      <c r="AK29" s="13"/>
      <c r="AL29" s="13"/>
      <c r="AM29" s="13"/>
      <c r="AN29" s="13"/>
      <c r="AO29" s="13"/>
      <c r="AP29" s="13"/>
      <c r="AQ29" s="13"/>
      <c r="AR29" s="13"/>
      <c r="AS29" s="13"/>
      <c r="AT29" s="13"/>
    </row>
    <row r="30" spans="1:46">
      <c r="A30" s="8" t="s">
        <v>247</v>
      </c>
      <c r="B30" s="8" t="s">
        <v>47</v>
      </c>
      <c r="C30" s="8" t="s">
        <v>979</v>
      </c>
      <c r="D30" s="8" t="s">
        <v>1441</v>
      </c>
      <c r="E30" s="9" t="s">
        <v>2254</v>
      </c>
      <c r="F30" s="9" t="s">
        <v>2271</v>
      </c>
      <c r="G30" s="114" t="s">
        <v>2272</v>
      </c>
      <c r="H30" s="8" t="str">
        <f ca="1">IFERROR(__xludf.DUMMYFUNCTION("VLOOKUP(G30, IMPORTRANGE(""https://docs.google.com/spreadsheets/d/14deopnvwcrKtEGCKuYXdUHJbeLDZlkiSSWWT0g7x2pM/edit#gid=849066331"", ""LU List Science (Filter)!A:B""), 2, FALSE)"),"Comparison of Mixtures and Pure Substances")</f>
        <v>Comparison of Mixtures and Pure Substances</v>
      </c>
      <c r="I30" s="10" t="str">
        <f t="shared" si="0"/>
        <v>LU006228.001</v>
      </c>
      <c r="J30" s="10" t="str">
        <f ca="1">IFERROR(__xludf.DUMMYFUNCTION("VLOOKUP(I30, IMPORTRANGE(""https://docs.google.com/spreadsheets/d/1yDAaXNsi4Mr5FtRQL4tbmSdIzhx6_m4wkOD7IG-k_eo/edit#gid=1336395716"", ""Science!M:N""), 2, FALSE)"),"Differentiate between a compound and a mixture.")</f>
        <v>Differentiate between a compound and a mixture.</v>
      </c>
      <c r="K30" s="10" t="str">
        <f t="shared" si="1"/>
        <v>LU006228.002</v>
      </c>
      <c r="L30" s="10" t="str">
        <f ca="1">IFERROR(__xludf.DUMMYFUNCTION("VLOOKUP(K30, IMPORTRANGE(""https://docs.google.com/spreadsheets/d/1yDAaXNsi4Mr5FtRQL4tbmSdIzhx6_m4wkOD7IG-k_eo/edit#gid=1336395716"", ""Science!M:N""), 2, FALSE)"),"Explain why the composition of compounds is fixed while that of mixtures is variable.")</f>
        <v>Explain why the composition of compounds is fixed while that of mixtures is variable.</v>
      </c>
      <c r="M30" s="10" t="str">
        <f t="shared" si="2"/>
        <v>LU006228.003</v>
      </c>
      <c r="N30" s="10" t="str">
        <f ca="1">IFERROR(__xludf.DUMMYFUNCTION("VLOOKUP(M30, IMPORTRANGE(""https://docs.google.com/spreadsheets/d/1yDAaXNsi4Mr5FtRQL4tbmSdIzhx6_m4wkOD7IG-k_eo/edit#gid=1336395716"", ""Science!M:N""), 2, FALSE)"),"Demonstrate the separation of a mixture using physical methods and compare it with the separation of a compound using chemical methods.")</f>
        <v>Demonstrate the separation of a mixture using physical methods and compare it with the separation of a compound using chemical methods.</v>
      </c>
      <c r="O30" s="10" t="str">
        <f t="shared" si="3"/>
        <v>LU006228.004</v>
      </c>
      <c r="P30" s="10" t="str">
        <f ca="1">IFERROR(__xludf.DUMMYFUNCTION("VLOOKUP(O30, IMPORTRANGE(""https://docs.google.com/spreadsheets/d/1yDAaXNsi4Mr5FtRQL4tbmSdIzhx6_m4wkOD7IG-k_eo/edit#gid=1336395716"", ""Science!M:N""), 2, FALSE)"),"Compare the properties of a mixture and a compound, emphasizing how the properties of a mixture reflect its constituents, whereas a compound has entirely new properties.")</f>
        <v>Compare the properties of a mixture and a compound, emphasizing how the properties of a mixture reflect its constituents, whereas a compound has entirely new properties.</v>
      </c>
      <c r="Q30" s="10" t="str">
        <f t="shared" si="4"/>
        <v>LU006228.005</v>
      </c>
      <c r="R30" s="10" t="str">
        <f ca="1">IFERROR(__xludf.DUMMYFUNCTION("VLOOKUP(Q30, IMPORTRANGE(""https://docs.google.com/spreadsheets/d/1yDAaXNsi4Mr5FtRQL4tbmSdIzhx6_m4wkOD7IG-k_eo/edit#gid=1336395716"", ""Science!M:N""), 2, FALSE)"),"Evaluate the methods used to separate constituents of mixtures and compounds, explaining why chemical or electrochemical reactions are necessary for compounds.")</f>
        <v>Evaluate the methods used to separate constituents of mixtures and compounds, explaining why chemical or electrochemical reactions are necessary for compounds.</v>
      </c>
      <c r="S30" s="10" t="str">
        <f t="shared" si="5"/>
        <v>LU006228.006</v>
      </c>
      <c r="T30" s="10" t="str">
        <f ca="1">IFERROR(__xludf.DUMMYFUNCTION("VLOOKUP(S30, IMPORTRANGE(""https://docs.google.com/spreadsheets/d/1yDAaXNsi4Mr5FtRQL4tbmSdIzhx6_m4wkOD7IG-k_eo/edit#gid=1336395716"", ""Science!M:N""), 2, FALSE)"),"Design an experiment to create a mixture and a compound, and then separate their constituents using appropriate physical and chemical methods, respectively.")</f>
        <v>Design an experiment to create a mixture and a compound, and then separate their constituents using appropriate physical and chemical methods, respectively.</v>
      </c>
      <c r="U30" s="11" t="str">
        <f ca="1">IFERROR(__xludf.DUMMYFUNCTION("ArrayFormula(VLOOKUP(G30, IMPORTRANGE(""https://docs.google.com/spreadsheets/d/1p7R4vtkWt5VOBim4ltsDG9KTzSjrtKXsMtQGXPHyND0/edit#gid=795171502"", ""'Filter 30_05_2024'!A1:M2000""), {2, 3, 4, 5,6,7,8,9,10,11,12,13}, 0))"),"#N/A")</f>
        <v>#N/A</v>
      </c>
      <c r="V30" s="11" t="str">
        <f ca="1">IFERROR(__xludf.DUMMYFUNCTION("""COMPUTED_VALUE"""),"#N/A")</f>
        <v>#N/A</v>
      </c>
      <c r="W30" s="11" t="str">
        <f ca="1">IFERROR(__xludf.DUMMYFUNCTION("""COMPUTED_VALUE"""),"#N/A")</f>
        <v>#N/A</v>
      </c>
      <c r="X30" s="11" t="str">
        <f ca="1">IFERROR(__xludf.DUMMYFUNCTION("""COMPUTED_VALUE"""),"#N/A")</f>
        <v>#N/A</v>
      </c>
      <c r="Y30" s="11" t="str">
        <f ca="1">IFERROR(__xludf.DUMMYFUNCTION("""COMPUTED_VALUE"""),"#N/A")</f>
        <v>#N/A</v>
      </c>
      <c r="Z30" s="12" t="str">
        <f ca="1">IFERROR(__xludf.DUMMYFUNCTION("""COMPUTED_VALUE"""),"#N/A")</f>
        <v>#N/A</v>
      </c>
      <c r="AA30" s="12" t="str">
        <f ca="1">IFERROR(__xludf.DUMMYFUNCTION("""COMPUTED_VALUE"""),"#N/A")</f>
        <v>#N/A</v>
      </c>
      <c r="AB30" s="12" t="str">
        <f ca="1">IFERROR(__xludf.DUMMYFUNCTION("""COMPUTED_VALUE"""),"#N/A")</f>
        <v>#N/A</v>
      </c>
      <c r="AC30" s="12" t="str">
        <f ca="1">IFERROR(__xludf.DUMMYFUNCTION("""COMPUTED_VALUE"""),"#N/A")</f>
        <v>#N/A</v>
      </c>
      <c r="AD30" s="12" t="str">
        <f ca="1">IFERROR(__xludf.DUMMYFUNCTION("""COMPUTED_VALUE"""),"#N/A")</f>
        <v>#N/A</v>
      </c>
      <c r="AE30" s="12" t="str">
        <f ca="1">IFERROR(__xludf.DUMMYFUNCTION("""COMPUTED_VALUE"""),"#N/A")</f>
        <v>#N/A</v>
      </c>
      <c r="AF30" s="12" t="str">
        <f ca="1">IFERROR(__xludf.DUMMYFUNCTION("""COMPUTED_VALUE"""),"#N/A")</f>
        <v>#N/A</v>
      </c>
      <c r="AG30" s="13" t="str">
        <f ca="1">IFERROR(__xludf.DUMMYFUNCTION("ArrayFormula(VLOOKUP(G30, IMPORTRANGE(""https://docs.google.com/spreadsheets/d/1Co934fvtviyaRiMsrIlT05Jaq7iiYq07aLvRr35KA48/edit?gid=173865642#gid=173865642"", ""'G9 Sci_Pri_LU'!G2:V2000""), {3, 4, 5, 6, 7, 8, 9, 10, 11, 12, 13, 14, 15, 16}, 0))"),"LU006227")</f>
        <v>LU006227</v>
      </c>
      <c r="AH30" s="22" t="str">
        <f ca="1">IFERROR(__xludf.DUMMYFUNCTION("""COMPUTED_VALUE"""),"Compounds and Their Properties")</f>
        <v>Compounds and Their Properties</v>
      </c>
      <c r="AI30" s="13"/>
      <c r="AJ30" s="13"/>
      <c r="AK30" s="13"/>
      <c r="AL30" s="13"/>
      <c r="AM30" s="13"/>
      <c r="AN30" s="13"/>
      <c r="AO30" s="13"/>
      <c r="AP30" s="13"/>
      <c r="AQ30" s="13"/>
      <c r="AR30" s="13"/>
      <c r="AS30" s="13"/>
      <c r="AT30" s="13"/>
    </row>
    <row r="31" spans="1:46">
      <c r="A31" s="8" t="s">
        <v>247</v>
      </c>
      <c r="B31" s="8" t="s">
        <v>47</v>
      </c>
      <c r="C31" s="8" t="s">
        <v>979</v>
      </c>
      <c r="D31" s="8" t="s">
        <v>1441</v>
      </c>
      <c r="E31" s="8" t="s">
        <v>2273</v>
      </c>
      <c r="F31" s="10" t="s">
        <v>2274</v>
      </c>
      <c r="G31" s="114" t="s">
        <v>2275</v>
      </c>
      <c r="H31" s="8" t="str">
        <f ca="1">IFERROR(__xludf.DUMMYFUNCTION("VLOOKUP(G31, IMPORTRANGE(""https://docs.google.com/spreadsheets/d/14deopnvwcrKtEGCKuYXdUHJbeLDZlkiSSWWT0g7x2pM/edit#gid=849066331"", ""LU List Science (Filter)!A:B""), 2, FALSE)"),"Introduction to Law of Conservation of Mass")</f>
        <v>Introduction to Law of Conservation of Mass</v>
      </c>
      <c r="I31" s="10" t="str">
        <f t="shared" si="0"/>
        <v>LU006374.001</v>
      </c>
      <c r="J31" s="10" t="str">
        <f ca="1">IFERROR(__xludf.DUMMYFUNCTION("VLOOKUP(I31, IMPORTRANGE(""https://docs.google.com/spreadsheets/d/1yDAaXNsi4Mr5FtRQL4tbmSdIzhx6_m4wkOD7IG-k_eo/edit#gid=1336395716"", ""Science!M:N""), 2, FALSE)"),"Define the Law of Conservation of Mass.")</f>
        <v>Define the Law of Conservation of Mass.</v>
      </c>
      <c r="K31" s="10" t="str">
        <f t="shared" si="1"/>
        <v>LU006374.002</v>
      </c>
      <c r="L31" s="10" t="str">
        <f ca="1">IFERROR(__xludf.DUMMYFUNCTION("VLOOKUP(K31, IMPORTRANGE(""https://docs.google.com/spreadsheets/d/1yDAaXNsi4Mr5FtRQL4tbmSdIzhx6_m4wkOD7IG-k_eo/edit#gid=1336395716"", ""Science!M:N""), 2, FALSE)"),"Explain how the Law of Conservation of Mass applies to a chemical reaction.")</f>
        <v>Explain how the Law of Conservation of Mass applies to a chemical reaction.</v>
      </c>
      <c r="M31" s="10" t="str">
        <f t="shared" si="2"/>
        <v>LU006374.003</v>
      </c>
      <c r="N31" s="10" t="str">
        <f ca="1">IFERROR(__xludf.DUMMYFUNCTION("VLOOKUP(M31, IMPORTRANGE(""https://docs.google.com/spreadsheets/d/1yDAaXNsi4Mr5FtRQL4tbmSdIzhx6_m4wkOD7IG-k_eo/edit#gid=1336395716"", ""Science!M:N""), 2, FALSE)"),"Demonstrate an experiment that shows the Law of Conservation of Mass.")</f>
        <v>Demonstrate an experiment that shows the Law of Conservation of Mass.</v>
      </c>
      <c r="O31" s="10" t="str">
        <f t="shared" si="3"/>
        <v>LU006374.004</v>
      </c>
      <c r="P31" s="10" t="str">
        <f ca="1">IFERROR(__xludf.DUMMYFUNCTION("VLOOKUP(O31, IMPORTRANGE(""https://docs.google.com/spreadsheets/d/1yDAaXNsi4Mr5FtRQL4tbmSdIzhx6_m4wkOD7IG-k_eo/edit#gid=1336395716"", ""Science!M:N""), 2, FALSE)"),"Compare and contrast mass changes before and after a chemical reaction.")</f>
        <v>Compare and contrast mass changes before and after a chemical reaction.</v>
      </c>
      <c r="Q31" s="10" t="str">
        <f t="shared" si="4"/>
        <v>LU006374.005</v>
      </c>
      <c r="R31" s="10" t="str">
        <f ca="1">IFERROR(__xludf.DUMMYFUNCTION("VLOOKUP(Q31, IMPORTRANGE(""https://docs.google.com/spreadsheets/d/1yDAaXNsi4Mr5FtRQL4tbmSdIzhx6_m4wkOD7IG-k_eo/edit#gid=1336395716"", ""Science!M:N""), 2, FALSE)"),"Assess the significance of the Law of Conservation of Mass in chemical equations.")</f>
        <v>Assess the significance of the Law of Conservation of Mass in chemical equations.</v>
      </c>
      <c r="S31" s="10" t="str">
        <f t="shared" si="5"/>
        <v>LU006374.006</v>
      </c>
      <c r="T31" s="10" t="str">
        <f ca="1">IFERROR(__xludf.DUMMYFUNCTION("VLOOKUP(S31, IMPORTRANGE(""https://docs.google.com/spreadsheets/d/1yDAaXNsi4Mr5FtRQL4tbmSdIzhx6_m4wkOD7IG-k_eo/edit#gid=1336395716"", ""Science!M:N""), 2, FALSE)"),"Design a new experiment to verify the Law of Conservation of Mass.")</f>
        <v>Design a new experiment to verify the Law of Conservation of Mass.</v>
      </c>
      <c r="U31" s="11" t="str">
        <f ca="1">IFERROR(__xludf.DUMMYFUNCTION("ArrayFormula(VLOOKUP(G31, IMPORTRANGE(""https://docs.google.com/spreadsheets/d/1p7R4vtkWt5VOBim4ltsDG9KTzSjrtKXsMtQGXPHyND0/edit#gid=795171502"", ""'Filter 30_05_2024'!A1:M2000""), {2, 3, 4, 5,6,7,8,9,10,11,12,13}, 0))"),"#N/A")</f>
        <v>#N/A</v>
      </c>
      <c r="V31" s="11" t="str">
        <f ca="1">IFERROR(__xludf.DUMMYFUNCTION("""COMPUTED_VALUE"""),"#N/A")</f>
        <v>#N/A</v>
      </c>
      <c r="W31" s="11" t="str">
        <f ca="1">IFERROR(__xludf.DUMMYFUNCTION("""COMPUTED_VALUE"""),"#N/A")</f>
        <v>#N/A</v>
      </c>
      <c r="X31" s="11" t="str">
        <f ca="1">IFERROR(__xludf.DUMMYFUNCTION("""COMPUTED_VALUE"""),"#N/A")</f>
        <v>#N/A</v>
      </c>
      <c r="Y31" s="11" t="str">
        <f ca="1">IFERROR(__xludf.DUMMYFUNCTION("""COMPUTED_VALUE"""),"#N/A")</f>
        <v>#N/A</v>
      </c>
      <c r="Z31" s="12" t="str">
        <f ca="1">IFERROR(__xludf.DUMMYFUNCTION("""COMPUTED_VALUE"""),"#N/A")</f>
        <v>#N/A</v>
      </c>
      <c r="AA31" s="12" t="str">
        <f ca="1">IFERROR(__xludf.DUMMYFUNCTION("""COMPUTED_VALUE"""),"#N/A")</f>
        <v>#N/A</v>
      </c>
      <c r="AB31" s="12" t="str">
        <f ca="1">IFERROR(__xludf.DUMMYFUNCTION("""COMPUTED_VALUE"""),"#N/A")</f>
        <v>#N/A</v>
      </c>
      <c r="AC31" s="12" t="str">
        <f ca="1">IFERROR(__xludf.DUMMYFUNCTION("""COMPUTED_VALUE"""),"#N/A")</f>
        <v>#N/A</v>
      </c>
      <c r="AD31" s="12" t="str">
        <f ca="1">IFERROR(__xludf.DUMMYFUNCTION("""COMPUTED_VALUE"""),"#N/A")</f>
        <v>#N/A</v>
      </c>
      <c r="AE31" s="12" t="str">
        <f ca="1">IFERROR(__xludf.DUMMYFUNCTION("""COMPUTED_VALUE"""),"#N/A")</f>
        <v>#N/A</v>
      </c>
      <c r="AF31" s="12" t="str">
        <f ca="1">IFERROR(__xludf.DUMMYFUNCTION("""COMPUTED_VALUE"""),"#N/A")</f>
        <v>#N/A</v>
      </c>
      <c r="AG31" s="13" t="str">
        <f ca="1">IFERROR(__xludf.DUMMYFUNCTION("ArrayFormula(VLOOKUP(G31, IMPORTRANGE(""https://docs.google.com/spreadsheets/d/1Co934fvtviyaRiMsrIlT05Jaq7iiYq07aLvRr35KA48/edit?gid=173865642#gid=173865642"", ""'G9 Sci_Pri_LU'!G2:V2000""), {3, 4, 5, 6, 7, 8, 9, 10, 11, 12, 13, 14, 15, 16}, 0))"),"")</f>
        <v/>
      </c>
      <c r="AH31" s="22"/>
      <c r="AI31" s="13"/>
      <c r="AJ31" s="13"/>
      <c r="AK31" s="13"/>
      <c r="AL31" s="13"/>
      <c r="AM31" s="13"/>
      <c r="AN31" s="13"/>
      <c r="AO31" s="13"/>
      <c r="AP31" s="13"/>
      <c r="AQ31" s="13"/>
      <c r="AR31" s="13"/>
      <c r="AS31" s="13"/>
      <c r="AT31" s="13"/>
    </row>
    <row r="32" spans="1:46">
      <c r="A32" s="8" t="s">
        <v>247</v>
      </c>
      <c r="B32" s="8" t="s">
        <v>47</v>
      </c>
      <c r="C32" s="8" t="s">
        <v>979</v>
      </c>
      <c r="D32" s="8" t="s">
        <v>1441</v>
      </c>
      <c r="E32" s="8" t="s">
        <v>2273</v>
      </c>
      <c r="F32" s="10" t="s">
        <v>2274</v>
      </c>
      <c r="G32" s="114" t="s">
        <v>2276</v>
      </c>
      <c r="H32" s="8" t="str">
        <f ca="1">IFERROR(__xludf.DUMMYFUNCTION("VLOOKUP(G32, IMPORTRANGE(""https://docs.google.com/spreadsheets/d/14deopnvwcrKtEGCKuYXdUHJbeLDZlkiSSWWT0g7x2pM/edit#gid=849066331"", ""LU List Science (Filter)!A:B""), 2, FALSE)"),"Introduction to Law of Constant Proportions")</f>
        <v>Introduction to Law of Constant Proportions</v>
      </c>
      <c r="I32" s="10" t="str">
        <f t="shared" si="0"/>
        <v>LU006375.001</v>
      </c>
      <c r="J32" s="10" t="str">
        <f ca="1">IFERROR(__xludf.DUMMYFUNCTION("VLOOKUP(I32, IMPORTRANGE(""https://docs.google.com/spreadsheets/d/1yDAaXNsi4Mr5FtRQL4tbmSdIzhx6_m4wkOD7IG-k_eo/edit#gid=1336395716"", ""Science!M:N""), 2, FALSE)"),"Define the Law of Constant Proportions.")</f>
        <v>Define the Law of Constant Proportions.</v>
      </c>
      <c r="K32" s="10" t="str">
        <f t="shared" si="1"/>
        <v>LU006375.002</v>
      </c>
      <c r="L32" s="10" t="str">
        <f ca="1">IFERROR(__xludf.DUMMYFUNCTION("VLOOKUP(K32, IMPORTRANGE(""https://docs.google.com/spreadsheets/d/1yDAaXNsi4Mr5FtRQL4tbmSdIzhx6_m4wkOD7IG-k_eo/edit#gid=1336395716"", ""Science!M:N""), 2, FALSE)"),"Explain the Law of Constant Proportions using water as an example.")</f>
        <v>Explain the Law of Constant Proportions using water as an example.</v>
      </c>
      <c r="M32" s="10" t="str">
        <f t="shared" si="2"/>
        <v>LU006375.003</v>
      </c>
      <c r="N32" s="10" t="str">
        <f ca="1">IFERROR(__xludf.DUMMYFUNCTION("VLOOKUP(M32, IMPORTRANGE(""https://docs.google.com/spreadsheets/d/1yDAaXNsi4Mr5FtRQL4tbmSdIzhx6_m4wkOD7IG-k_eo/edit#gid=1336395716"", ""Science!M:N""), 2, FALSE)"),"Illustrate how to use the Law of Constant Proportions to determine the composition of a compound.")</f>
        <v>Illustrate how to use the Law of Constant Proportions to determine the composition of a compound.</v>
      </c>
      <c r="O32" s="10" t="str">
        <f t="shared" si="3"/>
        <v>LU006375.004</v>
      </c>
      <c r="P32" s="10" t="str">
        <f ca="1">IFERROR(__xludf.DUMMYFUNCTION("VLOOKUP(O32, IMPORTRANGE(""https://docs.google.com/spreadsheets/d/1yDAaXNsi4Mr5FtRQL4tbmSdIzhx6_m4wkOD7IG-k_eo/edit#gid=1336395716"", ""Science!M:N""), 2, FALSE)"),"Analyze different compounds to see how they adhere to the Law of Constant Proportions.")</f>
        <v>Analyze different compounds to see how they adhere to the Law of Constant Proportions.</v>
      </c>
      <c r="Q32" s="10" t="str">
        <f t="shared" si="4"/>
        <v>LU006375.005</v>
      </c>
      <c r="R32" s="10" t="str">
        <f ca="1">IFERROR(__xludf.DUMMYFUNCTION("VLOOKUP(Q32, IMPORTRANGE(""https://docs.google.com/spreadsheets/d/1yDAaXNsi4Mr5FtRQL4tbmSdIzhx6_m4wkOD7IG-k_eo/edit#gid=1336395716"", ""Science!M:N""), 2, FALSE)"),"Evaluate the implications of the Law of Constant Proportions in chemical synthesis.")</f>
        <v>Evaluate the implications of the Law of Constant Proportions in chemical synthesis.</v>
      </c>
      <c r="S32" s="10" t="str">
        <f t="shared" si="5"/>
        <v>LU006375.006</v>
      </c>
      <c r="T32" s="10" t="str">
        <f ca="1">IFERROR(__xludf.DUMMYFUNCTION("VLOOKUP(S32, IMPORTRANGE(""https://docs.google.com/spreadsheets/d/1yDAaXNsi4Mr5FtRQL4tbmSdIzhx6_m4wkOD7IG-k_eo/edit#gid=1336395716"", ""Science!M:N""), 2, FALSE)"),"Create a model that visually represents the Law of Constant Proportions.")</f>
        <v>Create a model that visually represents the Law of Constant Proportions.</v>
      </c>
      <c r="U32" s="11" t="str">
        <f ca="1">IFERROR(__xludf.DUMMYFUNCTION("ArrayFormula(VLOOKUP(G32, IMPORTRANGE(""https://docs.google.com/spreadsheets/d/1p7R4vtkWt5VOBim4ltsDG9KTzSjrtKXsMtQGXPHyND0/edit#gid=795171502"", ""'Filter 30_05_2024'!A1:M2000""), {2, 3, 4, 5,6,7,8,9,10,11,12,13}, 0))"),"#N/A")</f>
        <v>#N/A</v>
      </c>
      <c r="V32" s="11" t="str">
        <f ca="1">IFERROR(__xludf.DUMMYFUNCTION("""COMPUTED_VALUE"""),"#N/A")</f>
        <v>#N/A</v>
      </c>
      <c r="W32" s="11" t="str">
        <f ca="1">IFERROR(__xludf.DUMMYFUNCTION("""COMPUTED_VALUE"""),"#N/A")</f>
        <v>#N/A</v>
      </c>
      <c r="X32" s="11" t="str">
        <f ca="1">IFERROR(__xludf.DUMMYFUNCTION("""COMPUTED_VALUE"""),"#N/A")</f>
        <v>#N/A</v>
      </c>
      <c r="Y32" s="11" t="str">
        <f ca="1">IFERROR(__xludf.DUMMYFUNCTION("""COMPUTED_VALUE"""),"#N/A")</f>
        <v>#N/A</v>
      </c>
      <c r="Z32" s="12" t="str">
        <f ca="1">IFERROR(__xludf.DUMMYFUNCTION("""COMPUTED_VALUE"""),"#N/A")</f>
        <v>#N/A</v>
      </c>
      <c r="AA32" s="12" t="str">
        <f ca="1">IFERROR(__xludf.DUMMYFUNCTION("""COMPUTED_VALUE"""),"#N/A")</f>
        <v>#N/A</v>
      </c>
      <c r="AB32" s="12" t="str">
        <f ca="1">IFERROR(__xludf.DUMMYFUNCTION("""COMPUTED_VALUE"""),"#N/A")</f>
        <v>#N/A</v>
      </c>
      <c r="AC32" s="12" t="str">
        <f ca="1">IFERROR(__xludf.DUMMYFUNCTION("""COMPUTED_VALUE"""),"#N/A")</f>
        <v>#N/A</v>
      </c>
      <c r="AD32" s="12" t="str">
        <f ca="1">IFERROR(__xludf.DUMMYFUNCTION("""COMPUTED_VALUE"""),"#N/A")</f>
        <v>#N/A</v>
      </c>
      <c r="AE32" s="12" t="str">
        <f ca="1">IFERROR(__xludf.DUMMYFUNCTION("""COMPUTED_VALUE"""),"#N/A")</f>
        <v>#N/A</v>
      </c>
      <c r="AF32" s="12" t="str">
        <f ca="1">IFERROR(__xludf.DUMMYFUNCTION("""COMPUTED_VALUE"""),"#N/A")</f>
        <v>#N/A</v>
      </c>
      <c r="AG32" s="13" t="str">
        <f ca="1">IFERROR(__xludf.DUMMYFUNCTION("ArrayFormula(VLOOKUP(G32, IMPORTRANGE(""https://docs.google.com/spreadsheets/d/1Co934fvtviyaRiMsrIlT05Jaq7iiYq07aLvRr35KA48/edit?gid=173865642#gid=173865642"", ""'G9 Sci_Pri_LU'!G2:V2000""), {3, 4, 5, 6, 7, 8, 9, 10, 11, 12, 13, 14, 15, 16}, 0))"),"LU006374")</f>
        <v>LU006374</v>
      </c>
      <c r="AH32" s="22" t="str">
        <f ca="1">IFERROR(__xludf.DUMMYFUNCTION("""COMPUTED_VALUE"""),"Introduction to Law of Conservation of Mass")</f>
        <v>Introduction to Law of Conservation of Mass</v>
      </c>
      <c r="AI32" s="13"/>
      <c r="AJ32" s="13"/>
      <c r="AK32" s="13"/>
      <c r="AL32" s="13"/>
      <c r="AM32" s="13"/>
      <c r="AN32" s="13"/>
      <c r="AO32" s="13"/>
      <c r="AP32" s="13"/>
      <c r="AQ32" s="13"/>
      <c r="AR32" s="13"/>
      <c r="AS32" s="13"/>
      <c r="AT32" s="13"/>
    </row>
    <row r="33" spans="1:46">
      <c r="A33" s="8" t="s">
        <v>247</v>
      </c>
      <c r="B33" s="8" t="s">
        <v>47</v>
      </c>
      <c r="C33" s="8" t="s">
        <v>979</v>
      </c>
      <c r="D33" s="8" t="s">
        <v>1441</v>
      </c>
      <c r="E33" s="8" t="s">
        <v>2273</v>
      </c>
      <c r="F33" s="10" t="s">
        <v>2274</v>
      </c>
      <c r="G33" s="114" t="s">
        <v>2277</v>
      </c>
      <c r="H33" s="8" t="str">
        <f ca="1">IFERROR(__xludf.DUMMYFUNCTION("VLOOKUP(G33, IMPORTRANGE(""https://docs.google.com/spreadsheets/d/14deopnvwcrKtEGCKuYXdUHJbeLDZlkiSSWWT0g7x2pM/edit#gid=849066331"", ""LU List Science (Filter)!A:B""), 2, FALSE)"),"Introduction to Dalton's postulates about atoms")</f>
        <v>Introduction to Dalton's postulates about atoms</v>
      </c>
      <c r="I33" s="10" t="str">
        <f t="shared" si="0"/>
        <v>LU006376.001</v>
      </c>
      <c r="J33" s="10" t="str">
        <f ca="1">IFERROR(__xludf.DUMMYFUNCTION("VLOOKUP(I33, IMPORTRANGE(""https://docs.google.com/spreadsheets/d/1yDAaXNsi4Mr5FtRQL4tbmSdIzhx6_m4wkOD7IG-k_eo/edit#gid=1336395716"", ""Science!M:N""), 2, FALSE)"),"List Dalton’s postulates about atoms.")</f>
        <v>List Dalton’s postulates about atoms.</v>
      </c>
      <c r="K33" s="10" t="str">
        <f t="shared" si="1"/>
        <v>LU006376.002</v>
      </c>
      <c r="L33" s="10" t="str">
        <f ca="1">IFERROR(__xludf.DUMMYFUNCTION("VLOOKUP(K33, IMPORTRANGE(""https://docs.google.com/spreadsheets/d/1yDAaXNsi4Mr5FtRQL4tbmSdIzhx6_m4wkOD7IG-k_eo/edit#gid=1336395716"", ""Science!M:N""), 2, FALSE)"),"Explain the significance of each of Dalton’s postulates.")</f>
        <v>Explain the significance of each of Dalton’s postulates.</v>
      </c>
      <c r="M33" s="10" t="str">
        <f t="shared" si="2"/>
        <v>LU006376.003</v>
      </c>
      <c r="N33" s="10" t="str">
        <f ca="1">IFERROR(__xludf.DUMMYFUNCTION("VLOOKUP(M33, IMPORTRANGE(""https://docs.google.com/spreadsheets/d/1yDAaXNsi4Mr5FtRQL4tbmSdIzhx6_m4wkOD7IG-k_eo/edit#gid=1336395716"", ""Science!M:N""), 2, FALSE)"),"Apply Dalton’s postulates to explain the behavior of atoms in a chemical reaction.")</f>
        <v>Apply Dalton’s postulates to explain the behavior of atoms in a chemical reaction.</v>
      </c>
      <c r="O33" s="10" t="str">
        <f t="shared" si="3"/>
        <v>LU006376.004</v>
      </c>
      <c r="P33" s="10" t="str">
        <f ca="1">IFERROR(__xludf.DUMMYFUNCTION("VLOOKUP(O33, IMPORTRANGE(""https://docs.google.com/spreadsheets/d/1yDAaXNsi4Mr5FtRQL4tbmSdIzhx6_m4wkOD7IG-k_eo/edit#gid=1336395716"", ""Science!M:N""), 2, FALSE)"),"Analyze how Dalton’s postulates address the laws of chemical combination.")</f>
        <v>Analyze how Dalton’s postulates address the laws of chemical combination.</v>
      </c>
      <c r="Q33" s="10" t="str">
        <f t="shared" si="4"/>
        <v>LU006376.005</v>
      </c>
      <c r="R33" s="10" t="str">
        <f ca="1">IFERROR(__xludf.DUMMYFUNCTION("VLOOKUP(Q33, IMPORTRANGE(""https://docs.google.com/spreadsheets/d/1yDAaXNsi4Mr5FtRQL4tbmSdIzhx6_m4wkOD7IG-k_eo/edit#gid=1336395716"", ""Science!M:N""), 2, FALSE)"),"Evaluate the impact of Dalton’s atomic theory on modern chemistry.")</f>
        <v>Evaluate the impact of Dalton’s atomic theory on modern chemistry.</v>
      </c>
      <c r="S33" s="10" t="str">
        <f t="shared" si="5"/>
        <v>LU006376.006</v>
      </c>
      <c r="T33" s="10" t="str">
        <f ca="1">IFERROR(__xludf.DUMMYFUNCTION("VLOOKUP(S33, IMPORTRANGE(""https://docs.google.com/spreadsheets/d/1yDAaXNsi4Mr5FtRQL4tbmSdIzhx6_m4wkOD7IG-k_eo/edit#gid=1336395716"", ""Science!M:N""), 2, FALSE)"),"Develop a presentation that illustrates Dalton’s postulates and their relevance today.")</f>
        <v>Develop a presentation that illustrates Dalton’s postulates and their relevance today.</v>
      </c>
      <c r="U33" s="11" t="str">
        <f ca="1">IFERROR(__xludf.DUMMYFUNCTION("ArrayFormula(VLOOKUP(G33, IMPORTRANGE(""https://docs.google.com/spreadsheets/d/1p7R4vtkWt5VOBim4ltsDG9KTzSjrtKXsMtQGXPHyND0/edit#gid=795171502"", ""'Filter 30_05_2024'!A1:M2000""), {2, 3, 4, 5,6,7,8,9,10,11,12,13}, 0))"),"#N/A")</f>
        <v>#N/A</v>
      </c>
      <c r="V33" s="11" t="str">
        <f ca="1">IFERROR(__xludf.DUMMYFUNCTION("""COMPUTED_VALUE"""),"#N/A")</f>
        <v>#N/A</v>
      </c>
      <c r="W33" s="11" t="str">
        <f ca="1">IFERROR(__xludf.DUMMYFUNCTION("""COMPUTED_VALUE"""),"#N/A")</f>
        <v>#N/A</v>
      </c>
      <c r="X33" s="11" t="str">
        <f ca="1">IFERROR(__xludf.DUMMYFUNCTION("""COMPUTED_VALUE"""),"#N/A")</f>
        <v>#N/A</v>
      </c>
      <c r="Y33" s="11" t="str">
        <f ca="1">IFERROR(__xludf.DUMMYFUNCTION("""COMPUTED_VALUE"""),"#N/A")</f>
        <v>#N/A</v>
      </c>
      <c r="Z33" s="12" t="str">
        <f ca="1">IFERROR(__xludf.DUMMYFUNCTION("""COMPUTED_VALUE"""),"#N/A")</f>
        <v>#N/A</v>
      </c>
      <c r="AA33" s="12" t="str">
        <f ca="1">IFERROR(__xludf.DUMMYFUNCTION("""COMPUTED_VALUE"""),"#N/A")</f>
        <v>#N/A</v>
      </c>
      <c r="AB33" s="12" t="str">
        <f ca="1">IFERROR(__xludf.DUMMYFUNCTION("""COMPUTED_VALUE"""),"#N/A")</f>
        <v>#N/A</v>
      </c>
      <c r="AC33" s="12" t="str">
        <f ca="1">IFERROR(__xludf.DUMMYFUNCTION("""COMPUTED_VALUE"""),"#N/A")</f>
        <v>#N/A</v>
      </c>
      <c r="AD33" s="12" t="str">
        <f ca="1">IFERROR(__xludf.DUMMYFUNCTION("""COMPUTED_VALUE"""),"#N/A")</f>
        <v>#N/A</v>
      </c>
      <c r="AE33" s="12" t="str">
        <f ca="1">IFERROR(__xludf.DUMMYFUNCTION("""COMPUTED_VALUE"""),"#N/A")</f>
        <v>#N/A</v>
      </c>
      <c r="AF33" s="12" t="str">
        <f ca="1">IFERROR(__xludf.DUMMYFUNCTION("""COMPUTED_VALUE"""),"#N/A")</f>
        <v>#N/A</v>
      </c>
      <c r="AG33" s="13" t="str">
        <f ca="1">IFERROR(__xludf.DUMMYFUNCTION("ArrayFormula(VLOOKUP(G33, IMPORTRANGE(""https://docs.google.com/spreadsheets/d/1Co934fvtviyaRiMsrIlT05Jaq7iiYq07aLvRr35KA48/edit?gid=173865642#gid=173865642"", ""'G9 Sci_Pri_LU'!G2:V2000""), {3, 4, 5, 6, 7, 8, 9, 10, 11, 12, 13, 14, 15, 16}, 0))"),"LU006375")</f>
        <v>LU006375</v>
      </c>
      <c r="AH33" s="22" t="str">
        <f ca="1">IFERROR(__xludf.DUMMYFUNCTION("""COMPUTED_VALUE"""),"Introduction to Law of Constant Proportions")</f>
        <v>Introduction to Law of Constant Proportions</v>
      </c>
      <c r="AI33" s="13"/>
      <c r="AJ33" s="13"/>
      <c r="AK33" s="13"/>
      <c r="AL33" s="13"/>
      <c r="AM33" s="13"/>
      <c r="AN33" s="13"/>
      <c r="AO33" s="13"/>
      <c r="AP33" s="13"/>
      <c r="AQ33" s="13"/>
      <c r="AR33" s="13"/>
      <c r="AS33" s="13"/>
      <c r="AT33" s="13"/>
    </row>
    <row r="34" spans="1:46">
      <c r="A34" s="8" t="s">
        <v>247</v>
      </c>
      <c r="B34" s="8" t="s">
        <v>47</v>
      </c>
      <c r="C34" s="8" t="s">
        <v>979</v>
      </c>
      <c r="D34" s="8" t="s">
        <v>1441</v>
      </c>
      <c r="E34" s="8" t="s">
        <v>2273</v>
      </c>
      <c r="F34" s="10" t="s">
        <v>2278</v>
      </c>
      <c r="G34" s="114" t="s">
        <v>2279</v>
      </c>
      <c r="H34" s="8" t="str">
        <f ca="1">IFERROR(__xludf.DUMMYFUNCTION("VLOOKUP(G34, IMPORTRANGE(""https://docs.google.com/spreadsheets/d/14deopnvwcrKtEGCKuYXdUHJbeLDZlkiSSWWT0g7x2pM/edit#gid=849066331"", ""LU List Science (Filter)!A:B""), 2, FALSE)"),"Sizes and relative scales of atoms compared to familiar objects.")</f>
        <v>Sizes and relative scales of atoms compared to familiar objects.</v>
      </c>
      <c r="I34" s="10" t="str">
        <f t="shared" si="0"/>
        <v>LU006377.001</v>
      </c>
      <c r="J34" s="10" t="str">
        <f ca="1">IFERROR(__xludf.DUMMYFUNCTION("VLOOKUP(I34, IMPORTRANGE(""https://docs.google.com/spreadsheets/d/1yDAaXNsi4Mr5FtRQL4tbmSdIzhx6_m4wkOD7IG-k_eo/edit#gid=1336395716"", ""Science!M:N""), 2, FALSE)"),"Identify the relative sizes of atoms and familiar objects.")</f>
        <v>Identify the relative sizes of atoms and familiar objects.</v>
      </c>
      <c r="K34" s="10" t="str">
        <f t="shared" si="1"/>
        <v>LU006377.002</v>
      </c>
      <c r="L34" s="10" t="str">
        <f ca="1">IFERROR(__xludf.DUMMYFUNCTION("VLOOKUP(K34, IMPORTRANGE(""https://docs.google.com/spreadsheets/d/1yDAaXNsi4Mr5FtRQL4tbmSdIzhx6_m4wkOD7IG-k_eo/edit#gid=1336395716"", ""Science!M:N""), 2, FALSE)"),"Describe the scale difference between atoms and familiar objects.")</f>
        <v>Describe the scale difference between atoms and familiar objects.</v>
      </c>
      <c r="M34" s="10" t="str">
        <f t="shared" si="2"/>
        <v>LU006377.003</v>
      </c>
      <c r="N34" s="10" t="str">
        <f ca="1">IFERROR(__xludf.DUMMYFUNCTION("VLOOKUP(M34, IMPORTRANGE(""https://docs.google.com/spreadsheets/d/1yDAaXNsi4Mr5FtRQL4tbmSdIzhx6_m4wkOD7IG-k_eo/edit#gid=1336395716"", ""Science!M:N""), 2, FALSE)"),"Use a model to demonstrate the relative scale of atoms compared to everyday objects.")</f>
        <v>Use a model to demonstrate the relative scale of atoms compared to everyday objects.</v>
      </c>
      <c r="O34" s="10" t="str">
        <f t="shared" si="3"/>
        <v>LU006377.004</v>
      </c>
      <c r="P34" s="10" t="str">
        <f ca="1">IFERROR(__xludf.DUMMYFUNCTION("VLOOKUP(O34, IMPORTRANGE(""https://docs.google.com/spreadsheets/d/1yDAaXNsi4Mr5FtRQL4tbmSdIzhx6_m4wkOD7IG-k_eo/edit#gid=1336395716"", ""Science!M:N""), 2, FALSE)"),"Analyze the challenges of measuring atomic sizes.")</f>
        <v>Analyze the challenges of measuring atomic sizes.</v>
      </c>
      <c r="Q34" s="10" t="str">
        <f t="shared" si="4"/>
        <v>LU006377.005</v>
      </c>
      <c r="R34" s="10" t="str">
        <f ca="1">IFERROR(__xludf.DUMMYFUNCTION("VLOOKUP(Q34, IMPORTRANGE(""https://docs.google.com/spreadsheets/d/1yDAaXNsi4Mr5FtRQL4tbmSdIzhx6_m4wkOD7IG-k_eo/edit#gid=1336395716"", ""Science!M:N""), 2, FALSE)"),"Evaluate different methods used to measure and visualize atomic sizes.")</f>
        <v>Evaluate different methods used to measure and visualize atomic sizes.</v>
      </c>
      <c r="S34" s="10" t="str">
        <f t="shared" si="5"/>
        <v>LU006377.006</v>
      </c>
      <c r="T34" s="10" t="str">
        <f ca="1">IFERROR(__xludf.DUMMYFUNCTION("VLOOKUP(S34, IMPORTRANGE(""https://docs.google.com/spreadsheets/d/1yDAaXNsi4Mr5FtRQL4tbmSdIzhx6_m4wkOD7IG-k_eo/edit#gid=1336395716"", ""Science!M:N""), 2, FALSE)"),"Create a visual comparison chart showing the sizes of atoms and familiar objects.")</f>
        <v>Create a visual comparison chart showing the sizes of atoms and familiar objects.</v>
      </c>
      <c r="U34" s="11" t="str">
        <f ca="1">IFERROR(__xludf.DUMMYFUNCTION("ArrayFormula(VLOOKUP(G34, IMPORTRANGE(""https://docs.google.com/spreadsheets/d/1p7R4vtkWt5VOBim4ltsDG9KTzSjrtKXsMtQGXPHyND0/edit#gid=795171502"", ""'Filter 30_05_2024'!A1:M2000""), {2, 3, 4, 5,6,7,8,9,10,11,12,13}, 0))"),"#N/A")</f>
        <v>#N/A</v>
      </c>
      <c r="V34" s="11" t="str">
        <f ca="1">IFERROR(__xludf.DUMMYFUNCTION("""COMPUTED_VALUE"""),"#N/A")</f>
        <v>#N/A</v>
      </c>
      <c r="W34" s="11" t="str">
        <f ca="1">IFERROR(__xludf.DUMMYFUNCTION("""COMPUTED_VALUE"""),"#N/A")</f>
        <v>#N/A</v>
      </c>
      <c r="X34" s="11" t="str">
        <f ca="1">IFERROR(__xludf.DUMMYFUNCTION("""COMPUTED_VALUE"""),"#N/A")</f>
        <v>#N/A</v>
      </c>
      <c r="Y34" s="11" t="str">
        <f ca="1">IFERROR(__xludf.DUMMYFUNCTION("""COMPUTED_VALUE"""),"#N/A")</f>
        <v>#N/A</v>
      </c>
      <c r="Z34" s="12" t="str">
        <f ca="1">IFERROR(__xludf.DUMMYFUNCTION("""COMPUTED_VALUE"""),"#N/A")</f>
        <v>#N/A</v>
      </c>
      <c r="AA34" s="12" t="str">
        <f ca="1">IFERROR(__xludf.DUMMYFUNCTION("""COMPUTED_VALUE"""),"#N/A")</f>
        <v>#N/A</v>
      </c>
      <c r="AB34" s="12" t="str">
        <f ca="1">IFERROR(__xludf.DUMMYFUNCTION("""COMPUTED_VALUE"""),"#N/A")</f>
        <v>#N/A</v>
      </c>
      <c r="AC34" s="12" t="str">
        <f ca="1">IFERROR(__xludf.DUMMYFUNCTION("""COMPUTED_VALUE"""),"#N/A")</f>
        <v>#N/A</v>
      </c>
      <c r="AD34" s="12" t="str">
        <f ca="1">IFERROR(__xludf.DUMMYFUNCTION("""COMPUTED_VALUE"""),"#N/A")</f>
        <v>#N/A</v>
      </c>
      <c r="AE34" s="12" t="str">
        <f ca="1">IFERROR(__xludf.DUMMYFUNCTION("""COMPUTED_VALUE"""),"#N/A")</f>
        <v>#N/A</v>
      </c>
      <c r="AF34" s="12" t="str">
        <f ca="1">IFERROR(__xludf.DUMMYFUNCTION("""COMPUTED_VALUE"""),"#N/A")</f>
        <v>#N/A</v>
      </c>
      <c r="AG34" s="13" t="str">
        <f ca="1">IFERROR(__xludf.DUMMYFUNCTION("ArrayFormula(VLOOKUP(G34, IMPORTRANGE(""https://docs.google.com/spreadsheets/d/1Co934fvtviyaRiMsrIlT05Jaq7iiYq07aLvRr35KA48/edit?gid=173865642#gid=173865642"", ""'G9 Sci_Pri_LU'!G2:V2000""), {3, 4, 5, 6, 7, 8, 9, 10, 11, 12, 13, 14, 15, 16}, 0))"),"")</f>
        <v/>
      </c>
      <c r="AH34" s="22"/>
      <c r="AI34" s="13"/>
      <c r="AJ34" s="13"/>
      <c r="AK34" s="13"/>
      <c r="AL34" s="13"/>
      <c r="AM34" s="13"/>
      <c r="AN34" s="13"/>
      <c r="AO34" s="13"/>
      <c r="AP34" s="13"/>
      <c r="AQ34" s="13"/>
      <c r="AR34" s="13"/>
      <c r="AS34" s="13"/>
      <c r="AT34" s="13"/>
    </row>
    <row r="35" spans="1:46">
      <c r="A35" s="8" t="s">
        <v>247</v>
      </c>
      <c r="B35" s="8" t="s">
        <v>47</v>
      </c>
      <c r="C35" s="8" t="s">
        <v>979</v>
      </c>
      <c r="D35" s="8" t="s">
        <v>1441</v>
      </c>
      <c r="E35" s="8" t="s">
        <v>2273</v>
      </c>
      <c r="F35" s="10" t="s">
        <v>2278</v>
      </c>
      <c r="G35" s="125" t="s">
        <v>2280</v>
      </c>
      <c r="H35" s="125" t="s">
        <v>2281</v>
      </c>
      <c r="I35" s="10" t="str">
        <f t="shared" si="0"/>
        <v>LU005503.001</v>
      </c>
      <c r="J35" s="10" t="str">
        <f ca="1">IFERROR(__xludf.DUMMYFUNCTION("VLOOKUP(I35, IMPORTRANGE(""https://docs.google.com/spreadsheets/d/1yDAaXNsi4Mr5FtRQL4tbmSdIzhx6_m4wkOD7IG-k_eo/edit#gid=1336395716"", ""Science!M:N""), 2, FALSE)"),"Identify the chemical symbols for common elements like hydrogen (H), oxygen (O), and carbon (C).")</f>
        <v>Identify the chemical symbols for common elements like hydrogen (H), oxygen (O), and carbon (C).</v>
      </c>
      <c r="K35" s="10" t="str">
        <f t="shared" si="1"/>
        <v>LU005503.002</v>
      </c>
      <c r="L35" s="10" t="str">
        <f ca="1">IFERROR(__xludf.DUMMYFUNCTION("VLOOKUP(K35, IMPORTRANGE(""https://docs.google.com/spreadsheets/d/1yDAaXNsi4Mr5FtRQL4tbmSdIzhx6_m4wkOD7IG-k_eo/edit#gid=1336395716"", ""Science!M:N""), 2, FALSE)"),"Explain the significance of using chemical symbols to represent elements.")</f>
        <v>Explain the significance of using chemical symbols to represent elements.</v>
      </c>
      <c r="M35" s="10" t="str">
        <f t="shared" si="2"/>
        <v>LU005503.003</v>
      </c>
      <c r="N35" s="10" t="str">
        <f ca="1">IFERROR(__xludf.DUMMYFUNCTION("VLOOKUP(M35, IMPORTRANGE(""https://docs.google.com/spreadsheets/d/1yDAaXNsi4Mr5FtRQL4tbmSdIzhx6_m4wkOD7IG-k_eo/edit#gid=1336395716"", ""Science!M:N""), 2, FALSE)"),"Match given chemical symbols to their corresponding element names from a provided list.")</f>
        <v>Match given chemical symbols to their corresponding element names from a provided list.</v>
      </c>
      <c r="O35" s="10" t="str">
        <f t="shared" si="3"/>
        <v>LU005503.004</v>
      </c>
      <c r="P35" s="10" t="str">
        <f ca="1">IFERROR(__xludf.DUMMYFUNCTION("VLOOKUP(O35, IMPORTRANGE(""https://docs.google.com/spreadsheets/d/1yDAaXNsi4Mr5FtRQL4tbmSdIzhx6_m4wkOD7IG-k_eo/edit#gid=1336395716"", ""Science!M:N""), 2, FALSE)"),"Analyze a chemical formula to identify the constituent elements based on their symbols.")</f>
        <v>Analyze a chemical formula to identify the constituent elements based on their symbols.</v>
      </c>
      <c r="Q35" s="10" t="str">
        <f t="shared" si="4"/>
        <v>LU005503.005</v>
      </c>
      <c r="R35" s="10" t="str">
        <f ca="1">IFERROR(__xludf.DUMMYFUNCTION("VLOOKUP(Q35, IMPORTRANGE(""https://docs.google.com/spreadsheets/d/1yDAaXNsi4Mr5FtRQL4tbmSdIzhx6_m4wkOD7IG-k_eo/edit#gid=1336395716"", ""Science!M:N""), 2, FALSE)"),"#N/A")</f>
        <v>#N/A</v>
      </c>
      <c r="S35" s="10" t="str">
        <f t="shared" si="5"/>
        <v>LU005503.006</v>
      </c>
      <c r="T35" s="10" t="str">
        <f ca="1">IFERROR(__xludf.DUMMYFUNCTION("VLOOKUP(S35, IMPORTRANGE(""https://docs.google.com/spreadsheets/d/1yDAaXNsi4Mr5FtRQL4tbmSdIzhx6_m4wkOD7IG-k_eo/edit#gid=1336395716"", ""Science!M:N""), 2, FALSE)"),"Design a mnemonic or memory tool to help remember the chemical symbols of challenging elements.")</f>
        <v>Design a mnemonic or memory tool to help remember the chemical symbols of challenging elements.</v>
      </c>
      <c r="U35" s="11" t="str">
        <f ca="1">IFERROR(__xludf.DUMMYFUNCTION("ArrayFormula(VLOOKUP(G35, IMPORTRANGE(""https://docs.google.com/spreadsheets/d/1p7R4vtkWt5VOBim4ltsDG9KTzSjrtKXsMtQGXPHyND0/edit#gid=795171502"", ""'Filter 30_05_2024'!A1:M2000""), {2, 3, 4, 5,6,7,8,9,10,11,12,13}, 0))"),"#N/A")</f>
        <v>#N/A</v>
      </c>
      <c r="V35" s="11" t="str">
        <f ca="1">IFERROR(__xludf.DUMMYFUNCTION("""COMPUTED_VALUE"""),"#N/A")</f>
        <v>#N/A</v>
      </c>
      <c r="W35" s="11" t="str">
        <f ca="1">IFERROR(__xludf.DUMMYFUNCTION("""COMPUTED_VALUE"""),"#N/A")</f>
        <v>#N/A</v>
      </c>
      <c r="X35" s="11" t="str">
        <f ca="1">IFERROR(__xludf.DUMMYFUNCTION("""COMPUTED_VALUE"""),"#N/A")</f>
        <v>#N/A</v>
      </c>
      <c r="Y35" s="11" t="str">
        <f ca="1">IFERROR(__xludf.DUMMYFUNCTION("""COMPUTED_VALUE"""),"#N/A")</f>
        <v>#N/A</v>
      </c>
      <c r="Z35" s="12" t="str">
        <f ca="1">IFERROR(__xludf.DUMMYFUNCTION("""COMPUTED_VALUE"""),"#N/A")</f>
        <v>#N/A</v>
      </c>
      <c r="AA35" s="12" t="str">
        <f ca="1">IFERROR(__xludf.DUMMYFUNCTION("""COMPUTED_VALUE"""),"#N/A")</f>
        <v>#N/A</v>
      </c>
      <c r="AB35" s="12" t="str">
        <f ca="1">IFERROR(__xludf.DUMMYFUNCTION("""COMPUTED_VALUE"""),"#N/A")</f>
        <v>#N/A</v>
      </c>
      <c r="AC35" s="12" t="str">
        <f ca="1">IFERROR(__xludf.DUMMYFUNCTION("""COMPUTED_VALUE"""),"#N/A")</f>
        <v>#N/A</v>
      </c>
      <c r="AD35" s="12" t="str">
        <f ca="1">IFERROR(__xludf.DUMMYFUNCTION("""COMPUTED_VALUE"""),"#N/A")</f>
        <v>#N/A</v>
      </c>
      <c r="AE35" s="12" t="str">
        <f ca="1">IFERROR(__xludf.DUMMYFUNCTION("""COMPUTED_VALUE"""),"#N/A")</f>
        <v>#N/A</v>
      </c>
      <c r="AF35" s="12" t="str">
        <f ca="1">IFERROR(__xludf.DUMMYFUNCTION("""COMPUTED_VALUE"""),"#N/A")</f>
        <v>#N/A</v>
      </c>
      <c r="AG35" s="13" t="str">
        <f ca="1">IFERROR(__xludf.DUMMYFUNCTION("ArrayFormula(VLOOKUP(G35, IMPORTRANGE(""https://docs.google.com/spreadsheets/d/1Co934fvtviyaRiMsrIlT05Jaq7iiYq07aLvRr35KA48/edit?gid=173865642#gid=173865642"", ""'G9 Sci_Pri_LU'!G2:V2000""), {3, 4, 5, 6, 7, 8, 9, 10, 11, 12, 13, 14, 15, 16}, 0))"),"")</f>
        <v/>
      </c>
      <c r="AH35" s="22"/>
      <c r="AI35" s="13"/>
      <c r="AJ35" s="13"/>
      <c r="AK35" s="13"/>
      <c r="AL35" s="13"/>
      <c r="AM35" s="13"/>
      <c r="AN35" s="13"/>
      <c r="AO35" s="13"/>
      <c r="AP35" s="13"/>
      <c r="AQ35" s="13"/>
      <c r="AR35" s="13"/>
      <c r="AS35" s="13"/>
      <c r="AT35" s="13"/>
    </row>
    <row r="36" spans="1:46">
      <c r="A36" s="8" t="s">
        <v>247</v>
      </c>
      <c r="B36" s="8" t="s">
        <v>47</v>
      </c>
      <c r="C36" s="8" t="s">
        <v>979</v>
      </c>
      <c r="D36" s="8" t="s">
        <v>1441</v>
      </c>
      <c r="E36" s="8" t="s">
        <v>2273</v>
      </c>
      <c r="F36" s="10" t="s">
        <v>2282</v>
      </c>
      <c r="G36" s="114" t="s">
        <v>2283</v>
      </c>
      <c r="H36" s="8" t="str">
        <f ca="1">IFERROR(__xludf.DUMMYFUNCTION("VLOOKUP(G36, IMPORTRANGE(""https://docs.google.com/spreadsheets/d/14deopnvwcrKtEGCKuYXdUHJbeLDZlkiSSWWT0g7x2pM/edit#gid=849066331"", ""LU List Science (Filter)!A:B""), 2, FALSE)"),"Concept of atomic mass and its measurement")</f>
        <v>Concept of atomic mass and its measurement</v>
      </c>
      <c r="I36" s="10" t="str">
        <f t="shared" si="0"/>
        <v>LU006378.001</v>
      </c>
      <c r="J36" s="10" t="str">
        <f ca="1">IFERROR(__xludf.DUMMYFUNCTION("VLOOKUP(I36, IMPORTRANGE(""https://docs.google.com/spreadsheets/d/1yDAaXNsi4Mr5FtRQL4tbmSdIzhx6_m4wkOD7IG-k_eo/edit#gid=1336395716"", ""Science!M:N""), 2, FALSE)"),"Define atomic mass.")</f>
        <v>Define atomic mass.</v>
      </c>
      <c r="K36" s="10" t="str">
        <f t="shared" si="1"/>
        <v>LU006378.002</v>
      </c>
      <c r="L36" s="10" t="str">
        <f ca="1">IFERROR(__xludf.DUMMYFUNCTION("VLOOKUP(K36, IMPORTRANGE(""https://docs.google.com/spreadsheets/d/1yDAaXNsi4Mr5FtRQL4tbmSdIzhx6_m4wkOD7IG-k_eo/edit#gid=1336395716"", ""Science!M:N""), 2, FALSE)"),"Explain how atomic mass is measured.")</f>
        <v>Explain how atomic mass is measured.</v>
      </c>
      <c r="M36" s="10" t="str">
        <f t="shared" si="2"/>
        <v>LU006378.003</v>
      </c>
      <c r="N36" s="10" t="str">
        <f ca="1">IFERROR(__xludf.DUMMYFUNCTION("VLOOKUP(M36, IMPORTRANGE(""https://docs.google.com/spreadsheets/d/1yDAaXNsi4Mr5FtRQL4tbmSdIzhx6_m4wkOD7IG-k_eo/edit#gid=1336395716"", ""Science!M:N""), 2, FALSE)"),"Calculate the atomic mass of an element given its isotopic composition.")</f>
        <v>Calculate the atomic mass of an element given its isotopic composition.</v>
      </c>
      <c r="O36" s="10" t="str">
        <f t="shared" si="3"/>
        <v>LU006378.004</v>
      </c>
      <c r="P36" s="10" t="str">
        <f ca="1">IFERROR(__xludf.DUMMYFUNCTION("VLOOKUP(O36, IMPORTRANGE(""https://docs.google.com/spreadsheets/d/1yDAaXNsi4Mr5FtRQL4tbmSdIzhx6_m4wkOD7IG-k_eo/edit#gid=1336395716"", ""Science!M:N""), 2, FALSE)"),"Analyze how atomic mass affects the properties of elements.")</f>
        <v>Analyze how atomic mass affects the properties of elements.</v>
      </c>
      <c r="Q36" s="10" t="str">
        <f t="shared" si="4"/>
        <v>LU006378.005</v>
      </c>
      <c r="R36" s="10" t="str">
        <f ca="1">IFERROR(__xludf.DUMMYFUNCTION("VLOOKUP(Q36, IMPORTRANGE(""https://docs.google.com/spreadsheets/d/1yDAaXNsi4Mr5FtRQL4tbmSdIzhx6_m4wkOD7IG-k_eo/edit#gid=1336395716"", ""Science!M:N""), 2, FALSE)"),"Evaluate the methods used to determine atomic mass.")</f>
        <v>Evaluate the methods used to determine atomic mass.</v>
      </c>
      <c r="S36" s="10" t="str">
        <f t="shared" si="5"/>
        <v>LU006378.006</v>
      </c>
      <c r="T36" s="10" t="str">
        <f ca="1">IFERROR(__xludf.DUMMYFUNCTION("VLOOKUP(S36, IMPORTRANGE(""https://docs.google.com/spreadsheets/d/1yDAaXNsi4Mr5FtRQL4tbmSdIzhx6_m4wkOD7IG-k_eo/edit#gid=1336395716"", ""Science!M:N""), 2, FALSE)"),"Develop a detailed report on the history and development of atomic mass measurement techniques.")</f>
        <v>Develop a detailed report on the history and development of atomic mass measurement techniques.</v>
      </c>
      <c r="U36" s="11" t="str">
        <f ca="1">IFERROR(__xludf.DUMMYFUNCTION("ArrayFormula(VLOOKUP(G36, IMPORTRANGE(""https://docs.google.com/spreadsheets/d/1p7R4vtkWt5VOBim4ltsDG9KTzSjrtKXsMtQGXPHyND0/edit#gid=795171502"", ""'Filter 30_05_2024'!A1:M2000""), {2, 3, 4, 5,6,7,8,9,10,11,12,13}, 0))"),"#N/A")</f>
        <v>#N/A</v>
      </c>
      <c r="V36" s="11" t="str">
        <f ca="1">IFERROR(__xludf.DUMMYFUNCTION("""COMPUTED_VALUE"""),"#N/A")</f>
        <v>#N/A</v>
      </c>
      <c r="W36" s="11" t="str">
        <f ca="1">IFERROR(__xludf.DUMMYFUNCTION("""COMPUTED_VALUE"""),"#N/A")</f>
        <v>#N/A</v>
      </c>
      <c r="X36" s="11" t="str">
        <f ca="1">IFERROR(__xludf.DUMMYFUNCTION("""COMPUTED_VALUE"""),"#N/A")</f>
        <v>#N/A</v>
      </c>
      <c r="Y36" s="11" t="str">
        <f ca="1">IFERROR(__xludf.DUMMYFUNCTION("""COMPUTED_VALUE"""),"#N/A")</f>
        <v>#N/A</v>
      </c>
      <c r="Z36" s="12" t="str">
        <f ca="1">IFERROR(__xludf.DUMMYFUNCTION("""COMPUTED_VALUE"""),"#N/A")</f>
        <v>#N/A</v>
      </c>
      <c r="AA36" s="12" t="str">
        <f ca="1">IFERROR(__xludf.DUMMYFUNCTION("""COMPUTED_VALUE"""),"#N/A")</f>
        <v>#N/A</v>
      </c>
      <c r="AB36" s="12" t="str">
        <f ca="1">IFERROR(__xludf.DUMMYFUNCTION("""COMPUTED_VALUE"""),"#N/A")</f>
        <v>#N/A</v>
      </c>
      <c r="AC36" s="12" t="str">
        <f ca="1">IFERROR(__xludf.DUMMYFUNCTION("""COMPUTED_VALUE"""),"#N/A")</f>
        <v>#N/A</v>
      </c>
      <c r="AD36" s="12" t="str">
        <f ca="1">IFERROR(__xludf.DUMMYFUNCTION("""COMPUTED_VALUE"""),"#N/A")</f>
        <v>#N/A</v>
      </c>
      <c r="AE36" s="12" t="str">
        <f ca="1">IFERROR(__xludf.DUMMYFUNCTION("""COMPUTED_VALUE"""),"#N/A")</f>
        <v>#N/A</v>
      </c>
      <c r="AF36" s="12" t="str">
        <f ca="1">IFERROR(__xludf.DUMMYFUNCTION("""COMPUTED_VALUE"""),"#N/A")</f>
        <v>#N/A</v>
      </c>
      <c r="AG36" s="13" t="str">
        <f ca="1">IFERROR(__xludf.DUMMYFUNCTION("ArrayFormula(VLOOKUP(G36, IMPORTRANGE(""https://docs.google.com/spreadsheets/d/1Co934fvtviyaRiMsrIlT05Jaq7iiYq07aLvRr35KA48/edit?gid=173865642#gid=173865642"", ""'G9 Sci_Pri_LU'!G2:V2000""), {3, 4, 5, 6, 7, 8, 9, 10, 11, 12, 13, 14, 15, 16}, 0))"),"LU006376")</f>
        <v>LU006376</v>
      </c>
      <c r="AH36" s="22" t="str">
        <f ca="1">IFERROR(__xludf.DUMMYFUNCTION("""COMPUTED_VALUE"""),"Introduction to Dalton's postulates about atoms")</f>
        <v>Introduction to Dalton's postulates about atoms</v>
      </c>
      <c r="AI36" s="13"/>
      <c r="AJ36" s="13"/>
      <c r="AK36" s="13"/>
      <c r="AL36" s="13"/>
      <c r="AM36" s="13"/>
      <c r="AN36" s="13"/>
      <c r="AO36" s="13"/>
      <c r="AP36" s="13"/>
      <c r="AQ36" s="13"/>
      <c r="AR36" s="13"/>
      <c r="AS36" s="13"/>
      <c r="AT36" s="13"/>
    </row>
    <row r="37" spans="1:46">
      <c r="A37" s="8" t="s">
        <v>247</v>
      </c>
      <c r="B37" s="8" t="s">
        <v>47</v>
      </c>
      <c r="C37" s="8" t="s">
        <v>979</v>
      </c>
      <c r="D37" s="8" t="s">
        <v>1441</v>
      </c>
      <c r="E37" s="8" t="s">
        <v>2273</v>
      </c>
      <c r="F37" s="10" t="s">
        <v>2284</v>
      </c>
      <c r="G37" s="114" t="s">
        <v>2285</v>
      </c>
      <c r="H37" s="8" t="str">
        <f ca="1">IFERROR(__xludf.DUMMYFUNCTION("VLOOKUP(G37, IMPORTRANGE(""https://docs.google.com/spreadsheets/d/14deopnvwcrKtEGCKuYXdUHJbeLDZlkiSSWWT0g7x2pM/edit#gid=849066331"", ""LU List Science (Filter)!A:B""), 2, FALSE)"),"Differences between molecules of elements and compounds")</f>
        <v>Differences between molecules of elements and compounds</v>
      </c>
      <c r="I37" s="10" t="str">
        <f t="shared" si="0"/>
        <v>LU006379.001</v>
      </c>
      <c r="J37" s="10" t="str">
        <f ca="1">IFERROR(__xludf.DUMMYFUNCTION("VLOOKUP(I37, IMPORTRANGE(""https://docs.google.com/spreadsheets/d/1yDAaXNsi4Mr5FtRQL4tbmSdIzhx6_m4wkOD7IG-k_eo/edit#gid=1336395716"", ""Science!M:N""), 2, FALSE)"),"Define molecules of elements and molecules of compounds.")</f>
        <v>Define molecules of elements and molecules of compounds.</v>
      </c>
      <c r="K37" s="10" t="str">
        <f t="shared" si="1"/>
        <v>LU006379.002</v>
      </c>
      <c r="L37" s="10" t="str">
        <f ca="1">IFERROR(__xludf.DUMMYFUNCTION("VLOOKUP(K37, IMPORTRANGE(""https://docs.google.com/spreadsheets/d/1yDAaXNsi4Mr5FtRQL4tbmSdIzhx6_m4wkOD7IG-k_eo/edit#gid=1336395716"", ""Science!M:N""), 2, FALSE)"),"Explain the differences between molecules of elements and compounds.")</f>
        <v>Explain the differences between molecules of elements and compounds.</v>
      </c>
      <c r="M37" s="10" t="str">
        <f t="shared" si="2"/>
        <v>LU006379.003</v>
      </c>
      <c r="N37" s="10" t="str">
        <f ca="1">IFERROR(__xludf.DUMMYFUNCTION("VLOOKUP(M37, IMPORTRANGE(""https://docs.google.com/spreadsheets/d/1yDAaXNsi4Mr5FtRQL4tbmSdIzhx6_m4wkOD7IG-k_eo/edit#gid=1336395716"", ""Science!M:N""), 2, FALSE)"),"Classify given examples into molecules of elements or compounds.")</f>
        <v>Classify given examples into molecules of elements or compounds.</v>
      </c>
      <c r="O37" s="10" t="str">
        <f t="shared" si="3"/>
        <v>LU006379.004</v>
      </c>
      <c r="P37" s="10" t="str">
        <f ca="1">IFERROR(__xludf.DUMMYFUNCTION("VLOOKUP(O37, IMPORTRANGE(""https://docs.google.com/spreadsheets/d/1yDAaXNsi4Mr5FtRQL4tbmSdIzhx6_m4wkOD7IG-k_eo/edit#gid=1336395716"", ""Science!M:N""), 2, FALSE)"),"Analyze the structural differences between molecules of elements and compounds.")</f>
        <v>Analyze the structural differences between molecules of elements and compounds.</v>
      </c>
      <c r="Q37" s="10" t="str">
        <f t="shared" si="4"/>
        <v>LU006379.005</v>
      </c>
      <c r="R37" s="10" t="str">
        <f ca="1">IFERROR(__xludf.DUMMYFUNCTION("VLOOKUP(Q37, IMPORTRANGE(""https://docs.google.com/spreadsheets/d/1yDAaXNsi4Mr5FtRQL4tbmSdIzhx6_m4wkOD7IG-k_eo/edit#gid=1336395716"", ""Science!M:N""), 2, FALSE)"),"Evaluate the chemical properties that distinguish molecules of elements from those of compounds.")</f>
        <v>Evaluate the chemical properties that distinguish molecules of elements from those of compounds.</v>
      </c>
      <c r="S37" s="10" t="str">
        <f t="shared" si="5"/>
        <v>LU006379.006</v>
      </c>
      <c r="T37" s="10" t="str">
        <f ca="1">IFERROR(__xludf.DUMMYFUNCTION("VLOOKUP(S37, IMPORTRANGE(""https://docs.google.com/spreadsheets/d/1yDAaXNsi4Mr5FtRQL4tbmSdIzhx6_m4wkOD7IG-k_eo/edit#gid=1336395716"", ""Science!M:N""), 2, FALSE)"),"Create a diagram that illustrates the differences between molecules of elements and compounds.")</f>
        <v>Create a diagram that illustrates the differences between molecules of elements and compounds.</v>
      </c>
      <c r="U37" s="11" t="str">
        <f ca="1">IFERROR(__xludf.DUMMYFUNCTION("ArrayFormula(VLOOKUP(G37, IMPORTRANGE(""https://docs.google.com/spreadsheets/d/1p7R4vtkWt5VOBim4ltsDG9KTzSjrtKXsMtQGXPHyND0/edit#gid=795171502"", ""'Filter 30_05_2024'!A1:M2000""), {2, 3, 4, 5,6,7,8,9,10,11,12,13}, 0))"),"#N/A")</f>
        <v>#N/A</v>
      </c>
      <c r="V37" s="11" t="str">
        <f ca="1">IFERROR(__xludf.DUMMYFUNCTION("""COMPUTED_VALUE"""),"#N/A")</f>
        <v>#N/A</v>
      </c>
      <c r="W37" s="11" t="str">
        <f ca="1">IFERROR(__xludf.DUMMYFUNCTION("""COMPUTED_VALUE"""),"#N/A")</f>
        <v>#N/A</v>
      </c>
      <c r="X37" s="11" t="str">
        <f ca="1">IFERROR(__xludf.DUMMYFUNCTION("""COMPUTED_VALUE"""),"#N/A")</f>
        <v>#N/A</v>
      </c>
      <c r="Y37" s="11" t="str">
        <f ca="1">IFERROR(__xludf.DUMMYFUNCTION("""COMPUTED_VALUE"""),"#N/A")</f>
        <v>#N/A</v>
      </c>
      <c r="Z37" s="12" t="str">
        <f ca="1">IFERROR(__xludf.DUMMYFUNCTION("""COMPUTED_VALUE"""),"#N/A")</f>
        <v>#N/A</v>
      </c>
      <c r="AA37" s="12" t="str">
        <f ca="1">IFERROR(__xludf.DUMMYFUNCTION("""COMPUTED_VALUE"""),"#N/A")</f>
        <v>#N/A</v>
      </c>
      <c r="AB37" s="12" t="str">
        <f ca="1">IFERROR(__xludf.DUMMYFUNCTION("""COMPUTED_VALUE"""),"#N/A")</f>
        <v>#N/A</v>
      </c>
      <c r="AC37" s="12" t="str">
        <f ca="1">IFERROR(__xludf.DUMMYFUNCTION("""COMPUTED_VALUE"""),"#N/A")</f>
        <v>#N/A</v>
      </c>
      <c r="AD37" s="12" t="str">
        <f ca="1">IFERROR(__xludf.DUMMYFUNCTION("""COMPUTED_VALUE"""),"#N/A")</f>
        <v>#N/A</v>
      </c>
      <c r="AE37" s="12" t="str">
        <f ca="1">IFERROR(__xludf.DUMMYFUNCTION("""COMPUTED_VALUE"""),"#N/A")</f>
        <v>#N/A</v>
      </c>
      <c r="AF37" s="12" t="str">
        <f ca="1">IFERROR(__xludf.DUMMYFUNCTION("""COMPUTED_VALUE"""),"#N/A")</f>
        <v>#N/A</v>
      </c>
      <c r="AG37" s="13" t="str">
        <f ca="1">IFERROR(__xludf.DUMMYFUNCTION("ArrayFormula(VLOOKUP(G37, IMPORTRANGE(""https://docs.google.com/spreadsheets/d/1Co934fvtviyaRiMsrIlT05Jaq7iiYq07aLvRr35KA48/edit?gid=173865642#gid=173865642"", ""'G9 Sci_Pri_LU'!G2:V2000""), {3, 4, 5, 6, 7, 8, 9, 10, 11, 12, 13, 14, 15, 16}, 0))"),"LU006226")</f>
        <v>LU006226</v>
      </c>
      <c r="AH37" s="22" t="str">
        <f ca="1">IFERROR(__xludf.DUMMYFUNCTION("""COMPUTED_VALUE"""),"Elements and Their Classification")</f>
        <v>Elements and Their Classification</v>
      </c>
      <c r="AI37" s="13" t="str">
        <f ca="1">IFERROR(__xludf.DUMMYFUNCTION("""COMPUTED_VALUE"""),"LU006227")</f>
        <v>LU006227</v>
      </c>
      <c r="AJ37" s="13" t="str">
        <f ca="1">IFERROR(__xludf.DUMMYFUNCTION("""COMPUTED_VALUE"""),"Compounds and Their Properties")</f>
        <v>Compounds and Their Properties</v>
      </c>
      <c r="AK37" s="13"/>
      <c r="AL37" s="13"/>
      <c r="AM37" s="13"/>
      <c r="AN37" s="13"/>
      <c r="AO37" s="13"/>
      <c r="AP37" s="13"/>
      <c r="AQ37" s="13"/>
      <c r="AR37" s="13"/>
      <c r="AS37" s="13"/>
      <c r="AT37" s="13"/>
    </row>
    <row r="38" spans="1:46">
      <c r="A38" s="8" t="s">
        <v>247</v>
      </c>
      <c r="B38" s="8" t="s">
        <v>47</v>
      </c>
      <c r="C38" s="8" t="s">
        <v>979</v>
      </c>
      <c r="D38" s="8" t="s">
        <v>1441</v>
      </c>
      <c r="E38" s="8" t="s">
        <v>2273</v>
      </c>
      <c r="F38" s="10" t="s">
        <v>2284</v>
      </c>
      <c r="G38" s="125" t="s">
        <v>2286</v>
      </c>
      <c r="H38" s="125" t="s">
        <v>2287</v>
      </c>
      <c r="I38" s="10" t="str">
        <f t="shared" si="0"/>
        <v>LU005505.001</v>
      </c>
      <c r="J38" s="10" t="str">
        <f ca="1">IFERROR(__xludf.DUMMYFUNCTION("VLOOKUP(I38, IMPORTRANGE(""https://docs.google.com/spreadsheets/d/1yDAaXNsi4Mr5FtRQL4tbmSdIzhx6_m4wkOD7IG-k_eo/edit#gid=1336395716"", ""Science!M:N""), 2, FALSE)"),"Recall the definition of an ion.")</f>
        <v>Recall the definition of an ion.</v>
      </c>
      <c r="K38" s="10" t="str">
        <f t="shared" si="1"/>
        <v>LU005505.002</v>
      </c>
      <c r="L38" s="10" t="str">
        <f ca="1">IFERROR(__xludf.DUMMYFUNCTION("VLOOKUP(K38, IMPORTRANGE(""https://docs.google.com/spreadsheets/d/1yDAaXNsi4Mr5FtRQL4tbmSdIzhx6_m4wkOD7IG-k_eo/edit#gid=1336395716"", ""Science!M:N""), 2, FALSE)"),"Explain the difference between cations and anions.")</f>
        <v>Explain the difference between cations and anions.</v>
      </c>
      <c r="M38" s="10" t="str">
        <f t="shared" si="2"/>
        <v>LU005505.003</v>
      </c>
      <c r="N38" s="10" t="str">
        <f ca="1">IFERROR(__xludf.DUMMYFUNCTION("VLOOKUP(M38, IMPORTRANGE(""https://docs.google.com/spreadsheets/d/1yDAaXNsi4Mr5FtRQL4tbmSdIzhx6_m4wkOD7IG-k_eo/edit#gid=1336395716"", ""Science!M:N""), 2, FALSE)")," Identify common ions by their symbols and charges.")</f>
        <v xml:space="preserve"> Identify common ions by their symbols and charges.</v>
      </c>
      <c r="O38" s="10" t="str">
        <f t="shared" si="3"/>
        <v>LU005505.004</v>
      </c>
      <c r="P38" s="10" t="str">
        <f ca="1">IFERROR(__xludf.DUMMYFUNCTION("VLOOKUP(O38, IMPORTRANGE(""https://docs.google.com/spreadsheets/d/1yDAaXNsi4Mr5FtRQL4tbmSdIzhx6_m4wkOD7IG-k_eo/edit#gid=1336395716"", ""Science!M:N""), 2, FALSE)")," Interpret the number of electrons gained or lost by an atom based on its ionic symbol.")</f>
        <v xml:space="preserve"> Interpret the number of electrons gained or lost by an atom based on its ionic symbol.</v>
      </c>
      <c r="Q38" s="10" t="str">
        <f t="shared" si="4"/>
        <v>LU005505.005</v>
      </c>
      <c r="R38" s="10" t="str">
        <f ca="1">IFERROR(__xludf.DUMMYFUNCTION("VLOOKUP(Q38, IMPORTRANGE(""https://docs.google.com/spreadsheets/d/1yDAaXNsi4Mr5FtRQL4tbmSdIzhx6_m4wkOD7IG-k_eo/edit#gid=1336395716"", ""Science!M:N""), 2, FALSE)"),"#N/A")</f>
        <v>#N/A</v>
      </c>
      <c r="S38" s="10" t="str">
        <f t="shared" si="5"/>
        <v>LU005505.006</v>
      </c>
      <c r="T38" s="10" t="str">
        <f ca="1">IFERROR(__xludf.DUMMYFUNCTION("VLOOKUP(S38, IMPORTRANGE(""https://docs.google.com/spreadsheets/d/1yDAaXNsi4Mr5FtRQL4tbmSdIzhx6_m4wkOD7IG-k_eo/edit#gid=1336395716"", ""Science!M:N""), 2, FALSE)"),"#N/A")</f>
        <v>#N/A</v>
      </c>
      <c r="U38" s="11" t="str">
        <f ca="1">IFERROR(__xludf.DUMMYFUNCTION("ArrayFormula(VLOOKUP(G38, IMPORTRANGE(""https://docs.google.com/spreadsheets/d/1p7R4vtkWt5VOBim4ltsDG9KTzSjrtKXsMtQGXPHyND0/edit#gid=795171502"", ""'Filter 30_05_2024'!A1:M2000""), {2, 3, 4, 5,6,7,8,9,10,11,12,13}, 0))"),"#N/A")</f>
        <v>#N/A</v>
      </c>
      <c r="V38" s="11" t="str">
        <f ca="1">IFERROR(__xludf.DUMMYFUNCTION("""COMPUTED_VALUE"""),"#N/A")</f>
        <v>#N/A</v>
      </c>
      <c r="W38" s="11" t="str">
        <f ca="1">IFERROR(__xludf.DUMMYFUNCTION("""COMPUTED_VALUE"""),"#N/A")</f>
        <v>#N/A</v>
      </c>
      <c r="X38" s="11" t="str">
        <f ca="1">IFERROR(__xludf.DUMMYFUNCTION("""COMPUTED_VALUE"""),"#N/A")</f>
        <v>#N/A</v>
      </c>
      <c r="Y38" s="11" t="str">
        <f ca="1">IFERROR(__xludf.DUMMYFUNCTION("""COMPUTED_VALUE"""),"#N/A")</f>
        <v>#N/A</v>
      </c>
      <c r="Z38" s="12" t="str">
        <f ca="1">IFERROR(__xludf.DUMMYFUNCTION("""COMPUTED_VALUE"""),"#N/A")</f>
        <v>#N/A</v>
      </c>
      <c r="AA38" s="12" t="str">
        <f ca="1">IFERROR(__xludf.DUMMYFUNCTION("""COMPUTED_VALUE"""),"#N/A")</f>
        <v>#N/A</v>
      </c>
      <c r="AB38" s="12" t="str">
        <f ca="1">IFERROR(__xludf.DUMMYFUNCTION("""COMPUTED_VALUE"""),"#N/A")</f>
        <v>#N/A</v>
      </c>
      <c r="AC38" s="12" t="str">
        <f ca="1">IFERROR(__xludf.DUMMYFUNCTION("""COMPUTED_VALUE"""),"#N/A")</f>
        <v>#N/A</v>
      </c>
      <c r="AD38" s="12" t="str">
        <f ca="1">IFERROR(__xludf.DUMMYFUNCTION("""COMPUTED_VALUE"""),"#N/A")</f>
        <v>#N/A</v>
      </c>
      <c r="AE38" s="12" t="str">
        <f ca="1">IFERROR(__xludf.DUMMYFUNCTION("""COMPUTED_VALUE"""),"#N/A")</f>
        <v>#N/A</v>
      </c>
      <c r="AF38" s="12" t="str">
        <f ca="1">IFERROR(__xludf.DUMMYFUNCTION("""COMPUTED_VALUE"""),"#N/A")</f>
        <v>#N/A</v>
      </c>
      <c r="AG38" s="13" t="str">
        <f ca="1">IFERROR(__xludf.DUMMYFUNCTION("ArrayFormula(VLOOKUP(G38, IMPORTRANGE(""https://docs.google.com/spreadsheets/d/1Co934fvtviyaRiMsrIlT05Jaq7iiYq07aLvRr35KA48/edit?gid=173865642#gid=173865642"", ""'G9 Sci_Pri_LU'!G2:V2000""), {3, 4, 5, 6, 7, 8, 9, 10, 11, 12, 13, 14, 15, 16}, 0))"),"LU005503")</f>
        <v>LU005503</v>
      </c>
      <c r="AH38" s="22" t="str">
        <f ca="1">IFERROR(__xludf.DUMMYFUNCTION("""COMPUTED_VALUE"""),"Chemical symbols of Elements")</f>
        <v>Chemical symbols of Elements</v>
      </c>
      <c r="AI38" s="13"/>
      <c r="AJ38" s="13"/>
      <c r="AK38" s="13"/>
      <c r="AL38" s="13"/>
      <c r="AM38" s="13"/>
      <c r="AN38" s="13"/>
      <c r="AO38" s="13"/>
      <c r="AP38" s="13"/>
      <c r="AQ38" s="13"/>
      <c r="AR38" s="13"/>
      <c r="AS38" s="13"/>
      <c r="AT38" s="13"/>
    </row>
    <row r="39" spans="1:46">
      <c r="A39" s="8" t="s">
        <v>247</v>
      </c>
      <c r="B39" s="8" t="s">
        <v>47</v>
      </c>
      <c r="C39" s="8" t="s">
        <v>979</v>
      </c>
      <c r="D39" s="8" t="s">
        <v>1441</v>
      </c>
      <c r="E39" s="8" t="s">
        <v>2273</v>
      </c>
      <c r="F39" s="10" t="s">
        <v>2288</v>
      </c>
      <c r="G39" s="114" t="s">
        <v>2289</v>
      </c>
      <c r="H39" s="8" t="str">
        <f ca="1">IFERROR(__xludf.DUMMYFUNCTION("VLOOKUP(G39, IMPORTRANGE(""https://docs.google.com/spreadsheets/d/14deopnvwcrKtEGCKuYXdUHJbeLDZlkiSSWWT0g7x2pM/edit#gid=849066331"", ""LU List Science (Filter)!A:B""), 2, FALSE)"),"Definition of valency and its significance in forming chemical compounds")</f>
        <v>Definition of valency and its significance in forming chemical compounds</v>
      </c>
      <c r="I39" s="10" t="str">
        <f t="shared" si="0"/>
        <v>LU006380.001</v>
      </c>
      <c r="J39" s="10" t="str">
        <f ca="1">IFERROR(__xludf.DUMMYFUNCTION("VLOOKUP(I39, IMPORTRANGE(""https://docs.google.com/spreadsheets/d/1yDAaXNsi4Mr5FtRQL4tbmSdIzhx6_m4wkOD7IG-k_eo/edit#gid=1336395716"", ""Science!M:N""), 2, FALSE)"),"Define valency.")</f>
        <v>Define valency.</v>
      </c>
      <c r="K39" s="10" t="str">
        <f t="shared" si="1"/>
        <v>LU006380.002</v>
      </c>
      <c r="L39" s="10" t="str">
        <f ca="1">IFERROR(__xludf.DUMMYFUNCTION("VLOOKUP(K39, IMPORTRANGE(""https://docs.google.com/spreadsheets/d/1yDAaXNsi4Mr5FtRQL4tbmSdIzhx6_m4wkOD7IG-k_eo/edit#gid=1336395716"", ""Science!M:N""), 2, FALSE)"),"Explain the significance of valency in forming chemical compounds.")</f>
        <v>Explain the significance of valency in forming chemical compounds.</v>
      </c>
      <c r="M39" s="10" t="str">
        <f t="shared" si="2"/>
        <v>LU006380.003</v>
      </c>
      <c r="N39" s="10" t="str">
        <f ca="1">IFERROR(__xludf.DUMMYFUNCTION("VLOOKUP(M39, IMPORTRANGE(""https://docs.google.com/spreadsheets/d/1yDAaXNsi4Mr5FtRQL4tbmSdIzhx6_m4wkOD7IG-k_eo/edit#gid=1336395716"", ""Science!M:N""), 2, FALSE)"),"Determine the valency of given elements and predict the compounds they can form.")</f>
        <v>Determine the valency of given elements and predict the compounds they can form.</v>
      </c>
      <c r="O39" s="10" t="str">
        <f t="shared" si="3"/>
        <v>LU006380.004</v>
      </c>
      <c r="P39" s="10" t="str">
        <f ca="1">IFERROR(__xludf.DUMMYFUNCTION("VLOOKUP(O39, IMPORTRANGE(""https://docs.google.com/spreadsheets/d/1yDAaXNsi4Mr5FtRQL4tbmSdIzhx6_m4wkOD7IG-k_eo/edit#gid=1336395716"", ""Science!M:N""), 2, FALSE)"),"Analyze how valency affects the formation and stability of compounds.")</f>
        <v>Analyze how valency affects the formation and stability of compounds.</v>
      </c>
      <c r="Q39" s="10" t="str">
        <f t="shared" si="4"/>
        <v>LU006380.005</v>
      </c>
      <c r="R39" s="10" t="str">
        <f ca="1">IFERROR(__xludf.DUMMYFUNCTION("VLOOKUP(Q39, IMPORTRANGE(""https://docs.google.com/spreadsheets/d/1yDAaXNsi4Mr5FtRQL4tbmSdIzhx6_m4wkOD7IG-k_eo/edit#gid=1336395716"", ""Science!M:N""), 2, FALSE)"),"Evaluate the role of valency in predicting chemical reactions.")</f>
        <v>Evaluate the role of valency in predicting chemical reactions.</v>
      </c>
      <c r="S39" s="10" t="str">
        <f t="shared" si="5"/>
        <v>LU006380.006</v>
      </c>
      <c r="T39" s="10" t="str">
        <f ca="1">IFERROR(__xludf.DUMMYFUNCTION("VLOOKUP(S39, IMPORTRANGE(""https://docs.google.com/spreadsheets/d/1yDAaXNsi4Mr5FtRQL4tbmSdIzhx6_m4wkOD7IG-k_eo/edit#gid=1336395716"", ""Science!M:N""), 2, FALSE)"),"Create a chart that shows the valency of common elements and examples of compounds they form.")</f>
        <v>Create a chart that shows the valency of common elements and examples of compounds they form.</v>
      </c>
      <c r="U39" s="11" t="str">
        <f ca="1">IFERROR(__xludf.DUMMYFUNCTION("ArrayFormula(VLOOKUP(G39, IMPORTRANGE(""https://docs.google.com/spreadsheets/d/1p7R4vtkWt5VOBim4ltsDG9KTzSjrtKXsMtQGXPHyND0/edit#gid=795171502"", ""'Filter 30_05_2024'!A1:M2000""), {2, 3, 4, 5,6,7,8,9,10,11,12,13}, 0))"),"#N/A")</f>
        <v>#N/A</v>
      </c>
      <c r="V39" s="11" t="str">
        <f ca="1">IFERROR(__xludf.DUMMYFUNCTION("""COMPUTED_VALUE"""),"#N/A")</f>
        <v>#N/A</v>
      </c>
      <c r="W39" s="11" t="str">
        <f ca="1">IFERROR(__xludf.DUMMYFUNCTION("""COMPUTED_VALUE"""),"#N/A")</f>
        <v>#N/A</v>
      </c>
      <c r="X39" s="11" t="str">
        <f ca="1">IFERROR(__xludf.DUMMYFUNCTION("""COMPUTED_VALUE"""),"#N/A")</f>
        <v>#N/A</v>
      </c>
      <c r="Y39" s="11" t="str">
        <f ca="1">IFERROR(__xludf.DUMMYFUNCTION("""COMPUTED_VALUE"""),"#N/A")</f>
        <v>#N/A</v>
      </c>
      <c r="Z39" s="12" t="str">
        <f ca="1">IFERROR(__xludf.DUMMYFUNCTION("""COMPUTED_VALUE"""),"#N/A")</f>
        <v>#N/A</v>
      </c>
      <c r="AA39" s="12" t="str">
        <f ca="1">IFERROR(__xludf.DUMMYFUNCTION("""COMPUTED_VALUE"""),"#N/A")</f>
        <v>#N/A</v>
      </c>
      <c r="AB39" s="12" t="str">
        <f ca="1">IFERROR(__xludf.DUMMYFUNCTION("""COMPUTED_VALUE"""),"#N/A")</f>
        <v>#N/A</v>
      </c>
      <c r="AC39" s="12" t="str">
        <f ca="1">IFERROR(__xludf.DUMMYFUNCTION("""COMPUTED_VALUE"""),"#N/A")</f>
        <v>#N/A</v>
      </c>
      <c r="AD39" s="12" t="str">
        <f ca="1">IFERROR(__xludf.DUMMYFUNCTION("""COMPUTED_VALUE"""),"#N/A")</f>
        <v>#N/A</v>
      </c>
      <c r="AE39" s="12" t="str">
        <f ca="1">IFERROR(__xludf.DUMMYFUNCTION("""COMPUTED_VALUE"""),"#N/A")</f>
        <v>#N/A</v>
      </c>
      <c r="AF39" s="12" t="str">
        <f ca="1">IFERROR(__xludf.DUMMYFUNCTION("""COMPUTED_VALUE"""),"#N/A")</f>
        <v>#N/A</v>
      </c>
      <c r="AG39" s="13" t="str">
        <f ca="1">IFERROR(__xludf.DUMMYFUNCTION("ArrayFormula(VLOOKUP(G39, IMPORTRANGE(""https://docs.google.com/spreadsheets/d/1Co934fvtviyaRiMsrIlT05Jaq7iiYq07aLvRr35KA48/edit?gid=173865642#gid=173865642"", ""'G9 Sci_Pri_LU'!G2:V2000""), {3, 4, 5, 6, 7, 8, 9, 10, 11, 12, 13, 14, 15, 16}, 0))"),"LU005505")</f>
        <v>LU005505</v>
      </c>
      <c r="AH39" s="22" t="str">
        <f ca="1">IFERROR(__xludf.DUMMYFUNCTION("""COMPUTED_VALUE"""),"Definition and common symbols of Ions")</f>
        <v>Definition and common symbols of Ions</v>
      </c>
      <c r="AI39" s="13"/>
      <c r="AJ39" s="13"/>
      <c r="AK39" s="13"/>
      <c r="AL39" s="13"/>
      <c r="AM39" s="13"/>
      <c r="AN39" s="13"/>
      <c r="AO39" s="13"/>
      <c r="AP39" s="13"/>
      <c r="AQ39" s="13"/>
      <c r="AR39" s="13"/>
      <c r="AS39" s="13"/>
      <c r="AT39" s="13"/>
    </row>
    <row r="40" spans="1:46">
      <c r="A40" s="8" t="s">
        <v>247</v>
      </c>
      <c r="B40" s="8" t="s">
        <v>47</v>
      </c>
      <c r="C40" s="8" t="s">
        <v>979</v>
      </c>
      <c r="D40" s="8" t="s">
        <v>1441</v>
      </c>
      <c r="E40" s="8" t="s">
        <v>2273</v>
      </c>
      <c r="F40" s="10" t="s">
        <v>2288</v>
      </c>
      <c r="G40" s="114" t="s">
        <v>2290</v>
      </c>
      <c r="H40" s="8" t="str">
        <f ca="1">IFERROR(__xludf.DUMMYFUNCTION("VLOOKUP(G40, IMPORTRANGE(""https://docs.google.com/spreadsheets/d/14deopnvwcrKtEGCKuYXdUHJbeLDZlkiSSWWT0g7x2pM/edit#gid=849066331"", ""LU List Science (Filter)!A:B""), 2, FALSE)"),"Rules for writing chemical formulas for a chemical compound")</f>
        <v>Rules for writing chemical formulas for a chemical compound</v>
      </c>
      <c r="I40" s="10" t="str">
        <f t="shared" si="0"/>
        <v>LU006381.001</v>
      </c>
      <c r="J40" s="10" t="str">
        <f ca="1">IFERROR(__xludf.DUMMYFUNCTION("VLOOKUP(I40, IMPORTRANGE(""https://docs.google.com/spreadsheets/d/1yDAaXNsi4Mr5FtRQL4tbmSdIzhx6_m4wkOD7IG-k_eo/edit#gid=1336395716"", ""Science!M:N""), 2, FALSE)"),"List the rules for writing chemical formulas.")</f>
        <v>List the rules for writing chemical formulas.</v>
      </c>
      <c r="K40" s="10" t="str">
        <f t="shared" si="1"/>
        <v>LU006381.002</v>
      </c>
      <c r="L40" s="10" t="str">
        <f ca="1">IFERROR(__xludf.DUMMYFUNCTION("VLOOKUP(K40, IMPORTRANGE(""https://docs.google.com/spreadsheets/d/1yDAaXNsi4Mr5FtRQL4tbmSdIzhx6_m4wkOD7IG-k_eo/edit#gid=1336395716"", ""Science!M:N""), 2, FALSE)"),"Explain the steps involved in writing a chemical formula.")</f>
        <v>Explain the steps involved in writing a chemical formula.</v>
      </c>
      <c r="M40" s="10" t="str">
        <f t="shared" si="2"/>
        <v>LU006381.003</v>
      </c>
      <c r="N40" s="10" t="str">
        <f ca="1">IFERROR(__xludf.DUMMYFUNCTION("VLOOKUP(M40, IMPORTRANGE(""https://docs.google.com/spreadsheets/d/1yDAaXNsi4Mr5FtRQL4tbmSdIzhx6_m4wkOD7IG-k_eo/edit#gid=1336395716"", ""Science!M:N""), 2, FALSE)"),"Write the chemical formula for given compounds using the rules.")</f>
        <v>Write the chemical formula for given compounds using the rules.</v>
      </c>
      <c r="O40" s="10" t="str">
        <f t="shared" si="3"/>
        <v>LU006381.004</v>
      </c>
      <c r="P40" s="10" t="str">
        <f ca="1">IFERROR(__xludf.DUMMYFUNCTION("VLOOKUP(O40, IMPORTRANGE(""https://docs.google.com/spreadsheets/d/1yDAaXNsi4Mr5FtRQL4tbmSdIzhx6_m4wkOD7IG-k_eo/edit#gid=1336395716"", ""Science!M:N""), 2, FALSE)"),"Analyze errors in incorrectly written chemical formulas and correct them.")</f>
        <v>Analyze errors in incorrectly written chemical formulas and correct them.</v>
      </c>
      <c r="Q40" s="10" t="str">
        <f t="shared" si="4"/>
        <v>LU006381.005</v>
      </c>
      <c r="R40" s="10" t="str">
        <f ca="1">IFERROR(__xludf.DUMMYFUNCTION("VLOOKUP(Q40, IMPORTRANGE(""https://docs.google.com/spreadsheets/d/1yDAaXNsi4Mr5FtRQL4tbmSdIzhx6_m4wkOD7IG-k_eo/edit#gid=1336395716"", ""Science!M:N""), 2, FALSE)"),"Evaluate the importance of correct chemical formulas in chemical reactions.")</f>
        <v>Evaluate the importance of correct chemical formulas in chemical reactions.</v>
      </c>
      <c r="S40" s="10" t="str">
        <f t="shared" si="5"/>
        <v>LU006381.006</v>
      </c>
      <c r="T40" s="10" t="str">
        <f ca="1">IFERROR(__xludf.DUMMYFUNCTION("VLOOKUP(S40, IMPORTRANGE(""https://docs.google.com/spreadsheets/d/1yDAaXNsi4Mr5FtRQL4tbmSdIzhx6_m4wkOD7IG-k_eo/edit#gid=1336395716"", ""Science!M:N""), 2, FALSE)"),"Create a tutorial that teaches how to write chemical formulas for compounds.")</f>
        <v>Create a tutorial that teaches how to write chemical formulas for compounds.</v>
      </c>
      <c r="U40" s="11" t="str">
        <f ca="1">IFERROR(__xludf.DUMMYFUNCTION("ArrayFormula(VLOOKUP(G40, IMPORTRANGE(""https://docs.google.com/spreadsheets/d/1p7R4vtkWt5VOBim4ltsDG9KTzSjrtKXsMtQGXPHyND0/edit#gid=795171502"", ""'Filter 30_05_2024'!A1:M2000""), {2, 3, 4, 5,6,7,8,9,10,11,12,13}, 0))"),"#N/A")</f>
        <v>#N/A</v>
      </c>
      <c r="V40" s="11" t="str">
        <f ca="1">IFERROR(__xludf.DUMMYFUNCTION("""COMPUTED_VALUE"""),"#N/A")</f>
        <v>#N/A</v>
      </c>
      <c r="W40" s="11" t="str">
        <f ca="1">IFERROR(__xludf.DUMMYFUNCTION("""COMPUTED_VALUE"""),"#N/A")</f>
        <v>#N/A</v>
      </c>
      <c r="X40" s="11" t="str">
        <f ca="1">IFERROR(__xludf.DUMMYFUNCTION("""COMPUTED_VALUE"""),"#N/A")</f>
        <v>#N/A</v>
      </c>
      <c r="Y40" s="11" t="str">
        <f ca="1">IFERROR(__xludf.DUMMYFUNCTION("""COMPUTED_VALUE"""),"#N/A")</f>
        <v>#N/A</v>
      </c>
      <c r="Z40" s="12" t="str">
        <f ca="1">IFERROR(__xludf.DUMMYFUNCTION("""COMPUTED_VALUE"""),"#N/A")</f>
        <v>#N/A</v>
      </c>
      <c r="AA40" s="12" t="str">
        <f ca="1">IFERROR(__xludf.DUMMYFUNCTION("""COMPUTED_VALUE"""),"#N/A")</f>
        <v>#N/A</v>
      </c>
      <c r="AB40" s="12" t="str">
        <f ca="1">IFERROR(__xludf.DUMMYFUNCTION("""COMPUTED_VALUE"""),"#N/A")</f>
        <v>#N/A</v>
      </c>
      <c r="AC40" s="12" t="str">
        <f ca="1">IFERROR(__xludf.DUMMYFUNCTION("""COMPUTED_VALUE"""),"#N/A")</f>
        <v>#N/A</v>
      </c>
      <c r="AD40" s="12" t="str">
        <f ca="1">IFERROR(__xludf.DUMMYFUNCTION("""COMPUTED_VALUE"""),"#N/A")</f>
        <v>#N/A</v>
      </c>
      <c r="AE40" s="12" t="str">
        <f ca="1">IFERROR(__xludf.DUMMYFUNCTION("""COMPUTED_VALUE"""),"#N/A")</f>
        <v>#N/A</v>
      </c>
      <c r="AF40" s="12" t="str">
        <f ca="1">IFERROR(__xludf.DUMMYFUNCTION("""COMPUTED_VALUE"""),"#N/A")</f>
        <v>#N/A</v>
      </c>
      <c r="AG40" s="13" t="str">
        <f ca="1">IFERROR(__xludf.DUMMYFUNCTION("ArrayFormula(VLOOKUP(G40, IMPORTRANGE(""https://docs.google.com/spreadsheets/d/1Co934fvtviyaRiMsrIlT05Jaq7iiYq07aLvRr35KA48/edit?gid=173865642#gid=173865642"", ""'G9 Sci_Pri_LU'!G2:V2000""), {3, 4, 5, 6, 7, 8, 9, 10, 11, 12, 13, 14, 15, 16}, 0))"),"LU006380")</f>
        <v>LU006380</v>
      </c>
      <c r="AH40" s="22" t="str">
        <f ca="1">IFERROR(__xludf.DUMMYFUNCTION("""COMPUTED_VALUE"""),"Definition of valency and its significance in forming chemical compounds")</f>
        <v>Definition of valency and its significance in forming chemical compounds</v>
      </c>
      <c r="AI40" s="13"/>
      <c r="AJ40" s="13"/>
      <c r="AK40" s="13"/>
      <c r="AL40" s="13"/>
      <c r="AM40" s="13"/>
      <c r="AN40" s="13"/>
      <c r="AO40" s="13"/>
      <c r="AP40" s="13"/>
      <c r="AQ40" s="13"/>
      <c r="AR40" s="13"/>
      <c r="AS40" s="13"/>
      <c r="AT40" s="13"/>
    </row>
    <row r="41" spans="1:46">
      <c r="A41" s="8" t="s">
        <v>247</v>
      </c>
      <c r="B41" s="8" t="s">
        <v>47</v>
      </c>
      <c r="C41" s="8" t="s">
        <v>979</v>
      </c>
      <c r="D41" s="8" t="s">
        <v>1441</v>
      </c>
      <c r="E41" s="8" t="s">
        <v>2273</v>
      </c>
      <c r="F41" s="10" t="s">
        <v>2291</v>
      </c>
      <c r="G41" s="114" t="s">
        <v>2292</v>
      </c>
      <c r="H41" s="8" t="str">
        <f ca="1">IFERROR(__xludf.DUMMYFUNCTION("VLOOKUP(G41, IMPORTRANGE(""https://docs.google.com/spreadsheets/d/14deopnvwcrKtEGCKuYXdUHJbeLDZlkiSSWWT0g7x2pM/edit#gid=849066331"", ""LU List Science (Filter)!A:B""), 2, FALSE)"),"Calculation of molecular mass based on atomic masses")</f>
        <v>Calculation of molecular mass based on atomic masses</v>
      </c>
      <c r="I41" s="10" t="str">
        <f t="shared" si="0"/>
        <v>LU006382.001</v>
      </c>
      <c r="J41" s="10" t="str">
        <f ca="1">IFERROR(__xludf.DUMMYFUNCTION("VLOOKUP(I41, IMPORTRANGE(""https://docs.google.com/spreadsheets/d/1yDAaXNsi4Mr5FtRQL4tbmSdIzhx6_m4wkOD7IG-k_eo/edit#gid=1336395716"", ""Science!M:N""), 2, FALSE)"),"Define molecular mass.")</f>
        <v>Define molecular mass.</v>
      </c>
      <c r="K41" s="10" t="str">
        <f t="shared" si="1"/>
        <v>LU006382.002</v>
      </c>
      <c r="L41" s="10" t="str">
        <f ca="1">IFERROR(__xludf.DUMMYFUNCTION("VLOOKUP(K41, IMPORTRANGE(""https://docs.google.com/spreadsheets/d/1yDAaXNsi4Mr5FtRQL4tbmSdIzhx6_m4wkOD7IG-k_eo/edit#gid=1336395716"", ""Science!M:N""), 2, FALSE)"),"Explain how molecular mass is calculated using atomic masses.")</f>
        <v>Explain how molecular mass is calculated using atomic masses.</v>
      </c>
      <c r="M41" s="10" t="str">
        <f t="shared" si="2"/>
        <v>LU006382.003</v>
      </c>
      <c r="N41" s="10" t="str">
        <f ca="1">IFERROR(__xludf.DUMMYFUNCTION("VLOOKUP(M41, IMPORTRANGE(""https://docs.google.com/spreadsheets/d/1yDAaXNsi4Mr5FtRQL4tbmSdIzhx6_m4wkOD7IG-k_eo/edit#gid=1336395716"", ""Science!M:N""), 2, FALSE)"),"Calculate the molecular mass of given compounds using their atomic masses.")</f>
        <v>Calculate the molecular mass of given compounds using their atomic masses.</v>
      </c>
      <c r="O41" s="10" t="str">
        <f t="shared" si="3"/>
        <v>LU006382.004</v>
      </c>
      <c r="P41" s="10" t="str">
        <f ca="1">IFERROR(__xludf.DUMMYFUNCTION("VLOOKUP(O41, IMPORTRANGE(""https://docs.google.com/spreadsheets/d/1yDAaXNsi4Mr5FtRQL4tbmSdIzhx6_m4wkOD7IG-k_eo/edit#gid=1336395716"", ""Science!M:N""), 2, FALSE)"),"Analyze the significance of molecular mass in chemical properties and reactions.")</f>
        <v>Analyze the significance of molecular mass in chemical properties and reactions.</v>
      </c>
      <c r="Q41" s="10" t="str">
        <f t="shared" si="4"/>
        <v>LU006382.005</v>
      </c>
      <c r="R41" s="10" t="str">
        <f ca="1">IFERROR(__xludf.DUMMYFUNCTION("VLOOKUP(Q41, IMPORTRANGE(""https://docs.google.com/spreadsheets/d/1yDAaXNsi4Mr5FtRQL4tbmSdIzhx6_m4wkOD7IG-k_eo/edit#gid=1336395716"", ""Science!M:N""), 2, FALSE)"),"Evaluate the accuracy of different methods for calculating molecular mass.")</f>
        <v>Evaluate the accuracy of different methods for calculating molecular mass.</v>
      </c>
      <c r="S41" s="10" t="str">
        <f t="shared" si="5"/>
        <v>LU006382.006</v>
      </c>
      <c r="T41" s="10" t="str">
        <f ca="1">IFERROR(__xludf.DUMMYFUNCTION("VLOOKUP(S41, IMPORTRANGE(""https://docs.google.com/spreadsheets/d/1yDAaXNsi4Mr5FtRQL4tbmSdIzhx6_m4wkOD7IG-k_eo/edit#gid=1336395716"", ""Science!M:N""), 2, FALSE)"),"Develop a worksheet that provides practice in calculating molecular masses from atomic masses.")</f>
        <v>Develop a worksheet that provides practice in calculating molecular masses from atomic masses.</v>
      </c>
      <c r="U41" s="11" t="str">
        <f ca="1">IFERROR(__xludf.DUMMYFUNCTION("ArrayFormula(VLOOKUP(G41, IMPORTRANGE(""https://docs.google.com/spreadsheets/d/1p7R4vtkWt5VOBim4ltsDG9KTzSjrtKXsMtQGXPHyND0/edit#gid=795171502"", ""'Filter 30_05_2024'!A1:M2000""), {2, 3, 4, 5,6,7,8,9,10,11,12,13}, 0))"),"#N/A")</f>
        <v>#N/A</v>
      </c>
      <c r="V41" s="11" t="str">
        <f ca="1">IFERROR(__xludf.DUMMYFUNCTION("""COMPUTED_VALUE"""),"#N/A")</f>
        <v>#N/A</v>
      </c>
      <c r="W41" s="11" t="str">
        <f ca="1">IFERROR(__xludf.DUMMYFUNCTION("""COMPUTED_VALUE"""),"#N/A")</f>
        <v>#N/A</v>
      </c>
      <c r="X41" s="11" t="str">
        <f ca="1">IFERROR(__xludf.DUMMYFUNCTION("""COMPUTED_VALUE"""),"#N/A")</f>
        <v>#N/A</v>
      </c>
      <c r="Y41" s="11" t="str">
        <f ca="1">IFERROR(__xludf.DUMMYFUNCTION("""COMPUTED_VALUE"""),"#N/A")</f>
        <v>#N/A</v>
      </c>
      <c r="Z41" s="12" t="str">
        <f ca="1">IFERROR(__xludf.DUMMYFUNCTION("""COMPUTED_VALUE"""),"#N/A")</f>
        <v>#N/A</v>
      </c>
      <c r="AA41" s="12" t="str">
        <f ca="1">IFERROR(__xludf.DUMMYFUNCTION("""COMPUTED_VALUE"""),"#N/A")</f>
        <v>#N/A</v>
      </c>
      <c r="AB41" s="12" t="str">
        <f ca="1">IFERROR(__xludf.DUMMYFUNCTION("""COMPUTED_VALUE"""),"#N/A")</f>
        <v>#N/A</v>
      </c>
      <c r="AC41" s="12" t="str">
        <f ca="1">IFERROR(__xludf.DUMMYFUNCTION("""COMPUTED_VALUE"""),"#N/A")</f>
        <v>#N/A</v>
      </c>
      <c r="AD41" s="12" t="str">
        <f ca="1">IFERROR(__xludf.DUMMYFUNCTION("""COMPUTED_VALUE"""),"#N/A")</f>
        <v>#N/A</v>
      </c>
      <c r="AE41" s="12" t="str">
        <f ca="1">IFERROR(__xludf.DUMMYFUNCTION("""COMPUTED_VALUE"""),"#N/A")</f>
        <v>#N/A</v>
      </c>
      <c r="AF41" s="12" t="str">
        <f ca="1">IFERROR(__xludf.DUMMYFUNCTION("""COMPUTED_VALUE"""),"#N/A")</f>
        <v>#N/A</v>
      </c>
      <c r="AG41" s="13" t="str">
        <f ca="1">IFERROR(__xludf.DUMMYFUNCTION("ArrayFormula(VLOOKUP(G41, IMPORTRANGE(""https://docs.google.com/spreadsheets/d/1Co934fvtviyaRiMsrIlT05Jaq7iiYq07aLvRr35KA48/edit?gid=173865642#gid=173865642"", ""'G9 Sci_Pri_LU'!G2:V2000""), {3, 4, 5, 6, 7, 8, 9, 10, 11, 12, 13, 14, 15, 16}, 0))"),"LU006378")</f>
        <v>LU006378</v>
      </c>
      <c r="AH41" s="22" t="str">
        <f ca="1">IFERROR(__xludf.DUMMYFUNCTION("""COMPUTED_VALUE"""),"Concept of atomic mass and its measurement")</f>
        <v>Concept of atomic mass and its measurement</v>
      </c>
      <c r="AI41" s="13"/>
      <c r="AJ41" s="13"/>
      <c r="AK41" s="13"/>
      <c r="AL41" s="13"/>
      <c r="AM41" s="13"/>
      <c r="AN41" s="13"/>
      <c r="AO41" s="13"/>
      <c r="AP41" s="13"/>
      <c r="AQ41" s="13"/>
      <c r="AR41" s="13"/>
      <c r="AS41" s="13"/>
      <c r="AT41" s="13"/>
    </row>
    <row r="42" spans="1:46">
      <c r="A42" s="8" t="s">
        <v>247</v>
      </c>
      <c r="B42" s="8" t="s">
        <v>47</v>
      </c>
      <c r="C42" s="8" t="s">
        <v>979</v>
      </c>
      <c r="D42" s="8" t="s">
        <v>1441</v>
      </c>
      <c r="E42" s="8" t="s">
        <v>2273</v>
      </c>
      <c r="F42" s="10" t="s">
        <v>2291</v>
      </c>
      <c r="G42" s="114" t="s">
        <v>2293</v>
      </c>
      <c r="H42" s="8" t="str">
        <f ca="1">IFERROR(__xludf.DUMMYFUNCTION("VLOOKUP(G42, IMPORTRANGE(""https://docs.google.com/spreadsheets/d/14deopnvwcrKtEGCKuYXdUHJbeLDZlkiSSWWT0g7x2pM/edit#gid=849066331"", ""LU List Science (Filter)!A:B""), 2, FALSE)"),"Concept of formula unit mass for ionic compounds")</f>
        <v>Concept of formula unit mass for ionic compounds</v>
      </c>
      <c r="I42" s="10" t="str">
        <f t="shared" si="0"/>
        <v>LU006383.001</v>
      </c>
      <c r="J42" s="10" t="str">
        <f ca="1">IFERROR(__xludf.DUMMYFUNCTION("VLOOKUP(I42, IMPORTRANGE(""https://docs.google.com/spreadsheets/d/1yDAaXNsi4Mr5FtRQL4tbmSdIzhx6_m4wkOD7IG-k_eo/edit#gid=1336395716"", ""Science!M:N""), 2, FALSE)"),"Define formula unit mass.")</f>
        <v>Define formula unit mass.</v>
      </c>
      <c r="K42" s="10" t="str">
        <f t="shared" si="1"/>
        <v>LU006383.002</v>
      </c>
      <c r="L42" s="10" t="str">
        <f ca="1">IFERROR(__xludf.DUMMYFUNCTION("VLOOKUP(K42, IMPORTRANGE(""https://docs.google.com/spreadsheets/d/1yDAaXNsi4Mr5FtRQL4tbmSdIzhx6_m4wkOD7IG-k_eo/edit#gid=1336395716"", ""Science!M:N""), 2, FALSE)"),"Explain the concept of formula unit mass for ionic compounds.")</f>
        <v>Explain the concept of formula unit mass for ionic compounds.</v>
      </c>
      <c r="M42" s="10" t="str">
        <f t="shared" si="2"/>
        <v>LU006383.003</v>
      </c>
      <c r="N42" s="10" t="str">
        <f ca="1">IFERROR(__xludf.DUMMYFUNCTION("VLOOKUP(M42, IMPORTRANGE(""https://docs.google.com/spreadsheets/d/1yDAaXNsi4Mr5FtRQL4tbmSdIzhx6_m4wkOD7IG-k_eo/edit#gid=1336395716"", ""Science!M:N""), 2, FALSE)"),"Calculate the formula unit mass of given ionic compounds.")</f>
        <v>Calculate the formula unit mass of given ionic compounds.</v>
      </c>
      <c r="O42" s="10" t="str">
        <f t="shared" si="3"/>
        <v>LU006383.004</v>
      </c>
      <c r="P42" s="10" t="str">
        <f ca="1">IFERROR(__xludf.DUMMYFUNCTION("VLOOKUP(O42, IMPORTRANGE(""https://docs.google.com/spreadsheets/d/1yDAaXNsi4Mr5FtRQL4tbmSdIzhx6_m4wkOD7IG-k_eo/edit#gid=1336395716"", ""Science!M:N""), 2, FALSE)"),"Analyze how the formula unit mass of an ionic compound is related to its chemical properties.")</f>
        <v>Analyze how the formula unit mass of an ionic compound is related to its chemical properties.</v>
      </c>
      <c r="Q42" s="10" t="str">
        <f t="shared" si="4"/>
        <v>LU006383.005</v>
      </c>
      <c r="R42" s="10" t="str">
        <f ca="1">IFERROR(__xludf.DUMMYFUNCTION("VLOOKUP(Q42, IMPORTRANGE(""https://docs.google.com/spreadsheets/d/1yDAaXNsi4Mr5FtRQL4tbmSdIzhx6_m4wkOD7IG-k_eo/edit#gid=1336395716"", ""Science!M:N""), 2, FALSE)"),"Evaluate the importance of formula unit mass in the study of ionic compounds.")</f>
        <v>Evaluate the importance of formula unit mass in the study of ionic compounds.</v>
      </c>
      <c r="S42" s="10" t="str">
        <f t="shared" si="5"/>
        <v>LU006383.006</v>
      </c>
      <c r="T42" s="10" t="str">
        <f ca="1">IFERROR(__xludf.DUMMYFUNCTION("VLOOKUP(S42, IMPORTRANGE(""https://docs.google.com/spreadsheets/d/1yDAaXNsi4Mr5FtRQL4tbmSdIzhx6_m4wkOD7IG-k_eo/edit#gid=1336395716"", ""Science!M:N""), 2, FALSE)"),"Create a step-by-step guide for calculating the formula unit mass of ionic compounds.")</f>
        <v>Create a step-by-step guide for calculating the formula unit mass of ionic compounds.</v>
      </c>
      <c r="U42" s="11" t="str">
        <f ca="1">IFERROR(__xludf.DUMMYFUNCTION("ArrayFormula(VLOOKUP(G42, IMPORTRANGE(""https://docs.google.com/spreadsheets/d/1p7R4vtkWt5VOBim4ltsDG9KTzSjrtKXsMtQGXPHyND0/edit#gid=795171502"", ""'Filter 30_05_2024'!A1:M2000""), {2, 3, 4, 5,6,7,8,9,10,11,12,13}, 0))"),"#N/A")</f>
        <v>#N/A</v>
      </c>
      <c r="V42" s="11" t="str">
        <f ca="1">IFERROR(__xludf.DUMMYFUNCTION("""COMPUTED_VALUE"""),"#N/A")</f>
        <v>#N/A</v>
      </c>
      <c r="W42" s="11" t="str">
        <f ca="1">IFERROR(__xludf.DUMMYFUNCTION("""COMPUTED_VALUE"""),"#N/A")</f>
        <v>#N/A</v>
      </c>
      <c r="X42" s="11" t="str">
        <f ca="1">IFERROR(__xludf.DUMMYFUNCTION("""COMPUTED_VALUE"""),"#N/A")</f>
        <v>#N/A</v>
      </c>
      <c r="Y42" s="11" t="str">
        <f ca="1">IFERROR(__xludf.DUMMYFUNCTION("""COMPUTED_VALUE"""),"#N/A")</f>
        <v>#N/A</v>
      </c>
      <c r="Z42" s="12" t="str">
        <f ca="1">IFERROR(__xludf.DUMMYFUNCTION("""COMPUTED_VALUE"""),"#N/A")</f>
        <v>#N/A</v>
      </c>
      <c r="AA42" s="12" t="str">
        <f ca="1">IFERROR(__xludf.DUMMYFUNCTION("""COMPUTED_VALUE"""),"#N/A")</f>
        <v>#N/A</v>
      </c>
      <c r="AB42" s="12" t="str">
        <f ca="1">IFERROR(__xludf.DUMMYFUNCTION("""COMPUTED_VALUE"""),"#N/A")</f>
        <v>#N/A</v>
      </c>
      <c r="AC42" s="12" t="str">
        <f ca="1">IFERROR(__xludf.DUMMYFUNCTION("""COMPUTED_VALUE"""),"#N/A")</f>
        <v>#N/A</v>
      </c>
      <c r="AD42" s="12" t="str">
        <f ca="1">IFERROR(__xludf.DUMMYFUNCTION("""COMPUTED_VALUE"""),"#N/A")</f>
        <v>#N/A</v>
      </c>
      <c r="AE42" s="12" t="str">
        <f ca="1">IFERROR(__xludf.DUMMYFUNCTION("""COMPUTED_VALUE"""),"#N/A")</f>
        <v>#N/A</v>
      </c>
      <c r="AF42" s="12" t="str">
        <f ca="1">IFERROR(__xludf.DUMMYFUNCTION("""COMPUTED_VALUE"""),"#N/A")</f>
        <v>#N/A</v>
      </c>
      <c r="AG42" s="13" t="str">
        <f ca="1">IFERROR(__xludf.DUMMYFUNCTION("ArrayFormula(VLOOKUP(G42, IMPORTRANGE(""https://docs.google.com/spreadsheets/d/1Co934fvtviyaRiMsrIlT05Jaq7iiYq07aLvRr35KA48/edit?gid=173865642#gid=173865642"", ""'G9 Sci_Pri_LU'!G2:V2000""), {3, 4, 5, 6, 7, 8, 9, 10, 11, 12, 13, 14, 15, 16}, 0))"),"LU006382")</f>
        <v>LU006382</v>
      </c>
      <c r="AH42" s="22" t="str">
        <f ca="1">IFERROR(__xludf.DUMMYFUNCTION("""COMPUTED_VALUE"""),"Calculation of molecular mass based on atomic masses")</f>
        <v>Calculation of molecular mass based on atomic masses</v>
      </c>
      <c r="AI42" s="13"/>
      <c r="AJ42" s="13"/>
      <c r="AK42" s="13"/>
      <c r="AL42" s="13"/>
      <c r="AM42" s="13"/>
      <c r="AN42" s="13"/>
      <c r="AO42" s="13"/>
      <c r="AP42" s="13"/>
      <c r="AQ42" s="13"/>
      <c r="AR42" s="13"/>
      <c r="AS42" s="13"/>
      <c r="AT42" s="13"/>
    </row>
    <row r="43" spans="1:46">
      <c r="A43" s="8" t="s">
        <v>247</v>
      </c>
      <c r="B43" s="8" t="s">
        <v>47</v>
      </c>
      <c r="C43" s="8" t="s">
        <v>979</v>
      </c>
      <c r="D43" s="8" t="s">
        <v>1441</v>
      </c>
      <c r="E43" s="8" t="s">
        <v>2294</v>
      </c>
      <c r="F43" s="10" t="s">
        <v>2295</v>
      </c>
      <c r="G43" s="114" t="s">
        <v>2296</v>
      </c>
      <c r="H43" s="8" t="str">
        <f ca="1">IFERROR(__xludf.DUMMYFUNCTION("VLOOKUP(G43, IMPORTRANGE(""https://docs.google.com/spreadsheets/d/14deopnvwcrKtEGCKuYXdUHJbeLDZlkiSSWWT0g7x2pM/edit#gid=849066331"", ""LU List Science (Filter)!A:B""), 2, FALSE)"),"Subatomic particles of Atoms (Electron and Proton)")</f>
        <v>Subatomic particles of Atoms (Electron and Proton)</v>
      </c>
      <c r="I43" s="10" t="str">
        <f t="shared" si="0"/>
        <v>LU006385.001</v>
      </c>
      <c r="J43" s="10" t="str">
        <f ca="1">IFERROR(__xludf.DUMMYFUNCTION("VLOOKUP(I43, IMPORTRANGE(""https://docs.google.com/spreadsheets/d/1yDAaXNsi4Mr5FtRQL4tbmSdIzhx6_m4wkOD7IG-k_eo/edit#gid=1336395716"", ""Science!M:N""), 2, FALSE)"),"List the subatomic particles of an atom, focusing on electrons and protons.")</f>
        <v>List the subatomic particles of an atom, focusing on electrons and protons.</v>
      </c>
      <c r="K43" s="10" t="str">
        <f t="shared" si="1"/>
        <v>LU006385.002</v>
      </c>
      <c r="L43" s="10" t="str">
        <f ca="1">IFERROR(__xludf.DUMMYFUNCTION("VLOOKUP(K43, IMPORTRANGE(""https://docs.google.com/spreadsheets/d/1yDAaXNsi4Mr5FtRQL4tbmSdIzhx6_m4wkOD7IG-k_eo/edit#gid=1336395716"", ""Science!M:N""), 2, FALSE)"),"Explain the properties of electrons and protons, including their charge and mass.")</f>
        <v>Explain the properties of electrons and protons, including their charge and mass.</v>
      </c>
      <c r="M43" s="10" t="str">
        <f t="shared" si="2"/>
        <v>LU006385.003</v>
      </c>
      <c r="N43" s="10" t="str">
        <f ca="1">IFERROR(__xludf.DUMMYFUNCTION("VLOOKUP(M43, IMPORTRANGE(""https://docs.google.com/spreadsheets/d/1yDAaXNsi4Mr5FtRQL4tbmSdIzhx6_m4wkOD7IG-k_eo/edit#gid=1336395716"", ""Science!M:N""), 2, FALSE)"),"Illustrate the role of electrons and protons in the structure of an atom using a diagram.")</f>
        <v>Illustrate the role of electrons and protons in the structure of an atom using a diagram.</v>
      </c>
      <c r="O43" s="10" t="str">
        <f t="shared" si="3"/>
        <v>LU006385.004</v>
      </c>
      <c r="P43" s="10" t="str">
        <f ca="1">IFERROR(__xludf.DUMMYFUNCTION("VLOOKUP(O43, IMPORTRANGE(""https://docs.google.com/spreadsheets/d/1yDAaXNsi4Mr5FtRQL4tbmSdIzhx6_m4wkOD7IG-k_eo/edit#gid=1336395716"", ""Science!M:N""), 2, FALSE)"),"Compare and contrast the properties and functions of electrons and protons in an atom.")</f>
        <v>Compare and contrast the properties and functions of electrons and protons in an atom.</v>
      </c>
      <c r="Q43" s="10" t="str">
        <f t="shared" si="4"/>
        <v>LU006385.005</v>
      </c>
      <c r="R43" s="10" t="str">
        <f ca="1">IFERROR(__xludf.DUMMYFUNCTION("VLOOKUP(Q43, IMPORTRANGE(""https://docs.google.com/spreadsheets/d/1yDAaXNsi4Mr5FtRQL4tbmSdIzhx6_m4wkOD7IG-k_eo/edit#gid=1336395716"", ""Science!M:N""), 2, FALSE)"),"Assess the significance of the discovery of electrons and protons in the development of atomic theory.")</f>
        <v>Assess the significance of the discovery of electrons and protons in the development of atomic theory.</v>
      </c>
      <c r="S43" s="10" t="str">
        <f t="shared" si="5"/>
        <v>LU006385.006</v>
      </c>
      <c r="T43" s="10" t="str">
        <f ca="1">IFERROR(__xludf.DUMMYFUNCTION("VLOOKUP(S43, IMPORTRANGE(""https://docs.google.com/spreadsheets/d/1yDAaXNsi4Mr5FtRQL4tbmSdIzhx6_m4wkOD7IG-k_eo/edit#gid=1336395716"", ""Science!M:N""), 2, FALSE)"),"Create a model of an atom highlighting the positions and characteristics of electrons and protons.")</f>
        <v>Create a model of an atom highlighting the positions and characteristics of electrons and protons.</v>
      </c>
      <c r="U43" s="11" t="str">
        <f ca="1">IFERROR(__xludf.DUMMYFUNCTION("ArrayFormula(VLOOKUP(G43, IMPORTRANGE(""https://docs.google.com/spreadsheets/d/1p7R4vtkWt5VOBim4ltsDG9KTzSjrtKXsMtQGXPHyND0/edit#gid=795171502"", ""'Filter 30_05_2024'!A1:M2000""), {2, 3, 4, 5,6,7,8,9,10,11,12,13}, 0))"),"#N/A")</f>
        <v>#N/A</v>
      </c>
      <c r="V43" s="11" t="str">
        <f ca="1">IFERROR(__xludf.DUMMYFUNCTION("""COMPUTED_VALUE"""),"#N/A")</f>
        <v>#N/A</v>
      </c>
      <c r="W43" s="11" t="str">
        <f ca="1">IFERROR(__xludf.DUMMYFUNCTION("""COMPUTED_VALUE"""),"#N/A")</f>
        <v>#N/A</v>
      </c>
      <c r="X43" s="11" t="str">
        <f ca="1">IFERROR(__xludf.DUMMYFUNCTION("""COMPUTED_VALUE"""),"#N/A")</f>
        <v>#N/A</v>
      </c>
      <c r="Y43" s="11" t="str">
        <f ca="1">IFERROR(__xludf.DUMMYFUNCTION("""COMPUTED_VALUE"""),"#N/A")</f>
        <v>#N/A</v>
      </c>
      <c r="Z43" s="12" t="str">
        <f ca="1">IFERROR(__xludf.DUMMYFUNCTION("""COMPUTED_VALUE"""),"#N/A")</f>
        <v>#N/A</v>
      </c>
      <c r="AA43" s="12" t="str">
        <f ca="1">IFERROR(__xludf.DUMMYFUNCTION("""COMPUTED_VALUE"""),"#N/A")</f>
        <v>#N/A</v>
      </c>
      <c r="AB43" s="12" t="str">
        <f ca="1">IFERROR(__xludf.DUMMYFUNCTION("""COMPUTED_VALUE"""),"#N/A")</f>
        <v>#N/A</v>
      </c>
      <c r="AC43" s="12" t="str">
        <f ca="1">IFERROR(__xludf.DUMMYFUNCTION("""COMPUTED_VALUE"""),"#N/A")</f>
        <v>#N/A</v>
      </c>
      <c r="AD43" s="12" t="str">
        <f ca="1">IFERROR(__xludf.DUMMYFUNCTION("""COMPUTED_VALUE"""),"#N/A")</f>
        <v>#N/A</v>
      </c>
      <c r="AE43" s="12" t="str">
        <f ca="1">IFERROR(__xludf.DUMMYFUNCTION("""COMPUTED_VALUE"""),"#N/A")</f>
        <v>#N/A</v>
      </c>
      <c r="AF43" s="12" t="str">
        <f ca="1">IFERROR(__xludf.DUMMYFUNCTION("""COMPUTED_VALUE"""),"#N/A")</f>
        <v>#N/A</v>
      </c>
      <c r="AG43" s="13" t="str">
        <f ca="1">IFERROR(__xludf.DUMMYFUNCTION("ArrayFormula(VLOOKUP(G43, IMPORTRANGE(""https://docs.google.com/spreadsheets/d/1Co934fvtviyaRiMsrIlT05Jaq7iiYq07aLvRr35KA48/edit?gid=173865642#gid=173865642"", ""'G9 Sci_Pri_LU'!G2:V2000""), {3, 4, 5, 6, 7, 8, 9, 10, 11, 12, 13, 14, 15, 16}, 0))"),"LU006376")</f>
        <v>LU006376</v>
      </c>
      <c r="AH43" s="22" t="str">
        <f ca="1">IFERROR(__xludf.DUMMYFUNCTION("""COMPUTED_VALUE"""),"Introduction to Dalton's postulates about atoms")</f>
        <v>Introduction to Dalton's postulates about atoms</v>
      </c>
      <c r="AI43" s="13"/>
      <c r="AJ43" s="13"/>
      <c r="AK43" s="13"/>
      <c r="AL43" s="13"/>
      <c r="AM43" s="13"/>
      <c r="AN43" s="13"/>
      <c r="AO43" s="13"/>
      <c r="AP43" s="13"/>
      <c r="AQ43" s="13"/>
      <c r="AR43" s="13"/>
      <c r="AS43" s="13"/>
      <c r="AT43" s="13"/>
    </row>
    <row r="44" spans="1:46">
      <c r="A44" s="8" t="s">
        <v>247</v>
      </c>
      <c r="B44" s="8" t="s">
        <v>47</v>
      </c>
      <c r="C44" s="8" t="s">
        <v>979</v>
      </c>
      <c r="D44" s="8" t="s">
        <v>1441</v>
      </c>
      <c r="E44" s="8" t="s">
        <v>2294</v>
      </c>
      <c r="F44" s="10" t="s">
        <v>2295</v>
      </c>
      <c r="G44" s="114" t="s">
        <v>2297</v>
      </c>
      <c r="H44" s="8" t="str">
        <f ca="1">IFERROR(__xludf.DUMMYFUNCTION("VLOOKUP(G44, IMPORTRANGE(""https://docs.google.com/spreadsheets/d/14deopnvwcrKtEGCKuYXdUHJbeLDZlkiSSWWT0g7x2pM/edit#gid=849066331"", ""LU List Science (Filter)!A:B""), 2, FALSE)"),"Thomson's Model of the Atom (Electrical Neutrality of an Atom)")</f>
        <v>Thomson's Model of the Atom (Electrical Neutrality of an Atom)</v>
      </c>
      <c r="I44" s="10" t="str">
        <f t="shared" si="0"/>
        <v>LU006386.001</v>
      </c>
      <c r="J44" s="10" t="str">
        <f ca="1">IFERROR(__xludf.DUMMYFUNCTION("VLOOKUP(I44, IMPORTRANGE(""https://docs.google.com/spreadsheets/d/1yDAaXNsi4Mr5FtRQL4tbmSdIzhx6_m4wkOD7IG-k_eo/edit#gid=1336395716"", ""Science!M:N""), 2, FALSE)"),"Describe Thomson's model of the atom.")</f>
        <v>Describe Thomson's model of the atom.</v>
      </c>
      <c r="K44" s="10" t="str">
        <f t="shared" si="1"/>
        <v>LU006386.002</v>
      </c>
      <c r="L44" s="10" t="str">
        <f ca="1">IFERROR(__xludf.DUMMYFUNCTION("VLOOKUP(K44, IMPORTRANGE(""https://docs.google.com/spreadsheets/d/1yDAaXNsi4Mr5FtRQL4tbmSdIzhx6_m4wkOD7IG-k_eo/edit#gid=1336395716"", ""Science!M:N""), 2, FALSE)"),"Explain how Thomson's model accounts for the electrical neutrality of an atom.")</f>
        <v>Explain how Thomson's model accounts for the electrical neutrality of an atom.</v>
      </c>
      <c r="M44" s="10" t="str">
        <f t="shared" si="2"/>
        <v>LU006386.003</v>
      </c>
      <c r="N44" s="10" t="str">
        <f ca="1">IFERROR(__xludf.DUMMYFUNCTION("VLOOKUP(M44, IMPORTRANGE(""https://docs.google.com/spreadsheets/d/1yDAaXNsi4Mr5FtRQL4tbmSdIzhx6_m4wkOD7IG-k_eo/edit#gid=1336395716"", ""Science!M:N""), 2, FALSE)"),"Use Thomson’s model to demonstrate the distribution of electrons in a positively charged sphere.")</f>
        <v>Use Thomson’s model to demonstrate the distribution of electrons in a positively charged sphere.</v>
      </c>
      <c r="O44" s="10" t="str">
        <f t="shared" si="3"/>
        <v>LU006386.004</v>
      </c>
      <c r="P44" s="10" t="str">
        <f ca="1">IFERROR(__xludf.DUMMYFUNCTION("VLOOKUP(O44, IMPORTRANGE(""https://docs.google.com/spreadsheets/d/1yDAaXNsi4Mr5FtRQL4tbmSdIzhx6_m4wkOD7IG-k_eo/edit#gid=1336395716"", ""Science!M:N""), 2, FALSE)"),"Analyze the limitations of Thomson’s model in explaining the atomic structure.")</f>
        <v>Analyze the limitations of Thomson’s model in explaining the atomic structure.</v>
      </c>
      <c r="Q44" s="10" t="str">
        <f t="shared" si="4"/>
        <v>LU006386.005</v>
      </c>
      <c r="R44" s="10" t="str">
        <f ca="1">IFERROR(__xludf.DUMMYFUNCTION("VLOOKUP(Q44, IMPORTRANGE(""https://docs.google.com/spreadsheets/d/1yDAaXNsi4Mr5FtRQL4tbmSdIzhx6_m4wkOD7IG-k_eo/edit#gid=1336395716"", ""Science!M:N""), 2, FALSE)"),"Evaluate the impact of Thomson's model on the understanding of atomic structure during his time.")</f>
        <v>Evaluate the impact of Thomson's model on the understanding of atomic structure during his time.</v>
      </c>
      <c r="S44" s="10" t="str">
        <f t="shared" si="5"/>
        <v>LU006386.006</v>
      </c>
      <c r="T44" s="10" t="str">
        <f ca="1">IFERROR(__xludf.DUMMYFUNCTION("VLOOKUP(S44, IMPORTRANGE(""https://docs.google.com/spreadsheets/d/1yDAaXNsi4Mr5FtRQL4tbmSdIzhx6_m4wkOD7IG-k_eo/edit#gid=1336395716"", ""Science!M:N""), 2, FALSE)"),"Design an experiment or activity that demonstrates the concept of electrical neutrality in Thomson’s model.")</f>
        <v>Design an experiment or activity that demonstrates the concept of electrical neutrality in Thomson’s model.</v>
      </c>
      <c r="U44" s="11" t="str">
        <f ca="1">IFERROR(__xludf.DUMMYFUNCTION("ArrayFormula(VLOOKUP(G44, IMPORTRANGE(""https://docs.google.com/spreadsheets/d/1p7R4vtkWt5VOBim4ltsDG9KTzSjrtKXsMtQGXPHyND0/edit#gid=795171502"", ""'Filter 30_05_2024'!A1:M2000""), {2, 3, 4, 5,6,7,8,9,10,11,12,13}, 0))"),"#N/A")</f>
        <v>#N/A</v>
      </c>
      <c r="V44" s="11" t="str">
        <f ca="1">IFERROR(__xludf.DUMMYFUNCTION("""COMPUTED_VALUE"""),"#N/A")</f>
        <v>#N/A</v>
      </c>
      <c r="W44" s="11" t="str">
        <f ca="1">IFERROR(__xludf.DUMMYFUNCTION("""COMPUTED_VALUE"""),"#N/A")</f>
        <v>#N/A</v>
      </c>
      <c r="X44" s="11" t="str">
        <f ca="1">IFERROR(__xludf.DUMMYFUNCTION("""COMPUTED_VALUE"""),"#N/A")</f>
        <v>#N/A</v>
      </c>
      <c r="Y44" s="11" t="str">
        <f ca="1">IFERROR(__xludf.DUMMYFUNCTION("""COMPUTED_VALUE"""),"#N/A")</f>
        <v>#N/A</v>
      </c>
      <c r="Z44" s="12" t="str">
        <f ca="1">IFERROR(__xludf.DUMMYFUNCTION("""COMPUTED_VALUE"""),"#N/A")</f>
        <v>#N/A</v>
      </c>
      <c r="AA44" s="12" t="str">
        <f ca="1">IFERROR(__xludf.DUMMYFUNCTION("""COMPUTED_VALUE"""),"#N/A")</f>
        <v>#N/A</v>
      </c>
      <c r="AB44" s="12" t="str">
        <f ca="1">IFERROR(__xludf.DUMMYFUNCTION("""COMPUTED_VALUE"""),"#N/A")</f>
        <v>#N/A</v>
      </c>
      <c r="AC44" s="12" t="str">
        <f ca="1">IFERROR(__xludf.DUMMYFUNCTION("""COMPUTED_VALUE"""),"#N/A")</f>
        <v>#N/A</v>
      </c>
      <c r="AD44" s="12" t="str">
        <f ca="1">IFERROR(__xludf.DUMMYFUNCTION("""COMPUTED_VALUE"""),"#N/A")</f>
        <v>#N/A</v>
      </c>
      <c r="AE44" s="12" t="str">
        <f ca="1">IFERROR(__xludf.DUMMYFUNCTION("""COMPUTED_VALUE"""),"#N/A")</f>
        <v>#N/A</v>
      </c>
      <c r="AF44" s="12" t="str">
        <f ca="1">IFERROR(__xludf.DUMMYFUNCTION("""COMPUTED_VALUE"""),"#N/A")</f>
        <v>#N/A</v>
      </c>
      <c r="AG44" s="13" t="str">
        <f ca="1">IFERROR(__xludf.DUMMYFUNCTION("ArrayFormula(VLOOKUP(G44, IMPORTRANGE(""https://docs.google.com/spreadsheets/d/1Co934fvtviyaRiMsrIlT05Jaq7iiYq07aLvRr35KA48/edit?gid=173865642#gid=173865642"", ""'G9 Sci_Pri_LU'!G2:V2000""), {3, 4, 5, 6, 7, 8, 9, 10, 11, 12, 13, 14, 15, 16}, 0))"),"LU006385")</f>
        <v>LU006385</v>
      </c>
      <c r="AH44" s="22" t="str">
        <f ca="1">IFERROR(__xludf.DUMMYFUNCTION("""COMPUTED_VALUE"""),"Subatomic particles of Atoms (Electron and Proton)")</f>
        <v>Subatomic particles of Atoms (Electron and Proton)</v>
      </c>
      <c r="AI44" s="13"/>
      <c r="AJ44" s="13"/>
      <c r="AK44" s="13"/>
      <c r="AL44" s="13"/>
      <c r="AM44" s="13"/>
      <c r="AN44" s="13"/>
      <c r="AO44" s="13"/>
      <c r="AP44" s="13"/>
      <c r="AQ44" s="13"/>
      <c r="AR44" s="13"/>
      <c r="AS44" s="13"/>
      <c r="AT44" s="13"/>
    </row>
    <row r="45" spans="1:46">
      <c r="A45" s="8" t="s">
        <v>247</v>
      </c>
      <c r="B45" s="8" t="s">
        <v>47</v>
      </c>
      <c r="C45" s="8" t="s">
        <v>979</v>
      </c>
      <c r="D45" s="8" t="s">
        <v>1441</v>
      </c>
      <c r="E45" s="8" t="s">
        <v>2294</v>
      </c>
      <c r="F45" s="10" t="s">
        <v>2298</v>
      </c>
      <c r="G45" s="114" t="s">
        <v>2299</v>
      </c>
      <c r="H45" s="8" t="str">
        <f ca="1">IFERROR(__xludf.DUMMYFUNCTION("VLOOKUP(G45, IMPORTRANGE(""https://docs.google.com/spreadsheets/d/14deopnvwcrKtEGCKuYXdUHJbeLDZlkiSSWWT0g7x2pM/edit#gid=849066331"", ""LU List Science (Filter)!A:B""), 2, FALSE)"),"Rutherford's Model of the Atom (Gold Foil Experiment and Nuclear Model)")</f>
        <v>Rutherford's Model of the Atom (Gold Foil Experiment and Nuclear Model)</v>
      </c>
      <c r="I45" s="10" t="str">
        <f t="shared" si="0"/>
        <v>LU006387.001</v>
      </c>
      <c r="J45" s="10" t="str">
        <f ca="1">IFERROR(__xludf.DUMMYFUNCTION("VLOOKUP(I45, IMPORTRANGE(""https://docs.google.com/spreadsheets/d/1yDAaXNsi4Mr5FtRQL4tbmSdIzhx6_m4wkOD7IG-k_eo/edit#gid=1336395716"", ""Science!M:N""), 2, FALSE)"),"Summarize Rutherford's gold foil experiment.")</f>
        <v>Summarize Rutherford's gold foil experiment.</v>
      </c>
      <c r="K45" s="10" t="str">
        <f t="shared" si="1"/>
        <v>LU006387.002</v>
      </c>
      <c r="L45" s="10" t="str">
        <f ca="1">IFERROR(__xludf.DUMMYFUNCTION("VLOOKUP(K45, IMPORTRANGE(""https://docs.google.com/spreadsheets/d/1yDAaXNsi4Mr5FtRQL4tbmSdIzhx6_m4wkOD7IG-k_eo/edit#gid=1336395716"", ""Science!M:N""), 2, FALSE)"),"Explain the key observations and conclusions from Rutherford's gold foil experiment.")</f>
        <v>Explain the key observations and conclusions from Rutherford's gold foil experiment.</v>
      </c>
      <c r="M45" s="10" t="str">
        <f t="shared" si="2"/>
        <v>LU006387.003</v>
      </c>
      <c r="N45" s="10" t="str">
        <f ca="1">IFERROR(__xludf.DUMMYFUNCTION("VLOOKUP(M45, IMPORTRANGE(""https://docs.google.com/spreadsheets/d/1yDAaXNsi4Mr5FtRQL4tbmSdIzhx6_m4wkOD7IG-k_eo/edit#gid=1336395716"", ""Science!M:N""), 2, FALSE)"),"Illustrate Rutherford’s nuclear model of the atom.")</f>
        <v>Illustrate Rutherford’s nuclear model of the atom.</v>
      </c>
      <c r="O45" s="10" t="str">
        <f t="shared" si="3"/>
        <v>LU006387.004</v>
      </c>
      <c r="P45" s="10" t="str">
        <f ca="1">IFERROR(__xludf.DUMMYFUNCTION("VLOOKUP(O45, IMPORTRANGE(""https://docs.google.com/spreadsheets/d/1yDAaXNsi4Mr5FtRQL4tbmSdIzhx6_m4wkOD7IG-k_eo/edit#gid=1336395716"", ""Science!M:N""), 2, FALSE)"),"Analyze the differences between Thomson’s and Rutherford’s models of the atom.")</f>
        <v>Analyze the differences between Thomson’s and Rutherford’s models of the atom.</v>
      </c>
      <c r="Q45" s="10" t="str">
        <f t="shared" si="4"/>
        <v>LU006387.005</v>
      </c>
      <c r="R45" s="10" t="str">
        <f ca="1">IFERROR(__xludf.DUMMYFUNCTION("VLOOKUP(Q45, IMPORTRANGE(""https://docs.google.com/spreadsheets/d/1yDAaXNsi4Mr5FtRQL4tbmSdIzhx6_m4wkOD7IG-k_eo/edit#gid=1336395716"", ""Science!M:N""), 2, FALSE)"),"Evaluate the significance of Rutherford's model in the context of atomic structure research.")</f>
        <v>Evaluate the significance of Rutherford's model in the context of atomic structure research.</v>
      </c>
      <c r="S45" s="10" t="str">
        <f t="shared" si="5"/>
        <v>LU006387.006</v>
      </c>
      <c r="T45" s="10" t="str">
        <f ca="1">IFERROR(__xludf.DUMMYFUNCTION("VLOOKUP(S45, IMPORTRANGE(""https://docs.google.com/spreadsheets/d/1yDAaXNsi4Mr5FtRQL4tbmSdIzhx6_m4wkOD7IG-k_eo/edit#gid=1336395716"", ""Science!M:N""), 2, FALSE)"),"Develop a presentation that explains Rutherford’s gold foil experiment and its findings.")</f>
        <v>Develop a presentation that explains Rutherford’s gold foil experiment and its findings.</v>
      </c>
      <c r="U45" s="11" t="str">
        <f ca="1">IFERROR(__xludf.DUMMYFUNCTION("ArrayFormula(VLOOKUP(G45, IMPORTRANGE(""https://docs.google.com/spreadsheets/d/1p7R4vtkWt5VOBim4ltsDG9KTzSjrtKXsMtQGXPHyND0/edit#gid=795171502"", ""'Filter 30_05_2024'!A1:M2000""), {2, 3, 4, 5,6,7,8,9,10,11,12,13}, 0))"),"#N/A")</f>
        <v>#N/A</v>
      </c>
      <c r="V45" s="11" t="str">
        <f ca="1">IFERROR(__xludf.DUMMYFUNCTION("""COMPUTED_VALUE"""),"#N/A")</f>
        <v>#N/A</v>
      </c>
      <c r="W45" s="11" t="str">
        <f ca="1">IFERROR(__xludf.DUMMYFUNCTION("""COMPUTED_VALUE"""),"#N/A")</f>
        <v>#N/A</v>
      </c>
      <c r="X45" s="11" t="str">
        <f ca="1">IFERROR(__xludf.DUMMYFUNCTION("""COMPUTED_VALUE"""),"#N/A")</f>
        <v>#N/A</v>
      </c>
      <c r="Y45" s="11" t="str">
        <f ca="1">IFERROR(__xludf.DUMMYFUNCTION("""COMPUTED_VALUE"""),"#N/A")</f>
        <v>#N/A</v>
      </c>
      <c r="Z45" s="12" t="str">
        <f ca="1">IFERROR(__xludf.DUMMYFUNCTION("""COMPUTED_VALUE"""),"#N/A")</f>
        <v>#N/A</v>
      </c>
      <c r="AA45" s="12" t="str">
        <f ca="1">IFERROR(__xludf.DUMMYFUNCTION("""COMPUTED_VALUE"""),"#N/A")</f>
        <v>#N/A</v>
      </c>
      <c r="AB45" s="12" t="str">
        <f ca="1">IFERROR(__xludf.DUMMYFUNCTION("""COMPUTED_VALUE"""),"#N/A")</f>
        <v>#N/A</v>
      </c>
      <c r="AC45" s="12" t="str">
        <f ca="1">IFERROR(__xludf.DUMMYFUNCTION("""COMPUTED_VALUE"""),"#N/A")</f>
        <v>#N/A</v>
      </c>
      <c r="AD45" s="12" t="str">
        <f ca="1">IFERROR(__xludf.DUMMYFUNCTION("""COMPUTED_VALUE"""),"#N/A")</f>
        <v>#N/A</v>
      </c>
      <c r="AE45" s="12" t="str">
        <f ca="1">IFERROR(__xludf.DUMMYFUNCTION("""COMPUTED_VALUE"""),"#N/A")</f>
        <v>#N/A</v>
      </c>
      <c r="AF45" s="12" t="str">
        <f ca="1">IFERROR(__xludf.DUMMYFUNCTION("""COMPUTED_VALUE"""),"#N/A")</f>
        <v>#N/A</v>
      </c>
      <c r="AG45" s="13" t="str">
        <f ca="1">IFERROR(__xludf.DUMMYFUNCTION("ArrayFormula(VLOOKUP(G45, IMPORTRANGE(""https://docs.google.com/spreadsheets/d/1Co934fvtviyaRiMsrIlT05Jaq7iiYq07aLvRr35KA48/edit?gid=173865642#gid=173865642"", ""'G9 Sci_Pri_LU'!G2:V2000""), {3, 4, 5, 6, 7, 8, 9, 10, 11, 12, 13, 14, 15, 16}, 0))"),"LU006386")</f>
        <v>LU006386</v>
      </c>
      <c r="AH45" s="22" t="str">
        <f ca="1">IFERROR(__xludf.DUMMYFUNCTION("""COMPUTED_VALUE"""),"Thomson's Model of the Atom (Electrical Neutrality of an Atom)")</f>
        <v>Thomson's Model of the Atom (Electrical Neutrality of an Atom)</v>
      </c>
      <c r="AI45" s="13"/>
      <c r="AJ45" s="13"/>
      <c r="AK45" s="13"/>
      <c r="AL45" s="13"/>
      <c r="AM45" s="13"/>
      <c r="AN45" s="13"/>
      <c r="AO45" s="13"/>
      <c r="AP45" s="13"/>
      <c r="AQ45" s="13"/>
      <c r="AR45" s="13"/>
      <c r="AS45" s="13"/>
      <c r="AT45" s="13"/>
    </row>
    <row r="46" spans="1:46">
      <c r="A46" s="8" t="s">
        <v>247</v>
      </c>
      <c r="B46" s="8" t="s">
        <v>47</v>
      </c>
      <c r="C46" s="8" t="s">
        <v>979</v>
      </c>
      <c r="D46" s="8" t="s">
        <v>1441</v>
      </c>
      <c r="E46" s="8" t="s">
        <v>2294</v>
      </c>
      <c r="F46" s="10" t="s">
        <v>2300</v>
      </c>
      <c r="G46" s="114" t="s">
        <v>2301</v>
      </c>
      <c r="H46" s="8" t="str">
        <f ca="1">IFERROR(__xludf.DUMMYFUNCTION("VLOOKUP(G46, IMPORTRANGE(""https://docs.google.com/spreadsheets/d/14deopnvwcrKtEGCKuYXdUHJbeLDZlkiSSWWT0g7x2pM/edit#gid=849066331"", ""LU List Science (Filter)!A:B""), 2, FALSE)"),"Bohr’s Model of the Atom (Stable Electron Orbits)")</f>
        <v>Bohr’s Model of the Atom (Stable Electron Orbits)</v>
      </c>
      <c r="I46" s="10" t="str">
        <f t="shared" si="0"/>
        <v>LU006388.001</v>
      </c>
      <c r="J46" s="10" t="str">
        <f ca="1">IFERROR(__xludf.DUMMYFUNCTION("VLOOKUP(I46, IMPORTRANGE(""https://docs.google.com/spreadsheets/d/1yDAaXNsi4Mr5FtRQL4tbmSdIzhx6_m4wkOD7IG-k_eo/edit#gid=1336395716"", ""Science!M:N""), 2, FALSE)"),"Define Bohr’s model of the atom.")</f>
        <v>Define Bohr’s model of the atom.</v>
      </c>
      <c r="K46" s="10" t="str">
        <f t="shared" si="1"/>
        <v>LU006388.002</v>
      </c>
      <c r="L46" s="10" t="str">
        <f ca="1">IFERROR(__xludf.DUMMYFUNCTION("VLOOKUP(K46, IMPORTRANGE(""https://docs.google.com/spreadsheets/d/1yDAaXNsi4Mr5FtRQL4tbmSdIzhx6_m4wkOD7IG-k_eo/edit#gid=1336395716"", ""Science!M:N""), 2, FALSE)"),"Explain how Bohr’s model describes stable electron orbits.")</f>
        <v>Explain how Bohr’s model describes stable electron orbits.</v>
      </c>
      <c r="M46" s="10" t="str">
        <f t="shared" si="2"/>
        <v>LU006388.003</v>
      </c>
      <c r="N46" s="10" t="str">
        <f ca="1">IFERROR(__xludf.DUMMYFUNCTION("VLOOKUP(M46, IMPORTRANGE(""https://docs.google.com/spreadsheets/d/1yDAaXNsi4Mr5FtRQL4tbmSdIzhx6_m4wkOD7IG-k_eo/edit#gid=1336395716"", ""Science!M:N""), 2, FALSE)"),"Draw a diagram of an atom according to Bohr’s model showing stable electron orbits.")</f>
        <v>Draw a diagram of an atom according to Bohr’s model showing stable electron orbits.</v>
      </c>
      <c r="O46" s="10" t="str">
        <f t="shared" si="3"/>
        <v>LU006388.004</v>
      </c>
      <c r="P46" s="10" t="str">
        <f ca="1">IFERROR(__xludf.DUMMYFUNCTION("VLOOKUP(O46, IMPORTRANGE(""https://docs.google.com/spreadsheets/d/1yDAaXNsi4Mr5FtRQL4tbmSdIzhx6_m4wkOD7IG-k_eo/edit#gid=1336395716"", ""Science!M:N""), 2, FALSE)"),"Compare Bohr’s model with Rutherford’s model in terms of electron stability.")</f>
        <v>Compare Bohr’s model with Rutherford’s model in terms of electron stability.</v>
      </c>
      <c r="Q46" s="10" t="str">
        <f t="shared" si="4"/>
        <v>LU006388.005</v>
      </c>
      <c r="R46" s="10" t="str">
        <f ca="1">IFERROR(__xludf.DUMMYFUNCTION("VLOOKUP(Q46, IMPORTRANGE(""https://docs.google.com/spreadsheets/d/1yDAaXNsi4Mr5FtRQL4tbmSdIzhx6_m4wkOD7IG-k_eo/edit#gid=1336395716"", ""Science!M:N""), 2, FALSE)"),"Assess the strengths and weaknesses of Bohr’s model of the atom.")</f>
        <v>Assess the strengths and weaknesses of Bohr’s model of the atom.</v>
      </c>
      <c r="S46" s="10" t="str">
        <f t="shared" si="5"/>
        <v>LU006388.006</v>
      </c>
      <c r="T46" s="10" t="str">
        <f ca="1">IFERROR(__xludf.DUMMYFUNCTION("VLOOKUP(S46, IMPORTRANGE(""https://docs.google.com/spreadsheets/d/1yDAaXNsi4Mr5FtRQL4tbmSdIzhx6_m4wkOD7IG-k_eo/edit#gid=1336395716"", ""Science!M:N""), 2, FALSE)"),"Create a visual representation of Bohr’s model showing the discrete orbits of electrons.")</f>
        <v>Create a visual representation of Bohr’s model showing the discrete orbits of electrons.</v>
      </c>
      <c r="U46" s="11" t="str">
        <f ca="1">IFERROR(__xludf.DUMMYFUNCTION("ArrayFormula(VLOOKUP(G46, IMPORTRANGE(""https://docs.google.com/spreadsheets/d/1p7R4vtkWt5VOBim4ltsDG9KTzSjrtKXsMtQGXPHyND0/edit#gid=795171502"", ""'Filter 30_05_2024'!A1:M2000""), {2, 3, 4, 5,6,7,8,9,10,11,12,13}, 0))"),"#N/A")</f>
        <v>#N/A</v>
      </c>
      <c r="V46" s="11" t="str">
        <f ca="1">IFERROR(__xludf.DUMMYFUNCTION("""COMPUTED_VALUE"""),"#N/A")</f>
        <v>#N/A</v>
      </c>
      <c r="W46" s="11" t="str">
        <f ca="1">IFERROR(__xludf.DUMMYFUNCTION("""COMPUTED_VALUE"""),"#N/A")</f>
        <v>#N/A</v>
      </c>
      <c r="X46" s="11" t="str">
        <f ca="1">IFERROR(__xludf.DUMMYFUNCTION("""COMPUTED_VALUE"""),"#N/A")</f>
        <v>#N/A</v>
      </c>
      <c r="Y46" s="11" t="str">
        <f ca="1">IFERROR(__xludf.DUMMYFUNCTION("""COMPUTED_VALUE"""),"#N/A")</f>
        <v>#N/A</v>
      </c>
      <c r="Z46" s="12" t="str">
        <f ca="1">IFERROR(__xludf.DUMMYFUNCTION("""COMPUTED_VALUE"""),"#N/A")</f>
        <v>#N/A</v>
      </c>
      <c r="AA46" s="12" t="str">
        <f ca="1">IFERROR(__xludf.DUMMYFUNCTION("""COMPUTED_VALUE"""),"#N/A")</f>
        <v>#N/A</v>
      </c>
      <c r="AB46" s="12" t="str">
        <f ca="1">IFERROR(__xludf.DUMMYFUNCTION("""COMPUTED_VALUE"""),"#N/A")</f>
        <v>#N/A</v>
      </c>
      <c r="AC46" s="12" t="str">
        <f ca="1">IFERROR(__xludf.DUMMYFUNCTION("""COMPUTED_VALUE"""),"#N/A")</f>
        <v>#N/A</v>
      </c>
      <c r="AD46" s="12" t="str">
        <f ca="1">IFERROR(__xludf.DUMMYFUNCTION("""COMPUTED_VALUE"""),"#N/A")</f>
        <v>#N/A</v>
      </c>
      <c r="AE46" s="12" t="str">
        <f ca="1">IFERROR(__xludf.DUMMYFUNCTION("""COMPUTED_VALUE"""),"#N/A")</f>
        <v>#N/A</v>
      </c>
      <c r="AF46" s="12" t="str">
        <f ca="1">IFERROR(__xludf.DUMMYFUNCTION("""COMPUTED_VALUE"""),"#N/A")</f>
        <v>#N/A</v>
      </c>
      <c r="AG46" s="13" t="str">
        <f ca="1">IFERROR(__xludf.DUMMYFUNCTION("ArrayFormula(VLOOKUP(G46, IMPORTRANGE(""https://docs.google.com/spreadsheets/d/1Co934fvtviyaRiMsrIlT05Jaq7iiYq07aLvRr35KA48/edit?gid=173865642#gid=173865642"", ""'G9 Sci_Pri_LU'!G2:V2000""), {3, 4, 5, 6, 7, 8, 9, 10, 11, 12, 13, 14, 15, 16}, 0))"),"LU006387")</f>
        <v>LU006387</v>
      </c>
      <c r="AH46" s="22" t="str">
        <f ca="1">IFERROR(__xludf.DUMMYFUNCTION("""COMPUTED_VALUE"""),"Rutherford's Model of the Atom (Gold Foil Experiment and Nuclear Model)")</f>
        <v>Rutherford's Model of the Atom (Gold Foil Experiment and Nuclear Model)</v>
      </c>
      <c r="AI46" s="13"/>
      <c r="AJ46" s="13"/>
      <c r="AK46" s="13"/>
      <c r="AL46" s="13"/>
      <c r="AM46" s="13"/>
      <c r="AN46" s="13"/>
      <c r="AO46" s="13"/>
      <c r="AP46" s="13"/>
      <c r="AQ46" s="13"/>
      <c r="AR46" s="13"/>
      <c r="AS46" s="13"/>
      <c r="AT46" s="13"/>
    </row>
    <row r="47" spans="1:46">
      <c r="A47" s="8" t="s">
        <v>247</v>
      </c>
      <c r="B47" s="8" t="s">
        <v>47</v>
      </c>
      <c r="C47" s="8" t="s">
        <v>979</v>
      </c>
      <c r="D47" s="8" t="s">
        <v>1441</v>
      </c>
      <c r="E47" s="8" t="s">
        <v>2294</v>
      </c>
      <c r="F47" s="10" t="s">
        <v>2300</v>
      </c>
      <c r="G47" s="114" t="s">
        <v>2302</v>
      </c>
      <c r="H47" s="8" t="str">
        <f ca="1">IFERROR(__xludf.DUMMYFUNCTION("VLOOKUP(G47, IMPORTRANGE(""https://docs.google.com/spreadsheets/d/14deopnvwcrKtEGCKuYXdUHJbeLDZlkiSSWWT0g7x2pM/edit#gid=849066331"", ""LU List Science (Filter)!A:B""), 2, FALSE)"),"Contribution of Neutron in Atomic mass")</f>
        <v>Contribution of Neutron in Atomic mass</v>
      </c>
      <c r="I47" s="10" t="str">
        <f t="shared" si="0"/>
        <v>LU006389.001</v>
      </c>
      <c r="J47" s="10" t="str">
        <f ca="1">IFERROR(__xludf.DUMMYFUNCTION("VLOOKUP(I47, IMPORTRANGE(""https://docs.google.com/spreadsheets/d/1yDAaXNsi4Mr5FtRQL4tbmSdIzhx6_m4wkOD7IG-k_eo/edit#gid=1336395716"", ""Science!M:N""), 2, FALSE)"),"Identify the neutron and its properties.")</f>
        <v>Identify the neutron and its properties.</v>
      </c>
      <c r="K47" s="10" t="str">
        <f t="shared" si="1"/>
        <v>LU006389.002</v>
      </c>
      <c r="L47" s="10" t="str">
        <f ca="1">IFERROR(__xludf.DUMMYFUNCTION("VLOOKUP(K47, IMPORTRANGE(""https://docs.google.com/spreadsheets/d/1yDAaXNsi4Mr5FtRQL4tbmSdIzhx6_m4wkOD7IG-k_eo/edit#gid=1336395716"", ""Science!M:N""), 2, FALSE)"),"Explain the role of neutrons in determining the atomic mass.")</f>
        <v>Explain the role of neutrons in determining the atomic mass.</v>
      </c>
      <c r="M47" s="10" t="str">
        <f t="shared" si="2"/>
        <v>LU006389.003</v>
      </c>
      <c r="N47" s="10" t="str">
        <f ca="1">IFERROR(__xludf.DUMMYFUNCTION("VLOOKUP(M47, IMPORTRANGE(""https://docs.google.com/spreadsheets/d/1yDAaXNsi4Mr5FtRQL4tbmSdIzhx6_m4wkOD7IG-k_eo/edit#gid=1336395716"", ""Science!M:N""), 2, FALSE)"),"Calculate the atomic mass of an atom given the number of protons and neutrons.")</f>
        <v>Calculate the atomic mass of an atom given the number of protons and neutrons.</v>
      </c>
      <c r="O47" s="10" t="str">
        <f t="shared" si="3"/>
        <v>LU006389.004</v>
      </c>
      <c r="P47" s="10" t="str">
        <f ca="1">IFERROR(__xludf.DUMMYFUNCTION("VLOOKUP(O47, IMPORTRANGE(""https://docs.google.com/spreadsheets/d/1yDAaXNsi4Mr5FtRQL4tbmSdIzhx6_m4wkOD7IG-k_eo/edit#gid=1336395716"", ""Science!M:N""), 2, FALSE)"),"Analyze the effect of neutrons on the stability of an atom.")</f>
        <v>Analyze the effect of neutrons on the stability of an atom.</v>
      </c>
      <c r="Q47" s="10" t="str">
        <f t="shared" si="4"/>
        <v>LU006389.005</v>
      </c>
      <c r="R47" s="10" t="str">
        <f ca="1">IFERROR(__xludf.DUMMYFUNCTION("VLOOKUP(Q47, IMPORTRANGE(""https://docs.google.com/spreadsheets/d/1yDAaXNsi4Mr5FtRQL4tbmSdIzhx6_m4wkOD7IG-k_eo/edit#gid=1336395716"", ""Science!M:N""), 2, FALSE)"),"Evaluate the importance of neutrons in the context of atomic structure and stability.")</f>
        <v>Evaluate the importance of neutrons in the context of atomic structure and stability.</v>
      </c>
      <c r="S47" s="10" t="str">
        <f t="shared" si="5"/>
        <v>LU006389.006</v>
      </c>
      <c r="T47" s="10" t="str">
        <f ca="1">IFERROR(__xludf.DUMMYFUNCTION("VLOOKUP(S47, IMPORTRANGE(""https://docs.google.com/spreadsheets/d/1yDAaXNsi4Mr5FtRQL4tbmSdIzhx6_m4wkOD7IG-k_eo/edit#gid=1336395716"", ""Science!M:N""), 2, FALSE)"),"Develop a chart that shows the contribution of protons and neutrons to the atomic mass of various elements.")</f>
        <v>Develop a chart that shows the contribution of protons and neutrons to the atomic mass of various elements.</v>
      </c>
      <c r="U47" s="11" t="str">
        <f ca="1">IFERROR(__xludf.DUMMYFUNCTION("ArrayFormula(VLOOKUP(G47, IMPORTRANGE(""https://docs.google.com/spreadsheets/d/1p7R4vtkWt5VOBim4ltsDG9KTzSjrtKXsMtQGXPHyND0/edit#gid=795171502"", ""'Filter 30_05_2024'!A1:M2000""), {2, 3, 4, 5,6,7,8,9,10,11,12,13}, 0))"),"#N/A")</f>
        <v>#N/A</v>
      </c>
      <c r="V47" s="11" t="str">
        <f ca="1">IFERROR(__xludf.DUMMYFUNCTION("""COMPUTED_VALUE"""),"#N/A")</f>
        <v>#N/A</v>
      </c>
      <c r="W47" s="11" t="str">
        <f ca="1">IFERROR(__xludf.DUMMYFUNCTION("""COMPUTED_VALUE"""),"#N/A")</f>
        <v>#N/A</v>
      </c>
      <c r="X47" s="11" t="str">
        <f ca="1">IFERROR(__xludf.DUMMYFUNCTION("""COMPUTED_VALUE"""),"#N/A")</f>
        <v>#N/A</v>
      </c>
      <c r="Y47" s="11" t="str">
        <f ca="1">IFERROR(__xludf.DUMMYFUNCTION("""COMPUTED_VALUE"""),"#N/A")</f>
        <v>#N/A</v>
      </c>
      <c r="Z47" s="12" t="str">
        <f ca="1">IFERROR(__xludf.DUMMYFUNCTION("""COMPUTED_VALUE"""),"#N/A")</f>
        <v>#N/A</v>
      </c>
      <c r="AA47" s="12" t="str">
        <f ca="1">IFERROR(__xludf.DUMMYFUNCTION("""COMPUTED_VALUE"""),"#N/A")</f>
        <v>#N/A</v>
      </c>
      <c r="AB47" s="12" t="str">
        <f ca="1">IFERROR(__xludf.DUMMYFUNCTION("""COMPUTED_VALUE"""),"#N/A")</f>
        <v>#N/A</v>
      </c>
      <c r="AC47" s="12" t="str">
        <f ca="1">IFERROR(__xludf.DUMMYFUNCTION("""COMPUTED_VALUE"""),"#N/A")</f>
        <v>#N/A</v>
      </c>
      <c r="AD47" s="12" t="str">
        <f ca="1">IFERROR(__xludf.DUMMYFUNCTION("""COMPUTED_VALUE"""),"#N/A")</f>
        <v>#N/A</v>
      </c>
      <c r="AE47" s="12" t="str">
        <f ca="1">IFERROR(__xludf.DUMMYFUNCTION("""COMPUTED_VALUE"""),"#N/A")</f>
        <v>#N/A</v>
      </c>
      <c r="AF47" s="12" t="str">
        <f ca="1">IFERROR(__xludf.DUMMYFUNCTION("""COMPUTED_VALUE"""),"#N/A")</f>
        <v>#N/A</v>
      </c>
      <c r="AG47" s="13" t="str">
        <f ca="1">IFERROR(__xludf.DUMMYFUNCTION("ArrayFormula(VLOOKUP(G47, IMPORTRANGE(""https://docs.google.com/spreadsheets/d/1Co934fvtviyaRiMsrIlT05Jaq7iiYq07aLvRr35KA48/edit?gid=173865642#gid=173865642"", ""'G9 Sci_Pri_LU'!G2:V2000""), {3, 4, 5, 6, 7, 8, 9, 10, 11, 12, 13, 14, 15, 16}, 0))"),"LU006385")</f>
        <v>LU006385</v>
      </c>
      <c r="AH47" s="22" t="str">
        <f ca="1">IFERROR(__xludf.DUMMYFUNCTION("""COMPUTED_VALUE"""),"Subatomic particles of Atoms (Electron and Proton)")</f>
        <v>Subatomic particles of Atoms (Electron and Proton)</v>
      </c>
      <c r="AI47" s="13"/>
      <c r="AJ47" s="13"/>
      <c r="AK47" s="13"/>
      <c r="AL47" s="13"/>
      <c r="AM47" s="13"/>
      <c r="AN47" s="13"/>
      <c r="AO47" s="13"/>
      <c r="AP47" s="13"/>
      <c r="AQ47" s="13"/>
      <c r="AR47" s="13"/>
      <c r="AS47" s="13"/>
      <c r="AT47" s="13"/>
    </row>
    <row r="48" spans="1:46">
      <c r="A48" s="8" t="s">
        <v>247</v>
      </c>
      <c r="B48" s="8" t="s">
        <v>47</v>
      </c>
      <c r="C48" s="8" t="s">
        <v>979</v>
      </c>
      <c r="D48" s="8" t="s">
        <v>1441</v>
      </c>
      <c r="E48" s="8" t="s">
        <v>2294</v>
      </c>
      <c r="F48" s="10" t="s">
        <v>2303</v>
      </c>
      <c r="G48" s="114" t="s">
        <v>2304</v>
      </c>
      <c r="H48" s="8" t="str">
        <f ca="1">IFERROR(__xludf.DUMMYFUNCTION("VLOOKUP(G48, IMPORTRANGE(""https://docs.google.com/spreadsheets/d/14deopnvwcrKtEGCKuYXdUHJbeLDZlkiSSWWT0g7x2pM/edit#gid=849066331"", ""LU List Science (Filter)!A:B""), 2, FALSE)"),"Electron Distribution in Orbits (Maximum Capacity Rules and Shell Filling Order)")</f>
        <v>Electron Distribution in Orbits (Maximum Capacity Rules and Shell Filling Order)</v>
      </c>
      <c r="I48" s="10" t="str">
        <f t="shared" si="0"/>
        <v>LU006390.001</v>
      </c>
      <c r="J48" s="10" t="str">
        <f ca="1">IFERROR(__xludf.DUMMYFUNCTION("VLOOKUP(I48, IMPORTRANGE(""https://docs.google.com/spreadsheets/d/1yDAaXNsi4Mr5FtRQL4tbmSdIzhx6_m4wkOD7IG-k_eo/edit#gid=1336395716"", ""Science!M:N""), 2, FALSE)"),"State the rules for electron distribution in orbits.")</f>
        <v>State the rules for electron distribution in orbits.</v>
      </c>
      <c r="K48" s="10" t="str">
        <f t="shared" si="1"/>
        <v>LU006390.002</v>
      </c>
      <c r="L48" s="10" t="str">
        <f ca="1">IFERROR(__xludf.DUMMYFUNCTION("VLOOKUP(K48, IMPORTRANGE(""https://docs.google.com/spreadsheets/d/1yDAaXNsi4Mr5FtRQL4tbmSdIzhx6_m4wkOD7IG-k_eo/edit#gid=1336395716"", ""Science!M:N""), 2, FALSE)"),"Explain the maximum capacity rules for different electron shells.")</f>
        <v>Explain the maximum capacity rules for different electron shells.</v>
      </c>
      <c r="M48" s="10" t="str">
        <f t="shared" si="2"/>
        <v>LU006390.003</v>
      </c>
      <c r="N48" s="10" t="str">
        <f ca="1">IFERROR(__xludf.DUMMYFUNCTION("VLOOKUP(M48, IMPORTRANGE(""https://docs.google.com/spreadsheets/d/1yDAaXNsi4Mr5FtRQL4tbmSdIzhx6_m4wkOD7IG-k_eo/edit#gid=1336395716"", ""Science!M:N""), 2, FALSE)"),"Write the electron configuration for the first 20 elements based on the shell filling order.")</f>
        <v>Write the electron configuration for the first 20 elements based on the shell filling order.</v>
      </c>
      <c r="O48" s="10" t="str">
        <f t="shared" si="3"/>
        <v>LU006390.004</v>
      </c>
      <c r="P48" s="10" t="str">
        <f ca="1">IFERROR(__xludf.DUMMYFUNCTION("VLOOKUP(O48, IMPORTRANGE(""https://docs.google.com/spreadsheets/d/1yDAaXNsi4Mr5FtRQL4tbmSdIzhx6_m4wkOD7IG-k_eo/edit#gid=1336395716"", ""Science!M:N""), 2, FALSE)"),"Analyze the pattern of electron distribution in the periodic table.")</f>
        <v>Analyze the pattern of electron distribution in the periodic table.</v>
      </c>
      <c r="Q48" s="10" t="str">
        <f t="shared" si="4"/>
        <v>LU006390.005</v>
      </c>
      <c r="R48" s="10" t="str">
        <f ca="1">IFERROR(__xludf.DUMMYFUNCTION("VLOOKUP(Q48, IMPORTRANGE(""https://docs.google.com/spreadsheets/d/1yDAaXNsi4Mr5FtRQL4tbmSdIzhx6_m4wkOD7IG-k_eo/edit#gid=1336395716"", ""Science!M:N""), 2, FALSE)"),"Assess the significance of understanding electron distribution in chemical bonding.")</f>
        <v>Assess the significance of understanding electron distribution in chemical bonding.</v>
      </c>
      <c r="S48" s="10" t="str">
        <f t="shared" si="5"/>
        <v>LU006390.006</v>
      </c>
      <c r="T48" s="10" t="str">
        <f ca="1">IFERROR(__xludf.DUMMYFUNCTION("VLOOKUP(S48, IMPORTRANGE(""https://docs.google.com/spreadsheets/d/1yDAaXNsi4Mr5FtRQL4tbmSdIzhx6_m4wkOD7IG-k_eo/edit#gid=1336395716"", ""Science!M:N""), 2, FALSE)"),"Create a step-by-step guide for determining the electron configuration of elements.")</f>
        <v>Create a step-by-step guide for determining the electron configuration of elements.</v>
      </c>
      <c r="U48" s="11" t="str">
        <f ca="1">IFERROR(__xludf.DUMMYFUNCTION("ArrayFormula(VLOOKUP(G48, IMPORTRANGE(""https://docs.google.com/spreadsheets/d/1p7R4vtkWt5VOBim4ltsDG9KTzSjrtKXsMtQGXPHyND0/edit#gid=795171502"", ""'Filter 30_05_2024'!A1:M2000""), {2, 3, 4, 5,6,7,8,9,10,11,12,13}, 0))"),"#N/A")</f>
        <v>#N/A</v>
      </c>
      <c r="V48" s="11" t="str">
        <f ca="1">IFERROR(__xludf.DUMMYFUNCTION("""COMPUTED_VALUE"""),"#N/A")</f>
        <v>#N/A</v>
      </c>
      <c r="W48" s="11" t="str">
        <f ca="1">IFERROR(__xludf.DUMMYFUNCTION("""COMPUTED_VALUE"""),"#N/A")</f>
        <v>#N/A</v>
      </c>
      <c r="X48" s="11" t="str">
        <f ca="1">IFERROR(__xludf.DUMMYFUNCTION("""COMPUTED_VALUE"""),"#N/A")</f>
        <v>#N/A</v>
      </c>
      <c r="Y48" s="11" t="str">
        <f ca="1">IFERROR(__xludf.DUMMYFUNCTION("""COMPUTED_VALUE"""),"#N/A")</f>
        <v>#N/A</v>
      </c>
      <c r="Z48" s="12" t="str">
        <f ca="1">IFERROR(__xludf.DUMMYFUNCTION("""COMPUTED_VALUE"""),"#N/A")</f>
        <v>#N/A</v>
      </c>
      <c r="AA48" s="12" t="str">
        <f ca="1">IFERROR(__xludf.DUMMYFUNCTION("""COMPUTED_VALUE"""),"#N/A")</f>
        <v>#N/A</v>
      </c>
      <c r="AB48" s="12" t="str">
        <f ca="1">IFERROR(__xludf.DUMMYFUNCTION("""COMPUTED_VALUE"""),"#N/A")</f>
        <v>#N/A</v>
      </c>
      <c r="AC48" s="12" t="str">
        <f ca="1">IFERROR(__xludf.DUMMYFUNCTION("""COMPUTED_VALUE"""),"#N/A")</f>
        <v>#N/A</v>
      </c>
      <c r="AD48" s="12" t="str">
        <f ca="1">IFERROR(__xludf.DUMMYFUNCTION("""COMPUTED_VALUE"""),"#N/A")</f>
        <v>#N/A</v>
      </c>
      <c r="AE48" s="12" t="str">
        <f ca="1">IFERROR(__xludf.DUMMYFUNCTION("""COMPUTED_VALUE"""),"#N/A")</f>
        <v>#N/A</v>
      </c>
      <c r="AF48" s="12" t="str">
        <f ca="1">IFERROR(__xludf.DUMMYFUNCTION("""COMPUTED_VALUE"""),"#N/A")</f>
        <v>#N/A</v>
      </c>
      <c r="AG48" s="13" t="str">
        <f ca="1">IFERROR(__xludf.DUMMYFUNCTION("ArrayFormula(VLOOKUP(G48, IMPORTRANGE(""https://docs.google.com/spreadsheets/d/1Co934fvtviyaRiMsrIlT05Jaq7iiYq07aLvRr35KA48/edit?gid=173865642#gid=173865642"", ""'G9 Sci_Pri_LU'!G2:V2000""), {3, 4, 5, 6, 7, 8, 9, 10, 11, 12, 13, 14, 15, 16}, 0))"),"LU006388")</f>
        <v>LU006388</v>
      </c>
      <c r="AH48" s="22" t="str">
        <f ca="1">IFERROR(__xludf.DUMMYFUNCTION("""COMPUTED_VALUE"""),"Bohr’s Model of the Atom (Stable Electron Orbits)")</f>
        <v>Bohr’s Model of the Atom (Stable Electron Orbits)</v>
      </c>
      <c r="AI48" s="13"/>
      <c r="AJ48" s="13"/>
      <c r="AK48" s="13"/>
      <c r="AL48" s="13"/>
      <c r="AM48" s="13"/>
      <c r="AN48" s="13"/>
      <c r="AO48" s="13"/>
      <c r="AP48" s="13"/>
      <c r="AQ48" s="13"/>
      <c r="AR48" s="13"/>
      <c r="AS48" s="13"/>
      <c r="AT48" s="13"/>
    </row>
    <row r="49" spans="1:46">
      <c r="A49" s="8" t="s">
        <v>247</v>
      </c>
      <c r="B49" s="8" t="s">
        <v>47</v>
      </c>
      <c r="C49" s="8" t="s">
        <v>979</v>
      </c>
      <c r="D49" s="8" t="s">
        <v>1441</v>
      </c>
      <c r="E49" s="8" t="s">
        <v>2294</v>
      </c>
      <c r="F49" s="10" t="s">
        <v>2303</v>
      </c>
      <c r="G49" s="114" t="s">
        <v>2305</v>
      </c>
      <c r="H49" s="8" t="str">
        <f ca="1">IFERROR(__xludf.DUMMYFUNCTION("VLOOKUP(G49, IMPORTRANGE(""https://docs.google.com/spreadsheets/d/14deopnvwcrKtEGCKuYXdUHJbeLDZlkiSSWWT0g7x2pM/edit#gid=849066331"", ""LU List Science (Filter)!A:B""), 2, FALSE)"),"Significance of Valency in achieving stable electronic configuration (Octet Rule)")</f>
        <v>Significance of Valency in achieving stable electronic configuration (Octet Rule)</v>
      </c>
      <c r="I49" s="10" t="str">
        <f t="shared" si="0"/>
        <v>LU006391.001</v>
      </c>
      <c r="J49" s="10" t="str">
        <f ca="1">IFERROR(__xludf.DUMMYFUNCTION("VLOOKUP(I49, IMPORTRANGE(""https://docs.google.com/spreadsheets/d/1yDAaXNsi4Mr5FtRQL4tbmSdIzhx6_m4wkOD7IG-k_eo/edit#gid=1336395716"", ""Science!M:N""), 2, FALSE)"),"Define valency and the octet rule.")</f>
        <v>Define valency and the octet rule.</v>
      </c>
      <c r="K49" s="10" t="str">
        <f t="shared" si="1"/>
        <v>LU006391.002</v>
      </c>
      <c r="L49" s="10" t="str">
        <f ca="1">IFERROR(__xludf.DUMMYFUNCTION("VLOOKUP(K49, IMPORTRANGE(""https://docs.google.com/spreadsheets/d/1yDAaXNsi4Mr5FtRQL4tbmSdIzhx6_m4wkOD7IG-k_eo/edit#gid=1336395716"", ""Science!M:N""), 2, FALSE)"),"Explain how valency is related to achieving a stable electronic configuration.")</f>
        <v>Explain how valency is related to achieving a stable electronic configuration.</v>
      </c>
      <c r="M49" s="10" t="str">
        <f t="shared" si="2"/>
        <v>LU006391.003</v>
      </c>
      <c r="N49" s="10" t="str">
        <f ca="1">IFERROR(__xludf.DUMMYFUNCTION("VLOOKUP(M49, IMPORTRANGE(""https://docs.google.com/spreadsheets/d/1yDAaXNsi4Mr5FtRQL4tbmSdIzhx6_m4wkOD7IG-k_eo/edit#gid=1336395716"", ""Science!M:N""), 2, FALSE)"),"Determine the valency of given elements using the octet rule.")</f>
        <v>Determine the valency of given elements using the octet rule.</v>
      </c>
      <c r="O49" s="10" t="str">
        <f t="shared" si="3"/>
        <v>LU006391.004</v>
      </c>
      <c r="P49" s="10" t="str">
        <f ca="1">IFERROR(__xludf.DUMMYFUNCTION("VLOOKUP(O49, IMPORTRANGE(""https://docs.google.com/spreadsheets/d/1yDAaXNsi4Mr5FtRQL4tbmSdIzhx6_m4wkOD7IG-k_eo/edit#gid=1336395716"", ""Science!M:N""), 2, FALSE)"),"Analyze the role of valency in the formation of chemical compounds.")</f>
        <v>Analyze the role of valency in the formation of chemical compounds.</v>
      </c>
      <c r="Q49" s="10" t="str">
        <f t="shared" si="4"/>
        <v>LU006391.005</v>
      </c>
      <c r="R49" s="10" t="str">
        <f ca="1">IFERROR(__xludf.DUMMYFUNCTION("VLOOKUP(Q49, IMPORTRANGE(""https://docs.google.com/spreadsheets/d/1yDAaXNsi4Mr5FtRQL4tbmSdIzhx6_m4wkOD7IG-k_eo/edit#gid=1336395716"", ""Science!M:N""), 2, FALSE)"),"Evaluate the importance of the octet rule in predicting chemical reactions.")</f>
        <v>Evaluate the importance of the octet rule in predicting chemical reactions.</v>
      </c>
      <c r="S49" s="10" t="str">
        <f t="shared" si="5"/>
        <v>LU006391.006</v>
      </c>
      <c r="T49" s="10" t="str">
        <f ca="1">IFERROR(__xludf.DUMMYFUNCTION("VLOOKUP(S49, IMPORTRANGE(""https://docs.google.com/spreadsheets/d/1yDAaXNsi4Mr5FtRQL4tbmSdIzhx6_m4wkOD7IG-k_eo/edit#gid=1336395716"", ""Science!M:N""), 2, FALSE)"),"Develop a visual aid that illustrates the concept of valency and the octet rule.")</f>
        <v>Develop a visual aid that illustrates the concept of valency and the octet rule.</v>
      </c>
      <c r="U49" s="11" t="str">
        <f ca="1">IFERROR(__xludf.DUMMYFUNCTION("ArrayFormula(VLOOKUP(G49, IMPORTRANGE(""https://docs.google.com/spreadsheets/d/1p7R4vtkWt5VOBim4ltsDG9KTzSjrtKXsMtQGXPHyND0/edit#gid=795171502"", ""'Filter 30_05_2024'!A1:M2000""), {2, 3, 4, 5,6,7,8,9,10,11,12,13}, 0))"),"#N/A")</f>
        <v>#N/A</v>
      </c>
      <c r="V49" s="11" t="str">
        <f ca="1">IFERROR(__xludf.DUMMYFUNCTION("""COMPUTED_VALUE"""),"#N/A")</f>
        <v>#N/A</v>
      </c>
      <c r="W49" s="11" t="str">
        <f ca="1">IFERROR(__xludf.DUMMYFUNCTION("""COMPUTED_VALUE"""),"#N/A")</f>
        <v>#N/A</v>
      </c>
      <c r="X49" s="11" t="str">
        <f ca="1">IFERROR(__xludf.DUMMYFUNCTION("""COMPUTED_VALUE"""),"#N/A")</f>
        <v>#N/A</v>
      </c>
      <c r="Y49" s="11" t="str">
        <f ca="1">IFERROR(__xludf.DUMMYFUNCTION("""COMPUTED_VALUE"""),"#N/A")</f>
        <v>#N/A</v>
      </c>
      <c r="Z49" s="12" t="str">
        <f ca="1">IFERROR(__xludf.DUMMYFUNCTION("""COMPUTED_VALUE"""),"#N/A")</f>
        <v>#N/A</v>
      </c>
      <c r="AA49" s="12" t="str">
        <f ca="1">IFERROR(__xludf.DUMMYFUNCTION("""COMPUTED_VALUE"""),"#N/A")</f>
        <v>#N/A</v>
      </c>
      <c r="AB49" s="12" t="str">
        <f ca="1">IFERROR(__xludf.DUMMYFUNCTION("""COMPUTED_VALUE"""),"#N/A")</f>
        <v>#N/A</v>
      </c>
      <c r="AC49" s="12" t="str">
        <f ca="1">IFERROR(__xludf.DUMMYFUNCTION("""COMPUTED_VALUE"""),"#N/A")</f>
        <v>#N/A</v>
      </c>
      <c r="AD49" s="12" t="str">
        <f ca="1">IFERROR(__xludf.DUMMYFUNCTION("""COMPUTED_VALUE"""),"#N/A")</f>
        <v>#N/A</v>
      </c>
      <c r="AE49" s="12" t="str">
        <f ca="1">IFERROR(__xludf.DUMMYFUNCTION("""COMPUTED_VALUE"""),"#N/A")</f>
        <v>#N/A</v>
      </c>
      <c r="AF49" s="12" t="str">
        <f ca="1">IFERROR(__xludf.DUMMYFUNCTION("""COMPUTED_VALUE"""),"#N/A")</f>
        <v>#N/A</v>
      </c>
      <c r="AG49" s="13" t="str">
        <f ca="1">IFERROR(__xludf.DUMMYFUNCTION("ArrayFormula(VLOOKUP(G49, IMPORTRANGE(""https://docs.google.com/spreadsheets/d/1Co934fvtviyaRiMsrIlT05Jaq7iiYq07aLvRr35KA48/edit?gid=173865642#gid=173865642"", ""'G9 Sci_Pri_LU'!G2:V2000""), {3, 4, 5, 6, 7, 8, 9, 10, 11, 12, 13, 14, 15, 16}, 0))"),"LU006390")</f>
        <v>LU006390</v>
      </c>
      <c r="AH49" s="22" t="str">
        <f ca="1">IFERROR(__xludf.DUMMYFUNCTION("""COMPUTED_VALUE"""),"Electron Distribution in Orbits (Maximum Capacity Rules and Shell Filling Order)")</f>
        <v>Electron Distribution in Orbits (Maximum Capacity Rules and Shell Filling Order)</v>
      </c>
      <c r="AI49" s="13"/>
      <c r="AJ49" s="13"/>
      <c r="AK49" s="13"/>
      <c r="AL49" s="13"/>
      <c r="AM49" s="13"/>
      <c r="AN49" s="13"/>
      <c r="AO49" s="13"/>
      <c r="AP49" s="13"/>
      <c r="AQ49" s="13"/>
      <c r="AR49" s="13"/>
      <c r="AS49" s="13"/>
      <c r="AT49" s="13"/>
    </row>
    <row r="50" spans="1:46">
      <c r="A50" s="8" t="s">
        <v>247</v>
      </c>
      <c r="B50" s="8" t="s">
        <v>47</v>
      </c>
      <c r="C50" s="8" t="s">
        <v>979</v>
      </c>
      <c r="D50" s="8" t="s">
        <v>1441</v>
      </c>
      <c r="E50" s="8" t="s">
        <v>2294</v>
      </c>
      <c r="F50" s="10" t="s">
        <v>2306</v>
      </c>
      <c r="G50" s="114" t="s">
        <v>2307</v>
      </c>
      <c r="H50" s="8" t="str">
        <f ca="1">IFERROR(__xludf.DUMMYFUNCTION("VLOOKUP(G50, IMPORTRANGE(""https://docs.google.com/spreadsheets/d/14deopnvwcrKtEGCKuYXdUHJbeLDZlkiSSWWT0g7x2pM/edit#gid=849066331"", ""LU List Science (Filter)!A:B""), 2, FALSE)"),"Definition of Atomic Number and Mass Number")</f>
        <v>Definition of Atomic Number and Mass Number</v>
      </c>
      <c r="I50" s="10" t="str">
        <f t="shared" si="0"/>
        <v>LU006392.001</v>
      </c>
      <c r="J50" s="10" t="str">
        <f ca="1">IFERROR(__xludf.DUMMYFUNCTION("VLOOKUP(I50, IMPORTRANGE(""https://docs.google.com/spreadsheets/d/1yDAaXNsi4Mr5FtRQL4tbmSdIzhx6_m4wkOD7IG-k_eo/edit#gid=1336395716"", ""Science!M:N""), 2, FALSE)"),"Define atomic number and mass number.")</f>
        <v>Define atomic number and mass number.</v>
      </c>
      <c r="K50" s="10" t="str">
        <f t="shared" si="1"/>
        <v>LU006392.002</v>
      </c>
      <c r="L50" s="10" t="str">
        <f ca="1">IFERROR(__xludf.DUMMYFUNCTION("VLOOKUP(K50, IMPORTRANGE(""https://docs.google.com/spreadsheets/d/1yDAaXNsi4Mr5FtRQL4tbmSdIzhx6_m4wkOD7IG-k_eo/edit#gid=1336395716"", ""Science!M:N""), 2, FALSE)"),"Explain the difference between atomic number and mass number.")</f>
        <v>Explain the difference between atomic number and mass number.</v>
      </c>
      <c r="M50" s="10" t="str">
        <f t="shared" si="2"/>
        <v>LU006392.003</v>
      </c>
      <c r="N50" s="10" t="str">
        <f ca="1">IFERROR(__xludf.DUMMYFUNCTION("VLOOKUP(M50, IMPORTRANGE(""https://docs.google.com/spreadsheets/d/1yDAaXNsi4Mr5FtRQL4tbmSdIzhx6_m4wkOD7IG-k_eo/edit#gid=1336395716"", ""Science!M:N""), 2, FALSE)"),"Calculate the atomic number and mass number of given elements.")</f>
        <v>Calculate the atomic number and mass number of given elements.</v>
      </c>
      <c r="O50" s="10" t="str">
        <f t="shared" si="3"/>
        <v>LU006392.004</v>
      </c>
      <c r="P50" s="10" t="str">
        <f ca="1">IFERROR(__xludf.DUMMYFUNCTION("VLOOKUP(O50, IMPORTRANGE(""https://docs.google.com/spreadsheets/d/1yDAaXNsi4Mr5FtRQL4tbmSdIzhx6_m4wkOD7IG-k_eo/edit#gid=1336395716"", ""Science!M:N""), 2, FALSE)"),"Analyze how the atomic number and mass number determine the identity and mass of an element.")</f>
        <v>Analyze how the atomic number and mass number determine the identity and mass of an element.</v>
      </c>
      <c r="Q50" s="10" t="str">
        <f t="shared" si="4"/>
        <v>LU006392.005</v>
      </c>
      <c r="R50" s="10" t="str">
        <f ca="1">IFERROR(__xludf.DUMMYFUNCTION("VLOOKUP(Q50, IMPORTRANGE(""https://docs.google.com/spreadsheets/d/1yDAaXNsi4Mr5FtRQL4tbmSdIzhx6_m4wkOD7IG-k_eo/edit#gid=1336395716"", ""Science!M:N""), 2, FALSE)"),"Evaluate the role of atomic number and mass number in the periodic table.")</f>
        <v>Evaluate the role of atomic number and mass number in the periodic table.</v>
      </c>
      <c r="S50" s="10" t="str">
        <f t="shared" si="5"/>
        <v>LU006392.006</v>
      </c>
      <c r="T50" s="10" t="str">
        <f ca="1">IFERROR(__xludf.DUMMYFUNCTION("VLOOKUP(S50, IMPORTRANGE(""https://docs.google.com/spreadsheets/d/1yDAaXNsi4Mr5FtRQL4tbmSdIzhx6_m4wkOD7IG-k_eo/edit#gid=1336395716"", ""Science!M:N""), 2, FALSE)"),"Create a chart that lists elements with their atomic number, mass number, and corresponding atomic structure.")</f>
        <v>Create a chart that lists elements with their atomic number, mass number, and corresponding atomic structure.</v>
      </c>
      <c r="U50" s="11" t="str">
        <f ca="1">IFERROR(__xludf.DUMMYFUNCTION("ArrayFormula(VLOOKUP(G50, IMPORTRANGE(""https://docs.google.com/spreadsheets/d/1p7R4vtkWt5VOBim4ltsDG9KTzSjrtKXsMtQGXPHyND0/edit#gid=795171502"", ""'Filter 30_05_2024'!A1:M2000""), {2, 3, 4, 5,6,7,8,9,10,11,12,13}, 0))"),"#N/A")</f>
        <v>#N/A</v>
      </c>
      <c r="V50" s="11" t="str">
        <f ca="1">IFERROR(__xludf.DUMMYFUNCTION("""COMPUTED_VALUE"""),"#N/A")</f>
        <v>#N/A</v>
      </c>
      <c r="W50" s="11" t="str">
        <f ca="1">IFERROR(__xludf.DUMMYFUNCTION("""COMPUTED_VALUE"""),"#N/A")</f>
        <v>#N/A</v>
      </c>
      <c r="X50" s="11" t="str">
        <f ca="1">IFERROR(__xludf.DUMMYFUNCTION("""COMPUTED_VALUE"""),"#N/A")</f>
        <v>#N/A</v>
      </c>
      <c r="Y50" s="11" t="str">
        <f ca="1">IFERROR(__xludf.DUMMYFUNCTION("""COMPUTED_VALUE"""),"#N/A")</f>
        <v>#N/A</v>
      </c>
      <c r="Z50" s="12" t="str">
        <f ca="1">IFERROR(__xludf.DUMMYFUNCTION("""COMPUTED_VALUE"""),"#N/A")</f>
        <v>#N/A</v>
      </c>
      <c r="AA50" s="12" t="str">
        <f ca="1">IFERROR(__xludf.DUMMYFUNCTION("""COMPUTED_VALUE"""),"#N/A")</f>
        <v>#N/A</v>
      </c>
      <c r="AB50" s="12" t="str">
        <f ca="1">IFERROR(__xludf.DUMMYFUNCTION("""COMPUTED_VALUE"""),"#N/A")</f>
        <v>#N/A</v>
      </c>
      <c r="AC50" s="12" t="str">
        <f ca="1">IFERROR(__xludf.DUMMYFUNCTION("""COMPUTED_VALUE"""),"#N/A")</f>
        <v>#N/A</v>
      </c>
      <c r="AD50" s="12" t="str">
        <f ca="1">IFERROR(__xludf.DUMMYFUNCTION("""COMPUTED_VALUE"""),"#N/A")</f>
        <v>#N/A</v>
      </c>
      <c r="AE50" s="12" t="str">
        <f ca="1">IFERROR(__xludf.DUMMYFUNCTION("""COMPUTED_VALUE"""),"#N/A")</f>
        <v>#N/A</v>
      </c>
      <c r="AF50" s="12" t="str">
        <f ca="1">IFERROR(__xludf.DUMMYFUNCTION("""COMPUTED_VALUE"""),"#N/A")</f>
        <v>#N/A</v>
      </c>
      <c r="AG50" s="13" t="str">
        <f ca="1">IFERROR(__xludf.DUMMYFUNCTION("ArrayFormula(VLOOKUP(G50, IMPORTRANGE(""https://docs.google.com/spreadsheets/d/1Co934fvtviyaRiMsrIlT05Jaq7iiYq07aLvRr35KA48/edit?gid=173865642#gid=173865642"", ""'G9 Sci_Pri_LU'!G2:V2000""), {3, 4, 5, 6, 7, 8, 9, 10, 11, 12, 13, 14, 15, 16}, 0))"),"LU006389")</f>
        <v>LU006389</v>
      </c>
      <c r="AH50" s="22" t="str">
        <f ca="1">IFERROR(__xludf.DUMMYFUNCTION("""COMPUTED_VALUE"""),"Contribution of Neutron in Atomic mass")</f>
        <v>Contribution of Neutron in Atomic mass</v>
      </c>
      <c r="AI50" s="13"/>
      <c r="AJ50" s="13"/>
      <c r="AK50" s="13"/>
      <c r="AL50" s="13"/>
      <c r="AM50" s="13"/>
      <c r="AN50" s="13"/>
      <c r="AO50" s="13"/>
      <c r="AP50" s="13"/>
      <c r="AQ50" s="13"/>
      <c r="AR50" s="13"/>
      <c r="AS50" s="13"/>
      <c r="AT50" s="13"/>
    </row>
    <row r="51" spans="1:46">
      <c r="A51" s="8" t="s">
        <v>247</v>
      </c>
      <c r="B51" s="8" t="s">
        <v>47</v>
      </c>
      <c r="C51" s="8" t="s">
        <v>979</v>
      </c>
      <c r="D51" s="8" t="s">
        <v>1441</v>
      </c>
      <c r="E51" s="8" t="s">
        <v>2294</v>
      </c>
      <c r="F51" s="10" t="s">
        <v>2306</v>
      </c>
      <c r="G51" s="114" t="s">
        <v>2308</v>
      </c>
      <c r="H51" s="8" t="str">
        <f ca="1">IFERROR(__xludf.DUMMYFUNCTION("VLOOKUP(G51, IMPORTRANGE(""https://docs.google.com/spreadsheets/d/14deopnvwcrKtEGCKuYXdUHJbeLDZlkiSSWWT0g7x2pM/edit#gid=849066331"", ""LU List Science (Filter)!A:B""), 2, FALSE)"),"Definition of Isotopes and Isobars")</f>
        <v>Definition of Isotopes and Isobars</v>
      </c>
      <c r="I51" s="10" t="str">
        <f t="shared" si="0"/>
        <v>LU006393.001</v>
      </c>
      <c r="J51" s="10" t="str">
        <f ca="1">IFERROR(__xludf.DUMMYFUNCTION("VLOOKUP(I51, IMPORTRANGE(""https://docs.google.com/spreadsheets/d/1yDAaXNsi4Mr5FtRQL4tbmSdIzhx6_m4wkOD7IG-k_eo/edit#gid=1336395716"", ""Science!M:N""), 2, FALSE)"),"Define isotopes and isobars.")</f>
        <v>Define isotopes and isobars.</v>
      </c>
      <c r="K51" s="10" t="str">
        <f t="shared" si="1"/>
        <v>LU006393.002</v>
      </c>
      <c r="L51" s="10" t="str">
        <f ca="1">IFERROR(__xludf.DUMMYFUNCTION("VLOOKUP(K51, IMPORTRANGE(""https://docs.google.com/spreadsheets/d/1yDAaXNsi4Mr5FtRQL4tbmSdIzhx6_m4wkOD7IG-k_eo/edit#gid=1336395716"", ""Science!M:N""), 2, FALSE)"),"Explain the differences between isotopes and isobars with examples.")</f>
        <v>Explain the differences between isotopes and isobars with examples.</v>
      </c>
      <c r="M51" s="10" t="str">
        <f t="shared" si="2"/>
        <v>LU006393.003</v>
      </c>
      <c r="N51" s="10" t="str">
        <f ca="1">IFERROR(__xludf.DUMMYFUNCTION("VLOOKUP(M51, IMPORTRANGE(""https://docs.google.com/spreadsheets/d/1yDAaXNsi4Mr5FtRQL4tbmSdIzhx6_m4wkOD7IG-k_eo/edit#gid=1336395716"", ""Science!M:N""), 2, FALSE)"),"Identify isotopes and isobars from given atomic data.")</f>
        <v>Identify isotopes and isobars from given atomic data.</v>
      </c>
      <c r="O51" s="10" t="str">
        <f t="shared" si="3"/>
        <v>LU006393.004</v>
      </c>
      <c r="P51" s="10" t="str">
        <f ca="1">IFERROR(__xludf.DUMMYFUNCTION("VLOOKUP(O51, IMPORTRANGE(""https://docs.google.com/spreadsheets/d/1yDAaXNsi4Mr5FtRQL4tbmSdIzhx6_m4wkOD7IG-k_eo/edit#gid=1336395716"", ""Science!M:N""), 2, FALSE)"),"Compare the physical and chemical properties of isotopes and isobars.")</f>
        <v>Compare the physical and chemical properties of isotopes and isobars.</v>
      </c>
      <c r="Q51" s="10" t="str">
        <f t="shared" si="4"/>
        <v>LU006393.005</v>
      </c>
      <c r="R51" s="10" t="str">
        <f ca="1">IFERROR(__xludf.DUMMYFUNCTION("VLOOKUP(Q51, IMPORTRANGE(""https://docs.google.com/spreadsheets/d/1yDAaXNsi4Mr5FtRQL4tbmSdIzhx6_m4wkOD7IG-k_eo/edit#gid=1336395716"", ""Science!M:N""), 2, FALSE)"),"Evaluate the applications of isotopes and isobars in various fields.")</f>
        <v>Evaluate the applications of isotopes and isobars in various fields.</v>
      </c>
      <c r="S51" s="10" t="str">
        <f t="shared" si="5"/>
        <v>LU006393.006</v>
      </c>
      <c r="T51" s="10" t="str">
        <f ca="1">IFERROR(__xludf.DUMMYFUNCTION("VLOOKUP(S51, IMPORTRANGE(""https://docs.google.com/spreadsheets/d/1yDAaXNsi4Mr5FtRQL4tbmSdIzhx6_m4wkOD7IG-k_eo/edit#gid=1336395716"", ""Science!M:N""), 2, FALSE)"),"Develop a presentation that explains the concept of isotopes and isobars and their significance.")</f>
        <v>Develop a presentation that explains the concept of isotopes and isobars and their significance.</v>
      </c>
      <c r="U51" s="11" t="str">
        <f ca="1">IFERROR(__xludf.DUMMYFUNCTION("ArrayFormula(VLOOKUP(G51, IMPORTRANGE(""https://docs.google.com/spreadsheets/d/1p7R4vtkWt5VOBim4ltsDG9KTzSjrtKXsMtQGXPHyND0/edit#gid=795171502"", ""'Filter 30_05_2024'!A1:M2000""), {2, 3, 4, 5,6,7,8,9,10,11,12,13}, 0))"),"#N/A")</f>
        <v>#N/A</v>
      </c>
      <c r="V51" s="11" t="str">
        <f ca="1">IFERROR(__xludf.DUMMYFUNCTION("""COMPUTED_VALUE"""),"#N/A")</f>
        <v>#N/A</v>
      </c>
      <c r="W51" s="11" t="str">
        <f ca="1">IFERROR(__xludf.DUMMYFUNCTION("""COMPUTED_VALUE"""),"#N/A")</f>
        <v>#N/A</v>
      </c>
      <c r="X51" s="11" t="str">
        <f ca="1">IFERROR(__xludf.DUMMYFUNCTION("""COMPUTED_VALUE"""),"#N/A")</f>
        <v>#N/A</v>
      </c>
      <c r="Y51" s="11" t="str">
        <f ca="1">IFERROR(__xludf.DUMMYFUNCTION("""COMPUTED_VALUE"""),"#N/A")</f>
        <v>#N/A</v>
      </c>
      <c r="Z51" s="12" t="str">
        <f ca="1">IFERROR(__xludf.DUMMYFUNCTION("""COMPUTED_VALUE"""),"#N/A")</f>
        <v>#N/A</v>
      </c>
      <c r="AA51" s="12" t="str">
        <f ca="1">IFERROR(__xludf.DUMMYFUNCTION("""COMPUTED_VALUE"""),"#N/A")</f>
        <v>#N/A</v>
      </c>
      <c r="AB51" s="12" t="str">
        <f ca="1">IFERROR(__xludf.DUMMYFUNCTION("""COMPUTED_VALUE"""),"#N/A")</f>
        <v>#N/A</v>
      </c>
      <c r="AC51" s="12" t="str">
        <f ca="1">IFERROR(__xludf.DUMMYFUNCTION("""COMPUTED_VALUE"""),"#N/A")</f>
        <v>#N/A</v>
      </c>
      <c r="AD51" s="12" t="str">
        <f ca="1">IFERROR(__xludf.DUMMYFUNCTION("""COMPUTED_VALUE"""),"#N/A")</f>
        <v>#N/A</v>
      </c>
      <c r="AE51" s="12" t="str">
        <f ca="1">IFERROR(__xludf.DUMMYFUNCTION("""COMPUTED_VALUE"""),"#N/A")</f>
        <v>#N/A</v>
      </c>
      <c r="AF51" s="12" t="str">
        <f ca="1">IFERROR(__xludf.DUMMYFUNCTION("""COMPUTED_VALUE"""),"#N/A")</f>
        <v>#N/A</v>
      </c>
      <c r="AG51" s="13" t="str">
        <f ca="1">IFERROR(__xludf.DUMMYFUNCTION("ArrayFormula(VLOOKUP(G51, IMPORTRANGE(""https://docs.google.com/spreadsheets/d/1Co934fvtviyaRiMsrIlT05Jaq7iiYq07aLvRr35KA48/edit?gid=173865642#gid=173865642"", ""'G9 Sci_Pri_LU'!G2:V2000""), {3, 4, 5, 6, 7, 8, 9, 10, 11, 12, 13, 14, 15, 16}, 0))"),"LU006392")</f>
        <v>LU006392</v>
      </c>
      <c r="AH51" s="22" t="str">
        <f ca="1">IFERROR(__xludf.DUMMYFUNCTION("""COMPUTED_VALUE"""),"Definition of Atomic Number and Mass Number")</f>
        <v>Definition of Atomic Number and Mass Number</v>
      </c>
      <c r="AI51" s="13"/>
      <c r="AJ51" s="13"/>
      <c r="AK51" s="13"/>
      <c r="AL51" s="13"/>
      <c r="AM51" s="13"/>
      <c r="AN51" s="13"/>
      <c r="AO51" s="13"/>
      <c r="AP51" s="13"/>
      <c r="AQ51" s="13"/>
      <c r="AR51" s="13"/>
      <c r="AS51" s="13"/>
      <c r="AT51" s="13"/>
    </row>
    <row r="52" spans="1:46">
      <c r="A52" s="8" t="s">
        <v>247</v>
      </c>
      <c r="B52" s="8" t="s">
        <v>47</v>
      </c>
      <c r="C52" s="8" t="s">
        <v>979</v>
      </c>
      <c r="D52" s="9" t="s">
        <v>1406</v>
      </c>
      <c r="E52" s="9" t="s">
        <v>2309</v>
      </c>
      <c r="F52" s="9" t="s">
        <v>2310</v>
      </c>
      <c r="G52" s="114" t="s">
        <v>2311</v>
      </c>
      <c r="H52" s="8" t="str">
        <f ca="1">IFERROR(__xludf.DUMMYFUNCTION("VLOOKUP(G52, IMPORTRANGE(""https://docs.google.com/spreadsheets/d/14deopnvwcrKtEGCKuYXdUHJbeLDZlkiSSWWT0g7x2pM/edit#gid=849066331"", ""LU List Science (Filter)!A:B""), 2, FALSE)"),"Onion Peel Experiment to Visualise Cells")</f>
        <v>Onion Peel Experiment to Visualise Cells</v>
      </c>
      <c r="I52" s="10" t="str">
        <f t="shared" si="0"/>
        <v>LU006229.001</v>
      </c>
      <c r="J52" s="10" t="str">
        <f ca="1">IFERROR(__xludf.DUMMYFUNCTION("VLOOKUP(I52, IMPORTRANGE(""https://docs.google.com/spreadsheets/d/1yDAaXNsi4Mr5FtRQL4tbmSdIzhx6_m4wkOD7IG-k_eo/edit#gid=1336395716"", ""Science!M:N""), 2, FALSE)"),"Identify the steps involved in preparing a temporary mount of an onion peel for microscopic observation.")</f>
        <v>Identify the steps involved in preparing a temporary mount of an onion peel for microscopic observation.</v>
      </c>
      <c r="K52" s="10" t="str">
        <f t="shared" si="1"/>
        <v>LU006229.002</v>
      </c>
      <c r="L52" s="10" t="str">
        <f ca="1">IFERROR(__xludf.DUMMYFUNCTION("VLOOKUP(K52, IMPORTRANGE(""https://docs.google.com/spreadsheets/d/1yDAaXNsi4Mr5FtRQL4tbmSdIzhx6_m4wkOD7IG-k_eo/edit#gid=1336395716"", ""Science!M:N""), 2, FALSE)"),"Explain why the onion peel experiment is used to demonstrate that cells are the fundamental unit of life.")</f>
        <v>Explain why the onion peel experiment is used to demonstrate that cells are the fundamental unit of life.</v>
      </c>
      <c r="M52" s="10" t="str">
        <f t="shared" si="2"/>
        <v>LU006229.003</v>
      </c>
      <c r="N52" s="10" t="str">
        <f ca="1">IFERROR(__xludf.DUMMYFUNCTION("VLOOKUP(M52, IMPORTRANGE(""https://docs.google.com/spreadsheets/d/1yDAaXNsi4Mr5FtRQL4tbmSdIzhx6_m4wkOD7IG-k_eo/edit#gid=1336395716"", ""Science!M:N""), 2, FALSE)"),"Demonstrate the procedure for preparing an onion peel slide and observe the cells under a microscope, noting their structure.")</f>
        <v>Demonstrate the procedure for preparing an onion peel slide and observe the cells under a microscope, noting their structure.</v>
      </c>
      <c r="O52" s="10" t="str">
        <f t="shared" si="3"/>
        <v>LU006229.004</v>
      </c>
      <c r="P52" s="10" t="str">
        <f ca="1">IFERROR(__xludf.DUMMYFUNCTION("VLOOKUP(O52, IMPORTRANGE(""https://docs.google.com/spreadsheets/d/1yDAaXNsi4Mr5FtRQL4tbmSdIzhx6_m4wkOD7IG-k_eo/edit#gid=1336395716"", ""Science!M:N""), 2, FALSE)"),"Compare the cellular structures observed in the onion peel with those seen in other plant or animal cells under a microscope.")</f>
        <v>Compare the cellular structures observed in the onion peel with those seen in other plant or animal cells under a microscope.</v>
      </c>
      <c r="Q52" s="10" t="str">
        <f t="shared" si="4"/>
        <v>LU006229.005</v>
      </c>
      <c r="R52" s="10" t="str">
        <f ca="1">IFERROR(__xludf.DUMMYFUNCTION("VLOOKUP(Q52, IMPORTRANGE(""https://docs.google.com/spreadsheets/d/1yDAaXNsi4Mr5FtRQL4tbmSdIzhx6_m4wkOD7IG-k_eo/edit#gid=1336395716"", ""Science!M:N""), 2, FALSE)"),"Assess the importance of the onion peel experiment in understanding cell theory and the role of cells as the basic building blocks of life.")</f>
        <v>Assess the importance of the onion peel experiment in understanding cell theory and the role of cells as the basic building blocks of life.</v>
      </c>
      <c r="S52" s="10" t="str">
        <f t="shared" si="5"/>
        <v>LU006229.006</v>
      </c>
      <c r="T52" s="10" t="str">
        <f ca="1">IFERROR(__xludf.DUMMYFUNCTION("VLOOKUP(S52, IMPORTRANGE(""https://docs.google.com/spreadsheets/d/1yDAaXNsi4Mr5FtRQL4tbmSdIzhx6_m4wkOD7IG-k_eo/edit#gid=1336395716"", ""Science!M:N""), 2, FALSE)"),"Design an experiment using different plant materials to observe and compare cell structures, highlighting the similarities and differences in cell organization.")</f>
        <v>Design an experiment using different plant materials to observe and compare cell structures, highlighting the similarities and differences in cell organization.</v>
      </c>
      <c r="U52" s="11" t="str">
        <f ca="1">IFERROR(__xludf.DUMMYFUNCTION("ArrayFormula(VLOOKUP(G52, IMPORTRANGE(""https://docs.google.com/spreadsheets/d/1p7R4vtkWt5VOBim4ltsDG9KTzSjrtKXsMtQGXPHyND0/edit#gid=795171502"", ""'Filter 30_05_2024'!A1:M2000""), {2, 3, 4, 5,6,7,8,9,10,11,12,13}, 0))"),"#N/A")</f>
        <v>#N/A</v>
      </c>
      <c r="V52" s="11" t="str">
        <f ca="1">IFERROR(__xludf.DUMMYFUNCTION("""COMPUTED_VALUE"""),"#N/A")</f>
        <v>#N/A</v>
      </c>
      <c r="W52" s="11" t="str">
        <f ca="1">IFERROR(__xludf.DUMMYFUNCTION("""COMPUTED_VALUE"""),"#N/A")</f>
        <v>#N/A</v>
      </c>
      <c r="X52" s="11" t="str">
        <f ca="1">IFERROR(__xludf.DUMMYFUNCTION("""COMPUTED_VALUE"""),"#N/A")</f>
        <v>#N/A</v>
      </c>
      <c r="Y52" s="11" t="str">
        <f ca="1">IFERROR(__xludf.DUMMYFUNCTION("""COMPUTED_VALUE"""),"#N/A")</f>
        <v>#N/A</v>
      </c>
      <c r="Z52" s="12" t="str">
        <f ca="1">IFERROR(__xludf.DUMMYFUNCTION("""COMPUTED_VALUE"""),"#N/A")</f>
        <v>#N/A</v>
      </c>
      <c r="AA52" s="12" t="str">
        <f ca="1">IFERROR(__xludf.DUMMYFUNCTION("""COMPUTED_VALUE"""),"#N/A")</f>
        <v>#N/A</v>
      </c>
      <c r="AB52" s="12" t="str">
        <f ca="1">IFERROR(__xludf.DUMMYFUNCTION("""COMPUTED_VALUE"""),"#N/A")</f>
        <v>#N/A</v>
      </c>
      <c r="AC52" s="12" t="str">
        <f ca="1">IFERROR(__xludf.DUMMYFUNCTION("""COMPUTED_VALUE"""),"#N/A")</f>
        <v>#N/A</v>
      </c>
      <c r="AD52" s="12" t="str">
        <f ca="1">IFERROR(__xludf.DUMMYFUNCTION("""COMPUTED_VALUE"""),"#N/A")</f>
        <v>#N/A</v>
      </c>
      <c r="AE52" s="12" t="str">
        <f ca="1">IFERROR(__xludf.DUMMYFUNCTION("""COMPUTED_VALUE"""),"#N/A")</f>
        <v>#N/A</v>
      </c>
      <c r="AF52" s="12" t="str">
        <f ca="1">IFERROR(__xludf.DUMMYFUNCTION("""COMPUTED_VALUE"""),"#N/A")</f>
        <v>#N/A</v>
      </c>
      <c r="AG52" s="13" t="str">
        <f ca="1">IFERROR(__xludf.DUMMYFUNCTION("ArrayFormula(VLOOKUP(G52, IMPORTRANGE(""https://docs.google.com/spreadsheets/d/1Co934fvtviyaRiMsrIlT05Jaq7iiYq07aLvRr35KA48/edit?gid=173865642#gid=173865642"", ""'G9 Sci_Pri_LU'!G2:V2000""), {3, 4, 5, 6, 7, 8, 9, 10, 11, 12, 13, 14, 15, 16}, 0))"),"LU005845")</f>
        <v>LU005845</v>
      </c>
      <c r="AH52" s="22" t="str">
        <f ca="1">IFERROR(__xludf.DUMMYFUNCTION("""COMPUTED_VALUE"""),"Parts of a cell (cell wall, cell membrane, nucleus, cytoplasm)")</f>
        <v>Parts of a cell (cell wall, cell membrane, nucleus, cytoplasm)</v>
      </c>
      <c r="AI52" s="13"/>
      <c r="AJ52" s="13"/>
      <c r="AK52" s="13"/>
      <c r="AL52" s="13"/>
      <c r="AM52" s="13"/>
      <c r="AN52" s="13"/>
      <c r="AO52" s="13"/>
      <c r="AP52" s="13"/>
      <c r="AQ52" s="13"/>
      <c r="AR52" s="13"/>
      <c r="AS52" s="13"/>
      <c r="AT52" s="13"/>
    </row>
    <row r="53" spans="1:46">
      <c r="A53" s="8" t="s">
        <v>247</v>
      </c>
      <c r="B53" s="8" t="s">
        <v>47</v>
      </c>
      <c r="C53" s="8" t="s">
        <v>979</v>
      </c>
      <c r="D53" s="9" t="s">
        <v>1406</v>
      </c>
      <c r="E53" s="9" t="s">
        <v>2309</v>
      </c>
      <c r="F53" s="9" t="s">
        <v>2310</v>
      </c>
      <c r="G53" s="9" t="s">
        <v>2312</v>
      </c>
      <c r="H53" s="8" t="str">
        <f ca="1">IFERROR(__xludf.DUMMYFUNCTION("VLOOKUP(G53, IMPORTRANGE(""https://docs.google.com/spreadsheets/d/14deopnvwcrKtEGCKuYXdUHJbeLDZlkiSSWWT0g7x2pM/edit#gid=849066331"", ""LU List Science (Filter)!A:B""), 2, FALSE)"),"Definition of a cell, variations in sizes, numbers, and shapes")</f>
        <v>Definition of a cell, variations in sizes, numbers, and shapes</v>
      </c>
      <c r="I53" s="10" t="str">
        <f t="shared" si="0"/>
        <v>LU005844.001</v>
      </c>
      <c r="J53" s="10" t="str">
        <f ca="1">IFERROR(__xludf.DUMMYFUNCTION("VLOOKUP(I53, IMPORTRANGE(""https://docs.google.com/spreadsheets/d/1yDAaXNsi4Mr5FtRQL4tbmSdIzhx6_m4wkOD7IG-k_eo/edit#gid=1336395716"", ""Science!M:N""), 2, FALSE)"),"Define the terms-cell, unicellular and multicellular.")</f>
        <v>Define the terms-cell, unicellular and multicellular.</v>
      </c>
      <c r="K53" s="10" t="str">
        <f t="shared" si="1"/>
        <v>LU005844.002</v>
      </c>
      <c r="L53" s="10" t="str">
        <f ca="1">IFERROR(__xludf.DUMMYFUNCTION("VLOOKUP(K53, IMPORTRANGE(""https://docs.google.com/spreadsheets/d/1yDAaXNsi4Mr5FtRQL4tbmSdIzhx6_m4wkOD7IG-k_eo/edit#gid=1336395716"", ""Science!M:N""), 2, FALSE)"),"Explain why cells can have different shapes and sizes.")</f>
        <v>Explain why cells can have different shapes and sizes.</v>
      </c>
      <c r="M53" s="10" t="str">
        <f t="shared" si="2"/>
        <v>LU005844.003</v>
      </c>
      <c r="N53" s="10" t="str">
        <f ca="1">IFERROR(__xludf.DUMMYFUNCTION("VLOOKUP(M53, IMPORTRANGE(""https://docs.google.com/spreadsheets/d/1yDAaXNsi4Mr5FtRQL4tbmSdIzhx6_m4wkOD7IG-k_eo/edit#gid=1336395716"", ""Science!M:N""), 2, FALSE)"),"Apply your understanding of cell types to differentiate between unicellular and multicellular organisms based on their structures.")</f>
        <v>Apply your understanding of cell types to differentiate between unicellular and multicellular organisms based on their structures.</v>
      </c>
      <c r="O53" s="10" t="str">
        <f t="shared" si="3"/>
        <v>LU005844.004</v>
      </c>
      <c r="P53" s="10" t="str">
        <f ca="1">IFERROR(__xludf.DUMMYFUNCTION("VLOOKUP(O53, IMPORTRANGE(""https://docs.google.com/spreadsheets/d/1yDAaXNsi4Mr5FtRQL4tbmSdIzhx6_m4wkOD7IG-k_eo/edit#gid=1336395716"", ""Science!M:N""), 2, FALSE)"),"Analyze how variations in cell size and shape contribute to the overall function of multicellular organisms.")</f>
        <v>Analyze how variations in cell size and shape contribute to the overall function of multicellular organisms.</v>
      </c>
      <c r="Q53" s="10" t="str">
        <f t="shared" si="4"/>
        <v>LU005844.005</v>
      </c>
      <c r="R53" s="10" t="str">
        <f ca="1">IFERROR(__xludf.DUMMYFUNCTION("VLOOKUP(Q53, IMPORTRANGE(""https://docs.google.com/spreadsheets/d/1yDAaXNsi4Mr5FtRQL4tbmSdIzhx6_m4wkOD7IG-k_eo/edit#gid=1336395716"", ""Science!M:N""), 2, FALSE)"),"Evaluate the advantages and disadvantages of variations in cell numbers, cell sizes and shapes for the survival and adaptation of organisms in different environments.")</f>
        <v>Evaluate the advantages and disadvantages of variations in cell numbers, cell sizes and shapes for the survival and adaptation of organisms in different environments.</v>
      </c>
      <c r="S53" s="10" t="str">
        <f t="shared" si="5"/>
        <v>LU005844.006</v>
      </c>
      <c r="T53" s="10" t="str">
        <f ca="1">IFERROR(__xludf.DUMMYFUNCTION("VLOOKUP(S53, IMPORTRANGE(""https://docs.google.com/spreadsheets/d/1yDAaXNsi4Mr5FtRQL4tbmSdIzhx6_m4wkOD7IG-k_eo/edit#gid=1336395716"", ""Science!M:N""), 2, FALSE)"),"#N/A")</f>
        <v>#N/A</v>
      </c>
      <c r="U53" s="11">
        <f ca="1">IFERROR(__xludf.DUMMYFUNCTION("ArrayFormula(VLOOKUP(G53, IMPORTRANGE(""https://docs.google.com/spreadsheets/d/1p7R4vtkWt5VOBim4ltsDG9KTzSjrtKXsMtQGXPHyND0/edit#gid=795171502"", ""'Filter 30_05_2024'!A1:M2000""), {2, 3, 4, 5,6,7,8,9,10,11,12,13}, 0))"),4)</f>
        <v>4</v>
      </c>
      <c r="V53" s="11">
        <f ca="1">IFERROR(__xludf.DUMMYFUNCTION("""COMPUTED_VALUE"""),6)</f>
        <v>6</v>
      </c>
      <c r="W53" s="11">
        <f ca="1">IFERROR(__xludf.DUMMYFUNCTION("""COMPUTED_VALUE"""),2)</f>
        <v>2</v>
      </c>
      <c r="X53" s="11">
        <f ca="1">IFERROR(__xludf.DUMMYFUNCTION("""COMPUTED_VALUE"""),12)</f>
        <v>12</v>
      </c>
      <c r="Y53" s="11">
        <f ca="1">IFERROR(__xludf.DUMMYFUNCTION("""COMPUTED_VALUE"""),4)</f>
        <v>4</v>
      </c>
      <c r="Z53" s="12">
        <f ca="1">IFERROR(__xludf.DUMMYFUNCTION("""COMPUTED_VALUE"""),3)</f>
        <v>3</v>
      </c>
      <c r="AA53" s="12">
        <f ca="1">IFERROR(__xludf.DUMMYFUNCTION("""COMPUTED_VALUE"""),1)</f>
        <v>1</v>
      </c>
      <c r="AB53" s="12">
        <f ca="1">IFERROR(__xludf.DUMMYFUNCTION("""COMPUTED_VALUE"""),8)</f>
        <v>8</v>
      </c>
      <c r="AC53" s="12"/>
      <c r="AD53" s="12"/>
      <c r="AE53" s="12"/>
      <c r="AF53" s="12"/>
      <c r="AG53" s="13" t="str">
        <f ca="1">IFERROR(__xludf.DUMMYFUNCTION("ArrayFormula(VLOOKUP(G53, IMPORTRANGE(""https://docs.google.com/spreadsheets/d/1Co934fvtviyaRiMsrIlT05Jaq7iiYq07aLvRr35KA48/edit?gid=173865642#gid=173865642"", ""'G9 Sci_Pri_LU'!G2:V2000""), {3, 4, 5, 6, 7, 8, 9, 10, 11, 12, 13, 14, 15, 16}, 0))"),"LU005843")</f>
        <v>LU005843</v>
      </c>
      <c r="AH53" s="22" t="str">
        <f ca="1">IFERROR(__xludf.DUMMYFUNCTION("""COMPUTED_VALUE"""),"Discovery of the Cell")</f>
        <v>Discovery of the Cell</v>
      </c>
      <c r="AI53" s="13"/>
      <c r="AJ53" s="13"/>
      <c r="AK53" s="13"/>
      <c r="AL53" s="13"/>
      <c r="AM53" s="13"/>
      <c r="AN53" s="13"/>
      <c r="AO53" s="13"/>
      <c r="AP53" s="13"/>
      <c r="AQ53" s="13"/>
      <c r="AR53" s="13"/>
      <c r="AS53" s="13"/>
      <c r="AT53" s="13"/>
    </row>
    <row r="54" spans="1:46">
      <c r="A54" s="8" t="s">
        <v>247</v>
      </c>
      <c r="B54" s="8" t="s">
        <v>47</v>
      </c>
      <c r="C54" s="8" t="s">
        <v>979</v>
      </c>
      <c r="D54" s="9" t="s">
        <v>1406</v>
      </c>
      <c r="E54" s="9" t="s">
        <v>2309</v>
      </c>
      <c r="F54" s="9" t="s">
        <v>2313</v>
      </c>
      <c r="G54" s="9" t="s">
        <v>2314</v>
      </c>
      <c r="H54" s="8" t="str">
        <f ca="1">IFERROR(__xludf.DUMMYFUNCTION("VLOOKUP(G54, IMPORTRANGE(""https://docs.google.com/spreadsheets/d/14deopnvwcrKtEGCKuYXdUHJbeLDZlkiSSWWT0g7x2pM/edit#gid=849066331"", ""LU List Science (Filter)!A:B""), 2, FALSE)"),"Function and Significance of a Plasma/Cell Membrane")</f>
        <v>Function and Significance of a Plasma/Cell Membrane</v>
      </c>
      <c r="I54" s="10" t="str">
        <f t="shared" si="0"/>
        <v>LU006230.001</v>
      </c>
      <c r="J54" s="10" t="str">
        <f ca="1">IFERROR(__xludf.DUMMYFUNCTION("VLOOKUP(I54, IMPORTRANGE(""https://docs.google.com/spreadsheets/d/1yDAaXNsi4Mr5FtRQL4tbmSdIzhx6_m4wkOD7IG-k_eo/edit#gid=1336395716"", ""Science!M:N""), 2, FALSE)"),"Define the function of the plasma membrane in controlling the entry and exit of substances in and out of the cell.")</f>
        <v>Define the function of the plasma membrane in controlling the entry and exit of substances in and out of the cell.</v>
      </c>
      <c r="K54" s="10" t="str">
        <f t="shared" si="1"/>
        <v>LU006230.002</v>
      </c>
      <c r="L54" s="10" t="str">
        <f ca="1">IFERROR(__xludf.DUMMYFUNCTION("VLOOKUP(K54, IMPORTRANGE(""https://docs.google.com/spreadsheets/d/1yDAaXNsi4Mr5FtRQL4tbmSdIzhx6_m4wkOD7IG-k_eo/edit#gid=1336395716"", ""Science!M:N""), 2, FALSE)"),"Explain how the plasma membrane's selective permeability aids in the process of diffusion for substances like CO₂ and O₂.")</f>
        <v>Explain how the plasma membrane's selective permeability aids in the process of diffusion for substances like CO₂ and O₂.</v>
      </c>
      <c r="M54" s="10" t="str">
        <f t="shared" si="2"/>
        <v>LU006230.003</v>
      </c>
      <c r="N54" s="10" t="str">
        <f ca="1">IFERROR(__xludf.DUMMYFUNCTION("VLOOKUP(M54, IMPORTRANGE(""https://docs.google.com/spreadsheets/d/1yDAaXNsi4Mr5FtRQL4tbmSdIzhx6_m4wkOD7IG-k_eo/edit#gid=1336395716"", ""Science!M:N""), 2, FALSE)"),"Illustrate the process of diffusion across the plasma membrane using the example of CO₂ and O₂ exchange.")</f>
        <v>Illustrate the process of diffusion across the plasma membrane using the example of CO₂ and O₂ exchange.</v>
      </c>
      <c r="O54" s="10" t="str">
        <f t="shared" si="3"/>
        <v>LU006230.004</v>
      </c>
      <c r="P54" s="10" t="str">
        <f ca="1">IFERROR(__xludf.DUMMYFUNCTION("VLOOKUP(O54, IMPORTRANGE(""https://docs.google.com/spreadsheets/d/1yDAaXNsi4Mr5FtRQL4tbmSdIzhx6_m4wkOD7IG-k_eo/edit#gid=1336395716"", ""Science!M:N""), 2, FALSE)"),"Compare the concentrations of CO₂ and O₂ inside and outside the cell and how these differences drive diffusion.")</f>
        <v>Compare the concentrations of CO₂ and O₂ inside and outside the cell and how these differences drive diffusion.</v>
      </c>
      <c r="Q54" s="10" t="str">
        <f t="shared" si="4"/>
        <v>LU006230.005</v>
      </c>
      <c r="R54" s="10" t="str">
        <f ca="1">IFERROR(__xludf.DUMMYFUNCTION("VLOOKUP(Q54, IMPORTRANGE(""https://docs.google.com/spreadsheets/d/1yDAaXNsi4Mr5FtRQL4tbmSdIzhx6_m4wkOD7IG-k_eo/edit#gid=1336395716"", ""Science!M:N""), 2, FALSE)"),"Assess the significance of the plasma membrane in maintaining the cell's internal environment through selective permeability.")</f>
        <v>Assess the significance of the plasma membrane in maintaining the cell's internal environment through selective permeability.</v>
      </c>
      <c r="S54" s="10" t="str">
        <f t="shared" si="5"/>
        <v>LU006230.006</v>
      </c>
      <c r="T54" s="10" t="str">
        <f ca="1">IFERROR(__xludf.DUMMYFUNCTION("VLOOKUP(S54, IMPORTRANGE(""https://docs.google.com/spreadsheets/d/1yDAaXNsi4Mr5FtRQL4tbmSdIzhx6_m4wkOD7IG-k_eo/edit#gid=1336395716"", ""Science!M:N""), 2, FALSE)"),"Design an experiment to demonstrate the diffusion of substances across a selectively permeable membrane, such as using a dialysis bag to show the movement of solutes.")</f>
        <v>Design an experiment to demonstrate the diffusion of substances across a selectively permeable membrane, such as using a dialysis bag to show the movement of solutes.</v>
      </c>
      <c r="U54" s="11" t="str">
        <f ca="1">IFERROR(__xludf.DUMMYFUNCTION("ArrayFormula(VLOOKUP(G54, IMPORTRANGE(""https://docs.google.com/spreadsheets/d/1p7R4vtkWt5VOBim4ltsDG9KTzSjrtKXsMtQGXPHyND0/edit#gid=795171502"", ""'Filter 30_05_2024'!A1:M2000""), {2, 3, 4, 5,6,7,8,9,10,11,12,13}, 0))"),"#N/A")</f>
        <v>#N/A</v>
      </c>
      <c r="V54" s="11" t="str">
        <f ca="1">IFERROR(__xludf.DUMMYFUNCTION("""COMPUTED_VALUE"""),"#N/A")</f>
        <v>#N/A</v>
      </c>
      <c r="W54" s="11" t="str">
        <f ca="1">IFERROR(__xludf.DUMMYFUNCTION("""COMPUTED_VALUE"""),"#N/A")</f>
        <v>#N/A</v>
      </c>
      <c r="X54" s="11" t="str">
        <f ca="1">IFERROR(__xludf.DUMMYFUNCTION("""COMPUTED_VALUE"""),"#N/A")</f>
        <v>#N/A</v>
      </c>
      <c r="Y54" s="11" t="str">
        <f ca="1">IFERROR(__xludf.DUMMYFUNCTION("""COMPUTED_VALUE"""),"#N/A")</f>
        <v>#N/A</v>
      </c>
      <c r="Z54" s="12" t="str">
        <f ca="1">IFERROR(__xludf.DUMMYFUNCTION("""COMPUTED_VALUE"""),"#N/A")</f>
        <v>#N/A</v>
      </c>
      <c r="AA54" s="12" t="str">
        <f ca="1">IFERROR(__xludf.DUMMYFUNCTION("""COMPUTED_VALUE"""),"#N/A")</f>
        <v>#N/A</v>
      </c>
      <c r="AB54" s="12" t="str">
        <f ca="1">IFERROR(__xludf.DUMMYFUNCTION("""COMPUTED_VALUE"""),"#N/A")</f>
        <v>#N/A</v>
      </c>
      <c r="AC54" s="12" t="str">
        <f ca="1">IFERROR(__xludf.DUMMYFUNCTION("""COMPUTED_VALUE"""),"#N/A")</f>
        <v>#N/A</v>
      </c>
      <c r="AD54" s="12" t="str">
        <f ca="1">IFERROR(__xludf.DUMMYFUNCTION("""COMPUTED_VALUE"""),"#N/A")</f>
        <v>#N/A</v>
      </c>
      <c r="AE54" s="12" t="str">
        <f ca="1">IFERROR(__xludf.DUMMYFUNCTION("""COMPUTED_VALUE"""),"#N/A")</f>
        <v>#N/A</v>
      </c>
      <c r="AF54" s="12" t="str">
        <f ca="1">IFERROR(__xludf.DUMMYFUNCTION("""COMPUTED_VALUE"""),"#N/A")</f>
        <v>#N/A</v>
      </c>
      <c r="AG54" s="13" t="str">
        <f ca="1">IFERROR(__xludf.DUMMYFUNCTION("ArrayFormula(VLOOKUP(G54, IMPORTRANGE(""https://docs.google.com/spreadsheets/d/1Co934fvtviyaRiMsrIlT05Jaq7iiYq07aLvRr35KA48/edit?gid=173865642#gid=173865642"", ""'G9 Sci_Pri_LU'!G2:V2000""), {3, 4, 5, 6, 7, 8, 9, 10, 11, 12, 13, 14, 15, 16}, 0))"),"LU005845")</f>
        <v>LU005845</v>
      </c>
      <c r="AH54" s="22" t="str">
        <f ca="1">IFERROR(__xludf.DUMMYFUNCTION("""COMPUTED_VALUE"""),"Parts of a cell (cell wall, cell membrane, nucleus, cytoplasm)")</f>
        <v>Parts of a cell (cell wall, cell membrane, nucleus, cytoplasm)</v>
      </c>
      <c r="AI54" s="13" t="str">
        <f ca="1">IFERROR(__xludf.DUMMYFUNCTION("""COMPUTED_VALUE"""),"LU005844")</f>
        <v>LU005844</v>
      </c>
      <c r="AJ54" s="13" t="str">
        <f ca="1">IFERROR(__xludf.DUMMYFUNCTION("""COMPUTED_VALUE"""),"Definition of a cell, variations in sizes, numbers, and shapes")</f>
        <v>Definition of a cell, variations in sizes, numbers, and shapes</v>
      </c>
      <c r="AK54" s="13"/>
      <c r="AL54" s="13"/>
      <c r="AM54" s="13"/>
      <c r="AN54" s="13"/>
      <c r="AO54" s="13"/>
      <c r="AP54" s="13"/>
      <c r="AQ54" s="13"/>
      <c r="AR54" s="13"/>
      <c r="AS54" s="13"/>
      <c r="AT54" s="13"/>
    </row>
    <row r="55" spans="1:46">
      <c r="A55" s="8" t="s">
        <v>247</v>
      </c>
      <c r="B55" s="8" t="s">
        <v>47</v>
      </c>
      <c r="C55" s="8" t="s">
        <v>979</v>
      </c>
      <c r="D55" s="9" t="s">
        <v>1406</v>
      </c>
      <c r="E55" s="9" t="s">
        <v>2309</v>
      </c>
      <c r="F55" s="9" t="s">
        <v>2313</v>
      </c>
      <c r="G55" s="9" t="s">
        <v>2315</v>
      </c>
      <c r="H55" s="8" t="str">
        <f ca="1">IFERROR(__xludf.DUMMYFUNCTION("VLOOKUP(G55, IMPORTRANGE(""https://docs.google.com/spreadsheets/d/14deopnvwcrKtEGCKuYXdUHJbeLDZlkiSSWWT0g7x2pM/edit#gid=849066331"", ""LU List Science (Filter)!A:B""), 2, FALSE)"),"Concept of Hypotonic, Isotonic and Hypertonic solution")</f>
        <v>Concept of Hypotonic, Isotonic and Hypertonic solution</v>
      </c>
      <c r="I55" s="10" t="str">
        <f t="shared" si="0"/>
        <v>LU006231.001</v>
      </c>
      <c r="J55" s="10" t="str">
        <f ca="1">IFERROR(__xludf.DUMMYFUNCTION("VLOOKUP(I55, IMPORTRANGE(""https://docs.google.com/spreadsheets/d/1yDAaXNsi4Mr5FtRQL4tbmSdIzhx6_m4wkOD7IG-k_eo/edit#gid=1336395716"", ""Science!M:N""), 2, FALSE)"),"Define hypotonic, isotonic, and hypertonic solutions.")</f>
        <v>Define hypotonic, isotonic, and hypertonic solutions.</v>
      </c>
      <c r="K55" s="10" t="str">
        <f t="shared" si="1"/>
        <v>LU006231.002</v>
      </c>
      <c r="L55" s="10" t="str">
        <f ca="1">IFERROR(__xludf.DUMMYFUNCTION("VLOOKUP(K55, IMPORTRANGE(""https://docs.google.com/spreadsheets/d/1yDAaXNsi4Mr5FtRQL4tbmSdIzhx6_m4wkOD7IG-k_eo/edit#gid=1336395716"", ""Science!M:N""), 2, FALSE)"),"Explain how osmosis occurs in cells placed in hypotonic, isotonic, and hypertonic solutions.")</f>
        <v>Explain how osmosis occurs in cells placed in hypotonic, isotonic, and hypertonic solutions.</v>
      </c>
      <c r="M55" s="10" t="str">
        <f t="shared" si="2"/>
        <v>LU006231.003</v>
      </c>
      <c r="N55" s="10" t="str">
        <f ca="1">IFERROR(__xludf.DUMMYFUNCTION("VLOOKUP(M55, IMPORTRANGE(""https://docs.google.com/spreadsheets/d/1yDAaXNsi4Mr5FtRQL4tbmSdIzhx6_m4wkOD7IG-k_eo/edit#gid=1336395716"", ""Science!M:N""), 2, FALSE)"),"Demonstrate the effects of hypotonic, isotonic, and hypertonic solutions on cells using experiments with eggs or dried apricots.")</f>
        <v>Demonstrate the effects of hypotonic, isotonic, and hypertonic solutions on cells using experiments with eggs or dried apricots.</v>
      </c>
      <c r="O55" s="10" t="str">
        <f t="shared" si="3"/>
        <v>LU006231.004</v>
      </c>
      <c r="P55" s="10" t="str">
        <f ca="1">IFERROR(__xludf.DUMMYFUNCTION("VLOOKUP(O55, IMPORTRANGE(""https://docs.google.com/spreadsheets/d/1yDAaXNsi4Mr5FtRQL4tbmSdIzhx6_m4wkOD7IG-k_eo/edit#gid=1336395716"", ""Science!M:N""), 2, FALSE)"),"Compare the outcomes of placing cells in hypotonic, isotonic, and hypertonic solutions based on their water movement.")</f>
        <v>Compare the outcomes of placing cells in hypotonic, isotonic, and hypertonic solutions based on their water movement.</v>
      </c>
      <c r="Q55" s="10" t="str">
        <f t="shared" si="4"/>
        <v>LU006231.005</v>
      </c>
      <c r="R55" s="10" t="str">
        <f ca="1">IFERROR(__xludf.DUMMYFUNCTION("VLOOKUP(Q55, IMPORTRANGE(""https://docs.google.com/spreadsheets/d/1yDAaXNsi4Mr5FtRQL4tbmSdIzhx6_m4wkOD7IG-k_eo/edit#gid=1336395716"", ""Science!M:N""), 2, FALSE)"),"Evaluate the significance of osmosis in maintaining cell turgor and homeostasis in different solutions.")</f>
        <v>Evaluate the significance of osmosis in maintaining cell turgor and homeostasis in different solutions.</v>
      </c>
      <c r="S55" s="10" t="str">
        <f t="shared" si="5"/>
        <v>LU006231.006</v>
      </c>
      <c r="T55" s="10" t="str">
        <f ca="1">IFERROR(__xludf.DUMMYFUNCTION("VLOOKUP(S55, IMPORTRANGE(""https://docs.google.com/spreadsheets/d/1yDAaXNsi4Mr5FtRQL4tbmSdIzhx6_m4wkOD7IG-k_eo/edit#gid=1336395716"", ""Science!M:N""), 2, FALSE)"),"Design an experiment to observe the changes in cells when placed in hypotonic, isotonic, and hypertonic solutions, and interpret the results.")</f>
        <v>Design an experiment to observe the changes in cells when placed in hypotonic, isotonic, and hypertonic solutions, and interpret the results.</v>
      </c>
      <c r="U55" s="11" t="str">
        <f ca="1">IFERROR(__xludf.DUMMYFUNCTION("ArrayFormula(VLOOKUP(G55, IMPORTRANGE(""https://docs.google.com/spreadsheets/d/1p7R4vtkWt5VOBim4ltsDG9KTzSjrtKXsMtQGXPHyND0/edit#gid=795171502"", ""'Filter 30_05_2024'!A1:M2000""), {2, 3, 4, 5,6,7,8,9,10,11,12,13}, 0))"),"#N/A")</f>
        <v>#N/A</v>
      </c>
      <c r="V55" s="11" t="str">
        <f ca="1">IFERROR(__xludf.DUMMYFUNCTION("""COMPUTED_VALUE"""),"#N/A")</f>
        <v>#N/A</v>
      </c>
      <c r="W55" s="11" t="str">
        <f ca="1">IFERROR(__xludf.DUMMYFUNCTION("""COMPUTED_VALUE"""),"#N/A")</f>
        <v>#N/A</v>
      </c>
      <c r="X55" s="11" t="str">
        <f ca="1">IFERROR(__xludf.DUMMYFUNCTION("""COMPUTED_VALUE"""),"#N/A")</f>
        <v>#N/A</v>
      </c>
      <c r="Y55" s="11" t="str">
        <f ca="1">IFERROR(__xludf.DUMMYFUNCTION("""COMPUTED_VALUE"""),"#N/A")</f>
        <v>#N/A</v>
      </c>
      <c r="Z55" s="12" t="str">
        <f ca="1">IFERROR(__xludf.DUMMYFUNCTION("""COMPUTED_VALUE"""),"#N/A")</f>
        <v>#N/A</v>
      </c>
      <c r="AA55" s="12" t="str">
        <f ca="1">IFERROR(__xludf.DUMMYFUNCTION("""COMPUTED_VALUE"""),"#N/A")</f>
        <v>#N/A</v>
      </c>
      <c r="AB55" s="12" t="str">
        <f ca="1">IFERROR(__xludf.DUMMYFUNCTION("""COMPUTED_VALUE"""),"#N/A")</f>
        <v>#N/A</v>
      </c>
      <c r="AC55" s="12" t="str">
        <f ca="1">IFERROR(__xludf.DUMMYFUNCTION("""COMPUTED_VALUE"""),"#N/A")</f>
        <v>#N/A</v>
      </c>
      <c r="AD55" s="12" t="str">
        <f ca="1">IFERROR(__xludf.DUMMYFUNCTION("""COMPUTED_VALUE"""),"#N/A")</f>
        <v>#N/A</v>
      </c>
      <c r="AE55" s="12" t="str">
        <f ca="1">IFERROR(__xludf.DUMMYFUNCTION("""COMPUTED_VALUE"""),"#N/A")</f>
        <v>#N/A</v>
      </c>
      <c r="AF55" s="12" t="str">
        <f ca="1">IFERROR(__xludf.DUMMYFUNCTION("""COMPUTED_VALUE"""),"#N/A")</f>
        <v>#N/A</v>
      </c>
      <c r="AG55" s="13" t="str">
        <f ca="1">IFERROR(__xludf.DUMMYFUNCTION("ArrayFormula(VLOOKUP(G55, IMPORTRANGE(""https://docs.google.com/spreadsheets/d/1Co934fvtviyaRiMsrIlT05Jaq7iiYq07aLvRr35KA48/edit?gid=173865642#gid=173865642"", ""'G9 Sci_Pri_LU'!G2:V2000""), {3, 4, 5, 6, 7, 8, 9, 10, 11, 12, 13, 14, 15, 16}, 0))"),"LU006230")</f>
        <v>LU006230</v>
      </c>
      <c r="AH55" s="22" t="str">
        <f ca="1">IFERROR(__xludf.DUMMYFUNCTION("""COMPUTED_VALUE"""),"Function and Significance of a Plasma/Cell Membrane")</f>
        <v>Function and Significance of a Plasma/Cell Membrane</v>
      </c>
      <c r="AI55" s="13" t="str">
        <f ca="1">IFERROR(__xludf.DUMMYFUNCTION("""COMPUTED_VALUE"""),"LU006197")</f>
        <v>LU006197</v>
      </c>
      <c r="AJ55" s="13" t="str">
        <f ca="1">IFERROR(__xludf.DUMMYFUNCTION("""COMPUTED_VALUE"""),"Particles are Continuously Moving(concept of diffusion)")</f>
        <v>Particles are Continuously Moving(concept of diffusion)</v>
      </c>
      <c r="AK55" s="13" t="str">
        <f ca="1">IFERROR(__xludf.DUMMYFUNCTION("""COMPUTED_VALUE"""),"LU006171")</f>
        <v>LU006171</v>
      </c>
      <c r="AL55" s="13" t="str">
        <f ca="1">IFERROR(__xludf.DUMMYFUNCTION("""COMPUTED_VALUE"""),"Definition of diffusion and osmosis")</f>
        <v>Definition of diffusion and osmosis</v>
      </c>
      <c r="AM55" s="13"/>
      <c r="AN55" s="13"/>
      <c r="AO55" s="13"/>
      <c r="AP55" s="13"/>
      <c r="AQ55" s="13"/>
      <c r="AR55" s="13"/>
      <c r="AS55" s="13"/>
      <c r="AT55" s="13"/>
    </row>
    <row r="56" spans="1:46">
      <c r="A56" s="8" t="s">
        <v>247</v>
      </c>
      <c r="B56" s="8" t="s">
        <v>47</v>
      </c>
      <c r="C56" s="8" t="s">
        <v>979</v>
      </c>
      <c r="D56" s="9" t="s">
        <v>1406</v>
      </c>
      <c r="E56" s="9" t="s">
        <v>2309</v>
      </c>
      <c r="F56" s="9" t="s">
        <v>2316</v>
      </c>
      <c r="G56" s="9" t="s">
        <v>2317</v>
      </c>
      <c r="H56" s="8" t="str">
        <f ca="1">IFERROR(__xludf.DUMMYFUNCTION("VLOOKUP(G56, IMPORTRANGE(""https://docs.google.com/spreadsheets/d/14deopnvwcrKtEGCKuYXdUHJbeLDZlkiSSWWT0g7x2pM/edit#gid=849066331"", ""LU List Science (Filter)!A:B""), 2, FALSE)"),"Basic Function of a plant cell wall")</f>
        <v>Basic Function of a plant cell wall</v>
      </c>
      <c r="I56" s="10" t="str">
        <f t="shared" si="0"/>
        <v>LU006232.001</v>
      </c>
      <c r="J56" s="10" t="str">
        <f ca="1">IFERROR(__xludf.DUMMYFUNCTION("VLOOKUP(I56, IMPORTRANGE(""https://docs.google.com/spreadsheets/d/1yDAaXNsi4Mr5FtRQL4tbmSdIzhx6_m4wkOD7IG-k_eo/edit#gid=1336395716"", ""Science!M:N""), 2, FALSE)"),"Define the basic function of a plant cell wall.")</f>
        <v>Define the basic function of a plant cell wall.</v>
      </c>
      <c r="K56" s="10" t="str">
        <f t="shared" si="1"/>
        <v>LU006232.002</v>
      </c>
      <c r="L56" s="10" t="str">
        <f ca="1">IFERROR(__xludf.DUMMYFUNCTION("VLOOKUP(K56, IMPORTRANGE(""https://docs.google.com/spreadsheets/d/1yDAaXNsi4Mr5FtRQL4tbmSdIzhx6_m4wkOD7IG-k_eo/edit#gid=1336395716"", ""Science!M:N""), 2, FALSE)"),"Explain how the cell wall helps in preventing plant cells from bursting in hypotonic solutions.")</f>
        <v>Explain how the cell wall helps in preventing plant cells from bursting in hypotonic solutions.</v>
      </c>
      <c r="M56" s="10" t="str">
        <f t="shared" si="2"/>
        <v>LU006232.003</v>
      </c>
      <c r="N56" s="10" t="str">
        <f ca="1">IFERROR(__xludf.DUMMYFUNCTION("VLOOKUP(M56, IMPORTRANGE(""https://docs.google.com/spreadsheets/d/1yDAaXNsi4Mr5FtRQL4tbmSdIzhx6_m4wkOD7IG-k_eo/edit#gid=1336395716"", ""Science!M:N""), 2, FALSE)"),"Demonstrate the process of plasmolysis using a Rhoeo leaf and a strong sugar or salt solution.")</f>
        <v>Demonstrate the process of plasmolysis using a Rhoeo leaf and a strong sugar or salt solution.</v>
      </c>
      <c r="O56" s="10" t="str">
        <f t="shared" si="3"/>
        <v>LU006232.004</v>
      </c>
      <c r="P56" s="10" t="str">
        <f ca="1">IFERROR(__xludf.DUMMYFUNCTION("VLOOKUP(O56, IMPORTRANGE(""https://docs.google.com/spreadsheets/d/1yDAaXNsi4Mr5FtRQL4tbmSdIzhx6_m4wkOD7IG-k_eo/edit#gid=1336395716"", ""Science!M:N""), 2, FALSE)"),"Compare the structural strength provided by plant cell walls to that of animal cells lacking cell walls.")</f>
        <v>Compare the structural strength provided by plant cell walls to that of animal cells lacking cell walls.</v>
      </c>
      <c r="Q56" s="10" t="str">
        <f t="shared" si="4"/>
        <v>LU006232.005</v>
      </c>
      <c r="R56" s="10" t="str">
        <f ca="1">IFERROR(__xludf.DUMMYFUNCTION("VLOOKUP(Q56, IMPORTRANGE(""https://docs.google.com/spreadsheets/d/1yDAaXNsi4Mr5FtRQL4tbmSdIzhx6_m4wkOD7IG-k_eo/edit#gid=1336395716"", ""Science!M:N""), 2, FALSE)"),"Evaluate the role of the cell wall in helping plant cells withstand changes in the surrounding medium.")</f>
        <v>Evaluate the role of the cell wall in helping plant cells withstand changes in the surrounding medium.</v>
      </c>
      <c r="S56" s="10" t="str">
        <f t="shared" si="5"/>
        <v>LU006232.006</v>
      </c>
      <c r="T56" s="10" t="str">
        <f ca="1">IFERROR(__xludf.DUMMYFUNCTION("VLOOKUP(S56, IMPORTRANGE(""https://docs.google.com/spreadsheets/d/1yDAaXNsi4Mr5FtRQL4tbmSdIzhx6_m4wkOD7IG-k_eo/edit#gid=1336395716"", ""Science!M:N""), 2, FALSE)"),"Design an experiment to observe the effects of hypotonic solutions on plant cells and explain the observations based on the presence of the cell wall.")</f>
        <v>Design an experiment to observe the effects of hypotonic solutions on plant cells and explain the observations based on the presence of the cell wall.</v>
      </c>
      <c r="U56" s="11" t="str">
        <f ca="1">IFERROR(__xludf.DUMMYFUNCTION("ArrayFormula(VLOOKUP(G56, IMPORTRANGE(""https://docs.google.com/spreadsheets/d/1p7R4vtkWt5VOBim4ltsDG9KTzSjrtKXsMtQGXPHyND0/edit#gid=795171502"", ""'Filter 30_05_2024'!A1:M2000""), {2, 3, 4, 5,6,7,8,9,10,11,12,13}, 0))"),"#N/A")</f>
        <v>#N/A</v>
      </c>
      <c r="V56" s="11" t="str">
        <f ca="1">IFERROR(__xludf.DUMMYFUNCTION("""COMPUTED_VALUE"""),"#N/A")</f>
        <v>#N/A</v>
      </c>
      <c r="W56" s="11" t="str">
        <f ca="1">IFERROR(__xludf.DUMMYFUNCTION("""COMPUTED_VALUE"""),"#N/A")</f>
        <v>#N/A</v>
      </c>
      <c r="X56" s="11" t="str">
        <f ca="1">IFERROR(__xludf.DUMMYFUNCTION("""COMPUTED_VALUE"""),"#N/A")</f>
        <v>#N/A</v>
      </c>
      <c r="Y56" s="11" t="str">
        <f ca="1">IFERROR(__xludf.DUMMYFUNCTION("""COMPUTED_VALUE"""),"#N/A")</f>
        <v>#N/A</v>
      </c>
      <c r="Z56" s="12" t="str">
        <f ca="1">IFERROR(__xludf.DUMMYFUNCTION("""COMPUTED_VALUE"""),"#N/A")</f>
        <v>#N/A</v>
      </c>
      <c r="AA56" s="12" t="str">
        <f ca="1">IFERROR(__xludf.DUMMYFUNCTION("""COMPUTED_VALUE"""),"#N/A")</f>
        <v>#N/A</v>
      </c>
      <c r="AB56" s="12" t="str">
        <f ca="1">IFERROR(__xludf.DUMMYFUNCTION("""COMPUTED_VALUE"""),"#N/A")</f>
        <v>#N/A</v>
      </c>
      <c r="AC56" s="12" t="str">
        <f ca="1">IFERROR(__xludf.DUMMYFUNCTION("""COMPUTED_VALUE"""),"#N/A")</f>
        <v>#N/A</v>
      </c>
      <c r="AD56" s="12" t="str">
        <f ca="1">IFERROR(__xludf.DUMMYFUNCTION("""COMPUTED_VALUE"""),"#N/A")</f>
        <v>#N/A</v>
      </c>
      <c r="AE56" s="12" t="str">
        <f ca="1">IFERROR(__xludf.DUMMYFUNCTION("""COMPUTED_VALUE"""),"#N/A")</f>
        <v>#N/A</v>
      </c>
      <c r="AF56" s="12" t="str">
        <f ca="1">IFERROR(__xludf.DUMMYFUNCTION("""COMPUTED_VALUE"""),"#N/A")</f>
        <v>#N/A</v>
      </c>
      <c r="AG56" s="13" t="str">
        <f ca="1">IFERROR(__xludf.DUMMYFUNCTION("ArrayFormula(VLOOKUP(G56, IMPORTRANGE(""https://docs.google.com/spreadsheets/d/1Co934fvtviyaRiMsrIlT05Jaq7iiYq07aLvRr35KA48/edit?gid=173865642#gid=173865642"", ""'G9 Sci_Pri_LU'!G2:V2000""), {3, 4, 5, 6, 7, 8, 9, 10, 11, 12, 13, 14, 15, 16}, 0))"),"LU006231")</f>
        <v>LU006231</v>
      </c>
      <c r="AH56" s="22" t="str">
        <f ca="1">IFERROR(__xludf.DUMMYFUNCTION("""COMPUTED_VALUE"""),"Concept of Hypotonic, Isotonic and Hypertonic solution")</f>
        <v>Concept of Hypotonic, Isotonic and Hypertonic solution</v>
      </c>
      <c r="AI56" s="13" t="str">
        <f ca="1">IFERROR(__xludf.DUMMYFUNCTION("""COMPUTED_VALUE"""),"LU006171")</f>
        <v>LU006171</v>
      </c>
      <c r="AJ56" s="13" t="str">
        <f ca="1">IFERROR(__xludf.DUMMYFUNCTION("""COMPUTED_VALUE"""),"Definition of diffusion and osmosis")</f>
        <v>Definition of diffusion and osmosis</v>
      </c>
      <c r="AK56" s="13" t="str">
        <f ca="1">IFERROR(__xludf.DUMMYFUNCTION("""COMPUTED_VALUE"""),"LU005845")</f>
        <v>LU005845</v>
      </c>
      <c r="AL56" s="13" t="str">
        <f ca="1">IFERROR(__xludf.DUMMYFUNCTION("""COMPUTED_VALUE"""),"Parts of a cell (cell wall, cell membrane, nucleus, cytoplasm)")</f>
        <v>Parts of a cell (cell wall, cell membrane, nucleus, cytoplasm)</v>
      </c>
      <c r="AM56" s="13"/>
      <c r="AN56" s="13"/>
      <c r="AO56" s="13"/>
      <c r="AP56" s="13"/>
      <c r="AQ56" s="13"/>
      <c r="AR56" s="13"/>
      <c r="AS56" s="13"/>
      <c r="AT56" s="13"/>
    </row>
    <row r="57" spans="1:46">
      <c r="A57" s="8" t="s">
        <v>247</v>
      </c>
      <c r="B57" s="8" t="s">
        <v>47</v>
      </c>
      <c r="C57" s="8" t="s">
        <v>979</v>
      </c>
      <c r="D57" s="9" t="s">
        <v>1406</v>
      </c>
      <c r="E57" s="9" t="s">
        <v>2309</v>
      </c>
      <c r="F57" s="9" t="s">
        <v>2318</v>
      </c>
      <c r="G57" s="9" t="s">
        <v>2319</v>
      </c>
      <c r="H57" s="8" t="str">
        <f ca="1">IFERROR(__xludf.DUMMYFUNCTION("VLOOKUP(G57, IMPORTRANGE(""https://docs.google.com/spreadsheets/d/14deopnvwcrKtEGCKuYXdUHJbeLDZlkiSSWWT0g7x2pM/edit#gid=849066331"", ""LU List Science (Filter)!A:B""), 2, FALSE)"),"Definition of prokaryotic and eukaryotic cells")</f>
        <v>Definition of prokaryotic and eukaryotic cells</v>
      </c>
      <c r="I57" s="10" t="str">
        <f t="shared" si="0"/>
        <v>LU005849.001</v>
      </c>
      <c r="J57" s="10" t="str">
        <f ca="1">IFERROR(__xludf.DUMMYFUNCTION("VLOOKUP(I57, IMPORTRANGE(""https://docs.google.com/spreadsheets/d/1yDAaXNsi4Mr5FtRQL4tbmSdIzhx6_m4wkOD7IG-k_eo/edit#gid=1336395716"", ""Science!M:N""), 2, FALSE)"),"Define what prokaryotic and eukaryotic cells are and state the fundamental differences between them.")</f>
        <v>Define what prokaryotic and eukaryotic cells are and state the fundamental differences between them.</v>
      </c>
      <c r="K57" s="10" t="str">
        <f t="shared" si="1"/>
        <v>LU005849.002</v>
      </c>
      <c r="L57" s="10" t="str">
        <f ca="1">IFERROR(__xludf.DUMMYFUNCTION("VLOOKUP(K57, IMPORTRANGE(""https://docs.google.com/spreadsheets/d/1yDAaXNsi4Mr5FtRQL4tbmSdIzhx6_m4wkOD7IG-k_eo/edit#gid=1336395716"", ""Science!M:N""), 2, FALSE)"),"Explain why prokaryotic cells lack certain cellular structures found in eukaryotic cells and how these differences impact their functions.")</f>
        <v>Explain why prokaryotic cells lack certain cellular structures found in eukaryotic cells and how these differences impact their functions.</v>
      </c>
      <c r="M57" s="10" t="str">
        <f t="shared" si="2"/>
        <v>LU005849.003</v>
      </c>
      <c r="N57" s="10" t="str">
        <f ca="1">IFERROR(__xludf.DUMMYFUNCTION("VLOOKUP(M57, IMPORTRANGE(""https://docs.google.com/spreadsheets/d/1yDAaXNsi4Mr5FtRQL4tbmSdIzhx6_m4wkOD7IG-k_eo/edit#gid=1336395716"", ""Science!M:N""), 2, FALSE)"),"Apply your understanding of prokaryotic and eukaryotic cells to identify and classify different types of cells as either prokaryotic or eukaryotic based on their characteristics.")</f>
        <v>Apply your understanding of prokaryotic and eukaryotic cells to identify and classify different types of cells as either prokaryotic or eukaryotic based on their characteristics.</v>
      </c>
      <c r="O57" s="10" t="str">
        <f t="shared" si="3"/>
        <v>LU005849.004</v>
      </c>
      <c r="P57" s="10" t="str">
        <f ca="1">IFERROR(__xludf.DUMMYFUNCTION("VLOOKUP(O57, IMPORTRANGE(""https://docs.google.com/spreadsheets/d/1yDAaXNsi4Mr5FtRQL4tbmSdIzhx6_m4wkOD7IG-k_eo/edit#gid=1336395716"", ""Science!M:N""), 2, FALSE)"),"Analyze the structural and functional distinctions between prokaryotic and eukaryotic cells, and evaluate the advantages and limitations of each cell type in various environments.")</f>
        <v>Analyze the structural and functional distinctions between prokaryotic and eukaryotic cells, and evaluate the advantages and limitations of each cell type in various environments.</v>
      </c>
      <c r="Q57" s="10" t="str">
        <f t="shared" si="4"/>
        <v>LU005849.005</v>
      </c>
      <c r="R57" s="10" t="str">
        <f ca="1">IFERROR(__xludf.DUMMYFUNCTION("VLOOKUP(Q57, IMPORTRANGE(""https://docs.google.com/spreadsheets/d/1yDAaXNsi4Mr5FtRQL4tbmSdIzhx6_m4wkOD7IG-k_eo/edit#gid=1336395716"", ""Science!M:N""), 2, FALSE)"),"Evaluate the evolutionary significance of prokaryotic and eukaryotic cells, considering how their differences have contributed to the diversity of life on Earth and their roles in various ecosystems.")</f>
        <v>Evaluate the evolutionary significance of prokaryotic and eukaryotic cells, considering how their differences have contributed to the diversity of life on Earth and their roles in various ecosystems.</v>
      </c>
      <c r="S57" s="10" t="str">
        <f t="shared" si="5"/>
        <v>LU005849.006</v>
      </c>
      <c r="T57" s="10" t="str">
        <f ca="1">IFERROR(__xludf.DUMMYFUNCTION("VLOOKUP(S57, IMPORTRANGE(""https://docs.google.com/spreadsheets/d/1yDAaXNsi4Mr5FtRQL4tbmSdIzhx6_m4wkOD7IG-k_eo/edit#gid=1336395716"", ""Science!M:N""), 2, FALSE)"),"#N/A")</f>
        <v>#N/A</v>
      </c>
      <c r="U57" s="11" t="str">
        <f ca="1">IFERROR(__xludf.DUMMYFUNCTION("ArrayFormula(VLOOKUP(G57, IMPORTRANGE(""https://docs.google.com/spreadsheets/d/1p7R4vtkWt5VOBim4ltsDG9KTzSjrtKXsMtQGXPHyND0/edit#gid=795171502"", ""'Filter 30_05_2024'!A1:M2000""), {2, 3, 4, 5,6,7,8,9,10,11,12,13}, 0))"),"#N/A")</f>
        <v>#N/A</v>
      </c>
      <c r="V57" s="11" t="str">
        <f ca="1">IFERROR(__xludf.DUMMYFUNCTION("""COMPUTED_VALUE"""),"#N/A")</f>
        <v>#N/A</v>
      </c>
      <c r="W57" s="11" t="str">
        <f ca="1">IFERROR(__xludf.DUMMYFUNCTION("""COMPUTED_VALUE"""),"#N/A")</f>
        <v>#N/A</v>
      </c>
      <c r="X57" s="11" t="str">
        <f ca="1">IFERROR(__xludf.DUMMYFUNCTION("""COMPUTED_VALUE"""),"#N/A")</f>
        <v>#N/A</v>
      </c>
      <c r="Y57" s="11" t="str">
        <f ca="1">IFERROR(__xludf.DUMMYFUNCTION("""COMPUTED_VALUE"""),"#N/A")</f>
        <v>#N/A</v>
      </c>
      <c r="Z57" s="12" t="str">
        <f ca="1">IFERROR(__xludf.DUMMYFUNCTION("""COMPUTED_VALUE"""),"#N/A")</f>
        <v>#N/A</v>
      </c>
      <c r="AA57" s="12" t="str">
        <f ca="1">IFERROR(__xludf.DUMMYFUNCTION("""COMPUTED_VALUE"""),"#N/A")</f>
        <v>#N/A</v>
      </c>
      <c r="AB57" s="12" t="str">
        <f ca="1">IFERROR(__xludf.DUMMYFUNCTION("""COMPUTED_VALUE"""),"#N/A")</f>
        <v>#N/A</v>
      </c>
      <c r="AC57" s="12" t="str">
        <f ca="1">IFERROR(__xludf.DUMMYFUNCTION("""COMPUTED_VALUE"""),"#N/A")</f>
        <v>#N/A</v>
      </c>
      <c r="AD57" s="12" t="str">
        <f ca="1">IFERROR(__xludf.DUMMYFUNCTION("""COMPUTED_VALUE"""),"#N/A")</f>
        <v>#N/A</v>
      </c>
      <c r="AE57" s="12" t="str">
        <f ca="1">IFERROR(__xludf.DUMMYFUNCTION("""COMPUTED_VALUE"""),"#N/A")</f>
        <v>#N/A</v>
      </c>
      <c r="AF57" s="12" t="str">
        <f ca="1">IFERROR(__xludf.DUMMYFUNCTION("""COMPUTED_VALUE"""),"#N/A")</f>
        <v>#N/A</v>
      </c>
      <c r="AG57" s="13" t="str">
        <f ca="1">IFERROR(__xludf.DUMMYFUNCTION("ArrayFormula(VLOOKUP(G57, IMPORTRANGE(""https://docs.google.com/spreadsheets/d/1Co934fvtviyaRiMsrIlT05Jaq7iiYq07aLvRr35KA48/edit?gid=173865642#gid=173865642"", ""'G9 Sci_Pri_LU'!G2:V2000""), {3, 4, 5, 6, 7, 8, 9, 10, 11, 12, 13, 14, 15, 16}, 0))"),"LU005844")</f>
        <v>LU005844</v>
      </c>
      <c r="AH57" s="22" t="str">
        <f ca="1">IFERROR(__xludf.DUMMYFUNCTION("""COMPUTED_VALUE"""),"Definition of a cell, variations in sizes, numbers, and shapes")</f>
        <v>Definition of a cell, variations in sizes, numbers, and shapes</v>
      </c>
      <c r="AI57" s="13" t="str">
        <f ca="1">IFERROR(__xludf.DUMMYFUNCTION("""COMPUTED_VALUE"""),"LU005845")</f>
        <v>LU005845</v>
      </c>
      <c r="AJ57" s="13" t="str">
        <f ca="1">IFERROR(__xludf.DUMMYFUNCTION("""COMPUTED_VALUE"""),"Parts of a cell (cell wall, cell membrane, nucleus, cytoplasm)")</f>
        <v>Parts of a cell (cell wall, cell membrane, nucleus, cytoplasm)</v>
      </c>
      <c r="AK57" s="13"/>
      <c r="AL57" s="13"/>
      <c r="AM57" s="13"/>
      <c r="AN57" s="13"/>
      <c r="AO57" s="13"/>
      <c r="AP57" s="13"/>
      <c r="AQ57" s="13"/>
      <c r="AR57" s="13"/>
      <c r="AS57" s="13"/>
      <c r="AT57" s="13"/>
    </row>
    <row r="58" spans="1:46">
      <c r="A58" s="8" t="s">
        <v>247</v>
      </c>
      <c r="B58" s="8" t="s">
        <v>47</v>
      </c>
      <c r="C58" s="8" t="s">
        <v>979</v>
      </c>
      <c r="D58" s="9" t="s">
        <v>1406</v>
      </c>
      <c r="E58" s="9" t="s">
        <v>2309</v>
      </c>
      <c r="F58" s="9" t="s">
        <v>2318</v>
      </c>
      <c r="G58" s="9" t="s">
        <v>2320</v>
      </c>
      <c r="H58" s="8" t="str">
        <f ca="1">IFERROR(__xludf.DUMMYFUNCTION("VLOOKUP(G58, IMPORTRANGE(""https://docs.google.com/spreadsheets/d/14deopnvwcrKtEGCKuYXdUHJbeLDZlkiSSWWT0g7x2pM/edit#gid=849066331"", ""LU List Science (Filter)!A:B""), 2, FALSE)"),"Function of a typical eukaryotic nucleus")</f>
        <v>Function of a typical eukaryotic nucleus</v>
      </c>
      <c r="I58" s="10" t="str">
        <f t="shared" si="0"/>
        <v>LU006233.001</v>
      </c>
      <c r="J58" s="10" t="str">
        <f ca="1">IFERROR(__xludf.DUMMYFUNCTION("VLOOKUP(I58, IMPORTRANGE(""https://docs.google.com/spreadsheets/d/1yDAaXNsi4Mr5FtRQL4tbmSdIzhx6_m4wkOD7IG-k_eo/edit#gid=1336395716"", ""Science!M:N""), 2, FALSE)"),"Identify the function of the nucleus in a typical eukaryotic cell.")</f>
        <v>Identify the function of the nucleus in a typical eukaryotic cell.</v>
      </c>
      <c r="K58" s="10" t="str">
        <f t="shared" si="1"/>
        <v>LU006233.002</v>
      </c>
      <c r="L58" s="10" t="str">
        <f ca="1">IFERROR(__xludf.DUMMYFUNCTION("VLOOKUP(K58, IMPORTRANGE(""https://docs.google.com/spreadsheets/d/1yDAaXNsi4Mr5FtRQL4tbmSdIzhx6_m4wkOD7IG-k_eo/edit#gid=1336395716"", ""Science!M:N""), 2, FALSE)"),"Explain how the nuclear membrane regulates the transfer of materials between the nucleus and cytoplasm.")</f>
        <v>Explain how the nuclear membrane regulates the transfer of materials between the nucleus and cytoplasm.</v>
      </c>
      <c r="M58" s="10" t="str">
        <f t="shared" si="2"/>
        <v>LU006233.003</v>
      </c>
      <c r="N58" s="10" t="str">
        <f ca="1">IFERROR(__xludf.DUMMYFUNCTION("VLOOKUP(M58, IMPORTRANGE(""https://docs.google.com/spreadsheets/d/1yDAaXNsi4Mr5FtRQL4tbmSdIzhx6_m4wkOD7IG-k_eo/edit#gid=1336395716"", ""Science!M:N""), 2, FALSE)"),"Illustrate the role of chromosomes in inheritance and cellular reproduction.")</f>
        <v>Illustrate the role of chromosomes in inheritance and cellular reproduction.</v>
      </c>
      <c r="O58" s="10" t="str">
        <f t="shared" si="3"/>
        <v>LU006233.004</v>
      </c>
      <c r="P58" s="10" t="str">
        <f ca="1">IFERROR(__xludf.DUMMYFUNCTION("VLOOKUP(O58, IMPORTRANGE(""https://docs.google.com/spreadsheets/d/1yDAaXNsi4Mr5FtRQL4tbmSdIzhx6_m4wkOD7IG-k_eo/edit#gid=1336395716"", ""Science!M:N""), 2, FALSE)"),"Compare chromatin and chromosomes in terms of structure and function.")</f>
        <v>Compare chromatin and chromosomes in terms of structure and function.</v>
      </c>
      <c r="Q58" s="10" t="str">
        <f t="shared" si="4"/>
        <v>LU006233.005</v>
      </c>
      <c r="R58" s="10" t="str">
        <f ca="1">IFERROR(__xludf.DUMMYFUNCTION("VLOOKUP(Q58, IMPORTRANGE(""https://docs.google.com/spreadsheets/d/1yDAaXNsi4Mr5FtRQL4tbmSdIzhx6_m4wkOD7IG-k_eo/edit#gid=1336395716"", ""Science!M:N""), 2, FALSE)"),"Evaluate the importance of the nucleus in directing the chemical activities and development of the cell.")</f>
        <v>Evaluate the importance of the nucleus in directing the chemical activities and development of the cell.</v>
      </c>
      <c r="S58" s="10" t="str">
        <f t="shared" si="5"/>
        <v>LU006233.006</v>
      </c>
      <c r="T58" s="10" t="str">
        <f ca="1">IFERROR(__xludf.DUMMYFUNCTION("VLOOKUP(S58, IMPORTRANGE(""https://docs.google.com/spreadsheets/d/1yDAaXNsi4Mr5FtRQL4tbmSdIzhx6_m4wkOD7IG-k_eo/edit#gid=1336395716"", ""Science!M:N""), 2, FALSE)"),"Design an experiment to observe the nucleus in cheek cells and onion peel cells, highlighting the differences and similarities.")</f>
        <v>Design an experiment to observe the nucleus in cheek cells and onion peel cells, highlighting the differences and similarities.</v>
      </c>
      <c r="U58" s="11" t="str">
        <f ca="1">IFERROR(__xludf.DUMMYFUNCTION("ArrayFormula(VLOOKUP(G58, IMPORTRANGE(""https://docs.google.com/spreadsheets/d/1p7R4vtkWt5VOBim4ltsDG9KTzSjrtKXsMtQGXPHyND0/edit#gid=795171502"", ""'Filter 30_05_2024'!A1:M2000""), {2, 3, 4, 5,6,7,8,9,10,11,12,13}, 0))"),"#N/A")</f>
        <v>#N/A</v>
      </c>
      <c r="V58" s="11" t="str">
        <f ca="1">IFERROR(__xludf.DUMMYFUNCTION("""COMPUTED_VALUE"""),"#N/A")</f>
        <v>#N/A</v>
      </c>
      <c r="W58" s="11" t="str">
        <f ca="1">IFERROR(__xludf.DUMMYFUNCTION("""COMPUTED_VALUE"""),"#N/A")</f>
        <v>#N/A</v>
      </c>
      <c r="X58" s="11" t="str">
        <f ca="1">IFERROR(__xludf.DUMMYFUNCTION("""COMPUTED_VALUE"""),"#N/A")</f>
        <v>#N/A</v>
      </c>
      <c r="Y58" s="11" t="str">
        <f ca="1">IFERROR(__xludf.DUMMYFUNCTION("""COMPUTED_VALUE"""),"#N/A")</f>
        <v>#N/A</v>
      </c>
      <c r="Z58" s="12" t="str">
        <f ca="1">IFERROR(__xludf.DUMMYFUNCTION("""COMPUTED_VALUE"""),"#N/A")</f>
        <v>#N/A</v>
      </c>
      <c r="AA58" s="12" t="str">
        <f ca="1">IFERROR(__xludf.DUMMYFUNCTION("""COMPUTED_VALUE"""),"#N/A")</f>
        <v>#N/A</v>
      </c>
      <c r="AB58" s="12" t="str">
        <f ca="1">IFERROR(__xludf.DUMMYFUNCTION("""COMPUTED_VALUE"""),"#N/A")</f>
        <v>#N/A</v>
      </c>
      <c r="AC58" s="12" t="str">
        <f ca="1">IFERROR(__xludf.DUMMYFUNCTION("""COMPUTED_VALUE"""),"#N/A")</f>
        <v>#N/A</v>
      </c>
      <c r="AD58" s="12" t="str">
        <f ca="1">IFERROR(__xludf.DUMMYFUNCTION("""COMPUTED_VALUE"""),"#N/A")</f>
        <v>#N/A</v>
      </c>
      <c r="AE58" s="12" t="str">
        <f ca="1">IFERROR(__xludf.DUMMYFUNCTION("""COMPUTED_VALUE"""),"#N/A")</f>
        <v>#N/A</v>
      </c>
      <c r="AF58" s="12" t="str">
        <f ca="1">IFERROR(__xludf.DUMMYFUNCTION("""COMPUTED_VALUE"""),"#N/A")</f>
        <v>#N/A</v>
      </c>
      <c r="AG58" s="13" t="str">
        <f ca="1">IFERROR(__xludf.DUMMYFUNCTION("ArrayFormula(VLOOKUP(G58, IMPORTRANGE(""https://docs.google.com/spreadsheets/d/1Co934fvtviyaRiMsrIlT05Jaq7iiYq07aLvRr35KA48/edit?gid=173865642#gid=173865642"", ""'G9 Sci_Pri_LU'!G2:V2000""), {3, 4, 5, 6, 7, 8, 9, 10, 11, 12, 13, 14, 15, 16}, 0))"),"LU005849")</f>
        <v>LU005849</v>
      </c>
      <c r="AH58" s="22" t="str">
        <f ca="1">IFERROR(__xludf.DUMMYFUNCTION("""COMPUTED_VALUE"""),"Definition of prokaryotic and eukaryotic cells")</f>
        <v>Definition of prokaryotic and eukaryotic cells</v>
      </c>
      <c r="AI58" s="13" t="str">
        <f ca="1">IFERROR(__xludf.DUMMYFUNCTION("""COMPUTED_VALUE"""),"LU005845")</f>
        <v>LU005845</v>
      </c>
      <c r="AJ58" s="13" t="str">
        <f ca="1">IFERROR(__xludf.DUMMYFUNCTION("""COMPUTED_VALUE"""),"Parts of a cell (cell wall, cell membrane, nucleus, cytoplasm)")</f>
        <v>Parts of a cell (cell wall, cell membrane, nucleus, cytoplasm)</v>
      </c>
      <c r="AK58" s="13"/>
      <c r="AL58" s="13"/>
      <c r="AM58" s="13"/>
      <c r="AN58" s="13"/>
      <c r="AO58" s="13"/>
      <c r="AP58" s="13"/>
      <c r="AQ58" s="13"/>
      <c r="AR58" s="13"/>
      <c r="AS58" s="13"/>
      <c r="AT58" s="13"/>
    </row>
    <row r="59" spans="1:46">
      <c r="A59" s="8" t="s">
        <v>247</v>
      </c>
      <c r="B59" s="8" t="s">
        <v>47</v>
      </c>
      <c r="C59" s="8" t="s">
        <v>979</v>
      </c>
      <c r="D59" s="9" t="s">
        <v>1406</v>
      </c>
      <c r="E59" s="9" t="s">
        <v>2309</v>
      </c>
      <c r="F59" s="9" t="s">
        <v>2321</v>
      </c>
      <c r="G59" s="114" t="s">
        <v>2322</v>
      </c>
      <c r="H59" s="8" t="str">
        <f ca="1">IFERROR(__xludf.DUMMYFUNCTION("VLOOKUP(G59, IMPORTRANGE(""https://docs.google.com/spreadsheets/d/14deopnvwcrKtEGCKuYXdUHJbeLDZlkiSSWWT0g7x2pM/edit#gid=849066331"", ""LU List Science (Filter)!A:B""), 2, FALSE)"),"Definition and role of the cytoplasm and cellular organelles")</f>
        <v>Definition and role of the cytoplasm and cellular organelles</v>
      </c>
      <c r="I59" s="10" t="str">
        <f t="shared" si="0"/>
        <v>LU006234.001</v>
      </c>
      <c r="J59" s="10" t="str">
        <f ca="1">IFERROR(__xludf.DUMMYFUNCTION("VLOOKUP(I59, IMPORTRANGE(""https://docs.google.com/spreadsheets/d/1yDAaXNsi4Mr5FtRQL4tbmSdIzhx6_m4wkOD7IG-k_eo/edit#gid=1336395716"", ""Science!M:N""), 2, FALSE)"),"Define the cytoplasm and its role in the cell.")</f>
        <v>Define the cytoplasm and its role in the cell.</v>
      </c>
      <c r="K59" s="10" t="str">
        <f t="shared" si="1"/>
        <v>LU006234.002</v>
      </c>
      <c r="L59" s="10" t="str">
        <f ca="1">IFERROR(__xludf.DUMMYFUNCTION("VLOOKUP(K59, IMPORTRANGE(""https://docs.google.com/spreadsheets/d/1yDAaXNsi4Mr5FtRQL4tbmSdIzhx6_m4wkOD7IG-k_eo/edit#gid=1336395716"", ""Science!M:N""), 2, FALSE)"),"Explain the function of cellular organelles and their importance in the cell.")</f>
        <v>Explain the function of cellular organelles and their importance in the cell.</v>
      </c>
      <c r="M59" s="10" t="str">
        <f t="shared" si="2"/>
        <v>LU006234.003</v>
      </c>
      <c r="N59" s="10" t="str">
        <f ca="1">IFERROR(__xludf.DUMMYFUNCTION("VLOOKUP(M59, IMPORTRANGE(""https://docs.google.com/spreadsheets/d/1yDAaXNsi4Mr5FtRQL4tbmSdIzhx6_m4wkOD7IG-k_eo/edit#gid=1336395716"", ""Science!M:N""), 2, FALSE)"),"Illustrate the differences between prokaryotic and eukaryotic cells regarding the presence of membrane-bound organelles.")</f>
        <v>Illustrate the differences between prokaryotic and eukaryotic cells regarding the presence of membrane-bound organelles.</v>
      </c>
      <c r="O59" s="10" t="str">
        <f t="shared" si="3"/>
        <v>LU006234.004</v>
      </c>
      <c r="P59" s="10" t="str">
        <f ca="1">IFERROR(__xludf.DUMMYFUNCTION("VLOOKUP(O59, IMPORTRANGE(""https://docs.google.com/spreadsheets/d/1yDAaXNsi4Mr5FtRQL4tbmSdIzhx6_m4wkOD7IG-k_eo/edit#gid=1336395716"", ""Science!M:N""), 2, FALSE)"),"Analyze how the presence of membrane-bound organelles distinguishes eukaryotic cells from prokaryotic cells.")</f>
        <v>Analyze how the presence of membrane-bound organelles distinguishes eukaryotic cells from prokaryotic cells.</v>
      </c>
      <c r="Q59" s="10" t="str">
        <f t="shared" si="4"/>
        <v>LU006234.005</v>
      </c>
      <c r="R59" s="10" t="str">
        <f ca="1">IFERROR(__xludf.DUMMYFUNCTION("VLOOKUP(Q59, IMPORTRANGE(""https://docs.google.com/spreadsheets/d/1yDAaXNsi4Mr5FtRQL4tbmSdIzhx6_m4wkOD7IG-k_eo/edit#gid=1336395716"", ""Science!M:N""), 2, FALSE)"),"Evaluate the significance of membranes in maintaining the functions and organization of cellular organelles.")</f>
        <v>Evaluate the significance of membranes in maintaining the functions and organization of cellular organelles.</v>
      </c>
      <c r="S59" s="10" t="str">
        <f t="shared" si="5"/>
        <v>LU006234.006</v>
      </c>
      <c r="T59" s="10" t="str">
        <f ca="1">IFERROR(__xludf.DUMMYFUNCTION("VLOOKUP(S59, IMPORTRANGE(""https://docs.google.com/spreadsheets/d/1yDAaXNsi4Mr5FtRQL4tbmSdIzhx6_m4wkOD7IG-k_eo/edit#gid=1336395716"", ""Science!M:N""), 2, FALSE)"),"Design an experiment to observe the cytoplasm and organelles in onion peel and human cheek cells using a microscope.")</f>
        <v>Design an experiment to observe the cytoplasm and organelles in onion peel and human cheek cells using a microscope.</v>
      </c>
      <c r="U59" s="11" t="str">
        <f ca="1">IFERROR(__xludf.DUMMYFUNCTION("ArrayFormula(VLOOKUP(G59, IMPORTRANGE(""https://docs.google.com/spreadsheets/d/1p7R4vtkWt5VOBim4ltsDG9KTzSjrtKXsMtQGXPHyND0/edit#gid=795171502"", ""'Filter 30_05_2024'!A1:M2000""), {2, 3, 4, 5,6,7,8,9,10,11,12,13}, 0))"),"#N/A")</f>
        <v>#N/A</v>
      </c>
      <c r="V59" s="11" t="str">
        <f ca="1">IFERROR(__xludf.DUMMYFUNCTION("""COMPUTED_VALUE"""),"#N/A")</f>
        <v>#N/A</v>
      </c>
      <c r="W59" s="11" t="str">
        <f ca="1">IFERROR(__xludf.DUMMYFUNCTION("""COMPUTED_VALUE"""),"#N/A")</f>
        <v>#N/A</v>
      </c>
      <c r="X59" s="11" t="str">
        <f ca="1">IFERROR(__xludf.DUMMYFUNCTION("""COMPUTED_VALUE"""),"#N/A")</f>
        <v>#N/A</v>
      </c>
      <c r="Y59" s="11" t="str">
        <f ca="1">IFERROR(__xludf.DUMMYFUNCTION("""COMPUTED_VALUE"""),"#N/A")</f>
        <v>#N/A</v>
      </c>
      <c r="Z59" s="12" t="str">
        <f ca="1">IFERROR(__xludf.DUMMYFUNCTION("""COMPUTED_VALUE"""),"#N/A")</f>
        <v>#N/A</v>
      </c>
      <c r="AA59" s="12" t="str">
        <f ca="1">IFERROR(__xludf.DUMMYFUNCTION("""COMPUTED_VALUE"""),"#N/A")</f>
        <v>#N/A</v>
      </c>
      <c r="AB59" s="12" t="str">
        <f ca="1">IFERROR(__xludf.DUMMYFUNCTION("""COMPUTED_VALUE"""),"#N/A")</f>
        <v>#N/A</v>
      </c>
      <c r="AC59" s="12" t="str">
        <f ca="1">IFERROR(__xludf.DUMMYFUNCTION("""COMPUTED_VALUE"""),"#N/A")</f>
        <v>#N/A</v>
      </c>
      <c r="AD59" s="12" t="str">
        <f ca="1">IFERROR(__xludf.DUMMYFUNCTION("""COMPUTED_VALUE"""),"#N/A")</f>
        <v>#N/A</v>
      </c>
      <c r="AE59" s="12" t="str">
        <f ca="1">IFERROR(__xludf.DUMMYFUNCTION("""COMPUTED_VALUE"""),"#N/A")</f>
        <v>#N/A</v>
      </c>
      <c r="AF59" s="12" t="str">
        <f ca="1">IFERROR(__xludf.DUMMYFUNCTION("""COMPUTED_VALUE"""),"#N/A")</f>
        <v>#N/A</v>
      </c>
      <c r="AG59" s="13" t="str">
        <f ca="1">IFERROR(__xludf.DUMMYFUNCTION("ArrayFormula(VLOOKUP(G59, IMPORTRANGE(""https://docs.google.com/spreadsheets/d/1Co934fvtviyaRiMsrIlT05Jaq7iiYq07aLvRr35KA48/edit?gid=173865642#gid=173865642"", ""'G9 Sci_Pri_LU'!G2:V2000""), {3, 4, 5, 6, 7, 8, 9, 10, 11, 12, 13, 14, 15, 16}, 0))"),"LU005845")</f>
        <v>LU005845</v>
      </c>
      <c r="AH59" s="22" t="str">
        <f ca="1">IFERROR(__xludf.DUMMYFUNCTION("""COMPUTED_VALUE"""),"Parts of a cell (cell wall, cell membrane, nucleus, cytoplasm)")</f>
        <v>Parts of a cell (cell wall, cell membrane, nucleus, cytoplasm)</v>
      </c>
      <c r="AI59" s="13" t="str">
        <f ca="1">IFERROR(__xludf.DUMMYFUNCTION("""COMPUTED_VALUE"""),"LU005844")</f>
        <v>LU005844</v>
      </c>
      <c r="AJ59" s="13" t="str">
        <f ca="1">IFERROR(__xludf.DUMMYFUNCTION("""COMPUTED_VALUE"""),"Definition of a cell, variations in sizes, numbers, and shapes")</f>
        <v>Definition of a cell, variations in sizes, numbers, and shapes</v>
      </c>
      <c r="AK59" s="13"/>
      <c r="AL59" s="13"/>
      <c r="AM59" s="13"/>
      <c r="AN59" s="13"/>
      <c r="AO59" s="13"/>
      <c r="AP59" s="13"/>
      <c r="AQ59" s="13"/>
      <c r="AR59" s="13"/>
      <c r="AS59" s="13"/>
      <c r="AT59" s="13"/>
    </row>
    <row r="60" spans="1:46">
      <c r="A60" s="8" t="s">
        <v>247</v>
      </c>
      <c r="B60" s="8" t="s">
        <v>47</v>
      </c>
      <c r="C60" s="8" t="s">
        <v>979</v>
      </c>
      <c r="D60" s="9" t="s">
        <v>1406</v>
      </c>
      <c r="E60" s="9" t="s">
        <v>2309</v>
      </c>
      <c r="F60" s="9" t="s">
        <v>2321</v>
      </c>
      <c r="G60" s="114" t="s">
        <v>2323</v>
      </c>
      <c r="H60" s="8" t="str">
        <f ca="1">IFERROR(__xludf.DUMMYFUNCTION("VLOOKUP(G60, IMPORTRANGE(""https://docs.google.com/spreadsheets/d/14deopnvwcrKtEGCKuYXdUHJbeLDZlkiSSWWT0g7x2pM/edit#gid=849066331"", ""LU List Science (Filter)!A:B""), 2, FALSE)"),"Introduction to Endoplasmic Reticulum")</f>
        <v>Introduction to Endoplasmic Reticulum</v>
      </c>
      <c r="I60" s="10" t="str">
        <f t="shared" si="0"/>
        <v>LU006235.001</v>
      </c>
      <c r="J60" s="10" t="str">
        <f ca="1">IFERROR(__xludf.DUMMYFUNCTION("VLOOKUP(I60, IMPORTRANGE(""https://docs.google.com/spreadsheets/d/1yDAaXNsi4Mr5FtRQL4tbmSdIzhx6_m4wkOD7IG-k_eo/edit#gid=1336395716"", ""Science!M:N""), 2, FALSE)"),"Define the endoplasmic reticulum (ER) and its structure.")</f>
        <v>Define the endoplasmic reticulum (ER) and its structure.</v>
      </c>
      <c r="K60" s="10" t="str">
        <f t="shared" si="1"/>
        <v>LU006235.002</v>
      </c>
      <c r="L60" s="10" t="str">
        <f ca="1">IFERROR(__xludf.DUMMYFUNCTION("VLOOKUP(K60, IMPORTRANGE(""https://docs.google.com/spreadsheets/d/1yDAaXNsi4Mr5FtRQL4tbmSdIzhx6_m4wkOD7IG-k_eo/edit#gid=1336395716"", ""Science!M:N""), 2, FALSE)"),"Explain the roles of rough endoplasmic reticulum (RER) and smooth endoplasmic reticulum (SER) in the cell.")</f>
        <v>Explain the roles of rough endoplasmic reticulum (RER) and smooth endoplasmic reticulum (SER) in the cell.</v>
      </c>
      <c r="M60" s="10" t="str">
        <f t="shared" si="2"/>
        <v>LU006235.003</v>
      </c>
      <c r="N60" s="10" t="str">
        <f ca="1">IFERROR(__xludf.DUMMYFUNCTION("VLOOKUP(M60, IMPORTRANGE(""https://docs.google.com/spreadsheets/d/1yDAaXNsi4Mr5FtRQL4tbmSdIzhx6_m4wkOD7IG-k_eo/edit#gid=1336395716"", ""Science!M:N""), 2, FALSE)"),"Illustrate the process of protein and lipid manufacture in the ER.")</f>
        <v>Illustrate the process of protein and lipid manufacture in the ER.</v>
      </c>
      <c r="O60" s="10" t="str">
        <f t="shared" si="3"/>
        <v>LU006235.004</v>
      </c>
      <c r="P60" s="10" t="str">
        <f ca="1">IFERROR(__xludf.DUMMYFUNCTION("VLOOKUP(O60, IMPORTRANGE(""https://docs.google.com/spreadsheets/d/1yDAaXNsi4Mr5FtRQL4tbmSdIzhx6_m4wkOD7IG-k_eo/edit#gid=1336395716"", ""Science!M:N""), 2, FALSE)"),"Compare the functions of RER and SER in terms of their contributions to the cell.")</f>
        <v>Compare the functions of RER and SER in terms of their contributions to the cell.</v>
      </c>
      <c r="Q60" s="10" t="str">
        <f t="shared" si="4"/>
        <v>LU006235.005</v>
      </c>
      <c r="R60" s="10" t="str">
        <f ca="1">IFERROR(__xludf.DUMMYFUNCTION("VLOOKUP(Q60, IMPORTRANGE(""https://docs.google.com/spreadsheets/d/1yDAaXNsi4Mr5FtRQL4tbmSdIzhx6_m4wkOD7IG-k_eo/edit#gid=1336395716"", ""Science!M:N""), 2, FALSE)"),"Evaluate the importance of ER in transporting materials and its role in detoxifying poisons in liver cells.")</f>
        <v>Evaluate the importance of ER in transporting materials and its role in detoxifying poisons in liver cells.</v>
      </c>
      <c r="S60" s="10" t="str">
        <f t="shared" si="5"/>
        <v>LU006235.006</v>
      </c>
      <c r="T60" s="10" t="str">
        <f ca="1">IFERROR(__xludf.DUMMYFUNCTION("VLOOKUP(S60, IMPORTRANGE(""https://docs.google.com/spreadsheets/d/1yDAaXNsi4Mr5FtRQL4tbmSdIzhx6_m4wkOD7IG-k_eo/edit#gid=1336395716"", ""Science!M:N""), 2, FALSE)"),"Design an experiment to observe the structure of RER and SER in cells using a microscope and staining techniques.")</f>
        <v>Design an experiment to observe the structure of RER and SER in cells using a microscope and staining techniques.</v>
      </c>
      <c r="U60" s="11" t="str">
        <f ca="1">IFERROR(__xludf.DUMMYFUNCTION("ArrayFormula(VLOOKUP(G60, IMPORTRANGE(""https://docs.google.com/spreadsheets/d/1p7R4vtkWt5VOBim4ltsDG9KTzSjrtKXsMtQGXPHyND0/edit#gid=795171502"", ""'Filter 30_05_2024'!A1:M2000""), {2, 3, 4, 5,6,7,8,9,10,11,12,13}, 0))"),"#N/A")</f>
        <v>#N/A</v>
      </c>
      <c r="V60" s="11" t="str">
        <f ca="1">IFERROR(__xludf.DUMMYFUNCTION("""COMPUTED_VALUE"""),"#N/A")</f>
        <v>#N/A</v>
      </c>
      <c r="W60" s="11" t="str">
        <f ca="1">IFERROR(__xludf.DUMMYFUNCTION("""COMPUTED_VALUE"""),"#N/A")</f>
        <v>#N/A</v>
      </c>
      <c r="X60" s="11" t="str">
        <f ca="1">IFERROR(__xludf.DUMMYFUNCTION("""COMPUTED_VALUE"""),"#N/A")</f>
        <v>#N/A</v>
      </c>
      <c r="Y60" s="11" t="str">
        <f ca="1">IFERROR(__xludf.DUMMYFUNCTION("""COMPUTED_VALUE"""),"#N/A")</f>
        <v>#N/A</v>
      </c>
      <c r="Z60" s="12" t="str">
        <f ca="1">IFERROR(__xludf.DUMMYFUNCTION("""COMPUTED_VALUE"""),"#N/A")</f>
        <v>#N/A</v>
      </c>
      <c r="AA60" s="12" t="str">
        <f ca="1">IFERROR(__xludf.DUMMYFUNCTION("""COMPUTED_VALUE"""),"#N/A")</f>
        <v>#N/A</v>
      </c>
      <c r="AB60" s="12" t="str">
        <f ca="1">IFERROR(__xludf.DUMMYFUNCTION("""COMPUTED_VALUE"""),"#N/A")</f>
        <v>#N/A</v>
      </c>
      <c r="AC60" s="12" t="str">
        <f ca="1">IFERROR(__xludf.DUMMYFUNCTION("""COMPUTED_VALUE"""),"#N/A")</f>
        <v>#N/A</v>
      </c>
      <c r="AD60" s="12" t="str">
        <f ca="1">IFERROR(__xludf.DUMMYFUNCTION("""COMPUTED_VALUE"""),"#N/A")</f>
        <v>#N/A</v>
      </c>
      <c r="AE60" s="12" t="str">
        <f ca="1">IFERROR(__xludf.DUMMYFUNCTION("""COMPUTED_VALUE"""),"#N/A")</f>
        <v>#N/A</v>
      </c>
      <c r="AF60" s="12" t="str">
        <f ca="1">IFERROR(__xludf.DUMMYFUNCTION("""COMPUTED_VALUE"""),"#N/A")</f>
        <v>#N/A</v>
      </c>
      <c r="AG60" s="13" t="str">
        <f ca="1">IFERROR(__xludf.DUMMYFUNCTION("ArrayFormula(VLOOKUP(G60, IMPORTRANGE(""https://docs.google.com/spreadsheets/d/1Co934fvtviyaRiMsrIlT05Jaq7iiYq07aLvRr35KA48/edit?gid=173865642#gid=173865642"", ""'G9 Sci_Pri_LU'!G2:V2000""), {3, 4, 5, 6, 7, 8, 9, 10, 11, 12, 13, 14, 15, 16}, 0))"),"LU005846")</f>
        <v>LU005846</v>
      </c>
      <c r="AH60" s="22" t="str">
        <f ca="1">IFERROR(__xludf.DUMMYFUNCTION("""COMPUTED_VALUE"""),"Basics of various cellular organelles")</f>
        <v>Basics of various cellular organelles</v>
      </c>
      <c r="AI60" s="13" t="str">
        <f ca="1">IFERROR(__xludf.DUMMYFUNCTION("""COMPUTED_VALUE"""),"LU005845")</f>
        <v>LU005845</v>
      </c>
      <c r="AJ60" s="13" t="str">
        <f ca="1">IFERROR(__xludf.DUMMYFUNCTION("""COMPUTED_VALUE"""),"Parts of a cell (cell wall, cell membrane, nucleus, cytoplasm)")</f>
        <v>Parts of a cell (cell wall, cell membrane, nucleus, cytoplasm)</v>
      </c>
      <c r="AK60" s="13" t="str">
        <f ca="1">IFERROR(__xludf.DUMMYFUNCTION("""COMPUTED_VALUE"""),"LU005844")</f>
        <v>LU005844</v>
      </c>
      <c r="AL60" s="13" t="str">
        <f ca="1">IFERROR(__xludf.DUMMYFUNCTION("""COMPUTED_VALUE"""),"Definition of a cell, variations in sizes, numbers, and shapes")</f>
        <v>Definition of a cell, variations in sizes, numbers, and shapes</v>
      </c>
      <c r="AM60" s="13"/>
      <c r="AN60" s="13"/>
      <c r="AO60" s="13"/>
      <c r="AP60" s="13"/>
      <c r="AQ60" s="13"/>
      <c r="AR60" s="13"/>
      <c r="AS60" s="13"/>
      <c r="AT60" s="13"/>
    </row>
    <row r="61" spans="1:46">
      <c r="A61" s="8" t="s">
        <v>247</v>
      </c>
      <c r="B61" s="8" t="s">
        <v>47</v>
      </c>
      <c r="C61" s="8" t="s">
        <v>979</v>
      </c>
      <c r="D61" s="9" t="s">
        <v>1406</v>
      </c>
      <c r="E61" s="9" t="s">
        <v>2309</v>
      </c>
      <c r="F61" s="9" t="s">
        <v>2324</v>
      </c>
      <c r="G61" s="114" t="s">
        <v>2325</v>
      </c>
      <c r="H61" s="8" t="str">
        <f ca="1">IFERROR(__xludf.DUMMYFUNCTION("VLOOKUP(G61, IMPORTRANGE(""https://docs.google.com/spreadsheets/d/14deopnvwcrKtEGCKuYXdUHJbeLDZlkiSSWWT0g7x2pM/edit#gid=849066331"", ""LU List Science (Filter)!A:B""), 2, FALSE)"),"Introduction to Golgi Apparatus")</f>
        <v>Introduction to Golgi Apparatus</v>
      </c>
      <c r="I61" s="10" t="str">
        <f t="shared" si="0"/>
        <v>LU006236.001</v>
      </c>
      <c r="J61" s="10" t="str">
        <f ca="1">IFERROR(__xludf.DUMMYFUNCTION("VLOOKUP(I61, IMPORTRANGE(""https://docs.google.com/spreadsheets/d/1yDAaXNsi4Mr5FtRQL4tbmSdIzhx6_m4wkOD7IG-k_eo/edit#gid=1336395716"", ""Science!M:N""), 2, FALSE)"),"Define the Golgi apparatus and its structure.")</f>
        <v>Define the Golgi apparatus and its structure.</v>
      </c>
      <c r="K61" s="10" t="str">
        <f t="shared" si="1"/>
        <v>LU006236.002</v>
      </c>
      <c r="L61" s="10" t="str">
        <f ca="1">IFERROR(__xludf.DUMMYFUNCTION("VLOOKUP(K61, IMPORTRANGE(""https://docs.google.com/spreadsheets/d/1yDAaXNsi4Mr5FtRQL4tbmSdIzhx6_m4wkOD7IG-k_eo/edit#gid=1336395716"", ""Science!M:N""), 2, FALSE)"),"Explain how the Golgi apparatus packages and modifies materials synthesized near the ER.")</f>
        <v>Explain how the Golgi apparatus packages and modifies materials synthesized near the ER.</v>
      </c>
      <c r="M61" s="10" t="str">
        <f t="shared" si="2"/>
        <v>LU006236.003</v>
      </c>
      <c r="N61" s="10" t="str">
        <f ca="1">IFERROR(__xludf.DUMMYFUNCTION("VLOOKUP(M61, IMPORTRANGE(""https://docs.google.com/spreadsheets/d/1yDAaXNsi4Mr5FtRQL4tbmSdIzhx6_m4wkOD7IG-k_eo/edit#gid=1336395716"", ""Science!M:N""), 2, FALSE)"),"Illustrate the process by which the Golgi apparatus transports materials within the cell.")</f>
        <v>Illustrate the process by which the Golgi apparatus transports materials within the cell.</v>
      </c>
      <c r="O61" s="10" t="str">
        <f t="shared" si="3"/>
        <v>LU006236.004</v>
      </c>
      <c r="P61" s="10" t="str">
        <f ca="1">IFERROR(__xludf.DUMMYFUNCTION("VLOOKUP(O61, IMPORTRANGE(""https://docs.google.com/spreadsheets/d/1yDAaXNsi4Mr5FtRQL4tbmSdIzhx6_m4wkOD7IG-k_eo/edit#gid=1336395716"", ""Science!M:N""), 2, FALSE)"),"Compare the function of the Golgi apparatus in packaging materials to that of the ER in synthesizing them.")</f>
        <v>Compare the function of the Golgi apparatus in packaging materials to that of the ER in synthesizing them.</v>
      </c>
      <c r="Q61" s="10" t="str">
        <f t="shared" si="4"/>
        <v>LU006236.005</v>
      </c>
      <c r="R61" s="10" t="str">
        <f ca="1">IFERROR(__xludf.DUMMYFUNCTION("VLOOKUP(Q61, IMPORTRANGE(""https://docs.google.com/spreadsheets/d/1yDAaXNsi4Mr5FtRQL4tbmSdIzhx6_m4wkOD7IG-k_eo/edit#gid=1336395716"", ""Science!M:N""), 2, FALSE)"),"Evaluate the importance of the Golgi apparatus in the cell’s overall functioning.")</f>
        <v>Evaluate the importance of the Golgi apparatus in the cell’s overall functioning.</v>
      </c>
      <c r="S61" s="10" t="str">
        <f t="shared" si="5"/>
        <v>LU006236.006</v>
      </c>
      <c r="T61" s="10" t="str">
        <f ca="1">IFERROR(__xludf.DUMMYFUNCTION("VLOOKUP(S61, IMPORTRANGE(""https://docs.google.com/spreadsheets/d/1yDAaXNsi4Mr5FtRQL4tbmSdIzhx6_m4wkOD7IG-k_eo/edit#gid=1336395716"", ""Science!M:N""), 2, FALSE)"),"Design a simple experiment to observe the Golgi apparatus in cells using staining techniques and a microscope.")</f>
        <v>Design a simple experiment to observe the Golgi apparatus in cells using staining techniques and a microscope.</v>
      </c>
      <c r="U61" s="11" t="str">
        <f ca="1">IFERROR(__xludf.DUMMYFUNCTION("ArrayFormula(VLOOKUP(G61, IMPORTRANGE(""https://docs.google.com/spreadsheets/d/1p7R4vtkWt5VOBim4ltsDG9KTzSjrtKXsMtQGXPHyND0/edit#gid=795171502"", ""'Filter 30_05_2024'!A1:M2000""), {2, 3, 4, 5,6,7,8,9,10,11,12,13}, 0))"),"#N/A")</f>
        <v>#N/A</v>
      </c>
      <c r="V61" s="11" t="str">
        <f ca="1">IFERROR(__xludf.DUMMYFUNCTION("""COMPUTED_VALUE"""),"#N/A")</f>
        <v>#N/A</v>
      </c>
      <c r="W61" s="11" t="str">
        <f ca="1">IFERROR(__xludf.DUMMYFUNCTION("""COMPUTED_VALUE"""),"#N/A")</f>
        <v>#N/A</v>
      </c>
      <c r="X61" s="11" t="str">
        <f ca="1">IFERROR(__xludf.DUMMYFUNCTION("""COMPUTED_VALUE"""),"#N/A")</f>
        <v>#N/A</v>
      </c>
      <c r="Y61" s="11" t="str">
        <f ca="1">IFERROR(__xludf.DUMMYFUNCTION("""COMPUTED_VALUE"""),"#N/A")</f>
        <v>#N/A</v>
      </c>
      <c r="Z61" s="12" t="str">
        <f ca="1">IFERROR(__xludf.DUMMYFUNCTION("""COMPUTED_VALUE"""),"#N/A")</f>
        <v>#N/A</v>
      </c>
      <c r="AA61" s="12" t="str">
        <f ca="1">IFERROR(__xludf.DUMMYFUNCTION("""COMPUTED_VALUE"""),"#N/A")</f>
        <v>#N/A</v>
      </c>
      <c r="AB61" s="12" t="str">
        <f ca="1">IFERROR(__xludf.DUMMYFUNCTION("""COMPUTED_VALUE"""),"#N/A")</f>
        <v>#N/A</v>
      </c>
      <c r="AC61" s="12" t="str">
        <f ca="1">IFERROR(__xludf.DUMMYFUNCTION("""COMPUTED_VALUE"""),"#N/A")</f>
        <v>#N/A</v>
      </c>
      <c r="AD61" s="12" t="str">
        <f ca="1">IFERROR(__xludf.DUMMYFUNCTION("""COMPUTED_VALUE"""),"#N/A")</f>
        <v>#N/A</v>
      </c>
      <c r="AE61" s="12" t="str">
        <f ca="1">IFERROR(__xludf.DUMMYFUNCTION("""COMPUTED_VALUE"""),"#N/A")</f>
        <v>#N/A</v>
      </c>
      <c r="AF61" s="12" t="str">
        <f ca="1">IFERROR(__xludf.DUMMYFUNCTION("""COMPUTED_VALUE"""),"#N/A")</f>
        <v>#N/A</v>
      </c>
      <c r="AG61" s="13" t="str">
        <f ca="1">IFERROR(__xludf.DUMMYFUNCTION("ArrayFormula(VLOOKUP(G61, IMPORTRANGE(""https://docs.google.com/spreadsheets/d/1Co934fvtviyaRiMsrIlT05Jaq7iiYq07aLvRr35KA48/edit?gid=173865642#gid=173865642"", ""'G9 Sci_Pri_LU'!G2:V2000""), {3, 4, 5, 6, 7, 8, 9, 10, 11, 12, 13, 14, 15, 16}, 0))"),"LU006235")</f>
        <v>LU006235</v>
      </c>
      <c r="AH61" s="22" t="str">
        <f ca="1">IFERROR(__xludf.DUMMYFUNCTION("""COMPUTED_VALUE"""),"Introduction to Endoplasmic Reticulum")</f>
        <v>Introduction to Endoplasmic Reticulum</v>
      </c>
      <c r="AI61" s="13" t="str">
        <f ca="1">IFERROR(__xludf.DUMMYFUNCTION("""COMPUTED_VALUE"""),"LU005846")</f>
        <v>LU005846</v>
      </c>
      <c r="AJ61" s="13" t="str">
        <f ca="1">IFERROR(__xludf.DUMMYFUNCTION("""COMPUTED_VALUE"""),"Basics of various cellular organelles")</f>
        <v>Basics of various cellular organelles</v>
      </c>
      <c r="AK61" s="13" t="str">
        <f ca="1">IFERROR(__xludf.DUMMYFUNCTION("""COMPUTED_VALUE"""),"LU005845")</f>
        <v>LU005845</v>
      </c>
      <c r="AL61" s="13" t="str">
        <f ca="1">IFERROR(__xludf.DUMMYFUNCTION("""COMPUTED_VALUE"""),"Parts of a cell (cell wall, cell membrane, nucleus, cytoplasm)")</f>
        <v>Parts of a cell (cell wall, cell membrane, nucleus, cytoplasm)</v>
      </c>
      <c r="AM61" s="13"/>
      <c r="AN61" s="13"/>
      <c r="AO61" s="13"/>
      <c r="AP61" s="13"/>
      <c r="AQ61" s="13"/>
      <c r="AR61" s="13"/>
      <c r="AS61" s="13"/>
      <c r="AT61" s="13"/>
    </row>
    <row r="62" spans="1:46">
      <c r="A62" s="8" t="s">
        <v>247</v>
      </c>
      <c r="B62" s="8" t="s">
        <v>47</v>
      </c>
      <c r="C62" s="8" t="s">
        <v>979</v>
      </c>
      <c r="D62" s="9" t="s">
        <v>1406</v>
      </c>
      <c r="E62" s="9" t="s">
        <v>2309</v>
      </c>
      <c r="F62" s="9" t="s">
        <v>2324</v>
      </c>
      <c r="G62" s="114" t="s">
        <v>2326</v>
      </c>
      <c r="H62" s="8" t="str">
        <f ca="1">IFERROR(__xludf.DUMMYFUNCTION("VLOOKUP(G62, IMPORTRANGE(""https://docs.google.com/spreadsheets/d/14deopnvwcrKtEGCKuYXdUHJbeLDZlkiSSWWT0g7x2pM/edit#gid=849066331"", ""LU List Science (Filter)!A:B""), 2, FALSE)"),"Introduction to Lysosomes")</f>
        <v>Introduction to Lysosomes</v>
      </c>
      <c r="I62" s="10" t="str">
        <f t="shared" si="0"/>
        <v>LU006237.001</v>
      </c>
      <c r="J62" s="10" t="str">
        <f ca="1">IFERROR(__xludf.DUMMYFUNCTION("VLOOKUP(I62, IMPORTRANGE(""https://docs.google.com/spreadsheets/d/1yDAaXNsi4Mr5FtRQL4tbmSdIzhx6_m4wkOD7IG-k_eo/edit#gid=1336395716"", ""Science!M:N""), 2, FALSE)"),"Define lysosomes and their structure.")</f>
        <v>Define lysosomes and their structure.</v>
      </c>
      <c r="K62" s="10" t="str">
        <f t="shared" si="1"/>
        <v>LU006237.002</v>
      </c>
      <c r="L62" s="10" t="str">
        <f ca="1">IFERROR(__xludf.DUMMYFUNCTION("VLOOKUP(K62, IMPORTRANGE(""https://docs.google.com/spreadsheets/d/1yDAaXNsi4Mr5FtRQL4tbmSdIzhx6_m4wkOD7IG-k_eo/edit#gid=1336395716"", ""Science!M:N""), 2, FALSE)"),"Explain the function of lysosomes in digesting foreign materials and worn-out cell organelles.")</f>
        <v>Explain the function of lysosomes in digesting foreign materials and worn-out cell organelles.</v>
      </c>
      <c r="M62" s="10" t="str">
        <f t="shared" si="2"/>
        <v>LU006237.003</v>
      </c>
      <c r="N62" s="10" t="str">
        <f ca="1">IFERROR(__xludf.DUMMYFUNCTION("VLOOKUP(M62, IMPORTRANGE(""https://docs.google.com/spreadsheets/d/1yDAaXNsi4Mr5FtRQL4tbmSdIzhx6_m4wkOD7IG-k_eo/edit#gid=1336395716"", ""Science!M:N""), 2, FALSE)"),"Illustrate how lysosomes break down complex substances into simpler substances using digestive enzymes.")</f>
        <v>Illustrate how lysosomes break down complex substances into simpler substances using digestive enzymes.</v>
      </c>
      <c r="O62" s="10" t="str">
        <f t="shared" si="3"/>
        <v>LU006237.004</v>
      </c>
      <c r="P62" s="10" t="str">
        <f ca="1">IFERROR(__xludf.DUMMYFUNCTION("VLOOKUP(O62, IMPORTRANGE(""https://docs.google.com/spreadsheets/d/1yDAaXNsi4Mr5FtRQL4tbmSdIzhx6_m4wkOD7IG-k_eo/edit#gid=1336395716"", ""Science!M:N""), 2, FALSE)"),"Compare the role of lysosomes in keeping the cell clean to that of other cell organelles.")</f>
        <v>Compare the role of lysosomes in keeping the cell clean to that of other cell organelles.</v>
      </c>
      <c r="Q62" s="10" t="str">
        <f t="shared" si="4"/>
        <v>LU006237.005</v>
      </c>
      <c r="R62" s="10" t="str">
        <f ca="1">IFERROR(__xludf.DUMMYFUNCTION("VLOOKUP(Q62, IMPORTRANGE(""https://docs.google.com/spreadsheets/d/1yDAaXNsi4Mr5FtRQL4tbmSdIzhx6_m4wkOD7IG-k_eo/edit#gid=1336395716"", ""Science!M:N""), 2, FALSE)"),"Evaluate why lysosomes are referred to as the ""suicide bags"" of the cell.")</f>
        <v>Evaluate why lysosomes are referred to as the "suicide bags" of the cell.</v>
      </c>
      <c r="S62" s="10" t="str">
        <f t="shared" si="5"/>
        <v>LU006237.006</v>
      </c>
      <c r="T62" s="10" t="str">
        <f ca="1">IFERROR(__xludf.DUMMYFUNCTION("VLOOKUP(S62, IMPORTRANGE(""https://docs.google.com/spreadsheets/d/1yDAaXNsi4Mr5FtRQL4tbmSdIzhx6_m4wkOD7IG-k_eo/edit#gid=1336395716"", ""Science!M:N""), 2, FALSE)"),"Design an experiment to observe the activity of lysosomes in cells under a microscope using staining techniques.")</f>
        <v>Design an experiment to observe the activity of lysosomes in cells under a microscope using staining techniques.</v>
      </c>
      <c r="U62" s="11" t="str">
        <f ca="1">IFERROR(__xludf.DUMMYFUNCTION("ArrayFormula(VLOOKUP(G62, IMPORTRANGE(""https://docs.google.com/spreadsheets/d/1p7R4vtkWt5VOBim4ltsDG9KTzSjrtKXsMtQGXPHyND0/edit#gid=795171502"", ""'Filter 30_05_2024'!A1:M2000""), {2, 3, 4, 5,6,7,8,9,10,11,12,13}, 0))"),"#N/A")</f>
        <v>#N/A</v>
      </c>
      <c r="V62" s="11" t="str">
        <f ca="1">IFERROR(__xludf.DUMMYFUNCTION("""COMPUTED_VALUE"""),"#N/A")</f>
        <v>#N/A</v>
      </c>
      <c r="W62" s="11" t="str">
        <f ca="1">IFERROR(__xludf.DUMMYFUNCTION("""COMPUTED_VALUE"""),"#N/A")</f>
        <v>#N/A</v>
      </c>
      <c r="X62" s="11" t="str">
        <f ca="1">IFERROR(__xludf.DUMMYFUNCTION("""COMPUTED_VALUE"""),"#N/A")</f>
        <v>#N/A</v>
      </c>
      <c r="Y62" s="11" t="str">
        <f ca="1">IFERROR(__xludf.DUMMYFUNCTION("""COMPUTED_VALUE"""),"#N/A")</f>
        <v>#N/A</v>
      </c>
      <c r="Z62" s="12" t="str">
        <f ca="1">IFERROR(__xludf.DUMMYFUNCTION("""COMPUTED_VALUE"""),"#N/A")</f>
        <v>#N/A</v>
      </c>
      <c r="AA62" s="12" t="str">
        <f ca="1">IFERROR(__xludf.DUMMYFUNCTION("""COMPUTED_VALUE"""),"#N/A")</f>
        <v>#N/A</v>
      </c>
      <c r="AB62" s="12" t="str">
        <f ca="1">IFERROR(__xludf.DUMMYFUNCTION("""COMPUTED_VALUE"""),"#N/A")</f>
        <v>#N/A</v>
      </c>
      <c r="AC62" s="12" t="str">
        <f ca="1">IFERROR(__xludf.DUMMYFUNCTION("""COMPUTED_VALUE"""),"#N/A")</f>
        <v>#N/A</v>
      </c>
      <c r="AD62" s="12" t="str">
        <f ca="1">IFERROR(__xludf.DUMMYFUNCTION("""COMPUTED_VALUE"""),"#N/A")</f>
        <v>#N/A</v>
      </c>
      <c r="AE62" s="12" t="str">
        <f ca="1">IFERROR(__xludf.DUMMYFUNCTION("""COMPUTED_VALUE"""),"#N/A")</f>
        <v>#N/A</v>
      </c>
      <c r="AF62" s="12" t="str">
        <f ca="1">IFERROR(__xludf.DUMMYFUNCTION("""COMPUTED_VALUE"""),"#N/A")</f>
        <v>#N/A</v>
      </c>
      <c r="AG62" s="13" t="str">
        <f ca="1">IFERROR(__xludf.DUMMYFUNCTION("ArrayFormula(VLOOKUP(G62, IMPORTRANGE(""https://docs.google.com/spreadsheets/d/1Co934fvtviyaRiMsrIlT05Jaq7iiYq07aLvRr35KA48/edit?gid=173865642#gid=173865642"", ""'G9 Sci_Pri_LU'!G2:V2000""), {3, 4, 5, 6, 7, 8, 9, 10, 11, 12, 13, 14, 15, 16}, 0))"),"LU006236")</f>
        <v>LU006236</v>
      </c>
      <c r="AH62" s="22" t="str">
        <f ca="1">IFERROR(__xludf.DUMMYFUNCTION("""COMPUTED_VALUE"""),"Introduction to Golgi Apparatus")</f>
        <v>Introduction to Golgi Apparatus</v>
      </c>
      <c r="AI62" s="13" t="str">
        <f ca="1">IFERROR(__xludf.DUMMYFUNCTION("""COMPUTED_VALUE"""),"LU006235")</f>
        <v>LU006235</v>
      </c>
      <c r="AJ62" s="13" t="str">
        <f ca="1">IFERROR(__xludf.DUMMYFUNCTION("""COMPUTED_VALUE"""),"Introduction to Endoplasmic Reticulum")</f>
        <v>Introduction to Endoplasmic Reticulum</v>
      </c>
      <c r="AK62" s="13" t="str">
        <f ca="1">IFERROR(__xludf.DUMMYFUNCTION("""COMPUTED_VALUE"""),"LU005846")</f>
        <v>LU005846</v>
      </c>
      <c r="AL62" s="13" t="str">
        <f ca="1">IFERROR(__xludf.DUMMYFUNCTION("""COMPUTED_VALUE"""),"Basics of various cellular organelles")</f>
        <v>Basics of various cellular organelles</v>
      </c>
      <c r="AM62" s="13"/>
      <c r="AN62" s="13"/>
      <c r="AO62" s="13"/>
      <c r="AP62" s="13"/>
      <c r="AQ62" s="13"/>
      <c r="AR62" s="13"/>
      <c r="AS62" s="13"/>
      <c r="AT62" s="13"/>
    </row>
    <row r="63" spans="1:46">
      <c r="A63" s="8" t="s">
        <v>247</v>
      </c>
      <c r="B63" s="8" t="s">
        <v>47</v>
      </c>
      <c r="C63" s="8" t="s">
        <v>979</v>
      </c>
      <c r="D63" s="9" t="s">
        <v>1406</v>
      </c>
      <c r="E63" s="9" t="s">
        <v>2309</v>
      </c>
      <c r="F63" s="9" t="s">
        <v>2327</v>
      </c>
      <c r="G63" s="114" t="s">
        <v>2328</v>
      </c>
      <c r="H63" s="8" t="str">
        <f ca="1">IFERROR(__xludf.DUMMYFUNCTION("VLOOKUP(G63, IMPORTRANGE(""https://docs.google.com/spreadsheets/d/14deopnvwcrKtEGCKuYXdUHJbeLDZlkiSSWWT0g7x2pM/edit#gid=849066331"", ""LU List Science (Filter)!A:B""), 2, FALSE)"),"Introduction to Mitochondria")</f>
        <v>Introduction to Mitochondria</v>
      </c>
      <c r="I63" s="10" t="str">
        <f t="shared" si="0"/>
        <v>LU006238.001</v>
      </c>
      <c r="J63" s="10" t="str">
        <f ca="1">IFERROR(__xludf.DUMMYFUNCTION("VLOOKUP(I63, IMPORTRANGE(""https://docs.google.com/spreadsheets/d/1yDAaXNsi4Mr5FtRQL4tbmSdIzhx6_m4wkOD7IG-k_eo/edit#gid=1336395716"", ""Science!M:N""), 2, FALSE)"),"Define mitochondria and their structure.")</f>
        <v>Define mitochondria and their structure.</v>
      </c>
      <c r="K63" s="10" t="str">
        <f t="shared" si="1"/>
        <v>LU006238.002</v>
      </c>
      <c r="L63" s="10" t="str">
        <f ca="1">IFERROR(__xludf.DUMMYFUNCTION("VLOOKUP(K63, IMPORTRANGE(""https://docs.google.com/spreadsheets/d/1yDAaXNsi4Mr5FtRQL4tbmSdIzhx6_m4wkOD7IG-k_eo/edit#gid=1336395716"", ""Science!M:N""), 2, FALSE)"),"Explain why mitochondria are known as the powerhouses of the cell.")</f>
        <v>Explain why mitochondria are known as the powerhouses of the cell.</v>
      </c>
      <c r="M63" s="10" t="str">
        <f t="shared" si="2"/>
        <v>LU006238.003</v>
      </c>
      <c r="N63" s="10" t="str">
        <f ca="1">IFERROR(__xludf.DUMMYFUNCTION("VLOOKUP(M63, IMPORTRANGE(""https://docs.google.com/spreadsheets/d/1yDAaXNsi4Mr5FtRQL4tbmSdIzhx6_m4wkOD7IG-k_eo/edit#gid=1336395716"", ""Science!M:N""), 2, FALSE)"),"Illustrate the role of the inner membrane folds in increasing surface area for ATP production.")</f>
        <v>Illustrate the role of the inner membrane folds in increasing surface area for ATP production.</v>
      </c>
      <c r="O63" s="10" t="str">
        <f t="shared" si="3"/>
        <v>LU006238.004</v>
      </c>
      <c r="P63" s="10" t="str">
        <f ca="1">IFERROR(__xludf.DUMMYFUNCTION("VLOOKUP(O63, IMPORTRANGE(""https://docs.google.com/spreadsheets/d/1yDAaXNsi4Mr5FtRQL4tbmSdIzhx6_m4wkOD7IG-k_eo/edit#gid=1336395716"", ""Science!M:N""), 2, FALSE)"),"Compare the structure of the inner and outer membranes of mitochondria.")</f>
        <v>Compare the structure of the inner and outer membranes of mitochondria.</v>
      </c>
      <c r="Q63" s="10" t="str">
        <f t="shared" si="4"/>
        <v>LU006238.005</v>
      </c>
      <c r="R63" s="10" t="str">
        <f ca="1">IFERROR(__xludf.DUMMYFUNCTION("VLOOKUP(Q63, IMPORTRANGE(""https://docs.google.com/spreadsheets/d/1yDAaXNsi4Mr5FtRQL4tbmSdIzhx6_m4wkOD7IG-k_eo/edit#gid=1336395716"", ""Science!M:N""), 2, FALSE)"),"Evaluate the significance of mitochondria having their own DNA and ribosomes.")</f>
        <v>Evaluate the significance of mitochondria having their own DNA and ribosomes.</v>
      </c>
      <c r="S63" s="10" t="str">
        <f t="shared" si="5"/>
        <v>LU006238.006</v>
      </c>
      <c r="T63" s="10" t="str">
        <f ca="1">IFERROR(__xludf.DUMMYFUNCTION("VLOOKUP(S63, IMPORTRANGE(""https://docs.google.com/spreadsheets/d/1yDAaXNsi4Mr5FtRQL4tbmSdIzhx6_m4wkOD7IG-k_eo/edit#gid=1336395716"", ""Science!M:N""), 2, FALSE)"),"Design an experiment to observe the structure of mitochondria in cells using a microscope.")</f>
        <v>Design an experiment to observe the structure of mitochondria in cells using a microscope.</v>
      </c>
      <c r="U63" s="11" t="str">
        <f ca="1">IFERROR(__xludf.DUMMYFUNCTION("ArrayFormula(VLOOKUP(G63, IMPORTRANGE(""https://docs.google.com/spreadsheets/d/1p7R4vtkWt5VOBim4ltsDG9KTzSjrtKXsMtQGXPHyND0/edit#gid=795171502"", ""'Filter 30_05_2024'!A1:M2000""), {2, 3, 4, 5,6,7,8,9,10,11,12,13}, 0))"),"#N/A")</f>
        <v>#N/A</v>
      </c>
      <c r="V63" s="11" t="str">
        <f ca="1">IFERROR(__xludf.DUMMYFUNCTION("""COMPUTED_VALUE"""),"#N/A")</f>
        <v>#N/A</v>
      </c>
      <c r="W63" s="11" t="str">
        <f ca="1">IFERROR(__xludf.DUMMYFUNCTION("""COMPUTED_VALUE"""),"#N/A")</f>
        <v>#N/A</v>
      </c>
      <c r="X63" s="11" t="str">
        <f ca="1">IFERROR(__xludf.DUMMYFUNCTION("""COMPUTED_VALUE"""),"#N/A")</f>
        <v>#N/A</v>
      </c>
      <c r="Y63" s="11" t="str">
        <f ca="1">IFERROR(__xludf.DUMMYFUNCTION("""COMPUTED_VALUE"""),"#N/A")</f>
        <v>#N/A</v>
      </c>
      <c r="Z63" s="12" t="str">
        <f ca="1">IFERROR(__xludf.DUMMYFUNCTION("""COMPUTED_VALUE"""),"#N/A")</f>
        <v>#N/A</v>
      </c>
      <c r="AA63" s="12" t="str">
        <f ca="1">IFERROR(__xludf.DUMMYFUNCTION("""COMPUTED_VALUE"""),"#N/A")</f>
        <v>#N/A</v>
      </c>
      <c r="AB63" s="12" t="str">
        <f ca="1">IFERROR(__xludf.DUMMYFUNCTION("""COMPUTED_VALUE"""),"#N/A")</f>
        <v>#N/A</v>
      </c>
      <c r="AC63" s="12" t="str">
        <f ca="1">IFERROR(__xludf.DUMMYFUNCTION("""COMPUTED_VALUE"""),"#N/A")</f>
        <v>#N/A</v>
      </c>
      <c r="AD63" s="12" t="str">
        <f ca="1">IFERROR(__xludf.DUMMYFUNCTION("""COMPUTED_VALUE"""),"#N/A")</f>
        <v>#N/A</v>
      </c>
      <c r="AE63" s="12" t="str">
        <f ca="1">IFERROR(__xludf.DUMMYFUNCTION("""COMPUTED_VALUE"""),"#N/A")</f>
        <v>#N/A</v>
      </c>
      <c r="AF63" s="12" t="str">
        <f ca="1">IFERROR(__xludf.DUMMYFUNCTION("""COMPUTED_VALUE"""),"#N/A")</f>
        <v>#N/A</v>
      </c>
      <c r="AG63" s="13" t="str">
        <f ca="1">IFERROR(__xludf.DUMMYFUNCTION("ArrayFormula(VLOOKUP(G63, IMPORTRANGE(""https://docs.google.com/spreadsheets/d/1Co934fvtviyaRiMsrIlT05Jaq7iiYq07aLvRr35KA48/edit?gid=173865642#gid=173865642"", ""'G9 Sci_Pri_LU'!G2:V2000""), {3, 4, 5, 6, 7, 8, 9, 10, 11, 12, 13, 14, 15, 16}, 0))"),"LU005435")</f>
        <v>LU005435</v>
      </c>
      <c r="AH63" s="22" t="str">
        <f ca="1">IFERROR(__xludf.DUMMYFUNCTION("""COMPUTED_VALUE"""),"Introduction to cellular, aerobic and anaerobic respiration")</f>
        <v>Introduction to cellular, aerobic and anaerobic respiration</v>
      </c>
      <c r="AI63" s="13" t="str">
        <f ca="1">IFERROR(__xludf.DUMMYFUNCTION("""COMPUTED_VALUE"""),"LU005846")</f>
        <v>LU005846</v>
      </c>
      <c r="AJ63" s="13" t="str">
        <f ca="1">IFERROR(__xludf.DUMMYFUNCTION("""COMPUTED_VALUE"""),"Basics of various cellular organelles")</f>
        <v>Basics of various cellular organelles</v>
      </c>
      <c r="AK63" s="13" t="str">
        <f ca="1">IFERROR(__xludf.DUMMYFUNCTION("""COMPUTED_VALUE"""),"LU005845")</f>
        <v>LU005845</v>
      </c>
      <c r="AL63" s="13" t="str">
        <f ca="1">IFERROR(__xludf.DUMMYFUNCTION("""COMPUTED_VALUE"""),"Parts of a cell (cell wall, cell membrane, nucleus, cytoplasm)")</f>
        <v>Parts of a cell (cell wall, cell membrane, nucleus, cytoplasm)</v>
      </c>
      <c r="AM63" s="13"/>
      <c r="AN63" s="13"/>
      <c r="AO63" s="13"/>
      <c r="AP63" s="13"/>
      <c r="AQ63" s="13"/>
      <c r="AR63" s="13"/>
      <c r="AS63" s="13"/>
      <c r="AT63" s="13"/>
    </row>
    <row r="64" spans="1:46">
      <c r="A64" s="8" t="s">
        <v>247</v>
      </c>
      <c r="B64" s="8" t="s">
        <v>47</v>
      </c>
      <c r="C64" s="8" t="s">
        <v>979</v>
      </c>
      <c r="D64" s="9" t="s">
        <v>1406</v>
      </c>
      <c r="E64" s="9" t="s">
        <v>2309</v>
      </c>
      <c r="F64" s="9" t="s">
        <v>2327</v>
      </c>
      <c r="G64" s="114" t="s">
        <v>2329</v>
      </c>
      <c r="H64" s="8" t="str">
        <f ca="1">IFERROR(__xludf.DUMMYFUNCTION("VLOOKUP(G64, IMPORTRANGE(""https://docs.google.com/spreadsheets/d/14deopnvwcrKtEGCKuYXdUHJbeLDZlkiSSWWT0g7x2pM/edit#gid=849066331"", ""LU List Science (Filter)!A:B""), 2, FALSE)"),"Introduction to Plastids")</f>
        <v>Introduction to Plastids</v>
      </c>
      <c r="I64" s="10" t="str">
        <f t="shared" si="0"/>
        <v>LU006239.001</v>
      </c>
      <c r="J64" s="10" t="str">
        <f ca="1">IFERROR(__xludf.DUMMYFUNCTION("VLOOKUP(I64, IMPORTRANGE(""https://docs.google.com/spreadsheets/d/1yDAaXNsi4Mr5FtRQL4tbmSdIzhx6_m4wkOD7IG-k_eo/edit#gid=1336395716"", ""Science!M:N""), 2, FALSE)"),"Define plastids and their types.")</f>
        <v>Define plastids and their types.</v>
      </c>
      <c r="K64" s="10" t="str">
        <f t="shared" si="1"/>
        <v>LU006239.002</v>
      </c>
      <c r="L64" s="10" t="str">
        <f ca="1">IFERROR(__xludf.DUMMYFUNCTION("VLOOKUP(K64, IMPORTRANGE(""https://docs.google.com/spreadsheets/d/1yDAaXNsi4Mr5FtRQL4tbmSdIzhx6_m4wkOD7IG-k_eo/edit#gid=1336395716"", ""Science!M:N""), 2, FALSE)"),"Explain the functions of chromoplasts and leucoplasts.")</f>
        <v>Explain the functions of chromoplasts and leucoplasts.</v>
      </c>
      <c r="M64" s="10" t="str">
        <f t="shared" si="2"/>
        <v>LU006239.003</v>
      </c>
      <c r="N64" s="10" t="str">
        <f ca="1">IFERROR(__xludf.DUMMYFUNCTION("VLOOKUP(M64, IMPORTRANGE(""https://docs.google.com/spreadsheets/d/1yDAaXNsi4Mr5FtRQL4tbmSdIzhx6_m4wkOD7IG-k_eo/edit#gid=1336395716"", ""Science!M:N""), 2, FALSE)"),"Illustrate the role of chloroplasts in photosynthesis.")</f>
        <v>Illustrate the role of chloroplasts in photosynthesis.</v>
      </c>
      <c r="O64" s="10" t="str">
        <f t="shared" si="3"/>
        <v>LU006239.004</v>
      </c>
      <c r="P64" s="10" t="str">
        <f ca="1">IFERROR(__xludf.DUMMYFUNCTION("VLOOKUP(O64, IMPORTRANGE(""https://docs.google.com/spreadsheets/d/1yDAaXNsi4Mr5FtRQL4tbmSdIzhx6_m4wkOD7IG-k_eo/edit#gid=1336395716"", ""Science!M:N""), 2, FALSE)"),"Compare chromoplasts and leucoplasts based on their functions and pigments.")</f>
        <v>Compare chromoplasts and leucoplasts based on their functions and pigments.</v>
      </c>
      <c r="Q64" s="10" t="str">
        <f t="shared" si="4"/>
        <v>LU006239.005</v>
      </c>
      <c r="R64" s="10" t="str">
        <f ca="1">IFERROR(__xludf.DUMMYFUNCTION("VLOOKUP(Q64, IMPORTRANGE(""https://docs.google.com/spreadsheets/d/1yDAaXNsi4Mr5FtRQL4tbmSdIzhx6_m4wkOD7IG-k_eo/edit#gid=1336395716"", ""Science!M:N""), 2, FALSE)"),"Evaluate the significance of plastids having their own DNA and ribosomes.")</f>
        <v>Evaluate the significance of plastids having their own DNA and ribosomes.</v>
      </c>
      <c r="S64" s="10" t="str">
        <f t="shared" si="5"/>
        <v>LU006239.006</v>
      </c>
      <c r="T64" s="10" t="str">
        <f ca="1">IFERROR(__xludf.DUMMYFUNCTION("VLOOKUP(S64, IMPORTRANGE(""https://docs.google.com/spreadsheets/d/1yDAaXNsi4Mr5FtRQL4tbmSdIzhx6_m4wkOD7IG-k_eo/edit#gid=1336395716"", ""Science!M:N""), 2, FALSE)"),"Design an experiment to observe plastids in plant cells using a microscope.")</f>
        <v>Design an experiment to observe plastids in plant cells using a microscope.</v>
      </c>
      <c r="U64" s="11" t="str">
        <f ca="1">IFERROR(__xludf.DUMMYFUNCTION("ArrayFormula(VLOOKUP(G64, IMPORTRANGE(""https://docs.google.com/spreadsheets/d/1p7R4vtkWt5VOBim4ltsDG9KTzSjrtKXsMtQGXPHyND0/edit#gid=795171502"", ""'Filter 30_05_2024'!A1:M2000""), {2, 3, 4, 5,6,7,8,9,10,11,12,13}, 0))"),"#N/A")</f>
        <v>#N/A</v>
      </c>
      <c r="V64" s="11" t="str">
        <f ca="1">IFERROR(__xludf.DUMMYFUNCTION("""COMPUTED_VALUE"""),"#N/A")</f>
        <v>#N/A</v>
      </c>
      <c r="W64" s="11" t="str">
        <f ca="1">IFERROR(__xludf.DUMMYFUNCTION("""COMPUTED_VALUE"""),"#N/A")</f>
        <v>#N/A</v>
      </c>
      <c r="X64" s="11" t="str">
        <f ca="1">IFERROR(__xludf.DUMMYFUNCTION("""COMPUTED_VALUE"""),"#N/A")</f>
        <v>#N/A</v>
      </c>
      <c r="Y64" s="11" t="str">
        <f ca="1">IFERROR(__xludf.DUMMYFUNCTION("""COMPUTED_VALUE"""),"#N/A")</f>
        <v>#N/A</v>
      </c>
      <c r="Z64" s="12" t="str">
        <f ca="1">IFERROR(__xludf.DUMMYFUNCTION("""COMPUTED_VALUE"""),"#N/A")</f>
        <v>#N/A</v>
      </c>
      <c r="AA64" s="12" t="str">
        <f ca="1">IFERROR(__xludf.DUMMYFUNCTION("""COMPUTED_VALUE"""),"#N/A")</f>
        <v>#N/A</v>
      </c>
      <c r="AB64" s="12" t="str">
        <f ca="1">IFERROR(__xludf.DUMMYFUNCTION("""COMPUTED_VALUE"""),"#N/A")</f>
        <v>#N/A</v>
      </c>
      <c r="AC64" s="12" t="str">
        <f ca="1">IFERROR(__xludf.DUMMYFUNCTION("""COMPUTED_VALUE"""),"#N/A")</f>
        <v>#N/A</v>
      </c>
      <c r="AD64" s="12" t="str">
        <f ca="1">IFERROR(__xludf.DUMMYFUNCTION("""COMPUTED_VALUE"""),"#N/A")</f>
        <v>#N/A</v>
      </c>
      <c r="AE64" s="12" t="str">
        <f ca="1">IFERROR(__xludf.DUMMYFUNCTION("""COMPUTED_VALUE"""),"#N/A")</f>
        <v>#N/A</v>
      </c>
      <c r="AF64" s="12" t="str">
        <f ca="1">IFERROR(__xludf.DUMMYFUNCTION("""COMPUTED_VALUE"""),"#N/A")</f>
        <v>#N/A</v>
      </c>
      <c r="AG64" s="13" t="str">
        <f ca="1">IFERROR(__xludf.DUMMYFUNCTION("ArrayFormula(VLOOKUP(G64, IMPORTRANGE(""https://docs.google.com/spreadsheets/d/1Co934fvtviyaRiMsrIlT05Jaq7iiYq07aLvRr35KA48/edit?gid=173865642#gid=173865642"", ""'G9 Sci_Pri_LU'!G2:V2000""), {3, 4, 5, 6, 7, 8, 9, 10, 11, 12, 13, 14, 15, 16}, 0))"),"LU005408")</f>
        <v>LU005408</v>
      </c>
      <c r="AH64" s="22" t="str">
        <f ca="1">IFERROR(__xludf.DUMMYFUNCTION("""COMPUTED_VALUE"""),"Elements in the Photosynthesis(stomata, vessels, pigments)")</f>
        <v>Elements in the Photosynthesis(stomata, vessels, pigments)</v>
      </c>
      <c r="AI64" s="13" t="str">
        <f ca="1">IFERROR(__xludf.DUMMYFUNCTION("""COMPUTED_VALUE"""),"LU006238")</f>
        <v>LU006238</v>
      </c>
      <c r="AJ64" s="13" t="str">
        <f ca="1">IFERROR(__xludf.DUMMYFUNCTION("""COMPUTED_VALUE"""),"Introduction to Mitochondria")</f>
        <v>Introduction to Mitochondria</v>
      </c>
      <c r="AK64" s="13" t="str">
        <f ca="1">IFERROR(__xludf.DUMMYFUNCTION("""COMPUTED_VALUE"""),"LU005848")</f>
        <v>LU005848</v>
      </c>
      <c r="AL64" s="13" t="str">
        <f ca="1">IFERROR(__xludf.DUMMYFUNCTION("""COMPUTED_VALUE"""),"Comparison between plant and animal cells")</f>
        <v>Comparison between plant and animal cells</v>
      </c>
      <c r="AM64" s="13"/>
      <c r="AN64" s="13"/>
      <c r="AO64" s="13"/>
      <c r="AP64" s="13"/>
      <c r="AQ64" s="13"/>
      <c r="AR64" s="13"/>
      <c r="AS64" s="13"/>
      <c r="AT64" s="13"/>
    </row>
    <row r="65" spans="1:46">
      <c r="A65" s="8" t="s">
        <v>247</v>
      </c>
      <c r="B65" s="8" t="s">
        <v>47</v>
      </c>
      <c r="C65" s="8" t="s">
        <v>979</v>
      </c>
      <c r="D65" s="9" t="s">
        <v>1406</v>
      </c>
      <c r="E65" s="9" t="s">
        <v>2309</v>
      </c>
      <c r="F65" s="9" t="s">
        <v>2327</v>
      </c>
      <c r="G65" s="114" t="s">
        <v>2330</v>
      </c>
      <c r="H65" s="8" t="str">
        <f ca="1">IFERROR(__xludf.DUMMYFUNCTION("VLOOKUP(G65, IMPORTRANGE(""https://docs.google.com/spreadsheets/d/14deopnvwcrKtEGCKuYXdUHJbeLDZlkiSSWWT0g7x2pM/edit#gid=849066331"", ""LU List Science (Filter)!A:B""), 2, FALSE)"),"Introduction to Vacuoles")</f>
        <v>Introduction to Vacuoles</v>
      </c>
      <c r="I65" s="10" t="str">
        <f t="shared" si="0"/>
        <v>LU006240.001</v>
      </c>
      <c r="J65" s="10" t="str">
        <f ca="1">IFERROR(__xludf.DUMMYFUNCTION("VLOOKUP(I65, IMPORTRANGE(""https://docs.google.com/spreadsheets/d/1yDAaXNsi4Mr5FtRQL4tbmSdIzhx6_m4wkOD7IG-k_eo/edit#gid=1336395716"", ""Science!M:N""), 2, FALSE)"),"Define vacuoles and their role in cells.")</f>
        <v>Define vacuoles and their role in cells.</v>
      </c>
      <c r="K65" s="10" t="str">
        <f t="shared" si="1"/>
        <v>LU006240.002</v>
      </c>
      <c r="L65" s="10" t="str">
        <f ca="1">IFERROR(__xludf.DUMMYFUNCTION("VLOOKUP(K65, IMPORTRANGE(""https://docs.google.com/spreadsheets/d/1yDAaXNsi4Mr5FtRQL4tbmSdIzhx6_m4wkOD7IG-k_eo/edit#gid=1336395716"", ""Science!M:N""), 2, FALSE)"),"Explain the difference in vacuole size between plant and animal cells.")</f>
        <v>Explain the difference in vacuole size between plant and animal cells.</v>
      </c>
      <c r="M65" s="10" t="str">
        <f t="shared" si="2"/>
        <v>LU006240.003</v>
      </c>
      <c r="N65" s="10" t="str">
        <f ca="1">IFERROR(__xludf.DUMMYFUNCTION("VLOOKUP(M65, IMPORTRANGE(""https://docs.google.com/spreadsheets/d/1yDAaXNsi4Mr5FtRQL4tbmSdIzhx6_m4wkOD7IG-k_eo/edit#gid=1336395716"", ""Science!M:N""), 2, FALSE)"),"Illustrate how vacuoles provide turgidity and rigidity to plant cells.")</f>
        <v>Illustrate how vacuoles provide turgidity and rigidity to plant cells.</v>
      </c>
      <c r="O65" s="10" t="str">
        <f t="shared" si="3"/>
        <v>LU006240.004</v>
      </c>
      <c r="P65" s="10" t="str">
        <f ca="1">IFERROR(__xludf.DUMMYFUNCTION("VLOOKUP(O65, IMPORTRANGE(""https://docs.google.com/spreadsheets/d/1yDAaXNsi4Mr5FtRQL4tbmSdIzhx6_m4wkOD7IG-k_eo/edit#gid=1336395716"", ""Science!M:N""), 2, FALSE)"),"Compare the function of vacuoles in plant cells and single-celled organisms like Amoeba.")</f>
        <v>Compare the function of vacuoles in plant cells and single-celled organisms like Amoeba.</v>
      </c>
      <c r="Q65" s="10" t="str">
        <f t="shared" si="4"/>
        <v>LU006240.005</v>
      </c>
      <c r="R65" s="10" t="str">
        <f ca="1">IFERROR(__xludf.DUMMYFUNCTION("VLOOKUP(Q65, IMPORTRANGE(""https://docs.google.com/spreadsheets/d/1yDAaXNsi4Mr5FtRQL4tbmSdIzhx6_m4wkOD7IG-k_eo/edit#gid=1336395716"", ""Science!M:N""), 2, FALSE)"),"Evaluate the importance of vacuoles in storing substances and maintaining cell health.")</f>
        <v>Evaluate the importance of vacuoles in storing substances and maintaining cell health.</v>
      </c>
      <c r="S65" s="10" t="str">
        <f t="shared" si="5"/>
        <v>LU006240.006</v>
      </c>
      <c r="T65" s="10" t="str">
        <f ca="1">IFERROR(__xludf.DUMMYFUNCTION("VLOOKUP(S65, IMPORTRANGE(""https://docs.google.com/spreadsheets/d/1yDAaXNsi4Mr5FtRQL4tbmSdIzhx6_m4wkOD7IG-k_eo/edit#gid=1336395716"", ""Science!M:N""), 2, FALSE)"),"Design an experiment to observe vacuoles in plant cells under a microscope using staining techniques.")</f>
        <v>Design an experiment to observe vacuoles in plant cells under a microscope using staining techniques.</v>
      </c>
      <c r="U65" s="11" t="str">
        <f ca="1">IFERROR(__xludf.DUMMYFUNCTION("ArrayFormula(VLOOKUP(G65, IMPORTRANGE(""https://docs.google.com/spreadsheets/d/1p7R4vtkWt5VOBim4ltsDG9KTzSjrtKXsMtQGXPHyND0/edit#gid=795171502"", ""'Filter 30_05_2024'!A1:M2000""), {2, 3, 4, 5,6,7,8,9,10,11,12,13}, 0))"),"#N/A")</f>
        <v>#N/A</v>
      </c>
      <c r="V65" s="11" t="str">
        <f ca="1">IFERROR(__xludf.DUMMYFUNCTION("""COMPUTED_VALUE"""),"#N/A")</f>
        <v>#N/A</v>
      </c>
      <c r="W65" s="11" t="str">
        <f ca="1">IFERROR(__xludf.DUMMYFUNCTION("""COMPUTED_VALUE"""),"#N/A")</f>
        <v>#N/A</v>
      </c>
      <c r="X65" s="11" t="str">
        <f ca="1">IFERROR(__xludf.DUMMYFUNCTION("""COMPUTED_VALUE"""),"#N/A")</f>
        <v>#N/A</v>
      </c>
      <c r="Y65" s="11" t="str">
        <f ca="1">IFERROR(__xludf.DUMMYFUNCTION("""COMPUTED_VALUE"""),"#N/A")</f>
        <v>#N/A</v>
      </c>
      <c r="Z65" s="12" t="str">
        <f ca="1">IFERROR(__xludf.DUMMYFUNCTION("""COMPUTED_VALUE"""),"#N/A")</f>
        <v>#N/A</v>
      </c>
      <c r="AA65" s="12" t="str">
        <f ca="1">IFERROR(__xludf.DUMMYFUNCTION("""COMPUTED_VALUE"""),"#N/A")</f>
        <v>#N/A</v>
      </c>
      <c r="AB65" s="12" t="str">
        <f ca="1">IFERROR(__xludf.DUMMYFUNCTION("""COMPUTED_VALUE"""),"#N/A")</f>
        <v>#N/A</v>
      </c>
      <c r="AC65" s="12" t="str">
        <f ca="1">IFERROR(__xludf.DUMMYFUNCTION("""COMPUTED_VALUE"""),"#N/A")</f>
        <v>#N/A</v>
      </c>
      <c r="AD65" s="12" t="str">
        <f ca="1">IFERROR(__xludf.DUMMYFUNCTION("""COMPUTED_VALUE"""),"#N/A")</f>
        <v>#N/A</v>
      </c>
      <c r="AE65" s="12" t="str">
        <f ca="1">IFERROR(__xludf.DUMMYFUNCTION("""COMPUTED_VALUE"""),"#N/A")</f>
        <v>#N/A</v>
      </c>
      <c r="AF65" s="12" t="str">
        <f ca="1">IFERROR(__xludf.DUMMYFUNCTION("""COMPUTED_VALUE"""),"#N/A")</f>
        <v>#N/A</v>
      </c>
      <c r="AG65" s="13" t="str">
        <f ca="1">IFERROR(__xludf.DUMMYFUNCTION("ArrayFormula(VLOOKUP(G65, IMPORTRANGE(""https://docs.google.com/spreadsheets/d/1Co934fvtviyaRiMsrIlT05Jaq7iiYq07aLvRr35KA48/edit?gid=173865642#gid=173865642"", ""'G9 Sci_Pri_LU'!G2:V2000""), {3, 4, 5, 6, 7, 8, 9, 10, 11, 12, 13, 14, 15, 16}, 0))"),"LU006231")</f>
        <v>LU006231</v>
      </c>
      <c r="AH65" s="22" t="str">
        <f ca="1">IFERROR(__xludf.DUMMYFUNCTION("""COMPUTED_VALUE"""),"Concept of Hypotonic, Isotonic and Hypertonic solution")</f>
        <v>Concept of Hypotonic, Isotonic and Hypertonic solution</v>
      </c>
      <c r="AI65" s="13" t="str">
        <f ca="1">IFERROR(__xludf.DUMMYFUNCTION("""COMPUTED_VALUE"""),"LU006232")</f>
        <v>LU006232</v>
      </c>
      <c r="AJ65" s="13" t="str">
        <f ca="1">IFERROR(__xludf.DUMMYFUNCTION("""COMPUTED_VALUE"""),"Basic Function of a plant cell wall")</f>
        <v>Basic Function of a plant cell wall</v>
      </c>
      <c r="AK65" s="13" t="str">
        <f ca="1">IFERROR(__xludf.DUMMYFUNCTION("""COMPUTED_VALUE"""),"LU005845")</f>
        <v>LU005845</v>
      </c>
      <c r="AL65" s="13" t="str">
        <f ca="1">IFERROR(__xludf.DUMMYFUNCTION("""COMPUTED_VALUE"""),"Parts of a cell (cell wall, cell membrane, nucleus, cytoplasm)")</f>
        <v>Parts of a cell (cell wall, cell membrane, nucleus, cytoplasm)</v>
      </c>
      <c r="AM65" s="13"/>
      <c r="AN65" s="13"/>
      <c r="AO65" s="13"/>
      <c r="AP65" s="13"/>
      <c r="AQ65" s="13"/>
      <c r="AR65" s="13"/>
      <c r="AS65" s="13"/>
      <c r="AT65" s="13"/>
    </row>
    <row r="66" spans="1:46">
      <c r="A66" s="8" t="s">
        <v>247</v>
      </c>
      <c r="B66" s="8" t="s">
        <v>47</v>
      </c>
      <c r="C66" s="8" t="s">
        <v>979</v>
      </c>
      <c r="D66" s="9" t="s">
        <v>1406</v>
      </c>
      <c r="E66" s="9" t="s">
        <v>2309</v>
      </c>
      <c r="F66" s="9" t="s">
        <v>2331</v>
      </c>
      <c r="G66" s="114" t="s">
        <v>2332</v>
      </c>
      <c r="H66" s="8" t="str">
        <f ca="1">IFERROR(__xludf.DUMMYFUNCTION("VLOOKUP(G66, IMPORTRANGE(""https://docs.google.com/spreadsheets/d/14deopnvwcrKtEGCKuYXdUHJbeLDZlkiSSWWT0g7x2pM/edit#gid=849066331"", ""LU List Science (Filter)!A:B""), 2, FALSE)"),"Introduction to Cell Division(Mitosis and Meiosis)")</f>
        <v>Introduction to Cell Division(Mitosis and Meiosis)</v>
      </c>
      <c r="I66" s="10" t="str">
        <f t="shared" si="0"/>
        <v>LU006241.001</v>
      </c>
      <c r="J66" s="10" t="str">
        <f ca="1">IFERROR(__xludf.DUMMYFUNCTION("VLOOKUP(I66, IMPORTRANGE(""https://docs.google.com/spreadsheets/d/1yDAaXNsi4Mr5FtRQL4tbmSdIzhx6_m4wkOD7IG-k_eo/edit#gid=1336395716"", ""Science!M:N""), 2, FALSE)"),"Define cell division and the two main types: mitosis and meiosis.")</f>
        <v>Define cell division and the two main types: mitosis and meiosis.</v>
      </c>
      <c r="K66" s="10" t="str">
        <f t="shared" si="1"/>
        <v>LU006241.002</v>
      </c>
      <c r="L66" s="10" t="str">
        <f ca="1">IFERROR(__xludf.DUMMYFUNCTION("VLOOKUP(K66, IMPORTRANGE(""https://docs.google.com/spreadsheets/d/1yDAaXNsi4Mr5FtRQL4tbmSdIzhx6_m4wkOD7IG-k_eo/edit#gid=1336395716"", ""Science!M:N""), 2, FALSE)"),"Explain the purpose of mitosis and meiosis in growth, repair, and reproduction.")</f>
        <v>Explain the purpose of mitosis and meiosis in growth, repair, and reproduction.</v>
      </c>
      <c r="M66" s="10" t="str">
        <f t="shared" si="2"/>
        <v>LU006241.003</v>
      </c>
      <c r="N66" s="10" t="str">
        <f ca="1">IFERROR(__xludf.DUMMYFUNCTION("VLOOKUP(M66, IMPORTRANGE(""https://docs.google.com/spreadsheets/d/1yDAaXNsi4Mr5FtRQL4tbmSdIzhx6_m4wkOD7IG-k_eo/edit#gid=1336395716"", ""Science!M:N""), 2, FALSE)"),"Illustrate the process of mitosis and meiosis using diagrams to show the stages.")</f>
        <v>Illustrate the process of mitosis and meiosis using diagrams to show the stages.</v>
      </c>
      <c r="O66" s="10" t="str">
        <f t="shared" si="3"/>
        <v>LU006241.004</v>
      </c>
      <c r="P66" s="10" t="str">
        <f ca="1">IFERROR(__xludf.DUMMYFUNCTION("VLOOKUP(O66, IMPORTRANGE(""https://docs.google.com/spreadsheets/d/1yDAaXNsi4Mr5FtRQL4tbmSdIzhx6_m4wkOD7IG-k_eo/edit#gid=1336395716"", ""Science!M:N""), 2, FALSE)"),"Compare the outcomes of mitosis and meiosis in terms of chromosome number and type of cells produced.")</f>
        <v>Compare the outcomes of mitosis and meiosis in terms of chromosome number and type of cells produced.</v>
      </c>
      <c r="Q66" s="10" t="str">
        <f t="shared" si="4"/>
        <v>LU006241.005</v>
      </c>
      <c r="R66" s="10" t="str">
        <f ca="1">IFERROR(__xludf.DUMMYFUNCTION("VLOOKUP(Q66, IMPORTRANGE(""https://docs.google.com/spreadsheets/d/1yDAaXNsi4Mr5FtRQL4tbmSdIzhx6_m4wkOD7IG-k_eo/edit#gid=1336395716"", ""Science!M:N""), 2, FALSE)"),"Evaluate the significance of chromosome reduction in meiosis for sexual reproduction.")</f>
        <v>Evaluate the significance of chromosome reduction in meiosis for sexual reproduction.</v>
      </c>
      <c r="S66" s="10" t="str">
        <f t="shared" si="5"/>
        <v>LU006241.006</v>
      </c>
      <c r="T66" s="10" t="str">
        <f ca="1">IFERROR(__xludf.DUMMYFUNCTION("VLOOKUP(S66, IMPORTRANGE(""https://docs.google.com/spreadsheets/d/1yDAaXNsi4Mr5FtRQL4tbmSdIzhx6_m4wkOD7IG-k_eo/edit#gid=1336395716"", ""Science!M:N""), 2, FALSE)"),"Design an experiment or activity to observe the stages of mitosis in onion root tips under a microscope.")</f>
        <v>Design an experiment or activity to observe the stages of mitosis in onion root tips under a microscope.</v>
      </c>
      <c r="U66" s="11" t="str">
        <f ca="1">IFERROR(__xludf.DUMMYFUNCTION("ArrayFormula(VLOOKUP(G66, IMPORTRANGE(""https://docs.google.com/spreadsheets/d/1p7R4vtkWt5VOBim4ltsDG9KTzSjrtKXsMtQGXPHyND0/edit#gid=795171502"", ""'Filter 30_05_2024'!A1:M2000""), {2, 3, 4, 5,6,7,8,9,10,11,12,13}, 0))"),"#N/A")</f>
        <v>#N/A</v>
      </c>
      <c r="V66" s="11" t="str">
        <f ca="1">IFERROR(__xludf.DUMMYFUNCTION("""COMPUTED_VALUE"""),"#N/A")</f>
        <v>#N/A</v>
      </c>
      <c r="W66" s="11" t="str">
        <f ca="1">IFERROR(__xludf.DUMMYFUNCTION("""COMPUTED_VALUE"""),"#N/A")</f>
        <v>#N/A</v>
      </c>
      <c r="X66" s="11" t="str">
        <f ca="1">IFERROR(__xludf.DUMMYFUNCTION("""COMPUTED_VALUE"""),"#N/A")</f>
        <v>#N/A</v>
      </c>
      <c r="Y66" s="11" t="str">
        <f ca="1">IFERROR(__xludf.DUMMYFUNCTION("""COMPUTED_VALUE"""),"#N/A")</f>
        <v>#N/A</v>
      </c>
      <c r="Z66" s="12" t="str">
        <f ca="1">IFERROR(__xludf.DUMMYFUNCTION("""COMPUTED_VALUE"""),"#N/A")</f>
        <v>#N/A</v>
      </c>
      <c r="AA66" s="12" t="str">
        <f ca="1">IFERROR(__xludf.DUMMYFUNCTION("""COMPUTED_VALUE"""),"#N/A")</f>
        <v>#N/A</v>
      </c>
      <c r="AB66" s="12" t="str">
        <f ca="1">IFERROR(__xludf.DUMMYFUNCTION("""COMPUTED_VALUE"""),"#N/A")</f>
        <v>#N/A</v>
      </c>
      <c r="AC66" s="12" t="str">
        <f ca="1">IFERROR(__xludf.DUMMYFUNCTION("""COMPUTED_VALUE"""),"#N/A")</f>
        <v>#N/A</v>
      </c>
      <c r="AD66" s="12" t="str">
        <f ca="1">IFERROR(__xludf.DUMMYFUNCTION("""COMPUTED_VALUE"""),"#N/A")</f>
        <v>#N/A</v>
      </c>
      <c r="AE66" s="12" t="str">
        <f ca="1">IFERROR(__xludf.DUMMYFUNCTION("""COMPUTED_VALUE"""),"#N/A")</f>
        <v>#N/A</v>
      </c>
      <c r="AF66" s="12" t="str">
        <f ca="1">IFERROR(__xludf.DUMMYFUNCTION("""COMPUTED_VALUE"""),"#N/A")</f>
        <v>#N/A</v>
      </c>
      <c r="AG66" s="13" t="str">
        <f ca="1">IFERROR(__xludf.DUMMYFUNCTION("ArrayFormula(VLOOKUP(G66, IMPORTRANGE(""https://docs.google.com/spreadsheets/d/1Co934fvtviyaRiMsrIlT05Jaq7iiYq07aLvRr35KA48/edit?gid=173865642#gid=173865642"", ""'G9 Sci_Pri_LU'!G2:V2000""), {3, 4, 5, 6, 7, 8, 9, 10, 11, 12, 13, 14, 15, 16}, 0))"),"LU006233")</f>
        <v>LU006233</v>
      </c>
      <c r="AH66" s="22" t="str">
        <f ca="1">IFERROR(__xludf.DUMMYFUNCTION("""COMPUTED_VALUE"""),"Function of a typical eukaryotic nucleus")</f>
        <v>Function of a typical eukaryotic nucleus</v>
      </c>
      <c r="AI66" s="13" t="str">
        <f ca="1">IFERROR(__xludf.DUMMYFUNCTION("""COMPUTED_VALUE"""),"LU005911")</f>
        <v>LU005911</v>
      </c>
      <c r="AJ66" s="13" t="str">
        <f ca="1">IFERROR(__xludf.DUMMYFUNCTION("""COMPUTED_VALUE"""),"Reproduction in organisms(types and significance)")</f>
        <v>Reproduction in organisms(types and significance)</v>
      </c>
      <c r="AK66" s="13" t="str">
        <f ca="1">IFERROR(__xludf.DUMMYFUNCTION("""COMPUTED_VALUE"""),"LU005845")</f>
        <v>LU005845</v>
      </c>
      <c r="AL66" s="13" t="str">
        <f ca="1">IFERROR(__xludf.DUMMYFUNCTION("""COMPUTED_VALUE"""),"Parts of a cell (cell wall, cell membrane, nucleus, cytoplasm)")</f>
        <v>Parts of a cell (cell wall, cell membrane, nucleus, cytoplasm)</v>
      </c>
      <c r="AM66" s="13"/>
      <c r="AN66" s="13"/>
      <c r="AO66" s="13"/>
      <c r="AP66" s="13"/>
      <c r="AQ66" s="13"/>
      <c r="AR66" s="13"/>
      <c r="AS66" s="13"/>
      <c r="AT66" s="13"/>
    </row>
    <row r="67" spans="1:46">
      <c r="A67" s="8" t="s">
        <v>247</v>
      </c>
      <c r="B67" s="8" t="s">
        <v>47</v>
      </c>
      <c r="C67" s="8" t="s">
        <v>979</v>
      </c>
      <c r="D67" s="9" t="s">
        <v>1406</v>
      </c>
      <c r="E67" s="9" t="s">
        <v>2333</v>
      </c>
      <c r="F67" s="9" t="s">
        <v>2334</v>
      </c>
      <c r="G67" s="114" t="s">
        <v>2335</v>
      </c>
      <c r="H67" s="8" t="str">
        <f ca="1">IFERROR(__xludf.DUMMYFUNCTION("VLOOKUP(G67, IMPORTRANGE(""https://docs.google.com/spreadsheets/d/14deopnvwcrKtEGCKuYXdUHJbeLDZlkiSSWWT0g7x2pM/edit#gid=849066331"", ""LU List Science (Filter)!A:B""), 2, FALSE)"),"Definition of Tissues")</f>
        <v>Definition of Tissues</v>
      </c>
      <c r="I67" s="10" t="str">
        <f t="shared" si="0"/>
        <v>LU006242.001</v>
      </c>
      <c r="J67" s="10" t="str">
        <f ca="1">IFERROR(__xludf.DUMMYFUNCTION("VLOOKUP(I67, IMPORTRANGE(""https://docs.google.com/spreadsheets/d/1yDAaXNsi4Mr5FtRQL4tbmSdIzhx6_m4wkOD7IG-k_eo/edit#gid=1336395716"", ""Science!M:N""), 2, FALSE)"),"Define tissues in the context of biology.")</f>
        <v>Define tissues in the context of biology.</v>
      </c>
      <c r="K67" s="10" t="str">
        <f t="shared" si="1"/>
        <v>LU006242.002</v>
      </c>
      <c r="L67" s="10" t="str">
        <f ca="1">IFERROR(__xludf.DUMMYFUNCTION("VLOOKUP(K67, IMPORTRANGE(""https://docs.google.com/spreadsheets/d/1yDAaXNsi4Mr5FtRQL4tbmSdIzhx6_m4wkOD7IG-k_eo/edit#gid=1336395716"", ""Science!M:N""), 2, FALSE)"),"Explain the characteristics and functions of different types of tissues.")</f>
        <v>Explain the characteristics and functions of different types of tissues.</v>
      </c>
      <c r="M67" s="10" t="str">
        <f t="shared" si="2"/>
        <v>LU006242.003</v>
      </c>
      <c r="N67" s="10" t="str">
        <f ca="1">IFERROR(__xludf.DUMMYFUNCTION("VLOOKUP(M67, IMPORTRANGE(""https://docs.google.com/spreadsheets/d/1yDAaXNsi4Mr5FtRQL4tbmSdIzhx6_m4wkOD7IG-k_eo/edit#gid=1336395716"", ""Science!M:N""), 2, FALSE)"),"Illustrate the structure of a simple tissue using diagrams.")</f>
        <v>Illustrate the structure of a simple tissue using diagrams.</v>
      </c>
      <c r="O67" s="10" t="str">
        <f t="shared" si="3"/>
        <v>LU006242.004</v>
      </c>
      <c r="P67" s="10" t="str">
        <f ca="1">IFERROR(__xludf.DUMMYFUNCTION("VLOOKUP(O67, IMPORTRANGE(""https://docs.google.com/spreadsheets/d/1yDAaXNsi4Mr5FtRQL4tbmSdIzhx6_m4wkOD7IG-k_eo/edit#gid=1336395716"", ""Science!M:N""), 2, FALSE)"),"Compare the different types of tissues based on their structure and function.")</f>
        <v>Compare the different types of tissues based on their structure and function.</v>
      </c>
      <c r="Q67" s="10" t="str">
        <f t="shared" si="4"/>
        <v>LU006242.005</v>
      </c>
      <c r="R67" s="10" t="str">
        <f ca="1">IFERROR(__xludf.DUMMYFUNCTION("VLOOKUP(Q67, IMPORTRANGE(""https://docs.google.com/spreadsheets/d/1yDAaXNsi4Mr5FtRQL4tbmSdIzhx6_m4wkOD7IG-k_eo/edit#gid=1336395716"", ""Science!M:N""), 2, FALSE)"),"Evaluate the importance of tissues in the organization and function of multicellular organisms.")</f>
        <v>Evaluate the importance of tissues in the organization and function of multicellular organisms.</v>
      </c>
      <c r="S67" s="10" t="str">
        <f t="shared" si="5"/>
        <v>LU006242.006</v>
      </c>
      <c r="T67" s="10" t="str">
        <f ca="1">IFERROR(__xludf.DUMMYFUNCTION("VLOOKUP(S67, IMPORTRANGE(""https://docs.google.com/spreadsheets/d/1yDAaXNsi4Mr5FtRQL4tbmSdIzhx6_m4wkOD7IG-k_eo/edit#gid=1336395716"", ""Science!M:N""), 2, FALSE)"),"Design an experiment to observe different types of tissues under a microscope.")</f>
        <v>Design an experiment to observe different types of tissues under a microscope.</v>
      </c>
      <c r="U67" s="11" t="str">
        <f ca="1">IFERROR(__xludf.DUMMYFUNCTION("ArrayFormula(VLOOKUP(G67, IMPORTRANGE(""https://docs.google.com/spreadsheets/d/1p7R4vtkWt5VOBim4ltsDG9KTzSjrtKXsMtQGXPHyND0/edit#gid=795171502"", ""'Filter 30_05_2024'!A1:M2000""), {2, 3, 4, 5,6,7,8,9,10,11,12,13}, 0))"),"#N/A")</f>
        <v>#N/A</v>
      </c>
      <c r="V67" s="11" t="str">
        <f ca="1">IFERROR(__xludf.DUMMYFUNCTION("""COMPUTED_VALUE"""),"#N/A")</f>
        <v>#N/A</v>
      </c>
      <c r="W67" s="11" t="str">
        <f ca="1">IFERROR(__xludf.DUMMYFUNCTION("""COMPUTED_VALUE"""),"#N/A")</f>
        <v>#N/A</v>
      </c>
      <c r="X67" s="11" t="str">
        <f ca="1">IFERROR(__xludf.DUMMYFUNCTION("""COMPUTED_VALUE"""),"#N/A")</f>
        <v>#N/A</v>
      </c>
      <c r="Y67" s="11" t="str">
        <f ca="1">IFERROR(__xludf.DUMMYFUNCTION("""COMPUTED_VALUE"""),"#N/A")</f>
        <v>#N/A</v>
      </c>
      <c r="Z67" s="12" t="str">
        <f ca="1">IFERROR(__xludf.DUMMYFUNCTION("""COMPUTED_VALUE"""),"#N/A")</f>
        <v>#N/A</v>
      </c>
      <c r="AA67" s="12" t="str">
        <f ca="1">IFERROR(__xludf.DUMMYFUNCTION("""COMPUTED_VALUE"""),"#N/A")</f>
        <v>#N/A</v>
      </c>
      <c r="AB67" s="12" t="str">
        <f ca="1">IFERROR(__xludf.DUMMYFUNCTION("""COMPUTED_VALUE"""),"#N/A")</f>
        <v>#N/A</v>
      </c>
      <c r="AC67" s="12" t="str">
        <f ca="1">IFERROR(__xludf.DUMMYFUNCTION("""COMPUTED_VALUE"""),"#N/A")</f>
        <v>#N/A</v>
      </c>
      <c r="AD67" s="12" t="str">
        <f ca="1">IFERROR(__xludf.DUMMYFUNCTION("""COMPUTED_VALUE"""),"#N/A")</f>
        <v>#N/A</v>
      </c>
      <c r="AE67" s="12" t="str">
        <f ca="1">IFERROR(__xludf.DUMMYFUNCTION("""COMPUTED_VALUE"""),"#N/A")</f>
        <v>#N/A</v>
      </c>
      <c r="AF67" s="12" t="str">
        <f ca="1">IFERROR(__xludf.DUMMYFUNCTION("""COMPUTED_VALUE"""),"#N/A")</f>
        <v>#N/A</v>
      </c>
      <c r="AG67" s="13" t="str">
        <f ca="1">IFERROR(__xludf.DUMMYFUNCTION("ArrayFormula(VLOOKUP(G67, IMPORTRANGE(""https://docs.google.com/spreadsheets/d/1Co934fvtviyaRiMsrIlT05Jaq7iiYq07aLvRr35KA48/edit?gid=173865642#gid=173865642"", ""'G9 Sci_Pri_LU'!G2:V2000""), {3, 4, 5, 6, 7, 8, 9, 10, 11, 12, 13, 14, 15, 16}, 0))"),"LU005847")</f>
        <v>LU005847</v>
      </c>
      <c r="AH67" s="22" t="str">
        <f ca="1">IFERROR(__xludf.DUMMYFUNCTION("""COMPUTED_VALUE"""),"Levels of organization in an organism")</f>
        <v>Levels of organization in an organism</v>
      </c>
      <c r="AI67" s="13" t="str">
        <f ca="1">IFERROR(__xludf.DUMMYFUNCTION("""COMPUTED_VALUE"""),"LU005845")</f>
        <v>LU005845</v>
      </c>
      <c r="AJ67" s="13" t="str">
        <f ca="1">IFERROR(__xludf.DUMMYFUNCTION("""COMPUTED_VALUE"""),"Parts of a cell (cell wall, cell membrane, nucleus, cytoplasm)")</f>
        <v>Parts of a cell (cell wall, cell membrane, nucleus, cytoplasm)</v>
      </c>
      <c r="AK67" s="13" t="str">
        <f ca="1">IFERROR(__xludf.DUMMYFUNCTION("""COMPUTED_VALUE"""),"LU005844")</f>
        <v>LU005844</v>
      </c>
      <c r="AL67" s="13" t="str">
        <f ca="1">IFERROR(__xludf.DUMMYFUNCTION("""COMPUTED_VALUE"""),"Definition of a cell, variations in sizes, numbers, and shapes")</f>
        <v>Definition of a cell, variations in sizes, numbers, and shapes</v>
      </c>
      <c r="AM67" s="13"/>
      <c r="AN67" s="13"/>
      <c r="AO67" s="13"/>
      <c r="AP67" s="13"/>
      <c r="AQ67" s="13"/>
      <c r="AR67" s="13"/>
      <c r="AS67" s="13"/>
      <c r="AT67" s="13"/>
    </row>
    <row r="68" spans="1:46">
      <c r="A68" s="8" t="s">
        <v>247</v>
      </c>
      <c r="B68" s="8" t="s">
        <v>47</v>
      </c>
      <c r="C68" s="8" t="s">
        <v>979</v>
      </c>
      <c r="D68" s="9" t="s">
        <v>1406</v>
      </c>
      <c r="E68" s="9" t="s">
        <v>2333</v>
      </c>
      <c r="F68" s="9" t="s">
        <v>2334</v>
      </c>
      <c r="G68" s="114" t="s">
        <v>2336</v>
      </c>
      <c r="H68" s="8" t="str">
        <f ca="1">IFERROR(__xludf.DUMMYFUNCTION("VLOOKUP(G68, IMPORTRANGE(""https://docs.google.com/spreadsheets/d/14deopnvwcrKtEGCKuYXdUHJbeLDZlkiSSWWT0g7x2pM/edit#gid=849066331"", ""LU List Science (Filter)!A:B""), 2, FALSE)"),"Factors Contributing to Variability in Plant and Animal Tissues")</f>
        <v>Factors Contributing to Variability in Plant and Animal Tissues</v>
      </c>
      <c r="I68" s="10" t="str">
        <f t="shared" si="0"/>
        <v>LU006243.001</v>
      </c>
      <c r="J68" s="10" t="str">
        <f ca="1">IFERROR(__xludf.DUMMYFUNCTION("VLOOKUP(I68, IMPORTRANGE(""https://docs.google.com/spreadsheets/d/1yDAaXNsi4Mr5FtRQL4tbmSdIzhx6_m4wkOD7IG-k_eo/edit#gid=1336395716"", ""Science!M:N""), 2, FALSE)"),"Identify the factors contributing to variability in plant and animal tissues.")</f>
        <v>Identify the factors contributing to variability in plant and animal tissues.</v>
      </c>
      <c r="K68" s="10" t="str">
        <f t="shared" si="1"/>
        <v>LU006243.002</v>
      </c>
      <c r="L68" s="10" t="str">
        <f ca="1">IFERROR(__xludf.DUMMYFUNCTION("VLOOKUP(K68, IMPORTRANGE(""https://docs.google.com/spreadsheets/d/1yDAaXNsi4Mr5FtRQL4tbmSdIzhx6_m4wkOD7IG-k_eo/edit#gid=1336395716"", ""Science!M:N""), 2, FALSE)"),"Explain the differences in growth patterns between plant and animal tissues.")</f>
        <v>Explain the differences in growth patterns between plant and animal tissues.</v>
      </c>
      <c r="M68" s="10" t="str">
        <f t="shared" si="2"/>
        <v>LU006243.003</v>
      </c>
      <c r="N68" s="10" t="str">
        <f ca="1">IFERROR(__xludf.DUMMYFUNCTION("VLOOKUP(M68, IMPORTRANGE(""https://docs.google.com/spreadsheets/d/1yDAaXNsi4Mr5FtRQL4tbmSdIzhx6_m4wkOD7IG-k_eo/edit#gid=1336395716"", ""Science!M:N""), 2, FALSE)"),"Illustrate the differences in tissue organization in plants and animals.")</f>
        <v>Illustrate the differences in tissue organization in plants and animals.</v>
      </c>
      <c r="O68" s="10" t="str">
        <f t="shared" si="3"/>
        <v>LU006243.004</v>
      </c>
      <c r="P68" s="10" t="str">
        <f ca="1">IFERROR(__xludf.DUMMYFUNCTION("VLOOKUP(O68, IMPORTRANGE(""https://docs.google.com/spreadsheets/d/1yDAaXNsi4Mr5FtRQL4tbmSdIzhx6_m4wkOD7IG-k_eo/edit#gid=1336395716"", ""Science!M:N""), 2, FALSE)"),"Compare the characteristics of supportive tissues in plants and animals.")</f>
        <v>Compare the characteristics of supportive tissues in plants and animals.</v>
      </c>
      <c r="Q68" s="10" t="str">
        <f t="shared" si="4"/>
        <v>LU006243.005</v>
      </c>
      <c r="R68" s="10" t="str">
        <f ca="1">IFERROR(__xludf.DUMMYFUNCTION("VLOOKUP(Q68, IMPORTRANGE(""https://docs.google.com/spreadsheets/d/1yDAaXNsi4Mr5FtRQL4tbmSdIzhx6_m4wkOD7IG-k_eo/edit#gid=1336395716"", ""Science!M:N""), 2, FALSE)"),"Evaluate the significance of specialized tissue organization in animals compared to plants.")</f>
        <v>Evaluate the significance of specialized tissue organization in animals compared to plants.</v>
      </c>
      <c r="S68" s="10" t="str">
        <f t="shared" si="5"/>
        <v>LU006243.006</v>
      </c>
      <c r="T68" s="10" t="str">
        <f ca="1">IFERROR(__xludf.DUMMYFUNCTION("VLOOKUP(S68, IMPORTRANGE(""https://docs.google.com/spreadsheets/d/1yDAaXNsi4Mr5FtRQL4tbmSdIzhx6_m4wkOD7IG-k_eo/edit#gid=1336395716"", ""Science!M:N""), 2, FALSE)"),"Design an observation activity to study the differences between plant and animal tissues using prepared slides.")</f>
        <v>Design an observation activity to study the differences between plant and animal tissues using prepared slides.</v>
      </c>
      <c r="U68" s="11" t="str">
        <f ca="1">IFERROR(__xludf.DUMMYFUNCTION("ArrayFormula(VLOOKUP(G68, IMPORTRANGE(""https://docs.google.com/spreadsheets/d/1p7R4vtkWt5VOBim4ltsDG9KTzSjrtKXsMtQGXPHyND0/edit#gid=795171502"", ""'Filter 30_05_2024'!A1:M2000""), {2, 3, 4, 5,6,7,8,9,10,11,12,13}, 0))"),"#N/A")</f>
        <v>#N/A</v>
      </c>
      <c r="V68" s="11" t="str">
        <f ca="1">IFERROR(__xludf.DUMMYFUNCTION("""COMPUTED_VALUE"""),"#N/A")</f>
        <v>#N/A</v>
      </c>
      <c r="W68" s="11" t="str">
        <f ca="1">IFERROR(__xludf.DUMMYFUNCTION("""COMPUTED_VALUE"""),"#N/A")</f>
        <v>#N/A</v>
      </c>
      <c r="X68" s="11" t="str">
        <f ca="1">IFERROR(__xludf.DUMMYFUNCTION("""COMPUTED_VALUE"""),"#N/A")</f>
        <v>#N/A</v>
      </c>
      <c r="Y68" s="11" t="str">
        <f ca="1">IFERROR(__xludf.DUMMYFUNCTION("""COMPUTED_VALUE"""),"#N/A")</f>
        <v>#N/A</v>
      </c>
      <c r="Z68" s="12" t="str">
        <f ca="1">IFERROR(__xludf.DUMMYFUNCTION("""COMPUTED_VALUE"""),"#N/A")</f>
        <v>#N/A</v>
      </c>
      <c r="AA68" s="12" t="str">
        <f ca="1">IFERROR(__xludf.DUMMYFUNCTION("""COMPUTED_VALUE"""),"#N/A")</f>
        <v>#N/A</v>
      </c>
      <c r="AB68" s="12" t="str">
        <f ca="1">IFERROR(__xludf.DUMMYFUNCTION("""COMPUTED_VALUE"""),"#N/A")</f>
        <v>#N/A</v>
      </c>
      <c r="AC68" s="12" t="str">
        <f ca="1">IFERROR(__xludf.DUMMYFUNCTION("""COMPUTED_VALUE"""),"#N/A")</f>
        <v>#N/A</v>
      </c>
      <c r="AD68" s="12" t="str">
        <f ca="1">IFERROR(__xludf.DUMMYFUNCTION("""COMPUTED_VALUE"""),"#N/A")</f>
        <v>#N/A</v>
      </c>
      <c r="AE68" s="12" t="str">
        <f ca="1">IFERROR(__xludf.DUMMYFUNCTION("""COMPUTED_VALUE"""),"#N/A")</f>
        <v>#N/A</v>
      </c>
      <c r="AF68" s="12" t="str">
        <f ca="1">IFERROR(__xludf.DUMMYFUNCTION("""COMPUTED_VALUE"""),"#N/A")</f>
        <v>#N/A</v>
      </c>
      <c r="AG68" s="13" t="str">
        <f ca="1">IFERROR(__xludf.DUMMYFUNCTION("ArrayFormula(VLOOKUP(G68, IMPORTRANGE(""https://docs.google.com/spreadsheets/d/1Co934fvtviyaRiMsrIlT05Jaq7iiYq07aLvRr35KA48/edit?gid=173865642#gid=173865642"", ""'G9 Sci_Pri_LU'!G2:V2000""), {3, 4, 5, 6, 7, 8, 9, 10, 11, 12, 13, 14, 15, 16}, 0))"),"LU006242")</f>
        <v>LU006242</v>
      </c>
      <c r="AH68" s="22" t="str">
        <f ca="1">IFERROR(__xludf.DUMMYFUNCTION("""COMPUTED_VALUE"""),"Definition of Tissues")</f>
        <v>Definition of Tissues</v>
      </c>
      <c r="AI68" s="13" t="str">
        <f ca="1">IFERROR(__xludf.DUMMYFUNCTION("""COMPUTED_VALUE"""),"LU005844")</f>
        <v>LU005844</v>
      </c>
      <c r="AJ68" s="13" t="str">
        <f ca="1">IFERROR(__xludf.DUMMYFUNCTION("""COMPUTED_VALUE"""),"Definition of a cell, variations in sizes, numbers, and shapes")</f>
        <v>Definition of a cell, variations in sizes, numbers, and shapes</v>
      </c>
      <c r="AK68" s="13"/>
      <c r="AL68" s="13"/>
      <c r="AM68" s="13"/>
      <c r="AN68" s="13"/>
      <c r="AO68" s="13"/>
      <c r="AP68" s="13"/>
      <c r="AQ68" s="13"/>
      <c r="AR68" s="13"/>
      <c r="AS68" s="13"/>
      <c r="AT68" s="13"/>
    </row>
    <row r="69" spans="1:46">
      <c r="A69" s="8" t="s">
        <v>247</v>
      </c>
      <c r="B69" s="8" t="s">
        <v>47</v>
      </c>
      <c r="C69" s="8" t="s">
        <v>979</v>
      </c>
      <c r="D69" s="9" t="s">
        <v>1406</v>
      </c>
      <c r="E69" s="9" t="s">
        <v>2333</v>
      </c>
      <c r="F69" s="9" t="s">
        <v>2337</v>
      </c>
      <c r="G69" s="114" t="s">
        <v>2338</v>
      </c>
      <c r="H69" s="8" t="str">
        <f ca="1">IFERROR(__xludf.DUMMYFUNCTION("VLOOKUP(G69, IMPORTRANGE(""https://docs.google.com/spreadsheets/d/14deopnvwcrKtEGCKuYXdUHJbeLDZlkiSSWWT0g7x2pM/edit#gid=849066331"", ""LU List Science (Filter)!A:B""), 2, FALSE)"),"Introduction to Meristematic Tissue")</f>
        <v>Introduction to Meristematic Tissue</v>
      </c>
      <c r="I69" s="10" t="str">
        <f t="shared" si="0"/>
        <v>LU006244.001</v>
      </c>
      <c r="J69" s="10" t="str">
        <f ca="1">IFERROR(__xludf.DUMMYFUNCTION("VLOOKUP(I69, IMPORTRANGE(""https://docs.google.com/spreadsheets/d/1yDAaXNsi4Mr5FtRQL4tbmSdIzhx6_m4wkOD7IG-k_eo/edit#gid=1336395716"", ""Science!M:N""), 2, FALSE)"),"Define meristematic tissue and its characteristics.")</f>
        <v>Define meristematic tissue and its characteristics.</v>
      </c>
      <c r="K69" s="10" t="str">
        <f t="shared" si="1"/>
        <v>LU006244.002</v>
      </c>
      <c r="L69" s="10" t="str">
        <f ca="1">IFERROR(__xludf.DUMMYFUNCTION("VLOOKUP(K69, IMPORTRANGE(""https://docs.google.com/spreadsheets/d/1yDAaXNsi4Mr5FtRQL4tbmSdIzhx6_m4wkOD7IG-k_eo/edit#gid=1336395716"", ""Science!M:N""), 2, FALSE)"),"Explain the role of meristematic tissue in plant growth.")</f>
        <v>Explain the role of meristematic tissue in plant growth.</v>
      </c>
      <c r="M69" s="10" t="str">
        <f t="shared" si="2"/>
        <v>LU006244.003</v>
      </c>
      <c r="N69" s="10" t="str">
        <f ca="1">IFERROR(__xludf.DUMMYFUNCTION("VLOOKUP(M69, IMPORTRANGE(""https://docs.google.com/spreadsheets/d/1yDAaXNsi4Mr5FtRQL4tbmSdIzhx6_m4wkOD7IG-k_eo/edit#gid=1336395716"", ""Science!M:N""), 2, FALSE)"),"Illustrate the locations of apical, lateral, and intercalary meristematic tissues in plants.")</f>
        <v>Illustrate the locations of apical, lateral, and intercalary meristematic tissues in plants.</v>
      </c>
      <c r="O69" s="10" t="str">
        <f t="shared" si="3"/>
        <v>LU006244.004</v>
      </c>
      <c r="P69" s="10" t="str">
        <f ca="1">IFERROR(__xludf.DUMMYFUNCTION("VLOOKUP(O69, IMPORTRANGE(""https://docs.google.com/spreadsheets/d/1yDAaXNsi4Mr5FtRQL4tbmSdIzhx6_m4wkOD7IG-k_eo/edit#gid=1336395716"", ""Science!M:N""), 2, FALSE)"),"Compare the growth patterns observed in roots placed in water for different periods.")</f>
        <v>Compare the growth patterns observed in roots placed in water for different periods.</v>
      </c>
      <c r="Q69" s="10" t="str">
        <f t="shared" si="4"/>
        <v>LU006244.005</v>
      </c>
      <c r="R69" s="10" t="str">
        <f ca="1">IFERROR(__xludf.DUMMYFUNCTION("VLOOKUP(Q69, IMPORTRANGE(""https://docs.google.com/spreadsheets/d/1yDAaXNsi4Mr5FtRQL4tbmSdIzhx6_m4wkOD7IG-k_eo/edit#gid=1336395716"", ""Science!M:N""), 2, FALSE)"),"Evaluate the significance of meristematic cells lacking vacuoles.")</f>
        <v>Evaluate the significance of meristematic cells lacking vacuoles.</v>
      </c>
      <c r="S69" s="10" t="str">
        <f t="shared" si="5"/>
        <v>LU006244.006</v>
      </c>
      <c r="T69" s="10" t="str">
        <f ca="1">IFERROR(__xludf.DUMMYFUNCTION("VLOOKUP(S69, IMPORTRANGE(""https://docs.google.com/spreadsheets/d/1yDAaXNsi4Mr5FtRQL4tbmSdIzhx6_m4wkOD7IG-k_eo/edit#gid=1336395716"", ""Science!M:N""), 2, FALSE)"),"Design an experiment to observe the growth of roots in onion bulbs and measure the length of roots over several days.")</f>
        <v>Design an experiment to observe the growth of roots in onion bulbs and measure the length of roots over several days.</v>
      </c>
      <c r="U69" s="11" t="str">
        <f ca="1">IFERROR(__xludf.DUMMYFUNCTION("ArrayFormula(VLOOKUP(G69, IMPORTRANGE(""https://docs.google.com/spreadsheets/d/1p7R4vtkWt5VOBim4ltsDG9KTzSjrtKXsMtQGXPHyND0/edit#gid=795171502"", ""'Filter 30_05_2024'!A1:M2000""), {2, 3, 4, 5,6,7,8,9,10,11,12,13}, 0))"),"#N/A")</f>
        <v>#N/A</v>
      </c>
      <c r="V69" s="11" t="str">
        <f ca="1">IFERROR(__xludf.DUMMYFUNCTION("""COMPUTED_VALUE"""),"#N/A")</f>
        <v>#N/A</v>
      </c>
      <c r="W69" s="11" t="str">
        <f ca="1">IFERROR(__xludf.DUMMYFUNCTION("""COMPUTED_VALUE"""),"#N/A")</f>
        <v>#N/A</v>
      </c>
      <c r="X69" s="11" t="str">
        <f ca="1">IFERROR(__xludf.DUMMYFUNCTION("""COMPUTED_VALUE"""),"#N/A")</f>
        <v>#N/A</v>
      </c>
      <c r="Y69" s="11" t="str">
        <f ca="1">IFERROR(__xludf.DUMMYFUNCTION("""COMPUTED_VALUE"""),"#N/A")</f>
        <v>#N/A</v>
      </c>
      <c r="Z69" s="12" t="str">
        <f ca="1">IFERROR(__xludf.DUMMYFUNCTION("""COMPUTED_VALUE"""),"#N/A")</f>
        <v>#N/A</v>
      </c>
      <c r="AA69" s="12" t="str">
        <f ca="1">IFERROR(__xludf.DUMMYFUNCTION("""COMPUTED_VALUE"""),"#N/A")</f>
        <v>#N/A</v>
      </c>
      <c r="AB69" s="12" t="str">
        <f ca="1">IFERROR(__xludf.DUMMYFUNCTION("""COMPUTED_VALUE"""),"#N/A")</f>
        <v>#N/A</v>
      </c>
      <c r="AC69" s="12" t="str">
        <f ca="1">IFERROR(__xludf.DUMMYFUNCTION("""COMPUTED_VALUE"""),"#N/A")</f>
        <v>#N/A</v>
      </c>
      <c r="AD69" s="12" t="str">
        <f ca="1">IFERROR(__xludf.DUMMYFUNCTION("""COMPUTED_VALUE"""),"#N/A")</f>
        <v>#N/A</v>
      </c>
      <c r="AE69" s="12" t="str">
        <f ca="1">IFERROR(__xludf.DUMMYFUNCTION("""COMPUTED_VALUE"""),"#N/A")</f>
        <v>#N/A</v>
      </c>
      <c r="AF69" s="12" t="str">
        <f ca="1">IFERROR(__xludf.DUMMYFUNCTION("""COMPUTED_VALUE"""),"#N/A")</f>
        <v>#N/A</v>
      </c>
      <c r="AG69" s="13" t="str">
        <f ca="1">IFERROR(__xludf.DUMMYFUNCTION("ArrayFormula(VLOOKUP(G69, IMPORTRANGE(""https://docs.google.com/spreadsheets/d/1Co934fvtviyaRiMsrIlT05Jaq7iiYq07aLvRr35KA48/edit?gid=173865642#gid=173865642"", ""'G9 Sci_Pri_LU'!G2:V2000""), {3, 4, 5, 6, 7, 8, 9, 10, 11, 12, 13, 14, 15, 16}, 0))"),"LU006241")</f>
        <v>LU006241</v>
      </c>
      <c r="AH69" s="22" t="str">
        <f ca="1">IFERROR(__xludf.DUMMYFUNCTION("""COMPUTED_VALUE"""),"Introduction to Cell Division(Mitosis and Meiosis)")</f>
        <v>Introduction to Cell Division(Mitosis and Meiosis)</v>
      </c>
      <c r="AI69" s="13" t="str">
        <f ca="1">IFERROR(__xludf.DUMMYFUNCTION("""COMPUTED_VALUE"""),"LU006233")</f>
        <v>LU006233</v>
      </c>
      <c r="AJ69" s="13" t="str">
        <f ca="1">IFERROR(__xludf.DUMMYFUNCTION("""COMPUTED_VALUE"""),"Function of a typical eukaryotic nucleus")</f>
        <v>Function of a typical eukaryotic nucleus</v>
      </c>
      <c r="AK69" s="13" t="str">
        <f ca="1">IFERROR(__xludf.DUMMYFUNCTION("""COMPUTED_VALUE"""),"LU005844")</f>
        <v>LU005844</v>
      </c>
      <c r="AL69" s="13" t="str">
        <f ca="1">IFERROR(__xludf.DUMMYFUNCTION("""COMPUTED_VALUE"""),"Definition of a cell, variations in sizes, numbers, and shapes")</f>
        <v>Definition of a cell, variations in sizes, numbers, and shapes</v>
      </c>
      <c r="AM69" s="13"/>
      <c r="AN69" s="13"/>
      <c r="AO69" s="13"/>
      <c r="AP69" s="13"/>
      <c r="AQ69" s="13"/>
      <c r="AR69" s="13"/>
      <c r="AS69" s="13"/>
      <c r="AT69" s="13"/>
    </row>
    <row r="70" spans="1:46">
      <c r="A70" s="8" t="s">
        <v>247</v>
      </c>
      <c r="B70" s="8" t="s">
        <v>47</v>
      </c>
      <c r="C70" s="8" t="s">
        <v>979</v>
      </c>
      <c r="D70" s="9" t="s">
        <v>1406</v>
      </c>
      <c r="E70" s="9" t="s">
        <v>2333</v>
      </c>
      <c r="F70" s="9" t="s">
        <v>2337</v>
      </c>
      <c r="G70" s="114" t="s">
        <v>2339</v>
      </c>
      <c r="H70" s="8" t="str">
        <f ca="1">IFERROR(__xludf.DUMMYFUNCTION("VLOOKUP(G70, IMPORTRANGE(""https://docs.google.com/spreadsheets/d/14deopnvwcrKtEGCKuYXdUHJbeLDZlkiSSWWT0g7x2pM/edit#gid=849066331"", ""LU List Science (Filter)!A:B""), 2, FALSE)"),"Introduction to Permanent Tissue")</f>
        <v>Introduction to Permanent Tissue</v>
      </c>
      <c r="I70" s="10" t="str">
        <f t="shared" si="0"/>
        <v>LU006245.001</v>
      </c>
      <c r="J70" s="10" t="str">
        <f ca="1">IFERROR(__xludf.DUMMYFUNCTION("VLOOKUP(I70, IMPORTRANGE(""https://docs.google.com/spreadsheets/d/1yDAaXNsi4Mr5FtRQL4tbmSdIzhx6_m4wkOD7IG-k_eo/edit#gid=1336395716"", ""Science!M:N""), 2, FALSE)"),"Define permanent tissue and its characteristics.")</f>
        <v>Define permanent tissue and its characteristics.</v>
      </c>
      <c r="K70" s="10" t="str">
        <f t="shared" si="1"/>
        <v>LU006245.002</v>
      </c>
      <c r="L70" s="10" t="str">
        <f ca="1">IFERROR(__xludf.DUMMYFUNCTION("VLOOKUP(K70, IMPORTRANGE(""https://docs.google.com/spreadsheets/d/1yDAaXNsi4Mr5FtRQL4tbmSdIzhx6_m4wkOD7IG-k_eo/edit#gid=1336395716"", ""Science!M:N""), 2, FALSE)"),"Explain the difference between meristematic tissue and permanent tissue.")</f>
        <v>Explain the difference between meristematic tissue and permanent tissue.</v>
      </c>
      <c r="M70" s="10" t="str">
        <f t="shared" si="2"/>
        <v>LU006245.003</v>
      </c>
      <c r="N70" s="10" t="str">
        <f ca="1">IFERROR(__xludf.DUMMYFUNCTION("VLOOKUP(M70, IMPORTRANGE(""https://docs.google.com/spreadsheets/d/1yDAaXNsi4Mr5FtRQL4tbmSdIzhx6_m4wkOD7IG-k_eo/edit#gid=1336395716"", ""Science!M:N""), 2, FALSE)"),"Illustrate the types of permanent tissues found in plants.")</f>
        <v>Illustrate the types of permanent tissues found in plants.</v>
      </c>
      <c r="O70" s="10" t="str">
        <f t="shared" si="3"/>
        <v>LU006245.004</v>
      </c>
      <c r="P70" s="10" t="str">
        <f ca="1">IFERROR(__xludf.DUMMYFUNCTION("VLOOKUP(O70, IMPORTRANGE(""https://docs.google.com/spreadsheets/d/1yDAaXNsi4Mr5FtRQL4tbmSdIzhx6_m4wkOD7IG-k_eo/edit#gid=1336395716"", ""Science!M:N""), 2, FALSE)"),"Compare the functions of different types of permanent tissues.")</f>
        <v>Compare the functions of different types of permanent tissues.</v>
      </c>
      <c r="Q70" s="10" t="str">
        <f t="shared" si="4"/>
        <v>LU006245.005</v>
      </c>
      <c r="R70" s="10" t="str">
        <f ca="1">IFERROR(__xludf.DUMMYFUNCTION("VLOOKUP(Q70, IMPORTRANGE(""https://docs.google.com/spreadsheets/d/1yDAaXNsi4Mr5FtRQL4tbmSdIzhx6_m4wkOD7IG-k_eo/edit#gid=1336395716"", ""Science!M:N""), 2, FALSE)"),"Evaluate the importance of permanent tissues in the overall structure and function of plants.")</f>
        <v>Evaluate the importance of permanent tissues in the overall structure and function of plants.</v>
      </c>
      <c r="S70" s="10" t="str">
        <f t="shared" si="5"/>
        <v>LU006245.006</v>
      </c>
      <c r="T70" s="10" t="str">
        <f ca="1">IFERROR(__xludf.DUMMYFUNCTION("VLOOKUP(S70, IMPORTRANGE(""https://docs.google.com/spreadsheets/d/1yDAaXNsi4Mr5FtRQL4tbmSdIzhx6_m4wkOD7IG-k_eo/edit#gid=1336395716"", ""Science!M:N""), 2, FALSE)"),"Design an observation activity to identify different types of permanent tissues in plant slides under a microscope.")</f>
        <v>Design an observation activity to identify different types of permanent tissues in plant slides under a microscope.</v>
      </c>
      <c r="U70" s="11" t="str">
        <f ca="1">IFERROR(__xludf.DUMMYFUNCTION("ArrayFormula(VLOOKUP(G70, IMPORTRANGE(""https://docs.google.com/spreadsheets/d/1p7R4vtkWt5VOBim4ltsDG9KTzSjrtKXsMtQGXPHyND0/edit#gid=795171502"", ""'Filter 30_05_2024'!A1:M2000""), {2, 3, 4, 5,6,7,8,9,10,11,12,13}, 0))"),"#N/A")</f>
        <v>#N/A</v>
      </c>
      <c r="V70" s="11" t="str">
        <f ca="1">IFERROR(__xludf.DUMMYFUNCTION("""COMPUTED_VALUE"""),"#N/A")</f>
        <v>#N/A</v>
      </c>
      <c r="W70" s="11" t="str">
        <f ca="1">IFERROR(__xludf.DUMMYFUNCTION("""COMPUTED_VALUE"""),"#N/A")</f>
        <v>#N/A</v>
      </c>
      <c r="X70" s="11" t="str">
        <f ca="1">IFERROR(__xludf.DUMMYFUNCTION("""COMPUTED_VALUE"""),"#N/A")</f>
        <v>#N/A</v>
      </c>
      <c r="Y70" s="11" t="str">
        <f ca="1">IFERROR(__xludf.DUMMYFUNCTION("""COMPUTED_VALUE"""),"#N/A")</f>
        <v>#N/A</v>
      </c>
      <c r="Z70" s="12" t="str">
        <f ca="1">IFERROR(__xludf.DUMMYFUNCTION("""COMPUTED_VALUE"""),"#N/A")</f>
        <v>#N/A</v>
      </c>
      <c r="AA70" s="12" t="str">
        <f ca="1">IFERROR(__xludf.DUMMYFUNCTION("""COMPUTED_VALUE"""),"#N/A")</f>
        <v>#N/A</v>
      </c>
      <c r="AB70" s="12" t="str">
        <f ca="1">IFERROR(__xludf.DUMMYFUNCTION("""COMPUTED_VALUE"""),"#N/A")</f>
        <v>#N/A</v>
      </c>
      <c r="AC70" s="12" t="str">
        <f ca="1">IFERROR(__xludf.DUMMYFUNCTION("""COMPUTED_VALUE"""),"#N/A")</f>
        <v>#N/A</v>
      </c>
      <c r="AD70" s="12" t="str">
        <f ca="1">IFERROR(__xludf.DUMMYFUNCTION("""COMPUTED_VALUE"""),"#N/A")</f>
        <v>#N/A</v>
      </c>
      <c r="AE70" s="12" t="str">
        <f ca="1">IFERROR(__xludf.DUMMYFUNCTION("""COMPUTED_VALUE"""),"#N/A")</f>
        <v>#N/A</v>
      </c>
      <c r="AF70" s="12" t="str">
        <f ca="1">IFERROR(__xludf.DUMMYFUNCTION("""COMPUTED_VALUE"""),"#N/A")</f>
        <v>#N/A</v>
      </c>
      <c r="AG70" s="13" t="str">
        <f ca="1">IFERROR(__xludf.DUMMYFUNCTION("ArrayFormula(VLOOKUP(G70, IMPORTRANGE(""https://docs.google.com/spreadsheets/d/1Co934fvtviyaRiMsrIlT05Jaq7iiYq07aLvRr35KA48/edit?gid=173865642#gid=173865642"", ""'G9 Sci_Pri_LU'!G2:V2000""), {3, 4, 5, 6, 7, 8, 9, 10, 11, 12, 13, 14, 15, 16}, 0))"),"LU006244")</f>
        <v>LU006244</v>
      </c>
      <c r="AH70" s="22" t="str">
        <f ca="1">IFERROR(__xludf.DUMMYFUNCTION("""COMPUTED_VALUE"""),"Introduction to Meristematic Tissue")</f>
        <v>Introduction to Meristematic Tissue</v>
      </c>
      <c r="AI70" s="13" t="str">
        <f ca="1">IFERROR(__xludf.DUMMYFUNCTION("""COMPUTED_VALUE"""),"LU006241")</f>
        <v>LU006241</v>
      </c>
      <c r="AJ70" s="13" t="str">
        <f ca="1">IFERROR(__xludf.DUMMYFUNCTION("""COMPUTED_VALUE"""),"Introduction to Cell Division(Mitosis and Meiosis)")</f>
        <v>Introduction to Cell Division(Mitosis and Meiosis)</v>
      </c>
      <c r="AK70" s="13" t="str">
        <f ca="1">IFERROR(__xludf.DUMMYFUNCTION("""COMPUTED_VALUE"""),"LU006233")</f>
        <v>LU006233</v>
      </c>
      <c r="AL70" s="13" t="str">
        <f ca="1">IFERROR(__xludf.DUMMYFUNCTION("""COMPUTED_VALUE"""),"Function of a typical eukaryotic nucleus")</f>
        <v>Function of a typical eukaryotic nucleus</v>
      </c>
      <c r="AM70" s="13"/>
      <c r="AN70" s="13"/>
      <c r="AO70" s="13"/>
      <c r="AP70" s="13"/>
      <c r="AQ70" s="13"/>
      <c r="AR70" s="13"/>
      <c r="AS70" s="13"/>
      <c r="AT70" s="13"/>
    </row>
    <row r="71" spans="1:46">
      <c r="A71" s="8" t="s">
        <v>247</v>
      </c>
      <c r="B71" s="8" t="s">
        <v>47</v>
      </c>
      <c r="C71" s="8" t="s">
        <v>979</v>
      </c>
      <c r="D71" s="9" t="s">
        <v>1406</v>
      </c>
      <c r="E71" s="9" t="s">
        <v>2333</v>
      </c>
      <c r="F71" s="9" t="s">
        <v>2340</v>
      </c>
      <c r="G71" s="114" t="s">
        <v>2341</v>
      </c>
      <c r="H71" s="8" t="str">
        <f ca="1">IFERROR(__xludf.DUMMYFUNCTION("VLOOKUP(G71, IMPORTRANGE(""https://docs.google.com/spreadsheets/d/14deopnvwcrKtEGCKuYXdUHJbeLDZlkiSSWWT0g7x2pM/edit#gid=849066331"", ""LU List Science (Filter)!A:B""), 2, FALSE)"),"Introduction to different types of simple permanent tissue")</f>
        <v>Introduction to different types of simple permanent tissue</v>
      </c>
      <c r="I71" s="10" t="str">
        <f t="shared" si="0"/>
        <v>LU006246.001</v>
      </c>
      <c r="J71" s="10" t="str">
        <f ca="1">IFERROR(__xludf.DUMMYFUNCTION("VLOOKUP(I71, IMPORTRANGE(""https://docs.google.com/spreadsheets/d/1yDAaXNsi4Mr5FtRQL4tbmSdIzhx6_m4wkOD7IG-k_eo/edit#gid=1336395716"", ""Science!M:N""), 2, FALSE)"),"Identify different types of simple permanent tissues.")</f>
        <v>Identify different types of simple permanent tissues.</v>
      </c>
      <c r="K71" s="10" t="str">
        <f t="shared" si="1"/>
        <v>LU006246.002</v>
      </c>
      <c r="L71" s="10" t="str">
        <f ca="1">IFERROR(__xludf.DUMMYFUNCTION("VLOOKUP(K71, IMPORTRANGE(""https://docs.google.com/spreadsheets/d/1yDAaXNsi4Mr5FtRQL4tbmSdIzhx6_m4wkOD7IG-k_eo/edit#gid=1336395716"", ""Science!M:N""), 2, FALSE)"),"Explain the functions of various types of simple permanent tissues.")</f>
        <v>Explain the functions of various types of simple permanent tissues.</v>
      </c>
      <c r="M71" s="10" t="str">
        <f t="shared" si="2"/>
        <v>LU006246.003</v>
      </c>
      <c r="N71" s="10" t="str">
        <f ca="1">IFERROR(__xludf.DUMMYFUNCTION("VLOOKUP(M71, IMPORTRANGE(""https://docs.google.com/spreadsheets/d/1yDAaXNsi4Mr5FtRQL4tbmSdIzhx6_m4wkOD7IG-k_eo/edit#gid=1336395716"", ""Science!M:N""), 2, FALSE)"),"Illustrate the structure of different simple permanent tissues using diagrams.")</f>
        <v>Illustrate the structure of different simple permanent tissues using diagrams.</v>
      </c>
      <c r="O71" s="10" t="str">
        <f t="shared" si="3"/>
        <v>LU006246.004</v>
      </c>
      <c r="P71" s="10" t="str">
        <f ca="1">IFERROR(__xludf.DUMMYFUNCTION("VLOOKUP(O71, IMPORTRANGE(""https://docs.google.com/spreadsheets/d/1yDAaXNsi4Mr5FtRQL4tbmSdIzhx6_m4wkOD7IG-k_eo/edit#gid=1336395716"", ""Science!M:N""), 2, FALSE)"),"Compare the characteristics of various simple permanent tissues based on their structure and function.")</f>
        <v>Compare the characteristics of various simple permanent tissues based on their structure and function.</v>
      </c>
      <c r="Q71" s="10" t="str">
        <f t="shared" si="4"/>
        <v>LU006246.005</v>
      </c>
      <c r="R71" s="10" t="str">
        <f ca="1">IFERROR(__xludf.DUMMYFUNCTION("VLOOKUP(Q71, IMPORTRANGE(""https://docs.google.com/spreadsheets/d/1yDAaXNsi4Mr5FtRQL4tbmSdIzhx6_m4wkOD7IG-k_eo/edit#gid=1336395716"", ""Science!M:N""), 2, FALSE)"),"Evaluate the importance of simple permanent tissues in the overall functioning of plants.")</f>
        <v>Evaluate the importance of simple permanent tissues in the overall functioning of plants.</v>
      </c>
      <c r="S71" s="10" t="str">
        <f t="shared" si="5"/>
        <v>LU006246.006</v>
      </c>
      <c r="T71" s="10" t="str">
        <f ca="1">IFERROR(__xludf.DUMMYFUNCTION("VLOOKUP(S71, IMPORTRANGE(""https://docs.google.com/spreadsheets/d/1yDAaXNsi4Mr5FtRQL4tbmSdIzhx6_m4wkOD7IG-k_eo/edit#gid=1336395716"", ""Science!M:N""), 2, FALSE)"),"Design an experiment to observe and differentiate between types of simple permanent tissues using prepared slides and a microscope.")</f>
        <v>Design an experiment to observe and differentiate between types of simple permanent tissues using prepared slides and a microscope.</v>
      </c>
      <c r="U71" s="11" t="str">
        <f ca="1">IFERROR(__xludf.DUMMYFUNCTION("ArrayFormula(VLOOKUP(G71, IMPORTRANGE(""https://docs.google.com/spreadsheets/d/1p7R4vtkWt5VOBim4ltsDG9KTzSjrtKXsMtQGXPHyND0/edit#gid=795171502"", ""'Filter 30_05_2024'!A1:M2000""), {2, 3, 4, 5,6,7,8,9,10,11,12,13}, 0))"),"#N/A")</f>
        <v>#N/A</v>
      </c>
      <c r="V71" s="11" t="str">
        <f ca="1">IFERROR(__xludf.DUMMYFUNCTION("""COMPUTED_VALUE"""),"#N/A")</f>
        <v>#N/A</v>
      </c>
      <c r="W71" s="11" t="str">
        <f ca="1">IFERROR(__xludf.DUMMYFUNCTION("""COMPUTED_VALUE"""),"#N/A")</f>
        <v>#N/A</v>
      </c>
      <c r="X71" s="11" t="str">
        <f ca="1">IFERROR(__xludf.DUMMYFUNCTION("""COMPUTED_VALUE"""),"#N/A")</f>
        <v>#N/A</v>
      </c>
      <c r="Y71" s="11" t="str">
        <f ca="1">IFERROR(__xludf.DUMMYFUNCTION("""COMPUTED_VALUE"""),"#N/A")</f>
        <v>#N/A</v>
      </c>
      <c r="Z71" s="12" t="str">
        <f ca="1">IFERROR(__xludf.DUMMYFUNCTION("""COMPUTED_VALUE"""),"#N/A")</f>
        <v>#N/A</v>
      </c>
      <c r="AA71" s="12" t="str">
        <f ca="1">IFERROR(__xludf.DUMMYFUNCTION("""COMPUTED_VALUE"""),"#N/A")</f>
        <v>#N/A</v>
      </c>
      <c r="AB71" s="12" t="str">
        <f ca="1">IFERROR(__xludf.DUMMYFUNCTION("""COMPUTED_VALUE"""),"#N/A")</f>
        <v>#N/A</v>
      </c>
      <c r="AC71" s="12" t="str">
        <f ca="1">IFERROR(__xludf.DUMMYFUNCTION("""COMPUTED_VALUE"""),"#N/A")</f>
        <v>#N/A</v>
      </c>
      <c r="AD71" s="12" t="str">
        <f ca="1">IFERROR(__xludf.DUMMYFUNCTION("""COMPUTED_VALUE"""),"#N/A")</f>
        <v>#N/A</v>
      </c>
      <c r="AE71" s="12" t="str">
        <f ca="1">IFERROR(__xludf.DUMMYFUNCTION("""COMPUTED_VALUE"""),"#N/A")</f>
        <v>#N/A</v>
      </c>
      <c r="AF71" s="12" t="str">
        <f ca="1">IFERROR(__xludf.DUMMYFUNCTION("""COMPUTED_VALUE"""),"#N/A")</f>
        <v>#N/A</v>
      </c>
      <c r="AG71" s="13" t="str">
        <f ca="1">IFERROR(__xludf.DUMMYFUNCTION("ArrayFormula(VLOOKUP(G71, IMPORTRANGE(""https://docs.google.com/spreadsheets/d/1Co934fvtviyaRiMsrIlT05Jaq7iiYq07aLvRr35KA48/edit?gid=173865642#gid=173865642"", ""'G9 Sci_Pri_LU'!G2:V2000""), {3, 4, 5, 6, 7, 8, 9, 10, 11, 12, 13, 14, 15, 16}, 0))"),"LU006245")</f>
        <v>LU006245</v>
      </c>
      <c r="AH71" s="22" t="str">
        <f ca="1">IFERROR(__xludf.DUMMYFUNCTION("""COMPUTED_VALUE"""),"Introduction to Permanent Tissue")</f>
        <v>Introduction to Permanent Tissue</v>
      </c>
      <c r="AI71" s="13" t="str">
        <f ca="1">IFERROR(__xludf.DUMMYFUNCTION("""COMPUTED_VALUE"""),"LU006244")</f>
        <v>LU006244</v>
      </c>
      <c r="AJ71" s="13" t="str">
        <f ca="1">IFERROR(__xludf.DUMMYFUNCTION("""COMPUTED_VALUE"""),"Introduction to Meristematic Tissue")</f>
        <v>Introduction to Meristematic Tissue</v>
      </c>
      <c r="AK71" s="13" t="str">
        <f ca="1">IFERROR(__xludf.DUMMYFUNCTION("""COMPUTED_VALUE"""),"LU006242")</f>
        <v>LU006242</v>
      </c>
      <c r="AL71" s="13" t="str">
        <f ca="1">IFERROR(__xludf.DUMMYFUNCTION("""COMPUTED_VALUE"""),"Definition of Tissues")</f>
        <v>Definition of Tissues</v>
      </c>
      <c r="AM71" s="13"/>
      <c r="AN71" s="13"/>
      <c r="AO71" s="13"/>
      <c r="AP71" s="13"/>
      <c r="AQ71" s="13"/>
      <c r="AR71" s="13"/>
      <c r="AS71" s="13"/>
      <c r="AT71" s="13"/>
    </row>
    <row r="72" spans="1:46">
      <c r="A72" s="8" t="s">
        <v>247</v>
      </c>
      <c r="B72" s="8" t="s">
        <v>47</v>
      </c>
      <c r="C72" s="8" t="s">
        <v>979</v>
      </c>
      <c r="D72" s="9" t="s">
        <v>1406</v>
      </c>
      <c r="E72" s="9" t="s">
        <v>2333</v>
      </c>
      <c r="F72" s="9" t="s">
        <v>2342</v>
      </c>
      <c r="G72" s="114" t="s">
        <v>2343</v>
      </c>
      <c r="H72" s="8" t="str">
        <f ca="1">IFERROR(__xludf.DUMMYFUNCTION("VLOOKUP(G72, IMPORTRANGE(""https://docs.google.com/spreadsheets/d/14deopnvwcrKtEGCKuYXdUHJbeLDZlkiSSWWT0g7x2pM/edit#gid=849066331"", ""LU List Science (Filter)!A:B""), 2, FALSE)"),"Introduction to different types of complex permanent tissue")</f>
        <v>Introduction to different types of complex permanent tissue</v>
      </c>
      <c r="I72" s="10" t="str">
        <f t="shared" si="0"/>
        <v>LU006247.001</v>
      </c>
      <c r="J72" s="10" t="str">
        <f ca="1">IFERROR(__xludf.DUMMYFUNCTION("VLOOKUP(I72, IMPORTRANGE(""https://docs.google.com/spreadsheets/d/1yDAaXNsi4Mr5FtRQL4tbmSdIzhx6_m4wkOD7IG-k_eo/edit#gid=1336395716"", ""Science!M:N""), 2, FALSE)"),"Identify the different types of complex permanent tissue in plants.")</f>
        <v>Identify the different types of complex permanent tissue in plants.</v>
      </c>
      <c r="K72" s="10" t="str">
        <f t="shared" si="1"/>
        <v>LU006247.002</v>
      </c>
      <c r="L72" s="10" t="str">
        <f ca="1">IFERROR(__xludf.DUMMYFUNCTION("VLOOKUP(K72, IMPORTRANGE(""https://docs.google.com/spreadsheets/d/1yDAaXNsi4Mr5FtRQL4tbmSdIzhx6_m4wkOD7IG-k_eo/edit#gid=1336395716"", ""Science!M:N""), 2, FALSE)"),"Explain the functions of each type of complex permanent tissue.")</f>
        <v>Explain the functions of each type of complex permanent tissue.</v>
      </c>
      <c r="M72" s="10" t="str">
        <f t="shared" si="2"/>
        <v>LU006247.003</v>
      </c>
      <c r="N72" s="10" t="str">
        <f ca="1">IFERROR(__xludf.DUMMYFUNCTION("VLOOKUP(M72, IMPORTRANGE(""https://docs.google.com/spreadsheets/d/1yDAaXNsi4Mr5FtRQL4tbmSdIzhx6_m4wkOD7IG-k_eo/edit#gid=1336395716"", ""Science!M:N""), 2, FALSE)"),"Illustrate the structure of xylem and phloem tissues.")</f>
        <v>Illustrate the structure of xylem and phloem tissues.</v>
      </c>
      <c r="O72" s="10" t="str">
        <f t="shared" si="3"/>
        <v>LU006247.004</v>
      </c>
      <c r="P72" s="10" t="str">
        <f ca="1">IFERROR(__xludf.DUMMYFUNCTION("VLOOKUP(O72, IMPORTRANGE(""https://docs.google.com/spreadsheets/d/1yDAaXNsi4Mr5FtRQL4tbmSdIzhx6_m4wkOD7IG-k_eo/edit#gid=1336395716"", ""Science!M:N""), 2, FALSE)"),"Compare the roles of xylem and phloem in the transportation of water, nutrients, and food.")</f>
        <v>Compare the roles of xylem and phloem in the transportation of water, nutrients, and food.</v>
      </c>
      <c r="Q72" s="10" t="str">
        <f t="shared" si="4"/>
        <v>LU006247.005</v>
      </c>
      <c r="R72" s="10" t="str">
        <f ca="1">IFERROR(__xludf.DUMMYFUNCTION("VLOOKUP(Q72, IMPORTRANGE(""https://docs.google.com/spreadsheets/d/1yDAaXNsi4Mr5FtRQL4tbmSdIzhx6_m4wkOD7IG-k_eo/edit#gid=1336395716"", ""Science!M:N""), 2, FALSE)"),"Evaluate the importance of complex permanent tissues in the overall functioning of a plant.")</f>
        <v>Evaluate the importance of complex permanent tissues in the overall functioning of a plant.</v>
      </c>
      <c r="S72" s="10" t="str">
        <f t="shared" si="5"/>
        <v>LU006247.006</v>
      </c>
      <c r="T72" s="10" t="str">
        <f ca="1">IFERROR(__xludf.DUMMYFUNCTION("VLOOKUP(S72, IMPORTRANGE(""https://docs.google.com/spreadsheets/d/1yDAaXNsi4Mr5FtRQL4tbmSdIzhx6_m4wkOD7IG-k_eo/edit#gid=1336395716"", ""Science!M:N""), 2, FALSE)"),"Design a simple experiment to demonstrate the transport of water through xylem tissue in a plant stem.")</f>
        <v>Design a simple experiment to demonstrate the transport of water through xylem tissue in a plant stem.</v>
      </c>
      <c r="U72" s="11" t="str">
        <f ca="1">IFERROR(__xludf.DUMMYFUNCTION("ArrayFormula(VLOOKUP(G72, IMPORTRANGE(""https://docs.google.com/spreadsheets/d/1p7R4vtkWt5VOBim4ltsDG9KTzSjrtKXsMtQGXPHyND0/edit#gid=795171502"", ""'Filter 30_05_2024'!A1:M2000""), {2, 3, 4, 5,6,7,8,9,10,11,12,13}, 0))"),"#N/A")</f>
        <v>#N/A</v>
      </c>
      <c r="V72" s="11" t="str">
        <f ca="1">IFERROR(__xludf.DUMMYFUNCTION("""COMPUTED_VALUE"""),"#N/A")</f>
        <v>#N/A</v>
      </c>
      <c r="W72" s="11" t="str">
        <f ca="1">IFERROR(__xludf.DUMMYFUNCTION("""COMPUTED_VALUE"""),"#N/A")</f>
        <v>#N/A</v>
      </c>
      <c r="X72" s="11" t="str">
        <f ca="1">IFERROR(__xludf.DUMMYFUNCTION("""COMPUTED_VALUE"""),"#N/A")</f>
        <v>#N/A</v>
      </c>
      <c r="Y72" s="11" t="str">
        <f ca="1">IFERROR(__xludf.DUMMYFUNCTION("""COMPUTED_VALUE"""),"#N/A")</f>
        <v>#N/A</v>
      </c>
      <c r="Z72" s="12" t="str">
        <f ca="1">IFERROR(__xludf.DUMMYFUNCTION("""COMPUTED_VALUE"""),"#N/A")</f>
        <v>#N/A</v>
      </c>
      <c r="AA72" s="12" t="str">
        <f ca="1">IFERROR(__xludf.DUMMYFUNCTION("""COMPUTED_VALUE"""),"#N/A")</f>
        <v>#N/A</v>
      </c>
      <c r="AB72" s="12" t="str">
        <f ca="1">IFERROR(__xludf.DUMMYFUNCTION("""COMPUTED_VALUE"""),"#N/A")</f>
        <v>#N/A</v>
      </c>
      <c r="AC72" s="12" t="str">
        <f ca="1">IFERROR(__xludf.DUMMYFUNCTION("""COMPUTED_VALUE"""),"#N/A")</f>
        <v>#N/A</v>
      </c>
      <c r="AD72" s="12" t="str">
        <f ca="1">IFERROR(__xludf.DUMMYFUNCTION("""COMPUTED_VALUE"""),"#N/A")</f>
        <v>#N/A</v>
      </c>
      <c r="AE72" s="12" t="str">
        <f ca="1">IFERROR(__xludf.DUMMYFUNCTION("""COMPUTED_VALUE"""),"#N/A")</f>
        <v>#N/A</v>
      </c>
      <c r="AF72" s="12" t="str">
        <f ca="1">IFERROR(__xludf.DUMMYFUNCTION("""COMPUTED_VALUE"""),"#N/A")</f>
        <v>#N/A</v>
      </c>
      <c r="AG72" s="13" t="str">
        <f ca="1">IFERROR(__xludf.DUMMYFUNCTION("ArrayFormula(VLOOKUP(G72, IMPORTRANGE(""https://docs.google.com/spreadsheets/d/1Co934fvtviyaRiMsrIlT05Jaq7iiYq07aLvRr35KA48/edit?gid=173865642#gid=173865642"", ""'G9 Sci_Pri_LU'!G2:V2000""), {3, 4, 5, 6, 7, 8, 9, 10, 11, 12, 13, 14, 15, 16}, 0))"),"LU006245")</f>
        <v>LU006245</v>
      </c>
      <c r="AH72" s="22" t="str">
        <f ca="1">IFERROR(__xludf.DUMMYFUNCTION("""COMPUTED_VALUE"""),"Introduction to Permanent Tissue")</f>
        <v>Introduction to Permanent Tissue</v>
      </c>
      <c r="AI72" s="13" t="str">
        <f ca="1">IFERROR(__xludf.DUMMYFUNCTION("""COMPUTED_VALUE"""),"LU006246")</f>
        <v>LU006246</v>
      </c>
      <c r="AJ72" s="13" t="str">
        <f ca="1">IFERROR(__xludf.DUMMYFUNCTION("""COMPUTED_VALUE"""),"Introduction to different types of simple permanent tissue")</f>
        <v>Introduction to different types of simple permanent tissue</v>
      </c>
      <c r="AK72" s="13" t="str">
        <f ca="1">IFERROR(__xludf.DUMMYFUNCTION("""COMPUTED_VALUE"""),"LU005408")</f>
        <v>LU005408</v>
      </c>
      <c r="AL72" s="13" t="str">
        <f ca="1">IFERROR(__xludf.DUMMYFUNCTION("""COMPUTED_VALUE"""),"Elements in the Photosynthesis(stomata, vessels, pigments)")</f>
        <v>Elements in the Photosynthesis(stomata, vessels, pigments)</v>
      </c>
      <c r="AM72" s="13"/>
      <c r="AN72" s="13"/>
      <c r="AO72" s="13"/>
      <c r="AP72" s="13"/>
      <c r="AQ72" s="13"/>
      <c r="AR72" s="13"/>
      <c r="AS72" s="13"/>
      <c r="AT72" s="13"/>
    </row>
    <row r="73" spans="1:46">
      <c r="A73" s="8" t="s">
        <v>247</v>
      </c>
      <c r="B73" s="8" t="s">
        <v>47</v>
      </c>
      <c r="C73" s="8" t="s">
        <v>979</v>
      </c>
      <c r="D73" s="9" t="s">
        <v>1406</v>
      </c>
      <c r="E73" s="9" t="s">
        <v>2333</v>
      </c>
      <c r="F73" s="9" t="s">
        <v>2344</v>
      </c>
      <c r="G73" s="114" t="s">
        <v>2345</v>
      </c>
      <c r="H73" s="8" t="str">
        <f ca="1">IFERROR(__xludf.DUMMYFUNCTION("VLOOKUP(G73, IMPORTRANGE(""https://docs.google.com/spreadsheets/d/14deopnvwcrKtEGCKuYXdUHJbeLDZlkiSSWWT0g7x2pM/edit#gid=849066331"", ""LU List Science (Filter)!A:B""), 2, FALSE)"),"Comparison of simple and complex permanent tissue")</f>
        <v>Comparison of simple and complex permanent tissue</v>
      </c>
      <c r="I73" s="10" t="str">
        <f t="shared" si="0"/>
        <v>LU006248.001</v>
      </c>
      <c r="J73" s="10" t="str">
        <f ca="1">IFERROR(__xludf.DUMMYFUNCTION("VLOOKUP(I73, IMPORTRANGE(""https://docs.google.com/spreadsheets/d/1yDAaXNsi4Mr5FtRQL4tbmSdIzhx6_m4wkOD7IG-k_eo/edit#gid=1336395716"", ""Science!M:N""), 2, FALSE)"),"Define simple and complex permanent tissues.")</f>
        <v>Define simple and complex permanent tissues.</v>
      </c>
      <c r="K73" s="10" t="str">
        <f t="shared" si="1"/>
        <v>LU006248.002</v>
      </c>
      <c r="L73" s="10" t="str">
        <f ca="1">IFERROR(__xludf.DUMMYFUNCTION("VLOOKUP(K73, IMPORTRANGE(""https://docs.google.com/spreadsheets/d/1yDAaXNsi4Mr5FtRQL4tbmSdIzhx6_m4wkOD7IG-k_eo/edit#gid=1336395716"", ""Science!M:N""), 2, FALSE)"),"Explain the characteristics and functions of simple and complex permanent tissues.")</f>
        <v>Explain the characteristics and functions of simple and complex permanent tissues.</v>
      </c>
      <c r="M73" s="10" t="str">
        <f t="shared" si="2"/>
        <v>LU006248.003</v>
      </c>
      <c r="N73" s="10" t="str">
        <f ca="1">IFERROR(__xludf.DUMMYFUNCTION("VLOOKUP(M73, IMPORTRANGE(""https://docs.google.com/spreadsheets/d/1yDAaXNsi4Mr5FtRQL4tbmSdIzhx6_m4wkOD7IG-k_eo/edit#gid=1336395716"", ""Science!M:N""), 2, FALSE)"),"Illustrate the differences between simple and complex permanent tissues using diagrams.")</f>
        <v>Illustrate the differences between simple and complex permanent tissues using diagrams.</v>
      </c>
      <c r="O73" s="10" t="str">
        <f t="shared" si="3"/>
        <v>LU006248.004</v>
      </c>
      <c r="P73" s="10" t="str">
        <f ca="1">IFERROR(__xludf.DUMMYFUNCTION("VLOOKUP(O73, IMPORTRANGE(""https://docs.google.com/spreadsheets/d/1yDAaXNsi4Mr5FtRQL4tbmSdIzhx6_m4wkOD7IG-k_eo/edit#gid=1336395716"", ""Science!M:N""), 2, FALSE)"),"Compare the structure and function of simple and complex permanent tissues in plants.")</f>
        <v>Compare the structure and function of simple and complex permanent tissues in plants.</v>
      </c>
      <c r="Q73" s="10" t="str">
        <f t="shared" si="4"/>
        <v>LU006248.005</v>
      </c>
      <c r="R73" s="10" t="str">
        <f ca="1">IFERROR(__xludf.DUMMYFUNCTION("VLOOKUP(Q73, IMPORTRANGE(""https://docs.google.com/spreadsheets/d/1yDAaXNsi4Mr5FtRQL4tbmSdIzhx6_m4wkOD7IG-k_eo/edit#gid=1336395716"", ""Science!M:N""), 2, FALSE)"),"Evaluate the role of simple and complex permanent tissues in the overall functioning of plants.")</f>
        <v>Evaluate the role of simple and complex permanent tissues in the overall functioning of plants.</v>
      </c>
      <c r="S73" s="10" t="str">
        <f t="shared" si="5"/>
        <v>LU006248.006</v>
      </c>
      <c r="T73" s="10" t="str">
        <f ca="1">IFERROR(__xludf.DUMMYFUNCTION("VLOOKUP(S73, IMPORTRANGE(""https://docs.google.com/spreadsheets/d/1yDAaXNsi4Mr5FtRQL4tbmSdIzhx6_m4wkOD7IG-k_eo/edit#gid=1336395716"", ""Science!M:N""), 2, FALSE)"),"Design an experiment to observe and differentiate simple and complex permanent tissues in plant samples under a microscope.")</f>
        <v>Design an experiment to observe and differentiate simple and complex permanent tissues in plant samples under a microscope.</v>
      </c>
      <c r="U73" s="11" t="str">
        <f ca="1">IFERROR(__xludf.DUMMYFUNCTION("ArrayFormula(VLOOKUP(G73, IMPORTRANGE(""https://docs.google.com/spreadsheets/d/1p7R4vtkWt5VOBim4ltsDG9KTzSjrtKXsMtQGXPHyND0/edit#gid=795171502"", ""'Filter 30_05_2024'!A1:M2000""), {2, 3, 4, 5,6,7,8,9,10,11,12,13}, 0))"),"#N/A")</f>
        <v>#N/A</v>
      </c>
      <c r="V73" s="11" t="str">
        <f ca="1">IFERROR(__xludf.DUMMYFUNCTION("""COMPUTED_VALUE"""),"#N/A")</f>
        <v>#N/A</v>
      </c>
      <c r="W73" s="11" t="str">
        <f ca="1">IFERROR(__xludf.DUMMYFUNCTION("""COMPUTED_VALUE"""),"#N/A")</f>
        <v>#N/A</v>
      </c>
      <c r="X73" s="11" t="str">
        <f ca="1">IFERROR(__xludf.DUMMYFUNCTION("""COMPUTED_VALUE"""),"#N/A")</f>
        <v>#N/A</v>
      </c>
      <c r="Y73" s="11" t="str">
        <f ca="1">IFERROR(__xludf.DUMMYFUNCTION("""COMPUTED_VALUE"""),"#N/A")</f>
        <v>#N/A</v>
      </c>
      <c r="Z73" s="12" t="str">
        <f ca="1">IFERROR(__xludf.DUMMYFUNCTION("""COMPUTED_VALUE"""),"#N/A")</f>
        <v>#N/A</v>
      </c>
      <c r="AA73" s="12" t="str">
        <f ca="1">IFERROR(__xludf.DUMMYFUNCTION("""COMPUTED_VALUE"""),"#N/A")</f>
        <v>#N/A</v>
      </c>
      <c r="AB73" s="12" t="str">
        <f ca="1">IFERROR(__xludf.DUMMYFUNCTION("""COMPUTED_VALUE"""),"#N/A")</f>
        <v>#N/A</v>
      </c>
      <c r="AC73" s="12" t="str">
        <f ca="1">IFERROR(__xludf.DUMMYFUNCTION("""COMPUTED_VALUE"""),"#N/A")</f>
        <v>#N/A</v>
      </c>
      <c r="AD73" s="12" t="str">
        <f ca="1">IFERROR(__xludf.DUMMYFUNCTION("""COMPUTED_VALUE"""),"#N/A")</f>
        <v>#N/A</v>
      </c>
      <c r="AE73" s="12" t="str">
        <f ca="1">IFERROR(__xludf.DUMMYFUNCTION("""COMPUTED_VALUE"""),"#N/A")</f>
        <v>#N/A</v>
      </c>
      <c r="AF73" s="12" t="str">
        <f ca="1">IFERROR(__xludf.DUMMYFUNCTION("""COMPUTED_VALUE"""),"#N/A")</f>
        <v>#N/A</v>
      </c>
      <c r="AG73" s="13" t="str">
        <f ca="1">IFERROR(__xludf.DUMMYFUNCTION("ArrayFormula(VLOOKUP(G73, IMPORTRANGE(""https://docs.google.com/spreadsheets/d/1Co934fvtviyaRiMsrIlT05Jaq7iiYq07aLvRr35KA48/edit?gid=173865642#gid=173865642"", ""'G9 Sci_Pri_LU'!G2:V2000""), {3, 4, 5, 6, 7, 8, 9, 10, 11, 12, 13, 14, 15, 16}, 0))"),"LU006246")</f>
        <v>LU006246</v>
      </c>
      <c r="AH73" s="22" t="str">
        <f ca="1">IFERROR(__xludf.DUMMYFUNCTION("""COMPUTED_VALUE"""),"Introduction to different types of simple permanent tissue")</f>
        <v>Introduction to different types of simple permanent tissue</v>
      </c>
      <c r="AI73" s="13" t="str">
        <f ca="1">IFERROR(__xludf.DUMMYFUNCTION("""COMPUTED_VALUE"""),"LU006247")</f>
        <v>LU006247</v>
      </c>
      <c r="AJ73" s="13" t="str">
        <f ca="1">IFERROR(__xludf.DUMMYFUNCTION("""COMPUTED_VALUE"""),"Introduction to different types of complex permanent tissue")</f>
        <v>Introduction to different types of complex permanent tissue</v>
      </c>
      <c r="AK73" s="13" t="str">
        <f ca="1">IFERROR(__xludf.DUMMYFUNCTION("""COMPUTED_VALUE"""),"LU006244")</f>
        <v>LU006244</v>
      </c>
      <c r="AL73" s="13" t="str">
        <f ca="1">IFERROR(__xludf.DUMMYFUNCTION("""COMPUTED_VALUE"""),"Introduction to Meristematic Tissue")</f>
        <v>Introduction to Meristematic Tissue</v>
      </c>
      <c r="AM73" s="13"/>
      <c r="AN73" s="13"/>
      <c r="AO73" s="13"/>
      <c r="AP73" s="13"/>
      <c r="AQ73" s="13"/>
      <c r="AR73" s="13"/>
      <c r="AS73" s="13"/>
      <c r="AT73" s="13"/>
    </row>
    <row r="74" spans="1:46">
      <c r="A74" s="8" t="s">
        <v>247</v>
      </c>
      <c r="B74" s="8" t="s">
        <v>47</v>
      </c>
      <c r="C74" s="8" t="s">
        <v>979</v>
      </c>
      <c r="D74" s="9" t="s">
        <v>1406</v>
      </c>
      <c r="E74" s="9" t="s">
        <v>2333</v>
      </c>
      <c r="F74" s="9" t="s">
        <v>2346</v>
      </c>
      <c r="G74" s="114" t="s">
        <v>2347</v>
      </c>
      <c r="H74" s="8" t="str">
        <f ca="1">IFERROR(__xludf.DUMMYFUNCTION("VLOOKUP(G74, IMPORTRANGE(""https://docs.google.com/spreadsheets/d/14deopnvwcrKtEGCKuYXdUHJbeLDZlkiSSWWT0g7x2pM/edit#gid=849066331"", ""LU List Science (Filter)!A:B""), 2, FALSE)"),"Introduction to epithelial tissues")</f>
        <v>Introduction to epithelial tissues</v>
      </c>
      <c r="I74" s="10" t="str">
        <f t="shared" si="0"/>
        <v>LU006249.001</v>
      </c>
      <c r="J74" s="10" t="str">
        <f ca="1">IFERROR(__xludf.DUMMYFUNCTION("VLOOKUP(I74, IMPORTRANGE(""https://docs.google.com/spreadsheets/d/1yDAaXNsi4Mr5FtRQL4tbmSdIzhx6_m4wkOD7IG-k_eo/edit#gid=1336395716"", ""Science!M:N""), 2, FALSE)"),"Define epithelial tissues.")</f>
        <v>Define epithelial tissues.</v>
      </c>
      <c r="K74" s="10" t="str">
        <f t="shared" si="1"/>
        <v>LU006249.002</v>
      </c>
      <c r="L74" s="10" t="str">
        <f ca="1">IFERROR(__xludf.DUMMYFUNCTION("VLOOKUP(K74, IMPORTRANGE(""https://docs.google.com/spreadsheets/d/1yDAaXNsi4Mr5FtRQL4tbmSdIzhx6_m4wkOD7IG-k_eo/edit#gid=1336395716"", ""Science!M:N""), 2, FALSE)"),"Explain the characteristics and functions of epithelial tissues.")</f>
        <v>Explain the characteristics and functions of epithelial tissues.</v>
      </c>
      <c r="M74" s="10" t="str">
        <f t="shared" si="2"/>
        <v>LU006249.003</v>
      </c>
      <c r="N74" s="10" t="str">
        <f ca="1">IFERROR(__xludf.DUMMYFUNCTION("VLOOKUP(M74, IMPORTRANGE(""https://docs.google.com/spreadsheets/d/1yDAaXNsi4Mr5FtRQL4tbmSdIzhx6_m4wkOD7IG-k_eo/edit#gid=1336395716"", ""Science!M:N""), 2, FALSE)"),"Illustrate the different types of epithelial tissues using diagrams.")</f>
        <v>Illustrate the different types of epithelial tissues using diagrams.</v>
      </c>
      <c r="O74" s="10" t="str">
        <f t="shared" si="3"/>
        <v>LU006249.004</v>
      </c>
      <c r="P74" s="10" t="str">
        <f ca="1">IFERROR(__xludf.DUMMYFUNCTION("VLOOKUP(O74, IMPORTRANGE(""https://docs.google.com/spreadsheets/d/1yDAaXNsi4Mr5FtRQL4tbmSdIzhx6_m4wkOD7IG-k_eo/edit#gid=1336395716"", ""Science!M:N""), 2, FALSE)"),"Compare the functions of various types of epithelial tissues.")</f>
        <v>Compare the functions of various types of epithelial tissues.</v>
      </c>
      <c r="Q74" s="10" t="str">
        <f t="shared" si="4"/>
        <v>LU006249.005</v>
      </c>
      <c r="R74" s="10" t="str">
        <f ca="1">IFERROR(__xludf.DUMMYFUNCTION("VLOOKUP(Q74, IMPORTRANGE(""https://docs.google.com/spreadsheets/d/1yDAaXNsi4Mr5FtRQL4tbmSdIzhx6_m4wkOD7IG-k_eo/edit#gid=1336395716"", ""Science!M:N""), 2, FALSE)"),"Evaluate the role of epithelial tissues in protecting and lining organs and structures in the body.")</f>
        <v>Evaluate the role of epithelial tissues in protecting and lining organs and structures in the body.</v>
      </c>
      <c r="S74" s="10" t="str">
        <f t="shared" si="5"/>
        <v>LU006249.006</v>
      </c>
      <c r="T74" s="10" t="str">
        <f ca="1">IFERROR(__xludf.DUMMYFUNCTION("VLOOKUP(S74, IMPORTRANGE(""https://docs.google.com/spreadsheets/d/1yDAaXNsi4Mr5FtRQL4tbmSdIzhx6_m4wkOD7IG-k_eo/edit#gid=1336395716"", ""Science!M:N""), 2, FALSE)"),"Design an experiment to observe different types of epithelial tissues under a microscope.")</f>
        <v>Design an experiment to observe different types of epithelial tissues under a microscope.</v>
      </c>
      <c r="U74" s="11" t="str">
        <f ca="1">IFERROR(__xludf.DUMMYFUNCTION("ArrayFormula(VLOOKUP(G74, IMPORTRANGE(""https://docs.google.com/spreadsheets/d/1p7R4vtkWt5VOBim4ltsDG9KTzSjrtKXsMtQGXPHyND0/edit#gid=795171502"", ""'Filter 30_05_2024'!A1:M2000""), {2, 3, 4, 5,6,7,8,9,10,11,12,13}, 0))"),"#N/A")</f>
        <v>#N/A</v>
      </c>
      <c r="V74" s="11" t="str">
        <f ca="1">IFERROR(__xludf.DUMMYFUNCTION("""COMPUTED_VALUE"""),"#N/A")</f>
        <v>#N/A</v>
      </c>
      <c r="W74" s="11" t="str">
        <f ca="1">IFERROR(__xludf.DUMMYFUNCTION("""COMPUTED_VALUE"""),"#N/A")</f>
        <v>#N/A</v>
      </c>
      <c r="X74" s="11" t="str">
        <f ca="1">IFERROR(__xludf.DUMMYFUNCTION("""COMPUTED_VALUE"""),"#N/A")</f>
        <v>#N/A</v>
      </c>
      <c r="Y74" s="11" t="str">
        <f ca="1">IFERROR(__xludf.DUMMYFUNCTION("""COMPUTED_VALUE"""),"#N/A")</f>
        <v>#N/A</v>
      </c>
      <c r="Z74" s="12" t="str">
        <f ca="1">IFERROR(__xludf.DUMMYFUNCTION("""COMPUTED_VALUE"""),"#N/A")</f>
        <v>#N/A</v>
      </c>
      <c r="AA74" s="12" t="str">
        <f ca="1">IFERROR(__xludf.DUMMYFUNCTION("""COMPUTED_VALUE"""),"#N/A")</f>
        <v>#N/A</v>
      </c>
      <c r="AB74" s="12" t="str">
        <f ca="1">IFERROR(__xludf.DUMMYFUNCTION("""COMPUTED_VALUE"""),"#N/A")</f>
        <v>#N/A</v>
      </c>
      <c r="AC74" s="12" t="str">
        <f ca="1">IFERROR(__xludf.DUMMYFUNCTION("""COMPUTED_VALUE"""),"#N/A")</f>
        <v>#N/A</v>
      </c>
      <c r="AD74" s="12" t="str">
        <f ca="1">IFERROR(__xludf.DUMMYFUNCTION("""COMPUTED_VALUE"""),"#N/A")</f>
        <v>#N/A</v>
      </c>
      <c r="AE74" s="12" t="str">
        <f ca="1">IFERROR(__xludf.DUMMYFUNCTION("""COMPUTED_VALUE"""),"#N/A")</f>
        <v>#N/A</v>
      </c>
      <c r="AF74" s="12" t="str">
        <f ca="1">IFERROR(__xludf.DUMMYFUNCTION("""COMPUTED_VALUE"""),"#N/A")</f>
        <v>#N/A</v>
      </c>
      <c r="AG74" s="13" t="str">
        <f ca="1">IFERROR(__xludf.DUMMYFUNCTION("ArrayFormula(VLOOKUP(G74, IMPORTRANGE(""https://docs.google.com/spreadsheets/d/1Co934fvtviyaRiMsrIlT05Jaq7iiYq07aLvRr35KA48/edit?gid=173865642#gid=173865642"", ""'G9 Sci_Pri_LU'!G2:V2000""), {3, 4, 5, 6, 7, 8, 9, 10, 11, 12, 13, 14, 15, 16}, 0))"),"LU006242")</f>
        <v>LU006242</v>
      </c>
      <c r="AH74" s="22" t="str">
        <f ca="1">IFERROR(__xludf.DUMMYFUNCTION("""COMPUTED_VALUE"""),"Definition of Tissues")</f>
        <v>Definition of Tissues</v>
      </c>
      <c r="AI74" s="13" t="str">
        <f ca="1">IFERROR(__xludf.DUMMYFUNCTION("""COMPUTED_VALUE"""),"LU005847")</f>
        <v>LU005847</v>
      </c>
      <c r="AJ74" s="13" t="str">
        <f ca="1">IFERROR(__xludf.DUMMYFUNCTION("""COMPUTED_VALUE"""),"Levels of organization in an organism")</f>
        <v>Levels of organization in an organism</v>
      </c>
      <c r="AK74" s="13"/>
      <c r="AL74" s="13"/>
      <c r="AM74" s="13"/>
      <c r="AN74" s="13"/>
      <c r="AO74" s="13"/>
      <c r="AP74" s="13"/>
      <c r="AQ74" s="13"/>
      <c r="AR74" s="13"/>
      <c r="AS74" s="13"/>
      <c r="AT74" s="13"/>
    </row>
    <row r="75" spans="1:46">
      <c r="A75" s="8" t="s">
        <v>247</v>
      </c>
      <c r="B75" s="8" t="s">
        <v>47</v>
      </c>
      <c r="C75" s="8" t="s">
        <v>979</v>
      </c>
      <c r="D75" s="9" t="s">
        <v>1406</v>
      </c>
      <c r="E75" s="9" t="s">
        <v>2333</v>
      </c>
      <c r="F75" s="9" t="s">
        <v>2346</v>
      </c>
      <c r="G75" s="114" t="s">
        <v>2348</v>
      </c>
      <c r="H75" s="8" t="str">
        <f ca="1">IFERROR(__xludf.DUMMYFUNCTION("VLOOKUP(G75, IMPORTRANGE(""https://docs.google.com/spreadsheets/d/14deopnvwcrKtEGCKuYXdUHJbeLDZlkiSSWWT0g7x2pM/edit#gid=849066331"", ""LU List Science (Filter)!A:B""), 2, FALSE)"),"Introduction to different types of epithelial tissues")</f>
        <v>Introduction to different types of epithelial tissues</v>
      </c>
      <c r="I75" s="10" t="str">
        <f t="shared" si="0"/>
        <v>LU006250.001</v>
      </c>
      <c r="J75" s="10" t="str">
        <f ca="1">IFERROR(__xludf.DUMMYFUNCTION("VLOOKUP(I75, IMPORTRANGE(""https://docs.google.com/spreadsheets/d/1yDAaXNsi4Mr5FtRQL4tbmSdIzhx6_m4wkOD7IG-k_eo/edit#gid=1336395716"", ""Science!M:N""), 2, FALSE)"),"Enlist different types of epithelial tissues and their basic structure.")</f>
        <v>Enlist different types of epithelial tissues and their basic structure.</v>
      </c>
      <c r="K75" s="10" t="str">
        <f t="shared" si="1"/>
        <v>LU006250.002</v>
      </c>
      <c r="L75" s="10" t="str">
        <f ca="1">IFERROR(__xludf.DUMMYFUNCTION("VLOOKUP(K75, IMPORTRANGE(""https://docs.google.com/spreadsheets/d/1yDAaXNsi4Mr5FtRQL4tbmSdIzhx6_m4wkOD7IG-k_eo/edit#gid=1336395716"", ""Science!M:N""), 2, FALSE)"),"Explain the different types of epithelial tissues and their functions.")</f>
        <v>Explain the different types of epithelial tissues and their functions.</v>
      </c>
      <c r="M75" s="10" t="str">
        <f t="shared" si="2"/>
        <v>LU006250.003</v>
      </c>
      <c r="N75" s="10" t="str">
        <f ca="1">IFERROR(__xludf.DUMMYFUNCTION("VLOOKUP(M75, IMPORTRANGE(""https://docs.google.com/spreadsheets/d/1yDAaXNsi4Mr5FtRQL4tbmSdIzhx6_m4wkOD7IG-k_eo/edit#gid=1336395716"", ""Science!M:N""), 2, FALSE)"),"Illustrate the various types of epithelial tissues with labeled diagrams.")</f>
        <v>Illustrate the various types of epithelial tissues with labeled diagrams.</v>
      </c>
      <c r="O75" s="10" t="str">
        <f t="shared" si="3"/>
        <v>LU006250.004</v>
      </c>
      <c r="P75" s="10" t="str">
        <f ca="1">IFERROR(__xludf.DUMMYFUNCTION("VLOOKUP(O75, IMPORTRANGE(""https://docs.google.com/spreadsheets/d/1yDAaXNsi4Mr5FtRQL4tbmSdIzhx6_m4wkOD7IG-k_eo/edit#gid=1336395716"", ""Science!M:N""), 2, FALSE)"),"Compare the structural and functional differences between different types of epithelial tissues.")</f>
        <v>Compare the structural and functional differences between different types of epithelial tissues.</v>
      </c>
      <c r="Q75" s="10" t="str">
        <f t="shared" si="4"/>
        <v>LU006250.005</v>
      </c>
      <c r="R75" s="10" t="str">
        <f ca="1">IFERROR(__xludf.DUMMYFUNCTION("VLOOKUP(Q75, IMPORTRANGE(""https://docs.google.com/spreadsheets/d/1yDAaXNsi4Mr5FtRQL4tbmSdIzhx6_m4wkOD7IG-k_eo/edit#gid=1336395716"", ""Science!M:N""), 2, FALSE)"),"Evaluate the significance of epithelial tissues in protecting and supporting organs.")</f>
        <v>Evaluate the significance of epithelial tissues in protecting and supporting organs.</v>
      </c>
      <c r="S75" s="10" t="str">
        <f t="shared" si="5"/>
        <v>LU006250.006</v>
      </c>
      <c r="T75" s="10" t="str">
        <f ca="1">IFERROR(__xludf.DUMMYFUNCTION("VLOOKUP(S75, IMPORTRANGE(""https://docs.google.com/spreadsheets/d/1yDAaXNsi4Mr5FtRQL4tbmSdIzhx6_m4wkOD7IG-k_eo/edit#gid=1336395716"", ""Science!M:N""), 2, FALSE)"),"Design an observation activity to identify and differentiate between types of epithelial tissues under a microscope.")</f>
        <v>Design an observation activity to identify and differentiate between types of epithelial tissues under a microscope.</v>
      </c>
      <c r="U75" s="11" t="str">
        <f ca="1">IFERROR(__xludf.DUMMYFUNCTION("ArrayFormula(VLOOKUP(G75, IMPORTRANGE(""https://docs.google.com/spreadsheets/d/1p7R4vtkWt5VOBim4ltsDG9KTzSjrtKXsMtQGXPHyND0/edit#gid=795171502"", ""'Filter 30_05_2024'!A1:M2000""), {2, 3, 4, 5,6,7,8,9,10,11,12,13}, 0))"),"#N/A")</f>
        <v>#N/A</v>
      </c>
      <c r="V75" s="11" t="str">
        <f ca="1">IFERROR(__xludf.DUMMYFUNCTION("""COMPUTED_VALUE"""),"#N/A")</f>
        <v>#N/A</v>
      </c>
      <c r="W75" s="11" t="str">
        <f ca="1">IFERROR(__xludf.DUMMYFUNCTION("""COMPUTED_VALUE"""),"#N/A")</f>
        <v>#N/A</v>
      </c>
      <c r="X75" s="11" t="str">
        <f ca="1">IFERROR(__xludf.DUMMYFUNCTION("""COMPUTED_VALUE"""),"#N/A")</f>
        <v>#N/A</v>
      </c>
      <c r="Y75" s="11" t="str">
        <f ca="1">IFERROR(__xludf.DUMMYFUNCTION("""COMPUTED_VALUE"""),"#N/A")</f>
        <v>#N/A</v>
      </c>
      <c r="Z75" s="12" t="str">
        <f ca="1">IFERROR(__xludf.DUMMYFUNCTION("""COMPUTED_VALUE"""),"#N/A")</f>
        <v>#N/A</v>
      </c>
      <c r="AA75" s="12" t="str">
        <f ca="1">IFERROR(__xludf.DUMMYFUNCTION("""COMPUTED_VALUE"""),"#N/A")</f>
        <v>#N/A</v>
      </c>
      <c r="AB75" s="12" t="str">
        <f ca="1">IFERROR(__xludf.DUMMYFUNCTION("""COMPUTED_VALUE"""),"#N/A")</f>
        <v>#N/A</v>
      </c>
      <c r="AC75" s="12" t="str">
        <f ca="1">IFERROR(__xludf.DUMMYFUNCTION("""COMPUTED_VALUE"""),"#N/A")</f>
        <v>#N/A</v>
      </c>
      <c r="AD75" s="12" t="str">
        <f ca="1">IFERROR(__xludf.DUMMYFUNCTION("""COMPUTED_VALUE"""),"#N/A")</f>
        <v>#N/A</v>
      </c>
      <c r="AE75" s="12" t="str">
        <f ca="1">IFERROR(__xludf.DUMMYFUNCTION("""COMPUTED_VALUE"""),"#N/A")</f>
        <v>#N/A</v>
      </c>
      <c r="AF75" s="12" t="str">
        <f ca="1">IFERROR(__xludf.DUMMYFUNCTION("""COMPUTED_VALUE"""),"#N/A")</f>
        <v>#N/A</v>
      </c>
      <c r="AG75" s="13" t="str">
        <f ca="1">IFERROR(__xludf.DUMMYFUNCTION("ArrayFormula(VLOOKUP(G75, IMPORTRANGE(""https://docs.google.com/spreadsheets/d/1Co934fvtviyaRiMsrIlT05Jaq7iiYq07aLvRr35KA48/edit?gid=173865642#gid=173865642"", ""'G9 Sci_Pri_LU'!G2:V2000""), {3, 4, 5, 6, 7, 8, 9, 10, 11, 12, 13, 14, 15, 16}, 0))"),"LU006249")</f>
        <v>LU006249</v>
      </c>
      <c r="AH75" s="22" t="str">
        <f ca="1">IFERROR(__xludf.DUMMYFUNCTION("""COMPUTED_VALUE"""),"Introduction to epithelial tissues")</f>
        <v>Introduction to epithelial tissues</v>
      </c>
      <c r="AI75" s="13" t="str">
        <f ca="1">IFERROR(__xludf.DUMMYFUNCTION("""COMPUTED_VALUE"""),"LU006242")</f>
        <v>LU006242</v>
      </c>
      <c r="AJ75" s="13" t="str">
        <f ca="1">IFERROR(__xludf.DUMMYFUNCTION("""COMPUTED_VALUE"""),"Definition of Tissues")</f>
        <v>Definition of Tissues</v>
      </c>
      <c r="AK75" s="13"/>
      <c r="AL75" s="13"/>
      <c r="AM75" s="13"/>
      <c r="AN75" s="13"/>
      <c r="AO75" s="13"/>
      <c r="AP75" s="13"/>
      <c r="AQ75" s="13"/>
      <c r="AR75" s="13"/>
      <c r="AS75" s="13"/>
      <c r="AT75" s="13"/>
    </row>
    <row r="76" spans="1:46">
      <c r="A76" s="8" t="s">
        <v>247</v>
      </c>
      <c r="B76" s="8" t="s">
        <v>47</v>
      </c>
      <c r="C76" s="8" t="s">
        <v>979</v>
      </c>
      <c r="D76" s="9" t="s">
        <v>1406</v>
      </c>
      <c r="E76" s="9" t="s">
        <v>2333</v>
      </c>
      <c r="F76" s="9" t="s">
        <v>2349</v>
      </c>
      <c r="G76" s="114" t="s">
        <v>2350</v>
      </c>
      <c r="H76" s="8" t="str">
        <f ca="1">IFERROR(__xludf.DUMMYFUNCTION("VLOOKUP(G76, IMPORTRANGE(""https://docs.google.com/spreadsheets/d/14deopnvwcrKtEGCKuYXdUHJbeLDZlkiSSWWT0g7x2pM/edit#gid=849066331"", ""LU List Science (Filter)!A:B""), 2, FALSE)"),"Introduction to connective tissues")</f>
        <v>Introduction to connective tissues</v>
      </c>
      <c r="I76" s="10" t="str">
        <f t="shared" si="0"/>
        <v>LU006251.001</v>
      </c>
      <c r="J76" s="10" t="str">
        <f ca="1">IFERROR(__xludf.DUMMYFUNCTION("VLOOKUP(I76, IMPORTRANGE(""https://docs.google.com/spreadsheets/d/1yDAaXNsi4Mr5FtRQL4tbmSdIzhx6_m4wkOD7IG-k_eo/edit#gid=1336395716"", ""Science!M:N""), 2, FALSE)"),"Define connective tissues.")</f>
        <v>Define connective tissues.</v>
      </c>
      <c r="K76" s="10" t="str">
        <f t="shared" si="1"/>
        <v>LU006251.002</v>
      </c>
      <c r="L76" s="10" t="str">
        <f ca="1">IFERROR(__xludf.DUMMYFUNCTION("VLOOKUP(K76, IMPORTRANGE(""https://docs.google.com/spreadsheets/d/1yDAaXNsi4Mr5FtRQL4tbmSdIzhx6_m4wkOD7IG-k_eo/edit#gid=1336395716"", ""Science!M:N""), 2, FALSE)"),"Explain the characteristics and functions of connective tissues.")</f>
        <v>Explain the characteristics and functions of connective tissues.</v>
      </c>
      <c r="M76" s="10" t="str">
        <f t="shared" si="2"/>
        <v>LU006251.003</v>
      </c>
      <c r="N76" s="10" t="str">
        <f ca="1">IFERROR(__xludf.DUMMYFUNCTION("VLOOKUP(M76, IMPORTRANGE(""https://docs.google.com/spreadsheets/d/1yDAaXNsi4Mr5FtRQL4tbmSdIzhx6_m4wkOD7IG-k_eo/edit#gid=1336395716"", ""Science!M:N""), 2, FALSE)"),"Illustrate the structure of a specific type of connective tissue using diagrams.")</f>
        <v>Illustrate the structure of a specific type of connective tissue using diagrams.</v>
      </c>
      <c r="O76" s="10" t="str">
        <f t="shared" si="3"/>
        <v>LU006251.004</v>
      </c>
      <c r="P76" s="10" t="str">
        <f ca="1">IFERROR(__xludf.DUMMYFUNCTION("VLOOKUP(O76, IMPORTRANGE(""https://docs.google.com/spreadsheets/d/1yDAaXNsi4Mr5FtRQL4tbmSdIzhx6_m4wkOD7IG-k_eo/edit#gid=1336395716"", ""Science!M:N""), 2, FALSE)"),"Compare the functions of different types of connective tissues in the body.")</f>
        <v>Compare the functions of different types of connective tissues in the body.</v>
      </c>
      <c r="Q76" s="10" t="str">
        <f t="shared" si="4"/>
        <v>LU006251.005</v>
      </c>
      <c r="R76" s="10" t="str">
        <f ca="1">IFERROR(__xludf.DUMMYFUNCTION("VLOOKUP(Q76, IMPORTRANGE(""https://docs.google.com/spreadsheets/d/1yDAaXNsi4Mr5FtRQL4tbmSdIzhx6_m4wkOD7IG-k_eo/edit#gid=1336395716"", ""Science!M:N""), 2, FALSE)"),"Evaluate the importance of connective tissues in providing support and structure to organs and tissues.")</f>
        <v>Evaluate the importance of connective tissues in providing support and structure to organs and tissues.</v>
      </c>
      <c r="S76" s="10" t="str">
        <f t="shared" si="5"/>
        <v>LU006251.006</v>
      </c>
      <c r="T76" s="10" t="str">
        <f ca="1">IFERROR(__xludf.DUMMYFUNCTION("VLOOKUP(S76, IMPORTRANGE(""https://docs.google.com/spreadsheets/d/1yDAaXNsi4Mr5FtRQL4tbmSdIzhx6_m4wkOD7IG-k_eo/edit#gid=1336395716"", ""Science!M:N""), 2, FALSE)"),"Design an experiment or observation activity to identify different types of connective tissues under a microscope.")</f>
        <v>Design an experiment or observation activity to identify different types of connective tissues under a microscope.</v>
      </c>
      <c r="U76" s="11" t="str">
        <f ca="1">IFERROR(__xludf.DUMMYFUNCTION("ArrayFormula(VLOOKUP(G76, IMPORTRANGE(""https://docs.google.com/spreadsheets/d/1p7R4vtkWt5VOBim4ltsDG9KTzSjrtKXsMtQGXPHyND0/edit#gid=795171502"", ""'Filter 30_05_2024'!A1:M2000""), {2, 3, 4, 5,6,7,8,9,10,11,12,13}, 0))"),"#N/A")</f>
        <v>#N/A</v>
      </c>
      <c r="V76" s="11" t="str">
        <f ca="1">IFERROR(__xludf.DUMMYFUNCTION("""COMPUTED_VALUE"""),"#N/A")</f>
        <v>#N/A</v>
      </c>
      <c r="W76" s="11" t="str">
        <f ca="1">IFERROR(__xludf.DUMMYFUNCTION("""COMPUTED_VALUE"""),"#N/A")</f>
        <v>#N/A</v>
      </c>
      <c r="X76" s="11" t="str">
        <f ca="1">IFERROR(__xludf.DUMMYFUNCTION("""COMPUTED_VALUE"""),"#N/A")</f>
        <v>#N/A</v>
      </c>
      <c r="Y76" s="11" t="str">
        <f ca="1">IFERROR(__xludf.DUMMYFUNCTION("""COMPUTED_VALUE"""),"#N/A")</f>
        <v>#N/A</v>
      </c>
      <c r="Z76" s="12" t="str">
        <f ca="1">IFERROR(__xludf.DUMMYFUNCTION("""COMPUTED_VALUE"""),"#N/A")</f>
        <v>#N/A</v>
      </c>
      <c r="AA76" s="12" t="str">
        <f ca="1">IFERROR(__xludf.DUMMYFUNCTION("""COMPUTED_VALUE"""),"#N/A")</f>
        <v>#N/A</v>
      </c>
      <c r="AB76" s="12" t="str">
        <f ca="1">IFERROR(__xludf.DUMMYFUNCTION("""COMPUTED_VALUE"""),"#N/A")</f>
        <v>#N/A</v>
      </c>
      <c r="AC76" s="12" t="str">
        <f ca="1">IFERROR(__xludf.DUMMYFUNCTION("""COMPUTED_VALUE"""),"#N/A")</f>
        <v>#N/A</v>
      </c>
      <c r="AD76" s="12" t="str">
        <f ca="1">IFERROR(__xludf.DUMMYFUNCTION("""COMPUTED_VALUE"""),"#N/A")</f>
        <v>#N/A</v>
      </c>
      <c r="AE76" s="12" t="str">
        <f ca="1">IFERROR(__xludf.DUMMYFUNCTION("""COMPUTED_VALUE"""),"#N/A")</f>
        <v>#N/A</v>
      </c>
      <c r="AF76" s="12" t="str">
        <f ca="1">IFERROR(__xludf.DUMMYFUNCTION("""COMPUTED_VALUE"""),"#N/A")</f>
        <v>#N/A</v>
      </c>
      <c r="AG76" s="13" t="str">
        <f ca="1">IFERROR(__xludf.DUMMYFUNCTION("ArrayFormula(VLOOKUP(G76, IMPORTRANGE(""https://docs.google.com/spreadsheets/d/1Co934fvtviyaRiMsrIlT05Jaq7iiYq07aLvRr35KA48/edit?gid=173865642#gid=173865642"", ""'G9 Sci_Pri_LU'!G2:V2000""), {3, 4, 5, 6, 7, 8, 9, 10, 11, 12, 13, 14, 15, 16}, 0))"),"LU006242")</f>
        <v>LU006242</v>
      </c>
      <c r="AH76" s="22" t="str">
        <f ca="1">IFERROR(__xludf.DUMMYFUNCTION("""COMPUTED_VALUE"""),"Definition of Tissues")</f>
        <v>Definition of Tissues</v>
      </c>
      <c r="AI76" s="13" t="str">
        <f ca="1">IFERROR(__xludf.DUMMYFUNCTION("""COMPUTED_VALUE"""),"LU005965")</f>
        <v>LU005965</v>
      </c>
      <c r="AJ76" s="13" t="str">
        <f ca="1">IFERROR(__xludf.DUMMYFUNCTION("""COMPUTED_VALUE"""),"Human skeleton(bones and cartilage)")</f>
        <v>Human skeleton(bones and cartilage)</v>
      </c>
      <c r="AK76" s="13"/>
      <c r="AL76" s="13"/>
      <c r="AM76" s="13"/>
      <c r="AN76" s="13"/>
      <c r="AO76" s="13"/>
      <c r="AP76" s="13"/>
      <c r="AQ76" s="13"/>
      <c r="AR76" s="13"/>
      <c r="AS76" s="13"/>
      <c r="AT76" s="13"/>
    </row>
    <row r="77" spans="1:46">
      <c r="A77" s="8" t="s">
        <v>247</v>
      </c>
      <c r="B77" s="8" t="s">
        <v>47</v>
      </c>
      <c r="C77" s="8" t="s">
        <v>979</v>
      </c>
      <c r="D77" s="9" t="s">
        <v>1406</v>
      </c>
      <c r="E77" s="9" t="s">
        <v>2333</v>
      </c>
      <c r="F77" s="9" t="s">
        <v>2349</v>
      </c>
      <c r="G77" s="114" t="s">
        <v>2351</v>
      </c>
      <c r="H77" s="8" t="str">
        <f ca="1">IFERROR(__xludf.DUMMYFUNCTION("VLOOKUP(G77, IMPORTRANGE(""https://docs.google.com/spreadsheets/d/14deopnvwcrKtEGCKuYXdUHJbeLDZlkiSSWWT0g7x2pM/edit#gid=849066331"", ""LU List Science (Filter)!A:B""), 2, FALSE)"),"Introduction to different types of connective tissues")</f>
        <v>Introduction to different types of connective tissues</v>
      </c>
      <c r="I77" s="10" t="str">
        <f t="shared" si="0"/>
        <v>LU006252.001</v>
      </c>
      <c r="J77" s="10" t="str">
        <f ca="1">IFERROR(__xludf.DUMMYFUNCTION("VLOOKUP(I77, IMPORTRANGE(""https://docs.google.com/spreadsheets/d/1yDAaXNsi4Mr5FtRQL4tbmSdIzhx6_m4wkOD7IG-k_eo/edit#gid=1336395716"", ""Science!M:N""), 2, FALSE)"),"Enlist different types of connective tissues and their basic structure.")</f>
        <v>Enlist different types of connective tissues and their basic structure.</v>
      </c>
      <c r="K77" s="10" t="str">
        <f t="shared" si="1"/>
        <v>LU006252.002</v>
      </c>
      <c r="L77" s="10" t="str">
        <f ca="1">IFERROR(__xludf.DUMMYFUNCTION("VLOOKUP(K77, IMPORTRANGE(""https://docs.google.com/spreadsheets/d/1yDAaXNsi4Mr5FtRQL4tbmSdIzhx6_m4wkOD7IG-k_eo/edit#gid=1336395716"", ""Science!M:N""), 2, FALSE)"),"Explain the different types of connective tissues and their specific functions.")</f>
        <v>Explain the different types of connective tissues and their specific functions.</v>
      </c>
      <c r="M77" s="10" t="str">
        <f t="shared" si="2"/>
        <v>LU006252.003</v>
      </c>
      <c r="N77" s="10" t="str">
        <f ca="1">IFERROR(__xludf.DUMMYFUNCTION("VLOOKUP(M77, IMPORTRANGE(""https://docs.google.com/spreadsheets/d/1yDAaXNsi4Mr5FtRQL4tbmSdIzhx6_m4wkOD7IG-k_eo/edit#gid=1336395716"", ""Science!M:N""), 2, FALSE)"),"Illustrate the structure of various connective tissues using diagrams.")</f>
        <v>Illustrate the structure of various connective tissues using diagrams.</v>
      </c>
      <c r="O77" s="10" t="str">
        <f t="shared" si="3"/>
        <v>LU006252.004</v>
      </c>
      <c r="P77" s="10" t="str">
        <f ca="1">IFERROR(__xludf.DUMMYFUNCTION("VLOOKUP(O77, IMPORTRANGE(""https://docs.google.com/spreadsheets/d/1yDAaXNsi4Mr5FtRQL4tbmSdIzhx6_m4wkOD7IG-k_eo/edit#gid=1336395716"", ""Science!M:N""), 2, FALSE)"),"Compare the characteristics of different types of connective tissues.")</f>
        <v>Compare the characteristics of different types of connective tissues.</v>
      </c>
      <c r="Q77" s="10" t="str">
        <f t="shared" si="4"/>
        <v>LU006252.005</v>
      </c>
      <c r="R77" s="10" t="str">
        <f ca="1">IFERROR(__xludf.DUMMYFUNCTION("VLOOKUP(Q77, IMPORTRANGE(""https://docs.google.com/spreadsheets/d/1yDAaXNsi4Mr5FtRQL4tbmSdIzhx6_m4wkOD7IG-k_eo/edit#gid=1336395716"", ""Science!M:N""), 2, FALSE)"),"Evaluate the role of connective tissues in providing support and structure to the body.")</f>
        <v>Evaluate the role of connective tissues in providing support and structure to the body.</v>
      </c>
      <c r="S77" s="10" t="str">
        <f t="shared" si="5"/>
        <v>LU006252.006</v>
      </c>
      <c r="T77" s="10" t="str">
        <f ca="1">IFERROR(__xludf.DUMMYFUNCTION("VLOOKUP(S77, IMPORTRANGE(""https://docs.google.com/spreadsheets/d/1yDAaXNsi4Mr5FtRQL4tbmSdIzhx6_m4wkOD7IG-k_eo/edit#gid=1336395716"", ""Science!M:N""), 2, FALSE)"),"Design an experiment to observe different types of connective tissues under a microscope.")</f>
        <v>Design an experiment to observe different types of connective tissues under a microscope.</v>
      </c>
      <c r="U77" s="11" t="str">
        <f ca="1">IFERROR(__xludf.DUMMYFUNCTION("ArrayFormula(VLOOKUP(G77, IMPORTRANGE(""https://docs.google.com/spreadsheets/d/1p7R4vtkWt5VOBim4ltsDG9KTzSjrtKXsMtQGXPHyND0/edit#gid=795171502"", ""'Filter 30_05_2024'!A1:M2000""), {2, 3, 4, 5,6,7,8,9,10,11,12,13}, 0))"),"#N/A")</f>
        <v>#N/A</v>
      </c>
      <c r="V77" s="11" t="str">
        <f ca="1">IFERROR(__xludf.DUMMYFUNCTION("""COMPUTED_VALUE"""),"#N/A")</f>
        <v>#N/A</v>
      </c>
      <c r="W77" s="11" t="str">
        <f ca="1">IFERROR(__xludf.DUMMYFUNCTION("""COMPUTED_VALUE"""),"#N/A")</f>
        <v>#N/A</v>
      </c>
      <c r="X77" s="11" t="str">
        <f ca="1">IFERROR(__xludf.DUMMYFUNCTION("""COMPUTED_VALUE"""),"#N/A")</f>
        <v>#N/A</v>
      </c>
      <c r="Y77" s="11" t="str">
        <f ca="1">IFERROR(__xludf.DUMMYFUNCTION("""COMPUTED_VALUE"""),"#N/A")</f>
        <v>#N/A</v>
      </c>
      <c r="Z77" s="12" t="str">
        <f ca="1">IFERROR(__xludf.DUMMYFUNCTION("""COMPUTED_VALUE"""),"#N/A")</f>
        <v>#N/A</v>
      </c>
      <c r="AA77" s="12" t="str">
        <f ca="1">IFERROR(__xludf.DUMMYFUNCTION("""COMPUTED_VALUE"""),"#N/A")</f>
        <v>#N/A</v>
      </c>
      <c r="AB77" s="12" t="str">
        <f ca="1">IFERROR(__xludf.DUMMYFUNCTION("""COMPUTED_VALUE"""),"#N/A")</f>
        <v>#N/A</v>
      </c>
      <c r="AC77" s="12" t="str">
        <f ca="1">IFERROR(__xludf.DUMMYFUNCTION("""COMPUTED_VALUE"""),"#N/A")</f>
        <v>#N/A</v>
      </c>
      <c r="AD77" s="12" t="str">
        <f ca="1">IFERROR(__xludf.DUMMYFUNCTION("""COMPUTED_VALUE"""),"#N/A")</f>
        <v>#N/A</v>
      </c>
      <c r="AE77" s="12" t="str">
        <f ca="1">IFERROR(__xludf.DUMMYFUNCTION("""COMPUTED_VALUE"""),"#N/A")</f>
        <v>#N/A</v>
      </c>
      <c r="AF77" s="12" t="str">
        <f ca="1">IFERROR(__xludf.DUMMYFUNCTION("""COMPUTED_VALUE"""),"#N/A")</f>
        <v>#N/A</v>
      </c>
      <c r="AG77" s="13" t="str">
        <f ca="1">IFERROR(__xludf.DUMMYFUNCTION("ArrayFormula(VLOOKUP(G77, IMPORTRANGE(""https://docs.google.com/spreadsheets/d/1Co934fvtviyaRiMsrIlT05Jaq7iiYq07aLvRr35KA48/edit?gid=173865642#gid=173865642"", ""'G9 Sci_Pri_LU'!G2:V2000""), {3, 4, 5, 6, 7, 8, 9, 10, 11, 12, 13, 14, 15, 16}, 0))"),"LU006251")</f>
        <v>LU006251</v>
      </c>
      <c r="AH77" s="22" t="str">
        <f ca="1">IFERROR(__xludf.DUMMYFUNCTION("""COMPUTED_VALUE"""),"Introduction to connective tissues")</f>
        <v>Introduction to connective tissues</v>
      </c>
      <c r="AI77" s="13" t="str">
        <f ca="1">IFERROR(__xludf.DUMMYFUNCTION("""COMPUTED_VALUE"""),"LU006242")</f>
        <v>LU006242</v>
      </c>
      <c r="AJ77" s="13" t="str">
        <f ca="1">IFERROR(__xludf.DUMMYFUNCTION("""COMPUTED_VALUE"""),"Definition of Tissues")</f>
        <v>Definition of Tissues</v>
      </c>
      <c r="AK77" s="13"/>
      <c r="AL77" s="13"/>
      <c r="AM77" s="13"/>
      <c r="AN77" s="13"/>
      <c r="AO77" s="13"/>
      <c r="AP77" s="13"/>
      <c r="AQ77" s="13"/>
      <c r="AR77" s="13"/>
      <c r="AS77" s="13"/>
      <c r="AT77" s="13"/>
    </row>
    <row r="78" spans="1:46">
      <c r="A78" s="8" t="s">
        <v>247</v>
      </c>
      <c r="B78" s="8" t="s">
        <v>47</v>
      </c>
      <c r="C78" s="8" t="s">
        <v>979</v>
      </c>
      <c r="D78" s="9" t="s">
        <v>1406</v>
      </c>
      <c r="E78" s="9" t="s">
        <v>2333</v>
      </c>
      <c r="F78" s="9" t="s">
        <v>2352</v>
      </c>
      <c r="G78" s="114" t="s">
        <v>2353</v>
      </c>
      <c r="H78" s="8" t="str">
        <f ca="1">IFERROR(__xludf.DUMMYFUNCTION("VLOOKUP(G78, IMPORTRANGE(""https://docs.google.com/spreadsheets/d/14deopnvwcrKtEGCKuYXdUHJbeLDZlkiSSWWT0g7x2pM/edit#gid=849066331"", ""LU List Science (Filter)!A:B""), 2, FALSE)"),"Introduction to muscular tissue and its types")</f>
        <v>Introduction to muscular tissue and its types</v>
      </c>
      <c r="I78" s="10" t="str">
        <f t="shared" si="0"/>
        <v>LU006253.001</v>
      </c>
      <c r="J78" s="10" t="str">
        <f ca="1">IFERROR(__xludf.DUMMYFUNCTION("VLOOKUP(I78, IMPORTRANGE(""https://docs.google.com/spreadsheets/d/1yDAaXNsi4Mr5FtRQL4tbmSdIzhx6_m4wkOD7IG-k_eo/edit#gid=1336395716"", ""Science!M:N""), 2, FALSE)"),"Define muscular tissue and its types.")</f>
        <v>Define muscular tissue and its types.</v>
      </c>
      <c r="K78" s="10" t="str">
        <f t="shared" si="1"/>
        <v>LU006253.002</v>
      </c>
      <c r="L78" s="10" t="str">
        <f ca="1">IFERROR(__xludf.DUMMYFUNCTION("VLOOKUP(K78, IMPORTRANGE(""https://docs.google.com/spreadsheets/d/1yDAaXNsi4Mr5FtRQL4tbmSdIzhx6_m4wkOD7IG-k_eo/edit#gid=1336395716"", ""Science!M:N""), 2, FALSE)"),"Explain the characteristics and functions of different types of muscular tissue.")</f>
        <v>Explain the characteristics and functions of different types of muscular tissue.</v>
      </c>
      <c r="M78" s="10" t="str">
        <f t="shared" si="2"/>
        <v>LU006253.003</v>
      </c>
      <c r="N78" s="10" t="str">
        <f ca="1">IFERROR(__xludf.DUMMYFUNCTION("VLOOKUP(M78, IMPORTRANGE(""https://docs.google.com/spreadsheets/d/1yDAaXNsi4Mr5FtRQL4tbmSdIzhx6_m4wkOD7IG-k_eo/edit#gid=1336395716"", ""Science!M:N""), 2, FALSE)"),"Illustrate the structure of each type of muscular tissue using diagrams.")</f>
        <v>Illustrate the structure of each type of muscular tissue using diagrams.</v>
      </c>
      <c r="O78" s="10" t="str">
        <f t="shared" si="3"/>
        <v>LU006253.004</v>
      </c>
      <c r="P78" s="10" t="str">
        <f ca="1">IFERROR(__xludf.DUMMYFUNCTION("VLOOKUP(O78, IMPORTRANGE(""https://docs.google.com/spreadsheets/d/1yDAaXNsi4Mr5FtRQL4tbmSdIzhx6_m4wkOD7IG-k_eo/edit#gid=1336395716"", ""Science!M:N""), 2, FALSE)"),"Compare the three types of muscular tissue based on their structure and function.")</f>
        <v>Compare the three types of muscular tissue based on their structure and function.</v>
      </c>
      <c r="Q78" s="10" t="str">
        <f t="shared" si="4"/>
        <v>LU006253.005</v>
      </c>
      <c r="R78" s="10" t="str">
        <f ca="1">IFERROR(__xludf.DUMMYFUNCTION("VLOOKUP(Q78, IMPORTRANGE(""https://docs.google.com/spreadsheets/d/1yDAaXNsi4Mr5FtRQL4tbmSdIzhx6_m4wkOD7IG-k_eo/edit#gid=1336395716"", ""Science!M:N""), 2, FALSE)"),"Evaluate the importance of muscular tissue in the movement and functioning of the body.")</f>
        <v>Evaluate the importance of muscular tissue in the movement and functioning of the body.</v>
      </c>
      <c r="S78" s="10" t="str">
        <f t="shared" si="5"/>
        <v>LU006253.006</v>
      </c>
      <c r="T78" s="10" t="str">
        <f ca="1">IFERROR(__xludf.DUMMYFUNCTION("VLOOKUP(S78, IMPORTRANGE(""https://docs.google.com/spreadsheets/d/1yDAaXNsi4Mr5FtRQL4tbmSdIzhx6_m4wkOD7IG-k_eo/edit#gid=1336395716"", ""Science!M:N""), 2, FALSE)"),"Design an experiment or activity to observe the different types of muscular tissue using prepared slides.")</f>
        <v>Design an experiment or activity to observe the different types of muscular tissue using prepared slides.</v>
      </c>
      <c r="U78" s="11" t="str">
        <f ca="1">IFERROR(__xludf.DUMMYFUNCTION("ArrayFormula(VLOOKUP(G78, IMPORTRANGE(""https://docs.google.com/spreadsheets/d/1p7R4vtkWt5VOBim4ltsDG9KTzSjrtKXsMtQGXPHyND0/edit#gid=795171502"", ""'Filter 30_05_2024'!A1:M2000""), {2, 3, 4, 5,6,7,8,9,10,11,12,13}, 0))"),"#N/A")</f>
        <v>#N/A</v>
      </c>
      <c r="V78" s="11" t="str">
        <f ca="1">IFERROR(__xludf.DUMMYFUNCTION("""COMPUTED_VALUE"""),"#N/A")</f>
        <v>#N/A</v>
      </c>
      <c r="W78" s="11" t="str">
        <f ca="1">IFERROR(__xludf.DUMMYFUNCTION("""COMPUTED_VALUE"""),"#N/A")</f>
        <v>#N/A</v>
      </c>
      <c r="X78" s="11" t="str">
        <f ca="1">IFERROR(__xludf.DUMMYFUNCTION("""COMPUTED_VALUE"""),"#N/A")</f>
        <v>#N/A</v>
      </c>
      <c r="Y78" s="11" t="str">
        <f ca="1">IFERROR(__xludf.DUMMYFUNCTION("""COMPUTED_VALUE"""),"#N/A")</f>
        <v>#N/A</v>
      </c>
      <c r="Z78" s="12" t="str">
        <f ca="1">IFERROR(__xludf.DUMMYFUNCTION("""COMPUTED_VALUE"""),"#N/A")</f>
        <v>#N/A</v>
      </c>
      <c r="AA78" s="12" t="str">
        <f ca="1">IFERROR(__xludf.DUMMYFUNCTION("""COMPUTED_VALUE"""),"#N/A")</f>
        <v>#N/A</v>
      </c>
      <c r="AB78" s="12" t="str">
        <f ca="1">IFERROR(__xludf.DUMMYFUNCTION("""COMPUTED_VALUE"""),"#N/A")</f>
        <v>#N/A</v>
      </c>
      <c r="AC78" s="12" t="str">
        <f ca="1">IFERROR(__xludf.DUMMYFUNCTION("""COMPUTED_VALUE"""),"#N/A")</f>
        <v>#N/A</v>
      </c>
      <c r="AD78" s="12" t="str">
        <f ca="1">IFERROR(__xludf.DUMMYFUNCTION("""COMPUTED_VALUE"""),"#N/A")</f>
        <v>#N/A</v>
      </c>
      <c r="AE78" s="12" t="str">
        <f ca="1">IFERROR(__xludf.DUMMYFUNCTION("""COMPUTED_VALUE"""),"#N/A")</f>
        <v>#N/A</v>
      </c>
      <c r="AF78" s="12" t="str">
        <f ca="1">IFERROR(__xludf.DUMMYFUNCTION("""COMPUTED_VALUE"""),"#N/A")</f>
        <v>#N/A</v>
      </c>
      <c r="AG78" s="13" t="str">
        <f ca="1">IFERROR(__xludf.DUMMYFUNCTION("ArrayFormula(VLOOKUP(G78, IMPORTRANGE(""https://docs.google.com/spreadsheets/d/1Co934fvtviyaRiMsrIlT05Jaq7iiYq07aLvRr35KA48/edit?gid=173865642#gid=173865642"", ""'G9 Sci_Pri_LU'!G2:V2000""), {3, 4, 5, 6, 7, 8, 9, 10, 11, 12, 13, 14, 15, 16}, 0))"),"LU006242")</f>
        <v>LU006242</v>
      </c>
      <c r="AH78" s="22" t="str">
        <f ca="1">IFERROR(__xludf.DUMMYFUNCTION("""COMPUTED_VALUE"""),"Definition of Tissues")</f>
        <v>Definition of Tissues</v>
      </c>
      <c r="AI78" s="13" t="str">
        <f ca="1">IFERROR(__xludf.DUMMYFUNCTION("""COMPUTED_VALUE"""),"LU006101")</f>
        <v>LU006101</v>
      </c>
      <c r="AJ78" s="13" t="str">
        <f ca="1">IFERROR(__xludf.DUMMYFUNCTION("""COMPUTED_VALUE"""),"Comparison of types of human muscles")</f>
        <v>Comparison of types of human muscles</v>
      </c>
      <c r="AK78" s="13"/>
      <c r="AL78" s="13"/>
      <c r="AM78" s="13"/>
      <c r="AN78" s="13"/>
      <c r="AO78" s="13"/>
      <c r="AP78" s="13"/>
      <c r="AQ78" s="13"/>
      <c r="AR78" s="13"/>
      <c r="AS78" s="13"/>
      <c r="AT78" s="13"/>
    </row>
    <row r="79" spans="1:46">
      <c r="A79" s="8" t="s">
        <v>247</v>
      </c>
      <c r="B79" s="8" t="s">
        <v>47</v>
      </c>
      <c r="C79" s="8" t="s">
        <v>979</v>
      </c>
      <c r="D79" s="9" t="s">
        <v>1406</v>
      </c>
      <c r="E79" s="9" t="s">
        <v>2333</v>
      </c>
      <c r="F79" s="9" t="s">
        <v>2352</v>
      </c>
      <c r="G79" s="114" t="s">
        <v>2354</v>
      </c>
      <c r="H79" s="8" t="str">
        <f ca="1">IFERROR(__xludf.DUMMYFUNCTION("VLOOKUP(G79, IMPORTRANGE(""https://docs.google.com/spreadsheets/d/14deopnvwcrKtEGCKuYXdUHJbeLDZlkiSSWWT0g7x2pM/edit#gid=849066331"", ""LU List Science (Filter)!A:B""), 2, FALSE)"),"Introduction to neuron as a single unit of nervous tissue")</f>
        <v>Introduction to neuron as a single unit of nervous tissue</v>
      </c>
      <c r="I79" s="10" t="str">
        <f t="shared" si="0"/>
        <v>LU006254.001</v>
      </c>
      <c r="J79" s="10" t="str">
        <f ca="1">IFERROR(__xludf.DUMMYFUNCTION("VLOOKUP(I79, IMPORTRANGE(""https://docs.google.com/spreadsheets/d/1yDAaXNsi4Mr5FtRQL4tbmSdIzhx6_m4wkOD7IG-k_eo/edit#gid=1336395716"", ""Science!M:N""), 2, FALSE)"),"Define a neuron and its role as a single unit of nervous tissue.")</f>
        <v>Define a neuron and its role as a single unit of nervous tissue.</v>
      </c>
      <c r="K79" s="10" t="str">
        <f t="shared" si="1"/>
        <v>LU006254.002</v>
      </c>
      <c r="L79" s="10" t="str">
        <f ca="1">IFERROR(__xludf.DUMMYFUNCTION("VLOOKUP(K79, IMPORTRANGE(""https://docs.google.com/spreadsheets/d/1yDAaXNsi4Mr5FtRQL4tbmSdIzhx6_m4wkOD7IG-k_eo/edit#gid=1336395716"", ""Science!M:N""), 2, FALSE)"),"Explain the structure and function of a neuron.")</f>
        <v>Explain the structure and function of a neuron.</v>
      </c>
      <c r="M79" s="10" t="str">
        <f t="shared" si="2"/>
        <v>LU006254.003</v>
      </c>
      <c r="N79" s="10" t="str">
        <f ca="1">IFERROR(__xludf.DUMMYFUNCTION("VLOOKUP(M79, IMPORTRANGE(""https://docs.google.com/spreadsheets/d/1yDAaXNsi4Mr5FtRQL4tbmSdIzhx6_m4wkOD7IG-k_eo/edit#gid=1336395716"", ""Science!M:N""), 2, FALSE)"),"Illustrate the different parts of a neuron using a labeled diagram.")</f>
        <v>Illustrate the different parts of a neuron using a labeled diagram.</v>
      </c>
      <c r="O79" s="10" t="str">
        <f t="shared" si="3"/>
        <v>LU006254.004</v>
      </c>
      <c r="P79" s="10" t="str">
        <f ca="1">IFERROR(__xludf.DUMMYFUNCTION("VLOOKUP(O79, IMPORTRANGE(""https://docs.google.com/spreadsheets/d/1yDAaXNsi4Mr5FtRQL4tbmSdIzhx6_m4wkOD7IG-k_eo/edit#gid=1336395716"", ""Science!M:N""), 2, FALSE)"),"Compare the functions of neurons with other types of cells.")</f>
        <v>Compare the functions of neurons with other types of cells.</v>
      </c>
      <c r="Q79" s="10" t="str">
        <f t="shared" si="4"/>
        <v>LU006254.005</v>
      </c>
      <c r="R79" s="10" t="str">
        <f ca="1">IFERROR(__xludf.DUMMYFUNCTION("VLOOKUP(Q79, IMPORTRANGE(""https://docs.google.com/spreadsheets/d/1yDAaXNsi4Mr5FtRQL4tbmSdIzhx6_m4wkOD7IG-k_eo/edit#gid=1336395716"", ""Science!M:N""), 2, FALSE)"),"Evaluate the importance of neurons in transmitting nerve impulses.")</f>
        <v>Evaluate the importance of neurons in transmitting nerve impulses.</v>
      </c>
      <c r="S79" s="10" t="str">
        <f t="shared" si="5"/>
        <v>LU006254.006</v>
      </c>
      <c r="T79" s="10" t="str">
        <f ca="1">IFERROR(__xludf.DUMMYFUNCTION("VLOOKUP(S79, IMPORTRANGE(""https://docs.google.com/spreadsheets/d/1yDAaXNsi4Mr5FtRQL4tbmSdIzhx6_m4wkOD7IG-k_eo/edit#gid=1336395716"", ""Science!M:N""), 2, FALSE)"),"Design an activity to observe and identify neurons in a prepared slide under a microscope.")</f>
        <v>Design an activity to observe and identify neurons in a prepared slide under a microscope.</v>
      </c>
      <c r="U79" s="11" t="str">
        <f ca="1">IFERROR(__xludf.DUMMYFUNCTION("ArrayFormula(VLOOKUP(G79, IMPORTRANGE(""https://docs.google.com/spreadsheets/d/1p7R4vtkWt5VOBim4ltsDG9KTzSjrtKXsMtQGXPHyND0/edit#gid=795171502"", ""'Filter 30_05_2024'!A1:M2000""), {2, 3, 4, 5,6,7,8,9,10,11,12,13}, 0))"),"#N/A")</f>
        <v>#N/A</v>
      </c>
      <c r="V79" s="11" t="str">
        <f ca="1">IFERROR(__xludf.DUMMYFUNCTION("""COMPUTED_VALUE"""),"#N/A")</f>
        <v>#N/A</v>
      </c>
      <c r="W79" s="11" t="str">
        <f ca="1">IFERROR(__xludf.DUMMYFUNCTION("""COMPUTED_VALUE"""),"#N/A")</f>
        <v>#N/A</v>
      </c>
      <c r="X79" s="11" t="str">
        <f ca="1">IFERROR(__xludf.DUMMYFUNCTION("""COMPUTED_VALUE"""),"#N/A")</f>
        <v>#N/A</v>
      </c>
      <c r="Y79" s="11" t="str">
        <f ca="1">IFERROR(__xludf.DUMMYFUNCTION("""COMPUTED_VALUE"""),"#N/A")</f>
        <v>#N/A</v>
      </c>
      <c r="Z79" s="12" t="str">
        <f ca="1">IFERROR(__xludf.DUMMYFUNCTION("""COMPUTED_VALUE"""),"#N/A")</f>
        <v>#N/A</v>
      </c>
      <c r="AA79" s="12" t="str">
        <f ca="1">IFERROR(__xludf.DUMMYFUNCTION("""COMPUTED_VALUE"""),"#N/A")</f>
        <v>#N/A</v>
      </c>
      <c r="AB79" s="12" t="str">
        <f ca="1">IFERROR(__xludf.DUMMYFUNCTION("""COMPUTED_VALUE"""),"#N/A")</f>
        <v>#N/A</v>
      </c>
      <c r="AC79" s="12" t="str">
        <f ca="1">IFERROR(__xludf.DUMMYFUNCTION("""COMPUTED_VALUE"""),"#N/A")</f>
        <v>#N/A</v>
      </c>
      <c r="AD79" s="12" t="str">
        <f ca="1">IFERROR(__xludf.DUMMYFUNCTION("""COMPUTED_VALUE"""),"#N/A")</f>
        <v>#N/A</v>
      </c>
      <c r="AE79" s="12" t="str">
        <f ca="1">IFERROR(__xludf.DUMMYFUNCTION("""COMPUTED_VALUE"""),"#N/A")</f>
        <v>#N/A</v>
      </c>
      <c r="AF79" s="12" t="str">
        <f ca="1">IFERROR(__xludf.DUMMYFUNCTION("""COMPUTED_VALUE"""),"#N/A")</f>
        <v>#N/A</v>
      </c>
      <c r="AG79" s="13" t="str">
        <f ca="1">IFERROR(__xludf.DUMMYFUNCTION("ArrayFormula(VLOOKUP(G79, IMPORTRANGE(""https://docs.google.com/spreadsheets/d/1Co934fvtviyaRiMsrIlT05Jaq7iiYq07aLvRr35KA48/edit?gid=173865642#gid=173865642"", ""'G9 Sci_Pri_LU'!G2:V2000""), {3, 4, 5, 6, 7, 8, 9, 10, 11, 12, 13, 14, 15, 16}, 0))"),"LU006242")</f>
        <v>LU006242</v>
      </c>
      <c r="AH79" s="22" t="str">
        <f ca="1">IFERROR(__xludf.DUMMYFUNCTION("""COMPUTED_VALUE"""),"Definition of Tissues")</f>
        <v>Definition of Tissues</v>
      </c>
      <c r="AI79" s="13"/>
      <c r="AJ79" s="13"/>
      <c r="AK79" s="13"/>
      <c r="AL79" s="13"/>
      <c r="AM79" s="13"/>
      <c r="AN79" s="13"/>
      <c r="AO79" s="13"/>
      <c r="AP79" s="13"/>
      <c r="AQ79" s="13"/>
      <c r="AR79" s="13"/>
      <c r="AS79" s="13"/>
      <c r="AT79" s="13"/>
    </row>
    <row r="80" spans="1:46">
      <c r="A80" s="8" t="s">
        <v>247</v>
      </c>
      <c r="B80" s="8" t="s">
        <v>47</v>
      </c>
      <c r="C80" s="8" t="s">
        <v>979</v>
      </c>
      <c r="D80" s="9" t="s">
        <v>1510</v>
      </c>
      <c r="E80" s="8" t="s">
        <v>2355</v>
      </c>
      <c r="F80" s="123" t="s">
        <v>2356</v>
      </c>
      <c r="G80" s="126" t="s">
        <v>2357</v>
      </c>
      <c r="H80" s="118" t="str">
        <f ca="1">IFERROR(__xludf.DUMMYFUNCTION("VLOOKUP(G80, IMPORTRANGE(""https://docs.google.com/spreadsheets/d/14deopnvwcrKtEGCKuYXdUHJbeLDZlkiSSWWT0g7x2pM/edit#gid=849066331"", ""LU List Science (Filter)!A:B""), 2, FALSE)"),"Preception of State of Motion and Rest depending on Observer's Position")</f>
        <v>Preception of State of Motion and Rest depending on Observer's Position</v>
      </c>
      <c r="I80" s="10" t="str">
        <f t="shared" si="0"/>
        <v>LU006316.001</v>
      </c>
      <c r="J80" s="10" t="str">
        <f ca="1">IFERROR(__xludf.DUMMYFUNCTION("VLOOKUP(I80, IMPORTRANGE(""https://docs.google.com/spreadsheets/d/1yDAaXNsi4Mr5FtRQL4tbmSdIzhx6_m4wkOD7IG-k_eo/edit#gid=1336395716"", ""Science!M:N""), 2, FALSE)"),"Define motion and rest in the context of an observer’s position.")</f>
        <v>Define motion and rest in the context of an observer’s position.</v>
      </c>
      <c r="K80" s="10" t="str">
        <f t="shared" si="1"/>
        <v>LU006316.002</v>
      </c>
      <c r="L80" s="10" t="str">
        <f ca="1">IFERROR(__xludf.DUMMYFUNCTION("VLOOKUP(K80, IMPORTRANGE(""https://docs.google.com/spreadsheets/d/1yDAaXNsi4Mr5FtRQL4tbmSdIzhx6_m4wkOD7IG-k_eo/edit#gid=1336395716"", ""Science!M:N""), 2, FALSE)"),"Explain how motion and rest are perceived differently by observers in different reference frames.")</f>
        <v>Explain how motion and rest are perceived differently by observers in different reference frames.</v>
      </c>
      <c r="M80" s="10" t="str">
        <f t="shared" si="2"/>
        <v>LU006316.003</v>
      </c>
      <c r="N80" s="10" t="str">
        <f ca="1">IFERROR(__xludf.DUMMYFUNCTION("VLOOKUP(M80, IMPORTRANGE(""https://docs.google.com/spreadsheets/d/1yDAaXNsi4Mr5FtRQL4tbmSdIzhx6_m4wkOD7IG-k_eo/edit#gid=1336395716"", ""Science!M:N""), 2, FALSE)"),"Illustrate examples of objects appearing to be in motion or at rest from different observer positions.")</f>
        <v>Illustrate examples of objects appearing to be in motion or at rest from different observer positions.</v>
      </c>
      <c r="O80" s="10" t="str">
        <f t="shared" si="3"/>
        <v>LU006316.004</v>
      </c>
      <c r="P80" s="10" t="str">
        <f ca="1">IFERROR(__xludf.DUMMYFUNCTION("VLOOKUP(O80, IMPORTRANGE(""https://docs.google.com/spreadsheets/d/1yDAaXNsi4Mr5FtRQL4tbmSdIzhx6_m4wkOD7IG-k_eo/edit#gid=1336395716"", ""Science!M:N""), 2, FALSE)"),"Differentiate between the observations of motion and rest from multiple reference frames.")</f>
        <v>Differentiate between the observations of motion and rest from multiple reference frames.</v>
      </c>
      <c r="Q80" s="10" t="str">
        <f t="shared" si="4"/>
        <v>LU006316.005</v>
      </c>
      <c r="R80" s="10" t="str">
        <f ca="1">IFERROR(__xludf.DUMMYFUNCTION("VLOOKUP(Q80, IMPORTRANGE(""https://docs.google.com/spreadsheets/d/1yDAaXNsi4Mr5FtRQL4tbmSdIzhx6_m4wkOD7IG-k_eo/edit#gid=1336395716"", ""Science!M:N""), 2, FALSE)"),"Assess the impact of relative motion on the perception of rest and motion.")</f>
        <v>Assess the impact of relative motion on the perception of rest and motion.</v>
      </c>
      <c r="S80" s="10" t="str">
        <f t="shared" si="5"/>
        <v>LU006316.006</v>
      </c>
      <c r="T80" s="10" t="str">
        <f ca="1">IFERROR(__xludf.DUMMYFUNCTION("VLOOKUP(S80, IMPORTRANGE(""https://docs.google.com/spreadsheets/d/1yDAaXNsi4Mr5FtRQL4tbmSdIzhx6_m4wkOD7IG-k_eo/edit#gid=1336395716"", ""Science!M:N""), 2, FALSE)"),"Design a scenario demonstrating the relativity of motion and rest for different observers.")</f>
        <v>Design a scenario demonstrating the relativity of motion and rest for different observers.</v>
      </c>
      <c r="U80" s="11" t="str">
        <f ca="1">IFERROR(__xludf.DUMMYFUNCTION("ArrayFormula(VLOOKUP(G80, IMPORTRANGE(""https://docs.google.com/spreadsheets/d/1p7R4vtkWt5VOBim4ltsDG9KTzSjrtKXsMtQGXPHyND0/edit#gid=795171502"", ""'Filter 30_05_2024'!A1:M2000""), {2, 3, 4, 5,6,7,8,9,10,11,12,13}, 0))"),"#N/A")</f>
        <v>#N/A</v>
      </c>
      <c r="V80" s="11" t="str">
        <f ca="1">IFERROR(__xludf.DUMMYFUNCTION("""COMPUTED_VALUE"""),"#N/A")</f>
        <v>#N/A</v>
      </c>
      <c r="W80" s="11" t="str">
        <f ca="1">IFERROR(__xludf.DUMMYFUNCTION("""COMPUTED_VALUE"""),"#N/A")</f>
        <v>#N/A</v>
      </c>
      <c r="X80" s="11" t="str">
        <f ca="1">IFERROR(__xludf.DUMMYFUNCTION("""COMPUTED_VALUE"""),"#N/A")</f>
        <v>#N/A</v>
      </c>
      <c r="Y80" s="11" t="str">
        <f ca="1">IFERROR(__xludf.DUMMYFUNCTION("""COMPUTED_VALUE"""),"#N/A")</f>
        <v>#N/A</v>
      </c>
      <c r="Z80" s="12" t="str">
        <f ca="1">IFERROR(__xludf.DUMMYFUNCTION("""COMPUTED_VALUE"""),"#N/A")</f>
        <v>#N/A</v>
      </c>
      <c r="AA80" s="12" t="str">
        <f ca="1">IFERROR(__xludf.DUMMYFUNCTION("""COMPUTED_VALUE"""),"#N/A")</f>
        <v>#N/A</v>
      </c>
      <c r="AB80" s="12" t="str">
        <f ca="1">IFERROR(__xludf.DUMMYFUNCTION("""COMPUTED_VALUE"""),"#N/A")</f>
        <v>#N/A</v>
      </c>
      <c r="AC80" s="12" t="str">
        <f ca="1">IFERROR(__xludf.DUMMYFUNCTION("""COMPUTED_VALUE"""),"#N/A")</f>
        <v>#N/A</v>
      </c>
      <c r="AD80" s="12" t="str">
        <f ca="1">IFERROR(__xludf.DUMMYFUNCTION("""COMPUTED_VALUE"""),"#N/A")</f>
        <v>#N/A</v>
      </c>
      <c r="AE80" s="12" t="str">
        <f ca="1">IFERROR(__xludf.DUMMYFUNCTION("""COMPUTED_VALUE"""),"#N/A")</f>
        <v>#N/A</v>
      </c>
      <c r="AF80" s="12" t="str">
        <f ca="1">IFERROR(__xludf.DUMMYFUNCTION("""COMPUTED_VALUE"""),"#N/A")</f>
        <v>#N/A</v>
      </c>
      <c r="AG80" s="13" t="str">
        <f ca="1">IFERROR(__xludf.DUMMYFUNCTION("ArrayFormula(VLOOKUP(G80, IMPORTRANGE(""https://docs.google.com/spreadsheets/d/1Co934fvtviyaRiMsrIlT05Jaq7iiYq07aLvRr35KA48/edit?gid=173865642#gid=173865642"", ""'G9 Sci_Pri_LU'!G2:V2000""), {3, 4, 5, 6, 7, 8, 9, 10, 11, 12, 13, 14, 15, 16}, 0))"),"LU005177")</f>
        <v>LU005177</v>
      </c>
      <c r="AH80" s="22" t="str">
        <f ca="1">IFERROR(__xludf.DUMMYFUNCTION("""COMPUTED_VALUE"""),"Comparison of object in the State of rest vs State of Motion")</f>
        <v>Comparison of object in the State of rest vs State of Motion</v>
      </c>
      <c r="AI80" s="13"/>
      <c r="AJ80" s="13"/>
      <c r="AK80" s="13"/>
      <c r="AL80" s="13"/>
      <c r="AM80" s="13"/>
      <c r="AN80" s="13"/>
      <c r="AO80" s="13"/>
      <c r="AP80" s="13"/>
      <c r="AQ80" s="13"/>
      <c r="AR80" s="13"/>
      <c r="AS80" s="13"/>
      <c r="AT80" s="13"/>
    </row>
    <row r="81" spans="1:46">
      <c r="A81" s="8" t="s">
        <v>247</v>
      </c>
      <c r="B81" s="8" t="s">
        <v>47</v>
      </c>
      <c r="C81" s="8" t="s">
        <v>979</v>
      </c>
      <c r="D81" s="9" t="s">
        <v>1510</v>
      </c>
      <c r="E81" s="8" t="s">
        <v>2355</v>
      </c>
      <c r="F81" s="123" t="s">
        <v>2356</v>
      </c>
      <c r="G81" s="126" t="s">
        <v>1528</v>
      </c>
      <c r="H81" s="118" t="str">
        <f ca="1">IFERROR(__xludf.DUMMYFUNCTION("VLOOKUP(G81, IMPORTRANGE(""https://docs.google.com/spreadsheets/d/14deopnvwcrKtEGCKuYXdUHJbeLDZlkiSSWWT0g7x2pM/edit#gid=849066331"", ""LU List Science (Filter)!A:B""), 2, FALSE)"),"Use of reference points (origin) to describe the position of an object")</f>
        <v>Use of reference points (origin) to describe the position of an object</v>
      </c>
      <c r="I81" s="10" t="str">
        <f t="shared" si="0"/>
        <v>LU006317.001</v>
      </c>
      <c r="J81" s="10" t="str">
        <f ca="1">IFERROR(__xludf.DUMMYFUNCTION("VLOOKUP(I81, IMPORTRANGE(""https://docs.google.com/spreadsheets/d/1yDAaXNsi4Mr5FtRQL4tbmSdIzhx6_m4wkOD7IG-k_eo/edit#gid=1336395716"", ""Science!M:N""), 2, FALSE)"),"Identify what a reference point (origin) is in describing an object's position.")</f>
        <v>Identify what a reference point (origin) is in describing an object's position.</v>
      </c>
      <c r="K81" s="10" t="str">
        <f t="shared" si="1"/>
        <v>LU006317.002</v>
      </c>
      <c r="L81" s="10" t="str">
        <f ca="1">IFERROR(__xludf.DUMMYFUNCTION("VLOOKUP(K81, IMPORTRANGE(""https://docs.google.com/spreadsheets/d/1yDAaXNsi4Mr5FtRQL4tbmSdIzhx6_m4wkOD7IG-k_eo/edit#gid=1336395716"", ""Science!M:N""), 2, FALSE)"),"Explain the importance of a reference point in determining an object’s position.")</f>
        <v>Explain the importance of a reference point in determining an object’s position.</v>
      </c>
      <c r="M81" s="10" t="str">
        <f t="shared" si="2"/>
        <v>LU006317.003</v>
      </c>
      <c r="N81" s="10" t="str">
        <f ca="1">IFERROR(__xludf.DUMMYFUNCTION("VLOOKUP(M81, IMPORTRANGE(""https://docs.google.com/spreadsheets/d/1yDAaXNsi4Mr5FtRQL4tbmSdIzhx6_m4wkOD7IG-k_eo/edit#gid=1336395716"", ""Science!M:N""), 2, FALSE)"),"Use reference points to describe the position of various objects in different scenarios.")</f>
        <v>Use reference points to describe the position of various objects in different scenarios.</v>
      </c>
      <c r="O81" s="10" t="str">
        <f t="shared" si="3"/>
        <v>LU006317.004</v>
      </c>
      <c r="P81" s="10" t="str">
        <f ca="1">IFERROR(__xludf.DUMMYFUNCTION("VLOOKUP(O81, IMPORTRANGE(""https://docs.google.com/spreadsheets/d/1yDAaXNsi4Mr5FtRQL4tbmSdIzhx6_m4wkOD7IG-k_eo/edit#gid=1336395716"", ""Science!M:N""), 2, FALSE)"),"Compare the positions of objects using different reference points.")</f>
        <v>Compare the positions of objects using different reference points.</v>
      </c>
      <c r="Q81" s="10" t="str">
        <f t="shared" si="4"/>
        <v>LU006317.005</v>
      </c>
      <c r="R81" s="10" t="str">
        <f ca="1">IFERROR(__xludf.DUMMYFUNCTION("VLOOKUP(Q81, IMPORTRANGE(""https://docs.google.com/spreadsheets/d/1yDAaXNsi4Mr5FtRQL4tbmSdIzhx6_m4wkOD7IG-k_eo/edit#gid=1336395716"", ""Science!M:N""), 2, FALSE)"),"Justify the selection of a particular reference point in a given situation.")</f>
        <v>Justify the selection of a particular reference point in a given situation.</v>
      </c>
      <c r="S81" s="10" t="str">
        <f t="shared" si="5"/>
        <v>LU006317.006</v>
      </c>
      <c r="T81" s="10" t="str">
        <f ca="1">IFERROR(__xludf.DUMMYFUNCTION("VLOOKUP(S81, IMPORTRANGE(""https://docs.google.com/spreadsheets/d/1yDAaXNsi4Mr5FtRQL4tbmSdIzhx6_m4wkOD7IG-k_eo/edit#gid=1336395716"", ""Science!M:N""), 2, FALSE)"),"Develop a method to choose the most effective reference point for describing the position of objects in a classroom setting.")</f>
        <v>Develop a method to choose the most effective reference point for describing the position of objects in a classroom setting.</v>
      </c>
      <c r="U81" s="11" t="str">
        <f ca="1">IFERROR(__xludf.DUMMYFUNCTION("ArrayFormula(VLOOKUP(G81, IMPORTRANGE(""https://docs.google.com/spreadsheets/d/1p7R4vtkWt5VOBim4ltsDG9KTzSjrtKXsMtQGXPHyND0/edit#gid=795171502"", ""'Filter 30_05_2024'!A1:M2000""), {2, 3, 4, 5,6,7,8,9,10,11,12,13}, 0))"),"#N/A")</f>
        <v>#N/A</v>
      </c>
      <c r="V81" s="11" t="str">
        <f ca="1">IFERROR(__xludf.DUMMYFUNCTION("""COMPUTED_VALUE"""),"#N/A")</f>
        <v>#N/A</v>
      </c>
      <c r="W81" s="11" t="str">
        <f ca="1">IFERROR(__xludf.DUMMYFUNCTION("""COMPUTED_VALUE"""),"#N/A")</f>
        <v>#N/A</v>
      </c>
      <c r="X81" s="11" t="str">
        <f ca="1">IFERROR(__xludf.DUMMYFUNCTION("""COMPUTED_VALUE"""),"#N/A")</f>
        <v>#N/A</v>
      </c>
      <c r="Y81" s="11" t="str">
        <f ca="1">IFERROR(__xludf.DUMMYFUNCTION("""COMPUTED_VALUE"""),"#N/A")</f>
        <v>#N/A</v>
      </c>
      <c r="Z81" s="12" t="str">
        <f ca="1">IFERROR(__xludf.DUMMYFUNCTION("""COMPUTED_VALUE"""),"#N/A")</f>
        <v>#N/A</v>
      </c>
      <c r="AA81" s="12" t="str">
        <f ca="1">IFERROR(__xludf.DUMMYFUNCTION("""COMPUTED_VALUE"""),"#N/A")</f>
        <v>#N/A</v>
      </c>
      <c r="AB81" s="12" t="str">
        <f ca="1">IFERROR(__xludf.DUMMYFUNCTION("""COMPUTED_VALUE"""),"#N/A")</f>
        <v>#N/A</v>
      </c>
      <c r="AC81" s="12" t="str">
        <f ca="1">IFERROR(__xludf.DUMMYFUNCTION("""COMPUTED_VALUE"""),"#N/A")</f>
        <v>#N/A</v>
      </c>
      <c r="AD81" s="12" t="str">
        <f ca="1">IFERROR(__xludf.DUMMYFUNCTION("""COMPUTED_VALUE"""),"#N/A")</f>
        <v>#N/A</v>
      </c>
      <c r="AE81" s="12" t="str">
        <f ca="1">IFERROR(__xludf.DUMMYFUNCTION("""COMPUTED_VALUE"""),"#N/A")</f>
        <v>#N/A</v>
      </c>
      <c r="AF81" s="12" t="str">
        <f ca="1">IFERROR(__xludf.DUMMYFUNCTION("""COMPUTED_VALUE"""),"#N/A")</f>
        <v>#N/A</v>
      </c>
      <c r="AG81" s="13" t="str">
        <f ca="1">IFERROR(__xludf.DUMMYFUNCTION("ArrayFormula(VLOOKUP(G81, IMPORTRANGE(""https://docs.google.com/spreadsheets/d/1Co934fvtviyaRiMsrIlT05Jaq7iiYq07aLvRr35KA48/edit?gid=173865642#gid=173865642"", ""'G9 Sci_Pri_LU'!G2:V2000""), {3, 4, 5, 6, 7, 8, 9, 10, 11, 12, 13, 14, 15, 16}, 0))"),"LU005175")</f>
        <v>LU005175</v>
      </c>
      <c r="AH81" s="22" t="str">
        <f ca="1">IFERROR(__xludf.DUMMYFUNCTION("""COMPUTED_VALUE"""),"Measurement of length using ruler")</f>
        <v>Measurement of length using ruler</v>
      </c>
      <c r="AI81" s="13" t="str">
        <f ca="1">IFERROR(__xludf.DUMMYFUNCTION("""COMPUTED_VALUE"""),"LU005177")</f>
        <v>LU005177</v>
      </c>
      <c r="AJ81" s="13" t="str">
        <f ca="1">IFERROR(__xludf.DUMMYFUNCTION("""COMPUTED_VALUE"""),"Comparison of object in the State of rest vs State of Motion")</f>
        <v>Comparison of object in the State of rest vs State of Motion</v>
      </c>
      <c r="AK81" s="13"/>
      <c r="AL81" s="13"/>
      <c r="AM81" s="13"/>
      <c r="AN81" s="13"/>
      <c r="AO81" s="13"/>
      <c r="AP81" s="13"/>
      <c r="AQ81" s="13"/>
      <c r="AR81" s="13"/>
      <c r="AS81" s="13"/>
      <c r="AT81" s="13"/>
    </row>
    <row r="82" spans="1:46">
      <c r="A82" s="8" t="s">
        <v>247</v>
      </c>
      <c r="B82" s="8" t="s">
        <v>47</v>
      </c>
      <c r="C82" s="8" t="s">
        <v>979</v>
      </c>
      <c r="D82" s="9" t="s">
        <v>1510</v>
      </c>
      <c r="E82" s="8" t="s">
        <v>2355</v>
      </c>
      <c r="F82" s="123" t="s">
        <v>2358</v>
      </c>
      <c r="G82" s="126" t="s">
        <v>2359</v>
      </c>
      <c r="H82" s="118" t="str">
        <f ca="1">IFERROR(__xludf.DUMMYFUNCTION("VLOOKUP(G82, IMPORTRANGE(""https://docs.google.com/spreadsheets/d/14deopnvwcrKtEGCKuYXdUHJbeLDZlkiSSWWT0g7x2pM/edit#gid=849066331"", ""LU List Science (Filter)!A:B""), 2, FALSE)"),"Distinction between Distance and Displacement")</f>
        <v>Distinction between Distance and Displacement</v>
      </c>
      <c r="I82" s="10" t="str">
        <f t="shared" si="0"/>
        <v>LU006318.001</v>
      </c>
      <c r="J82" s="10" t="str">
        <f ca="1">IFERROR(__xludf.DUMMYFUNCTION("VLOOKUP(I82, IMPORTRANGE(""https://docs.google.com/spreadsheets/d/1yDAaXNsi4Mr5FtRQL4tbmSdIzhx6_m4wkOD7IG-k_eo/edit#gid=1336395716"", ""Science!M:N""), 2, FALSE)"),"Define distance and displacement.")</f>
        <v>Define distance and displacement.</v>
      </c>
      <c r="K82" s="10" t="str">
        <f t="shared" si="1"/>
        <v>LU006318.002</v>
      </c>
      <c r="L82" s="10" t="str">
        <f ca="1">IFERROR(__xludf.DUMMYFUNCTION("VLOOKUP(K82, IMPORTRANGE(""https://docs.google.com/spreadsheets/d/1yDAaXNsi4Mr5FtRQL4tbmSdIzhx6_m4wkOD7IG-k_eo/edit#gid=1336395716"", ""Science!M:N""), 2, FALSE)"),"Explain the differences between distance and displacement.")</f>
        <v>Explain the differences between distance and displacement.</v>
      </c>
      <c r="M82" s="10" t="str">
        <f t="shared" si="2"/>
        <v>LU006318.003</v>
      </c>
      <c r="N82" s="10" t="str">
        <f ca="1">IFERROR(__xludf.DUMMYFUNCTION("VLOOKUP(M82, IMPORTRANGE(""https://docs.google.com/spreadsheets/d/1yDAaXNsi4Mr5FtRQL4tbmSdIzhx6_m4wkOD7IG-k_eo/edit#gid=1336395716"", ""Science!M:N""), 2, FALSE)"),"Calculate distance and displacement for given paths.")</f>
        <v>Calculate distance and displacement for given paths.</v>
      </c>
      <c r="O82" s="10" t="str">
        <f t="shared" si="3"/>
        <v>LU006318.004</v>
      </c>
      <c r="P82" s="10" t="str">
        <f ca="1">IFERROR(__xludf.DUMMYFUNCTION("VLOOKUP(O82, IMPORTRANGE(""https://docs.google.com/spreadsheets/d/1yDAaXNsi4Mr5FtRQL4tbmSdIzhx6_m4wkOD7IG-k_eo/edit#gid=1336395716"", ""Science!M:N""), 2, FALSE)"),"Compare scenarios where distance and displacement differ significantly.")</f>
        <v>Compare scenarios where distance and displacement differ significantly.</v>
      </c>
      <c r="Q82" s="10" t="str">
        <f t="shared" si="4"/>
        <v>LU006318.005</v>
      </c>
      <c r="R82" s="10" t="str">
        <f ca="1">IFERROR(__xludf.DUMMYFUNCTION("VLOOKUP(Q82, IMPORTRANGE(""https://docs.google.com/spreadsheets/d/1yDAaXNsi4Mr5FtRQL4tbmSdIzhx6_m4wkOD7IG-k_eo/edit#gid=1336395716"", ""Science!M:N""), 2, FALSE)"),"Critique the use of distance and displacement in various real-life applications.")</f>
        <v>Critique the use of distance and displacement in various real-life applications.</v>
      </c>
      <c r="S82" s="10" t="str">
        <f t="shared" si="5"/>
        <v>LU006318.006</v>
      </c>
      <c r="T82" s="10" t="str">
        <f ca="1">IFERROR(__xludf.DUMMYFUNCTION("VLOOKUP(S82, IMPORTRANGE(""https://docs.google.com/spreadsheets/d/1yDAaXNsi4Mr5FtRQL4tbmSdIzhx6_m4wkOD7IG-k_eo/edit#gid=1336395716"", ""Science!M:N""), 2, FALSE)"),"Create a real-world example to illustrate the difference between distance and displacement.")</f>
        <v>Create a real-world example to illustrate the difference between distance and displacement.</v>
      </c>
      <c r="U82" s="11" t="str">
        <f ca="1">IFERROR(__xludf.DUMMYFUNCTION("ArrayFormula(VLOOKUP(G82, IMPORTRANGE(""https://docs.google.com/spreadsheets/d/1p7R4vtkWt5VOBim4ltsDG9KTzSjrtKXsMtQGXPHyND0/edit#gid=795171502"", ""'Filter 30_05_2024'!A1:M2000""), {2, 3, 4, 5,6,7,8,9,10,11,12,13}, 0))"),"#N/A")</f>
        <v>#N/A</v>
      </c>
      <c r="V82" s="11" t="str">
        <f ca="1">IFERROR(__xludf.DUMMYFUNCTION("""COMPUTED_VALUE"""),"#N/A")</f>
        <v>#N/A</v>
      </c>
      <c r="W82" s="11" t="str">
        <f ca="1">IFERROR(__xludf.DUMMYFUNCTION("""COMPUTED_VALUE"""),"#N/A")</f>
        <v>#N/A</v>
      </c>
      <c r="X82" s="11" t="str">
        <f ca="1">IFERROR(__xludf.DUMMYFUNCTION("""COMPUTED_VALUE"""),"#N/A")</f>
        <v>#N/A</v>
      </c>
      <c r="Y82" s="11" t="str">
        <f ca="1">IFERROR(__xludf.DUMMYFUNCTION("""COMPUTED_VALUE"""),"#N/A")</f>
        <v>#N/A</v>
      </c>
      <c r="Z82" s="12" t="str">
        <f ca="1">IFERROR(__xludf.DUMMYFUNCTION("""COMPUTED_VALUE"""),"#N/A")</f>
        <v>#N/A</v>
      </c>
      <c r="AA82" s="12" t="str">
        <f ca="1">IFERROR(__xludf.DUMMYFUNCTION("""COMPUTED_VALUE"""),"#N/A")</f>
        <v>#N/A</v>
      </c>
      <c r="AB82" s="12" t="str">
        <f ca="1">IFERROR(__xludf.DUMMYFUNCTION("""COMPUTED_VALUE"""),"#N/A")</f>
        <v>#N/A</v>
      </c>
      <c r="AC82" s="12" t="str">
        <f ca="1">IFERROR(__xludf.DUMMYFUNCTION("""COMPUTED_VALUE"""),"#N/A")</f>
        <v>#N/A</v>
      </c>
      <c r="AD82" s="12" t="str">
        <f ca="1">IFERROR(__xludf.DUMMYFUNCTION("""COMPUTED_VALUE"""),"#N/A")</f>
        <v>#N/A</v>
      </c>
      <c r="AE82" s="12" t="str">
        <f ca="1">IFERROR(__xludf.DUMMYFUNCTION("""COMPUTED_VALUE"""),"#N/A")</f>
        <v>#N/A</v>
      </c>
      <c r="AF82" s="12" t="str">
        <f ca="1">IFERROR(__xludf.DUMMYFUNCTION("""COMPUTED_VALUE"""),"#N/A")</f>
        <v>#N/A</v>
      </c>
      <c r="AG82" s="13" t="str">
        <f ca="1">IFERROR(__xludf.DUMMYFUNCTION("ArrayFormula(VLOOKUP(G82, IMPORTRANGE(""https://docs.google.com/spreadsheets/d/1Co934fvtviyaRiMsrIlT05Jaq7iiYq07aLvRr35KA48/edit?gid=173865642#gid=173865642"", ""'G9 Sci_Pri_LU'!G2:V2000""), {3, 4, 5, 6, 7, 8, 9, 10, 11, 12, 13, 14, 15, 16}, 0))"),"LU005175")</f>
        <v>LU005175</v>
      </c>
      <c r="AH82" s="22" t="str">
        <f ca="1">IFERROR(__xludf.DUMMYFUNCTION("""COMPUTED_VALUE"""),"Measurement of length using ruler")</f>
        <v>Measurement of length using ruler</v>
      </c>
      <c r="AI82" s="13" t="str">
        <f ca="1">IFERROR(__xludf.DUMMYFUNCTION("""COMPUTED_VALUE"""),"LU005174")</f>
        <v>LU005174</v>
      </c>
      <c r="AJ82" s="13" t="str">
        <f ca="1">IFERROR(__xludf.DUMMYFUNCTION("""COMPUTED_VALUE"""),"Units of length")</f>
        <v>Units of length</v>
      </c>
      <c r="AK82" s="13"/>
      <c r="AL82" s="13"/>
      <c r="AM82" s="13"/>
      <c r="AN82" s="13"/>
      <c r="AO82" s="13"/>
      <c r="AP82" s="13"/>
      <c r="AQ82" s="13"/>
      <c r="AR82" s="13"/>
      <c r="AS82" s="13"/>
      <c r="AT82" s="13"/>
    </row>
    <row r="83" spans="1:46">
      <c r="A83" s="8" t="s">
        <v>247</v>
      </c>
      <c r="B83" s="8" t="s">
        <v>47</v>
      </c>
      <c r="C83" s="8" t="s">
        <v>979</v>
      </c>
      <c r="D83" s="9" t="s">
        <v>1510</v>
      </c>
      <c r="E83" s="8" t="s">
        <v>2355</v>
      </c>
      <c r="F83" s="123" t="s">
        <v>2358</v>
      </c>
      <c r="G83" s="123" t="s">
        <v>1948</v>
      </c>
      <c r="H83" s="118" t="str">
        <f ca="1">IFERROR(__xludf.DUMMYFUNCTION("VLOOKUP(G83, IMPORTRANGE(""https://docs.google.com/spreadsheets/d/14deopnvwcrKtEGCKuYXdUHJbeLDZlkiSSWWT0g7x2pM/edit#gid=849066331"", ""LU List Science (Filter)!A:B""), 2, FALSE)"),"Understanding Uniform and Non-Uniform Motion")</f>
        <v>Understanding Uniform and Non-Uniform Motion</v>
      </c>
      <c r="I83" s="10" t="str">
        <f t="shared" si="0"/>
        <v>LU005386.001</v>
      </c>
      <c r="J83" s="10" t="str">
        <f ca="1">IFERROR(__xludf.DUMMYFUNCTION("VLOOKUP(I83, IMPORTRANGE(""https://docs.google.com/spreadsheets/d/1yDAaXNsi4Mr5FtRQL4tbmSdIzhx6_m4wkOD7IG-k_eo/edit#gid=1336395716"", ""Science!M:N""), 2, FALSE)"),"Define uniform and non-uniform motion.")</f>
        <v>Define uniform and non-uniform motion.</v>
      </c>
      <c r="K83" s="10" t="str">
        <f t="shared" si="1"/>
        <v>LU005386.002</v>
      </c>
      <c r="L83" s="10" t="str">
        <f ca="1">IFERROR(__xludf.DUMMYFUNCTION("VLOOKUP(K83, IMPORTRANGE(""https://docs.google.com/spreadsheets/d/1yDAaXNsi4Mr5FtRQL4tbmSdIzhx6_m4wkOD7IG-k_eo/edit#gid=1336395716"", ""Science!M:N""), 2, FALSE)"),"Differentiate between uniform and non-uniform motion using examples.")</f>
        <v>Differentiate between uniform and non-uniform motion using examples.</v>
      </c>
      <c r="M83" s="10" t="str">
        <f t="shared" si="2"/>
        <v>LU005386.003</v>
      </c>
      <c r="N83" s="10" t="str">
        <f ca="1">IFERROR(__xludf.DUMMYFUNCTION("VLOOKUP(M83, IMPORTRANGE(""https://docs.google.com/spreadsheets/d/1yDAaXNsi4Mr5FtRQL4tbmSdIzhx6_m4wkOD7IG-k_eo/edit#gid=1336395716"", ""Science!M:N""), 2, FALSE)"),"Relate real-world scenarios to either uniform or non-uniform motion.")</f>
        <v>Relate real-world scenarios to either uniform or non-uniform motion.</v>
      </c>
      <c r="O83" s="10" t="str">
        <f t="shared" si="3"/>
        <v>LU005386.004</v>
      </c>
      <c r="P83" s="10" t="str">
        <f ca="1">IFERROR(__xludf.DUMMYFUNCTION("VLOOKUP(O83, IMPORTRANGE(""https://docs.google.com/spreadsheets/d/1yDAaXNsi4Mr5FtRQL4tbmSdIzhx6_m4wkOD7IG-k_eo/edit#gid=1336395716"", ""Science!M:N""), 2, FALSE)"),"Analyze factors leading to non-uniform motion in practical contexts.")</f>
        <v>Analyze factors leading to non-uniform motion in practical contexts.</v>
      </c>
      <c r="Q83" s="10" t="str">
        <f t="shared" si="4"/>
        <v>LU005386.005</v>
      </c>
      <c r="R83" s="10" t="str">
        <f ca="1">IFERROR(__xludf.DUMMYFUNCTION("VLOOKUP(Q83, IMPORTRANGE(""https://docs.google.com/spreadsheets/d/1yDAaXNsi4Mr5FtRQL4tbmSdIzhx6_m4wkOD7IG-k_eo/edit#gid=1336395716"", ""Science!M:N""), 2, FALSE)"),"#N/A")</f>
        <v>#N/A</v>
      </c>
      <c r="S83" s="10" t="str">
        <f t="shared" si="5"/>
        <v>LU005386.006</v>
      </c>
      <c r="T83" s="10" t="str">
        <f ca="1">IFERROR(__xludf.DUMMYFUNCTION("VLOOKUP(S83, IMPORTRANGE(""https://docs.google.com/spreadsheets/d/1yDAaXNsi4Mr5FtRQL4tbmSdIzhx6_m4wkOD7IG-k_eo/edit#gid=1336395716"", ""Science!M:N""), 2, FALSE)"),"#N/A")</f>
        <v>#N/A</v>
      </c>
      <c r="U83" s="11">
        <f ca="1">IFERROR(__xludf.DUMMYFUNCTION("ArrayFormula(VLOOKUP(G83, IMPORTRANGE(""https://docs.google.com/spreadsheets/d/1p7R4vtkWt5VOBim4ltsDG9KTzSjrtKXsMtQGXPHyND0/edit#gid=795171502"", ""'Filter 30_05_2024'!A1:M2000""), {2, 3, 4, 5,6,7,8,9,10,11,12,13}, 0))"),2)</f>
        <v>2</v>
      </c>
      <c r="V83" s="11">
        <f ca="1">IFERROR(__xludf.DUMMYFUNCTION("""COMPUTED_VALUE"""),7)</f>
        <v>7</v>
      </c>
      <c r="W83" s="11">
        <f ca="1">IFERROR(__xludf.DUMMYFUNCTION("""COMPUTED_VALUE"""),2)</f>
        <v>2</v>
      </c>
      <c r="X83" s="11">
        <f ca="1">IFERROR(__xludf.DUMMYFUNCTION("""COMPUTED_VALUE"""),11)</f>
        <v>11</v>
      </c>
      <c r="Y83" s="11">
        <f ca="1">IFERROR(__xludf.DUMMYFUNCTION("""COMPUTED_VALUE"""),2)</f>
        <v>2</v>
      </c>
      <c r="Z83" s="12">
        <f ca="1">IFERROR(__xludf.DUMMYFUNCTION("""COMPUTED_VALUE"""),3)</f>
        <v>3</v>
      </c>
      <c r="AA83" s="12">
        <f ca="1">IFERROR(__xludf.DUMMYFUNCTION("""COMPUTED_VALUE"""),1)</f>
        <v>1</v>
      </c>
      <c r="AB83" s="12">
        <f ca="1">IFERROR(__xludf.DUMMYFUNCTION("""COMPUTED_VALUE"""),6)</f>
        <v>6</v>
      </c>
      <c r="AC83" s="12">
        <f ca="1">IFERROR(__xludf.DUMMYFUNCTION("""COMPUTED_VALUE"""),1)</f>
        <v>1</v>
      </c>
      <c r="AD83" s="12">
        <f ca="1">IFERROR(__xludf.DUMMYFUNCTION("""COMPUTED_VALUE"""),1)</f>
        <v>1</v>
      </c>
      <c r="AE83" s="12"/>
      <c r="AF83" s="12">
        <f ca="1">IFERROR(__xludf.DUMMYFUNCTION("""COMPUTED_VALUE"""),2)</f>
        <v>2</v>
      </c>
      <c r="AG83" s="13" t="str">
        <f ca="1">IFERROR(__xludf.DUMMYFUNCTION("ArrayFormula(VLOOKUP(G83, IMPORTRANGE(""https://docs.google.com/spreadsheets/d/1Co934fvtviyaRiMsrIlT05Jaq7iiYq07aLvRr35KA48/edit?gid=173865642#gid=173865642"", ""'G9 Sci_Pri_LU'!G2:V2000""), {3, 4, 5, 6, 7, 8, 9, 10, 11, 12, 13, 14, 15, 16}, 0))"),"")</f>
        <v/>
      </c>
      <c r="AH83" s="22"/>
      <c r="AI83" s="13"/>
      <c r="AJ83" s="13"/>
      <c r="AK83" s="13"/>
      <c r="AL83" s="13"/>
      <c r="AM83" s="13"/>
      <c r="AN83" s="13"/>
      <c r="AO83" s="13"/>
      <c r="AP83" s="13"/>
      <c r="AQ83" s="13"/>
      <c r="AR83" s="13"/>
      <c r="AS83" s="13"/>
      <c r="AT83" s="13"/>
    </row>
    <row r="84" spans="1:46">
      <c r="A84" s="8" t="s">
        <v>247</v>
      </c>
      <c r="B84" s="8" t="s">
        <v>47</v>
      </c>
      <c r="C84" s="8" t="s">
        <v>979</v>
      </c>
      <c r="D84" s="9" t="s">
        <v>1510</v>
      </c>
      <c r="E84" s="8" t="s">
        <v>2355</v>
      </c>
      <c r="F84" s="10" t="s">
        <v>2360</v>
      </c>
      <c r="G84" s="10" t="s">
        <v>1946</v>
      </c>
      <c r="H84" s="8" t="str">
        <f ca="1">IFERROR(__xludf.DUMMYFUNCTION("VLOOKUP(G84, IMPORTRANGE(""https://docs.google.com/spreadsheets/d/14deopnvwcrKtEGCKuYXdUHJbeLDZlkiSSWWT0g7x2pM/edit#gid=849066331"", ""LU List Science (Filter)!A:B""), 2, FALSE)"),"Definition of Speed")</f>
        <v>Definition of Speed</v>
      </c>
      <c r="I84" s="10" t="str">
        <f t="shared" si="0"/>
        <v>LU005375.001</v>
      </c>
      <c r="J84" s="10" t="str">
        <f ca="1">IFERROR(__xludf.DUMMYFUNCTION("VLOOKUP(I84, IMPORTRANGE(""https://docs.google.com/spreadsheets/d/1yDAaXNsi4Mr5FtRQL4tbmSdIzhx6_m4wkOD7IG-k_eo/edit#gid=1336395716"", ""Science!M:N""), 2, FALSE)"),"Define speed and average speed.")</f>
        <v>Define speed and average speed.</v>
      </c>
      <c r="K84" s="10" t="str">
        <f t="shared" si="1"/>
        <v>LU005375.002</v>
      </c>
      <c r="L84" s="10" t="str">
        <f ca="1">IFERROR(__xludf.DUMMYFUNCTION("VLOOKUP(K84, IMPORTRANGE(""https://docs.google.com/spreadsheets/d/1yDAaXNsi4Mr5FtRQL4tbmSdIzhx6_m4wkOD7IG-k_eo/edit#gid=1336395716"", ""Science!M:N""), 2, FALSE)"),"Explain what speed indicates in terms of motion.")</f>
        <v>Explain what speed indicates in terms of motion.</v>
      </c>
      <c r="M84" s="10" t="str">
        <f t="shared" si="2"/>
        <v>LU005375.003</v>
      </c>
      <c r="N84" s="10" t="str">
        <f ca="1">IFERROR(__xludf.DUMMYFUNCTION("VLOOKUP(M84, IMPORTRANGE(""https://docs.google.com/spreadsheets/d/1yDAaXNsi4Mr5FtRQL4tbmSdIzhx6_m4wkOD7IG-k_eo/edit#gid=1336395716"", ""Science!M:N""), 2, FALSE)"),"Identify examples in daily life where speed plays a role.")</f>
        <v>Identify examples in daily life where speed plays a role.</v>
      </c>
      <c r="O84" s="10" t="str">
        <f t="shared" si="3"/>
        <v>LU005375.004</v>
      </c>
      <c r="P84" s="10" t="str">
        <f ca="1">IFERROR(__xludf.DUMMYFUNCTION("VLOOKUP(O84, IMPORTRANGE(""https://docs.google.com/spreadsheets/d/1yDAaXNsi4Mr5FtRQL4tbmSdIzhx6_m4wkOD7IG-k_eo/edit#gid=1336395716"", ""Science!M:N""), 2, FALSE)"),"#N/A")</f>
        <v>#N/A</v>
      </c>
      <c r="Q84" s="10" t="str">
        <f t="shared" si="4"/>
        <v>LU005375.005</v>
      </c>
      <c r="R84" s="10" t="str">
        <f ca="1">IFERROR(__xludf.DUMMYFUNCTION("VLOOKUP(Q84, IMPORTRANGE(""https://docs.google.com/spreadsheets/d/1yDAaXNsi4Mr5FtRQL4tbmSdIzhx6_m4wkOD7IG-k_eo/edit#gid=1336395716"", ""Science!M:N""), 2, FALSE)"),"Compare the importance of understanding speed in different scenarios.")</f>
        <v>Compare the importance of understanding speed in different scenarios.</v>
      </c>
      <c r="S84" s="10" t="str">
        <f t="shared" si="5"/>
        <v>LU005375.006</v>
      </c>
      <c r="T84" s="10" t="str">
        <f ca="1">IFERROR(__xludf.DUMMYFUNCTION("VLOOKUP(S84, IMPORTRANGE(""https://docs.google.com/spreadsheets/d/1yDAaXNsi4Mr5FtRQL4tbmSdIzhx6_m4wkOD7IG-k_eo/edit#gid=1336395716"", ""Science!M:N""), 2, FALSE)"),"Formulate a scenario to demonstrate speed in action.")</f>
        <v>Formulate a scenario to demonstrate speed in action.</v>
      </c>
      <c r="U84" s="11">
        <f ca="1">IFERROR(__xludf.DUMMYFUNCTION("ArrayFormula(VLOOKUP(G84, IMPORTRANGE(""https://docs.google.com/spreadsheets/d/1p7R4vtkWt5VOBim4ltsDG9KTzSjrtKXsMtQGXPHyND0/edit#gid=795171502"", ""'Filter 30_05_2024'!A1:M2000""), {2, 3, 4, 5,6,7,8,9,10,11,12,13}, 0))"),6)</f>
        <v>6</v>
      </c>
      <c r="V84" s="11">
        <f ca="1">IFERROR(__xludf.DUMMYFUNCTION("""COMPUTED_VALUE"""),6)</f>
        <v>6</v>
      </c>
      <c r="W84" s="11">
        <f ca="1">IFERROR(__xludf.DUMMYFUNCTION("""COMPUTED_VALUE"""),2)</f>
        <v>2</v>
      </c>
      <c r="X84" s="11">
        <f ca="1">IFERROR(__xludf.DUMMYFUNCTION("""COMPUTED_VALUE"""),14)</f>
        <v>14</v>
      </c>
      <c r="Y84" s="11">
        <f ca="1">IFERROR(__xludf.DUMMYFUNCTION("""COMPUTED_VALUE"""),4)</f>
        <v>4</v>
      </c>
      <c r="Z84" s="12">
        <f ca="1">IFERROR(__xludf.DUMMYFUNCTION("""COMPUTED_VALUE"""),5)</f>
        <v>5</v>
      </c>
      <c r="AA84" s="12">
        <f ca="1">IFERROR(__xludf.DUMMYFUNCTION("""COMPUTED_VALUE"""),1)</f>
        <v>1</v>
      </c>
      <c r="AB84" s="12">
        <f ca="1">IFERROR(__xludf.DUMMYFUNCTION("""COMPUTED_VALUE"""),10)</f>
        <v>10</v>
      </c>
      <c r="AC84" s="12"/>
      <c r="AD84" s="12"/>
      <c r="AE84" s="12"/>
      <c r="AF84" s="12"/>
      <c r="AG84" s="13" t="str">
        <f ca="1">IFERROR(__xludf.DUMMYFUNCTION("ArrayFormula(VLOOKUP(G84, IMPORTRANGE(""https://docs.google.com/spreadsheets/d/1Co934fvtviyaRiMsrIlT05Jaq7iiYq07aLvRr35KA48/edit?gid=173865642#gid=173865642"", ""'G9 Sci_Pri_LU'!G2:V2000""), {3, 4, 5, 6, 7, 8, 9, 10, 11, 12, 13, 14, 15, 16}, 0))"),"")</f>
        <v/>
      </c>
      <c r="AH84" s="22"/>
      <c r="AI84" s="13"/>
      <c r="AJ84" s="13"/>
      <c r="AK84" s="13"/>
      <c r="AL84" s="13"/>
      <c r="AM84" s="13"/>
      <c r="AN84" s="13"/>
      <c r="AO84" s="13"/>
      <c r="AP84" s="13"/>
      <c r="AQ84" s="13"/>
      <c r="AR84" s="13"/>
      <c r="AS84" s="13"/>
      <c r="AT84" s="13"/>
    </row>
    <row r="85" spans="1:46">
      <c r="A85" s="8" t="s">
        <v>247</v>
      </c>
      <c r="B85" s="8" t="s">
        <v>47</v>
      </c>
      <c r="C85" s="8" t="s">
        <v>979</v>
      </c>
      <c r="D85" s="9" t="s">
        <v>1510</v>
      </c>
      <c r="E85" s="8" t="s">
        <v>2355</v>
      </c>
      <c r="F85" s="10" t="s">
        <v>2360</v>
      </c>
      <c r="G85" s="114" t="s">
        <v>2361</v>
      </c>
      <c r="H85" s="8" t="str">
        <f ca="1">IFERROR(__xludf.DUMMYFUNCTION("VLOOKUP(G85, IMPORTRANGE(""https://docs.google.com/spreadsheets/d/14deopnvwcrKtEGCKuYXdUHJbeLDZlkiSSWWT0g7x2pM/edit#gid=849066331"", ""LU List Science (Filter)!A:B""), 2, FALSE)"),"Definition of Velocity and Average Velocity ")</f>
        <v xml:space="preserve">Definition of Velocity and Average Velocity </v>
      </c>
      <c r="I85" s="10" t="str">
        <f t="shared" si="0"/>
        <v>LU006319.001</v>
      </c>
      <c r="J85" s="10" t="str">
        <f ca="1">IFERROR(__xludf.DUMMYFUNCTION("VLOOKUP(I85, IMPORTRANGE(""https://docs.google.com/spreadsheets/d/1yDAaXNsi4Mr5FtRQL4tbmSdIzhx6_m4wkOD7IG-k_eo/edit#gid=1336395716"", ""Science!M:N""), 2, FALSE)"),"Define velocity and average velocity.")</f>
        <v>Define velocity and average velocity.</v>
      </c>
      <c r="K85" s="10" t="str">
        <f t="shared" si="1"/>
        <v>LU006319.002</v>
      </c>
      <c r="L85" s="10" t="str">
        <f ca="1">IFERROR(__xludf.DUMMYFUNCTION("VLOOKUP(K85, IMPORTRANGE(""https://docs.google.com/spreadsheets/d/1yDAaXNsi4Mr5FtRQL4tbmSdIzhx6_m4wkOD7IG-k_eo/edit#gid=1336395716"", ""Science!M:N""), 2, FALSE)"),"Explain the concept of average velocity with examples.")</f>
        <v>Explain the concept of average velocity with examples.</v>
      </c>
      <c r="M85" s="10" t="str">
        <f t="shared" si="2"/>
        <v>LU006319.003</v>
      </c>
      <c r="N85" s="10" t="str">
        <f ca="1">IFERROR(__xludf.DUMMYFUNCTION("VLOOKUP(M85, IMPORTRANGE(""https://docs.google.com/spreadsheets/d/1yDAaXNsi4Mr5FtRQL4tbmSdIzhx6_m4wkOD7IG-k_eo/edit#gid=1336395716"", ""Science!M:N""), 2, FALSE)"),"Calculate average velocity from given data.")</f>
        <v>Calculate average velocity from given data.</v>
      </c>
      <c r="O85" s="10" t="str">
        <f t="shared" si="3"/>
        <v>LU006319.004</v>
      </c>
      <c r="P85" s="10" t="str">
        <f ca="1">IFERROR(__xludf.DUMMYFUNCTION("VLOOKUP(O85, IMPORTRANGE(""https://docs.google.com/spreadsheets/d/1yDAaXNsi4Mr5FtRQL4tbmSdIzhx6_m4wkOD7IG-k_eo/edit#gid=1336395716"", ""Science!M:N""), 2, FALSE)"),"Distinguish between instantaneous velocity and average velocity in different contexts.")</f>
        <v>Distinguish between instantaneous velocity and average velocity in different contexts.</v>
      </c>
      <c r="Q85" s="10" t="str">
        <f t="shared" si="4"/>
        <v>LU006319.005</v>
      </c>
      <c r="R85" s="10" t="str">
        <f ca="1">IFERROR(__xludf.DUMMYFUNCTION("VLOOKUP(Q85, IMPORTRANGE(""https://docs.google.com/spreadsheets/d/1yDAaXNsi4Mr5FtRQL4tbmSdIzhx6_m4wkOD7IG-k_eo/edit#gid=1336395716"", ""Science!M:N""), 2, FALSE)"),"Evaluate the significance of average velocity in various transportation systems.")</f>
        <v>Evaluate the significance of average velocity in various transportation systems.</v>
      </c>
      <c r="S85" s="10" t="str">
        <f t="shared" si="5"/>
        <v>LU006319.006</v>
      </c>
      <c r="T85" s="10" t="str">
        <f ca="1">IFERROR(__xludf.DUMMYFUNCTION("VLOOKUP(S85, IMPORTRANGE(""https://docs.google.com/spreadsheets/d/1yDAaXNsi4Mr5FtRQL4tbmSdIzhx6_m4wkOD7IG-k_eo/edit#gid=1336395716"", ""Science!M:N""), 2, FALSE)"),"Design an experiment to measure the average velocity of a moving object.")</f>
        <v>Design an experiment to measure the average velocity of a moving object.</v>
      </c>
      <c r="U85" s="11" t="str">
        <f ca="1">IFERROR(__xludf.DUMMYFUNCTION("ArrayFormula(VLOOKUP(G85, IMPORTRANGE(""https://docs.google.com/spreadsheets/d/1p7R4vtkWt5VOBim4ltsDG9KTzSjrtKXsMtQGXPHyND0/edit#gid=795171502"", ""'Filter 30_05_2024'!A1:M2000""), {2, 3, 4, 5,6,7,8,9,10,11,12,13}, 0))"),"#N/A")</f>
        <v>#N/A</v>
      </c>
      <c r="V85" s="11" t="str">
        <f ca="1">IFERROR(__xludf.DUMMYFUNCTION("""COMPUTED_VALUE"""),"#N/A")</f>
        <v>#N/A</v>
      </c>
      <c r="W85" s="11" t="str">
        <f ca="1">IFERROR(__xludf.DUMMYFUNCTION("""COMPUTED_VALUE"""),"#N/A")</f>
        <v>#N/A</v>
      </c>
      <c r="X85" s="11" t="str">
        <f ca="1">IFERROR(__xludf.DUMMYFUNCTION("""COMPUTED_VALUE"""),"#N/A")</f>
        <v>#N/A</v>
      </c>
      <c r="Y85" s="11" t="str">
        <f ca="1">IFERROR(__xludf.DUMMYFUNCTION("""COMPUTED_VALUE"""),"#N/A")</f>
        <v>#N/A</v>
      </c>
      <c r="Z85" s="12" t="str">
        <f ca="1">IFERROR(__xludf.DUMMYFUNCTION("""COMPUTED_VALUE"""),"#N/A")</f>
        <v>#N/A</v>
      </c>
      <c r="AA85" s="12" t="str">
        <f ca="1">IFERROR(__xludf.DUMMYFUNCTION("""COMPUTED_VALUE"""),"#N/A")</f>
        <v>#N/A</v>
      </c>
      <c r="AB85" s="12" t="str">
        <f ca="1">IFERROR(__xludf.DUMMYFUNCTION("""COMPUTED_VALUE"""),"#N/A")</f>
        <v>#N/A</v>
      </c>
      <c r="AC85" s="12" t="str">
        <f ca="1">IFERROR(__xludf.DUMMYFUNCTION("""COMPUTED_VALUE"""),"#N/A")</f>
        <v>#N/A</v>
      </c>
      <c r="AD85" s="12" t="str">
        <f ca="1">IFERROR(__xludf.DUMMYFUNCTION("""COMPUTED_VALUE"""),"#N/A")</f>
        <v>#N/A</v>
      </c>
      <c r="AE85" s="12" t="str">
        <f ca="1">IFERROR(__xludf.DUMMYFUNCTION("""COMPUTED_VALUE"""),"#N/A")</f>
        <v>#N/A</v>
      </c>
      <c r="AF85" s="12" t="str">
        <f ca="1">IFERROR(__xludf.DUMMYFUNCTION("""COMPUTED_VALUE"""),"#N/A")</f>
        <v>#N/A</v>
      </c>
      <c r="AG85" s="13" t="str">
        <f ca="1">IFERROR(__xludf.DUMMYFUNCTION("ArrayFormula(VLOOKUP(G85, IMPORTRANGE(""https://docs.google.com/spreadsheets/d/1Co934fvtviyaRiMsrIlT05Jaq7iiYq07aLvRr35KA48/edit?gid=173865642#gid=173865642"", ""'G9 Sci_Pri_LU'!G2:V2000""), {3, 4, 5, 6, 7, 8, 9, 10, 11, 12, 13, 14, 15, 16}, 0))"),"LU005375")</f>
        <v>LU005375</v>
      </c>
      <c r="AH85" s="22" t="str">
        <f ca="1">IFERROR(__xludf.DUMMYFUNCTION("""COMPUTED_VALUE"""),"Definition of Speed")</f>
        <v>Definition of Speed</v>
      </c>
      <c r="AI85" s="13" t="str">
        <f ca="1">IFERROR(__xludf.DUMMYFUNCTION("""COMPUTED_VALUE"""),"LU005376")</f>
        <v>LU005376</v>
      </c>
      <c r="AJ85" s="13" t="str">
        <f ca="1">IFERROR(__xludf.DUMMYFUNCTION("""COMPUTED_VALUE"""),"Units of Speed")</f>
        <v>Units of Speed</v>
      </c>
      <c r="AK85" s="13" t="str">
        <f ca="1">IFERROR(__xludf.DUMMYFUNCTION("""COMPUTED_VALUE"""),"LU005177")</f>
        <v>LU005177</v>
      </c>
      <c r="AL85" s="13" t="str">
        <f ca="1">IFERROR(__xludf.DUMMYFUNCTION("""COMPUTED_VALUE"""),"Comparison of object in the State of rest vs State of Motion")</f>
        <v>Comparison of object in the State of rest vs State of Motion</v>
      </c>
      <c r="AM85" s="13"/>
      <c r="AN85" s="13"/>
      <c r="AO85" s="13"/>
      <c r="AP85" s="13"/>
      <c r="AQ85" s="13"/>
      <c r="AR85" s="13"/>
      <c r="AS85" s="13"/>
      <c r="AT85" s="13"/>
    </row>
    <row r="86" spans="1:46">
      <c r="A86" s="8" t="s">
        <v>247</v>
      </c>
      <c r="B86" s="8" t="s">
        <v>47</v>
      </c>
      <c r="C86" s="8" t="s">
        <v>979</v>
      </c>
      <c r="D86" s="9" t="s">
        <v>1510</v>
      </c>
      <c r="E86" s="8" t="s">
        <v>2355</v>
      </c>
      <c r="F86" s="10" t="s">
        <v>2360</v>
      </c>
      <c r="G86" s="114" t="s">
        <v>2362</v>
      </c>
      <c r="H86" s="8" t="str">
        <f ca="1">IFERROR(__xludf.DUMMYFUNCTION("VLOOKUP(G86, IMPORTRANGE(""https://docs.google.com/spreadsheets/d/14deopnvwcrKtEGCKuYXdUHJbeLDZlkiSSWWT0g7x2pM/edit#gid=849066331"", ""LU List Science (Filter)!A:B""), 2, FALSE)"),"Distinction between Speed and Velocity ")</f>
        <v xml:space="preserve">Distinction between Speed and Velocity </v>
      </c>
      <c r="I86" s="10" t="str">
        <f t="shared" si="0"/>
        <v>LU006320.001</v>
      </c>
      <c r="J86" s="10" t="str">
        <f ca="1">IFERROR(__xludf.DUMMYFUNCTION("VLOOKUP(I86, IMPORTRANGE(""https://docs.google.com/spreadsheets/d/1yDAaXNsi4Mr5FtRQL4tbmSdIzhx6_m4wkOD7IG-k_eo/edit#gid=1336395716"", ""Science!M:N""), 2, FALSE)"),"Define speed and velocity.")</f>
        <v>Define speed and velocity.</v>
      </c>
      <c r="K86" s="10" t="str">
        <f t="shared" si="1"/>
        <v>LU006320.002</v>
      </c>
      <c r="L86" s="10" t="str">
        <f ca="1">IFERROR(__xludf.DUMMYFUNCTION("VLOOKUP(K86, IMPORTRANGE(""https://docs.google.com/spreadsheets/d/1yDAaXNsi4Mr5FtRQL4tbmSdIzhx6_m4wkOD7IG-k_eo/edit#gid=1336395716"", ""Science!M:N""), 2, FALSE)"),"Explain the key differences between speed and velocity.")</f>
        <v>Explain the key differences between speed and velocity.</v>
      </c>
      <c r="M86" s="10" t="str">
        <f t="shared" si="2"/>
        <v>LU006320.003</v>
      </c>
      <c r="N86" s="10" t="str">
        <f ca="1">IFERROR(__xludf.DUMMYFUNCTION("VLOOKUP(M86, IMPORTRANGE(""https://docs.google.com/spreadsheets/d/1yDAaXNsi4Mr5FtRQL4tbmSdIzhx6_m4wkOD7IG-k_eo/edit#gid=1336395716"", ""Science!M:N""), 2, FALSE)"),"Solve problems involving both speed and velocity.")</f>
        <v>Solve problems involving both speed and velocity.</v>
      </c>
      <c r="O86" s="10" t="str">
        <f t="shared" si="3"/>
        <v>LU006320.004</v>
      </c>
      <c r="P86" s="10" t="str">
        <f ca="1">IFERROR(__xludf.DUMMYFUNCTION("VLOOKUP(O86, IMPORTRANGE(""https://docs.google.com/spreadsheets/d/1yDAaXNsi4Mr5FtRQL4tbmSdIzhx6_m4wkOD7IG-k_eo/edit#gid=1336395716"", ""Science!M:N""), 2, FALSE)"),"Compare the use of speed and velocity in different physical contexts.")</f>
        <v>Compare the use of speed and velocity in different physical contexts.</v>
      </c>
      <c r="Q86" s="10" t="str">
        <f t="shared" si="4"/>
        <v>LU006320.005</v>
      </c>
      <c r="R86" s="10" t="str">
        <f ca="1">IFERROR(__xludf.DUMMYFUNCTION("VLOOKUP(Q86, IMPORTRANGE(""https://docs.google.com/spreadsheets/d/1yDAaXNsi4Mr5FtRQL4tbmSdIzhx6_m4wkOD7IG-k_eo/edit#gid=1336395716"", ""Science!M:N""), 2, FALSE)"),"Assess the impact of velocity on the direction of motion compared to speed.")</f>
        <v>Assess the impact of velocity on the direction of motion compared to speed.</v>
      </c>
      <c r="S86" s="10" t="str">
        <f t="shared" si="5"/>
        <v>LU006320.006</v>
      </c>
      <c r="T86" s="10" t="str">
        <f ca="1">IFERROR(__xludf.DUMMYFUNCTION("VLOOKUP(S86, IMPORTRANGE(""https://docs.google.com/spreadsheets/d/1yDAaXNsi4Mr5FtRQL4tbmSdIzhx6_m4wkOD7IG-k_eo/edit#gid=1336395716"", ""Science!M:N""), 2, FALSE)"),"Create a presentation to illustrate the differences between speed and velocity using real-life examples.")</f>
        <v>Create a presentation to illustrate the differences between speed and velocity using real-life examples.</v>
      </c>
      <c r="U86" s="11" t="str">
        <f ca="1">IFERROR(__xludf.DUMMYFUNCTION("ArrayFormula(VLOOKUP(G86, IMPORTRANGE(""https://docs.google.com/spreadsheets/d/1p7R4vtkWt5VOBim4ltsDG9KTzSjrtKXsMtQGXPHyND0/edit#gid=795171502"", ""'Filter 30_05_2024'!A1:M2000""), {2, 3, 4, 5,6,7,8,9,10,11,12,13}, 0))"),"#N/A")</f>
        <v>#N/A</v>
      </c>
      <c r="V86" s="11" t="str">
        <f ca="1">IFERROR(__xludf.DUMMYFUNCTION("""COMPUTED_VALUE"""),"#N/A")</f>
        <v>#N/A</v>
      </c>
      <c r="W86" s="11" t="str">
        <f ca="1">IFERROR(__xludf.DUMMYFUNCTION("""COMPUTED_VALUE"""),"#N/A")</f>
        <v>#N/A</v>
      </c>
      <c r="X86" s="11" t="str">
        <f ca="1">IFERROR(__xludf.DUMMYFUNCTION("""COMPUTED_VALUE"""),"#N/A")</f>
        <v>#N/A</v>
      </c>
      <c r="Y86" s="11" t="str">
        <f ca="1">IFERROR(__xludf.DUMMYFUNCTION("""COMPUTED_VALUE"""),"#N/A")</f>
        <v>#N/A</v>
      </c>
      <c r="Z86" s="12" t="str">
        <f ca="1">IFERROR(__xludf.DUMMYFUNCTION("""COMPUTED_VALUE"""),"#N/A")</f>
        <v>#N/A</v>
      </c>
      <c r="AA86" s="12" t="str">
        <f ca="1">IFERROR(__xludf.DUMMYFUNCTION("""COMPUTED_VALUE"""),"#N/A")</f>
        <v>#N/A</v>
      </c>
      <c r="AB86" s="12" t="str">
        <f ca="1">IFERROR(__xludf.DUMMYFUNCTION("""COMPUTED_VALUE"""),"#N/A")</f>
        <v>#N/A</v>
      </c>
      <c r="AC86" s="12" t="str">
        <f ca="1">IFERROR(__xludf.DUMMYFUNCTION("""COMPUTED_VALUE"""),"#N/A")</f>
        <v>#N/A</v>
      </c>
      <c r="AD86" s="12" t="str">
        <f ca="1">IFERROR(__xludf.DUMMYFUNCTION("""COMPUTED_VALUE"""),"#N/A")</f>
        <v>#N/A</v>
      </c>
      <c r="AE86" s="12" t="str">
        <f ca="1">IFERROR(__xludf.DUMMYFUNCTION("""COMPUTED_VALUE"""),"#N/A")</f>
        <v>#N/A</v>
      </c>
      <c r="AF86" s="12" t="str">
        <f ca="1">IFERROR(__xludf.DUMMYFUNCTION("""COMPUTED_VALUE"""),"#N/A")</f>
        <v>#N/A</v>
      </c>
      <c r="AG86" s="13" t="str">
        <f ca="1">IFERROR(__xludf.DUMMYFUNCTION("ArrayFormula(VLOOKUP(G86, IMPORTRANGE(""https://docs.google.com/spreadsheets/d/1Co934fvtviyaRiMsrIlT05Jaq7iiYq07aLvRr35KA48/edit?gid=173865642#gid=173865642"", ""'G9 Sci_Pri_LU'!G2:V2000""), {3, 4, 5, 6, 7, 8, 9, 10, 11, 12, 13, 14, 15, 16}, 0))"),"LU006319")</f>
        <v>LU006319</v>
      </c>
      <c r="AH86" s="22" t="str">
        <f ca="1">IFERROR(__xludf.DUMMYFUNCTION("""COMPUTED_VALUE"""),"Definition of Velocity and Average Velocity ")</f>
        <v xml:space="preserve">Definition of Velocity and Average Velocity </v>
      </c>
      <c r="AI86" s="13" t="str">
        <f ca="1">IFERROR(__xludf.DUMMYFUNCTION("""COMPUTED_VALUE"""),"LU005375")</f>
        <v>LU005375</v>
      </c>
      <c r="AJ86" s="13" t="str">
        <f ca="1">IFERROR(__xludf.DUMMYFUNCTION("""COMPUTED_VALUE"""),"Definition of Speed")</f>
        <v>Definition of Speed</v>
      </c>
      <c r="AK86" s="13" t="str">
        <f ca="1">IFERROR(__xludf.DUMMYFUNCTION("""COMPUTED_VALUE"""),"LU005376")</f>
        <v>LU005376</v>
      </c>
      <c r="AL86" s="13" t="str">
        <f ca="1">IFERROR(__xludf.DUMMYFUNCTION("""COMPUTED_VALUE"""),"Units of Speed")</f>
        <v>Units of Speed</v>
      </c>
      <c r="AM86" s="13"/>
      <c r="AN86" s="13"/>
      <c r="AO86" s="13"/>
      <c r="AP86" s="13"/>
      <c r="AQ86" s="13"/>
      <c r="AR86" s="13"/>
      <c r="AS86" s="13"/>
      <c r="AT86" s="13"/>
    </row>
    <row r="87" spans="1:46">
      <c r="A87" s="8" t="s">
        <v>247</v>
      </c>
      <c r="B87" s="8" t="s">
        <v>47</v>
      </c>
      <c r="C87" s="8" t="s">
        <v>979</v>
      </c>
      <c r="D87" s="9" t="s">
        <v>1510</v>
      </c>
      <c r="E87" s="8" t="s">
        <v>2355</v>
      </c>
      <c r="F87" s="10" t="s">
        <v>2363</v>
      </c>
      <c r="G87" s="114" t="s">
        <v>2364</v>
      </c>
      <c r="H87" s="8" t="str">
        <f ca="1">IFERROR(__xludf.DUMMYFUNCTION("VLOOKUP(G87, IMPORTRANGE(""https://docs.google.com/spreadsheets/d/14deopnvwcrKtEGCKuYXdUHJbeLDZlkiSSWWT0g7x2pM/edit#gid=849066331"", ""LU List Science (Filter)!A:B""), 2, FALSE)"),"Definition and Units of Acceleration (Uniform and Non-Uniform Acceleration)")</f>
        <v>Definition and Units of Acceleration (Uniform and Non-Uniform Acceleration)</v>
      </c>
      <c r="I87" s="10" t="str">
        <f t="shared" si="0"/>
        <v>LU006321.001</v>
      </c>
      <c r="J87" s="10" t="str">
        <f ca="1">IFERROR(__xludf.DUMMYFUNCTION("VLOOKUP(I87, IMPORTRANGE(""https://docs.google.com/spreadsheets/d/1yDAaXNsi4Mr5FtRQL4tbmSdIzhx6_m4wkOD7IG-k_eo/edit#gid=1336395716"", ""Science!M:N""), 2, FALSE)"),"Define acceleration and its units.")</f>
        <v>Define acceleration and its units.</v>
      </c>
      <c r="K87" s="10" t="str">
        <f t="shared" si="1"/>
        <v>LU006321.002</v>
      </c>
      <c r="L87" s="10" t="str">
        <f ca="1">IFERROR(__xludf.DUMMYFUNCTION("VLOOKUP(K87, IMPORTRANGE(""https://docs.google.com/spreadsheets/d/1yDAaXNsi4Mr5FtRQL4tbmSdIzhx6_m4wkOD7IG-k_eo/edit#gid=1336395716"", ""Science!M:N""), 2, FALSE)"),"Describe the concepts of uniform and non-uniform acceleration with examples.")</f>
        <v>Describe the concepts of uniform and non-uniform acceleration with examples.</v>
      </c>
      <c r="M87" s="10" t="str">
        <f t="shared" si="2"/>
        <v>LU006321.003</v>
      </c>
      <c r="N87" s="10" t="str">
        <f ca="1">IFERROR(__xludf.DUMMYFUNCTION("VLOOKUP(M87, IMPORTRANGE(""https://docs.google.com/spreadsheets/d/1yDAaXNsi4Mr5FtRQL4tbmSdIzhx6_m4wkOD7IG-k_eo/edit#gid=1336395716"", ""Science!M:N""), 2, FALSE)"),"Calculate acceleration for various motions using given data.")</f>
        <v>Calculate acceleration for various motions using given data.</v>
      </c>
      <c r="O87" s="10" t="str">
        <f t="shared" si="3"/>
        <v>LU006321.004</v>
      </c>
      <c r="P87" s="10" t="str">
        <f ca="1">IFERROR(__xludf.DUMMYFUNCTION("VLOOKUP(O87, IMPORTRANGE(""https://docs.google.com/spreadsheets/d/1yDAaXNsi4Mr5FtRQL4tbmSdIzhx6_m4wkOD7IG-k_eo/edit#gid=1336395716"", ""Science!M:N""), 2, FALSE)"),"Differentiate between uniform and non-uniform acceleration in given scenarios.")</f>
        <v>Differentiate between uniform and non-uniform acceleration in given scenarios.</v>
      </c>
      <c r="Q87" s="10" t="str">
        <f t="shared" si="4"/>
        <v>LU006321.005</v>
      </c>
      <c r="R87" s="10" t="str">
        <f ca="1">IFERROR(__xludf.DUMMYFUNCTION("VLOOKUP(Q87, IMPORTRANGE(""https://docs.google.com/spreadsheets/d/1yDAaXNsi4Mr5FtRQL4tbmSdIzhx6_m4wkOD7IG-k_eo/edit#gid=1336395716"", ""Science!M:N""), 2, FALSE)"),"Assess the effects of acceleration on vehicle performance.")</f>
        <v>Assess the effects of acceleration on vehicle performance.</v>
      </c>
      <c r="S87" s="10" t="str">
        <f t="shared" si="5"/>
        <v>LU006321.006</v>
      </c>
      <c r="T87" s="10" t="str">
        <f ca="1">IFERROR(__xludf.DUMMYFUNCTION("VLOOKUP(S87, IMPORTRANGE(""https://docs.google.com/spreadsheets/d/1yDAaXNsi4Mr5FtRQL4tbmSdIzhx6_m4wkOD7IG-k_eo/edit#gid=1336395716"", ""Science!M:N""), 2, FALSE)"),"Develop a graphical representation of uniform and non-uniform acceleration for a chosen motion.")</f>
        <v>Develop a graphical representation of uniform and non-uniform acceleration for a chosen motion.</v>
      </c>
      <c r="U87" s="11" t="str">
        <f ca="1">IFERROR(__xludf.DUMMYFUNCTION("ArrayFormula(VLOOKUP(G87, IMPORTRANGE(""https://docs.google.com/spreadsheets/d/1p7R4vtkWt5VOBim4ltsDG9KTzSjrtKXsMtQGXPHyND0/edit#gid=795171502"", ""'Filter 30_05_2024'!A1:M2000""), {2, 3, 4, 5,6,7,8,9,10,11,12,13}, 0))"),"#N/A")</f>
        <v>#N/A</v>
      </c>
      <c r="V87" s="11" t="str">
        <f ca="1">IFERROR(__xludf.DUMMYFUNCTION("""COMPUTED_VALUE"""),"#N/A")</f>
        <v>#N/A</v>
      </c>
      <c r="W87" s="11" t="str">
        <f ca="1">IFERROR(__xludf.DUMMYFUNCTION("""COMPUTED_VALUE"""),"#N/A")</f>
        <v>#N/A</v>
      </c>
      <c r="X87" s="11" t="str">
        <f ca="1">IFERROR(__xludf.DUMMYFUNCTION("""COMPUTED_VALUE"""),"#N/A")</f>
        <v>#N/A</v>
      </c>
      <c r="Y87" s="11" t="str">
        <f ca="1">IFERROR(__xludf.DUMMYFUNCTION("""COMPUTED_VALUE"""),"#N/A")</f>
        <v>#N/A</v>
      </c>
      <c r="Z87" s="12" t="str">
        <f ca="1">IFERROR(__xludf.DUMMYFUNCTION("""COMPUTED_VALUE"""),"#N/A")</f>
        <v>#N/A</v>
      </c>
      <c r="AA87" s="12" t="str">
        <f ca="1">IFERROR(__xludf.DUMMYFUNCTION("""COMPUTED_VALUE"""),"#N/A")</f>
        <v>#N/A</v>
      </c>
      <c r="AB87" s="12" t="str">
        <f ca="1">IFERROR(__xludf.DUMMYFUNCTION("""COMPUTED_VALUE"""),"#N/A")</f>
        <v>#N/A</v>
      </c>
      <c r="AC87" s="12" t="str">
        <f ca="1">IFERROR(__xludf.DUMMYFUNCTION("""COMPUTED_VALUE"""),"#N/A")</f>
        <v>#N/A</v>
      </c>
      <c r="AD87" s="12" t="str">
        <f ca="1">IFERROR(__xludf.DUMMYFUNCTION("""COMPUTED_VALUE"""),"#N/A")</f>
        <v>#N/A</v>
      </c>
      <c r="AE87" s="12" t="str">
        <f ca="1">IFERROR(__xludf.DUMMYFUNCTION("""COMPUTED_VALUE"""),"#N/A")</f>
        <v>#N/A</v>
      </c>
      <c r="AF87" s="12" t="str">
        <f ca="1">IFERROR(__xludf.DUMMYFUNCTION("""COMPUTED_VALUE"""),"#N/A")</f>
        <v>#N/A</v>
      </c>
      <c r="AG87" s="13" t="str">
        <f ca="1">IFERROR(__xludf.DUMMYFUNCTION("ArrayFormula(VLOOKUP(G87, IMPORTRANGE(""https://docs.google.com/spreadsheets/d/1Co934fvtviyaRiMsrIlT05Jaq7iiYq07aLvRr35KA48/edit?gid=173865642#gid=173865642"", ""'G9 Sci_Pri_LU'!G2:V2000""), {3, 4, 5, 6, 7, 8, 9, 10, 11, 12, 13, 14, 15, 16}, 0))"),"LU006319")</f>
        <v>LU006319</v>
      </c>
      <c r="AH87" s="22" t="str">
        <f ca="1">IFERROR(__xludf.DUMMYFUNCTION("""COMPUTED_VALUE"""),"Definition of Velocity and Average Velocity ")</f>
        <v xml:space="preserve">Definition of Velocity and Average Velocity </v>
      </c>
      <c r="AI87" s="13" t="str">
        <f ca="1">IFERROR(__xludf.DUMMYFUNCTION("""COMPUTED_VALUE"""),"LU006318")</f>
        <v>LU006318</v>
      </c>
      <c r="AJ87" s="13" t="str">
        <f ca="1">IFERROR(__xludf.DUMMYFUNCTION("""COMPUTED_VALUE"""),"Distinction between Distance and Displacement")</f>
        <v>Distinction between Distance and Displacement</v>
      </c>
      <c r="AK87" s="13"/>
      <c r="AL87" s="13"/>
      <c r="AM87" s="13"/>
      <c r="AN87" s="13"/>
      <c r="AO87" s="13"/>
      <c r="AP87" s="13"/>
      <c r="AQ87" s="13"/>
      <c r="AR87" s="13"/>
      <c r="AS87" s="13"/>
      <c r="AT87" s="13"/>
    </row>
    <row r="88" spans="1:46">
      <c r="A88" s="8" t="s">
        <v>247</v>
      </c>
      <c r="B88" s="8" t="s">
        <v>47</v>
      </c>
      <c r="C88" s="8" t="s">
        <v>979</v>
      </c>
      <c r="D88" s="9" t="s">
        <v>1510</v>
      </c>
      <c r="E88" s="8" t="s">
        <v>2355</v>
      </c>
      <c r="F88" s="10" t="s">
        <v>2365</v>
      </c>
      <c r="G88" s="10" t="s">
        <v>2366</v>
      </c>
      <c r="H88" s="8" t="str">
        <f ca="1">IFERROR(__xludf.DUMMYFUNCTION("VLOOKUP(G88, IMPORTRANGE(""https://docs.google.com/spreadsheets/d/14deopnvwcrKtEGCKuYXdUHJbeLDZlkiSSWWT0g7x2pM/edit#gid=849066331"", ""LU List Science (Filter)!A:B""), 2, FALSE)"),"Interpretation of the Type of Motion from the relationship shown in Distance Time graph")</f>
        <v>Interpretation of the Type of Motion from the relationship shown in Distance Time graph</v>
      </c>
      <c r="I88" s="10" t="str">
        <f t="shared" si="0"/>
        <v>LU006087.001</v>
      </c>
      <c r="J88" s="10" t="str">
        <f ca="1">IFERROR(__xludf.DUMMYFUNCTION("VLOOKUP(I88, IMPORTRANGE(""https://docs.google.com/spreadsheets/d/1yDAaXNsi4Mr5FtRQL4tbmSdIzhx6_m4wkOD7IG-k_eo/edit#gid=1336395716"", ""Science!M:N""), 2, FALSE)"),"Identify the axes on a distance-time graph and what they represent.")</f>
        <v>Identify the axes on a distance-time graph and what they represent.</v>
      </c>
      <c r="K88" s="10" t="str">
        <f t="shared" si="1"/>
        <v>LU006087.002</v>
      </c>
      <c r="L88" s="10" t="str">
        <f ca="1">IFERROR(__xludf.DUMMYFUNCTION("VLOOKUP(K88, IMPORTRANGE(""https://docs.google.com/spreadsheets/d/1yDAaXNsi4Mr5FtRQL4tbmSdIzhx6_m4wkOD7IG-k_eo/edit#gid=1336395716"", ""Science!M:N""), 2, FALSE)"),"Explain how a slope on a distance-time graph relates to the speed of the object.")</f>
        <v>Explain how a slope on a distance-time graph relates to the speed of the object.</v>
      </c>
      <c r="M88" s="10" t="str">
        <f t="shared" si="2"/>
        <v>LU006087.003</v>
      </c>
      <c r="N88" s="10" t="str">
        <f ca="1">IFERROR(__xludf.DUMMYFUNCTION("VLOOKUP(M88, IMPORTRANGE(""https://docs.google.com/spreadsheets/d/1yDAaXNsi4Mr5FtRQL4tbmSdIzhx6_m4wkOD7IG-k_eo/edit#gid=1336395716"", ""Science!M:N""), 2, FALSE)"),"Interpret different types of motion, such as constant speed, acceleration, and rest, from various slopes on distance-time graphs.")</f>
        <v>Interpret different types of motion, such as constant speed, acceleration, and rest, from various slopes on distance-time graphs.</v>
      </c>
      <c r="O88" s="10" t="str">
        <f t="shared" si="3"/>
        <v>LU006087.004</v>
      </c>
      <c r="P88" s="10" t="str">
        <f ca="1">IFERROR(__xludf.DUMMYFUNCTION("VLOOKUP(O88, IMPORTRANGE(""https://docs.google.com/spreadsheets/d/1yDAaXNsi4Mr5FtRQL4tbmSdIzhx6_m4wkOD7IG-k_eo/edit#gid=1336395716"", ""Science!M:N""), 2, FALSE)"),"Compare distance-time graphs of different motions to understand their characteristics.")</f>
        <v>Compare distance-time graphs of different motions to understand their characteristics.</v>
      </c>
      <c r="Q88" s="10" t="str">
        <f t="shared" si="4"/>
        <v>LU006087.005</v>
      </c>
      <c r="R88" s="10" t="str">
        <f ca="1">IFERROR(__xludf.DUMMYFUNCTION("VLOOKUP(Q88, IMPORTRANGE(""https://docs.google.com/spreadsheets/d/1yDAaXNsi4Mr5FtRQL4tbmSdIzhx6_m4wkOD7IG-k_eo/edit#gid=1336395716"", ""Science!M:N""), 2, FALSE)"),"#N/A")</f>
        <v>#N/A</v>
      </c>
      <c r="S88" s="10" t="str">
        <f t="shared" si="5"/>
        <v>LU006087.006</v>
      </c>
      <c r="T88" s="10" t="str">
        <f ca="1">IFERROR(__xludf.DUMMYFUNCTION("VLOOKUP(S88, IMPORTRANGE(""https://docs.google.com/spreadsheets/d/1yDAaXNsi4Mr5FtRQL4tbmSdIzhx6_m4wkOD7IG-k_eo/edit#gid=1336395716"", ""Science!M:N""), 2, FALSE)"),"#N/A")</f>
        <v>#N/A</v>
      </c>
      <c r="U88" s="11">
        <f ca="1">IFERROR(__xludf.DUMMYFUNCTION("ArrayFormula(VLOOKUP(G88, IMPORTRANGE(""https://docs.google.com/spreadsheets/d/1p7R4vtkWt5VOBim4ltsDG9KTzSjrtKXsMtQGXPHyND0/edit#gid=795171502"", ""'Filter 30_05_2024'!A1:M2000""), {2, 3, 4, 5,6,7,8,9,10,11,12,13}, 0))"),4)</f>
        <v>4</v>
      </c>
      <c r="V88" s="11">
        <f ca="1">IFERROR(__xludf.DUMMYFUNCTION("""COMPUTED_VALUE"""),6)</f>
        <v>6</v>
      </c>
      <c r="W88" s="11">
        <f ca="1">IFERROR(__xludf.DUMMYFUNCTION("""COMPUTED_VALUE"""),2)</f>
        <v>2</v>
      </c>
      <c r="X88" s="11">
        <f ca="1">IFERROR(__xludf.DUMMYFUNCTION("""COMPUTED_VALUE"""),12)</f>
        <v>12</v>
      </c>
      <c r="Y88" s="11">
        <f ca="1">IFERROR(__xludf.DUMMYFUNCTION("""COMPUTED_VALUE"""),4)</f>
        <v>4</v>
      </c>
      <c r="Z88" s="12">
        <f ca="1">IFERROR(__xludf.DUMMYFUNCTION("""COMPUTED_VALUE"""),3)</f>
        <v>3</v>
      </c>
      <c r="AA88" s="12">
        <f ca="1">IFERROR(__xludf.DUMMYFUNCTION("""COMPUTED_VALUE"""),1)</f>
        <v>1</v>
      </c>
      <c r="AB88" s="12">
        <f ca="1">IFERROR(__xludf.DUMMYFUNCTION("""COMPUTED_VALUE"""),8)</f>
        <v>8</v>
      </c>
      <c r="AC88" s="12"/>
      <c r="AD88" s="12"/>
      <c r="AE88" s="12"/>
      <c r="AF88" s="12"/>
      <c r="AG88" s="13" t="str">
        <f ca="1">IFERROR(__xludf.DUMMYFUNCTION("ArrayFormula(VLOOKUP(G88, IMPORTRANGE(""https://docs.google.com/spreadsheets/d/1Co934fvtviyaRiMsrIlT05Jaq7iiYq07aLvRr35KA48/edit?gid=173865642#gid=173865642"", ""'G9 Sci_Pri_LU'!G2:V2000""), {3, 4, 5, 6, 7, 8, 9, 10, 11, 12, 13, 14, 15, 16}, 0))"),"LU000780")</f>
        <v>LU000780</v>
      </c>
      <c r="AH88" s="22" t="str">
        <f ca="1">IFERROR(__xludf.DUMMYFUNCTION("""COMPUTED_VALUE"""),"Interpretation of linear graph")</f>
        <v>Interpretation of linear graph</v>
      </c>
      <c r="AI88" s="13"/>
      <c r="AJ88" s="13"/>
      <c r="AK88" s="13"/>
      <c r="AL88" s="13"/>
      <c r="AM88" s="13"/>
      <c r="AN88" s="13"/>
      <c r="AO88" s="13"/>
      <c r="AP88" s="13"/>
      <c r="AQ88" s="13"/>
      <c r="AR88" s="13"/>
      <c r="AS88" s="13"/>
      <c r="AT88" s="13"/>
    </row>
    <row r="89" spans="1:46">
      <c r="A89" s="8" t="s">
        <v>247</v>
      </c>
      <c r="B89" s="8" t="s">
        <v>47</v>
      </c>
      <c r="C89" s="8" t="s">
        <v>979</v>
      </c>
      <c r="D89" s="9" t="s">
        <v>1510</v>
      </c>
      <c r="E89" s="8" t="s">
        <v>2355</v>
      </c>
      <c r="F89" s="10" t="s">
        <v>2365</v>
      </c>
      <c r="G89" s="114" t="s">
        <v>2367</v>
      </c>
      <c r="H89" s="8" t="str">
        <f ca="1">IFERROR(__xludf.DUMMYFUNCTION("VLOOKUP(G89, IMPORTRANGE(""https://docs.google.com/spreadsheets/d/14deopnvwcrKtEGCKuYXdUHJbeLDZlkiSSWWT0g7x2pM/edit#gid=849066331"", ""LU List Science (Filter)!A:B""), 2, FALSE)"),"Velocity-time graphs and their interpretation")</f>
        <v>Velocity-time graphs and their interpretation</v>
      </c>
      <c r="I89" s="10" t="str">
        <f t="shared" si="0"/>
        <v>LU006322.001</v>
      </c>
      <c r="J89" s="10" t="str">
        <f ca="1">IFERROR(__xludf.DUMMYFUNCTION("VLOOKUP(I89, IMPORTRANGE(""https://docs.google.com/spreadsheets/d/1yDAaXNsi4Mr5FtRQL4tbmSdIzhx6_m4wkOD7IG-k_eo/edit#gid=1336395716"", ""Science!M:N""), 2, FALSE)"),"Identify the components of a velocity-time graph.")</f>
        <v>Identify the components of a velocity-time graph.</v>
      </c>
      <c r="K89" s="10" t="str">
        <f t="shared" si="1"/>
        <v>LU006322.002</v>
      </c>
      <c r="L89" s="10" t="str">
        <f ca="1">IFERROR(__xludf.DUMMYFUNCTION("VLOOKUP(K89, IMPORTRANGE(""https://docs.google.com/spreadsheets/d/1yDAaXNsi4Mr5FtRQL4tbmSdIzhx6_m4wkOD7IG-k_eo/edit#gid=1336395716"", ""Science!M:N""), 2, FALSE)"),"Explain how to interpret a velocity-time graph.")</f>
        <v>Explain how to interpret a velocity-time graph.</v>
      </c>
      <c r="M89" s="10" t="str">
        <f t="shared" si="2"/>
        <v>LU006322.003</v>
      </c>
      <c r="N89" s="10" t="str">
        <f ca="1">IFERROR(__xludf.DUMMYFUNCTION("VLOOKUP(M89, IMPORTRANGE(""https://docs.google.com/spreadsheets/d/1yDAaXNsi4Mr5FtRQL4tbmSdIzhx6_m4wkOD7IG-k_eo/edit#gid=1336395716"", ""Science!M:N""), 2, FALSE)"),"Calculate the displacement of an object using a velocity-time graph.")</f>
        <v>Calculate the displacement of an object using a velocity-time graph.</v>
      </c>
      <c r="O89" s="10" t="str">
        <f t="shared" si="3"/>
        <v>LU006322.004</v>
      </c>
      <c r="P89" s="10" t="str">
        <f ca="1">IFERROR(__xludf.DUMMYFUNCTION("VLOOKUP(O89, IMPORTRANGE(""https://docs.google.com/spreadsheets/d/1yDAaXNsi4Mr5FtRQL4tbmSdIzhx6_m4wkOD7IG-k_eo/edit#gid=1336395716"", ""Science!M:N""), 2, FALSE)"),"Compare velocity-time graphs of uniform and non-uniform acceleration.")</f>
        <v>Compare velocity-time graphs of uniform and non-uniform acceleration.</v>
      </c>
      <c r="Q89" s="10" t="str">
        <f t="shared" si="4"/>
        <v>LU006322.005</v>
      </c>
      <c r="R89" s="10" t="str">
        <f ca="1">IFERROR(__xludf.DUMMYFUNCTION("VLOOKUP(Q89, IMPORTRANGE(""https://docs.google.com/spreadsheets/d/1yDAaXNsi4Mr5FtRQL4tbmSdIzhx6_m4wkOD7IG-k_eo/edit#gid=1336395716"", ""Science!M:N""), 2, FALSE)"),"Assess the usefulness of velocity-time graphs in understanding motion.")</f>
        <v>Assess the usefulness of velocity-time graphs in understanding motion.</v>
      </c>
      <c r="S89" s="10" t="str">
        <f t="shared" si="5"/>
        <v>LU006322.006</v>
      </c>
      <c r="T89" s="10" t="str">
        <f ca="1">IFERROR(__xludf.DUMMYFUNCTION("VLOOKUP(S89, IMPORTRANGE(""https://docs.google.com/spreadsheets/d/1yDAaXNsi4Mr5FtRQL4tbmSdIzhx6_m4wkOD7IG-k_eo/edit#gid=1336395716"", ""Science!M:N""), 2, FALSE)"),"Construct a velocity-time graph from provided velocity data.")</f>
        <v>Construct a velocity-time graph from provided velocity data.</v>
      </c>
      <c r="U89" s="11" t="str">
        <f ca="1">IFERROR(__xludf.DUMMYFUNCTION("ArrayFormula(VLOOKUP(G89, IMPORTRANGE(""https://docs.google.com/spreadsheets/d/1p7R4vtkWt5VOBim4ltsDG9KTzSjrtKXsMtQGXPHyND0/edit#gid=795171502"", ""'Filter 30_05_2024'!A1:M2000""), {2, 3, 4, 5,6,7,8,9,10,11,12,13}, 0))"),"#N/A")</f>
        <v>#N/A</v>
      </c>
      <c r="V89" s="11" t="str">
        <f ca="1">IFERROR(__xludf.DUMMYFUNCTION("""COMPUTED_VALUE"""),"#N/A")</f>
        <v>#N/A</v>
      </c>
      <c r="W89" s="11" t="str">
        <f ca="1">IFERROR(__xludf.DUMMYFUNCTION("""COMPUTED_VALUE"""),"#N/A")</f>
        <v>#N/A</v>
      </c>
      <c r="X89" s="11" t="str">
        <f ca="1">IFERROR(__xludf.DUMMYFUNCTION("""COMPUTED_VALUE"""),"#N/A")</f>
        <v>#N/A</v>
      </c>
      <c r="Y89" s="11" t="str">
        <f ca="1">IFERROR(__xludf.DUMMYFUNCTION("""COMPUTED_VALUE"""),"#N/A")</f>
        <v>#N/A</v>
      </c>
      <c r="Z89" s="12" t="str">
        <f ca="1">IFERROR(__xludf.DUMMYFUNCTION("""COMPUTED_VALUE"""),"#N/A")</f>
        <v>#N/A</v>
      </c>
      <c r="AA89" s="12" t="str">
        <f ca="1">IFERROR(__xludf.DUMMYFUNCTION("""COMPUTED_VALUE"""),"#N/A")</f>
        <v>#N/A</v>
      </c>
      <c r="AB89" s="12" t="str">
        <f ca="1">IFERROR(__xludf.DUMMYFUNCTION("""COMPUTED_VALUE"""),"#N/A")</f>
        <v>#N/A</v>
      </c>
      <c r="AC89" s="12" t="str">
        <f ca="1">IFERROR(__xludf.DUMMYFUNCTION("""COMPUTED_VALUE"""),"#N/A")</f>
        <v>#N/A</v>
      </c>
      <c r="AD89" s="12" t="str">
        <f ca="1">IFERROR(__xludf.DUMMYFUNCTION("""COMPUTED_VALUE"""),"#N/A")</f>
        <v>#N/A</v>
      </c>
      <c r="AE89" s="12" t="str">
        <f ca="1">IFERROR(__xludf.DUMMYFUNCTION("""COMPUTED_VALUE"""),"#N/A")</f>
        <v>#N/A</v>
      </c>
      <c r="AF89" s="12" t="str">
        <f ca="1">IFERROR(__xludf.DUMMYFUNCTION("""COMPUTED_VALUE"""),"#N/A")</f>
        <v>#N/A</v>
      </c>
      <c r="AG89" s="13" t="str">
        <f ca="1">IFERROR(__xludf.DUMMYFUNCTION("ArrayFormula(VLOOKUP(G89, IMPORTRANGE(""https://docs.google.com/spreadsheets/d/1Co934fvtviyaRiMsrIlT05Jaq7iiYq07aLvRr35KA48/edit?gid=173865642#gid=173865642"", ""'G9 Sci_Pri_LU'!G2:V2000""), {3, 4, 5, 6, 7, 8, 9, 10, 11, 12, 13, 14, 15, 16}, 0))"),"LU006319")</f>
        <v>LU006319</v>
      </c>
      <c r="AH89" s="22" t="str">
        <f ca="1">IFERROR(__xludf.DUMMYFUNCTION("""COMPUTED_VALUE"""),"Definition of Velocity and Average Velocity ")</f>
        <v xml:space="preserve">Definition of Velocity and Average Velocity </v>
      </c>
      <c r="AI89" s="13" t="str">
        <f ca="1">IFERROR(__xludf.DUMMYFUNCTION("""COMPUTED_VALUE"""),"LU006087")</f>
        <v>LU006087</v>
      </c>
      <c r="AJ89" s="13" t="str">
        <f ca="1">IFERROR(__xludf.DUMMYFUNCTION("""COMPUTED_VALUE"""),"Interpretation of the Type of Motion from the relationship shown in Distance Time graph")</f>
        <v>Interpretation of the Type of Motion from the relationship shown in Distance Time graph</v>
      </c>
      <c r="AK89" s="13" t="str">
        <f ca="1">IFERROR(__xludf.DUMMYFUNCTION("""COMPUTED_VALUE"""),"LU000780")</f>
        <v>LU000780</v>
      </c>
      <c r="AL89" s="13" t="str">
        <f ca="1">IFERROR(__xludf.DUMMYFUNCTION("""COMPUTED_VALUE"""),"Interpretation of linear graph")</f>
        <v>Interpretation of linear graph</v>
      </c>
      <c r="AM89" s="13"/>
      <c r="AN89" s="13"/>
      <c r="AO89" s="13"/>
      <c r="AP89" s="13"/>
      <c r="AQ89" s="13"/>
      <c r="AR89" s="13"/>
      <c r="AS89" s="13"/>
      <c r="AT89" s="13"/>
    </row>
    <row r="90" spans="1:46">
      <c r="A90" s="8" t="s">
        <v>247</v>
      </c>
      <c r="B90" s="8" t="s">
        <v>47</v>
      </c>
      <c r="C90" s="8" t="s">
        <v>979</v>
      </c>
      <c r="D90" s="9" t="s">
        <v>1510</v>
      </c>
      <c r="E90" s="8" t="s">
        <v>2355</v>
      </c>
      <c r="F90" s="123" t="s">
        <v>2368</v>
      </c>
      <c r="G90" s="118" t="s">
        <v>2369</v>
      </c>
      <c r="H90" s="118" t="str">
        <f ca="1">IFERROR(__xludf.DUMMYFUNCTION("VLOOKUP(G90, IMPORTRANGE(""https://docs.google.com/spreadsheets/d/14deopnvwcrKtEGCKuYXdUHJbeLDZlkiSSWWT0g7x2pM/edit#gid=849066331"", ""LU List Science (Filter)!A:B""), 2, FALSE)"),"First Equation of Motion ")</f>
        <v xml:space="preserve">First Equation of Motion </v>
      </c>
      <c r="I90" s="10" t="str">
        <f t="shared" si="0"/>
        <v>LU006408.001</v>
      </c>
      <c r="J90" s="10" t="str">
        <f ca="1">IFERROR(__xludf.DUMMYFUNCTION("VLOOKUP(I90, IMPORTRANGE(""https://docs.google.com/spreadsheets/d/1yDAaXNsi4Mr5FtRQL4tbmSdIzhx6_m4wkOD7IG-k_eo/edit#gid=1336395716"", ""Science!M:N""), 2, FALSE)"),"State the first equation of motion.")</f>
        <v>State the first equation of motion.</v>
      </c>
      <c r="K90" s="10" t="str">
        <f t="shared" si="1"/>
        <v>LU006408.002</v>
      </c>
      <c r="L90" s="10" t="str">
        <f ca="1">IFERROR(__xludf.DUMMYFUNCTION("VLOOKUP(K90, IMPORTRANGE(""https://docs.google.com/spreadsheets/d/1yDAaXNsi4Mr5FtRQL4tbmSdIzhx6_m4wkOD7IG-k_eo/edit#gid=1336395716"", ""Science!M:N""), 2, FALSE)"),"Explain the significance and use of the first equation of motion.")</f>
        <v>Explain the significance and use of the first equation of motion.</v>
      </c>
      <c r="M90" s="10" t="str">
        <f t="shared" si="2"/>
        <v>LU006408.003</v>
      </c>
      <c r="N90" s="10" t="str">
        <f ca="1">IFERROR(__xludf.DUMMYFUNCTION("VLOOKUP(M90, IMPORTRANGE(""https://docs.google.com/spreadsheets/d/1yDAaXNsi4Mr5FtRQL4tbmSdIzhx6_m4wkOD7IG-k_eo/edit#gid=1336395716"", ""Science!M:N""), 2, FALSE)"),"Solve problems using the first equation of motion.")</f>
        <v>Solve problems using the first equation of motion.</v>
      </c>
      <c r="O90" s="10" t="str">
        <f t="shared" si="3"/>
        <v>LU006408.004</v>
      </c>
      <c r="P90" s="10" t="str">
        <f ca="1">IFERROR(__xludf.DUMMYFUNCTION("VLOOKUP(O90, IMPORTRANGE(""https://docs.google.com/spreadsheets/d/1yDAaXNsi4Mr5FtRQL4tbmSdIzhx6_m4wkOD7IG-k_eo/edit#gid=1336395716"", ""Science!M:N""), 2, FALSE)"),"Analyze motion scenarios using the first equation of motion.")</f>
        <v>Analyze motion scenarios using the first equation of motion.</v>
      </c>
      <c r="Q90" s="10" t="str">
        <f t="shared" si="4"/>
        <v>LU006408.005</v>
      </c>
      <c r="R90" s="10" t="str">
        <f ca="1">IFERROR(__xludf.DUMMYFUNCTION("VLOOKUP(Q90, IMPORTRANGE(""https://docs.google.com/spreadsheets/d/1yDAaXNsi4Mr5FtRQL4tbmSdIzhx6_m4wkOD7IG-k_eo/edit#gid=1336395716"", ""Science!M:N""), 2, FALSE)"),"Evaluate the significance of the first equation of motion in different contexts.")</f>
        <v>Evaluate the significance of the first equation of motion in different contexts.</v>
      </c>
      <c r="S90" s="10" t="str">
        <f t="shared" si="5"/>
        <v>LU006408.006</v>
      </c>
      <c r="T90" s="10" t="str">
        <f ca="1">IFERROR(__xludf.DUMMYFUNCTION("VLOOKUP(S90, IMPORTRANGE(""https://docs.google.com/spreadsheets/d/1yDAaXNsi4Mr5FtRQL4tbmSdIzhx6_m4wkOD7IG-k_eo/edit#gid=1336395716"", ""Science!M:N""), 2, FALSE)"),"Derive the first equation of motion using a graphical method.")</f>
        <v>Derive the first equation of motion using a graphical method.</v>
      </c>
      <c r="U90" s="11" t="str">
        <f ca="1">IFERROR(__xludf.DUMMYFUNCTION("ArrayFormula(VLOOKUP(G90, IMPORTRANGE(""https://docs.google.com/spreadsheets/d/1p7R4vtkWt5VOBim4ltsDG9KTzSjrtKXsMtQGXPHyND0/edit#gid=795171502"", ""'Filter 30_05_2024'!A1:M2000""), {2, 3, 4, 5,6,7,8,9,10,11,12,13}, 0))"),"#N/A")</f>
        <v>#N/A</v>
      </c>
      <c r="V90" s="11" t="str">
        <f ca="1">IFERROR(__xludf.DUMMYFUNCTION("""COMPUTED_VALUE"""),"#N/A")</f>
        <v>#N/A</v>
      </c>
      <c r="W90" s="11" t="str">
        <f ca="1">IFERROR(__xludf.DUMMYFUNCTION("""COMPUTED_VALUE"""),"#N/A")</f>
        <v>#N/A</v>
      </c>
      <c r="X90" s="11" t="str">
        <f ca="1">IFERROR(__xludf.DUMMYFUNCTION("""COMPUTED_VALUE"""),"#N/A")</f>
        <v>#N/A</v>
      </c>
      <c r="Y90" s="11" t="str">
        <f ca="1">IFERROR(__xludf.DUMMYFUNCTION("""COMPUTED_VALUE"""),"#N/A")</f>
        <v>#N/A</v>
      </c>
      <c r="Z90" s="12" t="str">
        <f ca="1">IFERROR(__xludf.DUMMYFUNCTION("""COMPUTED_VALUE"""),"#N/A")</f>
        <v>#N/A</v>
      </c>
      <c r="AA90" s="12" t="str">
        <f ca="1">IFERROR(__xludf.DUMMYFUNCTION("""COMPUTED_VALUE"""),"#N/A")</f>
        <v>#N/A</v>
      </c>
      <c r="AB90" s="12" t="str">
        <f ca="1">IFERROR(__xludf.DUMMYFUNCTION("""COMPUTED_VALUE"""),"#N/A")</f>
        <v>#N/A</v>
      </c>
      <c r="AC90" s="12" t="str">
        <f ca="1">IFERROR(__xludf.DUMMYFUNCTION("""COMPUTED_VALUE"""),"#N/A")</f>
        <v>#N/A</v>
      </c>
      <c r="AD90" s="12" t="str">
        <f ca="1">IFERROR(__xludf.DUMMYFUNCTION("""COMPUTED_VALUE"""),"#N/A")</f>
        <v>#N/A</v>
      </c>
      <c r="AE90" s="12" t="str">
        <f ca="1">IFERROR(__xludf.DUMMYFUNCTION("""COMPUTED_VALUE"""),"#N/A")</f>
        <v>#N/A</v>
      </c>
      <c r="AF90" s="12" t="str">
        <f ca="1">IFERROR(__xludf.DUMMYFUNCTION("""COMPUTED_VALUE"""),"#N/A")</f>
        <v>#N/A</v>
      </c>
      <c r="AG90" s="13" t="str">
        <f ca="1">IFERROR(__xludf.DUMMYFUNCTION("ArrayFormula(VLOOKUP(G90, IMPORTRANGE(""https://docs.google.com/spreadsheets/d/1Co934fvtviyaRiMsrIlT05Jaq7iiYq07aLvRr35KA48/edit?gid=173865642#gid=173865642"", ""'G9 Sci_Pri_LU'!G2:V2000""), {3, 4, 5, 6, 7, 8, 9, 10, 11, 12, 13, 14, 15, 16}, 0))"),"LU006319")</f>
        <v>LU006319</v>
      </c>
      <c r="AH90" s="22" t="str">
        <f ca="1">IFERROR(__xludf.DUMMYFUNCTION("""COMPUTED_VALUE"""),"Definition of Velocity and Average Velocity ")</f>
        <v xml:space="preserve">Definition of Velocity and Average Velocity </v>
      </c>
      <c r="AI90" s="13" t="str">
        <f ca="1">IFERROR(__xludf.DUMMYFUNCTION("""COMPUTED_VALUE"""),"LU006321")</f>
        <v>LU006321</v>
      </c>
      <c r="AJ90" s="13" t="str">
        <f ca="1">IFERROR(__xludf.DUMMYFUNCTION("""COMPUTED_VALUE"""),"Definition and Units of Acceleration (Uniform and Non-Uniform Acceleration)")</f>
        <v>Definition and Units of Acceleration (Uniform and Non-Uniform Acceleration)</v>
      </c>
      <c r="AK90" s="13"/>
      <c r="AL90" s="13"/>
      <c r="AM90" s="13"/>
      <c r="AN90" s="13"/>
      <c r="AO90" s="13"/>
      <c r="AP90" s="13"/>
      <c r="AQ90" s="13"/>
      <c r="AR90" s="13"/>
      <c r="AS90" s="13"/>
      <c r="AT90" s="13"/>
    </row>
    <row r="91" spans="1:46">
      <c r="A91" s="8" t="s">
        <v>247</v>
      </c>
      <c r="B91" s="8" t="s">
        <v>47</v>
      </c>
      <c r="C91" s="8" t="s">
        <v>979</v>
      </c>
      <c r="D91" s="9" t="s">
        <v>1510</v>
      </c>
      <c r="E91" s="8" t="s">
        <v>2355</v>
      </c>
      <c r="F91" s="123" t="s">
        <v>2368</v>
      </c>
      <c r="G91" s="126" t="s">
        <v>2370</v>
      </c>
      <c r="H91" s="118" t="str">
        <f ca="1">IFERROR(__xludf.DUMMYFUNCTION("VLOOKUP(G91, IMPORTRANGE(""https://docs.google.com/spreadsheets/d/14deopnvwcrKtEGCKuYXdUHJbeLDZlkiSSWWT0g7x2pM/edit#gid=849066331"", ""LU List Science (Filter)!A:B""), 2, FALSE)"),"Second Equation of Motion")</f>
        <v>Second Equation of Motion</v>
      </c>
      <c r="I91" s="10" t="str">
        <f t="shared" si="0"/>
        <v>LU006323.001</v>
      </c>
      <c r="J91" s="10" t="str">
        <f ca="1">IFERROR(__xludf.DUMMYFUNCTION("VLOOKUP(I91, IMPORTRANGE(""https://docs.google.com/spreadsheets/d/1yDAaXNsi4Mr5FtRQL4tbmSdIzhx6_m4wkOD7IG-k_eo/edit#gid=1336395716"", ""Science!M:N""), 2, FALSE)"),"State the second equation of motion.")</f>
        <v>State the second equation of motion.</v>
      </c>
      <c r="K91" s="10" t="str">
        <f t="shared" si="1"/>
        <v>LU006323.002</v>
      </c>
      <c r="L91" s="10" t="str">
        <f ca="1">IFERROR(__xludf.DUMMYFUNCTION("VLOOKUP(K91, IMPORTRANGE(""https://docs.google.com/spreadsheets/d/1yDAaXNsi4Mr5FtRQL4tbmSdIzhx6_m4wkOD7IG-k_eo/edit#gid=1336395716"", ""Science!M:N""), 2, FALSE)"),"Explain the significance and use of the second equation of motion.")</f>
        <v>Explain the significance and use of the second equation of motion.</v>
      </c>
      <c r="M91" s="10" t="str">
        <f t="shared" si="2"/>
        <v>LU006323.003</v>
      </c>
      <c r="N91" s="10" t="str">
        <f ca="1">IFERROR(__xludf.DUMMYFUNCTION("VLOOKUP(M91, IMPORTRANGE(""https://docs.google.com/spreadsheets/d/1yDAaXNsi4Mr5FtRQL4tbmSdIzhx6_m4wkOD7IG-k_eo/edit#gid=1336395716"", ""Science!M:N""), 2, FALSE)"),"Solve problems using the second equation of motion.")</f>
        <v>Solve problems using the second equation of motion.</v>
      </c>
      <c r="O91" s="10" t="str">
        <f t="shared" si="3"/>
        <v>LU006323.004</v>
      </c>
      <c r="P91" s="10" t="str">
        <f ca="1">IFERROR(__xludf.DUMMYFUNCTION("VLOOKUP(O91, IMPORTRANGE(""https://docs.google.com/spreadsheets/d/1yDAaXNsi4Mr5FtRQL4tbmSdIzhx6_m4wkOD7IG-k_eo/edit#gid=1336395716"", ""Science!M:N""), 2, FALSE)"),"Analyze motion scenarios using the second equation of motion.")</f>
        <v>Analyze motion scenarios using the second equation of motion.</v>
      </c>
      <c r="Q91" s="10" t="str">
        <f t="shared" si="4"/>
        <v>LU006323.005</v>
      </c>
      <c r="R91" s="10" t="str">
        <f ca="1">IFERROR(__xludf.DUMMYFUNCTION("VLOOKUP(Q91, IMPORTRANGE(""https://docs.google.com/spreadsheets/d/1yDAaXNsi4Mr5FtRQL4tbmSdIzhx6_m4wkOD7IG-k_eo/edit#gid=1336395716"", ""Science!M:N""), 2, FALSE)"),"Evaluate the significance of the second equation of motion in different contexts.")</f>
        <v>Evaluate the significance of the second equation of motion in different contexts.</v>
      </c>
      <c r="S91" s="10" t="str">
        <f t="shared" si="5"/>
        <v>LU006323.006</v>
      </c>
      <c r="T91" s="10" t="str">
        <f ca="1">IFERROR(__xludf.DUMMYFUNCTION("VLOOKUP(S91, IMPORTRANGE(""https://docs.google.com/spreadsheets/d/1yDAaXNsi4Mr5FtRQL4tbmSdIzhx6_m4wkOD7IG-k_eo/edit#gid=1336395716"", ""Science!M:N""), 2, FALSE)"),"Derive the second equation of motion using a graphical method.")</f>
        <v>Derive the second equation of motion using a graphical method.</v>
      </c>
      <c r="U91" s="11" t="str">
        <f ca="1">IFERROR(__xludf.DUMMYFUNCTION("ArrayFormula(VLOOKUP(G91, IMPORTRANGE(""https://docs.google.com/spreadsheets/d/1p7R4vtkWt5VOBim4ltsDG9KTzSjrtKXsMtQGXPHyND0/edit#gid=795171502"", ""'Filter 30_05_2024'!A1:M2000""), {2, 3, 4, 5,6,7,8,9,10,11,12,13}, 0))"),"#N/A")</f>
        <v>#N/A</v>
      </c>
      <c r="V91" s="11" t="str">
        <f ca="1">IFERROR(__xludf.DUMMYFUNCTION("""COMPUTED_VALUE"""),"#N/A")</f>
        <v>#N/A</v>
      </c>
      <c r="W91" s="11" t="str">
        <f ca="1">IFERROR(__xludf.DUMMYFUNCTION("""COMPUTED_VALUE"""),"#N/A")</f>
        <v>#N/A</v>
      </c>
      <c r="X91" s="11" t="str">
        <f ca="1">IFERROR(__xludf.DUMMYFUNCTION("""COMPUTED_VALUE"""),"#N/A")</f>
        <v>#N/A</v>
      </c>
      <c r="Y91" s="11" t="str">
        <f ca="1">IFERROR(__xludf.DUMMYFUNCTION("""COMPUTED_VALUE"""),"#N/A")</f>
        <v>#N/A</v>
      </c>
      <c r="Z91" s="12" t="str">
        <f ca="1">IFERROR(__xludf.DUMMYFUNCTION("""COMPUTED_VALUE"""),"#N/A")</f>
        <v>#N/A</v>
      </c>
      <c r="AA91" s="12" t="str">
        <f ca="1">IFERROR(__xludf.DUMMYFUNCTION("""COMPUTED_VALUE"""),"#N/A")</f>
        <v>#N/A</v>
      </c>
      <c r="AB91" s="12" t="str">
        <f ca="1">IFERROR(__xludf.DUMMYFUNCTION("""COMPUTED_VALUE"""),"#N/A")</f>
        <v>#N/A</v>
      </c>
      <c r="AC91" s="12" t="str">
        <f ca="1">IFERROR(__xludf.DUMMYFUNCTION("""COMPUTED_VALUE"""),"#N/A")</f>
        <v>#N/A</v>
      </c>
      <c r="AD91" s="12" t="str">
        <f ca="1">IFERROR(__xludf.DUMMYFUNCTION("""COMPUTED_VALUE"""),"#N/A")</f>
        <v>#N/A</v>
      </c>
      <c r="AE91" s="12" t="str">
        <f ca="1">IFERROR(__xludf.DUMMYFUNCTION("""COMPUTED_VALUE"""),"#N/A")</f>
        <v>#N/A</v>
      </c>
      <c r="AF91" s="12" t="str">
        <f ca="1">IFERROR(__xludf.DUMMYFUNCTION("""COMPUTED_VALUE"""),"#N/A")</f>
        <v>#N/A</v>
      </c>
      <c r="AG91" s="13" t="str">
        <f ca="1">IFERROR(__xludf.DUMMYFUNCTION("ArrayFormula(VLOOKUP(G91, IMPORTRANGE(""https://docs.google.com/spreadsheets/d/1Co934fvtviyaRiMsrIlT05Jaq7iiYq07aLvRr35KA48/edit?gid=173865642#gid=173865642"", ""'G9 Sci_Pri_LU'!G2:V2000""), {3, 4, 5, 6, 7, 8, 9, 10, 11, 12, 13, 14, 15, 16}, 0))"),"LU006408")</f>
        <v>LU006408</v>
      </c>
      <c r="AH91" s="22" t="str">
        <f ca="1">IFERROR(__xludf.DUMMYFUNCTION("""COMPUTED_VALUE"""),"First Equation of Motion ")</f>
        <v xml:space="preserve">First Equation of Motion </v>
      </c>
      <c r="AI91" s="13" t="str">
        <f ca="1">IFERROR(__xludf.DUMMYFUNCTION("""COMPUTED_VALUE"""),"LU006318")</f>
        <v>LU006318</v>
      </c>
      <c r="AJ91" s="13" t="str">
        <f ca="1">IFERROR(__xludf.DUMMYFUNCTION("""COMPUTED_VALUE"""),"Distinction between Distance and Displacement")</f>
        <v>Distinction between Distance and Displacement</v>
      </c>
      <c r="AK91" s="13" t="str">
        <f ca="1">IFERROR(__xludf.DUMMYFUNCTION("""COMPUTED_VALUE"""),"LU006319")</f>
        <v>LU006319</v>
      </c>
      <c r="AL91" s="13" t="str">
        <f ca="1">IFERROR(__xludf.DUMMYFUNCTION("""COMPUTED_VALUE"""),"Definition of Velocity and Average Velocity ")</f>
        <v xml:space="preserve">Definition of Velocity and Average Velocity </v>
      </c>
      <c r="AM91" s="13"/>
      <c r="AN91" s="13"/>
      <c r="AO91" s="13"/>
      <c r="AP91" s="13"/>
      <c r="AQ91" s="13"/>
      <c r="AR91" s="13"/>
      <c r="AS91" s="13"/>
      <c r="AT91" s="13"/>
    </row>
    <row r="92" spans="1:46">
      <c r="A92" s="8" t="s">
        <v>247</v>
      </c>
      <c r="B92" s="8" t="s">
        <v>47</v>
      </c>
      <c r="C92" s="8" t="s">
        <v>979</v>
      </c>
      <c r="D92" s="9" t="s">
        <v>1510</v>
      </c>
      <c r="E92" s="8" t="s">
        <v>2355</v>
      </c>
      <c r="F92" s="123" t="s">
        <v>2368</v>
      </c>
      <c r="G92" s="126" t="s">
        <v>2371</v>
      </c>
      <c r="H92" s="118" t="str">
        <f ca="1">IFERROR(__xludf.DUMMYFUNCTION("VLOOKUP(G92, IMPORTRANGE(""https://docs.google.com/spreadsheets/d/14deopnvwcrKtEGCKuYXdUHJbeLDZlkiSSWWT0g7x2pM/edit#gid=849066331"", ""LU List Science (Filter)!A:B""), 2, FALSE)"),"Third Equation of Motion ")</f>
        <v xml:space="preserve">Third Equation of Motion </v>
      </c>
      <c r="I92" s="10" t="str">
        <f t="shared" si="0"/>
        <v>LU006324.001</v>
      </c>
      <c r="J92" s="10" t="str">
        <f ca="1">IFERROR(__xludf.DUMMYFUNCTION("VLOOKUP(I92, IMPORTRANGE(""https://docs.google.com/spreadsheets/d/1yDAaXNsi4Mr5FtRQL4tbmSdIzhx6_m4wkOD7IG-k_eo/edit#gid=1336395716"", ""Science!M:N""), 2, FALSE)"),"State the third equation of motion.")</f>
        <v>State the third equation of motion.</v>
      </c>
      <c r="K92" s="10" t="str">
        <f t="shared" si="1"/>
        <v>LU006324.002</v>
      </c>
      <c r="L92" s="10" t="str">
        <f ca="1">IFERROR(__xludf.DUMMYFUNCTION("VLOOKUP(K92, IMPORTRANGE(""https://docs.google.com/spreadsheets/d/1yDAaXNsi4Mr5FtRQL4tbmSdIzhx6_m4wkOD7IG-k_eo/edit#gid=1336395716"", ""Science!M:N""), 2, FALSE)"),"Explain the derivation of the third equation of motion.")</f>
        <v>Explain the derivation of the third equation of motion.</v>
      </c>
      <c r="M92" s="10" t="str">
        <f t="shared" si="2"/>
        <v>LU006324.003</v>
      </c>
      <c r="N92" s="10" t="str">
        <f ca="1">IFERROR(__xludf.DUMMYFUNCTION("VLOOKUP(M92, IMPORTRANGE(""https://docs.google.com/spreadsheets/d/1yDAaXNsi4Mr5FtRQL4tbmSdIzhx6_m4wkOD7IG-k_eo/edit#gid=1336395716"", ""Science!M:N""), 2, FALSE)"),"Solve problems using the third equation of motion.")</f>
        <v>Solve problems using the third equation of motion.</v>
      </c>
      <c r="O92" s="10" t="str">
        <f t="shared" si="3"/>
        <v>LU006324.004</v>
      </c>
      <c r="P92" s="10" t="str">
        <f ca="1">IFERROR(__xludf.DUMMYFUNCTION("VLOOKUP(O92, IMPORTRANGE(""https://docs.google.com/spreadsheets/d/1yDAaXNsi4Mr5FtRQL4tbmSdIzhx6_m4wkOD7IG-k_eo/edit#gid=1336395716"", ""Science!M:N""), 2, FALSE)"),"Analyze motion scenarios using the third equation of motion.")</f>
        <v>Analyze motion scenarios using the third equation of motion.</v>
      </c>
      <c r="Q92" s="10" t="str">
        <f t="shared" si="4"/>
        <v>LU006324.005</v>
      </c>
      <c r="R92" s="10" t="str">
        <f ca="1">IFERROR(__xludf.DUMMYFUNCTION("VLOOKUP(Q92, IMPORTRANGE(""https://docs.google.com/spreadsheets/d/1yDAaXNsi4Mr5FtRQL4tbmSdIzhx6_m4wkOD7IG-k_eo/edit#gid=1336395716"", ""Science!M:N""), 2, FALSE)"),"Evaluate the importance of the third equation of motion in various applications.")</f>
        <v>Evaluate the importance of the third equation of motion in various applications.</v>
      </c>
      <c r="S92" s="10" t="str">
        <f t="shared" si="5"/>
        <v>LU006324.006</v>
      </c>
      <c r="T92" s="10" t="str">
        <f ca="1">IFERROR(__xludf.DUMMYFUNCTION("VLOOKUP(S92, IMPORTRANGE(""https://docs.google.com/spreadsheets/d/1yDAaXNsi4Mr5FtRQL4tbmSdIzhx6_m4wkOD7IG-k_eo/edit#gid=1336395716"", ""Science!M:N""), 2, FALSE)"),"Derive the third equation of motion using a graphical method.")</f>
        <v>Derive the third equation of motion using a graphical method.</v>
      </c>
      <c r="U92" s="11" t="str">
        <f ca="1">IFERROR(__xludf.DUMMYFUNCTION("ArrayFormula(VLOOKUP(G92, IMPORTRANGE(""https://docs.google.com/spreadsheets/d/1p7R4vtkWt5VOBim4ltsDG9KTzSjrtKXsMtQGXPHyND0/edit#gid=795171502"", ""'Filter 30_05_2024'!A1:M2000""), {2, 3, 4, 5,6,7,8,9,10,11,12,13}, 0))"),"#N/A")</f>
        <v>#N/A</v>
      </c>
      <c r="V92" s="11" t="str">
        <f ca="1">IFERROR(__xludf.DUMMYFUNCTION("""COMPUTED_VALUE"""),"#N/A")</f>
        <v>#N/A</v>
      </c>
      <c r="W92" s="11" t="str">
        <f ca="1">IFERROR(__xludf.DUMMYFUNCTION("""COMPUTED_VALUE"""),"#N/A")</f>
        <v>#N/A</v>
      </c>
      <c r="X92" s="11" t="str">
        <f ca="1">IFERROR(__xludf.DUMMYFUNCTION("""COMPUTED_VALUE"""),"#N/A")</f>
        <v>#N/A</v>
      </c>
      <c r="Y92" s="11" t="str">
        <f ca="1">IFERROR(__xludf.DUMMYFUNCTION("""COMPUTED_VALUE"""),"#N/A")</f>
        <v>#N/A</v>
      </c>
      <c r="Z92" s="12" t="str">
        <f ca="1">IFERROR(__xludf.DUMMYFUNCTION("""COMPUTED_VALUE"""),"#N/A")</f>
        <v>#N/A</v>
      </c>
      <c r="AA92" s="12" t="str">
        <f ca="1">IFERROR(__xludf.DUMMYFUNCTION("""COMPUTED_VALUE"""),"#N/A")</f>
        <v>#N/A</v>
      </c>
      <c r="AB92" s="12" t="str">
        <f ca="1">IFERROR(__xludf.DUMMYFUNCTION("""COMPUTED_VALUE"""),"#N/A")</f>
        <v>#N/A</v>
      </c>
      <c r="AC92" s="12" t="str">
        <f ca="1">IFERROR(__xludf.DUMMYFUNCTION("""COMPUTED_VALUE"""),"#N/A")</f>
        <v>#N/A</v>
      </c>
      <c r="AD92" s="12" t="str">
        <f ca="1">IFERROR(__xludf.DUMMYFUNCTION("""COMPUTED_VALUE"""),"#N/A")</f>
        <v>#N/A</v>
      </c>
      <c r="AE92" s="12" t="str">
        <f ca="1">IFERROR(__xludf.DUMMYFUNCTION("""COMPUTED_VALUE"""),"#N/A")</f>
        <v>#N/A</v>
      </c>
      <c r="AF92" s="12" t="str">
        <f ca="1">IFERROR(__xludf.DUMMYFUNCTION("""COMPUTED_VALUE"""),"#N/A")</f>
        <v>#N/A</v>
      </c>
      <c r="AG92" s="13" t="str">
        <f ca="1">IFERROR(__xludf.DUMMYFUNCTION("ArrayFormula(VLOOKUP(G92, IMPORTRANGE(""https://docs.google.com/spreadsheets/d/1Co934fvtviyaRiMsrIlT05Jaq7iiYq07aLvRr35KA48/edit?gid=173865642#gid=173865642"", ""'G9 Sci_Pri_LU'!G2:V2000""), {3, 4, 5, 6, 7, 8, 9, 10, 11, 12, 13, 14, 15, 16}, 0))"),"LU006408")</f>
        <v>LU006408</v>
      </c>
      <c r="AH92" s="22" t="str">
        <f ca="1">IFERROR(__xludf.DUMMYFUNCTION("""COMPUTED_VALUE"""),"First Equation of Motion ")</f>
        <v xml:space="preserve">First Equation of Motion </v>
      </c>
      <c r="AI92" s="13" t="str">
        <f ca="1">IFERROR(__xludf.DUMMYFUNCTION("""COMPUTED_VALUE"""),"LU006323")</f>
        <v>LU006323</v>
      </c>
      <c r="AJ92" s="13" t="str">
        <f ca="1">IFERROR(__xludf.DUMMYFUNCTION("""COMPUTED_VALUE"""),"Second Equation of Motion")</f>
        <v>Second Equation of Motion</v>
      </c>
      <c r="AK92" s="13" t="str">
        <f ca="1">IFERROR(__xludf.DUMMYFUNCTION("""COMPUTED_VALUE"""),"LU006318")</f>
        <v>LU006318</v>
      </c>
      <c r="AL92" s="13" t="str">
        <f ca="1">IFERROR(__xludf.DUMMYFUNCTION("""COMPUTED_VALUE"""),"Distinction between Distance and Displacement")</f>
        <v>Distinction between Distance and Displacement</v>
      </c>
      <c r="AM92" s="13"/>
      <c r="AN92" s="13"/>
      <c r="AO92" s="13"/>
      <c r="AP92" s="13"/>
      <c r="AQ92" s="13"/>
      <c r="AR92" s="13"/>
      <c r="AS92" s="13"/>
      <c r="AT92" s="13"/>
    </row>
    <row r="93" spans="1:46">
      <c r="A93" s="8" t="s">
        <v>247</v>
      </c>
      <c r="B93" s="8" t="s">
        <v>47</v>
      </c>
      <c r="C93" s="8" t="s">
        <v>979</v>
      </c>
      <c r="D93" s="9" t="s">
        <v>1510</v>
      </c>
      <c r="E93" s="8" t="s">
        <v>2355</v>
      </c>
      <c r="F93" s="123" t="s">
        <v>2372</v>
      </c>
      <c r="G93" s="126" t="s">
        <v>2373</v>
      </c>
      <c r="H93" s="118" t="str">
        <f ca="1">IFERROR(__xludf.DUMMYFUNCTION("VLOOKUP(G93, IMPORTRANGE(""https://docs.google.com/spreadsheets/d/14deopnvwcrKtEGCKuYXdUHJbeLDZlkiSSWWT0g7x2pM/edit#gid=849066331"", ""LU List Science (Filter)!A:B""), 2, FALSE)"),"Phenonema involving all equations of motion")</f>
        <v>Phenonema involving all equations of motion</v>
      </c>
      <c r="I93" s="10" t="str">
        <f t="shared" si="0"/>
        <v>LU006325.001</v>
      </c>
      <c r="J93" s="10" t="str">
        <f ca="1">IFERROR(__xludf.DUMMYFUNCTION("VLOOKUP(I93, IMPORTRANGE(""https://docs.google.com/spreadsheets/d/1yDAaXNsi4Mr5FtRQL4tbmSdIzhx6_m4wkOD7IG-k_eo/edit#gid=1336395716"", ""Science!M:N""), 2, FALSE)"),"List the three equations of motion.")</f>
        <v>List the three equations of motion.</v>
      </c>
      <c r="K93" s="10" t="str">
        <f t="shared" si="1"/>
        <v>LU006325.002</v>
      </c>
      <c r="L93" s="10" t="str">
        <f ca="1">IFERROR(__xludf.DUMMYFUNCTION("VLOOKUP(K93, IMPORTRANGE(""https://docs.google.com/spreadsheets/d/1yDAaXNsi4Mr5FtRQL4tbmSdIzhx6_m4wkOD7IG-k_eo/edit#gid=1336395716"", ""Science!M:N""), 2, FALSE)"),"Describe how the three equations of motion are used in different phenomena.")</f>
        <v>Describe how the three equations of motion are used in different phenomena.</v>
      </c>
      <c r="M93" s="10" t="str">
        <f t="shared" si="2"/>
        <v>LU006325.003</v>
      </c>
      <c r="N93" s="10" t="str">
        <f ca="1">IFERROR(__xludf.DUMMYFUNCTION("VLOOKUP(M93, IMPORTRANGE(""https://docs.google.com/spreadsheets/d/1yDAaXNsi4Mr5FtRQL4tbmSdIzhx6_m4wkOD7IG-k_eo/edit#gid=1336395716"", ""Science!M:N""), 2, FALSE)"),"Solve problems involving all three equations of motion.")</f>
        <v>Solve problems involving all three equations of motion.</v>
      </c>
      <c r="O93" s="10" t="str">
        <f t="shared" si="3"/>
        <v>LU006325.004</v>
      </c>
      <c r="P93" s="10" t="str">
        <f ca="1">IFERROR(__xludf.DUMMYFUNCTION("VLOOKUP(O93, IMPORTRANGE(""https://docs.google.com/spreadsheets/d/1yDAaXNsi4Mr5FtRQL4tbmSdIzhx6_m4wkOD7IG-k_eo/edit#gid=1336395716"", ""Science!M:N""), 2, FALSE)"),"Analyze motion scenarios using all three equations of motion.")</f>
        <v>Analyze motion scenarios using all three equations of motion.</v>
      </c>
      <c r="Q93" s="10" t="str">
        <f t="shared" si="4"/>
        <v>LU006325.005</v>
      </c>
      <c r="R93" s="10" t="str">
        <f ca="1">IFERROR(__xludf.DUMMYFUNCTION("VLOOKUP(Q93, IMPORTRANGE(""https://docs.google.com/spreadsheets/d/1yDAaXNsi4Mr5FtRQL4tbmSdIzhx6_m4wkOD7IG-k_eo/edit#gid=1336395716"", ""Science!M:N""), 2, FALSE)"),"Assess the effectiveness of using all three equations in solving motion problems.")</f>
        <v>Assess the effectiveness of using all three equations in solving motion problems.</v>
      </c>
      <c r="S93" s="10" t="str">
        <f t="shared" si="5"/>
        <v>LU006325.006</v>
      </c>
      <c r="T93" s="10" t="str">
        <f ca="1">IFERROR(__xludf.DUMMYFUNCTION("VLOOKUP(S93, IMPORTRANGE(""https://docs.google.com/spreadsheets/d/1yDAaXNsi4Mr5FtRQL4tbmSdIzhx6_m4wkOD7IG-k_eo/edit#gid=1336395716"", ""Science!M:N""), 2, FALSE)"),"Create a comprehensive example that involves using all three equations of motion.")</f>
        <v>Create a comprehensive example that involves using all three equations of motion.</v>
      </c>
      <c r="U93" s="11" t="str">
        <f ca="1">IFERROR(__xludf.DUMMYFUNCTION("ArrayFormula(VLOOKUP(G93, IMPORTRANGE(""https://docs.google.com/spreadsheets/d/1p7R4vtkWt5VOBim4ltsDG9KTzSjrtKXsMtQGXPHyND0/edit#gid=795171502"", ""'Filter 30_05_2024'!A1:M2000""), {2, 3, 4, 5,6,7,8,9,10,11,12,13}, 0))"),"#N/A")</f>
        <v>#N/A</v>
      </c>
      <c r="V93" s="11" t="str">
        <f ca="1">IFERROR(__xludf.DUMMYFUNCTION("""COMPUTED_VALUE"""),"#N/A")</f>
        <v>#N/A</v>
      </c>
      <c r="W93" s="11" t="str">
        <f ca="1">IFERROR(__xludf.DUMMYFUNCTION("""COMPUTED_VALUE"""),"#N/A")</f>
        <v>#N/A</v>
      </c>
      <c r="X93" s="11" t="str">
        <f ca="1">IFERROR(__xludf.DUMMYFUNCTION("""COMPUTED_VALUE"""),"#N/A")</f>
        <v>#N/A</v>
      </c>
      <c r="Y93" s="11" t="str">
        <f ca="1">IFERROR(__xludf.DUMMYFUNCTION("""COMPUTED_VALUE"""),"#N/A")</f>
        <v>#N/A</v>
      </c>
      <c r="Z93" s="12" t="str">
        <f ca="1">IFERROR(__xludf.DUMMYFUNCTION("""COMPUTED_VALUE"""),"#N/A")</f>
        <v>#N/A</v>
      </c>
      <c r="AA93" s="12" t="str">
        <f ca="1">IFERROR(__xludf.DUMMYFUNCTION("""COMPUTED_VALUE"""),"#N/A")</f>
        <v>#N/A</v>
      </c>
      <c r="AB93" s="12" t="str">
        <f ca="1">IFERROR(__xludf.DUMMYFUNCTION("""COMPUTED_VALUE"""),"#N/A")</f>
        <v>#N/A</v>
      </c>
      <c r="AC93" s="12" t="str">
        <f ca="1">IFERROR(__xludf.DUMMYFUNCTION("""COMPUTED_VALUE"""),"#N/A")</f>
        <v>#N/A</v>
      </c>
      <c r="AD93" s="12" t="str">
        <f ca="1">IFERROR(__xludf.DUMMYFUNCTION("""COMPUTED_VALUE"""),"#N/A")</f>
        <v>#N/A</v>
      </c>
      <c r="AE93" s="12" t="str">
        <f ca="1">IFERROR(__xludf.DUMMYFUNCTION("""COMPUTED_VALUE"""),"#N/A")</f>
        <v>#N/A</v>
      </c>
      <c r="AF93" s="12" t="str">
        <f ca="1">IFERROR(__xludf.DUMMYFUNCTION("""COMPUTED_VALUE"""),"#N/A")</f>
        <v>#N/A</v>
      </c>
      <c r="AG93" s="13" t="str">
        <f ca="1">IFERROR(__xludf.DUMMYFUNCTION("ArrayFormula(VLOOKUP(G93, IMPORTRANGE(""https://docs.google.com/spreadsheets/d/1Co934fvtviyaRiMsrIlT05Jaq7iiYq07aLvRr35KA48/edit?gid=173865642#gid=173865642"", ""'G9 Sci_Pri_LU'!G2:V2000""), {3, 4, 5, 6, 7, 8, 9, 10, 11, 12, 13, 14, 15, 16}, 0))"),"LU006408")</f>
        <v>LU006408</v>
      </c>
      <c r="AH93" s="22" t="str">
        <f ca="1">IFERROR(__xludf.DUMMYFUNCTION("""COMPUTED_VALUE"""),"First Equation of Motion ")</f>
        <v xml:space="preserve">First Equation of Motion </v>
      </c>
      <c r="AI93" s="13" t="str">
        <f ca="1">IFERROR(__xludf.DUMMYFUNCTION("""COMPUTED_VALUE"""),"LU006323")</f>
        <v>LU006323</v>
      </c>
      <c r="AJ93" s="13" t="str">
        <f ca="1">IFERROR(__xludf.DUMMYFUNCTION("""COMPUTED_VALUE"""),"Second Equation of Motion")</f>
        <v>Second Equation of Motion</v>
      </c>
      <c r="AK93" s="13" t="str">
        <f ca="1">IFERROR(__xludf.DUMMYFUNCTION("""COMPUTED_VALUE"""),"LU006324")</f>
        <v>LU006324</v>
      </c>
      <c r="AL93" s="13" t="str">
        <f ca="1">IFERROR(__xludf.DUMMYFUNCTION("""COMPUTED_VALUE"""),"Third Equation of Motion ")</f>
        <v xml:space="preserve">Third Equation of Motion </v>
      </c>
      <c r="AM93" s="13"/>
      <c r="AN93" s="13"/>
      <c r="AO93" s="13"/>
      <c r="AP93" s="13"/>
      <c r="AQ93" s="13"/>
      <c r="AR93" s="13"/>
      <c r="AS93" s="13"/>
      <c r="AT93" s="13"/>
    </row>
    <row r="94" spans="1:46">
      <c r="A94" s="8" t="s">
        <v>247</v>
      </c>
      <c r="B94" s="8" t="s">
        <v>47</v>
      </c>
      <c r="C94" s="8" t="s">
        <v>979</v>
      </c>
      <c r="D94" s="9" t="s">
        <v>1510</v>
      </c>
      <c r="E94" s="8" t="s">
        <v>2355</v>
      </c>
      <c r="F94" s="10" t="s">
        <v>2374</v>
      </c>
      <c r="G94" s="114" t="s">
        <v>2375</v>
      </c>
      <c r="H94" s="8" t="str">
        <f ca="1">IFERROR(__xludf.DUMMYFUNCTION("VLOOKUP(G94, IMPORTRANGE(""https://docs.google.com/spreadsheets/d/14deopnvwcrKtEGCKuYXdUHJbeLDZlkiSSWWT0g7x2pM/edit#gid=849066331"", ""LU List Science (Filter)!A:B""), 2, FALSE)"),"Uniform Circular Motion as an example of Accelerated Motion")</f>
        <v>Uniform Circular Motion as an example of Accelerated Motion</v>
      </c>
      <c r="I94" s="10" t="str">
        <f t="shared" si="0"/>
        <v>LU006327.001</v>
      </c>
      <c r="J94" s="10" t="str">
        <f ca="1">IFERROR(__xludf.DUMMYFUNCTION("VLOOKUP(I94, IMPORTRANGE(""https://docs.google.com/spreadsheets/d/1yDAaXNsi4Mr5FtRQL4tbmSdIzhx6_m4wkOD7IG-k_eo/edit#gid=1336395716"", ""Science!M:N""), 2, FALSE)"),"Define uniform circular motion.")</f>
        <v>Define uniform circular motion.</v>
      </c>
      <c r="K94" s="10" t="str">
        <f t="shared" si="1"/>
        <v>LU006327.002</v>
      </c>
      <c r="L94" s="10" t="str">
        <f ca="1">IFERROR(__xludf.DUMMYFUNCTION("VLOOKUP(K94, IMPORTRANGE(""https://docs.google.com/spreadsheets/d/1yDAaXNsi4Mr5FtRQL4tbmSdIzhx6_m4wkOD7IG-k_eo/edit#gid=1336395716"", ""Science!M:N""), 2, FALSE)"),"Explain why uniform circular motion is an example of accelerated motion.")</f>
        <v>Explain why uniform circular motion is an example of accelerated motion.</v>
      </c>
      <c r="M94" s="10" t="str">
        <f t="shared" si="2"/>
        <v>LU006327.003</v>
      </c>
      <c r="N94" s="10" t="str">
        <f ca="1">IFERROR(__xludf.DUMMYFUNCTION("VLOOKUP(M94, IMPORTRANGE(""https://docs.google.com/spreadsheets/d/1yDAaXNsi4Mr5FtRQL4tbmSdIzhx6_m4wkOD7IG-k_eo/edit#gid=1336395716"", ""Science!M:N""), 2, FALSE)"),"Calculate the acceleration of an object moving in uniform circular motion.")</f>
        <v>Calculate the acceleration of an object moving in uniform circular motion.</v>
      </c>
      <c r="O94" s="10" t="str">
        <f t="shared" si="3"/>
        <v>LU006327.004</v>
      </c>
      <c r="P94" s="10" t="str">
        <f ca="1">IFERROR(__xludf.DUMMYFUNCTION("VLOOKUP(O94, IMPORTRANGE(""https://docs.google.com/spreadsheets/d/1yDAaXNsi4Mr5FtRQL4tbmSdIzhx6_m4wkOD7IG-k_eo/edit#gid=1336395716"", ""Science!M:N""), 2, FALSE)"),"Analyze the forces acting on an object in uniform circular motion.")</f>
        <v>Analyze the forces acting on an object in uniform circular motion.</v>
      </c>
      <c r="Q94" s="10" t="str">
        <f t="shared" si="4"/>
        <v>LU006327.005</v>
      </c>
      <c r="R94" s="10" t="str">
        <f ca="1">IFERROR(__xludf.DUMMYFUNCTION("VLOOKUP(Q94, IMPORTRANGE(""https://docs.google.com/spreadsheets/d/1yDAaXNsi4Mr5FtRQL4tbmSdIzhx6_m4wkOD7IG-k_eo/edit#gid=1336395716"", ""Science!M:N""), 2, FALSE)"),"Evaluate the impact of centripetal force on the motion of an object in uniform circular motion.")</f>
        <v>Evaluate the impact of centripetal force on the motion of an object in uniform circular motion.</v>
      </c>
      <c r="S94" s="10" t="str">
        <f t="shared" si="5"/>
        <v>LU006327.006</v>
      </c>
      <c r="T94" s="10" t="str">
        <f ca="1">IFERROR(__xludf.DUMMYFUNCTION("VLOOKUP(S94, IMPORTRANGE(""https://docs.google.com/spreadsheets/d/1yDAaXNsi4Mr5FtRQL4tbmSdIzhx6_m4wkOD7IG-k_eo/edit#gid=1336395716"", ""Science!M:N""), 2, FALSE)"),"Create an experiment to demonstrate the concept of uniform circular motion.")</f>
        <v>Create an experiment to demonstrate the concept of uniform circular motion.</v>
      </c>
      <c r="U94" s="11" t="str">
        <f ca="1">IFERROR(__xludf.DUMMYFUNCTION("ArrayFormula(VLOOKUP(G94, IMPORTRANGE(""https://docs.google.com/spreadsheets/d/1p7R4vtkWt5VOBim4ltsDG9KTzSjrtKXsMtQGXPHyND0/edit#gid=795171502"", ""'Filter 30_05_2024'!A1:M2000""), {2, 3, 4, 5,6,7,8,9,10,11,12,13}, 0))"),"#N/A")</f>
        <v>#N/A</v>
      </c>
      <c r="V94" s="11" t="str">
        <f ca="1">IFERROR(__xludf.DUMMYFUNCTION("""COMPUTED_VALUE"""),"#N/A")</f>
        <v>#N/A</v>
      </c>
      <c r="W94" s="11" t="str">
        <f ca="1">IFERROR(__xludf.DUMMYFUNCTION("""COMPUTED_VALUE"""),"#N/A")</f>
        <v>#N/A</v>
      </c>
      <c r="X94" s="11" t="str">
        <f ca="1">IFERROR(__xludf.DUMMYFUNCTION("""COMPUTED_VALUE"""),"#N/A")</f>
        <v>#N/A</v>
      </c>
      <c r="Y94" s="11" t="str">
        <f ca="1">IFERROR(__xludf.DUMMYFUNCTION("""COMPUTED_VALUE"""),"#N/A")</f>
        <v>#N/A</v>
      </c>
      <c r="Z94" s="12" t="str">
        <f ca="1">IFERROR(__xludf.DUMMYFUNCTION("""COMPUTED_VALUE"""),"#N/A")</f>
        <v>#N/A</v>
      </c>
      <c r="AA94" s="12" t="str">
        <f ca="1">IFERROR(__xludf.DUMMYFUNCTION("""COMPUTED_VALUE"""),"#N/A")</f>
        <v>#N/A</v>
      </c>
      <c r="AB94" s="12" t="str">
        <f ca="1">IFERROR(__xludf.DUMMYFUNCTION("""COMPUTED_VALUE"""),"#N/A")</f>
        <v>#N/A</v>
      </c>
      <c r="AC94" s="12" t="str">
        <f ca="1">IFERROR(__xludf.DUMMYFUNCTION("""COMPUTED_VALUE"""),"#N/A")</f>
        <v>#N/A</v>
      </c>
      <c r="AD94" s="12" t="str">
        <f ca="1">IFERROR(__xludf.DUMMYFUNCTION("""COMPUTED_VALUE"""),"#N/A")</f>
        <v>#N/A</v>
      </c>
      <c r="AE94" s="12" t="str">
        <f ca="1">IFERROR(__xludf.DUMMYFUNCTION("""COMPUTED_VALUE"""),"#N/A")</f>
        <v>#N/A</v>
      </c>
      <c r="AF94" s="12" t="str">
        <f ca="1">IFERROR(__xludf.DUMMYFUNCTION("""COMPUTED_VALUE"""),"#N/A")</f>
        <v>#N/A</v>
      </c>
      <c r="AG94" s="13" t="str">
        <f ca="1">IFERROR(__xludf.DUMMYFUNCTION("ArrayFormula(VLOOKUP(G94, IMPORTRANGE(""https://docs.google.com/spreadsheets/d/1Co934fvtviyaRiMsrIlT05Jaq7iiYq07aLvRr35KA48/edit?gid=173865642#gid=173865642"", ""'G9 Sci_Pri_LU'!G2:V2000""), {3, 4, 5, 6, 7, 8, 9, 10, 11, 12, 13, 14, 15, 16}, 0))"),"LU005187")</f>
        <v>LU005187</v>
      </c>
      <c r="AH94" s="22" t="str">
        <f ca="1">IFERROR(__xludf.DUMMYFUNCTION("""COMPUTED_VALUE"""),"Understanding the Basics of Circular Motion")</f>
        <v>Understanding the Basics of Circular Motion</v>
      </c>
      <c r="AI94" s="13" t="str">
        <f ca="1">IFERROR(__xludf.DUMMYFUNCTION("""COMPUTED_VALUE"""),"LU006321")</f>
        <v>LU006321</v>
      </c>
      <c r="AJ94" s="13" t="str">
        <f ca="1">IFERROR(__xludf.DUMMYFUNCTION("""COMPUTED_VALUE"""),"Definition and Units of Acceleration (Uniform and Non-Uniform Acceleration)")</f>
        <v>Definition and Units of Acceleration (Uniform and Non-Uniform Acceleration)</v>
      </c>
      <c r="AK94" s="13" t="str">
        <f ca="1">IFERROR(__xludf.DUMMYFUNCTION("""COMPUTED_VALUE"""),"LU006319")</f>
        <v>LU006319</v>
      </c>
      <c r="AL94" s="13" t="str">
        <f ca="1">IFERROR(__xludf.DUMMYFUNCTION("""COMPUTED_VALUE"""),"Definition of Velocity and Average Velocity ")</f>
        <v xml:space="preserve">Definition of Velocity and Average Velocity </v>
      </c>
      <c r="AM94" s="13"/>
      <c r="AN94" s="13"/>
      <c r="AO94" s="13"/>
      <c r="AP94" s="13"/>
      <c r="AQ94" s="13"/>
      <c r="AR94" s="13"/>
      <c r="AS94" s="13"/>
      <c r="AT94" s="13"/>
    </row>
    <row r="95" spans="1:46">
      <c r="A95" s="8" t="s">
        <v>247</v>
      </c>
      <c r="B95" s="8" t="s">
        <v>47</v>
      </c>
      <c r="C95" s="8" t="s">
        <v>979</v>
      </c>
      <c r="D95" s="9" t="s">
        <v>1510</v>
      </c>
      <c r="E95" s="8" t="s">
        <v>2376</v>
      </c>
      <c r="F95" s="10" t="s">
        <v>2377</v>
      </c>
      <c r="G95" s="10" t="s">
        <v>2125</v>
      </c>
      <c r="H95" s="8" t="str">
        <f ca="1">IFERROR(__xludf.DUMMYFUNCTION("VLOOKUP(G95, IMPORTRANGE(""https://docs.google.com/spreadsheets/d/14deopnvwcrKtEGCKuYXdUHJbeLDZlkiSSWWT0g7x2pM/edit#gid=849066331"", ""LU List Science (Filter)!A:B""), 2, FALSE)"),"Force - a push or pull")</f>
        <v>Force - a push or pull</v>
      </c>
      <c r="I95" s="10" t="str">
        <f t="shared" si="0"/>
        <v>LU005179.001</v>
      </c>
      <c r="J95" s="10" t="str">
        <f ca="1">IFERROR(__xludf.DUMMYFUNCTION("VLOOKUP(I95, IMPORTRANGE(""https://docs.google.com/spreadsheets/d/1yDAaXNsi4Mr5FtRQL4tbmSdIzhx6_m4wkOD7IG-k_eo/edit#gid=1336395716"", ""Science!M:N""), 2, FALSE)"),"Define the concept of force as a push or pull.")</f>
        <v>Define the concept of force as a push or pull.</v>
      </c>
      <c r="K95" s="10" t="str">
        <f t="shared" si="1"/>
        <v>LU005179.002</v>
      </c>
      <c r="L95" s="10" t="str">
        <f ca="1">IFERROR(__xludf.DUMMYFUNCTION("VLOOKUP(K95, IMPORTRANGE(""https://docs.google.com/spreadsheets/d/1yDAaXNsi4Mr5FtRQL4tbmSdIzhx6_m4wkOD7IG-k_eo/edit#gid=1336395716"", ""Science!M:N""), 2, FALSE)"),"Explain how force is a push or pull that can change the state of motion of an object.")</f>
        <v>Explain how force is a push or pull that can change the state of motion of an object.</v>
      </c>
      <c r="M95" s="10" t="str">
        <f t="shared" si="2"/>
        <v>LU005179.003</v>
      </c>
      <c r="N95" s="10" t="str">
        <f ca="1">IFERROR(__xludf.DUMMYFUNCTION("VLOOKUP(M95, IMPORTRANGE(""https://docs.google.com/spreadsheets/d/1yDAaXNsi4Mr5FtRQL4tbmSdIzhx6_m4wkOD7IG-k_eo/edit#gid=1336395716"", ""Science!M:N""), 2, FALSE)"),"Apply the concept of force to describe the motion of objects in different scenarios.")</f>
        <v>Apply the concept of force to describe the motion of objects in different scenarios.</v>
      </c>
      <c r="O95" s="10" t="str">
        <f t="shared" si="3"/>
        <v>LU005179.004</v>
      </c>
      <c r="P95" s="10" t="str">
        <f ca="1">IFERROR(__xludf.DUMMYFUNCTION("VLOOKUP(O95, IMPORTRANGE(""https://docs.google.com/spreadsheets/d/1yDAaXNsi4Mr5FtRQL4tbmSdIzhx6_m4wkOD7IG-k_eo/edit#gid=1336395716"", ""Science!M:N""), 2, FALSE)"),"Analyze situations to identify whether a force is a push or a pull and its impact on the motion of an object.")</f>
        <v>Analyze situations to identify whether a force is a push or a pull and its impact on the motion of an object.</v>
      </c>
      <c r="Q95" s="10" t="str">
        <f t="shared" si="4"/>
        <v>LU005179.005</v>
      </c>
      <c r="R95" s="10" t="str">
        <f ca="1">IFERROR(__xludf.DUMMYFUNCTION("VLOOKUP(Q95, IMPORTRANGE(""https://docs.google.com/spreadsheets/d/1yDAaXNsi4Mr5FtRQL4tbmSdIzhx6_m4wkOD7IG-k_eo/edit#gid=1336395716"", ""Science!M:N""), 2, FALSE)"),"#N/A")</f>
        <v>#N/A</v>
      </c>
      <c r="S95" s="10" t="str">
        <f t="shared" si="5"/>
        <v>LU005179.006</v>
      </c>
      <c r="T95" s="10" t="str">
        <f ca="1">IFERROR(__xludf.DUMMYFUNCTION("VLOOKUP(S95, IMPORTRANGE(""https://docs.google.com/spreadsheets/d/1yDAaXNsi4Mr5FtRQL4tbmSdIzhx6_m4wkOD7IG-k_eo/edit#gid=1336395716"", ""Science!M:N""), 2, FALSE)"),"Construct a simple experiment that demonstrates the effect of push and pull forces on the motion of an object")</f>
        <v>Construct a simple experiment that demonstrates the effect of push and pull forces on the motion of an object</v>
      </c>
      <c r="U95" s="11">
        <f ca="1">IFERROR(__xludf.DUMMYFUNCTION("ArrayFormula(VLOOKUP(G95, IMPORTRANGE(""https://docs.google.com/spreadsheets/d/1p7R4vtkWt5VOBim4ltsDG9KTzSjrtKXsMtQGXPHyND0/edit#gid=795171502"", ""'Filter 30_05_2024'!A1:M2000""), {2, 3, 4, 5,6,7,8,9,10,11,12,13}, 0))"),4)</f>
        <v>4</v>
      </c>
      <c r="V95" s="11">
        <f ca="1">IFERROR(__xludf.DUMMYFUNCTION("""COMPUTED_VALUE"""),6)</f>
        <v>6</v>
      </c>
      <c r="W95" s="11">
        <f ca="1">IFERROR(__xludf.DUMMYFUNCTION("""COMPUTED_VALUE"""),2)</f>
        <v>2</v>
      </c>
      <c r="X95" s="11">
        <f ca="1">IFERROR(__xludf.DUMMYFUNCTION("""COMPUTED_VALUE"""),12)</f>
        <v>12</v>
      </c>
      <c r="Y95" s="11">
        <f ca="1">IFERROR(__xludf.DUMMYFUNCTION("""COMPUTED_VALUE"""),4)</f>
        <v>4</v>
      </c>
      <c r="Z95" s="12">
        <f ca="1">IFERROR(__xludf.DUMMYFUNCTION("""COMPUTED_VALUE"""),4)</f>
        <v>4</v>
      </c>
      <c r="AA95" s="12">
        <f ca="1">IFERROR(__xludf.DUMMYFUNCTION("""COMPUTED_VALUE"""),1)</f>
        <v>1</v>
      </c>
      <c r="AB95" s="12">
        <f ca="1">IFERROR(__xludf.DUMMYFUNCTION("""COMPUTED_VALUE"""),9)</f>
        <v>9</v>
      </c>
      <c r="AC95" s="12"/>
      <c r="AD95" s="12"/>
      <c r="AE95" s="12"/>
      <c r="AF95" s="12"/>
      <c r="AG95" s="13" t="str">
        <f ca="1">IFERROR(__xludf.DUMMYFUNCTION("ArrayFormula(VLOOKUP(G95, IMPORTRANGE(""https://docs.google.com/spreadsheets/d/1Co934fvtviyaRiMsrIlT05Jaq7iiYq07aLvRr35KA48/edit?gid=173865642#gid=173865642"", ""'G9 Sci_Pri_LU'!G2:V2000""), {3, 4, 5, 6, 7, 8, 9, 10, 11, 12, 13, 14, 15, 16}, 0))"),"")</f>
        <v/>
      </c>
      <c r="AH95" s="22"/>
      <c r="AI95" s="13"/>
      <c r="AJ95" s="13"/>
      <c r="AK95" s="13"/>
      <c r="AL95" s="13"/>
      <c r="AM95" s="13"/>
      <c r="AN95" s="13"/>
      <c r="AO95" s="13"/>
      <c r="AP95" s="13"/>
      <c r="AQ95" s="13"/>
      <c r="AR95" s="13"/>
      <c r="AS95" s="13"/>
      <c r="AT95" s="13"/>
    </row>
    <row r="96" spans="1:46">
      <c r="A96" s="8" t="s">
        <v>247</v>
      </c>
      <c r="B96" s="8" t="s">
        <v>47</v>
      </c>
      <c r="C96" s="8" t="s">
        <v>979</v>
      </c>
      <c r="D96" s="9" t="s">
        <v>1510</v>
      </c>
      <c r="E96" s="8" t="s">
        <v>2376</v>
      </c>
      <c r="F96" s="10" t="s">
        <v>2377</v>
      </c>
      <c r="G96" s="10" t="s">
        <v>2129</v>
      </c>
      <c r="H96" s="8" t="str">
        <f ca="1">IFERROR(__xludf.DUMMYFUNCTION("VLOOKUP(G96, IMPORTRANGE(""https://docs.google.com/spreadsheets/d/14deopnvwcrKtEGCKuYXdUHJbeLDZlkiSSWWT0g7x2pM/edit#gid=849066331"", ""LU List Science (Filter)!A:B""), 2, FALSE)"),"Effects of force on the shape, motion and direction of motion of objects")</f>
        <v>Effects of force on the shape, motion and direction of motion of objects</v>
      </c>
      <c r="I96" s="10" t="str">
        <f t="shared" si="0"/>
        <v>LU005540.001</v>
      </c>
      <c r="J96" s="10" t="str">
        <f ca="1">IFERROR(__xludf.DUMMYFUNCTION("VLOOKUP(I96, IMPORTRANGE(""https://docs.google.com/spreadsheets/d/1yDAaXNsi4Mr5FtRQL4tbmSdIzhx6_m4wkOD7IG-k_eo/edit#gid=1336395716"", ""Science!M:N""), 2, FALSE)"),"Recall the types of changes caused by forces.")</f>
        <v>Recall the types of changes caused by forces.</v>
      </c>
      <c r="K96" s="10" t="str">
        <f t="shared" si="1"/>
        <v>LU005540.002</v>
      </c>
      <c r="L96" s="10" t="str">
        <f ca="1">IFERROR(__xludf.DUMMYFUNCTION("VLOOKUP(K96, IMPORTRANGE(""https://docs.google.com/spreadsheets/d/1yDAaXNsi4Mr5FtRQL4tbmSdIzhx6_m4wkOD7IG-k_eo/edit#gid=1336395716"", ""Science!M:N""), 2, FALSE)"),"Explain in your own words the effects of force, connecting them to real-life examples.")</f>
        <v>Explain in your own words the effects of force, connecting them to real-life examples.</v>
      </c>
      <c r="M96" s="10" t="str">
        <f t="shared" si="2"/>
        <v>LU005540.003</v>
      </c>
      <c r="N96" s="10" t="str">
        <f ca="1">IFERROR(__xludf.DUMMYFUNCTION("VLOOKUP(M96, IMPORTRANGE(""https://docs.google.com/spreadsheets/d/1yDAaXNsi4Mr5FtRQL4tbmSdIzhx6_m4wkOD7IG-k_eo/edit#gid=1336395716"", ""Science!M:N""), 2, FALSE)"),"Demonstrate the effects of force by conducting simple experiments to show changes in shape, motion, and direction of motion.")</f>
        <v>Demonstrate the effects of force by conducting simple experiments to show changes in shape, motion, and direction of motion.</v>
      </c>
      <c r="O96" s="10" t="str">
        <f t="shared" si="3"/>
        <v>LU005540.004</v>
      </c>
      <c r="P96" s="10" t="str">
        <f ca="1">IFERROR(__xludf.DUMMYFUNCTION("VLOOKUP(O96, IMPORTRANGE(""https://docs.google.com/spreadsheets/d/1yDAaXNsi4Mr5FtRQL4tbmSdIzhx6_m4wkOD7IG-k_eo/edit#gid=1336395716"", ""Science!M:N""), 2, FALSE)"),"#N/A")</f>
        <v>#N/A</v>
      </c>
      <c r="Q96" s="10" t="str">
        <f t="shared" si="4"/>
        <v>LU005540.005</v>
      </c>
      <c r="R96" s="10" t="str">
        <f ca="1">IFERROR(__xludf.DUMMYFUNCTION("VLOOKUP(Q96, IMPORTRANGE(""https://docs.google.com/spreadsheets/d/1yDAaXNsi4Mr5FtRQL4tbmSdIzhx6_m4wkOD7IG-k_eo/edit#gid=1336395716"", ""Science!M:N""), 2, FALSE)"),"#N/A")</f>
        <v>#N/A</v>
      </c>
      <c r="S96" s="10" t="str">
        <f t="shared" si="5"/>
        <v>LU005540.006</v>
      </c>
      <c r="T96" s="10" t="str">
        <f ca="1">IFERROR(__xludf.DUMMYFUNCTION("VLOOKUP(S96, IMPORTRANGE(""https://docs.google.com/spreadsheets/d/1yDAaXNsi4Mr5FtRQL4tbmSdIzhx6_m4wkOD7IG-k_eo/edit#gid=1336395716"", ""Science!M:N""), 2, FALSE)"),"Design an experiment to demonstrate and showcase the effects of force on different objects, effectively explaining the observed changes.")</f>
        <v>Design an experiment to demonstrate and showcase the effects of force on different objects, effectively explaining the observed changes.</v>
      </c>
      <c r="U96" s="11">
        <f ca="1">IFERROR(__xludf.DUMMYFUNCTION("ArrayFormula(VLOOKUP(G96, IMPORTRANGE(""https://docs.google.com/spreadsheets/d/1p7R4vtkWt5VOBim4ltsDG9KTzSjrtKXsMtQGXPHyND0/edit#gid=795171502"", ""'Filter 30_05_2024'!A1:M2000""), {2, 3, 4, 5,6,7,8,9,10,11,12,13}, 0))"),4)</f>
        <v>4</v>
      </c>
      <c r="V96" s="11">
        <f ca="1">IFERROR(__xludf.DUMMYFUNCTION("""COMPUTED_VALUE"""),6)</f>
        <v>6</v>
      </c>
      <c r="W96" s="11">
        <f ca="1">IFERROR(__xludf.DUMMYFUNCTION("""COMPUTED_VALUE"""),2)</f>
        <v>2</v>
      </c>
      <c r="X96" s="11">
        <f ca="1">IFERROR(__xludf.DUMMYFUNCTION("""COMPUTED_VALUE"""),12)</f>
        <v>12</v>
      </c>
      <c r="Y96" s="11">
        <f ca="1">IFERROR(__xludf.DUMMYFUNCTION("""COMPUTED_VALUE"""),4)</f>
        <v>4</v>
      </c>
      <c r="Z96" s="12">
        <f ca="1">IFERROR(__xludf.DUMMYFUNCTION("""COMPUTED_VALUE"""),3)</f>
        <v>3</v>
      </c>
      <c r="AA96" s="12">
        <f ca="1">IFERROR(__xludf.DUMMYFUNCTION("""COMPUTED_VALUE"""),1)</f>
        <v>1</v>
      </c>
      <c r="AB96" s="12">
        <f ca="1">IFERROR(__xludf.DUMMYFUNCTION("""COMPUTED_VALUE"""),8)</f>
        <v>8</v>
      </c>
      <c r="AC96" s="12"/>
      <c r="AD96" s="12"/>
      <c r="AE96" s="12"/>
      <c r="AF96" s="12"/>
      <c r="AG96" s="13" t="str">
        <f ca="1">IFERROR(__xludf.DUMMYFUNCTION("ArrayFormula(VLOOKUP(G96, IMPORTRANGE(""https://docs.google.com/spreadsheets/d/1Co934fvtviyaRiMsrIlT05Jaq7iiYq07aLvRr35KA48/edit?gid=173865642#gid=173865642"", ""'G9 Sci_Pri_LU'!G2:V2000""), {3, 4, 5, 6, 7, 8, 9, 10, 11, 12, 13, 14, 15, 16}, 0))"),"")</f>
        <v/>
      </c>
      <c r="AH96" s="22"/>
      <c r="AI96" s="13"/>
      <c r="AJ96" s="13"/>
      <c r="AK96" s="13"/>
      <c r="AL96" s="13"/>
      <c r="AM96" s="13"/>
      <c r="AN96" s="13"/>
      <c r="AO96" s="13"/>
      <c r="AP96" s="13"/>
      <c r="AQ96" s="13"/>
      <c r="AR96" s="13"/>
      <c r="AS96" s="13"/>
      <c r="AT96" s="13"/>
    </row>
    <row r="97" spans="1:46">
      <c r="A97" s="8" t="s">
        <v>247</v>
      </c>
      <c r="B97" s="8" t="s">
        <v>47</v>
      </c>
      <c r="C97" s="8" t="s">
        <v>979</v>
      </c>
      <c r="D97" s="9" t="s">
        <v>1510</v>
      </c>
      <c r="E97" s="8" t="s">
        <v>2376</v>
      </c>
      <c r="F97" s="10" t="s">
        <v>2377</v>
      </c>
      <c r="G97" s="114" t="s">
        <v>2378</v>
      </c>
      <c r="H97" s="8" t="str">
        <f ca="1">IFERROR(__xludf.DUMMYFUNCTION("VLOOKUP(G97, IMPORTRANGE(""https://docs.google.com/spreadsheets/d/14deopnvwcrKtEGCKuYXdUHJbeLDZlkiSSWWT0g7x2pM/edit#gid=849066331"", ""LU List Science (Filter)!A:B""), 2, FALSE)"),"Effect of Balanced and Unbalanced Force on motion of an object ")</f>
        <v xml:space="preserve">Effect of Balanced and Unbalanced Force on motion of an object </v>
      </c>
      <c r="I97" s="10" t="str">
        <f t="shared" si="0"/>
        <v>LU006329.001</v>
      </c>
      <c r="J97" s="10" t="str">
        <f ca="1">IFERROR(__xludf.DUMMYFUNCTION("VLOOKUP(I97, IMPORTRANGE(""https://docs.google.com/spreadsheets/d/1yDAaXNsi4Mr5FtRQL4tbmSdIzhx6_m4wkOD7IG-k_eo/edit#gid=1336395716"", ""Science!M:N""), 2, FALSE)"),"Define balanced and unbalanced forces and describe their effects on the motion of an object.")</f>
        <v>Define balanced and unbalanced forces and describe their effects on the motion of an object.</v>
      </c>
      <c r="K97" s="10" t="str">
        <f t="shared" si="1"/>
        <v>LU006329.002</v>
      </c>
      <c r="L97" s="10" t="str">
        <f ca="1">IFERROR(__xludf.DUMMYFUNCTION("VLOOKUP(K97, IMPORTRANGE(""https://docs.google.com/spreadsheets/d/1yDAaXNsi4Mr5FtRQL4tbmSdIzhx6_m4wkOD7IG-k_eo/edit#gid=1336395716"", ""Science!M:N""), 2, FALSE)"),"Explain how unbalanced forces affect the motion of an object using real-life examples.")</f>
        <v>Explain how unbalanced forces affect the motion of an object using real-life examples.</v>
      </c>
      <c r="M97" s="10" t="str">
        <f t="shared" si="2"/>
        <v>LU006329.003</v>
      </c>
      <c r="N97" s="10" t="str">
        <f ca="1">IFERROR(__xludf.DUMMYFUNCTION("VLOOKUP(M97, IMPORTRANGE(""https://docs.google.com/spreadsheets/d/1yDAaXNsi4Mr5FtRQL4tbmSdIzhx6_m4wkOD7IG-k_eo/edit#gid=1336395716"", ""Science!M:N""), 2, FALSE)"),"Demonstrate the effect of balanced and unbalanced forces on a wooden block in a classroom experiment.")</f>
        <v>Demonstrate the effect of balanced and unbalanced forces on a wooden block in a classroom experiment.</v>
      </c>
      <c r="O97" s="10" t="str">
        <f t="shared" si="3"/>
        <v>LU006329.004</v>
      </c>
      <c r="P97" s="10" t="str">
        <f ca="1">IFERROR(__xludf.DUMMYFUNCTION("VLOOKUP(O97, IMPORTRANGE(""https://docs.google.com/spreadsheets/d/1yDAaXNsi4Mr5FtRQL4tbmSdIzhx6_m4wkOD7IG-k_eo/edit#gid=1336395716"", ""Science!M:N""), 2, FALSE)"),"Differentiate between balanced and unbalanced forces and analyze their impact on the motion of various objects.")</f>
        <v>Differentiate between balanced and unbalanced forces and analyze their impact on the motion of various objects.</v>
      </c>
      <c r="Q97" s="10" t="str">
        <f t="shared" si="4"/>
        <v>LU006329.005</v>
      </c>
      <c r="R97" s="10" t="str">
        <f ca="1">IFERROR(__xludf.DUMMYFUNCTION("VLOOKUP(Q97, IMPORTRANGE(""https://docs.google.com/spreadsheets/d/1yDAaXNsi4Mr5FtRQL4tbmSdIzhx6_m4wkOD7IG-k_eo/edit#gid=1336395716"", ""Science!M:N""), 2, FALSE)"),"Assess the role of friction as a force that balances or unbalances the motion of objects.")</f>
        <v>Assess the role of friction as a force that balances or unbalances the motion of objects.</v>
      </c>
      <c r="S97" s="10" t="str">
        <f t="shared" si="5"/>
        <v>LU006329.006</v>
      </c>
      <c r="T97" s="10" t="str">
        <f ca="1">IFERROR(__xludf.DUMMYFUNCTION("VLOOKUP(S97, IMPORTRANGE(""https://docs.google.com/spreadsheets/d/1yDAaXNsi4Mr5FtRQL4tbmSdIzhx6_m4wkOD7IG-k_eo/edit#gid=1336395716"", ""Science!M:N""), 2, FALSE)"),"Design an experiment to investigate the effects of balanced and unbalanced forces on different surfaces and materials.")</f>
        <v>Design an experiment to investigate the effects of balanced and unbalanced forces on different surfaces and materials.</v>
      </c>
      <c r="U97" s="11" t="str">
        <f ca="1">IFERROR(__xludf.DUMMYFUNCTION("ArrayFormula(VLOOKUP(G97, IMPORTRANGE(""https://docs.google.com/spreadsheets/d/1p7R4vtkWt5VOBim4ltsDG9KTzSjrtKXsMtQGXPHyND0/edit#gid=795171502"", ""'Filter 30_05_2024'!A1:M2000""), {2, 3, 4, 5,6,7,8,9,10,11,12,13}, 0))"),"#N/A")</f>
        <v>#N/A</v>
      </c>
      <c r="V97" s="11" t="str">
        <f ca="1">IFERROR(__xludf.DUMMYFUNCTION("""COMPUTED_VALUE"""),"#N/A")</f>
        <v>#N/A</v>
      </c>
      <c r="W97" s="11" t="str">
        <f ca="1">IFERROR(__xludf.DUMMYFUNCTION("""COMPUTED_VALUE"""),"#N/A")</f>
        <v>#N/A</v>
      </c>
      <c r="X97" s="11" t="str">
        <f ca="1">IFERROR(__xludf.DUMMYFUNCTION("""COMPUTED_VALUE"""),"#N/A")</f>
        <v>#N/A</v>
      </c>
      <c r="Y97" s="11" t="str">
        <f ca="1">IFERROR(__xludf.DUMMYFUNCTION("""COMPUTED_VALUE"""),"#N/A")</f>
        <v>#N/A</v>
      </c>
      <c r="Z97" s="12" t="str">
        <f ca="1">IFERROR(__xludf.DUMMYFUNCTION("""COMPUTED_VALUE"""),"#N/A")</f>
        <v>#N/A</v>
      </c>
      <c r="AA97" s="12" t="str">
        <f ca="1">IFERROR(__xludf.DUMMYFUNCTION("""COMPUTED_VALUE"""),"#N/A")</f>
        <v>#N/A</v>
      </c>
      <c r="AB97" s="12" t="str">
        <f ca="1">IFERROR(__xludf.DUMMYFUNCTION("""COMPUTED_VALUE"""),"#N/A")</f>
        <v>#N/A</v>
      </c>
      <c r="AC97" s="12" t="str">
        <f ca="1">IFERROR(__xludf.DUMMYFUNCTION("""COMPUTED_VALUE"""),"#N/A")</f>
        <v>#N/A</v>
      </c>
      <c r="AD97" s="12" t="str">
        <f ca="1">IFERROR(__xludf.DUMMYFUNCTION("""COMPUTED_VALUE"""),"#N/A")</f>
        <v>#N/A</v>
      </c>
      <c r="AE97" s="12" t="str">
        <f ca="1">IFERROR(__xludf.DUMMYFUNCTION("""COMPUTED_VALUE"""),"#N/A")</f>
        <v>#N/A</v>
      </c>
      <c r="AF97" s="12" t="str">
        <f ca="1">IFERROR(__xludf.DUMMYFUNCTION("""COMPUTED_VALUE"""),"#N/A")</f>
        <v>#N/A</v>
      </c>
      <c r="AG97" s="13" t="str">
        <f ca="1">IFERROR(__xludf.DUMMYFUNCTION("ArrayFormula(VLOOKUP(G97, IMPORTRANGE(""https://docs.google.com/spreadsheets/d/1Co934fvtviyaRiMsrIlT05Jaq7iiYq07aLvRr35KA48/edit?gid=173865642#gid=173865642"", ""'G9 Sci_Pri_LU'!G2:V2000""), {3, 4, 5, 6, 7, 8, 9, 10, 11, 12, 13, 14, 15, 16}, 0))"),"LU005541")</f>
        <v>LU005541</v>
      </c>
      <c r="AH97" s="22" t="str">
        <f ca="1">IFERROR(__xludf.DUMMYFUNCTION("""COMPUTED_VALUE"""),"Definition of balanced and unbalanced force")</f>
        <v>Definition of balanced and unbalanced force</v>
      </c>
      <c r="AI97" s="13" t="str">
        <f ca="1">IFERROR(__xludf.DUMMYFUNCTION("""COMPUTED_VALUE"""),"LU005548")</f>
        <v>LU005548</v>
      </c>
      <c r="AJ97" s="13" t="str">
        <f ca="1">IFERROR(__xludf.DUMMYFUNCTION("""COMPUTED_VALUE"""),"Magnitude and direction of force")</f>
        <v>Magnitude and direction of force</v>
      </c>
      <c r="AK97" s="13"/>
      <c r="AL97" s="13"/>
      <c r="AM97" s="13"/>
      <c r="AN97" s="13"/>
      <c r="AO97" s="13"/>
      <c r="AP97" s="13"/>
      <c r="AQ97" s="13"/>
      <c r="AR97" s="13"/>
      <c r="AS97" s="13"/>
      <c r="AT97" s="13"/>
    </row>
    <row r="98" spans="1:46">
      <c r="A98" s="8" t="s">
        <v>247</v>
      </c>
      <c r="B98" s="8" t="s">
        <v>47</v>
      </c>
      <c r="C98" s="8" t="s">
        <v>979</v>
      </c>
      <c r="D98" s="9" t="s">
        <v>1510</v>
      </c>
      <c r="E98" s="8" t="s">
        <v>2376</v>
      </c>
      <c r="F98" s="10" t="s">
        <v>2379</v>
      </c>
      <c r="G98" s="114" t="s">
        <v>2380</v>
      </c>
      <c r="H98" s="8" t="str">
        <f ca="1">IFERROR(__xludf.DUMMYFUNCTION("VLOOKUP(G98, IMPORTRANGE(""https://docs.google.com/spreadsheets/d/14deopnvwcrKtEGCKuYXdUHJbeLDZlkiSSWWT0g7x2pM/edit#gid=849066331"", ""LU List Science (Filter)!A:B""), 2, FALSE)"),"Galileo's Experiments on the Inclined Plane")</f>
        <v>Galileo's Experiments on the Inclined Plane</v>
      </c>
      <c r="I98" s="10" t="str">
        <f t="shared" si="0"/>
        <v>LU006330.001</v>
      </c>
      <c r="J98" s="10" t="str">
        <f ca="1">IFERROR(__xludf.DUMMYFUNCTION("VLOOKUP(I98, IMPORTRANGE(""https://docs.google.com/spreadsheets/d/1yDAaXNsi4Mr5FtRQL4tbmSdIzhx6_m4wkOD7IG-k_eo/edit#gid=1336395716"", ""Science!M:N""), 2, FALSE)"),"Recall Galileo's experiments with inclined planes and their significance in understanding motion.")</f>
        <v>Recall Galileo's experiments with inclined planes and their significance in understanding motion.</v>
      </c>
      <c r="K98" s="10" t="str">
        <f t="shared" si="1"/>
        <v>LU006330.002</v>
      </c>
      <c r="L98" s="10" t="str">
        <f ca="1">IFERROR(__xludf.DUMMYFUNCTION("VLOOKUP(K98, IMPORTRANGE(""https://docs.google.com/spreadsheets/d/1yDAaXNsi4Mr5FtRQL4tbmSdIzhx6_m4wkOD7IG-k_eo/edit#gid=1336395716"", ""Science!M:N""), 2, FALSE)"),"Summarize the conclusions drawn by Galileo from his inclined plane experiments.")</f>
        <v>Summarize the conclusions drawn by Galileo from his inclined plane experiments.</v>
      </c>
      <c r="M98" s="10" t="str">
        <f t="shared" si="2"/>
        <v>LU006330.003</v>
      </c>
      <c r="N98" s="10" t="str">
        <f ca="1">IFERROR(__xludf.DUMMYFUNCTION("VLOOKUP(M98, IMPORTRANGE(""https://docs.google.com/spreadsheets/d/1yDAaXNsi4Mr5FtRQL4tbmSdIzhx6_m4wkOD7IG-k_eo/edit#gid=1336395716"", ""Science!M:N""), 2, FALSE)"),"Illustrate Galileo's inclined plane experiment using a marble and an inclined plane setup.")</f>
        <v>Illustrate Galileo's inclined plane experiment using a marble and an inclined plane setup.</v>
      </c>
      <c r="O98" s="10" t="str">
        <f t="shared" si="3"/>
        <v>LU006330.004</v>
      </c>
      <c r="P98" s="10" t="str">
        <f ca="1">IFERROR(__xludf.DUMMYFUNCTION("VLOOKUP(O98, IMPORTRANGE(""https://docs.google.com/spreadsheets/d/1yDAaXNsi4Mr5FtRQL4tbmSdIzhx6_m4wkOD7IG-k_eo/edit#gid=1336395716"", ""Science!M:N""), 2, FALSE)"),"Compare Galileo’s findings with the traditional views on motion before his experiments.")</f>
        <v>Compare Galileo’s findings with the traditional views on motion before his experiments.</v>
      </c>
      <c r="Q98" s="10" t="str">
        <f t="shared" si="4"/>
        <v>LU006330.005</v>
      </c>
      <c r="R98" s="10" t="str">
        <f ca="1">IFERROR(__xludf.DUMMYFUNCTION("VLOOKUP(Q98, IMPORTRANGE(""https://docs.google.com/spreadsheets/d/1yDAaXNsi4Mr5FtRQL4tbmSdIzhx6_m4wkOD7IG-k_eo/edit#gid=1336395716"", ""Science!M:N""), 2, FALSE)"),"Critique the impact of Galileo's inclined plane experiments on the development of classical mechanics.")</f>
        <v>Critique the impact of Galileo's inclined plane experiments on the development of classical mechanics.</v>
      </c>
      <c r="S98" s="10" t="str">
        <f t="shared" si="5"/>
        <v>LU006330.006</v>
      </c>
      <c r="T98" s="10" t="str">
        <f ca="1">IFERROR(__xludf.DUMMYFUNCTION("VLOOKUP(S98, IMPORTRANGE(""https://docs.google.com/spreadsheets/d/1yDAaXNsi4Mr5FtRQL4tbmSdIzhx6_m4wkOD7IG-k_eo/edit#gid=1336395716"", ""Science!M:N""), 2, FALSE)"),"Construct a model to replicate Galileo’s inclined plane experiment and predict the outcomes under different conditions.")</f>
        <v>Construct a model to replicate Galileo’s inclined plane experiment and predict the outcomes under different conditions.</v>
      </c>
      <c r="U98" s="11" t="str">
        <f ca="1">IFERROR(__xludf.DUMMYFUNCTION("ArrayFormula(VLOOKUP(G98, IMPORTRANGE(""https://docs.google.com/spreadsheets/d/1p7R4vtkWt5VOBim4ltsDG9KTzSjrtKXsMtQGXPHyND0/edit#gid=795171502"", ""'Filter 30_05_2024'!A1:M2000""), {2, 3, 4, 5,6,7,8,9,10,11,12,13}, 0))"),"#N/A")</f>
        <v>#N/A</v>
      </c>
      <c r="V98" s="11" t="str">
        <f ca="1">IFERROR(__xludf.DUMMYFUNCTION("""COMPUTED_VALUE"""),"#N/A")</f>
        <v>#N/A</v>
      </c>
      <c r="W98" s="11" t="str">
        <f ca="1">IFERROR(__xludf.DUMMYFUNCTION("""COMPUTED_VALUE"""),"#N/A")</f>
        <v>#N/A</v>
      </c>
      <c r="X98" s="11" t="str">
        <f ca="1">IFERROR(__xludf.DUMMYFUNCTION("""COMPUTED_VALUE"""),"#N/A")</f>
        <v>#N/A</v>
      </c>
      <c r="Y98" s="11" t="str">
        <f ca="1">IFERROR(__xludf.DUMMYFUNCTION("""COMPUTED_VALUE"""),"#N/A")</f>
        <v>#N/A</v>
      </c>
      <c r="Z98" s="12" t="str">
        <f ca="1">IFERROR(__xludf.DUMMYFUNCTION("""COMPUTED_VALUE"""),"#N/A")</f>
        <v>#N/A</v>
      </c>
      <c r="AA98" s="12" t="str">
        <f ca="1">IFERROR(__xludf.DUMMYFUNCTION("""COMPUTED_VALUE"""),"#N/A")</f>
        <v>#N/A</v>
      </c>
      <c r="AB98" s="12" t="str">
        <f ca="1">IFERROR(__xludf.DUMMYFUNCTION("""COMPUTED_VALUE"""),"#N/A")</f>
        <v>#N/A</v>
      </c>
      <c r="AC98" s="12" t="str">
        <f ca="1">IFERROR(__xludf.DUMMYFUNCTION("""COMPUTED_VALUE"""),"#N/A")</f>
        <v>#N/A</v>
      </c>
      <c r="AD98" s="12" t="str">
        <f ca="1">IFERROR(__xludf.DUMMYFUNCTION("""COMPUTED_VALUE"""),"#N/A")</f>
        <v>#N/A</v>
      </c>
      <c r="AE98" s="12" t="str">
        <f ca="1">IFERROR(__xludf.DUMMYFUNCTION("""COMPUTED_VALUE"""),"#N/A")</f>
        <v>#N/A</v>
      </c>
      <c r="AF98" s="12" t="str">
        <f ca="1">IFERROR(__xludf.DUMMYFUNCTION("""COMPUTED_VALUE"""),"#N/A")</f>
        <v>#N/A</v>
      </c>
      <c r="AG98" s="13" t="str">
        <f ca="1">IFERROR(__xludf.DUMMYFUNCTION("ArrayFormula(VLOOKUP(G98, IMPORTRANGE(""https://docs.google.com/spreadsheets/d/1Co934fvtviyaRiMsrIlT05Jaq7iiYq07aLvRr35KA48/edit?gid=173865642#gid=173865642"", ""'G9 Sci_Pri_LU'!G2:V2000""), {3, 4, 5, 6, 7, 8, 9, 10, 11, 12, 13, 14, 15, 16}, 0))"),"LU006329")</f>
        <v>LU006329</v>
      </c>
      <c r="AH98" s="22" t="str">
        <f ca="1">IFERROR(__xludf.DUMMYFUNCTION("""COMPUTED_VALUE"""),"Effect of Balanced and Unbalanced Force on motion of an object ")</f>
        <v xml:space="preserve">Effect of Balanced and Unbalanced Force on motion of an object </v>
      </c>
      <c r="AI98" s="13" t="str">
        <f ca="1">IFERROR(__xludf.DUMMYFUNCTION("""COMPUTED_VALUE"""),"LU006319")</f>
        <v>LU006319</v>
      </c>
      <c r="AJ98" s="13" t="str">
        <f ca="1">IFERROR(__xludf.DUMMYFUNCTION("""COMPUTED_VALUE"""),"Definition of Velocity and Average Velocity ")</f>
        <v xml:space="preserve">Definition of Velocity and Average Velocity </v>
      </c>
      <c r="AK98" s="13" t="str">
        <f ca="1">IFERROR(__xludf.DUMMYFUNCTION("""COMPUTED_VALUE"""),"LU006321")</f>
        <v>LU006321</v>
      </c>
      <c r="AL98" s="13" t="str">
        <f ca="1">IFERROR(__xludf.DUMMYFUNCTION("""COMPUTED_VALUE"""),"Definition and Units of Acceleration (Uniform and Non-Uniform Acceleration)")</f>
        <v>Definition and Units of Acceleration (Uniform and Non-Uniform Acceleration)</v>
      </c>
      <c r="AM98" s="13"/>
      <c r="AN98" s="13"/>
      <c r="AO98" s="13"/>
      <c r="AP98" s="13"/>
      <c r="AQ98" s="13"/>
      <c r="AR98" s="13"/>
      <c r="AS98" s="13"/>
      <c r="AT98" s="13"/>
    </row>
    <row r="99" spans="1:46">
      <c r="A99" s="8" t="s">
        <v>247</v>
      </c>
      <c r="B99" s="8" t="s">
        <v>47</v>
      </c>
      <c r="C99" s="8" t="s">
        <v>979</v>
      </c>
      <c r="D99" s="9" t="s">
        <v>1510</v>
      </c>
      <c r="E99" s="8" t="s">
        <v>2376</v>
      </c>
      <c r="F99" s="10" t="s">
        <v>2379</v>
      </c>
      <c r="G99" s="114" t="s">
        <v>2381</v>
      </c>
      <c r="H99" s="8" t="str">
        <f ca="1">IFERROR(__xludf.DUMMYFUNCTION("VLOOKUP(G99, IMPORTRANGE(""https://docs.google.com/spreadsheets/d/14deopnvwcrKtEGCKuYXdUHJbeLDZlkiSSWWT0g7x2pM/edit#gid=849066331"", ""LU List Science (Filter)!A:B""), 2, FALSE)"),"Newton's First Law of Motion and its application in everyday life ")</f>
        <v xml:space="preserve">Newton's First Law of Motion and its application in everyday life </v>
      </c>
      <c r="I99" s="10" t="str">
        <f t="shared" si="0"/>
        <v>LU006331.001</v>
      </c>
      <c r="J99" s="10" t="str">
        <f ca="1">IFERROR(__xludf.DUMMYFUNCTION("VLOOKUP(I99, IMPORTRANGE(""https://docs.google.com/spreadsheets/d/1yDAaXNsi4Mr5FtRQL4tbmSdIzhx6_m4wkOD7IG-k_eo/edit#gid=1336395716"", ""Science!M:N""), 2, FALSE)"),"State Newton's First Law of Motion.")</f>
        <v>State Newton's First Law of Motion.</v>
      </c>
      <c r="K99" s="10" t="str">
        <f t="shared" si="1"/>
        <v>LU006331.002</v>
      </c>
      <c r="L99" s="10" t="str">
        <f ca="1">IFERROR(__xludf.DUMMYFUNCTION("VLOOKUP(K99, IMPORTRANGE(""https://docs.google.com/spreadsheets/d/1yDAaXNsi4Mr5FtRQL4tbmSdIzhx6_m4wkOD7IG-k_eo/edit#gid=1336395716"", ""Science!M:N""), 2, FALSE)"),"Explain Newton's First Law of Motion with examples from everyday life.")</f>
        <v>Explain Newton's First Law of Motion with examples from everyday life.</v>
      </c>
      <c r="M99" s="10" t="str">
        <f t="shared" si="2"/>
        <v>LU006331.003</v>
      </c>
      <c r="N99" s="10" t="str">
        <f ca="1">IFERROR(__xludf.DUMMYFUNCTION("VLOOKUP(M99, IMPORTRANGE(""https://docs.google.com/spreadsheets/d/1yDAaXNsi4Mr5FtRQL4tbmSdIzhx6_m4wkOD7IG-k_eo/edit#gid=1336395716"", ""Science!M:N""), 2, FALSE)"),"Illustrate the application of Newton's First Law in scenarios like a car coming to a sudden stop.")</f>
        <v>Illustrate the application of Newton's First Law in scenarios like a car coming to a sudden stop.</v>
      </c>
      <c r="O99" s="10" t="str">
        <f t="shared" si="3"/>
        <v>LU006331.004</v>
      </c>
      <c r="P99" s="10" t="str">
        <f ca="1">IFERROR(__xludf.DUMMYFUNCTION("VLOOKUP(O99, IMPORTRANGE(""https://docs.google.com/spreadsheets/d/1yDAaXNsi4Mr5FtRQL4tbmSdIzhx6_m4wkOD7IG-k_eo/edit#gid=1336395716"", ""Science!M:N""), 2, FALSE)"),"Analyze the relationship between inertia and Newton's First Law.")</f>
        <v>Analyze the relationship between inertia and Newton's First Law.</v>
      </c>
      <c r="Q99" s="10" t="str">
        <f t="shared" si="4"/>
        <v>LU006331.005</v>
      </c>
      <c r="R99" s="10" t="str">
        <f ca="1">IFERROR(__xludf.DUMMYFUNCTION("VLOOKUP(Q99, IMPORTRANGE(""https://docs.google.com/spreadsheets/d/1yDAaXNsi4Mr5FtRQL4tbmSdIzhx6_m4wkOD7IG-k_eo/edit#gid=1336395716"", ""Science!M:N""), 2, FALSE)"),"Evaluate the importance of seat belts in vehicles using Newton's First Law of Motion.")</f>
        <v>Evaluate the importance of seat belts in vehicles using Newton's First Law of Motion.</v>
      </c>
      <c r="S99" s="10" t="str">
        <f t="shared" si="5"/>
        <v>LU006331.006</v>
      </c>
      <c r="T99" s="10" t="str">
        <f ca="1">IFERROR(__xludf.DUMMYFUNCTION("VLOOKUP(S99, IMPORTRANGE(""https://docs.google.com/spreadsheets/d/1yDAaXNsi4Mr5FtRQL4tbmSdIzhx6_m4wkOD7IG-k_eo/edit#gid=1336395716"", ""Science!M:N""), 2, FALSE)"),"Create a presentation that shows various applications of Newton's First Law in sports, transportation, and other fields.")</f>
        <v>Create a presentation that shows various applications of Newton's First Law in sports, transportation, and other fields.</v>
      </c>
      <c r="U99" s="11" t="str">
        <f ca="1">IFERROR(__xludf.DUMMYFUNCTION("ArrayFormula(VLOOKUP(G99, IMPORTRANGE(""https://docs.google.com/spreadsheets/d/1p7R4vtkWt5VOBim4ltsDG9KTzSjrtKXsMtQGXPHyND0/edit#gid=795171502"", ""'Filter 30_05_2024'!A1:M2000""), {2, 3, 4, 5,6,7,8,9,10,11,12,13}, 0))"),"#N/A")</f>
        <v>#N/A</v>
      </c>
      <c r="V99" s="11" t="str">
        <f ca="1">IFERROR(__xludf.DUMMYFUNCTION("""COMPUTED_VALUE"""),"#N/A")</f>
        <v>#N/A</v>
      </c>
      <c r="W99" s="11" t="str">
        <f ca="1">IFERROR(__xludf.DUMMYFUNCTION("""COMPUTED_VALUE"""),"#N/A")</f>
        <v>#N/A</v>
      </c>
      <c r="X99" s="11" t="str">
        <f ca="1">IFERROR(__xludf.DUMMYFUNCTION("""COMPUTED_VALUE"""),"#N/A")</f>
        <v>#N/A</v>
      </c>
      <c r="Y99" s="11" t="str">
        <f ca="1">IFERROR(__xludf.DUMMYFUNCTION("""COMPUTED_VALUE"""),"#N/A")</f>
        <v>#N/A</v>
      </c>
      <c r="Z99" s="12" t="str">
        <f ca="1">IFERROR(__xludf.DUMMYFUNCTION("""COMPUTED_VALUE"""),"#N/A")</f>
        <v>#N/A</v>
      </c>
      <c r="AA99" s="12" t="str">
        <f ca="1">IFERROR(__xludf.DUMMYFUNCTION("""COMPUTED_VALUE"""),"#N/A")</f>
        <v>#N/A</v>
      </c>
      <c r="AB99" s="12" t="str">
        <f ca="1">IFERROR(__xludf.DUMMYFUNCTION("""COMPUTED_VALUE"""),"#N/A")</f>
        <v>#N/A</v>
      </c>
      <c r="AC99" s="12" t="str">
        <f ca="1">IFERROR(__xludf.DUMMYFUNCTION("""COMPUTED_VALUE"""),"#N/A")</f>
        <v>#N/A</v>
      </c>
      <c r="AD99" s="12" t="str">
        <f ca="1">IFERROR(__xludf.DUMMYFUNCTION("""COMPUTED_VALUE"""),"#N/A")</f>
        <v>#N/A</v>
      </c>
      <c r="AE99" s="12" t="str">
        <f ca="1">IFERROR(__xludf.DUMMYFUNCTION("""COMPUTED_VALUE"""),"#N/A")</f>
        <v>#N/A</v>
      </c>
      <c r="AF99" s="12" t="str">
        <f ca="1">IFERROR(__xludf.DUMMYFUNCTION("""COMPUTED_VALUE"""),"#N/A")</f>
        <v>#N/A</v>
      </c>
      <c r="AG99" s="13" t="str">
        <f ca="1">IFERROR(__xludf.DUMMYFUNCTION("ArrayFormula(VLOOKUP(G99, IMPORTRANGE(""https://docs.google.com/spreadsheets/d/1Co934fvtviyaRiMsrIlT05Jaq7iiYq07aLvRr35KA48/edit?gid=173865642#gid=173865642"", ""'G9 Sci_Pri_LU'!G2:V2000""), {3, 4, 5, 6, 7, 8, 9, 10, 11, 12, 13, 14, 15, 16}, 0))"),"LU006330")</f>
        <v>LU006330</v>
      </c>
      <c r="AH99" s="22" t="str">
        <f ca="1">IFERROR(__xludf.DUMMYFUNCTION("""COMPUTED_VALUE"""),"Galileo's Experiments on the Inclined Plane")</f>
        <v>Galileo's Experiments on the Inclined Plane</v>
      </c>
      <c r="AI99" s="13" t="str">
        <f ca="1">IFERROR(__xludf.DUMMYFUNCTION("""COMPUTED_VALUE"""),"LU006319")</f>
        <v>LU006319</v>
      </c>
      <c r="AJ99" s="13" t="str">
        <f ca="1">IFERROR(__xludf.DUMMYFUNCTION("""COMPUTED_VALUE"""),"Definition of Velocity and Average Velocity ")</f>
        <v xml:space="preserve">Definition of Velocity and Average Velocity </v>
      </c>
      <c r="AK99" s="13" t="str">
        <f ca="1">IFERROR(__xludf.DUMMYFUNCTION("""COMPUTED_VALUE"""),"LU005177")</f>
        <v>LU005177</v>
      </c>
      <c r="AL99" s="13" t="str">
        <f ca="1">IFERROR(__xludf.DUMMYFUNCTION("""COMPUTED_VALUE"""),"Comparison of object in the State of rest vs State of Motion")</f>
        <v>Comparison of object in the State of rest vs State of Motion</v>
      </c>
      <c r="AM99" s="13"/>
      <c r="AN99" s="13"/>
      <c r="AO99" s="13"/>
      <c r="AP99" s="13"/>
      <c r="AQ99" s="13"/>
      <c r="AR99" s="13"/>
      <c r="AS99" s="13"/>
      <c r="AT99" s="13"/>
    </row>
    <row r="100" spans="1:46">
      <c r="A100" s="8" t="s">
        <v>247</v>
      </c>
      <c r="B100" s="8" t="s">
        <v>47</v>
      </c>
      <c r="C100" s="8" t="s">
        <v>979</v>
      </c>
      <c r="D100" s="9" t="s">
        <v>1510</v>
      </c>
      <c r="E100" s="8" t="s">
        <v>2376</v>
      </c>
      <c r="F100" s="10" t="s">
        <v>2379</v>
      </c>
      <c r="G100" s="114" t="s">
        <v>2382</v>
      </c>
      <c r="H100" s="8" t="str">
        <f ca="1">IFERROR(__xludf.DUMMYFUNCTION("VLOOKUP(G100, IMPORTRANGE(""https://docs.google.com/spreadsheets/d/14deopnvwcrKtEGCKuYXdUHJbeLDZlkiSSWWT0g7x2pM/edit#gid=849066331"", ""LU List Science (Filter)!A:B""), 2, FALSE)"),"Relation between Mass and Inertia.")</f>
        <v>Relation between Mass and Inertia.</v>
      </c>
      <c r="I100" s="10" t="str">
        <f t="shared" si="0"/>
        <v>LU006332.001</v>
      </c>
      <c r="J100" s="10" t="str">
        <f ca="1">IFERROR(__xludf.DUMMYFUNCTION("VLOOKUP(I100, IMPORTRANGE(""https://docs.google.com/spreadsheets/d/1yDAaXNsi4Mr5FtRQL4tbmSdIzhx6_m4wkOD7IG-k_eo/edit#gid=1336395716"", ""Science!M:N""), 2, FALSE)"),"Define inertia and mass.")</f>
        <v>Define inertia and mass.</v>
      </c>
      <c r="K100" s="10" t="str">
        <f t="shared" si="1"/>
        <v>LU006332.002</v>
      </c>
      <c r="L100" s="10" t="str">
        <f ca="1">IFERROR(__xludf.DUMMYFUNCTION("VLOOKUP(K100, IMPORTRANGE(""https://docs.google.com/spreadsheets/d/1yDAaXNsi4Mr5FtRQL4tbmSdIzhx6_m4wkOD7IG-k_eo/edit#gid=1336395716"", ""Science!M:N""), 2, FALSE)"),"Describe how mass is a measure of inertia with appropriate examples.")</f>
        <v>Describe how mass is a measure of inertia with appropriate examples.</v>
      </c>
      <c r="M100" s="10" t="str">
        <f t="shared" si="2"/>
        <v>LU006332.003</v>
      </c>
      <c r="N100" s="10" t="str">
        <f ca="1">IFERROR(__xludf.DUMMYFUNCTION("VLOOKUP(M100, IMPORTRANGE(""https://docs.google.com/spreadsheets/d/1yDAaXNsi4Mr5FtRQL4tbmSdIzhx6_m4wkOD7IG-k_eo/edit#gid=1336395716"", ""Science!M:N""), 2, FALSE)"),"Use the concept of inertia to explain why it is harder to push a car than a bicycle.")</f>
        <v>Use the concept of inertia to explain why it is harder to push a car than a bicycle.</v>
      </c>
      <c r="O100" s="10" t="str">
        <f t="shared" si="3"/>
        <v>LU006332.004</v>
      </c>
      <c r="P100" s="10" t="str">
        <f ca="1">IFERROR(__xludf.DUMMYFUNCTION("VLOOKUP(O100, IMPORTRANGE(""https://docs.google.com/spreadsheets/d/1yDAaXNsi4Mr5FtRQL4tbmSdIzhx6_m4wkOD7IG-k_eo/edit#gid=1336395716"", ""Science!M:N""), 2, FALSE)"),"Compare the inertia of different objects based on their masses and explain the differences.")</f>
        <v>Compare the inertia of different objects based on their masses and explain the differences.</v>
      </c>
      <c r="Q100" s="10" t="str">
        <f t="shared" si="4"/>
        <v>LU006332.005</v>
      </c>
      <c r="R100" s="10" t="str">
        <f ca="1">IFERROR(__xludf.DUMMYFUNCTION("VLOOKUP(Q100, IMPORTRANGE(""https://docs.google.com/spreadsheets/d/1yDAaXNsi4Mr5FtRQL4tbmSdIzhx6_m4wkOD7IG-k_eo/edit#gid=1336395716"", ""Science!M:N""), 2, FALSE)"),"Assess the implications of mass and inertia in safety measures for vehicles.")</f>
        <v>Assess the implications of mass and inertia in safety measures for vehicles.</v>
      </c>
      <c r="S100" s="10" t="str">
        <f t="shared" si="5"/>
        <v>LU006332.006</v>
      </c>
      <c r="T100" s="10" t="str">
        <f ca="1">IFERROR(__xludf.DUMMYFUNCTION("VLOOKUP(S100, IMPORTRANGE(""https://docs.google.com/spreadsheets/d/1yDAaXNsi4Mr5FtRQL4tbmSdIzhx6_m4wkOD7IG-k_eo/edit#gid=1336395716"", ""Science!M:N""), 2, FALSE)"),"Develop a set of experiments to demonstrate the relationship between mass and inertia using various objects.")</f>
        <v>Develop a set of experiments to demonstrate the relationship between mass and inertia using various objects.</v>
      </c>
      <c r="U100" s="11" t="str">
        <f ca="1">IFERROR(__xludf.DUMMYFUNCTION("ArrayFormula(VLOOKUP(G100, IMPORTRANGE(""https://docs.google.com/spreadsheets/d/1p7R4vtkWt5VOBim4ltsDG9KTzSjrtKXsMtQGXPHyND0/edit#gid=795171502"", ""'Filter 30_05_2024'!A1:M2000""), {2, 3, 4, 5,6,7,8,9,10,11,12,13}, 0))"),"#N/A")</f>
        <v>#N/A</v>
      </c>
      <c r="V100" s="11" t="str">
        <f ca="1">IFERROR(__xludf.DUMMYFUNCTION("""COMPUTED_VALUE"""),"#N/A")</f>
        <v>#N/A</v>
      </c>
      <c r="W100" s="11" t="str">
        <f ca="1">IFERROR(__xludf.DUMMYFUNCTION("""COMPUTED_VALUE"""),"#N/A")</f>
        <v>#N/A</v>
      </c>
      <c r="X100" s="11" t="str">
        <f ca="1">IFERROR(__xludf.DUMMYFUNCTION("""COMPUTED_VALUE"""),"#N/A")</f>
        <v>#N/A</v>
      </c>
      <c r="Y100" s="11" t="str">
        <f ca="1">IFERROR(__xludf.DUMMYFUNCTION("""COMPUTED_VALUE"""),"#N/A")</f>
        <v>#N/A</v>
      </c>
      <c r="Z100" s="12" t="str">
        <f ca="1">IFERROR(__xludf.DUMMYFUNCTION("""COMPUTED_VALUE"""),"#N/A")</f>
        <v>#N/A</v>
      </c>
      <c r="AA100" s="12" t="str">
        <f ca="1">IFERROR(__xludf.DUMMYFUNCTION("""COMPUTED_VALUE"""),"#N/A")</f>
        <v>#N/A</v>
      </c>
      <c r="AB100" s="12" t="str">
        <f ca="1">IFERROR(__xludf.DUMMYFUNCTION("""COMPUTED_VALUE"""),"#N/A")</f>
        <v>#N/A</v>
      </c>
      <c r="AC100" s="12" t="str">
        <f ca="1">IFERROR(__xludf.DUMMYFUNCTION("""COMPUTED_VALUE"""),"#N/A")</f>
        <v>#N/A</v>
      </c>
      <c r="AD100" s="12" t="str">
        <f ca="1">IFERROR(__xludf.DUMMYFUNCTION("""COMPUTED_VALUE"""),"#N/A")</f>
        <v>#N/A</v>
      </c>
      <c r="AE100" s="12" t="str">
        <f ca="1">IFERROR(__xludf.DUMMYFUNCTION("""COMPUTED_VALUE"""),"#N/A")</f>
        <v>#N/A</v>
      </c>
      <c r="AF100" s="12" t="str">
        <f ca="1">IFERROR(__xludf.DUMMYFUNCTION("""COMPUTED_VALUE"""),"#N/A")</f>
        <v>#N/A</v>
      </c>
      <c r="AG100" s="13" t="str">
        <f ca="1">IFERROR(__xludf.DUMMYFUNCTION("ArrayFormula(VLOOKUP(G100, IMPORTRANGE(""https://docs.google.com/spreadsheets/d/1Co934fvtviyaRiMsrIlT05Jaq7iiYq07aLvRr35KA48/edit?gid=173865642#gid=173865642"", ""'G9 Sci_Pri_LU'!G2:V2000""), {3, 4, 5, 6, 7, 8, 9, 10, 11, 12, 13, 14, 15, 16}, 0))"),"LU005177")</f>
        <v>LU005177</v>
      </c>
      <c r="AH100" s="22" t="str">
        <f ca="1">IFERROR(__xludf.DUMMYFUNCTION("""COMPUTED_VALUE"""),"Comparison of object in the State of rest vs State of Motion")</f>
        <v>Comparison of object in the State of rest vs State of Motion</v>
      </c>
      <c r="AI100" s="13" t="str">
        <f ca="1">IFERROR(__xludf.DUMMYFUNCTION("""COMPUTED_VALUE"""),"LU006419")</f>
        <v>LU006419</v>
      </c>
      <c r="AJ100" s="13" t="str">
        <f ca="1">IFERROR(__xludf.DUMMYFUNCTION("""COMPUTED_VALUE"""),"Properties of material- Mass")</f>
        <v>Properties of material- Mass</v>
      </c>
      <c r="AK100" s="13" t="str">
        <f ca="1">IFERROR(__xludf.DUMMYFUNCTION("""COMPUTED_VALUE"""),"LU005540")</f>
        <v>LU005540</v>
      </c>
      <c r="AL100" s="13" t="str">
        <f ca="1">IFERROR(__xludf.DUMMYFUNCTION("""COMPUTED_VALUE"""),"Effects of force on the shape, motion and direction of motion of objects")</f>
        <v>Effects of force on the shape, motion and direction of motion of objects</v>
      </c>
      <c r="AM100" s="13"/>
      <c r="AN100" s="13"/>
      <c r="AO100" s="13"/>
      <c r="AP100" s="13"/>
      <c r="AQ100" s="13"/>
      <c r="AR100" s="13"/>
      <c r="AS100" s="13"/>
      <c r="AT100" s="13"/>
    </row>
    <row r="101" spans="1:46">
      <c r="A101" s="8" t="s">
        <v>247</v>
      </c>
      <c r="B101" s="8" t="s">
        <v>47</v>
      </c>
      <c r="C101" s="8" t="s">
        <v>979</v>
      </c>
      <c r="D101" s="9" t="s">
        <v>1510</v>
      </c>
      <c r="E101" s="8" t="s">
        <v>2376</v>
      </c>
      <c r="F101" s="10" t="s">
        <v>2383</v>
      </c>
      <c r="G101" s="114" t="s">
        <v>2384</v>
      </c>
      <c r="H101" s="8" t="str">
        <f ca="1">IFERROR(__xludf.DUMMYFUNCTION("VLOOKUP(G101, IMPORTRANGE(""https://docs.google.com/spreadsheets/d/14deopnvwcrKtEGCKuYXdUHJbeLDZlkiSSWWT0g7x2pM/edit#gid=849066331"", ""LU List Science (Filter)!A:B""), 2, FALSE)"),"Definition and Importance of Momentum ")</f>
        <v xml:space="preserve">Definition and Importance of Momentum </v>
      </c>
      <c r="I101" s="10" t="str">
        <f t="shared" si="0"/>
        <v>LU006333.001</v>
      </c>
      <c r="J101" s="10" t="str">
        <f ca="1">IFERROR(__xludf.DUMMYFUNCTION("VLOOKUP(I101, IMPORTRANGE(""https://docs.google.com/spreadsheets/d/1yDAaXNsi4Mr5FtRQL4tbmSdIzhx6_m4wkOD7IG-k_eo/edit#gid=1336395716"", ""Science!M:N""), 2, FALSE)"),"Define momentum and state its formula.")</f>
        <v>Define momentum and state its formula.</v>
      </c>
      <c r="K101" s="10" t="str">
        <f t="shared" si="1"/>
        <v>LU006333.002</v>
      </c>
      <c r="L101" s="10" t="str">
        <f ca="1">IFERROR(__xludf.DUMMYFUNCTION("VLOOKUP(K101, IMPORTRANGE(""https://docs.google.com/spreadsheets/d/1yDAaXNsi4Mr5FtRQL4tbmSdIzhx6_m4wkOD7IG-k_eo/edit#gid=1336395716"", ""Science!M:N""), 2, FALSE)"),"Explain why momentum is a vector quantity and discuss its significance.")</f>
        <v>Explain why momentum is a vector quantity and discuss its significance.</v>
      </c>
      <c r="M101" s="10" t="str">
        <f t="shared" si="2"/>
        <v>LU006333.003</v>
      </c>
      <c r="N101" s="10" t="str">
        <f ca="1">IFERROR(__xludf.DUMMYFUNCTION("VLOOKUP(M101, IMPORTRANGE(""https://docs.google.com/spreadsheets/d/1yDAaXNsi4Mr5FtRQL4tbmSdIzhx6_m4wkOD7IG-k_eo/edit#gid=1336395716"", ""Science!M:N""), 2, FALSE)"),"Calculate the momentum of different objects given their mass and velocity.")</f>
        <v>Calculate the momentum of different objects given their mass and velocity.</v>
      </c>
      <c r="O101" s="10" t="str">
        <f t="shared" si="3"/>
        <v>LU006333.004</v>
      </c>
      <c r="P101" s="10" t="str">
        <f ca="1">IFERROR(__xludf.DUMMYFUNCTION("VLOOKUP(O101, IMPORTRANGE(""https://docs.google.com/spreadsheets/d/1yDAaXNsi4Mr5FtRQL4tbmSdIzhx6_m4wkOD7IG-k_eo/edit#gid=1336395716"", ""Science!M:N""), 2, FALSE)"),"Analyze the role of momentum in collision scenarios.")</f>
        <v>Analyze the role of momentum in collision scenarios.</v>
      </c>
      <c r="Q101" s="10" t="str">
        <f t="shared" si="4"/>
        <v>LU006333.005</v>
      </c>
      <c r="R101" s="10" t="str">
        <f ca="1">IFERROR(__xludf.DUMMYFUNCTION("VLOOKUP(Q101, IMPORTRANGE(""https://docs.google.com/spreadsheets/d/1yDAaXNsi4Mr5FtRQL4tbmSdIzhx6_m4wkOD7IG-k_eo/edit#gid=1336395716"", ""Science!M:N""), 2, FALSE)"),"Evaluate the importance of momentum in sports like cricket and soccer.")</f>
        <v>Evaluate the importance of momentum in sports like cricket and soccer.</v>
      </c>
      <c r="S101" s="10" t="str">
        <f t="shared" si="5"/>
        <v>LU006333.006</v>
      </c>
      <c r="T101" s="10" t="str">
        <f ca="1">IFERROR(__xludf.DUMMYFUNCTION("VLOOKUP(S101, IMPORTRANGE(""https://docs.google.com/spreadsheets/d/1yDAaXNsi4Mr5FtRQL4tbmSdIzhx6_m4wkOD7IG-k_eo/edit#gid=1336395716"", ""Science!M:N""), 2, FALSE)"),"Design a poster that illustrates the concept of momentum and its importance in real-life situations.")</f>
        <v>Design a poster that illustrates the concept of momentum and its importance in real-life situations.</v>
      </c>
      <c r="U101" s="11" t="str">
        <f ca="1">IFERROR(__xludf.DUMMYFUNCTION("ArrayFormula(VLOOKUP(G101, IMPORTRANGE(""https://docs.google.com/spreadsheets/d/1p7R4vtkWt5VOBim4ltsDG9KTzSjrtKXsMtQGXPHyND0/edit#gid=795171502"", ""'Filter 30_05_2024'!A1:M2000""), {2, 3, 4, 5,6,7,8,9,10,11,12,13}, 0))"),"#N/A")</f>
        <v>#N/A</v>
      </c>
      <c r="V101" s="11" t="str">
        <f ca="1">IFERROR(__xludf.DUMMYFUNCTION("""COMPUTED_VALUE"""),"#N/A")</f>
        <v>#N/A</v>
      </c>
      <c r="W101" s="11" t="str">
        <f ca="1">IFERROR(__xludf.DUMMYFUNCTION("""COMPUTED_VALUE"""),"#N/A")</f>
        <v>#N/A</v>
      </c>
      <c r="X101" s="11" t="str">
        <f ca="1">IFERROR(__xludf.DUMMYFUNCTION("""COMPUTED_VALUE"""),"#N/A")</f>
        <v>#N/A</v>
      </c>
      <c r="Y101" s="11" t="str">
        <f ca="1">IFERROR(__xludf.DUMMYFUNCTION("""COMPUTED_VALUE"""),"#N/A")</f>
        <v>#N/A</v>
      </c>
      <c r="Z101" s="12" t="str">
        <f ca="1">IFERROR(__xludf.DUMMYFUNCTION("""COMPUTED_VALUE"""),"#N/A")</f>
        <v>#N/A</v>
      </c>
      <c r="AA101" s="12" t="str">
        <f ca="1">IFERROR(__xludf.DUMMYFUNCTION("""COMPUTED_VALUE"""),"#N/A")</f>
        <v>#N/A</v>
      </c>
      <c r="AB101" s="12" t="str">
        <f ca="1">IFERROR(__xludf.DUMMYFUNCTION("""COMPUTED_VALUE"""),"#N/A")</f>
        <v>#N/A</v>
      </c>
      <c r="AC101" s="12" t="str">
        <f ca="1">IFERROR(__xludf.DUMMYFUNCTION("""COMPUTED_VALUE"""),"#N/A")</f>
        <v>#N/A</v>
      </c>
      <c r="AD101" s="12" t="str">
        <f ca="1">IFERROR(__xludf.DUMMYFUNCTION("""COMPUTED_VALUE"""),"#N/A")</f>
        <v>#N/A</v>
      </c>
      <c r="AE101" s="12" t="str">
        <f ca="1">IFERROR(__xludf.DUMMYFUNCTION("""COMPUTED_VALUE"""),"#N/A")</f>
        <v>#N/A</v>
      </c>
      <c r="AF101" s="12" t="str">
        <f ca="1">IFERROR(__xludf.DUMMYFUNCTION("""COMPUTED_VALUE"""),"#N/A")</f>
        <v>#N/A</v>
      </c>
      <c r="AG101" s="13" t="str">
        <f ca="1">IFERROR(__xludf.DUMMYFUNCTION("ArrayFormula(VLOOKUP(G101, IMPORTRANGE(""https://docs.google.com/spreadsheets/d/1Co934fvtviyaRiMsrIlT05Jaq7iiYq07aLvRr35KA48/edit?gid=173865642#gid=173865642"", ""'G9 Sci_Pri_LU'!G2:V2000""), {3, 4, 5, 6, 7, 8, 9, 10, 11, 12, 13, 14, 15, 16}, 0))"),"LU006319")</f>
        <v>LU006319</v>
      </c>
      <c r="AH101" s="22" t="str">
        <f ca="1">IFERROR(__xludf.DUMMYFUNCTION("""COMPUTED_VALUE"""),"Definition of Velocity and Average Velocity ")</f>
        <v xml:space="preserve">Definition of Velocity and Average Velocity </v>
      </c>
      <c r="AI101" s="13" t="str">
        <f ca="1">IFERROR(__xludf.DUMMYFUNCTION("""COMPUTED_VALUE"""),"LU006419")</f>
        <v>LU006419</v>
      </c>
      <c r="AJ101" s="13" t="str">
        <f ca="1">IFERROR(__xludf.DUMMYFUNCTION("""COMPUTED_VALUE"""),"Properties of material- Mass")</f>
        <v>Properties of material- Mass</v>
      </c>
      <c r="AK101" s="13" t="str">
        <f ca="1">IFERROR(__xludf.DUMMYFUNCTION("""COMPUTED_VALUE"""),"LU005540")</f>
        <v>LU005540</v>
      </c>
      <c r="AL101" s="13" t="str">
        <f ca="1">IFERROR(__xludf.DUMMYFUNCTION("""COMPUTED_VALUE"""),"Effects of force on the shape, motion and direction of motion of objects")</f>
        <v>Effects of force on the shape, motion and direction of motion of objects</v>
      </c>
      <c r="AM101" s="13"/>
      <c r="AN101" s="13"/>
      <c r="AO101" s="13"/>
      <c r="AP101" s="13"/>
      <c r="AQ101" s="13"/>
      <c r="AR101" s="13"/>
      <c r="AS101" s="13"/>
      <c r="AT101" s="13"/>
    </row>
    <row r="102" spans="1:46">
      <c r="A102" s="8" t="s">
        <v>247</v>
      </c>
      <c r="B102" s="8" t="s">
        <v>47</v>
      </c>
      <c r="C102" s="8" t="s">
        <v>979</v>
      </c>
      <c r="D102" s="9" t="s">
        <v>1510</v>
      </c>
      <c r="E102" s="8" t="s">
        <v>2376</v>
      </c>
      <c r="F102" s="10" t="s">
        <v>2383</v>
      </c>
      <c r="G102" s="114" t="s">
        <v>2385</v>
      </c>
      <c r="H102" s="8" t="str">
        <f ca="1">IFERROR(__xludf.DUMMYFUNCTION("VLOOKUP(G102, IMPORTRANGE(""https://docs.google.com/spreadsheets/d/14deopnvwcrKtEGCKuYXdUHJbeLDZlkiSSWWT0g7x2pM/edit#gid=849066331"", ""LU List Science (Filter)!A:B""), 2, FALSE)"),"Newton's Second Law of Motion and its application in everyday life ")</f>
        <v xml:space="preserve">Newton's Second Law of Motion and its application in everyday life </v>
      </c>
      <c r="I102" s="10" t="str">
        <f t="shared" si="0"/>
        <v>LU006334.001</v>
      </c>
      <c r="J102" s="10" t="str">
        <f ca="1">IFERROR(__xludf.DUMMYFUNCTION("VLOOKUP(I102, IMPORTRANGE(""https://docs.google.com/spreadsheets/d/1yDAaXNsi4Mr5FtRQL4tbmSdIzhx6_m4wkOD7IG-k_eo/edit#gid=1336395716"", ""Science!M:N""), 2, FALSE)"),"State Newton's Second Law of Motion.")</f>
        <v>State Newton's Second Law of Motion.</v>
      </c>
      <c r="K102" s="10" t="str">
        <f t="shared" si="1"/>
        <v>LU006334.002</v>
      </c>
      <c r="L102" s="10" t="str">
        <f ca="1">IFERROR(__xludf.DUMMYFUNCTION("VLOOKUP(K102, IMPORTRANGE(""https://docs.google.com/spreadsheets/d/1yDAaXNsi4Mr5FtRQL4tbmSdIzhx6_m4wkOD7IG-k_eo/edit#gid=1336395716"", ""Science!M:N""), 2, FALSE)"),"Describe the relationship between force, mass, and acceleration.")</f>
        <v>Describe the relationship between force, mass, and acceleration.</v>
      </c>
      <c r="M102" s="10" t="str">
        <f t="shared" si="2"/>
        <v>LU006334.003</v>
      </c>
      <c r="N102" s="10" t="str">
        <f ca="1">IFERROR(__xludf.DUMMYFUNCTION("VLOOKUP(M102, IMPORTRANGE(""https://docs.google.com/spreadsheets/d/1yDAaXNsi4Mr5FtRQL4tbmSdIzhx6_m4wkOD7IG-k_eo/edit#gid=1336395716"", ""Science!M:N""), 2, FALSE)"),"Solve problems involving the calculation of force, mass, and acceleration using Newton's Second Law.")</f>
        <v>Solve problems involving the calculation of force, mass, and acceleration using Newton's Second Law.</v>
      </c>
      <c r="O102" s="10" t="str">
        <f t="shared" si="3"/>
        <v>LU006334.004</v>
      </c>
      <c r="P102" s="10" t="str">
        <f ca="1">IFERROR(__xludf.DUMMYFUNCTION("VLOOKUP(O102, IMPORTRANGE(""https://docs.google.com/spreadsheets/d/1yDAaXNsi4Mr5FtRQL4tbmSdIzhx6_m4wkOD7IG-k_eo/edit#gid=1336395716"", ""Science!M:N""), 2, FALSE)"),"Analyze how varying forces affect the acceleration of an object with a constant mass.")</f>
        <v>Analyze how varying forces affect the acceleration of an object with a constant mass.</v>
      </c>
      <c r="Q102" s="10" t="str">
        <f t="shared" si="4"/>
        <v>LU006334.005</v>
      </c>
      <c r="R102" s="10" t="str">
        <f ca="1">IFERROR(__xludf.DUMMYFUNCTION("VLOOKUP(Q102, IMPORTRANGE(""https://docs.google.com/spreadsheets/d/1yDAaXNsi4Mr5FtRQL4tbmSdIzhx6_m4wkOD7IG-k_eo/edit#gid=1336395716"", ""Science!M:N""), 2, FALSE)"),"Evaluate the practical applications of Newton's Second Law in designing safety equipment like airbags.")</f>
        <v>Evaluate the practical applications of Newton's Second Law in designing safety equipment like airbags.</v>
      </c>
      <c r="S102" s="10" t="str">
        <f t="shared" si="5"/>
        <v>LU006334.006</v>
      </c>
      <c r="T102" s="10" t="str">
        <f ca="1">IFERROR(__xludf.DUMMYFUNCTION("VLOOKUP(S102, IMPORTRANGE(""https://docs.google.com/spreadsheets/d/1yDAaXNsi4Mr5FtRQL4tbmSdIzhx6_m4wkOD7IG-k_eo/edit#gid=1336395716"", ""Science!M:N""), 2, FALSE)"),"Create a real-world scenario where Newton's Second Law is applied and explain the results.")</f>
        <v>Create a real-world scenario where Newton's Second Law is applied and explain the results.</v>
      </c>
      <c r="U102" s="11" t="str">
        <f ca="1">IFERROR(__xludf.DUMMYFUNCTION("ArrayFormula(VLOOKUP(G102, IMPORTRANGE(""https://docs.google.com/spreadsheets/d/1p7R4vtkWt5VOBim4ltsDG9KTzSjrtKXsMtQGXPHyND0/edit#gid=795171502"", ""'Filter 30_05_2024'!A1:M2000""), {2, 3, 4, 5,6,7,8,9,10,11,12,13}, 0))"),"#N/A")</f>
        <v>#N/A</v>
      </c>
      <c r="V102" s="11" t="str">
        <f ca="1">IFERROR(__xludf.DUMMYFUNCTION("""COMPUTED_VALUE"""),"#N/A")</f>
        <v>#N/A</v>
      </c>
      <c r="W102" s="11" t="str">
        <f ca="1">IFERROR(__xludf.DUMMYFUNCTION("""COMPUTED_VALUE"""),"#N/A")</f>
        <v>#N/A</v>
      </c>
      <c r="X102" s="11" t="str">
        <f ca="1">IFERROR(__xludf.DUMMYFUNCTION("""COMPUTED_VALUE"""),"#N/A")</f>
        <v>#N/A</v>
      </c>
      <c r="Y102" s="11" t="str">
        <f ca="1">IFERROR(__xludf.DUMMYFUNCTION("""COMPUTED_VALUE"""),"#N/A")</f>
        <v>#N/A</v>
      </c>
      <c r="Z102" s="12" t="str">
        <f ca="1">IFERROR(__xludf.DUMMYFUNCTION("""COMPUTED_VALUE"""),"#N/A")</f>
        <v>#N/A</v>
      </c>
      <c r="AA102" s="12" t="str">
        <f ca="1">IFERROR(__xludf.DUMMYFUNCTION("""COMPUTED_VALUE"""),"#N/A")</f>
        <v>#N/A</v>
      </c>
      <c r="AB102" s="12" t="str">
        <f ca="1">IFERROR(__xludf.DUMMYFUNCTION("""COMPUTED_VALUE"""),"#N/A")</f>
        <v>#N/A</v>
      </c>
      <c r="AC102" s="12" t="str">
        <f ca="1">IFERROR(__xludf.DUMMYFUNCTION("""COMPUTED_VALUE"""),"#N/A")</f>
        <v>#N/A</v>
      </c>
      <c r="AD102" s="12" t="str">
        <f ca="1">IFERROR(__xludf.DUMMYFUNCTION("""COMPUTED_VALUE"""),"#N/A")</f>
        <v>#N/A</v>
      </c>
      <c r="AE102" s="12" t="str">
        <f ca="1">IFERROR(__xludf.DUMMYFUNCTION("""COMPUTED_VALUE"""),"#N/A")</f>
        <v>#N/A</v>
      </c>
      <c r="AF102" s="12" t="str">
        <f ca="1">IFERROR(__xludf.DUMMYFUNCTION("""COMPUTED_VALUE"""),"#N/A")</f>
        <v>#N/A</v>
      </c>
      <c r="AG102" s="13" t="str">
        <f ca="1">IFERROR(__xludf.DUMMYFUNCTION("ArrayFormula(VLOOKUP(G102, IMPORTRANGE(""https://docs.google.com/spreadsheets/d/1Co934fvtviyaRiMsrIlT05Jaq7iiYq07aLvRr35KA48/edit?gid=173865642#gid=173865642"", ""'G9 Sci_Pri_LU'!G2:V2000""), {3, 4, 5, 6, 7, 8, 9, 10, 11, 12, 13, 14, 15, 16}, 0))"),"LU006333")</f>
        <v>LU006333</v>
      </c>
      <c r="AH102" s="22" t="str">
        <f ca="1">IFERROR(__xludf.DUMMYFUNCTION("""COMPUTED_VALUE"""),"Definition and Importance of Momentum ")</f>
        <v xml:space="preserve">Definition and Importance of Momentum </v>
      </c>
      <c r="AI102" s="13" t="str">
        <f ca="1">IFERROR(__xludf.DUMMYFUNCTION("""COMPUTED_VALUE"""),"LU005548")</f>
        <v>LU005548</v>
      </c>
      <c r="AJ102" s="13" t="str">
        <f ca="1">IFERROR(__xludf.DUMMYFUNCTION("""COMPUTED_VALUE"""),"Magnitude and direction of force")</f>
        <v>Magnitude and direction of force</v>
      </c>
      <c r="AK102" s="13" t="str">
        <f ca="1">IFERROR(__xludf.DUMMYFUNCTION("""COMPUTED_VALUE"""),"LU006321")</f>
        <v>LU006321</v>
      </c>
      <c r="AL102" s="13" t="str">
        <f ca="1">IFERROR(__xludf.DUMMYFUNCTION("""COMPUTED_VALUE"""),"Definition and Units of Acceleration (Uniform and Non-Uniform Acceleration)")</f>
        <v>Definition and Units of Acceleration (Uniform and Non-Uniform Acceleration)</v>
      </c>
      <c r="AM102" s="13" t="str">
        <f ca="1">IFERROR(__xludf.DUMMYFUNCTION("""COMPUTED_VALUE"""),"LU005179")</f>
        <v>LU005179</v>
      </c>
      <c r="AN102" s="13" t="str">
        <f ca="1">IFERROR(__xludf.DUMMYFUNCTION("""COMPUTED_VALUE"""),"Force - a push or pull")</f>
        <v>Force - a push or pull</v>
      </c>
      <c r="AO102" s="13"/>
      <c r="AP102" s="13"/>
      <c r="AQ102" s="13"/>
      <c r="AR102" s="13"/>
      <c r="AS102" s="13"/>
      <c r="AT102" s="13"/>
    </row>
    <row r="103" spans="1:46">
      <c r="A103" s="8" t="s">
        <v>247</v>
      </c>
      <c r="B103" s="8" t="s">
        <v>47</v>
      </c>
      <c r="C103" s="8" t="s">
        <v>979</v>
      </c>
      <c r="D103" s="9" t="s">
        <v>1510</v>
      </c>
      <c r="E103" s="8" t="s">
        <v>2376</v>
      </c>
      <c r="F103" s="10" t="s">
        <v>2386</v>
      </c>
      <c r="G103" s="114" t="s">
        <v>2387</v>
      </c>
      <c r="H103" s="8" t="str">
        <f ca="1">IFERROR(__xludf.DUMMYFUNCTION("VLOOKUP(G103, IMPORTRANGE(""https://docs.google.com/spreadsheets/d/14deopnvwcrKtEGCKuYXdUHJbeLDZlkiSSWWT0g7x2pM/edit#gid=849066331"", ""LU List Science (Filter)!A:B""), 2, FALSE)"),"Newton's Third Law of Motion and its application in everyday life ")</f>
        <v xml:space="preserve">Newton's Third Law of Motion and its application in everyday life </v>
      </c>
      <c r="I103" s="10" t="str">
        <f t="shared" si="0"/>
        <v>LU006335.001</v>
      </c>
      <c r="J103" s="10" t="str">
        <f ca="1">IFERROR(__xludf.DUMMYFUNCTION("VLOOKUP(I103, IMPORTRANGE(""https://docs.google.com/spreadsheets/d/1yDAaXNsi4Mr5FtRQL4tbmSdIzhx6_m4wkOD7IG-k_eo/edit#gid=1336395716"", ""Science!M:N""), 2, FALSE)"),"State Newton's Third Law of Motion.")</f>
        <v>State Newton's Third Law of Motion.</v>
      </c>
      <c r="K103" s="10" t="str">
        <f t="shared" si="1"/>
        <v>LU006335.002</v>
      </c>
      <c r="L103" s="10" t="str">
        <f ca="1">IFERROR(__xludf.DUMMYFUNCTION("VLOOKUP(K103, IMPORTRANGE(""https://docs.google.com/spreadsheets/d/1yDAaXNsi4Mr5FtRQL4tbmSdIzhx6_m4wkOD7IG-k_eo/edit#gid=1336395716"", ""Science!M:N""), 2, FALSE)"),"Explain Newton's Third Law with examples such as rowing a boat or jumping off a boat.")</f>
        <v>Explain Newton's Third Law with examples such as rowing a boat or jumping off a boat.</v>
      </c>
      <c r="M103" s="10" t="str">
        <f t="shared" si="2"/>
        <v>LU006335.003</v>
      </c>
      <c r="N103" s="10" t="str">
        <f ca="1">IFERROR(__xludf.DUMMYFUNCTION("VLOOKUP(M103, IMPORTRANGE(""https://docs.google.com/spreadsheets/d/1yDAaXNsi4Mr5FtRQL4tbmSdIzhx6_m4wkOD7IG-k_eo/edit#gid=1336395716"", ""Science!M:N""), 2, FALSE)"),"Demonstrate Newton's Third Law using a pair of spring balances.")</f>
        <v>Demonstrate Newton's Third Law using a pair of spring balances.</v>
      </c>
      <c r="O103" s="10" t="str">
        <f t="shared" si="3"/>
        <v>LU006335.004</v>
      </c>
      <c r="P103" s="10" t="str">
        <f ca="1">IFERROR(__xludf.DUMMYFUNCTION("VLOOKUP(O103, IMPORTRANGE(""https://docs.google.com/spreadsheets/d/1yDAaXNsi4Mr5FtRQL4tbmSdIzhx6_m4wkOD7IG-k_eo/edit#gid=1336395716"", ""Science!M:N""), 2, FALSE)"),"Analyze the forces involved in the recoil of a gun and the forward motion of the bullet.")</f>
        <v>Analyze the forces involved in the recoil of a gun and the forward motion of the bullet.</v>
      </c>
      <c r="Q103" s="10" t="str">
        <f t="shared" si="4"/>
        <v>LU006335.005</v>
      </c>
      <c r="R103" s="10" t="str">
        <f ca="1">IFERROR(__xludf.DUMMYFUNCTION("VLOOKUP(Q103, IMPORTRANGE(""https://docs.google.com/spreadsheets/d/1yDAaXNsi4Mr5FtRQL4tbmSdIzhx6_m4wkOD7IG-k_eo/edit#gid=1336395716"", ""Science!M:N""), 2, FALSE)"),"Evaluate the effectiveness of action-reaction pairs in various mechanical systems.")</f>
        <v>Evaluate the effectiveness of action-reaction pairs in various mechanical systems.</v>
      </c>
      <c r="S103" s="10" t="str">
        <f t="shared" si="5"/>
        <v>LU006335.006</v>
      </c>
      <c r="T103" s="10" t="str">
        <f ca="1">IFERROR(__xludf.DUMMYFUNCTION("VLOOKUP(S103, IMPORTRANGE(""https://docs.google.com/spreadsheets/d/1yDAaXNsi4Mr5FtRQL4tbmSdIzhx6_m4wkOD7IG-k_eo/edit#gid=1336395716"", ""Science!M:N""), 2, FALSE)"),"Design a simple machine that utilizes Newton's Third Law for its operation and explain how it works")</f>
        <v>Design a simple machine that utilizes Newton's Third Law for its operation and explain how it works</v>
      </c>
      <c r="U103" s="11" t="str">
        <f ca="1">IFERROR(__xludf.DUMMYFUNCTION("ArrayFormula(VLOOKUP(G103, IMPORTRANGE(""https://docs.google.com/spreadsheets/d/1p7R4vtkWt5VOBim4ltsDG9KTzSjrtKXsMtQGXPHyND0/edit#gid=795171502"", ""'Filter 30_05_2024'!A1:M2000""), {2, 3, 4, 5,6,7,8,9,10,11,12,13}, 0))"),"#N/A")</f>
        <v>#N/A</v>
      </c>
      <c r="V103" s="11" t="str">
        <f ca="1">IFERROR(__xludf.DUMMYFUNCTION("""COMPUTED_VALUE"""),"#N/A")</f>
        <v>#N/A</v>
      </c>
      <c r="W103" s="11" t="str">
        <f ca="1">IFERROR(__xludf.DUMMYFUNCTION("""COMPUTED_VALUE"""),"#N/A")</f>
        <v>#N/A</v>
      </c>
      <c r="X103" s="11" t="str">
        <f ca="1">IFERROR(__xludf.DUMMYFUNCTION("""COMPUTED_VALUE"""),"#N/A")</f>
        <v>#N/A</v>
      </c>
      <c r="Y103" s="11" t="str">
        <f ca="1">IFERROR(__xludf.DUMMYFUNCTION("""COMPUTED_VALUE"""),"#N/A")</f>
        <v>#N/A</v>
      </c>
      <c r="Z103" s="12" t="str">
        <f ca="1">IFERROR(__xludf.DUMMYFUNCTION("""COMPUTED_VALUE"""),"#N/A")</f>
        <v>#N/A</v>
      </c>
      <c r="AA103" s="12" t="str">
        <f ca="1">IFERROR(__xludf.DUMMYFUNCTION("""COMPUTED_VALUE"""),"#N/A")</f>
        <v>#N/A</v>
      </c>
      <c r="AB103" s="12" t="str">
        <f ca="1">IFERROR(__xludf.DUMMYFUNCTION("""COMPUTED_VALUE"""),"#N/A")</f>
        <v>#N/A</v>
      </c>
      <c r="AC103" s="12" t="str">
        <f ca="1">IFERROR(__xludf.DUMMYFUNCTION("""COMPUTED_VALUE"""),"#N/A")</f>
        <v>#N/A</v>
      </c>
      <c r="AD103" s="12" t="str">
        <f ca="1">IFERROR(__xludf.DUMMYFUNCTION("""COMPUTED_VALUE"""),"#N/A")</f>
        <v>#N/A</v>
      </c>
      <c r="AE103" s="12" t="str">
        <f ca="1">IFERROR(__xludf.DUMMYFUNCTION("""COMPUTED_VALUE"""),"#N/A")</f>
        <v>#N/A</v>
      </c>
      <c r="AF103" s="12" t="str">
        <f ca="1">IFERROR(__xludf.DUMMYFUNCTION("""COMPUTED_VALUE"""),"#N/A")</f>
        <v>#N/A</v>
      </c>
      <c r="AG103" s="13" t="str">
        <f ca="1">IFERROR(__xludf.DUMMYFUNCTION("ArrayFormula(VLOOKUP(G103, IMPORTRANGE(""https://docs.google.com/spreadsheets/d/1Co934fvtviyaRiMsrIlT05Jaq7iiYq07aLvRr35KA48/edit?gid=173865642#gid=173865642"", ""'G9 Sci_Pri_LU'!G2:V2000""), {3, 4, 5, 6, 7, 8, 9, 10, 11, 12, 13, 14, 15, 16}, 0))"),"LU005548")</f>
        <v>LU005548</v>
      </c>
      <c r="AH103" s="22" t="str">
        <f ca="1">IFERROR(__xludf.DUMMYFUNCTION("""COMPUTED_VALUE"""),"Magnitude and direction of force")</f>
        <v>Magnitude and direction of force</v>
      </c>
      <c r="AI103" s="13" t="str">
        <f ca="1">IFERROR(__xludf.DUMMYFUNCTION("""COMPUTED_VALUE"""),"LU005537")</f>
        <v>LU005537</v>
      </c>
      <c r="AJ103" s="13" t="str">
        <f ca="1">IFERROR(__xludf.DUMMYFUNCTION("""COMPUTED_VALUE"""),"Force due to the interaction between two objects")</f>
        <v>Force due to the interaction between two objects</v>
      </c>
      <c r="AK103" s="13" t="str">
        <f ca="1">IFERROR(__xludf.DUMMYFUNCTION("""COMPUTED_VALUE"""),"LU005179")</f>
        <v>LU005179</v>
      </c>
      <c r="AL103" s="13" t="str">
        <f ca="1">IFERROR(__xludf.DUMMYFUNCTION("""COMPUTED_VALUE"""),"Force - a push or pull")</f>
        <v>Force - a push or pull</v>
      </c>
      <c r="AM103" s="13"/>
      <c r="AN103" s="13"/>
      <c r="AO103" s="13"/>
      <c r="AP103" s="13"/>
      <c r="AQ103" s="13"/>
      <c r="AR103" s="13"/>
      <c r="AS103" s="13"/>
      <c r="AT103" s="13"/>
    </row>
    <row r="104" spans="1:46">
      <c r="A104" s="8" t="s">
        <v>247</v>
      </c>
      <c r="B104" s="8" t="s">
        <v>47</v>
      </c>
      <c r="C104" s="8" t="s">
        <v>979</v>
      </c>
      <c r="D104" s="9" t="s">
        <v>1510</v>
      </c>
      <c r="E104" s="8" t="s">
        <v>2388</v>
      </c>
      <c r="F104" s="10" t="s">
        <v>2389</v>
      </c>
      <c r="G104" s="114" t="s">
        <v>2390</v>
      </c>
      <c r="H104" s="8" t="str">
        <f ca="1">IFERROR(__xludf.DUMMYFUNCTION("VLOOKUP(G104, IMPORTRANGE(""https://docs.google.com/spreadsheets/d/14deopnvwcrKtEGCKuYXdUHJbeLDZlkiSSWWT0g7x2pM/edit#gid=849066331"", ""LU List Science (Filter)!A:B""), 2, FALSE)"),"Concept of Centripetal Force in Circular Motion ")</f>
        <v xml:space="preserve">Concept of Centripetal Force in Circular Motion </v>
      </c>
      <c r="I104" s="10" t="str">
        <f t="shared" si="0"/>
        <v>LU006338.001</v>
      </c>
      <c r="J104" s="10" t="str">
        <f ca="1">IFERROR(__xludf.DUMMYFUNCTION("VLOOKUP(I104, IMPORTRANGE(""https://docs.google.com/spreadsheets/d/1yDAaXNsi4Mr5FtRQL4tbmSdIzhx6_m4wkOD7IG-k_eo/edit#gid=1336395716"", ""Science!M:N""), 2, FALSE)"),"Define centripetal force and describe its role in circular motion.")</f>
        <v>Define centripetal force and describe its role in circular motion.</v>
      </c>
      <c r="K104" s="10" t="str">
        <f t="shared" si="1"/>
        <v>LU006338.002</v>
      </c>
      <c r="L104" s="10" t="str">
        <f ca="1">IFERROR(__xludf.DUMMYFUNCTION("VLOOKUP(K104, IMPORTRANGE(""https://docs.google.com/spreadsheets/d/1yDAaXNsi4Mr5FtRQL4tbmSdIzhx6_m4wkOD7IG-k_eo/edit#gid=1336395716"", ""Science!M:N""), 2, FALSE)"),"Explain how centripetal force acts on an object in circular motion using examples like a stone tied to a string.")</f>
        <v>Explain how centripetal force acts on an object in circular motion using examples like a stone tied to a string.</v>
      </c>
      <c r="M104" s="10" t="str">
        <f t="shared" si="2"/>
        <v>LU006338.003</v>
      </c>
      <c r="N104" s="10" t="str">
        <f ca="1">IFERROR(__xludf.DUMMYFUNCTION("VLOOKUP(M104, IMPORTRANGE(""https://docs.google.com/spreadsheets/d/1yDAaXNsi4Mr5FtRQL4tbmSdIzhx6_m4wkOD7IG-k_eo/edit#gid=1336395716"", ""Science!M:N""), 2, FALSE)"),"Illustrate the concept of centripetal force by demonstrating the motion of a tethered object.")</f>
        <v>Illustrate the concept of centripetal force by demonstrating the motion of a tethered object.</v>
      </c>
      <c r="O104" s="10" t="str">
        <f t="shared" si="3"/>
        <v>LU006338.004</v>
      </c>
      <c r="P104" s="10" t="str">
        <f ca="1">IFERROR(__xludf.DUMMYFUNCTION("VLOOKUP(O104, IMPORTRANGE(""https://docs.google.com/spreadsheets/d/1yDAaXNsi4Mr5FtRQL4tbmSdIzhx6_m4wkOD7IG-k_eo/edit#gid=1336395716"", ""Science!M:N""), 2, FALSE)"),"Differentiate between centripetal force and other forces acting on an object in motion.")</f>
        <v>Differentiate between centripetal force and other forces acting on an object in motion.</v>
      </c>
      <c r="Q104" s="10" t="str">
        <f t="shared" si="4"/>
        <v>LU006338.005</v>
      </c>
      <c r="R104" s="10" t="str">
        <f ca="1">IFERROR(__xludf.DUMMYFUNCTION("VLOOKUP(Q104, IMPORTRANGE(""https://docs.google.com/spreadsheets/d/1yDAaXNsi4Mr5FtRQL4tbmSdIzhx6_m4wkOD7IG-k_eo/edit#gid=1336395716"", ""Science!M:N""), 2, FALSE)"),"Assess the importance of centripetal force in the stability of rotating systems like car tires.")</f>
        <v>Assess the importance of centripetal force in the stability of rotating systems like car tires.</v>
      </c>
      <c r="S104" s="10" t="str">
        <f t="shared" si="5"/>
        <v>LU006338.006</v>
      </c>
      <c r="T104" s="10" t="str">
        <f ca="1">IFERROR(__xludf.DUMMYFUNCTION("VLOOKUP(S104, IMPORTRANGE(""https://docs.google.com/spreadsheets/d/1yDAaXNsi4Mr5FtRQL4tbmSdIzhx6_m4wkOD7IG-k_eo/edit#gid=1336395716"", ""Science!M:N""), 2, FALSE)"),"Design an experiment to measure the centripetal force acting on an object in circular motion and predict the outcomes.")</f>
        <v>Design an experiment to measure the centripetal force acting on an object in circular motion and predict the outcomes.</v>
      </c>
      <c r="U104" s="11" t="str">
        <f ca="1">IFERROR(__xludf.DUMMYFUNCTION("ArrayFormula(VLOOKUP(G104, IMPORTRANGE(""https://docs.google.com/spreadsheets/d/1p7R4vtkWt5VOBim4ltsDG9KTzSjrtKXsMtQGXPHyND0/edit#gid=795171502"", ""'Filter 30_05_2024'!A1:M2000""), {2, 3, 4, 5,6,7,8,9,10,11,12,13}, 0))"),"#N/A")</f>
        <v>#N/A</v>
      </c>
      <c r="V104" s="11" t="str">
        <f ca="1">IFERROR(__xludf.DUMMYFUNCTION("""COMPUTED_VALUE"""),"#N/A")</f>
        <v>#N/A</v>
      </c>
      <c r="W104" s="11" t="str">
        <f ca="1">IFERROR(__xludf.DUMMYFUNCTION("""COMPUTED_VALUE"""),"#N/A")</f>
        <v>#N/A</v>
      </c>
      <c r="X104" s="11" t="str">
        <f ca="1">IFERROR(__xludf.DUMMYFUNCTION("""COMPUTED_VALUE"""),"#N/A")</f>
        <v>#N/A</v>
      </c>
      <c r="Y104" s="11" t="str">
        <f ca="1">IFERROR(__xludf.DUMMYFUNCTION("""COMPUTED_VALUE"""),"#N/A")</f>
        <v>#N/A</v>
      </c>
      <c r="Z104" s="12" t="str">
        <f ca="1">IFERROR(__xludf.DUMMYFUNCTION("""COMPUTED_VALUE"""),"#N/A")</f>
        <v>#N/A</v>
      </c>
      <c r="AA104" s="12" t="str">
        <f ca="1">IFERROR(__xludf.DUMMYFUNCTION("""COMPUTED_VALUE"""),"#N/A")</f>
        <v>#N/A</v>
      </c>
      <c r="AB104" s="12" t="str">
        <f ca="1">IFERROR(__xludf.DUMMYFUNCTION("""COMPUTED_VALUE"""),"#N/A")</f>
        <v>#N/A</v>
      </c>
      <c r="AC104" s="12" t="str">
        <f ca="1">IFERROR(__xludf.DUMMYFUNCTION("""COMPUTED_VALUE"""),"#N/A")</f>
        <v>#N/A</v>
      </c>
      <c r="AD104" s="12" t="str">
        <f ca="1">IFERROR(__xludf.DUMMYFUNCTION("""COMPUTED_VALUE"""),"#N/A")</f>
        <v>#N/A</v>
      </c>
      <c r="AE104" s="12" t="str">
        <f ca="1">IFERROR(__xludf.DUMMYFUNCTION("""COMPUTED_VALUE"""),"#N/A")</f>
        <v>#N/A</v>
      </c>
      <c r="AF104" s="12" t="str">
        <f ca="1">IFERROR(__xludf.DUMMYFUNCTION("""COMPUTED_VALUE"""),"#N/A")</f>
        <v>#N/A</v>
      </c>
      <c r="AG104" s="13" t="str">
        <f ca="1">IFERROR(__xludf.DUMMYFUNCTION("ArrayFormula(VLOOKUP(G104, IMPORTRANGE(""https://docs.google.com/spreadsheets/d/1Co934fvtviyaRiMsrIlT05Jaq7iiYq07aLvRr35KA48/edit?gid=173865642#gid=173865642"", ""'G9 Sci_Pri_LU'!G2:V2000""), {3, 4, 5, 6, 7, 8, 9, 10, 11, 12, 13, 14, 15, 16}, 0))"),"LU006327")</f>
        <v>LU006327</v>
      </c>
      <c r="AH104" s="22" t="str">
        <f ca="1">IFERROR(__xludf.DUMMYFUNCTION("""COMPUTED_VALUE"""),"Uniform Circular Motion as an example of Accelerated Motion")</f>
        <v>Uniform Circular Motion as an example of Accelerated Motion</v>
      </c>
      <c r="AI104" s="13" t="str">
        <f ca="1">IFERROR(__xludf.DUMMYFUNCTION("""COMPUTED_VALUE"""),"LU005548")</f>
        <v>LU005548</v>
      </c>
      <c r="AJ104" s="13" t="str">
        <f ca="1">IFERROR(__xludf.DUMMYFUNCTION("""COMPUTED_VALUE"""),"Magnitude and direction of force")</f>
        <v>Magnitude and direction of force</v>
      </c>
      <c r="AK104" s="13" t="str">
        <f ca="1">IFERROR(__xludf.DUMMYFUNCTION("""COMPUTED_VALUE"""),"LU006319")</f>
        <v>LU006319</v>
      </c>
      <c r="AL104" s="13" t="str">
        <f ca="1">IFERROR(__xludf.DUMMYFUNCTION("""COMPUTED_VALUE"""),"Definition of Velocity and Average Velocity ")</f>
        <v xml:space="preserve">Definition of Velocity and Average Velocity </v>
      </c>
      <c r="AM104" s="13"/>
      <c r="AN104" s="13"/>
      <c r="AO104" s="13"/>
      <c r="AP104" s="13"/>
      <c r="AQ104" s="13"/>
      <c r="AR104" s="13"/>
      <c r="AS104" s="13"/>
      <c r="AT104" s="13"/>
    </row>
    <row r="105" spans="1:46">
      <c r="A105" s="8" t="s">
        <v>247</v>
      </c>
      <c r="B105" s="8" t="s">
        <v>47</v>
      </c>
      <c r="C105" s="8" t="s">
        <v>979</v>
      </c>
      <c r="D105" s="9" t="s">
        <v>1510</v>
      </c>
      <c r="E105" s="8" t="s">
        <v>2388</v>
      </c>
      <c r="F105" s="10" t="s">
        <v>2389</v>
      </c>
      <c r="G105" s="114" t="s">
        <v>2391</v>
      </c>
      <c r="H105" s="8" t="str">
        <f ca="1">IFERROR(__xludf.DUMMYFUNCTION("VLOOKUP(G105, IMPORTRANGE(""https://docs.google.com/spreadsheets/d/14deopnvwcrKtEGCKuYXdUHJbeLDZlkiSSWWT0g7x2pM/edit#gid=849066331"", ""LU List Science (Filter)!A:B""), 2, FALSE)"),"Understanding Gravitational Force through Everyday Examples (Falling objects, Orbiting Planets)")</f>
        <v>Understanding Gravitational Force through Everyday Examples (Falling objects, Orbiting Planets)</v>
      </c>
      <c r="I105" s="10" t="str">
        <f t="shared" si="0"/>
        <v>LU006339.001</v>
      </c>
      <c r="J105" s="10" t="str">
        <f ca="1">IFERROR(__xludf.DUMMYFUNCTION("VLOOKUP(I105, IMPORTRANGE(""https://docs.google.com/spreadsheets/d/1yDAaXNsi4Mr5FtRQL4tbmSdIzhx6_m4wkOD7IG-k_eo/edit#gid=1336395716"", ""Science!M:N""), 2, FALSE)"),"Define gravitational force and identify its effects on everyday objects and planetary motion.")</f>
        <v>Define gravitational force and identify its effects on everyday objects and planetary motion.</v>
      </c>
      <c r="K105" s="10" t="str">
        <f t="shared" si="1"/>
        <v>LU006339.002</v>
      </c>
      <c r="L105" s="10" t="str">
        <f ca="1">IFERROR(__xludf.DUMMYFUNCTION("VLOOKUP(K105, IMPORTRANGE(""https://docs.google.com/spreadsheets/d/1yDAaXNsi4Mr5FtRQL4tbmSdIzhx6_m4wkOD7IG-k_eo/edit#gid=1336395716"", ""Science!M:N""), 2, FALSE)"),"Describe how gravitational force influences the motion of falling objects and orbiting planets.")</f>
        <v>Describe how gravitational force influences the motion of falling objects and orbiting planets.</v>
      </c>
      <c r="M105" s="10" t="str">
        <f t="shared" si="2"/>
        <v>LU006339.003</v>
      </c>
      <c r="N105" s="10" t="str">
        <f ca="1">IFERROR(__xludf.DUMMYFUNCTION("VLOOKUP(M105, IMPORTRANGE(""https://docs.google.com/spreadsheets/d/1yDAaXNsi4Mr5FtRQL4tbmSdIzhx6_m4wkOD7IG-k_eo/edit#gid=1336395716"", ""Science!M:N""), 2, FALSE)"),"Demonstrate the effects of gravitational force through simple experiments, such as dropping different objects.")</f>
        <v>Demonstrate the effects of gravitational force through simple experiments, such as dropping different objects.</v>
      </c>
      <c r="O105" s="10" t="str">
        <f t="shared" si="3"/>
        <v>LU006339.004</v>
      </c>
      <c r="P105" s="10" t="str">
        <f ca="1">IFERROR(__xludf.DUMMYFUNCTION("VLOOKUP(O105, IMPORTRANGE(""https://docs.google.com/spreadsheets/d/1yDAaXNsi4Mr5FtRQL4tbmSdIzhx6_m4wkOD7IG-k_eo/edit#gid=1336395716"", ""Science!M:N""), 2, FALSE)"),"Compare the gravitational forces experienced by objects of different masses and distances.")</f>
        <v>Compare the gravitational forces experienced by objects of different masses and distances.</v>
      </c>
      <c r="Q105" s="10" t="str">
        <f t="shared" si="4"/>
        <v>LU006339.005</v>
      </c>
      <c r="R105" s="10" t="str">
        <f ca="1">IFERROR(__xludf.DUMMYFUNCTION("VLOOKUP(Q105, IMPORTRANGE(""https://docs.google.com/spreadsheets/d/1yDAaXNsi4Mr5FtRQL4tbmSdIzhx6_m4wkOD7IG-k_eo/edit#gid=1336395716"", ""Science!M:N""), 2, FALSE)"),"Evaluate the significance of gravitational force in maintaining the orbits of planets and the stability of objects on Earth.")</f>
        <v>Evaluate the significance of gravitational force in maintaining the orbits of planets and the stability of objects on Earth.</v>
      </c>
      <c r="S105" s="10" t="str">
        <f t="shared" si="5"/>
        <v>LU006339.006</v>
      </c>
      <c r="T105" s="10" t="str">
        <f ca="1">IFERROR(__xludf.DUMMYFUNCTION("VLOOKUP(S105, IMPORTRANGE(""https://docs.google.com/spreadsheets/d/1yDAaXNsi4Mr5FtRQL4tbmSdIzhx6_m4wkOD7IG-k_eo/edit#gid=1336395716"", ""Science!M:N""), 2, FALSE)"),"Create a model to illustrate the gravitational interactions between the Earth, the moon, and the Sun, and predict the effects of changes in these interactions.")</f>
        <v>Create a model to illustrate the gravitational interactions between the Earth, the moon, and the Sun, and predict the effects of changes in these interactions.</v>
      </c>
      <c r="U105" s="11" t="str">
        <f ca="1">IFERROR(__xludf.DUMMYFUNCTION("ArrayFormula(VLOOKUP(G105, IMPORTRANGE(""https://docs.google.com/spreadsheets/d/1p7R4vtkWt5VOBim4ltsDG9KTzSjrtKXsMtQGXPHyND0/edit#gid=795171502"", ""'Filter 30_05_2024'!A1:M2000""), {2, 3, 4, 5,6,7,8,9,10,11,12,13}, 0))"),"#N/A")</f>
        <v>#N/A</v>
      </c>
      <c r="V105" s="11" t="str">
        <f ca="1">IFERROR(__xludf.DUMMYFUNCTION("""COMPUTED_VALUE"""),"#N/A")</f>
        <v>#N/A</v>
      </c>
      <c r="W105" s="11" t="str">
        <f ca="1">IFERROR(__xludf.DUMMYFUNCTION("""COMPUTED_VALUE"""),"#N/A")</f>
        <v>#N/A</v>
      </c>
      <c r="X105" s="11" t="str">
        <f ca="1">IFERROR(__xludf.DUMMYFUNCTION("""COMPUTED_VALUE"""),"#N/A")</f>
        <v>#N/A</v>
      </c>
      <c r="Y105" s="11" t="str">
        <f ca="1">IFERROR(__xludf.DUMMYFUNCTION("""COMPUTED_VALUE"""),"#N/A")</f>
        <v>#N/A</v>
      </c>
      <c r="Z105" s="12" t="str">
        <f ca="1">IFERROR(__xludf.DUMMYFUNCTION("""COMPUTED_VALUE"""),"#N/A")</f>
        <v>#N/A</v>
      </c>
      <c r="AA105" s="12" t="str">
        <f ca="1">IFERROR(__xludf.DUMMYFUNCTION("""COMPUTED_VALUE"""),"#N/A")</f>
        <v>#N/A</v>
      </c>
      <c r="AB105" s="12" t="str">
        <f ca="1">IFERROR(__xludf.DUMMYFUNCTION("""COMPUTED_VALUE"""),"#N/A")</f>
        <v>#N/A</v>
      </c>
      <c r="AC105" s="12" t="str">
        <f ca="1">IFERROR(__xludf.DUMMYFUNCTION("""COMPUTED_VALUE"""),"#N/A")</f>
        <v>#N/A</v>
      </c>
      <c r="AD105" s="12" t="str">
        <f ca="1">IFERROR(__xludf.DUMMYFUNCTION("""COMPUTED_VALUE"""),"#N/A")</f>
        <v>#N/A</v>
      </c>
      <c r="AE105" s="12" t="str">
        <f ca="1">IFERROR(__xludf.DUMMYFUNCTION("""COMPUTED_VALUE"""),"#N/A")</f>
        <v>#N/A</v>
      </c>
      <c r="AF105" s="12" t="str">
        <f ca="1">IFERROR(__xludf.DUMMYFUNCTION("""COMPUTED_VALUE"""),"#N/A")</f>
        <v>#N/A</v>
      </c>
      <c r="AG105" s="13" t="str">
        <f ca="1">IFERROR(__xludf.DUMMYFUNCTION("ArrayFormula(VLOOKUP(G105, IMPORTRANGE(""https://docs.google.com/spreadsheets/d/1Co934fvtviyaRiMsrIlT05Jaq7iiYq07aLvRr35KA48/edit?gid=173865642#gid=173865642"", ""'G9 Sci_Pri_LU'!G2:V2000""), {3, 4, 5, 6, 7, 8, 9, 10, 11, 12, 13, 14, 15, 16}, 0))"),"LU006335")</f>
        <v>LU006335</v>
      </c>
      <c r="AH105" s="22" t="str">
        <f ca="1">IFERROR(__xludf.DUMMYFUNCTION("""COMPUTED_VALUE"""),"Newton's Third Law of Motion and its application in everyday life ")</f>
        <v xml:space="preserve">Newton's Third Law of Motion and its application in everyday life </v>
      </c>
      <c r="AI105" s="13" t="str">
        <f ca="1">IFERROR(__xludf.DUMMYFUNCTION("""COMPUTED_VALUE"""),"LU006334")</f>
        <v>LU006334</v>
      </c>
      <c r="AJ105" s="13" t="str">
        <f ca="1">IFERROR(__xludf.DUMMYFUNCTION("""COMPUTED_VALUE"""),"Newton's Second Law of Motion and its application in everyday life ")</f>
        <v xml:space="preserve">Newton's Second Law of Motion and its application in everyday life </v>
      </c>
      <c r="AK105" s="13" t="str">
        <f ca="1">IFERROR(__xludf.DUMMYFUNCTION("""COMPUTED_VALUE"""),"LU005539")</f>
        <v>LU005539</v>
      </c>
      <c r="AL105" s="13" t="str">
        <f ca="1">IFERROR(__xludf.DUMMYFUNCTION("""COMPUTED_VALUE"""),"Types of non contact force (Magnetic, Electrostatic and Gravitational force)")</f>
        <v>Types of non contact force (Magnetic, Electrostatic and Gravitational force)</v>
      </c>
      <c r="AM105" s="13"/>
      <c r="AN105" s="13"/>
      <c r="AO105" s="13"/>
      <c r="AP105" s="13"/>
      <c r="AQ105" s="13"/>
      <c r="AR105" s="13"/>
      <c r="AS105" s="13"/>
      <c r="AT105" s="13"/>
    </row>
    <row r="106" spans="1:46">
      <c r="A106" s="8" t="s">
        <v>247</v>
      </c>
      <c r="B106" s="8" t="s">
        <v>47</v>
      </c>
      <c r="C106" s="8" t="s">
        <v>979</v>
      </c>
      <c r="D106" s="9" t="s">
        <v>1510</v>
      </c>
      <c r="E106" s="8" t="s">
        <v>2388</v>
      </c>
      <c r="F106" s="10" t="s">
        <v>2392</v>
      </c>
      <c r="G106" s="114" t="s">
        <v>2393</v>
      </c>
      <c r="H106" s="8" t="str">
        <f ca="1">IFERROR(__xludf.DUMMYFUNCTION("VLOOKUP(G106, IMPORTRANGE(""https://docs.google.com/spreadsheets/d/14deopnvwcrKtEGCKuYXdUHJbeLDZlkiSSWWT0g7x2pM/edit#gid=849066331"", ""LU List Science (Filter)!A:B""), 2, FALSE)"),"Statement and Mathematical Formulation of Universal Law of Gravitation (Unit and value of G)")</f>
        <v>Statement and Mathematical Formulation of Universal Law of Gravitation (Unit and value of G)</v>
      </c>
      <c r="I106" s="10" t="str">
        <f t="shared" si="0"/>
        <v>LU006340.001</v>
      </c>
      <c r="J106" s="10" t="str">
        <f ca="1">IFERROR(__xludf.DUMMYFUNCTION("VLOOKUP(I106, IMPORTRANGE(""https://docs.google.com/spreadsheets/d/1yDAaXNsi4Mr5FtRQL4tbmSdIzhx6_m4wkOD7IG-k_eo/edit#gid=1336395716"", ""Science!M:N""), 2, FALSE)"),"State the Universal Law of Gravitation and define the gravitational constant (G).")</f>
        <v>State the Universal Law of Gravitation and define the gravitational constant (G).</v>
      </c>
      <c r="K106" s="10" t="str">
        <f t="shared" si="1"/>
        <v>LU006340.002</v>
      </c>
      <c r="L106" s="10" t="str">
        <f ca="1">IFERROR(__xludf.DUMMYFUNCTION("VLOOKUP(K106, IMPORTRANGE(""https://docs.google.com/spreadsheets/d/1yDAaXNsi4Mr5FtRQL4tbmSdIzhx6_m4wkOD7IG-k_eo/edit#gid=1336395716"", ""Science!M:N""), 2, FALSE)"),"Explain the mathematical formulation of the Universal Law of Gravitation and its components.")</f>
        <v>Explain the mathematical formulation of the Universal Law of Gravitation and its components.</v>
      </c>
      <c r="M106" s="10" t="str">
        <f t="shared" si="2"/>
        <v>LU006340.003</v>
      </c>
      <c r="N106" s="10" t="str">
        <f ca="1">IFERROR(__xludf.DUMMYFUNCTION("VLOOKUP(M106, IMPORTRANGE(""https://docs.google.com/spreadsheets/d/1yDAaXNsi4Mr5FtRQL4tbmSdIzhx6_m4wkOD7IG-k_eo/edit#gid=1336395716"", ""Science!M:N""), 2, FALSE)"),"Solve problems involving the calculation of gravitational force between two masses using the Universal Law of Gravitation.")</f>
        <v>Solve problems involving the calculation of gravitational force between two masses using the Universal Law of Gravitation.</v>
      </c>
      <c r="O106" s="10" t="str">
        <f t="shared" si="3"/>
        <v>LU006340.004</v>
      </c>
      <c r="P106" s="10" t="str">
        <f ca="1">IFERROR(__xludf.DUMMYFUNCTION("VLOOKUP(O106, IMPORTRANGE(""https://docs.google.com/spreadsheets/d/1yDAaXNsi4Mr5FtRQL4tbmSdIzhx6_m4wkOD7IG-k_eo/edit#gid=1336395716"", ""Science!M:N""), 2, FALSE)"),"Analyze the relationship between gravitational force, mass, and distance using the Universal Law of Gravitation.")</f>
        <v>Analyze the relationship between gravitational force, mass, and distance using the Universal Law of Gravitation.</v>
      </c>
      <c r="Q106" s="10" t="str">
        <f t="shared" si="4"/>
        <v>LU006340.005</v>
      </c>
      <c r="R106" s="10" t="str">
        <f ca="1">IFERROR(__xludf.DUMMYFUNCTION("VLOOKUP(Q106, IMPORTRANGE(""https://docs.google.com/spreadsheets/d/1yDAaXNsi4Mr5FtRQL4tbmSdIzhx6_m4wkOD7IG-k_eo/edit#gid=1336395716"", ""Science!M:N""), 2, FALSE)"),"Evaluate the importance of the gravitational constant (G) in determining gravitational interactions.")</f>
        <v>Evaluate the importance of the gravitational constant (G) in determining gravitational interactions.</v>
      </c>
      <c r="S106" s="10" t="str">
        <f t="shared" si="5"/>
        <v>LU006340.006</v>
      </c>
      <c r="T106" s="10" t="str">
        <f ca="1">IFERROR(__xludf.DUMMYFUNCTION("VLOOKUP(S106, IMPORTRANGE(""https://docs.google.com/spreadsheets/d/1yDAaXNsi4Mr5FtRQL4tbmSdIzhx6_m4wkOD7IG-k_eo/edit#gid=1336395716"", ""Science!M:N""), 2, FALSE)"),"Develop a set of exercises that demonstrate the application of the Universal Law of Gravitation in real-world scenarios.")</f>
        <v>Develop a set of exercises that demonstrate the application of the Universal Law of Gravitation in real-world scenarios.</v>
      </c>
      <c r="U106" s="11" t="str">
        <f ca="1">IFERROR(__xludf.DUMMYFUNCTION("ArrayFormula(VLOOKUP(G106, IMPORTRANGE(""https://docs.google.com/spreadsheets/d/1p7R4vtkWt5VOBim4ltsDG9KTzSjrtKXsMtQGXPHyND0/edit#gid=795171502"", ""'Filter 30_05_2024'!A1:M2000""), {2, 3, 4, 5,6,7,8,9,10,11,12,13}, 0))"),"#N/A")</f>
        <v>#N/A</v>
      </c>
      <c r="V106" s="11" t="str">
        <f ca="1">IFERROR(__xludf.DUMMYFUNCTION("""COMPUTED_VALUE"""),"#N/A")</f>
        <v>#N/A</v>
      </c>
      <c r="W106" s="11" t="str">
        <f ca="1">IFERROR(__xludf.DUMMYFUNCTION("""COMPUTED_VALUE"""),"#N/A")</f>
        <v>#N/A</v>
      </c>
      <c r="X106" s="11" t="str">
        <f ca="1">IFERROR(__xludf.DUMMYFUNCTION("""COMPUTED_VALUE"""),"#N/A")</f>
        <v>#N/A</v>
      </c>
      <c r="Y106" s="11" t="str">
        <f ca="1">IFERROR(__xludf.DUMMYFUNCTION("""COMPUTED_VALUE"""),"#N/A")</f>
        <v>#N/A</v>
      </c>
      <c r="Z106" s="12" t="str">
        <f ca="1">IFERROR(__xludf.DUMMYFUNCTION("""COMPUTED_VALUE"""),"#N/A")</f>
        <v>#N/A</v>
      </c>
      <c r="AA106" s="12" t="str">
        <f ca="1">IFERROR(__xludf.DUMMYFUNCTION("""COMPUTED_VALUE"""),"#N/A")</f>
        <v>#N/A</v>
      </c>
      <c r="AB106" s="12" t="str">
        <f ca="1">IFERROR(__xludf.DUMMYFUNCTION("""COMPUTED_VALUE"""),"#N/A")</f>
        <v>#N/A</v>
      </c>
      <c r="AC106" s="12" t="str">
        <f ca="1">IFERROR(__xludf.DUMMYFUNCTION("""COMPUTED_VALUE"""),"#N/A")</f>
        <v>#N/A</v>
      </c>
      <c r="AD106" s="12" t="str">
        <f ca="1">IFERROR(__xludf.DUMMYFUNCTION("""COMPUTED_VALUE"""),"#N/A")</f>
        <v>#N/A</v>
      </c>
      <c r="AE106" s="12" t="str">
        <f ca="1">IFERROR(__xludf.DUMMYFUNCTION("""COMPUTED_VALUE"""),"#N/A")</f>
        <v>#N/A</v>
      </c>
      <c r="AF106" s="12" t="str">
        <f ca="1">IFERROR(__xludf.DUMMYFUNCTION("""COMPUTED_VALUE"""),"#N/A")</f>
        <v>#N/A</v>
      </c>
      <c r="AG106" s="13" t="str">
        <f ca="1">IFERROR(__xludf.DUMMYFUNCTION("ArrayFormula(VLOOKUP(G106, IMPORTRANGE(""https://docs.google.com/spreadsheets/d/1Co934fvtviyaRiMsrIlT05Jaq7iiYq07aLvRr35KA48/edit?gid=173865642#gid=173865642"", ""'G9 Sci_Pri_LU'!G2:V2000""), {3, 4, 5, 6, 7, 8, 9, 10, 11, 12, 13, 14, 15, 16}, 0))"),"LU006339")</f>
        <v>LU006339</v>
      </c>
      <c r="AH106" s="22" t="str">
        <f ca="1">IFERROR(__xludf.DUMMYFUNCTION("""COMPUTED_VALUE"""),"Understanding Gravitational Force through Everyday Examples (Falling objects, Orbiting Planets)")</f>
        <v>Understanding Gravitational Force through Everyday Examples (Falling objects, Orbiting Planets)</v>
      </c>
      <c r="AI106" s="13" t="str">
        <f ca="1">IFERROR(__xludf.DUMMYFUNCTION("""COMPUTED_VALUE"""),"LU005548")</f>
        <v>LU005548</v>
      </c>
      <c r="AJ106" s="13" t="str">
        <f ca="1">IFERROR(__xludf.DUMMYFUNCTION("""COMPUTED_VALUE"""),"Magnitude and direction of force")</f>
        <v>Magnitude and direction of force</v>
      </c>
      <c r="AK106" s="13" t="str">
        <f ca="1">IFERROR(__xludf.DUMMYFUNCTION("""COMPUTED_VALUE"""),"LU006419")</f>
        <v>LU006419</v>
      </c>
      <c r="AL106" s="13" t="str">
        <f ca="1">IFERROR(__xludf.DUMMYFUNCTION("""COMPUTED_VALUE"""),"Properties of material- Mass")</f>
        <v>Properties of material- Mass</v>
      </c>
      <c r="AM106" s="13"/>
      <c r="AN106" s="13"/>
      <c r="AO106" s="13"/>
      <c r="AP106" s="13"/>
      <c r="AQ106" s="13"/>
      <c r="AR106" s="13"/>
      <c r="AS106" s="13"/>
      <c r="AT106" s="13"/>
    </row>
    <row r="107" spans="1:46">
      <c r="A107" s="8" t="s">
        <v>247</v>
      </c>
      <c r="B107" s="8" t="s">
        <v>47</v>
      </c>
      <c r="C107" s="8" t="s">
        <v>979</v>
      </c>
      <c r="D107" s="9" t="s">
        <v>1510</v>
      </c>
      <c r="E107" s="8" t="s">
        <v>2388</v>
      </c>
      <c r="F107" s="10" t="s">
        <v>2392</v>
      </c>
      <c r="G107" s="114" t="s">
        <v>2394</v>
      </c>
      <c r="H107" s="8" t="str">
        <f ca="1">IFERROR(__xludf.DUMMYFUNCTION("VLOOKUP(G107, IMPORTRANGE(""https://docs.google.com/spreadsheets/d/14deopnvwcrKtEGCKuYXdUHJbeLDZlkiSSWWT0g7x2pM/edit#gid=849066331"", ""LU List Science (Filter)!A:B""), 2, FALSE)"),"Phenomena Associated with Universal Law of Gravitational ")</f>
        <v xml:space="preserve">Phenomena Associated with Universal Law of Gravitational </v>
      </c>
      <c r="I107" s="10" t="str">
        <f t="shared" si="0"/>
        <v>LU006341.001</v>
      </c>
      <c r="J107" s="10" t="str">
        <f ca="1">IFERROR(__xludf.DUMMYFUNCTION("VLOOKUP(I107, IMPORTRANGE(""https://docs.google.com/spreadsheets/d/1yDAaXNsi4Mr5FtRQL4tbmSdIzhx6_m4wkOD7IG-k_eo/edit#gid=1336395716"", ""Science!M:N""), 2, FALSE)"),"List the phenomena explained by the Universal Law of Gravitation, such as tides and planetary motion.")</f>
        <v>List the phenomena explained by the Universal Law of Gravitation, such as tides and planetary motion.</v>
      </c>
      <c r="K107" s="10" t="str">
        <f t="shared" si="1"/>
        <v>LU006341.002</v>
      </c>
      <c r="L107" s="10" t="str">
        <f ca="1">IFERROR(__xludf.DUMMYFUNCTION("VLOOKUP(K107, IMPORTRANGE(""https://docs.google.com/spreadsheets/d/1yDAaXNsi4Mr5FtRQL4tbmSdIzhx6_m4wkOD7IG-k_eo/edit#gid=1336395716"", ""Science!M:N""), 2, FALSE)"),"Describe how the Universal Law of Gravitation explains the occurrence of tides and the motion of celestial bodies.")</f>
        <v>Describe how the Universal Law of Gravitation explains the occurrence of tides and the motion of celestial bodies.</v>
      </c>
      <c r="M107" s="10" t="str">
        <f t="shared" si="2"/>
        <v>LU006341.003</v>
      </c>
      <c r="N107" s="10" t="str">
        <f ca="1">IFERROR(__xludf.DUMMYFUNCTION("VLOOKUP(M107, IMPORTRANGE(""https://docs.google.com/spreadsheets/d/1yDAaXNsi4Mr5FtRQL4tbmSdIzhx6_m4wkOD7IG-k_eo/edit#gid=1336395716"", ""Science!M:N""), 2, FALSE)"),"Illustrate the effects of gravitational force on everyday phenomena like tides and the orbiting of satellites.")</f>
        <v>Illustrate the effects of gravitational force on everyday phenomena like tides and the orbiting of satellites.</v>
      </c>
      <c r="O107" s="10" t="str">
        <f t="shared" si="3"/>
        <v>LU006341.004</v>
      </c>
      <c r="P107" s="10" t="str">
        <f ca="1">IFERROR(__xludf.DUMMYFUNCTION("VLOOKUP(O107, IMPORTRANGE(""https://docs.google.com/spreadsheets/d/1yDAaXNsi4Mr5FtRQL4tbmSdIzhx6_m4wkOD7IG-k_eo/edit#gid=1336395716"", ""Science!M:N""), 2, FALSE)"),"Analyze the impact of gravitational force on different natural phenomena and celestial movements.")</f>
        <v>Analyze the impact of gravitational force on different natural phenomena and celestial movements.</v>
      </c>
      <c r="Q107" s="10" t="str">
        <f t="shared" si="4"/>
        <v>LU006341.005</v>
      </c>
      <c r="R107" s="10" t="str">
        <f ca="1">IFERROR(__xludf.DUMMYFUNCTION("VLOOKUP(Q107, IMPORTRANGE(""https://docs.google.com/spreadsheets/d/1yDAaXNsi4Mr5FtRQL4tbmSdIzhx6_m4wkOD7IG-k_eo/edit#gid=1336395716"", ""Science!M:N""), 2, FALSE)"),"Assess the role of gravitational force in maintaining the balance and structure of the solar system.")</f>
        <v>Assess the role of gravitational force in maintaining the balance and structure of the solar system.</v>
      </c>
      <c r="S107" s="10" t="str">
        <f t="shared" si="5"/>
        <v>LU006341.006</v>
      </c>
      <c r="T107" s="10" t="str">
        <f ca="1">IFERROR(__xludf.DUMMYFUNCTION("VLOOKUP(S107, IMPORTRANGE(""https://docs.google.com/spreadsheets/d/1yDAaXNsi4Mr5FtRQL4tbmSdIzhx6_m4wkOD7IG-k_eo/edit#gid=1336395716"", ""Science!M:N""), 2, FALSE)"),"Create a presentation that explains various phenomena associated with the Universal Law of Gravitation using visual aids.")</f>
        <v>Create a presentation that explains various phenomena associated with the Universal Law of Gravitation using visual aids.</v>
      </c>
      <c r="U107" s="11" t="str">
        <f ca="1">IFERROR(__xludf.DUMMYFUNCTION("ArrayFormula(VLOOKUP(G107, IMPORTRANGE(""https://docs.google.com/spreadsheets/d/1p7R4vtkWt5VOBim4ltsDG9KTzSjrtKXsMtQGXPHyND0/edit#gid=795171502"", ""'Filter 30_05_2024'!A1:M2000""), {2, 3, 4, 5,6,7,8,9,10,11,12,13}, 0))"),"#N/A")</f>
        <v>#N/A</v>
      </c>
      <c r="V107" s="11" t="str">
        <f ca="1">IFERROR(__xludf.DUMMYFUNCTION("""COMPUTED_VALUE"""),"#N/A")</f>
        <v>#N/A</v>
      </c>
      <c r="W107" s="11" t="str">
        <f ca="1">IFERROR(__xludf.DUMMYFUNCTION("""COMPUTED_VALUE"""),"#N/A")</f>
        <v>#N/A</v>
      </c>
      <c r="X107" s="11" t="str">
        <f ca="1">IFERROR(__xludf.DUMMYFUNCTION("""COMPUTED_VALUE"""),"#N/A")</f>
        <v>#N/A</v>
      </c>
      <c r="Y107" s="11" t="str">
        <f ca="1">IFERROR(__xludf.DUMMYFUNCTION("""COMPUTED_VALUE"""),"#N/A")</f>
        <v>#N/A</v>
      </c>
      <c r="Z107" s="12" t="str">
        <f ca="1">IFERROR(__xludf.DUMMYFUNCTION("""COMPUTED_VALUE"""),"#N/A")</f>
        <v>#N/A</v>
      </c>
      <c r="AA107" s="12" t="str">
        <f ca="1">IFERROR(__xludf.DUMMYFUNCTION("""COMPUTED_VALUE"""),"#N/A")</f>
        <v>#N/A</v>
      </c>
      <c r="AB107" s="12" t="str">
        <f ca="1">IFERROR(__xludf.DUMMYFUNCTION("""COMPUTED_VALUE"""),"#N/A")</f>
        <v>#N/A</v>
      </c>
      <c r="AC107" s="12" t="str">
        <f ca="1">IFERROR(__xludf.DUMMYFUNCTION("""COMPUTED_VALUE"""),"#N/A")</f>
        <v>#N/A</v>
      </c>
      <c r="AD107" s="12" t="str">
        <f ca="1">IFERROR(__xludf.DUMMYFUNCTION("""COMPUTED_VALUE"""),"#N/A")</f>
        <v>#N/A</v>
      </c>
      <c r="AE107" s="12" t="str">
        <f ca="1">IFERROR(__xludf.DUMMYFUNCTION("""COMPUTED_VALUE"""),"#N/A")</f>
        <v>#N/A</v>
      </c>
      <c r="AF107" s="12" t="str">
        <f ca="1">IFERROR(__xludf.DUMMYFUNCTION("""COMPUTED_VALUE"""),"#N/A")</f>
        <v>#N/A</v>
      </c>
      <c r="AG107" s="13" t="str">
        <f ca="1">IFERROR(__xludf.DUMMYFUNCTION("ArrayFormula(VLOOKUP(G107, IMPORTRANGE(""https://docs.google.com/spreadsheets/d/1Co934fvtviyaRiMsrIlT05Jaq7iiYq07aLvRr35KA48/edit?gid=173865642#gid=173865642"", ""'G9 Sci_Pri_LU'!G2:V2000""), {3, 4, 5, 6, 7, 8, 9, 10, 11, 12, 13, 14, 15, 16}, 0))"),"LU006339")</f>
        <v>LU006339</v>
      </c>
      <c r="AH107" s="22" t="str">
        <f ca="1">IFERROR(__xludf.DUMMYFUNCTION("""COMPUTED_VALUE"""),"Understanding Gravitational Force through Everyday Examples (Falling objects, Orbiting Planets)")</f>
        <v>Understanding Gravitational Force through Everyday Examples (Falling objects, Orbiting Planets)</v>
      </c>
      <c r="AI107" s="13" t="str">
        <f ca="1">IFERROR(__xludf.DUMMYFUNCTION("""COMPUTED_VALUE"""),"LU006338")</f>
        <v>LU006338</v>
      </c>
      <c r="AJ107" s="13" t="str">
        <f ca="1">IFERROR(__xludf.DUMMYFUNCTION("""COMPUTED_VALUE"""),"Concept of Centripetal Force in Circular Motion ")</f>
        <v xml:space="preserve">Concept of Centripetal Force in Circular Motion </v>
      </c>
      <c r="AK107" s="13"/>
      <c r="AL107" s="13"/>
      <c r="AM107" s="13"/>
      <c r="AN107" s="13"/>
      <c r="AO107" s="13"/>
      <c r="AP107" s="13"/>
      <c r="AQ107" s="13"/>
      <c r="AR107" s="13"/>
      <c r="AS107" s="13"/>
      <c r="AT107" s="13"/>
    </row>
    <row r="108" spans="1:46">
      <c r="A108" s="8" t="s">
        <v>247</v>
      </c>
      <c r="B108" s="8" t="s">
        <v>47</v>
      </c>
      <c r="C108" s="8" t="s">
        <v>979</v>
      </c>
      <c r="D108" s="9" t="s">
        <v>1510</v>
      </c>
      <c r="E108" s="8" t="s">
        <v>2388</v>
      </c>
      <c r="F108" s="10" t="s">
        <v>2395</v>
      </c>
      <c r="G108" s="114" t="s">
        <v>2396</v>
      </c>
      <c r="H108" s="8" t="str">
        <f ca="1">IFERROR(__xludf.DUMMYFUNCTION("VLOOKUP(G108, IMPORTRANGE(""https://docs.google.com/spreadsheets/d/14deopnvwcrKtEGCKuYXdUHJbeLDZlkiSSWWT0g7x2pM/edit#gid=849066331"", ""LU List Science (Filter)!A:B""), 2, FALSE)"),"Definition of Free Fall Motion and Acceleration due to Gravity (g)")</f>
        <v>Definition of Free Fall Motion and Acceleration due to Gravity (g)</v>
      </c>
      <c r="I108" s="10" t="str">
        <f t="shared" si="0"/>
        <v>LU006342.001</v>
      </c>
      <c r="J108" s="10" t="str">
        <f ca="1">IFERROR(__xludf.DUMMYFUNCTION("VLOOKUP(I108, IMPORTRANGE(""https://docs.google.com/spreadsheets/d/1yDAaXNsi4Mr5FtRQL4tbmSdIzhx6_m4wkOD7IG-k_eo/edit#gid=1336395716"", ""Science!M:N""), 2, FALSE)"),"Define free fall and acceleration due to gravity (g).")</f>
        <v>Define free fall and acceleration due to gravity (g).</v>
      </c>
      <c r="K108" s="10" t="str">
        <f t="shared" si="1"/>
        <v>LU006342.002</v>
      </c>
      <c r="L108" s="10" t="str">
        <f ca="1">IFERROR(__xludf.DUMMYFUNCTION("VLOOKUP(K108, IMPORTRANGE(""https://docs.google.com/spreadsheets/d/1yDAaXNsi4Mr5FtRQL4tbmSdIzhx6_m4wkOD7IG-k_eo/edit#gid=1336395716"", ""Science!M:N""), 2, FALSE)"),"Explain the concept of free fall and how acceleration due to gravity affects falling objects.")</f>
        <v>Explain the concept of free fall and how acceleration due to gravity affects falling objects.</v>
      </c>
      <c r="M108" s="10" t="str">
        <f t="shared" si="2"/>
        <v>LU006342.003</v>
      </c>
      <c r="N108" s="10" t="str">
        <f ca="1">IFERROR(__xludf.DUMMYFUNCTION("VLOOKUP(M108, IMPORTRANGE(""https://docs.google.com/spreadsheets/d/1yDAaXNsi4Mr5FtRQL4tbmSdIzhx6_m4wkOD7IG-k_eo/edit#gid=1336395716"", ""Science!M:N""), 2, FALSE)"),"Demonstrate free fall by dropping different objects and observing their motion.")</f>
        <v>Demonstrate free fall by dropping different objects and observing their motion.</v>
      </c>
      <c r="O108" s="10" t="str">
        <f t="shared" si="3"/>
        <v>LU006342.004</v>
      </c>
      <c r="P108" s="10" t="str">
        <f ca="1">IFERROR(__xludf.DUMMYFUNCTION("VLOOKUP(O108, IMPORTRANGE(""https://docs.google.com/spreadsheets/d/1yDAaXNsi4Mr5FtRQL4tbmSdIzhx6_m4wkOD7IG-k_eo/edit#gid=1336395716"", ""Science!M:N""), 2, FALSE)"),"Compare the free fall motion of objects with different masses and shapes.")</f>
        <v>Compare the free fall motion of objects with different masses and shapes.</v>
      </c>
      <c r="Q108" s="10" t="str">
        <f t="shared" si="4"/>
        <v>LU006342.005</v>
      </c>
      <c r="R108" s="10" t="str">
        <f ca="1">IFERROR(__xludf.DUMMYFUNCTION("VLOOKUP(Q108, IMPORTRANGE(""https://docs.google.com/spreadsheets/d/1yDAaXNsi4Mr5FtRQL4tbmSdIzhx6_m4wkOD7IG-k_eo/edit#gid=1336395716"", ""Science!M:N""), 2, FALSE)"),"Evaluate the effects of air resistance on objects in free fall and how it influences their motion.")</f>
        <v>Evaluate the effects of air resistance on objects in free fall and how it influences their motion.</v>
      </c>
      <c r="S108" s="10" t="str">
        <f t="shared" si="5"/>
        <v>LU006342.006</v>
      </c>
      <c r="T108" s="10" t="str">
        <f ca="1">IFERROR(__xludf.DUMMYFUNCTION("VLOOKUP(S108, IMPORTRANGE(""https://docs.google.com/spreadsheets/d/1yDAaXNsi4Mr5FtRQL4tbmSdIzhx6_m4wkOD7IG-k_eo/edit#gid=1336395716"", ""Science!M:N""), 2, FALSE)"),"Design an experiment to measure the acceleration due to gravity (g) using a simple pendulum or free-fall apparatus.")</f>
        <v>Design an experiment to measure the acceleration due to gravity (g) using a simple pendulum or free-fall apparatus.</v>
      </c>
      <c r="U108" s="11" t="str">
        <f ca="1">IFERROR(__xludf.DUMMYFUNCTION("ArrayFormula(VLOOKUP(G108, IMPORTRANGE(""https://docs.google.com/spreadsheets/d/1p7R4vtkWt5VOBim4ltsDG9KTzSjrtKXsMtQGXPHyND0/edit#gid=795171502"", ""'Filter 30_05_2024'!A1:M2000""), {2, 3, 4, 5,6,7,8,9,10,11,12,13}, 0))"),"#N/A")</f>
        <v>#N/A</v>
      </c>
      <c r="V108" s="11" t="str">
        <f ca="1">IFERROR(__xludf.DUMMYFUNCTION("""COMPUTED_VALUE"""),"#N/A")</f>
        <v>#N/A</v>
      </c>
      <c r="W108" s="11" t="str">
        <f ca="1">IFERROR(__xludf.DUMMYFUNCTION("""COMPUTED_VALUE"""),"#N/A")</f>
        <v>#N/A</v>
      </c>
      <c r="X108" s="11" t="str">
        <f ca="1">IFERROR(__xludf.DUMMYFUNCTION("""COMPUTED_VALUE"""),"#N/A")</f>
        <v>#N/A</v>
      </c>
      <c r="Y108" s="11" t="str">
        <f ca="1">IFERROR(__xludf.DUMMYFUNCTION("""COMPUTED_VALUE"""),"#N/A")</f>
        <v>#N/A</v>
      </c>
      <c r="Z108" s="12" t="str">
        <f ca="1">IFERROR(__xludf.DUMMYFUNCTION("""COMPUTED_VALUE"""),"#N/A")</f>
        <v>#N/A</v>
      </c>
      <c r="AA108" s="12" t="str">
        <f ca="1">IFERROR(__xludf.DUMMYFUNCTION("""COMPUTED_VALUE"""),"#N/A")</f>
        <v>#N/A</v>
      </c>
      <c r="AB108" s="12" t="str">
        <f ca="1">IFERROR(__xludf.DUMMYFUNCTION("""COMPUTED_VALUE"""),"#N/A")</f>
        <v>#N/A</v>
      </c>
      <c r="AC108" s="12" t="str">
        <f ca="1">IFERROR(__xludf.DUMMYFUNCTION("""COMPUTED_VALUE"""),"#N/A")</f>
        <v>#N/A</v>
      </c>
      <c r="AD108" s="12" t="str">
        <f ca="1">IFERROR(__xludf.DUMMYFUNCTION("""COMPUTED_VALUE"""),"#N/A")</f>
        <v>#N/A</v>
      </c>
      <c r="AE108" s="12" t="str">
        <f ca="1">IFERROR(__xludf.DUMMYFUNCTION("""COMPUTED_VALUE"""),"#N/A")</f>
        <v>#N/A</v>
      </c>
      <c r="AF108" s="12" t="str">
        <f ca="1">IFERROR(__xludf.DUMMYFUNCTION("""COMPUTED_VALUE"""),"#N/A")</f>
        <v>#N/A</v>
      </c>
      <c r="AG108" s="13" t="str">
        <f ca="1">IFERROR(__xludf.DUMMYFUNCTION("ArrayFormula(VLOOKUP(G108, IMPORTRANGE(""https://docs.google.com/spreadsheets/d/1Co934fvtviyaRiMsrIlT05Jaq7iiYq07aLvRr35KA48/edit?gid=173865642#gid=173865642"", ""'G9 Sci_Pri_LU'!G2:V2000""), {3, 4, 5, 6, 7, 8, 9, 10, 11, 12, 13, 14, 15, 16}, 0))"),"LU006339")</f>
        <v>LU006339</v>
      </c>
      <c r="AH108" s="22" t="str">
        <f ca="1">IFERROR(__xludf.DUMMYFUNCTION("""COMPUTED_VALUE"""),"Understanding Gravitational Force through Everyday Examples (Falling objects, Orbiting Planets)")</f>
        <v>Understanding Gravitational Force through Everyday Examples (Falling objects, Orbiting Planets)</v>
      </c>
      <c r="AI108" s="13" t="str">
        <f ca="1">IFERROR(__xludf.DUMMYFUNCTION("""COMPUTED_VALUE"""),"LU006321")</f>
        <v>LU006321</v>
      </c>
      <c r="AJ108" s="13" t="str">
        <f ca="1">IFERROR(__xludf.DUMMYFUNCTION("""COMPUTED_VALUE"""),"Definition and Units of Acceleration (Uniform and Non-Uniform Acceleration)")</f>
        <v>Definition and Units of Acceleration (Uniform and Non-Uniform Acceleration)</v>
      </c>
      <c r="AK108" s="13" t="str">
        <f ca="1">IFERROR(__xludf.DUMMYFUNCTION("""COMPUTED_VALUE"""),"LU006319")</f>
        <v>LU006319</v>
      </c>
      <c r="AL108" s="13" t="str">
        <f ca="1">IFERROR(__xludf.DUMMYFUNCTION("""COMPUTED_VALUE"""),"Definition of Velocity and Average Velocity ")</f>
        <v xml:space="preserve">Definition of Velocity and Average Velocity </v>
      </c>
      <c r="AM108" s="13"/>
      <c r="AN108" s="13"/>
      <c r="AO108" s="13"/>
      <c r="AP108" s="13"/>
      <c r="AQ108" s="13"/>
      <c r="AR108" s="13"/>
      <c r="AS108" s="13"/>
      <c r="AT108" s="13"/>
    </row>
    <row r="109" spans="1:46">
      <c r="A109" s="8" t="s">
        <v>247</v>
      </c>
      <c r="B109" s="8" t="s">
        <v>47</v>
      </c>
      <c r="C109" s="8" t="s">
        <v>979</v>
      </c>
      <c r="D109" s="9" t="s">
        <v>1510</v>
      </c>
      <c r="E109" s="8" t="s">
        <v>2388</v>
      </c>
      <c r="F109" s="10" t="s">
        <v>2395</v>
      </c>
      <c r="G109" s="114" t="s">
        <v>2397</v>
      </c>
      <c r="H109" s="8" t="str">
        <f ca="1">IFERROR(__xludf.DUMMYFUNCTION("VLOOKUP(G109, IMPORTRANGE(""https://docs.google.com/spreadsheets/d/14deopnvwcrKtEGCKuYXdUHJbeLDZlkiSSWWT0g7x2pM/edit#gid=849066331"", ""LU List Science (Filter)!A:B""), 2, FALSE)"),"Formula of Acceleration due to Gravity and its Value near the Surface of Earth")</f>
        <v>Formula of Acceleration due to Gravity and its Value near the Surface of Earth</v>
      </c>
      <c r="I109" s="10" t="str">
        <f t="shared" si="0"/>
        <v>LU006343.001</v>
      </c>
      <c r="J109" s="10" t="str">
        <f ca="1">IFERROR(__xludf.DUMMYFUNCTION("VLOOKUP(I109, IMPORTRANGE(""https://docs.google.com/spreadsheets/d/1yDAaXNsi4Mr5FtRQL4tbmSdIzhx6_m4wkOD7IG-k_eo/edit#gid=1336395716"", ""Science!M:N""), 2, FALSE)"),"State the formula for calculating acceleration due to gravity (g) near the surface of the Earth.")</f>
        <v>State the formula for calculating acceleration due to gravity (g) near the surface of the Earth.</v>
      </c>
      <c r="K109" s="10" t="str">
        <f t="shared" si="1"/>
        <v>LU006343.002</v>
      </c>
      <c r="L109" s="10" t="str">
        <f ca="1">IFERROR(__xludf.DUMMYFUNCTION("VLOOKUP(K109, IMPORTRANGE(""https://docs.google.com/spreadsheets/d/1yDAaXNsi4Mr5FtRQL4tbmSdIzhx6_m4wkOD7IG-k_eo/edit#gid=1336395716"", ""Science!M:N""), 2, FALSE)"),"Describe the factors that influence the value of acceleration due to gravity (g) near the Earth's surface.")</f>
        <v>Describe the factors that influence the value of acceleration due to gravity (g) near the Earth's surface.</v>
      </c>
      <c r="M109" s="10" t="str">
        <f t="shared" si="2"/>
        <v>LU006343.003</v>
      </c>
      <c r="N109" s="10" t="str">
        <f ca="1">IFERROR(__xludf.DUMMYFUNCTION("VLOOKUP(M109, IMPORTRANGE(""https://docs.google.com/spreadsheets/d/1yDAaXNsi4Mr5FtRQL4tbmSdIzhx6_m4wkOD7IG-k_eo/edit#gid=1336395716"", ""Science!M:N""), 2, FALSE)"),"Calculate the acceleration due to gravity using the given formula and known values of mass and radius of the Earth.")</f>
        <v>Calculate the acceleration due to gravity using the given formula and known values of mass and radius of the Earth.</v>
      </c>
      <c r="O109" s="10" t="str">
        <f t="shared" si="3"/>
        <v>LU006343.004</v>
      </c>
      <c r="P109" s="10" t="str">
        <f ca="1">IFERROR(__xludf.DUMMYFUNCTION("VLOOKUP(O109, IMPORTRANGE(""https://docs.google.com/spreadsheets/d/1yDAaXNsi4Mr5FtRQL4tbmSdIzhx6_m4wkOD7IG-k_eo/edit#gid=1336395716"", ""Science!M:N""), 2, FALSE)"),"Analyze the variations in the value of g at different locations on the Earth's surface.")</f>
        <v>Analyze the variations in the value of g at different locations on the Earth's surface.</v>
      </c>
      <c r="Q109" s="10" t="str">
        <f t="shared" si="4"/>
        <v>LU006343.005</v>
      </c>
      <c r="R109" s="10" t="str">
        <f ca="1">IFERROR(__xludf.DUMMYFUNCTION("VLOOKUP(Q109, IMPORTRANGE(""https://docs.google.com/spreadsheets/d/1yDAaXNsi4Mr5FtRQL4tbmSdIzhx6_m4wkOD7IG-k_eo/edit#gid=1336395716"", ""Science!M:N""), 2, FALSE)"),"Evaluate the significance of knowing the value of g for scientific and engineering applications.")</f>
        <v>Evaluate the significance of knowing the value of g for scientific and engineering applications.</v>
      </c>
      <c r="S109" s="10" t="str">
        <f t="shared" si="5"/>
        <v>LU006343.006</v>
      </c>
      <c r="T109" s="10" t="str">
        <f ca="1">IFERROR(__xludf.DUMMYFUNCTION("VLOOKUP(S109, IMPORTRANGE(""https://docs.google.com/spreadsheets/d/1yDAaXNsi4Mr5FtRQL4tbmSdIzhx6_m4wkOD7IG-k_eo/edit#gid=1336395716"", ""Science!M:N""), 2, FALSE)"),"Create a detailed report explaining the derivation of the formula for acceleration due to gravity and its applications.")</f>
        <v>Create a detailed report explaining the derivation of the formula for acceleration due to gravity and its applications.</v>
      </c>
      <c r="U109" s="11" t="str">
        <f ca="1">IFERROR(__xludf.DUMMYFUNCTION("ArrayFormula(VLOOKUP(G109, IMPORTRANGE(""https://docs.google.com/spreadsheets/d/1p7R4vtkWt5VOBim4ltsDG9KTzSjrtKXsMtQGXPHyND0/edit#gid=795171502"", ""'Filter 30_05_2024'!A1:M2000""), {2, 3, 4, 5,6,7,8,9,10,11,12,13}, 0))"),"#N/A")</f>
        <v>#N/A</v>
      </c>
      <c r="V109" s="11" t="str">
        <f ca="1">IFERROR(__xludf.DUMMYFUNCTION("""COMPUTED_VALUE"""),"#N/A")</f>
        <v>#N/A</v>
      </c>
      <c r="W109" s="11" t="str">
        <f ca="1">IFERROR(__xludf.DUMMYFUNCTION("""COMPUTED_VALUE"""),"#N/A")</f>
        <v>#N/A</v>
      </c>
      <c r="X109" s="11" t="str">
        <f ca="1">IFERROR(__xludf.DUMMYFUNCTION("""COMPUTED_VALUE"""),"#N/A")</f>
        <v>#N/A</v>
      </c>
      <c r="Y109" s="11" t="str">
        <f ca="1">IFERROR(__xludf.DUMMYFUNCTION("""COMPUTED_VALUE"""),"#N/A")</f>
        <v>#N/A</v>
      </c>
      <c r="Z109" s="12" t="str">
        <f ca="1">IFERROR(__xludf.DUMMYFUNCTION("""COMPUTED_VALUE"""),"#N/A")</f>
        <v>#N/A</v>
      </c>
      <c r="AA109" s="12" t="str">
        <f ca="1">IFERROR(__xludf.DUMMYFUNCTION("""COMPUTED_VALUE"""),"#N/A")</f>
        <v>#N/A</v>
      </c>
      <c r="AB109" s="12" t="str">
        <f ca="1">IFERROR(__xludf.DUMMYFUNCTION("""COMPUTED_VALUE"""),"#N/A")</f>
        <v>#N/A</v>
      </c>
      <c r="AC109" s="12" t="str">
        <f ca="1">IFERROR(__xludf.DUMMYFUNCTION("""COMPUTED_VALUE"""),"#N/A")</f>
        <v>#N/A</v>
      </c>
      <c r="AD109" s="12" t="str">
        <f ca="1">IFERROR(__xludf.DUMMYFUNCTION("""COMPUTED_VALUE"""),"#N/A")</f>
        <v>#N/A</v>
      </c>
      <c r="AE109" s="12" t="str">
        <f ca="1">IFERROR(__xludf.DUMMYFUNCTION("""COMPUTED_VALUE"""),"#N/A")</f>
        <v>#N/A</v>
      </c>
      <c r="AF109" s="12" t="str">
        <f ca="1">IFERROR(__xludf.DUMMYFUNCTION("""COMPUTED_VALUE"""),"#N/A")</f>
        <v>#N/A</v>
      </c>
      <c r="AG109" s="13" t="str">
        <f ca="1">IFERROR(__xludf.DUMMYFUNCTION("ArrayFormula(VLOOKUP(G109, IMPORTRANGE(""https://docs.google.com/spreadsheets/d/1Co934fvtviyaRiMsrIlT05Jaq7iiYq07aLvRr35KA48/edit?gid=173865642#gid=173865642"", ""'G9 Sci_Pri_LU'!G2:V2000""), {3, 4, 5, 6, 7, 8, 9, 10, 11, 12, 13, 14, 15, 16}, 0))"),"LU006342")</f>
        <v>LU006342</v>
      </c>
      <c r="AH109" s="22" t="str">
        <f ca="1">IFERROR(__xludf.DUMMYFUNCTION("""COMPUTED_VALUE"""),"Definition of Free Fall Motion and Acceleration due to Gravity (g)")</f>
        <v>Definition of Free Fall Motion and Acceleration due to Gravity (g)</v>
      </c>
      <c r="AI109" s="13" t="str">
        <f ca="1">IFERROR(__xludf.DUMMYFUNCTION("""COMPUTED_VALUE"""),"LU006321")</f>
        <v>LU006321</v>
      </c>
      <c r="AJ109" s="13" t="str">
        <f ca="1">IFERROR(__xludf.DUMMYFUNCTION("""COMPUTED_VALUE"""),"Definition and Units of Acceleration (Uniform and Non-Uniform Acceleration)")</f>
        <v>Definition and Units of Acceleration (Uniform and Non-Uniform Acceleration)</v>
      </c>
      <c r="AK109" s="13" t="str">
        <f ca="1">IFERROR(__xludf.DUMMYFUNCTION("""COMPUTED_VALUE"""),"LU006334")</f>
        <v>LU006334</v>
      </c>
      <c r="AL109" s="13" t="str">
        <f ca="1">IFERROR(__xludf.DUMMYFUNCTION("""COMPUTED_VALUE"""),"Newton's Second Law of Motion and its application in everyday life ")</f>
        <v xml:space="preserve">Newton's Second Law of Motion and its application in everyday life </v>
      </c>
      <c r="AM109" s="13"/>
      <c r="AN109" s="13"/>
      <c r="AO109" s="13"/>
      <c r="AP109" s="13"/>
      <c r="AQ109" s="13"/>
      <c r="AR109" s="13"/>
      <c r="AS109" s="13"/>
      <c r="AT109" s="13"/>
    </row>
    <row r="110" spans="1:46">
      <c r="A110" s="8" t="s">
        <v>247</v>
      </c>
      <c r="B110" s="8" t="s">
        <v>47</v>
      </c>
      <c r="C110" s="8" t="s">
        <v>979</v>
      </c>
      <c r="D110" s="9" t="s">
        <v>1510</v>
      </c>
      <c r="E110" s="8" t="s">
        <v>2388</v>
      </c>
      <c r="F110" s="10" t="s">
        <v>2395</v>
      </c>
      <c r="G110" s="114" t="s">
        <v>2398</v>
      </c>
      <c r="H110" s="8" t="str">
        <f ca="1">IFERROR(__xludf.DUMMYFUNCTION("VLOOKUP(G110, IMPORTRANGE(""https://docs.google.com/spreadsheets/d/14deopnvwcrKtEGCKuYXdUHJbeLDZlkiSSWWT0g7x2pM/edit#gid=849066331"", ""LU List Science (Filter)!A:B""), 2, FALSE)"),"Mass Independence in Gravitational Acceleration.")</f>
        <v>Mass Independence in Gravitational Acceleration.</v>
      </c>
      <c r="I110" s="10" t="str">
        <f t="shared" si="0"/>
        <v>LU006344.001</v>
      </c>
      <c r="J110" s="10" t="str">
        <f ca="1">IFERROR(__xludf.DUMMYFUNCTION("VLOOKUP(I110, IMPORTRANGE(""https://docs.google.com/spreadsheets/d/1yDAaXNsi4Mr5FtRQL4tbmSdIzhx6_m4wkOD7IG-k_eo/edit#gid=1336395716"", ""Science!M:N""), 2, FALSE)"),"Recall the principle that gravitational acceleration is independent of an object's mass.")</f>
        <v>Recall the principle that gravitational acceleration is independent of an object's mass.</v>
      </c>
      <c r="K110" s="10" t="str">
        <f t="shared" si="1"/>
        <v>LU006344.002</v>
      </c>
      <c r="L110" s="10" t="str">
        <f ca="1">IFERROR(__xludf.DUMMYFUNCTION("VLOOKUP(K110, IMPORTRANGE(""https://docs.google.com/spreadsheets/d/1yDAaXNsi4Mr5FtRQL4tbmSdIzhx6_m4wkOD7IG-k_eo/edit#gid=1336395716"", ""Science!M:N""), 2, FALSE)"),"Explain why all objects, regardless of mass, experience the same acceleration due to gravity when in free fall.")</f>
        <v>Explain why all objects, regardless of mass, experience the same acceleration due to gravity when in free fall.</v>
      </c>
      <c r="M110" s="10" t="str">
        <f t="shared" si="2"/>
        <v>LU006344.003</v>
      </c>
      <c r="N110" s="10" t="str">
        <f ca="1">IFERROR(__xludf.DUMMYFUNCTION("VLOOKUP(M110, IMPORTRANGE(""https://docs.google.com/spreadsheets/d/1yDAaXNsi4Mr5FtRQL4tbmSdIzhx6_m4wkOD7IG-k_eo/edit#gid=1336395716"", ""Science!M:N""), 2, FALSE)"),"Demonstrate the independence of mass in gravitational acceleration through experiments, such as dropping different objects in a vacuum.")</f>
        <v>Demonstrate the independence of mass in gravitational acceleration through experiments, such as dropping different objects in a vacuum.</v>
      </c>
      <c r="O110" s="10" t="str">
        <f t="shared" si="3"/>
        <v>LU006344.004</v>
      </c>
      <c r="P110" s="10" t="str">
        <f ca="1">IFERROR(__xludf.DUMMYFUNCTION("VLOOKUP(O110, IMPORTRANGE(""https://docs.google.com/spreadsheets/d/1yDAaXNsi4Mr5FtRQL4tbmSdIzhx6_m4wkOD7IG-k_eo/edit#gid=1336395716"", ""Science!M:N""), 2, FALSE)"),"Analyze historical experiments, like those conducted by Galileo, that demonstrate the mass independence in gravitational acceleration.")</f>
        <v>Analyze historical experiments, like those conducted by Galileo, that demonstrate the mass independence in gravitational acceleration.</v>
      </c>
      <c r="Q110" s="10" t="str">
        <f t="shared" si="4"/>
        <v>LU006344.005</v>
      </c>
      <c r="R110" s="10" t="str">
        <f ca="1">IFERROR(__xludf.DUMMYFUNCTION("VLOOKUP(Q110, IMPORTRANGE(""https://docs.google.com/spreadsheets/d/1yDAaXNsi4Mr5FtRQL4tbmSdIzhx6_m4wkOD7IG-k_eo/edit#gid=1336395716"", ""Science!M:N""), 2, FALSE)"),"Evaluate the implications of mass independence in gravitational acceleration for space missions and satellite launches.")</f>
        <v>Evaluate the implications of mass independence in gravitational acceleration for space missions and satellite launches.</v>
      </c>
      <c r="S110" s="10" t="str">
        <f t="shared" si="5"/>
        <v>LU006344.006</v>
      </c>
      <c r="T110" s="10" t="str">
        <f ca="1">IFERROR(__xludf.DUMMYFUNCTION("VLOOKUP(S110, IMPORTRANGE(""https://docs.google.com/spreadsheets/d/1yDAaXNsi4Mr5FtRQL4tbmSdIzhx6_m4wkOD7IG-k_eo/edit#gid=1336395716"", ""Science!M:N""), 2, FALSE)"),"Design an educational video that explains and demonstrates the concept of mass independence in gravitational acceleration.")</f>
        <v>Design an educational video that explains and demonstrates the concept of mass independence in gravitational acceleration.</v>
      </c>
      <c r="U110" s="11" t="str">
        <f ca="1">IFERROR(__xludf.DUMMYFUNCTION("ArrayFormula(VLOOKUP(G110, IMPORTRANGE(""https://docs.google.com/spreadsheets/d/1p7R4vtkWt5VOBim4ltsDG9KTzSjrtKXsMtQGXPHyND0/edit#gid=795171502"", ""'Filter 30_05_2024'!A1:M2000""), {2, 3, 4, 5,6,7,8,9,10,11,12,13}, 0))"),"#N/A")</f>
        <v>#N/A</v>
      </c>
      <c r="V110" s="11" t="str">
        <f ca="1">IFERROR(__xludf.DUMMYFUNCTION("""COMPUTED_VALUE"""),"#N/A")</f>
        <v>#N/A</v>
      </c>
      <c r="W110" s="11" t="str">
        <f ca="1">IFERROR(__xludf.DUMMYFUNCTION("""COMPUTED_VALUE"""),"#N/A")</f>
        <v>#N/A</v>
      </c>
      <c r="X110" s="11" t="str">
        <f ca="1">IFERROR(__xludf.DUMMYFUNCTION("""COMPUTED_VALUE"""),"#N/A")</f>
        <v>#N/A</v>
      </c>
      <c r="Y110" s="11" t="str">
        <f ca="1">IFERROR(__xludf.DUMMYFUNCTION("""COMPUTED_VALUE"""),"#N/A")</f>
        <v>#N/A</v>
      </c>
      <c r="Z110" s="12" t="str">
        <f ca="1">IFERROR(__xludf.DUMMYFUNCTION("""COMPUTED_VALUE"""),"#N/A")</f>
        <v>#N/A</v>
      </c>
      <c r="AA110" s="12" t="str">
        <f ca="1">IFERROR(__xludf.DUMMYFUNCTION("""COMPUTED_VALUE"""),"#N/A")</f>
        <v>#N/A</v>
      </c>
      <c r="AB110" s="12" t="str">
        <f ca="1">IFERROR(__xludf.DUMMYFUNCTION("""COMPUTED_VALUE"""),"#N/A")</f>
        <v>#N/A</v>
      </c>
      <c r="AC110" s="12" t="str">
        <f ca="1">IFERROR(__xludf.DUMMYFUNCTION("""COMPUTED_VALUE"""),"#N/A")</f>
        <v>#N/A</v>
      </c>
      <c r="AD110" s="12" t="str">
        <f ca="1">IFERROR(__xludf.DUMMYFUNCTION("""COMPUTED_VALUE"""),"#N/A")</f>
        <v>#N/A</v>
      </c>
      <c r="AE110" s="12" t="str">
        <f ca="1">IFERROR(__xludf.DUMMYFUNCTION("""COMPUTED_VALUE"""),"#N/A")</f>
        <v>#N/A</v>
      </c>
      <c r="AF110" s="12" t="str">
        <f ca="1">IFERROR(__xludf.DUMMYFUNCTION("""COMPUTED_VALUE"""),"#N/A")</f>
        <v>#N/A</v>
      </c>
      <c r="AG110" s="13" t="str">
        <f ca="1">IFERROR(__xludf.DUMMYFUNCTION("ArrayFormula(VLOOKUP(G110, IMPORTRANGE(""https://docs.google.com/spreadsheets/d/1Co934fvtviyaRiMsrIlT05Jaq7iiYq07aLvRr35KA48/edit?gid=173865642#gid=173865642"", ""'G9 Sci_Pri_LU'!G2:V2000""), {3, 4, 5, 6, 7, 8, 9, 10, 11, 12, 13, 14, 15, 16}, 0))"),"LU006342")</f>
        <v>LU006342</v>
      </c>
      <c r="AH110" s="22" t="str">
        <f ca="1">IFERROR(__xludf.DUMMYFUNCTION("""COMPUTED_VALUE"""),"Definition of Free Fall Motion and Acceleration due to Gravity (g)")</f>
        <v>Definition of Free Fall Motion and Acceleration due to Gravity (g)</v>
      </c>
      <c r="AI110" s="13" t="str">
        <f ca="1">IFERROR(__xludf.DUMMYFUNCTION("""COMPUTED_VALUE"""),"LU006343")</f>
        <v>LU006343</v>
      </c>
      <c r="AJ110" s="13" t="str">
        <f ca="1">IFERROR(__xludf.DUMMYFUNCTION("""COMPUTED_VALUE"""),"Formula of Acceleration due to Gravity and its Value near the Surface of Earth")</f>
        <v>Formula of Acceleration due to Gravity and its Value near the Surface of Earth</v>
      </c>
      <c r="AK110" s="13" t="str">
        <f ca="1">IFERROR(__xludf.DUMMYFUNCTION("""COMPUTED_VALUE"""),"LU006321")</f>
        <v>LU006321</v>
      </c>
      <c r="AL110" s="13" t="str">
        <f ca="1">IFERROR(__xludf.DUMMYFUNCTION("""COMPUTED_VALUE"""),"Definition and Units of Acceleration (Uniform and Non-Uniform Acceleration)")</f>
        <v>Definition and Units of Acceleration (Uniform and Non-Uniform Acceleration)</v>
      </c>
      <c r="AM110" s="13"/>
      <c r="AN110" s="13"/>
      <c r="AO110" s="13"/>
      <c r="AP110" s="13"/>
      <c r="AQ110" s="13"/>
      <c r="AR110" s="13"/>
      <c r="AS110" s="13"/>
      <c r="AT110" s="13"/>
    </row>
    <row r="111" spans="1:46">
      <c r="A111" s="8" t="s">
        <v>247</v>
      </c>
      <c r="B111" s="8" t="s">
        <v>47</v>
      </c>
      <c r="C111" s="8" t="s">
        <v>979</v>
      </c>
      <c r="D111" s="9" t="s">
        <v>1510</v>
      </c>
      <c r="E111" s="8" t="s">
        <v>2388</v>
      </c>
      <c r="F111" s="10" t="s">
        <v>2399</v>
      </c>
      <c r="G111" s="114" t="s">
        <v>2400</v>
      </c>
      <c r="H111" s="8" t="str">
        <f ca="1">IFERROR(__xludf.DUMMYFUNCTION("VLOOKUP(G111, IMPORTRANGE(""https://docs.google.com/spreadsheets/d/14deopnvwcrKtEGCKuYXdUHJbeLDZlkiSSWWT0g7x2pM/edit#gid=849066331"", ""LU List Science (Filter)!A:B""), 2, FALSE)"),"Application of Equation of Motions for Motion of Objects Under Gravity")</f>
        <v>Application of Equation of Motions for Motion of Objects Under Gravity</v>
      </c>
      <c r="I111" s="10" t="str">
        <f t="shared" si="0"/>
        <v>LU006345.001</v>
      </c>
      <c r="J111" s="10" t="str">
        <f ca="1">IFERROR(__xludf.DUMMYFUNCTION("VLOOKUP(I111, IMPORTRANGE(""https://docs.google.com/spreadsheets/d/1yDAaXNsi4Mr5FtRQL4tbmSdIzhx6_m4wkOD7IG-k_eo/edit#gid=1336395716"", ""Science!M:N""), 2, FALSE)"),"State the equations of motion for objects under the influence of gravity.")</f>
        <v>State the equations of motion for objects under the influence of gravity.</v>
      </c>
      <c r="K111" s="10" t="str">
        <f t="shared" si="1"/>
        <v>LU006345.002</v>
      </c>
      <c r="L111" s="10" t="str">
        <f ca="1">IFERROR(__xludf.DUMMYFUNCTION("VLOOKUP(K111, IMPORTRANGE(""https://docs.google.com/spreadsheets/d/1yDAaXNsi4Mr5FtRQL4tbmSdIzhx6_m4wkOD7IG-k_eo/edit#gid=1336395716"", ""Science!M:N""), 2, FALSE)"),"Explain how the equations of motion are applied to objects moving under the influence of gravity.")</f>
        <v>Explain how the equations of motion are applied to objects moving under the influence of gravity.</v>
      </c>
      <c r="M111" s="10" t="str">
        <f t="shared" si="2"/>
        <v>LU006345.003</v>
      </c>
      <c r="N111" s="10" t="str">
        <f ca="1">IFERROR(__xludf.DUMMYFUNCTION("VLOOKUP(M111, IMPORTRANGE(""https://docs.google.com/spreadsheets/d/1yDAaXNsi4Mr5FtRQL4tbmSdIzhx6_m4wkOD7IG-k_eo/edit#gid=1336395716"", ""Science!M:N""), 2, FALSE)"),"Solve problems involving the motion of objects under gravity using the equations of motion.")</f>
        <v>Solve problems involving the motion of objects under gravity using the equations of motion.</v>
      </c>
      <c r="O111" s="10" t="str">
        <f t="shared" si="3"/>
        <v>LU006345.004</v>
      </c>
      <c r="P111" s="10" t="str">
        <f ca="1">IFERROR(__xludf.DUMMYFUNCTION("VLOOKUP(O111, IMPORTRANGE(""https://docs.google.com/spreadsheets/d/1yDAaXNsi4Mr5FtRQL4tbmSdIzhx6_m4wkOD7IG-k_eo/edit#gid=1336395716"", ""Science!M:N""), 2, FALSE)"),"Analyze the motion of objects under gravity by plotting graphs of their position, velocity, and acceleration over time.")</f>
        <v>Analyze the motion of objects under gravity by plotting graphs of their position, velocity, and acceleration over time.</v>
      </c>
      <c r="Q111" s="10" t="str">
        <f t="shared" si="4"/>
        <v>LU006345.005</v>
      </c>
      <c r="R111" s="10" t="str">
        <f ca="1">IFERROR(__xludf.DUMMYFUNCTION("VLOOKUP(Q111, IMPORTRANGE(""https://docs.google.com/spreadsheets/d/1yDAaXNsi4Mr5FtRQL4tbmSdIzhx6_m4wkOD7IG-k_eo/edit#gid=1336395716"", ""Science!M:N""), 2, FALSE)"),"Assess the accuracy and limitations of using the equations of motion to predict the behavior of objects under gravity.")</f>
        <v>Assess the accuracy and limitations of using the equations of motion to predict the behavior of objects under gravity.</v>
      </c>
      <c r="S111" s="10" t="str">
        <f t="shared" si="5"/>
        <v>LU006345.006</v>
      </c>
      <c r="T111" s="10" t="str">
        <f ca="1">IFERROR(__xludf.DUMMYFUNCTION("VLOOKUP(S111, IMPORTRANGE(""https://docs.google.com/spreadsheets/d/1yDAaXNsi4Mr5FtRQL4tbmSdIzhx6_m4wkOD7IG-k_eo/edit#gid=1336395716"", ""Science!M:N""), 2, FALSE)"),"Create a set of problems and solutions that involve applying the equations of motion to real-life scenarios involving gravity.")</f>
        <v>Create a set of problems and solutions that involve applying the equations of motion to real-life scenarios involving gravity.</v>
      </c>
      <c r="U111" s="11" t="str">
        <f ca="1">IFERROR(__xludf.DUMMYFUNCTION("ArrayFormula(VLOOKUP(G111, IMPORTRANGE(""https://docs.google.com/spreadsheets/d/1p7R4vtkWt5VOBim4ltsDG9KTzSjrtKXsMtQGXPHyND0/edit#gid=795171502"", ""'Filter 30_05_2024'!A1:M2000""), {2, 3, 4, 5,6,7,8,9,10,11,12,13}, 0))"),"#N/A")</f>
        <v>#N/A</v>
      </c>
      <c r="V111" s="11" t="str">
        <f ca="1">IFERROR(__xludf.DUMMYFUNCTION("""COMPUTED_VALUE"""),"#N/A")</f>
        <v>#N/A</v>
      </c>
      <c r="W111" s="11" t="str">
        <f ca="1">IFERROR(__xludf.DUMMYFUNCTION("""COMPUTED_VALUE"""),"#N/A")</f>
        <v>#N/A</v>
      </c>
      <c r="X111" s="11" t="str">
        <f ca="1">IFERROR(__xludf.DUMMYFUNCTION("""COMPUTED_VALUE"""),"#N/A")</f>
        <v>#N/A</v>
      </c>
      <c r="Y111" s="11" t="str">
        <f ca="1">IFERROR(__xludf.DUMMYFUNCTION("""COMPUTED_VALUE"""),"#N/A")</f>
        <v>#N/A</v>
      </c>
      <c r="Z111" s="12" t="str">
        <f ca="1">IFERROR(__xludf.DUMMYFUNCTION("""COMPUTED_VALUE"""),"#N/A")</f>
        <v>#N/A</v>
      </c>
      <c r="AA111" s="12" t="str">
        <f ca="1">IFERROR(__xludf.DUMMYFUNCTION("""COMPUTED_VALUE"""),"#N/A")</f>
        <v>#N/A</v>
      </c>
      <c r="AB111" s="12" t="str">
        <f ca="1">IFERROR(__xludf.DUMMYFUNCTION("""COMPUTED_VALUE"""),"#N/A")</f>
        <v>#N/A</v>
      </c>
      <c r="AC111" s="12" t="str">
        <f ca="1">IFERROR(__xludf.DUMMYFUNCTION("""COMPUTED_VALUE"""),"#N/A")</f>
        <v>#N/A</v>
      </c>
      <c r="AD111" s="12" t="str">
        <f ca="1">IFERROR(__xludf.DUMMYFUNCTION("""COMPUTED_VALUE"""),"#N/A")</f>
        <v>#N/A</v>
      </c>
      <c r="AE111" s="12" t="str">
        <f ca="1">IFERROR(__xludf.DUMMYFUNCTION("""COMPUTED_VALUE"""),"#N/A")</f>
        <v>#N/A</v>
      </c>
      <c r="AF111" s="12" t="str">
        <f ca="1">IFERROR(__xludf.DUMMYFUNCTION("""COMPUTED_VALUE"""),"#N/A")</f>
        <v>#N/A</v>
      </c>
      <c r="AG111" s="13" t="str">
        <f ca="1">IFERROR(__xludf.DUMMYFUNCTION("ArrayFormula(VLOOKUP(G111, IMPORTRANGE(""https://docs.google.com/spreadsheets/d/1Co934fvtviyaRiMsrIlT05Jaq7iiYq07aLvRr35KA48/edit?gid=173865642#gid=173865642"", ""'G9 Sci_Pri_LU'!G2:V2000""), {3, 4, 5, 6, 7, 8, 9, 10, 11, 12, 13, 14, 15, 16}, 0))"),"LU006343")</f>
        <v>LU006343</v>
      </c>
      <c r="AH111" s="22" t="str">
        <f ca="1">IFERROR(__xludf.DUMMYFUNCTION("""COMPUTED_VALUE"""),"Formula of Acceleration due to Gravity and its Value near the Surface of Earth")</f>
        <v>Formula of Acceleration due to Gravity and its Value near the Surface of Earth</v>
      </c>
      <c r="AI111" s="13" t="str">
        <f ca="1">IFERROR(__xludf.DUMMYFUNCTION("""COMPUTED_VALUE"""),"LU006325")</f>
        <v>LU006325</v>
      </c>
      <c r="AJ111" s="13" t="str">
        <f ca="1">IFERROR(__xludf.DUMMYFUNCTION("""COMPUTED_VALUE"""),"Phenonema involving all equations of motion")</f>
        <v>Phenonema involving all equations of motion</v>
      </c>
      <c r="AK111" s="13"/>
      <c r="AL111" s="13"/>
      <c r="AM111" s="13"/>
      <c r="AN111" s="13"/>
      <c r="AO111" s="13"/>
      <c r="AP111" s="13"/>
      <c r="AQ111" s="13"/>
      <c r="AR111" s="13"/>
      <c r="AS111" s="13"/>
      <c r="AT111" s="13"/>
    </row>
    <row r="112" spans="1:46">
      <c r="A112" s="8" t="s">
        <v>247</v>
      </c>
      <c r="B112" s="8" t="s">
        <v>47</v>
      </c>
      <c r="C112" s="8" t="s">
        <v>979</v>
      </c>
      <c r="D112" s="9" t="s">
        <v>1510</v>
      </c>
      <c r="E112" s="8" t="s">
        <v>2388</v>
      </c>
      <c r="F112" s="10" t="s">
        <v>2401</v>
      </c>
      <c r="G112" s="114" t="s">
        <v>2402</v>
      </c>
      <c r="H112" s="8" t="str">
        <f ca="1">IFERROR(__xludf.DUMMYFUNCTION("VLOOKUP(G112, IMPORTRANGE(""https://docs.google.com/spreadsheets/d/14deopnvwcrKtEGCKuYXdUHJbeLDZlkiSSWWT0g7x2pM/edit#gid=849066331"", ""LU List Science (Filter)!A:B""), 2, FALSE)"),"Understanding Weight and Mass")</f>
        <v>Understanding Weight and Mass</v>
      </c>
      <c r="I112" s="10" t="str">
        <f t="shared" si="0"/>
        <v>LU006346.001</v>
      </c>
      <c r="J112" s="10" t="str">
        <f ca="1">IFERROR(__xludf.DUMMYFUNCTION("VLOOKUP(I112, IMPORTRANGE(""https://docs.google.com/spreadsheets/d/1yDAaXNsi4Mr5FtRQL4tbmSdIzhx6_m4wkOD7IG-k_eo/edit#gid=1336395716"", ""Science!M:N""), 2, FALSE)"),"Define weight and mass and state their units.")</f>
        <v>Define weight and mass and state their units.</v>
      </c>
      <c r="K112" s="10" t="str">
        <f t="shared" si="1"/>
        <v>LU006346.002</v>
      </c>
      <c r="L112" s="10" t="str">
        <f ca="1">IFERROR(__xludf.DUMMYFUNCTION("VLOOKUP(K112, IMPORTRANGE(""https://docs.google.com/spreadsheets/d/1yDAaXNsi4Mr5FtRQL4tbmSdIzhx6_m4wkOD7IG-k_eo/edit#gid=1336395716"", ""Science!M:N""), 2, FALSE)"),"Explain the difference between weight and mass with examples.")</f>
        <v>Explain the difference between weight and mass with examples.</v>
      </c>
      <c r="M112" s="10" t="str">
        <f t="shared" si="2"/>
        <v>LU006346.003</v>
      </c>
      <c r="N112" s="10" t="str">
        <f ca="1">IFERROR(__xludf.DUMMYFUNCTION("VLOOKUP(M112, IMPORTRANGE(""https://docs.google.com/spreadsheets/d/1yDAaXNsi4Mr5FtRQL4tbmSdIzhx6_m4wkOD7IG-k_eo/edit#gid=1336395716"", ""Science!M:N""), 2, FALSE)"),"Calculate the weight of an object given its mass and the acceleration due to gravity.")</f>
        <v>Calculate the weight of an object given its mass and the acceleration due to gravity.</v>
      </c>
      <c r="O112" s="10" t="str">
        <f t="shared" si="3"/>
        <v>LU006346.004</v>
      </c>
      <c r="P112" s="10" t="str">
        <f ca="1">IFERROR(__xludf.DUMMYFUNCTION("VLOOKUP(O112, IMPORTRANGE(""https://docs.google.com/spreadsheets/d/1yDAaXNsi4Mr5FtRQL4tbmSdIzhx6_m4wkOD7IG-k_eo/edit#gid=1336395716"", ""Science!M:N""), 2, FALSE)"),"Compare the weight and mass of objects in different gravitational fields, such as on Earth and the Moon.")</f>
        <v>Compare the weight and mass of objects in different gravitational fields, such as on Earth and the Moon.</v>
      </c>
      <c r="Q112" s="10" t="str">
        <f t="shared" si="4"/>
        <v>LU006346.005</v>
      </c>
      <c r="R112" s="10" t="str">
        <f ca="1">IFERROR(__xludf.DUMMYFUNCTION("VLOOKUP(Q112, IMPORTRANGE(""https://docs.google.com/spreadsheets/d/1yDAaXNsi4Mr5FtRQL4tbmSdIzhx6_m4wkOD7IG-k_eo/edit#gid=1336395716"", ""Science!M:N""), 2, FALSE)"),"Evaluate the importance of distinguishing between weight and mass in scientific measurements and everyday life.")</f>
        <v>Evaluate the importance of distinguishing between weight and mass in scientific measurements and everyday life.</v>
      </c>
      <c r="S112" s="10" t="str">
        <f t="shared" si="5"/>
        <v>LU006346.006</v>
      </c>
      <c r="T112" s="10" t="str">
        <f ca="1">IFERROR(__xludf.DUMMYFUNCTION("VLOOKUP(S112, IMPORTRANGE(""https://docs.google.com/spreadsheets/d/1yDAaXNsi4Mr5FtRQL4tbmSdIzhx6_m4wkOD7IG-k_eo/edit#gid=1336395716"", ""Science!M:N""), 2, FALSE)"),"Develop a visual aid that clearly illustrates the difference between weight and mass and how they are measured.")</f>
        <v>Develop a visual aid that clearly illustrates the difference between weight and mass and how they are measured.</v>
      </c>
      <c r="U112" s="11" t="str">
        <f ca="1">IFERROR(__xludf.DUMMYFUNCTION("ArrayFormula(VLOOKUP(G112, IMPORTRANGE(""https://docs.google.com/spreadsheets/d/1p7R4vtkWt5VOBim4ltsDG9KTzSjrtKXsMtQGXPHyND0/edit#gid=795171502"", ""'Filter 30_05_2024'!A1:M2000""), {2, 3, 4, 5,6,7,8,9,10,11,12,13}, 0))"),"#N/A")</f>
        <v>#N/A</v>
      </c>
      <c r="V112" s="11" t="str">
        <f ca="1">IFERROR(__xludf.DUMMYFUNCTION("""COMPUTED_VALUE"""),"#N/A")</f>
        <v>#N/A</v>
      </c>
      <c r="W112" s="11" t="str">
        <f ca="1">IFERROR(__xludf.DUMMYFUNCTION("""COMPUTED_VALUE"""),"#N/A")</f>
        <v>#N/A</v>
      </c>
      <c r="X112" s="11" t="str">
        <f ca="1">IFERROR(__xludf.DUMMYFUNCTION("""COMPUTED_VALUE"""),"#N/A")</f>
        <v>#N/A</v>
      </c>
      <c r="Y112" s="11" t="str">
        <f ca="1">IFERROR(__xludf.DUMMYFUNCTION("""COMPUTED_VALUE"""),"#N/A")</f>
        <v>#N/A</v>
      </c>
      <c r="Z112" s="12" t="str">
        <f ca="1">IFERROR(__xludf.DUMMYFUNCTION("""COMPUTED_VALUE"""),"#N/A")</f>
        <v>#N/A</v>
      </c>
      <c r="AA112" s="12" t="str">
        <f ca="1">IFERROR(__xludf.DUMMYFUNCTION("""COMPUTED_VALUE"""),"#N/A")</f>
        <v>#N/A</v>
      </c>
      <c r="AB112" s="12" t="str">
        <f ca="1">IFERROR(__xludf.DUMMYFUNCTION("""COMPUTED_VALUE"""),"#N/A")</f>
        <v>#N/A</v>
      </c>
      <c r="AC112" s="12" t="str">
        <f ca="1">IFERROR(__xludf.DUMMYFUNCTION("""COMPUTED_VALUE"""),"#N/A")</f>
        <v>#N/A</v>
      </c>
      <c r="AD112" s="12" t="str">
        <f ca="1">IFERROR(__xludf.DUMMYFUNCTION("""COMPUTED_VALUE"""),"#N/A")</f>
        <v>#N/A</v>
      </c>
      <c r="AE112" s="12" t="str">
        <f ca="1">IFERROR(__xludf.DUMMYFUNCTION("""COMPUTED_VALUE"""),"#N/A")</f>
        <v>#N/A</v>
      </c>
      <c r="AF112" s="12" t="str">
        <f ca="1">IFERROR(__xludf.DUMMYFUNCTION("""COMPUTED_VALUE"""),"#N/A")</f>
        <v>#N/A</v>
      </c>
      <c r="AG112" s="13" t="str">
        <f ca="1">IFERROR(__xludf.DUMMYFUNCTION("ArrayFormula(VLOOKUP(G112, IMPORTRANGE(""https://docs.google.com/spreadsheets/d/1Co934fvtviyaRiMsrIlT05Jaq7iiYq07aLvRr35KA48/edit?gid=173865642#gid=173865642"", ""'G9 Sci_Pri_LU'!G2:V2000""), {3, 4, 5, 6, 7, 8, 9, 10, 11, 12, 13, 14, 15, 16}, 0))"),"LU006343")</f>
        <v>LU006343</v>
      </c>
      <c r="AH112" s="22" t="str">
        <f ca="1">IFERROR(__xludf.DUMMYFUNCTION("""COMPUTED_VALUE"""),"Formula of Acceleration due to Gravity and its Value near the Surface of Earth")</f>
        <v>Formula of Acceleration due to Gravity and its Value near the Surface of Earth</v>
      </c>
      <c r="AI112" s="13" t="str">
        <f ca="1">IFERROR(__xludf.DUMMYFUNCTION("""COMPUTED_VALUE"""),"LU006334")</f>
        <v>LU006334</v>
      </c>
      <c r="AJ112" s="13" t="str">
        <f ca="1">IFERROR(__xludf.DUMMYFUNCTION("""COMPUTED_VALUE"""),"Newton's Second Law of Motion and its application in everyday life ")</f>
        <v xml:space="preserve">Newton's Second Law of Motion and its application in everyday life </v>
      </c>
      <c r="AK112" s="13" t="str">
        <f ca="1">IFERROR(__xludf.DUMMYFUNCTION("""COMPUTED_VALUE"""),"LU006419")</f>
        <v>LU006419</v>
      </c>
      <c r="AL112" s="13" t="str">
        <f ca="1">IFERROR(__xludf.DUMMYFUNCTION("""COMPUTED_VALUE"""),"Properties of material- Mass")</f>
        <v>Properties of material- Mass</v>
      </c>
      <c r="AM112" s="13"/>
      <c r="AN112" s="13"/>
      <c r="AO112" s="13"/>
      <c r="AP112" s="13"/>
      <c r="AQ112" s="13"/>
      <c r="AR112" s="13"/>
      <c r="AS112" s="13"/>
      <c r="AT112" s="13"/>
    </row>
    <row r="113" spans="1:46">
      <c r="A113" s="8" t="s">
        <v>247</v>
      </c>
      <c r="B113" s="8" t="s">
        <v>47</v>
      </c>
      <c r="C113" s="8" t="s">
        <v>979</v>
      </c>
      <c r="D113" s="9" t="s">
        <v>1510</v>
      </c>
      <c r="E113" s="8" t="s">
        <v>2388</v>
      </c>
      <c r="F113" s="10" t="s">
        <v>2401</v>
      </c>
      <c r="G113" s="114" t="s">
        <v>2403</v>
      </c>
      <c r="H113" s="8" t="str">
        <f ca="1">IFERROR(__xludf.DUMMYFUNCTION("VLOOKUP(G113, IMPORTRANGE(""https://docs.google.com/spreadsheets/d/14deopnvwcrKtEGCKuYXdUHJbeLDZlkiSSWWT0g7x2pM/edit#gid=849066331"", ""LU List Science (Filter)!A:B""), 2, FALSE)"),"Weight on Earth vs. Weight on the Moon")</f>
        <v>Weight on Earth vs. Weight on the Moon</v>
      </c>
      <c r="I113" s="10" t="str">
        <f t="shared" si="0"/>
        <v>LU006347.001</v>
      </c>
      <c r="J113" s="10" t="str">
        <f ca="1">IFERROR(__xludf.DUMMYFUNCTION("VLOOKUP(I113, IMPORTRANGE(""https://docs.google.com/spreadsheets/d/1yDAaXNsi4Mr5FtRQL4tbmSdIzhx6_m4wkOD7IG-k_eo/edit#gid=1336395716"", ""Science!M:N""), 2, FALSE)"),"State the formula for calculating weight on Earth and the Moon.")</f>
        <v>State the formula for calculating weight on Earth and the Moon.</v>
      </c>
      <c r="K113" s="10" t="str">
        <f t="shared" si="1"/>
        <v>LU006347.002</v>
      </c>
      <c r="L113" s="10" t="str">
        <f ca="1">IFERROR(__xludf.DUMMYFUNCTION("VLOOKUP(K113, IMPORTRANGE(""https://docs.google.com/spreadsheets/d/1yDAaXNsi4Mr5FtRQL4tbmSdIzhx6_m4wkOD7IG-k_eo/edit#gid=1336395716"", ""Science!M:N""), 2, FALSE)"),"Describe how weight changes when an object is taken from the Earth to the Moon.")</f>
        <v>Describe how weight changes when an object is taken from the Earth to the Moon.</v>
      </c>
      <c r="M113" s="10" t="str">
        <f t="shared" si="2"/>
        <v>LU006347.003</v>
      </c>
      <c r="N113" s="10" t="str">
        <f ca="1">IFERROR(__xludf.DUMMYFUNCTION("VLOOKUP(M113, IMPORTRANGE(""https://docs.google.com/spreadsheets/d/1yDAaXNsi4Mr5FtRQL4tbmSdIzhx6_m4wkOD7IG-k_eo/edit#gid=1336395716"", ""Science!M:N""), 2, FALSE)"),"Calculate the weight of an object on the Moon given its weight on Earth.")</f>
        <v>Calculate the weight of an object on the Moon given its weight on Earth.</v>
      </c>
      <c r="O113" s="10" t="str">
        <f t="shared" si="3"/>
        <v>LU006347.004</v>
      </c>
      <c r="P113" s="10" t="str">
        <f ca="1">IFERROR(__xludf.DUMMYFUNCTION("VLOOKUP(O113, IMPORTRANGE(""https://docs.google.com/spreadsheets/d/1yDAaXNsi4Mr5FtRQL4tbmSdIzhx6_m4wkOD7IG-k_eo/edit#gid=1336395716"", ""Science!M:N""), 2, FALSE)"),"Analyze the factors that cause the difference in weight of an object on Earth and the Moon.")</f>
        <v>Analyze the factors that cause the difference in weight of an object on Earth and the Moon.</v>
      </c>
      <c r="Q113" s="10" t="str">
        <f t="shared" si="4"/>
        <v>LU006347.005</v>
      </c>
      <c r="R113" s="10" t="str">
        <f ca="1">IFERROR(__xludf.DUMMYFUNCTION("VLOOKUP(Q113, IMPORTRANGE(""https://docs.google.com/spreadsheets/d/1yDAaXNsi4Mr5FtRQL4tbmSdIzhx6_m4wkOD7IG-k_eo/edit#gid=1336395716"", ""Science!M:N""), 2, FALSE)"),"Evaluate the implications of reduced weight on the Moon for astronauts and space missions.")</f>
        <v>Evaluate the implications of reduced weight on the Moon for astronauts and space missions.</v>
      </c>
      <c r="S113" s="10" t="str">
        <f t="shared" si="5"/>
        <v>LU006347.006</v>
      </c>
      <c r="T113" s="10" t="str">
        <f ca="1">IFERROR(__xludf.DUMMYFUNCTION("VLOOKUP(S113, IMPORTRANGE(""https://docs.google.com/spreadsheets/d/1yDAaXNsi4Mr5FtRQL4tbmSdIzhx6_m4wkOD7IG-k_eo/edit#gid=1336395716"", ""Science!M:N""), 2, FALSE)"),"Create a comparative chart that shows the weight of various objects on Earth and the Moon.")</f>
        <v>Create a comparative chart that shows the weight of various objects on Earth and the Moon.</v>
      </c>
      <c r="U113" s="11" t="str">
        <f ca="1">IFERROR(__xludf.DUMMYFUNCTION("ArrayFormula(VLOOKUP(G113, IMPORTRANGE(""https://docs.google.com/spreadsheets/d/1p7R4vtkWt5VOBim4ltsDG9KTzSjrtKXsMtQGXPHyND0/edit#gid=795171502"", ""'Filter 30_05_2024'!A1:M2000""), {2, 3, 4, 5,6,7,8,9,10,11,12,13}, 0))"),"#N/A")</f>
        <v>#N/A</v>
      </c>
      <c r="V113" s="11" t="str">
        <f ca="1">IFERROR(__xludf.DUMMYFUNCTION("""COMPUTED_VALUE"""),"#N/A")</f>
        <v>#N/A</v>
      </c>
      <c r="W113" s="11" t="str">
        <f ca="1">IFERROR(__xludf.DUMMYFUNCTION("""COMPUTED_VALUE"""),"#N/A")</f>
        <v>#N/A</v>
      </c>
      <c r="X113" s="11" t="str">
        <f ca="1">IFERROR(__xludf.DUMMYFUNCTION("""COMPUTED_VALUE"""),"#N/A")</f>
        <v>#N/A</v>
      </c>
      <c r="Y113" s="11" t="str">
        <f ca="1">IFERROR(__xludf.DUMMYFUNCTION("""COMPUTED_VALUE"""),"#N/A")</f>
        <v>#N/A</v>
      </c>
      <c r="Z113" s="12" t="str">
        <f ca="1">IFERROR(__xludf.DUMMYFUNCTION("""COMPUTED_VALUE"""),"#N/A")</f>
        <v>#N/A</v>
      </c>
      <c r="AA113" s="12" t="str">
        <f ca="1">IFERROR(__xludf.DUMMYFUNCTION("""COMPUTED_VALUE"""),"#N/A")</f>
        <v>#N/A</v>
      </c>
      <c r="AB113" s="12" t="str">
        <f ca="1">IFERROR(__xludf.DUMMYFUNCTION("""COMPUTED_VALUE"""),"#N/A")</f>
        <v>#N/A</v>
      </c>
      <c r="AC113" s="12" t="str">
        <f ca="1">IFERROR(__xludf.DUMMYFUNCTION("""COMPUTED_VALUE"""),"#N/A")</f>
        <v>#N/A</v>
      </c>
      <c r="AD113" s="12" t="str">
        <f ca="1">IFERROR(__xludf.DUMMYFUNCTION("""COMPUTED_VALUE"""),"#N/A")</f>
        <v>#N/A</v>
      </c>
      <c r="AE113" s="12" t="str">
        <f ca="1">IFERROR(__xludf.DUMMYFUNCTION("""COMPUTED_VALUE"""),"#N/A")</f>
        <v>#N/A</v>
      </c>
      <c r="AF113" s="12" t="str">
        <f ca="1">IFERROR(__xludf.DUMMYFUNCTION("""COMPUTED_VALUE"""),"#N/A")</f>
        <v>#N/A</v>
      </c>
      <c r="AG113" s="13" t="str">
        <f ca="1">IFERROR(__xludf.DUMMYFUNCTION("ArrayFormula(VLOOKUP(G113, IMPORTRANGE(""https://docs.google.com/spreadsheets/d/1Co934fvtviyaRiMsrIlT05Jaq7iiYq07aLvRr35KA48/edit?gid=173865642#gid=173865642"", ""'G9 Sci_Pri_LU'!G2:V2000""), {3, 4, 5, 6, 7, 8, 9, 10, 11, 12, 13, 14, 15, 16}, 0))"),"LU006346")</f>
        <v>LU006346</v>
      </c>
      <c r="AH113" s="22" t="str">
        <f ca="1">IFERROR(__xludf.DUMMYFUNCTION("""COMPUTED_VALUE"""),"Understanding Weight and Mass")</f>
        <v>Understanding Weight and Mass</v>
      </c>
      <c r="AI113" s="13" t="str">
        <f ca="1">IFERROR(__xludf.DUMMYFUNCTION("""COMPUTED_VALUE"""),"LU006343")</f>
        <v>LU006343</v>
      </c>
      <c r="AJ113" s="13" t="str">
        <f ca="1">IFERROR(__xludf.DUMMYFUNCTION("""COMPUTED_VALUE"""),"Formula of Acceleration due to Gravity and its Value near the Surface of Earth")</f>
        <v>Formula of Acceleration due to Gravity and its Value near the Surface of Earth</v>
      </c>
      <c r="AK113" s="13"/>
      <c r="AL113" s="13"/>
      <c r="AM113" s="13"/>
      <c r="AN113" s="13"/>
      <c r="AO113" s="13"/>
      <c r="AP113" s="13"/>
      <c r="AQ113" s="13"/>
      <c r="AR113" s="13"/>
      <c r="AS113" s="13"/>
      <c r="AT113" s="13"/>
    </row>
    <row r="114" spans="1:46">
      <c r="A114" s="8" t="s">
        <v>247</v>
      </c>
      <c r="B114" s="8" t="s">
        <v>47</v>
      </c>
      <c r="C114" s="8" t="s">
        <v>979</v>
      </c>
      <c r="D114" s="9" t="s">
        <v>1510</v>
      </c>
      <c r="E114" s="8" t="s">
        <v>2388</v>
      </c>
      <c r="F114" s="10" t="s">
        <v>2404</v>
      </c>
      <c r="G114" s="114" t="s">
        <v>2405</v>
      </c>
      <c r="H114" s="8" t="str">
        <f ca="1">IFERROR(__xludf.DUMMYFUNCTION("VLOOKUP(G114, IMPORTRANGE(""https://docs.google.com/spreadsheets/d/14deopnvwcrKtEGCKuYXdUHJbeLDZlkiSSWWT0g7x2pM/edit#gid=849066331"", ""LU List Science (Filter)!A:B""), 2, FALSE)"),"Concept of Thrust ")</f>
        <v xml:space="preserve">Concept of Thrust </v>
      </c>
      <c r="I114" s="10" t="str">
        <f t="shared" si="0"/>
        <v>LU006348.001</v>
      </c>
      <c r="J114" s="10" t="str">
        <f ca="1">IFERROR(__xludf.DUMMYFUNCTION("VLOOKUP(I114, IMPORTRANGE(""https://docs.google.com/spreadsheets/d/1yDAaXNsi4Mr5FtRQL4tbmSdIzhx6_m4wkOD7IG-k_eo/edit#gid=1336395716"", ""Science!M:N""), 2, FALSE)"),"Define thrust and state its unit.")</f>
        <v>Define thrust and state its unit.</v>
      </c>
      <c r="K114" s="10" t="str">
        <f t="shared" si="1"/>
        <v>LU006348.002</v>
      </c>
      <c r="L114" s="10" t="str">
        <f ca="1">IFERROR(__xludf.DUMMYFUNCTION("VLOOKUP(K114, IMPORTRANGE(""https://docs.google.com/spreadsheets/d/1yDAaXNsi4Mr5FtRQL4tbmSdIzhx6_m4wkOD7IG-k_eo/edit#gid=1336395716"", ""Science!M:N""), 2, FALSE)"),"Explain the concept of thrust and how it is generated.")</f>
        <v>Explain the concept of thrust and how it is generated.</v>
      </c>
      <c r="M114" s="10" t="str">
        <f t="shared" si="2"/>
        <v>LU006348.003</v>
      </c>
      <c r="N114" s="10" t="str">
        <f ca="1">IFERROR(__xludf.DUMMYFUNCTION("VLOOKUP(M114, IMPORTRANGE(""https://docs.google.com/spreadsheets/d/1yDAaXNsi4Mr5FtRQL4tbmSdIzhx6_m4wkOD7IG-k_eo/edit#gid=1336395716"", ""Science!M:N""), 2, FALSE)"),"Demonstrate the concept of thrust using a balloon or other simple apparatus.")</f>
        <v>Demonstrate the concept of thrust using a balloon or other simple apparatus.</v>
      </c>
      <c r="O114" s="10" t="str">
        <f t="shared" si="3"/>
        <v>LU006348.004</v>
      </c>
      <c r="P114" s="10" t="str">
        <f ca="1">IFERROR(__xludf.DUMMYFUNCTION("VLOOKUP(O114, IMPORTRANGE(""https://docs.google.com/spreadsheets/d/1yDAaXNsi4Mr5FtRQL4tbmSdIzhx6_m4wkOD7IG-k_eo/edit#gid=1336395716"", ""Science!M:N""), 2, FALSE)"),"Analyze the role of thrust in various applications such as aviation and rocketry.")</f>
        <v>Analyze the role of thrust in various applications such as aviation and rocketry.</v>
      </c>
      <c r="Q114" s="10" t="str">
        <f t="shared" si="4"/>
        <v>LU006348.005</v>
      </c>
      <c r="R114" s="10" t="str">
        <f ca="1">IFERROR(__xludf.DUMMYFUNCTION("VLOOKUP(Q114, IMPORTRANGE(""https://docs.google.com/spreadsheets/d/1yDAaXNsi4Mr5FtRQL4tbmSdIzhx6_m4wkOD7IG-k_eo/edit#gid=1336395716"", ""Science!M:N""), 2, FALSE)"),"Evaluate the factors that influence the amount of thrust produced by an engine or propeller.")</f>
        <v>Evaluate the factors that influence the amount of thrust produced by an engine or propeller.</v>
      </c>
      <c r="S114" s="10" t="str">
        <f t="shared" si="5"/>
        <v>LU006348.006</v>
      </c>
      <c r="T114" s="10" t="str">
        <f ca="1">IFERROR(__xludf.DUMMYFUNCTION("VLOOKUP(S114, IMPORTRANGE(""https://docs.google.com/spreadsheets/d/1yDAaXNsi4Mr5FtRQL4tbmSdIzhx6_m4wkOD7IG-k_eo/edit#gid=1336395716"", ""Science!M:N""), 2, FALSE)"),"Design a simple experiment to measure the thrust produced by a model rocket or jet engine.")</f>
        <v>Design a simple experiment to measure the thrust produced by a model rocket or jet engine.</v>
      </c>
      <c r="U114" s="11" t="str">
        <f ca="1">IFERROR(__xludf.DUMMYFUNCTION("ArrayFormula(VLOOKUP(G114, IMPORTRANGE(""https://docs.google.com/spreadsheets/d/1p7R4vtkWt5VOBim4ltsDG9KTzSjrtKXsMtQGXPHyND0/edit#gid=795171502"", ""'Filter 30_05_2024'!A1:M2000""), {2, 3, 4, 5,6,7,8,9,10,11,12,13}, 0))"),"#N/A")</f>
        <v>#N/A</v>
      </c>
      <c r="V114" s="11" t="str">
        <f ca="1">IFERROR(__xludf.DUMMYFUNCTION("""COMPUTED_VALUE"""),"#N/A")</f>
        <v>#N/A</v>
      </c>
      <c r="W114" s="11" t="str">
        <f ca="1">IFERROR(__xludf.DUMMYFUNCTION("""COMPUTED_VALUE"""),"#N/A")</f>
        <v>#N/A</v>
      </c>
      <c r="X114" s="11" t="str">
        <f ca="1">IFERROR(__xludf.DUMMYFUNCTION("""COMPUTED_VALUE"""),"#N/A")</f>
        <v>#N/A</v>
      </c>
      <c r="Y114" s="11" t="str">
        <f ca="1">IFERROR(__xludf.DUMMYFUNCTION("""COMPUTED_VALUE"""),"#N/A")</f>
        <v>#N/A</v>
      </c>
      <c r="Z114" s="12" t="str">
        <f ca="1">IFERROR(__xludf.DUMMYFUNCTION("""COMPUTED_VALUE"""),"#N/A")</f>
        <v>#N/A</v>
      </c>
      <c r="AA114" s="12" t="str">
        <f ca="1">IFERROR(__xludf.DUMMYFUNCTION("""COMPUTED_VALUE"""),"#N/A")</f>
        <v>#N/A</v>
      </c>
      <c r="AB114" s="12" t="str">
        <f ca="1">IFERROR(__xludf.DUMMYFUNCTION("""COMPUTED_VALUE"""),"#N/A")</f>
        <v>#N/A</v>
      </c>
      <c r="AC114" s="12" t="str">
        <f ca="1">IFERROR(__xludf.DUMMYFUNCTION("""COMPUTED_VALUE"""),"#N/A")</f>
        <v>#N/A</v>
      </c>
      <c r="AD114" s="12" t="str">
        <f ca="1">IFERROR(__xludf.DUMMYFUNCTION("""COMPUTED_VALUE"""),"#N/A")</f>
        <v>#N/A</v>
      </c>
      <c r="AE114" s="12" t="str">
        <f ca="1">IFERROR(__xludf.DUMMYFUNCTION("""COMPUTED_VALUE"""),"#N/A")</f>
        <v>#N/A</v>
      </c>
      <c r="AF114" s="12" t="str">
        <f ca="1">IFERROR(__xludf.DUMMYFUNCTION("""COMPUTED_VALUE"""),"#N/A")</f>
        <v>#N/A</v>
      </c>
      <c r="AG114" s="13" t="str">
        <f ca="1">IFERROR(__xludf.DUMMYFUNCTION("ArrayFormula(VLOOKUP(G114, IMPORTRANGE(""https://docs.google.com/spreadsheets/d/1Co934fvtviyaRiMsrIlT05Jaq7iiYq07aLvRr35KA48/edit?gid=173865642#gid=173865642"", ""'G9 Sci_Pri_LU'!G2:V2000""), {3, 4, 5, 6, 7, 8, 9, 10, 11, 12, 13, 14, 15, 16}, 0))"),"LU005548")</f>
        <v>LU005548</v>
      </c>
      <c r="AH114" s="22" t="str">
        <f ca="1">IFERROR(__xludf.DUMMYFUNCTION("""COMPUTED_VALUE"""),"Magnitude and direction of force")</f>
        <v>Magnitude and direction of force</v>
      </c>
      <c r="AI114" s="13" t="str">
        <f ca="1">IFERROR(__xludf.DUMMYFUNCTION("""COMPUTED_VALUE"""),"LU005543")</f>
        <v>LU005543</v>
      </c>
      <c r="AJ114" s="13" t="str">
        <f ca="1">IFERROR(__xludf.DUMMYFUNCTION("""COMPUTED_VALUE"""),"Definition of pressure")</f>
        <v>Definition of pressure</v>
      </c>
      <c r="AK114" s="13"/>
      <c r="AL114" s="13"/>
      <c r="AM114" s="13"/>
      <c r="AN114" s="13"/>
      <c r="AO114" s="13"/>
      <c r="AP114" s="13"/>
      <c r="AQ114" s="13"/>
      <c r="AR114" s="13"/>
      <c r="AS114" s="13"/>
      <c r="AT114" s="13"/>
    </row>
    <row r="115" spans="1:46">
      <c r="A115" s="8" t="s">
        <v>247</v>
      </c>
      <c r="B115" s="8" t="s">
        <v>47</v>
      </c>
      <c r="C115" s="8" t="s">
        <v>979</v>
      </c>
      <c r="D115" s="9" t="s">
        <v>1510</v>
      </c>
      <c r="E115" s="8" t="s">
        <v>2388</v>
      </c>
      <c r="F115" s="10" t="s">
        <v>2404</v>
      </c>
      <c r="G115" s="10" t="s">
        <v>2135</v>
      </c>
      <c r="H115" s="8" t="str">
        <f ca="1">IFERROR(__xludf.DUMMYFUNCTION("VLOOKUP(G115, IMPORTRANGE(""https://docs.google.com/spreadsheets/d/14deopnvwcrKtEGCKuYXdUHJbeLDZlkiSSWWT0g7x2pM/edit#gid=849066331"", ""LU List Science (Filter)!A:B""), 2, FALSE)"),"Definition of pressure")</f>
        <v>Definition of pressure</v>
      </c>
      <c r="I115" s="10" t="str">
        <f t="shared" si="0"/>
        <v>LU005543.001</v>
      </c>
      <c r="J115" s="10" t="str">
        <f ca="1">IFERROR(__xludf.DUMMYFUNCTION("VLOOKUP(I115, IMPORTRANGE(""https://docs.google.com/spreadsheets/d/1yDAaXNsi4Mr5FtRQL4tbmSdIzhx6_m4wkOD7IG-k_eo/edit#gid=1336395716"", ""Science!M:N""), 2, FALSE)"),"Recall the basic definition of pressure.")</f>
        <v>Recall the basic definition of pressure.</v>
      </c>
      <c r="K115" s="10" t="str">
        <f t="shared" si="1"/>
        <v>LU005543.002</v>
      </c>
      <c r="L115" s="10" t="str">
        <f ca="1">IFERROR(__xludf.DUMMYFUNCTION("VLOOKUP(K115, IMPORTRANGE(""https://docs.google.com/spreadsheets/d/1yDAaXNsi4Mr5FtRQL4tbmSdIzhx6_m4wkOD7IG-k_eo/edit#gid=1336395716"", ""Science!M:N""), 2, FALSE)"),"Explain pressure in terms of force and area.")</f>
        <v>Explain pressure in terms of force and area.</v>
      </c>
      <c r="M115" s="10" t="str">
        <f t="shared" si="2"/>
        <v>LU005543.003</v>
      </c>
      <c r="N115" s="10" t="str">
        <f ca="1">IFERROR(__xludf.DUMMYFUNCTION("VLOOKUP(M115, IMPORTRANGE(""https://docs.google.com/spreadsheets/d/1yDAaXNsi4Mr5FtRQL4tbmSdIzhx6_m4wkOD7IG-k_eo/edit#gid=1336395716"", ""Science!M:N""), 2, FALSE)"),"Use the formula for pressure to calculate it given force and area values.")</f>
        <v>Use the formula for pressure to calculate it given force and area values.</v>
      </c>
      <c r="O115" s="10" t="str">
        <f t="shared" si="3"/>
        <v>LU005543.004</v>
      </c>
      <c r="P115" s="10" t="str">
        <f ca="1">IFERROR(__xludf.DUMMYFUNCTION("VLOOKUP(O115, IMPORTRANGE(""https://docs.google.com/spreadsheets/d/1yDAaXNsi4Mr5FtRQL4tbmSdIzhx6_m4wkOD7IG-k_eo/edit#gid=1336395716"", ""Science!M:N""), 2, FALSE)"),"#N/A")</f>
        <v>#N/A</v>
      </c>
      <c r="Q115" s="10" t="str">
        <f t="shared" si="4"/>
        <v>LU005543.005</v>
      </c>
      <c r="R115" s="10" t="str">
        <f ca="1">IFERROR(__xludf.DUMMYFUNCTION("VLOOKUP(Q115, IMPORTRANGE(""https://docs.google.com/spreadsheets/d/1yDAaXNsi4Mr5FtRQL4tbmSdIzhx6_m4wkOD7IG-k_eo/edit#gid=1336395716"", ""Science!M:N""), 2, FALSE)"),"Justify the importance of understanding pressure in everyday activities like inflating a balloon or bicycle tire.")</f>
        <v>Justify the importance of understanding pressure in everyday activities like inflating a balloon or bicycle tire.</v>
      </c>
      <c r="S115" s="10" t="str">
        <f t="shared" si="5"/>
        <v>LU005543.006</v>
      </c>
      <c r="T115" s="10" t="str">
        <f ca="1">IFERROR(__xludf.DUMMYFUNCTION("VLOOKUP(S115, IMPORTRANGE(""https://docs.google.com/spreadsheets/d/1yDAaXNsi4Mr5FtRQL4tbmSdIzhx6_m4wkOD7IG-k_eo/edit#gid=1336395716"", ""Science!M:N""), 2, FALSE)"),"#N/A")</f>
        <v>#N/A</v>
      </c>
      <c r="U115" s="11">
        <f ca="1">IFERROR(__xludf.DUMMYFUNCTION("ArrayFormula(VLOOKUP(G115, IMPORTRANGE(""https://docs.google.com/spreadsheets/d/1p7R4vtkWt5VOBim4ltsDG9KTzSjrtKXsMtQGXPHyND0/edit#gid=795171502"", ""'Filter 30_05_2024'!A1:M2000""), {2, 3, 4, 5,6,7,8,9,10,11,12,13}, 0))"),4)</f>
        <v>4</v>
      </c>
      <c r="V115" s="11">
        <f ca="1">IFERROR(__xludf.DUMMYFUNCTION("""COMPUTED_VALUE"""),6)</f>
        <v>6</v>
      </c>
      <c r="W115" s="11">
        <f ca="1">IFERROR(__xludf.DUMMYFUNCTION("""COMPUTED_VALUE"""),2)</f>
        <v>2</v>
      </c>
      <c r="X115" s="11">
        <f ca="1">IFERROR(__xludf.DUMMYFUNCTION("""COMPUTED_VALUE"""),12)</f>
        <v>12</v>
      </c>
      <c r="Y115" s="11">
        <f ca="1">IFERROR(__xludf.DUMMYFUNCTION("""COMPUTED_VALUE"""),4)</f>
        <v>4</v>
      </c>
      <c r="Z115" s="12">
        <f ca="1">IFERROR(__xludf.DUMMYFUNCTION("""COMPUTED_VALUE"""),3)</f>
        <v>3</v>
      </c>
      <c r="AA115" s="12">
        <f ca="1">IFERROR(__xludf.DUMMYFUNCTION("""COMPUTED_VALUE"""),1)</f>
        <v>1</v>
      </c>
      <c r="AB115" s="12">
        <f ca="1">IFERROR(__xludf.DUMMYFUNCTION("""COMPUTED_VALUE"""),8)</f>
        <v>8</v>
      </c>
      <c r="AC115" s="12"/>
      <c r="AD115" s="12"/>
      <c r="AE115" s="12"/>
      <c r="AF115" s="12"/>
      <c r="AG115" s="13" t="str">
        <f ca="1">IFERROR(__xludf.DUMMYFUNCTION("ArrayFormula(VLOOKUP(G115, IMPORTRANGE(""https://docs.google.com/spreadsheets/d/1Co934fvtviyaRiMsrIlT05Jaq7iiYq07aLvRr35KA48/edit?gid=173865642#gid=173865642"", ""'G9 Sci_Pri_LU'!G2:V2000""), {3, 4, 5, 6, 7, 8, 9, 10, 11, 12, 13, 14, 15, 16}, 0))"),"")</f>
        <v/>
      </c>
      <c r="AH115" s="22"/>
      <c r="AI115" s="13"/>
      <c r="AJ115" s="13"/>
      <c r="AK115" s="13"/>
      <c r="AL115" s="13"/>
      <c r="AM115" s="13"/>
      <c r="AN115" s="13"/>
      <c r="AO115" s="13"/>
      <c r="AP115" s="13"/>
      <c r="AQ115" s="13"/>
      <c r="AR115" s="13"/>
      <c r="AS115" s="13"/>
      <c r="AT115" s="13"/>
    </row>
    <row r="116" spans="1:46">
      <c r="A116" s="8" t="s">
        <v>247</v>
      </c>
      <c r="B116" s="8" t="s">
        <v>47</v>
      </c>
      <c r="C116" s="8" t="s">
        <v>979</v>
      </c>
      <c r="D116" s="9" t="s">
        <v>1510</v>
      </c>
      <c r="E116" s="8" t="s">
        <v>2388</v>
      </c>
      <c r="F116" s="10" t="s">
        <v>2406</v>
      </c>
      <c r="G116" s="114" t="s">
        <v>2407</v>
      </c>
      <c r="H116" s="8" t="str">
        <f ca="1">IFERROR(__xludf.DUMMYFUNCTION("VLOOKUP(G116, IMPORTRANGE(""https://docs.google.com/spreadsheets/d/14deopnvwcrKtEGCKuYXdUHJbeLDZlkiSSWWT0g7x2pM/edit#gid=849066331"", ""LU List Science (Filter)!A:B""), 2, FALSE)"),"Definition of Buoyant Force")</f>
        <v>Definition of Buoyant Force</v>
      </c>
      <c r="I116" s="10" t="str">
        <f t="shared" si="0"/>
        <v>LU006349.001</v>
      </c>
      <c r="J116" s="10" t="str">
        <f ca="1">IFERROR(__xludf.DUMMYFUNCTION("VLOOKUP(I116, IMPORTRANGE(""https://docs.google.com/spreadsheets/d/1yDAaXNsi4Mr5FtRQL4tbmSdIzhx6_m4wkOD7IG-k_eo/edit#gid=1336395716"", ""Science!M:N""), 2, FALSE)"),"Define buoyant force and state its unit.")</f>
        <v>Define buoyant force and state its unit.</v>
      </c>
      <c r="K116" s="10" t="str">
        <f t="shared" si="1"/>
        <v>LU006349.002</v>
      </c>
      <c r="L116" s="10" t="str">
        <f ca="1">IFERROR(__xludf.DUMMYFUNCTION("VLOOKUP(K116, IMPORTRANGE(""https://docs.google.com/spreadsheets/d/1yDAaXNsi4Mr5FtRQL4tbmSdIzhx6_m4wkOD7IG-k_eo/edit#gid=1336395716"", ""Science!M:N""), 2, FALSE)"),"Explain how buoyant force acts on objects in a fluid.")</f>
        <v>Explain how buoyant force acts on objects in a fluid.</v>
      </c>
      <c r="M116" s="10" t="str">
        <f t="shared" si="2"/>
        <v>LU006349.003</v>
      </c>
      <c r="N116" s="10" t="str">
        <f ca="1">IFERROR(__xludf.DUMMYFUNCTION("VLOOKUP(M116, IMPORTRANGE(""https://docs.google.com/spreadsheets/d/1yDAaXNsi4Mr5FtRQL4tbmSdIzhx6_m4wkOD7IG-k_eo/edit#gid=1336395716"", ""Science!M:N""), 2, FALSE)"),"Demonstrate the concept of buoyant force using objects of different densities in water.")</f>
        <v>Demonstrate the concept of buoyant force using objects of different densities in water.</v>
      </c>
      <c r="O116" s="10" t="str">
        <f t="shared" si="3"/>
        <v>LU006349.004</v>
      </c>
      <c r="P116" s="10" t="str">
        <f ca="1">IFERROR(__xludf.DUMMYFUNCTION("VLOOKUP(O116, IMPORTRANGE(""https://docs.google.com/spreadsheets/d/1yDAaXNsi4Mr5FtRQL4tbmSdIzhx6_m4wkOD7IG-k_eo/edit#gid=1336395716"", ""Science!M:N""), 2, FALSE)"),"Analyze the factors that affect the magnitude of the buoyant force on an object.")</f>
        <v>Analyze the factors that affect the magnitude of the buoyant force on an object.</v>
      </c>
      <c r="Q116" s="10" t="str">
        <f t="shared" si="4"/>
        <v>LU006349.005</v>
      </c>
      <c r="R116" s="10" t="str">
        <f ca="1">IFERROR(__xludf.DUMMYFUNCTION("VLOOKUP(Q116, IMPORTRANGE(""https://docs.google.com/spreadsheets/d/1yDAaXNsi4Mr5FtRQL4tbmSdIzhx6_m4wkOD7IG-k_eo/edit#gid=1336395716"", ""Science!M:N""), 2, FALSE)"),"Evaluate the importance of buoyant force in designing ships and submarines.")</f>
        <v>Evaluate the importance of buoyant force in designing ships and submarines.</v>
      </c>
      <c r="S116" s="10" t="str">
        <f t="shared" si="5"/>
        <v>LU006349.006</v>
      </c>
      <c r="T116" s="10" t="str">
        <f ca="1">IFERROR(__xludf.DUMMYFUNCTION("VLOOKUP(S116, IMPORTRANGE(""https://docs.google.com/spreadsheets/d/1yDAaXNsi4Mr5FtRQL4tbmSdIzhx6_m4wkOD7IG-k_eo/edit#gid=1336395716"", ""Science!M:N""), 2, FALSE)"),"Create a project that explores the relationship between buoyant force and object density using various materials.")</f>
        <v>Create a project that explores the relationship between buoyant force and object density using various materials.</v>
      </c>
      <c r="U116" s="11" t="str">
        <f ca="1">IFERROR(__xludf.DUMMYFUNCTION("ArrayFormula(VLOOKUP(G116, IMPORTRANGE(""https://docs.google.com/spreadsheets/d/1p7R4vtkWt5VOBim4ltsDG9KTzSjrtKXsMtQGXPHyND0/edit#gid=795171502"", ""'Filter 30_05_2024'!A1:M2000""), {2, 3, 4, 5,6,7,8,9,10,11,12,13}, 0))"),"#N/A")</f>
        <v>#N/A</v>
      </c>
      <c r="V116" s="11" t="str">
        <f ca="1">IFERROR(__xludf.DUMMYFUNCTION("""COMPUTED_VALUE"""),"#N/A")</f>
        <v>#N/A</v>
      </c>
      <c r="W116" s="11" t="str">
        <f ca="1">IFERROR(__xludf.DUMMYFUNCTION("""COMPUTED_VALUE"""),"#N/A")</f>
        <v>#N/A</v>
      </c>
      <c r="X116" s="11" t="str">
        <f ca="1">IFERROR(__xludf.DUMMYFUNCTION("""COMPUTED_VALUE"""),"#N/A")</f>
        <v>#N/A</v>
      </c>
      <c r="Y116" s="11" t="str">
        <f ca="1">IFERROR(__xludf.DUMMYFUNCTION("""COMPUTED_VALUE"""),"#N/A")</f>
        <v>#N/A</v>
      </c>
      <c r="Z116" s="12" t="str">
        <f ca="1">IFERROR(__xludf.DUMMYFUNCTION("""COMPUTED_VALUE"""),"#N/A")</f>
        <v>#N/A</v>
      </c>
      <c r="AA116" s="12" t="str">
        <f ca="1">IFERROR(__xludf.DUMMYFUNCTION("""COMPUTED_VALUE"""),"#N/A")</f>
        <v>#N/A</v>
      </c>
      <c r="AB116" s="12" t="str">
        <f ca="1">IFERROR(__xludf.DUMMYFUNCTION("""COMPUTED_VALUE"""),"#N/A")</f>
        <v>#N/A</v>
      </c>
      <c r="AC116" s="12" t="str">
        <f ca="1">IFERROR(__xludf.DUMMYFUNCTION("""COMPUTED_VALUE"""),"#N/A")</f>
        <v>#N/A</v>
      </c>
      <c r="AD116" s="12" t="str">
        <f ca="1">IFERROR(__xludf.DUMMYFUNCTION("""COMPUTED_VALUE"""),"#N/A")</f>
        <v>#N/A</v>
      </c>
      <c r="AE116" s="12" t="str">
        <f ca="1">IFERROR(__xludf.DUMMYFUNCTION("""COMPUTED_VALUE"""),"#N/A")</f>
        <v>#N/A</v>
      </c>
      <c r="AF116" s="12" t="str">
        <f ca="1">IFERROR(__xludf.DUMMYFUNCTION("""COMPUTED_VALUE"""),"#N/A")</f>
        <v>#N/A</v>
      </c>
      <c r="AG116" s="13" t="str">
        <f ca="1">IFERROR(__xludf.DUMMYFUNCTION("ArrayFormula(VLOOKUP(G116, IMPORTRANGE(""https://docs.google.com/spreadsheets/d/1Co934fvtviyaRiMsrIlT05Jaq7iiYq07aLvRr35KA48/edit?gid=173865642#gid=173865642"", ""'G9 Sci_Pri_LU'!G2:V2000""), {3, 4, 5, 6, 7, 8, 9, 10, 11, 12, 13, 14, 15, 16}, 0))"),"LU005315")</f>
        <v>LU005315</v>
      </c>
      <c r="AH116" s="22" t="str">
        <f ca="1">IFERROR(__xludf.DUMMYFUNCTION("""COMPUTED_VALUE"""),"Properties of materials-Floats or sinks in water")</f>
        <v>Properties of materials-Floats or sinks in water</v>
      </c>
      <c r="AI116" s="13" t="str">
        <f ca="1">IFERROR(__xludf.DUMMYFUNCTION("""COMPUTED_VALUE"""),"LU006346")</f>
        <v>LU006346</v>
      </c>
      <c r="AJ116" s="13" t="str">
        <f ca="1">IFERROR(__xludf.DUMMYFUNCTION("""COMPUTED_VALUE"""),"Understanding Weight and Mass")</f>
        <v>Understanding Weight and Mass</v>
      </c>
      <c r="AK116" s="13" t="str">
        <f ca="1">IFERROR(__xludf.DUMMYFUNCTION("""COMPUTED_VALUE"""),"LU005544")</f>
        <v>LU005544</v>
      </c>
      <c r="AL116" s="13" t="str">
        <f ca="1">IFERROR(__xludf.DUMMYFUNCTION("""COMPUTED_VALUE"""),"Definition of liquid pressure/hydrostatic pressure")</f>
        <v>Definition of liquid pressure/hydrostatic pressure</v>
      </c>
      <c r="AM116" s="13"/>
      <c r="AN116" s="13"/>
      <c r="AO116" s="13"/>
      <c r="AP116" s="13"/>
      <c r="AQ116" s="13"/>
      <c r="AR116" s="13"/>
      <c r="AS116" s="13"/>
      <c r="AT116" s="13"/>
    </row>
    <row r="117" spans="1:46">
      <c r="A117" s="8" t="s">
        <v>247</v>
      </c>
      <c r="B117" s="8" t="s">
        <v>47</v>
      </c>
      <c r="C117" s="8" t="s">
        <v>979</v>
      </c>
      <c r="D117" s="9" t="s">
        <v>1510</v>
      </c>
      <c r="E117" s="8" t="s">
        <v>2388</v>
      </c>
      <c r="F117" s="10" t="s">
        <v>2406</v>
      </c>
      <c r="G117" s="114" t="s">
        <v>2408</v>
      </c>
      <c r="H117" s="8" t="str">
        <f ca="1">IFERROR(__xludf.DUMMYFUNCTION("VLOOKUP(G117, IMPORTRANGE(""https://docs.google.com/spreadsheets/d/14deopnvwcrKtEGCKuYXdUHJbeLDZlkiSSWWT0g7x2pM/edit#gid=849066331"", ""LU List Science (Filter)!A:B""), 2, FALSE)"),"Definition of Density and Its Relationship with Buoyant Force")</f>
        <v>Definition of Density and Its Relationship with Buoyant Force</v>
      </c>
      <c r="I117" s="10" t="str">
        <f t="shared" si="0"/>
        <v>LU006350.001</v>
      </c>
      <c r="J117" s="10" t="str">
        <f ca="1">IFERROR(__xludf.DUMMYFUNCTION("VLOOKUP(I117, IMPORTRANGE(""https://docs.google.com/spreadsheets/d/1yDAaXNsi4Mr5FtRQL4tbmSdIzhx6_m4wkOD7IG-k_eo/edit#gid=1336395716"", ""Science!M:N""), 2, FALSE)"),"Define density and state its formula.")</f>
        <v>Define density and state its formula.</v>
      </c>
      <c r="K117" s="10" t="str">
        <f t="shared" si="1"/>
        <v>LU006350.002</v>
      </c>
      <c r="L117" s="10" t="str">
        <f ca="1">IFERROR(__xludf.DUMMYFUNCTION("VLOOKUP(K117, IMPORTRANGE(""https://docs.google.com/spreadsheets/d/1yDAaXNsi4Mr5FtRQL4tbmSdIzhx6_m4wkOD7IG-k_eo/edit#gid=1336395716"", ""Science!M:N""), 2, FALSE)"),"Explain the relationship between density and buoyant force.")</f>
        <v>Explain the relationship between density and buoyant force.</v>
      </c>
      <c r="M117" s="10" t="str">
        <f t="shared" si="2"/>
        <v>LU006350.003</v>
      </c>
      <c r="N117" s="10" t="str">
        <f ca="1">IFERROR(__xludf.DUMMYFUNCTION("VLOOKUP(M117, IMPORTRANGE(""https://docs.google.com/spreadsheets/d/1yDAaXNsi4Mr5FtRQL4tbmSdIzhx6_m4wkOD7IG-k_eo/edit#gid=1336395716"", ""Science!M:N""), 2, FALSE)"),"Calculate the density of an object and predict whether it will float or sink in water.")</f>
        <v>Calculate the density of an object and predict whether it will float or sink in water.</v>
      </c>
      <c r="O117" s="10" t="str">
        <f t="shared" si="3"/>
        <v>LU006350.004</v>
      </c>
      <c r="P117" s="10" t="str">
        <f ca="1">IFERROR(__xludf.DUMMYFUNCTION("VLOOKUP(O117, IMPORTRANGE(""https://docs.google.com/spreadsheets/d/1yDAaXNsi4Mr5FtRQL4tbmSdIzhx6_m4wkOD7IG-k_eo/edit#gid=1336395716"", ""Science!M:N""), 2, FALSE)"),"Analyze the buoyant force experienced by objects of different densities in various fluids.")</f>
        <v>Analyze the buoyant force experienced by objects of different densities in various fluids.</v>
      </c>
      <c r="Q117" s="10" t="str">
        <f t="shared" si="4"/>
        <v>LU006350.005</v>
      </c>
      <c r="R117" s="10" t="str">
        <f ca="1">IFERROR(__xludf.DUMMYFUNCTION("VLOOKUP(Q117, IMPORTRANGE(""https://docs.google.com/spreadsheets/d/1yDAaXNsi4Mr5FtRQL4tbmSdIzhx6_m4wkOD7IG-k_eo/edit#gid=1336395716"", ""Science!M:N""), 2, FALSE)"),"Evaluate the role of density in the buoyancy of objects and its applications in real life.")</f>
        <v>Evaluate the role of density in the buoyancy of objects and its applications in real life.</v>
      </c>
      <c r="S117" s="10" t="str">
        <f t="shared" si="5"/>
        <v>LU006350.006</v>
      </c>
      <c r="T117" s="10" t="str">
        <f ca="1">IFERROR(__xludf.DUMMYFUNCTION("VLOOKUP(S117, IMPORTRANGE(""https://docs.google.com/spreadsheets/d/1yDAaXNsi4Mr5FtRQL4tbmSdIzhx6_m4wkOD7IG-k_eo/edit#gid=1336395716"", ""Science!M:N""), 2, FALSE)"),"Design a classroom experiment to investigate how the density of an object affects its buoyancy in different fluids.")</f>
        <v>Design a classroom experiment to investigate how the density of an object affects its buoyancy in different fluids.</v>
      </c>
      <c r="U117" s="11" t="str">
        <f ca="1">IFERROR(__xludf.DUMMYFUNCTION("ArrayFormula(VLOOKUP(G117, IMPORTRANGE(""https://docs.google.com/spreadsheets/d/1p7R4vtkWt5VOBim4ltsDG9KTzSjrtKXsMtQGXPHyND0/edit#gid=795171502"", ""'Filter 30_05_2024'!A1:M2000""), {2, 3, 4, 5,6,7,8,9,10,11,12,13}, 0))"),"#N/A")</f>
        <v>#N/A</v>
      </c>
      <c r="V117" s="11" t="str">
        <f ca="1">IFERROR(__xludf.DUMMYFUNCTION("""COMPUTED_VALUE"""),"#N/A")</f>
        <v>#N/A</v>
      </c>
      <c r="W117" s="11" t="str">
        <f ca="1">IFERROR(__xludf.DUMMYFUNCTION("""COMPUTED_VALUE"""),"#N/A")</f>
        <v>#N/A</v>
      </c>
      <c r="X117" s="11" t="str">
        <f ca="1">IFERROR(__xludf.DUMMYFUNCTION("""COMPUTED_VALUE"""),"#N/A")</f>
        <v>#N/A</v>
      </c>
      <c r="Y117" s="11" t="str">
        <f ca="1">IFERROR(__xludf.DUMMYFUNCTION("""COMPUTED_VALUE"""),"#N/A")</f>
        <v>#N/A</v>
      </c>
      <c r="Z117" s="12" t="str">
        <f ca="1">IFERROR(__xludf.DUMMYFUNCTION("""COMPUTED_VALUE"""),"#N/A")</f>
        <v>#N/A</v>
      </c>
      <c r="AA117" s="12" t="str">
        <f ca="1">IFERROR(__xludf.DUMMYFUNCTION("""COMPUTED_VALUE"""),"#N/A")</f>
        <v>#N/A</v>
      </c>
      <c r="AB117" s="12" t="str">
        <f ca="1">IFERROR(__xludf.DUMMYFUNCTION("""COMPUTED_VALUE"""),"#N/A")</f>
        <v>#N/A</v>
      </c>
      <c r="AC117" s="12" t="str">
        <f ca="1">IFERROR(__xludf.DUMMYFUNCTION("""COMPUTED_VALUE"""),"#N/A")</f>
        <v>#N/A</v>
      </c>
      <c r="AD117" s="12" t="str">
        <f ca="1">IFERROR(__xludf.DUMMYFUNCTION("""COMPUTED_VALUE"""),"#N/A")</f>
        <v>#N/A</v>
      </c>
      <c r="AE117" s="12" t="str">
        <f ca="1">IFERROR(__xludf.DUMMYFUNCTION("""COMPUTED_VALUE"""),"#N/A")</f>
        <v>#N/A</v>
      </c>
      <c r="AF117" s="12" t="str">
        <f ca="1">IFERROR(__xludf.DUMMYFUNCTION("""COMPUTED_VALUE"""),"#N/A")</f>
        <v>#N/A</v>
      </c>
      <c r="AG117" s="13" t="str">
        <f ca="1">IFERROR(__xludf.DUMMYFUNCTION("ArrayFormula(VLOOKUP(G117, IMPORTRANGE(""https://docs.google.com/spreadsheets/d/1Co934fvtviyaRiMsrIlT05Jaq7iiYq07aLvRr35KA48/edit?gid=173865642#gid=173865642"", ""'G9 Sci_Pri_LU'!G2:V2000""), {3, 4, 5, 6, 7, 8, 9, 10, 11, 12, 13, 14, 15, 16}, 0))"),"LU006349")</f>
        <v>LU006349</v>
      </c>
      <c r="AH117" s="22" t="str">
        <f ca="1">IFERROR(__xludf.DUMMYFUNCTION("""COMPUTED_VALUE"""),"Definition of Buoyant Force")</f>
        <v>Definition of Buoyant Force</v>
      </c>
      <c r="AI117" s="13" t="str">
        <f ca="1">IFERROR(__xludf.DUMMYFUNCTION("""COMPUTED_VALUE"""),"LU005315")</f>
        <v>LU005315</v>
      </c>
      <c r="AJ117" s="13" t="str">
        <f ca="1">IFERROR(__xludf.DUMMYFUNCTION("""COMPUTED_VALUE"""),"Properties of materials-Floats or sinks in water")</f>
        <v>Properties of materials-Floats or sinks in water</v>
      </c>
      <c r="AK117" s="13"/>
      <c r="AL117" s="13"/>
      <c r="AM117" s="13"/>
      <c r="AN117" s="13"/>
      <c r="AO117" s="13"/>
      <c r="AP117" s="13"/>
      <c r="AQ117" s="13"/>
      <c r="AR117" s="13"/>
      <c r="AS117" s="13"/>
      <c r="AT117" s="13"/>
    </row>
    <row r="118" spans="1:46">
      <c r="A118" s="8" t="s">
        <v>247</v>
      </c>
      <c r="B118" s="8" t="s">
        <v>47</v>
      </c>
      <c r="C118" s="8" t="s">
        <v>979</v>
      </c>
      <c r="D118" s="9" t="s">
        <v>1510</v>
      </c>
      <c r="E118" s="8" t="s">
        <v>2388</v>
      </c>
      <c r="F118" s="10" t="s">
        <v>2406</v>
      </c>
      <c r="G118" s="114" t="s">
        <v>2409</v>
      </c>
      <c r="H118" s="8" t="str">
        <f ca="1">IFERROR(__xludf.DUMMYFUNCTION("VLOOKUP(G118, IMPORTRANGE(""https://docs.google.com/spreadsheets/d/14deopnvwcrKtEGCKuYXdUHJbeLDZlkiSSWWT0g7x2pM/edit#gid=849066331"", ""LU List Science (Filter)!A:B""), 2, FALSE)"),"Archimedes' Principle and Its Application ")</f>
        <v xml:space="preserve">Archimedes' Principle and Its Application </v>
      </c>
      <c r="I118" s="10" t="str">
        <f t="shared" si="0"/>
        <v>LU006351.001</v>
      </c>
      <c r="J118" s="10" t="str">
        <f ca="1">IFERROR(__xludf.DUMMYFUNCTION("VLOOKUP(I118, IMPORTRANGE(""https://docs.google.com/spreadsheets/d/1yDAaXNsi4Mr5FtRQL4tbmSdIzhx6_m4wkOD7IG-k_eo/edit#gid=1336395716"", ""Science!M:N""), 2, FALSE)"),"State Archimedes' Principle and the formula associated with it")</f>
        <v>State Archimedes' Principle and the formula associated with it</v>
      </c>
      <c r="K118" s="10" t="str">
        <f t="shared" si="1"/>
        <v>LU006351.002</v>
      </c>
      <c r="L118" s="10" t="str">
        <f ca="1">IFERROR(__xludf.DUMMYFUNCTION("VLOOKUP(K118, IMPORTRANGE(""https://docs.google.com/spreadsheets/d/1yDAaXNsi4Mr5FtRQL4tbmSdIzhx6_m4wkOD7IG-k_eo/edit#gid=1336395716"", ""Science!M:N""), 2, FALSE)"),"Explain Archimedes' Principle with real-life examples such as why objects float or sink.")</f>
        <v>Explain Archimedes' Principle with real-life examples such as why objects float or sink.</v>
      </c>
      <c r="M118" s="10" t="str">
        <f t="shared" si="2"/>
        <v>LU006351.003</v>
      </c>
      <c r="N118" s="10" t="str">
        <f ca="1">IFERROR(__xludf.DUMMYFUNCTION("VLOOKUP(M118, IMPORTRANGE(""https://docs.google.com/spreadsheets/d/1yDAaXNsi4Mr5FtRQL4tbmSdIzhx6_m4wkOD7IG-k_eo/edit#gid=1336395716"", ""Science!M:N""), 2, FALSE)"),"Demonstrate Archimedes' Principle using a simple experiment involving a submerged object and a measuring container.")</f>
        <v>Demonstrate Archimedes' Principle using a simple experiment involving a submerged object and a measuring container.</v>
      </c>
      <c r="O118" s="10" t="str">
        <f t="shared" si="3"/>
        <v>LU006351.004</v>
      </c>
      <c r="P118" s="10" t="str">
        <f ca="1">IFERROR(__xludf.DUMMYFUNCTION("VLOOKUP(O118, IMPORTRANGE(""https://docs.google.com/spreadsheets/d/1yDAaXNsi4Mr5FtRQL4tbmSdIzhx6_m4wkOD7IG-k_eo/edit#gid=1336395716"", ""Science!M:N""), 2, FALSE)"),"Analyze the factors that affect the buoyant force on an object in a fluid, such as the object's volume and the fluid's density.")</f>
        <v>Analyze the factors that affect the buoyant force on an object in a fluid, such as the object's volume and the fluid's density.</v>
      </c>
      <c r="Q118" s="10" t="str">
        <f t="shared" si="4"/>
        <v>LU006351.005</v>
      </c>
      <c r="R118" s="10" t="str">
        <f ca="1">IFERROR(__xludf.DUMMYFUNCTION("VLOOKUP(Q118, IMPORTRANGE(""https://docs.google.com/spreadsheets/d/1yDAaXNsi4Mr5FtRQL4tbmSdIzhx6_m4wkOD7IG-k_eo/edit#gid=1336395716"", ""Science!M:N""), 2, FALSE)"),"Evaluate the applications of Archimedes' Principle in designing ships and submarines.")</f>
        <v>Evaluate the applications of Archimedes' Principle in designing ships and submarines.</v>
      </c>
      <c r="S118" s="10" t="str">
        <f t="shared" si="5"/>
        <v>LU006351.006</v>
      </c>
      <c r="T118" s="10" t="str">
        <f ca="1">IFERROR(__xludf.DUMMYFUNCTION("VLOOKUP(S118, IMPORTRANGE(""https://docs.google.com/spreadsheets/d/1yDAaXNsi4Mr5FtRQL4tbmSdIzhx6_m4wkOD7IG-k_eo/edit#gid=1336395716"", ""Science!M:N""), 2, FALSE)"),"Design a project to investigate the relationship between the buoyant force and the density of various materials.")</f>
        <v>Design a project to investigate the relationship between the buoyant force and the density of various materials.</v>
      </c>
      <c r="U118" s="11" t="str">
        <f ca="1">IFERROR(__xludf.DUMMYFUNCTION("ArrayFormula(VLOOKUP(G118, IMPORTRANGE(""https://docs.google.com/spreadsheets/d/1p7R4vtkWt5VOBim4ltsDG9KTzSjrtKXsMtQGXPHyND0/edit#gid=795171502"", ""'Filter 30_05_2024'!A1:M2000""), {2, 3, 4, 5,6,7,8,9,10,11,12,13}, 0))"),"#N/A")</f>
        <v>#N/A</v>
      </c>
      <c r="V118" s="11" t="str">
        <f ca="1">IFERROR(__xludf.DUMMYFUNCTION("""COMPUTED_VALUE"""),"#N/A")</f>
        <v>#N/A</v>
      </c>
      <c r="W118" s="11" t="str">
        <f ca="1">IFERROR(__xludf.DUMMYFUNCTION("""COMPUTED_VALUE"""),"#N/A")</f>
        <v>#N/A</v>
      </c>
      <c r="X118" s="11" t="str">
        <f ca="1">IFERROR(__xludf.DUMMYFUNCTION("""COMPUTED_VALUE"""),"#N/A")</f>
        <v>#N/A</v>
      </c>
      <c r="Y118" s="11" t="str">
        <f ca="1">IFERROR(__xludf.DUMMYFUNCTION("""COMPUTED_VALUE"""),"#N/A")</f>
        <v>#N/A</v>
      </c>
      <c r="Z118" s="12" t="str">
        <f ca="1">IFERROR(__xludf.DUMMYFUNCTION("""COMPUTED_VALUE"""),"#N/A")</f>
        <v>#N/A</v>
      </c>
      <c r="AA118" s="12" t="str">
        <f ca="1">IFERROR(__xludf.DUMMYFUNCTION("""COMPUTED_VALUE"""),"#N/A")</f>
        <v>#N/A</v>
      </c>
      <c r="AB118" s="12" t="str">
        <f ca="1">IFERROR(__xludf.DUMMYFUNCTION("""COMPUTED_VALUE"""),"#N/A")</f>
        <v>#N/A</v>
      </c>
      <c r="AC118" s="12" t="str">
        <f ca="1">IFERROR(__xludf.DUMMYFUNCTION("""COMPUTED_VALUE"""),"#N/A")</f>
        <v>#N/A</v>
      </c>
      <c r="AD118" s="12" t="str">
        <f ca="1">IFERROR(__xludf.DUMMYFUNCTION("""COMPUTED_VALUE"""),"#N/A")</f>
        <v>#N/A</v>
      </c>
      <c r="AE118" s="12" t="str">
        <f ca="1">IFERROR(__xludf.DUMMYFUNCTION("""COMPUTED_VALUE"""),"#N/A")</f>
        <v>#N/A</v>
      </c>
      <c r="AF118" s="12" t="str">
        <f ca="1">IFERROR(__xludf.DUMMYFUNCTION("""COMPUTED_VALUE"""),"#N/A")</f>
        <v>#N/A</v>
      </c>
      <c r="AG118" s="13" t="str">
        <f ca="1">IFERROR(__xludf.DUMMYFUNCTION("ArrayFormula(VLOOKUP(G118, IMPORTRANGE(""https://docs.google.com/spreadsheets/d/1Co934fvtviyaRiMsrIlT05Jaq7iiYq07aLvRr35KA48/edit?gid=173865642#gid=173865642"", ""'G9 Sci_Pri_LU'!G2:V2000""), {3, 4, 5, 6, 7, 8, 9, 10, 11, 12, 13, 14, 15, 16}, 0))"),"LU006349")</f>
        <v>LU006349</v>
      </c>
      <c r="AH118" s="22" t="str">
        <f ca="1">IFERROR(__xludf.DUMMYFUNCTION("""COMPUTED_VALUE"""),"Definition of Buoyant Force")</f>
        <v>Definition of Buoyant Force</v>
      </c>
      <c r="AI118" s="13" t="str">
        <f ca="1">IFERROR(__xludf.DUMMYFUNCTION("""COMPUTED_VALUE"""),"LU006346")</f>
        <v>LU006346</v>
      </c>
      <c r="AJ118" s="13" t="str">
        <f ca="1">IFERROR(__xludf.DUMMYFUNCTION("""COMPUTED_VALUE"""),"Understanding Weight and Mass")</f>
        <v>Understanding Weight and Mass</v>
      </c>
      <c r="AK118" s="13" t="str">
        <f ca="1">IFERROR(__xludf.DUMMYFUNCTION("""COMPUTED_VALUE"""),"LU001255")</f>
        <v>LU001255</v>
      </c>
      <c r="AL118" s="13" t="str">
        <f ca="1">IFERROR(__xludf.DUMMYFUNCTION("""COMPUTED_VALUE"""),"Volume of a sphere")</f>
        <v>Volume of a sphere</v>
      </c>
      <c r="AM118" s="13"/>
      <c r="AN118" s="13"/>
      <c r="AO118" s="13"/>
      <c r="AP118" s="13"/>
      <c r="AQ118" s="13"/>
      <c r="AR118" s="13"/>
      <c r="AS118" s="13"/>
      <c r="AT118" s="13"/>
    </row>
    <row r="119" spans="1:46">
      <c r="A119" s="8" t="s">
        <v>247</v>
      </c>
      <c r="B119" s="8" t="s">
        <v>47</v>
      </c>
      <c r="C119" s="8" t="s">
        <v>979</v>
      </c>
      <c r="D119" s="9" t="s">
        <v>1510</v>
      </c>
      <c r="E119" s="8" t="s">
        <v>2410</v>
      </c>
      <c r="F119" s="10" t="s">
        <v>2411</v>
      </c>
      <c r="G119" s="114" t="s">
        <v>2412</v>
      </c>
      <c r="H119" s="8" t="str">
        <f ca="1">IFERROR(__xludf.DUMMYFUNCTION("VLOOKUP(G119, IMPORTRANGE(""https://docs.google.com/spreadsheets/d/14deopnvwcrKtEGCKuYXdUHJbeLDZlkiSSWWT0g7x2pM/edit#gid=849066331"", ""LU List Science (Filter)!A:B""), 2, FALSE)"),"Quantitative Nature of Work Done (Formula and Unit)")</f>
        <v>Quantitative Nature of Work Done (Formula and Unit)</v>
      </c>
      <c r="I119" s="10" t="str">
        <f t="shared" si="0"/>
        <v>LU006353.001</v>
      </c>
      <c r="J119" s="10" t="str">
        <f ca="1">IFERROR(__xludf.DUMMYFUNCTION("VLOOKUP(I119, IMPORTRANGE(""https://docs.google.com/spreadsheets/d/1yDAaXNsi4Mr5FtRQL4tbmSdIzhx6_m4wkOD7IG-k_eo/edit#gid=1336395716"", ""Science!M:N""), 2, FALSE)"),"List examples of zero, positive, and negative work.")</f>
        <v>List examples of zero, positive, and negative work.</v>
      </c>
      <c r="K119" s="10" t="str">
        <f t="shared" si="1"/>
        <v>LU006353.002</v>
      </c>
      <c r="L119" s="10" t="str">
        <f ca="1">IFERROR(__xludf.DUMMYFUNCTION("VLOOKUP(K119, IMPORTRANGE(""https://docs.google.com/spreadsheets/d/1yDAaXNsi4Mr5FtRQL4tbmSdIzhx6_m4wkOD7IG-k_eo/edit#gid=1336395716"", ""Science!M:N""), 2, FALSE)"),"Describe the conditions under which work is considered positive, negative, or zero.")</f>
        <v>Describe the conditions under which work is considered positive, negative, or zero.</v>
      </c>
      <c r="M119" s="10" t="str">
        <f t="shared" si="2"/>
        <v>LU006353.003</v>
      </c>
      <c r="N119" s="10" t="str">
        <f ca="1">IFERROR(__xludf.DUMMYFUNCTION("VLOOKUP(M119, IMPORTRANGE(""https://docs.google.com/spreadsheets/d/1yDAaXNsi4Mr5FtRQL4tbmSdIzhx6_m4wkOD7IG-k_eo/edit#gid=1336395716"", ""Science!M:N""), 2, FALSE)"),"Identify the type of work done in a given real-life situation.")</f>
        <v>Identify the type of work done in a given real-life situation.</v>
      </c>
      <c r="O119" s="10" t="str">
        <f t="shared" si="3"/>
        <v>LU006353.004</v>
      </c>
      <c r="P119" s="10" t="str">
        <f ca="1">IFERROR(__xludf.DUMMYFUNCTION("VLOOKUP(O119, IMPORTRANGE(""https://docs.google.com/spreadsheets/d/1yDAaXNsi4Mr5FtRQL4tbmSdIzhx6_m4wkOD7IG-k_eo/edit#gid=1336395716"", ""Science!M:N""), 2, FALSE)"),"Compare and contrast the concepts of positive and negative work.")</f>
        <v>Compare and contrast the concepts of positive and negative work.</v>
      </c>
      <c r="Q119" s="10" t="str">
        <f t="shared" si="4"/>
        <v>LU006353.005</v>
      </c>
      <c r="R119" s="10" t="str">
        <f ca="1">IFERROR(__xludf.DUMMYFUNCTION("VLOOKUP(Q119, IMPORTRANGE(""https://docs.google.com/spreadsheets/d/1yDAaXNsi4Mr5FtRQL4tbmSdIzhx6_m4wkOD7IG-k_eo/edit#gid=1336395716"", ""Science!M:N""), 2, FALSE)"),"Judge the effects of positive and negative work in various physical systems.")</f>
        <v>Judge the effects of positive and negative work in various physical systems.</v>
      </c>
      <c r="S119" s="10" t="str">
        <f t="shared" si="5"/>
        <v>LU006353.006</v>
      </c>
      <c r="T119" s="10" t="str">
        <f ca="1">IFERROR(__xludf.DUMMYFUNCTION("VLOOKUP(S119, IMPORTRANGE(""https://docs.google.com/spreadsheets/d/1yDAaXNsi4Mr5FtRQL4tbmSdIzhx6_m4wkOD7IG-k_eo/edit#gid=1336395716"", ""Science!M:N""), 2, FALSE)"),"Design an experiment to demonstrate positive, negative, and zero work.")</f>
        <v>Design an experiment to demonstrate positive, negative, and zero work.</v>
      </c>
      <c r="U119" s="11" t="str">
        <f ca="1">IFERROR(__xludf.DUMMYFUNCTION("ArrayFormula(VLOOKUP(G119, IMPORTRANGE(""https://docs.google.com/spreadsheets/d/1p7R4vtkWt5VOBim4ltsDG9KTzSjrtKXsMtQGXPHyND0/edit#gid=795171502"", ""'Filter 30_05_2024'!A1:M2000""), {2, 3, 4, 5,6,7,8,9,10,11,12,13}, 0))"),"#N/A")</f>
        <v>#N/A</v>
      </c>
      <c r="V119" s="11" t="str">
        <f ca="1">IFERROR(__xludf.DUMMYFUNCTION("""COMPUTED_VALUE"""),"#N/A")</f>
        <v>#N/A</v>
      </c>
      <c r="W119" s="11" t="str">
        <f ca="1">IFERROR(__xludf.DUMMYFUNCTION("""COMPUTED_VALUE"""),"#N/A")</f>
        <v>#N/A</v>
      </c>
      <c r="X119" s="11" t="str">
        <f ca="1">IFERROR(__xludf.DUMMYFUNCTION("""COMPUTED_VALUE"""),"#N/A")</f>
        <v>#N/A</v>
      </c>
      <c r="Y119" s="11" t="str">
        <f ca="1">IFERROR(__xludf.DUMMYFUNCTION("""COMPUTED_VALUE"""),"#N/A")</f>
        <v>#N/A</v>
      </c>
      <c r="Z119" s="12" t="str">
        <f ca="1">IFERROR(__xludf.DUMMYFUNCTION("""COMPUTED_VALUE"""),"#N/A")</f>
        <v>#N/A</v>
      </c>
      <c r="AA119" s="12" t="str">
        <f ca="1">IFERROR(__xludf.DUMMYFUNCTION("""COMPUTED_VALUE"""),"#N/A")</f>
        <v>#N/A</v>
      </c>
      <c r="AB119" s="12" t="str">
        <f ca="1">IFERROR(__xludf.DUMMYFUNCTION("""COMPUTED_VALUE"""),"#N/A")</f>
        <v>#N/A</v>
      </c>
      <c r="AC119" s="12" t="str">
        <f ca="1">IFERROR(__xludf.DUMMYFUNCTION("""COMPUTED_VALUE"""),"#N/A")</f>
        <v>#N/A</v>
      </c>
      <c r="AD119" s="12" t="str">
        <f ca="1">IFERROR(__xludf.DUMMYFUNCTION("""COMPUTED_VALUE"""),"#N/A")</f>
        <v>#N/A</v>
      </c>
      <c r="AE119" s="12" t="str">
        <f ca="1">IFERROR(__xludf.DUMMYFUNCTION("""COMPUTED_VALUE"""),"#N/A")</f>
        <v>#N/A</v>
      </c>
      <c r="AF119" s="12" t="str">
        <f ca="1">IFERROR(__xludf.DUMMYFUNCTION("""COMPUTED_VALUE"""),"#N/A")</f>
        <v>#N/A</v>
      </c>
      <c r="AG119" s="13" t="str">
        <f ca="1">IFERROR(__xludf.DUMMYFUNCTION("ArrayFormula(VLOOKUP(G119, IMPORTRANGE(""https://docs.google.com/spreadsheets/d/1Co934fvtviyaRiMsrIlT05Jaq7iiYq07aLvRr35KA48/edit?gid=173865642#gid=173865642"", ""'G9 Sci_Pri_LU'!G2:V2000""), {3, 4, 5, 6, 7, 8, 9, 10, 11, 12, 13, 14, 15, 16}, 0))"),"LU005548")</f>
        <v>LU005548</v>
      </c>
      <c r="AH119" s="22" t="str">
        <f ca="1">IFERROR(__xludf.DUMMYFUNCTION("""COMPUTED_VALUE"""),"Magnitude and direction of force")</f>
        <v>Magnitude and direction of force</v>
      </c>
      <c r="AI119" s="13" t="str">
        <f ca="1">IFERROR(__xludf.DUMMYFUNCTION("""COMPUTED_VALUE"""),"LU006318")</f>
        <v>LU006318</v>
      </c>
      <c r="AJ119" s="13" t="str">
        <f ca="1">IFERROR(__xludf.DUMMYFUNCTION("""COMPUTED_VALUE"""),"Distinction between Distance and Displacement")</f>
        <v>Distinction between Distance and Displacement</v>
      </c>
      <c r="AK119" s="13"/>
      <c r="AL119" s="13"/>
      <c r="AM119" s="13"/>
      <c r="AN119" s="13"/>
      <c r="AO119" s="13"/>
      <c r="AP119" s="13"/>
      <c r="AQ119" s="13"/>
      <c r="AR119" s="13"/>
      <c r="AS119" s="13"/>
      <c r="AT119" s="13"/>
    </row>
    <row r="120" spans="1:46">
      <c r="A120" s="8" t="s">
        <v>247</v>
      </c>
      <c r="B120" s="8" t="s">
        <v>47</v>
      </c>
      <c r="C120" s="8" t="s">
        <v>979</v>
      </c>
      <c r="D120" s="9" t="s">
        <v>1510</v>
      </c>
      <c r="E120" s="8" t="s">
        <v>2410</v>
      </c>
      <c r="F120" s="10" t="s">
        <v>2411</v>
      </c>
      <c r="G120" s="114" t="s">
        <v>2413</v>
      </c>
      <c r="H120" s="8" t="str">
        <f ca="1">IFERROR(__xludf.DUMMYFUNCTION("VLOOKUP(G120, IMPORTRANGE(""https://docs.google.com/spreadsheets/d/14deopnvwcrKtEGCKuYXdUHJbeLDZlkiSSWWT0g7x2pM/edit#gid=849066331"", ""LU List Science (Filter)!A:B""), 2, FALSE)"),"Qualitative Nature of Work Done (Zero, Positive and Negative Work)")</f>
        <v>Qualitative Nature of Work Done (Zero, Positive and Negative Work)</v>
      </c>
      <c r="I120" s="10" t="str">
        <f t="shared" si="0"/>
        <v>LU006354.001</v>
      </c>
      <c r="J120" s="10" t="str">
        <f ca="1">IFERROR(__xludf.DUMMYFUNCTION("VLOOKUP(I120, IMPORTRANGE(""https://docs.google.com/spreadsheets/d/1yDAaXNsi4Mr5FtRQL4tbmSdIzhx6_m4wkOD7IG-k_eo/edit#gid=1336395716"", ""Science!M:N""), 2, FALSE)"),"List examples of zero, positive, and negative work.")</f>
        <v>List examples of zero, positive, and negative work.</v>
      </c>
      <c r="K120" s="10" t="str">
        <f t="shared" si="1"/>
        <v>LU006354.002</v>
      </c>
      <c r="L120" s="10" t="str">
        <f ca="1">IFERROR(__xludf.DUMMYFUNCTION("VLOOKUP(K120, IMPORTRANGE(""https://docs.google.com/spreadsheets/d/1yDAaXNsi4Mr5FtRQL4tbmSdIzhx6_m4wkOD7IG-k_eo/edit#gid=1336395716"", ""Science!M:N""), 2, FALSE)"),"Describe the conditions under which work is considered positive, negative, or zero.")</f>
        <v>Describe the conditions under which work is considered positive, negative, or zero.</v>
      </c>
      <c r="M120" s="10" t="str">
        <f t="shared" si="2"/>
        <v>LU006354.003</v>
      </c>
      <c r="N120" s="10" t="str">
        <f ca="1">IFERROR(__xludf.DUMMYFUNCTION("VLOOKUP(M120, IMPORTRANGE(""https://docs.google.com/spreadsheets/d/1yDAaXNsi4Mr5FtRQL4tbmSdIzhx6_m4wkOD7IG-k_eo/edit#gid=1336395716"", ""Science!M:N""), 2, FALSE)"),"Identify the type of work done in a given real-life situation.")</f>
        <v>Identify the type of work done in a given real-life situation.</v>
      </c>
      <c r="O120" s="10" t="str">
        <f t="shared" si="3"/>
        <v>LU006354.004</v>
      </c>
      <c r="P120" s="10" t="str">
        <f ca="1">IFERROR(__xludf.DUMMYFUNCTION("VLOOKUP(O120, IMPORTRANGE(""https://docs.google.com/spreadsheets/d/1yDAaXNsi4Mr5FtRQL4tbmSdIzhx6_m4wkOD7IG-k_eo/edit#gid=1336395716"", ""Science!M:N""), 2, FALSE)"),"Compare and contrast the concepts of positive and negative work.")</f>
        <v>Compare and contrast the concepts of positive and negative work.</v>
      </c>
      <c r="Q120" s="10" t="str">
        <f t="shared" si="4"/>
        <v>LU006354.005</v>
      </c>
      <c r="R120" s="10" t="str">
        <f ca="1">IFERROR(__xludf.DUMMYFUNCTION("VLOOKUP(Q120, IMPORTRANGE(""https://docs.google.com/spreadsheets/d/1yDAaXNsi4Mr5FtRQL4tbmSdIzhx6_m4wkOD7IG-k_eo/edit#gid=1336395716"", ""Science!M:N""), 2, FALSE)"),"Judge the effects of positive and negative work in various physical systems.")</f>
        <v>Judge the effects of positive and negative work in various physical systems.</v>
      </c>
      <c r="S120" s="10" t="str">
        <f t="shared" si="5"/>
        <v>LU006354.006</v>
      </c>
      <c r="T120" s="10" t="str">
        <f ca="1">IFERROR(__xludf.DUMMYFUNCTION("VLOOKUP(S120, IMPORTRANGE(""https://docs.google.com/spreadsheets/d/1yDAaXNsi4Mr5FtRQL4tbmSdIzhx6_m4wkOD7IG-k_eo/edit#gid=1336395716"", ""Science!M:N""), 2, FALSE)"),"Design an experiment to demonstrate positive, negative, and zero work.")</f>
        <v>Design an experiment to demonstrate positive, negative, and zero work.</v>
      </c>
      <c r="U120" s="11" t="str">
        <f ca="1">IFERROR(__xludf.DUMMYFUNCTION("ArrayFormula(VLOOKUP(G120, IMPORTRANGE(""https://docs.google.com/spreadsheets/d/1p7R4vtkWt5VOBim4ltsDG9KTzSjrtKXsMtQGXPHyND0/edit#gid=795171502"", ""'Filter 30_05_2024'!A1:M2000""), {2, 3, 4, 5,6,7,8,9,10,11,12,13}, 0))"),"#N/A")</f>
        <v>#N/A</v>
      </c>
      <c r="V120" s="11" t="str">
        <f ca="1">IFERROR(__xludf.DUMMYFUNCTION("""COMPUTED_VALUE"""),"#N/A")</f>
        <v>#N/A</v>
      </c>
      <c r="W120" s="11" t="str">
        <f ca="1">IFERROR(__xludf.DUMMYFUNCTION("""COMPUTED_VALUE"""),"#N/A")</f>
        <v>#N/A</v>
      </c>
      <c r="X120" s="11" t="str">
        <f ca="1">IFERROR(__xludf.DUMMYFUNCTION("""COMPUTED_VALUE"""),"#N/A")</f>
        <v>#N/A</v>
      </c>
      <c r="Y120" s="11" t="str">
        <f ca="1">IFERROR(__xludf.DUMMYFUNCTION("""COMPUTED_VALUE"""),"#N/A")</f>
        <v>#N/A</v>
      </c>
      <c r="Z120" s="12" t="str">
        <f ca="1">IFERROR(__xludf.DUMMYFUNCTION("""COMPUTED_VALUE"""),"#N/A")</f>
        <v>#N/A</v>
      </c>
      <c r="AA120" s="12" t="str">
        <f ca="1">IFERROR(__xludf.DUMMYFUNCTION("""COMPUTED_VALUE"""),"#N/A")</f>
        <v>#N/A</v>
      </c>
      <c r="AB120" s="12" t="str">
        <f ca="1">IFERROR(__xludf.DUMMYFUNCTION("""COMPUTED_VALUE"""),"#N/A")</f>
        <v>#N/A</v>
      </c>
      <c r="AC120" s="12" t="str">
        <f ca="1">IFERROR(__xludf.DUMMYFUNCTION("""COMPUTED_VALUE"""),"#N/A")</f>
        <v>#N/A</v>
      </c>
      <c r="AD120" s="12" t="str">
        <f ca="1">IFERROR(__xludf.DUMMYFUNCTION("""COMPUTED_VALUE"""),"#N/A")</f>
        <v>#N/A</v>
      </c>
      <c r="AE120" s="12" t="str">
        <f ca="1">IFERROR(__xludf.DUMMYFUNCTION("""COMPUTED_VALUE"""),"#N/A")</f>
        <v>#N/A</v>
      </c>
      <c r="AF120" s="12" t="str">
        <f ca="1">IFERROR(__xludf.DUMMYFUNCTION("""COMPUTED_VALUE"""),"#N/A")</f>
        <v>#N/A</v>
      </c>
      <c r="AG120" s="13" t="str">
        <f ca="1">IFERROR(__xludf.DUMMYFUNCTION("ArrayFormula(VLOOKUP(G120, IMPORTRANGE(""https://docs.google.com/spreadsheets/d/1Co934fvtviyaRiMsrIlT05Jaq7iiYq07aLvRr35KA48/edit?gid=173865642#gid=173865642"", ""'G9 Sci_Pri_LU'!G2:V2000""), {3, 4, 5, 6, 7, 8, 9, 10, 11, 12, 13, 14, 15, 16}, 0))"),"LU006353")</f>
        <v>LU006353</v>
      </c>
      <c r="AH120" s="22" t="str">
        <f ca="1">IFERROR(__xludf.DUMMYFUNCTION("""COMPUTED_VALUE"""),"Quantitative Nature of Work Done (Formula and Unit)")</f>
        <v>Quantitative Nature of Work Done (Formula and Unit)</v>
      </c>
      <c r="AI120" s="13" t="str">
        <f ca="1">IFERROR(__xludf.DUMMYFUNCTION("""COMPUTED_VALUE"""),"LU005548")</f>
        <v>LU005548</v>
      </c>
      <c r="AJ120" s="13" t="str">
        <f ca="1">IFERROR(__xludf.DUMMYFUNCTION("""COMPUTED_VALUE"""),"Magnitude and direction of force")</f>
        <v>Magnitude and direction of force</v>
      </c>
      <c r="AK120" s="13" t="str">
        <f ca="1">IFERROR(__xludf.DUMMYFUNCTION("""COMPUTED_VALUE"""),"LU006318")</f>
        <v>LU006318</v>
      </c>
      <c r="AL120" s="13" t="str">
        <f ca="1">IFERROR(__xludf.DUMMYFUNCTION("""COMPUTED_VALUE"""),"Distinction between Distance and Displacement")</f>
        <v>Distinction between Distance and Displacement</v>
      </c>
      <c r="AM120" s="13"/>
      <c r="AN120" s="13"/>
      <c r="AO120" s="13"/>
      <c r="AP120" s="13"/>
      <c r="AQ120" s="13"/>
      <c r="AR120" s="13"/>
      <c r="AS120" s="13"/>
      <c r="AT120" s="13"/>
    </row>
    <row r="121" spans="1:46">
      <c r="A121" s="8" t="s">
        <v>247</v>
      </c>
      <c r="B121" s="8" t="s">
        <v>47</v>
      </c>
      <c r="C121" s="8" t="s">
        <v>979</v>
      </c>
      <c r="D121" s="9" t="s">
        <v>1510</v>
      </c>
      <c r="E121" s="8" t="s">
        <v>2410</v>
      </c>
      <c r="F121" s="10" t="s">
        <v>2414</v>
      </c>
      <c r="G121" s="10" t="s">
        <v>2415</v>
      </c>
      <c r="H121" s="8" t="str">
        <f ca="1">IFERROR(__xludf.DUMMYFUNCTION("VLOOKUP(G121, IMPORTRANGE(""https://docs.google.com/spreadsheets/d/14deopnvwcrKtEGCKuYXdUHJbeLDZlkiSSWWT0g7x2pM/edit#gid=849066331"", ""LU List Science (Filter)!A:B""), 2, FALSE)"),"Definition and different forms of energy")</f>
        <v>Definition and different forms of energy</v>
      </c>
      <c r="I121" s="10" t="str">
        <f t="shared" si="0"/>
        <v>LU005897.001</v>
      </c>
      <c r="J121" s="10" t="str">
        <f ca="1">IFERROR(__xludf.DUMMYFUNCTION("VLOOKUP(I121, IMPORTRANGE(""https://docs.google.com/spreadsheets/d/1yDAaXNsi4Mr5FtRQL4tbmSdIzhx6_m4wkOD7IG-k_eo/edit#gid=1336395716"", ""Science!M:N""), 2, FALSE)"),"Define the term 'energy' and list its different forms.")</f>
        <v>Define the term 'energy' and list its different forms.</v>
      </c>
      <c r="K121" s="10" t="str">
        <f t="shared" si="1"/>
        <v>LU005897.002</v>
      </c>
      <c r="L121" s="10" t="str">
        <f ca="1">IFERROR(__xludf.DUMMYFUNCTION("VLOOKUP(K121, IMPORTRANGE(""https://docs.google.com/spreadsheets/d/1yDAaXNsi4Mr5FtRQL4tbmSdIzhx6_m4wkOD7IG-k_eo/edit#gid=1336395716"", ""Science!M:N""), 2, FALSE)"),"Describe the basic characteristics of each form of energy (mechanical, chemical, heat, light, sound, electrical).")</f>
        <v>Describe the basic characteristics of each form of energy (mechanical, chemical, heat, light, sound, electrical).</v>
      </c>
      <c r="M121" s="10" t="str">
        <f t="shared" si="2"/>
        <v>LU005897.003</v>
      </c>
      <c r="N121" s="10" t="str">
        <f ca="1">IFERROR(__xludf.DUMMYFUNCTION("VLOOKUP(M121, IMPORTRANGE(""https://docs.google.com/spreadsheets/d/1yDAaXNsi4Mr5FtRQL4tbmSdIzhx6_m4wkOD7IG-k_eo/edit#gid=1336395716"", ""Science!M:N""), 2, FALSE)"),"Identify and classify examples of everyday occurrences or devices into the appropriate forms of energy.")</f>
        <v>Identify and classify examples of everyday occurrences or devices into the appropriate forms of energy.</v>
      </c>
      <c r="O121" s="10" t="str">
        <f t="shared" si="3"/>
        <v>LU005897.004</v>
      </c>
      <c r="P121" s="10" t="str">
        <f ca="1">IFERROR(__xludf.DUMMYFUNCTION("VLOOKUP(O121, IMPORTRANGE(""https://docs.google.com/spreadsheets/d/1yDAaXNsi4Mr5FtRQL4tbmSdIzhx6_m4wkOD7IG-k_eo/edit#gid=1336395716"", ""Science!M:N""), 2, FALSE)"),"Compare and contrast the transformations of energy from one form to another in real-world contexts.")</f>
        <v>Compare and contrast the transformations of energy from one form to another in real-world contexts.</v>
      </c>
      <c r="Q121" s="10" t="str">
        <f t="shared" si="4"/>
        <v>LU005897.005</v>
      </c>
      <c r="R121" s="10" t="str">
        <f ca="1">IFERROR(__xludf.DUMMYFUNCTION("VLOOKUP(Q121, IMPORTRANGE(""https://docs.google.com/spreadsheets/d/1yDAaXNsi4Mr5FtRQL4tbmSdIzhx6_m4wkOD7IG-k_eo/edit#gid=1336395716"", ""Science!M:N""), 2, FALSE)"),"Evaluate the efficiency of common appliances or tools based on the energy forms they utilize and any energy losses in the form of heat or sound.")</f>
        <v>Evaluate the efficiency of common appliances or tools based on the energy forms they utilize and any energy losses in the form of heat or sound.</v>
      </c>
      <c r="S121" s="10" t="str">
        <f t="shared" si="5"/>
        <v>LU005897.006</v>
      </c>
      <c r="T121" s="10" t="str">
        <f ca="1">IFERROR(__xludf.DUMMYFUNCTION("VLOOKUP(S121, IMPORTRANGE(""https://docs.google.com/spreadsheets/d/1yDAaXNsi4Mr5FtRQL4tbmSdIzhx6_m4wkOD7IG-k_eo/edit#gid=1336395716"", ""Science!M:N""), 2, FALSE)"),"Design a simple machine or system that uses at least two forms of energy, explaining how one form is converted to another.")</f>
        <v>Design a simple machine or system that uses at least two forms of energy, explaining how one form is converted to another.</v>
      </c>
      <c r="U121" s="11" t="str">
        <f ca="1">IFERROR(__xludf.DUMMYFUNCTION("ArrayFormula(VLOOKUP(G121, IMPORTRANGE(""https://docs.google.com/spreadsheets/d/1p7R4vtkWt5VOBim4ltsDG9KTzSjrtKXsMtQGXPHyND0/edit#gid=795171502"", ""'Filter 30_05_2024'!A1:M2000""), {2, 3, 4, 5,6,7,8,9,10,11,12,13}, 0))"),"#N/A")</f>
        <v>#N/A</v>
      </c>
      <c r="V121" s="11" t="str">
        <f ca="1">IFERROR(__xludf.DUMMYFUNCTION("""COMPUTED_VALUE"""),"#N/A")</f>
        <v>#N/A</v>
      </c>
      <c r="W121" s="11" t="str">
        <f ca="1">IFERROR(__xludf.DUMMYFUNCTION("""COMPUTED_VALUE"""),"#N/A")</f>
        <v>#N/A</v>
      </c>
      <c r="X121" s="11" t="str">
        <f ca="1">IFERROR(__xludf.DUMMYFUNCTION("""COMPUTED_VALUE"""),"#N/A")</f>
        <v>#N/A</v>
      </c>
      <c r="Y121" s="11" t="str">
        <f ca="1">IFERROR(__xludf.DUMMYFUNCTION("""COMPUTED_VALUE"""),"#N/A")</f>
        <v>#N/A</v>
      </c>
      <c r="Z121" s="12" t="str">
        <f ca="1">IFERROR(__xludf.DUMMYFUNCTION("""COMPUTED_VALUE"""),"#N/A")</f>
        <v>#N/A</v>
      </c>
      <c r="AA121" s="12" t="str">
        <f ca="1">IFERROR(__xludf.DUMMYFUNCTION("""COMPUTED_VALUE"""),"#N/A")</f>
        <v>#N/A</v>
      </c>
      <c r="AB121" s="12" t="str">
        <f ca="1">IFERROR(__xludf.DUMMYFUNCTION("""COMPUTED_VALUE"""),"#N/A")</f>
        <v>#N/A</v>
      </c>
      <c r="AC121" s="12" t="str">
        <f ca="1">IFERROR(__xludf.DUMMYFUNCTION("""COMPUTED_VALUE"""),"#N/A")</f>
        <v>#N/A</v>
      </c>
      <c r="AD121" s="12" t="str">
        <f ca="1">IFERROR(__xludf.DUMMYFUNCTION("""COMPUTED_VALUE"""),"#N/A")</f>
        <v>#N/A</v>
      </c>
      <c r="AE121" s="12" t="str">
        <f ca="1">IFERROR(__xludf.DUMMYFUNCTION("""COMPUTED_VALUE"""),"#N/A")</f>
        <v>#N/A</v>
      </c>
      <c r="AF121" s="12" t="str">
        <f ca="1">IFERROR(__xludf.DUMMYFUNCTION("""COMPUTED_VALUE"""),"#N/A")</f>
        <v>#N/A</v>
      </c>
      <c r="AG121" s="13" t="str">
        <f ca="1">IFERROR(__xludf.DUMMYFUNCTION("ArrayFormula(VLOOKUP(G121, IMPORTRANGE(""https://docs.google.com/spreadsheets/d/1Co934fvtviyaRiMsrIlT05Jaq7iiYq07aLvRr35KA48/edit?gid=173865642#gid=173865642"", ""'G9 Sci_Pri_LU'!G2:V2000""), {3, 4, 5, 6, 7, 8, 9, 10, 11, 12, 13, 14, 15, 16}, 0))"),"LU006354")</f>
        <v>LU006354</v>
      </c>
      <c r="AH121" s="22" t="str">
        <f ca="1">IFERROR(__xludf.DUMMYFUNCTION("""COMPUTED_VALUE"""),"Qualitative Nature of Work Done (Zero, Positive and Negative Work)")</f>
        <v>Qualitative Nature of Work Done (Zero, Positive and Negative Work)</v>
      </c>
      <c r="AI121" s="13" t="str">
        <f ca="1">IFERROR(__xludf.DUMMYFUNCTION("""COMPUTED_VALUE"""),"LU006353")</f>
        <v>LU006353</v>
      </c>
      <c r="AJ121" s="13" t="str">
        <f ca="1">IFERROR(__xludf.DUMMYFUNCTION("""COMPUTED_VALUE"""),"Quantitative Nature of Work Done (Formula and Unit)")</f>
        <v>Quantitative Nature of Work Done (Formula and Unit)</v>
      </c>
      <c r="AK121" s="13"/>
      <c r="AL121" s="13"/>
      <c r="AM121" s="13"/>
      <c r="AN121" s="13"/>
      <c r="AO121" s="13"/>
      <c r="AP121" s="13"/>
      <c r="AQ121" s="13"/>
      <c r="AR121" s="13"/>
      <c r="AS121" s="13"/>
      <c r="AT121" s="13"/>
    </row>
    <row r="122" spans="1:46">
      <c r="A122" s="8" t="s">
        <v>247</v>
      </c>
      <c r="B122" s="8" t="s">
        <v>47</v>
      </c>
      <c r="C122" s="8" t="s">
        <v>979</v>
      </c>
      <c r="D122" s="9" t="s">
        <v>1510</v>
      </c>
      <c r="E122" s="8" t="s">
        <v>2410</v>
      </c>
      <c r="F122" s="10" t="s">
        <v>2414</v>
      </c>
      <c r="G122" s="114" t="s">
        <v>2416</v>
      </c>
      <c r="H122" s="8" t="str">
        <f ca="1">IFERROR(__xludf.DUMMYFUNCTION("VLOOKUP(G122, IMPORTRANGE(""https://docs.google.com/spreadsheets/d/14deopnvwcrKtEGCKuYXdUHJbeLDZlkiSSWWT0g7x2pM/edit#gid=849066331"", ""LU List Science (Filter)!A:B""), 2, FALSE)"),"Introduction to Kinetic Energy (Formula and Its Application)")</f>
        <v>Introduction to Kinetic Energy (Formula and Its Application)</v>
      </c>
      <c r="I122" s="10" t="str">
        <f t="shared" si="0"/>
        <v>LU006355.001</v>
      </c>
      <c r="J122" s="10" t="str">
        <f ca="1">IFERROR(__xludf.DUMMYFUNCTION("VLOOKUP(I122, IMPORTRANGE(""https://docs.google.com/spreadsheets/d/1yDAaXNsi4Mr5FtRQL4tbmSdIzhx6_m4wkOD7IG-k_eo/edit#gid=1336395716"", ""Science!M:N""), 2, FALSE)"),"Recall the formula for kinetic energy.")</f>
        <v>Recall the formula for kinetic energy.</v>
      </c>
      <c r="K122" s="10" t="str">
        <f t="shared" si="1"/>
        <v>LU006355.002</v>
      </c>
      <c r="L122" s="10" t="str">
        <f ca="1">IFERROR(__xludf.DUMMYFUNCTION("VLOOKUP(K122, IMPORTRANGE(""https://docs.google.com/spreadsheets/d/1yDAaXNsi4Mr5FtRQL4tbmSdIzhx6_m4wkOD7IG-k_eo/edit#gid=1336395716"", ""Science!M:N""), 2, FALSE)"),"Summarize how kinetic energy is affected by mass and velocity.")</f>
        <v>Summarize how kinetic energy is affected by mass and velocity.</v>
      </c>
      <c r="M122" s="10" t="str">
        <f t="shared" si="2"/>
        <v>LU006355.003</v>
      </c>
      <c r="N122" s="10" t="str">
        <f ca="1">IFERROR(__xludf.DUMMYFUNCTION("VLOOKUP(M122, IMPORTRANGE(""https://docs.google.com/spreadsheets/d/1yDAaXNsi4Mr5FtRQL4tbmSdIzhx6_m4wkOD7IG-k_eo/edit#gid=1336395716"", ""Science!M:N""), 2, FALSE)"),"Calculate the kinetic energy of an object given its mass and speed.")</f>
        <v>Calculate the kinetic energy of an object given its mass and speed.</v>
      </c>
      <c r="O122" s="10" t="str">
        <f t="shared" si="3"/>
        <v>LU006355.004</v>
      </c>
      <c r="P122" s="10" t="str">
        <f ca="1">IFERROR(__xludf.DUMMYFUNCTION("VLOOKUP(O122, IMPORTRANGE(""https://docs.google.com/spreadsheets/d/1yDAaXNsi4Mr5FtRQL4tbmSdIzhx6_m4wkOD7IG-k_eo/edit#gid=1336395716"", ""Science!M:N""), 2, FALSE)"),"Examine how changes in velocity impact the kinetic energy of an object.")</f>
        <v>Examine how changes in velocity impact the kinetic energy of an object.</v>
      </c>
      <c r="Q122" s="10" t="str">
        <f t="shared" si="4"/>
        <v>LU006355.005</v>
      </c>
      <c r="R122" s="10" t="str">
        <f ca="1">IFERROR(__xludf.DUMMYFUNCTION("VLOOKUP(Q122, IMPORTRANGE(""https://docs.google.com/spreadsheets/d/1yDAaXNsi4Mr5FtRQL4tbmSdIzhx6_m4wkOD7IG-k_eo/edit#gid=1336395716"", ""Science!M:N""), 2, FALSE)"),"Critique a given scenario to determine if the kinetic energy has been calculated correctly.")</f>
        <v>Critique a given scenario to determine if the kinetic energy has been calculated correctly.</v>
      </c>
      <c r="S122" s="10" t="str">
        <f t="shared" si="5"/>
        <v>LU006355.006</v>
      </c>
      <c r="T122" s="10" t="str">
        <f ca="1">IFERROR(__xludf.DUMMYFUNCTION("VLOOKUP(S122, IMPORTRANGE(""https://docs.google.com/spreadsheets/d/1yDAaXNsi4Mr5FtRQL4tbmSdIzhx6_m4wkOD7IG-k_eo/edit#gid=1336395716"", ""Science!M:N""), 2, FALSE)"),"Formulate a practical problem involving kinetic energy and solve it using the correct formula.")</f>
        <v>Formulate a practical problem involving kinetic energy and solve it using the correct formula.</v>
      </c>
      <c r="U122" s="11" t="str">
        <f ca="1">IFERROR(__xludf.DUMMYFUNCTION("ArrayFormula(VLOOKUP(G122, IMPORTRANGE(""https://docs.google.com/spreadsheets/d/1p7R4vtkWt5VOBim4ltsDG9KTzSjrtKXsMtQGXPHyND0/edit#gid=795171502"", ""'Filter 30_05_2024'!A1:M2000""), {2, 3, 4, 5,6,7,8,9,10,11,12,13}, 0))"),"#N/A")</f>
        <v>#N/A</v>
      </c>
      <c r="V122" s="11" t="str">
        <f ca="1">IFERROR(__xludf.DUMMYFUNCTION("""COMPUTED_VALUE"""),"#N/A")</f>
        <v>#N/A</v>
      </c>
      <c r="W122" s="11" t="str">
        <f ca="1">IFERROR(__xludf.DUMMYFUNCTION("""COMPUTED_VALUE"""),"#N/A")</f>
        <v>#N/A</v>
      </c>
      <c r="X122" s="11" t="str">
        <f ca="1">IFERROR(__xludf.DUMMYFUNCTION("""COMPUTED_VALUE"""),"#N/A")</f>
        <v>#N/A</v>
      </c>
      <c r="Y122" s="11" t="str">
        <f ca="1">IFERROR(__xludf.DUMMYFUNCTION("""COMPUTED_VALUE"""),"#N/A")</f>
        <v>#N/A</v>
      </c>
      <c r="Z122" s="12" t="str">
        <f ca="1">IFERROR(__xludf.DUMMYFUNCTION("""COMPUTED_VALUE"""),"#N/A")</f>
        <v>#N/A</v>
      </c>
      <c r="AA122" s="12" t="str">
        <f ca="1">IFERROR(__xludf.DUMMYFUNCTION("""COMPUTED_VALUE"""),"#N/A")</f>
        <v>#N/A</v>
      </c>
      <c r="AB122" s="12" t="str">
        <f ca="1">IFERROR(__xludf.DUMMYFUNCTION("""COMPUTED_VALUE"""),"#N/A")</f>
        <v>#N/A</v>
      </c>
      <c r="AC122" s="12" t="str">
        <f ca="1">IFERROR(__xludf.DUMMYFUNCTION("""COMPUTED_VALUE"""),"#N/A")</f>
        <v>#N/A</v>
      </c>
      <c r="AD122" s="12" t="str">
        <f ca="1">IFERROR(__xludf.DUMMYFUNCTION("""COMPUTED_VALUE"""),"#N/A")</f>
        <v>#N/A</v>
      </c>
      <c r="AE122" s="12" t="str">
        <f ca="1">IFERROR(__xludf.DUMMYFUNCTION("""COMPUTED_VALUE"""),"#N/A")</f>
        <v>#N/A</v>
      </c>
      <c r="AF122" s="12" t="str">
        <f ca="1">IFERROR(__xludf.DUMMYFUNCTION("""COMPUTED_VALUE"""),"#N/A")</f>
        <v>#N/A</v>
      </c>
      <c r="AG122" s="13" t="str">
        <f ca="1">IFERROR(__xludf.DUMMYFUNCTION("ArrayFormula(VLOOKUP(G122, IMPORTRANGE(""https://docs.google.com/spreadsheets/d/1Co934fvtviyaRiMsrIlT05Jaq7iiYq07aLvRr35KA48/edit?gid=173865642#gid=173865642"", ""'G9 Sci_Pri_LU'!G2:V2000""), {3, 4, 5, 6, 7, 8, 9, 10, 11, 12, 13, 14, 15, 16}, 0))"),"LU005897")</f>
        <v>LU005897</v>
      </c>
      <c r="AH122" s="22" t="str">
        <f ca="1">IFERROR(__xludf.DUMMYFUNCTION("""COMPUTED_VALUE"""),"Definition and different forms of energy")</f>
        <v>Definition and different forms of energy</v>
      </c>
      <c r="AI122" s="13" t="str">
        <f ca="1">IFERROR(__xludf.DUMMYFUNCTION("""COMPUTED_VALUE"""),"LU006319")</f>
        <v>LU006319</v>
      </c>
      <c r="AJ122" s="13" t="str">
        <f ca="1">IFERROR(__xludf.DUMMYFUNCTION("""COMPUTED_VALUE"""),"Definition of Velocity and Average Velocity ")</f>
        <v xml:space="preserve">Definition of Velocity and Average Velocity </v>
      </c>
      <c r="AK122" s="13" t="str">
        <f ca="1">IFERROR(__xludf.DUMMYFUNCTION("""COMPUTED_VALUE"""),"LU006334")</f>
        <v>LU006334</v>
      </c>
      <c r="AL122" s="13" t="str">
        <f ca="1">IFERROR(__xludf.DUMMYFUNCTION("""COMPUTED_VALUE"""),"Newton's Second Law of Motion and its application in everyday life ")</f>
        <v xml:space="preserve">Newton's Second Law of Motion and its application in everyday life </v>
      </c>
      <c r="AM122" s="13"/>
      <c r="AN122" s="13"/>
      <c r="AO122" s="13"/>
      <c r="AP122" s="13"/>
      <c r="AQ122" s="13"/>
      <c r="AR122" s="13"/>
      <c r="AS122" s="13"/>
      <c r="AT122" s="13"/>
    </row>
    <row r="123" spans="1:46">
      <c r="A123" s="8" t="s">
        <v>247</v>
      </c>
      <c r="B123" s="8" t="s">
        <v>47</v>
      </c>
      <c r="C123" s="8" t="s">
        <v>979</v>
      </c>
      <c r="D123" s="9" t="s">
        <v>1510</v>
      </c>
      <c r="E123" s="8" t="s">
        <v>2410</v>
      </c>
      <c r="F123" s="10" t="s">
        <v>2417</v>
      </c>
      <c r="G123" s="114" t="s">
        <v>2418</v>
      </c>
      <c r="H123" s="8" t="str">
        <f ca="1">IFERROR(__xludf.DUMMYFUNCTION("VLOOKUP(G123, IMPORTRANGE(""https://docs.google.com/spreadsheets/d/14deopnvwcrKtEGCKuYXdUHJbeLDZlkiSSWWT0g7x2pM/edit#gid=849066331"", ""LU List Science (Filter)!A:B""), 2, FALSE)"),"Understanding Potential Energy through real life examples")</f>
        <v>Understanding Potential Energy through real life examples</v>
      </c>
      <c r="I123" s="10" t="str">
        <f t="shared" si="0"/>
        <v>LU006356.001</v>
      </c>
      <c r="J123" s="10" t="str">
        <f ca="1">IFERROR(__xludf.DUMMYFUNCTION("VLOOKUP(I123, IMPORTRANGE(""https://docs.google.com/spreadsheets/d/1yDAaXNsi4Mr5FtRQL4tbmSdIzhx6_m4wkOD7IG-k_eo/edit#gid=1336395716"", ""Science!M:N""), 2, FALSE)"),"Identify real-life examples of potential energy.")</f>
        <v>Identify real-life examples of potential energy.</v>
      </c>
      <c r="K123" s="10" t="str">
        <f t="shared" si="1"/>
        <v>LU006356.002</v>
      </c>
      <c r="L123" s="10" t="str">
        <f ca="1">IFERROR(__xludf.DUMMYFUNCTION("VLOOKUP(K123, IMPORTRANGE(""https://docs.google.com/spreadsheets/d/1yDAaXNsi4Mr5FtRQL4tbmSdIzhx6_m4wkOD7IG-k_eo/edit#gid=1336395716"", ""Science!M:N""), 2, FALSE)"),"Explain how potential energy is stored in different systems.")</f>
        <v>Explain how potential energy is stored in different systems.</v>
      </c>
      <c r="M123" s="10" t="str">
        <f t="shared" si="2"/>
        <v>LU006356.003</v>
      </c>
      <c r="N123" s="10" t="str">
        <f ca="1">IFERROR(__xludf.DUMMYFUNCTION("VLOOKUP(M123, IMPORTRANGE(""https://docs.google.com/spreadsheets/d/1yDAaXNsi4Mr5FtRQL4tbmSdIzhx6_m4wkOD7IG-k_eo/edit#gid=1336395716"", ""Science!M:N""), 2, FALSE)"),"Demonstrate the calculation of potential energy in a given scenario.")</f>
        <v>Demonstrate the calculation of potential energy in a given scenario.</v>
      </c>
      <c r="O123" s="10" t="str">
        <f t="shared" si="3"/>
        <v>LU006356.004</v>
      </c>
      <c r="P123" s="10" t="str">
        <f ca="1">IFERROR(__xludf.DUMMYFUNCTION("VLOOKUP(O123, IMPORTRANGE(""https://docs.google.com/spreadsheets/d/1yDAaXNsi4Mr5FtRQL4tbmSdIzhx6_m4wkOD7IG-k_eo/edit#gid=1336395716"", ""Science!M:N""), 2, FALSE)"),"Distinguish between different forms of potential energy (gravitational, elastic, chemical).")</f>
        <v>Distinguish between different forms of potential energy (gravitational, elastic, chemical).</v>
      </c>
      <c r="Q123" s="10" t="str">
        <f t="shared" si="4"/>
        <v>LU006356.005</v>
      </c>
      <c r="R123" s="10" t="str">
        <f ca="1">IFERROR(__xludf.DUMMYFUNCTION("VLOOKUP(Q123, IMPORTRANGE(""https://docs.google.com/spreadsheets/d/1yDAaXNsi4Mr5FtRQL4tbmSdIzhx6_m4wkOD7IG-k_eo/edit#gid=1336395716"", ""Science!M:N""), 2, FALSE)"),"Assess the potential energy changes in a system over time.")</f>
        <v>Assess the potential energy changes in a system over time.</v>
      </c>
      <c r="S123" s="10" t="str">
        <f t="shared" si="5"/>
        <v>LU006356.006</v>
      </c>
      <c r="T123" s="10" t="str">
        <f ca="1">IFERROR(__xludf.DUMMYFUNCTION("VLOOKUP(S123, IMPORTRANGE(""https://docs.google.com/spreadsheets/d/1yDAaXNsi4Mr5FtRQL4tbmSdIzhx6_m4wkOD7IG-k_eo/edit#gid=1336395716"", ""Science!M:N""), 2, FALSE)"),"Develop a real-life situation that illustrates the concept of potential energy and solve it.")</f>
        <v>Develop a real-life situation that illustrates the concept of potential energy and solve it.</v>
      </c>
      <c r="U123" s="11" t="str">
        <f ca="1">IFERROR(__xludf.DUMMYFUNCTION("ArrayFormula(VLOOKUP(G123, IMPORTRANGE(""https://docs.google.com/spreadsheets/d/1p7R4vtkWt5VOBim4ltsDG9KTzSjrtKXsMtQGXPHyND0/edit#gid=795171502"", ""'Filter 30_05_2024'!A1:M2000""), {2, 3, 4, 5,6,7,8,9,10,11,12,13}, 0))"),"#N/A")</f>
        <v>#N/A</v>
      </c>
      <c r="V123" s="11" t="str">
        <f ca="1">IFERROR(__xludf.DUMMYFUNCTION("""COMPUTED_VALUE"""),"#N/A")</f>
        <v>#N/A</v>
      </c>
      <c r="W123" s="11" t="str">
        <f ca="1">IFERROR(__xludf.DUMMYFUNCTION("""COMPUTED_VALUE"""),"#N/A")</f>
        <v>#N/A</v>
      </c>
      <c r="X123" s="11" t="str">
        <f ca="1">IFERROR(__xludf.DUMMYFUNCTION("""COMPUTED_VALUE"""),"#N/A")</f>
        <v>#N/A</v>
      </c>
      <c r="Y123" s="11" t="str">
        <f ca="1">IFERROR(__xludf.DUMMYFUNCTION("""COMPUTED_VALUE"""),"#N/A")</f>
        <v>#N/A</v>
      </c>
      <c r="Z123" s="12" t="str">
        <f ca="1">IFERROR(__xludf.DUMMYFUNCTION("""COMPUTED_VALUE"""),"#N/A")</f>
        <v>#N/A</v>
      </c>
      <c r="AA123" s="12" t="str">
        <f ca="1">IFERROR(__xludf.DUMMYFUNCTION("""COMPUTED_VALUE"""),"#N/A")</f>
        <v>#N/A</v>
      </c>
      <c r="AB123" s="12" t="str">
        <f ca="1">IFERROR(__xludf.DUMMYFUNCTION("""COMPUTED_VALUE"""),"#N/A")</f>
        <v>#N/A</v>
      </c>
      <c r="AC123" s="12" t="str">
        <f ca="1">IFERROR(__xludf.DUMMYFUNCTION("""COMPUTED_VALUE"""),"#N/A")</f>
        <v>#N/A</v>
      </c>
      <c r="AD123" s="12" t="str">
        <f ca="1">IFERROR(__xludf.DUMMYFUNCTION("""COMPUTED_VALUE"""),"#N/A")</f>
        <v>#N/A</v>
      </c>
      <c r="AE123" s="12" t="str">
        <f ca="1">IFERROR(__xludf.DUMMYFUNCTION("""COMPUTED_VALUE"""),"#N/A")</f>
        <v>#N/A</v>
      </c>
      <c r="AF123" s="12" t="str">
        <f ca="1">IFERROR(__xludf.DUMMYFUNCTION("""COMPUTED_VALUE"""),"#N/A")</f>
        <v>#N/A</v>
      </c>
      <c r="AG123" s="13" t="str">
        <f ca="1">IFERROR(__xludf.DUMMYFUNCTION("ArrayFormula(VLOOKUP(G123, IMPORTRANGE(""https://docs.google.com/spreadsheets/d/1Co934fvtviyaRiMsrIlT05Jaq7iiYq07aLvRr35KA48/edit?gid=173865642#gid=173865642"", ""'G9 Sci_Pri_LU'!G2:V2000""), {3, 4, 5, 6, 7, 8, 9, 10, 11, 12, 13, 14, 15, 16}, 0))"),"LU005897")</f>
        <v>LU005897</v>
      </c>
      <c r="AH123" s="22" t="str">
        <f ca="1">IFERROR(__xludf.DUMMYFUNCTION("""COMPUTED_VALUE"""),"Definition and different forms of energy")</f>
        <v>Definition and different forms of energy</v>
      </c>
      <c r="AI123" s="13" t="str">
        <f ca="1">IFERROR(__xludf.DUMMYFUNCTION("""COMPUTED_VALUE"""),"LU006343")</f>
        <v>LU006343</v>
      </c>
      <c r="AJ123" s="13" t="str">
        <f ca="1">IFERROR(__xludf.DUMMYFUNCTION("""COMPUTED_VALUE"""),"Formula of Acceleration due to Gravity and its Value near the Surface of Earth")</f>
        <v>Formula of Acceleration due to Gravity and its Value near the Surface of Earth</v>
      </c>
      <c r="AK123" s="13"/>
      <c r="AL123" s="13"/>
      <c r="AM123" s="13"/>
      <c r="AN123" s="13"/>
      <c r="AO123" s="13"/>
      <c r="AP123" s="13"/>
      <c r="AQ123" s="13"/>
      <c r="AR123" s="13"/>
      <c r="AS123" s="13"/>
      <c r="AT123" s="13"/>
    </row>
    <row r="124" spans="1:46">
      <c r="A124" s="8" t="s">
        <v>247</v>
      </c>
      <c r="B124" s="8" t="s">
        <v>47</v>
      </c>
      <c r="C124" s="8" t="s">
        <v>979</v>
      </c>
      <c r="D124" s="9" t="s">
        <v>1510</v>
      </c>
      <c r="E124" s="8" t="s">
        <v>2410</v>
      </c>
      <c r="F124" s="10" t="s">
        <v>2417</v>
      </c>
      <c r="G124" s="114" t="s">
        <v>2419</v>
      </c>
      <c r="H124" s="8" t="str">
        <f ca="1">IFERROR(__xludf.DUMMYFUNCTION("VLOOKUP(G124, IMPORTRANGE(""https://docs.google.com/spreadsheets/d/14deopnvwcrKtEGCKuYXdUHJbeLDZlkiSSWWT0g7x2pM/edit#gid=849066331"", ""LU List Science (Filter)!A:B""), 2, FALSE)"),"Gravitational Potential Energy (Formula and its path dependency)")</f>
        <v>Gravitational Potential Energy (Formula and its path dependency)</v>
      </c>
      <c r="I124" s="10" t="str">
        <f t="shared" si="0"/>
        <v>LU006357.001</v>
      </c>
      <c r="J124" s="10" t="str">
        <f ca="1">IFERROR(__xludf.DUMMYFUNCTION("VLOOKUP(I124, IMPORTRANGE(""https://docs.google.com/spreadsheets/d/1yDAaXNsi4Mr5FtRQL4tbmSdIzhx6_m4wkOD7IG-k_eo/edit#gid=1336395716"", ""Science!M:N""), 2, FALSE)"),"State the formula for gravitational potential energy.")</f>
        <v>State the formula for gravitational potential energy.</v>
      </c>
      <c r="K124" s="10" t="str">
        <f t="shared" si="1"/>
        <v>LU006357.002</v>
      </c>
      <c r="L124" s="10" t="str">
        <f ca="1">IFERROR(__xludf.DUMMYFUNCTION("VLOOKUP(K124, IMPORTRANGE(""https://docs.google.com/spreadsheets/d/1yDAaXNsi4Mr5FtRQL4tbmSdIzhx6_m4wkOD7IG-k_eo/edit#gid=1336395716"", ""Science!M:N""), 2, FALSE)"),"Explain the concept of path dependency in gravitational potential energy.")</f>
        <v>Explain the concept of path dependency in gravitational potential energy.</v>
      </c>
      <c r="M124" s="10" t="str">
        <f t="shared" si="2"/>
        <v>LU006357.003</v>
      </c>
      <c r="N124" s="10" t="str">
        <f ca="1">IFERROR(__xludf.DUMMYFUNCTION("VLOOKUP(M124, IMPORTRANGE(""https://docs.google.com/spreadsheets/d/1yDAaXNsi4Mr5FtRQL4tbmSdIzhx6_m4wkOD7IG-k_eo/edit#gid=1336395716"", ""Science!M:N""), 2, FALSE)"),"Use the formula to calculate the gravitational potential energy of an object at a certain height.")</f>
        <v>Use the formula to calculate the gravitational potential energy of an object at a certain height.</v>
      </c>
      <c r="O124" s="10" t="str">
        <f t="shared" si="3"/>
        <v>LU006357.004</v>
      </c>
      <c r="P124" s="10" t="str">
        <f ca="1">IFERROR(__xludf.DUMMYFUNCTION("VLOOKUP(O124, IMPORTRANGE(""https://docs.google.com/spreadsheets/d/1yDAaXNsi4Mr5FtRQL4tbmSdIzhx6_m4wkOD7IG-k_eo/edit#gid=1336395716"", ""Science!M:N""), 2, FALSE)"),"Investigate how different paths to the same height affect gravitational potential energy.")</f>
        <v>Investigate how different paths to the same height affect gravitational potential energy.</v>
      </c>
      <c r="Q124" s="10" t="str">
        <f t="shared" si="4"/>
        <v>LU006357.005</v>
      </c>
      <c r="R124" s="10" t="str">
        <f ca="1">IFERROR(__xludf.DUMMYFUNCTION("VLOOKUP(Q124, IMPORTRANGE(""https://docs.google.com/spreadsheets/d/1yDAaXNsi4Mr5FtRQL4tbmSdIzhx6_m4wkOD7IG-k_eo/edit#gid=1336395716"", ""Science!M:N""), 2, FALSE)"),"Determine the validity of gravitational potential energy calculations in given problems.")</f>
        <v>Determine the validity of gravitational potential energy calculations in given problems.</v>
      </c>
      <c r="S124" s="10" t="str">
        <f t="shared" si="5"/>
        <v>LU006357.006</v>
      </c>
      <c r="T124" s="10" t="str">
        <f ca="1">IFERROR(__xludf.DUMMYFUNCTION("VLOOKUP(S124, IMPORTRANGE(""https://docs.google.com/spreadsheets/d/1yDAaXNsi4Mr5FtRQL4tbmSdIzhx6_m4wkOD7IG-k_eo/edit#gid=1336395716"", ""Science!M:N""), 2, FALSE)"),"Create a complex problem involving gravitational potential energy and solve it using the correct principles.")</f>
        <v>Create a complex problem involving gravitational potential energy and solve it using the correct principles.</v>
      </c>
      <c r="U124" s="11" t="str">
        <f ca="1">IFERROR(__xludf.DUMMYFUNCTION("ArrayFormula(VLOOKUP(G124, IMPORTRANGE(""https://docs.google.com/spreadsheets/d/1p7R4vtkWt5VOBim4ltsDG9KTzSjrtKXsMtQGXPHyND0/edit#gid=795171502"", ""'Filter 30_05_2024'!A1:M2000""), {2, 3, 4, 5,6,7,8,9,10,11,12,13}, 0))"),"#N/A")</f>
        <v>#N/A</v>
      </c>
      <c r="V124" s="11" t="str">
        <f ca="1">IFERROR(__xludf.DUMMYFUNCTION("""COMPUTED_VALUE"""),"#N/A")</f>
        <v>#N/A</v>
      </c>
      <c r="W124" s="11" t="str">
        <f ca="1">IFERROR(__xludf.DUMMYFUNCTION("""COMPUTED_VALUE"""),"#N/A")</f>
        <v>#N/A</v>
      </c>
      <c r="X124" s="11" t="str">
        <f ca="1">IFERROR(__xludf.DUMMYFUNCTION("""COMPUTED_VALUE"""),"#N/A")</f>
        <v>#N/A</v>
      </c>
      <c r="Y124" s="11" t="str">
        <f ca="1">IFERROR(__xludf.DUMMYFUNCTION("""COMPUTED_VALUE"""),"#N/A")</f>
        <v>#N/A</v>
      </c>
      <c r="Z124" s="12" t="str">
        <f ca="1">IFERROR(__xludf.DUMMYFUNCTION("""COMPUTED_VALUE"""),"#N/A")</f>
        <v>#N/A</v>
      </c>
      <c r="AA124" s="12" t="str">
        <f ca="1">IFERROR(__xludf.DUMMYFUNCTION("""COMPUTED_VALUE"""),"#N/A")</f>
        <v>#N/A</v>
      </c>
      <c r="AB124" s="12" t="str">
        <f ca="1">IFERROR(__xludf.DUMMYFUNCTION("""COMPUTED_VALUE"""),"#N/A")</f>
        <v>#N/A</v>
      </c>
      <c r="AC124" s="12" t="str">
        <f ca="1">IFERROR(__xludf.DUMMYFUNCTION("""COMPUTED_VALUE"""),"#N/A")</f>
        <v>#N/A</v>
      </c>
      <c r="AD124" s="12" t="str">
        <f ca="1">IFERROR(__xludf.DUMMYFUNCTION("""COMPUTED_VALUE"""),"#N/A")</f>
        <v>#N/A</v>
      </c>
      <c r="AE124" s="12" t="str">
        <f ca="1">IFERROR(__xludf.DUMMYFUNCTION("""COMPUTED_VALUE"""),"#N/A")</f>
        <v>#N/A</v>
      </c>
      <c r="AF124" s="12" t="str">
        <f ca="1">IFERROR(__xludf.DUMMYFUNCTION("""COMPUTED_VALUE"""),"#N/A")</f>
        <v>#N/A</v>
      </c>
      <c r="AG124" s="13" t="str">
        <f ca="1">IFERROR(__xludf.DUMMYFUNCTION("ArrayFormula(VLOOKUP(G124, IMPORTRANGE(""https://docs.google.com/spreadsheets/d/1Co934fvtviyaRiMsrIlT05Jaq7iiYq07aLvRr35KA48/edit?gid=173865642#gid=173865642"", ""'G9 Sci_Pri_LU'!G2:V2000""), {3, 4, 5, 6, 7, 8, 9, 10, 11, 12, 13, 14, 15, 16}, 0))"),"LU006356")</f>
        <v>LU006356</v>
      </c>
      <c r="AH124" s="22" t="str">
        <f ca="1">IFERROR(__xludf.DUMMYFUNCTION("""COMPUTED_VALUE"""),"Understanding Potential Energy through real life examples")</f>
        <v>Understanding Potential Energy through real life examples</v>
      </c>
      <c r="AI124" s="13" t="str">
        <f ca="1">IFERROR(__xludf.DUMMYFUNCTION("""COMPUTED_VALUE"""),"LU006353")</f>
        <v>LU006353</v>
      </c>
      <c r="AJ124" s="13" t="str">
        <f ca="1">IFERROR(__xludf.DUMMYFUNCTION("""COMPUTED_VALUE"""),"Quantitative Nature of Work Done (Formula and Unit)")</f>
        <v>Quantitative Nature of Work Done (Formula and Unit)</v>
      </c>
      <c r="AK124" s="13" t="str">
        <f ca="1">IFERROR(__xludf.DUMMYFUNCTION("""COMPUTED_VALUE"""),"LU006346")</f>
        <v>LU006346</v>
      </c>
      <c r="AL124" s="13" t="str">
        <f ca="1">IFERROR(__xludf.DUMMYFUNCTION("""COMPUTED_VALUE"""),"Understanding Weight and Mass")</f>
        <v>Understanding Weight and Mass</v>
      </c>
      <c r="AM124" s="13"/>
      <c r="AN124" s="13"/>
      <c r="AO124" s="13"/>
      <c r="AP124" s="13"/>
      <c r="AQ124" s="13"/>
      <c r="AR124" s="13"/>
      <c r="AS124" s="13"/>
      <c r="AT124" s="13"/>
    </row>
    <row r="125" spans="1:46">
      <c r="A125" s="8" t="s">
        <v>247</v>
      </c>
      <c r="B125" s="8" t="s">
        <v>47</v>
      </c>
      <c r="C125" s="8" t="s">
        <v>979</v>
      </c>
      <c r="D125" s="9" t="s">
        <v>1510</v>
      </c>
      <c r="E125" s="8" t="s">
        <v>2410</v>
      </c>
      <c r="F125" s="10" t="s">
        <v>2420</v>
      </c>
      <c r="G125" s="114" t="s">
        <v>2421</v>
      </c>
      <c r="H125" s="8" t="str">
        <f ca="1">IFERROR(__xludf.DUMMYFUNCTION("VLOOKUP(G125, IMPORTRANGE(""https://docs.google.com/spreadsheets/d/14deopnvwcrKtEGCKuYXdUHJbeLDZlkiSSWWT0g7x2pM/edit#gid=849066331"", ""LU List Science (Filter)!A:B""), 2, FALSE)"),"Law of conservation of energy")</f>
        <v>Law of conservation of energy</v>
      </c>
      <c r="I125" s="10" t="str">
        <f t="shared" si="0"/>
        <v>LU006359.001</v>
      </c>
      <c r="J125" s="10" t="str">
        <f ca="1">IFERROR(__xludf.DUMMYFUNCTION("VLOOKUP(I125, IMPORTRANGE(""https://docs.google.com/spreadsheets/d/1yDAaXNsi4Mr5FtRQL4tbmSdIzhx6_m4wkOD7IG-k_eo/edit#gid=1336395716"", ""Science!M:N""), 2, FALSE)"),"State the law of conservation of energy.")</f>
        <v>State the law of conservation of energy.</v>
      </c>
      <c r="K125" s="10" t="str">
        <f t="shared" si="1"/>
        <v>LU006359.002</v>
      </c>
      <c r="L125" s="10" t="str">
        <f ca="1">IFERROR(__xludf.DUMMYFUNCTION("VLOOKUP(K125, IMPORTRANGE(""https://docs.google.com/spreadsheets/d/1yDAaXNsi4Mr5FtRQL4tbmSdIzhx6_m4wkOD7IG-k_eo/edit#gid=1336395716"", ""Science!M:N""), 2, FALSE)"),"Explain the significance of the law of conservation of energy.")</f>
        <v>Explain the significance of the law of conservation of energy.</v>
      </c>
      <c r="M125" s="10" t="str">
        <f t="shared" si="2"/>
        <v>LU006359.003</v>
      </c>
      <c r="N125" s="10" t="str">
        <f ca="1">IFERROR(__xludf.DUMMYFUNCTION("VLOOKUP(M125, IMPORTRANGE(""https://docs.google.com/spreadsheets/d/1yDAaXNsi4Mr5FtRQL4tbmSdIzhx6_m4wkOD7IG-k_eo/edit#gid=1336395716"", ""Science!M:N""), 2, FALSE)"),"Illustrate the law of conservation of energy with a practical example.")</f>
        <v>Illustrate the law of conservation of energy with a practical example.</v>
      </c>
      <c r="O125" s="10" t="str">
        <f t="shared" si="3"/>
        <v>LU006359.004</v>
      </c>
      <c r="P125" s="10" t="str">
        <f ca="1">IFERROR(__xludf.DUMMYFUNCTION("VLOOKUP(O125, IMPORTRANGE(""https://docs.google.com/spreadsheets/d/1yDAaXNsi4Mr5FtRQL4tbmSdIzhx6_m4wkOD7IG-k_eo/edit#gid=1336395716"", ""Science!M:N""), 2, FALSE)"),"Break down a system to show how energy is conserved within it.")</f>
        <v>Break down a system to show how energy is conserved within it.</v>
      </c>
      <c r="Q125" s="10" t="str">
        <f t="shared" si="4"/>
        <v>LU006359.005</v>
      </c>
      <c r="R125" s="10" t="str">
        <f ca="1">IFERROR(__xludf.DUMMYFUNCTION("VLOOKUP(Q125, IMPORTRANGE(""https://docs.google.com/spreadsheets/d/1yDAaXNsi4Mr5FtRQL4tbmSdIzhx6_m4wkOD7IG-k_eo/edit#gid=1336395716"", ""Science!M:N""), 2, FALSE)"),"Assess scenarios to determine if they obey the law of conservation of energy.")</f>
        <v>Assess scenarios to determine if they obey the law of conservation of energy.</v>
      </c>
      <c r="S125" s="10" t="str">
        <f t="shared" si="5"/>
        <v>LU006359.006</v>
      </c>
      <c r="T125" s="10" t="str">
        <f ca="1">IFERROR(__xludf.DUMMYFUNCTION("VLOOKUP(S125, IMPORTRANGE(""https://docs.google.com/spreadsheets/d/1yDAaXNsi4Mr5FtRQL4tbmSdIzhx6_m4wkOD7IG-k_eo/edit#gid=1336395716"", ""Science!M:N""), 2, FALSE)"),"Develop a new scenario demonstrating the law of conservation of energy and explain it.")</f>
        <v>Develop a new scenario demonstrating the law of conservation of energy and explain it.</v>
      </c>
      <c r="U125" s="11" t="str">
        <f ca="1">IFERROR(__xludf.DUMMYFUNCTION("ArrayFormula(VLOOKUP(G125, IMPORTRANGE(""https://docs.google.com/spreadsheets/d/1p7R4vtkWt5VOBim4ltsDG9KTzSjrtKXsMtQGXPHyND0/edit#gid=795171502"", ""'Filter 30_05_2024'!A1:M2000""), {2, 3, 4, 5,6,7,8,9,10,11,12,13}, 0))"),"#N/A")</f>
        <v>#N/A</v>
      </c>
      <c r="V125" s="11" t="str">
        <f ca="1">IFERROR(__xludf.DUMMYFUNCTION("""COMPUTED_VALUE"""),"#N/A")</f>
        <v>#N/A</v>
      </c>
      <c r="W125" s="11" t="str">
        <f ca="1">IFERROR(__xludf.DUMMYFUNCTION("""COMPUTED_VALUE"""),"#N/A")</f>
        <v>#N/A</v>
      </c>
      <c r="X125" s="11" t="str">
        <f ca="1">IFERROR(__xludf.DUMMYFUNCTION("""COMPUTED_VALUE"""),"#N/A")</f>
        <v>#N/A</v>
      </c>
      <c r="Y125" s="11" t="str">
        <f ca="1">IFERROR(__xludf.DUMMYFUNCTION("""COMPUTED_VALUE"""),"#N/A")</f>
        <v>#N/A</v>
      </c>
      <c r="Z125" s="12" t="str">
        <f ca="1">IFERROR(__xludf.DUMMYFUNCTION("""COMPUTED_VALUE"""),"#N/A")</f>
        <v>#N/A</v>
      </c>
      <c r="AA125" s="12" t="str">
        <f ca="1">IFERROR(__xludf.DUMMYFUNCTION("""COMPUTED_VALUE"""),"#N/A")</f>
        <v>#N/A</v>
      </c>
      <c r="AB125" s="12" t="str">
        <f ca="1">IFERROR(__xludf.DUMMYFUNCTION("""COMPUTED_VALUE"""),"#N/A")</f>
        <v>#N/A</v>
      </c>
      <c r="AC125" s="12" t="str">
        <f ca="1">IFERROR(__xludf.DUMMYFUNCTION("""COMPUTED_VALUE"""),"#N/A")</f>
        <v>#N/A</v>
      </c>
      <c r="AD125" s="12" t="str">
        <f ca="1">IFERROR(__xludf.DUMMYFUNCTION("""COMPUTED_VALUE"""),"#N/A")</f>
        <v>#N/A</v>
      </c>
      <c r="AE125" s="12" t="str">
        <f ca="1">IFERROR(__xludf.DUMMYFUNCTION("""COMPUTED_VALUE"""),"#N/A")</f>
        <v>#N/A</v>
      </c>
      <c r="AF125" s="12" t="str">
        <f ca="1">IFERROR(__xludf.DUMMYFUNCTION("""COMPUTED_VALUE"""),"#N/A")</f>
        <v>#N/A</v>
      </c>
      <c r="AG125" s="13" t="str">
        <f ca="1">IFERROR(__xludf.DUMMYFUNCTION("ArrayFormula(VLOOKUP(G125, IMPORTRANGE(""https://docs.google.com/spreadsheets/d/1Co934fvtviyaRiMsrIlT05Jaq7iiYq07aLvRr35KA48/edit?gid=173865642#gid=173865642"", ""'G9 Sci_Pri_LU'!G2:V2000""), {3, 4, 5, 6, 7, 8, 9, 10, 11, 12, 13, 14, 15, 16}, 0))"),"LU005897")</f>
        <v>LU005897</v>
      </c>
      <c r="AH125" s="22" t="str">
        <f ca="1">IFERROR(__xludf.DUMMYFUNCTION("""COMPUTED_VALUE"""),"Definition and different forms of energy")</f>
        <v>Definition and different forms of energy</v>
      </c>
      <c r="AI125" s="13" t="str">
        <f ca="1">IFERROR(__xludf.DUMMYFUNCTION("""COMPUTED_VALUE"""),"LU006355")</f>
        <v>LU006355</v>
      </c>
      <c r="AJ125" s="13" t="str">
        <f ca="1">IFERROR(__xludf.DUMMYFUNCTION("""COMPUTED_VALUE"""),"Introduction to Kinetic Energy (Formula and Its Application)")</f>
        <v>Introduction to Kinetic Energy (Formula and Its Application)</v>
      </c>
      <c r="AK125" s="13" t="str">
        <f ca="1">IFERROR(__xludf.DUMMYFUNCTION("""COMPUTED_VALUE"""),"LU006356")</f>
        <v>LU006356</v>
      </c>
      <c r="AL125" s="13" t="str">
        <f ca="1">IFERROR(__xludf.DUMMYFUNCTION("""COMPUTED_VALUE"""),"Understanding Potential Energy through real life examples")</f>
        <v>Understanding Potential Energy through real life examples</v>
      </c>
      <c r="AM125" s="13"/>
      <c r="AN125" s="13"/>
      <c r="AO125" s="13"/>
      <c r="AP125" s="13"/>
      <c r="AQ125" s="13"/>
      <c r="AR125" s="13"/>
      <c r="AS125" s="13"/>
      <c r="AT125" s="13"/>
    </row>
    <row r="126" spans="1:46">
      <c r="A126" s="8" t="s">
        <v>247</v>
      </c>
      <c r="B126" s="8" t="s">
        <v>47</v>
      </c>
      <c r="C126" s="8" t="s">
        <v>979</v>
      </c>
      <c r="D126" s="9" t="s">
        <v>1510</v>
      </c>
      <c r="E126" s="8" t="s">
        <v>2410</v>
      </c>
      <c r="F126" s="10" t="s">
        <v>2422</v>
      </c>
      <c r="G126" s="114" t="s">
        <v>2423</v>
      </c>
      <c r="H126" s="8" t="str">
        <f ca="1">IFERROR(__xludf.DUMMYFUNCTION("VLOOKUP(G126, IMPORTRANGE(""https://docs.google.com/spreadsheets/d/14deopnvwcrKtEGCKuYXdUHJbeLDZlkiSSWWT0g7x2pM/edit#gid=849066331"", ""LU List Science (Filter)!A:B""), 2, FALSE)"),"Definition of Power (Formula and Unit) ")</f>
        <v xml:space="preserve">Definition of Power (Formula and Unit) </v>
      </c>
      <c r="I126" s="10" t="str">
        <f t="shared" si="0"/>
        <v>LU006360.001</v>
      </c>
      <c r="J126" s="10" t="str">
        <f ca="1">IFERROR(__xludf.DUMMYFUNCTION("VLOOKUP(I126, IMPORTRANGE(""https://docs.google.com/spreadsheets/d/1yDAaXNsi4Mr5FtRQL4tbmSdIzhx6_m4wkOD7IG-k_eo/edit#gid=1336395716"", ""Science!M:N""), 2, FALSE)"),"Recall the formula and unit for power.")</f>
        <v>Recall the formula and unit for power.</v>
      </c>
      <c r="K126" s="10" t="str">
        <f t="shared" si="1"/>
        <v>LU006360.002</v>
      </c>
      <c r="L126" s="10" t="str">
        <f ca="1">IFERROR(__xludf.DUMMYFUNCTION("VLOOKUP(K126, IMPORTRANGE(""https://docs.google.com/spreadsheets/d/1yDAaXNsi4Mr5FtRQL4tbmSdIzhx6_m4wkOD7IG-k_eo/edit#gid=1336395716"", ""Science!M:N""), 2, FALSE)"),"Explain how power relates to work done over time.")</f>
        <v>Explain how power relates to work done over time.</v>
      </c>
      <c r="M126" s="10" t="str">
        <f t="shared" si="2"/>
        <v>LU006360.003</v>
      </c>
      <c r="N126" s="10" t="str">
        <f ca="1">IFERROR(__xludf.DUMMYFUNCTION("VLOOKUP(M126, IMPORTRANGE(""https://docs.google.com/spreadsheets/d/1yDAaXNsi4Mr5FtRQL4tbmSdIzhx6_m4wkOD7IG-k_eo/edit#gid=1336395716"", ""Science!M:N""), 2, FALSE)"),"Calculate the power used in a given situation where work and time are provided.")</f>
        <v>Calculate the power used in a given situation where work and time are provided.</v>
      </c>
      <c r="O126" s="10" t="str">
        <f t="shared" si="3"/>
        <v>LU006360.004</v>
      </c>
      <c r="P126" s="10" t="str">
        <f ca="1">IFERROR(__xludf.DUMMYFUNCTION("VLOOKUP(O126, IMPORTRANGE(""https://docs.google.com/spreadsheets/d/1yDAaXNsi4Mr5FtRQL4tbmSdIzhx6_m4wkOD7IG-k_eo/edit#gid=1336395716"", ""Science!M:N""), 2, FALSE)"),"Differentiate between high power and low power scenarios.")</f>
        <v>Differentiate between high power and low power scenarios.</v>
      </c>
      <c r="Q126" s="10" t="str">
        <f t="shared" si="4"/>
        <v>LU006360.005</v>
      </c>
      <c r="R126" s="10" t="str">
        <f ca="1">IFERROR(__xludf.DUMMYFUNCTION("VLOOKUP(Q126, IMPORTRANGE(""https://docs.google.com/spreadsheets/d/1yDAaXNsi4Mr5FtRQL4tbmSdIzhx6_m4wkOD7IG-k_eo/edit#gid=1336395716"", ""Science!M:N""), 2, FALSE)"),"Assess the power consumption of various devices and systems.")</f>
        <v>Assess the power consumption of various devices and systems.</v>
      </c>
      <c r="S126" s="10" t="str">
        <f t="shared" si="5"/>
        <v>LU006360.006</v>
      </c>
      <c r="T126" s="10" t="str">
        <f ca="1">IFERROR(__xludf.DUMMYFUNCTION("VLOOKUP(S126, IMPORTRANGE(""https://docs.google.com/spreadsheets/d/1yDAaXNsi4Mr5FtRQL4tbmSdIzhx6_m4wkOD7IG-k_eo/edit#gid=1336395716"", ""Science!M:N""), 2, FALSE)"),"Create a real-life problem involving power calculation and solve it using the appropriate formula and units.")</f>
        <v>Create a real-life problem involving power calculation and solve it using the appropriate formula and units.</v>
      </c>
      <c r="U126" s="11" t="str">
        <f ca="1">IFERROR(__xludf.DUMMYFUNCTION("ArrayFormula(VLOOKUP(G126, IMPORTRANGE(""https://docs.google.com/spreadsheets/d/1p7R4vtkWt5VOBim4ltsDG9KTzSjrtKXsMtQGXPHyND0/edit#gid=795171502"", ""'Filter 30_05_2024'!A1:M2000""), {2, 3, 4, 5,6,7,8,9,10,11,12,13}, 0))"),"#N/A")</f>
        <v>#N/A</v>
      </c>
      <c r="V126" s="11" t="str">
        <f ca="1">IFERROR(__xludf.DUMMYFUNCTION("""COMPUTED_VALUE"""),"#N/A")</f>
        <v>#N/A</v>
      </c>
      <c r="W126" s="11" t="str">
        <f ca="1">IFERROR(__xludf.DUMMYFUNCTION("""COMPUTED_VALUE"""),"#N/A")</f>
        <v>#N/A</v>
      </c>
      <c r="X126" s="11" t="str">
        <f ca="1">IFERROR(__xludf.DUMMYFUNCTION("""COMPUTED_VALUE"""),"#N/A")</f>
        <v>#N/A</v>
      </c>
      <c r="Y126" s="11" t="str">
        <f ca="1">IFERROR(__xludf.DUMMYFUNCTION("""COMPUTED_VALUE"""),"#N/A")</f>
        <v>#N/A</v>
      </c>
      <c r="Z126" s="12" t="str">
        <f ca="1">IFERROR(__xludf.DUMMYFUNCTION("""COMPUTED_VALUE"""),"#N/A")</f>
        <v>#N/A</v>
      </c>
      <c r="AA126" s="12" t="str">
        <f ca="1">IFERROR(__xludf.DUMMYFUNCTION("""COMPUTED_VALUE"""),"#N/A")</f>
        <v>#N/A</v>
      </c>
      <c r="AB126" s="12" t="str">
        <f ca="1">IFERROR(__xludf.DUMMYFUNCTION("""COMPUTED_VALUE"""),"#N/A")</f>
        <v>#N/A</v>
      </c>
      <c r="AC126" s="12" t="str">
        <f ca="1">IFERROR(__xludf.DUMMYFUNCTION("""COMPUTED_VALUE"""),"#N/A")</f>
        <v>#N/A</v>
      </c>
      <c r="AD126" s="12" t="str">
        <f ca="1">IFERROR(__xludf.DUMMYFUNCTION("""COMPUTED_VALUE"""),"#N/A")</f>
        <v>#N/A</v>
      </c>
      <c r="AE126" s="12" t="str">
        <f ca="1">IFERROR(__xludf.DUMMYFUNCTION("""COMPUTED_VALUE"""),"#N/A")</f>
        <v>#N/A</v>
      </c>
      <c r="AF126" s="12" t="str">
        <f ca="1">IFERROR(__xludf.DUMMYFUNCTION("""COMPUTED_VALUE"""),"#N/A")</f>
        <v>#N/A</v>
      </c>
      <c r="AG126" s="13" t="str">
        <f ca="1">IFERROR(__xludf.DUMMYFUNCTION("ArrayFormula(VLOOKUP(G126, IMPORTRANGE(""https://docs.google.com/spreadsheets/d/1Co934fvtviyaRiMsrIlT05Jaq7iiYq07aLvRr35KA48/edit?gid=173865642#gid=173865642"", ""'G9 Sci_Pri_LU'!G2:V2000""), {3, 4, 5, 6, 7, 8, 9, 10, 11, 12, 13, 14, 15, 16}, 0))"),"LU006353")</f>
        <v>LU006353</v>
      </c>
      <c r="AH126" s="22" t="str">
        <f ca="1">IFERROR(__xludf.DUMMYFUNCTION("""COMPUTED_VALUE"""),"Quantitative Nature of Work Done (Formula and Unit)")</f>
        <v>Quantitative Nature of Work Done (Formula and Unit)</v>
      </c>
      <c r="AI126" s="13" t="str">
        <f ca="1">IFERROR(__xludf.DUMMYFUNCTION("""COMPUTED_VALUE"""),"LU005897")</f>
        <v>LU005897</v>
      </c>
      <c r="AJ126" s="13" t="str">
        <f ca="1">IFERROR(__xludf.DUMMYFUNCTION("""COMPUTED_VALUE"""),"Definition and different forms of energy")</f>
        <v>Definition and different forms of energy</v>
      </c>
      <c r="AK126" s="13"/>
      <c r="AL126" s="13"/>
      <c r="AM126" s="13"/>
      <c r="AN126" s="13"/>
      <c r="AO126" s="13"/>
      <c r="AP126" s="13"/>
      <c r="AQ126" s="13"/>
      <c r="AR126" s="13"/>
      <c r="AS126" s="13"/>
      <c r="AT126" s="13"/>
    </row>
    <row r="127" spans="1:46">
      <c r="A127" s="8" t="s">
        <v>247</v>
      </c>
      <c r="B127" s="8" t="s">
        <v>47</v>
      </c>
      <c r="C127" s="8" t="s">
        <v>979</v>
      </c>
      <c r="D127" s="9" t="s">
        <v>1510</v>
      </c>
      <c r="E127" s="13" t="s">
        <v>2157</v>
      </c>
      <c r="F127" s="10" t="s">
        <v>2424</v>
      </c>
      <c r="G127" s="127" t="s">
        <v>2159</v>
      </c>
      <c r="H127" s="128" t="str">
        <f ca="1">IFERROR(__xludf.DUMMYFUNCTION("VLOOKUP(G127, IMPORTRANGE(""https://docs.google.com/spreadsheets/d/14deopnvwcrKtEGCKuYXdUHJbeLDZlkiSSWWT0g7x2pM/edit#gid=849066331"", ""LU List Science (Filter)!A:B""), 2, FALSE)"),"Cause of generation of sound")</f>
        <v>Cause of generation of sound</v>
      </c>
      <c r="I127" s="10" t="str">
        <f t="shared" si="0"/>
        <v>LU005572.001</v>
      </c>
      <c r="J127" s="10" t="str">
        <f ca="1">IFERROR(__xludf.DUMMYFUNCTION("VLOOKUP(I127, IMPORTRANGE(""https://docs.google.com/spreadsheets/d/1yDAaXNsi4Mr5FtRQL4tbmSdIzhx6_m4wkOD7IG-k_eo/edit#gid=1336395716"", ""Science!M:N""), 2, FALSE)"),"Define vibration as to and fro motion with the help of everyday examples")</f>
        <v>Define vibration as to and fro motion with the help of everyday examples</v>
      </c>
      <c r="K127" s="10" t="str">
        <f t="shared" si="1"/>
        <v>LU005572.002</v>
      </c>
      <c r="L127" s="10" t="str">
        <f ca="1">IFERROR(__xludf.DUMMYFUNCTION("VLOOKUP(K127, IMPORTRANGE(""https://docs.google.com/spreadsheets/d/1yDAaXNsi4Mr5FtRQL4tbmSdIzhx6_m4wkOD7IG-k_eo/edit#gid=1336395716"", ""Science!M:N""), 2, FALSE)"),"Explain how vibrations are responsible for the generation of sound.")</f>
        <v>Explain how vibrations are responsible for the generation of sound.</v>
      </c>
      <c r="M127" s="10" t="str">
        <f t="shared" si="2"/>
        <v>LU005572.003</v>
      </c>
      <c r="N127" s="10" t="str">
        <f ca="1">IFERROR(__xludf.DUMMYFUNCTION("VLOOKUP(M127, IMPORTRANGE(""https://docs.google.com/spreadsheets/d/1yDAaXNsi4Mr5FtRQL4tbmSdIzhx6_m4wkOD7IG-k_eo/edit#gid=1336395716"", ""Science!M:N""), 2, FALSE)"),"Demonstrate the concept of sound production by conducting an experiment using various objects to show how vibrations create sound.")</f>
        <v>Demonstrate the concept of sound production by conducting an experiment using various objects to show how vibrations create sound.</v>
      </c>
      <c r="O127" s="10" t="str">
        <f t="shared" si="3"/>
        <v>LU005572.004</v>
      </c>
      <c r="P127" s="10" t="str">
        <f ca="1">IFERROR(__xludf.DUMMYFUNCTION("VLOOKUP(O127, IMPORTRANGE(""https://docs.google.com/spreadsheets/d/1yDAaXNsi4Mr5FtRQL4tbmSdIzhx6_m4wkOD7IG-k_eo/edit#gid=1336395716"", ""Science!M:N""), 2, FALSE)"),"Analyze different objects or materials to determine which ones can produce sound when they vibrate.")</f>
        <v>Analyze different objects or materials to determine which ones can produce sound when they vibrate.</v>
      </c>
      <c r="Q127" s="10" t="str">
        <f t="shared" si="4"/>
        <v>LU005572.005</v>
      </c>
      <c r="R127" s="10" t="str">
        <f ca="1">IFERROR(__xludf.DUMMYFUNCTION("VLOOKUP(Q127, IMPORTRANGE(""https://docs.google.com/spreadsheets/d/1yDAaXNsi4Mr5FtRQL4tbmSdIzhx6_m4wkOD7IG-k_eo/edit#gid=1336395716"", ""Science!M:N""), 2, FALSE)"),"#N/A")</f>
        <v>#N/A</v>
      </c>
      <c r="S127" s="10" t="str">
        <f t="shared" si="5"/>
        <v>LU005572.006</v>
      </c>
      <c r="T127" s="10" t="str">
        <f ca="1">IFERROR(__xludf.DUMMYFUNCTION("VLOOKUP(S127, IMPORTRANGE(""https://docs.google.com/spreadsheets/d/1yDAaXNsi4Mr5FtRQL4tbmSdIzhx6_m4wkOD7IG-k_eo/edit#gid=1336395716"", ""Science!M:N""), 2, FALSE)"),"#N/A")</f>
        <v>#N/A</v>
      </c>
      <c r="U127" s="11">
        <f ca="1">IFERROR(__xludf.DUMMYFUNCTION("ArrayFormula(VLOOKUP(G127, IMPORTRANGE(""https://docs.google.com/spreadsheets/d/1p7R4vtkWt5VOBim4ltsDG9KTzSjrtKXsMtQGXPHyND0/edit#gid=795171502"", ""'Filter 30_05_2024'!A1:M2000""), {2, 3, 4, 5,6,7,8,9,10,11,12,13}, 0))"),4)</f>
        <v>4</v>
      </c>
      <c r="V127" s="11">
        <f ca="1">IFERROR(__xludf.DUMMYFUNCTION("""COMPUTED_VALUE"""),6)</f>
        <v>6</v>
      </c>
      <c r="W127" s="11">
        <f ca="1">IFERROR(__xludf.DUMMYFUNCTION("""COMPUTED_VALUE"""),2)</f>
        <v>2</v>
      </c>
      <c r="X127" s="11">
        <f ca="1">IFERROR(__xludf.DUMMYFUNCTION("""COMPUTED_VALUE"""),12)</f>
        <v>12</v>
      </c>
      <c r="Y127" s="11">
        <f ca="1">IFERROR(__xludf.DUMMYFUNCTION("""COMPUTED_VALUE"""),4)</f>
        <v>4</v>
      </c>
      <c r="Z127" s="12">
        <f ca="1">IFERROR(__xludf.DUMMYFUNCTION("""COMPUTED_VALUE"""),3)</f>
        <v>3</v>
      </c>
      <c r="AA127" s="12">
        <f ca="1">IFERROR(__xludf.DUMMYFUNCTION("""COMPUTED_VALUE"""),1)</f>
        <v>1</v>
      </c>
      <c r="AB127" s="12">
        <f ca="1">IFERROR(__xludf.DUMMYFUNCTION("""COMPUTED_VALUE"""),8)</f>
        <v>8</v>
      </c>
      <c r="AC127" s="12"/>
      <c r="AD127" s="12"/>
      <c r="AE127" s="12"/>
      <c r="AF127" s="12"/>
      <c r="AG127" s="13" t="str">
        <f ca="1">IFERROR(__xludf.DUMMYFUNCTION("ArrayFormula(VLOOKUP(G127, IMPORTRANGE(""https://docs.google.com/spreadsheets/d/1Co934fvtviyaRiMsrIlT05Jaq7iiYq07aLvRr35KA48/edit?gid=173865642#gid=173865642"", ""'G9 Sci_Pri_LU'!G2:V2000""), {3, 4, 5, 6, 7, 8, 9, 10, 11, 12, 13, 14, 15, 16}, 0))"),"LU005191")</f>
        <v>LU005191</v>
      </c>
      <c r="AH127" s="22" t="str">
        <f ca="1">IFERROR(__xludf.DUMMYFUNCTION("""COMPUTED_VALUE"""),"Understanding the Basics of Vibratory Motion")</f>
        <v>Understanding the Basics of Vibratory Motion</v>
      </c>
      <c r="AI127" s="13"/>
      <c r="AJ127" s="13"/>
      <c r="AK127" s="13"/>
      <c r="AL127" s="13"/>
      <c r="AM127" s="13"/>
      <c r="AN127" s="13"/>
      <c r="AO127" s="13"/>
      <c r="AP127" s="13"/>
      <c r="AQ127" s="13"/>
      <c r="AR127" s="13"/>
      <c r="AS127" s="13"/>
      <c r="AT127" s="13"/>
    </row>
    <row r="128" spans="1:46">
      <c r="A128" s="8" t="s">
        <v>247</v>
      </c>
      <c r="B128" s="8" t="s">
        <v>47</v>
      </c>
      <c r="C128" s="8" t="s">
        <v>979</v>
      </c>
      <c r="D128" s="9" t="s">
        <v>1510</v>
      </c>
      <c r="E128" s="13" t="s">
        <v>2157</v>
      </c>
      <c r="F128" s="10" t="s">
        <v>2424</v>
      </c>
      <c r="G128" s="114" t="s">
        <v>2425</v>
      </c>
      <c r="H128" s="8" t="str">
        <f ca="1">IFERROR(__xludf.DUMMYFUNCTION("VLOOKUP(G128, IMPORTRANGE(""https://docs.google.com/spreadsheets/d/14deopnvwcrKtEGCKuYXdUHJbeLDZlkiSSWWT0g7x2pM/edit#gid=849066331"", ""LU List Science (Filter)!A:B""), 2, FALSE)"),"Description of the sound wave as Mechanical and Longitudinal wave")</f>
        <v>Description of the sound wave as Mechanical and Longitudinal wave</v>
      </c>
      <c r="I128" s="10" t="str">
        <f t="shared" si="0"/>
        <v>LU006362.001</v>
      </c>
      <c r="J128" s="10" t="str">
        <f ca="1">IFERROR(__xludf.DUMMYFUNCTION("VLOOKUP(I128, IMPORTRANGE(""https://docs.google.com/spreadsheets/d/1yDAaXNsi4Mr5FtRQL4tbmSdIzhx6_m4wkOD7IG-k_eo/edit#gid=1336395716"", ""Science!M:N""), 2, FALSE)"),"Define a sound wave and describe its nature as a mechanical and longitudinal wave.")</f>
        <v>Define a sound wave and describe its nature as a mechanical and longitudinal wave.</v>
      </c>
      <c r="K128" s="10" t="str">
        <f t="shared" si="1"/>
        <v>LU006362.002</v>
      </c>
      <c r="L128" s="10" t="str">
        <f ca="1">IFERROR(__xludf.DUMMYFUNCTION("VLOOKUP(K128, IMPORTRANGE(""https://docs.google.com/spreadsheets/d/1yDAaXNsi4Mr5FtRQL4tbmSdIzhx6_m4wkOD7IG-k_eo/edit#gid=1336395716"", ""Science!M:N""), 2, FALSE)"),"Explain how a sound wave propagates through a medium as a mechanical and longitudinal wave.")</f>
        <v>Explain how a sound wave propagates through a medium as a mechanical and longitudinal wave.</v>
      </c>
      <c r="M128" s="10" t="str">
        <f t="shared" si="2"/>
        <v>LU006362.003</v>
      </c>
      <c r="N128" s="10" t="str">
        <f ca="1">IFERROR(__xludf.DUMMYFUNCTION("VLOOKUP(M128, IMPORTRANGE(""https://docs.google.com/spreadsheets/d/1yDAaXNsi4Mr5FtRQL4tbmSdIzhx6_m4wkOD7IG-k_eo/edit#gid=1336395716"", ""Science!M:N""), 2, FALSE)"),"Illustrate with an example how sound waves are mechanical and longitudinal in nature.")</f>
        <v>Illustrate with an example how sound waves are mechanical and longitudinal in nature.</v>
      </c>
      <c r="O128" s="10" t="str">
        <f t="shared" si="3"/>
        <v>LU006362.004</v>
      </c>
      <c r="P128" s="10" t="str">
        <f ca="1">IFERROR(__xludf.DUMMYFUNCTION("VLOOKUP(O128, IMPORTRANGE(""https://docs.google.com/spreadsheets/d/1yDAaXNsi4Mr5FtRQL4tbmSdIzhx6_m4wkOD7IG-k_eo/edit#gid=1336395716"", ""Science!M:N""), 2, FALSE)"),"Differentiate between mechanical and longitudinal waves using sound waves as an example.")</f>
        <v>Differentiate between mechanical and longitudinal waves using sound waves as an example.</v>
      </c>
      <c r="Q128" s="10" t="str">
        <f t="shared" si="4"/>
        <v>LU006362.005</v>
      </c>
      <c r="R128" s="10" t="str">
        <f ca="1">IFERROR(__xludf.DUMMYFUNCTION("VLOOKUP(Q128, IMPORTRANGE(""https://docs.google.com/spreadsheets/d/1yDAaXNsi4Mr5FtRQL4tbmSdIzhx6_m4wkOD7IG-k_eo/edit#gid=1336395716"", ""Science!M:N""), 2, FALSE)"),"Assess the importance of understanding sound waves as mechanical and longitudinal waves in daily life applications.")</f>
        <v>Assess the importance of understanding sound waves as mechanical and longitudinal waves in daily life applications.</v>
      </c>
      <c r="S128" s="10" t="str">
        <f t="shared" si="5"/>
        <v>LU006362.006</v>
      </c>
      <c r="T128" s="10" t="str">
        <f ca="1">IFERROR(__xludf.DUMMYFUNCTION("VLOOKUP(S128, IMPORTRANGE(""https://docs.google.com/spreadsheets/d/1yDAaXNsi4Mr5FtRQL4tbmSdIzhx6_m4wkOD7IG-k_eo/edit#gid=1336395716"", ""Science!M:N""), 2, FALSE)"),"Design an experiment to demonstrate that sound waves are both mechanical and longitudinal waves.")</f>
        <v>Design an experiment to demonstrate that sound waves are both mechanical and longitudinal waves.</v>
      </c>
      <c r="U128" s="11" t="str">
        <f ca="1">IFERROR(__xludf.DUMMYFUNCTION("ArrayFormula(VLOOKUP(G128, IMPORTRANGE(""https://docs.google.com/spreadsheets/d/1p7R4vtkWt5VOBim4ltsDG9KTzSjrtKXsMtQGXPHyND0/edit#gid=795171502"", ""'Filter 30_05_2024'!A1:M2000""), {2, 3, 4, 5,6,7,8,9,10,11,12,13}, 0))"),"#N/A")</f>
        <v>#N/A</v>
      </c>
      <c r="V128" s="11" t="str">
        <f ca="1">IFERROR(__xludf.DUMMYFUNCTION("""COMPUTED_VALUE"""),"#N/A")</f>
        <v>#N/A</v>
      </c>
      <c r="W128" s="11" t="str">
        <f ca="1">IFERROR(__xludf.DUMMYFUNCTION("""COMPUTED_VALUE"""),"#N/A")</f>
        <v>#N/A</v>
      </c>
      <c r="X128" s="11" t="str">
        <f ca="1">IFERROR(__xludf.DUMMYFUNCTION("""COMPUTED_VALUE"""),"#N/A")</f>
        <v>#N/A</v>
      </c>
      <c r="Y128" s="11" t="str">
        <f ca="1">IFERROR(__xludf.DUMMYFUNCTION("""COMPUTED_VALUE"""),"#N/A")</f>
        <v>#N/A</v>
      </c>
      <c r="Z128" s="12" t="str">
        <f ca="1">IFERROR(__xludf.DUMMYFUNCTION("""COMPUTED_VALUE"""),"#N/A")</f>
        <v>#N/A</v>
      </c>
      <c r="AA128" s="12" t="str">
        <f ca="1">IFERROR(__xludf.DUMMYFUNCTION("""COMPUTED_VALUE"""),"#N/A")</f>
        <v>#N/A</v>
      </c>
      <c r="AB128" s="12" t="str">
        <f ca="1">IFERROR(__xludf.DUMMYFUNCTION("""COMPUTED_VALUE"""),"#N/A")</f>
        <v>#N/A</v>
      </c>
      <c r="AC128" s="12" t="str">
        <f ca="1">IFERROR(__xludf.DUMMYFUNCTION("""COMPUTED_VALUE"""),"#N/A")</f>
        <v>#N/A</v>
      </c>
      <c r="AD128" s="12" t="str">
        <f ca="1">IFERROR(__xludf.DUMMYFUNCTION("""COMPUTED_VALUE"""),"#N/A")</f>
        <v>#N/A</v>
      </c>
      <c r="AE128" s="12" t="str">
        <f ca="1">IFERROR(__xludf.DUMMYFUNCTION("""COMPUTED_VALUE"""),"#N/A")</f>
        <v>#N/A</v>
      </c>
      <c r="AF128" s="12" t="str">
        <f ca="1">IFERROR(__xludf.DUMMYFUNCTION("""COMPUTED_VALUE"""),"#N/A")</f>
        <v>#N/A</v>
      </c>
      <c r="AG128" s="13" t="str">
        <f ca="1">IFERROR(__xludf.DUMMYFUNCTION("ArrayFormula(VLOOKUP(G128, IMPORTRANGE(""https://docs.google.com/spreadsheets/d/1Co934fvtviyaRiMsrIlT05Jaq7iiYq07aLvRr35KA48/edit?gid=173865642#gid=173865642"", ""'G9 Sci_Pri_LU'!G2:V2000""), {3, 4, 5, 6, 7, 8, 9, 10, 11, 12, 13, 14, 15, 16}, 0))"),"LU005575")</f>
        <v>LU005575</v>
      </c>
      <c r="AH128" s="22" t="str">
        <f ca="1">IFERROR(__xludf.DUMMYFUNCTION("""COMPUTED_VALUE"""),"Propagation of sound through different mediums")</f>
        <v>Propagation of sound through different mediums</v>
      </c>
      <c r="AI128" s="13" t="str">
        <f ca="1">IFERROR(__xludf.DUMMYFUNCTION("""COMPUTED_VALUE"""),"LU005572")</f>
        <v>LU005572</v>
      </c>
      <c r="AJ128" s="13" t="str">
        <f ca="1">IFERROR(__xludf.DUMMYFUNCTION("""COMPUTED_VALUE"""),"Cause of generation of sound")</f>
        <v>Cause of generation of sound</v>
      </c>
      <c r="AK128" s="13"/>
      <c r="AL128" s="13"/>
      <c r="AM128" s="13"/>
      <c r="AN128" s="13"/>
      <c r="AO128" s="13"/>
      <c r="AP128" s="13"/>
      <c r="AQ128" s="13"/>
      <c r="AR128" s="13"/>
      <c r="AS128" s="13"/>
      <c r="AT128" s="13"/>
    </row>
    <row r="129" spans="1:46">
      <c r="A129" s="8" t="s">
        <v>247</v>
      </c>
      <c r="B129" s="8" t="s">
        <v>47</v>
      </c>
      <c r="C129" s="8" t="s">
        <v>979</v>
      </c>
      <c r="D129" s="9" t="s">
        <v>1510</v>
      </c>
      <c r="E129" s="13" t="s">
        <v>2157</v>
      </c>
      <c r="F129" s="10" t="s">
        <v>2163</v>
      </c>
      <c r="G129" s="114" t="s">
        <v>2426</v>
      </c>
      <c r="H129" s="8" t="str">
        <f ca="1">IFERROR(__xludf.DUMMYFUNCTION("VLOOKUP(G129, IMPORTRANGE(""https://docs.google.com/spreadsheets/d/14deopnvwcrKtEGCKuYXdUHJbeLDZlkiSSWWT0g7x2pM/edit#gid=849066331"", ""LU List Science (Filter)!A:B""), 2, FALSE)"),"Propagation of sound as propagation of pressure variation in medium (compression and rarefaction) ")</f>
        <v xml:space="preserve">Propagation of sound as propagation of pressure variation in medium (compression and rarefaction) </v>
      </c>
      <c r="I129" s="10" t="str">
        <f t="shared" si="0"/>
        <v>LU006363.001</v>
      </c>
      <c r="J129" s="10" t="str">
        <f ca="1">IFERROR(__xludf.DUMMYFUNCTION("VLOOKUP(I129, IMPORTRANGE(""https://docs.google.com/spreadsheets/d/1yDAaXNsi4Mr5FtRQL4tbmSdIzhx6_m4wkOD7IG-k_eo/edit#gid=1336395716"", ""Science!M:N""), 2, FALSE)"),"Define compression and rarefaction in the context of sound wave propagation.")</f>
        <v>Define compression and rarefaction in the context of sound wave propagation.</v>
      </c>
      <c r="K129" s="10" t="str">
        <f t="shared" si="1"/>
        <v>LU006363.002</v>
      </c>
      <c r="L129" s="10" t="str">
        <f ca="1">IFERROR(__xludf.DUMMYFUNCTION("VLOOKUP(K129, IMPORTRANGE(""https://docs.google.com/spreadsheets/d/1yDAaXNsi4Mr5FtRQL4tbmSdIzhx6_m4wkOD7IG-k_eo/edit#gid=1336395716"", ""Science!M:N""), 2, FALSE)"),"Explain how sound propagates through a medium by creating pressure variations.")</f>
        <v>Explain how sound propagates through a medium by creating pressure variations.</v>
      </c>
      <c r="M129" s="10" t="str">
        <f t="shared" si="2"/>
        <v>LU006363.003</v>
      </c>
      <c r="N129" s="10" t="str">
        <f ca="1">IFERROR(__xludf.DUMMYFUNCTION("VLOOKUP(M129, IMPORTRANGE(""https://docs.google.com/spreadsheets/d/1yDAaXNsi4Mr5FtRQL4tbmSdIzhx6_m4wkOD7IG-k_eo/edit#gid=1336395716"", ""Science!M:N""), 2, FALSE)"),"Demonstrate the propagation of sound through a medium using a slinky or a similar apparatus.")</f>
        <v>Demonstrate the propagation of sound through a medium using a slinky or a similar apparatus.</v>
      </c>
      <c r="O129" s="10" t="str">
        <f t="shared" si="3"/>
        <v>LU006363.004</v>
      </c>
      <c r="P129" s="10" t="str">
        <f ca="1">IFERROR(__xludf.DUMMYFUNCTION("VLOOKUP(O129, IMPORTRANGE(""https://docs.google.com/spreadsheets/d/1yDAaXNsi4Mr5FtRQL4tbmSdIzhx6_m4wkOD7IG-k_eo/edit#gid=1336395716"", ""Science!M:N""), 2, FALSE)"),"Compare the propagation of sound in different media (solid, liquid, and gas) focusing on compression and rarefaction.")</f>
        <v>Compare the propagation of sound in different media (solid, liquid, and gas) focusing on compression and rarefaction.</v>
      </c>
      <c r="Q129" s="10" t="str">
        <f t="shared" si="4"/>
        <v>LU006363.005</v>
      </c>
      <c r="R129" s="10" t="str">
        <f ca="1">IFERROR(__xludf.DUMMYFUNCTION("VLOOKUP(Q129, IMPORTRANGE(""https://docs.google.com/spreadsheets/d/1yDAaXNsi4Mr5FtRQL4tbmSdIzhx6_m4wkOD7IG-k_eo/edit#gid=1336395716"", ""Science!M:N""), 2, FALSE)"),"Evaluate the effects of different mediums on the propagation of sound waves through compression and rarefaction.")</f>
        <v>Evaluate the effects of different mediums on the propagation of sound waves through compression and rarefaction.</v>
      </c>
      <c r="S129" s="10" t="str">
        <f t="shared" si="5"/>
        <v>LU006363.006</v>
      </c>
      <c r="T129" s="10" t="str">
        <f ca="1">IFERROR(__xludf.DUMMYFUNCTION("VLOOKUP(S129, IMPORTRANGE(""https://docs.google.com/spreadsheets/d/1yDAaXNsi4Mr5FtRQL4tbmSdIzhx6_m4wkOD7IG-k_eo/edit#gid=1336395716"", ""Science!M:N""), 2, FALSE)"),"Develop a model to visually represent how sound waves propagate as pressure variations in a medium.")</f>
        <v>Develop a model to visually represent how sound waves propagate as pressure variations in a medium.</v>
      </c>
      <c r="U129" s="11" t="str">
        <f ca="1">IFERROR(__xludf.DUMMYFUNCTION("ArrayFormula(VLOOKUP(G129, IMPORTRANGE(""https://docs.google.com/spreadsheets/d/1p7R4vtkWt5VOBim4ltsDG9KTzSjrtKXsMtQGXPHyND0/edit#gid=795171502"", ""'Filter 30_05_2024'!A1:M2000""), {2, 3, 4, 5,6,7,8,9,10,11,12,13}, 0))"),"#N/A")</f>
        <v>#N/A</v>
      </c>
      <c r="V129" s="11" t="str">
        <f ca="1">IFERROR(__xludf.DUMMYFUNCTION("""COMPUTED_VALUE"""),"#N/A")</f>
        <v>#N/A</v>
      </c>
      <c r="W129" s="11" t="str">
        <f ca="1">IFERROR(__xludf.DUMMYFUNCTION("""COMPUTED_VALUE"""),"#N/A")</f>
        <v>#N/A</v>
      </c>
      <c r="X129" s="11" t="str">
        <f ca="1">IFERROR(__xludf.DUMMYFUNCTION("""COMPUTED_VALUE"""),"#N/A")</f>
        <v>#N/A</v>
      </c>
      <c r="Y129" s="11" t="str">
        <f ca="1">IFERROR(__xludf.DUMMYFUNCTION("""COMPUTED_VALUE"""),"#N/A")</f>
        <v>#N/A</v>
      </c>
      <c r="Z129" s="12" t="str">
        <f ca="1">IFERROR(__xludf.DUMMYFUNCTION("""COMPUTED_VALUE"""),"#N/A")</f>
        <v>#N/A</v>
      </c>
      <c r="AA129" s="12" t="str">
        <f ca="1">IFERROR(__xludf.DUMMYFUNCTION("""COMPUTED_VALUE"""),"#N/A")</f>
        <v>#N/A</v>
      </c>
      <c r="AB129" s="12" t="str">
        <f ca="1">IFERROR(__xludf.DUMMYFUNCTION("""COMPUTED_VALUE"""),"#N/A")</f>
        <v>#N/A</v>
      </c>
      <c r="AC129" s="12" t="str">
        <f ca="1">IFERROR(__xludf.DUMMYFUNCTION("""COMPUTED_VALUE"""),"#N/A")</f>
        <v>#N/A</v>
      </c>
      <c r="AD129" s="12" t="str">
        <f ca="1">IFERROR(__xludf.DUMMYFUNCTION("""COMPUTED_VALUE"""),"#N/A")</f>
        <v>#N/A</v>
      </c>
      <c r="AE129" s="12" t="str">
        <f ca="1">IFERROR(__xludf.DUMMYFUNCTION("""COMPUTED_VALUE"""),"#N/A")</f>
        <v>#N/A</v>
      </c>
      <c r="AF129" s="12" t="str">
        <f ca="1">IFERROR(__xludf.DUMMYFUNCTION("""COMPUTED_VALUE"""),"#N/A")</f>
        <v>#N/A</v>
      </c>
      <c r="AG129" s="13" t="str">
        <f ca="1">IFERROR(__xludf.DUMMYFUNCTION("ArrayFormula(VLOOKUP(G129, IMPORTRANGE(""https://docs.google.com/spreadsheets/d/1Co934fvtviyaRiMsrIlT05Jaq7iiYq07aLvRr35KA48/edit?gid=173865642#gid=173865642"", ""'G9 Sci_Pri_LU'!G2:V2000""), {3, 4, 5, 6, 7, 8, 9, 10, 11, 12, 13, 14, 15, 16}, 0))"),"LU005572")</f>
        <v>LU005572</v>
      </c>
      <c r="AH129" s="22" t="str">
        <f ca="1">IFERROR(__xludf.DUMMYFUNCTION("""COMPUTED_VALUE"""),"Cause of generation of sound")</f>
        <v>Cause of generation of sound</v>
      </c>
      <c r="AI129" s="13" t="str">
        <f ca="1">IFERROR(__xludf.DUMMYFUNCTION("""COMPUTED_VALUE"""),"LU005543")</f>
        <v>LU005543</v>
      </c>
      <c r="AJ129" s="13" t="str">
        <f ca="1">IFERROR(__xludf.DUMMYFUNCTION("""COMPUTED_VALUE"""),"Definition of pressure")</f>
        <v>Definition of pressure</v>
      </c>
      <c r="AK129" s="13"/>
      <c r="AL129" s="13"/>
      <c r="AM129" s="13"/>
      <c r="AN129" s="13"/>
      <c r="AO129" s="13"/>
      <c r="AP129" s="13"/>
      <c r="AQ129" s="13"/>
      <c r="AR129" s="13"/>
      <c r="AS129" s="13"/>
      <c r="AT129" s="13"/>
    </row>
    <row r="130" spans="1:46">
      <c r="A130" s="8" t="s">
        <v>247</v>
      </c>
      <c r="B130" s="8" t="s">
        <v>47</v>
      </c>
      <c r="C130" s="8" t="s">
        <v>979</v>
      </c>
      <c r="D130" s="9" t="s">
        <v>1510</v>
      </c>
      <c r="E130" s="13" t="s">
        <v>2157</v>
      </c>
      <c r="F130" s="10" t="s">
        <v>2163</v>
      </c>
      <c r="G130" s="114" t="s">
        <v>2427</v>
      </c>
      <c r="H130" s="8" t="str">
        <f ca="1">IFERROR(__xludf.DUMMYFUNCTION("VLOOKUP(G130, IMPORTRANGE(""https://docs.google.com/spreadsheets/d/14deopnvwcrKtEGCKuYXdUHJbeLDZlkiSSWWT0g7x2pM/edit#gid=849066331"", ""LU List Science (Filter)!A:B""), 2, FALSE)"),"Definition of Transverse Wave")</f>
        <v>Definition of Transverse Wave</v>
      </c>
      <c r="I130" s="10" t="str">
        <f t="shared" si="0"/>
        <v>LU006364.001</v>
      </c>
      <c r="J130" s="10" t="str">
        <f ca="1">IFERROR(__xludf.DUMMYFUNCTION("VLOOKUP(I130, IMPORTRANGE(""https://docs.google.com/spreadsheets/d/1yDAaXNsi4Mr5FtRQL4tbmSdIzhx6_m4wkOD7IG-k_eo/edit#gid=1336395716"", ""Science!M:N""), 2, FALSE)"),"Define a transverse wave and provide examples.")</f>
        <v>Define a transverse wave and provide examples.</v>
      </c>
      <c r="K130" s="10" t="str">
        <f t="shared" si="1"/>
        <v>LU006364.002</v>
      </c>
      <c r="L130" s="10" t="str">
        <f ca="1">IFERROR(__xludf.DUMMYFUNCTION("VLOOKUP(K130, IMPORTRANGE(""https://docs.google.com/spreadsheets/d/1yDAaXNsi4Mr5FtRQL4tbmSdIzhx6_m4wkOD7IG-k_eo/edit#gid=1336395716"", ""Science!M:N""), 2, FALSE)"),"Describe the main characteristics of transverse waves and how they differ from longitudinal waves.")</f>
        <v>Describe the main characteristics of transverse waves and how they differ from longitudinal waves.</v>
      </c>
      <c r="M130" s="10" t="str">
        <f t="shared" si="2"/>
        <v>LU006364.003</v>
      </c>
      <c r="N130" s="10" t="str">
        <f ca="1">IFERROR(__xludf.DUMMYFUNCTION("VLOOKUP(M130, IMPORTRANGE(""https://docs.google.com/spreadsheets/d/1yDAaXNsi4Mr5FtRQL4tbmSdIzhx6_m4wkOD7IG-k_eo/edit#gid=1336395716"", ""Science!M:N""), 2, FALSE)"),"Illustrate the concept of transverse waves using a diagram or a practical demonstration.")</f>
        <v>Illustrate the concept of transverse waves using a diagram or a practical demonstration.</v>
      </c>
      <c r="O130" s="10" t="str">
        <f t="shared" si="3"/>
        <v>LU006364.004</v>
      </c>
      <c r="P130" s="10" t="str">
        <f ca="1">IFERROR(__xludf.DUMMYFUNCTION("VLOOKUP(O130, IMPORTRANGE(""https://docs.google.com/spreadsheets/d/1yDAaXNsi4Mr5FtRQL4tbmSdIzhx6_m4wkOD7IG-k_eo/edit#gid=1336395716"", ""Science!M:N""), 2, FALSE)"),"Compare and contrast the properties of transverse waves and longitudinal waves.")</f>
        <v>Compare and contrast the properties of transverse waves and longitudinal waves.</v>
      </c>
      <c r="Q130" s="10" t="str">
        <f t="shared" si="4"/>
        <v>LU006364.005</v>
      </c>
      <c r="R130" s="10" t="str">
        <f ca="1">IFERROR(__xludf.DUMMYFUNCTION("VLOOKUP(Q130, IMPORTRANGE(""https://docs.google.com/spreadsheets/d/1yDAaXNsi4Mr5FtRQL4tbmSdIzhx6_m4wkOD7IG-k_eo/edit#gid=1336395716"", ""Science!M:N""), 2, FALSE)"),"Evaluate the relevance of transverse waves in different scientific and everyday contexts.")</f>
        <v>Evaluate the relevance of transverse waves in different scientific and everyday contexts.</v>
      </c>
      <c r="S130" s="10" t="str">
        <f t="shared" si="5"/>
        <v>LU006364.006</v>
      </c>
      <c r="T130" s="10" t="str">
        <f ca="1">IFERROR(__xludf.DUMMYFUNCTION("VLOOKUP(S130, IMPORTRANGE(""https://docs.google.com/spreadsheets/d/1yDAaXNsi4Mr5FtRQL4tbmSdIzhx6_m4wkOD7IG-k_eo/edit#gid=1336395716"", ""Science!M:N""), 2, FALSE)"),"Create a simulation or physical model to demonstrate the properties of transverse waves.")</f>
        <v>Create a simulation or physical model to demonstrate the properties of transverse waves.</v>
      </c>
      <c r="U130" s="11" t="str">
        <f ca="1">IFERROR(__xludf.DUMMYFUNCTION("ArrayFormula(VLOOKUP(G130, IMPORTRANGE(""https://docs.google.com/spreadsheets/d/1p7R4vtkWt5VOBim4ltsDG9KTzSjrtKXsMtQGXPHyND0/edit#gid=795171502"", ""'Filter 30_05_2024'!A1:M2000""), {2, 3, 4, 5,6,7,8,9,10,11,12,13}, 0))"),"#N/A")</f>
        <v>#N/A</v>
      </c>
      <c r="V130" s="11" t="str">
        <f ca="1">IFERROR(__xludf.DUMMYFUNCTION("""COMPUTED_VALUE"""),"#N/A")</f>
        <v>#N/A</v>
      </c>
      <c r="W130" s="11" t="str">
        <f ca="1">IFERROR(__xludf.DUMMYFUNCTION("""COMPUTED_VALUE"""),"#N/A")</f>
        <v>#N/A</v>
      </c>
      <c r="X130" s="11" t="str">
        <f ca="1">IFERROR(__xludf.DUMMYFUNCTION("""COMPUTED_VALUE"""),"#N/A")</f>
        <v>#N/A</v>
      </c>
      <c r="Y130" s="11" t="str">
        <f ca="1">IFERROR(__xludf.DUMMYFUNCTION("""COMPUTED_VALUE"""),"#N/A")</f>
        <v>#N/A</v>
      </c>
      <c r="Z130" s="12" t="str">
        <f ca="1">IFERROR(__xludf.DUMMYFUNCTION("""COMPUTED_VALUE"""),"#N/A")</f>
        <v>#N/A</v>
      </c>
      <c r="AA130" s="12" t="str">
        <f ca="1">IFERROR(__xludf.DUMMYFUNCTION("""COMPUTED_VALUE"""),"#N/A")</f>
        <v>#N/A</v>
      </c>
      <c r="AB130" s="12" t="str">
        <f ca="1">IFERROR(__xludf.DUMMYFUNCTION("""COMPUTED_VALUE"""),"#N/A")</f>
        <v>#N/A</v>
      </c>
      <c r="AC130" s="12" t="str">
        <f ca="1">IFERROR(__xludf.DUMMYFUNCTION("""COMPUTED_VALUE"""),"#N/A")</f>
        <v>#N/A</v>
      </c>
      <c r="AD130" s="12" t="str">
        <f ca="1">IFERROR(__xludf.DUMMYFUNCTION("""COMPUTED_VALUE"""),"#N/A")</f>
        <v>#N/A</v>
      </c>
      <c r="AE130" s="12" t="str">
        <f ca="1">IFERROR(__xludf.DUMMYFUNCTION("""COMPUTED_VALUE"""),"#N/A")</f>
        <v>#N/A</v>
      </c>
      <c r="AF130" s="12" t="str">
        <f ca="1">IFERROR(__xludf.DUMMYFUNCTION("""COMPUTED_VALUE"""),"#N/A")</f>
        <v>#N/A</v>
      </c>
      <c r="AG130" s="13" t="str">
        <f ca="1">IFERROR(__xludf.DUMMYFUNCTION("ArrayFormula(VLOOKUP(G130, IMPORTRANGE(""https://docs.google.com/spreadsheets/d/1Co934fvtviyaRiMsrIlT05Jaq7iiYq07aLvRr35KA48/edit?gid=173865642#gid=173865642"", ""'G9 Sci_Pri_LU'!G2:V2000""), {3, 4, 5, 6, 7, 8, 9, 10, 11, 12, 13, 14, 15, 16}, 0))"),"LU005190")</f>
        <v>LU005190</v>
      </c>
      <c r="AH130" s="22" t="str">
        <f ca="1">IFERROR(__xludf.DUMMYFUNCTION("""COMPUTED_VALUE"""),"Understanding the Basics of Oscillatory Motion")</f>
        <v>Understanding the Basics of Oscillatory Motion</v>
      </c>
      <c r="AI130" s="13"/>
      <c r="AJ130" s="13"/>
      <c r="AK130" s="13"/>
      <c r="AL130" s="13"/>
      <c r="AM130" s="13"/>
      <c r="AN130" s="13"/>
      <c r="AO130" s="13"/>
      <c r="AP130" s="13"/>
      <c r="AQ130" s="13"/>
      <c r="AR130" s="13"/>
      <c r="AS130" s="13"/>
      <c r="AT130" s="13"/>
    </row>
    <row r="131" spans="1:46">
      <c r="A131" s="8" t="s">
        <v>247</v>
      </c>
      <c r="B131" s="8" t="s">
        <v>47</v>
      </c>
      <c r="C131" s="8" t="s">
        <v>979</v>
      </c>
      <c r="D131" s="9" t="s">
        <v>1510</v>
      </c>
      <c r="E131" s="13" t="s">
        <v>2157</v>
      </c>
      <c r="F131" s="10" t="s">
        <v>2428</v>
      </c>
      <c r="G131" s="114" t="s">
        <v>2429</v>
      </c>
      <c r="H131" s="8" t="str">
        <f ca="1">IFERROR(__xludf.DUMMYFUNCTION("VLOOKUP(G131, IMPORTRANGE(""https://docs.google.com/spreadsheets/d/14deopnvwcrKtEGCKuYXdUHJbeLDZlkiSSWWT0g7x2pM/edit#gid=849066331"", ""LU List Science (Filter)!A:B""), 2, FALSE)"),"Graphical Representation of Sound wave and description of wavelength")</f>
        <v>Graphical Representation of Sound wave and description of wavelength</v>
      </c>
      <c r="I131" s="10" t="str">
        <f t="shared" si="0"/>
        <v>LU006365.001</v>
      </c>
      <c r="J131" s="10" t="str">
        <f ca="1">IFERROR(__xludf.DUMMYFUNCTION("VLOOKUP(I131, IMPORTRANGE(""https://docs.google.com/spreadsheets/d/1yDAaXNsi4Mr5FtRQL4tbmSdIzhx6_m4wkOD7IG-k_eo/edit#gid=1336395716"", ""Science!M:N""), 2, FALSE)"),"Remembering: Identify the key components of a sound wave graph, including crests, troughs, and wavelength.")</f>
        <v>Remembering: Identify the key components of a sound wave graph, including crests, troughs, and wavelength.</v>
      </c>
      <c r="K131" s="10" t="str">
        <f t="shared" si="1"/>
        <v>LU006365.002</v>
      </c>
      <c r="L131" s="10" t="str">
        <f ca="1">IFERROR(__xludf.DUMMYFUNCTION("VLOOKUP(K131, IMPORTRANGE(""https://docs.google.com/spreadsheets/d/1yDAaXNsi4Mr5FtRQL4tbmSdIzhx6_m4wkOD7IG-k_eo/edit#gid=1336395716"", ""Science!M:N""), 2, FALSE)"),"Understanding: Explain how the wavelength of a sound wave is represented graphically.")</f>
        <v>Understanding: Explain how the wavelength of a sound wave is represented graphically.</v>
      </c>
      <c r="M131" s="10" t="str">
        <f t="shared" si="2"/>
        <v>LU006365.003</v>
      </c>
      <c r="N131" s="10" t="str">
        <f ca="1">IFERROR(__xludf.DUMMYFUNCTION("VLOOKUP(M131, IMPORTRANGE(""https://docs.google.com/spreadsheets/d/1yDAaXNsi4Mr5FtRQL4tbmSdIzhx6_m4wkOD7IG-k_eo/edit#gid=1336395716"", ""Science!M:N""), 2, FALSE)"),"Applying: Plot a graph of a sound wave showing its wavelength using given data.")</f>
        <v>Applying: Plot a graph of a sound wave showing its wavelength using given data.</v>
      </c>
      <c r="O131" s="10" t="str">
        <f t="shared" si="3"/>
        <v>LU006365.004</v>
      </c>
      <c r="P131" s="10" t="str">
        <f ca="1">IFERROR(__xludf.DUMMYFUNCTION("VLOOKUP(O131, IMPORTRANGE(""https://docs.google.com/spreadsheets/d/1yDAaXNsi4Mr5FtRQL4tbmSdIzhx6_m4wkOD7IG-k_eo/edit#gid=1336395716"", ""Science!M:N""), 2, FALSE)"),"Analyzing: Analyze a sound wave graph to determine its wavelength and frequency.")</f>
        <v>Analyzing: Analyze a sound wave graph to determine its wavelength and frequency.</v>
      </c>
      <c r="Q131" s="10" t="str">
        <f t="shared" si="4"/>
        <v>LU006365.005</v>
      </c>
      <c r="R131" s="10" t="str">
        <f ca="1">IFERROR(__xludf.DUMMYFUNCTION("VLOOKUP(Q131, IMPORTRANGE(""https://docs.google.com/spreadsheets/d/1yDAaXNsi4Mr5FtRQL4tbmSdIzhx6_m4wkOD7IG-k_eo/edit#gid=1336395716"", ""Science!M:N""), 2, FALSE)"),"Evaluating: Assess the significance of accurately representing the wavelength of sound waves in scientific studies.")</f>
        <v>Evaluating: Assess the significance of accurately representing the wavelength of sound waves in scientific studies.</v>
      </c>
      <c r="S131" s="10" t="str">
        <f t="shared" si="5"/>
        <v>LU006365.006</v>
      </c>
      <c r="T131" s="10" t="str">
        <f ca="1">IFERROR(__xludf.DUMMYFUNCTION("VLOOKUP(S131, IMPORTRANGE(""https://docs.google.com/spreadsheets/d/1yDAaXNsi4Mr5FtRQL4tbmSdIzhx6_m4wkOD7IG-k_eo/edit#gid=1336395716"", ""Science!M:N""), 2, FALSE)"),"Creating: Develop a detailed graph of a sound wave from experimental data, highlighting the wavelength.")</f>
        <v>Creating: Develop a detailed graph of a sound wave from experimental data, highlighting the wavelength.</v>
      </c>
      <c r="U131" s="11" t="str">
        <f ca="1">IFERROR(__xludf.DUMMYFUNCTION("ArrayFormula(VLOOKUP(G131, IMPORTRANGE(""https://docs.google.com/spreadsheets/d/1p7R4vtkWt5VOBim4ltsDG9KTzSjrtKXsMtQGXPHyND0/edit#gid=795171502"", ""'Filter 30_05_2024'!A1:M2000""), {2, 3, 4, 5,6,7,8,9,10,11,12,13}, 0))"),"#N/A")</f>
        <v>#N/A</v>
      </c>
      <c r="V131" s="11" t="str">
        <f ca="1">IFERROR(__xludf.DUMMYFUNCTION("""COMPUTED_VALUE"""),"#N/A")</f>
        <v>#N/A</v>
      </c>
      <c r="W131" s="11" t="str">
        <f ca="1">IFERROR(__xludf.DUMMYFUNCTION("""COMPUTED_VALUE"""),"#N/A")</f>
        <v>#N/A</v>
      </c>
      <c r="X131" s="11" t="str">
        <f ca="1">IFERROR(__xludf.DUMMYFUNCTION("""COMPUTED_VALUE"""),"#N/A")</f>
        <v>#N/A</v>
      </c>
      <c r="Y131" s="11" t="str">
        <f ca="1">IFERROR(__xludf.DUMMYFUNCTION("""COMPUTED_VALUE"""),"#N/A")</f>
        <v>#N/A</v>
      </c>
      <c r="Z131" s="12" t="str">
        <f ca="1">IFERROR(__xludf.DUMMYFUNCTION("""COMPUTED_VALUE"""),"#N/A")</f>
        <v>#N/A</v>
      </c>
      <c r="AA131" s="12" t="str">
        <f ca="1">IFERROR(__xludf.DUMMYFUNCTION("""COMPUTED_VALUE"""),"#N/A")</f>
        <v>#N/A</v>
      </c>
      <c r="AB131" s="12" t="str">
        <f ca="1">IFERROR(__xludf.DUMMYFUNCTION("""COMPUTED_VALUE"""),"#N/A")</f>
        <v>#N/A</v>
      </c>
      <c r="AC131" s="12" t="str">
        <f ca="1">IFERROR(__xludf.DUMMYFUNCTION("""COMPUTED_VALUE"""),"#N/A")</f>
        <v>#N/A</v>
      </c>
      <c r="AD131" s="12" t="str">
        <f ca="1">IFERROR(__xludf.DUMMYFUNCTION("""COMPUTED_VALUE"""),"#N/A")</f>
        <v>#N/A</v>
      </c>
      <c r="AE131" s="12" t="str">
        <f ca="1">IFERROR(__xludf.DUMMYFUNCTION("""COMPUTED_VALUE"""),"#N/A")</f>
        <v>#N/A</v>
      </c>
      <c r="AF131" s="12" t="str">
        <f ca="1">IFERROR(__xludf.DUMMYFUNCTION("""COMPUTED_VALUE"""),"#N/A")</f>
        <v>#N/A</v>
      </c>
      <c r="AG131" s="13" t="str">
        <f ca="1">IFERROR(__xludf.DUMMYFUNCTION("ArrayFormula(VLOOKUP(G131, IMPORTRANGE(""https://docs.google.com/spreadsheets/d/1Co934fvtviyaRiMsrIlT05Jaq7iiYq07aLvRr35KA48/edit?gid=173865642#gid=173865642"", ""'G9 Sci_Pri_LU'!G2:V2000""), {3, 4, 5, 6, 7, 8, 9, 10, 11, 12, 13, 14, 15, 16}, 0))"),"LU006363")</f>
        <v>LU006363</v>
      </c>
      <c r="AH131" s="22" t="str">
        <f ca="1">IFERROR(__xludf.DUMMYFUNCTION("""COMPUTED_VALUE"""),"Propagation of sound as propagation of pressure variation in medium (compression and rarefaction) ")</f>
        <v xml:space="preserve">Propagation of sound as propagation of pressure variation in medium (compression and rarefaction) </v>
      </c>
      <c r="AI131" s="13" t="str">
        <f ca="1">IFERROR(__xludf.DUMMYFUNCTION("""COMPUTED_VALUE"""),"LU006362")</f>
        <v>LU006362</v>
      </c>
      <c r="AJ131" s="13" t="str">
        <f ca="1">IFERROR(__xludf.DUMMYFUNCTION("""COMPUTED_VALUE"""),"Description of the sound wave as Mechanical and Longitudinal wave")</f>
        <v>Description of the sound wave as Mechanical and Longitudinal wave</v>
      </c>
      <c r="AK131" s="13" t="str">
        <f ca="1">IFERROR(__xludf.DUMMYFUNCTION("""COMPUTED_VALUE"""),"LU000780")</f>
        <v>LU000780</v>
      </c>
      <c r="AL131" s="13" t="str">
        <f ca="1">IFERROR(__xludf.DUMMYFUNCTION("""COMPUTED_VALUE"""),"Interpretation of linear graph")</f>
        <v>Interpretation of linear graph</v>
      </c>
      <c r="AM131" s="13"/>
      <c r="AN131" s="13"/>
      <c r="AO131" s="13"/>
      <c r="AP131" s="13"/>
      <c r="AQ131" s="13"/>
      <c r="AR131" s="13"/>
      <c r="AS131" s="13"/>
      <c r="AT131" s="13"/>
    </row>
    <row r="132" spans="1:46">
      <c r="A132" s="8" t="s">
        <v>247</v>
      </c>
      <c r="B132" s="8" t="s">
        <v>47</v>
      </c>
      <c r="C132" s="8" t="s">
        <v>979</v>
      </c>
      <c r="D132" s="9" t="s">
        <v>1510</v>
      </c>
      <c r="E132" s="13" t="s">
        <v>2157</v>
      </c>
      <c r="F132" s="10" t="s">
        <v>2428</v>
      </c>
      <c r="G132" s="114" t="s">
        <v>2430</v>
      </c>
      <c r="H132" s="8" t="str">
        <f ca="1">IFERROR(__xludf.DUMMYFUNCTION("VLOOKUP(G132, IMPORTRANGE(""https://docs.google.com/spreadsheets/d/14deopnvwcrKtEGCKuYXdUHJbeLDZlkiSSWWT0g7x2pM/edit#gid=849066331"", ""LU List Science (Filter)!A:B""), 2, FALSE)"),"Graphical Representation of Frequency of Sound Wave (High and Low Pitch)")</f>
        <v>Graphical Representation of Frequency of Sound Wave (High and Low Pitch)</v>
      </c>
      <c r="I132" s="10" t="str">
        <f t="shared" si="0"/>
        <v>LU006366.001</v>
      </c>
      <c r="J132" s="10" t="str">
        <f ca="1">IFERROR(__xludf.DUMMYFUNCTION("VLOOKUP(I132, IMPORTRANGE(""https://docs.google.com/spreadsheets/d/1yDAaXNsi4Mr5FtRQL4tbmSdIzhx6_m4wkOD7IG-k_eo/edit#gid=1336395716"", ""Science!M:N""), 2, FALSE)"),"Define frequency and pitch in the context of sound waves.")</f>
        <v>Define frequency and pitch in the context of sound waves.</v>
      </c>
      <c r="K132" s="10" t="str">
        <f t="shared" si="1"/>
        <v>LU006366.002</v>
      </c>
      <c r="L132" s="10" t="str">
        <f ca="1">IFERROR(__xludf.DUMMYFUNCTION("VLOOKUP(K132, IMPORTRANGE(""https://docs.google.com/spreadsheets/d/1yDAaXNsi4Mr5FtRQL4tbmSdIzhx6_m4wkOD7IG-k_eo/edit#gid=1336395716"", ""Science!M:N""), 2, FALSE)"),"Describe how frequency affects the pitch of a sound wave.")</f>
        <v>Describe how frequency affects the pitch of a sound wave.</v>
      </c>
      <c r="M132" s="10" t="str">
        <f t="shared" si="2"/>
        <v>LU006366.003</v>
      </c>
      <c r="N132" s="10" t="str">
        <f ca="1">IFERROR(__xludf.DUMMYFUNCTION("VLOOKUP(M132, IMPORTRANGE(""https://docs.google.com/spreadsheets/d/1yDAaXNsi4Mr5FtRQL4tbmSdIzhx6_m4wkOD7IG-k_eo/edit#gid=1336395716"", ""Science!M:N""), 2, FALSE)"),"Graphically represent high and low pitch sound waves to show differences in frequency.")</f>
        <v>Graphically represent high and low pitch sound waves to show differences in frequency.</v>
      </c>
      <c r="O132" s="10" t="str">
        <f t="shared" si="3"/>
        <v>LU006366.004</v>
      </c>
      <c r="P132" s="10" t="str">
        <f ca="1">IFERROR(__xludf.DUMMYFUNCTION("VLOOKUP(O132, IMPORTRANGE(""https://docs.google.com/spreadsheets/d/1yDAaXNsi4Mr5FtRQL4tbmSdIzhx6_m4wkOD7IG-k_eo/edit#gid=1336395716"", ""Science!M:N""), 2, FALSE)"),"Analyze sound wave graphs to determine the relationship between frequency and pitch.")</f>
        <v>Analyze sound wave graphs to determine the relationship between frequency and pitch.</v>
      </c>
      <c r="Q132" s="10" t="str">
        <f t="shared" si="4"/>
        <v>LU006366.005</v>
      </c>
      <c r="R132" s="10" t="str">
        <f ca="1">IFERROR(__xludf.DUMMYFUNCTION("VLOOKUP(Q132, IMPORTRANGE(""https://docs.google.com/spreadsheets/d/1yDAaXNsi4Mr5FtRQL4tbmSdIzhx6_m4wkOD7IG-k_eo/edit#gid=1336395716"", ""Science!M:N""), 2, FALSE)"),"Evaluate the impact of frequency changes on the perceived pitch of sound in various applications.")</f>
        <v>Evaluate the impact of frequency changes on the perceived pitch of sound in various applications.</v>
      </c>
      <c r="S132" s="10" t="str">
        <f t="shared" si="5"/>
        <v>LU006366.006</v>
      </c>
      <c r="T132" s="10" t="str">
        <f ca="1">IFERROR(__xludf.DUMMYFUNCTION("VLOOKUP(S132, IMPORTRANGE(""https://docs.google.com/spreadsheets/d/1yDAaXNsi4Mr5FtRQL4tbmSdIzhx6_m4wkOD7IG-k_eo/edit#gid=1336395716"", ""Science!M:N""), 2, FALSE)"),"Create a presentation that includes graphical representations of high and low pitch sound waves and explains their differences.")</f>
        <v>Create a presentation that includes graphical representations of high and low pitch sound waves and explains their differences.</v>
      </c>
      <c r="U132" s="11" t="str">
        <f ca="1">IFERROR(__xludf.DUMMYFUNCTION("ArrayFormula(VLOOKUP(G132, IMPORTRANGE(""https://docs.google.com/spreadsheets/d/1p7R4vtkWt5VOBim4ltsDG9KTzSjrtKXsMtQGXPHyND0/edit#gid=795171502"", ""'Filter 30_05_2024'!A1:M2000""), {2, 3, 4, 5,6,7,8,9,10,11,12,13}, 0))"),"#N/A")</f>
        <v>#N/A</v>
      </c>
      <c r="V132" s="11" t="str">
        <f ca="1">IFERROR(__xludf.DUMMYFUNCTION("""COMPUTED_VALUE"""),"#N/A")</f>
        <v>#N/A</v>
      </c>
      <c r="W132" s="11" t="str">
        <f ca="1">IFERROR(__xludf.DUMMYFUNCTION("""COMPUTED_VALUE"""),"#N/A")</f>
        <v>#N/A</v>
      </c>
      <c r="X132" s="11" t="str">
        <f ca="1">IFERROR(__xludf.DUMMYFUNCTION("""COMPUTED_VALUE"""),"#N/A")</f>
        <v>#N/A</v>
      </c>
      <c r="Y132" s="11" t="str">
        <f ca="1">IFERROR(__xludf.DUMMYFUNCTION("""COMPUTED_VALUE"""),"#N/A")</f>
        <v>#N/A</v>
      </c>
      <c r="Z132" s="12" t="str">
        <f ca="1">IFERROR(__xludf.DUMMYFUNCTION("""COMPUTED_VALUE"""),"#N/A")</f>
        <v>#N/A</v>
      </c>
      <c r="AA132" s="12" t="str">
        <f ca="1">IFERROR(__xludf.DUMMYFUNCTION("""COMPUTED_VALUE"""),"#N/A")</f>
        <v>#N/A</v>
      </c>
      <c r="AB132" s="12" t="str">
        <f ca="1">IFERROR(__xludf.DUMMYFUNCTION("""COMPUTED_VALUE"""),"#N/A")</f>
        <v>#N/A</v>
      </c>
      <c r="AC132" s="12" t="str">
        <f ca="1">IFERROR(__xludf.DUMMYFUNCTION("""COMPUTED_VALUE"""),"#N/A")</f>
        <v>#N/A</v>
      </c>
      <c r="AD132" s="12" t="str">
        <f ca="1">IFERROR(__xludf.DUMMYFUNCTION("""COMPUTED_VALUE"""),"#N/A")</f>
        <v>#N/A</v>
      </c>
      <c r="AE132" s="12" t="str">
        <f ca="1">IFERROR(__xludf.DUMMYFUNCTION("""COMPUTED_VALUE"""),"#N/A")</f>
        <v>#N/A</v>
      </c>
      <c r="AF132" s="12" t="str">
        <f ca="1">IFERROR(__xludf.DUMMYFUNCTION("""COMPUTED_VALUE"""),"#N/A")</f>
        <v>#N/A</v>
      </c>
      <c r="AG132" s="13" t="str">
        <f ca="1">IFERROR(__xludf.DUMMYFUNCTION("ArrayFormula(VLOOKUP(G132, IMPORTRANGE(""https://docs.google.com/spreadsheets/d/1Co934fvtviyaRiMsrIlT05Jaq7iiYq07aLvRr35KA48/edit?gid=173865642#gid=173865642"", ""'G9 Sci_Pri_LU'!G2:V2000""), {3, 4, 5, 6, 7, 8, 9, 10, 11, 12, 13, 14, 15, 16}, 0))"),"LU005585")</f>
        <v>LU005585</v>
      </c>
      <c r="AH132" s="22" t="str">
        <f ca="1">IFERROR(__xludf.DUMMYFUNCTION("""COMPUTED_VALUE"""),"Definition of frequency of vibration and its relationship with time period")</f>
        <v>Definition of frequency of vibration and its relationship with time period</v>
      </c>
      <c r="AI132" s="13" t="str">
        <f ca="1">IFERROR(__xludf.DUMMYFUNCTION("""COMPUTED_VALUE"""),"LU005578")</f>
        <v>LU005578</v>
      </c>
      <c r="AJ132" s="13" t="str">
        <f ca="1">IFERROR(__xludf.DUMMYFUNCTION("""COMPUTED_VALUE"""),"Loudness and pitch of sound")</f>
        <v>Loudness and pitch of sound</v>
      </c>
      <c r="AK132" s="13" t="str">
        <f ca="1">IFERROR(__xludf.DUMMYFUNCTION("""COMPUTED_VALUE"""),"LU006363")</f>
        <v>LU006363</v>
      </c>
      <c r="AL132" s="13" t="str">
        <f ca="1">IFERROR(__xludf.DUMMYFUNCTION("""COMPUTED_VALUE"""),"Propagation of sound as propagation of pressure variation in medium (compression and rarefaction) ")</f>
        <v xml:space="preserve">Propagation of sound as propagation of pressure variation in medium (compression and rarefaction) </v>
      </c>
      <c r="AM132" s="13"/>
      <c r="AN132" s="13"/>
      <c r="AO132" s="13"/>
      <c r="AP132" s="13"/>
      <c r="AQ132" s="13"/>
      <c r="AR132" s="13"/>
      <c r="AS132" s="13"/>
      <c r="AT132" s="13"/>
    </row>
    <row r="133" spans="1:46">
      <c r="A133" s="8" t="s">
        <v>247</v>
      </c>
      <c r="B133" s="8" t="s">
        <v>47</v>
      </c>
      <c r="C133" s="8" t="s">
        <v>979</v>
      </c>
      <c r="D133" s="9" t="s">
        <v>1510</v>
      </c>
      <c r="E133" s="13" t="s">
        <v>2157</v>
      </c>
      <c r="F133" s="10" t="s">
        <v>2428</v>
      </c>
      <c r="G133" s="114" t="s">
        <v>2431</v>
      </c>
      <c r="H133" s="8" t="str">
        <f ca="1">IFERROR(__xludf.DUMMYFUNCTION("VLOOKUP(G133, IMPORTRANGE(""https://docs.google.com/spreadsheets/d/14deopnvwcrKtEGCKuYXdUHJbeLDZlkiSSWWT0g7x2pM/edit#gid=849066331"", ""LU List Science (Filter)!A:B""), 2, FALSE)"),"Graphical Representation of Amplitude of Sound Wave (Soft and Loud Sounds)")</f>
        <v>Graphical Representation of Amplitude of Sound Wave (Soft and Loud Sounds)</v>
      </c>
      <c r="I133" s="10" t="str">
        <f t="shared" si="0"/>
        <v>LU006367.001</v>
      </c>
      <c r="J133" s="10" t="str">
        <f ca="1">IFERROR(__xludf.DUMMYFUNCTION("VLOOKUP(I133, IMPORTRANGE(""https://docs.google.com/spreadsheets/d/1yDAaXNsi4Mr5FtRQL4tbmSdIzhx6_m4wkOD7IG-k_eo/edit#gid=1336395716"", ""Science!M:N""), 2, FALSE)"),"Define amplitude in the context of sound waves.")</f>
        <v>Define amplitude in the context of sound waves.</v>
      </c>
      <c r="K133" s="10" t="str">
        <f t="shared" si="1"/>
        <v>LU006367.002</v>
      </c>
      <c r="L133" s="10" t="str">
        <f ca="1">IFERROR(__xludf.DUMMYFUNCTION("VLOOKUP(K133, IMPORTRANGE(""https://docs.google.com/spreadsheets/d/1yDAaXNsi4Mr5FtRQL4tbmSdIzhx6_m4wkOD7IG-k_eo/edit#gid=1336395716"", ""Science!M:N""), 2, FALSE)"),"Explain how amplitude affects the loudness of a sound.")</f>
        <v>Explain how amplitude affects the loudness of a sound.</v>
      </c>
      <c r="M133" s="10" t="str">
        <f t="shared" si="2"/>
        <v>LU006367.003</v>
      </c>
      <c r="N133" s="10" t="str">
        <f ca="1">IFERROR(__xludf.DUMMYFUNCTION("VLOOKUP(M133, IMPORTRANGE(""https://docs.google.com/spreadsheets/d/1yDAaXNsi4Mr5FtRQL4tbmSdIzhx6_m4wkOD7IG-k_eo/edit#gid=1336395716"", ""Science!M:N""), 2, FALSE)"),"Draw graphs to represent soft and loud sounds, highlighting differences in amplitude.")</f>
        <v>Draw graphs to represent soft and loud sounds, highlighting differences in amplitude.</v>
      </c>
      <c r="O133" s="10" t="str">
        <f t="shared" si="3"/>
        <v>LU006367.004</v>
      </c>
      <c r="P133" s="10" t="str">
        <f ca="1">IFERROR(__xludf.DUMMYFUNCTION("VLOOKUP(O133, IMPORTRANGE(""https://docs.google.com/spreadsheets/d/1yDAaXNsi4Mr5FtRQL4tbmSdIzhx6_m4wkOD7IG-k_eo/edit#gid=1336395716"", ""Science!M:N""), 2, FALSE)"),"Compare graphs of soft and loud sounds to analyze how amplitude varies.")</f>
        <v>Compare graphs of soft and loud sounds to analyze how amplitude varies.</v>
      </c>
      <c r="Q133" s="10" t="str">
        <f t="shared" si="4"/>
        <v>LU006367.005</v>
      </c>
      <c r="R133" s="10" t="str">
        <f ca="1">IFERROR(__xludf.DUMMYFUNCTION("VLOOKUP(Q133, IMPORTRANGE(""https://docs.google.com/spreadsheets/d/1yDAaXNsi4Mr5FtRQL4tbmSdIzhx6_m4wkOD7IG-k_eo/edit#gid=1336395716"", ""Science!M:N""), 2, FALSE)"),"Assess the role of amplitude in different sound applications, such as music and acoustics.")</f>
        <v>Assess the role of amplitude in different sound applications, such as music and acoustics.</v>
      </c>
      <c r="S133" s="10" t="str">
        <f t="shared" si="5"/>
        <v>LU006367.006</v>
      </c>
      <c r="T133" s="10" t="str">
        <f ca="1">IFERROR(__xludf.DUMMYFUNCTION("VLOOKUP(S133, IMPORTRANGE(""https://docs.google.com/spreadsheets/d/1yDAaXNsi4Mr5FtRQL4tbmSdIzhx6_m4wkOD7IG-k_eo/edit#gid=1336395716"", ""Science!M:N""), 2, FALSE)"),"Create a series of graphs to demonstrate the effect of changing amplitude on sound loudness.")</f>
        <v>Create a series of graphs to demonstrate the effect of changing amplitude on sound loudness.</v>
      </c>
      <c r="U133" s="11" t="str">
        <f ca="1">IFERROR(__xludf.DUMMYFUNCTION("ArrayFormula(VLOOKUP(G133, IMPORTRANGE(""https://docs.google.com/spreadsheets/d/1p7R4vtkWt5VOBim4ltsDG9KTzSjrtKXsMtQGXPHyND0/edit#gid=795171502"", ""'Filter 30_05_2024'!A1:M2000""), {2, 3, 4, 5,6,7,8,9,10,11,12,13}, 0))"),"#N/A")</f>
        <v>#N/A</v>
      </c>
      <c r="V133" s="11" t="str">
        <f ca="1">IFERROR(__xludf.DUMMYFUNCTION("""COMPUTED_VALUE"""),"#N/A")</f>
        <v>#N/A</v>
      </c>
      <c r="W133" s="11" t="str">
        <f ca="1">IFERROR(__xludf.DUMMYFUNCTION("""COMPUTED_VALUE"""),"#N/A")</f>
        <v>#N/A</v>
      </c>
      <c r="X133" s="11" t="str">
        <f ca="1">IFERROR(__xludf.DUMMYFUNCTION("""COMPUTED_VALUE"""),"#N/A")</f>
        <v>#N/A</v>
      </c>
      <c r="Y133" s="11" t="str">
        <f ca="1">IFERROR(__xludf.DUMMYFUNCTION("""COMPUTED_VALUE"""),"#N/A")</f>
        <v>#N/A</v>
      </c>
      <c r="Z133" s="12" t="str">
        <f ca="1">IFERROR(__xludf.DUMMYFUNCTION("""COMPUTED_VALUE"""),"#N/A")</f>
        <v>#N/A</v>
      </c>
      <c r="AA133" s="12" t="str">
        <f ca="1">IFERROR(__xludf.DUMMYFUNCTION("""COMPUTED_VALUE"""),"#N/A")</f>
        <v>#N/A</v>
      </c>
      <c r="AB133" s="12" t="str">
        <f ca="1">IFERROR(__xludf.DUMMYFUNCTION("""COMPUTED_VALUE"""),"#N/A")</f>
        <v>#N/A</v>
      </c>
      <c r="AC133" s="12" t="str">
        <f ca="1">IFERROR(__xludf.DUMMYFUNCTION("""COMPUTED_VALUE"""),"#N/A")</f>
        <v>#N/A</v>
      </c>
      <c r="AD133" s="12" t="str">
        <f ca="1">IFERROR(__xludf.DUMMYFUNCTION("""COMPUTED_VALUE"""),"#N/A")</f>
        <v>#N/A</v>
      </c>
      <c r="AE133" s="12" t="str">
        <f ca="1">IFERROR(__xludf.DUMMYFUNCTION("""COMPUTED_VALUE"""),"#N/A")</f>
        <v>#N/A</v>
      </c>
      <c r="AF133" s="12" t="str">
        <f ca="1">IFERROR(__xludf.DUMMYFUNCTION("""COMPUTED_VALUE"""),"#N/A")</f>
        <v>#N/A</v>
      </c>
      <c r="AG133" s="13" t="str">
        <f ca="1">IFERROR(__xludf.DUMMYFUNCTION("ArrayFormula(VLOOKUP(G133, IMPORTRANGE(""https://docs.google.com/spreadsheets/d/1Co934fvtviyaRiMsrIlT05Jaq7iiYq07aLvRr35KA48/edit?gid=173865642#gid=173865642"", ""'G9 Sci_Pri_LU'!G2:V2000""), {3, 4, 5, 6, 7, 8, 9, 10, 11, 12, 13, 14, 15, 16}, 0))"),"LU005577")</f>
        <v>LU005577</v>
      </c>
      <c r="AH133" s="22" t="str">
        <f ca="1">IFERROR(__xludf.DUMMYFUNCTION("""COMPUTED_VALUE"""),"Definition of Amplitude of Vibration")</f>
        <v>Definition of Amplitude of Vibration</v>
      </c>
      <c r="AI133" s="13" t="str">
        <f ca="1">IFERROR(__xludf.DUMMYFUNCTION("""COMPUTED_VALUE"""),"LU005578")</f>
        <v>LU005578</v>
      </c>
      <c r="AJ133" s="13" t="str">
        <f ca="1">IFERROR(__xludf.DUMMYFUNCTION("""COMPUTED_VALUE"""),"Loudness and pitch of sound")</f>
        <v>Loudness and pitch of sound</v>
      </c>
      <c r="AK133" s="13" t="str">
        <f ca="1">IFERROR(__xludf.DUMMYFUNCTION("""COMPUTED_VALUE"""),"LU006363")</f>
        <v>LU006363</v>
      </c>
      <c r="AL133" s="13" t="str">
        <f ca="1">IFERROR(__xludf.DUMMYFUNCTION("""COMPUTED_VALUE"""),"Propagation of sound as propagation of pressure variation in medium (compression and rarefaction) ")</f>
        <v xml:space="preserve">Propagation of sound as propagation of pressure variation in medium (compression and rarefaction) </v>
      </c>
      <c r="AM133" s="13"/>
      <c r="AN133" s="13"/>
      <c r="AO133" s="13"/>
      <c r="AP133" s="13"/>
      <c r="AQ133" s="13"/>
      <c r="AR133" s="13"/>
      <c r="AS133" s="13"/>
      <c r="AT133" s="13"/>
    </row>
    <row r="134" spans="1:46">
      <c r="A134" s="8" t="s">
        <v>247</v>
      </c>
      <c r="B134" s="8" t="s">
        <v>47</v>
      </c>
      <c r="C134" s="8" t="s">
        <v>979</v>
      </c>
      <c r="D134" s="9" t="s">
        <v>1510</v>
      </c>
      <c r="E134" s="13" t="s">
        <v>2157</v>
      </c>
      <c r="F134" s="10" t="s">
        <v>2432</v>
      </c>
      <c r="G134" s="114" t="s">
        <v>2433</v>
      </c>
      <c r="H134" s="8" t="str">
        <f ca="1">IFERROR(__xludf.DUMMYFUNCTION("VLOOKUP(G134, IMPORTRANGE(""https://docs.google.com/spreadsheets/d/14deopnvwcrKtEGCKuYXdUHJbeLDZlkiSSWWT0g7x2pM/edit#gid=849066331"", ""LU List Science (Filter)!A:B""), 2, FALSE)"),"Relation between speed of sound, wavelength and frequency")</f>
        <v>Relation between speed of sound, wavelength and frequency</v>
      </c>
      <c r="I134" s="10" t="str">
        <f t="shared" si="0"/>
        <v>LU006368.001</v>
      </c>
      <c r="J134" s="10" t="str">
        <f ca="1">IFERROR(__xludf.DUMMYFUNCTION("VLOOKUP(I134, IMPORTRANGE(""https://docs.google.com/spreadsheets/d/1yDAaXNsi4Mr5FtRQL4tbmSdIzhx6_m4wkOD7IG-k_eo/edit#gid=1336395716"", ""Science!M:N""), 2, FALSE)"),"State the formula that relates speed of sound, wavelength, and frequency.")</f>
        <v>State the formula that relates speed of sound, wavelength, and frequency.</v>
      </c>
      <c r="K134" s="10" t="str">
        <f t="shared" si="1"/>
        <v>LU006368.002</v>
      </c>
      <c r="L134" s="10" t="str">
        <f ca="1">IFERROR(__xludf.DUMMYFUNCTION("VLOOKUP(K134, IMPORTRANGE(""https://docs.google.com/spreadsheets/d/1yDAaXNsi4Mr5FtRQL4tbmSdIzhx6_m4wkOD7IG-k_eo/edit#gid=1336395716"", ""Science!M:N""), 2, FALSE)"),"Explain how the speed of sound is affected by changes in wavelength and frequency.")</f>
        <v>Explain how the speed of sound is affected by changes in wavelength and frequency.</v>
      </c>
      <c r="M134" s="10" t="str">
        <f t="shared" si="2"/>
        <v>LU006368.003</v>
      </c>
      <c r="N134" s="10" t="str">
        <f ca="1">IFERROR(__xludf.DUMMYFUNCTION("VLOOKUP(M134, IMPORTRANGE(""https://docs.google.com/spreadsheets/d/1yDAaXNsi4Mr5FtRQL4tbmSdIzhx6_m4wkOD7IG-k_eo/edit#gid=1336395716"", ""Science!M:N""), 2, FALSE)"),"Use the formula to calculate the speed of sound given wavelength and frequency data.")</f>
        <v>Use the formula to calculate the speed of sound given wavelength and frequency data.</v>
      </c>
      <c r="O134" s="10" t="str">
        <f t="shared" si="3"/>
        <v>LU006368.004</v>
      </c>
      <c r="P134" s="10" t="str">
        <f ca="1">IFERROR(__xludf.DUMMYFUNCTION("VLOOKUP(O134, IMPORTRANGE(""https://docs.google.com/spreadsheets/d/1yDAaXNsi4Mr5FtRQL4tbmSdIzhx6_m4wkOD7IG-k_eo/edit#gid=1336395716"", ""Science!M:N""), 2, FALSE)"),"Analyze the relationship between speed, wavelength, and frequency using experimental data.")</f>
        <v>Analyze the relationship between speed, wavelength, and frequency using experimental data.</v>
      </c>
      <c r="Q134" s="10" t="str">
        <f t="shared" si="4"/>
        <v>LU006368.005</v>
      </c>
      <c r="R134" s="10" t="str">
        <f ca="1">IFERROR(__xludf.DUMMYFUNCTION("VLOOKUP(Q134, IMPORTRANGE(""https://docs.google.com/spreadsheets/d/1yDAaXNsi4Mr5FtRQL4tbmSdIzhx6_m4wkOD7IG-k_eo/edit#gid=1336395716"", ""Science!M:N""), 2, FALSE)"),"Evaluate how different factors influence the speed of sound in various media.")</f>
        <v>Evaluate how different factors influence the speed of sound in various media.</v>
      </c>
      <c r="S134" s="10" t="str">
        <f t="shared" si="5"/>
        <v>LU006368.006</v>
      </c>
      <c r="T134" s="10" t="str">
        <f ca="1">IFERROR(__xludf.DUMMYFUNCTION("VLOOKUP(S134, IMPORTRANGE(""https://docs.google.com/spreadsheets/d/1yDAaXNsi4Mr5FtRQL4tbmSdIzhx6_m4wkOD7IG-k_eo/edit#gid=1336395716"", ""Science!M:N""), 2, FALSE)"),"Design an experiment to measure the speed of sound and verify the relationship between speed, wavelength, and frequency.")</f>
        <v>Design an experiment to measure the speed of sound and verify the relationship between speed, wavelength, and frequency.</v>
      </c>
      <c r="U134" s="11" t="str">
        <f ca="1">IFERROR(__xludf.DUMMYFUNCTION("ArrayFormula(VLOOKUP(G134, IMPORTRANGE(""https://docs.google.com/spreadsheets/d/1p7R4vtkWt5VOBim4ltsDG9KTzSjrtKXsMtQGXPHyND0/edit#gid=795171502"", ""'Filter 30_05_2024'!A1:M2000""), {2, 3, 4, 5,6,7,8,9,10,11,12,13}, 0))"),"#N/A")</f>
        <v>#N/A</v>
      </c>
      <c r="V134" s="11" t="str">
        <f ca="1">IFERROR(__xludf.DUMMYFUNCTION("""COMPUTED_VALUE"""),"#N/A")</f>
        <v>#N/A</v>
      </c>
      <c r="W134" s="11" t="str">
        <f ca="1">IFERROR(__xludf.DUMMYFUNCTION("""COMPUTED_VALUE"""),"#N/A")</f>
        <v>#N/A</v>
      </c>
      <c r="X134" s="11" t="str">
        <f ca="1">IFERROR(__xludf.DUMMYFUNCTION("""COMPUTED_VALUE"""),"#N/A")</f>
        <v>#N/A</v>
      </c>
      <c r="Y134" s="11" t="str">
        <f ca="1">IFERROR(__xludf.DUMMYFUNCTION("""COMPUTED_VALUE"""),"#N/A")</f>
        <v>#N/A</v>
      </c>
      <c r="Z134" s="12" t="str">
        <f ca="1">IFERROR(__xludf.DUMMYFUNCTION("""COMPUTED_VALUE"""),"#N/A")</f>
        <v>#N/A</v>
      </c>
      <c r="AA134" s="12" t="str">
        <f ca="1">IFERROR(__xludf.DUMMYFUNCTION("""COMPUTED_VALUE"""),"#N/A")</f>
        <v>#N/A</v>
      </c>
      <c r="AB134" s="12" t="str">
        <f ca="1">IFERROR(__xludf.DUMMYFUNCTION("""COMPUTED_VALUE"""),"#N/A")</f>
        <v>#N/A</v>
      </c>
      <c r="AC134" s="12" t="str">
        <f ca="1">IFERROR(__xludf.DUMMYFUNCTION("""COMPUTED_VALUE"""),"#N/A")</f>
        <v>#N/A</v>
      </c>
      <c r="AD134" s="12" t="str">
        <f ca="1">IFERROR(__xludf.DUMMYFUNCTION("""COMPUTED_VALUE"""),"#N/A")</f>
        <v>#N/A</v>
      </c>
      <c r="AE134" s="12" t="str">
        <f ca="1">IFERROR(__xludf.DUMMYFUNCTION("""COMPUTED_VALUE"""),"#N/A")</f>
        <v>#N/A</v>
      </c>
      <c r="AF134" s="12" t="str">
        <f ca="1">IFERROR(__xludf.DUMMYFUNCTION("""COMPUTED_VALUE"""),"#N/A")</f>
        <v>#N/A</v>
      </c>
      <c r="AG134" s="13" t="str">
        <f ca="1">IFERROR(__xludf.DUMMYFUNCTION("ArrayFormula(VLOOKUP(G134, IMPORTRANGE(""https://docs.google.com/spreadsheets/d/1Co934fvtviyaRiMsrIlT05Jaq7iiYq07aLvRr35KA48/edit?gid=173865642#gid=173865642"", ""'G9 Sci_Pri_LU'!G2:V2000""), {3, 4, 5, 6, 7, 8, 9, 10, 11, 12, 13, 14, 15, 16}, 0))"),"LU005375")</f>
        <v>LU005375</v>
      </c>
      <c r="AH134" s="22" t="str">
        <f ca="1">IFERROR(__xludf.DUMMYFUNCTION("""COMPUTED_VALUE"""),"Definition of Speed")</f>
        <v>Definition of Speed</v>
      </c>
      <c r="AI134" s="13" t="str">
        <f ca="1">IFERROR(__xludf.DUMMYFUNCTION("""COMPUTED_VALUE"""),"LU005585")</f>
        <v>LU005585</v>
      </c>
      <c r="AJ134" s="13" t="str">
        <f ca="1">IFERROR(__xludf.DUMMYFUNCTION("""COMPUTED_VALUE"""),"Definition of frequency of vibration and its relationship with time period")</f>
        <v>Definition of frequency of vibration and its relationship with time period</v>
      </c>
      <c r="AK134" s="13" t="str">
        <f ca="1">IFERROR(__xludf.DUMMYFUNCTION("""COMPUTED_VALUE"""),"LU006365")</f>
        <v>LU006365</v>
      </c>
      <c r="AL134" s="13" t="str">
        <f ca="1">IFERROR(__xludf.DUMMYFUNCTION("""COMPUTED_VALUE"""),"Graphical Representation of Sound wave and description of wavelength")</f>
        <v>Graphical Representation of Sound wave and description of wavelength</v>
      </c>
      <c r="AM134" s="13" t="str">
        <f ca="1">IFERROR(__xludf.DUMMYFUNCTION("""COMPUTED_VALUE"""),"LU005380")</f>
        <v>LU005380</v>
      </c>
      <c r="AN134" s="13" t="str">
        <f ca="1">IFERROR(__xludf.DUMMYFUNCTION("""COMPUTED_VALUE"""),"Determining the Time Period of a Pendulum's Oscillation")</f>
        <v>Determining the Time Period of a Pendulum's Oscillation</v>
      </c>
      <c r="AO134" s="13"/>
      <c r="AP134" s="13"/>
      <c r="AQ134" s="13"/>
      <c r="AR134" s="13"/>
      <c r="AS134" s="13"/>
      <c r="AT134" s="13"/>
    </row>
    <row r="135" spans="1:46">
      <c r="A135" s="8" t="s">
        <v>247</v>
      </c>
      <c r="B135" s="8" t="s">
        <v>47</v>
      </c>
      <c r="C135" s="8" t="s">
        <v>979</v>
      </c>
      <c r="D135" s="9" t="s">
        <v>1510</v>
      </c>
      <c r="E135" s="13" t="s">
        <v>2157</v>
      </c>
      <c r="F135" s="10" t="s">
        <v>2432</v>
      </c>
      <c r="G135" s="114" t="s">
        <v>2434</v>
      </c>
      <c r="H135" s="8" t="str">
        <f ca="1">IFERROR(__xludf.DUMMYFUNCTION("VLOOKUP(G135, IMPORTRANGE(""https://docs.google.com/spreadsheets/d/14deopnvwcrKtEGCKuYXdUHJbeLDZlkiSSWWT0g7x2pM/edit#gid=849066331"", ""LU List Science (Filter)!A:B""), 2, FALSE)"),"Factors affecting speed of sound (temperature and density of medium)")</f>
        <v>Factors affecting speed of sound (temperature and density of medium)</v>
      </c>
      <c r="I135" s="10" t="str">
        <f t="shared" si="0"/>
        <v>LU006369.001</v>
      </c>
      <c r="J135" s="10" t="str">
        <f ca="1">IFERROR(__xludf.DUMMYFUNCTION("VLOOKUP(I135, IMPORTRANGE(""https://docs.google.com/spreadsheets/d/1yDAaXNsi4Mr5FtRQL4tbmSdIzhx6_m4wkOD7IG-k_eo/edit#gid=1336395716"", ""Science!M:N""), 2, FALSE)"),"List the factors that affect the speed of sound.")</f>
        <v>List the factors that affect the speed of sound.</v>
      </c>
      <c r="K135" s="10" t="str">
        <f t="shared" si="1"/>
        <v>LU006369.002</v>
      </c>
      <c r="L135" s="10" t="str">
        <f ca="1">IFERROR(__xludf.DUMMYFUNCTION("VLOOKUP(K135, IMPORTRANGE(""https://docs.google.com/spreadsheets/d/1yDAaXNsi4Mr5FtRQL4tbmSdIzhx6_m4wkOD7IG-k_eo/edit#gid=1336395716"", ""Science!M:N""), 2, FALSE)"),"Explain how temperature and density of the medium affect the speed of sound.")</f>
        <v>Explain how temperature and density of the medium affect the speed of sound.</v>
      </c>
      <c r="M135" s="10" t="str">
        <f t="shared" si="2"/>
        <v>LU006369.003</v>
      </c>
      <c r="N135" s="10" t="str">
        <f ca="1">IFERROR(__xludf.DUMMYFUNCTION("VLOOKUP(M135, IMPORTRANGE(""https://docs.google.com/spreadsheets/d/1yDAaXNsi4Mr5FtRQL4tbmSdIzhx6_m4wkOD7IG-k_eo/edit#gid=1336395716"", ""Science!M:N""), 2, FALSE)"),"Conduct an experiment to observe the effect of temperature on the speed of sound.")</f>
        <v>Conduct an experiment to observe the effect of temperature on the speed of sound.</v>
      </c>
      <c r="O135" s="10" t="str">
        <f t="shared" si="3"/>
        <v>LU006369.004</v>
      </c>
      <c r="P135" s="10" t="str">
        <f ca="1">IFERROR(__xludf.DUMMYFUNCTION("VLOOKUP(O135, IMPORTRANGE(""https://docs.google.com/spreadsheets/d/1yDAaXNsi4Mr5FtRQL4tbmSdIzhx6_m4wkOD7IG-k_eo/edit#gid=1336395716"", ""Science!M:N""), 2, FALSE)"),"Analyze data to determine how changes in medium density impact the speed of sound.")</f>
        <v>Analyze data to determine how changes in medium density impact the speed of sound.</v>
      </c>
      <c r="Q135" s="10" t="str">
        <f t="shared" si="4"/>
        <v>LU006369.005</v>
      </c>
      <c r="R135" s="10" t="str">
        <f ca="1">IFERROR(__xludf.DUMMYFUNCTION("VLOOKUP(Q135, IMPORTRANGE(""https://docs.google.com/spreadsheets/d/1yDAaXNsi4Mr5FtRQL4tbmSdIzhx6_m4wkOD7IG-k_eo/edit#gid=1336395716"", ""Science!M:N""), 2, FALSE)"),"Evaluate the significance of temperature and medium density in various sound-related technologies.")</f>
        <v>Evaluate the significance of temperature and medium density in various sound-related technologies.</v>
      </c>
      <c r="S135" s="10" t="str">
        <f t="shared" si="5"/>
        <v>LU006369.006</v>
      </c>
      <c r="T135" s="10" t="str">
        <f ca="1">IFERROR(__xludf.DUMMYFUNCTION("VLOOKUP(S135, IMPORTRANGE(""https://docs.google.com/spreadsheets/d/1yDAaXNsi4Mr5FtRQL4tbmSdIzhx6_m4wkOD7IG-k_eo/edit#gid=1336395716"", ""Science!M:N""), 2, FALSE)"),"Create a detailed report on the effects of temperature and density on the speed of sound, supported by experimental data.")</f>
        <v>Create a detailed report on the effects of temperature and density on the speed of sound, supported by experimental data.</v>
      </c>
      <c r="U135" s="11" t="str">
        <f ca="1">IFERROR(__xludf.DUMMYFUNCTION("ArrayFormula(VLOOKUP(G135, IMPORTRANGE(""https://docs.google.com/spreadsheets/d/1p7R4vtkWt5VOBim4ltsDG9KTzSjrtKXsMtQGXPHyND0/edit#gid=795171502"", ""'Filter 30_05_2024'!A1:M2000""), {2, 3, 4, 5,6,7,8,9,10,11,12,13}, 0))"),"#N/A")</f>
        <v>#N/A</v>
      </c>
      <c r="V135" s="11" t="str">
        <f ca="1">IFERROR(__xludf.DUMMYFUNCTION("""COMPUTED_VALUE"""),"#N/A")</f>
        <v>#N/A</v>
      </c>
      <c r="W135" s="11" t="str">
        <f ca="1">IFERROR(__xludf.DUMMYFUNCTION("""COMPUTED_VALUE"""),"#N/A")</f>
        <v>#N/A</v>
      </c>
      <c r="X135" s="11" t="str">
        <f ca="1">IFERROR(__xludf.DUMMYFUNCTION("""COMPUTED_VALUE"""),"#N/A")</f>
        <v>#N/A</v>
      </c>
      <c r="Y135" s="11" t="str">
        <f ca="1">IFERROR(__xludf.DUMMYFUNCTION("""COMPUTED_VALUE"""),"#N/A")</f>
        <v>#N/A</v>
      </c>
      <c r="Z135" s="12" t="str">
        <f ca="1">IFERROR(__xludf.DUMMYFUNCTION("""COMPUTED_VALUE"""),"#N/A")</f>
        <v>#N/A</v>
      </c>
      <c r="AA135" s="12" t="str">
        <f ca="1">IFERROR(__xludf.DUMMYFUNCTION("""COMPUTED_VALUE"""),"#N/A")</f>
        <v>#N/A</v>
      </c>
      <c r="AB135" s="12" t="str">
        <f ca="1">IFERROR(__xludf.DUMMYFUNCTION("""COMPUTED_VALUE"""),"#N/A")</f>
        <v>#N/A</v>
      </c>
      <c r="AC135" s="12" t="str">
        <f ca="1">IFERROR(__xludf.DUMMYFUNCTION("""COMPUTED_VALUE"""),"#N/A")</f>
        <v>#N/A</v>
      </c>
      <c r="AD135" s="12" t="str">
        <f ca="1">IFERROR(__xludf.DUMMYFUNCTION("""COMPUTED_VALUE"""),"#N/A")</f>
        <v>#N/A</v>
      </c>
      <c r="AE135" s="12" t="str">
        <f ca="1">IFERROR(__xludf.DUMMYFUNCTION("""COMPUTED_VALUE"""),"#N/A")</f>
        <v>#N/A</v>
      </c>
      <c r="AF135" s="12" t="str">
        <f ca="1">IFERROR(__xludf.DUMMYFUNCTION("""COMPUTED_VALUE"""),"#N/A")</f>
        <v>#N/A</v>
      </c>
      <c r="AG135" s="13" t="str">
        <f ca="1">IFERROR(__xludf.DUMMYFUNCTION("ArrayFormula(VLOOKUP(G135, IMPORTRANGE(""https://docs.google.com/spreadsheets/d/1Co934fvtviyaRiMsrIlT05Jaq7iiYq07aLvRr35KA48/edit?gid=173865642#gid=173865642"", ""'G9 Sci_Pri_LU'!G2:V2000""), {3, 4, 5, 6, 7, 8, 9, 10, 11, 12, 13, 14, 15, 16}, 0))"),"LU005575")</f>
        <v>LU005575</v>
      </c>
      <c r="AH135" s="22" t="str">
        <f ca="1">IFERROR(__xludf.DUMMYFUNCTION("""COMPUTED_VALUE"""),"Propagation of sound through different mediums")</f>
        <v>Propagation of sound through different mediums</v>
      </c>
      <c r="AI135" s="13" t="str">
        <f ca="1">IFERROR(__xludf.DUMMYFUNCTION("""COMPUTED_VALUE"""),"LU005376")</f>
        <v>LU005376</v>
      </c>
      <c r="AJ135" s="13" t="str">
        <f ca="1">IFERROR(__xludf.DUMMYFUNCTION("""COMPUTED_VALUE"""),"Units of Speed")</f>
        <v>Units of Speed</v>
      </c>
      <c r="AK135" s="13" t="str">
        <f ca="1">IFERROR(__xludf.DUMMYFUNCTION("""COMPUTED_VALUE"""),"LU005354")</f>
        <v>LU005354</v>
      </c>
      <c r="AL135" s="13" t="str">
        <f ca="1">IFERROR(__xludf.DUMMYFUNCTION("""COMPUTED_VALUE"""),"Definition and units of temperature")</f>
        <v>Definition and units of temperature</v>
      </c>
      <c r="AM135" s="13" t="str">
        <f ca="1">IFERROR(__xludf.DUMMYFUNCTION("""COMPUTED_VALUE"""),"LU005312")</f>
        <v>LU005312</v>
      </c>
      <c r="AN135" s="13" t="str">
        <f ca="1">IFERROR(__xludf.DUMMYFUNCTION("""COMPUTED_VALUE"""),"Comparion of Particle Arrangements in the Three State of Matter")</f>
        <v>Comparion of Particle Arrangements in the Three State of Matter</v>
      </c>
      <c r="AO135" s="13"/>
      <c r="AP135" s="13"/>
      <c r="AQ135" s="13"/>
      <c r="AR135" s="13"/>
      <c r="AS135" s="13"/>
      <c r="AT135" s="13"/>
    </row>
    <row r="136" spans="1:46">
      <c r="A136" s="8" t="s">
        <v>247</v>
      </c>
      <c r="B136" s="8" t="s">
        <v>47</v>
      </c>
      <c r="C136" s="8" t="s">
        <v>979</v>
      </c>
      <c r="D136" s="9" t="s">
        <v>1510</v>
      </c>
      <c r="E136" s="13" t="s">
        <v>2157</v>
      </c>
      <c r="F136" s="10" t="s">
        <v>2432</v>
      </c>
      <c r="G136" s="114" t="s">
        <v>2435</v>
      </c>
      <c r="H136" s="8" t="str">
        <f ca="1">IFERROR(__xludf.DUMMYFUNCTION("VLOOKUP(G136, IMPORTRANGE(""https://docs.google.com/spreadsheets/d/14deopnvwcrKtEGCKuYXdUHJbeLDZlkiSSWWT0g7x2pM/edit#gid=849066331"", ""LU List Science (Filter)!A:B""), 2, FALSE)"),"Exploration of quality, tone, note and intensity of sound wave")</f>
        <v>Exploration of quality, tone, note and intensity of sound wave</v>
      </c>
      <c r="I136" s="10" t="str">
        <f t="shared" si="0"/>
        <v>LU006370.001</v>
      </c>
      <c r="J136" s="10" t="str">
        <f ca="1">IFERROR(__xludf.DUMMYFUNCTION("VLOOKUP(I136, IMPORTRANGE(""https://docs.google.com/spreadsheets/d/1yDAaXNsi4Mr5FtRQL4tbmSdIzhx6_m4wkOD7IG-k_eo/edit#gid=1336395716"", ""Science!M:N""), 2, FALSE)"),"Define quality, tone, note, and intensity in the context of sound waves.")</f>
        <v>Define quality, tone, note, and intensity in the context of sound waves.</v>
      </c>
      <c r="K136" s="10" t="str">
        <f t="shared" si="1"/>
        <v>LU006370.002</v>
      </c>
      <c r="L136" s="10" t="str">
        <f ca="1">IFERROR(__xludf.DUMMYFUNCTION("VLOOKUP(K136, IMPORTRANGE(""https://docs.google.com/spreadsheets/d/1yDAaXNsi4Mr5FtRQL4tbmSdIzhx6_m4wkOD7IG-k_eo/edit#gid=1336395716"", ""Science!M:N""), 2, FALSE)"),"Describe how these characteristics affect the perception of sound.")</f>
        <v>Describe how these characteristics affect the perception of sound.</v>
      </c>
      <c r="M136" s="10" t="str">
        <f t="shared" si="2"/>
        <v>LU006370.003</v>
      </c>
      <c r="N136" s="10" t="str">
        <f ca="1">IFERROR(__xludf.DUMMYFUNCTION("VLOOKUP(M136, IMPORTRANGE(""https://docs.google.com/spreadsheets/d/1yDAaXNsi4Mr5FtRQL4tbmSdIzhx6_m4wkOD7IG-k_eo/edit#gid=1336395716"", ""Science!M:N""), 2, FALSE)"),"Illustrate the differences between tone, note, and intensity using examples.")</f>
        <v>Illustrate the differences between tone, note, and intensity using examples.</v>
      </c>
      <c r="O136" s="10" t="str">
        <f t="shared" si="3"/>
        <v>LU006370.004</v>
      </c>
      <c r="P136" s="10" t="str">
        <f ca="1">IFERROR(__xludf.DUMMYFUNCTION("VLOOKUP(O136, IMPORTRANGE(""https://docs.google.com/spreadsheets/d/1yDAaXNsi4Mr5FtRQL4tbmSdIzhx6_m4wkOD7IG-k_eo/edit#gid=1336395716"", ""Science!M:N""), 2, FALSE)"),"Analyze how the quality of sound varies with changes in tone, note, and intensity.")</f>
        <v>Analyze how the quality of sound varies with changes in tone, note, and intensity.</v>
      </c>
      <c r="Q136" s="10" t="str">
        <f t="shared" si="4"/>
        <v>LU006370.005</v>
      </c>
      <c r="R136" s="10" t="str">
        <f ca="1">IFERROR(__xludf.DUMMYFUNCTION("VLOOKUP(Q136, IMPORTRANGE(""https://docs.google.com/spreadsheets/d/1yDAaXNsi4Mr5FtRQL4tbmSdIzhx6_m4wkOD7IG-k_eo/edit#gid=1336395716"", ""Science!M:N""), 2, FALSE)"),"Evaluate the importance of these sound characteristics in musical and communication applications.")</f>
        <v>Evaluate the importance of these sound characteristics in musical and communication applications.</v>
      </c>
      <c r="S136" s="10" t="str">
        <f t="shared" si="5"/>
        <v>LU006370.006</v>
      </c>
      <c r="T136" s="10" t="str">
        <f ca="1">IFERROR(__xludf.DUMMYFUNCTION("VLOOKUP(S136, IMPORTRANGE(""https://docs.google.com/spreadsheets/d/1yDAaXNsi4Mr5FtRQL4tbmSdIzhx6_m4wkOD7IG-k_eo/edit#gid=1336395716"", ""Science!M:N""), 2, FALSE)"),"Develop a presentation that explores the quality, tone, note, and intensity of sound waves with visual and audio examples.")</f>
        <v>Develop a presentation that explores the quality, tone, note, and intensity of sound waves with visual and audio examples.</v>
      </c>
      <c r="U136" s="11" t="str">
        <f ca="1">IFERROR(__xludf.DUMMYFUNCTION("ArrayFormula(VLOOKUP(G136, IMPORTRANGE(""https://docs.google.com/spreadsheets/d/1p7R4vtkWt5VOBim4ltsDG9KTzSjrtKXsMtQGXPHyND0/edit#gid=795171502"", ""'Filter 30_05_2024'!A1:M2000""), {2, 3, 4, 5,6,7,8,9,10,11,12,13}, 0))"),"#N/A")</f>
        <v>#N/A</v>
      </c>
      <c r="V136" s="11" t="str">
        <f ca="1">IFERROR(__xludf.DUMMYFUNCTION("""COMPUTED_VALUE"""),"#N/A")</f>
        <v>#N/A</v>
      </c>
      <c r="W136" s="11" t="str">
        <f ca="1">IFERROR(__xludf.DUMMYFUNCTION("""COMPUTED_VALUE"""),"#N/A")</f>
        <v>#N/A</v>
      </c>
      <c r="X136" s="11" t="str">
        <f ca="1">IFERROR(__xludf.DUMMYFUNCTION("""COMPUTED_VALUE"""),"#N/A")</f>
        <v>#N/A</v>
      </c>
      <c r="Y136" s="11" t="str">
        <f ca="1">IFERROR(__xludf.DUMMYFUNCTION("""COMPUTED_VALUE"""),"#N/A")</f>
        <v>#N/A</v>
      </c>
      <c r="Z136" s="12" t="str">
        <f ca="1">IFERROR(__xludf.DUMMYFUNCTION("""COMPUTED_VALUE"""),"#N/A")</f>
        <v>#N/A</v>
      </c>
      <c r="AA136" s="12" t="str">
        <f ca="1">IFERROR(__xludf.DUMMYFUNCTION("""COMPUTED_VALUE"""),"#N/A")</f>
        <v>#N/A</v>
      </c>
      <c r="AB136" s="12" t="str">
        <f ca="1">IFERROR(__xludf.DUMMYFUNCTION("""COMPUTED_VALUE"""),"#N/A")</f>
        <v>#N/A</v>
      </c>
      <c r="AC136" s="12" t="str">
        <f ca="1">IFERROR(__xludf.DUMMYFUNCTION("""COMPUTED_VALUE"""),"#N/A")</f>
        <v>#N/A</v>
      </c>
      <c r="AD136" s="12" t="str">
        <f ca="1">IFERROR(__xludf.DUMMYFUNCTION("""COMPUTED_VALUE"""),"#N/A")</f>
        <v>#N/A</v>
      </c>
      <c r="AE136" s="12" t="str">
        <f ca="1">IFERROR(__xludf.DUMMYFUNCTION("""COMPUTED_VALUE"""),"#N/A")</f>
        <v>#N/A</v>
      </c>
      <c r="AF136" s="12" t="str">
        <f ca="1">IFERROR(__xludf.DUMMYFUNCTION("""COMPUTED_VALUE"""),"#N/A")</f>
        <v>#N/A</v>
      </c>
      <c r="AG136" s="13" t="str">
        <f ca="1">IFERROR(__xludf.DUMMYFUNCTION("ArrayFormula(VLOOKUP(G136, IMPORTRANGE(""https://docs.google.com/spreadsheets/d/1Co934fvtviyaRiMsrIlT05Jaq7iiYq07aLvRr35KA48/edit?gid=173865642#gid=173865642"", ""'G9 Sci_Pri_LU'!G2:V2000""), {3, 4, 5, 6, 7, 8, 9, 10, 11, 12, 13, 14, 15, 16}, 0))"),"LU005578")</f>
        <v>LU005578</v>
      </c>
      <c r="AH136" s="22" t="str">
        <f ca="1">IFERROR(__xludf.DUMMYFUNCTION("""COMPUTED_VALUE"""),"Loudness and pitch of sound")</f>
        <v>Loudness and pitch of sound</v>
      </c>
      <c r="AI136" s="13" t="str">
        <f ca="1">IFERROR(__xludf.DUMMYFUNCTION("""COMPUTED_VALUE"""),"LU005585")</f>
        <v>LU005585</v>
      </c>
      <c r="AJ136" s="13" t="str">
        <f ca="1">IFERROR(__xludf.DUMMYFUNCTION("""COMPUTED_VALUE"""),"Definition of frequency of vibration and its relationship with time period")</f>
        <v>Definition of frequency of vibration and its relationship with time period</v>
      </c>
      <c r="AK136" s="13" t="str">
        <f ca="1">IFERROR(__xludf.DUMMYFUNCTION("""COMPUTED_VALUE"""),"LU005580")</f>
        <v>LU005580</v>
      </c>
      <c r="AL136" s="13" t="str">
        <f ca="1">IFERROR(__xludf.DUMMYFUNCTION("""COMPUTED_VALUE"""),"Distinguish Noise from Music")</f>
        <v>Distinguish Noise from Music</v>
      </c>
      <c r="AM136" s="13"/>
      <c r="AN136" s="13"/>
      <c r="AO136" s="13"/>
      <c r="AP136" s="13"/>
      <c r="AQ136" s="13"/>
      <c r="AR136" s="13"/>
      <c r="AS136" s="13"/>
      <c r="AT136" s="13"/>
    </row>
    <row r="137" spans="1:46">
      <c r="A137" s="8" t="s">
        <v>247</v>
      </c>
      <c r="B137" s="8" t="s">
        <v>47</v>
      </c>
      <c r="C137" s="8" t="s">
        <v>979</v>
      </c>
      <c r="D137" s="9" t="s">
        <v>1510</v>
      </c>
      <c r="E137" s="13" t="s">
        <v>2157</v>
      </c>
      <c r="F137" s="10" t="s">
        <v>2436</v>
      </c>
      <c r="G137" s="10" t="s">
        <v>2437</v>
      </c>
      <c r="H137" s="8" t="str">
        <f ca="1">IFERROR(__xludf.DUMMYFUNCTION("VLOOKUP(G137, IMPORTRANGE(""https://docs.google.com/spreadsheets/d/14deopnvwcrKtEGCKuYXdUHJbeLDZlkiSSWWT0g7x2pM/edit#gid=849066331"", ""LU List Science (Filter)!A:B""), 2, FALSE)"),"Principles of Echo and Reverberation in Sound")</f>
        <v>Principles of Echo and Reverberation in Sound</v>
      </c>
      <c r="I137" s="10" t="str">
        <f t="shared" si="0"/>
        <v>LU005916.001</v>
      </c>
      <c r="J137" s="10" t="str">
        <f ca="1">IFERROR(__xludf.DUMMYFUNCTION("VLOOKUP(I137, IMPORTRANGE(""https://docs.google.com/spreadsheets/d/1yDAaXNsi4Mr5FtRQL4tbmSdIzhx6_m4wkOD7IG-k_eo/edit#gid=1336395716"", ""Science!M:N""), 2, FALSE)"),"Identify examples of echo and reverberation.")</f>
        <v>Identify examples of echo and reverberation.</v>
      </c>
      <c r="K137" s="10" t="str">
        <f t="shared" si="1"/>
        <v>LU005916.002</v>
      </c>
      <c r="L137" s="10" t="str">
        <f ca="1">IFERROR(__xludf.DUMMYFUNCTION("VLOOKUP(K137, IMPORTRANGE(""https://docs.google.com/spreadsheets/d/1yDAaXNsi4Mr5FtRQL4tbmSdIzhx6_m4wkOD7IG-k_eo/edit#gid=1336395716"", ""Science!M:N""), 2, FALSE)"),"Describe the phenomena of echo and reverberation.")</f>
        <v>Describe the phenomena of echo and reverberation.</v>
      </c>
      <c r="M137" s="10" t="str">
        <f t="shared" si="2"/>
        <v>LU005916.003</v>
      </c>
      <c r="N137" s="10" t="str">
        <f ca="1">IFERROR(__xludf.DUMMYFUNCTION("VLOOKUP(M137, IMPORTRANGE(""https://docs.google.com/spreadsheets/d/1yDAaXNsi4Mr5FtRQL4tbmSdIzhx6_m4wkOD7IG-k_eo/edit#gid=1336395716"", ""Science!M:N""), 2, FALSE)"),"Apply the concept of echo and reverberation to explain acoustic experiences in different environments.")</f>
        <v>Apply the concept of echo and reverberation to explain acoustic experiences in different environments.</v>
      </c>
      <c r="O137" s="10" t="str">
        <f t="shared" si="3"/>
        <v>LU005916.004</v>
      </c>
      <c r="P137" s="10" t="str">
        <f ca="1">IFERROR(__xludf.DUMMYFUNCTION("VLOOKUP(O137, IMPORTRANGE(""https://docs.google.com/spreadsheets/d/1yDAaXNsi4Mr5FtRQL4tbmSdIzhx6_m4wkOD7IG-k_eo/edit#gid=1336395716"", ""Science!M:N""), 2, FALSE)"),"Differentiate between echo and reverberation in various contexts.")</f>
        <v>Differentiate between echo and reverberation in various contexts.</v>
      </c>
      <c r="Q137" s="10" t="str">
        <f t="shared" si="4"/>
        <v>LU005916.005</v>
      </c>
      <c r="R137" s="10" t="str">
        <f ca="1">IFERROR(__xludf.DUMMYFUNCTION("VLOOKUP(Q137, IMPORTRANGE(""https://docs.google.com/spreadsheets/d/1yDAaXNsi4Mr5FtRQL4tbmSdIzhx6_m4wkOD7IG-k_eo/edit#gid=1336395716"", ""Science!M:N""), 2, FALSE)"),"Assess the impact of echo and reverberation in acoustic design.")</f>
        <v>Assess the impact of echo and reverberation in acoustic design.</v>
      </c>
      <c r="S137" s="10" t="str">
        <f t="shared" si="5"/>
        <v>LU005916.006</v>
      </c>
      <c r="T137" s="10" t="str">
        <f ca="1">IFERROR(__xludf.DUMMYFUNCTION("VLOOKUP(S137, IMPORTRANGE(""https://docs.google.com/spreadsheets/d/1yDAaXNsi4Mr5FtRQL4tbmSdIzhx6_m4wkOD7IG-k_eo/edit#gid=1336395716"", ""Science!M:N""), 2, FALSE)"),"Design a basic experiment to demonstrate echo or reverberation.")</f>
        <v>Design a basic experiment to demonstrate echo or reverberation.</v>
      </c>
      <c r="U137" s="11" t="str">
        <f ca="1">IFERROR(__xludf.DUMMYFUNCTION("ArrayFormula(VLOOKUP(G137, IMPORTRANGE(""https://docs.google.com/spreadsheets/d/1p7R4vtkWt5VOBim4ltsDG9KTzSjrtKXsMtQGXPHyND0/edit#gid=795171502"", ""'Filter 30_05_2024'!A1:M2000""), {2, 3, 4, 5,6,7,8,9,10,11,12,13}, 0))"),"#N/A")</f>
        <v>#N/A</v>
      </c>
      <c r="V137" s="11" t="str">
        <f ca="1">IFERROR(__xludf.DUMMYFUNCTION("""COMPUTED_VALUE"""),"#N/A")</f>
        <v>#N/A</v>
      </c>
      <c r="W137" s="11" t="str">
        <f ca="1">IFERROR(__xludf.DUMMYFUNCTION("""COMPUTED_VALUE"""),"#N/A")</f>
        <v>#N/A</v>
      </c>
      <c r="X137" s="11" t="str">
        <f ca="1">IFERROR(__xludf.DUMMYFUNCTION("""COMPUTED_VALUE"""),"#N/A")</f>
        <v>#N/A</v>
      </c>
      <c r="Y137" s="11" t="str">
        <f ca="1">IFERROR(__xludf.DUMMYFUNCTION("""COMPUTED_VALUE"""),"#N/A")</f>
        <v>#N/A</v>
      </c>
      <c r="Z137" s="12" t="str">
        <f ca="1">IFERROR(__xludf.DUMMYFUNCTION("""COMPUTED_VALUE"""),"#N/A")</f>
        <v>#N/A</v>
      </c>
      <c r="AA137" s="12" t="str">
        <f ca="1">IFERROR(__xludf.DUMMYFUNCTION("""COMPUTED_VALUE"""),"#N/A")</f>
        <v>#N/A</v>
      </c>
      <c r="AB137" s="12" t="str">
        <f ca="1">IFERROR(__xludf.DUMMYFUNCTION("""COMPUTED_VALUE"""),"#N/A")</f>
        <v>#N/A</v>
      </c>
      <c r="AC137" s="12" t="str">
        <f ca="1">IFERROR(__xludf.DUMMYFUNCTION("""COMPUTED_VALUE"""),"#N/A")</f>
        <v>#N/A</v>
      </c>
      <c r="AD137" s="12" t="str">
        <f ca="1">IFERROR(__xludf.DUMMYFUNCTION("""COMPUTED_VALUE"""),"#N/A")</f>
        <v>#N/A</v>
      </c>
      <c r="AE137" s="12" t="str">
        <f ca="1">IFERROR(__xludf.DUMMYFUNCTION("""COMPUTED_VALUE"""),"#N/A")</f>
        <v>#N/A</v>
      </c>
      <c r="AF137" s="12" t="str">
        <f ca="1">IFERROR(__xludf.DUMMYFUNCTION("""COMPUTED_VALUE"""),"#N/A")</f>
        <v>#N/A</v>
      </c>
      <c r="AG137" s="13" t="str">
        <f ca="1">IFERROR(__xludf.DUMMYFUNCTION("ArrayFormula(VLOOKUP(G137, IMPORTRANGE(""https://docs.google.com/spreadsheets/d/1Co934fvtviyaRiMsrIlT05Jaq7iiYq07aLvRr35KA48/edit?gid=173865642#gid=173865642"", ""'G9 Sci_Pri_LU'!G2:V2000""), {3, 4, 5, 6, 7, 8, 9, 10, 11, 12, 13, 14, 15, 16}, 0))"),"LU006371")</f>
        <v>LU006371</v>
      </c>
      <c r="AH137" s="22" t="str">
        <f ca="1">IFERROR(__xludf.DUMMYFUNCTION("""COMPUTED_VALUE"""),"Reflection of sound and its application in various instruments (Megaphone, stethoscope, curved ceilings)")</f>
        <v>Reflection of sound and its application in various instruments (Megaphone, stethoscope, curved ceilings)</v>
      </c>
      <c r="AI137" s="13" t="str">
        <f ca="1">IFERROR(__xludf.DUMMYFUNCTION("""COMPUTED_VALUE"""),"LU005375")</f>
        <v>LU005375</v>
      </c>
      <c r="AJ137" s="13" t="str">
        <f ca="1">IFERROR(__xludf.DUMMYFUNCTION("""COMPUTED_VALUE"""),"Definition of Speed")</f>
        <v>Definition of Speed</v>
      </c>
      <c r="AK137" s="13"/>
      <c r="AL137" s="13"/>
      <c r="AM137" s="13"/>
      <c r="AN137" s="13"/>
      <c r="AO137" s="13"/>
      <c r="AP137" s="13"/>
      <c r="AQ137" s="13"/>
      <c r="AR137" s="13"/>
      <c r="AS137" s="13"/>
      <c r="AT137" s="13"/>
    </row>
    <row r="138" spans="1:46">
      <c r="A138" s="8" t="s">
        <v>247</v>
      </c>
      <c r="B138" s="8" t="s">
        <v>47</v>
      </c>
      <c r="C138" s="8" t="s">
        <v>979</v>
      </c>
      <c r="D138" s="9" t="s">
        <v>1510</v>
      </c>
      <c r="E138" s="13" t="s">
        <v>2157</v>
      </c>
      <c r="F138" s="10" t="s">
        <v>2436</v>
      </c>
      <c r="G138" s="114" t="s">
        <v>2438</v>
      </c>
      <c r="H138" s="8" t="str">
        <f ca="1">IFERROR(__xludf.DUMMYFUNCTION("VLOOKUP(G138, IMPORTRANGE(""https://docs.google.com/spreadsheets/d/14deopnvwcrKtEGCKuYXdUHJbeLDZlkiSSWWT0g7x2pM/edit#gid=849066331"", ""LU List Science (Filter)!A:B""), 2, FALSE)"),"Reflection of sound and its application in various instruments (Megaphone, stethoscope, curved ceilings)")</f>
        <v>Reflection of sound and its application in various instruments (Megaphone, stethoscope, curved ceilings)</v>
      </c>
      <c r="I138" s="10" t="str">
        <f t="shared" si="0"/>
        <v>LU006371.001</v>
      </c>
      <c r="J138" s="10" t="str">
        <f ca="1">IFERROR(__xludf.DUMMYFUNCTION("VLOOKUP(I138, IMPORTRANGE(""https://docs.google.com/spreadsheets/d/1yDAaXNsi4Mr5FtRQL4tbmSdIzhx6_m4wkOD7IG-k_eo/edit#gid=1336395716"", ""Science!M:N""), 2, FALSE)"),"Define the reflection of sound and give examples of its applications.")</f>
        <v>Define the reflection of sound and give examples of its applications.</v>
      </c>
      <c r="K138" s="10" t="str">
        <f t="shared" si="1"/>
        <v>LU006371.002</v>
      </c>
      <c r="L138" s="10" t="str">
        <f ca="1">IFERROR(__xludf.DUMMYFUNCTION("VLOOKUP(K138, IMPORTRANGE(""https://docs.google.com/spreadsheets/d/1yDAaXNsi4Mr5FtRQL4tbmSdIzhx6_m4wkOD7IG-k_eo/edit#gid=1336395716"", ""Science!M:N""), 2, FALSE)"),"Explain how the reflection of sound is utilized in instruments like megaphones and stethoscopes.")</f>
        <v>Explain how the reflection of sound is utilized in instruments like megaphones and stethoscopes.</v>
      </c>
      <c r="M138" s="10" t="str">
        <f t="shared" si="2"/>
        <v>LU006371.003</v>
      </c>
      <c r="N138" s="10" t="str">
        <f ca="1">IFERROR(__xludf.DUMMYFUNCTION("VLOOKUP(M138, IMPORTRANGE(""https://docs.google.com/spreadsheets/d/1yDAaXNsi4Mr5FtRQL4tbmSdIzhx6_m4wkOD7IG-k_eo/edit#gid=1336395716"", ""Science!M:N""), 2, FALSE)"),"Demonstrate the principle of sound reflection using a simple experiment.")</f>
        <v>Demonstrate the principle of sound reflection using a simple experiment.</v>
      </c>
      <c r="O138" s="10" t="str">
        <f t="shared" si="3"/>
        <v>LU006371.004</v>
      </c>
      <c r="P138" s="10" t="str">
        <f ca="1">IFERROR(__xludf.DUMMYFUNCTION("VLOOKUP(O138, IMPORTRANGE(""https://docs.google.com/spreadsheets/d/1yDAaXNsi4Mr5FtRQL4tbmSdIzhx6_m4wkOD7IG-k_eo/edit#gid=1336395716"", ""Science!M:N""), 2, FALSE)"),"Compare the effectiveness of different sound-reflecting instruments.")</f>
        <v>Compare the effectiveness of different sound-reflecting instruments.</v>
      </c>
      <c r="Q138" s="10" t="str">
        <f t="shared" si="4"/>
        <v>LU006371.005</v>
      </c>
      <c r="R138" s="10" t="str">
        <f ca="1">IFERROR(__xludf.DUMMYFUNCTION("VLOOKUP(Q138, IMPORTRANGE(""https://docs.google.com/spreadsheets/d/1yDAaXNsi4Mr5FtRQL4tbmSdIzhx6_m4wkOD7IG-k_eo/edit#gid=1336395716"", ""Science!M:N""), 2, FALSE)"),"Assess the significance of sound reflection in the design of acoustic spaces and instruments.")</f>
        <v>Assess the significance of sound reflection in the design of acoustic spaces and instruments.</v>
      </c>
      <c r="S138" s="10" t="str">
        <f t="shared" si="5"/>
        <v>LU006371.006</v>
      </c>
      <c r="T138" s="10" t="str">
        <f ca="1">IFERROR(__xludf.DUMMYFUNCTION("VLOOKUP(S138, IMPORTRANGE(""https://docs.google.com/spreadsheets/d/1yDAaXNsi4Mr5FtRQL4tbmSdIzhx6_m4wkOD7IG-k_eo/edit#gid=1336395716"", ""Science!M:N""), 2, FALSE)"),"Design a project that uses sound reflection principles to improve the acoustics of a room or a device.")</f>
        <v>Design a project that uses sound reflection principles to improve the acoustics of a room or a device.</v>
      </c>
      <c r="U138" s="11" t="str">
        <f ca="1">IFERROR(__xludf.DUMMYFUNCTION("ArrayFormula(VLOOKUP(G138, IMPORTRANGE(""https://docs.google.com/spreadsheets/d/1p7R4vtkWt5VOBim4ltsDG9KTzSjrtKXsMtQGXPHyND0/edit#gid=795171502"", ""'Filter 30_05_2024'!A1:M2000""), {2, 3, 4, 5,6,7,8,9,10,11,12,13}, 0))"),"#N/A")</f>
        <v>#N/A</v>
      </c>
      <c r="V138" s="11" t="str">
        <f ca="1">IFERROR(__xludf.DUMMYFUNCTION("""COMPUTED_VALUE"""),"#N/A")</f>
        <v>#N/A</v>
      </c>
      <c r="W138" s="11" t="str">
        <f ca="1">IFERROR(__xludf.DUMMYFUNCTION("""COMPUTED_VALUE"""),"#N/A")</f>
        <v>#N/A</v>
      </c>
      <c r="X138" s="11" t="str">
        <f ca="1">IFERROR(__xludf.DUMMYFUNCTION("""COMPUTED_VALUE"""),"#N/A")</f>
        <v>#N/A</v>
      </c>
      <c r="Y138" s="11" t="str">
        <f ca="1">IFERROR(__xludf.DUMMYFUNCTION("""COMPUTED_VALUE"""),"#N/A")</f>
        <v>#N/A</v>
      </c>
      <c r="Z138" s="12" t="str">
        <f ca="1">IFERROR(__xludf.DUMMYFUNCTION("""COMPUTED_VALUE"""),"#N/A")</f>
        <v>#N/A</v>
      </c>
      <c r="AA138" s="12" t="str">
        <f ca="1">IFERROR(__xludf.DUMMYFUNCTION("""COMPUTED_VALUE"""),"#N/A")</f>
        <v>#N/A</v>
      </c>
      <c r="AB138" s="12" t="str">
        <f ca="1">IFERROR(__xludf.DUMMYFUNCTION("""COMPUTED_VALUE"""),"#N/A")</f>
        <v>#N/A</v>
      </c>
      <c r="AC138" s="12" t="str">
        <f ca="1">IFERROR(__xludf.DUMMYFUNCTION("""COMPUTED_VALUE"""),"#N/A")</f>
        <v>#N/A</v>
      </c>
      <c r="AD138" s="12" t="str">
        <f ca="1">IFERROR(__xludf.DUMMYFUNCTION("""COMPUTED_VALUE"""),"#N/A")</f>
        <v>#N/A</v>
      </c>
      <c r="AE138" s="12" t="str">
        <f ca="1">IFERROR(__xludf.DUMMYFUNCTION("""COMPUTED_VALUE"""),"#N/A")</f>
        <v>#N/A</v>
      </c>
      <c r="AF138" s="12" t="str">
        <f ca="1">IFERROR(__xludf.DUMMYFUNCTION("""COMPUTED_VALUE"""),"#N/A")</f>
        <v>#N/A</v>
      </c>
      <c r="AG138" s="13" t="str">
        <f ca="1">IFERROR(__xludf.DUMMYFUNCTION("ArrayFormula(VLOOKUP(G138, IMPORTRANGE(""https://docs.google.com/spreadsheets/d/1Co934fvtviyaRiMsrIlT05Jaq7iiYq07aLvRr35KA48/edit?gid=173865642#gid=173865642"", ""'G9 Sci_Pri_LU'!G2:V2000""), {3, 4, 5, 6, 7, 8, 9, 10, 11, 12, 13, 14, 15, 16}, 0))"),"LU005372")</f>
        <v>LU005372</v>
      </c>
      <c r="AH138" s="22" t="str">
        <f ca="1">IFERROR(__xludf.DUMMYFUNCTION("""COMPUTED_VALUE"""),"Laws of reflection")</f>
        <v>Laws of reflection</v>
      </c>
      <c r="AI138" s="13"/>
      <c r="AJ138" s="13"/>
      <c r="AK138" s="13"/>
      <c r="AL138" s="13"/>
      <c r="AM138" s="13"/>
      <c r="AN138" s="13"/>
      <c r="AO138" s="13"/>
      <c r="AP138" s="13"/>
      <c r="AQ138" s="13"/>
      <c r="AR138" s="13"/>
      <c r="AS138" s="13"/>
      <c r="AT138" s="13"/>
    </row>
    <row r="139" spans="1:46">
      <c r="A139" s="8" t="s">
        <v>247</v>
      </c>
      <c r="B139" s="8" t="s">
        <v>47</v>
      </c>
      <c r="C139" s="8" t="s">
        <v>979</v>
      </c>
      <c r="D139" s="9" t="s">
        <v>1510</v>
      </c>
      <c r="E139" s="13" t="s">
        <v>2157</v>
      </c>
      <c r="F139" s="10" t="s">
        <v>2439</v>
      </c>
      <c r="G139" s="114" t="s">
        <v>2440</v>
      </c>
      <c r="H139" s="8" t="str">
        <f ca="1">IFERROR(__xludf.DUMMYFUNCTION("VLOOKUP(G139, IMPORTRANGE(""https://docs.google.com/spreadsheets/d/14deopnvwcrKtEGCKuYXdUHJbeLDZlkiSSWWT0g7x2pM/edit#gid=849066331"", ""LU List Science (Filter)!A:B""), 2, FALSE)"),"Concepts of infrasound and ultrasound")</f>
        <v>Concepts of infrasound and ultrasound</v>
      </c>
      <c r="I139" s="10" t="str">
        <f t="shared" si="0"/>
        <v>LU006372.001</v>
      </c>
      <c r="J139" s="10" t="str">
        <f ca="1">IFERROR(__xludf.DUMMYFUNCTION("VLOOKUP(I139, IMPORTRANGE(""https://docs.google.com/spreadsheets/d/1yDAaXNsi4Mr5FtRQL4tbmSdIzhx6_m4wkOD7IG-k_eo/edit#gid=1336395716"", ""Science!M:N""), 2, FALSE)"),"Define infrasound and ultrasound.")</f>
        <v>Define infrasound and ultrasound.</v>
      </c>
      <c r="K139" s="10" t="str">
        <f t="shared" si="1"/>
        <v>LU006372.002</v>
      </c>
      <c r="L139" s="10" t="str">
        <f ca="1">IFERROR(__xludf.DUMMYFUNCTION("VLOOKUP(K139, IMPORTRANGE(""https://docs.google.com/spreadsheets/d/1yDAaXNsi4Mr5FtRQL4tbmSdIzhx6_m4wkOD7IG-k_eo/edit#gid=1336395716"", ""Science!M:N""), 2, FALSE)"),"Describe the characteristics and uses of infrasound and ultrasound.")</f>
        <v>Describe the characteristics and uses of infrasound and ultrasound.</v>
      </c>
      <c r="M139" s="10" t="str">
        <f t="shared" si="2"/>
        <v>LU006372.003</v>
      </c>
      <c r="N139" s="10" t="str">
        <f ca="1">IFERROR(__xludf.DUMMYFUNCTION("VLOOKUP(M139, IMPORTRANGE(""https://docs.google.com/spreadsheets/d/1yDAaXNsi4Mr5FtRQL4tbmSdIzhx6_m4wkOD7IG-k_eo/edit#gid=1336395716"", ""Science!M:N""), 2, FALSE)"),"Provide examples of how infrasound and ultrasound are used in different fields.")</f>
        <v>Provide examples of how infrasound and ultrasound are used in different fields.</v>
      </c>
      <c r="O139" s="10" t="str">
        <f t="shared" si="3"/>
        <v>LU006372.004</v>
      </c>
      <c r="P139" s="10" t="str">
        <f ca="1">IFERROR(__xludf.DUMMYFUNCTION("VLOOKUP(O139, IMPORTRANGE(""https://docs.google.com/spreadsheets/d/1yDAaXNsi4Mr5FtRQL4tbmSdIzhx6_m4wkOD7IG-k_eo/edit#gid=1336395716"", ""Science!M:N""), 2, FALSE)"),"Compare the properties and applications of infrasound and ultrasound.")</f>
        <v>Compare the properties and applications of infrasound and ultrasound.</v>
      </c>
      <c r="Q139" s="10" t="str">
        <f t="shared" si="4"/>
        <v>LU006372.005</v>
      </c>
      <c r="R139" s="10" t="str">
        <f ca="1">IFERROR(__xludf.DUMMYFUNCTION("VLOOKUP(Q139, IMPORTRANGE(""https://docs.google.com/spreadsheets/d/1yDAaXNsi4Mr5FtRQL4tbmSdIzhx6_m4wkOD7IG-k_eo/edit#gid=1336395716"", ""Science!M:N""), 2, FALSE)"),"Evaluate the advantages and limitations of using infrasound and ultrasound in various applications.")</f>
        <v>Evaluate the advantages and limitations of using infrasound and ultrasound in various applications.</v>
      </c>
      <c r="S139" s="10" t="str">
        <f t="shared" si="5"/>
        <v>LU006372.006</v>
      </c>
      <c r="T139" s="10" t="str">
        <f ca="1">IFERROR(__xludf.DUMMYFUNCTION("VLOOKUP(S139, IMPORTRANGE(""https://docs.google.com/spreadsheets/d/1yDAaXNsi4Mr5FtRQL4tbmSdIzhx6_m4wkOD7IG-k_eo/edit#gid=1336395716"", ""Science!M:N""), 2, FALSE)"),"Develop an informational brochure on the uses and benefits of infrasound and ultrasound technologies.")</f>
        <v>Develop an informational brochure on the uses and benefits of infrasound and ultrasound technologies.</v>
      </c>
      <c r="U139" s="11" t="str">
        <f ca="1">IFERROR(__xludf.DUMMYFUNCTION("ArrayFormula(VLOOKUP(G139, IMPORTRANGE(""https://docs.google.com/spreadsheets/d/1p7R4vtkWt5VOBim4ltsDG9KTzSjrtKXsMtQGXPHyND0/edit#gid=795171502"", ""'Filter 30_05_2024'!A1:M2000""), {2, 3, 4, 5,6,7,8,9,10,11,12,13}, 0))"),"#N/A")</f>
        <v>#N/A</v>
      </c>
      <c r="V139" s="11" t="str">
        <f ca="1">IFERROR(__xludf.DUMMYFUNCTION("""COMPUTED_VALUE"""),"#N/A")</f>
        <v>#N/A</v>
      </c>
      <c r="W139" s="11" t="str">
        <f ca="1">IFERROR(__xludf.DUMMYFUNCTION("""COMPUTED_VALUE"""),"#N/A")</f>
        <v>#N/A</v>
      </c>
      <c r="X139" s="11" t="str">
        <f ca="1">IFERROR(__xludf.DUMMYFUNCTION("""COMPUTED_VALUE"""),"#N/A")</f>
        <v>#N/A</v>
      </c>
      <c r="Y139" s="11" t="str">
        <f ca="1">IFERROR(__xludf.DUMMYFUNCTION("""COMPUTED_VALUE"""),"#N/A")</f>
        <v>#N/A</v>
      </c>
      <c r="Z139" s="12" t="str">
        <f ca="1">IFERROR(__xludf.DUMMYFUNCTION("""COMPUTED_VALUE"""),"#N/A")</f>
        <v>#N/A</v>
      </c>
      <c r="AA139" s="12" t="str">
        <f ca="1">IFERROR(__xludf.DUMMYFUNCTION("""COMPUTED_VALUE"""),"#N/A")</f>
        <v>#N/A</v>
      </c>
      <c r="AB139" s="12" t="str">
        <f ca="1">IFERROR(__xludf.DUMMYFUNCTION("""COMPUTED_VALUE"""),"#N/A")</f>
        <v>#N/A</v>
      </c>
      <c r="AC139" s="12" t="str">
        <f ca="1">IFERROR(__xludf.DUMMYFUNCTION("""COMPUTED_VALUE"""),"#N/A")</f>
        <v>#N/A</v>
      </c>
      <c r="AD139" s="12" t="str">
        <f ca="1">IFERROR(__xludf.DUMMYFUNCTION("""COMPUTED_VALUE"""),"#N/A")</f>
        <v>#N/A</v>
      </c>
      <c r="AE139" s="12" t="str">
        <f ca="1">IFERROR(__xludf.DUMMYFUNCTION("""COMPUTED_VALUE"""),"#N/A")</f>
        <v>#N/A</v>
      </c>
      <c r="AF139" s="12" t="str">
        <f ca="1">IFERROR(__xludf.DUMMYFUNCTION("""COMPUTED_VALUE"""),"#N/A")</f>
        <v>#N/A</v>
      </c>
      <c r="AG139" s="13" t="str">
        <f ca="1">IFERROR(__xludf.DUMMYFUNCTION("ArrayFormula(VLOOKUP(G139, IMPORTRANGE(""https://docs.google.com/spreadsheets/d/1Co934fvtviyaRiMsrIlT05Jaq7iiYq07aLvRr35KA48/edit?gid=173865642#gid=173865642"", ""'G9 Sci_Pri_LU'!G2:V2000""), {3, 4, 5, 6, 7, 8, 9, 10, 11, 12, 13, 14, 15, 16}, 0))"),"LU005585")</f>
        <v>LU005585</v>
      </c>
      <c r="AH139" s="22" t="str">
        <f ca="1">IFERROR(__xludf.DUMMYFUNCTION("""COMPUTED_VALUE"""),"Definition of frequency of vibration and its relationship with time period")</f>
        <v>Definition of frequency of vibration and its relationship with time period</v>
      </c>
      <c r="AI139" s="13" t="str">
        <f ca="1">IFERROR(__xludf.DUMMYFUNCTION("""COMPUTED_VALUE"""),"LU005579")</f>
        <v>LU005579</v>
      </c>
      <c r="AJ139" s="13" t="str">
        <f ca="1">IFERROR(__xludf.DUMMYFUNCTION("""COMPUTED_VALUE"""),"Frequency range of Human Hearing")</f>
        <v>Frequency range of Human Hearing</v>
      </c>
      <c r="AK139" s="13" t="str">
        <f ca="1">IFERROR(__xludf.DUMMYFUNCTION("""COMPUTED_VALUE"""),"LU005380")</f>
        <v>LU005380</v>
      </c>
      <c r="AL139" s="13" t="str">
        <f ca="1">IFERROR(__xludf.DUMMYFUNCTION("""COMPUTED_VALUE"""),"Determining the Time Period of a Pendulum's Oscillation")</f>
        <v>Determining the Time Period of a Pendulum's Oscillation</v>
      </c>
      <c r="AM139" s="13"/>
      <c r="AN139" s="13"/>
      <c r="AO139" s="13"/>
      <c r="AP139" s="13"/>
      <c r="AQ139" s="13"/>
      <c r="AR139" s="13"/>
      <c r="AS139" s="13"/>
      <c r="AT139" s="13"/>
    </row>
    <row r="140" spans="1:46">
      <c r="A140" s="8" t="s">
        <v>247</v>
      </c>
      <c r="B140" s="8" t="s">
        <v>47</v>
      </c>
      <c r="C140" s="8" t="s">
        <v>979</v>
      </c>
      <c r="D140" s="9" t="s">
        <v>1510</v>
      </c>
      <c r="E140" s="13" t="s">
        <v>2157</v>
      </c>
      <c r="F140" s="10" t="s">
        <v>2439</v>
      </c>
      <c r="G140" s="114" t="s">
        <v>2441</v>
      </c>
      <c r="H140" s="8" t="str">
        <f ca="1">IFERROR(__xludf.DUMMYFUNCTION("VLOOKUP(G140, IMPORTRANGE(""https://docs.google.com/spreadsheets/d/14deopnvwcrKtEGCKuYXdUHJbeLDZlkiSSWWT0g7x2pM/edit#gid=849066331"", ""LU List Science (Filter)!A:B""), 2, FALSE)"),"Various Applications of ultrasound ")</f>
        <v xml:space="preserve">Various Applications of ultrasound </v>
      </c>
      <c r="I140" s="10" t="str">
        <f t="shared" si="0"/>
        <v>LU006373.001</v>
      </c>
      <c r="J140" s="10" t="str">
        <f ca="1">IFERROR(__xludf.DUMMYFUNCTION("VLOOKUP(I140, IMPORTRANGE(""https://docs.google.com/spreadsheets/d/1yDAaXNsi4Mr5FtRQL4tbmSdIzhx6_m4wkOD7IG-k_eo/edit#gid=1336395716"", ""Science!M:N""), 2, FALSE)"),"List common applications of ultrasound in medicine and industry.")</f>
        <v>List common applications of ultrasound in medicine and industry.</v>
      </c>
      <c r="K140" s="10" t="str">
        <f t="shared" si="1"/>
        <v>LU006373.002</v>
      </c>
      <c r="L140" s="10" t="str">
        <f ca="1">IFERROR(__xludf.DUMMYFUNCTION("VLOOKUP(K140, IMPORTRANGE(""https://docs.google.com/spreadsheets/d/1yDAaXNsi4Mr5FtRQL4tbmSdIzhx6_m4wkOD7IG-k_eo/edit#gid=1336395716"", ""Science!M:N""), 2, FALSE)"),"Explain how ultrasound is used for imaging and diagnostics in medicine.")</f>
        <v>Explain how ultrasound is used for imaging and diagnostics in medicine.</v>
      </c>
      <c r="M140" s="10" t="str">
        <f t="shared" si="2"/>
        <v>LU006373.003</v>
      </c>
      <c r="N140" s="10" t="str">
        <f ca="1">IFERROR(__xludf.DUMMYFUNCTION("VLOOKUP(M140, IMPORTRANGE(""https://docs.google.com/spreadsheets/d/1yDAaXNsi4Mr5FtRQL4tbmSdIzhx6_m4wkOD7IG-k_eo/edit#gid=1336395716"", ""Science!M:N""), 2, FALSE)"),"Demonstrate an understanding of how ultrasound cleaning works through a practical example.")</f>
        <v>Demonstrate an understanding of how ultrasound cleaning works through a practical example.</v>
      </c>
      <c r="O140" s="10" t="str">
        <f t="shared" si="3"/>
        <v>LU006373.004</v>
      </c>
      <c r="P140" s="10" t="str">
        <f ca="1">IFERROR(__xludf.DUMMYFUNCTION("VLOOKUP(O140, IMPORTRANGE(""https://docs.google.com/spreadsheets/d/1yDAaXNsi4Mr5FtRQL4tbmSdIzhx6_m4wkOD7IG-k_eo/edit#gid=1336395716"", ""Science!M:N""), 2, FALSE)"),"Analyze the advantages of using ultrasound in non-destructive testing of materials.")</f>
        <v>Analyze the advantages of using ultrasound in non-destructive testing of materials.</v>
      </c>
      <c r="Q140" s="10" t="str">
        <f t="shared" si="4"/>
        <v>LU006373.005</v>
      </c>
      <c r="R140" s="10" t="str">
        <f ca="1">IFERROR(__xludf.DUMMYFUNCTION("VLOOKUP(Q140, IMPORTRANGE(""https://docs.google.com/spreadsheets/d/1yDAaXNsi4Mr5FtRQL4tbmSdIzhx6_m4wkOD7IG-k_eo/edit#gid=1336395716"", ""Science!M:N""), 2, FALSE)"),"Evaluate the effectiveness of ultrasound applications in various fields, such as medical diagnostics and industrial cleaning.")</f>
        <v>Evaluate the effectiveness of ultrasound applications in various fields, such as medical diagnostics and industrial cleaning.</v>
      </c>
      <c r="S140" s="10" t="str">
        <f t="shared" si="5"/>
        <v>LU006373.006</v>
      </c>
      <c r="T140" s="10" t="str">
        <f ca="1">IFERROR(__xludf.DUMMYFUNCTION("VLOOKUP(S140, IMPORTRANGE(""https://docs.google.com/spreadsheets/d/1yDAaXNsi4Mr5FtRQL4tbmSdIzhx6_m4wkOD7IG-k_eo/edit#gid=1336395716"", ""Science!M:N""), 2, FALSE)"),"Create a detailed report on the diverse applications of ultrasound, including case studies and practical examples.")</f>
        <v>Create a detailed report on the diverse applications of ultrasound, including case studies and practical examples.</v>
      </c>
      <c r="U140" s="11" t="str">
        <f ca="1">IFERROR(__xludf.DUMMYFUNCTION("ArrayFormula(VLOOKUP(G140, IMPORTRANGE(""https://docs.google.com/spreadsheets/d/1p7R4vtkWt5VOBim4ltsDG9KTzSjrtKXsMtQGXPHyND0/edit#gid=795171502"", ""'Filter 30_05_2024'!A1:M2000""), {2, 3, 4, 5,6,7,8,9,10,11,12,13}, 0))"),"#N/A")</f>
        <v>#N/A</v>
      </c>
      <c r="V140" s="11" t="str">
        <f ca="1">IFERROR(__xludf.DUMMYFUNCTION("""COMPUTED_VALUE"""),"#N/A")</f>
        <v>#N/A</v>
      </c>
      <c r="W140" s="11" t="str">
        <f ca="1">IFERROR(__xludf.DUMMYFUNCTION("""COMPUTED_VALUE"""),"#N/A")</f>
        <v>#N/A</v>
      </c>
      <c r="X140" s="11" t="str">
        <f ca="1">IFERROR(__xludf.DUMMYFUNCTION("""COMPUTED_VALUE"""),"#N/A")</f>
        <v>#N/A</v>
      </c>
      <c r="Y140" s="11" t="str">
        <f ca="1">IFERROR(__xludf.DUMMYFUNCTION("""COMPUTED_VALUE"""),"#N/A")</f>
        <v>#N/A</v>
      </c>
      <c r="Z140" s="12" t="str">
        <f ca="1">IFERROR(__xludf.DUMMYFUNCTION("""COMPUTED_VALUE"""),"#N/A")</f>
        <v>#N/A</v>
      </c>
      <c r="AA140" s="12" t="str">
        <f ca="1">IFERROR(__xludf.DUMMYFUNCTION("""COMPUTED_VALUE"""),"#N/A")</f>
        <v>#N/A</v>
      </c>
      <c r="AB140" s="12" t="str">
        <f ca="1">IFERROR(__xludf.DUMMYFUNCTION("""COMPUTED_VALUE"""),"#N/A")</f>
        <v>#N/A</v>
      </c>
      <c r="AC140" s="12" t="str">
        <f ca="1">IFERROR(__xludf.DUMMYFUNCTION("""COMPUTED_VALUE"""),"#N/A")</f>
        <v>#N/A</v>
      </c>
      <c r="AD140" s="12" t="str">
        <f ca="1">IFERROR(__xludf.DUMMYFUNCTION("""COMPUTED_VALUE"""),"#N/A")</f>
        <v>#N/A</v>
      </c>
      <c r="AE140" s="12" t="str">
        <f ca="1">IFERROR(__xludf.DUMMYFUNCTION("""COMPUTED_VALUE"""),"#N/A")</f>
        <v>#N/A</v>
      </c>
      <c r="AF140" s="12" t="str">
        <f ca="1">IFERROR(__xludf.DUMMYFUNCTION("""COMPUTED_VALUE"""),"#N/A")</f>
        <v>#N/A</v>
      </c>
      <c r="AG140" s="13" t="str">
        <f ca="1">IFERROR(__xludf.DUMMYFUNCTION("ArrayFormula(VLOOKUP(G140, IMPORTRANGE(""https://docs.google.com/spreadsheets/d/1Co934fvtviyaRiMsrIlT05Jaq7iiYq07aLvRr35KA48/edit?gid=173865642#gid=173865642"", ""'G9 Sci_Pri_LU'!G2:V2000""), {3, 4, 5, 6, 7, 8, 9, 10, 11, 12, 13, 14, 15, 16}, 0))"),"LU006372")</f>
        <v>LU006372</v>
      </c>
      <c r="AH140" s="22" t="str">
        <f ca="1">IFERROR(__xludf.DUMMYFUNCTION("""COMPUTED_VALUE"""),"Concepts of infrasound and ultrasound")</f>
        <v>Concepts of infrasound and ultrasound</v>
      </c>
      <c r="AI140" s="13"/>
      <c r="AJ140" s="13"/>
      <c r="AK140" s="13"/>
      <c r="AL140" s="13"/>
      <c r="AM140" s="13"/>
      <c r="AN140" s="13"/>
      <c r="AO140" s="13"/>
      <c r="AP140" s="13"/>
      <c r="AQ140" s="13"/>
      <c r="AR140" s="13"/>
      <c r="AS140" s="13"/>
      <c r="AT140" s="13"/>
    </row>
    <row r="141" spans="1:46">
      <c r="A141" s="8" t="s">
        <v>247</v>
      </c>
      <c r="B141" s="8" t="s">
        <v>47</v>
      </c>
      <c r="C141" s="8" t="s">
        <v>979</v>
      </c>
      <c r="D141" s="9" t="s">
        <v>1406</v>
      </c>
      <c r="E141" s="9" t="s">
        <v>2442</v>
      </c>
      <c r="F141" s="10" t="s">
        <v>2443</v>
      </c>
      <c r="G141" s="114" t="s">
        <v>2444</v>
      </c>
      <c r="H141" s="8" t="str">
        <f ca="1">IFERROR(__xludf.DUMMYFUNCTION("VLOOKUP(G141, IMPORTRANGE(""https://docs.google.com/spreadsheets/d/14deopnvwcrKtEGCKuYXdUHJbeLDZlkiSSWWT0g7x2pM/edit#gid=849066331"", ""LU List Science (Filter)!A:B""), 2, FALSE)"),"Methods of improving crop variety(hybridisation and GMCs )")</f>
        <v>Methods of improving crop variety(hybridisation and GMCs )</v>
      </c>
      <c r="I141" s="10" t="str">
        <f t="shared" si="0"/>
        <v>LU006296.001</v>
      </c>
      <c r="J141" s="10" t="str">
        <f ca="1">IFERROR(__xludf.DUMMYFUNCTION("VLOOKUP(I141, IMPORTRANGE(""https://docs.google.com/spreadsheets/d/1yDAaXNsi4Mr5FtRQL4tbmSdIzhx6_m4wkOD7IG-k_eo/edit#gid=1336395716"", ""Science!M:N""), 2, FALSE)"),"Define hybridisation and genetically modified crops (GMCs).")</f>
        <v>Define hybridisation and genetically modified crops (GMCs).</v>
      </c>
      <c r="K141" s="10" t="str">
        <f t="shared" si="1"/>
        <v>LU006296.002</v>
      </c>
      <c r="L141" s="10" t="str">
        <f ca="1">IFERROR(__xludf.DUMMYFUNCTION("VLOOKUP(K141, IMPORTRANGE(""https://docs.google.com/spreadsheets/d/1yDAaXNsi4Mr5FtRQL4tbmSdIzhx6_m4wkOD7IG-k_eo/edit#gid=1336395716"", ""Science!M:N""), 2, FALSE)"),"Describe the methods of hybridisation and genetic modification for improving crop variety.")</f>
        <v>Describe the methods of hybridisation and genetic modification for improving crop variety.</v>
      </c>
      <c r="M141" s="10" t="str">
        <f t="shared" si="2"/>
        <v>LU006296.003</v>
      </c>
      <c r="N141" s="10" t="str">
        <f ca="1">IFERROR(__xludf.DUMMYFUNCTION("VLOOKUP(M141, IMPORTRANGE(""https://docs.google.com/spreadsheets/d/1yDAaXNsi4Mr5FtRQL4tbmSdIzhx6_m4wkOD7IG-k_eo/edit#gid=1336395716"", ""Science!M:N""), 2, FALSE)"),"Illustrate the process of hybridisation in plants with a diagram.")</f>
        <v>Illustrate the process of hybridisation in plants with a diagram.</v>
      </c>
      <c r="O141" s="10" t="str">
        <f t="shared" si="3"/>
        <v>LU006296.004</v>
      </c>
      <c r="P141" s="10" t="str">
        <f ca="1">IFERROR(__xludf.DUMMYFUNCTION("VLOOKUP(O141, IMPORTRANGE(""https://docs.google.com/spreadsheets/d/1yDAaXNsi4Mr5FtRQL4tbmSdIzhx6_m4wkOD7IG-k_eo/edit#gid=1336395716"", ""Science!M:N""), 2, FALSE)"),"Analyze the advantages and disadvantages of hybridisation and GMCs in crop production.")</f>
        <v>Analyze the advantages and disadvantages of hybridisation and GMCs in crop production.</v>
      </c>
      <c r="Q141" s="10" t="str">
        <f t="shared" si="4"/>
        <v>LU006296.005</v>
      </c>
      <c r="R141" s="10" t="str">
        <f ca="1">IFERROR(__xludf.DUMMYFUNCTION("VLOOKUP(Q141, IMPORTRANGE(""https://docs.google.com/spreadsheets/d/1yDAaXNsi4Mr5FtRQL4tbmSdIzhx6_m4wkOD7IG-k_eo/edit#gid=1336395716"", ""Science!M:N""), 2, FALSE)"),"Evaluate the impact of hybridisation and GMCs on crop yield and quality.")</f>
        <v>Evaluate the impact of hybridisation and GMCs on crop yield and quality.</v>
      </c>
      <c r="S141" s="10" t="str">
        <f t="shared" si="5"/>
        <v>LU006296.006</v>
      </c>
      <c r="T141" s="10" t="str">
        <f ca="1">IFERROR(__xludf.DUMMYFUNCTION("VLOOKUP(S141, IMPORTRANGE(""https://docs.google.com/spreadsheets/d/1yDAaXNsi4Mr5FtRQL4tbmSdIzhx6_m4wkOD7IG-k_eo/edit#gid=1336395716"", ""Science!M:N""), 2, FALSE)"),"Design a breeding program that incorporates both hybridisation and genetic modification techniques.")</f>
        <v>Design a breeding program that incorporates both hybridisation and genetic modification techniques.</v>
      </c>
      <c r="U141" s="11" t="str">
        <f ca="1">IFERROR(__xludf.DUMMYFUNCTION("ArrayFormula(VLOOKUP(G141, IMPORTRANGE(""https://docs.google.com/spreadsheets/d/1p7R4vtkWt5VOBim4ltsDG9KTzSjrtKXsMtQGXPHyND0/edit#gid=795171502"", ""'Filter 30_05_2024'!A1:M2000""), {2, 3, 4, 5,6,7,8,9,10,11,12,13}, 0))"),"#N/A")</f>
        <v>#N/A</v>
      </c>
      <c r="V141" s="11" t="str">
        <f ca="1">IFERROR(__xludf.DUMMYFUNCTION("""COMPUTED_VALUE"""),"#N/A")</f>
        <v>#N/A</v>
      </c>
      <c r="W141" s="11" t="str">
        <f ca="1">IFERROR(__xludf.DUMMYFUNCTION("""COMPUTED_VALUE"""),"#N/A")</f>
        <v>#N/A</v>
      </c>
      <c r="X141" s="11" t="str">
        <f ca="1">IFERROR(__xludf.DUMMYFUNCTION("""COMPUTED_VALUE"""),"#N/A")</f>
        <v>#N/A</v>
      </c>
      <c r="Y141" s="11" t="str">
        <f ca="1">IFERROR(__xludf.DUMMYFUNCTION("""COMPUTED_VALUE"""),"#N/A")</f>
        <v>#N/A</v>
      </c>
      <c r="Z141" s="12" t="str">
        <f ca="1">IFERROR(__xludf.DUMMYFUNCTION("""COMPUTED_VALUE"""),"#N/A")</f>
        <v>#N/A</v>
      </c>
      <c r="AA141" s="12" t="str">
        <f ca="1">IFERROR(__xludf.DUMMYFUNCTION("""COMPUTED_VALUE"""),"#N/A")</f>
        <v>#N/A</v>
      </c>
      <c r="AB141" s="12" t="str">
        <f ca="1">IFERROR(__xludf.DUMMYFUNCTION("""COMPUTED_VALUE"""),"#N/A")</f>
        <v>#N/A</v>
      </c>
      <c r="AC141" s="12" t="str">
        <f ca="1">IFERROR(__xludf.DUMMYFUNCTION("""COMPUTED_VALUE"""),"#N/A")</f>
        <v>#N/A</v>
      </c>
      <c r="AD141" s="12" t="str">
        <f ca="1">IFERROR(__xludf.DUMMYFUNCTION("""COMPUTED_VALUE"""),"#N/A")</f>
        <v>#N/A</v>
      </c>
      <c r="AE141" s="12" t="str">
        <f ca="1">IFERROR(__xludf.DUMMYFUNCTION("""COMPUTED_VALUE"""),"#N/A")</f>
        <v>#N/A</v>
      </c>
      <c r="AF141" s="12" t="str">
        <f ca="1">IFERROR(__xludf.DUMMYFUNCTION("""COMPUTED_VALUE"""),"#N/A")</f>
        <v>#N/A</v>
      </c>
      <c r="AG141" s="13" t="str">
        <f ca="1">IFERROR(__xludf.DUMMYFUNCTION("ArrayFormula(VLOOKUP(G141, IMPORTRANGE(""https://docs.google.com/spreadsheets/d/1Co934fvtviyaRiMsrIlT05Jaq7iiYq07aLvRr35KA48/edit?gid=173865642#gid=173865642"", ""'G9 Sci_Pri_LU'!G2:V2000""), {3, 4, 5, 6, 7, 8, 9, 10, 11, 12, 13, 14, 15, 16}, 0))"),"LU005620")</f>
        <v>LU005620</v>
      </c>
      <c r="AH141" s="22" t="str">
        <f ca="1">IFERROR(__xludf.DUMMYFUNCTION("""COMPUTED_VALUE"""),"Methods of Crop Protection in agricultural practices")</f>
        <v>Methods of Crop Protection in agricultural practices</v>
      </c>
      <c r="AI141" s="13" t="str">
        <f ca="1">IFERROR(__xludf.DUMMYFUNCTION("""COMPUTED_VALUE"""),"LU005622")</f>
        <v>LU005622</v>
      </c>
      <c r="AJ141" s="13" t="str">
        <f ca="1">IFERROR(__xludf.DUMMYFUNCTION("""COMPUTED_VALUE"""),"Green Revolution in agricultural practices")</f>
        <v>Green Revolution in agricultural practices</v>
      </c>
      <c r="AK141" s="13"/>
      <c r="AL141" s="13"/>
      <c r="AM141" s="13"/>
      <c r="AN141" s="13"/>
      <c r="AO141" s="13"/>
      <c r="AP141" s="13"/>
      <c r="AQ141" s="13"/>
      <c r="AR141" s="13"/>
      <c r="AS141" s="13"/>
      <c r="AT141" s="13"/>
    </row>
    <row r="142" spans="1:46">
      <c r="A142" s="8" t="s">
        <v>247</v>
      </c>
      <c r="B142" s="8" t="s">
        <v>47</v>
      </c>
      <c r="C142" s="8" t="s">
        <v>979</v>
      </c>
      <c r="D142" s="9" t="s">
        <v>1406</v>
      </c>
      <c r="E142" s="9" t="s">
        <v>2442</v>
      </c>
      <c r="F142" s="10" t="s">
        <v>2443</v>
      </c>
      <c r="G142" s="114" t="s">
        <v>2445</v>
      </c>
      <c r="H142" s="8" t="str">
        <f ca="1">IFERROR(__xludf.DUMMYFUNCTION("VLOOKUP(G142, IMPORTRANGE(""https://docs.google.com/spreadsheets/d/14deopnvwcrKtEGCKuYXdUHJbeLDZlkiSSWWT0g7x2pM/edit#gid=849066331"", ""LU List Science (Filter)!A:B""), 2, FALSE)"),"Concept of variety of factors targeted for improving crop variety")</f>
        <v>Concept of variety of factors targeted for improving crop variety</v>
      </c>
      <c r="I142" s="10" t="str">
        <f t="shared" si="0"/>
        <v>LU006297.001</v>
      </c>
      <c r="J142" s="10" t="str">
        <f ca="1">IFERROR(__xludf.DUMMYFUNCTION("VLOOKUP(I142, IMPORTRANGE(""https://docs.google.com/spreadsheets/d/1yDAaXNsi4Mr5FtRQL4tbmSdIzhx6_m4wkOD7IG-k_eo/edit#gid=1336395716"", ""Science!M:N""), 2, FALSE)"),"List the factors targeted for improving crop variety.")</f>
        <v>List the factors targeted for improving crop variety.</v>
      </c>
      <c r="K142" s="10" t="str">
        <f t="shared" si="1"/>
        <v>LU006297.002</v>
      </c>
      <c r="L142" s="10" t="str">
        <f ca="1">IFERROR(__xludf.DUMMYFUNCTION("VLOOKUP(K142, IMPORTRANGE(""https://docs.google.com/spreadsheets/d/1yDAaXNsi4Mr5FtRQL4tbmSdIzhx6_m4wkOD7IG-k_eo/edit#gid=1336395716"", ""Science!M:N""), 2, FALSE)"),"Explain the importance of targeting different factors for crop variety improvement.")</f>
        <v>Explain the importance of targeting different factors for crop variety improvement.</v>
      </c>
      <c r="M142" s="10" t="str">
        <f t="shared" si="2"/>
        <v>LU006297.003</v>
      </c>
      <c r="N142" s="10" t="str">
        <f ca="1">IFERROR(__xludf.DUMMYFUNCTION("VLOOKUP(M142, IMPORTRANGE(""https://docs.google.com/spreadsheets/d/1yDAaXNsi4Mr5FtRQL4tbmSdIzhx6_m4wkOD7IG-k_eo/edit#gid=1336395716"", ""Science!M:N""), 2, FALSE)"),"Illustrate how targeting specific factors can improve crop variety with examples.")</f>
        <v>Illustrate how targeting specific factors can improve crop variety with examples.</v>
      </c>
      <c r="O142" s="10" t="str">
        <f t="shared" si="3"/>
        <v>LU006297.004</v>
      </c>
      <c r="P142" s="10" t="str">
        <f ca="1">IFERROR(__xludf.DUMMYFUNCTION("VLOOKUP(O142, IMPORTRANGE(""https://docs.google.com/spreadsheets/d/1yDAaXNsi4Mr5FtRQL4tbmSdIzhx6_m4wkOD7IG-k_eo/edit#gid=1336395716"", ""Science!M:N""), 2, FALSE)"),"Analyze the relationship between different factors and their impact on crop yield.")</f>
        <v>Analyze the relationship between different factors and their impact on crop yield.</v>
      </c>
      <c r="Q142" s="10" t="str">
        <f t="shared" si="4"/>
        <v>LU006297.005</v>
      </c>
      <c r="R142" s="10" t="str">
        <f ca="1">IFERROR(__xludf.DUMMYFUNCTION("VLOOKUP(Q142, IMPORTRANGE(""https://docs.google.com/spreadsheets/d/1yDAaXNsi4Mr5FtRQL4tbmSdIzhx6_m4wkOD7IG-k_eo/edit#gid=1336395716"", ""Science!M:N""), 2, FALSE)"),"Evaluate the effectiveness of various factors in achieving high crop yield.")</f>
        <v>Evaluate the effectiveness of various factors in achieving high crop yield.</v>
      </c>
      <c r="S142" s="10" t="str">
        <f t="shared" si="5"/>
        <v>LU006297.006</v>
      </c>
      <c r="T142" s="10" t="str">
        <f ca="1">IFERROR(__xludf.DUMMYFUNCTION("VLOOKUP(S142, IMPORTRANGE(""https://docs.google.com/spreadsheets/d/1yDAaXNsi4Mr5FtRQL4tbmSdIzhx6_m4wkOD7IG-k_eo/edit#gid=1336395716"", ""Science!M:N""), 2, FALSE)"),"Develop a comprehensive strategy that targets multiple factors for crop variety improvement.")</f>
        <v>Develop a comprehensive strategy that targets multiple factors for crop variety improvement.</v>
      </c>
      <c r="U142" s="11" t="str">
        <f ca="1">IFERROR(__xludf.DUMMYFUNCTION("ArrayFormula(VLOOKUP(G142, IMPORTRANGE(""https://docs.google.com/spreadsheets/d/1p7R4vtkWt5VOBim4ltsDG9KTzSjrtKXsMtQGXPHyND0/edit#gid=795171502"", ""'Filter 30_05_2024'!A1:M2000""), {2, 3, 4, 5,6,7,8,9,10,11,12,13}, 0))"),"#N/A")</f>
        <v>#N/A</v>
      </c>
      <c r="V142" s="11" t="str">
        <f ca="1">IFERROR(__xludf.DUMMYFUNCTION("""COMPUTED_VALUE"""),"#N/A")</f>
        <v>#N/A</v>
      </c>
      <c r="W142" s="11" t="str">
        <f ca="1">IFERROR(__xludf.DUMMYFUNCTION("""COMPUTED_VALUE"""),"#N/A")</f>
        <v>#N/A</v>
      </c>
      <c r="X142" s="11" t="str">
        <f ca="1">IFERROR(__xludf.DUMMYFUNCTION("""COMPUTED_VALUE"""),"#N/A")</f>
        <v>#N/A</v>
      </c>
      <c r="Y142" s="11" t="str">
        <f ca="1">IFERROR(__xludf.DUMMYFUNCTION("""COMPUTED_VALUE"""),"#N/A")</f>
        <v>#N/A</v>
      </c>
      <c r="Z142" s="12" t="str">
        <f ca="1">IFERROR(__xludf.DUMMYFUNCTION("""COMPUTED_VALUE"""),"#N/A")</f>
        <v>#N/A</v>
      </c>
      <c r="AA142" s="12" t="str">
        <f ca="1">IFERROR(__xludf.DUMMYFUNCTION("""COMPUTED_VALUE"""),"#N/A")</f>
        <v>#N/A</v>
      </c>
      <c r="AB142" s="12" t="str">
        <f ca="1">IFERROR(__xludf.DUMMYFUNCTION("""COMPUTED_VALUE"""),"#N/A")</f>
        <v>#N/A</v>
      </c>
      <c r="AC142" s="12" t="str">
        <f ca="1">IFERROR(__xludf.DUMMYFUNCTION("""COMPUTED_VALUE"""),"#N/A")</f>
        <v>#N/A</v>
      </c>
      <c r="AD142" s="12" t="str">
        <f ca="1">IFERROR(__xludf.DUMMYFUNCTION("""COMPUTED_VALUE"""),"#N/A")</f>
        <v>#N/A</v>
      </c>
      <c r="AE142" s="12" t="str">
        <f ca="1">IFERROR(__xludf.DUMMYFUNCTION("""COMPUTED_VALUE"""),"#N/A")</f>
        <v>#N/A</v>
      </c>
      <c r="AF142" s="12" t="str">
        <f ca="1">IFERROR(__xludf.DUMMYFUNCTION("""COMPUTED_VALUE"""),"#N/A")</f>
        <v>#N/A</v>
      </c>
      <c r="AG142" s="13" t="str">
        <f ca="1">IFERROR(__xludf.DUMMYFUNCTION("ArrayFormula(VLOOKUP(G142, IMPORTRANGE(""https://docs.google.com/spreadsheets/d/1Co934fvtviyaRiMsrIlT05Jaq7iiYq07aLvRr35KA48/edit?gid=173865642#gid=173865642"", ""'G9 Sci_Pri_LU'!G2:V2000""), {3, 4, 5, 6, 7, 8, 9, 10, 11, 12, 13, 14, 15, 16}, 0))"),"LU005620")</f>
        <v>LU005620</v>
      </c>
      <c r="AH142" s="22" t="str">
        <f ca="1">IFERROR(__xludf.DUMMYFUNCTION("""COMPUTED_VALUE"""),"Methods of Crop Protection in agricultural practices")</f>
        <v>Methods of Crop Protection in agricultural practices</v>
      </c>
      <c r="AI142" s="13" t="str">
        <f ca="1">IFERROR(__xludf.DUMMYFUNCTION("""COMPUTED_VALUE"""),"LU005622")</f>
        <v>LU005622</v>
      </c>
      <c r="AJ142" s="13" t="str">
        <f ca="1">IFERROR(__xludf.DUMMYFUNCTION("""COMPUTED_VALUE"""),"Green Revolution in agricultural practices")</f>
        <v>Green Revolution in agricultural practices</v>
      </c>
      <c r="AK142" s="13" t="str">
        <f ca="1">IFERROR(__xludf.DUMMYFUNCTION("""COMPUTED_VALUE"""),"LU006296")</f>
        <v>LU006296</v>
      </c>
      <c r="AL142" s="13" t="str">
        <f ca="1">IFERROR(__xludf.DUMMYFUNCTION("""COMPUTED_VALUE"""),"Methods of improving crop variety(hybridisation and GMCs )")</f>
        <v>Methods of improving crop variety(hybridisation and GMCs )</v>
      </c>
      <c r="AM142" s="13"/>
      <c r="AN142" s="13"/>
      <c r="AO142" s="13"/>
      <c r="AP142" s="13"/>
      <c r="AQ142" s="13"/>
      <c r="AR142" s="13"/>
      <c r="AS142" s="13"/>
      <c r="AT142" s="13"/>
    </row>
    <row r="143" spans="1:46">
      <c r="A143" s="8" t="s">
        <v>247</v>
      </c>
      <c r="B143" s="8" t="s">
        <v>47</v>
      </c>
      <c r="C143" s="8" t="s">
        <v>979</v>
      </c>
      <c r="D143" s="9" t="s">
        <v>1406</v>
      </c>
      <c r="E143" s="9" t="s">
        <v>2442</v>
      </c>
      <c r="F143" s="10" t="s">
        <v>2446</v>
      </c>
      <c r="G143" s="114" t="s">
        <v>2447</v>
      </c>
      <c r="H143" s="8" t="str">
        <f ca="1">IFERROR(__xludf.DUMMYFUNCTION("VLOOKUP(G143, IMPORTRANGE(""https://docs.google.com/spreadsheets/d/14deopnvwcrKtEGCKuYXdUHJbeLDZlkiSSWWT0g7x2pM/edit#gid=849066331"", ""LU List Science (Filter)!A:B""), 2, FALSE)"),"Nutrients supplied by air, water and soil to the plants")</f>
        <v>Nutrients supplied by air, water and soil to the plants</v>
      </c>
      <c r="I143" s="10" t="str">
        <f t="shared" si="0"/>
        <v>LU006298.001</v>
      </c>
      <c r="J143" s="10" t="str">
        <f ca="1">IFERROR(__xludf.DUMMYFUNCTION("VLOOKUP(I143, IMPORTRANGE(""https://docs.google.com/spreadsheets/d/1yDAaXNsi4Mr5FtRQL4tbmSdIzhx6_m4wkOD7IG-k_eo/edit#gid=1336395716"", ""Science!M:N""), 2, FALSE)"),"Identify the macronutrients and micronutrients supplied by air, water, and soil to plants.")</f>
        <v>Identify the macronutrients and micronutrients supplied by air, water, and soil to plants.</v>
      </c>
      <c r="K143" s="10" t="str">
        <f t="shared" si="1"/>
        <v>LU006298.002</v>
      </c>
      <c r="L143" s="10" t="str">
        <f ca="1">IFERROR(__xludf.DUMMYFUNCTION("VLOOKUP(K143, IMPORTRANGE(""https://docs.google.com/spreadsheets/d/1yDAaXNsi4Mr5FtRQL4tbmSdIzhx6_m4wkOD7IG-k_eo/edit#gid=1336395716"", ""Science!M:N""), 2, FALSE)"),"Explain the role of each nutrient in plant growth and development.")</f>
        <v>Explain the role of each nutrient in plant growth and development.</v>
      </c>
      <c r="M143" s="10" t="str">
        <f t="shared" si="2"/>
        <v>LU006298.003</v>
      </c>
      <c r="N143" s="10" t="str">
        <f ca="1">IFERROR(__xludf.DUMMYFUNCTION("VLOOKUP(M143, IMPORTRANGE(""https://docs.google.com/spreadsheets/d/1yDAaXNsi4Mr5FtRQL4tbmSdIzhx6_m4wkOD7IG-k_eo/edit#gid=1336395716"", ""Science!M:N""), 2, FALSE)"),"Illustrate the nutrient cycle in plants, showing the sources and roles of macronutrients and micronutrients.")</f>
        <v>Illustrate the nutrient cycle in plants, showing the sources and roles of macronutrients and micronutrients.</v>
      </c>
      <c r="O143" s="10" t="str">
        <f t="shared" si="3"/>
        <v>LU006298.004</v>
      </c>
      <c r="P143" s="10" t="str">
        <f ca="1">IFERROR(__xludf.DUMMYFUNCTION("VLOOKUP(O143, IMPORTRANGE(""https://docs.google.com/spreadsheets/d/1yDAaXNsi4Mr5FtRQL4tbmSdIzhx6_m4wkOD7IG-k_eo/edit#gid=1336395716"", ""Science!M:N""), 2, FALSE)"),"Analyze the effects of nutrient deficiency on plant health and crop yield.")</f>
        <v>Analyze the effects of nutrient deficiency on plant health and crop yield.</v>
      </c>
      <c r="Q143" s="10" t="str">
        <f t="shared" si="4"/>
        <v>LU006298.005</v>
      </c>
      <c r="R143" s="10" t="str">
        <f ca="1">IFERROR(__xludf.DUMMYFUNCTION("VLOOKUP(Q143, IMPORTRANGE(""https://docs.google.com/spreadsheets/d/1yDAaXNsi4Mr5FtRQL4tbmSdIzhx6_m4wkOD7IG-k_eo/edit#gid=1336395716"", ""Science!M:N""), 2, FALSE)"),"Evaluate the importance of balanced nutrient supply for optimal crop production.")</f>
        <v>Evaluate the importance of balanced nutrient supply for optimal crop production.</v>
      </c>
      <c r="S143" s="10" t="str">
        <f t="shared" si="5"/>
        <v>LU006298.006</v>
      </c>
      <c r="T143" s="10" t="str">
        <f ca="1">IFERROR(__xludf.DUMMYFUNCTION("VLOOKUP(S143, IMPORTRANGE(""https://docs.google.com/spreadsheets/d/1yDAaXNsi4Mr5FtRQL4tbmSdIzhx6_m4wkOD7IG-k_eo/edit#gid=1336395716"", ""Science!M:N""), 2, FALSE)"),"Create a nutrient management plan that ensures adequate supply of macronutrients and micronutrients for plants.")</f>
        <v>Create a nutrient management plan that ensures adequate supply of macronutrients and micronutrients for plants.</v>
      </c>
      <c r="U143" s="11" t="str">
        <f ca="1">IFERROR(__xludf.DUMMYFUNCTION("ArrayFormula(VLOOKUP(G143, IMPORTRANGE(""https://docs.google.com/spreadsheets/d/1p7R4vtkWt5VOBim4ltsDG9KTzSjrtKXsMtQGXPHyND0/edit#gid=795171502"", ""'Filter 30_05_2024'!A1:M2000""), {2, 3, 4, 5,6,7,8,9,10,11,12,13}, 0))"),"#N/A")</f>
        <v>#N/A</v>
      </c>
      <c r="V143" s="11" t="str">
        <f ca="1">IFERROR(__xludf.DUMMYFUNCTION("""COMPUTED_VALUE"""),"#N/A")</f>
        <v>#N/A</v>
      </c>
      <c r="W143" s="11" t="str">
        <f ca="1">IFERROR(__xludf.DUMMYFUNCTION("""COMPUTED_VALUE"""),"#N/A")</f>
        <v>#N/A</v>
      </c>
      <c r="X143" s="11" t="str">
        <f ca="1">IFERROR(__xludf.DUMMYFUNCTION("""COMPUTED_VALUE"""),"#N/A")</f>
        <v>#N/A</v>
      </c>
      <c r="Y143" s="11" t="str">
        <f ca="1">IFERROR(__xludf.DUMMYFUNCTION("""COMPUTED_VALUE"""),"#N/A")</f>
        <v>#N/A</v>
      </c>
      <c r="Z143" s="12" t="str">
        <f ca="1">IFERROR(__xludf.DUMMYFUNCTION("""COMPUTED_VALUE"""),"#N/A")</f>
        <v>#N/A</v>
      </c>
      <c r="AA143" s="12" t="str">
        <f ca="1">IFERROR(__xludf.DUMMYFUNCTION("""COMPUTED_VALUE"""),"#N/A")</f>
        <v>#N/A</v>
      </c>
      <c r="AB143" s="12" t="str">
        <f ca="1">IFERROR(__xludf.DUMMYFUNCTION("""COMPUTED_VALUE"""),"#N/A")</f>
        <v>#N/A</v>
      </c>
      <c r="AC143" s="12" t="str">
        <f ca="1">IFERROR(__xludf.DUMMYFUNCTION("""COMPUTED_VALUE"""),"#N/A")</f>
        <v>#N/A</v>
      </c>
      <c r="AD143" s="12" t="str">
        <f ca="1">IFERROR(__xludf.DUMMYFUNCTION("""COMPUTED_VALUE"""),"#N/A")</f>
        <v>#N/A</v>
      </c>
      <c r="AE143" s="12" t="str">
        <f ca="1">IFERROR(__xludf.DUMMYFUNCTION("""COMPUTED_VALUE"""),"#N/A")</f>
        <v>#N/A</v>
      </c>
      <c r="AF143" s="12" t="str">
        <f ca="1">IFERROR(__xludf.DUMMYFUNCTION("""COMPUTED_VALUE"""),"#N/A")</f>
        <v>#N/A</v>
      </c>
      <c r="AG143" s="13" t="str">
        <f ca="1">IFERROR(__xludf.DUMMYFUNCTION("ArrayFormula(VLOOKUP(G143, IMPORTRANGE(""https://docs.google.com/spreadsheets/d/1Co934fvtviyaRiMsrIlT05Jaq7iiYq07aLvRr35KA48/edit?gid=173865642#gid=173865642"", ""'G9 Sci_Pri_LU'!G2:V2000""), {3, 4, 5, 6, 7, 8, 9, 10, 11, 12, 13, 14, 15, 16}, 0))"),"")</f>
        <v/>
      </c>
      <c r="AH143" s="22"/>
      <c r="AI143" s="13"/>
      <c r="AJ143" s="13"/>
      <c r="AK143" s="13"/>
      <c r="AL143" s="13"/>
      <c r="AM143" s="13"/>
      <c r="AN143" s="13"/>
      <c r="AO143" s="13"/>
      <c r="AP143" s="13"/>
      <c r="AQ143" s="13"/>
      <c r="AR143" s="13"/>
      <c r="AS143" s="13"/>
      <c r="AT143" s="13"/>
    </row>
    <row r="144" spans="1:46">
      <c r="A144" s="8" t="s">
        <v>247</v>
      </c>
      <c r="B144" s="8" t="s">
        <v>47</v>
      </c>
      <c r="C144" s="8" t="s">
        <v>979</v>
      </c>
      <c r="D144" s="9" t="s">
        <v>1406</v>
      </c>
      <c r="E144" s="9" t="s">
        <v>2442</v>
      </c>
      <c r="F144" s="10" t="s">
        <v>2446</v>
      </c>
      <c r="G144" s="114" t="s">
        <v>2448</v>
      </c>
      <c r="H144" s="8" t="str">
        <f ca="1">IFERROR(__xludf.DUMMYFUNCTION("VLOOKUP(G144, IMPORTRANGE(""https://docs.google.com/spreadsheets/d/14deopnvwcrKtEGCKuYXdUHJbeLDZlkiSSWWT0g7x2pM/edit#gid=849066331"", ""LU List Science (Filter)!A:B""), 2, FALSE)"),"Nutrient managment strategy for crops through fertilisers and manure ")</f>
        <v xml:space="preserve">Nutrient managment strategy for crops through fertilisers and manure </v>
      </c>
      <c r="I144" s="10" t="str">
        <f t="shared" si="0"/>
        <v>LU006299.001</v>
      </c>
      <c r="J144" s="10" t="str">
        <f ca="1">IFERROR(__xludf.DUMMYFUNCTION("VLOOKUP(I144, IMPORTRANGE(""https://docs.google.com/spreadsheets/d/1yDAaXNsi4Mr5FtRQL4tbmSdIzhx6_m4wkOD7IG-k_eo/edit#gid=1336395716"", ""Science!M:N""), 2, FALSE)"),"Define manure and its types.")</f>
        <v>Define manure and its types.</v>
      </c>
      <c r="K144" s="10" t="str">
        <f t="shared" si="1"/>
        <v>LU006299.002</v>
      </c>
      <c r="L144" s="10" t="str">
        <f ca="1">IFERROR(__xludf.DUMMYFUNCTION("VLOOKUP(K144, IMPORTRANGE(""https://docs.google.com/spreadsheets/d/1yDAaXNsi4Mr5FtRQL4tbmSdIzhx6_m4wkOD7IG-k_eo/edit#gid=1336395716"", ""Science!M:N""), 2, FALSE)"),"Explain how manure contributes to nutrient management in crop production.")</f>
        <v>Explain how manure contributes to nutrient management in crop production.</v>
      </c>
      <c r="M144" s="10" t="str">
        <f t="shared" si="2"/>
        <v>LU006299.003</v>
      </c>
      <c r="N144" s="10" t="str">
        <f ca="1">IFERROR(__xludf.DUMMYFUNCTION("VLOOKUP(M144, IMPORTRANGE(""https://docs.google.com/spreadsheets/d/1yDAaXNsi4Mr5FtRQL4tbmSdIzhx6_m4wkOD7IG-k_eo/edit#gid=1336395716"", ""Science!M:N""), 2, FALSE)"),"Demonstrate the process of composting to produce manure.")</f>
        <v>Demonstrate the process of composting to produce manure.</v>
      </c>
      <c r="O144" s="10" t="str">
        <f t="shared" si="3"/>
        <v>LU006299.004</v>
      </c>
      <c r="P144" s="10" t="str">
        <f ca="1">IFERROR(__xludf.DUMMYFUNCTION("VLOOKUP(O144, IMPORTRANGE(""https://docs.google.com/spreadsheets/d/1yDAaXNsi4Mr5FtRQL4tbmSdIzhx6_m4wkOD7IG-k_eo/edit#gid=1336395716"", ""Science!M:N""), 2, FALSE)"),"Analyze the benefits and limitations of using manure as a nutrient management strategy.")</f>
        <v>Analyze the benefits and limitations of using manure as a nutrient management strategy.</v>
      </c>
      <c r="Q144" s="10" t="str">
        <f t="shared" si="4"/>
        <v>LU006299.005</v>
      </c>
      <c r="R144" s="10" t="str">
        <f ca="1">IFERROR(__xludf.DUMMYFUNCTION("VLOOKUP(Q144, IMPORTRANGE(""https://docs.google.com/spreadsheets/d/1yDAaXNsi4Mr5FtRQL4tbmSdIzhx6_m4wkOD7IG-k_eo/edit#gid=1336395716"", ""Science!M:N""), 2, FALSE)"),"Evaluate the impact of manure application on soil fertility and crop yield.")</f>
        <v>Evaluate the impact of manure application on soil fertility and crop yield.</v>
      </c>
      <c r="S144" s="10" t="str">
        <f t="shared" si="5"/>
        <v>LU006299.006</v>
      </c>
      <c r="T144" s="10" t="str">
        <f ca="1">IFERROR(__xludf.DUMMYFUNCTION("VLOOKUP(S144, IMPORTRANGE(""https://docs.google.com/spreadsheets/d/1yDAaXNsi4Mr5FtRQL4tbmSdIzhx6_m4wkOD7IG-k_eo/edit#gid=1336395716"", ""Science!M:N""), 2, FALSE)"),"Develop a manure management plan for a sustainable farming system.")</f>
        <v>Develop a manure management plan for a sustainable farming system.</v>
      </c>
      <c r="U144" s="11" t="str">
        <f ca="1">IFERROR(__xludf.DUMMYFUNCTION("ArrayFormula(VLOOKUP(G144, IMPORTRANGE(""https://docs.google.com/spreadsheets/d/1p7R4vtkWt5VOBim4ltsDG9KTzSjrtKXsMtQGXPHyND0/edit#gid=795171502"", ""'Filter 30_05_2024'!A1:M2000""), {2, 3, 4, 5,6,7,8,9,10,11,12,13}, 0))"),"#N/A")</f>
        <v>#N/A</v>
      </c>
      <c r="V144" s="11" t="str">
        <f ca="1">IFERROR(__xludf.DUMMYFUNCTION("""COMPUTED_VALUE"""),"#N/A")</f>
        <v>#N/A</v>
      </c>
      <c r="W144" s="11" t="str">
        <f ca="1">IFERROR(__xludf.DUMMYFUNCTION("""COMPUTED_VALUE"""),"#N/A")</f>
        <v>#N/A</v>
      </c>
      <c r="X144" s="11" t="str">
        <f ca="1">IFERROR(__xludf.DUMMYFUNCTION("""COMPUTED_VALUE"""),"#N/A")</f>
        <v>#N/A</v>
      </c>
      <c r="Y144" s="11" t="str">
        <f ca="1">IFERROR(__xludf.DUMMYFUNCTION("""COMPUTED_VALUE"""),"#N/A")</f>
        <v>#N/A</v>
      </c>
      <c r="Z144" s="12" t="str">
        <f ca="1">IFERROR(__xludf.DUMMYFUNCTION("""COMPUTED_VALUE"""),"#N/A")</f>
        <v>#N/A</v>
      </c>
      <c r="AA144" s="12" t="str">
        <f ca="1">IFERROR(__xludf.DUMMYFUNCTION("""COMPUTED_VALUE"""),"#N/A")</f>
        <v>#N/A</v>
      </c>
      <c r="AB144" s="12" t="str">
        <f ca="1">IFERROR(__xludf.DUMMYFUNCTION("""COMPUTED_VALUE"""),"#N/A")</f>
        <v>#N/A</v>
      </c>
      <c r="AC144" s="12" t="str">
        <f ca="1">IFERROR(__xludf.DUMMYFUNCTION("""COMPUTED_VALUE"""),"#N/A")</f>
        <v>#N/A</v>
      </c>
      <c r="AD144" s="12" t="str">
        <f ca="1">IFERROR(__xludf.DUMMYFUNCTION("""COMPUTED_VALUE"""),"#N/A")</f>
        <v>#N/A</v>
      </c>
      <c r="AE144" s="12" t="str">
        <f ca="1">IFERROR(__xludf.DUMMYFUNCTION("""COMPUTED_VALUE"""),"#N/A")</f>
        <v>#N/A</v>
      </c>
      <c r="AF144" s="12" t="str">
        <f ca="1">IFERROR(__xludf.DUMMYFUNCTION("""COMPUTED_VALUE"""),"#N/A")</f>
        <v>#N/A</v>
      </c>
      <c r="AG144" s="13" t="str">
        <f ca="1">IFERROR(__xludf.DUMMYFUNCTION("ArrayFormula(VLOOKUP(G144, IMPORTRANGE(""https://docs.google.com/spreadsheets/d/1Co934fvtviyaRiMsrIlT05Jaq7iiYq07aLvRr35KA48/edit?gid=173865642#gid=173865642"", ""'G9 Sci_Pri_LU'!G2:V2000""), {3, 4, 5, 6, 7, 8, 9, 10, 11, 12, 13, 14, 15, 16}, 0))"),"LU005618")</f>
        <v>LU005618</v>
      </c>
      <c r="AH144" s="22" t="str">
        <f ca="1">IFERROR(__xludf.DUMMYFUNCTION("""COMPUTED_VALUE"""),"Different Ways of Soil Replenishment for Crop Production")</f>
        <v>Different Ways of Soil Replenishment for Crop Production</v>
      </c>
      <c r="AI144" s="13" t="str">
        <f ca="1">IFERROR(__xludf.DUMMYFUNCTION("""COMPUTED_VALUE"""),"LU005649")</f>
        <v>LU005649</v>
      </c>
      <c r="AJ144" s="13" t="str">
        <f ca="1">IFERROR(__xludf.DUMMYFUNCTION("""COMPUTED_VALUE"""),"Role of Microbes in Soil Health")</f>
        <v>Role of Microbes in Soil Health</v>
      </c>
      <c r="AK144" s="13" t="str">
        <f ca="1">IFERROR(__xludf.DUMMYFUNCTION("""COMPUTED_VALUE"""),"LU005260")</f>
        <v>LU005260</v>
      </c>
      <c r="AL144" s="13" t="str">
        <f ca="1">IFERROR(__xludf.DUMMYFUNCTION("""COMPUTED_VALUE"""),"Definition of biodegradable and non-biodegradable substances")</f>
        <v>Definition of biodegradable and non-biodegradable substances</v>
      </c>
      <c r="AM144" s="13"/>
      <c r="AN144" s="13"/>
      <c r="AO144" s="13"/>
      <c r="AP144" s="13"/>
      <c r="AQ144" s="13"/>
      <c r="AR144" s="13"/>
      <c r="AS144" s="13"/>
      <c r="AT144" s="13"/>
    </row>
    <row r="145" spans="1:46">
      <c r="A145" s="8" t="s">
        <v>247</v>
      </c>
      <c r="B145" s="8" t="s">
        <v>47</v>
      </c>
      <c r="C145" s="8" t="s">
        <v>979</v>
      </c>
      <c r="D145" s="9" t="s">
        <v>1406</v>
      </c>
      <c r="E145" s="9" t="s">
        <v>2442</v>
      </c>
      <c r="F145" s="10" t="s">
        <v>2449</v>
      </c>
      <c r="G145" s="114" t="s">
        <v>2450</v>
      </c>
      <c r="H145" s="8" t="str">
        <f ca="1">IFERROR(__xludf.DUMMYFUNCTION("VLOOKUP(G145, IMPORTRANGE(""https://docs.google.com/spreadsheets/d/14deopnvwcrKtEGCKuYXdUHJbeLDZlkiSSWWT0g7x2pM/edit#gid=849066331"", ""LU List Science (Filter)!A:B""), 2, FALSE)"),"Concept of cropping patterns and organic farming ")</f>
        <v xml:space="preserve">Concept of cropping patterns and organic farming </v>
      </c>
      <c r="I145" s="10" t="str">
        <f t="shared" si="0"/>
        <v>LU006301.001</v>
      </c>
      <c r="J145" s="10" t="str">
        <f ca="1">IFERROR(__xludf.DUMMYFUNCTION("VLOOKUP(I145, IMPORTRANGE(""https://docs.google.com/spreadsheets/d/1yDAaXNsi4Mr5FtRQL4tbmSdIzhx6_m4wkOD7IG-k_eo/edit#gid=1336395716"", ""Science!M:N""), 2, FALSE)"),"Define organic farming.")</f>
        <v>Define organic farming.</v>
      </c>
      <c r="K145" s="10" t="str">
        <f t="shared" si="1"/>
        <v>LU006301.002</v>
      </c>
      <c r="L145" s="10" t="str">
        <f ca="1">IFERROR(__xludf.DUMMYFUNCTION("VLOOKUP(K145, IMPORTRANGE(""https://docs.google.com/spreadsheets/d/1yDAaXNsi4Mr5FtRQL4tbmSdIzhx6_m4wkOD7IG-k_eo/edit#gid=1336395716"", ""Science!M:N""), 2, FALSE)"),"Explain the principles and practices of organic farming.")</f>
        <v>Explain the principles and practices of organic farming.</v>
      </c>
      <c r="M145" s="10" t="str">
        <f t="shared" si="2"/>
        <v>LU006301.003</v>
      </c>
      <c r="N145" s="10" t="str">
        <f ca="1">IFERROR(__xludf.DUMMYFUNCTION("VLOOKUP(M145, IMPORTRANGE(""https://docs.google.com/spreadsheets/d/1yDAaXNsi4Mr5FtRQL4tbmSdIzhx6_m4wkOD7IG-k_eo/edit#gid=1336395716"", ""Science!M:N""), 2, FALSE)"),"Illustrate the differences between organic farming and conventional farming.")</f>
        <v>Illustrate the differences between organic farming and conventional farming.</v>
      </c>
      <c r="O145" s="10" t="str">
        <f t="shared" si="3"/>
        <v>LU006301.004</v>
      </c>
      <c r="P145" s="10" t="str">
        <f ca="1">IFERROR(__xludf.DUMMYFUNCTION("VLOOKUP(O145, IMPORTRANGE(""https://docs.google.com/spreadsheets/d/1yDAaXNsi4Mr5FtRQL4tbmSdIzhx6_m4wkOD7IG-k_eo/edit#gid=1336395716"", ""Science!M:N""), 2, FALSE)"),"Analyze the benefits and challenges of organic farming.")</f>
        <v>Analyze the benefits and challenges of organic farming.</v>
      </c>
      <c r="Q145" s="10" t="str">
        <f t="shared" si="4"/>
        <v>LU006301.005</v>
      </c>
      <c r="R145" s="10" t="str">
        <f ca="1">IFERROR(__xludf.DUMMYFUNCTION("VLOOKUP(Q145, IMPORTRANGE(""https://docs.google.com/spreadsheets/d/1yDAaXNsi4Mr5FtRQL4tbmSdIzhx6_m4wkOD7IG-k_eo/edit#gid=1336395716"", ""Science!M:N""), 2, FALSE)"),"Evaluate the impact of organic farming on soil health and crop yield.")</f>
        <v>Evaluate the impact of organic farming on soil health and crop yield.</v>
      </c>
      <c r="S145" s="10" t="str">
        <f t="shared" si="5"/>
        <v>LU006301.006</v>
      </c>
      <c r="T145" s="10" t="str">
        <f ca="1">IFERROR(__xludf.DUMMYFUNCTION("VLOOKUP(S145, IMPORTRANGE(""https://docs.google.com/spreadsheets/d/1yDAaXNsi4Mr5FtRQL4tbmSdIzhx6_m4wkOD7IG-k_eo/edit#gid=1336395716"", ""Science!M:N""), 2, FALSE)"),"Develop an organic farming plan for a specific crop, including practices and inputs.")</f>
        <v>Develop an organic farming plan for a specific crop, including practices and inputs.</v>
      </c>
      <c r="U145" s="11" t="str">
        <f ca="1">IFERROR(__xludf.DUMMYFUNCTION("ArrayFormula(VLOOKUP(G145, IMPORTRANGE(""https://docs.google.com/spreadsheets/d/1p7R4vtkWt5VOBim4ltsDG9KTzSjrtKXsMtQGXPHyND0/edit#gid=795171502"", ""'Filter 30_05_2024'!A1:M2000""), {2, 3, 4, 5,6,7,8,9,10,11,12,13}, 0))"),"#N/A")</f>
        <v>#N/A</v>
      </c>
      <c r="V145" s="11" t="str">
        <f ca="1">IFERROR(__xludf.DUMMYFUNCTION("""COMPUTED_VALUE"""),"#N/A")</f>
        <v>#N/A</v>
      </c>
      <c r="W145" s="11" t="str">
        <f ca="1">IFERROR(__xludf.DUMMYFUNCTION("""COMPUTED_VALUE"""),"#N/A")</f>
        <v>#N/A</v>
      </c>
      <c r="X145" s="11" t="str">
        <f ca="1">IFERROR(__xludf.DUMMYFUNCTION("""COMPUTED_VALUE"""),"#N/A")</f>
        <v>#N/A</v>
      </c>
      <c r="Y145" s="11" t="str">
        <f ca="1">IFERROR(__xludf.DUMMYFUNCTION("""COMPUTED_VALUE"""),"#N/A")</f>
        <v>#N/A</v>
      </c>
      <c r="Z145" s="12" t="str">
        <f ca="1">IFERROR(__xludf.DUMMYFUNCTION("""COMPUTED_VALUE"""),"#N/A")</f>
        <v>#N/A</v>
      </c>
      <c r="AA145" s="12" t="str">
        <f ca="1">IFERROR(__xludf.DUMMYFUNCTION("""COMPUTED_VALUE"""),"#N/A")</f>
        <v>#N/A</v>
      </c>
      <c r="AB145" s="12" t="str">
        <f ca="1">IFERROR(__xludf.DUMMYFUNCTION("""COMPUTED_VALUE"""),"#N/A")</f>
        <v>#N/A</v>
      </c>
      <c r="AC145" s="12" t="str">
        <f ca="1">IFERROR(__xludf.DUMMYFUNCTION("""COMPUTED_VALUE"""),"#N/A")</f>
        <v>#N/A</v>
      </c>
      <c r="AD145" s="12" t="str">
        <f ca="1">IFERROR(__xludf.DUMMYFUNCTION("""COMPUTED_VALUE"""),"#N/A")</f>
        <v>#N/A</v>
      </c>
      <c r="AE145" s="12" t="str">
        <f ca="1">IFERROR(__xludf.DUMMYFUNCTION("""COMPUTED_VALUE"""),"#N/A")</f>
        <v>#N/A</v>
      </c>
      <c r="AF145" s="12" t="str">
        <f ca="1">IFERROR(__xludf.DUMMYFUNCTION("""COMPUTED_VALUE"""),"#N/A")</f>
        <v>#N/A</v>
      </c>
      <c r="AG145" s="13" t="str">
        <f ca="1">IFERROR(__xludf.DUMMYFUNCTION("ArrayFormula(VLOOKUP(G145, IMPORTRANGE(""https://docs.google.com/spreadsheets/d/1Co934fvtviyaRiMsrIlT05Jaq7iiYq07aLvRr35KA48/edit?gid=173865642#gid=173865642"", ""'G9 Sci_Pri_LU'!G2:V2000""), {3, 4, 5, 6, 7, 8, 9, 10, 11, 12, 13, 14, 15, 16}, 0))"),"LU006299")</f>
        <v>LU006299</v>
      </c>
      <c r="AH145" s="22" t="str">
        <f ca="1">IFERROR(__xludf.DUMMYFUNCTION("""COMPUTED_VALUE"""),"Nutrient managment strategy for crops through fertilisers and manure ")</f>
        <v xml:space="preserve">Nutrient managment strategy for crops through fertilisers and manure </v>
      </c>
      <c r="AI145" s="13" t="str">
        <f ca="1">IFERROR(__xludf.DUMMYFUNCTION("""COMPUTED_VALUE"""),"LU005058")</f>
        <v>LU005058</v>
      </c>
      <c r="AJ145" s="13" t="str">
        <f ca="1">IFERROR(__xludf.DUMMYFUNCTION("""COMPUTED_VALUE"""),"Benefits of Traditional Farming Methods")</f>
        <v>Benefits of Traditional Farming Methods</v>
      </c>
      <c r="AK145" s="13"/>
      <c r="AL145" s="13"/>
      <c r="AM145" s="13"/>
      <c r="AN145" s="13"/>
      <c r="AO145" s="13"/>
      <c r="AP145" s="13"/>
      <c r="AQ145" s="13"/>
      <c r="AR145" s="13"/>
      <c r="AS145" s="13"/>
      <c r="AT145" s="13"/>
    </row>
    <row r="146" spans="1:46">
      <c r="A146" s="8" t="s">
        <v>247</v>
      </c>
      <c r="B146" s="8" t="s">
        <v>47</v>
      </c>
      <c r="C146" s="8" t="s">
        <v>979</v>
      </c>
      <c r="D146" s="9" t="s">
        <v>1406</v>
      </c>
      <c r="E146" s="9" t="s">
        <v>2442</v>
      </c>
      <c r="F146" s="10" t="s">
        <v>2451</v>
      </c>
      <c r="G146" s="114" t="s">
        <v>2452</v>
      </c>
      <c r="H146" s="8" t="str">
        <f ca="1">IFERROR(__xludf.DUMMYFUNCTION("VLOOKUP(G146, IMPORTRANGE(""https://docs.google.com/spreadsheets/d/14deopnvwcrKtEGCKuYXdUHJbeLDZlkiSSWWT0g7x2pM/edit#gid=849066331"", ""LU List Science (Filter)!A:B""), 2, FALSE)"),"Variety of Irrigation practices in India")</f>
        <v>Variety of Irrigation practices in India</v>
      </c>
      <c r="I146" s="10" t="str">
        <f t="shared" si="0"/>
        <v>LU006302.001</v>
      </c>
      <c r="J146" s="10" t="str">
        <f ca="1">IFERROR(__xludf.DUMMYFUNCTION("VLOOKUP(I146, IMPORTRANGE(""https://docs.google.com/spreadsheets/d/1yDAaXNsi4Mr5FtRQL4tbmSdIzhx6_m4wkOD7IG-k_eo/edit#gid=1336395716"", ""Science!M:N""), 2, FALSE)"),"List the different types of irrigation practices used in India.")</f>
        <v>List the different types of irrigation practices used in India.</v>
      </c>
      <c r="K146" s="10" t="str">
        <f t="shared" si="1"/>
        <v>LU006302.002</v>
      </c>
      <c r="L146" s="10" t="str">
        <f ca="1">IFERROR(__xludf.DUMMYFUNCTION("VLOOKUP(K146, IMPORTRANGE(""https://docs.google.com/spreadsheets/d/1yDAaXNsi4Mr5FtRQL4tbmSdIzhx6_m4wkOD7IG-k_eo/edit#gid=1336395716"", ""Science!M:N""), 2, FALSE)"),"Explain the advantages and disadvantages of various irrigation practices.")</f>
        <v>Explain the advantages and disadvantages of various irrigation practices.</v>
      </c>
      <c r="M146" s="10" t="str">
        <f t="shared" si="2"/>
        <v>LU006302.003</v>
      </c>
      <c r="N146" s="10" t="str">
        <f ca="1">IFERROR(__xludf.DUMMYFUNCTION("VLOOKUP(M146, IMPORTRANGE(""https://docs.google.com/spreadsheets/d/1yDAaXNsi4Mr5FtRQL4tbmSdIzhx6_m4wkOD7IG-k_eo/edit#gid=1336395716"", ""Science!M:N""), 2, FALSE)"),"Illustrate the implementation of a specific irrigation practice in a given region.")</f>
        <v>Illustrate the implementation of a specific irrigation practice in a given region.</v>
      </c>
      <c r="O146" s="10" t="str">
        <f t="shared" si="3"/>
        <v>LU006302.004</v>
      </c>
      <c r="P146" s="10" t="str">
        <f ca="1">IFERROR(__xludf.DUMMYFUNCTION("VLOOKUP(O146, IMPORTRANGE(""https://docs.google.com/spreadsheets/d/1yDAaXNsi4Mr5FtRQL4tbmSdIzhx6_m4wkOD7IG-k_eo/edit#gid=1336395716"", ""Science!M:N""), 2, FALSE)"),"Analyze the factors influencing the choice of irrigation practices in different regions of India.")</f>
        <v>Analyze the factors influencing the choice of irrigation practices in different regions of India.</v>
      </c>
      <c r="Q146" s="10" t="str">
        <f t="shared" si="4"/>
        <v>LU006302.005</v>
      </c>
      <c r="R146" s="10" t="str">
        <f ca="1">IFERROR(__xludf.DUMMYFUNCTION("VLOOKUP(Q146, IMPORTRANGE(""https://docs.google.com/spreadsheets/d/1yDAaXNsi4Mr5FtRQL4tbmSdIzhx6_m4wkOD7IG-k_eo/edit#gid=1336395716"", ""Science!M:N""), 2, FALSE)"),"Evaluate the effectiveness of modern irrigation techniques in improving water use efficiency.")</f>
        <v>Evaluate the effectiveness of modern irrigation techniques in improving water use efficiency.</v>
      </c>
      <c r="S146" s="10" t="str">
        <f t="shared" si="5"/>
        <v>LU006302.006</v>
      </c>
      <c r="T146" s="10" t="str">
        <f ca="1">IFERROR(__xludf.DUMMYFUNCTION("VLOOKUP(S146, IMPORTRANGE(""https://docs.google.com/spreadsheets/d/1yDAaXNsi4Mr5FtRQL4tbmSdIzhx6_m4wkOD7IG-k_eo/edit#gid=1336395716"", ""Science!M:N""), 2, FALSE)"),"Design an irrigation plan for a farm that maximizes water use efficiency and crop yield.")</f>
        <v>Design an irrigation plan for a farm that maximizes water use efficiency and crop yield.</v>
      </c>
      <c r="U146" s="11" t="str">
        <f ca="1">IFERROR(__xludf.DUMMYFUNCTION("ArrayFormula(VLOOKUP(G146, IMPORTRANGE(""https://docs.google.com/spreadsheets/d/1p7R4vtkWt5VOBim4ltsDG9KTzSjrtKXsMtQGXPHyND0/edit#gid=795171502"", ""'Filter 30_05_2024'!A1:M2000""), {2, 3, 4, 5,6,7,8,9,10,11,12,13}, 0))"),"#N/A")</f>
        <v>#N/A</v>
      </c>
      <c r="V146" s="11" t="str">
        <f ca="1">IFERROR(__xludf.DUMMYFUNCTION("""COMPUTED_VALUE"""),"#N/A")</f>
        <v>#N/A</v>
      </c>
      <c r="W146" s="11" t="str">
        <f ca="1">IFERROR(__xludf.DUMMYFUNCTION("""COMPUTED_VALUE"""),"#N/A")</f>
        <v>#N/A</v>
      </c>
      <c r="X146" s="11" t="str">
        <f ca="1">IFERROR(__xludf.DUMMYFUNCTION("""COMPUTED_VALUE"""),"#N/A")</f>
        <v>#N/A</v>
      </c>
      <c r="Y146" s="11" t="str">
        <f ca="1">IFERROR(__xludf.DUMMYFUNCTION("""COMPUTED_VALUE"""),"#N/A")</f>
        <v>#N/A</v>
      </c>
      <c r="Z146" s="12" t="str">
        <f ca="1">IFERROR(__xludf.DUMMYFUNCTION("""COMPUTED_VALUE"""),"#N/A")</f>
        <v>#N/A</v>
      </c>
      <c r="AA146" s="12" t="str">
        <f ca="1">IFERROR(__xludf.DUMMYFUNCTION("""COMPUTED_VALUE"""),"#N/A")</f>
        <v>#N/A</v>
      </c>
      <c r="AB146" s="12" t="str">
        <f ca="1">IFERROR(__xludf.DUMMYFUNCTION("""COMPUTED_VALUE"""),"#N/A")</f>
        <v>#N/A</v>
      </c>
      <c r="AC146" s="12" t="str">
        <f ca="1">IFERROR(__xludf.DUMMYFUNCTION("""COMPUTED_VALUE"""),"#N/A")</f>
        <v>#N/A</v>
      </c>
      <c r="AD146" s="12" t="str">
        <f ca="1">IFERROR(__xludf.DUMMYFUNCTION("""COMPUTED_VALUE"""),"#N/A")</f>
        <v>#N/A</v>
      </c>
      <c r="AE146" s="12" t="str">
        <f ca="1">IFERROR(__xludf.DUMMYFUNCTION("""COMPUTED_VALUE"""),"#N/A")</f>
        <v>#N/A</v>
      </c>
      <c r="AF146" s="12" t="str">
        <f ca="1">IFERROR(__xludf.DUMMYFUNCTION("""COMPUTED_VALUE"""),"#N/A")</f>
        <v>#N/A</v>
      </c>
      <c r="AG146" s="13" t="str">
        <f ca="1">IFERROR(__xludf.DUMMYFUNCTION("ArrayFormula(VLOOKUP(G146, IMPORTRANGE(""https://docs.google.com/spreadsheets/d/1Co934fvtviyaRiMsrIlT05Jaq7iiYq07aLvRr35KA48/edit?gid=173865642#gid=173865642"", ""'G9 Sci_Pri_LU'!G2:V2000""), {3, 4, 5, 6, 7, 8, 9, 10, 11, 12, 13, 14, 15, 16}, 0))"),"LU005619")</f>
        <v>LU005619</v>
      </c>
      <c r="AH146" s="22" t="str">
        <f ca="1">IFERROR(__xludf.DUMMYFUNCTION("""COMPUTED_VALUE"""),"Irrigation for crop production")</f>
        <v>Irrigation for crop production</v>
      </c>
      <c r="AI146" s="13" t="str">
        <f ca="1">IFERROR(__xludf.DUMMYFUNCTION("""COMPUTED_VALUE"""),"LU005779")</f>
        <v>LU005779</v>
      </c>
      <c r="AJ146" s="13" t="str">
        <f ca="1">IFERROR(__xludf.DUMMYFUNCTION("""COMPUTED_VALUE"""),"Natural Sources of Water")</f>
        <v>Natural Sources of Water</v>
      </c>
      <c r="AK146" s="13"/>
      <c r="AL146" s="13"/>
      <c r="AM146" s="13"/>
      <c r="AN146" s="13"/>
      <c r="AO146" s="13"/>
      <c r="AP146" s="13"/>
      <c r="AQ146" s="13"/>
      <c r="AR146" s="13"/>
      <c r="AS146" s="13"/>
      <c r="AT146" s="13"/>
    </row>
    <row r="147" spans="1:46">
      <c r="A147" s="8" t="s">
        <v>247</v>
      </c>
      <c r="B147" s="8" t="s">
        <v>47</v>
      </c>
      <c r="C147" s="8" t="s">
        <v>979</v>
      </c>
      <c r="D147" s="9" t="s">
        <v>1406</v>
      </c>
      <c r="E147" s="9" t="s">
        <v>2442</v>
      </c>
      <c r="F147" s="10" t="s">
        <v>2453</v>
      </c>
      <c r="G147" s="114" t="s">
        <v>2454</v>
      </c>
      <c r="H147" s="8" t="str">
        <f ca="1">IFERROR(__xludf.DUMMYFUNCTION("VLOOKUP(G147, IMPORTRANGE(""https://docs.google.com/spreadsheets/d/14deopnvwcrKtEGCKuYXdUHJbeLDZlkiSSWWT0g7x2pM/edit#gid=849066331"", ""LU List Science (Filter)!A:B""), 2, FALSE)"),"Weed and pests management strategy in crop production")</f>
        <v>Weed and pests management strategy in crop production</v>
      </c>
      <c r="I147" s="10" t="str">
        <f t="shared" si="0"/>
        <v>LU006304.001</v>
      </c>
      <c r="J147" s="10" t="str">
        <f ca="1">IFERROR(__xludf.DUMMYFUNCTION("VLOOKUP(I147, IMPORTRANGE(""https://docs.google.com/spreadsheets/d/1yDAaXNsi4Mr5FtRQL4tbmSdIzhx6_m4wkOD7IG-k_eo/edit#gid=1336395716"", ""Science!M:N""), 2, FALSE)"),"Define weeds and weed management.")</f>
        <v>Define weeds and weed management.</v>
      </c>
      <c r="K147" s="10" t="str">
        <f t="shared" si="1"/>
        <v>LU006304.002</v>
      </c>
      <c r="L147" s="10" t="str">
        <f ca="1">IFERROR(__xludf.DUMMYFUNCTION("VLOOKUP(K147, IMPORTRANGE(""https://docs.google.com/spreadsheets/d/1yDAaXNsi4Mr5FtRQL4tbmSdIzhx6_m4wkOD7IG-k_eo/edit#gid=1336395716"", ""Science!M:N""), 2, FALSE)"),"Explain the importance of weed management in crop production.")</f>
        <v>Explain the importance of weed management in crop production.</v>
      </c>
      <c r="M147" s="10" t="str">
        <f t="shared" si="2"/>
        <v>LU006304.003</v>
      </c>
      <c r="N147" s="10" t="str">
        <f ca="1">IFERROR(__xludf.DUMMYFUNCTION("VLOOKUP(M147, IMPORTRANGE(""https://docs.google.com/spreadsheets/d/1yDAaXNsi4Mr5FtRQL4tbmSdIzhx6_m4wkOD7IG-k_eo/edit#gid=1336395716"", ""Science!M:N""), 2, FALSE)"),"Illustrate different methods of weed control.")</f>
        <v>Illustrate different methods of weed control.</v>
      </c>
      <c r="O147" s="10" t="str">
        <f t="shared" si="3"/>
        <v>LU006304.004</v>
      </c>
      <c r="P147" s="10" t="str">
        <f ca="1">IFERROR(__xludf.DUMMYFUNCTION("VLOOKUP(O147, IMPORTRANGE(""https://docs.google.com/spreadsheets/d/1yDAaXNsi4Mr5FtRQL4tbmSdIzhx6_m4wkOD7IG-k_eo/edit#gid=1336395716"", ""Science!M:N""), 2, FALSE)"),"Analyze the effectiveness of chemical and non-chemical weed management strategies.")</f>
        <v>Analyze the effectiveness of chemical and non-chemical weed management strategies.</v>
      </c>
      <c r="Q147" s="10" t="str">
        <f t="shared" si="4"/>
        <v>LU006304.005</v>
      </c>
      <c r="R147" s="10" t="str">
        <f ca="1">IFERROR(__xludf.DUMMYFUNCTION("VLOOKUP(Q147, IMPORTRANGE(""https://docs.google.com/spreadsheets/d/1yDAaXNsi4Mr5FtRQL4tbmSdIzhx6_m4wkOD7IG-k_eo/edit#gid=1336395716"", ""Science!M:N""), 2, FALSE)"),"Evaluate the impact of integrated weed management on crop yield and environmental health.")</f>
        <v>Evaluate the impact of integrated weed management on crop yield and environmental health.</v>
      </c>
      <c r="S147" s="10" t="str">
        <f t="shared" si="5"/>
        <v>LU006304.006</v>
      </c>
      <c r="T147" s="10" t="str">
        <f ca="1">IFERROR(__xludf.DUMMYFUNCTION("VLOOKUP(S147, IMPORTRANGE(""https://docs.google.com/spreadsheets/d/1yDAaXNsi4Mr5FtRQL4tbmSdIzhx6_m4wkOD7IG-k_eo/edit#gid=1336395716"", ""Science!M:N""), 2, FALSE)"),"Develop a comprehensive weed management plan for a specific crop.")</f>
        <v>Develop a comprehensive weed management plan for a specific crop.</v>
      </c>
      <c r="U147" s="11" t="str">
        <f ca="1">IFERROR(__xludf.DUMMYFUNCTION("ArrayFormula(VLOOKUP(G147, IMPORTRANGE(""https://docs.google.com/spreadsheets/d/1p7R4vtkWt5VOBim4ltsDG9KTzSjrtKXsMtQGXPHyND0/edit#gid=795171502"", ""'Filter 30_05_2024'!A1:M2000""), {2, 3, 4, 5,6,7,8,9,10,11,12,13}, 0))"),"#N/A")</f>
        <v>#N/A</v>
      </c>
      <c r="V147" s="11" t="str">
        <f ca="1">IFERROR(__xludf.DUMMYFUNCTION("""COMPUTED_VALUE"""),"#N/A")</f>
        <v>#N/A</v>
      </c>
      <c r="W147" s="11" t="str">
        <f ca="1">IFERROR(__xludf.DUMMYFUNCTION("""COMPUTED_VALUE"""),"#N/A")</f>
        <v>#N/A</v>
      </c>
      <c r="X147" s="11" t="str">
        <f ca="1">IFERROR(__xludf.DUMMYFUNCTION("""COMPUTED_VALUE"""),"#N/A")</f>
        <v>#N/A</v>
      </c>
      <c r="Y147" s="11" t="str">
        <f ca="1">IFERROR(__xludf.DUMMYFUNCTION("""COMPUTED_VALUE"""),"#N/A")</f>
        <v>#N/A</v>
      </c>
      <c r="Z147" s="12" t="str">
        <f ca="1">IFERROR(__xludf.DUMMYFUNCTION("""COMPUTED_VALUE"""),"#N/A")</f>
        <v>#N/A</v>
      </c>
      <c r="AA147" s="12" t="str">
        <f ca="1">IFERROR(__xludf.DUMMYFUNCTION("""COMPUTED_VALUE"""),"#N/A")</f>
        <v>#N/A</v>
      </c>
      <c r="AB147" s="12" t="str">
        <f ca="1">IFERROR(__xludf.DUMMYFUNCTION("""COMPUTED_VALUE"""),"#N/A")</f>
        <v>#N/A</v>
      </c>
      <c r="AC147" s="12" t="str">
        <f ca="1">IFERROR(__xludf.DUMMYFUNCTION("""COMPUTED_VALUE"""),"#N/A")</f>
        <v>#N/A</v>
      </c>
      <c r="AD147" s="12" t="str">
        <f ca="1">IFERROR(__xludf.DUMMYFUNCTION("""COMPUTED_VALUE"""),"#N/A")</f>
        <v>#N/A</v>
      </c>
      <c r="AE147" s="12" t="str">
        <f ca="1">IFERROR(__xludf.DUMMYFUNCTION("""COMPUTED_VALUE"""),"#N/A")</f>
        <v>#N/A</v>
      </c>
      <c r="AF147" s="12" t="str">
        <f ca="1">IFERROR(__xludf.DUMMYFUNCTION("""COMPUTED_VALUE"""),"#N/A")</f>
        <v>#N/A</v>
      </c>
      <c r="AG147" s="13" t="str">
        <f ca="1">IFERROR(__xludf.DUMMYFUNCTION("ArrayFormula(VLOOKUP(G147, IMPORTRANGE(""https://docs.google.com/spreadsheets/d/1Co934fvtviyaRiMsrIlT05Jaq7iiYq07aLvRr35KA48/edit?gid=173865642#gid=173865642"", ""'G9 Sci_Pri_LU'!G2:V2000""), {3, 4, 5, 6, 7, 8, 9, 10, 11, 12, 13, 14, 15, 16}, 0))"),"LU005620")</f>
        <v>LU005620</v>
      </c>
      <c r="AH147" s="22" t="str">
        <f ca="1">IFERROR(__xludf.DUMMYFUNCTION("""COMPUTED_VALUE"""),"Methods of Crop Protection in agricultural practices")</f>
        <v>Methods of Crop Protection in agricultural practices</v>
      </c>
      <c r="AI147" s="13" t="str">
        <f ca="1">IFERROR(__xludf.DUMMYFUNCTION("""COMPUTED_VALUE"""),"LU006297")</f>
        <v>LU006297</v>
      </c>
      <c r="AJ147" s="13" t="str">
        <f ca="1">IFERROR(__xludf.DUMMYFUNCTION("""COMPUTED_VALUE"""),"Concept of variety of factors targeted for improving crop variety")</f>
        <v>Concept of variety of factors targeted for improving crop variety</v>
      </c>
      <c r="AK147" s="13" t="str">
        <f ca="1">IFERROR(__xludf.DUMMYFUNCTION("""COMPUTED_VALUE"""),"LU006296")</f>
        <v>LU006296</v>
      </c>
      <c r="AL147" s="13" t="str">
        <f ca="1">IFERROR(__xludf.DUMMYFUNCTION("""COMPUTED_VALUE"""),"Methods of improving crop variety(hybridisation and GMCs )")</f>
        <v>Methods of improving crop variety(hybridisation and GMCs )</v>
      </c>
      <c r="AM147" s="13"/>
      <c r="AN147" s="13"/>
      <c r="AO147" s="13"/>
      <c r="AP147" s="13"/>
      <c r="AQ147" s="13"/>
      <c r="AR147" s="13"/>
      <c r="AS147" s="13"/>
      <c r="AT147" s="13"/>
    </row>
    <row r="148" spans="1:46">
      <c r="A148" s="8" t="s">
        <v>247</v>
      </c>
      <c r="B148" s="8" t="s">
        <v>47</v>
      </c>
      <c r="C148" s="8" t="s">
        <v>979</v>
      </c>
      <c r="D148" s="9" t="s">
        <v>1406</v>
      </c>
      <c r="E148" s="9" t="s">
        <v>2442</v>
      </c>
      <c r="F148" s="10" t="s">
        <v>2453</v>
      </c>
      <c r="G148" s="114" t="s">
        <v>2455</v>
      </c>
      <c r="H148" s="8" t="str">
        <f ca="1">IFERROR(__xludf.DUMMYFUNCTION("VLOOKUP(G148, IMPORTRANGE(""https://docs.google.com/spreadsheets/d/14deopnvwcrKtEGCKuYXdUHJbeLDZlkiSSWWT0g7x2pM/edit#gid=849066331"", ""LU List Science (Filter)!A:B""), 2, FALSE)"),"Concept of effective grain storage in crop production")</f>
        <v>Concept of effective grain storage in crop production</v>
      </c>
      <c r="I148" s="10" t="str">
        <f t="shared" si="0"/>
        <v>LU006306.001</v>
      </c>
      <c r="J148" s="10" t="str">
        <f ca="1">IFERROR(__xludf.DUMMYFUNCTION("VLOOKUP(I148, IMPORTRANGE(""https://docs.google.com/spreadsheets/d/1yDAaXNsi4Mr5FtRQL4tbmSdIzhx6_m4wkOD7IG-k_eo/edit#gid=1336395716"", ""Science!M:N""), 2, FALSE)"),"Define the concept of grain storage.")</f>
        <v>Define the concept of grain storage.</v>
      </c>
      <c r="K148" s="10" t="str">
        <f t="shared" si="1"/>
        <v>LU006306.002</v>
      </c>
      <c r="L148" s="10" t="str">
        <f ca="1">IFERROR(__xludf.DUMMYFUNCTION("VLOOKUP(K148, IMPORTRANGE(""https://docs.google.com/spreadsheets/d/1yDAaXNsi4Mr5FtRQL4tbmSdIzhx6_m4wkOD7IG-k_eo/edit#gid=1336395716"", ""Science!M:N""), 2, FALSE)"),"Explain the importance of effective grain storage in crop production.")</f>
        <v>Explain the importance of effective grain storage in crop production.</v>
      </c>
      <c r="M148" s="10" t="str">
        <f t="shared" si="2"/>
        <v>LU006306.003</v>
      </c>
      <c r="N148" s="10" t="str">
        <f ca="1">IFERROR(__xludf.DUMMYFUNCTION("VLOOKUP(M148, IMPORTRANGE(""https://docs.google.com/spreadsheets/d/1yDAaXNsi4Mr5FtRQL4tbmSdIzhx6_m4wkOD7IG-k_eo/edit#gid=1336395716"", ""Science!M:N""), 2, FALSE)"),"Illustrate the methods used for effective grain storage.")</f>
        <v>Illustrate the methods used for effective grain storage.</v>
      </c>
      <c r="O148" s="10" t="str">
        <f t="shared" si="3"/>
        <v>LU006306.004</v>
      </c>
      <c r="P148" s="10" t="str">
        <f ca="1">IFERROR(__xludf.DUMMYFUNCTION("VLOOKUP(O148, IMPORTRANGE(""https://docs.google.com/spreadsheets/d/1yDAaXNsi4Mr5FtRQL4tbmSdIzhx6_m4wkOD7IG-k_eo/edit#gid=1336395716"", ""Science!M:N""), 2, FALSE)"),"Analyze the factors affecting grain storage and preservation.")</f>
        <v>Analyze the factors affecting grain storage and preservation.</v>
      </c>
      <c r="Q148" s="10" t="str">
        <f t="shared" si="4"/>
        <v>LU006306.005</v>
      </c>
      <c r="R148" s="10" t="str">
        <f ca="1">IFERROR(__xludf.DUMMYFUNCTION("VLOOKUP(Q148, IMPORTRANGE(""https://docs.google.com/spreadsheets/d/1yDAaXNsi4Mr5FtRQL4tbmSdIzhx6_m4wkOD7IG-k_eo/edit#gid=1336395716"", ""Science!M:N""), 2, FALSE)"),"Evaluate the effectiveness of different grain storage techniques in preventing losses.")</f>
        <v>Evaluate the effectiveness of different grain storage techniques in preventing losses.</v>
      </c>
      <c r="S148" s="10" t="str">
        <f t="shared" si="5"/>
        <v>LU006306.006</v>
      </c>
      <c r="T148" s="10" t="str">
        <f ca="1">IFERROR(__xludf.DUMMYFUNCTION("VLOOKUP(S148, IMPORTRANGE(""https://docs.google.com/spreadsheets/d/1yDAaXNsi4Mr5FtRQL4tbmSdIzhx6_m4wkOD7IG-k_eo/edit#gid=1336395716"", ""Science!M:N""), 2, FALSE)"),"Develop a grain storage plan that minimizes post-harvest losses.")</f>
        <v>Develop a grain storage plan that minimizes post-harvest losses.</v>
      </c>
      <c r="U148" s="11" t="str">
        <f ca="1">IFERROR(__xludf.DUMMYFUNCTION("ArrayFormula(VLOOKUP(G148, IMPORTRANGE(""https://docs.google.com/spreadsheets/d/1p7R4vtkWt5VOBim4ltsDG9KTzSjrtKXsMtQGXPHyND0/edit#gid=795171502"", ""'Filter 30_05_2024'!A1:M2000""), {2, 3, 4, 5,6,7,8,9,10,11,12,13}, 0))"),"#N/A")</f>
        <v>#N/A</v>
      </c>
      <c r="V148" s="11" t="str">
        <f ca="1">IFERROR(__xludf.DUMMYFUNCTION("""COMPUTED_VALUE"""),"#N/A")</f>
        <v>#N/A</v>
      </c>
      <c r="W148" s="11" t="str">
        <f ca="1">IFERROR(__xludf.DUMMYFUNCTION("""COMPUTED_VALUE"""),"#N/A")</f>
        <v>#N/A</v>
      </c>
      <c r="X148" s="11" t="str">
        <f ca="1">IFERROR(__xludf.DUMMYFUNCTION("""COMPUTED_VALUE"""),"#N/A")</f>
        <v>#N/A</v>
      </c>
      <c r="Y148" s="11" t="str">
        <f ca="1">IFERROR(__xludf.DUMMYFUNCTION("""COMPUTED_VALUE"""),"#N/A")</f>
        <v>#N/A</v>
      </c>
      <c r="Z148" s="12" t="str">
        <f ca="1">IFERROR(__xludf.DUMMYFUNCTION("""COMPUTED_VALUE"""),"#N/A")</f>
        <v>#N/A</v>
      </c>
      <c r="AA148" s="12" t="str">
        <f ca="1">IFERROR(__xludf.DUMMYFUNCTION("""COMPUTED_VALUE"""),"#N/A")</f>
        <v>#N/A</v>
      </c>
      <c r="AB148" s="12" t="str">
        <f ca="1">IFERROR(__xludf.DUMMYFUNCTION("""COMPUTED_VALUE"""),"#N/A")</f>
        <v>#N/A</v>
      </c>
      <c r="AC148" s="12" t="str">
        <f ca="1">IFERROR(__xludf.DUMMYFUNCTION("""COMPUTED_VALUE"""),"#N/A")</f>
        <v>#N/A</v>
      </c>
      <c r="AD148" s="12" t="str">
        <f ca="1">IFERROR(__xludf.DUMMYFUNCTION("""COMPUTED_VALUE"""),"#N/A")</f>
        <v>#N/A</v>
      </c>
      <c r="AE148" s="12" t="str">
        <f ca="1">IFERROR(__xludf.DUMMYFUNCTION("""COMPUTED_VALUE"""),"#N/A")</f>
        <v>#N/A</v>
      </c>
      <c r="AF148" s="12" t="str">
        <f ca="1">IFERROR(__xludf.DUMMYFUNCTION("""COMPUTED_VALUE"""),"#N/A")</f>
        <v>#N/A</v>
      </c>
      <c r="AG148" s="13" t="str">
        <f ca="1">IFERROR(__xludf.DUMMYFUNCTION("ArrayFormula(VLOOKUP(G148, IMPORTRANGE(""https://docs.google.com/spreadsheets/d/1Co934fvtviyaRiMsrIlT05Jaq7iiYq07aLvRr35KA48/edit?gid=173865642#gid=173865642"", ""'G9 Sci_Pri_LU'!G2:V2000""), {3, 4, 5, 6, 7, 8, 9, 10, 11, 12, 13, 14, 15, 16}, 0))"),"LU005068")</f>
        <v>LU005068</v>
      </c>
      <c r="AH148" s="22" t="str">
        <f ca="1">IFERROR(__xludf.DUMMYFUNCTION("""COMPUTED_VALUE"""),"Food spoilage and its causes")</f>
        <v>Food spoilage and its causes</v>
      </c>
      <c r="AI148" s="13" t="str">
        <f ca="1">IFERROR(__xludf.DUMMYFUNCTION("""COMPUTED_VALUE"""),"LU005621")</f>
        <v>LU005621</v>
      </c>
      <c r="AJ148" s="13" t="str">
        <f ca="1">IFERROR(__xludf.DUMMYFUNCTION("""COMPUTED_VALUE"""),"Harvesting and storage in crop production")</f>
        <v>Harvesting and storage in crop production</v>
      </c>
      <c r="AK148" s="13"/>
      <c r="AL148" s="13"/>
      <c r="AM148" s="13"/>
      <c r="AN148" s="13"/>
      <c r="AO148" s="13"/>
      <c r="AP148" s="13"/>
      <c r="AQ148" s="13"/>
      <c r="AR148" s="13"/>
      <c r="AS148" s="13"/>
      <c r="AT148" s="13"/>
    </row>
    <row r="149" spans="1:46">
      <c r="A149" s="8" t="s">
        <v>247</v>
      </c>
      <c r="B149" s="8" t="s">
        <v>47</v>
      </c>
      <c r="C149" s="8" t="s">
        <v>979</v>
      </c>
      <c r="D149" s="9" t="s">
        <v>1406</v>
      </c>
      <c r="E149" s="9" t="s">
        <v>2442</v>
      </c>
      <c r="F149" s="10" t="s">
        <v>2456</v>
      </c>
      <c r="G149" s="114" t="s">
        <v>2457</v>
      </c>
      <c r="H149" s="8" t="str">
        <f ca="1">IFERROR(__xludf.DUMMYFUNCTION("VLOOKUP(G149, IMPORTRANGE(""https://docs.google.com/spreadsheets/d/14deopnvwcrKtEGCKuYXdUHJbeLDZlkiSSWWT0g7x2pM/edit#gid=849066331"", ""LU List Science (Filter)!A:B""), 2, FALSE)"),"Concept of animal husbandry and cattle farming ")</f>
        <v xml:space="preserve">Concept of animal husbandry and cattle farming </v>
      </c>
      <c r="I149" s="10" t="str">
        <f t="shared" si="0"/>
        <v>LU006307.001</v>
      </c>
      <c r="J149" s="10" t="str">
        <f ca="1">IFERROR(__xludf.DUMMYFUNCTION("VLOOKUP(I149, IMPORTRANGE(""https://docs.google.com/spreadsheets/d/1yDAaXNsi4Mr5FtRQL4tbmSdIzhx6_m4wkOD7IG-k_eo/edit#gid=1336395716"", ""Science!M:N""), 2, FALSE)"),"Define animal husbandry.")</f>
        <v>Define animal husbandry.</v>
      </c>
      <c r="K149" s="10" t="str">
        <f t="shared" si="1"/>
        <v>LU006307.002</v>
      </c>
      <c r="L149" s="10" t="str">
        <f ca="1">IFERROR(__xludf.DUMMYFUNCTION("VLOOKUP(K149, IMPORTRANGE(""https://docs.google.com/spreadsheets/d/1yDAaXNsi4Mr5FtRQL4tbmSdIzhx6_m4wkOD7IG-k_eo/edit#gid=1336395716"", ""Science!M:N""), 2, FALSE)"),"Explain the significance of animal husbandry in agriculture.")</f>
        <v>Explain the significance of animal husbandry in agriculture.</v>
      </c>
      <c r="M149" s="10" t="str">
        <f t="shared" si="2"/>
        <v>LU006307.003</v>
      </c>
      <c r="N149" s="10" t="str">
        <f ca="1">IFERROR(__xludf.DUMMYFUNCTION("VLOOKUP(M149, IMPORTRANGE(""https://docs.google.com/spreadsheets/d/1yDAaXNsi4Mr5FtRQL4tbmSdIzhx6_m4wkOD7IG-k_eo/edit#gid=1336395716"", ""Science!M:N""), 2, FALSE)"),"Illustrate the practices involved in animal husbandry.")</f>
        <v>Illustrate the practices involved in animal husbandry.</v>
      </c>
      <c r="O149" s="10" t="str">
        <f t="shared" si="3"/>
        <v>LU006307.004</v>
      </c>
      <c r="P149" s="10" t="str">
        <f ca="1">IFERROR(__xludf.DUMMYFUNCTION("VLOOKUP(O149, IMPORTRANGE(""https://docs.google.com/spreadsheets/d/1yDAaXNsi4Mr5FtRQL4tbmSdIzhx6_m4wkOD7IG-k_eo/edit#gid=1336395716"", ""Science!M:N""), 2, FALSE)"),"Analyze the benefits of integrating animal husbandry with crop production.")</f>
        <v>Analyze the benefits of integrating animal husbandry with crop production.</v>
      </c>
      <c r="Q149" s="10" t="str">
        <f t="shared" si="4"/>
        <v>LU006307.005</v>
      </c>
      <c r="R149" s="10" t="str">
        <f ca="1">IFERROR(__xludf.DUMMYFUNCTION("VLOOKUP(Q149, IMPORTRANGE(""https://docs.google.com/spreadsheets/d/1yDAaXNsi4Mr5FtRQL4tbmSdIzhx6_m4wkOD7IG-k_eo/edit#gid=1336395716"", ""Science!M:N""), 2, FALSE)"),"Evaluate the impact of good animal husbandry practices on livestock health and productivity.")</f>
        <v>Evaluate the impact of good animal husbandry practices on livestock health and productivity.</v>
      </c>
      <c r="S149" s="10" t="str">
        <f t="shared" si="5"/>
        <v>LU006307.006</v>
      </c>
      <c r="T149" s="10" t="str">
        <f ca="1">IFERROR(__xludf.DUMMYFUNCTION("VLOOKUP(S149, IMPORTRANGE(""https://docs.google.com/spreadsheets/d/1yDAaXNsi4Mr5FtRQL4tbmSdIzhx6_m4wkOD7IG-k_eo/edit#gid=1336395716"", ""Science!M:N""), 2, FALSE)"),"Develop a management plan for a small-scale animal husbandry operation.")</f>
        <v>Develop a management plan for a small-scale animal husbandry operation.</v>
      </c>
      <c r="U149" s="11" t="str">
        <f ca="1">IFERROR(__xludf.DUMMYFUNCTION("ArrayFormula(VLOOKUP(G149, IMPORTRANGE(""https://docs.google.com/spreadsheets/d/1p7R4vtkWt5VOBim4ltsDG9KTzSjrtKXsMtQGXPHyND0/edit#gid=795171502"", ""'Filter 30_05_2024'!A1:M2000""), {2, 3, 4, 5,6,7,8,9,10,11,12,13}, 0))"),"#N/A")</f>
        <v>#N/A</v>
      </c>
      <c r="V149" s="11" t="str">
        <f ca="1">IFERROR(__xludf.DUMMYFUNCTION("""COMPUTED_VALUE"""),"#N/A")</f>
        <v>#N/A</v>
      </c>
      <c r="W149" s="11" t="str">
        <f ca="1">IFERROR(__xludf.DUMMYFUNCTION("""COMPUTED_VALUE"""),"#N/A")</f>
        <v>#N/A</v>
      </c>
      <c r="X149" s="11" t="str">
        <f ca="1">IFERROR(__xludf.DUMMYFUNCTION("""COMPUTED_VALUE"""),"#N/A")</f>
        <v>#N/A</v>
      </c>
      <c r="Y149" s="11" t="str">
        <f ca="1">IFERROR(__xludf.DUMMYFUNCTION("""COMPUTED_VALUE"""),"#N/A")</f>
        <v>#N/A</v>
      </c>
      <c r="Z149" s="12" t="str">
        <f ca="1">IFERROR(__xludf.DUMMYFUNCTION("""COMPUTED_VALUE"""),"#N/A")</f>
        <v>#N/A</v>
      </c>
      <c r="AA149" s="12" t="str">
        <f ca="1">IFERROR(__xludf.DUMMYFUNCTION("""COMPUTED_VALUE"""),"#N/A")</f>
        <v>#N/A</v>
      </c>
      <c r="AB149" s="12" t="str">
        <f ca="1">IFERROR(__xludf.DUMMYFUNCTION("""COMPUTED_VALUE"""),"#N/A")</f>
        <v>#N/A</v>
      </c>
      <c r="AC149" s="12" t="str">
        <f ca="1">IFERROR(__xludf.DUMMYFUNCTION("""COMPUTED_VALUE"""),"#N/A")</f>
        <v>#N/A</v>
      </c>
      <c r="AD149" s="12" t="str">
        <f ca="1">IFERROR(__xludf.DUMMYFUNCTION("""COMPUTED_VALUE"""),"#N/A")</f>
        <v>#N/A</v>
      </c>
      <c r="AE149" s="12" t="str">
        <f ca="1">IFERROR(__xludf.DUMMYFUNCTION("""COMPUTED_VALUE"""),"#N/A")</f>
        <v>#N/A</v>
      </c>
      <c r="AF149" s="12" t="str">
        <f ca="1">IFERROR(__xludf.DUMMYFUNCTION("""COMPUTED_VALUE"""),"#N/A")</f>
        <v>#N/A</v>
      </c>
      <c r="AG149" s="13" t="str">
        <f ca="1">IFERROR(__xludf.DUMMYFUNCTION("ArrayFormula(VLOOKUP(G149, IMPORTRANGE(""https://docs.google.com/spreadsheets/d/1Co934fvtviyaRiMsrIlT05Jaq7iiYq07aLvRr35KA48/edit?gid=173865642#gid=173865642"", ""'G9 Sci_Pri_LU'!G2:V2000""), {3, 4, 5, 6, 7, 8, 9, 10, 11, 12, 13, 14, 15, 16}, 0))"),"")</f>
        <v/>
      </c>
      <c r="AH149" s="22"/>
      <c r="AI149" s="13"/>
      <c r="AJ149" s="13"/>
      <c r="AK149" s="13"/>
      <c r="AL149" s="13"/>
      <c r="AM149" s="13"/>
      <c r="AN149" s="13"/>
      <c r="AO149" s="13"/>
      <c r="AP149" s="13"/>
      <c r="AQ149" s="13"/>
      <c r="AR149" s="13"/>
      <c r="AS149" s="13"/>
      <c r="AT149" s="13"/>
    </row>
    <row r="150" spans="1:46">
      <c r="A150" s="8" t="s">
        <v>247</v>
      </c>
      <c r="B150" s="8" t="s">
        <v>47</v>
      </c>
      <c r="C150" s="8" t="s">
        <v>979</v>
      </c>
      <c r="D150" s="9" t="s">
        <v>1406</v>
      </c>
      <c r="E150" s="9" t="s">
        <v>2442</v>
      </c>
      <c r="F150" s="10" t="s">
        <v>2458</v>
      </c>
      <c r="G150" s="114" t="s">
        <v>2459</v>
      </c>
      <c r="H150" s="8" t="str">
        <f ca="1">IFERROR(__xludf.DUMMYFUNCTION("VLOOKUP(G150, IMPORTRANGE(""https://docs.google.com/spreadsheets/d/14deopnvwcrKtEGCKuYXdUHJbeLDZlkiSSWWT0g7x2pM/edit#gid=849066331"", ""LU List Science (Filter)!A:B""), 2, FALSE)"),"Poultry farming in India")</f>
        <v>Poultry farming in India</v>
      </c>
      <c r="I150" s="10" t="str">
        <f t="shared" si="0"/>
        <v>LU006310.001</v>
      </c>
      <c r="J150" s="10" t="str">
        <f ca="1">IFERROR(__xludf.DUMMYFUNCTION("VLOOKUP(I150, IMPORTRANGE(""https://docs.google.com/spreadsheets/d/1yDAaXNsi4Mr5FtRQL4tbmSdIzhx6_m4wkOD7IG-k_eo/edit#gid=1336395716"", ""Science!M:N""), 2, FALSE)"),"List the common breeds of poultry used in India.")</f>
        <v>List the common breeds of poultry used in India.</v>
      </c>
      <c r="K150" s="10" t="str">
        <f t="shared" si="1"/>
        <v>LU006310.002</v>
      </c>
      <c r="L150" s="10" t="str">
        <f ca="1">IFERROR(__xludf.DUMMYFUNCTION("VLOOKUP(K150, IMPORTRANGE(""https://docs.google.com/spreadsheets/d/1yDAaXNsi4Mr5FtRQL4tbmSdIzhx6_m4wkOD7IG-k_eo/edit#gid=1336395716"", ""Science!M:N""), 2, FALSE)"),"Explain the practices involved in poultry farming in India.")</f>
        <v>Explain the practices involved in poultry farming in India.</v>
      </c>
      <c r="M150" s="10" t="str">
        <f t="shared" si="2"/>
        <v>LU006310.003</v>
      </c>
      <c r="N150" s="10" t="str">
        <f ca="1">IFERROR(__xludf.DUMMYFUNCTION("VLOOKUP(M150, IMPORTRANGE(""https://docs.google.com/spreadsheets/d/1yDAaXNsi4Mr5FtRQL4tbmSdIzhx6_m4wkOD7IG-k_eo/edit#gid=1336395716"", ""Science!M:N""), 2, FALSE)"),"Illustrate the differences between broiler and layer management.")</f>
        <v>Illustrate the differences between broiler and layer management.</v>
      </c>
      <c r="O150" s="10" t="str">
        <f t="shared" si="3"/>
        <v>LU006310.004</v>
      </c>
      <c r="P150" s="10" t="str">
        <f ca="1">IFERROR(__xludf.DUMMYFUNCTION("VLOOKUP(O150, IMPORTRANGE(""https://docs.google.com/spreadsheets/d/1yDAaXNsi4Mr5FtRQL4tbmSdIzhx6_m4wkOD7IG-k_eo/edit#gid=1336395716"", ""Science!M:N""), 2, FALSE)"),"Analyze the factors affecting poultry production in India.")</f>
        <v>Analyze the factors affecting poultry production in India.</v>
      </c>
      <c r="Q150" s="10" t="str">
        <f t="shared" si="4"/>
        <v>LU006310.005</v>
      </c>
      <c r="R150" s="10" t="str">
        <f ca="1">IFERROR(__xludf.DUMMYFUNCTION("VLOOKUP(Q150, IMPORTRANGE(""https://docs.google.com/spreadsheets/d/1yDAaXNsi4Mr5FtRQL4tbmSdIzhx6_m4wkOD7IG-k_eo/edit#gid=1336395716"", ""Science!M:N""), 2, FALSE)"),"Evaluate the impact of improved poultry breeds on egg and meat production.")</f>
        <v>Evaluate the impact of improved poultry breeds on egg and meat production.</v>
      </c>
      <c r="S150" s="10" t="str">
        <f t="shared" si="5"/>
        <v>LU006310.006</v>
      </c>
      <c r="T150" s="10" t="str">
        <f ca="1">IFERROR(__xludf.DUMMYFUNCTION("VLOOKUP(S150, IMPORTRANGE(""https://docs.google.com/spreadsheets/d/1yDAaXNsi4Mr5FtRQL4tbmSdIzhx6_m4wkOD7IG-k_eo/edit#gid=1336395716"", ""Science!M:N""), 2, FALSE)"),"Develop a poultry farming plan that includes breeding, feeding, and health management practices.")</f>
        <v>Develop a poultry farming plan that includes breeding, feeding, and health management practices.</v>
      </c>
      <c r="U150" s="11" t="str">
        <f ca="1">IFERROR(__xludf.DUMMYFUNCTION("ArrayFormula(VLOOKUP(G150, IMPORTRANGE(""https://docs.google.com/spreadsheets/d/1p7R4vtkWt5VOBim4ltsDG9KTzSjrtKXsMtQGXPHyND0/edit#gid=795171502"", ""'Filter 30_05_2024'!A1:M2000""), {2, 3, 4, 5,6,7,8,9,10,11,12,13}, 0))"),"#N/A")</f>
        <v>#N/A</v>
      </c>
      <c r="V150" s="11" t="str">
        <f ca="1">IFERROR(__xludf.DUMMYFUNCTION("""COMPUTED_VALUE"""),"#N/A")</f>
        <v>#N/A</v>
      </c>
      <c r="W150" s="11" t="str">
        <f ca="1">IFERROR(__xludf.DUMMYFUNCTION("""COMPUTED_VALUE"""),"#N/A")</f>
        <v>#N/A</v>
      </c>
      <c r="X150" s="11" t="str">
        <f ca="1">IFERROR(__xludf.DUMMYFUNCTION("""COMPUTED_VALUE"""),"#N/A")</f>
        <v>#N/A</v>
      </c>
      <c r="Y150" s="11" t="str">
        <f ca="1">IFERROR(__xludf.DUMMYFUNCTION("""COMPUTED_VALUE"""),"#N/A")</f>
        <v>#N/A</v>
      </c>
      <c r="Z150" s="12" t="str">
        <f ca="1">IFERROR(__xludf.DUMMYFUNCTION("""COMPUTED_VALUE"""),"#N/A")</f>
        <v>#N/A</v>
      </c>
      <c r="AA150" s="12" t="str">
        <f ca="1">IFERROR(__xludf.DUMMYFUNCTION("""COMPUTED_VALUE"""),"#N/A")</f>
        <v>#N/A</v>
      </c>
      <c r="AB150" s="12" t="str">
        <f ca="1">IFERROR(__xludf.DUMMYFUNCTION("""COMPUTED_VALUE"""),"#N/A")</f>
        <v>#N/A</v>
      </c>
      <c r="AC150" s="12" t="str">
        <f ca="1">IFERROR(__xludf.DUMMYFUNCTION("""COMPUTED_VALUE"""),"#N/A")</f>
        <v>#N/A</v>
      </c>
      <c r="AD150" s="12" t="str">
        <f ca="1">IFERROR(__xludf.DUMMYFUNCTION("""COMPUTED_VALUE"""),"#N/A")</f>
        <v>#N/A</v>
      </c>
      <c r="AE150" s="12" t="str">
        <f ca="1">IFERROR(__xludf.DUMMYFUNCTION("""COMPUTED_VALUE"""),"#N/A")</f>
        <v>#N/A</v>
      </c>
      <c r="AF150" s="12" t="str">
        <f ca="1">IFERROR(__xludf.DUMMYFUNCTION("""COMPUTED_VALUE"""),"#N/A")</f>
        <v>#N/A</v>
      </c>
      <c r="AG150" s="13" t="str">
        <f ca="1">IFERROR(__xludf.DUMMYFUNCTION("ArrayFormula(VLOOKUP(G150, IMPORTRANGE(""https://docs.google.com/spreadsheets/d/1Co934fvtviyaRiMsrIlT05Jaq7iiYq07aLvRr35KA48/edit?gid=173865642#gid=173865642"", ""'G9 Sci_Pri_LU'!G2:V2000""), {3, 4, 5, 6, 7, 8, 9, 10, 11, 12, 13, 14, 15, 16}, 0))"),"")</f>
        <v/>
      </c>
      <c r="AH150" s="22"/>
      <c r="AI150" s="13"/>
      <c r="AJ150" s="13"/>
      <c r="AK150" s="13"/>
      <c r="AL150" s="13"/>
      <c r="AM150" s="13"/>
      <c r="AN150" s="13"/>
      <c r="AO150" s="13"/>
      <c r="AP150" s="13"/>
      <c r="AQ150" s="13"/>
      <c r="AR150" s="13"/>
      <c r="AS150" s="13"/>
      <c r="AT150" s="13"/>
    </row>
    <row r="151" spans="1:46">
      <c r="A151" s="8" t="s">
        <v>247</v>
      </c>
      <c r="B151" s="8" t="s">
        <v>47</v>
      </c>
      <c r="C151" s="8" t="s">
        <v>979</v>
      </c>
      <c r="D151" s="9" t="s">
        <v>1406</v>
      </c>
      <c r="E151" s="9" t="s">
        <v>2442</v>
      </c>
      <c r="F151" s="10" t="s">
        <v>2460</v>
      </c>
      <c r="G151" s="114" t="s">
        <v>2461</v>
      </c>
      <c r="H151" s="8" t="str">
        <f ca="1">IFERROR(__xludf.DUMMYFUNCTION("VLOOKUP(G151, IMPORTRANGE(""https://docs.google.com/spreadsheets/d/14deopnvwcrKtEGCKuYXdUHJbeLDZlkiSSWWT0g7x2pM/edit#gid=849066331"", ""LU List Science (Filter)!A:B""), 2, FALSE)"),"Fish production in India")</f>
        <v>Fish production in India</v>
      </c>
      <c r="I151" s="10" t="str">
        <f t="shared" si="0"/>
        <v>LU006312.001</v>
      </c>
      <c r="J151" s="10" t="str">
        <f ca="1">IFERROR(__xludf.DUMMYFUNCTION("VLOOKUP(I151, IMPORTRANGE(""https://docs.google.com/spreadsheets/d/1yDAaXNsi4Mr5FtRQL4tbmSdIzhx6_m4wkOD7IG-k_eo/edit#gid=1336395716"", ""Science!M:N""), 2, FALSE)"),"List the types of fish production systems.")</f>
        <v>List the types of fish production systems.</v>
      </c>
      <c r="K151" s="10" t="str">
        <f t="shared" si="1"/>
        <v>LU006312.002</v>
      </c>
      <c r="L151" s="10" t="str">
        <f ca="1">IFERROR(__xludf.DUMMYFUNCTION("VLOOKUP(K151, IMPORTRANGE(""https://docs.google.com/spreadsheets/d/1yDAaXNsi4Mr5FtRQL4tbmSdIzhx6_m4wkOD7IG-k_eo/edit#gid=1336395716"", ""Science!M:N""), 2, FALSE)"),"Explain the importance of fish production for food.")</f>
        <v>Explain the importance of fish production for food.</v>
      </c>
      <c r="M151" s="10" t="str">
        <f t="shared" si="2"/>
        <v>LU006312.003</v>
      </c>
      <c r="N151" s="10" t="str">
        <f ca="1">IFERROR(__xludf.DUMMYFUNCTION("VLOOKUP(M151, IMPORTRANGE(""https://docs.google.com/spreadsheets/d/1yDAaXNsi4Mr5FtRQL4tbmSdIzhx6_m4wkOD7IG-k_eo/edit#gid=1336395716"", ""Science!M:N""), 2, FALSE)"),"Illustrate the differences between capture and culture fishery.")</f>
        <v>Illustrate the differences between capture and culture fishery.</v>
      </c>
      <c r="O151" s="10" t="str">
        <f t="shared" si="3"/>
        <v>LU006312.004</v>
      </c>
      <c r="P151" s="10" t="str">
        <f ca="1">IFERROR(__xludf.DUMMYFUNCTION("VLOOKUP(O151, IMPORTRANGE(""https://docs.google.com/spreadsheets/d/1yDAaXNsi4Mr5FtRQL4tbmSdIzhx6_m4wkOD7IG-k_eo/edit#gid=1336395716"", ""Science!M:N""), 2, FALSE)"),"Analyze the factors affecting fish production in different systems.")</f>
        <v>Analyze the factors affecting fish production in different systems.</v>
      </c>
      <c r="Q151" s="10" t="str">
        <f t="shared" si="4"/>
        <v>LU006312.005</v>
      </c>
      <c r="R151" s="10" t="str">
        <f ca="1">IFERROR(__xludf.DUMMYFUNCTION("VLOOKUP(Q151, IMPORTRANGE(""https://docs.google.com/spreadsheets/d/1yDAaXNsi4Mr5FtRQL4tbmSdIzhx6_m4wkOD7IG-k_eo/edit#gid=1336395716"", ""Science!M:N""), 2, FALSE)"),"Evaluate the benefits and challenges of different fish production methods.")</f>
        <v>Evaluate the benefits and challenges of different fish production methods.</v>
      </c>
      <c r="S151" s="10" t="str">
        <f t="shared" si="5"/>
        <v>LU006312.006</v>
      </c>
      <c r="T151" s="10" t="str">
        <f ca="1">IFERROR(__xludf.DUMMYFUNCTION("VLOOKUP(S151, IMPORTRANGE(""https://docs.google.com/spreadsheets/d/1yDAaXNsi4Mr5FtRQL4tbmSdIzhx6_m4wkOD7IG-k_eo/edit#gid=1336395716"", ""Science!M:N""), 2, FALSE)"),"Develop a fish production plan that includes best practices for sustainable yield.")</f>
        <v>Develop a fish production plan that includes best practices for sustainable yield.</v>
      </c>
      <c r="U151" s="11" t="str">
        <f ca="1">IFERROR(__xludf.DUMMYFUNCTION("ArrayFormula(VLOOKUP(G151, IMPORTRANGE(""https://docs.google.com/spreadsheets/d/1p7R4vtkWt5VOBim4ltsDG9KTzSjrtKXsMtQGXPHyND0/edit#gid=795171502"", ""'Filter 30_05_2024'!A1:M2000""), {2, 3, 4, 5,6,7,8,9,10,11,12,13}, 0))"),"#N/A")</f>
        <v>#N/A</v>
      </c>
      <c r="V151" s="11" t="str">
        <f ca="1">IFERROR(__xludf.DUMMYFUNCTION("""COMPUTED_VALUE"""),"#N/A")</f>
        <v>#N/A</v>
      </c>
      <c r="W151" s="11" t="str">
        <f ca="1">IFERROR(__xludf.DUMMYFUNCTION("""COMPUTED_VALUE"""),"#N/A")</f>
        <v>#N/A</v>
      </c>
      <c r="X151" s="11" t="str">
        <f ca="1">IFERROR(__xludf.DUMMYFUNCTION("""COMPUTED_VALUE"""),"#N/A")</f>
        <v>#N/A</v>
      </c>
      <c r="Y151" s="11" t="str">
        <f ca="1">IFERROR(__xludf.DUMMYFUNCTION("""COMPUTED_VALUE"""),"#N/A")</f>
        <v>#N/A</v>
      </c>
      <c r="Z151" s="12" t="str">
        <f ca="1">IFERROR(__xludf.DUMMYFUNCTION("""COMPUTED_VALUE"""),"#N/A")</f>
        <v>#N/A</v>
      </c>
      <c r="AA151" s="12" t="str">
        <f ca="1">IFERROR(__xludf.DUMMYFUNCTION("""COMPUTED_VALUE"""),"#N/A")</f>
        <v>#N/A</v>
      </c>
      <c r="AB151" s="12" t="str">
        <f ca="1">IFERROR(__xludf.DUMMYFUNCTION("""COMPUTED_VALUE"""),"#N/A")</f>
        <v>#N/A</v>
      </c>
      <c r="AC151" s="12" t="str">
        <f ca="1">IFERROR(__xludf.DUMMYFUNCTION("""COMPUTED_VALUE"""),"#N/A")</f>
        <v>#N/A</v>
      </c>
      <c r="AD151" s="12" t="str">
        <f ca="1">IFERROR(__xludf.DUMMYFUNCTION("""COMPUTED_VALUE"""),"#N/A")</f>
        <v>#N/A</v>
      </c>
      <c r="AE151" s="12" t="str">
        <f ca="1">IFERROR(__xludf.DUMMYFUNCTION("""COMPUTED_VALUE"""),"#N/A")</f>
        <v>#N/A</v>
      </c>
      <c r="AF151" s="12" t="str">
        <f ca="1">IFERROR(__xludf.DUMMYFUNCTION("""COMPUTED_VALUE"""),"#N/A")</f>
        <v>#N/A</v>
      </c>
      <c r="AG151" s="13" t="str">
        <f ca="1">IFERROR(__xludf.DUMMYFUNCTION("ArrayFormula(VLOOKUP(G151, IMPORTRANGE(""https://docs.google.com/spreadsheets/d/1Co934fvtviyaRiMsrIlT05Jaq7iiYq07aLvRr35KA48/edit?gid=173865642#gid=173865642"", ""'G9 Sci_Pri_LU'!G2:V2000""), {3, 4, 5, 6, 7, 8, 9, 10, 11, 12, 13, 14, 15, 16}, 0))"),"")</f>
        <v/>
      </c>
      <c r="AH151" s="22"/>
      <c r="AI151" s="13"/>
      <c r="AJ151" s="13"/>
      <c r="AK151" s="13"/>
      <c r="AL151" s="13"/>
      <c r="AM151" s="13"/>
      <c r="AN151" s="13"/>
      <c r="AO151" s="13"/>
      <c r="AP151" s="13"/>
      <c r="AQ151" s="13"/>
      <c r="AR151" s="13"/>
      <c r="AS151" s="13"/>
      <c r="AT151" s="13"/>
    </row>
    <row r="152" spans="1:46">
      <c r="A152" s="8" t="s">
        <v>247</v>
      </c>
      <c r="B152" s="8" t="s">
        <v>47</v>
      </c>
      <c r="C152" s="8" t="s">
        <v>979</v>
      </c>
      <c r="D152" s="9" t="s">
        <v>1406</v>
      </c>
      <c r="E152" s="9" t="s">
        <v>2442</v>
      </c>
      <c r="F152" s="10" t="s">
        <v>2460</v>
      </c>
      <c r="G152" s="114" t="s">
        <v>2462</v>
      </c>
      <c r="H152" s="8" t="str">
        <f ca="1">IFERROR(__xludf.DUMMYFUNCTION("VLOOKUP(G152, IMPORTRANGE(""https://docs.google.com/spreadsheets/d/14deopnvwcrKtEGCKuYXdUHJbeLDZlkiSSWWT0g7x2pM/edit#gid=849066331"", ""LU List Science (Filter)!A:B""), 2, FALSE)"),"Introduction to bee-keeping")</f>
        <v>Introduction to bee-keeping</v>
      </c>
      <c r="I152" s="10" t="str">
        <f t="shared" si="0"/>
        <v>LU006315.001</v>
      </c>
      <c r="J152" s="10" t="str">
        <f ca="1">IFERROR(__xludf.DUMMYFUNCTION("VLOOKUP(I152, IMPORTRANGE(""https://docs.google.com/spreadsheets/d/1yDAaXNsi4Mr5FtRQL4tbmSdIzhx6_m4wkOD7IG-k_eo/edit#gid=1336395716"", ""Science!M:N""), 2, FALSE)"),"Identify the common species of bees used in bee-keeping.")</f>
        <v>Identify the common species of bees used in bee-keeping.</v>
      </c>
      <c r="K152" s="10" t="str">
        <f t="shared" si="1"/>
        <v>LU006315.002</v>
      </c>
      <c r="L152" s="10" t="str">
        <f ca="1">IFERROR(__xludf.DUMMYFUNCTION("VLOOKUP(K152, IMPORTRANGE(""https://docs.google.com/spreadsheets/d/1yDAaXNsi4Mr5FtRQL4tbmSdIzhx6_m4wkOD7IG-k_eo/edit#gid=1336395716"", ""Science!M:N""), 2, FALSE)"),"Explain the significance of bee-keeping in agriculture.")</f>
        <v>Explain the significance of bee-keeping in agriculture.</v>
      </c>
      <c r="M152" s="10" t="str">
        <f t="shared" si="2"/>
        <v>LU006315.003</v>
      </c>
      <c r="N152" s="10" t="str">
        <f ca="1">IFERROR(__xludf.DUMMYFUNCTION("VLOOKUP(M152, IMPORTRANGE(""https://docs.google.com/spreadsheets/d/1yDAaXNsi4Mr5FtRQL4tbmSdIzhx6_m4wkOD7IG-k_eo/edit#gid=1336395716"", ""Science!M:N""), 2, FALSE)"),"Illustrate the setup of a bee-keeping operation.")</f>
        <v>Illustrate the setup of a bee-keeping operation.</v>
      </c>
      <c r="O152" s="10" t="str">
        <f t="shared" si="3"/>
        <v>LU006315.004</v>
      </c>
      <c r="P152" s="10" t="str">
        <f ca="1">IFERROR(__xludf.DUMMYFUNCTION("VLOOKUP(O152, IMPORTRANGE(""https://docs.google.com/spreadsheets/d/1yDAaXNsi4Mr5FtRQL4tbmSdIzhx6_m4wkOD7IG-k_eo/edit#gid=1336395716"", ""Science!M:N""), 2, FALSE)"),"Analyze the factors affecting honey production.")</f>
        <v>Analyze the factors affecting honey production.</v>
      </c>
      <c r="Q152" s="10" t="str">
        <f t="shared" si="4"/>
        <v>LU006315.005</v>
      </c>
      <c r="R152" s="10" t="str">
        <f ca="1">IFERROR(__xludf.DUMMYFUNCTION("VLOOKUP(Q152, IMPORTRANGE(""https://docs.google.com/spreadsheets/d/1yDAaXNsi4Mr5FtRQL4tbmSdIzhx6_m4wkOD7IG-k_eo/edit#gid=1336395716"", ""Science!M:N""), 2, FALSE)"),"Evaluate the benefits of bee-keeping for farmers.")</f>
        <v>Evaluate the benefits of bee-keeping for farmers.</v>
      </c>
      <c r="S152" s="10" t="str">
        <f t="shared" si="5"/>
        <v>LU006315.006</v>
      </c>
      <c r="T152" s="10" t="str">
        <f ca="1">IFERROR(__xludf.DUMMYFUNCTION("VLOOKUP(S152, IMPORTRANGE(""https://docs.google.com/spreadsheets/d/1yDAaXNsi4Mr5FtRQL4tbmSdIzhx6_m4wkOD7IG-k_eo/edit#gid=1336395716"", ""Science!M:N""), 2, FALSE)"),"Develop a bee-keeping plan that includes best practices for hive management and honey production.")</f>
        <v>Develop a bee-keeping plan that includes best practices for hive management and honey production.</v>
      </c>
      <c r="U152" s="11" t="str">
        <f ca="1">IFERROR(__xludf.DUMMYFUNCTION("ArrayFormula(VLOOKUP(G152, IMPORTRANGE(""https://docs.google.com/spreadsheets/d/1p7R4vtkWt5VOBim4ltsDG9KTzSjrtKXsMtQGXPHyND0/edit#gid=795171502"", ""'Filter 30_05_2024'!A1:M2000""), {2, 3, 4, 5,6,7,8,9,10,11,12,13}, 0))"),"#N/A")</f>
        <v>#N/A</v>
      </c>
      <c r="V152" s="11" t="str">
        <f ca="1">IFERROR(__xludf.DUMMYFUNCTION("""COMPUTED_VALUE"""),"#N/A")</f>
        <v>#N/A</v>
      </c>
      <c r="W152" s="11" t="str">
        <f ca="1">IFERROR(__xludf.DUMMYFUNCTION("""COMPUTED_VALUE"""),"#N/A")</f>
        <v>#N/A</v>
      </c>
      <c r="X152" s="11" t="str">
        <f ca="1">IFERROR(__xludf.DUMMYFUNCTION("""COMPUTED_VALUE"""),"#N/A")</f>
        <v>#N/A</v>
      </c>
      <c r="Y152" s="11" t="str">
        <f ca="1">IFERROR(__xludf.DUMMYFUNCTION("""COMPUTED_VALUE"""),"#N/A")</f>
        <v>#N/A</v>
      </c>
      <c r="Z152" s="12" t="str">
        <f ca="1">IFERROR(__xludf.DUMMYFUNCTION("""COMPUTED_VALUE"""),"#N/A")</f>
        <v>#N/A</v>
      </c>
      <c r="AA152" s="12" t="str">
        <f ca="1">IFERROR(__xludf.DUMMYFUNCTION("""COMPUTED_VALUE"""),"#N/A")</f>
        <v>#N/A</v>
      </c>
      <c r="AB152" s="12" t="str">
        <f ca="1">IFERROR(__xludf.DUMMYFUNCTION("""COMPUTED_VALUE"""),"#N/A")</f>
        <v>#N/A</v>
      </c>
      <c r="AC152" s="12" t="str">
        <f ca="1">IFERROR(__xludf.DUMMYFUNCTION("""COMPUTED_VALUE"""),"#N/A")</f>
        <v>#N/A</v>
      </c>
      <c r="AD152" s="12" t="str">
        <f ca="1">IFERROR(__xludf.DUMMYFUNCTION("""COMPUTED_VALUE"""),"#N/A")</f>
        <v>#N/A</v>
      </c>
      <c r="AE152" s="12" t="str">
        <f ca="1">IFERROR(__xludf.DUMMYFUNCTION("""COMPUTED_VALUE"""),"#N/A")</f>
        <v>#N/A</v>
      </c>
      <c r="AF152" s="12" t="str">
        <f ca="1">IFERROR(__xludf.DUMMYFUNCTION("""COMPUTED_VALUE"""),"#N/A")</f>
        <v>#N/A</v>
      </c>
      <c r="AG152" s="13" t="str">
        <f ca="1">IFERROR(__xludf.DUMMYFUNCTION("ArrayFormula(VLOOKUP(G152, IMPORTRANGE(""https://docs.google.com/spreadsheets/d/1Co934fvtviyaRiMsrIlT05Jaq7iiYq07aLvRr35KA48/edit?gid=173865642#gid=173865642"", ""'G9 Sci_Pri_LU'!G2:V2000""), {3, 4, 5, 6, 7, 8, 9, 10, 11, 12, 13, 14, 15, 16}, 0))"),"")</f>
        <v/>
      </c>
      <c r="AH152" s="22"/>
      <c r="AI152" s="13"/>
      <c r="AJ152" s="13"/>
      <c r="AK152" s="13"/>
      <c r="AL152" s="13"/>
      <c r="AM152" s="13"/>
      <c r="AN152" s="13"/>
      <c r="AO152" s="13"/>
      <c r="AP152" s="13"/>
      <c r="AQ152" s="13"/>
      <c r="AR152" s="13"/>
      <c r="AS152" s="13"/>
      <c r="AT152" s="13"/>
    </row>
    <row r="153" spans="1:46">
      <c r="A153" s="9"/>
      <c r="B153" s="9"/>
      <c r="C153" s="9"/>
      <c r="D153" s="9"/>
      <c r="E153" s="9"/>
      <c r="F153" s="9"/>
      <c r="G153" s="9"/>
      <c r="H153" s="8"/>
      <c r="I153" s="10"/>
      <c r="J153" s="10"/>
      <c r="K153" s="10"/>
      <c r="L153" s="10"/>
      <c r="M153" s="10"/>
      <c r="N153" s="10"/>
      <c r="O153" s="10"/>
      <c r="P153" s="10"/>
      <c r="Q153" s="10"/>
      <c r="R153" s="10"/>
      <c r="S153" s="10"/>
      <c r="T153" s="10"/>
      <c r="U153" s="11"/>
      <c r="V153" s="11"/>
      <c r="W153" s="11"/>
      <c r="X153" s="11"/>
      <c r="Y153" s="11"/>
      <c r="Z153" s="12"/>
      <c r="AA153" s="12"/>
      <c r="AB153" s="12"/>
      <c r="AC153" s="12"/>
      <c r="AD153" s="12"/>
      <c r="AE153" s="12"/>
      <c r="AF153" s="12"/>
      <c r="AG153" s="22"/>
      <c r="AH153" s="22"/>
      <c r="AI153" s="13"/>
      <c r="AJ153" s="13"/>
      <c r="AK153" s="13"/>
      <c r="AL153" s="13"/>
      <c r="AM153" s="13"/>
    </row>
    <row r="154" spans="1:46">
      <c r="A154" s="9"/>
      <c r="B154" s="9"/>
      <c r="C154" s="9"/>
      <c r="D154" s="9"/>
      <c r="E154" s="9"/>
      <c r="F154" s="8"/>
      <c r="G154" s="8"/>
      <c r="H154" s="8"/>
      <c r="I154" s="10"/>
      <c r="J154" s="10"/>
      <c r="K154" s="10"/>
      <c r="L154" s="10"/>
      <c r="M154" s="10"/>
      <c r="N154" s="10"/>
      <c r="O154" s="10"/>
      <c r="P154" s="10"/>
      <c r="Q154" s="10"/>
      <c r="R154" s="10"/>
      <c r="S154" s="10"/>
      <c r="T154" s="10"/>
      <c r="U154" s="11"/>
      <c r="V154" s="11"/>
      <c r="W154" s="11"/>
      <c r="X154" s="11"/>
      <c r="Y154" s="11"/>
      <c r="Z154" s="12"/>
      <c r="AA154" s="12"/>
      <c r="AB154" s="12"/>
      <c r="AC154" s="12"/>
      <c r="AD154" s="12"/>
      <c r="AE154" s="12"/>
      <c r="AF154" s="12"/>
      <c r="AG154" s="22"/>
      <c r="AH154" s="22"/>
      <c r="AI154" s="13"/>
      <c r="AJ154" s="13"/>
      <c r="AK154" s="13"/>
      <c r="AL154" s="13"/>
      <c r="AM154" s="13"/>
    </row>
    <row r="155" spans="1:46">
      <c r="A155" s="9"/>
      <c r="B155" s="9"/>
      <c r="C155" s="9"/>
      <c r="D155" s="9"/>
      <c r="E155" s="9"/>
      <c r="F155" s="9"/>
      <c r="G155" s="9"/>
      <c r="H155" s="8"/>
      <c r="I155" s="10"/>
      <c r="J155" s="10"/>
      <c r="K155" s="10"/>
      <c r="L155" s="10"/>
      <c r="M155" s="10"/>
      <c r="N155" s="10"/>
      <c r="O155" s="10"/>
      <c r="P155" s="10"/>
      <c r="Q155" s="10"/>
      <c r="R155" s="10"/>
      <c r="S155" s="10"/>
      <c r="T155" s="10"/>
      <c r="U155" s="11"/>
      <c r="V155" s="11"/>
      <c r="W155" s="11"/>
      <c r="X155" s="11"/>
      <c r="Y155" s="11"/>
      <c r="Z155" s="12"/>
      <c r="AA155" s="12"/>
      <c r="AB155" s="12"/>
      <c r="AC155" s="12"/>
      <c r="AD155" s="12"/>
      <c r="AE155" s="12"/>
      <c r="AF155" s="12"/>
      <c r="AG155" s="22"/>
      <c r="AH155" s="22"/>
      <c r="AI155" s="13"/>
      <c r="AJ155" s="13"/>
      <c r="AK155" s="13"/>
      <c r="AL155" s="13"/>
      <c r="AM155" s="13"/>
    </row>
    <row r="156" spans="1:46">
      <c r="A156" s="9"/>
      <c r="B156" s="9"/>
      <c r="C156" s="9"/>
      <c r="D156" s="9"/>
      <c r="E156" s="9"/>
      <c r="F156" s="9"/>
      <c r="G156" s="9"/>
      <c r="H156" s="8"/>
      <c r="I156" s="10"/>
      <c r="J156" s="10"/>
      <c r="K156" s="10"/>
      <c r="L156" s="10"/>
      <c r="M156" s="10"/>
      <c r="N156" s="10"/>
      <c r="O156" s="10"/>
      <c r="P156" s="10"/>
      <c r="Q156" s="10"/>
      <c r="R156" s="10"/>
      <c r="S156" s="10"/>
      <c r="T156" s="10"/>
      <c r="U156" s="11"/>
      <c r="V156" s="11"/>
      <c r="W156" s="11"/>
      <c r="X156" s="11"/>
      <c r="Y156" s="11"/>
      <c r="Z156" s="12"/>
      <c r="AA156" s="12"/>
      <c r="AB156" s="12"/>
      <c r="AC156" s="12"/>
      <c r="AD156" s="12"/>
      <c r="AE156" s="12"/>
      <c r="AF156" s="12"/>
      <c r="AG156" s="22"/>
      <c r="AH156" s="22"/>
      <c r="AI156" s="13"/>
      <c r="AJ156" s="13"/>
      <c r="AK156" s="13"/>
      <c r="AL156" s="13"/>
      <c r="AM156" s="13"/>
    </row>
    <row r="157" spans="1:46">
      <c r="A157" s="9"/>
      <c r="B157" s="9"/>
      <c r="C157" s="9"/>
      <c r="D157" s="9"/>
      <c r="E157" s="9"/>
      <c r="F157" s="9"/>
      <c r="G157" s="9"/>
      <c r="H157" s="8"/>
      <c r="I157" s="10"/>
      <c r="J157" s="10"/>
      <c r="K157" s="10"/>
      <c r="L157" s="10"/>
      <c r="M157" s="10"/>
      <c r="N157" s="10"/>
      <c r="O157" s="10"/>
      <c r="P157" s="10"/>
      <c r="Q157" s="10"/>
      <c r="R157" s="10"/>
      <c r="S157" s="10"/>
      <c r="T157" s="10"/>
      <c r="U157" s="11"/>
      <c r="V157" s="11"/>
      <c r="W157" s="11"/>
      <c r="X157" s="11"/>
      <c r="Y157" s="11"/>
      <c r="Z157" s="12"/>
      <c r="AA157" s="12"/>
      <c r="AB157" s="12"/>
      <c r="AC157" s="12"/>
      <c r="AD157" s="12"/>
      <c r="AE157" s="12"/>
      <c r="AF157" s="12"/>
      <c r="AG157" s="22"/>
      <c r="AH157" s="22"/>
      <c r="AI157" s="13"/>
      <c r="AJ157" s="13"/>
      <c r="AK157" s="13"/>
      <c r="AL157" s="13"/>
      <c r="AM157" s="13"/>
    </row>
    <row r="158" spans="1:46">
      <c r="A158" s="9"/>
      <c r="B158" s="9"/>
      <c r="C158" s="9"/>
      <c r="D158" s="9"/>
      <c r="E158" s="9"/>
      <c r="F158" s="9"/>
      <c r="G158" s="9"/>
      <c r="H158" s="8"/>
      <c r="I158" s="10"/>
      <c r="J158" s="10"/>
      <c r="K158" s="10"/>
      <c r="L158" s="10"/>
      <c r="M158" s="10"/>
      <c r="N158" s="10"/>
      <c r="O158" s="10"/>
      <c r="P158" s="10"/>
      <c r="Q158" s="10"/>
      <c r="R158" s="10"/>
      <c r="S158" s="10"/>
      <c r="T158" s="10"/>
      <c r="U158" s="11"/>
      <c r="V158" s="11"/>
      <c r="W158" s="11"/>
      <c r="X158" s="11"/>
      <c r="Y158" s="11"/>
      <c r="Z158" s="12"/>
      <c r="AA158" s="12"/>
      <c r="AB158" s="12"/>
      <c r="AC158" s="12"/>
      <c r="AD158" s="12"/>
      <c r="AE158" s="12"/>
      <c r="AF158" s="12"/>
      <c r="AG158" s="22"/>
      <c r="AH158" s="22"/>
      <c r="AI158" s="13"/>
      <c r="AJ158" s="13"/>
      <c r="AK158" s="13"/>
      <c r="AL158" s="13"/>
      <c r="AM158" s="13"/>
    </row>
    <row r="159" spans="1:46">
      <c r="A159" s="9"/>
      <c r="B159" s="9"/>
      <c r="C159" s="9"/>
      <c r="D159" s="9"/>
      <c r="E159" s="9"/>
      <c r="F159" s="9"/>
      <c r="G159" s="9"/>
      <c r="H159" s="8"/>
      <c r="I159" s="10"/>
      <c r="J159" s="10"/>
      <c r="K159" s="10"/>
      <c r="L159" s="10"/>
      <c r="M159" s="10"/>
      <c r="N159" s="10"/>
      <c r="O159" s="10"/>
      <c r="P159" s="10"/>
      <c r="Q159" s="10"/>
      <c r="R159" s="10"/>
      <c r="S159" s="10"/>
      <c r="T159" s="10"/>
      <c r="U159" s="11"/>
      <c r="V159" s="11"/>
      <c r="W159" s="11"/>
      <c r="X159" s="11"/>
      <c r="Y159" s="11"/>
      <c r="Z159" s="12"/>
      <c r="AA159" s="12"/>
      <c r="AB159" s="12"/>
      <c r="AC159" s="12"/>
      <c r="AD159" s="12"/>
      <c r="AE159" s="12"/>
      <c r="AF159" s="12"/>
      <c r="AG159" s="22"/>
      <c r="AH159" s="22"/>
      <c r="AI159" s="13"/>
      <c r="AJ159" s="13"/>
      <c r="AK159" s="13"/>
      <c r="AL159" s="13"/>
      <c r="AM159" s="13"/>
    </row>
    <row r="160" spans="1:46">
      <c r="A160" s="9"/>
      <c r="B160" s="9"/>
      <c r="C160" s="9"/>
      <c r="D160" s="9"/>
      <c r="E160" s="9"/>
      <c r="F160" s="9"/>
      <c r="G160" s="9"/>
      <c r="H160" s="8"/>
      <c r="I160" s="10"/>
      <c r="J160" s="10"/>
      <c r="K160" s="10"/>
      <c r="L160" s="10"/>
      <c r="M160" s="10"/>
      <c r="N160" s="10"/>
      <c r="O160" s="10"/>
      <c r="P160" s="10"/>
      <c r="Q160" s="10"/>
      <c r="R160" s="10"/>
      <c r="S160" s="10"/>
      <c r="T160" s="10"/>
      <c r="U160" s="11"/>
      <c r="V160" s="11"/>
      <c r="W160" s="11"/>
      <c r="X160" s="11"/>
      <c r="Y160" s="11"/>
      <c r="Z160" s="12"/>
      <c r="AA160" s="12"/>
      <c r="AB160" s="12"/>
      <c r="AC160" s="12"/>
      <c r="AD160" s="12"/>
      <c r="AE160" s="12"/>
      <c r="AF160" s="12"/>
      <c r="AG160" s="22"/>
      <c r="AH160" s="22"/>
      <c r="AI160" s="13"/>
      <c r="AJ160" s="13"/>
      <c r="AK160" s="13"/>
      <c r="AL160" s="13"/>
      <c r="AM160" s="13"/>
    </row>
    <row r="161" spans="1:39">
      <c r="A161" s="9"/>
      <c r="B161" s="9"/>
      <c r="C161" s="9"/>
      <c r="D161" s="9"/>
      <c r="E161" s="9"/>
      <c r="F161" s="9"/>
      <c r="G161" s="9"/>
      <c r="H161" s="8"/>
      <c r="I161" s="10"/>
      <c r="J161" s="10"/>
      <c r="K161" s="10"/>
      <c r="L161" s="10"/>
      <c r="M161" s="10"/>
      <c r="N161" s="10"/>
      <c r="O161" s="10"/>
      <c r="P161" s="10"/>
      <c r="Q161" s="10"/>
      <c r="R161" s="10"/>
      <c r="S161" s="10"/>
      <c r="T161" s="10"/>
      <c r="U161" s="11"/>
      <c r="V161" s="11"/>
      <c r="W161" s="11"/>
      <c r="X161" s="11"/>
      <c r="Y161" s="11"/>
      <c r="Z161" s="12"/>
      <c r="AA161" s="12"/>
      <c r="AB161" s="12"/>
      <c r="AC161" s="12"/>
      <c r="AD161" s="12"/>
      <c r="AE161" s="12"/>
      <c r="AF161" s="12"/>
      <c r="AG161" s="22"/>
      <c r="AH161" s="22"/>
      <c r="AI161" s="13"/>
      <c r="AJ161" s="13"/>
      <c r="AK161" s="13"/>
      <c r="AL161" s="13"/>
      <c r="AM161" s="13"/>
    </row>
    <row r="162" spans="1:39">
      <c r="A162" s="9"/>
      <c r="B162" s="9"/>
      <c r="C162" s="9"/>
      <c r="D162" s="9"/>
      <c r="E162" s="9"/>
      <c r="F162" s="9"/>
      <c r="G162" s="9"/>
      <c r="H162" s="8"/>
      <c r="I162" s="10"/>
      <c r="J162" s="10"/>
      <c r="K162" s="10"/>
      <c r="L162" s="10"/>
      <c r="M162" s="10"/>
      <c r="N162" s="10"/>
      <c r="O162" s="10"/>
      <c r="P162" s="10"/>
      <c r="Q162" s="10"/>
      <c r="R162" s="10"/>
      <c r="S162" s="10"/>
      <c r="T162" s="10"/>
      <c r="U162" s="11"/>
      <c r="V162" s="11"/>
      <c r="W162" s="11"/>
      <c r="X162" s="11"/>
      <c r="Y162" s="11"/>
      <c r="Z162" s="12"/>
      <c r="AA162" s="12"/>
      <c r="AB162" s="12"/>
      <c r="AC162" s="12"/>
      <c r="AD162" s="12"/>
      <c r="AE162" s="12"/>
      <c r="AF162" s="12"/>
      <c r="AG162" s="22"/>
      <c r="AH162" s="22"/>
      <c r="AI162" s="13"/>
      <c r="AJ162" s="13"/>
      <c r="AK162" s="13"/>
      <c r="AL162" s="13"/>
      <c r="AM162" s="13"/>
    </row>
    <row r="163" spans="1:39">
      <c r="A163" s="9"/>
      <c r="B163" s="9"/>
      <c r="C163" s="9"/>
      <c r="D163" s="9"/>
      <c r="E163" s="9"/>
      <c r="F163" s="9"/>
      <c r="G163" s="9"/>
      <c r="H163" s="9"/>
      <c r="I163" s="10"/>
      <c r="J163" s="10"/>
      <c r="K163" s="10"/>
      <c r="L163" s="10"/>
      <c r="M163" s="10"/>
      <c r="N163" s="10"/>
      <c r="O163" s="10"/>
      <c r="P163" s="10"/>
      <c r="Q163" s="10"/>
      <c r="R163" s="10"/>
      <c r="S163" s="10"/>
      <c r="T163" s="10"/>
      <c r="U163" s="11"/>
      <c r="V163" s="11"/>
      <c r="W163" s="11"/>
      <c r="X163" s="11"/>
      <c r="Y163" s="11"/>
      <c r="Z163" s="12"/>
      <c r="AA163" s="12"/>
      <c r="AB163" s="12"/>
      <c r="AC163" s="12"/>
      <c r="AD163" s="12"/>
      <c r="AE163" s="12"/>
      <c r="AF163" s="12"/>
      <c r="AG163" s="22"/>
      <c r="AH163" s="22"/>
      <c r="AI163" s="13"/>
      <c r="AJ163" s="13"/>
      <c r="AK163" s="13"/>
      <c r="AL163" s="13"/>
      <c r="AM163" s="13"/>
    </row>
    <row r="164" spans="1:39">
      <c r="A164" s="9"/>
      <c r="B164" s="9"/>
      <c r="C164" s="9"/>
      <c r="D164" s="9"/>
      <c r="E164" s="9"/>
      <c r="F164" s="9"/>
      <c r="G164" s="9"/>
      <c r="H164" s="9"/>
      <c r="I164" s="10"/>
      <c r="J164" s="10"/>
      <c r="K164" s="10"/>
      <c r="L164" s="10"/>
      <c r="M164" s="10"/>
      <c r="N164" s="10"/>
      <c r="O164" s="10"/>
      <c r="P164" s="10"/>
      <c r="Q164" s="10"/>
      <c r="R164" s="10"/>
      <c r="S164" s="10"/>
      <c r="T164" s="10"/>
      <c r="U164" s="11"/>
      <c r="V164" s="11"/>
      <c r="W164" s="11"/>
      <c r="X164" s="11"/>
      <c r="Y164" s="11"/>
      <c r="Z164" s="12"/>
      <c r="AA164" s="12"/>
      <c r="AB164" s="12"/>
      <c r="AC164" s="12"/>
      <c r="AD164" s="12"/>
      <c r="AE164" s="12"/>
      <c r="AF164" s="12"/>
      <c r="AG164" s="22"/>
      <c r="AH164" s="22"/>
      <c r="AI164" s="13"/>
      <c r="AJ164" s="13"/>
      <c r="AK164" s="13"/>
      <c r="AL164" s="13"/>
      <c r="AM164" s="13"/>
    </row>
    <row r="165" spans="1:39">
      <c r="A165" s="9"/>
      <c r="B165" s="9"/>
      <c r="C165" s="9"/>
      <c r="D165" s="9"/>
      <c r="E165" s="9"/>
      <c r="F165" s="9"/>
      <c r="G165" s="9"/>
      <c r="H165" s="9"/>
      <c r="I165" s="10"/>
      <c r="J165" s="10"/>
      <c r="K165" s="10"/>
      <c r="L165" s="10"/>
      <c r="M165" s="10"/>
      <c r="N165" s="10"/>
      <c r="O165" s="10"/>
      <c r="P165" s="10"/>
      <c r="Q165" s="10"/>
      <c r="R165" s="10"/>
      <c r="S165" s="10"/>
      <c r="T165" s="10"/>
      <c r="U165" s="11"/>
      <c r="V165" s="11"/>
      <c r="W165" s="11"/>
      <c r="X165" s="11"/>
      <c r="Y165" s="11"/>
      <c r="Z165" s="12"/>
      <c r="AA165" s="12"/>
      <c r="AB165" s="12"/>
      <c r="AC165" s="12"/>
      <c r="AD165" s="12"/>
      <c r="AE165" s="12"/>
      <c r="AF165" s="12"/>
      <c r="AG165" s="22"/>
      <c r="AH165" s="22"/>
      <c r="AI165" s="13"/>
      <c r="AJ165" s="13"/>
      <c r="AK165" s="13"/>
      <c r="AL165" s="13"/>
      <c r="AM165" s="13"/>
    </row>
    <row r="166" spans="1:39">
      <c r="A166" s="8"/>
      <c r="B166" s="8"/>
      <c r="C166" s="8"/>
      <c r="D166" s="8"/>
      <c r="E166" s="8"/>
      <c r="F166" s="8"/>
      <c r="G166" s="8"/>
      <c r="H166" s="8"/>
      <c r="I166" s="8"/>
      <c r="J166" s="8"/>
      <c r="K166" s="8"/>
      <c r="L166" s="8"/>
      <c r="M166" s="8"/>
      <c r="N166" s="8"/>
      <c r="O166" s="8"/>
      <c r="P166" s="8"/>
      <c r="Q166" s="8"/>
      <c r="R166" s="8"/>
      <c r="S166" s="8"/>
      <c r="T166" s="8"/>
      <c r="U166" s="11"/>
      <c r="V166" s="11"/>
      <c r="W166" s="11"/>
      <c r="X166" s="11"/>
      <c r="Y166" s="11"/>
      <c r="Z166" s="12"/>
      <c r="AA166" s="12"/>
      <c r="AB166" s="12"/>
      <c r="AC166" s="12"/>
      <c r="AD166" s="12"/>
      <c r="AE166" s="12"/>
      <c r="AF166" s="12"/>
      <c r="AG166" s="22"/>
      <c r="AH166" s="22"/>
      <c r="AI166" s="13"/>
      <c r="AJ166" s="13"/>
      <c r="AK166" s="13"/>
      <c r="AL166" s="13"/>
      <c r="AM166" s="13"/>
    </row>
    <row r="167" spans="1:39">
      <c r="A167" s="8"/>
      <c r="B167" s="8"/>
      <c r="C167" s="8"/>
      <c r="D167" s="8"/>
      <c r="E167" s="8"/>
      <c r="F167" s="8"/>
      <c r="G167" s="8"/>
      <c r="H167" s="8"/>
      <c r="I167" s="8"/>
      <c r="J167" s="8"/>
      <c r="K167" s="8"/>
      <c r="L167" s="8"/>
      <c r="M167" s="8"/>
      <c r="N167" s="8"/>
      <c r="O167" s="8"/>
      <c r="P167" s="8"/>
      <c r="Q167" s="8"/>
      <c r="R167" s="8"/>
      <c r="S167" s="8"/>
      <c r="T167" s="8"/>
      <c r="U167" s="11"/>
      <c r="V167" s="11"/>
      <c r="W167" s="11"/>
      <c r="X167" s="11"/>
      <c r="Y167" s="11"/>
      <c r="Z167" s="12"/>
      <c r="AA167" s="12"/>
      <c r="AB167" s="12"/>
      <c r="AC167" s="12"/>
      <c r="AD167" s="12"/>
      <c r="AE167" s="12"/>
      <c r="AF167" s="12"/>
      <c r="AG167" s="22"/>
      <c r="AH167" s="22"/>
      <c r="AI167" s="13"/>
      <c r="AJ167" s="13"/>
      <c r="AK167" s="13"/>
      <c r="AL167" s="13"/>
      <c r="AM167" s="13"/>
    </row>
    <row r="168" spans="1:39">
      <c r="A168" s="8"/>
      <c r="B168" s="8"/>
      <c r="C168" s="8"/>
      <c r="D168" s="8"/>
      <c r="E168" s="8"/>
      <c r="F168" s="8"/>
      <c r="G168" s="8"/>
      <c r="H168" s="8"/>
      <c r="I168" s="8"/>
      <c r="J168" s="8"/>
      <c r="K168" s="8"/>
      <c r="L168" s="8"/>
      <c r="M168" s="8"/>
      <c r="N168" s="8"/>
      <c r="O168" s="8"/>
      <c r="P168" s="8"/>
      <c r="Q168" s="8"/>
      <c r="R168" s="8"/>
      <c r="S168" s="8"/>
      <c r="T168" s="8"/>
      <c r="U168" s="11"/>
      <c r="V168" s="11"/>
      <c r="W168" s="11"/>
      <c r="X168" s="11"/>
      <c r="Y168" s="11"/>
      <c r="Z168" s="12"/>
      <c r="AA168" s="12"/>
      <c r="AB168" s="12"/>
      <c r="AC168" s="12"/>
      <c r="AD168" s="12"/>
      <c r="AE168" s="12"/>
      <c r="AF168" s="12"/>
      <c r="AG168" s="22"/>
      <c r="AH168" s="22"/>
      <c r="AI168" s="13"/>
      <c r="AJ168" s="13"/>
      <c r="AK168" s="13"/>
      <c r="AL168" s="13"/>
      <c r="AM168" s="13"/>
    </row>
    <row r="169" spans="1:39">
      <c r="A169" s="8"/>
      <c r="B169" s="8"/>
      <c r="C169" s="8"/>
      <c r="D169" s="8"/>
      <c r="E169" s="8"/>
      <c r="F169" s="8"/>
      <c r="G169" s="8"/>
      <c r="H169" s="8"/>
      <c r="I169" s="8"/>
      <c r="J169" s="8"/>
      <c r="K169" s="8"/>
      <c r="L169" s="8"/>
      <c r="M169" s="8"/>
      <c r="N169" s="8"/>
      <c r="O169" s="8"/>
      <c r="P169" s="8"/>
      <c r="Q169" s="8"/>
      <c r="R169" s="8"/>
      <c r="S169" s="8"/>
      <c r="T169" s="8"/>
      <c r="U169" s="11"/>
      <c r="V169" s="11"/>
      <c r="W169" s="11"/>
      <c r="X169" s="11"/>
      <c r="Y169" s="11"/>
      <c r="Z169" s="12"/>
      <c r="AA169" s="12"/>
      <c r="AB169" s="12"/>
      <c r="AC169" s="12"/>
      <c r="AD169" s="12"/>
      <c r="AE169" s="12"/>
      <c r="AF169" s="12"/>
      <c r="AG169" s="22"/>
      <c r="AH169" s="22"/>
      <c r="AI169" s="13"/>
      <c r="AJ169" s="13"/>
      <c r="AK169" s="13"/>
      <c r="AL169" s="13"/>
      <c r="AM169" s="13"/>
    </row>
    <row r="170" spans="1:39">
      <c r="A170" s="8"/>
      <c r="B170" s="8"/>
      <c r="C170" s="8"/>
      <c r="D170" s="8"/>
      <c r="E170" s="8"/>
      <c r="F170" s="8"/>
      <c r="G170" s="8"/>
      <c r="H170" s="8"/>
      <c r="I170" s="8"/>
      <c r="J170" s="8"/>
      <c r="K170" s="8"/>
      <c r="L170" s="8"/>
      <c r="M170" s="8"/>
      <c r="N170" s="8"/>
      <c r="O170" s="8"/>
      <c r="P170" s="8"/>
      <c r="Q170" s="8"/>
      <c r="R170" s="8"/>
      <c r="S170" s="8"/>
      <c r="T170" s="8"/>
      <c r="U170" s="11"/>
      <c r="V170" s="11"/>
      <c r="W170" s="11"/>
      <c r="X170" s="11"/>
      <c r="Y170" s="11"/>
      <c r="Z170" s="12"/>
      <c r="AA170" s="12"/>
      <c r="AB170" s="12"/>
      <c r="AC170" s="12"/>
      <c r="AD170" s="12"/>
      <c r="AE170" s="12"/>
      <c r="AF170" s="12"/>
      <c r="AG170" s="22"/>
      <c r="AH170" s="22"/>
      <c r="AI170" s="13"/>
      <c r="AJ170" s="13"/>
      <c r="AK170" s="13"/>
      <c r="AL170" s="13"/>
      <c r="AM170" s="13"/>
    </row>
    <row r="171" spans="1:39">
      <c r="A171" s="8"/>
      <c r="B171" s="8"/>
      <c r="C171" s="8"/>
      <c r="D171" s="8"/>
      <c r="E171" s="8"/>
      <c r="F171" s="8"/>
      <c r="G171" s="8"/>
      <c r="H171" s="8"/>
      <c r="I171" s="8"/>
      <c r="J171" s="8"/>
      <c r="K171" s="8"/>
      <c r="L171" s="8"/>
      <c r="M171" s="8"/>
      <c r="N171" s="8"/>
      <c r="O171" s="8"/>
      <c r="P171" s="8"/>
      <c r="Q171" s="8"/>
      <c r="R171" s="8"/>
      <c r="S171" s="8"/>
      <c r="T171" s="8"/>
      <c r="U171" s="11"/>
      <c r="V171" s="11"/>
      <c r="W171" s="11"/>
      <c r="X171" s="11"/>
      <c r="Y171" s="11"/>
      <c r="Z171" s="12"/>
      <c r="AA171" s="12"/>
      <c r="AB171" s="12"/>
      <c r="AC171" s="12"/>
      <c r="AD171" s="12"/>
      <c r="AE171" s="12"/>
      <c r="AF171" s="12"/>
      <c r="AG171" s="22"/>
      <c r="AH171" s="22"/>
      <c r="AI171" s="13"/>
      <c r="AJ171" s="13"/>
      <c r="AK171" s="13"/>
      <c r="AL171" s="13"/>
      <c r="AM171" s="13"/>
    </row>
    <row r="172" spans="1:39">
      <c r="A172" s="8"/>
      <c r="B172" s="8"/>
      <c r="C172" s="8"/>
      <c r="D172" s="8"/>
      <c r="E172" s="8"/>
      <c r="F172" s="8"/>
      <c r="G172" s="8"/>
      <c r="H172" s="8"/>
      <c r="I172" s="8"/>
      <c r="J172" s="8"/>
      <c r="K172" s="8"/>
      <c r="L172" s="8"/>
      <c r="M172" s="8"/>
      <c r="N172" s="8"/>
      <c r="O172" s="8"/>
      <c r="P172" s="8"/>
      <c r="Q172" s="8"/>
      <c r="R172" s="8"/>
      <c r="S172" s="8"/>
      <c r="T172" s="8"/>
      <c r="U172" s="11"/>
      <c r="V172" s="11"/>
      <c r="W172" s="11"/>
      <c r="X172" s="11"/>
      <c r="Y172" s="11"/>
      <c r="Z172" s="12"/>
      <c r="AA172" s="12"/>
      <c r="AB172" s="12"/>
      <c r="AC172" s="12"/>
      <c r="AD172" s="12"/>
      <c r="AE172" s="12"/>
      <c r="AF172" s="12"/>
      <c r="AG172" s="22"/>
      <c r="AH172" s="22"/>
      <c r="AI172" s="13"/>
      <c r="AJ172" s="13"/>
      <c r="AK172" s="13"/>
      <c r="AL172" s="13"/>
      <c r="AM172" s="13"/>
    </row>
    <row r="173" spans="1:39">
      <c r="A173" s="8"/>
      <c r="B173" s="8"/>
      <c r="C173" s="8"/>
      <c r="D173" s="8"/>
      <c r="E173" s="8"/>
      <c r="F173" s="8"/>
      <c r="G173" s="8"/>
      <c r="H173" s="8"/>
      <c r="I173" s="8"/>
      <c r="J173" s="8"/>
      <c r="K173" s="8"/>
      <c r="L173" s="8"/>
      <c r="M173" s="8"/>
      <c r="N173" s="8"/>
      <c r="O173" s="8"/>
      <c r="P173" s="8"/>
      <c r="Q173" s="8"/>
      <c r="R173" s="8"/>
      <c r="S173" s="8"/>
      <c r="T173" s="8"/>
      <c r="U173" s="11"/>
      <c r="V173" s="11"/>
      <c r="W173" s="11"/>
      <c r="X173" s="11"/>
      <c r="Y173" s="11"/>
      <c r="Z173" s="12"/>
      <c r="AA173" s="12"/>
      <c r="AB173" s="12"/>
      <c r="AC173" s="12"/>
      <c r="AD173" s="12"/>
      <c r="AE173" s="12"/>
      <c r="AF173" s="12"/>
      <c r="AG173" s="22"/>
      <c r="AH173" s="22"/>
      <c r="AI173" s="13"/>
      <c r="AJ173" s="13"/>
      <c r="AK173" s="13"/>
      <c r="AL173" s="13"/>
      <c r="AM173" s="13"/>
    </row>
    <row r="174" spans="1:39">
      <c r="A174" s="8"/>
      <c r="B174" s="8"/>
      <c r="C174" s="8"/>
      <c r="D174" s="8"/>
      <c r="E174" s="8"/>
      <c r="F174" s="8"/>
      <c r="G174" s="8"/>
      <c r="H174" s="8"/>
      <c r="I174" s="8"/>
      <c r="J174" s="8"/>
      <c r="K174" s="8"/>
      <c r="L174" s="8"/>
      <c r="M174" s="8"/>
      <c r="N174" s="8"/>
      <c r="O174" s="8"/>
      <c r="P174" s="8"/>
      <c r="Q174" s="8"/>
      <c r="R174" s="8"/>
      <c r="S174" s="8"/>
      <c r="T174" s="8"/>
      <c r="U174" s="11"/>
      <c r="V174" s="11"/>
      <c r="W174" s="11"/>
      <c r="X174" s="11"/>
      <c r="Y174" s="11"/>
      <c r="Z174" s="12"/>
      <c r="AA174" s="12"/>
      <c r="AB174" s="12"/>
      <c r="AC174" s="12"/>
      <c r="AD174" s="12"/>
      <c r="AE174" s="12"/>
      <c r="AF174" s="12"/>
      <c r="AG174" s="22"/>
      <c r="AH174" s="22"/>
      <c r="AI174" s="13"/>
      <c r="AJ174" s="13"/>
      <c r="AK174" s="13"/>
      <c r="AL174" s="13"/>
      <c r="AM174" s="13"/>
    </row>
    <row r="175" spans="1:39">
      <c r="A175" s="8"/>
      <c r="B175" s="8"/>
      <c r="C175" s="8"/>
      <c r="D175" s="8"/>
      <c r="E175" s="8"/>
      <c r="F175" s="8"/>
      <c r="G175" s="8"/>
      <c r="H175" s="8"/>
      <c r="I175" s="8"/>
      <c r="J175" s="8"/>
      <c r="K175" s="8"/>
      <c r="L175" s="8"/>
      <c r="M175" s="8"/>
      <c r="N175" s="8"/>
      <c r="O175" s="8"/>
      <c r="P175" s="8"/>
      <c r="Q175" s="8"/>
      <c r="R175" s="8"/>
      <c r="S175" s="8"/>
      <c r="T175" s="8"/>
      <c r="U175" s="11"/>
      <c r="V175" s="11"/>
      <c r="W175" s="11"/>
      <c r="X175" s="11"/>
      <c r="Y175" s="11"/>
      <c r="Z175" s="12"/>
      <c r="AA175" s="12"/>
      <c r="AB175" s="12"/>
      <c r="AC175" s="12"/>
      <c r="AD175" s="12"/>
      <c r="AE175" s="12"/>
      <c r="AF175" s="12"/>
      <c r="AG175" s="22"/>
      <c r="AH175" s="22"/>
      <c r="AI175" s="13"/>
      <c r="AJ175" s="13"/>
      <c r="AK175" s="13"/>
      <c r="AL175" s="13"/>
      <c r="AM175" s="13"/>
    </row>
    <row r="176" spans="1:39">
      <c r="A176" s="8"/>
      <c r="B176" s="8"/>
      <c r="C176" s="8"/>
      <c r="D176" s="8"/>
      <c r="E176" s="8"/>
      <c r="F176" s="8"/>
      <c r="G176" s="8"/>
      <c r="H176" s="8"/>
      <c r="I176" s="8"/>
      <c r="J176" s="8"/>
      <c r="K176" s="8"/>
      <c r="L176" s="8"/>
      <c r="M176" s="8"/>
      <c r="N176" s="8"/>
      <c r="O176" s="8"/>
      <c r="P176" s="8"/>
      <c r="Q176" s="8"/>
      <c r="R176" s="8"/>
      <c r="S176" s="8"/>
      <c r="T176" s="8"/>
      <c r="U176" s="11"/>
      <c r="V176" s="11"/>
      <c r="W176" s="11"/>
      <c r="X176" s="11"/>
      <c r="Y176" s="11"/>
      <c r="Z176" s="12"/>
      <c r="AA176" s="12"/>
      <c r="AB176" s="12"/>
      <c r="AC176" s="12"/>
      <c r="AD176" s="12"/>
      <c r="AE176" s="12"/>
      <c r="AF176" s="12"/>
      <c r="AG176" s="22"/>
      <c r="AH176" s="22"/>
      <c r="AI176" s="13"/>
      <c r="AJ176" s="13"/>
      <c r="AK176" s="13"/>
      <c r="AL176" s="13"/>
      <c r="AM176" s="13"/>
    </row>
    <row r="177" spans="1:39">
      <c r="A177" s="8"/>
      <c r="B177" s="8"/>
      <c r="C177" s="8"/>
      <c r="D177" s="8"/>
      <c r="E177" s="8"/>
      <c r="F177" s="8"/>
      <c r="G177" s="8"/>
      <c r="H177" s="8"/>
      <c r="I177" s="8"/>
      <c r="J177" s="8"/>
      <c r="K177" s="8"/>
      <c r="L177" s="8"/>
      <c r="M177" s="8"/>
      <c r="N177" s="8"/>
      <c r="O177" s="8"/>
      <c r="P177" s="8"/>
      <c r="Q177" s="8"/>
      <c r="R177" s="8"/>
      <c r="S177" s="8"/>
      <c r="T177" s="8"/>
      <c r="U177" s="11"/>
      <c r="V177" s="11"/>
      <c r="W177" s="11"/>
      <c r="X177" s="11"/>
      <c r="Y177" s="11"/>
      <c r="Z177" s="12"/>
      <c r="AA177" s="12"/>
      <c r="AB177" s="12"/>
      <c r="AC177" s="12"/>
      <c r="AD177" s="12"/>
      <c r="AE177" s="12"/>
      <c r="AF177" s="12"/>
      <c r="AG177" s="22"/>
      <c r="AH177" s="22"/>
      <c r="AI177" s="13"/>
      <c r="AJ177" s="13"/>
      <c r="AK177" s="13"/>
      <c r="AL177" s="13"/>
      <c r="AM177" s="13"/>
    </row>
    <row r="178" spans="1:39">
      <c r="A178" s="8"/>
      <c r="B178" s="8"/>
      <c r="C178" s="8"/>
      <c r="D178" s="8"/>
      <c r="E178" s="8"/>
      <c r="F178" s="8"/>
      <c r="G178" s="8"/>
      <c r="H178" s="8"/>
      <c r="I178" s="8"/>
      <c r="J178" s="8"/>
      <c r="K178" s="8"/>
      <c r="L178" s="8"/>
      <c r="M178" s="8"/>
      <c r="N178" s="8"/>
      <c r="O178" s="8"/>
      <c r="P178" s="8"/>
      <c r="Q178" s="8"/>
      <c r="R178" s="8"/>
      <c r="S178" s="8"/>
      <c r="T178" s="8"/>
      <c r="U178" s="11"/>
      <c r="V178" s="11"/>
      <c r="W178" s="11"/>
      <c r="X178" s="11"/>
      <c r="Y178" s="11"/>
      <c r="Z178" s="12"/>
      <c r="AA178" s="12"/>
      <c r="AB178" s="12"/>
      <c r="AC178" s="12"/>
      <c r="AD178" s="12"/>
      <c r="AE178" s="12"/>
      <c r="AF178" s="12"/>
      <c r="AG178" s="22"/>
      <c r="AH178" s="22"/>
      <c r="AI178" s="13"/>
      <c r="AJ178" s="13"/>
      <c r="AK178" s="13"/>
      <c r="AL178" s="13"/>
      <c r="AM178" s="13"/>
    </row>
    <row r="179" spans="1:39">
      <c r="A179" s="8"/>
      <c r="B179" s="8"/>
      <c r="C179" s="8"/>
      <c r="D179" s="8"/>
      <c r="E179" s="8"/>
      <c r="F179" s="8"/>
      <c r="G179" s="8"/>
      <c r="H179" s="8"/>
      <c r="I179" s="8"/>
      <c r="J179" s="8"/>
      <c r="K179" s="8"/>
      <c r="L179" s="8"/>
      <c r="M179" s="8"/>
      <c r="N179" s="8"/>
      <c r="O179" s="8"/>
      <c r="P179" s="8"/>
      <c r="Q179" s="8"/>
      <c r="R179" s="8"/>
      <c r="S179" s="8"/>
      <c r="T179" s="8"/>
      <c r="U179" s="11"/>
      <c r="V179" s="11"/>
      <c r="W179" s="11"/>
      <c r="X179" s="11"/>
      <c r="Y179" s="11"/>
      <c r="Z179" s="12"/>
      <c r="AA179" s="12"/>
      <c r="AB179" s="12"/>
      <c r="AC179" s="12"/>
      <c r="AD179" s="12"/>
      <c r="AE179" s="12"/>
      <c r="AF179" s="12"/>
      <c r="AG179" s="22"/>
      <c r="AH179" s="22"/>
      <c r="AI179" s="13"/>
      <c r="AJ179" s="13"/>
      <c r="AK179" s="13"/>
      <c r="AL179" s="13"/>
      <c r="AM179" s="13"/>
    </row>
    <row r="180" spans="1:39">
      <c r="A180" s="8"/>
      <c r="B180" s="8"/>
      <c r="C180" s="8"/>
      <c r="D180" s="8"/>
      <c r="E180" s="8"/>
      <c r="F180" s="8"/>
      <c r="G180" s="8"/>
      <c r="H180" s="8"/>
      <c r="I180" s="8"/>
      <c r="J180" s="8"/>
      <c r="K180" s="8"/>
      <c r="L180" s="8"/>
      <c r="M180" s="8"/>
      <c r="N180" s="8"/>
      <c r="O180" s="8"/>
      <c r="P180" s="8"/>
      <c r="Q180" s="8"/>
      <c r="R180" s="8"/>
      <c r="S180" s="8"/>
      <c r="T180" s="8"/>
      <c r="U180" s="11"/>
      <c r="V180" s="11"/>
      <c r="W180" s="11"/>
      <c r="X180" s="11"/>
      <c r="Y180" s="11"/>
      <c r="Z180" s="12"/>
      <c r="AA180" s="12"/>
      <c r="AB180" s="12"/>
      <c r="AC180" s="12"/>
      <c r="AD180" s="12"/>
      <c r="AE180" s="12"/>
      <c r="AF180" s="12"/>
      <c r="AG180" s="22"/>
      <c r="AH180" s="22"/>
      <c r="AI180" s="13"/>
      <c r="AJ180" s="13"/>
      <c r="AK180" s="13"/>
      <c r="AL180" s="13"/>
      <c r="AM180" s="13"/>
    </row>
    <row r="181" spans="1:39">
      <c r="A181" s="8"/>
      <c r="B181" s="8"/>
      <c r="C181" s="8"/>
      <c r="D181" s="8"/>
      <c r="E181" s="8"/>
      <c r="F181" s="8"/>
      <c r="G181" s="8"/>
      <c r="H181" s="8"/>
      <c r="I181" s="8"/>
      <c r="J181" s="8"/>
      <c r="K181" s="8"/>
      <c r="L181" s="8"/>
      <c r="M181" s="8"/>
      <c r="N181" s="8"/>
      <c r="O181" s="8"/>
      <c r="P181" s="8"/>
      <c r="Q181" s="8"/>
      <c r="R181" s="8"/>
      <c r="S181" s="8"/>
      <c r="T181" s="8"/>
      <c r="U181" s="11"/>
      <c r="V181" s="11"/>
      <c r="W181" s="11"/>
      <c r="X181" s="11"/>
      <c r="Y181" s="11"/>
      <c r="Z181" s="12"/>
      <c r="AA181" s="12"/>
      <c r="AB181" s="12"/>
      <c r="AC181" s="12"/>
      <c r="AD181" s="12"/>
      <c r="AE181" s="12"/>
      <c r="AF181" s="12"/>
      <c r="AG181" s="22"/>
      <c r="AH181" s="22"/>
      <c r="AI181" s="13"/>
      <c r="AJ181" s="13"/>
      <c r="AK181" s="13"/>
      <c r="AL181" s="13"/>
      <c r="AM181" s="13"/>
    </row>
    <row r="182" spans="1:39">
      <c r="A182" s="8"/>
      <c r="B182" s="8"/>
      <c r="C182" s="8"/>
      <c r="D182" s="8"/>
      <c r="E182" s="8"/>
      <c r="F182" s="8"/>
      <c r="G182" s="8"/>
      <c r="H182" s="8"/>
      <c r="I182" s="8"/>
      <c r="J182" s="8"/>
      <c r="K182" s="8"/>
      <c r="L182" s="8"/>
      <c r="M182" s="8"/>
      <c r="N182" s="8"/>
      <c r="O182" s="8"/>
      <c r="P182" s="8"/>
      <c r="Q182" s="8"/>
      <c r="R182" s="8"/>
      <c r="S182" s="8"/>
      <c r="T182" s="8"/>
      <c r="U182" s="11"/>
      <c r="V182" s="11"/>
      <c r="W182" s="11"/>
      <c r="X182" s="11"/>
      <c r="Y182" s="11"/>
      <c r="Z182" s="12"/>
      <c r="AA182" s="12"/>
      <c r="AB182" s="12"/>
      <c r="AC182" s="12"/>
      <c r="AD182" s="12"/>
      <c r="AE182" s="12"/>
      <c r="AF182" s="12"/>
      <c r="AG182" s="22"/>
      <c r="AH182" s="22"/>
      <c r="AI182" s="13"/>
      <c r="AJ182" s="13"/>
      <c r="AK182" s="13"/>
      <c r="AL182" s="13"/>
      <c r="AM182" s="13"/>
    </row>
    <row r="183" spans="1:39">
      <c r="A183" s="8"/>
      <c r="B183" s="8"/>
      <c r="C183" s="8"/>
      <c r="D183" s="8"/>
      <c r="E183" s="8"/>
      <c r="F183" s="8"/>
      <c r="G183" s="8"/>
      <c r="H183" s="8"/>
      <c r="I183" s="8"/>
      <c r="J183" s="8"/>
      <c r="K183" s="8"/>
      <c r="L183" s="8"/>
      <c r="M183" s="8"/>
      <c r="N183" s="8"/>
      <c r="O183" s="8"/>
      <c r="P183" s="8"/>
      <c r="Q183" s="8"/>
      <c r="R183" s="8"/>
      <c r="S183" s="8"/>
      <c r="T183" s="8"/>
      <c r="U183" s="11"/>
      <c r="V183" s="11"/>
      <c r="W183" s="11"/>
      <c r="X183" s="11"/>
      <c r="Y183" s="11"/>
      <c r="Z183" s="12"/>
      <c r="AA183" s="12"/>
      <c r="AB183" s="12"/>
      <c r="AC183" s="12"/>
      <c r="AD183" s="12"/>
      <c r="AE183" s="12"/>
      <c r="AF183" s="12"/>
      <c r="AG183" s="22"/>
      <c r="AH183" s="22"/>
      <c r="AI183" s="13"/>
      <c r="AJ183" s="13"/>
      <c r="AK183" s="13"/>
      <c r="AL183" s="13"/>
      <c r="AM183" s="13"/>
    </row>
    <row r="184" spans="1:39">
      <c r="A184" s="8"/>
      <c r="B184" s="8"/>
      <c r="C184" s="8"/>
      <c r="D184" s="8"/>
      <c r="E184" s="8"/>
      <c r="F184" s="8"/>
      <c r="G184" s="8"/>
      <c r="H184" s="8"/>
      <c r="I184" s="8"/>
      <c r="J184" s="8"/>
      <c r="K184" s="8"/>
      <c r="L184" s="8"/>
      <c r="M184" s="8"/>
      <c r="N184" s="8"/>
      <c r="O184" s="8"/>
      <c r="P184" s="8"/>
      <c r="Q184" s="8"/>
      <c r="R184" s="8"/>
      <c r="S184" s="8"/>
      <c r="T184" s="8"/>
      <c r="U184" s="11"/>
      <c r="V184" s="11"/>
      <c r="W184" s="11"/>
      <c r="X184" s="11"/>
      <c r="Y184" s="11"/>
      <c r="Z184" s="12"/>
      <c r="AA184" s="12"/>
      <c r="AB184" s="12"/>
      <c r="AC184" s="12"/>
      <c r="AD184" s="12"/>
      <c r="AE184" s="12"/>
      <c r="AF184" s="12"/>
      <c r="AG184" s="22"/>
      <c r="AH184" s="22"/>
      <c r="AI184" s="13"/>
      <c r="AJ184" s="13"/>
      <c r="AK184" s="13"/>
      <c r="AL184" s="13"/>
      <c r="AM184" s="13"/>
    </row>
    <row r="185" spans="1:39">
      <c r="A185" s="8"/>
      <c r="B185" s="8"/>
      <c r="C185" s="8"/>
      <c r="D185" s="8"/>
      <c r="E185" s="8"/>
      <c r="F185" s="8"/>
      <c r="G185" s="8"/>
      <c r="H185" s="8"/>
      <c r="I185" s="8"/>
      <c r="J185" s="8"/>
      <c r="K185" s="8"/>
      <c r="L185" s="8"/>
      <c r="M185" s="8"/>
      <c r="N185" s="8"/>
      <c r="O185" s="8"/>
      <c r="P185" s="8"/>
      <c r="Q185" s="8"/>
      <c r="R185" s="8"/>
      <c r="S185" s="8"/>
      <c r="T185" s="8"/>
      <c r="U185" s="11"/>
      <c r="V185" s="11"/>
      <c r="W185" s="11"/>
      <c r="X185" s="11"/>
      <c r="Y185" s="11"/>
      <c r="Z185" s="12"/>
      <c r="AA185" s="12"/>
      <c r="AB185" s="12"/>
      <c r="AC185" s="12"/>
      <c r="AD185" s="12"/>
      <c r="AE185" s="12"/>
      <c r="AF185" s="12"/>
      <c r="AG185" s="22"/>
      <c r="AH185" s="22"/>
      <c r="AI185" s="13"/>
      <c r="AJ185" s="13"/>
      <c r="AK185" s="13"/>
      <c r="AL185" s="13"/>
      <c r="AM185" s="13"/>
    </row>
    <row r="186" spans="1:39">
      <c r="A186" s="8"/>
      <c r="B186" s="8"/>
      <c r="C186" s="8"/>
      <c r="D186" s="8"/>
      <c r="E186" s="8"/>
      <c r="F186" s="8"/>
      <c r="G186" s="8"/>
      <c r="H186" s="8"/>
      <c r="I186" s="8"/>
      <c r="J186" s="8"/>
      <c r="K186" s="8"/>
      <c r="L186" s="8"/>
      <c r="M186" s="8"/>
      <c r="N186" s="8"/>
      <c r="O186" s="8"/>
      <c r="P186" s="8"/>
      <c r="Q186" s="8"/>
      <c r="R186" s="8"/>
      <c r="S186" s="8"/>
      <c r="T186" s="8"/>
      <c r="U186" s="11"/>
      <c r="V186" s="11"/>
      <c r="W186" s="11"/>
      <c r="X186" s="11"/>
      <c r="Y186" s="11"/>
      <c r="Z186" s="12"/>
      <c r="AA186" s="12"/>
      <c r="AB186" s="12"/>
      <c r="AC186" s="12"/>
      <c r="AD186" s="12"/>
      <c r="AE186" s="12"/>
      <c r="AF186" s="12"/>
      <c r="AG186" s="22"/>
      <c r="AH186" s="22"/>
      <c r="AI186" s="13"/>
      <c r="AJ186" s="13"/>
      <c r="AK186" s="13"/>
      <c r="AL186" s="13"/>
      <c r="AM186" s="13"/>
    </row>
    <row r="187" spans="1:39">
      <c r="A187" s="8"/>
      <c r="B187" s="8"/>
      <c r="C187" s="8"/>
      <c r="D187" s="8"/>
      <c r="E187" s="8"/>
      <c r="F187" s="8"/>
      <c r="G187" s="8"/>
      <c r="H187" s="8"/>
      <c r="I187" s="8"/>
      <c r="J187" s="8"/>
      <c r="K187" s="8"/>
      <c r="L187" s="8"/>
      <c r="M187" s="8"/>
      <c r="N187" s="8"/>
      <c r="O187" s="8"/>
      <c r="P187" s="8"/>
      <c r="Q187" s="8"/>
      <c r="R187" s="8"/>
      <c r="S187" s="8"/>
      <c r="T187" s="8"/>
      <c r="U187" s="11"/>
      <c r="V187" s="11"/>
      <c r="W187" s="11"/>
      <c r="X187" s="11"/>
      <c r="Y187" s="11"/>
      <c r="Z187" s="12"/>
      <c r="AA187" s="12"/>
      <c r="AB187" s="12"/>
      <c r="AC187" s="12"/>
      <c r="AD187" s="12"/>
      <c r="AE187" s="12"/>
      <c r="AF187" s="12"/>
      <c r="AG187" s="22"/>
      <c r="AH187" s="22"/>
      <c r="AI187" s="13"/>
      <c r="AJ187" s="13"/>
      <c r="AK187" s="13"/>
      <c r="AL187" s="13"/>
      <c r="AM187" s="13"/>
    </row>
    <row r="188" spans="1:39">
      <c r="A188" s="8"/>
      <c r="B188" s="8"/>
      <c r="C188" s="8"/>
      <c r="D188" s="8"/>
      <c r="E188" s="8"/>
      <c r="F188" s="8"/>
      <c r="G188" s="8"/>
      <c r="H188" s="8"/>
      <c r="I188" s="8"/>
      <c r="J188" s="8"/>
      <c r="K188" s="8"/>
      <c r="L188" s="8"/>
      <c r="M188" s="8"/>
      <c r="N188" s="8"/>
      <c r="O188" s="8"/>
      <c r="P188" s="8"/>
      <c r="Q188" s="8"/>
      <c r="R188" s="8"/>
      <c r="S188" s="8"/>
      <c r="T188" s="8"/>
      <c r="U188" s="11"/>
      <c r="V188" s="11"/>
      <c r="W188" s="11"/>
      <c r="X188" s="11"/>
      <c r="Y188" s="11"/>
      <c r="Z188" s="12"/>
      <c r="AA188" s="12"/>
      <c r="AB188" s="12"/>
      <c r="AC188" s="12"/>
      <c r="AD188" s="12"/>
      <c r="AE188" s="12"/>
      <c r="AF188" s="12"/>
      <c r="AG188" s="22"/>
      <c r="AH188" s="22"/>
      <c r="AI188" s="13"/>
      <c r="AJ188" s="13"/>
      <c r="AK188" s="13"/>
      <c r="AL188" s="13"/>
      <c r="AM188" s="13"/>
    </row>
    <row r="189" spans="1:39">
      <c r="A189" s="8"/>
      <c r="B189" s="8"/>
      <c r="C189" s="8"/>
      <c r="D189" s="8"/>
      <c r="E189" s="8"/>
      <c r="F189" s="8"/>
      <c r="G189" s="8"/>
      <c r="H189" s="8"/>
      <c r="I189" s="8"/>
      <c r="J189" s="8"/>
      <c r="K189" s="8"/>
      <c r="L189" s="8"/>
      <c r="M189" s="8"/>
      <c r="N189" s="8"/>
      <c r="O189" s="8"/>
      <c r="P189" s="8"/>
      <c r="Q189" s="8"/>
      <c r="R189" s="8"/>
      <c r="S189" s="8"/>
      <c r="T189" s="8"/>
      <c r="U189" s="11"/>
      <c r="V189" s="11"/>
      <c r="W189" s="11"/>
      <c r="X189" s="11"/>
      <c r="Y189" s="11"/>
      <c r="Z189" s="12"/>
      <c r="AA189" s="12"/>
      <c r="AB189" s="12"/>
      <c r="AC189" s="12"/>
      <c r="AD189" s="12"/>
      <c r="AE189" s="12"/>
      <c r="AF189" s="12"/>
      <c r="AG189" s="22"/>
      <c r="AH189" s="22"/>
      <c r="AI189" s="13"/>
      <c r="AJ189" s="13"/>
      <c r="AK189" s="13"/>
      <c r="AL189" s="13"/>
      <c r="AM189" s="13"/>
    </row>
    <row r="190" spans="1:39">
      <c r="A190" s="8"/>
      <c r="B190" s="8"/>
      <c r="C190" s="8"/>
      <c r="D190" s="8"/>
      <c r="E190" s="8"/>
      <c r="F190" s="8"/>
      <c r="G190" s="8"/>
      <c r="H190" s="8"/>
      <c r="I190" s="8"/>
      <c r="J190" s="8"/>
      <c r="K190" s="8"/>
      <c r="L190" s="8"/>
      <c r="M190" s="8"/>
      <c r="N190" s="8"/>
      <c r="O190" s="8"/>
      <c r="P190" s="8"/>
      <c r="Q190" s="8"/>
      <c r="R190" s="8"/>
      <c r="S190" s="8"/>
      <c r="T190" s="8"/>
      <c r="U190" s="11"/>
      <c r="V190" s="11"/>
      <c r="W190" s="11"/>
      <c r="X190" s="11"/>
      <c r="Y190" s="11"/>
      <c r="Z190" s="12"/>
      <c r="AA190" s="12"/>
      <c r="AB190" s="12"/>
      <c r="AC190" s="12"/>
      <c r="AD190" s="12"/>
      <c r="AE190" s="12"/>
      <c r="AF190" s="12"/>
      <c r="AG190" s="22"/>
      <c r="AH190" s="22"/>
      <c r="AI190" s="13"/>
      <c r="AJ190" s="13"/>
      <c r="AK190" s="13"/>
      <c r="AL190" s="13"/>
      <c r="AM190" s="13"/>
    </row>
    <row r="191" spans="1:39">
      <c r="A191" s="8"/>
      <c r="B191" s="8"/>
      <c r="C191" s="8"/>
      <c r="D191" s="8"/>
      <c r="E191" s="8"/>
      <c r="F191" s="8"/>
      <c r="G191" s="8"/>
      <c r="H191" s="8"/>
      <c r="I191" s="8"/>
      <c r="J191" s="8"/>
      <c r="K191" s="8"/>
      <c r="L191" s="8"/>
      <c r="M191" s="8"/>
      <c r="N191" s="8"/>
      <c r="O191" s="8"/>
      <c r="P191" s="8"/>
      <c r="Q191" s="8"/>
      <c r="R191" s="8"/>
      <c r="S191" s="8"/>
      <c r="T191" s="8"/>
      <c r="U191" s="11"/>
      <c r="V191" s="11"/>
      <c r="W191" s="11"/>
      <c r="X191" s="11"/>
      <c r="Y191" s="11"/>
      <c r="Z191" s="12"/>
      <c r="AA191" s="12"/>
      <c r="AB191" s="12"/>
      <c r="AC191" s="12"/>
      <c r="AD191" s="12"/>
      <c r="AE191" s="12"/>
      <c r="AF191" s="12"/>
      <c r="AG191" s="22"/>
      <c r="AH191" s="22"/>
      <c r="AI191" s="13"/>
      <c r="AJ191" s="13"/>
      <c r="AK191" s="13"/>
      <c r="AL191" s="13"/>
      <c r="AM191" s="13"/>
    </row>
    <row r="192" spans="1:39">
      <c r="A192" s="8"/>
      <c r="B192" s="8"/>
      <c r="C192" s="8"/>
      <c r="D192" s="8"/>
      <c r="E192" s="8"/>
      <c r="F192" s="8"/>
      <c r="G192" s="8"/>
      <c r="H192" s="8"/>
      <c r="I192" s="8"/>
      <c r="J192" s="8"/>
      <c r="K192" s="8"/>
      <c r="L192" s="8"/>
      <c r="M192" s="8"/>
      <c r="N192" s="8"/>
      <c r="O192" s="8"/>
      <c r="P192" s="8"/>
      <c r="Q192" s="8"/>
      <c r="R192" s="8"/>
      <c r="S192" s="8"/>
      <c r="T192" s="8"/>
      <c r="U192" s="11"/>
      <c r="V192" s="11"/>
      <c r="W192" s="11"/>
      <c r="X192" s="11"/>
      <c r="Y192" s="11"/>
      <c r="Z192" s="12"/>
      <c r="AA192" s="12"/>
      <c r="AB192" s="12"/>
      <c r="AC192" s="12"/>
      <c r="AD192" s="12"/>
      <c r="AE192" s="12"/>
      <c r="AF192" s="12"/>
      <c r="AG192" s="22"/>
      <c r="AH192" s="22"/>
      <c r="AI192" s="13"/>
      <c r="AJ192" s="13"/>
      <c r="AK192" s="13"/>
      <c r="AL192" s="13"/>
      <c r="AM192" s="13"/>
    </row>
    <row r="193" spans="1:39">
      <c r="A193" s="8"/>
      <c r="B193" s="8"/>
      <c r="C193" s="8"/>
      <c r="D193" s="8"/>
      <c r="E193" s="8"/>
      <c r="F193" s="8"/>
      <c r="G193" s="8"/>
      <c r="H193" s="8"/>
      <c r="I193" s="8"/>
      <c r="J193" s="8"/>
      <c r="K193" s="8"/>
      <c r="L193" s="8"/>
      <c r="M193" s="8"/>
      <c r="N193" s="8"/>
      <c r="O193" s="8"/>
      <c r="P193" s="8"/>
      <c r="Q193" s="8"/>
      <c r="R193" s="8"/>
      <c r="S193" s="8"/>
      <c r="T193" s="8"/>
      <c r="U193" s="11"/>
      <c r="V193" s="11"/>
      <c r="W193" s="11"/>
      <c r="X193" s="11"/>
      <c r="Y193" s="11"/>
      <c r="Z193" s="12"/>
      <c r="AA193" s="12"/>
      <c r="AB193" s="12"/>
      <c r="AC193" s="12"/>
      <c r="AD193" s="12"/>
      <c r="AE193" s="12"/>
      <c r="AF193" s="12"/>
      <c r="AG193" s="22"/>
      <c r="AH193" s="22"/>
      <c r="AI193" s="13"/>
      <c r="AJ193" s="13"/>
      <c r="AK193" s="13"/>
      <c r="AL193" s="13"/>
      <c r="AM193" s="13"/>
    </row>
    <row r="194" spans="1:39">
      <c r="A194" s="8"/>
      <c r="B194" s="8"/>
      <c r="C194" s="8"/>
      <c r="D194" s="8"/>
      <c r="E194" s="8"/>
      <c r="F194" s="8"/>
      <c r="G194" s="8"/>
      <c r="H194" s="8"/>
      <c r="I194" s="8"/>
      <c r="J194" s="8"/>
      <c r="K194" s="8"/>
      <c r="L194" s="8"/>
      <c r="M194" s="8"/>
      <c r="N194" s="8"/>
      <c r="O194" s="8"/>
      <c r="P194" s="8"/>
      <c r="Q194" s="8"/>
      <c r="R194" s="8"/>
      <c r="S194" s="8"/>
      <c r="T194" s="8"/>
      <c r="U194" s="12"/>
      <c r="V194" s="12"/>
      <c r="W194" s="12"/>
      <c r="X194" s="12"/>
      <c r="Y194" s="12"/>
      <c r="Z194" s="12"/>
      <c r="AA194" s="12"/>
      <c r="AB194" s="12"/>
      <c r="AC194" s="12"/>
      <c r="AD194" s="12"/>
      <c r="AE194" s="12"/>
      <c r="AF194" s="12"/>
      <c r="AG194" s="13"/>
      <c r="AH194" s="13"/>
      <c r="AI194" s="13"/>
      <c r="AJ194" s="13"/>
      <c r="AK194" s="13"/>
      <c r="AL194" s="13"/>
      <c r="AM194" s="13"/>
    </row>
    <row r="195" spans="1:39">
      <c r="A195" s="8"/>
      <c r="B195" s="8"/>
      <c r="C195" s="8"/>
      <c r="D195" s="8"/>
      <c r="E195" s="8"/>
      <c r="F195" s="8"/>
      <c r="G195" s="8"/>
      <c r="H195" s="8"/>
      <c r="I195" s="8"/>
      <c r="J195" s="8"/>
      <c r="K195" s="8"/>
      <c r="L195" s="8"/>
      <c r="M195" s="8"/>
      <c r="N195" s="8"/>
      <c r="O195" s="8"/>
      <c r="P195" s="8"/>
      <c r="Q195" s="8"/>
      <c r="R195" s="8"/>
      <c r="S195" s="8"/>
      <c r="T195" s="8"/>
      <c r="U195" s="12"/>
      <c r="V195" s="12"/>
      <c r="W195" s="12"/>
      <c r="X195" s="12"/>
      <c r="Y195" s="12"/>
      <c r="Z195" s="12"/>
      <c r="AA195" s="12"/>
      <c r="AB195" s="12"/>
      <c r="AC195" s="12"/>
      <c r="AD195" s="12"/>
      <c r="AE195" s="12"/>
      <c r="AF195" s="12"/>
      <c r="AG195" s="13"/>
      <c r="AH195" s="13"/>
      <c r="AI195" s="13"/>
      <c r="AJ195" s="13"/>
      <c r="AK195" s="13"/>
      <c r="AL195" s="13"/>
      <c r="AM195" s="13"/>
    </row>
    <row r="196" spans="1:39">
      <c r="A196" s="8"/>
      <c r="B196" s="8"/>
      <c r="C196" s="8"/>
      <c r="D196" s="8"/>
      <c r="E196" s="8"/>
      <c r="F196" s="8"/>
      <c r="G196" s="8"/>
      <c r="H196" s="8"/>
      <c r="I196" s="8"/>
      <c r="J196" s="8"/>
      <c r="K196" s="8"/>
      <c r="L196" s="8"/>
      <c r="M196" s="8"/>
      <c r="N196" s="8"/>
      <c r="O196" s="8"/>
      <c r="P196" s="8"/>
      <c r="Q196" s="8"/>
      <c r="R196" s="8"/>
      <c r="S196" s="8"/>
      <c r="T196" s="8"/>
      <c r="U196" s="12"/>
      <c r="V196" s="12"/>
      <c r="W196" s="12"/>
      <c r="X196" s="12"/>
      <c r="Y196" s="12"/>
      <c r="Z196" s="12"/>
      <c r="AA196" s="12"/>
      <c r="AB196" s="12"/>
      <c r="AC196" s="12"/>
      <c r="AD196" s="12"/>
      <c r="AE196" s="12"/>
      <c r="AF196" s="12"/>
      <c r="AG196" s="13"/>
      <c r="AH196" s="13"/>
      <c r="AI196" s="13"/>
      <c r="AJ196" s="13"/>
      <c r="AK196" s="13"/>
      <c r="AL196" s="13"/>
      <c r="AM196" s="13"/>
    </row>
    <row r="197" spans="1:39">
      <c r="A197" s="8"/>
      <c r="B197" s="8"/>
      <c r="C197" s="8"/>
      <c r="D197" s="8"/>
      <c r="E197" s="8"/>
      <c r="F197" s="8"/>
      <c r="G197" s="8"/>
      <c r="H197" s="8"/>
      <c r="I197" s="8"/>
      <c r="J197" s="8"/>
      <c r="K197" s="8"/>
      <c r="L197" s="8"/>
      <c r="M197" s="8"/>
      <c r="N197" s="8"/>
      <c r="O197" s="8"/>
      <c r="P197" s="8"/>
      <c r="Q197" s="8"/>
      <c r="R197" s="8"/>
      <c r="S197" s="8"/>
      <c r="T197" s="8"/>
      <c r="U197" s="12"/>
      <c r="V197" s="12"/>
      <c r="W197" s="12"/>
      <c r="X197" s="12"/>
      <c r="Y197" s="12"/>
      <c r="Z197" s="12"/>
      <c r="AA197" s="12"/>
      <c r="AB197" s="12"/>
      <c r="AC197" s="12"/>
      <c r="AD197" s="12"/>
      <c r="AE197" s="12"/>
      <c r="AF197" s="12"/>
      <c r="AG197" s="13"/>
      <c r="AH197" s="13"/>
      <c r="AI197" s="13"/>
      <c r="AJ197" s="13"/>
      <c r="AK197" s="13"/>
      <c r="AL197" s="13"/>
      <c r="AM197" s="13"/>
    </row>
    <row r="198" spans="1:39">
      <c r="A198" s="8"/>
      <c r="B198" s="8"/>
      <c r="C198" s="8"/>
      <c r="D198" s="8"/>
      <c r="E198" s="8"/>
      <c r="F198" s="8"/>
      <c r="G198" s="8"/>
      <c r="H198" s="8"/>
      <c r="I198" s="8"/>
      <c r="J198" s="8"/>
      <c r="K198" s="8"/>
      <c r="L198" s="8"/>
      <c r="M198" s="8"/>
      <c r="N198" s="8"/>
      <c r="O198" s="8"/>
      <c r="P198" s="8"/>
      <c r="Q198" s="8"/>
      <c r="R198" s="8"/>
      <c r="S198" s="8"/>
      <c r="T198" s="8"/>
      <c r="U198" s="12"/>
      <c r="V198" s="12"/>
      <c r="W198" s="12"/>
      <c r="X198" s="12"/>
      <c r="Y198" s="12"/>
      <c r="Z198" s="12"/>
      <c r="AA198" s="12"/>
      <c r="AB198" s="12"/>
      <c r="AC198" s="12"/>
      <c r="AD198" s="12"/>
      <c r="AE198" s="12"/>
      <c r="AF198" s="12"/>
      <c r="AG198" s="13"/>
      <c r="AH198" s="13"/>
      <c r="AI198" s="13"/>
      <c r="AJ198" s="13"/>
      <c r="AK198" s="13"/>
      <c r="AL198" s="13"/>
      <c r="AM198" s="13"/>
    </row>
    <row r="199" spans="1:39">
      <c r="A199" s="8"/>
      <c r="B199" s="8"/>
      <c r="C199" s="8"/>
      <c r="D199" s="8"/>
      <c r="E199" s="8"/>
      <c r="F199" s="8"/>
      <c r="G199" s="8"/>
      <c r="H199" s="8"/>
      <c r="I199" s="8"/>
      <c r="J199" s="8"/>
      <c r="K199" s="8"/>
      <c r="L199" s="8"/>
      <c r="M199" s="8"/>
      <c r="N199" s="8"/>
      <c r="O199" s="8"/>
      <c r="P199" s="8"/>
      <c r="Q199" s="8"/>
      <c r="R199" s="8"/>
      <c r="S199" s="8"/>
      <c r="T199" s="8"/>
      <c r="U199" s="12"/>
      <c r="V199" s="12"/>
      <c r="W199" s="12"/>
      <c r="X199" s="12"/>
      <c r="Y199" s="12"/>
      <c r="Z199" s="12"/>
      <c r="AA199" s="12"/>
      <c r="AB199" s="12"/>
      <c r="AC199" s="12"/>
      <c r="AD199" s="12"/>
      <c r="AE199" s="12"/>
      <c r="AF199" s="12"/>
      <c r="AG199" s="13"/>
      <c r="AH199" s="13"/>
      <c r="AI199" s="13"/>
      <c r="AJ199" s="13"/>
      <c r="AK199" s="13"/>
      <c r="AL199" s="13"/>
      <c r="AM199" s="13"/>
    </row>
    <row r="200" spans="1:39">
      <c r="A200" s="8"/>
      <c r="B200" s="8"/>
      <c r="C200" s="8"/>
      <c r="D200" s="8"/>
      <c r="E200" s="8"/>
      <c r="F200" s="8"/>
      <c r="G200" s="8"/>
      <c r="H200" s="8"/>
      <c r="I200" s="8"/>
      <c r="J200" s="8"/>
      <c r="K200" s="8"/>
      <c r="L200" s="8"/>
      <c r="M200" s="8"/>
      <c r="N200" s="8"/>
      <c r="O200" s="8"/>
      <c r="P200" s="8"/>
      <c r="Q200" s="8"/>
      <c r="R200" s="8"/>
      <c r="S200" s="8"/>
      <c r="T200" s="8"/>
      <c r="U200" s="12"/>
      <c r="V200" s="12"/>
      <c r="W200" s="12"/>
      <c r="X200" s="12"/>
      <c r="Y200" s="12"/>
      <c r="Z200" s="12"/>
      <c r="AA200" s="12"/>
      <c r="AB200" s="12"/>
      <c r="AC200" s="12"/>
      <c r="AD200" s="12"/>
      <c r="AE200" s="12"/>
      <c r="AF200" s="12"/>
      <c r="AG200" s="13"/>
      <c r="AH200" s="13"/>
      <c r="AI200" s="13"/>
      <c r="AJ200" s="13"/>
      <c r="AK200" s="13"/>
      <c r="AL200" s="13"/>
      <c r="AM200" s="13"/>
    </row>
    <row r="201" spans="1:39">
      <c r="A201" s="8"/>
      <c r="B201" s="8"/>
      <c r="C201" s="8"/>
      <c r="D201" s="8"/>
      <c r="E201" s="8"/>
      <c r="F201" s="8"/>
      <c r="G201" s="8"/>
      <c r="H201" s="8"/>
      <c r="I201" s="8"/>
      <c r="J201" s="8"/>
      <c r="K201" s="8"/>
      <c r="L201" s="8"/>
      <c r="M201" s="8"/>
      <c r="N201" s="8"/>
      <c r="O201" s="8"/>
      <c r="P201" s="8"/>
      <c r="Q201" s="8"/>
      <c r="R201" s="8"/>
      <c r="S201" s="8"/>
      <c r="T201" s="8"/>
      <c r="U201" s="12"/>
      <c r="V201" s="12"/>
      <c r="W201" s="12"/>
      <c r="X201" s="12"/>
      <c r="Y201" s="12"/>
      <c r="Z201" s="12"/>
      <c r="AA201" s="12"/>
      <c r="AB201" s="12"/>
      <c r="AC201" s="12"/>
      <c r="AD201" s="12"/>
      <c r="AE201" s="12"/>
      <c r="AF201" s="12"/>
      <c r="AG201" s="13"/>
      <c r="AH201" s="13"/>
      <c r="AI201" s="13"/>
      <c r="AJ201" s="13"/>
      <c r="AK201" s="13"/>
      <c r="AL201" s="13"/>
      <c r="AM201" s="13"/>
    </row>
    <row r="202" spans="1:39">
      <c r="A202" s="8"/>
      <c r="B202" s="8"/>
      <c r="C202" s="8"/>
      <c r="D202" s="8"/>
      <c r="E202" s="8"/>
      <c r="F202" s="8"/>
      <c r="G202" s="8"/>
      <c r="H202" s="8"/>
      <c r="I202" s="8"/>
      <c r="J202" s="8"/>
      <c r="K202" s="8"/>
      <c r="L202" s="8"/>
      <c r="M202" s="8"/>
      <c r="N202" s="8"/>
      <c r="O202" s="8"/>
      <c r="P202" s="8"/>
      <c r="Q202" s="8"/>
      <c r="R202" s="8"/>
      <c r="S202" s="8"/>
      <c r="T202" s="8"/>
      <c r="U202" s="12"/>
      <c r="V202" s="12"/>
      <c r="W202" s="12"/>
      <c r="X202" s="12"/>
      <c r="Y202" s="12"/>
      <c r="Z202" s="12"/>
      <c r="AA202" s="12"/>
      <c r="AB202" s="12"/>
      <c r="AC202" s="12"/>
      <c r="AD202" s="12"/>
      <c r="AE202" s="12"/>
      <c r="AF202" s="12"/>
      <c r="AG202" s="13"/>
      <c r="AH202" s="13"/>
      <c r="AI202" s="13"/>
      <c r="AJ202" s="13"/>
      <c r="AK202" s="13"/>
      <c r="AL202" s="13"/>
      <c r="AM202" s="13"/>
    </row>
    <row r="203" spans="1:39">
      <c r="A203" s="8"/>
      <c r="B203" s="8"/>
      <c r="C203" s="8"/>
      <c r="D203" s="8"/>
      <c r="E203" s="8"/>
      <c r="F203" s="8"/>
      <c r="G203" s="8"/>
      <c r="H203" s="8"/>
      <c r="I203" s="8"/>
      <c r="J203" s="8"/>
      <c r="K203" s="8"/>
      <c r="L203" s="8"/>
      <c r="M203" s="8"/>
      <c r="N203" s="8"/>
      <c r="O203" s="8"/>
      <c r="P203" s="8"/>
      <c r="Q203" s="8"/>
      <c r="R203" s="8"/>
      <c r="S203" s="8"/>
      <c r="T203" s="8"/>
      <c r="U203" s="12"/>
      <c r="V203" s="12"/>
      <c r="W203" s="12"/>
      <c r="X203" s="12"/>
      <c r="Y203" s="12"/>
      <c r="Z203" s="12"/>
      <c r="AA203" s="12"/>
      <c r="AB203" s="12"/>
      <c r="AC203" s="12"/>
      <c r="AD203" s="12"/>
      <c r="AE203" s="12"/>
      <c r="AF203" s="12"/>
      <c r="AG203" s="13"/>
      <c r="AH203" s="13"/>
      <c r="AI203" s="13"/>
      <c r="AJ203" s="13"/>
      <c r="AK203" s="13"/>
      <c r="AL203" s="13"/>
      <c r="AM203" s="13"/>
    </row>
    <row r="204" spans="1:39">
      <c r="A204" s="8"/>
      <c r="B204" s="8"/>
      <c r="C204" s="8"/>
      <c r="D204" s="8"/>
      <c r="E204" s="8"/>
      <c r="F204" s="8"/>
      <c r="G204" s="8"/>
      <c r="H204" s="8"/>
      <c r="I204" s="8"/>
      <c r="J204" s="8"/>
      <c r="K204" s="8"/>
      <c r="L204" s="8"/>
      <c r="M204" s="8"/>
      <c r="N204" s="8"/>
      <c r="O204" s="8"/>
      <c r="P204" s="8"/>
      <c r="Q204" s="8"/>
      <c r="R204" s="8"/>
      <c r="S204" s="8"/>
      <c r="T204" s="8"/>
      <c r="U204" s="12"/>
      <c r="V204" s="12"/>
      <c r="W204" s="12"/>
      <c r="X204" s="12"/>
      <c r="Y204" s="12"/>
      <c r="Z204" s="12"/>
      <c r="AA204" s="12"/>
      <c r="AB204" s="12"/>
      <c r="AC204" s="12"/>
      <c r="AD204" s="12"/>
      <c r="AE204" s="12"/>
      <c r="AF204" s="12"/>
      <c r="AG204" s="13"/>
      <c r="AH204" s="13"/>
      <c r="AI204" s="13"/>
      <c r="AJ204" s="13"/>
      <c r="AK204" s="13"/>
      <c r="AL204" s="13"/>
      <c r="AM204" s="13"/>
    </row>
    <row r="205" spans="1:39">
      <c r="A205" s="8"/>
      <c r="B205" s="8"/>
      <c r="C205" s="8"/>
      <c r="D205" s="8"/>
      <c r="E205" s="8"/>
      <c r="F205" s="8"/>
      <c r="G205" s="8"/>
      <c r="H205" s="8"/>
      <c r="I205" s="8"/>
      <c r="J205" s="8"/>
      <c r="K205" s="8"/>
      <c r="L205" s="8"/>
      <c r="M205" s="8"/>
      <c r="N205" s="8"/>
      <c r="O205" s="8"/>
      <c r="P205" s="8"/>
      <c r="Q205" s="8"/>
      <c r="R205" s="8"/>
      <c r="S205" s="8"/>
      <c r="T205" s="8"/>
      <c r="U205" s="12"/>
      <c r="V205" s="12"/>
      <c r="W205" s="12"/>
      <c r="X205" s="12"/>
      <c r="Y205" s="12"/>
      <c r="Z205" s="12"/>
      <c r="AA205" s="12"/>
      <c r="AB205" s="12"/>
      <c r="AC205" s="12"/>
      <c r="AD205" s="12"/>
      <c r="AE205" s="12"/>
      <c r="AF205" s="12"/>
      <c r="AG205" s="13"/>
      <c r="AH205" s="13"/>
      <c r="AI205" s="13"/>
      <c r="AJ205" s="13"/>
      <c r="AK205" s="13"/>
      <c r="AL205" s="13"/>
      <c r="AM205" s="13"/>
    </row>
    <row r="206" spans="1:39">
      <c r="A206" s="8"/>
      <c r="B206" s="8"/>
      <c r="C206" s="8"/>
      <c r="D206" s="8"/>
      <c r="E206" s="8"/>
      <c r="F206" s="8"/>
      <c r="G206" s="8"/>
      <c r="H206" s="8"/>
      <c r="I206" s="8"/>
      <c r="J206" s="8"/>
      <c r="K206" s="8"/>
      <c r="L206" s="8"/>
      <c r="M206" s="8"/>
      <c r="N206" s="8"/>
      <c r="O206" s="8"/>
      <c r="P206" s="8"/>
      <c r="Q206" s="8"/>
      <c r="R206" s="8"/>
      <c r="S206" s="8"/>
      <c r="T206" s="8"/>
      <c r="U206" s="12"/>
      <c r="V206" s="12"/>
      <c r="W206" s="12"/>
      <c r="X206" s="12"/>
      <c r="Y206" s="12"/>
      <c r="Z206" s="12"/>
      <c r="AA206" s="12"/>
      <c r="AB206" s="12"/>
      <c r="AC206" s="12"/>
      <c r="AD206" s="12"/>
      <c r="AE206" s="12"/>
      <c r="AF206" s="12"/>
      <c r="AG206" s="13"/>
      <c r="AH206" s="13"/>
      <c r="AI206" s="13"/>
      <c r="AJ206" s="13"/>
      <c r="AK206" s="13"/>
      <c r="AL206" s="13"/>
      <c r="AM206" s="13"/>
    </row>
    <row r="207" spans="1:39">
      <c r="A207" s="8"/>
      <c r="B207" s="8"/>
      <c r="C207" s="8"/>
      <c r="D207" s="8"/>
      <c r="E207" s="8"/>
      <c r="F207" s="8"/>
      <c r="G207" s="8"/>
      <c r="H207" s="8"/>
      <c r="I207" s="8"/>
      <c r="J207" s="8"/>
      <c r="K207" s="8"/>
      <c r="L207" s="8"/>
      <c r="M207" s="8"/>
      <c r="N207" s="8"/>
      <c r="O207" s="8"/>
      <c r="P207" s="8"/>
      <c r="Q207" s="8"/>
      <c r="R207" s="8"/>
      <c r="S207" s="8"/>
      <c r="T207" s="8"/>
      <c r="U207" s="12"/>
      <c r="V207" s="12"/>
      <c r="W207" s="12"/>
      <c r="X207" s="12"/>
      <c r="Y207" s="12"/>
      <c r="Z207" s="12"/>
      <c r="AA207" s="12"/>
      <c r="AB207" s="12"/>
      <c r="AC207" s="12"/>
      <c r="AD207" s="12"/>
      <c r="AE207" s="12"/>
      <c r="AF207" s="12"/>
      <c r="AG207" s="13"/>
      <c r="AH207" s="13"/>
      <c r="AI207" s="13"/>
      <c r="AJ207" s="13"/>
      <c r="AK207" s="13"/>
      <c r="AL207" s="13"/>
      <c r="AM207" s="13"/>
    </row>
    <row r="208" spans="1:39">
      <c r="A208" s="8"/>
      <c r="B208" s="8"/>
      <c r="C208" s="8"/>
      <c r="D208" s="8"/>
      <c r="E208" s="8"/>
      <c r="F208" s="8"/>
      <c r="G208" s="8"/>
      <c r="H208" s="8"/>
      <c r="I208" s="8"/>
      <c r="J208" s="8"/>
      <c r="K208" s="8"/>
      <c r="L208" s="8"/>
      <c r="M208" s="8"/>
      <c r="N208" s="8"/>
      <c r="O208" s="8"/>
      <c r="P208" s="8"/>
      <c r="Q208" s="8"/>
      <c r="R208" s="8"/>
      <c r="S208" s="8"/>
      <c r="T208" s="8"/>
      <c r="U208" s="12"/>
      <c r="V208" s="12"/>
      <c r="W208" s="12"/>
      <c r="X208" s="12"/>
      <c r="Y208" s="12"/>
      <c r="Z208" s="12"/>
      <c r="AA208" s="12"/>
      <c r="AB208" s="12"/>
      <c r="AC208" s="12"/>
      <c r="AD208" s="12"/>
      <c r="AE208" s="12"/>
      <c r="AF208" s="12"/>
      <c r="AG208" s="13"/>
      <c r="AH208" s="13"/>
      <c r="AI208" s="13"/>
      <c r="AJ208" s="13"/>
      <c r="AK208" s="13"/>
      <c r="AL208" s="13"/>
      <c r="AM208" s="13"/>
    </row>
    <row r="209" spans="1:39">
      <c r="A209" s="8"/>
      <c r="B209" s="8"/>
      <c r="C209" s="8"/>
      <c r="D209" s="8"/>
      <c r="E209" s="8"/>
      <c r="F209" s="8"/>
      <c r="G209" s="8"/>
      <c r="H209" s="8"/>
      <c r="I209" s="8"/>
      <c r="J209" s="8"/>
      <c r="K209" s="8"/>
      <c r="L209" s="8"/>
      <c r="M209" s="8"/>
      <c r="N209" s="8"/>
      <c r="O209" s="8"/>
      <c r="P209" s="8"/>
      <c r="Q209" s="8"/>
      <c r="R209" s="8"/>
      <c r="S209" s="8"/>
      <c r="T209" s="8"/>
      <c r="U209" s="12"/>
      <c r="V209" s="12"/>
      <c r="W209" s="12"/>
      <c r="X209" s="12"/>
      <c r="Y209" s="12"/>
      <c r="Z209" s="12"/>
      <c r="AA209" s="12"/>
      <c r="AB209" s="12"/>
      <c r="AC209" s="12"/>
      <c r="AD209" s="12"/>
      <c r="AE209" s="12"/>
      <c r="AF209" s="12"/>
      <c r="AG209" s="13"/>
      <c r="AH209" s="13"/>
      <c r="AI209" s="13"/>
      <c r="AJ209" s="13"/>
      <c r="AK209" s="13"/>
      <c r="AL209" s="13"/>
      <c r="AM209" s="13"/>
    </row>
    <row r="210" spans="1:39">
      <c r="A210" s="8"/>
      <c r="B210" s="8"/>
      <c r="C210" s="8"/>
      <c r="D210" s="8"/>
      <c r="E210" s="8"/>
      <c r="F210" s="8"/>
      <c r="G210" s="8"/>
      <c r="H210" s="8"/>
      <c r="I210" s="8"/>
      <c r="J210" s="8"/>
      <c r="K210" s="8"/>
      <c r="L210" s="8"/>
      <c r="M210" s="8"/>
      <c r="N210" s="8"/>
      <c r="O210" s="8"/>
      <c r="P210" s="8"/>
      <c r="Q210" s="8"/>
      <c r="R210" s="8"/>
      <c r="S210" s="8"/>
      <c r="T210" s="8"/>
      <c r="U210" s="12"/>
      <c r="V210" s="12"/>
      <c r="W210" s="12"/>
      <c r="X210" s="12"/>
      <c r="Y210" s="12"/>
      <c r="Z210" s="12"/>
      <c r="AA210" s="12"/>
      <c r="AB210" s="12"/>
      <c r="AC210" s="12"/>
      <c r="AD210" s="12"/>
      <c r="AE210" s="12"/>
      <c r="AF210" s="12"/>
      <c r="AG210" s="13"/>
      <c r="AH210" s="13"/>
      <c r="AI210" s="13"/>
      <c r="AJ210" s="13"/>
      <c r="AK210" s="13"/>
      <c r="AL210" s="13"/>
      <c r="AM210" s="13"/>
    </row>
    <row r="211" spans="1:39">
      <c r="A211" s="8"/>
      <c r="B211" s="8"/>
      <c r="C211" s="8"/>
      <c r="D211" s="8"/>
      <c r="E211" s="8"/>
      <c r="F211" s="8"/>
      <c r="G211" s="8"/>
      <c r="H211" s="8"/>
      <c r="I211" s="8"/>
      <c r="J211" s="8"/>
      <c r="K211" s="8"/>
      <c r="L211" s="8"/>
      <c r="M211" s="8"/>
      <c r="N211" s="8"/>
      <c r="O211" s="8"/>
      <c r="P211" s="8"/>
      <c r="Q211" s="8"/>
      <c r="R211" s="8"/>
      <c r="S211" s="8"/>
      <c r="T211" s="8"/>
      <c r="U211" s="12"/>
      <c r="V211" s="12"/>
      <c r="W211" s="12"/>
      <c r="X211" s="12"/>
      <c r="Y211" s="12"/>
      <c r="Z211" s="12"/>
      <c r="AA211" s="12"/>
      <c r="AB211" s="12"/>
      <c r="AC211" s="12"/>
      <c r="AD211" s="12"/>
      <c r="AE211" s="12"/>
      <c r="AF211" s="12"/>
      <c r="AG211" s="13"/>
      <c r="AH211" s="13"/>
      <c r="AI211" s="13"/>
      <c r="AJ211" s="13"/>
      <c r="AK211" s="13"/>
      <c r="AL211" s="13"/>
      <c r="AM211" s="13"/>
    </row>
    <row r="212" spans="1:39">
      <c r="A212" s="8"/>
      <c r="B212" s="8"/>
      <c r="C212" s="8"/>
      <c r="D212" s="8"/>
      <c r="E212" s="8"/>
      <c r="F212" s="8"/>
      <c r="G212" s="8"/>
      <c r="H212" s="8"/>
      <c r="I212" s="8"/>
      <c r="J212" s="8"/>
      <c r="K212" s="8"/>
      <c r="L212" s="8"/>
      <c r="M212" s="8"/>
      <c r="N212" s="8"/>
      <c r="O212" s="8"/>
      <c r="P212" s="8"/>
      <c r="Q212" s="8"/>
      <c r="R212" s="8"/>
      <c r="S212" s="8"/>
      <c r="T212" s="8"/>
      <c r="U212" s="12"/>
      <c r="V212" s="12"/>
      <c r="W212" s="12"/>
      <c r="X212" s="12"/>
      <c r="Y212" s="12"/>
      <c r="Z212" s="12"/>
      <c r="AA212" s="12"/>
      <c r="AB212" s="12"/>
      <c r="AC212" s="12"/>
      <c r="AD212" s="12"/>
      <c r="AE212" s="12"/>
      <c r="AF212" s="12"/>
      <c r="AG212" s="13"/>
      <c r="AH212" s="13"/>
      <c r="AI212" s="13"/>
      <c r="AJ212" s="13"/>
      <c r="AK212" s="13"/>
      <c r="AL212" s="13"/>
      <c r="AM212" s="13"/>
    </row>
    <row r="213" spans="1:39">
      <c r="A213" s="8"/>
      <c r="B213" s="8"/>
      <c r="C213" s="8"/>
      <c r="D213" s="8"/>
      <c r="E213" s="8"/>
      <c r="F213" s="8"/>
      <c r="G213" s="8"/>
      <c r="H213" s="8"/>
      <c r="I213" s="8"/>
      <c r="J213" s="8"/>
      <c r="K213" s="8"/>
      <c r="L213" s="8"/>
      <c r="M213" s="8"/>
      <c r="N213" s="8"/>
      <c r="O213" s="8"/>
      <c r="P213" s="8"/>
      <c r="Q213" s="8"/>
      <c r="R213" s="8"/>
      <c r="S213" s="8"/>
      <c r="T213" s="8"/>
      <c r="U213" s="12"/>
      <c r="V213" s="12"/>
      <c r="W213" s="12"/>
      <c r="X213" s="12"/>
      <c r="Y213" s="12"/>
      <c r="Z213" s="12"/>
      <c r="AA213" s="12"/>
      <c r="AB213" s="12"/>
      <c r="AC213" s="12"/>
      <c r="AD213" s="12"/>
      <c r="AE213" s="12"/>
      <c r="AF213" s="12"/>
      <c r="AG213" s="13"/>
      <c r="AH213" s="13"/>
      <c r="AI213" s="13"/>
      <c r="AJ213" s="13"/>
      <c r="AK213" s="13"/>
      <c r="AL213" s="13"/>
      <c r="AM213" s="13"/>
    </row>
    <row r="214" spans="1:39">
      <c r="A214" s="8"/>
      <c r="B214" s="8"/>
      <c r="C214" s="8"/>
      <c r="D214" s="8"/>
      <c r="E214" s="8"/>
      <c r="F214" s="8"/>
      <c r="G214" s="8"/>
      <c r="H214" s="8"/>
      <c r="I214" s="8"/>
      <c r="J214" s="8"/>
      <c r="K214" s="8"/>
      <c r="L214" s="8"/>
      <c r="M214" s="8"/>
      <c r="N214" s="8"/>
      <c r="O214" s="8"/>
      <c r="P214" s="8"/>
      <c r="Q214" s="8"/>
      <c r="R214" s="8"/>
      <c r="S214" s="8"/>
      <c r="T214" s="8"/>
      <c r="U214" s="12"/>
      <c r="V214" s="12"/>
      <c r="W214" s="12"/>
      <c r="X214" s="12"/>
      <c r="Y214" s="12"/>
      <c r="Z214" s="12"/>
      <c r="AA214" s="12"/>
      <c r="AB214" s="12"/>
      <c r="AC214" s="12"/>
      <c r="AD214" s="12"/>
      <c r="AE214" s="12"/>
      <c r="AF214" s="12"/>
      <c r="AG214" s="13"/>
      <c r="AH214" s="13"/>
      <c r="AI214" s="13"/>
      <c r="AJ214" s="13"/>
      <c r="AK214" s="13"/>
      <c r="AL214" s="13"/>
      <c r="AM214" s="13"/>
    </row>
    <row r="215" spans="1:39">
      <c r="A215" s="8"/>
      <c r="B215" s="8"/>
      <c r="C215" s="8"/>
      <c r="D215" s="8"/>
      <c r="E215" s="8"/>
      <c r="F215" s="8"/>
      <c r="G215" s="8"/>
      <c r="H215" s="8"/>
      <c r="I215" s="8"/>
      <c r="J215" s="8"/>
      <c r="K215" s="8"/>
      <c r="L215" s="8"/>
      <c r="M215" s="8"/>
      <c r="N215" s="8"/>
      <c r="O215" s="8"/>
      <c r="P215" s="8"/>
      <c r="Q215" s="8"/>
      <c r="R215" s="8"/>
      <c r="S215" s="8"/>
      <c r="T215" s="8"/>
      <c r="U215" s="12"/>
      <c r="V215" s="12"/>
      <c r="W215" s="12"/>
      <c r="X215" s="12"/>
      <c r="Y215" s="12"/>
      <c r="Z215" s="12"/>
      <c r="AA215" s="12"/>
      <c r="AB215" s="12"/>
      <c r="AC215" s="12"/>
      <c r="AD215" s="12"/>
      <c r="AE215" s="12"/>
      <c r="AF215" s="12"/>
      <c r="AG215" s="13"/>
      <c r="AH215" s="13"/>
      <c r="AI215" s="13"/>
      <c r="AJ215" s="13"/>
      <c r="AK215" s="13"/>
      <c r="AL215" s="13"/>
      <c r="AM215" s="13"/>
    </row>
    <row r="216" spans="1:39">
      <c r="A216" s="8"/>
      <c r="B216" s="8"/>
      <c r="C216" s="8"/>
      <c r="D216" s="8"/>
      <c r="E216" s="8"/>
      <c r="F216" s="8"/>
      <c r="G216" s="8"/>
      <c r="H216" s="8"/>
      <c r="I216" s="8"/>
      <c r="J216" s="8"/>
      <c r="K216" s="8"/>
      <c r="L216" s="8"/>
      <c r="M216" s="8"/>
      <c r="N216" s="8"/>
      <c r="O216" s="8"/>
      <c r="P216" s="8"/>
      <c r="Q216" s="8"/>
      <c r="R216" s="8"/>
      <c r="S216" s="8"/>
      <c r="T216" s="8"/>
      <c r="U216" s="12"/>
      <c r="V216" s="12"/>
      <c r="W216" s="12"/>
      <c r="X216" s="12"/>
      <c r="Y216" s="12"/>
      <c r="Z216" s="12"/>
      <c r="AA216" s="12"/>
      <c r="AB216" s="12"/>
      <c r="AC216" s="12"/>
      <c r="AD216" s="12"/>
      <c r="AE216" s="12"/>
      <c r="AF216" s="12"/>
      <c r="AG216" s="13"/>
      <c r="AH216" s="13"/>
      <c r="AI216" s="13"/>
      <c r="AJ216" s="13"/>
      <c r="AK216" s="13"/>
      <c r="AL216" s="13"/>
      <c r="AM216" s="13"/>
    </row>
    <row r="217" spans="1:39">
      <c r="A217" s="8"/>
      <c r="B217" s="8"/>
      <c r="C217" s="8"/>
      <c r="D217" s="8"/>
      <c r="E217" s="8"/>
      <c r="F217" s="8"/>
      <c r="G217" s="8"/>
      <c r="H217" s="8"/>
      <c r="I217" s="8"/>
      <c r="J217" s="8"/>
      <c r="K217" s="8"/>
      <c r="L217" s="8"/>
      <c r="M217" s="8"/>
      <c r="N217" s="8"/>
      <c r="O217" s="8"/>
      <c r="P217" s="8"/>
      <c r="Q217" s="8"/>
      <c r="R217" s="8"/>
      <c r="S217" s="8"/>
      <c r="T217" s="8"/>
      <c r="U217" s="12"/>
      <c r="V217" s="12"/>
      <c r="W217" s="12"/>
      <c r="X217" s="12"/>
      <c r="Y217" s="12"/>
      <c r="Z217" s="12"/>
      <c r="AA217" s="12"/>
      <c r="AB217" s="12"/>
      <c r="AC217" s="12"/>
      <c r="AD217" s="12"/>
      <c r="AE217" s="12"/>
      <c r="AF217" s="12"/>
      <c r="AG217" s="13"/>
      <c r="AH217" s="13"/>
      <c r="AI217" s="13"/>
      <c r="AJ217" s="13"/>
      <c r="AK217" s="13"/>
      <c r="AL217" s="13"/>
      <c r="AM217" s="13"/>
    </row>
    <row r="218" spans="1:39">
      <c r="A218" s="8"/>
      <c r="B218" s="8"/>
      <c r="C218" s="8"/>
      <c r="D218" s="8"/>
      <c r="E218" s="8"/>
      <c r="F218" s="8"/>
      <c r="G218" s="8"/>
      <c r="H218" s="8"/>
      <c r="I218" s="8"/>
      <c r="J218" s="8"/>
      <c r="K218" s="8"/>
      <c r="L218" s="8"/>
      <c r="M218" s="8"/>
      <c r="N218" s="8"/>
      <c r="O218" s="8"/>
      <c r="P218" s="8"/>
      <c r="Q218" s="8"/>
      <c r="R218" s="8"/>
      <c r="S218" s="8"/>
      <c r="T218" s="8"/>
      <c r="U218" s="12"/>
      <c r="V218" s="12"/>
      <c r="W218" s="12"/>
      <c r="X218" s="12"/>
      <c r="Y218" s="12"/>
      <c r="Z218" s="12"/>
      <c r="AA218" s="12"/>
      <c r="AB218" s="12"/>
      <c r="AC218" s="12"/>
      <c r="AD218" s="12"/>
      <c r="AE218" s="12"/>
      <c r="AF218" s="12"/>
      <c r="AG218" s="13"/>
      <c r="AH218" s="13"/>
      <c r="AI218" s="13"/>
      <c r="AJ218" s="13"/>
      <c r="AK218" s="13"/>
      <c r="AL218" s="13"/>
      <c r="AM218" s="13"/>
    </row>
    <row r="219" spans="1:39">
      <c r="A219" s="8"/>
      <c r="B219" s="8"/>
      <c r="C219" s="8"/>
      <c r="D219" s="8"/>
      <c r="E219" s="8"/>
      <c r="F219" s="8"/>
      <c r="G219" s="8"/>
      <c r="H219" s="8"/>
      <c r="I219" s="8"/>
      <c r="J219" s="8"/>
      <c r="K219" s="8"/>
      <c r="L219" s="8"/>
      <c r="M219" s="8"/>
      <c r="N219" s="8"/>
      <c r="O219" s="8"/>
      <c r="P219" s="8"/>
      <c r="Q219" s="8"/>
      <c r="R219" s="8"/>
      <c r="S219" s="8"/>
      <c r="T219" s="8"/>
      <c r="U219" s="12"/>
      <c r="V219" s="12"/>
      <c r="W219" s="12"/>
      <c r="X219" s="12"/>
      <c r="Y219" s="12"/>
      <c r="Z219" s="12"/>
      <c r="AA219" s="12"/>
      <c r="AB219" s="12"/>
      <c r="AC219" s="12"/>
      <c r="AD219" s="12"/>
      <c r="AE219" s="12"/>
      <c r="AF219" s="12"/>
      <c r="AG219" s="13"/>
      <c r="AH219" s="13"/>
      <c r="AI219" s="13"/>
      <c r="AJ219" s="13"/>
      <c r="AK219" s="13"/>
      <c r="AL219" s="13"/>
      <c r="AM219" s="13"/>
    </row>
    <row r="220" spans="1:39">
      <c r="A220" s="8"/>
      <c r="B220" s="8"/>
      <c r="C220" s="8"/>
      <c r="D220" s="8"/>
      <c r="E220" s="8"/>
      <c r="F220" s="8"/>
      <c r="G220" s="8"/>
      <c r="H220" s="8"/>
      <c r="I220" s="8"/>
      <c r="J220" s="8"/>
      <c r="K220" s="8"/>
      <c r="L220" s="8"/>
      <c r="M220" s="8"/>
      <c r="N220" s="8"/>
      <c r="O220" s="8"/>
      <c r="P220" s="8"/>
      <c r="Q220" s="8"/>
      <c r="R220" s="8"/>
      <c r="S220" s="8"/>
      <c r="T220" s="8"/>
      <c r="U220" s="12"/>
      <c r="V220" s="12"/>
      <c r="W220" s="12"/>
      <c r="X220" s="12"/>
      <c r="Y220" s="12"/>
      <c r="Z220" s="12"/>
      <c r="AA220" s="12"/>
      <c r="AB220" s="12"/>
      <c r="AC220" s="12"/>
      <c r="AD220" s="12"/>
      <c r="AE220" s="12"/>
      <c r="AF220" s="12"/>
      <c r="AG220" s="13"/>
      <c r="AH220" s="13"/>
      <c r="AI220" s="13"/>
      <c r="AJ220" s="13"/>
      <c r="AK220" s="13"/>
      <c r="AL220" s="13"/>
      <c r="AM220" s="13"/>
    </row>
    <row r="221" spans="1:39">
      <c r="A221" s="8"/>
      <c r="B221" s="8"/>
      <c r="C221" s="8"/>
      <c r="D221" s="8"/>
      <c r="E221" s="8"/>
      <c r="F221" s="8"/>
      <c r="G221" s="8"/>
      <c r="H221" s="8"/>
      <c r="I221" s="8"/>
      <c r="J221" s="8"/>
      <c r="K221" s="8"/>
      <c r="L221" s="8"/>
      <c r="M221" s="8"/>
      <c r="N221" s="8"/>
      <c r="O221" s="8"/>
      <c r="P221" s="8"/>
      <c r="Q221" s="8"/>
      <c r="R221" s="8"/>
      <c r="S221" s="8"/>
      <c r="T221" s="8"/>
      <c r="U221" s="12"/>
      <c r="V221" s="12"/>
      <c r="W221" s="12"/>
      <c r="X221" s="12"/>
      <c r="Y221" s="12"/>
      <c r="Z221" s="12"/>
      <c r="AA221" s="12"/>
      <c r="AB221" s="12"/>
      <c r="AC221" s="12"/>
      <c r="AD221" s="12"/>
      <c r="AE221" s="12"/>
      <c r="AF221" s="12"/>
      <c r="AG221" s="13"/>
      <c r="AH221" s="13"/>
      <c r="AI221" s="13"/>
      <c r="AJ221" s="13"/>
      <c r="AK221" s="13"/>
      <c r="AL221" s="13"/>
      <c r="AM221" s="13"/>
    </row>
    <row r="222" spans="1:39">
      <c r="A222" s="8"/>
      <c r="B222" s="8"/>
      <c r="C222" s="8"/>
      <c r="D222" s="8"/>
      <c r="E222" s="8"/>
      <c r="F222" s="8"/>
      <c r="G222" s="8"/>
      <c r="H222" s="8"/>
      <c r="I222" s="8"/>
      <c r="J222" s="8"/>
      <c r="K222" s="8"/>
      <c r="L222" s="8"/>
      <c r="M222" s="8"/>
      <c r="N222" s="8"/>
      <c r="O222" s="8"/>
      <c r="P222" s="8"/>
      <c r="Q222" s="8"/>
      <c r="R222" s="8"/>
      <c r="S222" s="8"/>
      <c r="T222" s="8"/>
      <c r="U222" s="12"/>
      <c r="V222" s="12"/>
      <c r="W222" s="12"/>
      <c r="X222" s="12"/>
      <c r="Y222" s="12"/>
      <c r="Z222" s="12"/>
      <c r="AA222" s="12"/>
      <c r="AB222" s="12"/>
      <c r="AC222" s="12"/>
      <c r="AD222" s="12"/>
      <c r="AE222" s="12"/>
      <c r="AF222" s="12"/>
      <c r="AG222" s="13"/>
      <c r="AH222" s="13"/>
      <c r="AI222" s="13"/>
      <c r="AJ222" s="13"/>
      <c r="AK222" s="13"/>
      <c r="AL222" s="13"/>
      <c r="AM222" s="13"/>
    </row>
    <row r="223" spans="1:39">
      <c r="A223" s="8"/>
      <c r="B223" s="8"/>
      <c r="C223" s="8"/>
      <c r="D223" s="8"/>
      <c r="E223" s="8"/>
      <c r="F223" s="8"/>
      <c r="G223" s="8"/>
      <c r="H223" s="8"/>
      <c r="I223" s="8"/>
      <c r="J223" s="8"/>
      <c r="K223" s="8"/>
      <c r="L223" s="8"/>
      <c r="M223" s="8"/>
      <c r="N223" s="8"/>
      <c r="O223" s="8"/>
      <c r="P223" s="8"/>
      <c r="Q223" s="8"/>
      <c r="R223" s="8"/>
      <c r="S223" s="8"/>
      <c r="T223" s="8"/>
      <c r="U223" s="12"/>
      <c r="V223" s="12"/>
      <c r="W223" s="12"/>
      <c r="X223" s="12"/>
      <c r="Y223" s="12"/>
      <c r="Z223" s="12"/>
      <c r="AA223" s="12"/>
      <c r="AB223" s="12"/>
      <c r="AC223" s="12"/>
      <c r="AD223" s="12"/>
      <c r="AE223" s="12"/>
      <c r="AF223" s="12"/>
      <c r="AG223" s="13"/>
      <c r="AH223" s="13"/>
      <c r="AI223" s="13"/>
      <c r="AJ223" s="13"/>
      <c r="AK223" s="13"/>
      <c r="AL223" s="13"/>
      <c r="AM223" s="13"/>
    </row>
    <row r="224" spans="1:39">
      <c r="A224" s="8"/>
      <c r="B224" s="8"/>
      <c r="C224" s="8"/>
      <c r="D224" s="8"/>
      <c r="E224" s="8"/>
      <c r="F224" s="8"/>
      <c r="G224" s="8"/>
      <c r="H224" s="8"/>
      <c r="I224" s="8"/>
      <c r="J224" s="8"/>
      <c r="K224" s="8"/>
      <c r="L224" s="8"/>
      <c r="M224" s="8"/>
      <c r="N224" s="8"/>
      <c r="O224" s="8"/>
      <c r="P224" s="8"/>
      <c r="Q224" s="8"/>
      <c r="R224" s="8"/>
      <c r="S224" s="8"/>
      <c r="T224" s="8"/>
      <c r="U224" s="12"/>
      <c r="V224" s="12"/>
      <c r="W224" s="12"/>
      <c r="X224" s="12"/>
      <c r="Y224" s="12"/>
      <c r="Z224" s="12"/>
      <c r="AA224" s="12"/>
      <c r="AB224" s="12"/>
      <c r="AC224" s="12"/>
      <c r="AD224" s="12"/>
      <c r="AE224" s="12"/>
      <c r="AF224" s="12"/>
      <c r="AG224" s="13"/>
      <c r="AH224" s="13"/>
      <c r="AI224" s="13"/>
      <c r="AJ224" s="13"/>
      <c r="AK224" s="13"/>
      <c r="AL224" s="13"/>
      <c r="AM224" s="13"/>
    </row>
    <row r="225" spans="1:39">
      <c r="A225" s="8"/>
      <c r="B225" s="8"/>
      <c r="C225" s="8"/>
      <c r="D225" s="8"/>
      <c r="E225" s="8"/>
      <c r="F225" s="8"/>
      <c r="G225" s="8"/>
      <c r="H225" s="8"/>
      <c r="I225" s="8"/>
      <c r="J225" s="8"/>
      <c r="K225" s="8"/>
      <c r="L225" s="8"/>
      <c r="M225" s="8"/>
      <c r="N225" s="8"/>
      <c r="O225" s="8"/>
      <c r="P225" s="8"/>
      <c r="Q225" s="8"/>
      <c r="R225" s="8"/>
      <c r="S225" s="8"/>
      <c r="T225" s="8"/>
      <c r="U225" s="12"/>
      <c r="V225" s="12"/>
      <c r="W225" s="12"/>
      <c r="X225" s="12"/>
      <c r="Y225" s="12"/>
      <c r="Z225" s="12"/>
      <c r="AA225" s="12"/>
      <c r="AB225" s="12"/>
      <c r="AC225" s="12"/>
      <c r="AD225" s="12"/>
      <c r="AE225" s="12"/>
      <c r="AF225" s="12"/>
      <c r="AG225" s="13"/>
      <c r="AH225" s="13"/>
      <c r="AI225" s="13"/>
      <c r="AJ225" s="13"/>
      <c r="AK225" s="13"/>
      <c r="AL225" s="13"/>
      <c r="AM225" s="13"/>
    </row>
    <row r="226" spans="1:39">
      <c r="A226" s="8"/>
      <c r="B226" s="8"/>
      <c r="C226" s="8"/>
      <c r="D226" s="8"/>
      <c r="E226" s="8"/>
      <c r="F226" s="8"/>
      <c r="G226" s="8"/>
      <c r="H226" s="8"/>
      <c r="I226" s="8"/>
      <c r="J226" s="8"/>
      <c r="K226" s="8"/>
      <c r="L226" s="8"/>
      <c r="M226" s="8"/>
      <c r="N226" s="8"/>
      <c r="O226" s="8"/>
      <c r="P226" s="8"/>
      <c r="Q226" s="8"/>
      <c r="R226" s="8"/>
      <c r="S226" s="8"/>
      <c r="T226" s="8"/>
      <c r="U226" s="12"/>
      <c r="V226" s="12"/>
      <c r="W226" s="12"/>
      <c r="X226" s="12"/>
      <c r="Y226" s="12"/>
      <c r="Z226" s="12"/>
      <c r="AA226" s="12"/>
      <c r="AB226" s="12"/>
      <c r="AC226" s="12"/>
      <c r="AD226" s="12"/>
      <c r="AE226" s="12"/>
      <c r="AF226" s="12"/>
      <c r="AG226" s="13"/>
      <c r="AH226" s="13"/>
      <c r="AI226" s="13"/>
      <c r="AJ226" s="13"/>
      <c r="AK226" s="13"/>
      <c r="AL226" s="13"/>
      <c r="AM226" s="13"/>
    </row>
    <row r="227" spans="1:39">
      <c r="A227" s="8"/>
      <c r="B227" s="8"/>
      <c r="C227" s="8"/>
      <c r="D227" s="8"/>
      <c r="E227" s="8"/>
      <c r="F227" s="8"/>
      <c r="G227" s="8"/>
      <c r="H227" s="8"/>
      <c r="I227" s="8"/>
      <c r="J227" s="8"/>
      <c r="K227" s="8"/>
      <c r="L227" s="8"/>
      <c r="M227" s="8"/>
      <c r="N227" s="8"/>
      <c r="O227" s="8"/>
      <c r="P227" s="8"/>
      <c r="Q227" s="8"/>
      <c r="R227" s="8"/>
      <c r="S227" s="8"/>
      <c r="T227" s="8"/>
      <c r="U227" s="12"/>
      <c r="V227" s="12"/>
      <c r="W227" s="12"/>
      <c r="X227" s="12"/>
      <c r="Y227" s="12"/>
      <c r="Z227" s="12"/>
      <c r="AA227" s="12"/>
      <c r="AB227" s="12"/>
      <c r="AC227" s="12"/>
      <c r="AD227" s="12"/>
      <c r="AE227" s="12"/>
      <c r="AF227" s="12"/>
      <c r="AG227" s="13"/>
      <c r="AH227" s="13"/>
      <c r="AI227" s="13"/>
      <c r="AJ227" s="13"/>
      <c r="AK227" s="13"/>
      <c r="AL227" s="13"/>
      <c r="AM227" s="13"/>
    </row>
    <row r="228" spans="1:39">
      <c r="A228" s="8"/>
      <c r="B228" s="8"/>
      <c r="C228" s="8"/>
      <c r="D228" s="8"/>
      <c r="E228" s="8"/>
      <c r="F228" s="8"/>
      <c r="G228" s="8"/>
      <c r="H228" s="8"/>
      <c r="I228" s="8"/>
      <c r="J228" s="8"/>
      <c r="K228" s="8"/>
      <c r="L228" s="8"/>
      <c r="M228" s="8"/>
      <c r="N228" s="8"/>
      <c r="O228" s="8"/>
      <c r="P228" s="8"/>
      <c r="Q228" s="8"/>
      <c r="R228" s="8"/>
      <c r="S228" s="8"/>
      <c r="T228" s="8"/>
      <c r="U228" s="12"/>
      <c r="V228" s="12"/>
      <c r="W228" s="12"/>
      <c r="X228" s="12"/>
      <c r="Y228" s="12"/>
      <c r="Z228" s="12"/>
      <c r="AA228" s="12"/>
      <c r="AB228" s="12"/>
      <c r="AC228" s="12"/>
      <c r="AD228" s="12"/>
      <c r="AE228" s="12"/>
      <c r="AF228" s="12"/>
      <c r="AG228" s="13"/>
      <c r="AH228" s="13"/>
      <c r="AI228" s="13"/>
      <c r="AJ228" s="13"/>
      <c r="AK228" s="13"/>
      <c r="AL228" s="13"/>
      <c r="AM228" s="13"/>
    </row>
    <row r="229" spans="1:39">
      <c r="A229" s="8"/>
      <c r="B229" s="8"/>
      <c r="C229" s="8"/>
      <c r="D229" s="8"/>
      <c r="E229" s="8"/>
      <c r="F229" s="8"/>
      <c r="G229" s="8"/>
      <c r="H229" s="8"/>
      <c r="I229" s="8"/>
      <c r="J229" s="8"/>
      <c r="K229" s="8"/>
      <c r="L229" s="8"/>
      <c r="M229" s="8"/>
      <c r="N229" s="8"/>
      <c r="O229" s="8"/>
      <c r="P229" s="8"/>
      <c r="Q229" s="8"/>
      <c r="R229" s="8"/>
      <c r="S229" s="8"/>
      <c r="T229" s="8"/>
      <c r="U229" s="12"/>
      <c r="V229" s="12"/>
      <c r="W229" s="12"/>
      <c r="X229" s="12"/>
      <c r="Y229" s="12"/>
      <c r="Z229" s="12"/>
      <c r="AA229" s="12"/>
      <c r="AB229" s="12"/>
      <c r="AC229" s="12"/>
      <c r="AD229" s="12"/>
      <c r="AE229" s="12"/>
      <c r="AF229" s="12"/>
      <c r="AG229" s="13"/>
      <c r="AH229" s="13"/>
      <c r="AI229" s="13"/>
      <c r="AJ229" s="13"/>
      <c r="AK229" s="13"/>
      <c r="AL229" s="13"/>
      <c r="AM229" s="13"/>
    </row>
    <row r="230" spans="1:39">
      <c r="A230" s="8"/>
      <c r="B230" s="8"/>
      <c r="C230" s="8"/>
      <c r="D230" s="8"/>
      <c r="E230" s="8"/>
      <c r="F230" s="8"/>
      <c r="G230" s="8"/>
      <c r="H230" s="8"/>
      <c r="I230" s="8"/>
      <c r="J230" s="8"/>
      <c r="K230" s="8"/>
      <c r="L230" s="8"/>
      <c r="M230" s="8"/>
      <c r="N230" s="8"/>
      <c r="O230" s="8"/>
      <c r="P230" s="8"/>
      <c r="Q230" s="8"/>
      <c r="R230" s="8"/>
      <c r="S230" s="8"/>
      <c r="T230" s="8"/>
      <c r="U230" s="12"/>
      <c r="V230" s="12"/>
      <c r="W230" s="12"/>
      <c r="X230" s="12"/>
      <c r="Y230" s="12"/>
      <c r="Z230" s="12"/>
      <c r="AA230" s="12"/>
      <c r="AB230" s="12"/>
      <c r="AC230" s="12"/>
      <c r="AD230" s="12"/>
      <c r="AE230" s="12"/>
      <c r="AF230" s="12"/>
      <c r="AG230" s="13"/>
      <c r="AH230" s="13"/>
      <c r="AI230" s="13"/>
      <c r="AJ230" s="13"/>
      <c r="AK230" s="13"/>
      <c r="AL230" s="13"/>
      <c r="AM230" s="13"/>
    </row>
    <row r="231" spans="1:39">
      <c r="A231" s="8"/>
      <c r="B231" s="8"/>
      <c r="C231" s="8"/>
      <c r="D231" s="8"/>
      <c r="E231" s="8"/>
      <c r="F231" s="8"/>
      <c r="G231" s="8"/>
      <c r="H231" s="8"/>
      <c r="I231" s="8"/>
      <c r="J231" s="8"/>
      <c r="K231" s="8"/>
      <c r="L231" s="8"/>
      <c r="M231" s="8"/>
      <c r="N231" s="8"/>
      <c r="O231" s="8"/>
      <c r="P231" s="8"/>
      <c r="Q231" s="8"/>
      <c r="R231" s="8"/>
      <c r="S231" s="8"/>
      <c r="T231" s="8"/>
      <c r="U231" s="12"/>
      <c r="V231" s="12"/>
      <c r="W231" s="12"/>
      <c r="X231" s="12"/>
      <c r="Y231" s="12"/>
      <c r="Z231" s="12"/>
      <c r="AA231" s="12"/>
      <c r="AB231" s="12"/>
      <c r="AC231" s="12"/>
      <c r="AD231" s="12"/>
      <c r="AE231" s="12"/>
      <c r="AF231" s="12"/>
      <c r="AG231" s="13"/>
      <c r="AH231" s="13"/>
      <c r="AI231" s="13"/>
      <c r="AJ231" s="13"/>
      <c r="AK231" s="13"/>
      <c r="AL231" s="13"/>
      <c r="AM231" s="13"/>
    </row>
    <row r="232" spans="1:39">
      <c r="A232" s="8"/>
      <c r="B232" s="8"/>
      <c r="C232" s="8"/>
      <c r="D232" s="8"/>
      <c r="E232" s="8"/>
      <c r="F232" s="8"/>
      <c r="G232" s="8"/>
      <c r="H232" s="8"/>
      <c r="I232" s="8"/>
      <c r="J232" s="8"/>
      <c r="K232" s="8"/>
      <c r="L232" s="8"/>
      <c r="M232" s="8"/>
      <c r="N232" s="8"/>
      <c r="O232" s="8"/>
      <c r="P232" s="8"/>
      <c r="Q232" s="8"/>
      <c r="R232" s="8"/>
      <c r="S232" s="8"/>
      <c r="T232" s="8"/>
      <c r="U232" s="12"/>
      <c r="V232" s="12"/>
      <c r="W232" s="12"/>
      <c r="X232" s="12"/>
      <c r="Y232" s="12"/>
      <c r="Z232" s="12"/>
      <c r="AA232" s="12"/>
      <c r="AB232" s="12"/>
      <c r="AC232" s="12"/>
      <c r="AD232" s="12"/>
      <c r="AE232" s="12"/>
      <c r="AF232" s="12"/>
      <c r="AG232" s="13"/>
      <c r="AH232" s="13"/>
      <c r="AI232" s="13"/>
      <c r="AJ232" s="13"/>
      <c r="AK232" s="13"/>
      <c r="AL232" s="13"/>
      <c r="AM232" s="13"/>
    </row>
    <row r="233" spans="1:39">
      <c r="A233" s="8"/>
      <c r="B233" s="8"/>
      <c r="C233" s="8"/>
      <c r="D233" s="8"/>
      <c r="E233" s="8"/>
      <c r="F233" s="8"/>
      <c r="G233" s="8"/>
      <c r="H233" s="8"/>
      <c r="I233" s="8"/>
      <c r="J233" s="8"/>
      <c r="K233" s="8"/>
      <c r="L233" s="8"/>
      <c r="M233" s="8"/>
      <c r="N233" s="8"/>
      <c r="O233" s="8"/>
      <c r="P233" s="8"/>
      <c r="Q233" s="8"/>
      <c r="R233" s="8"/>
      <c r="S233" s="8"/>
      <c r="T233" s="8"/>
      <c r="U233" s="12"/>
      <c r="V233" s="12"/>
      <c r="W233" s="12"/>
      <c r="X233" s="12"/>
      <c r="Y233" s="12"/>
      <c r="Z233" s="12"/>
      <c r="AA233" s="12"/>
      <c r="AB233" s="12"/>
      <c r="AC233" s="12"/>
      <c r="AD233" s="12"/>
      <c r="AE233" s="12"/>
      <c r="AF233" s="12"/>
      <c r="AG233" s="13"/>
      <c r="AH233" s="13"/>
      <c r="AI233" s="13"/>
      <c r="AJ233" s="13"/>
      <c r="AK233" s="13"/>
      <c r="AL233" s="13"/>
      <c r="AM233" s="13"/>
    </row>
    <row r="234" spans="1:39">
      <c r="A234" s="8"/>
      <c r="B234" s="8"/>
      <c r="C234" s="8"/>
      <c r="D234" s="8"/>
      <c r="E234" s="8"/>
      <c r="F234" s="8"/>
      <c r="G234" s="8"/>
      <c r="H234" s="8"/>
      <c r="I234" s="8"/>
      <c r="J234" s="8"/>
      <c r="K234" s="8"/>
      <c r="L234" s="8"/>
      <c r="M234" s="8"/>
      <c r="N234" s="8"/>
      <c r="O234" s="8"/>
      <c r="P234" s="8"/>
      <c r="Q234" s="8"/>
      <c r="R234" s="8"/>
      <c r="S234" s="8"/>
      <c r="T234" s="8"/>
      <c r="U234" s="12"/>
      <c r="V234" s="12"/>
      <c r="W234" s="12"/>
      <c r="X234" s="12"/>
      <c r="Y234" s="12"/>
      <c r="Z234" s="12"/>
      <c r="AA234" s="12"/>
      <c r="AB234" s="12"/>
      <c r="AC234" s="12"/>
      <c r="AD234" s="12"/>
      <c r="AE234" s="12"/>
      <c r="AF234" s="12"/>
      <c r="AG234" s="13"/>
      <c r="AH234" s="13"/>
      <c r="AI234" s="13"/>
      <c r="AJ234" s="13"/>
      <c r="AK234" s="13"/>
      <c r="AL234" s="13"/>
      <c r="AM234" s="13"/>
    </row>
    <row r="235" spans="1:39">
      <c r="A235" s="8"/>
      <c r="B235" s="8"/>
      <c r="C235" s="8"/>
      <c r="D235" s="8"/>
      <c r="E235" s="8"/>
      <c r="F235" s="8"/>
      <c r="G235" s="8"/>
      <c r="H235" s="8"/>
      <c r="I235" s="8"/>
      <c r="J235" s="8"/>
      <c r="K235" s="8"/>
      <c r="L235" s="8"/>
      <c r="M235" s="8"/>
      <c r="N235" s="8"/>
      <c r="O235" s="8"/>
      <c r="P235" s="8"/>
      <c r="Q235" s="8"/>
      <c r="R235" s="8"/>
      <c r="S235" s="8"/>
      <c r="T235" s="8"/>
      <c r="U235" s="12"/>
      <c r="V235" s="12"/>
      <c r="W235" s="12"/>
      <c r="X235" s="12"/>
      <c r="Y235" s="12"/>
      <c r="Z235" s="12"/>
      <c r="AA235" s="12"/>
      <c r="AB235" s="12"/>
      <c r="AC235" s="12"/>
      <c r="AD235" s="12"/>
      <c r="AE235" s="12"/>
      <c r="AF235" s="12"/>
      <c r="AG235" s="13"/>
      <c r="AH235" s="13"/>
      <c r="AI235" s="13"/>
      <c r="AJ235" s="13"/>
      <c r="AK235" s="13"/>
      <c r="AL235" s="13"/>
      <c r="AM235" s="13"/>
    </row>
    <row r="236" spans="1:39">
      <c r="A236" s="8"/>
      <c r="B236" s="8"/>
      <c r="C236" s="8"/>
      <c r="D236" s="8"/>
      <c r="E236" s="8"/>
      <c r="F236" s="8"/>
      <c r="G236" s="8"/>
      <c r="H236" s="8"/>
      <c r="I236" s="8"/>
      <c r="J236" s="8"/>
      <c r="K236" s="8"/>
      <c r="L236" s="8"/>
      <c r="M236" s="8"/>
      <c r="N236" s="8"/>
      <c r="O236" s="8"/>
      <c r="P236" s="8"/>
      <c r="Q236" s="8"/>
      <c r="R236" s="8"/>
      <c r="S236" s="8"/>
      <c r="T236" s="8"/>
      <c r="U236" s="12"/>
      <c r="V236" s="12"/>
      <c r="W236" s="12"/>
      <c r="X236" s="12"/>
      <c r="Y236" s="12"/>
      <c r="Z236" s="12"/>
      <c r="AA236" s="12"/>
      <c r="AB236" s="12"/>
      <c r="AC236" s="12"/>
      <c r="AD236" s="12"/>
      <c r="AE236" s="12"/>
      <c r="AF236" s="12"/>
      <c r="AG236" s="13"/>
      <c r="AH236" s="13"/>
      <c r="AI236" s="13"/>
      <c r="AJ236" s="13"/>
      <c r="AK236" s="13"/>
      <c r="AL236" s="13"/>
      <c r="AM236" s="13"/>
    </row>
    <row r="237" spans="1:39">
      <c r="A237" s="8"/>
      <c r="B237" s="8"/>
      <c r="C237" s="8"/>
      <c r="D237" s="8"/>
      <c r="E237" s="8"/>
      <c r="F237" s="8"/>
      <c r="G237" s="8"/>
      <c r="H237" s="8"/>
      <c r="I237" s="8"/>
      <c r="J237" s="8"/>
      <c r="K237" s="8"/>
      <c r="L237" s="8"/>
      <c r="M237" s="8"/>
      <c r="N237" s="8"/>
      <c r="O237" s="8"/>
      <c r="P237" s="8"/>
      <c r="Q237" s="8"/>
      <c r="R237" s="8"/>
      <c r="S237" s="8"/>
      <c r="T237" s="8"/>
      <c r="U237" s="12"/>
      <c r="V237" s="12"/>
      <c r="W237" s="12"/>
      <c r="X237" s="12"/>
      <c r="Y237" s="12"/>
      <c r="Z237" s="12"/>
      <c r="AA237" s="12"/>
      <c r="AB237" s="12"/>
      <c r="AC237" s="12"/>
      <c r="AD237" s="12"/>
      <c r="AE237" s="12"/>
      <c r="AF237" s="12"/>
      <c r="AG237" s="13"/>
      <c r="AH237" s="13"/>
      <c r="AI237" s="13"/>
      <c r="AJ237" s="13"/>
      <c r="AK237" s="13"/>
      <c r="AL237" s="13"/>
      <c r="AM237" s="13"/>
    </row>
    <row r="238" spans="1:39">
      <c r="A238" s="8"/>
      <c r="B238" s="8"/>
      <c r="C238" s="8"/>
      <c r="D238" s="8"/>
      <c r="E238" s="8"/>
      <c r="F238" s="8"/>
      <c r="G238" s="8"/>
      <c r="H238" s="8"/>
      <c r="I238" s="8"/>
      <c r="J238" s="8"/>
      <c r="K238" s="8"/>
      <c r="L238" s="8"/>
      <c r="M238" s="8"/>
      <c r="N238" s="8"/>
      <c r="O238" s="8"/>
      <c r="P238" s="8"/>
      <c r="Q238" s="8"/>
      <c r="R238" s="8"/>
      <c r="S238" s="8"/>
      <c r="T238" s="8"/>
      <c r="U238" s="12"/>
      <c r="V238" s="12"/>
      <c r="W238" s="12"/>
      <c r="X238" s="12"/>
      <c r="Y238" s="12"/>
      <c r="Z238" s="12"/>
      <c r="AA238" s="12"/>
      <c r="AB238" s="12"/>
      <c r="AC238" s="12"/>
      <c r="AD238" s="12"/>
      <c r="AE238" s="12"/>
      <c r="AF238" s="12"/>
      <c r="AG238" s="13"/>
      <c r="AH238" s="13"/>
      <c r="AI238" s="13"/>
      <c r="AJ238" s="13"/>
      <c r="AK238" s="13"/>
      <c r="AL238" s="13"/>
      <c r="AM238" s="13"/>
    </row>
    <row r="239" spans="1:39">
      <c r="A239" s="8"/>
      <c r="B239" s="8"/>
      <c r="C239" s="8"/>
      <c r="D239" s="8"/>
      <c r="E239" s="8"/>
      <c r="F239" s="8"/>
      <c r="G239" s="8"/>
      <c r="H239" s="8"/>
      <c r="I239" s="8"/>
      <c r="J239" s="8"/>
      <c r="K239" s="8"/>
      <c r="L239" s="8"/>
      <c r="M239" s="8"/>
      <c r="N239" s="8"/>
      <c r="O239" s="8"/>
      <c r="P239" s="8"/>
      <c r="Q239" s="8"/>
      <c r="R239" s="8"/>
      <c r="S239" s="8"/>
      <c r="T239" s="8"/>
      <c r="U239" s="12"/>
      <c r="V239" s="12"/>
      <c r="W239" s="12"/>
      <c r="X239" s="12"/>
      <c r="Y239" s="12"/>
      <c r="Z239" s="12"/>
      <c r="AA239" s="12"/>
      <c r="AB239" s="12"/>
      <c r="AC239" s="12"/>
      <c r="AD239" s="12"/>
      <c r="AE239" s="12"/>
      <c r="AF239" s="12"/>
      <c r="AG239" s="13"/>
      <c r="AH239" s="13"/>
      <c r="AI239" s="13"/>
      <c r="AJ239" s="13"/>
      <c r="AK239" s="13"/>
      <c r="AL239" s="13"/>
      <c r="AM239" s="13"/>
    </row>
    <row r="240" spans="1:39">
      <c r="A240" s="8"/>
      <c r="B240" s="8"/>
      <c r="C240" s="8"/>
      <c r="D240" s="8"/>
      <c r="E240" s="8"/>
      <c r="F240" s="8"/>
      <c r="G240" s="8"/>
      <c r="H240" s="8"/>
      <c r="I240" s="8"/>
      <c r="J240" s="8"/>
      <c r="K240" s="8"/>
      <c r="L240" s="8"/>
      <c r="M240" s="8"/>
      <c r="N240" s="8"/>
      <c r="O240" s="8"/>
      <c r="P240" s="8"/>
      <c r="Q240" s="8"/>
      <c r="R240" s="8"/>
      <c r="S240" s="8"/>
      <c r="T240" s="8"/>
      <c r="U240" s="12"/>
      <c r="V240" s="12"/>
      <c r="W240" s="12"/>
      <c r="X240" s="12"/>
      <c r="Y240" s="12"/>
      <c r="Z240" s="12"/>
      <c r="AA240" s="12"/>
      <c r="AB240" s="12"/>
      <c r="AC240" s="12"/>
      <c r="AD240" s="12"/>
      <c r="AE240" s="12"/>
      <c r="AF240" s="12"/>
      <c r="AG240" s="13"/>
      <c r="AH240" s="13"/>
      <c r="AI240" s="13"/>
      <c r="AJ240" s="13"/>
      <c r="AK240" s="13"/>
      <c r="AL240" s="13"/>
      <c r="AM240" s="13"/>
    </row>
    <row r="241" spans="1:39">
      <c r="A241" s="8"/>
      <c r="B241" s="8"/>
      <c r="C241" s="8"/>
      <c r="D241" s="8"/>
      <c r="E241" s="8"/>
      <c r="F241" s="8"/>
      <c r="G241" s="8"/>
      <c r="H241" s="8"/>
      <c r="I241" s="8"/>
      <c r="J241" s="8"/>
      <c r="K241" s="8"/>
      <c r="L241" s="8"/>
      <c r="M241" s="8"/>
      <c r="N241" s="8"/>
      <c r="O241" s="8"/>
      <c r="P241" s="8"/>
      <c r="Q241" s="8"/>
      <c r="R241" s="8"/>
      <c r="S241" s="8"/>
      <c r="T241" s="8"/>
      <c r="U241" s="12"/>
      <c r="V241" s="12"/>
      <c r="W241" s="12"/>
      <c r="X241" s="12"/>
      <c r="Y241" s="12"/>
      <c r="Z241" s="12"/>
      <c r="AA241" s="12"/>
      <c r="AB241" s="12"/>
      <c r="AC241" s="12"/>
      <c r="AD241" s="12"/>
      <c r="AE241" s="12"/>
      <c r="AF241" s="12"/>
      <c r="AG241" s="13"/>
      <c r="AH241" s="13"/>
      <c r="AI241" s="13"/>
      <c r="AJ241" s="13"/>
      <c r="AK241" s="13"/>
      <c r="AL241" s="13"/>
      <c r="AM241" s="13"/>
    </row>
    <row r="242" spans="1:39">
      <c r="A242" s="8"/>
      <c r="B242" s="8"/>
      <c r="C242" s="8"/>
      <c r="D242" s="8"/>
      <c r="E242" s="8"/>
      <c r="F242" s="8"/>
      <c r="G242" s="8"/>
      <c r="H242" s="8"/>
      <c r="I242" s="8"/>
      <c r="J242" s="8"/>
      <c r="K242" s="8"/>
      <c r="L242" s="8"/>
      <c r="M242" s="8"/>
      <c r="N242" s="8"/>
      <c r="O242" s="8"/>
      <c r="P242" s="8"/>
      <c r="Q242" s="8"/>
      <c r="R242" s="8"/>
      <c r="S242" s="8"/>
      <c r="T242" s="8"/>
      <c r="U242" s="12"/>
      <c r="V242" s="12"/>
      <c r="W242" s="12"/>
      <c r="X242" s="12"/>
      <c r="Y242" s="12"/>
      <c r="Z242" s="12"/>
      <c r="AA242" s="12"/>
      <c r="AB242" s="12"/>
      <c r="AC242" s="12"/>
      <c r="AD242" s="12"/>
      <c r="AE242" s="12"/>
      <c r="AF242" s="12"/>
      <c r="AG242" s="13"/>
      <c r="AH242" s="13"/>
      <c r="AI242" s="13"/>
      <c r="AJ242" s="13"/>
      <c r="AK242" s="13"/>
      <c r="AL242" s="13"/>
      <c r="AM242" s="13"/>
    </row>
    <row r="243" spans="1:39">
      <c r="A243" s="8"/>
      <c r="B243" s="8"/>
      <c r="C243" s="8"/>
      <c r="D243" s="8"/>
      <c r="E243" s="8"/>
      <c r="F243" s="8"/>
      <c r="G243" s="8"/>
      <c r="H243" s="8"/>
      <c r="I243" s="8"/>
      <c r="J243" s="8"/>
      <c r="K243" s="8"/>
      <c r="L243" s="8"/>
      <c r="M243" s="8"/>
      <c r="N243" s="8"/>
      <c r="O243" s="8"/>
      <c r="P243" s="8"/>
      <c r="Q243" s="8"/>
      <c r="R243" s="8"/>
      <c r="S243" s="8"/>
      <c r="T243" s="8"/>
      <c r="U243" s="12"/>
      <c r="V243" s="12"/>
      <c r="W243" s="12"/>
      <c r="X243" s="12"/>
      <c r="Y243" s="12"/>
      <c r="Z243" s="12"/>
      <c r="AA243" s="12"/>
      <c r="AB243" s="12"/>
      <c r="AC243" s="12"/>
      <c r="AD243" s="12"/>
      <c r="AE243" s="12"/>
      <c r="AF243" s="12"/>
      <c r="AG243" s="13"/>
      <c r="AH243" s="13"/>
      <c r="AI243" s="13"/>
      <c r="AJ243" s="13"/>
      <c r="AK243" s="13"/>
      <c r="AL243" s="13"/>
      <c r="AM243" s="13"/>
    </row>
    <row r="244" spans="1:39">
      <c r="A244" s="8"/>
      <c r="B244" s="8"/>
      <c r="C244" s="8"/>
      <c r="D244" s="8"/>
      <c r="E244" s="8"/>
      <c r="F244" s="8"/>
      <c r="G244" s="8"/>
      <c r="H244" s="8"/>
      <c r="I244" s="8"/>
      <c r="J244" s="8"/>
      <c r="K244" s="8"/>
      <c r="L244" s="8"/>
      <c r="M244" s="8"/>
      <c r="N244" s="8"/>
      <c r="O244" s="8"/>
      <c r="P244" s="8"/>
      <c r="Q244" s="8"/>
      <c r="R244" s="8"/>
      <c r="S244" s="8"/>
      <c r="T244" s="8"/>
      <c r="U244" s="12"/>
      <c r="V244" s="12"/>
      <c r="W244" s="12"/>
      <c r="X244" s="12"/>
      <c r="Y244" s="12"/>
      <c r="Z244" s="12"/>
      <c r="AA244" s="12"/>
      <c r="AB244" s="12"/>
      <c r="AC244" s="12"/>
      <c r="AD244" s="12"/>
      <c r="AE244" s="12"/>
      <c r="AF244" s="12"/>
      <c r="AG244" s="13"/>
      <c r="AH244" s="13"/>
      <c r="AI244" s="13"/>
      <c r="AJ244" s="13"/>
      <c r="AK244" s="13"/>
      <c r="AL244" s="13"/>
      <c r="AM244" s="13"/>
    </row>
    <row r="245" spans="1:39">
      <c r="A245" s="8"/>
      <c r="B245" s="8"/>
      <c r="C245" s="8"/>
      <c r="D245" s="8"/>
      <c r="E245" s="8"/>
      <c r="F245" s="8"/>
      <c r="G245" s="8"/>
      <c r="H245" s="8"/>
      <c r="I245" s="8"/>
      <c r="J245" s="8"/>
      <c r="K245" s="8"/>
      <c r="L245" s="8"/>
      <c r="M245" s="8"/>
      <c r="N245" s="8"/>
      <c r="O245" s="8"/>
      <c r="P245" s="8"/>
      <c r="Q245" s="8"/>
      <c r="R245" s="8"/>
      <c r="S245" s="8"/>
      <c r="T245" s="8"/>
      <c r="U245" s="12"/>
      <c r="V245" s="12"/>
      <c r="W245" s="12"/>
      <c r="X245" s="12"/>
      <c r="Y245" s="12"/>
      <c r="Z245" s="12"/>
      <c r="AA245" s="12"/>
      <c r="AB245" s="12"/>
      <c r="AC245" s="12"/>
      <c r="AD245" s="12"/>
      <c r="AE245" s="12"/>
      <c r="AF245" s="12"/>
      <c r="AG245" s="13"/>
      <c r="AH245" s="13"/>
      <c r="AI245" s="13"/>
      <c r="AJ245" s="13"/>
      <c r="AK245" s="13"/>
      <c r="AL245" s="13"/>
      <c r="AM245" s="13"/>
    </row>
    <row r="246" spans="1:39">
      <c r="A246" s="8"/>
      <c r="B246" s="8"/>
      <c r="C246" s="8"/>
      <c r="D246" s="8"/>
      <c r="E246" s="8"/>
      <c r="F246" s="8"/>
      <c r="G246" s="8"/>
      <c r="H246" s="8"/>
      <c r="I246" s="8"/>
      <c r="J246" s="8"/>
      <c r="K246" s="8"/>
      <c r="L246" s="8"/>
      <c r="M246" s="8"/>
      <c r="N246" s="8"/>
      <c r="O246" s="8"/>
      <c r="P246" s="8"/>
      <c r="Q246" s="8"/>
      <c r="R246" s="8"/>
      <c r="S246" s="8"/>
      <c r="T246" s="8"/>
      <c r="U246" s="12"/>
      <c r="V246" s="12"/>
      <c r="W246" s="12"/>
      <c r="X246" s="12"/>
      <c r="Y246" s="12"/>
      <c r="Z246" s="12"/>
      <c r="AA246" s="12"/>
      <c r="AB246" s="12"/>
      <c r="AC246" s="12"/>
      <c r="AD246" s="12"/>
      <c r="AE246" s="12"/>
      <c r="AF246" s="12"/>
      <c r="AG246" s="13"/>
      <c r="AH246" s="13"/>
      <c r="AI246" s="13"/>
      <c r="AJ246" s="13"/>
      <c r="AK246" s="13"/>
      <c r="AL246" s="13"/>
      <c r="AM246" s="13"/>
    </row>
    <row r="247" spans="1:39">
      <c r="A247" s="8"/>
      <c r="B247" s="8"/>
      <c r="C247" s="8"/>
      <c r="D247" s="8"/>
      <c r="E247" s="8"/>
      <c r="F247" s="8"/>
      <c r="G247" s="8"/>
      <c r="H247" s="8"/>
      <c r="I247" s="8"/>
      <c r="J247" s="8"/>
      <c r="K247" s="8"/>
      <c r="L247" s="8"/>
      <c r="M247" s="8"/>
      <c r="N247" s="8"/>
      <c r="O247" s="8"/>
      <c r="P247" s="8"/>
      <c r="Q247" s="8"/>
      <c r="R247" s="8"/>
      <c r="S247" s="8"/>
      <c r="T247" s="8"/>
      <c r="U247" s="12"/>
      <c r="V247" s="12"/>
      <c r="W247" s="12"/>
      <c r="X247" s="12"/>
      <c r="Y247" s="12"/>
      <c r="Z247" s="12"/>
      <c r="AA247" s="12"/>
      <c r="AB247" s="12"/>
      <c r="AC247" s="12"/>
      <c r="AD247" s="12"/>
      <c r="AE247" s="12"/>
      <c r="AF247" s="12"/>
      <c r="AG247" s="13"/>
      <c r="AH247" s="13"/>
      <c r="AI247" s="13"/>
      <c r="AJ247" s="13"/>
      <c r="AK247" s="13"/>
      <c r="AL247" s="13"/>
      <c r="AM247" s="13"/>
    </row>
    <row r="248" spans="1:39">
      <c r="A248" s="8"/>
      <c r="B248" s="8"/>
      <c r="C248" s="8"/>
      <c r="D248" s="8"/>
      <c r="E248" s="8"/>
      <c r="F248" s="8"/>
      <c r="G248" s="8"/>
      <c r="H248" s="8"/>
      <c r="I248" s="8"/>
      <c r="J248" s="8"/>
      <c r="K248" s="8"/>
      <c r="L248" s="8"/>
      <c r="M248" s="8"/>
      <c r="N248" s="8"/>
      <c r="O248" s="8"/>
      <c r="P248" s="8"/>
      <c r="Q248" s="8"/>
      <c r="R248" s="8"/>
      <c r="S248" s="8"/>
      <c r="T248" s="8"/>
      <c r="U248" s="12"/>
      <c r="V248" s="12"/>
      <c r="W248" s="12"/>
      <c r="X248" s="12"/>
      <c r="Y248" s="12"/>
      <c r="Z248" s="12"/>
      <c r="AA248" s="12"/>
      <c r="AB248" s="12"/>
      <c r="AC248" s="12"/>
      <c r="AD248" s="12"/>
      <c r="AE248" s="12"/>
      <c r="AF248" s="12"/>
      <c r="AG248" s="13"/>
      <c r="AH248" s="13"/>
      <c r="AI248" s="13"/>
      <c r="AJ248" s="13"/>
      <c r="AK248" s="13"/>
      <c r="AL248" s="13"/>
      <c r="AM248" s="13"/>
    </row>
    <row r="249" spans="1:39">
      <c r="A249" s="8"/>
      <c r="B249" s="8"/>
      <c r="C249" s="8"/>
      <c r="D249" s="8"/>
      <c r="E249" s="8"/>
      <c r="F249" s="8"/>
      <c r="G249" s="8"/>
      <c r="H249" s="8"/>
      <c r="I249" s="8"/>
      <c r="J249" s="8"/>
      <c r="K249" s="8"/>
      <c r="L249" s="8"/>
      <c r="M249" s="8"/>
      <c r="N249" s="8"/>
      <c r="O249" s="8"/>
      <c r="P249" s="8"/>
      <c r="Q249" s="8"/>
      <c r="R249" s="8"/>
      <c r="S249" s="8"/>
      <c r="T249" s="8"/>
      <c r="U249" s="12"/>
      <c r="V249" s="12"/>
      <c r="W249" s="12"/>
      <c r="X249" s="12"/>
      <c r="Y249" s="12"/>
      <c r="Z249" s="12"/>
      <c r="AA249" s="12"/>
      <c r="AB249" s="12"/>
      <c r="AC249" s="12"/>
      <c r="AD249" s="12"/>
      <c r="AE249" s="12"/>
      <c r="AF249" s="12"/>
      <c r="AG249" s="13"/>
      <c r="AH249" s="13"/>
      <c r="AI249" s="13"/>
      <c r="AJ249" s="13"/>
      <c r="AK249" s="13"/>
      <c r="AL249" s="13"/>
      <c r="AM249" s="13"/>
    </row>
    <row r="250" spans="1:39">
      <c r="A250" s="8"/>
      <c r="B250" s="8"/>
      <c r="C250" s="8"/>
      <c r="D250" s="8"/>
      <c r="E250" s="8"/>
      <c r="F250" s="8"/>
      <c r="G250" s="8"/>
      <c r="H250" s="8"/>
      <c r="I250" s="8"/>
      <c r="J250" s="8"/>
      <c r="K250" s="8"/>
      <c r="L250" s="8"/>
      <c r="M250" s="8"/>
      <c r="N250" s="8"/>
      <c r="O250" s="8"/>
      <c r="P250" s="8"/>
      <c r="Q250" s="8"/>
      <c r="R250" s="8"/>
      <c r="S250" s="8"/>
      <c r="T250" s="8"/>
      <c r="U250" s="12"/>
      <c r="V250" s="12"/>
      <c r="W250" s="12"/>
      <c r="X250" s="12"/>
      <c r="Y250" s="12"/>
      <c r="Z250" s="12"/>
      <c r="AA250" s="12"/>
      <c r="AB250" s="12"/>
      <c r="AC250" s="12"/>
      <c r="AD250" s="12"/>
      <c r="AE250" s="12"/>
      <c r="AF250" s="12"/>
      <c r="AG250" s="13"/>
      <c r="AH250" s="13"/>
      <c r="AI250" s="13"/>
      <c r="AJ250" s="13"/>
      <c r="AK250" s="13"/>
      <c r="AL250" s="13"/>
      <c r="AM250" s="13"/>
    </row>
    <row r="251" spans="1:39">
      <c r="A251" s="8"/>
      <c r="B251" s="8"/>
      <c r="C251" s="8"/>
      <c r="D251" s="8"/>
      <c r="E251" s="8"/>
      <c r="F251" s="8"/>
      <c r="G251" s="8"/>
      <c r="H251" s="8"/>
      <c r="I251" s="8"/>
      <c r="J251" s="8"/>
      <c r="K251" s="8"/>
      <c r="L251" s="8"/>
      <c r="M251" s="8"/>
      <c r="N251" s="8"/>
      <c r="O251" s="8"/>
      <c r="P251" s="8"/>
      <c r="Q251" s="8"/>
      <c r="R251" s="8"/>
      <c r="S251" s="8"/>
      <c r="T251" s="8"/>
      <c r="U251" s="12"/>
      <c r="V251" s="12"/>
      <c r="W251" s="12"/>
      <c r="X251" s="12"/>
      <c r="Y251" s="12"/>
      <c r="Z251" s="12"/>
      <c r="AA251" s="12"/>
      <c r="AB251" s="12"/>
      <c r="AC251" s="12"/>
      <c r="AD251" s="12"/>
      <c r="AE251" s="12"/>
      <c r="AF251" s="12"/>
      <c r="AG251" s="13"/>
      <c r="AH251" s="13"/>
      <c r="AI251" s="13"/>
      <c r="AJ251" s="13"/>
      <c r="AK251" s="13"/>
      <c r="AL251" s="13"/>
      <c r="AM251" s="13"/>
    </row>
    <row r="252" spans="1:39">
      <c r="A252" s="8"/>
      <c r="B252" s="8"/>
      <c r="C252" s="8"/>
      <c r="D252" s="8"/>
      <c r="E252" s="8"/>
      <c r="F252" s="8"/>
      <c r="G252" s="8"/>
      <c r="H252" s="8"/>
      <c r="I252" s="8"/>
      <c r="J252" s="8"/>
      <c r="K252" s="8"/>
      <c r="L252" s="8"/>
      <c r="M252" s="8"/>
      <c r="N252" s="8"/>
      <c r="O252" s="8"/>
      <c r="P252" s="8"/>
      <c r="Q252" s="8"/>
      <c r="R252" s="8"/>
      <c r="S252" s="8"/>
      <c r="T252" s="8"/>
      <c r="U252" s="12"/>
      <c r="V252" s="12"/>
      <c r="W252" s="12"/>
      <c r="X252" s="12"/>
      <c r="Y252" s="12"/>
      <c r="Z252" s="12"/>
      <c r="AA252" s="12"/>
      <c r="AB252" s="12"/>
      <c r="AC252" s="12"/>
      <c r="AD252" s="12"/>
      <c r="AE252" s="12"/>
      <c r="AF252" s="12"/>
      <c r="AG252" s="13"/>
      <c r="AH252" s="13"/>
      <c r="AI252" s="13"/>
      <c r="AJ252" s="13"/>
      <c r="AK252" s="13"/>
      <c r="AL252" s="13"/>
      <c r="AM252" s="13"/>
    </row>
    <row r="253" spans="1:39">
      <c r="A253" s="8"/>
      <c r="B253" s="8"/>
      <c r="C253" s="8"/>
      <c r="D253" s="8"/>
      <c r="E253" s="8"/>
      <c r="F253" s="8"/>
      <c r="G253" s="8"/>
      <c r="H253" s="8"/>
      <c r="I253" s="8"/>
      <c r="J253" s="8"/>
      <c r="K253" s="8"/>
      <c r="L253" s="8"/>
      <c r="M253" s="8"/>
      <c r="N253" s="8"/>
      <c r="O253" s="8"/>
      <c r="P253" s="8"/>
      <c r="Q253" s="8"/>
      <c r="R253" s="8"/>
      <c r="S253" s="8"/>
      <c r="T253" s="8"/>
      <c r="U253" s="12"/>
      <c r="V253" s="12"/>
      <c r="W253" s="12"/>
      <c r="X253" s="12"/>
      <c r="Y253" s="12"/>
      <c r="Z253" s="12"/>
      <c r="AA253" s="12"/>
      <c r="AB253" s="12"/>
      <c r="AC253" s="12"/>
      <c r="AD253" s="12"/>
      <c r="AE253" s="12"/>
      <c r="AF253" s="12"/>
      <c r="AG253" s="13"/>
      <c r="AH253" s="13"/>
      <c r="AI253" s="13"/>
      <c r="AJ253" s="13"/>
      <c r="AK253" s="13"/>
      <c r="AL253" s="13"/>
      <c r="AM253" s="13"/>
    </row>
    <row r="254" spans="1:39">
      <c r="A254" s="8"/>
      <c r="B254" s="8"/>
      <c r="C254" s="8"/>
      <c r="D254" s="8"/>
      <c r="E254" s="8"/>
      <c r="F254" s="8"/>
      <c r="G254" s="8"/>
      <c r="H254" s="8"/>
      <c r="I254" s="8"/>
      <c r="J254" s="8"/>
      <c r="K254" s="8"/>
      <c r="L254" s="8"/>
      <c r="M254" s="8"/>
      <c r="N254" s="8"/>
      <c r="O254" s="8"/>
      <c r="P254" s="8"/>
      <c r="Q254" s="8"/>
      <c r="R254" s="8"/>
      <c r="S254" s="8"/>
      <c r="T254" s="8"/>
      <c r="U254" s="12"/>
      <c r="V254" s="12"/>
      <c r="W254" s="12"/>
      <c r="X254" s="12"/>
      <c r="Y254" s="12"/>
      <c r="Z254" s="12"/>
      <c r="AA254" s="12"/>
      <c r="AB254" s="12"/>
      <c r="AC254" s="12"/>
      <c r="AD254" s="12"/>
      <c r="AE254" s="12"/>
      <c r="AF254" s="12"/>
      <c r="AG254" s="13"/>
      <c r="AH254" s="13"/>
      <c r="AI254" s="13"/>
      <c r="AJ254" s="13"/>
      <c r="AK254" s="13"/>
      <c r="AL254" s="13"/>
      <c r="AM254" s="13"/>
    </row>
    <row r="255" spans="1:39">
      <c r="A255" s="8"/>
      <c r="B255" s="8"/>
      <c r="C255" s="8"/>
      <c r="D255" s="8"/>
      <c r="E255" s="8"/>
      <c r="F255" s="8"/>
      <c r="G255" s="8"/>
      <c r="H255" s="8"/>
      <c r="I255" s="8"/>
      <c r="J255" s="8"/>
      <c r="K255" s="8"/>
      <c r="L255" s="8"/>
      <c r="M255" s="8"/>
      <c r="N255" s="8"/>
      <c r="O255" s="8"/>
      <c r="P255" s="8"/>
      <c r="Q255" s="8"/>
      <c r="R255" s="8"/>
      <c r="S255" s="8"/>
      <c r="T255" s="8"/>
      <c r="U255" s="12"/>
      <c r="V255" s="12"/>
      <c r="W255" s="12"/>
      <c r="X255" s="12"/>
      <c r="Y255" s="12"/>
      <c r="Z255" s="12"/>
      <c r="AA255" s="12"/>
      <c r="AB255" s="12"/>
      <c r="AC255" s="12"/>
      <c r="AD255" s="12"/>
      <c r="AE255" s="12"/>
      <c r="AF255" s="12"/>
      <c r="AG255" s="13"/>
      <c r="AH255" s="13"/>
      <c r="AI255" s="13"/>
      <c r="AJ255" s="13"/>
      <c r="AK255" s="13"/>
      <c r="AL255" s="13"/>
      <c r="AM255" s="13"/>
    </row>
    <row r="256" spans="1:39">
      <c r="A256" s="8"/>
      <c r="B256" s="8"/>
      <c r="C256" s="8"/>
      <c r="D256" s="8"/>
      <c r="E256" s="8"/>
      <c r="F256" s="8"/>
      <c r="G256" s="8"/>
      <c r="H256" s="8"/>
      <c r="I256" s="8"/>
      <c r="J256" s="8"/>
      <c r="K256" s="8"/>
      <c r="L256" s="8"/>
      <c r="M256" s="8"/>
      <c r="N256" s="8"/>
      <c r="O256" s="8"/>
      <c r="P256" s="8"/>
      <c r="Q256" s="8"/>
      <c r="R256" s="8"/>
      <c r="S256" s="8"/>
      <c r="T256" s="8"/>
      <c r="U256" s="12"/>
      <c r="V256" s="12"/>
      <c r="W256" s="12"/>
      <c r="X256" s="12"/>
      <c r="Y256" s="12"/>
      <c r="Z256" s="12"/>
      <c r="AA256" s="12"/>
      <c r="AB256" s="12"/>
      <c r="AC256" s="12"/>
      <c r="AD256" s="12"/>
      <c r="AE256" s="12"/>
      <c r="AF256" s="12"/>
      <c r="AG256" s="13"/>
      <c r="AH256" s="13"/>
      <c r="AI256" s="13"/>
      <c r="AJ256" s="13"/>
      <c r="AK256" s="13"/>
      <c r="AL256" s="13"/>
      <c r="AM256" s="13"/>
    </row>
    <row r="257" spans="1:39">
      <c r="A257" s="8"/>
      <c r="B257" s="8"/>
      <c r="C257" s="8"/>
      <c r="D257" s="8"/>
      <c r="E257" s="8"/>
      <c r="F257" s="8"/>
      <c r="G257" s="8"/>
      <c r="H257" s="8"/>
      <c r="I257" s="8"/>
      <c r="J257" s="8"/>
      <c r="K257" s="8"/>
      <c r="L257" s="8"/>
      <c r="M257" s="8"/>
      <c r="N257" s="8"/>
      <c r="O257" s="8"/>
      <c r="P257" s="8"/>
      <c r="Q257" s="8"/>
      <c r="R257" s="8"/>
      <c r="S257" s="8"/>
      <c r="T257" s="8"/>
      <c r="U257" s="12"/>
      <c r="V257" s="12"/>
      <c r="W257" s="12"/>
      <c r="X257" s="12"/>
      <c r="Y257" s="12"/>
      <c r="Z257" s="12"/>
      <c r="AA257" s="12"/>
      <c r="AB257" s="12"/>
      <c r="AC257" s="12"/>
      <c r="AD257" s="12"/>
      <c r="AE257" s="12"/>
      <c r="AF257" s="12"/>
      <c r="AG257" s="13"/>
      <c r="AH257" s="13"/>
      <c r="AI257" s="13"/>
      <c r="AJ257" s="13"/>
      <c r="AK257" s="13"/>
      <c r="AL257" s="13"/>
      <c r="AM257" s="13"/>
    </row>
    <row r="258" spans="1:39">
      <c r="A258" s="8"/>
      <c r="B258" s="8"/>
      <c r="C258" s="8"/>
      <c r="D258" s="8"/>
      <c r="E258" s="8"/>
      <c r="F258" s="8"/>
      <c r="G258" s="8"/>
      <c r="H258" s="8"/>
      <c r="I258" s="8"/>
      <c r="J258" s="8"/>
      <c r="K258" s="8"/>
      <c r="L258" s="8"/>
      <c r="M258" s="8"/>
      <c r="N258" s="8"/>
      <c r="O258" s="8"/>
      <c r="P258" s="8"/>
      <c r="Q258" s="8"/>
      <c r="R258" s="8"/>
      <c r="S258" s="8"/>
      <c r="T258" s="8"/>
      <c r="U258" s="12"/>
      <c r="V258" s="12"/>
      <c r="W258" s="12"/>
      <c r="X258" s="12"/>
      <c r="Y258" s="12"/>
      <c r="Z258" s="12"/>
      <c r="AA258" s="12"/>
      <c r="AB258" s="12"/>
      <c r="AC258" s="12"/>
      <c r="AD258" s="12"/>
      <c r="AE258" s="12"/>
      <c r="AF258" s="12"/>
      <c r="AG258" s="13"/>
      <c r="AH258" s="13"/>
      <c r="AI258" s="13"/>
      <c r="AJ258" s="13"/>
      <c r="AK258" s="13"/>
      <c r="AL258" s="13"/>
      <c r="AM258" s="13"/>
    </row>
    <row r="259" spans="1:39">
      <c r="A259" s="8"/>
      <c r="B259" s="8"/>
      <c r="C259" s="8"/>
      <c r="D259" s="8"/>
      <c r="E259" s="8"/>
      <c r="F259" s="8"/>
      <c r="G259" s="8"/>
      <c r="H259" s="8"/>
      <c r="I259" s="8"/>
      <c r="J259" s="8"/>
      <c r="K259" s="8"/>
      <c r="L259" s="8"/>
      <c r="M259" s="8"/>
      <c r="N259" s="8"/>
      <c r="O259" s="8"/>
      <c r="P259" s="8"/>
      <c r="Q259" s="8"/>
      <c r="R259" s="8"/>
      <c r="S259" s="8"/>
      <c r="T259" s="8"/>
      <c r="U259" s="12"/>
      <c r="V259" s="12"/>
      <c r="W259" s="12"/>
      <c r="X259" s="12"/>
      <c r="Y259" s="12"/>
      <c r="Z259" s="12"/>
      <c r="AA259" s="12"/>
      <c r="AB259" s="12"/>
      <c r="AC259" s="12"/>
      <c r="AD259" s="12"/>
      <c r="AE259" s="12"/>
      <c r="AF259" s="12"/>
      <c r="AG259" s="13"/>
      <c r="AH259" s="13"/>
      <c r="AI259" s="13"/>
      <c r="AJ259" s="13"/>
      <c r="AK259" s="13"/>
      <c r="AL259" s="13"/>
      <c r="AM259" s="13"/>
    </row>
    <row r="260" spans="1:39">
      <c r="A260" s="8"/>
      <c r="B260" s="8"/>
      <c r="C260" s="8"/>
      <c r="D260" s="8"/>
      <c r="E260" s="8"/>
      <c r="F260" s="8"/>
      <c r="G260" s="8"/>
      <c r="H260" s="8"/>
      <c r="I260" s="8"/>
      <c r="J260" s="8"/>
      <c r="K260" s="8"/>
      <c r="L260" s="8"/>
      <c r="M260" s="8"/>
      <c r="N260" s="8"/>
      <c r="O260" s="8"/>
      <c r="P260" s="8"/>
      <c r="Q260" s="8"/>
      <c r="R260" s="8"/>
      <c r="S260" s="8"/>
      <c r="T260" s="8"/>
      <c r="U260" s="12"/>
      <c r="V260" s="12"/>
      <c r="W260" s="12"/>
      <c r="X260" s="12"/>
      <c r="Y260" s="12"/>
      <c r="Z260" s="12"/>
      <c r="AA260" s="12"/>
      <c r="AB260" s="12"/>
      <c r="AC260" s="12"/>
      <c r="AD260" s="12"/>
      <c r="AE260" s="12"/>
      <c r="AF260" s="12"/>
      <c r="AG260" s="13"/>
      <c r="AH260" s="13"/>
      <c r="AI260" s="13"/>
      <c r="AJ260" s="13"/>
      <c r="AK260" s="13"/>
      <c r="AL260" s="13"/>
      <c r="AM260" s="13"/>
    </row>
    <row r="261" spans="1:39">
      <c r="A261" s="8"/>
      <c r="B261" s="8"/>
      <c r="C261" s="8"/>
      <c r="D261" s="8"/>
      <c r="E261" s="8"/>
      <c r="F261" s="8"/>
      <c r="G261" s="8"/>
      <c r="H261" s="8"/>
      <c r="I261" s="8"/>
      <c r="J261" s="8"/>
      <c r="K261" s="8"/>
      <c r="L261" s="8"/>
      <c r="M261" s="8"/>
      <c r="N261" s="8"/>
      <c r="O261" s="8"/>
      <c r="P261" s="8"/>
      <c r="Q261" s="8"/>
      <c r="R261" s="8"/>
      <c r="S261" s="8"/>
      <c r="T261" s="8"/>
      <c r="U261" s="12"/>
      <c r="V261" s="12"/>
      <c r="W261" s="12"/>
      <c r="X261" s="12"/>
      <c r="Y261" s="12"/>
      <c r="Z261" s="12"/>
      <c r="AA261" s="12"/>
      <c r="AB261" s="12"/>
      <c r="AC261" s="12"/>
      <c r="AD261" s="12"/>
      <c r="AE261" s="12"/>
      <c r="AF261" s="12"/>
      <c r="AG261" s="13"/>
      <c r="AH261" s="13"/>
      <c r="AI261" s="13"/>
      <c r="AJ261" s="13"/>
      <c r="AK261" s="13"/>
      <c r="AL261" s="13"/>
      <c r="AM261" s="13"/>
    </row>
    <row r="262" spans="1:39">
      <c r="A262" s="8"/>
      <c r="B262" s="8"/>
      <c r="C262" s="8"/>
      <c r="D262" s="8"/>
      <c r="E262" s="8"/>
      <c r="F262" s="8"/>
      <c r="G262" s="8"/>
      <c r="H262" s="8"/>
      <c r="I262" s="8"/>
      <c r="J262" s="8"/>
      <c r="K262" s="8"/>
      <c r="L262" s="8"/>
      <c r="M262" s="8"/>
      <c r="N262" s="8"/>
      <c r="O262" s="8"/>
      <c r="P262" s="8"/>
      <c r="Q262" s="8"/>
      <c r="R262" s="8"/>
      <c r="S262" s="8"/>
      <c r="T262" s="8"/>
      <c r="U262" s="12"/>
      <c r="V262" s="12"/>
      <c r="W262" s="12"/>
      <c r="X262" s="12"/>
      <c r="Y262" s="12"/>
      <c r="Z262" s="12"/>
      <c r="AA262" s="12"/>
      <c r="AB262" s="12"/>
      <c r="AC262" s="12"/>
      <c r="AD262" s="12"/>
      <c r="AE262" s="12"/>
      <c r="AF262" s="12"/>
      <c r="AG262" s="13"/>
      <c r="AH262" s="13"/>
      <c r="AI262" s="13"/>
      <c r="AJ262" s="13"/>
      <c r="AK262" s="13"/>
      <c r="AL262" s="13"/>
      <c r="AM262" s="13"/>
    </row>
    <row r="263" spans="1:39">
      <c r="A263" s="8"/>
      <c r="B263" s="8"/>
      <c r="C263" s="8"/>
      <c r="D263" s="8"/>
      <c r="E263" s="8"/>
      <c r="F263" s="8"/>
      <c r="G263" s="8"/>
      <c r="H263" s="8"/>
      <c r="I263" s="8"/>
      <c r="J263" s="8"/>
      <c r="K263" s="8"/>
      <c r="L263" s="8"/>
      <c r="M263" s="8"/>
      <c r="N263" s="8"/>
      <c r="O263" s="8"/>
      <c r="P263" s="8"/>
      <c r="Q263" s="8"/>
      <c r="R263" s="8"/>
      <c r="S263" s="8"/>
      <c r="T263" s="8"/>
      <c r="U263" s="12"/>
      <c r="V263" s="12"/>
      <c r="W263" s="12"/>
      <c r="X263" s="12"/>
      <c r="Y263" s="12"/>
      <c r="Z263" s="12"/>
      <c r="AA263" s="12"/>
      <c r="AB263" s="12"/>
      <c r="AC263" s="12"/>
      <c r="AD263" s="12"/>
      <c r="AE263" s="12"/>
      <c r="AF263" s="12"/>
      <c r="AG263" s="13"/>
      <c r="AH263" s="13"/>
      <c r="AI263" s="13"/>
      <c r="AJ263" s="13"/>
      <c r="AK263" s="13"/>
      <c r="AL263" s="13"/>
      <c r="AM263" s="13"/>
    </row>
    <row r="264" spans="1:39">
      <c r="A264" s="8"/>
      <c r="B264" s="8"/>
      <c r="C264" s="8"/>
      <c r="D264" s="8"/>
      <c r="E264" s="8"/>
      <c r="F264" s="8"/>
      <c r="G264" s="8"/>
      <c r="H264" s="8"/>
      <c r="I264" s="8"/>
      <c r="J264" s="8"/>
      <c r="K264" s="8"/>
      <c r="L264" s="8"/>
      <c r="M264" s="8"/>
      <c r="N264" s="8"/>
      <c r="O264" s="8"/>
      <c r="P264" s="8"/>
      <c r="Q264" s="8"/>
      <c r="R264" s="8"/>
      <c r="S264" s="8"/>
      <c r="T264" s="8"/>
      <c r="U264" s="12"/>
      <c r="V264" s="12"/>
      <c r="W264" s="12"/>
      <c r="X264" s="12"/>
      <c r="Y264" s="12"/>
      <c r="Z264" s="12"/>
      <c r="AA264" s="12"/>
      <c r="AB264" s="12"/>
      <c r="AC264" s="12"/>
      <c r="AD264" s="12"/>
      <c r="AE264" s="12"/>
      <c r="AF264" s="12"/>
      <c r="AG264" s="13"/>
      <c r="AH264" s="13"/>
      <c r="AI264" s="13"/>
      <c r="AJ264" s="13"/>
      <c r="AK264" s="13"/>
      <c r="AL264" s="13"/>
      <c r="AM264" s="13"/>
    </row>
    <row r="265" spans="1:39">
      <c r="A265" s="8"/>
      <c r="B265" s="8"/>
      <c r="C265" s="8"/>
      <c r="D265" s="8"/>
      <c r="E265" s="8"/>
      <c r="F265" s="8"/>
      <c r="G265" s="8"/>
      <c r="H265" s="8"/>
      <c r="I265" s="8"/>
      <c r="J265" s="8"/>
      <c r="K265" s="8"/>
      <c r="L265" s="8"/>
      <c r="M265" s="8"/>
      <c r="N265" s="8"/>
      <c r="O265" s="8"/>
      <c r="P265" s="8"/>
      <c r="Q265" s="8"/>
      <c r="R265" s="8"/>
      <c r="S265" s="8"/>
      <c r="T265" s="8"/>
      <c r="U265" s="12"/>
      <c r="V265" s="12"/>
      <c r="W265" s="12"/>
      <c r="X265" s="12"/>
      <c r="Y265" s="12"/>
      <c r="Z265" s="12"/>
      <c r="AA265" s="12"/>
      <c r="AB265" s="12"/>
      <c r="AC265" s="12"/>
      <c r="AD265" s="12"/>
      <c r="AE265" s="12"/>
      <c r="AF265" s="12"/>
      <c r="AG265" s="13"/>
      <c r="AH265" s="13"/>
      <c r="AI265" s="13"/>
      <c r="AJ265" s="13"/>
      <c r="AK265" s="13"/>
      <c r="AL265" s="13"/>
      <c r="AM265" s="13"/>
    </row>
    <row r="266" spans="1:39">
      <c r="A266" s="8"/>
      <c r="B266" s="8"/>
      <c r="C266" s="8"/>
      <c r="D266" s="8"/>
      <c r="E266" s="8"/>
      <c r="F266" s="8"/>
      <c r="G266" s="8"/>
      <c r="H266" s="8"/>
      <c r="I266" s="8"/>
      <c r="J266" s="8"/>
      <c r="K266" s="8"/>
      <c r="L266" s="8"/>
      <c r="M266" s="8"/>
      <c r="N266" s="8"/>
      <c r="O266" s="8"/>
      <c r="P266" s="8"/>
      <c r="Q266" s="8"/>
      <c r="R266" s="8"/>
      <c r="S266" s="8"/>
      <c r="T266" s="8"/>
      <c r="U266" s="12"/>
      <c r="V266" s="12"/>
      <c r="W266" s="12"/>
      <c r="X266" s="12"/>
      <c r="Y266" s="12"/>
      <c r="Z266" s="12"/>
      <c r="AA266" s="12"/>
      <c r="AB266" s="12"/>
      <c r="AC266" s="12"/>
      <c r="AD266" s="12"/>
      <c r="AE266" s="12"/>
      <c r="AF266" s="12"/>
      <c r="AG266" s="13"/>
      <c r="AH266" s="13"/>
      <c r="AI266" s="13"/>
      <c r="AJ266" s="13"/>
      <c r="AK266" s="13"/>
      <c r="AL266" s="13"/>
      <c r="AM266" s="13"/>
    </row>
    <row r="267" spans="1:39">
      <c r="A267" s="8"/>
      <c r="B267" s="8"/>
      <c r="C267" s="8"/>
      <c r="D267" s="8"/>
      <c r="E267" s="8"/>
      <c r="F267" s="8"/>
      <c r="G267" s="8"/>
      <c r="H267" s="8"/>
      <c r="I267" s="8"/>
      <c r="J267" s="8"/>
      <c r="K267" s="8"/>
      <c r="L267" s="8"/>
      <c r="M267" s="8"/>
      <c r="N267" s="8"/>
      <c r="O267" s="8"/>
      <c r="P267" s="8"/>
      <c r="Q267" s="8"/>
      <c r="R267" s="8"/>
      <c r="S267" s="8"/>
      <c r="T267" s="8"/>
      <c r="U267" s="12"/>
      <c r="V267" s="12"/>
      <c r="W267" s="12"/>
      <c r="X267" s="12"/>
      <c r="Y267" s="12"/>
      <c r="Z267" s="12"/>
      <c r="AA267" s="12"/>
      <c r="AB267" s="12"/>
      <c r="AC267" s="12"/>
      <c r="AD267" s="12"/>
      <c r="AE267" s="12"/>
      <c r="AF267" s="12"/>
      <c r="AG267" s="13"/>
      <c r="AH267" s="13"/>
      <c r="AI267" s="13"/>
      <c r="AJ267" s="13"/>
      <c r="AK267" s="13"/>
      <c r="AL267" s="13"/>
      <c r="AM267" s="13"/>
    </row>
    <row r="268" spans="1:39">
      <c r="A268" s="8"/>
      <c r="B268" s="8"/>
      <c r="C268" s="8"/>
      <c r="D268" s="8"/>
      <c r="E268" s="8"/>
      <c r="F268" s="8"/>
      <c r="G268" s="8"/>
      <c r="H268" s="8"/>
      <c r="I268" s="8"/>
      <c r="J268" s="8"/>
      <c r="K268" s="8"/>
      <c r="L268" s="8"/>
      <c r="M268" s="8"/>
      <c r="N268" s="8"/>
      <c r="O268" s="8"/>
      <c r="P268" s="8"/>
      <c r="Q268" s="8"/>
      <c r="R268" s="8"/>
      <c r="S268" s="8"/>
      <c r="T268" s="8"/>
      <c r="U268" s="12"/>
      <c r="V268" s="12"/>
      <c r="W268" s="12"/>
      <c r="X268" s="12"/>
      <c r="Y268" s="12"/>
      <c r="Z268" s="12"/>
      <c r="AA268" s="12"/>
      <c r="AB268" s="12"/>
      <c r="AC268" s="12"/>
      <c r="AD268" s="12"/>
      <c r="AE268" s="12"/>
      <c r="AF268" s="12"/>
      <c r="AG268" s="13"/>
      <c r="AH268" s="13"/>
      <c r="AI268" s="13"/>
      <c r="AJ268" s="13"/>
      <c r="AK268" s="13"/>
      <c r="AL268" s="13"/>
      <c r="AM268" s="13"/>
    </row>
    <row r="269" spans="1:39">
      <c r="A269" s="8"/>
      <c r="B269" s="8"/>
      <c r="C269" s="8"/>
      <c r="D269" s="8"/>
      <c r="E269" s="8"/>
      <c r="F269" s="8"/>
      <c r="G269" s="8"/>
      <c r="H269" s="8"/>
      <c r="I269" s="8"/>
      <c r="J269" s="8"/>
      <c r="K269" s="8"/>
      <c r="L269" s="8"/>
      <c r="M269" s="8"/>
      <c r="N269" s="8"/>
      <c r="O269" s="8"/>
      <c r="P269" s="8"/>
      <c r="Q269" s="8"/>
      <c r="R269" s="8"/>
      <c r="S269" s="8"/>
      <c r="T269" s="8"/>
      <c r="U269" s="12"/>
      <c r="V269" s="12"/>
      <c r="W269" s="12"/>
      <c r="X269" s="12"/>
      <c r="Y269" s="12"/>
      <c r="Z269" s="12"/>
      <c r="AA269" s="12"/>
      <c r="AB269" s="12"/>
      <c r="AC269" s="12"/>
      <c r="AD269" s="12"/>
      <c r="AE269" s="12"/>
      <c r="AF269" s="12"/>
      <c r="AG269" s="13"/>
      <c r="AH269" s="13"/>
      <c r="AI269" s="13"/>
      <c r="AJ269" s="13"/>
      <c r="AK269" s="13"/>
      <c r="AL269" s="13"/>
      <c r="AM269" s="13"/>
    </row>
    <row r="270" spans="1:39">
      <c r="A270" s="8"/>
      <c r="B270" s="8"/>
      <c r="C270" s="8"/>
      <c r="D270" s="8"/>
      <c r="E270" s="8"/>
      <c r="F270" s="8"/>
      <c r="G270" s="8"/>
      <c r="H270" s="8"/>
      <c r="I270" s="8"/>
      <c r="J270" s="8"/>
      <c r="K270" s="8"/>
      <c r="L270" s="8"/>
      <c r="M270" s="8"/>
      <c r="N270" s="8"/>
      <c r="O270" s="8"/>
      <c r="P270" s="8"/>
      <c r="Q270" s="8"/>
      <c r="R270" s="8"/>
      <c r="S270" s="8"/>
      <c r="T270" s="8"/>
      <c r="U270" s="12"/>
      <c r="V270" s="12"/>
      <c r="W270" s="12"/>
      <c r="X270" s="12"/>
      <c r="Y270" s="12"/>
      <c r="Z270" s="12"/>
      <c r="AA270" s="12"/>
      <c r="AB270" s="12"/>
      <c r="AC270" s="12"/>
      <c r="AD270" s="12"/>
      <c r="AE270" s="12"/>
      <c r="AF270" s="12"/>
      <c r="AG270" s="13"/>
      <c r="AH270" s="13"/>
      <c r="AI270" s="13"/>
      <c r="AJ270" s="13"/>
      <c r="AK270" s="13"/>
      <c r="AL270" s="13"/>
      <c r="AM270" s="13"/>
    </row>
    <row r="271" spans="1:39">
      <c r="A271" s="8"/>
      <c r="B271" s="8"/>
      <c r="C271" s="8"/>
      <c r="D271" s="8"/>
      <c r="E271" s="8"/>
      <c r="F271" s="8"/>
      <c r="G271" s="8"/>
      <c r="H271" s="8"/>
      <c r="I271" s="8"/>
      <c r="J271" s="8"/>
      <c r="K271" s="8"/>
      <c r="L271" s="8"/>
      <c r="M271" s="8"/>
      <c r="N271" s="8"/>
      <c r="O271" s="8"/>
      <c r="P271" s="8"/>
      <c r="Q271" s="8"/>
      <c r="R271" s="8"/>
      <c r="S271" s="8"/>
      <c r="T271" s="8"/>
      <c r="U271" s="12"/>
      <c r="V271" s="12"/>
      <c r="W271" s="12"/>
      <c r="X271" s="12"/>
      <c r="Y271" s="12"/>
      <c r="Z271" s="12"/>
      <c r="AA271" s="12"/>
      <c r="AB271" s="12"/>
      <c r="AC271" s="12"/>
      <c r="AD271" s="12"/>
      <c r="AE271" s="12"/>
      <c r="AF271" s="12"/>
      <c r="AG271" s="13"/>
      <c r="AH271" s="13"/>
      <c r="AI271" s="13"/>
      <c r="AJ271" s="13"/>
      <c r="AK271" s="13"/>
      <c r="AL271" s="13"/>
      <c r="AM271" s="13"/>
    </row>
    <row r="272" spans="1:39">
      <c r="A272" s="8"/>
      <c r="B272" s="8"/>
      <c r="C272" s="8"/>
      <c r="D272" s="8"/>
      <c r="E272" s="8"/>
      <c r="F272" s="8"/>
      <c r="G272" s="8"/>
      <c r="H272" s="8"/>
      <c r="I272" s="8"/>
      <c r="J272" s="8"/>
      <c r="K272" s="8"/>
      <c r="L272" s="8"/>
      <c r="M272" s="8"/>
      <c r="N272" s="8"/>
      <c r="O272" s="8"/>
      <c r="P272" s="8"/>
      <c r="Q272" s="8"/>
      <c r="R272" s="8"/>
      <c r="S272" s="8"/>
      <c r="T272" s="8"/>
      <c r="U272" s="12"/>
      <c r="V272" s="12"/>
      <c r="W272" s="12"/>
      <c r="X272" s="12"/>
      <c r="Y272" s="12"/>
      <c r="Z272" s="12"/>
      <c r="AA272" s="12"/>
      <c r="AB272" s="12"/>
      <c r="AC272" s="12"/>
      <c r="AD272" s="12"/>
      <c r="AE272" s="12"/>
      <c r="AF272" s="12"/>
      <c r="AG272" s="13"/>
      <c r="AH272" s="13"/>
      <c r="AI272" s="13"/>
      <c r="AJ272" s="13"/>
      <c r="AK272" s="13"/>
      <c r="AL272" s="13"/>
      <c r="AM272" s="13"/>
    </row>
    <row r="273" spans="1:39">
      <c r="A273" s="8"/>
      <c r="B273" s="8"/>
      <c r="C273" s="8"/>
      <c r="D273" s="8"/>
      <c r="E273" s="8"/>
      <c r="F273" s="8"/>
      <c r="G273" s="8"/>
      <c r="H273" s="8"/>
      <c r="I273" s="8"/>
      <c r="J273" s="8"/>
      <c r="K273" s="8"/>
      <c r="L273" s="8"/>
      <c r="M273" s="8"/>
      <c r="N273" s="8"/>
      <c r="O273" s="8"/>
      <c r="P273" s="8"/>
      <c r="Q273" s="8"/>
      <c r="R273" s="8"/>
      <c r="S273" s="8"/>
      <c r="T273" s="8"/>
      <c r="U273" s="12"/>
      <c r="V273" s="12"/>
      <c r="W273" s="12"/>
      <c r="X273" s="12"/>
      <c r="Y273" s="12"/>
      <c r="Z273" s="12"/>
      <c r="AA273" s="12"/>
      <c r="AB273" s="12"/>
      <c r="AC273" s="12"/>
      <c r="AD273" s="12"/>
      <c r="AE273" s="12"/>
      <c r="AF273" s="12"/>
      <c r="AG273" s="13"/>
      <c r="AH273" s="13"/>
      <c r="AI273" s="13"/>
      <c r="AJ273" s="13"/>
      <c r="AK273" s="13"/>
      <c r="AL273" s="13"/>
      <c r="AM273" s="13"/>
    </row>
    <row r="274" spans="1:39">
      <c r="A274" s="8"/>
      <c r="B274" s="8"/>
      <c r="C274" s="8"/>
      <c r="D274" s="8"/>
      <c r="E274" s="8"/>
      <c r="F274" s="8"/>
      <c r="G274" s="8"/>
      <c r="H274" s="8"/>
      <c r="I274" s="8"/>
      <c r="J274" s="8"/>
      <c r="K274" s="8"/>
      <c r="L274" s="8"/>
      <c r="M274" s="8"/>
      <c r="N274" s="8"/>
      <c r="O274" s="8"/>
      <c r="P274" s="8"/>
      <c r="Q274" s="8"/>
      <c r="R274" s="8"/>
      <c r="S274" s="8"/>
      <c r="T274" s="8"/>
      <c r="U274" s="12"/>
      <c r="V274" s="12"/>
      <c r="W274" s="12"/>
      <c r="X274" s="12"/>
      <c r="Y274" s="12"/>
      <c r="Z274" s="12"/>
      <c r="AA274" s="12"/>
      <c r="AB274" s="12"/>
      <c r="AC274" s="12"/>
      <c r="AD274" s="12"/>
      <c r="AE274" s="12"/>
      <c r="AF274" s="12"/>
      <c r="AG274" s="13"/>
      <c r="AH274" s="13"/>
      <c r="AI274" s="13"/>
      <c r="AJ274" s="13"/>
      <c r="AK274" s="13"/>
      <c r="AL274" s="13"/>
      <c r="AM274" s="13"/>
    </row>
    <row r="275" spans="1:39">
      <c r="A275" s="8"/>
      <c r="B275" s="8"/>
      <c r="C275" s="8"/>
      <c r="D275" s="8"/>
      <c r="E275" s="8"/>
      <c r="F275" s="8"/>
      <c r="G275" s="8"/>
      <c r="H275" s="8"/>
      <c r="I275" s="8"/>
      <c r="J275" s="8"/>
      <c r="K275" s="8"/>
      <c r="L275" s="8"/>
      <c r="M275" s="8"/>
      <c r="N275" s="8"/>
      <c r="O275" s="8"/>
      <c r="P275" s="8"/>
      <c r="Q275" s="8"/>
      <c r="R275" s="8"/>
      <c r="S275" s="8"/>
      <c r="T275" s="8"/>
      <c r="U275" s="12"/>
      <c r="V275" s="12"/>
      <c r="W275" s="12"/>
      <c r="X275" s="12"/>
      <c r="Y275" s="12"/>
      <c r="Z275" s="12"/>
      <c r="AA275" s="12"/>
      <c r="AB275" s="12"/>
      <c r="AC275" s="12"/>
      <c r="AD275" s="12"/>
      <c r="AE275" s="12"/>
      <c r="AF275" s="12"/>
      <c r="AG275" s="13"/>
      <c r="AH275" s="13"/>
      <c r="AI275" s="13"/>
      <c r="AJ275" s="13"/>
      <c r="AK275" s="13"/>
      <c r="AL275" s="13"/>
      <c r="AM275" s="13"/>
    </row>
    <row r="276" spans="1:39">
      <c r="A276" s="8"/>
      <c r="B276" s="8"/>
      <c r="C276" s="8"/>
      <c r="D276" s="8"/>
      <c r="E276" s="8"/>
      <c r="F276" s="8"/>
      <c r="G276" s="8"/>
      <c r="H276" s="8"/>
      <c r="I276" s="8"/>
      <c r="J276" s="8"/>
      <c r="K276" s="8"/>
      <c r="L276" s="8"/>
      <c r="M276" s="8"/>
      <c r="N276" s="8"/>
      <c r="O276" s="8"/>
      <c r="P276" s="8"/>
      <c r="Q276" s="8"/>
      <c r="R276" s="8"/>
      <c r="S276" s="8"/>
      <c r="T276" s="8"/>
      <c r="U276" s="12"/>
      <c r="V276" s="12"/>
      <c r="W276" s="12"/>
      <c r="X276" s="12"/>
      <c r="Y276" s="12"/>
      <c r="Z276" s="12"/>
      <c r="AA276" s="12"/>
      <c r="AB276" s="12"/>
      <c r="AC276" s="12"/>
      <c r="AD276" s="12"/>
      <c r="AE276" s="12"/>
      <c r="AF276" s="12"/>
      <c r="AG276" s="13"/>
      <c r="AH276" s="13"/>
      <c r="AI276" s="13"/>
      <c r="AJ276" s="13"/>
      <c r="AK276" s="13"/>
      <c r="AL276" s="13"/>
      <c r="AM276" s="13"/>
    </row>
    <row r="277" spans="1:39">
      <c r="A277" s="8"/>
      <c r="B277" s="8"/>
      <c r="C277" s="8"/>
      <c r="D277" s="8"/>
      <c r="E277" s="8"/>
      <c r="F277" s="8"/>
      <c r="G277" s="8"/>
      <c r="H277" s="8"/>
      <c r="I277" s="8"/>
      <c r="J277" s="8"/>
      <c r="K277" s="8"/>
      <c r="L277" s="8"/>
      <c r="M277" s="8"/>
      <c r="N277" s="8"/>
      <c r="O277" s="8"/>
      <c r="P277" s="8"/>
      <c r="Q277" s="8"/>
      <c r="R277" s="8"/>
      <c r="S277" s="8"/>
      <c r="T277" s="8"/>
      <c r="U277" s="12"/>
      <c r="V277" s="12"/>
      <c r="W277" s="12"/>
      <c r="X277" s="12"/>
      <c r="Y277" s="12"/>
      <c r="Z277" s="12"/>
      <c r="AA277" s="12"/>
      <c r="AB277" s="12"/>
      <c r="AC277" s="12"/>
      <c r="AD277" s="12"/>
      <c r="AE277" s="12"/>
      <c r="AF277" s="12"/>
      <c r="AG277" s="13"/>
      <c r="AH277" s="13"/>
      <c r="AI277" s="13"/>
      <c r="AJ277" s="13"/>
      <c r="AK277" s="13"/>
      <c r="AL277" s="13"/>
      <c r="AM277" s="13"/>
    </row>
    <row r="278" spans="1:39">
      <c r="A278" s="8"/>
      <c r="B278" s="8"/>
      <c r="C278" s="8"/>
      <c r="D278" s="8"/>
      <c r="E278" s="8"/>
      <c r="F278" s="8"/>
      <c r="G278" s="8"/>
      <c r="H278" s="8"/>
      <c r="I278" s="8"/>
      <c r="J278" s="8"/>
      <c r="K278" s="8"/>
      <c r="L278" s="8"/>
      <c r="M278" s="8"/>
      <c r="N278" s="8"/>
      <c r="O278" s="8"/>
      <c r="P278" s="8"/>
      <c r="Q278" s="8"/>
      <c r="R278" s="8"/>
      <c r="S278" s="8"/>
      <c r="T278" s="8"/>
      <c r="U278" s="12"/>
      <c r="V278" s="12"/>
      <c r="W278" s="12"/>
      <c r="X278" s="12"/>
      <c r="Y278" s="12"/>
      <c r="Z278" s="12"/>
      <c r="AA278" s="12"/>
      <c r="AB278" s="12"/>
      <c r="AC278" s="12"/>
      <c r="AD278" s="12"/>
      <c r="AE278" s="12"/>
      <c r="AF278" s="12"/>
      <c r="AG278" s="13"/>
      <c r="AH278" s="13"/>
      <c r="AI278" s="13"/>
      <c r="AJ278" s="13"/>
      <c r="AK278" s="13"/>
      <c r="AL278" s="13"/>
      <c r="AM278" s="13"/>
    </row>
    <row r="279" spans="1:39">
      <c r="A279" s="8"/>
      <c r="B279" s="8"/>
      <c r="C279" s="8"/>
      <c r="D279" s="8"/>
      <c r="E279" s="8"/>
      <c r="F279" s="8"/>
      <c r="G279" s="8"/>
      <c r="H279" s="8"/>
      <c r="I279" s="8"/>
      <c r="J279" s="8"/>
      <c r="K279" s="8"/>
      <c r="L279" s="8"/>
      <c r="M279" s="8"/>
      <c r="N279" s="8"/>
      <c r="O279" s="8"/>
      <c r="P279" s="8"/>
      <c r="Q279" s="8"/>
      <c r="R279" s="8"/>
      <c r="S279" s="8"/>
      <c r="T279" s="8"/>
      <c r="U279" s="12"/>
      <c r="V279" s="12"/>
      <c r="W279" s="12"/>
      <c r="X279" s="12"/>
      <c r="Y279" s="12"/>
      <c r="Z279" s="12"/>
      <c r="AA279" s="12"/>
      <c r="AB279" s="12"/>
      <c r="AC279" s="12"/>
      <c r="AD279" s="12"/>
      <c r="AE279" s="12"/>
      <c r="AF279" s="12"/>
      <c r="AG279" s="13"/>
      <c r="AH279" s="13"/>
      <c r="AI279" s="13"/>
      <c r="AJ279" s="13"/>
      <c r="AK279" s="13"/>
      <c r="AL279" s="13"/>
      <c r="AM279" s="13"/>
    </row>
    <row r="280" spans="1:39">
      <c r="A280" s="8"/>
      <c r="B280" s="8"/>
      <c r="C280" s="8"/>
      <c r="D280" s="8"/>
      <c r="E280" s="8"/>
      <c r="F280" s="8"/>
      <c r="G280" s="8"/>
      <c r="H280" s="8"/>
      <c r="I280" s="8"/>
      <c r="J280" s="8"/>
      <c r="K280" s="8"/>
      <c r="L280" s="8"/>
      <c r="M280" s="8"/>
      <c r="N280" s="8"/>
      <c r="O280" s="8"/>
      <c r="P280" s="8"/>
      <c r="Q280" s="8"/>
      <c r="R280" s="8"/>
      <c r="S280" s="8"/>
      <c r="T280" s="8"/>
      <c r="U280" s="12"/>
      <c r="V280" s="12"/>
      <c r="W280" s="12"/>
      <c r="X280" s="12"/>
      <c r="Y280" s="12"/>
      <c r="Z280" s="12"/>
      <c r="AA280" s="12"/>
      <c r="AB280" s="12"/>
      <c r="AC280" s="12"/>
      <c r="AD280" s="12"/>
      <c r="AE280" s="12"/>
      <c r="AF280" s="12"/>
      <c r="AG280" s="13"/>
      <c r="AH280" s="13"/>
      <c r="AI280" s="13"/>
      <c r="AJ280" s="13"/>
      <c r="AK280" s="13"/>
      <c r="AL280" s="13"/>
      <c r="AM280" s="13"/>
    </row>
    <row r="281" spans="1:39">
      <c r="A281" s="8"/>
      <c r="B281" s="8"/>
      <c r="C281" s="8"/>
      <c r="D281" s="8"/>
      <c r="E281" s="8"/>
      <c r="F281" s="8"/>
      <c r="G281" s="8"/>
      <c r="H281" s="8"/>
      <c r="I281" s="8"/>
      <c r="J281" s="8"/>
      <c r="K281" s="8"/>
      <c r="L281" s="8"/>
      <c r="M281" s="8"/>
      <c r="N281" s="8"/>
      <c r="O281" s="8"/>
      <c r="P281" s="8"/>
      <c r="Q281" s="8"/>
      <c r="R281" s="8"/>
      <c r="S281" s="8"/>
      <c r="T281" s="8"/>
      <c r="U281" s="12"/>
      <c r="V281" s="12"/>
      <c r="W281" s="12"/>
      <c r="X281" s="12"/>
      <c r="Y281" s="12"/>
      <c r="Z281" s="12"/>
      <c r="AA281" s="12"/>
      <c r="AB281" s="12"/>
      <c r="AC281" s="12"/>
      <c r="AD281" s="12"/>
      <c r="AE281" s="12"/>
      <c r="AF281" s="12"/>
      <c r="AG281" s="13"/>
      <c r="AH281" s="13"/>
      <c r="AI281" s="13"/>
      <c r="AJ281" s="13"/>
      <c r="AK281" s="13"/>
      <c r="AL281" s="13"/>
      <c r="AM281" s="13"/>
    </row>
    <row r="282" spans="1:39">
      <c r="A282" s="8"/>
      <c r="B282" s="8"/>
      <c r="C282" s="8"/>
      <c r="D282" s="8"/>
      <c r="E282" s="8"/>
      <c r="F282" s="8"/>
      <c r="G282" s="8"/>
      <c r="H282" s="8"/>
      <c r="I282" s="8"/>
      <c r="J282" s="8"/>
      <c r="K282" s="8"/>
      <c r="L282" s="8"/>
      <c r="M282" s="8"/>
      <c r="N282" s="8"/>
      <c r="O282" s="8"/>
      <c r="P282" s="8"/>
      <c r="Q282" s="8"/>
      <c r="R282" s="8"/>
      <c r="S282" s="8"/>
      <c r="T282" s="8"/>
      <c r="U282" s="12"/>
      <c r="V282" s="12"/>
      <c r="W282" s="12"/>
      <c r="X282" s="12"/>
      <c r="Y282" s="12"/>
      <c r="Z282" s="12"/>
      <c r="AA282" s="12"/>
      <c r="AB282" s="12"/>
      <c r="AC282" s="12"/>
      <c r="AD282" s="12"/>
      <c r="AE282" s="12"/>
      <c r="AF282" s="12"/>
      <c r="AG282" s="13"/>
      <c r="AH282" s="13"/>
      <c r="AI282" s="13"/>
      <c r="AJ282" s="13"/>
      <c r="AK282" s="13"/>
      <c r="AL282" s="13"/>
      <c r="AM282" s="13"/>
    </row>
    <row r="283" spans="1:39">
      <c r="A283" s="8"/>
      <c r="B283" s="8"/>
      <c r="C283" s="8"/>
      <c r="D283" s="8"/>
      <c r="E283" s="8"/>
      <c r="F283" s="8"/>
      <c r="G283" s="8"/>
      <c r="H283" s="8"/>
      <c r="I283" s="8"/>
      <c r="J283" s="8"/>
      <c r="K283" s="8"/>
      <c r="L283" s="8"/>
      <c r="M283" s="8"/>
      <c r="N283" s="8"/>
      <c r="O283" s="8"/>
      <c r="P283" s="8"/>
      <c r="Q283" s="8"/>
      <c r="R283" s="8"/>
      <c r="S283" s="8"/>
      <c r="T283" s="8"/>
      <c r="U283" s="12"/>
      <c r="V283" s="12"/>
      <c r="W283" s="12"/>
      <c r="X283" s="12"/>
      <c r="Y283" s="12"/>
      <c r="Z283" s="12"/>
      <c r="AA283" s="12"/>
      <c r="AB283" s="12"/>
      <c r="AC283" s="12"/>
      <c r="AD283" s="12"/>
      <c r="AE283" s="12"/>
      <c r="AF283" s="12"/>
      <c r="AG283" s="13"/>
      <c r="AH283" s="13"/>
      <c r="AI283" s="13"/>
      <c r="AJ283" s="13"/>
      <c r="AK283" s="13"/>
      <c r="AL283" s="13"/>
      <c r="AM283" s="13"/>
    </row>
    <row r="284" spans="1:39">
      <c r="A284" s="8"/>
      <c r="B284" s="8"/>
      <c r="C284" s="8"/>
      <c r="D284" s="8"/>
      <c r="E284" s="8"/>
      <c r="F284" s="8"/>
      <c r="G284" s="8"/>
      <c r="H284" s="8"/>
      <c r="I284" s="8"/>
      <c r="J284" s="8"/>
      <c r="K284" s="8"/>
      <c r="L284" s="8"/>
      <c r="M284" s="8"/>
      <c r="N284" s="8"/>
      <c r="O284" s="8"/>
      <c r="P284" s="8"/>
      <c r="Q284" s="8"/>
      <c r="R284" s="8"/>
      <c r="S284" s="8"/>
      <c r="T284" s="8"/>
      <c r="U284" s="12"/>
      <c r="V284" s="12"/>
      <c r="W284" s="12"/>
      <c r="X284" s="12"/>
      <c r="Y284" s="12"/>
      <c r="Z284" s="12"/>
      <c r="AA284" s="12"/>
      <c r="AB284" s="12"/>
      <c r="AC284" s="12"/>
      <c r="AD284" s="12"/>
      <c r="AE284" s="12"/>
      <c r="AF284" s="12"/>
      <c r="AG284" s="13"/>
      <c r="AH284" s="13"/>
      <c r="AI284" s="13"/>
      <c r="AJ284" s="13"/>
      <c r="AK284" s="13"/>
      <c r="AL284" s="13"/>
      <c r="AM284" s="13"/>
    </row>
    <row r="285" spans="1:39">
      <c r="A285" s="8"/>
      <c r="B285" s="8"/>
      <c r="C285" s="8"/>
      <c r="D285" s="8"/>
      <c r="E285" s="8"/>
      <c r="F285" s="8"/>
      <c r="G285" s="8"/>
      <c r="H285" s="8"/>
      <c r="I285" s="8"/>
      <c r="J285" s="8"/>
      <c r="K285" s="8"/>
      <c r="L285" s="8"/>
      <c r="M285" s="8"/>
      <c r="N285" s="8"/>
      <c r="O285" s="8"/>
      <c r="P285" s="8"/>
      <c r="Q285" s="8"/>
      <c r="R285" s="8"/>
      <c r="S285" s="8"/>
      <c r="T285" s="8"/>
      <c r="U285" s="12"/>
      <c r="V285" s="12"/>
      <c r="W285" s="12"/>
      <c r="X285" s="12"/>
      <c r="Y285" s="12"/>
      <c r="Z285" s="12"/>
      <c r="AA285" s="12"/>
      <c r="AB285" s="12"/>
      <c r="AC285" s="12"/>
      <c r="AD285" s="12"/>
      <c r="AE285" s="12"/>
      <c r="AF285" s="12"/>
      <c r="AG285" s="13"/>
      <c r="AH285" s="13"/>
      <c r="AI285" s="13"/>
      <c r="AJ285" s="13"/>
      <c r="AK285" s="13"/>
      <c r="AL285" s="13"/>
      <c r="AM285" s="13"/>
    </row>
    <row r="286" spans="1:39">
      <c r="A286" s="8"/>
      <c r="B286" s="8"/>
      <c r="C286" s="8"/>
      <c r="D286" s="8"/>
      <c r="E286" s="8"/>
      <c r="F286" s="8"/>
      <c r="G286" s="8"/>
      <c r="H286" s="8"/>
      <c r="I286" s="8"/>
      <c r="J286" s="8"/>
      <c r="K286" s="8"/>
      <c r="L286" s="8"/>
      <c r="M286" s="8"/>
      <c r="N286" s="8"/>
      <c r="O286" s="8"/>
      <c r="P286" s="8"/>
      <c r="Q286" s="8"/>
      <c r="R286" s="8"/>
      <c r="S286" s="8"/>
      <c r="T286" s="8"/>
      <c r="U286" s="12"/>
      <c r="V286" s="12"/>
      <c r="W286" s="12"/>
      <c r="X286" s="12"/>
      <c r="Y286" s="12"/>
      <c r="Z286" s="12"/>
      <c r="AA286" s="12"/>
      <c r="AB286" s="12"/>
      <c r="AC286" s="12"/>
      <c r="AD286" s="12"/>
      <c r="AE286" s="12"/>
      <c r="AF286" s="12"/>
      <c r="AG286" s="13"/>
      <c r="AH286" s="13"/>
      <c r="AI286" s="13"/>
      <c r="AJ286" s="13"/>
      <c r="AK286" s="13"/>
      <c r="AL286" s="13"/>
      <c r="AM286" s="13"/>
    </row>
    <row r="287" spans="1:39">
      <c r="A287" s="8"/>
      <c r="B287" s="8"/>
      <c r="C287" s="8"/>
      <c r="D287" s="8"/>
      <c r="E287" s="8"/>
      <c r="F287" s="8"/>
      <c r="G287" s="8"/>
      <c r="H287" s="8"/>
      <c r="I287" s="8"/>
      <c r="J287" s="8"/>
      <c r="K287" s="8"/>
      <c r="L287" s="8"/>
      <c r="M287" s="8"/>
      <c r="N287" s="8"/>
      <c r="O287" s="8"/>
      <c r="P287" s="8"/>
      <c r="Q287" s="8"/>
      <c r="R287" s="8"/>
      <c r="S287" s="8"/>
      <c r="T287" s="8"/>
      <c r="U287" s="12"/>
      <c r="V287" s="12"/>
      <c r="W287" s="12"/>
      <c r="X287" s="12"/>
      <c r="Y287" s="12"/>
      <c r="Z287" s="12"/>
      <c r="AA287" s="12"/>
      <c r="AB287" s="12"/>
      <c r="AC287" s="12"/>
      <c r="AD287" s="12"/>
      <c r="AE287" s="12"/>
      <c r="AF287" s="12"/>
      <c r="AG287" s="13"/>
      <c r="AH287" s="13"/>
      <c r="AI287" s="13"/>
      <c r="AJ287" s="13"/>
      <c r="AK287" s="13"/>
      <c r="AL287" s="13"/>
      <c r="AM287" s="13"/>
    </row>
    <row r="288" spans="1:39">
      <c r="A288" s="8"/>
      <c r="B288" s="8"/>
      <c r="C288" s="8"/>
      <c r="D288" s="8"/>
      <c r="E288" s="8"/>
      <c r="F288" s="8"/>
      <c r="G288" s="8"/>
      <c r="H288" s="8"/>
      <c r="I288" s="8"/>
      <c r="J288" s="8"/>
      <c r="K288" s="8"/>
      <c r="L288" s="8"/>
      <c r="M288" s="8"/>
      <c r="N288" s="8"/>
      <c r="O288" s="8"/>
      <c r="P288" s="8"/>
      <c r="Q288" s="8"/>
      <c r="R288" s="8"/>
      <c r="S288" s="8"/>
      <c r="T288" s="8"/>
      <c r="U288" s="12"/>
      <c r="V288" s="12"/>
      <c r="W288" s="12"/>
      <c r="X288" s="12"/>
      <c r="Y288" s="12"/>
      <c r="Z288" s="12"/>
      <c r="AA288" s="12"/>
      <c r="AB288" s="12"/>
      <c r="AC288" s="12"/>
      <c r="AD288" s="12"/>
      <c r="AE288" s="12"/>
      <c r="AF288" s="12"/>
      <c r="AG288" s="13"/>
      <c r="AH288" s="13"/>
      <c r="AI288" s="13"/>
      <c r="AJ288" s="13"/>
      <c r="AK288" s="13"/>
      <c r="AL288" s="13"/>
      <c r="AM288" s="13"/>
    </row>
    <row r="289" spans="1:39">
      <c r="A289" s="8"/>
      <c r="B289" s="8"/>
      <c r="C289" s="8"/>
      <c r="D289" s="8"/>
      <c r="E289" s="8"/>
      <c r="F289" s="8"/>
      <c r="G289" s="8"/>
      <c r="H289" s="8"/>
      <c r="I289" s="8"/>
      <c r="J289" s="8"/>
      <c r="K289" s="8"/>
      <c r="L289" s="8"/>
      <c r="M289" s="8"/>
      <c r="N289" s="8"/>
      <c r="O289" s="8"/>
      <c r="P289" s="8"/>
      <c r="Q289" s="8"/>
      <c r="R289" s="8"/>
      <c r="S289" s="8"/>
      <c r="T289" s="8"/>
      <c r="U289" s="12"/>
      <c r="V289" s="12"/>
      <c r="W289" s="12"/>
      <c r="X289" s="12"/>
      <c r="Y289" s="12"/>
      <c r="Z289" s="12"/>
      <c r="AA289" s="12"/>
      <c r="AB289" s="12"/>
      <c r="AC289" s="12"/>
      <c r="AD289" s="12"/>
      <c r="AE289" s="12"/>
      <c r="AF289" s="12"/>
      <c r="AG289" s="13"/>
      <c r="AH289" s="13"/>
      <c r="AI289" s="13"/>
      <c r="AJ289" s="13"/>
      <c r="AK289" s="13"/>
      <c r="AL289" s="13"/>
      <c r="AM289" s="13"/>
    </row>
    <row r="290" spans="1:39">
      <c r="A290" s="8"/>
      <c r="B290" s="8"/>
      <c r="C290" s="8"/>
      <c r="D290" s="8"/>
      <c r="E290" s="8"/>
      <c r="F290" s="8"/>
      <c r="G290" s="8"/>
      <c r="H290" s="8"/>
      <c r="I290" s="8"/>
      <c r="J290" s="8"/>
      <c r="K290" s="8"/>
      <c r="L290" s="8"/>
      <c r="M290" s="8"/>
      <c r="N290" s="8"/>
      <c r="O290" s="8"/>
      <c r="P290" s="8"/>
      <c r="Q290" s="8"/>
      <c r="R290" s="8"/>
      <c r="S290" s="8"/>
      <c r="T290" s="8"/>
      <c r="U290" s="12"/>
      <c r="V290" s="12"/>
      <c r="W290" s="12"/>
      <c r="X290" s="12"/>
      <c r="Y290" s="12"/>
      <c r="Z290" s="12"/>
      <c r="AA290" s="12"/>
      <c r="AB290" s="12"/>
      <c r="AC290" s="12"/>
      <c r="AD290" s="12"/>
      <c r="AE290" s="12"/>
      <c r="AF290" s="12"/>
      <c r="AG290" s="13"/>
      <c r="AH290" s="13"/>
      <c r="AI290" s="13"/>
      <c r="AJ290" s="13"/>
      <c r="AK290" s="13"/>
      <c r="AL290" s="13"/>
      <c r="AM290" s="13"/>
    </row>
    <row r="291" spans="1:39">
      <c r="A291" s="8"/>
      <c r="B291" s="8"/>
      <c r="C291" s="8"/>
      <c r="D291" s="8"/>
      <c r="E291" s="8"/>
      <c r="F291" s="8"/>
      <c r="G291" s="8"/>
      <c r="H291" s="8"/>
      <c r="I291" s="8"/>
      <c r="J291" s="8"/>
      <c r="K291" s="8"/>
      <c r="L291" s="8"/>
      <c r="M291" s="8"/>
      <c r="N291" s="8"/>
      <c r="O291" s="8"/>
      <c r="P291" s="8"/>
      <c r="Q291" s="8"/>
      <c r="R291" s="8"/>
      <c r="S291" s="8"/>
      <c r="T291" s="8"/>
      <c r="U291" s="12"/>
      <c r="V291" s="12"/>
      <c r="W291" s="12"/>
      <c r="X291" s="12"/>
      <c r="Y291" s="12"/>
      <c r="Z291" s="12"/>
      <c r="AA291" s="12"/>
      <c r="AB291" s="12"/>
      <c r="AC291" s="12"/>
      <c r="AD291" s="12"/>
      <c r="AE291" s="12"/>
      <c r="AF291" s="12"/>
      <c r="AG291" s="13"/>
      <c r="AH291" s="13"/>
      <c r="AI291" s="13"/>
      <c r="AJ291" s="13"/>
      <c r="AK291" s="13"/>
      <c r="AL291" s="13"/>
      <c r="AM291" s="13"/>
    </row>
    <row r="292" spans="1:39">
      <c r="A292" s="8"/>
      <c r="B292" s="8"/>
      <c r="C292" s="8"/>
      <c r="D292" s="8"/>
      <c r="E292" s="8"/>
      <c r="F292" s="8"/>
      <c r="G292" s="8"/>
      <c r="H292" s="8"/>
      <c r="I292" s="8"/>
      <c r="J292" s="8"/>
      <c r="K292" s="8"/>
      <c r="L292" s="8"/>
      <c r="M292" s="8"/>
      <c r="N292" s="8"/>
      <c r="O292" s="8"/>
      <c r="P292" s="8"/>
      <c r="Q292" s="8"/>
      <c r="R292" s="8"/>
      <c r="S292" s="8"/>
      <c r="T292" s="8"/>
      <c r="U292" s="12"/>
      <c r="V292" s="12"/>
      <c r="W292" s="12"/>
      <c r="X292" s="12"/>
      <c r="Y292" s="12"/>
      <c r="Z292" s="12"/>
      <c r="AA292" s="12"/>
      <c r="AB292" s="12"/>
      <c r="AC292" s="12"/>
      <c r="AD292" s="12"/>
      <c r="AE292" s="12"/>
      <c r="AF292" s="12"/>
      <c r="AG292" s="13"/>
      <c r="AH292" s="13"/>
      <c r="AI292" s="13"/>
      <c r="AJ292" s="13"/>
      <c r="AK292" s="13"/>
      <c r="AL292" s="13"/>
      <c r="AM292" s="13"/>
    </row>
    <row r="293" spans="1:39">
      <c r="A293" s="8"/>
      <c r="B293" s="8"/>
      <c r="C293" s="8"/>
      <c r="D293" s="8"/>
      <c r="E293" s="8"/>
      <c r="F293" s="8"/>
      <c r="G293" s="8"/>
      <c r="H293" s="8"/>
      <c r="I293" s="8"/>
      <c r="J293" s="8"/>
      <c r="K293" s="8"/>
      <c r="L293" s="8"/>
      <c r="M293" s="8"/>
      <c r="N293" s="8"/>
      <c r="O293" s="8"/>
      <c r="P293" s="8"/>
      <c r="Q293" s="8"/>
      <c r="R293" s="8"/>
      <c r="S293" s="8"/>
      <c r="T293" s="8"/>
      <c r="U293" s="12"/>
      <c r="V293" s="12"/>
      <c r="W293" s="12"/>
      <c r="X293" s="12"/>
      <c r="Y293" s="12"/>
      <c r="Z293" s="12"/>
      <c r="AA293" s="12"/>
      <c r="AB293" s="12"/>
      <c r="AC293" s="12"/>
      <c r="AD293" s="12"/>
      <c r="AE293" s="12"/>
      <c r="AF293" s="12"/>
      <c r="AG293" s="13"/>
      <c r="AH293" s="13"/>
      <c r="AI293" s="13"/>
      <c r="AJ293" s="13"/>
      <c r="AK293" s="13"/>
      <c r="AL293" s="13"/>
      <c r="AM293" s="13"/>
    </row>
    <row r="294" spans="1:39">
      <c r="A294" s="8"/>
      <c r="B294" s="8"/>
      <c r="C294" s="8"/>
      <c r="D294" s="8"/>
      <c r="E294" s="8"/>
      <c r="F294" s="8"/>
      <c r="G294" s="8"/>
      <c r="H294" s="8"/>
      <c r="I294" s="8"/>
      <c r="J294" s="8"/>
      <c r="K294" s="8"/>
      <c r="L294" s="8"/>
      <c r="M294" s="8"/>
      <c r="N294" s="8"/>
      <c r="O294" s="8"/>
      <c r="P294" s="8"/>
      <c r="Q294" s="8"/>
      <c r="R294" s="8"/>
      <c r="S294" s="8"/>
      <c r="T294" s="8"/>
      <c r="U294" s="12"/>
      <c r="V294" s="12"/>
      <c r="W294" s="12"/>
      <c r="X294" s="12"/>
      <c r="Y294" s="12"/>
      <c r="Z294" s="12"/>
      <c r="AA294" s="12"/>
      <c r="AB294" s="12"/>
      <c r="AC294" s="12"/>
      <c r="AD294" s="12"/>
      <c r="AE294" s="12"/>
      <c r="AF294" s="12"/>
      <c r="AG294" s="13"/>
      <c r="AH294" s="13"/>
      <c r="AI294" s="13"/>
      <c r="AJ294" s="13"/>
      <c r="AK294" s="13"/>
      <c r="AL294" s="13"/>
      <c r="AM294" s="13"/>
    </row>
    <row r="295" spans="1:39">
      <c r="A295" s="8"/>
      <c r="B295" s="8"/>
      <c r="C295" s="8"/>
      <c r="D295" s="8"/>
      <c r="E295" s="8"/>
      <c r="F295" s="8"/>
      <c r="G295" s="8"/>
      <c r="H295" s="8"/>
      <c r="I295" s="8"/>
      <c r="J295" s="8"/>
      <c r="K295" s="8"/>
      <c r="L295" s="8"/>
      <c r="M295" s="8"/>
      <c r="N295" s="8"/>
      <c r="O295" s="8"/>
      <c r="P295" s="8"/>
      <c r="Q295" s="8"/>
      <c r="R295" s="8"/>
      <c r="S295" s="8"/>
      <c r="T295" s="8"/>
      <c r="U295" s="12"/>
      <c r="V295" s="12"/>
      <c r="W295" s="12"/>
      <c r="X295" s="12"/>
      <c r="Y295" s="12"/>
      <c r="Z295" s="12"/>
      <c r="AA295" s="12"/>
      <c r="AB295" s="12"/>
      <c r="AC295" s="12"/>
      <c r="AD295" s="12"/>
      <c r="AE295" s="12"/>
      <c r="AF295" s="12"/>
      <c r="AG295" s="13"/>
      <c r="AH295" s="13"/>
      <c r="AI295" s="13"/>
      <c r="AJ295" s="13"/>
      <c r="AK295" s="13"/>
      <c r="AL295" s="13"/>
      <c r="AM295" s="13"/>
    </row>
    <row r="296" spans="1:39">
      <c r="A296" s="8"/>
      <c r="B296" s="8"/>
      <c r="C296" s="8"/>
      <c r="D296" s="8"/>
      <c r="E296" s="8"/>
      <c r="F296" s="8"/>
      <c r="G296" s="8"/>
      <c r="H296" s="8"/>
      <c r="I296" s="8"/>
      <c r="J296" s="8"/>
      <c r="K296" s="8"/>
      <c r="L296" s="8"/>
      <c r="M296" s="8"/>
      <c r="N296" s="8"/>
      <c r="O296" s="8"/>
      <c r="P296" s="8"/>
      <c r="Q296" s="8"/>
      <c r="R296" s="8"/>
      <c r="S296" s="8"/>
      <c r="T296" s="8"/>
      <c r="U296" s="12"/>
      <c r="V296" s="12"/>
      <c r="W296" s="12"/>
      <c r="X296" s="12"/>
      <c r="Y296" s="12"/>
      <c r="Z296" s="12"/>
      <c r="AA296" s="12"/>
      <c r="AB296" s="12"/>
      <c r="AC296" s="12"/>
      <c r="AD296" s="12"/>
      <c r="AE296" s="12"/>
      <c r="AF296" s="12"/>
      <c r="AG296" s="13"/>
      <c r="AH296" s="13"/>
      <c r="AI296" s="13"/>
      <c r="AJ296" s="13"/>
      <c r="AK296" s="13"/>
      <c r="AL296" s="13"/>
      <c r="AM296" s="13"/>
    </row>
    <row r="297" spans="1:39">
      <c r="A297" s="8"/>
      <c r="B297" s="8"/>
      <c r="C297" s="8"/>
      <c r="D297" s="8"/>
      <c r="E297" s="8"/>
      <c r="F297" s="8"/>
      <c r="G297" s="8"/>
      <c r="H297" s="8"/>
      <c r="I297" s="8"/>
      <c r="J297" s="8"/>
      <c r="K297" s="8"/>
      <c r="L297" s="8"/>
      <c r="M297" s="8"/>
      <c r="N297" s="8"/>
      <c r="O297" s="8"/>
      <c r="P297" s="8"/>
      <c r="Q297" s="8"/>
      <c r="R297" s="8"/>
      <c r="S297" s="8"/>
      <c r="T297" s="8"/>
      <c r="U297" s="12"/>
      <c r="V297" s="12"/>
      <c r="W297" s="12"/>
      <c r="X297" s="12"/>
      <c r="Y297" s="12"/>
      <c r="Z297" s="12"/>
      <c r="AA297" s="12"/>
      <c r="AB297" s="12"/>
      <c r="AC297" s="12"/>
      <c r="AD297" s="12"/>
      <c r="AE297" s="12"/>
      <c r="AF297" s="12"/>
      <c r="AG297" s="13"/>
      <c r="AH297" s="13"/>
      <c r="AI297" s="13"/>
      <c r="AJ297" s="13"/>
      <c r="AK297" s="13"/>
      <c r="AL297" s="13"/>
      <c r="AM297" s="13"/>
    </row>
    <row r="298" spans="1:39">
      <c r="A298" s="8"/>
      <c r="B298" s="8"/>
      <c r="C298" s="8"/>
      <c r="D298" s="8"/>
      <c r="E298" s="8"/>
      <c r="F298" s="8"/>
      <c r="G298" s="8"/>
      <c r="H298" s="8"/>
      <c r="I298" s="8"/>
      <c r="J298" s="8"/>
      <c r="K298" s="8"/>
      <c r="L298" s="8"/>
      <c r="M298" s="8"/>
      <c r="N298" s="8"/>
      <c r="O298" s="8"/>
      <c r="P298" s="8"/>
      <c r="Q298" s="8"/>
      <c r="R298" s="8"/>
      <c r="S298" s="8"/>
      <c r="T298" s="8"/>
      <c r="U298" s="12"/>
      <c r="V298" s="12"/>
      <c r="W298" s="12"/>
      <c r="X298" s="12"/>
      <c r="Y298" s="12"/>
      <c r="Z298" s="12"/>
      <c r="AA298" s="12"/>
      <c r="AB298" s="12"/>
      <c r="AC298" s="12"/>
      <c r="AD298" s="12"/>
      <c r="AE298" s="12"/>
      <c r="AF298" s="12"/>
      <c r="AG298" s="13"/>
      <c r="AH298" s="13"/>
      <c r="AI298" s="13"/>
      <c r="AJ298" s="13"/>
      <c r="AK298" s="13"/>
      <c r="AL298" s="13"/>
      <c r="AM298" s="13"/>
    </row>
    <row r="299" spans="1:39">
      <c r="A299" s="8"/>
      <c r="B299" s="8"/>
      <c r="C299" s="8"/>
      <c r="D299" s="8"/>
      <c r="E299" s="8"/>
      <c r="F299" s="8"/>
      <c r="G299" s="8"/>
      <c r="H299" s="8"/>
      <c r="I299" s="8"/>
      <c r="J299" s="8"/>
      <c r="K299" s="8"/>
      <c r="L299" s="8"/>
      <c r="M299" s="8"/>
      <c r="N299" s="8"/>
      <c r="O299" s="8"/>
      <c r="P299" s="8"/>
      <c r="Q299" s="8"/>
      <c r="R299" s="8"/>
      <c r="S299" s="8"/>
      <c r="T299" s="8"/>
      <c r="U299" s="12"/>
      <c r="V299" s="12"/>
      <c r="W299" s="12"/>
      <c r="X299" s="12"/>
      <c r="Y299" s="12"/>
      <c r="Z299" s="12"/>
      <c r="AA299" s="12"/>
      <c r="AB299" s="12"/>
      <c r="AC299" s="12"/>
      <c r="AD299" s="12"/>
      <c r="AE299" s="12"/>
      <c r="AF299" s="12"/>
      <c r="AG299" s="13"/>
      <c r="AH299" s="13"/>
      <c r="AI299" s="13"/>
      <c r="AJ299" s="13"/>
      <c r="AK299" s="13"/>
      <c r="AL299" s="13"/>
      <c r="AM299" s="13"/>
    </row>
    <row r="300" spans="1:39">
      <c r="A300" s="8"/>
      <c r="B300" s="8"/>
      <c r="C300" s="8"/>
      <c r="D300" s="8"/>
      <c r="E300" s="8"/>
      <c r="F300" s="8"/>
      <c r="G300" s="8"/>
      <c r="H300" s="8"/>
      <c r="I300" s="8"/>
      <c r="J300" s="8"/>
      <c r="K300" s="8"/>
      <c r="L300" s="8"/>
      <c r="M300" s="8"/>
      <c r="N300" s="8"/>
      <c r="O300" s="8"/>
      <c r="P300" s="8"/>
      <c r="Q300" s="8"/>
      <c r="R300" s="8"/>
      <c r="S300" s="8"/>
      <c r="T300" s="8"/>
      <c r="U300" s="12"/>
      <c r="V300" s="12"/>
      <c r="W300" s="12"/>
      <c r="X300" s="12"/>
      <c r="Y300" s="12"/>
      <c r="Z300" s="12"/>
      <c r="AA300" s="12"/>
      <c r="AB300" s="12"/>
      <c r="AC300" s="12"/>
      <c r="AD300" s="12"/>
      <c r="AE300" s="12"/>
      <c r="AF300" s="12"/>
      <c r="AG300" s="13"/>
      <c r="AH300" s="13"/>
      <c r="AI300" s="13"/>
      <c r="AJ300" s="13"/>
      <c r="AK300" s="13"/>
      <c r="AL300" s="13"/>
      <c r="AM300" s="13"/>
    </row>
    <row r="301" spans="1:39">
      <c r="A301" s="8"/>
      <c r="B301" s="8"/>
      <c r="C301" s="8"/>
      <c r="D301" s="8"/>
      <c r="E301" s="8"/>
      <c r="F301" s="8"/>
      <c r="G301" s="8"/>
      <c r="H301" s="8"/>
      <c r="I301" s="8"/>
      <c r="J301" s="8"/>
      <c r="K301" s="8"/>
      <c r="L301" s="8"/>
      <c r="M301" s="8"/>
      <c r="N301" s="8"/>
      <c r="O301" s="8"/>
      <c r="P301" s="8"/>
      <c r="Q301" s="8"/>
      <c r="R301" s="8"/>
      <c r="S301" s="8"/>
      <c r="T301" s="8"/>
      <c r="U301" s="12"/>
      <c r="V301" s="12"/>
      <c r="W301" s="12"/>
      <c r="X301" s="12"/>
      <c r="Y301" s="12"/>
      <c r="Z301" s="12"/>
      <c r="AA301" s="12"/>
      <c r="AB301" s="12"/>
      <c r="AC301" s="12"/>
      <c r="AD301" s="12"/>
      <c r="AE301" s="12"/>
      <c r="AF301" s="12"/>
      <c r="AG301" s="13"/>
      <c r="AH301" s="13"/>
      <c r="AI301" s="13"/>
      <c r="AJ301" s="13"/>
      <c r="AK301" s="13"/>
      <c r="AL301" s="13"/>
      <c r="AM301" s="13"/>
    </row>
    <row r="302" spans="1:39">
      <c r="A302" s="8"/>
      <c r="B302" s="8"/>
      <c r="C302" s="8"/>
      <c r="D302" s="8"/>
      <c r="E302" s="8"/>
      <c r="F302" s="8"/>
      <c r="G302" s="8"/>
      <c r="H302" s="8"/>
      <c r="I302" s="8"/>
      <c r="J302" s="8"/>
      <c r="K302" s="8"/>
      <c r="L302" s="8"/>
      <c r="M302" s="8"/>
      <c r="N302" s="8"/>
      <c r="O302" s="8"/>
      <c r="P302" s="8"/>
      <c r="Q302" s="8"/>
      <c r="R302" s="8"/>
      <c r="S302" s="8"/>
      <c r="T302" s="8"/>
      <c r="U302" s="12"/>
      <c r="V302" s="12"/>
      <c r="W302" s="12"/>
      <c r="X302" s="12"/>
      <c r="Y302" s="12"/>
      <c r="Z302" s="12"/>
      <c r="AA302" s="12"/>
      <c r="AB302" s="12"/>
      <c r="AC302" s="12"/>
      <c r="AD302" s="12"/>
      <c r="AE302" s="12"/>
      <c r="AF302" s="12"/>
      <c r="AG302" s="13"/>
      <c r="AH302" s="13"/>
      <c r="AI302" s="13"/>
      <c r="AJ302" s="13"/>
      <c r="AK302" s="13"/>
      <c r="AL302" s="13"/>
      <c r="AM302" s="13"/>
    </row>
    <row r="303" spans="1:39">
      <c r="A303" s="8"/>
      <c r="B303" s="8"/>
      <c r="C303" s="8"/>
      <c r="D303" s="8"/>
      <c r="E303" s="8"/>
      <c r="F303" s="8"/>
      <c r="G303" s="8"/>
      <c r="H303" s="8"/>
      <c r="I303" s="8"/>
      <c r="J303" s="8"/>
      <c r="K303" s="8"/>
      <c r="L303" s="8"/>
      <c r="M303" s="8"/>
      <c r="N303" s="8"/>
      <c r="O303" s="8"/>
      <c r="P303" s="8"/>
      <c r="Q303" s="8"/>
      <c r="R303" s="8"/>
      <c r="S303" s="8"/>
      <c r="T303" s="8"/>
      <c r="U303" s="12"/>
      <c r="V303" s="12"/>
      <c r="W303" s="12"/>
      <c r="X303" s="12"/>
      <c r="Y303" s="12"/>
      <c r="Z303" s="12"/>
      <c r="AA303" s="12"/>
      <c r="AB303" s="12"/>
      <c r="AC303" s="12"/>
      <c r="AD303" s="12"/>
      <c r="AE303" s="12"/>
      <c r="AF303" s="12"/>
      <c r="AG303" s="13"/>
      <c r="AH303" s="13"/>
      <c r="AI303" s="13"/>
      <c r="AJ303" s="13"/>
      <c r="AK303" s="13"/>
      <c r="AL303" s="13"/>
      <c r="AM303" s="13"/>
    </row>
    <row r="304" spans="1:39">
      <c r="A304" s="8"/>
      <c r="B304" s="8"/>
      <c r="C304" s="8"/>
      <c r="D304" s="8"/>
      <c r="E304" s="8"/>
      <c r="F304" s="8"/>
      <c r="G304" s="8"/>
      <c r="H304" s="8"/>
      <c r="I304" s="8"/>
      <c r="J304" s="8"/>
      <c r="K304" s="8"/>
      <c r="L304" s="8"/>
      <c r="M304" s="8"/>
      <c r="N304" s="8"/>
      <c r="O304" s="8"/>
      <c r="P304" s="8"/>
      <c r="Q304" s="8"/>
      <c r="R304" s="8"/>
      <c r="S304" s="8"/>
      <c r="T304" s="8"/>
      <c r="U304" s="12"/>
      <c r="V304" s="12"/>
      <c r="W304" s="12"/>
      <c r="X304" s="12"/>
      <c r="Y304" s="12"/>
      <c r="Z304" s="12"/>
      <c r="AA304" s="12"/>
      <c r="AB304" s="12"/>
      <c r="AC304" s="12"/>
      <c r="AD304" s="12"/>
      <c r="AE304" s="12"/>
      <c r="AF304" s="12"/>
      <c r="AG304" s="13"/>
      <c r="AH304" s="13"/>
      <c r="AI304" s="13"/>
      <c r="AJ304" s="13"/>
      <c r="AK304" s="13"/>
      <c r="AL304" s="13"/>
      <c r="AM304" s="13"/>
    </row>
    <row r="305" spans="1:39">
      <c r="A305" s="8"/>
      <c r="B305" s="8"/>
      <c r="C305" s="8"/>
      <c r="D305" s="8"/>
      <c r="E305" s="8"/>
      <c r="F305" s="8"/>
      <c r="G305" s="8"/>
      <c r="H305" s="8"/>
      <c r="I305" s="8"/>
      <c r="J305" s="8"/>
      <c r="K305" s="8"/>
      <c r="L305" s="8"/>
      <c r="M305" s="8"/>
      <c r="N305" s="8"/>
      <c r="O305" s="8"/>
      <c r="P305" s="8"/>
      <c r="Q305" s="8"/>
      <c r="R305" s="8"/>
      <c r="S305" s="8"/>
      <c r="T305" s="8"/>
      <c r="U305" s="12"/>
      <c r="V305" s="12"/>
      <c r="W305" s="12"/>
      <c r="X305" s="12"/>
      <c r="Y305" s="12"/>
      <c r="Z305" s="12"/>
      <c r="AA305" s="12"/>
      <c r="AB305" s="12"/>
      <c r="AC305" s="12"/>
      <c r="AD305" s="12"/>
      <c r="AE305" s="12"/>
      <c r="AF305" s="12"/>
      <c r="AG305" s="13"/>
      <c r="AH305" s="13"/>
      <c r="AI305" s="13"/>
      <c r="AJ305" s="13"/>
      <c r="AK305" s="13"/>
      <c r="AL305" s="13"/>
      <c r="AM305" s="13"/>
    </row>
    <row r="306" spans="1:39">
      <c r="A306" s="8"/>
      <c r="B306" s="8"/>
      <c r="C306" s="8"/>
      <c r="D306" s="8"/>
      <c r="E306" s="8"/>
      <c r="F306" s="8"/>
      <c r="G306" s="8"/>
      <c r="H306" s="8"/>
      <c r="I306" s="8"/>
      <c r="J306" s="8"/>
      <c r="K306" s="8"/>
      <c r="L306" s="8"/>
      <c r="M306" s="8"/>
      <c r="N306" s="8"/>
      <c r="O306" s="8"/>
      <c r="P306" s="8"/>
      <c r="Q306" s="8"/>
      <c r="R306" s="8"/>
      <c r="S306" s="8"/>
      <c r="T306" s="8"/>
      <c r="U306" s="12"/>
      <c r="V306" s="12"/>
      <c r="W306" s="12"/>
      <c r="X306" s="12"/>
      <c r="Y306" s="12"/>
      <c r="Z306" s="12"/>
      <c r="AA306" s="12"/>
      <c r="AB306" s="12"/>
      <c r="AC306" s="12"/>
      <c r="AD306" s="12"/>
      <c r="AE306" s="12"/>
      <c r="AF306" s="12"/>
      <c r="AG306" s="13"/>
      <c r="AH306" s="13"/>
      <c r="AI306" s="13"/>
      <c r="AJ306" s="13"/>
      <c r="AK306" s="13"/>
      <c r="AL306" s="13"/>
      <c r="AM306" s="13"/>
    </row>
    <row r="307" spans="1:39">
      <c r="A307" s="8"/>
      <c r="B307" s="8"/>
      <c r="C307" s="8"/>
      <c r="D307" s="8"/>
      <c r="E307" s="8"/>
      <c r="F307" s="8"/>
      <c r="G307" s="8"/>
      <c r="H307" s="8"/>
      <c r="I307" s="8"/>
      <c r="J307" s="8"/>
      <c r="K307" s="8"/>
      <c r="L307" s="8"/>
      <c r="M307" s="8"/>
      <c r="N307" s="8"/>
      <c r="O307" s="8"/>
      <c r="P307" s="8"/>
      <c r="Q307" s="8"/>
      <c r="R307" s="8"/>
      <c r="S307" s="8"/>
      <c r="T307" s="8"/>
      <c r="U307" s="12"/>
      <c r="V307" s="12"/>
      <c r="W307" s="12"/>
      <c r="X307" s="12"/>
      <c r="Y307" s="12"/>
      <c r="Z307" s="12"/>
      <c r="AA307" s="12"/>
      <c r="AB307" s="12"/>
      <c r="AC307" s="12"/>
      <c r="AD307" s="12"/>
      <c r="AE307" s="12"/>
      <c r="AF307" s="12"/>
      <c r="AG307" s="13"/>
      <c r="AH307" s="13"/>
      <c r="AI307" s="13"/>
      <c r="AJ307" s="13"/>
      <c r="AK307" s="13"/>
      <c r="AL307" s="13"/>
      <c r="AM307" s="13"/>
    </row>
    <row r="308" spans="1:39">
      <c r="A308" s="8"/>
      <c r="B308" s="8"/>
      <c r="C308" s="8"/>
      <c r="D308" s="8"/>
      <c r="E308" s="8"/>
      <c r="F308" s="8"/>
      <c r="G308" s="8"/>
      <c r="H308" s="8"/>
      <c r="I308" s="8"/>
      <c r="J308" s="8"/>
      <c r="K308" s="8"/>
      <c r="L308" s="8"/>
      <c r="M308" s="8"/>
      <c r="N308" s="8"/>
      <c r="O308" s="8"/>
      <c r="P308" s="8"/>
      <c r="Q308" s="8"/>
      <c r="R308" s="8"/>
      <c r="S308" s="8"/>
      <c r="T308" s="8"/>
      <c r="U308" s="12"/>
      <c r="V308" s="12"/>
      <c r="W308" s="12"/>
      <c r="X308" s="12"/>
      <c r="Y308" s="12"/>
      <c r="Z308" s="12"/>
      <c r="AA308" s="12"/>
      <c r="AB308" s="12"/>
      <c r="AC308" s="12"/>
      <c r="AD308" s="12"/>
      <c r="AE308" s="12"/>
      <c r="AF308" s="12"/>
      <c r="AG308" s="13"/>
      <c r="AH308" s="13"/>
      <c r="AI308" s="13"/>
      <c r="AJ308" s="13"/>
      <c r="AK308" s="13"/>
      <c r="AL308" s="13"/>
      <c r="AM308" s="13"/>
    </row>
    <row r="309" spans="1:39">
      <c r="A309" s="8"/>
      <c r="B309" s="8"/>
      <c r="C309" s="8"/>
      <c r="D309" s="8"/>
      <c r="E309" s="8"/>
      <c r="F309" s="8"/>
      <c r="G309" s="8"/>
      <c r="H309" s="8"/>
      <c r="I309" s="8"/>
      <c r="J309" s="8"/>
      <c r="K309" s="8"/>
      <c r="L309" s="8"/>
      <c r="M309" s="8"/>
      <c r="N309" s="8"/>
      <c r="O309" s="8"/>
      <c r="P309" s="8"/>
      <c r="Q309" s="8"/>
      <c r="R309" s="8"/>
      <c r="S309" s="8"/>
      <c r="T309" s="8"/>
      <c r="U309" s="12"/>
      <c r="V309" s="12"/>
      <c r="W309" s="12"/>
      <c r="X309" s="12"/>
      <c r="Y309" s="12"/>
      <c r="Z309" s="12"/>
      <c r="AA309" s="12"/>
      <c r="AB309" s="12"/>
      <c r="AC309" s="12"/>
      <c r="AD309" s="12"/>
      <c r="AE309" s="12"/>
      <c r="AF309" s="12"/>
      <c r="AG309" s="13"/>
      <c r="AH309" s="13"/>
      <c r="AI309" s="13"/>
      <c r="AJ309" s="13"/>
      <c r="AK309" s="13"/>
      <c r="AL309" s="13"/>
      <c r="AM309" s="13"/>
    </row>
    <row r="310" spans="1:39">
      <c r="A310" s="8"/>
      <c r="B310" s="8"/>
      <c r="C310" s="8"/>
      <c r="D310" s="8"/>
      <c r="E310" s="8"/>
      <c r="F310" s="8"/>
      <c r="G310" s="8"/>
      <c r="H310" s="8"/>
      <c r="I310" s="8"/>
      <c r="J310" s="8"/>
      <c r="K310" s="8"/>
      <c r="L310" s="8"/>
      <c r="M310" s="8"/>
      <c r="N310" s="8"/>
      <c r="O310" s="8"/>
      <c r="P310" s="8"/>
      <c r="Q310" s="8"/>
      <c r="R310" s="8"/>
      <c r="S310" s="8"/>
      <c r="T310" s="8"/>
      <c r="U310" s="12"/>
      <c r="V310" s="12"/>
      <c r="W310" s="12"/>
      <c r="X310" s="12"/>
      <c r="Y310" s="12"/>
      <c r="Z310" s="12"/>
      <c r="AA310" s="12"/>
      <c r="AB310" s="12"/>
      <c r="AC310" s="12"/>
      <c r="AD310" s="12"/>
      <c r="AE310" s="12"/>
      <c r="AF310" s="12"/>
      <c r="AG310" s="13"/>
      <c r="AH310" s="13"/>
      <c r="AI310" s="13"/>
      <c r="AJ310" s="13"/>
      <c r="AK310" s="13"/>
      <c r="AL310" s="13"/>
      <c r="AM310" s="13"/>
    </row>
    <row r="311" spans="1:39">
      <c r="A311" s="8"/>
      <c r="B311" s="8"/>
      <c r="C311" s="8"/>
      <c r="D311" s="8"/>
      <c r="E311" s="8"/>
      <c r="F311" s="8"/>
      <c r="G311" s="8"/>
      <c r="H311" s="8"/>
      <c r="I311" s="8"/>
      <c r="J311" s="8"/>
      <c r="K311" s="8"/>
      <c r="L311" s="8"/>
      <c r="M311" s="8"/>
      <c r="N311" s="8"/>
      <c r="O311" s="8"/>
      <c r="P311" s="8"/>
      <c r="Q311" s="8"/>
      <c r="R311" s="8"/>
      <c r="S311" s="8"/>
      <c r="T311" s="8"/>
      <c r="U311" s="12"/>
      <c r="V311" s="12"/>
      <c r="W311" s="12"/>
      <c r="X311" s="12"/>
      <c r="Y311" s="12"/>
      <c r="Z311" s="12"/>
      <c r="AA311" s="12"/>
      <c r="AB311" s="12"/>
      <c r="AC311" s="12"/>
      <c r="AD311" s="12"/>
      <c r="AE311" s="12"/>
      <c r="AF311" s="12"/>
      <c r="AG311" s="13"/>
      <c r="AH311" s="13"/>
      <c r="AI311" s="13"/>
      <c r="AJ311" s="13"/>
      <c r="AK311" s="13"/>
      <c r="AL311" s="13"/>
      <c r="AM311" s="13"/>
    </row>
    <row r="312" spans="1:39">
      <c r="A312" s="8"/>
      <c r="B312" s="8"/>
      <c r="C312" s="8"/>
      <c r="D312" s="8"/>
      <c r="E312" s="8"/>
      <c r="F312" s="8"/>
      <c r="G312" s="8"/>
      <c r="H312" s="8"/>
      <c r="I312" s="8"/>
      <c r="J312" s="8"/>
      <c r="K312" s="8"/>
      <c r="L312" s="8"/>
      <c r="M312" s="8"/>
      <c r="N312" s="8"/>
      <c r="O312" s="8"/>
      <c r="P312" s="8"/>
      <c r="Q312" s="8"/>
      <c r="R312" s="8"/>
      <c r="S312" s="8"/>
      <c r="T312" s="8"/>
      <c r="U312" s="12"/>
      <c r="V312" s="12"/>
      <c r="W312" s="12"/>
      <c r="X312" s="12"/>
      <c r="Y312" s="12"/>
      <c r="Z312" s="12"/>
      <c r="AA312" s="12"/>
      <c r="AB312" s="12"/>
      <c r="AC312" s="12"/>
      <c r="AD312" s="12"/>
      <c r="AE312" s="12"/>
      <c r="AF312" s="12"/>
      <c r="AG312" s="13"/>
      <c r="AH312" s="13"/>
      <c r="AI312" s="13"/>
      <c r="AJ312" s="13"/>
      <c r="AK312" s="13"/>
      <c r="AL312" s="13"/>
      <c r="AM312" s="13"/>
    </row>
    <row r="313" spans="1:39">
      <c r="A313" s="8"/>
      <c r="B313" s="8"/>
      <c r="C313" s="8"/>
      <c r="D313" s="8"/>
      <c r="E313" s="8"/>
      <c r="F313" s="8"/>
      <c r="G313" s="8"/>
      <c r="H313" s="8"/>
      <c r="I313" s="8"/>
      <c r="J313" s="8"/>
      <c r="K313" s="8"/>
      <c r="L313" s="8"/>
      <c r="M313" s="8"/>
      <c r="N313" s="8"/>
      <c r="O313" s="8"/>
      <c r="P313" s="8"/>
      <c r="Q313" s="8"/>
      <c r="R313" s="8"/>
      <c r="S313" s="8"/>
      <c r="T313" s="8"/>
      <c r="U313" s="12"/>
      <c r="V313" s="12"/>
      <c r="W313" s="12"/>
      <c r="X313" s="12"/>
      <c r="Y313" s="12"/>
      <c r="Z313" s="12"/>
      <c r="AA313" s="12"/>
      <c r="AB313" s="12"/>
      <c r="AC313" s="12"/>
      <c r="AD313" s="12"/>
      <c r="AE313" s="12"/>
      <c r="AF313" s="12"/>
      <c r="AG313" s="13"/>
      <c r="AH313" s="13"/>
      <c r="AI313" s="13"/>
      <c r="AJ313" s="13"/>
      <c r="AK313" s="13"/>
      <c r="AL313" s="13"/>
      <c r="AM313" s="13"/>
    </row>
    <row r="314" spans="1:39">
      <c r="A314" s="8"/>
      <c r="B314" s="8"/>
      <c r="C314" s="8"/>
      <c r="D314" s="8"/>
      <c r="E314" s="8"/>
      <c r="F314" s="8"/>
      <c r="G314" s="8"/>
      <c r="H314" s="8"/>
      <c r="I314" s="8"/>
      <c r="J314" s="8"/>
      <c r="K314" s="8"/>
      <c r="L314" s="8"/>
      <c r="M314" s="8"/>
      <c r="N314" s="8"/>
      <c r="O314" s="8"/>
      <c r="P314" s="8"/>
      <c r="Q314" s="8"/>
      <c r="R314" s="8"/>
      <c r="S314" s="8"/>
      <c r="T314" s="8"/>
      <c r="U314" s="12"/>
      <c r="V314" s="12"/>
      <c r="W314" s="12"/>
      <c r="X314" s="12"/>
      <c r="Y314" s="12"/>
      <c r="Z314" s="12"/>
      <c r="AA314" s="12"/>
      <c r="AB314" s="12"/>
      <c r="AC314" s="12"/>
      <c r="AD314" s="12"/>
      <c r="AE314" s="12"/>
      <c r="AF314" s="12"/>
      <c r="AG314" s="13"/>
      <c r="AH314" s="13"/>
      <c r="AI314" s="13"/>
      <c r="AJ314" s="13"/>
      <c r="AK314" s="13"/>
      <c r="AL314" s="13"/>
      <c r="AM314" s="13"/>
    </row>
    <row r="315" spans="1:39">
      <c r="A315" s="8"/>
      <c r="B315" s="8"/>
      <c r="C315" s="8"/>
      <c r="D315" s="8"/>
      <c r="E315" s="8"/>
      <c r="F315" s="8"/>
      <c r="G315" s="8"/>
      <c r="H315" s="8"/>
      <c r="I315" s="8"/>
      <c r="J315" s="8"/>
      <c r="K315" s="8"/>
      <c r="L315" s="8"/>
      <c r="M315" s="8"/>
      <c r="N315" s="8"/>
      <c r="O315" s="8"/>
      <c r="P315" s="8"/>
      <c r="Q315" s="8"/>
      <c r="R315" s="8"/>
      <c r="S315" s="8"/>
      <c r="T315" s="8"/>
      <c r="U315" s="12"/>
      <c r="V315" s="12"/>
      <c r="W315" s="12"/>
      <c r="X315" s="12"/>
      <c r="Y315" s="12"/>
      <c r="Z315" s="12"/>
      <c r="AA315" s="12"/>
      <c r="AB315" s="12"/>
      <c r="AC315" s="12"/>
      <c r="AD315" s="12"/>
      <c r="AE315" s="12"/>
      <c r="AF315" s="12"/>
      <c r="AG315" s="13"/>
      <c r="AH315" s="13"/>
      <c r="AI315" s="13"/>
      <c r="AJ315" s="13"/>
      <c r="AK315" s="13"/>
      <c r="AL315" s="13"/>
      <c r="AM315" s="13"/>
    </row>
    <row r="316" spans="1:39">
      <c r="A316" s="8"/>
      <c r="B316" s="8"/>
      <c r="C316" s="8"/>
      <c r="D316" s="8"/>
      <c r="E316" s="8"/>
      <c r="F316" s="8"/>
      <c r="G316" s="8"/>
      <c r="H316" s="8"/>
      <c r="I316" s="8"/>
      <c r="J316" s="8"/>
      <c r="K316" s="8"/>
      <c r="L316" s="8"/>
      <c r="M316" s="8"/>
      <c r="N316" s="8"/>
      <c r="O316" s="8"/>
      <c r="P316" s="8"/>
      <c r="Q316" s="8"/>
      <c r="R316" s="8"/>
      <c r="S316" s="8"/>
      <c r="T316" s="8"/>
      <c r="U316" s="12"/>
      <c r="V316" s="12"/>
      <c r="W316" s="12"/>
      <c r="X316" s="12"/>
      <c r="Y316" s="12"/>
      <c r="Z316" s="12"/>
      <c r="AA316" s="12"/>
      <c r="AB316" s="12"/>
      <c r="AC316" s="12"/>
      <c r="AD316" s="12"/>
      <c r="AE316" s="12"/>
      <c r="AF316" s="12"/>
      <c r="AG316" s="13"/>
      <c r="AH316" s="13"/>
      <c r="AI316" s="13"/>
      <c r="AJ316" s="13"/>
      <c r="AK316" s="13"/>
      <c r="AL316" s="13"/>
      <c r="AM316" s="13"/>
    </row>
    <row r="317" spans="1:39">
      <c r="A317" s="8"/>
      <c r="B317" s="8"/>
      <c r="C317" s="8"/>
      <c r="D317" s="8"/>
      <c r="E317" s="8"/>
      <c r="F317" s="8"/>
      <c r="G317" s="8"/>
      <c r="H317" s="8"/>
      <c r="I317" s="8"/>
      <c r="J317" s="8"/>
      <c r="K317" s="8"/>
      <c r="L317" s="8"/>
      <c r="M317" s="8"/>
      <c r="N317" s="8"/>
      <c r="O317" s="8"/>
      <c r="P317" s="8"/>
      <c r="Q317" s="8"/>
      <c r="R317" s="8"/>
      <c r="S317" s="8"/>
      <c r="T317" s="8"/>
      <c r="U317" s="12"/>
      <c r="V317" s="12"/>
      <c r="W317" s="12"/>
      <c r="X317" s="12"/>
      <c r="Y317" s="12"/>
      <c r="Z317" s="12"/>
      <c r="AA317" s="12"/>
      <c r="AB317" s="12"/>
      <c r="AC317" s="12"/>
      <c r="AD317" s="12"/>
      <c r="AE317" s="12"/>
      <c r="AF317" s="12"/>
      <c r="AG317" s="13"/>
      <c r="AH317" s="13"/>
      <c r="AI317" s="13"/>
      <c r="AJ317" s="13"/>
      <c r="AK317" s="13"/>
      <c r="AL317" s="13"/>
      <c r="AM317" s="13"/>
    </row>
    <row r="318" spans="1:39">
      <c r="A318" s="8"/>
      <c r="B318" s="8"/>
      <c r="C318" s="8"/>
      <c r="D318" s="8"/>
      <c r="E318" s="8"/>
      <c r="F318" s="8"/>
      <c r="G318" s="8"/>
      <c r="H318" s="8"/>
      <c r="I318" s="8"/>
      <c r="J318" s="8"/>
      <c r="K318" s="8"/>
      <c r="L318" s="8"/>
      <c r="M318" s="8"/>
      <c r="N318" s="8"/>
      <c r="O318" s="8"/>
      <c r="P318" s="8"/>
      <c r="Q318" s="8"/>
      <c r="R318" s="8"/>
      <c r="S318" s="8"/>
      <c r="T318" s="8"/>
      <c r="U318" s="12"/>
      <c r="V318" s="12"/>
      <c r="W318" s="12"/>
      <c r="X318" s="12"/>
      <c r="Y318" s="12"/>
      <c r="Z318" s="12"/>
      <c r="AA318" s="12"/>
      <c r="AB318" s="12"/>
      <c r="AC318" s="12"/>
      <c r="AD318" s="12"/>
      <c r="AE318" s="12"/>
      <c r="AF318" s="12"/>
      <c r="AG318" s="13"/>
      <c r="AH318" s="13"/>
      <c r="AI318" s="13"/>
      <c r="AJ318" s="13"/>
      <c r="AK318" s="13"/>
      <c r="AL318" s="13"/>
      <c r="AM318" s="13"/>
    </row>
    <row r="319" spans="1:39">
      <c r="A319" s="8"/>
      <c r="B319" s="8"/>
      <c r="C319" s="8"/>
      <c r="D319" s="8"/>
      <c r="E319" s="8"/>
      <c r="F319" s="8"/>
      <c r="G319" s="8"/>
      <c r="H319" s="8"/>
      <c r="I319" s="8"/>
      <c r="J319" s="8"/>
      <c r="K319" s="8"/>
      <c r="L319" s="8"/>
      <c r="M319" s="8"/>
      <c r="N319" s="8"/>
      <c r="O319" s="8"/>
      <c r="P319" s="8"/>
      <c r="Q319" s="8"/>
      <c r="R319" s="8"/>
      <c r="S319" s="8"/>
      <c r="T319" s="8"/>
      <c r="U319" s="12"/>
      <c r="V319" s="12"/>
      <c r="W319" s="12"/>
      <c r="X319" s="12"/>
      <c r="Y319" s="12"/>
      <c r="Z319" s="12"/>
      <c r="AA319" s="12"/>
      <c r="AB319" s="12"/>
      <c r="AC319" s="12"/>
      <c r="AD319" s="12"/>
      <c r="AE319" s="12"/>
      <c r="AF319" s="12"/>
      <c r="AG319" s="13"/>
      <c r="AH319" s="13"/>
      <c r="AI319" s="13"/>
      <c r="AJ319" s="13"/>
      <c r="AK319" s="13"/>
      <c r="AL319" s="13"/>
      <c r="AM319" s="13"/>
    </row>
    <row r="320" spans="1:39">
      <c r="A320" s="8"/>
      <c r="B320" s="8"/>
      <c r="C320" s="8"/>
      <c r="D320" s="8"/>
      <c r="E320" s="8"/>
      <c r="F320" s="8"/>
      <c r="G320" s="8"/>
      <c r="H320" s="8"/>
      <c r="I320" s="8"/>
      <c r="J320" s="8"/>
      <c r="K320" s="8"/>
      <c r="L320" s="8"/>
      <c r="M320" s="8"/>
      <c r="N320" s="8"/>
      <c r="O320" s="8"/>
      <c r="P320" s="8"/>
      <c r="Q320" s="8"/>
      <c r="R320" s="8"/>
      <c r="S320" s="8"/>
      <c r="T320" s="8"/>
      <c r="U320" s="12"/>
      <c r="V320" s="12"/>
      <c r="W320" s="12"/>
      <c r="X320" s="12"/>
      <c r="Y320" s="12"/>
      <c r="Z320" s="12"/>
      <c r="AA320" s="12"/>
      <c r="AB320" s="12"/>
      <c r="AC320" s="12"/>
      <c r="AD320" s="12"/>
      <c r="AE320" s="12"/>
      <c r="AF320" s="12"/>
      <c r="AG320" s="13"/>
      <c r="AH320" s="13"/>
      <c r="AI320" s="13"/>
      <c r="AJ320" s="13"/>
      <c r="AK320" s="13"/>
      <c r="AL320" s="13"/>
      <c r="AM320" s="13"/>
    </row>
    <row r="321" spans="1:39">
      <c r="A321" s="8"/>
      <c r="B321" s="8"/>
      <c r="C321" s="8"/>
      <c r="D321" s="8"/>
      <c r="E321" s="8"/>
      <c r="F321" s="8"/>
      <c r="G321" s="8"/>
      <c r="H321" s="8"/>
      <c r="I321" s="8"/>
      <c r="J321" s="8"/>
      <c r="K321" s="8"/>
      <c r="L321" s="8"/>
      <c r="M321" s="8"/>
      <c r="N321" s="8"/>
      <c r="O321" s="8"/>
      <c r="P321" s="8"/>
      <c r="Q321" s="8"/>
      <c r="R321" s="8"/>
      <c r="S321" s="8"/>
      <c r="T321" s="8"/>
      <c r="U321" s="12"/>
      <c r="V321" s="12"/>
      <c r="W321" s="12"/>
      <c r="X321" s="12"/>
      <c r="Y321" s="12"/>
      <c r="Z321" s="12"/>
      <c r="AA321" s="12"/>
      <c r="AB321" s="12"/>
      <c r="AC321" s="12"/>
      <c r="AD321" s="12"/>
      <c r="AE321" s="12"/>
      <c r="AF321" s="12"/>
      <c r="AG321" s="13"/>
      <c r="AH321" s="13"/>
      <c r="AI321" s="13"/>
      <c r="AJ321" s="13"/>
      <c r="AK321" s="13"/>
      <c r="AL321" s="13"/>
      <c r="AM321" s="13"/>
    </row>
    <row r="322" spans="1:39">
      <c r="A322" s="8"/>
      <c r="B322" s="8"/>
      <c r="C322" s="8"/>
      <c r="D322" s="8"/>
      <c r="E322" s="8"/>
      <c r="F322" s="8"/>
      <c r="G322" s="8"/>
      <c r="H322" s="8"/>
      <c r="I322" s="8"/>
      <c r="J322" s="8"/>
      <c r="K322" s="8"/>
      <c r="L322" s="8"/>
      <c r="M322" s="8"/>
      <c r="N322" s="8"/>
      <c r="O322" s="8"/>
      <c r="P322" s="8"/>
      <c r="Q322" s="8"/>
      <c r="R322" s="8"/>
      <c r="S322" s="8"/>
      <c r="T322" s="8"/>
      <c r="U322" s="12"/>
      <c r="V322" s="12"/>
      <c r="W322" s="12"/>
      <c r="X322" s="12"/>
      <c r="Y322" s="12"/>
      <c r="Z322" s="12"/>
      <c r="AA322" s="12"/>
      <c r="AB322" s="12"/>
      <c r="AC322" s="12"/>
      <c r="AD322" s="12"/>
      <c r="AE322" s="12"/>
      <c r="AF322" s="12"/>
      <c r="AG322" s="13"/>
      <c r="AH322" s="13"/>
      <c r="AI322" s="13"/>
      <c r="AJ322" s="13"/>
      <c r="AK322" s="13"/>
      <c r="AL322" s="13"/>
      <c r="AM322" s="13"/>
    </row>
    <row r="323" spans="1:39">
      <c r="A323" s="8"/>
      <c r="B323" s="8"/>
      <c r="C323" s="8"/>
      <c r="D323" s="8"/>
      <c r="E323" s="8"/>
      <c r="F323" s="8"/>
      <c r="G323" s="8"/>
      <c r="H323" s="8"/>
      <c r="I323" s="8"/>
      <c r="J323" s="8"/>
      <c r="K323" s="8"/>
      <c r="L323" s="8"/>
      <c r="M323" s="8"/>
      <c r="N323" s="8"/>
      <c r="O323" s="8"/>
      <c r="P323" s="8"/>
      <c r="Q323" s="8"/>
      <c r="R323" s="8"/>
      <c r="S323" s="8"/>
      <c r="T323" s="8"/>
      <c r="U323" s="12"/>
      <c r="V323" s="12"/>
      <c r="W323" s="12"/>
      <c r="X323" s="12"/>
      <c r="Y323" s="12"/>
      <c r="Z323" s="12"/>
      <c r="AA323" s="12"/>
      <c r="AB323" s="12"/>
      <c r="AC323" s="12"/>
      <c r="AD323" s="12"/>
      <c r="AE323" s="12"/>
      <c r="AF323" s="12"/>
      <c r="AG323" s="13"/>
      <c r="AH323" s="13"/>
      <c r="AI323" s="13"/>
      <c r="AJ323" s="13"/>
      <c r="AK323" s="13"/>
      <c r="AL323" s="13"/>
      <c r="AM323" s="13"/>
    </row>
    <row r="324" spans="1:39">
      <c r="A324" s="8"/>
      <c r="B324" s="8"/>
      <c r="C324" s="8"/>
      <c r="D324" s="8"/>
      <c r="E324" s="8"/>
      <c r="F324" s="8"/>
      <c r="G324" s="8"/>
      <c r="H324" s="8"/>
      <c r="I324" s="8"/>
      <c r="J324" s="8"/>
      <c r="K324" s="8"/>
      <c r="L324" s="8"/>
      <c r="M324" s="8"/>
      <c r="N324" s="8"/>
      <c r="O324" s="8"/>
      <c r="P324" s="8"/>
      <c r="Q324" s="8"/>
      <c r="R324" s="8"/>
      <c r="S324" s="8"/>
      <c r="T324" s="8"/>
      <c r="U324" s="12"/>
      <c r="V324" s="12"/>
      <c r="W324" s="12"/>
      <c r="X324" s="12"/>
      <c r="Y324" s="12"/>
      <c r="Z324" s="12"/>
      <c r="AA324" s="12"/>
      <c r="AB324" s="12"/>
      <c r="AC324" s="12"/>
      <c r="AD324" s="12"/>
      <c r="AE324" s="12"/>
      <c r="AF324" s="12"/>
      <c r="AG324" s="13"/>
      <c r="AH324" s="13"/>
      <c r="AI324" s="13"/>
      <c r="AJ324" s="13"/>
      <c r="AK324" s="13"/>
      <c r="AL324" s="13"/>
      <c r="AM324" s="13"/>
    </row>
    <row r="325" spans="1:39">
      <c r="A325" s="8"/>
      <c r="B325" s="8"/>
      <c r="C325" s="8"/>
      <c r="D325" s="8"/>
      <c r="E325" s="8"/>
      <c r="F325" s="8"/>
      <c r="G325" s="8"/>
      <c r="H325" s="8"/>
      <c r="I325" s="8"/>
      <c r="J325" s="8"/>
      <c r="K325" s="8"/>
      <c r="L325" s="8"/>
      <c r="M325" s="8"/>
      <c r="N325" s="8"/>
      <c r="O325" s="8"/>
      <c r="P325" s="8"/>
      <c r="Q325" s="8"/>
      <c r="R325" s="8"/>
      <c r="S325" s="8"/>
      <c r="T325" s="8"/>
      <c r="U325" s="12"/>
      <c r="V325" s="12"/>
      <c r="W325" s="12"/>
      <c r="X325" s="12"/>
      <c r="Y325" s="12"/>
      <c r="Z325" s="12"/>
      <c r="AA325" s="12"/>
      <c r="AB325" s="12"/>
      <c r="AC325" s="12"/>
      <c r="AD325" s="12"/>
      <c r="AE325" s="12"/>
      <c r="AF325" s="12"/>
      <c r="AG325" s="13"/>
      <c r="AH325" s="13"/>
      <c r="AI325" s="13"/>
      <c r="AJ325" s="13"/>
      <c r="AK325" s="13"/>
      <c r="AL325" s="13"/>
      <c r="AM325" s="13"/>
    </row>
    <row r="326" spans="1:39">
      <c r="A326" s="8"/>
      <c r="B326" s="8"/>
      <c r="C326" s="8"/>
      <c r="D326" s="8"/>
      <c r="E326" s="8"/>
      <c r="F326" s="8"/>
      <c r="G326" s="8"/>
      <c r="H326" s="8"/>
      <c r="I326" s="8"/>
      <c r="J326" s="8"/>
      <c r="K326" s="8"/>
      <c r="L326" s="8"/>
      <c r="M326" s="8"/>
      <c r="N326" s="8"/>
      <c r="O326" s="8"/>
      <c r="P326" s="8"/>
      <c r="Q326" s="8"/>
      <c r="R326" s="8"/>
      <c r="S326" s="8"/>
      <c r="T326" s="8"/>
      <c r="U326" s="12"/>
      <c r="V326" s="12"/>
      <c r="W326" s="12"/>
      <c r="X326" s="12"/>
      <c r="Y326" s="12"/>
      <c r="Z326" s="12"/>
      <c r="AA326" s="12"/>
      <c r="AB326" s="12"/>
      <c r="AC326" s="12"/>
      <c r="AD326" s="12"/>
      <c r="AE326" s="12"/>
      <c r="AF326" s="12"/>
      <c r="AG326" s="13"/>
      <c r="AH326" s="13"/>
      <c r="AI326" s="13"/>
      <c r="AJ326" s="13"/>
      <c r="AK326" s="13"/>
      <c r="AL326" s="13"/>
      <c r="AM326" s="13"/>
    </row>
    <row r="327" spans="1:39">
      <c r="A327" s="8"/>
      <c r="B327" s="8"/>
      <c r="C327" s="8"/>
      <c r="D327" s="8"/>
      <c r="E327" s="8"/>
      <c r="F327" s="8"/>
      <c r="G327" s="8"/>
      <c r="H327" s="8"/>
      <c r="I327" s="8"/>
      <c r="J327" s="8"/>
      <c r="K327" s="8"/>
      <c r="L327" s="8"/>
      <c r="M327" s="8"/>
      <c r="N327" s="8"/>
      <c r="O327" s="8"/>
      <c r="P327" s="8"/>
      <c r="Q327" s="8"/>
      <c r="R327" s="8"/>
      <c r="S327" s="8"/>
      <c r="T327" s="8"/>
      <c r="U327" s="12"/>
      <c r="V327" s="12"/>
      <c r="W327" s="12"/>
      <c r="X327" s="12"/>
      <c r="Y327" s="12"/>
      <c r="Z327" s="12"/>
      <c r="AA327" s="12"/>
      <c r="AB327" s="12"/>
      <c r="AC327" s="12"/>
      <c r="AD327" s="12"/>
      <c r="AE327" s="12"/>
      <c r="AF327" s="12"/>
      <c r="AG327" s="13"/>
      <c r="AH327" s="13"/>
      <c r="AI327" s="13"/>
      <c r="AJ327" s="13"/>
      <c r="AK327" s="13"/>
      <c r="AL327" s="13"/>
      <c r="AM327" s="13"/>
    </row>
    <row r="328" spans="1:39">
      <c r="A328" s="8"/>
      <c r="B328" s="8"/>
      <c r="C328" s="8"/>
      <c r="D328" s="8"/>
      <c r="E328" s="8"/>
      <c r="F328" s="8"/>
      <c r="G328" s="8"/>
      <c r="H328" s="8"/>
      <c r="I328" s="8"/>
      <c r="J328" s="8"/>
      <c r="K328" s="8"/>
      <c r="L328" s="8"/>
      <c r="M328" s="8"/>
      <c r="N328" s="8"/>
      <c r="O328" s="8"/>
      <c r="P328" s="8"/>
      <c r="Q328" s="8"/>
      <c r="R328" s="8"/>
      <c r="S328" s="8"/>
      <c r="T328" s="8"/>
      <c r="U328" s="12"/>
      <c r="V328" s="12"/>
      <c r="W328" s="12"/>
      <c r="X328" s="12"/>
      <c r="Y328" s="12"/>
      <c r="Z328" s="12"/>
      <c r="AA328" s="12"/>
      <c r="AB328" s="12"/>
      <c r="AC328" s="12"/>
      <c r="AD328" s="12"/>
      <c r="AE328" s="12"/>
      <c r="AF328" s="12"/>
      <c r="AG328" s="13"/>
      <c r="AH328" s="13"/>
      <c r="AI328" s="13"/>
      <c r="AJ328" s="13"/>
      <c r="AK328" s="13"/>
      <c r="AL328" s="13"/>
      <c r="AM328" s="13"/>
    </row>
    <row r="329" spans="1:39">
      <c r="A329" s="8"/>
      <c r="B329" s="8"/>
      <c r="C329" s="8"/>
      <c r="D329" s="8"/>
      <c r="E329" s="8"/>
      <c r="F329" s="8"/>
      <c r="G329" s="8"/>
      <c r="H329" s="8"/>
      <c r="I329" s="8"/>
      <c r="J329" s="8"/>
      <c r="K329" s="8"/>
      <c r="L329" s="8"/>
      <c r="M329" s="8"/>
      <c r="N329" s="8"/>
      <c r="O329" s="8"/>
      <c r="P329" s="8"/>
      <c r="Q329" s="8"/>
      <c r="R329" s="8"/>
      <c r="S329" s="8"/>
      <c r="T329" s="8"/>
      <c r="U329" s="12"/>
      <c r="V329" s="12"/>
      <c r="W329" s="12"/>
      <c r="X329" s="12"/>
      <c r="Y329" s="12"/>
      <c r="Z329" s="12"/>
      <c r="AA329" s="12"/>
      <c r="AB329" s="12"/>
      <c r="AC329" s="12"/>
      <c r="AD329" s="12"/>
      <c r="AE329" s="12"/>
      <c r="AF329" s="12"/>
      <c r="AG329" s="13"/>
      <c r="AH329" s="13"/>
      <c r="AI329" s="13"/>
      <c r="AJ329" s="13"/>
      <c r="AK329" s="13"/>
      <c r="AL329" s="13"/>
      <c r="AM329" s="13"/>
    </row>
    <row r="330" spans="1:39">
      <c r="A330" s="8"/>
      <c r="B330" s="8"/>
      <c r="C330" s="8"/>
      <c r="D330" s="8"/>
      <c r="E330" s="8"/>
      <c r="F330" s="8"/>
      <c r="G330" s="8"/>
      <c r="H330" s="8"/>
      <c r="I330" s="8"/>
      <c r="J330" s="8"/>
      <c r="K330" s="8"/>
      <c r="L330" s="8"/>
      <c r="M330" s="8"/>
      <c r="N330" s="8"/>
      <c r="O330" s="8"/>
      <c r="P330" s="8"/>
      <c r="Q330" s="8"/>
      <c r="R330" s="8"/>
      <c r="S330" s="8"/>
      <c r="T330" s="8"/>
      <c r="U330" s="12"/>
      <c r="V330" s="12"/>
      <c r="W330" s="12"/>
      <c r="X330" s="12"/>
      <c r="Y330" s="12"/>
      <c r="Z330" s="12"/>
      <c r="AA330" s="12"/>
      <c r="AB330" s="12"/>
      <c r="AC330" s="12"/>
      <c r="AD330" s="12"/>
      <c r="AE330" s="12"/>
      <c r="AF330" s="12"/>
      <c r="AG330" s="13"/>
      <c r="AH330" s="13"/>
      <c r="AI330" s="13"/>
      <c r="AJ330" s="13"/>
      <c r="AK330" s="13"/>
      <c r="AL330" s="13"/>
      <c r="AM330" s="13"/>
    </row>
    <row r="331" spans="1:39">
      <c r="A331" s="8"/>
      <c r="B331" s="8"/>
      <c r="C331" s="8"/>
      <c r="D331" s="8"/>
      <c r="E331" s="8"/>
      <c r="F331" s="8"/>
      <c r="G331" s="8"/>
      <c r="H331" s="8"/>
      <c r="I331" s="8"/>
      <c r="J331" s="8"/>
      <c r="K331" s="8"/>
      <c r="L331" s="8"/>
      <c r="M331" s="8"/>
      <c r="N331" s="8"/>
      <c r="O331" s="8"/>
      <c r="P331" s="8"/>
      <c r="Q331" s="8"/>
      <c r="R331" s="8"/>
      <c r="S331" s="8"/>
      <c r="T331" s="8"/>
      <c r="U331" s="12"/>
      <c r="V331" s="12"/>
      <c r="W331" s="12"/>
      <c r="X331" s="12"/>
      <c r="Y331" s="12"/>
      <c r="Z331" s="12"/>
      <c r="AA331" s="12"/>
      <c r="AB331" s="12"/>
      <c r="AC331" s="12"/>
      <c r="AD331" s="12"/>
      <c r="AE331" s="12"/>
      <c r="AF331" s="12"/>
      <c r="AG331" s="13"/>
      <c r="AH331" s="13"/>
      <c r="AI331" s="13"/>
      <c r="AJ331" s="13"/>
      <c r="AK331" s="13"/>
      <c r="AL331" s="13"/>
      <c r="AM331" s="13"/>
    </row>
    <row r="332" spans="1:39">
      <c r="A332" s="8"/>
      <c r="B332" s="8"/>
      <c r="C332" s="8"/>
      <c r="D332" s="8"/>
      <c r="E332" s="8"/>
      <c r="F332" s="8"/>
      <c r="G332" s="8"/>
      <c r="H332" s="8"/>
      <c r="I332" s="8"/>
      <c r="J332" s="8"/>
      <c r="K332" s="8"/>
      <c r="L332" s="8"/>
      <c r="M332" s="8"/>
      <c r="N332" s="8"/>
      <c r="O332" s="8"/>
      <c r="P332" s="8"/>
      <c r="Q332" s="8"/>
      <c r="R332" s="8"/>
      <c r="S332" s="8"/>
      <c r="T332" s="8"/>
      <c r="U332" s="12"/>
      <c r="V332" s="12"/>
      <c r="W332" s="12"/>
      <c r="X332" s="12"/>
      <c r="Y332" s="12"/>
      <c r="Z332" s="12"/>
      <c r="AA332" s="12"/>
      <c r="AB332" s="12"/>
      <c r="AC332" s="12"/>
      <c r="AD332" s="12"/>
      <c r="AE332" s="12"/>
      <c r="AF332" s="12"/>
      <c r="AG332" s="13"/>
      <c r="AH332" s="13"/>
      <c r="AI332" s="13"/>
      <c r="AJ332" s="13"/>
      <c r="AK332" s="13"/>
      <c r="AL332" s="13"/>
      <c r="AM332" s="13"/>
    </row>
    <row r="333" spans="1:39">
      <c r="A333" s="8"/>
      <c r="B333" s="8"/>
      <c r="C333" s="8"/>
      <c r="D333" s="8"/>
      <c r="E333" s="8"/>
      <c r="F333" s="8"/>
      <c r="G333" s="8"/>
      <c r="H333" s="8"/>
      <c r="I333" s="8"/>
      <c r="J333" s="8"/>
      <c r="K333" s="8"/>
      <c r="L333" s="8"/>
      <c r="M333" s="8"/>
      <c r="N333" s="8"/>
      <c r="O333" s="8"/>
      <c r="P333" s="8"/>
      <c r="Q333" s="8"/>
      <c r="R333" s="8"/>
      <c r="S333" s="8"/>
      <c r="T333" s="8"/>
      <c r="U333" s="12"/>
      <c r="V333" s="12"/>
      <c r="W333" s="12"/>
      <c r="X333" s="12"/>
      <c r="Y333" s="12"/>
      <c r="Z333" s="12"/>
      <c r="AA333" s="12"/>
      <c r="AB333" s="12"/>
      <c r="AC333" s="12"/>
      <c r="AD333" s="12"/>
      <c r="AE333" s="12"/>
      <c r="AF333" s="12"/>
      <c r="AG333" s="13"/>
      <c r="AH333" s="13"/>
      <c r="AI333" s="13"/>
      <c r="AJ333" s="13"/>
      <c r="AK333" s="13"/>
      <c r="AL333" s="13"/>
      <c r="AM333" s="13"/>
    </row>
    <row r="334" spans="1:39">
      <c r="A334" s="8"/>
      <c r="B334" s="8"/>
      <c r="C334" s="8"/>
      <c r="D334" s="8"/>
      <c r="E334" s="8"/>
      <c r="F334" s="8"/>
      <c r="G334" s="8"/>
      <c r="H334" s="8"/>
      <c r="I334" s="8"/>
      <c r="J334" s="8"/>
      <c r="K334" s="8"/>
      <c r="L334" s="8"/>
      <c r="M334" s="8"/>
      <c r="N334" s="8"/>
      <c r="O334" s="8"/>
      <c r="P334" s="8"/>
      <c r="Q334" s="8"/>
      <c r="R334" s="8"/>
      <c r="S334" s="8"/>
      <c r="T334" s="8"/>
      <c r="U334" s="12"/>
      <c r="V334" s="12"/>
      <c r="W334" s="12"/>
      <c r="X334" s="12"/>
      <c r="Y334" s="12"/>
      <c r="Z334" s="12"/>
      <c r="AA334" s="12"/>
      <c r="AB334" s="12"/>
      <c r="AC334" s="12"/>
      <c r="AD334" s="12"/>
      <c r="AE334" s="12"/>
      <c r="AF334" s="12"/>
      <c r="AG334" s="13"/>
      <c r="AH334" s="13"/>
      <c r="AI334" s="13"/>
      <c r="AJ334" s="13"/>
      <c r="AK334" s="13"/>
      <c r="AL334" s="13"/>
      <c r="AM334" s="13"/>
    </row>
    <row r="335" spans="1:39">
      <c r="A335" s="8"/>
      <c r="B335" s="8"/>
      <c r="C335" s="8"/>
      <c r="D335" s="8"/>
      <c r="E335" s="8"/>
      <c r="F335" s="8"/>
      <c r="G335" s="8"/>
      <c r="H335" s="8"/>
      <c r="I335" s="8"/>
      <c r="J335" s="8"/>
      <c r="K335" s="8"/>
      <c r="L335" s="8"/>
      <c r="M335" s="8"/>
      <c r="N335" s="8"/>
      <c r="O335" s="8"/>
      <c r="P335" s="8"/>
      <c r="Q335" s="8"/>
      <c r="R335" s="8"/>
      <c r="S335" s="8"/>
      <c r="T335" s="8"/>
      <c r="U335" s="12"/>
      <c r="V335" s="12"/>
      <c r="W335" s="12"/>
      <c r="X335" s="12"/>
      <c r="Y335" s="12"/>
      <c r="Z335" s="12"/>
      <c r="AA335" s="12"/>
      <c r="AB335" s="12"/>
      <c r="AC335" s="12"/>
      <c r="AD335" s="12"/>
      <c r="AE335" s="12"/>
      <c r="AF335" s="12"/>
      <c r="AG335" s="13"/>
      <c r="AH335" s="13"/>
      <c r="AI335" s="13"/>
      <c r="AJ335" s="13"/>
      <c r="AK335" s="13"/>
      <c r="AL335" s="13"/>
      <c r="AM335" s="13"/>
    </row>
    <row r="336" spans="1:39">
      <c r="A336" s="8"/>
      <c r="B336" s="8"/>
      <c r="C336" s="8"/>
      <c r="D336" s="8"/>
      <c r="E336" s="8"/>
      <c r="F336" s="8"/>
      <c r="G336" s="8"/>
      <c r="H336" s="8"/>
      <c r="I336" s="8"/>
      <c r="J336" s="8"/>
      <c r="K336" s="8"/>
      <c r="L336" s="8"/>
      <c r="M336" s="8"/>
      <c r="N336" s="8"/>
      <c r="O336" s="8"/>
      <c r="P336" s="8"/>
      <c r="Q336" s="8"/>
      <c r="R336" s="8"/>
      <c r="S336" s="8"/>
      <c r="T336" s="8"/>
      <c r="U336" s="12"/>
      <c r="V336" s="12"/>
      <c r="W336" s="12"/>
      <c r="X336" s="12"/>
      <c r="Y336" s="12"/>
      <c r="Z336" s="12"/>
      <c r="AA336" s="12"/>
      <c r="AB336" s="12"/>
      <c r="AC336" s="12"/>
      <c r="AD336" s="12"/>
      <c r="AE336" s="12"/>
      <c r="AF336" s="12"/>
      <c r="AG336" s="13"/>
      <c r="AH336" s="13"/>
      <c r="AI336" s="13"/>
      <c r="AJ336" s="13"/>
      <c r="AK336" s="13"/>
      <c r="AL336" s="13"/>
      <c r="AM336" s="13"/>
    </row>
    <row r="337" spans="1:39">
      <c r="A337" s="8"/>
      <c r="B337" s="8"/>
      <c r="C337" s="8"/>
      <c r="D337" s="8"/>
      <c r="E337" s="8"/>
      <c r="F337" s="8"/>
      <c r="G337" s="8"/>
      <c r="H337" s="8"/>
      <c r="I337" s="8"/>
      <c r="J337" s="8"/>
      <c r="K337" s="8"/>
      <c r="L337" s="8"/>
      <c r="M337" s="8"/>
      <c r="N337" s="8"/>
      <c r="O337" s="8"/>
      <c r="P337" s="8"/>
      <c r="Q337" s="8"/>
      <c r="R337" s="8"/>
      <c r="S337" s="8"/>
      <c r="T337" s="8"/>
      <c r="U337" s="12"/>
      <c r="V337" s="12"/>
      <c r="W337" s="12"/>
      <c r="X337" s="12"/>
      <c r="Y337" s="12"/>
      <c r="Z337" s="12"/>
      <c r="AA337" s="12"/>
      <c r="AB337" s="12"/>
      <c r="AC337" s="12"/>
      <c r="AD337" s="12"/>
      <c r="AE337" s="12"/>
      <c r="AF337" s="12"/>
      <c r="AG337" s="13"/>
      <c r="AH337" s="13"/>
      <c r="AI337" s="13"/>
      <c r="AJ337" s="13"/>
      <c r="AK337" s="13"/>
      <c r="AL337" s="13"/>
      <c r="AM337" s="13"/>
    </row>
    <row r="338" spans="1:39">
      <c r="A338" s="8"/>
      <c r="B338" s="8"/>
      <c r="C338" s="8"/>
      <c r="D338" s="8"/>
      <c r="E338" s="8"/>
      <c r="F338" s="8"/>
      <c r="G338" s="8"/>
      <c r="H338" s="8"/>
      <c r="I338" s="8"/>
      <c r="J338" s="8"/>
      <c r="K338" s="8"/>
      <c r="L338" s="8"/>
      <c r="M338" s="8"/>
      <c r="N338" s="8"/>
      <c r="O338" s="8"/>
      <c r="P338" s="8"/>
      <c r="Q338" s="8"/>
      <c r="R338" s="8"/>
      <c r="S338" s="8"/>
      <c r="T338" s="8"/>
      <c r="U338" s="12"/>
      <c r="V338" s="12"/>
      <c r="W338" s="12"/>
      <c r="X338" s="12"/>
      <c r="Y338" s="12"/>
      <c r="Z338" s="12"/>
      <c r="AA338" s="12"/>
      <c r="AB338" s="12"/>
      <c r="AC338" s="12"/>
      <c r="AD338" s="12"/>
      <c r="AE338" s="12"/>
      <c r="AF338" s="12"/>
      <c r="AG338" s="13"/>
      <c r="AH338" s="13"/>
      <c r="AI338" s="13"/>
      <c r="AJ338" s="13"/>
      <c r="AK338" s="13"/>
      <c r="AL338" s="13"/>
      <c r="AM338" s="13"/>
    </row>
    <row r="339" spans="1:39">
      <c r="A339" s="8"/>
      <c r="B339" s="8"/>
      <c r="C339" s="8"/>
      <c r="D339" s="8"/>
      <c r="E339" s="8"/>
      <c r="F339" s="8"/>
      <c r="G339" s="8"/>
      <c r="H339" s="8"/>
      <c r="I339" s="8"/>
      <c r="J339" s="8"/>
      <c r="K339" s="8"/>
      <c r="L339" s="8"/>
      <c r="M339" s="8"/>
      <c r="N339" s="8"/>
      <c r="O339" s="8"/>
      <c r="P339" s="8"/>
      <c r="Q339" s="8"/>
      <c r="R339" s="8"/>
      <c r="S339" s="8"/>
      <c r="T339" s="8"/>
      <c r="U339" s="12"/>
      <c r="V339" s="12"/>
      <c r="W339" s="12"/>
      <c r="X339" s="12"/>
      <c r="Y339" s="12"/>
      <c r="Z339" s="12"/>
      <c r="AA339" s="12"/>
      <c r="AB339" s="12"/>
      <c r="AC339" s="12"/>
      <c r="AD339" s="12"/>
      <c r="AE339" s="12"/>
      <c r="AF339" s="12"/>
      <c r="AG339" s="13"/>
      <c r="AH339" s="13"/>
      <c r="AI339" s="13"/>
      <c r="AJ339" s="13"/>
      <c r="AK339" s="13"/>
      <c r="AL339" s="13"/>
      <c r="AM339" s="13"/>
    </row>
    <row r="340" spans="1:39">
      <c r="A340" s="8"/>
      <c r="B340" s="8"/>
      <c r="C340" s="8"/>
      <c r="D340" s="8"/>
      <c r="E340" s="8"/>
      <c r="F340" s="8"/>
      <c r="G340" s="8"/>
      <c r="H340" s="8"/>
      <c r="I340" s="8"/>
      <c r="J340" s="8"/>
      <c r="K340" s="8"/>
      <c r="L340" s="8"/>
      <c r="M340" s="8"/>
      <c r="N340" s="8"/>
      <c r="O340" s="8"/>
      <c r="P340" s="8"/>
      <c r="Q340" s="8"/>
      <c r="R340" s="8"/>
      <c r="S340" s="8"/>
      <c r="T340" s="8"/>
      <c r="U340" s="12"/>
      <c r="V340" s="12"/>
      <c r="W340" s="12"/>
      <c r="X340" s="12"/>
      <c r="Y340" s="12"/>
      <c r="Z340" s="12"/>
      <c r="AA340" s="12"/>
      <c r="AB340" s="12"/>
      <c r="AC340" s="12"/>
      <c r="AD340" s="12"/>
      <c r="AE340" s="12"/>
      <c r="AF340" s="12"/>
      <c r="AG340" s="13"/>
      <c r="AH340" s="13"/>
      <c r="AI340" s="13"/>
      <c r="AJ340" s="13"/>
      <c r="AK340" s="13"/>
      <c r="AL340" s="13"/>
      <c r="AM340" s="13"/>
    </row>
    <row r="341" spans="1:39">
      <c r="A341" s="8"/>
      <c r="B341" s="8"/>
      <c r="C341" s="8"/>
      <c r="D341" s="8"/>
      <c r="E341" s="8"/>
      <c r="F341" s="8"/>
      <c r="G341" s="8"/>
      <c r="H341" s="8"/>
      <c r="I341" s="8"/>
      <c r="J341" s="8"/>
      <c r="K341" s="8"/>
      <c r="L341" s="8"/>
      <c r="M341" s="8"/>
      <c r="N341" s="8"/>
      <c r="O341" s="8"/>
      <c r="P341" s="8"/>
      <c r="Q341" s="8"/>
      <c r="R341" s="8"/>
      <c r="S341" s="8"/>
      <c r="T341" s="8"/>
      <c r="U341" s="12"/>
      <c r="V341" s="12"/>
      <c r="W341" s="12"/>
      <c r="X341" s="12"/>
      <c r="Y341" s="12"/>
      <c r="Z341" s="12"/>
      <c r="AA341" s="12"/>
      <c r="AB341" s="12"/>
      <c r="AC341" s="12"/>
      <c r="AD341" s="12"/>
      <c r="AE341" s="12"/>
      <c r="AF341" s="12"/>
      <c r="AG341" s="13"/>
      <c r="AH341" s="13"/>
      <c r="AI341" s="13"/>
      <c r="AJ341" s="13"/>
      <c r="AK341" s="13"/>
      <c r="AL341" s="13"/>
      <c r="AM341" s="13"/>
    </row>
    <row r="342" spans="1:39">
      <c r="A342" s="8"/>
      <c r="B342" s="8"/>
      <c r="C342" s="8"/>
      <c r="D342" s="8"/>
      <c r="E342" s="8"/>
      <c r="F342" s="8"/>
      <c r="G342" s="8"/>
      <c r="H342" s="8"/>
      <c r="I342" s="8"/>
      <c r="J342" s="8"/>
      <c r="K342" s="8"/>
      <c r="L342" s="8"/>
      <c r="M342" s="8"/>
      <c r="N342" s="8"/>
      <c r="O342" s="8"/>
      <c r="P342" s="8"/>
      <c r="Q342" s="8"/>
      <c r="R342" s="8"/>
      <c r="S342" s="8"/>
      <c r="T342" s="8"/>
      <c r="U342" s="12"/>
      <c r="V342" s="12"/>
      <c r="W342" s="12"/>
      <c r="X342" s="12"/>
      <c r="Y342" s="12"/>
      <c r="Z342" s="12"/>
      <c r="AA342" s="12"/>
      <c r="AB342" s="12"/>
      <c r="AC342" s="12"/>
      <c r="AD342" s="12"/>
      <c r="AE342" s="12"/>
      <c r="AF342" s="12"/>
      <c r="AG342" s="13"/>
      <c r="AH342" s="13"/>
      <c r="AI342" s="13"/>
      <c r="AJ342" s="13"/>
      <c r="AK342" s="13"/>
      <c r="AL342" s="13"/>
      <c r="AM342" s="13"/>
    </row>
    <row r="343" spans="1:39">
      <c r="A343" s="8"/>
      <c r="B343" s="8"/>
      <c r="C343" s="8"/>
      <c r="D343" s="8"/>
      <c r="E343" s="8"/>
      <c r="F343" s="8"/>
      <c r="G343" s="8"/>
      <c r="H343" s="8"/>
      <c r="I343" s="8"/>
      <c r="J343" s="8"/>
      <c r="K343" s="8"/>
      <c r="L343" s="8"/>
      <c r="M343" s="8"/>
      <c r="N343" s="8"/>
      <c r="O343" s="8"/>
      <c r="P343" s="8"/>
      <c r="Q343" s="8"/>
      <c r="R343" s="8"/>
      <c r="S343" s="8"/>
      <c r="T343" s="8"/>
      <c r="U343" s="12"/>
      <c r="V343" s="12"/>
      <c r="W343" s="12"/>
      <c r="X343" s="12"/>
      <c r="Y343" s="12"/>
      <c r="Z343" s="12"/>
      <c r="AA343" s="12"/>
      <c r="AB343" s="12"/>
      <c r="AC343" s="12"/>
      <c r="AD343" s="12"/>
      <c r="AE343" s="12"/>
      <c r="AF343" s="12"/>
      <c r="AG343" s="13"/>
      <c r="AH343" s="13"/>
      <c r="AI343" s="13"/>
      <c r="AJ343" s="13"/>
      <c r="AK343" s="13"/>
      <c r="AL343" s="13"/>
      <c r="AM343" s="13"/>
    </row>
    <row r="344" spans="1:39">
      <c r="A344" s="8"/>
      <c r="B344" s="8"/>
      <c r="C344" s="8"/>
      <c r="D344" s="8"/>
      <c r="E344" s="8"/>
      <c r="F344" s="8"/>
      <c r="G344" s="8"/>
      <c r="H344" s="8"/>
      <c r="I344" s="8"/>
      <c r="J344" s="8"/>
      <c r="K344" s="8"/>
      <c r="L344" s="8"/>
      <c r="M344" s="8"/>
      <c r="N344" s="8"/>
      <c r="O344" s="8"/>
      <c r="P344" s="8"/>
      <c r="Q344" s="8"/>
      <c r="R344" s="8"/>
      <c r="S344" s="8"/>
      <c r="T344" s="8"/>
      <c r="U344" s="12"/>
      <c r="V344" s="12"/>
      <c r="W344" s="12"/>
      <c r="X344" s="12"/>
      <c r="Y344" s="12"/>
      <c r="Z344" s="12"/>
      <c r="AA344" s="12"/>
      <c r="AB344" s="12"/>
      <c r="AC344" s="12"/>
      <c r="AD344" s="12"/>
      <c r="AE344" s="12"/>
      <c r="AF344" s="12"/>
      <c r="AG344" s="13"/>
      <c r="AH344" s="13"/>
      <c r="AI344" s="13"/>
      <c r="AJ344" s="13"/>
      <c r="AK344" s="13"/>
      <c r="AL344" s="13"/>
      <c r="AM344" s="13"/>
    </row>
    <row r="345" spans="1:39">
      <c r="A345" s="8"/>
      <c r="B345" s="8"/>
      <c r="C345" s="8"/>
      <c r="D345" s="8"/>
      <c r="E345" s="8"/>
      <c r="F345" s="8"/>
      <c r="G345" s="8"/>
      <c r="H345" s="8"/>
      <c r="I345" s="8"/>
      <c r="J345" s="8"/>
      <c r="K345" s="8"/>
      <c r="L345" s="8"/>
      <c r="M345" s="8"/>
      <c r="N345" s="8"/>
      <c r="O345" s="8"/>
      <c r="P345" s="8"/>
      <c r="Q345" s="8"/>
      <c r="R345" s="8"/>
      <c r="S345" s="8"/>
      <c r="T345" s="8"/>
      <c r="U345" s="12"/>
      <c r="V345" s="12"/>
      <c r="W345" s="12"/>
      <c r="X345" s="12"/>
      <c r="Y345" s="12"/>
      <c r="Z345" s="12"/>
      <c r="AA345" s="12"/>
      <c r="AB345" s="12"/>
      <c r="AC345" s="12"/>
      <c r="AD345" s="12"/>
      <c r="AE345" s="12"/>
      <c r="AF345" s="12"/>
      <c r="AG345" s="13"/>
      <c r="AH345" s="13"/>
      <c r="AI345" s="13"/>
      <c r="AJ345" s="13"/>
      <c r="AK345" s="13"/>
      <c r="AL345" s="13"/>
      <c r="AM345" s="13"/>
    </row>
    <row r="346" spans="1:39">
      <c r="A346" s="8"/>
      <c r="B346" s="8"/>
      <c r="C346" s="8"/>
      <c r="D346" s="8"/>
      <c r="E346" s="8"/>
      <c r="F346" s="8"/>
      <c r="G346" s="8"/>
      <c r="H346" s="8"/>
      <c r="I346" s="8"/>
      <c r="J346" s="8"/>
      <c r="K346" s="8"/>
      <c r="L346" s="8"/>
      <c r="M346" s="8"/>
      <c r="N346" s="8"/>
      <c r="O346" s="8"/>
      <c r="P346" s="8"/>
      <c r="Q346" s="8"/>
      <c r="R346" s="8"/>
      <c r="S346" s="8"/>
      <c r="T346" s="8"/>
      <c r="U346" s="12"/>
      <c r="V346" s="12"/>
      <c r="W346" s="12"/>
      <c r="X346" s="12"/>
      <c r="Y346" s="12"/>
      <c r="Z346" s="12"/>
      <c r="AA346" s="12"/>
      <c r="AB346" s="12"/>
      <c r="AC346" s="12"/>
      <c r="AD346" s="12"/>
      <c r="AE346" s="12"/>
      <c r="AF346" s="12"/>
      <c r="AG346" s="13"/>
      <c r="AH346" s="13"/>
      <c r="AI346" s="13"/>
      <c r="AJ346" s="13"/>
      <c r="AK346" s="13"/>
      <c r="AL346" s="13"/>
      <c r="AM346" s="13"/>
    </row>
    <row r="347" spans="1:39">
      <c r="A347" s="8"/>
      <c r="B347" s="8"/>
      <c r="C347" s="8"/>
      <c r="D347" s="8"/>
      <c r="E347" s="8"/>
      <c r="F347" s="8"/>
      <c r="G347" s="8"/>
      <c r="H347" s="8"/>
      <c r="I347" s="8"/>
      <c r="J347" s="8"/>
      <c r="K347" s="8"/>
      <c r="L347" s="8"/>
      <c r="M347" s="8"/>
      <c r="N347" s="8"/>
      <c r="O347" s="8"/>
      <c r="P347" s="8"/>
      <c r="Q347" s="8"/>
      <c r="R347" s="8"/>
      <c r="S347" s="8"/>
      <c r="T347" s="8"/>
      <c r="U347" s="12"/>
      <c r="V347" s="12"/>
      <c r="W347" s="12"/>
      <c r="X347" s="12"/>
      <c r="Y347" s="12"/>
      <c r="Z347" s="12"/>
      <c r="AA347" s="12"/>
      <c r="AB347" s="12"/>
      <c r="AC347" s="12"/>
      <c r="AD347" s="12"/>
      <c r="AE347" s="12"/>
      <c r="AF347" s="12"/>
      <c r="AG347" s="13"/>
      <c r="AH347" s="13"/>
      <c r="AI347" s="13"/>
      <c r="AJ347" s="13"/>
      <c r="AK347" s="13"/>
      <c r="AL347" s="13"/>
      <c r="AM347" s="13"/>
    </row>
    <row r="348" spans="1:39">
      <c r="A348" s="8"/>
      <c r="B348" s="8"/>
      <c r="C348" s="8"/>
      <c r="D348" s="8"/>
      <c r="E348" s="8"/>
      <c r="F348" s="8"/>
      <c r="G348" s="8"/>
      <c r="H348" s="8"/>
      <c r="I348" s="8"/>
      <c r="J348" s="8"/>
      <c r="K348" s="8"/>
      <c r="L348" s="8"/>
      <c r="M348" s="8"/>
      <c r="N348" s="8"/>
      <c r="O348" s="8"/>
      <c r="P348" s="8"/>
      <c r="Q348" s="8"/>
      <c r="R348" s="8"/>
      <c r="S348" s="8"/>
      <c r="T348" s="8"/>
      <c r="U348" s="12"/>
      <c r="V348" s="12"/>
      <c r="W348" s="12"/>
      <c r="X348" s="12"/>
      <c r="Y348" s="12"/>
      <c r="Z348" s="12"/>
      <c r="AA348" s="12"/>
      <c r="AB348" s="12"/>
      <c r="AC348" s="12"/>
      <c r="AD348" s="12"/>
      <c r="AE348" s="12"/>
      <c r="AF348" s="12"/>
      <c r="AG348" s="13"/>
      <c r="AH348" s="13"/>
      <c r="AI348" s="13"/>
      <c r="AJ348" s="13"/>
      <c r="AK348" s="13"/>
      <c r="AL348" s="13"/>
      <c r="AM348" s="13"/>
    </row>
    <row r="349" spans="1:39">
      <c r="A349" s="8"/>
      <c r="B349" s="8"/>
      <c r="C349" s="8"/>
      <c r="D349" s="8"/>
      <c r="E349" s="8"/>
      <c r="F349" s="8"/>
      <c r="G349" s="8"/>
      <c r="H349" s="8"/>
      <c r="I349" s="8"/>
      <c r="J349" s="8"/>
      <c r="K349" s="8"/>
      <c r="L349" s="8"/>
      <c r="M349" s="8"/>
      <c r="N349" s="8"/>
      <c r="O349" s="8"/>
      <c r="P349" s="8"/>
      <c r="Q349" s="8"/>
      <c r="R349" s="8"/>
      <c r="S349" s="8"/>
      <c r="T349" s="8"/>
      <c r="U349" s="12"/>
      <c r="V349" s="12"/>
      <c r="W349" s="12"/>
      <c r="X349" s="12"/>
      <c r="Y349" s="12"/>
      <c r="Z349" s="12"/>
      <c r="AA349" s="12"/>
      <c r="AB349" s="12"/>
      <c r="AC349" s="12"/>
      <c r="AD349" s="12"/>
      <c r="AE349" s="12"/>
      <c r="AF349" s="12"/>
      <c r="AG349" s="13"/>
      <c r="AH349" s="13"/>
      <c r="AI349" s="13"/>
      <c r="AJ349" s="13"/>
      <c r="AK349" s="13"/>
      <c r="AL349" s="13"/>
      <c r="AM349" s="13"/>
    </row>
    <row r="350" spans="1:39">
      <c r="A350" s="8"/>
      <c r="B350" s="8"/>
      <c r="C350" s="8"/>
      <c r="D350" s="8"/>
      <c r="E350" s="8"/>
      <c r="F350" s="8"/>
      <c r="G350" s="8"/>
      <c r="H350" s="8"/>
      <c r="I350" s="8"/>
      <c r="J350" s="8"/>
      <c r="K350" s="8"/>
      <c r="L350" s="8"/>
      <c r="M350" s="8"/>
      <c r="N350" s="8"/>
      <c r="O350" s="8"/>
      <c r="P350" s="8"/>
      <c r="Q350" s="8"/>
      <c r="R350" s="8"/>
      <c r="S350" s="8"/>
      <c r="T350" s="8"/>
      <c r="U350" s="12"/>
      <c r="V350" s="12"/>
      <c r="W350" s="12"/>
      <c r="X350" s="12"/>
      <c r="Y350" s="12"/>
      <c r="Z350" s="12"/>
      <c r="AA350" s="12"/>
      <c r="AB350" s="12"/>
      <c r="AC350" s="12"/>
      <c r="AD350" s="12"/>
      <c r="AE350" s="12"/>
      <c r="AF350" s="12"/>
      <c r="AG350" s="13"/>
      <c r="AH350" s="13"/>
      <c r="AI350" s="13"/>
      <c r="AJ350" s="13"/>
      <c r="AK350" s="13"/>
      <c r="AL350" s="13"/>
      <c r="AM350" s="13"/>
    </row>
    <row r="351" spans="1:39">
      <c r="A351" s="8"/>
      <c r="B351" s="8"/>
      <c r="C351" s="8"/>
      <c r="D351" s="8"/>
      <c r="E351" s="8"/>
      <c r="F351" s="8"/>
      <c r="G351" s="8"/>
      <c r="H351" s="8"/>
      <c r="I351" s="8"/>
      <c r="J351" s="8"/>
      <c r="K351" s="8"/>
      <c r="L351" s="8"/>
      <c r="M351" s="8"/>
      <c r="N351" s="8"/>
      <c r="O351" s="8"/>
      <c r="P351" s="8"/>
      <c r="Q351" s="8"/>
      <c r="R351" s="8"/>
      <c r="S351" s="8"/>
      <c r="T351" s="8"/>
      <c r="U351" s="12"/>
      <c r="V351" s="12"/>
      <c r="W351" s="12"/>
      <c r="X351" s="12"/>
      <c r="Y351" s="12"/>
      <c r="Z351" s="12"/>
      <c r="AA351" s="12"/>
      <c r="AB351" s="12"/>
      <c r="AC351" s="12"/>
      <c r="AD351" s="12"/>
      <c r="AE351" s="12"/>
      <c r="AF351" s="12"/>
      <c r="AG351" s="13"/>
      <c r="AH351" s="13"/>
      <c r="AI351" s="13"/>
      <c r="AJ351" s="13"/>
      <c r="AK351" s="13"/>
      <c r="AL351" s="13"/>
      <c r="AM351" s="13"/>
    </row>
    <row r="352" spans="1:39">
      <c r="A352" s="8"/>
      <c r="B352" s="8"/>
      <c r="C352" s="8"/>
      <c r="D352" s="8"/>
      <c r="E352" s="8"/>
      <c r="F352" s="8"/>
      <c r="G352" s="8"/>
      <c r="H352" s="8"/>
      <c r="I352" s="8"/>
      <c r="J352" s="8"/>
      <c r="K352" s="8"/>
      <c r="L352" s="8"/>
      <c r="M352" s="8"/>
      <c r="N352" s="8"/>
      <c r="O352" s="8"/>
      <c r="P352" s="8"/>
      <c r="Q352" s="8"/>
      <c r="R352" s="8"/>
      <c r="S352" s="8"/>
      <c r="T352" s="8"/>
      <c r="U352" s="12"/>
      <c r="V352" s="12"/>
      <c r="W352" s="12"/>
      <c r="X352" s="12"/>
      <c r="Y352" s="12"/>
      <c r="Z352" s="12"/>
      <c r="AA352" s="12"/>
      <c r="AB352" s="12"/>
      <c r="AC352" s="12"/>
      <c r="AD352" s="12"/>
      <c r="AE352" s="12"/>
      <c r="AF352" s="12"/>
      <c r="AG352" s="13"/>
      <c r="AH352" s="13"/>
      <c r="AI352" s="13"/>
      <c r="AJ352" s="13"/>
      <c r="AK352" s="13"/>
      <c r="AL352" s="13"/>
      <c r="AM352" s="13"/>
    </row>
    <row r="353" spans="1:39">
      <c r="A353" s="8"/>
      <c r="B353" s="8"/>
      <c r="C353" s="8"/>
      <c r="D353" s="8"/>
      <c r="E353" s="8"/>
      <c r="F353" s="8"/>
      <c r="G353" s="8"/>
      <c r="H353" s="8"/>
      <c r="I353" s="8"/>
      <c r="J353" s="8"/>
      <c r="K353" s="8"/>
      <c r="L353" s="8"/>
      <c r="M353" s="8"/>
      <c r="N353" s="8"/>
      <c r="O353" s="8"/>
      <c r="P353" s="8"/>
      <c r="Q353" s="8"/>
      <c r="R353" s="8"/>
      <c r="S353" s="8"/>
      <c r="T353" s="8"/>
      <c r="U353" s="12"/>
      <c r="V353" s="12"/>
      <c r="W353" s="12"/>
      <c r="X353" s="12"/>
      <c r="Y353" s="12"/>
      <c r="Z353" s="12"/>
      <c r="AA353" s="12"/>
      <c r="AB353" s="12"/>
      <c r="AC353" s="12"/>
      <c r="AD353" s="12"/>
      <c r="AE353" s="12"/>
      <c r="AF353" s="12"/>
      <c r="AG353" s="13"/>
      <c r="AH353" s="13"/>
      <c r="AI353" s="13"/>
      <c r="AJ353" s="13"/>
      <c r="AK353" s="13"/>
      <c r="AL353" s="13"/>
      <c r="AM353" s="13"/>
    </row>
    <row r="354" spans="1:39">
      <c r="A354" s="8"/>
      <c r="B354" s="8"/>
      <c r="C354" s="8"/>
      <c r="D354" s="8"/>
      <c r="E354" s="8"/>
      <c r="F354" s="8"/>
      <c r="G354" s="8"/>
      <c r="H354" s="8"/>
      <c r="I354" s="8"/>
      <c r="J354" s="8"/>
      <c r="K354" s="8"/>
      <c r="L354" s="8"/>
      <c r="M354" s="8"/>
      <c r="N354" s="8"/>
      <c r="O354" s="8"/>
      <c r="P354" s="8"/>
      <c r="Q354" s="8"/>
      <c r="R354" s="8"/>
      <c r="S354" s="8"/>
      <c r="T354" s="8"/>
      <c r="U354" s="12"/>
      <c r="V354" s="12"/>
      <c r="W354" s="12"/>
      <c r="X354" s="12"/>
      <c r="Y354" s="12"/>
      <c r="Z354" s="12"/>
      <c r="AA354" s="12"/>
      <c r="AB354" s="12"/>
      <c r="AC354" s="12"/>
      <c r="AD354" s="12"/>
      <c r="AE354" s="12"/>
      <c r="AF354" s="12"/>
      <c r="AG354" s="13"/>
      <c r="AH354" s="13"/>
      <c r="AI354" s="13"/>
      <c r="AJ354" s="13"/>
      <c r="AK354" s="13"/>
      <c r="AL354" s="13"/>
      <c r="AM354" s="13"/>
    </row>
    <row r="355" spans="1:39">
      <c r="A355" s="8"/>
      <c r="B355" s="8"/>
      <c r="C355" s="8"/>
      <c r="D355" s="8"/>
      <c r="E355" s="8"/>
      <c r="F355" s="8"/>
      <c r="G355" s="8"/>
      <c r="H355" s="8"/>
      <c r="I355" s="8"/>
      <c r="J355" s="8"/>
      <c r="K355" s="8"/>
      <c r="L355" s="8"/>
      <c r="M355" s="8"/>
      <c r="N355" s="8"/>
      <c r="O355" s="8"/>
      <c r="P355" s="8"/>
      <c r="Q355" s="8"/>
      <c r="R355" s="8"/>
      <c r="S355" s="8"/>
      <c r="T355" s="8"/>
      <c r="U355" s="12"/>
      <c r="V355" s="12"/>
      <c r="W355" s="12"/>
      <c r="X355" s="12"/>
      <c r="Y355" s="12"/>
      <c r="Z355" s="12"/>
      <c r="AA355" s="12"/>
      <c r="AB355" s="12"/>
      <c r="AC355" s="12"/>
      <c r="AD355" s="12"/>
      <c r="AE355" s="12"/>
      <c r="AF355" s="12"/>
      <c r="AG355" s="13"/>
      <c r="AH355" s="13"/>
      <c r="AI355" s="13"/>
      <c r="AJ355" s="13"/>
      <c r="AK355" s="13"/>
      <c r="AL355" s="13"/>
      <c r="AM355" s="13"/>
    </row>
    <row r="356" spans="1:39">
      <c r="A356" s="8"/>
      <c r="B356" s="8"/>
      <c r="C356" s="8"/>
      <c r="D356" s="8"/>
      <c r="E356" s="8"/>
      <c r="F356" s="8"/>
      <c r="G356" s="8"/>
      <c r="H356" s="8"/>
      <c r="I356" s="8"/>
      <c r="J356" s="8"/>
      <c r="K356" s="8"/>
      <c r="L356" s="8"/>
      <c r="M356" s="8"/>
      <c r="N356" s="8"/>
      <c r="O356" s="8"/>
      <c r="P356" s="8"/>
      <c r="Q356" s="8"/>
      <c r="R356" s="8"/>
      <c r="S356" s="8"/>
      <c r="T356" s="8"/>
      <c r="U356" s="12"/>
      <c r="V356" s="12"/>
      <c r="W356" s="12"/>
      <c r="X356" s="12"/>
      <c r="Y356" s="12"/>
      <c r="Z356" s="12"/>
      <c r="AA356" s="12"/>
      <c r="AB356" s="12"/>
      <c r="AC356" s="12"/>
      <c r="AD356" s="12"/>
      <c r="AE356" s="12"/>
      <c r="AF356" s="12"/>
      <c r="AG356" s="13"/>
      <c r="AH356" s="13"/>
      <c r="AI356" s="13"/>
      <c r="AJ356" s="13"/>
      <c r="AK356" s="13"/>
      <c r="AL356" s="13"/>
      <c r="AM356" s="13"/>
    </row>
    <row r="357" spans="1:39">
      <c r="A357" s="8"/>
      <c r="B357" s="8"/>
      <c r="C357" s="8"/>
      <c r="D357" s="8"/>
      <c r="E357" s="8"/>
      <c r="F357" s="8"/>
      <c r="G357" s="8"/>
      <c r="H357" s="8"/>
      <c r="I357" s="8"/>
      <c r="J357" s="8"/>
      <c r="K357" s="8"/>
      <c r="L357" s="8"/>
      <c r="M357" s="8"/>
      <c r="N357" s="8"/>
      <c r="O357" s="8"/>
      <c r="P357" s="8"/>
      <c r="Q357" s="8"/>
      <c r="R357" s="8"/>
      <c r="S357" s="8"/>
      <c r="T357" s="8"/>
      <c r="U357" s="12"/>
      <c r="V357" s="12"/>
      <c r="W357" s="12"/>
      <c r="X357" s="12"/>
      <c r="Y357" s="12"/>
      <c r="Z357" s="12"/>
      <c r="AA357" s="12"/>
      <c r="AB357" s="12"/>
      <c r="AC357" s="12"/>
      <c r="AD357" s="12"/>
      <c r="AE357" s="12"/>
      <c r="AF357" s="12"/>
      <c r="AG357" s="13"/>
      <c r="AH357" s="13"/>
      <c r="AI357" s="13"/>
      <c r="AJ357" s="13"/>
      <c r="AK357" s="13"/>
      <c r="AL357" s="13"/>
      <c r="AM357" s="13"/>
    </row>
    <row r="358" spans="1:39">
      <c r="A358" s="8"/>
      <c r="B358" s="8"/>
      <c r="C358" s="8"/>
      <c r="D358" s="8"/>
      <c r="E358" s="8"/>
      <c r="F358" s="8"/>
      <c r="G358" s="8"/>
      <c r="H358" s="8"/>
      <c r="I358" s="8"/>
      <c r="J358" s="8"/>
      <c r="K358" s="8"/>
      <c r="L358" s="8"/>
      <c r="M358" s="8"/>
      <c r="N358" s="8"/>
      <c r="O358" s="8"/>
      <c r="P358" s="8"/>
      <c r="Q358" s="8"/>
      <c r="R358" s="8"/>
      <c r="S358" s="8"/>
      <c r="T358" s="8"/>
      <c r="U358" s="12"/>
      <c r="V358" s="12"/>
      <c r="W358" s="12"/>
      <c r="X358" s="12"/>
      <c r="Y358" s="12"/>
      <c r="Z358" s="12"/>
      <c r="AA358" s="12"/>
      <c r="AB358" s="12"/>
      <c r="AC358" s="12"/>
      <c r="AD358" s="12"/>
      <c r="AE358" s="12"/>
      <c r="AF358" s="12"/>
      <c r="AG358" s="13"/>
      <c r="AH358" s="13"/>
      <c r="AI358" s="13"/>
      <c r="AJ358" s="13"/>
      <c r="AK358" s="13"/>
      <c r="AL358" s="13"/>
      <c r="AM358" s="13"/>
    </row>
    <row r="359" spans="1:39">
      <c r="A359" s="8"/>
      <c r="B359" s="8"/>
      <c r="C359" s="8"/>
      <c r="D359" s="8"/>
      <c r="E359" s="8"/>
      <c r="F359" s="8"/>
      <c r="G359" s="8"/>
      <c r="H359" s="8"/>
      <c r="I359" s="8"/>
      <c r="J359" s="8"/>
      <c r="K359" s="8"/>
      <c r="L359" s="8"/>
      <c r="M359" s="8"/>
      <c r="N359" s="8"/>
      <c r="O359" s="8"/>
      <c r="P359" s="8"/>
      <c r="Q359" s="8"/>
      <c r="R359" s="8"/>
      <c r="S359" s="8"/>
      <c r="T359" s="8"/>
      <c r="U359" s="12"/>
      <c r="V359" s="12"/>
      <c r="W359" s="12"/>
      <c r="X359" s="12"/>
      <c r="Y359" s="12"/>
      <c r="Z359" s="12"/>
      <c r="AA359" s="12"/>
      <c r="AB359" s="12"/>
      <c r="AC359" s="12"/>
      <c r="AD359" s="12"/>
      <c r="AE359" s="12"/>
      <c r="AF359" s="12"/>
      <c r="AG359" s="13"/>
      <c r="AH359" s="13"/>
      <c r="AI359" s="13"/>
      <c r="AJ359" s="13"/>
      <c r="AK359" s="13"/>
      <c r="AL359" s="13"/>
      <c r="AM359" s="13"/>
    </row>
    <row r="360" spans="1:39">
      <c r="A360" s="8"/>
      <c r="B360" s="8"/>
      <c r="C360" s="8"/>
      <c r="D360" s="8"/>
      <c r="E360" s="8"/>
      <c r="F360" s="8"/>
      <c r="G360" s="8"/>
      <c r="H360" s="8"/>
      <c r="I360" s="8"/>
      <c r="J360" s="8"/>
      <c r="K360" s="8"/>
      <c r="L360" s="8"/>
      <c r="M360" s="8"/>
      <c r="N360" s="8"/>
      <c r="O360" s="8"/>
      <c r="P360" s="8"/>
      <c r="Q360" s="8"/>
      <c r="R360" s="8"/>
      <c r="S360" s="8"/>
      <c r="T360" s="8"/>
      <c r="U360" s="12"/>
      <c r="V360" s="12"/>
      <c r="W360" s="12"/>
      <c r="X360" s="12"/>
      <c r="Y360" s="12"/>
      <c r="Z360" s="12"/>
      <c r="AA360" s="12"/>
      <c r="AB360" s="12"/>
      <c r="AC360" s="12"/>
      <c r="AD360" s="12"/>
      <c r="AE360" s="12"/>
      <c r="AF360" s="12"/>
      <c r="AG360" s="13"/>
      <c r="AH360" s="13"/>
      <c r="AI360" s="13"/>
      <c r="AJ360" s="13"/>
      <c r="AK360" s="13"/>
      <c r="AL360" s="13"/>
      <c r="AM360" s="13"/>
    </row>
    <row r="361" spans="1:39">
      <c r="A361" s="8"/>
      <c r="B361" s="8"/>
      <c r="C361" s="8"/>
      <c r="D361" s="8"/>
      <c r="E361" s="8"/>
      <c r="F361" s="8"/>
      <c r="G361" s="8"/>
      <c r="H361" s="8"/>
      <c r="I361" s="8"/>
      <c r="J361" s="8"/>
      <c r="K361" s="8"/>
      <c r="L361" s="8"/>
      <c r="M361" s="8"/>
      <c r="N361" s="8"/>
      <c r="O361" s="8"/>
      <c r="P361" s="8"/>
      <c r="Q361" s="8"/>
      <c r="R361" s="8"/>
      <c r="S361" s="8"/>
      <c r="T361" s="8"/>
      <c r="U361" s="12"/>
      <c r="V361" s="12"/>
      <c r="W361" s="12"/>
      <c r="X361" s="12"/>
      <c r="Y361" s="12"/>
      <c r="Z361" s="12"/>
      <c r="AA361" s="12"/>
      <c r="AB361" s="12"/>
      <c r="AC361" s="12"/>
      <c r="AD361" s="12"/>
      <c r="AE361" s="12"/>
      <c r="AF361" s="12"/>
      <c r="AG361" s="13"/>
      <c r="AH361" s="13"/>
      <c r="AI361" s="13"/>
      <c r="AJ361" s="13"/>
      <c r="AK361" s="13"/>
      <c r="AL361" s="13"/>
      <c r="AM361" s="13"/>
    </row>
    <row r="362" spans="1:39">
      <c r="A362" s="8"/>
      <c r="B362" s="8"/>
      <c r="C362" s="8"/>
      <c r="D362" s="8"/>
      <c r="E362" s="8"/>
      <c r="F362" s="8"/>
      <c r="G362" s="8"/>
      <c r="H362" s="8"/>
      <c r="I362" s="8"/>
      <c r="J362" s="8"/>
      <c r="K362" s="8"/>
      <c r="L362" s="8"/>
      <c r="M362" s="8"/>
      <c r="N362" s="8"/>
      <c r="O362" s="8"/>
      <c r="P362" s="8"/>
      <c r="Q362" s="8"/>
      <c r="R362" s="8"/>
      <c r="S362" s="8"/>
      <c r="T362" s="8"/>
      <c r="U362" s="12"/>
      <c r="V362" s="12"/>
      <c r="W362" s="12"/>
      <c r="X362" s="12"/>
      <c r="Y362" s="12"/>
      <c r="Z362" s="12"/>
      <c r="AA362" s="12"/>
      <c r="AB362" s="12"/>
      <c r="AC362" s="12"/>
      <c r="AD362" s="12"/>
      <c r="AE362" s="12"/>
      <c r="AF362" s="12"/>
      <c r="AG362" s="13"/>
      <c r="AH362" s="13"/>
      <c r="AI362" s="13"/>
      <c r="AJ362" s="13"/>
      <c r="AK362" s="13"/>
      <c r="AL362" s="13"/>
      <c r="AM362" s="13"/>
    </row>
    <row r="363" spans="1:39">
      <c r="A363" s="8"/>
      <c r="B363" s="8"/>
      <c r="C363" s="8"/>
      <c r="D363" s="8"/>
      <c r="E363" s="8"/>
      <c r="F363" s="8"/>
      <c r="G363" s="8"/>
      <c r="H363" s="8"/>
      <c r="I363" s="8"/>
      <c r="J363" s="8"/>
      <c r="K363" s="8"/>
      <c r="L363" s="8"/>
      <c r="M363" s="8"/>
      <c r="N363" s="8"/>
      <c r="O363" s="8"/>
      <c r="P363" s="8"/>
      <c r="Q363" s="8"/>
      <c r="R363" s="8"/>
      <c r="S363" s="8"/>
      <c r="T363" s="8"/>
      <c r="U363" s="12"/>
      <c r="V363" s="12"/>
      <c r="W363" s="12"/>
      <c r="X363" s="12"/>
      <c r="Y363" s="12"/>
      <c r="Z363" s="12"/>
      <c r="AA363" s="12"/>
      <c r="AB363" s="12"/>
      <c r="AC363" s="12"/>
      <c r="AD363" s="12"/>
      <c r="AE363" s="12"/>
      <c r="AF363" s="12"/>
      <c r="AG363" s="13"/>
      <c r="AH363" s="13"/>
      <c r="AI363" s="13"/>
      <c r="AJ363" s="13"/>
      <c r="AK363" s="13"/>
      <c r="AL363" s="13"/>
      <c r="AM363" s="13"/>
    </row>
    <row r="364" spans="1:39">
      <c r="A364" s="8"/>
      <c r="B364" s="8"/>
      <c r="C364" s="8"/>
      <c r="D364" s="8"/>
      <c r="E364" s="8"/>
      <c r="F364" s="8"/>
      <c r="G364" s="8"/>
      <c r="H364" s="8"/>
      <c r="I364" s="8"/>
      <c r="J364" s="8"/>
      <c r="K364" s="8"/>
      <c r="L364" s="8"/>
      <c r="M364" s="8"/>
      <c r="N364" s="8"/>
      <c r="O364" s="8"/>
      <c r="P364" s="8"/>
      <c r="Q364" s="8"/>
      <c r="R364" s="8"/>
      <c r="S364" s="8"/>
      <c r="T364" s="8"/>
      <c r="U364" s="12"/>
      <c r="V364" s="12"/>
      <c r="W364" s="12"/>
      <c r="X364" s="12"/>
      <c r="Y364" s="12"/>
      <c r="Z364" s="12"/>
      <c r="AA364" s="12"/>
      <c r="AB364" s="12"/>
      <c r="AC364" s="12"/>
      <c r="AD364" s="12"/>
      <c r="AE364" s="12"/>
      <c r="AF364" s="12"/>
      <c r="AG364" s="13"/>
      <c r="AH364" s="13"/>
      <c r="AI364" s="13"/>
      <c r="AJ364" s="13"/>
      <c r="AK364" s="13"/>
      <c r="AL364" s="13"/>
      <c r="AM364" s="13"/>
    </row>
    <row r="365" spans="1:39">
      <c r="A365" s="8"/>
      <c r="B365" s="8"/>
      <c r="C365" s="8"/>
      <c r="D365" s="8"/>
      <c r="E365" s="8"/>
      <c r="F365" s="8"/>
      <c r="G365" s="8"/>
      <c r="H365" s="8"/>
      <c r="I365" s="8"/>
      <c r="J365" s="8"/>
      <c r="K365" s="8"/>
      <c r="L365" s="8"/>
      <c r="M365" s="8"/>
      <c r="N365" s="8"/>
      <c r="O365" s="8"/>
      <c r="P365" s="8"/>
      <c r="Q365" s="8"/>
      <c r="R365" s="8"/>
      <c r="S365" s="8"/>
      <c r="T365" s="8"/>
      <c r="U365" s="12"/>
      <c r="V365" s="12"/>
      <c r="W365" s="12"/>
      <c r="X365" s="12"/>
      <c r="Y365" s="12"/>
      <c r="Z365" s="12"/>
      <c r="AA365" s="12"/>
      <c r="AB365" s="12"/>
      <c r="AC365" s="12"/>
      <c r="AD365" s="12"/>
      <c r="AE365" s="12"/>
      <c r="AF365" s="12"/>
      <c r="AG365" s="13"/>
      <c r="AH365" s="13"/>
      <c r="AI365" s="13"/>
      <c r="AJ365" s="13"/>
      <c r="AK365" s="13"/>
      <c r="AL365" s="13"/>
      <c r="AM365" s="13"/>
    </row>
    <row r="366" spans="1:39">
      <c r="A366" s="8"/>
      <c r="B366" s="8"/>
      <c r="C366" s="8"/>
      <c r="D366" s="8"/>
      <c r="E366" s="8"/>
      <c r="F366" s="8"/>
      <c r="G366" s="8"/>
      <c r="H366" s="8"/>
      <c r="I366" s="8"/>
      <c r="J366" s="8"/>
      <c r="K366" s="8"/>
      <c r="L366" s="8"/>
      <c r="M366" s="8"/>
      <c r="N366" s="8"/>
      <c r="O366" s="8"/>
      <c r="P366" s="8"/>
      <c r="Q366" s="8"/>
      <c r="R366" s="8"/>
      <c r="S366" s="8"/>
      <c r="T366" s="8"/>
      <c r="U366" s="12"/>
      <c r="V366" s="12"/>
      <c r="W366" s="12"/>
      <c r="X366" s="12"/>
      <c r="Y366" s="12"/>
      <c r="Z366" s="12"/>
      <c r="AA366" s="12"/>
      <c r="AB366" s="12"/>
      <c r="AC366" s="12"/>
      <c r="AD366" s="12"/>
      <c r="AE366" s="12"/>
      <c r="AF366" s="12"/>
      <c r="AG366" s="13"/>
      <c r="AH366" s="13"/>
      <c r="AI366" s="13"/>
      <c r="AJ366" s="13"/>
      <c r="AK366" s="13"/>
      <c r="AL366" s="13"/>
      <c r="AM366" s="13"/>
    </row>
    <row r="367" spans="1:39">
      <c r="A367" s="8"/>
      <c r="B367" s="8"/>
      <c r="C367" s="8"/>
      <c r="D367" s="8"/>
      <c r="E367" s="8"/>
      <c r="F367" s="8"/>
      <c r="G367" s="8"/>
      <c r="H367" s="8"/>
      <c r="I367" s="8"/>
      <c r="J367" s="8"/>
      <c r="K367" s="8"/>
      <c r="L367" s="8"/>
      <c r="M367" s="8"/>
      <c r="N367" s="8"/>
      <c r="O367" s="8"/>
      <c r="P367" s="8"/>
      <c r="Q367" s="8"/>
      <c r="R367" s="8"/>
      <c r="S367" s="8"/>
      <c r="T367" s="8"/>
      <c r="U367" s="12"/>
      <c r="V367" s="12"/>
      <c r="W367" s="12"/>
      <c r="X367" s="12"/>
      <c r="Y367" s="12"/>
      <c r="Z367" s="12"/>
      <c r="AA367" s="12"/>
      <c r="AB367" s="12"/>
      <c r="AC367" s="12"/>
      <c r="AD367" s="12"/>
      <c r="AE367" s="12"/>
      <c r="AF367" s="12"/>
      <c r="AG367" s="13"/>
      <c r="AH367" s="13"/>
      <c r="AI367" s="13"/>
      <c r="AJ367" s="13"/>
      <c r="AK367" s="13"/>
      <c r="AL367" s="13"/>
      <c r="AM367" s="13"/>
    </row>
    <row r="368" spans="1:39">
      <c r="A368" s="8"/>
      <c r="B368" s="8"/>
      <c r="C368" s="8"/>
      <c r="D368" s="8"/>
      <c r="E368" s="8"/>
      <c r="F368" s="8"/>
      <c r="G368" s="8"/>
      <c r="H368" s="8"/>
      <c r="I368" s="8"/>
      <c r="J368" s="8"/>
      <c r="K368" s="8"/>
      <c r="L368" s="8"/>
      <c r="M368" s="8"/>
      <c r="N368" s="8"/>
      <c r="O368" s="8"/>
      <c r="P368" s="8"/>
      <c r="Q368" s="8"/>
      <c r="R368" s="8"/>
      <c r="S368" s="8"/>
      <c r="T368" s="8"/>
      <c r="U368" s="12"/>
      <c r="V368" s="12"/>
      <c r="W368" s="12"/>
      <c r="X368" s="12"/>
      <c r="Y368" s="12"/>
      <c r="Z368" s="12"/>
      <c r="AA368" s="12"/>
      <c r="AB368" s="12"/>
      <c r="AC368" s="12"/>
      <c r="AD368" s="12"/>
      <c r="AE368" s="12"/>
      <c r="AF368" s="12"/>
      <c r="AG368" s="13"/>
      <c r="AH368" s="13"/>
      <c r="AI368" s="13"/>
      <c r="AJ368" s="13"/>
      <c r="AK368" s="13"/>
      <c r="AL368" s="13"/>
      <c r="AM368" s="13"/>
    </row>
    <row r="369" spans="1:39">
      <c r="A369" s="8"/>
      <c r="B369" s="8"/>
      <c r="C369" s="8"/>
      <c r="D369" s="8"/>
      <c r="E369" s="8"/>
      <c r="F369" s="8"/>
      <c r="G369" s="8"/>
      <c r="H369" s="8"/>
      <c r="I369" s="8"/>
      <c r="J369" s="8"/>
      <c r="K369" s="8"/>
      <c r="L369" s="8"/>
      <c r="M369" s="8"/>
      <c r="N369" s="8"/>
      <c r="O369" s="8"/>
      <c r="P369" s="8"/>
      <c r="Q369" s="8"/>
      <c r="R369" s="8"/>
      <c r="S369" s="8"/>
      <c r="T369" s="8"/>
      <c r="U369" s="12"/>
      <c r="V369" s="12"/>
      <c r="W369" s="12"/>
      <c r="X369" s="12"/>
      <c r="Y369" s="12"/>
      <c r="Z369" s="12"/>
      <c r="AA369" s="12"/>
      <c r="AB369" s="12"/>
      <c r="AC369" s="12"/>
      <c r="AD369" s="12"/>
      <c r="AE369" s="12"/>
      <c r="AF369" s="12"/>
      <c r="AG369" s="13"/>
      <c r="AH369" s="13"/>
      <c r="AI369" s="13"/>
      <c r="AJ369" s="13"/>
      <c r="AK369" s="13"/>
      <c r="AL369" s="13"/>
      <c r="AM369" s="13"/>
    </row>
    <row r="370" spans="1:39">
      <c r="A370" s="8"/>
      <c r="B370" s="8"/>
      <c r="C370" s="8"/>
      <c r="D370" s="8"/>
      <c r="E370" s="8"/>
      <c r="F370" s="8"/>
      <c r="G370" s="8"/>
      <c r="H370" s="8"/>
      <c r="I370" s="8"/>
      <c r="J370" s="8"/>
      <c r="K370" s="8"/>
      <c r="L370" s="8"/>
      <c r="M370" s="8"/>
      <c r="N370" s="8"/>
      <c r="O370" s="8"/>
      <c r="P370" s="8"/>
      <c r="Q370" s="8"/>
      <c r="R370" s="8"/>
      <c r="S370" s="8"/>
      <c r="T370" s="8"/>
      <c r="U370" s="12"/>
      <c r="V370" s="12"/>
      <c r="W370" s="12"/>
      <c r="X370" s="12"/>
      <c r="Y370" s="12"/>
      <c r="Z370" s="12"/>
      <c r="AA370" s="12"/>
      <c r="AB370" s="12"/>
      <c r="AC370" s="12"/>
      <c r="AD370" s="12"/>
      <c r="AE370" s="12"/>
      <c r="AF370" s="12"/>
      <c r="AG370" s="13"/>
      <c r="AH370" s="13"/>
      <c r="AI370" s="13"/>
      <c r="AJ370" s="13"/>
      <c r="AK370" s="13"/>
      <c r="AL370" s="13"/>
      <c r="AM370" s="13"/>
    </row>
    <row r="371" spans="1:39">
      <c r="A371" s="8"/>
      <c r="B371" s="8"/>
      <c r="C371" s="8"/>
      <c r="D371" s="8"/>
      <c r="E371" s="8"/>
      <c r="F371" s="8"/>
      <c r="G371" s="8"/>
      <c r="H371" s="8"/>
      <c r="I371" s="8"/>
      <c r="J371" s="8"/>
      <c r="K371" s="8"/>
      <c r="L371" s="8"/>
      <c r="M371" s="8"/>
      <c r="N371" s="8"/>
      <c r="O371" s="8"/>
      <c r="P371" s="8"/>
      <c r="Q371" s="8"/>
      <c r="R371" s="8"/>
      <c r="S371" s="8"/>
      <c r="T371" s="8"/>
      <c r="U371" s="12"/>
      <c r="V371" s="12"/>
      <c r="W371" s="12"/>
      <c r="X371" s="12"/>
      <c r="Y371" s="12"/>
      <c r="Z371" s="12"/>
      <c r="AA371" s="12"/>
      <c r="AB371" s="12"/>
      <c r="AC371" s="12"/>
      <c r="AD371" s="12"/>
      <c r="AE371" s="12"/>
      <c r="AF371" s="12"/>
      <c r="AG371" s="13"/>
      <c r="AH371" s="13"/>
      <c r="AI371" s="13"/>
      <c r="AJ371" s="13"/>
      <c r="AK371" s="13"/>
      <c r="AL371" s="13"/>
      <c r="AM371" s="13"/>
    </row>
    <row r="372" spans="1:39">
      <c r="A372" s="8"/>
      <c r="B372" s="8"/>
      <c r="C372" s="8"/>
      <c r="D372" s="8"/>
      <c r="E372" s="8"/>
      <c r="F372" s="8"/>
      <c r="G372" s="8"/>
      <c r="H372" s="8"/>
      <c r="I372" s="8"/>
      <c r="J372" s="8"/>
      <c r="K372" s="8"/>
      <c r="L372" s="8"/>
      <c r="M372" s="8"/>
      <c r="N372" s="8"/>
      <c r="O372" s="8"/>
      <c r="P372" s="8"/>
      <c r="Q372" s="8"/>
      <c r="R372" s="8"/>
      <c r="S372" s="8"/>
      <c r="T372" s="8"/>
      <c r="U372" s="12"/>
      <c r="V372" s="12"/>
      <c r="W372" s="12"/>
      <c r="X372" s="12"/>
      <c r="Y372" s="12"/>
      <c r="Z372" s="12"/>
      <c r="AA372" s="12"/>
      <c r="AB372" s="12"/>
      <c r="AC372" s="12"/>
      <c r="AD372" s="12"/>
      <c r="AE372" s="12"/>
      <c r="AF372" s="12"/>
      <c r="AG372" s="13"/>
      <c r="AH372" s="13"/>
      <c r="AI372" s="13"/>
      <c r="AJ372" s="13"/>
      <c r="AK372" s="13"/>
      <c r="AL372" s="13"/>
      <c r="AM372" s="13"/>
    </row>
    <row r="373" spans="1:39">
      <c r="A373" s="8"/>
      <c r="B373" s="8"/>
      <c r="C373" s="8"/>
      <c r="D373" s="8"/>
      <c r="E373" s="8"/>
      <c r="F373" s="8"/>
      <c r="G373" s="8"/>
      <c r="H373" s="8"/>
      <c r="I373" s="8"/>
      <c r="J373" s="8"/>
      <c r="K373" s="8"/>
      <c r="L373" s="8"/>
      <c r="M373" s="8"/>
      <c r="N373" s="8"/>
      <c r="O373" s="8"/>
      <c r="P373" s="8"/>
      <c r="Q373" s="8"/>
      <c r="R373" s="8"/>
      <c r="S373" s="8"/>
      <c r="T373" s="8"/>
      <c r="U373" s="12"/>
      <c r="V373" s="12"/>
      <c r="W373" s="12"/>
      <c r="X373" s="12"/>
      <c r="Y373" s="12"/>
      <c r="Z373" s="12"/>
      <c r="AA373" s="12"/>
      <c r="AB373" s="12"/>
      <c r="AC373" s="12"/>
      <c r="AD373" s="12"/>
      <c r="AE373" s="12"/>
      <c r="AF373" s="12"/>
      <c r="AG373" s="13"/>
      <c r="AH373" s="13"/>
      <c r="AI373" s="13"/>
      <c r="AJ373" s="13"/>
      <c r="AK373" s="13"/>
      <c r="AL373" s="13"/>
      <c r="AM373" s="13"/>
    </row>
    <row r="374" spans="1:39">
      <c r="A374" s="8"/>
      <c r="B374" s="8"/>
      <c r="C374" s="8"/>
      <c r="D374" s="8"/>
      <c r="E374" s="8"/>
      <c r="F374" s="8"/>
      <c r="G374" s="8"/>
      <c r="H374" s="8"/>
      <c r="I374" s="8"/>
      <c r="J374" s="8"/>
      <c r="K374" s="8"/>
      <c r="L374" s="8"/>
      <c r="M374" s="8"/>
      <c r="N374" s="8"/>
      <c r="O374" s="8"/>
      <c r="P374" s="8"/>
      <c r="Q374" s="8"/>
      <c r="R374" s="8"/>
      <c r="S374" s="8"/>
      <c r="T374" s="8"/>
      <c r="U374" s="12"/>
      <c r="V374" s="12"/>
      <c r="W374" s="12"/>
      <c r="X374" s="12"/>
      <c r="Y374" s="12"/>
      <c r="Z374" s="12"/>
      <c r="AA374" s="12"/>
      <c r="AB374" s="12"/>
      <c r="AC374" s="12"/>
      <c r="AD374" s="12"/>
      <c r="AE374" s="12"/>
      <c r="AF374" s="12"/>
      <c r="AG374" s="13"/>
      <c r="AH374" s="13"/>
      <c r="AI374" s="13"/>
      <c r="AJ374" s="13"/>
      <c r="AK374" s="13"/>
      <c r="AL374" s="13"/>
      <c r="AM374" s="13"/>
    </row>
    <row r="375" spans="1:39">
      <c r="A375" s="8"/>
      <c r="B375" s="8"/>
      <c r="C375" s="8"/>
      <c r="D375" s="8"/>
      <c r="E375" s="8"/>
      <c r="F375" s="8"/>
      <c r="G375" s="8"/>
      <c r="H375" s="8"/>
      <c r="I375" s="8"/>
      <c r="J375" s="8"/>
      <c r="K375" s="8"/>
      <c r="L375" s="8"/>
      <c r="M375" s="8"/>
      <c r="N375" s="8"/>
      <c r="O375" s="8"/>
      <c r="P375" s="8"/>
      <c r="Q375" s="8"/>
      <c r="R375" s="8"/>
      <c r="S375" s="8"/>
      <c r="T375" s="8"/>
      <c r="U375" s="12"/>
      <c r="V375" s="12"/>
      <c r="W375" s="12"/>
      <c r="X375" s="12"/>
      <c r="Y375" s="12"/>
      <c r="Z375" s="12"/>
      <c r="AA375" s="12"/>
      <c r="AB375" s="12"/>
      <c r="AC375" s="12"/>
      <c r="AD375" s="12"/>
      <c r="AE375" s="12"/>
      <c r="AF375" s="12"/>
      <c r="AG375" s="13"/>
      <c r="AH375" s="13"/>
      <c r="AI375" s="13"/>
      <c r="AJ375" s="13"/>
      <c r="AK375" s="13"/>
      <c r="AL375" s="13"/>
      <c r="AM375" s="13"/>
    </row>
    <row r="376" spans="1:39">
      <c r="A376" s="8"/>
      <c r="B376" s="8"/>
      <c r="C376" s="8"/>
      <c r="D376" s="8"/>
      <c r="E376" s="8"/>
      <c r="F376" s="8"/>
      <c r="G376" s="8"/>
      <c r="H376" s="8"/>
      <c r="I376" s="8"/>
      <c r="J376" s="8"/>
      <c r="K376" s="8"/>
      <c r="L376" s="8"/>
      <c r="M376" s="8"/>
      <c r="N376" s="8"/>
      <c r="O376" s="8"/>
      <c r="P376" s="8"/>
      <c r="Q376" s="8"/>
      <c r="R376" s="8"/>
      <c r="S376" s="8"/>
      <c r="T376" s="8"/>
      <c r="U376" s="12"/>
      <c r="V376" s="12"/>
      <c r="W376" s="12"/>
      <c r="X376" s="12"/>
      <c r="Y376" s="12"/>
      <c r="Z376" s="12"/>
      <c r="AA376" s="12"/>
      <c r="AB376" s="12"/>
      <c r="AC376" s="12"/>
      <c r="AD376" s="12"/>
      <c r="AE376" s="12"/>
      <c r="AF376" s="12"/>
      <c r="AG376" s="13"/>
      <c r="AH376" s="13"/>
      <c r="AI376" s="13"/>
      <c r="AJ376" s="13"/>
      <c r="AK376" s="13"/>
      <c r="AL376" s="13"/>
      <c r="AM376" s="13"/>
    </row>
    <row r="377" spans="1:39">
      <c r="A377" s="8"/>
      <c r="B377" s="8"/>
      <c r="C377" s="8"/>
      <c r="D377" s="8"/>
      <c r="E377" s="8"/>
      <c r="F377" s="8"/>
      <c r="G377" s="8"/>
      <c r="H377" s="8"/>
      <c r="I377" s="8"/>
      <c r="J377" s="8"/>
      <c r="K377" s="8"/>
      <c r="L377" s="8"/>
      <c r="M377" s="8"/>
      <c r="N377" s="8"/>
      <c r="O377" s="8"/>
      <c r="P377" s="8"/>
      <c r="Q377" s="8"/>
      <c r="R377" s="8"/>
      <c r="S377" s="8"/>
      <c r="T377" s="8"/>
      <c r="U377" s="12"/>
      <c r="V377" s="12"/>
      <c r="W377" s="12"/>
      <c r="X377" s="12"/>
      <c r="Y377" s="12"/>
      <c r="Z377" s="12"/>
      <c r="AA377" s="12"/>
      <c r="AB377" s="12"/>
      <c r="AC377" s="12"/>
      <c r="AD377" s="12"/>
      <c r="AE377" s="12"/>
      <c r="AF377" s="12"/>
      <c r="AG377" s="13"/>
      <c r="AH377" s="13"/>
      <c r="AI377" s="13"/>
      <c r="AJ377" s="13"/>
      <c r="AK377" s="13"/>
      <c r="AL377" s="13"/>
      <c r="AM377" s="13"/>
    </row>
    <row r="378" spans="1:39">
      <c r="A378" s="8"/>
      <c r="B378" s="8"/>
      <c r="C378" s="8"/>
      <c r="D378" s="8"/>
      <c r="E378" s="8"/>
      <c r="F378" s="8"/>
      <c r="G378" s="8"/>
      <c r="H378" s="8"/>
      <c r="I378" s="8"/>
      <c r="J378" s="8"/>
      <c r="K378" s="8"/>
      <c r="L378" s="8"/>
      <c r="M378" s="8"/>
      <c r="N378" s="8"/>
      <c r="O378" s="8"/>
      <c r="P378" s="8"/>
      <c r="Q378" s="8"/>
      <c r="R378" s="8"/>
      <c r="S378" s="8"/>
      <c r="T378" s="8"/>
      <c r="U378" s="12"/>
      <c r="V378" s="12"/>
      <c r="W378" s="12"/>
      <c r="X378" s="12"/>
      <c r="Y378" s="12"/>
      <c r="Z378" s="12"/>
      <c r="AA378" s="12"/>
      <c r="AB378" s="12"/>
      <c r="AC378" s="12"/>
      <c r="AD378" s="12"/>
      <c r="AE378" s="12"/>
      <c r="AF378" s="12"/>
      <c r="AG378" s="13"/>
      <c r="AH378" s="13"/>
      <c r="AI378" s="13"/>
      <c r="AJ378" s="13"/>
      <c r="AK378" s="13"/>
      <c r="AL378" s="13"/>
      <c r="AM378" s="13"/>
    </row>
    <row r="379" spans="1:39">
      <c r="A379" s="8"/>
      <c r="B379" s="8"/>
      <c r="C379" s="8"/>
      <c r="D379" s="8"/>
      <c r="E379" s="8"/>
      <c r="F379" s="8"/>
      <c r="G379" s="8"/>
      <c r="H379" s="8"/>
      <c r="I379" s="8"/>
      <c r="J379" s="8"/>
      <c r="K379" s="8"/>
      <c r="L379" s="8"/>
      <c r="M379" s="8"/>
      <c r="N379" s="8"/>
      <c r="O379" s="8"/>
      <c r="P379" s="8"/>
      <c r="Q379" s="8"/>
      <c r="R379" s="8"/>
      <c r="S379" s="8"/>
      <c r="T379" s="8"/>
      <c r="U379" s="12"/>
      <c r="V379" s="12"/>
      <c r="W379" s="12"/>
      <c r="X379" s="12"/>
      <c r="Y379" s="12"/>
      <c r="Z379" s="12"/>
      <c r="AA379" s="12"/>
      <c r="AB379" s="12"/>
      <c r="AC379" s="12"/>
      <c r="AD379" s="12"/>
      <c r="AE379" s="12"/>
      <c r="AF379" s="12"/>
      <c r="AG379" s="13"/>
      <c r="AH379" s="13"/>
      <c r="AI379" s="13"/>
      <c r="AJ379" s="13"/>
      <c r="AK379" s="13"/>
      <c r="AL379" s="13"/>
      <c r="AM379" s="13"/>
    </row>
    <row r="380" spans="1:39">
      <c r="A380" s="8"/>
      <c r="B380" s="8"/>
      <c r="C380" s="8"/>
      <c r="D380" s="8"/>
      <c r="E380" s="8"/>
      <c r="F380" s="8"/>
      <c r="G380" s="8"/>
      <c r="H380" s="8"/>
      <c r="I380" s="8"/>
      <c r="J380" s="8"/>
      <c r="K380" s="8"/>
      <c r="L380" s="8"/>
      <c r="M380" s="8"/>
      <c r="N380" s="8"/>
      <c r="O380" s="8"/>
      <c r="P380" s="8"/>
      <c r="Q380" s="8"/>
      <c r="R380" s="8"/>
      <c r="S380" s="8"/>
      <c r="T380" s="8"/>
      <c r="U380" s="12"/>
      <c r="V380" s="12"/>
      <c r="W380" s="12"/>
      <c r="X380" s="12"/>
      <c r="Y380" s="12"/>
      <c r="Z380" s="12"/>
      <c r="AA380" s="12"/>
      <c r="AB380" s="12"/>
      <c r="AC380" s="12"/>
      <c r="AD380" s="12"/>
      <c r="AE380" s="12"/>
      <c r="AF380" s="12"/>
      <c r="AG380" s="13"/>
      <c r="AH380" s="13"/>
      <c r="AI380" s="13"/>
      <c r="AJ380" s="13"/>
      <c r="AK380" s="13"/>
      <c r="AL380" s="13"/>
      <c r="AM380" s="13"/>
    </row>
    <row r="381" spans="1:39">
      <c r="A381" s="8"/>
      <c r="B381" s="8"/>
      <c r="C381" s="8"/>
      <c r="D381" s="8"/>
      <c r="E381" s="8"/>
      <c r="F381" s="8"/>
      <c r="G381" s="8"/>
      <c r="H381" s="8"/>
      <c r="I381" s="8"/>
      <c r="J381" s="8"/>
      <c r="K381" s="8"/>
      <c r="L381" s="8"/>
      <c r="M381" s="8"/>
      <c r="N381" s="8"/>
      <c r="O381" s="8"/>
      <c r="P381" s="8"/>
      <c r="Q381" s="8"/>
      <c r="R381" s="8"/>
      <c r="S381" s="8"/>
      <c r="T381" s="8"/>
      <c r="U381" s="12"/>
      <c r="V381" s="12"/>
      <c r="W381" s="12"/>
      <c r="X381" s="12"/>
      <c r="Y381" s="12"/>
      <c r="Z381" s="12"/>
      <c r="AA381" s="12"/>
      <c r="AB381" s="12"/>
      <c r="AC381" s="12"/>
      <c r="AD381" s="12"/>
      <c r="AE381" s="12"/>
      <c r="AF381" s="12"/>
      <c r="AG381" s="13"/>
      <c r="AH381" s="13"/>
      <c r="AI381" s="13"/>
      <c r="AJ381" s="13"/>
      <c r="AK381" s="13"/>
      <c r="AL381" s="13"/>
      <c r="AM381" s="13"/>
    </row>
    <row r="382" spans="1:39">
      <c r="A382" s="8"/>
      <c r="B382" s="8"/>
      <c r="C382" s="8"/>
      <c r="D382" s="8"/>
      <c r="E382" s="8"/>
      <c r="F382" s="8"/>
      <c r="G382" s="8"/>
      <c r="H382" s="8"/>
      <c r="I382" s="8"/>
      <c r="J382" s="8"/>
      <c r="K382" s="8"/>
      <c r="L382" s="8"/>
      <c r="M382" s="8"/>
      <c r="N382" s="8"/>
      <c r="O382" s="8"/>
      <c r="P382" s="8"/>
      <c r="Q382" s="8"/>
      <c r="R382" s="8"/>
      <c r="S382" s="8"/>
      <c r="T382" s="8"/>
      <c r="U382" s="12"/>
      <c r="V382" s="12"/>
      <c r="W382" s="12"/>
      <c r="X382" s="12"/>
      <c r="Y382" s="12"/>
      <c r="Z382" s="12"/>
      <c r="AA382" s="12"/>
      <c r="AB382" s="12"/>
      <c r="AC382" s="12"/>
      <c r="AD382" s="12"/>
      <c r="AE382" s="12"/>
      <c r="AF382" s="12"/>
      <c r="AG382" s="13"/>
      <c r="AH382" s="13"/>
      <c r="AI382" s="13"/>
      <c r="AJ382" s="13"/>
      <c r="AK382" s="13"/>
      <c r="AL382" s="13"/>
      <c r="AM382" s="13"/>
    </row>
    <row r="383" spans="1:39">
      <c r="A383" s="8"/>
      <c r="B383" s="8"/>
      <c r="C383" s="8"/>
      <c r="D383" s="8"/>
      <c r="E383" s="8"/>
      <c r="F383" s="8"/>
      <c r="G383" s="8"/>
      <c r="H383" s="8"/>
      <c r="I383" s="8"/>
      <c r="J383" s="8"/>
      <c r="K383" s="8"/>
      <c r="L383" s="8"/>
      <c r="M383" s="8"/>
      <c r="N383" s="8"/>
      <c r="O383" s="8"/>
      <c r="P383" s="8"/>
      <c r="Q383" s="8"/>
      <c r="R383" s="8"/>
      <c r="S383" s="8"/>
      <c r="T383" s="8"/>
      <c r="U383" s="12"/>
      <c r="V383" s="12"/>
      <c r="W383" s="12"/>
      <c r="X383" s="12"/>
      <c r="Y383" s="12"/>
      <c r="Z383" s="12"/>
      <c r="AA383" s="12"/>
      <c r="AB383" s="12"/>
      <c r="AC383" s="12"/>
      <c r="AD383" s="12"/>
      <c r="AE383" s="12"/>
      <c r="AF383" s="12"/>
      <c r="AG383" s="13"/>
      <c r="AH383" s="13"/>
      <c r="AI383" s="13"/>
      <c r="AJ383" s="13"/>
      <c r="AK383" s="13"/>
      <c r="AL383" s="13"/>
      <c r="AM383" s="13"/>
    </row>
    <row r="384" spans="1:39">
      <c r="A384" s="8"/>
      <c r="B384" s="8"/>
      <c r="C384" s="8"/>
      <c r="D384" s="8"/>
      <c r="E384" s="8"/>
      <c r="F384" s="8"/>
      <c r="G384" s="8"/>
      <c r="H384" s="8"/>
      <c r="I384" s="8"/>
      <c r="J384" s="8"/>
      <c r="K384" s="8"/>
      <c r="L384" s="8"/>
      <c r="M384" s="8"/>
      <c r="N384" s="8"/>
      <c r="O384" s="8"/>
      <c r="P384" s="8"/>
      <c r="Q384" s="8"/>
      <c r="R384" s="8"/>
      <c r="S384" s="8"/>
      <c r="T384" s="8"/>
      <c r="U384" s="12"/>
      <c r="V384" s="12"/>
      <c r="W384" s="12"/>
      <c r="X384" s="12"/>
      <c r="Y384" s="12"/>
      <c r="Z384" s="12"/>
      <c r="AA384" s="12"/>
      <c r="AB384" s="12"/>
      <c r="AC384" s="12"/>
      <c r="AD384" s="12"/>
      <c r="AE384" s="12"/>
      <c r="AF384" s="12"/>
      <c r="AG384" s="13"/>
      <c r="AH384" s="13"/>
      <c r="AI384" s="13"/>
      <c r="AJ384" s="13"/>
      <c r="AK384" s="13"/>
      <c r="AL384" s="13"/>
      <c r="AM384" s="13"/>
    </row>
    <row r="385" spans="1:39">
      <c r="A385" s="8"/>
      <c r="B385" s="8"/>
      <c r="C385" s="8"/>
      <c r="D385" s="8"/>
      <c r="E385" s="8"/>
      <c r="F385" s="8"/>
      <c r="G385" s="8"/>
      <c r="H385" s="8"/>
      <c r="I385" s="8"/>
      <c r="J385" s="8"/>
      <c r="K385" s="8"/>
      <c r="L385" s="8"/>
      <c r="M385" s="8"/>
      <c r="N385" s="8"/>
      <c r="O385" s="8"/>
      <c r="P385" s="8"/>
      <c r="Q385" s="8"/>
      <c r="R385" s="8"/>
      <c r="S385" s="8"/>
      <c r="T385" s="8"/>
      <c r="U385" s="12"/>
      <c r="V385" s="12"/>
      <c r="W385" s="12"/>
      <c r="X385" s="12"/>
      <c r="Y385" s="12"/>
      <c r="Z385" s="12"/>
      <c r="AA385" s="12"/>
      <c r="AB385" s="12"/>
      <c r="AC385" s="12"/>
      <c r="AD385" s="12"/>
      <c r="AE385" s="12"/>
      <c r="AF385" s="12"/>
      <c r="AG385" s="13"/>
      <c r="AH385" s="13"/>
      <c r="AI385" s="13"/>
      <c r="AJ385" s="13"/>
      <c r="AK385" s="13"/>
      <c r="AL385" s="13"/>
      <c r="AM385" s="13"/>
    </row>
    <row r="386" spans="1:39">
      <c r="A386" s="8"/>
      <c r="B386" s="8"/>
      <c r="C386" s="8"/>
      <c r="D386" s="8"/>
      <c r="E386" s="8"/>
      <c r="F386" s="8"/>
      <c r="G386" s="8"/>
      <c r="H386" s="8"/>
      <c r="I386" s="8"/>
      <c r="J386" s="8"/>
      <c r="K386" s="8"/>
      <c r="L386" s="8"/>
      <c r="M386" s="8"/>
      <c r="N386" s="8"/>
      <c r="O386" s="8"/>
      <c r="P386" s="8"/>
      <c r="Q386" s="8"/>
      <c r="R386" s="8"/>
      <c r="S386" s="8"/>
      <c r="T386" s="8"/>
      <c r="U386" s="12"/>
      <c r="V386" s="12"/>
      <c r="W386" s="12"/>
      <c r="X386" s="12"/>
      <c r="Y386" s="12"/>
      <c r="Z386" s="12"/>
      <c r="AA386" s="12"/>
      <c r="AB386" s="12"/>
      <c r="AC386" s="12"/>
      <c r="AD386" s="12"/>
      <c r="AE386" s="12"/>
      <c r="AF386" s="12"/>
      <c r="AG386" s="13"/>
      <c r="AH386" s="13"/>
      <c r="AI386" s="13"/>
      <c r="AJ386" s="13"/>
      <c r="AK386" s="13"/>
      <c r="AL386" s="13"/>
      <c r="AM386" s="13"/>
    </row>
    <row r="387" spans="1:39">
      <c r="A387" s="8"/>
      <c r="B387" s="8"/>
      <c r="C387" s="8"/>
      <c r="D387" s="8"/>
      <c r="E387" s="8"/>
      <c r="F387" s="8"/>
      <c r="G387" s="8"/>
      <c r="H387" s="8"/>
      <c r="I387" s="8"/>
      <c r="J387" s="8"/>
      <c r="K387" s="8"/>
      <c r="L387" s="8"/>
      <c r="M387" s="8"/>
      <c r="N387" s="8"/>
      <c r="O387" s="8"/>
      <c r="P387" s="8"/>
      <c r="Q387" s="8"/>
      <c r="R387" s="8"/>
      <c r="S387" s="8"/>
      <c r="T387" s="8"/>
      <c r="U387" s="12"/>
      <c r="V387" s="12"/>
      <c r="W387" s="12"/>
      <c r="X387" s="12"/>
      <c r="Y387" s="12"/>
      <c r="Z387" s="12"/>
      <c r="AA387" s="12"/>
      <c r="AB387" s="12"/>
      <c r="AC387" s="12"/>
      <c r="AD387" s="12"/>
      <c r="AE387" s="12"/>
      <c r="AF387" s="12"/>
      <c r="AG387" s="13"/>
      <c r="AH387" s="13"/>
      <c r="AI387" s="13"/>
      <c r="AJ387" s="13"/>
      <c r="AK387" s="13"/>
      <c r="AL387" s="13"/>
      <c r="AM387" s="13"/>
    </row>
    <row r="388" spans="1:39">
      <c r="A388" s="8"/>
      <c r="B388" s="8"/>
      <c r="C388" s="8"/>
      <c r="D388" s="8"/>
      <c r="E388" s="8"/>
      <c r="F388" s="8"/>
      <c r="G388" s="8"/>
      <c r="H388" s="8"/>
      <c r="I388" s="8"/>
      <c r="J388" s="8"/>
      <c r="K388" s="8"/>
      <c r="L388" s="8"/>
      <c r="M388" s="8"/>
      <c r="N388" s="8"/>
      <c r="O388" s="8"/>
      <c r="P388" s="8"/>
      <c r="Q388" s="8"/>
      <c r="R388" s="8"/>
      <c r="S388" s="8"/>
      <c r="T388" s="8"/>
      <c r="U388" s="12"/>
      <c r="V388" s="12"/>
      <c r="W388" s="12"/>
      <c r="X388" s="12"/>
      <c r="Y388" s="12"/>
      <c r="Z388" s="12"/>
      <c r="AA388" s="12"/>
      <c r="AB388" s="12"/>
      <c r="AC388" s="12"/>
      <c r="AD388" s="12"/>
      <c r="AE388" s="12"/>
      <c r="AF388" s="12"/>
      <c r="AG388" s="13"/>
      <c r="AH388" s="13"/>
      <c r="AI388" s="13"/>
      <c r="AJ388" s="13"/>
      <c r="AK388" s="13"/>
      <c r="AL388" s="13"/>
      <c r="AM388" s="13"/>
    </row>
    <row r="389" spans="1:39">
      <c r="A389" s="8"/>
      <c r="B389" s="8"/>
      <c r="C389" s="8"/>
      <c r="D389" s="8"/>
      <c r="E389" s="8"/>
      <c r="F389" s="8"/>
      <c r="G389" s="8"/>
      <c r="H389" s="8"/>
      <c r="I389" s="8"/>
      <c r="J389" s="8"/>
      <c r="K389" s="8"/>
      <c r="L389" s="8"/>
      <c r="M389" s="8"/>
      <c r="N389" s="8"/>
      <c r="O389" s="8"/>
      <c r="P389" s="8"/>
      <c r="Q389" s="8"/>
      <c r="R389" s="8"/>
      <c r="S389" s="8"/>
      <c r="T389" s="8"/>
      <c r="U389" s="12"/>
      <c r="V389" s="12"/>
      <c r="W389" s="12"/>
      <c r="X389" s="12"/>
      <c r="Y389" s="12"/>
      <c r="Z389" s="12"/>
      <c r="AA389" s="12"/>
      <c r="AB389" s="12"/>
      <c r="AC389" s="12"/>
      <c r="AD389" s="12"/>
      <c r="AE389" s="12"/>
      <c r="AF389" s="12"/>
      <c r="AG389" s="13"/>
      <c r="AH389" s="13"/>
      <c r="AI389" s="13"/>
      <c r="AJ389" s="13"/>
      <c r="AK389" s="13"/>
      <c r="AL389" s="13"/>
      <c r="AM389" s="13"/>
    </row>
    <row r="390" spans="1:39">
      <c r="A390" s="8"/>
      <c r="B390" s="8"/>
      <c r="C390" s="8"/>
      <c r="D390" s="8"/>
      <c r="E390" s="8"/>
      <c r="F390" s="8"/>
      <c r="G390" s="8"/>
      <c r="H390" s="8"/>
      <c r="I390" s="8"/>
      <c r="J390" s="8"/>
      <c r="K390" s="8"/>
      <c r="L390" s="8"/>
      <c r="M390" s="8"/>
      <c r="N390" s="8"/>
      <c r="O390" s="8"/>
      <c r="P390" s="8"/>
      <c r="Q390" s="8"/>
      <c r="R390" s="8"/>
      <c r="S390" s="8"/>
      <c r="T390" s="8"/>
      <c r="U390" s="12"/>
      <c r="V390" s="12"/>
      <c r="W390" s="12"/>
      <c r="X390" s="12"/>
      <c r="Y390" s="12"/>
      <c r="Z390" s="12"/>
      <c r="AA390" s="12"/>
      <c r="AB390" s="12"/>
      <c r="AC390" s="12"/>
      <c r="AD390" s="12"/>
      <c r="AE390" s="12"/>
      <c r="AF390" s="12"/>
      <c r="AG390" s="13"/>
      <c r="AH390" s="13"/>
      <c r="AI390" s="13"/>
      <c r="AJ390" s="13"/>
      <c r="AK390" s="13"/>
      <c r="AL390" s="13"/>
      <c r="AM390" s="13"/>
    </row>
    <row r="391" spans="1:39">
      <c r="A391" s="8"/>
      <c r="B391" s="8"/>
      <c r="C391" s="8"/>
      <c r="D391" s="8"/>
      <c r="E391" s="8"/>
      <c r="F391" s="8"/>
      <c r="G391" s="8"/>
      <c r="H391" s="8"/>
      <c r="I391" s="8"/>
      <c r="J391" s="8"/>
      <c r="K391" s="8"/>
      <c r="L391" s="8"/>
      <c r="M391" s="8"/>
      <c r="N391" s="8"/>
      <c r="O391" s="8"/>
      <c r="P391" s="8"/>
      <c r="Q391" s="8"/>
      <c r="R391" s="8"/>
      <c r="S391" s="8"/>
      <c r="T391" s="8"/>
      <c r="U391" s="12"/>
      <c r="V391" s="12"/>
      <c r="W391" s="12"/>
      <c r="X391" s="12"/>
      <c r="Y391" s="12"/>
      <c r="Z391" s="12"/>
      <c r="AA391" s="12"/>
      <c r="AB391" s="12"/>
      <c r="AC391" s="12"/>
      <c r="AD391" s="12"/>
      <c r="AE391" s="12"/>
      <c r="AF391" s="12"/>
      <c r="AG391" s="13"/>
      <c r="AH391" s="13"/>
      <c r="AI391" s="13"/>
      <c r="AJ391" s="13"/>
      <c r="AK391" s="13"/>
      <c r="AL391" s="13"/>
      <c r="AM391" s="13"/>
    </row>
    <row r="392" spans="1:39">
      <c r="A392" s="8"/>
      <c r="B392" s="8"/>
      <c r="C392" s="8"/>
      <c r="D392" s="8"/>
      <c r="E392" s="8"/>
      <c r="F392" s="8"/>
      <c r="G392" s="8"/>
      <c r="H392" s="8"/>
      <c r="I392" s="8"/>
      <c r="J392" s="8"/>
      <c r="K392" s="8"/>
      <c r="L392" s="8"/>
      <c r="M392" s="8"/>
      <c r="N392" s="8"/>
      <c r="O392" s="8"/>
      <c r="P392" s="8"/>
      <c r="Q392" s="8"/>
      <c r="R392" s="8"/>
      <c r="S392" s="8"/>
      <c r="T392" s="8"/>
      <c r="U392" s="12"/>
      <c r="V392" s="12"/>
      <c r="W392" s="12"/>
      <c r="X392" s="12"/>
      <c r="Y392" s="12"/>
      <c r="Z392" s="12"/>
      <c r="AA392" s="12"/>
      <c r="AB392" s="12"/>
      <c r="AC392" s="12"/>
      <c r="AD392" s="12"/>
      <c r="AE392" s="12"/>
      <c r="AF392" s="12"/>
      <c r="AG392" s="13"/>
      <c r="AH392" s="13"/>
      <c r="AI392" s="13"/>
      <c r="AJ392" s="13"/>
      <c r="AK392" s="13"/>
      <c r="AL392" s="13"/>
      <c r="AM392" s="13"/>
    </row>
    <row r="393" spans="1:39">
      <c r="A393" s="8"/>
      <c r="B393" s="8"/>
      <c r="C393" s="8"/>
      <c r="D393" s="8"/>
      <c r="E393" s="8"/>
      <c r="F393" s="8"/>
      <c r="G393" s="8"/>
      <c r="H393" s="8"/>
      <c r="I393" s="8"/>
      <c r="J393" s="8"/>
      <c r="K393" s="8"/>
      <c r="L393" s="8"/>
      <c r="M393" s="8"/>
      <c r="N393" s="8"/>
      <c r="O393" s="8"/>
      <c r="P393" s="8"/>
      <c r="Q393" s="8"/>
      <c r="R393" s="8"/>
      <c r="S393" s="8"/>
      <c r="T393" s="8"/>
      <c r="U393" s="12"/>
      <c r="V393" s="12"/>
      <c r="W393" s="12"/>
      <c r="X393" s="12"/>
      <c r="Y393" s="12"/>
      <c r="Z393" s="12"/>
      <c r="AA393" s="12"/>
      <c r="AB393" s="12"/>
      <c r="AC393" s="12"/>
      <c r="AD393" s="12"/>
      <c r="AE393" s="12"/>
      <c r="AF393" s="12"/>
      <c r="AG393" s="13"/>
      <c r="AH393" s="13"/>
      <c r="AI393" s="13"/>
      <c r="AJ393" s="13"/>
      <c r="AK393" s="13"/>
      <c r="AL393" s="13"/>
      <c r="AM393" s="13"/>
    </row>
    <row r="394" spans="1:39">
      <c r="A394" s="8"/>
      <c r="B394" s="8"/>
      <c r="C394" s="8"/>
      <c r="D394" s="8"/>
      <c r="E394" s="8"/>
      <c r="F394" s="8"/>
      <c r="G394" s="8"/>
      <c r="H394" s="8"/>
      <c r="I394" s="8"/>
      <c r="J394" s="8"/>
      <c r="K394" s="8"/>
      <c r="L394" s="8"/>
      <c r="M394" s="8"/>
      <c r="N394" s="8"/>
      <c r="O394" s="8"/>
      <c r="P394" s="8"/>
      <c r="Q394" s="8"/>
      <c r="R394" s="8"/>
      <c r="S394" s="8"/>
      <c r="T394" s="8"/>
      <c r="U394" s="12"/>
      <c r="V394" s="12"/>
      <c r="W394" s="12"/>
      <c r="X394" s="12"/>
      <c r="Y394" s="12"/>
      <c r="Z394" s="12"/>
      <c r="AA394" s="12"/>
      <c r="AB394" s="12"/>
      <c r="AC394" s="12"/>
      <c r="AD394" s="12"/>
      <c r="AE394" s="12"/>
      <c r="AF394" s="12"/>
      <c r="AG394" s="13"/>
      <c r="AH394" s="13"/>
      <c r="AI394" s="13"/>
      <c r="AJ394" s="13"/>
      <c r="AK394" s="13"/>
      <c r="AL394" s="13"/>
      <c r="AM394" s="13"/>
    </row>
    <row r="395" spans="1:39">
      <c r="A395" s="8"/>
      <c r="B395" s="8"/>
      <c r="C395" s="8"/>
      <c r="D395" s="8"/>
      <c r="E395" s="8"/>
      <c r="F395" s="8"/>
      <c r="G395" s="8"/>
      <c r="H395" s="8"/>
      <c r="I395" s="8"/>
      <c r="J395" s="8"/>
      <c r="K395" s="8"/>
      <c r="L395" s="8"/>
      <c r="M395" s="8"/>
      <c r="N395" s="8"/>
      <c r="O395" s="8"/>
      <c r="P395" s="8"/>
      <c r="Q395" s="8"/>
      <c r="R395" s="8"/>
      <c r="S395" s="8"/>
      <c r="T395" s="8"/>
      <c r="U395" s="12"/>
      <c r="V395" s="12"/>
      <c r="W395" s="12"/>
      <c r="X395" s="12"/>
      <c r="Y395" s="12"/>
      <c r="Z395" s="12"/>
      <c r="AA395" s="12"/>
      <c r="AB395" s="12"/>
      <c r="AC395" s="12"/>
      <c r="AD395" s="12"/>
      <c r="AE395" s="12"/>
      <c r="AF395" s="12"/>
      <c r="AG395" s="13"/>
      <c r="AH395" s="13"/>
      <c r="AI395" s="13"/>
      <c r="AJ395" s="13"/>
      <c r="AK395" s="13"/>
      <c r="AL395" s="13"/>
      <c r="AM395" s="13"/>
    </row>
    <row r="396" spans="1:39">
      <c r="A396" s="8"/>
      <c r="B396" s="8"/>
      <c r="C396" s="8"/>
      <c r="D396" s="8"/>
      <c r="E396" s="8"/>
      <c r="F396" s="8"/>
      <c r="G396" s="8"/>
      <c r="H396" s="8"/>
      <c r="I396" s="8"/>
      <c r="J396" s="8"/>
      <c r="K396" s="8"/>
      <c r="L396" s="8"/>
      <c r="M396" s="8"/>
      <c r="N396" s="8"/>
      <c r="O396" s="8"/>
      <c r="P396" s="8"/>
      <c r="Q396" s="8"/>
      <c r="R396" s="8"/>
      <c r="S396" s="8"/>
      <c r="T396" s="8"/>
      <c r="U396" s="12"/>
      <c r="V396" s="12"/>
      <c r="W396" s="12"/>
      <c r="X396" s="12"/>
      <c r="Y396" s="12"/>
      <c r="Z396" s="12"/>
      <c r="AA396" s="12"/>
      <c r="AB396" s="12"/>
      <c r="AC396" s="12"/>
      <c r="AD396" s="12"/>
      <c r="AE396" s="12"/>
      <c r="AF396" s="12"/>
      <c r="AG396" s="13"/>
      <c r="AH396" s="13"/>
      <c r="AI396" s="13"/>
      <c r="AJ396" s="13"/>
      <c r="AK396" s="13"/>
      <c r="AL396" s="13"/>
      <c r="AM396" s="13"/>
    </row>
    <row r="397" spans="1:39">
      <c r="A397" s="8"/>
      <c r="B397" s="8"/>
      <c r="C397" s="8"/>
      <c r="D397" s="8"/>
      <c r="E397" s="8"/>
      <c r="F397" s="8"/>
      <c r="G397" s="8"/>
      <c r="H397" s="8"/>
      <c r="I397" s="8"/>
      <c r="J397" s="8"/>
      <c r="K397" s="8"/>
      <c r="L397" s="8"/>
      <c r="M397" s="8"/>
      <c r="N397" s="8"/>
      <c r="O397" s="8"/>
      <c r="P397" s="8"/>
      <c r="Q397" s="8"/>
      <c r="R397" s="8"/>
      <c r="S397" s="8"/>
      <c r="T397" s="8"/>
      <c r="U397" s="12"/>
      <c r="V397" s="12"/>
      <c r="W397" s="12"/>
      <c r="X397" s="12"/>
      <c r="Y397" s="12"/>
      <c r="Z397" s="12"/>
      <c r="AA397" s="12"/>
      <c r="AB397" s="12"/>
      <c r="AC397" s="12"/>
      <c r="AD397" s="12"/>
      <c r="AE397" s="12"/>
      <c r="AF397" s="12"/>
      <c r="AG397" s="13"/>
      <c r="AH397" s="13"/>
      <c r="AI397" s="13"/>
      <c r="AJ397" s="13"/>
      <c r="AK397" s="13"/>
      <c r="AL397" s="13"/>
      <c r="AM397" s="13"/>
    </row>
    <row r="398" spans="1:39">
      <c r="A398" s="8"/>
      <c r="B398" s="8"/>
      <c r="C398" s="8"/>
      <c r="D398" s="8"/>
      <c r="E398" s="8"/>
      <c r="F398" s="8"/>
      <c r="G398" s="8"/>
      <c r="H398" s="8"/>
      <c r="I398" s="8"/>
      <c r="J398" s="8"/>
      <c r="K398" s="8"/>
      <c r="L398" s="8"/>
      <c r="M398" s="8"/>
      <c r="N398" s="8"/>
      <c r="O398" s="8"/>
      <c r="P398" s="8"/>
      <c r="Q398" s="8"/>
      <c r="R398" s="8"/>
      <c r="S398" s="8"/>
      <c r="T398" s="8"/>
      <c r="U398" s="12"/>
      <c r="V398" s="12"/>
      <c r="W398" s="12"/>
      <c r="X398" s="12"/>
      <c r="Y398" s="12"/>
      <c r="Z398" s="12"/>
      <c r="AA398" s="12"/>
      <c r="AB398" s="12"/>
      <c r="AC398" s="12"/>
      <c r="AD398" s="12"/>
      <c r="AE398" s="12"/>
      <c r="AF398" s="12"/>
      <c r="AG398" s="13"/>
      <c r="AH398" s="13"/>
      <c r="AI398" s="13"/>
      <c r="AJ398" s="13"/>
      <c r="AK398" s="13"/>
      <c r="AL398" s="13"/>
      <c r="AM398" s="13"/>
    </row>
    <row r="399" spans="1:39">
      <c r="A399" s="8"/>
      <c r="B399" s="8"/>
      <c r="C399" s="8"/>
      <c r="D399" s="8"/>
      <c r="E399" s="8"/>
      <c r="F399" s="8"/>
      <c r="G399" s="8"/>
      <c r="H399" s="8"/>
      <c r="I399" s="8"/>
      <c r="J399" s="8"/>
      <c r="K399" s="8"/>
      <c r="L399" s="8"/>
      <c r="M399" s="8"/>
      <c r="N399" s="8"/>
      <c r="O399" s="8"/>
      <c r="P399" s="8"/>
      <c r="Q399" s="8"/>
      <c r="R399" s="8"/>
      <c r="S399" s="8"/>
      <c r="T399" s="8"/>
      <c r="U399" s="12"/>
      <c r="V399" s="12"/>
      <c r="W399" s="12"/>
      <c r="X399" s="12"/>
      <c r="Y399" s="12"/>
      <c r="Z399" s="12"/>
      <c r="AA399" s="12"/>
      <c r="AB399" s="12"/>
      <c r="AC399" s="12"/>
      <c r="AD399" s="12"/>
      <c r="AE399" s="12"/>
      <c r="AF399" s="12"/>
      <c r="AG399" s="13"/>
      <c r="AH399" s="13"/>
      <c r="AI399" s="13"/>
      <c r="AJ399" s="13"/>
      <c r="AK399" s="13"/>
      <c r="AL399" s="13"/>
      <c r="AM399" s="13"/>
    </row>
    <row r="400" spans="1:39">
      <c r="A400" s="8"/>
      <c r="B400" s="8"/>
      <c r="C400" s="8"/>
      <c r="D400" s="8"/>
      <c r="E400" s="8"/>
      <c r="F400" s="8"/>
      <c r="G400" s="8"/>
      <c r="H400" s="8"/>
      <c r="I400" s="8"/>
      <c r="J400" s="8"/>
      <c r="K400" s="8"/>
      <c r="L400" s="8"/>
      <c r="M400" s="8"/>
      <c r="N400" s="8"/>
      <c r="O400" s="8"/>
      <c r="P400" s="8"/>
      <c r="Q400" s="8"/>
      <c r="R400" s="8"/>
      <c r="S400" s="8"/>
      <c r="T400" s="8"/>
      <c r="U400" s="12"/>
      <c r="V400" s="12"/>
      <c r="W400" s="12"/>
      <c r="X400" s="12"/>
      <c r="Y400" s="12"/>
      <c r="Z400" s="12"/>
      <c r="AA400" s="12"/>
      <c r="AB400" s="12"/>
      <c r="AC400" s="12"/>
      <c r="AD400" s="12"/>
      <c r="AE400" s="12"/>
      <c r="AF400" s="12"/>
      <c r="AG400" s="13"/>
      <c r="AH400" s="13"/>
      <c r="AI400" s="13"/>
      <c r="AJ400" s="13"/>
      <c r="AK400" s="13"/>
      <c r="AL400" s="13"/>
      <c r="AM400" s="13"/>
    </row>
    <row r="401" spans="1:39">
      <c r="A401" s="8"/>
      <c r="B401" s="8"/>
      <c r="C401" s="8"/>
      <c r="D401" s="8"/>
      <c r="E401" s="8"/>
      <c r="F401" s="8"/>
      <c r="G401" s="8"/>
      <c r="H401" s="8"/>
      <c r="I401" s="8"/>
      <c r="J401" s="8"/>
      <c r="K401" s="8"/>
      <c r="L401" s="8"/>
      <c r="M401" s="8"/>
      <c r="N401" s="8"/>
      <c r="O401" s="8"/>
      <c r="P401" s="8"/>
      <c r="Q401" s="8"/>
      <c r="R401" s="8"/>
      <c r="S401" s="8"/>
      <c r="T401" s="8"/>
      <c r="U401" s="12"/>
      <c r="V401" s="12"/>
      <c r="W401" s="12"/>
      <c r="X401" s="12"/>
      <c r="Y401" s="12"/>
      <c r="Z401" s="12"/>
      <c r="AA401" s="12"/>
      <c r="AB401" s="12"/>
      <c r="AC401" s="12"/>
      <c r="AD401" s="12"/>
      <c r="AE401" s="12"/>
      <c r="AF401" s="12"/>
      <c r="AG401" s="13"/>
      <c r="AH401" s="13"/>
      <c r="AI401" s="13"/>
      <c r="AJ401" s="13"/>
      <c r="AK401" s="13"/>
      <c r="AL401" s="13"/>
      <c r="AM401" s="13"/>
    </row>
    <row r="402" spans="1:39">
      <c r="A402" s="8"/>
      <c r="B402" s="8"/>
      <c r="C402" s="8"/>
      <c r="D402" s="8"/>
      <c r="E402" s="8"/>
      <c r="F402" s="8"/>
      <c r="G402" s="8"/>
      <c r="H402" s="8"/>
      <c r="I402" s="8"/>
      <c r="J402" s="8"/>
      <c r="K402" s="8"/>
      <c r="L402" s="8"/>
      <c r="M402" s="8"/>
      <c r="N402" s="8"/>
      <c r="O402" s="8"/>
      <c r="P402" s="8"/>
      <c r="Q402" s="8"/>
      <c r="R402" s="8"/>
      <c r="S402" s="8"/>
      <c r="T402" s="8"/>
      <c r="U402" s="12"/>
      <c r="V402" s="12"/>
      <c r="W402" s="12"/>
      <c r="X402" s="12"/>
      <c r="Y402" s="12"/>
      <c r="Z402" s="12"/>
      <c r="AA402" s="12"/>
      <c r="AB402" s="12"/>
      <c r="AC402" s="12"/>
      <c r="AD402" s="12"/>
      <c r="AE402" s="12"/>
      <c r="AF402" s="12"/>
      <c r="AG402" s="13"/>
      <c r="AH402" s="13"/>
      <c r="AI402" s="13"/>
      <c r="AJ402" s="13"/>
      <c r="AK402" s="13"/>
      <c r="AL402" s="13"/>
      <c r="AM402" s="13"/>
    </row>
    <row r="403" spans="1:39">
      <c r="A403" s="8"/>
      <c r="B403" s="8"/>
      <c r="C403" s="8"/>
      <c r="D403" s="8"/>
      <c r="E403" s="8"/>
      <c r="F403" s="8"/>
      <c r="G403" s="8"/>
      <c r="H403" s="8"/>
      <c r="I403" s="8"/>
      <c r="J403" s="8"/>
      <c r="K403" s="8"/>
      <c r="L403" s="8"/>
      <c r="M403" s="8"/>
      <c r="N403" s="8"/>
      <c r="O403" s="8"/>
      <c r="P403" s="8"/>
      <c r="Q403" s="8"/>
      <c r="R403" s="8"/>
      <c r="S403" s="8"/>
      <c r="T403" s="8"/>
      <c r="U403" s="12"/>
      <c r="V403" s="12"/>
      <c r="W403" s="12"/>
      <c r="X403" s="12"/>
      <c r="Y403" s="12"/>
      <c r="Z403" s="12"/>
      <c r="AA403" s="12"/>
      <c r="AB403" s="12"/>
      <c r="AC403" s="12"/>
      <c r="AD403" s="12"/>
      <c r="AE403" s="12"/>
      <c r="AF403" s="12"/>
      <c r="AG403" s="13"/>
      <c r="AH403" s="13"/>
      <c r="AI403" s="13"/>
      <c r="AJ403" s="13"/>
      <c r="AK403" s="13"/>
      <c r="AL403" s="13"/>
      <c r="AM403" s="13"/>
    </row>
    <row r="404" spans="1:39">
      <c r="A404" s="8"/>
      <c r="B404" s="8"/>
      <c r="C404" s="8"/>
      <c r="D404" s="8"/>
      <c r="E404" s="8"/>
      <c r="F404" s="8"/>
      <c r="G404" s="8"/>
      <c r="H404" s="8"/>
      <c r="I404" s="8"/>
      <c r="J404" s="8"/>
      <c r="K404" s="8"/>
      <c r="L404" s="8"/>
      <c r="M404" s="8"/>
      <c r="N404" s="8"/>
      <c r="O404" s="8"/>
      <c r="P404" s="8"/>
      <c r="Q404" s="8"/>
      <c r="R404" s="8"/>
      <c r="S404" s="8"/>
      <c r="T404" s="8"/>
      <c r="U404" s="12"/>
      <c r="V404" s="12"/>
      <c r="W404" s="12"/>
      <c r="X404" s="12"/>
      <c r="Y404" s="12"/>
      <c r="Z404" s="12"/>
      <c r="AA404" s="12"/>
      <c r="AB404" s="12"/>
      <c r="AC404" s="12"/>
      <c r="AD404" s="12"/>
      <c r="AE404" s="12"/>
      <c r="AF404" s="12"/>
      <c r="AG404" s="13"/>
      <c r="AH404" s="13"/>
      <c r="AI404" s="13"/>
      <c r="AJ404" s="13"/>
      <c r="AK404" s="13"/>
      <c r="AL404" s="13"/>
      <c r="AM404" s="13"/>
    </row>
    <row r="405" spans="1:39">
      <c r="A405" s="8"/>
      <c r="B405" s="8"/>
      <c r="C405" s="8"/>
      <c r="D405" s="8"/>
      <c r="E405" s="8"/>
      <c r="F405" s="8"/>
      <c r="G405" s="8"/>
      <c r="H405" s="8"/>
      <c r="I405" s="8"/>
      <c r="J405" s="8"/>
      <c r="K405" s="8"/>
      <c r="L405" s="8"/>
      <c r="M405" s="8"/>
      <c r="N405" s="8"/>
      <c r="O405" s="8"/>
      <c r="P405" s="8"/>
      <c r="Q405" s="8"/>
      <c r="R405" s="8"/>
      <c r="S405" s="8"/>
      <c r="T405" s="8"/>
      <c r="U405" s="12"/>
      <c r="V405" s="12"/>
      <c r="W405" s="12"/>
      <c r="X405" s="12"/>
      <c r="Y405" s="12"/>
      <c r="Z405" s="12"/>
      <c r="AA405" s="12"/>
      <c r="AB405" s="12"/>
      <c r="AC405" s="12"/>
      <c r="AD405" s="12"/>
      <c r="AE405" s="12"/>
      <c r="AF405" s="12"/>
      <c r="AG405" s="13"/>
      <c r="AH405" s="13"/>
      <c r="AI405" s="13"/>
      <c r="AJ405" s="13"/>
      <c r="AK405" s="13"/>
      <c r="AL405" s="13"/>
      <c r="AM405" s="13"/>
    </row>
    <row r="406" spans="1:39">
      <c r="A406" s="8"/>
      <c r="B406" s="8"/>
      <c r="C406" s="8"/>
      <c r="D406" s="8"/>
      <c r="E406" s="8"/>
      <c r="F406" s="8"/>
      <c r="G406" s="8"/>
      <c r="H406" s="8"/>
      <c r="I406" s="8"/>
      <c r="J406" s="8"/>
      <c r="K406" s="8"/>
      <c r="L406" s="8"/>
      <c r="M406" s="8"/>
      <c r="N406" s="8"/>
      <c r="O406" s="8"/>
      <c r="P406" s="8"/>
      <c r="Q406" s="8"/>
      <c r="R406" s="8"/>
      <c r="S406" s="8"/>
      <c r="T406" s="8"/>
      <c r="U406" s="12"/>
      <c r="V406" s="12"/>
      <c r="W406" s="12"/>
      <c r="X406" s="12"/>
      <c r="Y406" s="12"/>
      <c r="Z406" s="12"/>
      <c r="AA406" s="12"/>
      <c r="AB406" s="12"/>
      <c r="AC406" s="12"/>
      <c r="AD406" s="12"/>
      <c r="AE406" s="12"/>
      <c r="AF406" s="12"/>
      <c r="AG406" s="13"/>
      <c r="AH406" s="13"/>
      <c r="AI406" s="13"/>
      <c r="AJ406" s="13"/>
      <c r="AK406" s="13"/>
      <c r="AL406" s="13"/>
      <c r="AM406" s="13"/>
    </row>
    <row r="407" spans="1:39">
      <c r="A407" s="8"/>
      <c r="B407" s="8"/>
      <c r="C407" s="8"/>
      <c r="D407" s="8"/>
      <c r="E407" s="8"/>
      <c r="F407" s="8"/>
      <c r="G407" s="8"/>
      <c r="H407" s="8"/>
      <c r="I407" s="8"/>
      <c r="J407" s="8"/>
      <c r="K407" s="8"/>
      <c r="L407" s="8"/>
      <c r="M407" s="8"/>
      <c r="N407" s="8"/>
      <c r="O407" s="8"/>
      <c r="P407" s="8"/>
      <c r="Q407" s="8"/>
      <c r="R407" s="8"/>
      <c r="S407" s="8"/>
      <c r="T407" s="8"/>
      <c r="U407" s="12"/>
      <c r="V407" s="12"/>
      <c r="W407" s="12"/>
      <c r="X407" s="12"/>
      <c r="Y407" s="12"/>
      <c r="Z407" s="12"/>
      <c r="AA407" s="12"/>
      <c r="AB407" s="12"/>
      <c r="AC407" s="12"/>
      <c r="AD407" s="12"/>
      <c r="AE407" s="12"/>
      <c r="AF407" s="12"/>
      <c r="AG407" s="13"/>
      <c r="AH407" s="13"/>
      <c r="AI407" s="13"/>
      <c r="AJ407" s="13"/>
      <c r="AK407" s="13"/>
      <c r="AL407" s="13"/>
      <c r="AM407" s="13"/>
    </row>
    <row r="408" spans="1:39">
      <c r="A408" s="8"/>
      <c r="B408" s="8"/>
      <c r="C408" s="8"/>
      <c r="D408" s="8"/>
      <c r="E408" s="8"/>
      <c r="F408" s="8"/>
      <c r="G408" s="8"/>
      <c r="H408" s="8"/>
      <c r="I408" s="8"/>
      <c r="J408" s="8"/>
      <c r="K408" s="8"/>
      <c r="L408" s="8"/>
      <c r="M408" s="8"/>
      <c r="N408" s="8"/>
      <c r="O408" s="8"/>
      <c r="P408" s="8"/>
      <c r="Q408" s="8"/>
      <c r="R408" s="8"/>
      <c r="S408" s="8"/>
      <c r="T408" s="8"/>
      <c r="U408" s="12"/>
      <c r="V408" s="12"/>
      <c r="W408" s="12"/>
      <c r="X408" s="12"/>
      <c r="Y408" s="12"/>
      <c r="Z408" s="12"/>
      <c r="AA408" s="12"/>
      <c r="AB408" s="12"/>
      <c r="AC408" s="12"/>
      <c r="AD408" s="12"/>
      <c r="AE408" s="12"/>
      <c r="AF408" s="12"/>
      <c r="AG408" s="13"/>
      <c r="AH408" s="13"/>
      <c r="AI408" s="13"/>
      <c r="AJ408" s="13"/>
      <c r="AK408" s="13"/>
      <c r="AL408" s="13"/>
      <c r="AM408" s="13"/>
    </row>
    <row r="409" spans="1:39">
      <c r="A409" s="8"/>
      <c r="B409" s="8"/>
      <c r="C409" s="8"/>
      <c r="D409" s="8"/>
      <c r="E409" s="8"/>
      <c r="F409" s="8"/>
      <c r="G409" s="8"/>
      <c r="H409" s="8"/>
      <c r="I409" s="8"/>
      <c r="J409" s="8"/>
      <c r="K409" s="8"/>
      <c r="L409" s="8"/>
      <c r="M409" s="8"/>
      <c r="N409" s="8"/>
      <c r="O409" s="8"/>
      <c r="P409" s="8"/>
      <c r="Q409" s="8"/>
      <c r="R409" s="8"/>
      <c r="S409" s="8"/>
      <c r="T409" s="8"/>
      <c r="U409" s="12"/>
      <c r="V409" s="12"/>
      <c r="W409" s="12"/>
      <c r="X409" s="12"/>
      <c r="Y409" s="12"/>
      <c r="Z409" s="12"/>
      <c r="AA409" s="12"/>
      <c r="AB409" s="12"/>
      <c r="AC409" s="12"/>
      <c r="AD409" s="12"/>
      <c r="AE409" s="12"/>
      <c r="AF409" s="12"/>
      <c r="AG409" s="13"/>
      <c r="AH409" s="13"/>
      <c r="AI409" s="13"/>
      <c r="AJ409" s="13"/>
      <c r="AK409" s="13"/>
      <c r="AL409" s="13"/>
      <c r="AM409" s="13"/>
    </row>
    <row r="410" spans="1:39">
      <c r="A410" s="8"/>
      <c r="B410" s="8"/>
      <c r="C410" s="8"/>
      <c r="D410" s="8"/>
      <c r="E410" s="8"/>
      <c r="F410" s="8"/>
      <c r="G410" s="8"/>
      <c r="H410" s="8"/>
      <c r="I410" s="8"/>
      <c r="J410" s="8"/>
      <c r="K410" s="8"/>
      <c r="L410" s="8"/>
      <c r="M410" s="8"/>
      <c r="N410" s="8"/>
      <c r="O410" s="8"/>
      <c r="P410" s="8"/>
      <c r="Q410" s="8"/>
      <c r="R410" s="8"/>
      <c r="S410" s="8"/>
      <c r="T410" s="8"/>
      <c r="U410" s="12"/>
      <c r="V410" s="12"/>
      <c r="W410" s="12"/>
      <c r="X410" s="12"/>
      <c r="Y410" s="12"/>
      <c r="Z410" s="12"/>
      <c r="AA410" s="12"/>
      <c r="AB410" s="12"/>
      <c r="AC410" s="12"/>
      <c r="AD410" s="12"/>
      <c r="AE410" s="12"/>
      <c r="AF410" s="12"/>
      <c r="AG410" s="13"/>
      <c r="AH410" s="13"/>
      <c r="AI410" s="13"/>
      <c r="AJ410" s="13"/>
      <c r="AK410" s="13"/>
      <c r="AL410" s="13"/>
      <c r="AM410" s="13"/>
    </row>
    <row r="411" spans="1:39">
      <c r="A411" s="8"/>
      <c r="B411" s="8"/>
      <c r="C411" s="8"/>
      <c r="D411" s="8"/>
      <c r="E411" s="8"/>
      <c r="F411" s="8"/>
      <c r="G411" s="8"/>
      <c r="H411" s="8"/>
      <c r="I411" s="8"/>
      <c r="J411" s="8"/>
      <c r="K411" s="8"/>
      <c r="L411" s="8"/>
      <c r="M411" s="8"/>
      <c r="N411" s="8"/>
      <c r="O411" s="8"/>
      <c r="P411" s="8"/>
      <c r="Q411" s="8"/>
      <c r="R411" s="8"/>
      <c r="S411" s="8"/>
      <c r="T411" s="8"/>
      <c r="U411" s="12"/>
      <c r="V411" s="12"/>
      <c r="W411" s="12"/>
      <c r="X411" s="12"/>
      <c r="Y411" s="12"/>
      <c r="Z411" s="12"/>
      <c r="AA411" s="12"/>
      <c r="AB411" s="12"/>
      <c r="AC411" s="12"/>
      <c r="AD411" s="12"/>
      <c r="AE411" s="12"/>
      <c r="AF411" s="12"/>
      <c r="AG411" s="13"/>
      <c r="AH411" s="13"/>
      <c r="AI411" s="13"/>
      <c r="AJ411" s="13"/>
      <c r="AK411" s="13"/>
      <c r="AL411" s="13"/>
      <c r="AM411" s="13"/>
    </row>
    <row r="412" spans="1:39">
      <c r="A412" s="8"/>
      <c r="B412" s="8"/>
      <c r="C412" s="8"/>
      <c r="D412" s="8"/>
      <c r="E412" s="8"/>
      <c r="F412" s="8"/>
      <c r="G412" s="8"/>
      <c r="H412" s="8"/>
      <c r="I412" s="8"/>
      <c r="J412" s="8"/>
      <c r="K412" s="8"/>
      <c r="L412" s="8"/>
      <c r="M412" s="8"/>
      <c r="N412" s="8"/>
      <c r="O412" s="8"/>
      <c r="P412" s="8"/>
      <c r="Q412" s="8"/>
      <c r="R412" s="8"/>
      <c r="S412" s="8"/>
      <c r="T412" s="8"/>
      <c r="U412" s="12"/>
      <c r="V412" s="12"/>
      <c r="W412" s="12"/>
      <c r="X412" s="12"/>
      <c r="Y412" s="12"/>
      <c r="Z412" s="12"/>
      <c r="AA412" s="12"/>
      <c r="AB412" s="12"/>
      <c r="AC412" s="12"/>
      <c r="AD412" s="12"/>
      <c r="AE412" s="12"/>
      <c r="AF412" s="12"/>
      <c r="AG412" s="13"/>
      <c r="AH412" s="13"/>
      <c r="AI412" s="13"/>
      <c r="AJ412" s="13"/>
      <c r="AK412" s="13"/>
      <c r="AL412" s="13"/>
      <c r="AM412" s="13"/>
    </row>
    <row r="413" spans="1:39">
      <c r="A413" s="8"/>
      <c r="B413" s="8"/>
      <c r="C413" s="8"/>
      <c r="D413" s="8"/>
      <c r="E413" s="8"/>
      <c r="F413" s="8"/>
      <c r="G413" s="8"/>
      <c r="H413" s="8"/>
      <c r="I413" s="8"/>
      <c r="J413" s="8"/>
      <c r="K413" s="8"/>
      <c r="L413" s="8"/>
      <c r="M413" s="8"/>
      <c r="N413" s="8"/>
      <c r="O413" s="8"/>
      <c r="P413" s="8"/>
      <c r="Q413" s="8"/>
      <c r="R413" s="8"/>
      <c r="S413" s="8"/>
      <c r="T413" s="8"/>
      <c r="U413" s="12"/>
      <c r="V413" s="12"/>
      <c r="W413" s="12"/>
      <c r="X413" s="12"/>
      <c r="Y413" s="12"/>
      <c r="Z413" s="12"/>
      <c r="AA413" s="12"/>
      <c r="AB413" s="12"/>
      <c r="AC413" s="12"/>
      <c r="AD413" s="12"/>
      <c r="AE413" s="12"/>
      <c r="AF413" s="12"/>
      <c r="AG413" s="13"/>
      <c r="AH413" s="13"/>
      <c r="AI413" s="13"/>
      <c r="AJ413" s="13"/>
      <c r="AK413" s="13"/>
      <c r="AL413" s="13"/>
      <c r="AM413" s="13"/>
    </row>
    <row r="414" spans="1:39">
      <c r="A414" s="8"/>
      <c r="B414" s="8"/>
      <c r="C414" s="8"/>
      <c r="D414" s="8"/>
      <c r="E414" s="8"/>
      <c r="F414" s="8"/>
      <c r="G414" s="8"/>
      <c r="H414" s="8"/>
      <c r="I414" s="8"/>
      <c r="J414" s="8"/>
      <c r="K414" s="8"/>
      <c r="L414" s="8"/>
      <c r="M414" s="8"/>
      <c r="N414" s="8"/>
      <c r="O414" s="8"/>
      <c r="P414" s="8"/>
      <c r="Q414" s="8"/>
      <c r="R414" s="8"/>
      <c r="S414" s="8"/>
      <c r="T414" s="8"/>
      <c r="U414" s="12"/>
      <c r="V414" s="12"/>
      <c r="W414" s="12"/>
      <c r="X414" s="12"/>
      <c r="Y414" s="12"/>
      <c r="Z414" s="12"/>
      <c r="AA414" s="12"/>
      <c r="AB414" s="12"/>
      <c r="AC414" s="12"/>
      <c r="AD414" s="12"/>
      <c r="AE414" s="12"/>
      <c r="AF414" s="12"/>
      <c r="AG414" s="13"/>
      <c r="AH414" s="13"/>
      <c r="AI414" s="13"/>
      <c r="AJ414" s="13"/>
      <c r="AK414" s="13"/>
      <c r="AL414" s="13"/>
      <c r="AM414" s="13"/>
    </row>
    <row r="415" spans="1:39">
      <c r="A415" s="8"/>
      <c r="B415" s="8"/>
      <c r="C415" s="8"/>
      <c r="D415" s="8"/>
      <c r="E415" s="8"/>
      <c r="F415" s="8"/>
      <c r="G415" s="8"/>
      <c r="H415" s="8"/>
      <c r="I415" s="8"/>
      <c r="J415" s="8"/>
      <c r="K415" s="8"/>
      <c r="L415" s="8"/>
      <c r="M415" s="8"/>
      <c r="N415" s="8"/>
      <c r="O415" s="8"/>
      <c r="P415" s="8"/>
      <c r="Q415" s="8"/>
      <c r="R415" s="8"/>
      <c r="S415" s="8"/>
      <c r="T415" s="8"/>
      <c r="U415" s="12"/>
      <c r="V415" s="12"/>
      <c r="W415" s="12"/>
      <c r="X415" s="12"/>
      <c r="Y415" s="12"/>
      <c r="Z415" s="12"/>
      <c r="AA415" s="12"/>
      <c r="AB415" s="12"/>
      <c r="AC415" s="12"/>
      <c r="AD415" s="12"/>
      <c r="AE415" s="12"/>
      <c r="AF415" s="12"/>
      <c r="AG415" s="13"/>
      <c r="AH415" s="13"/>
      <c r="AI415" s="13"/>
      <c r="AJ415" s="13"/>
      <c r="AK415" s="13"/>
      <c r="AL415" s="13"/>
      <c r="AM415" s="13"/>
    </row>
    <row r="416" spans="1:39">
      <c r="A416" s="8"/>
      <c r="B416" s="8"/>
      <c r="C416" s="8"/>
      <c r="D416" s="8"/>
      <c r="E416" s="8"/>
      <c r="F416" s="8"/>
      <c r="G416" s="8"/>
      <c r="H416" s="8"/>
      <c r="I416" s="8"/>
      <c r="J416" s="8"/>
      <c r="K416" s="8"/>
      <c r="L416" s="8"/>
      <c r="M416" s="8"/>
      <c r="N416" s="8"/>
      <c r="O416" s="8"/>
      <c r="P416" s="8"/>
      <c r="Q416" s="8"/>
      <c r="R416" s="8"/>
      <c r="S416" s="8"/>
      <c r="T416" s="8"/>
      <c r="U416" s="12"/>
      <c r="V416" s="12"/>
      <c r="W416" s="12"/>
      <c r="X416" s="12"/>
      <c r="Y416" s="12"/>
      <c r="Z416" s="12"/>
      <c r="AA416" s="12"/>
      <c r="AB416" s="12"/>
      <c r="AC416" s="12"/>
      <c r="AD416" s="12"/>
      <c r="AE416" s="12"/>
      <c r="AF416" s="12"/>
      <c r="AG416" s="13"/>
      <c r="AH416" s="13"/>
      <c r="AI416" s="13"/>
      <c r="AJ416" s="13"/>
      <c r="AK416" s="13"/>
      <c r="AL416" s="13"/>
      <c r="AM416" s="13"/>
    </row>
    <row r="417" spans="1:39">
      <c r="A417" s="8"/>
      <c r="B417" s="8"/>
      <c r="C417" s="8"/>
      <c r="D417" s="8"/>
      <c r="E417" s="8"/>
      <c r="F417" s="8"/>
      <c r="G417" s="8"/>
      <c r="H417" s="8"/>
      <c r="I417" s="8"/>
      <c r="J417" s="8"/>
      <c r="K417" s="8"/>
      <c r="L417" s="8"/>
      <c r="M417" s="8"/>
      <c r="N417" s="8"/>
      <c r="O417" s="8"/>
      <c r="P417" s="8"/>
      <c r="Q417" s="8"/>
      <c r="R417" s="8"/>
      <c r="S417" s="8"/>
      <c r="T417" s="8"/>
      <c r="U417" s="12"/>
      <c r="V417" s="12"/>
      <c r="W417" s="12"/>
      <c r="X417" s="12"/>
      <c r="Y417" s="12"/>
      <c r="Z417" s="12"/>
      <c r="AA417" s="12"/>
      <c r="AB417" s="12"/>
      <c r="AC417" s="12"/>
      <c r="AD417" s="12"/>
      <c r="AE417" s="12"/>
      <c r="AF417" s="12"/>
      <c r="AG417" s="13"/>
      <c r="AH417" s="13"/>
      <c r="AI417" s="13"/>
      <c r="AJ417" s="13"/>
      <c r="AK417" s="13"/>
      <c r="AL417" s="13"/>
      <c r="AM417" s="13"/>
    </row>
    <row r="418" spans="1:39">
      <c r="A418" s="8"/>
      <c r="B418" s="8"/>
      <c r="C418" s="8"/>
      <c r="D418" s="8"/>
      <c r="E418" s="8"/>
      <c r="F418" s="8"/>
      <c r="G418" s="8"/>
      <c r="H418" s="8"/>
      <c r="I418" s="8"/>
      <c r="J418" s="8"/>
      <c r="K418" s="8"/>
      <c r="L418" s="8"/>
      <c r="M418" s="8"/>
      <c r="N418" s="8"/>
      <c r="O418" s="8"/>
      <c r="P418" s="8"/>
      <c r="Q418" s="8"/>
      <c r="R418" s="8"/>
      <c r="S418" s="8"/>
      <c r="T418" s="8"/>
      <c r="U418" s="12"/>
      <c r="V418" s="12"/>
      <c r="W418" s="12"/>
      <c r="X418" s="12"/>
      <c r="Y418" s="12"/>
      <c r="Z418" s="12"/>
      <c r="AA418" s="12"/>
      <c r="AB418" s="12"/>
      <c r="AC418" s="12"/>
      <c r="AD418" s="12"/>
      <c r="AE418" s="12"/>
      <c r="AF418" s="12"/>
      <c r="AG418" s="13"/>
      <c r="AH418" s="13"/>
      <c r="AI418" s="13"/>
      <c r="AJ418" s="13"/>
      <c r="AK418" s="13"/>
      <c r="AL418" s="13"/>
      <c r="AM418" s="13"/>
    </row>
    <row r="419" spans="1:39">
      <c r="A419" s="8"/>
      <c r="B419" s="8"/>
      <c r="C419" s="8"/>
      <c r="D419" s="8"/>
      <c r="E419" s="8"/>
      <c r="F419" s="8"/>
      <c r="G419" s="8"/>
      <c r="H419" s="8"/>
      <c r="I419" s="8"/>
      <c r="J419" s="8"/>
      <c r="K419" s="8"/>
      <c r="L419" s="8"/>
      <c r="M419" s="8"/>
      <c r="N419" s="8"/>
      <c r="O419" s="8"/>
      <c r="P419" s="8"/>
      <c r="Q419" s="8"/>
      <c r="R419" s="8"/>
      <c r="S419" s="8"/>
      <c r="T419" s="8"/>
      <c r="U419" s="12"/>
      <c r="V419" s="12"/>
      <c r="W419" s="12"/>
      <c r="X419" s="12"/>
      <c r="Y419" s="12"/>
      <c r="Z419" s="12"/>
      <c r="AA419" s="12"/>
      <c r="AB419" s="12"/>
      <c r="AC419" s="12"/>
      <c r="AD419" s="12"/>
      <c r="AE419" s="12"/>
      <c r="AF419" s="12"/>
      <c r="AG419" s="13"/>
      <c r="AH419" s="13"/>
      <c r="AI419" s="13"/>
      <c r="AJ419" s="13"/>
      <c r="AK419" s="13"/>
      <c r="AL419" s="13"/>
      <c r="AM419" s="13"/>
    </row>
    <row r="420" spans="1:39">
      <c r="A420" s="8"/>
      <c r="B420" s="8"/>
      <c r="C420" s="8"/>
      <c r="D420" s="8"/>
      <c r="E420" s="8"/>
      <c r="F420" s="8"/>
      <c r="G420" s="8"/>
      <c r="H420" s="8"/>
      <c r="I420" s="8"/>
      <c r="J420" s="8"/>
      <c r="K420" s="8"/>
      <c r="L420" s="8"/>
      <c r="M420" s="8"/>
      <c r="N420" s="8"/>
      <c r="O420" s="8"/>
      <c r="P420" s="8"/>
      <c r="Q420" s="8"/>
      <c r="R420" s="8"/>
      <c r="S420" s="8"/>
      <c r="T420" s="8"/>
      <c r="U420" s="12"/>
      <c r="V420" s="12"/>
      <c r="W420" s="12"/>
      <c r="X420" s="12"/>
      <c r="Y420" s="12"/>
      <c r="Z420" s="12"/>
      <c r="AA420" s="12"/>
      <c r="AB420" s="12"/>
      <c r="AC420" s="12"/>
      <c r="AD420" s="12"/>
      <c r="AE420" s="12"/>
      <c r="AF420" s="12"/>
      <c r="AG420" s="13"/>
      <c r="AH420" s="13"/>
      <c r="AI420" s="13"/>
      <c r="AJ420" s="13"/>
      <c r="AK420" s="13"/>
      <c r="AL420" s="13"/>
      <c r="AM420" s="13"/>
    </row>
    <row r="421" spans="1:39">
      <c r="A421" s="8"/>
      <c r="B421" s="8"/>
      <c r="C421" s="8"/>
      <c r="D421" s="8"/>
      <c r="E421" s="8"/>
      <c r="F421" s="8"/>
      <c r="G421" s="8"/>
      <c r="H421" s="8"/>
      <c r="I421" s="8"/>
      <c r="J421" s="8"/>
      <c r="K421" s="8"/>
      <c r="L421" s="8"/>
      <c r="M421" s="8"/>
      <c r="N421" s="8"/>
      <c r="O421" s="8"/>
      <c r="P421" s="8"/>
      <c r="Q421" s="8"/>
      <c r="R421" s="8"/>
      <c r="S421" s="8"/>
      <c r="T421" s="8"/>
      <c r="U421" s="12"/>
      <c r="V421" s="12"/>
      <c r="W421" s="12"/>
      <c r="X421" s="12"/>
      <c r="Y421" s="12"/>
      <c r="Z421" s="12"/>
      <c r="AA421" s="12"/>
      <c r="AB421" s="12"/>
      <c r="AC421" s="12"/>
      <c r="AD421" s="12"/>
      <c r="AE421" s="12"/>
      <c r="AF421" s="12"/>
      <c r="AG421" s="13"/>
      <c r="AH421" s="13"/>
      <c r="AI421" s="13"/>
      <c r="AJ421" s="13"/>
      <c r="AK421" s="13"/>
      <c r="AL421" s="13"/>
      <c r="AM421" s="13"/>
    </row>
    <row r="422" spans="1:39">
      <c r="A422" s="8"/>
      <c r="B422" s="8"/>
      <c r="C422" s="8"/>
      <c r="D422" s="8"/>
      <c r="E422" s="8"/>
      <c r="F422" s="8"/>
      <c r="G422" s="8"/>
      <c r="H422" s="8"/>
      <c r="I422" s="8"/>
      <c r="J422" s="8"/>
      <c r="K422" s="8"/>
      <c r="L422" s="8"/>
      <c r="M422" s="8"/>
      <c r="N422" s="8"/>
      <c r="O422" s="8"/>
      <c r="P422" s="8"/>
      <c r="Q422" s="8"/>
      <c r="R422" s="8"/>
      <c r="S422" s="8"/>
      <c r="T422" s="8"/>
      <c r="U422" s="12"/>
      <c r="V422" s="12"/>
      <c r="W422" s="12"/>
      <c r="X422" s="12"/>
      <c r="Y422" s="12"/>
      <c r="Z422" s="12"/>
      <c r="AA422" s="12"/>
      <c r="AB422" s="12"/>
      <c r="AC422" s="12"/>
      <c r="AD422" s="12"/>
      <c r="AE422" s="12"/>
      <c r="AF422" s="12"/>
      <c r="AG422" s="13"/>
      <c r="AH422" s="13"/>
      <c r="AI422" s="13"/>
      <c r="AJ422" s="13"/>
      <c r="AK422" s="13"/>
      <c r="AL422" s="13"/>
      <c r="AM422" s="13"/>
    </row>
    <row r="423" spans="1:39">
      <c r="A423" s="8"/>
      <c r="B423" s="8"/>
      <c r="C423" s="8"/>
      <c r="D423" s="8"/>
      <c r="E423" s="8"/>
      <c r="F423" s="8"/>
      <c r="G423" s="8"/>
      <c r="H423" s="8"/>
      <c r="I423" s="8"/>
      <c r="J423" s="8"/>
      <c r="K423" s="8"/>
      <c r="L423" s="8"/>
      <c r="M423" s="8"/>
      <c r="N423" s="8"/>
      <c r="O423" s="8"/>
      <c r="P423" s="8"/>
      <c r="Q423" s="8"/>
      <c r="R423" s="8"/>
      <c r="S423" s="8"/>
      <c r="T423" s="8"/>
      <c r="U423" s="12"/>
      <c r="V423" s="12"/>
      <c r="W423" s="12"/>
      <c r="X423" s="12"/>
      <c r="Y423" s="12"/>
      <c r="Z423" s="12"/>
      <c r="AA423" s="12"/>
      <c r="AB423" s="12"/>
      <c r="AC423" s="12"/>
      <c r="AD423" s="12"/>
      <c r="AE423" s="12"/>
      <c r="AF423" s="12"/>
      <c r="AG423" s="13"/>
      <c r="AH423" s="13"/>
      <c r="AI423" s="13"/>
      <c r="AJ423" s="13"/>
      <c r="AK423" s="13"/>
      <c r="AL423" s="13"/>
      <c r="AM423" s="13"/>
    </row>
    <row r="424" spans="1:39">
      <c r="A424" s="8"/>
      <c r="B424" s="8"/>
      <c r="C424" s="8"/>
      <c r="D424" s="8"/>
      <c r="E424" s="8"/>
      <c r="F424" s="8"/>
      <c r="G424" s="8"/>
      <c r="H424" s="8"/>
      <c r="I424" s="8"/>
      <c r="J424" s="8"/>
      <c r="K424" s="8"/>
      <c r="L424" s="8"/>
      <c r="M424" s="8"/>
      <c r="N424" s="8"/>
      <c r="O424" s="8"/>
      <c r="P424" s="8"/>
      <c r="Q424" s="8"/>
      <c r="R424" s="8"/>
      <c r="S424" s="8"/>
      <c r="T424" s="8"/>
      <c r="U424" s="12"/>
      <c r="V424" s="12"/>
      <c r="W424" s="12"/>
      <c r="X424" s="12"/>
      <c r="Y424" s="12"/>
      <c r="Z424" s="12"/>
      <c r="AA424" s="12"/>
      <c r="AB424" s="12"/>
      <c r="AC424" s="12"/>
      <c r="AD424" s="12"/>
      <c r="AE424" s="12"/>
      <c r="AF424" s="12"/>
      <c r="AG424" s="13"/>
      <c r="AH424" s="13"/>
      <c r="AI424" s="13"/>
      <c r="AJ424" s="13"/>
      <c r="AK424" s="13"/>
      <c r="AL424" s="13"/>
      <c r="AM424" s="13"/>
    </row>
    <row r="425" spans="1:39">
      <c r="A425" s="8"/>
      <c r="B425" s="8"/>
      <c r="C425" s="8"/>
      <c r="D425" s="8"/>
      <c r="E425" s="8"/>
      <c r="F425" s="8"/>
      <c r="G425" s="8"/>
      <c r="H425" s="8"/>
      <c r="I425" s="8"/>
      <c r="J425" s="8"/>
      <c r="K425" s="8"/>
      <c r="L425" s="8"/>
      <c r="M425" s="8"/>
      <c r="N425" s="8"/>
      <c r="O425" s="8"/>
      <c r="P425" s="8"/>
      <c r="Q425" s="8"/>
      <c r="R425" s="8"/>
      <c r="S425" s="8"/>
      <c r="T425" s="8"/>
      <c r="U425" s="12"/>
      <c r="V425" s="12"/>
      <c r="W425" s="12"/>
      <c r="X425" s="12"/>
      <c r="Y425" s="12"/>
      <c r="Z425" s="12"/>
      <c r="AA425" s="12"/>
      <c r="AB425" s="12"/>
      <c r="AC425" s="12"/>
      <c r="AD425" s="12"/>
      <c r="AE425" s="12"/>
      <c r="AF425" s="12"/>
      <c r="AG425" s="13"/>
      <c r="AH425" s="13"/>
      <c r="AI425" s="13"/>
      <c r="AJ425" s="13"/>
      <c r="AK425" s="13"/>
      <c r="AL425" s="13"/>
      <c r="AM425" s="13"/>
    </row>
    <row r="426" spans="1:39">
      <c r="A426" s="8"/>
      <c r="B426" s="8"/>
      <c r="C426" s="8"/>
      <c r="D426" s="8"/>
      <c r="E426" s="8"/>
      <c r="F426" s="8"/>
      <c r="G426" s="8"/>
      <c r="H426" s="8"/>
      <c r="I426" s="8"/>
      <c r="J426" s="8"/>
      <c r="K426" s="8"/>
      <c r="L426" s="8"/>
      <c r="M426" s="8"/>
      <c r="N426" s="8"/>
      <c r="O426" s="8"/>
      <c r="P426" s="8"/>
      <c r="Q426" s="8"/>
      <c r="R426" s="8"/>
      <c r="S426" s="8"/>
      <c r="T426" s="8"/>
      <c r="U426" s="12"/>
      <c r="V426" s="12"/>
      <c r="W426" s="12"/>
      <c r="X426" s="12"/>
      <c r="Y426" s="12"/>
      <c r="Z426" s="12"/>
      <c r="AA426" s="12"/>
      <c r="AB426" s="12"/>
      <c r="AC426" s="12"/>
      <c r="AD426" s="12"/>
      <c r="AE426" s="12"/>
      <c r="AF426" s="12"/>
      <c r="AG426" s="13"/>
      <c r="AH426" s="13"/>
      <c r="AI426" s="13"/>
      <c r="AJ426" s="13"/>
      <c r="AK426" s="13"/>
      <c r="AL426" s="13"/>
      <c r="AM426" s="13"/>
    </row>
    <row r="427" spans="1:39">
      <c r="A427" s="8"/>
      <c r="B427" s="8"/>
      <c r="C427" s="8"/>
      <c r="D427" s="8"/>
      <c r="E427" s="8"/>
      <c r="F427" s="8"/>
      <c r="G427" s="8"/>
      <c r="H427" s="8"/>
      <c r="I427" s="8"/>
      <c r="J427" s="8"/>
      <c r="K427" s="8"/>
      <c r="L427" s="8"/>
      <c r="M427" s="8"/>
      <c r="N427" s="8"/>
      <c r="O427" s="8"/>
      <c r="P427" s="8"/>
      <c r="Q427" s="8"/>
      <c r="R427" s="8"/>
      <c r="S427" s="8"/>
      <c r="T427" s="8"/>
      <c r="U427" s="12"/>
      <c r="V427" s="12"/>
      <c r="W427" s="12"/>
      <c r="X427" s="12"/>
      <c r="Y427" s="12"/>
      <c r="Z427" s="12"/>
      <c r="AA427" s="12"/>
      <c r="AB427" s="12"/>
      <c r="AC427" s="12"/>
      <c r="AD427" s="12"/>
      <c r="AE427" s="12"/>
      <c r="AF427" s="12"/>
      <c r="AG427" s="13"/>
      <c r="AH427" s="13"/>
      <c r="AI427" s="13"/>
      <c r="AJ427" s="13"/>
      <c r="AK427" s="13"/>
      <c r="AL427" s="13"/>
      <c r="AM427" s="13"/>
    </row>
    <row r="428" spans="1:39">
      <c r="A428" s="8"/>
      <c r="B428" s="8"/>
      <c r="C428" s="8"/>
      <c r="D428" s="8"/>
      <c r="E428" s="8"/>
      <c r="F428" s="8"/>
      <c r="G428" s="8"/>
      <c r="H428" s="8"/>
      <c r="I428" s="8"/>
      <c r="J428" s="8"/>
      <c r="K428" s="8"/>
      <c r="L428" s="8"/>
      <c r="M428" s="8"/>
      <c r="N428" s="8"/>
      <c r="O428" s="8"/>
      <c r="P428" s="8"/>
      <c r="Q428" s="8"/>
      <c r="R428" s="8"/>
      <c r="S428" s="8"/>
      <c r="T428" s="8"/>
      <c r="U428" s="12"/>
      <c r="V428" s="12"/>
      <c r="W428" s="12"/>
      <c r="X428" s="12"/>
      <c r="Y428" s="12"/>
      <c r="Z428" s="12"/>
      <c r="AA428" s="12"/>
      <c r="AB428" s="12"/>
      <c r="AC428" s="12"/>
      <c r="AD428" s="12"/>
      <c r="AE428" s="12"/>
      <c r="AF428" s="12"/>
      <c r="AG428" s="13"/>
      <c r="AH428" s="13"/>
      <c r="AI428" s="13"/>
      <c r="AJ428" s="13"/>
      <c r="AK428" s="13"/>
      <c r="AL428" s="13"/>
      <c r="AM428" s="13"/>
    </row>
    <row r="429" spans="1:39">
      <c r="A429" s="8"/>
      <c r="B429" s="8"/>
      <c r="C429" s="8"/>
      <c r="D429" s="8"/>
      <c r="E429" s="8"/>
      <c r="F429" s="8"/>
      <c r="G429" s="8"/>
      <c r="H429" s="8"/>
      <c r="I429" s="8"/>
      <c r="J429" s="8"/>
      <c r="K429" s="8"/>
      <c r="L429" s="8"/>
      <c r="M429" s="8"/>
      <c r="N429" s="8"/>
      <c r="O429" s="8"/>
      <c r="P429" s="8"/>
      <c r="Q429" s="8"/>
      <c r="R429" s="8"/>
      <c r="S429" s="8"/>
      <c r="T429" s="8"/>
      <c r="U429" s="12"/>
      <c r="V429" s="12"/>
      <c r="W429" s="12"/>
      <c r="X429" s="12"/>
      <c r="Y429" s="12"/>
      <c r="Z429" s="12"/>
      <c r="AA429" s="12"/>
      <c r="AB429" s="12"/>
      <c r="AC429" s="12"/>
      <c r="AD429" s="12"/>
      <c r="AE429" s="12"/>
      <c r="AF429" s="12"/>
      <c r="AG429" s="13"/>
      <c r="AH429" s="13"/>
      <c r="AI429" s="13"/>
      <c r="AJ429" s="13"/>
      <c r="AK429" s="13"/>
      <c r="AL429" s="13"/>
      <c r="AM429" s="13"/>
    </row>
    <row r="430" spans="1:39">
      <c r="A430" s="8"/>
      <c r="B430" s="8"/>
      <c r="C430" s="8"/>
      <c r="D430" s="8"/>
      <c r="E430" s="8"/>
      <c r="F430" s="8"/>
      <c r="G430" s="8"/>
      <c r="H430" s="8"/>
      <c r="I430" s="8"/>
      <c r="J430" s="8"/>
      <c r="K430" s="8"/>
      <c r="L430" s="8"/>
      <c r="M430" s="8"/>
      <c r="N430" s="8"/>
      <c r="O430" s="8"/>
      <c r="P430" s="8"/>
      <c r="Q430" s="8"/>
      <c r="R430" s="8"/>
      <c r="S430" s="8"/>
      <c r="T430" s="8"/>
      <c r="U430" s="12"/>
      <c r="V430" s="12"/>
      <c r="W430" s="12"/>
      <c r="X430" s="12"/>
      <c r="Y430" s="12"/>
      <c r="Z430" s="12"/>
      <c r="AA430" s="12"/>
      <c r="AB430" s="12"/>
      <c r="AC430" s="12"/>
      <c r="AD430" s="12"/>
      <c r="AE430" s="12"/>
      <c r="AF430" s="12"/>
      <c r="AG430" s="13"/>
      <c r="AH430" s="13"/>
      <c r="AI430" s="13"/>
      <c r="AJ430" s="13"/>
      <c r="AK430" s="13"/>
      <c r="AL430" s="13"/>
      <c r="AM430" s="13"/>
    </row>
    <row r="431" spans="1:39">
      <c r="A431" s="8"/>
      <c r="B431" s="8"/>
      <c r="C431" s="8"/>
      <c r="D431" s="8"/>
      <c r="E431" s="8"/>
      <c r="F431" s="8"/>
      <c r="G431" s="8"/>
      <c r="H431" s="8"/>
      <c r="I431" s="8"/>
      <c r="J431" s="8"/>
      <c r="K431" s="8"/>
      <c r="L431" s="8"/>
      <c r="M431" s="8"/>
      <c r="N431" s="8"/>
      <c r="O431" s="8"/>
      <c r="P431" s="8"/>
      <c r="Q431" s="8"/>
      <c r="R431" s="8"/>
      <c r="S431" s="8"/>
      <c r="T431" s="8"/>
      <c r="U431" s="12"/>
      <c r="V431" s="12"/>
      <c r="W431" s="12"/>
      <c r="X431" s="12"/>
      <c r="Y431" s="12"/>
      <c r="Z431" s="12"/>
      <c r="AA431" s="12"/>
      <c r="AB431" s="12"/>
      <c r="AC431" s="12"/>
      <c r="AD431" s="12"/>
      <c r="AE431" s="12"/>
      <c r="AF431" s="12"/>
      <c r="AG431" s="13"/>
      <c r="AH431" s="13"/>
      <c r="AI431" s="13"/>
      <c r="AJ431" s="13"/>
      <c r="AK431" s="13"/>
      <c r="AL431" s="13"/>
      <c r="AM431" s="13"/>
    </row>
    <row r="432" spans="1:39">
      <c r="A432" s="8"/>
      <c r="B432" s="8"/>
      <c r="C432" s="8"/>
      <c r="D432" s="8"/>
      <c r="E432" s="8"/>
      <c r="F432" s="8"/>
      <c r="G432" s="8"/>
      <c r="H432" s="8"/>
      <c r="I432" s="8"/>
      <c r="J432" s="8"/>
      <c r="K432" s="8"/>
      <c r="L432" s="8"/>
      <c r="M432" s="8"/>
      <c r="N432" s="8"/>
      <c r="O432" s="8"/>
      <c r="P432" s="8"/>
      <c r="Q432" s="8"/>
      <c r="R432" s="8"/>
      <c r="S432" s="8"/>
      <c r="T432" s="8"/>
      <c r="U432" s="12"/>
      <c r="V432" s="12"/>
      <c r="W432" s="12"/>
      <c r="X432" s="12"/>
      <c r="Y432" s="12"/>
      <c r="Z432" s="12"/>
      <c r="AA432" s="12"/>
      <c r="AB432" s="12"/>
      <c r="AC432" s="12"/>
      <c r="AD432" s="12"/>
      <c r="AE432" s="12"/>
      <c r="AF432" s="12"/>
      <c r="AG432" s="13"/>
      <c r="AH432" s="13"/>
      <c r="AI432" s="13"/>
      <c r="AJ432" s="13"/>
      <c r="AK432" s="13"/>
      <c r="AL432" s="13"/>
      <c r="AM432" s="13"/>
    </row>
    <row r="433" spans="1:39">
      <c r="A433" s="8"/>
      <c r="B433" s="8"/>
      <c r="C433" s="8"/>
      <c r="D433" s="8"/>
      <c r="E433" s="8"/>
      <c r="F433" s="8"/>
      <c r="G433" s="8"/>
      <c r="H433" s="8"/>
      <c r="I433" s="8"/>
      <c r="J433" s="8"/>
      <c r="K433" s="8"/>
      <c r="L433" s="8"/>
      <c r="M433" s="8"/>
      <c r="N433" s="8"/>
      <c r="O433" s="8"/>
      <c r="P433" s="8"/>
      <c r="Q433" s="8"/>
      <c r="R433" s="8"/>
      <c r="S433" s="8"/>
      <c r="T433" s="8"/>
      <c r="U433" s="12"/>
      <c r="V433" s="12"/>
      <c r="W433" s="12"/>
      <c r="X433" s="12"/>
      <c r="Y433" s="12"/>
      <c r="Z433" s="12"/>
      <c r="AA433" s="12"/>
      <c r="AB433" s="12"/>
      <c r="AC433" s="12"/>
      <c r="AD433" s="12"/>
      <c r="AE433" s="12"/>
      <c r="AF433" s="12"/>
      <c r="AG433" s="13"/>
      <c r="AH433" s="13"/>
      <c r="AI433" s="13"/>
      <c r="AJ433" s="13"/>
      <c r="AK433" s="13"/>
      <c r="AL433" s="13"/>
      <c r="AM433" s="13"/>
    </row>
    <row r="434" spans="1:39">
      <c r="A434" s="8"/>
      <c r="B434" s="8"/>
      <c r="C434" s="8"/>
      <c r="D434" s="8"/>
      <c r="E434" s="8"/>
      <c r="F434" s="8"/>
      <c r="G434" s="8"/>
      <c r="H434" s="8"/>
      <c r="I434" s="8"/>
      <c r="J434" s="8"/>
      <c r="K434" s="8"/>
      <c r="L434" s="8"/>
      <c r="M434" s="8"/>
      <c r="N434" s="8"/>
      <c r="O434" s="8"/>
      <c r="P434" s="8"/>
      <c r="Q434" s="8"/>
      <c r="R434" s="8"/>
      <c r="S434" s="8"/>
      <c r="T434" s="8"/>
      <c r="U434" s="12"/>
      <c r="V434" s="12"/>
      <c r="W434" s="12"/>
      <c r="X434" s="12"/>
      <c r="Y434" s="12"/>
      <c r="Z434" s="12"/>
      <c r="AA434" s="12"/>
      <c r="AB434" s="12"/>
      <c r="AC434" s="12"/>
      <c r="AD434" s="12"/>
      <c r="AE434" s="12"/>
      <c r="AF434" s="12"/>
      <c r="AG434" s="13"/>
      <c r="AH434" s="13"/>
      <c r="AI434" s="13"/>
      <c r="AJ434" s="13"/>
      <c r="AK434" s="13"/>
      <c r="AL434" s="13"/>
      <c r="AM434" s="13"/>
    </row>
    <row r="435" spans="1:39">
      <c r="A435" s="8"/>
      <c r="B435" s="8"/>
      <c r="C435" s="8"/>
      <c r="D435" s="8"/>
      <c r="E435" s="8"/>
      <c r="F435" s="8"/>
      <c r="G435" s="8"/>
      <c r="H435" s="8"/>
      <c r="I435" s="8"/>
      <c r="J435" s="8"/>
      <c r="K435" s="8"/>
      <c r="L435" s="8"/>
      <c r="M435" s="8"/>
      <c r="N435" s="8"/>
      <c r="O435" s="8"/>
      <c r="P435" s="8"/>
      <c r="Q435" s="8"/>
      <c r="R435" s="8"/>
      <c r="S435" s="8"/>
      <c r="T435" s="8"/>
      <c r="U435" s="12"/>
      <c r="V435" s="12"/>
      <c r="W435" s="12"/>
      <c r="X435" s="12"/>
      <c r="Y435" s="12"/>
      <c r="Z435" s="12"/>
      <c r="AA435" s="12"/>
      <c r="AB435" s="12"/>
      <c r="AC435" s="12"/>
      <c r="AD435" s="12"/>
      <c r="AE435" s="12"/>
      <c r="AF435" s="12"/>
      <c r="AG435" s="13"/>
      <c r="AH435" s="13"/>
      <c r="AI435" s="13"/>
      <c r="AJ435" s="13"/>
      <c r="AK435" s="13"/>
      <c r="AL435" s="13"/>
      <c r="AM435" s="13"/>
    </row>
    <row r="436" spans="1:39">
      <c r="A436" s="8"/>
      <c r="B436" s="8"/>
      <c r="C436" s="8"/>
      <c r="D436" s="8"/>
      <c r="E436" s="8"/>
      <c r="F436" s="8"/>
      <c r="G436" s="8"/>
      <c r="H436" s="8"/>
      <c r="I436" s="8"/>
      <c r="J436" s="8"/>
      <c r="K436" s="8"/>
      <c r="L436" s="8"/>
      <c r="M436" s="8"/>
      <c r="N436" s="8"/>
      <c r="O436" s="8"/>
      <c r="P436" s="8"/>
      <c r="Q436" s="8"/>
      <c r="R436" s="8"/>
      <c r="S436" s="8"/>
      <c r="T436" s="8"/>
      <c r="U436" s="12"/>
      <c r="V436" s="12"/>
      <c r="W436" s="12"/>
      <c r="X436" s="12"/>
      <c r="Y436" s="12"/>
      <c r="Z436" s="12"/>
      <c r="AA436" s="12"/>
      <c r="AB436" s="12"/>
      <c r="AC436" s="12"/>
      <c r="AD436" s="12"/>
      <c r="AE436" s="12"/>
      <c r="AF436" s="12"/>
      <c r="AG436" s="13"/>
      <c r="AH436" s="13"/>
      <c r="AI436" s="13"/>
      <c r="AJ436" s="13"/>
      <c r="AK436" s="13"/>
      <c r="AL436" s="13"/>
      <c r="AM436" s="13"/>
    </row>
    <row r="437" spans="1:39">
      <c r="A437" s="8"/>
      <c r="B437" s="8"/>
      <c r="C437" s="8"/>
      <c r="D437" s="8"/>
      <c r="E437" s="8"/>
      <c r="F437" s="8"/>
      <c r="G437" s="8"/>
      <c r="H437" s="8"/>
      <c r="I437" s="8"/>
      <c r="J437" s="8"/>
      <c r="K437" s="8"/>
      <c r="L437" s="8"/>
      <c r="M437" s="8"/>
      <c r="N437" s="8"/>
      <c r="O437" s="8"/>
      <c r="P437" s="8"/>
      <c r="Q437" s="8"/>
      <c r="R437" s="8"/>
      <c r="S437" s="8"/>
      <c r="T437" s="8"/>
      <c r="U437" s="12"/>
      <c r="V437" s="12"/>
      <c r="W437" s="12"/>
      <c r="X437" s="12"/>
      <c r="Y437" s="12"/>
      <c r="Z437" s="12"/>
      <c r="AA437" s="12"/>
      <c r="AB437" s="12"/>
      <c r="AC437" s="12"/>
      <c r="AD437" s="12"/>
      <c r="AE437" s="12"/>
      <c r="AF437" s="12"/>
      <c r="AG437" s="13"/>
      <c r="AH437" s="13"/>
      <c r="AI437" s="13"/>
      <c r="AJ437" s="13"/>
      <c r="AK437" s="13"/>
      <c r="AL437" s="13"/>
      <c r="AM437" s="13"/>
    </row>
    <row r="438" spans="1:39">
      <c r="A438" s="8"/>
      <c r="B438" s="8"/>
      <c r="C438" s="8"/>
      <c r="D438" s="8"/>
      <c r="E438" s="8"/>
      <c r="F438" s="8"/>
      <c r="G438" s="8"/>
      <c r="H438" s="8"/>
      <c r="I438" s="8"/>
      <c r="J438" s="8"/>
      <c r="K438" s="8"/>
      <c r="L438" s="8"/>
      <c r="M438" s="8"/>
      <c r="N438" s="8"/>
      <c r="O438" s="8"/>
      <c r="P438" s="8"/>
      <c r="Q438" s="8"/>
      <c r="R438" s="8"/>
      <c r="S438" s="8"/>
      <c r="T438" s="8"/>
      <c r="U438" s="12"/>
      <c r="V438" s="12"/>
      <c r="W438" s="12"/>
      <c r="X438" s="12"/>
      <c r="Y438" s="12"/>
      <c r="Z438" s="12"/>
      <c r="AA438" s="12"/>
      <c r="AB438" s="12"/>
      <c r="AC438" s="12"/>
      <c r="AD438" s="12"/>
      <c r="AE438" s="12"/>
      <c r="AF438" s="12"/>
      <c r="AG438" s="13"/>
      <c r="AH438" s="13"/>
      <c r="AI438" s="13"/>
      <c r="AJ438" s="13"/>
      <c r="AK438" s="13"/>
      <c r="AL438" s="13"/>
      <c r="AM438" s="13"/>
    </row>
    <row r="439" spans="1:39">
      <c r="A439" s="8"/>
      <c r="B439" s="8"/>
      <c r="C439" s="8"/>
      <c r="D439" s="8"/>
      <c r="E439" s="8"/>
      <c r="F439" s="8"/>
      <c r="G439" s="8"/>
      <c r="H439" s="8"/>
      <c r="I439" s="8"/>
      <c r="J439" s="8"/>
      <c r="K439" s="8"/>
      <c r="L439" s="8"/>
      <c r="M439" s="8"/>
      <c r="N439" s="8"/>
      <c r="O439" s="8"/>
      <c r="P439" s="8"/>
      <c r="Q439" s="8"/>
      <c r="R439" s="8"/>
      <c r="S439" s="8"/>
      <c r="T439" s="8"/>
      <c r="U439" s="12"/>
      <c r="V439" s="12"/>
      <c r="W439" s="12"/>
      <c r="X439" s="12"/>
      <c r="Y439" s="12"/>
      <c r="Z439" s="12"/>
      <c r="AA439" s="12"/>
      <c r="AB439" s="12"/>
      <c r="AC439" s="12"/>
      <c r="AD439" s="12"/>
      <c r="AE439" s="12"/>
      <c r="AF439" s="12"/>
      <c r="AG439" s="13"/>
      <c r="AH439" s="13"/>
      <c r="AI439" s="13"/>
      <c r="AJ439" s="13"/>
      <c r="AK439" s="13"/>
      <c r="AL439" s="13"/>
      <c r="AM439" s="13"/>
    </row>
    <row r="440" spans="1:39">
      <c r="A440" s="8"/>
      <c r="B440" s="8"/>
      <c r="C440" s="8"/>
      <c r="D440" s="8"/>
      <c r="E440" s="8"/>
      <c r="F440" s="8"/>
      <c r="G440" s="8"/>
      <c r="H440" s="8"/>
      <c r="I440" s="8"/>
      <c r="J440" s="8"/>
      <c r="K440" s="8"/>
      <c r="L440" s="8"/>
      <c r="M440" s="8"/>
      <c r="N440" s="8"/>
      <c r="O440" s="8"/>
      <c r="P440" s="8"/>
      <c r="Q440" s="8"/>
      <c r="R440" s="8"/>
      <c r="S440" s="8"/>
      <c r="T440" s="8"/>
      <c r="U440" s="12"/>
      <c r="V440" s="12"/>
      <c r="W440" s="12"/>
      <c r="X440" s="12"/>
      <c r="Y440" s="12"/>
      <c r="Z440" s="12"/>
      <c r="AA440" s="12"/>
      <c r="AB440" s="12"/>
      <c r="AC440" s="12"/>
      <c r="AD440" s="12"/>
      <c r="AE440" s="12"/>
      <c r="AF440" s="12"/>
      <c r="AG440" s="13"/>
      <c r="AH440" s="13"/>
      <c r="AI440" s="13"/>
      <c r="AJ440" s="13"/>
      <c r="AK440" s="13"/>
      <c r="AL440" s="13"/>
      <c r="AM440" s="13"/>
    </row>
    <row r="441" spans="1:39">
      <c r="A441" s="8"/>
      <c r="B441" s="8"/>
      <c r="C441" s="8"/>
      <c r="D441" s="8"/>
      <c r="E441" s="8"/>
      <c r="F441" s="8"/>
      <c r="G441" s="8"/>
      <c r="H441" s="8"/>
      <c r="I441" s="8"/>
      <c r="J441" s="8"/>
      <c r="K441" s="8"/>
      <c r="L441" s="8"/>
      <c r="M441" s="8"/>
      <c r="N441" s="8"/>
      <c r="O441" s="8"/>
      <c r="P441" s="8"/>
      <c r="Q441" s="8"/>
      <c r="R441" s="8"/>
      <c r="S441" s="8"/>
      <c r="T441" s="8"/>
      <c r="U441" s="12"/>
      <c r="V441" s="12"/>
      <c r="W441" s="12"/>
      <c r="X441" s="12"/>
      <c r="Y441" s="12"/>
      <c r="Z441" s="12"/>
      <c r="AA441" s="12"/>
      <c r="AB441" s="12"/>
      <c r="AC441" s="12"/>
      <c r="AD441" s="12"/>
      <c r="AE441" s="12"/>
      <c r="AF441" s="12"/>
      <c r="AG441" s="13"/>
      <c r="AH441" s="13"/>
      <c r="AI441" s="13"/>
      <c r="AJ441" s="13"/>
      <c r="AK441" s="13"/>
      <c r="AL441" s="13"/>
      <c r="AM441" s="13"/>
    </row>
    <row r="442" spans="1:39">
      <c r="A442" s="8"/>
      <c r="B442" s="8"/>
      <c r="C442" s="8"/>
      <c r="D442" s="8"/>
      <c r="E442" s="8"/>
      <c r="F442" s="8"/>
      <c r="G442" s="8"/>
      <c r="H442" s="8"/>
      <c r="I442" s="8"/>
      <c r="J442" s="8"/>
      <c r="K442" s="8"/>
      <c r="L442" s="8"/>
      <c r="M442" s="8"/>
      <c r="N442" s="8"/>
      <c r="O442" s="8"/>
      <c r="P442" s="8"/>
      <c r="Q442" s="8"/>
      <c r="R442" s="8"/>
      <c r="S442" s="8"/>
      <c r="T442" s="8"/>
      <c r="U442" s="12"/>
      <c r="V442" s="12"/>
      <c r="W442" s="12"/>
      <c r="X442" s="12"/>
      <c r="Y442" s="12"/>
      <c r="Z442" s="12"/>
      <c r="AA442" s="12"/>
      <c r="AB442" s="12"/>
      <c r="AC442" s="12"/>
      <c r="AD442" s="12"/>
      <c r="AE442" s="12"/>
      <c r="AF442" s="12"/>
      <c r="AG442" s="13"/>
      <c r="AH442" s="13"/>
      <c r="AI442" s="13"/>
      <c r="AJ442" s="13"/>
      <c r="AK442" s="13"/>
      <c r="AL442" s="13"/>
      <c r="AM442" s="13"/>
    </row>
    <row r="443" spans="1:39">
      <c r="A443" s="8"/>
      <c r="B443" s="8"/>
      <c r="C443" s="8"/>
      <c r="D443" s="8"/>
      <c r="E443" s="8"/>
      <c r="F443" s="8"/>
      <c r="G443" s="8"/>
      <c r="H443" s="8"/>
      <c r="I443" s="8"/>
      <c r="J443" s="8"/>
      <c r="K443" s="8"/>
      <c r="L443" s="8"/>
      <c r="M443" s="8"/>
      <c r="N443" s="8"/>
      <c r="O443" s="8"/>
      <c r="P443" s="8"/>
      <c r="Q443" s="8"/>
      <c r="R443" s="8"/>
      <c r="S443" s="8"/>
      <c r="T443" s="8"/>
      <c r="U443" s="12"/>
      <c r="V443" s="12"/>
      <c r="W443" s="12"/>
      <c r="X443" s="12"/>
      <c r="Y443" s="12"/>
      <c r="Z443" s="12"/>
      <c r="AA443" s="12"/>
      <c r="AB443" s="12"/>
      <c r="AC443" s="12"/>
      <c r="AD443" s="12"/>
      <c r="AE443" s="12"/>
      <c r="AF443" s="12"/>
      <c r="AG443" s="13"/>
      <c r="AH443" s="13"/>
      <c r="AI443" s="13"/>
      <c r="AJ443" s="13"/>
      <c r="AK443" s="13"/>
      <c r="AL443" s="13"/>
      <c r="AM443" s="13"/>
    </row>
    <row r="444" spans="1:39">
      <c r="A444" s="8"/>
      <c r="B444" s="8"/>
      <c r="C444" s="8"/>
      <c r="D444" s="8"/>
      <c r="E444" s="8"/>
      <c r="F444" s="8"/>
      <c r="G444" s="8"/>
      <c r="H444" s="8"/>
      <c r="I444" s="8"/>
      <c r="J444" s="8"/>
      <c r="K444" s="8"/>
      <c r="L444" s="8"/>
      <c r="M444" s="8"/>
      <c r="N444" s="8"/>
      <c r="O444" s="8"/>
      <c r="P444" s="8"/>
      <c r="Q444" s="8"/>
      <c r="R444" s="8"/>
      <c r="S444" s="8"/>
      <c r="T444" s="8"/>
      <c r="U444" s="12"/>
      <c r="V444" s="12"/>
      <c r="W444" s="12"/>
      <c r="X444" s="12"/>
      <c r="Y444" s="12"/>
      <c r="Z444" s="12"/>
      <c r="AA444" s="12"/>
      <c r="AB444" s="12"/>
      <c r="AC444" s="12"/>
      <c r="AD444" s="12"/>
      <c r="AE444" s="12"/>
      <c r="AF444" s="12"/>
      <c r="AG444" s="13"/>
      <c r="AH444" s="13"/>
      <c r="AI444" s="13"/>
      <c r="AJ444" s="13"/>
      <c r="AK444" s="13"/>
      <c r="AL444" s="13"/>
      <c r="AM444" s="13"/>
    </row>
    <row r="445" spans="1:39">
      <c r="A445" s="8"/>
      <c r="B445" s="8"/>
      <c r="C445" s="8"/>
      <c r="D445" s="8"/>
      <c r="E445" s="8"/>
      <c r="F445" s="8"/>
      <c r="G445" s="8"/>
      <c r="H445" s="8"/>
      <c r="I445" s="8"/>
      <c r="J445" s="8"/>
      <c r="K445" s="8"/>
      <c r="L445" s="8"/>
      <c r="M445" s="8"/>
      <c r="N445" s="8"/>
      <c r="O445" s="8"/>
      <c r="P445" s="8"/>
      <c r="Q445" s="8"/>
      <c r="R445" s="8"/>
      <c r="S445" s="8"/>
      <c r="T445" s="8"/>
      <c r="U445" s="12"/>
      <c r="V445" s="12"/>
      <c r="W445" s="12"/>
      <c r="X445" s="12"/>
      <c r="Y445" s="12"/>
      <c r="Z445" s="12"/>
      <c r="AA445" s="12"/>
      <c r="AB445" s="12"/>
      <c r="AC445" s="12"/>
      <c r="AD445" s="12"/>
      <c r="AE445" s="12"/>
      <c r="AF445" s="12"/>
      <c r="AG445" s="13"/>
      <c r="AH445" s="13"/>
      <c r="AI445" s="13"/>
      <c r="AJ445" s="13"/>
      <c r="AK445" s="13"/>
      <c r="AL445" s="13"/>
      <c r="AM445" s="13"/>
    </row>
    <row r="446" spans="1:39">
      <c r="A446" s="8"/>
      <c r="B446" s="8"/>
      <c r="C446" s="8"/>
      <c r="D446" s="8"/>
      <c r="E446" s="8"/>
      <c r="F446" s="8"/>
      <c r="G446" s="8"/>
      <c r="H446" s="8"/>
      <c r="I446" s="8"/>
      <c r="J446" s="8"/>
      <c r="K446" s="8"/>
      <c r="L446" s="8"/>
      <c r="M446" s="8"/>
      <c r="N446" s="8"/>
      <c r="O446" s="8"/>
      <c r="P446" s="8"/>
      <c r="Q446" s="8"/>
      <c r="R446" s="8"/>
      <c r="S446" s="8"/>
      <c r="T446" s="8"/>
      <c r="U446" s="12"/>
      <c r="V446" s="12"/>
      <c r="W446" s="12"/>
      <c r="X446" s="12"/>
      <c r="Y446" s="12"/>
      <c r="Z446" s="12"/>
      <c r="AA446" s="12"/>
      <c r="AB446" s="12"/>
      <c r="AC446" s="12"/>
      <c r="AD446" s="12"/>
      <c r="AE446" s="12"/>
      <c r="AF446" s="12"/>
      <c r="AG446" s="13"/>
      <c r="AH446" s="13"/>
      <c r="AI446" s="13"/>
      <c r="AJ446" s="13"/>
      <c r="AK446" s="13"/>
      <c r="AL446" s="13"/>
      <c r="AM446" s="13"/>
    </row>
    <row r="447" spans="1:39">
      <c r="A447" s="8"/>
      <c r="B447" s="8"/>
      <c r="C447" s="8"/>
      <c r="D447" s="8"/>
      <c r="E447" s="8"/>
      <c r="F447" s="8"/>
      <c r="G447" s="8"/>
      <c r="H447" s="8"/>
      <c r="I447" s="8"/>
      <c r="J447" s="8"/>
      <c r="K447" s="8"/>
      <c r="L447" s="8"/>
      <c r="M447" s="8"/>
      <c r="N447" s="8"/>
      <c r="O447" s="8"/>
      <c r="P447" s="8"/>
      <c r="Q447" s="8"/>
      <c r="R447" s="8"/>
      <c r="S447" s="8"/>
      <c r="T447" s="8"/>
      <c r="U447" s="12"/>
      <c r="V447" s="12"/>
      <c r="W447" s="12"/>
      <c r="X447" s="12"/>
      <c r="Y447" s="12"/>
      <c r="Z447" s="12"/>
      <c r="AA447" s="12"/>
      <c r="AB447" s="12"/>
      <c r="AC447" s="12"/>
      <c r="AD447" s="12"/>
      <c r="AE447" s="12"/>
      <c r="AF447" s="12"/>
      <c r="AG447" s="13"/>
      <c r="AH447" s="13"/>
      <c r="AI447" s="13"/>
      <c r="AJ447" s="13"/>
      <c r="AK447" s="13"/>
      <c r="AL447" s="13"/>
      <c r="AM447" s="13"/>
    </row>
    <row r="448" spans="1:39">
      <c r="A448" s="8"/>
      <c r="B448" s="8"/>
      <c r="C448" s="8"/>
      <c r="D448" s="8"/>
      <c r="E448" s="8"/>
      <c r="F448" s="8"/>
      <c r="G448" s="8"/>
      <c r="H448" s="8"/>
      <c r="I448" s="8"/>
      <c r="J448" s="8"/>
      <c r="K448" s="8"/>
      <c r="L448" s="8"/>
      <c r="M448" s="8"/>
      <c r="N448" s="8"/>
      <c r="O448" s="8"/>
      <c r="P448" s="8"/>
      <c r="Q448" s="8"/>
      <c r="R448" s="8"/>
      <c r="S448" s="8"/>
      <c r="T448" s="8"/>
      <c r="U448" s="12"/>
      <c r="V448" s="12"/>
      <c r="W448" s="12"/>
      <c r="X448" s="12"/>
      <c r="Y448" s="12"/>
      <c r="Z448" s="12"/>
      <c r="AA448" s="12"/>
      <c r="AB448" s="12"/>
      <c r="AC448" s="12"/>
      <c r="AD448" s="12"/>
      <c r="AE448" s="12"/>
      <c r="AF448" s="12"/>
      <c r="AG448" s="13"/>
      <c r="AH448" s="13"/>
      <c r="AI448" s="13"/>
      <c r="AJ448" s="13"/>
      <c r="AK448" s="13"/>
      <c r="AL448" s="13"/>
      <c r="AM448" s="13"/>
    </row>
    <row r="449" spans="1:39">
      <c r="A449" s="8"/>
      <c r="B449" s="8"/>
      <c r="C449" s="8"/>
      <c r="D449" s="8"/>
      <c r="E449" s="8"/>
      <c r="F449" s="8"/>
      <c r="G449" s="8"/>
      <c r="H449" s="8"/>
      <c r="I449" s="8"/>
      <c r="J449" s="8"/>
      <c r="K449" s="8"/>
      <c r="L449" s="8"/>
      <c r="M449" s="8"/>
      <c r="N449" s="8"/>
      <c r="O449" s="8"/>
      <c r="P449" s="8"/>
      <c r="Q449" s="8"/>
      <c r="R449" s="8"/>
      <c r="S449" s="8"/>
      <c r="T449" s="8"/>
      <c r="U449" s="12"/>
      <c r="V449" s="12"/>
      <c r="W449" s="12"/>
      <c r="X449" s="12"/>
      <c r="Y449" s="12"/>
      <c r="Z449" s="12"/>
      <c r="AA449" s="12"/>
      <c r="AB449" s="12"/>
      <c r="AC449" s="12"/>
      <c r="AD449" s="12"/>
      <c r="AE449" s="12"/>
      <c r="AF449" s="12"/>
      <c r="AG449" s="13"/>
      <c r="AH449" s="13"/>
      <c r="AI449" s="13"/>
      <c r="AJ449" s="13"/>
      <c r="AK449" s="13"/>
      <c r="AL449" s="13"/>
      <c r="AM449" s="13"/>
    </row>
    <row r="450" spans="1:39">
      <c r="A450" s="8"/>
      <c r="B450" s="8"/>
      <c r="C450" s="8"/>
      <c r="D450" s="8"/>
      <c r="E450" s="8"/>
      <c r="F450" s="8"/>
      <c r="G450" s="8"/>
      <c r="H450" s="8"/>
      <c r="I450" s="8"/>
      <c r="J450" s="8"/>
      <c r="K450" s="8"/>
      <c r="L450" s="8"/>
      <c r="M450" s="8"/>
      <c r="N450" s="8"/>
      <c r="O450" s="8"/>
      <c r="P450" s="8"/>
      <c r="Q450" s="8"/>
      <c r="R450" s="8"/>
      <c r="S450" s="8"/>
      <c r="T450" s="8"/>
      <c r="U450" s="12"/>
      <c r="V450" s="12"/>
      <c r="W450" s="12"/>
      <c r="X450" s="12"/>
      <c r="Y450" s="12"/>
      <c r="Z450" s="12"/>
      <c r="AA450" s="12"/>
      <c r="AB450" s="12"/>
      <c r="AC450" s="12"/>
      <c r="AD450" s="12"/>
      <c r="AE450" s="12"/>
      <c r="AF450" s="12"/>
      <c r="AG450" s="13"/>
      <c r="AH450" s="13"/>
      <c r="AI450" s="13"/>
      <c r="AJ450" s="13"/>
      <c r="AK450" s="13"/>
      <c r="AL450" s="13"/>
      <c r="AM450" s="13"/>
    </row>
    <row r="451" spans="1:39">
      <c r="A451" s="8"/>
      <c r="B451" s="8"/>
      <c r="C451" s="8"/>
      <c r="D451" s="8"/>
      <c r="E451" s="8"/>
      <c r="F451" s="8"/>
      <c r="G451" s="8"/>
      <c r="H451" s="8"/>
      <c r="I451" s="8"/>
      <c r="J451" s="8"/>
      <c r="K451" s="8"/>
      <c r="L451" s="8"/>
      <c r="M451" s="8"/>
      <c r="N451" s="8"/>
      <c r="O451" s="8"/>
      <c r="P451" s="8"/>
      <c r="Q451" s="8"/>
      <c r="R451" s="8"/>
      <c r="S451" s="8"/>
      <c r="T451" s="8"/>
      <c r="U451" s="12"/>
      <c r="V451" s="12"/>
      <c r="W451" s="12"/>
      <c r="X451" s="12"/>
      <c r="Y451" s="12"/>
      <c r="Z451" s="12"/>
      <c r="AA451" s="12"/>
      <c r="AB451" s="12"/>
      <c r="AC451" s="12"/>
      <c r="AD451" s="12"/>
      <c r="AE451" s="12"/>
      <c r="AF451" s="12"/>
      <c r="AG451" s="13"/>
      <c r="AH451" s="13"/>
      <c r="AI451" s="13"/>
      <c r="AJ451" s="13"/>
      <c r="AK451" s="13"/>
      <c r="AL451" s="13"/>
      <c r="AM451" s="13"/>
    </row>
    <row r="452" spans="1:39">
      <c r="A452" s="8"/>
      <c r="B452" s="8"/>
      <c r="C452" s="8"/>
      <c r="D452" s="8"/>
      <c r="E452" s="8"/>
      <c r="F452" s="8"/>
      <c r="G452" s="8"/>
      <c r="H452" s="8"/>
      <c r="I452" s="8"/>
      <c r="J452" s="8"/>
      <c r="K452" s="8"/>
      <c r="L452" s="8"/>
      <c r="M452" s="8"/>
      <c r="N452" s="8"/>
      <c r="O452" s="8"/>
      <c r="P452" s="8"/>
      <c r="Q452" s="8"/>
      <c r="R452" s="8"/>
      <c r="S452" s="8"/>
      <c r="T452" s="8"/>
      <c r="U452" s="12"/>
      <c r="V452" s="12"/>
      <c r="W452" s="12"/>
      <c r="X452" s="12"/>
      <c r="Y452" s="12"/>
      <c r="Z452" s="12"/>
      <c r="AA452" s="12"/>
      <c r="AB452" s="12"/>
      <c r="AC452" s="12"/>
      <c r="AD452" s="12"/>
      <c r="AE452" s="12"/>
      <c r="AF452" s="12"/>
      <c r="AG452" s="13"/>
      <c r="AH452" s="13"/>
      <c r="AI452" s="13"/>
      <c r="AJ452" s="13"/>
      <c r="AK452" s="13"/>
      <c r="AL452" s="13"/>
      <c r="AM452" s="13"/>
    </row>
    <row r="453" spans="1:39">
      <c r="A453" s="8"/>
      <c r="B453" s="8"/>
      <c r="C453" s="8"/>
      <c r="D453" s="8"/>
      <c r="E453" s="8"/>
      <c r="F453" s="8"/>
      <c r="G453" s="8"/>
      <c r="H453" s="8"/>
      <c r="I453" s="8"/>
      <c r="J453" s="8"/>
      <c r="K453" s="8"/>
      <c r="L453" s="8"/>
      <c r="M453" s="8"/>
      <c r="N453" s="8"/>
      <c r="O453" s="8"/>
      <c r="P453" s="8"/>
      <c r="Q453" s="8"/>
      <c r="R453" s="8"/>
      <c r="S453" s="8"/>
      <c r="T453" s="8"/>
      <c r="U453" s="12"/>
      <c r="V453" s="12"/>
      <c r="W453" s="12"/>
      <c r="X453" s="12"/>
      <c r="Y453" s="12"/>
      <c r="Z453" s="12"/>
      <c r="AA453" s="12"/>
      <c r="AB453" s="12"/>
      <c r="AC453" s="12"/>
      <c r="AD453" s="12"/>
      <c r="AE453" s="12"/>
      <c r="AF453" s="12"/>
      <c r="AG453" s="13"/>
      <c r="AH453" s="13"/>
      <c r="AI453" s="13"/>
      <c r="AJ453" s="13"/>
      <c r="AK453" s="13"/>
      <c r="AL453" s="13"/>
      <c r="AM453" s="13"/>
    </row>
    <row r="454" spans="1:39">
      <c r="A454" s="8"/>
      <c r="B454" s="8"/>
      <c r="C454" s="8"/>
      <c r="D454" s="8"/>
      <c r="E454" s="8"/>
      <c r="F454" s="8"/>
      <c r="G454" s="8"/>
      <c r="H454" s="8"/>
      <c r="I454" s="8"/>
      <c r="J454" s="8"/>
      <c r="K454" s="8"/>
      <c r="L454" s="8"/>
      <c r="M454" s="8"/>
      <c r="N454" s="8"/>
      <c r="O454" s="8"/>
      <c r="P454" s="8"/>
      <c r="Q454" s="8"/>
      <c r="R454" s="8"/>
      <c r="S454" s="8"/>
      <c r="T454" s="8"/>
      <c r="U454" s="12"/>
      <c r="V454" s="12"/>
      <c r="W454" s="12"/>
      <c r="X454" s="12"/>
      <c r="Y454" s="12"/>
      <c r="Z454" s="12"/>
      <c r="AA454" s="12"/>
      <c r="AB454" s="12"/>
      <c r="AC454" s="12"/>
      <c r="AD454" s="12"/>
      <c r="AE454" s="12"/>
      <c r="AF454" s="12"/>
      <c r="AG454" s="13"/>
      <c r="AH454" s="13"/>
      <c r="AI454" s="13"/>
      <c r="AJ454" s="13"/>
      <c r="AK454" s="13"/>
      <c r="AL454" s="13"/>
      <c r="AM454" s="13"/>
    </row>
    <row r="455" spans="1:39">
      <c r="A455" s="8"/>
      <c r="B455" s="8"/>
      <c r="C455" s="8"/>
      <c r="D455" s="8"/>
      <c r="E455" s="8"/>
      <c r="F455" s="8"/>
      <c r="G455" s="8"/>
      <c r="H455" s="8"/>
      <c r="I455" s="8"/>
      <c r="J455" s="8"/>
      <c r="K455" s="8"/>
      <c r="L455" s="8"/>
      <c r="M455" s="8"/>
      <c r="N455" s="8"/>
      <c r="O455" s="8"/>
      <c r="P455" s="8"/>
      <c r="Q455" s="8"/>
      <c r="R455" s="8"/>
      <c r="S455" s="8"/>
      <c r="T455" s="8"/>
      <c r="U455" s="12"/>
      <c r="V455" s="12"/>
      <c r="W455" s="12"/>
      <c r="X455" s="12"/>
      <c r="Y455" s="12"/>
      <c r="Z455" s="12"/>
      <c r="AA455" s="12"/>
      <c r="AB455" s="12"/>
      <c r="AC455" s="12"/>
      <c r="AD455" s="12"/>
      <c r="AE455" s="12"/>
      <c r="AF455" s="12"/>
      <c r="AG455" s="13"/>
      <c r="AH455" s="13"/>
      <c r="AI455" s="13"/>
      <c r="AJ455" s="13"/>
      <c r="AK455" s="13"/>
      <c r="AL455" s="13"/>
      <c r="AM455" s="13"/>
    </row>
    <row r="456" spans="1:39">
      <c r="A456" s="8"/>
      <c r="B456" s="8"/>
      <c r="C456" s="8"/>
      <c r="D456" s="8"/>
      <c r="E456" s="8"/>
      <c r="F456" s="8"/>
      <c r="G456" s="8"/>
      <c r="H456" s="8"/>
      <c r="I456" s="8"/>
      <c r="J456" s="8"/>
      <c r="K456" s="8"/>
      <c r="L456" s="8"/>
      <c r="M456" s="8"/>
      <c r="N456" s="8"/>
      <c r="O456" s="8"/>
      <c r="P456" s="8"/>
      <c r="Q456" s="8"/>
      <c r="R456" s="8"/>
      <c r="S456" s="8"/>
      <c r="T456" s="8"/>
      <c r="U456" s="12"/>
      <c r="V456" s="12"/>
      <c r="W456" s="12"/>
      <c r="X456" s="12"/>
      <c r="Y456" s="12"/>
      <c r="Z456" s="12"/>
      <c r="AA456" s="12"/>
      <c r="AB456" s="12"/>
      <c r="AC456" s="12"/>
      <c r="AD456" s="12"/>
      <c r="AE456" s="12"/>
      <c r="AF456" s="12"/>
      <c r="AG456" s="13"/>
      <c r="AH456" s="13"/>
      <c r="AI456" s="13"/>
      <c r="AJ456" s="13"/>
      <c r="AK456" s="13"/>
      <c r="AL456" s="13"/>
      <c r="AM456" s="13"/>
    </row>
    <row r="457" spans="1:39">
      <c r="A457" s="8"/>
      <c r="B457" s="8"/>
      <c r="C457" s="8"/>
      <c r="D457" s="8"/>
      <c r="E457" s="8"/>
      <c r="F457" s="8"/>
      <c r="G457" s="8"/>
      <c r="H457" s="8"/>
      <c r="I457" s="8"/>
      <c r="J457" s="8"/>
      <c r="K457" s="8"/>
      <c r="L457" s="8"/>
      <c r="M457" s="8"/>
      <c r="N457" s="8"/>
      <c r="O457" s="8"/>
      <c r="P457" s="8"/>
      <c r="Q457" s="8"/>
      <c r="R457" s="8"/>
      <c r="S457" s="8"/>
      <c r="T457" s="8"/>
      <c r="U457" s="12"/>
      <c r="V457" s="12"/>
      <c r="W457" s="12"/>
      <c r="X457" s="12"/>
      <c r="Y457" s="12"/>
      <c r="Z457" s="12"/>
      <c r="AA457" s="12"/>
      <c r="AB457" s="12"/>
      <c r="AC457" s="12"/>
      <c r="AD457" s="12"/>
      <c r="AE457" s="12"/>
      <c r="AF457" s="12"/>
      <c r="AG457" s="13"/>
      <c r="AH457" s="13"/>
      <c r="AI457" s="13"/>
      <c r="AJ457" s="13"/>
      <c r="AK457" s="13"/>
      <c r="AL457" s="13"/>
      <c r="AM457" s="13"/>
    </row>
    <row r="458" spans="1:39">
      <c r="A458" s="8"/>
      <c r="B458" s="8"/>
      <c r="C458" s="8"/>
      <c r="D458" s="8"/>
      <c r="E458" s="8"/>
      <c r="F458" s="8"/>
      <c r="G458" s="8"/>
      <c r="H458" s="8"/>
      <c r="I458" s="8"/>
      <c r="J458" s="8"/>
      <c r="K458" s="8"/>
      <c r="L458" s="8"/>
      <c r="M458" s="8"/>
      <c r="N458" s="8"/>
      <c r="O458" s="8"/>
      <c r="P458" s="8"/>
      <c r="Q458" s="8"/>
      <c r="R458" s="8"/>
      <c r="S458" s="8"/>
      <c r="T458" s="8"/>
      <c r="U458" s="12"/>
      <c r="V458" s="12"/>
      <c r="W458" s="12"/>
      <c r="X458" s="12"/>
      <c r="Y458" s="12"/>
      <c r="Z458" s="12"/>
      <c r="AA458" s="12"/>
      <c r="AB458" s="12"/>
      <c r="AC458" s="12"/>
      <c r="AD458" s="12"/>
      <c r="AE458" s="12"/>
      <c r="AF458" s="12"/>
      <c r="AG458" s="13"/>
      <c r="AH458" s="13"/>
      <c r="AI458" s="13"/>
      <c r="AJ458" s="13"/>
      <c r="AK458" s="13"/>
      <c r="AL458" s="13"/>
      <c r="AM458" s="13"/>
    </row>
    <row r="459" spans="1:39">
      <c r="A459" s="8"/>
      <c r="B459" s="8"/>
      <c r="C459" s="8"/>
      <c r="D459" s="8"/>
      <c r="E459" s="8"/>
      <c r="F459" s="8"/>
      <c r="G459" s="8"/>
      <c r="H459" s="8"/>
      <c r="I459" s="8"/>
      <c r="J459" s="8"/>
      <c r="K459" s="8"/>
      <c r="L459" s="8"/>
      <c r="M459" s="8"/>
      <c r="N459" s="8"/>
      <c r="O459" s="8"/>
      <c r="P459" s="8"/>
      <c r="Q459" s="8"/>
      <c r="R459" s="8"/>
      <c r="S459" s="8"/>
      <c r="T459" s="8"/>
      <c r="U459" s="12"/>
      <c r="V459" s="12"/>
      <c r="W459" s="12"/>
      <c r="X459" s="12"/>
      <c r="Y459" s="12"/>
      <c r="Z459" s="12"/>
      <c r="AA459" s="12"/>
      <c r="AB459" s="12"/>
      <c r="AC459" s="12"/>
      <c r="AD459" s="12"/>
      <c r="AE459" s="12"/>
      <c r="AF459" s="12"/>
      <c r="AG459" s="13"/>
      <c r="AH459" s="13"/>
      <c r="AI459" s="13"/>
      <c r="AJ459" s="13"/>
      <c r="AK459" s="13"/>
      <c r="AL459" s="13"/>
      <c r="AM459" s="13"/>
    </row>
    <row r="460" spans="1:39">
      <c r="A460" s="8"/>
      <c r="B460" s="8"/>
      <c r="C460" s="8"/>
      <c r="D460" s="8"/>
      <c r="E460" s="8"/>
      <c r="F460" s="8"/>
      <c r="G460" s="8"/>
      <c r="H460" s="8"/>
      <c r="I460" s="8"/>
      <c r="J460" s="8"/>
      <c r="K460" s="8"/>
      <c r="L460" s="8"/>
      <c r="M460" s="8"/>
      <c r="N460" s="8"/>
      <c r="O460" s="8"/>
      <c r="P460" s="8"/>
      <c r="Q460" s="8"/>
      <c r="R460" s="8"/>
      <c r="S460" s="8"/>
      <c r="T460" s="8"/>
      <c r="U460" s="12"/>
      <c r="V460" s="12"/>
      <c r="W460" s="12"/>
      <c r="X460" s="12"/>
      <c r="Y460" s="12"/>
      <c r="Z460" s="12"/>
      <c r="AA460" s="12"/>
      <c r="AB460" s="12"/>
      <c r="AC460" s="12"/>
      <c r="AD460" s="12"/>
      <c r="AE460" s="12"/>
      <c r="AF460" s="12"/>
      <c r="AG460" s="13"/>
      <c r="AH460" s="13"/>
      <c r="AI460" s="13"/>
      <c r="AJ460" s="13"/>
      <c r="AK460" s="13"/>
      <c r="AL460" s="13"/>
      <c r="AM460" s="13"/>
    </row>
    <row r="461" spans="1:39">
      <c r="A461" s="8"/>
      <c r="B461" s="8"/>
      <c r="C461" s="8"/>
      <c r="D461" s="8"/>
      <c r="E461" s="8"/>
      <c r="F461" s="8"/>
      <c r="G461" s="8"/>
      <c r="H461" s="8"/>
      <c r="I461" s="8"/>
      <c r="J461" s="8"/>
      <c r="K461" s="8"/>
      <c r="L461" s="8"/>
      <c r="M461" s="8"/>
      <c r="N461" s="8"/>
      <c r="O461" s="8"/>
      <c r="P461" s="8"/>
      <c r="Q461" s="8"/>
      <c r="R461" s="8"/>
      <c r="S461" s="8"/>
      <c r="T461" s="8"/>
      <c r="U461" s="12"/>
      <c r="V461" s="12"/>
      <c r="W461" s="12"/>
      <c r="X461" s="12"/>
      <c r="Y461" s="12"/>
      <c r="Z461" s="12"/>
      <c r="AA461" s="12"/>
      <c r="AB461" s="12"/>
      <c r="AC461" s="12"/>
      <c r="AD461" s="12"/>
      <c r="AE461" s="12"/>
      <c r="AF461" s="12"/>
      <c r="AG461" s="13"/>
      <c r="AH461" s="13"/>
      <c r="AI461" s="13"/>
      <c r="AJ461" s="13"/>
      <c r="AK461" s="13"/>
      <c r="AL461" s="13"/>
      <c r="AM461" s="13"/>
    </row>
    <row r="462" spans="1:39">
      <c r="A462" s="8"/>
      <c r="B462" s="8"/>
      <c r="C462" s="8"/>
      <c r="D462" s="8"/>
      <c r="E462" s="8"/>
      <c r="F462" s="8"/>
      <c r="G462" s="8"/>
      <c r="H462" s="8"/>
      <c r="I462" s="8"/>
      <c r="J462" s="8"/>
      <c r="K462" s="8"/>
      <c r="L462" s="8"/>
      <c r="M462" s="8"/>
      <c r="N462" s="8"/>
      <c r="O462" s="8"/>
      <c r="P462" s="8"/>
      <c r="Q462" s="8"/>
      <c r="R462" s="8"/>
      <c r="S462" s="8"/>
      <c r="T462" s="8"/>
      <c r="U462" s="12"/>
      <c r="V462" s="12"/>
      <c r="W462" s="12"/>
      <c r="X462" s="12"/>
      <c r="Y462" s="12"/>
      <c r="Z462" s="12"/>
      <c r="AA462" s="12"/>
      <c r="AB462" s="12"/>
      <c r="AC462" s="12"/>
      <c r="AD462" s="12"/>
      <c r="AE462" s="12"/>
      <c r="AF462" s="12"/>
      <c r="AG462" s="13"/>
      <c r="AH462" s="13"/>
      <c r="AI462" s="13"/>
      <c r="AJ462" s="13"/>
      <c r="AK462" s="13"/>
      <c r="AL462" s="13"/>
      <c r="AM462" s="13"/>
    </row>
    <row r="463" spans="1:39">
      <c r="A463" s="8"/>
      <c r="B463" s="8"/>
      <c r="C463" s="8"/>
      <c r="D463" s="8"/>
      <c r="E463" s="8"/>
      <c r="F463" s="8"/>
      <c r="G463" s="8"/>
      <c r="H463" s="8"/>
      <c r="I463" s="8"/>
      <c r="J463" s="8"/>
      <c r="K463" s="8"/>
      <c r="L463" s="8"/>
      <c r="M463" s="8"/>
      <c r="N463" s="8"/>
      <c r="O463" s="8"/>
      <c r="P463" s="8"/>
      <c r="Q463" s="8"/>
      <c r="R463" s="8"/>
      <c r="S463" s="8"/>
      <c r="T463" s="8"/>
      <c r="U463" s="12"/>
      <c r="V463" s="12"/>
      <c r="W463" s="12"/>
      <c r="X463" s="12"/>
      <c r="Y463" s="12"/>
      <c r="Z463" s="12"/>
      <c r="AA463" s="12"/>
      <c r="AB463" s="12"/>
      <c r="AC463" s="12"/>
      <c r="AD463" s="12"/>
      <c r="AE463" s="12"/>
      <c r="AF463" s="12"/>
      <c r="AG463" s="13"/>
      <c r="AH463" s="13"/>
      <c r="AI463" s="13"/>
      <c r="AJ463" s="13"/>
      <c r="AK463" s="13"/>
      <c r="AL463" s="13"/>
      <c r="AM463" s="13"/>
    </row>
    <row r="464" spans="1:39">
      <c r="A464" s="8"/>
      <c r="B464" s="8"/>
      <c r="C464" s="8"/>
      <c r="D464" s="8"/>
      <c r="E464" s="8"/>
      <c r="F464" s="8"/>
      <c r="G464" s="8"/>
      <c r="H464" s="8"/>
      <c r="I464" s="8"/>
      <c r="J464" s="8"/>
      <c r="K464" s="8"/>
      <c r="L464" s="8"/>
      <c r="M464" s="8"/>
      <c r="N464" s="8"/>
      <c r="O464" s="8"/>
      <c r="P464" s="8"/>
      <c r="Q464" s="8"/>
      <c r="R464" s="8"/>
      <c r="S464" s="8"/>
      <c r="T464" s="8"/>
      <c r="U464" s="12"/>
      <c r="V464" s="12"/>
      <c r="W464" s="12"/>
      <c r="X464" s="12"/>
      <c r="Y464" s="12"/>
      <c r="Z464" s="12"/>
      <c r="AA464" s="12"/>
      <c r="AB464" s="12"/>
      <c r="AC464" s="12"/>
      <c r="AD464" s="12"/>
      <c r="AE464" s="12"/>
      <c r="AF464" s="12"/>
      <c r="AG464" s="13"/>
      <c r="AH464" s="13"/>
      <c r="AI464" s="13"/>
      <c r="AJ464" s="13"/>
      <c r="AK464" s="13"/>
      <c r="AL464" s="13"/>
      <c r="AM464" s="13"/>
    </row>
    <row r="465" spans="1:39">
      <c r="A465" s="8"/>
      <c r="B465" s="8"/>
      <c r="C465" s="8"/>
      <c r="D465" s="8"/>
      <c r="E465" s="8"/>
      <c r="F465" s="8"/>
      <c r="G465" s="8"/>
      <c r="H465" s="8"/>
      <c r="I465" s="8"/>
      <c r="J465" s="8"/>
      <c r="K465" s="8"/>
      <c r="L465" s="8"/>
      <c r="M465" s="8"/>
      <c r="N465" s="8"/>
      <c r="O465" s="8"/>
      <c r="P465" s="8"/>
      <c r="Q465" s="8"/>
      <c r="R465" s="8"/>
      <c r="S465" s="8"/>
      <c r="T465" s="8"/>
      <c r="U465" s="12"/>
      <c r="V465" s="12"/>
      <c r="W465" s="12"/>
      <c r="X465" s="12"/>
      <c r="Y465" s="12"/>
      <c r="Z465" s="12"/>
      <c r="AA465" s="12"/>
      <c r="AB465" s="12"/>
      <c r="AC465" s="12"/>
      <c r="AD465" s="12"/>
      <c r="AE465" s="12"/>
      <c r="AF465" s="12"/>
      <c r="AG465" s="13"/>
      <c r="AH465" s="13"/>
      <c r="AI465" s="13"/>
      <c r="AJ465" s="13"/>
      <c r="AK465" s="13"/>
      <c r="AL465" s="13"/>
      <c r="AM465" s="13"/>
    </row>
    <row r="466" spans="1:39">
      <c r="A466" s="8"/>
      <c r="B466" s="8"/>
      <c r="C466" s="8"/>
      <c r="D466" s="8"/>
      <c r="E466" s="8"/>
      <c r="F466" s="8"/>
      <c r="G466" s="8"/>
      <c r="H466" s="8"/>
      <c r="I466" s="8"/>
      <c r="J466" s="8"/>
      <c r="K466" s="8"/>
      <c r="L466" s="8"/>
      <c r="M466" s="8"/>
      <c r="N466" s="8"/>
      <c r="O466" s="8"/>
      <c r="P466" s="8"/>
      <c r="Q466" s="8"/>
      <c r="R466" s="8"/>
      <c r="S466" s="8"/>
      <c r="T466" s="8"/>
      <c r="U466" s="12"/>
      <c r="V466" s="12"/>
      <c r="W466" s="12"/>
      <c r="X466" s="12"/>
      <c r="Y466" s="12"/>
      <c r="Z466" s="12"/>
      <c r="AA466" s="12"/>
      <c r="AB466" s="12"/>
      <c r="AC466" s="12"/>
      <c r="AD466" s="12"/>
      <c r="AE466" s="12"/>
      <c r="AF466" s="12"/>
      <c r="AG466" s="13"/>
      <c r="AH466" s="13"/>
      <c r="AI466" s="13"/>
      <c r="AJ466" s="13"/>
      <c r="AK466" s="13"/>
      <c r="AL466" s="13"/>
      <c r="AM466" s="13"/>
    </row>
    <row r="467" spans="1:39">
      <c r="A467" s="8"/>
      <c r="B467" s="8"/>
      <c r="C467" s="8"/>
      <c r="D467" s="8"/>
      <c r="E467" s="8"/>
      <c r="F467" s="8"/>
      <c r="G467" s="8"/>
      <c r="H467" s="8"/>
      <c r="I467" s="8"/>
      <c r="J467" s="8"/>
      <c r="K467" s="8"/>
      <c r="L467" s="8"/>
      <c r="M467" s="8"/>
      <c r="N467" s="8"/>
      <c r="O467" s="8"/>
      <c r="P467" s="8"/>
      <c r="Q467" s="8"/>
      <c r="R467" s="8"/>
      <c r="S467" s="8"/>
      <c r="T467" s="8"/>
      <c r="U467" s="12"/>
      <c r="V467" s="12"/>
      <c r="W467" s="12"/>
      <c r="X467" s="12"/>
      <c r="Y467" s="12"/>
      <c r="Z467" s="12"/>
      <c r="AA467" s="12"/>
      <c r="AB467" s="12"/>
      <c r="AC467" s="12"/>
      <c r="AD467" s="12"/>
      <c r="AE467" s="12"/>
      <c r="AF467" s="12"/>
      <c r="AG467" s="13"/>
      <c r="AH467" s="13"/>
      <c r="AI467" s="13"/>
      <c r="AJ467" s="13"/>
      <c r="AK467" s="13"/>
      <c r="AL467" s="13"/>
      <c r="AM467" s="13"/>
    </row>
    <row r="468" spans="1:39">
      <c r="A468" s="8"/>
      <c r="B468" s="8"/>
      <c r="C468" s="8"/>
      <c r="D468" s="8"/>
      <c r="E468" s="8"/>
      <c r="F468" s="8"/>
      <c r="G468" s="8"/>
      <c r="H468" s="8"/>
      <c r="I468" s="8"/>
      <c r="J468" s="8"/>
      <c r="K468" s="8"/>
      <c r="L468" s="8"/>
      <c r="M468" s="8"/>
      <c r="N468" s="8"/>
      <c r="O468" s="8"/>
      <c r="P468" s="8"/>
      <c r="Q468" s="8"/>
      <c r="R468" s="8"/>
      <c r="S468" s="8"/>
      <c r="T468" s="8"/>
      <c r="U468" s="12"/>
      <c r="V468" s="12"/>
      <c r="W468" s="12"/>
      <c r="X468" s="12"/>
      <c r="Y468" s="12"/>
      <c r="Z468" s="12"/>
      <c r="AA468" s="12"/>
      <c r="AB468" s="12"/>
      <c r="AC468" s="12"/>
      <c r="AD468" s="12"/>
      <c r="AE468" s="12"/>
      <c r="AF468" s="12"/>
      <c r="AG468" s="13"/>
      <c r="AH468" s="13"/>
      <c r="AI468" s="13"/>
      <c r="AJ468" s="13"/>
      <c r="AK468" s="13"/>
      <c r="AL468" s="13"/>
      <c r="AM468" s="13"/>
    </row>
    <row r="469" spans="1:39">
      <c r="A469" s="8"/>
      <c r="B469" s="8"/>
      <c r="C469" s="8"/>
      <c r="D469" s="8"/>
      <c r="E469" s="8"/>
      <c r="F469" s="8"/>
      <c r="G469" s="8"/>
      <c r="H469" s="8"/>
      <c r="I469" s="8"/>
      <c r="J469" s="8"/>
      <c r="K469" s="8"/>
      <c r="L469" s="8"/>
      <c r="M469" s="8"/>
      <c r="N469" s="8"/>
      <c r="O469" s="8"/>
      <c r="P469" s="8"/>
      <c r="Q469" s="8"/>
      <c r="R469" s="8"/>
      <c r="S469" s="8"/>
      <c r="T469" s="8"/>
      <c r="U469" s="12"/>
      <c r="V469" s="12"/>
      <c r="W469" s="12"/>
      <c r="X469" s="12"/>
      <c r="Y469" s="12"/>
      <c r="Z469" s="12"/>
      <c r="AA469" s="12"/>
      <c r="AB469" s="12"/>
      <c r="AC469" s="12"/>
      <c r="AD469" s="12"/>
      <c r="AE469" s="12"/>
      <c r="AF469" s="12"/>
      <c r="AG469" s="13"/>
      <c r="AH469" s="13"/>
      <c r="AI469" s="13"/>
      <c r="AJ469" s="13"/>
      <c r="AK469" s="13"/>
      <c r="AL469" s="13"/>
      <c r="AM469" s="13"/>
    </row>
    <row r="470" spans="1:39">
      <c r="A470" s="8"/>
      <c r="B470" s="8"/>
      <c r="C470" s="8"/>
      <c r="D470" s="8"/>
      <c r="E470" s="8"/>
      <c r="F470" s="8"/>
      <c r="G470" s="8"/>
      <c r="H470" s="8"/>
      <c r="I470" s="8"/>
      <c r="J470" s="8"/>
      <c r="K470" s="8"/>
      <c r="L470" s="8"/>
      <c r="M470" s="8"/>
      <c r="N470" s="8"/>
      <c r="O470" s="8"/>
      <c r="P470" s="8"/>
      <c r="Q470" s="8"/>
      <c r="R470" s="8"/>
      <c r="S470" s="8"/>
      <c r="T470" s="8"/>
      <c r="U470" s="12"/>
      <c r="V470" s="12"/>
      <c r="W470" s="12"/>
      <c r="X470" s="12"/>
      <c r="Y470" s="12"/>
      <c r="Z470" s="12"/>
      <c r="AA470" s="12"/>
      <c r="AB470" s="12"/>
      <c r="AC470" s="12"/>
      <c r="AD470" s="12"/>
      <c r="AE470" s="12"/>
      <c r="AF470" s="12"/>
      <c r="AG470" s="13"/>
      <c r="AH470" s="13"/>
      <c r="AI470" s="13"/>
      <c r="AJ470" s="13"/>
      <c r="AK470" s="13"/>
      <c r="AL470" s="13"/>
      <c r="AM470" s="13"/>
    </row>
    <row r="471" spans="1:39">
      <c r="A471" s="8"/>
      <c r="B471" s="8"/>
      <c r="C471" s="8"/>
      <c r="D471" s="8"/>
      <c r="E471" s="8"/>
      <c r="F471" s="8"/>
      <c r="G471" s="8"/>
      <c r="H471" s="8"/>
      <c r="I471" s="8"/>
      <c r="J471" s="8"/>
      <c r="K471" s="8"/>
      <c r="L471" s="8"/>
      <c r="M471" s="8"/>
      <c r="N471" s="8"/>
      <c r="O471" s="8"/>
      <c r="P471" s="8"/>
      <c r="Q471" s="8"/>
      <c r="R471" s="8"/>
      <c r="S471" s="8"/>
      <c r="T471" s="8"/>
      <c r="U471" s="12"/>
      <c r="V471" s="12"/>
      <c r="W471" s="12"/>
      <c r="X471" s="12"/>
      <c r="Y471" s="12"/>
      <c r="Z471" s="12"/>
      <c r="AA471" s="12"/>
      <c r="AB471" s="12"/>
      <c r="AC471" s="12"/>
      <c r="AD471" s="12"/>
      <c r="AE471" s="12"/>
      <c r="AF471" s="12"/>
      <c r="AG471" s="13"/>
      <c r="AH471" s="13"/>
      <c r="AI471" s="13"/>
      <c r="AJ471" s="13"/>
      <c r="AK471" s="13"/>
      <c r="AL471" s="13"/>
      <c r="AM471" s="13"/>
    </row>
    <row r="472" spans="1:39">
      <c r="A472" s="8"/>
      <c r="B472" s="8"/>
      <c r="C472" s="8"/>
      <c r="D472" s="8"/>
      <c r="E472" s="8"/>
      <c r="F472" s="8"/>
      <c r="G472" s="8"/>
      <c r="H472" s="8"/>
      <c r="I472" s="8"/>
      <c r="J472" s="8"/>
      <c r="K472" s="8"/>
      <c r="L472" s="8"/>
      <c r="M472" s="8"/>
      <c r="N472" s="8"/>
      <c r="O472" s="8"/>
      <c r="P472" s="8"/>
      <c r="Q472" s="8"/>
      <c r="R472" s="8"/>
      <c r="S472" s="8"/>
      <c r="T472" s="8"/>
      <c r="U472" s="12"/>
      <c r="V472" s="12"/>
      <c r="W472" s="12"/>
      <c r="X472" s="12"/>
      <c r="Y472" s="12"/>
      <c r="Z472" s="12"/>
      <c r="AA472" s="12"/>
      <c r="AB472" s="12"/>
      <c r="AC472" s="12"/>
      <c r="AD472" s="12"/>
      <c r="AE472" s="12"/>
      <c r="AF472" s="12"/>
      <c r="AG472" s="13"/>
      <c r="AH472" s="13"/>
      <c r="AI472" s="13"/>
      <c r="AJ472" s="13"/>
      <c r="AK472" s="13"/>
      <c r="AL472" s="13"/>
      <c r="AM472" s="13"/>
    </row>
    <row r="473" spans="1:39">
      <c r="A473" s="8"/>
      <c r="B473" s="8"/>
      <c r="C473" s="8"/>
      <c r="D473" s="8"/>
      <c r="E473" s="8"/>
      <c r="F473" s="8"/>
      <c r="G473" s="8"/>
      <c r="H473" s="8"/>
      <c r="I473" s="8"/>
      <c r="J473" s="8"/>
      <c r="K473" s="8"/>
      <c r="L473" s="8"/>
      <c r="M473" s="8"/>
      <c r="N473" s="8"/>
      <c r="O473" s="8"/>
      <c r="P473" s="8"/>
      <c r="Q473" s="8"/>
      <c r="R473" s="8"/>
      <c r="S473" s="8"/>
      <c r="T473" s="8"/>
      <c r="U473" s="12"/>
      <c r="V473" s="12"/>
      <c r="W473" s="12"/>
      <c r="X473" s="12"/>
      <c r="Y473" s="12"/>
      <c r="Z473" s="12"/>
      <c r="AA473" s="12"/>
      <c r="AB473" s="12"/>
      <c r="AC473" s="12"/>
      <c r="AD473" s="12"/>
      <c r="AE473" s="12"/>
      <c r="AF473" s="12"/>
      <c r="AG473" s="13"/>
      <c r="AH473" s="13"/>
      <c r="AI473" s="13"/>
      <c r="AJ473" s="13"/>
      <c r="AK473" s="13"/>
      <c r="AL473" s="13"/>
      <c r="AM473" s="13"/>
    </row>
    <row r="474" spans="1:39">
      <c r="A474" s="8"/>
      <c r="B474" s="8"/>
      <c r="C474" s="8"/>
      <c r="D474" s="8"/>
      <c r="E474" s="8"/>
      <c r="F474" s="8"/>
      <c r="G474" s="8"/>
      <c r="H474" s="8"/>
      <c r="I474" s="8"/>
      <c r="J474" s="8"/>
      <c r="K474" s="8"/>
      <c r="L474" s="8"/>
      <c r="M474" s="8"/>
      <c r="N474" s="8"/>
      <c r="O474" s="8"/>
      <c r="P474" s="8"/>
      <c r="Q474" s="8"/>
      <c r="R474" s="8"/>
      <c r="S474" s="8"/>
      <c r="T474" s="8"/>
      <c r="U474" s="12"/>
      <c r="V474" s="12"/>
      <c r="W474" s="12"/>
      <c r="X474" s="12"/>
      <c r="Y474" s="12"/>
      <c r="Z474" s="12"/>
      <c r="AA474" s="12"/>
      <c r="AB474" s="12"/>
      <c r="AC474" s="12"/>
      <c r="AD474" s="12"/>
      <c r="AE474" s="12"/>
      <c r="AF474" s="12"/>
      <c r="AG474" s="13"/>
      <c r="AH474" s="13"/>
      <c r="AI474" s="13"/>
      <c r="AJ474" s="13"/>
      <c r="AK474" s="13"/>
      <c r="AL474" s="13"/>
      <c r="AM474" s="13"/>
    </row>
    <row r="475" spans="1:39">
      <c r="A475" s="8"/>
      <c r="B475" s="8"/>
      <c r="C475" s="8"/>
      <c r="D475" s="8"/>
      <c r="E475" s="8"/>
      <c r="F475" s="8"/>
      <c r="G475" s="8"/>
      <c r="H475" s="8"/>
      <c r="I475" s="8"/>
      <c r="J475" s="8"/>
      <c r="K475" s="8"/>
      <c r="L475" s="8"/>
      <c r="M475" s="8"/>
      <c r="N475" s="8"/>
      <c r="O475" s="8"/>
      <c r="P475" s="8"/>
      <c r="Q475" s="8"/>
      <c r="R475" s="8"/>
      <c r="S475" s="8"/>
      <c r="T475" s="8"/>
      <c r="U475" s="12"/>
      <c r="V475" s="12"/>
      <c r="W475" s="12"/>
      <c r="X475" s="12"/>
      <c r="Y475" s="12"/>
      <c r="Z475" s="12"/>
      <c r="AA475" s="12"/>
      <c r="AB475" s="12"/>
      <c r="AC475" s="12"/>
      <c r="AD475" s="12"/>
      <c r="AE475" s="12"/>
      <c r="AF475" s="12"/>
      <c r="AG475" s="13"/>
      <c r="AH475" s="13"/>
      <c r="AI475" s="13"/>
      <c r="AJ475" s="13"/>
      <c r="AK475" s="13"/>
      <c r="AL475" s="13"/>
      <c r="AM475" s="13"/>
    </row>
    <row r="476" spans="1:39">
      <c r="A476" s="8"/>
      <c r="B476" s="8"/>
      <c r="C476" s="8"/>
      <c r="D476" s="8"/>
      <c r="E476" s="8"/>
      <c r="F476" s="8"/>
      <c r="G476" s="8"/>
      <c r="H476" s="8"/>
      <c r="I476" s="8"/>
      <c r="J476" s="8"/>
      <c r="K476" s="8"/>
      <c r="L476" s="8"/>
      <c r="M476" s="8"/>
      <c r="N476" s="8"/>
      <c r="O476" s="8"/>
      <c r="P476" s="8"/>
      <c r="Q476" s="8"/>
      <c r="R476" s="8"/>
      <c r="S476" s="8"/>
      <c r="T476" s="8"/>
      <c r="U476" s="12"/>
      <c r="V476" s="12"/>
      <c r="W476" s="12"/>
      <c r="X476" s="12"/>
      <c r="Y476" s="12"/>
      <c r="Z476" s="12"/>
      <c r="AA476" s="12"/>
      <c r="AB476" s="12"/>
      <c r="AC476" s="12"/>
      <c r="AD476" s="12"/>
      <c r="AE476" s="12"/>
      <c r="AF476" s="12"/>
      <c r="AG476" s="13"/>
      <c r="AH476" s="13"/>
      <c r="AI476" s="13"/>
      <c r="AJ476" s="13"/>
      <c r="AK476" s="13"/>
      <c r="AL476" s="13"/>
      <c r="AM476" s="13"/>
    </row>
    <row r="477" spans="1:39">
      <c r="A477" s="8"/>
      <c r="B477" s="8"/>
      <c r="C477" s="8"/>
      <c r="D477" s="8"/>
      <c r="E477" s="8"/>
      <c r="F477" s="8"/>
      <c r="G477" s="8"/>
      <c r="H477" s="8"/>
      <c r="I477" s="8"/>
      <c r="J477" s="8"/>
      <c r="K477" s="8"/>
      <c r="L477" s="8"/>
      <c r="M477" s="8"/>
      <c r="N477" s="8"/>
      <c r="O477" s="8"/>
      <c r="P477" s="8"/>
      <c r="Q477" s="8"/>
      <c r="R477" s="8"/>
      <c r="S477" s="8"/>
      <c r="T477" s="8"/>
      <c r="U477" s="12"/>
      <c r="V477" s="12"/>
      <c r="W477" s="12"/>
      <c r="X477" s="12"/>
      <c r="Y477" s="12"/>
      <c r="Z477" s="12"/>
      <c r="AA477" s="12"/>
      <c r="AB477" s="12"/>
      <c r="AC477" s="12"/>
      <c r="AD477" s="12"/>
      <c r="AE477" s="12"/>
      <c r="AF477" s="12"/>
      <c r="AG477" s="13"/>
      <c r="AH477" s="13"/>
      <c r="AI477" s="13"/>
      <c r="AJ477" s="13"/>
      <c r="AK477" s="13"/>
      <c r="AL477" s="13"/>
      <c r="AM477" s="13"/>
    </row>
    <row r="478" spans="1:39">
      <c r="A478" s="8"/>
      <c r="B478" s="8"/>
      <c r="C478" s="8"/>
      <c r="D478" s="8"/>
      <c r="E478" s="8"/>
      <c r="F478" s="8"/>
      <c r="G478" s="8"/>
      <c r="H478" s="8"/>
      <c r="I478" s="8"/>
      <c r="J478" s="8"/>
      <c r="K478" s="8"/>
      <c r="L478" s="8"/>
      <c r="M478" s="8"/>
      <c r="N478" s="8"/>
      <c r="O478" s="8"/>
      <c r="P478" s="8"/>
      <c r="Q478" s="8"/>
      <c r="R478" s="8"/>
      <c r="S478" s="8"/>
      <c r="T478" s="8"/>
      <c r="U478" s="12"/>
      <c r="V478" s="12"/>
      <c r="W478" s="12"/>
      <c r="X478" s="12"/>
      <c r="Y478" s="12"/>
      <c r="Z478" s="12"/>
      <c r="AA478" s="12"/>
      <c r="AB478" s="12"/>
      <c r="AC478" s="12"/>
      <c r="AD478" s="12"/>
      <c r="AE478" s="12"/>
      <c r="AF478" s="12"/>
      <c r="AG478" s="13"/>
      <c r="AH478" s="13"/>
      <c r="AI478" s="13"/>
      <c r="AJ478" s="13"/>
      <c r="AK478" s="13"/>
      <c r="AL478" s="13"/>
      <c r="AM478" s="13"/>
    </row>
    <row r="479" spans="1:39">
      <c r="A479" s="8"/>
      <c r="B479" s="8"/>
      <c r="C479" s="8"/>
      <c r="D479" s="8"/>
      <c r="E479" s="8"/>
      <c r="F479" s="8"/>
      <c r="G479" s="8"/>
      <c r="H479" s="8"/>
      <c r="I479" s="8"/>
      <c r="J479" s="8"/>
      <c r="K479" s="8"/>
      <c r="L479" s="8"/>
      <c r="M479" s="8"/>
      <c r="N479" s="8"/>
      <c r="O479" s="8"/>
      <c r="P479" s="8"/>
      <c r="Q479" s="8"/>
      <c r="R479" s="8"/>
      <c r="S479" s="8"/>
      <c r="T479" s="8"/>
      <c r="U479" s="12"/>
      <c r="V479" s="12"/>
      <c r="W479" s="12"/>
      <c r="X479" s="12"/>
      <c r="Y479" s="12"/>
      <c r="Z479" s="12"/>
      <c r="AA479" s="12"/>
      <c r="AB479" s="12"/>
      <c r="AC479" s="12"/>
      <c r="AD479" s="12"/>
      <c r="AE479" s="12"/>
      <c r="AF479" s="12"/>
      <c r="AG479" s="13"/>
      <c r="AH479" s="13"/>
      <c r="AI479" s="13"/>
      <c r="AJ479" s="13"/>
      <c r="AK479" s="13"/>
      <c r="AL479" s="13"/>
      <c r="AM479" s="13"/>
    </row>
    <row r="480" spans="1:39">
      <c r="A480" s="8"/>
      <c r="B480" s="8"/>
      <c r="C480" s="8"/>
      <c r="D480" s="8"/>
      <c r="E480" s="8"/>
      <c r="F480" s="8"/>
      <c r="G480" s="8"/>
      <c r="H480" s="8"/>
      <c r="I480" s="8"/>
      <c r="J480" s="8"/>
      <c r="K480" s="8"/>
      <c r="L480" s="8"/>
      <c r="M480" s="8"/>
      <c r="N480" s="8"/>
      <c r="O480" s="8"/>
      <c r="P480" s="8"/>
      <c r="Q480" s="8"/>
      <c r="R480" s="8"/>
      <c r="S480" s="8"/>
      <c r="T480" s="8"/>
      <c r="U480" s="12"/>
      <c r="V480" s="12"/>
      <c r="W480" s="12"/>
      <c r="X480" s="12"/>
      <c r="Y480" s="12"/>
      <c r="Z480" s="12"/>
      <c r="AA480" s="12"/>
      <c r="AB480" s="12"/>
      <c r="AC480" s="12"/>
      <c r="AD480" s="12"/>
      <c r="AE480" s="12"/>
      <c r="AF480" s="12"/>
      <c r="AG480" s="13"/>
      <c r="AH480" s="13"/>
      <c r="AI480" s="13"/>
      <c r="AJ480" s="13"/>
      <c r="AK480" s="13"/>
      <c r="AL480" s="13"/>
      <c r="AM480" s="13"/>
    </row>
    <row r="481" spans="1:39">
      <c r="A481" s="8"/>
      <c r="B481" s="8"/>
      <c r="C481" s="8"/>
      <c r="D481" s="8"/>
      <c r="E481" s="8"/>
      <c r="F481" s="8"/>
      <c r="G481" s="8"/>
      <c r="H481" s="8"/>
      <c r="I481" s="8"/>
      <c r="J481" s="8"/>
      <c r="K481" s="8"/>
      <c r="L481" s="8"/>
      <c r="M481" s="8"/>
      <c r="N481" s="8"/>
      <c r="O481" s="8"/>
      <c r="P481" s="8"/>
      <c r="Q481" s="8"/>
      <c r="R481" s="8"/>
      <c r="S481" s="8"/>
      <c r="T481" s="8"/>
      <c r="U481" s="12"/>
      <c r="V481" s="12"/>
      <c r="W481" s="12"/>
      <c r="X481" s="12"/>
      <c r="Y481" s="12"/>
      <c r="Z481" s="12"/>
      <c r="AA481" s="12"/>
      <c r="AB481" s="12"/>
      <c r="AC481" s="12"/>
      <c r="AD481" s="12"/>
      <c r="AE481" s="12"/>
      <c r="AF481" s="12"/>
      <c r="AG481" s="13"/>
      <c r="AH481" s="13"/>
      <c r="AI481" s="13"/>
      <c r="AJ481" s="13"/>
      <c r="AK481" s="13"/>
      <c r="AL481" s="13"/>
      <c r="AM481" s="13"/>
    </row>
    <row r="482" spans="1:39">
      <c r="A482" s="8"/>
      <c r="B482" s="8"/>
      <c r="C482" s="8"/>
      <c r="D482" s="8"/>
      <c r="E482" s="8"/>
      <c r="F482" s="8"/>
      <c r="G482" s="8"/>
      <c r="H482" s="8"/>
      <c r="I482" s="8"/>
      <c r="J482" s="8"/>
      <c r="K482" s="8"/>
      <c r="L482" s="8"/>
      <c r="M482" s="8"/>
      <c r="N482" s="8"/>
      <c r="O482" s="8"/>
      <c r="P482" s="8"/>
      <c r="Q482" s="8"/>
      <c r="R482" s="8"/>
      <c r="S482" s="8"/>
      <c r="T482" s="8"/>
      <c r="U482" s="12"/>
      <c r="V482" s="12"/>
      <c r="W482" s="12"/>
      <c r="X482" s="12"/>
      <c r="Y482" s="12"/>
      <c r="Z482" s="12"/>
      <c r="AA482" s="12"/>
      <c r="AB482" s="12"/>
      <c r="AC482" s="12"/>
      <c r="AD482" s="12"/>
      <c r="AE482" s="12"/>
      <c r="AF482" s="12"/>
      <c r="AG482" s="13"/>
      <c r="AH482" s="13"/>
      <c r="AI482" s="13"/>
      <c r="AJ482" s="13"/>
      <c r="AK482" s="13"/>
      <c r="AL482" s="13"/>
      <c r="AM482" s="13"/>
    </row>
    <row r="483" spans="1:39">
      <c r="A483" s="8"/>
      <c r="B483" s="8"/>
      <c r="C483" s="8"/>
      <c r="D483" s="8"/>
      <c r="E483" s="8"/>
      <c r="F483" s="8"/>
      <c r="G483" s="8"/>
      <c r="H483" s="8"/>
      <c r="I483" s="8"/>
      <c r="J483" s="8"/>
      <c r="K483" s="8"/>
      <c r="L483" s="8"/>
      <c r="M483" s="8"/>
      <c r="N483" s="8"/>
      <c r="O483" s="8"/>
      <c r="P483" s="8"/>
      <c r="Q483" s="8"/>
      <c r="R483" s="8"/>
      <c r="S483" s="8"/>
      <c r="T483" s="8"/>
      <c r="U483" s="12"/>
      <c r="V483" s="12"/>
      <c r="W483" s="12"/>
      <c r="X483" s="12"/>
      <c r="Y483" s="12"/>
      <c r="Z483" s="12"/>
      <c r="AA483" s="12"/>
      <c r="AB483" s="12"/>
      <c r="AC483" s="12"/>
      <c r="AD483" s="12"/>
      <c r="AE483" s="12"/>
      <c r="AF483" s="12"/>
      <c r="AG483" s="13"/>
      <c r="AH483" s="13"/>
      <c r="AI483" s="13"/>
      <c r="AJ483" s="13"/>
      <c r="AK483" s="13"/>
      <c r="AL483" s="13"/>
      <c r="AM483" s="13"/>
    </row>
    <row r="484" spans="1:39">
      <c r="A484" s="8"/>
      <c r="B484" s="8"/>
      <c r="C484" s="8"/>
      <c r="D484" s="8"/>
      <c r="E484" s="8"/>
      <c r="F484" s="8"/>
      <c r="G484" s="8"/>
      <c r="H484" s="8"/>
      <c r="I484" s="8"/>
      <c r="J484" s="8"/>
      <c r="K484" s="8"/>
      <c r="L484" s="8"/>
      <c r="M484" s="8"/>
      <c r="N484" s="8"/>
      <c r="O484" s="8"/>
      <c r="P484" s="8"/>
      <c r="Q484" s="8"/>
      <c r="R484" s="8"/>
      <c r="S484" s="8"/>
      <c r="T484" s="8"/>
      <c r="U484" s="12"/>
      <c r="V484" s="12"/>
      <c r="W484" s="12"/>
      <c r="X484" s="12"/>
      <c r="Y484" s="12"/>
      <c r="Z484" s="12"/>
      <c r="AA484" s="12"/>
      <c r="AB484" s="12"/>
      <c r="AC484" s="12"/>
      <c r="AD484" s="12"/>
      <c r="AE484" s="12"/>
      <c r="AF484" s="12"/>
      <c r="AG484" s="13"/>
      <c r="AH484" s="13"/>
      <c r="AI484" s="13"/>
      <c r="AJ484" s="13"/>
      <c r="AK484" s="13"/>
      <c r="AL484" s="13"/>
      <c r="AM484" s="13"/>
    </row>
    <row r="485" spans="1:39">
      <c r="A485" s="8"/>
      <c r="B485" s="8"/>
      <c r="C485" s="8"/>
      <c r="D485" s="8"/>
      <c r="E485" s="8"/>
      <c r="F485" s="8"/>
      <c r="G485" s="8"/>
      <c r="H485" s="8"/>
      <c r="I485" s="8"/>
      <c r="J485" s="8"/>
      <c r="K485" s="8"/>
      <c r="L485" s="8"/>
      <c r="M485" s="8"/>
      <c r="N485" s="8"/>
      <c r="O485" s="8"/>
      <c r="P485" s="8"/>
      <c r="Q485" s="8"/>
      <c r="R485" s="8"/>
      <c r="S485" s="8"/>
      <c r="T485" s="8"/>
      <c r="U485" s="12"/>
      <c r="V485" s="12"/>
      <c r="W485" s="12"/>
      <c r="X485" s="12"/>
      <c r="Y485" s="12"/>
      <c r="Z485" s="12"/>
      <c r="AA485" s="12"/>
      <c r="AB485" s="12"/>
      <c r="AC485" s="12"/>
      <c r="AD485" s="12"/>
      <c r="AE485" s="12"/>
      <c r="AF485" s="12"/>
      <c r="AG485" s="13"/>
      <c r="AH485" s="13"/>
      <c r="AI485" s="13"/>
      <c r="AJ485" s="13"/>
      <c r="AK485" s="13"/>
      <c r="AL485" s="13"/>
      <c r="AM485" s="13"/>
    </row>
    <row r="486" spans="1:39">
      <c r="A486" s="8"/>
      <c r="B486" s="8"/>
      <c r="C486" s="8"/>
      <c r="D486" s="8"/>
      <c r="E486" s="8"/>
      <c r="F486" s="8"/>
      <c r="G486" s="8"/>
      <c r="H486" s="8"/>
      <c r="I486" s="8"/>
      <c r="J486" s="8"/>
      <c r="K486" s="8"/>
      <c r="L486" s="8"/>
      <c r="M486" s="8"/>
      <c r="N486" s="8"/>
      <c r="O486" s="8"/>
      <c r="P486" s="8"/>
      <c r="Q486" s="8"/>
      <c r="R486" s="8"/>
      <c r="S486" s="8"/>
      <c r="T486" s="8"/>
      <c r="U486" s="12"/>
      <c r="V486" s="12"/>
      <c r="W486" s="12"/>
      <c r="X486" s="12"/>
      <c r="Y486" s="12"/>
      <c r="Z486" s="12"/>
      <c r="AA486" s="12"/>
      <c r="AB486" s="12"/>
      <c r="AC486" s="12"/>
      <c r="AD486" s="12"/>
      <c r="AE486" s="12"/>
      <c r="AF486" s="12"/>
      <c r="AG486" s="13"/>
      <c r="AH486" s="13"/>
      <c r="AI486" s="13"/>
      <c r="AJ486" s="13"/>
      <c r="AK486" s="13"/>
      <c r="AL486" s="13"/>
      <c r="AM486" s="13"/>
    </row>
    <row r="487" spans="1:39">
      <c r="A487" s="8"/>
      <c r="B487" s="8"/>
      <c r="C487" s="8"/>
      <c r="D487" s="8"/>
      <c r="E487" s="8"/>
      <c r="F487" s="8"/>
      <c r="G487" s="8"/>
      <c r="H487" s="8"/>
      <c r="I487" s="8"/>
      <c r="J487" s="8"/>
      <c r="K487" s="8"/>
      <c r="L487" s="8"/>
      <c r="M487" s="8"/>
      <c r="N487" s="8"/>
      <c r="O487" s="8"/>
      <c r="P487" s="8"/>
      <c r="Q487" s="8"/>
      <c r="R487" s="8"/>
      <c r="S487" s="8"/>
      <c r="T487" s="8"/>
      <c r="U487" s="12"/>
      <c r="V487" s="12"/>
      <c r="W487" s="12"/>
      <c r="X487" s="12"/>
      <c r="Y487" s="12"/>
      <c r="Z487" s="12"/>
      <c r="AA487" s="12"/>
      <c r="AB487" s="12"/>
      <c r="AC487" s="12"/>
      <c r="AD487" s="12"/>
      <c r="AE487" s="12"/>
      <c r="AF487" s="12"/>
      <c r="AG487" s="13"/>
      <c r="AH487" s="13"/>
      <c r="AI487" s="13"/>
      <c r="AJ487" s="13"/>
      <c r="AK487" s="13"/>
      <c r="AL487" s="13"/>
      <c r="AM487" s="13"/>
    </row>
    <row r="488" spans="1:39">
      <c r="A488" s="8"/>
      <c r="B488" s="8"/>
      <c r="C488" s="8"/>
      <c r="D488" s="8"/>
      <c r="E488" s="8"/>
      <c r="F488" s="8"/>
      <c r="G488" s="8"/>
      <c r="H488" s="8"/>
      <c r="I488" s="8"/>
      <c r="J488" s="8"/>
      <c r="K488" s="8"/>
      <c r="L488" s="8"/>
      <c r="M488" s="8"/>
      <c r="N488" s="8"/>
      <c r="O488" s="8"/>
      <c r="P488" s="8"/>
      <c r="Q488" s="8"/>
      <c r="R488" s="8"/>
      <c r="S488" s="8"/>
      <c r="T488" s="8"/>
      <c r="U488" s="12"/>
      <c r="V488" s="12"/>
      <c r="W488" s="12"/>
      <c r="X488" s="12"/>
      <c r="Y488" s="12"/>
      <c r="Z488" s="12"/>
      <c r="AA488" s="12"/>
      <c r="AB488" s="12"/>
      <c r="AC488" s="12"/>
      <c r="AD488" s="12"/>
      <c r="AE488" s="12"/>
      <c r="AF488" s="12"/>
      <c r="AG488" s="13"/>
      <c r="AH488" s="13"/>
      <c r="AI488" s="13"/>
      <c r="AJ488" s="13"/>
      <c r="AK488" s="13"/>
      <c r="AL488" s="13"/>
      <c r="AM488" s="13"/>
    </row>
    <row r="489" spans="1:39">
      <c r="A489" s="8"/>
      <c r="B489" s="8"/>
      <c r="C489" s="8"/>
      <c r="D489" s="8"/>
      <c r="E489" s="8"/>
      <c r="F489" s="8"/>
      <c r="G489" s="8"/>
      <c r="H489" s="8"/>
      <c r="I489" s="8"/>
      <c r="J489" s="8"/>
      <c r="K489" s="8"/>
      <c r="L489" s="8"/>
      <c r="M489" s="8"/>
      <c r="N489" s="8"/>
      <c r="O489" s="8"/>
      <c r="P489" s="8"/>
      <c r="Q489" s="8"/>
      <c r="R489" s="8"/>
      <c r="S489" s="8"/>
      <c r="T489" s="8"/>
      <c r="U489" s="12"/>
      <c r="V489" s="12"/>
      <c r="W489" s="12"/>
      <c r="X489" s="12"/>
      <c r="Y489" s="12"/>
      <c r="Z489" s="12"/>
      <c r="AA489" s="12"/>
      <c r="AB489" s="12"/>
      <c r="AC489" s="12"/>
      <c r="AD489" s="12"/>
      <c r="AE489" s="12"/>
      <c r="AF489" s="12"/>
      <c r="AG489" s="13"/>
      <c r="AH489" s="13"/>
      <c r="AI489" s="13"/>
      <c r="AJ489" s="13"/>
      <c r="AK489" s="13"/>
      <c r="AL489" s="13"/>
      <c r="AM489" s="13"/>
    </row>
    <row r="490" spans="1:39">
      <c r="A490" s="8"/>
      <c r="B490" s="8"/>
      <c r="C490" s="8"/>
      <c r="D490" s="8"/>
      <c r="E490" s="8"/>
      <c r="F490" s="8"/>
      <c r="G490" s="8"/>
      <c r="H490" s="8"/>
      <c r="I490" s="8"/>
      <c r="J490" s="8"/>
      <c r="K490" s="8"/>
      <c r="L490" s="8"/>
      <c r="M490" s="8"/>
      <c r="N490" s="8"/>
      <c r="O490" s="8"/>
      <c r="P490" s="8"/>
      <c r="Q490" s="8"/>
      <c r="R490" s="8"/>
      <c r="S490" s="8"/>
      <c r="T490" s="8"/>
      <c r="U490" s="12"/>
      <c r="V490" s="12"/>
      <c r="W490" s="12"/>
      <c r="X490" s="12"/>
      <c r="Y490" s="12"/>
      <c r="Z490" s="12"/>
      <c r="AA490" s="12"/>
      <c r="AB490" s="12"/>
      <c r="AC490" s="12"/>
      <c r="AD490" s="12"/>
      <c r="AE490" s="12"/>
      <c r="AF490" s="12"/>
      <c r="AG490" s="13"/>
      <c r="AH490" s="13"/>
      <c r="AI490" s="13"/>
      <c r="AJ490" s="13"/>
      <c r="AK490" s="13"/>
      <c r="AL490" s="13"/>
      <c r="AM490" s="13"/>
    </row>
    <row r="491" spans="1:39">
      <c r="A491" s="8"/>
      <c r="B491" s="8"/>
      <c r="C491" s="8"/>
      <c r="D491" s="8"/>
      <c r="E491" s="8"/>
      <c r="F491" s="8"/>
      <c r="G491" s="8"/>
      <c r="H491" s="8"/>
      <c r="I491" s="8"/>
      <c r="J491" s="8"/>
      <c r="K491" s="8"/>
      <c r="L491" s="8"/>
      <c r="M491" s="8"/>
      <c r="N491" s="8"/>
      <c r="O491" s="8"/>
      <c r="P491" s="8"/>
      <c r="Q491" s="8"/>
      <c r="R491" s="8"/>
      <c r="S491" s="8"/>
      <c r="T491" s="8"/>
      <c r="U491" s="12"/>
      <c r="V491" s="12"/>
      <c r="W491" s="12"/>
      <c r="X491" s="12"/>
      <c r="Y491" s="12"/>
      <c r="Z491" s="12"/>
      <c r="AA491" s="12"/>
      <c r="AB491" s="12"/>
      <c r="AC491" s="12"/>
      <c r="AD491" s="12"/>
      <c r="AE491" s="12"/>
      <c r="AF491" s="12"/>
      <c r="AG491" s="13"/>
      <c r="AH491" s="13"/>
      <c r="AI491" s="13"/>
      <c r="AJ491" s="13"/>
      <c r="AK491" s="13"/>
      <c r="AL491" s="13"/>
      <c r="AM491" s="13"/>
    </row>
    <row r="492" spans="1:39">
      <c r="A492" s="8"/>
      <c r="B492" s="8"/>
      <c r="C492" s="8"/>
      <c r="D492" s="8"/>
      <c r="E492" s="8"/>
      <c r="F492" s="8"/>
      <c r="G492" s="8"/>
      <c r="H492" s="8"/>
      <c r="I492" s="8"/>
      <c r="J492" s="8"/>
      <c r="K492" s="8"/>
      <c r="L492" s="8"/>
      <c r="M492" s="8"/>
      <c r="N492" s="8"/>
      <c r="O492" s="8"/>
      <c r="P492" s="8"/>
      <c r="Q492" s="8"/>
      <c r="R492" s="8"/>
      <c r="S492" s="8"/>
      <c r="T492" s="8"/>
      <c r="U492" s="12"/>
      <c r="V492" s="12"/>
      <c r="W492" s="12"/>
      <c r="X492" s="12"/>
      <c r="Y492" s="12"/>
      <c r="Z492" s="12"/>
      <c r="AA492" s="12"/>
      <c r="AB492" s="12"/>
      <c r="AC492" s="12"/>
      <c r="AD492" s="12"/>
      <c r="AE492" s="12"/>
      <c r="AF492" s="12"/>
      <c r="AG492" s="13"/>
      <c r="AH492" s="13"/>
      <c r="AI492" s="13"/>
      <c r="AJ492" s="13"/>
      <c r="AK492" s="13"/>
      <c r="AL492" s="13"/>
      <c r="AM492" s="13"/>
    </row>
    <row r="493" spans="1:39">
      <c r="A493" s="8"/>
      <c r="B493" s="8"/>
      <c r="C493" s="8"/>
      <c r="D493" s="8"/>
      <c r="E493" s="8"/>
      <c r="F493" s="8"/>
      <c r="G493" s="8"/>
      <c r="H493" s="8"/>
      <c r="I493" s="8"/>
      <c r="J493" s="8"/>
      <c r="K493" s="8"/>
      <c r="L493" s="8"/>
      <c r="M493" s="8"/>
      <c r="N493" s="8"/>
      <c r="O493" s="8"/>
      <c r="P493" s="8"/>
      <c r="Q493" s="8"/>
      <c r="R493" s="8"/>
      <c r="S493" s="8"/>
      <c r="T493" s="8"/>
      <c r="U493" s="12"/>
      <c r="V493" s="12"/>
      <c r="W493" s="12"/>
      <c r="X493" s="12"/>
      <c r="Y493" s="12"/>
      <c r="Z493" s="12"/>
      <c r="AA493" s="12"/>
      <c r="AB493" s="12"/>
      <c r="AC493" s="12"/>
      <c r="AD493" s="12"/>
      <c r="AE493" s="12"/>
      <c r="AF493" s="12"/>
      <c r="AG493" s="13"/>
      <c r="AH493" s="13"/>
      <c r="AI493" s="13"/>
      <c r="AJ493" s="13"/>
      <c r="AK493" s="13"/>
      <c r="AL493" s="13"/>
      <c r="AM493" s="13"/>
    </row>
    <row r="494" spans="1:39">
      <c r="A494" s="8"/>
      <c r="B494" s="8"/>
      <c r="C494" s="8"/>
      <c r="D494" s="8"/>
      <c r="E494" s="8"/>
      <c r="F494" s="8"/>
      <c r="G494" s="8"/>
      <c r="H494" s="8"/>
      <c r="I494" s="8"/>
      <c r="J494" s="8"/>
      <c r="K494" s="8"/>
      <c r="L494" s="8"/>
      <c r="M494" s="8"/>
      <c r="N494" s="8"/>
      <c r="O494" s="8"/>
      <c r="P494" s="8"/>
      <c r="Q494" s="8"/>
      <c r="R494" s="8"/>
      <c r="S494" s="8"/>
      <c r="T494" s="8"/>
      <c r="U494" s="12"/>
      <c r="V494" s="12"/>
      <c r="W494" s="12"/>
      <c r="X494" s="12"/>
      <c r="Y494" s="12"/>
      <c r="Z494" s="12"/>
      <c r="AA494" s="12"/>
      <c r="AB494" s="12"/>
      <c r="AC494" s="12"/>
      <c r="AD494" s="12"/>
      <c r="AE494" s="12"/>
      <c r="AF494" s="12"/>
      <c r="AG494" s="13"/>
      <c r="AH494" s="13"/>
      <c r="AI494" s="13"/>
      <c r="AJ494" s="13"/>
      <c r="AK494" s="13"/>
      <c r="AL494" s="13"/>
      <c r="AM494" s="13"/>
    </row>
    <row r="495" spans="1:39">
      <c r="A495" s="8"/>
      <c r="B495" s="8"/>
      <c r="C495" s="8"/>
      <c r="D495" s="8"/>
      <c r="E495" s="8"/>
      <c r="F495" s="8"/>
      <c r="G495" s="8"/>
      <c r="H495" s="8"/>
      <c r="I495" s="8"/>
      <c r="J495" s="8"/>
      <c r="K495" s="8"/>
      <c r="L495" s="8"/>
      <c r="M495" s="8"/>
      <c r="N495" s="8"/>
      <c r="O495" s="8"/>
      <c r="P495" s="8"/>
      <c r="Q495" s="8"/>
      <c r="R495" s="8"/>
      <c r="S495" s="8"/>
      <c r="T495" s="8"/>
      <c r="U495" s="12"/>
      <c r="V495" s="12"/>
      <c r="W495" s="12"/>
      <c r="X495" s="12"/>
      <c r="Y495" s="12"/>
      <c r="Z495" s="12"/>
      <c r="AA495" s="12"/>
      <c r="AB495" s="12"/>
      <c r="AC495" s="12"/>
      <c r="AD495" s="12"/>
      <c r="AE495" s="12"/>
      <c r="AF495" s="12"/>
      <c r="AG495" s="13"/>
      <c r="AH495" s="13"/>
      <c r="AI495" s="13"/>
      <c r="AJ495" s="13"/>
      <c r="AK495" s="13"/>
      <c r="AL495" s="13"/>
      <c r="AM495" s="13"/>
    </row>
    <row r="496" spans="1:39">
      <c r="A496" s="8"/>
      <c r="B496" s="8"/>
      <c r="C496" s="8"/>
      <c r="D496" s="8"/>
      <c r="E496" s="8"/>
      <c r="F496" s="8"/>
      <c r="G496" s="8"/>
      <c r="H496" s="8"/>
      <c r="I496" s="8"/>
      <c r="J496" s="8"/>
      <c r="K496" s="8"/>
      <c r="L496" s="8"/>
      <c r="M496" s="8"/>
      <c r="N496" s="8"/>
      <c r="O496" s="8"/>
      <c r="P496" s="8"/>
      <c r="Q496" s="8"/>
      <c r="R496" s="8"/>
      <c r="S496" s="8"/>
      <c r="T496" s="8"/>
      <c r="U496" s="12"/>
      <c r="V496" s="12"/>
      <c r="W496" s="12"/>
      <c r="X496" s="12"/>
      <c r="Y496" s="12"/>
      <c r="Z496" s="12"/>
      <c r="AA496" s="12"/>
      <c r="AB496" s="12"/>
      <c r="AC496" s="12"/>
      <c r="AD496" s="12"/>
      <c r="AE496" s="12"/>
      <c r="AF496" s="12"/>
      <c r="AG496" s="13"/>
      <c r="AH496" s="13"/>
      <c r="AI496" s="13"/>
      <c r="AJ496" s="13"/>
      <c r="AK496" s="13"/>
      <c r="AL496" s="13"/>
      <c r="AM496" s="13"/>
    </row>
    <row r="497" spans="1:39">
      <c r="A497" s="8"/>
      <c r="B497" s="8"/>
      <c r="C497" s="8"/>
      <c r="D497" s="8"/>
      <c r="E497" s="8"/>
      <c r="F497" s="8"/>
      <c r="G497" s="8"/>
      <c r="H497" s="8"/>
      <c r="I497" s="8"/>
      <c r="J497" s="8"/>
      <c r="K497" s="8"/>
      <c r="L497" s="8"/>
      <c r="M497" s="8"/>
      <c r="N497" s="8"/>
      <c r="O497" s="8"/>
      <c r="P497" s="8"/>
      <c r="Q497" s="8"/>
      <c r="R497" s="8"/>
      <c r="S497" s="8"/>
      <c r="T497" s="8"/>
      <c r="U497" s="12"/>
      <c r="V497" s="12"/>
      <c r="W497" s="12"/>
      <c r="X497" s="12"/>
      <c r="Y497" s="12"/>
      <c r="Z497" s="12"/>
      <c r="AA497" s="12"/>
      <c r="AB497" s="12"/>
      <c r="AC497" s="12"/>
      <c r="AD497" s="12"/>
      <c r="AE497" s="12"/>
      <c r="AF497" s="12"/>
      <c r="AG497" s="13"/>
      <c r="AH497" s="13"/>
      <c r="AI497" s="13"/>
      <c r="AJ497" s="13"/>
      <c r="AK497" s="13"/>
      <c r="AL497" s="13"/>
      <c r="AM497" s="13"/>
    </row>
    <row r="498" spans="1:39">
      <c r="A498" s="8"/>
      <c r="B498" s="8"/>
      <c r="C498" s="8"/>
      <c r="D498" s="8"/>
      <c r="E498" s="8"/>
      <c r="F498" s="8"/>
      <c r="G498" s="8"/>
      <c r="H498" s="8"/>
      <c r="I498" s="8"/>
      <c r="J498" s="8"/>
      <c r="K498" s="8"/>
      <c r="L498" s="8"/>
      <c r="M498" s="8"/>
      <c r="N498" s="8"/>
      <c r="O498" s="8"/>
      <c r="P498" s="8"/>
      <c r="Q498" s="8"/>
      <c r="R498" s="8"/>
      <c r="S498" s="8"/>
      <c r="T498" s="8"/>
      <c r="U498" s="12"/>
      <c r="V498" s="12"/>
      <c r="W498" s="12"/>
      <c r="X498" s="12"/>
      <c r="Y498" s="12"/>
      <c r="Z498" s="12"/>
      <c r="AA498" s="12"/>
      <c r="AB498" s="12"/>
      <c r="AC498" s="12"/>
      <c r="AD498" s="12"/>
      <c r="AE498" s="12"/>
      <c r="AF498" s="12"/>
      <c r="AG498" s="13"/>
      <c r="AH498" s="13"/>
      <c r="AI498" s="13"/>
      <c r="AJ498" s="13"/>
      <c r="AK498" s="13"/>
      <c r="AL498" s="13"/>
      <c r="AM498" s="13"/>
    </row>
    <row r="499" spans="1:39">
      <c r="A499" s="8"/>
      <c r="B499" s="8"/>
      <c r="C499" s="8"/>
      <c r="D499" s="8"/>
      <c r="E499" s="8"/>
      <c r="F499" s="8"/>
      <c r="G499" s="8"/>
      <c r="H499" s="8"/>
      <c r="I499" s="8"/>
      <c r="J499" s="8"/>
      <c r="K499" s="8"/>
      <c r="L499" s="8"/>
      <c r="M499" s="8"/>
      <c r="N499" s="8"/>
      <c r="O499" s="8"/>
      <c r="P499" s="8"/>
      <c r="Q499" s="8"/>
      <c r="R499" s="8"/>
      <c r="S499" s="8"/>
      <c r="T499" s="8"/>
      <c r="U499" s="12"/>
      <c r="V499" s="12"/>
      <c r="W499" s="12"/>
      <c r="X499" s="12"/>
      <c r="Y499" s="12"/>
      <c r="Z499" s="12"/>
      <c r="AA499" s="12"/>
      <c r="AB499" s="12"/>
      <c r="AC499" s="12"/>
      <c r="AD499" s="12"/>
      <c r="AE499" s="12"/>
      <c r="AF499" s="12"/>
      <c r="AG499" s="13"/>
      <c r="AH499" s="13"/>
      <c r="AI499" s="13"/>
      <c r="AJ499" s="13"/>
      <c r="AK499" s="13"/>
      <c r="AL499" s="13"/>
      <c r="AM499" s="13"/>
    </row>
    <row r="500" spans="1:39">
      <c r="A500" s="8"/>
      <c r="B500" s="8"/>
      <c r="C500" s="8"/>
      <c r="D500" s="8"/>
      <c r="E500" s="8"/>
      <c r="F500" s="8"/>
      <c r="G500" s="8"/>
      <c r="H500" s="8"/>
      <c r="I500" s="8"/>
      <c r="J500" s="8"/>
      <c r="K500" s="8"/>
      <c r="L500" s="8"/>
      <c r="M500" s="8"/>
      <c r="N500" s="8"/>
      <c r="O500" s="8"/>
      <c r="P500" s="8"/>
      <c r="Q500" s="8"/>
      <c r="R500" s="8"/>
      <c r="S500" s="8"/>
      <c r="T500" s="8"/>
      <c r="U500" s="12"/>
      <c r="V500" s="12"/>
      <c r="W500" s="12"/>
      <c r="X500" s="12"/>
      <c r="Y500" s="12"/>
      <c r="Z500" s="12"/>
      <c r="AA500" s="12"/>
      <c r="AB500" s="12"/>
      <c r="AC500" s="12"/>
      <c r="AD500" s="12"/>
      <c r="AE500" s="12"/>
      <c r="AF500" s="12"/>
      <c r="AG500" s="13"/>
      <c r="AH500" s="13"/>
      <c r="AI500" s="13"/>
      <c r="AJ500" s="13"/>
      <c r="AK500" s="13"/>
      <c r="AL500" s="13"/>
      <c r="AM500" s="13"/>
    </row>
    <row r="501" spans="1:39">
      <c r="A501" s="8"/>
      <c r="B501" s="8"/>
      <c r="C501" s="8"/>
      <c r="D501" s="8"/>
      <c r="E501" s="8"/>
      <c r="F501" s="8"/>
      <c r="G501" s="8"/>
      <c r="H501" s="8"/>
      <c r="I501" s="8"/>
      <c r="J501" s="8"/>
      <c r="K501" s="8"/>
      <c r="L501" s="8"/>
      <c r="M501" s="8"/>
      <c r="N501" s="8"/>
      <c r="O501" s="8"/>
      <c r="P501" s="8"/>
      <c r="Q501" s="8"/>
      <c r="R501" s="8"/>
      <c r="S501" s="8"/>
      <c r="T501" s="8"/>
      <c r="U501" s="12"/>
      <c r="V501" s="12"/>
      <c r="W501" s="12"/>
      <c r="X501" s="12"/>
      <c r="Y501" s="12"/>
      <c r="Z501" s="12"/>
      <c r="AA501" s="12"/>
      <c r="AB501" s="12"/>
      <c r="AC501" s="12"/>
      <c r="AD501" s="12"/>
      <c r="AE501" s="12"/>
      <c r="AF501" s="12"/>
      <c r="AG501" s="13"/>
      <c r="AH501" s="13"/>
      <c r="AI501" s="13"/>
      <c r="AJ501" s="13"/>
      <c r="AK501" s="13"/>
      <c r="AL501" s="13"/>
      <c r="AM501" s="13"/>
    </row>
    <row r="502" spans="1:39">
      <c r="A502" s="8"/>
      <c r="B502" s="8"/>
      <c r="C502" s="8"/>
      <c r="D502" s="8"/>
      <c r="E502" s="8"/>
      <c r="F502" s="8"/>
      <c r="G502" s="8"/>
      <c r="H502" s="8"/>
      <c r="I502" s="8"/>
      <c r="J502" s="8"/>
      <c r="K502" s="8"/>
      <c r="L502" s="8"/>
      <c r="M502" s="8"/>
      <c r="N502" s="8"/>
      <c r="O502" s="8"/>
      <c r="P502" s="8"/>
      <c r="Q502" s="8"/>
      <c r="R502" s="8"/>
      <c r="S502" s="8"/>
      <c r="T502" s="8"/>
      <c r="U502" s="12"/>
      <c r="V502" s="12"/>
      <c r="W502" s="12"/>
      <c r="X502" s="12"/>
      <c r="Y502" s="12"/>
      <c r="Z502" s="12"/>
      <c r="AA502" s="12"/>
      <c r="AB502" s="12"/>
      <c r="AC502" s="12"/>
      <c r="AD502" s="12"/>
      <c r="AE502" s="12"/>
      <c r="AF502" s="12"/>
      <c r="AG502" s="13"/>
      <c r="AH502" s="13"/>
      <c r="AI502" s="13"/>
      <c r="AJ502" s="13"/>
      <c r="AK502" s="13"/>
      <c r="AL502" s="13"/>
      <c r="AM502" s="13"/>
    </row>
    <row r="503" spans="1:39">
      <c r="A503" s="8"/>
      <c r="B503" s="8"/>
      <c r="C503" s="8"/>
      <c r="D503" s="8"/>
      <c r="E503" s="8"/>
      <c r="F503" s="8"/>
      <c r="G503" s="8"/>
      <c r="H503" s="8"/>
      <c r="I503" s="8"/>
      <c r="J503" s="8"/>
      <c r="K503" s="8"/>
      <c r="L503" s="8"/>
      <c r="M503" s="8"/>
      <c r="N503" s="8"/>
      <c r="O503" s="8"/>
      <c r="P503" s="8"/>
      <c r="Q503" s="8"/>
      <c r="R503" s="8"/>
      <c r="S503" s="8"/>
      <c r="T503" s="8"/>
      <c r="U503" s="12"/>
      <c r="V503" s="12"/>
      <c r="W503" s="12"/>
      <c r="X503" s="12"/>
      <c r="Y503" s="12"/>
      <c r="Z503" s="12"/>
      <c r="AA503" s="12"/>
      <c r="AB503" s="12"/>
      <c r="AC503" s="12"/>
      <c r="AD503" s="12"/>
      <c r="AE503" s="12"/>
      <c r="AF503" s="12"/>
      <c r="AG503" s="13"/>
      <c r="AH503" s="13"/>
      <c r="AI503" s="13"/>
      <c r="AJ503" s="13"/>
      <c r="AK503" s="13"/>
      <c r="AL503" s="13"/>
      <c r="AM503" s="13"/>
    </row>
    <row r="504" spans="1:39">
      <c r="A504" s="8"/>
      <c r="B504" s="8"/>
      <c r="C504" s="8"/>
      <c r="D504" s="8"/>
      <c r="E504" s="8"/>
      <c r="F504" s="8"/>
      <c r="G504" s="8"/>
      <c r="H504" s="8"/>
      <c r="I504" s="8"/>
      <c r="J504" s="8"/>
      <c r="K504" s="8"/>
      <c r="L504" s="8"/>
      <c r="M504" s="8"/>
      <c r="N504" s="8"/>
      <c r="O504" s="8"/>
      <c r="P504" s="8"/>
      <c r="Q504" s="8"/>
      <c r="R504" s="8"/>
      <c r="S504" s="8"/>
      <c r="T504" s="8"/>
      <c r="U504" s="12"/>
      <c r="V504" s="12"/>
      <c r="W504" s="12"/>
      <c r="X504" s="12"/>
      <c r="Y504" s="12"/>
      <c r="Z504" s="12"/>
      <c r="AA504" s="12"/>
      <c r="AB504" s="12"/>
      <c r="AC504" s="12"/>
      <c r="AD504" s="12"/>
      <c r="AE504" s="12"/>
      <c r="AF504" s="12"/>
      <c r="AG504" s="13"/>
      <c r="AH504" s="13"/>
      <c r="AI504" s="13"/>
      <c r="AJ504" s="13"/>
      <c r="AK504" s="13"/>
      <c r="AL504" s="13"/>
      <c r="AM504" s="13"/>
    </row>
    <row r="505" spans="1:39">
      <c r="A505" s="8"/>
      <c r="B505" s="8"/>
      <c r="C505" s="8"/>
      <c r="D505" s="8"/>
      <c r="E505" s="8"/>
      <c r="F505" s="8"/>
      <c r="G505" s="8"/>
      <c r="H505" s="8"/>
      <c r="I505" s="8"/>
      <c r="J505" s="8"/>
      <c r="K505" s="8"/>
      <c r="L505" s="8"/>
      <c r="M505" s="8"/>
      <c r="N505" s="8"/>
      <c r="O505" s="8"/>
      <c r="P505" s="8"/>
      <c r="Q505" s="8"/>
      <c r="R505" s="8"/>
      <c r="S505" s="8"/>
      <c r="T505" s="8"/>
      <c r="U505" s="12"/>
      <c r="V505" s="12"/>
      <c r="W505" s="12"/>
      <c r="X505" s="12"/>
      <c r="Y505" s="12"/>
      <c r="Z505" s="12"/>
      <c r="AA505" s="12"/>
      <c r="AB505" s="12"/>
      <c r="AC505" s="12"/>
      <c r="AD505" s="12"/>
      <c r="AE505" s="12"/>
      <c r="AF505" s="12"/>
      <c r="AG505" s="13"/>
      <c r="AH505" s="13"/>
      <c r="AI505" s="13"/>
      <c r="AJ505" s="13"/>
      <c r="AK505" s="13"/>
      <c r="AL505" s="13"/>
      <c r="AM505" s="13"/>
    </row>
    <row r="506" spans="1:39">
      <c r="A506" s="8"/>
      <c r="B506" s="8"/>
      <c r="C506" s="8"/>
      <c r="D506" s="8"/>
      <c r="E506" s="8"/>
      <c r="F506" s="8"/>
      <c r="G506" s="8"/>
      <c r="H506" s="8"/>
      <c r="I506" s="8"/>
      <c r="J506" s="8"/>
      <c r="K506" s="8"/>
      <c r="L506" s="8"/>
      <c r="M506" s="8"/>
      <c r="N506" s="8"/>
      <c r="O506" s="8"/>
      <c r="P506" s="8"/>
      <c r="Q506" s="8"/>
      <c r="R506" s="8"/>
      <c r="S506" s="8"/>
      <c r="T506" s="8"/>
      <c r="U506" s="12"/>
      <c r="V506" s="12"/>
      <c r="W506" s="12"/>
      <c r="X506" s="12"/>
      <c r="Y506" s="12"/>
      <c r="Z506" s="12"/>
      <c r="AA506" s="12"/>
      <c r="AB506" s="12"/>
      <c r="AC506" s="12"/>
      <c r="AD506" s="12"/>
      <c r="AE506" s="12"/>
      <c r="AF506" s="12"/>
      <c r="AG506" s="13"/>
      <c r="AH506" s="13"/>
      <c r="AI506" s="13"/>
      <c r="AJ506" s="13"/>
      <c r="AK506" s="13"/>
      <c r="AL506" s="13"/>
      <c r="AM506" s="13"/>
    </row>
    <row r="507" spans="1:39">
      <c r="A507" s="8"/>
      <c r="B507" s="8"/>
      <c r="C507" s="8"/>
      <c r="D507" s="8"/>
      <c r="E507" s="8"/>
      <c r="F507" s="8"/>
      <c r="G507" s="8"/>
      <c r="H507" s="8"/>
      <c r="I507" s="8"/>
      <c r="J507" s="8"/>
      <c r="K507" s="8"/>
      <c r="L507" s="8"/>
      <c r="M507" s="8"/>
      <c r="N507" s="8"/>
      <c r="O507" s="8"/>
      <c r="P507" s="8"/>
      <c r="Q507" s="8"/>
      <c r="R507" s="8"/>
      <c r="S507" s="8"/>
      <c r="T507" s="8"/>
      <c r="U507" s="12"/>
      <c r="V507" s="12"/>
      <c r="W507" s="12"/>
      <c r="X507" s="12"/>
      <c r="Y507" s="12"/>
      <c r="Z507" s="12"/>
      <c r="AA507" s="12"/>
      <c r="AB507" s="12"/>
      <c r="AC507" s="12"/>
      <c r="AD507" s="12"/>
      <c r="AE507" s="12"/>
      <c r="AF507" s="12"/>
      <c r="AG507" s="13"/>
      <c r="AH507" s="13"/>
      <c r="AI507" s="13"/>
      <c r="AJ507" s="13"/>
      <c r="AK507" s="13"/>
      <c r="AL507" s="13"/>
      <c r="AM507" s="13"/>
    </row>
    <row r="508" spans="1:39">
      <c r="A508" s="8"/>
      <c r="B508" s="8"/>
      <c r="C508" s="8"/>
      <c r="D508" s="8"/>
      <c r="E508" s="8"/>
      <c r="F508" s="8"/>
      <c r="G508" s="8"/>
      <c r="H508" s="8"/>
      <c r="I508" s="8"/>
      <c r="J508" s="8"/>
      <c r="K508" s="8"/>
      <c r="L508" s="8"/>
      <c r="M508" s="8"/>
      <c r="N508" s="8"/>
      <c r="O508" s="8"/>
      <c r="P508" s="8"/>
      <c r="Q508" s="8"/>
      <c r="R508" s="8"/>
      <c r="S508" s="8"/>
      <c r="T508" s="8"/>
      <c r="U508" s="12"/>
      <c r="V508" s="12"/>
      <c r="W508" s="12"/>
      <c r="X508" s="12"/>
      <c r="Y508" s="12"/>
      <c r="Z508" s="12"/>
      <c r="AA508" s="12"/>
      <c r="AB508" s="12"/>
      <c r="AC508" s="12"/>
      <c r="AD508" s="12"/>
      <c r="AE508" s="12"/>
      <c r="AF508" s="12"/>
      <c r="AG508" s="13"/>
      <c r="AH508" s="13"/>
      <c r="AI508" s="13"/>
      <c r="AJ508" s="13"/>
      <c r="AK508" s="13"/>
      <c r="AL508" s="13"/>
      <c r="AM508" s="13"/>
    </row>
    <row r="509" spans="1:39">
      <c r="A509" s="8"/>
      <c r="B509" s="8"/>
      <c r="C509" s="8"/>
      <c r="D509" s="8"/>
      <c r="E509" s="8"/>
      <c r="F509" s="8"/>
      <c r="G509" s="8"/>
      <c r="H509" s="8"/>
      <c r="I509" s="8"/>
      <c r="J509" s="8"/>
      <c r="K509" s="8"/>
      <c r="L509" s="8"/>
      <c r="M509" s="8"/>
      <c r="N509" s="8"/>
      <c r="O509" s="8"/>
      <c r="P509" s="8"/>
      <c r="Q509" s="8"/>
      <c r="R509" s="8"/>
      <c r="S509" s="8"/>
      <c r="T509" s="8"/>
      <c r="U509" s="12"/>
      <c r="V509" s="12"/>
      <c r="W509" s="12"/>
      <c r="X509" s="12"/>
      <c r="Y509" s="12"/>
      <c r="Z509" s="12"/>
      <c r="AA509" s="12"/>
      <c r="AB509" s="12"/>
      <c r="AC509" s="12"/>
      <c r="AD509" s="12"/>
      <c r="AE509" s="12"/>
      <c r="AF509" s="12"/>
      <c r="AG509" s="13"/>
      <c r="AH509" s="13"/>
      <c r="AI509" s="13"/>
      <c r="AJ509" s="13"/>
      <c r="AK509" s="13"/>
      <c r="AL509" s="13"/>
      <c r="AM509" s="13"/>
    </row>
    <row r="510" spans="1:39">
      <c r="A510" s="8"/>
      <c r="B510" s="8"/>
      <c r="C510" s="8"/>
      <c r="D510" s="8"/>
      <c r="E510" s="8"/>
      <c r="F510" s="8"/>
      <c r="G510" s="8"/>
      <c r="H510" s="8"/>
      <c r="I510" s="8"/>
      <c r="J510" s="8"/>
      <c r="K510" s="8"/>
      <c r="L510" s="8"/>
      <c r="M510" s="8"/>
      <c r="N510" s="8"/>
      <c r="O510" s="8"/>
      <c r="P510" s="8"/>
      <c r="Q510" s="8"/>
      <c r="R510" s="8"/>
      <c r="S510" s="8"/>
      <c r="T510" s="8"/>
      <c r="U510" s="12"/>
      <c r="V510" s="12"/>
      <c r="W510" s="12"/>
      <c r="X510" s="12"/>
      <c r="Y510" s="12"/>
      <c r="Z510" s="12"/>
      <c r="AA510" s="12"/>
      <c r="AB510" s="12"/>
      <c r="AC510" s="12"/>
      <c r="AD510" s="12"/>
      <c r="AE510" s="12"/>
      <c r="AF510" s="12"/>
      <c r="AG510" s="13"/>
      <c r="AH510" s="13"/>
      <c r="AI510" s="13"/>
      <c r="AJ510" s="13"/>
      <c r="AK510" s="13"/>
      <c r="AL510" s="13"/>
      <c r="AM510" s="13"/>
    </row>
    <row r="511" spans="1:39">
      <c r="A511" s="8"/>
      <c r="B511" s="8"/>
      <c r="C511" s="8"/>
      <c r="D511" s="8"/>
      <c r="E511" s="8"/>
      <c r="F511" s="8"/>
      <c r="G511" s="8"/>
      <c r="H511" s="8"/>
      <c r="I511" s="8"/>
      <c r="J511" s="8"/>
      <c r="K511" s="8"/>
      <c r="L511" s="8"/>
      <c r="M511" s="8"/>
      <c r="N511" s="8"/>
      <c r="O511" s="8"/>
      <c r="P511" s="8"/>
      <c r="Q511" s="8"/>
      <c r="R511" s="8"/>
      <c r="S511" s="8"/>
      <c r="T511" s="8"/>
      <c r="U511" s="12"/>
      <c r="V511" s="12"/>
      <c r="W511" s="12"/>
      <c r="X511" s="12"/>
      <c r="Y511" s="12"/>
      <c r="Z511" s="12"/>
      <c r="AA511" s="12"/>
      <c r="AB511" s="12"/>
      <c r="AC511" s="12"/>
      <c r="AD511" s="12"/>
      <c r="AE511" s="12"/>
      <c r="AF511" s="12"/>
      <c r="AG511" s="13"/>
      <c r="AH511" s="13"/>
      <c r="AI511" s="13"/>
      <c r="AJ511" s="13"/>
      <c r="AK511" s="13"/>
      <c r="AL511" s="13"/>
      <c r="AM511" s="13"/>
    </row>
    <row r="512" spans="1:39">
      <c r="A512" s="8"/>
      <c r="B512" s="8"/>
      <c r="C512" s="8"/>
      <c r="D512" s="8"/>
      <c r="E512" s="8"/>
      <c r="F512" s="8"/>
      <c r="G512" s="8"/>
      <c r="H512" s="8"/>
      <c r="I512" s="8"/>
      <c r="J512" s="8"/>
      <c r="K512" s="8"/>
      <c r="L512" s="8"/>
      <c r="M512" s="8"/>
      <c r="N512" s="8"/>
      <c r="O512" s="8"/>
      <c r="P512" s="8"/>
      <c r="Q512" s="8"/>
      <c r="R512" s="8"/>
      <c r="S512" s="8"/>
      <c r="T512" s="8"/>
      <c r="U512" s="12"/>
      <c r="V512" s="12"/>
      <c r="W512" s="12"/>
      <c r="X512" s="12"/>
      <c r="Y512" s="12"/>
      <c r="Z512" s="12"/>
      <c r="AA512" s="12"/>
      <c r="AB512" s="12"/>
      <c r="AC512" s="12"/>
      <c r="AD512" s="12"/>
      <c r="AE512" s="12"/>
      <c r="AF512" s="12"/>
      <c r="AG512" s="13"/>
      <c r="AH512" s="13"/>
      <c r="AI512" s="13"/>
      <c r="AJ512" s="13"/>
      <c r="AK512" s="13"/>
      <c r="AL512" s="13"/>
      <c r="AM512" s="13"/>
    </row>
    <row r="513" spans="1:39">
      <c r="A513" s="8"/>
      <c r="B513" s="8"/>
      <c r="C513" s="8"/>
      <c r="D513" s="8"/>
      <c r="E513" s="8"/>
      <c r="F513" s="8"/>
      <c r="G513" s="8"/>
      <c r="H513" s="8"/>
      <c r="I513" s="8"/>
      <c r="J513" s="8"/>
      <c r="K513" s="8"/>
      <c r="L513" s="8"/>
      <c r="M513" s="8"/>
      <c r="N513" s="8"/>
      <c r="O513" s="8"/>
      <c r="P513" s="8"/>
      <c r="Q513" s="8"/>
      <c r="R513" s="8"/>
      <c r="S513" s="8"/>
      <c r="T513" s="8"/>
      <c r="U513" s="12"/>
      <c r="V513" s="12"/>
      <c r="W513" s="12"/>
      <c r="X513" s="12"/>
      <c r="Y513" s="12"/>
      <c r="Z513" s="12"/>
      <c r="AA513" s="12"/>
      <c r="AB513" s="12"/>
      <c r="AC513" s="12"/>
      <c r="AD513" s="12"/>
      <c r="AE513" s="12"/>
      <c r="AF513" s="12"/>
      <c r="AG513" s="13"/>
      <c r="AH513" s="13"/>
      <c r="AI513" s="13"/>
      <c r="AJ513" s="13"/>
      <c r="AK513" s="13"/>
      <c r="AL513" s="13"/>
      <c r="AM513" s="13"/>
    </row>
    <row r="514" spans="1:39">
      <c r="A514" s="8"/>
      <c r="B514" s="8"/>
      <c r="C514" s="8"/>
      <c r="D514" s="8"/>
      <c r="E514" s="8"/>
      <c r="F514" s="8"/>
      <c r="G514" s="8"/>
      <c r="H514" s="8"/>
      <c r="I514" s="8"/>
      <c r="J514" s="8"/>
      <c r="K514" s="8"/>
      <c r="L514" s="8"/>
      <c r="M514" s="8"/>
      <c r="N514" s="8"/>
      <c r="O514" s="8"/>
      <c r="P514" s="8"/>
      <c r="Q514" s="8"/>
      <c r="R514" s="8"/>
      <c r="S514" s="8"/>
      <c r="T514" s="8"/>
      <c r="U514" s="12"/>
      <c r="V514" s="12"/>
      <c r="W514" s="12"/>
      <c r="X514" s="12"/>
      <c r="Y514" s="12"/>
      <c r="Z514" s="12"/>
      <c r="AA514" s="12"/>
      <c r="AB514" s="12"/>
      <c r="AC514" s="12"/>
      <c r="AD514" s="12"/>
      <c r="AE514" s="12"/>
      <c r="AF514" s="12"/>
      <c r="AG514" s="13"/>
      <c r="AH514" s="13"/>
      <c r="AI514" s="13"/>
      <c r="AJ514" s="13"/>
      <c r="AK514" s="13"/>
      <c r="AL514" s="13"/>
      <c r="AM514" s="13"/>
    </row>
    <row r="515" spans="1:39">
      <c r="A515" s="8"/>
      <c r="B515" s="8"/>
      <c r="C515" s="8"/>
      <c r="D515" s="8"/>
      <c r="E515" s="8"/>
      <c r="F515" s="8"/>
      <c r="G515" s="8"/>
      <c r="H515" s="8"/>
      <c r="I515" s="8"/>
      <c r="J515" s="8"/>
      <c r="K515" s="8"/>
      <c r="L515" s="8"/>
      <c r="M515" s="8"/>
      <c r="N515" s="8"/>
      <c r="O515" s="8"/>
      <c r="P515" s="8"/>
      <c r="Q515" s="8"/>
      <c r="R515" s="8"/>
      <c r="S515" s="8"/>
      <c r="T515" s="8"/>
      <c r="U515" s="12"/>
      <c r="V515" s="12"/>
      <c r="W515" s="12"/>
      <c r="X515" s="12"/>
      <c r="Y515" s="12"/>
      <c r="Z515" s="12"/>
      <c r="AA515" s="12"/>
      <c r="AB515" s="12"/>
      <c r="AC515" s="12"/>
      <c r="AD515" s="12"/>
      <c r="AE515" s="12"/>
      <c r="AF515" s="12"/>
      <c r="AG515" s="13"/>
      <c r="AH515" s="13"/>
      <c r="AI515" s="13"/>
      <c r="AJ515" s="13"/>
      <c r="AK515" s="13"/>
      <c r="AL515" s="13"/>
      <c r="AM515" s="13"/>
    </row>
    <row r="516" spans="1:39">
      <c r="A516" s="8"/>
      <c r="B516" s="8"/>
      <c r="C516" s="8"/>
      <c r="D516" s="8"/>
      <c r="E516" s="8"/>
      <c r="F516" s="8"/>
      <c r="G516" s="8"/>
      <c r="H516" s="8"/>
      <c r="I516" s="8"/>
      <c r="J516" s="8"/>
      <c r="K516" s="8"/>
      <c r="L516" s="8"/>
      <c r="M516" s="8"/>
      <c r="N516" s="8"/>
      <c r="O516" s="8"/>
      <c r="P516" s="8"/>
      <c r="Q516" s="8"/>
      <c r="R516" s="8"/>
      <c r="S516" s="8"/>
      <c r="T516" s="8"/>
      <c r="U516" s="12"/>
      <c r="V516" s="12"/>
      <c r="W516" s="12"/>
      <c r="X516" s="12"/>
      <c r="Y516" s="12"/>
      <c r="Z516" s="12"/>
      <c r="AA516" s="12"/>
      <c r="AB516" s="12"/>
      <c r="AC516" s="12"/>
      <c r="AD516" s="12"/>
      <c r="AE516" s="12"/>
      <c r="AF516" s="12"/>
      <c r="AG516" s="13"/>
      <c r="AH516" s="13"/>
      <c r="AI516" s="13"/>
      <c r="AJ516" s="13"/>
      <c r="AK516" s="13"/>
      <c r="AL516" s="13"/>
      <c r="AM516" s="13"/>
    </row>
    <row r="517" spans="1:39">
      <c r="A517" s="8"/>
      <c r="B517" s="8"/>
      <c r="C517" s="8"/>
      <c r="D517" s="8"/>
      <c r="E517" s="8"/>
      <c r="F517" s="8"/>
      <c r="G517" s="8"/>
      <c r="H517" s="8"/>
      <c r="I517" s="8"/>
      <c r="J517" s="8"/>
      <c r="K517" s="8"/>
      <c r="L517" s="8"/>
      <c r="M517" s="8"/>
      <c r="N517" s="8"/>
      <c r="O517" s="8"/>
      <c r="P517" s="8"/>
      <c r="Q517" s="8"/>
      <c r="R517" s="8"/>
      <c r="S517" s="8"/>
      <c r="T517" s="8"/>
      <c r="U517" s="12"/>
      <c r="V517" s="12"/>
      <c r="W517" s="12"/>
      <c r="X517" s="12"/>
      <c r="Y517" s="12"/>
      <c r="Z517" s="12"/>
      <c r="AA517" s="12"/>
      <c r="AB517" s="12"/>
      <c r="AC517" s="12"/>
      <c r="AD517" s="12"/>
      <c r="AE517" s="12"/>
      <c r="AF517" s="12"/>
      <c r="AG517" s="13"/>
      <c r="AH517" s="13"/>
      <c r="AI517" s="13"/>
      <c r="AJ517" s="13"/>
      <c r="AK517" s="13"/>
      <c r="AL517" s="13"/>
      <c r="AM517" s="13"/>
    </row>
    <row r="518" spans="1:39">
      <c r="A518" s="8"/>
      <c r="B518" s="8"/>
      <c r="C518" s="8"/>
      <c r="D518" s="8"/>
      <c r="E518" s="8"/>
      <c r="F518" s="8"/>
      <c r="G518" s="8"/>
      <c r="H518" s="8"/>
      <c r="I518" s="8"/>
      <c r="J518" s="8"/>
      <c r="K518" s="8"/>
      <c r="L518" s="8"/>
      <c r="M518" s="8"/>
      <c r="N518" s="8"/>
      <c r="O518" s="8"/>
      <c r="P518" s="8"/>
      <c r="Q518" s="8"/>
      <c r="R518" s="8"/>
      <c r="S518" s="8"/>
      <c r="T518" s="8"/>
      <c r="U518" s="12"/>
      <c r="V518" s="12"/>
      <c r="W518" s="12"/>
      <c r="X518" s="12"/>
      <c r="Y518" s="12"/>
      <c r="Z518" s="12"/>
      <c r="AA518" s="12"/>
      <c r="AB518" s="12"/>
      <c r="AC518" s="12"/>
      <c r="AD518" s="12"/>
      <c r="AE518" s="12"/>
      <c r="AF518" s="12"/>
      <c r="AG518" s="13"/>
      <c r="AH518" s="13"/>
      <c r="AI518" s="13"/>
      <c r="AJ518" s="13"/>
      <c r="AK518" s="13"/>
      <c r="AL518" s="13"/>
      <c r="AM518" s="13"/>
    </row>
    <row r="519" spans="1:39">
      <c r="A519" s="8"/>
      <c r="B519" s="8"/>
      <c r="C519" s="8"/>
      <c r="D519" s="8"/>
      <c r="E519" s="8"/>
      <c r="F519" s="8"/>
      <c r="G519" s="8"/>
      <c r="H519" s="8"/>
      <c r="I519" s="8"/>
      <c r="J519" s="8"/>
      <c r="K519" s="8"/>
      <c r="L519" s="8"/>
      <c r="M519" s="8"/>
      <c r="N519" s="8"/>
      <c r="O519" s="8"/>
      <c r="P519" s="8"/>
      <c r="Q519" s="8"/>
      <c r="R519" s="8"/>
      <c r="S519" s="8"/>
      <c r="T519" s="8"/>
      <c r="U519" s="12"/>
      <c r="V519" s="12"/>
      <c r="W519" s="12"/>
      <c r="X519" s="12"/>
      <c r="Y519" s="12"/>
      <c r="Z519" s="12"/>
      <c r="AA519" s="12"/>
      <c r="AB519" s="12"/>
      <c r="AC519" s="12"/>
      <c r="AD519" s="12"/>
      <c r="AE519" s="12"/>
      <c r="AF519" s="12"/>
      <c r="AG519" s="13"/>
      <c r="AH519" s="13"/>
      <c r="AI519" s="13"/>
      <c r="AJ519" s="13"/>
      <c r="AK519" s="13"/>
      <c r="AL519" s="13"/>
      <c r="AM519" s="13"/>
    </row>
    <row r="520" spans="1:39">
      <c r="A520" s="8"/>
      <c r="B520" s="8"/>
      <c r="C520" s="8"/>
      <c r="D520" s="8"/>
      <c r="E520" s="8"/>
      <c r="F520" s="8"/>
      <c r="G520" s="8"/>
      <c r="H520" s="8"/>
      <c r="I520" s="8"/>
      <c r="J520" s="8"/>
      <c r="K520" s="8"/>
      <c r="L520" s="8"/>
      <c r="M520" s="8"/>
      <c r="N520" s="8"/>
      <c r="O520" s="8"/>
      <c r="P520" s="8"/>
      <c r="Q520" s="8"/>
      <c r="R520" s="8"/>
      <c r="S520" s="8"/>
      <c r="T520" s="8"/>
      <c r="U520" s="12"/>
      <c r="V520" s="12"/>
      <c r="W520" s="12"/>
      <c r="X520" s="12"/>
      <c r="Y520" s="12"/>
      <c r="Z520" s="12"/>
      <c r="AA520" s="12"/>
      <c r="AB520" s="12"/>
      <c r="AC520" s="12"/>
      <c r="AD520" s="12"/>
      <c r="AE520" s="12"/>
      <c r="AF520" s="12"/>
      <c r="AG520" s="13"/>
      <c r="AH520" s="13"/>
      <c r="AI520" s="13"/>
      <c r="AJ520" s="13"/>
      <c r="AK520" s="13"/>
      <c r="AL520" s="13"/>
      <c r="AM520" s="13"/>
    </row>
    <row r="521" spans="1:39">
      <c r="A521" s="8"/>
      <c r="B521" s="8"/>
      <c r="C521" s="8"/>
      <c r="D521" s="8"/>
      <c r="E521" s="8"/>
      <c r="F521" s="8"/>
      <c r="G521" s="8"/>
      <c r="H521" s="8"/>
      <c r="I521" s="8"/>
      <c r="J521" s="8"/>
      <c r="K521" s="8"/>
      <c r="L521" s="8"/>
      <c r="M521" s="8"/>
      <c r="N521" s="8"/>
      <c r="O521" s="8"/>
      <c r="P521" s="8"/>
      <c r="Q521" s="8"/>
      <c r="R521" s="8"/>
      <c r="S521" s="8"/>
      <c r="T521" s="8"/>
      <c r="U521" s="12"/>
      <c r="V521" s="12"/>
      <c r="W521" s="12"/>
      <c r="X521" s="12"/>
      <c r="Y521" s="12"/>
      <c r="Z521" s="12"/>
      <c r="AA521" s="12"/>
      <c r="AB521" s="12"/>
      <c r="AC521" s="12"/>
      <c r="AD521" s="12"/>
      <c r="AE521" s="12"/>
      <c r="AF521" s="12"/>
      <c r="AG521" s="13"/>
      <c r="AH521" s="13"/>
      <c r="AI521" s="13"/>
      <c r="AJ521" s="13"/>
      <c r="AK521" s="13"/>
      <c r="AL521" s="13"/>
      <c r="AM521" s="13"/>
    </row>
    <row r="522" spans="1:39">
      <c r="A522" s="8"/>
      <c r="B522" s="8"/>
      <c r="C522" s="8"/>
      <c r="D522" s="8"/>
      <c r="E522" s="8"/>
      <c r="F522" s="8"/>
      <c r="G522" s="8"/>
      <c r="H522" s="8"/>
      <c r="I522" s="8"/>
      <c r="J522" s="8"/>
      <c r="K522" s="8"/>
      <c r="L522" s="8"/>
      <c r="M522" s="8"/>
      <c r="N522" s="8"/>
      <c r="O522" s="8"/>
      <c r="P522" s="8"/>
      <c r="Q522" s="8"/>
      <c r="R522" s="8"/>
      <c r="S522" s="8"/>
      <c r="T522" s="8"/>
      <c r="U522" s="12"/>
      <c r="V522" s="12"/>
      <c r="W522" s="12"/>
      <c r="X522" s="12"/>
      <c r="Y522" s="12"/>
      <c r="Z522" s="12"/>
      <c r="AA522" s="12"/>
      <c r="AB522" s="12"/>
      <c r="AC522" s="12"/>
      <c r="AD522" s="12"/>
      <c r="AE522" s="12"/>
      <c r="AF522" s="12"/>
      <c r="AG522" s="13"/>
      <c r="AH522" s="13"/>
      <c r="AI522" s="13"/>
      <c r="AJ522" s="13"/>
      <c r="AK522" s="13"/>
      <c r="AL522" s="13"/>
      <c r="AM522" s="13"/>
    </row>
    <row r="523" spans="1:39">
      <c r="A523" s="8"/>
      <c r="B523" s="8"/>
      <c r="C523" s="8"/>
      <c r="D523" s="8"/>
      <c r="E523" s="8"/>
      <c r="F523" s="8"/>
      <c r="G523" s="8"/>
      <c r="H523" s="8"/>
      <c r="I523" s="8"/>
      <c r="J523" s="8"/>
      <c r="K523" s="8"/>
      <c r="L523" s="8"/>
      <c r="M523" s="8"/>
      <c r="N523" s="8"/>
      <c r="O523" s="8"/>
      <c r="P523" s="8"/>
      <c r="Q523" s="8"/>
      <c r="R523" s="8"/>
      <c r="S523" s="8"/>
      <c r="T523" s="8"/>
      <c r="U523" s="12"/>
      <c r="V523" s="12"/>
      <c r="W523" s="12"/>
      <c r="X523" s="12"/>
      <c r="Y523" s="12"/>
      <c r="Z523" s="12"/>
      <c r="AA523" s="12"/>
      <c r="AB523" s="12"/>
      <c r="AC523" s="12"/>
      <c r="AD523" s="12"/>
      <c r="AE523" s="12"/>
      <c r="AF523" s="12"/>
      <c r="AG523" s="13"/>
      <c r="AH523" s="13"/>
      <c r="AI523" s="13"/>
      <c r="AJ523" s="13"/>
      <c r="AK523" s="13"/>
      <c r="AL523" s="13"/>
      <c r="AM523" s="13"/>
    </row>
    <row r="524" spans="1:39">
      <c r="A524" s="8"/>
      <c r="B524" s="8"/>
      <c r="C524" s="8"/>
      <c r="D524" s="8"/>
      <c r="E524" s="8"/>
      <c r="F524" s="8"/>
      <c r="G524" s="8"/>
      <c r="H524" s="8"/>
      <c r="I524" s="8"/>
      <c r="J524" s="8"/>
      <c r="K524" s="8"/>
      <c r="L524" s="8"/>
      <c r="M524" s="8"/>
      <c r="N524" s="8"/>
      <c r="O524" s="8"/>
      <c r="P524" s="8"/>
      <c r="Q524" s="8"/>
      <c r="R524" s="8"/>
      <c r="S524" s="8"/>
      <c r="T524" s="8"/>
      <c r="U524" s="12"/>
      <c r="V524" s="12"/>
      <c r="W524" s="12"/>
      <c r="X524" s="12"/>
      <c r="Y524" s="12"/>
      <c r="Z524" s="12"/>
      <c r="AA524" s="12"/>
      <c r="AB524" s="12"/>
      <c r="AC524" s="12"/>
      <c r="AD524" s="12"/>
      <c r="AE524" s="12"/>
      <c r="AF524" s="12"/>
      <c r="AG524" s="13"/>
      <c r="AH524" s="13"/>
      <c r="AI524" s="13"/>
      <c r="AJ524" s="13"/>
      <c r="AK524" s="13"/>
      <c r="AL524" s="13"/>
      <c r="AM524" s="13"/>
    </row>
    <row r="525" spans="1:39">
      <c r="A525" s="8"/>
      <c r="B525" s="8"/>
      <c r="C525" s="8"/>
      <c r="D525" s="8"/>
      <c r="E525" s="8"/>
      <c r="F525" s="8"/>
      <c r="G525" s="8"/>
      <c r="H525" s="8"/>
      <c r="I525" s="8"/>
      <c r="J525" s="8"/>
      <c r="K525" s="8"/>
      <c r="L525" s="8"/>
      <c r="M525" s="8"/>
      <c r="N525" s="8"/>
      <c r="O525" s="8"/>
      <c r="P525" s="8"/>
      <c r="Q525" s="8"/>
      <c r="R525" s="8"/>
      <c r="S525" s="8"/>
      <c r="T525" s="8"/>
      <c r="U525" s="12"/>
      <c r="V525" s="12"/>
      <c r="W525" s="12"/>
      <c r="X525" s="12"/>
      <c r="Y525" s="12"/>
      <c r="Z525" s="12"/>
      <c r="AA525" s="12"/>
      <c r="AB525" s="12"/>
      <c r="AC525" s="12"/>
      <c r="AD525" s="12"/>
      <c r="AE525" s="12"/>
      <c r="AF525" s="12"/>
      <c r="AG525" s="13"/>
      <c r="AH525" s="13"/>
      <c r="AI525" s="13"/>
      <c r="AJ525" s="13"/>
      <c r="AK525" s="13"/>
      <c r="AL525" s="13"/>
      <c r="AM525" s="13"/>
    </row>
    <row r="526" spans="1:39">
      <c r="A526" s="8"/>
      <c r="B526" s="8"/>
      <c r="C526" s="8"/>
      <c r="D526" s="8"/>
      <c r="E526" s="8"/>
      <c r="F526" s="8"/>
      <c r="G526" s="8"/>
      <c r="H526" s="8"/>
      <c r="I526" s="8"/>
      <c r="J526" s="8"/>
      <c r="K526" s="8"/>
      <c r="L526" s="8"/>
      <c r="M526" s="8"/>
      <c r="N526" s="8"/>
      <c r="O526" s="8"/>
      <c r="P526" s="8"/>
      <c r="Q526" s="8"/>
      <c r="R526" s="8"/>
      <c r="S526" s="8"/>
      <c r="T526" s="8"/>
      <c r="U526" s="12"/>
      <c r="V526" s="12"/>
      <c r="W526" s="12"/>
      <c r="X526" s="12"/>
      <c r="Y526" s="12"/>
      <c r="Z526" s="12"/>
      <c r="AA526" s="12"/>
      <c r="AB526" s="12"/>
      <c r="AC526" s="12"/>
      <c r="AD526" s="12"/>
      <c r="AE526" s="12"/>
      <c r="AF526" s="12"/>
      <c r="AG526" s="13"/>
      <c r="AH526" s="13"/>
      <c r="AI526" s="13"/>
      <c r="AJ526" s="13"/>
      <c r="AK526" s="13"/>
      <c r="AL526" s="13"/>
      <c r="AM526" s="13"/>
    </row>
    <row r="527" spans="1:39">
      <c r="A527" s="8"/>
      <c r="B527" s="8"/>
      <c r="C527" s="8"/>
      <c r="D527" s="8"/>
      <c r="E527" s="8"/>
      <c r="F527" s="8"/>
      <c r="G527" s="8"/>
      <c r="H527" s="8"/>
      <c r="I527" s="8"/>
      <c r="J527" s="8"/>
      <c r="K527" s="8"/>
      <c r="L527" s="8"/>
      <c r="M527" s="8"/>
      <c r="N527" s="8"/>
      <c r="O527" s="8"/>
      <c r="P527" s="8"/>
      <c r="Q527" s="8"/>
      <c r="R527" s="8"/>
      <c r="S527" s="8"/>
      <c r="T527" s="8"/>
      <c r="U527" s="12"/>
      <c r="V527" s="12"/>
      <c r="W527" s="12"/>
      <c r="X527" s="12"/>
      <c r="Y527" s="12"/>
      <c r="Z527" s="12"/>
      <c r="AA527" s="12"/>
      <c r="AB527" s="12"/>
      <c r="AC527" s="12"/>
      <c r="AD527" s="12"/>
      <c r="AE527" s="12"/>
      <c r="AF527" s="12"/>
      <c r="AG527" s="13"/>
      <c r="AH527" s="13"/>
      <c r="AI527" s="13"/>
      <c r="AJ527" s="13"/>
      <c r="AK527" s="13"/>
      <c r="AL527" s="13"/>
      <c r="AM527" s="13"/>
    </row>
    <row r="528" spans="1:39">
      <c r="A528" s="8"/>
      <c r="B528" s="8"/>
      <c r="C528" s="8"/>
      <c r="D528" s="8"/>
      <c r="E528" s="8"/>
      <c r="F528" s="8"/>
      <c r="G528" s="8"/>
      <c r="H528" s="8"/>
      <c r="I528" s="8"/>
      <c r="J528" s="8"/>
      <c r="K528" s="8"/>
      <c r="L528" s="8"/>
      <c r="M528" s="8"/>
      <c r="N528" s="8"/>
      <c r="O528" s="8"/>
      <c r="P528" s="8"/>
      <c r="Q528" s="8"/>
      <c r="R528" s="8"/>
      <c r="S528" s="8"/>
      <c r="T528" s="8"/>
      <c r="U528" s="12"/>
      <c r="V528" s="12"/>
      <c r="W528" s="12"/>
      <c r="X528" s="12"/>
      <c r="Y528" s="12"/>
      <c r="Z528" s="12"/>
      <c r="AA528" s="12"/>
      <c r="AB528" s="12"/>
      <c r="AC528" s="12"/>
      <c r="AD528" s="12"/>
      <c r="AE528" s="12"/>
      <c r="AF528" s="12"/>
      <c r="AG528" s="13"/>
      <c r="AH528" s="13"/>
      <c r="AI528" s="13"/>
      <c r="AJ528" s="13"/>
      <c r="AK528" s="13"/>
      <c r="AL528" s="13"/>
      <c r="AM528" s="13"/>
    </row>
    <row r="529" spans="1:39">
      <c r="A529" s="8"/>
      <c r="B529" s="8"/>
      <c r="C529" s="8"/>
      <c r="D529" s="8"/>
      <c r="E529" s="8"/>
      <c r="F529" s="8"/>
      <c r="G529" s="8"/>
      <c r="H529" s="8"/>
      <c r="I529" s="8"/>
      <c r="J529" s="8"/>
      <c r="K529" s="8"/>
      <c r="L529" s="8"/>
      <c r="M529" s="8"/>
      <c r="N529" s="8"/>
      <c r="O529" s="8"/>
      <c r="P529" s="8"/>
      <c r="Q529" s="8"/>
      <c r="R529" s="8"/>
      <c r="S529" s="8"/>
      <c r="T529" s="8"/>
      <c r="U529" s="12"/>
      <c r="V529" s="12"/>
      <c r="W529" s="12"/>
      <c r="X529" s="12"/>
      <c r="Y529" s="12"/>
      <c r="Z529" s="12"/>
      <c r="AA529" s="12"/>
      <c r="AB529" s="12"/>
      <c r="AC529" s="12"/>
      <c r="AD529" s="12"/>
      <c r="AE529" s="12"/>
      <c r="AF529" s="12"/>
      <c r="AG529" s="13"/>
      <c r="AH529" s="13"/>
      <c r="AI529" s="13"/>
      <c r="AJ529" s="13"/>
      <c r="AK529" s="13"/>
      <c r="AL529" s="13"/>
      <c r="AM529" s="13"/>
    </row>
    <row r="530" spans="1:39">
      <c r="A530" s="8"/>
      <c r="B530" s="8"/>
      <c r="C530" s="8"/>
      <c r="D530" s="8"/>
      <c r="E530" s="8"/>
      <c r="F530" s="8"/>
      <c r="G530" s="8"/>
      <c r="H530" s="8"/>
      <c r="I530" s="8"/>
      <c r="J530" s="8"/>
      <c r="K530" s="8"/>
      <c r="L530" s="8"/>
      <c r="M530" s="8"/>
      <c r="N530" s="8"/>
      <c r="O530" s="8"/>
      <c r="P530" s="8"/>
      <c r="Q530" s="8"/>
      <c r="R530" s="8"/>
      <c r="S530" s="8"/>
      <c r="T530" s="8"/>
      <c r="U530" s="12"/>
      <c r="V530" s="12"/>
      <c r="W530" s="12"/>
      <c r="X530" s="12"/>
      <c r="Y530" s="12"/>
      <c r="Z530" s="12"/>
      <c r="AA530" s="12"/>
      <c r="AB530" s="12"/>
      <c r="AC530" s="12"/>
      <c r="AD530" s="12"/>
      <c r="AE530" s="12"/>
      <c r="AF530" s="12"/>
      <c r="AG530" s="13"/>
      <c r="AH530" s="13"/>
      <c r="AI530" s="13"/>
      <c r="AJ530" s="13"/>
      <c r="AK530" s="13"/>
      <c r="AL530" s="13"/>
      <c r="AM530" s="13"/>
    </row>
    <row r="531" spans="1:39">
      <c r="A531" s="8"/>
      <c r="B531" s="8"/>
      <c r="C531" s="8"/>
      <c r="D531" s="8"/>
      <c r="E531" s="8"/>
      <c r="F531" s="8"/>
      <c r="G531" s="8"/>
      <c r="H531" s="8"/>
      <c r="I531" s="8"/>
      <c r="J531" s="8"/>
      <c r="K531" s="8"/>
      <c r="L531" s="8"/>
      <c r="M531" s="8"/>
      <c r="N531" s="8"/>
      <c r="O531" s="8"/>
      <c r="P531" s="8"/>
      <c r="Q531" s="8"/>
      <c r="R531" s="8"/>
      <c r="S531" s="8"/>
      <c r="T531" s="8"/>
      <c r="U531" s="12"/>
      <c r="V531" s="12"/>
      <c r="W531" s="12"/>
      <c r="X531" s="12"/>
      <c r="Y531" s="12"/>
      <c r="Z531" s="12"/>
      <c r="AA531" s="12"/>
      <c r="AB531" s="12"/>
      <c r="AC531" s="12"/>
      <c r="AD531" s="12"/>
      <c r="AE531" s="12"/>
      <c r="AF531" s="12"/>
      <c r="AG531" s="13"/>
      <c r="AH531" s="13"/>
      <c r="AI531" s="13"/>
      <c r="AJ531" s="13"/>
      <c r="AK531" s="13"/>
      <c r="AL531" s="13"/>
      <c r="AM531" s="13"/>
    </row>
    <row r="532" spans="1:39">
      <c r="A532" s="8"/>
      <c r="B532" s="8"/>
      <c r="C532" s="8"/>
      <c r="D532" s="8"/>
      <c r="E532" s="8"/>
      <c r="F532" s="8"/>
      <c r="G532" s="8"/>
      <c r="H532" s="8"/>
      <c r="I532" s="8"/>
      <c r="J532" s="8"/>
      <c r="K532" s="8"/>
      <c r="L532" s="8"/>
      <c r="M532" s="8"/>
      <c r="N532" s="8"/>
      <c r="O532" s="8"/>
      <c r="P532" s="8"/>
      <c r="Q532" s="8"/>
      <c r="R532" s="8"/>
      <c r="S532" s="8"/>
      <c r="T532" s="8"/>
      <c r="U532" s="12"/>
      <c r="V532" s="12"/>
      <c r="W532" s="12"/>
      <c r="X532" s="12"/>
      <c r="Y532" s="12"/>
      <c r="Z532" s="12"/>
      <c r="AA532" s="12"/>
      <c r="AB532" s="12"/>
      <c r="AC532" s="12"/>
      <c r="AD532" s="12"/>
      <c r="AE532" s="12"/>
      <c r="AF532" s="12"/>
      <c r="AG532" s="13"/>
      <c r="AH532" s="13"/>
      <c r="AI532" s="13"/>
      <c r="AJ532" s="13"/>
      <c r="AK532" s="13"/>
      <c r="AL532" s="13"/>
      <c r="AM532" s="13"/>
    </row>
    <row r="533" spans="1:39">
      <c r="A533" s="8"/>
      <c r="B533" s="8"/>
      <c r="C533" s="8"/>
      <c r="D533" s="8"/>
      <c r="E533" s="8"/>
      <c r="F533" s="8"/>
      <c r="G533" s="8"/>
      <c r="H533" s="8"/>
      <c r="I533" s="8"/>
      <c r="J533" s="8"/>
      <c r="K533" s="8"/>
      <c r="L533" s="8"/>
      <c r="M533" s="8"/>
      <c r="N533" s="8"/>
      <c r="O533" s="8"/>
      <c r="P533" s="8"/>
      <c r="Q533" s="8"/>
      <c r="R533" s="8"/>
      <c r="S533" s="8"/>
      <c r="T533" s="8"/>
      <c r="U533" s="12"/>
      <c r="V533" s="12"/>
      <c r="W533" s="12"/>
      <c r="X533" s="12"/>
      <c r="Y533" s="12"/>
      <c r="Z533" s="12"/>
      <c r="AA533" s="12"/>
      <c r="AB533" s="12"/>
      <c r="AC533" s="12"/>
      <c r="AD533" s="12"/>
      <c r="AE533" s="12"/>
      <c r="AF533" s="12"/>
      <c r="AG533" s="13"/>
      <c r="AH533" s="13"/>
      <c r="AI533" s="13"/>
      <c r="AJ533" s="13"/>
      <c r="AK533" s="13"/>
      <c r="AL533" s="13"/>
      <c r="AM533" s="13"/>
    </row>
    <row r="534" spans="1:39">
      <c r="A534" s="8"/>
      <c r="B534" s="8"/>
      <c r="C534" s="8"/>
      <c r="D534" s="8"/>
      <c r="E534" s="8"/>
      <c r="F534" s="8"/>
      <c r="G534" s="8"/>
      <c r="H534" s="8"/>
      <c r="I534" s="8"/>
      <c r="J534" s="8"/>
      <c r="K534" s="8"/>
      <c r="L534" s="8"/>
      <c r="M534" s="8"/>
      <c r="N534" s="8"/>
      <c r="O534" s="8"/>
      <c r="P534" s="8"/>
      <c r="Q534" s="8"/>
      <c r="R534" s="8"/>
      <c r="S534" s="8"/>
      <c r="T534" s="8"/>
      <c r="U534" s="12"/>
      <c r="V534" s="12"/>
      <c r="W534" s="12"/>
      <c r="X534" s="12"/>
      <c r="Y534" s="12"/>
      <c r="Z534" s="12"/>
      <c r="AA534" s="12"/>
      <c r="AB534" s="12"/>
      <c r="AC534" s="12"/>
      <c r="AD534" s="12"/>
      <c r="AE534" s="12"/>
      <c r="AF534" s="12"/>
      <c r="AG534" s="13"/>
      <c r="AH534" s="13"/>
      <c r="AI534" s="13"/>
      <c r="AJ534" s="13"/>
      <c r="AK534" s="13"/>
      <c r="AL534" s="13"/>
      <c r="AM534" s="13"/>
    </row>
    <row r="535" spans="1:39">
      <c r="A535" s="8"/>
      <c r="B535" s="8"/>
      <c r="C535" s="8"/>
      <c r="D535" s="8"/>
      <c r="E535" s="8"/>
      <c r="F535" s="8"/>
      <c r="G535" s="8"/>
      <c r="H535" s="8"/>
      <c r="I535" s="8"/>
      <c r="J535" s="8"/>
      <c r="K535" s="8"/>
      <c r="L535" s="8"/>
      <c r="M535" s="8"/>
      <c r="N535" s="8"/>
      <c r="O535" s="8"/>
      <c r="P535" s="8"/>
      <c r="Q535" s="8"/>
      <c r="R535" s="8"/>
      <c r="S535" s="8"/>
      <c r="T535" s="8"/>
      <c r="U535" s="12"/>
      <c r="V535" s="12"/>
      <c r="W535" s="12"/>
      <c r="X535" s="12"/>
      <c r="Y535" s="12"/>
      <c r="Z535" s="12"/>
      <c r="AA535" s="12"/>
      <c r="AB535" s="12"/>
      <c r="AC535" s="12"/>
      <c r="AD535" s="12"/>
      <c r="AE535" s="12"/>
      <c r="AF535" s="12"/>
      <c r="AG535" s="13"/>
      <c r="AH535" s="13"/>
      <c r="AI535" s="13"/>
      <c r="AJ535" s="13"/>
      <c r="AK535" s="13"/>
      <c r="AL535" s="13"/>
      <c r="AM535" s="13"/>
    </row>
    <row r="536" spans="1:39">
      <c r="A536" s="8"/>
      <c r="B536" s="8"/>
      <c r="C536" s="8"/>
      <c r="D536" s="8"/>
      <c r="E536" s="8"/>
      <c r="F536" s="8"/>
      <c r="G536" s="8"/>
      <c r="H536" s="8"/>
      <c r="I536" s="8"/>
      <c r="J536" s="8"/>
      <c r="K536" s="8"/>
      <c r="L536" s="8"/>
      <c r="M536" s="8"/>
      <c r="N536" s="8"/>
      <c r="O536" s="8"/>
      <c r="P536" s="8"/>
      <c r="Q536" s="8"/>
      <c r="R536" s="8"/>
      <c r="S536" s="8"/>
      <c r="T536" s="8"/>
      <c r="U536" s="12"/>
      <c r="V536" s="12"/>
      <c r="W536" s="12"/>
      <c r="X536" s="12"/>
      <c r="Y536" s="12"/>
      <c r="Z536" s="12"/>
      <c r="AA536" s="12"/>
      <c r="AB536" s="12"/>
      <c r="AC536" s="12"/>
      <c r="AD536" s="12"/>
      <c r="AE536" s="12"/>
      <c r="AF536" s="12"/>
      <c r="AG536" s="13"/>
      <c r="AH536" s="13"/>
      <c r="AI536" s="13"/>
      <c r="AJ536" s="13"/>
      <c r="AK536" s="13"/>
      <c r="AL536" s="13"/>
      <c r="AM536" s="13"/>
    </row>
    <row r="537" spans="1:39">
      <c r="A537" s="8"/>
      <c r="B537" s="8"/>
      <c r="C537" s="8"/>
      <c r="D537" s="8"/>
      <c r="E537" s="8"/>
      <c r="F537" s="8"/>
      <c r="G537" s="8"/>
      <c r="H537" s="8"/>
      <c r="I537" s="8"/>
      <c r="J537" s="8"/>
      <c r="K537" s="8"/>
      <c r="L537" s="8"/>
      <c r="M537" s="8"/>
      <c r="N537" s="8"/>
      <c r="O537" s="8"/>
      <c r="P537" s="8"/>
      <c r="Q537" s="8"/>
      <c r="R537" s="8"/>
      <c r="S537" s="8"/>
      <c r="T537" s="8"/>
      <c r="U537" s="12"/>
      <c r="V537" s="12"/>
      <c r="W537" s="12"/>
      <c r="X537" s="12"/>
      <c r="Y537" s="12"/>
      <c r="Z537" s="12"/>
      <c r="AA537" s="12"/>
      <c r="AB537" s="12"/>
      <c r="AC537" s="12"/>
      <c r="AD537" s="12"/>
      <c r="AE537" s="12"/>
      <c r="AF537" s="12"/>
      <c r="AG537" s="13"/>
      <c r="AH537" s="13"/>
      <c r="AI537" s="13"/>
      <c r="AJ537" s="13"/>
      <c r="AK537" s="13"/>
      <c r="AL537" s="13"/>
      <c r="AM537" s="13"/>
    </row>
    <row r="538" spans="1:39">
      <c r="A538" s="8"/>
      <c r="B538" s="8"/>
      <c r="C538" s="8"/>
      <c r="D538" s="8"/>
      <c r="E538" s="8"/>
      <c r="F538" s="8"/>
      <c r="G538" s="8"/>
      <c r="H538" s="8"/>
      <c r="I538" s="8"/>
      <c r="J538" s="8"/>
      <c r="K538" s="8"/>
      <c r="L538" s="8"/>
      <c r="M538" s="8"/>
      <c r="N538" s="8"/>
      <c r="O538" s="8"/>
      <c r="P538" s="8"/>
      <c r="Q538" s="8"/>
      <c r="R538" s="8"/>
      <c r="S538" s="8"/>
      <c r="T538" s="8"/>
      <c r="U538" s="12"/>
      <c r="V538" s="12"/>
      <c r="W538" s="12"/>
      <c r="X538" s="12"/>
      <c r="Y538" s="12"/>
      <c r="Z538" s="12"/>
      <c r="AA538" s="12"/>
      <c r="AB538" s="12"/>
      <c r="AC538" s="12"/>
      <c r="AD538" s="12"/>
      <c r="AE538" s="12"/>
      <c r="AF538" s="12"/>
      <c r="AG538" s="13"/>
      <c r="AH538" s="13"/>
      <c r="AI538" s="13"/>
      <c r="AJ538" s="13"/>
      <c r="AK538" s="13"/>
      <c r="AL538" s="13"/>
      <c r="AM538" s="13"/>
    </row>
    <row r="539" spans="1:39">
      <c r="A539" s="8"/>
      <c r="B539" s="8"/>
      <c r="C539" s="8"/>
      <c r="D539" s="8"/>
      <c r="E539" s="8"/>
      <c r="F539" s="8"/>
      <c r="G539" s="8"/>
      <c r="H539" s="8"/>
      <c r="I539" s="8"/>
      <c r="J539" s="8"/>
      <c r="K539" s="8"/>
      <c r="L539" s="8"/>
      <c r="M539" s="8"/>
      <c r="N539" s="8"/>
      <c r="O539" s="8"/>
      <c r="P539" s="8"/>
      <c r="Q539" s="8"/>
      <c r="R539" s="8"/>
      <c r="S539" s="8"/>
      <c r="T539" s="8"/>
      <c r="U539" s="12"/>
      <c r="V539" s="12"/>
      <c r="W539" s="12"/>
      <c r="X539" s="12"/>
      <c r="Y539" s="12"/>
      <c r="Z539" s="12"/>
      <c r="AA539" s="12"/>
      <c r="AB539" s="12"/>
      <c r="AC539" s="12"/>
      <c r="AD539" s="12"/>
      <c r="AE539" s="12"/>
      <c r="AF539" s="12"/>
      <c r="AG539" s="13"/>
      <c r="AH539" s="13"/>
      <c r="AI539" s="13"/>
      <c r="AJ539" s="13"/>
      <c r="AK539" s="13"/>
      <c r="AL539" s="13"/>
      <c r="AM539" s="13"/>
    </row>
    <row r="540" spans="1:39">
      <c r="A540" s="8"/>
      <c r="B540" s="8"/>
      <c r="C540" s="8"/>
      <c r="D540" s="8"/>
      <c r="E540" s="8"/>
      <c r="F540" s="8"/>
      <c r="G540" s="8"/>
      <c r="H540" s="8"/>
      <c r="I540" s="8"/>
      <c r="J540" s="8"/>
      <c r="K540" s="8"/>
      <c r="L540" s="8"/>
      <c r="M540" s="8"/>
      <c r="N540" s="8"/>
      <c r="O540" s="8"/>
      <c r="P540" s="8"/>
      <c r="Q540" s="8"/>
      <c r="R540" s="8"/>
      <c r="S540" s="8"/>
      <c r="T540" s="8"/>
      <c r="U540" s="12"/>
      <c r="V540" s="12"/>
      <c r="W540" s="12"/>
      <c r="X540" s="12"/>
      <c r="Y540" s="12"/>
      <c r="Z540" s="12"/>
      <c r="AA540" s="12"/>
      <c r="AB540" s="12"/>
      <c r="AC540" s="12"/>
      <c r="AD540" s="12"/>
      <c r="AE540" s="12"/>
      <c r="AF540" s="12"/>
      <c r="AG540" s="13"/>
      <c r="AH540" s="13"/>
      <c r="AI540" s="13"/>
      <c r="AJ540" s="13"/>
      <c r="AK540" s="13"/>
      <c r="AL540" s="13"/>
      <c r="AM540" s="13"/>
    </row>
    <row r="541" spans="1:39">
      <c r="A541" s="8"/>
      <c r="B541" s="8"/>
      <c r="C541" s="8"/>
      <c r="D541" s="8"/>
      <c r="E541" s="8"/>
      <c r="F541" s="8"/>
      <c r="G541" s="8"/>
      <c r="H541" s="8"/>
      <c r="I541" s="8"/>
      <c r="J541" s="8"/>
      <c r="K541" s="8"/>
      <c r="L541" s="8"/>
      <c r="M541" s="8"/>
      <c r="N541" s="8"/>
      <c r="O541" s="8"/>
      <c r="P541" s="8"/>
      <c r="Q541" s="8"/>
      <c r="R541" s="8"/>
      <c r="S541" s="8"/>
      <c r="T541" s="8"/>
      <c r="U541" s="12"/>
      <c r="V541" s="12"/>
      <c r="W541" s="12"/>
      <c r="X541" s="12"/>
      <c r="Y541" s="12"/>
      <c r="Z541" s="12"/>
      <c r="AA541" s="12"/>
      <c r="AB541" s="12"/>
      <c r="AC541" s="12"/>
      <c r="AD541" s="12"/>
      <c r="AE541" s="12"/>
      <c r="AF541" s="12"/>
      <c r="AG541" s="13"/>
      <c r="AH541" s="13"/>
      <c r="AI541" s="13"/>
      <c r="AJ541" s="13"/>
      <c r="AK541" s="13"/>
      <c r="AL541" s="13"/>
      <c r="AM541" s="13"/>
    </row>
    <row r="542" spans="1:39">
      <c r="A542" s="8"/>
      <c r="B542" s="8"/>
      <c r="C542" s="8"/>
      <c r="D542" s="8"/>
      <c r="E542" s="8"/>
      <c r="F542" s="8"/>
      <c r="G542" s="8"/>
      <c r="H542" s="8"/>
      <c r="I542" s="8"/>
      <c r="J542" s="8"/>
      <c r="K542" s="8"/>
      <c r="L542" s="8"/>
      <c r="M542" s="8"/>
      <c r="N542" s="8"/>
      <c r="O542" s="8"/>
      <c r="P542" s="8"/>
      <c r="Q542" s="8"/>
      <c r="R542" s="8"/>
      <c r="S542" s="8"/>
      <c r="T542" s="8"/>
      <c r="U542" s="12"/>
      <c r="V542" s="12"/>
      <c r="W542" s="12"/>
      <c r="X542" s="12"/>
      <c r="Y542" s="12"/>
      <c r="Z542" s="12"/>
      <c r="AA542" s="12"/>
      <c r="AB542" s="12"/>
      <c r="AC542" s="12"/>
      <c r="AD542" s="12"/>
      <c r="AE542" s="12"/>
      <c r="AF542" s="12"/>
      <c r="AG542" s="13"/>
      <c r="AH542" s="13"/>
      <c r="AI542" s="13"/>
      <c r="AJ542" s="13"/>
      <c r="AK542" s="13"/>
      <c r="AL542" s="13"/>
      <c r="AM542" s="13"/>
    </row>
    <row r="543" spans="1:39">
      <c r="A543" s="8"/>
      <c r="B543" s="8"/>
      <c r="C543" s="8"/>
      <c r="D543" s="8"/>
      <c r="E543" s="8"/>
      <c r="F543" s="8"/>
      <c r="G543" s="8"/>
      <c r="H543" s="8"/>
      <c r="I543" s="8"/>
      <c r="J543" s="8"/>
      <c r="K543" s="8"/>
      <c r="L543" s="8"/>
      <c r="M543" s="8"/>
      <c r="N543" s="8"/>
      <c r="O543" s="8"/>
      <c r="P543" s="8"/>
      <c r="Q543" s="8"/>
      <c r="R543" s="8"/>
      <c r="S543" s="8"/>
      <c r="T543" s="8"/>
      <c r="U543" s="12"/>
      <c r="V543" s="12"/>
      <c r="W543" s="12"/>
      <c r="X543" s="12"/>
      <c r="Y543" s="12"/>
      <c r="Z543" s="12"/>
      <c r="AA543" s="12"/>
      <c r="AB543" s="12"/>
      <c r="AC543" s="12"/>
      <c r="AD543" s="12"/>
      <c r="AE543" s="12"/>
      <c r="AF543" s="12"/>
      <c r="AG543" s="13"/>
      <c r="AH543" s="13"/>
      <c r="AI543" s="13"/>
      <c r="AJ543" s="13"/>
      <c r="AK543" s="13"/>
      <c r="AL543" s="13"/>
      <c r="AM543" s="13"/>
    </row>
    <row r="544" spans="1:39">
      <c r="A544" s="8"/>
      <c r="B544" s="8"/>
      <c r="C544" s="8"/>
      <c r="D544" s="8"/>
      <c r="E544" s="8"/>
      <c r="F544" s="8"/>
      <c r="G544" s="8"/>
      <c r="H544" s="8"/>
      <c r="I544" s="8"/>
      <c r="J544" s="8"/>
      <c r="K544" s="8"/>
      <c r="L544" s="8"/>
      <c r="M544" s="8"/>
      <c r="N544" s="8"/>
      <c r="O544" s="8"/>
      <c r="P544" s="8"/>
      <c r="Q544" s="8"/>
      <c r="R544" s="8"/>
      <c r="S544" s="8"/>
      <c r="T544" s="8"/>
      <c r="U544" s="12"/>
      <c r="V544" s="12"/>
      <c r="W544" s="12"/>
      <c r="X544" s="12"/>
      <c r="Y544" s="12"/>
      <c r="Z544" s="12"/>
      <c r="AA544" s="12"/>
      <c r="AB544" s="12"/>
      <c r="AC544" s="12"/>
      <c r="AD544" s="12"/>
      <c r="AE544" s="12"/>
      <c r="AF544" s="12"/>
      <c r="AG544" s="13"/>
      <c r="AH544" s="13"/>
      <c r="AI544" s="13"/>
      <c r="AJ544" s="13"/>
      <c r="AK544" s="13"/>
      <c r="AL544" s="13"/>
      <c r="AM544" s="13"/>
    </row>
    <row r="545" spans="1:39">
      <c r="A545" s="8"/>
      <c r="B545" s="8"/>
      <c r="C545" s="8"/>
      <c r="D545" s="8"/>
      <c r="E545" s="8"/>
      <c r="F545" s="8"/>
      <c r="G545" s="8"/>
      <c r="H545" s="8"/>
      <c r="I545" s="8"/>
      <c r="J545" s="8"/>
      <c r="K545" s="8"/>
      <c r="L545" s="8"/>
      <c r="M545" s="8"/>
      <c r="N545" s="8"/>
      <c r="O545" s="8"/>
      <c r="P545" s="8"/>
      <c r="Q545" s="8"/>
      <c r="R545" s="8"/>
      <c r="S545" s="8"/>
      <c r="T545" s="8"/>
      <c r="U545" s="12"/>
      <c r="V545" s="12"/>
      <c r="W545" s="12"/>
      <c r="X545" s="12"/>
      <c r="Y545" s="12"/>
      <c r="Z545" s="12"/>
      <c r="AA545" s="12"/>
      <c r="AB545" s="12"/>
      <c r="AC545" s="12"/>
      <c r="AD545" s="12"/>
      <c r="AE545" s="12"/>
      <c r="AF545" s="12"/>
      <c r="AG545" s="13"/>
      <c r="AH545" s="13"/>
      <c r="AI545" s="13"/>
      <c r="AJ545" s="13"/>
      <c r="AK545" s="13"/>
      <c r="AL545" s="13"/>
      <c r="AM545" s="13"/>
    </row>
    <row r="546" spans="1:39">
      <c r="A546" s="8"/>
      <c r="B546" s="8"/>
      <c r="C546" s="8"/>
      <c r="D546" s="8"/>
      <c r="E546" s="8"/>
      <c r="F546" s="8"/>
      <c r="G546" s="8"/>
      <c r="H546" s="8"/>
      <c r="I546" s="8"/>
      <c r="J546" s="8"/>
      <c r="K546" s="8"/>
      <c r="L546" s="8"/>
      <c r="M546" s="8"/>
      <c r="N546" s="8"/>
      <c r="O546" s="8"/>
      <c r="P546" s="8"/>
      <c r="Q546" s="8"/>
      <c r="R546" s="8"/>
      <c r="S546" s="8"/>
      <c r="T546" s="8"/>
      <c r="U546" s="12"/>
      <c r="V546" s="12"/>
      <c r="W546" s="12"/>
      <c r="X546" s="12"/>
      <c r="Y546" s="12"/>
      <c r="Z546" s="12"/>
      <c r="AA546" s="12"/>
      <c r="AB546" s="12"/>
      <c r="AC546" s="12"/>
      <c r="AD546" s="12"/>
      <c r="AE546" s="12"/>
      <c r="AF546" s="12"/>
      <c r="AG546" s="13"/>
      <c r="AH546" s="13"/>
      <c r="AI546" s="13"/>
      <c r="AJ546" s="13"/>
      <c r="AK546" s="13"/>
      <c r="AL546" s="13"/>
      <c r="AM546" s="13"/>
    </row>
    <row r="547" spans="1:39">
      <c r="A547" s="8"/>
      <c r="B547" s="8"/>
      <c r="C547" s="8"/>
      <c r="D547" s="8"/>
      <c r="E547" s="8"/>
      <c r="F547" s="8"/>
      <c r="G547" s="8"/>
      <c r="H547" s="8"/>
      <c r="I547" s="8"/>
      <c r="J547" s="8"/>
      <c r="K547" s="8"/>
      <c r="L547" s="8"/>
      <c r="M547" s="8"/>
      <c r="N547" s="8"/>
      <c r="O547" s="8"/>
      <c r="P547" s="8"/>
      <c r="Q547" s="8"/>
      <c r="R547" s="8"/>
      <c r="S547" s="8"/>
      <c r="T547" s="8"/>
      <c r="U547" s="12"/>
      <c r="V547" s="12"/>
      <c r="W547" s="12"/>
      <c r="X547" s="12"/>
      <c r="Y547" s="12"/>
      <c r="Z547" s="12"/>
      <c r="AA547" s="12"/>
      <c r="AB547" s="12"/>
      <c r="AC547" s="12"/>
      <c r="AD547" s="12"/>
      <c r="AE547" s="12"/>
      <c r="AF547" s="12"/>
      <c r="AG547" s="13"/>
      <c r="AH547" s="13"/>
      <c r="AI547" s="13"/>
      <c r="AJ547" s="13"/>
      <c r="AK547" s="13"/>
      <c r="AL547" s="13"/>
      <c r="AM547" s="13"/>
    </row>
    <row r="548" spans="1:39">
      <c r="A548" s="8"/>
      <c r="B548" s="8"/>
      <c r="C548" s="8"/>
      <c r="D548" s="8"/>
      <c r="E548" s="8"/>
      <c r="F548" s="8"/>
      <c r="G548" s="8"/>
      <c r="H548" s="8"/>
      <c r="I548" s="8"/>
      <c r="J548" s="8"/>
      <c r="K548" s="8"/>
      <c r="L548" s="8"/>
      <c r="M548" s="8"/>
      <c r="N548" s="8"/>
      <c r="O548" s="8"/>
      <c r="P548" s="8"/>
      <c r="Q548" s="8"/>
      <c r="R548" s="8"/>
      <c r="S548" s="8"/>
      <c r="T548" s="8"/>
      <c r="U548" s="12"/>
      <c r="V548" s="12"/>
      <c r="W548" s="12"/>
      <c r="X548" s="12"/>
      <c r="Y548" s="12"/>
      <c r="Z548" s="12"/>
      <c r="AA548" s="12"/>
      <c r="AB548" s="12"/>
      <c r="AC548" s="12"/>
      <c r="AD548" s="12"/>
      <c r="AE548" s="12"/>
      <c r="AF548" s="12"/>
      <c r="AG548" s="13"/>
      <c r="AH548" s="13"/>
      <c r="AI548" s="13"/>
      <c r="AJ548" s="13"/>
      <c r="AK548" s="13"/>
      <c r="AL548" s="13"/>
      <c r="AM548" s="13"/>
    </row>
    <row r="549" spans="1:39">
      <c r="A549" s="8"/>
      <c r="B549" s="8"/>
      <c r="C549" s="8"/>
      <c r="D549" s="8"/>
      <c r="E549" s="8"/>
      <c r="F549" s="8"/>
      <c r="G549" s="8"/>
      <c r="H549" s="8"/>
      <c r="I549" s="8"/>
      <c r="J549" s="8"/>
      <c r="K549" s="8"/>
      <c r="L549" s="8"/>
      <c r="M549" s="8"/>
      <c r="N549" s="8"/>
      <c r="O549" s="8"/>
      <c r="P549" s="8"/>
      <c r="Q549" s="8"/>
      <c r="R549" s="8"/>
      <c r="S549" s="8"/>
      <c r="T549" s="8"/>
      <c r="U549" s="12"/>
      <c r="V549" s="12"/>
      <c r="W549" s="12"/>
      <c r="X549" s="12"/>
      <c r="Y549" s="12"/>
      <c r="Z549" s="12"/>
      <c r="AA549" s="12"/>
      <c r="AB549" s="12"/>
      <c r="AC549" s="12"/>
      <c r="AD549" s="12"/>
      <c r="AE549" s="12"/>
      <c r="AF549" s="12"/>
      <c r="AG549" s="13"/>
      <c r="AH549" s="13"/>
      <c r="AI549" s="13"/>
      <c r="AJ549" s="13"/>
      <c r="AK549" s="13"/>
      <c r="AL549" s="13"/>
      <c r="AM549" s="13"/>
    </row>
    <row r="550" spans="1:39">
      <c r="A550" s="8"/>
      <c r="B550" s="8"/>
      <c r="C550" s="8"/>
      <c r="D550" s="8"/>
      <c r="E550" s="8"/>
      <c r="F550" s="8"/>
      <c r="G550" s="8"/>
      <c r="H550" s="8"/>
      <c r="I550" s="8"/>
      <c r="J550" s="8"/>
      <c r="K550" s="8"/>
      <c r="L550" s="8"/>
      <c r="M550" s="8"/>
      <c r="N550" s="8"/>
      <c r="O550" s="8"/>
      <c r="P550" s="8"/>
      <c r="Q550" s="8"/>
      <c r="R550" s="8"/>
      <c r="S550" s="8"/>
      <c r="T550" s="8"/>
      <c r="U550" s="12"/>
      <c r="V550" s="12"/>
      <c r="W550" s="12"/>
      <c r="X550" s="12"/>
      <c r="Y550" s="12"/>
      <c r="Z550" s="12"/>
      <c r="AA550" s="12"/>
      <c r="AB550" s="12"/>
      <c r="AC550" s="12"/>
      <c r="AD550" s="12"/>
      <c r="AE550" s="12"/>
      <c r="AF550" s="12"/>
      <c r="AG550" s="13"/>
      <c r="AH550" s="13"/>
      <c r="AI550" s="13"/>
      <c r="AJ550" s="13"/>
      <c r="AK550" s="13"/>
      <c r="AL550" s="13"/>
      <c r="AM550" s="13"/>
    </row>
    <row r="551" spans="1:39">
      <c r="A551" s="8"/>
      <c r="B551" s="8"/>
      <c r="C551" s="8"/>
      <c r="D551" s="8"/>
      <c r="E551" s="8"/>
      <c r="F551" s="8"/>
      <c r="G551" s="8"/>
      <c r="H551" s="8"/>
      <c r="I551" s="8"/>
      <c r="J551" s="8"/>
      <c r="K551" s="8"/>
      <c r="L551" s="8"/>
      <c r="M551" s="8"/>
      <c r="N551" s="8"/>
      <c r="O551" s="8"/>
      <c r="P551" s="8"/>
      <c r="Q551" s="8"/>
      <c r="R551" s="8"/>
      <c r="S551" s="8"/>
      <c r="T551" s="8"/>
      <c r="U551" s="12"/>
      <c r="V551" s="12"/>
      <c r="W551" s="12"/>
      <c r="X551" s="12"/>
      <c r="Y551" s="12"/>
      <c r="Z551" s="12"/>
      <c r="AA551" s="12"/>
      <c r="AB551" s="12"/>
      <c r="AC551" s="12"/>
      <c r="AD551" s="12"/>
      <c r="AE551" s="12"/>
      <c r="AF551" s="12"/>
      <c r="AG551" s="13"/>
      <c r="AH551" s="13"/>
      <c r="AI551" s="13"/>
      <c r="AJ551" s="13"/>
      <c r="AK551" s="13"/>
      <c r="AL551" s="13"/>
      <c r="AM551" s="13"/>
    </row>
    <row r="552" spans="1:39">
      <c r="A552" s="8"/>
      <c r="B552" s="8"/>
      <c r="C552" s="8"/>
      <c r="D552" s="8"/>
      <c r="E552" s="8"/>
      <c r="F552" s="8"/>
      <c r="G552" s="8"/>
      <c r="H552" s="8"/>
      <c r="I552" s="8"/>
      <c r="J552" s="8"/>
      <c r="K552" s="8"/>
      <c r="L552" s="8"/>
      <c r="M552" s="8"/>
      <c r="N552" s="8"/>
      <c r="O552" s="8"/>
      <c r="P552" s="8"/>
      <c r="Q552" s="8"/>
      <c r="R552" s="8"/>
      <c r="S552" s="8"/>
      <c r="T552" s="8"/>
      <c r="U552" s="12"/>
      <c r="V552" s="12"/>
      <c r="W552" s="12"/>
      <c r="X552" s="12"/>
      <c r="Y552" s="12"/>
      <c r="Z552" s="12"/>
      <c r="AA552" s="12"/>
      <c r="AB552" s="12"/>
      <c r="AC552" s="12"/>
      <c r="AD552" s="12"/>
      <c r="AE552" s="12"/>
      <c r="AF552" s="12"/>
      <c r="AG552" s="13"/>
      <c r="AH552" s="13"/>
      <c r="AI552" s="13"/>
      <c r="AJ552" s="13"/>
      <c r="AK552" s="13"/>
      <c r="AL552" s="13"/>
      <c r="AM552" s="13"/>
    </row>
    <row r="553" spans="1:39">
      <c r="A553" s="8"/>
      <c r="B553" s="8"/>
      <c r="C553" s="8"/>
      <c r="D553" s="8"/>
      <c r="E553" s="8"/>
      <c r="F553" s="8"/>
      <c r="G553" s="8"/>
      <c r="H553" s="8"/>
      <c r="I553" s="8"/>
      <c r="J553" s="8"/>
      <c r="K553" s="8"/>
      <c r="L553" s="8"/>
      <c r="M553" s="8"/>
      <c r="N553" s="8"/>
      <c r="O553" s="8"/>
      <c r="P553" s="8"/>
      <c r="Q553" s="8"/>
      <c r="R553" s="8"/>
      <c r="S553" s="8"/>
      <c r="T553" s="8"/>
      <c r="U553" s="12"/>
      <c r="V553" s="12"/>
      <c r="W553" s="12"/>
      <c r="X553" s="12"/>
      <c r="Y553" s="12"/>
      <c r="Z553" s="12"/>
      <c r="AA553" s="12"/>
      <c r="AB553" s="12"/>
      <c r="AC553" s="12"/>
      <c r="AD553" s="12"/>
      <c r="AE553" s="12"/>
      <c r="AF553" s="12"/>
      <c r="AG553" s="13"/>
      <c r="AH553" s="13"/>
      <c r="AI553" s="13"/>
      <c r="AJ553" s="13"/>
      <c r="AK553" s="13"/>
      <c r="AL553" s="13"/>
      <c r="AM553" s="13"/>
    </row>
    <row r="554" spans="1:39">
      <c r="A554" s="8"/>
      <c r="B554" s="8"/>
      <c r="C554" s="8"/>
      <c r="D554" s="8"/>
      <c r="E554" s="8"/>
      <c r="F554" s="8"/>
      <c r="G554" s="8"/>
      <c r="H554" s="8"/>
      <c r="I554" s="8"/>
      <c r="J554" s="8"/>
      <c r="K554" s="8"/>
      <c r="L554" s="8"/>
      <c r="M554" s="8"/>
      <c r="N554" s="8"/>
      <c r="O554" s="8"/>
      <c r="P554" s="8"/>
      <c r="Q554" s="8"/>
      <c r="R554" s="8"/>
      <c r="S554" s="8"/>
      <c r="T554" s="8"/>
      <c r="U554" s="12"/>
      <c r="V554" s="12"/>
      <c r="W554" s="12"/>
      <c r="X554" s="12"/>
      <c r="Y554" s="12"/>
      <c r="Z554" s="12"/>
      <c r="AA554" s="12"/>
      <c r="AB554" s="12"/>
      <c r="AC554" s="12"/>
      <c r="AD554" s="12"/>
      <c r="AE554" s="12"/>
      <c r="AF554" s="12"/>
      <c r="AG554" s="13"/>
      <c r="AH554" s="13"/>
      <c r="AI554" s="13"/>
      <c r="AJ554" s="13"/>
      <c r="AK554" s="13"/>
      <c r="AL554" s="13"/>
      <c r="AM554" s="13"/>
    </row>
    <row r="555" spans="1:39">
      <c r="A555" s="8"/>
      <c r="B555" s="8"/>
      <c r="C555" s="8"/>
      <c r="D555" s="8"/>
      <c r="E555" s="8"/>
      <c r="F555" s="8"/>
      <c r="G555" s="8"/>
      <c r="H555" s="8"/>
      <c r="I555" s="8"/>
      <c r="J555" s="8"/>
      <c r="K555" s="8"/>
      <c r="L555" s="8"/>
      <c r="M555" s="8"/>
      <c r="N555" s="8"/>
      <c r="O555" s="8"/>
      <c r="P555" s="8"/>
      <c r="Q555" s="8"/>
      <c r="R555" s="8"/>
      <c r="S555" s="8"/>
      <c r="T555" s="8"/>
      <c r="U555" s="12"/>
      <c r="V555" s="12"/>
      <c r="W555" s="12"/>
      <c r="X555" s="12"/>
      <c r="Y555" s="12"/>
      <c r="Z555" s="12"/>
      <c r="AA555" s="12"/>
      <c r="AB555" s="12"/>
      <c r="AC555" s="12"/>
      <c r="AD555" s="12"/>
      <c r="AE555" s="12"/>
      <c r="AF555" s="12"/>
      <c r="AG555" s="13"/>
      <c r="AH555" s="13"/>
      <c r="AI555" s="13"/>
      <c r="AJ555" s="13"/>
      <c r="AK555" s="13"/>
      <c r="AL555" s="13"/>
      <c r="AM555" s="13"/>
    </row>
    <row r="556" spans="1:39">
      <c r="A556" s="8"/>
      <c r="B556" s="8"/>
      <c r="C556" s="8"/>
      <c r="D556" s="8"/>
      <c r="E556" s="8"/>
      <c r="F556" s="8"/>
      <c r="G556" s="8"/>
      <c r="H556" s="8"/>
      <c r="I556" s="8"/>
      <c r="J556" s="8"/>
      <c r="K556" s="8"/>
      <c r="L556" s="8"/>
      <c r="M556" s="8"/>
      <c r="N556" s="8"/>
      <c r="O556" s="8"/>
      <c r="P556" s="8"/>
      <c r="Q556" s="8"/>
      <c r="R556" s="8"/>
      <c r="S556" s="8"/>
      <c r="T556" s="8"/>
      <c r="U556" s="12"/>
      <c r="V556" s="12"/>
      <c r="W556" s="12"/>
      <c r="X556" s="12"/>
      <c r="Y556" s="12"/>
      <c r="Z556" s="12"/>
      <c r="AA556" s="12"/>
      <c r="AB556" s="12"/>
      <c r="AC556" s="12"/>
      <c r="AD556" s="12"/>
      <c r="AE556" s="12"/>
      <c r="AF556" s="12"/>
      <c r="AG556" s="13"/>
      <c r="AH556" s="13"/>
      <c r="AI556" s="13"/>
      <c r="AJ556" s="13"/>
      <c r="AK556" s="13"/>
      <c r="AL556" s="13"/>
      <c r="AM556" s="13"/>
    </row>
    <row r="557" spans="1:39">
      <c r="A557" s="8"/>
      <c r="B557" s="8"/>
      <c r="C557" s="8"/>
      <c r="D557" s="8"/>
      <c r="E557" s="8"/>
      <c r="F557" s="8"/>
      <c r="G557" s="8"/>
      <c r="H557" s="8"/>
      <c r="I557" s="8"/>
      <c r="J557" s="8"/>
      <c r="K557" s="8"/>
      <c r="L557" s="8"/>
      <c r="M557" s="8"/>
      <c r="N557" s="8"/>
      <c r="O557" s="8"/>
      <c r="P557" s="8"/>
      <c r="Q557" s="8"/>
      <c r="R557" s="8"/>
      <c r="S557" s="8"/>
      <c r="T557" s="8"/>
      <c r="U557" s="12"/>
      <c r="V557" s="12"/>
      <c r="W557" s="12"/>
      <c r="X557" s="12"/>
      <c r="Y557" s="12"/>
      <c r="Z557" s="12"/>
      <c r="AA557" s="12"/>
      <c r="AB557" s="12"/>
      <c r="AC557" s="12"/>
      <c r="AD557" s="12"/>
      <c r="AE557" s="12"/>
      <c r="AF557" s="12"/>
      <c r="AG557" s="13"/>
      <c r="AH557" s="13"/>
      <c r="AI557" s="13"/>
      <c r="AJ557" s="13"/>
      <c r="AK557" s="13"/>
      <c r="AL557" s="13"/>
      <c r="AM557" s="13"/>
    </row>
    <row r="558" spans="1:39">
      <c r="A558" s="8"/>
      <c r="B558" s="8"/>
      <c r="C558" s="8"/>
      <c r="D558" s="8"/>
      <c r="E558" s="8"/>
      <c r="F558" s="8"/>
      <c r="G558" s="8"/>
      <c r="H558" s="8"/>
      <c r="I558" s="8"/>
      <c r="J558" s="8"/>
      <c r="K558" s="8"/>
      <c r="L558" s="8"/>
      <c r="M558" s="8"/>
      <c r="N558" s="8"/>
      <c r="O558" s="8"/>
      <c r="P558" s="8"/>
      <c r="Q558" s="8"/>
      <c r="R558" s="8"/>
      <c r="S558" s="8"/>
      <c r="T558" s="8"/>
      <c r="U558" s="12"/>
      <c r="V558" s="12"/>
      <c r="W558" s="12"/>
      <c r="X558" s="12"/>
      <c r="Y558" s="12"/>
      <c r="Z558" s="12"/>
      <c r="AA558" s="12"/>
      <c r="AB558" s="12"/>
      <c r="AC558" s="12"/>
      <c r="AD558" s="12"/>
      <c r="AE558" s="12"/>
      <c r="AF558" s="12"/>
      <c r="AG558" s="13"/>
      <c r="AH558" s="13"/>
      <c r="AI558" s="13"/>
      <c r="AJ558" s="13"/>
      <c r="AK558" s="13"/>
      <c r="AL558" s="13"/>
      <c r="AM558" s="13"/>
    </row>
    <row r="559" spans="1:39">
      <c r="A559" s="8"/>
      <c r="B559" s="8"/>
      <c r="C559" s="8"/>
      <c r="D559" s="8"/>
      <c r="E559" s="8"/>
      <c r="F559" s="8"/>
      <c r="G559" s="8"/>
      <c r="H559" s="8"/>
      <c r="I559" s="8"/>
      <c r="J559" s="8"/>
      <c r="K559" s="8"/>
      <c r="L559" s="8"/>
      <c r="M559" s="8"/>
      <c r="N559" s="8"/>
      <c r="O559" s="8"/>
      <c r="P559" s="8"/>
      <c r="Q559" s="8"/>
      <c r="R559" s="8"/>
      <c r="S559" s="8"/>
      <c r="T559" s="8"/>
      <c r="U559" s="12"/>
      <c r="V559" s="12"/>
      <c r="W559" s="12"/>
      <c r="X559" s="12"/>
      <c r="Y559" s="12"/>
      <c r="Z559" s="12"/>
      <c r="AA559" s="12"/>
      <c r="AB559" s="12"/>
      <c r="AC559" s="12"/>
      <c r="AD559" s="12"/>
      <c r="AE559" s="12"/>
      <c r="AF559" s="12"/>
      <c r="AG559" s="13"/>
      <c r="AH559" s="13"/>
      <c r="AI559" s="13"/>
      <c r="AJ559" s="13"/>
      <c r="AK559" s="13"/>
      <c r="AL559" s="13"/>
      <c r="AM559" s="13"/>
    </row>
    <row r="560" spans="1:39">
      <c r="A560" s="8"/>
      <c r="B560" s="8"/>
      <c r="C560" s="8"/>
      <c r="D560" s="8"/>
      <c r="E560" s="8"/>
      <c r="F560" s="8"/>
      <c r="G560" s="8"/>
      <c r="H560" s="8"/>
      <c r="I560" s="8"/>
      <c r="J560" s="8"/>
      <c r="K560" s="8"/>
      <c r="L560" s="8"/>
      <c r="M560" s="8"/>
      <c r="N560" s="8"/>
      <c r="O560" s="8"/>
      <c r="P560" s="8"/>
      <c r="Q560" s="8"/>
      <c r="R560" s="8"/>
      <c r="S560" s="8"/>
      <c r="T560" s="8"/>
      <c r="U560" s="12"/>
      <c r="V560" s="12"/>
      <c r="W560" s="12"/>
      <c r="X560" s="12"/>
      <c r="Y560" s="12"/>
      <c r="Z560" s="12"/>
      <c r="AA560" s="12"/>
      <c r="AB560" s="12"/>
      <c r="AC560" s="12"/>
      <c r="AD560" s="12"/>
      <c r="AE560" s="12"/>
      <c r="AF560" s="12"/>
      <c r="AG560" s="13"/>
      <c r="AH560" s="13"/>
      <c r="AI560" s="13"/>
      <c r="AJ560" s="13"/>
      <c r="AK560" s="13"/>
      <c r="AL560" s="13"/>
      <c r="AM560" s="13"/>
    </row>
    <row r="561" spans="1:39">
      <c r="A561" s="8"/>
      <c r="B561" s="8"/>
      <c r="C561" s="8"/>
      <c r="D561" s="8"/>
      <c r="E561" s="8"/>
      <c r="F561" s="8"/>
      <c r="G561" s="8"/>
      <c r="H561" s="8"/>
      <c r="I561" s="8"/>
      <c r="J561" s="8"/>
      <c r="K561" s="8"/>
      <c r="L561" s="8"/>
      <c r="M561" s="8"/>
      <c r="N561" s="8"/>
      <c r="O561" s="8"/>
      <c r="P561" s="8"/>
      <c r="Q561" s="8"/>
      <c r="R561" s="8"/>
      <c r="S561" s="8"/>
      <c r="T561" s="8"/>
      <c r="U561" s="12"/>
      <c r="V561" s="12"/>
      <c r="W561" s="12"/>
      <c r="X561" s="12"/>
      <c r="Y561" s="12"/>
      <c r="Z561" s="12"/>
      <c r="AA561" s="12"/>
      <c r="AB561" s="12"/>
      <c r="AC561" s="12"/>
      <c r="AD561" s="12"/>
      <c r="AE561" s="12"/>
      <c r="AF561" s="12"/>
      <c r="AG561" s="13"/>
      <c r="AH561" s="13"/>
      <c r="AI561" s="13"/>
      <c r="AJ561" s="13"/>
      <c r="AK561" s="13"/>
      <c r="AL561" s="13"/>
      <c r="AM561" s="13"/>
    </row>
    <row r="562" spans="1:39">
      <c r="A562" s="8"/>
      <c r="B562" s="8"/>
      <c r="C562" s="8"/>
      <c r="D562" s="8"/>
      <c r="E562" s="8"/>
      <c r="F562" s="8"/>
      <c r="G562" s="8"/>
      <c r="H562" s="8"/>
      <c r="I562" s="8"/>
      <c r="J562" s="8"/>
      <c r="K562" s="8"/>
      <c r="L562" s="8"/>
      <c r="M562" s="8"/>
      <c r="N562" s="8"/>
      <c r="O562" s="8"/>
      <c r="P562" s="8"/>
      <c r="Q562" s="8"/>
      <c r="R562" s="8"/>
      <c r="S562" s="8"/>
      <c r="T562" s="8"/>
      <c r="U562" s="12"/>
      <c r="V562" s="12"/>
      <c r="W562" s="12"/>
      <c r="X562" s="12"/>
      <c r="Y562" s="12"/>
      <c r="Z562" s="12"/>
      <c r="AA562" s="12"/>
      <c r="AB562" s="12"/>
      <c r="AC562" s="12"/>
      <c r="AD562" s="12"/>
      <c r="AE562" s="12"/>
      <c r="AF562" s="12"/>
      <c r="AG562" s="13"/>
      <c r="AH562" s="13"/>
      <c r="AI562" s="13"/>
      <c r="AJ562" s="13"/>
      <c r="AK562" s="13"/>
      <c r="AL562" s="13"/>
      <c r="AM562" s="13"/>
    </row>
    <row r="563" spans="1:39">
      <c r="A563" s="8"/>
      <c r="B563" s="8"/>
      <c r="C563" s="8"/>
      <c r="D563" s="8"/>
      <c r="E563" s="8"/>
      <c r="F563" s="8"/>
      <c r="G563" s="8"/>
      <c r="H563" s="8"/>
      <c r="I563" s="8"/>
      <c r="J563" s="8"/>
      <c r="K563" s="8"/>
      <c r="L563" s="8"/>
      <c r="M563" s="8"/>
      <c r="N563" s="8"/>
      <c r="O563" s="8"/>
      <c r="P563" s="8"/>
      <c r="Q563" s="8"/>
      <c r="R563" s="8"/>
      <c r="S563" s="8"/>
      <c r="T563" s="8"/>
      <c r="U563" s="12"/>
      <c r="V563" s="12"/>
      <c r="W563" s="12"/>
      <c r="X563" s="12"/>
      <c r="Y563" s="12"/>
      <c r="Z563" s="12"/>
      <c r="AA563" s="12"/>
      <c r="AB563" s="12"/>
      <c r="AC563" s="12"/>
      <c r="AD563" s="12"/>
      <c r="AE563" s="12"/>
      <c r="AF563" s="12"/>
      <c r="AG563" s="13"/>
      <c r="AH563" s="13"/>
      <c r="AI563" s="13"/>
      <c r="AJ563" s="13"/>
      <c r="AK563" s="13"/>
      <c r="AL563" s="13"/>
      <c r="AM563" s="13"/>
    </row>
    <row r="564" spans="1:39">
      <c r="A564" s="8"/>
      <c r="B564" s="8"/>
      <c r="C564" s="8"/>
      <c r="D564" s="8"/>
      <c r="E564" s="8"/>
      <c r="F564" s="8"/>
      <c r="G564" s="8"/>
      <c r="H564" s="8"/>
      <c r="I564" s="8"/>
      <c r="J564" s="8"/>
      <c r="K564" s="8"/>
      <c r="L564" s="8"/>
      <c r="M564" s="8"/>
      <c r="N564" s="8"/>
      <c r="O564" s="8"/>
      <c r="P564" s="8"/>
      <c r="Q564" s="8"/>
      <c r="R564" s="8"/>
      <c r="S564" s="8"/>
      <c r="T564" s="8"/>
      <c r="U564" s="12"/>
      <c r="V564" s="12"/>
      <c r="W564" s="12"/>
      <c r="X564" s="12"/>
      <c r="Y564" s="12"/>
      <c r="Z564" s="12"/>
      <c r="AA564" s="12"/>
      <c r="AB564" s="12"/>
      <c r="AC564" s="12"/>
      <c r="AD564" s="12"/>
      <c r="AE564" s="12"/>
      <c r="AF564" s="12"/>
      <c r="AG564" s="13"/>
      <c r="AH564" s="13"/>
      <c r="AI564" s="13"/>
      <c r="AJ564" s="13"/>
      <c r="AK564" s="13"/>
      <c r="AL564" s="13"/>
      <c r="AM564" s="13"/>
    </row>
    <row r="565" spans="1:39">
      <c r="A565" s="8"/>
      <c r="B565" s="8"/>
      <c r="C565" s="8"/>
      <c r="D565" s="8"/>
      <c r="E565" s="8"/>
      <c r="F565" s="8"/>
      <c r="G565" s="8"/>
      <c r="H565" s="8"/>
      <c r="I565" s="8"/>
      <c r="J565" s="8"/>
      <c r="K565" s="8"/>
      <c r="L565" s="8"/>
      <c r="M565" s="8"/>
      <c r="N565" s="8"/>
      <c r="O565" s="8"/>
      <c r="P565" s="8"/>
      <c r="Q565" s="8"/>
      <c r="R565" s="8"/>
      <c r="S565" s="8"/>
      <c r="T565" s="8"/>
      <c r="U565" s="12"/>
      <c r="V565" s="12"/>
      <c r="W565" s="12"/>
      <c r="X565" s="12"/>
      <c r="Y565" s="12"/>
      <c r="Z565" s="12"/>
      <c r="AA565" s="12"/>
      <c r="AB565" s="12"/>
      <c r="AC565" s="12"/>
      <c r="AD565" s="12"/>
      <c r="AE565" s="12"/>
      <c r="AF565" s="12"/>
      <c r="AG565" s="13"/>
      <c r="AH565" s="13"/>
      <c r="AI565" s="13"/>
      <c r="AJ565" s="13"/>
      <c r="AK565" s="13"/>
      <c r="AL565" s="13"/>
      <c r="AM565" s="13"/>
    </row>
    <row r="566" spans="1:39">
      <c r="A566" s="8"/>
      <c r="B566" s="8"/>
      <c r="C566" s="8"/>
      <c r="D566" s="8"/>
      <c r="E566" s="8"/>
      <c r="F566" s="8"/>
      <c r="G566" s="8"/>
      <c r="H566" s="8"/>
      <c r="I566" s="8"/>
      <c r="J566" s="8"/>
      <c r="K566" s="8"/>
      <c r="L566" s="8"/>
      <c r="M566" s="8"/>
      <c r="N566" s="8"/>
      <c r="O566" s="8"/>
      <c r="P566" s="8"/>
      <c r="Q566" s="8"/>
      <c r="R566" s="8"/>
      <c r="S566" s="8"/>
      <c r="T566" s="8"/>
      <c r="U566" s="12"/>
      <c r="V566" s="12"/>
      <c r="W566" s="12"/>
      <c r="X566" s="12"/>
      <c r="Y566" s="12"/>
      <c r="Z566" s="12"/>
      <c r="AA566" s="12"/>
      <c r="AB566" s="12"/>
      <c r="AC566" s="12"/>
      <c r="AD566" s="12"/>
      <c r="AE566" s="12"/>
      <c r="AF566" s="12"/>
      <c r="AG566" s="13"/>
      <c r="AH566" s="13"/>
      <c r="AI566" s="13"/>
      <c r="AJ566" s="13"/>
      <c r="AK566" s="13"/>
      <c r="AL566" s="13"/>
      <c r="AM566" s="13"/>
    </row>
    <row r="567" spans="1:39">
      <c r="A567" s="8"/>
      <c r="B567" s="8"/>
      <c r="C567" s="8"/>
      <c r="D567" s="8"/>
      <c r="E567" s="8"/>
      <c r="F567" s="8"/>
      <c r="G567" s="8"/>
      <c r="H567" s="8"/>
      <c r="I567" s="8"/>
      <c r="J567" s="8"/>
      <c r="K567" s="8"/>
      <c r="L567" s="8"/>
      <c r="M567" s="8"/>
      <c r="N567" s="8"/>
      <c r="O567" s="8"/>
      <c r="P567" s="8"/>
      <c r="Q567" s="8"/>
      <c r="R567" s="8"/>
      <c r="S567" s="8"/>
      <c r="T567" s="8"/>
      <c r="U567" s="12"/>
      <c r="V567" s="12"/>
      <c r="W567" s="12"/>
      <c r="X567" s="12"/>
      <c r="Y567" s="12"/>
      <c r="Z567" s="12"/>
      <c r="AA567" s="12"/>
      <c r="AB567" s="12"/>
      <c r="AC567" s="12"/>
      <c r="AD567" s="12"/>
      <c r="AE567" s="12"/>
      <c r="AF567" s="12"/>
      <c r="AG567" s="13"/>
      <c r="AH567" s="13"/>
      <c r="AI567" s="13"/>
      <c r="AJ567" s="13"/>
      <c r="AK567" s="13"/>
      <c r="AL567" s="13"/>
      <c r="AM567" s="13"/>
    </row>
    <row r="568" spans="1:39">
      <c r="A568" s="8"/>
      <c r="B568" s="8"/>
      <c r="C568" s="8"/>
      <c r="D568" s="8"/>
      <c r="E568" s="8"/>
      <c r="F568" s="8"/>
      <c r="G568" s="8"/>
      <c r="H568" s="8"/>
      <c r="I568" s="8"/>
      <c r="J568" s="8"/>
      <c r="K568" s="8"/>
      <c r="L568" s="8"/>
      <c r="M568" s="8"/>
      <c r="N568" s="8"/>
      <c r="O568" s="8"/>
      <c r="P568" s="8"/>
      <c r="Q568" s="8"/>
      <c r="R568" s="8"/>
      <c r="S568" s="8"/>
      <c r="T568" s="8"/>
      <c r="U568" s="12"/>
      <c r="V568" s="12"/>
      <c r="W568" s="12"/>
      <c r="X568" s="12"/>
      <c r="Y568" s="12"/>
      <c r="Z568" s="12"/>
      <c r="AA568" s="12"/>
      <c r="AB568" s="12"/>
      <c r="AC568" s="12"/>
      <c r="AD568" s="12"/>
      <c r="AE568" s="12"/>
      <c r="AF568" s="12"/>
      <c r="AG568" s="13"/>
      <c r="AH568" s="13"/>
      <c r="AI568" s="13"/>
      <c r="AJ568" s="13"/>
      <c r="AK568" s="13"/>
      <c r="AL568" s="13"/>
      <c r="AM568" s="13"/>
    </row>
    <row r="569" spans="1:39">
      <c r="A569" s="8"/>
      <c r="B569" s="8"/>
      <c r="C569" s="8"/>
      <c r="D569" s="8"/>
      <c r="E569" s="8"/>
      <c r="F569" s="8"/>
      <c r="G569" s="8"/>
      <c r="H569" s="8"/>
      <c r="I569" s="8"/>
      <c r="J569" s="8"/>
      <c r="K569" s="8"/>
      <c r="L569" s="8"/>
      <c r="M569" s="8"/>
      <c r="N569" s="8"/>
      <c r="O569" s="8"/>
      <c r="P569" s="8"/>
      <c r="Q569" s="8"/>
      <c r="R569" s="8"/>
      <c r="S569" s="8"/>
      <c r="T569" s="8"/>
      <c r="U569" s="12"/>
      <c r="V569" s="12"/>
      <c r="W569" s="12"/>
      <c r="X569" s="12"/>
      <c r="Y569" s="12"/>
      <c r="Z569" s="12"/>
      <c r="AA569" s="12"/>
      <c r="AB569" s="12"/>
      <c r="AC569" s="12"/>
      <c r="AD569" s="12"/>
      <c r="AE569" s="12"/>
      <c r="AF569" s="12"/>
      <c r="AG569" s="13"/>
      <c r="AH569" s="13"/>
      <c r="AI569" s="13"/>
      <c r="AJ569" s="13"/>
      <c r="AK569" s="13"/>
      <c r="AL569" s="13"/>
      <c r="AM569" s="13"/>
    </row>
    <row r="570" spans="1:39">
      <c r="A570" s="8"/>
      <c r="B570" s="8"/>
      <c r="C570" s="8"/>
      <c r="D570" s="8"/>
      <c r="E570" s="8"/>
      <c r="F570" s="8"/>
      <c r="G570" s="8"/>
      <c r="H570" s="8"/>
      <c r="I570" s="8"/>
      <c r="J570" s="8"/>
      <c r="K570" s="8"/>
      <c r="L570" s="8"/>
      <c r="M570" s="8"/>
      <c r="N570" s="8"/>
      <c r="O570" s="8"/>
      <c r="P570" s="8"/>
      <c r="Q570" s="8"/>
      <c r="R570" s="8"/>
      <c r="S570" s="8"/>
      <c r="T570" s="8"/>
      <c r="U570" s="12"/>
      <c r="V570" s="12"/>
      <c r="W570" s="12"/>
      <c r="X570" s="12"/>
      <c r="Y570" s="12"/>
      <c r="Z570" s="12"/>
      <c r="AA570" s="12"/>
      <c r="AB570" s="12"/>
      <c r="AC570" s="12"/>
      <c r="AD570" s="12"/>
      <c r="AE570" s="12"/>
      <c r="AF570" s="12"/>
      <c r="AG570" s="13"/>
      <c r="AH570" s="13"/>
      <c r="AI570" s="13"/>
      <c r="AJ570" s="13"/>
      <c r="AK570" s="13"/>
      <c r="AL570" s="13"/>
      <c r="AM570" s="13"/>
    </row>
    <row r="571" spans="1:39">
      <c r="A571" s="8"/>
      <c r="B571" s="8"/>
      <c r="C571" s="8"/>
      <c r="D571" s="8"/>
      <c r="E571" s="8"/>
      <c r="F571" s="8"/>
      <c r="G571" s="8"/>
      <c r="H571" s="8"/>
      <c r="I571" s="8"/>
      <c r="J571" s="8"/>
      <c r="K571" s="8"/>
      <c r="L571" s="8"/>
      <c r="M571" s="8"/>
      <c r="N571" s="8"/>
      <c r="O571" s="8"/>
      <c r="P571" s="8"/>
      <c r="Q571" s="8"/>
      <c r="R571" s="8"/>
      <c r="S571" s="8"/>
      <c r="T571" s="8"/>
      <c r="U571" s="12"/>
      <c r="V571" s="12"/>
      <c r="W571" s="12"/>
      <c r="X571" s="12"/>
      <c r="Y571" s="12"/>
      <c r="Z571" s="12"/>
      <c r="AA571" s="12"/>
      <c r="AB571" s="12"/>
      <c r="AC571" s="12"/>
      <c r="AD571" s="12"/>
      <c r="AE571" s="12"/>
      <c r="AF571" s="12"/>
      <c r="AG571" s="13"/>
      <c r="AH571" s="13"/>
      <c r="AI571" s="13"/>
      <c r="AJ571" s="13"/>
      <c r="AK571" s="13"/>
      <c r="AL571" s="13"/>
      <c r="AM571" s="13"/>
    </row>
    <row r="572" spans="1:39">
      <c r="A572" s="8"/>
      <c r="B572" s="8"/>
      <c r="C572" s="8"/>
      <c r="D572" s="8"/>
      <c r="E572" s="8"/>
      <c r="F572" s="8"/>
      <c r="G572" s="8"/>
      <c r="H572" s="8"/>
      <c r="I572" s="8"/>
      <c r="J572" s="8"/>
      <c r="K572" s="8"/>
      <c r="L572" s="8"/>
      <c r="M572" s="8"/>
      <c r="N572" s="8"/>
      <c r="O572" s="8"/>
      <c r="P572" s="8"/>
      <c r="Q572" s="8"/>
      <c r="R572" s="8"/>
      <c r="S572" s="8"/>
      <c r="T572" s="8"/>
      <c r="U572" s="12"/>
      <c r="V572" s="12"/>
      <c r="W572" s="12"/>
      <c r="X572" s="12"/>
      <c r="Y572" s="12"/>
      <c r="Z572" s="12"/>
      <c r="AA572" s="12"/>
      <c r="AB572" s="12"/>
      <c r="AC572" s="12"/>
      <c r="AD572" s="12"/>
      <c r="AE572" s="12"/>
      <c r="AF572" s="12"/>
      <c r="AG572" s="13"/>
      <c r="AH572" s="13"/>
      <c r="AI572" s="13"/>
      <c r="AJ572" s="13"/>
      <c r="AK572" s="13"/>
      <c r="AL572" s="13"/>
      <c r="AM572" s="13"/>
    </row>
    <row r="573" spans="1:39">
      <c r="A573" s="8"/>
      <c r="B573" s="8"/>
      <c r="C573" s="8"/>
      <c r="D573" s="8"/>
      <c r="E573" s="8"/>
      <c r="F573" s="8"/>
      <c r="G573" s="8"/>
      <c r="H573" s="8"/>
      <c r="I573" s="8"/>
      <c r="J573" s="8"/>
      <c r="K573" s="8"/>
      <c r="L573" s="8"/>
      <c r="M573" s="8"/>
      <c r="N573" s="8"/>
      <c r="O573" s="8"/>
      <c r="P573" s="8"/>
      <c r="Q573" s="8"/>
      <c r="R573" s="8"/>
      <c r="S573" s="8"/>
      <c r="T573" s="8"/>
      <c r="U573" s="12"/>
      <c r="V573" s="12"/>
      <c r="W573" s="12"/>
      <c r="X573" s="12"/>
      <c r="Y573" s="12"/>
      <c r="Z573" s="12"/>
      <c r="AA573" s="12"/>
      <c r="AB573" s="12"/>
      <c r="AC573" s="12"/>
      <c r="AD573" s="12"/>
      <c r="AE573" s="12"/>
      <c r="AF573" s="12"/>
      <c r="AG573" s="13"/>
      <c r="AH573" s="13"/>
      <c r="AI573" s="13"/>
      <c r="AJ573" s="13"/>
      <c r="AK573" s="13"/>
      <c r="AL573" s="13"/>
      <c r="AM573" s="13"/>
    </row>
    <row r="574" spans="1:39">
      <c r="A574" s="8"/>
      <c r="B574" s="8"/>
      <c r="C574" s="8"/>
      <c r="D574" s="8"/>
      <c r="E574" s="8"/>
      <c r="F574" s="8"/>
      <c r="G574" s="8"/>
      <c r="H574" s="8"/>
      <c r="I574" s="8"/>
      <c r="J574" s="8"/>
      <c r="K574" s="8"/>
      <c r="L574" s="8"/>
      <c r="M574" s="8"/>
      <c r="N574" s="8"/>
      <c r="O574" s="8"/>
      <c r="P574" s="8"/>
      <c r="Q574" s="8"/>
      <c r="R574" s="8"/>
      <c r="S574" s="8"/>
      <c r="T574" s="8"/>
      <c r="U574" s="12"/>
      <c r="V574" s="12"/>
      <c r="W574" s="12"/>
      <c r="X574" s="12"/>
      <c r="Y574" s="12"/>
      <c r="Z574" s="12"/>
      <c r="AA574" s="12"/>
      <c r="AB574" s="12"/>
      <c r="AC574" s="12"/>
      <c r="AD574" s="12"/>
      <c r="AE574" s="12"/>
      <c r="AF574" s="12"/>
      <c r="AG574" s="13"/>
      <c r="AH574" s="13"/>
      <c r="AI574" s="13"/>
      <c r="AJ574" s="13"/>
      <c r="AK574" s="13"/>
      <c r="AL574" s="13"/>
      <c r="AM574" s="13"/>
    </row>
    <row r="575" spans="1:39">
      <c r="A575" s="8"/>
      <c r="B575" s="8"/>
      <c r="C575" s="8"/>
      <c r="D575" s="8"/>
      <c r="E575" s="8"/>
      <c r="F575" s="8"/>
      <c r="G575" s="8"/>
      <c r="H575" s="8"/>
      <c r="I575" s="8"/>
      <c r="J575" s="8"/>
      <c r="K575" s="8"/>
      <c r="L575" s="8"/>
      <c r="M575" s="8"/>
      <c r="N575" s="8"/>
      <c r="O575" s="8"/>
      <c r="P575" s="8"/>
      <c r="Q575" s="8"/>
      <c r="R575" s="8"/>
      <c r="S575" s="8"/>
      <c r="T575" s="8"/>
      <c r="U575" s="12"/>
      <c r="V575" s="12"/>
      <c r="W575" s="12"/>
      <c r="X575" s="12"/>
      <c r="Y575" s="12"/>
      <c r="Z575" s="12"/>
      <c r="AA575" s="12"/>
      <c r="AB575" s="12"/>
      <c r="AC575" s="12"/>
      <c r="AD575" s="12"/>
      <c r="AE575" s="12"/>
      <c r="AF575" s="12"/>
      <c r="AG575" s="13"/>
      <c r="AH575" s="13"/>
      <c r="AI575" s="13"/>
      <c r="AJ575" s="13"/>
      <c r="AK575" s="13"/>
      <c r="AL575" s="13"/>
      <c r="AM575" s="13"/>
    </row>
    <row r="576" spans="1:39">
      <c r="A576" s="8"/>
      <c r="B576" s="8"/>
      <c r="C576" s="8"/>
      <c r="D576" s="8"/>
      <c r="E576" s="8"/>
      <c r="F576" s="8"/>
      <c r="G576" s="8"/>
      <c r="H576" s="8"/>
      <c r="I576" s="8"/>
      <c r="J576" s="8"/>
      <c r="K576" s="8"/>
      <c r="L576" s="8"/>
      <c r="M576" s="8"/>
      <c r="N576" s="8"/>
      <c r="O576" s="8"/>
      <c r="P576" s="8"/>
      <c r="Q576" s="8"/>
      <c r="R576" s="8"/>
      <c r="S576" s="8"/>
      <c r="T576" s="8"/>
      <c r="U576" s="12"/>
      <c r="V576" s="12"/>
      <c r="W576" s="12"/>
      <c r="X576" s="12"/>
      <c r="Y576" s="12"/>
      <c r="Z576" s="12"/>
      <c r="AA576" s="12"/>
      <c r="AB576" s="12"/>
      <c r="AC576" s="12"/>
      <c r="AD576" s="12"/>
      <c r="AE576" s="12"/>
      <c r="AF576" s="12"/>
      <c r="AG576" s="13"/>
      <c r="AH576" s="13"/>
      <c r="AI576" s="13"/>
      <c r="AJ576" s="13"/>
      <c r="AK576" s="13"/>
      <c r="AL576" s="13"/>
      <c r="AM576" s="13"/>
    </row>
    <row r="577" spans="1:39">
      <c r="A577" s="8"/>
      <c r="B577" s="8"/>
      <c r="C577" s="8"/>
      <c r="D577" s="8"/>
      <c r="E577" s="8"/>
      <c r="F577" s="8"/>
      <c r="G577" s="8"/>
      <c r="H577" s="8"/>
      <c r="I577" s="8"/>
      <c r="J577" s="8"/>
      <c r="K577" s="8"/>
      <c r="L577" s="8"/>
      <c r="M577" s="8"/>
      <c r="N577" s="8"/>
      <c r="O577" s="8"/>
      <c r="P577" s="8"/>
      <c r="Q577" s="8"/>
      <c r="R577" s="8"/>
      <c r="S577" s="8"/>
      <c r="T577" s="8"/>
      <c r="U577" s="12"/>
      <c r="V577" s="12"/>
      <c r="W577" s="12"/>
      <c r="X577" s="12"/>
      <c r="Y577" s="12"/>
      <c r="Z577" s="12"/>
      <c r="AA577" s="12"/>
      <c r="AB577" s="12"/>
      <c r="AC577" s="12"/>
      <c r="AD577" s="12"/>
      <c r="AE577" s="12"/>
      <c r="AF577" s="12"/>
      <c r="AG577" s="13"/>
      <c r="AH577" s="13"/>
      <c r="AI577" s="13"/>
      <c r="AJ577" s="13"/>
      <c r="AK577" s="13"/>
      <c r="AL577" s="13"/>
      <c r="AM577" s="13"/>
    </row>
    <row r="578" spans="1:39">
      <c r="A578" s="8"/>
      <c r="B578" s="8"/>
      <c r="C578" s="8"/>
      <c r="D578" s="8"/>
      <c r="E578" s="8"/>
      <c r="F578" s="8"/>
      <c r="G578" s="8"/>
      <c r="H578" s="8"/>
      <c r="I578" s="8"/>
      <c r="J578" s="8"/>
      <c r="K578" s="8"/>
      <c r="L578" s="8"/>
      <c r="M578" s="8"/>
      <c r="N578" s="8"/>
      <c r="O578" s="8"/>
      <c r="P578" s="8"/>
      <c r="Q578" s="8"/>
      <c r="R578" s="8"/>
      <c r="S578" s="8"/>
      <c r="T578" s="8"/>
      <c r="U578" s="12"/>
      <c r="V578" s="12"/>
      <c r="W578" s="12"/>
      <c r="X578" s="12"/>
      <c r="Y578" s="12"/>
      <c r="Z578" s="12"/>
      <c r="AA578" s="12"/>
      <c r="AB578" s="12"/>
      <c r="AC578" s="12"/>
      <c r="AD578" s="12"/>
      <c r="AE578" s="12"/>
      <c r="AF578" s="12"/>
      <c r="AG578" s="13"/>
      <c r="AH578" s="13"/>
      <c r="AI578" s="13"/>
      <c r="AJ578" s="13"/>
      <c r="AK578" s="13"/>
      <c r="AL578" s="13"/>
      <c r="AM578" s="13"/>
    </row>
    <row r="579" spans="1:39">
      <c r="A579" s="8"/>
      <c r="B579" s="8"/>
      <c r="C579" s="8"/>
      <c r="D579" s="8"/>
      <c r="E579" s="8"/>
      <c r="F579" s="8"/>
      <c r="G579" s="8"/>
      <c r="H579" s="8"/>
      <c r="I579" s="8"/>
      <c r="J579" s="8"/>
      <c r="K579" s="8"/>
      <c r="L579" s="8"/>
      <c r="M579" s="8"/>
      <c r="N579" s="8"/>
      <c r="O579" s="8"/>
      <c r="P579" s="8"/>
      <c r="Q579" s="8"/>
      <c r="R579" s="8"/>
      <c r="S579" s="8"/>
      <c r="T579" s="8"/>
      <c r="U579" s="12"/>
      <c r="V579" s="12"/>
      <c r="W579" s="12"/>
      <c r="X579" s="12"/>
      <c r="Y579" s="12"/>
      <c r="Z579" s="12"/>
      <c r="AA579" s="12"/>
      <c r="AB579" s="12"/>
      <c r="AC579" s="12"/>
      <c r="AD579" s="12"/>
      <c r="AE579" s="12"/>
      <c r="AF579" s="12"/>
      <c r="AG579" s="13"/>
      <c r="AH579" s="13"/>
      <c r="AI579" s="13"/>
      <c r="AJ579" s="13"/>
      <c r="AK579" s="13"/>
      <c r="AL579" s="13"/>
      <c r="AM579" s="13"/>
    </row>
    <row r="580" spans="1:39">
      <c r="A580" s="8"/>
      <c r="B580" s="8"/>
      <c r="C580" s="8"/>
      <c r="D580" s="8"/>
      <c r="E580" s="8"/>
      <c r="F580" s="8"/>
      <c r="G580" s="8"/>
      <c r="H580" s="8"/>
      <c r="I580" s="8"/>
      <c r="J580" s="8"/>
      <c r="K580" s="8"/>
      <c r="L580" s="8"/>
      <c r="M580" s="8"/>
      <c r="N580" s="8"/>
      <c r="O580" s="8"/>
      <c r="P580" s="8"/>
      <c r="Q580" s="8"/>
      <c r="R580" s="8"/>
      <c r="S580" s="8"/>
      <c r="T580" s="8"/>
      <c r="U580" s="12"/>
      <c r="V580" s="12"/>
      <c r="W580" s="12"/>
      <c r="X580" s="12"/>
      <c r="Y580" s="12"/>
      <c r="Z580" s="12"/>
      <c r="AA580" s="12"/>
      <c r="AB580" s="12"/>
      <c r="AC580" s="12"/>
      <c r="AD580" s="12"/>
      <c r="AE580" s="12"/>
      <c r="AF580" s="12"/>
      <c r="AG580" s="13"/>
      <c r="AH580" s="13"/>
      <c r="AI580" s="13"/>
      <c r="AJ580" s="13"/>
      <c r="AK580" s="13"/>
      <c r="AL580" s="13"/>
      <c r="AM580" s="13"/>
    </row>
    <row r="581" spans="1:39">
      <c r="A581" s="8"/>
      <c r="B581" s="8"/>
      <c r="C581" s="8"/>
      <c r="D581" s="8"/>
      <c r="E581" s="8"/>
      <c r="F581" s="8"/>
      <c r="G581" s="8"/>
      <c r="H581" s="8"/>
      <c r="I581" s="8"/>
      <c r="J581" s="8"/>
      <c r="K581" s="8"/>
      <c r="L581" s="8"/>
      <c r="M581" s="8"/>
      <c r="N581" s="8"/>
      <c r="O581" s="8"/>
      <c r="P581" s="8"/>
      <c r="Q581" s="8"/>
      <c r="R581" s="8"/>
      <c r="S581" s="8"/>
      <c r="T581" s="8"/>
      <c r="U581" s="12"/>
      <c r="V581" s="12"/>
      <c r="W581" s="12"/>
      <c r="X581" s="12"/>
      <c r="Y581" s="12"/>
      <c r="Z581" s="12"/>
      <c r="AA581" s="12"/>
      <c r="AB581" s="12"/>
      <c r="AC581" s="12"/>
      <c r="AD581" s="12"/>
      <c r="AE581" s="12"/>
      <c r="AF581" s="12"/>
      <c r="AG581" s="13"/>
      <c r="AH581" s="13"/>
      <c r="AI581" s="13"/>
      <c r="AJ581" s="13"/>
      <c r="AK581" s="13"/>
      <c r="AL581" s="13"/>
      <c r="AM581" s="13"/>
    </row>
    <row r="582" spans="1:39">
      <c r="A582" s="8"/>
      <c r="B582" s="8"/>
      <c r="C582" s="8"/>
      <c r="D582" s="8"/>
      <c r="E582" s="8"/>
      <c r="F582" s="8"/>
      <c r="G582" s="8"/>
      <c r="H582" s="8"/>
      <c r="I582" s="8"/>
      <c r="J582" s="8"/>
      <c r="K582" s="8"/>
      <c r="L582" s="8"/>
      <c r="M582" s="8"/>
      <c r="N582" s="8"/>
      <c r="O582" s="8"/>
      <c r="P582" s="8"/>
      <c r="Q582" s="8"/>
      <c r="R582" s="8"/>
      <c r="S582" s="8"/>
      <c r="T582" s="8"/>
      <c r="U582" s="12"/>
      <c r="V582" s="12"/>
      <c r="W582" s="12"/>
      <c r="X582" s="12"/>
      <c r="Y582" s="12"/>
      <c r="Z582" s="12"/>
      <c r="AA582" s="12"/>
      <c r="AB582" s="12"/>
      <c r="AC582" s="12"/>
      <c r="AD582" s="12"/>
      <c r="AE582" s="12"/>
      <c r="AF582" s="12"/>
      <c r="AG582" s="13"/>
      <c r="AH582" s="13"/>
      <c r="AI582" s="13"/>
      <c r="AJ582" s="13"/>
      <c r="AK582" s="13"/>
      <c r="AL582" s="13"/>
      <c r="AM582" s="13"/>
    </row>
    <row r="583" spans="1:39">
      <c r="A583" s="8"/>
      <c r="B583" s="8"/>
      <c r="C583" s="8"/>
      <c r="D583" s="8"/>
      <c r="E583" s="8"/>
      <c r="F583" s="8"/>
      <c r="G583" s="8"/>
      <c r="H583" s="8"/>
      <c r="I583" s="8"/>
      <c r="J583" s="8"/>
      <c r="K583" s="8"/>
      <c r="L583" s="8"/>
      <c r="M583" s="8"/>
      <c r="N583" s="8"/>
      <c r="O583" s="8"/>
      <c r="P583" s="8"/>
      <c r="Q583" s="8"/>
      <c r="R583" s="8"/>
      <c r="S583" s="8"/>
      <c r="T583" s="8"/>
      <c r="U583" s="12"/>
      <c r="V583" s="12"/>
      <c r="W583" s="12"/>
      <c r="X583" s="12"/>
      <c r="Y583" s="12"/>
      <c r="Z583" s="12"/>
      <c r="AA583" s="12"/>
      <c r="AB583" s="12"/>
      <c r="AC583" s="12"/>
      <c r="AD583" s="12"/>
      <c r="AE583" s="12"/>
      <c r="AF583" s="12"/>
      <c r="AG583" s="13"/>
      <c r="AH583" s="13"/>
      <c r="AI583" s="13"/>
      <c r="AJ583" s="13"/>
      <c r="AK583" s="13"/>
      <c r="AL583" s="13"/>
      <c r="AM583" s="13"/>
    </row>
    <row r="584" spans="1:39">
      <c r="A584" s="8"/>
      <c r="B584" s="8"/>
      <c r="C584" s="8"/>
      <c r="D584" s="8"/>
      <c r="E584" s="8"/>
      <c r="F584" s="8"/>
      <c r="G584" s="8"/>
      <c r="H584" s="8"/>
      <c r="I584" s="8"/>
      <c r="J584" s="8"/>
      <c r="K584" s="8"/>
      <c r="L584" s="8"/>
      <c r="M584" s="8"/>
      <c r="N584" s="8"/>
      <c r="O584" s="8"/>
      <c r="P584" s="8"/>
      <c r="Q584" s="8"/>
      <c r="R584" s="8"/>
      <c r="S584" s="8"/>
      <c r="T584" s="8"/>
      <c r="U584" s="12"/>
      <c r="V584" s="12"/>
      <c r="W584" s="12"/>
      <c r="X584" s="12"/>
      <c r="Y584" s="12"/>
      <c r="Z584" s="12"/>
      <c r="AA584" s="12"/>
      <c r="AB584" s="12"/>
      <c r="AC584" s="12"/>
      <c r="AD584" s="12"/>
      <c r="AE584" s="12"/>
      <c r="AF584" s="12"/>
      <c r="AG584" s="13"/>
      <c r="AH584" s="13"/>
      <c r="AI584" s="13"/>
      <c r="AJ584" s="13"/>
      <c r="AK584" s="13"/>
      <c r="AL584" s="13"/>
      <c r="AM584" s="13"/>
    </row>
    <row r="585" spans="1:39">
      <c r="A585" s="8"/>
      <c r="B585" s="8"/>
      <c r="C585" s="8"/>
      <c r="D585" s="8"/>
      <c r="E585" s="8"/>
      <c r="F585" s="8"/>
      <c r="G585" s="8"/>
      <c r="H585" s="8"/>
      <c r="I585" s="8"/>
      <c r="J585" s="8"/>
      <c r="K585" s="8"/>
      <c r="L585" s="8"/>
      <c r="M585" s="8"/>
      <c r="N585" s="8"/>
      <c r="O585" s="8"/>
      <c r="P585" s="8"/>
      <c r="Q585" s="8"/>
      <c r="R585" s="8"/>
      <c r="S585" s="8"/>
      <c r="T585" s="8"/>
      <c r="U585" s="12"/>
      <c r="V585" s="12"/>
      <c r="W585" s="12"/>
      <c r="X585" s="12"/>
      <c r="Y585" s="12"/>
      <c r="Z585" s="12"/>
      <c r="AA585" s="12"/>
      <c r="AB585" s="12"/>
      <c r="AC585" s="12"/>
      <c r="AD585" s="12"/>
      <c r="AE585" s="12"/>
      <c r="AF585" s="12"/>
      <c r="AG585" s="13"/>
      <c r="AH585" s="13"/>
      <c r="AI585" s="13"/>
      <c r="AJ585" s="13"/>
      <c r="AK585" s="13"/>
      <c r="AL585" s="13"/>
      <c r="AM585" s="13"/>
    </row>
    <row r="586" spans="1:39">
      <c r="A586" s="8"/>
      <c r="B586" s="8"/>
      <c r="C586" s="8"/>
      <c r="D586" s="8"/>
      <c r="E586" s="8"/>
      <c r="F586" s="8"/>
      <c r="G586" s="8"/>
      <c r="H586" s="8"/>
      <c r="I586" s="8"/>
      <c r="J586" s="8"/>
      <c r="K586" s="8"/>
      <c r="L586" s="8"/>
      <c r="M586" s="8"/>
      <c r="N586" s="8"/>
      <c r="O586" s="8"/>
      <c r="P586" s="8"/>
      <c r="Q586" s="8"/>
      <c r="R586" s="8"/>
      <c r="S586" s="8"/>
      <c r="T586" s="8"/>
      <c r="U586" s="12"/>
      <c r="V586" s="12"/>
      <c r="W586" s="12"/>
      <c r="X586" s="12"/>
      <c r="Y586" s="12"/>
      <c r="Z586" s="12"/>
      <c r="AA586" s="12"/>
      <c r="AB586" s="12"/>
      <c r="AC586" s="12"/>
      <c r="AD586" s="12"/>
      <c r="AE586" s="12"/>
      <c r="AF586" s="12"/>
      <c r="AG586" s="13"/>
      <c r="AH586" s="13"/>
      <c r="AI586" s="13"/>
      <c r="AJ586" s="13"/>
      <c r="AK586" s="13"/>
      <c r="AL586" s="13"/>
      <c r="AM586" s="13"/>
    </row>
    <row r="587" spans="1:39">
      <c r="A587" s="8"/>
      <c r="B587" s="8"/>
      <c r="C587" s="8"/>
      <c r="D587" s="8"/>
      <c r="E587" s="8"/>
      <c r="F587" s="8"/>
      <c r="G587" s="8"/>
      <c r="H587" s="8"/>
      <c r="I587" s="8"/>
      <c r="J587" s="8"/>
      <c r="K587" s="8"/>
      <c r="L587" s="8"/>
      <c r="M587" s="8"/>
      <c r="N587" s="8"/>
      <c r="O587" s="8"/>
      <c r="P587" s="8"/>
      <c r="Q587" s="8"/>
      <c r="R587" s="8"/>
      <c r="S587" s="8"/>
      <c r="T587" s="8"/>
      <c r="U587" s="12"/>
      <c r="V587" s="12"/>
      <c r="W587" s="12"/>
      <c r="X587" s="12"/>
      <c r="Y587" s="12"/>
      <c r="Z587" s="12"/>
      <c r="AA587" s="12"/>
      <c r="AB587" s="12"/>
      <c r="AC587" s="12"/>
      <c r="AD587" s="12"/>
      <c r="AE587" s="12"/>
      <c r="AF587" s="12"/>
      <c r="AG587" s="13"/>
      <c r="AH587" s="13"/>
      <c r="AI587" s="13"/>
      <c r="AJ587" s="13"/>
      <c r="AK587" s="13"/>
      <c r="AL587" s="13"/>
      <c r="AM587" s="13"/>
    </row>
    <row r="588" spans="1:39">
      <c r="A588" s="8"/>
      <c r="B588" s="8"/>
      <c r="C588" s="8"/>
      <c r="D588" s="8"/>
      <c r="E588" s="8"/>
      <c r="F588" s="8"/>
      <c r="G588" s="8"/>
      <c r="H588" s="8"/>
      <c r="I588" s="8"/>
      <c r="J588" s="8"/>
      <c r="K588" s="8"/>
      <c r="L588" s="8"/>
      <c r="M588" s="8"/>
      <c r="N588" s="8"/>
      <c r="O588" s="8"/>
      <c r="P588" s="8"/>
      <c r="Q588" s="8"/>
      <c r="R588" s="8"/>
      <c r="S588" s="8"/>
      <c r="T588" s="8"/>
      <c r="U588" s="12"/>
      <c r="V588" s="12"/>
      <c r="W588" s="12"/>
      <c r="X588" s="12"/>
      <c r="Y588" s="12"/>
      <c r="Z588" s="12"/>
      <c r="AA588" s="12"/>
      <c r="AB588" s="12"/>
      <c r="AC588" s="12"/>
      <c r="AD588" s="12"/>
      <c r="AE588" s="12"/>
      <c r="AF588" s="12"/>
      <c r="AG588" s="13"/>
      <c r="AH588" s="13"/>
      <c r="AI588" s="13"/>
      <c r="AJ588" s="13"/>
      <c r="AK588" s="13"/>
      <c r="AL588" s="13"/>
      <c r="AM588" s="13"/>
    </row>
    <row r="589" spans="1:39">
      <c r="A589" s="8"/>
      <c r="B589" s="8"/>
      <c r="C589" s="8"/>
      <c r="D589" s="8"/>
      <c r="E589" s="8"/>
      <c r="F589" s="8"/>
      <c r="G589" s="8"/>
      <c r="H589" s="8"/>
      <c r="I589" s="8"/>
      <c r="J589" s="8"/>
      <c r="K589" s="8"/>
      <c r="L589" s="8"/>
      <c r="M589" s="8"/>
      <c r="N589" s="8"/>
      <c r="O589" s="8"/>
      <c r="P589" s="8"/>
      <c r="Q589" s="8"/>
      <c r="R589" s="8"/>
      <c r="S589" s="8"/>
      <c r="T589" s="8"/>
      <c r="U589" s="12"/>
      <c r="V589" s="12"/>
      <c r="W589" s="12"/>
      <c r="X589" s="12"/>
      <c r="Y589" s="12"/>
      <c r="Z589" s="12"/>
      <c r="AA589" s="12"/>
      <c r="AB589" s="12"/>
      <c r="AC589" s="12"/>
      <c r="AD589" s="12"/>
      <c r="AE589" s="12"/>
      <c r="AF589" s="12"/>
      <c r="AG589" s="13"/>
      <c r="AH589" s="13"/>
      <c r="AI589" s="13"/>
      <c r="AJ589" s="13"/>
      <c r="AK589" s="13"/>
      <c r="AL589" s="13"/>
      <c r="AM589" s="13"/>
    </row>
    <row r="590" spans="1:39">
      <c r="A590" s="8"/>
      <c r="B590" s="8"/>
      <c r="C590" s="8"/>
      <c r="D590" s="8"/>
      <c r="E590" s="8"/>
      <c r="F590" s="8"/>
      <c r="G590" s="8"/>
      <c r="H590" s="8"/>
      <c r="I590" s="8"/>
      <c r="J590" s="8"/>
      <c r="K590" s="8"/>
      <c r="L590" s="8"/>
      <c r="M590" s="8"/>
      <c r="N590" s="8"/>
      <c r="O590" s="8"/>
      <c r="P590" s="8"/>
      <c r="Q590" s="8"/>
      <c r="R590" s="8"/>
      <c r="S590" s="8"/>
      <c r="T590" s="8"/>
      <c r="U590" s="12"/>
      <c r="V590" s="12"/>
      <c r="W590" s="12"/>
      <c r="X590" s="12"/>
      <c r="Y590" s="12"/>
      <c r="Z590" s="12"/>
      <c r="AA590" s="12"/>
      <c r="AB590" s="12"/>
      <c r="AC590" s="12"/>
      <c r="AD590" s="12"/>
      <c r="AE590" s="12"/>
      <c r="AF590" s="12"/>
      <c r="AG590" s="13"/>
      <c r="AH590" s="13"/>
      <c r="AI590" s="13"/>
      <c r="AJ590" s="13"/>
      <c r="AK590" s="13"/>
      <c r="AL590" s="13"/>
      <c r="AM590" s="13"/>
    </row>
    <row r="591" spans="1:39">
      <c r="A591" s="8"/>
      <c r="B591" s="8"/>
      <c r="C591" s="8"/>
      <c r="D591" s="8"/>
      <c r="E591" s="8"/>
      <c r="F591" s="8"/>
      <c r="G591" s="8"/>
      <c r="H591" s="8"/>
      <c r="I591" s="8"/>
      <c r="J591" s="8"/>
      <c r="K591" s="8"/>
      <c r="L591" s="8"/>
      <c r="M591" s="8"/>
      <c r="N591" s="8"/>
      <c r="O591" s="8"/>
      <c r="P591" s="8"/>
      <c r="Q591" s="8"/>
      <c r="R591" s="8"/>
      <c r="S591" s="8"/>
      <c r="T591" s="8"/>
      <c r="U591" s="12"/>
      <c r="V591" s="12"/>
      <c r="W591" s="12"/>
      <c r="X591" s="12"/>
      <c r="Y591" s="12"/>
      <c r="Z591" s="12"/>
      <c r="AA591" s="12"/>
      <c r="AB591" s="12"/>
      <c r="AC591" s="12"/>
      <c r="AD591" s="12"/>
      <c r="AE591" s="12"/>
      <c r="AF591" s="12"/>
      <c r="AG591" s="13"/>
      <c r="AH591" s="13"/>
      <c r="AI591" s="13"/>
      <c r="AJ591" s="13"/>
      <c r="AK591" s="13"/>
      <c r="AL591" s="13"/>
      <c r="AM591" s="13"/>
    </row>
    <row r="592" spans="1:39">
      <c r="A592" s="8"/>
      <c r="B592" s="8"/>
      <c r="C592" s="8"/>
      <c r="D592" s="8"/>
      <c r="E592" s="8"/>
      <c r="F592" s="8"/>
      <c r="G592" s="8"/>
      <c r="H592" s="8"/>
      <c r="I592" s="8"/>
      <c r="J592" s="8"/>
      <c r="K592" s="8"/>
      <c r="L592" s="8"/>
      <c r="M592" s="8"/>
      <c r="N592" s="8"/>
      <c r="O592" s="8"/>
      <c r="P592" s="8"/>
      <c r="Q592" s="8"/>
      <c r="R592" s="8"/>
      <c r="S592" s="8"/>
      <c r="T592" s="8"/>
      <c r="U592" s="12"/>
      <c r="V592" s="12"/>
      <c r="W592" s="12"/>
      <c r="X592" s="12"/>
      <c r="Y592" s="12"/>
      <c r="Z592" s="12"/>
      <c r="AA592" s="12"/>
      <c r="AB592" s="12"/>
      <c r="AC592" s="12"/>
      <c r="AD592" s="12"/>
      <c r="AE592" s="12"/>
      <c r="AF592" s="12"/>
      <c r="AG592" s="13"/>
      <c r="AH592" s="13"/>
      <c r="AI592" s="13"/>
      <c r="AJ592" s="13"/>
      <c r="AK592" s="13"/>
      <c r="AL592" s="13"/>
      <c r="AM592" s="13"/>
    </row>
    <row r="593" spans="1:39">
      <c r="A593" s="8"/>
      <c r="B593" s="8"/>
      <c r="C593" s="8"/>
      <c r="D593" s="8"/>
      <c r="E593" s="8"/>
      <c r="F593" s="8"/>
      <c r="G593" s="8"/>
      <c r="H593" s="8"/>
      <c r="I593" s="8"/>
      <c r="J593" s="8"/>
      <c r="K593" s="8"/>
      <c r="L593" s="8"/>
      <c r="M593" s="8"/>
      <c r="N593" s="8"/>
      <c r="O593" s="8"/>
      <c r="P593" s="8"/>
      <c r="Q593" s="8"/>
      <c r="R593" s="8"/>
      <c r="S593" s="8"/>
      <c r="T593" s="8"/>
      <c r="U593" s="12"/>
      <c r="V593" s="12"/>
      <c r="W593" s="12"/>
      <c r="X593" s="12"/>
      <c r="Y593" s="12"/>
      <c r="Z593" s="12"/>
      <c r="AA593" s="12"/>
      <c r="AB593" s="12"/>
      <c r="AC593" s="12"/>
      <c r="AD593" s="12"/>
      <c r="AE593" s="12"/>
      <c r="AF593" s="12"/>
      <c r="AG593" s="13"/>
      <c r="AH593" s="13"/>
      <c r="AI593" s="13"/>
      <c r="AJ593" s="13"/>
      <c r="AK593" s="13"/>
      <c r="AL593" s="13"/>
      <c r="AM593" s="13"/>
    </row>
    <row r="594" spans="1:39">
      <c r="A594" s="8"/>
      <c r="B594" s="8"/>
      <c r="C594" s="8"/>
      <c r="D594" s="8"/>
      <c r="E594" s="8"/>
      <c r="F594" s="8"/>
      <c r="G594" s="8"/>
      <c r="H594" s="8"/>
      <c r="I594" s="8"/>
      <c r="J594" s="8"/>
      <c r="K594" s="8"/>
      <c r="L594" s="8"/>
      <c r="M594" s="8"/>
      <c r="N594" s="8"/>
      <c r="O594" s="8"/>
      <c r="P594" s="8"/>
      <c r="Q594" s="8"/>
      <c r="R594" s="8"/>
      <c r="S594" s="8"/>
      <c r="T594" s="8"/>
      <c r="U594" s="12"/>
      <c r="V594" s="12"/>
      <c r="W594" s="12"/>
      <c r="X594" s="12"/>
      <c r="Y594" s="12"/>
      <c r="Z594" s="12"/>
      <c r="AA594" s="12"/>
      <c r="AB594" s="12"/>
      <c r="AC594" s="12"/>
      <c r="AD594" s="12"/>
      <c r="AE594" s="12"/>
      <c r="AF594" s="12"/>
      <c r="AG594" s="13"/>
      <c r="AH594" s="13"/>
      <c r="AI594" s="13"/>
      <c r="AJ594" s="13"/>
      <c r="AK594" s="13"/>
      <c r="AL594" s="13"/>
      <c r="AM594" s="13"/>
    </row>
    <row r="595" spans="1:39">
      <c r="A595" s="8"/>
      <c r="B595" s="8"/>
      <c r="C595" s="8"/>
      <c r="D595" s="8"/>
      <c r="E595" s="8"/>
      <c r="F595" s="8"/>
      <c r="G595" s="8"/>
      <c r="H595" s="8"/>
      <c r="I595" s="8"/>
      <c r="J595" s="8"/>
      <c r="K595" s="8"/>
      <c r="L595" s="8"/>
      <c r="M595" s="8"/>
      <c r="N595" s="8"/>
      <c r="O595" s="8"/>
      <c r="P595" s="8"/>
      <c r="Q595" s="8"/>
      <c r="R595" s="8"/>
      <c r="S595" s="8"/>
      <c r="T595" s="8"/>
      <c r="U595" s="12"/>
      <c r="V595" s="12"/>
      <c r="W595" s="12"/>
      <c r="X595" s="12"/>
      <c r="Y595" s="12"/>
      <c r="Z595" s="12"/>
      <c r="AA595" s="12"/>
      <c r="AB595" s="12"/>
      <c r="AC595" s="12"/>
      <c r="AD595" s="12"/>
      <c r="AE595" s="12"/>
      <c r="AF595" s="12"/>
      <c r="AG595" s="13"/>
      <c r="AH595" s="13"/>
      <c r="AI595" s="13"/>
      <c r="AJ595" s="13"/>
      <c r="AK595" s="13"/>
      <c r="AL595" s="13"/>
      <c r="AM595" s="13"/>
    </row>
    <row r="596" spans="1:39">
      <c r="A596" s="8"/>
      <c r="B596" s="8"/>
      <c r="C596" s="8"/>
      <c r="D596" s="8"/>
      <c r="E596" s="8"/>
      <c r="F596" s="8"/>
      <c r="G596" s="8"/>
      <c r="H596" s="8"/>
      <c r="I596" s="8"/>
      <c r="J596" s="8"/>
      <c r="K596" s="8"/>
      <c r="L596" s="8"/>
      <c r="M596" s="8"/>
      <c r="N596" s="8"/>
      <c r="O596" s="8"/>
      <c r="P596" s="8"/>
      <c r="Q596" s="8"/>
      <c r="R596" s="8"/>
      <c r="S596" s="8"/>
      <c r="T596" s="8"/>
      <c r="U596" s="12"/>
      <c r="V596" s="12"/>
      <c r="W596" s="12"/>
      <c r="X596" s="12"/>
      <c r="Y596" s="12"/>
      <c r="Z596" s="12"/>
      <c r="AA596" s="12"/>
      <c r="AB596" s="12"/>
      <c r="AC596" s="12"/>
      <c r="AD596" s="12"/>
      <c r="AE596" s="12"/>
      <c r="AF596" s="12"/>
      <c r="AG596" s="13"/>
      <c r="AH596" s="13"/>
      <c r="AI596" s="13"/>
      <c r="AJ596" s="13"/>
      <c r="AK596" s="13"/>
      <c r="AL596" s="13"/>
      <c r="AM596" s="13"/>
    </row>
    <row r="597" spans="1:39">
      <c r="A597" s="8"/>
      <c r="B597" s="8"/>
      <c r="C597" s="8"/>
      <c r="D597" s="8"/>
      <c r="E597" s="8"/>
      <c r="F597" s="8"/>
      <c r="G597" s="8"/>
      <c r="H597" s="8"/>
      <c r="I597" s="8"/>
      <c r="J597" s="8"/>
      <c r="K597" s="8"/>
      <c r="L597" s="8"/>
      <c r="M597" s="8"/>
      <c r="N597" s="8"/>
      <c r="O597" s="8"/>
      <c r="P597" s="8"/>
      <c r="Q597" s="8"/>
      <c r="R597" s="8"/>
      <c r="S597" s="8"/>
      <c r="T597" s="8"/>
      <c r="U597" s="12"/>
      <c r="V597" s="12"/>
      <c r="W597" s="12"/>
      <c r="X597" s="12"/>
      <c r="Y597" s="12"/>
      <c r="Z597" s="12"/>
      <c r="AA597" s="12"/>
      <c r="AB597" s="12"/>
      <c r="AC597" s="12"/>
      <c r="AD597" s="12"/>
      <c r="AE597" s="12"/>
      <c r="AF597" s="12"/>
      <c r="AG597" s="13"/>
      <c r="AH597" s="13"/>
      <c r="AI597" s="13"/>
      <c r="AJ597" s="13"/>
      <c r="AK597" s="13"/>
      <c r="AL597" s="13"/>
      <c r="AM597" s="13"/>
    </row>
    <row r="598" spans="1:39">
      <c r="A598" s="8"/>
      <c r="B598" s="8"/>
      <c r="C598" s="8"/>
      <c r="D598" s="8"/>
      <c r="E598" s="8"/>
      <c r="F598" s="8"/>
      <c r="G598" s="8"/>
      <c r="H598" s="8"/>
      <c r="I598" s="8"/>
      <c r="J598" s="8"/>
      <c r="K598" s="8"/>
      <c r="L598" s="8"/>
      <c r="M598" s="8"/>
      <c r="N598" s="8"/>
      <c r="O598" s="8"/>
      <c r="P598" s="8"/>
      <c r="Q598" s="8"/>
      <c r="R598" s="8"/>
      <c r="S598" s="8"/>
      <c r="T598" s="8"/>
      <c r="U598" s="12"/>
      <c r="V598" s="12"/>
      <c r="W598" s="12"/>
      <c r="X598" s="12"/>
      <c r="Y598" s="12"/>
      <c r="Z598" s="12"/>
      <c r="AA598" s="12"/>
      <c r="AB598" s="12"/>
      <c r="AC598" s="12"/>
      <c r="AD598" s="12"/>
      <c r="AE598" s="12"/>
      <c r="AF598" s="12"/>
      <c r="AG598" s="13"/>
      <c r="AH598" s="13"/>
      <c r="AI598" s="13"/>
      <c r="AJ598" s="13"/>
      <c r="AK598" s="13"/>
      <c r="AL598" s="13"/>
      <c r="AM598" s="13"/>
    </row>
    <row r="599" spans="1:39">
      <c r="A599" s="8"/>
      <c r="B599" s="8"/>
      <c r="C599" s="8"/>
      <c r="D599" s="8"/>
      <c r="E599" s="8"/>
      <c r="F599" s="8"/>
      <c r="G599" s="8"/>
      <c r="H599" s="8"/>
      <c r="I599" s="8"/>
      <c r="J599" s="8"/>
      <c r="K599" s="8"/>
      <c r="L599" s="8"/>
      <c r="M599" s="8"/>
      <c r="N599" s="8"/>
      <c r="O599" s="8"/>
      <c r="P599" s="8"/>
      <c r="Q599" s="8"/>
      <c r="R599" s="8"/>
      <c r="S599" s="8"/>
      <c r="T599" s="8"/>
      <c r="U599" s="12"/>
      <c r="V599" s="12"/>
      <c r="W599" s="12"/>
      <c r="X599" s="12"/>
      <c r="Y599" s="12"/>
      <c r="Z599" s="12"/>
      <c r="AA599" s="12"/>
      <c r="AB599" s="12"/>
      <c r="AC599" s="12"/>
      <c r="AD599" s="12"/>
      <c r="AE599" s="12"/>
      <c r="AF599" s="12"/>
      <c r="AG599" s="13"/>
      <c r="AH599" s="13"/>
      <c r="AI599" s="13"/>
      <c r="AJ599" s="13"/>
      <c r="AK599" s="13"/>
      <c r="AL599" s="13"/>
      <c r="AM599" s="13"/>
    </row>
    <row r="600" spans="1:39">
      <c r="A600" s="8"/>
      <c r="B600" s="8"/>
      <c r="C600" s="8"/>
      <c r="D600" s="8"/>
      <c r="E600" s="8"/>
      <c r="F600" s="8"/>
      <c r="G600" s="8"/>
      <c r="H600" s="8"/>
      <c r="I600" s="8"/>
      <c r="J600" s="8"/>
      <c r="K600" s="8"/>
      <c r="L600" s="8"/>
      <c r="M600" s="8"/>
      <c r="N600" s="8"/>
      <c r="O600" s="8"/>
      <c r="P600" s="8"/>
      <c r="Q600" s="8"/>
      <c r="R600" s="8"/>
      <c r="S600" s="8"/>
      <c r="T600" s="8"/>
      <c r="U600" s="12"/>
      <c r="V600" s="12"/>
      <c r="W600" s="12"/>
      <c r="X600" s="12"/>
      <c r="Y600" s="12"/>
      <c r="Z600" s="12"/>
      <c r="AA600" s="12"/>
      <c r="AB600" s="12"/>
      <c r="AC600" s="12"/>
      <c r="AD600" s="12"/>
      <c r="AE600" s="12"/>
      <c r="AF600" s="12"/>
      <c r="AG600" s="13"/>
      <c r="AH600" s="13"/>
      <c r="AI600" s="13"/>
      <c r="AJ600" s="13"/>
      <c r="AK600" s="13"/>
      <c r="AL600" s="13"/>
      <c r="AM600" s="13"/>
    </row>
    <row r="601" spans="1:39">
      <c r="A601" s="8"/>
      <c r="B601" s="8"/>
      <c r="C601" s="8"/>
      <c r="D601" s="8"/>
      <c r="E601" s="8"/>
      <c r="F601" s="8"/>
      <c r="G601" s="8"/>
      <c r="H601" s="8"/>
      <c r="I601" s="8"/>
      <c r="J601" s="8"/>
      <c r="K601" s="8"/>
      <c r="L601" s="8"/>
      <c r="M601" s="8"/>
      <c r="N601" s="8"/>
      <c r="O601" s="8"/>
      <c r="P601" s="8"/>
      <c r="Q601" s="8"/>
      <c r="R601" s="8"/>
      <c r="S601" s="8"/>
      <c r="T601" s="8"/>
      <c r="U601" s="12"/>
      <c r="V601" s="12"/>
      <c r="W601" s="12"/>
      <c r="X601" s="12"/>
      <c r="Y601" s="12"/>
      <c r="Z601" s="12"/>
      <c r="AA601" s="12"/>
      <c r="AB601" s="12"/>
      <c r="AC601" s="12"/>
      <c r="AD601" s="12"/>
      <c r="AE601" s="12"/>
      <c r="AF601" s="12"/>
      <c r="AG601" s="13"/>
      <c r="AH601" s="13"/>
      <c r="AI601" s="13"/>
      <c r="AJ601" s="13"/>
      <c r="AK601" s="13"/>
      <c r="AL601" s="13"/>
      <c r="AM601" s="13"/>
    </row>
    <row r="602" spans="1:39">
      <c r="A602" s="8"/>
      <c r="B602" s="8"/>
      <c r="C602" s="8"/>
      <c r="D602" s="8"/>
      <c r="E602" s="8"/>
      <c r="F602" s="8"/>
      <c r="G602" s="8"/>
      <c r="H602" s="8"/>
      <c r="I602" s="8"/>
      <c r="J602" s="8"/>
      <c r="K602" s="8"/>
      <c r="L602" s="8"/>
      <c r="M602" s="8"/>
      <c r="N602" s="8"/>
      <c r="O602" s="8"/>
      <c r="P602" s="8"/>
      <c r="Q602" s="8"/>
      <c r="R602" s="8"/>
      <c r="S602" s="8"/>
      <c r="T602" s="8"/>
      <c r="U602" s="12"/>
      <c r="V602" s="12"/>
      <c r="W602" s="12"/>
      <c r="X602" s="12"/>
      <c r="Y602" s="12"/>
      <c r="Z602" s="12"/>
      <c r="AA602" s="12"/>
      <c r="AB602" s="12"/>
      <c r="AC602" s="12"/>
      <c r="AD602" s="12"/>
      <c r="AE602" s="12"/>
      <c r="AF602" s="12"/>
      <c r="AG602" s="13"/>
      <c r="AH602" s="13"/>
      <c r="AI602" s="13"/>
      <c r="AJ602" s="13"/>
      <c r="AK602" s="13"/>
      <c r="AL602" s="13"/>
      <c r="AM602" s="13"/>
    </row>
    <row r="603" spans="1:39">
      <c r="A603" s="8"/>
      <c r="B603" s="8"/>
      <c r="C603" s="8"/>
      <c r="D603" s="8"/>
      <c r="E603" s="8"/>
      <c r="F603" s="8"/>
      <c r="G603" s="8"/>
      <c r="H603" s="8"/>
      <c r="I603" s="8"/>
      <c r="J603" s="8"/>
      <c r="K603" s="8"/>
      <c r="L603" s="8"/>
      <c r="M603" s="8"/>
      <c r="N603" s="8"/>
      <c r="O603" s="8"/>
      <c r="P603" s="8"/>
      <c r="Q603" s="8"/>
      <c r="R603" s="8"/>
      <c r="S603" s="8"/>
      <c r="T603" s="8"/>
      <c r="U603" s="12"/>
      <c r="V603" s="12"/>
      <c r="W603" s="12"/>
      <c r="X603" s="12"/>
      <c r="Y603" s="12"/>
      <c r="Z603" s="12"/>
      <c r="AA603" s="12"/>
      <c r="AB603" s="12"/>
      <c r="AC603" s="12"/>
      <c r="AD603" s="12"/>
      <c r="AE603" s="12"/>
      <c r="AF603" s="12"/>
      <c r="AG603" s="13"/>
      <c r="AH603" s="13"/>
      <c r="AI603" s="13"/>
      <c r="AJ603" s="13"/>
      <c r="AK603" s="13"/>
      <c r="AL603" s="13"/>
      <c r="AM603" s="13"/>
    </row>
    <row r="604" spans="1:39">
      <c r="A604" s="8"/>
      <c r="B604" s="8"/>
      <c r="C604" s="8"/>
      <c r="D604" s="8"/>
      <c r="E604" s="8"/>
      <c r="F604" s="8"/>
      <c r="G604" s="8"/>
      <c r="H604" s="8"/>
      <c r="I604" s="8"/>
      <c r="J604" s="8"/>
      <c r="K604" s="8"/>
      <c r="L604" s="8"/>
      <c r="M604" s="8"/>
      <c r="N604" s="8"/>
      <c r="O604" s="8"/>
      <c r="P604" s="8"/>
      <c r="Q604" s="8"/>
      <c r="R604" s="8"/>
      <c r="S604" s="8"/>
      <c r="T604" s="8"/>
      <c r="U604" s="12"/>
      <c r="V604" s="12"/>
      <c r="W604" s="12"/>
      <c r="X604" s="12"/>
      <c r="Y604" s="12"/>
      <c r="Z604" s="12"/>
      <c r="AA604" s="12"/>
      <c r="AB604" s="12"/>
      <c r="AC604" s="12"/>
      <c r="AD604" s="12"/>
      <c r="AE604" s="12"/>
      <c r="AF604" s="12"/>
      <c r="AG604" s="13"/>
      <c r="AH604" s="13"/>
      <c r="AI604" s="13"/>
      <c r="AJ604" s="13"/>
      <c r="AK604" s="13"/>
      <c r="AL604" s="13"/>
      <c r="AM604" s="13"/>
    </row>
    <row r="605" spans="1:39">
      <c r="A605" s="8"/>
      <c r="B605" s="8"/>
      <c r="C605" s="8"/>
      <c r="D605" s="8"/>
      <c r="E605" s="8"/>
      <c r="F605" s="8"/>
      <c r="G605" s="8"/>
      <c r="H605" s="8"/>
      <c r="I605" s="8"/>
      <c r="J605" s="8"/>
      <c r="K605" s="8"/>
      <c r="L605" s="8"/>
      <c r="M605" s="8"/>
      <c r="N605" s="8"/>
      <c r="O605" s="8"/>
      <c r="P605" s="8"/>
      <c r="Q605" s="8"/>
      <c r="R605" s="8"/>
      <c r="S605" s="8"/>
      <c r="T605" s="8"/>
      <c r="U605" s="12"/>
      <c r="V605" s="12"/>
      <c r="W605" s="12"/>
      <c r="X605" s="12"/>
      <c r="Y605" s="12"/>
      <c r="Z605" s="12"/>
      <c r="AA605" s="12"/>
      <c r="AB605" s="12"/>
      <c r="AC605" s="12"/>
      <c r="AD605" s="12"/>
      <c r="AE605" s="12"/>
      <c r="AF605" s="12"/>
      <c r="AG605" s="13"/>
      <c r="AH605" s="13"/>
      <c r="AI605" s="13"/>
      <c r="AJ605" s="13"/>
      <c r="AK605" s="13"/>
      <c r="AL605" s="13"/>
      <c r="AM605" s="13"/>
    </row>
    <row r="606" spans="1:39">
      <c r="A606" s="8"/>
      <c r="B606" s="8"/>
      <c r="C606" s="8"/>
      <c r="D606" s="8"/>
      <c r="E606" s="8"/>
      <c r="F606" s="8"/>
      <c r="G606" s="8"/>
      <c r="H606" s="8"/>
      <c r="I606" s="8"/>
      <c r="J606" s="8"/>
      <c r="K606" s="8"/>
      <c r="L606" s="8"/>
      <c r="M606" s="8"/>
      <c r="N606" s="8"/>
      <c r="O606" s="8"/>
      <c r="P606" s="8"/>
      <c r="Q606" s="8"/>
      <c r="R606" s="8"/>
      <c r="S606" s="8"/>
      <c r="T606" s="8"/>
      <c r="U606" s="12"/>
      <c r="V606" s="12"/>
      <c r="W606" s="12"/>
      <c r="X606" s="12"/>
      <c r="Y606" s="12"/>
      <c r="Z606" s="12"/>
      <c r="AA606" s="12"/>
      <c r="AB606" s="12"/>
      <c r="AC606" s="12"/>
      <c r="AD606" s="12"/>
      <c r="AE606" s="12"/>
      <c r="AF606" s="12"/>
      <c r="AG606" s="13"/>
      <c r="AH606" s="13"/>
      <c r="AI606" s="13"/>
      <c r="AJ606" s="13"/>
      <c r="AK606" s="13"/>
      <c r="AL606" s="13"/>
      <c r="AM606" s="13"/>
    </row>
    <row r="607" spans="1:39">
      <c r="A607" s="8"/>
      <c r="B607" s="8"/>
      <c r="C607" s="8"/>
      <c r="D607" s="8"/>
      <c r="E607" s="8"/>
      <c r="F607" s="8"/>
      <c r="G607" s="8"/>
      <c r="H607" s="8"/>
      <c r="I607" s="8"/>
      <c r="J607" s="8"/>
      <c r="K607" s="8"/>
      <c r="L607" s="8"/>
      <c r="M607" s="8"/>
      <c r="N607" s="8"/>
      <c r="O607" s="8"/>
      <c r="P607" s="8"/>
      <c r="Q607" s="8"/>
      <c r="R607" s="8"/>
      <c r="S607" s="8"/>
      <c r="T607" s="8"/>
      <c r="U607" s="12"/>
      <c r="V607" s="12"/>
      <c r="W607" s="12"/>
      <c r="X607" s="12"/>
      <c r="Y607" s="12"/>
      <c r="Z607" s="12"/>
      <c r="AA607" s="12"/>
      <c r="AB607" s="12"/>
      <c r="AC607" s="12"/>
      <c r="AD607" s="12"/>
      <c r="AE607" s="12"/>
      <c r="AF607" s="12"/>
      <c r="AG607" s="13"/>
      <c r="AH607" s="13"/>
      <c r="AI607" s="13"/>
      <c r="AJ607" s="13"/>
      <c r="AK607" s="13"/>
      <c r="AL607" s="13"/>
      <c r="AM607" s="13"/>
    </row>
    <row r="608" spans="1:39">
      <c r="A608" s="8"/>
      <c r="B608" s="8"/>
      <c r="C608" s="8"/>
      <c r="D608" s="8"/>
      <c r="E608" s="8"/>
      <c r="F608" s="8"/>
      <c r="G608" s="8"/>
      <c r="H608" s="8"/>
      <c r="I608" s="8"/>
      <c r="J608" s="8"/>
      <c r="K608" s="8"/>
      <c r="L608" s="8"/>
      <c r="M608" s="8"/>
      <c r="N608" s="8"/>
      <c r="O608" s="8"/>
      <c r="P608" s="8"/>
      <c r="Q608" s="8"/>
      <c r="R608" s="8"/>
      <c r="S608" s="8"/>
      <c r="T608" s="8"/>
      <c r="U608" s="12"/>
      <c r="V608" s="12"/>
      <c r="W608" s="12"/>
      <c r="X608" s="12"/>
      <c r="Y608" s="12"/>
      <c r="Z608" s="12"/>
      <c r="AA608" s="12"/>
      <c r="AB608" s="12"/>
      <c r="AC608" s="12"/>
      <c r="AD608" s="12"/>
      <c r="AE608" s="12"/>
      <c r="AF608" s="12"/>
      <c r="AG608" s="13"/>
      <c r="AH608" s="13"/>
      <c r="AI608" s="13"/>
      <c r="AJ608" s="13"/>
      <c r="AK608" s="13"/>
      <c r="AL608" s="13"/>
      <c r="AM608" s="13"/>
    </row>
    <row r="609" spans="1:39">
      <c r="A609" s="8"/>
      <c r="B609" s="8"/>
      <c r="C609" s="8"/>
      <c r="D609" s="8"/>
      <c r="E609" s="8"/>
      <c r="F609" s="8"/>
      <c r="G609" s="8"/>
      <c r="H609" s="8"/>
      <c r="I609" s="8"/>
      <c r="J609" s="8"/>
      <c r="K609" s="8"/>
      <c r="L609" s="8"/>
      <c r="M609" s="8"/>
      <c r="N609" s="8"/>
      <c r="O609" s="8"/>
      <c r="P609" s="8"/>
      <c r="Q609" s="8"/>
      <c r="R609" s="8"/>
      <c r="S609" s="8"/>
      <c r="T609" s="8"/>
      <c r="U609" s="12"/>
      <c r="V609" s="12"/>
      <c r="W609" s="12"/>
      <c r="X609" s="12"/>
      <c r="Y609" s="12"/>
      <c r="Z609" s="12"/>
      <c r="AA609" s="12"/>
      <c r="AB609" s="12"/>
      <c r="AC609" s="12"/>
      <c r="AD609" s="12"/>
      <c r="AE609" s="12"/>
      <c r="AF609" s="12"/>
      <c r="AG609" s="13"/>
      <c r="AH609" s="13"/>
      <c r="AI609" s="13"/>
      <c r="AJ609" s="13"/>
      <c r="AK609" s="13"/>
      <c r="AL609" s="13"/>
      <c r="AM609" s="13"/>
    </row>
    <row r="610" spans="1:39">
      <c r="A610" s="8"/>
      <c r="B610" s="8"/>
      <c r="C610" s="8"/>
      <c r="D610" s="8"/>
      <c r="E610" s="8"/>
      <c r="F610" s="8"/>
      <c r="G610" s="8"/>
      <c r="H610" s="8"/>
      <c r="I610" s="8"/>
      <c r="J610" s="8"/>
      <c r="K610" s="8"/>
      <c r="L610" s="8"/>
      <c r="M610" s="8"/>
      <c r="N610" s="8"/>
      <c r="O610" s="8"/>
      <c r="P610" s="8"/>
      <c r="Q610" s="8"/>
      <c r="R610" s="8"/>
      <c r="S610" s="8"/>
      <c r="T610" s="8"/>
      <c r="U610" s="12"/>
      <c r="V610" s="12"/>
      <c r="W610" s="12"/>
      <c r="X610" s="12"/>
      <c r="Y610" s="12"/>
      <c r="Z610" s="12"/>
      <c r="AA610" s="12"/>
      <c r="AB610" s="12"/>
      <c r="AC610" s="12"/>
      <c r="AD610" s="12"/>
      <c r="AE610" s="12"/>
      <c r="AF610" s="12"/>
      <c r="AG610" s="13"/>
      <c r="AH610" s="13"/>
      <c r="AI610" s="13"/>
      <c r="AJ610" s="13"/>
      <c r="AK610" s="13"/>
      <c r="AL610" s="13"/>
      <c r="AM610" s="13"/>
    </row>
    <row r="611" spans="1:39">
      <c r="A611" s="8"/>
      <c r="B611" s="8"/>
      <c r="C611" s="8"/>
      <c r="D611" s="8"/>
      <c r="E611" s="8"/>
      <c r="F611" s="8"/>
      <c r="G611" s="8"/>
      <c r="H611" s="8"/>
      <c r="I611" s="8"/>
      <c r="J611" s="8"/>
      <c r="K611" s="8"/>
      <c r="L611" s="8"/>
      <c r="M611" s="8"/>
      <c r="N611" s="8"/>
      <c r="O611" s="8"/>
      <c r="P611" s="8"/>
      <c r="Q611" s="8"/>
      <c r="R611" s="8"/>
      <c r="S611" s="8"/>
      <c r="T611" s="8"/>
      <c r="U611" s="12"/>
      <c r="V611" s="12"/>
      <c r="W611" s="12"/>
      <c r="X611" s="12"/>
      <c r="Y611" s="12"/>
      <c r="Z611" s="12"/>
      <c r="AA611" s="12"/>
      <c r="AB611" s="12"/>
      <c r="AC611" s="12"/>
      <c r="AD611" s="12"/>
      <c r="AE611" s="12"/>
      <c r="AF611" s="12"/>
      <c r="AG611" s="13"/>
      <c r="AH611" s="13"/>
      <c r="AI611" s="13"/>
      <c r="AJ611" s="13"/>
      <c r="AK611" s="13"/>
      <c r="AL611" s="13"/>
      <c r="AM611" s="13"/>
    </row>
    <row r="612" spans="1:39">
      <c r="A612" s="8"/>
      <c r="B612" s="8"/>
      <c r="C612" s="8"/>
      <c r="D612" s="8"/>
      <c r="E612" s="8"/>
      <c r="F612" s="8"/>
      <c r="G612" s="8"/>
      <c r="H612" s="8"/>
      <c r="I612" s="8"/>
      <c r="J612" s="8"/>
      <c r="K612" s="8"/>
      <c r="L612" s="8"/>
      <c r="M612" s="8"/>
      <c r="N612" s="8"/>
      <c r="O612" s="8"/>
      <c r="P612" s="8"/>
      <c r="Q612" s="8"/>
      <c r="R612" s="8"/>
      <c r="S612" s="8"/>
      <c r="T612" s="8"/>
      <c r="U612" s="12"/>
      <c r="V612" s="12"/>
      <c r="W612" s="12"/>
      <c r="X612" s="12"/>
      <c r="Y612" s="12"/>
      <c r="Z612" s="12"/>
      <c r="AA612" s="12"/>
      <c r="AB612" s="12"/>
      <c r="AC612" s="12"/>
      <c r="AD612" s="12"/>
      <c r="AE612" s="12"/>
      <c r="AF612" s="12"/>
      <c r="AG612" s="13"/>
      <c r="AH612" s="13"/>
      <c r="AI612" s="13"/>
      <c r="AJ612" s="13"/>
      <c r="AK612" s="13"/>
      <c r="AL612" s="13"/>
      <c r="AM612" s="13"/>
    </row>
    <row r="613" spans="1:39">
      <c r="A613" s="8"/>
      <c r="B613" s="8"/>
      <c r="C613" s="8"/>
      <c r="D613" s="8"/>
      <c r="E613" s="8"/>
      <c r="F613" s="8"/>
      <c r="G613" s="8"/>
      <c r="H613" s="8"/>
      <c r="I613" s="8"/>
      <c r="J613" s="8"/>
      <c r="K613" s="8"/>
      <c r="L613" s="8"/>
      <c r="M613" s="8"/>
      <c r="N613" s="8"/>
      <c r="O613" s="8"/>
      <c r="P613" s="8"/>
      <c r="Q613" s="8"/>
      <c r="R613" s="8"/>
      <c r="S613" s="8"/>
      <c r="T613" s="8"/>
      <c r="U613" s="12"/>
      <c r="V613" s="12"/>
      <c r="W613" s="12"/>
      <c r="X613" s="12"/>
      <c r="Y613" s="12"/>
      <c r="Z613" s="12"/>
      <c r="AA613" s="12"/>
      <c r="AB613" s="12"/>
      <c r="AC613" s="12"/>
      <c r="AD613" s="12"/>
      <c r="AE613" s="12"/>
      <c r="AF613" s="12"/>
      <c r="AG613" s="13"/>
      <c r="AH613" s="13"/>
      <c r="AI613" s="13"/>
      <c r="AJ613" s="13"/>
      <c r="AK613" s="13"/>
      <c r="AL613" s="13"/>
      <c r="AM613" s="13"/>
    </row>
    <row r="614" spans="1:39">
      <c r="A614" s="8"/>
      <c r="B614" s="8"/>
      <c r="C614" s="8"/>
      <c r="D614" s="8"/>
      <c r="E614" s="8"/>
      <c r="F614" s="8"/>
      <c r="G614" s="8"/>
      <c r="H614" s="8"/>
      <c r="I614" s="8"/>
      <c r="J614" s="8"/>
      <c r="K614" s="8"/>
      <c r="L614" s="8"/>
      <c r="M614" s="8"/>
      <c r="N614" s="8"/>
      <c r="O614" s="8"/>
      <c r="P614" s="8"/>
      <c r="Q614" s="8"/>
      <c r="R614" s="8"/>
      <c r="S614" s="8"/>
      <c r="T614" s="8"/>
      <c r="U614" s="12"/>
      <c r="V614" s="12"/>
      <c r="W614" s="12"/>
      <c r="X614" s="12"/>
      <c r="Y614" s="12"/>
      <c r="Z614" s="12"/>
      <c r="AA614" s="12"/>
      <c r="AB614" s="12"/>
      <c r="AC614" s="12"/>
      <c r="AD614" s="12"/>
      <c r="AE614" s="12"/>
      <c r="AF614" s="12"/>
      <c r="AG614" s="13"/>
      <c r="AH614" s="13"/>
      <c r="AI614" s="13"/>
      <c r="AJ614" s="13"/>
      <c r="AK614" s="13"/>
      <c r="AL614" s="13"/>
      <c r="AM614" s="13"/>
    </row>
    <row r="615" spans="1:39">
      <c r="A615" s="8"/>
      <c r="B615" s="8"/>
      <c r="C615" s="8"/>
      <c r="D615" s="8"/>
      <c r="E615" s="8"/>
      <c r="F615" s="8"/>
      <c r="G615" s="8"/>
      <c r="H615" s="8"/>
      <c r="I615" s="8"/>
      <c r="J615" s="8"/>
      <c r="K615" s="8"/>
      <c r="L615" s="8"/>
      <c r="M615" s="8"/>
      <c r="N615" s="8"/>
      <c r="O615" s="8"/>
      <c r="P615" s="8"/>
      <c r="Q615" s="8"/>
      <c r="R615" s="8"/>
      <c r="S615" s="8"/>
      <c r="T615" s="8"/>
      <c r="U615" s="12"/>
      <c r="V615" s="12"/>
      <c r="W615" s="12"/>
      <c r="X615" s="12"/>
      <c r="Y615" s="12"/>
      <c r="Z615" s="12"/>
      <c r="AA615" s="12"/>
      <c r="AB615" s="12"/>
      <c r="AC615" s="12"/>
      <c r="AD615" s="12"/>
      <c r="AE615" s="12"/>
      <c r="AF615" s="12"/>
      <c r="AG615" s="13"/>
      <c r="AH615" s="13"/>
      <c r="AI615" s="13"/>
      <c r="AJ615" s="13"/>
      <c r="AK615" s="13"/>
      <c r="AL615" s="13"/>
      <c r="AM615" s="13"/>
    </row>
    <row r="616" spans="1:39">
      <c r="A616" s="8"/>
      <c r="B616" s="8"/>
      <c r="C616" s="8"/>
      <c r="D616" s="8"/>
      <c r="E616" s="8"/>
      <c r="F616" s="8"/>
      <c r="G616" s="8"/>
      <c r="H616" s="8"/>
      <c r="I616" s="8"/>
      <c r="J616" s="8"/>
      <c r="K616" s="8"/>
      <c r="L616" s="8"/>
      <c r="M616" s="8"/>
      <c r="N616" s="8"/>
      <c r="O616" s="8"/>
      <c r="P616" s="8"/>
      <c r="Q616" s="8"/>
      <c r="R616" s="8"/>
      <c r="S616" s="8"/>
      <c r="T616" s="8"/>
      <c r="U616" s="12"/>
      <c r="V616" s="12"/>
      <c r="W616" s="12"/>
      <c r="X616" s="12"/>
      <c r="Y616" s="12"/>
      <c r="Z616" s="12"/>
      <c r="AA616" s="12"/>
      <c r="AB616" s="12"/>
      <c r="AC616" s="12"/>
      <c r="AD616" s="12"/>
      <c r="AE616" s="12"/>
      <c r="AF616" s="12"/>
      <c r="AG616" s="13"/>
      <c r="AH616" s="13"/>
      <c r="AI616" s="13"/>
      <c r="AJ616" s="13"/>
      <c r="AK616" s="13"/>
      <c r="AL616" s="13"/>
      <c r="AM616" s="13"/>
    </row>
    <row r="617" spans="1:39">
      <c r="A617" s="8"/>
      <c r="B617" s="8"/>
      <c r="C617" s="8"/>
      <c r="D617" s="8"/>
      <c r="E617" s="8"/>
      <c r="F617" s="8"/>
      <c r="G617" s="8"/>
      <c r="H617" s="8"/>
      <c r="I617" s="8"/>
      <c r="J617" s="8"/>
      <c r="K617" s="8"/>
      <c r="L617" s="8"/>
      <c r="M617" s="8"/>
      <c r="N617" s="8"/>
      <c r="O617" s="8"/>
      <c r="P617" s="8"/>
      <c r="Q617" s="8"/>
      <c r="R617" s="8"/>
      <c r="S617" s="8"/>
      <c r="T617" s="8"/>
      <c r="U617" s="12"/>
      <c r="V617" s="12"/>
      <c r="W617" s="12"/>
      <c r="X617" s="12"/>
      <c r="Y617" s="12"/>
      <c r="Z617" s="12"/>
      <c r="AA617" s="12"/>
      <c r="AB617" s="12"/>
      <c r="AC617" s="12"/>
      <c r="AD617" s="12"/>
      <c r="AE617" s="12"/>
      <c r="AF617" s="12"/>
      <c r="AG617" s="13"/>
      <c r="AH617" s="13"/>
      <c r="AI617" s="13"/>
      <c r="AJ617" s="13"/>
      <c r="AK617" s="13"/>
      <c r="AL617" s="13"/>
      <c r="AM617" s="13"/>
    </row>
    <row r="618" spans="1:39">
      <c r="A618" s="8"/>
      <c r="B618" s="8"/>
      <c r="C618" s="8"/>
      <c r="D618" s="8"/>
      <c r="E618" s="8"/>
      <c r="F618" s="8"/>
      <c r="G618" s="8"/>
      <c r="H618" s="8"/>
      <c r="I618" s="8"/>
      <c r="J618" s="8"/>
      <c r="K618" s="8"/>
      <c r="L618" s="8"/>
      <c r="M618" s="8"/>
      <c r="N618" s="8"/>
      <c r="O618" s="8"/>
      <c r="P618" s="8"/>
      <c r="Q618" s="8"/>
      <c r="R618" s="8"/>
      <c r="S618" s="8"/>
      <c r="T618" s="8"/>
      <c r="U618" s="12"/>
      <c r="V618" s="12"/>
      <c r="W618" s="12"/>
      <c r="X618" s="12"/>
      <c r="Y618" s="12"/>
      <c r="Z618" s="12"/>
      <c r="AA618" s="12"/>
      <c r="AB618" s="12"/>
      <c r="AC618" s="12"/>
      <c r="AD618" s="12"/>
      <c r="AE618" s="12"/>
      <c r="AF618" s="12"/>
      <c r="AG618" s="13"/>
      <c r="AH618" s="13"/>
      <c r="AI618" s="13"/>
      <c r="AJ618" s="13"/>
      <c r="AK618" s="13"/>
      <c r="AL618" s="13"/>
      <c r="AM618" s="13"/>
    </row>
    <row r="619" spans="1:39">
      <c r="A619" s="8"/>
      <c r="B619" s="8"/>
      <c r="C619" s="8"/>
      <c r="D619" s="8"/>
      <c r="E619" s="8"/>
      <c r="F619" s="8"/>
      <c r="G619" s="8"/>
      <c r="H619" s="8"/>
      <c r="I619" s="8"/>
      <c r="J619" s="8"/>
      <c r="K619" s="8"/>
      <c r="L619" s="8"/>
      <c r="M619" s="8"/>
      <c r="N619" s="8"/>
      <c r="O619" s="8"/>
      <c r="P619" s="8"/>
      <c r="Q619" s="8"/>
      <c r="R619" s="8"/>
      <c r="S619" s="8"/>
      <c r="T619" s="8"/>
      <c r="U619" s="12"/>
      <c r="V619" s="12"/>
      <c r="W619" s="12"/>
      <c r="X619" s="12"/>
      <c r="Y619" s="12"/>
      <c r="Z619" s="12"/>
      <c r="AA619" s="12"/>
      <c r="AB619" s="12"/>
      <c r="AC619" s="12"/>
      <c r="AD619" s="12"/>
      <c r="AE619" s="12"/>
      <c r="AF619" s="12"/>
      <c r="AG619" s="13"/>
      <c r="AH619" s="13"/>
      <c r="AI619" s="13"/>
      <c r="AJ619" s="13"/>
      <c r="AK619" s="13"/>
      <c r="AL619" s="13"/>
      <c r="AM619" s="13"/>
    </row>
    <row r="620" spans="1:39">
      <c r="A620" s="8"/>
      <c r="B620" s="8"/>
      <c r="C620" s="8"/>
      <c r="D620" s="8"/>
      <c r="E620" s="8"/>
      <c r="F620" s="8"/>
      <c r="G620" s="8"/>
      <c r="H620" s="8"/>
      <c r="I620" s="8"/>
      <c r="J620" s="8"/>
      <c r="K620" s="8"/>
      <c r="L620" s="8"/>
      <c r="M620" s="8"/>
      <c r="N620" s="8"/>
      <c r="O620" s="8"/>
      <c r="P620" s="8"/>
      <c r="Q620" s="8"/>
      <c r="R620" s="8"/>
      <c r="S620" s="8"/>
      <c r="T620" s="8"/>
      <c r="U620" s="12"/>
      <c r="V620" s="12"/>
      <c r="W620" s="12"/>
      <c r="X620" s="12"/>
      <c r="Y620" s="12"/>
      <c r="Z620" s="12"/>
      <c r="AA620" s="12"/>
      <c r="AB620" s="12"/>
      <c r="AC620" s="12"/>
      <c r="AD620" s="12"/>
      <c r="AE620" s="12"/>
      <c r="AF620" s="12"/>
      <c r="AG620" s="13"/>
      <c r="AH620" s="13"/>
      <c r="AI620" s="13"/>
      <c r="AJ620" s="13"/>
      <c r="AK620" s="13"/>
      <c r="AL620" s="13"/>
      <c r="AM620" s="13"/>
    </row>
    <row r="621" spans="1:39">
      <c r="A621" s="8"/>
      <c r="B621" s="8"/>
      <c r="C621" s="8"/>
      <c r="D621" s="8"/>
      <c r="E621" s="8"/>
      <c r="F621" s="8"/>
      <c r="G621" s="8"/>
      <c r="H621" s="8"/>
      <c r="I621" s="8"/>
      <c r="J621" s="8"/>
      <c r="K621" s="8"/>
      <c r="L621" s="8"/>
      <c r="M621" s="8"/>
      <c r="N621" s="8"/>
      <c r="O621" s="8"/>
      <c r="P621" s="8"/>
      <c r="Q621" s="8"/>
      <c r="R621" s="8"/>
      <c r="S621" s="8"/>
      <c r="T621" s="8"/>
      <c r="U621" s="12"/>
      <c r="V621" s="12"/>
      <c r="W621" s="12"/>
      <c r="X621" s="12"/>
      <c r="Y621" s="12"/>
      <c r="Z621" s="12"/>
      <c r="AA621" s="12"/>
      <c r="AB621" s="12"/>
      <c r="AC621" s="12"/>
      <c r="AD621" s="12"/>
      <c r="AE621" s="12"/>
      <c r="AF621" s="12"/>
      <c r="AG621" s="13"/>
      <c r="AH621" s="13"/>
      <c r="AI621" s="13"/>
      <c r="AJ621" s="13"/>
      <c r="AK621" s="13"/>
      <c r="AL621" s="13"/>
      <c r="AM621" s="13"/>
    </row>
    <row r="622" spans="1:39">
      <c r="A622" s="8"/>
      <c r="B622" s="8"/>
      <c r="C622" s="8"/>
      <c r="D622" s="8"/>
      <c r="E622" s="8"/>
      <c r="F622" s="8"/>
      <c r="G622" s="8"/>
      <c r="H622" s="8"/>
      <c r="I622" s="8"/>
      <c r="J622" s="8"/>
      <c r="K622" s="8"/>
      <c r="L622" s="8"/>
      <c r="M622" s="8"/>
      <c r="N622" s="8"/>
      <c r="O622" s="8"/>
      <c r="P622" s="8"/>
      <c r="Q622" s="8"/>
      <c r="R622" s="8"/>
      <c r="S622" s="8"/>
      <c r="T622" s="8"/>
      <c r="U622" s="12"/>
      <c r="V622" s="12"/>
      <c r="W622" s="12"/>
      <c r="X622" s="12"/>
      <c r="Y622" s="12"/>
      <c r="Z622" s="12"/>
      <c r="AA622" s="12"/>
      <c r="AB622" s="12"/>
      <c r="AC622" s="12"/>
      <c r="AD622" s="12"/>
      <c r="AE622" s="12"/>
      <c r="AF622" s="12"/>
      <c r="AG622" s="13"/>
      <c r="AH622" s="13"/>
      <c r="AI622" s="13"/>
      <c r="AJ622" s="13"/>
      <c r="AK622" s="13"/>
      <c r="AL622" s="13"/>
      <c r="AM622" s="13"/>
    </row>
    <row r="623" spans="1:39">
      <c r="A623" s="8"/>
      <c r="B623" s="8"/>
      <c r="C623" s="8"/>
      <c r="D623" s="8"/>
      <c r="E623" s="8"/>
      <c r="F623" s="8"/>
      <c r="G623" s="8"/>
      <c r="H623" s="8"/>
      <c r="I623" s="8"/>
      <c r="J623" s="8"/>
      <c r="K623" s="8"/>
      <c r="L623" s="8"/>
      <c r="M623" s="8"/>
      <c r="N623" s="8"/>
      <c r="O623" s="8"/>
      <c r="P623" s="8"/>
      <c r="Q623" s="8"/>
      <c r="R623" s="8"/>
      <c r="S623" s="8"/>
      <c r="T623" s="8"/>
      <c r="U623" s="12"/>
      <c r="V623" s="12"/>
      <c r="W623" s="12"/>
      <c r="X623" s="12"/>
      <c r="Y623" s="12"/>
      <c r="Z623" s="12"/>
      <c r="AA623" s="12"/>
      <c r="AB623" s="12"/>
      <c r="AC623" s="12"/>
      <c r="AD623" s="12"/>
      <c r="AE623" s="12"/>
      <c r="AF623" s="12"/>
      <c r="AG623" s="13"/>
      <c r="AH623" s="13"/>
      <c r="AI623" s="13"/>
      <c r="AJ623" s="13"/>
      <c r="AK623" s="13"/>
      <c r="AL623" s="13"/>
      <c r="AM623" s="13"/>
    </row>
    <row r="624" spans="1:39">
      <c r="A624" s="8"/>
      <c r="B624" s="8"/>
      <c r="C624" s="8"/>
      <c r="D624" s="8"/>
      <c r="E624" s="8"/>
      <c r="F624" s="8"/>
      <c r="G624" s="8"/>
      <c r="H624" s="8"/>
      <c r="I624" s="8"/>
      <c r="J624" s="8"/>
      <c r="K624" s="8"/>
      <c r="L624" s="8"/>
      <c r="M624" s="8"/>
      <c r="N624" s="8"/>
      <c r="O624" s="8"/>
      <c r="P624" s="8"/>
      <c r="Q624" s="8"/>
      <c r="R624" s="8"/>
      <c r="S624" s="8"/>
      <c r="T624" s="8"/>
      <c r="U624" s="12"/>
      <c r="V624" s="12"/>
      <c r="W624" s="12"/>
      <c r="X624" s="12"/>
      <c r="Y624" s="12"/>
      <c r="Z624" s="12"/>
      <c r="AA624" s="12"/>
      <c r="AB624" s="12"/>
      <c r="AC624" s="12"/>
      <c r="AD624" s="12"/>
      <c r="AE624" s="12"/>
      <c r="AF624" s="12"/>
      <c r="AG624" s="13"/>
      <c r="AH624" s="13"/>
      <c r="AI624" s="13"/>
      <c r="AJ624" s="13"/>
      <c r="AK624" s="13"/>
      <c r="AL624" s="13"/>
      <c r="AM624" s="13"/>
    </row>
    <row r="625" spans="1:39">
      <c r="A625" s="8"/>
      <c r="B625" s="8"/>
      <c r="C625" s="8"/>
      <c r="D625" s="8"/>
      <c r="E625" s="8"/>
      <c r="F625" s="8"/>
      <c r="G625" s="8"/>
      <c r="H625" s="8"/>
      <c r="I625" s="8"/>
      <c r="J625" s="8"/>
      <c r="K625" s="8"/>
      <c r="L625" s="8"/>
      <c r="M625" s="8"/>
      <c r="N625" s="8"/>
      <c r="O625" s="8"/>
      <c r="P625" s="8"/>
      <c r="Q625" s="8"/>
      <c r="R625" s="8"/>
      <c r="S625" s="8"/>
      <c r="T625" s="8"/>
      <c r="U625" s="12"/>
      <c r="V625" s="12"/>
      <c r="W625" s="12"/>
      <c r="X625" s="12"/>
      <c r="Y625" s="12"/>
      <c r="Z625" s="12"/>
      <c r="AA625" s="12"/>
      <c r="AB625" s="12"/>
      <c r="AC625" s="12"/>
      <c r="AD625" s="12"/>
      <c r="AE625" s="12"/>
      <c r="AF625" s="12"/>
      <c r="AG625" s="13"/>
      <c r="AH625" s="13"/>
      <c r="AI625" s="13"/>
      <c r="AJ625" s="13"/>
      <c r="AK625" s="13"/>
      <c r="AL625" s="13"/>
      <c r="AM625" s="13"/>
    </row>
    <row r="626" spans="1:39">
      <c r="A626" s="8"/>
      <c r="B626" s="8"/>
      <c r="C626" s="8"/>
      <c r="D626" s="8"/>
      <c r="E626" s="8"/>
      <c r="F626" s="8"/>
      <c r="G626" s="8"/>
      <c r="H626" s="8"/>
      <c r="I626" s="8"/>
      <c r="J626" s="8"/>
      <c r="K626" s="8"/>
      <c r="L626" s="8"/>
      <c r="M626" s="8"/>
      <c r="N626" s="8"/>
      <c r="O626" s="8"/>
      <c r="P626" s="8"/>
      <c r="Q626" s="8"/>
      <c r="R626" s="8"/>
      <c r="S626" s="8"/>
      <c r="T626" s="8"/>
      <c r="U626" s="12"/>
      <c r="V626" s="12"/>
      <c r="W626" s="12"/>
      <c r="X626" s="12"/>
      <c r="Y626" s="12"/>
      <c r="Z626" s="12"/>
      <c r="AA626" s="12"/>
      <c r="AB626" s="12"/>
      <c r="AC626" s="12"/>
      <c r="AD626" s="12"/>
      <c r="AE626" s="12"/>
      <c r="AF626" s="12"/>
      <c r="AG626" s="13"/>
      <c r="AH626" s="13"/>
      <c r="AI626" s="13"/>
      <c r="AJ626" s="13"/>
      <c r="AK626" s="13"/>
      <c r="AL626" s="13"/>
      <c r="AM626" s="13"/>
    </row>
    <row r="627" spans="1:39">
      <c r="A627" s="8"/>
      <c r="B627" s="8"/>
      <c r="C627" s="8"/>
      <c r="D627" s="8"/>
      <c r="E627" s="8"/>
      <c r="F627" s="8"/>
      <c r="G627" s="8"/>
      <c r="H627" s="8"/>
      <c r="I627" s="8"/>
      <c r="J627" s="8"/>
      <c r="K627" s="8"/>
      <c r="L627" s="8"/>
      <c r="M627" s="8"/>
      <c r="N627" s="8"/>
      <c r="O627" s="8"/>
      <c r="P627" s="8"/>
      <c r="Q627" s="8"/>
      <c r="R627" s="8"/>
      <c r="S627" s="8"/>
      <c r="T627" s="8"/>
      <c r="U627" s="12"/>
      <c r="V627" s="12"/>
      <c r="W627" s="12"/>
      <c r="X627" s="12"/>
      <c r="Y627" s="12"/>
      <c r="Z627" s="12"/>
      <c r="AA627" s="12"/>
      <c r="AB627" s="12"/>
      <c r="AC627" s="12"/>
      <c r="AD627" s="12"/>
      <c r="AE627" s="12"/>
      <c r="AF627" s="12"/>
      <c r="AG627" s="13"/>
      <c r="AH627" s="13"/>
      <c r="AI627" s="13"/>
      <c r="AJ627" s="13"/>
      <c r="AK627" s="13"/>
      <c r="AL627" s="13"/>
      <c r="AM627" s="13"/>
    </row>
    <row r="628" spans="1:39">
      <c r="A628" s="8"/>
      <c r="B628" s="8"/>
      <c r="C628" s="8"/>
      <c r="D628" s="8"/>
      <c r="E628" s="8"/>
      <c r="F628" s="8"/>
      <c r="G628" s="8"/>
      <c r="H628" s="8"/>
      <c r="I628" s="8"/>
      <c r="J628" s="8"/>
      <c r="K628" s="8"/>
      <c r="L628" s="8"/>
      <c r="M628" s="8"/>
      <c r="N628" s="8"/>
      <c r="O628" s="8"/>
      <c r="P628" s="8"/>
      <c r="Q628" s="8"/>
      <c r="R628" s="8"/>
      <c r="S628" s="8"/>
      <c r="T628" s="8"/>
      <c r="U628" s="12"/>
      <c r="V628" s="12"/>
      <c r="W628" s="12"/>
      <c r="X628" s="12"/>
      <c r="Y628" s="12"/>
      <c r="Z628" s="12"/>
      <c r="AA628" s="12"/>
      <c r="AB628" s="12"/>
      <c r="AC628" s="12"/>
      <c r="AD628" s="12"/>
      <c r="AE628" s="12"/>
      <c r="AF628" s="12"/>
      <c r="AG628" s="13"/>
      <c r="AH628" s="13"/>
      <c r="AI628" s="13"/>
      <c r="AJ628" s="13"/>
      <c r="AK628" s="13"/>
      <c r="AL628" s="13"/>
      <c r="AM628" s="13"/>
    </row>
    <row r="629" spans="1:39">
      <c r="A629" s="8"/>
      <c r="B629" s="8"/>
      <c r="C629" s="8"/>
      <c r="D629" s="8"/>
      <c r="E629" s="8"/>
      <c r="F629" s="8"/>
      <c r="G629" s="8"/>
      <c r="H629" s="8"/>
      <c r="I629" s="8"/>
      <c r="J629" s="8"/>
      <c r="K629" s="8"/>
      <c r="L629" s="8"/>
      <c r="M629" s="8"/>
      <c r="N629" s="8"/>
      <c r="O629" s="8"/>
      <c r="P629" s="8"/>
      <c r="Q629" s="8"/>
      <c r="R629" s="8"/>
      <c r="S629" s="8"/>
      <c r="T629" s="8"/>
      <c r="U629" s="12"/>
      <c r="V629" s="12"/>
      <c r="W629" s="12"/>
      <c r="X629" s="12"/>
      <c r="Y629" s="12"/>
      <c r="Z629" s="12"/>
      <c r="AA629" s="12"/>
      <c r="AB629" s="12"/>
      <c r="AC629" s="12"/>
      <c r="AD629" s="12"/>
      <c r="AE629" s="12"/>
      <c r="AF629" s="12"/>
      <c r="AG629" s="13"/>
      <c r="AH629" s="13"/>
      <c r="AI629" s="13"/>
      <c r="AJ629" s="13"/>
      <c r="AK629" s="13"/>
      <c r="AL629" s="13"/>
      <c r="AM629" s="13"/>
    </row>
    <row r="630" spans="1:39">
      <c r="A630" s="8"/>
      <c r="B630" s="8"/>
      <c r="C630" s="8"/>
      <c r="D630" s="8"/>
      <c r="E630" s="8"/>
      <c r="F630" s="8"/>
      <c r="G630" s="8"/>
      <c r="H630" s="8"/>
      <c r="I630" s="8"/>
      <c r="J630" s="8"/>
      <c r="K630" s="8"/>
      <c r="L630" s="8"/>
      <c r="M630" s="8"/>
      <c r="N630" s="8"/>
      <c r="O630" s="8"/>
      <c r="P630" s="8"/>
      <c r="Q630" s="8"/>
      <c r="R630" s="8"/>
      <c r="S630" s="8"/>
      <c r="T630" s="8"/>
      <c r="U630" s="12"/>
      <c r="V630" s="12"/>
      <c r="W630" s="12"/>
      <c r="X630" s="12"/>
      <c r="Y630" s="12"/>
      <c r="Z630" s="12"/>
      <c r="AA630" s="12"/>
      <c r="AB630" s="12"/>
      <c r="AC630" s="12"/>
      <c r="AD630" s="12"/>
      <c r="AE630" s="12"/>
      <c r="AF630" s="12"/>
      <c r="AG630" s="13"/>
      <c r="AH630" s="13"/>
      <c r="AI630" s="13"/>
      <c r="AJ630" s="13"/>
      <c r="AK630" s="13"/>
      <c r="AL630" s="13"/>
      <c r="AM630" s="13"/>
    </row>
    <row r="631" spans="1:39">
      <c r="A631" s="8"/>
      <c r="B631" s="8"/>
      <c r="C631" s="8"/>
      <c r="D631" s="8"/>
      <c r="E631" s="8"/>
      <c r="F631" s="8"/>
      <c r="G631" s="8"/>
      <c r="H631" s="8"/>
      <c r="I631" s="8"/>
      <c r="J631" s="8"/>
      <c r="K631" s="8"/>
      <c r="L631" s="8"/>
      <c r="M631" s="8"/>
      <c r="N631" s="8"/>
      <c r="O631" s="8"/>
      <c r="P631" s="8"/>
      <c r="Q631" s="8"/>
      <c r="R631" s="8"/>
      <c r="S631" s="8"/>
      <c r="T631" s="8"/>
      <c r="U631" s="12"/>
      <c r="V631" s="12"/>
      <c r="W631" s="12"/>
      <c r="X631" s="12"/>
      <c r="Y631" s="12"/>
      <c r="Z631" s="12"/>
      <c r="AA631" s="12"/>
      <c r="AB631" s="12"/>
      <c r="AC631" s="12"/>
      <c r="AD631" s="12"/>
      <c r="AE631" s="12"/>
      <c r="AF631" s="12"/>
      <c r="AG631" s="13"/>
      <c r="AH631" s="13"/>
      <c r="AI631" s="13"/>
      <c r="AJ631" s="13"/>
      <c r="AK631" s="13"/>
      <c r="AL631" s="13"/>
      <c r="AM631" s="13"/>
    </row>
    <row r="632" spans="1:39">
      <c r="A632" s="8"/>
      <c r="B632" s="8"/>
      <c r="C632" s="8"/>
      <c r="D632" s="8"/>
      <c r="E632" s="8"/>
      <c r="F632" s="8"/>
      <c r="G632" s="8"/>
      <c r="H632" s="8"/>
      <c r="I632" s="8"/>
      <c r="J632" s="8"/>
      <c r="K632" s="8"/>
      <c r="L632" s="8"/>
      <c r="M632" s="8"/>
      <c r="N632" s="8"/>
      <c r="O632" s="8"/>
      <c r="P632" s="8"/>
      <c r="Q632" s="8"/>
      <c r="R632" s="8"/>
      <c r="S632" s="8"/>
      <c r="T632" s="8"/>
      <c r="U632" s="12"/>
      <c r="V632" s="12"/>
      <c r="W632" s="12"/>
      <c r="X632" s="12"/>
      <c r="Y632" s="12"/>
      <c r="Z632" s="12"/>
      <c r="AA632" s="12"/>
      <c r="AB632" s="12"/>
      <c r="AC632" s="12"/>
      <c r="AD632" s="12"/>
      <c r="AE632" s="12"/>
      <c r="AF632" s="12"/>
      <c r="AG632" s="13"/>
      <c r="AH632" s="13"/>
      <c r="AI632" s="13"/>
      <c r="AJ632" s="13"/>
      <c r="AK632" s="13"/>
      <c r="AL632" s="13"/>
      <c r="AM632" s="13"/>
    </row>
    <row r="633" spans="1:39">
      <c r="A633" s="8"/>
      <c r="B633" s="8"/>
      <c r="C633" s="8"/>
      <c r="D633" s="8"/>
      <c r="E633" s="8"/>
      <c r="F633" s="8"/>
      <c r="G633" s="8"/>
      <c r="H633" s="8"/>
      <c r="I633" s="8"/>
      <c r="J633" s="8"/>
      <c r="K633" s="8"/>
      <c r="L633" s="8"/>
      <c r="M633" s="8"/>
      <c r="N633" s="8"/>
      <c r="O633" s="8"/>
      <c r="P633" s="8"/>
      <c r="Q633" s="8"/>
      <c r="R633" s="8"/>
      <c r="S633" s="8"/>
      <c r="T633" s="8"/>
      <c r="U633" s="12"/>
      <c r="V633" s="12"/>
      <c r="W633" s="12"/>
      <c r="X633" s="12"/>
      <c r="Y633" s="12"/>
      <c r="Z633" s="12"/>
      <c r="AA633" s="12"/>
      <c r="AB633" s="12"/>
      <c r="AC633" s="12"/>
      <c r="AD633" s="12"/>
      <c r="AE633" s="12"/>
      <c r="AF633" s="12"/>
      <c r="AG633" s="13"/>
      <c r="AH633" s="13"/>
      <c r="AI633" s="13"/>
      <c r="AJ633" s="13"/>
      <c r="AK633" s="13"/>
      <c r="AL633" s="13"/>
      <c r="AM633" s="13"/>
    </row>
    <row r="634" spans="1:39">
      <c r="A634" s="8"/>
      <c r="B634" s="8"/>
      <c r="C634" s="8"/>
      <c r="D634" s="8"/>
      <c r="E634" s="8"/>
      <c r="F634" s="8"/>
      <c r="G634" s="8"/>
      <c r="H634" s="8"/>
      <c r="I634" s="8"/>
      <c r="J634" s="8"/>
      <c r="K634" s="8"/>
      <c r="L634" s="8"/>
      <c r="M634" s="8"/>
      <c r="N634" s="8"/>
      <c r="O634" s="8"/>
      <c r="P634" s="8"/>
      <c r="Q634" s="8"/>
      <c r="R634" s="8"/>
      <c r="S634" s="8"/>
      <c r="T634" s="8"/>
      <c r="U634" s="12"/>
      <c r="V634" s="12"/>
      <c r="W634" s="12"/>
      <c r="X634" s="12"/>
      <c r="Y634" s="12"/>
      <c r="Z634" s="12"/>
      <c r="AA634" s="12"/>
      <c r="AB634" s="12"/>
      <c r="AC634" s="12"/>
      <c r="AD634" s="12"/>
      <c r="AE634" s="12"/>
      <c r="AF634" s="12"/>
      <c r="AG634" s="13"/>
      <c r="AH634" s="13"/>
      <c r="AI634" s="13"/>
      <c r="AJ634" s="13"/>
      <c r="AK634" s="13"/>
      <c r="AL634" s="13"/>
      <c r="AM634" s="13"/>
    </row>
    <row r="635" spans="1:39">
      <c r="A635" s="8"/>
      <c r="B635" s="8"/>
      <c r="C635" s="8"/>
      <c r="D635" s="8"/>
      <c r="E635" s="8"/>
      <c r="F635" s="8"/>
      <c r="G635" s="8"/>
      <c r="H635" s="8"/>
      <c r="I635" s="8"/>
      <c r="J635" s="8"/>
      <c r="K635" s="8"/>
      <c r="L635" s="8"/>
      <c r="M635" s="8"/>
      <c r="N635" s="8"/>
      <c r="O635" s="8"/>
      <c r="P635" s="8"/>
      <c r="Q635" s="8"/>
      <c r="R635" s="8"/>
      <c r="S635" s="8"/>
      <c r="T635" s="8"/>
      <c r="U635" s="12"/>
      <c r="V635" s="12"/>
      <c r="W635" s="12"/>
      <c r="X635" s="12"/>
      <c r="Y635" s="12"/>
      <c r="Z635" s="12"/>
      <c r="AA635" s="12"/>
      <c r="AB635" s="12"/>
      <c r="AC635" s="12"/>
      <c r="AD635" s="12"/>
      <c r="AE635" s="12"/>
      <c r="AF635" s="12"/>
      <c r="AG635" s="13"/>
      <c r="AH635" s="13"/>
      <c r="AI635" s="13"/>
      <c r="AJ635" s="13"/>
      <c r="AK635" s="13"/>
      <c r="AL635" s="13"/>
      <c r="AM635" s="13"/>
    </row>
    <row r="636" spans="1:39">
      <c r="A636" s="8"/>
      <c r="B636" s="8"/>
      <c r="C636" s="8"/>
      <c r="D636" s="8"/>
      <c r="E636" s="8"/>
      <c r="F636" s="8"/>
      <c r="G636" s="8"/>
      <c r="H636" s="8"/>
      <c r="I636" s="8"/>
      <c r="J636" s="8"/>
      <c r="K636" s="8"/>
      <c r="L636" s="8"/>
      <c r="M636" s="8"/>
      <c r="N636" s="8"/>
      <c r="O636" s="8"/>
      <c r="P636" s="8"/>
      <c r="Q636" s="8"/>
      <c r="R636" s="8"/>
      <c r="S636" s="8"/>
      <c r="T636" s="8"/>
      <c r="U636" s="12"/>
      <c r="V636" s="12"/>
      <c r="W636" s="12"/>
      <c r="X636" s="12"/>
      <c r="Y636" s="12"/>
      <c r="Z636" s="12"/>
      <c r="AA636" s="12"/>
      <c r="AB636" s="12"/>
      <c r="AC636" s="12"/>
      <c r="AD636" s="12"/>
      <c r="AE636" s="12"/>
      <c r="AF636" s="12"/>
      <c r="AG636" s="13"/>
      <c r="AH636" s="13"/>
      <c r="AI636" s="13"/>
      <c r="AJ636" s="13"/>
      <c r="AK636" s="13"/>
      <c r="AL636" s="13"/>
      <c r="AM636" s="13"/>
    </row>
    <row r="637" spans="1:39">
      <c r="A637" s="8"/>
      <c r="B637" s="8"/>
      <c r="C637" s="8"/>
      <c r="D637" s="8"/>
      <c r="E637" s="8"/>
      <c r="F637" s="8"/>
      <c r="G637" s="8"/>
      <c r="H637" s="8"/>
      <c r="I637" s="8"/>
      <c r="J637" s="8"/>
      <c r="K637" s="8"/>
      <c r="L637" s="8"/>
      <c r="M637" s="8"/>
      <c r="N637" s="8"/>
      <c r="O637" s="8"/>
      <c r="P637" s="8"/>
      <c r="Q637" s="8"/>
      <c r="R637" s="8"/>
      <c r="S637" s="8"/>
      <c r="T637" s="8"/>
      <c r="U637" s="12"/>
      <c r="V637" s="12"/>
      <c r="W637" s="12"/>
      <c r="X637" s="12"/>
      <c r="Y637" s="12"/>
      <c r="Z637" s="12"/>
      <c r="AA637" s="12"/>
      <c r="AB637" s="12"/>
      <c r="AC637" s="12"/>
      <c r="AD637" s="12"/>
      <c r="AE637" s="12"/>
      <c r="AF637" s="12"/>
      <c r="AG637" s="13"/>
      <c r="AH637" s="13"/>
      <c r="AI637" s="13"/>
      <c r="AJ637" s="13"/>
      <c r="AK637" s="13"/>
      <c r="AL637" s="13"/>
      <c r="AM637" s="13"/>
    </row>
    <row r="638" spans="1:39">
      <c r="A638" s="8"/>
      <c r="B638" s="8"/>
      <c r="C638" s="8"/>
      <c r="D638" s="8"/>
      <c r="E638" s="8"/>
      <c r="F638" s="8"/>
      <c r="G638" s="8"/>
      <c r="H638" s="8"/>
      <c r="I638" s="8"/>
      <c r="J638" s="8"/>
      <c r="K638" s="8"/>
      <c r="L638" s="8"/>
      <c r="M638" s="8"/>
      <c r="N638" s="8"/>
      <c r="O638" s="8"/>
      <c r="P638" s="8"/>
      <c r="Q638" s="8"/>
      <c r="R638" s="8"/>
      <c r="S638" s="8"/>
      <c r="T638" s="8"/>
      <c r="U638" s="12"/>
      <c r="V638" s="12"/>
      <c r="W638" s="12"/>
      <c r="X638" s="12"/>
      <c r="Y638" s="12"/>
      <c r="Z638" s="12"/>
      <c r="AA638" s="12"/>
      <c r="AB638" s="12"/>
      <c r="AC638" s="12"/>
      <c r="AD638" s="12"/>
      <c r="AE638" s="12"/>
      <c r="AF638" s="12"/>
      <c r="AG638" s="13"/>
      <c r="AH638" s="13"/>
      <c r="AI638" s="13"/>
      <c r="AJ638" s="13"/>
      <c r="AK638" s="13"/>
      <c r="AL638" s="13"/>
      <c r="AM638" s="13"/>
    </row>
    <row r="639" spans="1:39">
      <c r="A639" s="8"/>
      <c r="B639" s="8"/>
      <c r="C639" s="8"/>
      <c r="D639" s="8"/>
      <c r="E639" s="8"/>
      <c r="F639" s="8"/>
      <c r="G639" s="8"/>
      <c r="H639" s="8"/>
      <c r="I639" s="8"/>
      <c r="J639" s="8"/>
      <c r="K639" s="8"/>
      <c r="L639" s="8"/>
      <c r="M639" s="8"/>
      <c r="N639" s="8"/>
      <c r="O639" s="8"/>
      <c r="P639" s="8"/>
      <c r="Q639" s="8"/>
      <c r="R639" s="8"/>
      <c r="S639" s="8"/>
      <c r="T639" s="8"/>
      <c r="U639" s="12"/>
      <c r="V639" s="12"/>
      <c r="W639" s="12"/>
      <c r="X639" s="12"/>
      <c r="Y639" s="12"/>
      <c r="Z639" s="12"/>
      <c r="AA639" s="12"/>
      <c r="AB639" s="12"/>
      <c r="AC639" s="12"/>
      <c r="AD639" s="12"/>
      <c r="AE639" s="12"/>
      <c r="AF639" s="12"/>
      <c r="AG639" s="13"/>
      <c r="AH639" s="13"/>
      <c r="AI639" s="13"/>
      <c r="AJ639" s="13"/>
      <c r="AK639" s="13"/>
      <c r="AL639" s="13"/>
      <c r="AM639" s="13"/>
    </row>
    <row r="640" spans="1:39">
      <c r="A640" s="8"/>
      <c r="B640" s="8"/>
      <c r="C640" s="8"/>
      <c r="D640" s="8"/>
      <c r="E640" s="8"/>
      <c r="F640" s="8"/>
      <c r="G640" s="8"/>
      <c r="H640" s="8"/>
      <c r="I640" s="8"/>
      <c r="J640" s="8"/>
      <c r="K640" s="8"/>
      <c r="L640" s="8"/>
      <c r="M640" s="8"/>
      <c r="N640" s="8"/>
      <c r="O640" s="8"/>
      <c r="P640" s="8"/>
      <c r="Q640" s="8"/>
      <c r="R640" s="8"/>
      <c r="S640" s="8"/>
      <c r="T640" s="8"/>
      <c r="U640" s="12"/>
      <c r="V640" s="12"/>
      <c r="W640" s="12"/>
      <c r="X640" s="12"/>
      <c r="Y640" s="12"/>
      <c r="Z640" s="12"/>
      <c r="AA640" s="12"/>
      <c r="AB640" s="12"/>
      <c r="AC640" s="12"/>
      <c r="AD640" s="12"/>
      <c r="AE640" s="12"/>
      <c r="AF640" s="12"/>
      <c r="AG640" s="13"/>
      <c r="AH640" s="13"/>
      <c r="AI640" s="13"/>
      <c r="AJ640" s="13"/>
      <c r="AK640" s="13"/>
      <c r="AL640" s="13"/>
      <c r="AM640" s="13"/>
    </row>
    <row r="641" spans="1:39">
      <c r="A641" s="8"/>
      <c r="B641" s="8"/>
      <c r="C641" s="8"/>
      <c r="D641" s="8"/>
      <c r="E641" s="8"/>
      <c r="F641" s="8"/>
      <c r="G641" s="8"/>
      <c r="H641" s="8"/>
      <c r="I641" s="8"/>
      <c r="J641" s="8"/>
      <c r="K641" s="8"/>
      <c r="L641" s="8"/>
      <c r="M641" s="8"/>
      <c r="N641" s="8"/>
      <c r="O641" s="8"/>
      <c r="P641" s="8"/>
      <c r="Q641" s="8"/>
      <c r="R641" s="8"/>
      <c r="S641" s="8"/>
      <c r="T641" s="8"/>
      <c r="U641" s="12"/>
      <c r="V641" s="12"/>
      <c r="W641" s="12"/>
      <c r="X641" s="12"/>
      <c r="Y641" s="12"/>
      <c r="Z641" s="12"/>
      <c r="AA641" s="12"/>
      <c r="AB641" s="12"/>
      <c r="AC641" s="12"/>
      <c r="AD641" s="12"/>
      <c r="AE641" s="12"/>
      <c r="AF641" s="12"/>
      <c r="AG641" s="13"/>
      <c r="AH641" s="13"/>
      <c r="AI641" s="13"/>
      <c r="AJ641" s="13"/>
      <c r="AK641" s="13"/>
      <c r="AL641" s="13"/>
      <c r="AM641" s="13"/>
    </row>
    <row r="642" spans="1:39">
      <c r="A642" s="8"/>
      <c r="B642" s="8"/>
      <c r="C642" s="8"/>
      <c r="D642" s="8"/>
      <c r="E642" s="8"/>
      <c r="F642" s="8"/>
      <c r="G642" s="8"/>
      <c r="H642" s="8"/>
      <c r="I642" s="8"/>
      <c r="J642" s="8"/>
      <c r="K642" s="8"/>
      <c r="L642" s="8"/>
      <c r="M642" s="8"/>
      <c r="N642" s="8"/>
      <c r="O642" s="8"/>
      <c r="P642" s="8"/>
      <c r="Q642" s="8"/>
      <c r="R642" s="8"/>
      <c r="S642" s="8"/>
      <c r="T642" s="8"/>
      <c r="U642" s="12"/>
      <c r="V642" s="12"/>
      <c r="W642" s="12"/>
      <c r="X642" s="12"/>
      <c r="Y642" s="12"/>
      <c r="Z642" s="12"/>
      <c r="AA642" s="12"/>
      <c r="AB642" s="12"/>
      <c r="AC642" s="12"/>
      <c r="AD642" s="12"/>
      <c r="AE642" s="12"/>
      <c r="AF642" s="12"/>
      <c r="AG642" s="13"/>
      <c r="AH642" s="13"/>
      <c r="AI642" s="13"/>
      <c r="AJ642" s="13"/>
      <c r="AK642" s="13"/>
      <c r="AL642" s="13"/>
      <c r="AM642" s="13"/>
    </row>
    <row r="643" spans="1:39">
      <c r="A643" s="8"/>
      <c r="B643" s="8"/>
      <c r="C643" s="8"/>
      <c r="D643" s="8"/>
      <c r="E643" s="8"/>
      <c r="F643" s="8"/>
      <c r="G643" s="8"/>
      <c r="H643" s="8"/>
      <c r="I643" s="8"/>
      <c r="J643" s="8"/>
      <c r="K643" s="8"/>
      <c r="L643" s="8"/>
      <c r="M643" s="8"/>
      <c r="N643" s="8"/>
      <c r="O643" s="8"/>
      <c r="P643" s="8"/>
      <c r="Q643" s="8"/>
      <c r="R643" s="8"/>
      <c r="S643" s="8"/>
      <c r="T643" s="8"/>
      <c r="U643" s="12"/>
      <c r="V643" s="12"/>
      <c r="W643" s="12"/>
      <c r="X643" s="12"/>
      <c r="Y643" s="12"/>
      <c r="Z643" s="12"/>
      <c r="AA643" s="12"/>
      <c r="AB643" s="12"/>
      <c r="AC643" s="12"/>
      <c r="AD643" s="12"/>
      <c r="AE643" s="12"/>
      <c r="AF643" s="12"/>
      <c r="AG643" s="13"/>
      <c r="AH643" s="13"/>
      <c r="AI643" s="13"/>
      <c r="AJ643" s="13"/>
      <c r="AK643" s="13"/>
      <c r="AL643" s="13"/>
      <c r="AM643" s="13"/>
    </row>
    <row r="644" spans="1:39">
      <c r="A644" s="8"/>
      <c r="B644" s="8"/>
      <c r="C644" s="8"/>
      <c r="D644" s="8"/>
      <c r="E644" s="8"/>
      <c r="F644" s="8"/>
      <c r="G644" s="8"/>
      <c r="H644" s="8"/>
      <c r="I644" s="8"/>
      <c r="J644" s="8"/>
      <c r="K644" s="8"/>
      <c r="L644" s="8"/>
      <c r="M644" s="8"/>
      <c r="N644" s="8"/>
      <c r="O644" s="8"/>
      <c r="P644" s="8"/>
      <c r="Q644" s="8"/>
      <c r="R644" s="8"/>
      <c r="S644" s="8"/>
      <c r="T644" s="8"/>
      <c r="U644" s="12"/>
      <c r="V644" s="12"/>
      <c r="W644" s="12"/>
      <c r="X644" s="12"/>
      <c r="Y644" s="12"/>
      <c r="Z644" s="12"/>
      <c r="AA644" s="12"/>
      <c r="AB644" s="12"/>
      <c r="AC644" s="12"/>
      <c r="AD644" s="12"/>
      <c r="AE644" s="12"/>
      <c r="AF644" s="12"/>
      <c r="AG644" s="13"/>
      <c r="AH644" s="13"/>
      <c r="AI644" s="13"/>
      <c r="AJ644" s="13"/>
      <c r="AK644" s="13"/>
      <c r="AL644" s="13"/>
      <c r="AM644" s="13"/>
    </row>
    <row r="645" spans="1:39">
      <c r="A645" s="8"/>
      <c r="B645" s="8"/>
      <c r="C645" s="8"/>
      <c r="D645" s="8"/>
      <c r="E645" s="8"/>
      <c r="F645" s="8"/>
      <c r="G645" s="8"/>
      <c r="H645" s="8"/>
      <c r="I645" s="8"/>
      <c r="J645" s="8"/>
      <c r="K645" s="8"/>
      <c r="L645" s="8"/>
      <c r="M645" s="8"/>
      <c r="N645" s="8"/>
      <c r="O645" s="8"/>
      <c r="P645" s="8"/>
      <c r="Q645" s="8"/>
      <c r="R645" s="8"/>
      <c r="S645" s="8"/>
      <c r="T645" s="8"/>
      <c r="U645" s="12"/>
      <c r="V645" s="12"/>
      <c r="W645" s="12"/>
      <c r="X645" s="12"/>
      <c r="Y645" s="12"/>
      <c r="Z645" s="12"/>
      <c r="AA645" s="12"/>
      <c r="AB645" s="12"/>
      <c r="AC645" s="12"/>
      <c r="AD645" s="12"/>
      <c r="AE645" s="12"/>
      <c r="AF645" s="12"/>
      <c r="AG645" s="13"/>
      <c r="AH645" s="13"/>
      <c r="AI645" s="13"/>
      <c r="AJ645" s="13"/>
      <c r="AK645" s="13"/>
      <c r="AL645" s="13"/>
      <c r="AM645" s="13"/>
    </row>
    <row r="646" spans="1:39">
      <c r="A646" s="8"/>
      <c r="B646" s="8"/>
      <c r="C646" s="8"/>
      <c r="D646" s="8"/>
      <c r="E646" s="8"/>
      <c r="F646" s="8"/>
      <c r="G646" s="8"/>
      <c r="H646" s="8"/>
      <c r="I646" s="8"/>
      <c r="J646" s="8"/>
      <c r="K646" s="8"/>
      <c r="L646" s="8"/>
      <c r="M646" s="8"/>
      <c r="N646" s="8"/>
      <c r="O646" s="8"/>
      <c r="P646" s="8"/>
      <c r="Q646" s="8"/>
      <c r="R646" s="8"/>
      <c r="S646" s="8"/>
      <c r="T646" s="8"/>
      <c r="U646" s="12"/>
      <c r="V646" s="12"/>
      <c r="W646" s="12"/>
      <c r="X646" s="12"/>
      <c r="Y646" s="12"/>
      <c r="Z646" s="12"/>
      <c r="AA646" s="12"/>
      <c r="AB646" s="12"/>
      <c r="AC646" s="12"/>
      <c r="AD646" s="12"/>
      <c r="AE646" s="12"/>
      <c r="AF646" s="12"/>
      <c r="AG646" s="13"/>
      <c r="AH646" s="13"/>
      <c r="AI646" s="13"/>
      <c r="AJ646" s="13"/>
      <c r="AK646" s="13"/>
      <c r="AL646" s="13"/>
      <c r="AM646" s="13"/>
    </row>
    <row r="647" spans="1:39">
      <c r="A647" s="8"/>
      <c r="B647" s="8"/>
      <c r="C647" s="8"/>
      <c r="D647" s="8"/>
      <c r="E647" s="8"/>
      <c r="F647" s="8"/>
      <c r="G647" s="8"/>
      <c r="H647" s="8"/>
      <c r="I647" s="8"/>
      <c r="J647" s="8"/>
      <c r="K647" s="8"/>
      <c r="L647" s="8"/>
      <c r="M647" s="8"/>
      <c r="N647" s="8"/>
      <c r="O647" s="8"/>
      <c r="P647" s="8"/>
      <c r="Q647" s="8"/>
      <c r="R647" s="8"/>
      <c r="S647" s="8"/>
      <c r="T647" s="8"/>
      <c r="U647" s="12"/>
      <c r="V647" s="12"/>
      <c r="W647" s="12"/>
      <c r="X647" s="12"/>
      <c r="Y647" s="12"/>
      <c r="Z647" s="12"/>
      <c r="AA647" s="12"/>
      <c r="AB647" s="12"/>
      <c r="AC647" s="12"/>
      <c r="AD647" s="12"/>
      <c r="AE647" s="12"/>
      <c r="AF647" s="12"/>
      <c r="AG647" s="13"/>
      <c r="AH647" s="13"/>
      <c r="AI647" s="13"/>
      <c r="AJ647" s="13"/>
      <c r="AK647" s="13"/>
      <c r="AL647" s="13"/>
      <c r="AM647" s="13"/>
    </row>
    <row r="648" spans="1:39">
      <c r="A648" s="8"/>
      <c r="B648" s="8"/>
      <c r="C648" s="8"/>
      <c r="D648" s="8"/>
      <c r="E648" s="8"/>
      <c r="F648" s="8"/>
      <c r="G648" s="8"/>
      <c r="H648" s="8"/>
      <c r="I648" s="8"/>
      <c r="J648" s="8"/>
      <c r="K648" s="8"/>
      <c r="L648" s="8"/>
      <c r="M648" s="8"/>
      <c r="N648" s="8"/>
      <c r="O648" s="8"/>
      <c r="P648" s="8"/>
      <c r="Q648" s="8"/>
      <c r="R648" s="8"/>
      <c r="S648" s="8"/>
      <c r="T648" s="8"/>
      <c r="U648" s="12"/>
      <c r="V648" s="12"/>
      <c r="W648" s="12"/>
      <c r="X648" s="12"/>
      <c r="Y648" s="12"/>
      <c r="Z648" s="12"/>
      <c r="AA648" s="12"/>
      <c r="AB648" s="12"/>
      <c r="AC648" s="12"/>
      <c r="AD648" s="12"/>
      <c r="AE648" s="12"/>
      <c r="AF648" s="12"/>
      <c r="AG648" s="13"/>
      <c r="AH648" s="13"/>
      <c r="AI648" s="13"/>
      <c r="AJ648" s="13"/>
      <c r="AK648" s="13"/>
      <c r="AL648" s="13"/>
      <c r="AM648" s="13"/>
    </row>
    <row r="649" spans="1:39">
      <c r="A649" s="8"/>
      <c r="B649" s="8"/>
      <c r="C649" s="8"/>
      <c r="D649" s="8"/>
      <c r="E649" s="8"/>
      <c r="F649" s="8"/>
      <c r="G649" s="8"/>
      <c r="H649" s="8"/>
      <c r="I649" s="8"/>
      <c r="J649" s="8"/>
      <c r="K649" s="8"/>
      <c r="L649" s="8"/>
      <c r="M649" s="8"/>
      <c r="N649" s="8"/>
      <c r="O649" s="8"/>
      <c r="P649" s="8"/>
      <c r="Q649" s="8"/>
      <c r="R649" s="8"/>
      <c r="S649" s="8"/>
      <c r="T649" s="8"/>
      <c r="U649" s="12"/>
      <c r="V649" s="12"/>
      <c r="W649" s="12"/>
      <c r="X649" s="12"/>
      <c r="Y649" s="12"/>
      <c r="Z649" s="12"/>
      <c r="AA649" s="12"/>
      <c r="AB649" s="12"/>
      <c r="AC649" s="12"/>
      <c r="AD649" s="12"/>
      <c r="AE649" s="12"/>
      <c r="AF649" s="12"/>
      <c r="AG649" s="13"/>
      <c r="AH649" s="13"/>
      <c r="AI649" s="13"/>
      <c r="AJ649" s="13"/>
      <c r="AK649" s="13"/>
      <c r="AL649" s="13"/>
      <c r="AM649" s="13"/>
    </row>
    <row r="650" spans="1:39">
      <c r="A650" s="8"/>
      <c r="B650" s="8"/>
      <c r="C650" s="8"/>
      <c r="D650" s="8"/>
      <c r="E650" s="8"/>
      <c r="F650" s="8"/>
      <c r="G650" s="8"/>
      <c r="H650" s="8"/>
      <c r="I650" s="8"/>
      <c r="J650" s="8"/>
      <c r="K650" s="8"/>
      <c r="L650" s="8"/>
      <c r="M650" s="8"/>
      <c r="N650" s="8"/>
      <c r="O650" s="8"/>
      <c r="P650" s="8"/>
      <c r="Q650" s="8"/>
      <c r="R650" s="8"/>
      <c r="S650" s="8"/>
      <c r="T650" s="8"/>
      <c r="U650" s="12"/>
      <c r="V650" s="12"/>
      <c r="W650" s="12"/>
      <c r="X650" s="12"/>
      <c r="Y650" s="12"/>
      <c r="Z650" s="12"/>
      <c r="AA650" s="12"/>
      <c r="AB650" s="12"/>
      <c r="AC650" s="12"/>
      <c r="AD650" s="12"/>
      <c r="AE650" s="12"/>
      <c r="AF650" s="12"/>
      <c r="AG650" s="13"/>
      <c r="AH650" s="13"/>
      <c r="AI650" s="13"/>
      <c r="AJ650" s="13"/>
      <c r="AK650" s="13"/>
      <c r="AL650" s="13"/>
      <c r="AM650" s="13"/>
    </row>
    <row r="651" spans="1:39">
      <c r="A651" s="8"/>
      <c r="B651" s="8"/>
      <c r="C651" s="8"/>
      <c r="D651" s="8"/>
      <c r="E651" s="8"/>
      <c r="F651" s="8"/>
      <c r="G651" s="8"/>
      <c r="H651" s="8"/>
      <c r="I651" s="8"/>
      <c r="J651" s="8"/>
      <c r="K651" s="8"/>
      <c r="L651" s="8"/>
      <c r="M651" s="8"/>
      <c r="N651" s="8"/>
      <c r="O651" s="8"/>
      <c r="P651" s="8"/>
      <c r="Q651" s="8"/>
      <c r="R651" s="8"/>
      <c r="S651" s="8"/>
      <c r="T651" s="8"/>
      <c r="U651" s="12"/>
      <c r="V651" s="12"/>
      <c r="W651" s="12"/>
      <c r="X651" s="12"/>
      <c r="Y651" s="12"/>
      <c r="Z651" s="12"/>
      <c r="AA651" s="12"/>
      <c r="AB651" s="12"/>
      <c r="AC651" s="12"/>
      <c r="AD651" s="12"/>
      <c r="AE651" s="12"/>
      <c r="AF651" s="12"/>
      <c r="AG651" s="13"/>
      <c r="AH651" s="13"/>
      <c r="AI651" s="13"/>
      <c r="AJ651" s="13"/>
      <c r="AK651" s="13"/>
      <c r="AL651" s="13"/>
      <c r="AM651" s="13"/>
    </row>
    <row r="652" spans="1:39">
      <c r="A652" s="8"/>
      <c r="B652" s="8"/>
      <c r="C652" s="8"/>
      <c r="D652" s="8"/>
      <c r="E652" s="8"/>
      <c r="F652" s="8"/>
      <c r="G652" s="8"/>
      <c r="H652" s="8"/>
      <c r="I652" s="8"/>
      <c r="J652" s="8"/>
      <c r="K652" s="8"/>
      <c r="L652" s="8"/>
      <c r="M652" s="8"/>
      <c r="N652" s="8"/>
      <c r="O652" s="8"/>
      <c r="P652" s="8"/>
      <c r="Q652" s="8"/>
      <c r="R652" s="8"/>
      <c r="S652" s="8"/>
      <c r="T652" s="8"/>
      <c r="U652" s="12"/>
      <c r="V652" s="12"/>
      <c r="W652" s="12"/>
      <c r="X652" s="12"/>
      <c r="Y652" s="12"/>
      <c r="Z652" s="12"/>
      <c r="AA652" s="12"/>
      <c r="AB652" s="12"/>
      <c r="AC652" s="12"/>
      <c r="AD652" s="12"/>
      <c r="AE652" s="12"/>
      <c r="AF652" s="12"/>
      <c r="AG652" s="13"/>
      <c r="AH652" s="13"/>
      <c r="AI652" s="13"/>
      <c r="AJ652" s="13"/>
      <c r="AK652" s="13"/>
      <c r="AL652" s="13"/>
      <c r="AM652" s="13"/>
    </row>
    <row r="653" spans="1:39">
      <c r="A653" s="8"/>
      <c r="B653" s="8"/>
      <c r="C653" s="8"/>
      <c r="D653" s="8"/>
      <c r="E653" s="8"/>
      <c r="F653" s="8"/>
      <c r="G653" s="8"/>
      <c r="H653" s="8"/>
      <c r="I653" s="8"/>
      <c r="J653" s="8"/>
      <c r="K653" s="8"/>
      <c r="L653" s="8"/>
      <c r="M653" s="8"/>
      <c r="N653" s="8"/>
      <c r="O653" s="8"/>
      <c r="P653" s="8"/>
      <c r="Q653" s="8"/>
      <c r="R653" s="8"/>
      <c r="S653" s="8"/>
      <c r="T653" s="8"/>
      <c r="U653" s="12"/>
      <c r="V653" s="12"/>
      <c r="W653" s="12"/>
      <c r="X653" s="12"/>
      <c r="Y653" s="12"/>
      <c r="Z653" s="12"/>
      <c r="AA653" s="12"/>
      <c r="AB653" s="12"/>
      <c r="AC653" s="12"/>
      <c r="AD653" s="12"/>
      <c r="AE653" s="12"/>
      <c r="AF653" s="12"/>
      <c r="AG653" s="13"/>
      <c r="AH653" s="13"/>
      <c r="AI653" s="13"/>
      <c r="AJ653" s="13"/>
      <c r="AK653" s="13"/>
      <c r="AL653" s="13"/>
      <c r="AM653" s="13"/>
    </row>
    <row r="654" spans="1:39">
      <c r="A654" s="8"/>
      <c r="B654" s="8"/>
      <c r="C654" s="8"/>
      <c r="D654" s="8"/>
      <c r="E654" s="8"/>
      <c r="F654" s="8"/>
      <c r="G654" s="8"/>
      <c r="H654" s="8"/>
      <c r="I654" s="8"/>
      <c r="J654" s="8"/>
      <c r="K654" s="8"/>
      <c r="L654" s="8"/>
      <c r="M654" s="8"/>
      <c r="N654" s="8"/>
      <c r="O654" s="8"/>
      <c r="P654" s="8"/>
      <c r="Q654" s="8"/>
      <c r="R654" s="8"/>
      <c r="S654" s="8"/>
      <c r="T654" s="8"/>
      <c r="U654" s="12"/>
      <c r="V654" s="12"/>
      <c r="W654" s="12"/>
      <c r="X654" s="12"/>
      <c r="Y654" s="12"/>
      <c r="Z654" s="12"/>
      <c r="AA654" s="12"/>
      <c r="AB654" s="12"/>
      <c r="AC654" s="12"/>
      <c r="AD654" s="12"/>
      <c r="AE654" s="12"/>
      <c r="AF654" s="12"/>
      <c r="AG654" s="13"/>
      <c r="AH654" s="13"/>
      <c r="AI654" s="13"/>
      <c r="AJ654" s="13"/>
      <c r="AK654" s="13"/>
      <c r="AL654" s="13"/>
      <c r="AM654" s="13"/>
    </row>
    <row r="655" spans="1:39">
      <c r="A655" s="8"/>
      <c r="B655" s="8"/>
      <c r="C655" s="8"/>
      <c r="D655" s="8"/>
      <c r="E655" s="8"/>
      <c r="F655" s="8"/>
      <c r="G655" s="8"/>
      <c r="H655" s="8"/>
      <c r="I655" s="8"/>
      <c r="J655" s="8"/>
      <c r="K655" s="8"/>
      <c r="L655" s="8"/>
      <c r="M655" s="8"/>
      <c r="N655" s="8"/>
      <c r="O655" s="8"/>
      <c r="P655" s="8"/>
      <c r="Q655" s="8"/>
      <c r="R655" s="8"/>
      <c r="S655" s="8"/>
      <c r="T655" s="8"/>
      <c r="U655" s="12"/>
      <c r="V655" s="12"/>
      <c r="W655" s="12"/>
      <c r="X655" s="12"/>
      <c r="Y655" s="12"/>
      <c r="Z655" s="12"/>
      <c r="AA655" s="12"/>
      <c r="AB655" s="12"/>
      <c r="AC655" s="12"/>
      <c r="AD655" s="12"/>
      <c r="AE655" s="12"/>
      <c r="AF655" s="12"/>
      <c r="AG655" s="13"/>
      <c r="AH655" s="13"/>
      <c r="AI655" s="13"/>
      <c r="AJ655" s="13"/>
      <c r="AK655" s="13"/>
      <c r="AL655" s="13"/>
      <c r="AM655" s="13"/>
    </row>
    <row r="656" spans="1:39">
      <c r="A656" s="8"/>
      <c r="B656" s="8"/>
      <c r="C656" s="8"/>
      <c r="D656" s="8"/>
      <c r="E656" s="8"/>
      <c r="F656" s="8"/>
      <c r="G656" s="8"/>
      <c r="H656" s="8"/>
      <c r="I656" s="8"/>
      <c r="J656" s="8"/>
      <c r="K656" s="8"/>
      <c r="L656" s="8"/>
      <c r="M656" s="8"/>
      <c r="N656" s="8"/>
      <c r="O656" s="8"/>
      <c r="P656" s="8"/>
      <c r="Q656" s="8"/>
      <c r="R656" s="8"/>
      <c r="S656" s="8"/>
      <c r="T656" s="8"/>
      <c r="U656" s="12"/>
      <c r="V656" s="12"/>
      <c r="W656" s="12"/>
      <c r="X656" s="12"/>
      <c r="Y656" s="12"/>
      <c r="Z656" s="12"/>
      <c r="AA656" s="12"/>
      <c r="AB656" s="12"/>
      <c r="AC656" s="12"/>
      <c r="AD656" s="12"/>
      <c r="AE656" s="12"/>
      <c r="AF656" s="12"/>
      <c r="AG656" s="13"/>
      <c r="AH656" s="13"/>
      <c r="AI656" s="13"/>
      <c r="AJ656" s="13"/>
      <c r="AK656" s="13"/>
      <c r="AL656" s="13"/>
      <c r="AM656" s="13"/>
    </row>
    <row r="657" spans="1:39">
      <c r="A657" s="8"/>
      <c r="B657" s="8"/>
      <c r="C657" s="8"/>
      <c r="D657" s="8"/>
      <c r="E657" s="8"/>
      <c r="F657" s="8"/>
      <c r="G657" s="8"/>
      <c r="H657" s="8"/>
      <c r="I657" s="8"/>
      <c r="J657" s="8"/>
      <c r="K657" s="8"/>
      <c r="L657" s="8"/>
      <c r="M657" s="8"/>
      <c r="N657" s="8"/>
      <c r="O657" s="8"/>
      <c r="P657" s="8"/>
      <c r="Q657" s="8"/>
      <c r="R657" s="8"/>
      <c r="S657" s="8"/>
      <c r="T657" s="8"/>
      <c r="U657" s="12"/>
      <c r="V657" s="12"/>
      <c r="W657" s="12"/>
      <c r="X657" s="12"/>
      <c r="Y657" s="12"/>
      <c r="Z657" s="12"/>
      <c r="AA657" s="12"/>
      <c r="AB657" s="12"/>
      <c r="AC657" s="12"/>
      <c r="AD657" s="12"/>
      <c r="AE657" s="12"/>
      <c r="AF657" s="12"/>
      <c r="AG657" s="13"/>
      <c r="AH657" s="13"/>
      <c r="AI657" s="13"/>
      <c r="AJ657" s="13"/>
      <c r="AK657" s="13"/>
      <c r="AL657" s="13"/>
      <c r="AM657" s="13"/>
    </row>
    <row r="658" spans="1:39">
      <c r="A658" s="8"/>
      <c r="B658" s="8"/>
      <c r="C658" s="8"/>
      <c r="D658" s="8"/>
      <c r="E658" s="8"/>
      <c r="F658" s="8"/>
      <c r="G658" s="8"/>
      <c r="H658" s="8"/>
      <c r="I658" s="8"/>
      <c r="J658" s="8"/>
      <c r="K658" s="8"/>
      <c r="L658" s="8"/>
      <c r="M658" s="8"/>
      <c r="N658" s="8"/>
      <c r="O658" s="8"/>
      <c r="P658" s="8"/>
      <c r="Q658" s="8"/>
      <c r="R658" s="8"/>
      <c r="S658" s="8"/>
      <c r="T658" s="8"/>
      <c r="U658" s="12"/>
      <c r="V658" s="12"/>
      <c r="W658" s="12"/>
      <c r="X658" s="12"/>
      <c r="Y658" s="12"/>
      <c r="Z658" s="12"/>
      <c r="AA658" s="12"/>
      <c r="AB658" s="12"/>
      <c r="AC658" s="12"/>
      <c r="AD658" s="12"/>
      <c r="AE658" s="12"/>
      <c r="AF658" s="12"/>
      <c r="AG658" s="13"/>
      <c r="AH658" s="13"/>
      <c r="AI658" s="13"/>
      <c r="AJ658" s="13"/>
      <c r="AK658" s="13"/>
      <c r="AL658" s="13"/>
      <c r="AM658" s="13"/>
    </row>
    <row r="659" spans="1:39">
      <c r="A659" s="8"/>
      <c r="B659" s="8"/>
      <c r="C659" s="8"/>
      <c r="D659" s="8"/>
      <c r="E659" s="8"/>
      <c r="F659" s="8"/>
      <c r="G659" s="8"/>
      <c r="H659" s="8"/>
      <c r="I659" s="8"/>
      <c r="J659" s="8"/>
      <c r="K659" s="8"/>
      <c r="L659" s="8"/>
      <c r="M659" s="8"/>
      <c r="N659" s="8"/>
      <c r="O659" s="8"/>
      <c r="P659" s="8"/>
      <c r="Q659" s="8"/>
      <c r="R659" s="8"/>
      <c r="S659" s="8"/>
      <c r="T659" s="8"/>
      <c r="U659" s="12"/>
      <c r="V659" s="12"/>
      <c r="W659" s="12"/>
      <c r="X659" s="12"/>
      <c r="Y659" s="12"/>
      <c r="Z659" s="12"/>
      <c r="AA659" s="12"/>
      <c r="AB659" s="12"/>
      <c r="AC659" s="12"/>
      <c r="AD659" s="12"/>
      <c r="AE659" s="12"/>
      <c r="AF659" s="12"/>
      <c r="AG659" s="13"/>
      <c r="AH659" s="13"/>
      <c r="AI659" s="13"/>
      <c r="AJ659" s="13"/>
      <c r="AK659" s="13"/>
      <c r="AL659" s="13"/>
      <c r="AM659" s="13"/>
    </row>
    <row r="660" spans="1:39">
      <c r="A660" s="8"/>
      <c r="B660" s="8"/>
      <c r="C660" s="8"/>
      <c r="D660" s="8"/>
      <c r="E660" s="8"/>
      <c r="F660" s="8"/>
      <c r="G660" s="8"/>
      <c r="H660" s="8"/>
      <c r="I660" s="8"/>
      <c r="J660" s="8"/>
      <c r="K660" s="8"/>
      <c r="L660" s="8"/>
      <c r="M660" s="8"/>
      <c r="N660" s="8"/>
      <c r="O660" s="8"/>
      <c r="P660" s="8"/>
      <c r="Q660" s="8"/>
      <c r="R660" s="8"/>
      <c r="S660" s="8"/>
      <c r="T660" s="8"/>
      <c r="U660" s="12"/>
      <c r="V660" s="12"/>
      <c r="W660" s="12"/>
      <c r="X660" s="12"/>
      <c r="Y660" s="12"/>
      <c r="Z660" s="12"/>
      <c r="AA660" s="12"/>
      <c r="AB660" s="12"/>
      <c r="AC660" s="12"/>
      <c r="AD660" s="12"/>
      <c r="AE660" s="12"/>
      <c r="AF660" s="12"/>
      <c r="AG660" s="13"/>
      <c r="AH660" s="13"/>
      <c r="AI660" s="13"/>
      <c r="AJ660" s="13"/>
      <c r="AK660" s="13"/>
      <c r="AL660" s="13"/>
      <c r="AM660" s="13"/>
    </row>
    <row r="661" spans="1:39">
      <c r="A661" s="8"/>
      <c r="B661" s="8"/>
      <c r="C661" s="8"/>
      <c r="D661" s="8"/>
      <c r="E661" s="8"/>
      <c r="F661" s="8"/>
      <c r="G661" s="8"/>
      <c r="H661" s="8"/>
      <c r="I661" s="8"/>
      <c r="J661" s="8"/>
      <c r="K661" s="8"/>
      <c r="L661" s="8"/>
      <c r="M661" s="8"/>
      <c r="N661" s="8"/>
      <c r="O661" s="8"/>
      <c r="P661" s="8"/>
      <c r="Q661" s="8"/>
      <c r="R661" s="8"/>
      <c r="S661" s="8"/>
      <c r="T661" s="8"/>
      <c r="U661" s="12"/>
      <c r="V661" s="12"/>
      <c r="W661" s="12"/>
      <c r="X661" s="12"/>
      <c r="Y661" s="12"/>
      <c r="Z661" s="12"/>
      <c r="AA661" s="12"/>
      <c r="AB661" s="12"/>
      <c r="AC661" s="12"/>
      <c r="AD661" s="12"/>
      <c r="AE661" s="12"/>
      <c r="AF661" s="12"/>
      <c r="AG661" s="13"/>
      <c r="AH661" s="13"/>
      <c r="AI661" s="13"/>
      <c r="AJ661" s="13"/>
      <c r="AK661" s="13"/>
      <c r="AL661" s="13"/>
      <c r="AM661" s="13"/>
    </row>
    <row r="662" spans="1:39">
      <c r="A662" s="8"/>
      <c r="B662" s="8"/>
      <c r="C662" s="8"/>
      <c r="D662" s="8"/>
      <c r="E662" s="8"/>
      <c r="F662" s="8"/>
      <c r="G662" s="8"/>
      <c r="H662" s="8"/>
      <c r="I662" s="8"/>
      <c r="J662" s="8"/>
      <c r="K662" s="8"/>
      <c r="L662" s="8"/>
      <c r="M662" s="8"/>
      <c r="N662" s="8"/>
      <c r="O662" s="8"/>
      <c r="P662" s="8"/>
      <c r="Q662" s="8"/>
      <c r="R662" s="8"/>
      <c r="S662" s="8"/>
      <c r="T662" s="8"/>
      <c r="U662" s="12"/>
      <c r="V662" s="12"/>
      <c r="W662" s="12"/>
      <c r="X662" s="12"/>
      <c r="Y662" s="12"/>
      <c r="Z662" s="12"/>
      <c r="AA662" s="12"/>
      <c r="AB662" s="12"/>
      <c r="AC662" s="12"/>
      <c r="AD662" s="12"/>
      <c r="AE662" s="12"/>
      <c r="AF662" s="12"/>
      <c r="AG662" s="13"/>
      <c r="AH662" s="13"/>
      <c r="AI662" s="13"/>
      <c r="AJ662" s="13"/>
      <c r="AK662" s="13"/>
      <c r="AL662" s="13"/>
      <c r="AM662" s="13"/>
    </row>
    <row r="663" spans="1:39">
      <c r="A663" s="8"/>
      <c r="B663" s="8"/>
      <c r="C663" s="8"/>
      <c r="D663" s="8"/>
      <c r="E663" s="8"/>
      <c r="F663" s="8"/>
      <c r="G663" s="8"/>
      <c r="H663" s="8"/>
      <c r="I663" s="8"/>
      <c r="J663" s="8"/>
      <c r="K663" s="8"/>
      <c r="L663" s="8"/>
      <c r="M663" s="8"/>
      <c r="N663" s="8"/>
      <c r="O663" s="8"/>
      <c r="P663" s="8"/>
      <c r="Q663" s="8"/>
      <c r="R663" s="8"/>
      <c r="S663" s="8"/>
      <c r="T663" s="8"/>
      <c r="U663" s="12"/>
      <c r="V663" s="12"/>
      <c r="W663" s="12"/>
      <c r="X663" s="12"/>
      <c r="Y663" s="12"/>
      <c r="Z663" s="12"/>
      <c r="AA663" s="12"/>
      <c r="AB663" s="12"/>
      <c r="AC663" s="12"/>
      <c r="AD663" s="12"/>
      <c r="AE663" s="12"/>
      <c r="AF663" s="12"/>
      <c r="AG663" s="13"/>
      <c r="AH663" s="13"/>
      <c r="AI663" s="13"/>
      <c r="AJ663" s="13"/>
      <c r="AK663" s="13"/>
      <c r="AL663" s="13"/>
      <c r="AM663" s="13"/>
    </row>
    <row r="664" spans="1:39">
      <c r="A664" s="8"/>
      <c r="B664" s="8"/>
      <c r="C664" s="8"/>
      <c r="D664" s="8"/>
      <c r="E664" s="8"/>
      <c r="F664" s="8"/>
      <c r="G664" s="8"/>
      <c r="H664" s="8"/>
      <c r="I664" s="8"/>
      <c r="J664" s="8"/>
      <c r="K664" s="8"/>
      <c r="L664" s="8"/>
      <c r="M664" s="8"/>
      <c r="N664" s="8"/>
      <c r="O664" s="8"/>
      <c r="P664" s="8"/>
      <c r="Q664" s="8"/>
      <c r="R664" s="8"/>
      <c r="S664" s="8"/>
      <c r="T664" s="8"/>
      <c r="U664" s="12"/>
      <c r="V664" s="12"/>
      <c r="W664" s="12"/>
      <c r="X664" s="12"/>
      <c r="Y664" s="12"/>
      <c r="Z664" s="12"/>
      <c r="AA664" s="12"/>
      <c r="AB664" s="12"/>
      <c r="AC664" s="12"/>
      <c r="AD664" s="12"/>
      <c r="AE664" s="12"/>
      <c r="AF664" s="12"/>
      <c r="AG664" s="13"/>
      <c r="AH664" s="13"/>
      <c r="AI664" s="13"/>
      <c r="AJ664" s="13"/>
      <c r="AK664" s="13"/>
      <c r="AL664" s="13"/>
      <c r="AM664" s="13"/>
    </row>
    <row r="665" spans="1:39">
      <c r="A665" s="8"/>
      <c r="B665" s="8"/>
      <c r="C665" s="8"/>
      <c r="D665" s="8"/>
      <c r="E665" s="8"/>
      <c r="F665" s="8"/>
      <c r="G665" s="8"/>
      <c r="H665" s="8"/>
      <c r="I665" s="8"/>
      <c r="J665" s="8"/>
      <c r="K665" s="8"/>
      <c r="L665" s="8"/>
      <c r="M665" s="8"/>
      <c r="N665" s="8"/>
      <c r="O665" s="8"/>
      <c r="P665" s="8"/>
      <c r="Q665" s="8"/>
      <c r="R665" s="8"/>
      <c r="S665" s="8"/>
      <c r="T665" s="8"/>
      <c r="U665" s="12"/>
      <c r="V665" s="12"/>
      <c r="W665" s="12"/>
      <c r="X665" s="12"/>
      <c r="Y665" s="12"/>
      <c r="Z665" s="12"/>
      <c r="AA665" s="12"/>
      <c r="AB665" s="12"/>
      <c r="AC665" s="12"/>
      <c r="AD665" s="12"/>
      <c r="AE665" s="12"/>
      <c r="AF665" s="12"/>
      <c r="AG665" s="13"/>
      <c r="AH665" s="13"/>
      <c r="AI665" s="13"/>
      <c r="AJ665" s="13"/>
      <c r="AK665" s="13"/>
      <c r="AL665" s="13"/>
      <c r="AM665" s="13"/>
    </row>
    <row r="666" spans="1:39">
      <c r="A666" s="8"/>
      <c r="B666" s="8"/>
      <c r="C666" s="8"/>
      <c r="D666" s="8"/>
      <c r="E666" s="8"/>
      <c r="F666" s="8"/>
      <c r="G666" s="8"/>
      <c r="H666" s="8"/>
      <c r="I666" s="8"/>
      <c r="J666" s="8"/>
      <c r="K666" s="8"/>
      <c r="L666" s="8"/>
      <c r="M666" s="8"/>
      <c r="N666" s="8"/>
      <c r="O666" s="8"/>
      <c r="P666" s="8"/>
      <c r="Q666" s="8"/>
      <c r="R666" s="8"/>
      <c r="S666" s="8"/>
      <c r="T666" s="8"/>
      <c r="U666" s="12"/>
      <c r="V666" s="12"/>
      <c r="W666" s="12"/>
      <c r="X666" s="12"/>
      <c r="Y666" s="12"/>
      <c r="Z666" s="12"/>
      <c r="AA666" s="12"/>
      <c r="AB666" s="12"/>
      <c r="AC666" s="12"/>
      <c r="AD666" s="12"/>
      <c r="AE666" s="12"/>
      <c r="AF666" s="12"/>
      <c r="AG666" s="13"/>
      <c r="AH666" s="13"/>
      <c r="AI666" s="13"/>
      <c r="AJ666" s="13"/>
      <c r="AK666" s="13"/>
      <c r="AL666" s="13"/>
      <c r="AM666" s="13"/>
    </row>
    <row r="667" spans="1:39">
      <c r="A667" s="8"/>
      <c r="B667" s="8"/>
      <c r="C667" s="8"/>
      <c r="D667" s="8"/>
      <c r="E667" s="8"/>
      <c r="F667" s="8"/>
      <c r="G667" s="8"/>
      <c r="H667" s="8"/>
      <c r="I667" s="8"/>
      <c r="J667" s="8"/>
      <c r="K667" s="8"/>
      <c r="L667" s="8"/>
      <c r="M667" s="8"/>
      <c r="N667" s="8"/>
      <c r="O667" s="8"/>
      <c r="P667" s="8"/>
      <c r="Q667" s="8"/>
      <c r="R667" s="8"/>
      <c r="S667" s="8"/>
      <c r="T667" s="8"/>
      <c r="U667" s="12"/>
      <c r="V667" s="12"/>
      <c r="W667" s="12"/>
      <c r="X667" s="12"/>
      <c r="Y667" s="12"/>
      <c r="Z667" s="12"/>
      <c r="AA667" s="12"/>
      <c r="AB667" s="12"/>
      <c r="AC667" s="12"/>
      <c r="AD667" s="12"/>
      <c r="AE667" s="12"/>
      <c r="AF667" s="12"/>
      <c r="AG667" s="13"/>
      <c r="AH667" s="13"/>
      <c r="AI667" s="13"/>
      <c r="AJ667" s="13"/>
      <c r="AK667" s="13"/>
      <c r="AL667" s="13"/>
      <c r="AM667" s="13"/>
    </row>
    <row r="668" spans="1:39">
      <c r="A668" s="8"/>
      <c r="B668" s="8"/>
      <c r="C668" s="8"/>
      <c r="D668" s="8"/>
      <c r="E668" s="8"/>
      <c r="F668" s="8"/>
      <c r="G668" s="8"/>
      <c r="H668" s="8"/>
      <c r="I668" s="8"/>
      <c r="J668" s="8"/>
      <c r="K668" s="8"/>
      <c r="L668" s="8"/>
      <c r="M668" s="8"/>
      <c r="N668" s="8"/>
      <c r="O668" s="8"/>
      <c r="P668" s="8"/>
      <c r="Q668" s="8"/>
      <c r="R668" s="8"/>
      <c r="S668" s="8"/>
      <c r="T668" s="8"/>
      <c r="U668" s="12"/>
      <c r="V668" s="12"/>
      <c r="W668" s="12"/>
      <c r="X668" s="12"/>
      <c r="Y668" s="12"/>
      <c r="Z668" s="12"/>
      <c r="AA668" s="12"/>
      <c r="AB668" s="12"/>
      <c r="AC668" s="12"/>
      <c r="AD668" s="12"/>
      <c r="AE668" s="12"/>
      <c r="AF668" s="12"/>
      <c r="AG668" s="13"/>
      <c r="AH668" s="13"/>
      <c r="AI668" s="13"/>
      <c r="AJ668" s="13"/>
      <c r="AK668" s="13"/>
      <c r="AL668" s="13"/>
      <c r="AM668" s="13"/>
    </row>
    <row r="669" spans="1:39">
      <c r="A669" s="8"/>
      <c r="B669" s="8"/>
      <c r="C669" s="8"/>
      <c r="D669" s="8"/>
      <c r="E669" s="8"/>
      <c r="F669" s="8"/>
      <c r="G669" s="8"/>
      <c r="H669" s="8"/>
      <c r="I669" s="8"/>
      <c r="J669" s="8"/>
      <c r="K669" s="8"/>
      <c r="L669" s="8"/>
      <c r="M669" s="8"/>
      <c r="N669" s="8"/>
      <c r="O669" s="8"/>
      <c r="P669" s="8"/>
      <c r="Q669" s="8"/>
      <c r="R669" s="8"/>
      <c r="S669" s="8"/>
      <c r="T669" s="8"/>
      <c r="U669" s="12"/>
      <c r="V669" s="12"/>
      <c r="W669" s="12"/>
      <c r="X669" s="12"/>
      <c r="Y669" s="12"/>
      <c r="Z669" s="12"/>
      <c r="AA669" s="12"/>
      <c r="AB669" s="12"/>
      <c r="AC669" s="12"/>
      <c r="AD669" s="12"/>
      <c r="AE669" s="12"/>
      <c r="AF669" s="12"/>
      <c r="AG669" s="13"/>
      <c r="AH669" s="13"/>
      <c r="AI669" s="13"/>
      <c r="AJ669" s="13"/>
      <c r="AK669" s="13"/>
      <c r="AL669" s="13"/>
      <c r="AM669" s="13"/>
    </row>
    <row r="670" spans="1:39">
      <c r="A670" s="8"/>
      <c r="B670" s="8"/>
      <c r="C670" s="8"/>
      <c r="D670" s="8"/>
      <c r="E670" s="8"/>
      <c r="F670" s="8"/>
      <c r="G670" s="8"/>
      <c r="H670" s="8"/>
      <c r="I670" s="8"/>
      <c r="J670" s="8"/>
      <c r="K670" s="8"/>
      <c r="L670" s="8"/>
      <c r="M670" s="8"/>
      <c r="N670" s="8"/>
      <c r="O670" s="8"/>
      <c r="P670" s="8"/>
      <c r="Q670" s="8"/>
      <c r="R670" s="8"/>
      <c r="S670" s="8"/>
      <c r="T670" s="8"/>
      <c r="U670" s="12"/>
      <c r="V670" s="12"/>
      <c r="W670" s="12"/>
      <c r="X670" s="12"/>
      <c r="Y670" s="12"/>
      <c r="Z670" s="12"/>
      <c r="AA670" s="12"/>
      <c r="AB670" s="12"/>
      <c r="AC670" s="12"/>
      <c r="AD670" s="12"/>
      <c r="AE670" s="12"/>
      <c r="AF670" s="12"/>
      <c r="AG670" s="13"/>
      <c r="AH670" s="13"/>
      <c r="AI670" s="13"/>
      <c r="AJ670" s="13"/>
      <c r="AK670" s="13"/>
      <c r="AL670" s="13"/>
      <c r="AM670" s="13"/>
    </row>
    <row r="671" spans="1:39">
      <c r="A671" s="8"/>
      <c r="B671" s="8"/>
      <c r="C671" s="8"/>
      <c r="D671" s="8"/>
      <c r="E671" s="8"/>
      <c r="F671" s="8"/>
      <c r="G671" s="8"/>
      <c r="H671" s="8"/>
      <c r="I671" s="8"/>
      <c r="J671" s="8"/>
      <c r="K671" s="8"/>
      <c r="L671" s="8"/>
      <c r="M671" s="8"/>
      <c r="N671" s="8"/>
      <c r="O671" s="8"/>
      <c r="P671" s="8"/>
      <c r="Q671" s="8"/>
      <c r="R671" s="8"/>
      <c r="S671" s="8"/>
      <c r="T671" s="8"/>
      <c r="U671" s="12"/>
      <c r="V671" s="12"/>
      <c r="W671" s="12"/>
      <c r="X671" s="12"/>
      <c r="Y671" s="12"/>
      <c r="Z671" s="12"/>
      <c r="AA671" s="12"/>
      <c r="AB671" s="12"/>
      <c r="AC671" s="12"/>
      <c r="AD671" s="12"/>
      <c r="AE671" s="12"/>
      <c r="AF671" s="12"/>
      <c r="AG671" s="13"/>
      <c r="AH671" s="13"/>
      <c r="AI671" s="13"/>
      <c r="AJ671" s="13"/>
      <c r="AK671" s="13"/>
      <c r="AL671" s="13"/>
      <c r="AM671" s="13"/>
    </row>
    <row r="672" spans="1:39">
      <c r="A672" s="8"/>
      <c r="B672" s="8"/>
      <c r="C672" s="8"/>
      <c r="D672" s="8"/>
      <c r="E672" s="8"/>
      <c r="F672" s="8"/>
      <c r="G672" s="8"/>
      <c r="H672" s="8"/>
      <c r="I672" s="8"/>
      <c r="J672" s="8"/>
      <c r="K672" s="8"/>
      <c r="L672" s="8"/>
      <c r="M672" s="8"/>
      <c r="N672" s="8"/>
      <c r="O672" s="8"/>
      <c r="P672" s="8"/>
      <c r="Q672" s="8"/>
      <c r="R672" s="8"/>
      <c r="S672" s="8"/>
      <c r="T672" s="8"/>
      <c r="U672" s="12"/>
      <c r="V672" s="12"/>
      <c r="W672" s="12"/>
      <c r="X672" s="12"/>
      <c r="Y672" s="12"/>
      <c r="Z672" s="12"/>
      <c r="AA672" s="12"/>
      <c r="AB672" s="12"/>
      <c r="AC672" s="12"/>
      <c r="AD672" s="12"/>
      <c r="AE672" s="12"/>
      <c r="AF672" s="12"/>
      <c r="AG672" s="13"/>
      <c r="AH672" s="13"/>
      <c r="AI672" s="13"/>
      <c r="AJ672" s="13"/>
      <c r="AK672" s="13"/>
      <c r="AL672" s="13"/>
      <c r="AM672" s="13"/>
    </row>
    <row r="673" spans="1:39">
      <c r="A673" s="8"/>
      <c r="B673" s="8"/>
      <c r="C673" s="8"/>
      <c r="D673" s="8"/>
      <c r="E673" s="8"/>
      <c r="F673" s="8"/>
      <c r="G673" s="8"/>
      <c r="H673" s="8"/>
      <c r="I673" s="8"/>
      <c r="J673" s="8"/>
      <c r="K673" s="8"/>
      <c r="L673" s="8"/>
      <c r="M673" s="8"/>
      <c r="N673" s="8"/>
      <c r="O673" s="8"/>
      <c r="P673" s="8"/>
      <c r="Q673" s="8"/>
      <c r="R673" s="8"/>
      <c r="S673" s="8"/>
      <c r="T673" s="8"/>
      <c r="U673" s="12"/>
      <c r="V673" s="12"/>
      <c r="W673" s="12"/>
      <c r="X673" s="12"/>
      <c r="Y673" s="12"/>
      <c r="Z673" s="12"/>
      <c r="AA673" s="12"/>
      <c r="AB673" s="12"/>
      <c r="AC673" s="12"/>
      <c r="AD673" s="12"/>
      <c r="AE673" s="12"/>
      <c r="AF673" s="12"/>
      <c r="AG673" s="13"/>
      <c r="AH673" s="13"/>
      <c r="AI673" s="13"/>
      <c r="AJ673" s="13"/>
      <c r="AK673" s="13"/>
      <c r="AL673" s="13"/>
      <c r="AM673" s="13"/>
    </row>
    <row r="674" spans="1:39">
      <c r="A674" s="8"/>
      <c r="B674" s="8"/>
      <c r="C674" s="8"/>
      <c r="D674" s="8"/>
      <c r="E674" s="8"/>
      <c r="F674" s="8"/>
      <c r="G674" s="8"/>
      <c r="H674" s="8"/>
      <c r="I674" s="8"/>
      <c r="J674" s="8"/>
      <c r="K674" s="8"/>
      <c r="L674" s="8"/>
      <c r="M674" s="8"/>
      <c r="N674" s="8"/>
      <c r="O674" s="8"/>
      <c r="P674" s="8"/>
      <c r="Q674" s="8"/>
      <c r="R674" s="8"/>
      <c r="S674" s="8"/>
      <c r="T674" s="8"/>
      <c r="U674" s="12"/>
      <c r="V674" s="12"/>
      <c r="W674" s="12"/>
      <c r="X674" s="12"/>
      <c r="Y674" s="12"/>
      <c r="Z674" s="12"/>
      <c r="AA674" s="12"/>
      <c r="AB674" s="12"/>
      <c r="AC674" s="12"/>
      <c r="AD674" s="12"/>
      <c r="AE674" s="12"/>
      <c r="AF674" s="12"/>
      <c r="AG674" s="13"/>
      <c r="AH674" s="13"/>
      <c r="AI674" s="13"/>
      <c r="AJ674" s="13"/>
      <c r="AK674" s="13"/>
      <c r="AL674" s="13"/>
      <c r="AM674" s="13"/>
    </row>
    <row r="675" spans="1:39">
      <c r="A675" s="8"/>
      <c r="B675" s="8"/>
      <c r="C675" s="8"/>
      <c r="D675" s="8"/>
      <c r="E675" s="8"/>
      <c r="F675" s="8"/>
      <c r="G675" s="8"/>
      <c r="H675" s="8"/>
      <c r="I675" s="8"/>
      <c r="J675" s="8"/>
      <c r="K675" s="8"/>
      <c r="L675" s="8"/>
      <c r="M675" s="8"/>
      <c r="N675" s="8"/>
      <c r="O675" s="8"/>
      <c r="P675" s="8"/>
      <c r="Q675" s="8"/>
      <c r="R675" s="8"/>
      <c r="S675" s="8"/>
      <c r="T675" s="8"/>
      <c r="U675" s="12"/>
      <c r="V675" s="12"/>
      <c r="W675" s="12"/>
      <c r="X675" s="12"/>
      <c r="Y675" s="12"/>
      <c r="Z675" s="12"/>
      <c r="AA675" s="12"/>
      <c r="AB675" s="12"/>
      <c r="AC675" s="12"/>
      <c r="AD675" s="12"/>
      <c r="AE675" s="12"/>
      <c r="AF675" s="12"/>
      <c r="AG675" s="13"/>
      <c r="AH675" s="13"/>
      <c r="AI675" s="13"/>
      <c r="AJ675" s="13"/>
      <c r="AK675" s="13"/>
      <c r="AL675" s="13"/>
      <c r="AM675" s="13"/>
    </row>
    <row r="676" spans="1:39">
      <c r="A676" s="8"/>
      <c r="B676" s="8"/>
      <c r="C676" s="8"/>
      <c r="D676" s="8"/>
      <c r="E676" s="8"/>
      <c r="F676" s="8"/>
      <c r="G676" s="8"/>
      <c r="H676" s="8"/>
      <c r="I676" s="8"/>
      <c r="J676" s="8"/>
      <c r="K676" s="8"/>
      <c r="L676" s="8"/>
      <c r="M676" s="8"/>
      <c r="N676" s="8"/>
      <c r="O676" s="8"/>
      <c r="P676" s="8"/>
      <c r="Q676" s="8"/>
      <c r="R676" s="8"/>
      <c r="S676" s="8"/>
      <c r="T676" s="8"/>
      <c r="U676" s="12"/>
      <c r="V676" s="12"/>
      <c r="W676" s="12"/>
      <c r="X676" s="12"/>
      <c r="Y676" s="12"/>
      <c r="Z676" s="12"/>
      <c r="AA676" s="12"/>
      <c r="AB676" s="12"/>
      <c r="AC676" s="12"/>
      <c r="AD676" s="12"/>
      <c r="AE676" s="12"/>
      <c r="AF676" s="12"/>
      <c r="AG676" s="13"/>
      <c r="AH676" s="13"/>
      <c r="AI676" s="13"/>
      <c r="AJ676" s="13"/>
      <c r="AK676" s="13"/>
      <c r="AL676" s="13"/>
      <c r="AM676" s="13"/>
    </row>
    <row r="677" spans="1:39">
      <c r="A677" s="8"/>
      <c r="B677" s="8"/>
      <c r="C677" s="8"/>
      <c r="D677" s="8"/>
      <c r="E677" s="8"/>
      <c r="F677" s="8"/>
      <c r="G677" s="8"/>
      <c r="H677" s="8"/>
      <c r="I677" s="8"/>
      <c r="J677" s="8"/>
      <c r="K677" s="8"/>
      <c r="L677" s="8"/>
      <c r="M677" s="8"/>
      <c r="N677" s="8"/>
      <c r="O677" s="8"/>
      <c r="P677" s="8"/>
      <c r="Q677" s="8"/>
      <c r="R677" s="8"/>
      <c r="S677" s="8"/>
      <c r="T677" s="8"/>
      <c r="U677" s="12"/>
      <c r="V677" s="12"/>
      <c r="W677" s="12"/>
      <c r="X677" s="12"/>
      <c r="Y677" s="12"/>
      <c r="Z677" s="12"/>
      <c r="AA677" s="12"/>
      <c r="AB677" s="12"/>
      <c r="AC677" s="12"/>
      <c r="AD677" s="12"/>
      <c r="AE677" s="12"/>
      <c r="AF677" s="12"/>
      <c r="AG677" s="13"/>
      <c r="AH677" s="13"/>
      <c r="AI677" s="13"/>
      <c r="AJ677" s="13"/>
      <c r="AK677" s="13"/>
      <c r="AL677" s="13"/>
      <c r="AM677" s="13"/>
    </row>
    <row r="678" spans="1:39">
      <c r="A678" s="8"/>
      <c r="B678" s="8"/>
      <c r="C678" s="8"/>
      <c r="D678" s="8"/>
      <c r="E678" s="8"/>
      <c r="F678" s="8"/>
      <c r="G678" s="8"/>
      <c r="H678" s="8"/>
      <c r="I678" s="8"/>
      <c r="J678" s="8"/>
      <c r="K678" s="8"/>
      <c r="L678" s="8"/>
      <c r="M678" s="8"/>
      <c r="N678" s="8"/>
      <c r="O678" s="8"/>
      <c r="P678" s="8"/>
      <c r="Q678" s="8"/>
      <c r="R678" s="8"/>
      <c r="S678" s="8"/>
      <c r="T678" s="8"/>
      <c r="U678" s="12"/>
      <c r="V678" s="12"/>
      <c r="W678" s="12"/>
      <c r="X678" s="12"/>
      <c r="Y678" s="12"/>
      <c r="Z678" s="12"/>
      <c r="AA678" s="12"/>
      <c r="AB678" s="12"/>
      <c r="AC678" s="12"/>
      <c r="AD678" s="12"/>
      <c r="AE678" s="12"/>
      <c r="AF678" s="12"/>
      <c r="AG678" s="13"/>
      <c r="AH678" s="13"/>
      <c r="AI678" s="13"/>
      <c r="AJ678" s="13"/>
      <c r="AK678" s="13"/>
      <c r="AL678" s="13"/>
      <c r="AM678" s="13"/>
    </row>
    <row r="679" spans="1:39">
      <c r="A679" s="8"/>
      <c r="B679" s="8"/>
      <c r="C679" s="8"/>
      <c r="D679" s="8"/>
      <c r="E679" s="8"/>
      <c r="F679" s="8"/>
      <c r="G679" s="8"/>
      <c r="H679" s="8"/>
      <c r="I679" s="8"/>
      <c r="J679" s="8"/>
      <c r="K679" s="8"/>
      <c r="L679" s="8"/>
      <c r="M679" s="8"/>
      <c r="N679" s="8"/>
      <c r="O679" s="8"/>
      <c r="P679" s="8"/>
      <c r="Q679" s="8"/>
      <c r="R679" s="8"/>
      <c r="S679" s="8"/>
      <c r="T679" s="8"/>
      <c r="U679" s="12"/>
      <c r="V679" s="12"/>
      <c r="W679" s="12"/>
      <c r="X679" s="12"/>
      <c r="Y679" s="12"/>
      <c r="Z679" s="12"/>
      <c r="AA679" s="12"/>
      <c r="AB679" s="12"/>
      <c r="AC679" s="12"/>
      <c r="AD679" s="12"/>
      <c r="AE679" s="12"/>
      <c r="AF679" s="12"/>
      <c r="AG679" s="13"/>
      <c r="AH679" s="13"/>
      <c r="AI679" s="13"/>
      <c r="AJ679" s="13"/>
      <c r="AK679" s="13"/>
      <c r="AL679" s="13"/>
      <c r="AM679" s="13"/>
    </row>
    <row r="680" spans="1:39">
      <c r="A680" s="8"/>
      <c r="B680" s="8"/>
      <c r="C680" s="8"/>
      <c r="D680" s="8"/>
      <c r="E680" s="8"/>
      <c r="F680" s="8"/>
      <c r="G680" s="8"/>
      <c r="H680" s="8"/>
      <c r="I680" s="8"/>
      <c r="J680" s="8"/>
      <c r="K680" s="8"/>
      <c r="L680" s="8"/>
      <c r="M680" s="8"/>
      <c r="N680" s="8"/>
      <c r="O680" s="8"/>
      <c r="P680" s="8"/>
      <c r="Q680" s="8"/>
      <c r="R680" s="8"/>
      <c r="S680" s="8"/>
      <c r="T680" s="8"/>
      <c r="U680" s="12"/>
      <c r="V680" s="12"/>
      <c r="W680" s="12"/>
      <c r="X680" s="12"/>
      <c r="Y680" s="12"/>
      <c r="Z680" s="12"/>
      <c r="AA680" s="12"/>
      <c r="AB680" s="12"/>
      <c r="AC680" s="12"/>
      <c r="AD680" s="12"/>
      <c r="AE680" s="12"/>
      <c r="AF680" s="12"/>
      <c r="AG680" s="13"/>
      <c r="AH680" s="13"/>
      <c r="AI680" s="13"/>
      <c r="AJ680" s="13"/>
      <c r="AK680" s="13"/>
      <c r="AL680" s="13"/>
      <c r="AM680" s="13"/>
    </row>
    <row r="681" spans="1:39">
      <c r="A681" s="8"/>
      <c r="B681" s="8"/>
      <c r="C681" s="8"/>
      <c r="D681" s="8"/>
      <c r="E681" s="8"/>
      <c r="F681" s="8"/>
      <c r="G681" s="8"/>
      <c r="H681" s="8"/>
      <c r="I681" s="8"/>
      <c r="J681" s="8"/>
      <c r="K681" s="8"/>
      <c r="L681" s="8"/>
      <c r="M681" s="8"/>
      <c r="N681" s="8"/>
      <c r="O681" s="8"/>
      <c r="P681" s="8"/>
      <c r="Q681" s="8"/>
      <c r="R681" s="8"/>
      <c r="S681" s="8"/>
      <c r="T681" s="8"/>
      <c r="U681" s="12"/>
      <c r="V681" s="12"/>
      <c r="W681" s="12"/>
      <c r="X681" s="12"/>
      <c r="Y681" s="12"/>
      <c r="Z681" s="12"/>
      <c r="AA681" s="12"/>
      <c r="AB681" s="12"/>
      <c r="AC681" s="12"/>
      <c r="AD681" s="12"/>
      <c r="AE681" s="12"/>
      <c r="AF681" s="12"/>
      <c r="AG681" s="13"/>
      <c r="AH681" s="13"/>
      <c r="AI681" s="13"/>
      <c r="AJ681" s="13"/>
      <c r="AK681" s="13"/>
      <c r="AL681" s="13"/>
      <c r="AM681" s="13"/>
    </row>
    <row r="682" spans="1:39">
      <c r="A682" s="8"/>
      <c r="B682" s="8"/>
      <c r="C682" s="8"/>
      <c r="D682" s="8"/>
      <c r="E682" s="8"/>
      <c r="F682" s="8"/>
      <c r="G682" s="8"/>
      <c r="H682" s="8"/>
      <c r="I682" s="8"/>
      <c r="J682" s="8"/>
      <c r="K682" s="8"/>
      <c r="L682" s="8"/>
      <c r="M682" s="8"/>
      <c r="N682" s="8"/>
      <c r="O682" s="8"/>
      <c r="P682" s="8"/>
      <c r="Q682" s="8"/>
      <c r="R682" s="8"/>
      <c r="S682" s="8"/>
      <c r="T682" s="8"/>
      <c r="U682" s="12"/>
      <c r="V682" s="12"/>
      <c r="W682" s="12"/>
      <c r="X682" s="12"/>
      <c r="Y682" s="12"/>
      <c r="Z682" s="12"/>
      <c r="AA682" s="12"/>
      <c r="AB682" s="12"/>
      <c r="AC682" s="12"/>
      <c r="AD682" s="12"/>
      <c r="AE682" s="12"/>
      <c r="AF682" s="12"/>
      <c r="AG682" s="13"/>
      <c r="AH682" s="13"/>
      <c r="AI682" s="13"/>
      <c r="AJ682" s="13"/>
      <c r="AK682" s="13"/>
      <c r="AL682" s="13"/>
      <c r="AM682" s="13"/>
    </row>
    <row r="683" spans="1:39">
      <c r="A683" s="8"/>
      <c r="B683" s="8"/>
      <c r="C683" s="8"/>
      <c r="D683" s="8"/>
      <c r="E683" s="8"/>
      <c r="F683" s="8"/>
      <c r="G683" s="8"/>
      <c r="H683" s="8"/>
      <c r="I683" s="8"/>
      <c r="J683" s="8"/>
      <c r="K683" s="8"/>
      <c r="L683" s="8"/>
      <c r="M683" s="8"/>
      <c r="N683" s="8"/>
      <c r="O683" s="8"/>
      <c r="P683" s="8"/>
      <c r="Q683" s="8"/>
      <c r="R683" s="8"/>
      <c r="S683" s="8"/>
      <c r="T683" s="8"/>
      <c r="U683" s="12"/>
      <c r="V683" s="12"/>
      <c r="W683" s="12"/>
      <c r="X683" s="12"/>
      <c r="Y683" s="12"/>
      <c r="Z683" s="12"/>
      <c r="AA683" s="12"/>
      <c r="AB683" s="12"/>
      <c r="AC683" s="12"/>
      <c r="AD683" s="12"/>
      <c r="AE683" s="12"/>
      <c r="AF683" s="12"/>
      <c r="AG683" s="13"/>
      <c r="AH683" s="13"/>
      <c r="AI683" s="13"/>
      <c r="AJ683" s="13"/>
      <c r="AK683" s="13"/>
      <c r="AL683" s="13"/>
      <c r="AM683" s="13"/>
    </row>
    <row r="684" spans="1:39">
      <c r="A684" s="8"/>
      <c r="B684" s="8"/>
      <c r="C684" s="8"/>
      <c r="D684" s="8"/>
      <c r="E684" s="8"/>
      <c r="F684" s="8"/>
      <c r="G684" s="8"/>
      <c r="H684" s="8"/>
      <c r="I684" s="8"/>
      <c r="J684" s="8"/>
      <c r="K684" s="8"/>
      <c r="L684" s="8"/>
      <c r="M684" s="8"/>
      <c r="N684" s="8"/>
      <c r="O684" s="8"/>
      <c r="P684" s="8"/>
      <c r="Q684" s="8"/>
      <c r="R684" s="8"/>
      <c r="S684" s="8"/>
      <c r="T684" s="8"/>
      <c r="U684" s="12"/>
      <c r="V684" s="12"/>
      <c r="W684" s="12"/>
      <c r="X684" s="12"/>
      <c r="Y684" s="12"/>
      <c r="Z684" s="12"/>
      <c r="AA684" s="12"/>
      <c r="AB684" s="12"/>
      <c r="AC684" s="12"/>
      <c r="AD684" s="12"/>
      <c r="AE684" s="12"/>
      <c r="AF684" s="12"/>
      <c r="AG684" s="13"/>
      <c r="AH684" s="13"/>
      <c r="AI684" s="13"/>
      <c r="AJ684" s="13"/>
      <c r="AK684" s="13"/>
      <c r="AL684" s="13"/>
      <c r="AM684" s="13"/>
    </row>
    <row r="685" spans="1:39">
      <c r="A685" s="8"/>
      <c r="B685" s="8"/>
      <c r="C685" s="8"/>
      <c r="D685" s="8"/>
      <c r="E685" s="8"/>
      <c r="F685" s="8"/>
      <c r="G685" s="8"/>
      <c r="H685" s="8"/>
      <c r="I685" s="8"/>
      <c r="J685" s="8"/>
      <c r="K685" s="8"/>
      <c r="L685" s="8"/>
      <c r="M685" s="8"/>
      <c r="N685" s="8"/>
      <c r="O685" s="8"/>
      <c r="P685" s="8"/>
      <c r="Q685" s="8"/>
      <c r="R685" s="8"/>
      <c r="S685" s="8"/>
      <c r="T685" s="8"/>
      <c r="U685" s="12"/>
      <c r="V685" s="12"/>
      <c r="W685" s="12"/>
      <c r="X685" s="12"/>
      <c r="Y685" s="12"/>
      <c r="Z685" s="12"/>
      <c r="AA685" s="12"/>
      <c r="AB685" s="12"/>
      <c r="AC685" s="12"/>
      <c r="AD685" s="12"/>
      <c r="AE685" s="12"/>
      <c r="AF685" s="12"/>
      <c r="AG685" s="13"/>
      <c r="AH685" s="13"/>
      <c r="AI685" s="13"/>
      <c r="AJ685" s="13"/>
      <c r="AK685" s="13"/>
      <c r="AL685" s="13"/>
      <c r="AM685" s="13"/>
    </row>
    <row r="686" spans="1:39">
      <c r="A686" s="8"/>
      <c r="B686" s="8"/>
      <c r="C686" s="8"/>
      <c r="D686" s="8"/>
      <c r="E686" s="8"/>
      <c r="F686" s="8"/>
      <c r="G686" s="8"/>
      <c r="H686" s="8"/>
      <c r="I686" s="8"/>
      <c r="J686" s="8"/>
      <c r="K686" s="8"/>
      <c r="L686" s="8"/>
      <c r="M686" s="8"/>
      <c r="N686" s="8"/>
      <c r="O686" s="8"/>
      <c r="P686" s="8"/>
      <c r="Q686" s="8"/>
      <c r="R686" s="8"/>
      <c r="S686" s="8"/>
      <c r="T686" s="8"/>
      <c r="U686" s="12"/>
      <c r="V686" s="12"/>
      <c r="W686" s="12"/>
      <c r="X686" s="12"/>
      <c r="Y686" s="12"/>
      <c r="Z686" s="12"/>
      <c r="AA686" s="12"/>
      <c r="AB686" s="12"/>
      <c r="AC686" s="12"/>
      <c r="AD686" s="12"/>
      <c r="AE686" s="12"/>
      <c r="AF686" s="12"/>
      <c r="AG686" s="13"/>
      <c r="AH686" s="13"/>
      <c r="AI686" s="13"/>
      <c r="AJ686" s="13"/>
      <c r="AK686" s="13"/>
      <c r="AL686" s="13"/>
      <c r="AM686" s="13"/>
    </row>
    <row r="687" spans="1:39">
      <c r="A687" s="8"/>
      <c r="B687" s="8"/>
      <c r="C687" s="8"/>
      <c r="D687" s="8"/>
      <c r="E687" s="8"/>
      <c r="F687" s="8"/>
      <c r="G687" s="8"/>
      <c r="H687" s="8"/>
      <c r="I687" s="8"/>
      <c r="J687" s="8"/>
      <c r="K687" s="8"/>
      <c r="L687" s="8"/>
      <c r="M687" s="8"/>
      <c r="N687" s="8"/>
      <c r="O687" s="8"/>
      <c r="P687" s="8"/>
      <c r="Q687" s="8"/>
      <c r="R687" s="8"/>
      <c r="S687" s="8"/>
      <c r="T687" s="8"/>
      <c r="U687" s="12"/>
      <c r="V687" s="12"/>
      <c r="W687" s="12"/>
      <c r="X687" s="12"/>
      <c r="Y687" s="12"/>
      <c r="Z687" s="12"/>
      <c r="AA687" s="12"/>
      <c r="AB687" s="12"/>
      <c r="AC687" s="12"/>
      <c r="AD687" s="12"/>
      <c r="AE687" s="12"/>
      <c r="AF687" s="12"/>
      <c r="AG687" s="13"/>
      <c r="AH687" s="13"/>
      <c r="AI687" s="13"/>
      <c r="AJ687" s="13"/>
      <c r="AK687" s="13"/>
      <c r="AL687" s="13"/>
      <c r="AM687" s="13"/>
    </row>
    <row r="688" spans="1:39">
      <c r="A688" s="8"/>
      <c r="B688" s="8"/>
      <c r="C688" s="8"/>
      <c r="D688" s="8"/>
      <c r="E688" s="8"/>
      <c r="F688" s="8"/>
      <c r="G688" s="8"/>
      <c r="H688" s="8"/>
      <c r="I688" s="8"/>
      <c r="J688" s="8"/>
      <c r="K688" s="8"/>
      <c r="L688" s="8"/>
      <c r="M688" s="8"/>
      <c r="N688" s="8"/>
      <c r="O688" s="8"/>
      <c r="P688" s="8"/>
      <c r="Q688" s="8"/>
      <c r="R688" s="8"/>
      <c r="S688" s="8"/>
      <c r="T688" s="8"/>
      <c r="U688" s="12"/>
      <c r="V688" s="12"/>
      <c r="W688" s="12"/>
      <c r="X688" s="12"/>
      <c r="Y688" s="12"/>
      <c r="Z688" s="12"/>
      <c r="AA688" s="12"/>
      <c r="AB688" s="12"/>
      <c r="AC688" s="12"/>
      <c r="AD688" s="12"/>
      <c r="AE688" s="12"/>
      <c r="AF688" s="12"/>
      <c r="AG688" s="13"/>
      <c r="AH688" s="13"/>
      <c r="AI688" s="13"/>
      <c r="AJ688" s="13"/>
      <c r="AK688" s="13"/>
      <c r="AL688" s="13"/>
      <c r="AM688" s="13"/>
    </row>
    <row r="689" spans="1:39">
      <c r="A689" s="8"/>
      <c r="B689" s="8"/>
      <c r="C689" s="8"/>
      <c r="D689" s="8"/>
      <c r="E689" s="8"/>
      <c r="F689" s="8"/>
      <c r="G689" s="8"/>
      <c r="H689" s="8"/>
      <c r="I689" s="8"/>
      <c r="J689" s="8"/>
      <c r="K689" s="8"/>
      <c r="L689" s="8"/>
      <c r="M689" s="8"/>
      <c r="N689" s="8"/>
      <c r="O689" s="8"/>
      <c r="P689" s="8"/>
      <c r="Q689" s="8"/>
      <c r="R689" s="8"/>
      <c r="S689" s="8"/>
      <c r="T689" s="8"/>
      <c r="U689" s="12"/>
      <c r="V689" s="12"/>
      <c r="W689" s="12"/>
      <c r="X689" s="12"/>
      <c r="Y689" s="12"/>
      <c r="Z689" s="12"/>
      <c r="AA689" s="12"/>
      <c r="AB689" s="12"/>
      <c r="AC689" s="12"/>
      <c r="AD689" s="12"/>
      <c r="AE689" s="12"/>
      <c r="AF689" s="12"/>
      <c r="AG689" s="13"/>
      <c r="AH689" s="13"/>
      <c r="AI689" s="13"/>
      <c r="AJ689" s="13"/>
      <c r="AK689" s="13"/>
      <c r="AL689" s="13"/>
      <c r="AM689" s="13"/>
    </row>
    <row r="690" spans="1:39">
      <c r="A690" s="8"/>
      <c r="B690" s="8"/>
      <c r="C690" s="8"/>
      <c r="D690" s="8"/>
      <c r="E690" s="8"/>
      <c r="F690" s="8"/>
      <c r="G690" s="8"/>
      <c r="H690" s="8"/>
      <c r="I690" s="8"/>
      <c r="J690" s="8"/>
      <c r="K690" s="8"/>
      <c r="L690" s="8"/>
      <c r="M690" s="8"/>
      <c r="N690" s="8"/>
      <c r="O690" s="8"/>
      <c r="P690" s="8"/>
      <c r="Q690" s="8"/>
      <c r="R690" s="8"/>
      <c r="S690" s="8"/>
      <c r="T690" s="8"/>
      <c r="U690" s="12"/>
      <c r="V690" s="12"/>
      <c r="W690" s="12"/>
      <c r="X690" s="12"/>
      <c r="Y690" s="12"/>
      <c r="Z690" s="12"/>
      <c r="AA690" s="12"/>
      <c r="AB690" s="12"/>
      <c r="AC690" s="12"/>
      <c r="AD690" s="12"/>
      <c r="AE690" s="12"/>
      <c r="AF690" s="12"/>
      <c r="AG690" s="13"/>
      <c r="AH690" s="13"/>
      <c r="AI690" s="13"/>
      <c r="AJ690" s="13"/>
      <c r="AK690" s="13"/>
      <c r="AL690" s="13"/>
      <c r="AM690" s="13"/>
    </row>
    <row r="691" spans="1:39">
      <c r="A691" s="8"/>
      <c r="B691" s="8"/>
      <c r="C691" s="8"/>
      <c r="D691" s="8"/>
      <c r="E691" s="8"/>
      <c r="F691" s="8"/>
      <c r="G691" s="8"/>
      <c r="H691" s="8"/>
      <c r="I691" s="8"/>
      <c r="J691" s="8"/>
      <c r="K691" s="8"/>
      <c r="L691" s="8"/>
      <c r="M691" s="8"/>
      <c r="N691" s="8"/>
      <c r="O691" s="8"/>
      <c r="P691" s="8"/>
      <c r="Q691" s="8"/>
      <c r="R691" s="8"/>
      <c r="S691" s="8"/>
      <c r="T691" s="8"/>
      <c r="U691" s="12"/>
      <c r="V691" s="12"/>
      <c r="W691" s="12"/>
      <c r="X691" s="12"/>
      <c r="Y691" s="12"/>
      <c r="Z691" s="12"/>
      <c r="AA691" s="12"/>
      <c r="AB691" s="12"/>
      <c r="AC691" s="12"/>
      <c r="AD691" s="12"/>
      <c r="AE691" s="12"/>
      <c r="AF691" s="12"/>
      <c r="AG691" s="13"/>
      <c r="AH691" s="13"/>
      <c r="AI691" s="13"/>
      <c r="AJ691" s="13"/>
      <c r="AK691" s="13"/>
      <c r="AL691" s="13"/>
      <c r="AM691" s="13"/>
    </row>
    <row r="692" spans="1:39">
      <c r="A692" s="8"/>
      <c r="B692" s="8"/>
      <c r="C692" s="8"/>
      <c r="D692" s="8"/>
      <c r="E692" s="8"/>
      <c r="F692" s="8"/>
      <c r="G692" s="8"/>
      <c r="H692" s="8"/>
      <c r="I692" s="8"/>
      <c r="J692" s="8"/>
      <c r="K692" s="8"/>
      <c r="L692" s="8"/>
      <c r="M692" s="8"/>
      <c r="N692" s="8"/>
      <c r="O692" s="8"/>
      <c r="P692" s="8"/>
      <c r="Q692" s="8"/>
      <c r="R692" s="8"/>
      <c r="S692" s="8"/>
      <c r="T692" s="8"/>
      <c r="U692" s="12"/>
      <c r="V692" s="12"/>
      <c r="W692" s="12"/>
      <c r="X692" s="12"/>
      <c r="Y692" s="12"/>
      <c r="Z692" s="12"/>
      <c r="AA692" s="12"/>
      <c r="AB692" s="12"/>
      <c r="AC692" s="12"/>
      <c r="AD692" s="12"/>
      <c r="AE692" s="12"/>
      <c r="AF692" s="12"/>
      <c r="AG692" s="13"/>
      <c r="AH692" s="13"/>
      <c r="AI692" s="13"/>
      <c r="AJ692" s="13"/>
      <c r="AK692" s="13"/>
      <c r="AL692" s="13"/>
      <c r="AM692" s="13"/>
    </row>
    <row r="693" spans="1:39">
      <c r="A693" s="8"/>
      <c r="B693" s="8"/>
      <c r="C693" s="8"/>
      <c r="D693" s="8"/>
      <c r="E693" s="8"/>
      <c r="F693" s="8"/>
      <c r="G693" s="8"/>
      <c r="H693" s="8"/>
      <c r="I693" s="8"/>
      <c r="J693" s="8"/>
      <c r="K693" s="8"/>
      <c r="L693" s="8"/>
      <c r="M693" s="8"/>
      <c r="N693" s="8"/>
      <c r="O693" s="8"/>
      <c r="P693" s="8"/>
      <c r="Q693" s="8"/>
      <c r="R693" s="8"/>
      <c r="S693" s="8"/>
      <c r="T693" s="8"/>
      <c r="U693" s="12"/>
      <c r="V693" s="12"/>
      <c r="W693" s="12"/>
      <c r="X693" s="12"/>
      <c r="Y693" s="12"/>
      <c r="Z693" s="12"/>
      <c r="AA693" s="12"/>
      <c r="AB693" s="12"/>
      <c r="AC693" s="12"/>
      <c r="AD693" s="12"/>
      <c r="AE693" s="12"/>
      <c r="AF693" s="12"/>
      <c r="AG693" s="13"/>
      <c r="AH693" s="13"/>
      <c r="AI693" s="13"/>
      <c r="AJ693" s="13"/>
      <c r="AK693" s="13"/>
      <c r="AL693" s="13"/>
      <c r="AM693" s="13"/>
    </row>
    <row r="694" spans="1:39">
      <c r="A694" s="8"/>
      <c r="B694" s="8"/>
      <c r="C694" s="8"/>
      <c r="D694" s="8"/>
      <c r="E694" s="8"/>
      <c r="F694" s="8"/>
      <c r="G694" s="8"/>
      <c r="H694" s="8"/>
      <c r="I694" s="8"/>
      <c r="J694" s="8"/>
      <c r="K694" s="8"/>
      <c r="L694" s="8"/>
      <c r="M694" s="8"/>
      <c r="N694" s="8"/>
      <c r="O694" s="8"/>
      <c r="P694" s="8"/>
      <c r="Q694" s="8"/>
      <c r="R694" s="8"/>
      <c r="S694" s="8"/>
      <c r="T694" s="8"/>
      <c r="U694" s="12"/>
      <c r="V694" s="12"/>
      <c r="W694" s="12"/>
      <c r="X694" s="12"/>
      <c r="Y694" s="12"/>
      <c r="Z694" s="12"/>
      <c r="AA694" s="12"/>
      <c r="AB694" s="12"/>
      <c r="AC694" s="12"/>
      <c r="AD694" s="12"/>
      <c r="AE694" s="12"/>
      <c r="AF694" s="12"/>
      <c r="AG694" s="13"/>
      <c r="AH694" s="13"/>
      <c r="AI694" s="13"/>
      <c r="AJ694" s="13"/>
      <c r="AK694" s="13"/>
      <c r="AL694" s="13"/>
      <c r="AM694" s="13"/>
    </row>
    <row r="695" spans="1:39">
      <c r="A695" s="8"/>
      <c r="B695" s="8"/>
      <c r="C695" s="8"/>
      <c r="D695" s="8"/>
      <c r="E695" s="8"/>
      <c r="F695" s="8"/>
      <c r="G695" s="8"/>
      <c r="H695" s="8"/>
      <c r="I695" s="8"/>
      <c r="J695" s="8"/>
      <c r="K695" s="8"/>
      <c r="L695" s="8"/>
      <c r="M695" s="8"/>
      <c r="N695" s="8"/>
      <c r="O695" s="8"/>
      <c r="P695" s="8"/>
      <c r="Q695" s="8"/>
      <c r="R695" s="8"/>
      <c r="S695" s="8"/>
      <c r="T695" s="8"/>
      <c r="U695" s="12"/>
      <c r="V695" s="12"/>
      <c r="W695" s="12"/>
      <c r="X695" s="12"/>
      <c r="Y695" s="12"/>
      <c r="Z695" s="12"/>
      <c r="AA695" s="12"/>
      <c r="AB695" s="12"/>
      <c r="AC695" s="12"/>
      <c r="AD695" s="12"/>
      <c r="AE695" s="12"/>
      <c r="AF695" s="12"/>
      <c r="AG695" s="13"/>
      <c r="AH695" s="13"/>
      <c r="AI695" s="13"/>
      <c r="AJ695" s="13"/>
      <c r="AK695" s="13"/>
      <c r="AL695" s="13"/>
      <c r="AM695" s="13"/>
    </row>
    <row r="696" spans="1:39">
      <c r="A696" s="8"/>
      <c r="B696" s="8"/>
      <c r="C696" s="8"/>
      <c r="D696" s="8"/>
      <c r="E696" s="8"/>
      <c r="F696" s="8"/>
      <c r="G696" s="8"/>
      <c r="H696" s="8"/>
      <c r="I696" s="8"/>
      <c r="J696" s="8"/>
      <c r="K696" s="8"/>
      <c r="L696" s="8"/>
      <c r="M696" s="8"/>
      <c r="N696" s="8"/>
      <c r="O696" s="8"/>
      <c r="P696" s="8"/>
      <c r="Q696" s="8"/>
      <c r="R696" s="8"/>
      <c r="S696" s="8"/>
      <c r="T696" s="8"/>
      <c r="U696" s="12"/>
      <c r="V696" s="12"/>
      <c r="W696" s="12"/>
      <c r="X696" s="12"/>
      <c r="Y696" s="12"/>
      <c r="Z696" s="12"/>
      <c r="AA696" s="12"/>
      <c r="AB696" s="12"/>
      <c r="AC696" s="12"/>
      <c r="AD696" s="12"/>
      <c r="AE696" s="12"/>
      <c r="AF696" s="12"/>
      <c r="AG696" s="13"/>
      <c r="AH696" s="13"/>
      <c r="AI696" s="13"/>
      <c r="AJ696" s="13"/>
      <c r="AK696" s="13"/>
      <c r="AL696" s="13"/>
      <c r="AM696" s="13"/>
    </row>
    <row r="697" spans="1:39">
      <c r="A697" s="8"/>
      <c r="B697" s="8"/>
      <c r="C697" s="8"/>
      <c r="D697" s="8"/>
      <c r="E697" s="8"/>
      <c r="F697" s="8"/>
      <c r="G697" s="8"/>
      <c r="H697" s="8"/>
      <c r="I697" s="8"/>
      <c r="J697" s="8"/>
      <c r="K697" s="8"/>
      <c r="L697" s="8"/>
      <c r="M697" s="8"/>
      <c r="N697" s="8"/>
      <c r="O697" s="8"/>
      <c r="P697" s="8"/>
      <c r="Q697" s="8"/>
      <c r="R697" s="8"/>
      <c r="S697" s="8"/>
      <c r="T697" s="8"/>
      <c r="U697" s="12"/>
      <c r="V697" s="12"/>
      <c r="W697" s="12"/>
      <c r="X697" s="12"/>
      <c r="Y697" s="12"/>
      <c r="Z697" s="12"/>
      <c r="AA697" s="12"/>
      <c r="AB697" s="12"/>
      <c r="AC697" s="12"/>
      <c r="AD697" s="12"/>
      <c r="AE697" s="12"/>
      <c r="AF697" s="12"/>
      <c r="AG697" s="13"/>
      <c r="AH697" s="13"/>
      <c r="AI697" s="13"/>
      <c r="AJ697" s="13"/>
      <c r="AK697" s="13"/>
      <c r="AL697" s="13"/>
      <c r="AM697" s="13"/>
    </row>
    <row r="698" spans="1:39">
      <c r="A698" s="8"/>
      <c r="B698" s="8"/>
      <c r="C698" s="8"/>
      <c r="D698" s="8"/>
      <c r="E698" s="8"/>
      <c r="F698" s="8"/>
      <c r="G698" s="8"/>
      <c r="H698" s="8"/>
      <c r="I698" s="8"/>
      <c r="J698" s="8"/>
      <c r="K698" s="8"/>
      <c r="L698" s="8"/>
      <c r="M698" s="8"/>
      <c r="N698" s="8"/>
      <c r="O698" s="8"/>
      <c r="P698" s="8"/>
      <c r="Q698" s="8"/>
      <c r="R698" s="8"/>
      <c r="S698" s="8"/>
      <c r="T698" s="8"/>
      <c r="U698" s="12"/>
      <c r="V698" s="12"/>
      <c r="W698" s="12"/>
      <c r="X698" s="12"/>
      <c r="Y698" s="12"/>
      <c r="Z698" s="12"/>
      <c r="AA698" s="12"/>
      <c r="AB698" s="12"/>
      <c r="AC698" s="12"/>
      <c r="AD698" s="12"/>
      <c r="AE698" s="12"/>
      <c r="AF698" s="12"/>
      <c r="AG698" s="13"/>
      <c r="AH698" s="13"/>
      <c r="AI698" s="13"/>
      <c r="AJ698" s="13"/>
      <c r="AK698" s="13"/>
      <c r="AL698" s="13"/>
      <c r="AM698" s="13"/>
    </row>
    <row r="699" spans="1:39">
      <c r="A699" s="8"/>
      <c r="B699" s="8"/>
      <c r="C699" s="8"/>
      <c r="D699" s="8"/>
      <c r="E699" s="8"/>
      <c r="F699" s="8"/>
      <c r="G699" s="8"/>
      <c r="H699" s="8"/>
      <c r="I699" s="8"/>
      <c r="J699" s="8"/>
      <c r="K699" s="8"/>
      <c r="L699" s="8"/>
      <c r="M699" s="8"/>
      <c r="N699" s="8"/>
      <c r="O699" s="8"/>
      <c r="P699" s="8"/>
      <c r="Q699" s="8"/>
      <c r="R699" s="8"/>
      <c r="S699" s="8"/>
      <c r="T699" s="8"/>
      <c r="U699" s="12"/>
      <c r="V699" s="12"/>
      <c r="W699" s="12"/>
      <c r="X699" s="12"/>
      <c r="Y699" s="12"/>
      <c r="Z699" s="12"/>
      <c r="AA699" s="12"/>
      <c r="AB699" s="12"/>
      <c r="AC699" s="12"/>
      <c r="AD699" s="12"/>
      <c r="AE699" s="12"/>
      <c r="AF699" s="12"/>
      <c r="AG699" s="13"/>
      <c r="AH699" s="13"/>
      <c r="AI699" s="13"/>
      <c r="AJ699" s="13"/>
      <c r="AK699" s="13"/>
      <c r="AL699" s="13"/>
      <c r="AM699" s="13"/>
    </row>
    <row r="700" spans="1:39">
      <c r="A700" s="8"/>
      <c r="B700" s="8"/>
      <c r="C700" s="8"/>
      <c r="D700" s="8"/>
      <c r="E700" s="8"/>
      <c r="F700" s="8"/>
      <c r="G700" s="8"/>
      <c r="H700" s="8"/>
      <c r="I700" s="8"/>
      <c r="J700" s="8"/>
      <c r="K700" s="8"/>
      <c r="L700" s="8"/>
      <c r="M700" s="8"/>
      <c r="N700" s="8"/>
      <c r="O700" s="8"/>
      <c r="P700" s="8"/>
      <c r="Q700" s="8"/>
      <c r="R700" s="8"/>
      <c r="S700" s="8"/>
      <c r="T700" s="8"/>
      <c r="U700" s="12"/>
      <c r="V700" s="12"/>
      <c r="W700" s="12"/>
      <c r="X700" s="12"/>
      <c r="Y700" s="12"/>
      <c r="Z700" s="12"/>
      <c r="AA700" s="12"/>
      <c r="AB700" s="12"/>
      <c r="AC700" s="12"/>
      <c r="AD700" s="12"/>
      <c r="AE700" s="12"/>
      <c r="AF700" s="12"/>
      <c r="AG700" s="13"/>
      <c r="AH700" s="13"/>
      <c r="AI700" s="13"/>
      <c r="AJ700" s="13"/>
      <c r="AK700" s="13"/>
      <c r="AL700" s="13"/>
      <c r="AM700" s="13"/>
    </row>
    <row r="701" spans="1:39">
      <c r="A701" s="8"/>
      <c r="B701" s="8"/>
      <c r="C701" s="8"/>
      <c r="D701" s="8"/>
      <c r="E701" s="8"/>
      <c r="F701" s="8"/>
      <c r="G701" s="8"/>
      <c r="H701" s="8"/>
      <c r="I701" s="8"/>
      <c r="J701" s="8"/>
      <c r="K701" s="8"/>
      <c r="L701" s="8"/>
      <c r="M701" s="8"/>
      <c r="N701" s="8"/>
      <c r="O701" s="8"/>
      <c r="P701" s="8"/>
      <c r="Q701" s="8"/>
      <c r="R701" s="8"/>
      <c r="S701" s="8"/>
      <c r="T701" s="8"/>
      <c r="U701" s="12"/>
      <c r="V701" s="12"/>
      <c r="W701" s="12"/>
      <c r="X701" s="12"/>
      <c r="Y701" s="12"/>
      <c r="Z701" s="12"/>
      <c r="AA701" s="12"/>
      <c r="AB701" s="12"/>
      <c r="AC701" s="12"/>
      <c r="AD701" s="12"/>
      <c r="AE701" s="12"/>
      <c r="AF701" s="12"/>
      <c r="AG701" s="13"/>
      <c r="AH701" s="13"/>
      <c r="AI701" s="13"/>
      <c r="AJ701" s="13"/>
      <c r="AK701" s="13"/>
      <c r="AL701" s="13"/>
      <c r="AM701" s="13"/>
    </row>
    <row r="702" spans="1:39">
      <c r="A702" s="8"/>
      <c r="B702" s="8"/>
      <c r="C702" s="8"/>
      <c r="D702" s="8"/>
      <c r="E702" s="8"/>
      <c r="F702" s="8"/>
      <c r="G702" s="8"/>
      <c r="H702" s="8"/>
      <c r="I702" s="8"/>
      <c r="J702" s="8"/>
      <c r="K702" s="8"/>
      <c r="L702" s="8"/>
      <c r="M702" s="8"/>
      <c r="N702" s="8"/>
      <c r="O702" s="8"/>
      <c r="P702" s="8"/>
      <c r="Q702" s="8"/>
      <c r="R702" s="8"/>
      <c r="S702" s="8"/>
      <c r="T702" s="8"/>
      <c r="U702" s="12"/>
      <c r="V702" s="12"/>
      <c r="W702" s="12"/>
      <c r="X702" s="12"/>
      <c r="Y702" s="12"/>
      <c r="Z702" s="12"/>
      <c r="AA702" s="12"/>
      <c r="AB702" s="12"/>
      <c r="AC702" s="12"/>
      <c r="AD702" s="12"/>
      <c r="AE702" s="12"/>
      <c r="AF702" s="12"/>
      <c r="AG702" s="13"/>
      <c r="AH702" s="13"/>
      <c r="AI702" s="13"/>
      <c r="AJ702" s="13"/>
      <c r="AK702" s="13"/>
      <c r="AL702" s="13"/>
      <c r="AM702" s="13"/>
    </row>
    <row r="703" spans="1:39">
      <c r="A703" s="8"/>
      <c r="B703" s="8"/>
      <c r="C703" s="8"/>
      <c r="D703" s="8"/>
      <c r="E703" s="8"/>
      <c r="F703" s="8"/>
      <c r="G703" s="8"/>
      <c r="H703" s="8"/>
      <c r="I703" s="8"/>
      <c r="J703" s="8"/>
      <c r="K703" s="8"/>
      <c r="L703" s="8"/>
      <c r="M703" s="8"/>
      <c r="N703" s="8"/>
      <c r="O703" s="8"/>
      <c r="P703" s="8"/>
      <c r="Q703" s="8"/>
      <c r="R703" s="8"/>
      <c r="S703" s="8"/>
      <c r="T703" s="8"/>
      <c r="U703" s="12"/>
      <c r="V703" s="12"/>
      <c r="W703" s="12"/>
      <c r="X703" s="12"/>
      <c r="Y703" s="12"/>
      <c r="Z703" s="12"/>
      <c r="AA703" s="12"/>
      <c r="AB703" s="12"/>
      <c r="AC703" s="12"/>
      <c r="AD703" s="12"/>
      <c r="AE703" s="12"/>
      <c r="AF703" s="12"/>
      <c r="AG703" s="13"/>
      <c r="AH703" s="13"/>
      <c r="AI703" s="13"/>
      <c r="AJ703" s="13"/>
      <c r="AK703" s="13"/>
      <c r="AL703" s="13"/>
      <c r="AM703" s="13"/>
    </row>
    <row r="704" spans="1:39">
      <c r="A704" s="8"/>
      <c r="B704" s="8"/>
      <c r="C704" s="8"/>
      <c r="D704" s="8"/>
      <c r="E704" s="8"/>
      <c r="F704" s="8"/>
      <c r="G704" s="8"/>
      <c r="H704" s="8"/>
      <c r="I704" s="8"/>
      <c r="J704" s="8"/>
      <c r="K704" s="8"/>
      <c r="L704" s="8"/>
      <c r="M704" s="8"/>
      <c r="N704" s="8"/>
      <c r="O704" s="8"/>
      <c r="P704" s="8"/>
      <c r="Q704" s="8"/>
      <c r="R704" s="8"/>
      <c r="S704" s="8"/>
      <c r="T704" s="8"/>
      <c r="U704" s="12"/>
      <c r="V704" s="12"/>
      <c r="W704" s="12"/>
      <c r="X704" s="12"/>
      <c r="Y704" s="12"/>
      <c r="Z704" s="12"/>
      <c r="AA704" s="12"/>
      <c r="AB704" s="12"/>
      <c r="AC704" s="12"/>
      <c r="AD704" s="12"/>
      <c r="AE704" s="12"/>
      <c r="AF704" s="12"/>
      <c r="AG704" s="13"/>
      <c r="AH704" s="13"/>
      <c r="AI704" s="13"/>
      <c r="AJ704" s="13"/>
      <c r="AK704" s="13"/>
      <c r="AL704" s="13"/>
      <c r="AM704" s="13"/>
    </row>
    <row r="705" spans="1:39">
      <c r="A705" s="8"/>
      <c r="B705" s="8"/>
      <c r="C705" s="8"/>
      <c r="D705" s="8"/>
      <c r="E705" s="8"/>
      <c r="F705" s="8"/>
      <c r="G705" s="8"/>
      <c r="H705" s="8"/>
      <c r="I705" s="8"/>
      <c r="J705" s="8"/>
      <c r="K705" s="8"/>
      <c r="L705" s="8"/>
      <c r="M705" s="8"/>
      <c r="N705" s="8"/>
      <c r="O705" s="8"/>
      <c r="P705" s="8"/>
      <c r="Q705" s="8"/>
      <c r="R705" s="8"/>
      <c r="S705" s="8"/>
      <c r="T705" s="8"/>
      <c r="U705" s="12"/>
      <c r="V705" s="12"/>
      <c r="W705" s="12"/>
      <c r="X705" s="12"/>
      <c r="Y705" s="12"/>
      <c r="Z705" s="12"/>
      <c r="AA705" s="12"/>
      <c r="AB705" s="12"/>
      <c r="AC705" s="12"/>
      <c r="AD705" s="12"/>
      <c r="AE705" s="12"/>
      <c r="AF705" s="12"/>
      <c r="AG705" s="13"/>
      <c r="AH705" s="13"/>
      <c r="AI705" s="13"/>
      <c r="AJ705" s="13"/>
      <c r="AK705" s="13"/>
      <c r="AL705" s="13"/>
      <c r="AM705" s="13"/>
    </row>
    <row r="706" spans="1:39">
      <c r="A706" s="8"/>
      <c r="B706" s="8"/>
      <c r="C706" s="8"/>
      <c r="D706" s="8"/>
      <c r="E706" s="8"/>
      <c r="F706" s="8"/>
      <c r="G706" s="8"/>
      <c r="H706" s="8"/>
      <c r="I706" s="8"/>
      <c r="J706" s="8"/>
      <c r="K706" s="8"/>
      <c r="L706" s="8"/>
      <c r="M706" s="8"/>
      <c r="N706" s="8"/>
      <c r="O706" s="8"/>
      <c r="P706" s="8"/>
      <c r="Q706" s="8"/>
      <c r="R706" s="8"/>
      <c r="S706" s="8"/>
      <c r="T706" s="8"/>
      <c r="U706" s="12"/>
      <c r="V706" s="12"/>
      <c r="W706" s="12"/>
      <c r="X706" s="12"/>
      <c r="Y706" s="12"/>
      <c r="Z706" s="12"/>
      <c r="AA706" s="12"/>
      <c r="AB706" s="12"/>
      <c r="AC706" s="12"/>
      <c r="AD706" s="12"/>
      <c r="AE706" s="12"/>
      <c r="AF706" s="12"/>
      <c r="AG706" s="13"/>
      <c r="AH706" s="13"/>
      <c r="AI706" s="13"/>
      <c r="AJ706" s="13"/>
      <c r="AK706" s="13"/>
      <c r="AL706" s="13"/>
      <c r="AM706" s="13"/>
    </row>
    <row r="707" spans="1:39">
      <c r="A707" s="8"/>
      <c r="B707" s="8"/>
      <c r="C707" s="8"/>
      <c r="D707" s="8"/>
      <c r="E707" s="8"/>
      <c r="F707" s="8"/>
      <c r="G707" s="8"/>
      <c r="H707" s="8"/>
      <c r="I707" s="8"/>
      <c r="J707" s="8"/>
      <c r="K707" s="8"/>
      <c r="L707" s="8"/>
      <c r="M707" s="8"/>
      <c r="N707" s="8"/>
      <c r="O707" s="8"/>
      <c r="P707" s="8"/>
      <c r="Q707" s="8"/>
      <c r="R707" s="8"/>
      <c r="S707" s="8"/>
      <c r="T707" s="8"/>
      <c r="U707" s="12"/>
      <c r="V707" s="12"/>
      <c r="W707" s="12"/>
      <c r="X707" s="12"/>
      <c r="Y707" s="12"/>
      <c r="Z707" s="12"/>
      <c r="AA707" s="12"/>
      <c r="AB707" s="12"/>
      <c r="AC707" s="12"/>
      <c r="AD707" s="12"/>
      <c r="AE707" s="12"/>
      <c r="AF707" s="12"/>
      <c r="AG707" s="13"/>
      <c r="AH707" s="13"/>
      <c r="AI707" s="13"/>
      <c r="AJ707" s="13"/>
      <c r="AK707" s="13"/>
      <c r="AL707" s="13"/>
      <c r="AM707" s="13"/>
    </row>
    <row r="708" spans="1:39">
      <c r="A708" s="8"/>
      <c r="B708" s="8"/>
      <c r="C708" s="8"/>
      <c r="D708" s="8"/>
      <c r="E708" s="8"/>
      <c r="F708" s="8"/>
      <c r="G708" s="8"/>
      <c r="H708" s="8"/>
      <c r="I708" s="8"/>
      <c r="J708" s="8"/>
      <c r="K708" s="8"/>
      <c r="L708" s="8"/>
      <c r="M708" s="8"/>
      <c r="N708" s="8"/>
      <c r="O708" s="8"/>
      <c r="P708" s="8"/>
      <c r="Q708" s="8"/>
      <c r="R708" s="8"/>
      <c r="S708" s="8"/>
      <c r="T708" s="8"/>
      <c r="U708" s="12"/>
      <c r="V708" s="12"/>
      <c r="W708" s="12"/>
      <c r="X708" s="12"/>
      <c r="Y708" s="12"/>
      <c r="Z708" s="12"/>
      <c r="AA708" s="12"/>
      <c r="AB708" s="12"/>
      <c r="AC708" s="12"/>
      <c r="AD708" s="12"/>
      <c r="AE708" s="12"/>
      <c r="AF708" s="12"/>
      <c r="AG708" s="13"/>
      <c r="AH708" s="13"/>
      <c r="AI708" s="13"/>
      <c r="AJ708" s="13"/>
      <c r="AK708" s="13"/>
      <c r="AL708" s="13"/>
      <c r="AM708" s="13"/>
    </row>
    <row r="709" spans="1:39">
      <c r="A709" s="8"/>
      <c r="B709" s="8"/>
      <c r="C709" s="8"/>
      <c r="D709" s="8"/>
      <c r="E709" s="8"/>
      <c r="F709" s="8"/>
      <c r="G709" s="8"/>
      <c r="H709" s="8"/>
      <c r="I709" s="8"/>
      <c r="J709" s="8"/>
      <c r="K709" s="8"/>
      <c r="L709" s="8"/>
      <c r="M709" s="8"/>
      <c r="N709" s="8"/>
      <c r="O709" s="8"/>
      <c r="P709" s="8"/>
      <c r="Q709" s="8"/>
      <c r="R709" s="8"/>
      <c r="S709" s="8"/>
      <c r="T709" s="8"/>
      <c r="U709" s="12"/>
      <c r="V709" s="12"/>
      <c r="W709" s="12"/>
      <c r="X709" s="12"/>
      <c r="Y709" s="12"/>
      <c r="Z709" s="12"/>
      <c r="AA709" s="12"/>
      <c r="AB709" s="12"/>
      <c r="AC709" s="12"/>
      <c r="AD709" s="12"/>
      <c r="AE709" s="12"/>
      <c r="AF709" s="12"/>
      <c r="AG709" s="13"/>
      <c r="AH709" s="13"/>
      <c r="AI709" s="13"/>
      <c r="AJ709" s="13"/>
      <c r="AK709" s="13"/>
      <c r="AL709" s="13"/>
      <c r="AM709" s="13"/>
    </row>
    <row r="710" spans="1:39">
      <c r="A710" s="8"/>
      <c r="B710" s="8"/>
      <c r="C710" s="8"/>
      <c r="D710" s="8"/>
      <c r="E710" s="8"/>
      <c r="F710" s="8"/>
      <c r="G710" s="8"/>
      <c r="H710" s="8"/>
      <c r="I710" s="8"/>
      <c r="J710" s="8"/>
      <c r="K710" s="8"/>
      <c r="L710" s="8"/>
      <c r="M710" s="8"/>
      <c r="N710" s="8"/>
      <c r="O710" s="8"/>
      <c r="P710" s="8"/>
      <c r="Q710" s="8"/>
      <c r="R710" s="8"/>
      <c r="S710" s="8"/>
      <c r="T710" s="8"/>
      <c r="U710" s="12"/>
      <c r="V710" s="12"/>
      <c r="W710" s="12"/>
      <c r="X710" s="12"/>
      <c r="Y710" s="12"/>
      <c r="Z710" s="12"/>
      <c r="AA710" s="12"/>
      <c r="AB710" s="12"/>
      <c r="AC710" s="12"/>
      <c r="AD710" s="12"/>
      <c r="AE710" s="12"/>
      <c r="AF710" s="12"/>
      <c r="AG710" s="13"/>
      <c r="AH710" s="13"/>
      <c r="AI710" s="13"/>
      <c r="AJ710" s="13"/>
      <c r="AK710" s="13"/>
      <c r="AL710" s="13"/>
      <c r="AM710" s="13"/>
    </row>
    <row r="711" spans="1:39">
      <c r="A711" s="8"/>
      <c r="B711" s="8"/>
      <c r="C711" s="8"/>
      <c r="D711" s="8"/>
      <c r="E711" s="8"/>
      <c r="F711" s="8"/>
      <c r="G711" s="8"/>
      <c r="H711" s="8"/>
      <c r="I711" s="8"/>
      <c r="J711" s="8"/>
      <c r="K711" s="8"/>
      <c r="L711" s="8"/>
      <c r="M711" s="8"/>
      <c r="N711" s="8"/>
      <c r="O711" s="8"/>
      <c r="P711" s="8"/>
      <c r="Q711" s="8"/>
      <c r="R711" s="8"/>
      <c r="S711" s="8"/>
      <c r="T711" s="8"/>
      <c r="U711" s="12"/>
      <c r="V711" s="12"/>
      <c r="W711" s="12"/>
      <c r="X711" s="12"/>
      <c r="Y711" s="12"/>
      <c r="Z711" s="12"/>
      <c r="AA711" s="12"/>
      <c r="AB711" s="12"/>
      <c r="AC711" s="12"/>
      <c r="AD711" s="12"/>
      <c r="AE711" s="12"/>
      <c r="AF711" s="12"/>
      <c r="AG711" s="13"/>
      <c r="AH711" s="13"/>
      <c r="AI711" s="13"/>
      <c r="AJ711" s="13"/>
      <c r="AK711" s="13"/>
      <c r="AL711" s="13"/>
      <c r="AM711" s="13"/>
    </row>
    <row r="712" spans="1:39">
      <c r="A712" s="8"/>
      <c r="B712" s="8"/>
      <c r="C712" s="8"/>
      <c r="D712" s="8"/>
      <c r="E712" s="8"/>
      <c r="F712" s="8"/>
      <c r="G712" s="8"/>
      <c r="H712" s="8"/>
      <c r="I712" s="8"/>
      <c r="J712" s="8"/>
      <c r="K712" s="8"/>
      <c r="L712" s="8"/>
      <c r="M712" s="8"/>
      <c r="N712" s="8"/>
      <c r="O712" s="8"/>
      <c r="P712" s="8"/>
      <c r="Q712" s="8"/>
      <c r="R712" s="8"/>
      <c r="S712" s="8"/>
      <c r="T712" s="8"/>
      <c r="U712" s="12"/>
      <c r="V712" s="12"/>
      <c r="W712" s="12"/>
      <c r="X712" s="12"/>
      <c r="Y712" s="12"/>
      <c r="Z712" s="12"/>
      <c r="AA712" s="12"/>
      <c r="AB712" s="12"/>
      <c r="AC712" s="12"/>
      <c r="AD712" s="12"/>
      <c r="AE712" s="12"/>
      <c r="AF712" s="12"/>
      <c r="AG712" s="13"/>
      <c r="AH712" s="13"/>
      <c r="AI712" s="13"/>
      <c r="AJ712" s="13"/>
      <c r="AK712" s="13"/>
      <c r="AL712" s="13"/>
      <c r="AM712" s="13"/>
    </row>
    <row r="713" spans="1:39">
      <c r="A713" s="8"/>
      <c r="B713" s="8"/>
      <c r="C713" s="8"/>
      <c r="D713" s="8"/>
      <c r="E713" s="8"/>
      <c r="F713" s="8"/>
      <c r="G713" s="8"/>
      <c r="H713" s="8"/>
      <c r="I713" s="8"/>
      <c r="J713" s="8"/>
      <c r="K713" s="8"/>
      <c r="L713" s="8"/>
      <c r="M713" s="8"/>
      <c r="N713" s="8"/>
      <c r="O713" s="8"/>
      <c r="P713" s="8"/>
      <c r="Q713" s="8"/>
      <c r="R713" s="8"/>
      <c r="S713" s="8"/>
      <c r="T713" s="8"/>
      <c r="U713" s="12"/>
      <c r="V713" s="12"/>
      <c r="W713" s="12"/>
      <c r="X713" s="12"/>
      <c r="Y713" s="12"/>
      <c r="Z713" s="12"/>
      <c r="AA713" s="12"/>
      <c r="AB713" s="12"/>
      <c r="AC713" s="12"/>
      <c r="AD713" s="12"/>
      <c r="AE713" s="12"/>
      <c r="AF713" s="12"/>
      <c r="AG713" s="13"/>
      <c r="AH713" s="13"/>
      <c r="AI713" s="13"/>
      <c r="AJ713" s="13"/>
      <c r="AK713" s="13"/>
      <c r="AL713" s="13"/>
      <c r="AM713" s="13"/>
    </row>
    <row r="714" spans="1:39">
      <c r="A714" s="8"/>
      <c r="B714" s="8"/>
      <c r="C714" s="8"/>
      <c r="D714" s="8"/>
      <c r="E714" s="8"/>
      <c r="F714" s="8"/>
      <c r="G714" s="8"/>
      <c r="H714" s="8"/>
      <c r="I714" s="8"/>
      <c r="J714" s="8"/>
      <c r="K714" s="8"/>
      <c r="L714" s="8"/>
      <c r="M714" s="8"/>
      <c r="N714" s="8"/>
      <c r="O714" s="8"/>
      <c r="P714" s="8"/>
      <c r="Q714" s="8"/>
      <c r="R714" s="8"/>
      <c r="S714" s="8"/>
      <c r="T714" s="8"/>
      <c r="U714" s="12"/>
      <c r="V714" s="12"/>
      <c r="W714" s="12"/>
      <c r="X714" s="12"/>
      <c r="Y714" s="12"/>
      <c r="Z714" s="12"/>
      <c r="AA714" s="12"/>
      <c r="AB714" s="12"/>
      <c r="AC714" s="12"/>
      <c r="AD714" s="12"/>
      <c r="AE714" s="12"/>
      <c r="AF714" s="12"/>
      <c r="AG714" s="13"/>
      <c r="AH714" s="13"/>
      <c r="AI714" s="13"/>
      <c r="AJ714" s="13"/>
      <c r="AK714" s="13"/>
      <c r="AL714" s="13"/>
      <c r="AM714" s="13"/>
    </row>
    <row r="715" spans="1:39">
      <c r="A715" s="8"/>
      <c r="B715" s="8"/>
      <c r="C715" s="8"/>
      <c r="D715" s="8"/>
      <c r="E715" s="8"/>
      <c r="F715" s="8"/>
      <c r="G715" s="8"/>
      <c r="H715" s="8"/>
      <c r="I715" s="8"/>
      <c r="J715" s="8"/>
      <c r="K715" s="8"/>
      <c r="L715" s="8"/>
      <c r="M715" s="8"/>
      <c r="N715" s="8"/>
      <c r="O715" s="8"/>
      <c r="P715" s="8"/>
      <c r="Q715" s="8"/>
      <c r="R715" s="8"/>
      <c r="S715" s="8"/>
      <c r="T715" s="8"/>
      <c r="U715" s="12"/>
      <c r="V715" s="12"/>
      <c r="W715" s="12"/>
      <c r="X715" s="12"/>
      <c r="Y715" s="12"/>
      <c r="Z715" s="12"/>
      <c r="AA715" s="12"/>
      <c r="AB715" s="12"/>
      <c r="AC715" s="12"/>
      <c r="AD715" s="12"/>
      <c r="AE715" s="12"/>
      <c r="AF715" s="12"/>
      <c r="AG715" s="13"/>
      <c r="AH715" s="13"/>
      <c r="AI715" s="13"/>
      <c r="AJ715" s="13"/>
      <c r="AK715" s="13"/>
      <c r="AL715" s="13"/>
      <c r="AM715" s="13"/>
    </row>
    <row r="716" spans="1:39">
      <c r="A716" s="8"/>
      <c r="B716" s="8"/>
      <c r="C716" s="8"/>
      <c r="D716" s="8"/>
      <c r="E716" s="8"/>
      <c r="F716" s="8"/>
      <c r="G716" s="8"/>
      <c r="H716" s="8"/>
      <c r="I716" s="8"/>
      <c r="J716" s="8"/>
      <c r="K716" s="8"/>
      <c r="L716" s="8"/>
      <c r="M716" s="8"/>
      <c r="N716" s="8"/>
      <c r="O716" s="8"/>
      <c r="P716" s="8"/>
      <c r="Q716" s="8"/>
      <c r="R716" s="8"/>
      <c r="S716" s="8"/>
      <c r="T716" s="8"/>
      <c r="U716" s="12"/>
      <c r="V716" s="12"/>
      <c r="W716" s="12"/>
      <c r="X716" s="12"/>
      <c r="Y716" s="12"/>
      <c r="Z716" s="12"/>
      <c r="AA716" s="12"/>
      <c r="AB716" s="12"/>
      <c r="AC716" s="12"/>
      <c r="AD716" s="12"/>
      <c r="AE716" s="12"/>
      <c r="AF716" s="12"/>
      <c r="AG716" s="13"/>
      <c r="AH716" s="13"/>
      <c r="AI716" s="13"/>
      <c r="AJ716" s="13"/>
      <c r="AK716" s="13"/>
      <c r="AL716" s="13"/>
      <c r="AM716" s="13"/>
    </row>
    <row r="717" spans="1:39">
      <c r="A717" s="8"/>
      <c r="B717" s="8"/>
      <c r="C717" s="8"/>
      <c r="D717" s="8"/>
      <c r="E717" s="8"/>
      <c r="F717" s="8"/>
      <c r="G717" s="8"/>
      <c r="H717" s="8"/>
      <c r="I717" s="8"/>
      <c r="J717" s="8"/>
      <c r="K717" s="8"/>
      <c r="L717" s="8"/>
      <c r="M717" s="8"/>
      <c r="N717" s="8"/>
      <c r="O717" s="8"/>
      <c r="P717" s="8"/>
      <c r="Q717" s="8"/>
      <c r="R717" s="8"/>
      <c r="S717" s="8"/>
      <c r="T717" s="8"/>
      <c r="U717" s="12"/>
      <c r="V717" s="12"/>
      <c r="W717" s="12"/>
      <c r="X717" s="12"/>
      <c r="Y717" s="12"/>
      <c r="Z717" s="12"/>
      <c r="AA717" s="12"/>
      <c r="AB717" s="12"/>
      <c r="AC717" s="12"/>
      <c r="AD717" s="12"/>
      <c r="AE717" s="12"/>
      <c r="AF717" s="12"/>
      <c r="AG717" s="13"/>
      <c r="AH717" s="13"/>
      <c r="AI717" s="13"/>
      <c r="AJ717" s="13"/>
      <c r="AK717" s="13"/>
      <c r="AL717" s="13"/>
      <c r="AM717" s="13"/>
    </row>
    <row r="718" spans="1:39">
      <c r="A718" s="8"/>
      <c r="B718" s="8"/>
      <c r="C718" s="8"/>
      <c r="D718" s="8"/>
      <c r="E718" s="8"/>
      <c r="F718" s="8"/>
      <c r="G718" s="8"/>
      <c r="H718" s="8"/>
      <c r="I718" s="8"/>
      <c r="J718" s="8"/>
      <c r="K718" s="8"/>
      <c r="L718" s="8"/>
      <c r="M718" s="8"/>
      <c r="N718" s="8"/>
      <c r="O718" s="8"/>
      <c r="P718" s="8"/>
      <c r="Q718" s="8"/>
      <c r="R718" s="8"/>
      <c r="S718" s="8"/>
      <c r="T718" s="8"/>
      <c r="U718" s="12"/>
      <c r="V718" s="12"/>
      <c r="W718" s="12"/>
      <c r="X718" s="12"/>
      <c r="Y718" s="12"/>
      <c r="Z718" s="12"/>
      <c r="AA718" s="12"/>
      <c r="AB718" s="12"/>
      <c r="AC718" s="12"/>
      <c r="AD718" s="12"/>
      <c r="AE718" s="12"/>
      <c r="AF718" s="12"/>
      <c r="AG718" s="13"/>
      <c r="AH718" s="13"/>
      <c r="AI718" s="13"/>
      <c r="AJ718" s="13"/>
      <c r="AK718" s="13"/>
      <c r="AL718" s="13"/>
      <c r="AM718" s="13"/>
    </row>
    <row r="719" spans="1:39">
      <c r="A719" s="8"/>
      <c r="B719" s="8"/>
      <c r="C719" s="8"/>
      <c r="D719" s="8"/>
      <c r="E719" s="8"/>
      <c r="F719" s="8"/>
      <c r="G719" s="8"/>
      <c r="H719" s="8"/>
      <c r="I719" s="8"/>
      <c r="J719" s="8"/>
      <c r="K719" s="8"/>
      <c r="L719" s="8"/>
      <c r="M719" s="8"/>
      <c r="N719" s="8"/>
      <c r="O719" s="8"/>
      <c r="P719" s="8"/>
      <c r="Q719" s="8"/>
      <c r="R719" s="8"/>
      <c r="S719" s="8"/>
      <c r="T719" s="8"/>
      <c r="U719" s="12"/>
      <c r="V719" s="12"/>
      <c r="W719" s="12"/>
      <c r="X719" s="12"/>
      <c r="Y719" s="12"/>
      <c r="Z719" s="12"/>
      <c r="AA719" s="12"/>
      <c r="AB719" s="12"/>
      <c r="AC719" s="12"/>
      <c r="AD719" s="12"/>
      <c r="AE719" s="12"/>
      <c r="AF719" s="12"/>
      <c r="AG719" s="13"/>
      <c r="AH719" s="13"/>
      <c r="AI719" s="13"/>
      <c r="AJ719" s="13"/>
      <c r="AK719" s="13"/>
      <c r="AL719" s="13"/>
      <c r="AM719" s="13"/>
    </row>
    <row r="720" spans="1:39">
      <c r="A720" s="8"/>
      <c r="B720" s="8"/>
      <c r="C720" s="8"/>
      <c r="D720" s="8"/>
      <c r="E720" s="8"/>
      <c r="F720" s="8"/>
      <c r="G720" s="8"/>
      <c r="H720" s="8"/>
      <c r="I720" s="8"/>
      <c r="J720" s="8"/>
      <c r="K720" s="8"/>
      <c r="L720" s="8"/>
      <c r="M720" s="8"/>
      <c r="N720" s="8"/>
      <c r="O720" s="8"/>
      <c r="P720" s="8"/>
      <c r="Q720" s="8"/>
      <c r="R720" s="8"/>
      <c r="S720" s="8"/>
      <c r="T720" s="8"/>
      <c r="U720" s="12"/>
      <c r="V720" s="12"/>
      <c r="W720" s="12"/>
      <c r="X720" s="12"/>
      <c r="Y720" s="12"/>
      <c r="Z720" s="12"/>
      <c r="AA720" s="12"/>
      <c r="AB720" s="12"/>
      <c r="AC720" s="12"/>
      <c r="AD720" s="12"/>
      <c r="AE720" s="12"/>
      <c r="AF720" s="12"/>
      <c r="AG720" s="13"/>
      <c r="AH720" s="13"/>
      <c r="AI720" s="13"/>
      <c r="AJ720" s="13"/>
      <c r="AK720" s="13"/>
      <c r="AL720" s="13"/>
      <c r="AM720" s="13"/>
    </row>
    <row r="721" spans="1:39">
      <c r="A721" s="8"/>
      <c r="B721" s="8"/>
      <c r="C721" s="8"/>
      <c r="D721" s="8"/>
      <c r="E721" s="8"/>
      <c r="F721" s="8"/>
      <c r="G721" s="8"/>
      <c r="H721" s="8"/>
      <c r="I721" s="8"/>
      <c r="J721" s="8"/>
      <c r="K721" s="8"/>
      <c r="L721" s="8"/>
      <c r="M721" s="8"/>
      <c r="N721" s="8"/>
      <c r="O721" s="8"/>
      <c r="P721" s="8"/>
      <c r="Q721" s="8"/>
      <c r="R721" s="8"/>
      <c r="S721" s="8"/>
      <c r="T721" s="8"/>
      <c r="U721" s="12"/>
      <c r="V721" s="12"/>
      <c r="W721" s="12"/>
      <c r="X721" s="12"/>
      <c r="Y721" s="12"/>
      <c r="Z721" s="12"/>
      <c r="AA721" s="12"/>
      <c r="AB721" s="12"/>
      <c r="AC721" s="12"/>
      <c r="AD721" s="12"/>
      <c r="AE721" s="12"/>
      <c r="AF721" s="12"/>
      <c r="AG721" s="13"/>
      <c r="AH721" s="13"/>
      <c r="AI721" s="13"/>
      <c r="AJ721" s="13"/>
      <c r="AK721" s="13"/>
      <c r="AL721" s="13"/>
      <c r="AM721" s="13"/>
    </row>
    <row r="722" spans="1:39">
      <c r="A722" s="8"/>
      <c r="B722" s="8"/>
      <c r="C722" s="8"/>
      <c r="D722" s="8"/>
      <c r="E722" s="8"/>
      <c r="F722" s="8"/>
      <c r="G722" s="8"/>
      <c r="H722" s="8"/>
      <c r="I722" s="8"/>
      <c r="J722" s="8"/>
      <c r="K722" s="8"/>
      <c r="L722" s="8"/>
      <c r="M722" s="8"/>
      <c r="N722" s="8"/>
      <c r="O722" s="8"/>
      <c r="P722" s="8"/>
      <c r="Q722" s="8"/>
      <c r="R722" s="8"/>
      <c r="S722" s="8"/>
      <c r="T722" s="8"/>
      <c r="U722" s="12"/>
      <c r="V722" s="12"/>
      <c r="W722" s="12"/>
      <c r="X722" s="12"/>
      <c r="Y722" s="12"/>
      <c r="Z722" s="12"/>
      <c r="AA722" s="12"/>
      <c r="AB722" s="12"/>
      <c r="AC722" s="12"/>
      <c r="AD722" s="12"/>
      <c r="AE722" s="12"/>
      <c r="AF722" s="12"/>
      <c r="AG722" s="13"/>
      <c r="AH722" s="13"/>
      <c r="AI722" s="13"/>
      <c r="AJ722" s="13"/>
      <c r="AK722" s="13"/>
      <c r="AL722" s="13"/>
      <c r="AM722" s="13"/>
    </row>
    <row r="723" spans="1:39">
      <c r="A723" s="8"/>
      <c r="B723" s="8"/>
      <c r="C723" s="8"/>
      <c r="D723" s="8"/>
      <c r="E723" s="8"/>
      <c r="F723" s="8"/>
      <c r="G723" s="8"/>
      <c r="H723" s="8"/>
      <c r="I723" s="8"/>
      <c r="J723" s="8"/>
      <c r="K723" s="8"/>
      <c r="L723" s="8"/>
      <c r="M723" s="8"/>
      <c r="N723" s="8"/>
      <c r="O723" s="8"/>
      <c r="P723" s="8"/>
      <c r="Q723" s="8"/>
      <c r="R723" s="8"/>
      <c r="S723" s="8"/>
      <c r="T723" s="8"/>
      <c r="U723" s="12"/>
      <c r="V723" s="12"/>
      <c r="W723" s="12"/>
      <c r="X723" s="12"/>
      <c r="Y723" s="12"/>
      <c r="Z723" s="12"/>
      <c r="AA723" s="12"/>
      <c r="AB723" s="12"/>
      <c r="AC723" s="12"/>
      <c r="AD723" s="12"/>
      <c r="AE723" s="12"/>
      <c r="AF723" s="12"/>
      <c r="AG723" s="13"/>
      <c r="AH723" s="13"/>
      <c r="AI723" s="13"/>
      <c r="AJ723" s="13"/>
      <c r="AK723" s="13"/>
      <c r="AL723" s="13"/>
      <c r="AM723" s="13"/>
    </row>
    <row r="724" spans="1:39">
      <c r="A724" s="8"/>
      <c r="B724" s="8"/>
      <c r="C724" s="8"/>
      <c r="D724" s="8"/>
      <c r="E724" s="8"/>
      <c r="F724" s="8"/>
      <c r="G724" s="8"/>
      <c r="H724" s="8"/>
      <c r="I724" s="8"/>
      <c r="J724" s="8"/>
      <c r="K724" s="8"/>
      <c r="L724" s="8"/>
      <c r="M724" s="8"/>
      <c r="N724" s="8"/>
      <c r="O724" s="8"/>
      <c r="P724" s="8"/>
      <c r="Q724" s="8"/>
      <c r="R724" s="8"/>
      <c r="S724" s="8"/>
      <c r="T724" s="8"/>
      <c r="U724" s="12"/>
      <c r="V724" s="12"/>
      <c r="W724" s="12"/>
      <c r="X724" s="12"/>
      <c r="Y724" s="12"/>
      <c r="Z724" s="12"/>
      <c r="AA724" s="12"/>
      <c r="AB724" s="12"/>
      <c r="AC724" s="12"/>
      <c r="AD724" s="12"/>
      <c r="AE724" s="12"/>
      <c r="AF724" s="12"/>
      <c r="AG724" s="13"/>
      <c r="AH724" s="13"/>
      <c r="AI724" s="13"/>
      <c r="AJ724" s="13"/>
      <c r="AK724" s="13"/>
      <c r="AL724" s="13"/>
      <c r="AM724" s="13"/>
    </row>
    <row r="725" spans="1:39">
      <c r="A725" s="8"/>
      <c r="B725" s="8"/>
      <c r="C725" s="8"/>
      <c r="D725" s="8"/>
      <c r="E725" s="8"/>
      <c r="F725" s="8"/>
      <c r="G725" s="8"/>
      <c r="H725" s="8"/>
      <c r="I725" s="8"/>
      <c r="J725" s="8"/>
      <c r="K725" s="8"/>
      <c r="L725" s="8"/>
      <c r="M725" s="8"/>
      <c r="N725" s="8"/>
      <c r="O725" s="8"/>
      <c r="P725" s="8"/>
      <c r="Q725" s="8"/>
      <c r="R725" s="8"/>
      <c r="S725" s="8"/>
      <c r="T725" s="8"/>
      <c r="U725" s="12"/>
      <c r="V725" s="12"/>
      <c r="W725" s="12"/>
      <c r="X725" s="12"/>
      <c r="Y725" s="12"/>
      <c r="Z725" s="12"/>
      <c r="AA725" s="12"/>
      <c r="AB725" s="12"/>
      <c r="AC725" s="12"/>
      <c r="AD725" s="12"/>
      <c r="AE725" s="12"/>
      <c r="AF725" s="12"/>
      <c r="AG725" s="13"/>
      <c r="AH725" s="13"/>
      <c r="AI725" s="13"/>
      <c r="AJ725" s="13"/>
      <c r="AK725" s="13"/>
      <c r="AL725" s="13"/>
      <c r="AM725" s="13"/>
    </row>
    <row r="726" spans="1:39">
      <c r="A726" s="8"/>
      <c r="B726" s="8"/>
      <c r="C726" s="8"/>
      <c r="D726" s="8"/>
      <c r="E726" s="8"/>
      <c r="F726" s="8"/>
      <c r="G726" s="8"/>
      <c r="H726" s="8"/>
      <c r="I726" s="8"/>
      <c r="J726" s="8"/>
      <c r="K726" s="8"/>
      <c r="L726" s="8"/>
      <c r="M726" s="8"/>
      <c r="N726" s="8"/>
      <c r="O726" s="8"/>
      <c r="P726" s="8"/>
      <c r="Q726" s="8"/>
      <c r="R726" s="8"/>
      <c r="S726" s="8"/>
      <c r="T726" s="8"/>
      <c r="U726" s="12"/>
      <c r="V726" s="12"/>
      <c r="W726" s="12"/>
      <c r="X726" s="12"/>
      <c r="Y726" s="12"/>
      <c r="Z726" s="12"/>
      <c r="AA726" s="12"/>
      <c r="AB726" s="12"/>
      <c r="AC726" s="12"/>
      <c r="AD726" s="12"/>
      <c r="AE726" s="12"/>
      <c r="AF726" s="12"/>
      <c r="AG726" s="13"/>
      <c r="AH726" s="13"/>
      <c r="AI726" s="13"/>
      <c r="AJ726" s="13"/>
      <c r="AK726" s="13"/>
      <c r="AL726" s="13"/>
      <c r="AM726" s="13"/>
    </row>
    <row r="727" spans="1:39">
      <c r="A727" s="8"/>
      <c r="B727" s="8"/>
      <c r="C727" s="8"/>
      <c r="D727" s="8"/>
      <c r="E727" s="8"/>
      <c r="F727" s="8"/>
      <c r="G727" s="8"/>
      <c r="H727" s="8"/>
      <c r="I727" s="8"/>
      <c r="J727" s="8"/>
      <c r="K727" s="8"/>
      <c r="L727" s="8"/>
      <c r="M727" s="8"/>
      <c r="N727" s="8"/>
      <c r="O727" s="8"/>
      <c r="P727" s="8"/>
      <c r="Q727" s="8"/>
      <c r="R727" s="8"/>
      <c r="S727" s="8"/>
      <c r="T727" s="8"/>
      <c r="U727" s="12"/>
      <c r="V727" s="12"/>
      <c r="W727" s="12"/>
      <c r="X727" s="12"/>
      <c r="Y727" s="12"/>
      <c r="Z727" s="12"/>
      <c r="AA727" s="12"/>
      <c r="AB727" s="12"/>
      <c r="AC727" s="12"/>
      <c r="AD727" s="12"/>
      <c r="AE727" s="12"/>
      <c r="AF727" s="12"/>
      <c r="AG727" s="13"/>
      <c r="AH727" s="13"/>
      <c r="AI727" s="13"/>
      <c r="AJ727" s="13"/>
      <c r="AK727" s="13"/>
      <c r="AL727" s="13"/>
      <c r="AM727" s="13"/>
    </row>
    <row r="728" spans="1:39">
      <c r="A728" s="8"/>
      <c r="B728" s="8"/>
      <c r="C728" s="8"/>
      <c r="D728" s="8"/>
      <c r="E728" s="8"/>
      <c r="F728" s="8"/>
      <c r="G728" s="8"/>
      <c r="H728" s="8"/>
      <c r="I728" s="8"/>
      <c r="J728" s="8"/>
      <c r="K728" s="8"/>
      <c r="L728" s="8"/>
      <c r="M728" s="8"/>
      <c r="N728" s="8"/>
      <c r="O728" s="8"/>
      <c r="P728" s="8"/>
      <c r="Q728" s="8"/>
      <c r="R728" s="8"/>
      <c r="S728" s="8"/>
      <c r="T728" s="8"/>
      <c r="U728" s="12"/>
      <c r="V728" s="12"/>
      <c r="W728" s="12"/>
      <c r="X728" s="12"/>
      <c r="Y728" s="12"/>
      <c r="Z728" s="12"/>
      <c r="AA728" s="12"/>
      <c r="AB728" s="12"/>
      <c r="AC728" s="12"/>
      <c r="AD728" s="12"/>
      <c r="AE728" s="12"/>
      <c r="AF728" s="12"/>
      <c r="AG728" s="13"/>
      <c r="AH728" s="13"/>
      <c r="AI728" s="13"/>
      <c r="AJ728" s="13"/>
      <c r="AK728" s="13"/>
      <c r="AL728" s="13"/>
      <c r="AM728" s="13"/>
    </row>
    <row r="729" spans="1:39">
      <c r="A729" s="8"/>
      <c r="B729" s="8"/>
      <c r="C729" s="8"/>
      <c r="D729" s="8"/>
      <c r="E729" s="8"/>
      <c r="F729" s="8"/>
      <c r="G729" s="8"/>
      <c r="H729" s="8"/>
      <c r="I729" s="8"/>
      <c r="J729" s="8"/>
      <c r="K729" s="8"/>
      <c r="L729" s="8"/>
      <c r="M729" s="8"/>
      <c r="N729" s="8"/>
      <c r="O729" s="8"/>
      <c r="P729" s="8"/>
      <c r="Q729" s="8"/>
      <c r="R729" s="8"/>
      <c r="S729" s="8"/>
      <c r="T729" s="8"/>
      <c r="U729" s="12"/>
      <c r="V729" s="12"/>
      <c r="W729" s="12"/>
      <c r="X729" s="12"/>
      <c r="Y729" s="12"/>
      <c r="Z729" s="12"/>
      <c r="AA729" s="12"/>
      <c r="AB729" s="12"/>
      <c r="AC729" s="12"/>
      <c r="AD729" s="12"/>
      <c r="AE729" s="12"/>
      <c r="AF729" s="12"/>
      <c r="AG729" s="13"/>
      <c r="AH729" s="13"/>
      <c r="AI729" s="13"/>
      <c r="AJ729" s="13"/>
      <c r="AK729" s="13"/>
      <c r="AL729" s="13"/>
      <c r="AM729" s="13"/>
    </row>
    <row r="730" spans="1:39">
      <c r="A730" s="8"/>
      <c r="B730" s="8"/>
      <c r="C730" s="8"/>
      <c r="D730" s="8"/>
      <c r="E730" s="8"/>
      <c r="F730" s="8"/>
      <c r="G730" s="8"/>
      <c r="H730" s="8"/>
      <c r="I730" s="8"/>
      <c r="J730" s="8"/>
      <c r="K730" s="8"/>
      <c r="L730" s="8"/>
      <c r="M730" s="8"/>
      <c r="N730" s="8"/>
      <c r="O730" s="8"/>
      <c r="P730" s="8"/>
      <c r="Q730" s="8"/>
      <c r="R730" s="8"/>
      <c r="S730" s="8"/>
      <c r="T730" s="8"/>
      <c r="U730" s="12"/>
      <c r="V730" s="12"/>
      <c r="W730" s="12"/>
      <c r="X730" s="12"/>
      <c r="Y730" s="12"/>
      <c r="Z730" s="12"/>
      <c r="AA730" s="12"/>
      <c r="AB730" s="12"/>
      <c r="AC730" s="12"/>
      <c r="AD730" s="12"/>
      <c r="AE730" s="12"/>
      <c r="AF730" s="12"/>
      <c r="AG730" s="13"/>
      <c r="AH730" s="13"/>
      <c r="AI730" s="13"/>
      <c r="AJ730" s="13"/>
      <c r="AK730" s="13"/>
      <c r="AL730" s="13"/>
      <c r="AM730" s="13"/>
    </row>
    <row r="731" spans="1:39">
      <c r="A731" s="8"/>
      <c r="B731" s="8"/>
      <c r="C731" s="8"/>
      <c r="D731" s="8"/>
      <c r="E731" s="8"/>
      <c r="F731" s="8"/>
      <c r="G731" s="8"/>
      <c r="H731" s="8"/>
      <c r="I731" s="8"/>
      <c r="J731" s="8"/>
      <c r="K731" s="8"/>
      <c r="L731" s="8"/>
      <c r="M731" s="8"/>
      <c r="N731" s="8"/>
      <c r="O731" s="8"/>
      <c r="P731" s="8"/>
      <c r="Q731" s="8"/>
      <c r="R731" s="8"/>
      <c r="S731" s="8"/>
      <c r="T731" s="8"/>
      <c r="U731" s="12"/>
      <c r="V731" s="12"/>
      <c r="W731" s="12"/>
      <c r="X731" s="12"/>
      <c r="Y731" s="12"/>
      <c r="Z731" s="12"/>
      <c r="AA731" s="12"/>
      <c r="AB731" s="12"/>
      <c r="AC731" s="12"/>
      <c r="AD731" s="12"/>
      <c r="AE731" s="12"/>
      <c r="AF731" s="12"/>
      <c r="AG731" s="13"/>
      <c r="AH731" s="13"/>
      <c r="AI731" s="13"/>
      <c r="AJ731" s="13"/>
      <c r="AK731" s="13"/>
      <c r="AL731" s="13"/>
      <c r="AM731" s="13"/>
    </row>
    <row r="732" spans="1:39">
      <c r="A732" s="8"/>
      <c r="B732" s="8"/>
      <c r="C732" s="8"/>
      <c r="D732" s="8"/>
      <c r="E732" s="8"/>
      <c r="F732" s="8"/>
      <c r="G732" s="8"/>
      <c r="H732" s="8"/>
      <c r="I732" s="8"/>
      <c r="J732" s="8"/>
      <c r="K732" s="8"/>
      <c r="L732" s="8"/>
      <c r="M732" s="8"/>
      <c r="N732" s="8"/>
      <c r="O732" s="8"/>
      <c r="P732" s="8"/>
      <c r="Q732" s="8"/>
      <c r="R732" s="8"/>
      <c r="S732" s="8"/>
      <c r="T732" s="8"/>
      <c r="U732" s="12"/>
      <c r="V732" s="12"/>
      <c r="W732" s="12"/>
      <c r="X732" s="12"/>
      <c r="Y732" s="12"/>
      <c r="Z732" s="12"/>
      <c r="AA732" s="12"/>
      <c r="AB732" s="12"/>
      <c r="AC732" s="12"/>
      <c r="AD732" s="12"/>
      <c r="AE732" s="12"/>
      <c r="AF732" s="12"/>
      <c r="AG732" s="13"/>
      <c r="AH732" s="13"/>
      <c r="AI732" s="13"/>
      <c r="AJ732" s="13"/>
      <c r="AK732" s="13"/>
      <c r="AL732" s="13"/>
      <c r="AM732" s="13"/>
    </row>
    <row r="733" spans="1:39">
      <c r="A733" s="8"/>
      <c r="B733" s="8"/>
      <c r="C733" s="8"/>
      <c r="D733" s="8"/>
      <c r="E733" s="8"/>
      <c r="F733" s="8"/>
      <c r="G733" s="8"/>
      <c r="H733" s="8"/>
      <c r="I733" s="8"/>
      <c r="J733" s="8"/>
      <c r="K733" s="8"/>
      <c r="L733" s="8"/>
      <c r="M733" s="8"/>
      <c r="N733" s="8"/>
      <c r="O733" s="8"/>
      <c r="P733" s="8"/>
      <c r="Q733" s="8"/>
      <c r="R733" s="8"/>
      <c r="S733" s="8"/>
      <c r="T733" s="8"/>
      <c r="U733" s="12"/>
      <c r="V733" s="12"/>
      <c r="W733" s="12"/>
      <c r="X733" s="12"/>
      <c r="Y733" s="12"/>
      <c r="Z733" s="12"/>
      <c r="AA733" s="12"/>
      <c r="AB733" s="12"/>
      <c r="AC733" s="12"/>
      <c r="AD733" s="12"/>
      <c r="AE733" s="12"/>
      <c r="AF733" s="12"/>
      <c r="AG733" s="13"/>
      <c r="AH733" s="13"/>
      <c r="AI733" s="13"/>
      <c r="AJ733" s="13"/>
      <c r="AK733" s="13"/>
      <c r="AL733" s="13"/>
      <c r="AM733" s="13"/>
    </row>
    <row r="734" spans="1:39">
      <c r="A734" s="8"/>
      <c r="B734" s="8"/>
      <c r="C734" s="8"/>
      <c r="D734" s="8"/>
      <c r="E734" s="8"/>
      <c r="F734" s="8"/>
      <c r="G734" s="8"/>
      <c r="H734" s="8"/>
      <c r="I734" s="8"/>
      <c r="J734" s="8"/>
      <c r="K734" s="8"/>
      <c r="L734" s="8"/>
      <c r="M734" s="8"/>
      <c r="N734" s="8"/>
      <c r="O734" s="8"/>
      <c r="P734" s="8"/>
      <c r="Q734" s="8"/>
      <c r="R734" s="8"/>
      <c r="S734" s="8"/>
      <c r="T734" s="8"/>
      <c r="U734" s="12"/>
      <c r="V734" s="12"/>
      <c r="W734" s="12"/>
      <c r="X734" s="12"/>
      <c r="Y734" s="12"/>
      <c r="Z734" s="12"/>
      <c r="AA734" s="12"/>
      <c r="AB734" s="12"/>
      <c r="AC734" s="12"/>
      <c r="AD734" s="12"/>
      <c r="AE734" s="12"/>
      <c r="AF734" s="12"/>
      <c r="AG734" s="13"/>
      <c r="AH734" s="13"/>
      <c r="AI734" s="13"/>
      <c r="AJ734" s="13"/>
      <c r="AK734" s="13"/>
      <c r="AL734" s="13"/>
      <c r="AM734" s="13"/>
    </row>
    <row r="735" spans="1:39">
      <c r="A735" s="8"/>
      <c r="B735" s="8"/>
      <c r="C735" s="8"/>
      <c r="D735" s="8"/>
      <c r="E735" s="8"/>
      <c r="F735" s="8"/>
      <c r="G735" s="8"/>
      <c r="H735" s="8"/>
      <c r="I735" s="8"/>
      <c r="J735" s="8"/>
      <c r="K735" s="8"/>
      <c r="L735" s="8"/>
      <c r="M735" s="8"/>
      <c r="N735" s="8"/>
      <c r="O735" s="8"/>
      <c r="P735" s="8"/>
      <c r="Q735" s="8"/>
      <c r="R735" s="8"/>
      <c r="S735" s="8"/>
      <c r="T735" s="8"/>
      <c r="U735" s="12"/>
      <c r="V735" s="12"/>
      <c r="W735" s="12"/>
      <c r="X735" s="12"/>
      <c r="Y735" s="12"/>
      <c r="Z735" s="12"/>
      <c r="AA735" s="12"/>
      <c r="AB735" s="12"/>
      <c r="AC735" s="12"/>
      <c r="AD735" s="12"/>
      <c r="AE735" s="12"/>
      <c r="AF735" s="12"/>
      <c r="AG735" s="13"/>
      <c r="AH735" s="13"/>
      <c r="AI735" s="13"/>
      <c r="AJ735" s="13"/>
      <c r="AK735" s="13"/>
      <c r="AL735" s="13"/>
      <c r="AM735" s="13"/>
    </row>
    <row r="736" spans="1:39">
      <c r="A736" s="8"/>
      <c r="B736" s="8"/>
      <c r="C736" s="8"/>
      <c r="D736" s="8"/>
      <c r="E736" s="8"/>
      <c r="F736" s="8"/>
      <c r="G736" s="8"/>
      <c r="H736" s="8"/>
      <c r="I736" s="8"/>
      <c r="J736" s="8"/>
      <c r="K736" s="8"/>
      <c r="L736" s="8"/>
      <c r="M736" s="8"/>
      <c r="N736" s="8"/>
      <c r="O736" s="8"/>
      <c r="P736" s="8"/>
      <c r="Q736" s="8"/>
      <c r="R736" s="8"/>
      <c r="S736" s="8"/>
      <c r="T736" s="8"/>
      <c r="U736" s="12"/>
      <c r="V736" s="12"/>
      <c r="W736" s="12"/>
      <c r="X736" s="12"/>
      <c r="Y736" s="12"/>
      <c r="Z736" s="12"/>
      <c r="AA736" s="12"/>
      <c r="AB736" s="12"/>
      <c r="AC736" s="12"/>
      <c r="AD736" s="12"/>
      <c r="AE736" s="12"/>
      <c r="AF736" s="12"/>
      <c r="AG736" s="13"/>
      <c r="AH736" s="13"/>
      <c r="AI736" s="13"/>
      <c r="AJ736" s="13"/>
      <c r="AK736" s="13"/>
      <c r="AL736" s="13"/>
      <c r="AM736" s="13"/>
    </row>
    <row r="737" spans="1:39">
      <c r="A737" s="8"/>
      <c r="B737" s="8"/>
      <c r="C737" s="8"/>
      <c r="D737" s="8"/>
      <c r="E737" s="8"/>
      <c r="F737" s="8"/>
      <c r="G737" s="8"/>
      <c r="H737" s="8"/>
      <c r="I737" s="8"/>
      <c r="J737" s="8"/>
      <c r="K737" s="8"/>
      <c r="L737" s="8"/>
      <c r="M737" s="8"/>
      <c r="N737" s="8"/>
      <c r="O737" s="8"/>
      <c r="P737" s="8"/>
      <c r="Q737" s="8"/>
      <c r="R737" s="8"/>
      <c r="S737" s="8"/>
      <c r="T737" s="8"/>
      <c r="U737" s="12"/>
      <c r="V737" s="12"/>
      <c r="W737" s="12"/>
      <c r="X737" s="12"/>
      <c r="Y737" s="12"/>
      <c r="Z737" s="12"/>
      <c r="AA737" s="12"/>
      <c r="AB737" s="12"/>
      <c r="AC737" s="12"/>
      <c r="AD737" s="12"/>
      <c r="AE737" s="12"/>
      <c r="AF737" s="12"/>
      <c r="AG737" s="13"/>
      <c r="AH737" s="13"/>
      <c r="AI737" s="13"/>
      <c r="AJ737" s="13"/>
      <c r="AK737" s="13"/>
      <c r="AL737" s="13"/>
      <c r="AM737" s="13"/>
    </row>
    <row r="738" spans="1:39">
      <c r="A738" s="8"/>
      <c r="B738" s="8"/>
      <c r="C738" s="8"/>
      <c r="D738" s="8"/>
      <c r="E738" s="8"/>
      <c r="F738" s="8"/>
      <c r="G738" s="8"/>
      <c r="H738" s="8"/>
      <c r="I738" s="8"/>
      <c r="J738" s="8"/>
      <c r="K738" s="8"/>
      <c r="L738" s="8"/>
      <c r="M738" s="8"/>
      <c r="N738" s="8"/>
      <c r="O738" s="8"/>
      <c r="P738" s="8"/>
      <c r="Q738" s="8"/>
      <c r="R738" s="8"/>
      <c r="S738" s="8"/>
      <c r="T738" s="8"/>
      <c r="U738" s="12"/>
      <c r="V738" s="12"/>
      <c r="W738" s="12"/>
      <c r="X738" s="12"/>
      <c r="Y738" s="12"/>
      <c r="Z738" s="12"/>
      <c r="AA738" s="12"/>
      <c r="AB738" s="12"/>
      <c r="AC738" s="12"/>
      <c r="AD738" s="12"/>
      <c r="AE738" s="12"/>
      <c r="AF738" s="12"/>
      <c r="AG738" s="13"/>
      <c r="AH738" s="13"/>
      <c r="AI738" s="13"/>
      <c r="AJ738" s="13"/>
      <c r="AK738" s="13"/>
      <c r="AL738" s="13"/>
      <c r="AM738" s="13"/>
    </row>
    <row r="739" spans="1:39">
      <c r="A739" s="8"/>
      <c r="B739" s="8"/>
      <c r="C739" s="8"/>
      <c r="D739" s="8"/>
      <c r="E739" s="8"/>
      <c r="F739" s="8"/>
      <c r="G739" s="8"/>
      <c r="H739" s="8"/>
      <c r="I739" s="8"/>
      <c r="J739" s="8"/>
      <c r="K739" s="8"/>
      <c r="L739" s="8"/>
      <c r="M739" s="8"/>
      <c r="N739" s="8"/>
      <c r="O739" s="8"/>
      <c r="P739" s="8"/>
      <c r="Q739" s="8"/>
      <c r="R739" s="8"/>
      <c r="S739" s="8"/>
      <c r="T739" s="8"/>
      <c r="U739" s="12"/>
      <c r="V739" s="12"/>
      <c r="W739" s="12"/>
      <c r="X739" s="12"/>
      <c r="Y739" s="12"/>
      <c r="Z739" s="12"/>
      <c r="AA739" s="12"/>
      <c r="AB739" s="12"/>
      <c r="AC739" s="12"/>
      <c r="AD739" s="12"/>
      <c r="AE739" s="12"/>
      <c r="AF739" s="12"/>
      <c r="AG739" s="13"/>
      <c r="AH739" s="13"/>
      <c r="AI739" s="13"/>
      <c r="AJ739" s="13"/>
      <c r="AK739" s="13"/>
      <c r="AL739" s="13"/>
      <c r="AM739" s="13"/>
    </row>
    <row r="740" spans="1:39">
      <c r="A740" s="8"/>
      <c r="B740" s="8"/>
      <c r="C740" s="8"/>
      <c r="D740" s="8"/>
      <c r="E740" s="8"/>
      <c r="F740" s="8"/>
      <c r="G740" s="8"/>
      <c r="H740" s="8"/>
      <c r="I740" s="8"/>
      <c r="J740" s="8"/>
      <c r="K740" s="8"/>
      <c r="L740" s="8"/>
      <c r="M740" s="8"/>
      <c r="N740" s="8"/>
      <c r="O740" s="8"/>
      <c r="P740" s="8"/>
      <c r="Q740" s="8"/>
      <c r="R740" s="8"/>
      <c r="S740" s="8"/>
      <c r="T740" s="8"/>
      <c r="U740" s="12"/>
      <c r="V740" s="12"/>
      <c r="W740" s="12"/>
      <c r="X740" s="12"/>
      <c r="Y740" s="12"/>
      <c r="Z740" s="12"/>
      <c r="AA740" s="12"/>
      <c r="AB740" s="12"/>
      <c r="AC740" s="12"/>
      <c r="AD740" s="12"/>
      <c r="AE740" s="12"/>
      <c r="AF740" s="12"/>
      <c r="AG740" s="13"/>
      <c r="AH740" s="13"/>
      <c r="AI740" s="13"/>
      <c r="AJ740" s="13"/>
      <c r="AK740" s="13"/>
      <c r="AL740" s="13"/>
      <c r="AM740" s="13"/>
    </row>
    <row r="741" spans="1:39">
      <c r="A741" s="8"/>
      <c r="B741" s="8"/>
      <c r="C741" s="8"/>
      <c r="D741" s="8"/>
      <c r="E741" s="8"/>
      <c r="F741" s="8"/>
      <c r="G741" s="8"/>
      <c r="H741" s="8"/>
      <c r="I741" s="8"/>
      <c r="J741" s="8"/>
      <c r="K741" s="8"/>
      <c r="L741" s="8"/>
      <c r="M741" s="8"/>
      <c r="N741" s="8"/>
      <c r="O741" s="8"/>
      <c r="P741" s="8"/>
      <c r="Q741" s="8"/>
      <c r="R741" s="8"/>
      <c r="S741" s="8"/>
      <c r="T741" s="8"/>
      <c r="U741" s="12"/>
      <c r="V741" s="12"/>
      <c r="W741" s="12"/>
      <c r="X741" s="12"/>
      <c r="Y741" s="12"/>
      <c r="Z741" s="12"/>
      <c r="AA741" s="12"/>
      <c r="AB741" s="12"/>
      <c r="AC741" s="12"/>
      <c r="AD741" s="12"/>
      <c r="AE741" s="12"/>
      <c r="AF741" s="12"/>
      <c r="AG741" s="13"/>
      <c r="AH741" s="13"/>
      <c r="AI741" s="13"/>
      <c r="AJ741" s="13"/>
      <c r="AK741" s="13"/>
      <c r="AL741" s="13"/>
      <c r="AM741" s="13"/>
    </row>
    <row r="742" spans="1:39">
      <c r="A742" s="8"/>
      <c r="B742" s="8"/>
      <c r="C742" s="8"/>
      <c r="D742" s="8"/>
      <c r="E742" s="8"/>
      <c r="F742" s="8"/>
      <c r="G742" s="8"/>
      <c r="H742" s="8"/>
      <c r="I742" s="8"/>
      <c r="J742" s="8"/>
      <c r="K742" s="8"/>
      <c r="L742" s="8"/>
      <c r="M742" s="8"/>
      <c r="N742" s="8"/>
      <c r="O742" s="8"/>
      <c r="P742" s="8"/>
      <c r="Q742" s="8"/>
      <c r="R742" s="8"/>
      <c r="S742" s="8"/>
      <c r="T742" s="8"/>
      <c r="U742" s="12"/>
      <c r="V742" s="12"/>
      <c r="W742" s="12"/>
      <c r="X742" s="12"/>
      <c r="Y742" s="12"/>
      <c r="Z742" s="12"/>
      <c r="AA742" s="12"/>
      <c r="AB742" s="12"/>
      <c r="AC742" s="12"/>
      <c r="AD742" s="12"/>
      <c r="AE742" s="12"/>
      <c r="AF742" s="12"/>
      <c r="AG742" s="13"/>
      <c r="AH742" s="13"/>
      <c r="AI742" s="13"/>
      <c r="AJ742" s="13"/>
      <c r="AK742" s="13"/>
      <c r="AL742" s="13"/>
      <c r="AM742" s="13"/>
    </row>
    <row r="743" spans="1:39">
      <c r="A743" s="8"/>
      <c r="B743" s="8"/>
      <c r="C743" s="8"/>
      <c r="D743" s="8"/>
      <c r="E743" s="8"/>
      <c r="F743" s="8"/>
      <c r="G743" s="8"/>
      <c r="H743" s="8"/>
      <c r="I743" s="8"/>
      <c r="J743" s="8"/>
      <c r="K743" s="8"/>
      <c r="L743" s="8"/>
      <c r="M743" s="8"/>
      <c r="N743" s="8"/>
      <c r="O743" s="8"/>
      <c r="P743" s="8"/>
      <c r="Q743" s="8"/>
      <c r="R743" s="8"/>
      <c r="S743" s="8"/>
      <c r="T743" s="8"/>
      <c r="U743" s="12"/>
      <c r="V743" s="12"/>
      <c r="W743" s="12"/>
      <c r="X743" s="12"/>
      <c r="Y743" s="12"/>
      <c r="Z743" s="12"/>
      <c r="AA743" s="12"/>
      <c r="AB743" s="12"/>
      <c r="AC743" s="12"/>
      <c r="AD743" s="12"/>
      <c r="AE743" s="12"/>
      <c r="AF743" s="12"/>
      <c r="AG743" s="13"/>
      <c r="AH743" s="13"/>
      <c r="AI743" s="13"/>
      <c r="AJ743" s="13"/>
      <c r="AK743" s="13"/>
      <c r="AL743" s="13"/>
      <c r="AM743" s="13"/>
    </row>
    <row r="744" spans="1:39">
      <c r="A744" s="8"/>
      <c r="B744" s="8"/>
      <c r="C744" s="8"/>
      <c r="D744" s="8"/>
      <c r="E744" s="8"/>
      <c r="F744" s="8"/>
      <c r="G744" s="8"/>
      <c r="H744" s="8"/>
      <c r="I744" s="8"/>
      <c r="J744" s="8"/>
      <c r="K744" s="8"/>
      <c r="L744" s="8"/>
      <c r="M744" s="8"/>
      <c r="N744" s="8"/>
      <c r="O744" s="8"/>
      <c r="P744" s="8"/>
      <c r="Q744" s="8"/>
      <c r="R744" s="8"/>
      <c r="S744" s="8"/>
      <c r="T744" s="8"/>
      <c r="U744" s="12"/>
      <c r="V744" s="12"/>
      <c r="W744" s="12"/>
      <c r="X744" s="12"/>
      <c r="Y744" s="12"/>
      <c r="Z744" s="12"/>
      <c r="AA744" s="12"/>
      <c r="AB744" s="12"/>
      <c r="AC744" s="12"/>
      <c r="AD744" s="12"/>
      <c r="AE744" s="12"/>
      <c r="AF744" s="12"/>
      <c r="AG744" s="13"/>
      <c r="AH744" s="13"/>
      <c r="AI744" s="13"/>
      <c r="AJ744" s="13"/>
      <c r="AK744" s="13"/>
      <c r="AL744" s="13"/>
      <c r="AM744" s="13"/>
    </row>
    <row r="745" spans="1:39">
      <c r="A745" s="8"/>
      <c r="B745" s="8"/>
      <c r="C745" s="8"/>
      <c r="D745" s="8"/>
      <c r="E745" s="8"/>
      <c r="F745" s="8"/>
      <c r="G745" s="8"/>
      <c r="H745" s="8"/>
      <c r="I745" s="8"/>
      <c r="J745" s="8"/>
      <c r="K745" s="8"/>
      <c r="L745" s="8"/>
      <c r="M745" s="8"/>
      <c r="N745" s="8"/>
      <c r="O745" s="8"/>
      <c r="P745" s="8"/>
      <c r="Q745" s="8"/>
      <c r="R745" s="8"/>
      <c r="S745" s="8"/>
      <c r="T745" s="8"/>
      <c r="U745" s="12"/>
      <c r="V745" s="12"/>
      <c r="W745" s="12"/>
      <c r="X745" s="12"/>
      <c r="Y745" s="12"/>
      <c r="Z745" s="12"/>
      <c r="AA745" s="12"/>
      <c r="AB745" s="12"/>
      <c r="AC745" s="12"/>
      <c r="AD745" s="12"/>
      <c r="AE745" s="12"/>
      <c r="AF745" s="12"/>
      <c r="AG745" s="13"/>
      <c r="AH745" s="13"/>
      <c r="AI745" s="13"/>
      <c r="AJ745" s="13"/>
      <c r="AK745" s="13"/>
      <c r="AL745" s="13"/>
      <c r="AM745" s="13"/>
    </row>
    <row r="746" spans="1:39">
      <c r="A746" s="8"/>
      <c r="B746" s="8"/>
      <c r="C746" s="8"/>
      <c r="D746" s="8"/>
      <c r="E746" s="8"/>
      <c r="F746" s="8"/>
      <c r="G746" s="8"/>
      <c r="H746" s="8"/>
      <c r="I746" s="8"/>
      <c r="J746" s="8"/>
      <c r="K746" s="8"/>
      <c r="L746" s="8"/>
      <c r="M746" s="8"/>
      <c r="N746" s="8"/>
      <c r="O746" s="8"/>
      <c r="P746" s="8"/>
      <c r="Q746" s="8"/>
      <c r="R746" s="8"/>
      <c r="S746" s="8"/>
      <c r="T746" s="8"/>
      <c r="U746" s="12"/>
      <c r="V746" s="12"/>
      <c r="W746" s="12"/>
      <c r="X746" s="12"/>
      <c r="Y746" s="12"/>
      <c r="Z746" s="12"/>
      <c r="AA746" s="12"/>
      <c r="AB746" s="12"/>
      <c r="AC746" s="12"/>
      <c r="AD746" s="12"/>
      <c r="AE746" s="12"/>
      <c r="AF746" s="12"/>
      <c r="AG746" s="13"/>
      <c r="AH746" s="13"/>
      <c r="AI746" s="13"/>
      <c r="AJ746" s="13"/>
      <c r="AK746" s="13"/>
      <c r="AL746" s="13"/>
      <c r="AM746" s="13"/>
    </row>
    <row r="747" spans="1:39">
      <c r="A747" s="8"/>
      <c r="B747" s="8"/>
      <c r="C747" s="8"/>
      <c r="D747" s="8"/>
      <c r="E747" s="8"/>
      <c r="F747" s="8"/>
      <c r="G747" s="8"/>
      <c r="H747" s="8"/>
      <c r="I747" s="8"/>
      <c r="J747" s="8"/>
      <c r="K747" s="8"/>
      <c r="L747" s="8"/>
      <c r="M747" s="8"/>
      <c r="N747" s="8"/>
      <c r="O747" s="8"/>
      <c r="P747" s="8"/>
      <c r="Q747" s="8"/>
      <c r="R747" s="8"/>
      <c r="S747" s="8"/>
      <c r="T747" s="8"/>
      <c r="U747" s="12"/>
      <c r="V747" s="12"/>
      <c r="W747" s="12"/>
      <c r="X747" s="12"/>
      <c r="Y747" s="12"/>
      <c r="Z747" s="12"/>
      <c r="AA747" s="12"/>
      <c r="AB747" s="12"/>
      <c r="AC747" s="12"/>
      <c r="AD747" s="12"/>
      <c r="AE747" s="12"/>
      <c r="AF747" s="12"/>
      <c r="AG747" s="13"/>
      <c r="AH747" s="13"/>
      <c r="AI747" s="13"/>
      <c r="AJ747" s="13"/>
      <c r="AK747" s="13"/>
      <c r="AL747" s="13"/>
      <c r="AM747" s="13"/>
    </row>
    <row r="748" spans="1:39">
      <c r="A748" s="8"/>
      <c r="B748" s="8"/>
      <c r="C748" s="8"/>
      <c r="D748" s="8"/>
      <c r="E748" s="8"/>
      <c r="F748" s="8"/>
      <c r="G748" s="8"/>
      <c r="H748" s="8"/>
      <c r="I748" s="8"/>
      <c r="J748" s="8"/>
      <c r="K748" s="8"/>
      <c r="L748" s="8"/>
      <c r="M748" s="8"/>
      <c r="N748" s="8"/>
      <c r="O748" s="8"/>
      <c r="P748" s="8"/>
      <c r="Q748" s="8"/>
      <c r="R748" s="8"/>
      <c r="S748" s="8"/>
      <c r="T748" s="8"/>
      <c r="U748" s="12"/>
      <c r="V748" s="12"/>
      <c r="W748" s="12"/>
      <c r="X748" s="12"/>
      <c r="Y748" s="12"/>
      <c r="Z748" s="12"/>
      <c r="AA748" s="12"/>
      <c r="AB748" s="12"/>
      <c r="AC748" s="12"/>
      <c r="AD748" s="12"/>
      <c r="AE748" s="12"/>
      <c r="AF748" s="12"/>
      <c r="AG748" s="13"/>
      <c r="AH748" s="13"/>
      <c r="AI748" s="13"/>
      <c r="AJ748" s="13"/>
      <c r="AK748" s="13"/>
      <c r="AL748" s="13"/>
      <c r="AM748" s="13"/>
    </row>
    <row r="749" spans="1:39">
      <c r="A749" s="8"/>
      <c r="B749" s="8"/>
      <c r="C749" s="8"/>
      <c r="D749" s="8"/>
      <c r="E749" s="8"/>
      <c r="F749" s="8"/>
      <c r="G749" s="8"/>
      <c r="H749" s="8"/>
      <c r="I749" s="8"/>
      <c r="J749" s="8"/>
      <c r="K749" s="8"/>
      <c r="L749" s="8"/>
      <c r="M749" s="8"/>
      <c r="N749" s="8"/>
      <c r="O749" s="8"/>
      <c r="P749" s="8"/>
      <c r="Q749" s="8"/>
      <c r="R749" s="8"/>
      <c r="S749" s="8"/>
      <c r="T749" s="8"/>
      <c r="U749" s="12"/>
      <c r="V749" s="12"/>
      <c r="W749" s="12"/>
      <c r="X749" s="12"/>
      <c r="Y749" s="12"/>
      <c r="Z749" s="12"/>
      <c r="AA749" s="12"/>
      <c r="AB749" s="12"/>
      <c r="AC749" s="12"/>
      <c r="AD749" s="12"/>
      <c r="AE749" s="12"/>
      <c r="AF749" s="12"/>
      <c r="AG749" s="13"/>
      <c r="AH749" s="13"/>
      <c r="AI749" s="13"/>
      <c r="AJ749" s="13"/>
      <c r="AK749" s="13"/>
      <c r="AL749" s="13"/>
      <c r="AM749" s="13"/>
    </row>
    <row r="750" spans="1:39">
      <c r="A750" s="8"/>
      <c r="B750" s="8"/>
      <c r="C750" s="8"/>
      <c r="D750" s="8"/>
      <c r="E750" s="8"/>
      <c r="F750" s="8"/>
      <c r="G750" s="8"/>
      <c r="H750" s="8"/>
      <c r="I750" s="8"/>
      <c r="J750" s="8"/>
      <c r="K750" s="8"/>
      <c r="L750" s="8"/>
      <c r="M750" s="8"/>
      <c r="N750" s="8"/>
      <c r="O750" s="8"/>
      <c r="P750" s="8"/>
      <c r="Q750" s="8"/>
      <c r="R750" s="8"/>
      <c r="S750" s="8"/>
      <c r="T750" s="8"/>
      <c r="U750" s="12"/>
      <c r="V750" s="12"/>
      <c r="W750" s="12"/>
      <c r="X750" s="12"/>
      <c r="Y750" s="12"/>
      <c r="Z750" s="12"/>
      <c r="AA750" s="12"/>
      <c r="AB750" s="12"/>
      <c r="AC750" s="12"/>
      <c r="AD750" s="12"/>
      <c r="AE750" s="12"/>
      <c r="AF750" s="12"/>
      <c r="AG750" s="13"/>
      <c r="AH750" s="13"/>
      <c r="AI750" s="13"/>
      <c r="AJ750" s="13"/>
      <c r="AK750" s="13"/>
      <c r="AL750" s="13"/>
      <c r="AM750" s="13"/>
    </row>
    <row r="751" spans="1:39">
      <c r="A751" s="8"/>
      <c r="B751" s="8"/>
      <c r="C751" s="8"/>
      <c r="D751" s="8"/>
      <c r="E751" s="8"/>
      <c r="F751" s="8"/>
      <c r="G751" s="8"/>
      <c r="H751" s="8"/>
      <c r="I751" s="8"/>
      <c r="J751" s="8"/>
      <c r="K751" s="8"/>
      <c r="L751" s="8"/>
      <c r="M751" s="8"/>
      <c r="N751" s="8"/>
      <c r="O751" s="8"/>
      <c r="P751" s="8"/>
      <c r="Q751" s="8"/>
      <c r="R751" s="8"/>
      <c r="S751" s="8"/>
      <c r="T751" s="8"/>
      <c r="U751" s="12"/>
      <c r="V751" s="12"/>
      <c r="W751" s="12"/>
      <c r="X751" s="12"/>
      <c r="Y751" s="12"/>
      <c r="Z751" s="12"/>
      <c r="AA751" s="12"/>
      <c r="AB751" s="12"/>
      <c r="AC751" s="12"/>
      <c r="AD751" s="12"/>
      <c r="AE751" s="12"/>
      <c r="AF751" s="12"/>
      <c r="AG751" s="13"/>
      <c r="AH751" s="13"/>
      <c r="AI751" s="13"/>
      <c r="AJ751" s="13"/>
      <c r="AK751" s="13"/>
      <c r="AL751" s="13"/>
      <c r="AM751" s="13"/>
    </row>
    <row r="752" spans="1:39">
      <c r="A752" s="8"/>
      <c r="B752" s="8"/>
      <c r="C752" s="8"/>
      <c r="D752" s="8"/>
      <c r="E752" s="8"/>
      <c r="F752" s="8"/>
      <c r="G752" s="8"/>
      <c r="H752" s="8"/>
      <c r="I752" s="8"/>
      <c r="J752" s="8"/>
      <c r="K752" s="8"/>
      <c r="L752" s="8"/>
      <c r="M752" s="8"/>
      <c r="N752" s="8"/>
      <c r="O752" s="8"/>
      <c r="P752" s="8"/>
      <c r="Q752" s="8"/>
      <c r="R752" s="8"/>
      <c r="S752" s="8"/>
      <c r="T752" s="8"/>
      <c r="U752" s="12"/>
      <c r="V752" s="12"/>
      <c r="W752" s="12"/>
      <c r="X752" s="12"/>
      <c r="Y752" s="12"/>
      <c r="Z752" s="12"/>
      <c r="AA752" s="12"/>
      <c r="AB752" s="12"/>
      <c r="AC752" s="12"/>
      <c r="AD752" s="12"/>
      <c r="AE752" s="12"/>
      <c r="AF752" s="12"/>
      <c r="AG752" s="13"/>
      <c r="AH752" s="13"/>
      <c r="AI752" s="13"/>
      <c r="AJ752" s="13"/>
      <c r="AK752" s="13"/>
      <c r="AL752" s="13"/>
      <c r="AM752" s="13"/>
    </row>
    <row r="753" spans="1:39">
      <c r="A753" s="8"/>
      <c r="B753" s="8"/>
      <c r="C753" s="8"/>
      <c r="D753" s="8"/>
      <c r="E753" s="8"/>
      <c r="F753" s="8"/>
      <c r="G753" s="8"/>
      <c r="H753" s="8"/>
      <c r="I753" s="8"/>
      <c r="J753" s="8"/>
      <c r="K753" s="8"/>
      <c r="L753" s="8"/>
      <c r="M753" s="8"/>
      <c r="N753" s="8"/>
      <c r="O753" s="8"/>
      <c r="P753" s="8"/>
      <c r="Q753" s="8"/>
      <c r="R753" s="8"/>
      <c r="S753" s="8"/>
      <c r="T753" s="8"/>
      <c r="U753" s="12"/>
      <c r="V753" s="12"/>
      <c r="W753" s="12"/>
      <c r="X753" s="12"/>
      <c r="Y753" s="12"/>
      <c r="Z753" s="12"/>
      <c r="AA753" s="12"/>
      <c r="AB753" s="12"/>
      <c r="AC753" s="12"/>
      <c r="AD753" s="12"/>
      <c r="AE753" s="12"/>
      <c r="AF753" s="12"/>
      <c r="AG753" s="13"/>
      <c r="AH753" s="13"/>
      <c r="AI753" s="13"/>
      <c r="AJ753" s="13"/>
      <c r="AK753" s="13"/>
      <c r="AL753" s="13"/>
      <c r="AM753" s="13"/>
    </row>
    <row r="754" spans="1:39">
      <c r="A754" s="8"/>
      <c r="B754" s="8"/>
      <c r="C754" s="8"/>
      <c r="D754" s="8"/>
      <c r="E754" s="8"/>
      <c r="F754" s="8"/>
      <c r="G754" s="8"/>
      <c r="H754" s="8"/>
      <c r="I754" s="8"/>
      <c r="J754" s="8"/>
      <c r="K754" s="8"/>
      <c r="L754" s="8"/>
      <c r="M754" s="8"/>
      <c r="N754" s="8"/>
      <c r="O754" s="8"/>
      <c r="P754" s="8"/>
      <c r="Q754" s="8"/>
      <c r="R754" s="8"/>
      <c r="S754" s="8"/>
      <c r="T754" s="8"/>
      <c r="U754" s="12"/>
      <c r="V754" s="12"/>
      <c r="W754" s="12"/>
      <c r="X754" s="12"/>
      <c r="Y754" s="12"/>
      <c r="Z754" s="12"/>
      <c r="AA754" s="12"/>
      <c r="AB754" s="12"/>
      <c r="AC754" s="12"/>
      <c r="AD754" s="12"/>
      <c r="AE754" s="12"/>
      <c r="AF754" s="12"/>
      <c r="AG754" s="13"/>
      <c r="AH754" s="13"/>
      <c r="AI754" s="13"/>
      <c r="AJ754" s="13"/>
      <c r="AK754" s="13"/>
      <c r="AL754" s="13"/>
      <c r="AM754" s="13"/>
    </row>
    <row r="755" spans="1:39">
      <c r="A755" s="8"/>
      <c r="B755" s="8"/>
      <c r="C755" s="8"/>
      <c r="D755" s="8"/>
      <c r="E755" s="8"/>
      <c r="F755" s="8"/>
      <c r="G755" s="8"/>
      <c r="H755" s="8"/>
      <c r="I755" s="8"/>
      <c r="J755" s="8"/>
      <c r="K755" s="8"/>
      <c r="L755" s="8"/>
      <c r="M755" s="8"/>
      <c r="N755" s="8"/>
      <c r="O755" s="8"/>
      <c r="P755" s="8"/>
      <c r="Q755" s="8"/>
      <c r="R755" s="8"/>
      <c r="S755" s="8"/>
      <c r="T755" s="8"/>
      <c r="U755" s="12"/>
      <c r="V755" s="12"/>
      <c r="W755" s="12"/>
      <c r="X755" s="12"/>
      <c r="Y755" s="12"/>
      <c r="Z755" s="12"/>
      <c r="AA755" s="12"/>
      <c r="AB755" s="12"/>
      <c r="AC755" s="12"/>
      <c r="AD755" s="12"/>
      <c r="AE755" s="12"/>
      <c r="AF755" s="12"/>
      <c r="AG755" s="13"/>
      <c r="AH755" s="13"/>
      <c r="AI755" s="13"/>
      <c r="AJ755" s="13"/>
      <c r="AK755" s="13"/>
      <c r="AL755" s="13"/>
      <c r="AM755" s="13"/>
    </row>
    <row r="756" spans="1:39">
      <c r="A756" s="8"/>
      <c r="B756" s="8"/>
      <c r="C756" s="8"/>
      <c r="D756" s="8"/>
      <c r="E756" s="8"/>
      <c r="F756" s="8"/>
      <c r="G756" s="8"/>
      <c r="H756" s="8"/>
      <c r="I756" s="8"/>
      <c r="J756" s="8"/>
      <c r="K756" s="8"/>
      <c r="L756" s="8"/>
      <c r="M756" s="8"/>
      <c r="N756" s="8"/>
      <c r="O756" s="8"/>
      <c r="P756" s="8"/>
      <c r="Q756" s="8"/>
      <c r="R756" s="8"/>
      <c r="S756" s="8"/>
      <c r="T756" s="8"/>
      <c r="U756" s="12"/>
      <c r="V756" s="12"/>
      <c r="W756" s="12"/>
      <c r="X756" s="12"/>
      <c r="Y756" s="12"/>
      <c r="Z756" s="12"/>
      <c r="AA756" s="12"/>
      <c r="AB756" s="12"/>
      <c r="AC756" s="12"/>
      <c r="AD756" s="12"/>
      <c r="AE756" s="12"/>
      <c r="AF756" s="12"/>
      <c r="AG756" s="13"/>
      <c r="AH756" s="13"/>
      <c r="AI756" s="13"/>
      <c r="AJ756" s="13"/>
      <c r="AK756" s="13"/>
      <c r="AL756" s="13"/>
      <c r="AM756" s="13"/>
    </row>
    <row r="757" spans="1:39">
      <c r="A757" s="8"/>
      <c r="B757" s="8"/>
      <c r="C757" s="8"/>
      <c r="D757" s="8"/>
      <c r="E757" s="8"/>
      <c r="F757" s="8"/>
      <c r="G757" s="8"/>
      <c r="H757" s="8"/>
      <c r="I757" s="8"/>
      <c r="J757" s="8"/>
      <c r="K757" s="8"/>
      <c r="L757" s="8"/>
      <c r="M757" s="8"/>
      <c r="N757" s="8"/>
      <c r="O757" s="8"/>
      <c r="P757" s="8"/>
      <c r="Q757" s="8"/>
      <c r="R757" s="8"/>
      <c r="S757" s="8"/>
      <c r="T757" s="8"/>
      <c r="U757" s="12"/>
      <c r="V757" s="12"/>
      <c r="W757" s="12"/>
      <c r="X757" s="12"/>
      <c r="Y757" s="12"/>
      <c r="Z757" s="12"/>
      <c r="AA757" s="12"/>
      <c r="AB757" s="12"/>
      <c r="AC757" s="12"/>
      <c r="AD757" s="12"/>
      <c r="AE757" s="12"/>
      <c r="AF757" s="12"/>
      <c r="AG757" s="13"/>
      <c r="AH757" s="13"/>
      <c r="AI757" s="13"/>
      <c r="AJ757" s="13"/>
      <c r="AK757" s="13"/>
      <c r="AL757" s="13"/>
      <c r="AM757" s="13"/>
    </row>
    <row r="758" spans="1:39">
      <c r="A758" s="8"/>
      <c r="B758" s="8"/>
      <c r="C758" s="8"/>
      <c r="D758" s="8"/>
      <c r="E758" s="8"/>
      <c r="F758" s="8"/>
      <c r="G758" s="8"/>
      <c r="H758" s="8"/>
      <c r="I758" s="8"/>
      <c r="J758" s="8"/>
      <c r="K758" s="8"/>
      <c r="L758" s="8"/>
      <c r="M758" s="8"/>
      <c r="N758" s="8"/>
      <c r="O758" s="8"/>
      <c r="P758" s="8"/>
      <c r="Q758" s="8"/>
      <c r="R758" s="8"/>
      <c r="S758" s="8"/>
      <c r="T758" s="8"/>
      <c r="U758" s="12"/>
      <c r="V758" s="12"/>
      <c r="W758" s="12"/>
      <c r="X758" s="12"/>
      <c r="Y758" s="12"/>
      <c r="Z758" s="12"/>
      <c r="AA758" s="12"/>
      <c r="AB758" s="12"/>
      <c r="AC758" s="12"/>
      <c r="AD758" s="12"/>
      <c r="AE758" s="12"/>
      <c r="AF758" s="12"/>
      <c r="AG758" s="13"/>
      <c r="AH758" s="13"/>
      <c r="AI758" s="13"/>
      <c r="AJ758" s="13"/>
      <c r="AK758" s="13"/>
      <c r="AL758" s="13"/>
      <c r="AM758" s="13"/>
    </row>
    <row r="759" spans="1:39">
      <c r="A759" s="8"/>
      <c r="B759" s="8"/>
      <c r="C759" s="8"/>
      <c r="D759" s="8"/>
      <c r="E759" s="8"/>
      <c r="F759" s="8"/>
      <c r="G759" s="8"/>
      <c r="H759" s="8"/>
      <c r="I759" s="8"/>
      <c r="J759" s="8"/>
      <c r="K759" s="8"/>
      <c r="L759" s="8"/>
      <c r="M759" s="8"/>
      <c r="N759" s="8"/>
      <c r="O759" s="8"/>
      <c r="P759" s="8"/>
      <c r="Q759" s="8"/>
      <c r="R759" s="8"/>
      <c r="S759" s="8"/>
      <c r="T759" s="8"/>
      <c r="U759" s="12"/>
      <c r="V759" s="12"/>
      <c r="W759" s="12"/>
      <c r="X759" s="12"/>
      <c r="Y759" s="12"/>
      <c r="Z759" s="12"/>
      <c r="AA759" s="12"/>
      <c r="AB759" s="12"/>
      <c r="AC759" s="12"/>
      <c r="AD759" s="12"/>
      <c r="AE759" s="12"/>
      <c r="AF759" s="12"/>
      <c r="AG759" s="13"/>
      <c r="AH759" s="13"/>
      <c r="AI759" s="13"/>
      <c r="AJ759" s="13"/>
      <c r="AK759" s="13"/>
      <c r="AL759" s="13"/>
      <c r="AM759" s="13"/>
    </row>
    <row r="760" spans="1:39">
      <c r="A760" s="8"/>
      <c r="B760" s="8"/>
      <c r="C760" s="8"/>
      <c r="D760" s="8"/>
      <c r="E760" s="8"/>
      <c r="F760" s="8"/>
      <c r="G760" s="8"/>
      <c r="H760" s="8"/>
      <c r="I760" s="8"/>
      <c r="J760" s="8"/>
      <c r="K760" s="8"/>
      <c r="L760" s="8"/>
      <c r="M760" s="8"/>
      <c r="N760" s="8"/>
      <c r="O760" s="8"/>
      <c r="P760" s="8"/>
      <c r="Q760" s="8"/>
      <c r="R760" s="8"/>
      <c r="S760" s="8"/>
      <c r="T760" s="8"/>
      <c r="U760" s="12"/>
      <c r="V760" s="12"/>
      <c r="W760" s="12"/>
      <c r="X760" s="12"/>
      <c r="Y760" s="12"/>
      <c r="Z760" s="12"/>
      <c r="AA760" s="12"/>
      <c r="AB760" s="12"/>
      <c r="AC760" s="12"/>
      <c r="AD760" s="12"/>
      <c r="AE760" s="12"/>
      <c r="AF760" s="12"/>
      <c r="AG760" s="13"/>
      <c r="AH760" s="13"/>
      <c r="AI760" s="13"/>
      <c r="AJ760" s="13"/>
      <c r="AK760" s="13"/>
      <c r="AL760" s="13"/>
      <c r="AM760" s="13"/>
    </row>
    <row r="761" spans="1:39">
      <c r="A761" s="8"/>
      <c r="B761" s="8"/>
      <c r="C761" s="8"/>
      <c r="D761" s="8"/>
      <c r="E761" s="8"/>
      <c r="F761" s="8"/>
      <c r="G761" s="8"/>
      <c r="H761" s="8"/>
      <c r="I761" s="8"/>
      <c r="J761" s="8"/>
      <c r="K761" s="8"/>
      <c r="L761" s="8"/>
      <c r="M761" s="8"/>
      <c r="N761" s="8"/>
      <c r="O761" s="8"/>
      <c r="P761" s="8"/>
      <c r="Q761" s="8"/>
      <c r="R761" s="8"/>
      <c r="S761" s="8"/>
      <c r="T761" s="8"/>
      <c r="U761" s="12"/>
      <c r="V761" s="12"/>
      <c r="W761" s="12"/>
      <c r="X761" s="12"/>
      <c r="Y761" s="12"/>
      <c r="Z761" s="12"/>
      <c r="AA761" s="12"/>
      <c r="AB761" s="12"/>
      <c r="AC761" s="12"/>
      <c r="AD761" s="12"/>
      <c r="AE761" s="12"/>
      <c r="AF761" s="12"/>
      <c r="AG761" s="13"/>
      <c r="AH761" s="13"/>
      <c r="AI761" s="13"/>
      <c r="AJ761" s="13"/>
      <c r="AK761" s="13"/>
      <c r="AL761" s="13"/>
      <c r="AM761" s="13"/>
    </row>
    <row r="762" spans="1:39">
      <c r="A762" s="8"/>
      <c r="B762" s="8"/>
      <c r="C762" s="8"/>
      <c r="D762" s="8"/>
      <c r="E762" s="8"/>
      <c r="F762" s="8"/>
      <c r="G762" s="8"/>
      <c r="H762" s="8"/>
      <c r="I762" s="8"/>
      <c r="J762" s="8"/>
      <c r="K762" s="8"/>
      <c r="L762" s="8"/>
      <c r="M762" s="8"/>
      <c r="N762" s="8"/>
      <c r="O762" s="8"/>
      <c r="P762" s="8"/>
      <c r="Q762" s="8"/>
      <c r="R762" s="8"/>
      <c r="S762" s="8"/>
      <c r="T762" s="8"/>
      <c r="U762" s="12"/>
      <c r="V762" s="12"/>
      <c r="W762" s="12"/>
      <c r="X762" s="12"/>
      <c r="Y762" s="12"/>
      <c r="Z762" s="12"/>
      <c r="AA762" s="12"/>
      <c r="AB762" s="12"/>
      <c r="AC762" s="12"/>
      <c r="AD762" s="12"/>
      <c r="AE762" s="12"/>
      <c r="AF762" s="12"/>
      <c r="AG762" s="13"/>
      <c r="AH762" s="13"/>
      <c r="AI762" s="13"/>
      <c r="AJ762" s="13"/>
      <c r="AK762" s="13"/>
      <c r="AL762" s="13"/>
      <c r="AM762" s="13"/>
    </row>
    <row r="763" spans="1:39">
      <c r="A763" s="8"/>
      <c r="B763" s="8"/>
      <c r="C763" s="8"/>
      <c r="D763" s="8"/>
      <c r="E763" s="8"/>
      <c r="F763" s="8"/>
      <c r="G763" s="8"/>
      <c r="H763" s="8"/>
      <c r="I763" s="8"/>
      <c r="J763" s="8"/>
      <c r="K763" s="8"/>
      <c r="L763" s="8"/>
      <c r="M763" s="8"/>
      <c r="N763" s="8"/>
      <c r="O763" s="8"/>
      <c r="P763" s="8"/>
      <c r="Q763" s="8"/>
      <c r="R763" s="8"/>
      <c r="S763" s="8"/>
      <c r="T763" s="8"/>
      <c r="U763" s="12"/>
      <c r="V763" s="12"/>
      <c r="W763" s="12"/>
      <c r="X763" s="12"/>
      <c r="Y763" s="12"/>
      <c r="Z763" s="12"/>
      <c r="AA763" s="12"/>
      <c r="AB763" s="12"/>
      <c r="AC763" s="12"/>
      <c r="AD763" s="12"/>
      <c r="AE763" s="12"/>
      <c r="AF763" s="12"/>
      <c r="AG763" s="13"/>
      <c r="AH763" s="13"/>
      <c r="AI763" s="13"/>
      <c r="AJ763" s="13"/>
      <c r="AK763" s="13"/>
      <c r="AL763" s="13"/>
      <c r="AM763" s="13"/>
    </row>
    <row r="764" spans="1:39">
      <c r="A764" s="8"/>
      <c r="B764" s="8"/>
      <c r="C764" s="8"/>
      <c r="D764" s="8"/>
      <c r="E764" s="8"/>
      <c r="F764" s="8"/>
      <c r="G764" s="8"/>
      <c r="H764" s="8"/>
      <c r="I764" s="8"/>
      <c r="J764" s="8"/>
      <c r="K764" s="8"/>
      <c r="L764" s="8"/>
      <c r="M764" s="8"/>
      <c r="N764" s="8"/>
      <c r="O764" s="8"/>
      <c r="P764" s="8"/>
      <c r="Q764" s="8"/>
      <c r="R764" s="8"/>
      <c r="S764" s="8"/>
      <c r="T764" s="8"/>
      <c r="U764" s="12"/>
      <c r="V764" s="12"/>
      <c r="W764" s="12"/>
      <c r="X764" s="12"/>
      <c r="Y764" s="12"/>
      <c r="Z764" s="12"/>
      <c r="AA764" s="12"/>
      <c r="AB764" s="12"/>
      <c r="AC764" s="12"/>
      <c r="AD764" s="12"/>
      <c r="AE764" s="12"/>
      <c r="AF764" s="12"/>
      <c r="AG764" s="13"/>
      <c r="AH764" s="13"/>
      <c r="AI764" s="13"/>
      <c r="AJ764" s="13"/>
      <c r="AK764" s="13"/>
      <c r="AL764" s="13"/>
      <c r="AM764" s="13"/>
    </row>
    <row r="765" spans="1:39">
      <c r="A765" s="8"/>
      <c r="B765" s="8"/>
      <c r="C765" s="8"/>
      <c r="D765" s="8"/>
      <c r="E765" s="8"/>
      <c r="F765" s="8"/>
      <c r="G765" s="8"/>
      <c r="H765" s="8"/>
      <c r="I765" s="8"/>
      <c r="J765" s="8"/>
      <c r="K765" s="8"/>
      <c r="L765" s="8"/>
      <c r="M765" s="8"/>
      <c r="N765" s="8"/>
      <c r="O765" s="8"/>
      <c r="P765" s="8"/>
      <c r="Q765" s="8"/>
      <c r="R765" s="8"/>
      <c r="S765" s="8"/>
      <c r="T765" s="8"/>
      <c r="U765" s="12"/>
      <c r="V765" s="12"/>
      <c r="W765" s="12"/>
      <c r="X765" s="12"/>
      <c r="Y765" s="12"/>
      <c r="Z765" s="12"/>
      <c r="AA765" s="12"/>
      <c r="AB765" s="12"/>
      <c r="AC765" s="12"/>
      <c r="AD765" s="12"/>
      <c r="AE765" s="12"/>
      <c r="AF765" s="12"/>
      <c r="AG765" s="13"/>
      <c r="AH765" s="13"/>
      <c r="AI765" s="13"/>
      <c r="AJ765" s="13"/>
      <c r="AK765" s="13"/>
      <c r="AL765" s="13"/>
      <c r="AM765" s="13"/>
    </row>
    <row r="766" spans="1:39">
      <c r="A766" s="8"/>
      <c r="B766" s="8"/>
      <c r="C766" s="8"/>
      <c r="D766" s="8"/>
      <c r="E766" s="8"/>
      <c r="F766" s="8"/>
      <c r="G766" s="8"/>
      <c r="H766" s="8"/>
      <c r="I766" s="8"/>
      <c r="J766" s="8"/>
      <c r="K766" s="8"/>
      <c r="L766" s="8"/>
      <c r="M766" s="8"/>
      <c r="N766" s="8"/>
      <c r="O766" s="8"/>
      <c r="P766" s="8"/>
      <c r="Q766" s="8"/>
      <c r="R766" s="8"/>
      <c r="S766" s="8"/>
      <c r="T766" s="8"/>
      <c r="U766" s="12"/>
      <c r="V766" s="12"/>
      <c r="W766" s="12"/>
      <c r="X766" s="12"/>
      <c r="Y766" s="12"/>
      <c r="Z766" s="12"/>
      <c r="AA766" s="12"/>
      <c r="AB766" s="12"/>
      <c r="AC766" s="12"/>
      <c r="AD766" s="12"/>
      <c r="AE766" s="12"/>
      <c r="AF766" s="12"/>
      <c r="AG766" s="13"/>
      <c r="AH766" s="13"/>
      <c r="AI766" s="13"/>
      <c r="AJ766" s="13"/>
      <c r="AK766" s="13"/>
      <c r="AL766" s="13"/>
      <c r="AM766" s="13"/>
    </row>
    <row r="767" spans="1:39">
      <c r="A767" s="8"/>
      <c r="B767" s="8"/>
      <c r="C767" s="8"/>
      <c r="D767" s="8"/>
      <c r="E767" s="8"/>
      <c r="F767" s="8"/>
      <c r="G767" s="8"/>
      <c r="H767" s="8"/>
      <c r="I767" s="8"/>
      <c r="J767" s="8"/>
      <c r="K767" s="8"/>
      <c r="L767" s="8"/>
      <c r="M767" s="8"/>
      <c r="N767" s="8"/>
      <c r="O767" s="8"/>
      <c r="P767" s="8"/>
      <c r="Q767" s="8"/>
      <c r="R767" s="8"/>
      <c r="S767" s="8"/>
      <c r="T767" s="8"/>
      <c r="U767" s="12"/>
      <c r="V767" s="12"/>
      <c r="W767" s="12"/>
      <c r="X767" s="12"/>
      <c r="Y767" s="12"/>
      <c r="Z767" s="12"/>
      <c r="AA767" s="12"/>
      <c r="AB767" s="12"/>
      <c r="AC767" s="12"/>
      <c r="AD767" s="12"/>
      <c r="AE767" s="12"/>
      <c r="AF767" s="12"/>
      <c r="AG767" s="13"/>
      <c r="AH767" s="13"/>
      <c r="AI767" s="13"/>
      <c r="AJ767" s="13"/>
      <c r="AK767" s="13"/>
      <c r="AL767" s="13"/>
      <c r="AM767" s="13"/>
    </row>
    <row r="768" spans="1:39">
      <c r="A768" s="8"/>
      <c r="B768" s="8"/>
      <c r="C768" s="8"/>
      <c r="D768" s="8"/>
      <c r="E768" s="8"/>
      <c r="F768" s="8"/>
      <c r="G768" s="8"/>
      <c r="H768" s="8"/>
      <c r="I768" s="8"/>
      <c r="J768" s="8"/>
      <c r="K768" s="8"/>
      <c r="L768" s="8"/>
      <c r="M768" s="8"/>
      <c r="N768" s="8"/>
      <c r="O768" s="8"/>
      <c r="P768" s="8"/>
      <c r="Q768" s="8"/>
      <c r="R768" s="8"/>
      <c r="S768" s="8"/>
      <c r="T768" s="8"/>
      <c r="U768" s="12"/>
      <c r="V768" s="12"/>
      <c r="W768" s="12"/>
      <c r="X768" s="12"/>
      <c r="Y768" s="12"/>
      <c r="Z768" s="12"/>
      <c r="AA768" s="12"/>
      <c r="AB768" s="12"/>
      <c r="AC768" s="12"/>
      <c r="AD768" s="12"/>
      <c r="AE768" s="12"/>
      <c r="AF768" s="12"/>
      <c r="AG768" s="13"/>
      <c r="AH768" s="13"/>
      <c r="AI768" s="13"/>
      <c r="AJ768" s="13"/>
      <c r="AK768" s="13"/>
      <c r="AL768" s="13"/>
      <c r="AM768" s="13"/>
    </row>
    <row r="769" spans="1:39">
      <c r="A769" s="8"/>
      <c r="B769" s="8"/>
      <c r="C769" s="8"/>
      <c r="D769" s="8"/>
      <c r="E769" s="8"/>
      <c r="F769" s="8"/>
      <c r="G769" s="8"/>
      <c r="H769" s="8"/>
      <c r="I769" s="8"/>
      <c r="J769" s="8"/>
      <c r="K769" s="8"/>
      <c r="L769" s="8"/>
      <c r="M769" s="8"/>
      <c r="N769" s="8"/>
      <c r="O769" s="8"/>
      <c r="P769" s="8"/>
      <c r="Q769" s="8"/>
      <c r="R769" s="8"/>
      <c r="S769" s="8"/>
      <c r="T769" s="8"/>
      <c r="U769" s="12"/>
      <c r="V769" s="12"/>
      <c r="W769" s="12"/>
      <c r="X769" s="12"/>
      <c r="Y769" s="12"/>
      <c r="Z769" s="12"/>
      <c r="AA769" s="12"/>
      <c r="AB769" s="12"/>
      <c r="AC769" s="12"/>
      <c r="AD769" s="12"/>
      <c r="AE769" s="12"/>
      <c r="AF769" s="12"/>
      <c r="AG769" s="13"/>
      <c r="AH769" s="13"/>
      <c r="AI769" s="13"/>
      <c r="AJ769" s="13"/>
      <c r="AK769" s="13"/>
      <c r="AL769" s="13"/>
      <c r="AM769" s="13"/>
    </row>
    <row r="770" spans="1:39">
      <c r="A770" s="8"/>
      <c r="B770" s="8"/>
      <c r="C770" s="8"/>
      <c r="D770" s="8"/>
      <c r="E770" s="8"/>
      <c r="F770" s="8"/>
      <c r="G770" s="8"/>
      <c r="H770" s="8"/>
      <c r="I770" s="8"/>
      <c r="J770" s="8"/>
      <c r="K770" s="8"/>
      <c r="L770" s="8"/>
      <c r="M770" s="8"/>
      <c r="N770" s="8"/>
      <c r="O770" s="8"/>
      <c r="P770" s="8"/>
      <c r="Q770" s="8"/>
      <c r="R770" s="8"/>
      <c r="S770" s="8"/>
      <c r="T770" s="8"/>
      <c r="U770" s="12"/>
      <c r="V770" s="12"/>
      <c r="W770" s="12"/>
      <c r="X770" s="12"/>
      <c r="Y770" s="12"/>
      <c r="Z770" s="12"/>
      <c r="AA770" s="12"/>
      <c r="AB770" s="12"/>
      <c r="AC770" s="12"/>
      <c r="AD770" s="12"/>
      <c r="AE770" s="12"/>
      <c r="AF770" s="12"/>
      <c r="AG770" s="13"/>
      <c r="AH770" s="13"/>
      <c r="AI770" s="13"/>
      <c r="AJ770" s="13"/>
      <c r="AK770" s="13"/>
      <c r="AL770" s="13"/>
      <c r="AM770" s="13"/>
    </row>
    <row r="771" spans="1:39">
      <c r="A771" s="8"/>
      <c r="B771" s="8"/>
      <c r="C771" s="8"/>
      <c r="D771" s="8"/>
      <c r="E771" s="8"/>
      <c r="F771" s="8"/>
      <c r="G771" s="8"/>
      <c r="H771" s="8"/>
      <c r="I771" s="8"/>
      <c r="J771" s="8"/>
      <c r="K771" s="8"/>
      <c r="L771" s="8"/>
      <c r="M771" s="8"/>
      <c r="N771" s="8"/>
      <c r="O771" s="8"/>
      <c r="P771" s="8"/>
      <c r="Q771" s="8"/>
      <c r="R771" s="8"/>
      <c r="S771" s="8"/>
      <c r="T771" s="8"/>
      <c r="U771" s="12"/>
      <c r="V771" s="12"/>
      <c r="W771" s="12"/>
      <c r="X771" s="12"/>
      <c r="Y771" s="12"/>
      <c r="Z771" s="12"/>
      <c r="AA771" s="12"/>
      <c r="AB771" s="12"/>
      <c r="AC771" s="12"/>
      <c r="AD771" s="12"/>
      <c r="AE771" s="12"/>
      <c r="AF771" s="12"/>
      <c r="AG771" s="13"/>
      <c r="AH771" s="13"/>
      <c r="AI771" s="13"/>
      <c r="AJ771" s="13"/>
      <c r="AK771" s="13"/>
      <c r="AL771" s="13"/>
      <c r="AM771" s="13"/>
    </row>
    <row r="772" spans="1:39">
      <c r="A772" s="8"/>
      <c r="B772" s="8"/>
      <c r="C772" s="8"/>
      <c r="D772" s="8"/>
      <c r="E772" s="8"/>
      <c r="F772" s="8"/>
      <c r="G772" s="8"/>
      <c r="H772" s="8"/>
      <c r="I772" s="8"/>
      <c r="J772" s="8"/>
      <c r="K772" s="8"/>
      <c r="L772" s="8"/>
      <c r="M772" s="8"/>
      <c r="N772" s="8"/>
      <c r="O772" s="8"/>
      <c r="P772" s="8"/>
      <c r="Q772" s="8"/>
      <c r="R772" s="8"/>
      <c r="S772" s="8"/>
      <c r="T772" s="8"/>
      <c r="U772" s="12"/>
      <c r="V772" s="12"/>
      <c r="W772" s="12"/>
      <c r="X772" s="12"/>
      <c r="Y772" s="12"/>
      <c r="Z772" s="12"/>
      <c r="AA772" s="12"/>
      <c r="AB772" s="12"/>
      <c r="AC772" s="12"/>
      <c r="AD772" s="12"/>
      <c r="AE772" s="12"/>
      <c r="AF772" s="12"/>
      <c r="AG772" s="13"/>
      <c r="AH772" s="13"/>
      <c r="AI772" s="13"/>
      <c r="AJ772" s="13"/>
      <c r="AK772" s="13"/>
      <c r="AL772" s="13"/>
      <c r="AM772" s="13"/>
    </row>
    <row r="773" spans="1:39">
      <c r="A773" s="8"/>
      <c r="B773" s="8"/>
      <c r="C773" s="8"/>
      <c r="D773" s="8"/>
      <c r="E773" s="8"/>
      <c r="F773" s="8"/>
      <c r="G773" s="8"/>
      <c r="H773" s="8"/>
      <c r="I773" s="8"/>
      <c r="J773" s="8"/>
      <c r="K773" s="8"/>
      <c r="L773" s="8"/>
      <c r="M773" s="8"/>
      <c r="N773" s="8"/>
      <c r="O773" s="8"/>
      <c r="P773" s="8"/>
      <c r="Q773" s="8"/>
      <c r="R773" s="8"/>
      <c r="S773" s="8"/>
      <c r="T773" s="8"/>
      <c r="U773" s="12"/>
      <c r="V773" s="12"/>
      <c r="W773" s="12"/>
      <c r="X773" s="12"/>
      <c r="Y773" s="12"/>
      <c r="Z773" s="12"/>
      <c r="AA773" s="12"/>
      <c r="AB773" s="12"/>
      <c r="AC773" s="12"/>
      <c r="AD773" s="12"/>
      <c r="AE773" s="12"/>
      <c r="AF773" s="12"/>
      <c r="AG773" s="13"/>
      <c r="AH773" s="13"/>
      <c r="AI773" s="13"/>
      <c r="AJ773" s="13"/>
      <c r="AK773" s="13"/>
      <c r="AL773" s="13"/>
      <c r="AM773" s="13"/>
    </row>
    <row r="774" spans="1:39">
      <c r="A774" s="8"/>
      <c r="B774" s="8"/>
      <c r="C774" s="8"/>
      <c r="D774" s="8"/>
      <c r="E774" s="8"/>
      <c r="F774" s="8"/>
      <c r="G774" s="8"/>
      <c r="H774" s="8"/>
      <c r="I774" s="8"/>
      <c r="J774" s="8"/>
      <c r="K774" s="8"/>
      <c r="L774" s="8"/>
      <c r="M774" s="8"/>
      <c r="N774" s="8"/>
      <c r="O774" s="8"/>
      <c r="P774" s="8"/>
      <c r="Q774" s="8"/>
      <c r="R774" s="8"/>
      <c r="S774" s="8"/>
      <c r="T774" s="8"/>
      <c r="U774" s="12"/>
      <c r="V774" s="12"/>
      <c r="W774" s="12"/>
      <c r="X774" s="12"/>
      <c r="Y774" s="12"/>
      <c r="Z774" s="12"/>
      <c r="AA774" s="12"/>
      <c r="AB774" s="12"/>
      <c r="AC774" s="12"/>
      <c r="AD774" s="12"/>
      <c r="AE774" s="12"/>
      <c r="AF774" s="12"/>
      <c r="AG774" s="13"/>
      <c r="AH774" s="13"/>
      <c r="AI774" s="13"/>
      <c r="AJ774" s="13"/>
      <c r="AK774" s="13"/>
      <c r="AL774" s="13"/>
      <c r="AM774" s="13"/>
    </row>
    <row r="775" spans="1:39">
      <c r="A775" s="8"/>
      <c r="B775" s="8"/>
      <c r="C775" s="8"/>
      <c r="D775" s="8"/>
      <c r="E775" s="8"/>
      <c r="F775" s="8"/>
      <c r="G775" s="8"/>
      <c r="H775" s="8"/>
      <c r="I775" s="8"/>
      <c r="J775" s="8"/>
      <c r="K775" s="8"/>
      <c r="L775" s="8"/>
      <c r="M775" s="8"/>
      <c r="N775" s="8"/>
      <c r="O775" s="8"/>
      <c r="P775" s="8"/>
      <c r="Q775" s="8"/>
      <c r="R775" s="8"/>
      <c r="S775" s="8"/>
      <c r="T775" s="8"/>
      <c r="U775" s="12"/>
      <c r="V775" s="12"/>
      <c r="W775" s="12"/>
      <c r="X775" s="12"/>
      <c r="Y775" s="12"/>
      <c r="Z775" s="12"/>
      <c r="AA775" s="12"/>
      <c r="AB775" s="12"/>
      <c r="AC775" s="12"/>
      <c r="AD775" s="12"/>
      <c r="AE775" s="12"/>
      <c r="AF775" s="12"/>
      <c r="AG775" s="13"/>
      <c r="AH775" s="13"/>
      <c r="AI775" s="13"/>
      <c r="AJ775" s="13"/>
      <c r="AK775" s="13"/>
      <c r="AL775" s="13"/>
      <c r="AM775" s="13"/>
    </row>
    <row r="776" spans="1:39">
      <c r="A776" s="8"/>
      <c r="B776" s="8"/>
      <c r="C776" s="8"/>
      <c r="D776" s="8"/>
      <c r="E776" s="8"/>
      <c r="F776" s="8"/>
      <c r="G776" s="8"/>
      <c r="H776" s="8"/>
      <c r="I776" s="8"/>
      <c r="J776" s="8"/>
      <c r="K776" s="8"/>
      <c r="L776" s="8"/>
      <c r="M776" s="8"/>
      <c r="N776" s="8"/>
      <c r="O776" s="8"/>
      <c r="P776" s="8"/>
      <c r="Q776" s="8"/>
      <c r="R776" s="8"/>
      <c r="S776" s="8"/>
      <c r="T776" s="8"/>
      <c r="U776" s="12"/>
      <c r="V776" s="12"/>
      <c r="W776" s="12"/>
      <c r="X776" s="12"/>
      <c r="Y776" s="12"/>
      <c r="Z776" s="12"/>
      <c r="AA776" s="12"/>
      <c r="AB776" s="12"/>
      <c r="AC776" s="12"/>
      <c r="AD776" s="12"/>
      <c r="AE776" s="12"/>
      <c r="AF776" s="12"/>
      <c r="AG776" s="13"/>
      <c r="AH776" s="13"/>
      <c r="AI776" s="13"/>
      <c r="AJ776" s="13"/>
      <c r="AK776" s="13"/>
      <c r="AL776" s="13"/>
      <c r="AM776" s="13"/>
    </row>
    <row r="777" spans="1:39">
      <c r="A777" s="8"/>
      <c r="B777" s="8"/>
      <c r="C777" s="8"/>
      <c r="D777" s="8"/>
      <c r="E777" s="8"/>
      <c r="F777" s="8"/>
      <c r="G777" s="8"/>
      <c r="H777" s="8"/>
      <c r="I777" s="8"/>
      <c r="J777" s="8"/>
      <c r="K777" s="8"/>
      <c r="L777" s="8"/>
      <c r="M777" s="8"/>
      <c r="N777" s="8"/>
      <c r="O777" s="8"/>
      <c r="P777" s="8"/>
      <c r="Q777" s="8"/>
      <c r="R777" s="8"/>
      <c r="S777" s="8"/>
      <c r="T777" s="8"/>
      <c r="U777" s="12"/>
      <c r="V777" s="12"/>
      <c r="W777" s="12"/>
      <c r="X777" s="12"/>
      <c r="Y777" s="12"/>
      <c r="Z777" s="12"/>
      <c r="AA777" s="12"/>
      <c r="AB777" s="12"/>
      <c r="AC777" s="12"/>
      <c r="AD777" s="12"/>
      <c r="AE777" s="12"/>
      <c r="AF777" s="12"/>
      <c r="AG777" s="13"/>
      <c r="AH777" s="13"/>
      <c r="AI777" s="13"/>
      <c r="AJ777" s="13"/>
      <c r="AK777" s="13"/>
      <c r="AL777" s="13"/>
      <c r="AM777" s="13"/>
    </row>
    <row r="778" spans="1:39">
      <c r="A778" s="8"/>
      <c r="B778" s="8"/>
      <c r="C778" s="8"/>
      <c r="D778" s="8"/>
      <c r="E778" s="8"/>
      <c r="F778" s="8"/>
      <c r="G778" s="8"/>
      <c r="H778" s="8"/>
      <c r="I778" s="8"/>
      <c r="J778" s="8"/>
      <c r="K778" s="8"/>
      <c r="L778" s="8"/>
      <c r="M778" s="8"/>
      <c r="N778" s="8"/>
      <c r="O778" s="8"/>
      <c r="P778" s="8"/>
      <c r="Q778" s="8"/>
      <c r="R778" s="8"/>
      <c r="S778" s="8"/>
      <c r="T778" s="8"/>
      <c r="U778" s="12"/>
      <c r="V778" s="12"/>
      <c r="W778" s="12"/>
      <c r="X778" s="12"/>
      <c r="Y778" s="12"/>
      <c r="Z778" s="12"/>
      <c r="AA778" s="12"/>
      <c r="AB778" s="12"/>
      <c r="AC778" s="12"/>
      <c r="AD778" s="12"/>
      <c r="AE778" s="12"/>
      <c r="AF778" s="12"/>
      <c r="AG778" s="13"/>
      <c r="AH778" s="13"/>
      <c r="AI778" s="13"/>
      <c r="AJ778" s="13"/>
      <c r="AK778" s="13"/>
      <c r="AL778" s="13"/>
      <c r="AM778" s="13"/>
    </row>
    <row r="779" spans="1:39">
      <c r="A779" s="8"/>
      <c r="B779" s="8"/>
      <c r="C779" s="8"/>
      <c r="D779" s="8"/>
      <c r="E779" s="8"/>
      <c r="F779" s="8"/>
      <c r="G779" s="8"/>
      <c r="H779" s="8"/>
      <c r="I779" s="8"/>
      <c r="J779" s="8"/>
      <c r="K779" s="8"/>
      <c r="L779" s="8"/>
      <c r="M779" s="8"/>
      <c r="N779" s="8"/>
      <c r="O779" s="8"/>
      <c r="P779" s="8"/>
      <c r="Q779" s="8"/>
      <c r="R779" s="8"/>
      <c r="S779" s="8"/>
      <c r="T779" s="8"/>
      <c r="U779" s="12"/>
      <c r="V779" s="12"/>
      <c r="W779" s="12"/>
      <c r="X779" s="12"/>
      <c r="Y779" s="12"/>
      <c r="Z779" s="12"/>
      <c r="AA779" s="12"/>
      <c r="AB779" s="12"/>
      <c r="AC779" s="12"/>
      <c r="AD779" s="12"/>
      <c r="AE779" s="12"/>
      <c r="AF779" s="12"/>
      <c r="AG779" s="13"/>
      <c r="AH779" s="13"/>
      <c r="AI779" s="13"/>
      <c r="AJ779" s="13"/>
      <c r="AK779" s="13"/>
      <c r="AL779" s="13"/>
      <c r="AM779" s="13"/>
    </row>
    <row r="780" spans="1:39">
      <c r="A780" s="8"/>
      <c r="B780" s="8"/>
      <c r="C780" s="8"/>
      <c r="D780" s="8"/>
      <c r="E780" s="8"/>
      <c r="F780" s="8"/>
      <c r="G780" s="8"/>
      <c r="H780" s="8"/>
      <c r="I780" s="8"/>
      <c r="J780" s="8"/>
      <c r="K780" s="8"/>
      <c r="L780" s="8"/>
      <c r="M780" s="8"/>
      <c r="N780" s="8"/>
      <c r="O780" s="8"/>
      <c r="P780" s="8"/>
      <c r="Q780" s="8"/>
      <c r="R780" s="8"/>
      <c r="S780" s="8"/>
      <c r="T780" s="8"/>
      <c r="U780" s="12"/>
      <c r="V780" s="12"/>
      <c r="W780" s="12"/>
      <c r="X780" s="12"/>
      <c r="Y780" s="12"/>
      <c r="Z780" s="12"/>
      <c r="AA780" s="12"/>
      <c r="AB780" s="12"/>
      <c r="AC780" s="12"/>
      <c r="AD780" s="12"/>
      <c r="AE780" s="12"/>
      <c r="AF780" s="12"/>
      <c r="AG780" s="13"/>
      <c r="AH780" s="13"/>
      <c r="AI780" s="13"/>
      <c r="AJ780" s="13"/>
      <c r="AK780" s="13"/>
      <c r="AL780" s="13"/>
      <c r="AM780" s="13"/>
    </row>
    <row r="781" spans="1:39">
      <c r="A781" s="8"/>
      <c r="B781" s="8"/>
      <c r="C781" s="8"/>
      <c r="D781" s="8"/>
      <c r="E781" s="8"/>
      <c r="F781" s="8"/>
      <c r="G781" s="8"/>
      <c r="H781" s="8"/>
      <c r="I781" s="8"/>
      <c r="J781" s="8"/>
      <c r="K781" s="8"/>
      <c r="L781" s="8"/>
      <c r="M781" s="8"/>
      <c r="N781" s="8"/>
      <c r="O781" s="8"/>
      <c r="P781" s="8"/>
      <c r="Q781" s="8"/>
      <c r="R781" s="8"/>
      <c r="S781" s="8"/>
      <c r="T781" s="8"/>
      <c r="U781" s="12"/>
      <c r="V781" s="12"/>
      <c r="W781" s="12"/>
      <c r="X781" s="12"/>
      <c r="Y781" s="12"/>
      <c r="Z781" s="12"/>
      <c r="AA781" s="12"/>
      <c r="AB781" s="12"/>
      <c r="AC781" s="12"/>
      <c r="AD781" s="12"/>
      <c r="AE781" s="12"/>
      <c r="AF781" s="12"/>
      <c r="AG781" s="13"/>
      <c r="AH781" s="13"/>
      <c r="AI781" s="13"/>
      <c r="AJ781" s="13"/>
      <c r="AK781" s="13"/>
      <c r="AL781" s="13"/>
      <c r="AM781" s="13"/>
    </row>
    <row r="782" spans="1:39">
      <c r="A782" s="8"/>
      <c r="B782" s="8"/>
      <c r="C782" s="8"/>
      <c r="D782" s="8"/>
      <c r="E782" s="8"/>
      <c r="F782" s="8"/>
      <c r="G782" s="8"/>
      <c r="H782" s="8"/>
      <c r="I782" s="8"/>
      <c r="J782" s="8"/>
      <c r="K782" s="8"/>
      <c r="L782" s="8"/>
      <c r="M782" s="8"/>
      <c r="N782" s="8"/>
      <c r="O782" s="8"/>
      <c r="P782" s="8"/>
      <c r="Q782" s="8"/>
      <c r="R782" s="8"/>
      <c r="S782" s="8"/>
      <c r="T782" s="8"/>
      <c r="U782" s="12"/>
      <c r="V782" s="12"/>
      <c r="W782" s="12"/>
      <c r="X782" s="12"/>
      <c r="Y782" s="12"/>
      <c r="Z782" s="12"/>
      <c r="AA782" s="12"/>
      <c r="AB782" s="12"/>
      <c r="AC782" s="12"/>
      <c r="AD782" s="12"/>
      <c r="AE782" s="12"/>
      <c r="AF782" s="12"/>
      <c r="AG782" s="13"/>
      <c r="AH782" s="13"/>
      <c r="AI782" s="13"/>
      <c r="AJ782" s="13"/>
      <c r="AK782" s="13"/>
      <c r="AL782" s="13"/>
      <c r="AM782" s="13"/>
    </row>
    <row r="783" spans="1:39">
      <c r="A783" s="8"/>
      <c r="B783" s="8"/>
      <c r="C783" s="8"/>
      <c r="D783" s="8"/>
      <c r="E783" s="8"/>
      <c r="F783" s="8"/>
      <c r="G783" s="8"/>
      <c r="H783" s="8"/>
      <c r="I783" s="8"/>
      <c r="J783" s="8"/>
      <c r="K783" s="8"/>
      <c r="L783" s="8"/>
      <c r="M783" s="8"/>
      <c r="N783" s="8"/>
      <c r="O783" s="8"/>
      <c r="P783" s="8"/>
      <c r="Q783" s="8"/>
      <c r="R783" s="8"/>
      <c r="S783" s="8"/>
      <c r="T783" s="8"/>
      <c r="U783" s="12"/>
      <c r="V783" s="12"/>
      <c r="W783" s="12"/>
      <c r="X783" s="12"/>
      <c r="Y783" s="12"/>
      <c r="Z783" s="12"/>
      <c r="AA783" s="12"/>
      <c r="AB783" s="12"/>
      <c r="AC783" s="12"/>
      <c r="AD783" s="12"/>
      <c r="AE783" s="12"/>
      <c r="AF783" s="12"/>
      <c r="AG783" s="13"/>
      <c r="AH783" s="13"/>
      <c r="AI783" s="13"/>
      <c r="AJ783" s="13"/>
      <c r="AK783" s="13"/>
      <c r="AL783" s="13"/>
      <c r="AM783" s="13"/>
    </row>
    <row r="784" spans="1:39">
      <c r="A784" s="8"/>
      <c r="B784" s="8"/>
      <c r="C784" s="8"/>
      <c r="D784" s="8"/>
      <c r="E784" s="8"/>
      <c r="F784" s="8"/>
      <c r="G784" s="8"/>
      <c r="H784" s="8"/>
      <c r="I784" s="8"/>
      <c r="J784" s="8"/>
      <c r="K784" s="8"/>
      <c r="L784" s="8"/>
      <c r="M784" s="8"/>
      <c r="N784" s="8"/>
      <c r="O784" s="8"/>
      <c r="P784" s="8"/>
      <c r="Q784" s="8"/>
      <c r="R784" s="8"/>
      <c r="S784" s="8"/>
      <c r="T784" s="8"/>
      <c r="U784" s="12"/>
      <c r="V784" s="12"/>
      <c r="W784" s="12"/>
      <c r="X784" s="12"/>
      <c r="Y784" s="12"/>
      <c r="Z784" s="12"/>
      <c r="AA784" s="12"/>
      <c r="AB784" s="12"/>
      <c r="AC784" s="12"/>
      <c r="AD784" s="12"/>
      <c r="AE784" s="12"/>
      <c r="AF784" s="12"/>
      <c r="AG784" s="13"/>
      <c r="AH784" s="13"/>
      <c r="AI784" s="13"/>
      <c r="AJ784" s="13"/>
      <c r="AK784" s="13"/>
      <c r="AL784" s="13"/>
      <c r="AM784" s="13"/>
    </row>
    <row r="785" spans="1:39">
      <c r="A785" s="8"/>
      <c r="B785" s="8"/>
      <c r="C785" s="8"/>
      <c r="D785" s="8"/>
      <c r="E785" s="8"/>
      <c r="F785" s="8"/>
      <c r="G785" s="8"/>
      <c r="H785" s="8"/>
      <c r="I785" s="8"/>
      <c r="J785" s="8"/>
      <c r="K785" s="8"/>
      <c r="L785" s="8"/>
      <c r="M785" s="8"/>
      <c r="N785" s="8"/>
      <c r="O785" s="8"/>
      <c r="P785" s="8"/>
      <c r="Q785" s="8"/>
      <c r="R785" s="8"/>
      <c r="S785" s="8"/>
      <c r="T785" s="8"/>
      <c r="U785" s="12"/>
      <c r="V785" s="12"/>
      <c r="W785" s="12"/>
      <c r="X785" s="12"/>
      <c r="Y785" s="12"/>
      <c r="Z785" s="12"/>
      <c r="AA785" s="12"/>
      <c r="AB785" s="12"/>
      <c r="AC785" s="12"/>
      <c r="AD785" s="12"/>
      <c r="AE785" s="12"/>
      <c r="AF785" s="12"/>
      <c r="AG785" s="13"/>
      <c r="AH785" s="13"/>
      <c r="AI785" s="13"/>
      <c r="AJ785" s="13"/>
      <c r="AK785" s="13"/>
      <c r="AL785" s="13"/>
      <c r="AM785" s="13"/>
    </row>
    <row r="786" spans="1:39">
      <c r="A786" s="8"/>
      <c r="B786" s="8"/>
      <c r="C786" s="8"/>
      <c r="D786" s="8"/>
      <c r="E786" s="8"/>
      <c r="F786" s="8"/>
      <c r="G786" s="8"/>
      <c r="H786" s="8"/>
      <c r="I786" s="8"/>
      <c r="J786" s="8"/>
      <c r="K786" s="8"/>
      <c r="L786" s="8"/>
      <c r="M786" s="8"/>
      <c r="N786" s="8"/>
      <c r="O786" s="8"/>
      <c r="P786" s="8"/>
      <c r="Q786" s="8"/>
      <c r="R786" s="8"/>
      <c r="S786" s="8"/>
      <c r="T786" s="8"/>
      <c r="U786" s="12"/>
      <c r="V786" s="12"/>
      <c r="W786" s="12"/>
      <c r="X786" s="12"/>
      <c r="Y786" s="12"/>
      <c r="Z786" s="12"/>
      <c r="AA786" s="12"/>
      <c r="AB786" s="12"/>
      <c r="AC786" s="12"/>
      <c r="AD786" s="12"/>
      <c r="AE786" s="12"/>
      <c r="AF786" s="12"/>
      <c r="AG786" s="13"/>
      <c r="AH786" s="13"/>
      <c r="AI786" s="13"/>
      <c r="AJ786" s="13"/>
      <c r="AK786" s="13"/>
      <c r="AL786" s="13"/>
      <c r="AM786" s="13"/>
    </row>
    <row r="787" spans="1:39">
      <c r="A787" s="8"/>
      <c r="B787" s="8"/>
      <c r="C787" s="8"/>
      <c r="D787" s="8"/>
      <c r="E787" s="8"/>
      <c r="F787" s="8"/>
      <c r="G787" s="8"/>
      <c r="H787" s="8"/>
      <c r="I787" s="8"/>
      <c r="J787" s="8"/>
      <c r="K787" s="8"/>
      <c r="L787" s="8"/>
      <c r="M787" s="8"/>
      <c r="N787" s="8"/>
      <c r="O787" s="8"/>
      <c r="P787" s="8"/>
      <c r="Q787" s="8"/>
      <c r="R787" s="8"/>
      <c r="S787" s="8"/>
      <c r="T787" s="8"/>
      <c r="U787" s="12"/>
      <c r="V787" s="12"/>
      <c r="W787" s="12"/>
      <c r="X787" s="12"/>
      <c r="Y787" s="12"/>
      <c r="Z787" s="12"/>
      <c r="AA787" s="12"/>
      <c r="AB787" s="12"/>
      <c r="AC787" s="12"/>
      <c r="AD787" s="12"/>
      <c r="AE787" s="12"/>
      <c r="AF787" s="12"/>
      <c r="AG787" s="13"/>
      <c r="AH787" s="13"/>
      <c r="AI787" s="13"/>
      <c r="AJ787" s="13"/>
      <c r="AK787" s="13"/>
      <c r="AL787" s="13"/>
      <c r="AM787" s="13"/>
    </row>
    <row r="788" spans="1:39">
      <c r="A788" s="8"/>
      <c r="B788" s="8"/>
      <c r="C788" s="8"/>
      <c r="D788" s="8"/>
      <c r="E788" s="8"/>
      <c r="F788" s="8"/>
      <c r="G788" s="8"/>
      <c r="H788" s="8"/>
      <c r="I788" s="8"/>
      <c r="J788" s="8"/>
      <c r="K788" s="8"/>
      <c r="L788" s="8"/>
      <c r="M788" s="8"/>
      <c r="N788" s="8"/>
      <c r="O788" s="8"/>
      <c r="P788" s="8"/>
      <c r="Q788" s="8"/>
      <c r="R788" s="8"/>
      <c r="S788" s="8"/>
      <c r="T788" s="8"/>
      <c r="U788" s="12"/>
      <c r="V788" s="12"/>
      <c r="W788" s="12"/>
      <c r="X788" s="12"/>
      <c r="Y788" s="12"/>
      <c r="Z788" s="12"/>
      <c r="AA788" s="12"/>
      <c r="AB788" s="12"/>
      <c r="AC788" s="12"/>
      <c r="AD788" s="12"/>
      <c r="AE788" s="12"/>
      <c r="AF788" s="12"/>
      <c r="AG788" s="13"/>
      <c r="AH788" s="13"/>
      <c r="AI788" s="13"/>
      <c r="AJ788" s="13"/>
      <c r="AK788" s="13"/>
      <c r="AL788" s="13"/>
      <c r="AM788" s="13"/>
    </row>
    <row r="789" spans="1:39">
      <c r="A789" s="8"/>
      <c r="B789" s="8"/>
      <c r="C789" s="8"/>
      <c r="D789" s="8"/>
      <c r="E789" s="8"/>
      <c r="F789" s="8"/>
      <c r="G789" s="8"/>
      <c r="H789" s="8"/>
      <c r="I789" s="8"/>
      <c r="J789" s="8"/>
      <c r="K789" s="8"/>
      <c r="L789" s="8"/>
      <c r="M789" s="8"/>
      <c r="N789" s="8"/>
      <c r="O789" s="8"/>
      <c r="P789" s="8"/>
      <c r="Q789" s="8"/>
      <c r="R789" s="8"/>
      <c r="S789" s="8"/>
      <c r="T789" s="8"/>
      <c r="U789" s="12"/>
      <c r="V789" s="12"/>
      <c r="W789" s="12"/>
      <c r="X789" s="12"/>
      <c r="Y789" s="12"/>
      <c r="Z789" s="12"/>
      <c r="AA789" s="12"/>
      <c r="AB789" s="12"/>
      <c r="AC789" s="12"/>
      <c r="AD789" s="12"/>
      <c r="AE789" s="12"/>
      <c r="AF789" s="12"/>
      <c r="AG789" s="13"/>
      <c r="AH789" s="13"/>
      <c r="AI789" s="13"/>
      <c r="AJ789" s="13"/>
      <c r="AK789" s="13"/>
      <c r="AL789" s="13"/>
      <c r="AM789" s="13"/>
    </row>
    <row r="790" spans="1:39">
      <c r="A790" s="8"/>
      <c r="B790" s="8"/>
      <c r="C790" s="8"/>
      <c r="D790" s="8"/>
      <c r="E790" s="8"/>
      <c r="F790" s="8"/>
      <c r="G790" s="8"/>
      <c r="H790" s="8"/>
      <c r="I790" s="8"/>
      <c r="J790" s="8"/>
      <c r="K790" s="8"/>
      <c r="L790" s="8"/>
      <c r="M790" s="8"/>
      <c r="N790" s="8"/>
      <c r="O790" s="8"/>
      <c r="P790" s="8"/>
      <c r="Q790" s="8"/>
      <c r="R790" s="8"/>
      <c r="S790" s="8"/>
      <c r="T790" s="8"/>
      <c r="U790" s="12"/>
      <c r="V790" s="12"/>
      <c r="W790" s="12"/>
      <c r="X790" s="12"/>
      <c r="Y790" s="12"/>
      <c r="Z790" s="12"/>
      <c r="AA790" s="12"/>
      <c r="AB790" s="12"/>
      <c r="AC790" s="12"/>
      <c r="AD790" s="12"/>
      <c r="AE790" s="12"/>
      <c r="AF790" s="12"/>
      <c r="AG790" s="13"/>
      <c r="AH790" s="13"/>
      <c r="AI790" s="13"/>
      <c r="AJ790" s="13"/>
      <c r="AK790" s="13"/>
      <c r="AL790" s="13"/>
      <c r="AM790" s="13"/>
    </row>
    <row r="791" spans="1:39">
      <c r="A791" s="8"/>
      <c r="B791" s="8"/>
      <c r="C791" s="8"/>
      <c r="D791" s="8"/>
      <c r="E791" s="8"/>
      <c r="F791" s="8"/>
      <c r="G791" s="8"/>
      <c r="H791" s="8"/>
      <c r="I791" s="8"/>
      <c r="J791" s="8"/>
      <c r="K791" s="8"/>
      <c r="L791" s="8"/>
      <c r="M791" s="8"/>
      <c r="N791" s="8"/>
      <c r="O791" s="8"/>
      <c r="P791" s="8"/>
      <c r="Q791" s="8"/>
      <c r="R791" s="8"/>
      <c r="S791" s="8"/>
      <c r="T791" s="8"/>
      <c r="U791" s="12"/>
      <c r="V791" s="12"/>
      <c r="W791" s="12"/>
      <c r="X791" s="12"/>
      <c r="Y791" s="12"/>
      <c r="Z791" s="12"/>
      <c r="AA791" s="12"/>
      <c r="AB791" s="12"/>
      <c r="AC791" s="12"/>
      <c r="AD791" s="12"/>
      <c r="AE791" s="12"/>
      <c r="AF791" s="12"/>
      <c r="AG791" s="13"/>
      <c r="AH791" s="13"/>
      <c r="AI791" s="13"/>
      <c r="AJ791" s="13"/>
      <c r="AK791" s="13"/>
      <c r="AL791" s="13"/>
      <c r="AM791" s="13"/>
    </row>
    <row r="792" spans="1:39">
      <c r="A792" s="8"/>
      <c r="B792" s="8"/>
      <c r="C792" s="8"/>
      <c r="D792" s="8"/>
      <c r="E792" s="8"/>
      <c r="F792" s="8"/>
      <c r="G792" s="8"/>
      <c r="H792" s="8"/>
      <c r="I792" s="8"/>
      <c r="J792" s="8"/>
      <c r="K792" s="8"/>
      <c r="L792" s="8"/>
      <c r="M792" s="8"/>
      <c r="N792" s="8"/>
      <c r="O792" s="8"/>
      <c r="P792" s="8"/>
      <c r="Q792" s="8"/>
      <c r="R792" s="8"/>
      <c r="S792" s="8"/>
      <c r="T792" s="8"/>
      <c r="U792" s="12"/>
      <c r="V792" s="12"/>
      <c r="W792" s="12"/>
      <c r="X792" s="12"/>
      <c r="Y792" s="12"/>
      <c r="Z792" s="12"/>
      <c r="AA792" s="12"/>
      <c r="AB792" s="12"/>
      <c r="AC792" s="12"/>
      <c r="AD792" s="12"/>
      <c r="AE792" s="12"/>
      <c r="AF792" s="12"/>
      <c r="AG792" s="13"/>
      <c r="AH792" s="13"/>
      <c r="AI792" s="13"/>
      <c r="AJ792" s="13"/>
      <c r="AK792" s="13"/>
      <c r="AL792" s="13"/>
      <c r="AM792" s="13"/>
    </row>
    <row r="793" spans="1:39">
      <c r="A793" s="8"/>
      <c r="B793" s="8"/>
      <c r="C793" s="8"/>
      <c r="D793" s="8"/>
      <c r="E793" s="8"/>
      <c r="F793" s="8"/>
      <c r="G793" s="8"/>
      <c r="H793" s="8"/>
      <c r="I793" s="8"/>
      <c r="J793" s="8"/>
      <c r="K793" s="8"/>
      <c r="L793" s="8"/>
      <c r="M793" s="8"/>
      <c r="N793" s="8"/>
      <c r="O793" s="8"/>
      <c r="P793" s="8"/>
      <c r="Q793" s="8"/>
      <c r="R793" s="8"/>
      <c r="S793" s="8"/>
      <c r="T793" s="8"/>
      <c r="U793" s="12"/>
      <c r="V793" s="12"/>
      <c r="W793" s="12"/>
      <c r="X793" s="12"/>
      <c r="Y793" s="12"/>
      <c r="Z793" s="12"/>
      <c r="AA793" s="12"/>
      <c r="AB793" s="12"/>
      <c r="AC793" s="12"/>
      <c r="AD793" s="12"/>
      <c r="AE793" s="12"/>
      <c r="AF793" s="12"/>
      <c r="AG793" s="13"/>
      <c r="AH793" s="13"/>
      <c r="AI793" s="13"/>
      <c r="AJ793" s="13"/>
      <c r="AK793" s="13"/>
      <c r="AL793" s="13"/>
      <c r="AM793" s="13"/>
    </row>
    <row r="794" spans="1:39">
      <c r="A794" s="8"/>
      <c r="B794" s="8"/>
      <c r="C794" s="8"/>
      <c r="D794" s="8"/>
      <c r="E794" s="8"/>
      <c r="F794" s="8"/>
      <c r="G794" s="8"/>
      <c r="H794" s="8"/>
      <c r="I794" s="8"/>
      <c r="J794" s="8"/>
      <c r="K794" s="8"/>
      <c r="L794" s="8"/>
      <c r="M794" s="8"/>
      <c r="N794" s="8"/>
      <c r="O794" s="8"/>
      <c r="P794" s="8"/>
      <c r="Q794" s="8"/>
      <c r="R794" s="8"/>
      <c r="S794" s="8"/>
      <c r="T794" s="8"/>
      <c r="U794" s="12"/>
      <c r="V794" s="12"/>
      <c r="W794" s="12"/>
      <c r="X794" s="12"/>
      <c r="Y794" s="12"/>
      <c r="Z794" s="12"/>
      <c r="AA794" s="12"/>
      <c r="AB794" s="12"/>
      <c r="AC794" s="12"/>
      <c r="AD794" s="12"/>
      <c r="AE794" s="12"/>
      <c r="AF794" s="12"/>
      <c r="AG794" s="13"/>
      <c r="AH794" s="13"/>
      <c r="AI794" s="13"/>
      <c r="AJ794" s="13"/>
      <c r="AK794" s="13"/>
      <c r="AL794" s="13"/>
      <c r="AM794" s="13"/>
    </row>
    <row r="795" spans="1:39">
      <c r="A795" s="8"/>
      <c r="B795" s="8"/>
      <c r="C795" s="8"/>
      <c r="D795" s="8"/>
      <c r="E795" s="8"/>
      <c r="F795" s="8"/>
      <c r="G795" s="8"/>
      <c r="H795" s="8"/>
      <c r="I795" s="8"/>
      <c r="J795" s="8"/>
      <c r="K795" s="8"/>
      <c r="L795" s="8"/>
      <c r="M795" s="8"/>
      <c r="N795" s="8"/>
      <c r="O795" s="8"/>
      <c r="P795" s="8"/>
      <c r="Q795" s="8"/>
      <c r="R795" s="8"/>
      <c r="S795" s="8"/>
      <c r="T795" s="8"/>
      <c r="U795" s="12"/>
      <c r="V795" s="12"/>
      <c r="W795" s="12"/>
      <c r="X795" s="12"/>
      <c r="Y795" s="12"/>
      <c r="Z795" s="12"/>
      <c r="AA795" s="12"/>
      <c r="AB795" s="12"/>
      <c r="AC795" s="12"/>
      <c r="AD795" s="12"/>
      <c r="AE795" s="12"/>
      <c r="AF795" s="12"/>
      <c r="AG795" s="13"/>
      <c r="AH795" s="13"/>
      <c r="AI795" s="13"/>
      <c r="AJ795" s="13"/>
      <c r="AK795" s="13"/>
      <c r="AL795" s="13"/>
      <c r="AM795" s="13"/>
    </row>
    <row r="796" spans="1:39">
      <c r="A796" s="8"/>
      <c r="B796" s="8"/>
      <c r="C796" s="8"/>
      <c r="D796" s="8"/>
      <c r="E796" s="8"/>
      <c r="F796" s="8"/>
      <c r="G796" s="8"/>
      <c r="H796" s="8"/>
      <c r="I796" s="8"/>
      <c r="J796" s="8"/>
      <c r="K796" s="8"/>
      <c r="L796" s="8"/>
      <c r="M796" s="8"/>
      <c r="N796" s="8"/>
      <c r="O796" s="8"/>
      <c r="P796" s="8"/>
      <c r="Q796" s="8"/>
      <c r="R796" s="8"/>
      <c r="S796" s="8"/>
      <c r="T796" s="8"/>
      <c r="U796" s="12"/>
      <c r="V796" s="12"/>
      <c r="W796" s="12"/>
      <c r="X796" s="12"/>
      <c r="Y796" s="12"/>
      <c r="Z796" s="12"/>
      <c r="AA796" s="12"/>
      <c r="AB796" s="12"/>
      <c r="AC796" s="12"/>
      <c r="AD796" s="12"/>
      <c r="AE796" s="12"/>
      <c r="AF796" s="12"/>
      <c r="AG796" s="13"/>
      <c r="AH796" s="13"/>
      <c r="AI796" s="13"/>
      <c r="AJ796" s="13"/>
      <c r="AK796" s="13"/>
      <c r="AL796" s="13"/>
      <c r="AM796" s="13"/>
    </row>
    <row r="797" spans="1:39">
      <c r="A797" s="8"/>
      <c r="B797" s="8"/>
      <c r="C797" s="8"/>
      <c r="D797" s="8"/>
      <c r="E797" s="8"/>
      <c r="F797" s="8"/>
      <c r="G797" s="8"/>
      <c r="H797" s="8"/>
      <c r="I797" s="8"/>
      <c r="J797" s="8"/>
      <c r="K797" s="8"/>
      <c r="L797" s="8"/>
      <c r="M797" s="8"/>
      <c r="N797" s="8"/>
      <c r="O797" s="8"/>
      <c r="P797" s="8"/>
      <c r="Q797" s="8"/>
      <c r="R797" s="8"/>
      <c r="S797" s="8"/>
      <c r="T797" s="8"/>
      <c r="U797" s="12"/>
      <c r="V797" s="12"/>
      <c r="W797" s="12"/>
      <c r="X797" s="12"/>
      <c r="Y797" s="12"/>
      <c r="Z797" s="12"/>
      <c r="AA797" s="12"/>
      <c r="AB797" s="12"/>
      <c r="AC797" s="12"/>
      <c r="AD797" s="12"/>
      <c r="AE797" s="12"/>
      <c r="AF797" s="12"/>
      <c r="AG797" s="13"/>
      <c r="AH797" s="13"/>
      <c r="AI797" s="13"/>
      <c r="AJ797" s="13"/>
      <c r="AK797" s="13"/>
      <c r="AL797" s="13"/>
      <c r="AM797" s="13"/>
    </row>
    <row r="798" spans="1:39">
      <c r="A798" s="8"/>
      <c r="B798" s="8"/>
      <c r="C798" s="8"/>
      <c r="D798" s="8"/>
      <c r="E798" s="8"/>
      <c r="F798" s="8"/>
      <c r="G798" s="8"/>
      <c r="H798" s="8"/>
      <c r="I798" s="8"/>
      <c r="J798" s="8"/>
      <c r="K798" s="8"/>
      <c r="L798" s="8"/>
      <c r="M798" s="8"/>
      <c r="N798" s="8"/>
      <c r="O798" s="8"/>
      <c r="P798" s="8"/>
      <c r="Q798" s="8"/>
      <c r="R798" s="8"/>
      <c r="S798" s="8"/>
      <c r="T798" s="8"/>
      <c r="U798" s="12"/>
      <c r="V798" s="12"/>
      <c r="W798" s="12"/>
      <c r="X798" s="12"/>
      <c r="Y798" s="12"/>
      <c r="Z798" s="12"/>
      <c r="AA798" s="12"/>
      <c r="AB798" s="12"/>
      <c r="AC798" s="12"/>
      <c r="AD798" s="12"/>
      <c r="AE798" s="12"/>
      <c r="AF798" s="12"/>
      <c r="AG798" s="13"/>
      <c r="AH798" s="13"/>
      <c r="AI798" s="13"/>
      <c r="AJ798" s="13"/>
      <c r="AK798" s="13"/>
      <c r="AL798" s="13"/>
      <c r="AM798" s="13"/>
    </row>
    <row r="799" spans="1:39">
      <c r="A799" s="8"/>
      <c r="B799" s="8"/>
      <c r="C799" s="8"/>
      <c r="D799" s="8"/>
      <c r="E799" s="8"/>
      <c r="F799" s="8"/>
      <c r="G799" s="8"/>
      <c r="H799" s="8"/>
      <c r="I799" s="8"/>
      <c r="J799" s="8"/>
      <c r="K799" s="8"/>
      <c r="L799" s="8"/>
      <c r="M799" s="8"/>
      <c r="N799" s="8"/>
      <c r="O799" s="8"/>
      <c r="P799" s="8"/>
      <c r="Q799" s="8"/>
      <c r="R799" s="8"/>
      <c r="S799" s="8"/>
      <c r="T799" s="8"/>
      <c r="U799" s="12"/>
      <c r="V799" s="12"/>
      <c r="W799" s="12"/>
      <c r="X799" s="12"/>
      <c r="Y799" s="12"/>
      <c r="Z799" s="12"/>
      <c r="AA799" s="12"/>
      <c r="AB799" s="12"/>
      <c r="AC799" s="12"/>
      <c r="AD799" s="12"/>
      <c r="AE799" s="12"/>
      <c r="AF799" s="12"/>
      <c r="AG799" s="13"/>
      <c r="AH799" s="13"/>
      <c r="AI799" s="13"/>
      <c r="AJ799" s="13"/>
      <c r="AK799" s="13"/>
      <c r="AL799" s="13"/>
      <c r="AM799" s="13"/>
    </row>
    <row r="800" spans="1:39">
      <c r="A800" s="8"/>
      <c r="B800" s="8"/>
      <c r="C800" s="8"/>
      <c r="D800" s="8"/>
      <c r="E800" s="8"/>
      <c r="F800" s="8"/>
      <c r="G800" s="8"/>
      <c r="H800" s="8"/>
      <c r="I800" s="8"/>
      <c r="J800" s="8"/>
      <c r="K800" s="8"/>
      <c r="L800" s="8"/>
      <c r="M800" s="8"/>
      <c r="N800" s="8"/>
      <c r="O800" s="8"/>
      <c r="P800" s="8"/>
      <c r="Q800" s="8"/>
      <c r="R800" s="8"/>
      <c r="S800" s="8"/>
      <c r="T800" s="8"/>
      <c r="U800" s="12"/>
      <c r="V800" s="12"/>
      <c r="W800" s="12"/>
      <c r="X800" s="12"/>
      <c r="Y800" s="12"/>
      <c r="Z800" s="12"/>
      <c r="AA800" s="12"/>
      <c r="AB800" s="12"/>
      <c r="AC800" s="12"/>
      <c r="AD800" s="12"/>
      <c r="AE800" s="12"/>
      <c r="AF800" s="12"/>
      <c r="AG800" s="13"/>
      <c r="AH800" s="13"/>
      <c r="AI800" s="13"/>
      <c r="AJ800" s="13"/>
      <c r="AK800" s="13"/>
      <c r="AL800" s="13"/>
      <c r="AM800" s="13"/>
    </row>
    <row r="801" spans="1:39">
      <c r="A801" s="8"/>
      <c r="B801" s="8"/>
      <c r="C801" s="8"/>
      <c r="D801" s="8"/>
      <c r="E801" s="8"/>
      <c r="F801" s="8"/>
      <c r="G801" s="8"/>
      <c r="H801" s="8"/>
      <c r="I801" s="8"/>
      <c r="J801" s="8"/>
      <c r="K801" s="8"/>
      <c r="L801" s="8"/>
      <c r="M801" s="8"/>
      <c r="N801" s="8"/>
      <c r="O801" s="8"/>
      <c r="P801" s="8"/>
      <c r="Q801" s="8"/>
      <c r="R801" s="8"/>
      <c r="S801" s="8"/>
      <c r="T801" s="8"/>
      <c r="U801" s="12"/>
      <c r="V801" s="12"/>
      <c r="W801" s="12"/>
      <c r="X801" s="12"/>
      <c r="Y801" s="12"/>
      <c r="Z801" s="12"/>
      <c r="AA801" s="12"/>
      <c r="AB801" s="12"/>
      <c r="AC801" s="12"/>
      <c r="AD801" s="12"/>
      <c r="AE801" s="12"/>
      <c r="AF801" s="12"/>
      <c r="AG801" s="13"/>
      <c r="AH801" s="13"/>
      <c r="AI801" s="13"/>
      <c r="AJ801" s="13"/>
      <c r="AK801" s="13"/>
      <c r="AL801" s="13"/>
      <c r="AM801" s="13"/>
    </row>
    <row r="802" spans="1:39">
      <c r="A802" s="8"/>
      <c r="B802" s="8"/>
      <c r="C802" s="8"/>
      <c r="D802" s="8"/>
      <c r="E802" s="8"/>
      <c r="F802" s="8"/>
      <c r="G802" s="8"/>
      <c r="H802" s="8"/>
      <c r="I802" s="8"/>
      <c r="J802" s="8"/>
      <c r="K802" s="8"/>
      <c r="L802" s="8"/>
      <c r="M802" s="8"/>
      <c r="N802" s="8"/>
      <c r="O802" s="8"/>
      <c r="P802" s="8"/>
      <c r="Q802" s="8"/>
      <c r="R802" s="8"/>
      <c r="S802" s="8"/>
      <c r="T802" s="8"/>
      <c r="U802" s="12"/>
      <c r="V802" s="12"/>
      <c r="W802" s="12"/>
      <c r="X802" s="12"/>
      <c r="Y802" s="12"/>
      <c r="Z802" s="12"/>
      <c r="AA802" s="12"/>
      <c r="AB802" s="12"/>
      <c r="AC802" s="12"/>
      <c r="AD802" s="12"/>
      <c r="AE802" s="12"/>
      <c r="AF802" s="12"/>
      <c r="AG802" s="13"/>
      <c r="AH802" s="13"/>
      <c r="AI802" s="13"/>
      <c r="AJ802" s="13"/>
      <c r="AK802" s="13"/>
      <c r="AL802" s="13"/>
      <c r="AM802" s="13"/>
    </row>
    <row r="803" spans="1:39">
      <c r="A803" s="8"/>
      <c r="B803" s="8"/>
      <c r="C803" s="8"/>
      <c r="D803" s="8"/>
      <c r="E803" s="8"/>
      <c r="F803" s="8"/>
      <c r="G803" s="8"/>
      <c r="H803" s="8"/>
      <c r="I803" s="8"/>
      <c r="J803" s="8"/>
      <c r="K803" s="8"/>
      <c r="L803" s="8"/>
      <c r="M803" s="8"/>
      <c r="N803" s="8"/>
      <c r="O803" s="8"/>
      <c r="P803" s="8"/>
      <c r="Q803" s="8"/>
      <c r="R803" s="8"/>
      <c r="S803" s="8"/>
      <c r="T803" s="8"/>
      <c r="U803" s="12"/>
      <c r="V803" s="12"/>
      <c r="W803" s="12"/>
      <c r="X803" s="12"/>
      <c r="Y803" s="12"/>
      <c r="Z803" s="12"/>
      <c r="AA803" s="12"/>
      <c r="AB803" s="12"/>
      <c r="AC803" s="12"/>
      <c r="AD803" s="12"/>
      <c r="AE803" s="12"/>
      <c r="AF803" s="12"/>
      <c r="AG803" s="13"/>
      <c r="AH803" s="13"/>
      <c r="AI803" s="13"/>
      <c r="AJ803" s="13"/>
      <c r="AK803" s="13"/>
      <c r="AL803" s="13"/>
      <c r="AM803" s="13"/>
    </row>
    <row r="804" spans="1:39">
      <c r="A804" s="8"/>
      <c r="B804" s="8"/>
      <c r="C804" s="8"/>
      <c r="D804" s="8"/>
      <c r="E804" s="8"/>
      <c r="F804" s="8"/>
      <c r="G804" s="8"/>
      <c r="H804" s="8"/>
      <c r="I804" s="8"/>
      <c r="J804" s="8"/>
      <c r="K804" s="8"/>
      <c r="L804" s="8"/>
      <c r="M804" s="8"/>
      <c r="N804" s="8"/>
      <c r="O804" s="8"/>
      <c r="P804" s="8"/>
      <c r="Q804" s="8"/>
      <c r="R804" s="8"/>
      <c r="S804" s="8"/>
      <c r="T804" s="8"/>
      <c r="U804" s="12"/>
      <c r="V804" s="12"/>
      <c r="W804" s="12"/>
      <c r="X804" s="12"/>
      <c r="Y804" s="12"/>
      <c r="Z804" s="12"/>
      <c r="AA804" s="12"/>
      <c r="AB804" s="12"/>
      <c r="AC804" s="12"/>
      <c r="AD804" s="12"/>
      <c r="AE804" s="12"/>
      <c r="AF804" s="12"/>
      <c r="AG804" s="13"/>
      <c r="AH804" s="13"/>
      <c r="AI804" s="13"/>
      <c r="AJ804" s="13"/>
      <c r="AK804" s="13"/>
      <c r="AL804" s="13"/>
      <c r="AM804" s="13"/>
    </row>
    <row r="805" spans="1:39">
      <c r="A805" s="8"/>
      <c r="B805" s="8"/>
      <c r="C805" s="8"/>
      <c r="D805" s="8"/>
      <c r="E805" s="8"/>
      <c r="F805" s="8"/>
      <c r="G805" s="8"/>
      <c r="H805" s="8"/>
      <c r="I805" s="8"/>
      <c r="J805" s="8"/>
      <c r="K805" s="8"/>
      <c r="L805" s="8"/>
      <c r="M805" s="8"/>
      <c r="N805" s="8"/>
      <c r="O805" s="8"/>
      <c r="P805" s="8"/>
      <c r="Q805" s="8"/>
      <c r="R805" s="8"/>
      <c r="S805" s="8"/>
      <c r="T805" s="8"/>
      <c r="U805" s="12"/>
      <c r="V805" s="12"/>
      <c r="W805" s="12"/>
      <c r="X805" s="12"/>
      <c r="Y805" s="12"/>
      <c r="Z805" s="12"/>
      <c r="AA805" s="12"/>
      <c r="AB805" s="12"/>
      <c r="AC805" s="12"/>
      <c r="AD805" s="12"/>
      <c r="AE805" s="12"/>
      <c r="AF805" s="12"/>
      <c r="AG805" s="13"/>
      <c r="AH805" s="13"/>
      <c r="AI805" s="13"/>
      <c r="AJ805" s="13"/>
      <c r="AK805" s="13"/>
      <c r="AL805" s="13"/>
      <c r="AM805" s="13"/>
    </row>
    <row r="806" spans="1:39">
      <c r="A806" s="8"/>
      <c r="B806" s="8"/>
      <c r="C806" s="8"/>
      <c r="D806" s="8"/>
      <c r="E806" s="8"/>
      <c r="F806" s="8"/>
      <c r="G806" s="8"/>
      <c r="H806" s="8"/>
      <c r="I806" s="8"/>
      <c r="J806" s="8"/>
      <c r="K806" s="8"/>
      <c r="L806" s="8"/>
      <c r="M806" s="8"/>
      <c r="N806" s="8"/>
      <c r="O806" s="8"/>
      <c r="P806" s="8"/>
      <c r="Q806" s="8"/>
      <c r="R806" s="8"/>
      <c r="S806" s="8"/>
      <c r="T806" s="8"/>
      <c r="U806" s="12"/>
      <c r="V806" s="12"/>
      <c r="W806" s="12"/>
      <c r="X806" s="12"/>
      <c r="Y806" s="12"/>
      <c r="Z806" s="12"/>
      <c r="AA806" s="12"/>
      <c r="AB806" s="12"/>
      <c r="AC806" s="12"/>
      <c r="AD806" s="12"/>
      <c r="AE806" s="12"/>
      <c r="AF806" s="12"/>
      <c r="AG806" s="13"/>
      <c r="AH806" s="13"/>
      <c r="AI806" s="13"/>
      <c r="AJ806" s="13"/>
      <c r="AK806" s="13"/>
      <c r="AL806" s="13"/>
      <c r="AM806" s="13"/>
    </row>
    <row r="807" spans="1:39">
      <c r="A807" s="8"/>
      <c r="B807" s="8"/>
      <c r="C807" s="8"/>
      <c r="D807" s="8"/>
      <c r="E807" s="8"/>
      <c r="F807" s="8"/>
      <c r="G807" s="8"/>
      <c r="H807" s="8"/>
      <c r="I807" s="8"/>
      <c r="J807" s="8"/>
      <c r="K807" s="8"/>
      <c r="L807" s="8"/>
      <c r="M807" s="8"/>
      <c r="N807" s="8"/>
      <c r="O807" s="8"/>
      <c r="P807" s="8"/>
      <c r="Q807" s="8"/>
      <c r="R807" s="8"/>
      <c r="S807" s="8"/>
      <c r="T807" s="8"/>
      <c r="U807" s="12"/>
      <c r="V807" s="12"/>
      <c r="W807" s="12"/>
      <c r="X807" s="12"/>
      <c r="Y807" s="12"/>
      <c r="Z807" s="12"/>
      <c r="AA807" s="12"/>
      <c r="AB807" s="12"/>
      <c r="AC807" s="12"/>
      <c r="AD807" s="12"/>
      <c r="AE807" s="12"/>
      <c r="AF807" s="12"/>
      <c r="AG807" s="13"/>
      <c r="AH807" s="13"/>
      <c r="AI807" s="13"/>
      <c r="AJ807" s="13"/>
      <c r="AK807" s="13"/>
      <c r="AL807" s="13"/>
      <c r="AM807" s="13"/>
    </row>
    <row r="808" spans="1:39">
      <c r="A808" s="8"/>
      <c r="B808" s="8"/>
      <c r="C808" s="8"/>
      <c r="D808" s="8"/>
      <c r="E808" s="8"/>
      <c r="F808" s="8"/>
      <c r="G808" s="8"/>
      <c r="H808" s="8"/>
      <c r="I808" s="8"/>
      <c r="J808" s="8"/>
      <c r="K808" s="8"/>
      <c r="L808" s="8"/>
      <c r="M808" s="8"/>
      <c r="N808" s="8"/>
      <c r="O808" s="8"/>
      <c r="P808" s="8"/>
      <c r="Q808" s="8"/>
      <c r="R808" s="8"/>
      <c r="S808" s="8"/>
      <c r="T808" s="8"/>
      <c r="U808" s="12"/>
      <c r="V808" s="12"/>
      <c r="W808" s="12"/>
      <c r="X808" s="12"/>
      <c r="Y808" s="12"/>
      <c r="Z808" s="12"/>
      <c r="AA808" s="12"/>
      <c r="AB808" s="12"/>
      <c r="AC808" s="12"/>
      <c r="AD808" s="12"/>
      <c r="AE808" s="12"/>
      <c r="AF808" s="12"/>
      <c r="AG808" s="13"/>
      <c r="AH808" s="13"/>
      <c r="AI808" s="13"/>
      <c r="AJ808" s="13"/>
      <c r="AK808" s="13"/>
      <c r="AL808" s="13"/>
      <c r="AM808" s="13"/>
    </row>
    <row r="809" spans="1:39">
      <c r="A809" s="8"/>
      <c r="B809" s="8"/>
      <c r="C809" s="8"/>
      <c r="D809" s="8"/>
      <c r="E809" s="8"/>
      <c r="F809" s="8"/>
      <c r="G809" s="8"/>
      <c r="H809" s="8"/>
      <c r="I809" s="8"/>
      <c r="J809" s="8"/>
      <c r="K809" s="8"/>
      <c r="L809" s="8"/>
      <c r="M809" s="8"/>
      <c r="N809" s="8"/>
      <c r="O809" s="8"/>
      <c r="P809" s="8"/>
      <c r="Q809" s="8"/>
      <c r="R809" s="8"/>
      <c r="S809" s="8"/>
      <c r="T809" s="8"/>
      <c r="U809" s="12"/>
      <c r="V809" s="12"/>
      <c r="W809" s="12"/>
      <c r="X809" s="12"/>
      <c r="Y809" s="12"/>
      <c r="Z809" s="12"/>
      <c r="AA809" s="12"/>
      <c r="AB809" s="12"/>
      <c r="AC809" s="12"/>
      <c r="AD809" s="12"/>
      <c r="AE809" s="12"/>
      <c r="AF809" s="12"/>
      <c r="AG809" s="13"/>
      <c r="AH809" s="13"/>
      <c r="AI809" s="13"/>
      <c r="AJ809" s="13"/>
      <c r="AK809" s="13"/>
      <c r="AL809" s="13"/>
      <c r="AM809" s="13"/>
    </row>
    <row r="810" spans="1:39">
      <c r="A810" s="8"/>
      <c r="B810" s="8"/>
      <c r="C810" s="8"/>
      <c r="D810" s="8"/>
      <c r="E810" s="8"/>
      <c r="F810" s="8"/>
      <c r="G810" s="8"/>
      <c r="H810" s="8"/>
      <c r="I810" s="8"/>
      <c r="J810" s="8"/>
      <c r="K810" s="8"/>
      <c r="L810" s="8"/>
      <c r="M810" s="8"/>
      <c r="N810" s="8"/>
      <c r="O810" s="8"/>
      <c r="P810" s="8"/>
      <c r="Q810" s="8"/>
      <c r="R810" s="8"/>
      <c r="S810" s="8"/>
      <c r="T810" s="8"/>
      <c r="U810" s="12"/>
      <c r="V810" s="12"/>
      <c r="W810" s="12"/>
      <c r="X810" s="12"/>
      <c r="Y810" s="12"/>
      <c r="Z810" s="12"/>
      <c r="AA810" s="12"/>
      <c r="AB810" s="12"/>
      <c r="AC810" s="12"/>
      <c r="AD810" s="12"/>
      <c r="AE810" s="12"/>
      <c r="AF810" s="12"/>
      <c r="AG810" s="13"/>
      <c r="AH810" s="13"/>
      <c r="AI810" s="13"/>
      <c r="AJ810" s="13"/>
      <c r="AK810" s="13"/>
      <c r="AL810" s="13"/>
      <c r="AM810" s="13"/>
    </row>
    <row r="811" spans="1:39">
      <c r="A811" s="8"/>
      <c r="B811" s="8"/>
      <c r="C811" s="8"/>
      <c r="D811" s="8"/>
      <c r="E811" s="8"/>
      <c r="F811" s="8"/>
      <c r="G811" s="8"/>
      <c r="H811" s="8"/>
      <c r="I811" s="8"/>
      <c r="J811" s="8"/>
      <c r="K811" s="8"/>
      <c r="L811" s="8"/>
      <c r="M811" s="8"/>
      <c r="N811" s="8"/>
      <c r="O811" s="8"/>
      <c r="P811" s="8"/>
      <c r="Q811" s="8"/>
      <c r="R811" s="8"/>
      <c r="S811" s="8"/>
      <c r="T811" s="8"/>
      <c r="U811" s="12"/>
      <c r="V811" s="12"/>
      <c r="W811" s="12"/>
      <c r="X811" s="12"/>
      <c r="Y811" s="12"/>
      <c r="Z811" s="12"/>
      <c r="AA811" s="12"/>
      <c r="AB811" s="12"/>
      <c r="AC811" s="12"/>
      <c r="AD811" s="12"/>
      <c r="AE811" s="12"/>
      <c r="AF811" s="12"/>
      <c r="AG811" s="13"/>
      <c r="AH811" s="13"/>
      <c r="AI811" s="13"/>
      <c r="AJ811" s="13"/>
      <c r="AK811" s="13"/>
      <c r="AL811" s="13"/>
      <c r="AM811" s="13"/>
    </row>
    <row r="812" spans="1:39">
      <c r="A812" s="8"/>
      <c r="B812" s="8"/>
      <c r="C812" s="8"/>
      <c r="D812" s="8"/>
      <c r="E812" s="8"/>
      <c r="F812" s="8"/>
      <c r="G812" s="8"/>
      <c r="H812" s="8"/>
      <c r="I812" s="8"/>
      <c r="J812" s="8"/>
      <c r="K812" s="8"/>
      <c r="L812" s="8"/>
      <c r="M812" s="8"/>
      <c r="N812" s="8"/>
      <c r="O812" s="8"/>
      <c r="P812" s="8"/>
      <c r="Q812" s="8"/>
      <c r="R812" s="8"/>
      <c r="S812" s="8"/>
      <c r="T812" s="8"/>
      <c r="U812" s="12"/>
      <c r="V812" s="12"/>
      <c r="W812" s="12"/>
      <c r="X812" s="12"/>
      <c r="Y812" s="12"/>
      <c r="Z812" s="12"/>
      <c r="AA812" s="12"/>
      <c r="AB812" s="12"/>
      <c r="AC812" s="12"/>
      <c r="AD812" s="12"/>
      <c r="AE812" s="12"/>
      <c r="AF812" s="12"/>
      <c r="AG812" s="13"/>
      <c r="AH812" s="13"/>
      <c r="AI812" s="13"/>
      <c r="AJ812" s="13"/>
      <c r="AK812" s="13"/>
      <c r="AL812" s="13"/>
      <c r="AM812" s="13"/>
    </row>
    <row r="813" spans="1:39">
      <c r="A813" s="8"/>
      <c r="B813" s="8"/>
      <c r="C813" s="8"/>
      <c r="D813" s="8"/>
      <c r="E813" s="8"/>
      <c r="F813" s="8"/>
      <c r="G813" s="8"/>
      <c r="H813" s="8"/>
      <c r="I813" s="8"/>
      <c r="J813" s="8"/>
      <c r="K813" s="8"/>
      <c r="L813" s="8"/>
      <c r="M813" s="8"/>
      <c r="N813" s="8"/>
      <c r="O813" s="8"/>
      <c r="P813" s="8"/>
      <c r="Q813" s="8"/>
      <c r="R813" s="8"/>
      <c r="S813" s="8"/>
      <c r="T813" s="8"/>
      <c r="U813" s="12"/>
      <c r="V813" s="12"/>
      <c r="W813" s="12"/>
      <c r="X813" s="12"/>
      <c r="Y813" s="12"/>
      <c r="Z813" s="12"/>
      <c r="AA813" s="12"/>
      <c r="AB813" s="12"/>
      <c r="AC813" s="12"/>
      <c r="AD813" s="12"/>
      <c r="AE813" s="12"/>
      <c r="AF813" s="12"/>
      <c r="AG813" s="13"/>
      <c r="AH813" s="13"/>
      <c r="AI813" s="13"/>
      <c r="AJ813" s="13"/>
      <c r="AK813" s="13"/>
      <c r="AL813" s="13"/>
      <c r="AM813" s="13"/>
    </row>
    <row r="814" spans="1:39">
      <c r="A814" s="8"/>
      <c r="B814" s="8"/>
      <c r="C814" s="8"/>
      <c r="D814" s="8"/>
      <c r="E814" s="8"/>
      <c r="F814" s="8"/>
      <c r="G814" s="8"/>
      <c r="H814" s="8"/>
      <c r="I814" s="8"/>
      <c r="J814" s="8"/>
      <c r="K814" s="8"/>
      <c r="L814" s="8"/>
      <c r="M814" s="8"/>
      <c r="N814" s="8"/>
      <c r="O814" s="8"/>
      <c r="P814" s="8"/>
      <c r="Q814" s="8"/>
      <c r="R814" s="8"/>
      <c r="S814" s="8"/>
      <c r="T814" s="8"/>
      <c r="U814" s="12"/>
      <c r="V814" s="12"/>
      <c r="W814" s="12"/>
      <c r="X814" s="12"/>
      <c r="Y814" s="12"/>
      <c r="Z814" s="12"/>
      <c r="AA814" s="12"/>
      <c r="AB814" s="12"/>
      <c r="AC814" s="12"/>
      <c r="AD814" s="12"/>
      <c r="AE814" s="12"/>
      <c r="AF814" s="12"/>
      <c r="AG814" s="13"/>
      <c r="AH814" s="13"/>
      <c r="AI814" s="13"/>
      <c r="AJ814" s="13"/>
      <c r="AK814" s="13"/>
      <c r="AL814" s="13"/>
      <c r="AM814" s="13"/>
    </row>
    <row r="815" spans="1:39">
      <c r="A815" s="8"/>
      <c r="B815" s="8"/>
      <c r="C815" s="8"/>
      <c r="D815" s="8"/>
      <c r="E815" s="8"/>
      <c r="F815" s="8"/>
      <c r="G815" s="8"/>
      <c r="H815" s="8"/>
      <c r="I815" s="8"/>
      <c r="J815" s="8"/>
      <c r="K815" s="8"/>
      <c r="L815" s="8"/>
      <c r="M815" s="8"/>
      <c r="N815" s="8"/>
      <c r="O815" s="8"/>
      <c r="P815" s="8"/>
      <c r="Q815" s="8"/>
      <c r="R815" s="8"/>
      <c r="S815" s="8"/>
      <c r="T815" s="8"/>
      <c r="U815" s="12"/>
      <c r="V815" s="12"/>
      <c r="W815" s="12"/>
      <c r="X815" s="12"/>
      <c r="Y815" s="12"/>
      <c r="Z815" s="12"/>
      <c r="AA815" s="12"/>
      <c r="AB815" s="12"/>
      <c r="AC815" s="12"/>
      <c r="AD815" s="12"/>
      <c r="AE815" s="12"/>
      <c r="AF815" s="12"/>
      <c r="AG815" s="13"/>
      <c r="AH815" s="13"/>
      <c r="AI815" s="13"/>
      <c r="AJ815" s="13"/>
      <c r="AK815" s="13"/>
      <c r="AL815" s="13"/>
      <c r="AM815" s="13"/>
    </row>
    <row r="816" spans="1:39">
      <c r="A816" s="8"/>
      <c r="B816" s="8"/>
      <c r="C816" s="8"/>
      <c r="D816" s="8"/>
      <c r="E816" s="8"/>
      <c r="F816" s="8"/>
      <c r="G816" s="8"/>
      <c r="H816" s="8"/>
      <c r="I816" s="8"/>
      <c r="J816" s="8"/>
      <c r="K816" s="8"/>
      <c r="L816" s="8"/>
      <c r="M816" s="8"/>
      <c r="N816" s="8"/>
      <c r="O816" s="8"/>
      <c r="P816" s="8"/>
      <c r="Q816" s="8"/>
      <c r="R816" s="8"/>
      <c r="S816" s="8"/>
      <c r="T816" s="8"/>
      <c r="U816" s="12"/>
      <c r="V816" s="12"/>
      <c r="W816" s="12"/>
      <c r="X816" s="12"/>
      <c r="Y816" s="12"/>
      <c r="Z816" s="12"/>
      <c r="AA816" s="12"/>
      <c r="AB816" s="12"/>
      <c r="AC816" s="12"/>
      <c r="AD816" s="12"/>
      <c r="AE816" s="12"/>
      <c r="AF816" s="12"/>
      <c r="AG816" s="13"/>
      <c r="AH816" s="13"/>
      <c r="AI816" s="13"/>
      <c r="AJ816" s="13"/>
      <c r="AK816" s="13"/>
      <c r="AL816" s="13"/>
      <c r="AM816" s="13"/>
    </row>
    <row r="817" spans="1:39">
      <c r="A817" s="8"/>
      <c r="B817" s="8"/>
      <c r="C817" s="8"/>
      <c r="D817" s="8"/>
      <c r="E817" s="8"/>
      <c r="F817" s="8"/>
      <c r="G817" s="8"/>
      <c r="H817" s="8"/>
      <c r="I817" s="8"/>
      <c r="J817" s="8"/>
      <c r="K817" s="8"/>
      <c r="L817" s="8"/>
      <c r="M817" s="8"/>
      <c r="N817" s="8"/>
      <c r="O817" s="8"/>
      <c r="P817" s="8"/>
      <c r="Q817" s="8"/>
      <c r="R817" s="8"/>
      <c r="S817" s="8"/>
      <c r="T817" s="8"/>
      <c r="U817" s="12"/>
      <c r="V817" s="12"/>
      <c r="W817" s="12"/>
      <c r="X817" s="12"/>
      <c r="Y817" s="12"/>
      <c r="Z817" s="12"/>
      <c r="AA817" s="12"/>
      <c r="AB817" s="12"/>
      <c r="AC817" s="12"/>
      <c r="AD817" s="12"/>
      <c r="AE817" s="12"/>
      <c r="AF817" s="12"/>
      <c r="AG817" s="13"/>
      <c r="AH817" s="13"/>
      <c r="AI817" s="13"/>
      <c r="AJ817" s="13"/>
      <c r="AK817" s="13"/>
      <c r="AL817" s="13"/>
      <c r="AM817" s="13"/>
    </row>
    <row r="818" spans="1:39">
      <c r="A818" s="8"/>
      <c r="B818" s="8"/>
      <c r="C818" s="8"/>
      <c r="D818" s="8"/>
      <c r="E818" s="8"/>
      <c r="F818" s="8"/>
      <c r="G818" s="8"/>
      <c r="H818" s="8"/>
      <c r="I818" s="8"/>
      <c r="J818" s="8"/>
      <c r="K818" s="8"/>
      <c r="L818" s="8"/>
      <c r="M818" s="8"/>
      <c r="N818" s="8"/>
      <c r="O818" s="8"/>
      <c r="P818" s="8"/>
      <c r="Q818" s="8"/>
      <c r="R818" s="8"/>
      <c r="S818" s="8"/>
      <c r="T818" s="8"/>
      <c r="U818" s="12"/>
      <c r="V818" s="12"/>
      <c r="W818" s="12"/>
      <c r="X818" s="12"/>
      <c r="Y818" s="12"/>
      <c r="Z818" s="12"/>
      <c r="AA818" s="12"/>
      <c r="AB818" s="12"/>
      <c r="AC818" s="12"/>
      <c r="AD818" s="12"/>
      <c r="AE818" s="12"/>
      <c r="AF818" s="12"/>
      <c r="AG818" s="13"/>
      <c r="AH818" s="13"/>
      <c r="AI818" s="13"/>
      <c r="AJ818" s="13"/>
      <c r="AK818" s="13"/>
      <c r="AL818" s="13"/>
      <c r="AM818" s="13"/>
    </row>
    <row r="819" spans="1:39">
      <c r="A819" s="8"/>
      <c r="B819" s="8"/>
      <c r="C819" s="8"/>
      <c r="D819" s="8"/>
      <c r="E819" s="8"/>
      <c r="F819" s="8"/>
      <c r="G819" s="8"/>
      <c r="H819" s="8"/>
      <c r="I819" s="8"/>
      <c r="J819" s="8"/>
      <c r="K819" s="8"/>
      <c r="L819" s="8"/>
      <c r="M819" s="8"/>
      <c r="N819" s="8"/>
      <c r="O819" s="8"/>
      <c r="P819" s="8"/>
      <c r="Q819" s="8"/>
      <c r="R819" s="8"/>
      <c r="S819" s="8"/>
      <c r="T819" s="8"/>
      <c r="U819" s="12"/>
      <c r="V819" s="12"/>
      <c r="W819" s="12"/>
      <c r="X819" s="12"/>
      <c r="Y819" s="12"/>
      <c r="Z819" s="12"/>
      <c r="AA819" s="12"/>
      <c r="AB819" s="12"/>
      <c r="AC819" s="12"/>
      <c r="AD819" s="12"/>
      <c r="AE819" s="12"/>
      <c r="AF819" s="12"/>
      <c r="AG819" s="13"/>
      <c r="AH819" s="13"/>
      <c r="AI819" s="13"/>
      <c r="AJ819" s="13"/>
      <c r="AK819" s="13"/>
      <c r="AL819" s="13"/>
      <c r="AM819" s="13"/>
    </row>
    <row r="820" spans="1:39">
      <c r="A820" s="8"/>
      <c r="B820" s="8"/>
      <c r="C820" s="8"/>
      <c r="D820" s="8"/>
      <c r="E820" s="8"/>
      <c r="F820" s="8"/>
      <c r="G820" s="8"/>
      <c r="H820" s="8"/>
      <c r="I820" s="8"/>
      <c r="J820" s="8"/>
      <c r="K820" s="8"/>
      <c r="L820" s="8"/>
      <c r="M820" s="8"/>
      <c r="N820" s="8"/>
      <c r="O820" s="8"/>
      <c r="P820" s="8"/>
      <c r="Q820" s="8"/>
      <c r="R820" s="8"/>
      <c r="S820" s="8"/>
      <c r="T820" s="8"/>
      <c r="U820" s="12"/>
      <c r="V820" s="12"/>
      <c r="W820" s="12"/>
      <c r="X820" s="12"/>
      <c r="Y820" s="12"/>
      <c r="Z820" s="12"/>
      <c r="AA820" s="12"/>
      <c r="AB820" s="12"/>
      <c r="AC820" s="12"/>
      <c r="AD820" s="12"/>
      <c r="AE820" s="12"/>
      <c r="AF820" s="12"/>
      <c r="AG820" s="13"/>
      <c r="AH820" s="13"/>
      <c r="AI820" s="13"/>
      <c r="AJ820" s="13"/>
      <c r="AK820" s="13"/>
      <c r="AL820" s="13"/>
      <c r="AM820" s="13"/>
    </row>
    <row r="821" spans="1:39">
      <c r="A821" s="8"/>
      <c r="B821" s="8"/>
      <c r="C821" s="8"/>
      <c r="D821" s="8"/>
      <c r="E821" s="8"/>
      <c r="F821" s="8"/>
      <c r="G821" s="8"/>
      <c r="H821" s="8"/>
      <c r="I821" s="8"/>
      <c r="J821" s="8"/>
      <c r="K821" s="8"/>
      <c r="L821" s="8"/>
      <c r="M821" s="8"/>
      <c r="N821" s="8"/>
      <c r="O821" s="8"/>
      <c r="P821" s="8"/>
      <c r="Q821" s="8"/>
      <c r="R821" s="8"/>
      <c r="S821" s="8"/>
      <c r="T821" s="8"/>
      <c r="U821" s="12"/>
      <c r="V821" s="12"/>
      <c r="W821" s="12"/>
      <c r="X821" s="12"/>
      <c r="Y821" s="12"/>
      <c r="Z821" s="12"/>
      <c r="AA821" s="12"/>
      <c r="AB821" s="12"/>
      <c r="AC821" s="12"/>
      <c r="AD821" s="12"/>
      <c r="AE821" s="12"/>
      <c r="AF821" s="12"/>
      <c r="AG821" s="13"/>
      <c r="AH821" s="13"/>
      <c r="AI821" s="13"/>
      <c r="AJ821" s="13"/>
      <c r="AK821" s="13"/>
      <c r="AL821" s="13"/>
      <c r="AM821" s="13"/>
    </row>
    <row r="822" spans="1:39">
      <c r="A822" s="8"/>
      <c r="B822" s="8"/>
      <c r="C822" s="8"/>
      <c r="D822" s="8"/>
      <c r="E822" s="8"/>
      <c r="F822" s="8"/>
      <c r="G822" s="8"/>
      <c r="H822" s="8"/>
      <c r="I822" s="8"/>
      <c r="J822" s="8"/>
      <c r="K822" s="8"/>
      <c r="L822" s="8"/>
      <c r="M822" s="8"/>
      <c r="N822" s="8"/>
      <c r="O822" s="8"/>
      <c r="P822" s="8"/>
      <c r="Q822" s="8"/>
      <c r="R822" s="8"/>
      <c r="S822" s="8"/>
      <c r="T822" s="8"/>
      <c r="U822" s="12"/>
      <c r="V822" s="12"/>
      <c r="W822" s="12"/>
      <c r="X822" s="12"/>
      <c r="Y822" s="12"/>
      <c r="Z822" s="12"/>
      <c r="AA822" s="12"/>
      <c r="AB822" s="12"/>
      <c r="AC822" s="12"/>
      <c r="AD822" s="12"/>
      <c r="AE822" s="12"/>
      <c r="AF822" s="12"/>
      <c r="AG822" s="13"/>
      <c r="AH822" s="13"/>
      <c r="AI822" s="13"/>
      <c r="AJ822" s="13"/>
      <c r="AK822" s="13"/>
      <c r="AL822" s="13"/>
      <c r="AM822" s="13"/>
    </row>
    <row r="823" spans="1:39">
      <c r="A823" s="8"/>
      <c r="B823" s="8"/>
      <c r="C823" s="8"/>
      <c r="D823" s="8"/>
      <c r="E823" s="8"/>
      <c r="F823" s="8"/>
      <c r="G823" s="8"/>
      <c r="H823" s="8"/>
      <c r="I823" s="8"/>
      <c r="J823" s="8"/>
      <c r="K823" s="8"/>
      <c r="L823" s="8"/>
      <c r="M823" s="8"/>
      <c r="N823" s="8"/>
      <c r="O823" s="8"/>
      <c r="P823" s="8"/>
      <c r="Q823" s="8"/>
      <c r="R823" s="8"/>
      <c r="S823" s="8"/>
      <c r="T823" s="8"/>
      <c r="U823" s="12"/>
      <c r="V823" s="12"/>
      <c r="W823" s="12"/>
      <c r="X823" s="12"/>
      <c r="Y823" s="12"/>
      <c r="Z823" s="12"/>
      <c r="AA823" s="12"/>
      <c r="AB823" s="12"/>
      <c r="AC823" s="12"/>
      <c r="AD823" s="12"/>
      <c r="AE823" s="12"/>
      <c r="AF823" s="12"/>
      <c r="AG823" s="13"/>
      <c r="AH823" s="13"/>
      <c r="AI823" s="13"/>
      <c r="AJ823" s="13"/>
      <c r="AK823" s="13"/>
      <c r="AL823" s="13"/>
      <c r="AM823" s="13"/>
    </row>
    <row r="824" spans="1:39">
      <c r="A824" s="8"/>
      <c r="B824" s="8"/>
      <c r="C824" s="8"/>
      <c r="D824" s="8"/>
      <c r="E824" s="8"/>
      <c r="F824" s="8"/>
      <c r="G824" s="8"/>
      <c r="H824" s="8"/>
      <c r="I824" s="8"/>
      <c r="J824" s="8"/>
      <c r="K824" s="8"/>
      <c r="L824" s="8"/>
      <c r="M824" s="8"/>
      <c r="N824" s="8"/>
      <c r="O824" s="8"/>
      <c r="P824" s="8"/>
      <c r="Q824" s="8"/>
      <c r="R824" s="8"/>
      <c r="S824" s="8"/>
      <c r="T824" s="8"/>
      <c r="U824" s="12"/>
      <c r="V824" s="12"/>
      <c r="W824" s="12"/>
      <c r="X824" s="12"/>
      <c r="Y824" s="12"/>
      <c r="Z824" s="12"/>
      <c r="AA824" s="12"/>
      <c r="AB824" s="12"/>
      <c r="AC824" s="12"/>
      <c r="AD824" s="12"/>
      <c r="AE824" s="12"/>
      <c r="AF824" s="12"/>
      <c r="AG824" s="13"/>
      <c r="AH824" s="13"/>
      <c r="AI824" s="13"/>
      <c r="AJ824" s="13"/>
      <c r="AK824" s="13"/>
      <c r="AL824" s="13"/>
      <c r="AM824" s="13"/>
    </row>
    <row r="825" spans="1:39">
      <c r="A825" s="8"/>
      <c r="B825" s="8"/>
      <c r="C825" s="8"/>
      <c r="D825" s="8"/>
      <c r="E825" s="8"/>
      <c r="F825" s="8"/>
      <c r="G825" s="8"/>
      <c r="H825" s="8"/>
      <c r="I825" s="8"/>
      <c r="J825" s="8"/>
      <c r="K825" s="8"/>
      <c r="L825" s="8"/>
      <c r="M825" s="8"/>
      <c r="N825" s="8"/>
      <c r="O825" s="8"/>
      <c r="P825" s="8"/>
      <c r="Q825" s="8"/>
      <c r="R825" s="8"/>
      <c r="S825" s="8"/>
      <c r="T825" s="8"/>
      <c r="U825" s="12"/>
      <c r="V825" s="12"/>
      <c r="W825" s="12"/>
      <c r="X825" s="12"/>
      <c r="Y825" s="12"/>
      <c r="Z825" s="12"/>
      <c r="AA825" s="12"/>
      <c r="AB825" s="12"/>
      <c r="AC825" s="12"/>
      <c r="AD825" s="12"/>
      <c r="AE825" s="12"/>
      <c r="AF825" s="12"/>
      <c r="AG825" s="13"/>
      <c r="AH825" s="13"/>
      <c r="AI825" s="13"/>
      <c r="AJ825" s="13"/>
      <c r="AK825" s="13"/>
      <c r="AL825" s="13"/>
      <c r="AM825" s="13"/>
    </row>
    <row r="826" spans="1:39">
      <c r="A826" s="8"/>
      <c r="B826" s="8"/>
      <c r="C826" s="8"/>
      <c r="D826" s="8"/>
      <c r="E826" s="8"/>
      <c r="F826" s="8"/>
      <c r="G826" s="8"/>
      <c r="H826" s="8"/>
      <c r="I826" s="8"/>
      <c r="J826" s="8"/>
      <c r="K826" s="8"/>
      <c r="L826" s="8"/>
      <c r="M826" s="8"/>
      <c r="N826" s="8"/>
      <c r="O826" s="8"/>
      <c r="P826" s="8"/>
      <c r="Q826" s="8"/>
      <c r="R826" s="8"/>
      <c r="S826" s="8"/>
      <c r="T826" s="8"/>
      <c r="U826" s="12"/>
      <c r="V826" s="12"/>
      <c r="W826" s="12"/>
      <c r="X826" s="12"/>
      <c r="Y826" s="12"/>
      <c r="Z826" s="12"/>
      <c r="AA826" s="12"/>
      <c r="AB826" s="12"/>
      <c r="AC826" s="12"/>
      <c r="AD826" s="12"/>
      <c r="AE826" s="12"/>
      <c r="AF826" s="12"/>
      <c r="AG826" s="13"/>
      <c r="AH826" s="13"/>
      <c r="AI826" s="13"/>
      <c r="AJ826" s="13"/>
      <c r="AK826" s="13"/>
      <c r="AL826" s="13"/>
      <c r="AM826" s="13"/>
    </row>
    <row r="827" spans="1:39">
      <c r="A827" s="8"/>
      <c r="B827" s="8"/>
      <c r="C827" s="8"/>
      <c r="D827" s="8"/>
      <c r="E827" s="8"/>
      <c r="F827" s="8"/>
      <c r="G827" s="8"/>
      <c r="H827" s="8"/>
      <c r="I827" s="8"/>
      <c r="J827" s="8"/>
      <c r="K827" s="8"/>
      <c r="L827" s="8"/>
      <c r="M827" s="8"/>
      <c r="N827" s="8"/>
      <c r="O827" s="8"/>
      <c r="P827" s="8"/>
      <c r="Q827" s="8"/>
      <c r="R827" s="8"/>
      <c r="S827" s="8"/>
      <c r="T827" s="8"/>
      <c r="U827" s="12"/>
      <c r="V827" s="12"/>
      <c r="W827" s="12"/>
      <c r="X827" s="12"/>
      <c r="Y827" s="12"/>
      <c r="Z827" s="12"/>
      <c r="AA827" s="12"/>
      <c r="AB827" s="12"/>
      <c r="AC827" s="12"/>
      <c r="AD827" s="12"/>
      <c r="AE827" s="12"/>
      <c r="AF827" s="12"/>
      <c r="AG827" s="13"/>
      <c r="AH827" s="13"/>
      <c r="AI827" s="13"/>
      <c r="AJ827" s="13"/>
      <c r="AK827" s="13"/>
      <c r="AL827" s="13"/>
      <c r="AM827" s="13"/>
    </row>
    <row r="828" spans="1:39">
      <c r="A828" s="8"/>
      <c r="B828" s="8"/>
      <c r="C828" s="8"/>
      <c r="D828" s="8"/>
      <c r="E828" s="8"/>
      <c r="F828" s="8"/>
      <c r="G828" s="8"/>
      <c r="H828" s="8"/>
      <c r="I828" s="8"/>
      <c r="J828" s="8"/>
      <c r="K828" s="8"/>
      <c r="L828" s="8"/>
      <c r="M828" s="8"/>
      <c r="N828" s="8"/>
      <c r="O828" s="8"/>
      <c r="P828" s="8"/>
      <c r="Q828" s="8"/>
      <c r="R828" s="8"/>
      <c r="S828" s="8"/>
      <c r="T828" s="8"/>
      <c r="U828" s="12"/>
      <c r="V828" s="12"/>
      <c r="W828" s="12"/>
      <c r="X828" s="12"/>
      <c r="Y828" s="12"/>
      <c r="Z828" s="12"/>
      <c r="AA828" s="12"/>
      <c r="AB828" s="12"/>
      <c r="AC828" s="12"/>
      <c r="AD828" s="12"/>
      <c r="AE828" s="12"/>
      <c r="AF828" s="12"/>
      <c r="AG828" s="13"/>
      <c r="AH828" s="13"/>
      <c r="AI828" s="13"/>
      <c r="AJ828" s="13"/>
      <c r="AK828" s="13"/>
      <c r="AL828" s="13"/>
      <c r="AM828" s="13"/>
    </row>
    <row r="829" spans="1:39">
      <c r="A829" s="8"/>
      <c r="B829" s="8"/>
      <c r="C829" s="8"/>
      <c r="D829" s="8"/>
      <c r="E829" s="8"/>
      <c r="F829" s="8"/>
      <c r="G829" s="8"/>
      <c r="H829" s="8"/>
      <c r="I829" s="8"/>
      <c r="J829" s="8"/>
      <c r="K829" s="8"/>
      <c r="L829" s="8"/>
      <c r="M829" s="8"/>
      <c r="N829" s="8"/>
      <c r="O829" s="8"/>
      <c r="P829" s="8"/>
      <c r="Q829" s="8"/>
      <c r="R829" s="8"/>
      <c r="S829" s="8"/>
      <c r="T829" s="8"/>
      <c r="U829" s="12"/>
      <c r="V829" s="12"/>
      <c r="W829" s="12"/>
      <c r="X829" s="12"/>
      <c r="Y829" s="12"/>
      <c r="Z829" s="12"/>
      <c r="AA829" s="12"/>
      <c r="AB829" s="12"/>
      <c r="AC829" s="12"/>
      <c r="AD829" s="12"/>
      <c r="AE829" s="12"/>
      <c r="AF829" s="12"/>
      <c r="AG829" s="13"/>
      <c r="AH829" s="13"/>
      <c r="AI829" s="13"/>
      <c r="AJ829" s="13"/>
      <c r="AK829" s="13"/>
      <c r="AL829" s="13"/>
      <c r="AM829" s="13"/>
    </row>
    <row r="830" spans="1:39">
      <c r="A830" s="8"/>
      <c r="B830" s="8"/>
      <c r="C830" s="8"/>
      <c r="D830" s="8"/>
      <c r="E830" s="8"/>
      <c r="F830" s="8"/>
      <c r="G830" s="8"/>
      <c r="H830" s="8"/>
      <c r="I830" s="8"/>
      <c r="J830" s="8"/>
      <c r="K830" s="8"/>
      <c r="L830" s="8"/>
      <c r="M830" s="8"/>
      <c r="N830" s="8"/>
      <c r="O830" s="8"/>
      <c r="P830" s="8"/>
      <c r="Q830" s="8"/>
      <c r="R830" s="8"/>
      <c r="S830" s="8"/>
      <c r="T830" s="8"/>
      <c r="U830" s="12"/>
      <c r="V830" s="12"/>
      <c r="W830" s="12"/>
      <c r="X830" s="12"/>
      <c r="Y830" s="12"/>
      <c r="Z830" s="12"/>
      <c r="AA830" s="12"/>
      <c r="AB830" s="12"/>
      <c r="AC830" s="12"/>
      <c r="AD830" s="12"/>
      <c r="AE830" s="12"/>
      <c r="AF830" s="12"/>
      <c r="AG830" s="13"/>
      <c r="AH830" s="13"/>
      <c r="AI830" s="13"/>
      <c r="AJ830" s="13"/>
      <c r="AK830" s="13"/>
      <c r="AL830" s="13"/>
      <c r="AM830" s="13"/>
    </row>
    <row r="831" spans="1:39">
      <c r="A831" s="8"/>
      <c r="B831" s="8"/>
      <c r="C831" s="8"/>
      <c r="D831" s="8"/>
      <c r="E831" s="8"/>
      <c r="F831" s="8"/>
      <c r="G831" s="8"/>
      <c r="H831" s="8"/>
      <c r="I831" s="8"/>
      <c r="J831" s="8"/>
      <c r="K831" s="8"/>
      <c r="L831" s="8"/>
      <c r="M831" s="8"/>
      <c r="N831" s="8"/>
      <c r="O831" s="8"/>
      <c r="P831" s="8"/>
      <c r="Q831" s="8"/>
      <c r="R831" s="8"/>
      <c r="S831" s="8"/>
      <c r="T831" s="8"/>
      <c r="U831" s="12"/>
      <c r="V831" s="12"/>
      <c r="W831" s="12"/>
      <c r="X831" s="12"/>
      <c r="Y831" s="12"/>
      <c r="Z831" s="12"/>
      <c r="AA831" s="12"/>
      <c r="AB831" s="12"/>
      <c r="AC831" s="12"/>
      <c r="AD831" s="12"/>
      <c r="AE831" s="12"/>
      <c r="AF831" s="12"/>
      <c r="AG831" s="13"/>
      <c r="AH831" s="13"/>
      <c r="AI831" s="13"/>
      <c r="AJ831" s="13"/>
      <c r="AK831" s="13"/>
      <c r="AL831" s="13"/>
      <c r="AM831" s="13"/>
    </row>
    <row r="832" spans="1:39">
      <c r="A832" s="8"/>
      <c r="B832" s="8"/>
      <c r="C832" s="8"/>
      <c r="D832" s="8"/>
      <c r="E832" s="8"/>
      <c r="F832" s="8"/>
      <c r="G832" s="8"/>
      <c r="H832" s="8"/>
      <c r="I832" s="8"/>
      <c r="J832" s="8"/>
      <c r="K832" s="8"/>
      <c r="L832" s="8"/>
      <c r="M832" s="8"/>
      <c r="N832" s="8"/>
      <c r="O832" s="8"/>
      <c r="P832" s="8"/>
      <c r="Q832" s="8"/>
      <c r="R832" s="8"/>
      <c r="S832" s="8"/>
      <c r="T832" s="8"/>
      <c r="U832" s="12"/>
      <c r="V832" s="12"/>
      <c r="W832" s="12"/>
      <c r="X832" s="12"/>
      <c r="Y832" s="12"/>
      <c r="Z832" s="12"/>
      <c r="AA832" s="12"/>
      <c r="AB832" s="12"/>
      <c r="AC832" s="12"/>
      <c r="AD832" s="12"/>
      <c r="AE832" s="12"/>
      <c r="AF832" s="12"/>
      <c r="AG832" s="13"/>
      <c r="AH832" s="13"/>
      <c r="AI832" s="13"/>
      <c r="AJ832" s="13"/>
      <c r="AK832" s="13"/>
      <c r="AL832" s="13"/>
      <c r="AM832" s="13"/>
    </row>
    <row r="833" spans="1:39">
      <c r="A833" s="8"/>
      <c r="B833" s="8"/>
      <c r="C833" s="8"/>
      <c r="D833" s="8"/>
      <c r="E833" s="8"/>
      <c r="F833" s="8"/>
      <c r="G833" s="8"/>
      <c r="H833" s="8"/>
      <c r="I833" s="8"/>
      <c r="J833" s="8"/>
      <c r="K833" s="8"/>
      <c r="L833" s="8"/>
      <c r="M833" s="8"/>
      <c r="N833" s="8"/>
      <c r="O833" s="8"/>
      <c r="P833" s="8"/>
      <c r="Q833" s="8"/>
      <c r="R833" s="8"/>
      <c r="S833" s="8"/>
      <c r="T833" s="8"/>
      <c r="U833" s="12"/>
      <c r="V833" s="12"/>
      <c r="W833" s="12"/>
      <c r="X833" s="12"/>
      <c r="Y833" s="12"/>
      <c r="Z833" s="12"/>
      <c r="AA833" s="12"/>
      <c r="AB833" s="12"/>
      <c r="AC833" s="12"/>
      <c r="AD833" s="12"/>
      <c r="AE833" s="12"/>
      <c r="AF833" s="12"/>
      <c r="AG833" s="13"/>
      <c r="AH833" s="13"/>
      <c r="AI833" s="13"/>
      <c r="AJ833" s="13"/>
      <c r="AK833" s="13"/>
      <c r="AL833" s="13"/>
      <c r="AM833" s="13"/>
    </row>
    <row r="834" spans="1:39">
      <c r="A834" s="8"/>
      <c r="B834" s="8"/>
      <c r="C834" s="8"/>
      <c r="D834" s="8"/>
      <c r="E834" s="8"/>
      <c r="F834" s="8"/>
      <c r="G834" s="8"/>
      <c r="H834" s="8"/>
      <c r="I834" s="8"/>
      <c r="J834" s="8"/>
      <c r="K834" s="8"/>
      <c r="L834" s="8"/>
      <c r="M834" s="8"/>
      <c r="N834" s="8"/>
      <c r="O834" s="8"/>
      <c r="P834" s="8"/>
      <c r="Q834" s="8"/>
      <c r="R834" s="8"/>
      <c r="S834" s="8"/>
      <c r="T834" s="8"/>
      <c r="U834" s="12"/>
      <c r="V834" s="12"/>
      <c r="W834" s="12"/>
      <c r="X834" s="12"/>
      <c r="Y834" s="12"/>
      <c r="Z834" s="12"/>
      <c r="AA834" s="12"/>
      <c r="AB834" s="12"/>
      <c r="AC834" s="12"/>
      <c r="AD834" s="12"/>
      <c r="AE834" s="12"/>
      <c r="AF834" s="12"/>
      <c r="AG834" s="13"/>
      <c r="AH834" s="13"/>
      <c r="AI834" s="13"/>
      <c r="AJ834" s="13"/>
      <c r="AK834" s="13"/>
      <c r="AL834" s="13"/>
      <c r="AM834" s="13"/>
    </row>
    <row r="835" spans="1:39">
      <c r="A835" s="8"/>
      <c r="B835" s="8"/>
      <c r="C835" s="8"/>
      <c r="D835" s="8"/>
      <c r="E835" s="8"/>
      <c r="F835" s="8"/>
      <c r="G835" s="8"/>
      <c r="H835" s="8"/>
      <c r="I835" s="8"/>
      <c r="J835" s="8"/>
      <c r="K835" s="8"/>
      <c r="L835" s="8"/>
      <c r="M835" s="8"/>
      <c r="N835" s="8"/>
      <c r="O835" s="8"/>
      <c r="P835" s="8"/>
      <c r="Q835" s="8"/>
      <c r="R835" s="8"/>
      <c r="S835" s="8"/>
      <c r="T835" s="8"/>
      <c r="U835" s="12"/>
      <c r="V835" s="12"/>
      <c r="W835" s="12"/>
      <c r="X835" s="12"/>
      <c r="Y835" s="12"/>
      <c r="Z835" s="12"/>
      <c r="AA835" s="12"/>
      <c r="AB835" s="12"/>
      <c r="AC835" s="12"/>
      <c r="AD835" s="12"/>
      <c r="AE835" s="12"/>
      <c r="AF835" s="12"/>
      <c r="AG835" s="13"/>
      <c r="AH835" s="13"/>
      <c r="AI835" s="13"/>
      <c r="AJ835" s="13"/>
      <c r="AK835" s="13"/>
      <c r="AL835" s="13"/>
      <c r="AM835" s="13"/>
    </row>
    <row r="836" spans="1:39">
      <c r="A836" s="8"/>
      <c r="B836" s="8"/>
      <c r="C836" s="8"/>
      <c r="D836" s="8"/>
      <c r="E836" s="8"/>
      <c r="F836" s="8"/>
      <c r="G836" s="8"/>
      <c r="H836" s="8"/>
      <c r="I836" s="8"/>
      <c r="J836" s="8"/>
      <c r="K836" s="8"/>
      <c r="L836" s="8"/>
      <c r="M836" s="8"/>
      <c r="N836" s="8"/>
      <c r="O836" s="8"/>
      <c r="P836" s="8"/>
      <c r="Q836" s="8"/>
      <c r="R836" s="8"/>
      <c r="S836" s="8"/>
      <c r="T836" s="8"/>
      <c r="U836" s="12"/>
      <c r="V836" s="12"/>
      <c r="W836" s="12"/>
      <c r="X836" s="12"/>
      <c r="Y836" s="12"/>
      <c r="Z836" s="12"/>
      <c r="AA836" s="12"/>
      <c r="AB836" s="12"/>
      <c r="AC836" s="12"/>
      <c r="AD836" s="12"/>
      <c r="AE836" s="12"/>
      <c r="AF836" s="12"/>
      <c r="AG836" s="13"/>
      <c r="AH836" s="13"/>
      <c r="AI836" s="13"/>
      <c r="AJ836" s="13"/>
      <c r="AK836" s="13"/>
      <c r="AL836" s="13"/>
      <c r="AM836" s="13"/>
    </row>
    <row r="837" spans="1:39">
      <c r="A837" s="8"/>
      <c r="B837" s="8"/>
      <c r="C837" s="8"/>
      <c r="D837" s="8"/>
      <c r="E837" s="8"/>
      <c r="F837" s="8"/>
      <c r="G837" s="8"/>
      <c r="H837" s="8"/>
      <c r="I837" s="8"/>
      <c r="J837" s="8"/>
      <c r="K837" s="8"/>
      <c r="L837" s="8"/>
      <c r="M837" s="8"/>
      <c r="N837" s="8"/>
      <c r="O837" s="8"/>
      <c r="P837" s="8"/>
      <c r="Q837" s="8"/>
      <c r="R837" s="8"/>
      <c r="S837" s="8"/>
      <c r="T837" s="8"/>
      <c r="U837" s="12"/>
      <c r="V837" s="12"/>
      <c r="W837" s="12"/>
      <c r="X837" s="12"/>
      <c r="Y837" s="12"/>
      <c r="Z837" s="12"/>
      <c r="AA837" s="12"/>
      <c r="AB837" s="12"/>
      <c r="AC837" s="12"/>
      <c r="AD837" s="12"/>
      <c r="AE837" s="12"/>
      <c r="AF837" s="12"/>
      <c r="AG837" s="13"/>
      <c r="AH837" s="13"/>
      <c r="AI837" s="13"/>
      <c r="AJ837" s="13"/>
      <c r="AK837" s="13"/>
      <c r="AL837" s="13"/>
      <c r="AM837" s="13"/>
    </row>
    <row r="838" spans="1:39">
      <c r="A838" s="8"/>
      <c r="B838" s="8"/>
      <c r="C838" s="8"/>
      <c r="D838" s="8"/>
      <c r="E838" s="8"/>
      <c r="F838" s="8"/>
      <c r="G838" s="8"/>
      <c r="H838" s="8"/>
      <c r="I838" s="8"/>
      <c r="J838" s="8"/>
      <c r="K838" s="8"/>
      <c r="L838" s="8"/>
      <c r="M838" s="8"/>
      <c r="N838" s="8"/>
      <c r="O838" s="8"/>
      <c r="P838" s="8"/>
      <c r="Q838" s="8"/>
      <c r="R838" s="8"/>
      <c r="S838" s="8"/>
      <c r="T838" s="8"/>
      <c r="U838" s="12"/>
      <c r="V838" s="12"/>
      <c r="W838" s="12"/>
      <c r="X838" s="12"/>
      <c r="Y838" s="12"/>
      <c r="Z838" s="12"/>
      <c r="AA838" s="12"/>
      <c r="AB838" s="12"/>
      <c r="AC838" s="12"/>
      <c r="AD838" s="12"/>
      <c r="AE838" s="12"/>
      <c r="AF838" s="12"/>
      <c r="AG838" s="13"/>
      <c r="AH838" s="13"/>
      <c r="AI838" s="13"/>
      <c r="AJ838" s="13"/>
      <c r="AK838" s="13"/>
      <c r="AL838" s="13"/>
      <c r="AM838" s="13"/>
    </row>
    <row r="839" spans="1:39">
      <c r="A839" s="8"/>
      <c r="B839" s="8"/>
      <c r="C839" s="8"/>
      <c r="D839" s="8"/>
      <c r="E839" s="8"/>
      <c r="F839" s="8"/>
      <c r="G839" s="8"/>
      <c r="H839" s="8"/>
      <c r="I839" s="8"/>
      <c r="J839" s="8"/>
      <c r="K839" s="8"/>
      <c r="L839" s="8"/>
      <c r="M839" s="8"/>
      <c r="N839" s="8"/>
      <c r="O839" s="8"/>
      <c r="P839" s="8"/>
      <c r="Q839" s="8"/>
      <c r="R839" s="8"/>
      <c r="S839" s="8"/>
      <c r="T839" s="8"/>
      <c r="U839" s="12"/>
      <c r="V839" s="12"/>
      <c r="W839" s="12"/>
      <c r="X839" s="12"/>
      <c r="Y839" s="12"/>
      <c r="Z839" s="12"/>
      <c r="AA839" s="12"/>
      <c r="AB839" s="12"/>
      <c r="AC839" s="12"/>
      <c r="AD839" s="12"/>
      <c r="AE839" s="12"/>
      <c r="AF839" s="12"/>
      <c r="AG839" s="13"/>
      <c r="AH839" s="13"/>
      <c r="AI839" s="13"/>
      <c r="AJ839" s="13"/>
      <c r="AK839" s="13"/>
      <c r="AL839" s="13"/>
      <c r="AM839" s="13"/>
    </row>
    <row r="840" spans="1:39">
      <c r="A840" s="8"/>
      <c r="B840" s="8"/>
      <c r="C840" s="8"/>
      <c r="D840" s="8"/>
      <c r="E840" s="8"/>
      <c r="F840" s="8"/>
      <c r="G840" s="8"/>
      <c r="H840" s="8"/>
      <c r="I840" s="8"/>
      <c r="J840" s="8"/>
      <c r="K840" s="8"/>
      <c r="L840" s="8"/>
      <c r="M840" s="8"/>
      <c r="N840" s="8"/>
      <c r="O840" s="8"/>
      <c r="P840" s="8"/>
      <c r="Q840" s="8"/>
      <c r="R840" s="8"/>
      <c r="S840" s="8"/>
      <c r="T840" s="8"/>
      <c r="U840" s="12"/>
      <c r="V840" s="12"/>
      <c r="W840" s="12"/>
      <c r="X840" s="12"/>
      <c r="Y840" s="12"/>
      <c r="Z840" s="12"/>
      <c r="AA840" s="12"/>
      <c r="AB840" s="12"/>
      <c r="AC840" s="12"/>
      <c r="AD840" s="12"/>
      <c r="AE840" s="12"/>
      <c r="AF840" s="12"/>
      <c r="AG840" s="13"/>
      <c r="AH840" s="13"/>
      <c r="AI840" s="13"/>
      <c r="AJ840" s="13"/>
      <c r="AK840" s="13"/>
      <c r="AL840" s="13"/>
      <c r="AM840" s="13"/>
    </row>
    <row r="841" spans="1:39">
      <c r="A841" s="8"/>
      <c r="B841" s="8"/>
      <c r="C841" s="8"/>
      <c r="D841" s="8"/>
      <c r="E841" s="8"/>
      <c r="F841" s="8"/>
      <c r="G841" s="8"/>
      <c r="H841" s="8"/>
      <c r="I841" s="8"/>
      <c r="J841" s="8"/>
      <c r="K841" s="8"/>
      <c r="L841" s="8"/>
      <c r="M841" s="8"/>
      <c r="N841" s="8"/>
      <c r="O841" s="8"/>
      <c r="P841" s="8"/>
      <c r="Q841" s="8"/>
      <c r="R841" s="8"/>
      <c r="S841" s="8"/>
      <c r="T841" s="8"/>
      <c r="U841" s="12"/>
      <c r="V841" s="12"/>
      <c r="W841" s="12"/>
      <c r="X841" s="12"/>
      <c r="Y841" s="12"/>
      <c r="Z841" s="12"/>
      <c r="AA841" s="12"/>
      <c r="AB841" s="12"/>
      <c r="AC841" s="12"/>
      <c r="AD841" s="12"/>
      <c r="AE841" s="12"/>
      <c r="AF841" s="12"/>
      <c r="AG841" s="13"/>
      <c r="AH841" s="13"/>
      <c r="AI841" s="13"/>
      <c r="AJ841" s="13"/>
      <c r="AK841" s="13"/>
      <c r="AL841" s="13"/>
      <c r="AM841" s="13"/>
    </row>
    <row r="842" spans="1:39">
      <c r="A842" s="8"/>
      <c r="B842" s="8"/>
      <c r="C842" s="8"/>
      <c r="D842" s="8"/>
      <c r="E842" s="8"/>
      <c r="F842" s="8"/>
      <c r="G842" s="8"/>
      <c r="H842" s="8"/>
      <c r="I842" s="8"/>
      <c r="J842" s="8"/>
      <c r="K842" s="8"/>
      <c r="L842" s="8"/>
      <c r="M842" s="8"/>
      <c r="N842" s="8"/>
      <c r="O842" s="8"/>
      <c r="P842" s="8"/>
      <c r="Q842" s="8"/>
      <c r="R842" s="8"/>
      <c r="S842" s="8"/>
      <c r="T842" s="8"/>
      <c r="U842" s="12"/>
      <c r="V842" s="12"/>
      <c r="W842" s="12"/>
      <c r="X842" s="12"/>
      <c r="Y842" s="12"/>
      <c r="Z842" s="12"/>
      <c r="AA842" s="12"/>
      <c r="AB842" s="12"/>
      <c r="AC842" s="12"/>
      <c r="AD842" s="12"/>
      <c r="AE842" s="12"/>
      <c r="AF842" s="12"/>
      <c r="AG842" s="13"/>
      <c r="AH842" s="13"/>
      <c r="AI842" s="13"/>
      <c r="AJ842" s="13"/>
      <c r="AK842" s="13"/>
      <c r="AL842" s="13"/>
      <c r="AM842" s="13"/>
    </row>
    <row r="843" spans="1:39">
      <c r="A843" s="8"/>
      <c r="B843" s="8"/>
      <c r="C843" s="8"/>
      <c r="D843" s="8"/>
      <c r="E843" s="8"/>
      <c r="F843" s="8"/>
      <c r="G843" s="8"/>
      <c r="H843" s="8"/>
      <c r="I843" s="8"/>
      <c r="J843" s="8"/>
      <c r="K843" s="8"/>
      <c r="L843" s="8"/>
      <c r="M843" s="8"/>
      <c r="N843" s="8"/>
      <c r="O843" s="8"/>
      <c r="P843" s="8"/>
      <c r="Q843" s="8"/>
      <c r="R843" s="8"/>
      <c r="S843" s="8"/>
      <c r="T843" s="8"/>
      <c r="U843" s="12"/>
      <c r="V843" s="12"/>
      <c r="W843" s="12"/>
      <c r="X843" s="12"/>
      <c r="Y843" s="12"/>
      <c r="Z843" s="12"/>
      <c r="AA843" s="12"/>
      <c r="AB843" s="12"/>
      <c r="AC843" s="12"/>
      <c r="AD843" s="12"/>
      <c r="AE843" s="12"/>
      <c r="AF843" s="12"/>
      <c r="AG843" s="13"/>
      <c r="AH843" s="13"/>
      <c r="AI843" s="13"/>
      <c r="AJ843" s="13"/>
      <c r="AK843" s="13"/>
      <c r="AL843" s="13"/>
      <c r="AM843" s="13"/>
    </row>
    <row r="844" spans="1:39">
      <c r="A844" s="8"/>
      <c r="B844" s="8"/>
      <c r="C844" s="8"/>
      <c r="D844" s="8"/>
      <c r="E844" s="8"/>
      <c r="F844" s="8"/>
      <c r="G844" s="8"/>
      <c r="H844" s="8"/>
      <c r="I844" s="8"/>
      <c r="J844" s="8"/>
      <c r="K844" s="8"/>
      <c r="L844" s="8"/>
      <c r="M844" s="8"/>
      <c r="N844" s="8"/>
      <c r="O844" s="8"/>
      <c r="P844" s="8"/>
      <c r="Q844" s="8"/>
      <c r="R844" s="8"/>
      <c r="S844" s="8"/>
      <c r="T844" s="8"/>
      <c r="U844" s="12"/>
      <c r="V844" s="12"/>
      <c r="W844" s="12"/>
      <c r="X844" s="12"/>
      <c r="Y844" s="12"/>
      <c r="Z844" s="12"/>
      <c r="AA844" s="12"/>
      <c r="AB844" s="12"/>
      <c r="AC844" s="12"/>
      <c r="AD844" s="12"/>
      <c r="AE844" s="12"/>
      <c r="AF844" s="12"/>
      <c r="AG844" s="13"/>
      <c r="AH844" s="13"/>
      <c r="AI844" s="13"/>
      <c r="AJ844" s="13"/>
      <c r="AK844" s="13"/>
      <c r="AL844" s="13"/>
      <c r="AM844" s="13"/>
    </row>
    <row r="845" spans="1:39">
      <c r="A845" s="8"/>
      <c r="B845" s="8"/>
      <c r="C845" s="8"/>
      <c r="D845" s="8"/>
      <c r="E845" s="8"/>
      <c r="F845" s="8"/>
      <c r="G845" s="8"/>
      <c r="H845" s="8"/>
      <c r="I845" s="8"/>
      <c r="J845" s="8"/>
      <c r="K845" s="8"/>
      <c r="L845" s="8"/>
      <c r="M845" s="8"/>
      <c r="N845" s="8"/>
      <c r="O845" s="8"/>
      <c r="P845" s="8"/>
      <c r="Q845" s="8"/>
      <c r="R845" s="8"/>
      <c r="S845" s="8"/>
      <c r="T845" s="8"/>
      <c r="U845" s="12"/>
      <c r="V845" s="12"/>
      <c r="W845" s="12"/>
      <c r="X845" s="12"/>
      <c r="Y845" s="12"/>
      <c r="Z845" s="12"/>
      <c r="AA845" s="12"/>
      <c r="AB845" s="12"/>
      <c r="AC845" s="12"/>
      <c r="AD845" s="12"/>
      <c r="AE845" s="12"/>
      <c r="AF845" s="12"/>
      <c r="AG845" s="13"/>
      <c r="AH845" s="13"/>
      <c r="AI845" s="13"/>
      <c r="AJ845" s="13"/>
      <c r="AK845" s="13"/>
      <c r="AL845" s="13"/>
      <c r="AM845" s="13"/>
    </row>
    <row r="846" spans="1:39">
      <c r="A846" s="8"/>
      <c r="B846" s="8"/>
      <c r="C846" s="8"/>
      <c r="D846" s="8"/>
      <c r="E846" s="8"/>
      <c r="F846" s="8"/>
      <c r="G846" s="8"/>
      <c r="H846" s="8"/>
      <c r="I846" s="8"/>
      <c r="J846" s="8"/>
      <c r="K846" s="8"/>
      <c r="L846" s="8"/>
      <c r="M846" s="8"/>
      <c r="N846" s="8"/>
      <c r="O846" s="8"/>
      <c r="P846" s="8"/>
      <c r="Q846" s="8"/>
      <c r="R846" s="8"/>
      <c r="S846" s="8"/>
      <c r="T846" s="8"/>
      <c r="U846" s="12"/>
      <c r="V846" s="12"/>
      <c r="W846" s="12"/>
      <c r="X846" s="12"/>
      <c r="Y846" s="12"/>
      <c r="Z846" s="12"/>
      <c r="AA846" s="12"/>
      <c r="AB846" s="12"/>
      <c r="AC846" s="12"/>
      <c r="AD846" s="12"/>
      <c r="AE846" s="12"/>
      <c r="AF846" s="12"/>
      <c r="AG846" s="13"/>
      <c r="AH846" s="13"/>
      <c r="AI846" s="13"/>
      <c r="AJ846" s="13"/>
      <c r="AK846" s="13"/>
      <c r="AL846" s="13"/>
      <c r="AM846" s="13"/>
    </row>
    <row r="847" spans="1:39">
      <c r="A847" s="8"/>
      <c r="B847" s="8"/>
      <c r="C847" s="8"/>
      <c r="D847" s="8"/>
      <c r="E847" s="8"/>
      <c r="F847" s="8"/>
      <c r="G847" s="8"/>
      <c r="H847" s="8"/>
      <c r="I847" s="8"/>
      <c r="J847" s="8"/>
      <c r="K847" s="8"/>
      <c r="L847" s="8"/>
      <c r="M847" s="8"/>
      <c r="N847" s="8"/>
      <c r="O847" s="8"/>
      <c r="P847" s="8"/>
      <c r="Q847" s="8"/>
      <c r="R847" s="8"/>
      <c r="S847" s="8"/>
      <c r="T847" s="8"/>
      <c r="U847" s="12"/>
      <c r="V847" s="12"/>
      <c r="W847" s="12"/>
      <c r="X847" s="12"/>
      <c r="Y847" s="12"/>
      <c r="Z847" s="12"/>
      <c r="AA847" s="12"/>
      <c r="AB847" s="12"/>
      <c r="AC847" s="12"/>
      <c r="AD847" s="12"/>
      <c r="AE847" s="12"/>
      <c r="AF847" s="12"/>
      <c r="AG847" s="13"/>
      <c r="AH847" s="13"/>
      <c r="AI847" s="13"/>
      <c r="AJ847" s="13"/>
      <c r="AK847" s="13"/>
      <c r="AL847" s="13"/>
      <c r="AM847" s="13"/>
    </row>
    <row r="848" spans="1:39">
      <c r="A848" s="8"/>
      <c r="B848" s="8"/>
      <c r="C848" s="8"/>
      <c r="D848" s="8"/>
      <c r="E848" s="8"/>
      <c r="F848" s="8"/>
      <c r="G848" s="8"/>
      <c r="H848" s="8"/>
      <c r="I848" s="8"/>
      <c r="J848" s="8"/>
      <c r="K848" s="8"/>
      <c r="L848" s="8"/>
      <c r="M848" s="8"/>
      <c r="N848" s="8"/>
      <c r="O848" s="8"/>
      <c r="P848" s="8"/>
      <c r="Q848" s="8"/>
      <c r="R848" s="8"/>
      <c r="S848" s="8"/>
      <c r="T848" s="8"/>
      <c r="U848" s="12"/>
      <c r="V848" s="12"/>
      <c r="W848" s="12"/>
      <c r="X848" s="12"/>
      <c r="Y848" s="12"/>
      <c r="Z848" s="12"/>
      <c r="AA848" s="12"/>
      <c r="AB848" s="12"/>
      <c r="AC848" s="12"/>
      <c r="AD848" s="12"/>
      <c r="AE848" s="12"/>
      <c r="AF848" s="12"/>
      <c r="AG848" s="13"/>
      <c r="AH848" s="13"/>
      <c r="AI848" s="13"/>
      <c r="AJ848" s="13"/>
      <c r="AK848" s="13"/>
      <c r="AL848" s="13"/>
      <c r="AM848" s="13"/>
    </row>
    <row r="849" spans="1:39">
      <c r="A849" s="8"/>
      <c r="B849" s="8"/>
      <c r="C849" s="8"/>
      <c r="D849" s="8"/>
      <c r="E849" s="8"/>
      <c r="F849" s="8"/>
      <c r="G849" s="8"/>
      <c r="H849" s="8"/>
      <c r="I849" s="8"/>
      <c r="J849" s="8"/>
      <c r="K849" s="8"/>
      <c r="L849" s="8"/>
      <c r="M849" s="8"/>
      <c r="N849" s="8"/>
      <c r="O849" s="8"/>
      <c r="P849" s="8"/>
      <c r="Q849" s="8"/>
      <c r="R849" s="8"/>
      <c r="S849" s="8"/>
      <c r="T849" s="8"/>
      <c r="U849" s="12"/>
      <c r="V849" s="12"/>
      <c r="W849" s="12"/>
      <c r="X849" s="12"/>
      <c r="Y849" s="12"/>
      <c r="Z849" s="12"/>
      <c r="AA849" s="12"/>
      <c r="AB849" s="12"/>
      <c r="AC849" s="12"/>
      <c r="AD849" s="12"/>
      <c r="AE849" s="12"/>
      <c r="AF849" s="12"/>
      <c r="AG849" s="13"/>
      <c r="AH849" s="13"/>
      <c r="AI849" s="13"/>
      <c r="AJ849" s="13"/>
      <c r="AK849" s="13"/>
      <c r="AL849" s="13"/>
      <c r="AM849" s="13"/>
    </row>
    <row r="850" spans="1:39">
      <c r="A850" s="8"/>
      <c r="B850" s="8"/>
      <c r="C850" s="8"/>
      <c r="D850" s="8"/>
      <c r="E850" s="8"/>
      <c r="F850" s="8"/>
      <c r="G850" s="8"/>
      <c r="H850" s="8"/>
      <c r="I850" s="8"/>
      <c r="J850" s="8"/>
      <c r="K850" s="8"/>
      <c r="L850" s="8"/>
      <c r="M850" s="8"/>
      <c r="N850" s="8"/>
      <c r="O850" s="8"/>
      <c r="P850" s="8"/>
      <c r="Q850" s="8"/>
      <c r="R850" s="8"/>
      <c r="S850" s="8"/>
      <c r="T850" s="8"/>
      <c r="U850" s="12"/>
      <c r="V850" s="12"/>
      <c r="W850" s="12"/>
      <c r="X850" s="12"/>
      <c r="Y850" s="12"/>
      <c r="Z850" s="12"/>
      <c r="AA850" s="12"/>
      <c r="AB850" s="12"/>
      <c r="AC850" s="12"/>
      <c r="AD850" s="12"/>
      <c r="AE850" s="12"/>
      <c r="AF850" s="12"/>
      <c r="AG850" s="13"/>
      <c r="AH850" s="13"/>
      <c r="AI850" s="13"/>
      <c r="AJ850" s="13"/>
      <c r="AK850" s="13"/>
      <c r="AL850" s="13"/>
      <c r="AM850" s="13"/>
    </row>
    <row r="851" spans="1:39">
      <c r="A851" s="8"/>
      <c r="B851" s="8"/>
      <c r="C851" s="8"/>
      <c r="D851" s="8"/>
      <c r="E851" s="8"/>
      <c r="F851" s="8"/>
      <c r="G851" s="8"/>
      <c r="H851" s="8"/>
      <c r="I851" s="8"/>
      <c r="J851" s="8"/>
      <c r="K851" s="8"/>
      <c r="L851" s="8"/>
      <c r="M851" s="8"/>
      <c r="N851" s="8"/>
      <c r="O851" s="8"/>
      <c r="P851" s="8"/>
      <c r="Q851" s="8"/>
      <c r="R851" s="8"/>
      <c r="S851" s="8"/>
      <c r="T851" s="8"/>
      <c r="U851" s="12"/>
      <c r="V851" s="12"/>
      <c r="W851" s="12"/>
      <c r="X851" s="12"/>
      <c r="Y851" s="12"/>
      <c r="Z851" s="12"/>
      <c r="AA851" s="12"/>
      <c r="AB851" s="12"/>
      <c r="AC851" s="12"/>
      <c r="AD851" s="12"/>
      <c r="AE851" s="12"/>
      <c r="AF851" s="12"/>
      <c r="AG851" s="13"/>
      <c r="AH851" s="13"/>
      <c r="AI851" s="13"/>
      <c r="AJ851" s="13"/>
      <c r="AK851" s="13"/>
      <c r="AL851" s="13"/>
      <c r="AM851" s="13"/>
    </row>
    <row r="852" spans="1:39">
      <c r="A852" s="8"/>
      <c r="B852" s="8"/>
      <c r="C852" s="8"/>
      <c r="D852" s="8"/>
      <c r="E852" s="8"/>
      <c r="F852" s="8"/>
      <c r="G852" s="8"/>
      <c r="H852" s="8"/>
      <c r="I852" s="8"/>
      <c r="J852" s="8"/>
      <c r="K852" s="8"/>
      <c r="L852" s="8"/>
      <c r="M852" s="8"/>
      <c r="N852" s="8"/>
      <c r="O852" s="8"/>
      <c r="P852" s="8"/>
      <c r="Q852" s="8"/>
      <c r="R852" s="8"/>
      <c r="S852" s="8"/>
      <c r="T852" s="8"/>
      <c r="U852" s="12"/>
      <c r="V852" s="12"/>
      <c r="W852" s="12"/>
      <c r="X852" s="12"/>
      <c r="Y852" s="12"/>
      <c r="Z852" s="12"/>
      <c r="AA852" s="12"/>
      <c r="AB852" s="12"/>
      <c r="AC852" s="12"/>
      <c r="AD852" s="12"/>
      <c r="AE852" s="12"/>
      <c r="AF852" s="12"/>
      <c r="AG852" s="13"/>
      <c r="AH852" s="13"/>
      <c r="AI852" s="13"/>
      <c r="AJ852" s="13"/>
      <c r="AK852" s="13"/>
      <c r="AL852" s="13"/>
      <c r="AM852" s="13"/>
    </row>
    <row r="853" spans="1:39">
      <c r="A853" s="8"/>
      <c r="B853" s="8"/>
      <c r="C853" s="8"/>
      <c r="D853" s="8"/>
      <c r="E853" s="8"/>
      <c r="F853" s="8"/>
      <c r="G853" s="8"/>
      <c r="H853" s="8"/>
      <c r="I853" s="8"/>
      <c r="J853" s="8"/>
      <c r="K853" s="8"/>
      <c r="L853" s="8"/>
      <c r="M853" s="8"/>
      <c r="N853" s="8"/>
      <c r="O853" s="8"/>
      <c r="P853" s="8"/>
      <c r="Q853" s="8"/>
      <c r="R853" s="8"/>
      <c r="S853" s="8"/>
      <c r="T853" s="8"/>
      <c r="U853" s="12"/>
      <c r="V853" s="12"/>
      <c r="W853" s="12"/>
      <c r="X853" s="12"/>
      <c r="Y853" s="12"/>
      <c r="Z853" s="12"/>
      <c r="AA853" s="12"/>
      <c r="AB853" s="12"/>
      <c r="AC853" s="12"/>
      <c r="AD853" s="12"/>
      <c r="AE853" s="12"/>
      <c r="AF853" s="12"/>
      <c r="AG853" s="13"/>
      <c r="AH853" s="13"/>
      <c r="AI853" s="13"/>
      <c r="AJ853" s="13"/>
      <c r="AK853" s="13"/>
      <c r="AL853" s="13"/>
      <c r="AM853" s="13"/>
    </row>
    <row r="854" spans="1:39">
      <c r="A854" s="8"/>
      <c r="B854" s="8"/>
      <c r="C854" s="8"/>
      <c r="D854" s="8"/>
      <c r="E854" s="8"/>
      <c r="F854" s="8"/>
      <c r="G854" s="8"/>
      <c r="H854" s="8"/>
      <c r="I854" s="8"/>
      <c r="J854" s="8"/>
      <c r="K854" s="8"/>
      <c r="L854" s="8"/>
      <c r="M854" s="8"/>
      <c r="N854" s="8"/>
      <c r="O854" s="8"/>
      <c r="P854" s="8"/>
      <c r="Q854" s="8"/>
      <c r="R854" s="8"/>
      <c r="S854" s="8"/>
      <c r="T854" s="8"/>
      <c r="U854" s="12"/>
      <c r="V854" s="12"/>
      <c r="W854" s="12"/>
      <c r="X854" s="12"/>
      <c r="Y854" s="12"/>
      <c r="Z854" s="12"/>
      <c r="AA854" s="12"/>
      <c r="AB854" s="12"/>
      <c r="AC854" s="12"/>
      <c r="AD854" s="12"/>
      <c r="AE854" s="12"/>
      <c r="AF854" s="12"/>
      <c r="AG854" s="13"/>
      <c r="AH854" s="13"/>
      <c r="AI854" s="13"/>
      <c r="AJ854" s="13"/>
      <c r="AK854" s="13"/>
      <c r="AL854" s="13"/>
      <c r="AM854" s="13"/>
    </row>
    <row r="855" spans="1:39">
      <c r="A855" s="8"/>
      <c r="B855" s="8"/>
      <c r="C855" s="8"/>
      <c r="D855" s="8"/>
      <c r="E855" s="8"/>
      <c r="F855" s="8"/>
      <c r="G855" s="8"/>
      <c r="H855" s="8"/>
      <c r="I855" s="8"/>
      <c r="J855" s="8"/>
      <c r="K855" s="8"/>
      <c r="L855" s="8"/>
      <c r="M855" s="8"/>
      <c r="N855" s="8"/>
      <c r="O855" s="8"/>
      <c r="P855" s="8"/>
      <c r="Q855" s="8"/>
      <c r="R855" s="8"/>
      <c r="S855" s="8"/>
      <c r="T855" s="8"/>
      <c r="U855" s="12"/>
      <c r="V855" s="12"/>
      <c r="W855" s="12"/>
      <c r="X855" s="12"/>
      <c r="Y855" s="12"/>
      <c r="Z855" s="12"/>
      <c r="AA855" s="12"/>
      <c r="AB855" s="12"/>
      <c r="AC855" s="12"/>
      <c r="AD855" s="12"/>
      <c r="AE855" s="12"/>
      <c r="AF855" s="12"/>
      <c r="AG855" s="13"/>
      <c r="AH855" s="13"/>
      <c r="AI855" s="13"/>
      <c r="AJ855" s="13"/>
      <c r="AK855" s="13"/>
      <c r="AL855" s="13"/>
      <c r="AM855" s="13"/>
    </row>
    <row r="856" spans="1:39">
      <c r="A856" s="8"/>
      <c r="B856" s="8"/>
      <c r="C856" s="8"/>
      <c r="D856" s="8"/>
      <c r="E856" s="8"/>
      <c r="F856" s="8"/>
      <c r="G856" s="8"/>
      <c r="H856" s="8"/>
      <c r="I856" s="8"/>
      <c r="J856" s="8"/>
      <c r="K856" s="8"/>
      <c r="L856" s="8"/>
      <c r="M856" s="8"/>
      <c r="N856" s="8"/>
      <c r="O856" s="8"/>
      <c r="P856" s="8"/>
      <c r="Q856" s="8"/>
      <c r="R856" s="8"/>
      <c r="S856" s="8"/>
      <c r="T856" s="8"/>
      <c r="U856" s="12"/>
      <c r="V856" s="12"/>
      <c r="W856" s="12"/>
      <c r="X856" s="12"/>
      <c r="Y856" s="12"/>
      <c r="Z856" s="12"/>
      <c r="AA856" s="12"/>
      <c r="AB856" s="12"/>
      <c r="AC856" s="12"/>
      <c r="AD856" s="12"/>
      <c r="AE856" s="12"/>
      <c r="AF856" s="12"/>
      <c r="AG856" s="13"/>
      <c r="AH856" s="13"/>
      <c r="AI856" s="13"/>
      <c r="AJ856" s="13"/>
      <c r="AK856" s="13"/>
      <c r="AL856" s="13"/>
      <c r="AM856" s="13"/>
    </row>
    <row r="857" spans="1:39">
      <c r="A857" s="8"/>
      <c r="B857" s="8"/>
      <c r="C857" s="8"/>
      <c r="D857" s="8"/>
      <c r="E857" s="8"/>
      <c r="F857" s="8"/>
      <c r="G857" s="8"/>
      <c r="H857" s="8"/>
      <c r="I857" s="8"/>
      <c r="J857" s="8"/>
      <c r="K857" s="8"/>
      <c r="L857" s="8"/>
      <c r="M857" s="8"/>
      <c r="N857" s="8"/>
      <c r="O857" s="8"/>
      <c r="P857" s="8"/>
      <c r="Q857" s="8"/>
      <c r="R857" s="8"/>
      <c r="S857" s="8"/>
      <c r="T857" s="8"/>
      <c r="U857" s="12"/>
      <c r="V857" s="12"/>
      <c r="W857" s="12"/>
      <c r="X857" s="12"/>
      <c r="Y857" s="12"/>
      <c r="Z857" s="12"/>
      <c r="AA857" s="12"/>
      <c r="AB857" s="12"/>
      <c r="AC857" s="12"/>
      <c r="AD857" s="12"/>
      <c r="AE857" s="12"/>
      <c r="AF857" s="12"/>
      <c r="AG857" s="13"/>
      <c r="AH857" s="13"/>
      <c r="AI857" s="13"/>
      <c r="AJ857" s="13"/>
      <c r="AK857" s="13"/>
      <c r="AL857" s="13"/>
      <c r="AM857" s="13"/>
    </row>
    <row r="858" spans="1:39">
      <c r="A858" s="8"/>
      <c r="B858" s="8"/>
      <c r="C858" s="8"/>
      <c r="D858" s="8"/>
      <c r="E858" s="8"/>
      <c r="F858" s="8"/>
      <c r="G858" s="8"/>
      <c r="H858" s="8"/>
      <c r="I858" s="8"/>
      <c r="J858" s="8"/>
      <c r="K858" s="8"/>
      <c r="L858" s="8"/>
      <c r="M858" s="8"/>
      <c r="N858" s="8"/>
      <c r="O858" s="8"/>
      <c r="P858" s="8"/>
      <c r="Q858" s="8"/>
      <c r="R858" s="8"/>
      <c r="S858" s="8"/>
      <c r="T858" s="8"/>
      <c r="U858" s="12"/>
      <c r="V858" s="12"/>
      <c r="W858" s="12"/>
      <c r="X858" s="12"/>
      <c r="Y858" s="12"/>
      <c r="Z858" s="12"/>
      <c r="AA858" s="12"/>
      <c r="AB858" s="12"/>
      <c r="AC858" s="12"/>
      <c r="AD858" s="12"/>
      <c r="AE858" s="12"/>
      <c r="AF858" s="12"/>
      <c r="AG858" s="13"/>
      <c r="AH858" s="13"/>
      <c r="AI858" s="13"/>
      <c r="AJ858" s="13"/>
      <c r="AK858" s="13"/>
      <c r="AL858" s="13"/>
      <c r="AM858" s="13"/>
    </row>
    <row r="859" spans="1:39">
      <c r="A859" s="8"/>
      <c r="B859" s="8"/>
      <c r="C859" s="8"/>
      <c r="D859" s="8"/>
      <c r="E859" s="8"/>
      <c r="F859" s="8"/>
      <c r="G859" s="8"/>
      <c r="H859" s="8"/>
      <c r="I859" s="8"/>
      <c r="J859" s="8"/>
      <c r="K859" s="8"/>
      <c r="L859" s="8"/>
      <c r="M859" s="8"/>
      <c r="N859" s="8"/>
      <c r="O859" s="8"/>
      <c r="P859" s="8"/>
      <c r="Q859" s="8"/>
      <c r="R859" s="8"/>
      <c r="S859" s="8"/>
      <c r="T859" s="8"/>
      <c r="U859" s="12"/>
      <c r="V859" s="12"/>
      <c r="W859" s="12"/>
      <c r="X859" s="12"/>
      <c r="Y859" s="12"/>
      <c r="Z859" s="12"/>
      <c r="AA859" s="12"/>
      <c r="AB859" s="12"/>
      <c r="AC859" s="12"/>
      <c r="AD859" s="12"/>
      <c r="AE859" s="12"/>
      <c r="AF859" s="12"/>
      <c r="AG859" s="13"/>
      <c r="AH859" s="13"/>
      <c r="AI859" s="13"/>
      <c r="AJ859" s="13"/>
      <c r="AK859" s="13"/>
      <c r="AL859" s="13"/>
      <c r="AM859" s="13"/>
    </row>
    <row r="860" spans="1:39">
      <c r="A860" s="8"/>
      <c r="B860" s="8"/>
      <c r="C860" s="8"/>
      <c r="D860" s="8"/>
      <c r="E860" s="8"/>
      <c r="F860" s="8"/>
      <c r="G860" s="8"/>
      <c r="H860" s="8"/>
      <c r="I860" s="8"/>
      <c r="J860" s="8"/>
      <c r="K860" s="8"/>
      <c r="L860" s="8"/>
      <c r="M860" s="8"/>
      <c r="N860" s="8"/>
      <c r="O860" s="8"/>
      <c r="P860" s="8"/>
      <c r="Q860" s="8"/>
      <c r="R860" s="8"/>
      <c r="S860" s="8"/>
      <c r="T860" s="8"/>
      <c r="U860" s="12"/>
      <c r="V860" s="12"/>
      <c r="W860" s="12"/>
      <c r="X860" s="12"/>
      <c r="Y860" s="12"/>
      <c r="Z860" s="12"/>
      <c r="AA860" s="12"/>
      <c r="AB860" s="12"/>
      <c r="AC860" s="12"/>
      <c r="AD860" s="12"/>
      <c r="AE860" s="12"/>
      <c r="AF860" s="12"/>
      <c r="AG860" s="13"/>
      <c r="AH860" s="13"/>
      <c r="AI860" s="13"/>
      <c r="AJ860" s="13"/>
      <c r="AK860" s="13"/>
      <c r="AL860" s="13"/>
      <c r="AM860" s="13"/>
    </row>
    <row r="861" spans="1:39">
      <c r="A861" s="8"/>
      <c r="B861" s="8"/>
      <c r="C861" s="8"/>
      <c r="D861" s="8"/>
      <c r="E861" s="8"/>
      <c r="F861" s="8"/>
      <c r="G861" s="8"/>
      <c r="H861" s="8"/>
      <c r="I861" s="8"/>
      <c r="J861" s="8"/>
      <c r="K861" s="8"/>
      <c r="L861" s="8"/>
      <c r="M861" s="8"/>
      <c r="N861" s="8"/>
      <c r="O861" s="8"/>
      <c r="P861" s="8"/>
      <c r="Q861" s="8"/>
      <c r="R861" s="8"/>
      <c r="S861" s="8"/>
      <c r="T861" s="8"/>
      <c r="U861" s="12"/>
      <c r="V861" s="12"/>
      <c r="W861" s="12"/>
      <c r="X861" s="12"/>
      <c r="Y861" s="12"/>
      <c r="Z861" s="12"/>
      <c r="AA861" s="12"/>
      <c r="AB861" s="12"/>
      <c r="AC861" s="12"/>
      <c r="AD861" s="12"/>
      <c r="AE861" s="12"/>
      <c r="AF861" s="12"/>
      <c r="AG861" s="13"/>
      <c r="AH861" s="13"/>
      <c r="AI861" s="13"/>
      <c r="AJ861" s="13"/>
      <c r="AK861" s="13"/>
      <c r="AL861" s="13"/>
      <c r="AM861" s="13"/>
    </row>
    <row r="862" spans="1:39">
      <c r="A862" s="8"/>
      <c r="B862" s="8"/>
      <c r="C862" s="8"/>
      <c r="D862" s="8"/>
      <c r="E862" s="8"/>
      <c r="F862" s="8"/>
      <c r="G862" s="8"/>
      <c r="H862" s="8"/>
      <c r="I862" s="8"/>
      <c r="J862" s="8"/>
      <c r="K862" s="8"/>
      <c r="L862" s="8"/>
      <c r="M862" s="8"/>
      <c r="N862" s="8"/>
      <c r="O862" s="8"/>
      <c r="P862" s="8"/>
      <c r="Q862" s="8"/>
      <c r="R862" s="8"/>
      <c r="S862" s="8"/>
      <c r="T862" s="8"/>
      <c r="U862" s="12"/>
      <c r="V862" s="12"/>
      <c r="W862" s="12"/>
      <c r="X862" s="12"/>
      <c r="Y862" s="12"/>
      <c r="Z862" s="12"/>
      <c r="AA862" s="12"/>
      <c r="AB862" s="12"/>
      <c r="AC862" s="12"/>
      <c r="AD862" s="12"/>
      <c r="AE862" s="12"/>
      <c r="AF862" s="12"/>
      <c r="AG862" s="13"/>
      <c r="AH862" s="13"/>
      <c r="AI862" s="13"/>
      <c r="AJ862" s="13"/>
      <c r="AK862" s="13"/>
      <c r="AL862" s="13"/>
      <c r="AM862" s="13"/>
    </row>
    <row r="863" spans="1:39">
      <c r="A863" s="8"/>
      <c r="B863" s="8"/>
      <c r="C863" s="8"/>
      <c r="D863" s="8"/>
      <c r="E863" s="8"/>
      <c r="F863" s="8"/>
      <c r="G863" s="8"/>
      <c r="H863" s="8"/>
      <c r="I863" s="8"/>
      <c r="J863" s="8"/>
      <c r="K863" s="8"/>
      <c r="L863" s="8"/>
      <c r="M863" s="8"/>
      <c r="N863" s="8"/>
      <c r="O863" s="8"/>
      <c r="P863" s="8"/>
      <c r="Q863" s="8"/>
      <c r="R863" s="8"/>
      <c r="S863" s="8"/>
      <c r="T863" s="8"/>
      <c r="U863" s="12"/>
      <c r="V863" s="12"/>
      <c r="W863" s="12"/>
      <c r="X863" s="12"/>
      <c r="Y863" s="12"/>
      <c r="Z863" s="12"/>
      <c r="AA863" s="12"/>
      <c r="AB863" s="12"/>
      <c r="AC863" s="12"/>
      <c r="AD863" s="12"/>
      <c r="AE863" s="12"/>
      <c r="AF863" s="12"/>
      <c r="AG863" s="13"/>
      <c r="AH863" s="13"/>
      <c r="AI863" s="13"/>
      <c r="AJ863" s="13"/>
      <c r="AK863" s="13"/>
      <c r="AL863" s="13"/>
      <c r="AM863" s="13"/>
    </row>
    <row r="864" spans="1:39">
      <c r="A864" s="8"/>
      <c r="B864" s="8"/>
      <c r="C864" s="8"/>
      <c r="D864" s="8"/>
      <c r="E864" s="8"/>
      <c r="F864" s="8"/>
      <c r="G864" s="8"/>
      <c r="H864" s="8"/>
      <c r="I864" s="8"/>
      <c r="J864" s="8"/>
      <c r="K864" s="8"/>
      <c r="L864" s="8"/>
      <c r="M864" s="8"/>
      <c r="N864" s="8"/>
      <c r="O864" s="8"/>
      <c r="P864" s="8"/>
      <c r="Q864" s="8"/>
      <c r="R864" s="8"/>
      <c r="S864" s="8"/>
      <c r="T864" s="8"/>
      <c r="U864" s="12"/>
      <c r="V864" s="12"/>
      <c r="W864" s="12"/>
      <c r="X864" s="12"/>
      <c r="Y864" s="12"/>
      <c r="Z864" s="12"/>
      <c r="AA864" s="12"/>
      <c r="AB864" s="12"/>
      <c r="AC864" s="12"/>
      <c r="AD864" s="12"/>
      <c r="AE864" s="12"/>
      <c r="AF864" s="12"/>
      <c r="AG864" s="13"/>
      <c r="AH864" s="13"/>
      <c r="AI864" s="13"/>
      <c r="AJ864" s="13"/>
      <c r="AK864" s="13"/>
      <c r="AL864" s="13"/>
      <c r="AM864" s="13"/>
    </row>
    <row r="865" spans="1:39">
      <c r="A865" s="8"/>
      <c r="B865" s="8"/>
      <c r="C865" s="8"/>
      <c r="D865" s="8"/>
      <c r="E865" s="8"/>
      <c r="F865" s="8"/>
      <c r="G865" s="8"/>
      <c r="H865" s="8"/>
      <c r="I865" s="8"/>
      <c r="J865" s="8"/>
      <c r="K865" s="8"/>
      <c r="L865" s="8"/>
      <c r="M865" s="8"/>
      <c r="N865" s="8"/>
      <c r="O865" s="8"/>
      <c r="P865" s="8"/>
      <c r="Q865" s="8"/>
      <c r="R865" s="8"/>
      <c r="S865" s="8"/>
      <c r="T865" s="8"/>
      <c r="U865" s="12"/>
      <c r="V865" s="12"/>
      <c r="W865" s="12"/>
      <c r="X865" s="12"/>
      <c r="Y865" s="12"/>
      <c r="Z865" s="12"/>
      <c r="AA865" s="12"/>
      <c r="AB865" s="12"/>
      <c r="AC865" s="12"/>
      <c r="AD865" s="12"/>
      <c r="AE865" s="12"/>
      <c r="AF865" s="12"/>
      <c r="AG865" s="13"/>
      <c r="AH865" s="13"/>
      <c r="AI865" s="13"/>
      <c r="AJ865" s="13"/>
      <c r="AK865" s="13"/>
      <c r="AL865" s="13"/>
      <c r="AM865" s="13"/>
    </row>
    <row r="866" spans="1:39">
      <c r="A866" s="8"/>
      <c r="B866" s="8"/>
      <c r="C866" s="8"/>
      <c r="D866" s="8"/>
      <c r="E866" s="8"/>
      <c r="F866" s="8"/>
      <c r="G866" s="8"/>
      <c r="H866" s="8"/>
      <c r="I866" s="8"/>
      <c r="J866" s="8"/>
      <c r="K866" s="8"/>
      <c r="L866" s="8"/>
      <c r="M866" s="8"/>
      <c r="N866" s="8"/>
      <c r="O866" s="8"/>
      <c r="P866" s="8"/>
      <c r="Q866" s="8"/>
      <c r="R866" s="8"/>
      <c r="S866" s="8"/>
      <c r="T866" s="8"/>
      <c r="U866" s="12"/>
      <c r="V866" s="12"/>
      <c r="W866" s="12"/>
      <c r="X866" s="12"/>
      <c r="Y866" s="12"/>
      <c r="Z866" s="12"/>
      <c r="AA866" s="12"/>
      <c r="AB866" s="12"/>
      <c r="AC866" s="12"/>
      <c r="AD866" s="12"/>
      <c r="AE866" s="12"/>
      <c r="AF866" s="12"/>
      <c r="AG866" s="13"/>
      <c r="AH866" s="13"/>
      <c r="AI866" s="13"/>
      <c r="AJ866" s="13"/>
      <c r="AK866" s="13"/>
      <c r="AL866" s="13"/>
      <c r="AM866" s="13"/>
    </row>
    <row r="867" spans="1:39">
      <c r="A867" s="8"/>
      <c r="B867" s="8"/>
      <c r="C867" s="8"/>
      <c r="D867" s="8"/>
      <c r="E867" s="8"/>
      <c r="F867" s="8"/>
      <c r="G867" s="8"/>
      <c r="H867" s="8"/>
      <c r="I867" s="8"/>
      <c r="J867" s="8"/>
      <c r="K867" s="8"/>
      <c r="L867" s="8"/>
      <c r="M867" s="8"/>
      <c r="N867" s="8"/>
      <c r="O867" s="8"/>
      <c r="P867" s="8"/>
      <c r="Q867" s="8"/>
      <c r="R867" s="8"/>
      <c r="S867" s="8"/>
      <c r="T867" s="8"/>
      <c r="U867" s="12"/>
      <c r="V867" s="12"/>
      <c r="W867" s="12"/>
      <c r="X867" s="12"/>
      <c r="Y867" s="12"/>
      <c r="Z867" s="12"/>
      <c r="AA867" s="12"/>
      <c r="AB867" s="12"/>
      <c r="AC867" s="12"/>
      <c r="AD867" s="12"/>
      <c r="AE867" s="12"/>
      <c r="AF867" s="12"/>
      <c r="AG867" s="13"/>
      <c r="AH867" s="13"/>
      <c r="AI867" s="13"/>
      <c r="AJ867" s="13"/>
      <c r="AK867" s="13"/>
      <c r="AL867" s="13"/>
      <c r="AM867" s="13"/>
    </row>
    <row r="868" spans="1:39">
      <c r="A868" s="8"/>
      <c r="B868" s="8"/>
      <c r="C868" s="8"/>
      <c r="D868" s="8"/>
      <c r="E868" s="8"/>
      <c r="F868" s="8"/>
      <c r="G868" s="8"/>
      <c r="H868" s="8"/>
      <c r="I868" s="8"/>
      <c r="J868" s="8"/>
      <c r="K868" s="8"/>
      <c r="L868" s="8"/>
      <c r="M868" s="8"/>
      <c r="N868" s="8"/>
      <c r="O868" s="8"/>
      <c r="P868" s="8"/>
      <c r="Q868" s="8"/>
      <c r="R868" s="8"/>
      <c r="S868" s="8"/>
      <c r="T868" s="8"/>
      <c r="U868" s="12"/>
      <c r="V868" s="12"/>
      <c r="W868" s="12"/>
      <c r="X868" s="12"/>
      <c r="Y868" s="12"/>
      <c r="Z868" s="12"/>
      <c r="AA868" s="12"/>
      <c r="AB868" s="12"/>
      <c r="AC868" s="12"/>
      <c r="AD868" s="12"/>
      <c r="AE868" s="12"/>
      <c r="AF868" s="12"/>
      <c r="AG868" s="13"/>
      <c r="AH868" s="13"/>
      <c r="AI868" s="13"/>
      <c r="AJ868" s="13"/>
      <c r="AK868" s="13"/>
      <c r="AL868" s="13"/>
      <c r="AM868" s="13"/>
    </row>
    <row r="869" spans="1:39">
      <c r="A869" s="8"/>
      <c r="B869" s="8"/>
      <c r="C869" s="8"/>
      <c r="D869" s="8"/>
      <c r="E869" s="8"/>
      <c r="F869" s="8"/>
      <c r="G869" s="8"/>
      <c r="H869" s="8"/>
      <c r="I869" s="8"/>
      <c r="J869" s="8"/>
      <c r="K869" s="8"/>
      <c r="L869" s="8"/>
      <c r="M869" s="8"/>
      <c r="N869" s="8"/>
      <c r="O869" s="8"/>
      <c r="P869" s="8"/>
      <c r="Q869" s="8"/>
      <c r="R869" s="8"/>
      <c r="S869" s="8"/>
      <c r="T869" s="8"/>
      <c r="U869" s="12"/>
      <c r="V869" s="12"/>
      <c r="W869" s="12"/>
      <c r="X869" s="12"/>
      <c r="Y869" s="12"/>
      <c r="Z869" s="12"/>
      <c r="AA869" s="12"/>
      <c r="AB869" s="12"/>
      <c r="AC869" s="12"/>
      <c r="AD869" s="12"/>
      <c r="AE869" s="12"/>
      <c r="AF869" s="12"/>
      <c r="AG869" s="13"/>
      <c r="AH869" s="13"/>
      <c r="AI869" s="13"/>
      <c r="AJ869" s="13"/>
      <c r="AK869" s="13"/>
      <c r="AL869" s="13"/>
      <c r="AM869" s="13"/>
    </row>
    <row r="870" spans="1:39">
      <c r="A870" s="8"/>
      <c r="B870" s="8"/>
      <c r="C870" s="8"/>
      <c r="D870" s="8"/>
      <c r="E870" s="8"/>
      <c r="F870" s="8"/>
      <c r="G870" s="8"/>
      <c r="H870" s="8"/>
      <c r="I870" s="8"/>
      <c r="J870" s="8"/>
      <c r="K870" s="8"/>
      <c r="L870" s="8"/>
      <c r="M870" s="8"/>
      <c r="N870" s="8"/>
      <c r="O870" s="8"/>
      <c r="P870" s="8"/>
      <c r="Q870" s="8"/>
      <c r="R870" s="8"/>
      <c r="S870" s="8"/>
      <c r="T870" s="8"/>
      <c r="U870" s="12"/>
      <c r="V870" s="12"/>
      <c r="W870" s="12"/>
      <c r="X870" s="12"/>
      <c r="Y870" s="12"/>
      <c r="Z870" s="12"/>
      <c r="AA870" s="12"/>
      <c r="AB870" s="12"/>
      <c r="AC870" s="12"/>
      <c r="AD870" s="12"/>
      <c r="AE870" s="12"/>
      <c r="AF870" s="12"/>
      <c r="AG870" s="13"/>
      <c r="AH870" s="13"/>
      <c r="AI870" s="13"/>
      <c r="AJ870" s="13"/>
      <c r="AK870" s="13"/>
      <c r="AL870" s="13"/>
      <c r="AM870" s="13"/>
    </row>
    <row r="871" spans="1:39">
      <c r="A871" s="8"/>
      <c r="B871" s="8"/>
      <c r="C871" s="8"/>
      <c r="D871" s="8"/>
      <c r="E871" s="8"/>
      <c r="F871" s="8"/>
      <c r="G871" s="8"/>
      <c r="H871" s="8"/>
      <c r="I871" s="8"/>
      <c r="J871" s="8"/>
      <c r="K871" s="8"/>
      <c r="L871" s="8"/>
      <c r="M871" s="8"/>
      <c r="N871" s="8"/>
      <c r="O871" s="8"/>
      <c r="P871" s="8"/>
      <c r="Q871" s="8"/>
      <c r="R871" s="8"/>
      <c r="S871" s="8"/>
      <c r="T871" s="8"/>
      <c r="U871" s="12"/>
      <c r="V871" s="12"/>
      <c r="W871" s="12"/>
      <c r="X871" s="12"/>
      <c r="Y871" s="12"/>
      <c r="Z871" s="12"/>
      <c r="AA871" s="12"/>
      <c r="AB871" s="12"/>
      <c r="AC871" s="12"/>
      <c r="AD871" s="12"/>
      <c r="AE871" s="12"/>
      <c r="AF871" s="12"/>
      <c r="AG871" s="13"/>
      <c r="AH871" s="13"/>
      <c r="AI871" s="13"/>
      <c r="AJ871" s="13"/>
      <c r="AK871" s="13"/>
      <c r="AL871" s="13"/>
      <c r="AM871" s="13"/>
    </row>
    <row r="872" spans="1:39">
      <c r="A872" s="8"/>
      <c r="B872" s="8"/>
      <c r="C872" s="8"/>
      <c r="D872" s="8"/>
      <c r="E872" s="8"/>
      <c r="F872" s="8"/>
      <c r="G872" s="8"/>
      <c r="H872" s="8"/>
      <c r="I872" s="8"/>
      <c r="J872" s="8"/>
      <c r="K872" s="8"/>
      <c r="L872" s="8"/>
      <c r="M872" s="8"/>
      <c r="N872" s="8"/>
      <c r="O872" s="8"/>
      <c r="P872" s="8"/>
      <c r="Q872" s="8"/>
      <c r="R872" s="8"/>
      <c r="S872" s="8"/>
      <c r="T872" s="8"/>
      <c r="U872" s="12"/>
      <c r="V872" s="12"/>
      <c r="W872" s="12"/>
      <c r="X872" s="12"/>
      <c r="Y872" s="12"/>
      <c r="Z872" s="12"/>
      <c r="AA872" s="12"/>
      <c r="AB872" s="12"/>
      <c r="AC872" s="12"/>
      <c r="AD872" s="12"/>
      <c r="AE872" s="12"/>
      <c r="AF872" s="12"/>
      <c r="AG872" s="13"/>
      <c r="AH872" s="13"/>
      <c r="AI872" s="13"/>
      <c r="AJ872" s="13"/>
      <c r="AK872" s="13"/>
      <c r="AL872" s="13"/>
      <c r="AM872" s="13"/>
    </row>
    <row r="873" spans="1:39">
      <c r="A873" s="8"/>
      <c r="B873" s="8"/>
      <c r="C873" s="8"/>
      <c r="D873" s="8"/>
      <c r="E873" s="8"/>
      <c r="F873" s="8"/>
      <c r="G873" s="8"/>
      <c r="H873" s="8"/>
      <c r="I873" s="8"/>
      <c r="J873" s="8"/>
      <c r="K873" s="8"/>
      <c r="L873" s="8"/>
      <c r="M873" s="8"/>
      <c r="N873" s="8"/>
      <c r="O873" s="8"/>
      <c r="P873" s="8"/>
      <c r="Q873" s="8"/>
      <c r="R873" s="8"/>
      <c r="S873" s="8"/>
      <c r="T873" s="8"/>
      <c r="U873" s="12"/>
      <c r="V873" s="12"/>
      <c r="W873" s="12"/>
      <c r="X873" s="12"/>
      <c r="Y873" s="12"/>
      <c r="Z873" s="12"/>
      <c r="AA873" s="12"/>
      <c r="AB873" s="12"/>
      <c r="AC873" s="12"/>
      <c r="AD873" s="12"/>
      <c r="AE873" s="12"/>
      <c r="AF873" s="12"/>
      <c r="AG873" s="13"/>
      <c r="AH873" s="13"/>
      <c r="AI873" s="13"/>
      <c r="AJ873" s="13"/>
      <c r="AK873" s="13"/>
      <c r="AL873" s="13"/>
      <c r="AM873" s="13"/>
    </row>
    <row r="874" spans="1:39">
      <c r="A874" s="8"/>
      <c r="B874" s="8"/>
      <c r="C874" s="8"/>
      <c r="D874" s="8"/>
      <c r="E874" s="8"/>
      <c r="F874" s="8"/>
      <c r="G874" s="8"/>
      <c r="H874" s="8"/>
      <c r="I874" s="8"/>
      <c r="J874" s="8"/>
      <c r="K874" s="8"/>
      <c r="L874" s="8"/>
      <c r="M874" s="8"/>
      <c r="N874" s="8"/>
      <c r="O874" s="8"/>
      <c r="P874" s="8"/>
      <c r="Q874" s="8"/>
      <c r="R874" s="8"/>
      <c r="S874" s="8"/>
      <c r="T874" s="8"/>
      <c r="U874" s="12"/>
      <c r="V874" s="12"/>
      <c r="W874" s="12"/>
      <c r="X874" s="12"/>
      <c r="Y874" s="12"/>
      <c r="Z874" s="12"/>
      <c r="AA874" s="12"/>
      <c r="AB874" s="12"/>
      <c r="AC874" s="12"/>
      <c r="AD874" s="12"/>
      <c r="AE874" s="12"/>
      <c r="AF874" s="12"/>
      <c r="AG874" s="13"/>
      <c r="AH874" s="13"/>
      <c r="AI874" s="13"/>
      <c r="AJ874" s="13"/>
      <c r="AK874" s="13"/>
      <c r="AL874" s="13"/>
      <c r="AM874" s="13"/>
    </row>
    <row r="875" spans="1:39">
      <c r="A875" s="8"/>
      <c r="B875" s="8"/>
      <c r="C875" s="8"/>
      <c r="D875" s="8"/>
      <c r="E875" s="8"/>
      <c r="F875" s="8"/>
      <c r="G875" s="8"/>
      <c r="H875" s="8"/>
      <c r="I875" s="8"/>
      <c r="J875" s="8"/>
      <c r="K875" s="8"/>
      <c r="L875" s="8"/>
      <c r="M875" s="8"/>
      <c r="N875" s="8"/>
      <c r="O875" s="8"/>
      <c r="P875" s="8"/>
      <c r="Q875" s="8"/>
      <c r="R875" s="8"/>
      <c r="S875" s="8"/>
      <c r="T875" s="8"/>
      <c r="U875" s="12"/>
      <c r="V875" s="12"/>
      <c r="W875" s="12"/>
      <c r="X875" s="12"/>
      <c r="Y875" s="12"/>
      <c r="Z875" s="12"/>
      <c r="AA875" s="12"/>
      <c r="AB875" s="12"/>
      <c r="AC875" s="12"/>
      <c r="AD875" s="12"/>
      <c r="AE875" s="12"/>
      <c r="AF875" s="12"/>
      <c r="AG875" s="13"/>
      <c r="AH875" s="13"/>
      <c r="AI875" s="13"/>
      <c r="AJ875" s="13"/>
      <c r="AK875" s="13"/>
      <c r="AL875" s="13"/>
      <c r="AM875" s="13"/>
    </row>
    <row r="876" spans="1:39">
      <c r="A876" s="8"/>
      <c r="B876" s="8"/>
      <c r="C876" s="8"/>
      <c r="D876" s="8"/>
      <c r="E876" s="8"/>
      <c r="F876" s="8"/>
      <c r="G876" s="8"/>
      <c r="H876" s="8"/>
      <c r="I876" s="8"/>
      <c r="J876" s="8"/>
      <c r="K876" s="8"/>
      <c r="L876" s="8"/>
      <c r="M876" s="8"/>
      <c r="N876" s="8"/>
      <c r="O876" s="8"/>
      <c r="P876" s="8"/>
      <c r="Q876" s="8"/>
      <c r="R876" s="8"/>
      <c r="S876" s="8"/>
      <c r="T876" s="8"/>
      <c r="U876" s="12"/>
      <c r="V876" s="12"/>
      <c r="W876" s="12"/>
      <c r="X876" s="12"/>
      <c r="Y876" s="12"/>
      <c r="Z876" s="12"/>
      <c r="AA876" s="12"/>
      <c r="AB876" s="12"/>
      <c r="AC876" s="12"/>
      <c r="AD876" s="12"/>
      <c r="AE876" s="12"/>
      <c r="AF876" s="12"/>
      <c r="AG876" s="13"/>
      <c r="AH876" s="13"/>
      <c r="AI876" s="13"/>
      <c r="AJ876" s="13"/>
      <c r="AK876" s="13"/>
      <c r="AL876" s="13"/>
      <c r="AM876" s="13"/>
    </row>
    <row r="877" spans="1:39">
      <c r="A877" s="8"/>
      <c r="B877" s="8"/>
      <c r="C877" s="8"/>
      <c r="D877" s="8"/>
      <c r="E877" s="8"/>
      <c r="F877" s="8"/>
      <c r="G877" s="8"/>
      <c r="H877" s="8"/>
      <c r="I877" s="8"/>
      <c r="J877" s="8"/>
      <c r="K877" s="8"/>
      <c r="L877" s="8"/>
      <c r="M877" s="8"/>
      <c r="N877" s="8"/>
      <c r="O877" s="8"/>
      <c r="P877" s="8"/>
      <c r="Q877" s="8"/>
      <c r="R877" s="8"/>
      <c r="S877" s="8"/>
      <c r="T877" s="8"/>
      <c r="U877" s="12"/>
      <c r="V877" s="12"/>
      <c r="W877" s="12"/>
      <c r="X877" s="12"/>
      <c r="Y877" s="12"/>
      <c r="Z877" s="12"/>
      <c r="AA877" s="12"/>
      <c r="AB877" s="12"/>
      <c r="AC877" s="12"/>
      <c r="AD877" s="12"/>
      <c r="AE877" s="12"/>
      <c r="AF877" s="12"/>
      <c r="AG877" s="13"/>
      <c r="AH877" s="13"/>
      <c r="AI877" s="13"/>
      <c r="AJ877" s="13"/>
      <c r="AK877" s="13"/>
      <c r="AL877" s="13"/>
      <c r="AM877" s="13"/>
    </row>
    <row r="878" spans="1:39">
      <c r="A878" s="8"/>
      <c r="B878" s="8"/>
      <c r="C878" s="8"/>
      <c r="D878" s="8"/>
      <c r="E878" s="8"/>
      <c r="F878" s="8"/>
      <c r="G878" s="8"/>
      <c r="H878" s="8"/>
      <c r="I878" s="8"/>
      <c r="J878" s="8"/>
      <c r="K878" s="8"/>
      <c r="L878" s="8"/>
      <c r="M878" s="8"/>
      <c r="N878" s="8"/>
      <c r="O878" s="8"/>
      <c r="P878" s="8"/>
      <c r="Q878" s="8"/>
      <c r="R878" s="8"/>
      <c r="S878" s="8"/>
      <c r="T878" s="8"/>
      <c r="U878" s="12"/>
      <c r="V878" s="12"/>
      <c r="W878" s="12"/>
      <c r="X878" s="12"/>
      <c r="Y878" s="12"/>
      <c r="Z878" s="12"/>
      <c r="AA878" s="12"/>
      <c r="AB878" s="12"/>
      <c r="AC878" s="12"/>
      <c r="AD878" s="12"/>
      <c r="AE878" s="12"/>
      <c r="AF878" s="12"/>
      <c r="AG878" s="13"/>
      <c r="AH878" s="13"/>
      <c r="AI878" s="13"/>
      <c r="AJ878" s="13"/>
      <c r="AK878" s="13"/>
      <c r="AL878" s="13"/>
      <c r="AM878" s="13"/>
    </row>
    <row r="879" spans="1:39">
      <c r="A879" s="8"/>
      <c r="B879" s="8"/>
      <c r="C879" s="8"/>
      <c r="D879" s="8"/>
      <c r="E879" s="8"/>
      <c r="F879" s="8"/>
      <c r="G879" s="8"/>
      <c r="H879" s="8"/>
      <c r="I879" s="8"/>
      <c r="J879" s="8"/>
      <c r="K879" s="8"/>
      <c r="L879" s="8"/>
      <c r="M879" s="8"/>
      <c r="N879" s="8"/>
      <c r="O879" s="8"/>
      <c r="P879" s="8"/>
      <c r="Q879" s="8"/>
      <c r="R879" s="8"/>
      <c r="S879" s="8"/>
      <c r="T879" s="8"/>
      <c r="U879" s="12"/>
      <c r="V879" s="12"/>
      <c r="W879" s="12"/>
      <c r="X879" s="12"/>
      <c r="Y879" s="12"/>
      <c r="Z879" s="12"/>
      <c r="AA879" s="12"/>
      <c r="AB879" s="12"/>
      <c r="AC879" s="12"/>
      <c r="AD879" s="12"/>
      <c r="AE879" s="12"/>
      <c r="AF879" s="12"/>
      <c r="AG879" s="13"/>
      <c r="AH879" s="13"/>
      <c r="AI879" s="13"/>
      <c r="AJ879" s="13"/>
      <c r="AK879" s="13"/>
      <c r="AL879" s="13"/>
      <c r="AM879" s="13"/>
    </row>
    <row r="880" spans="1:39">
      <c r="A880" s="8"/>
      <c r="B880" s="8"/>
      <c r="C880" s="8"/>
      <c r="D880" s="8"/>
      <c r="E880" s="8"/>
      <c r="F880" s="8"/>
      <c r="G880" s="8"/>
      <c r="H880" s="8"/>
      <c r="I880" s="8"/>
      <c r="J880" s="8"/>
      <c r="K880" s="8"/>
      <c r="L880" s="8"/>
      <c r="M880" s="8"/>
      <c r="N880" s="8"/>
      <c r="O880" s="8"/>
      <c r="P880" s="8"/>
      <c r="Q880" s="8"/>
      <c r="R880" s="8"/>
      <c r="S880" s="8"/>
      <c r="T880" s="8"/>
      <c r="U880" s="12"/>
      <c r="V880" s="12"/>
      <c r="W880" s="12"/>
      <c r="X880" s="12"/>
      <c r="Y880" s="12"/>
      <c r="Z880" s="12"/>
      <c r="AA880" s="12"/>
      <c r="AB880" s="12"/>
      <c r="AC880" s="12"/>
      <c r="AD880" s="12"/>
      <c r="AE880" s="12"/>
      <c r="AF880" s="12"/>
      <c r="AG880" s="13"/>
      <c r="AH880" s="13"/>
      <c r="AI880" s="13"/>
      <c r="AJ880" s="13"/>
      <c r="AK880" s="13"/>
      <c r="AL880" s="13"/>
      <c r="AM880" s="13"/>
    </row>
    <row r="881" spans="1:39">
      <c r="A881" s="8"/>
      <c r="B881" s="8"/>
      <c r="C881" s="8"/>
      <c r="D881" s="8"/>
      <c r="E881" s="8"/>
      <c r="F881" s="8"/>
      <c r="G881" s="8"/>
      <c r="H881" s="8"/>
      <c r="I881" s="8"/>
      <c r="J881" s="8"/>
      <c r="K881" s="8"/>
      <c r="L881" s="8"/>
      <c r="M881" s="8"/>
      <c r="N881" s="8"/>
      <c r="O881" s="8"/>
      <c r="P881" s="8"/>
      <c r="Q881" s="8"/>
      <c r="R881" s="8"/>
      <c r="S881" s="8"/>
      <c r="T881" s="8"/>
      <c r="U881" s="12"/>
      <c r="V881" s="12"/>
      <c r="W881" s="12"/>
      <c r="X881" s="12"/>
      <c r="Y881" s="12"/>
      <c r="Z881" s="12"/>
      <c r="AA881" s="12"/>
      <c r="AB881" s="12"/>
      <c r="AC881" s="12"/>
      <c r="AD881" s="12"/>
      <c r="AE881" s="12"/>
      <c r="AF881" s="12"/>
      <c r="AG881" s="13"/>
      <c r="AH881" s="13"/>
      <c r="AI881" s="13"/>
      <c r="AJ881" s="13"/>
      <c r="AK881" s="13"/>
      <c r="AL881" s="13"/>
      <c r="AM881" s="13"/>
    </row>
    <row r="882" spans="1:39">
      <c r="A882" s="8"/>
      <c r="B882" s="8"/>
      <c r="C882" s="8"/>
      <c r="D882" s="8"/>
      <c r="E882" s="8"/>
      <c r="F882" s="8"/>
      <c r="G882" s="8"/>
      <c r="H882" s="8"/>
      <c r="I882" s="8"/>
      <c r="J882" s="8"/>
      <c r="K882" s="8"/>
      <c r="L882" s="8"/>
      <c r="M882" s="8"/>
      <c r="N882" s="8"/>
      <c r="O882" s="8"/>
      <c r="P882" s="8"/>
      <c r="Q882" s="8"/>
      <c r="R882" s="8"/>
      <c r="S882" s="8"/>
      <c r="T882" s="8"/>
      <c r="U882" s="12"/>
      <c r="V882" s="12"/>
      <c r="W882" s="12"/>
      <c r="X882" s="12"/>
      <c r="Y882" s="12"/>
      <c r="Z882" s="12"/>
      <c r="AA882" s="12"/>
      <c r="AB882" s="12"/>
      <c r="AC882" s="12"/>
      <c r="AD882" s="12"/>
      <c r="AE882" s="12"/>
      <c r="AF882" s="12"/>
      <c r="AG882" s="13"/>
      <c r="AH882" s="13"/>
      <c r="AI882" s="13"/>
      <c r="AJ882" s="13"/>
      <c r="AK882" s="13"/>
      <c r="AL882" s="13"/>
      <c r="AM882" s="13"/>
    </row>
    <row r="883" spans="1:39">
      <c r="A883" s="8"/>
      <c r="B883" s="8"/>
      <c r="C883" s="8"/>
      <c r="D883" s="8"/>
      <c r="E883" s="8"/>
      <c r="F883" s="8"/>
      <c r="G883" s="8"/>
      <c r="H883" s="8"/>
      <c r="I883" s="8"/>
      <c r="J883" s="8"/>
      <c r="K883" s="8"/>
      <c r="L883" s="8"/>
      <c r="M883" s="8"/>
      <c r="N883" s="8"/>
      <c r="O883" s="8"/>
      <c r="P883" s="8"/>
      <c r="Q883" s="8"/>
      <c r="R883" s="8"/>
      <c r="S883" s="8"/>
      <c r="T883" s="8"/>
      <c r="U883" s="12"/>
      <c r="V883" s="12"/>
      <c r="W883" s="12"/>
      <c r="X883" s="12"/>
      <c r="Y883" s="12"/>
      <c r="Z883" s="12"/>
      <c r="AA883" s="12"/>
      <c r="AB883" s="12"/>
      <c r="AC883" s="12"/>
      <c r="AD883" s="12"/>
      <c r="AE883" s="12"/>
      <c r="AF883" s="12"/>
      <c r="AG883" s="13"/>
      <c r="AH883" s="13"/>
      <c r="AI883" s="13"/>
      <c r="AJ883" s="13"/>
      <c r="AK883" s="13"/>
      <c r="AL883" s="13"/>
      <c r="AM883" s="13"/>
    </row>
    <row r="884" spans="1:39">
      <c r="A884" s="8"/>
      <c r="B884" s="8"/>
      <c r="C884" s="8"/>
      <c r="D884" s="8"/>
      <c r="E884" s="8"/>
      <c r="F884" s="8"/>
      <c r="G884" s="8"/>
      <c r="H884" s="8"/>
      <c r="I884" s="8"/>
      <c r="J884" s="8"/>
      <c r="K884" s="8"/>
      <c r="L884" s="8"/>
      <c r="M884" s="8"/>
      <c r="N884" s="8"/>
      <c r="O884" s="8"/>
      <c r="P884" s="8"/>
      <c r="Q884" s="8"/>
      <c r="R884" s="8"/>
      <c r="S884" s="8"/>
      <c r="T884" s="8"/>
      <c r="U884" s="12"/>
      <c r="V884" s="12"/>
      <c r="W884" s="12"/>
      <c r="X884" s="12"/>
      <c r="Y884" s="12"/>
      <c r="Z884" s="12"/>
      <c r="AA884" s="12"/>
      <c r="AB884" s="12"/>
      <c r="AC884" s="12"/>
      <c r="AD884" s="12"/>
      <c r="AE884" s="12"/>
      <c r="AF884" s="12"/>
      <c r="AG884" s="13"/>
      <c r="AH884" s="13"/>
      <c r="AI884" s="13"/>
      <c r="AJ884" s="13"/>
      <c r="AK884" s="13"/>
      <c r="AL884" s="13"/>
      <c r="AM884" s="13"/>
    </row>
    <row r="885" spans="1:39">
      <c r="A885" s="8"/>
      <c r="B885" s="8"/>
      <c r="C885" s="8"/>
      <c r="D885" s="8"/>
      <c r="E885" s="8"/>
      <c r="F885" s="8"/>
      <c r="G885" s="8"/>
      <c r="H885" s="8"/>
      <c r="I885" s="8"/>
      <c r="J885" s="8"/>
      <c r="K885" s="8"/>
      <c r="L885" s="8"/>
      <c r="M885" s="8"/>
      <c r="N885" s="8"/>
      <c r="O885" s="8"/>
      <c r="P885" s="8"/>
      <c r="Q885" s="8"/>
      <c r="R885" s="8"/>
      <c r="S885" s="8"/>
      <c r="T885" s="8"/>
      <c r="U885" s="12"/>
      <c r="V885" s="12"/>
      <c r="W885" s="12"/>
      <c r="X885" s="12"/>
      <c r="Y885" s="12"/>
      <c r="Z885" s="12"/>
      <c r="AA885" s="12"/>
      <c r="AB885" s="12"/>
      <c r="AC885" s="12"/>
      <c r="AD885" s="12"/>
      <c r="AE885" s="12"/>
      <c r="AF885" s="12"/>
      <c r="AG885" s="13"/>
      <c r="AH885" s="13"/>
      <c r="AI885" s="13"/>
      <c r="AJ885" s="13"/>
      <c r="AK885" s="13"/>
      <c r="AL885" s="13"/>
      <c r="AM885" s="13"/>
    </row>
    <row r="886" spans="1:39">
      <c r="A886" s="8"/>
      <c r="B886" s="8"/>
      <c r="C886" s="8"/>
      <c r="D886" s="8"/>
      <c r="E886" s="8"/>
      <c r="F886" s="8"/>
      <c r="G886" s="8"/>
      <c r="H886" s="8"/>
      <c r="I886" s="8"/>
      <c r="J886" s="8"/>
      <c r="K886" s="8"/>
      <c r="L886" s="8"/>
      <c r="M886" s="8"/>
      <c r="N886" s="8"/>
      <c r="O886" s="8"/>
      <c r="P886" s="8"/>
      <c r="Q886" s="8"/>
      <c r="R886" s="8"/>
      <c r="S886" s="8"/>
      <c r="T886" s="8"/>
      <c r="U886" s="12"/>
      <c r="V886" s="12"/>
      <c r="W886" s="12"/>
      <c r="X886" s="12"/>
      <c r="Y886" s="12"/>
      <c r="Z886" s="12"/>
      <c r="AA886" s="12"/>
      <c r="AB886" s="12"/>
      <c r="AC886" s="12"/>
      <c r="AD886" s="12"/>
      <c r="AE886" s="12"/>
      <c r="AF886" s="12"/>
      <c r="AG886" s="13"/>
      <c r="AH886" s="13"/>
      <c r="AI886" s="13"/>
      <c r="AJ886" s="13"/>
      <c r="AK886" s="13"/>
      <c r="AL886" s="13"/>
      <c r="AM886" s="13"/>
    </row>
    <row r="887" spans="1:39">
      <c r="A887" s="8"/>
      <c r="B887" s="8"/>
      <c r="C887" s="8"/>
      <c r="D887" s="8"/>
      <c r="E887" s="8"/>
      <c r="F887" s="8"/>
      <c r="G887" s="8"/>
      <c r="H887" s="8"/>
      <c r="I887" s="8"/>
      <c r="J887" s="8"/>
      <c r="K887" s="8"/>
      <c r="L887" s="8"/>
      <c r="M887" s="8"/>
      <c r="N887" s="8"/>
      <c r="O887" s="8"/>
      <c r="P887" s="8"/>
      <c r="Q887" s="8"/>
      <c r="R887" s="8"/>
      <c r="S887" s="8"/>
      <c r="T887" s="8"/>
      <c r="U887" s="12"/>
      <c r="V887" s="12"/>
      <c r="W887" s="12"/>
      <c r="X887" s="12"/>
      <c r="Y887" s="12"/>
      <c r="Z887" s="12"/>
      <c r="AA887" s="12"/>
      <c r="AB887" s="12"/>
      <c r="AC887" s="12"/>
      <c r="AD887" s="12"/>
      <c r="AE887" s="12"/>
      <c r="AF887" s="12"/>
      <c r="AG887" s="13"/>
      <c r="AH887" s="13"/>
      <c r="AI887" s="13"/>
      <c r="AJ887" s="13"/>
      <c r="AK887" s="13"/>
      <c r="AL887" s="13"/>
      <c r="AM887" s="13"/>
    </row>
    <row r="888" spans="1:39">
      <c r="A888" s="8"/>
      <c r="B888" s="8"/>
      <c r="C888" s="8"/>
      <c r="D888" s="8"/>
      <c r="E888" s="8"/>
      <c r="F888" s="8"/>
      <c r="G888" s="8"/>
      <c r="H888" s="8"/>
      <c r="I888" s="8"/>
      <c r="J888" s="8"/>
      <c r="K888" s="8"/>
      <c r="L888" s="8"/>
      <c r="M888" s="8"/>
      <c r="N888" s="8"/>
      <c r="O888" s="8"/>
      <c r="P888" s="8"/>
      <c r="Q888" s="8"/>
      <c r="R888" s="8"/>
      <c r="S888" s="8"/>
      <c r="T888" s="8"/>
      <c r="U888" s="12"/>
      <c r="V888" s="12"/>
      <c r="W888" s="12"/>
      <c r="X888" s="12"/>
      <c r="Y888" s="12"/>
      <c r="Z888" s="12"/>
      <c r="AA888" s="12"/>
      <c r="AB888" s="12"/>
      <c r="AC888" s="12"/>
      <c r="AD888" s="12"/>
      <c r="AE888" s="12"/>
      <c r="AF888" s="12"/>
      <c r="AG888" s="13"/>
      <c r="AH888" s="13"/>
      <c r="AI888" s="13"/>
      <c r="AJ888" s="13"/>
      <c r="AK888" s="13"/>
      <c r="AL888" s="13"/>
      <c r="AM888" s="13"/>
    </row>
    <row r="889" spans="1:39">
      <c r="A889" s="8"/>
      <c r="B889" s="8"/>
      <c r="C889" s="8"/>
      <c r="D889" s="8"/>
      <c r="E889" s="8"/>
      <c r="F889" s="8"/>
      <c r="G889" s="8"/>
      <c r="H889" s="8"/>
      <c r="I889" s="8"/>
      <c r="J889" s="8"/>
      <c r="K889" s="8"/>
      <c r="L889" s="8"/>
      <c r="M889" s="8"/>
      <c r="N889" s="8"/>
      <c r="O889" s="8"/>
      <c r="P889" s="8"/>
      <c r="Q889" s="8"/>
      <c r="R889" s="8"/>
      <c r="S889" s="8"/>
      <c r="T889" s="8"/>
      <c r="U889" s="12"/>
      <c r="V889" s="12"/>
      <c r="W889" s="12"/>
      <c r="X889" s="12"/>
      <c r="Y889" s="12"/>
      <c r="Z889" s="12"/>
      <c r="AA889" s="12"/>
      <c r="AB889" s="12"/>
      <c r="AC889" s="12"/>
      <c r="AD889" s="12"/>
      <c r="AE889" s="12"/>
      <c r="AF889" s="12"/>
      <c r="AG889" s="13"/>
      <c r="AH889" s="13"/>
      <c r="AI889" s="13"/>
      <c r="AJ889" s="13"/>
      <c r="AK889" s="13"/>
      <c r="AL889" s="13"/>
      <c r="AM889" s="13"/>
    </row>
    <row r="890" spans="1:39">
      <c r="A890" s="8"/>
      <c r="B890" s="8"/>
      <c r="C890" s="8"/>
      <c r="D890" s="8"/>
      <c r="E890" s="8"/>
      <c r="F890" s="8"/>
      <c r="G890" s="8"/>
      <c r="H890" s="8"/>
      <c r="I890" s="8"/>
      <c r="J890" s="8"/>
      <c r="K890" s="8"/>
      <c r="L890" s="8"/>
      <c r="M890" s="8"/>
      <c r="N890" s="8"/>
      <c r="O890" s="8"/>
      <c r="P890" s="8"/>
      <c r="Q890" s="8"/>
      <c r="R890" s="8"/>
      <c r="S890" s="8"/>
      <c r="T890" s="8"/>
      <c r="U890" s="12"/>
      <c r="V890" s="12"/>
      <c r="W890" s="12"/>
      <c r="X890" s="12"/>
      <c r="Y890" s="12"/>
      <c r="Z890" s="12"/>
      <c r="AA890" s="12"/>
      <c r="AB890" s="12"/>
      <c r="AC890" s="12"/>
      <c r="AD890" s="12"/>
      <c r="AE890" s="12"/>
      <c r="AF890" s="12"/>
      <c r="AG890" s="13"/>
      <c r="AH890" s="13"/>
      <c r="AI890" s="13"/>
      <c r="AJ890" s="13"/>
      <c r="AK890" s="13"/>
      <c r="AL890" s="13"/>
      <c r="AM890" s="13"/>
    </row>
    <row r="891" spans="1:39">
      <c r="A891" s="8"/>
      <c r="B891" s="8"/>
      <c r="C891" s="8"/>
      <c r="D891" s="8"/>
      <c r="E891" s="8"/>
      <c r="F891" s="8"/>
      <c r="G891" s="8"/>
      <c r="H891" s="8"/>
      <c r="I891" s="8"/>
      <c r="J891" s="8"/>
      <c r="K891" s="8"/>
      <c r="L891" s="8"/>
      <c r="M891" s="8"/>
      <c r="N891" s="8"/>
      <c r="O891" s="8"/>
      <c r="P891" s="8"/>
      <c r="Q891" s="8"/>
      <c r="R891" s="8"/>
      <c r="S891" s="8"/>
      <c r="T891" s="8"/>
      <c r="U891" s="12"/>
      <c r="V891" s="12"/>
      <c r="W891" s="12"/>
      <c r="X891" s="12"/>
      <c r="Y891" s="12"/>
      <c r="Z891" s="12"/>
      <c r="AA891" s="12"/>
      <c r="AB891" s="12"/>
      <c r="AC891" s="12"/>
      <c r="AD891" s="12"/>
      <c r="AE891" s="12"/>
      <c r="AF891" s="12"/>
      <c r="AG891" s="13"/>
      <c r="AH891" s="13"/>
      <c r="AI891" s="13"/>
      <c r="AJ891" s="13"/>
      <c r="AK891" s="13"/>
      <c r="AL891" s="13"/>
      <c r="AM891" s="13"/>
    </row>
    <row r="892" spans="1:39">
      <c r="A892" s="8"/>
      <c r="B892" s="8"/>
      <c r="C892" s="8"/>
      <c r="D892" s="8"/>
      <c r="E892" s="8"/>
      <c r="F892" s="8"/>
      <c r="G892" s="8"/>
      <c r="H892" s="8"/>
      <c r="I892" s="8"/>
      <c r="J892" s="8"/>
      <c r="K892" s="8"/>
      <c r="L892" s="8"/>
      <c r="M892" s="8"/>
      <c r="N892" s="8"/>
      <c r="O892" s="8"/>
      <c r="P892" s="8"/>
      <c r="Q892" s="8"/>
      <c r="R892" s="8"/>
      <c r="S892" s="8"/>
      <c r="T892" s="8"/>
      <c r="U892" s="12"/>
      <c r="V892" s="12"/>
      <c r="W892" s="12"/>
      <c r="X892" s="12"/>
      <c r="Y892" s="12"/>
      <c r="Z892" s="12"/>
      <c r="AA892" s="12"/>
      <c r="AB892" s="12"/>
      <c r="AC892" s="12"/>
      <c r="AD892" s="12"/>
      <c r="AE892" s="12"/>
      <c r="AF892" s="12"/>
      <c r="AG892" s="13"/>
      <c r="AH892" s="13"/>
      <c r="AI892" s="13"/>
      <c r="AJ892" s="13"/>
      <c r="AK892" s="13"/>
      <c r="AL892" s="13"/>
      <c r="AM892" s="13"/>
    </row>
    <row r="893" spans="1:39">
      <c r="A893" s="8"/>
      <c r="B893" s="8"/>
      <c r="C893" s="8"/>
      <c r="D893" s="8"/>
      <c r="E893" s="8"/>
      <c r="F893" s="8"/>
      <c r="G893" s="8"/>
      <c r="H893" s="8"/>
      <c r="I893" s="8"/>
      <c r="J893" s="8"/>
      <c r="K893" s="8"/>
      <c r="L893" s="8"/>
      <c r="M893" s="8"/>
      <c r="N893" s="8"/>
      <c r="O893" s="8"/>
      <c r="P893" s="8"/>
      <c r="Q893" s="8"/>
      <c r="R893" s="8"/>
      <c r="S893" s="8"/>
      <c r="T893" s="8"/>
      <c r="U893" s="12"/>
      <c r="V893" s="12"/>
      <c r="W893" s="12"/>
      <c r="X893" s="12"/>
      <c r="Y893" s="12"/>
      <c r="Z893" s="12"/>
      <c r="AA893" s="12"/>
      <c r="AB893" s="12"/>
      <c r="AC893" s="12"/>
      <c r="AD893" s="12"/>
      <c r="AE893" s="12"/>
      <c r="AF893" s="12"/>
      <c r="AG893" s="13"/>
      <c r="AH893" s="13"/>
      <c r="AI893" s="13"/>
      <c r="AJ893" s="13"/>
      <c r="AK893" s="13"/>
      <c r="AL893" s="13"/>
      <c r="AM893" s="13"/>
    </row>
    <row r="894" spans="1:39">
      <c r="A894" s="8"/>
      <c r="B894" s="8"/>
      <c r="C894" s="8"/>
      <c r="D894" s="8"/>
      <c r="E894" s="8"/>
      <c r="F894" s="8"/>
      <c r="G894" s="8"/>
      <c r="H894" s="8"/>
      <c r="I894" s="8"/>
      <c r="J894" s="8"/>
      <c r="K894" s="8"/>
      <c r="L894" s="8"/>
      <c r="M894" s="8"/>
      <c r="N894" s="8"/>
      <c r="O894" s="8"/>
      <c r="P894" s="8"/>
      <c r="Q894" s="8"/>
      <c r="R894" s="8"/>
      <c r="S894" s="8"/>
      <c r="T894" s="8"/>
      <c r="U894" s="12"/>
      <c r="V894" s="12"/>
      <c r="W894" s="12"/>
      <c r="X894" s="12"/>
      <c r="Y894" s="12"/>
      <c r="Z894" s="12"/>
      <c r="AA894" s="12"/>
      <c r="AB894" s="12"/>
      <c r="AC894" s="12"/>
      <c r="AD894" s="12"/>
      <c r="AE894" s="12"/>
      <c r="AF894" s="12"/>
      <c r="AG894" s="13"/>
      <c r="AH894" s="13"/>
      <c r="AI894" s="13"/>
      <c r="AJ894" s="13"/>
      <c r="AK894" s="13"/>
      <c r="AL894" s="13"/>
      <c r="AM894" s="13"/>
    </row>
    <row r="895" spans="1:39">
      <c r="A895" s="8"/>
      <c r="B895" s="8"/>
      <c r="C895" s="8"/>
      <c r="D895" s="8"/>
      <c r="E895" s="8"/>
      <c r="F895" s="8"/>
      <c r="G895" s="8"/>
      <c r="H895" s="8"/>
      <c r="I895" s="8"/>
      <c r="J895" s="8"/>
      <c r="K895" s="8"/>
      <c r="L895" s="8"/>
      <c r="M895" s="8"/>
      <c r="N895" s="8"/>
      <c r="O895" s="8"/>
      <c r="P895" s="8"/>
      <c r="Q895" s="8"/>
      <c r="R895" s="8"/>
      <c r="S895" s="8"/>
      <c r="T895" s="8"/>
      <c r="U895" s="12"/>
      <c r="V895" s="12"/>
      <c r="W895" s="12"/>
      <c r="X895" s="12"/>
      <c r="Y895" s="12"/>
      <c r="Z895" s="12"/>
      <c r="AA895" s="12"/>
      <c r="AB895" s="12"/>
      <c r="AC895" s="12"/>
      <c r="AD895" s="12"/>
      <c r="AE895" s="12"/>
      <c r="AF895" s="12"/>
      <c r="AG895" s="13"/>
      <c r="AH895" s="13"/>
      <c r="AI895" s="13"/>
      <c r="AJ895" s="13"/>
      <c r="AK895" s="13"/>
      <c r="AL895" s="13"/>
      <c r="AM895" s="13"/>
    </row>
    <row r="896" spans="1:39">
      <c r="A896" s="8"/>
      <c r="B896" s="8"/>
      <c r="C896" s="8"/>
      <c r="D896" s="8"/>
      <c r="E896" s="8"/>
      <c r="F896" s="8"/>
      <c r="G896" s="8"/>
      <c r="H896" s="8"/>
      <c r="I896" s="8"/>
      <c r="J896" s="8"/>
      <c r="K896" s="8"/>
      <c r="L896" s="8"/>
      <c r="M896" s="8"/>
      <c r="N896" s="8"/>
      <c r="O896" s="8"/>
      <c r="P896" s="8"/>
      <c r="Q896" s="8"/>
      <c r="R896" s="8"/>
      <c r="S896" s="8"/>
      <c r="T896" s="8"/>
      <c r="U896" s="12"/>
      <c r="V896" s="12"/>
      <c r="W896" s="12"/>
      <c r="X896" s="12"/>
      <c r="Y896" s="12"/>
      <c r="Z896" s="12"/>
      <c r="AA896" s="12"/>
      <c r="AB896" s="12"/>
      <c r="AC896" s="12"/>
      <c r="AD896" s="12"/>
      <c r="AE896" s="12"/>
      <c r="AF896" s="12"/>
      <c r="AG896" s="13"/>
      <c r="AH896" s="13"/>
      <c r="AI896" s="13"/>
      <c r="AJ896" s="13"/>
      <c r="AK896" s="13"/>
      <c r="AL896" s="13"/>
      <c r="AM896" s="13"/>
    </row>
    <row r="897" spans="1:39">
      <c r="A897" s="8"/>
      <c r="B897" s="8"/>
      <c r="C897" s="8"/>
      <c r="D897" s="8"/>
      <c r="E897" s="8"/>
      <c r="F897" s="8"/>
      <c r="G897" s="8"/>
      <c r="H897" s="8"/>
      <c r="I897" s="8"/>
      <c r="J897" s="8"/>
      <c r="K897" s="8"/>
      <c r="L897" s="8"/>
      <c r="M897" s="8"/>
      <c r="N897" s="8"/>
      <c r="O897" s="8"/>
      <c r="P897" s="8"/>
      <c r="Q897" s="8"/>
      <c r="R897" s="8"/>
      <c r="S897" s="8"/>
      <c r="T897" s="8"/>
      <c r="U897" s="12"/>
      <c r="V897" s="12"/>
      <c r="W897" s="12"/>
      <c r="X897" s="12"/>
      <c r="Y897" s="12"/>
      <c r="Z897" s="12"/>
      <c r="AA897" s="12"/>
      <c r="AB897" s="12"/>
      <c r="AC897" s="12"/>
      <c r="AD897" s="12"/>
      <c r="AE897" s="12"/>
      <c r="AF897" s="12"/>
      <c r="AG897" s="13"/>
      <c r="AH897" s="13"/>
      <c r="AI897" s="13"/>
      <c r="AJ897" s="13"/>
      <c r="AK897" s="13"/>
      <c r="AL897" s="13"/>
      <c r="AM897" s="13"/>
    </row>
    <row r="898" spans="1:39">
      <c r="A898" s="8"/>
      <c r="B898" s="8"/>
      <c r="C898" s="8"/>
      <c r="D898" s="8"/>
      <c r="E898" s="8"/>
      <c r="F898" s="8"/>
      <c r="G898" s="8"/>
      <c r="H898" s="8"/>
      <c r="I898" s="8"/>
      <c r="J898" s="8"/>
      <c r="K898" s="8"/>
      <c r="L898" s="8"/>
      <c r="M898" s="8"/>
      <c r="N898" s="8"/>
      <c r="O898" s="8"/>
      <c r="P898" s="8"/>
      <c r="Q898" s="8"/>
      <c r="R898" s="8"/>
      <c r="S898" s="8"/>
      <c r="T898" s="8"/>
      <c r="U898" s="12"/>
      <c r="V898" s="12"/>
      <c r="W898" s="12"/>
      <c r="X898" s="12"/>
      <c r="Y898" s="12"/>
      <c r="Z898" s="12"/>
      <c r="AA898" s="12"/>
      <c r="AB898" s="12"/>
      <c r="AC898" s="12"/>
      <c r="AD898" s="12"/>
      <c r="AE898" s="12"/>
      <c r="AF898" s="12"/>
      <c r="AG898" s="13"/>
      <c r="AH898" s="13"/>
      <c r="AI898" s="13"/>
      <c r="AJ898" s="13"/>
      <c r="AK898" s="13"/>
      <c r="AL898" s="13"/>
      <c r="AM898" s="13"/>
    </row>
    <row r="899" spans="1:39">
      <c r="A899" s="8"/>
      <c r="B899" s="8"/>
      <c r="C899" s="8"/>
      <c r="D899" s="8"/>
      <c r="E899" s="8"/>
      <c r="F899" s="8"/>
      <c r="G899" s="8"/>
      <c r="H899" s="8"/>
      <c r="I899" s="8"/>
      <c r="J899" s="8"/>
      <c r="K899" s="8"/>
      <c r="L899" s="8"/>
      <c r="M899" s="8"/>
      <c r="N899" s="8"/>
      <c r="O899" s="8"/>
      <c r="P899" s="8"/>
      <c r="Q899" s="8"/>
      <c r="R899" s="8"/>
      <c r="S899" s="8"/>
      <c r="T899" s="8"/>
      <c r="U899" s="12"/>
      <c r="V899" s="12"/>
      <c r="W899" s="12"/>
      <c r="X899" s="12"/>
      <c r="Y899" s="12"/>
      <c r="Z899" s="12"/>
      <c r="AA899" s="12"/>
      <c r="AB899" s="12"/>
      <c r="AC899" s="12"/>
      <c r="AD899" s="12"/>
      <c r="AE899" s="12"/>
      <c r="AF899" s="12"/>
      <c r="AG899" s="13"/>
      <c r="AH899" s="13"/>
      <c r="AI899" s="13"/>
      <c r="AJ899" s="13"/>
      <c r="AK899" s="13"/>
      <c r="AL899" s="13"/>
      <c r="AM899" s="13"/>
    </row>
    <row r="900" spans="1:39">
      <c r="A900" s="8"/>
      <c r="B900" s="8"/>
      <c r="C900" s="8"/>
      <c r="D900" s="8"/>
      <c r="E900" s="8"/>
      <c r="F900" s="8"/>
      <c r="G900" s="8"/>
      <c r="H900" s="8"/>
      <c r="I900" s="8"/>
      <c r="J900" s="8"/>
      <c r="K900" s="8"/>
      <c r="L900" s="8"/>
      <c r="M900" s="8"/>
      <c r="N900" s="8"/>
      <c r="O900" s="8"/>
      <c r="P900" s="8"/>
      <c r="Q900" s="8"/>
      <c r="R900" s="8"/>
      <c r="S900" s="8"/>
      <c r="T900" s="8"/>
      <c r="U900" s="12"/>
      <c r="V900" s="12"/>
      <c r="W900" s="12"/>
      <c r="X900" s="12"/>
      <c r="Y900" s="12"/>
      <c r="Z900" s="12"/>
      <c r="AA900" s="12"/>
      <c r="AB900" s="12"/>
      <c r="AC900" s="12"/>
      <c r="AD900" s="12"/>
      <c r="AE900" s="12"/>
      <c r="AF900" s="12"/>
      <c r="AG900" s="13"/>
      <c r="AH900" s="13"/>
      <c r="AI900" s="13"/>
      <c r="AJ900" s="13"/>
      <c r="AK900" s="13"/>
      <c r="AL900" s="13"/>
      <c r="AM900" s="13"/>
    </row>
    <row r="901" spans="1:39">
      <c r="A901" s="8"/>
      <c r="B901" s="8"/>
      <c r="C901" s="8"/>
      <c r="D901" s="8"/>
      <c r="E901" s="8"/>
      <c r="F901" s="8"/>
      <c r="G901" s="8"/>
      <c r="H901" s="8"/>
      <c r="I901" s="8"/>
      <c r="J901" s="8"/>
      <c r="K901" s="8"/>
      <c r="L901" s="8"/>
      <c r="M901" s="8"/>
      <c r="N901" s="8"/>
      <c r="O901" s="8"/>
      <c r="P901" s="8"/>
      <c r="Q901" s="8"/>
      <c r="R901" s="8"/>
      <c r="S901" s="8"/>
      <c r="T901" s="8"/>
      <c r="U901" s="12"/>
      <c r="V901" s="12"/>
      <c r="W901" s="12"/>
      <c r="X901" s="12"/>
      <c r="Y901" s="12"/>
      <c r="Z901" s="12"/>
      <c r="AA901" s="12"/>
      <c r="AB901" s="12"/>
      <c r="AC901" s="12"/>
      <c r="AD901" s="12"/>
      <c r="AE901" s="12"/>
      <c r="AF901" s="12"/>
      <c r="AG901" s="13"/>
      <c r="AH901" s="13"/>
      <c r="AI901" s="13"/>
      <c r="AJ901" s="13"/>
      <c r="AK901" s="13"/>
      <c r="AL901" s="13"/>
      <c r="AM901" s="13"/>
    </row>
    <row r="902" spans="1:39">
      <c r="A902" s="8"/>
      <c r="B902" s="8"/>
      <c r="C902" s="8"/>
      <c r="D902" s="8"/>
      <c r="E902" s="8"/>
      <c r="F902" s="8"/>
      <c r="G902" s="8"/>
      <c r="H902" s="8"/>
      <c r="I902" s="8"/>
      <c r="J902" s="8"/>
      <c r="K902" s="8"/>
      <c r="L902" s="8"/>
      <c r="M902" s="8"/>
      <c r="N902" s="8"/>
      <c r="O902" s="8"/>
      <c r="P902" s="8"/>
      <c r="Q902" s="8"/>
      <c r="R902" s="8"/>
      <c r="S902" s="8"/>
      <c r="T902" s="8"/>
      <c r="U902" s="12"/>
      <c r="V902" s="12"/>
      <c r="W902" s="12"/>
      <c r="X902" s="12"/>
      <c r="Y902" s="12"/>
      <c r="Z902" s="12"/>
      <c r="AA902" s="12"/>
      <c r="AB902" s="12"/>
      <c r="AC902" s="12"/>
      <c r="AD902" s="12"/>
      <c r="AE902" s="12"/>
      <c r="AF902" s="12"/>
      <c r="AG902" s="13"/>
      <c r="AH902" s="13"/>
      <c r="AI902" s="13"/>
      <c r="AJ902" s="13"/>
      <c r="AK902" s="13"/>
      <c r="AL902" s="13"/>
      <c r="AM902" s="13"/>
    </row>
    <row r="903" spans="1:39">
      <c r="A903" s="8"/>
      <c r="B903" s="8"/>
      <c r="C903" s="8"/>
      <c r="D903" s="8"/>
      <c r="E903" s="8"/>
      <c r="F903" s="8"/>
      <c r="G903" s="8"/>
      <c r="H903" s="8"/>
      <c r="I903" s="8"/>
      <c r="J903" s="8"/>
      <c r="K903" s="8"/>
      <c r="L903" s="8"/>
      <c r="M903" s="8"/>
      <c r="N903" s="8"/>
      <c r="O903" s="8"/>
      <c r="P903" s="8"/>
      <c r="Q903" s="8"/>
      <c r="R903" s="8"/>
      <c r="S903" s="8"/>
      <c r="T903" s="8"/>
      <c r="U903" s="12"/>
      <c r="V903" s="12"/>
      <c r="W903" s="12"/>
      <c r="X903" s="12"/>
      <c r="Y903" s="12"/>
      <c r="Z903" s="12"/>
      <c r="AA903" s="12"/>
      <c r="AB903" s="12"/>
      <c r="AC903" s="12"/>
      <c r="AD903" s="12"/>
      <c r="AE903" s="12"/>
      <c r="AF903" s="12"/>
      <c r="AG903" s="13"/>
      <c r="AH903" s="13"/>
      <c r="AI903" s="13"/>
      <c r="AJ903" s="13"/>
      <c r="AK903" s="13"/>
      <c r="AL903" s="13"/>
      <c r="AM903" s="13"/>
    </row>
    <row r="904" spans="1:39">
      <c r="A904" s="8"/>
      <c r="B904" s="8"/>
      <c r="C904" s="8"/>
      <c r="D904" s="8"/>
      <c r="E904" s="8"/>
      <c r="F904" s="8"/>
      <c r="G904" s="8"/>
      <c r="H904" s="8"/>
      <c r="I904" s="8"/>
      <c r="J904" s="8"/>
      <c r="K904" s="8"/>
      <c r="L904" s="8"/>
      <c r="M904" s="8"/>
      <c r="N904" s="8"/>
      <c r="O904" s="8"/>
      <c r="P904" s="8"/>
      <c r="Q904" s="8"/>
      <c r="R904" s="8"/>
      <c r="S904" s="8"/>
      <c r="T904" s="8"/>
      <c r="U904" s="12"/>
      <c r="V904" s="12"/>
      <c r="W904" s="12"/>
      <c r="X904" s="12"/>
      <c r="Y904" s="12"/>
      <c r="Z904" s="12"/>
      <c r="AA904" s="12"/>
      <c r="AB904" s="12"/>
      <c r="AC904" s="12"/>
      <c r="AD904" s="12"/>
      <c r="AE904" s="12"/>
      <c r="AF904" s="12"/>
      <c r="AG904" s="13"/>
      <c r="AH904" s="13"/>
      <c r="AI904" s="13"/>
      <c r="AJ904" s="13"/>
      <c r="AK904" s="13"/>
      <c r="AL904" s="13"/>
      <c r="AM904" s="13"/>
    </row>
    <row r="905" spans="1:39">
      <c r="A905" s="8"/>
      <c r="B905" s="8"/>
      <c r="C905" s="8"/>
      <c r="D905" s="8"/>
      <c r="E905" s="8"/>
      <c r="F905" s="8"/>
      <c r="G905" s="8"/>
      <c r="H905" s="8"/>
      <c r="I905" s="8"/>
      <c r="J905" s="8"/>
      <c r="K905" s="8"/>
      <c r="L905" s="8"/>
      <c r="M905" s="8"/>
      <c r="N905" s="8"/>
      <c r="O905" s="8"/>
      <c r="P905" s="8"/>
      <c r="Q905" s="8"/>
      <c r="R905" s="8"/>
      <c r="S905" s="8"/>
      <c r="T905" s="8"/>
      <c r="U905" s="12"/>
      <c r="V905" s="12"/>
      <c r="W905" s="12"/>
      <c r="X905" s="12"/>
      <c r="Y905" s="12"/>
      <c r="Z905" s="12"/>
      <c r="AA905" s="12"/>
      <c r="AB905" s="12"/>
      <c r="AC905" s="12"/>
      <c r="AD905" s="12"/>
      <c r="AE905" s="12"/>
      <c r="AF905" s="12"/>
      <c r="AG905" s="13"/>
      <c r="AH905" s="13"/>
      <c r="AI905" s="13"/>
      <c r="AJ905" s="13"/>
      <c r="AK905" s="13"/>
      <c r="AL905" s="13"/>
      <c r="AM905" s="13"/>
    </row>
    <row r="906" spans="1:39">
      <c r="A906" s="8"/>
      <c r="B906" s="8"/>
      <c r="C906" s="8"/>
      <c r="D906" s="8"/>
      <c r="E906" s="8"/>
      <c r="F906" s="8"/>
      <c r="G906" s="8"/>
      <c r="H906" s="8"/>
      <c r="I906" s="8"/>
      <c r="J906" s="8"/>
      <c r="K906" s="8"/>
      <c r="L906" s="8"/>
      <c r="M906" s="8"/>
      <c r="N906" s="8"/>
      <c r="O906" s="8"/>
      <c r="P906" s="8"/>
      <c r="Q906" s="8"/>
      <c r="R906" s="8"/>
      <c r="S906" s="8"/>
      <c r="T906" s="8"/>
      <c r="U906" s="12"/>
      <c r="V906" s="12"/>
      <c r="W906" s="12"/>
      <c r="X906" s="12"/>
      <c r="Y906" s="12"/>
      <c r="Z906" s="12"/>
      <c r="AA906" s="12"/>
      <c r="AB906" s="12"/>
      <c r="AC906" s="12"/>
      <c r="AD906" s="12"/>
      <c r="AE906" s="12"/>
      <c r="AF906" s="12"/>
      <c r="AG906" s="13"/>
      <c r="AH906" s="13"/>
      <c r="AI906" s="13"/>
      <c r="AJ906" s="13"/>
      <c r="AK906" s="13"/>
      <c r="AL906" s="13"/>
      <c r="AM906" s="13"/>
    </row>
    <row r="907" spans="1:39">
      <c r="A907" s="8"/>
      <c r="B907" s="8"/>
      <c r="C907" s="8"/>
      <c r="D907" s="8"/>
      <c r="E907" s="8"/>
      <c r="F907" s="8"/>
      <c r="G907" s="8"/>
      <c r="H907" s="8"/>
      <c r="I907" s="8"/>
      <c r="J907" s="8"/>
      <c r="K907" s="8"/>
      <c r="L907" s="8"/>
      <c r="M907" s="8"/>
      <c r="N907" s="8"/>
      <c r="O907" s="8"/>
      <c r="P907" s="8"/>
      <c r="Q907" s="8"/>
      <c r="R907" s="8"/>
      <c r="S907" s="8"/>
      <c r="T907" s="8"/>
      <c r="U907" s="12"/>
      <c r="V907" s="12"/>
      <c r="W907" s="12"/>
      <c r="X907" s="12"/>
      <c r="Y907" s="12"/>
      <c r="Z907" s="12"/>
      <c r="AA907" s="12"/>
      <c r="AB907" s="12"/>
      <c r="AC907" s="12"/>
      <c r="AD907" s="12"/>
      <c r="AE907" s="12"/>
      <c r="AF907" s="12"/>
      <c r="AG907" s="13"/>
      <c r="AH907" s="13"/>
      <c r="AI907" s="13"/>
      <c r="AJ907" s="13"/>
      <c r="AK907" s="13"/>
      <c r="AL907" s="13"/>
      <c r="AM907" s="13"/>
    </row>
    <row r="908" spans="1:39">
      <c r="A908" s="8"/>
      <c r="B908" s="8"/>
      <c r="C908" s="8"/>
      <c r="D908" s="8"/>
      <c r="E908" s="8"/>
      <c r="F908" s="8"/>
      <c r="G908" s="8"/>
      <c r="H908" s="8"/>
      <c r="I908" s="8"/>
      <c r="J908" s="8"/>
      <c r="K908" s="8"/>
      <c r="L908" s="8"/>
      <c r="M908" s="8"/>
      <c r="N908" s="8"/>
      <c r="O908" s="8"/>
      <c r="P908" s="8"/>
      <c r="Q908" s="8"/>
      <c r="R908" s="8"/>
      <c r="S908" s="8"/>
      <c r="T908" s="8"/>
      <c r="U908" s="12"/>
      <c r="V908" s="12"/>
      <c r="W908" s="12"/>
      <c r="X908" s="12"/>
      <c r="Y908" s="12"/>
      <c r="Z908" s="12"/>
      <c r="AA908" s="12"/>
      <c r="AB908" s="12"/>
      <c r="AC908" s="12"/>
      <c r="AD908" s="12"/>
      <c r="AE908" s="12"/>
      <c r="AF908" s="12"/>
      <c r="AG908" s="13"/>
      <c r="AH908" s="13"/>
      <c r="AI908" s="13"/>
      <c r="AJ908" s="13"/>
      <c r="AK908" s="13"/>
      <c r="AL908" s="13"/>
      <c r="AM908" s="13"/>
    </row>
    <row r="909" spans="1:39">
      <c r="A909" s="8"/>
      <c r="B909" s="8"/>
      <c r="C909" s="8"/>
      <c r="D909" s="8"/>
      <c r="E909" s="8"/>
      <c r="F909" s="8"/>
      <c r="G909" s="8"/>
      <c r="H909" s="8"/>
      <c r="I909" s="8"/>
      <c r="J909" s="8"/>
      <c r="K909" s="8"/>
      <c r="L909" s="8"/>
      <c r="M909" s="8"/>
      <c r="N909" s="8"/>
      <c r="O909" s="8"/>
      <c r="P909" s="8"/>
      <c r="Q909" s="8"/>
      <c r="R909" s="8"/>
      <c r="S909" s="8"/>
      <c r="T909" s="8"/>
      <c r="U909" s="12"/>
      <c r="V909" s="12"/>
      <c r="W909" s="12"/>
      <c r="X909" s="12"/>
      <c r="Y909" s="12"/>
      <c r="Z909" s="12"/>
      <c r="AA909" s="12"/>
      <c r="AB909" s="12"/>
      <c r="AC909" s="12"/>
      <c r="AD909" s="12"/>
      <c r="AE909" s="12"/>
      <c r="AF909" s="12"/>
      <c r="AG909" s="13"/>
      <c r="AH909" s="13"/>
      <c r="AI909" s="13"/>
      <c r="AJ909" s="13"/>
      <c r="AK909" s="13"/>
      <c r="AL909" s="13"/>
      <c r="AM909" s="13"/>
    </row>
    <row r="910" spans="1:39">
      <c r="A910" s="8"/>
      <c r="B910" s="8"/>
      <c r="C910" s="8"/>
      <c r="D910" s="8"/>
      <c r="E910" s="8"/>
      <c r="F910" s="8"/>
      <c r="G910" s="8"/>
      <c r="H910" s="8"/>
      <c r="I910" s="8"/>
      <c r="J910" s="8"/>
      <c r="K910" s="8"/>
      <c r="L910" s="8"/>
      <c r="M910" s="8"/>
      <c r="N910" s="8"/>
      <c r="O910" s="8"/>
      <c r="P910" s="8"/>
      <c r="Q910" s="8"/>
      <c r="R910" s="8"/>
      <c r="S910" s="8"/>
      <c r="T910" s="8"/>
      <c r="U910" s="12"/>
      <c r="V910" s="12"/>
      <c r="W910" s="12"/>
      <c r="X910" s="12"/>
      <c r="Y910" s="12"/>
      <c r="Z910" s="12"/>
      <c r="AA910" s="12"/>
      <c r="AB910" s="12"/>
      <c r="AC910" s="12"/>
      <c r="AD910" s="12"/>
      <c r="AE910" s="12"/>
      <c r="AF910" s="12"/>
      <c r="AG910" s="13"/>
      <c r="AH910" s="13"/>
      <c r="AI910" s="13"/>
      <c r="AJ910" s="13"/>
      <c r="AK910" s="13"/>
      <c r="AL910" s="13"/>
      <c r="AM910" s="13"/>
    </row>
    <row r="911" spans="1:39">
      <c r="A911" s="8"/>
      <c r="B911" s="8"/>
      <c r="C911" s="8"/>
      <c r="D911" s="8"/>
      <c r="E911" s="8"/>
      <c r="F911" s="8"/>
      <c r="G911" s="8"/>
      <c r="H911" s="8"/>
      <c r="I911" s="8"/>
      <c r="J911" s="8"/>
      <c r="K911" s="8"/>
      <c r="L911" s="8"/>
      <c r="M911" s="8"/>
      <c r="N911" s="8"/>
      <c r="O911" s="8"/>
      <c r="P911" s="8"/>
      <c r="Q911" s="8"/>
      <c r="R911" s="8"/>
      <c r="S911" s="8"/>
      <c r="T911" s="8"/>
      <c r="U911" s="12"/>
      <c r="V911" s="12"/>
      <c r="W911" s="12"/>
      <c r="X911" s="12"/>
      <c r="Y911" s="12"/>
      <c r="Z911" s="12"/>
      <c r="AA911" s="12"/>
      <c r="AB911" s="12"/>
      <c r="AC911" s="12"/>
      <c r="AD911" s="12"/>
      <c r="AE911" s="12"/>
      <c r="AF911" s="12"/>
      <c r="AG911" s="13"/>
      <c r="AH911" s="13"/>
      <c r="AI911" s="13"/>
      <c r="AJ911" s="13"/>
      <c r="AK911" s="13"/>
      <c r="AL911" s="13"/>
      <c r="AM911" s="13"/>
    </row>
    <row r="912" spans="1:39">
      <c r="A912" s="8"/>
      <c r="B912" s="8"/>
      <c r="C912" s="8"/>
      <c r="D912" s="8"/>
      <c r="E912" s="8"/>
      <c r="F912" s="8"/>
      <c r="G912" s="8"/>
      <c r="H912" s="8"/>
      <c r="I912" s="8"/>
      <c r="J912" s="8"/>
      <c r="K912" s="8"/>
      <c r="L912" s="8"/>
      <c r="M912" s="8"/>
      <c r="N912" s="8"/>
      <c r="O912" s="8"/>
      <c r="P912" s="8"/>
      <c r="Q912" s="8"/>
      <c r="R912" s="8"/>
      <c r="S912" s="8"/>
      <c r="T912" s="8"/>
      <c r="U912" s="12"/>
      <c r="V912" s="12"/>
      <c r="W912" s="12"/>
      <c r="X912" s="12"/>
      <c r="Y912" s="12"/>
      <c r="Z912" s="12"/>
      <c r="AA912" s="12"/>
      <c r="AB912" s="12"/>
      <c r="AC912" s="12"/>
      <c r="AD912" s="12"/>
      <c r="AE912" s="12"/>
      <c r="AF912" s="12"/>
      <c r="AG912" s="13"/>
      <c r="AH912" s="13"/>
      <c r="AI912" s="13"/>
      <c r="AJ912" s="13"/>
      <c r="AK912" s="13"/>
      <c r="AL912" s="13"/>
      <c r="AM912" s="13"/>
    </row>
    <row r="913" spans="1:39">
      <c r="A913" s="8"/>
      <c r="B913" s="8"/>
      <c r="C913" s="8"/>
      <c r="D913" s="8"/>
      <c r="E913" s="8"/>
      <c r="F913" s="8"/>
      <c r="G913" s="8"/>
      <c r="H913" s="8"/>
      <c r="I913" s="8"/>
      <c r="J913" s="8"/>
      <c r="K913" s="8"/>
      <c r="L913" s="8"/>
      <c r="M913" s="8"/>
      <c r="N913" s="8"/>
      <c r="O913" s="8"/>
      <c r="P913" s="8"/>
      <c r="Q913" s="8"/>
      <c r="R913" s="8"/>
      <c r="S913" s="8"/>
      <c r="T913" s="8"/>
      <c r="U913" s="12"/>
      <c r="V913" s="12"/>
      <c r="W913" s="12"/>
      <c r="X913" s="12"/>
      <c r="Y913" s="12"/>
      <c r="Z913" s="12"/>
      <c r="AA913" s="12"/>
      <c r="AB913" s="12"/>
      <c r="AC913" s="12"/>
      <c r="AD913" s="12"/>
      <c r="AE913" s="12"/>
      <c r="AF913" s="12"/>
      <c r="AG913" s="13"/>
      <c r="AH913" s="13"/>
      <c r="AI913" s="13"/>
      <c r="AJ913" s="13"/>
      <c r="AK913" s="13"/>
      <c r="AL913" s="13"/>
      <c r="AM913" s="13"/>
    </row>
    <row r="914" spans="1:39">
      <c r="A914" s="8"/>
      <c r="B914" s="8"/>
      <c r="C914" s="8"/>
      <c r="D914" s="8"/>
      <c r="E914" s="8"/>
      <c r="F914" s="8"/>
      <c r="G914" s="8"/>
      <c r="H914" s="8"/>
      <c r="I914" s="8"/>
      <c r="J914" s="8"/>
      <c r="K914" s="8"/>
      <c r="L914" s="8"/>
      <c r="M914" s="8"/>
      <c r="N914" s="8"/>
      <c r="O914" s="8"/>
      <c r="P914" s="8"/>
      <c r="Q914" s="8"/>
      <c r="R914" s="8"/>
      <c r="S914" s="8"/>
      <c r="T914" s="8"/>
      <c r="U914" s="12"/>
      <c r="V914" s="12"/>
      <c r="W914" s="12"/>
      <c r="X914" s="12"/>
      <c r="Y914" s="12"/>
      <c r="Z914" s="12"/>
      <c r="AA914" s="12"/>
      <c r="AB914" s="12"/>
      <c r="AC914" s="12"/>
      <c r="AD914" s="12"/>
      <c r="AE914" s="12"/>
      <c r="AF914" s="12"/>
      <c r="AG914" s="13"/>
      <c r="AH914" s="13"/>
      <c r="AI914" s="13"/>
      <c r="AJ914" s="13"/>
      <c r="AK914" s="13"/>
      <c r="AL914" s="13"/>
      <c r="AM914" s="13"/>
    </row>
    <row r="915" spans="1:39">
      <c r="A915" s="8"/>
      <c r="B915" s="8"/>
      <c r="C915" s="8"/>
      <c r="D915" s="8"/>
      <c r="E915" s="8"/>
      <c r="F915" s="8"/>
      <c r="G915" s="8"/>
      <c r="H915" s="8"/>
      <c r="I915" s="8"/>
      <c r="J915" s="8"/>
      <c r="K915" s="8"/>
      <c r="L915" s="8"/>
      <c r="M915" s="8"/>
      <c r="N915" s="8"/>
      <c r="O915" s="8"/>
      <c r="P915" s="8"/>
      <c r="Q915" s="8"/>
      <c r="R915" s="8"/>
      <c r="S915" s="8"/>
      <c r="T915" s="8"/>
      <c r="U915" s="12"/>
      <c r="V915" s="12"/>
      <c r="W915" s="12"/>
      <c r="X915" s="12"/>
      <c r="Y915" s="12"/>
      <c r="Z915" s="12"/>
      <c r="AA915" s="12"/>
      <c r="AB915" s="12"/>
      <c r="AC915" s="12"/>
      <c r="AD915" s="12"/>
      <c r="AE915" s="12"/>
      <c r="AF915" s="12"/>
      <c r="AG915" s="13"/>
      <c r="AH915" s="13"/>
      <c r="AI915" s="13"/>
      <c r="AJ915" s="13"/>
      <c r="AK915" s="13"/>
      <c r="AL915" s="13"/>
      <c r="AM915" s="13"/>
    </row>
    <row r="916" spans="1:39">
      <c r="A916" s="8"/>
      <c r="B916" s="8"/>
      <c r="C916" s="8"/>
      <c r="D916" s="8"/>
      <c r="E916" s="8"/>
      <c r="F916" s="8"/>
      <c r="G916" s="8"/>
      <c r="H916" s="8"/>
      <c r="I916" s="8"/>
      <c r="J916" s="8"/>
      <c r="K916" s="8"/>
      <c r="L916" s="8"/>
      <c r="M916" s="8"/>
      <c r="N916" s="8"/>
      <c r="O916" s="8"/>
      <c r="P916" s="8"/>
      <c r="Q916" s="8"/>
      <c r="R916" s="8"/>
      <c r="S916" s="8"/>
      <c r="T916" s="8"/>
      <c r="U916" s="12"/>
      <c r="V916" s="12"/>
      <c r="W916" s="12"/>
      <c r="X916" s="12"/>
      <c r="Y916" s="12"/>
      <c r="Z916" s="12"/>
      <c r="AA916" s="12"/>
      <c r="AB916" s="12"/>
      <c r="AC916" s="12"/>
      <c r="AD916" s="12"/>
      <c r="AE916" s="12"/>
      <c r="AF916" s="12"/>
      <c r="AG916" s="13"/>
      <c r="AH916" s="13"/>
      <c r="AI916" s="13"/>
      <c r="AJ916" s="13"/>
      <c r="AK916" s="13"/>
      <c r="AL916" s="13"/>
      <c r="AM916" s="13"/>
    </row>
    <row r="917" spans="1:39">
      <c r="A917" s="8"/>
      <c r="B917" s="8"/>
      <c r="C917" s="8"/>
      <c r="D917" s="8"/>
      <c r="E917" s="8"/>
      <c r="F917" s="8"/>
      <c r="G917" s="8"/>
      <c r="H917" s="8"/>
      <c r="I917" s="8"/>
      <c r="J917" s="8"/>
      <c r="K917" s="8"/>
      <c r="L917" s="8"/>
      <c r="M917" s="8"/>
      <c r="N917" s="8"/>
      <c r="O917" s="8"/>
      <c r="P917" s="8"/>
      <c r="Q917" s="8"/>
      <c r="R917" s="8"/>
      <c r="S917" s="8"/>
      <c r="T917" s="8"/>
      <c r="U917" s="12"/>
      <c r="V917" s="12"/>
      <c r="W917" s="12"/>
      <c r="X917" s="12"/>
      <c r="Y917" s="12"/>
      <c r="Z917" s="12"/>
      <c r="AA917" s="12"/>
      <c r="AB917" s="12"/>
      <c r="AC917" s="12"/>
      <c r="AD917" s="12"/>
      <c r="AE917" s="12"/>
      <c r="AF917" s="12"/>
      <c r="AG917" s="13"/>
      <c r="AH917" s="13"/>
      <c r="AI917" s="13"/>
      <c r="AJ917" s="13"/>
      <c r="AK917" s="13"/>
      <c r="AL917" s="13"/>
      <c r="AM917" s="13"/>
    </row>
    <row r="918" spans="1:39">
      <c r="A918" s="8"/>
      <c r="B918" s="8"/>
      <c r="C918" s="8"/>
      <c r="D918" s="8"/>
      <c r="E918" s="8"/>
      <c r="F918" s="8"/>
      <c r="G918" s="8"/>
      <c r="H918" s="8"/>
      <c r="I918" s="8"/>
      <c r="J918" s="8"/>
      <c r="K918" s="8"/>
      <c r="L918" s="8"/>
      <c r="M918" s="8"/>
      <c r="N918" s="8"/>
      <c r="O918" s="8"/>
      <c r="P918" s="8"/>
      <c r="Q918" s="8"/>
      <c r="R918" s="8"/>
      <c r="S918" s="8"/>
      <c r="T918" s="8"/>
      <c r="U918" s="12"/>
      <c r="V918" s="12"/>
      <c r="W918" s="12"/>
      <c r="X918" s="12"/>
      <c r="Y918" s="12"/>
      <c r="Z918" s="12"/>
      <c r="AA918" s="12"/>
      <c r="AB918" s="12"/>
      <c r="AC918" s="12"/>
      <c r="AD918" s="12"/>
      <c r="AE918" s="12"/>
      <c r="AF918" s="12"/>
      <c r="AG918" s="13"/>
      <c r="AH918" s="13"/>
      <c r="AI918" s="13"/>
      <c r="AJ918" s="13"/>
      <c r="AK918" s="13"/>
      <c r="AL918" s="13"/>
      <c r="AM918" s="13"/>
    </row>
    <row r="919" spans="1:39">
      <c r="A919" s="8"/>
      <c r="B919" s="8"/>
      <c r="C919" s="8"/>
      <c r="D919" s="8"/>
      <c r="E919" s="8"/>
      <c r="F919" s="8"/>
      <c r="G919" s="8"/>
      <c r="H919" s="8"/>
      <c r="I919" s="8"/>
      <c r="J919" s="8"/>
      <c r="K919" s="8"/>
      <c r="L919" s="8"/>
      <c r="M919" s="8"/>
      <c r="N919" s="8"/>
      <c r="O919" s="8"/>
      <c r="P919" s="8"/>
      <c r="Q919" s="8"/>
      <c r="R919" s="8"/>
      <c r="S919" s="8"/>
      <c r="T919" s="8"/>
      <c r="U919" s="12"/>
      <c r="V919" s="12"/>
      <c r="W919" s="12"/>
      <c r="X919" s="12"/>
      <c r="Y919" s="12"/>
      <c r="Z919" s="12"/>
      <c r="AA919" s="12"/>
      <c r="AB919" s="12"/>
      <c r="AC919" s="12"/>
      <c r="AD919" s="12"/>
      <c r="AE919" s="12"/>
      <c r="AF919" s="12"/>
      <c r="AG919" s="13"/>
      <c r="AH919" s="13"/>
      <c r="AI919" s="13"/>
      <c r="AJ919" s="13"/>
      <c r="AK919" s="13"/>
      <c r="AL919" s="13"/>
      <c r="AM919" s="13"/>
    </row>
    <row r="920" spans="1:39">
      <c r="A920" s="8"/>
      <c r="B920" s="8"/>
      <c r="C920" s="8"/>
      <c r="D920" s="8"/>
      <c r="E920" s="8"/>
      <c r="F920" s="8"/>
      <c r="G920" s="8"/>
      <c r="H920" s="8"/>
      <c r="I920" s="8"/>
      <c r="J920" s="8"/>
      <c r="K920" s="8"/>
      <c r="L920" s="8"/>
      <c r="M920" s="8"/>
      <c r="N920" s="8"/>
      <c r="O920" s="8"/>
      <c r="P920" s="8"/>
      <c r="Q920" s="8"/>
      <c r="R920" s="8"/>
      <c r="S920" s="8"/>
      <c r="T920" s="8"/>
      <c r="U920" s="12"/>
      <c r="V920" s="12"/>
      <c r="W920" s="12"/>
      <c r="X920" s="12"/>
      <c r="Y920" s="12"/>
      <c r="Z920" s="12"/>
      <c r="AA920" s="12"/>
      <c r="AB920" s="12"/>
      <c r="AC920" s="12"/>
      <c r="AD920" s="12"/>
      <c r="AE920" s="12"/>
      <c r="AF920" s="12"/>
      <c r="AG920" s="13"/>
      <c r="AH920" s="13"/>
      <c r="AI920" s="13"/>
      <c r="AJ920" s="13"/>
      <c r="AK920" s="13"/>
      <c r="AL920" s="13"/>
      <c r="AM920" s="13"/>
    </row>
    <row r="921" spans="1:39">
      <c r="A921" s="8"/>
      <c r="B921" s="8"/>
      <c r="C921" s="8"/>
      <c r="D921" s="8"/>
      <c r="E921" s="8"/>
      <c r="F921" s="8"/>
      <c r="G921" s="8"/>
      <c r="H921" s="8"/>
      <c r="I921" s="8"/>
      <c r="J921" s="8"/>
      <c r="K921" s="8"/>
      <c r="L921" s="8"/>
      <c r="M921" s="8"/>
      <c r="N921" s="8"/>
      <c r="O921" s="8"/>
      <c r="P921" s="8"/>
      <c r="Q921" s="8"/>
      <c r="R921" s="8"/>
      <c r="S921" s="8"/>
      <c r="T921" s="8"/>
      <c r="U921" s="12"/>
      <c r="V921" s="12"/>
      <c r="W921" s="12"/>
      <c r="X921" s="12"/>
      <c r="Y921" s="12"/>
      <c r="Z921" s="12"/>
      <c r="AA921" s="12"/>
      <c r="AB921" s="12"/>
      <c r="AC921" s="12"/>
      <c r="AD921" s="12"/>
      <c r="AE921" s="12"/>
      <c r="AF921" s="12"/>
      <c r="AG921" s="13"/>
      <c r="AH921" s="13"/>
      <c r="AI921" s="13"/>
      <c r="AJ921" s="13"/>
      <c r="AK921" s="13"/>
      <c r="AL921" s="13"/>
      <c r="AM921" s="13"/>
    </row>
    <row r="922" spans="1:39">
      <c r="A922" s="8"/>
      <c r="B922" s="8"/>
      <c r="C922" s="8"/>
      <c r="D922" s="8"/>
      <c r="E922" s="8"/>
      <c r="F922" s="8"/>
      <c r="G922" s="8"/>
      <c r="H922" s="8"/>
      <c r="I922" s="8"/>
      <c r="J922" s="8"/>
      <c r="K922" s="8"/>
      <c r="L922" s="8"/>
      <c r="M922" s="8"/>
      <c r="N922" s="8"/>
      <c r="O922" s="8"/>
      <c r="P922" s="8"/>
      <c r="Q922" s="8"/>
      <c r="R922" s="8"/>
      <c r="S922" s="8"/>
      <c r="T922" s="8"/>
      <c r="U922" s="12"/>
      <c r="V922" s="12"/>
      <c r="W922" s="12"/>
      <c r="X922" s="12"/>
      <c r="Y922" s="12"/>
      <c r="Z922" s="12"/>
      <c r="AA922" s="12"/>
      <c r="AB922" s="12"/>
      <c r="AC922" s="12"/>
      <c r="AD922" s="12"/>
      <c r="AE922" s="12"/>
      <c r="AF922" s="12"/>
      <c r="AG922" s="13"/>
      <c r="AH922" s="13"/>
      <c r="AI922" s="13"/>
      <c r="AJ922" s="13"/>
      <c r="AK922" s="13"/>
      <c r="AL922" s="13"/>
      <c r="AM922" s="13"/>
    </row>
    <row r="923" spans="1:39">
      <c r="A923" s="8"/>
      <c r="B923" s="8"/>
      <c r="C923" s="8"/>
      <c r="D923" s="8"/>
      <c r="E923" s="8"/>
      <c r="F923" s="8"/>
      <c r="G923" s="8"/>
      <c r="H923" s="8"/>
      <c r="I923" s="8"/>
      <c r="J923" s="8"/>
      <c r="K923" s="8"/>
      <c r="L923" s="8"/>
      <c r="M923" s="8"/>
      <c r="N923" s="8"/>
      <c r="O923" s="8"/>
      <c r="P923" s="8"/>
      <c r="Q923" s="8"/>
      <c r="R923" s="8"/>
      <c r="S923" s="8"/>
      <c r="T923" s="8"/>
      <c r="U923" s="12"/>
      <c r="V923" s="12"/>
      <c r="W923" s="12"/>
      <c r="X923" s="12"/>
      <c r="Y923" s="12"/>
      <c r="Z923" s="12"/>
      <c r="AA923" s="12"/>
      <c r="AB923" s="12"/>
      <c r="AC923" s="12"/>
      <c r="AD923" s="12"/>
      <c r="AE923" s="12"/>
      <c r="AF923" s="12"/>
      <c r="AG923" s="13"/>
      <c r="AH923" s="13"/>
      <c r="AI923" s="13"/>
      <c r="AJ923" s="13"/>
      <c r="AK923" s="13"/>
      <c r="AL923" s="13"/>
      <c r="AM923" s="13"/>
    </row>
    <row r="924" spans="1:39">
      <c r="A924" s="8"/>
      <c r="B924" s="8"/>
      <c r="C924" s="8"/>
      <c r="D924" s="8"/>
      <c r="E924" s="8"/>
      <c r="F924" s="8"/>
      <c r="G924" s="8"/>
      <c r="H924" s="8"/>
      <c r="I924" s="8"/>
      <c r="J924" s="8"/>
      <c r="K924" s="8"/>
      <c r="L924" s="8"/>
      <c r="M924" s="8"/>
      <c r="N924" s="8"/>
      <c r="O924" s="8"/>
      <c r="P924" s="8"/>
      <c r="Q924" s="8"/>
      <c r="R924" s="8"/>
      <c r="S924" s="8"/>
      <c r="T924" s="8"/>
      <c r="U924" s="12"/>
      <c r="V924" s="12"/>
      <c r="W924" s="12"/>
      <c r="X924" s="12"/>
      <c r="Y924" s="12"/>
      <c r="Z924" s="12"/>
      <c r="AA924" s="12"/>
      <c r="AB924" s="12"/>
      <c r="AC924" s="12"/>
      <c r="AD924" s="12"/>
      <c r="AE924" s="12"/>
      <c r="AF924" s="12"/>
      <c r="AG924" s="13"/>
      <c r="AH924" s="13"/>
      <c r="AI924" s="13"/>
      <c r="AJ924" s="13"/>
      <c r="AK924" s="13"/>
      <c r="AL924" s="13"/>
      <c r="AM924" s="13"/>
    </row>
    <row r="925" spans="1:39">
      <c r="A925" s="8"/>
      <c r="B925" s="8"/>
      <c r="C925" s="8"/>
      <c r="D925" s="8"/>
      <c r="E925" s="8"/>
      <c r="F925" s="8"/>
      <c r="G925" s="8"/>
      <c r="H925" s="8"/>
      <c r="I925" s="8"/>
      <c r="J925" s="8"/>
      <c r="K925" s="8"/>
      <c r="L925" s="8"/>
      <c r="M925" s="8"/>
      <c r="N925" s="8"/>
      <c r="O925" s="8"/>
      <c r="P925" s="8"/>
      <c r="Q925" s="8"/>
      <c r="R925" s="8"/>
      <c r="S925" s="8"/>
      <c r="T925" s="8"/>
      <c r="U925" s="12"/>
      <c r="V925" s="12"/>
      <c r="W925" s="12"/>
      <c r="X925" s="12"/>
      <c r="Y925" s="12"/>
      <c r="Z925" s="12"/>
      <c r="AA925" s="12"/>
      <c r="AB925" s="12"/>
      <c r="AC925" s="12"/>
      <c r="AD925" s="12"/>
      <c r="AE925" s="12"/>
      <c r="AF925" s="12"/>
      <c r="AG925" s="13"/>
      <c r="AH925" s="13"/>
      <c r="AI925" s="13"/>
      <c r="AJ925" s="13"/>
      <c r="AK925" s="13"/>
      <c r="AL925" s="13"/>
      <c r="AM925" s="13"/>
    </row>
    <row r="926" spans="1:39">
      <c r="A926" s="8"/>
      <c r="B926" s="8"/>
      <c r="C926" s="8"/>
      <c r="D926" s="8"/>
      <c r="E926" s="8"/>
      <c r="F926" s="8"/>
      <c r="G926" s="8"/>
      <c r="H926" s="8"/>
      <c r="I926" s="8"/>
      <c r="J926" s="8"/>
      <c r="K926" s="8"/>
      <c r="L926" s="8"/>
      <c r="M926" s="8"/>
      <c r="N926" s="8"/>
      <c r="O926" s="8"/>
      <c r="P926" s="8"/>
      <c r="Q926" s="8"/>
      <c r="R926" s="8"/>
      <c r="S926" s="8"/>
      <c r="T926" s="8"/>
      <c r="U926" s="12"/>
      <c r="V926" s="12"/>
      <c r="W926" s="12"/>
      <c r="X926" s="12"/>
      <c r="Y926" s="12"/>
      <c r="Z926" s="12"/>
      <c r="AA926" s="12"/>
      <c r="AB926" s="12"/>
      <c r="AC926" s="12"/>
      <c r="AD926" s="12"/>
      <c r="AE926" s="12"/>
      <c r="AF926" s="12"/>
      <c r="AG926" s="13"/>
      <c r="AH926" s="13"/>
      <c r="AI926" s="13"/>
      <c r="AJ926" s="13"/>
      <c r="AK926" s="13"/>
      <c r="AL926" s="13"/>
      <c r="AM926" s="13"/>
    </row>
    <row r="927" spans="1:39">
      <c r="A927" s="8"/>
      <c r="B927" s="8"/>
      <c r="C927" s="8"/>
      <c r="D927" s="8"/>
      <c r="E927" s="8"/>
      <c r="F927" s="8"/>
      <c r="G927" s="8"/>
      <c r="H927" s="8"/>
      <c r="I927" s="8"/>
      <c r="J927" s="8"/>
      <c r="K927" s="8"/>
      <c r="L927" s="8"/>
      <c r="M927" s="8"/>
      <c r="N927" s="8"/>
      <c r="O927" s="8"/>
      <c r="P927" s="8"/>
      <c r="Q927" s="8"/>
      <c r="R927" s="8"/>
      <c r="S927" s="8"/>
      <c r="T927" s="8"/>
      <c r="U927" s="12"/>
      <c r="V927" s="12"/>
      <c r="W927" s="12"/>
      <c r="X927" s="12"/>
      <c r="Y927" s="12"/>
      <c r="Z927" s="12"/>
      <c r="AA927" s="12"/>
      <c r="AB927" s="12"/>
      <c r="AC927" s="12"/>
      <c r="AD927" s="12"/>
      <c r="AE927" s="12"/>
      <c r="AF927" s="12"/>
      <c r="AG927" s="13"/>
      <c r="AH927" s="13"/>
      <c r="AI927" s="13"/>
      <c r="AJ927" s="13"/>
      <c r="AK927" s="13"/>
      <c r="AL927" s="13"/>
      <c r="AM927" s="13"/>
    </row>
    <row r="928" spans="1:39">
      <c r="A928" s="8"/>
      <c r="B928" s="8"/>
      <c r="C928" s="8"/>
      <c r="D928" s="8"/>
      <c r="E928" s="8"/>
      <c r="F928" s="8"/>
      <c r="G928" s="8"/>
      <c r="H928" s="8"/>
      <c r="I928" s="8"/>
      <c r="J928" s="8"/>
      <c r="K928" s="8"/>
      <c r="L928" s="8"/>
      <c r="M928" s="8"/>
      <c r="N928" s="8"/>
      <c r="O928" s="8"/>
      <c r="P928" s="8"/>
      <c r="Q928" s="8"/>
      <c r="R928" s="8"/>
      <c r="S928" s="8"/>
      <c r="T928" s="8"/>
      <c r="U928" s="12"/>
      <c r="V928" s="12"/>
      <c r="W928" s="12"/>
      <c r="X928" s="12"/>
      <c r="Y928" s="12"/>
      <c r="Z928" s="12"/>
      <c r="AA928" s="12"/>
      <c r="AB928" s="12"/>
      <c r="AC928" s="12"/>
      <c r="AD928" s="12"/>
      <c r="AE928" s="12"/>
      <c r="AF928" s="12"/>
      <c r="AG928" s="13"/>
      <c r="AH928" s="13"/>
      <c r="AI928" s="13"/>
      <c r="AJ928" s="13"/>
      <c r="AK928" s="13"/>
      <c r="AL928" s="13"/>
      <c r="AM928" s="13"/>
    </row>
    <row r="929" spans="1:39">
      <c r="A929" s="8"/>
      <c r="B929" s="8"/>
      <c r="C929" s="8"/>
      <c r="D929" s="8"/>
      <c r="E929" s="8"/>
      <c r="F929" s="8"/>
      <c r="G929" s="8"/>
      <c r="H929" s="8"/>
      <c r="I929" s="8"/>
      <c r="J929" s="8"/>
      <c r="K929" s="8"/>
      <c r="L929" s="8"/>
      <c r="M929" s="8"/>
      <c r="N929" s="8"/>
      <c r="O929" s="8"/>
      <c r="P929" s="8"/>
      <c r="Q929" s="8"/>
      <c r="R929" s="8"/>
      <c r="S929" s="8"/>
      <c r="T929" s="8"/>
      <c r="U929" s="12"/>
      <c r="V929" s="12"/>
      <c r="W929" s="12"/>
      <c r="X929" s="12"/>
      <c r="Y929" s="12"/>
      <c r="Z929" s="12"/>
      <c r="AA929" s="12"/>
      <c r="AB929" s="12"/>
      <c r="AC929" s="12"/>
      <c r="AD929" s="12"/>
      <c r="AE929" s="12"/>
      <c r="AF929" s="12"/>
      <c r="AG929" s="13"/>
      <c r="AH929" s="13"/>
      <c r="AI929" s="13"/>
      <c r="AJ929" s="13"/>
      <c r="AK929" s="13"/>
      <c r="AL929" s="13"/>
      <c r="AM929" s="13"/>
    </row>
    <row r="930" spans="1:39">
      <c r="A930" s="8"/>
      <c r="B930" s="8"/>
      <c r="C930" s="8"/>
      <c r="D930" s="8"/>
      <c r="E930" s="8"/>
      <c r="F930" s="8"/>
      <c r="G930" s="8"/>
      <c r="H930" s="8"/>
      <c r="I930" s="8"/>
      <c r="J930" s="8"/>
      <c r="K930" s="8"/>
      <c r="L930" s="8"/>
      <c r="M930" s="8"/>
      <c r="N930" s="8"/>
      <c r="O930" s="8"/>
      <c r="P930" s="8"/>
      <c r="Q930" s="8"/>
      <c r="R930" s="8"/>
      <c r="S930" s="8"/>
      <c r="T930" s="8"/>
      <c r="U930" s="12"/>
      <c r="V930" s="12"/>
      <c r="W930" s="12"/>
      <c r="X930" s="12"/>
      <c r="Y930" s="12"/>
      <c r="Z930" s="12"/>
      <c r="AA930" s="12"/>
      <c r="AB930" s="12"/>
      <c r="AC930" s="12"/>
      <c r="AD930" s="12"/>
      <c r="AE930" s="12"/>
      <c r="AF930" s="12"/>
      <c r="AG930" s="13"/>
      <c r="AH930" s="13"/>
      <c r="AI930" s="13"/>
      <c r="AJ930" s="13"/>
      <c r="AK930" s="13"/>
      <c r="AL930" s="13"/>
      <c r="AM930" s="13"/>
    </row>
    <row r="931" spans="1:39">
      <c r="A931" s="8"/>
      <c r="B931" s="8"/>
      <c r="C931" s="8"/>
      <c r="D931" s="8"/>
      <c r="E931" s="8"/>
      <c r="F931" s="8"/>
      <c r="G931" s="8"/>
      <c r="H931" s="8"/>
      <c r="I931" s="8"/>
      <c r="J931" s="8"/>
      <c r="K931" s="8"/>
      <c r="L931" s="8"/>
      <c r="M931" s="8"/>
      <c r="N931" s="8"/>
      <c r="O931" s="8"/>
      <c r="P931" s="8"/>
      <c r="Q931" s="8"/>
      <c r="R931" s="8"/>
      <c r="S931" s="8"/>
      <c r="T931" s="8"/>
      <c r="U931" s="12"/>
      <c r="V931" s="12"/>
      <c r="W931" s="12"/>
      <c r="X931" s="12"/>
      <c r="Y931" s="12"/>
      <c r="Z931" s="12"/>
      <c r="AA931" s="12"/>
      <c r="AB931" s="12"/>
      <c r="AC931" s="12"/>
      <c r="AD931" s="12"/>
      <c r="AE931" s="12"/>
      <c r="AF931" s="12"/>
      <c r="AG931" s="13"/>
      <c r="AH931" s="13"/>
      <c r="AI931" s="13"/>
      <c r="AJ931" s="13"/>
      <c r="AK931" s="13"/>
      <c r="AL931" s="13"/>
      <c r="AM931" s="13"/>
    </row>
    <row r="932" spans="1:39">
      <c r="A932" s="8"/>
      <c r="B932" s="8"/>
      <c r="C932" s="8"/>
      <c r="D932" s="8"/>
      <c r="E932" s="8"/>
      <c r="F932" s="8"/>
      <c r="G932" s="8"/>
      <c r="H932" s="8"/>
      <c r="I932" s="8"/>
      <c r="J932" s="8"/>
      <c r="K932" s="8"/>
      <c r="L932" s="8"/>
      <c r="M932" s="8"/>
      <c r="N932" s="8"/>
      <c r="O932" s="8"/>
      <c r="P932" s="8"/>
      <c r="Q932" s="8"/>
      <c r="R932" s="8"/>
      <c r="S932" s="8"/>
      <c r="T932" s="8"/>
      <c r="U932" s="12"/>
      <c r="V932" s="12"/>
      <c r="W932" s="12"/>
      <c r="X932" s="12"/>
      <c r="Y932" s="12"/>
      <c r="Z932" s="12"/>
      <c r="AA932" s="12"/>
      <c r="AB932" s="12"/>
      <c r="AC932" s="12"/>
      <c r="AD932" s="12"/>
      <c r="AE932" s="12"/>
      <c r="AF932" s="12"/>
      <c r="AG932" s="13"/>
      <c r="AH932" s="13"/>
      <c r="AI932" s="13"/>
      <c r="AJ932" s="13"/>
      <c r="AK932" s="13"/>
      <c r="AL932" s="13"/>
      <c r="AM932" s="13"/>
    </row>
    <row r="933" spans="1:39">
      <c r="A933" s="8"/>
      <c r="B933" s="8"/>
      <c r="C933" s="8"/>
      <c r="D933" s="8"/>
      <c r="E933" s="8"/>
      <c r="F933" s="8"/>
      <c r="G933" s="8"/>
      <c r="H933" s="8"/>
      <c r="I933" s="8"/>
      <c r="J933" s="8"/>
      <c r="K933" s="8"/>
      <c r="L933" s="8"/>
      <c r="M933" s="8"/>
      <c r="N933" s="8"/>
      <c r="O933" s="8"/>
      <c r="P933" s="8"/>
      <c r="Q933" s="8"/>
      <c r="R933" s="8"/>
      <c r="S933" s="8"/>
      <c r="T933" s="8"/>
      <c r="U933" s="12"/>
      <c r="V933" s="12"/>
      <c r="W933" s="12"/>
      <c r="X933" s="12"/>
      <c r="Y933" s="12"/>
      <c r="Z933" s="12"/>
      <c r="AA933" s="12"/>
      <c r="AB933" s="12"/>
      <c r="AC933" s="12"/>
      <c r="AD933" s="12"/>
      <c r="AE933" s="12"/>
      <c r="AF933" s="12"/>
      <c r="AG933" s="13"/>
      <c r="AH933" s="13"/>
      <c r="AI933" s="13"/>
      <c r="AJ933" s="13"/>
      <c r="AK933" s="13"/>
      <c r="AL933" s="13"/>
      <c r="AM933" s="13"/>
    </row>
    <row r="934" spans="1:39">
      <c r="A934" s="8"/>
      <c r="B934" s="8"/>
      <c r="C934" s="8"/>
      <c r="D934" s="8"/>
      <c r="E934" s="8"/>
      <c r="F934" s="8"/>
      <c r="G934" s="8"/>
      <c r="H934" s="8"/>
      <c r="I934" s="8"/>
      <c r="J934" s="8"/>
      <c r="K934" s="8"/>
      <c r="L934" s="8"/>
      <c r="M934" s="8"/>
      <c r="N934" s="8"/>
      <c r="O934" s="8"/>
      <c r="P934" s="8"/>
      <c r="Q934" s="8"/>
      <c r="R934" s="8"/>
      <c r="S934" s="8"/>
      <c r="T934" s="8"/>
      <c r="U934" s="12"/>
      <c r="V934" s="12"/>
      <c r="W934" s="12"/>
      <c r="X934" s="12"/>
      <c r="Y934" s="12"/>
      <c r="Z934" s="12"/>
      <c r="AA934" s="12"/>
      <c r="AB934" s="12"/>
      <c r="AC934" s="12"/>
      <c r="AD934" s="12"/>
      <c r="AE934" s="12"/>
      <c r="AF934" s="12"/>
      <c r="AG934" s="13"/>
      <c r="AH934" s="13"/>
      <c r="AI934" s="13"/>
      <c r="AJ934" s="13"/>
      <c r="AK934" s="13"/>
      <c r="AL934" s="13"/>
      <c r="AM934" s="13"/>
    </row>
    <row r="935" spans="1:39">
      <c r="A935" s="8"/>
      <c r="B935" s="8"/>
      <c r="C935" s="8"/>
      <c r="D935" s="8"/>
      <c r="E935" s="8"/>
      <c r="F935" s="8"/>
      <c r="G935" s="8"/>
      <c r="H935" s="8"/>
      <c r="I935" s="8"/>
      <c r="J935" s="8"/>
      <c r="K935" s="8"/>
      <c r="L935" s="8"/>
      <c r="M935" s="8"/>
      <c r="N935" s="8"/>
      <c r="O935" s="8"/>
      <c r="P935" s="8"/>
      <c r="Q935" s="8"/>
      <c r="R935" s="8"/>
      <c r="S935" s="8"/>
      <c r="T935" s="8"/>
      <c r="U935" s="12"/>
      <c r="V935" s="12"/>
      <c r="W935" s="12"/>
      <c r="X935" s="12"/>
      <c r="Y935" s="12"/>
      <c r="Z935" s="12"/>
      <c r="AA935" s="12"/>
      <c r="AB935" s="12"/>
      <c r="AC935" s="12"/>
      <c r="AD935" s="12"/>
      <c r="AE935" s="12"/>
      <c r="AF935" s="12"/>
      <c r="AG935" s="13"/>
      <c r="AH935" s="13"/>
      <c r="AI935" s="13"/>
      <c r="AJ935" s="13"/>
      <c r="AK935" s="13"/>
      <c r="AL935" s="13"/>
      <c r="AM935" s="13"/>
    </row>
    <row r="936" spans="1:39">
      <c r="A936" s="8"/>
      <c r="B936" s="8"/>
      <c r="C936" s="8"/>
      <c r="D936" s="8"/>
      <c r="E936" s="8"/>
      <c r="F936" s="8"/>
      <c r="G936" s="8"/>
      <c r="H936" s="8"/>
      <c r="I936" s="8"/>
      <c r="J936" s="8"/>
      <c r="K936" s="8"/>
      <c r="L936" s="8"/>
      <c r="M936" s="8"/>
      <c r="N936" s="8"/>
      <c r="O936" s="8"/>
      <c r="P936" s="8"/>
      <c r="Q936" s="8"/>
      <c r="R936" s="8"/>
      <c r="S936" s="8"/>
      <c r="T936" s="8"/>
      <c r="U936" s="12"/>
      <c r="V936" s="12"/>
      <c r="W936" s="12"/>
      <c r="X936" s="12"/>
      <c r="Y936" s="12"/>
      <c r="Z936" s="12"/>
      <c r="AA936" s="12"/>
      <c r="AB936" s="12"/>
      <c r="AC936" s="12"/>
      <c r="AD936" s="12"/>
      <c r="AE936" s="12"/>
      <c r="AF936" s="12"/>
      <c r="AG936" s="13"/>
      <c r="AH936" s="13"/>
      <c r="AI936" s="13"/>
      <c r="AJ936" s="13"/>
      <c r="AK936" s="13"/>
      <c r="AL936" s="13"/>
      <c r="AM936" s="13"/>
    </row>
    <row r="937" spans="1:39">
      <c r="A937" s="8"/>
      <c r="B937" s="8"/>
      <c r="C937" s="8"/>
      <c r="D937" s="8"/>
      <c r="E937" s="8"/>
      <c r="F937" s="8"/>
      <c r="G937" s="8"/>
      <c r="H937" s="8"/>
      <c r="I937" s="8"/>
      <c r="J937" s="8"/>
      <c r="K937" s="8"/>
      <c r="L937" s="8"/>
      <c r="M937" s="8"/>
      <c r="N937" s="8"/>
      <c r="O937" s="8"/>
      <c r="P937" s="8"/>
      <c r="Q937" s="8"/>
      <c r="R937" s="8"/>
      <c r="S937" s="8"/>
      <c r="T937" s="8"/>
      <c r="U937" s="12"/>
      <c r="V937" s="12"/>
      <c r="W937" s="12"/>
      <c r="X937" s="12"/>
      <c r="Y937" s="12"/>
      <c r="Z937" s="12"/>
      <c r="AA937" s="12"/>
      <c r="AB937" s="12"/>
      <c r="AC937" s="12"/>
      <c r="AD937" s="12"/>
      <c r="AE937" s="12"/>
      <c r="AF937" s="12"/>
      <c r="AG937" s="13"/>
      <c r="AH937" s="13"/>
      <c r="AI937" s="13"/>
      <c r="AJ937" s="13"/>
      <c r="AK937" s="13"/>
      <c r="AL937" s="13"/>
      <c r="AM937" s="13"/>
    </row>
    <row r="938" spans="1:39">
      <c r="A938" s="8"/>
      <c r="B938" s="8"/>
      <c r="C938" s="8"/>
      <c r="D938" s="8"/>
      <c r="E938" s="8"/>
      <c r="F938" s="8"/>
      <c r="G938" s="8"/>
      <c r="H938" s="8"/>
      <c r="I938" s="8"/>
      <c r="J938" s="8"/>
      <c r="K938" s="8"/>
      <c r="L938" s="8"/>
      <c r="M938" s="8"/>
      <c r="N938" s="8"/>
      <c r="O938" s="8"/>
      <c r="P938" s="8"/>
      <c r="Q938" s="8"/>
      <c r="R938" s="8"/>
      <c r="S938" s="8"/>
      <c r="T938" s="8"/>
      <c r="U938" s="12"/>
      <c r="V938" s="12"/>
      <c r="W938" s="12"/>
      <c r="X938" s="12"/>
      <c r="Y938" s="12"/>
      <c r="Z938" s="12"/>
      <c r="AA938" s="12"/>
      <c r="AB938" s="12"/>
      <c r="AC938" s="12"/>
      <c r="AD938" s="12"/>
      <c r="AE938" s="12"/>
      <c r="AF938" s="12"/>
      <c r="AG938" s="13"/>
      <c r="AH938" s="13"/>
      <c r="AI938" s="13"/>
      <c r="AJ938" s="13"/>
      <c r="AK938" s="13"/>
      <c r="AL938" s="13"/>
      <c r="AM938" s="13"/>
    </row>
    <row r="939" spans="1:39">
      <c r="A939" s="8"/>
      <c r="B939" s="8"/>
      <c r="C939" s="8"/>
      <c r="D939" s="8"/>
      <c r="E939" s="8"/>
      <c r="F939" s="8"/>
      <c r="G939" s="8"/>
      <c r="H939" s="8"/>
      <c r="I939" s="8"/>
      <c r="J939" s="8"/>
      <c r="K939" s="8"/>
      <c r="L939" s="8"/>
      <c r="M939" s="8"/>
      <c r="N939" s="8"/>
      <c r="O939" s="8"/>
      <c r="P939" s="8"/>
      <c r="Q939" s="8"/>
      <c r="R939" s="8"/>
      <c r="S939" s="8"/>
      <c r="T939" s="8"/>
      <c r="U939" s="12"/>
      <c r="V939" s="12"/>
      <c r="W939" s="12"/>
      <c r="X939" s="12"/>
      <c r="Y939" s="12"/>
      <c r="Z939" s="12"/>
      <c r="AA939" s="12"/>
      <c r="AB939" s="12"/>
      <c r="AC939" s="12"/>
      <c r="AD939" s="12"/>
      <c r="AE939" s="12"/>
      <c r="AF939" s="12"/>
      <c r="AG939" s="13"/>
      <c r="AH939" s="13"/>
      <c r="AI939" s="13"/>
      <c r="AJ939" s="13"/>
      <c r="AK939" s="13"/>
      <c r="AL939" s="13"/>
      <c r="AM939" s="13"/>
    </row>
    <row r="940" spans="1:39">
      <c r="A940" s="8"/>
      <c r="B940" s="8"/>
      <c r="C940" s="8"/>
      <c r="D940" s="8"/>
      <c r="E940" s="8"/>
      <c r="F940" s="8"/>
      <c r="G940" s="8"/>
      <c r="H940" s="8"/>
      <c r="I940" s="8"/>
      <c r="J940" s="8"/>
      <c r="K940" s="8"/>
      <c r="L940" s="8"/>
      <c r="M940" s="8"/>
      <c r="N940" s="8"/>
      <c r="O940" s="8"/>
      <c r="P940" s="8"/>
      <c r="Q940" s="8"/>
      <c r="R940" s="8"/>
      <c r="S940" s="8"/>
      <c r="T940" s="8"/>
      <c r="U940" s="12"/>
      <c r="V940" s="12"/>
      <c r="W940" s="12"/>
      <c r="X940" s="12"/>
      <c r="Y940" s="12"/>
      <c r="Z940" s="12"/>
      <c r="AA940" s="12"/>
      <c r="AB940" s="12"/>
      <c r="AC940" s="12"/>
      <c r="AD940" s="12"/>
      <c r="AE940" s="12"/>
      <c r="AF940" s="12"/>
      <c r="AG940" s="13"/>
      <c r="AH940" s="13"/>
      <c r="AI940" s="13"/>
      <c r="AJ940" s="13"/>
      <c r="AK940" s="13"/>
      <c r="AL940" s="13"/>
      <c r="AM940" s="13"/>
    </row>
    <row r="941" spans="1:39">
      <c r="A941" s="8"/>
      <c r="B941" s="8"/>
      <c r="C941" s="8"/>
      <c r="D941" s="8"/>
      <c r="E941" s="8"/>
      <c r="F941" s="8"/>
      <c r="G941" s="8"/>
      <c r="H941" s="8"/>
      <c r="I941" s="8"/>
      <c r="J941" s="8"/>
      <c r="K941" s="8"/>
      <c r="L941" s="8"/>
      <c r="M941" s="8"/>
      <c r="N941" s="8"/>
      <c r="O941" s="8"/>
      <c r="P941" s="8"/>
      <c r="Q941" s="8"/>
      <c r="R941" s="8"/>
      <c r="S941" s="8"/>
      <c r="T941" s="8"/>
      <c r="U941" s="12"/>
      <c r="V941" s="12"/>
      <c r="W941" s="12"/>
      <c r="X941" s="12"/>
      <c r="Y941" s="12"/>
      <c r="Z941" s="12"/>
      <c r="AA941" s="12"/>
      <c r="AB941" s="12"/>
      <c r="AC941" s="12"/>
      <c r="AD941" s="12"/>
      <c r="AE941" s="12"/>
      <c r="AF941" s="12"/>
      <c r="AG941" s="13"/>
      <c r="AH941" s="13"/>
      <c r="AI941" s="13"/>
      <c r="AJ941" s="13"/>
      <c r="AK941" s="13"/>
      <c r="AL941" s="13"/>
      <c r="AM941" s="13"/>
    </row>
    <row r="942" spans="1:39">
      <c r="A942" s="8"/>
      <c r="B942" s="8"/>
      <c r="C942" s="8"/>
      <c r="D942" s="8"/>
      <c r="E942" s="8"/>
      <c r="F942" s="8"/>
      <c r="G942" s="8"/>
      <c r="H942" s="8"/>
      <c r="I942" s="8"/>
      <c r="J942" s="8"/>
      <c r="K942" s="8"/>
      <c r="L942" s="8"/>
      <c r="M942" s="8"/>
      <c r="N942" s="8"/>
      <c r="O942" s="8"/>
      <c r="P942" s="8"/>
      <c r="Q942" s="8"/>
      <c r="R942" s="8"/>
      <c r="S942" s="8"/>
      <c r="T942" s="8"/>
      <c r="U942" s="12"/>
      <c r="V942" s="12"/>
      <c r="W942" s="12"/>
      <c r="X942" s="12"/>
      <c r="Y942" s="12"/>
      <c r="Z942" s="12"/>
      <c r="AA942" s="12"/>
      <c r="AB942" s="12"/>
      <c r="AC942" s="12"/>
      <c r="AD942" s="12"/>
      <c r="AE942" s="12"/>
      <c r="AF942" s="12"/>
      <c r="AG942" s="13"/>
      <c r="AH942" s="13"/>
      <c r="AI942" s="13"/>
      <c r="AJ942" s="13"/>
      <c r="AK942" s="13"/>
      <c r="AL942" s="13"/>
      <c r="AM942" s="13"/>
    </row>
    <row r="943" spans="1:39">
      <c r="A943" s="8"/>
      <c r="B943" s="8"/>
      <c r="C943" s="8"/>
      <c r="D943" s="8"/>
      <c r="E943" s="8"/>
      <c r="F943" s="8"/>
      <c r="G943" s="8"/>
      <c r="H943" s="8"/>
      <c r="I943" s="8"/>
      <c r="J943" s="8"/>
      <c r="K943" s="8"/>
      <c r="L943" s="8"/>
      <c r="M943" s="8"/>
      <c r="N943" s="8"/>
      <c r="O943" s="8"/>
      <c r="P943" s="8"/>
      <c r="Q943" s="8"/>
      <c r="R943" s="8"/>
      <c r="S943" s="8"/>
      <c r="T943" s="8"/>
      <c r="U943" s="12"/>
      <c r="V943" s="12"/>
      <c r="W943" s="12"/>
      <c r="X943" s="12"/>
      <c r="Y943" s="12"/>
      <c r="Z943" s="12"/>
      <c r="AA943" s="12"/>
      <c r="AB943" s="12"/>
      <c r="AC943" s="12"/>
      <c r="AD943" s="12"/>
      <c r="AE943" s="12"/>
      <c r="AF943" s="12"/>
      <c r="AG943" s="13"/>
      <c r="AH943" s="13"/>
      <c r="AI943" s="13"/>
      <c r="AJ943" s="13"/>
      <c r="AK943" s="13"/>
      <c r="AL943" s="13"/>
      <c r="AM943" s="13"/>
    </row>
    <row r="944" spans="1:39">
      <c r="A944" s="8"/>
      <c r="B944" s="8"/>
      <c r="C944" s="8"/>
      <c r="D944" s="8"/>
      <c r="E944" s="8"/>
      <c r="F944" s="8"/>
      <c r="G944" s="8"/>
      <c r="H944" s="8"/>
      <c r="I944" s="8"/>
      <c r="J944" s="8"/>
      <c r="K944" s="8"/>
      <c r="L944" s="8"/>
      <c r="M944" s="8"/>
      <c r="N944" s="8"/>
      <c r="O944" s="8"/>
      <c r="P944" s="8"/>
      <c r="Q944" s="8"/>
      <c r="R944" s="8"/>
      <c r="S944" s="8"/>
      <c r="T944" s="8"/>
      <c r="U944" s="12"/>
      <c r="V944" s="12"/>
      <c r="W944" s="12"/>
      <c r="X944" s="12"/>
      <c r="Y944" s="12"/>
      <c r="Z944" s="12"/>
      <c r="AA944" s="12"/>
      <c r="AB944" s="12"/>
      <c r="AC944" s="12"/>
      <c r="AD944" s="12"/>
      <c r="AE944" s="12"/>
      <c r="AF944" s="12"/>
      <c r="AG944" s="13"/>
      <c r="AH944" s="13"/>
      <c r="AI944" s="13"/>
      <c r="AJ944" s="13"/>
      <c r="AK944" s="13"/>
      <c r="AL944" s="13"/>
      <c r="AM944" s="13"/>
    </row>
    <row r="945" spans="1:39">
      <c r="A945" s="8"/>
      <c r="B945" s="8"/>
      <c r="C945" s="8"/>
      <c r="D945" s="8"/>
      <c r="E945" s="8"/>
      <c r="F945" s="8"/>
      <c r="G945" s="8"/>
      <c r="H945" s="8"/>
      <c r="I945" s="8"/>
      <c r="J945" s="8"/>
      <c r="K945" s="8"/>
      <c r="L945" s="8"/>
      <c r="M945" s="8"/>
      <c r="N945" s="8"/>
      <c r="O945" s="8"/>
      <c r="P945" s="8"/>
      <c r="Q945" s="8"/>
      <c r="R945" s="8"/>
      <c r="S945" s="8"/>
      <c r="T945" s="8"/>
      <c r="U945" s="12"/>
      <c r="V945" s="12"/>
      <c r="W945" s="12"/>
      <c r="X945" s="12"/>
      <c r="Y945" s="12"/>
      <c r="Z945" s="12"/>
      <c r="AA945" s="12"/>
      <c r="AB945" s="12"/>
      <c r="AC945" s="12"/>
      <c r="AD945" s="12"/>
      <c r="AE945" s="12"/>
      <c r="AF945" s="12"/>
      <c r="AG945" s="13"/>
      <c r="AH945" s="13"/>
      <c r="AI945" s="13"/>
      <c r="AJ945" s="13"/>
      <c r="AK945" s="13"/>
      <c r="AL945" s="13"/>
      <c r="AM945" s="13"/>
    </row>
    <row r="946" spans="1:39">
      <c r="A946" s="8"/>
      <c r="B946" s="8"/>
      <c r="C946" s="8"/>
      <c r="D946" s="8"/>
      <c r="E946" s="8"/>
      <c r="F946" s="8"/>
      <c r="G946" s="8"/>
      <c r="H946" s="8"/>
      <c r="I946" s="8"/>
      <c r="J946" s="8"/>
      <c r="K946" s="8"/>
      <c r="L946" s="8"/>
      <c r="M946" s="8"/>
      <c r="N946" s="8"/>
      <c r="O946" s="8"/>
      <c r="P946" s="8"/>
      <c r="Q946" s="8"/>
      <c r="R946" s="8"/>
      <c r="S946" s="8"/>
      <c r="T946" s="8"/>
      <c r="U946" s="12"/>
      <c r="V946" s="12"/>
      <c r="W946" s="12"/>
      <c r="X946" s="12"/>
      <c r="Y946" s="12"/>
      <c r="Z946" s="12"/>
      <c r="AA946" s="12"/>
      <c r="AB946" s="12"/>
      <c r="AC946" s="12"/>
      <c r="AD946" s="12"/>
      <c r="AE946" s="12"/>
      <c r="AF946" s="12"/>
      <c r="AG946" s="13"/>
      <c r="AH946" s="13"/>
      <c r="AI946" s="13"/>
      <c r="AJ946" s="13"/>
      <c r="AK946" s="13"/>
      <c r="AL946" s="13"/>
      <c r="AM946" s="13"/>
    </row>
    <row r="947" spans="1:39">
      <c r="A947" s="8"/>
      <c r="B947" s="8"/>
      <c r="C947" s="8"/>
      <c r="D947" s="8"/>
      <c r="E947" s="8"/>
      <c r="F947" s="8"/>
      <c r="G947" s="8"/>
      <c r="H947" s="8"/>
      <c r="I947" s="8"/>
      <c r="J947" s="8"/>
      <c r="K947" s="8"/>
      <c r="L947" s="8"/>
      <c r="M947" s="8"/>
      <c r="N947" s="8"/>
      <c r="O947" s="8"/>
      <c r="P947" s="8"/>
      <c r="Q947" s="8"/>
      <c r="R947" s="8"/>
      <c r="S947" s="8"/>
      <c r="T947" s="8"/>
      <c r="U947" s="12"/>
      <c r="V947" s="12"/>
      <c r="W947" s="12"/>
      <c r="X947" s="12"/>
      <c r="Y947" s="12"/>
      <c r="Z947" s="12"/>
      <c r="AA947" s="12"/>
      <c r="AB947" s="12"/>
      <c r="AC947" s="12"/>
      <c r="AD947" s="12"/>
      <c r="AE947" s="12"/>
      <c r="AF947" s="12"/>
      <c r="AG947" s="13"/>
      <c r="AH947" s="13"/>
      <c r="AI947" s="13"/>
      <c r="AJ947" s="13"/>
      <c r="AK947" s="13"/>
      <c r="AL947" s="13"/>
      <c r="AM947" s="13"/>
    </row>
    <row r="948" spans="1:39">
      <c r="A948" s="8"/>
      <c r="B948" s="8"/>
      <c r="C948" s="8"/>
      <c r="D948" s="8"/>
      <c r="E948" s="8"/>
      <c r="F948" s="8"/>
      <c r="G948" s="8"/>
      <c r="H948" s="8"/>
      <c r="I948" s="8"/>
      <c r="J948" s="8"/>
      <c r="K948" s="8"/>
      <c r="L948" s="8"/>
      <c r="M948" s="8"/>
      <c r="N948" s="8"/>
      <c r="O948" s="8"/>
      <c r="P948" s="8"/>
      <c r="Q948" s="8"/>
      <c r="R948" s="8"/>
      <c r="S948" s="8"/>
      <c r="T948" s="8"/>
      <c r="U948" s="12"/>
      <c r="V948" s="12"/>
      <c r="W948" s="12"/>
      <c r="X948" s="12"/>
      <c r="Y948" s="12"/>
      <c r="Z948" s="12"/>
      <c r="AA948" s="12"/>
      <c r="AB948" s="12"/>
      <c r="AC948" s="12"/>
      <c r="AD948" s="12"/>
      <c r="AE948" s="12"/>
      <c r="AF948" s="12"/>
      <c r="AG948" s="13"/>
      <c r="AH948" s="13"/>
      <c r="AI948" s="13"/>
      <c r="AJ948" s="13"/>
      <c r="AK948" s="13"/>
      <c r="AL948" s="13"/>
      <c r="AM948" s="13"/>
    </row>
    <row r="949" spans="1:39">
      <c r="A949" s="8"/>
      <c r="B949" s="8"/>
      <c r="C949" s="8"/>
      <c r="D949" s="8"/>
      <c r="E949" s="8"/>
      <c r="F949" s="8"/>
      <c r="G949" s="8"/>
      <c r="H949" s="8"/>
      <c r="I949" s="8"/>
      <c r="J949" s="8"/>
      <c r="K949" s="8"/>
      <c r="L949" s="8"/>
      <c r="M949" s="8"/>
      <c r="N949" s="8"/>
      <c r="O949" s="8"/>
      <c r="P949" s="8"/>
      <c r="Q949" s="8"/>
      <c r="R949" s="8"/>
      <c r="S949" s="8"/>
      <c r="T949" s="8"/>
      <c r="U949" s="12"/>
      <c r="V949" s="12"/>
      <c r="W949" s="12"/>
      <c r="X949" s="12"/>
      <c r="Y949" s="12"/>
      <c r="Z949" s="12"/>
      <c r="AA949" s="12"/>
      <c r="AB949" s="12"/>
      <c r="AC949" s="12"/>
      <c r="AD949" s="12"/>
      <c r="AE949" s="12"/>
      <c r="AF949" s="12"/>
      <c r="AG949" s="13"/>
      <c r="AH949" s="13"/>
      <c r="AI949" s="13"/>
      <c r="AJ949" s="13"/>
      <c r="AK949" s="13"/>
      <c r="AL949" s="13"/>
      <c r="AM949" s="13"/>
    </row>
    <row r="950" spans="1:39">
      <c r="A950" s="8"/>
      <c r="B950" s="8"/>
      <c r="C950" s="8"/>
      <c r="D950" s="8"/>
      <c r="E950" s="8"/>
      <c r="F950" s="8"/>
      <c r="G950" s="8"/>
      <c r="H950" s="8"/>
      <c r="I950" s="8"/>
      <c r="J950" s="8"/>
      <c r="K950" s="8"/>
      <c r="L950" s="8"/>
      <c r="M950" s="8"/>
      <c r="N950" s="8"/>
      <c r="O950" s="8"/>
      <c r="P950" s="8"/>
      <c r="Q950" s="8"/>
      <c r="R950" s="8"/>
      <c r="S950" s="8"/>
      <c r="T950" s="8"/>
      <c r="U950" s="12"/>
      <c r="V950" s="12"/>
      <c r="W950" s="12"/>
      <c r="X950" s="12"/>
      <c r="Y950" s="12"/>
      <c r="Z950" s="12"/>
      <c r="AA950" s="12"/>
      <c r="AB950" s="12"/>
      <c r="AC950" s="12"/>
      <c r="AD950" s="12"/>
      <c r="AE950" s="12"/>
      <c r="AF950" s="12"/>
      <c r="AG950" s="13"/>
      <c r="AH950" s="13"/>
      <c r="AI950" s="13"/>
      <c r="AJ950" s="13"/>
      <c r="AK950" s="13"/>
      <c r="AL950" s="13"/>
      <c r="AM950" s="13"/>
    </row>
    <row r="951" spans="1:39">
      <c r="A951" s="8"/>
      <c r="B951" s="8"/>
      <c r="C951" s="8"/>
      <c r="D951" s="8"/>
      <c r="E951" s="8"/>
      <c r="F951" s="8"/>
      <c r="G951" s="8"/>
      <c r="H951" s="8"/>
      <c r="I951" s="8"/>
      <c r="J951" s="8"/>
      <c r="K951" s="8"/>
      <c r="L951" s="8"/>
      <c r="M951" s="8"/>
      <c r="N951" s="8"/>
      <c r="O951" s="8"/>
      <c r="P951" s="8"/>
      <c r="Q951" s="8"/>
      <c r="R951" s="8"/>
      <c r="S951" s="8"/>
      <c r="T951" s="8"/>
      <c r="U951" s="12"/>
      <c r="V951" s="12"/>
      <c r="W951" s="12"/>
      <c r="X951" s="12"/>
      <c r="Y951" s="12"/>
      <c r="Z951" s="12"/>
      <c r="AA951" s="12"/>
      <c r="AB951" s="12"/>
      <c r="AC951" s="12"/>
      <c r="AD951" s="12"/>
      <c r="AE951" s="12"/>
      <c r="AF951" s="12"/>
      <c r="AG951" s="13"/>
      <c r="AH951" s="13"/>
      <c r="AI951" s="13"/>
      <c r="AJ951" s="13"/>
      <c r="AK951" s="13"/>
      <c r="AL951" s="13"/>
      <c r="AM951" s="13"/>
    </row>
    <row r="952" spans="1:39">
      <c r="A952" s="8"/>
      <c r="B952" s="8"/>
      <c r="C952" s="8"/>
      <c r="D952" s="8"/>
      <c r="E952" s="8"/>
      <c r="F952" s="8"/>
      <c r="G952" s="8"/>
      <c r="H952" s="8"/>
      <c r="I952" s="8"/>
      <c r="J952" s="8"/>
      <c r="K952" s="8"/>
      <c r="L952" s="8"/>
      <c r="M952" s="8"/>
      <c r="N952" s="8"/>
      <c r="O952" s="8"/>
      <c r="P952" s="8"/>
      <c r="Q952" s="8"/>
      <c r="R952" s="8"/>
      <c r="S952" s="8"/>
      <c r="T952" s="8"/>
      <c r="U952" s="12"/>
      <c r="V952" s="12"/>
      <c r="W952" s="12"/>
      <c r="X952" s="12"/>
      <c r="Y952" s="12"/>
      <c r="Z952" s="12"/>
      <c r="AA952" s="12"/>
      <c r="AB952" s="12"/>
      <c r="AC952" s="12"/>
      <c r="AD952" s="12"/>
      <c r="AE952" s="12"/>
      <c r="AF952" s="12"/>
      <c r="AG952" s="13"/>
      <c r="AH952" s="13"/>
      <c r="AI952" s="13"/>
      <c r="AJ952" s="13"/>
      <c r="AK952" s="13"/>
      <c r="AL952" s="13"/>
      <c r="AM952" s="13"/>
    </row>
    <row r="953" spans="1:39">
      <c r="A953" s="8"/>
      <c r="B953" s="8"/>
      <c r="C953" s="8"/>
      <c r="D953" s="8"/>
      <c r="E953" s="8"/>
      <c r="F953" s="8"/>
      <c r="G953" s="8"/>
      <c r="H953" s="8"/>
      <c r="I953" s="8"/>
      <c r="J953" s="8"/>
      <c r="K953" s="8"/>
      <c r="L953" s="8"/>
      <c r="M953" s="8"/>
      <c r="N953" s="8"/>
      <c r="O953" s="8"/>
      <c r="P953" s="8"/>
      <c r="Q953" s="8"/>
      <c r="R953" s="8"/>
      <c r="S953" s="8"/>
      <c r="T953" s="8"/>
      <c r="U953" s="12"/>
      <c r="V953" s="12"/>
      <c r="W953" s="12"/>
      <c r="X953" s="12"/>
      <c r="Y953" s="12"/>
      <c r="Z953" s="12"/>
      <c r="AA953" s="12"/>
      <c r="AB953" s="12"/>
      <c r="AC953" s="12"/>
      <c r="AD953" s="12"/>
      <c r="AE953" s="12"/>
      <c r="AF953" s="12"/>
      <c r="AG953" s="13"/>
      <c r="AH953" s="13"/>
      <c r="AI953" s="13"/>
      <c r="AJ953" s="13"/>
      <c r="AK953" s="13"/>
      <c r="AL953" s="13"/>
      <c r="AM953" s="13"/>
    </row>
    <row r="954" spans="1:39">
      <c r="A954" s="8"/>
      <c r="B954" s="8"/>
      <c r="C954" s="8"/>
      <c r="D954" s="8"/>
      <c r="E954" s="8"/>
      <c r="F954" s="8"/>
      <c r="G954" s="8"/>
      <c r="H954" s="8"/>
      <c r="I954" s="8"/>
      <c r="J954" s="8"/>
      <c r="K954" s="8"/>
      <c r="L954" s="8"/>
      <c r="M954" s="8"/>
      <c r="N954" s="8"/>
      <c r="O954" s="8"/>
      <c r="P954" s="8"/>
      <c r="Q954" s="8"/>
      <c r="R954" s="8"/>
      <c r="S954" s="8"/>
      <c r="T954" s="8"/>
      <c r="U954" s="12"/>
      <c r="V954" s="12"/>
      <c r="W954" s="12"/>
      <c r="X954" s="12"/>
      <c r="Y954" s="12"/>
      <c r="Z954" s="12"/>
      <c r="AA954" s="12"/>
      <c r="AB954" s="12"/>
      <c r="AC954" s="12"/>
      <c r="AD954" s="12"/>
      <c r="AE954" s="12"/>
      <c r="AF954" s="12"/>
      <c r="AG954" s="13"/>
      <c r="AH954" s="13"/>
      <c r="AI954" s="13"/>
      <c r="AJ954" s="13"/>
      <c r="AK954" s="13"/>
      <c r="AL954" s="13"/>
      <c r="AM954" s="13"/>
    </row>
    <row r="955" spans="1:39">
      <c r="A955" s="8"/>
      <c r="B955" s="8"/>
      <c r="C955" s="8"/>
      <c r="D955" s="8"/>
      <c r="E955" s="8"/>
      <c r="F955" s="8"/>
      <c r="G955" s="8"/>
      <c r="H955" s="8"/>
      <c r="I955" s="8"/>
      <c r="J955" s="8"/>
      <c r="K955" s="8"/>
      <c r="L955" s="8"/>
      <c r="M955" s="8"/>
      <c r="N955" s="8"/>
      <c r="O955" s="8"/>
      <c r="P955" s="8"/>
      <c r="Q955" s="8"/>
      <c r="R955" s="8"/>
      <c r="S955" s="8"/>
      <c r="T955" s="8"/>
      <c r="U955" s="12"/>
      <c r="V955" s="12"/>
      <c r="W955" s="12"/>
      <c r="X955" s="12"/>
      <c r="Y955" s="12"/>
      <c r="Z955" s="12"/>
      <c r="AA955" s="12"/>
      <c r="AB955" s="12"/>
      <c r="AC955" s="12"/>
      <c r="AD955" s="12"/>
      <c r="AE955" s="12"/>
      <c r="AF955" s="12"/>
      <c r="AG955" s="13"/>
      <c r="AH955" s="13"/>
      <c r="AI955" s="13"/>
      <c r="AJ955" s="13"/>
      <c r="AK955" s="13"/>
      <c r="AL955" s="13"/>
      <c r="AM955" s="13"/>
    </row>
    <row r="956" spans="1:39">
      <c r="A956" s="8"/>
      <c r="B956" s="8"/>
      <c r="C956" s="8"/>
      <c r="D956" s="8"/>
      <c r="E956" s="8"/>
      <c r="F956" s="8"/>
      <c r="G956" s="8"/>
      <c r="H956" s="8"/>
      <c r="I956" s="8"/>
      <c r="J956" s="8"/>
      <c r="K956" s="8"/>
      <c r="L956" s="8"/>
      <c r="M956" s="8"/>
      <c r="N956" s="8"/>
      <c r="O956" s="8"/>
      <c r="P956" s="8"/>
      <c r="Q956" s="8"/>
      <c r="R956" s="8"/>
      <c r="S956" s="8"/>
      <c r="T956" s="8"/>
      <c r="U956" s="12"/>
      <c r="V956" s="12"/>
      <c r="W956" s="12"/>
      <c r="X956" s="12"/>
      <c r="Y956" s="12"/>
      <c r="Z956" s="12"/>
      <c r="AA956" s="12"/>
      <c r="AB956" s="12"/>
      <c r="AC956" s="12"/>
      <c r="AD956" s="12"/>
      <c r="AE956" s="12"/>
      <c r="AF956" s="12"/>
      <c r="AG956" s="13"/>
      <c r="AH956" s="13"/>
      <c r="AI956" s="13"/>
      <c r="AJ956" s="13"/>
      <c r="AK956" s="13"/>
      <c r="AL956" s="13"/>
      <c r="AM956" s="13"/>
    </row>
    <row r="957" spans="1:39">
      <c r="A957" s="8"/>
      <c r="B957" s="8"/>
      <c r="C957" s="8"/>
      <c r="D957" s="8"/>
      <c r="E957" s="8"/>
      <c r="F957" s="8"/>
      <c r="G957" s="8"/>
      <c r="H957" s="8"/>
      <c r="I957" s="8"/>
      <c r="J957" s="8"/>
      <c r="K957" s="8"/>
      <c r="L957" s="8"/>
      <c r="M957" s="8"/>
      <c r="N957" s="8"/>
      <c r="O957" s="8"/>
      <c r="P957" s="8"/>
      <c r="Q957" s="8"/>
      <c r="R957" s="8"/>
      <c r="S957" s="8"/>
      <c r="T957" s="8"/>
      <c r="U957" s="12"/>
      <c r="V957" s="12"/>
      <c r="W957" s="12"/>
      <c r="X957" s="12"/>
      <c r="Y957" s="12"/>
      <c r="Z957" s="12"/>
      <c r="AA957" s="12"/>
      <c r="AB957" s="12"/>
      <c r="AC957" s="12"/>
      <c r="AD957" s="12"/>
      <c r="AE957" s="12"/>
      <c r="AF957" s="12"/>
      <c r="AG957" s="13"/>
      <c r="AH957" s="13"/>
      <c r="AI957" s="13"/>
      <c r="AJ957" s="13"/>
      <c r="AK957" s="13"/>
      <c r="AL957" s="13"/>
      <c r="AM957" s="13"/>
    </row>
    <row r="958" spans="1:39">
      <c r="A958" s="8"/>
      <c r="B958" s="8"/>
      <c r="C958" s="8"/>
      <c r="D958" s="8"/>
      <c r="E958" s="8"/>
      <c r="F958" s="8"/>
      <c r="G958" s="8"/>
      <c r="H958" s="8"/>
      <c r="I958" s="8"/>
      <c r="J958" s="8"/>
      <c r="K958" s="8"/>
      <c r="L958" s="8"/>
      <c r="M958" s="8"/>
      <c r="N958" s="8"/>
      <c r="O958" s="8"/>
      <c r="P958" s="8"/>
      <c r="Q958" s="8"/>
      <c r="R958" s="8"/>
      <c r="S958" s="8"/>
      <c r="T958" s="8"/>
      <c r="U958" s="12"/>
      <c r="V958" s="12"/>
      <c r="W958" s="12"/>
      <c r="X958" s="12"/>
      <c r="Y958" s="12"/>
      <c r="Z958" s="12"/>
      <c r="AA958" s="12"/>
      <c r="AB958" s="12"/>
      <c r="AC958" s="12"/>
      <c r="AD958" s="12"/>
      <c r="AE958" s="12"/>
      <c r="AF958" s="12"/>
      <c r="AG958" s="13"/>
      <c r="AH958" s="13"/>
      <c r="AI958" s="13"/>
      <c r="AJ958" s="13"/>
      <c r="AK958" s="13"/>
      <c r="AL958" s="13"/>
      <c r="AM958" s="13"/>
    </row>
    <row r="959" spans="1:39">
      <c r="A959" s="8"/>
      <c r="B959" s="8"/>
      <c r="C959" s="8"/>
      <c r="D959" s="8"/>
      <c r="E959" s="8"/>
      <c r="F959" s="8"/>
      <c r="G959" s="8"/>
      <c r="H959" s="8"/>
      <c r="I959" s="8"/>
      <c r="J959" s="8"/>
      <c r="K959" s="8"/>
      <c r="L959" s="8"/>
      <c r="M959" s="8"/>
      <c r="N959" s="8"/>
      <c r="O959" s="8"/>
      <c r="P959" s="8"/>
      <c r="Q959" s="8"/>
      <c r="R959" s="8"/>
      <c r="S959" s="8"/>
      <c r="T959" s="8"/>
      <c r="U959" s="12"/>
      <c r="V959" s="12"/>
      <c r="W959" s="12"/>
      <c r="X959" s="12"/>
      <c r="Y959" s="12"/>
      <c r="Z959" s="12"/>
      <c r="AA959" s="12"/>
      <c r="AB959" s="12"/>
      <c r="AC959" s="12"/>
      <c r="AD959" s="12"/>
      <c r="AE959" s="12"/>
      <c r="AF959" s="12"/>
      <c r="AG959" s="13"/>
      <c r="AH959" s="13"/>
      <c r="AI959" s="13"/>
      <c r="AJ959" s="13"/>
      <c r="AK959" s="13"/>
      <c r="AL959" s="13"/>
      <c r="AM959" s="13"/>
    </row>
    <row r="960" spans="1:39">
      <c r="A960" s="8"/>
      <c r="B960" s="8"/>
      <c r="C960" s="8"/>
      <c r="D960" s="8"/>
      <c r="E960" s="8"/>
      <c r="F960" s="8"/>
      <c r="G960" s="8"/>
      <c r="H960" s="8"/>
      <c r="I960" s="8"/>
      <c r="J960" s="8"/>
      <c r="K960" s="8"/>
      <c r="L960" s="8"/>
      <c r="M960" s="8"/>
      <c r="N960" s="8"/>
      <c r="O960" s="8"/>
      <c r="P960" s="8"/>
      <c r="Q960" s="8"/>
      <c r="R960" s="8"/>
      <c r="S960" s="8"/>
      <c r="T960" s="8"/>
      <c r="U960" s="12"/>
      <c r="V960" s="12"/>
      <c r="W960" s="12"/>
      <c r="X960" s="12"/>
      <c r="Y960" s="12"/>
      <c r="Z960" s="12"/>
      <c r="AA960" s="12"/>
      <c r="AB960" s="12"/>
      <c r="AC960" s="12"/>
      <c r="AD960" s="12"/>
      <c r="AE960" s="12"/>
      <c r="AF960" s="12"/>
      <c r="AG960" s="13"/>
      <c r="AH960" s="13"/>
      <c r="AI960" s="13"/>
      <c r="AJ960" s="13"/>
      <c r="AK960" s="13"/>
      <c r="AL960" s="13"/>
      <c r="AM960" s="13"/>
    </row>
    <row r="961" spans="1:39">
      <c r="A961" s="8"/>
      <c r="B961" s="8"/>
      <c r="C961" s="8"/>
      <c r="D961" s="8"/>
      <c r="E961" s="8"/>
      <c r="F961" s="8"/>
      <c r="G961" s="8"/>
      <c r="H961" s="8"/>
      <c r="I961" s="8"/>
      <c r="J961" s="8"/>
      <c r="K961" s="8"/>
      <c r="L961" s="8"/>
      <c r="M961" s="8"/>
      <c r="N961" s="8"/>
      <c r="O961" s="8"/>
      <c r="P961" s="8"/>
      <c r="Q961" s="8"/>
      <c r="R961" s="8"/>
      <c r="S961" s="8"/>
      <c r="T961" s="8"/>
      <c r="U961" s="12"/>
      <c r="V961" s="12"/>
      <c r="W961" s="12"/>
      <c r="X961" s="12"/>
      <c r="Y961" s="12"/>
      <c r="Z961" s="12"/>
      <c r="AA961" s="12"/>
      <c r="AB961" s="12"/>
      <c r="AC961" s="12"/>
      <c r="AD961" s="12"/>
      <c r="AE961" s="12"/>
      <c r="AF961" s="12"/>
      <c r="AG961" s="13"/>
      <c r="AH961" s="13"/>
      <c r="AI961" s="13"/>
      <c r="AJ961" s="13"/>
      <c r="AK961" s="13"/>
      <c r="AL961" s="13"/>
      <c r="AM961" s="13"/>
    </row>
    <row r="962" spans="1:39">
      <c r="A962" s="8"/>
      <c r="B962" s="8"/>
      <c r="C962" s="8"/>
      <c r="D962" s="8"/>
      <c r="E962" s="8"/>
      <c r="F962" s="8"/>
      <c r="G962" s="8"/>
      <c r="H962" s="8"/>
      <c r="I962" s="8"/>
      <c r="J962" s="8"/>
      <c r="K962" s="8"/>
      <c r="L962" s="8"/>
      <c r="M962" s="8"/>
      <c r="N962" s="8"/>
      <c r="O962" s="8"/>
      <c r="P962" s="8"/>
      <c r="Q962" s="8"/>
      <c r="R962" s="8"/>
      <c r="S962" s="8"/>
      <c r="T962" s="8"/>
      <c r="U962" s="12"/>
      <c r="V962" s="12"/>
      <c r="W962" s="12"/>
      <c r="X962" s="12"/>
      <c r="Y962" s="12"/>
      <c r="Z962" s="12"/>
      <c r="AA962" s="12"/>
      <c r="AB962" s="12"/>
      <c r="AC962" s="12"/>
      <c r="AD962" s="12"/>
      <c r="AE962" s="12"/>
      <c r="AF962" s="12"/>
      <c r="AG962" s="13"/>
      <c r="AH962" s="13"/>
      <c r="AI962" s="13"/>
      <c r="AJ962" s="13"/>
      <c r="AK962" s="13"/>
      <c r="AL962" s="13"/>
      <c r="AM962" s="13"/>
    </row>
    <row r="963" spans="1:39">
      <c r="A963" s="8"/>
      <c r="B963" s="8"/>
      <c r="C963" s="8"/>
      <c r="D963" s="8"/>
      <c r="E963" s="8"/>
      <c r="F963" s="8"/>
      <c r="G963" s="8"/>
      <c r="H963" s="8"/>
      <c r="I963" s="8"/>
      <c r="J963" s="8"/>
      <c r="K963" s="8"/>
      <c r="L963" s="8"/>
      <c r="M963" s="8"/>
      <c r="N963" s="8"/>
      <c r="O963" s="8"/>
      <c r="P963" s="8"/>
      <c r="Q963" s="8"/>
      <c r="R963" s="8"/>
      <c r="S963" s="8"/>
      <c r="T963" s="8"/>
      <c r="U963" s="12"/>
      <c r="V963" s="12"/>
      <c r="W963" s="12"/>
      <c r="X963" s="12"/>
      <c r="Y963" s="12"/>
      <c r="Z963" s="12"/>
      <c r="AA963" s="12"/>
      <c r="AB963" s="12"/>
      <c r="AC963" s="12"/>
      <c r="AD963" s="12"/>
      <c r="AE963" s="12"/>
      <c r="AF963" s="12"/>
      <c r="AG963" s="13"/>
      <c r="AH963" s="13"/>
      <c r="AI963" s="13"/>
      <c r="AJ963" s="13"/>
      <c r="AK963" s="13"/>
      <c r="AL963" s="13"/>
      <c r="AM963" s="13"/>
    </row>
    <row r="964" spans="1:39">
      <c r="A964" s="8"/>
      <c r="B964" s="8"/>
      <c r="C964" s="8"/>
      <c r="D964" s="8"/>
      <c r="E964" s="8"/>
      <c r="F964" s="8"/>
      <c r="G964" s="8"/>
      <c r="H964" s="8"/>
      <c r="I964" s="8"/>
      <c r="J964" s="8"/>
      <c r="K964" s="8"/>
      <c r="L964" s="8"/>
      <c r="M964" s="8"/>
      <c r="N964" s="8"/>
      <c r="O964" s="8"/>
      <c r="P964" s="8"/>
      <c r="Q964" s="8"/>
      <c r="R964" s="8"/>
      <c r="S964" s="8"/>
      <c r="T964" s="8"/>
      <c r="U964" s="12"/>
      <c r="V964" s="12"/>
      <c r="W964" s="12"/>
      <c r="X964" s="12"/>
      <c r="Y964" s="12"/>
      <c r="Z964" s="12"/>
      <c r="AA964" s="12"/>
      <c r="AB964" s="12"/>
      <c r="AC964" s="12"/>
      <c r="AD964" s="12"/>
      <c r="AE964" s="12"/>
      <c r="AF964" s="12"/>
      <c r="AG964" s="13"/>
      <c r="AH964" s="13"/>
      <c r="AI964" s="13"/>
      <c r="AJ964" s="13"/>
      <c r="AK964" s="13"/>
      <c r="AL964" s="13"/>
      <c r="AM964" s="13"/>
    </row>
    <row r="965" spans="1:39">
      <c r="A965" s="8"/>
      <c r="B965" s="8"/>
      <c r="C965" s="8"/>
      <c r="D965" s="8"/>
      <c r="E965" s="8"/>
      <c r="F965" s="8"/>
      <c r="G965" s="8"/>
      <c r="H965" s="8"/>
      <c r="I965" s="8"/>
      <c r="J965" s="8"/>
      <c r="K965" s="8"/>
      <c r="L965" s="8"/>
      <c r="M965" s="8"/>
      <c r="N965" s="8"/>
      <c r="O965" s="8"/>
      <c r="P965" s="8"/>
      <c r="Q965" s="8"/>
      <c r="R965" s="8"/>
      <c r="S965" s="8"/>
      <c r="T965" s="8"/>
      <c r="U965" s="12"/>
      <c r="V965" s="12"/>
      <c r="W965" s="12"/>
      <c r="X965" s="12"/>
      <c r="Y965" s="12"/>
      <c r="Z965" s="12"/>
      <c r="AA965" s="12"/>
      <c r="AB965" s="12"/>
      <c r="AC965" s="12"/>
      <c r="AD965" s="12"/>
      <c r="AE965" s="12"/>
      <c r="AF965" s="12"/>
      <c r="AG965" s="13"/>
      <c r="AH965" s="13"/>
      <c r="AI965" s="13"/>
      <c r="AJ965" s="13"/>
      <c r="AK965" s="13"/>
      <c r="AL965" s="13"/>
      <c r="AM965" s="13"/>
    </row>
    <row r="966" spans="1:39">
      <c r="A966" s="8"/>
      <c r="B966" s="8"/>
      <c r="C966" s="8"/>
      <c r="D966" s="8"/>
      <c r="E966" s="8"/>
      <c r="F966" s="8"/>
      <c r="G966" s="8"/>
      <c r="H966" s="8"/>
      <c r="I966" s="8"/>
      <c r="J966" s="8"/>
      <c r="K966" s="8"/>
      <c r="L966" s="8"/>
      <c r="M966" s="8"/>
      <c r="N966" s="8"/>
      <c r="O966" s="8"/>
      <c r="P966" s="8"/>
      <c r="Q966" s="8"/>
      <c r="R966" s="8"/>
      <c r="S966" s="8"/>
      <c r="T966" s="8"/>
      <c r="U966" s="12"/>
      <c r="V966" s="12"/>
      <c r="W966" s="12"/>
      <c r="X966" s="12"/>
      <c r="Y966" s="12"/>
      <c r="Z966" s="12"/>
      <c r="AA966" s="12"/>
      <c r="AB966" s="12"/>
      <c r="AC966" s="12"/>
      <c r="AD966" s="12"/>
      <c r="AE966" s="12"/>
      <c r="AF966" s="12"/>
      <c r="AG966" s="13"/>
      <c r="AH966" s="13"/>
      <c r="AI966" s="13"/>
      <c r="AJ966" s="13"/>
      <c r="AK966" s="13"/>
      <c r="AL966" s="13"/>
      <c r="AM966" s="13"/>
    </row>
    <row r="967" spans="1:39">
      <c r="A967" s="8"/>
      <c r="B967" s="8"/>
      <c r="C967" s="8"/>
      <c r="D967" s="8"/>
      <c r="E967" s="8"/>
      <c r="F967" s="8"/>
      <c r="G967" s="8"/>
      <c r="H967" s="8"/>
      <c r="I967" s="8"/>
      <c r="J967" s="8"/>
      <c r="K967" s="8"/>
      <c r="L967" s="8"/>
      <c r="M967" s="8"/>
      <c r="N967" s="8"/>
      <c r="O967" s="8"/>
      <c r="P967" s="8"/>
      <c r="Q967" s="8"/>
      <c r="R967" s="8"/>
      <c r="S967" s="8"/>
      <c r="T967" s="8"/>
      <c r="U967" s="12"/>
      <c r="V967" s="12"/>
      <c r="W967" s="12"/>
      <c r="X967" s="12"/>
      <c r="Y967" s="12"/>
      <c r="Z967" s="12"/>
      <c r="AA967" s="12"/>
      <c r="AB967" s="12"/>
      <c r="AC967" s="12"/>
      <c r="AD967" s="12"/>
      <c r="AE967" s="12"/>
      <c r="AF967" s="12"/>
      <c r="AG967" s="13"/>
      <c r="AH967" s="13"/>
      <c r="AI967" s="13"/>
      <c r="AJ967" s="13"/>
      <c r="AK967" s="13"/>
      <c r="AL967" s="13"/>
      <c r="AM967" s="13"/>
    </row>
    <row r="968" spans="1:39">
      <c r="A968" s="8"/>
      <c r="B968" s="8"/>
      <c r="C968" s="8"/>
      <c r="D968" s="8"/>
      <c r="E968" s="8"/>
      <c r="F968" s="8"/>
      <c r="G968" s="8"/>
      <c r="H968" s="8"/>
      <c r="I968" s="8"/>
      <c r="J968" s="8"/>
      <c r="K968" s="8"/>
      <c r="L968" s="8"/>
      <c r="M968" s="8"/>
      <c r="N968" s="8"/>
      <c r="O968" s="8"/>
      <c r="P968" s="8"/>
      <c r="Q968" s="8"/>
      <c r="R968" s="8"/>
      <c r="S968" s="8"/>
      <c r="T968" s="8"/>
      <c r="U968" s="12"/>
      <c r="V968" s="12"/>
      <c r="W968" s="12"/>
      <c r="X968" s="12"/>
      <c r="Y968" s="12"/>
      <c r="Z968" s="12"/>
      <c r="AA968" s="12"/>
      <c r="AB968" s="12"/>
      <c r="AC968" s="12"/>
      <c r="AD968" s="12"/>
      <c r="AE968" s="12"/>
      <c r="AF968" s="12"/>
      <c r="AG968" s="13"/>
      <c r="AH968" s="13"/>
      <c r="AI968" s="13"/>
      <c r="AJ968" s="13"/>
      <c r="AK968" s="13"/>
      <c r="AL968" s="13"/>
      <c r="AM968" s="13"/>
    </row>
    <row r="969" spans="1:39">
      <c r="A969" s="8"/>
      <c r="B969" s="8"/>
      <c r="C969" s="8"/>
      <c r="D969" s="8"/>
      <c r="E969" s="8"/>
      <c r="F969" s="8"/>
      <c r="G969" s="8"/>
      <c r="H969" s="8"/>
      <c r="I969" s="8"/>
      <c r="J969" s="8"/>
      <c r="K969" s="8"/>
      <c r="L969" s="8"/>
      <c r="M969" s="8"/>
      <c r="N969" s="8"/>
      <c r="O969" s="8"/>
      <c r="P969" s="8"/>
      <c r="Q969" s="8"/>
      <c r="R969" s="8"/>
      <c r="S969" s="8"/>
      <c r="T969" s="8"/>
      <c r="U969" s="12"/>
      <c r="V969" s="12"/>
      <c r="W969" s="12"/>
      <c r="X969" s="12"/>
      <c r="Y969" s="12"/>
      <c r="Z969" s="12"/>
      <c r="AA969" s="12"/>
      <c r="AB969" s="12"/>
      <c r="AC969" s="12"/>
      <c r="AD969" s="12"/>
      <c r="AE969" s="12"/>
      <c r="AF969" s="12"/>
      <c r="AG969" s="13"/>
      <c r="AH969" s="13"/>
      <c r="AI969" s="13"/>
      <c r="AJ969" s="13"/>
      <c r="AK969" s="13"/>
      <c r="AL969" s="13"/>
      <c r="AM969" s="13"/>
    </row>
    <row r="970" spans="1:39">
      <c r="A970" s="8"/>
      <c r="B970" s="8"/>
      <c r="C970" s="8"/>
      <c r="D970" s="8"/>
      <c r="E970" s="8"/>
      <c r="F970" s="8"/>
      <c r="G970" s="8"/>
      <c r="H970" s="8"/>
      <c r="I970" s="8"/>
      <c r="J970" s="8"/>
      <c r="K970" s="8"/>
      <c r="L970" s="8"/>
      <c r="M970" s="8"/>
      <c r="N970" s="8"/>
      <c r="O970" s="8"/>
      <c r="P970" s="8"/>
      <c r="Q970" s="8"/>
      <c r="R970" s="8"/>
      <c r="S970" s="8"/>
      <c r="T970" s="8"/>
      <c r="U970" s="12"/>
      <c r="V970" s="12"/>
      <c r="W970" s="12"/>
      <c r="X970" s="12"/>
      <c r="Y970" s="12"/>
      <c r="Z970" s="12"/>
      <c r="AA970" s="12"/>
      <c r="AB970" s="12"/>
      <c r="AC970" s="12"/>
      <c r="AD970" s="12"/>
      <c r="AE970" s="12"/>
      <c r="AF970" s="12"/>
      <c r="AG970" s="13"/>
      <c r="AH970" s="13"/>
      <c r="AI970" s="13"/>
      <c r="AJ970" s="13"/>
      <c r="AK970" s="13"/>
      <c r="AL970" s="13"/>
      <c r="AM970" s="13"/>
    </row>
    <row r="971" spans="1:39">
      <c r="A971" s="8"/>
      <c r="B971" s="8"/>
      <c r="C971" s="8"/>
      <c r="D971" s="8"/>
      <c r="E971" s="8"/>
      <c r="F971" s="8"/>
      <c r="G971" s="8"/>
      <c r="H971" s="8"/>
      <c r="I971" s="8"/>
      <c r="J971" s="8"/>
      <c r="K971" s="8"/>
      <c r="L971" s="8"/>
      <c r="M971" s="8"/>
      <c r="N971" s="8"/>
      <c r="O971" s="8"/>
      <c r="P971" s="8"/>
      <c r="Q971" s="8"/>
      <c r="R971" s="8"/>
      <c r="S971" s="8"/>
      <c r="T971" s="8"/>
      <c r="U971" s="12"/>
      <c r="V971" s="12"/>
      <c r="W971" s="12"/>
      <c r="X971" s="12"/>
      <c r="Y971" s="12"/>
      <c r="Z971" s="12"/>
      <c r="AA971" s="12"/>
      <c r="AB971" s="12"/>
      <c r="AC971" s="12"/>
      <c r="AD971" s="12"/>
      <c r="AE971" s="12"/>
      <c r="AF971" s="12"/>
      <c r="AG971" s="13"/>
      <c r="AH971" s="13"/>
      <c r="AI971" s="13"/>
      <c r="AJ971" s="13"/>
      <c r="AK971" s="13"/>
      <c r="AL971" s="13"/>
      <c r="AM971" s="13"/>
    </row>
    <row r="972" spans="1:39">
      <c r="A972" s="8"/>
      <c r="B972" s="8"/>
      <c r="C972" s="8"/>
      <c r="D972" s="8"/>
      <c r="E972" s="8"/>
      <c r="F972" s="8"/>
      <c r="G972" s="8"/>
      <c r="H972" s="8"/>
      <c r="I972" s="8"/>
      <c r="J972" s="8"/>
      <c r="K972" s="8"/>
      <c r="L972" s="8"/>
      <c r="M972" s="8"/>
      <c r="N972" s="8"/>
      <c r="O972" s="8"/>
      <c r="P972" s="8"/>
      <c r="Q972" s="8"/>
      <c r="R972" s="8"/>
      <c r="S972" s="8"/>
      <c r="T972" s="8"/>
      <c r="U972" s="12"/>
      <c r="V972" s="12"/>
      <c r="W972" s="12"/>
      <c r="X972" s="12"/>
      <c r="Y972" s="12"/>
      <c r="Z972" s="12"/>
      <c r="AA972" s="12"/>
      <c r="AB972" s="12"/>
      <c r="AC972" s="12"/>
      <c r="AD972" s="12"/>
      <c r="AE972" s="12"/>
      <c r="AF972" s="12"/>
      <c r="AG972" s="13"/>
      <c r="AH972" s="13"/>
      <c r="AI972" s="13"/>
      <c r="AJ972" s="13"/>
      <c r="AK972" s="13"/>
      <c r="AL972" s="13"/>
      <c r="AM972" s="13"/>
    </row>
    <row r="973" spans="1:39">
      <c r="A973" s="8"/>
      <c r="B973" s="8"/>
      <c r="C973" s="8"/>
      <c r="D973" s="8"/>
      <c r="E973" s="8"/>
      <c r="F973" s="8"/>
      <c r="G973" s="8"/>
      <c r="H973" s="8"/>
      <c r="I973" s="8"/>
      <c r="J973" s="8"/>
      <c r="K973" s="8"/>
      <c r="L973" s="8"/>
      <c r="M973" s="8"/>
      <c r="N973" s="8"/>
      <c r="O973" s="8"/>
      <c r="P973" s="8"/>
      <c r="Q973" s="8"/>
      <c r="R973" s="8"/>
      <c r="S973" s="8"/>
      <c r="T973" s="8"/>
      <c r="U973" s="12"/>
      <c r="V973" s="12"/>
      <c r="W973" s="12"/>
      <c r="X973" s="12"/>
      <c r="Y973" s="12"/>
      <c r="Z973" s="12"/>
      <c r="AA973" s="12"/>
      <c r="AB973" s="12"/>
      <c r="AC973" s="12"/>
      <c r="AD973" s="12"/>
      <c r="AE973" s="12"/>
      <c r="AF973" s="12"/>
      <c r="AG973" s="13"/>
      <c r="AH973" s="13"/>
      <c r="AI973" s="13"/>
      <c r="AJ973" s="13"/>
      <c r="AK973" s="13"/>
      <c r="AL973" s="13"/>
      <c r="AM973" s="13"/>
    </row>
    <row r="974" spans="1:39">
      <c r="A974" s="8"/>
      <c r="B974" s="8"/>
      <c r="C974" s="8"/>
      <c r="D974" s="8"/>
      <c r="E974" s="8"/>
      <c r="F974" s="8"/>
      <c r="G974" s="8"/>
      <c r="H974" s="8"/>
      <c r="I974" s="8"/>
      <c r="J974" s="8"/>
      <c r="K974" s="8"/>
      <c r="L974" s="8"/>
      <c r="M974" s="8"/>
      <c r="N974" s="8"/>
      <c r="O974" s="8"/>
      <c r="P974" s="8"/>
      <c r="Q974" s="8"/>
      <c r="R974" s="8"/>
      <c r="S974" s="8"/>
      <c r="T974" s="8"/>
      <c r="U974" s="12"/>
      <c r="V974" s="12"/>
      <c r="W974" s="12"/>
      <c r="X974" s="12"/>
      <c r="Y974" s="12"/>
      <c r="Z974" s="12"/>
      <c r="AA974" s="12"/>
      <c r="AB974" s="12"/>
      <c r="AC974" s="12"/>
      <c r="AD974" s="12"/>
      <c r="AE974" s="12"/>
      <c r="AF974" s="12"/>
      <c r="AG974" s="13"/>
      <c r="AH974" s="13"/>
      <c r="AI974" s="13"/>
      <c r="AJ974" s="13"/>
      <c r="AK974" s="13"/>
      <c r="AL974" s="13"/>
      <c r="AM974" s="13"/>
    </row>
    <row r="975" spans="1:39">
      <c r="A975" s="8"/>
      <c r="B975" s="8"/>
      <c r="C975" s="8"/>
      <c r="D975" s="8"/>
      <c r="E975" s="8"/>
      <c r="F975" s="8"/>
      <c r="G975" s="8"/>
      <c r="H975" s="8"/>
      <c r="I975" s="8"/>
      <c r="J975" s="8"/>
      <c r="K975" s="8"/>
      <c r="L975" s="8"/>
      <c r="M975" s="8"/>
      <c r="N975" s="8"/>
      <c r="O975" s="8"/>
      <c r="P975" s="8"/>
      <c r="Q975" s="8"/>
      <c r="R975" s="8"/>
      <c r="S975" s="8"/>
      <c r="T975" s="8"/>
      <c r="U975" s="12"/>
      <c r="V975" s="12"/>
      <c r="W975" s="12"/>
      <c r="X975" s="12"/>
      <c r="Y975" s="12"/>
      <c r="Z975" s="12"/>
      <c r="AA975" s="12"/>
      <c r="AB975" s="12"/>
      <c r="AC975" s="12"/>
      <c r="AD975" s="12"/>
      <c r="AE975" s="12"/>
      <c r="AF975" s="12"/>
      <c r="AG975" s="13"/>
      <c r="AH975" s="13"/>
      <c r="AI975" s="13"/>
      <c r="AJ975" s="13"/>
      <c r="AK975" s="13"/>
      <c r="AL975" s="13"/>
      <c r="AM975" s="13"/>
    </row>
    <row r="976" spans="1:39">
      <c r="A976" s="8"/>
      <c r="B976" s="8"/>
      <c r="C976" s="8"/>
      <c r="D976" s="8"/>
      <c r="E976" s="8"/>
      <c r="F976" s="8"/>
      <c r="G976" s="8"/>
      <c r="H976" s="8"/>
      <c r="I976" s="8"/>
      <c r="J976" s="8"/>
      <c r="K976" s="8"/>
      <c r="L976" s="8"/>
      <c r="M976" s="8"/>
      <c r="N976" s="8"/>
      <c r="O976" s="8"/>
      <c r="P976" s="8"/>
      <c r="Q976" s="8"/>
      <c r="R976" s="8"/>
      <c r="S976" s="8"/>
      <c r="T976" s="8"/>
      <c r="U976" s="12"/>
      <c r="V976" s="12"/>
      <c r="W976" s="12"/>
      <c r="X976" s="12"/>
      <c r="Y976" s="12"/>
      <c r="Z976" s="12"/>
      <c r="AA976" s="12"/>
      <c r="AB976" s="12"/>
      <c r="AC976" s="12"/>
      <c r="AD976" s="12"/>
      <c r="AE976" s="12"/>
      <c r="AF976" s="12"/>
      <c r="AG976" s="13"/>
      <c r="AH976" s="13"/>
      <c r="AI976" s="13"/>
      <c r="AJ976" s="13"/>
      <c r="AK976" s="13"/>
      <c r="AL976" s="13"/>
      <c r="AM976" s="13"/>
    </row>
    <row r="977" spans="1:39">
      <c r="A977" s="8"/>
      <c r="B977" s="8"/>
      <c r="C977" s="8"/>
      <c r="D977" s="8"/>
      <c r="E977" s="8"/>
      <c r="F977" s="8"/>
      <c r="G977" s="8"/>
      <c r="H977" s="8"/>
      <c r="I977" s="8"/>
      <c r="J977" s="8"/>
      <c r="K977" s="8"/>
      <c r="L977" s="8"/>
      <c r="M977" s="8"/>
      <c r="N977" s="8"/>
      <c r="O977" s="8"/>
      <c r="P977" s="8"/>
      <c r="Q977" s="8"/>
      <c r="R977" s="8"/>
      <c r="S977" s="8"/>
      <c r="T977" s="8"/>
      <c r="U977" s="12"/>
      <c r="V977" s="12"/>
      <c r="W977" s="12"/>
      <c r="X977" s="12"/>
      <c r="Y977" s="12"/>
      <c r="Z977" s="12"/>
      <c r="AA977" s="12"/>
      <c r="AB977" s="12"/>
      <c r="AC977" s="12"/>
      <c r="AD977" s="12"/>
      <c r="AE977" s="12"/>
      <c r="AF977" s="12"/>
      <c r="AG977" s="13"/>
      <c r="AH977" s="13"/>
      <c r="AI977" s="13"/>
      <c r="AJ977" s="13"/>
      <c r="AK977" s="13"/>
      <c r="AL977" s="13"/>
      <c r="AM977" s="13"/>
    </row>
    <row r="978" spans="1:39">
      <c r="A978" s="8"/>
      <c r="B978" s="8"/>
      <c r="C978" s="8"/>
      <c r="D978" s="8"/>
      <c r="E978" s="8"/>
      <c r="F978" s="8"/>
      <c r="G978" s="8"/>
      <c r="H978" s="8"/>
      <c r="I978" s="8"/>
      <c r="J978" s="8"/>
      <c r="K978" s="8"/>
      <c r="L978" s="8"/>
      <c r="M978" s="8"/>
      <c r="N978" s="8"/>
      <c r="O978" s="8"/>
      <c r="P978" s="8"/>
      <c r="Q978" s="8"/>
      <c r="R978" s="8"/>
      <c r="S978" s="8"/>
      <c r="T978" s="8"/>
      <c r="U978" s="12"/>
      <c r="V978" s="12"/>
      <c r="W978" s="12"/>
      <c r="X978" s="12"/>
      <c r="Y978" s="12"/>
      <c r="Z978" s="12"/>
      <c r="AA978" s="12"/>
      <c r="AB978" s="12"/>
      <c r="AC978" s="12"/>
      <c r="AD978" s="12"/>
      <c r="AE978" s="12"/>
      <c r="AF978" s="12"/>
      <c r="AG978" s="13"/>
      <c r="AH978" s="13"/>
      <c r="AI978" s="13"/>
      <c r="AJ978" s="13"/>
      <c r="AK978" s="13"/>
      <c r="AL978" s="13"/>
      <c r="AM978" s="13"/>
    </row>
  </sheetData>
  <customSheetViews>
    <customSheetView guid="{8E5FD777-F8E9-423F-B70C-DD1B63F38FB2}" filter="1" showAutoFilter="1">
      <pageMargins left="0.7" right="0.7" top="0.75" bottom="0.75" header="0.3" footer="0.3"/>
      <autoFilter ref="E1:E978" xr:uid="{2AC8709B-7801-4741-B99F-F145F3627CE9}"/>
    </customSheetView>
  </customSheetViews>
  <pageMargins left="0.7" right="0.7" top="0.75" bottom="0.75" header="0.3" footer="0.3"/>
  <legacy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ummaryRight="0"/>
  </sheetPr>
  <dimension ref="A1:AT992"/>
  <sheetViews>
    <sheetView workbookViewId="0">
      <pane ySplit="1" topLeftCell="A14" activePane="bottomLeft" state="frozen"/>
      <selection pane="bottomLeft" activeCell="E57" sqref="E57"/>
    </sheetView>
  </sheetViews>
  <sheetFormatPr defaultColWidth="12.6640625" defaultRowHeight="15.75" customHeight="1"/>
  <cols>
    <col min="5" max="5" width="14.33203125" customWidth="1"/>
    <col min="6" max="6" width="20.21875" customWidth="1"/>
    <col min="8" max="8" width="29.33203125" customWidth="1"/>
    <col min="10" max="10" width="34.109375" customWidth="1"/>
    <col min="12" max="12" width="32.77734375" customWidth="1"/>
    <col min="14" max="14" width="31" customWidth="1"/>
    <col min="16" max="16" width="31.77734375" customWidth="1"/>
    <col min="18" max="18" width="27" customWidth="1"/>
    <col min="20" max="20" width="46.44140625" customWidth="1"/>
  </cols>
  <sheetData>
    <row r="1" spans="1:46">
      <c r="A1" s="129" t="s">
        <v>0</v>
      </c>
      <c r="B1" s="129" t="s">
        <v>1</v>
      </c>
      <c r="C1" s="129" t="s">
        <v>2</v>
      </c>
      <c r="D1" s="130" t="s">
        <v>3</v>
      </c>
      <c r="E1" s="130" t="s">
        <v>4</v>
      </c>
      <c r="F1" s="130" t="s">
        <v>5</v>
      </c>
      <c r="G1" s="130" t="s">
        <v>6</v>
      </c>
      <c r="H1" s="131" t="s">
        <v>7</v>
      </c>
      <c r="I1" s="132" t="s">
        <v>8</v>
      </c>
      <c r="J1" s="132" t="s">
        <v>9</v>
      </c>
      <c r="K1" s="132" t="s">
        <v>10</v>
      </c>
      <c r="L1" s="132" t="s">
        <v>11</v>
      </c>
      <c r="M1" s="132" t="s">
        <v>12</v>
      </c>
      <c r="N1" s="132" t="s">
        <v>13</v>
      </c>
      <c r="O1" s="132" t="s">
        <v>14</v>
      </c>
      <c r="P1" s="132" t="s">
        <v>15</v>
      </c>
      <c r="Q1" s="132" t="s">
        <v>16</v>
      </c>
      <c r="R1" s="132" t="s">
        <v>17</v>
      </c>
      <c r="S1" s="132" t="s">
        <v>18</v>
      </c>
      <c r="T1" s="132" t="s">
        <v>19</v>
      </c>
      <c r="U1" s="133" t="s">
        <v>20</v>
      </c>
      <c r="V1" s="133" t="s">
        <v>21</v>
      </c>
      <c r="W1" s="133" t="s">
        <v>22</v>
      </c>
      <c r="X1" s="133" t="s">
        <v>23</v>
      </c>
      <c r="Y1" s="133" t="s">
        <v>24</v>
      </c>
      <c r="Z1" s="133" t="s">
        <v>25</v>
      </c>
      <c r="AA1" s="133" t="s">
        <v>26</v>
      </c>
      <c r="AB1" s="134" t="s">
        <v>27</v>
      </c>
      <c r="AC1" s="133" t="s">
        <v>28</v>
      </c>
      <c r="AD1" s="133" t="s">
        <v>29</v>
      </c>
      <c r="AE1" s="133" t="s">
        <v>30</v>
      </c>
      <c r="AF1" s="134" t="s">
        <v>415</v>
      </c>
      <c r="AG1" s="65" t="s">
        <v>32</v>
      </c>
      <c r="AH1" s="65" t="s">
        <v>33</v>
      </c>
      <c r="AI1" s="65" t="s">
        <v>34</v>
      </c>
      <c r="AJ1" s="65" t="s">
        <v>35</v>
      </c>
      <c r="AK1" s="65" t="s">
        <v>36</v>
      </c>
      <c r="AL1" s="65" t="s">
        <v>37</v>
      </c>
      <c r="AM1" s="65" t="s">
        <v>38</v>
      </c>
      <c r="AN1" s="65" t="s">
        <v>39</v>
      </c>
      <c r="AO1" s="135" t="s">
        <v>40</v>
      </c>
      <c r="AP1" s="135" t="s">
        <v>41</v>
      </c>
      <c r="AQ1" s="135" t="s">
        <v>42</v>
      </c>
      <c r="AR1" s="135" t="s">
        <v>43</v>
      </c>
      <c r="AS1" s="135" t="s">
        <v>44</v>
      </c>
      <c r="AT1" s="135" t="s">
        <v>45</v>
      </c>
    </row>
    <row r="2" spans="1:46">
      <c r="A2" s="54" t="s">
        <v>247</v>
      </c>
      <c r="B2" s="55" t="s">
        <v>47</v>
      </c>
      <c r="C2" s="55" t="s">
        <v>1172</v>
      </c>
      <c r="D2" s="55" t="s">
        <v>2463</v>
      </c>
      <c r="E2" s="55" t="s">
        <v>2464</v>
      </c>
      <c r="F2" s="136" t="s">
        <v>2465</v>
      </c>
      <c r="G2" s="55" t="s">
        <v>2466</v>
      </c>
      <c r="H2" s="54" t="str">
        <f ca="1">IFERROR(__xludf.DUMMYFUNCTION("VLOOKUP(G2, IMPORTRANGE(""https://docs.google.com/spreadsheets/d/14deopnvwcrKtEGCKuYXdUHJbeLDZlkiSSWWT0g7x2pM/edit#gid=849066331"", ""LU List Science (Filter)!A:B""), 2, FALSE)"),"Essential life processes in living organisms")</f>
        <v>Essential life processes in living organisms</v>
      </c>
      <c r="I2" s="55" t="str">
        <f t="shared" ref="I2:I152" si="0">G2 &amp; ".001"</f>
        <v>LU006445.001</v>
      </c>
      <c r="J2" s="55" t="str">
        <f ca="1">IFERROR(__xludf.DUMMYFUNCTION("VLOOKUP(I2, IMPORTRANGE(""https://docs.google.com/spreadsheets/d/1yDAaXNsi4Mr5FtRQL4tbmSdIzhx6_m4wkOD7IG-k_eo/edit#gid=1336395716"", ""Science!M:N""), 2, FALSE)"),"(LU006445.001); Default - Remember")</f>
        <v>(LU006445.001); Default - Remember</v>
      </c>
      <c r="K2" s="55" t="str">
        <f t="shared" ref="K2:K152" si="1">G2 &amp; ".002"</f>
        <v>LU006445.002</v>
      </c>
      <c r="L2" s="55" t="str">
        <f ca="1">IFERROR(__xludf.DUMMYFUNCTION("VLOOKUP(K2, IMPORTRANGE(""https://docs.google.com/spreadsheets/d/1yDAaXNsi4Mr5FtRQL4tbmSdIzhx6_m4wkOD7IG-k_eo/edit#gid=1336395716"", ""Science!M:N""), 2, FALSE)"),"(LU006445.002); Default - Understand")</f>
        <v>(LU006445.002); Default - Understand</v>
      </c>
      <c r="M2" s="55" t="str">
        <f t="shared" ref="M2:M152" si="2">G2 &amp; ".003"</f>
        <v>LU006445.003</v>
      </c>
      <c r="N2" s="55" t="str">
        <f ca="1">IFERROR(__xludf.DUMMYFUNCTION("VLOOKUP(M2, IMPORTRANGE(""https://docs.google.com/spreadsheets/d/1yDAaXNsi4Mr5FtRQL4tbmSdIzhx6_m4wkOD7IG-k_eo/edit#gid=1336395716"", ""Science!M:N""), 2, FALSE)"),"(LU006445.003); Default - Apply")</f>
        <v>(LU006445.003); Default - Apply</v>
      </c>
      <c r="O2" s="55" t="str">
        <f t="shared" ref="O2:O152" si="3">G2 &amp; ".004"</f>
        <v>LU006445.004</v>
      </c>
      <c r="P2" s="55" t="str">
        <f ca="1">IFERROR(__xludf.DUMMYFUNCTION("VLOOKUP(O2, IMPORTRANGE(""https://docs.google.com/spreadsheets/d/1yDAaXNsi4Mr5FtRQL4tbmSdIzhx6_m4wkOD7IG-k_eo/edit#gid=1336395716"", ""Science!M:N""), 2, FALSE)"),"(LU006445.004); Default - Analyse")</f>
        <v>(LU006445.004); Default - Analyse</v>
      </c>
      <c r="Q2" s="55" t="str">
        <f t="shared" ref="Q2:Q152" si="4">G2 &amp; ".005"</f>
        <v>LU006445.005</v>
      </c>
      <c r="R2" s="55" t="str">
        <f ca="1">IFERROR(__xludf.DUMMYFUNCTION("VLOOKUP(Q2, IMPORTRANGE(""https://docs.google.com/spreadsheets/d/1yDAaXNsi4Mr5FtRQL4tbmSdIzhx6_m4wkOD7IG-k_eo/edit#gid=1336395716"", ""Science!M:N""), 2, FALSE)"),"(LU006445.005); Default - Evaluate")</f>
        <v>(LU006445.005); Default - Evaluate</v>
      </c>
      <c r="S2" s="55" t="str">
        <f t="shared" ref="S2:S152" si="5">G2 &amp; ".006"</f>
        <v>LU006445.006</v>
      </c>
      <c r="T2" s="55" t="str">
        <f ca="1">IFERROR(__xludf.DUMMYFUNCTION("VLOOKUP(S2, IMPORTRANGE(""https://docs.google.com/spreadsheets/d/1yDAaXNsi4Mr5FtRQL4tbmSdIzhx6_m4wkOD7IG-k_eo/edit#gid=1336395716"", ""Science!M:N""), 2, FALSE)"),"(LU006445.006); Default - Create")</f>
        <v>(LU006445.006); Default - Create</v>
      </c>
      <c r="U2" s="137" t="str">
        <f ca="1">IFERROR(__xludf.DUMMYFUNCTION("ArrayFormula(VLOOKUP(G2, IMPORTRANGE(""https://docs.google.com/spreadsheets/d/1p7R4vtkWt5VOBim4ltsDG9KTzSjrtKXsMtQGXPHyND0/edit#gid=795171502"", ""'Filter 30_05_2024'!A1:M2000""), {2, 3, 4, 5,6,7,8,9,10,11,12,13}, 0))"),"#N/A")</f>
        <v>#N/A</v>
      </c>
      <c r="V2" s="137" t="str">
        <f ca="1">IFERROR(__xludf.DUMMYFUNCTION("""COMPUTED_VALUE"""),"#N/A")</f>
        <v>#N/A</v>
      </c>
      <c r="W2" s="137" t="str">
        <f ca="1">IFERROR(__xludf.DUMMYFUNCTION("""COMPUTED_VALUE"""),"#N/A")</f>
        <v>#N/A</v>
      </c>
      <c r="X2" s="137" t="str">
        <f ca="1">IFERROR(__xludf.DUMMYFUNCTION("""COMPUTED_VALUE"""),"#N/A")</f>
        <v>#N/A</v>
      </c>
      <c r="Y2" s="137" t="str">
        <f ca="1">IFERROR(__xludf.DUMMYFUNCTION("""COMPUTED_VALUE"""),"#N/A")</f>
        <v>#N/A</v>
      </c>
      <c r="Z2" s="138" t="str">
        <f ca="1">IFERROR(__xludf.DUMMYFUNCTION("""COMPUTED_VALUE"""),"#N/A")</f>
        <v>#N/A</v>
      </c>
      <c r="AA2" s="138" t="str">
        <f ca="1">IFERROR(__xludf.DUMMYFUNCTION("""COMPUTED_VALUE"""),"#N/A")</f>
        <v>#N/A</v>
      </c>
      <c r="AB2" s="138" t="str">
        <f ca="1">IFERROR(__xludf.DUMMYFUNCTION("""COMPUTED_VALUE"""),"#N/A")</f>
        <v>#N/A</v>
      </c>
      <c r="AC2" s="138" t="str">
        <f ca="1">IFERROR(__xludf.DUMMYFUNCTION("""COMPUTED_VALUE"""),"#N/A")</f>
        <v>#N/A</v>
      </c>
      <c r="AD2" s="138" t="str">
        <f ca="1">IFERROR(__xludf.DUMMYFUNCTION("""COMPUTED_VALUE"""),"#N/A")</f>
        <v>#N/A</v>
      </c>
      <c r="AE2" s="138" t="str">
        <f ca="1">IFERROR(__xludf.DUMMYFUNCTION("""COMPUTED_VALUE"""),"#N/A")</f>
        <v>#N/A</v>
      </c>
      <c r="AF2" s="138" t="str">
        <f ca="1">IFERROR(__xludf.DUMMYFUNCTION("""COMPUTED_VALUE"""),"#N/A")</f>
        <v>#N/A</v>
      </c>
      <c r="AG2" s="138" t="str">
        <f ca="1">IFERROR(__xludf.DUMMYFUNCTION("ArrayFormula(VLOOKUP(G2, IMPORTRANGE(""https://docs.google.com/spreadsheets/d/1Co934fvtviyaRiMsrIlT05Jaq7iiYq07aLvRr35KA48/edit?gid=173865642#gid=173865642"", ""'G10_Sci_Pri_LU'!G2:V2000""), {3, 4, 5, 6, 7, 8, 9, 10, 11, 12, 13, 14, 15, 16}, 0))"),"LU006083")</f>
        <v>LU006083</v>
      </c>
      <c r="AH2" s="138" t="str">
        <f ca="1">IFERROR(__xludf.DUMMYFUNCTION("""COMPUTED_VALUE"""),"Living things show movement and respond to stimuli")</f>
        <v>Living things show movement and respond to stimuli</v>
      </c>
      <c r="AI2" s="138" t="str">
        <f ca="1">IFERROR(__xludf.DUMMYFUNCTION("""COMPUTED_VALUE"""),"LU006084")</f>
        <v>LU006084</v>
      </c>
      <c r="AJ2" s="138" t="str">
        <f ca="1">IFERROR(__xludf.DUMMYFUNCTION("""COMPUTED_VALUE"""),"Living things need food, energy through respiration and excrete waste")</f>
        <v>Living things need food, energy through respiration and excrete waste</v>
      </c>
      <c r="AK2" s="138" t="str">
        <f ca="1">IFERROR(__xludf.DUMMYFUNCTION("""COMPUTED_VALUE"""),"LU006197")</f>
        <v>LU006197</v>
      </c>
      <c r="AL2" s="138" t="str">
        <f ca="1">IFERROR(__xludf.DUMMYFUNCTION("""COMPUTED_VALUE"""),"Particles are Continuously Moving(concept of diffusion)")</f>
        <v>Particles are Continuously Moving(concept of diffusion)</v>
      </c>
      <c r="AM2" s="138"/>
      <c r="AN2" s="138"/>
      <c r="AO2" s="138"/>
      <c r="AP2" s="138"/>
      <c r="AQ2" s="138"/>
      <c r="AR2" s="138"/>
      <c r="AS2" s="138"/>
      <c r="AT2" s="138"/>
    </row>
    <row r="3" spans="1:46">
      <c r="A3" s="54" t="s">
        <v>247</v>
      </c>
      <c r="B3" s="55" t="s">
        <v>47</v>
      </c>
      <c r="C3" s="55" t="s">
        <v>1172</v>
      </c>
      <c r="D3" s="55" t="s">
        <v>2463</v>
      </c>
      <c r="E3" s="55" t="s">
        <v>2464</v>
      </c>
      <c r="F3" s="136" t="s">
        <v>2467</v>
      </c>
      <c r="G3" s="55" t="s">
        <v>2468</v>
      </c>
      <c r="H3" s="54" t="str">
        <f ca="1">IFERROR(__xludf.DUMMYFUNCTION("VLOOKUP(G3, IMPORTRANGE(""https://docs.google.com/spreadsheets/d/14deopnvwcrKtEGCKuYXdUHJbeLDZlkiSSWWT0g7x2pM/edit#gid=849066331"", ""LU List Science (Filter)!A:B""), 2, FALSE)"),"Autotrophic mode of nutrition")</f>
        <v>Autotrophic mode of nutrition</v>
      </c>
      <c r="I3" s="55" t="str">
        <f t="shared" si="0"/>
        <v>LU006446.001</v>
      </c>
      <c r="J3" s="55" t="str">
        <f ca="1">IFERROR(__xludf.DUMMYFUNCTION("VLOOKUP(I3, IMPORTRANGE(""https://docs.google.com/spreadsheets/d/1yDAaXNsi4Mr5FtRQL4tbmSdIzhx6_m4wkOD7IG-k_eo/edit#gid=1336395716"", ""Science!M:N""), 2, FALSE)"),"(LU006446.001); Default - Remember")</f>
        <v>(LU006446.001); Default - Remember</v>
      </c>
      <c r="K3" s="55" t="str">
        <f t="shared" si="1"/>
        <v>LU006446.002</v>
      </c>
      <c r="L3" s="55" t="str">
        <f ca="1">IFERROR(__xludf.DUMMYFUNCTION("VLOOKUP(K3, IMPORTRANGE(""https://docs.google.com/spreadsheets/d/1yDAaXNsi4Mr5FtRQL4tbmSdIzhx6_m4wkOD7IG-k_eo/edit#gid=1336395716"", ""Science!M:N""), 2, FALSE)"),"(LU006446.002); Default - Understand")</f>
        <v>(LU006446.002); Default - Understand</v>
      </c>
      <c r="M3" s="55" t="str">
        <f t="shared" si="2"/>
        <v>LU006446.003</v>
      </c>
      <c r="N3" s="55" t="str">
        <f ca="1">IFERROR(__xludf.DUMMYFUNCTION("VLOOKUP(M3, IMPORTRANGE(""https://docs.google.com/spreadsheets/d/1yDAaXNsi4Mr5FtRQL4tbmSdIzhx6_m4wkOD7IG-k_eo/edit#gid=1336395716"", ""Science!M:N""), 2, FALSE)"),"(LU006446.003); Default - Apply")</f>
        <v>(LU006446.003); Default - Apply</v>
      </c>
      <c r="O3" s="55" t="str">
        <f t="shared" si="3"/>
        <v>LU006446.004</v>
      </c>
      <c r="P3" s="55" t="str">
        <f ca="1">IFERROR(__xludf.DUMMYFUNCTION("VLOOKUP(O3, IMPORTRANGE(""https://docs.google.com/spreadsheets/d/1yDAaXNsi4Mr5FtRQL4tbmSdIzhx6_m4wkOD7IG-k_eo/edit#gid=1336395716"", ""Science!M:N""), 2, FALSE)"),"(LU006446.004); Default - Analyse")</f>
        <v>(LU006446.004); Default - Analyse</v>
      </c>
      <c r="Q3" s="55" t="str">
        <f t="shared" si="4"/>
        <v>LU006446.005</v>
      </c>
      <c r="R3" s="55" t="str">
        <f ca="1">IFERROR(__xludf.DUMMYFUNCTION("VLOOKUP(Q3, IMPORTRANGE(""https://docs.google.com/spreadsheets/d/1yDAaXNsi4Mr5FtRQL4tbmSdIzhx6_m4wkOD7IG-k_eo/edit#gid=1336395716"", ""Science!M:N""), 2, FALSE)"),"(LU006446.005); Default - Evaluate")</f>
        <v>(LU006446.005); Default - Evaluate</v>
      </c>
      <c r="S3" s="55" t="str">
        <f t="shared" si="5"/>
        <v>LU006446.006</v>
      </c>
      <c r="T3" s="55" t="str">
        <f ca="1">IFERROR(__xludf.DUMMYFUNCTION("VLOOKUP(S3, IMPORTRANGE(""https://docs.google.com/spreadsheets/d/1yDAaXNsi4Mr5FtRQL4tbmSdIzhx6_m4wkOD7IG-k_eo/edit#gid=1336395716"", ""Science!M:N""), 2, FALSE)"),"(LU006446.006); Default - Create")</f>
        <v>(LU006446.006); Default - Create</v>
      </c>
      <c r="U3" s="137" t="str">
        <f ca="1">IFERROR(__xludf.DUMMYFUNCTION("ArrayFormula(VLOOKUP(G3, IMPORTRANGE(""https://docs.google.com/spreadsheets/d/1p7R4vtkWt5VOBim4ltsDG9KTzSjrtKXsMtQGXPHyND0/edit#gid=795171502"", ""'Filter 30_05_2024'!A1:M2000""), {2, 3, 4, 5,6,7,8,9,10,11,12,13}, 0))"),"#N/A")</f>
        <v>#N/A</v>
      </c>
      <c r="V3" s="137" t="str">
        <f ca="1">IFERROR(__xludf.DUMMYFUNCTION("""COMPUTED_VALUE"""),"#N/A")</f>
        <v>#N/A</v>
      </c>
      <c r="W3" s="137" t="str">
        <f ca="1">IFERROR(__xludf.DUMMYFUNCTION("""COMPUTED_VALUE"""),"#N/A")</f>
        <v>#N/A</v>
      </c>
      <c r="X3" s="137" t="str">
        <f ca="1">IFERROR(__xludf.DUMMYFUNCTION("""COMPUTED_VALUE"""),"#N/A")</f>
        <v>#N/A</v>
      </c>
      <c r="Y3" s="137" t="str">
        <f ca="1">IFERROR(__xludf.DUMMYFUNCTION("""COMPUTED_VALUE"""),"#N/A")</f>
        <v>#N/A</v>
      </c>
      <c r="Z3" s="138" t="str">
        <f ca="1">IFERROR(__xludf.DUMMYFUNCTION("""COMPUTED_VALUE"""),"#N/A")</f>
        <v>#N/A</v>
      </c>
      <c r="AA3" s="138" t="str">
        <f ca="1">IFERROR(__xludf.DUMMYFUNCTION("""COMPUTED_VALUE"""),"#N/A")</f>
        <v>#N/A</v>
      </c>
      <c r="AB3" s="138" t="str">
        <f ca="1">IFERROR(__xludf.DUMMYFUNCTION("""COMPUTED_VALUE"""),"#N/A")</f>
        <v>#N/A</v>
      </c>
      <c r="AC3" s="138" t="str">
        <f ca="1">IFERROR(__xludf.DUMMYFUNCTION("""COMPUTED_VALUE"""),"#N/A")</f>
        <v>#N/A</v>
      </c>
      <c r="AD3" s="138" t="str">
        <f ca="1">IFERROR(__xludf.DUMMYFUNCTION("""COMPUTED_VALUE"""),"#N/A")</f>
        <v>#N/A</v>
      </c>
      <c r="AE3" s="138" t="str">
        <f ca="1">IFERROR(__xludf.DUMMYFUNCTION("""COMPUTED_VALUE"""),"#N/A")</f>
        <v>#N/A</v>
      </c>
      <c r="AF3" s="138" t="str">
        <f ca="1">IFERROR(__xludf.DUMMYFUNCTION("""COMPUTED_VALUE"""),"#N/A")</f>
        <v>#N/A</v>
      </c>
      <c r="AG3" s="138" t="str">
        <f ca="1">IFERROR(__xludf.DUMMYFUNCTION("ArrayFormula(VLOOKUP(G3, IMPORTRANGE(""https://docs.google.com/spreadsheets/d/1Co934fvtviyaRiMsrIlT05Jaq7iiYq07aLvRr35KA48/edit?gid=173865642#gid=173865642"", ""'G10_Sci_Pri_LU'!G2:V2000""), {3, 4, 5, 6, 7, 8, 9, 10, 11, 12, 13, 14, 15, 16}, 0))"),"LU005408")</f>
        <v>LU005408</v>
      </c>
      <c r="AH3" s="138" t="str">
        <f ca="1">IFERROR(__xludf.DUMMYFUNCTION("""COMPUTED_VALUE"""),"Elements in the Photosynthesis(stomata, vessels, pigments)")</f>
        <v>Elements in the Photosynthesis(stomata, vessels, pigments)</v>
      </c>
      <c r="AI3" s="138" t="str">
        <f ca="1">IFERROR(__xludf.DUMMYFUNCTION("""COMPUTED_VALUE"""),"LU005944")</f>
        <v>LU005944</v>
      </c>
      <c r="AJ3" s="138" t="str">
        <f ca="1">IFERROR(__xludf.DUMMYFUNCTION("""COMPUTED_VALUE"""),"Introduction to photosynthesis process in plants")</f>
        <v>Introduction to photosynthesis process in plants</v>
      </c>
      <c r="AK3" s="138"/>
      <c r="AL3" s="138"/>
      <c r="AM3" s="138"/>
      <c r="AN3" s="138"/>
      <c r="AO3" s="138"/>
      <c r="AP3" s="138"/>
      <c r="AQ3" s="138"/>
      <c r="AR3" s="138"/>
      <c r="AS3" s="138"/>
      <c r="AT3" s="138"/>
    </row>
    <row r="4" spans="1:46">
      <c r="A4" s="54" t="s">
        <v>247</v>
      </c>
      <c r="B4" s="55" t="s">
        <v>47</v>
      </c>
      <c r="C4" s="55" t="s">
        <v>1172</v>
      </c>
      <c r="D4" s="55" t="s">
        <v>2463</v>
      </c>
      <c r="E4" s="55" t="s">
        <v>2464</v>
      </c>
      <c r="F4" s="136" t="s">
        <v>2469</v>
      </c>
      <c r="G4" s="55" t="s">
        <v>2470</v>
      </c>
      <c r="H4" s="54" t="str">
        <f ca="1">IFERROR(__xludf.DUMMYFUNCTION("VLOOKUP(G4, IMPORTRANGE(""https://docs.google.com/spreadsheets/d/14deopnvwcrKtEGCKuYXdUHJbeLDZlkiSSWWT0g7x2pM/edit#gid=849066331"", ""LU List Science (Filter)!A:B""), 2, FALSE)"),"Heterotrophic mode of nutrition")</f>
        <v>Heterotrophic mode of nutrition</v>
      </c>
      <c r="I4" s="55" t="str">
        <f t="shared" si="0"/>
        <v>LU006447.001</v>
      </c>
      <c r="J4" s="55" t="str">
        <f ca="1">IFERROR(__xludf.DUMMYFUNCTION("VLOOKUP(I4, IMPORTRANGE(""https://docs.google.com/spreadsheets/d/1yDAaXNsi4Mr5FtRQL4tbmSdIzhx6_m4wkOD7IG-k_eo/edit#gid=1336395716"", ""Science!M:N""), 2, FALSE)"),"(LU006447.001); Default - Remember")</f>
        <v>(LU006447.001); Default - Remember</v>
      </c>
      <c r="K4" s="55" t="str">
        <f t="shared" si="1"/>
        <v>LU006447.002</v>
      </c>
      <c r="L4" s="55" t="str">
        <f ca="1">IFERROR(__xludf.DUMMYFUNCTION("VLOOKUP(K4, IMPORTRANGE(""https://docs.google.com/spreadsheets/d/1yDAaXNsi4Mr5FtRQL4tbmSdIzhx6_m4wkOD7IG-k_eo/edit#gid=1336395716"", ""Science!M:N""), 2, FALSE)"),"(LU006447.002); Default - Understand")</f>
        <v>(LU006447.002); Default - Understand</v>
      </c>
      <c r="M4" s="55" t="str">
        <f t="shared" si="2"/>
        <v>LU006447.003</v>
      </c>
      <c r="N4" s="55" t="str">
        <f ca="1">IFERROR(__xludf.DUMMYFUNCTION("VLOOKUP(M4, IMPORTRANGE(""https://docs.google.com/spreadsheets/d/1yDAaXNsi4Mr5FtRQL4tbmSdIzhx6_m4wkOD7IG-k_eo/edit#gid=1336395716"", ""Science!M:N""), 2, FALSE)"),"(LU006447.003); Default - Apply")</f>
        <v>(LU006447.003); Default - Apply</v>
      </c>
      <c r="O4" s="55" t="str">
        <f t="shared" si="3"/>
        <v>LU006447.004</v>
      </c>
      <c r="P4" s="55" t="str">
        <f ca="1">IFERROR(__xludf.DUMMYFUNCTION("VLOOKUP(O4, IMPORTRANGE(""https://docs.google.com/spreadsheets/d/1yDAaXNsi4Mr5FtRQL4tbmSdIzhx6_m4wkOD7IG-k_eo/edit#gid=1336395716"", ""Science!M:N""), 2, FALSE)"),"(LU006447.004); Default - Analyse")</f>
        <v>(LU006447.004); Default - Analyse</v>
      </c>
      <c r="Q4" s="55" t="str">
        <f t="shared" si="4"/>
        <v>LU006447.005</v>
      </c>
      <c r="R4" s="55" t="str">
        <f ca="1">IFERROR(__xludf.DUMMYFUNCTION("VLOOKUP(Q4, IMPORTRANGE(""https://docs.google.com/spreadsheets/d/1yDAaXNsi4Mr5FtRQL4tbmSdIzhx6_m4wkOD7IG-k_eo/edit#gid=1336395716"", ""Science!M:N""), 2, FALSE)"),"(LU006447.005); Default - Evaluate")</f>
        <v>(LU006447.005); Default - Evaluate</v>
      </c>
      <c r="S4" s="55" t="str">
        <f t="shared" si="5"/>
        <v>LU006447.006</v>
      </c>
      <c r="T4" s="55" t="str">
        <f ca="1">IFERROR(__xludf.DUMMYFUNCTION("VLOOKUP(S4, IMPORTRANGE(""https://docs.google.com/spreadsheets/d/1yDAaXNsi4Mr5FtRQL4tbmSdIzhx6_m4wkOD7IG-k_eo/edit#gid=1336395716"", ""Science!M:N""), 2, FALSE)"),"(LU006447.006); Default - Create")</f>
        <v>(LU006447.006); Default - Create</v>
      </c>
      <c r="U4" s="137" t="str">
        <f ca="1">IFERROR(__xludf.DUMMYFUNCTION("ArrayFormula(VLOOKUP(G4, IMPORTRANGE(""https://docs.google.com/spreadsheets/d/1p7R4vtkWt5VOBim4ltsDG9KTzSjrtKXsMtQGXPHyND0/edit#gid=795171502"", ""'Filter 30_05_2024'!A1:M2000""), {2, 3, 4, 5,6,7,8,9,10,11,12,13}, 0))"),"#N/A")</f>
        <v>#N/A</v>
      </c>
      <c r="V4" s="137" t="str">
        <f ca="1">IFERROR(__xludf.DUMMYFUNCTION("""COMPUTED_VALUE"""),"#N/A")</f>
        <v>#N/A</v>
      </c>
      <c r="W4" s="137" t="str">
        <f ca="1">IFERROR(__xludf.DUMMYFUNCTION("""COMPUTED_VALUE"""),"#N/A")</f>
        <v>#N/A</v>
      </c>
      <c r="X4" s="137" t="str">
        <f ca="1">IFERROR(__xludf.DUMMYFUNCTION("""COMPUTED_VALUE"""),"#N/A")</f>
        <v>#N/A</v>
      </c>
      <c r="Y4" s="137" t="str">
        <f ca="1">IFERROR(__xludf.DUMMYFUNCTION("""COMPUTED_VALUE"""),"#N/A")</f>
        <v>#N/A</v>
      </c>
      <c r="Z4" s="138" t="str">
        <f ca="1">IFERROR(__xludf.DUMMYFUNCTION("""COMPUTED_VALUE"""),"#N/A")</f>
        <v>#N/A</v>
      </c>
      <c r="AA4" s="138" t="str">
        <f ca="1">IFERROR(__xludf.DUMMYFUNCTION("""COMPUTED_VALUE"""),"#N/A")</f>
        <v>#N/A</v>
      </c>
      <c r="AB4" s="138" t="str">
        <f ca="1">IFERROR(__xludf.DUMMYFUNCTION("""COMPUTED_VALUE"""),"#N/A")</f>
        <v>#N/A</v>
      </c>
      <c r="AC4" s="138" t="str">
        <f ca="1">IFERROR(__xludf.DUMMYFUNCTION("""COMPUTED_VALUE"""),"#N/A")</f>
        <v>#N/A</v>
      </c>
      <c r="AD4" s="138" t="str">
        <f ca="1">IFERROR(__xludf.DUMMYFUNCTION("""COMPUTED_VALUE"""),"#N/A")</f>
        <v>#N/A</v>
      </c>
      <c r="AE4" s="138" t="str">
        <f ca="1">IFERROR(__xludf.DUMMYFUNCTION("""COMPUTED_VALUE"""),"#N/A")</f>
        <v>#N/A</v>
      </c>
      <c r="AF4" s="138" t="str">
        <f ca="1">IFERROR(__xludf.DUMMYFUNCTION("""COMPUTED_VALUE"""),"#N/A")</f>
        <v>#N/A</v>
      </c>
      <c r="AG4" s="138" t="str">
        <f ca="1">IFERROR(__xludf.DUMMYFUNCTION("ArrayFormula(VLOOKUP(G4, IMPORTRANGE(""https://docs.google.com/spreadsheets/d/1Co934fvtviyaRiMsrIlT05Jaq7iiYq07aLvRr35KA48/edit?gid=173865642#gid=173865642"", ""'G10_Sci_Pri_LU'!G2:V2000""), {3, 4, 5, 6, 7, 8, 9, 10, 11, 12, 13, 14, 15, 16}, 0))"),"LU005411")</f>
        <v>LU005411</v>
      </c>
      <c r="AH4" s="138" t="str">
        <f ca="1">IFERROR(__xludf.DUMMYFUNCTION("""COMPUTED_VALUE"""),"Saprotrophic mode of nutrition")</f>
        <v>Saprotrophic mode of nutrition</v>
      </c>
      <c r="AI4" s="138" t="str">
        <f ca="1">IFERROR(__xludf.DUMMYFUNCTION("""COMPUTED_VALUE"""),"LU005396")</f>
        <v>LU005396</v>
      </c>
      <c r="AJ4" s="138" t="str">
        <f ca="1">IFERROR(__xludf.DUMMYFUNCTION("""COMPUTED_VALUE"""),"Feeding, Digestion and Egestion in Amoeba")</f>
        <v>Feeding, Digestion and Egestion in Amoeba</v>
      </c>
      <c r="AK4" s="138"/>
      <c r="AL4" s="138"/>
      <c r="AM4" s="138"/>
      <c r="AN4" s="138"/>
      <c r="AO4" s="138"/>
      <c r="AP4" s="138"/>
      <c r="AQ4" s="138"/>
      <c r="AR4" s="138"/>
      <c r="AS4" s="138"/>
      <c r="AT4" s="138"/>
    </row>
    <row r="5" spans="1:46">
      <c r="A5" s="54" t="s">
        <v>247</v>
      </c>
      <c r="B5" s="55" t="s">
        <v>47</v>
      </c>
      <c r="C5" s="55" t="s">
        <v>1172</v>
      </c>
      <c r="D5" s="55" t="s">
        <v>2463</v>
      </c>
      <c r="E5" s="55" t="s">
        <v>2464</v>
      </c>
      <c r="F5" s="55" t="s">
        <v>2471</v>
      </c>
      <c r="G5" s="139" t="s">
        <v>1828</v>
      </c>
      <c r="H5" s="140" t="str">
        <f ca="1">IFERROR(__xludf.DUMMYFUNCTION("VLOOKUP(G5, IMPORTRANGE(""https://docs.google.com/spreadsheets/d/14deopnvwcrKtEGCKuYXdUHJbeLDZlkiSSWWT0g7x2pM/edit#gid=849066331"", ""LU List Science (Filter)!A:B""), 2, FALSE)"),"Definition of human digestive system")</f>
        <v>Definition of human digestive system</v>
      </c>
      <c r="I5" s="55" t="str">
        <f t="shared" si="0"/>
        <v>LU005391.001</v>
      </c>
      <c r="J5" s="55" t="str">
        <f ca="1">IFERROR(__xludf.DUMMYFUNCTION("VLOOKUP(I5, IMPORTRANGE(""https://docs.google.com/spreadsheets/d/1yDAaXNsi4Mr5FtRQL4tbmSdIzhx6_m4wkOD7IG-k_eo/edit#gid=1336395716"", ""Science!M:N""), 2, FALSE)"),"Recall/Identify and state the definition of the human digestive system.")</f>
        <v>Recall/Identify and state the definition of the human digestive system.</v>
      </c>
      <c r="K5" s="55" t="str">
        <f t="shared" si="1"/>
        <v>LU005391.002</v>
      </c>
      <c r="L5" s="55" t="str">
        <f ca="1">IFERROR(__xludf.DUMMYFUNCTION("VLOOKUP(K5, IMPORTRANGE(""https://docs.google.com/spreadsheets/d/1yDAaXNsi4Mr5FtRQL4tbmSdIzhx6_m4wkOD7IG-k_eo/edit#gid=1336395716"", ""Science!M:N""), 2, FALSE)"),"Understand the concept of the human digestive system as a coordinated network of organs, including the mouth, esophagus, stomach, small intestine, large intestine, and associated glands, working together to process food and extract nutrients.")</f>
        <v>Understand the concept of the human digestive system as a coordinated network of organs, including the mouth, esophagus, stomach, small intestine, large intestine, and associated glands, working together to process food and extract nutrients.</v>
      </c>
      <c r="M5" s="55" t="str">
        <f t="shared" si="2"/>
        <v>LU005391.003</v>
      </c>
      <c r="N5" s="55" t="str">
        <f ca="1">IFERROR(__xludf.DUMMYFUNCTION("VLOOKUP(M5, IMPORTRANGE(""https://docs.google.com/spreadsheets/d/1yDAaXNsi4Mr5FtRQL4tbmSdIzhx6_m4wkOD7IG-k_eo/edit#gid=1336395716"", ""Science!M:N""), 2, FALSE)"),"Apply knowledge of the human digestive system to describe the functions of its individual components.")</f>
        <v>Apply knowledge of the human digestive system to describe the functions of its individual components.</v>
      </c>
      <c r="O5" s="55" t="str">
        <f t="shared" si="3"/>
        <v>LU005391.004</v>
      </c>
      <c r="P5" s="55" t="str">
        <f ca="1">IFERROR(__xludf.DUMMYFUNCTION("VLOOKUP(O5, IMPORTRANGE(""https://docs.google.com/spreadsheets/d/1yDAaXNsi4Mr5FtRQL4tbmSdIzhx6_m4wkOD7IG-k_eo/edit#gid=1336395716"", ""Science!M:N""), 2, FALSE)"),"Analyze the sequential flow of food through the human digestive system, identifying the key processes that occur at each stage and how the various parts work in harmony.")</f>
        <v>Analyze the sequential flow of food through the human digestive system, identifying the key processes that occur at each stage and how the various parts work in harmony.</v>
      </c>
      <c r="Q5" s="55" t="str">
        <f t="shared" si="4"/>
        <v>LU005391.005</v>
      </c>
      <c r="R5" s="55" t="str">
        <f ca="1">IFERROR(__xludf.DUMMYFUNCTION("VLOOKUP(Q5, IMPORTRANGE(""https://docs.google.com/spreadsheets/d/1yDAaXNsi4Mr5FtRQL4tbmSdIzhx6_m4wkOD7IG-k_eo/edit#gid=1336395716"", ""Science!M:N""), 2, FALSE)"),"Evaluate the significance of the human digestive system for overall health and well-being, discussing how its efficient functioning contributes to energy production, growth, and maintenance of bodily functions.")</f>
        <v>Evaluate the significance of the human digestive system for overall health and well-being, discussing how its efficient functioning contributes to energy production, growth, and maintenance of bodily functions.</v>
      </c>
      <c r="S5" s="55" t="str">
        <f t="shared" si="5"/>
        <v>LU005391.006</v>
      </c>
      <c r="T5" s="55" t="str">
        <f ca="1">IFERROR(__xludf.DUMMYFUNCTION("VLOOKUP(S5, IMPORTRANGE(""https://docs.google.com/spreadsheets/d/1yDAaXNsi4Mr5FtRQL4tbmSdIzhx6_m4wkOD7IG-k_eo/edit#gid=1336395716"", ""Science!M:N""), 2, FALSE)"),"#N/A")</f>
        <v>#N/A</v>
      </c>
      <c r="U5" s="137">
        <f ca="1">IFERROR(__xludf.DUMMYFUNCTION("ArrayFormula(VLOOKUP(G5, IMPORTRANGE(""https://docs.google.com/spreadsheets/d/1p7R4vtkWt5VOBim4ltsDG9KTzSjrtKXsMtQGXPHyND0/edit#gid=795171502"", ""'Filter 30_05_2024'!A1:M2000""), {2, 3, 4, 5,6,7,8,9,10,11,12,13}, 0))"),16)</f>
        <v>16</v>
      </c>
      <c r="V5" s="137">
        <f ca="1">IFERROR(__xludf.DUMMYFUNCTION("""COMPUTED_VALUE"""),21)</f>
        <v>21</v>
      </c>
      <c r="W5" s="137">
        <f ca="1">IFERROR(__xludf.DUMMYFUNCTION("""COMPUTED_VALUE"""),2)</f>
        <v>2</v>
      </c>
      <c r="X5" s="137">
        <f ca="1">IFERROR(__xludf.DUMMYFUNCTION("""COMPUTED_VALUE"""),39)</f>
        <v>39</v>
      </c>
      <c r="Y5" s="137">
        <f ca="1">IFERROR(__xludf.DUMMYFUNCTION("""COMPUTED_VALUE"""),8)</f>
        <v>8</v>
      </c>
      <c r="Z5" s="138">
        <f ca="1">IFERROR(__xludf.DUMMYFUNCTION("""COMPUTED_VALUE"""),6)</f>
        <v>6</v>
      </c>
      <c r="AA5" s="138">
        <f ca="1">IFERROR(__xludf.DUMMYFUNCTION("""COMPUTED_VALUE"""),1)</f>
        <v>1</v>
      </c>
      <c r="AB5" s="138">
        <f ca="1">IFERROR(__xludf.DUMMYFUNCTION("""COMPUTED_VALUE"""),15)</f>
        <v>15</v>
      </c>
      <c r="AC5" s="138"/>
      <c r="AD5" s="138"/>
      <c r="AE5" s="138"/>
      <c r="AF5" s="138"/>
      <c r="AG5" s="138" t="str">
        <f ca="1">IFERROR(__xludf.DUMMYFUNCTION("ArrayFormula(VLOOKUP(G5, IMPORTRANGE(""https://docs.google.com/spreadsheets/d/1Co934fvtviyaRiMsrIlT05Jaq7iiYq07aLvRr35KA48/edit?gid=173865642#gid=173865642"", ""'G10_Sci_Pri_LU'!G2:V2000""), {3, 4, 5, 6, 7, 8, 9, 10, 11, 12, 13, 14, 15, 16}, 0))"),"LU005389")</f>
        <v>LU005389</v>
      </c>
      <c r="AH5" s="138" t="str">
        <f ca="1">IFERROR(__xludf.DUMMYFUNCTION("""COMPUTED_VALUE"""),"Ingestion, Digestion, Absorption, Assimilation, and Egestion")</f>
        <v>Ingestion, Digestion, Absorption, Assimilation, and Egestion</v>
      </c>
      <c r="AI5" s="138" t="str">
        <f ca="1">IFERROR(__xludf.DUMMYFUNCTION("""COMPUTED_VALUE"""),"LU005079")</f>
        <v>LU005079</v>
      </c>
      <c r="AJ5" s="138" t="str">
        <f ca="1">IFERROR(__xludf.DUMMYFUNCTION("""COMPUTED_VALUE"""),"Process of Digestion(scheme of the path of food through the body, role of saliva in digestion,  indicators of hunger exhibited by individuals)")</f>
        <v>Process of Digestion(scheme of the path of food through the body, role of saliva in digestion,  indicators of hunger exhibited by individuals)</v>
      </c>
      <c r="AK5" s="138" t="str">
        <f ca="1">IFERROR(__xludf.DUMMYFUNCTION("""COMPUTED_VALUE"""),"LU005214")</f>
        <v>LU005214</v>
      </c>
      <c r="AL5" s="138" t="str">
        <f ca="1">IFERROR(__xludf.DUMMYFUNCTION("""COMPUTED_VALUE"""),"Definition of nutrients, types, and their sources.")</f>
        <v>Definition of nutrients, types, and their sources.</v>
      </c>
      <c r="AM5" s="138"/>
      <c r="AN5" s="138"/>
      <c r="AO5" s="138"/>
      <c r="AP5" s="138"/>
      <c r="AQ5" s="138"/>
      <c r="AR5" s="138"/>
      <c r="AS5" s="138"/>
      <c r="AT5" s="138"/>
    </row>
    <row r="6" spans="1:46">
      <c r="A6" s="54" t="s">
        <v>247</v>
      </c>
      <c r="B6" s="55" t="s">
        <v>47</v>
      </c>
      <c r="C6" s="55" t="s">
        <v>1172</v>
      </c>
      <c r="D6" s="55" t="s">
        <v>2463</v>
      </c>
      <c r="E6" s="55" t="s">
        <v>2464</v>
      </c>
      <c r="F6" s="55" t="s">
        <v>2471</v>
      </c>
      <c r="G6" s="55" t="s">
        <v>2472</v>
      </c>
      <c r="H6" s="54" t="str">
        <f ca="1">IFERROR(__xludf.DUMMYFUNCTION("VLOOKUP(G6, IMPORTRANGE(""https://docs.google.com/spreadsheets/d/14deopnvwcrKtEGCKuYXdUHJbeLDZlkiSSWWT0g7x2pM/edit#gid=849066331"", ""LU List Science (Filter)!A:B""), 2, FALSE)"),"Digestion from mouth to stomach")</f>
        <v>Digestion from mouth to stomach</v>
      </c>
      <c r="I6" s="55" t="str">
        <f t="shared" si="0"/>
        <v>LU006448.001</v>
      </c>
      <c r="J6" s="55" t="str">
        <f ca="1">IFERROR(__xludf.DUMMYFUNCTION("VLOOKUP(I6, IMPORTRANGE(""https://docs.google.com/spreadsheets/d/1yDAaXNsi4Mr5FtRQL4tbmSdIzhx6_m4wkOD7IG-k_eo/edit#gid=1336395716"", ""Science!M:N""), 2, FALSE)"),"(LU006448.001); Default - Remember")</f>
        <v>(LU006448.001); Default - Remember</v>
      </c>
      <c r="K6" s="55" t="str">
        <f t="shared" si="1"/>
        <v>LU006448.002</v>
      </c>
      <c r="L6" s="55" t="str">
        <f ca="1">IFERROR(__xludf.DUMMYFUNCTION("VLOOKUP(K6, IMPORTRANGE(""https://docs.google.com/spreadsheets/d/1yDAaXNsi4Mr5FtRQL4tbmSdIzhx6_m4wkOD7IG-k_eo/edit#gid=1336395716"", ""Science!M:N""), 2, FALSE)"),"(LU006448.002); Default - Understand")</f>
        <v>(LU006448.002); Default - Understand</v>
      </c>
      <c r="M6" s="55" t="str">
        <f t="shared" si="2"/>
        <v>LU006448.003</v>
      </c>
      <c r="N6" s="55" t="str">
        <f ca="1">IFERROR(__xludf.DUMMYFUNCTION("VLOOKUP(M6, IMPORTRANGE(""https://docs.google.com/spreadsheets/d/1yDAaXNsi4Mr5FtRQL4tbmSdIzhx6_m4wkOD7IG-k_eo/edit#gid=1336395716"", ""Science!M:N""), 2, FALSE)"),"(LU006448.003); Default - Apply")</f>
        <v>(LU006448.003); Default - Apply</v>
      </c>
      <c r="O6" s="55" t="str">
        <f t="shared" si="3"/>
        <v>LU006448.004</v>
      </c>
      <c r="P6" s="55" t="str">
        <f ca="1">IFERROR(__xludf.DUMMYFUNCTION("VLOOKUP(O6, IMPORTRANGE(""https://docs.google.com/spreadsheets/d/1yDAaXNsi4Mr5FtRQL4tbmSdIzhx6_m4wkOD7IG-k_eo/edit#gid=1336395716"", ""Science!M:N""), 2, FALSE)"),"(LU006448.004); Default - Analyse")</f>
        <v>(LU006448.004); Default - Analyse</v>
      </c>
      <c r="Q6" s="55" t="str">
        <f t="shared" si="4"/>
        <v>LU006448.005</v>
      </c>
      <c r="R6" s="55" t="str">
        <f ca="1">IFERROR(__xludf.DUMMYFUNCTION("VLOOKUP(Q6, IMPORTRANGE(""https://docs.google.com/spreadsheets/d/1yDAaXNsi4Mr5FtRQL4tbmSdIzhx6_m4wkOD7IG-k_eo/edit#gid=1336395716"", ""Science!M:N""), 2, FALSE)"),"(LU006448.005); Default - Evaluate")</f>
        <v>(LU006448.005); Default - Evaluate</v>
      </c>
      <c r="S6" s="55" t="str">
        <f t="shared" si="5"/>
        <v>LU006448.006</v>
      </c>
      <c r="T6" s="55" t="str">
        <f ca="1">IFERROR(__xludf.DUMMYFUNCTION("VLOOKUP(S6, IMPORTRANGE(""https://docs.google.com/spreadsheets/d/1yDAaXNsi4Mr5FtRQL4tbmSdIzhx6_m4wkOD7IG-k_eo/edit#gid=1336395716"", ""Science!M:N""), 2, FALSE)"),"(LU006448.006); Default - Create")</f>
        <v>(LU006448.006); Default - Create</v>
      </c>
      <c r="U6" s="137" t="str">
        <f ca="1">IFERROR(__xludf.DUMMYFUNCTION("ArrayFormula(VLOOKUP(G6, IMPORTRANGE(""https://docs.google.com/spreadsheets/d/1p7R4vtkWt5VOBim4ltsDG9KTzSjrtKXsMtQGXPHyND0/edit#gid=795171502"", ""'Filter 30_05_2024'!A1:M2000""), {2, 3, 4, 5,6,7,8,9,10,11,12,13}, 0))"),"#N/A")</f>
        <v>#N/A</v>
      </c>
      <c r="V6" s="137" t="str">
        <f ca="1">IFERROR(__xludf.DUMMYFUNCTION("""COMPUTED_VALUE"""),"#N/A")</f>
        <v>#N/A</v>
      </c>
      <c r="W6" s="137" t="str">
        <f ca="1">IFERROR(__xludf.DUMMYFUNCTION("""COMPUTED_VALUE"""),"#N/A")</f>
        <v>#N/A</v>
      </c>
      <c r="X6" s="137" t="str">
        <f ca="1">IFERROR(__xludf.DUMMYFUNCTION("""COMPUTED_VALUE"""),"#N/A")</f>
        <v>#N/A</v>
      </c>
      <c r="Y6" s="137" t="str">
        <f ca="1">IFERROR(__xludf.DUMMYFUNCTION("""COMPUTED_VALUE"""),"#N/A")</f>
        <v>#N/A</v>
      </c>
      <c r="Z6" s="138" t="str">
        <f ca="1">IFERROR(__xludf.DUMMYFUNCTION("""COMPUTED_VALUE"""),"#N/A")</f>
        <v>#N/A</v>
      </c>
      <c r="AA6" s="138" t="str">
        <f ca="1">IFERROR(__xludf.DUMMYFUNCTION("""COMPUTED_VALUE"""),"#N/A")</f>
        <v>#N/A</v>
      </c>
      <c r="AB6" s="138" t="str">
        <f ca="1">IFERROR(__xludf.DUMMYFUNCTION("""COMPUTED_VALUE"""),"#N/A")</f>
        <v>#N/A</v>
      </c>
      <c r="AC6" s="138" t="str">
        <f ca="1">IFERROR(__xludf.DUMMYFUNCTION("""COMPUTED_VALUE"""),"#N/A")</f>
        <v>#N/A</v>
      </c>
      <c r="AD6" s="138" t="str">
        <f ca="1">IFERROR(__xludf.DUMMYFUNCTION("""COMPUTED_VALUE"""),"#N/A")</f>
        <v>#N/A</v>
      </c>
      <c r="AE6" s="138" t="str">
        <f ca="1">IFERROR(__xludf.DUMMYFUNCTION("""COMPUTED_VALUE"""),"#N/A")</f>
        <v>#N/A</v>
      </c>
      <c r="AF6" s="138" t="str">
        <f ca="1">IFERROR(__xludf.DUMMYFUNCTION("""COMPUTED_VALUE"""),"#N/A")</f>
        <v>#N/A</v>
      </c>
      <c r="AG6" s="138" t="str">
        <f ca="1">IFERROR(__xludf.DUMMYFUNCTION("ArrayFormula(VLOOKUP(G6, IMPORTRANGE(""https://docs.google.com/spreadsheets/d/1Co934fvtviyaRiMsrIlT05Jaq7iiYq07aLvRr35KA48/edit?gid=173865642#gid=173865642"", ""'G10_Sci_Pri_LU'!G2:V2000""), {3, 4, 5, 6, 7, 8, 9, 10, 11, 12, 13, 14, 15, 16}, 0))"),"LU005391")</f>
        <v>LU005391</v>
      </c>
      <c r="AH6" s="138" t="str">
        <f ca="1">IFERROR(__xludf.DUMMYFUNCTION("""COMPUTED_VALUE"""),"Definition of human digestive system")</f>
        <v>Definition of human digestive system</v>
      </c>
      <c r="AI6" s="138" t="str">
        <f ca="1">IFERROR(__xludf.DUMMYFUNCTION("""COMPUTED_VALUE"""),"LU005948")</f>
        <v>LU005948</v>
      </c>
      <c r="AJ6" s="138" t="str">
        <f ca="1">IFERROR(__xludf.DUMMYFUNCTION("""COMPUTED_VALUE"""),"Role of salivary glands in digestion")</f>
        <v>Role of salivary glands in digestion</v>
      </c>
      <c r="AK6" s="138" t="str">
        <f ca="1">IFERROR(__xludf.DUMMYFUNCTION("""COMPUTED_VALUE"""),"LU005950")</f>
        <v>LU005950</v>
      </c>
      <c r="AL6" s="138" t="str">
        <f ca="1">IFERROR(__xludf.DUMMYFUNCTION("""COMPUTED_VALUE"""),"Role of human oesophagus and stomach in digestion")</f>
        <v>Role of human oesophagus and stomach in digestion</v>
      </c>
      <c r="AM6" s="138"/>
      <c r="AN6" s="138"/>
      <c r="AO6" s="138"/>
      <c r="AP6" s="138"/>
      <c r="AQ6" s="138"/>
      <c r="AR6" s="138"/>
      <c r="AS6" s="138"/>
      <c r="AT6" s="138"/>
    </row>
    <row r="7" spans="1:46">
      <c r="A7" s="54" t="s">
        <v>247</v>
      </c>
      <c r="B7" s="55" t="s">
        <v>47</v>
      </c>
      <c r="C7" s="55" t="s">
        <v>1172</v>
      </c>
      <c r="D7" s="55" t="s">
        <v>2463</v>
      </c>
      <c r="E7" s="55" t="s">
        <v>2464</v>
      </c>
      <c r="F7" s="55" t="s">
        <v>2471</v>
      </c>
      <c r="G7" s="55" t="s">
        <v>2473</v>
      </c>
      <c r="H7" s="54" t="str">
        <f ca="1">IFERROR(__xludf.DUMMYFUNCTION("VLOOKUP(G7, IMPORTRANGE(""https://docs.google.com/spreadsheets/d/14deopnvwcrKtEGCKuYXdUHJbeLDZlkiSSWWT0g7x2pM/edit#gid=849066331"", ""LU List Science (Filter)!A:B""), 2, FALSE)"),"Significance of brushing teeth daily(dental caries)")</f>
        <v>Significance of brushing teeth daily(dental caries)</v>
      </c>
      <c r="I7" s="55" t="str">
        <f t="shared" si="0"/>
        <v>LU006450.001</v>
      </c>
      <c r="J7" s="55" t="str">
        <f ca="1">IFERROR(__xludf.DUMMYFUNCTION("VLOOKUP(I7, IMPORTRANGE(""https://docs.google.com/spreadsheets/d/1yDAaXNsi4Mr5FtRQL4tbmSdIzhx6_m4wkOD7IG-k_eo/edit#gid=1336395716"", ""Science!M:N""), 2, FALSE)"),"(LU006450.001); Default - Remember")</f>
        <v>(LU006450.001); Default - Remember</v>
      </c>
      <c r="K7" s="55" t="str">
        <f t="shared" si="1"/>
        <v>LU006450.002</v>
      </c>
      <c r="L7" s="55" t="str">
        <f ca="1">IFERROR(__xludf.DUMMYFUNCTION("VLOOKUP(K7, IMPORTRANGE(""https://docs.google.com/spreadsheets/d/1yDAaXNsi4Mr5FtRQL4tbmSdIzhx6_m4wkOD7IG-k_eo/edit#gid=1336395716"", ""Science!M:N""), 2, FALSE)"),"(LU006450.002); Default - Understand")</f>
        <v>(LU006450.002); Default - Understand</v>
      </c>
      <c r="M7" s="55" t="str">
        <f t="shared" si="2"/>
        <v>LU006450.003</v>
      </c>
      <c r="N7" s="55" t="str">
        <f ca="1">IFERROR(__xludf.DUMMYFUNCTION("VLOOKUP(M7, IMPORTRANGE(""https://docs.google.com/spreadsheets/d/1yDAaXNsi4Mr5FtRQL4tbmSdIzhx6_m4wkOD7IG-k_eo/edit#gid=1336395716"", ""Science!M:N""), 2, FALSE)"),"(LU006450.003); Default - Apply")</f>
        <v>(LU006450.003); Default - Apply</v>
      </c>
      <c r="O7" s="55" t="str">
        <f t="shared" si="3"/>
        <v>LU006450.004</v>
      </c>
      <c r="P7" s="55" t="str">
        <f ca="1">IFERROR(__xludf.DUMMYFUNCTION("VLOOKUP(O7, IMPORTRANGE(""https://docs.google.com/spreadsheets/d/1yDAaXNsi4Mr5FtRQL4tbmSdIzhx6_m4wkOD7IG-k_eo/edit#gid=1336395716"", ""Science!M:N""), 2, FALSE)"),"(LU006450.004); Default - Analyse")</f>
        <v>(LU006450.004); Default - Analyse</v>
      </c>
      <c r="Q7" s="55" t="str">
        <f t="shared" si="4"/>
        <v>LU006450.005</v>
      </c>
      <c r="R7" s="55" t="str">
        <f ca="1">IFERROR(__xludf.DUMMYFUNCTION("VLOOKUP(Q7, IMPORTRANGE(""https://docs.google.com/spreadsheets/d/1yDAaXNsi4Mr5FtRQL4tbmSdIzhx6_m4wkOD7IG-k_eo/edit#gid=1336395716"", ""Science!M:N""), 2, FALSE)"),"(LU006450.005); Default - Evaluate")</f>
        <v>(LU006450.005); Default - Evaluate</v>
      </c>
      <c r="S7" s="55" t="str">
        <f t="shared" si="5"/>
        <v>LU006450.006</v>
      </c>
      <c r="T7" s="55" t="str">
        <f ca="1">IFERROR(__xludf.DUMMYFUNCTION("VLOOKUP(S7, IMPORTRANGE(""https://docs.google.com/spreadsheets/d/1yDAaXNsi4Mr5FtRQL4tbmSdIzhx6_m4wkOD7IG-k_eo/edit#gid=1336395716"", ""Science!M:N""), 2, FALSE)"),"(LU006450.006); Default - Create")</f>
        <v>(LU006450.006); Default - Create</v>
      </c>
      <c r="U7" s="137" t="str">
        <f ca="1">IFERROR(__xludf.DUMMYFUNCTION("ArrayFormula(VLOOKUP(G7, IMPORTRANGE(""https://docs.google.com/spreadsheets/d/1p7R4vtkWt5VOBim4ltsDG9KTzSjrtKXsMtQGXPHyND0/edit#gid=795171502"", ""'Filter 30_05_2024'!A1:M2000""), {2, 3, 4, 5,6,7,8,9,10,11,12,13}, 0))"),"#N/A")</f>
        <v>#N/A</v>
      </c>
      <c r="V7" s="137" t="str">
        <f ca="1">IFERROR(__xludf.DUMMYFUNCTION("""COMPUTED_VALUE"""),"#N/A")</f>
        <v>#N/A</v>
      </c>
      <c r="W7" s="137" t="str">
        <f ca="1">IFERROR(__xludf.DUMMYFUNCTION("""COMPUTED_VALUE"""),"#N/A")</f>
        <v>#N/A</v>
      </c>
      <c r="X7" s="137" t="str">
        <f ca="1">IFERROR(__xludf.DUMMYFUNCTION("""COMPUTED_VALUE"""),"#N/A")</f>
        <v>#N/A</v>
      </c>
      <c r="Y7" s="137" t="str">
        <f ca="1">IFERROR(__xludf.DUMMYFUNCTION("""COMPUTED_VALUE"""),"#N/A")</f>
        <v>#N/A</v>
      </c>
      <c r="Z7" s="138" t="str">
        <f ca="1">IFERROR(__xludf.DUMMYFUNCTION("""COMPUTED_VALUE"""),"#N/A")</f>
        <v>#N/A</v>
      </c>
      <c r="AA7" s="138" t="str">
        <f ca="1">IFERROR(__xludf.DUMMYFUNCTION("""COMPUTED_VALUE"""),"#N/A")</f>
        <v>#N/A</v>
      </c>
      <c r="AB7" s="138" t="str">
        <f ca="1">IFERROR(__xludf.DUMMYFUNCTION("""COMPUTED_VALUE"""),"#N/A")</f>
        <v>#N/A</v>
      </c>
      <c r="AC7" s="138" t="str">
        <f ca="1">IFERROR(__xludf.DUMMYFUNCTION("""COMPUTED_VALUE"""),"#N/A")</f>
        <v>#N/A</v>
      </c>
      <c r="AD7" s="138" t="str">
        <f ca="1">IFERROR(__xludf.DUMMYFUNCTION("""COMPUTED_VALUE"""),"#N/A")</f>
        <v>#N/A</v>
      </c>
      <c r="AE7" s="138" t="str">
        <f ca="1">IFERROR(__xludf.DUMMYFUNCTION("""COMPUTED_VALUE"""),"#N/A")</f>
        <v>#N/A</v>
      </c>
      <c r="AF7" s="138" t="str">
        <f ca="1">IFERROR(__xludf.DUMMYFUNCTION("""COMPUTED_VALUE"""),"#N/A")</f>
        <v>#N/A</v>
      </c>
      <c r="AG7" s="138" t="str">
        <f ca="1">IFERROR(__xludf.DUMMYFUNCTION("ArrayFormula(VLOOKUP(G7, IMPORTRANGE(""https://docs.google.com/spreadsheets/d/1Co934fvtviyaRiMsrIlT05Jaq7iiYq07aLvRr35KA48/edit?gid=173865642#gid=173865642"", ""'G10_Sci_Pri_LU'!G2:V2000""), {3, 4, 5, 6, 7, 8, 9, 10, 11, 12, 13, 14, 15, 16}, 0))"),"LU005475")</f>
        <v>LU005475</v>
      </c>
      <c r="AH7" s="138" t="str">
        <f ca="1">IFERROR(__xludf.DUMMYFUNCTION("""COMPUTED_VALUE"""),"Definition of acids")</f>
        <v>Definition of acids</v>
      </c>
      <c r="AI7" s="138" t="str">
        <f ca="1">IFERROR(__xludf.DUMMYFUNCTION("""COMPUTED_VALUE"""),"LU005473")</f>
        <v>LU005473</v>
      </c>
      <c r="AJ7" s="138" t="str">
        <f ca="1">IFERROR(__xludf.DUMMYFUNCTION("""COMPUTED_VALUE"""),"Definition of neutralisation reaction")</f>
        <v>Definition of neutralisation reaction</v>
      </c>
      <c r="AK7" s="138"/>
      <c r="AL7" s="138"/>
      <c r="AM7" s="138"/>
      <c r="AN7" s="138"/>
      <c r="AO7" s="138"/>
      <c r="AP7" s="138"/>
      <c r="AQ7" s="138"/>
      <c r="AR7" s="138"/>
      <c r="AS7" s="138"/>
      <c r="AT7" s="138"/>
    </row>
    <row r="8" spans="1:46">
      <c r="A8" s="54" t="s">
        <v>247</v>
      </c>
      <c r="B8" s="55" t="s">
        <v>47</v>
      </c>
      <c r="C8" s="55" t="s">
        <v>1172</v>
      </c>
      <c r="D8" s="55" t="s">
        <v>2463</v>
      </c>
      <c r="E8" s="55" t="s">
        <v>2464</v>
      </c>
      <c r="F8" s="55" t="s">
        <v>2474</v>
      </c>
      <c r="G8" s="55" t="s">
        <v>2475</v>
      </c>
      <c r="H8" s="54" t="str">
        <f ca="1">IFERROR(__xludf.DUMMYFUNCTION("VLOOKUP(G8, IMPORTRANGE(""https://docs.google.com/spreadsheets/d/14deopnvwcrKtEGCKuYXdUHJbeLDZlkiSSWWT0g7x2pM/edit#gid=849066331"", ""LU List Science (Filter)!A:B""), 2, FALSE)"),"Action of bile juice, pancreatic juice and intestinal juice")</f>
        <v>Action of bile juice, pancreatic juice and intestinal juice</v>
      </c>
      <c r="I8" s="55" t="str">
        <f t="shared" si="0"/>
        <v>LU006449.001</v>
      </c>
      <c r="J8" s="55" t="str">
        <f ca="1">IFERROR(__xludf.DUMMYFUNCTION("VLOOKUP(I8, IMPORTRANGE(""https://docs.google.com/spreadsheets/d/1yDAaXNsi4Mr5FtRQL4tbmSdIzhx6_m4wkOD7IG-k_eo/edit#gid=1336395716"", ""Science!M:N""), 2, FALSE)"),"(LU006449.001); Default - Remember")</f>
        <v>(LU006449.001); Default - Remember</v>
      </c>
      <c r="K8" s="55" t="str">
        <f t="shared" si="1"/>
        <v>LU006449.002</v>
      </c>
      <c r="L8" s="55" t="str">
        <f ca="1">IFERROR(__xludf.DUMMYFUNCTION("VLOOKUP(K8, IMPORTRANGE(""https://docs.google.com/spreadsheets/d/1yDAaXNsi4Mr5FtRQL4tbmSdIzhx6_m4wkOD7IG-k_eo/edit#gid=1336395716"", ""Science!M:N""), 2, FALSE)"),"(LU006449.002); Default - Understand")</f>
        <v>(LU006449.002); Default - Understand</v>
      </c>
      <c r="M8" s="55" t="str">
        <f t="shared" si="2"/>
        <v>LU006449.003</v>
      </c>
      <c r="N8" s="55" t="str">
        <f ca="1">IFERROR(__xludf.DUMMYFUNCTION("VLOOKUP(M8, IMPORTRANGE(""https://docs.google.com/spreadsheets/d/1yDAaXNsi4Mr5FtRQL4tbmSdIzhx6_m4wkOD7IG-k_eo/edit#gid=1336395716"", ""Science!M:N""), 2, FALSE)"),"(LU006449.003); Default - Apply")</f>
        <v>(LU006449.003); Default - Apply</v>
      </c>
      <c r="O8" s="55" t="str">
        <f t="shared" si="3"/>
        <v>LU006449.004</v>
      </c>
      <c r="P8" s="55" t="str">
        <f ca="1">IFERROR(__xludf.DUMMYFUNCTION("VLOOKUP(O8, IMPORTRANGE(""https://docs.google.com/spreadsheets/d/1yDAaXNsi4Mr5FtRQL4tbmSdIzhx6_m4wkOD7IG-k_eo/edit#gid=1336395716"", ""Science!M:N""), 2, FALSE)"),"(LU006449.004); Default - Analyse")</f>
        <v>(LU006449.004); Default - Analyse</v>
      </c>
      <c r="Q8" s="55" t="str">
        <f t="shared" si="4"/>
        <v>LU006449.005</v>
      </c>
      <c r="R8" s="55" t="str">
        <f ca="1">IFERROR(__xludf.DUMMYFUNCTION("VLOOKUP(Q8, IMPORTRANGE(""https://docs.google.com/spreadsheets/d/1yDAaXNsi4Mr5FtRQL4tbmSdIzhx6_m4wkOD7IG-k_eo/edit#gid=1336395716"", ""Science!M:N""), 2, FALSE)"),"(LU006449.005); Default - Evaluate")</f>
        <v>(LU006449.005); Default - Evaluate</v>
      </c>
      <c r="S8" s="55" t="str">
        <f t="shared" si="5"/>
        <v>LU006449.006</v>
      </c>
      <c r="T8" s="55" t="str">
        <f ca="1">IFERROR(__xludf.DUMMYFUNCTION("VLOOKUP(S8, IMPORTRANGE(""https://docs.google.com/spreadsheets/d/1yDAaXNsi4Mr5FtRQL4tbmSdIzhx6_m4wkOD7IG-k_eo/edit#gid=1336395716"", ""Science!M:N""), 2, FALSE)"),"(LU006449.006); Default - Create")</f>
        <v>(LU006449.006); Default - Create</v>
      </c>
      <c r="U8" s="137" t="str">
        <f ca="1">IFERROR(__xludf.DUMMYFUNCTION("ArrayFormula(VLOOKUP(G8, IMPORTRANGE(""https://docs.google.com/spreadsheets/d/1p7R4vtkWt5VOBim4ltsDG9KTzSjrtKXsMtQGXPHyND0/edit#gid=795171502"", ""'Filter 30_05_2024'!A1:M2000""), {2, 3, 4, 5,6,7,8,9,10,11,12,13}, 0))"),"#N/A")</f>
        <v>#N/A</v>
      </c>
      <c r="V8" s="137" t="str">
        <f ca="1">IFERROR(__xludf.DUMMYFUNCTION("""COMPUTED_VALUE"""),"#N/A")</f>
        <v>#N/A</v>
      </c>
      <c r="W8" s="137" t="str">
        <f ca="1">IFERROR(__xludf.DUMMYFUNCTION("""COMPUTED_VALUE"""),"#N/A")</f>
        <v>#N/A</v>
      </c>
      <c r="X8" s="137" t="str">
        <f ca="1">IFERROR(__xludf.DUMMYFUNCTION("""COMPUTED_VALUE"""),"#N/A")</f>
        <v>#N/A</v>
      </c>
      <c r="Y8" s="137" t="str">
        <f ca="1">IFERROR(__xludf.DUMMYFUNCTION("""COMPUTED_VALUE"""),"#N/A")</f>
        <v>#N/A</v>
      </c>
      <c r="Z8" s="138" t="str">
        <f ca="1">IFERROR(__xludf.DUMMYFUNCTION("""COMPUTED_VALUE"""),"#N/A")</f>
        <v>#N/A</v>
      </c>
      <c r="AA8" s="138" t="str">
        <f ca="1">IFERROR(__xludf.DUMMYFUNCTION("""COMPUTED_VALUE"""),"#N/A")</f>
        <v>#N/A</v>
      </c>
      <c r="AB8" s="138" t="str">
        <f ca="1">IFERROR(__xludf.DUMMYFUNCTION("""COMPUTED_VALUE"""),"#N/A")</f>
        <v>#N/A</v>
      </c>
      <c r="AC8" s="138" t="str">
        <f ca="1">IFERROR(__xludf.DUMMYFUNCTION("""COMPUTED_VALUE"""),"#N/A")</f>
        <v>#N/A</v>
      </c>
      <c r="AD8" s="138" t="str">
        <f ca="1">IFERROR(__xludf.DUMMYFUNCTION("""COMPUTED_VALUE"""),"#N/A")</f>
        <v>#N/A</v>
      </c>
      <c r="AE8" s="138" t="str">
        <f ca="1">IFERROR(__xludf.DUMMYFUNCTION("""COMPUTED_VALUE"""),"#N/A")</f>
        <v>#N/A</v>
      </c>
      <c r="AF8" s="138" t="str">
        <f ca="1">IFERROR(__xludf.DUMMYFUNCTION("""COMPUTED_VALUE"""),"#N/A")</f>
        <v>#N/A</v>
      </c>
      <c r="AG8" s="138" t="str">
        <f ca="1">IFERROR(__xludf.DUMMYFUNCTION("ArrayFormula(VLOOKUP(G8, IMPORTRANGE(""https://docs.google.com/spreadsheets/d/1Co934fvtviyaRiMsrIlT05Jaq7iiYq07aLvRr35KA48/edit?gid=173865642#gid=173865642"", ""'G10_Sci_Pri_LU'!G2:V2000""), {3, 4, 5, 6, 7, 8, 9, 10, 11, 12, 13, 14, 15, 16}, 0))"),"LU006448")</f>
        <v>LU006448</v>
      </c>
      <c r="AH8" s="138" t="str">
        <f ca="1">IFERROR(__xludf.DUMMYFUNCTION("""COMPUTED_VALUE"""),"Digestion from mouth to stomach")</f>
        <v>Digestion from mouth to stomach</v>
      </c>
      <c r="AI8" s="138" t="str">
        <f ca="1">IFERROR(__xludf.DUMMYFUNCTION("""COMPUTED_VALUE"""),"LU005393")</f>
        <v>LU005393</v>
      </c>
      <c r="AJ8" s="138" t="str">
        <f ca="1">IFERROR(__xludf.DUMMYFUNCTION("""COMPUTED_VALUE"""),"Function of Secretions from Liver, Pancreas, and Small Intestine")</f>
        <v>Function of Secretions from Liver, Pancreas, and Small Intestine</v>
      </c>
      <c r="AK8" s="138" t="str">
        <f ca="1">IFERROR(__xludf.DUMMYFUNCTION("""COMPUTED_VALUE"""),"LU005391")</f>
        <v>LU005391</v>
      </c>
      <c r="AL8" s="138" t="str">
        <f ca="1">IFERROR(__xludf.DUMMYFUNCTION("""COMPUTED_VALUE"""),"Definition of human digestive system")</f>
        <v>Definition of human digestive system</v>
      </c>
      <c r="AM8" s="138"/>
      <c r="AN8" s="138"/>
      <c r="AO8" s="138"/>
      <c r="AP8" s="138"/>
      <c r="AQ8" s="138"/>
      <c r="AR8" s="138"/>
      <c r="AS8" s="138"/>
      <c r="AT8" s="138"/>
    </row>
    <row r="9" spans="1:46">
      <c r="A9" s="54" t="s">
        <v>247</v>
      </c>
      <c r="B9" s="55" t="s">
        <v>47</v>
      </c>
      <c r="C9" s="55" t="s">
        <v>1172</v>
      </c>
      <c r="D9" s="55" t="s">
        <v>2463</v>
      </c>
      <c r="E9" s="55" t="s">
        <v>2464</v>
      </c>
      <c r="F9" s="55" t="s">
        <v>2474</v>
      </c>
      <c r="G9" s="139" t="s">
        <v>1835</v>
      </c>
      <c r="H9" s="140" t="str">
        <f ca="1">IFERROR(__xludf.DUMMYFUNCTION("VLOOKUP(G9, IMPORTRANGE(""https://docs.google.com/spreadsheets/d/14deopnvwcrKtEGCKuYXdUHJbeLDZlkiSSWWT0g7x2pM/edit#gid=849066331"", ""LU List Science (Filter)!A:B""), 2, FALSE)"),"Absorption in the Small Intestine and large intestine")</f>
        <v>Absorption in the Small Intestine and large intestine</v>
      </c>
      <c r="I9" s="55" t="str">
        <f t="shared" si="0"/>
        <v>LU005394.001</v>
      </c>
      <c r="J9" s="55" t="str">
        <f ca="1">IFERROR(__xludf.DUMMYFUNCTION("VLOOKUP(I9, IMPORTRANGE(""https://docs.google.com/spreadsheets/d/1yDAaXNsi4Mr5FtRQL4tbmSdIzhx6_m4wkOD7IG-k_eo/edit#gid=1336395716"", ""Science!M:N""), 2, FALSE)"),"Students will define the processes of absorption in the small and large intestines.")</f>
        <v>Students will define the processes of absorption in the small and large intestines.</v>
      </c>
      <c r="K9" s="55" t="str">
        <f t="shared" si="1"/>
        <v>LU005394.002</v>
      </c>
      <c r="L9" s="55" t="str">
        <f ca="1">IFERROR(__xludf.DUMMYFUNCTION("VLOOKUP(K9, IMPORTRANGE(""https://docs.google.com/spreadsheets/d/1yDAaXNsi4Mr5FtRQL4tbmSdIzhx6_m4wkOD7IG-k_eo/edit#gid=1336395716"", ""Science!M:N""), 2, FALSE)"),"Students will interpret the differences in absorption functions between the small and large intestines.")</f>
        <v>Students will interpret the differences in absorption functions between the small and large intestines.</v>
      </c>
      <c r="M9" s="55" t="str">
        <f t="shared" si="2"/>
        <v>LU005394.003</v>
      </c>
      <c r="N9" s="55" t="str">
        <f ca="1">IFERROR(__xludf.DUMMYFUNCTION("VLOOKUP(M9, IMPORTRANGE(""https://docs.google.com/spreadsheets/d/1yDAaXNsi4Mr5FtRQL4tbmSdIzhx6_m4wkOD7IG-k_eo/edit#gid=1336395716"", ""Science!M:N""), 2, FALSE)"),"Students will associate the structure of the small and large intestines with their respective roles in absorption.")</f>
        <v>Students will associate the structure of the small and large intestines with their respective roles in absorption.</v>
      </c>
      <c r="O9" s="55" t="str">
        <f t="shared" si="3"/>
        <v>LU005394.004</v>
      </c>
      <c r="P9" s="55" t="str">
        <f ca="1">IFERROR(__xludf.DUMMYFUNCTION("VLOOKUP(O9, IMPORTRANGE(""https://docs.google.com/spreadsheets/d/1yDAaXNsi4Mr5FtRQL4tbmSdIzhx6_m4wkOD7IG-k_eo/edit#gid=1336395716"", ""Science!M:N""), 2, FALSE)"),"Students will compare the absorption efficiency of the small intestine with the water reabsorption role of the large intestine.")</f>
        <v>Students will compare the absorption efficiency of the small intestine with the water reabsorption role of the large intestine.</v>
      </c>
      <c r="Q9" s="55" t="str">
        <f t="shared" si="4"/>
        <v>LU005394.005</v>
      </c>
      <c r="R9" s="55" t="str">
        <f ca="1">IFERROR(__xludf.DUMMYFUNCTION("VLOOKUP(Q9, IMPORTRANGE(""https://docs.google.com/spreadsheets/d/1yDAaXNsi4Mr5FtRQL4tbmSdIzhx6_m4wkOD7IG-k_eo/edit#gid=1336395716"", ""Science!M:N""), 2, FALSE)"),"Students will evaluate the impact of various diets on the absorption efficiency of the small and large intestines.")</f>
        <v>Students will evaluate the impact of various diets on the absorption efficiency of the small and large intestines.</v>
      </c>
      <c r="S9" s="55" t="str">
        <f t="shared" si="5"/>
        <v>LU005394.006</v>
      </c>
      <c r="T9" s="55" t="str">
        <f ca="1">IFERROR(__xludf.DUMMYFUNCTION("VLOOKUP(S9, IMPORTRANGE(""https://docs.google.com/spreadsheets/d/1yDAaXNsi4Mr5FtRQL4tbmSdIzhx6_m4wkOD7IG-k_eo/edit#gid=1336395716"", ""Science!M:N""), 2, FALSE)"),"#N/A")</f>
        <v>#N/A</v>
      </c>
      <c r="U9" s="137">
        <f ca="1">IFERROR(__xludf.DUMMYFUNCTION("ArrayFormula(VLOOKUP(G9, IMPORTRANGE(""https://docs.google.com/spreadsheets/d/1p7R4vtkWt5VOBim4ltsDG9KTzSjrtKXsMtQGXPHyND0/edit#gid=795171502"", ""'Filter 30_05_2024'!A1:M2000""), {2, 3, 4, 5,6,7,8,9,10,11,12,13}, 0))"),4)</f>
        <v>4</v>
      </c>
      <c r="V9" s="137">
        <f ca="1">IFERROR(__xludf.DUMMYFUNCTION("""COMPUTED_VALUE"""),6)</f>
        <v>6</v>
      </c>
      <c r="W9" s="137">
        <f ca="1">IFERROR(__xludf.DUMMYFUNCTION("""COMPUTED_VALUE"""),2)</f>
        <v>2</v>
      </c>
      <c r="X9" s="137">
        <f ca="1">IFERROR(__xludf.DUMMYFUNCTION("""COMPUTED_VALUE"""),12)</f>
        <v>12</v>
      </c>
      <c r="Y9" s="137">
        <f ca="1">IFERROR(__xludf.DUMMYFUNCTION("""COMPUTED_VALUE"""),4)</f>
        <v>4</v>
      </c>
      <c r="Z9" s="138">
        <f ca="1">IFERROR(__xludf.DUMMYFUNCTION("""COMPUTED_VALUE"""),3)</f>
        <v>3</v>
      </c>
      <c r="AA9" s="138">
        <f ca="1">IFERROR(__xludf.DUMMYFUNCTION("""COMPUTED_VALUE"""),1)</f>
        <v>1</v>
      </c>
      <c r="AB9" s="138">
        <f ca="1">IFERROR(__xludf.DUMMYFUNCTION("""COMPUTED_VALUE"""),8)</f>
        <v>8</v>
      </c>
      <c r="AC9" s="138"/>
      <c r="AD9" s="138"/>
      <c r="AE9" s="138"/>
      <c r="AF9" s="138"/>
      <c r="AG9" s="138" t="str">
        <f ca="1">IFERROR(__xludf.DUMMYFUNCTION("ArrayFormula(VLOOKUP(G9, IMPORTRANGE(""https://docs.google.com/spreadsheets/d/1Co934fvtviyaRiMsrIlT05Jaq7iiYq07aLvRr35KA48/edit?gid=173865642#gid=173865642"", ""'G10_Sci_Pri_LU'!G2:V2000""), {3, 4, 5, 6, 7, 8, 9, 10, 11, 12, 13, 14, 15, 16}, 0))"),"LU005391")</f>
        <v>LU005391</v>
      </c>
      <c r="AH9" s="138" t="str">
        <f ca="1">IFERROR(__xludf.DUMMYFUNCTION("""COMPUTED_VALUE"""),"Definition of human digestive system")</f>
        <v>Definition of human digestive system</v>
      </c>
      <c r="AI9" s="138" t="str">
        <f ca="1">IFERROR(__xludf.DUMMYFUNCTION("""COMPUTED_VALUE"""),"LU005389")</f>
        <v>LU005389</v>
      </c>
      <c r="AJ9" s="138" t="str">
        <f ca="1">IFERROR(__xludf.DUMMYFUNCTION("""COMPUTED_VALUE"""),"Ingestion, Digestion, Absorption, Assimilation, and Egestion")</f>
        <v>Ingestion, Digestion, Absorption, Assimilation, and Egestion</v>
      </c>
      <c r="AK9" s="138" t="str">
        <f ca="1">IFERROR(__xludf.DUMMYFUNCTION("""COMPUTED_VALUE"""),"LU005214")</f>
        <v>LU005214</v>
      </c>
      <c r="AL9" s="138" t="str">
        <f ca="1">IFERROR(__xludf.DUMMYFUNCTION("""COMPUTED_VALUE"""),"Definition of nutrients, types, and their sources.")</f>
        <v>Definition of nutrients, types, and their sources.</v>
      </c>
      <c r="AM9" s="138"/>
      <c r="AN9" s="138"/>
      <c r="AO9" s="138"/>
      <c r="AP9" s="138"/>
      <c r="AQ9" s="138"/>
      <c r="AR9" s="138"/>
      <c r="AS9" s="138"/>
      <c r="AT9" s="138"/>
    </row>
    <row r="10" spans="1:46">
      <c r="A10" s="54" t="s">
        <v>247</v>
      </c>
      <c r="B10" s="55" t="s">
        <v>47</v>
      </c>
      <c r="C10" s="55" t="s">
        <v>1172</v>
      </c>
      <c r="D10" s="55" t="s">
        <v>2463</v>
      </c>
      <c r="E10" s="55" t="s">
        <v>2464</v>
      </c>
      <c r="F10" s="55" t="s">
        <v>2476</v>
      </c>
      <c r="G10" s="55" t="s">
        <v>2477</v>
      </c>
      <c r="H10" s="54" t="str">
        <f ca="1">IFERROR(__xludf.DUMMYFUNCTION("VLOOKUP(G10, IMPORTRANGE(""https://docs.google.com/spreadsheets/d/14deopnvwcrKtEGCKuYXdUHJbeLDZlkiSSWWT0g7x2pM/edit#gid=849066331"", ""LU List Science (Filter)!A:B""), 2, FALSE)"),"Glucose breakdown under different oxygen conditions")</f>
        <v>Glucose breakdown under different oxygen conditions</v>
      </c>
      <c r="I10" s="55" t="str">
        <f t="shared" si="0"/>
        <v>LU006451.001</v>
      </c>
      <c r="J10" s="55" t="str">
        <f ca="1">IFERROR(__xludf.DUMMYFUNCTION("VLOOKUP(I10, IMPORTRANGE(""https://docs.google.com/spreadsheets/d/1yDAaXNsi4Mr5FtRQL4tbmSdIzhx6_m4wkOD7IG-k_eo/edit#gid=1336395716"", ""Science!M:N""), 2, FALSE)"),"(LU006451.001); Default - Remember")</f>
        <v>(LU006451.001); Default - Remember</v>
      </c>
      <c r="K10" s="55" t="str">
        <f t="shared" si="1"/>
        <v>LU006451.002</v>
      </c>
      <c r="L10" s="55" t="str">
        <f ca="1">IFERROR(__xludf.DUMMYFUNCTION("VLOOKUP(K10, IMPORTRANGE(""https://docs.google.com/spreadsheets/d/1yDAaXNsi4Mr5FtRQL4tbmSdIzhx6_m4wkOD7IG-k_eo/edit#gid=1336395716"", ""Science!M:N""), 2, FALSE)"),"(LU006451.002); Default - Understand")</f>
        <v>(LU006451.002); Default - Understand</v>
      </c>
      <c r="M10" s="55" t="str">
        <f t="shared" si="2"/>
        <v>LU006451.003</v>
      </c>
      <c r="N10" s="55" t="str">
        <f ca="1">IFERROR(__xludf.DUMMYFUNCTION("VLOOKUP(M10, IMPORTRANGE(""https://docs.google.com/spreadsheets/d/1yDAaXNsi4Mr5FtRQL4tbmSdIzhx6_m4wkOD7IG-k_eo/edit#gid=1336395716"", ""Science!M:N""), 2, FALSE)"),"(LU006451.003); Default - Apply")</f>
        <v>(LU006451.003); Default - Apply</v>
      </c>
      <c r="O10" s="55" t="str">
        <f t="shared" si="3"/>
        <v>LU006451.004</v>
      </c>
      <c r="P10" s="55" t="str">
        <f ca="1">IFERROR(__xludf.DUMMYFUNCTION("VLOOKUP(O10, IMPORTRANGE(""https://docs.google.com/spreadsheets/d/1yDAaXNsi4Mr5FtRQL4tbmSdIzhx6_m4wkOD7IG-k_eo/edit#gid=1336395716"", ""Science!M:N""), 2, FALSE)"),"(LU006451.004); Default - Analyse")</f>
        <v>(LU006451.004); Default - Analyse</v>
      </c>
      <c r="Q10" s="55" t="str">
        <f t="shared" si="4"/>
        <v>LU006451.005</v>
      </c>
      <c r="R10" s="55" t="str">
        <f ca="1">IFERROR(__xludf.DUMMYFUNCTION("VLOOKUP(Q10, IMPORTRANGE(""https://docs.google.com/spreadsheets/d/1yDAaXNsi4Mr5FtRQL4tbmSdIzhx6_m4wkOD7IG-k_eo/edit#gid=1336395716"", ""Science!M:N""), 2, FALSE)"),"(LU006451.005); Default - Evaluate")</f>
        <v>(LU006451.005); Default - Evaluate</v>
      </c>
      <c r="S10" s="55" t="str">
        <f t="shared" si="5"/>
        <v>LU006451.006</v>
      </c>
      <c r="T10" s="55" t="str">
        <f ca="1">IFERROR(__xludf.DUMMYFUNCTION("VLOOKUP(S10, IMPORTRANGE(""https://docs.google.com/spreadsheets/d/1yDAaXNsi4Mr5FtRQL4tbmSdIzhx6_m4wkOD7IG-k_eo/edit#gid=1336395716"", ""Science!M:N""), 2, FALSE)"),"(LU006451.006); Default - Create")</f>
        <v>(LU006451.006); Default - Create</v>
      </c>
      <c r="U10" s="137" t="str">
        <f ca="1">IFERROR(__xludf.DUMMYFUNCTION("ArrayFormula(VLOOKUP(G10, IMPORTRANGE(""https://docs.google.com/spreadsheets/d/1p7R4vtkWt5VOBim4ltsDG9KTzSjrtKXsMtQGXPHyND0/edit#gid=795171502"", ""'Filter 30_05_2024'!A1:M2000""), {2, 3, 4, 5,6,7,8,9,10,11,12,13}, 0))"),"#N/A")</f>
        <v>#N/A</v>
      </c>
      <c r="V10" s="137" t="str">
        <f ca="1">IFERROR(__xludf.DUMMYFUNCTION("""COMPUTED_VALUE"""),"#N/A")</f>
        <v>#N/A</v>
      </c>
      <c r="W10" s="137" t="str">
        <f ca="1">IFERROR(__xludf.DUMMYFUNCTION("""COMPUTED_VALUE"""),"#N/A")</f>
        <v>#N/A</v>
      </c>
      <c r="X10" s="137" t="str">
        <f ca="1">IFERROR(__xludf.DUMMYFUNCTION("""COMPUTED_VALUE"""),"#N/A")</f>
        <v>#N/A</v>
      </c>
      <c r="Y10" s="137" t="str">
        <f ca="1">IFERROR(__xludf.DUMMYFUNCTION("""COMPUTED_VALUE"""),"#N/A")</f>
        <v>#N/A</v>
      </c>
      <c r="Z10" s="138" t="str">
        <f ca="1">IFERROR(__xludf.DUMMYFUNCTION("""COMPUTED_VALUE"""),"#N/A")</f>
        <v>#N/A</v>
      </c>
      <c r="AA10" s="138" t="str">
        <f ca="1">IFERROR(__xludf.DUMMYFUNCTION("""COMPUTED_VALUE"""),"#N/A")</f>
        <v>#N/A</v>
      </c>
      <c r="AB10" s="138" t="str">
        <f ca="1">IFERROR(__xludf.DUMMYFUNCTION("""COMPUTED_VALUE"""),"#N/A")</f>
        <v>#N/A</v>
      </c>
      <c r="AC10" s="138" t="str">
        <f ca="1">IFERROR(__xludf.DUMMYFUNCTION("""COMPUTED_VALUE"""),"#N/A")</f>
        <v>#N/A</v>
      </c>
      <c r="AD10" s="138" t="str">
        <f ca="1">IFERROR(__xludf.DUMMYFUNCTION("""COMPUTED_VALUE"""),"#N/A")</f>
        <v>#N/A</v>
      </c>
      <c r="AE10" s="138" t="str">
        <f ca="1">IFERROR(__xludf.DUMMYFUNCTION("""COMPUTED_VALUE"""),"#N/A")</f>
        <v>#N/A</v>
      </c>
      <c r="AF10" s="138" t="str">
        <f ca="1">IFERROR(__xludf.DUMMYFUNCTION("""COMPUTED_VALUE"""),"#N/A")</f>
        <v>#N/A</v>
      </c>
      <c r="AG10" s="138" t="str">
        <f ca="1">IFERROR(__xludf.DUMMYFUNCTION("ArrayFormula(VLOOKUP(G10, IMPORTRANGE(""https://docs.google.com/spreadsheets/d/1Co934fvtviyaRiMsrIlT05Jaq7iiYq07aLvRr35KA48/edit?gid=173865642#gid=173865642"", ""'G10_Sci_Pri_LU'!G2:V2000""), {3, 4, 5, 6, 7, 8, 9, 10, 11, 12, 13, 14, 15, 16}, 0))"),"LU005435")</f>
        <v>LU005435</v>
      </c>
      <c r="AH10" s="138" t="str">
        <f ca="1">IFERROR(__xludf.DUMMYFUNCTION("""COMPUTED_VALUE"""),"Introduction to cellular, aerobic and anaerobic respiration")</f>
        <v>Introduction to cellular, aerobic and anaerobic respiration</v>
      </c>
      <c r="AI10" s="138" t="str">
        <f ca="1">IFERROR(__xludf.DUMMYFUNCTION("""COMPUTED_VALUE"""),"LU005437")</f>
        <v>LU005437</v>
      </c>
      <c r="AJ10" s="138" t="str">
        <f ca="1">IFERROR(__xludf.DUMMYFUNCTION("""COMPUTED_VALUE"""),"Anaerobic Respiration in Human Skeletal Muscles")</f>
        <v>Anaerobic Respiration in Human Skeletal Muscles</v>
      </c>
      <c r="AK10" s="138" t="str">
        <f ca="1">IFERROR(__xludf.DUMMYFUNCTION("""COMPUTED_VALUE"""),"LU006238")</f>
        <v>LU006238</v>
      </c>
      <c r="AL10" s="138" t="str">
        <f ca="1">IFERROR(__xludf.DUMMYFUNCTION("""COMPUTED_VALUE"""),"Introduction to Mitochondria")</f>
        <v>Introduction to Mitochondria</v>
      </c>
      <c r="AM10" s="138"/>
      <c r="AN10" s="138"/>
      <c r="AO10" s="138"/>
      <c r="AP10" s="138"/>
      <c r="AQ10" s="138"/>
      <c r="AR10" s="138"/>
      <c r="AS10" s="138"/>
      <c r="AT10" s="138"/>
    </row>
    <row r="11" spans="1:46">
      <c r="A11" s="54" t="s">
        <v>247</v>
      </c>
      <c r="B11" s="55" t="s">
        <v>47</v>
      </c>
      <c r="C11" s="55" t="s">
        <v>1172</v>
      </c>
      <c r="D11" s="55" t="s">
        <v>2463</v>
      </c>
      <c r="E11" s="55" t="s">
        <v>2464</v>
      </c>
      <c r="F11" s="55" t="s">
        <v>2476</v>
      </c>
      <c r="G11" s="55" t="s">
        <v>2478</v>
      </c>
      <c r="H11" s="54" t="str">
        <f ca="1">IFERROR(__xludf.DUMMYFUNCTION("VLOOKUP(G11, IMPORTRANGE(""https://docs.google.com/spreadsheets/d/14deopnvwcrKtEGCKuYXdUHJbeLDZlkiSSWWT0g7x2pM/edit#gid=849066331"", ""LU List Science (Filter)!A:B""), 2, FALSE)"),"Gas exchange in plants(photosynthesis and respiration cycles)")</f>
        <v>Gas exchange in plants(photosynthesis and respiration cycles)</v>
      </c>
      <c r="I11" s="55" t="str">
        <f t="shared" si="0"/>
        <v>LU006452.001</v>
      </c>
      <c r="J11" s="55" t="str">
        <f ca="1">IFERROR(__xludf.DUMMYFUNCTION("VLOOKUP(I11, IMPORTRANGE(""https://docs.google.com/spreadsheets/d/1yDAaXNsi4Mr5FtRQL4tbmSdIzhx6_m4wkOD7IG-k_eo/edit#gid=1336395716"", ""Science!M:N""), 2, FALSE)"),"(LU006452.001); Default - Remember")</f>
        <v>(LU006452.001); Default - Remember</v>
      </c>
      <c r="K11" s="55" t="str">
        <f t="shared" si="1"/>
        <v>LU006452.002</v>
      </c>
      <c r="L11" s="55" t="str">
        <f ca="1">IFERROR(__xludf.DUMMYFUNCTION("VLOOKUP(K11, IMPORTRANGE(""https://docs.google.com/spreadsheets/d/1yDAaXNsi4Mr5FtRQL4tbmSdIzhx6_m4wkOD7IG-k_eo/edit#gid=1336395716"", ""Science!M:N""), 2, FALSE)"),"(LU006452.002); Default - Understand")</f>
        <v>(LU006452.002); Default - Understand</v>
      </c>
      <c r="M11" s="55" t="str">
        <f t="shared" si="2"/>
        <v>LU006452.003</v>
      </c>
      <c r="N11" s="55" t="str">
        <f ca="1">IFERROR(__xludf.DUMMYFUNCTION("VLOOKUP(M11, IMPORTRANGE(""https://docs.google.com/spreadsheets/d/1yDAaXNsi4Mr5FtRQL4tbmSdIzhx6_m4wkOD7IG-k_eo/edit#gid=1336395716"", ""Science!M:N""), 2, FALSE)"),"(LU006452.003); Default - Apply")</f>
        <v>(LU006452.003); Default - Apply</v>
      </c>
      <c r="O11" s="55" t="str">
        <f t="shared" si="3"/>
        <v>LU006452.004</v>
      </c>
      <c r="P11" s="55" t="str">
        <f ca="1">IFERROR(__xludf.DUMMYFUNCTION("VLOOKUP(O11, IMPORTRANGE(""https://docs.google.com/spreadsheets/d/1yDAaXNsi4Mr5FtRQL4tbmSdIzhx6_m4wkOD7IG-k_eo/edit#gid=1336395716"", ""Science!M:N""), 2, FALSE)"),"(LU006452.004); Default - Analyse")</f>
        <v>(LU006452.004); Default - Analyse</v>
      </c>
      <c r="Q11" s="55" t="str">
        <f t="shared" si="4"/>
        <v>LU006452.005</v>
      </c>
      <c r="R11" s="55" t="str">
        <f ca="1">IFERROR(__xludf.DUMMYFUNCTION("VLOOKUP(Q11, IMPORTRANGE(""https://docs.google.com/spreadsheets/d/1yDAaXNsi4Mr5FtRQL4tbmSdIzhx6_m4wkOD7IG-k_eo/edit#gid=1336395716"", ""Science!M:N""), 2, FALSE)"),"(LU006452.005); Default - Evaluate")</f>
        <v>(LU006452.005); Default - Evaluate</v>
      </c>
      <c r="S11" s="55" t="str">
        <f t="shared" si="5"/>
        <v>LU006452.006</v>
      </c>
      <c r="T11" s="55" t="str">
        <f ca="1">IFERROR(__xludf.DUMMYFUNCTION("VLOOKUP(S11, IMPORTRANGE(""https://docs.google.com/spreadsheets/d/1yDAaXNsi4Mr5FtRQL4tbmSdIzhx6_m4wkOD7IG-k_eo/edit#gid=1336395716"", ""Science!M:N""), 2, FALSE)"),"(LU006452.006); Default - Create")</f>
        <v>(LU006452.006); Default - Create</v>
      </c>
      <c r="U11" s="137" t="str">
        <f ca="1">IFERROR(__xludf.DUMMYFUNCTION("ArrayFormula(VLOOKUP(G11, IMPORTRANGE(""https://docs.google.com/spreadsheets/d/1p7R4vtkWt5VOBim4ltsDG9KTzSjrtKXsMtQGXPHyND0/edit#gid=795171502"", ""'Filter 30_05_2024'!A1:M2000""), {2, 3, 4, 5,6,7,8,9,10,11,12,13}, 0))"),"#N/A")</f>
        <v>#N/A</v>
      </c>
      <c r="V11" s="137" t="str">
        <f ca="1">IFERROR(__xludf.DUMMYFUNCTION("""COMPUTED_VALUE"""),"#N/A")</f>
        <v>#N/A</v>
      </c>
      <c r="W11" s="137" t="str">
        <f ca="1">IFERROR(__xludf.DUMMYFUNCTION("""COMPUTED_VALUE"""),"#N/A")</f>
        <v>#N/A</v>
      </c>
      <c r="X11" s="137" t="str">
        <f ca="1">IFERROR(__xludf.DUMMYFUNCTION("""COMPUTED_VALUE"""),"#N/A")</f>
        <v>#N/A</v>
      </c>
      <c r="Y11" s="137" t="str">
        <f ca="1">IFERROR(__xludf.DUMMYFUNCTION("""COMPUTED_VALUE"""),"#N/A")</f>
        <v>#N/A</v>
      </c>
      <c r="Z11" s="138" t="str">
        <f ca="1">IFERROR(__xludf.DUMMYFUNCTION("""COMPUTED_VALUE"""),"#N/A")</f>
        <v>#N/A</v>
      </c>
      <c r="AA11" s="138" t="str">
        <f ca="1">IFERROR(__xludf.DUMMYFUNCTION("""COMPUTED_VALUE"""),"#N/A")</f>
        <v>#N/A</v>
      </c>
      <c r="AB11" s="138" t="str">
        <f ca="1">IFERROR(__xludf.DUMMYFUNCTION("""COMPUTED_VALUE"""),"#N/A")</f>
        <v>#N/A</v>
      </c>
      <c r="AC11" s="138" t="str">
        <f ca="1">IFERROR(__xludf.DUMMYFUNCTION("""COMPUTED_VALUE"""),"#N/A")</f>
        <v>#N/A</v>
      </c>
      <c r="AD11" s="138" t="str">
        <f ca="1">IFERROR(__xludf.DUMMYFUNCTION("""COMPUTED_VALUE"""),"#N/A")</f>
        <v>#N/A</v>
      </c>
      <c r="AE11" s="138" t="str">
        <f ca="1">IFERROR(__xludf.DUMMYFUNCTION("""COMPUTED_VALUE"""),"#N/A")</f>
        <v>#N/A</v>
      </c>
      <c r="AF11" s="138" t="str">
        <f ca="1">IFERROR(__xludf.DUMMYFUNCTION("""COMPUTED_VALUE"""),"#N/A")</f>
        <v>#N/A</v>
      </c>
      <c r="AG11" s="138" t="str">
        <f ca="1">IFERROR(__xludf.DUMMYFUNCTION("ArrayFormula(VLOOKUP(G11, IMPORTRANGE(""https://docs.google.com/spreadsheets/d/1Co934fvtviyaRiMsrIlT05Jaq7iiYq07aLvRr35KA48/edit?gid=173865642#gid=173865642"", ""'G10_Sci_Pri_LU'!G2:V2000""), {3, 4, 5, 6, 7, 8, 9, 10, 11, 12, 13, 14, 15, 16}, 0))"),"LU005443")</f>
        <v>LU005443</v>
      </c>
      <c r="AH11" s="138" t="str">
        <f ca="1">IFERROR(__xludf.DUMMYFUNCTION("""COMPUTED_VALUE"""),"Introduction to respiration in Plants")</f>
        <v>Introduction to respiration in Plants</v>
      </c>
      <c r="AI11" s="138" t="str">
        <f ca="1">IFERROR(__xludf.DUMMYFUNCTION("""COMPUTED_VALUE"""),"LU005444")</f>
        <v>LU005444</v>
      </c>
      <c r="AJ11" s="138" t="str">
        <f ca="1">IFERROR(__xludf.DUMMYFUNCTION("""COMPUTED_VALUE"""),"Compare Photosynthesis and Respiration in Plants")</f>
        <v>Compare Photosynthesis and Respiration in Plants</v>
      </c>
      <c r="AK11" s="138"/>
      <c r="AL11" s="138"/>
      <c r="AM11" s="138"/>
      <c r="AN11" s="138"/>
      <c r="AO11" s="138"/>
      <c r="AP11" s="138"/>
      <c r="AQ11" s="138"/>
      <c r="AR11" s="138"/>
      <c r="AS11" s="138"/>
      <c r="AT11" s="138"/>
    </row>
    <row r="12" spans="1:46">
      <c r="A12" s="54" t="s">
        <v>247</v>
      </c>
      <c r="B12" s="55" t="s">
        <v>47</v>
      </c>
      <c r="C12" s="55" t="s">
        <v>1172</v>
      </c>
      <c r="D12" s="55" t="s">
        <v>2463</v>
      </c>
      <c r="E12" s="55" t="s">
        <v>2464</v>
      </c>
      <c r="F12" s="55" t="s">
        <v>2479</v>
      </c>
      <c r="G12" s="55" t="s">
        <v>2480</v>
      </c>
      <c r="H12" s="54" t="str">
        <f ca="1">IFERROR(__xludf.DUMMYFUNCTION("VLOOKUP(G12, IMPORTRANGE(""https://docs.google.com/spreadsheets/d/14deopnvwcrKtEGCKuYXdUHJbeLDZlkiSSWWT0g7x2pM/edit#gid=849066331"", ""LU List Science (Filter)!A:B""), 2, FALSE)"),"Comparison of aquatic and terrestrial breathing mechanisms")</f>
        <v>Comparison of aquatic and terrestrial breathing mechanisms</v>
      </c>
      <c r="I12" s="55" t="str">
        <f t="shared" si="0"/>
        <v>LU006453.001</v>
      </c>
      <c r="J12" s="55" t="str">
        <f ca="1">IFERROR(__xludf.DUMMYFUNCTION("VLOOKUP(I12, IMPORTRANGE(""https://docs.google.com/spreadsheets/d/1yDAaXNsi4Mr5FtRQL4tbmSdIzhx6_m4wkOD7IG-k_eo/edit#gid=1336395716"", ""Science!M:N""), 2, FALSE)"),"(LU006453.001); Default - Remember")</f>
        <v>(LU006453.001); Default - Remember</v>
      </c>
      <c r="K12" s="55" t="str">
        <f t="shared" si="1"/>
        <v>LU006453.002</v>
      </c>
      <c r="L12" s="55" t="str">
        <f ca="1">IFERROR(__xludf.DUMMYFUNCTION("VLOOKUP(K12, IMPORTRANGE(""https://docs.google.com/spreadsheets/d/1yDAaXNsi4Mr5FtRQL4tbmSdIzhx6_m4wkOD7IG-k_eo/edit#gid=1336395716"", ""Science!M:N""), 2, FALSE)"),"(LU006453.002); Default - Understand")</f>
        <v>(LU006453.002); Default - Understand</v>
      </c>
      <c r="M12" s="55" t="str">
        <f t="shared" si="2"/>
        <v>LU006453.003</v>
      </c>
      <c r="N12" s="55" t="str">
        <f ca="1">IFERROR(__xludf.DUMMYFUNCTION("VLOOKUP(M12, IMPORTRANGE(""https://docs.google.com/spreadsheets/d/1yDAaXNsi4Mr5FtRQL4tbmSdIzhx6_m4wkOD7IG-k_eo/edit#gid=1336395716"", ""Science!M:N""), 2, FALSE)"),"(LU006453.003); Default - Apply")</f>
        <v>(LU006453.003); Default - Apply</v>
      </c>
      <c r="O12" s="55" t="str">
        <f t="shared" si="3"/>
        <v>LU006453.004</v>
      </c>
      <c r="P12" s="55" t="str">
        <f ca="1">IFERROR(__xludf.DUMMYFUNCTION("VLOOKUP(O12, IMPORTRANGE(""https://docs.google.com/spreadsheets/d/1yDAaXNsi4Mr5FtRQL4tbmSdIzhx6_m4wkOD7IG-k_eo/edit#gid=1336395716"", ""Science!M:N""), 2, FALSE)"),"(LU006453.004); Default - Analyse")</f>
        <v>(LU006453.004); Default - Analyse</v>
      </c>
      <c r="Q12" s="55" t="str">
        <f t="shared" si="4"/>
        <v>LU006453.005</v>
      </c>
      <c r="R12" s="55" t="str">
        <f ca="1">IFERROR(__xludf.DUMMYFUNCTION("VLOOKUP(Q12, IMPORTRANGE(""https://docs.google.com/spreadsheets/d/1yDAaXNsi4Mr5FtRQL4tbmSdIzhx6_m4wkOD7IG-k_eo/edit#gid=1336395716"", ""Science!M:N""), 2, FALSE)"),"(LU006453.005); Default - Evaluate")</f>
        <v>(LU006453.005); Default - Evaluate</v>
      </c>
      <c r="S12" s="55" t="str">
        <f t="shared" si="5"/>
        <v>LU006453.006</v>
      </c>
      <c r="T12" s="55" t="str">
        <f ca="1">IFERROR(__xludf.DUMMYFUNCTION("VLOOKUP(S12, IMPORTRANGE(""https://docs.google.com/spreadsheets/d/1yDAaXNsi4Mr5FtRQL4tbmSdIzhx6_m4wkOD7IG-k_eo/edit#gid=1336395716"", ""Science!M:N""), 2, FALSE)"),"(LU006453.006); Default - Create")</f>
        <v>(LU006453.006); Default - Create</v>
      </c>
      <c r="U12" s="137" t="str">
        <f ca="1">IFERROR(__xludf.DUMMYFUNCTION("ArrayFormula(VLOOKUP(G12, IMPORTRANGE(""https://docs.google.com/spreadsheets/d/1p7R4vtkWt5VOBim4ltsDG9KTzSjrtKXsMtQGXPHyND0/edit#gid=795171502"", ""'Filter 30_05_2024'!A1:M2000""), {2, 3, 4, 5,6,7,8,9,10,11,12,13}, 0))"),"#N/A")</f>
        <v>#N/A</v>
      </c>
      <c r="V12" s="137" t="str">
        <f ca="1">IFERROR(__xludf.DUMMYFUNCTION("""COMPUTED_VALUE"""),"#N/A")</f>
        <v>#N/A</v>
      </c>
      <c r="W12" s="137" t="str">
        <f ca="1">IFERROR(__xludf.DUMMYFUNCTION("""COMPUTED_VALUE"""),"#N/A")</f>
        <v>#N/A</v>
      </c>
      <c r="X12" s="137" t="str">
        <f ca="1">IFERROR(__xludf.DUMMYFUNCTION("""COMPUTED_VALUE"""),"#N/A")</f>
        <v>#N/A</v>
      </c>
      <c r="Y12" s="137" t="str">
        <f ca="1">IFERROR(__xludf.DUMMYFUNCTION("""COMPUTED_VALUE"""),"#N/A")</f>
        <v>#N/A</v>
      </c>
      <c r="Z12" s="138" t="str">
        <f ca="1">IFERROR(__xludf.DUMMYFUNCTION("""COMPUTED_VALUE"""),"#N/A")</f>
        <v>#N/A</v>
      </c>
      <c r="AA12" s="138" t="str">
        <f ca="1">IFERROR(__xludf.DUMMYFUNCTION("""COMPUTED_VALUE"""),"#N/A")</f>
        <v>#N/A</v>
      </c>
      <c r="AB12" s="138" t="str">
        <f ca="1">IFERROR(__xludf.DUMMYFUNCTION("""COMPUTED_VALUE"""),"#N/A")</f>
        <v>#N/A</v>
      </c>
      <c r="AC12" s="138" t="str">
        <f ca="1">IFERROR(__xludf.DUMMYFUNCTION("""COMPUTED_VALUE"""),"#N/A")</f>
        <v>#N/A</v>
      </c>
      <c r="AD12" s="138" t="str">
        <f ca="1">IFERROR(__xludf.DUMMYFUNCTION("""COMPUTED_VALUE"""),"#N/A")</f>
        <v>#N/A</v>
      </c>
      <c r="AE12" s="138" t="str">
        <f ca="1">IFERROR(__xludf.DUMMYFUNCTION("""COMPUTED_VALUE"""),"#N/A")</f>
        <v>#N/A</v>
      </c>
      <c r="AF12" s="138" t="str">
        <f ca="1">IFERROR(__xludf.DUMMYFUNCTION("""COMPUTED_VALUE"""),"#N/A")</f>
        <v>#N/A</v>
      </c>
      <c r="AG12" s="138" t="str">
        <f ca="1">IFERROR(__xludf.DUMMYFUNCTION("ArrayFormula(VLOOKUP(G12, IMPORTRANGE(""https://docs.google.com/spreadsheets/d/1Co934fvtviyaRiMsrIlT05Jaq7iiYq07aLvRr35KA48/edit?gid=173865642#gid=173865642"", ""'G10_Sci_Pri_LU'!G2:V2000""), {3, 4, 5, 6, 7, 8, 9, 10, 11, 12, 13, 14, 15, 16}, 0))"),"LU005442")</f>
        <v>LU005442</v>
      </c>
      <c r="AH12" s="138" t="str">
        <f ca="1">IFERROR(__xludf.DUMMYFUNCTION("""COMPUTED_VALUE"""),"General Mechanism of Breathing in other animals(non-humans)")</f>
        <v>General Mechanism of Breathing in other animals(non-humans)</v>
      </c>
      <c r="AI12" s="138" t="str">
        <f ca="1">IFERROR(__xludf.DUMMYFUNCTION("""COMPUTED_VALUE"""),"LU005894")</f>
        <v>LU005894</v>
      </c>
      <c r="AJ12" s="138" t="str">
        <f ca="1">IFERROR(__xludf.DUMMYFUNCTION("""COMPUTED_VALUE"""),"Presence of oxygen in water and soil")</f>
        <v>Presence of oxygen in water and soil</v>
      </c>
      <c r="AK12" s="138"/>
      <c r="AL12" s="138"/>
      <c r="AM12" s="138"/>
      <c r="AN12" s="138"/>
      <c r="AO12" s="138"/>
      <c r="AP12" s="138"/>
      <c r="AQ12" s="138"/>
      <c r="AR12" s="138"/>
      <c r="AS12" s="138"/>
      <c r="AT12" s="138"/>
    </row>
    <row r="13" spans="1:46">
      <c r="A13" s="54" t="s">
        <v>247</v>
      </c>
      <c r="B13" s="55" t="s">
        <v>47</v>
      </c>
      <c r="C13" s="55" t="s">
        <v>1172</v>
      </c>
      <c r="D13" s="55" t="s">
        <v>2463</v>
      </c>
      <c r="E13" s="55" t="s">
        <v>2464</v>
      </c>
      <c r="F13" s="55" t="s">
        <v>2479</v>
      </c>
      <c r="G13" s="55" t="s">
        <v>2481</v>
      </c>
      <c r="H13" s="54" t="str">
        <f ca="1">IFERROR(__xludf.DUMMYFUNCTION("VLOOKUP(G13, IMPORTRANGE(""https://docs.google.com/spreadsheets/d/14deopnvwcrKtEGCKuYXdUHJbeLDZlkiSSWWT0g7x2pM/edit#gid=849066331"", ""LU List Science (Filter)!A:B""), 2, FALSE)"),"Role of lungs and hemoglobin in gaseous exchange in humans ")</f>
        <v xml:space="preserve">Role of lungs and hemoglobin in gaseous exchange in humans </v>
      </c>
      <c r="I13" s="55" t="str">
        <f t="shared" si="0"/>
        <v>LU006454.001</v>
      </c>
      <c r="J13" s="55" t="str">
        <f ca="1">IFERROR(__xludf.DUMMYFUNCTION("VLOOKUP(I13, IMPORTRANGE(""https://docs.google.com/spreadsheets/d/1yDAaXNsi4Mr5FtRQL4tbmSdIzhx6_m4wkOD7IG-k_eo/edit#gid=1336395716"", ""Science!M:N""), 2, FALSE)"),"(LU006454.001); Default - Remember")</f>
        <v>(LU006454.001); Default - Remember</v>
      </c>
      <c r="K13" s="55" t="str">
        <f t="shared" si="1"/>
        <v>LU006454.002</v>
      </c>
      <c r="L13" s="55" t="str">
        <f ca="1">IFERROR(__xludf.DUMMYFUNCTION("VLOOKUP(K13, IMPORTRANGE(""https://docs.google.com/spreadsheets/d/1yDAaXNsi4Mr5FtRQL4tbmSdIzhx6_m4wkOD7IG-k_eo/edit#gid=1336395716"", ""Science!M:N""), 2, FALSE)"),"(LU006454.002); Default - Understand")</f>
        <v>(LU006454.002); Default - Understand</v>
      </c>
      <c r="M13" s="55" t="str">
        <f t="shared" si="2"/>
        <v>LU006454.003</v>
      </c>
      <c r="N13" s="55" t="str">
        <f ca="1">IFERROR(__xludf.DUMMYFUNCTION("VLOOKUP(M13, IMPORTRANGE(""https://docs.google.com/spreadsheets/d/1yDAaXNsi4Mr5FtRQL4tbmSdIzhx6_m4wkOD7IG-k_eo/edit#gid=1336395716"", ""Science!M:N""), 2, FALSE)"),"(LU006454.003); Default - Apply")</f>
        <v>(LU006454.003); Default - Apply</v>
      </c>
      <c r="O13" s="55" t="str">
        <f t="shared" si="3"/>
        <v>LU006454.004</v>
      </c>
      <c r="P13" s="55" t="str">
        <f ca="1">IFERROR(__xludf.DUMMYFUNCTION("VLOOKUP(O13, IMPORTRANGE(""https://docs.google.com/spreadsheets/d/1yDAaXNsi4Mr5FtRQL4tbmSdIzhx6_m4wkOD7IG-k_eo/edit#gid=1336395716"", ""Science!M:N""), 2, FALSE)"),"(LU006454.004); Default - Analyse")</f>
        <v>(LU006454.004); Default - Analyse</v>
      </c>
      <c r="Q13" s="55" t="str">
        <f t="shared" si="4"/>
        <v>LU006454.005</v>
      </c>
      <c r="R13" s="55" t="str">
        <f ca="1">IFERROR(__xludf.DUMMYFUNCTION("VLOOKUP(Q13, IMPORTRANGE(""https://docs.google.com/spreadsheets/d/1yDAaXNsi4Mr5FtRQL4tbmSdIzhx6_m4wkOD7IG-k_eo/edit#gid=1336395716"", ""Science!M:N""), 2, FALSE)"),"(LU006454.005); Default - Evaluate")</f>
        <v>(LU006454.005); Default - Evaluate</v>
      </c>
      <c r="S13" s="55" t="str">
        <f t="shared" si="5"/>
        <v>LU006454.006</v>
      </c>
      <c r="T13" s="55" t="str">
        <f ca="1">IFERROR(__xludf.DUMMYFUNCTION("VLOOKUP(S13, IMPORTRANGE(""https://docs.google.com/spreadsheets/d/1yDAaXNsi4Mr5FtRQL4tbmSdIzhx6_m4wkOD7IG-k_eo/edit#gid=1336395716"", ""Science!M:N""), 2, FALSE)"),"(LU006454.006); Default - Create")</f>
        <v>(LU006454.006); Default - Create</v>
      </c>
      <c r="U13" s="137" t="str">
        <f ca="1">IFERROR(__xludf.DUMMYFUNCTION("ArrayFormula(VLOOKUP(G13, IMPORTRANGE(""https://docs.google.com/spreadsheets/d/1p7R4vtkWt5VOBim4ltsDG9KTzSjrtKXsMtQGXPHyND0/edit#gid=795171502"", ""'Filter 30_05_2024'!A1:M2000""), {2, 3, 4, 5,6,7,8,9,10,11,12,13}, 0))"),"#N/A")</f>
        <v>#N/A</v>
      </c>
      <c r="V13" s="137" t="str">
        <f ca="1">IFERROR(__xludf.DUMMYFUNCTION("""COMPUTED_VALUE"""),"#N/A")</f>
        <v>#N/A</v>
      </c>
      <c r="W13" s="137" t="str">
        <f ca="1">IFERROR(__xludf.DUMMYFUNCTION("""COMPUTED_VALUE"""),"#N/A")</f>
        <v>#N/A</v>
      </c>
      <c r="X13" s="137" t="str">
        <f ca="1">IFERROR(__xludf.DUMMYFUNCTION("""COMPUTED_VALUE"""),"#N/A")</f>
        <v>#N/A</v>
      </c>
      <c r="Y13" s="137" t="str">
        <f ca="1">IFERROR(__xludf.DUMMYFUNCTION("""COMPUTED_VALUE"""),"#N/A")</f>
        <v>#N/A</v>
      </c>
      <c r="Z13" s="138" t="str">
        <f ca="1">IFERROR(__xludf.DUMMYFUNCTION("""COMPUTED_VALUE"""),"#N/A")</f>
        <v>#N/A</v>
      </c>
      <c r="AA13" s="138" t="str">
        <f ca="1">IFERROR(__xludf.DUMMYFUNCTION("""COMPUTED_VALUE"""),"#N/A")</f>
        <v>#N/A</v>
      </c>
      <c r="AB13" s="138" t="str">
        <f ca="1">IFERROR(__xludf.DUMMYFUNCTION("""COMPUTED_VALUE"""),"#N/A")</f>
        <v>#N/A</v>
      </c>
      <c r="AC13" s="138" t="str">
        <f ca="1">IFERROR(__xludf.DUMMYFUNCTION("""COMPUTED_VALUE"""),"#N/A")</f>
        <v>#N/A</v>
      </c>
      <c r="AD13" s="138" t="str">
        <f ca="1">IFERROR(__xludf.DUMMYFUNCTION("""COMPUTED_VALUE"""),"#N/A")</f>
        <v>#N/A</v>
      </c>
      <c r="AE13" s="138" t="str">
        <f ca="1">IFERROR(__xludf.DUMMYFUNCTION("""COMPUTED_VALUE"""),"#N/A")</f>
        <v>#N/A</v>
      </c>
      <c r="AF13" s="138" t="str">
        <f ca="1">IFERROR(__xludf.DUMMYFUNCTION("""COMPUTED_VALUE"""),"#N/A")</f>
        <v>#N/A</v>
      </c>
      <c r="AG13" s="138" t="str">
        <f ca="1">IFERROR(__xludf.DUMMYFUNCTION("ArrayFormula(VLOOKUP(G13, IMPORTRANGE(""https://docs.google.com/spreadsheets/d/1Co934fvtviyaRiMsrIlT05Jaq7iiYq07aLvRr35KA48/edit?gid=173865642#gid=173865642"", ""'G10_Sci_Pri_LU'!G2:V2000""), {3, 4, 5, 6, 7, 8, 9, 10, 11, 12, 13, 14, 15, 16}, 0))"),"LU005439")</f>
        <v>LU005439</v>
      </c>
      <c r="AH13" s="138" t="str">
        <f ca="1">IFERROR(__xludf.DUMMYFUNCTION("""COMPUTED_VALUE"""),"Definition of Human Respiratory System")</f>
        <v>Definition of Human Respiratory System</v>
      </c>
      <c r="AI13" s="138" t="str">
        <f ca="1">IFERROR(__xludf.DUMMYFUNCTION("""COMPUTED_VALUE"""),"LU005440")</f>
        <v>LU005440</v>
      </c>
      <c r="AJ13" s="138" t="str">
        <f ca="1">IFERROR(__xludf.DUMMYFUNCTION("""COMPUTED_VALUE"""),"Mechanism of Breathing in Humans")</f>
        <v>Mechanism of Breathing in Humans</v>
      </c>
      <c r="AK13" s="138"/>
      <c r="AL13" s="138"/>
      <c r="AM13" s="138"/>
      <c r="AN13" s="138"/>
      <c r="AO13" s="138"/>
      <c r="AP13" s="138"/>
      <c r="AQ13" s="138"/>
      <c r="AR13" s="138"/>
      <c r="AS13" s="138"/>
      <c r="AT13" s="138"/>
    </row>
    <row r="14" spans="1:46">
      <c r="A14" s="54" t="s">
        <v>247</v>
      </c>
      <c r="B14" s="139" t="s">
        <v>47</v>
      </c>
      <c r="C14" s="139" t="s">
        <v>1172</v>
      </c>
      <c r="D14" s="139" t="s">
        <v>2463</v>
      </c>
      <c r="E14" s="139" t="s">
        <v>2464</v>
      </c>
      <c r="F14" s="141" t="s">
        <v>2482</v>
      </c>
      <c r="G14" s="139" t="s">
        <v>2483</v>
      </c>
      <c r="H14" s="140" t="str">
        <f ca="1">IFERROR(__xludf.DUMMYFUNCTION("VLOOKUP(G14, IMPORTRANGE(""https://docs.google.com/spreadsheets/d/14deopnvwcrKtEGCKuYXdUHJbeLDZlkiSSWWT0g7x2pM/edit#gid=849066331"", ""LU List Science (Filter)!A:B""), 2, FALSE)"),"Parts of Human Heart")</f>
        <v>Parts of Human Heart</v>
      </c>
      <c r="I14" s="55" t="str">
        <f t="shared" si="0"/>
        <v>LU006585.001</v>
      </c>
      <c r="J14" s="55" t="str">
        <f ca="1">IFERROR(__xludf.DUMMYFUNCTION("VLOOKUP(I14, IMPORTRANGE(""https://docs.google.com/spreadsheets/d/1yDAaXNsi4Mr5FtRQL4tbmSdIzhx6_m4wkOD7IG-k_eo/edit#gid=1336395716"", ""Science!M:N""), 2, FALSE)"),"(LU006585.001); Default - Remember")</f>
        <v>(LU006585.001); Default - Remember</v>
      </c>
      <c r="K14" s="55" t="str">
        <f t="shared" si="1"/>
        <v>LU006585.002</v>
      </c>
      <c r="L14" s="55" t="str">
        <f ca="1">IFERROR(__xludf.DUMMYFUNCTION("VLOOKUP(K14, IMPORTRANGE(""https://docs.google.com/spreadsheets/d/1yDAaXNsi4Mr5FtRQL4tbmSdIzhx6_m4wkOD7IG-k_eo/edit#gid=1336395716"", ""Science!M:N""), 2, FALSE)"),"(LU006585.002); Default - Understand")</f>
        <v>(LU006585.002); Default - Understand</v>
      </c>
      <c r="M14" s="55" t="str">
        <f t="shared" si="2"/>
        <v>LU006585.003</v>
      </c>
      <c r="N14" s="55" t="str">
        <f ca="1">IFERROR(__xludf.DUMMYFUNCTION("VLOOKUP(M14, IMPORTRANGE(""https://docs.google.com/spreadsheets/d/1yDAaXNsi4Mr5FtRQL4tbmSdIzhx6_m4wkOD7IG-k_eo/edit#gid=1336395716"", ""Science!M:N""), 2, FALSE)"),"(LU006585.003); Default - Apply")</f>
        <v>(LU006585.003); Default - Apply</v>
      </c>
      <c r="O14" s="55" t="str">
        <f t="shared" si="3"/>
        <v>LU006585.004</v>
      </c>
      <c r="P14" s="55" t="str">
        <f ca="1">IFERROR(__xludf.DUMMYFUNCTION("VLOOKUP(O14, IMPORTRANGE(""https://docs.google.com/spreadsheets/d/1yDAaXNsi4Mr5FtRQL4tbmSdIzhx6_m4wkOD7IG-k_eo/edit#gid=1336395716"", ""Science!M:N""), 2, FALSE)"),"(LU006585.004); Default - Analyse")</f>
        <v>(LU006585.004); Default - Analyse</v>
      </c>
      <c r="Q14" s="55" t="str">
        <f t="shared" si="4"/>
        <v>LU006585.005</v>
      </c>
      <c r="R14" s="55" t="str">
        <f ca="1">IFERROR(__xludf.DUMMYFUNCTION("VLOOKUP(Q14, IMPORTRANGE(""https://docs.google.com/spreadsheets/d/1yDAaXNsi4Mr5FtRQL4tbmSdIzhx6_m4wkOD7IG-k_eo/edit#gid=1336395716"", ""Science!M:N""), 2, FALSE)"),"(LU006585.005); Default - Evaluate")</f>
        <v>(LU006585.005); Default - Evaluate</v>
      </c>
      <c r="S14" s="55" t="str">
        <f t="shared" si="5"/>
        <v>LU006585.006</v>
      </c>
      <c r="T14" s="55" t="str">
        <f ca="1">IFERROR(__xludf.DUMMYFUNCTION("VLOOKUP(S14, IMPORTRANGE(""https://docs.google.com/spreadsheets/d/1yDAaXNsi4Mr5FtRQL4tbmSdIzhx6_m4wkOD7IG-k_eo/edit#gid=1336395716"", ""Science!M:N""), 2, FALSE)"),"(LU006585.006); Default - Create")</f>
        <v>(LU006585.006); Default - Create</v>
      </c>
      <c r="U14" s="137" t="str">
        <f ca="1">IFERROR(__xludf.DUMMYFUNCTION("ArrayFormula(VLOOKUP(G14, IMPORTRANGE(""https://docs.google.com/spreadsheets/d/1p7R4vtkWt5VOBim4ltsDG9KTzSjrtKXsMtQGXPHyND0/edit#gid=795171502"", ""'Filter 30_05_2024'!A1:M2000""), {2, 3, 4, 5,6,7,8,9,10,11,12,13}, 0))"),"#N/A")</f>
        <v>#N/A</v>
      </c>
      <c r="V14" s="142" t="str">
        <f ca="1">IFERROR(__xludf.DUMMYFUNCTION("""COMPUTED_VALUE"""),"#N/A")</f>
        <v>#N/A</v>
      </c>
      <c r="W14" s="142" t="str">
        <f ca="1">IFERROR(__xludf.DUMMYFUNCTION("""COMPUTED_VALUE"""),"#N/A")</f>
        <v>#N/A</v>
      </c>
      <c r="X14" s="142" t="str">
        <f ca="1">IFERROR(__xludf.DUMMYFUNCTION("""COMPUTED_VALUE"""),"#N/A")</f>
        <v>#N/A</v>
      </c>
      <c r="Y14" s="142" t="str">
        <f ca="1">IFERROR(__xludf.DUMMYFUNCTION("""COMPUTED_VALUE"""),"#N/A")</f>
        <v>#N/A</v>
      </c>
      <c r="Z14" s="143" t="str">
        <f ca="1">IFERROR(__xludf.DUMMYFUNCTION("""COMPUTED_VALUE"""),"#N/A")</f>
        <v>#N/A</v>
      </c>
      <c r="AA14" s="143" t="str">
        <f ca="1">IFERROR(__xludf.DUMMYFUNCTION("""COMPUTED_VALUE"""),"#N/A")</f>
        <v>#N/A</v>
      </c>
      <c r="AB14" s="143" t="str">
        <f ca="1">IFERROR(__xludf.DUMMYFUNCTION("""COMPUTED_VALUE"""),"#N/A")</f>
        <v>#N/A</v>
      </c>
      <c r="AC14" s="143" t="str">
        <f ca="1">IFERROR(__xludf.DUMMYFUNCTION("""COMPUTED_VALUE"""),"#N/A")</f>
        <v>#N/A</v>
      </c>
      <c r="AD14" s="143" t="str">
        <f ca="1">IFERROR(__xludf.DUMMYFUNCTION("""COMPUTED_VALUE"""),"#N/A")</f>
        <v>#N/A</v>
      </c>
      <c r="AE14" s="143" t="str">
        <f ca="1">IFERROR(__xludf.DUMMYFUNCTION("""COMPUTED_VALUE"""),"#N/A")</f>
        <v>#N/A</v>
      </c>
      <c r="AF14" s="143" t="str">
        <f ca="1">IFERROR(__xludf.DUMMYFUNCTION("""COMPUTED_VALUE"""),"#N/A")</f>
        <v>#N/A</v>
      </c>
      <c r="AG14" s="138" t="str">
        <f ca="1">IFERROR(__xludf.DUMMYFUNCTION("ArrayFormula(VLOOKUP(G14, IMPORTRANGE(""https://docs.google.com/spreadsheets/d/1Co934fvtviyaRiMsrIlT05Jaq7iiYq07aLvRr35KA48/edit?gid=173865642#gid=173865642"", ""'G10_Sci_Pri_LU'!G2:V2000""), {3, 4, 5, 6, 7, 8, 9, 10, 11, 12, 13, 14, 15, 16}, 0))"),"LU005454")</f>
        <v>LU005454</v>
      </c>
      <c r="AH14" s="143" t="str">
        <f ca="1">IFERROR(__xludf.DUMMYFUNCTION("""COMPUTED_VALUE"""),"Body Parts in Human Circulatory System")</f>
        <v>Body Parts in Human Circulatory System</v>
      </c>
      <c r="AI14" s="143" t="str">
        <f ca="1">IFERROR(__xludf.DUMMYFUNCTION("""COMPUTED_VALUE"""),"LU005956")</f>
        <v>LU005956</v>
      </c>
      <c r="AJ14" s="143" t="str">
        <f ca="1">IFERROR(__xludf.DUMMYFUNCTION("""COMPUTED_VALUE"""),"Types of human blood vessels")</f>
        <v>Types of human blood vessels</v>
      </c>
      <c r="AK14" s="143" t="str">
        <f ca="1">IFERROR(__xludf.DUMMYFUNCTION("""COMPUTED_VALUE"""),"LU005957")</f>
        <v>LU005957</v>
      </c>
      <c r="AL14" s="143" t="str">
        <f ca="1">IFERROR(__xludf.DUMMYFUNCTION("""COMPUTED_VALUE"""),"Structure and function of human heart")</f>
        <v>Structure and function of human heart</v>
      </c>
      <c r="AM14" s="143"/>
      <c r="AN14" s="143"/>
      <c r="AO14" s="143"/>
      <c r="AP14" s="143"/>
      <c r="AQ14" s="143"/>
      <c r="AR14" s="143"/>
      <c r="AS14" s="143"/>
      <c r="AT14" s="143"/>
    </row>
    <row r="15" spans="1:46">
      <c r="A15" s="54" t="s">
        <v>247</v>
      </c>
      <c r="B15" s="55" t="s">
        <v>47</v>
      </c>
      <c r="C15" s="55" t="s">
        <v>1172</v>
      </c>
      <c r="D15" s="55" t="s">
        <v>2463</v>
      </c>
      <c r="E15" s="55" t="s">
        <v>2464</v>
      </c>
      <c r="F15" s="141" t="s">
        <v>2482</v>
      </c>
      <c r="G15" s="55" t="s">
        <v>2484</v>
      </c>
      <c r="H15" s="54" t="str">
        <f ca="1">IFERROR(__xludf.DUMMYFUNCTION("VLOOKUP(G15, IMPORTRANGE(""https://docs.google.com/spreadsheets/d/14deopnvwcrKtEGCKuYXdUHJbeLDZlkiSSWWT0g7x2pM/edit#gid=849066331"", ""LU List Science (Filter)!A:B""), 2, FALSE)"),"Summarisation of blood flow through heart chambers")</f>
        <v>Summarisation of blood flow through heart chambers</v>
      </c>
      <c r="I15" s="55" t="str">
        <f t="shared" si="0"/>
        <v>LU006455.001</v>
      </c>
      <c r="J15" s="55" t="str">
        <f ca="1">IFERROR(__xludf.DUMMYFUNCTION("VLOOKUP(I15, IMPORTRANGE(""https://docs.google.com/spreadsheets/d/1yDAaXNsi4Mr5FtRQL4tbmSdIzhx6_m4wkOD7IG-k_eo/edit#gid=1336395716"", ""Science!M:N""), 2, FALSE)"),"(LU006455.001); Default - Remember")</f>
        <v>(LU006455.001); Default - Remember</v>
      </c>
      <c r="K15" s="55" t="str">
        <f t="shared" si="1"/>
        <v>LU006455.002</v>
      </c>
      <c r="L15" s="55" t="str">
        <f ca="1">IFERROR(__xludf.DUMMYFUNCTION("VLOOKUP(K15, IMPORTRANGE(""https://docs.google.com/spreadsheets/d/1yDAaXNsi4Mr5FtRQL4tbmSdIzhx6_m4wkOD7IG-k_eo/edit#gid=1336395716"", ""Science!M:N""), 2, FALSE)"),"(LU006455.002); Default - Understand")</f>
        <v>(LU006455.002); Default - Understand</v>
      </c>
      <c r="M15" s="55" t="str">
        <f t="shared" si="2"/>
        <v>LU006455.003</v>
      </c>
      <c r="N15" s="55" t="str">
        <f ca="1">IFERROR(__xludf.DUMMYFUNCTION("VLOOKUP(M15, IMPORTRANGE(""https://docs.google.com/spreadsheets/d/1yDAaXNsi4Mr5FtRQL4tbmSdIzhx6_m4wkOD7IG-k_eo/edit#gid=1336395716"", ""Science!M:N""), 2, FALSE)"),"(LU006455.003); Default - Apply")</f>
        <v>(LU006455.003); Default - Apply</v>
      </c>
      <c r="O15" s="55" t="str">
        <f t="shared" si="3"/>
        <v>LU006455.004</v>
      </c>
      <c r="P15" s="55" t="str">
        <f ca="1">IFERROR(__xludf.DUMMYFUNCTION("VLOOKUP(O15, IMPORTRANGE(""https://docs.google.com/spreadsheets/d/1yDAaXNsi4Mr5FtRQL4tbmSdIzhx6_m4wkOD7IG-k_eo/edit#gid=1336395716"", ""Science!M:N""), 2, FALSE)"),"(LU006455.004); Default - Analyse")</f>
        <v>(LU006455.004); Default - Analyse</v>
      </c>
      <c r="Q15" s="55" t="str">
        <f t="shared" si="4"/>
        <v>LU006455.005</v>
      </c>
      <c r="R15" s="55" t="str">
        <f ca="1">IFERROR(__xludf.DUMMYFUNCTION("VLOOKUP(Q15, IMPORTRANGE(""https://docs.google.com/spreadsheets/d/1yDAaXNsi4Mr5FtRQL4tbmSdIzhx6_m4wkOD7IG-k_eo/edit#gid=1336395716"", ""Science!M:N""), 2, FALSE)"),"(LU006455.005); Default - Evaluate")</f>
        <v>(LU006455.005); Default - Evaluate</v>
      </c>
      <c r="S15" s="55" t="str">
        <f t="shared" si="5"/>
        <v>LU006455.006</v>
      </c>
      <c r="T15" s="55" t="str">
        <f ca="1">IFERROR(__xludf.DUMMYFUNCTION("VLOOKUP(S15, IMPORTRANGE(""https://docs.google.com/spreadsheets/d/1yDAaXNsi4Mr5FtRQL4tbmSdIzhx6_m4wkOD7IG-k_eo/edit#gid=1336395716"", ""Science!M:N""), 2, FALSE)"),"(LU006455.006); Default - Create")</f>
        <v>(LU006455.006); Default - Create</v>
      </c>
      <c r="U15" s="137" t="str">
        <f ca="1">IFERROR(__xludf.DUMMYFUNCTION("ArrayFormula(VLOOKUP(G15, IMPORTRANGE(""https://docs.google.com/spreadsheets/d/1p7R4vtkWt5VOBim4ltsDG9KTzSjrtKXsMtQGXPHyND0/edit#gid=795171502"", ""'Filter 30_05_2024'!A1:M2000""), {2, 3, 4, 5,6,7,8,9,10,11,12,13}, 0))"),"#N/A")</f>
        <v>#N/A</v>
      </c>
      <c r="V15" s="137" t="str">
        <f ca="1">IFERROR(__xludf.DUMMYFUNCTION("""COMPUTED_VALUE"""),"#N/A")</f>
        <v>#N/A</v>
      </c>
      <c r="W15" s="137" t="str">
        <f ca="1">IFERROR(__xludf.DUMMYFUNCTION("""COMPUTED_VALUE"""),"#N/A")</f>
        <v>#N/A</v>
      </c>
      <c r="X15" s="137" t="str">
        <f ca="1">IFERROR(__xludf.DUMMYFUNCTION("""COMPUTED_VALUE"""),"#N/A")</f>
        <v>#N/A</v>
      </c>
      <c r="Y15" s="137" t="str">
        <f ca="1">IFERROR(__xludf.DUMMYFUNCTION("""COMPUTED_VALUE"""),"#N/A")</f>
        <v>#N/A</v>
      </c>
      <c r="Z15" s="138" t="str">
        <f ca="1">IFERROR(__xludf.DUMMYFUNCTION("""COMPUTED_VALUE"""),"#N/A")</f>
        <v>#N/A</v>
      </c>
      <c r="AA15" s="138" t="str">
        <f ca="1">IFERROR(__xludf.DUMMYFUNCTION("""COMPUTED_VALUE"""),"#N/A")</f>
        <v>#N/A</v>
      </c>
      <c r="AB15" s="138" t="str">
        <f ca="1">IFERROR(__xludf.DUMMYFUNCTION("""COMPUTED_VALUE"""),"#N/A")</f>
        <v>#N/A</v>
      </c>
      <c r="AC15" s="138" t="str">
        <f ca="1">IFERROR(__xludf.DUMMYFUNCTION("""COMPUTED_VALUE"""),"#N/A")</f>
        <v>#N/A</v>
      </c>
      <c r="AD15" s="138" t="str">
        <f ca="1">IFERROR(__xludf.DUMMYFUNCTION("""COMPUTED_VALUE"""),"#N/A")</f>
        <v>#N/A</v>
      </c>
      <c r="AE15" s="138" t="str">
        <f ca="1">IFERROR(__xludf.DUMMYFUNCTION("""COMPUTED_VALUE"""),"#N/A")</f>
        <v>#N/A</v>
      </c>
      <c r="AF15" s="138" t="str">
        <f ca="1">IFERROR(__xludf.DUMMYFUNCTION("""COMPUTED_VALUE"""),"#N/A")</f>
        <v>#N/A</v>
      </c>
      <c r="AG15" s="138" t="str">
        <f ca="1">IFERROR(__xludf.DUMMYFUNCTION("ArrayFormula(VLOOKUP(G15, IMPORTRANGE(""https://docs.google.com/spreadsheets/d/1Co934fvtviyaRiMsrIlT05Jaq7iiYq07aLvRr35KA48/edit?gid=173865642#gid=173865642"", ""'G10_Sci_Pri_LU'!G2:V2000""), {3, 4, 5, 6, 7, 8, 9, 10, 11, 12, 13, 14, 15, 16}, 0))"),"LU005958")</f>
        <v>LU005958</v>
      </c>
      <c r="AH15" s="138" t="str">
        <f ca="1">IFERROR(__xludf.DUMMYFUNCTION("""COMPUTED_VALUE"""),"Schematics of human circulatory system")</f>
        <v>Schematics of human circulatory system</v>
      </c>
      <c r="AI15" s="138" t="str">
        <f ca="1">IFERROR(__xludf.DUMMYFUNCTION("""COMPUTED_VALUE"""),"LU005957")</f>
        <v>LU005957</v>
      </c>
      <c r="AJ15" s="138" t="str">
        <f ca="1">IFERROR(__xludf.DUMMYFUNCTION("""COMPUTED_VALUE"""),"Structure and function of human heart")</f>
        <v>Structure and function of human heart</v>
      </c>
      <c r="AK15" s="138" t="str">
        <f ca="1">IFERROR(__xludf.DUMMYFUNCTION("""COMPUTED_VALUE"""),"LU005455")</f>
        <v>LU005455</v>
      </c>
      <c r="AL15" s="138" t="str">
        <f ca="1">IFERROR(__xludf.DUMMYFUNCTION("""COMPUTED_VALUE"""),"Definition of human blood")</f>
        <v>Definition of human blood</v>
      </c>
      <c r="AM15" s="138"/>
      <c r="AN15" s="138"/>
      <c r="AO15" s="138"/>
      <c r="AP15" s="138"/>
      <c r="AQ15" s="138"/>
      <c r="AR15" s="138"/>
      <c r="AS15" s="138"/>
      <c r="AT15" s="138"/>
    </row>
    <row r="16" spans="1:46">
      <c r="A16" s="54" t="s">
        <v>247</v>
      </c>
      <c r="B16" s="55" t="s">
        <v>47</v>
      </c>
      <c r="C16" s="55" t="s">
        <v>1172</v>
      </c>
      <c r="D16" s="55" t="s">
        <v>2463</v>
      </c>
      <c r="E16" s="55" t="s">
        <v>2464</v>
      </c>
      <c r="F16" s="141" t="s">
        <v>2485</v>
      </c>
      <c r="G16" s="55" t="s">
        <v>2486</v>
      </c>
      <c r="H16" s="54" t="str">
        <f ca="1">IFERROR(__xludf.DUMMYFUNCTION("VLOOKUP(G16, IMPORTRANGE(""https://docs.google.com/spreadsheets/d/14deopnvwcrKtEGCKuYXdUHJbeLDZlkiSSWWT0g7x2pM/edit#gid=849066331"", ""LU List Science (Filter)!A:B""), 2, FALSE)"),"Double circulation as an efficient mode of blood transportation")</f>
        <v>Double circulation as an efficient mode of blood transportation</v>
      </c>
      <c r="I16" s="55" t="str">
        <f t="shared" si="0"/>
        <v>LU006456.001</v>
      </c>
      <c r="J16" s="55" t="str">
        <f ca="1">IFERROR(__xludf.DUMMYFUNCTION("VLOOKUP(I16, IMPORTRANGE(""https://docs.google.com/spreadsheets/d/1yDAaXNsi4Mr5FtRQL4tbmSdIzhx6_m4wkOD7IG-k_eo/edit#gid=1336395716"", ""Science!M:N""), 2, FALSE)"),"(LU006456.001); Default - Remember")</f>
        <v>(LU006456.001); Default - Remember</v>
      </c>
      <c r="K16" s="55" t="str">
        <f t="shared" si="1"/>
        <v>LU006456.002</v>
      </c>
      <c r="L16" s="55" t="str">
        <f ca="1">IFERROR(__xludf.DUMMYFUNCTION("VLOOKUP(K16, IMPORTRANGE(""https://docs.google.com/spreadsheets/d/1yDAaXNsi4Mr5FtRQL4tbmSdIzhx6_m4wkOD7IG-k_eo/edit#gid=1336395716"", ""Science!M:N""), 2, FALSE)"),"(LU006456.002); Default - Understand")</f>
        <v>(LU006456.002); Default - Understand</v>
      </c>
      <c r="M16" s="55" t="str">
        <f t="shared" si="2"/>
        <v>LU006456.003</v>
      </c>
      <c r="N16" s="55" t="str">
        <f ca="1">IFERROR(__xludf.DUMMYFUNCTION("VLOOKUP(M16, IMPORTRANGE(""https://docs.google.com/spreadsheets/d/1yDAaXNsi4Mr5FtRQL4tbmSdIzhx6_m4wkOD7IG-k_eo/edit#gid=1336395716"", ""Science!M:N""), 2, FALSE)"),"(LU006456.003); Default - Apply")</f>
        <v>(LU006456.003); Default - Apply</v>
      </c>
      <c r="O16" s="55" t="str">
        <f t="shared" si="3"/>
        <v>LU006456.004</v>
      </c>
      <c r="P16" s="55" t="str">
        <f ca="1">IFERROR(__xludf.DUMMYFUNCTION("VLOOKUP(O16, IMPORTRANGE(""https://docs.google.com/spreadsheets/d/1yDAaXNsi4Mr5FtRQL4tbmSdIzhx6_m4wkOD7IG-k_eo/edit#gid=1336395716"", ""Science!M:N""), 2, FALSE)"),"(LU006456.004); Default - Analyse")</f>
        <v>(LU006456.004); Default - Analyse</v>
      </c>
      <c r="Q16" s="55" t="str">
        <f t="shared" si="4"/>
        <v>LU006456.005</v>
      </c>
      <c r="R16" s="55" t="str">
        <f ca="1">IFERROR(__xludf.DUMMYFUNCTION("VLOOKUP(Q16, IMPORTRANGE(""https://docs.google.com/spreadsheets/d/1yDAaXNsi4Mr5FtRQL4tbmSdIzhx6_m4wkOD7IG-k_eo/edit#gid=1336395716"", ""Science!M:N""), 2, FALSE)"),"(LU006456.005); Default - Evaluate")</f>
        <v>(LU006456.005); Default - Evaluate</v>
      </c>
      <c r="S16" s="55" t="str">
        <f t="shared" si="5"/>
        <v>LU006456.006</v>
      </c>
      <c r="T16" s="55" t="str">
        <f ca="1">IFERROR(__xludf.DUMMYFUNCTION("VLOOKUP(S16, IMPORTRANGE(""https://docs.google.com/spreadsheets/d/1yDAaXNsi4Mr5FtRQL4tbmSdIzhx6_m4wkOD7IG-k_eo/edit#gid=1336395716"", ""Science!M:N""), 2, FALSE)"),"(LU006456.006); Default - Create")</f>
        <v>(LU006456.006); Default - Create</v>
      </c>
      <c r="U16" s="137" t="str">
        <f ca="1">IFERROR(__xludf.DUMMYFUNCTION("ArrayFormula(VLOOKUP(G16, IMPORTRANGE(""https://docs.google.com/spreadsheets/d/1p7R4vtkWt5VOBim4ltsDG9KTzSjrtKXsMtQGXPHyND0/edit#gid=795171502"", ""'Filter 30_05_2024'!A1:M2000""), {2, 3, 4, 5,6,7,8,9,10,11,12,13}, 0))"),"#N/A")</f>
        <v>#N/A</v>
      </c>
      <c r="V16" s="137" t="str">
        <f ca="1">IFERROR(__xludf.DUMMYFUNCTION("""COMPUTED_VALUE"""),"#N/A")</f>
        <v>#N/A</v>
      </c>
      <c r="W16" s="137" t="str">
        <f ca="1">IFERROR(__xludf.DUMMYFUNCTION("""COMPUTED_VALUE"""),"#N/A")</f>
        <v>#N/A</v>
      </c>
      <c r="X16" s="137" t="str">
        <f ca="1">IFERROR(__xludf.DUMMYFUNCTION("""COMPUTED_VALUE"""),"#N/A")</f>
        <v>#N/A</v>
      </c>
      <c r="Y16" s="137" t="str">
        <f ca="1">IFERROR(__xludf.DUMMYFUNCTION("""COMPUTED_VALUE"""),"#N/A")</f>
        <v>#N/A</v>
      </c>
      <c r="Z16" s="138" t="str">
        <f ca="1">IFERROR(__xludf.DUMMYFUNCTION("""COMPUTED_VALUE"""),"#N/A")</f>
        <v>#N/A</v>
      </c>
      <c r="AA16" s="138" t="str">
        <f ca="1">IFERROR(__xludf.DUMMYFUNCTION("""COMPUTED_VALUE"""),"#N/A")</f>
        <v>#N/A</v>
      </c>
      <c r="AB16" s="138" t="str">
        <f ca="1">IFERROR(__xludf.DUMMYFUNCTION("""COMPUTED_VALUE"""),"#N/A")</f>
        <v>#N/A</v>
      </c>
      <c r="AC16" s="138" t="str">
        <f ca="1">IFERROR(__xludf.DUMMYFUNCTION("""COMPUTED_VALUE"""),"#N/A")</f>
        <v>#N/A</v>
      </c>
      <c r="AD16" s="138" t="str">
        <f ca="1">IFERROR(__xludf.DUMMYFUNCTION("""COMPUTED_VALUE"""),"#N/A")</f>
        <v>#N/A</v>
      </c>
      <c r="AE16" s="138" t="str">
        <f ca="1">IFERROR(__xludf.DUMMYFUNCTION("""COMPUTED_VALUE"""),"#N/A")</f>
        <v>#N/A</v>
      </c>
      <c r="AF16" s="138" t="str">
        <f ca="1">IFERROR(__xludf.DUMMYFUNCTION("""COMPUTED_VALUE"""),"#N/A")</f>
        <v>#N/A</v>
      </c>
      <c r="AG16" s="138" t="str">
        <f ca="1">IFERROR(__xludf.DUMMYFUNCTION("ArrayFormula(VLOOKUP(G16, IMPORTRANGE(""https://docs.google.com/spreadsheets/d/1Co934fvtviyaRiMsrIlT05Jaq7iiYq07aLvRr35KA48/edit?gid=173865642#gid=173865642"", ""'G10_Sci_Pri_LU'!G2:V2000""), {3, 4, 5, 6, 7, 8, 9, 10, 11, 12, 13, 14, 15, 16}, 0))"),"LU005958")</f>
        <v>LU005958</v>
      </c>
      <c r="AH16" s="138" t="str">
        <f ca="1">IFERROR(__xludf.DUMMYFUNCTION("""COMPUTED_VALUE"""),"Schematics of human circulatory system")</f>
        <v>Schematics of human circulatory system</v>
      </c>
      <c r="AI16" s="138" t="str">
        <f ca="1">IFERROR(__xludf.DUMMYFUNCTION("""COMPUTED_VALUE"""),"LU006455")</f>
        <v>LU006455</v>
      </c>
      <c r="AJ16" s="138" t="str">
        <f ca="1">IFERROR(__xludf.DUMMYFUNCTION("""COMPUTED_VALUE"""),"Summarisation of blood flow through heart chambers")</f>
        <v>Summarisation of blood flow through heart chambers</v>
      </c>
      <c r="AK16" s="138"/>
      <c r="AL16" s="138"/>
      <c r="AM16" s="138"/>
      <c r="AN16" s="138"/>
      <c r="AO16" s="138"/>
      <c r="AP16" s="138"/>
      <c r="AQ16" s="138"/>
      <c r="AR16" s="138"/>
      <c r="AS16" s="138"/>
      <c r="AT16" s="138"/>
    </row>
    <row r="17" spans="1:46">
      <c r="A17" s="54" t="s">
        <v>247</v>
      </c>
      <c r="B17" s="55" t="s">
        <v>47</v>
      </c>
      <c r="C17" s="55" t="s">
        <v>1172</v>
      </c>
      <c r="D17" s="55" t="s">
        <v>2463</v>
      </c>
      <c r="E17" s="55" t="s">
        <v>2464</v>
      </c>
      <c r="F17" s="136" t="s">
        <v>2487</v>
      </c>
      <c r="G17" s="55" t="s">
        <v>2488</v>
      </c>
      <c r="H17" s="54" t="str">
        <f ca="1">IFERROR(__xludf.DUMMYFUNCTION("VLOOKUP(G17, IMPORTRANGE(""https://docs.google.com/spreadsheets/d/14deopnvwcrKtEGCKuYXdUHJbeLDZlkiSSWWT0g7x2pM/edit#gid=849066331"", ""LU List Science (Filter)!A:B""), 2, FALSE)"),"Concept of blood pressure")</f>
        <v>Concept of blood pressure</v>
      </c>
      <c r="I17" s="55" t="str">
        <f t="shared" si="0"/>
        <v>LU006457.001</v>
      </c>
      <c r="J17" s="55" t="str">
        <f ca="1">IFERROR(__xludf.DUMMYFUNCTION("VLOOKUP(I17, IMPORTRANGE(""https://docs.google.com/spreadsheets/d/1yDAaXNsi4Mr5FtRQL4tbmSdIzhx6_m4wkOD7IG-k_eo/edit#gid=1336395716"", ""Science!M:N""), 2, FALSE)"),"(LU006457.001); Default - Remember")</f>
        <v>(LU006457.001); Default - Remember</v>
      </c>
      <c r="K17" s="55" t="str">
        <f t="shared" si="1"/>
        <v>LU006457.002</v>
      </c>
      <c r="L17" s="55" t="str">
        <f ca="1">IFERROR(__xludf.DUMMYFUNCTION("VLOOKUP(K17, IMPORTRANGE(""https://docs.google.com/spreadsheets/d/1yDAaXNsi4Mr5FtRQL4tbmSdIzhx6_m4wkOD7IG-k_eo/edit#gid=1336395716"", ""Science!M:N""), 2, FALSE)"),"(LU006457.002); Default - Understand")</f>
        <v>(LU006457.002); Default - Understand</v>
      </c>
      <c r="M17" s="55" t="str">
        <f t="shared" si="2"/>
        <v>LU006457.003</v>
      </c>
      <c r="N17" s="55" t="str">
        <f ca="1">IFERROR(__xludf.DUMMYFUNCTION("VLOOKUP(M17, IMPORTRANGE(""https://docs.google.com/spreadsheets/d/1yDAaXNsi4Mr5FtRQL4tbmSdIzhx6_m4wkOD7IG-k_eo/edit#gid=1336395716"", ""Science!M:N""), 2, FALSE)"),"(LU006457.003); Default - Apply")</f>
        <v>(LU006457.003); Default - Apply</v>
      </c>
      <c r="O17" s="55" t="str">
        <f t="shared" si="3"/>
        <v>LU006457.004</v>
      </c>
      <c r="P17" s="55" t="str">
        <f ca="1">IFERROR(__xludf.DUMMYFUNCTION("VLOOKUP(O17, IMPORTRANGE(""https://docs.google.com/spreadsheets/d/1yDAaXNsi4Mr5FtRQL4tbmSdIzhx6_m4wkOD7IG-k_eo/edit#gid=1336395716"", ""Science!M:N""), 2, FALSE)"),"(LU006457.004); Default - Analyse")</f>
        <v>(LU006457.004); Default - Analyse</v>
      </c>
      <c r="Q17" s="55" t="str">
        <f t="shared" si="4"/>
        <v>LU006457.005</v>
      </c>
      <c r="R17" s="55" t="str">
        <f ca="1">IFERROR(__xludf.DUMMYFUNCTION("VLOOKUP(Q17, IMPORTRANGE(""https://docs.google.com/spreadsheets/d/1yDAaXNsi4Mr5FtRQL4tbmSdIzhx6_m4wkOD7IG-k_eo/edit#gid=1336395716"", ""Science!M:N""), 2, FALSE)"),"(LU006457.005); Default - Evaluate")</f>
        <v>(LU006457.005); Default - Evaluate</v>
      </c>
      <c r="S17" s="55" t="str">
        <f t="shared" si="5"/>
        <v>LU006457.006</v>
      </c>
      <c r="T17" s="55" t="str">
        <f ca="1">IFERROR(__xludf.DUMMYFUNCTION("VLOOKUP(S17, IMPORTRANGE(""https://docs.google.com/spreadsheets/d/1yDAaXNsi4Mr5FtRQL4tbmSdIzhx6_m4wkOD7IG-k_eo/edit#gid=1336395716"", ""Science!M:N""), 2, FALSE)"),"(LU006457.006); Default - Create")</f>
        <v>(LU006457.006); Default - Create</v>
      </c>
      <c r="U17" s="137" t="str">
        <f ca="1">IFERROR(__xludf.DUMMYFUNCTION("ArrayFormula(VLOOKUP(G17, IMPORTRANGE(""https://docs.google.com/spreadsheets/d/1p7R4vtkWt5VOBim4ltsDG9KTzSjrtKXsMtQGXPHyND0/edit#gid=795171502"", ""'Filter 30_05_2024'!A1:M2000""), {2, 3, 4, 5,6,7,8,9,10,11,12,13}, 0))"),"#N/A")</f>
        <v>#N/A</v>
      </c>
      <c r="V17" s="137" t="str">
        <f ca="1">IFERROR(__xludf.DUMMYFUNCTION("""COMPUTED_VALUE"""),"#N/A")</f>
        <v>#N/A</v>
      </c>
      <c r="W17" s="137" t="str">
        <f ca="1">IFERROR(__xludf.DUMMYFUNCTION("""COMPUTED_VALUE"""),"#N/A")</f>
        <v>#N/A</v>
      </c>
      <c r="X17" s="137" t="str">
        <f ca="1">IFERROR(__xludf.DUMMYFUNCTION("""COMPUTED_VALUE"""),"#N/A")</f>
        <v>#N/A</v>
      </c>
      <c r="Y17" s="137" t="str">
        <f ca="1">IFERROR(__xludf.DUMMYFUNCTION("""COMPUTED_VALUE"""),"#N/A")</f>
        <v>#N/A</v>
      </c>
      <c r="Z17" s="138" t="str">
        <f ca="1">IFERROR(__xludf.DUMMYFUNCTION("""COMPUTED_VALUE"""),"#N/A")</f>
        <v>#N/A</v>
      </c>
      <c r="AA17" s="138" t="str">
        <f ca="1">IFERROR(__xludf.DUMMYFUNCTION("""COMPUTED_VALUE"""),"#N/A")</f>
        <v>#N/A</v>
      </c>
      <c r="AB17" s="138" t="str">
        <f ca="1">IFERROR(__xludf.DUMMYFUNCTION("""COMPUTED_VALUE"""),"#N/A")</f>
        <v>#N/A</v>
      </c>
      <c r="AC17" s="138" t="str">
        <f ca="1">IFERROR(__xludf.DUMMYFUNCTION("""COMPUTED_VALUE"""),"#N/A")</f>
        <v>#N/A</v>
      </c>
      <c r="AD17" s="138" t="str">
        <f ca="1">IFERROR(__xludf.DUMMYFUNCTION("""COMPUTED_VALUE"""),"#N/A")</f>
        <v>#N/A</v>
      </c>
      <c r="AE17" s="138" t="str">
        <f ca="1">IFERROR(__xludf.DUMMYFUNCTION("""COMPUTED_VALUE"""),"#N/A")</f>
        <v>#N/A</v>
      </c>
      <c r="AF17" s="138" t="str">
        <f ca="1">IFERROR(__xludf.DUMMYFUNCTION("""COMPUTED_VALUE"""),"#N/A")</f>
        <v>#N/A</v>
      </c>
      <c r="AG17" s="138" t="str">
        <f ca="1">IFERROR(__xludf.DUMMYFUNCTION("ArrayFormula(VLOOKUP(G17, IMPORTRANGE(""https://docs.google.com/spreadsheets/d/1Co934fvtviyaRiMsrIlT05Jaq7iiYq07aLvRr35KA48/edit?gid=173865642#gid=173865642"", ""'G10_Sci_Pri_LU'!G2:V2000""), {3, 4, 5, 6, 7, 8, 9, 10, 11, 12, 13, 14, 15, 16}, 0))"),"")</f>
        <v/>
      </c>
      <c r="AH17" s="138"/>
      <c r="AI17" s="138"/>
      <c r="AJ17" s="138"/>
      <c r="AK17" s="138"/>
      <c r="AL17" s="138"/>
      <c r="AM17" s="138"/>
      <c r="AN17" s="138"/>
      <c r="AO17" s="138"/>
      <c r="AP17" s="138"/>
      <c r="AQ17" s="138"/>
      <c r="AR17" s="138"/>
      <c r="AS17" s="138"/>
      <c r="AT17" s="138"/>
    </row>
    <row r="18" spans="1:46">
      <c r="A18" s="54" t="s">
        <v>247</v>
      </c>
      <c r="B18" s="55" t="s">
        <v>47</v>
      </c>
      <c r="C18" s="55" t="s">
        <v>1172</v>
      </c>
      <c r="D18" s="55" t="s">
        <v>2463</v>
      </c>
      <c r="E18" s="55" t="s">
        <v>2464</v>
      </c>
      <c r="F18" s="136" t="s">
        <v>2487</v>
      </c>
      <c r="G18" s="55" t="s">
        <v>2489</v>
      </c>
      <c r="H18" s="54" t="str">
        <f ca="1">IFERROR(__xludf.DUMMYFUNCTION("VLOOKUP(G18, IMPORTRANGE(""https://docs.google.com/spreadsheets/d/14deopnvwcrKtEGCKuYXdUHJbeLDZlkiSSWWT0g7x2pM/edit#gid=849066331"", ""LU List Science (Filter)!A:B""), 2, FALSE)"),"Blood vessels, platelets, and lymph")</f>
        <v>Blood vessels, platelets, and lymph</v>
      </c>
      <c r="I18" s="55" t="str">
        <f t="shared" si="0"/>
        <v>LU006458.001</v>
      </c>
      <c r="J18" s="55" t="str">
        <f ca="1">IFERROR(__xludf.DUMMYFUNCTION("VLOOKUP(I18, IMPORTRANGE(""https://docs.google.com/spreadsheets/d/1yDAaXNsi4Mr5FtRQL4tbmSdIzhx6_m4wkOD7IG-k_eo/edit#gid=1336395716"", ""Science!M:N""), 2, FALSE)"),"(LU006458.001); Default - Remember")</f>
        <v>(LU006458.001); Default - Remember</v>
      </c>
      <c r="K18" s="55" t="str">
        <f t="shared" si="1"/>
        <v>LU006458.002</v>
      </c>
      <c r="L18" s="55" t="str">
        <f ca="1">IFERROR(__xludf.DUMMYFUNCTION("VLOOKUP(K18, IMPORTRANGE(""https://docs.google.com/spreadsheets/d/1yDAaXNsi4Mr5FtRQL4tbmSdIzhx6_m4wkOD7IG-k_eo/edit#gid=1336395716"", ""Science!M:N""), 2, FALSE)"),"(LU006458.002); Default - Understand")</f>
        <v>(LU006458.002); Default - Understand</v>
      </c>
      <c r="M18" s="55" t="str">
        <f t="shared" si="2"/>
        <v>LU006458.003</v>
      </c>
      <c r="N18" s="55" t="str">
        <f ca="1">IFERROR(__xludf.DUMMYFUNCTION("VLOOKUP(M18, IMPORTRANGE(""https://docs.google.com/spreadsheets/d/1yDAaXNsi4Mr5FtRQL4tbmSdIzhx6_m4wkOD7IG-k_eo/edit#gid=1336395716"", ""Science!M:N""), 2, FALSE)"),"(LU006458.003); Default - Apply")</f>
        <v>(LU006458.003); Default - Apply</v>
      </c>
      <c r="O18" s="55" t="str">
        <f t="shared" si="3"/>
        <v>LU006458.004</v>
      </c>
      <c r="P18" s="55" t="str">
        <f ca="1">IFERROR(__xludf.DUMMYFUNCTION("VLOOKUP(O18, IMPORTRANGE(""https://docs.google.com/spreadsheets/d/1yDAaXNsi4Mr5FtRQL4tbmSdIzhx6_m4wkOD7IG-k_eo/edit#gid=1336395716"", ""Science!M:N""), 2, FALSE)"),"(LU006458.004); Default - Analyse")</f>
        <v>(LU006458.004); Default - Analyse</v>
      </c>
      <c r="Q18" s="55" t="str">
        <f t="shared" si="4"/>
        <v>LU006458.005</v>
      </c>
      <c r="R18" s="55" t="str">
        <f ca="1">IFERROR(__xludf.DUMMYFUNCTION("VLOOKUP(Q18, IMPORTRANGE(""https://docs.google.com/spreadsheets/d/1yDAaXNsi4Mr5FtRQL4tbmSdIzhx6_m4wkOD7IG-k_eo/edit#gid=1336395716"", ""Science!M:N""), 2, FALSE)"),"(LU006458.005); Default - Evaluate")</f>
        <v>(LU006458.005); Default - Evaluate</v>
      </c>
      <c r="S18" s="55" t="str">
        <f t="shared" si="5"/>
        <v>LU006458.006</v>
      </c>
      <c r="T18" s="55" t="str">
        <f ca="1">IFERROR(__xludf.DUMMYFUNCTION("VLOOKUP(S18, IMPORTRANGE(""https://docs.google.com/spreadsheets/d/1yDAaXNsi4Mr5FtRQL4tbmSdIzhx6_m4wkOD7IG-k_eo/edit#gid=1336395716"", ""Science!M:N""), 2, FALSE)"),"(LU006458.006); Default - Create")</f>
        <v>(LU006458.006); Default - Create</v>
      </c>
      <c r="U18" s="137" t="str">
        <f ca="1">IFERROR(__xludf.DUMMYFUNCTION("ArrayFormula(VLOOKUP(G18, IMPORTRANGE(""https://docs.google.com/spreadsheets/d/1p7R4vtkWt5VOBim4ltsDG9KTzSjrtKXsMtQGXPHyND0/edit#gid=795171502"", ""'Filter 30_05_2024'!A1:M2000""), {2, 3, 4, 5,6,7,8,9,10,11,12,13}, 0))"),"#N/A")</f>
        <v>#N/A</v>
      </c>
      <c r="V18" s="137" t="str">
        <f ca="1">IFERROR(__xludf.DUMMYFUNCTION("""COMPUTED_VALUE"""),"#N/A")</f>
        <v>#N/A</v>
      </c>
      <c r="W18" s="137" t="str">
        <f ca="1">IFERROR(__xludf.DUMMYFUNCTION("""COMPUTED_VALUE"""),"#N/A")</f>
        <v>#N/A</v>
      </c>
      <c r="X18" s="137" t="str">
        <f ca="1">IFERROR(__xludf.DUMMYFUNCTION("""COMPUTED_VALUE"""),"#N/A")</f>
        <v>#N/A</v>
      </c>
      <c r="Y18" s="137" t="str">
        <f ca="1">IFERROR(__xludf.DUMMYFUNCTION("""COMPUTED_VALUE"""),"#N/A")</f>
        <v>#N/A</v>
      </c>
      <c r="Z18" s="138" t="str">
        <f ca="1">IFERROR(__xludf.DUMMYFUNCTION("""COMPUTED_VALUE"""),"#N/A")</f>
        <v>#N/A</v>
      </c>
      <c r="AA18" s="138" t="str">
        <f ca="1">IFERROR(__xludf.DUMMYFUNCTION("""COMPUTED_VALUE"""),"#N/A")</f>
        <v>#N/A</v>
      </c>
      <c r="AB18" s="138" t="str">
        <f ca="1">IFERROR(__xludf.DUMMYFUNCTION("""COMPUTED_VALUE"""),"#N/A")</f>
        <v>#N/A</v>
      </c>
      <c r="AC18" s="138" t="str">
        <f ca="1">IFERROR(__xludf.DUMMYFUNCTION("""COMPUTED_VALUE"""),"#N/A")</f>
        <v>#N/A</v>
      </c>
      <c r="AD18" s="138" t="str">
        <f ca="1">IFERROR(__xludf.DUMMYFUNCTION("""COMPUTED_VALUE"""),"#N/A")</f>
        <v>#N/A</v>
      </c>
      <c r="AE18" s="138" t="str">
        <f ca="1">IFERROR(__xludf.DUMMYFUNCTION("""COMPUTED_VALUE"""),"#N/A")</f>
        <v>#N/A</v>
      </c>
      <c r="AF18" s="138" t="str">
        <f ca="1">IFERROR(__xludf.DUMMYFUNCTION("""COMPUTED_VALUE"""),"#N/A")</f>
        <v>#N/A</v>
      </c>
      <c r="AG18" s="138" t="str">
        <f ca="1">IFERROR(__xludf.DUMMYFUNCTION("ArrayFormula(VLOOKUP(G18, IMPORTRANGE(""https://docs.google.com/spreadsheets/d/1Co934fvtviyaRiMsrIlT05Jaq7iiYq07aLvRr35KA48/edit?gid=173865642#gid=173865642"", ""'G10_Sci_Pri_LU'!G2:V2000""), {3, 4, 5, 6, 7, 8, 9, 10, 11, 12, 13, 14, 15, 16}, 0))"),"LU005455")</f>
        <v>LU005455</v>
      </c>
      <c r="AH18" s="138" t="str">
        <f ca="1">IFERROR(__xludf.DUMMYFUNCTION("""COMPUTED_VALUE"""),"Definition of human blood")</f>
        <v>Definition of human blood</v>
      </c>
      <c r="AI18" s="138" t="str">
        <f ca="1">IFERROR(__xludf.DUMMYFUNCTION("""COMPUTED_VALUE"""),"LU005956")</f>
        <v>LU005956</v>
      </c>
      <c r="AJ18" s="138" t="str">
        <f ca="1">IFERROR(__xludf.DUMMYFUNCTION("""COMPUTED_VALUE"""),"Types of human blood vessels")</f>
        <v>Types of human blood vessels</v>
      </c>
      <c r="AK18" s="138"/>
      <c r="AL18" s="138"/>
      <c r="AM18" s="138"/>
      <c r="AN18" s="138"/>
      <c r="AO18" s="138"/>
      <c r="AP18" s="138"/>
      <c r="AQ18" s="138"/>
      <c r="AR18" s="138"/>
      <c r="AS18" s="138"/>
      <c r="AT18" s="138"/>
    </row>
    <row r="19" spans="1:46">
      <c r="A19" s="54" t="s">
        <v>247</v>
      </c>
      <c r="B19" s="55" t="s">
        <v>47</v>
      </c>
      <c r="C19" s="55" t="s">
        <v>1172</v>
      </c>
      <c r="D19" s="55" t="s">
        <v>2463</v>
      </c>
      <c r="E19" s="55" t="s">
        <v>2464</v>
      </c>
      <c r="F19" s="55" t="s">
        <v>2490</v>
      </c>
      <c r="G19" s="55" t="s">
        <v>2491</v>
      </c>
      <c r="H19" s="54" t="str">
        <f ca="1">IFERROR(__xludf.DUMMYFUNCTION("VLOOKUP(G19, IMPORTRANGE(""https://docs.google.com/spreadsheets/d/14deopnvwcrKtEGCKuYXdUHJbeLDZlkiSSWWT0g7x2pM/edit#gid=849066331"", ""LU List Science (Filter)!A:B""), 2, FALSE)"),"Introduction to mechanism of transport of water in plants(trees)")</f>
        <v>Introduction to mechanism of transport of water in plants(trees)</v>
      </c>
      <c r="I19" s="55" t="str">
        <f t="shared" si="0"/>
        <v>LU006460.001</v>
      </c>
      <c r="J19" s="55" t="str">
        <f ca="1">IFERROR(__xludf.DUMMYFUNCTION("VLOOKUP(I19, IMPORTRANGE(""https://docs.google.com/spreadsheets/d/1yDAaXNsi4Mr5FtRQL4tbmSdIzhx6_m4wkOD7IG-k_eo/edit#gid=1336395716"", ""Science!M:N""), 2, FALSE)"),"(LU006460.001); Default - Remember")</f>
        <v>(LU006460.001); Default - Remember</v>
      </c>
      <c r="K19" s="55" t="str">
        <f t="shared" si="1"/>
        <v>LU006460.002</v>
      </c>
      <c r="L19" s="55" t="str">
        <f ca="1">IFERROR(__xludf.DUMMYFUNCTION("VLOOKUP(K19, IMPORTRANGE(""https://docs.google.com/spreadsheets/d/1yDAaXNsi4Mr5FtRQL4tbmSdIzhx6_m4wkOD7IG-k_eo/edit#gid=1336395716"", ""Science!M:N""), 2, FALSE)"),"(LU006460.002); Default - Understand")</f>
        <v>(LU006460.002); Default - Understand</v>
      </c>
      <c r="M19" s="55" t="str">
        <f t="shared" si="2"/>
        <v>LU006460.003</v>
      </c>
      <c r="N19" s="55" t="str">
        <f ca="1">IFERROR(__xludf.DUMMYFUNCTION("VLOOKUP(M19, IMPORTRANGE(""https://docs.google.com/spreadsheets/d/1yDAaXNsi4Mr5FtRQL4tbmSdIzhx6_m4wkOD7IG-k_eo/edit#gid=1336395716"", ""Science!M:N""), 2, FALSE)"),"(LU006460.003); Default - Apply")</f>
        <v>(LU006460.003); Default - Apply</v>
      </c>
      <c r="O19" s="55" t="str">
        <f t="shared" si="3"/>
        <v>LU006460.004</v>
      </c>
      <c r="P19" s="55" t="str">
        <f ca="1">IFERROR(__xludf.DUMMYFUNCTION("VLOOKUP(O19, IMPORTRANGE(""https://docs.google.com/spreadsheets/d/1yDAaXNsi4Mr5FtRQL4tbmSdIzhx6_m4wkOD7IG-k_eo/edit#gid=1336395716"", ""Science!M:N""), 2, FALSE)"),"(LU006460.004); Default - Analyse")</f>
        <v>(LU006460.004); Default - Analyse</v>
      </c>
      <c r="Q19" s="55" t="str">
        <f t="shared" si="4"/>
        <v>LU006460.005</v>
      </c>
      <c r="R19" s="55" t="str">
        <f ca="1">IFERROR(__xludf.DUMMYFUNCTION("VLOOKUP(Q19, IMPORTRANGE(""https://docs.google.com/spreadsheets/d/1yDAaXNsi4Mr5FtRQL4tbmSdIzhx6_m4wkOD7IG-k_eo/edit#gid=1336395716"", ""Science!M:N""), 2, FALSE)"),"(LU006460.005); Default - Evaluate")</f>
        <v>(LU006460.005); Default - Evaluate</v>
      </c>
      <c r="S19" s="55" t="str">
        <f t="shared" si="5"/>
        <v>LU006460.006</v>
      </c>
      <c r="T19" s="55" t="str">
        <f ca="1">IFERROR(__xludf.DUMMYFUNCTION("VLOOKUP(S19, IMPORTRANGE(""https://docs.google.com/spreadsheets/d/1yDAaXNsi4Mr5FtRQL4tbmSdIzhx6_m4wkOD7IG-k_eo/edit#gid=1336395716"", ""Science!M:N""), 2, FALSE)"),"(LU006460.006); Default - Create")</f>
        <v>(LU006460.006); Default - Create</v>
      </c>
      <c r="U19" s="137" t="str">
        <f ca="1">IFERROR(__xludf.DUMMYFUNCTION("ArrayFormula(VLOOKUP(G19, IMPORTRANGE(""https://docs.google.com/spreadsheets/d/1p7R4vtkWt5VOBim4ltsDG9KTzSjrtKXsMtQGXPHyND0/edit#gid=795171502"", ""'Filter 30_05_2024'!A1:M2000""), {2, 3, 4, 5,6,7,8,9,10,11,12,13}, 0))"),"#N/A")</f>
        <v>#N/A</v>
      </c>
      <c r="V19" s="137" t="str">
        <f ca="1">IFERROR(__xludf.DUMMYFUNCTION("""COMPUTED_VALUE"""),"#N/A")</f>
        <v>#N/A</v>
      </c>
      <c r="W19" s="137" t="str">
        <f ca="1">IFERROR(__xludf.DUMMYFUNCTION("""COMPUTED_VALUE"""),"#N/A")</f>
        <v>#N/A</v>
      </c>
      <c r="X19" s="137" t="str">
        <f ca="1">IFERROR(__xludf.DUMMYFUNCTION("""COMPUTED_VALUE"""),"#N/A")</f>
        <v>#N/A</v>
      </c>
      <c r="Y19" s="137" t="str">
        <f ca="1">IFERROR(__xludf.DUMMYFUNCTION("""COMPUTED_VALUE"""),"#N/A")</f>
        <v>#N/A</v>
      </c>
      <c r="Z19" s="138" t="str">
        <f ca="1">IFERROR(__xludf.DUMMYFUNCTION("""COMPUTED_VALUE"""),"#N/A")</f>
        <v>#N/A</v>
      </c>
      <c r="AA19" s="138" t="str">
        <f ca="1">IFERROR(__xludf.DUMMYFUNCTION("""COMPUTED_VALUE"""),"#N/A")</f>
        <v>#N/A</v>
      </c>
      <c r="AB19" s="138" t="str">
        <f ca="1">IFERROR(__xludf.DUMMYFUNCTION("""COMPUTED_VALUE"""),"#N/A")</f>
        <v>#N/A</v>
      </c>
      <c r="AC19" s="138" t="str">
        <f ca="1">IFERROR(__xludf.DUMMYFUNCTION("""COMPUTED_VALUE"""),"#N/A")</f>
        <v>#N/A</v>
      </c>
      <c r="AD19" s="138" t="str">
        <f ca="1">IFERROR(__xludf.DUMMYFUNCTION("""COMPUTED_VALUE"""),"#N/A")</f>
        <v>#N/A</v>
      </c>
      <c r="AE19" s="138" t="str">
        <f ca="1">IFERROR(__xludf.DUMMYFUNCTION("""COMPUTED_VALUE"""),"#N/A")</f>
        <v>#N/A</v>
      </c>
      <c r="AF19" s="138" t="str">
        <f ca="1">IFERROR(__xludf.DUMMYFUNCTION("""COMPUTED_VALUE"""),"#N/A")</f>
        <v>#N/A</v>
      </c>
      <c r="AG19" s="138" t="str">
        <f ca="1">IFERROR(__xludf.DUMMYFUNCTION("ArrayFormula(VLOOKUP(G19, IMPORTRANGE(""https://docs.google.com/spreadsheets/d/1Co934fvtviyaRiMsrIlT05Jaq7iiYq07aLvRr35KA48/edit?gid=173865642#gid=173865642"", ""'G10_Sci_Pri_LU'!G2:V2000""), {3, 4, 5, 6, 7, 8, 9, 10, 11, 12, 13, 14, 15, 16}, 0))"),"LU006247")</f>
        <v>LU006247</v>
      </c>
      <c r="AH19" s="138" t="str">
        <f ca="1">IFERROR(__xludf.DUMMYFUNCTION("""COMPUTED_VALUE"""),"Introduction to different types of complex permanent tissue")</f>
        <v>Introduction to different types of complex permanent tissue</v>
      </c>
      <c r="AI19" s="138" t="str">
        <f ca="1">IFERROR(__xludf.DUMMYFUNCTION("""COMPUTED_VALUE"""),"LU005463")</f>
        <v>LU005463</v>
      </c>
      <c r="AJ19" s="138" t="str">
        <f ca="1">IFERROR(__xludf.DUMMYFUNCTION("""COMPUTED_VALUE"""),"Transpiration in Plants - Necessary Evil and its Mechanism")</f>
        <v>Transpiration in Plants - Necessary Evil and its Mechanism</v>
      </c>
      <c r="AK19" s="138"/>
      <c r="AL19" s="138"/>
      <c r="AM19" s="138"/>
      <c r="AN19" s="138"/>
      <c r="AO19" s="138"/>
      <c r="AP19" s="138"/>
      <c r="AQ19" s="138"/>
      <c r="AR19" s="138"/>
      <c r="AS19" s="138"/>
      <c r="AT19" s="138"/>
    </row>
    <row r="20" spans="1:46">
      <c r="A20" s="54" t="s">
        <v>247</v>
      </c>
      <c r="B20" s="55" t="s">
        <v>47</v>
      </c>
      <c r="C20" s="55" t="s">
        <v>1172</v>
      </c>
      <c r="D20" s="55" t="s">
        <v>2463</v>
      </c>
      <c r="E20" s="55" t="s">
        <v>2464</v>
      </c>
      <c r="F20" s="55" t="s">
        <v>2490</v>
      </c>
      <c r="G20" s="55" t="s">
        <v>2492</v>
      </c>
      <c r="H20" s="54" t="str">
        <f ca="1">IFERROR(__xludf.DUMMYFUNCTION("VLOOKUP(G20, IMPORTRANGE(""https://docs.google.com/spreadsheets/d/14deopnvwcrKtEGCKuYXdUHJbeLDZlkiSSWWT0g7x2pM/edit#gid=849066331"", ""LU List Science (Filter)!A:B""), 2, FALSE)"),"Introduction to mechanism of transport of food in plants")</f>
        <v>Introduction to mechanism of transport of food in plants</v>
      </c>
      <c r="I20" s="55" t="str">
        <f t="shared" si="0"/>
        <v>LU006461.001</v>
      </c>
      <c r="J20" s="55" t="str">
        <f ca="1">IFERROR(__xludf.DUMMYFUNCTION("VLOOKUP(I20, IMPORTRANGE(""https://docs.google.com/spreadsheets/d/1yDAaXNsi4Mr5FtRQL4tbmSdIzhx6_m4wkOD7IG-k_eo/edit#gid=1336395716"", ""Science!M:N""), 2, FALSE)"),"(LU006461.001); Default - Remember")</f>
        <v>(LU006461.001); Default - Remember</v>
      </c>
      <c r="K20" s="55" t="str">
        <f t="shared" si="1"/>
        <v>LU006461.002</v>
      </c>
      <c r="L20" s="55" t="str">
        <f ca="1">IFERROR(__xludf.DUMMYFUNCTION("VLOOKUP(K20, IMPORTRANGE(""https://docs.google.com/spreadsheets/d/1yDAaXNsi4Mr5FtRQL4tbmSdIzhx6_m4wkOD7IG-k_eo/edit#gid=1336395716"", ""Science!M:N""), 2, FALSE)"),"(LU006461.002); Default - Understand")</f>
        <v>(LU006461.002); Default - Understand</v>
      </c>
      <c r="M20" s="55" t="str">
        <f t="shared" si="2"/>
        <v>LU006461.003</v>
      </c>
      <c r="N20" s="55" t="str">
        <f ca="1">IFERROR(__xludf.DUMMYFUNCTION("VLOOKUP(M20, IMPORTRANGE(""https://docs.google.com/spreadsheets/d/1yDAaXNsi4Mr5FtRQL4tbmSdIzhx6_m4wkOD7IG-k_eo/edit#gid=1336395716"", ""Science!M:N""), 2, FALSE)"),"(LU006461.003); Default - Apply")</f>
        <v>(LU006461.003); Default - Apply</v>
      </c>
      <c r="O20" s="55" t="str">
        <f t="shared" si="3"/>
        <v>LU006461.004</v>
      </c>
      <c r="P20" s="55" t="str">
        <f ca="1">IFERROR(__xludf.DUMMYFUNCTION("VLOOKUP(O20, IMPORTRANGE(""https://docs.google.com/spreadsheets/d/1yDAaXNsi4Mr5FtRQL4tbmSdIzhx6_m4wkOD7IG-k_eo/edit#gid=1336395716"", ""Science!M:N""), 2, FALSE)"),"(LU006461.004); Default - Analyse")</f>
        <v>(LU006461.004); Default - Analyse</v>
      </c>
      <c r="Q20" s="55" t="str">
        <f t="shared" si="4"/>
        <v>LU006461.005</v>
      </c>
      <c r="R20" s="55" t="str">
        <f ca="1">IFERROR(__xludf.DUMMYFUNCTION("VLOOKUP(Q20, IMPORTRANGE(""https://docs.google.com/spreadsheets/d/1yDAaXNsi4Mr5FtRQL4tbmSdIzhx6_m4wkOD7IG-k_eo/edit#gid=1336395716"", ""Science!M:N""), 2, FALSE)"),"(LU006461.005); Default - Evaluate")</f>
        <v>(LU006461.005); Default - Evaluate</v>
      </c>
      <c r="S20" s="55" t="str">
        <f t="shared" si="5"/>
        <v>LU006461.006</v>
      </c>
      <c r="T20" s="55" t="str">
        <f ca="1">IFERROR(__xludf.DUMMYFUNCTION("VLOOKUP(S20, IMPORTRANGE(""https://docs.google.com/spreadsheets/d/1yDAaXNsi4Mr5FtRQL4tbmSdIzhx6_m4wkOD7IG-k_eo/edit#gid=1336395716"", ""Science!M:N""), 2, FALSE)"),"(LU006461.006); Default - Create")</f>
        <v>(LU006461.006); Default - Create</v>
      </c>
      <c r="U20" s="137" t="str">
        <f ca="1">IFERROR(__xludf.DUMMYFUNCTION("ArrayFormula(VLOOKUP(G20, IMPORTRANGE(""https://docs.google.com/spreadsheets/d/1p7R4vtkWt5VOBim4ltsDG9KTzSjrtKXsMtQGXPHyND0/edit#gid=795171502"", ""'Filter 30_05_2024'!A1:M2000""), {2, 3, 4, 5,6,7,8,9,10,11,12,13}, 0))"),"#N/A")</f>
        <v>#N/A</v>
      </c>
      <c r="V20" s="137" t="str">
        <f ca="1">IFERROR(__xludf.DUMMYFUNCTION("""COMPUTED_VALUE"""),"#N/A")</f>
        <v>#N/A</v>
      </c>
      <c r="W20" s="137" t="str">
        <f ca="1">IFERROR(__xludf.DUMMYFUNCTION("""COMPUTED_VALUE"""),"#N/A")</f>
        <v>#N/A</v>
      </c>
      <c r="X20" s="137" t="str">
        <f ca="1">IFERROR(__xludf.DUMMYFUNCTION("""COMPUTED_VALUE"""),"#N/A")</f>
        <v>#N/A</v>
      </c>
      <c r="Y20" s="137" t="str">
        <f ca="1">IFERROR(__xludf.DUMMYFUNCTION("""COMPUTED_VALUE"""),"#N/A")</f>
        <v>#N/A</v>
      </c>
      <c r="Z20" s="138" t="str">
        <f ca="1">IFERROR(__xludf.DUMMYFUNCTION("""COMPUTED_VALUE"""),"#N/A")</f>
        <v>#N/A</v>
      </c>
      <c r="AA20" s="138" t="str">
        <f ca="1">IFERROR(__xludf.DUMMYFUNCTION("""COMPUTED_VALUE"""),"#N/A")</f>
        <v>#N/A</v>
      </c>
      <c r="AB20" s="138" t="str">
        <f ca="1">IFERROR(__xludf.DUMMYFUNCTION("""COMPUTED_VALUE"""),"#N/A")</f>
        <v>#N/A</v>
      </c>
      <c r="AC20" s="138" t="str">
        <f ca="1">IFERROR(__xludf.DUMMYFUNCTION("""COMPUTED_VALUE"""),"#N/A")</f>
        <v>#N/A</v>
      </c>
      <c r="AD20" s="138" t="str">
        <f ca="1">IFERROR(__xludf.DUMMYFUNCTION("""COMPUTED_VALUE"""),"#N/A")</f>
        <v>#N/A</v>
      </c>
      <c r="AE20" s="138" t="str">
        <f ca="1">IFERROR(__xludf.DUMMYFUNCTION("""COMPUTED_VALUE"""),"#N/A")</f>
        <v>#N/A</v>
      </c>
      <c r="AF20" s="138" t="str">
        <f ca="1">IFERROR(__xludf.DUMMYFUNCTION("""COMPUTED_VALUE"""),"#N/A")</f>
        <v>#N/A</v>
      </c>
      <c r="AG20" s="138" t="str">
        <f ca="1">IFERROR(__xludf.DUMMYFUNCTION("ArrayFormula(VLOOKUP(G20, IMPORTRANGE(""https://docs.google.com/spreadsheets/d/1Co934fvtviyaRiMsrIlT05Jaq7iiYq07aLvRr35KA48/edit?gid=173865642#gid=173865642"", ""'G10_Sci_Pri_LU'!G2:V2000""), {3, 4, 5, 6, 7, 8, 9, 10, 11, 12, 13, 14, 15, 16}, 0))"),"LU006247")</f>
        <v>LU006247</v>
      </c>
      <c r="AH20" s="138" t="str">
        <f ca="1">IFERROR(__xludf.DUMMYFUNCTION("""COMPUTED_VALUE"""),"Introduction to different types of complex permanent tissue")</f>
        <v>Introduction to different types of complex permanent tissue</v>
      </c>
      <c r="AI20" s="138" t="str">
        <f ca="1">IFERROR(__xludf.DUMMYFUNCTION("""COMPUTED_VALUE"""),"LU006171")</f>
        <v>LU006171</v>
      </c>
      <c r="AJ20" s="138" t="str">
        <f ca="1">IFERROR(__xludf.DUMMYFUNCTION("""COMPUTED_VALUE"""),"Definition of diffusion and osmosis")</f>
        <v>Definition of diffusion and osmosis</v>
      </c>
      <c r="AK20" s="138"/>
      <c r="AL20" s="138"/>
      <c r="AM20" s="138"/>
      <c r="AN20" s="138"/>
      <c r="AO20" s="138"/>
      <c r="AP20" s="138"/>
      <c r="AQ20" s="138"/>
      <c r="AR20" s="138"/>
      <c r="AS20" s="138"/>
      <c r="AT20" s="138"/>
    </row>
    <row r="21" spans="1:46">
      <c r="A21" s="54" t="s">
        <v>247</v>
      </c>
      <c r="B21" s="55" t="s">
        <v>47</v>
      </c>
      <c r="C21" s="55" t="s">
        <v>1172</v>
      </c>
      <c r="D21" s="55" t="s">
        <v>2463</v>
      </c>
      <c r="E21" s="55" t="s">
        <v>2464</v>
      </c>
      <c r="F21" s="55" t="s">
        <v>2493</v>
      </c>
      <c r="G21" s="55" t="s">
        <v>2494</v>
      </c>
      <c r="H21" s="54" t="str">
        <f ca="1">IFERROR(__xludf.DUMMYFUNCTION("VLOOKUP(G21, IMPORTRANGE(""https://docs.google.com/spreadsheets/d/14deopnvwcrKtEGCKuYXdUHJbeLDZlkiSSWWT0g7x2pM/edit#gid=849066331"", ""LU List Science (Filter)!A:B""), 2, FALSE)"),"Introduction to the excretory system in humans")</f>
        <v>Introduction to the excretory system in humans</v>
      </c>
      <c r="I21" s="55" t="str">
        <f t="shared" si="0"/>
        <v>LU006115.001</v>
      </c>
      <c r="J21" s="55" t="str">
        <f ca="1">IFERROR(__xludf.DUMMYFUNCTION("VLOOKUP(I21, IMPORTRANGE(""https://docs.google.com/spreadsheets/d/1yDAaXNsi4Mr5FtRQL4tbmSdIzhx6_m4wkOD7IG-k_eo/edit#gid=1336395716"", ""Science!M:N""), 2, FALSE)"),"Identify the main organs of the human excretory system.")</f>
        <v>Identify the main organs of the human excretory system.</v>
      </c>
      <c r="K21" s="55" t="str">
        <f t="shared" si="1"/>
        <v>LU006115.002</v>
      </c>
      <c r="L21" s="55" t="str">
        <f ca="1">IFERROR(__xludf.DUMMYFUNCTION("VLOOKUP(K21, IMPORTRANGE(""https://docs.google.com/spreadsheets/d/1yDAaXNsi4Mr5FtRQL4tbmSdIzhx6_m4wkOD7IG-k_eo/edit#gid=1336395716"", ""Science!M:N""), 2, FALSE)"),"Describe the functions of the kidneys, ureters, bladder, and urethra in waste removal.")</f>
        <v>Describe the functions of the kidneys, ureters, bladder, and urethra in waste removal.</v>
      </c>
      <c r="M21" s="55" t="str">
        <f t="shared" si="2"/>
        <v>LU006115.003</v>
      </c>
      <c r="N21" s="55" t="str">
        <f ca="1">IFERROR(__xludf.DUMMYFUNCTION("VLOOKUP(M21, IMPORTRANGE(""https://docs.google.com/spreadsheets/d/1yDAaXNsi4Mr5FtRQL4tbmSdIzhx6_m4wkOD7IG-k_eo/edit#gid=1336395716"", ""Science!M:N""), 2, FALSE)"),"Illustrate how the excretory system removes waste from the body.")</f>
        <v>Illustrate how the excretory system removes waste from the body.</v>
      </c>
      <c r="O21" s="55" t="str">
        <f t="shared" si="3"/>
        <v>LU006115.004</v>
      </c>
      <c r="P21" s="55" t="str">
        <f ca="1">IFERROR(__xludf.DUMMYFUNCTION("VLOOKUP(O21, IMPORTRANGE(""https://docs.google.com/spreadsheets/d/1yDAaXNsi4Mr5FtRQL4tbmSdIzhx6_m4wkOD7IG-k_eo/edit#gid=1336395716"", ""Science!M:N""), 2, FALSE)"),"Compare the human excretory system to that of another organism.")</f>
        <v>Compare the human excretory system to that of another organism.</v>
      </c>
      <c r="Q21" s="55" t="str">
        <f t="shared" si="4"/>
        <v>LU006115.005</v>
      </c>
      <c r="R21" s="55" t="str">
        <f ca="1">IFERROR(__xludf.DUMMYFUNCTION("VLOOKUP(Q21, IMPORTRANGE(""https://docs.google.com/spreadsheets/d/1yDAaXNsi4Mr5FtRQL4tbmSdIzhx6_m4wkOD7IG-k_eo/edit#gid=1336395716"", ""Science!M:N""), 2, FALSE)"),"Evaluate the importance of the excretory system in maintaining homeostasis in the body.")</f>
        <v>Evaluate the importance of the excretory system in maintaining homeostasis in the body.</v>
      </c>
      <c r="S21" s="55" t="str">
        <f t="shared" si="5"/>
        <v>LU006115.006</v>
      </c>
      <c r="T21" s="55" t="str">
        <f ca="1">IFERROR(__xludf.DUMMYFUNCTION("VLOOKUP(S21, IMPORTRANGE(""https://docs.google.com/spreadsheets/d/1yDAaXNsi4Mr5FtRQL4tbmSdIzhx6_m4wkOD7IG-k_eo/edit#gid=1336395716"", ""Science!M:N""), 2, FALSE)"),"#N/A")</f>
        <v>#N/A</v>
      </c>
      <c r="U21" s="137" t="str">
        <f ca="1">IFERROR(__xludf.DUMMYFUNCTION("ArrayFormula(VLOOKUP(G21, IMPORTRANGE(""https://docs.google.com/spreadsheets/d/1p7R4vtkWt5VOBim4ltsDG9KTzSjrtKXsMtQGXPHyND0/edit#gid=795171502"", ""'Filter 30_05_2024'!A1:M2000""), {2, 3, 4, 5,6,7,8,9,10,11,12,13}, 0))"),"#N/A")</f>
        <v>#N/A</v>
      </c>
      <c r="V21" s="137" t="str">
        <f ca="1">IFERROR(__xludf.DUMMYFUNCTION("""COMPUTED_VALUE"""),"#N/A")</f>
        <v>#N/A</v>
      </c>
      <c r="W21" s="137" t="str">
        <f ca="1">IFERROR(__xludf.DUMMYFUNCTION("""COMPUTED_VALUE"""),"#N/A")</f>
        <v>#N/A</v>
      </c>
      <c r="X21" s="137" t="str">
        <f ca="1">IFERROR(__xludf.DUMMYFUNCTION("""COMPUTED_VALUE"""),"#N/A")</f>
        <v>#N/A</v>
      </c>
      <c r="Y21" s="137" t="str">
        <f ca="1">IFERROR(__xludf.DUMMYFUNCTION("""COMPUTED_VALUE"""),"#N/A")</f>
        <v>#N/A</v>
      </c>
      <c r="Z21" s="138" t="str">
        <f ca="1">IFERROR(__xludf.DUMMYFUNCTION("""COMPUTED_VALUE"""),"#N/A")</f>
        <v>#N/A</v>
      </c>
      <c r="AA21" s="138" t="str">
        <f ca="1">IFERROR(__xludf.DUMMYFUNCTION("""COMPUTED_VALUE"""),"#N/A")</f>
        <v>#N/A</v>
      </c>
      <c r="AB21" s="138" t="str">
        <f ca="1">IFERROR(__xludf.DUMMYFUNCTION("""COMPUTED_VALUE"""),"#N/A")</f>
        <v>#N/A</v>
      </c>
      <c r="AC21" s="138" t="str">
        <f ca="1">IFERROR(__xludf.DUMMYFUNCTION("""COMPUTED_VALUE"""),"#N/A")</f>
        <v>#N/A</v>
      </c>
      <c r="AD21" s="138" t="str">
        <f ca="1">IFERROR(__xludf.DUMMYFUNCTION("""COMPUTED_VALUE"""),"#N/A")</f>
        <v>#N/A</v>
      </c>
      <c r="AE21" s="138" t="str">
        <f ca="1">IFERROR(__xludf.DUMMYFUNCTION("""COMPUTED_VALUE"""),"#N/A")</f>
        <v>#N/A</v>
      </c>
      <c r="AF21" s="138" t="str">
        <f ca="1">IFERROR(__xludf.DUMMYFUNCTION("""COMPUTED_VALUE"""),"#N/A")</f>
        <v>#N/A</v>
      </c>
      <c r="AG21" s="138" t="str">
        <f ca="1">IFERROR(__xludf.DUMMYFUNCTION("ArrayFormula(VLOOKUP(G21, IMPORTRANGE(""https://docs.google.com/spreadsheets/d/1Co934fvtviyaRiMsrIlT05Jaq7iiYq07aLvRr35KA48/edit?gid=173865642#gid=173865642"", ""'G10_Sci_Pri_LU'!G2:V2000""), {3, 4, 5, 6, 7, 8, 9, 10, 11, 12, 13, 14, 15, 16}, 0))"),"LU005458")</f>
        <v>LU005458</v>
      </c>
      <c r="AH21" s="138" t="str">
        <f ca="1">IFERROR(__xludf.DUMMYFUNCTION("""COMPUTED_VALUE"""),"Excretion in various types of organisms")</f>
        <v>Excretion in various types of organisms</v>
      </c>
      <c r="AI21" s="138" t="str">
        <f ca="1">IFERROR(__xludf.DUMMYFUNCTION("""COMPUTED_VALUE"""),"LU006084")</f>
        <v>LU006084</v>
      </c>
      <c r="AJ21" s="138" t="str">
        <f ca="1">IFERROR(__xludf.DUMMYFUNCTION("""COMPUTED_VALUE"""),"Living things need food, energy through respiration and excrete waste")</f>
        <v>Living things need food, energy through respiration and excrete waste</v>
      </c>
      <c r="AK21" s="138"/>
      <c r="AL21" s="138"/>
      <c r="AM21" s="138"/>
      <c r="AN21" s="138"/>
      <c r="AO21" s="138"/>
      <c r="AP21" s="138"/>
      <c r="AQ21" s="138"/>
      <c r="AR21" s="138"/>
      <c r="AS21" s="138"/>
      <c r="AT21" s="138"/>
    </row>
    <row r="22" spans="1:46">
      <c r="A22" s="54" t="s">
        <v>247</v>
      </c>
      <c r="B22" s="55" t="s">
        <v>47</v>
      </c>
      <c r="C22" s="55" t="s">
        <v>1172</v>
      </c>
      <c r="D22" s="55" t="s">
        <v>2463</v>
      </c>
      <c r="E22" s="55" t="s">
        <v>2464</v>
      </c>
      <c r="F22" s="55" t="s">
        <v>2493</v>
      </c>
      <c r="G22" s="55" t="s">
        <v>2495</v>
      </c>
      <c r="H22" s="54" t="str">
        <f ca="1">IFERROR(__xludf.DUMMYFUNCTION("VLOOKUP(G22, IMPORTRANGE(""https://docs.google.com/spreadsheets/d/14deopnvwcrKtEGCKuYXdUHJbeLDZlkiSSWWT0g7x2pM/edit#gid=849066331"", ""LU List Science (Filter)!A:B""), 2, FALSE)"),"Introduction to the urine production in humans")</f>
        <v>Introduction to the urine production in humans</v>
      </c>
      <c r="I22" s="55" t="str">
        <f t="shared" si="0"/>
        <v>LU006462.001</v>
      </c>
      <c r="J22" s="55" t="str">
        <f ca="1">IFERROR(__xludf.DUMMYFUNCTION("VLOOKUP(I22, IMPORTRANGE(""https://docs.google.com/spreadsheets/d/1yDAaXNsi4Mr5FtRQL4tbmSdIzhx6_m4wkOD7IG-k_eo/edit#gid=1336395716"", ""Science!M:N""), 2, FALSE)"),"(LU006462.001); Default - Remember")</f>
        <v>(LU006462.001); Default - Remember</v>
      </c>
      <c r="K22" s="55" t="str">
        <f t="shared" si="1"/>
        <v>LU006462.002</v>
      </c>
      <c r="L22" s="55" t="str">
        <f ca="1">IFERROR(__xludf.DUMMYFUNCTION("VLOOKUP(K22, IMPORTRANGE(""https://docs.google.com/spreadsheets/d/1yDAaXNsi4Mr5FtRQL4tbmSdIzhx6_m4wkOD7IG-k_eo/edit#gid=1336395716"", ""Science!M:N""), 2, FALSE)"),"(LU006462.002); Default - Understand")</f>
        <v>(LU006462.002); Default - Understand</v>
      </c>
      <c r="M22" s="55" t="str">
        <f t="shared" si="2"/>
        <v>LU006462.003</v>
      </c>
      <c r="N22" s="55" t="str">
        <f ca="1">IFERROR(__xludf.DUMMYFUNCTION("VLOOKUP(M22, IMPORTRANGE(""https://docs.google.com/spreadsheets/d/1yDAaXNsi4Mr5FtRQL4tbmSdIzhx6_m4wkOD7IG-k_eo/edit#gid=1336395716"", ""Science!M:N""), 2, FALSE)"),"(LU006462.003); Default - Apply")</f>
        <v>(LU006462.003); Default - Apply</v>
      </c>
      <c r="O22" s="55" t="str">
        <f t="shared" si="3"/>
        <v>LU006462.004</v>
      </c>
      <c r="P22" s="55" t="str">
        <f ca="1">IFERROR(__xludf.DUMMYFUNCTION("VLOOKUP(O22, IMPORTRANGE(""https://docs.google.com/spreadsheets/d/1yDAaXNsi4Mr5FtRQL4tbmSdIzhx6_m4wkOD7IG-k_eo/edit#gid=1336395716"", ""Science!M:N""), 2, FALSE)"),"(LU006462.004); Default - Analyse")</f>
        <v>(LU006462.004); Default - Analyse</v>
      </c>
      <c r="Q22" s="55" t="str">
        <f t="shared" si="4"/>
        <v>LU006462.005</v>
      </c>
      <c r="R22" s="55" t="str">
        <f ca="1">IFERROR(__xludf.DUMMYFUNCTION("VLOOKUP(Q22, IMPORTRANGE(""https://docs.google.com/spreadsheets/d/1yDAaXNsi4Mr5FtRQL4tbmSdIzhx6_m4wkOD7IG-k_eo/edit#gid=1336395716"", ""Science!M:N""), 2, FALSE)"),"(LU006462.005); Default - Evaluate")</f>
        <v>(LU006462.005); Default - Evaluate</v>
      </c>
      <c r="S22" s="55" t="str">
        <f t="shared" si="5"/>
        <v>LU006462.006</v>
      </c>
      <c r="T22" s="55" t="str">
        <f ca="1">IFERROR(__xludf.DUMMYFUNCTION("VLOOKUP(S22, IMPORTRANGE(""https://docs.google.com/spreadsheets/d/1yDAaXNsi4Mr5FtRQL4tbmSdIzhx6_m4wkOD7IG-k_eo/edit#gid=1336395716"", ""Science!M:N""), 2, FALSE)"),"(LU006462.006); Default - Create")</f>
        <v>(LU006462.006); Default - Create</v>
      </c>
      <c r="U22" s="137" t="str">
        <f ca="1">IFERROR(__xludf.DUMMYFUNCTION("ArrayFormula(VLOOKUP(G22, IMPORTRANGE(""https://docs.google.com/spreadsheets/d/1p7R4vtkWt5VOBim4ltsDG9KTzSjrtKXsMtQGXPHyND0/edit#gid=795171502"", ""'Filter 30_05_2024'!A1:M2000""), {2, 3, 4, 5,6,7,8,9,10,11,12,13}, 0))"),"#N/A")</f>
        <v>#N/A</v>
      </c>
      <c r="V22" s="137" t="str">
        <f ca="1">IFERROR(__xludf.DUMMYFUNCTION("""COMPUTED_VALUE"""),"#N/A")</f>
        <v>#N/A</v>
      </c>
      <c r="W22" s="137" t="str">
        <f ca="1">IFERROR(__xludf.DUMMYFUNCTION("""COMPUTED_VALUE"""),"#N/A")</f>
        <v>#N/A</v>
      </c>
      <c r="X22" s="137" t="str">
        <f ca="1">IFERROR(__xludf.DUMMYFUNCTION("""COMPUTED_VALUE"""),"#N/A")</f>
        <v>#N/A</v>
      </c>
      <c r="Y22" s="137" t="str">
        <f ca="1">IFERROR(__xludf.DUMMYFUNCTION("""COMPUTED_VALUE"""),"#N/A")</f>
        <v>#N/A</v>
      </c>
      <c r="Z22" s="138" t="str">
        <f ca="1">IFERROR(__xludf.DUMMYFUNCTION("""COMPUTED_VALUE"""),"#N/A")</f>
        <v>#N/A</v>
      </c>
      <c r="AA22" s="138" t="str">
        <f ca="1">IFERROR(__xludf.DUMMYFUNCTION("""COMPUTED_VALUE"""),"#N/A")</f>
        <v>#N/A</v>
      </c>
      <c r="AB22" s="138" t="str">
        <f ca="1">IFERROR(__xludf.DUMMYFUNCTION("""COMPUTED_VALUE"""),"#N/A")</f>
        <v>#N/A</v>
      </c>
      <c r="AC22" s="138" t="str">
        <f ca="1">IFERROR(__xludf.DUMMYFUNCTION("""COMPUTED_VALUE"""),"#N/A")</f>
        <v>#N/A</v>
      </c>
      <c r="AD22" s="138" t="str">
        <f ca="1">IFERROR(__xludf.DUMMYFUNCTION("""COMPUTED_VALUE"""),"#N/A")</f>
        <v>#N/A</v>
      </c>
      <c r="AE22" s="138" t="str">
        <f ca="1">IFERROR(__xludf.DUMMYFUNCTION("""COMPUTED_VALUE"""),"#N/A")</f>
        <v>#N/A</v>
      </c>
      <c r="AF22" s="138" t="str">
        <f ca="1">IFERROR(__xludf.DUMMYFUNCTION("""COMPUTED_VALUE"""),"#N/A")</f>
        <v>#N/A</v>
      </c>
      <c r="AG22" s="138" t="str">
        <f ca="1">IFERROR(__xludf.DUMMYFUNCTION("ArrayFormula(VLOOKUP(G22, IMPORTRANGE(""https://docs.google.com/spreadsheets/d/1Co934fvtviyaRiMsrIlT05Jaq7iiYq07aLvRr35KA48/edit?gid=173865642#gid=173865642"", ""'G10_Sci_Pri_LU'!G2:V2000""), {3, 4, 5, 6, 7, 8, 9, 10, 11, 12, 13, 14, 15, 16}, 0))"),"LU006115")</f>
        <v>LU006115</v>
      </c>
      <c r="AH22" s="138" t="str">
        <f ca="1">IFERROR(__xludf.DUMMYFUNCTION("""COMPUTED_VALUE"""),"Introduction to the excretory system in humans")</f>
        <v>Introduction to the excretory system in humans</v>
      </c>
      <c r="AI22" s="138" t="str">
        <f ca="1">IFERROR(__xludf.DUMMYFUNCTION("""COMPUTED_VALUE"""),"LU005956")</f>
        <v>LU005956</v>
      </c>
      <c r="AJ22" s="138" t="str">
        <f ca="1">IFERROR(__xludf.DUMMYFUNCTION("""COMPUTED_VALUE"""),"Types of human blood vessels")</f>
        <v>Types of human blood vessels</v>
      </c>
      <c r="AK22" s="138"/>
      <c r="AL22" s="138"/>
      <c r="AM22" s="138"/>
      <c r="AN22" s="138"/>
      <c r="AO22" s="138"/>
      <c r="AP22" s="138"/>
      <c r="AQ22" s="138"/>
      <c r="AR22" s="138"/>
      <c r="AS22" s="138"/>
      <c r="AT22" s="138"/>
    </row>
    <row r="23" spans="1:46">
      <c r="A23" s="54" t="s">
        <v>247</v>
      </c>
      <c r="B23" s="55" t="s">
        <v>47</v>
      </c>
      <c r="C23" s="55" t="s">
        <v>1172</v>
      </c>
      <c r="D23" s="55" t="s">
        <v>2463</v>
      </c>
      <c r="E23" s="55" t="s">
        <v>2464</v>
      </c>
      <c r="F23" s="55" t="s">
        <v>2493</v>
      </c>
      <c r="G23" s="55" t="s">
        <v>2496</v>
      </c>
      <c r="H23" s="54" t="str">
        <f ca="1">IFERROR(__xludf.DUMMYFUNCTION("VLOOKUP(G23, IMPORTRANGE(""https://docs.google.com/spreadsheets/d/14deopnvwcrKtEGCKuYXdUHJbeLDZlkiSSWWT0g7x2pM/edit#gid=849066331"", ""LU List Science (Filter)!A:B""), 2, FALSE)"),"Process of dialysis")</f>
        <v>Process of dialysis</v>
      </c>
      <c r="I23" s="55" t="str">
        <f t="shared" si="0"/>
        <v>LU006170.001</v>
      </c>
      <c r="J23" s="55" t="str">
        <f ca="1">IFERROR(__xludf.DUMMYFUNCTION("VLOOKUP(I23, IMPORTRANGE(""https://docs.google.com/spreadsheets/d/1yDAaXNsi4Mr5FtRQL4tbmSdIzhx6_m4wkOD7IG-k_eo/edit#gid=1336395716"", ""Science!M:N""), 2, FALSE)"),"Define dialysis and identify its purpose in removing waste products from the blood for patients with kidney failure.")</f>
        <v>Define dialysis and identify its purpose in removing waste products from the blood for patients with kidney failure.</v>
      </c>
      <c r="K23" s="55" t="str">
        <f t="shared" si="1"/>
        <v>LU006170.002</v>
      </c>
      <c r="L23" s="55" t="str">
        <f ca="1">IFERROR(__xludf.DUMMYFUNCTION("VLOOKUP(K23, IMPORTRANGE(""https://docs.google.com/spreadsheets/d/1yDAaXNsi4Mr5FtRQL4tbmSdIzhx6_m4wkOD7IG-k_eo/edit#gid=1336395716"", ""Science!M:N""), 2, FALSE)"),"Describe the components of an artificial kidney (hemodialysis machine) and explain how it functions to filter blood using a selectively permeable membrane.")</f>
        <v>Describe the components of an artificial kidney (hemodialysis machine) and explain how it functions to filter blood using a selectively permeable membrane.</v>
      </c>
      <c r="M23" s="55" t="str">
        <f t="shared" si="2"/>
        <v>LU006170.003</v>
      </c>
      <c r="N23" s="55" t="str">
        <f ca="1">IFERROR(__xludf.DUMMYFUNCTION("VLOOKUP(M23, IMPORTRANGE(""https://docs.google.com/spreadsheets/d/1yDAaXNsi4Mr5FtRQL4tbmSdIzhx6_m4wkOD7IG-k_eo/edit#gid=1336395716"", ""Science!M:N""), 2, FALSE)"),"Illustrate the steps involved in the dialysis process, tracing the flow of blood from the patient through the machine and back into the body.")</f>
        <v>Illustrate the steps involved in the dialysis process, tracing the flow of blood from the patient through the machine and back into the body.</v>
      </c>
      <c r="O23" s="55" t="str">
        <f t="shared" si="3"/>
        <v>LU006170.004</v>
      </c>
      <c r="P23" s="55" t="str">
        <f ca="1">IFERROR(__xludf.DUMMYFUNCTION("VLOOKUP(O23, IMPORTRANGE(""https://docs.google.com/spreadsheets/d/1yDAaXNsi4Mr5FtRQL4tbmSdIzhx6_m4wkOD7IG-k_eo/edit#gid=1336395716"", ""Science!M:N""), 2, FALSE)"),"Compare the process of natural filtration in the kidneys with the filtration process in hemodialysis, analyzing differences in reabsorption and waste removal.")</f>
        <v>Compare the process of natural filtration in the kidneys with the filtration process in hemodialysis, analyzing differences in reabsorption and waste removal.</v>
      </c>
      <c r="Q23" s="55" t="str">
        <f t="shared" si="4"/>
        <v>LU006170.005</v>
      </c>
      <c r="R23" s="55" t="str">
        <f ca="1">IFERROR(__xludf.DUMMYFUNCTION("VLOOKUP(Q23, IMPORTRANGE(""https://docs.google.com/spreadsheets/d/1yDAaXNsi4Mr5FtRQL4tbmSdIzhx6_m4wkOD7IG-k_eo/edit#gid=1336395716"", ""Science!M:N""), 2, FALSE)"),"Assess the effectiveness of dialysis in maintaining patient health compared to natural kidney function, considering limitations like the absence of reabsorption.")</f>
        <v>Assess the effectiveness of dialysis in maintaining patient health compared to natural kidney function, considering limitations like the absence of reabsorption.</v>
      </c>
      <c r="S23" s="55" t="str">
        <f t="shared" si="5"/>
        <v>LU006170.006</v>
      </c>
      <c r="T23" s="55" t="str">
        <f ca="1">IFERROR(__xludf.DUMMYFUNCTION("VLOOKUP(S23, IMPORTRANGE(""https://docs.google.com/spreadsheets/d/1yDAaXNsi4Mr5FtRQL4tbmSdIzhx6_m4wkOD7IG-k_eo/edit#gid=1336395716"", ""Science!M:N""), 2, FALSE)"),"Design an informational pamphlet for patients explaining the dialysis process, including visual diagrams of the procedure, potential benefits, and limitations.")</f>
        <v>Design an informational pamphlet for patients explaining the dialysis process, including visual diagrams of the procedure, potential benefits, and limitations.</v>
      </c>
      <c r="U23" s="137" t="str">
        <f ca="1">IFERROR(__xludf.DUMMYFUNCTION("ArrayFormula(VLOOKUP(G23, IMPORTRANGE(""https://docs.google.com/spreadsheets/d/1p7R4vtkWt5VOBim4ltsDG9KTzSjrtKXsMtQGXPHyND0/edit#gid=795171502"", ""'Filter 30_05_2024'!A1:M2000""), {2, 3, 4, 5,6,7,8,9,10,11,12,13}, 0))"),"#N/A")</f>
        <v>#N/A</v>
      </c>
      <c r="V23" s="137" t="str">
        <f ca="1">IFERROR(__xludf.DUMMYFUNCTION("""COMPUTED_VALUE"""),"#N/A")</f>
        <v>#N/A</v>
      </c>
      <c r="W23" s="137" t="str">
        <f ca="1">IFERROR(__xludf.DUMMYFUNCTION("""COMPUTED_VALUE"""),"#N/A")</f>
        <v>#N/A</v>
      </c>
      <c r="X23" s="137" t="str">
        <f ca="1">IFERROR(__xludf.DUMMYFUNCTION("""COMPUTED_VALUE"""),"#N/A")</f>
        <v>#N/A</v>
      </c>
      <c r="Y23" s="137" t="str">
        <f ca="1">IFERROR(__xludf.DUMMYFUNCTION("""COMPUTED_VALUE"""),"#N/A")</f>
        <v>#N/A</v>
      </c>
      <c r="Z23" s="138" t="str">
        <f ca="1">IFERROR(__xludf.DUMMYFUNCTION("""COMPUTED_VALUE"""),"#N/A")</f>
        <v>#N/A</v>
      </c>
      <c r="AA23" s="138" t="str">
        <f ca="1">IFERROR(__xludf.DUMMYFUNCTION("""COMPUTED_VALUE"""),"#N/A")</f>
        <v>#N/A</v>
      </c>
      <c r="AB23" s="138" t="str">
        <f ca="1">IFERROR(__xludf.DUMMYFUNCTION("""COMPUTED_VALUE"""),"#N/A")</f>
        <v>#N/A</v>
      </c>
      <c r="AC23" s="138" t="str">
        <f ca="1">IFERROR(__xludf.DUMMYFUNCTION("""COMPUTED_VALUE"""),"#N/A")</f>
        <v>#N/A</v>
      </c>
      <c r="AD23" s="138" t="str">
        <f ca="1">IFERROR(__xludf.DUMMYFUNCTION("""COMPUTED_VALUE"""),"#N/A")</f>
        <v>#N/A</v>
      </c>
      <c r="AE23" s="138" t="str">
        <f ca="1">IFERROR(__xludf.DUMMYFUNCTION("""COMPUTED_VALUE"""),"#N/A")</f>
        <v>#N/A</v>
      </c>
      <c r="AF23" s="138" t="str">
        <f ca="1">IFERROR(__xludf.DUMMYFUNCTION("""COMPUTED_VALUE"""),"#N/A")</f>
        <v>#N/A</v>
      </c>
      <c r="AG23" s="138" t="str">
        <f ca="1">IFERROR(__xludf.DUMMYFUNCTION("ArrayFormula(VLOOKUP(G23, IMPORTRANGE(""https://docs.google.com/spreadsheets/d/1Co934fvtviyaRiMsrIlT05Jaq7iiYq07aLvRr35KA48/edit?gid=173865642#gid=173865642"", ""'G10_Sci_Pri_LU'!G2:V2000""), {3, 4, 5, 6, 7, 8, 9, 10, 11, 12, 13, 14, 15, 16}, 0))"),"LU006462")</f>
        <v>LU006462</v>
      </c>
      <c r="AH23" s="138" t="str">
        <f ca="1">IFERROR(__xludf.DUMMYFUNCTION("""COMPUTED_VALUE"""),"Introduction to the urine production in humans")</f>
        <v>Introduction to the urine production in humans</v>
      </c>
      <c r="AI23" s="138" t="str">
        <f ca="1">IFERROR(__xludf.DUMMYFUNCTION("""COMPUTED_VALUE"""),"LU006171")</f>
        <v>LU006171</v>
      </c>
      <c r="AJ23" s="138" t="str">
        <f ca="1">IFERROR(__xludf.DUMMYFUNCTION("""COMPUTED_VALUE"""),"Definition of diffusion and osmosis")</f>
        <v>Definition of diffusion and osmosis</v>
      </c>
      <c r="AK23" s="138" t="str">
        <f ca="1">IFERROR(__xludf.DUMMYFUNCTION("""COMPUTED_VALUE"""),"LU006115")</f>
        <v>LU006115</v>
      </c>
      <c r="AL23" s="138" t="str">
        <f ca="1">IFERROR(__xludf.DUMMYFUNCTION("""COMPUTED_VALUE"""),"Introduction to the excretory system in humans")</f>
        <v>Introduction to the excretory system in humans</v>
      </c>
      <c r="AM23" s="138"/>
      <c r="AN23" s="138"/>
      <c r="AO23" s="138"/>
      <c r="AP23" s="138"/>
      <c r="AQ23" s="138"/>
      <c r="AR23" s="138"/>
      <c r="AS23" s="138"/>
      <c r="AT23" s="138"/>
    </row>
    <row r="24" spans="1:46">
      <c r="A24" s="54" t="s">
        <v>247</v>
      </c>
      <c r="B24" s="55" t="s">
        <v>47</v>
      </c>
      <c r="C24" s="55" t="s">
        <v>1172</v>
      </c>
      <c r="D24" s="55" t="s">
        <v>2463</v>
      </c>
      <c r="E24" s="55" t="s">
        <v>2464</v>
      </c>
      <c r="F24" s="55" t="s">
        <v>2497</v>
      </c>
      <c r="G24" s="55" t="s">
        <v>2498</v>
      </c>
      <c r="H24" s="54" t="str">
        <f ca="1">IFERROR(__xludf.DUMMYFUNCTION("VLOOKUP(G24, IMPORTRANGE(""https://docs.google.com/spreadsheets/d/14deopnvwcrKtEGCKuYXdUHJbeLDZlkiSSWWT0g7x2pM/edit#gid=849066331"", ""LU List Science (Filter)!A:B""), 2, FALSE)"),"Introduction to excretion and waste management in plants")</f>
        <v>Introduction to excretion and waste management in plants</v>
      </c>
      <c r="I24" s="55" t="str">
        <f t="shared" si="0"/>
        <v>LU006463.001</v>
      </c>
      <c r="J24" s="55" t="str">
        <f ca="1">IFERROR(__xludf.DUMMYFUNCTION("VLOOKUP(I24, IMPORTRANGE(""https://docs.google.com/spreadsheets/d/1yDAaXNsi4Mr5FtRQL4tbmSdIzhx6_m4wkOD7IG-k_eo/edit#gid=1336395716"", ""Science!M:N""), 2, FALSE)"),"(LU006463.001); Default - Remember")</f>
        <v>(LU006463.001); Default - Remember</v>
      </c>
      <c r="K24" s="55" t="str">
        <f t="shared" si="1"/>
        <v>LU006463.002</v>
      </c>
      <c r="L24" s="55" t="str">
        <f ca="1">IFERROR(__xludf.DUMMYFUNCTION("VLOOKUP(K24, IMPORTRANGE(""https://docs.google.com/spreadsheets/d/1yDAaXNsi4Mr5FtRQL4tbmSdIzhx6_m4wkOD7IG-k_eo/edit#gid=1336395716"", ""Science!M:N""), 2, FALSE)"),"(LU006463.002); Default - Understand")</f>
        <v>(LU006463.002); Default - Understand</v>
      </c>
      <c r="M24" s="55" t="str">
        <f t="shared" si="2"/>
        <v>LU006463.003</v>
      </c>
      <c r="N24" s="55" t="str">
        <f ca="1">IFERROR(__xludf.DUMMYFUNCTION("VLOOKUP(M24, IMPORTRANGE(""https://docs.google.com/spreadsheets/d/1yDAaXNsi4Mr5FtRQL4tbmSdIzhx6_m4wkOD7IG-k_eo/edit#gid=1336395716"", ""Science!M:N""), 2, FALSE)"),"(LU006463.003); Default - Apply")</f>
        <v>(LU006463.003); Default - Apply</v>
      </c>
      <c r="O24" s="55" t="str">
        <f t="shared" si="3"/>
        <v>LU006463.004</v>
      </c>
      <c r="P24" s="55" t="str">
        <f ca="1">IFERROR(__xludf.DUMMYFUNCTION("VLOOKUP(O24, IMPORTRANGE(""https://docs.google.com/spreadsheets/d/1yDAaXNsi4Mr5FtRQL4tbmSdIzhx6_m4wkOD7IG-k_eo/edit#gid=1336395716"", ""Science!M:N""), 2, FALSE)"),"(LU006463.004); Default - Analyse")</f>
        <v>(LU006463.004); Default - Analyse</v>
      </c>
      <c r="Q24" s="55" t="str">
        <f t="shared" si="4"/>
        <v>LU006463.005</v>
      </c>
      <c r="R24" s="55" t="str">
        <f ca="1">IFERROR(__xludf.DUMMYFUNCTION("VLOOKUP(Q24, IMPORTRANGE(""https://docs.google.com/spreadsheets/d/1yDAaXNsi4Mr5FtRQL4tbmSdIzhx6_m4wkOD7IG-k_eo/edit#gid=1336395716"", ""Science!M:N""), 2, FALSE)"),"(LU006463.005); Default - Evaluate")</f>
        <v>(LU006463.005); Default - Evaluate</v>
      </c>
      <c r="S24" s="55" t="str">
        <f t="shared" si="5"/>
        <v>LU006463.006</v>
      </c>
      <c r="T24" s="55" t="str">
        <f ca="1">IFERROR(__xludf.DUMMYFUNCTION("VLOOKUP(S24, IMPORTRANGE(""https://docs.google.com/spreadsheets/d/1yDAaXNsi4Mr5FtRQL4tbmSdIzhx6_m4wkOD7IG-k_eo/edit#gid=1336395716"", ""Science!M:N""), 2, FALSE)"),"(LU006463.006); Default - Create")</f>
        <v>(LU006463.006); Default - Create</v>
      </c>
      <c r="U24" s="137" t="str">
        <f ca="1">IFERROR(__xludf.DUMMYFUNCTION("ArrayFormula(VLOOKUP(G24, IMPORTRANGE(""https://docs.google.com/spreadsheets/d/1p7R4vtkWt5VOBim4ltsDG9KTzSjrtKXsMtQGXPHyND0/edit#gid=795171502"", ""'Filter 30_05_2024'!A1:M2000""), {2, 3, 4, 5,6,7,8,9,10,11,12,13}, 0))"),"#N/A")</f>
        <v>#N/A</v>
      </c>
      <c r="V24" s="137" t="str">
        <f ca="1">IFERROR(__xludf.DUMMYFUNCTION("""COMPUTED_VALUE"""),"#N/A")</f>
        <v>#N/A</v>
      </c>
      <c r="W24" s="137" t="str">
        <f ca="1">IFERROR(__xludf.DUMMYFUNCTION("""COMPUTED_VALUE"""),"#N/A")</f>
        <v>#N/A</v>
      </c>
      <c r="X24" s="137" t="str">
        <f ca="1">IFERROR(__xludf.DUMMYFUNCTION("""COMPUTED_VALUE"""),"#N/A")</f>
        <v>#N/A</v>
      </c>
      <c r="Y24" s="137" t="str">
        <f ca="1">IFERROR(__xludf.DUMMYFUNCTION("""COMPUTED_VALUE"""),"#N/A")</f>
        <v>#N/A</v>
      </c>
      <c r="Z24" s="138" t="str">
        <f ca="1">IFERROR(__xludf.DUMMYFUNCTION("""COMPUTED_VALUE"""),"#N/A")</f>
        <v>#N/A</v>
      </c>
      <c r="AA24" s="138" t="str">
        <f ca="1">IFERROR(__xludf.DUMMYFUNCTION("""COMPUTED_VALUE"""),"#N/A")</f>
        <v>#N/A</v>
      </c>
      <c r="AB24" s="138" t="str">
        <f ca="1">IFERROR(__xludf.DUMMYFUNCTION("""COMPUTED_VALUE"""),"#N/A")</f>
        <v>#N/A</v>
      </c>
      <c r="AC24" s="138" t="str">
        <f ca="1">IFERROR(__xludf.DUMMYFUNCTION("""COMPUTED_VALUE"""),"#N/A")</f>
        <v>#N/A</v>
      </c>
      <c r="AD24" s="138" t="str">
        <f ca="1">IFERROR(__xludf.DUMMYFUNCTION("""COMPUTED_VALUE"""),"#N/A")</f>
        <v>#N/A</v>
      </c>
      <c r="AE24" s="138" t="str">
        <f ca="1">IFERROR(__xludf.DUMMYFUNCTION("""COMPUTED_VALUE"""),"#N/A")</f>
        <v>#N/A</v>
      </c>
      <c r="AF24" s="138" t="str">
        <f ca="1">IFERROR(__xludf.DUMMYFUNCTION("""COMPUTED_VALUE"""),"#N/A")</f>
        <v>#N/A</v>
      </c>
      <c r="AG24" s="138" t="str">
        <f ca="1">IFERROR(__xludf.DUMMYFUNCTION("ArrayFormula(VLOOKUP(G24, IMPORTRANGE(""https://docs.google.com/spreadsheets/d/1Co934fvtviyaRiMsrIlT05Jaq7iiYq07aLvRr35KA48/edit?gid=173865642#gid=173865642"", ""'G10_Sci_Pri_LU'!G2:V2000""), {3, 4, 5, 6, 7, 8, 9, 10, 11, 12, 13, 14, 15, 16}, 0))"),"LU005463")</f>
        <v>LU005463</v>
      </c>
      <c r="AH24" s="138" t="str">
        <f ca="1">IFERROR(__xludf.DUMMYFUNCTION("""COMPUTED_VALUE"""),"Transpiration in Plants - Necessary Evil and its Mechanism")</f>
        <v>Transpiration in Plants - Necessary Evil and its Mechanism</v>
      </c>
      <c r="AI24" s="138" t="str">
        <f ca="1">IFERROR(__xludf.DUMMYFUNCTION("""COMPUTED_VALUE"""),"LU005444")</f>
        <v>LU005444</v>
      </c>
      <c r="AJ24" s="138" t="str">
        <f ca="1">IFERROR(__xludf.DUMMYFUNCTION("""COMPUTED_VALUE"""),"Compare Photosynthesis and Respiration in Plants")</f>
        <v>Compare Photosynthesis and Respiration in Plants</v>
      </c>
      <c r="AK24" s="138" t="str">
        <f ca="1">IFERROR(__xludf.DUMMYFUNCTION("""COMPUTED_VALUE"""),"LU006240")</f>
        <v>LU006240</v>
      </c>
      <c r="AL24" s="138" t="str">
        <f ca="1">IFERROR(__xludf.DUMMYFUNCTION("""COMPUTED_VALUE"""),"Introduction to Vacuoles")</f>
        <v>Introduction to Vacuoles</v>
      </c>
      <c r="AM24" s="138"/>
      <c r="AN24" s="138"/>
      <c r="AO24" s="138"/>
      <c r="AP24" s="138"/>
      <c r="AQ24" s="138"/>
      <c r="AR24" s="138"/>
      <c r="AS24" s="138"/>
      <c r="AT24" s="138"/>
    </row>
    <row r="25" spans="1:46">
      <c r="A25" s="54" t="s">
        <v>247</v>
      </c>
      <c r="B25" s="55" t="s">
        <v>47</v>
      </c>
      <c r="C25" s="55" t="s">
        <v>1172</v>
      </c>
      <c r="D25" s="55" t="s">
        <v>2463</v>
      </c>
      <c r="E25" s="55" t="s">
        <v>2499</v>
      </c>
      <c r="F25" s="55" t="s">
        <v>2500</v>
      </c>
      <c r="G25" s="55" t="s">
        <v>2501</v>
      </c>
      <c r="H25" s="54" t="str">
        <f ca="1">IFERROR(__xludf.DUMMYFUNCTION("VLOOKUP(G25, IMPORTRANGE(""https://docs.google.com/spreadsheets/d/14deopnvwcrKtEGCKuYXdUHJbeLDZlkiSSWWT0g7x2pM/edit#gid=849066331"", ""LU List Science (Filter)!A:B""), 2, FALSE)"),"Neural communication and sensory reception in humans")</f>
        <v>Neural communication and sensory reception in humans</v>
      </c>
      <c r="I25" s="55" t="str">
        <f t="shared" si="0"/>
        <v>LU006464.001</v>
      </c>
      <c r="J25" s="55" t="str">
        <f ca="1">IFERROR(__xludf.DUMMYFUNCTION("VLOOKUP(I25, IMPORTRANGE(""https://docs.google.com/spreadsheets/d/1yDAaXNsi4Mr5FtRQL4tbmSdIzhx6_m4wkOD7IG-k_eo/edit#gid=1336395716"", ""Science!M:N""), 2, FALSE)"),"(LU006464.001); Default - Remember")</f>
        <v>(LU006464.001); Default - Remember</v>
      </c>
      <c r="K25" s="55" t="str">
        <f t="shared" si="1"/>
        <v>LU006464.002</v>
      </c>
      <c r="L25" s="55" t="str">
        <f ca="1">IFERROR(__xludf.DUMMYFUNCTION("VLOOKUP(K25, IMPORTRANGE(""https://docs.google.com/spreadsheets/d/1yDAaXNsi4Mr5FtRQL4tbmSdIzhx6_m4wkOD7IG-k_eo/edit#gid=1336395716"", ""Science!M:N""), 2, FALSE)"),"(LU006464.002); Default - Understand")</f>
        <v>(LU006464.002); Default - Understand</v>
      </c>
      <c r="M25" s="55" t="str">
        <f t="shared" si="2"/>
        <v>LU006464.003</v>
      </c>
      <c r="N25" s="55" t="str">
        <f ca="1">IFERROR(__xludf.DUMMYFUNCTION("VLOOKUP(M25, IMPORTRANGE(""https://docs.google.com/spreadsheets/d/1yDAaXNsi4Mr5FtRQL4tbmSdIzhx6_m4wkOD7IG-k_eo/edit#gid=1336395716"", ""Science!M:N""), 2, FALSE)"),"(LU006464.003); Default - Apply")</f>
        <v>(LU006464.003); Default - Apply</v>
      </c>
      <c r="O25" s="55" t="str">
        <f t="shared" si="3"/>
        <v>LU006464.004</v>
      </c>
      <c r="P25" s="55" t="str">
        <f ca="1">IFERROR(__xludf.DUMMYFUNCTION("VLOOKUP(O25, IMPORTRANGE(""https://docs.google.com/spreadsheets/d/1yDAaXNsi4Mr5FtRQL4tbmSdIzhx6_m4wkOD7IG-k_eo/edit#gid=1336395716"", ""Science!M:N""), 2, FALSE)"),"(LU006464.004); Default - Analyse")</f>
        <v>(LU006464.004); Default - Analyse</v>
      </c>
      <c r="Q25" s="55" t="str">
        <f t="shared" si="4"/>
        <v>LU006464.005</v>
      </c>
      <c r="R25" s="55" t="str">
        <f ca="1">IFERROR(__xludf.DUMMYFUNCTION("VLOOKUP(Q25, IMPORTRANGE(""https://docs.google.com/spreadsheets/d/1yDAaXNsi4Mr5FtRQL4tbmSdIzhx6_m4wkOD7IG-k_eo/edit#gid=1336395716"", ""Science!M:N""), 2, FALSE)"),"(LU006464.005); Default - Evaluate")</f>
        <v>(LU006464.005); Default - Evaluate</v>
      </c>
      <c r="S25" s="55" t="str">
        <f t="shared" si="5"/>
        <v>LU006464.006</v>
      </c>
      <c r="T25" s="55" t="str">
        <f ca="1">IFERROR(__xludf.DUMMYFUNCTION("VLOOKUP(S25, IMPORTRANGE(""https://docs.google.com/spreadsheets/d/1yDAaXNsi4Mr5FtRQL4tbmSdIzhx6_m4wkOD7IG-k_eo/edit#gid=1336395716"", ""Science!M:N""), 2, FALSE)"),"(LU006464.006); Default - Create")</f>
        <v>(LU006464.006); Default - Create</v>
      </c>
      <c r="U25" s="137" t="str">
        <f ca="1">IFERROR(__xludf.DUMMYFUNCTION("ArrayFormula(VLOOKUP(G25, IMPORTRANGE(""https://docs.google.com/spreadsheets/d/1p7R4vtkWt5VOBim4ltsDG9KTzSjrtKXsMtQGXPHyND0/edit#gid=795171502"", ""'Filter 30_05_2024'!A1:M2000""), {2, 3, 4, 5,6,7,8,9,10,11,12,13}, 0))"),"#N/A")</f>
        <v>#N/A</v>
      </c>
      <c r="V25" s="137" t="str">
        <f ca="1">IFERROR(__xludf.DUMMYFUNCTION("""COMPUTED_VALUE"""),"#N/A")</f>
        <v>#N/A</v>
      </c>
      <c r="W25" s="137" t="str">
        <f ca="1">IFERROR(__xludf.DUMMYFUNCTION("""COMPUTED_VALUE"""),"#N/A")</f>
        <v>#N/A</v>
      </c>
      <c r="X25" s="137" t="str">
        <f ca="1">IFERROR(__xludf.DUMMYFUNCTION("""COMPUTED_VALUE"""),"#N/A")</f>
        <v>#N/A</v>
      </c>
      <c r="Y25" s="137" t="str">
        <f ca="1">IFERROR(__xludf.DUMMYFUNCTION("""COMPUTED_VALUE"""),"#N/A")</f>
        <v>#N/A</v>
      </c>
      <c r="Z25" s="138" t="str">
        <f ca="1">IFERROR(__xludf.DUMMYFUNCTION("""COMPUTED_VALUE"""),"#N/A")</f>
        <v>#N/A</v>
      </c>
      <c r="AA25" s="138" t="str">
        <f ca="1">IFERROR(__xludf.DUMMYFUNCTION("""COMPUTED_VALUE"""),"#N/A")</f>
        <v>#N/A</v>
      </c>
      <c r="AB25" s="138" t="str">
        <f ca="1">IFERROR(__xludf.DUMMYFUNCTION("""COMPUTED_VALUE"""),"#N/A")</f>
        <v>#N/A</v>
      </c>
      <c r="AC25" s="138" t="str">
        <f ca="1">IFERROR(__xludf.DUMMYFUNCTION("""COMPUTED_VALUE"""),"#N/A")</f>
        <v>#N/A</v>
      </c>
      <c r="AD25" s="138" t="str">
        <f ca="1">IFERROR(__xludf.DUMMYFUNCTION("""COMPUTED_VALUE"""),"#N/A")</f>
        <v>#N/A</v>
      </c>
      <c r="AE25" s="138" t="str">
        <f ca="1">IFERROR(__xludf.DUMMYFUNCTION("""COMPUTED_VALUE"""),"#N/A")</f>
        <v>#N/A</v>
      </c>
      <c r="AF25" s="138" t="str">
        <f ca="1">IFERROR(__xludf.DUMMYFUNCTION("""COMPUTED_VALUE"""),"#N/A")</f>
        <v>#N/A</v>
      </c>
      <c r="AG25" s="138" t="str">
        <f ca="1">IFERROR(__xludf.DUMMYFUNCTION("ArrayFormula(VLOOKUP(G25, IMPORTRANGE(""https://docs.google.com/spreadsheets/d/1Co934fvtviyaRiMsrIlT05Jaq7iiYq07aLvRr35KA48/edit?gid=173865642#gid=173865642"", ""'G10_Sci_Pri_LU'!G2:V2000""), {3, 4, 5, 6, 7, 8, 9, 10, 11, 12, 13, 14, 15, 16}, 0))"),"LU006254")</f>
        <v>LU006254</v>
      </c>
      <c r="AH25" s="138" t="str">
        <f ca="1">IFERROR(__xludf.DUMMYFUNCTION("""COMPUTED_VALUE"""),"Introduction to neuron as a single unit of nervous tissue")</f>
        <v>Introduction to neuron as a single unit of nervous tissue</v>
      </c>
      <c r="AI25" s="138"/>
      <c r="AJ25" s="138"/>
      <c r="AK25" s="138"/>
      <c r="AL25" s="138"/>
      <c r="AM25" s="138"/>
      <c r="AN25" s="138"/>
      <c r="AO25" s="138"/>
      <c r="AP25" s="138"/>
      <c r="AQ25" s="138"/>
      <c r="AR25" s="138"/>
      <c r="AS25" s="138"/>
      <c r="AT25" s="138"/>
    </row>
    <row r="26" spans="1:46">
      <c r="A26" s="54" t="s">
        <v>247</v>
      </c>
      <c r="B26" s="55" t="s">
        <v>47</v>
      </c>
      <c r="C26" s="55" t="s">
        <v>1172</v>
      </c>
      <c r="D26" s="55" t="s">
        <v>2463</v>
      </c>
      <c r="E26" s="55" t="s">
        <v>2499</v>
      </c>
      <c r="F26" s="55" t="s">
        <v>2500</v>
      </c>
      <c r="G26" s="55" t="s">
        <v>2502</v>
      </c>
      <c r="H26" s="54" t="str">
        <f ca="1">IFERROR(__xludf.DUMMYFUNCTION("VLOOKUP(G26, IMPORTRANGE(""https://docs.google.com/spreadsheets/d/14deopnvwcrKtEGCKuYXdUHJbeLDZlkiSSWWT0g7x2pM/edit#gid=849066331"", ""LU List Science (Filter)!A:B""), 2, FALSE)"),"Introduction to the concept of reflex arcs in humans")</f>
        <v>Introduction to the concept of reflex arcs in humans</v>
      </c>
      <c r="I26" s="55" t="str">
        <f t="shared" si="0"/>
        <v>LU006465.001</v>
      </c>
      <c r="J26" s="55" t="str">
        <f ca="1">IFERROR(__xludf.DUMMYFUNCTION("VLOOKUP(I26, IMPORTRANGE(""https://docs.google.com/spreadsheets/d/1yDAaXNsi4Mr5FtRQL4tbmSdIzhx6_m4wkOD7IG-k_eo/edit#gid=1336395716"", ""Science!M:N""), 2, FALSE)"),"(LU006465.001); Default - Remember")</f>
        <v>(LU006465.001); Default - Remember</v>
      </c>
      <c r="K26" s="55" t="str">
        <f t="shared" si="1"/>
        <v>LU006465.002</v>
      </c>
      <c r="L26" s="55" t="str">
        <f ca="1">IFERROR(__xludf.DUMMYFUNCTION("VLOOKUP(K26, IMPORTRANGE(""https://docs.google.com/spreadsheets/d/1yDAaXNsi4Mr5FtRQL4tbmSdIzhx6_m4wkOD7IG-k_eo/edit#gid=1336395716"", ""Science!M:N""), 2, FALSE)"),"(LU006465.002); Default - Understand")</f>
        <v>(LU006465.002); Default - Understand</v>
      </c>
      <c r="M26" s="55" t="str">
        <f t="shared" si="2"/>
        <v>LU006465.003</v>
      </c>
      <c r="N26" s="55" t="str">
        <f ca="1">IFERROR(__xludf.DUMMYFUNCTION("VLOOKUP(M26, IMPORTRANGE(""https://docs.google.com/spreadsheets/d/1yDAaXNsi4Mr5FtRQL4tbmSdIzhx6_m4wkOD7IG-k_eo/edit#gid=1336395716"", ""Science!M:N""), 2, FALSE)"),"(LU006465.003); Default - Apply")</f>
        <v>(LU006465.003); Default - Apply</v>
      </c>
      <c r="O26" s="55" t="str">
        <f t="shared" si="3"/>
        <v>LU006465.004</v>
      </c>
      <c r="P26" s="55" t="str">
        <f ca="1">IFERROR(__xludf.DUMMYFUNCTION("VLOOKUP(O26, IMPORTRANGE(""https://docs.google.com/spreadsheets/d/1yDAaXNsi4Mr5FtRQL4tbmSdIzhx6_m4wkOD7IG-k_eo/edit#gid=1336395716"", ""Science!M:N""), 2, FALSE)"),"(LU006465.004); Default - Analyse")</f>
        <v>(LU006465.004); Default - Analyse</v>
      </c>
      <c r="Q26" s="55" t="str">
        <f t="shared" si="4"/>
        <v>LU006465.005</v>
      </c>
      <c r="R26" s="55" t="str">
        <f ca="1">IFERROR(__xludf.DUMMYFUNCTION("VLOOKUP(Q26, IMPORTRANGE(""https://docs.google.com/spreadsheets/d/1yDAaXNsi4Mr5FtRQL4tbmSdIzhx6_m4wkOD7IG-k_eo/edit#gid=1336395716"", ""Science!M:N""), 2, FALSE)"),"(LU006465.005); Default - Evaluate")</f>
        <v>(LU006465.005); Default - Evaluate</v>
      </c>
      <c r="S26" s="55" t="str">
        <f t="shared" si="5"/>
        <v>LU006465.006</v>
      </c>
      <c r="T26" s="55" t="str">
        <f ca="1">IFERROR(__xludf.DUMMYFUNCTION("VLOOKUP(S26, IMPORTRANGE(""https://docs.google.com/spreadsheets/d/1yDAaXNsi4Mr5FtRQL4tbmSdIzhx6_m4wkOD7IG-k_eo/edit#gid=1336395716"", ""Science!M:N""), 2, FALSE)"),"(LU006465.006); Default - Create")</f>
        <v>(LU006465.006); Default - Create</v>
      </c>
      <c r="U26" s="137" t="str">
        <f ca="1">IFERROR(__xludf.DUMMYFUNCTION("ArrayFormula(VLOOKUP(G26, IMPORTRANGE(""https://docs.google.com/spreadsheets/d/1p7R4vtkWt5VOBim4ltsDG9KTzSjrtKXsMtQGXPHyND0/edit#gid=795171502"", ""'Filter 30_05_2024'!A1:M2000""), {2, 3, 4, 5,6,7,8,9,10,11,12,13}, 0))"),"#N/A")</f>
        <v>#N/A</v>
      </c>
      <c r="V26" s="137" t="str">
        <f ca="1">IFERROR(__xludf.DUMMYFUNCTION("""COMPUTED_VALUE"""),"#N/A")</f>
        <v>#N/A</v>
      </c>
      <c r="W26" s="137" t="str">
        <f ca="1">IFERROR(__xludf.DUMMYFUNCTION("""COMPUTED_VALUE"""),"#N/A")</f>
        <v>#N/A</v>
      </c>
      <c r="X26" s="137" t="str">
        <f ca="1">IFERROR(__xludf.DUMMYFUNCTION("""COMPUTED_VALUE"""),"#N/A")</f>
        <v>#N/A</v>
      </c>
      <c r="Y26" s="137" t="str">
        <f ca="1">IFERROR(__xludf.DUMMYFUNCTION("""COMPUTED_VALUE"""),"#N/A")</f>
        <v>#N/A</v>
      </c>
      <c r="Z26" s="138" t="str">
        <f ca="1">IFERROR(__xludf.DUMMYFUNCTION("""COMPUTED_VALUE"""),"#N/A")</f>
        <v>#N/A</v>
      </c>
      <c r="AA26" s="138" t="str">
        <f ca="1">IFERROR(__xludf.DUMMYFUNCTION("""COMPUTED_VALUE"""),"#N/A")</f>
        <v>#N/A</v>
      </c>
      <c r="AB26" s="138" t="str">
        <f ca="1">IFERROR(__xludf.DUMMYFUNCTION("""COMPUTED_VALUE"""),"#N/A")</f>
        <v>#N/A</v>
      </c>
      <c r="AC26" s="138" t="str">
        <f ca="1">IFERROR(__xludf.DUMMYFUNCTION("""COMPUTED_VALUE"""),"#N/A")</f>
        <v>#N/A</v>
      </c>
      <c r="AD26" s="138" t="str">
        <f ca="1">IFERROR(__xludf.DUMMYFUNCTION("""COMPUTED_VALUE"""),"#N/A")</f>
        <v>#N/A</v>
      </c>
      <c r="AE26" s="138" t="str">
        <f ca="1">IFERROR(__xludf.DUMMYFUNCTION("""COMPUTED_VALUE"""),"#N/A")</f>
        <v>#N/A</v>
      </c>
      <c r="AF26" s="138" t="str">
        <f ca="1">IFERROR(__xludf.DUMMYFUNCTION("""COMPUTED_VALUE"""),"#N/A")</f>
        <v>#N/A</v>
      </c>
      <c r="AG26" s="138" t="str">
        <f ca="1">IFERROR(__xludf.DUMMYFUNCTION("ArrayFormula(VLOOKUP(G26, IMPORTRANGE(""https://docs.google.com/spreadsheets/d/1Co934fvtviyaRiMsrIlT05Jaq7iiYq07aLvRr35KA48/edit?gid=173865642#gid=173865642"", ""'G10_Sci_Pri_LU'!G2:V2000""), {3, 4, 5, 6, 7, 8, 9, 10, 11, 12, 13, 14, 15, 16}, 0))"),"LU006464")</f>
        <v>LU006464</v>
      </c>
      <c r="AH26" s="138" t="str">
        <f ca="1">IFERROR(__xludf.DUMMYFUNCTION("""COMPUTED_VALUE"""),"Neural communication and sensory reception in humans")</f>
        <v>Neural communication and sensory reception in humans</v>
      </c>
      <c r="AI26" s="138" t="str">
        <f ca="1">IFERROR(__xludf.DUMMYFUNCTION("""COMPUTED_VALUE"""),"LU006254")</f>
        <v>LU006254</v>
      </c>
      <c r="AJ26" s="138" t="str">
        <f ca="1">IFERROR(__xludf.DUMMYFUNCTION("""COMPUTED_VALUE"""),"Introduction to neuron as a single unit of nervous tissue")</f>
        <v>Introduction to neuron as a single unit of nervous tissue</v>
      </c>
      <c r="AK26" s="138"/>
      <c r="AL26" s="138"/>
      <c r="AM26" s="138"/>
      <c r="AN26" s="138"/>
      <c r="AO26" s="138"/>
      <c r="AP26" s="138"/>
      <c r="AQ26" s="138"/>
      <c r="AR26" s="138"/>
      <c r="AS26" s="138"/>
      <c r="AT26" s="138"/>
    </row>
    <row r="27" spans="1:46">
      <c r="A27" s="54" t="s">
        <v>247</v>
      </c>
      <c r="B27" s="55" t="s">
        <v>47</v>
      </c>
      <c r="C27" s="55" t="s">
        <v>1172</v>
      </c>
      <c r="D27" s="55" t="s">
        <v>2463</v>
      </c>
      <c r="E27" s="55" t="s">
        <v>2499</v>
      </c>
      <c r="F27" s="55" t="s">
        <v>2503</v>
      </c>
      <c r="G27" s="55" t="s">
        <v>2504</v>
      </c>
      <c r="H27" s="54" t="str">
        <f ca="1">IFERROR(__xludf.DUMMYFUNCTION("VLOOKUP(G27, IMPORTRANGE(""https://docs.google.com/spreadsheets/d/14deopnvwcrKtEGCKuYXdUHJbeLDZlkiSSWWT0g7x2pM/edit#gid=849066331"", ""LU List Science (Filter)!A:B""), 2, FALSE)"),"Introduction to the structure and function of human brain")</f>
        <v>Introduction to the structure and function of human brain</v>
      </c>
      <c r="I27" s="55" t="str">
        <f t="shared" si="0"/>
        <v>LU006466.001</v>
      </c>
      <c r="J27" s="55" t="str">
        <f ca="1">IFERROR(__xludf.DUMMYFUNCTION("VLOOKUP(I27, IMPORTRANGE(""https://docs.google.com/spreadsheets/d/1yDAaXNsi4Mr5FtRQL4tbmSdIzhx6_m4wkOD7IG-k_eo/edit#gid=1336395716"", ""Science!M:N""), 2, FALSE)"),"(LU006466.001); Default - Remember")</f>
        <v>(LU006466.001); Default - Remember</v>
      </c>
      <c r="K27" s="55" t="str">
        <f t="shared" si="1"/>
        <v>LU006466.002</v>
      </c>
      <c r="L27" s="55" t="str">
        <f ca="1">IFERROR(__xludf.DUMMYFUNCTION("VLOOKUP(K27, IMPORTRANGE(""https://docs.google.com/spreadsheets/d/1yDAaXNsi4Mr5FtRQL4tbmSdIzhx6_m4wkOD7IG-k_eo/edit#gid=1336395716"", ""Science!M:N""), 2, FALSE)"),"(LU006466.002); Default - Understand")</f>
        <v>(LU006466.002); Default - Understand</v>
      </c>
      <c r="M27" s="55" t="str">
        <f t="shared" si="2"/>
        <v>LU006466.003</v>
      </c>
      <c r="N27" s="55" t="str">
        <f ca="1">IFERROR(__xludf.DUMMYFUNCTION("VLOOKUP(M27, IMPORTRANGE(""https://docs.google.com/spreadsheets/d/1yDAaXNsi4Mr5FtRQL4tbmSdIzhx6_m4wkOD7IG-k_eo/edit#gid=1336395716"", ""Science!M:N""), 2, FALSE)"),"(LU006466.003); Default - Apply")</f>
        <v>(LU006466.003); Default - Apply</v>
      </c>
      <c r="O27" s="55" t="str">
        <f t="shared" si="3"/>
        <v>LU006466.004</v>
      </c>
      <c r="P27" s="55" t="str">
        <f ca="1">IFERROR(__xludf.DUMMYFUNCTION("VLOOKUP(O27, IMPORTRANGE(""https://docs.google.com/spreadsheets/d/1yDAaXNsi4Mr5FtRQL4tbmSdIzhx6_m4wkOD7IG-k_eo/edit#gid=1336395716"", ""Science!M:N""), 2, FALSE)"),"(LU006466.004); Default - Analyse")</f>
        <v>(LU006466.004); Default - Analyse</v>
      </c>
      <c r="Q27" s="55" t="str">
        <f t="shared" si="4"/>
        <v>LU006466.005</v>
      </c>
      <c r="R27" s="55" t="str">
        <f ca="1">IFERROR(__xludf.DUMMYFUNCTION("VLOOKUP(Q27, IMPORTRANGE(""https://docs.google.com/spreadsheets/d/1yDAaXNsi4Mr5FtRQL4tbmSdIzhx6_m4wkOD7IG-k_eo/edit#gid=1336395716"", ""Science!M:N""), 2, FALSE)"),"(LU006466.005); Default - Evaluate")</f>
        <v>(LU006466.005); Default - Evaluate</v>
      </c>
      <c r="S27" s="55" t="str">
        <f t="shared" si="5"/>
        <v>LU006466.006</v>
      </c>
      <c r="T27" s="55" t="str">
        <f ca="1">IFERROR(__xludf.DUMMYFUNCTION("VLOOKUP(S27, IMPORTRANGE(""https://docs.google.com/spreadsheets/d/1yDAaXNsi4Mr5FtRQL4tbmSdIzhx6_m4wkOD7IG-k_eo/edit#gid=1336395716"", ""Science!M:N""), 2, FALSE)"),"(LU006466.006); Default - Create")</f>
        <v>(LU006466.006); Default - Create</v>
      </c>
      <c r="U27" s="137" t="str">
        <f ca="1">IFERROR(__xludf.DUMMYFUNCTION("ArrayFormula(VLOOKUP(G27, IMPORTRANGE(""https://docs.google.com/spreadsheets/d/1p7R4vtkWt5VOBim4ltsDG9KTzSjrtKXsMtQGXPHyND0/edit#gid=795171502"", ""'Filter 30_05_2024'!A1:M2000""), {2, 3, 4, 5,6,7,8,9,10,11,12,13}, 0))"),"#N/A")</f>
        <v>#N/A</v>
      </c>
      <c r="V27" s="137" t="str">
        <f ca="1">IFERROR(__xludf.DUMMYFUNCTION("""COMPUTED_VALUE"""),"#N/A")</f>
        <v>#N/A</v>
      </c>
      <c r="W27" s="137" t="str">
        <f ca="1">IFERROR(__xludf.DUMMYFUNCTION("""COMPUTED_VALUE"""),"#N/A")</f>
        <v>#N/A</v>
      </c>
      <c r="X27" s="137" t="str">
        <f ca="1">IFERROR(__xludf.DUMMYFUNCTION("""COMPUTED_VALUE"""),"#N/A")</f>
        <v>#N/A</v>
      </c>
      <c r="Y27" s="137" t="str">
        <f ca="1">IFERROR(__xludf.DUMMYFUNCTION("""COMPUTED_VALUE"""),"#N/A")</f>
        <v>#N/A</v>
      </c>
      <c r="Z27" s="138" t="str">
        <f ca="1">IFERROR(__xludf.DUMMYFUNCTION("""COMPUTED_VALUE"""),"#N/A")</f>
        <v>#N/A</v>
      </c>
      <c r="AA27" s="138" t="str">
        <f ca="1">IFERROR(__xludf.DUMMYFUNCTION("""COMPUTED_VALUE"""),"#N/A")</f>
        <v>#N/A</v>
      </c>
      <c r="AB27" s="138" t="str">
        <f ca="1">IFERROR(__xludf.DUMMYFUNCTION("""COMPUTED_VALUE"""),"#N/A")</f>
        <v>#N/A</v>
      </c>
      <c r="AC27" s="138" t="str">
        <f ca="1">IFERROR(__xludf.DUMMYFUNCTION("""COMPUTED_VALUE"""),"#N/A")</f>
        <v>#N/A</v>
      </c>
      <c r="AD27" s="138" t="str">
        <f ca="1">IFERROR(__xludf.DUMMYFUNCTION("""COMPUTED_VALUE"""),"#N/A")</f>
        <v>#N/A</v>
      </c>
      <c r="AE27" s="138" t="str">
        <f ca="1">IFERROR(__xludf.DUMMYFUNCTION("""COMPUTED_VALUE"""),"#N/A")</f>
        <v>#N/A</v>
      </c>
      <c r="AF27" s="138" t="str">
        <f ca="1">IFERROR(__xludf.DUMMYFUNCTION("""COMPUTED_VALUE"""),"#N/A")</f>
        <v>#N/A</v>
      </c>
      <c r="AG27" s="138" t="str">
        <f ca="1">IFERROR(__xludf.DUMMYFUNCTION("ArrayFormula(VLOOKUP(G27, IMPORTRANGE(""https://docs.google.com/spreadsheets/d/1Co934fvtviyaRiMsrIlT05Jaq7iiYq07aLvRr35KA48/edit?gid=173865642#gid=173865642"", ""'G10_Sci_Pri_LU'!G2:V2000""), {3, 4, 5, 6, 7, 8, 9, 10, 11, 12, 13, 14, 15, 16}, 0))"),"")</f>
        <v/>
      </c>
      <c r="AH27" s="138"/>
      <c r="AI27" s="138"/>
      <c r="AJ27" s="138"/>
      <c r="AK27" s="138"/>
      <c r="AL27" s="138"/>
      <c r="AM27" s="138"/>
      <c r="AN27" s="138"/>
      <c r="AO27" s="138"/>
      <c r="AP27" s="138"/>
      <c r="AQ27" s="138"/>
      <c r="AR27" s="138"/>
      <c r="AS27" s="138"/>
      <c r="AT27" s="138"/>
    </row>
    <row r="28" spans="1:46">
      <c r="A28" s="54" t="s">
        <v>247</v>
      </c>
      <c r="B28" s="55" t="s">
        <v>47</v>
      </c>
      <c r="C28" s="55" t="s">
        <v>1172</v>
      </c>
      <c r="D28" s="55" t="s">
        <v>2463</v>
      </c>
      <c r="E28" s="55" t="s">
        <v>2499</v>
      </c>
      <c r="F28" s="55" t="s">
        <v>2503</v>
      </c>
      <c r="G28" s="55" t="s">
        <v>2505</v>
      </c>
      <c r="H28" s="54" t="str">
        <f ca="1">IFERROR(__xludf.DUMMYFUNCTION("VLOOKUP(G28, IMPORTRANGE(""https://docs.google.com/spreadsheets/d/14deopnvwcrKtEGCKuYXdUHJbeLDZlkiSSWWT0g7x2pM/edit#gid=849066331"", ""LU List Science (Filter)!A:B""), 2, FALSE)"),"Nervous Tissue and Actions")</f>
        <v>Nervous Tissue and Actions</v>
      </c>
      <c r="I28" s="55" t="str">
        <f t="shared" si="0"/>
        <v>LU006467.001</v>
      </c>
      <c r="J28" s="55" t="str">
        <f ca="1">IFERROR(__xludf.DUMMYFUNCTION("VLOOKUP(I28, IMPORTRANGE(""https://docs.google.com/spreadsheets/d/1yDAaXNsi4Mr5FtRQL4tbmSdIzhx6_m4wkOD7IG-k_eo/edit#gid=1336395716"", ""Science!M:N""), 2, FALSE)"),"(LU006467.001); Default - Remember")</f>
        <v>(LU006467.001); Default - Remember</v>
      </c>
      <c r="K28" s="55" t="str">
        <f t="shared" si="1"/>
        <v>LU006467.002</v>
      </c>
      <c r="L28" s="55" t="str">
        <f ca="1">IFERROR(__xludf.DUMMYFUNCTION("VLOOKUP(K28, IMPORTRANGE(""https://docs.google.com/spreadsheets/d/1yDAaXNsi4Mr5FtRQL4tbmSdIzhx6_m4wkOD7IG-k_eo/edit#gid=1336395716"", ""Science!M:N""), 2, FALSE)"),"(LU006467.002); Default - Understand")</f>
        <v>(LU006467.002); Default - Understand</v>
      </c>
      <c r="M28" s="55" t="str">
        <f t="shared" si="2"/>
        <v>LU006467.003</v>
      </c>
      <c r="N28" s="55" t="str">
        <f ca="1">IFERROR(__xludf.DUMMYFUNCTION("VLOOKUP(M28, IMPORTRANGE(""https://docs.google.com/spreadsheets/d/1yDAaXNsi4Mr5FtRQL4tbmSdIzhx6_m4wkOD7IG-k_eo/edit#gid=1336395716"", ""Science!M:N""), 2, FALSE)"),"(LU006467.003); Default - Apply")</f>
        <v>(LU006467.003); Default - Apply</v>
      </c>
      <c r="O28" s="55" t="str">
        <f t="shared" si="3"/>
        <v>LU006467.004</v>
      </c>
      <c r="P28" s="55" t="str">
        <f ca="1">IFERROR(__xludf.DUMMYFUNCTION("VLOOKUP(O28, IMPORTRANGE(""https://docs.google.com/spreadsheets/d/1yDAaXNsi4Mr5FtRQL4tbmSdIzhx6_m4wkOD7IG-k_eo/edit#gid=1336395716"", ""Science!M:N""), 2, FALSE)"),"(LU006467.004); Default - Analyse")</f>
        <v>(LU006467.004); Default - Analyse</v>
      </c>
      <c r="Q28" s="55" t="str">
        <f t="shared" si="4"/>
        <v>LU006467.005</v>
      </c>
      <c r="R28" s="55" t="str">
        <f ca="1">IFERROR(__xludf.DUMMYFUNCTION("VLOOKUP(Q28, IMPORTRANGE(""https://docs.google.com/spreadsheets/d/1yDAaXNsi4Mr5FtRQL4tbmSdIzhx6_m4wkOD7IG-k_eo/edit#gid=1336395716"", ""Science!M:N""), 2, FALSE)"),"(LU006467.005); Default - Evaluate")</f>
        <v>(LU006467.005); Default - Evaluate</v>
      </c>
      <c r="S28" s="55" t="str">
        <f t="shared" si="5"/>
        <v>LU006467.006</v>
      </c>
      <c r="T28" s="55" t="str">
        <f ca="1">IFERROR(__xludf.DUMMYFUNCTION("VLOOKUP(S28, IMPORTRANGE(""https://docs.google.com/spreadsheets/d/1yDAaXNsi4Mr5FtRQL4tbmSdIzhx6_m4wkOD7IG-k_eo/edit#gid=1336395716"", ""Science!M:N""), 2, FALSE)"),"(LU006467.006); Default - Create")</f>
        <v>(LU006467.006); Default - Create</v>
      </c>
      <c r="U28" s="137" t="str">
        <f ca="1">IFERROR(__xludf.DUMMYFUNCTION("ArrayFormula(VLOOKUP(G28, IMPORTRANGE(""https://docs.google.com/spreadsheets/d/1p7R4vtkWt5VOBim4ltsDG9KTzSjrtKXsMtQGXPHyND0/edit#gid=795171502"", ""'Filter 30_05_2024'!A1:M2000""), {2, 3, 4, 5,6,7,8,9,10,11,12,13}, 0))"),"#N/A")</f>
        <v>#N/A</v>
      </c>
      <c r="V28" s="137" t="str">
        <f ca="1">IFERROR(__xludf.DUMMYFUNCTION("""COMPUTED_VALUE"""),"#N/A")</f>
        <v>#N/A</v>
      </c>
      <c r="W28" s="137" t="str">
        <f ca="1">IFERROR(__xludf.DUMMYFUNCTION("""COMPUTED_VALUE"""),"#N/A")</f>
        <v>#N/A</v>
      </c>
      <c r="X28" s="137" t="str">
        <f ca="1">IFERROR(__xludf.DUMMYFUNCTION("""COMPUTED_VALUE"""),"#N/A")</f>
        <v>#N/A</v>
      </c>
      <c r="Y28" s="137" t="str">
        <f ca="1">IFERROR(__xludf.DUMMYFUNCTION("""COMPUTED_VALUE"""),"#N/A")</f>
        <v>#N/A</v>
      </c>
      <c r="Z28" s="138" t="str">
        <f ca="1">IFERROR(__xludf.DUMMYFUNCTION("""COMPUTED_VALUE"""),"#N/A")</f>
        <v>#N/A</v>
      </c>
      <c r="AA28" s="138" t="str">
        <f ca="1">IFERROR(__xludf.DUMMYFUNCTION("""COMPUTED_VALUE"""),"#N/A")</f>
        <v>#N/A</v>
      </c>
      <c r="AB28" s="138" t="str">
        <f ca="1">IFERROR(__xludf.DUMMYFUNCTION("""COMPUTED_VALUE"""),"#N/A")</f>
        <v>#N/A</v>
      </c>
      <c r="AC28" s="138" t="str">
        <f ca="1">IFERROR(__xludf.DUMMYFUNCTION("""COMPUTED_VALUE"""),"#N/A")</f>
        <v>#N/A</v>
      </c>
      <c r="AD28" s="138" t="str">
        <f ca="1">IFERROR(__xludf.DUMMYFUNCTION("""COMPUTED_VALUE"""),"#N/A")</f>
        <v>#N/A</v>
      </c>
      <c r="AE28" s="138" t="str">
        <f ca="1">IFERROR(__xludf.DUMMYFUNCTION("""COMPUTED_VALUE"""),"#N/A")</f>
        <v>#N/A</v>
      </c>
      <c r="AF28" s="138" t="str">
        <f ca="1">IFERROR(__xludf.DUMMYFUNCTION("""COMPUTED_VALUE"""),"#N/A")</f>
        <v>#N/A</v>
      </c>
      <c r="AG28" s="138" t="str">
        <f ca="1">IFERROR(__xludf.DUMMYFUNCTION("ArrayFormula(VLOOKUP(G28, IMPORTRANGE(""https://docs.google.com/spreadsheets/d/1Co934fvtviyaRiMsrIlT05Jaq7iiYq07aLvRr35KA48/edit?gid=173865642#gid=173865642"", ""'G10_Sci_Pri_LU'!G2:V2000""), {3, 4, 5, 6, 7, 8, 9, 10, 11, 12, 13, 14, 15, 16}, 0))"),"")</f>
        <v/>
      </c>
      <c r="AH28" s="138"/>
      <c r="AI28" s="138"/>
      <c r="AJ28" s="138"/>
      <c r="AK28" s="138"/>
      <c r="AL28" s="138"/>
      <c r="AM28" s="138"/>
      <c r="AN28" s="138"/>
      <c r="AO28" s="138"/>
      <c r="AP28" s="138"/>
      <c r="AQ28" s="138"/>
      <c r="AR28" s="138"/>
      <c r="AS28" s="138"/>
      <c r="AT28" s="138"/>
    </row>
    <row r="29" spans="1:46">
      <c r="A29" s="54" t="s">
        <v>247</v>
      </c>
      <c r="B29" s="55" t="s">
        <v>47</v>
      </c>
      <c r="C29" s="55" t="s">
        <v>1172</v>
      </c>
      <c r="D29" s="55" t="s">
        <v>2463</v>
      </c>
      <c r="E29" s="55" t="s">
        <v>2499</v>
      </c>
      <c r="F29" s="55" t="s">
        <v>2506</v>
      </c>
      <c r="G29" s="55" t="s">
        <v>2507</v>
      </c>
      <c r="H29" s="54" t="str">
        <f ca="1">IFERROR(__xludf.DUMMYFUNCTION("VLOOKUP(G29, IMPORTRANGE(""https://docs.google.com/spreadsheets/d/14deopnvwcrKtEGCKuYXdUHJbeLDZlkiSSWWT0g7x2pM/edit#gid=849066331"", ""LU List Science (Filter)!A:B""), 2, FALSE)"),"Concept of movement in plants due to stimulus")</f>
        <v>Concept of movement in plants due to stimulus</v>
      </c>
      <c r="I29" s="55" t="str">
        <f t="shared" si="0"/>
        <v>LU006468.001</v>
      </c>
      <c r="J29" s="55" t="str">
        <f ca="1">IFERROR(__xludf.DUMMYFUNCTION("VLOOKUP(I29, IMPORTRANGE(""https://docs.google.com/spreadsheets/d/1yDAaXNsi4Mr5FtRQL4tbmSdIzhx6_m4wkOD7IG-k_eo/edit#gid=1336395716"", ""Science!M:N""), 2, FALSE)"),"(LU006468.001); Default - Remember")</f>
        <v>(LU006468.001); Default - Remember</v>
      </c>
      <c r="K29" s="55" t="str">
        <f t="shared" si="1"/>
        <v>LU006468.002</v>
      </c>
      <c r="L29" s="55" t="str">
        <f ca="1">IFERROR(__xludf.DUMMYFUNCTION("VLOOKUP(K29, IMPORTRANGE(""https://docs.google.com/spreadsheets/d/1yDAaXNsi4Mr5FtRQL4tbmSdIzhx6_m4wkOD7IG-k_eo/edit#gid=1336395716"", ""Science!M:N""), 2, FALSE)"),"(LU006468.002); Default - Understand")</f>
        <v>(LU006468.002); Default - Understand</v>
      </c>
      <c r="M29" s="55" t="str">
        <f t="shared" si="2"/>
        <v>LU006468.003</v>
      </c>
      <c r="N29" s="55" t="str">
        <f ca="1">IFERROR(__xludf.DUMMYFUNCTION("VLOOKUP(M29, IMPORTRANGE(""https://docs.google.com/spreadsheets/d/1yDAaXNsi4Mr5FtRQL4tbmSdIzhx6_m4wkOD7IG-k_eo/edit#gid=1336395716"", ""Science!M:N""), 2, FALSE)"),"(LU006468.003); Default - Apply")</f>
        <v>(LU006468.003); Default - Apply</v>
      </c>
      <c r="O29" s="55" t="str">
        <f t="shared" si="3"/>
        <v>LU006468.004</v>
      </c>
      <c r="P29" s="55" t="str">
        <f ca="1">IFERROR(__xludf.DUMMYFUNCTION("VLOOKUP(O29, IMPORTRANGE(""https://docs.google.com/spreadsheets/d/1yDAaXNsi4Mr5FtRQL4tbmSdIzhx6_m4wkOD7IG-k_eo/edit#gid=1336395716"", ""Science!M:N""), 2, FALSE)"),"(LU006468.004); Default - Analyse")</f>
        <v>(LU006468.004); Default - Analyse</v>
      </c>
      <c r="Q29" s="55" t="str">
        <f t="shared" si="4"/>
        <v>LU006468.005</v>
      </c>
      <c r="R29" s="55" t="str">
        <f ca="1">IFERROR(__xludf.DUMMYFUNCTION("VLOOKUP(Q29, IMPORTRANGE(""https://docs.google.com/spreadsheets/d/1yDAaXNsi4Mr5FtRQL4tbmSdIzhx6_m4wkOD7IG-k_eo/edit#gid=1336395716"", ""Science!M:N""), 2, FALSE)"),"(LU006468.005); Default - Evaluate")</f>
        <v>(LU006468.005); Default - Evaluate</v>
      </c>
      <c r="S29" s="55" t="str">
        <f t="shared" si="5"/>
        <v>LU006468.006</v>
      </c>
      <c r="T29" s="55" t="str">
        <f ca="1">IFERROR(__xludf.DUMMYFUNCTION("VLOOKUP(S29, IMPORTRANGE(""https://docs.google.com/spreadsheets/d/1yDAaXNsi4Mr5FtRQL4tbmSdIzhx6_m4wkOD7IG-k_eo/edit#gid=1336395716"", ""Science!M:N""), 2, FALSE)"),"(LU006468.006); Default - Create")</f>
        <v>(LU006468.006); Default - Create</v>
      </c>
      <c r="U29" s="137" t="str">
        <f ca="1">IFERROR(__xludf.DUMMYFUNCTION("ArrayFormula(VLOOKUP(G29, IMPORTRANGE(""https://docs.google.com/spreadsheets/d/1p7R4vtkWt5VOBim4ltsDG9KTzSjrtKXsMtQGXPHyND0/edit#gid=795171502"", ""'Filter 30_05_2024'!A1:M2000""), {2, 3, 4, 5,6,7,8,9,10,11,12,13}, 0))"),"#N/A")</f>
        <v>#N/A</v>
      </c>
      <c r="V29" s="137" t="str">
        <f ca="1">IFERROR(__xludf.DUMMYFUNCTION("""COMPUTED_VALUE"""),"#N/A")</f>
        <v>#N/A</v>
      </c>
      <c r="W29" s="137" t="str">
        <f ca="1">IFERROR(__xludf.DUMMYFUNCTION("""COMPUTED_VALUE"""),"#N/A")</f>
        <v>#N/A</v>
      </c>
      <c r="X29" s="137" t="str">
        <f ca="1">IFERROR(__xludf.DUMMYFUNCTION("""COMPUTED_VALUE"""),"#N/A")</f>
        <v>#N/A</v>
      </c>
      <c r="Y29" s="137" t="str">
        <f ca="1">IFERROR(__xludf.DUMMYFUNCTION("""COMPUTED_VALUE"""),"#N/A")</f>
        <v>#N/A</v>
      </c>
      <c r="Z29" s="138" t="str">
        <f ca="1">IFERROR(__xludf.DUMMYFUNCTION("""COMPUTED_VALUE"""),"#N/A")</f>
        <v>#N/A</v>
      </c>
      <c r="AA29" s="138" t="str">
        <f ca="1">IFERROR(__xludf.DUMMYFUNCTION("""COMPUTED_VALUE"""),"#N/A")</f>
        <v>#N/A</v>
      </c>
      <c r="AB29" s="138" t="str">
        <f ca="1">IFERROR(__xludf.DUMMYFUNCTION("""COMPUTED_VALUE"""),"#N/A")</f>
        <v>#N/A</v>
      </c>
      <c r="AC29" s="138" t="str">
        <f ca="1">IFERROR(__xludf.DUMMYFUNCTION("""COMPUTED_VALUE"""),"#N/A")</f>
        <v>#N/A</v>
      </c>
      <c r="AD29" s="138" t="str">
        <f ca="1">IFERROR(__xludf.DUMMYFUNCTION("""COMPUTED_VALUE"""),"#N/A")</f>
        <v>#N/A</v>
      </c>
      <c r="AE29" s="138" t="str">
        <f ca="1">IFERROR(__xludf.DUMMYFUNCTION("""COMPUTED_VALUE"""),"#N/A")</f>
        <v>#N/A</v>
      </c>
      <c r="AF29" s="138" t="str">
        <f ca="1">IFERROR(__xludf.DUMMYFUNCTION("""COMPUTED_VALUE"""),"#N/A")</f>
        <v>#N/A</v>
      </c>
      <c r="AG29" s="138" t="str">
        <f ca="1">IFERROR(__xludf.DUMMYFUNCTION("ArrayFormula(VLOOKUP(G29, IMPORTRANGE(""https://docs.google.com/spreadsheets/d/1Co934fvtviyaRiMsrIlT05Jaq7iiYq07aLvRr35KA48/edit?gid=173865642#gid=173865642"", ""'G10_Sci_Pri_LU'!G2:V2000""), {3, 4, 5, 6, 7, 8, 9, 10, 11, 12, 13, 14, 15, 16}, 0))"),"")</f>
        <v/>
      </c>
      <c r="AH29" s="138"/>
      <c r="AI29" s="138"/>
      <c r="AJ29" s="138"/>
      <c r="AK29" s="138"/>
      <c r="AL29" s="138"/>
      <c r="AM29" s="138"/>
      <c r="AN29" s="138"/>
      <c r="AO29" s="138"/>
      <c r="AP29" s="138"/>
      <c r="AQ29" s="138"/>
      <c r="AR29" s="138"/>
      <c r="AS29" s="138"/>
      <c r="AT29" s="138"/>
    </row>
    <row r="30" spans="1:46">
      <c r="A30" s="54" t="s">
        <v>247</v>
      </c>
      <c r="B30" s="55" t="s">
        <v>47</v>
      </c>
      <c r="C30" s="55" t="s">
        <v>1172</v>
      </c>
      <c r="D30" s="55" t="s">
        <v>2463</v>
      </c>
      <c r="E30" s="55" t="s">
        <v>2499</v>
      </c>
      <c r="F30" s="55" t="s">
        <v>2506</v>
      </c>
      <c r="G30" s="55" t="s">
        <v>2508</v>
      </c>
      <c r="H30" s="54" t="str">
        <f ca="1">IFERROR(__xludf.DUMMYFUNCTION("VLOOKUP(G30, IMPORTRANGE(""https://docs.google.com/spreadsheets/d/14deopnvwcrKtEGCKuYXdUHJbeLDZlkiSSWWT0g7x2pM/edit#gid=849066331"", ""LU List Science (Filter)!A:B""), 2, FALSE)"),"Concept of movement in plants due to growth")</f>
        <v>Concept of movement in plants due to growth</v>
      </c>
      <c r="I30" s="55" t="str">
        <f t="shared" si="0"/>
        <v>LU006469.001</v>
      </c>
      <c r="J30" s="55" t="str">
        <f ca="1">IFERROR(__xludf.DUMMYFUNCTION("VLOOKUP(I30, IMPORTRANGE(""https://docs.google.com/spreadsheets/d/1yDAaXNsi4Mr5FtRQL4tbmSdIzhx6_m4wkOD7IG-k_eo/edit#gid=1336395716"", ""Science!M:N""), 2, FALSE)"),"(LU006469.001); Default - Remember")</f>
        <v>(LU006469.001); Default - Remember</v>
      </c>
      <c r="K30" s="55" t="str">
        <f t="shared" si="1"/>
        <v>LU006469.002</v>
      </c>
      <c r="L30" s="55" t="str">
        <f ca="1">IFERROR(__xludf.DUMMYFUNCTION("VLOOKUP(K30, IMPORTRANGE(""https://docs.google.com/spreadsheets/d/1yDAaXNsi4Mr5FtRQL4tbmSdIzhx6_m4wkOD7IG-k_eo/edit#gid=1336395716"", ""Science!M:N""), 2, FALSE)"),"(LU006469.002); Default - Understand")</f>
        <v>(LU006469.002); Default - Understand</v>
      </c>
      <c r="M30" s="55" t="str">
        <f t="shared" si="2"/>
        <v>LU006469.003</v>
      </c>
      <c r="N30" s="55" t="str">
        <f ca="1">IFERROR(__xludf.DUMMYFUNCTION("VLOOKUP(M30, IMPORTRANGE(""https://docs.google.com/spreadsheets/d/1yDAaXNsi4Mr5FtRQL4tbmSdIzhx6_m4wkOD7IG-k_eo/edit#gid=1336395716"", ""Science!M:N""), 2, FALSE)"),"(LU006469.003); Default - Apply")</f>
        <v>(LU006469.003); Default - Apply</v>
      </c>
      <c r="O30" s="55" t="str">
        <f t="shared" si="3"/>
        <v>LU006469.004</v>
      </c>
      <c r="P30" s="55" t="str">
        <f ca="1">IFERROR(__xludf.DUMMYFUNCTION("VLOOKUP(O30, IMPORTRANGE(""https://docs.google.com/spreadsheets/d/1yDAaXNsi4Mr5FtRQL4tbmSdIzhx6_m4wkOD7IG-k_eo/edit#gid=1336395716"", ""Science!M:N""), 2, FALSE)"),"(LU006469.004); Default - Analyse")</f>
        <v>(LU006469.004); Default - Analyse</v>
      </c>
      <c r="Q30" s="55" t="str">
        <f t="shared" si="4"/>
        <v>LU006469.005</v>
      </c>
      <c r="R30" s="55" t="str">
        <f ca="1">IFERROR(__xludf.DUMMYFUNCTION("VLOOKUP(Q30, IMPORTRANGE(""https://docs.google.com/spreadsheets/d/1yDAaXNsi4Mr5FtRQL4tbmSdIzhx6_m4wkOD7IG-k_eo/edit#gid=1336395716"", ""Science!M:N""), 2, FALSE)"),"(LU006469.005); Default - Evaluate")</f>
        <v>(LU006469.005); Default - Evaluate</v>
      </c>
      <c r="S30" s="55" t="str">
        <f t="shared" si="5"/>
        <v>LU006469.006</v>
      </c>
      <c r="T30" s="55" t="str">
        <f ca="1">IFERROR(__xludf.DUMMYFUNCTION("VLOOKUP(S30, IMPORTRANGE(""https://docs.google.com/spreadsheets/d/1yDAaXNsi4Mr5FtRQL4tbmSdIzhx6_m4wkOD7IG-k_eo/edit#gid=1336395716"", ""Science!M:N""), 2, FALSE)"),"(LU006469.006); Default - Create")</f>
        <v>(LU006469.006); Default - Create</v>
      </c>
      <c r="U30" s="137" t="str">
        <f ca="1">IFERROR(__xludf.DUMMYFUNCTION("ArrayFormula(VLOOKUP(G30, IMPORTRANGE(""https://docs.google.com/spreadsheets/d/1p7R4vtkWt5VOBim4ltsDG9KTzSjrtKXsMtQGXPHyND0/edit#gid=795171502"", ""'Filter 30_05_2024'!A1:M2000""), {2, 3, 4, 5,6,7,8,9,10,11,12,13}, 0))"),"#N/A")</f>
        <v>#N/A</v>
      </c>
      <c r="V30" s="137" t="str">
        <f ca="1">IFERROR(__xludf.DUMMYFUNCTION("""COMPUTED_VALUE"""),"#N/A")</f>
        <v>#N/A</v>
      </c>
      <c r="W30" s="137" t="str">
        <f ca="1">IFERROR(__xludf.DUMMYFUNCTION("""COMPUTED_VALUE"""),"#N/A")</f>
        <v>#N/A</v>
      </c>
      <c r="X30" s="137" t="str">
        <f ca="1">IFERROR(__xludf.DUMMYFUNCTION("""COMPUTED_VALUE"""),"#N/A")</f>
        <v>#N/A</v>
      </c>
      <c r="Y30" s="137" t="str">
        <f ca="1">IFERROR(__xludf.DUMMYFUNCTION("""COMPUTED_VALUE"""),"#N/A")</f>
        <v>#N/A</v>
      </c>
      <c r="Z30" s="138" t="str">
        <f ca="1">IFERROR(__xludf.DUMMYFUNCTION("""COMPUTED_VALUE"""),"#N/A")</f>
        <v>#N/A</v>
      </c>
      <c r="AA30" s="138" t="str">
        <f ca="1">IFERROR(__xludf.DUMMYFUNCTION("""COMPUTED_VALUE"""),"#N/A")</f>
        <v>#N/A</v>
      </c>
      <c r="AB30" s="138" t="str">
        <f ca="1">IFERROR(__xludf.DUMMYFUNCTION("""COMPUTED_VALUE"""),"#N/A")</f>
        <v>#N/A</v>
      </c>
      <c r="AC30" s="138" t="str">
        <f ca="1">IFERROR(__xludf.DUMMYFUNCTION("""COMPUTED_VALUE"""),"#N/A")</f>
        <v>#N/A</v>
      </c>
      <c r="AD30" s="138" t="str">
        <f ca="1">IFERROR(__xludf.DUMMYFUNCTION("""COMPUTED_VALUE"""),"#N/A")</f>
        <v>#N/A</v>
      </c>
      <c r="AE30" s="138" t="str">
        <f ca="1">IFERROR(__xludf.DUMMYFUNCTION("""COMPUTED_VALUE"""),"#N/A")</f>
        <v>#N/A</v>
      </c>
      <c r="AF30" s="138" t="str">
        <f ca="1">IFERROR(__xludf.DUMMYFUNCTION("""COMPUTED_VALUE"""),"#N/A")</f>
        <v>#N/A</v>
      </c>
      <c r="AG30" s="138" t="str">
        <f ca="1">IFERROR(__xludf.DUMMYFUNCTION("ArrayFormula(VLOOKUP(G30, IMPORTRANGE(""https://docs.google.com/spreadsheets/d/1Co934fvtviyaRiMsrIlT05Jaq7iiYq07aLvRr35KA48/edit?gid=173865642#gid=173865642"", ""'G10_Sci_Pri_LU'!G2:V2000""), {3, 4, 5, 6, 7, 8, 9, 10, 11, 12, 13, 14, 15, 16}, 0))"),"LU006432")</f>
        <v>LU006432</v>
      </c>
      <c r="AH30" s="138" t="str">
        <f ca="1">IFERROR(__xludf.DUMMYFUNCTION("""COMPUTED_VALUE"""),"Growth and Movement in Plants")</f>
        <v>Growth and Movement in Plants</v>
      </c>
      <c r="AI30" s="138"/>
      <c r="AJ30" s="138"/>
      <c r="AK30" s="138"/>
      <c r="AL30" s="138"/>
      <c r="AM30" s="138"/>
      <c r="AN30" s="138"/>
      <c r="AO30" s="138"/>
      <c r="AP30" s="138"/>
      <c r="AQ30" s="138"/>
      <c r="AR30" s="138"/>
      <c r="AS30" s="138"/>
      <c r="AT30" s="138"/>
    </row>
    <row r="31" spans="1:46">
      <c r="A31" s="54" t="s">
        <v>247</v>
      </c>
      <c r="B31" s="55" t="s">
        <v>47</v>
      </c>
      <c r="C31" s="55" t="s">
        <v>1172</v>
      </c>
      <c r="D31" s="55" t="s">
        <v>2463</v>
      </c>
      <c r="E31" s="55" t="s">
        <v>2499</v>
      </c>
      <c r="F31" s="55" t="s">
        <v>2506</v>
      </c>
      <c r="G31" s="55" t="s">
        <v>2509</v>
      </c>
      <c r="H31" s="54" t="str">
        <f ca="1">IFERROR(__xludf.DUMMYFUNCTION("VLOOKUP(G31, IMPORTRANGE(""https://docs.google.com/spreadsheets/d/14deopnvwcrKtEGCKuYXdUHJbeLDZlkiSSWWT0g7x2pM/edit#gid=849066331"", ""LU List Science (Filter)!A:B""), 2, FALSE)"),"Mechanism of information transmission in plants")</f>
        <v>Mechanism of information transmission in plants</v>
      </c>
      <c r="I31" s="55" t="str">
        <f t="shared" si="0"/>
        <v>LU006470.001</v>
      </c>
      <c r="J31" s="55" t="str">
        <f ca="1">IFERROR(__xludf.DUMMYFUNCTION("VLOOKUP(I31, IMPORTRANGE(""https://docs.google.com/spreadsheets/d/1yDAaXNsi4Mr5FtRQL4tbmSdIzhx6_m4wkOD7IG-k_eo/edit#gid=1336395716"", ""Science!M:N""), 2, FALSE)"),"(LU006470.001); Default - Remember")</f>
        <v>(LU006470.001); Default - Remember</v>
      </c>
      <c r="K31" s="55" t="str">
        <f t="shared" si="1"/>
        <v>LU006470.002</v>
      </c>
      <c r="L31" s="55" t="str">
        <f ca="1">IFERROR(__xludf.DUMMYFUNCTION("VLOOKUP(K31, IMPORTRANGE(""https://docs.google.com/spreadsheets/d/1yDAaXNsi4Mr5FtRQL4tbmSdIzhx6_m4wkOD7IG-k_eo/edit#gid=1336395716"", ""Science!M:N""), 2, FALSE)"),"(LU006470.002); Default - Understand")</f>
        <v>(LU006470.002); Default - Understand</v>
      </c>
      <c r="M31" s="55" t="str">
        <f t="shared" si="2"/>
        <v>LU006470.003</v>
      </c>
      <c r="N31" s="55" t="str">
        <f ca="1">IFERROR(__xludf.DUMMYFUNCTION("VLOOKUP(M31, IMPORTRANGE(""https://docs.google.com/spreadsheets/d/1yDAaXNsi4Mr5FtRQL4tbmSdIzhx6_m4wkOD7IG-k_eo/edit#gid=1336395716"", ""Science!M:N""), 2, FALSE)"),"(LU006470.003); Default - Apply")</f>
        <v>(LU006470.003); Default - Apply</v>
      </c>
      <c r="O31" s="55" t="str">
        <f t="shared" si="3"/>
        <v>LU006470.004</v>
      </c>
      <c r="P31" s="55" t="str">
        <f ca="1">IFERROR(__xludf.DUMMYFUNCTION("VLOOKUP(O31, IMPORTRANGE(""https://docs.google.com/spreadsheets/d/1yDAaXNsi4Mr5FtRQL4tbmSdIzhx6_m4wkOD7IG-k_eo/edit#gid=1336395716"", ""Science!M:N""), 2, FALSE)"),"(LU006470.004); Default - Analyse")</f>
        <v>(LU006470.004); Default - Analyse</v>
      </c>
      <c r="Q31" s="55" t="str">
        <f t="shared" si="4"/>
        <v>LU006470.005</v>
      </c>
      <c r="R31" s="55" t="str">
        <f ca="1">IFERROR(__xludf.DUMMYFUNCTION("VLOOKUP(Q31, IMPORTRANGE(""https://docs.google.com/spreadsheets/d/1yDAaXNsi4Mr5FtRQL4tbmSdIzhx6_m4wkOD7IG-k_eo/edit#gid=1336395716"", ""Science!M:N""), 2, FALSE)"),"(LU006470.005); Default - Evaluate")</f>
        <v>(LU006470.005); Default - Evaluate</v>
      </c>
      <c r="S31" s="55" t="str">
        <f t="shared" si="5"/>
        <v>LU006470.006</v>
      </c>
      <c r="T31" s="55" t="str">
        <f ca="1">IFERROR(__xludf.DUMMYFUNCTION("VLOOKUP(S31, IMPORTRANGE(""https://docs.google.com/spreadsheets/d/1yDAaXNsi4Mr5FtRQL4tbmSdIzhx6_m4wkOD7IG-k_eo/edit#gid=1336395716"", ""Science!M:N""), 2, FALSE)"),"(LU006470.006); Default - Create")</f>
        <v>(LU006470.006); Default - Create</v>
      </c>
      <c r="U31" s="137" t="str">
        <f ca="1">IFERROR(__xludf.DUMMYFUNCTION("ArrayFormula(VLOOKUP(G31, IMPORTRANGE(""https://docs.google.com/spreadsheets/d/1p7R4vtkWt5VOBim4ltsDG9KTzSjrtKXsMtQGXPHyND0/edit#gid=795171502"", ""'Filter 30_05_2024'!A1:M2000""), {2, 3, 4, 5,6,7,8,9,10,11,12,13}, 0))"),"#N/A")</f>
        <v>#N/A</v>
      </c>
      <c r="V31" s="137" t="str">
        <f ca="1">IFERROR(__xludf.DUMMYFUNCTION("""COMPUTED_VALUE"""),"#N/A")</f>
        <v>#N/A</v>
      </c>
      <c r="W31" s="137" t="str">
        <f ca="1">IFERROR(__xludf.DUMMYFUNCTION("""COMPUTED_VALUE"""),"#N/A")</f>
        <v>#N/A</v>
      </c>
      <c r="X31" s="137" t="str">
        <f ca="1">IFERROR(__xludf.DUMMYFUNCTION("""COMPUTED_VALUE"""),"#N/A")</f>
        <v>#N/A</v>
      </c>
      <c r="Y31" s="137" t="str">
        <f ca="1">IFERROR(__xludf.DUMMYFUNCTION("""COMPUTED_VALUE"""),"#N/A")</f>
        <v>#N/A</v>
      </c>
      <c r="Z31" s="138" t="str">
        <f ca="1">IFERROR(__xludf.DUMMYFUNCTION("""COMPUTED_VALUE"""),"#N/A")</f>
        <v>#N/A</v>
      </c>
      <c r="AA31" s="138" t="str">
        <f ca="1">IFERROR(__xludf.DUMMYFUNCTION("""COMPUTED_VALUE"""),"#N/A")</f>
        <v>#N/A</v>
      </c>
      <c r="AB31" s="138" t="str">
        <f ca="1">IFERROR(__xludf.DUMMYFUNCTION("""COMPUTED_VALUE"""),"#N/A")</f>
        <v>#N/A</v>
      </c>
      <c r="AC31" s="138" t="str">
        <f ca="1">IFERROR(__xludf.DUMMYFUNCTION("""COMPUTED_VALUE"""),"#N/A")</f>
        <v>#N/A</v>
      </c>
      <c r="AD31" s="138" t="str">
        <f ca="1">IFERROR(__xludf.DUMMYFUNCTION("""COMPUTED_VALUE"""),"#N/A")</f>
        <v>#N/A</v>
      </c>
      <c r="AE31" s="138" t="str">
        <f ca="1">IFERROR(__xludf.DUMMYFUNCTION("""COMPUTED_VALUE"""),"#N/A")</f>
        <v>#N/A</v>
      </c>
      <c r="AF31" s="138" t="str">
        <f ca="1">IFERROR(__xludf.DUMMYFUNCTION("""COMPUTED_VALUE"""),"#N/A")</f>
        <v>#N/A</v>
      </c>
      <c r="AG31" s="138" t="str">
        <f ca="1">IFERROR(__xludf.DUMMYFUNCTION("ArrayFormula(VLOOKUP(G31, IMPORTRANGE(""https://docs.google.com/spreadsheets/d/1Co934fvtviyaRiMsrIlT05Jaq7iiYq07aLvRr35KA48/edit?gid=173865642#gid=173865642"", ""'G10_Sci_Pri_LU'!G2:V2000""), {3, 4, 5, 6, 7, 8, 9, 10, 11, 12, 13, 14, 15, 16}, 0))"),"LU006197")</f>
        <v>LU006197</v>
      </c>
      <c r="AH31" s="138" t="str">
        <f ca="1">IFERROR(__xludf.DUMMYFUNCTION("""COMPUTED_VALUE"""),"Particles are Continuously Moving(concept of diffusion)")</f>
        <v>Particles are Continuously Moving(concept of diffusion)</v>
      </c>
      <c r="AI31" s="138"/>
      <c r="AJ31" s="138"/>
      <c r="AK31" s="138"/>
      <c r="AL31" s="138"/>
      <c r="AM31" s="138"/>
      <c r="AN31" s="138"/>
      <c r="AO31" s="138"/>
      <c r="AP31" s="138"/>
      <c r="AQ31" s="138"/>
      <c r="AR31" s="138"/>
      <c r="AS31" s="138"/>
      <c r="AT31" s="138"/>
    </row>
    <row r="32" spans="1:46">
      <c r="A32" s="54" t="s">
        <v>247</v>
      </c>
      <c r="B32" s="55" t="s">
        <v>47</v>
      </c>
      <c r="C32" s="55" t="s">
        <v>1172</v>
      </c>
      <c r="D32" s="55" t="s">
        <v>2463</v>
      </c>
      <c r="E32" s="55" t="s">
        <v>2499</v>
      </c>
      <c r="F32" s="55" t="s">
        <v>2510</v>
      </c>
      <c r="G32" s="55" t="s">
        <v>2511</v>
      </c>
      <c r="H32" s="54" t="str">
        <f ca="1">IFERROR(__xludf.DUMMYFUNCTION("VLOOKUP(G32, IMPORTRANGE(""https://docs.google.com/spreadsheets/d/14deopnvwcrKtEGCKuYXdUHJbeLDZlkiSSWWT0g7x2pM/edit#gid=849066331"", ""LU List Science (Filter)!A:B""), 2, FALSE)"),"Role of hormones in humans for control and coordination")</f>
        <v>Role of hormones in humans for control and coordination</v>
      </c>
      <c r="I32" s="55" t="str">
        <f t="shared" si="0"/>
        <v>LU006471.001</v>
      </c>
      <c r="J32" s="55" t="str">
        <f ca="1">IFERROR(__xludf.DUMMYFUNCTION("VLOOKUP(I32, IMPORTRANGE(""https://docs.google.com/spreadsheets/d/1yDAaXNsi4Mr5FtRQL4tbmSdIzhx6_m4wkOD7IG-k_eo/edit#gid=1336395716"", ""Science!M:N""), 2, FALSE)"),"(LU006471.001); Default - Remember")</f>
        <v>(LU006471.001); Default - Remember</v>
      </c>
      <c r="K32" s="55" t="str">
        <f t="shared" si="1"/>
        <v>LU006471.002</v>
      </c>
      <c r="L32" s="55" t="str">
        <f ca="1">IFERROR(__xludf.DUMMYFUNCTION("VLOOKUP(K32, IMPORTRANGE(""https://docs.google.com/spreadsheets/d/1yDAaXNsi4Mr5FtRQL4tbmSdIzhx6_m4wkOD7IG-k_eo/edit#gid=1336395716"", ""Science!M:N""), 2, FALSE)"),"(LU006471.002); Default - Understand")</f>
        <v>(LU006471.002); Default - Understand</v>
      </c>
      <c r="M32" s="55" t="str">
        <f t="shared" si="2"/>
        <v>LU006471.003</v>
      </c>
      <c r="N32" s="55" t="str">
        <f ca="1">IFERROR(__xludf.DUMMYFUNCTION("VLOOKUP(M32, IMPORTRANGE(""https://docs.google.com/spreadsheets/d/1yDAaXNsi4Mr5FtRQL4tbmSdIzhx6_m4wkOD7IG-k_eo/edit#gid=1336395716"", ""Science!M:N""), 2, FALSE)"),"(LU006471.003); Default - Apply")</f>
        <v>(LU006471.003); Default - Apply</v>
      </c>
      <c r="O32" s="55" t="str">
        <f t="shared" si="3"/>
        <v>LU006471.004</v>
      </c>
      <c r="P32" s="55" t="str">
        <f ca="1">IFERROR(__xludf.DUMMYFUNCTION("VLOOKUP(O32, IMPORTRANGE(""https://docs.google.com/spreadsheets/d/1yDAaXNsi4Mr5FtRQL4tbmSdIzhx6_m4wkOD7IG-k_eo/edit#gid=1336395716"", ""Science!M:N""), 2, FALSE)"),"(LU006471.004); Default - Analyse")</f>
        <v>(LU006471.004); Default - Analyse</v>
      </c>
      <c r="Q32" s="55" t="str">
        <f t="shared" si="4"/>
        <v>LU006471.005</v>
      </c>
      <c r="R32" s="55" t="str">
        <f ca="1">IFERROR(__xludf.DUMMYFUNCTION("VLOOKUP(Q32, IMPORTRANGE(""https://docs.google.com/spreadsheets/d/1yDAaXNsi4Mr5FtRQL4tbmSdIzhx6_m4wkOD7IG-k_eo/edit#gid=1336395716"", ""Science!M:N""), 2, FALSE)"),"(LU006471.005); Default - Evaluate")</f>
        <v>(LU006471.005); Default - Evaluate</v>
      </c>
      <c r="S32" s="55" t="str">
        <f t="shared" si="5"/>
        <v>LU006471.006</v>
      </c>
      <c r="T32" s="55" t="str">
        <f ca="1">IFERROR(__xludf.DUMMYFUNCTION("VLOOKUP(S32, IMPORTRANGE(""https://docs.google.com/spreadsheets/d/1yDAaXNsi4Mr5FtRQL4tbmSdIzhx6_m4wkOD7IG-k_eo/edit#gid=1336395716"", ""Science!M:N""), 2, FALSE)"),"(LU006471.006); Default - Create")</f>
        <v>(LU006471.006); Default - Create</v>
      </c>
      <c r="U32" s="137" t="str">
        <f ca="1">IFERROR(__xludf.DUMMYFUNCTION("ArrayFormula(VLOOKUP(G32, IMPORTRANGE(""https://docs.google.com/spreadsheets/d/1p7R4vtkWt5VOBim4ltsDG9KTzSjrtKXsMtQGXPHyND0/edit#gid=795171502"", ""'Filter 30_05_2024'!A1:M2000""), {2, 3, 4, 5,6,7,8,9,10,11,12,13}, 0))"),"#N/A")</f>
        <v>#N/A</v>
      </c>
      <c r="V32" s="137" t="str">
        <f ca="1">IFERROR(__xludf.DUMMYFUNCTION("""COMPUTED_VALUE"""),"#N/A")</f>
        <v>#N/A</v>
      </c>
      <c r="W32" s="137" t="str">
        <f ca="1">IFERROR(__xludf.DUMMYFUNCTION("""COMPUTED_VALUE"""),"#N/A")</f>
        <v>#N/A</v>
      </c>
      <c r="X32" s="137" t="str">
        <f ca="1">IFERROR(__xludf.DUMMYFUNCTION("""COMPUTED_VALUE"""),"#N/A")</f>
        <v>#N/A</v>
      </c>
      <c r="Y32" s="137" t="str">
        <f ca="1">IFERROR(__xludf.DUMMYFUNCTION("""COMPUTED_VALUE"""),"#N/A")</f>
        <v>#N/A</v>
      </c>
      <c r="Z32" s="138" t="str">
        <f ca="1">IFERROR(__xludf.DUMMYFUNCTION("""COMPUTED_VALUE"""),"#N/A")</f>
        <v>#N/A</v>
      </c>
      <c r="AA32" s="138" t="str">
        <f ca="1">IFERROR(__xludf.DUMMYFUNCTION("""COMPUTED_VALUE"""),"#N/A")</f>
        <v>#N/A</v>
      </c>
      <c r="AB32" s="138" t="str">
        <f ca="1">IFERROR(__xludf.DUMMYFUNCTION("""COMPUTED_VALUE"""),"#N/A")</f>
        <v>#N/A</v>
      </c>
      <c r="AC32" s="138" t="str">
        <f ca="1">IFERROR(__xludf.DUMMYFUNCTION("""COMPUTED_VALUE"""),"#N/A")</f>
        <v>#N/A</v>
      </c>
      <c r="AD32" s="138" t="str">
        <f ca="1">IFERROR(__xludf.DUMMYFUNCTION("""COMPUTED_VALUE"""),"#N/A")</f>
        <v>#N/A</v>
      </c>
      <c r="AE32" s="138" t="str">
        <f ca="1">IFERROR(__xludf.DUMMYFUNCTION("""COMPUTED_VALUE"""),"#N/A")</f>
        <v>#N/A</v>
      </c>
      <c r="AF32" s="138" t="str">
        <f ca="1">IFERROR(__xludf.DUMMYFUNCTION("""COMPUTED_VALUE"""),"#N/A")</f>
        <v>#N/A</v>
      </c>
      <c r="AG32" s="138" t="str">
        <f ca="1">IFERROR(__xludf.DUMMYFUNCTION("ArrayFormula(VLOOKUP(G32, IMPORTRANGE(""https://docs.google.com/spreadsheets/d/1Co934fvtviyaRiMsrIlT05Jaq7iiYq07aLvRr35KA48/edit?gid=173865642#gid=173865642"", ""'G10_Sci_Pri_LU'!G2:V2000""), {3, 4, 5, 6, 7, 8, 9, 10, 11, 12, 13, 14, 15, 16}, 0))"),"LU005651")</f>
        <v>LU005651</v>
      </c>
      <c r="AH32" s="138" t="str">
        <f ca="1">IFERROR(__xludf.DUMMYFUNCTION("""COMPUTED_VALUE"""),"Adrenaline, Insulin, Thyroxine, and Growth Hormones")</f>
        <v>Adrenaline, Insulin, Thyroxine, and Growth Hormones</v>
      </c>
      <c r="AI32" s="138" t="str">
        <f ca="1">IFERROR(__xludf.DUMMYFUNCTION("""COMPUTED_VALUE"""),"LU005656")</f>
        <v>LU005656</v>
      </c>
      <c r="AJ32" s="138" t="str">
        <f ca="1">IFERROR(__xludf.DUMMYFUNCTION("""COMPUTED_VALUE"""),"Secondary Sexual Characteristics and Role of Hormones ")</f>
        <v xml:space="preserve">Secondary Sexual Characteristics and Role of Hormones </v>
      </c>
      <c r="AK32" s="138"/>
      <c r="AL32" s="138"/>
      <c r="AM32" s="138"/>
      <c r="AN32" s="138"/>
      <c r="AO32" s="138"/>
      <c r="AP32" s="138"/>
      <c r="AQ32" s="138"/>
      <c r="AR32" s="138"/>
      <c r="AS32" s="138"/>
      <c r="AT32" s="138"/>
    </row>
    <row r="33" spans="1:46">
      <c r="A33" s="54" t="s">
        <v>247</v>
      </c>
      <c r="B33" s="55" t="s">
        <v>47</v>
      </c>
      <c r="C33" s="55" t="s">
        <v>1172</v>
      </c>
      <c r="D33" s="55" t="s">
        <v>2463</v>
      </c>
      <c r="E33" s="55" t="s">
        <v>2512</v>
      </c>
      <c r="F33" s="55" t="s">
        <v>2513</v>
      </c>
      <c r="G33" s="55" t="s">
        <v>2514</v>
      </c>
      <c r="H33" s="54" t="str">
        <f ca="1">IFERROR(__xludf.DUMMYFUNCTION("VLOOKUP(G33, IMPORTRANGE(""https://docs.google.com/spreadsheets/d/14deopnvwcrKtEGCKuYXdUHJbeLDZlkiSSWWT0g7x2pM/edit#gid=849066331"", ""LU List Science (Filter)!A:B""), 2, FALSE)"),"DNA copying mechanism and concept of variations")</f>
        <v>DNA copying mechanism and concept of variations</v>
      </c>
      <c r="I33" s="55" t="str">
        <f t="shared" si="0"/>
        <v>LU006472.001</v>
      </c>
      <c r="J33" s="55" t="str">
        <f ca="1">IFERROR(__xludf.DUMMYFUNCTION("VLOOKUP(I33, IMPORTRANGE(""https://docs.google.com/spreadsheets/d/1yDAaXNsi4Mr5FtRQL4tbmSdIzhx6_m4wkOD7IG-k_eo/edit#gid=1336395716"", ""Science!M:N""), 2, FALSE)"),"(LU006472.001); Default - Remember")</f>
        <v>(LU006472.001); Default - Remember</v>
      </c>
      <c r="K33" s="55" t="str">
        <f t="shared" si="1"/>
        <v>LU006472.002</v>
      </c>
      <c r="L33" s="55" t="str">
        <f ca="1">IFERROR(__xludf.DUMMYFUNCTION("VLOOKUP(K33, IMPORTRANGE(""https://docs.google.com/spreadsheets/d/1yDAaXNsi4Mr5FtRQL4tbmSdIzhx6_m4wkOD7IG-k_eo/edit#gid=1336395716"", ""Science!M:N""), 2, FALSE)"),"(LU006472.002); Default - Understand")</f>
        <v>(LU006472.002); Default - Understand</v>
      </c>
      <c r="M33" s="55" t="str">
        <f t="shared" si="2"/>
        <v>LU006472.003</v>
      </c>
      <c r="N33" s="55" t="str">
        <f ca="1">IFERROR(__xludf.DUMMYFUNCTION("VLOOKUP(M33, IMPORTRANGE(""https://docs.google.com/spreadsheets/d/1yDAaXNsi4Mr5FtRQL4tbmSdIzhx6_m4wkOD7IG-k_eo/edit#gid=1336395716"", ""Science!M:N""), 2, FALSE)"),"(LU006472.003); Default - Apply")</f>
        <v>(LU006472.003); Default - Apply</v>
      </c>
      <c r="O33" s="55" t="str">
        <f t="shared" si="3"/>
        <v>LU006472.004</v>
      </c>
      <c r="P33" s="55" t="str">
        <f ca="1">IFERROR(__xludf.DUMMYFUNCTION("VLOOKUP(O33, IMPORTRANGE(""https://docs.google.com/spreadsheets/d/1yDAaXNsi4Mr5FtRQL4tbmSdIzhx6_m4wkOD7IG-k_eo/edit#gid=1336395716"", ""Science!M:N""), 2, FALSE)"),"(LU006472.004); Default - Analyse")</f>
        <v>(LU006472.004); Default - Analyse</v>
      </c>
      <c r="Q33" s="55" t="str">
        <f t="shared" si="4"/>
        <v>LU006472.005</v>
      </c>
      <c r="R33" s="55" t="str">
        <f ca="1">IFERROR(__xludf.DUMMYFUNCTION("VLOOKUP(Q33, IMPORTRANGE(""https://docs.google.com/spreadsheets/d/1yDAaXNsi4Mr5FtRQL4tbmSdIzhx6_m4wkOD7IG-k_eo/edit#gid=1336395716"", ""Science!M:N""), 2, FALSE)"),"(LU006472.005); Default - Evaluate")</f>
        <v>(LU006472.005); Default - Evaluate</v>
      </c>
      <c r="S33" s="55" t="str">
        <f t="shared" si="5"/>
        <v>LU006472.006</v>
      </c>
      <c r="T33" s="55" t="str">
        <f ca="1">IFERROR(__xludf.DUMMYFUNCTION("VLOOKUP(S33, IMPORTRANGE(""https://docs.google.com/spreadsheets/d/1yDAaXNsi4Mr5FtRQL4tbmSdIzhx6_m4wkOD7IG-k_eo/edit#gid=1336395716"", ""Science!M:N""), 2, FALSE)"),"(LU006472.006); Default - Create")</f>
        <v>(LU006472.006); Default - Create</v>
      </c>
      <c r="U33" s="137" t="str">
        <f ca="1">IFERROR(__xludf.DUMMYFUNCTION("ArrayFormula(VLOOKUP(G33, IMPORTRANGE(""https://docs.google.com/spreadsheets/d/1p7R4vtkWt5VOBim4ltsDG9KTzSjrtKXsMtQGXPHyND0/edit#gid=795171502"", ""'Filter 30_05_2024'!A1:M2000""), {2, 3, 4, 5,6,7,8,9,10,11,12,13}, 0))"),"#N/A")</f>
        <v>#N/A</v>
      </c>
      <c r="V33" s="137" t="str">
        <f ca="1">IFERROR(__xludf.DUMMYFUNCTION("""COMPUTED_VALUE"""),"#N/A")</f>
        <v>#N/A</v>
      </c>
      <c r="W33" s="137" t="str">
        <f ca="1">IFERROR(__xludf.DUMMYFUNCTION("""COMPUTED_VALUE"""),"#N/A")</f>
        <v>#N/A</v>
      </c>
      <c r="X33" s="137" t="str">
        <f ca="1">IFERROR(__xludf.DUMMYFUNCTION("""COMPUTED_VALUE"""),"#N/A")</f>
        <v>#N/A</v>
      </c>
      <c r="Y33" s="137" t="str">
        <f ca="1">IFERROR(__xludf.DUMMYFUNCTION("""COMPUTED_VALUE"""),"#N/A")</f>
        <v>#N/A</v>
      </c>
      <c r="Z33" s="138" t="str">
        <f ca="1">IFERROR(__xludf.DUMMYFUNCTION("""COMPUTED_VALUE"""),"#N/A")</f>
        <v>#N/A</v>
      </c>
      <c r="AA33" s="138" t="str">
        <f ca="1">IFERROR(__xludf.DUMMYFUNCTION("""COMPUTED_VALUE"""),"#N/A")</f>
        <v>#N/A</v>
      </c>
      <c r="AB33" s="138" t="str">
        <f ca="1">IFERROR(__xludf.DUMMYFUNCTION("""COMPUTED_VALUE"""),"#N/A")</f>
        <v>#N/A</v>
      </c>
      <c r="AC33" s="138" t="str">
        <f ca="1">IFERROR(__xludf.DUMMYFUNCTION("""COMPUTED_VALUE"""),"#N/A")</f>
        <v>#N/A</v>
      </c>
      <c r="AD33" s="138" t="str">
        <f ca="1">IFERROR(__xludf.DUMMYFUNCTION("""COMPUTED_VALUE"""),"#N/A")</f>
        <v>#N/A</v>
      </c>
      <c r="AE33" s="138" t="str">
        <f ca="1">IFERROR(__xludf.DUMMYFUNCTION("""COMPUTED_VALUE"""),"#N/A")</f>
        <v>#N/A</v>
      </c>
      <c r="AF33" s="138" t="str">
        <f ca="1">IFERROR(__xludf.DUMMYFUNCTION("""COMPUTED_VALUE"""),"#N/A")</f>
        <v>#N/A</v>
      </c>
      <c r="AG33" s="138" t="str">
        <f ca="1">IFERROR(__xludf.DUMMYFUNCTION("ArrayFormula(VLOOKUP(G33, IMPORTRANGE(""https://docs.google.com/spreadsheets/d/1Co934fvtviyaRiMsrIlT05Jaq7iiYq07aLvRr35KA48/edit?gid=173865642#gid=173865642"", ""'G10_Sci_Pri_LU'!G2:V2000""), {3, 4, 5, 6, 7, 8, 9, 10, 11, 12, 13, 14, 15, 16}, 0))"),"LU006241")</f>
        <v>LU006241</v>
      </c>
      <c r="AH33" s="138" t="str">
        <f ca="1">IFERROR(__xludf.DUMMYFUNCTION("""COMPUTED_VALUE"""),"Introduction to Cell Division(Mitosis and Meiosis)")</f>
        <v>Introduction to Cell Division(Mitosis and Meiosis)</v>
      </c>
      <c r="AI33" s="138" t="str">
        <f ca="1">IFERROR(__xludf.DUMMYFUNCTION("""COMPUTED_VALUE"""),"LU006233")</f>
        <v>LU006233</v>
      </c>
      <c r="AJ33" s="138" t="str">
        <f ca="1">IFERROR(__xludf.DUMMYFUNCTION("""COMPUTED_VALUE"""),"Function of a typical eukaryotic nucleus")</f>
        <v>Function of a typical eukaryotic nucleus</v>
      </c>
      <c r="AK33" s="138"/>
      <c r="AL33" s="138"/>
      <c r="AM33" s="138"/>
      <c r="AN33" s="138"/>
      <c r="AO33" s="138"/>
      <c r="AP33" s="138"/>
      <c r="AQ33" s="138"/>
      <c r="AR33" s="138"/>
      <c r="AS33" s="138"/>
      <c r="AT33" s="138"/>
    </row>
    <row r="34" spans="1:46">
      <c r="A34" s="54" t="s">
        <v>247</v>
      </c>
      <c r="B34" s="55" t="s">
        <v>47</v>
      </c>
      <c r="C34" s="55" t="s">
        <v>1172</v>
      </c>
      <c r="D34" s="55" t="s">
        <v>2463</v>
      </c>
      <c r="E34" s="55" t="s">
        <v>2512</v>
      </c>
      <c r="F34" s="55" t="s">
        <v>2515</v>
      </c>
      <c r="G34" s="55" t="s">
        <v>2516</v>
      </c>
      <c r="H34" s="54" t="str">
        <f ca="1">IFERROR(__xludf.DUMMYFUNCTION("VLOOKUP(G34, IMPORTRANGE(""https://docs.google.com/spreadsheets/d/14deopnvwcrKtEGCKuYXdUHJbeLDZlkiSSWWT0g7x2pM/edit#gid=849066331"", ""LU List Science (Filter)!A:B""), 2, FALSE)"),"Fission, Fragmentation, Regeneration and Budding in Organisms")</f>
        <v>Fission, Fragmentation, Regeneration and Budding in Organisms</v>
      </c>
      <c r="I34" s="55" t="str">
        <f t="shared" si="0"/>
        <v>LU006473.001</v>
      </c>
      <c r="J34" s="55" t="str">
        <f ca="1">IFERROR(__xludf.DUMMYFUNCTION("VLOOKUP(I34, IMPORTRANGE(""https://docs.google.com/spreadsheets/d/1yDAaXNsi4Mr5FtRQL4tbmSdIzhx6_m4wkOD7IG-k_eo/edit#gid=1336395716"", ""Science!M:N""), 2, FALSE)"),"(LU006473.001); Default - Remember")</f>
        <v>(LU006473.001); Default - Remember</v>
      </c>
      <c r="K34" s="55" t="str">
        <f t="shared" si="1"/>
        <v>LU006473.002</v>
      </c>
      <c r="L34" s="55" t="str">
        <f ca="1">IFERROR(__xludf.DUMMYFUNCTION("VLOOKUP(K34, IMPORTRANGE(""https://docs.google.com/spreadsheets/d/1yDAaXNsi4Mr5FtRQL4tbmSdIzhx6_m4wkOD7IG-k_eo/edit#gid=1336395716"", ""Science!M:N""), 2, FALSE)"),"(LU006473.002); Default - Understand")</f>
        <v>(LU006473.002); Default - Understand</v>
      </c>
      <c r="M34" s="55" t="str">
        <f t="shared" si="2"/>
        <v>LU006473.003</v>
      </c>
      <c r="N34" s="55" t="str">
        <f ca="1">IFERROR(__xludf.DUMMYFUNCTION("VLOOKUP(M34, IMPORTRANGE(""https://docs.google.com/spreadsheets/d/1yDAaXNsi4Mr5FtRQL4tbmSdIzhx6_m4wkOD7IG-k_eo/edit#gid=1336395716"", ""Science!M:N""), 2, FALSE)"),"(LU006473.003); Default - Apply")</f>
        <v>(LU006473.003); Default - Apply</v>
      </c>
      <c r="O34" s="55" t="str">
        <f t="shared" si="3"/>
        <v>LU006473.004</v>
      </c>
      <c r="P34" s="55" t="str">
        <f ca="1">IFERROR(__xludf.DUMMYFUNCTION("VLOOKUP(O34, IMPORTRANGE(""https://docs.google.com/spreadsheets/d/1yDAaXNsi4Mr5FtRQL4tbmSdIzhx6_m4wkOD7IG-k_eo/edit#gid=1336395716"", ""Science!M:N""), 2, FALSE)"),"(LU006473.004); Default - Analyse")</f>
        <v>(LU006473.004); Default - Analyse</v>
      </c>
      <c r="Q34" s="55" t="str">
        <f t="shared" si="4"/>
        <v>LU006473.005</v>
      </c>
      <c r="R34" s="55" t="str">
        <f ca="1">IFERROR(__xludf.DUMMYFUNCTION("VLOOKUP(Q34, IMPORTRANGE(""https://docs.google.com/spreadsheets/d/1yDAaXNsi4Mr5FtRQL4tbmSdIzhx6_m4wkOD7IG-k_eo/edit#gid=1336395716"", ""Science!M:N""), 2, FALSE)"),"(LU006473.005); Default - Evaluate")</f>
        <v>(LU006473.005); Default - Evaluate</v>
      </c>
      <c r="S34" s="55" t="str">
        <f t="shared" si="5"/>
        <v>LU006473.006</v>
      </c>
      <c r="T34" s="55" t="str">
        <f ca="1">IFERROR(__xludf.DUMMYFUNCTION("VLOOKUP(S34, IMPORTRANGE(""https://docs.google.com/spreadsheets/d/1yDAaXNsi4Mr5FtRQL4tbmSdIzhx6_m4wkOD7IG-k_eo/edit#gid=1336395716"", ""Science!M:N""), 2, FALSE)"),"(LU006473.006); Default - Create")</f>
        <v>(LU006473.006); Default - Create</v>
      </c>
      <c r="U34" s="137" t="str">
        <f ca="1">IFERROR(__xludf.DUMMYFUNCTION("ArrayFormula(VLOOKUP(G34, IMPORTRANGE(""https://docs.google.com/spreadsheets/d/1p7R4vtkWt5VOBim4ltsDG9KTzSjrtKXsMtQGXPHyND0/edit#gid=795171502"", ""'Filter 30_05_2024'!A1:M2000""), {2, 3, 4, 5,6,7,8,9,10,11,12,13}, 0))"),"#N/A")</f>
        <v>#N/A</v>
      </c>
      <c r="V34" s="137" t="str">
        <f ca="1">IFERROR(__xludf.DUMMYFUNCTION("""COMPUTED_VALUE"""),"#N/A")</f>
        <v>#N/A</v>
      </c>
      <c r="W34" s="137" t="str">
        <f ca="1">IFERROR(__xludf.DUMMYFUNCTION("""COMPUTED_VALUE"""),"#N/A")</f>
        <v>#N/A</v>
      </c>
      <c r="X34" s="137" t="str">
        <f ca="1">IFERROR(__xludf.DUMMYFUNCTION("""COMPUTED_VALUE"""),"#N/A")</f>
        <v>#N/A</v>
      </c>
      <c r="Y34" s="137" t="str">
        <f ca="1">IFERROR(__xludf.DUMMYFUNCTION("""COMPUTED_VALUE"""),"#N/A")</f>
        <v>#N/A</v>
      </c>
      <c r="Z34" s="138" t="str">
        <f ca="1">IFERROR(__xludf.DUMMYFUNCTION("""COMPUTED_VALUE"""),"#N/A")</f>
        <v>#N/A</v>
      </c>
      <c r="AA34" s="138" t="str">
        <f ca="1">IFERROR(__xludf.DUMMYFUNCTION("""COMPUTED_VALUE"""),"#N/A")</f>
        <v>#N/A</v>
      </c>
      <c r="AB34" s="138" t="str">
        <f ca="1">IFERROR(__xludf.DUMMYFUNCTION("""COMPUTED_VALUE"""),"#N/A")</f>
        <v>#N/A</v>
      </c>
      <c r="AC34" s="138" t="str">
        <f ca="1">IFERROR(__xludf.DUMMYFUNCTION("""COMPUTED_VALUE"""),"#N/A")</f>
        <v>#N/A</v>
      </c>
      <c r="AD34" s="138" t="str">
        <f ca="1">IFERROR(__xludf.DUMMYFUNCTION("""COMPUTED_VALUE"""),"#N/A")</f>
        <v>#N/A</v>
      </c>
      <c r="AE34" s="138" t="str">
        <f ca="1">IFERROR(__xludf.DUMMYFUNCTION("""COMPUTED_VALUE"""),"#N/A")</f>
        <v>#N/A</v>
      </c>
      <c r="AF34" s="138" t="str">
        <f ca="1">IFERROR(__xludf.DUMMYFUNCTION("""COMPUTED_VALUE"""),"#N/A")</f>
        <v>#N/A</v>
      </c>
      <c r="AG34" s="138" t="str">
        <f ca="1">IFERROR(__xludf.DUMMYFUNCTION("ArrayFormula(VLOOKUP(G34, IMPORTRANGE(""https://docs.google.com/spreadsheets/d/1Co934fvtviyaRiMsrIlT05Jaq7iiYq07aLvRr35KA48/edit?gid=173865642#gid=173865642"", ""'G10_Sci_Pri_LU'!G2:V2000""), {3, 4, 5, 6, 7, 8, 9, 10, 11, 12, 13, 14, 15, 16}, 0))"),"LU005911")</f>
        <v>LU005911</v>
      </c>
      <c r="AH34" s="138" t="str">
        <f ca="1">IFERROR(__xludf.DUMMYFUNCTION("""COMPUTED_VALUE"""),"Reproduction in organisms(types and significance)")</f>
        <v>Reproduction in organisms(types and significance)</v>
      </c>
      <c r="AI34" s="138" t="str">
        <f ca="1">IFERROR(__xludf.DUMMYFUNCTION("""COMPUTED_VALUE"""),"LU005420")</f>
        <v>LU005420</v>
      </c>
      <c r="AJ34" s="138" t="str">
        <f ca="1">IFERROR(__xludf.DUMMYFUNCTION("""COMPUTED_VALUE"""),"Budding, fragmentation, sporulation and vegetative propagation")</f>
        <v>Budding, fragmentation, sporulation and vegetative propagation</v>
      </c>
      <c r="AK34" s="138"/>
      <c r="AL34" s="138"/>
      <c r="AM34" s="138"/>
      <c r="AN34" s="138"/>
      <c r="AO34" s="138"/>
      <c r="AP34" s="138"/>
      <c r="AQ34" s="138"/>
      <c r="AR34" s="138"/>
      <c r="AS34" s="138"/>
      <c r="AT34" s="138"/>
    </row>
    <row r="35" spans="1:46">
      <c r="A35" s="54" t="s">
        <v>247</v>
      </c>
      <c r="B35" s="55" t="s">
        <v>47</v>
      </c>
      <c r="C35" s="55" t="s">
        <v>1172</v>
      </c>
      <c r="D35" s="55" t="s">
        <v>2463</v>
      </c>
      <c r="E35" s="55" t="s">
        <v>2512</v>
      </c>
      <c r="F35" s="55" t="s">
        <v>2517</v>
      </c>
      <c r="G35" s="138" t="s">
        <v>1924</v>
      </c>
      <c r="H35" s="54" t="str">
        <f ca="1">IFERROR(__xludf.DUMMYFUNCTION("VLOOKUP(G35, IMPORTRANGE(""https://docs.google.com/spreadsheets/d/14deopnvwcrKtEGCKuYXdUHJbeLDZlkiSSWWT0g7x2pM/edit#gid=849066331"", ""LU List Science (Filter)!A:B""), 2, FALSE)"),"Vegetative Propagation from stem, leaves, and roots of the plant.")</f>
        <v>Vegetative Propagation from stem, leaves, and roots of the plant.</v>
      </c>
      <c r="I35" s="55" t="str">
        <f t="shared" si="0"/>
        <v>LU005421.001</v>
      </c>
      <c r="J35" s="55" t="str">
        <f ca="1">IFERROR(__xludf.DUMMYFUNCTION("VLOOKUP(I35, IMPORTRANGE(""https://docs.google.com/spreadsheets/d/1yDAaXNsi4Mr5FtRQL4tbmSdIzhx6_m4wkOD7IG-k_eo/edit#gid=1336395716"", ""Science!M:N""), 2, FALSE)"),"Students will name plant species that can undergo vegetative propagation through stems, leaves, and roots.")</f>
        <v>Students will name plant species that can undergo vegetative propagation through stems, leaves, and roots.</v>
      </c>
      <c r="K35" s="55" t="str">
        <f t="shared" si="1"/>
        <v>LU005421.002</v>
      </c>
      <c r="L35" s="55" t="str">
        <f ca="1">IFERROR(__xludf.DUMMYFUNCTION("VLOOKUP(K35, IMPORTRANGE(""https://docs.google.com/spreadsheets/d/1yDAaXNsi4Mr5FtRQL4tbmSdIzhx6_m4wkOD7IG-k_eo/edit#gid=1336395716"", ""Science!M:N""), 2, FALSE)"),"Students will summarize the steps involved in vegetative propagation from stems, leaves, and roots.")</f>
        <v>Students will summarize the steps involved in vegetative propagation from stems, leaves, and roots.</v>
      </c>
      <c r="M35" s="55" t="str">
        <f t="shared" si="2"/>
        <v>LU005421.003</v>
      </c>
      <c r="N35" s="55" t="str">
        <f ca="1">IFERROR(__xludf.DUMMYFUNCTION("VLOOKUP(M35, IMPORTRANGE(""https://docs.google.com/spreadsheets/d/1yDAaXNsi4Mr5FtRQL4tbmSdIzhx6_m4wkOD7IG-k_eo/edit#gid=1336395716"", ""Science!M:N""), 2, FALSE)"),"Students will replicate vegetative propagation using the stems, leaves, or roots of a plant.")</f>
        <v>Students will replicate vegetative propagation using the stems, leaves, or roots of a plant.</v>
      </c>
      <c r="O35" s="55" t="str">
        <f t="shared" si="3"/>
        <v>LU005421.004</v>
      </c>
      <c r="P35" s="55" t="str">
        <f ca="1">IFERROR(__xludf.DUMMYFUNCTION("VLOOKUP(O35, IMPORTRANGE(""https://docs.google.com/spreadsheets/d/1yDAaXNsi4Mr5FtRQL4tbmSdIzhx6_m4wkOD7IG-k_eo/edit#gid=1336395716"", ""Science!M:N""), 2, FALSE)"),"Students will examine the advantages and disadvantages of vegetative propagation compared to sexual reproduction in plants.")</f>
        <v>Students will examine the advantages and disadvantages of vegetative propagation compared to sexual reproduction in plants.</v>
      </c>
      <c r="Q35" s="55" t="str">
        <f t="shared" si="4"/>
        <v>LU005421.005</v>
      </c>
      <c r="R35" s="55" t="str">
        <f ca="1">IFERROR(__xludf.DUMMYFUNCTION("VLOOKUP(Q35, IMPORTRANGE(""https://docs.google.com/spreadsheets/d/1yDAaXNsi4Mr5FtRQL4tbmSdIzhx6_m4wkOD7IG-k_eo/edit#gid=1336395716"", ""Science!M:N""), 2, FALSE)"),"Students will justify the use of vegetative propagation in agriculture and horticulture.")</f>
        <v>Students will justify the use of vegetative propagation in agriculture and horticulture.</v>
      </c>
      <c r="S35" s="55" t="str">
        <f t="shared" si="5"/>
        <v>LU005421.006</v>
      </c>
      <c r="T35" s="55" t="str">
        <f ca="1">IFERROR(__xludf.DUMMYFUNCTION("VLOOKUP(S35, IMPORTRANGE(""https://docs.google.com/spreadsheets/d/1yDAaXNsi4Mr5FtRQL4tbmSdIzhx6_m4wkOD7IG-k_eo/edit#gid=1336395716"", ""Science!M:N""), 2, FALSE)"),"#N/A")</f>
        <v>#N/A</v>
      </c>
      <c r="U35" s="137">
        <f ca="1">IFERROR(__xludf.DUMMYFUNCTION("ArrayFormula(VLOOKUP(G35, IMPORTRANGE(""https://docs.google.com/spreadsheets/d/1p7R4vtkWt5VOBim4ltsDG9KTzSjrtKXsMtQGXPHyND0/edit#gid=795171502"", ""'Filter 30_05_2024'!A1:M2000""), {2, 3, 4, 5,6,7,8,9,10,11,12,13}, 0))"),14)</f>
        <v>14</v>
      </c>
      <c r="V35" s="137">
        <f ca="1">IFERROR(__xludf.DUMMYFUNCTION("""COMPUTED_VALUE"""),6)</f>
        <v>6</v>
      </c>
      <c r="W35" s="137">
        <f ca="1">IFERROR(__xludf.DUMMYFUNCTION("""COMPUTED_VALUE"""),7)</f>
        <v>7</v>
      </c>
      <c r="X35" s="137">
        <f ca="1">IFERROR(__xludf.DUMMYFUNCTION("""COMPUTED_VALUE"""),27)</f>
        <v>27</v>
      </c>
      <c r="Y35" s="137">
        <f ca="1">IFERROR(__xludf.DUMMYFUNCTION("""COMPUTED_VALUE"""),10)</f>
        <v>10</v>
      </c>
      <c r="Z35" s="138">
        <f ca="1">IFERROR(__xludf.DUMMYFUNCTION("""COMPUTED_VALUE"""),3)</f>
        <v>3</v>
      </c>
      <c r="AA35" s="138">
        <f ca="1">IFERROR(__xludf.DUMMYFUNCTION("""COMPUTED_VALUE"""),2)</f>
        <v>2</v>
      </c>
      <c r="AB35" s="138">
        <f ca="1">IFERROR(__xludf.DUMMYFUNCTION("""COMPUTED_VALUE"""),15)</f>
        <v>15</v>
      </c>
      <c r="AC35" s="138"/>
      <c r="AD35" s="138"/>
      <c r="AE35" s="138"/>
      <c r="AF35" s="138"/>
      <c r="AG35" s="138" t="str">
        <f ca="1">IFERROR(__xludf.DUMMYFUNCTION("ArrayFormula(VLOOKUP(G35, IMPORTRANGE(""https://docs.google.com/spreadsheets/d/1Co934fvtviyaRiMsrIlT05Jaq7iiYq07aLvRr35KA48/edit?gid=173865642#gid=173865642"", ""'G10_Sci_Pri_LU'!G2:V2000""), {3, 4, 5, 6, 7, 8, 9, 10, 11, 12, 13, 14, 15, 16}, 0))"),"LU005419")</f>
        <v>LU005419</v>
      </c>
      <c r="AH35" s="138" t="str">
        <f ca="1">IFERROR(__xludf.DUMMYFUNCTION("""COMPUTED_VALUE"""),"Definition of reproduction in plants")</f>
        <v>Definition of reproduction in plants</v>
      </c>
      <c r="AI35" s="138" t="str">
        <f ca="1">IFERROR(__xludf.DUMMYFUNCTION("""COMPUTED_VALUE"""),"LU005420")</f>
        <v>LU005420</v>
      </c>
      <c r="AJ35" s="138" t="str">
        <f ca="1">IFERROR(__xludf.DUMMYFUNCTION("""COMPUTED_VALUE"""),"Budding, fragmentation, sporulation and vegetative propagation")</f>
        <v>Budding, fragmentation, sporulation and vegetative propagation</v>
      </c>
      <c r="AK35" s="138"/>
      <c r="AL35" s="138"/>
      <c r="AM35" s="138"/>
      <c r="AN35" s="138"/>
      <c r="AO35" s="138"/>
      <c r="AP35" s="138"/>
      <c r="AQ35" s="138"/>
      <c r="AR35" s="138"/>
      <c r="AS35" s="138"/>
      <c r="AT35" s="138"/>
    </row>
    <row r="36" spans="1:46">
      <c r="A36" s="54" t="s">
        <v>247</v>
      </c>
      <c r="B36" s="55" t="s">
        <v>47</v>
      </c>
      <c r="C36" s="55" t="s">
        <v>1172</v>
      </c>
      <c r="D36" s="55" t="s">
        <v>2463</v>
      </c>
      <c r="E36" s="55" t="s">
        <v>2512</v>
      </c>
      <c r="F36" s="136" t="s">
        <v>2518</v>
      </c>
      <c r="G36" s="55" t="s">
        <v>2519</v>
      </c>
      <c r="H36" s="54" t="str">
        <f ca="1">IFERROR(__xludf.DUMMYFUNCTION("VLOOKUP(G36, IMPORTRANGE(""https://docs.google.com/spreadsheets/d/14deopnvwcrKtEGCKuYXdUHJbeLDZlkiSSWWT0g7x2pM/edit#gid=849066331"", ""LU List Science (Filter)!A:B""), 2, FALSE)"),"Introduction to tissue culture")</f>
        <v>Introduction to tissue culture</v>
      </c>
      <c r="I36" s="55" t="str">
        <f t="shared" si="0"/>
        <v>LU006474.001</v>
      </c>
      <c r="J36" s="55" t="str">
        <f ca="1">IFERROR(__xludf.DUMMYFUNCTION("VLOOKUP(I36, IMPORTRANGE(""https://docs.google.com/spreadsheets/d/1yDAaXNsi4Mr5FtRQL4tbmSdIzhx6_m4wkOD7IG-k_eo/edit#gid=1336395716"", ""Science!M:N""), 2, FALSE)"),"(LU006474.001); Default - Remember")</f>
        <v>(LU006474.001); Default - Remember</v>
      </c>
      <c r="K36" s="55" t="str">
        <f t="shared" si="1"/>
        <v>LU006474.002</v>
      </c>
      <c r="L36" s="55" t="str">
        <f ca="1">IFERROR(__xludf.DUMMYFUNCTION("VLOOKUP(K36, IMPORTRANGE(""https://docs.google.com/spreadsheets/d/1yDAaXNsi4Mr5FtRQL4tbmSdIzhx6_m4wkOD7IG-k_eo/edit#gid=1336395716"", ""Science!M:N""), 2, FALSE)"),"(LU006474.002); Default - Understand")</f>
        <v>(LU006474.002); Default - Understand</v>
      </c>
      <c r="M36" s="55" t="str">
        <f t="shared" si="2"/>
        <v>LU006474.003</v>
      </c>
      <c r="N36" s="55" t="str">
        <f ca="1">IFERROR(__xludf.DUMMYFUNCTION("VLOOKUP(M36, IMPORTRANGE(""https://docs.google.com/spreadsheets/d/1yDAaXNsi4Mr5FtRQL4tbmSdIzhx6_m4wkOD7IG-k_eo/edit#gid=1336395716"", ""Science!M:N""), 2, FALSE)"),"(LU006474.003); Default - Apply")</f>
        <v>(LU006474.003); Default - Apply</v>
      </c>
      <c r="O36" s="55" t="str">
        <f t="shared" si="3"/>
        <v>LU006474.004</v>
      </c>
      <c r="P36" s="55" t="str">
        <f ca="1">IFERROR(__xludf.DUMMYFUNCTION("VLOOKUP(O36, IMPORTRANGE(""https://docs.google.com/spreadsheets/d/1yDAaXNsi4Mr5FtRQL4tbmSdIzhx6_m4wkOD7IG-k_eo/edit#gid=1336395716"", ""Science!M:N""), 2, FALSE)"),"(LU006474.004); Default - Analyse")</f>
        <v>(LU006474.004); Default - Analyse</v>
      </c>
      <c r="Q36" s="55" t="str">
        <f t="shared" si="4"/>
        <v>LU006474.005</v>
      </c>
      <c r="R36" s="55" t="str">
        <f ca="1">IFERROR(__xludf.DUMMYFUNCTION("VLOOKUP(Q36, IMPORTRANGE(""https://docs.google.com/spreadsheets/d/1yDAaXNsi4Mr5FtRQL4tbmSdIzhx6_m4wkOD7IG-k_eo/edit#gid=1336395716"", ""Science!M:N""), 2, FALSE)"),"(LU006474.005); Default - Evaluate")</f>
        <v>(LU006474.005); Default - Evaluate</v>
      </c>
      <c r="S36" s="55" t="str">
        <f t="shared" si="5"/>
        <v>LU006474.006</v>
      </c>
      <c r="T36" s="55" t="str">
        <f ca="1">IFERROR(__xludf.DUMMYFUNCTION("VLOOKUP(S36, IMPORTRANGE(""https://docs.google.com/spreadsheets/d/1yDAaXNsi4Mr5FtRQL4tbmSdIzhx6_m4wkOD7IG-k_eo/edit#gid=1336395716"", ""Science!M:N""), 2, FALSE)"),"(LU006474.006); Default - Create")</f>
        <v>(LU006474.006); Default - Create</v>
      </c>
      <c r="U36" s="137" t="str">
        <f ca="1">IFERROR(__xludf.DUMMYFUNCTION("ArrayFormula(VLOOKUP(G36, IMPORTRANGE(""https://docs.google.com/spreadsheets/d/1p7R4vtkWt5VOBim4ltsDG9KTzSjrtKXsMtQGXPHyND0/edit#gid=795171502"", ""'Filter 30_05_2024'!A1:M2000""), {2, 3, 4, 5,6,7,8,9,10,11,12,13}, 0))"),"#N/A")</f>
        <v>#N/A</v>
      </c>
      <c r="V36" s="137" t="str">
        <f ca="1">IFERROR(__xludf.DUMMYFUNCTION("""COMPUTED_VALUE"""),"#N/A")</f>
        <v>#N/A</v>
      </c>
      <c r="W36" s="137" t="str">
        <f ca="1">IFERROR(__xludf.DUMMYFUNCTION("""COMPUTED_VALUE"""),"#N/A")</f>
        <v>#N/A</v>
      </c>
      <c r="X36" s="137" t="str">
        <f ca="1">IFERROR(__xludf.DUMMYFUNCTION("""COMPUTED_VALUE"""),"#N/A")</f>
        <v>#N/A</v>
      </c>
      <c r="Y36" s="137" t="str">
        <f ca="1">IFERROR(__xludf.DUMMYFUNCTION("""COMPUTED_VALUE"""),"#N/A")</f>
        <v>#N/A</v>
      </c>
      <c r="Z36" s="138" t="str">
        <f ca="1">IFERROR(__xludf.DUMMYFUNCTION("""COMPUTED_VALUE"""),"#N/A")</f>
        <v>#N/A</v>
      </c>
      <c r="AA36" s="138" t="str">
        <f ca="1">IFERROR(__xludf.DUMMYFUNCTION("""COMPUTED_VALUE"""),"#N/A")</f>
        <v>#N/A</v>
      </c>
      <c r="AB36" s="138" t="str">
        <f ca="1">IFERROR(__xludf.DUMMYFUNCTION("""COMPUTED_VALUE"""),"#N/A")</f>
        <v>#N/A</v>
      </c>
      <c r="AC36" s="138" t="str">
        <f ca="1">IFERROR(__xludf.DUMMYFUNCTION("""COMPUTED_VALUE"""),"#N/A")</f>
        <v>#N/A</v>
      </c>
      <c r="AD36" s="138" t="str">
        <f ca="1">IFERROR(__xludf.DUMMYFUNCTION("""COMPUTED_VALUE"""),"#N/A")</f>
        <v>#N/A</v>
      </c>
      <c r="AE36" s="138" t="str">
        <f ca="1">IFERROR(__xludf.DUMMYFUNCTION("""COMPUTED_VALUE"""),"#N/A")</f>
        <v>#N/A</v>
      </c>
      <c r="AF36" s="138" t="str">
        <f ca="1">IFERROR(__xludf.DUMMYFUNCTION("""COMPUTED_VALUE"""),"#N/A")</f>
        <v>#N/A</v>
      </c>
      <c r="AG36" s="138" t="str">
        <f ca="1">IFERROR(__xludf.DUMMYFUNCTION("ArrayFormula(VLOOKUP(G36, IMPORTRANGE(""https://docs.google.com/spreadsheets/d/1Co934fvtviyaRiMsrIlT05Jaq7iiYq07aLvRr35KA48/edit?gid=173865642#gid=173865642"", ""'G10_Sci_Pri_LU'!G2:V2000""), {3, 4, 5, 6, 7, 8, 9, 10, 11, 12, 13, 14, 15, 16}, 0))"),"LU006242")</f>
        <v>LU006242</v>
      </c>
      <c r="AH36" s="138" t="str">
        <f ca="1">IFERROR(__xludf.DUMMYFUNCTION("""COMPUTED_VALUE"""),"Definition of Tissues")</f>
        <v>Definition of Tissues</v>
      </c>
      <c r="AI36" s="138" t="str">
        <f ca="1">IFERROR(__xludf.DUMMYFUNCTION("""COMPUTED_VALUE"""),"LU005847")</f>
        <v>LU005847</v>
      </c>
      <c r="AJ36" s="138" t="str">
        <f ca="1">IFERROR(__xludf.DUMMYFUNCTION("""COMPUTED_VALUE"""),"Levels of organization in an organism")</f>
        <v>Levels of organization in an organism</v>
      </c>
      <c r="AK36" s="138"/>
      <c r="AL36" s="138"/>
      <c r="AM36" s="138"/>
      <c r="AN36" s="138"/>
      <c r="AO36" s="138"/>
      <c r="AP36" s="138"/>
      <c r="AQ36" s="138"/>
      <c r="AR36" s="138"/>
      <c r="AS36" s="138"/>
      <c r="AT36" s="138"/>
    </row>
    <row r="37" spans="1:46">
      <c r="A37" s="54" t="s">
        <v>247</v>
      </c>
      <c r="B37" s="55" t="s">
        <v>47</v>
      </c>
      <c r="C37" s="55" t="s">
        <v>1172</v>
      </c>
      <c r="D37" s="55" t="s">
        <v>2463</v>
      </c>
      <c r="E37" s="55" t="s">
        <v>2512</v>
      </c>
      <c r="F37" s="136" t="s">
        <v>2518</v>
      </c>
      <c r="G37" s="55" t="s">
        <v>1930</v>
      </c>
      <c r="H37" s="54" t="str">
        <f ca="1">IFERROR(__xludf.DUMMYFUNCTION("VLOOKUP(G37, IMPORTRANGE(""https://docs.google.com/spreadsheets/d/14deopnvwcrKtEGCKuYXdUHJbeLDZlkiSSWWT0g7x2pM/edit#gid=849066331"", ""LU List Science (Filter)!A:B""), 2, FALSE)"),"Understanding spore formation in fungi")</f>
        <v>Understanding spore formation in fungi</v>
      </c>
      <c r="I37" s="55" t="str">
        <f t="shared" si="0"/>
        <v>LU005961.001</v>
      </c>
      <c r="J37" s="55" t="str">
        <f ca="1">IFERROR(__xludf.DUMMYFUNCTION("VLOOKUP(I37, IMPORTRANGE(""https://docs.google.com/spreadsheets/d/1yDAaXNsi4Mr5FtRQL4tbmSdIzhx6_m4wkOD7IG-k_eo/edit#gid=1336395716"", ""Science!M:N""), 2, FALSE)"),"Recall the definition and characteristics of spore formation in fungi.")</f>
        <v>Recall the definition and characteristics of spore formation in fungi.</v>
      </c>
      <c r="K37" s="55" t="str">
        <f t="shared" si="1"/>
        <v>LU005961.002</v>
      </c>
      <c r="L37" s="55" t="str">
        <f ca="1">IFERROR(__xludf.DUMMYFUNCTION("VLOOKUP(K37, IMPORTRANGE(""https://docs.google.com/spreadsheets/d/1yDAaXNsi4Mr5FtRQL4tbmSdIzhx6_m4wkOD7IG-k_eo/edit#gid=1336395716"", ""Science!M:N""), 2, FALSE)"),"Summarize the role of spore formation in the life cycle of fungi.")</f>
        <v>Summarize the role of spore formation in the life cycle of fungi.</v>
      </c>
      <c r="M37" s="55" t="str">
        <f t="shared" si="2"/>
        <v>LU005961.003</v>
      </c>
      <c r="N37" s="55" t="str">
        <f ca="1">IFERROR(__xludf.DUMMYFUNCTION("VLOOKUP(M37, IMPORTRANGE(""https://docs.google.com/spreadsheets/d/1yDAaXNsi4Mr5FtRQL4tbmSdIzhx6_m4wkOD7IG-k_eo/edit#gid=1336395716"", ""Science!M:N""), 2, FALSE)"),"Apply knowledge of spore formation to identify fungi species in different stages of reproduction.")</f>
        <v>Apply knowledge of spore formation to identify fungi species in different stages of reproduction.</v>
      </c>
      <c r="O37" s="55" t="str">
        <f t="shared" si="3"/>
        <v>LU005961.004</v>
      </c>
      <c r="P37" s="55" t="str">
        <f ca="1">IFERROR(__xludf.DUMMYFUNCTION("VLOOKUP(O37, IMPORTRANGE(""https://docs.google.com/spreadsheets/d/1yDAaXNsi4Mr5FtRQL4tbmSdIzhx6_m4wkOD7IG-k_eo/edit#gid=1336395716"", ""Science!M:N""), 2, FALSE)"),"Differentiate between spore formation in fungi and seed formation in plants.")</f>
        <v>Differentiate between spore formation in fungi and seed formation in plants.</v>
      </c>
      <c r="Q37" s="55" t="str">
        <f t="shared" si="4"/>
        <v>LU005961.005</v>
      </c>
      <c r="R37" s="55" t="str">
        <f ca="1">IFERROR(__xludf.DUMMYFUNCTION("VLOOKUP(Q37, IMPORTRANGE(""https://docs.google.com/spreadsheets/d/1yDAaXNsi4Mr5FtRQL4tbmSdIzhx6_m4wkOD7IG-k_eo/edit#gid=1336395716"", ""Science!M:N""), 2, FALSE)"),"Evaluate the advantages of spore formation as a reproductive strategy in fungi.")</f>
        <v>Evaluate the advantages of spore formation as a reproductive strategy in fungi.</v>
      </c>
      <c r="S37" s="55" t="str">
        <f t="shared" si="5"/>
        <v>LU005961.006</v>
      </c>
      <c r="T37" s="55" t="str">
        <f ca="1">IFERROR(__xludf.DUMMYFUNCTION("VLOOKUP(S37, IMPORTRANGE(""https://docs.google.com/spreadsheets/d/1yDAaXNsi4Mr5FtRQL4tbmSdIzhx6_m4wkOD7IG-k_eo/edit#gid=1336395716"", ""Science!M:N""), 2, FALSE)"),"Design an investigation to observe the conditions that affect spore dispersal in fungi.")</f>
        <v>Design an investigation to observe the conditions that affect spore dispersal in fungi.</v>
      </c>
      <c r="U37" s="137">
        <f ca="1">IFERROR(__xludf.DUMMYFUNCTION("ArrayFormula(VLOOKUP(G37, IMPORTRANGE(""https://docs.google.com/spreadsheets/d/1p7R4vtkWt5VOBim4ltsDG9KTzSjrtKXsMtQGXPHyND0/edit#gid=795171502"", ""'Filter 30_05_2024'!A1:M2000""), {2, 3, 4, 5,6,7,8,9,10,11,12,13}, 0))"),5)</f>
        <v>5</v>
      </c>
      <c r="V37" s="137">
        <f ca="1">IFERROR(__xludf.DUMMYFUNCTION("""COMPUTED_VALUE"""),6)</f>
        <v>6</v>
      </c>
      <c r="W37" s="137">
        <f ca="1">IFERROR(__xludf.DUMMYFUNCTION("""COMPUTED_VALUE"""),2)</f>
        <v>2</v>
      </c>
      <c r="X37" s="137">
        <f ca="1">IFERROR(__xludf.DUMMYFUNCTION("""COMPUTED_VALUE"""),13)</f>
        <v>13</v>
      </c>
      <c r="Y37" s="137">
        <f ca="1">IFERROR(__xludf.DUMMYFUNCTION("""COMPUTED_VALUE"""),4)</f>
        <v>4</v>
      </c>
      <c r="Z37" s="138">
        <f ca="1">IFERROR(__xludf.DUMMYFUNCTION("""COMPUTED_VALUE"""),3)</f>
        <v>3</v>
      </c>
      <c r="AA37" s="138">
        <f ca="1">IFERROR(__xludf.DUMMYFUNCTION("""COMPUTED_VALUE"""),1)</f>
        <v>1</v>
      </c>
      <c r="AB37" s="138">
        <f ca="1">IFERROR(__xludf.DUMMYFUNCTION("""COMPUTED_VALUE"""),8)</f>
        <v>8</v>
      </c>
      <c r="AC37" s="138"/>
      <c r="AD37" s="138"/>
      <c r="AE37" s="138"/>
      <c r="AF37" s="138"/>
      <c r="AG37" s="138" t="str">
        <f ca="1">IFERROR(__xludf.DUMMYFUNCTION("ArrayFormula(VLOOKUP(G37, IMPORTRANGE(""https://docs.google.com/spreadsheets/d/1Co934fvtviyaRiMsrIlT05Jaq7iiYq07aLvRr35KA48/edit?gid=173865642#gid=173865642"", ""'G10_Sci_Pri_LU'!G2:V2000""), {3, 4, 5, 6, 7, 8, 9, 10, 11, 12, 13, 14, 15, 16}, 0))"),"LU005419")</f>
        <v>LU005419</v>
      </c>
      <c r="AH37" s="138" t="str">
        <f ca="1">IFERROR(__xludf.DUMMYFUNCTION("""COMPUTED_VALUE"""),"Definition of reproduction in plants")</f>
        <v>Definition of reproduction in plants</v>
      </c>
      <c r="AI37" s="138" t="str">
        <f ca="1">IFERROR(__xludf.DUMMYFUNCTION("""COMPUTED_VALUE"""),"LU005420")</f>
        <v>LU005420</v>
      </c>
      <c r="AJ37" s="138" t="str">
        <f ca="1">IFERROR(__xludf.DUMMYFUNCTION("""COMPUTED_VALUE"""),"Budding, fragmentation, sporulation and vegetative propagation")</f>
        <v>Budding, fragmentation, sporulation and vegetative propagation</v>
      </c>
      <c r="AK37" s="138"/>
      <c r="AL37" s="138"/>
      <c r="AM37" s="138"/>
      <c r="AN37" s="138"/>
      <c r="AO37" s="138"/>
      <c r="AP37" s="138"/>
      <c r="AQ37" s="138"/>
      <c r="AR37" s="138"/>
      <c r="AS37" s="138"/>
      <c r="AT37" s="138"/>
    </row>
    <row r="38" spans="1:46">
      <c r="A38" s="54" t="s">
        <v>247</v>
      </c>
      <c r="B38" s="55" t="s">
        <v>47</v>
      </c>
      <c r="C38" s="55" t="s">
        <v>1172</v>
      </c>
      <c r="D38" s="55" t="s">
        <v>2463</v>
      </c>
      <c r="E38" s="55" t="s">
        <v>2512</v>
      </c>
      <c r="F38" s="55" t="s">
        <v>2520</v>
      </c>
      <c r="G38" s="55" t="s">
        <v>2521</v>
      </c>
      <c r="H38" s="54" t="str">
        <f ca="1">IFERROR(__xludf.DUMMYFUNCTION("VLOOKUP(G38, IMPORTRANGE(""https://docs.google.com/spreadsheets/d/14deopnvwcrKtEGCKuYXdUHJbeLDZlkiSSWWT0g7x2pM/edit#gid=849066331"", ""LU List Science (Filter)!A:B""), 2, FALSE)"),"Sexual reproduction as the source of variations in population")</f>
        <v>Sexual reproduction as the source of variations in population</v>
      </c>
      <c r="I38" s="55" t="str">
        <f t="shared" si="0"/>
        <v>LU006475.001</v>
      </c>
      <c r="J38" s="55" t="str">
        <f ca="1">IFERROR(__xludf.DUMMYFUNCTION("VLOOKUP(I38, IMPORTRANGE(""https://docs.google.com/spreadsheets/d/1yDAaXNsi4Mr5FtRQL4tbmSdIzhx6_m4wkOD7IG-k_eo/edit#gid=1336395716"", ""Science!M:N""), 2, FALSE)"),"(LU006475.001); Default - Remember")</f>
        <v>(LU006475.001); Default - Remember</v>
      </c>
      <c r="K38" s="55" t="str">
        <f t="shared" si="1"/>
        <v>LU006475.002</v>
      </c>
      <c r="L38" s="55" t="str">
        <f ca="1">IFERROR(__xludf.DUMMYFUNCTION("VLOOKUP(K38, IMPORTRANGE(""https://docs.google.com/spreadsheets/d/1yDAaXNsi4Mr5FtRQL4tbmSdIzhx6_m4wkOD7IG-k_eo/edit#gid=1336395716"", ""Science!M:N""), 2, FALSE)"),"(LU006475.002); Default - Understand")</f>
        <v>(LU006475.002); Default - Understand</v>
      </c>
      <c r="M38" s="55" t="str">
        <f t="shared" si="2"/>
        <v>LU006475.003</v>
      </c>
      <c r="N38" s="55" t="str">
        <f ca="1">IFERROR(__xludf.DUMMYFUNCTION("VLOOKUP(M38, IMPORTRANGE(""https://docs.google.com/spreadsheets/d/1yDAaXNsi4Mr5FtRQL4tbmSdIzhx6_m4wkOD7IG-k_eo/edit#gid=1336395716"", ""Science!M:N""), 2, FALSE)"),"(LU006475.003); Default - Apply")</f>
        <v>(LU006475.003); Default - Apply</v>
      </c>
      <c r="O38" s="55" t="str">
        <f t="shared" si="3"/>
        <v>LU006475.004</v>
      </c>
      <c r="P38" s="55" t="str">
        <f ca="1">IFERROR(__xludf.DUMMYFUNCTION("VLOOKUP(O38, IMPORTRANGE(""https://docs.google.com/spreadsheets/d/1yDAaXNsi4Mr5FtRQL4tbmSdIzhx6_m4wkOD7IG-k_eo/edit#gid=1336395716"", ""Science!M:N""), 2, FALSE)"),"(LU006475.004); Default - Analyse")</f>
        <v>(LU006475.004); Default - Analyse</v>
      </c>
      <c r="Q38" s="55" t="str">
        <f t="shared" si="4"/>
        <v>LU006475.005</v>
      </c>
      <c r="R38" s="55" t="str">
        <f ca="1">IFERROR(__xludf.DUMMYFUNCTION("VLOOKUP(Q38, IMPORTRANGE(""https://docs.google.com/spreadsheets/d/1yDAaXNsi4Mr5FtRQL4tbmSdIzhx6_m4wkOD7IG-k_eo/edit#gid=1336395716"", ""Science!M:N""), 2, FALSE)"),"(LU006475.005); Default - Evaluate")</f>
        <v>(LU006475.005); Default - Evaluate</v>
      </c>
      <c r="S38" s="55" t="str">
        <f t="shared" si="5"/>
        <v>LU006475.006</v>
      </c>
      <c r="T38" s="55" t="str">
        <f ca="1">IFERROR(__xludf.DUMMYFUNCTION("VLOOKUP(S38, IMPORTRANGE(""https://docs.google.com/spreadsheets/d/1yDAaXNsi4Mr5FtRQL4tbmSdIzhx6_m4wkOD7IG-k_eo/edit#gid=1336395716"", ""Science!M:N""), 2, FALSE)"),"(LU006475.006); Default - Create")</f>
        <v>(LU006475.006); Default - Create</v>
      </c>
      <c r="U38" s="137" t="str">
        <f ca="1">IFERROR(__xludf.DUMMYFUNCTION("ArrayFormula(VLOOKUP(G38, IMPORTRANGE(""https://docs.google.com/spreadsheets/d/1p7R4vtkWt5VOBim4ltsDG9KTzSjrtKXsMtQGXPHyND0/edit#gid=795171502"", ""'Filter 30_05_2024'!A1:M2000""), {2, 3, 4, 5,6,7,8,9,10,11,12,13}, 0))"),"#N/A")</f>
        <v>#N/A</v>
      </c>
      <c r="V38" s="137" t="str">
        <f ca="1">IFERROR(__xludf.DUMMYFUNCTION("""COMPUTED_VALUE"""),"#N/A")</f>
        <v>#N/A</v>
      </c>
      <c r="W38" s="137" t="str">
        <f ca="1">IFERROR(__xludf.DUMMYFUNCTION("""COMPUTED_VALUE"""),"#N/A")</f>
        <v>#N/A</v>
      </c>
      <c r="X38" s="137" t="str">
        <f ca="1">IFERROR(__xludf.DUMMYFUNCTION("""COMPUTED_VALUE"""),"#N/A")</f>
        <v>#N/A</v>
      </c>
      <c r="Y38" s="137" t="str">
        <f ca="1">IFERROR(__xludf.DUMMYFUNCTION("""COMPUTED_VALUE"""),"#N/A")</f>
        <v>#N/A</v>
      </c>
      <c r="Z38" s="138" t="str">
        <f ca="1">IFERROR(__xludf.DUMMYFUNCTION("""COMPUTED_VALUE"""),"#N/A")</f>
        <v>#N/A</v>
      </c>
      <c r="AA38" s="138" t="str">
        <f ca="1">IFERROR(__xludf.DUMMYFUNCTION("""COMPUTED_VALUE"""),"#N/A")</f>
        <v>#N/A</v>
      </c>
      <c r="AB38" s="138" t="str">
        <f ca="1">IFERROR(__xludf.DUMMYFUNCTION("""COMPUTED_VALUE"""),"#N/A")</f>
        <v>#N/A</v>
      </c>
      <c r="AC38" s="138" t="str">
        <f ca="1">IFERROR(__xludf.DUMMYFUNCTION("""COMPUTED_VALUE"""),"#N/A")</f>
        <v>#N/A</v>
      </c>
      <c r="AD38" s="138" t="str">
        <f ca="1">IFERROR(__xludf.DUMMYFUNCTION("""COMPUTED_VALUE"""),"#N/A")</f>
        <v>#N/A</v>
      </c>
      <c r="AE38" s="138" t="str">
        <f ca="1">IFERROR(__xludf.DUMMYFUNCTION("""COMPUTED_VALUE"""),"#N/A")</f>
        <v>#N/A</v>
      </c>
      <c r="AF38" s="138" t="str">
        <f ca="1">IFERROR(__xludf.DUMMYFUNCTION("""COMPUTED_VALUE"""),"#N/A")</f>
        <v>#N/A</v>
      </c>
      <c r="AG38" s="138" t="str">
        <f ca="1">IFERROR(__xludf.DUMMYFUNCTION("ArrayFormula(VLOOKUP(G38, IMPORTRANGE(""https://docs.google.com/spreadsheets/d/1Co934fvtviyaRiMsrIlT05Jaq7iiYq07aLvRr35KA48/edit?gid=173865642#gid=173865642"", ""'G10_Sci_Pri_LU'!G2:V2000""), {3, 4, 5, 6, 7, 8, 9, 10, 11, 12, 13, 14, 15, 16}, 0))"),"LU006472")</f>
        <v>LU006472</v>
      </c>
      <c r="AH38" s="138" t="str">
        <f ca="1">IFERROR(__xludf.DUMMYFUNCTION("""COMPUTED_VALUE"""),"DNA copying mechanism and concept of variations")</f>
        <v>DNA copying mechanism and concept of variations</v>
      </c>
      <c r="AI38" s="138" t="str">
        <f ca="1">IFERROR(__xludf.DUMMYFUNCTION("""COMPUTED_VALUE"""),"LU006241")</f>
        <v>LU006241</v>
      </c>
      <c r="AJ38" s="138" t="str">
        <f ca="1">IFERROR(__xludf.DUMMYFUNCTION("""COMPUTED_VALUE"""),"Introduction to Cell Division(Mitosis and Meiosis)")</f>
        <v>Introduction to Cell Division(Mitosis and Meiosis)</v>
      </c>
      <c r="AK38" s="138" t="str">
        <f ca="1">IFERROR(__xludf.DUMMYFUNCTION("""COMPUTED_VALUE"""),"LU006233")</f>
        <v>LU006233</v>
      </c>
      <c r="AL38" s="138" t="str">
        <f ca="1">IFERROR(__xludf.DUMMYFUNCTION("""COMPUTED_VALUE"""),"Function of a typical eukaryotic nucleus")</f>
        <v>Function of a typical eukaryotic nucleus</v>
      </c>
      <c r="AM38" s="138"/>
      <c r="AN38" s="138"/>
      <c r="AO38" s="138"/>
      <c r="AP38" s="138"/>
      <c r="AQ38" s="138"/>
      <c r="AR38" s="138"/>
      <c r="AS38" s="138"/>
      <c r="AT38" s="138"/>
    </row>
    <row r="39" spans="1:46">
      <c r="A39" s="54" t="s">
        <v>247</v>
      </c>
      <c r="B39" s="55" t="s">
        <v>47</v>
      </c>
      <c r="C39" s="55" t="s">
        <v>1172</v>
      </c>
      <c r="D39" s="55" t="s">
        <v>2463</v>
      </c>
      <c r="E39" s="55" t="s">
        <v>2512</v>
      </c>
      <c r="F39" s="55" t="s">
        <v>2520</v>
      </c>
      <c r="G39" s="55" t="s">
        <v>2522</v>
      </c>
      <c r="H39" s="54" t="str">
        <f ca="1">IFERROR(__xludf.DUMMYFUNCTION("VLOOKUP(G39, IMPORTRANGE(""https://docs.google.com/spreadsheets/d/14deopnvwcrKtEGCKuYXdUHJbeLDZlkiSSWWT0g7x2pM/edit#gid=849066331"", ""LU List Science (Filter)!A:B""), 2, FALSE)"),"Sexual reproduction in flowering plants")</f>
        <v>Sexual reproduction in flowering plants</v>
      </c>
      <c r="I39" s="55" t="str">
        <f t="shared" si="0"/>
        <v>LU006476.001</v>
      </c>
      <c r="J39" s="55" t="str">
        <f ca="1">IFERROR(__xludf.DUMMYFUNCTION("VLOOKUP(I39, IMPORTRANGE(""https://docs.google.com/spreadsheets/d/1yDAaXNsi4Mr5FtRQL4tbmSdIzhx6_m4wkOD7IG-k_eo/edit#gid=1336395716"", ""Science!M:N""), 2, FALSE)"),"(LU006476.001); Default - Remember")</f>
        <v>(LU006476.001); Default - Remember</v>
      </c>
      <c r="K39" s="55" t="str">
        <f t="shared" si="1"/>
        <v>LU006476.002</v>
      </c>
      <c r="L39" s="55" t="str">
        <f ca="1">IFERROR(__xludf.DUMMYFUNCTION("VLOOKUP(K39, IMPORTRANGE(""https://docs.google.com/spreadsheets/d/1yDAaXNsi4Mr5FtRQL4tbmSdIzhx6_m4wkOD7IG-k_eo/edit#gid=1336395716"", ""Science!M:N""), 2, FALSE)"),"(LU006476.002); Default - Understand")</f>
        <v>(LU006476.002); Default - Understand</v>
      </c>
      <c r="M39" s="55" t="str">
        <f t="shared" si="2"/>
        <v>LU006476.003</v>
      </c>
      <c r="N39" s="55" t="str">
        <f ca="1">IFERROR(__xludf.DUMMYFUNCTION("VLOOKUP(M39, IMPORTRANGE(""https://docs.google.com/spreadsheets/d/1yDAaXNsi4Mr5FtRQL4tbmSdIzhx6_m4wkOD7IG-k_eo/edit#gid=1336395716"", ""Science!M:N""), 2, FALSE)"),"(LU006476.003); Default - Apply")</f>
        <v>(LU006476.003); Default - Apply</v>
      </c>
      <c r="O39" s="55" t="str">
        <f t="shared" si="3"/>
        <v>LU006476.004</v>
      </c>
      <c r="P39" s="55" t="str">
        <f ca="1">IFERROR(__xludf.DUMMYFUNCTION("VLOOKUP(O39, IMPORTRANGE(""https://docs.google.com/spreadsheets/d/1yDAaXNsi4Mr5FtRQL4tbmSdIzhx6_m4wkOD7IG-k_eo/edit#gid=1336395716"", ""Science!M:N""), 2, FALSE)"),"(LU006476.004); Default - Analyse")</f>
        <v>(LU006476.004); Default - Analyse</v>
      </c>
      <c r="Q39" s="55" t="str">
        <f t="shared" si="4"/>
        <v>LU006476.005</v>
      </c>
      <c r="R39" s="55" t="str">
        <f ca="1">IFERROR(__xludf.DUMMYFUNCTION("VLOOKUP(Q39, IMPORTRANGE(""https://docs.google.com/spreadsheets/d/1yDAaXNsi4Mr5FtRQL4tbmSdIzhx6_m4wkOD7IG-k_eo/edit#gid=1336395716"", ""Science!M:N""), 2, FALSE)"),"(LU006476.005); Default - Evaluate")</f>
        <v>(LU006476.005); Default - Evaluate</v>
      </c>
      <c r="S39" s="55" t="str">
        <f t="shared" si="5"/>
        <v>LU006476.006</v>
      </c>
      <c r="T39" s="55" t="str">
        <f ca="1">IFERROR(__xludf.DUMMYFUNCTION("VLOOKUP(S39, IMPORTRANGE(""https://docs.google.com/spreadsheets/d/1yDAaXNsi4Mr5FtRQL4tbmSdIzhx6_m4wkOD7IG-k_eo/edit#gid=1336395716"", ""Science!M:N""), 2, FALSE)"),"(LU006476.006); Default - Create")</f>
        <v>(LU006476.006); Default - Create</v>
      </c>
      <c r="U39" s="137" t="str">
        <f ca="1">IFERROR(__xludf.DUMMYFUNCTION("ArrayFormula(VLOOKUP(G39, IMPORTRANGE(""https://docs.google.com/spreadsheets/d/1p7R4vtkWt5VOBim4ltsDG9KTzSjrtKXsMtQGXPHyND0/edit#gid=795171502"", ""'Filter 30_05_2024'!A1:M2000""), {2, 3, 4, 5,6,7,8,9,10,11,12,13}, 0))"),"#N/A")</f>
        <v>#N/A</v>
      </c>
      <c r="V39" s="137" t="str">
        <f ca="1">IFERROR(__xludf.DUMMYFUNCTION("""COMPUTED_VALUE"""),"#N/A")</f>
        <v>#N/A</v>
      </c>
      <c r="W39" s="137" t="str">
        <f ca="1">IFERROR(__xludf.DUMMYFUNCTION("""COMPUTED_VALUE"""),"#N/A")</f>
        <v>#N/A</v>
      </c>
      <c r="X39" s="137" t="str">
        <f ca="1">IFERROR(__xludf.DUMMYFUNCTION("""COMPUTED_VALUE"""),"#N/A")</f>
        <v>#N/A</v>
      </c>
      <c r="Y39" s="137" t="str">
        <f ca="1">IFERROR(__xludf.DUMMYFUNCTION("""COMPUTED_VALUE"""),"#N/A")</f>
        <v>#N/A</v>
      </c>
      <c r="Z39" s="138" t="str">
        <f ca="1">IFERROR(__xludf.DUMMYFUNCTION("""COMPUTED_VALUE"""),"#N/A")</f>
        <v>#N/A</v>
      </c>
      <c r="AA39" s="138" t="str">
        <f ca="1">IFERROR(__xludf.DUMMYFUNCTION("""COMPUTED_VALUE"""),"#N/A")</f>
        <v>#N/A</v>
      </c>
      <c r="AB39" s="138" t="str">
        <f ca="1">IFERROR(__xludf.DUMMYFUNCTION("""COMPUTED_VALUE"""),"#N/A")</f>
        <v>#N/A</v>
      </c>
      <c r="AC39" s="138" t="str">
        <f ca="1">IFERROR(__xludf.DUMMYFUNCTION("""COMPUTED_VALUE"""),"#N/A")</f>
        <v>#N/A</v>
      </c>
      <c r="AD39" s="138" t="str">
        <f ca="1">IFERROR(__xludf.DUMMYFUNCTION("""COMPUTED_VALUE"""),"#N/A")</f>
        <v>#N/A</v>
      </c>
      <c r="AE39" s="138" t="str">
        <f ca="1">IFERROR(__xludf.DUMMYFUNCTION("""COMPUTED_VALUE"""),"#N/A")</f>
        <v>#N/A</v>
      </c>
      <c r="AF39" s="138" t="str">
        <f ca="1">IFERROR(__xludf.DUMMYFUNCTION("""COMPUTED_VALUE"""),"#N/A")</f>
        <v>#N/A</v>
      </c>
      <c r="AG39" s="138" t="str">
        <f ca="1">IFERROR(__xludf.DUMMYFUNCTION("ArrayFormula(VLOOKUP(G39, IMPORTRANGE(""https://docs.google.com/spreadsheets/d/1Co934fvtviyaRiMsrIlT05Jaq7iiYq07aLvRr35KA48/edit?gid=173865642#gid=173865642"", ""'G10_Sci_Pri_LU'!G2:V2000""), {3, 4, 5, 6, 7, 8, 9, 10, 11, 12, 13, 14, 15, 16}, 0))"),"LU005419")</f>
        <v>LU005419</v>
      </c>
      <c r="AH39" s="138" t="str">
        <f ca="1">IFERROR(__xludf.DUMMYFUNCTION("""COMPUTED_VALUE"""),"Definition of reproduction in plants")</f>
        <v>Definition of reproduction in plants</v>
      </c>
      <c r="AI39" s="138" t="str">
        <f ca="1">IFERROR(__xludf.DUMMYFUNCTION("""COMPUTED_VALUE"""),"LU005422")</f>
        <v>LU005422</v>
      </c>
      <c r="AJ39" s="138" t="str">
        <f ca="1">IFERROR(__xludf.DUMMYFUNCTION("""COMPUTED_VALUE"""),"Flowers, pollination and life cycle of a flowering plant")</f>
        <v>Flowers, pollination and life cycle of a flowering plant</v>
      </c>
      <c r="AK39" s="138" t="str">
        <f ca="1">IFERROR(__xludf.DUMMYFUNCTION("""COMPUTED_VALUE"""),"LU005962")</f>
        <v>LU005962</v>
      </c>
      <c r="AL39" s="138" t="str">
        <f ca="1">IFERROR(__xludf.DUMMYFUNCTION("""COMPUTED_VALUE"""),"Fertilization and post-fertilisation events in a flowering plant")</f>
        <v>Fertilization and post-fertilisation events in a flowering plant</v>
      </c>
      <c r="AM39" s="138"/>
      <c r="AN39" s="138"/>
      <c r="AO39" s="138"/>
      <c r="AP39" s="138"/>
      <c r="AQ39" s="138"/>
      <c r="AR39" s="138"/>
      <c r="AS39" s="138"/>
      <c r="AT39" s="138"/>
    </row>
    <row r="40" spans="1:46">
      <c r="A40" s="54" t="s">
        <v>247</v>
      </c>
      <c r="B40" s="55" t="s">
        <v>47</v>
      </c>
      <c r="C40" s="55" t="s">
        <v>1172</v>
      </c>
      <c r="D40" s="55" t="s">
        <v>2463</v>
      </c>
      <c r="E40" s="55" t="s">
        <v>2512</v>
      </c>
      <c r="F40" s="136" t="s">
        <v>2523</v>
      </c>
      <c r="G40" s="55" t="s">
        <v>2524</v>
      </c>
      <c r="H40" s="54" t="str">
        <f ca="1">IFERROR(__xludf.DUMMYFUNCTION("VLOOKUP(G40, IMPORTRANGE(""https://docs.google.com/spreadsheets/d/14deopnvwcrKtEGCKuYXdUHJbeLDZlkiSSWWT0g7x2pM/edit#gid=849066331"", ""LU List Science (Filter)!A:B""), 2, FALSE)"),"Sexual maturation in humans")</f>
        <v>Sexual maturation in humans</v>
      </c>
      <c r="I40" s="55" t="str">
        <f t="shared" si="0"/>
        <v>LU006477.001</v>
      </c>
      <c r="J40" s="55" t="str">
        <f ca="1">IFERROR(__xludf.DUMMYFUNCTION("VLOOKUP(I40, IMPORTRANGE(""https://docs.google.com/spreadsheets/d/1yDAaXNsi4Mr5FtRQL4tbmSdIzhx6_m4wkOD7IG-k_eo/edit#gid=1336395716"", ""Science!M:N""), 2, FALSE)"),"(LU006477.001); Default - Remember")</f>
        <v>(LU006477.001); Default - Remember</v>
      </c>
      <c r="K40" s="55" t="str">
        <f t="shared" si="1"/>
        <v>LU006477.002</v>
      </c>
      <c r="L40" s="55" t="str">
        <f ca="1">IFERROR(__xludf.DUMMYFUNCTION("VLOOKUP(K40, IMPORTRANGE(""https://docs.google.com/spreadsheets/d/1yDAaXNsi4Mr5FtRQL4tbmSdIzhx6_m4wkOD7IG-k_eo/edit#gid=1336395716"", ""Science!M:N""), 2, FALSE)"),"(LU006477.002); Default - Understand")</f>
        <v>(LU006477.002); Default - Understand</v>
      </c>
      <c r="M40" s="55" t="str">
        <f t="shared" si="2"/>
        <v>LU006477.003</v>
      </c>
      <c r="N40" s="55" t="str">
        <f ca="1">IFERROR(__xludf.DUMMYFUNCTION("VLOOKUP(M40, IMPORTRANGE(""https://docs.google.com/spreadsheets/d/1yDAaXNsi4Mr5FtRQL4tbmSdIzhx6_m4wkOD7IG-k_eo/edit#gid=1336395716"", ""Science!M:N""), 2, FALSE)"),"(LU006477.003); Default - Apply")</f>
        <v>(LU006477.003); Default - Apply</v>
      </c>
      <c r="O40" s="55" t="str">
        <f t="shared" si="3"/>
        <v>LU006477.004</v>
      </c>
      <c r="P40" s="55" t="str">
        <f ca="1">IFERROR(__xludf.DUMMYFUNCTION("VLOOKUP(O40, IMPORTRANGE(""https://docs.google.com/spreadsheets/d/1yDAaXNsi4Mr5FtRQL4tbmSdIzhx6_m4wkOD7IG-k_eo/edit#gid=1336395716"", ""Science!M:N""), 2, FALSE)"),"(LU006477.004); Default - Analyse")</f>
        <v>(LU006477.004); Default - Analyse</v>
      </c>
      <c r="Q40" s="55" t="str">
        <f t="shared" si="4"/>
        <v>LU006477.005</v>
      </c>
      <c r="R40" s="55" t="str">
        <f ca="1">IFERROR(__xludf.DUMMYFUNCTION("VLOOKUP(Q40, IMPORTRANGE(""https://docs.google.com/spreadsheets/d/1yDAaXNsi4Mr5FtRQL4tbmSdIzhx6_m4wkOD7IG-k_eo/edit#gid=1336395716"", ""Science!M:N""), 2, FALSE)"),"(LU006477.005); Default - Evaluate")</f>
        <v>(LU006477.005); Default - Evaluate</v>
      </c>
      <c r="S40" s="55" t="str">
        <f t="shared" si="5"/>
        <v>LU006477.006</v>
      </c>
      <c r="T40" s="55" t="str">
        <f ca="1">IFERROR(__xludf.DUMMYFUNCTION("VLOOKUP(S40, IMPORTRANGE(""https://docs.google.com/spreadsheets/d/1yDAaXNsi4Mr5FtRQL4tbmSdIzhx6_m4wkOD7IG-k_eo/edit#gid=1336395716"", ""Science!M:N""), 2, FALSE)"),"(LU006477.006); Default - Create")</f>
        <v>(LU006477.006); Default - Create</v>
      </c>
      <c r="U40" s="137" t="str">
        <f ca="1">IFERROR(__xludf.DUMMYFUNCTION("ArrayFormula(VLOOKUP(G40, IMPORTRANGE(""https://docs.google.com/spreadsheets/d/1p7R4vtkWt5VOBim4ltsDG9KTzSjrtKXsMtQGXPHyND0/edit#gid=795171502"", ""'Filter 30_05_2024'!A1:M2000""), {2, 3, 4, 5,6,7,8,9,10,11,12,13}, 0))"),"#N/A")</f>
        <v>#N/A</v>
      </c>
      <c r="V40" s="137" t="str">
        <f ca="1">IFERROR(__xludf.DUMMYFUNCTION("""COMPUTED_VALUE"""),"#N/A")</f>
        <v>#N/A</v>
      </c>
      <c r="W40" s="137" t="str">
        <f ca="1">IFERROR(__xludf.DUMMYFUNCTION("""COMPUTED_VALUE"""),"#N/A")</f>
        <v>#N/A</v>
      </c>
      <c r="X40" s="137" t="str">
        <f ca="1">IFERROR(__xludf.DUMMYFUNCTION("""COMPUTED_VALUE"""),"#N/A")</f>
        <v>#N/A</v>
      </c>
      <c r="Y40" s="137" t="str">
        <f ca="1">IFERROR(__xludf.DUMMYFUNCTION("""COMPUTED_VALUE"""),"#N/A")</f>
        <v>#N/A</v>
      </c>
      <c r="Z40" s="138" t="str">
        <f ca="1">IFERROR(__xludf.DUMMYFUNCTION("""COMPUTED_VALUE"""),"#N/A")</f>
        <v>#N/A</v>
      </c>
      <c r="AA40" s="138" t="str">
        <f ca="1">IFERROR(__xludf.DUMMYFUNCTION("""COMPUTED_VALUE"""),"#N/A")</f>
        <v>#N/A</v>
      </c>
      <c r="AB40" s="138" t="str">
        <f ca="1">IFERROR(__xludf.DUMMYFUNCTION("""COMPUTED_VALUE"""),"#N/A")</f>
        <v>#N/A</v>
      </c>
      <c r="AC40" s="138" t="str">
        <f ca="1">IFERROR(__xludf.DUMMYFUNCTION("""COMPUTED_VALUE"""),"#N/A")</f>
        <v>#N/A</v>
      </c>
      <c r="AD40" s="138" t="str">
        <f ca="1">IFERROR(__xludf.DUMMYFUNCTION("""COMPUTED_VALUE"""),"#N/A")</f>
        <v>#N/A</v>
      </c>
      <c r="AE40" s="138" t="str">
        <f ca="1">IFERROR(__xludf.DUMMYFUNCTION("""COMPUTED_VALUE"""),"#N/A")</f>
        <v>#N/A</v>
      </c>
      <c r="AF40" s="138" t="str">
        <f ca="1">IFERROR(__xludf.DUMMYFUNCTION("""COMPUTED_VALUE"""),"#N/A")</f>
        <v>#N/A</v>
      </c>
      <c r="AG40" s="138" t="str">
        <f ca="1">IFERROR(__xludf.DUMMYFUNCTION("ArrayFormula(VLOOKUP(G40, IMPORTRANGE(""https://docs.google.com/spreadsheets/d/1Co934fvtviyaRiMsrIlT05Jaq7iiYq07aLvRr35KA48/edit?gid=173865642#gid=173865642"", ""'G10_Sci_Pri_LU'!G2:V2000""), {3, 4, 5, 6, 7, 8, 9, 10, 11, 12, 13, 14, 15, 16}, 0))"),"LU005653")</f>
        <v>LU005653</v>
      </c>
      <c r="AH40" s="138" t="str">
        <f ca="1">IFERROR(__xludf.DUMMYFUNCTION("""COMPUTED_VALUE"""),"Changes at Puberty")</f>
        <v>Changes at Puberty</v>
      </c>
      <c r="AI40" s="138" t="str">
        <f ca="1">IFERROR(__xludf.DUMMYFUNCTION("""COMPUTED_VALUE"""),"LU005654")</f>
        <v>LU005654</v>
      </c>
      <c r="AJ40" s="138" t="str">
        <f ca="1">IFERROR(__xludf.DUMMYFUNCTION("""COMPUTED_VALUE"""),"Introduction to adolescence and puberty")</f>
        <v>Introduction to adolescence and puberty</v>
      </c>
      <c r="AK40" s="138" t="str">
        <f ca="1">IFERROR(__xludf.DUMMYFUNCTION("""COMPUTED_VALUE"""),"LU005656")</f>
        <v>LU005656</v>
      </c>
      <c r="AL40" s="138" t="str">
        <f ca="1">IFERROR(__xludf.DUMMYFUNCTION("""COMPUTED_VALUE"""),"Secondary Sexual Characteristics and Role of Hormones ")</f>
        <v xml:space="preserve">Secondary Sexual Characteristics and Role of Hormones </v>
      </c>
      <c r="AM40" s="138"/>
      <c r="AN40" s="138"/>
      <c r="AO40" s="138"/>
      <c r="AP40" s="138"/>
      <c r="AQ40" s="138"/>
      <c r="AR40" s="138"/>
      <c r="AS40" s="138"/>
      <c r="AT40" s="138"/>
    </row>
    <row r="41" spans="1:46">
      <c r="A41" s="54" t="s">
        <v>247</v>
      </c>
      <c r="B41" s="55" t="s">
        <v>47</v>
      </c>
      <c r="C41" s="55" t="s">
        <v>1172</v>
      </c>
      <c r="D41" s="55" t="s">
        <v>2463</v>
      </c>
      <c r="E41" s="55" t="s">
        <v>2512</v>
      </c>
      <c r="F41" s="136" t="s">
        <v>2525</v>
      </c>
      <c r="G41" s="55" t="s">
        <v>2526</v>
      </c>
      <c r="H41" s="54" t="str">
        <f ca="1">IFERROR(__xludf.DUMMYFUNCTION("VLOOKUP(G41, IMPORTRANGE(""https://docs.google.com/spreadsheets/d/14deopnvwcrKtEGCKuYXdUHJbeLDZlkiSSWWT0g7x2pM/edit#gid=849066331"", ""LU List Science (Filter)!A:B""), 2, FALSE)"),"Sperm production in human male reproductive system")</f>
        <v>Sperm production in human male reproductive system</v>
      </c>
      <c r="I41" s="55" t="str">
        <f t="shared" si="0"/>
        <v>LU006478.001</v>
      </c>
      <c r="J41" s="55" t="str">
        <f ca="1">IFERROR(__xludf.DUMMYFUNCTION("VLOOKUP(I41, IMPORTRANGE(""https://docs.google.com/spreadsheets/d/1yDAaXNsi4Mr5FtRQL4tbmSdIzhx6_m4wkOD7IG-k_eo/edit#gid=1336395716"", ""Science!M:N""), 2, FALSE)"),"(LU006478.001); Default - Remember")</f>
        <v>(LU006478.001); Default - Remember</v>
      </c>
      <c r="K41" s="55" t="str">
        <f t="shared" si="1"/>
        <v>LU006478.002</v>
      </c>
      <c r="L41" s="55" t="str">
        <f ca="1">IFERROR(__xludf.DUMMYFUNCTION("VLOOKUP(K41, IMPORTRANGE(""https://docs.google.com/spreadsheets/d/1yDAaXNsi4Mr5FtRQL4tbmSdIzhx6_m4wkOD7IG-k_eo/edit#gid=1336395716"", ""Science!M:N""), 2, FALSE)"),"(LU006478.002); Default - Understand")</f>
        <v>(LU006478.002); Default - Understand</v>
      </c>
      <c r="M41" s="55" t="str">
        <f t="shared" si="2"/>
        <v>LU006478.003</v>
      </c>
      <c r="N41" s="55" t="str">
        <f ca="1">IFERROR(__xludf.DUMMYFUNCTION("VLOOKUP(M41, IMPORTRANGE(""https://docs.google.com/spreadsheets/d/1yDAaXNsi4Mr5FtRQL4tbmSdIzhx6_m4wkOD7IG-k_eo/edit#gid=1336395716"", ""Science!M:N""), 2, FALSE)"),"(LU006478.003); Default - Apply")</f>
        <v>(LU006478.003); Default - Apply</v>
      </c>
      <c r="O41" s="55" t="str">
        <f t="shared" si="3"/>
        <v>LU006478.004</v>
      </c>
      <c r="P41" s="55" t="str">
        <f ca="1">IFERROR(__xludf.DUMMYFUNCTION("VLOOKUP(O41, IMPORTRANGE(""https://docs.google.com/spreadsheets/d/1yDAaXNsi4Mr5FtRQL4tbmSdIzhx6_m4wkOD7IG-k_eo/edit#gid=1336395716"", ""Science!M:N""), 2, FALSE)"),"(LU006478.004); Default - Analyse")</f>
        <v>(LU006478.004); Default - Analyse</v>
      </c>
      <c r="Q41" s="55" t="str">
        <f t="shared" si="4"/>
        <v>LU006478.005</v>
      </c>
      <c r="R41" s="55" t="str">
        <f ca="1">IFERROR(__xludf.DUMMYFUNCTION("VLOOKUP(Q41, IMPORTRANGE(""https://docs.google.com/spreadsheets/d/1yDAaXNsi4Mr5FtRQL4tbmSdIzhx6_m4wkOD7IG-k_eo/edit#gid=1336395716"", ""Science!M:N""), 2, FALSE)"),"(LU006478.005); Default - Evaluate")</f>
        <v>(LU006478.005); Default - Evaluate</v>
      </c>
      <c r="S41" s="55" t="str">
        <f t="shared" si="5"/>
        <v>LU006478.006</v>
      </c>
      <c r="T41" s="55" t="str">
        <f ca="1">IFERROR(__xludf.DUMMYFUNCTION("VLOOKUP(S41, IMPORTRANGE(""https://docs.google.com/spreadsheets/d/1yDAaXNsi4Mr5FtRQL4tbmSdIzhx6_m4wkOD7IG-k_eo/edit#gid=1336395716"", ""Science!M:N""), 2, FALSE)"),"(LU006478.006); Default - Create")</f>
        <v>(LU006478.006); Default - Create</v>
      </c>
      <c r="U41" s="137" t="str">
        <f ca="1">IFERROR(__xludf.DUMMYFUNCTION("ArrayFormula(VLOOKUP(G41, IMPORTRANGE(""https://docs.google.com/spreadsheets/d/1p7R4vtkWt5VOBim4ltsDG9KTzSjrtKXsMtQGXPHyND0/edit#gid=795171502"", ""'Filter 30_05_2024'!A1:M2000""), {2, 3, 4, 5,6,7,8,9,10,11,12,13}, 0))"),"#N/A")</f>
        <v>#N/A</v>
      </c>
      <c r="V41" s="137" t="str">
        <f ca="1">IFERROR(__xludf.DUMMYFUNCTION("""COMPUTED_VALUE"""),"#N/A")</f>
        <v>#N/A</v>
      </c>
      <c r="W41" s="137" t="str">
        <f ca="1">IFERROR(__xludf.DUMMYFUNCTION("""COMPUTED_VALUE"""),"#N/A")</f>
        <v>#N/A</v>
      </c>
      <c r="X41" s="137" t="str">
        <f ca="1">IFERROR(__xludf.DUMMYFUNCTION("""COMPUTED_VALUE"""),"#N/A")</f>
        <v>#N/A</v>
      </c>
      <c r="Y41" s="137" t="str">
        <f ca="1">IFERROR(__xludf.DUMMYFUNCTION("""COMPUTED_VALUE"""),"#N/A")</f>
        <v>#N/A</v>
      </c>
      <c r="Z41" s="138" t="str">
        <f ca="1">IFERROR(__xludf.DUMMYFUNCTION("""COMPUTED_VALUE"""),"#N/A")</f>
        <v>#N/A</v>
      </c>
      <c r="AA41" s="138" t="str">
        <f ca="1">IFERROR(__xludf.DUMMYFUNCTION("""COMPUTED_VALUE"""),"#N/A")</f>
        <v>#N/A</v>
      </c>
      <c r="AB41" s="138" t="str">
        <f ca="1">IFERROR(__xludf.DUMMYFUNCTION("""COMPUTED_VALUE"""),"#N/A")</f>
        <v>#N/A</v>
      </c>
      <c r="AC41" s="138" t="str">
        <f ca="1">IFERROR(__xludf.DUMMYFUNCTION("""COMPUTED_VALUE"""),"#N/A")</f>
        <v>#N/A</v>
      </c>
      <c r="AD41" s="138" t="str">
        <f ca="1">IFERROR(__xludf.DUMMYFUNCTION("""COMPUTED_VALUE"""),"#N/A")</f>
        <v>#N/A</v>
      </c>
      <c r="AE41" s="138" t="str">
        <f ca="1">IFERROR(__xludf.DUMMYFUNCTION("""COMPUTED_VALUE"""),"#N/A")</f>
        <v>#N/A</v>
      </c>
      <c r="AF41" s="138" t="str">
        <f ca="1">IFERROR(__xludf.DUMMYFUNCTION("""COMPUTED_VALUE"""),"#N/A")</f>
        <v>#N/A</v>
      </c>
      <c r="AG41" s="138" t="str">
        <f ca="1">IFERROR(__xludf.DUMMYFUNCTION("ArrayFormula(VLOOKUP(G41, IMPORTRANGE(""https://docs.google.com/spreadsheets/d/1Co934fvtviyaRiMsrIlT05Jaq7iiYq07aLvRr35KA48/edit?gid=173865642#gid=173865642"", ""'G10_Sci_Pri_LU'!G2:V2000""), {3, 4, 5, 6, 7, 8, 9, 10, 11, 12, 13, 14, 15, 16}, 0))"),"LU005659")</f>
        <v>LU005659</v>
      </c>
      <c r="AH41" s="138" t="str">
        <f ca="1">IFERROR(__xludf.DUMMYFUNCTION("""COMPUTED_VALUE"""),"Male reproductive system in humans")</f>
        <v>Male reproductive system in humans</v>
      </c>
      <c r="AI41" s="138" t="str">
        <f ca="1">IFERROR(__xludf.DUMMYFUNCTION("""COMPUTED_VALUE"""),"LU005986")</f>
        <v>LU005986</v>
      </c>
      <c r="AJ41" s="138" t="str">
        <f ca="1">IFERROR(__xludf.DUMMYFUNCTION("""COMPUTED_VALUE"""),"Definition of reproductive system in humans.")</f>
        <v>Definition of reproductive system in humans.</v>
      </c>
      <c r="AK41" s="138"/>
      <c r="AL41" s="138"/>
      <c r="AM41" s="138"/>
      <c r="AN41" s="138"/>
      <c r="AO41" s="138"/>
      <c r="AP41" s="138"/>
      <c r="AQ41" s="138"/>
      <c r="AR41" s="138"/>
      <c r="AS41" s="138"/>
      <c r="AT41" s="138"/>
    </row>
    <row r="42" spans="1:46">
      <c r="A42" s="54" t="s">
        <v>247</v>
      </c>
      <c r="B42" s="55" t="s">
        <v>47</v>
      </c>
      <c r="C42" s="55" t="s">
        <v>1172</v>
      </c>
      <c r="D42" s="55" t="s">
        <v>2463</v>
      </c>
      <c r="E42" s="55" t="s">
        <v>2512</v>
      </c>
      <c r="F42" s="136" t="s">
        <v>2525</v>
      </c>
      <c r="G42" s="55" t="s">
        <v>2527</v>
      </c>
      <c r="H42" s="54" t="str">
        <f ca="1">IFERROR(__xludf.DUMMYFUNCTION("VLOOKUP(G42, IMPORTRANGE(""https://docs.google.com/spreadsheets/d/14deopnvwcrKtEGCKuYXdUHJbeLDZlkiSSWWT0g7x2pM/edit#gid=849066331"", ""LU List Science (Filter)!A:B""), 2, FALSE)"),"Germ cell formation to birth in human female reproductive system")</f>
        <v>Germ cell formation to birth in human female reproductive system</v>
      </c>
      <c r="I42" s="55" t="str">
        <f t="shared" si="0"/>
        <v>LU006479.001</v>
      </c>
      <c r="J42" s="55" t="str">
        <f ca="1">IFERROR(__xludf.DUMMYFUNCTION("VLOOKUP(I42, IMPORTRANGE(""https://docs.google.com/spreadsheets/d/1yDAaXNsi4Mr5FtRQL4tbmSdIzhx6_m4wkOD7IG-k_eo/edit#gid=1336395716"", ""Science!M:N""), 2, FALSE)"),"(LU006479.001); Default - Remember")</f>
        <v>(LU006479.001); Default - Remember</v>
      </c>
      <c r="K42" s="55" t="str">
        <f t="shared" si="1"/>
        <v>LU006479.002</v>
      </c>
      <c r="L42" s="55" t="str">
        <f ca="1">IFERROR(__xludf.DUMMYFUNCTION("VLOOKUP(K42, IMPORTRANGE(""https://docs.google.com/spreadsheets/d/1yDAaXNsi4Mr5FtRQL4tbmSdIzhx6_m4wkOD7IG-k_eo/edit#gid=1336395716"", ""Science!M:N""), 2, FALSE)"),"(LU006479.002); Default - Understand")</f>
        <v>(LU006479.002); Default - Understand</v>
      </c>
      <c r="M42" s="55" t="str">
        <f t="shared" si="2"/>
        <v>LU006479.003</v>
      </c>
      <c r="N42" s="55" t="str">
        <f ca="1">IFERROR(__xludf.DUMMYFUNCTION("VLOOKUP(M42, IMPORTRANGE(""https://docs.google.com/spreadsheets/d/1yDAaXNsi4Mr5FtRQL4tbmSdIzhx6_m4wkOD7IG-k_eo/edit#gid=1336395716"", ""Science!M:N""), 2, FALSE)"),"(LU006479.003); Default - Apply")</f>
        <v>(LU006479.003); Default - Apply</v>
      </c>
      <c r="O42" s="55" t="str">
        <f t="shared" si="3"/>
        <v>LU006479.004</v>
      </c>
      <c r="P42" s="55" t="str">
        <f ca="1">IFERROR(__xludf.DUMMYFUNCTION("VLOOKUP(O42, IMPORTRANGE(""https://docs.google.com/spreadsheets/d/1yDAaXNsi4Mr5FtRQL4tbmSdIzhx6_m4wkOD7IG-k_eo/edit#gid=1336395716"", ""Science!M:N""), 2, FALSE)"),"(LU006479.004); Default - Analyse")</f>
        <v>(LU006479.004); Default - Analyse</v>
      </c>
      <c r="Q42" s="55" t="str">
        <f t="shared" si="4"/>
        <v>LU006479.005</v>
      </c>
      <c r="R42" s="55" t="str">
        <f ca="1">IFERROR(__xludf.DUMMYFUNCTION("VLOOKUP(Q42, IMPORTRANGE(""https://docs.google.com/spreadsheets/d/1yDAaXNsi4Mr5FtRQL4tbmSdIzhx6_m4wkOD7IG-k_eo/edit#gid=1336395716"", ""Science!M:N""), 2, FALSE)"),"(LU006479.005); Default - Evaluate")</f>
        <v>(LU006479.005); Default - Evaluate</v>
      </c>
      <c r="S42" s="55" t="str">
        <f t="shared" si="5"/>
        <v>LU006479.006</v>
      </c>
      <c r="T42" s="55" t="str">
        <f ca="1">IFERROR(__xludf.DUMMYFUNCTION("VLOOKUP(S42, IMPORTRANGE(""https://docs.google.com/spreadsheets/d/1yDAaXNsi4Mr5FtRQL4tbmSdIzhx6_m4wkOD7IG-k_eo/edit#gid=1336395716"", ""Science!M:N""), 2, FALSE)"),"(LU006479.006); Default - Create")</f>
        <v>(LU006479.006); Default - Create</v>
      </c>
      <c r="U42" s="137" t="str">
        <f ca="1">IFERROR(__xludf.DUMMYFUNCTION("ArrayFormula(VLOOKUP(G42, IMPORTRANGE(""https://docs.google.com/spreadsheets/d/1p7R4vtkWt5VOBim4ltsDG9KTzSjrtKXsMtQGXPHyND0/edit#gid=795171502"", ""'Filter 30_05_2024'!A1:M2000""), {2, 3, 4, 5,6,7,8,9,10,11,12,13}, 0))"),"#N/A")</f>
        <v>#N/A</v>
      </c>
      <c r="V42" s="137" t="str">
        <f ca="1">IFERROR(__xludf.DUMMYFUNCTION("""COMPUTED_VALUE"""),"#N/A")</f>
        <v>#N/A</v>
      </c>
      <c r="W42" s="137" t="str">
        <f ca="1">IFERROR(__xludf.DUMMYFUNCTION("""COMPUTED_VALUE"""),"#N/A")</f>
        <v>#N/A</v>
      </c>
      <c r="X42" s="137" t="str">
        <f ca="1">IFERROR(__xludf.DUMMYFUNCTION("""COMPUTED_VALUE"""),"#N/A")</f>
        <v>#N/A</v>
      </c>
      <c r="Y42" s="137" t="str">
        <f ca="1">IFERROR(__xludf.DUMMYFUNCTION("""COMPUTED_VALUE"""),"#N/A")</f>
        <v>#N/A</v>
      </c>
      <c r="Z42" s="138" t="str">
        <f ca="1">IFERROR(__xludf.DUMMYFUNCTION("""COMPUTED_VALUE"""),"#N/A")</f>
        <v>#N/A</v>
      </c>
      <c r="AA42" s="138" t="str">
        <f ca="1">IFERROR(__xludf.DUMMYFUNCTION("""COMPUTED_VALUE"""),"#N/A")</f>
        <v>#N/A</v>
      </c>
      <c r="AB42" s="138" t="str">
        <f ca="1">IFERROR(__xludf.DUMMYFUNCTION("""COMPUTED_VALUE"""),"#N/A")</f>
        <v>#N/A</v>
      </c>
      <c r="AC42" s="138" t="str">
        <f ca="1">IFERROR(__xludf.DUMMYFUNCTION("""COMPUTED_VALUE"""),"#N/A")</f>
        <v>#N/A</v>
      </c>
      <c r="AD42" s="138" t="str">
        <f ca="1">IFERROR(__xludf.DUMMYFUNCTION("""COMPUTED_VALUE"""),"#N/A")</f>
        <v>#N/A</v>
      </c>
      <c r="AE42" s="138" t="str">
        <f ca="1">IFERROR(__xludf.DUMMYFUNCTION("""COMPUTED_VALUE"""),"#N/A")</f>
        <v>#N/A</v>
      </c>
      <c r="AF42" s="138" t="str">
        <f ca="1">IFERROR(__xludf.DUMMYFUNCTION("""COMPUTED_VALUE"""),"#N/A")</f>
        <v>#N/A</v>
      </c>
      <c r="AG42" s="138" t="str">
        <f ca="1">IFERROR(__xludf.DUMMYFUNCTION("ArrayFormula(VLOOKUP(G42, IMPORTRANGE(""https://docs.google.com/spreadsheets/d/1Co934fvtviyaRiMsrIlT05Jaq7iiYq07aLvRr35KA48/edit?gid=173865642#gid=173865642"", ""'G10_Sci_Pri_LU'!G2:V2000""), {3, 4, 5, 6, 7, 8, 9, 10, 11, 12, 13, 14, 15, 16}, 0))"),"LU005658")</f>
        <v>LU005658</v>
      </c>
      <c r="AH42" s="138" t="str">
        <f ca="1">IFERROR(__xludf.DUMMYFUNCTION("""COMPUTED_VALUE"""),"Female reproductive system in humans")</f>
        <v>Female reproductive system in humans</v>
      </c>
      <c r="AI42" s="138" t="str">
        <f ca="1">IFERROR(__xludf.DUMMYFUNCTION("""COMPUTED_VALUE"""),"LU005659")</f>
        <v>LU005659</v>
      </c>
      <c r="AJ42" s="138" t="str">
        <f ca="1">IFERROR(__xludf.DUMMYFUNCTION("""COMPUTED_VALUE"""),"Male reproductive system in humans")</f>
        <v>Male reproductive system in humans</v>
      </c>
      <c r="AK42" s="138" t="str">
        <f ca="1">IFERROR(__xludf.DUMMYFUNCTION("""COMPUTED_VALUE"""),"LU005660")</f>
        <v>LU005660</v>
      </c>
      <c r="AL42" s="138" t="str">
        <f ca="1">IFERROR(__xludf.DUMMYFUNCTION("""COMPUTED_VALUE"""),"Basics of fertilisation and post-fertilisation events in humans")</f>
        <v>Basics of fertilisation and post-fertilisation events in humans</v>
      </c>
      <c r="AM42" s="138"/>
      <c r="AN42" s="138"/>
      <c r="AO42" s="138"/>
      <c r="AP42" s="138"/>
      <c r="AQ42" s="138"/>
      <c r="AR42" s="138"/>
      <c r="AS42" s="138"/>
      <c r="AT42" s="138"/>
    </row>
    <row r="43" spans="1:46">
      <c r="A43" s="54" t="s">
        <v>247</v>
      </c>
      <c r="B43" s="55" t="s">
        <v>47</v>
      </c>
      <c r="C43" s="55" t="s">
        <v>1172</v>
      </c>
      <c r="D43" s="55" t="s">
        <v>2463</v>
      </c>
      <c r="E43" s="55" t="s">
        <v>2512</v>
      </c>
      <c r="F43" s="55" t="s">
        <v>2528</v>
      </c>
      <c r="G43" s="55" t="s">
        <v>2529</v>
      </c>
      <c r="H43" s="54" t="str">
        <f ca="1">IFERROR(__xludf.DUMMYFUNCTION("VLOOKUP(G43, IMPORTRANGE(""https://docs.google.com/spreadsheets/d/14deopnvwcrKtEGCKuYXdUHJbeLDZlkiSSWWT0g7x2pM/edit#gid=849066331"", ""LU List Science (Filter)!A:B""), 2, FALSE)"),"Introduction to menstrual cycle")</f>
        <v>Introduction to menstrual cycle</v>
      </c>
      <c r="I43" s="55" t="str">
        <f t="shared" si="0"/>
        <v>LU006480.001</v>
      </c>
      <c r="J43" s="55" t="str">
        <f ca="1">IFERROR(__xludf.DUMMYFUNCTION("VLOOKUP(I43, IMPORTRANGE(""https://docs.google.com/spreadsheets/d/1yDAaXNsi4Mr5FtRQL4tbmSdIzhx6_m4wkOD7IG-k_eo/edit#gid=1336395716"", ""Science!M:N""), 2, FALSE)"),"(LU006480.001); Default - Remember")</f>
        <v>(LU006480.001); Default - Remember</v>
      </c>
      <c r="K43" s="55" t="str">
        <f t="shared" si="1"/>
        <v>LU006480.002</v>
      </c>
      <c r="L43" s="55" t="str">
        <f ca="1">IFERROR(__xludf.DUMMYFUNCTION("VLOOKUP(K43, IMPORTRANGE(""https://docs.google.com/spreadsheets/d/1yDAaXNsi4Mr5FtRQL4tbmSdIzhx6_m4wkOD7IG-k_eo/edit#gid=1336395716"", ""Science!M:N""), 2, FALSE)"),"(LU006480.002); Default - Understand")</f>
        <v>(LU006480.002); Default - Understand</v>
      </c>
      <c r="M43" s="55" t="str">
        <f t="shared" si="2"/>
        <v>LU006480.003</v>
      </c>
      <c r="N43" s="55" t="str">
        <f ca="1">IFERROR(__xludf.DUMMYFUNCTION("VLOOKUP(M43, IMPORTRANGE(""https://docs.google.com/spreadsheets/d/1yDAaXNsi4Mr5FtRQL4tbmSdIzhx6_m4wkOD7IG-k_eo/edit#gid=1336395716"", ""Science!M:N""), 2, FALSE)"),"(LU006480.003); Default - Apply")</f>
        <v>(LU006480.003); Default - Apply</v>
      </c>
      <c r="O43" s="55" t="str">
        <f t="shared" si="3"/>
        <v>LU006480.004</v>
      </c>
      <c r="P43" s="55" t="str">
        <f ca="1">IFERROR(__xludf.DUMMYFUNCTION("VLOOKUP(O43, IMPORTRANGE(""https://docs.google.com/spreadsheets/d/1yDAaXNsi4Mr5FtRQL4tbmSdIzhx6_m4wkOD7IG-k_eo/edit#gid=1336395716"", ""Science!M:N""), 2, FALSE)"),"(LU006480.004); Default - Analyse")</f>
        <v>(LU006480.004); Default - Analyse</v>
      </c>
      <c r="Q43" s="55" t="str">
        <f t="shared" si="4"/>
        <v>LU006480.005</v>
      </c>
      <c r="R43" s="55" t="str">
        <f ca="1">IFERROR(__xludf.DUMMYFUNCTION("VLOOKUP(Q43, IMPORTRANGE(""https://docs.google.com/spreadsheets/d/1yDAaXNsi4Mr5FtRQL4tbmSdIzhx6_m4wkOD7IG-k_eo/edit#gid=1336395716"", ""Science!M:N""), 2, FALSE)"),"(LU006480.005); Default - Evaluate")</f>
        <v>(LU006480.005); Default - Evaluate</v>
      </c>
      <c r="S43" s="55" t="str">
        <f t="shared" si="5"/>
        <v>LU006480.006</v>
      </c>
      <c r="T43" s="55" t="str">
        <f ca="1">IFERROR(__xludf.DUMMYFUNCTION("VLOOKUP(S43, IMPORTRANGE(""https://docs.google.com/spreadsheets/d/1yDAaXNsi4Mr5FtRQL4tbmSdIzhx6_m4wkOD7IG-k_eo/edit#gid=1336395716"", ""Science!M:N""), 2, FALSE)"),"(LU006480.006); Default - Create")</f>
        <v>(LU006480.006); Default - Create</v>
      </c>
      <c r="U43" s="137" t="str">
        <f ca="1">IFERROR(__xludf.DUMMYFUNCTION("ArrayFormula(VLOOKUP(G43, IMPORTRANGE(""https://docs.google.com/spreadsheets/d/1p7R4vtkWt5VOBim4ltsDG9KTzSjrtKXsMtQGXPHyND0/edit#gid=795171502"", ""'Filter 30_05_2024'!A1:M2000""), {2, 3, 4, 5,6,7,8,9,10,11,12,13}, 0))"),"#N/A")</f>
        <v>#N/A</v>
      </c>
      <c r="V43" s="137" t="str">
        <f ca="1">IFERROR(__xludf.DUMMYFUNCTION("""COMPUTED_VALUE"""),"#N/A")</f>
        <v>#N/A</v>
      </c>
      <c r="W43" s="137" t="str">
        <f ca="1">IFERROR(__xludf.DUMMYFUNCTION("""COMPUTED_VALUE"""),"#N/A")</f>
        <v>#N/A</v>
      </c>
      <c r="X43" s="137" t="str">
        <f ca="1">IFERROR(__xludf.DUMMYFUNCTION("""COMPUTED_VALUE"""),"#N/A")</f>
        <v>#N/A</v>
      </c>
      <c r="Y43" s="137" t="str">
        <f ca="1">IFERROR(__xludf.DUMMYFUNCTION("""COMPUTED_VALUE"""),"#N/A")</f>
        <v>#N/A</v>
      </c>
      <c r="Z43" s="138" t="str">
        <f ca="1">IFERROR(__xludf.DUMMYFUNCTION("""COMPUTED_VALUE"""),"#N/A")</f>
        <v>#N/A</v>
      </c>
      <c r="AA43" s="138" t="str">
        <f ca="1">IFERROR(__xludf.DUMMYFUNCTION("""COMPUTED_VALUE"""),"#N/A")</f>
        <v>#N/A</v>
      </c>
      <c r="AB43" s="138" t="str">
        <f ca="1">IFERROR(__xludf.DUMMYFUNCTION("""COMPUTED_VALUE"""),"#N/A")</f>
        <v>#N/A</v>
      </c>
      <c r="AC43" s="138" t="str">
        <f ca="1">IFERROR(__xludf.DUMMYFUNCTION("""COMPUTED_VALUE"""),"#N/A")</f>
        <v>#N/A</v>
      </c>
      <c r="AD43" s="138" t="str">
        <f ca="1">IFERROR(__xludf.DUMMYFUNCTION("""COMPUTED_VALUE"""),"#N/A")</f>
        <v>#N/A</v>
      </c>
      <c r="AE43" s="138" t="str">
        <f ca="1">IFERROR(__xludf.DUMMYFUNCTION("""COMPUTED_VALUE"""),"#N/A")</f>
        <v>#N/A</v>
      </c>
      <c r="AF43" s="138" t="str">
        <f ca="1">IFERROR(__xludf.DUMMYFUNCTION("""COMPUTED_VALUE"""),"#N/A")</f>
        <v>#N/A</v>
      </c>
      <c r="AG43" s="138" t="str">
        <f ca="1">IFERROR(__xludf.DUMMYFUNCTION("ArrayFormula(VLOOKUP(G43, IMPORTRANGE(""https://docs.google.com/spreadsheets/d/1Co934fvtviyaRiMsrIlT05Jaq7iiYq07aLvRr35KA48/edit?gid=173865642#gid=173865642"", ""'G10_Sci_Pri_LU'!G2:V2000""), {3, 4, 5, 6, 7, 8, 9, 10, 11, 12, 13, 14, 15, 16}, 0))"),"LU005655")</f>
        <v>LU005655</v>
      </c>
      <c r="AH43" s="138" t="str">
        <f ca="1">IFERROR(__xludf.DUMMYFUNCTION("""COMPUTED_VALUE"""),"Reproductive Phase of Life in Humans")</f>
        <v>Reproductive Phase of Life in Humans</v>
      </c>
      <c r="AI43" s="138" t="str">
        <f ca="1">IFERROR(__xludf.DUMMYFUNCTION("""COMPUTED_VALUE"""),"LU005658")</f>
        <v>LU005658</v>
      </c>
      <c r="AJ43" s="138" t="str">
        <f ca="1">IFERROR(__xludf.DUMMYFUNCTION("""COMPUTED_VALUE"""),"Female reproductive system in humans")</f>
        <v>Female reproductive system in humans</v>
      </c>
      <c r="AK43" s="138"/>
      <c r="AL43" s="138"/>
      <c r="AM43" s="138"/>
      <c r="AN43" s="138"/>
      <c r="AO43" s="138"/>
      <c r="AP43" s="138"/>
      <c r="AQ43" s="138"/>
      <c r="AR43" s="138"/>
      <c r="AS43" s="138"/>
      <c r="AT43" s="138"/>
    </row>
    <row r="44" spans="1:46">
      <c r="A44" s="54" t="s">
        <v>247</v>
      </c>
      <c r="B44" s="55" t="s">
        <v>47</v>
      </c>
      <c r="C44" s="55" t="s">
        <v>1172</v>
      </c>
      <c r="D44" s="55" t="s">
        <v>2463</v>
      </c>
      <c r="E44" s="55" t="s">
        <v>2512</v>
      </c>
      <c r="F44" s="55" t="s">
        <v>2528</v>
      </c>
      <c r="G44" s="55" t="s">
        <v>2530</v>
      </c>
      <c r="H44" s="54" t="str">
        <f ca="1">IFERROR(__xludf.DUMMYFUNCTION("VLOOKUP(G44, IMPORTRANGE(""https://docs.google.com/spreadsheets/d/14deopnvwcrKtEGCKuYXdUHJbeLDZlkiSSWWT0g7x2pM/edit#gid=849066331"", ""LU List Science (Filter)!A:B""), 2, FALSE)"),"Reproductive Health and Contraceptive Measures")</f>
        <v>Reproductive Health and Contraceptive Measures</v>
      </c>
      <c r="I44" s="55" t="str">
        <f t="shared" si="0"/>
        <v>LU006481.001</v>
      </c>
      <c r="J44" s="55" t="str">
        <f ca="1">IFERROR(__xludf.DUMMYFUNCTION("VLOOKUP(I44, IMPORTRANGE(""https://docs.google.com/spreadsheets/d/1yDAaXNsi4Mr5FtRQL4tbmSdIzhx6_m4wkOD7IG-k_eo/edit#gid=1336395716"", ""Science!M:N""), 2, FALSE)"),"(LU006481.001); Default - Remember")</f>
        <v>(LU006481.001); Default - Remember</v>
      </c>
      <c r="K44" s="55" t="str">
        <f t="shared" si="1"/>
        <v>LU006481.002</v>
      </c>
      <c r="L44" s="55" t="str">
        <f ca="1">IFERROR(__xludf.DUMMYFUNCTION("VLOOKUP(K44, IMPORTRANGE(""https://docs.google.com/spreadsheets/d/1yDAaXNsi4Mr5FtRQL4tbmSdIzhx6_m4wkOD7IG-k_eo/edit#gid=1336395716"", ""Science!M:N""), 2, FALSE)"),"(LU006481.002); Default - Understand")</f>
        <v>(LU006481.002); Default - Understand</v>
      </c>
      <c r="M44" s="55" t="str">
        <f t="shared" si="2"/>
        <v>LU006481.003</v>
      </c>
      <c r="N44" s="55" t="str">
        <f ca="1">IFERROR(__xludf.DUMMYFUNCTION("VLOOKUP(M44, IMPORTRANGE(""https://docs.google.com/spreadsheets/d/1yDAaXNsi4Mr5FtRQL4tbmSdIzhx6_m4wkOD7IG-k_eo/edit#gid=1336395716"", ""Science!M:N""), 2, FALSE)"),"(LU006481.003); Default - Apply")</f>
        <v>(LU006481.003); Default - Apply</v>
      </c>
      <c r="O44" s="55" t="str">
        <f t="shared" si="3"/>
        <v>LU006481.004</v>
      </c>
      <c r="P44" s="55" t="str">
        <f ca="1">IFERROR(__xludf.DUMMYFUNCTION("VLOOKUP(O44, IMPORTRANGE(""https://docs.google.com/spreadsheets/d/1yDAaXNsi4Mr5FtRQL4tbmSdIzhx6_m4wkOD7IG-k_eo/edit#gid=1336395716"", ""Science!M:N""), 2, FALSE)"),"(LU006481.004); Default - Analyse")</f>
        <v>(LU006481.004); Default - Analyse</v>
      </c>
      <c r="Q44" s="55" t="str">
        <f t="shared" si="4"/>
        <v>LU006481.005</v>
      </c>
      <c r="R44" s="55" t="str">
        <f ca="1">IFERROR(__xludf.DUMMYFUNCTION("VLOOKUP(Q44, IMPORTRANGE(""https://docs.google.com/spreadsheets/d/1yDAaXNsi4Mr5FtRQL4tbmSdIzhx6_m4wkOD7IG-k_eo/edit#gid=1336395716"", ""Science!M:N""), 2, FALSE)"),"(LU006481.005); Default - Evaluate")</f>
        <v>(LU006481.005); Default - Evaluate</v>
      </c>
      <c r="S44" s="55" t="str">
        <f t="shared" si="5"/>
        <v>LU006481.006</v>
      </c>
      <c r="T44" s="55" t="str">
        <f ca="1">IFERROR(__xludf.DUMMYFUNCTION("VLOOKUP(S44, IMPORTRANGE(""https://docs.google.com/spreadsheets/d/1yDAaXNsi4Mr5FtRQL4tbmSdIzhx6_m4wkOD7IG-k_eo/edit#gid=1336395716"", ""Science!M:N""), 2, FALSE)"),"(LU006481.006); Default - Create")</f>
        <v>(LU006481.006); Default - Create</v>
      </c>
      <c r="U44" s="137" t="str">
        <f ca="1">IFERROR(__xludf.DUMMYFUNCTION("ArrayFormula(VLOOKUP(G44, IMPORTRANGE(""https://docs.google.com/spreadsheets/d/1p7R4vtkWt5VOBim4ltsDG9KTzSjrtKXsMtQGXPHyND0/edit#gid=795171502"", ""'Filter 30_05_2024'!A1:M2000""), {2, 3, 4, 5,6,7,8,9,10,11,12,13}, 0))"),"#N/A")</f>
        <v>#N/A</v>
      </c>
      <c r="V44" s="137" t="str">
        <f ca="1">IFERROR(__xludf.DUMMYFUNCTION("""COMPUTED_VALUE"""),"#N/A")</f>
        <v>#N/A</v>
      </c>
      <c r="W44" s="137" t="str">
        <f ca="1">IFERROR(__xludf.DUMMYFUNCTION("""COMPUTED_VALUE"""),"#N/A")</f>
        <v>#N/A</v>
      </c>
      <c r="X44" s="137" t="str">
        <f ca="1">IFERROR(__xludf.DUMMYFUNCTION("""COMPUTED_VALUE"""),"#N/A")</f>
        <v>#N/A</v>
      </c>
      <c r="Y44" s="137" t="str">
        <f ca="1">IFERROR(__xludf.DUMMYFUNCTION("""COMPUTED_VALUE"""),"#N/A")</f>
        <v>#N/A</v>
      </c>
      <c r="Z44" s="138" t="str">
        <f ca="1">IFERROR(__xludf.DUMMYFUNCTION("""COMPUTED_VALUE"""),"#N/A")</f>
        <v>#N/A</v>
      </c>
      <c r="AA44" s="138" t="str">
        <f ca="1">IFERROR(__xludf.DUMMYFUNCTION("""COMPUTED_VALUE"""),"#N/A")</f>
        <v>#N/A</v>
      </c>
      <c r="AB44" s="138" t="str">
        <f ca="1">IFERROR(__xludf.DUMMYFUNCTION("""COMPUTED_VALUE"""),"#N/A")</f>
        <v>#N/A</v>
      </c>
      <c r="AC44" s="138" t="str">
        <f ca="1">IFERROR(__xludf.DUMMYFUNCTION("""COMPUTED_VALUE"""),"#N/A")</f>
        <v>#N/A</v>
      </c>
      <c r="AD44" s="138" t="str">
        <f ca="1">IFERROR(__xludf.DUMMYFUNCTION("""COMPUTED_VALUE"""),"#N/A")</f>
        <v>#N/A</v>
      </c>
      <c r="AE44" s="138" t="str">
        <f ca="1">IFERROR(__xludf.DUMMYFUNCTION("""COMPUTED_VALUE"""),"#N/A")</f>
        <v>#N/A</v>
      </c>
      <c r="AF44" s="138" t="str">
        <f ca="1">IFERROR(__xludf.DUMMYFUNCTION("""COMPUTED_VALUE"""),"#N/A")</f>
        <v>#N/A</v>
      </c>
      <c r="AG44" s="138" t="str">
        <f ca="1">IFERROR(__xludf.DUMMYFUNCTION("ArrayFormula(VLOOKUP(G44, IMPORTRANGE(""https://docs.google.com/spreadsheets/d/1Co934fvtviyaRiMsrIlT05Jaq7iiYq07aLvRr35KA48/edit?gid=173865642#gid=173865642"", ""'G10_Sci_Pri_LU'!G2:V2000""), {3, 4, 5, 6, 7, 8, 9, 10, 11, 12, 13, 14, 15, 16}, 0))"),"LU005660")</f>
        <v>LU005660</v>
      </c>
      <c r="AH44" s="138" t="str">
        <f ca="1">IFERROR(__xludf.DUMMYFUNCTION("""COMPUTED_VALUE"""),"Basics of fertilisation and post-fertilisation events in humans")</f>
        <v>Basics of fertilisation and post-fertilisation events in humans</v>
      </c>
      <c r="AI44" s="138" t="str">
        <f ca="1">IFERROR(__xludf.DUMMYFUNCTION("""COMPUTED_VALUE"""),"LU005650")</f>
        <v>LU005650</v>
      </c>
      <c r="AJ44" s="138" t="str">
        <f ca="1">IFERROR(__xludf.DUMMYFUNCTION("""COMPUTED_VALUE"""),"Adolescent Reproductive health")</f>
        <v>Adolescent Reproductive health</v>
      </c>
      <c r="AK44" s="138"/>
      <c r="AL44" s="138"/>
      <c r="AM44" s="138"/>
      <c r="AN44" s="138"/>
      <c r="AO44" s="138"/>
      <c r="AP44" s="138"/>
      <c r="AQ44" s="138"/>
      <c r="AR44" s="138"/>
      <c r="AS44" s="138"/>
      <c r="AT44" s="138"/>
    </row>
    <row r="45" spans="1:46">
      <c r="A45" s="54" t="s">
        <v>247</v>
      </c>
      <c r="B45" s="55" t="s">
        <v>47</v>
      </c>
      <c r="C45" s="55" t="s">
        <v>1172</v>
      </c>
      <c r="D45" s="55" t="s">
        <v>2463</v>
      </c>
      <c r="E45" s="55" t="s">
        <v>2531</v>
      </c>
      <c r="F45" s="55" t="s">
        <v>2532</v>
      </c>
      <c r="G45" s="55" t="s">
        <v>2533</v>
      </c>
      <c r="H45" s="54" t="str">
        <f ca="1">IFERROR(__xludf.DUMMYFUNCTION("VLOOKUP(G45, IMPORTRANGE(""https://docs.google.com/spreadsheets/d/14deopnvwcrKtEGCKuYXdUHJbeLDZlkiSSWWT0g7x2pM/edit#gid=849066331"", ""LU List Science (Filter)!A:B""), 2, FALSE)"),"Concept of heredity and variations")</f>
        <v>Concept of heredity and variations</v>
      </c>
      <c r="I45" s="55" t="str">
        <f t="shared" si="0"/>
        <v>LU006482.001</v>
      </c>
      <c r="J45" s="55" t="str">
        <f ca="1">IFERROR(__xludf.DUMMYFUNCTION("VLOOKUP(I45, IMPORTRANGE(""https://docs.google.com/spreadsheets/d/1yDAaXNsi4Mr5FtRQL4tbmSdIzhx6_m4wkOD7IG-k_eo/edit#gid=1336395716"", ""Science!M:N""), 2, FALSE)"),"(LU006482.001); Default - Remember")</f>
        <v>(LU006482.001); Default - Remember</v>
      </c>
      <c r="K45" s="55" t="str">
        <f t="shared" si="1"/>
        <v>LU006482.002</v>
      </c>
      <c r="L45" s="55" t="str">
        <f ca="1">IFERROR(__xludf.DUMMYFUNCTION("VLOOKUP(K45, IMPORTRANGE(""https://docs.google.com/spreadsheets/d/1yDAaXNsi4Mr5FtRQL4tbmSdIzhx6_m4wkOD7IG-k_eo/edit#gid=1336395716"", ""Science!M:N""), 2, FALSE)"),"(LU006482.002); Default - Understand")</f>
        <v>(LU006482.002); Default - Understand</v>
      </c>
      <c r="M45" s="55" t="str">
        <f t="shared" si="2"/>
        <v>LU006482.003</v>
      </c>
      <c r="N45" s="55" t="str">
        <f ca="1">IFERROR(__xludf.DUMMYFUNCTION("VLOOKUP(M45, IMPORTRANGE(""https://docs.google.com/spreadsheets/d/1yDAaXNsi4Mr5FtRQL4tbmSdIzhx6_m4wkOD7IG-k_eo/edit#gid=1336395716"", ""Science!M:N""), 2, FALSE)"),"(LU006482.003); Default - Apply")</f>
        <v>(LU006482.003); Default - Apply</v>
      </c>
      <c r="O45" s="55" t="str">
        <f t="shared" si="3"/>
        <v>LU006482.004</v>
      </c>
      <c r="P45" s="55" t="str">
        <f ca="1">IFERROR(__xludf.DUMMYFUNCTION("VLOOKUP(O45, IMPORTRANGE(""https://docs.google.com/spreadsheets/d/1yDAaXNsi4Mr5FtRQL4tbmSdIzhx6_m4wkOD7IG-k_eo/edit#gid=1336395716"", ""Science!M:N""), 2, FALSE)"),"(LU006482.004); Default - Analyse")</f>
        <v>(LU006482.004); Default - Analyse</v>
      </c>
      <c r="Q45" s="55" t="str">
        <f t="shared" si="4"/>
        <v>LU006482.005</v>
      </c>
      <c r="R45" s="55" t="str">
        <f ca="1">IFERROR(__xludf.DUMMYFUNCTION("VLOOKUP(Q45, IMPORTRANGE(""https://docs.google.com/spreadsheets/d/1yDAaXNsi4Mr5FtRQL4tbmSdIzhx6_m4wkOD7IG-k_eo/edit#gid=1336395716"", ""Science!M:N""), 2, FALSE)"),"(LU006482.005); Default - Evaluate")</f>
        <v>(LU006482.005); Default - Evaluate</v>
      </c>
      <c r="S45" s="55" t="str">
        <f t="shared" si="5"/>
        <v>LU006482.006</v>
      </c>
      <c r="T45" s="55" t="str">
        <f ca="1">IFERROR(__xludf.DUMMYFUNCTION("VLOOKUP(S45, IMPORTRANGE(""https://docs.google.com/spreadsheets/d/1yDAaXNsi4Mr5FtRQL4tbmSdIzhx6_m4wkOD7IG-k_eo/edit#gid=1336395716"", ""Science!M:N""), 2, FALSE)"),"(LU006482.006); Default - Create")</f>
        <v>(LU006482.006); Default - Create</v>
      </c>
      <c r="U45" s="137" t="str">
        <f ca="1">IFERROR(__xludf.DUMMYFUNCTION("ArrayFormula(VLOOKUP(G45, IMPORTRANGE(""https://docs.google.com/spreadsheets/d/1p7R4vtkWt5VOBim4ltsDG9KTzSjrtKXsMtQGXPHyND0/edit#gid=795171502"", ""'Filter 30_05_2024'!A1:M2000""), {2, 3, 4, 5,6,7,8,9,10,11,12,13}, 0))"),"#N/A")</f>
        <v>#N/A</v>
      </c>
      <c r="V45" s="137" t="str">
        <f ca="1">IFERROR(__xludf.DUMMYFUNCTION("""COMPUTED_VALUE"""),"#N/A")</f>
        <v>#N/A</v>
      </c>
      <c r="W45" s="137" t="str">
        <f ca="1">IFERROR(__xludf.DUMMYFUNCTION("""COMPUTED_VALUE"""),"#N/A")</f>
        <v>#N/A</v>
      </c>
      <c r="X45" s="137" t="str">
        <f ca="1">IFERROR(__xludf.DUMMYFUNCTION("""COMPUTED_VALUE"""),"#N/A")</f>
        <v>#N/A</v>
      </c>
      <c r="Y45" s="137" t="str">
        <f ca="1">IFERROR(__xludf.DUMMYFUNCTION("""COMPUTED_VALUE"""),"#N/A")</f>
        <v>#N/A</v>
      </c>
      <c r="Z45" s="138" t="str">
        <f ca="1">IFERROR(__xludf.DUMMYFUNCTION("""COMPUTED_VALUE"""),"#N/A")</f>
        <v>#N/A</v>
      </c>
      <c r="AA45" s="138" t="str">
        <f ca="1">IFERROR(__xludf.DUMMYFUNCTION("""COMPUTED_VALUE"""),"#N/A")</f>
        <v>#N/A</v>
      </c>
      <c r="AB45" s="138" t="str">
        <f ca="1">IFERROR(__xludf.DUMMYFUNCTION("""COMPUTED_VALUE"""),"#N/A")</f>
        <v>#N/A</v>
      </c>
      <c r="AC45" s="138" t="str">
        <f ca="1">IFERROR(__xludf.DUMMYFUNCTION("""COMPUTED_VALUE"""),"#N/A")</f>
        <v>#N/A</v>
      </c>
      <c r="AD45" s="138" t="str">
        <f ca="1">IFERROR(__xludf.DUMMYFUNCTION("""COMPUTED_VALUE"""),"#N/A")</f>
        <v>#N/A</v>
      </c>
      <c r="AE45" s="138" t="str">
        <f ca="1">IFERROR(__xludf.DUMMYFUNCTION("""COMPUTED_VALUE"""),"#N/A")</f>
        <v>#N/A</v>
      </c>
      <c r="AF45" s="138" t="str">
        <f ca="1">IFERROR(__xludf.DUMMYFUNCTION("""COMPUTED_VALUE"""),"#N/A")</f>
        <v>#N/A</v>
      </c>
      <c r="AG45" s="138" t="str">
        <f ca="1">IFERROR(__xludf.DUMMYFUNCTION("ArrayFormula(VLOOKUP(G45, IMPORTRANGE(""https://docs.google.com/spreadsheets/d/1Co934fvtviyaRiMsrIlT05Jaq7iiYq07aLvRr35KA48/edit?gid=173865642#gid=173865642"", ""'G10_Sci_Pri_LU'!G2:V2000""), {3, 4, 5, 6, 7, 8, 9, 10, 11, 12, 13, 14, 15, 16}, 0))"),"LU006472")</f>
        <v>LU006472</v>
      </c>
      <c r="AH45" s="138" t="str">
        <f ca="1">IFERROR(__xludf.DUMMYFUNCTION("""COMPUTED_VALUE"""),"DNA copying mechanism and concept of variations")</f>
        <v>DNA copying mechanism and concept of variations</v>
      </c>
      <c r="AI45" s="138" t="str">
        <f ca="1">IFERROR(__xludf.DUMMYFUNCTION("""COMPUTED_VALUE"""),"LU006475")</f>
        <v>LU006475</v>
      </c>
      <c r="AJ45" s="138" t="str">
        <f ca="1">IFERROR(__xludf.DUMMYFUNCTION("""COMPUTED_VALUE"""),"Sexual reproduction as the source of variations in population")</f>
        <v>Sexual reproduction as the source of variations in population</v>
      </c>
      <c r="AK45" s="138" t="str">
        <f ca="1">IFERROR(__xludf.DUMMYFUNCTION("""COMPUTED_VALUE"""),"LU005084")</f>
        <v>LU005084</v>
      </c>
      <c r="AL45" s="138" t="str">
        <f ca="1">IFERROR(__xludf.DUMMYFUNCTION("""COMPUTED_VALUE"""),"Unique human traits or habits which are passed on from one generation to next generation")</f>
        <v>Unique human traits or habits which are passed on from one generation to next generation</v>
      </c>
      <c r="AM45" s="138"/>
      <c r="AN45" s="138"/>
      <c r="AO45" s="138"/>
      <c r="AP45" s="138"/>
      <c r="AQ45" s="138"/>
      <c r="AR45" s="138"/>
      <c r="AS45" s="138"/>
      <c r="AT45" s="138"/>
    </row>
    <row r="46" spans="1:46">
      <c r="A46" s="54" t="s">
        <v>247</v>
      </c>
      <c r="B46" s="55" t="s">
        <v>47</v>
      </c>
      <c r="C46" s="55" t="s">
        <v>1172</v>
      </c>
      <c r="D46" s="55" t="s">
        <v>2463</v>
      </c>
      <c r="E46" s="55" t="s">
        <v>2531</v>
      </c>
      <c r="F46" s="55" t="s">
        <v>2534</v>
      </c>
      <c r="G46" s="55" t="s">
        <v>2535</v>
      </c>
      <c r="H46" s="54" t="str">
        <f ca="1">IFERROR(__xludf.DUMMYFUNCTION("VLOOKUP(G46, IMPORTRANGE(""https://docs.google.com/spreadsheets/d/14deopnvwcrKtEGCKuYXdUHJbeLDZlkiSSWWT0g7x2pM/edit#gid=849066331"", ""LU List Science (Filter)!A:B""), 2, FALSE)"),"Mendelian cross involving one pair of contrasting traits")</f>
        <v>Mendelian cross involving one pair of contrasting traits</v>
      </c>
      <c r="I46" s="55" t="str">
        <f t="shared" si="0"/>
        <v>LU006485.001</v>
      </c>
      <c r="J46" s="55" t="str">
        <f ca="1">IFERROR(__xludf.DUMMYFUNCTION("VLOOKUP(I46, IMPORTRANGE(""https://docs.google.com/spreadsheets/d/1yDAaXNsi4Mr5FtRQL4tbmSdIzhx6_m4wkOD7IG-k_eo/edit#gid=1336395716"", ""Science!M:N""), 2, FALSE)"),"(LU006485.001); Default - Remember")</f>
        <v>(LU006485.001); Default - Remember</v>
      </c>
      <c r="K46" s="55" t="str">
        <f t="shared" si="1"/>
        <v>LU006485.002</v>
      </c>
      <c r="L46" s="55" t="str">
        <f ca="1">IFERROR(__xludf.DUMMYFUNCTION("VLOOKUP(K46, IMPORTRANGE(""https://docs.google.com/spreadsheets/d/1yDAaXNsi4Mr5FtRQL4tbmSdIzhx6_m4wkOD7IG-k_eo/edit#gid=1336395716"", ""Science!M:N""), 2, FALSE)"),"(LU006485.002); Default - Understand")</f>
        <v>(LU006485.002); Default - Understand</v>
      </c>
      <c r="M46" s="55" t="str">
        <f t="shared" si="2"/>
        <v>LU006485.003</v>
      </c>
      <c r="N46" s="55" t="str">
        <f ca="1">IFERROR(__xludf.DUMMYFUNCTION("VLOOKUP(M46, IMPORTRANGE(""https://docs.google.com/spreadsheets/d/1yDAaXNsi4Mr5FtRQL4tbmSdIzhx6_m4wkOD7IG-k_eo/edit#gid=1336395716"", ""Science!M:N""), 2, FALSE)"),"(LU006485.003); Default - Apply")</f>
        <v>(LU006485.003); Default - Apply</v>
      </c>
      <c r="O46" s="55" t="str">
        <f t="shared" si="3"/>
        <v>LU006485.004</v>
      </c>
      <c r="P46" s="55" t="str">
        <f ca="1">IFERROR(__xludf.DUMMYFUNCTION("VLOOKUP(O46, IMPORTRANGE(""https://docs.google.com/spreadsheets/d/1yDAaXNsi4Mr5FtRQL4tbmSdIzhx6_m4wkOD7IG-k_eo/edit#gid=1336395716"", ""Science!M:N""), 2, FALSE)"),"(LU006485.004); Default - Analyse")</f>
        <v>(LU006485.004); Default - Analyse</v>
      </c>
      <c r="Q46" s="55" t="str">
        <f t="shared" si="4"/>
        <v>LU006485.005</v>
      </c>
      <c r="R46" s="55" t="str">
        <f ca="1">IFERROR(__xludf.DUMMYFUNCTION("VLOOKUP(Q46, IMPORTRANGE(""https://docs.google.com/spreadsheets/d/1yDAaXNsi4Mr5FtRQL4tbmSdIzhx6_m4wkOD7IG-k_eo/edit#gid=1336395716"", ""Science!M:N""), 2, FALSE)"),"(LU006485.005); Default - Evaluate")</f>
        <v>(LU006485.005); Default - Evaluate</v>
      </c>
      <c r="S46" s="55" t="str">
        <f t="shared" si="5"/>
        <v>LU006485.006</v>
      </c>
      <c r="T46" s="55" t="str">
        <f ca="1">IFERROR(__xludf.DUMMYFUNCTION("VLOOKUP(S46, IMPORTRANGE(""https://docs.google.com/spreadsheets/d/1yDAaXNsi4Mr5FtRQL4tbmSdIzhx6_m4wkOD7IG-k_eo/edit#gid=1336395716"", ""Science!M:N""), 2, FALSE)"),"(LU006485.006); Default - Create")</f>
        <v>(LU006485.006); Default - Create</v>
      </c>
      <c r="U46" s="137" t="str">
        <f ca="1">IFERROR(__xludf.DUMMYFUNCTION("ArrayFormula(VLOOKUP(G46, IMPORTRANGE(""https://docs.google.com/spreadsheets/d/1p7R4vtkWt5VOBim4ltsDG9KTzSjrtKXsMtQGXPHyND0/edit#gid=795171502"", ""'Filter 30_05_2024'!A1:M2000""), {2, 3, 4, 5,6,7,8,9,10,11,12,13}, 0))"),"#N/A")</f>
        <v>#N/A</v>
      </c>
      <c r="V46" s="137" t="str">
        <f ca="1">IFERROR(__xludf.DUMMYFUNCTION("""COMPUTED_VALUE"""),"#N/A")</f>
        <v>#N/A</v>
      </c>
      <c r="W46" s="137" t="str">
        <f ca="1">IFERROR(__xludf.DUMMYFUNCTION("""COMPUTED_VALUE"""),"#N/A")</f>
        <v>#N/A</v>
      </c>
      <c r="X46" s="137" t="str">
        <f ca="1">IFERROR(__xludf.DUMMYFUNCTION("""COMPUTED_VALUE"""),"#N/A")</f>
        <v>#N/A</v>
      </c>
      <c r="Y46" s="137" t="str">
        <f ca="1">IFERROR(__xludf.DUMMYFUNCTION("""COMPUTED_VALUE"""),"#N/A")</f>
        <v>#N/A</v>
      </c>
      <c r="Z46" s="138" t="str">
        <f ca="1">IFERROR(__xludf.DUMMYFUNCTION("""COMPUTED_VALUE"""),"#N/A")</f>
        <v>#N/A</v>
      </c>
      <c r="AA46" s="138" t="str">
        <f ca="1">IFERROR(__xludf.DUMMYFUNCTION("""COMPUTED_VALUE"""),"#N/A")</f>
        <v>#N/A</v>
      </c>
      <c r="AB46" s="138" t="str">
        <f ca="1">IFERROR(__xludf.DUMMYFUNCTION("""COMPUTED_VALUE"""),"#N/A")</f>
        <v>#N/A</v>
      </c>
      <c r="AC46" s="138" t="str">
        <f ca="1">IFERROR(__xludf.DUMMYFUNCTION("""COMPUTED_VALUE"""),"#N/A")</f>
        <v>#N/A</v>
      </c>
      <c r="AD46" s="138" t="str">
        <f ca="1">IFERROR(__xludf.DUMMYFUNCTION("""COMPUTED_VALUE"""),"#N/A")</f>
        <v>#N/A</v>
      </c>
      <c r="AE46" s="138" t="str">
        <f ca="1">IFERROR(__xludf.DUMMYFUNCTION("""COMPUTED_VALUE"""),"#N/A")</f>
        <v>#N/A</v>
      </c>
      <c r="AF46" s="138" t="str">
        <f ca="1">IFERROR(__xludf.DUMMYFUNCTION("""COMPUTED_VALUE"""),"#N/A")</f>
        <v>#N/A</v>
      </c>
      <c r="AG46" s="138" t="str">
        <f ca="1">IFERROR(__xludf.DUMMYFUNCTION("ArrayFormula(VLOOKUP(G46, IMPORTRANGE(""https://docs.google.com/spreadsheets/d/1Co934fvtviyaRiMsrIlT05Jaq7iiYq07aLvRr35KA48/edit?gid=173865642#gid=173865642"", ""'G10_Sci_Pri_LU'!G2:V2000""), {3, 4, 5, 6, 7, 8, 9, 10, 11, 12, 13, 14, 15, 16}, 0))"),"LU005083")</f>
        <v>LU005083</v>
      </c>
      <c r="AH46" s="138" t="str">
        <f ca="1">IFERROR(__xludf.DUMMYFUNCTION("""COMPUTED_VALUE"""),"Traits Which Are Not Heritable (Like Polio's Consequences)")</f>
        <v>Traits Which Are Not Heritable (Like Polio's Consequences)</v>
      </c>
      <c r="AI46" s="138" t="str">
        <f ca="1">IFERROR(__xludf.DUMMYFUNCTION("""COMPUTED_VALUE"""),"LU005082")</f>
        <v>LU005082</v>
      </c>
      <c r="AJ46" s="138" t="str">
        <f ca="1">IFERROR(__xludf.DUMMYFUNCTION("""COMPUTED_VALUE"""),"Story of Gregor Mendel's Discovery")</f>
        <v>Story of Gregor Mendel's Discovery</v>
      </c>
      <c r="AK46" s="138"/>
      <c r="AL46" s="138"/>
      <c r="AM46" s="138"/>
      <c r="AN46" s="138"/>
      <c r="AO46" s="138"/>
      <c r="AP46" s="138"/>
      <c r="AQ46" s="138"/>
      <c r="AR46" s="138"/>
      <c r="AS46" s="138"/>
      <c r="AT46" s="138"/>
    </row>
    <row r="47" spans="1:46">
      <c r="A47" s="54" t="s">
        <v>247</v>
      </c>
      <c r="B47" s="55" t="s">
        <v>47</v>
      </c>
      <c r="C47" s="55" t="s">
        <v>1172</v>
      </c>
      <c r="D47" s="55" t="s">
        <v>2463</v>
      </c>
      <c r="E47" s="55" t="s">
        <v>2531</v>
      </c>
      <c r="F47" s="55" t="s">
        <v>2534</v>
      </c>
      <c r="G47" s="55" t="s">
        <v>2536</v>
      </c>
      <c r="H47" s="54" t="str">
        <f ca="1">IFERROR(__xludf.DUMMYFUNCTION("VLOOKUP(G47, IMPORTRANGE(""https://docs.google.com/spreadsheets/d/14deopnvwcrKtEGCKuYXdUHJbeLDZlkiSSWWT0g7x2pM/edit#gid=849066331"", ""LU List Science (Filter)!A:B""), 2, FALSE)"),"Mendelian cross involving two pairs of contrasting traits")</f>
        <v>Mendelian cross involving two pairs of contrasting traits</v>
      </c>
      <c r="I47" s="55" t="str">
        <f t="shared" si="0"/>
        <v>LU006486.001</v>
      </c>
      <c r="J47" s="55" t="str">
        <f ca="1">IFERROR(__xludf.DUMMYFUNCTION("VLOOKUP(I47, IMPORTRANGE(""https://docs.google.com/spreadsheets/d/1yDAaXNsi4Mr5FtRQL4tbmSdIzhx6_m4wkOD7IG-k_eo/edit#gid=1336395716"", ""Science!M:N""), 2, FALSE)"),"(LU006486.001); Default - Remember")</f>
        <v>(LU006486.001); Default - Remember</v>
      </c>
      <c r="K47" s="55" t="str">
        <f t="shared" si="1"/>
        <v>LU006486.002</v>
      </c>
      <c r="L47" s="55" t="str">
        <f ca="1">IFERROR(__xludf.DUMMYFUNCTION("VLOOKUP(K47, IMPORTRANGE(""https://docs.google.com/spreadsheets/d/1yDAaXNsi4Mr5FtRQL4tbmSdIzhx6_m4wkOD7IG-k_eo/edit#gid=1336395716"", ""Science!M:N""), 2, FALSE)"),"(LU006486.002); Default - Understand")</f>
        <v>(LU006486.002); Default - Understand</v>
      </c>
      <c r="M47" s="55" t="str">
        <f t="shared" si="2"/>
        <v>LU006486.003</v>
      </c>
      <c r="N47" s="55" t="str">
        <f ca="1">IFERROR(__xludf.DUMMYFUNCTION("VLOOKUP(M47, IMPORTRANGE(""https://docs.google.com/spreadsheets/d/1yDAaXNsi4Mr5FtRQL4tbmSdIzhx6_m4wkOD7IG-k_eo/edit#gid=1336395716"", ""Science!M:N""), 2, FALSE)"),"(LU006486.003); Default - Apply")</f>
        <v>(LU006486.003); Default - Apply</v>
      </c>
      <c r="O47" s="55" t="str">
        <f t="shared" si="3"/>
        <v>LU006486.004</v>
      </c>
      <c r="P47" s="55" t="str">
        <f ca="1">IFERROR(__xludf.DUMMYFUNCTION("VLOOKUP(O47, IMPORTRANGE(""https://docs.google.com/spreadsheets/d/1yDAaXNsi4Mr5FtRQL4tbmSdIzhx6_m4wkOD7IG-k_eo/edit#gid=1336395716"", ""Science!M:N""), 2, FALSE)"),"(LU006486.004); Default - Analyse")</f>
        <v>(LU006486.004); Default - Analyse</v>
      </c>
      <c r="Q47" s="55" t="str">
        <f t="shared" si="4"/>
        <v>LU006486.005</v>
      </c>
      <c r="R47" s="55" t="str">
        <f ca="1">IFERROR(__xludf.DUMMYFUNCTION("VLOOKUP(Q47, IMPORTRANGE(""https://docs.google.com/spreadsheets/d/1yDAaXNsi4Mr5FtRQL4tbmSdIzhx6_m4wkOD7IG-k_eo/edit#gid=1336395716"", ""Science!M:N""), 2, FALSE)"),"(LU006486.005); Default - Evaluate")</f>
        <v>(LU006486.005); Default - Evaluate</v>
      </c>
      <c r="S47" s="55" t="str">
        <f t="shared" si="5"/>
        <v>LU006486.006</v>
      </c>
      <c r="T47" s="55" t="str">
        <f ca="1">IFERROR(__xludf.DUMMYFUNCTION("VLOOKUP(S47, IMPORTRANGE(""https://docs.google.com/spreadsheets/d/1yDAaXNsi4Mr5FtRQL4tbmSdIzhx6_m4wkOD7IG-k_eo/edit#gid=1336395716"", ""Science!M:N""), 2, FALSE)"),"(LU006486.006); Default - Create")</f>
        <v>(LU006486.006); Default - Create</v>
      </c>
      <c r="U47" s="137" t="str">
        <f ca="1">IFERROR(__xludf.DUMMYFUNCTION("ArrayFormula(VLOOKUP(G47, IMPORTRANGE(""https://docs.google.com/spreadsheets/d/1p7R4vtkWt5VOBim4ltsDG9KTzSjrtKXsMtQGXPHyND0/edit#gid=795171502"", ""'Filter 30_05_2024'!A1:M2000""), {2, 3, 4, 5,6,7,8,9,10,11,12,13}, 0))"),"#N/A")</f>
        <v>#N/A</v>
      </c>
      <c r="V47" s="137" t="str">
        <f ca="1">IFERROR(__xludf.DUMMYFUNCTION("""COMPUTED_VALUE"""),"#N/A")</f>
        <v>#N/A</v>
      </c>
      <c r="W47" s="137" t="str">
        <f ca="1">IFERROR(__xludf.DUMMYFUNCTION("""COMPUTED_VALUE"""),"#N/A")</f>
        <v>#N/A</v>
      </c>
      <c r="X47" s="137" t="str">
        <f ca="1">IFERROR(__xludf.DUMMYFUNCTION("""COMPUTED_VALUE"""),"#N/A")</f>
        <v>#N/A</v>
      </c>
      <c r="Y47" s="137" t="str">
        <f ca="1">IFERROR(__xludf.DUMMYFUNCTION("""COMPUTED_VALUE"""),"#N/A")</f>
        <v>#N/A</v>
      </c>
      <c r="Z47" s="138" t="str">
        <f ca="1">IFERROR(__xludf.DUMMYFUNCTION("""COMPUTED_VALUE"""),"#N/A")</f>
        <v>#N/A</v>
      </c>
      <c r="AA47" s="138" t="str">
        <f ca="1">IFERROR(__xludf.DUMMYFUNCTION("""COMPUTED_VALUE"""),"#N/A")</f>
        <v>#N/A</v>
      </c>
      <c r="AB47" s="138" t="str">
        <f ca="1">IFERROR(__xludf.DUMMYFUNCTION("""COMPUTED_VALUE"""),"#N/A")</f>
        <v>#N/A</v>
      </c>
      <c r="AC47" s="138" t="str">
        <f ca="1">IFERROR(__xludf.DUMMYFUNCTION("""COMPUTED_VALUE"""),"#N/A")</f>
        <v>#N/A</v>
      </c>
      <c r="AD47" s="138" t="str">
        <f ca="1">IFERROR(__xludf.DUMMYFUNCTION("""COMPUTED_VALUE"""),"#N/A")</f>
        <v>#N/A</v>
      </c>
      <c r="AE47" s="138" t="str">
        <f ca="1">IFERROR(__xludf.DUMMYFUNCTION("""COMPUTED_VALUE"""),"#N/A")</f>
        <v>#N/A</v>
      </c>
      <c r="AF47" s="138" t="str">
        <f ca="1">IFERROR(__xludf.DUMMYFUNCTION("""COMPUTED_VALUE"""),"#N/A")</f>
        <v>#N/A</v>
      </c>
      <c r="AG47" s="138" t="str">
        <f ca="1">IFERROR(__xludf.DUMMYFUNCTION("ArrayFormula(VLOOKUP(G47, IMPORTRANGE(""https://docs.google.com/spreadsheets/d/1Co934fvtviyaRiMsrIlT05Jaq7iiYq07aLvRr35KA48/edit?gid=173865642#gid=173865642"", ""'G10_Sci_Pri_LU'!G2:V2000""), {3, 4, 5, 6, 7, 8, 9, 10, 11, 12, 13, 14, 15, 16}, 0))"),"LU006485")</f>
        <v>LU006485</v>
      </c>
      <c r="AH47" s="138" t="str">
        <f ca="1">IFERROR(__xludf.DUMMYFUNCTION("""COMPUTED_VALUE"""),"Mendelian cross involving one pair of contrasting traits")</f>
        <v>Mendelian cross involving one pair of contrasting traits</v>
      </c>
      <c r="AI47" s="138" t="str">
        <f ca="1">IFERROR(__xludf.DUMMYFUNCTION("""COMPUTED_VALUE"""),"LU005083")</f>
        <v>LU005083</v>
      </c>
      <c r="AJ47" s="138" t="str">
        <f ca="1">IFERROR(__xludf.DUMMYFUNCTION("""COMPUTED_VALUE"""),"Traits Which Are Not Heritable (Like Polio's Consequences)")</f>
        <v>Traits Which Are Not Heritable (Like Polio's Consequences)</v>
      </c>
      <c r="AK47" s="138"/>
      <c r="AL47" s="138"/>
      <c r="AM47" s="138"/>
      <c r="AN47" s="138"/>
      <c r="AO47" s="138"/>
      <c r="AP47" s="138"/>
      <c r="AQ47" s="138"/>
      <c r="AR47" s="138"/>
      <c r="AS47" s="138"/>
      <c r="AT47" s="138"/>
    </row>
    <row r="48" spans="1:46">
      <c r="A48" s="54" t="s">
        <v>247</v>
      </c>
      <c r="B48" s="55" t="s">
        <v>47</v>
      </c>
      <c r="C48" s="55" t="s">
        <v>1172</v>
      </c>
      <c r="D48" s="55" t="s">
        <v>2463</v>
      </c>
      <c r="E48" s="55" t="s">
        <v>2531</v>
      </c>
      <c r="F48" s="136" t="s">
        <v>2537</v>
      </c>
      <c r="G48" s="55" t="s">
        <v>2538</v>
      </c>
      <c r="H48" s="54" t="str">
        <f ca="1">IFERROR(__xludf.DUMMYFUNCTION("VLOOKUP(G48, IMPORTRANGE(""https://docs.google.com/spreadsheets/d/14deopnvwcrKtEGCKuYXdUHJbeLDZlkiSSWWT0g7x2pM/edit#gid=849066331"", ""LU List Science (Filter)!A:B""), 2, FALSE)"),"Introduction to the mechanism of inherited traits expression")</f>
        <v>Introduction to the mechanism of inherited traits expression</v>
      </c>
      <c r="I48" s="55" t="str">
        <f t="shared" si="0"/>
        <v>LU006487.001</v>
      </c>
      <c r="J48" s="55" t="str">
        <f ca="1">IFERROR(__xludf.DUMMYFUNCTION("VLOOKUP(I48, IMPORTRANGE(""https://docs.google.com/spreadsheets/d/1yDAaXNsi4Mr5FtRQL4tbmSdIzhx6_m4wkOD7IG-k_eo/edit#gid=1336395716"", ""Science!M:N""), 2, FALSE)"),"(LU006487.001); Default - Remember")</f>
        <v>(LU006487.001); Default - Remember</v>
      </c>
      <c r="K48" s="55" t="str">
        <f t="shared" si="1"/>
        <v>LU006487.002</v>
      </c>
      <c r="L48" s="55" t="str">
        <f ca="1">IFERROR(__xludf.DUMMYFUNCTION("VLOOKUP(K48, IMPORTRANGE(""https://docs.google.com/spreadsheets/d/1yDAaXNsi4Mr5FtRQL4tbmSdIzhx6_m4wkOD7IG-k_eo/edit#gid=1336395716"", ""Science!M:N""), 2, FALSE)"),"(LU006487.002); Default - Understand")</f>
        <v>(LU006487.002); Default - Understand</v>
      </c>
      <c r="M48" s="55" t="str">
        <f t="shared" si="2"/>
        <v>LU006487.003</v>
      </c>
      <c r="N48" s="55" t="str">
        <f ca="1">IFERROR(__xludf.DUMMYFUNCTION("VLOOKUP(M48, IMPORTRANGE(""https://docs.google.com/spreadsheets/d/1yDAaXNsi4Mr5FtRQL4tbmSdIzhx6_m4wkOD7IG-k_eo/edit#gid=1336395716"", ""Science!M:N""), 2, FALSE)"),"(LU006487.003); Default - Apply")</f>
        <v>(LU006487.003); Default - Apply</v>
      </c>
      <c r="O48" s="55" t="str">
        <f t="shared" si="3"/>
        <v>LU006487.004</v>
      </c>
      <c r="P48" s="55" t="str">
        <f ca="1">IFERROR(__xludf.DUMMYFUNCTION("VLOOKUP(O48, IMPORTRANGE(""https://docs.google.com/spreadsheets/d/1yDAaXNsi4Mr5FtRQL4tbmSdIzhx6_m4wkOD7IG-k_eo/edit#gid=1336395716"", ""Science!M:N""), 2, FALSE)"),"(LU006487.004); Default - Analyse")</f>
        <v>(LU006487.004); Default - Analyse</v>
      </c>
      <c r="Q48" s="55" t="str">
        <f t="shared" si="4"/>
        <v>LU006487.005</v>
      </c>
      <c r="R48" s="55" t="str">
        <f ca="1">IFERROR(__xludf.DUMMYFUNCTION("VLOOKUP(Q48, IMPORTRANGE(""https://docs.google.com/spreadsheets/d/1yDAaXNsi4Mr5FtRQL4tbmSdIzhx6_m4wkOD7IG-k_eo/edit#gid=1336395716"", ""Science!M:N""), 2, FALSE)"),"(LU006487.005); Default - Evaluate")</f>
        <v>(LU006487.005); Default - Evaluate</v>
      </c>
      <c r="S48" s="55" t="str">
        <f t="shared" si="5"/>
        <v>LU006487.006</v>
      </c>
      <c r="T48" s="55" t="str">
        <f ca="1">IFERROR(__xludf.DUMMYFUNCTION("VLOOKUP(S48, IMPORTRANGE(""https://docs.google.com/spreadsheets/d/1yDAaXNsi4Mr5FtRQL4tbmSdIzhx6_m4wkOD7IG-k_eo/edit#gid=1336395716"", ""Science!M:N""), 2, FALSE)"),"(LU006487.006); Default - Create")</f>
        <v>(LU006487.006); Default - Create</v>
      </c>
      <c r="U48" s="137" t="str">
        <f ca="1">IFERROR(__xludf.DUMMYFUNCTION("ArrayFormula(VLOOKUP(G48, IMPORTRANGE(""https://docs.google.com/spreadsheets/d/1p7R4vtkWt5VOBim4ltsDG9KTzSjrtKXsMtQGXPHyND0/edit#gid=795171502"", ""'Filter 30_05_2024'!A1:M2000""), {2, 3, 4, 5,6,7,8,9,10,11,12,13}, 0))"),"#N/A")</f>
        <v>#N/A</v>
      </c>
      <c r="V48" s="137" t="str">
        <f ca="1">IFERROR(__xludf.DUMMYFUNCTION("""COMPUTED_VALUE"""),"#N/A")</f>
        <v>#N/A</v>
      </c>
      <c r="W48" s="137" t="str">
        <f ca="1">IFERROR(__xludf.DUMMYFUNCTION("""COMPUTED_VALUE"""),"#N/A")</f>
        <v>#N/A</v>
      </c>
      <c r="X48" s="137" t="str">
        <f ca="1">IFERROR(__xludf.DUMMYFUNCTION("""COMPUTED_VALUE"""),"#N/A")</f>
        <v>#N/A</v>
      </c>
      <c r="Y48" s="137" t="str">
        <f ca="1">IFERROR(__xludf.DUMMYFUNCTION("""COMPUTED_VALUE"""),"#N/A")</f>
        <v>#N/A</v>
      </c>
      <c r="Z48" s="138" t="str">
        <f ca="1">IFERROR(__xludf.DUMMYFUNCTION("""COMPUTED_VALUE"""),"#N/A")</f>
        <v>#N/A</v>
      </c>
      <c r="AA48" s="138" t="str">
        <f ca="1">IFERROR(__xludf.DUMMYFUNCTION("""COMPUTED_VALUE"""),"#N/A")</f>
        <v>#N/A</v>
      </c>
      <c r="AB48" s="138" t="str">
        <f ca="1">IFERROR(__xludf.DUMMYFUNCTION("""COMPUTED_VALUE"""),"#N/A")</f>
        <v>#N/A</v>
      </c>
      <c r="AC48" s="138" t="str">
        <f ca="1">IFERROR(__xludf.DUMMYFUNCTION("""COMPUTED_VALUE"""),"#N/A")</f>
        <v>#N/A</v>
      </c>
      <c r="AD48" s="138" t="str">
        <f ca="1">IFERROR(__xludf.DUMMYFUNCTION("""COMPUTED_VALUE"""),"#N/A")</f>
        <v>#N/A</v>
      </c>
      <c r="AE48" s="138" t="str">
        <f ca="1">IFERROR(__xludf.DUMMYFUNCTION("""COMPUTED_VALUE"""),"#N/A")</f>
        <v>#N/A</v>
      </c>
      <c r="AF48" s="138" t="str">
        <f ca="1">IFERROR(__xludf.DUMMYFUNCTION("""COMPUTED_VALUE"""),"#N/A")</f>
        <v>#N/A</v>
      </c>
      <c r="AG48" s="138" t="str">
        <f ca="1">IFERROR(__xludf.DUMMYFUNCTION("ArrayFormula(VLOOKUP(G48, IMPORTRANGE(""https://docs.google.com/spreadsheets/d/1Co934fvtviyaRiMsrIlT05Jaq7iiYq07aLvRr35KA48/edit?gid=173865642#gid=173865642"", ""'G10_Sci_Pri_LU'!G2:V2000""), {3, 4, 5, 6, 7, 8, 9, 10, 11, 12, 13, 14, 15, 16}, 0))"),"LU006233")</f>
        <v>LU006233</v>
      </c>
      <c r="AH48" s="138" t="str">
        <f ca="1">IFERROR(__xludf.DUMMYFUNCTION("""COMPUTED_VALUE"""),"Function of a typical eukaryotic nucleus")</f>
        <v>Function of a typical eukaryotic nucleus</v>
      </c>
      <c r="AI48" s="138" t="str">
        <f ca="1">IFERROR(__xludf.DUMMYFUNCTION("""COMPUTED_VALUE"""),"LU005084")</f>
        <v>LU005084</v>
      </c>
      <c r="AJ48" s="138" t="str">
        <f ca="1">IFERROR(__xludf.DUMMYFUNCTION("""COMPUTED_VALUE"""),"Unique human traits or habits which are passed on from one generation to next generation")</f>
        <v>Unique human traits or habits which are passed on from one generation to next generation</v>
      </c>
      <c r="AK48" s="138"/>
      <c r="AL48" s="138"/>
      <c r="AM48" s="138"/>
      <c r="AN48" s="138"/>
      <c r="AO48" s="138"/>
      <c r="AP48" s="138"/>
      <c r="AQ48" s="138"/>
      <c r="AR48" s="138"/>
      <c r="AS48" s="138"/>
      <c r="AT48" s="138"/>
    </row>
    <row r="49" spans="1:46">
      <c r="A49" s="54" t="s">
        <v>247</v>
      </c>
      <c r="B49" s="55" t="s">
        <v>47</v>
      </c>
      <c r="C49" s="55" t="s">
        <v>1172</v>
      </c>
      <c r="D49" s="55" t="s">
        <v>2463</v>
      </c>
      <c r="E49" s="55" t="s">
        <v>2531</v>
      </c>
      <c r="F49" s="136" t="s">
        <v>2537</v>
      </c>
      <c r="G49" s="55" t="s">
        <v>2539</v>
      </c>
      <c r="H49" s="54" t="str">
        <f ca="1">IFERROR(__xludf.DUMMYFUNCTION("VLOOKUP(G49, IMPORTRANGE(""https://docs.google.com/spreadsheets/d/14deopnvwcrKtEGCKuYXdUHJbeLDZlkiSSWWT0g7x2pM/edit#gid=849066331"", ""LU List Science (Filter)!A:B""), 2, FALSE)"),"Chromosomes in Germ cells ")</f>
        <v xml:space="preserve">Chromosomes in Germ cells </v>
      </c>
      <c r="I49" s="55" t="str">
        <f t="shared" si="0"/>
        <v>LU006488.001</v>
      </c>
      <c r="J49" s="55" t="str">
        <f ca="1">IFERROR(__xludf.DUMMYFUNCTION("VLOOKUP(I49, IMPORTRANGE(""https://docs.google.com/spreadsheets/d/1yDAaXNsi4Mr5FtRQL4tbmSdIzhx6_m4wkOD7IG-k_eo/edit#gid=1336395716"", ""Science!M:N""), 2, FALSE)"),"(LU006488.001); Default - Remember")</f>
        <v>(LU006488.001); Default - Remember</v>
      </c>
      <c r="K49" s="55" t="str">
        <f t="shared" si="1"/>
        <v>LU006488.002</v>
      </c>
      <c r="L49" s="55" t="str">
        <f ca="1">IFERROR(__xludf.DUMMYFUNCTION("VLOOKUP(K49, IMPORTRANGE(""https://docs.google.com/spreadsheets/d/1yDAaXNsi4Mr5FtRQL4tbmSdIzhx6_m4wkOD7IG-k_eo/edit#gid=1336395716"", ""Science!M:N""), 2, FALSE)"),"(LU006488.002); Default - Understand")</f>
        <v>(LU006488.002); Default - Understand</v>
      </c>
      <c r="M49" s="55" t="str">
        <f t="shared" si="2"/>
        <v>LU006488.003</v>
      </c>
      <c r="N49" s="55" t="str">
        <f ca="1">IFERROR(__xludf.DUMMYFUNCTION("VLOOKUP(M49, IMPORTRANGE(""https://docs.google.com/spreadsheets/d/1yDAaXNsi4Mr5FtRQL4tbmSdIzhx6_m4wkOD7IG-k_eo/edit#gid=1336395716"", ""Science!M:N""), 2, FALSE)"),"(LU006488.003); Default - Apply")</f>
        <v>(LU006488.003); Default - Apply</v>
      </c>
      <c r="O49" s="55" t="str">
        <f t="shared" si="3"/>
        <v>LU006488.004</v>
      </c>
      <c r="P49" s="55" t="str">
        <f ca="1">IFERROR(__xludf.DUMMYFUNCTION("VLOOKUP(O49, IMPORTRANGE(""https://docs.google.com/spreadsheets/d/1yDAaXNsi4Mr5FtRQL4tbmSdIzhx6_m4wkOD7IG-k_eo/edit#gid=1336395716"", ""Science!M:N""), 2, FALSE)"),"(LU006488.004); Default - Analyse")</f>
        <v>(LU006488.004); Default - Analyse</v>
      </c>
      <c r="Q49" s="55" t="str">
        <f t="shared" si="4"/>
        <v>LU006488.005</v>
      </c>
      <c r="R49" s="55" t="str">
        <f ca="1">IFERROR(__xludf.DUMMYFUNCTION("VLOOKUP(Q49, IMPORTRANGE(""https://docs.google.com/spreadsheets/d/1yDAaXNsi4Mr5FtRQL4tbmSdIzhx6_m4wkOD7IG-k_eo/edit#gid=1336395716"", ""Science!M:N""), 2, FALSE)"),"(LU006488.005); Default - Evaluate")</f>
        <v>(LU006488.005); Default - Evaluate</v>
      </c>
      <c r="S49" s="55" t="str">
        <f t="shared" si="5"/>
        <v>LU006488.006</v>
      </c>
      <c r="T49" s="55" t="str">
        <f ca="1">IFERROR(__xludf.DUMMYFUNCTION("VLOOKUP(S49, IMPORTRANGE(""https://docs.google.com/spreadsheets/d/1yDAaXNsi4Mr5FtRQL4tbmSdIzhx6_m4wkOD7IG-k_eo/edit#gid=1336395716"", ""Science!M:N""), 2, FALSE)"),"(LU006488.006); Default - Create")</f>
        <v>(LU006488.006); Default - Create</v>
      </c>
      <c r="U49" s="137" t="str">
        <f ca="1">IFERROR(__xludf.DUMMYFUNCTION("ArrayFormula(VLOOKUP(G49, IMPORTRANGE(""https://docs.google.com/spreadsheets/d/1p7R4vtkWt5VOBim4ltsDG9KTzSjrtKXsMtQGXPHyND0/edit#gid=795171502"", ""'Filter 30_05_2024'!A1:M2000""), {2, 3, 4, 5,6,7,8,9,10,11,12,13}, 0))"),"#N/A")</f>
        <v>#N/A</v>
      </c>
      <c r="V49" s="137" t="str">
        <f ca="1">IFERROR(__xludf.DUMMYFUNCTION("""COMPUTED_VALUE"""),"#N/A")</f>
        <v>#N/A</v>
      </c>
      <c r="W49" s="137" t="str">
        <f ca="1">IFERROR(__xludf.DUMMYFUNCTION("""COMPUTED_VALUE"""),"#N/A")</f>
        <v>#N/A</v>
      </c>
      <c r="X49" s="137" t="str">
        <f ca="1">IFERROR(__xludf.DUMMYFUNCTION("""COMPUTED_VALUE"""),"#N/A")</f>
        <v>#N/A</v>
      </c>
      <c r="Y49" s="137" t="str">
        <f ca="1">IFERROR(__xludf.DUMMYFUNCTION("""COMPUTED_VALUE"""),"#N/A")</f>
        <v>#N/A</v>
      </c>
      <c r="Z49" s="138" t="str">
        <f ca="1">IFERROR(__xludf.DUMMYFUNCTION("""COMPUTED_VALUE"""),"#N/A")</f>
        <v>#N/A</v>
      </c>
      <c r="AA49" s="138" t="str">
        <f ca="1">IFERROR(__xludf.DUMMYFUNCTION("""COMPUTED_VALUE"""),"#N/A")</f>
        <v>#N/A</v>
      </c>
      <c r="AB49" s="138" t="str">
        <f ca="1">IFERROR(__xludf.DUMMYFUNCTION("""COMPUTED_VALUE"""),"#N/A")</f>
        <v>#N/A</v>
      </c>
      <c r="AC49" s="138" t="str">
        <f ca="1">IFERROR(__xludf.DUMMYFUNCTION("""COMPUTED_VALUE"""),"#N/A")</f>
        <v>#N/A</v>
      </c>
      <c r="AD49" s="138" t="str">
        <f ca="1">IFERROR(__xludf.DUMMYFUNCTION("""COMPUTED_VALUE"""),"#N/A")</f>
        <v>#N/A</v>
      </c>
      <c r="AE49" s="138" t="str">
        <f ca="1">IFERROR(__xludf.DUMMYFUNCTION("""COMPUTED_VALUE"""),"#N/A")</f>
        <v>#N/A</v>
      </c>
      <c r="AF49" s="138" t="str">
        <f ca="1">IFERROR(__xludf.DUMMYFUNCTION("""COMPUTED_VALUE"""),"#N/A")</f>
        <v>#N/A</v>
      </c>
      <c r="AG49" s="138" t="str">
        <f ca="1">IFERROR(__xludf.DUMMYFUNCTION("ArrayFormula(VLOOKUP(G49, IMPORTRANGE(""https://docs.google.com/spreadsheets/d/1Co934fvtviyaRiMsrIlT05Jaq7iiYq07aLvRr35KA48/edit?gid=173865642#gid=173865642"", ""'G10_Sci_Pri_LU'!G2:V2000""), {3, 4, 5, 6, 7, 8, 9, 10, 11, 12, 13, 14, 15, 16}, 0))"),"LU006241")</f>
        <v>LU006241</v>
      </c>
      <c r="AH49" s="138" t="str">
        <f ca="1">IFERROR(__xludf.DUMMYFUNCTION("""COMPUTED_VALUE"""),"Introduction to Cell Division(Mitosis and Meiosis)")</f>
        <v>Introduction to Cell Division(Mitosis and Meiosis)</v>
      </c>
      <c r="AI49" s="138" t="str">
        <f ca="1">IFERROR(__xludf.DUMMYFUNCTION("""COMPUTED_VALUE"""),"LU006233")</f>
        <v>LU006233</v>
      </c>
      <c r="AJ49" s="138" t="str">
        <f ca="1">IFERROR(__xludf.DUMMYFUNCTION("""COMPUTED_VALUE"""),"Function of a typical eukaryotic nucleus")</f>
        <v>Function of a typical eukaryotic nucleus</v>
      </c>
      <c r="AK49" s="138" t="str">
        <f ca="1">IFERROR(__xludf.DUMMYFUNCTION("""COMPUTED_VALUE"""),"LU005084")</f>
        <v>LU005084</v>
      </c>
      <c r="AL49" s="138" t="str">
        <f ca="1">IFERROR(__xludf.DUMMYFUNCTION("""COMPUTED_VALUE"""),"Unique human traits or habits which are passed on from one generation to next generation")</f>
        <v>Unique human traits or habits which are passed on from one generation to next generation</v>
      </c>
      <c r="AM49" s="138"/>
      <c r="AN49" s="138"/>
      <c r="AO49" s="138"/>
      <c r="AP49" s="138"/>
      <c r="AQ49" s="138"/>
      <c r="AR49" s="138"/>
      <c r="AS49" s="138"/>
      <c r="AT49" s="138"/>
    </row>
    <row r="50" spans="1:46">
      <c r="A50" s="54" t="s">
        <v>247</v>
      </c>
      <c r="B50" s="55" t="s">
        <v>47</v>
      </c>
      <c r="C50" s="55" t="s">
        <v>1172</v>
      </c>
      <c r="D50" s="55" t="s">
        <v>2463</v>
      </c>
      <c r="E50" s="55" t="s">
        <v>2531</v>
      </c>
      <c r="F50" s="55" t="s">
        <v>2540</v>
      </c>
      <c r="G50" s="55" t="s">
        <v>2118</v>
      </c>
      <c r="H50" s="54" t="str">
        <f ca="1">IFERROR(__xludf.DUMMYFUNCTION("VLOOKUP(G50, IMPORTRANGE(""https://docs.google.com/spreadsheets/d/14deopnvwcrKtEGCKuYXdUHJbeLDZlkiSSWWT0g7x2pM/edit#gid=849066331"", ""LU List Science (Filter)!A:B""), 2, FALSE)"),"Basic Mechanism of Sex Determination in Humans")</f>
        <v>Basic Mechanism of Sex Determination in Humans</v>
      </c>
      <c r="I50" s="55" t="str">
        <f t="shared" si="0"/>
        <v>LU005652.001</v>
      </c>
      <c r="J50" s="55" t="str">
        <f ca="1">IFERROR(__xludf.DUMMYFUNCTION("VLOOKUP(I50, IMPORTRANGE(""https://docs.google.com/spreadsheets/d/1yDAaXNsi4Mr5FtRQL4tbmSdIzhx6_m4wkOD7IG-k_eo/edit#gid=1336395716"", ""Science!M:N""), 2, FALSE)"),"Recall the basic principles of sex determination in humans, including the role of chromosomes and the distinction between autosomes and sex chromosomes.")</f>
        <v>Recall the basic principles of sex determination in humans, including the role of chromosomes and the distinction between autosomes and sex chromosomes.</v>
      </c>
      <c r="K50" s="55" t="str">
        <f t="shared" si="1"/>
        <v>LU005652.002</v>
      </c>
      <c r="L50" s="55" t="str">
        <f ca="1">IFERROR(__xludf.DUMMYFUNCTION("VLOOKUP(K50, IMPORTRANGE(""https://docs.google.com/spreadsheets/d/1yDAaXNsi4Mr5FtRQL4tbmSdIzhx6_m4wkOD7IG-k_eo/edit#gid=1336395716"", ""Science!M:N""), 2, FALSE)"),"Explain how sex is determined in humans, specifically how the combination of X and Y chromosomes leads to the development of male or female individuals during conception.")</f>
        <v>Explain how sex is determined in humans, specifically how the combination of X and Y chromosomes leads to the development of male or female individuals during conception.</v>
      </c>
      <c r="M50" s="55" t="str">
        <f t="shared" si="2"/>
        <v>LU005652.003</v>
      </c>
      <c r="N50" s="55" t="str">
        <f ca="1">IFERROR(__xludf.DUMMYFUNCTION("VLOOKUP(M50, IMPORTRANGE(""https://docs.google.com/spreadsheets/d/1yDAaXNsi4Mr5FtRQL4tbmSdIzhx6_m4wkOD7IG-k_eo/edit#gid=1336395716"", ""Science!M:N""), 2, FALSE)"),"Given a hypothetical genetic scenario, analyze the potential outcomes of sex determination based on the combination of sex chromosomes involved (XX for females, XY for males).")</f>
        <v>Given a hypothetical genetic scenario, analyze the potential outcomes of sex determination based on the combination of sex chromosomes involved (XX for females, XY for males).</v>
      </c>
      <c r="O50" s="55" t="str">
        <f t="shared" si="3"/>
        <v>LU005652.004</v>
      </c>
      <c r="P50" s="55" t="str">
        <f ca="1">IFERROR(__xludf.DUMMYFUNCTION("VLOOKUP(O50, IMPORTRANGE(""https://docs.google.com/spreadsheets/d/1yDAaXNsi4Mr5FtRQL4tbmSdIzhx6_m4wkOD7IG-k_eo/edit#gid=1336395716"", ""Science!M:N""), 2, FALSE)"),"Evaluate the importance of understanding the basic mechanism of sex determination in humans, emphasizing how this knowledge contributes to our understanding of human genetics and reproductive health.")</f>
        <v>Evaluate the importance of understanding the basic mechanism of sex determination in humans, emphasizing how this knowledge contributes to our understanding of human genetics and reproductive health.</v>
      </c>
      <c r="Q50" s="55" t="str">
        <f t="shared" si="4"/>
        <v>LU005652.005</v>
      </c>
      <c r="R50" s="55" t="str">
        <f ca="1">IFERROR(__xludf.DUMMYFUNCTION("VLOOKUP(Q50, IMPORTRANGE(""https://docs.google.com/spreadsheets/d/1yDAaXNsi4Mr5FtRQL4tbmSdIzhx6_m4wkOD7IG-k_eo/edit#gid=1336395716"", ""Science!M:N""), 2, FALSE)"),"default")</f>
        <v>default</v>
      </c>
      <c r="S50" s="55" t="str">
        <f t="shared" si="5"/>
        <v>LU005652.006</v>
      </c>
      <c r="T50" s="55" t="str">
        <f ca="1">IFERROR(__xludf.DUMMYFUNCTION("VLOOKUP(S50, IMPORTRANGE(""https://docs.google.com/spreadsheets/d/1yDAaXNsi4Mr5FtRQL4tbmSdIzhx6_m4wkOD7IG-k_eo/edit#gid=1336395716"", ""Science!M:N""), 2, FALSE)"),"Default")</f>
        <v>Default</v>
      </c>
      <c r="U50" s="137">
        <f ca="1">IFERROR(__xludf.DUMMYFUNCTION("ArrayFormula(VLOOKUP(G50, IMPORTRANGE(""https://docs.google.com/spreadsheets/d/1p7R4vtkWt5VOBim4ltsDG9KTzSjrtKXsMtQGXPHyND0/edit#gid=795171502"", ""'Filter 30_05_2024'!A1:M2000""), {2, 3, 4, 5,6,7,8,9,10,11,12,13}, 0))"),4)</f>
        <v>4</v>
      </c>
      <c r="V50" s="137">
        <f ca="1">IFERROR(__xludf.DUMMYFUNCTION("""COMPUTED_VALUE"""),6)</f>
        <v>6</v>
      </c>
      <c r="W50" s="137">
        <f ca="1">IFERROR(__xludf.DUMMYFUNCTION("""COMPUTED_VALUE"""),2)</f>
        <v>2</v>
      </c>
      <c r="X50" s="137">
        <f ca="1">IFERROR(__xludf.DUMMYFUNCTION("""COMPUTED_VALUE"""),12)</f>
        <v>12</v>
      </c>
      <c r="Y50" s="137">
        <f ca="1">IFERROR(__xludf.DUMMYFUNCTION("""COMPUTED_VALUE"""),4)</f>
        <v>4</v>
      </c>
      <c r="Z50" s="138">
        <f ca="1">IFERROR(__xludf.DUMMYFUNCTION("""COMPUTED_VALUE"""),4)</f>
        <v>4</v>
      </c>
      <c r="AA50" s="138">
        <f ca="1">IFERROR(__xludf.DUMMYFUNCTION("""COMPUTED_VALUE"""),1)</f>
        <v>1</v>
      </c>
      <c r="AB50" s="138">
        <f ca="1">IFERROR(__xludf.DUMMYFUNCTION("""COMPUTED_VALUE"""),9)</f>
        <v>9</v>
      </c>
      <c r="AC50" s="138"/>
      <c r="AD50" s="138"/>
      <c r="AE50" s="138"/>
      <c r="AF50" s="138"/>
      <c r="AG50" s="138" t="str">
        <f ca="1">IFERROR(__xludf.DUMMYFUNCTION("ArrayFormula(VLOOKUP(G50, IMPORTRANGE(""https://docs.google.com/spreadsheets/d/1Co934fvtviyaRiMsrIlT05Jaq7iiYq07aLvRr35KA48/edit?gid=173865642#gid=173865642"", ""'G10_Sci_Pri_LU'!G2:V2000""), {3, 4, 5, 6, 7, 8, 9, 10, 11, 12, 13, 14, 15, 16}, 0))"),"LU005660")</f>
        <v>LU005660</v>
      </c>
      <c r="AH50" s="138" t="str">
        <f ca="1">IFERROR(__xludf.DUMMYFUNCTION("""COMPUTED_VALUE"""),"Basics of fertilisation and post-fertilisation events in humans")</f>
        <v>Basics of fertilisation and post-fertilisation events in humans</v>
      </c>
      <c r="AI50" s="138" t="str">
        <f ca="1">IFERROR(__xludf.DUMMYFUNCTION("""COMPUTED_VALUE"""),"LU005659")</f>
        <v>LU005659</v>
      </c>
      <c r="AJ50" s="138" t="str">
        <f ca="1">IFERROR(__xludf.DUMMYFUNCTION("""COMPUTED_VALUE"""),"Male reproductive system in humans")</f>
        <v>Male reproductive system in humans</v>
      </c>
      <c r="AK50" s="138" t="str">
        <f ca="1">IFERROR(__xludf.DUMMYFUNCTION("""COMPUTED_VALUE"""),"LU005658")</f>
        <v>LU005658</v>
      </c>
      <c r="AL50" s="138" t="str">
        <f ca="1">IFERROR(__xludf.DUMMYFUNCTION("""COMPUTED_VALUE"""),"Female reproductive system in humans")</f>
        <v>Female reproductive system in humans</v>
      </c>
      <c r="AM50" s="138"/>
      <c r="AN50" s="138"/>
      <c r="AO50" s="138"/>
      <c r="AP50" s="138"/>
      <c r="AQ50" s="138"/>
      <c r="AR50" s="138"/>
      <c r="AS50" s="138"/>
      <c r="AT50" s="138"/>
    </row>
    <row r="51" spans="1:46">
      <c r="A51" s="54" t="s">
        <v>247</v>
      </c>
      <c r="B51" s="55" t="s">
        <v>47</v>
      </c>
      <c r="C51" s="55" t="s">
        <v>1172</v>
      </c>
      <c r="D51" s="55" t="s">
        <v>2463</v>
      </c>
      <c r="E51" s="55" t="s">
        <v>2541</v>
      </c>
      <c r="F51" s="55" t="s">
        <v>2542</v>
      </c>
      <c r="G51" s="55" t="s">
        <v>2083</v>
      </c>
      <c r="H51" s="54" t="str">
        <f ca="1">IFERROR(__xludf.DUMMYFUNCTION("VLOOKUP(G51, IMPORTRANGE(""https://docs.google.com/spreadsheets/d/14deopnvwcrKtEGCKuYXdUHJbeLDZlkiSSWWT0g7x2pM/edit#gid=849066331"", ""LU List Science (Filter)!A:B""), 2, FALSE)"),"Definition of Ecosystem")</f>
        <v>Definition of Ecosystem</v>
      </c>
      <c r="I51" s="55" t="str">
        <f t="shared" si="0"/>
        <v>LU005605.001</v>
      </c>
      <c r="J51" s="55" t="str">
        <f ca="1">IFERROR(__xludf.DUMMYFUNCTION("VLOOKUP(I51, IMPORTRANGE(""https://docs.google.com/spreadsheets/d/1yDAaXNsi4Mr5FtRQL4tbmSdIzhx6_m4wkOD7IG-k_eo/edit#gid=1336395716"", ""Science!M:N""), 2, FALSE)"),"Students will memorize the definition of an ecosystem.")</f>
        <v>Students will memorize the definition of an ecosystem.</v>
      </c>
      <c r="K51" s="55" t="str">
        <f t="shared" si="1"/>
        <v>LU005605.002</v>
      </c>
      <c r="L51" s="55" t="str">
        <f ca="1">IFERROR(__xludf.DUMMYFUNCTION("VLOOKUP(K51, IMPORTRANGE(""https://docs.google.com/spreadsheets/d/1yDAaXNsi4Mr5FtRQL4tbmSdIzhx6_m4wkOD7IG-k_eo/edit#gid=1336395716"", ""Science!M:N""), 2, FALSE)"),"Students will explain the components and functions of an ecosystem.")</f>
        <v>Students will explain the components and functions of an ecosystem.</v>
      </c>
      <c r="M51" s="55" t="str">
        <f t="shared" si="2"/>
        <v>LU005605.003</v>
      </c>
      <c r="N51" s="55" t="str">
        <f ca="1">IFERROR(__xludf.DUMMYFUNCTION("VLOOKUP(M51, IMPORTRANGE(""https://docs.google.com/spreadsheets/d/1yDAaXNsi4Mr5FtRQL4tbmSdIzhx6_m4wkOD7IG-k_eo/edit#gid=1336395716"", ""Science!M:N""), 2, FALSE)"),"Students will apply the concept of an ecosystem to differentiate between various examples like forests, ponds, and grasslands.")</f>
        <v>Students will apply the concept of an ecosystem to differentiate between various examples like forests, ponds, and grasslands.</v>
      </c>
      <c r="O51" s="55" t="str">
        <f t="shared" si="3"/>
        <v>LU005605.004</v>
      </c>
      <c r="P51" s="55" t="str">
        <f ca="1">IFERROR(__xludf.DUMMYFUNCTION("VLOOKUP(O51, IMPORTRANGE(""https://docs.google.com/spreadsheets/d/1yDAaXNsi4Mr5FtRQL4tbmSdIzhx6_m4wkOD7IG-k_eo/edit#gid=1336395716"", ""Science!M:N""), 2, FALSE)"),"Students will analyze the interdependent relationships within an ecosystem, such as those between predators and prey or plants and pollinators.")</f>
        <v>Students will analyze the interdependent relationships within an ecosystem, such as those between predators and prey or plants and pollinators.</v>
      </c>
      <c r="Q51" s="55" t="str">
        <f t="shared" si="4"/>
        <v>LU005605.005</v>
      </c>
      <c r="R51" s="55" t="str">
        <f ca="1">IFERROR(__xludf.DUMMYFUNCTION("VLOOKUP(Q51, IMPORTRANGE(""https://docs.google.com/spreadsheets/d/1yDAaXNsi4Mr5FtRQL4tbmSdIzhx6_m4wkOD7IG-k_eo/edit#gid=1336395716"", ""Science!M:N""), 2, FALSE)"),"Students will evaluate the impact of human activities on local ecosystems.")</f>
        <v>Students will evaluate the impact of human activities on local ecosystems.</v>
      </c>
      <c r="S51" s="55" t="str">
        <f t="shared" si="5"/>
        <v>LU005605.006</v>
      </c>
      <c r="T51" s="55" t="str">
        <f ca="1">IFERROR(__xludf.DUMMYFUNCTION("VLOOKUP(S51, IMPORTRANGE(""https://docs.google.com/spreadsheets/d/1yDAaXNsi4Mr5FtRQL4tbmSdIzhx6_m4wkOD7IG-k_eo/edit#gid=1336395716"", ""Science!M:N""), 2, FALSE)"),"#N/A")</f>
        <v>#N/A</v>
      </c>
      <c r="U51" s="137">
        <f ca="1">IFERROR(__xludf.DUMMYFUNCTION("ArrayFormula(VLOOKUP(G51, IMPORTRANGE(""https://docs.google.com/spreadsheets/d/1p7R4vtkWt5VOBim4ltsDG9KTzSjrtKXsMtQGXPHyND0/edit#gid=795171502"", ""'Filter 30_05_2024'!A1:M2000""), {2, 3, 4, 5,6,7,8,9,10,11,12,13}, 0))"),4)</f>
        <v>4</v>
      </c>
      <c r="V51" s="137">
        <f ca="1">IFERROR(__xludf.DUMMYFUNCTION("""COMPUTED_VALUE"""),6)</f>
        <v>6</v>
      </c>
      <c r="W51" s="137">
        <f ca="1">IFERROR(__xludf.DUMMYFUNCTION("""COMPUTED_VALUE"""),2)</f>
        <v>2</v>
      </c>
      <c r="X51" s="137">
        <f ca="1">IFERROR(__xludf.DUMMYFUNCTION("""COMPUTED_VALUE"""),12)</f>
        <v>12</v>
      </c>
      <c r="Y51" s="137">
        <f ca="1">IFERROR(__xludf.DUMMYFUNCTION("""COMPUTED_VALUE"""),4)</f>
        <v>4</v>
      </c>
      <c r="Z51" s="138">
        <f ca="1">IFERROR(__xludf.DUMMYFUNCTION("""COMPUTED_VALUE"""),3)</f>
        <v>3</v>
      </c>
      <c r="AA51" s="138">
        <f ca="1">IFERROR(__xludf.DUMMYFUNCTION("""COMPUTED_VALUE"""),1)</f>
        <v>1</v>
      </c>
      <c r="AB51" s="138">
        <f ca="1">IFERROR(__xludf.DUMMYFUNCTION("""COMPUTED_VALUE"""),8)</f>
        <v>8</v>
      </c>
      <c r="AC51" s="138"/>
      <c r="AD51" s="138"/>
      <c r="AE51" s="138"/>
      <c r="AF51" s="138"/>
      <c r="AG51" s="138" t="str">
        <f ca="1">IFERROR(__xludf.DUMMYFUNCTION("ArrayFormula(VLOOKUP(G51, IMPORTRANGE(""https://docs.google.com/spreadsheets/d/1Co934fvtviyaRiMsrIlT05Jaq7iiYq07aLvRr35KA48/edit?gid=173865642#gid=173865642"", ""'G10_Sci_Pri_LU'!G2:V2000""), {3, 4, 5, 6, 7, 8, 9, 10, 11, 12, 13, 14, 15, 16}, 0))"),"LU005259")</f>
        <v>LU005259</v>
      </c>
      <c r="AH51" s="138" t="str">
        <f ca="1">IFERROR(__xludf.DUMMYFUNCTION("""COMPUTED_VALUE"""),"Definition of biotic components")</f>
        <v>Definition of biotic components</v>
      </c>
      <c r="AI51" s="138" t="str">
        <f ca="1">IFERROR(__xludf.DUMMYFUNCTION("""COMPUTED_VALUE"""),"LU005253")</f>
        <v>LU005253</v>
      </c>
      <c r="AJ51" s="138" t="str">
        <f ca="1">IFERROR(__xludf.DUMMYFUNCTION("""COMPUTED_VALUE"""),"Definition of abiotic components")</f>
        <v>Definition of abiotic components</v>
      </c>
      <c r="AK51" s="138"/>
      <c r="AL51" s="138"/>
      <c r="AM51" s="138"/>
      <c r="AN51" s="138"/>
      <c r="AO51" s="138"/>
      <c r="AP51" s="138"/>
      <c r="AQ51" s="138"/>
      <c r="AR51" s="138"/>
      <c r="AS51" s="138"/>
      <c r="AT51" s="138"/>
    </row>
    <row r="52" spans="1:46">
      <c r="A52" s="54" t="s">
        <v>247</v>
      </c>
      <c r="B52" s="55" t="s">
        <v>47</v>
      </c>
      <c r="C52" s="55" t="s">
        <v>1172</v>
      </c>
      <c r="D52" s="55" t="s">
        <v>2463</v>
      </c>
      <c r="E52" s="55" t="s">
        <v>2541</v>
      </c>
      <c r="F52" s="55" t="s">
        <v>2542</v>
      </c>
      <c r="G52" s="55" t="s">
        <v>2543</v>
      </c>
      <c r="H52" s="54" t="str">
        <f ca="1">IFERROR(__xludf.DUMMYFUNCTION("VLOOKUP(G52, IMPORTRANGE(""https://docs.google.com/spreadsheets/d/14deopnvwcrKtEGCKuYXdUHJbeLDZlkiSSWWT0g7x2pM/edit#gid=849066331"", ""LU List Science (Filter)!A:B""), 2, FALSE)"),"Definition of producers, consumers, and decomposers")</f>
        <v>Definition of producers, consumers, and decomposers</v>
      </c>
      <c r="I52" s="55" t="str">
        <f t="shared" si="0"/>
        <v>LU006489.001</v>
      </c>
      <c r="J52" s="55" t="str">
        <f ca="1">IFERROR(__xludf.DUMMYFUNCTION("VLOOKUP(I52, IMPORTRANGE(""https://docs.google.com/spreadsheets/d/1yDAaXNsi4Mr5FtRQL4tbmSdIzhx6_m4wkOD7IG-k_eo/edit#gid=1336395716"", ""Science!M:N""), 2, FALSE)"),"(LU006489.001); Default - Remember")</f>
        <v>(LU006489.001); Default - Remember</v>
      </c>
      <c r="K52" s="55" t="str">
        <f t="shared" si="1"/>
        <v>LU006489.002</v>
      </c>
      <c r="L52" s="55" t="str">
        <f ca="1">IFERROR(__xludf.DUMMYFUNCTION("VLOOKUP(K52, IMPORTRANGE(""https://docs.google.com/spreadsheets/d/1yDAaXNsi4Mr5FtRQL4tbmSdIzhx6_m4wkOD7IG-k_eo/edit#gid=1336395716"", ""Science!M:N""), 2, FALSE)"),"(LU006489.002); Default - Understand")</f>
        <v>(LU006489.002); Default - Understand</v>
      </c>
      <c r="M52" s="55" t="str">
        <f t="shared" si="2"/>
        <v>LU006489.003</v>
      </c>
      <c r="N52" s="55" t="str">
        <f ca="1">IFERROR(__xludf.DUMMYFUNCTION("VLOOKUP(M52, IMPORTRANGE(""https://docs.google.com/spreadsheets/d/1yDAaXNsi4Mr5FtRQL4tbmSdIzhx6_m4wkOD7IG-k_eo/edit#gid=1336395716"", ""Science!M:N""), 2, FALSE)"),"(LU006489.003); Default - Apply")</f>
        <v>(LU006489.003); Default - Apply</v>
      </c>
      <c r="O52" s="55" t="str">
        <f t="shared" si="3"/>
        <v>LU006489.004</v>
      </c>
      <c r="P52" s="55" t="str">
        <f ca="1">IFERROR(__xludf.DUMMYFUNCTION("VLOOKUP(O52, IMPORTRANGE(""https://docs.google.com/spreadsheets/d/1yDAaXNsi4Mr5FtRQL4tbmSdIzhx6_m4wkOD7IG-k_eo/edit#gid=1336395716"", ""Science!M:N""), 2, FALSE)"),"(LU006489.004); Default - Analyse")</f>
        <v>(LU006489.004); Default - Analyse</v>
      </c>
      <c r="Q52" s="55" t="str">
        <f t="shared" si="4"/>
        <v>LU006489.005</v>
      </c>
      <c r="R52" s="55" t="str">
        <f ca="1">IFERROR(__xludf.DUMMYFUNCTION("VLOOKUP(Q52, IMPORTRANGE(""https://docs.google.com/spreadsheets/d/1yDAaXNsi4Mr5FtRQL4tbmSdIzhx6_m4wkOD7IG-k_eo/edit#gid=1336395716"", ""Science!M:N""), 2, FALSE)"),"(LU006489.005); Default - Evaluate")</f>
        <v>(LU006489.005); Default - Evaluate</v>
      </c>
      <c r="S52" s="55" t="str">
        <f t="shared" si="5"/>
        <v>LU006489.006</v>
      </c>
      <c r="T52" s="55" t="str">
        <f ca="1">IFERROR(__xludf.DUMMYFUNCTION("VLOOKUP(S52, IMPORTRANGE(""https://docs.google.com/spreadsheets/d/1yDAaXNsi4Mr5FtRQL4tbmSdIzhx6_m4wkOD7IG-k_eo/edit#gid=1336395716"", ""Science!M:N""), 2, FALSE)"),"(LU006489.006); Default - Create")</f>
        <v>(LU006489.006); Default - Create</v>
      </c>
      <c r="U52" s="137" t="str">
        <f ca="1">IFERROR(__xludf.DUMMYFUNCTION("ArrayFormula(VLOOKUP(G52, IMPORTRANGE(""https://docs.google.com/spreadsheets/d/1p7R4vtkWt5VOBim4ltsDG9KTzSjrtKXsMtQGXPHyND0/edit#gid=795171502"", ""'Filter 30_05_2024'!A1:M2000""), {2, 3, 4, 5,6,7,8,9,10,11,12,13}, 0))"),"#N/A")</f>
        <v>#N/A</v>
      </c>
      <c r="V52" s="137" t="str">
        <f ca="1">IFERROR(__xludf.DUMMYFUNCTION("""COMPUTED_VALUE"""),"#N/A")</f>
        <v>#N/A</v>
      </c>
      <c r="W52" s="137" t="str">
        <f ca="1">IFERROR(__xludf.DUMMYFUNCTION("""COMPUTED_VALUE"""),"#N/A")</f>
        <v>#N/A</v>
      </c>
      <c r="X52" s="137" t="str">
        <f ca="1">IFERROR(__xludf.DUMMYFUNCTION("""COMPUTED_VALUE"""),"#N/A")</f>
        <v>#N/A</v>
      </c>
      <c r="Y52" s="137" t="str">
        <f ca="1">IFERROR(__xludf.DUMMYFUNCTION("""COMPUTED_VALUE"""),"#N/A")</f>
        <v>#N/A</v>
      </c>
      <c r="Z52" s="138" t="str">
        <f ca="1">IFERROR(__xludf.DUMMYFUNCTION("""COMPUTED_VALUE"""),"#N/A")</f>
        <v>#N/A</v>
      </c>
      <c r="AA52" s="138" t="str">
        <f ca="1">IFERROR(__xludf.DUMMYFUNCTION("""COMPUTED_VALUE"""),"#N/A")</f>
        <v>#N/A</v>
      </c>
      <c r="AB52" s="138" t="str">
        <f ca="1">IFERROR(__xludf.DUMMYFUNCTION("""COMPUTED_VALUE"""),"#N/A")</f>
        <v>#N/A</v>
      </c>
      <c r="AC52" s="138" t="str">
        <f ca="1">IFERROR(__xludf.DUMMYFUNCTION("""COMPUTED_VALUE"""),"#N/A")</f>
        <v>#N/A</v>
      </c>
      <c r="AD52" s="138" t="str">
        <f ca="1">IFERROR(__xludf.DUMMYFUNCTION("""COMPUTED_VALUE"""),"#N/A")</f>
        <v>#N/A</v>
      </c>
      <c r="AE52" s="138" t="str">
        <f ca="1">IFERROR(__xludf.DUMMYFUNCTION("""COMPUTED_VALUE"""),"#N/A")</f>
        <v>#N/A</v>
      </c>
      <c r="AF52" s="138" t="str">
        <f ca="1">IFERROR(__xludf.DUMMYFUNCTION("""COMPUTED_VALUE"""),"#N/A")</f>
        <v>#N/A</v>
      </c>
      <c r="AG52" s="138" t="str">
        <f ca="1">IFERROR(__xludf.DUMMYFUNCTION("ArrayFormula(VLOOKUP(G52, IMPORTRANGE(""https://docs.google.com/spreadsheets/d/1Co934fvtviyaRiMsrIlT05Jaq7iiYq07aLvRr35KA48/edit?gid=173865642#gid=173865642"", ""'G10_Sci_Pri_LU'!G2:V2000""), {3, 4, 5, 6, 7, 8, 9, 10, 11, 12, 13, 14, 15, 16}, 0))"),"LU005963")</f>
        <v>LU005963</v>
      </c>
      <c r="AH52" s="138" t="str">
        <f ca="1">IFERROR(__xludf.DUMMYFUNCTION("""COMPUTED_VALUE"""),"Food habits of various animals")</f>
        <v>Food habits of various animals</v>
      </c>
      <c r="AI52" s="138" t="str">
        <f ca="1">IFERROR(__xludf.DUMMYFUNCTION("""COMPUTED_VALUE"""),"LU005605")</f>
        <v>LU005605</v>
      </c>
      <c r="AJ52" s="138" t="str">
        <f ca="1">IFERROR(__xludf.DUMMYFUNCTION("""COMPUTED_VALUE"""),"Definition of Ecosystem")</f>
        <v>Definition of Ecosystem</v>
      </c>
      <c r="AK52" s="138"/>
      <c r="AL52" s="138"/>
      <c r="AM52" s="138"/>
      <c r="AN52" s="138"/>
      <c r="AO52" s="138"/>
      <c r="AP52" s="138"/>
      <c r="AQ52" s="138"/>
      <c r="AR52" s="138"/>
      <c r="AS52" s="138"/>
      <c r="AT52" s="138"/>
    </row>
    <row r="53" spans="1:46">
      <c r="A53" s="54" t="s">
        <v>247</v>
      </c>
      <c r="B53" s="55" t="s">
        <v>47</v>
      </c>
      <c r="C53" s="55" t="s">
        <v>1172</v>
      </c>
      <c r="D53" s="55" t="s">
        <v>2463</v>
      </c>
      <c r="E53" s="55" t="s">
        <v>2541</v>
      </c>
      <c r="F53" s="55" t="s">
        <v>2544</v>
      </c>
      <c r="G53" s="55" t="s">
        <v>2545</v>
      </c>
      <c r="H53" s="54" t="str">
        <f ca="1">IFERROR(__xludf.DUMMYFUNCTION("VLOOKUP(G53, IMPORTRANGE(""https://docs.google.com/spreadsheets/d/14deopnvwcrKtEGCKuYXdUHJbeLDZlkiSSWWT0g7x2pM/edit#gid=849066331"", ""LU List Science (Filter)!A:B""), 2, FALSE)"),"Trophic levels in food chains and webs")</f>
        <v>Trophic levels in food chains and webs</v>
      </c>
      <c r="I53" s="55" t="str">
        <f t="shared" si="0"/>
        <v>LU006490.001</v>
      </c>
      <c r="J53" s="55" t="str">
        <f ca="1">IFERROR(__xludf.DUMMYFUNCTION("VLOOKUP(I53, IMPORTRANGE(""https://docs.google.com/spreadsheets/d/1yDAaXNsi4Mr5FtRQL4tbmSdIzhx6_m4wkOD7IG-k_eo/edit#gid=1336395716"", ""Science!M:N""), 2, FALSE)"),"(LU006490.001); Default - Remember")</f>
        <v>(LU006490.001); Default - Remember</v>
      </c>
      <c r="K53" s="55" t="str">
        <f t="shared" si="1"/>
        <v>LU006490.002</v>
      </c>
      <c r="L53" s="55" t="str">
        <f ca="1">IFERROR(__xludf.DUMMYFUNCTION("VLOOKUP(K53, IMPORTRANGE(""https://docs.google.com/spreadsheets/d/1yDAaXNsi4Mr5FtRQL4tbmSdIzhx6_m4wkOD7IG-k_eo/edit#gid=1336395716"", ""Science!M:N""), 2, FALSE)"),"(LU006490.002); Default - Understand")</f>
        <v>(LU006490.002); Default - Understand</v>
      </c>
      <c r="M53" s="55" t="str">
        <f t="shared" si="2"/>
        <v>LU006490.003</v>
      </c>
      <c r="N53" s="55" t="str">
        <f ca="1">IFERROR(__xludf.DUMMYFUNCTION("VLOOKUP(M53, IMPORTRANGE(""https://docs.google.com/spreadsheets/d/1yDAaXNsi4Mr5FtRQL4tbmSdIzhx6_m4wkOD7IG-k_eo/edit#gid=1336395716"", ""Science!M:N""), 2, FALSE)"),"(LU006490.003); Default - Apply")</f>
        <v>(LU006490.003); Default - Apply</v>
      </c>
      <c r="O53" s="55" t="str">
        <f t="shared" si="3"/>
        <v>LU006490.004</v>
      </c>
      <c r="P53" s="55" t="str">
        <f ca="1">IFERROR(__xludf.DUMMYFUNCTION("VLOOKUP(O53, IMPORTRANGE(""https://docs.google.com/spreadsheets/d/1yDAaXNsi4Mr5FtRQL4tbmSdIzhx6_m4wkOD7IG-k_eo/edit#gid=1336395716"", ""Science!M:N""), 2, FALSE)"),"(LU006490.004); Default - Analyse")</f>
        <v>(LU006490.004); Default - Analyse</v>
      </c>
      <c r="Q53" s="55" t="str">
        <f t="shared" si="4"/>
        <v>LU006490.005</v>
      </c>
      <c r="R53" s="55" t="str">
        <f ca="1">IFERROR(__xludf.DUMMYFUNCTION("VLOOKUP(Q53, IMPORTRANGE(""https://docs.google.com/spreadsheets/d/1yDAaXNsi4Mr5FtRQL4tbmSdIzhx6_m4wkOD7IG-k_eo/edit#gid=1336395716"", ""Science!M:N""), 2, FALSE)"),"(LU006490.005); Default - Evaluate")</f>
        <v>(LU006490.005); Default - Evaluate</v>
      </c>
      <c r="S53" s="55" t="str">
        <f t="shared" si="5"/>
        <v>LU006490.006</v>
      </c>
      <c r="T53" s="55" t="str">
        <f ca="1">IFERROR(__xludf.DUMMYFUNCTION("VLOOKUP(S53, IMPORTRANGE(""https://docs.google.com/spreadsheets/d/1yDAaXNsi4Mr5FtRQL4tbmSdIzhx6_m4wkOD7IG-k_eo/edit#gid=1336395716"", ""Science!M:N""), 2, FALSE)"),"(LU006490.006); Default - Create")</f>
        <v>(LU006490.006); Default - Create</v>
      </c>
      <c r="U53" s="137" t="str">
        <f ca="1">IFERROR(__xludf.DUMMYFUNCTION("ArrayFormula(VLOOKUP(G53, IMPORTRANGE(""https://docs.google.com/spreadsheets/d/1p7R4vtkWt5VOBim4ltsDG9KTzSjrtKXsMtQGXPHyND0/edit#gid=795171502"", ""'Filter 30_05_2024'!A1:M2000""), {2, 3, 4, 5,6,7,8,9,10,11,12,13}, 0))"),"#N/A")</f>
        <v>#N/A</v>
      </c>
      <c r="V53" s="137" t="str">
        <f ca="1">IFERROR(__xludf.DUMMYFUNCTION("""COMPUTED_VALUE"""),"#N/A")</f>
        <v>#N/A</v>
      </c>
      <c r="W53" s="137" t="str">
        <f ca="1">IFERROR(__xludf.DUMMYFUNCTION("""COMPUTED_VALUE"""),"#N/A")</f>
        <v>#N/A</v>
      </c>
      <c r="X53" s="137" t="str">
        <f ca="1">IFERROR(__xludf.DUMMYFUNCTION("""COMPUTED_VALUE"""),"#N/A")</f>
        <v>#N/A</v>
      </c>
      <c r="Y53" s="137" t="str">
        <f ca="1">IFERROR(__xludf.DUMMYFUNCTION("""COMPUTED_VALUE"""),"#N/A")</f>
        <v>#N/A</v>
      </c>
      <c r="Z53" s="138" t="str">
        <f ca="1">IFERROR(__xludf.DUMMYFUNCTION("""COMPUTED_VALUE"""),"#N/A")</f>
        <v>#N/A</v>
      </c>
      <c r="AA53" s="138" t="str">
        <f ca="1">IFERROR(__xludf.DUMMYFUNCTION("""COMPUTED_VALUE"""),"#N/A")</f>
        <v>#N/A</v>
      </c>
      <c r="AB53" s="138" t="str">
        <f ca="1">IFERROR(__xludf.DUMMYFUNCTION("""COMPUTED_VALUE"""),"#N/A")</f>
        <v>#N/A</v>
      </c>
      <c r="AC53" s="138" t="str">
        <f ca="1">IFERROR(__xludf.DUMMYFUNCTION("""COMPUTED_VALUE"""),"#N/A")</f>
        <v>#N/A</v>
      </c>
      <c r="AD53" s="138" t="str">
        <f ca="1">IFERROR(__xludf.DUMMYFUNCTION("""COMPUTED_VALUE"""),"#N/A")</f>
        <v>#N/A</v>
      </c>
      <c r="AE53" s="138" t="str">
        <f ca="1">IFERROR(__xludf.DUMMYFUNCTION("""COMPUTED_VALUE"""),"#N/A")</f>
        <v>#N/A</v>
      </c>
      <c r="AF53" s="138" t="str">
        <f ca="1">IFERROR(__xludf.DUMMYFUNCTION("""COMPUTED_VALUE"""),"#N/A")</f>
        <v>#N/A</v>
      </c>
      <c r="AG53" s="138" t="str">
        <f ca="1">IFERROR(__xludf.DUMMYFUNCTION("ArrayFormula(VLOOKUP(G53, IMPORTRANGE(""https://docs.google.com/spreadsheets/d/1Co934fvtviyaRiMsrIlT05Jaq7iiYq07aLvRr35KA48/edit?gid=173865642#gid=173865642"", ""'G10_Sci_Pri_LU'!G2:V2000""), {3, 4, 5, 6, 7, 8, 9, 10, 11, 12, 13, 14, 15, 16}, 0))"),"LU006489")</f>
        <v>LU006489</v>
      </c>
      <c r="AH53" s="138" t="str">
        <f ca="1">IFERROR(__xludf.DUMMYFUNCTION("""COMPUTED_VALUE"""),"Definition of producers, consumers, and decomposers")</f>
        <v>Definition of producers, consumers, and decomposers</v>
      </c>
      <c r="AI53" s="138" t="str">
        <f ca="1">IFERROR(__xludf.DUMMYFUNCTION("""COMPUTED_VALUE"""),"LU005321")</f>
        <v>LU005321</v>
      </c>
      <c r="AJ53" s="138" t="str">
        <f ca="1">IFERROR(__xludf.DUMMYFUNCTION("""COMPUTED_VALUE"""),"Forest-animals and plants, habitat, food chains and food web")</f>
        <v>Forest-animals and plants, habitat, food chains and food web</v>
      </c>
      <c r="AK53" s="138" t="str">
        <f ca="1">IFERROR(__xludf.DUMMYFUNCTION("""COMPUTED_VALUE"""),"LU005605")</f>
        <v>LU005605</v>
      </c>
      <c r="AL53" s="138" t="str">
        <f ca="1">IFERROR(__xludf.DUMMYFUNCTION("""COMPUTED_VALUE"""),"Definition of Ecosystem")</f>
        <v>Definition of Ecosystem</v>
      </c>
      <c r="AM53" s="138"/>
      <c r="AN53" s="138"/>
      <c r="AO53" s="138"/>
      <c r="AP53" s="138"/>
      <c r="AQ53" s="138"/>
      <c r="AR53" s="138"/>
      <c r="AS53" s="138"/>
      <c r="AT53" s="138"/>
    </row>
    <row r="54" spans="1:46">
      <c r="A54" s="54" t="s">
        <v>247</v>
      </c>
      <c r="B54" s="55" t="s">
        <v>47</v>
      </c>
      <c r="C54" s="55" t="s">
        <v>1172</v>
      </c>
      <c r="D54" s="55" t="s">
        <v>2463</v>
      </c>
      <c r="E54" s="55" t="s">
        <v>2541</v>
      </c>
      <c r="F54" s="55" t="s">
        <v>2544</v>
      </c>
      <c r="G54" s="55" t="s">
        <v>2546</v>
      </c>
      <c r="H54" s="54" t="str">
        <f ca="1">IFERROR(__xludf.DUMMYFUNCTION("VLOOKUP(G54, IMPORTRANGE(""https://docs.google.com/spreadsheets/d/14deopnvwcrKtEGCKuYXdUHJbeLDZlkiSSWWT0g7x2pM/edit#gid=849066331"", ""LU List Science (Filter)!A:B""), 2, FALSE)"),"Concept of biological magnification")</f>
        <v>Concept of biological magnification</v>
      </c>
      <c r="I54" s="55" t="str">
        <f t="shared" si="0"/>
        <v>LU006491.001</v>
      </c>
      <c r="J54" s="55" t="str">
        <f ca="1">IFERROR(__xludf.DUMMYFUNCTION("VLOOKUP(I54, IMPORTRANGE(""https://docs.google.com/spreadsheets/d/1yDAaXNsi4Mr5FtRQL4tbmSdIzhx6_m4wkOD7IG-k_eo/edit#gid=1336395716"", ""Science!M:N""), 2, FALSE)"),"(LU006491.001); Default - Remember")</f>
        <v>(LU006491.001); Default - Remember</v>
      </c>
      <c r="K54" s="55" t="str">
        <f t="shared" si="1"/>
        <v>LU006491.002</v>
      </c>
      <c r="L54" s="55" t="str">
        <f ca="1">IFERROR(__xludf.DUMMYFUNCTION("VLOOKUP(K54, IMPORTRANGE(""https://docs.google.com/spreadsheets/d/1yDAaXNsi4Mr5FtRQL4tbmSdIzhx6_m4wkOD7IG-k_eo/edit#gid=1336395716"", ""Science!M:N""), 2, FALSE)"),"(LU006491.002); Default - Understand")</f>
        <v>(LU006491.002); Default - Understand</v>
      </c>
      <c r="M54" s="55" t="str">
        <f t="shared" si="2"/>
        <v>LU006491.003</v>
      </c>
      <c r="N54" s="55" t="str">
        <f ca="1">IFERROR(__xludf.DUMMYFUNCTION("VLOOKUP(M54, IMPORTRANGE(""https://docs.google.com/spreadsheets/d/1yDAaXNsi4Mr5FtRQL4tbmSdIzhx6_m4wkOD7IG-k_eo/edit#gid=1336395716"", ""Science!M:N""), 2, FALSE)"),"(LU006491.003); Default - Apply")</f>
        <v>(LU006491.003); Default - Apply</v>
      </c>
      <c r="O54" s="55" t="str">
        <f t="shared" si="3"/>
        <v>LU006491.004</v>
      </c>
      <c r="P54" s="55" t="str">
        <f ca="1">IFERROR(__xludf.DUMMYFUNCTION("VLOOKUP(O54, IMPORTRANGE(""https://docs.google.com/spreadsheets/d/1yDAaXNsi4Mr5FtRQL4tbmSdIzhx6_m4wkOD7IG-k_eo/edit#gid=1336395716"", ""Science!M:N""), 2, FALSE)"),"(LU006491.004); Default - Analyse")</f>
        <v>(LU006491.004); Default - Analyse</v>
      </c>
      <c r="Q54" s="55" t="str">
        <f t="shared" si="4"/>
        <v>LU006491.005</v>
      </c>
      <c r="R54" s="55" t="str">
        <f ca="1">IFERROR(__xludf.DUMMYFUNCTION("VLOOKUP(Q54, IMPORTRANGE(""https://docs.google.com/spreadsheets/d/1yDAaXNsi4Mr5FtRQL4tbmSdIzhx6_m4wkOD7IG-k_eo/edit#gid=1336395716"", ""Science!M:N""), 2, FALSE)"),"(LU006491.005); Default - Evaluate")</f>
        <v>(LU006491.005); Default - Evaluate</v>
      </c>
      <c r="S54" s="55" t="str">
        <f t="shared" si="5"/>
        <v>LU006491.006</v>
      </c>
      <c r="T54" s="55" t="str">
        <f ca="1">IFERROR(__xludf.DUMMYFUNCTION("VLOOKUP(S54, IMPORTRANGE(""https://docs.google.com/spreadsheets/d/1yDAaXNsi4Mr5FtRQL4tbmSdIzhx6_m4wkOD7IG-k_eo/edit#gid=1336395716"", ""Science!M:N""), 2, FALSE)"),"(LU006491.006); Default - Create")</f>
        <v>(LU006491.006); Default - Create</v>
      </c>
      <c r="U54" s="137" t="str">
        <f ca="1">IFERROR(__xludf.DUMMYFUNCTION("ArrayFormula(VLOOKUP(G54, IMPORTRANGE(""https://docs.google.com/spreadsheets/d/1p7R4vtkWt5VOBim4ltsDG9KTzSjrtKXsMtQGXPHyND0/edit#gid=795171502"", ""'Filter 30_05_2024'!A1:M2000""), {2, 3, 4, 5,6,7,8,9,10,11,12,13}, 0))"),"#N/A")</f>
        <v>#N/A</v>
      </c>
      <c r="V54" s="137" t="str">
        <f ca="1">IFERROR(__xludf.DUMMYFUNCTION("""COMPUTED_VALUE"""),"#N/A")</f>
        <v>#N/A</v>
      </c>
      <c r="W54" s="137" t="str">
        <f ca="1">IFERROR(__xludf.DUMMYFUNCTION("""COMPUTED_VALUE"""),"#N/A")</f>
        <v>#N/A</v>
      </c>
      <c r="X54" s="137" t="str">
        <f ca="1">IFERROR(__xludf.DUMMYFUNCTION("""COMPUTED_VALUE"""),"#N/A")</f>
        <v>#N/A</v>
      </c>
      <c r="Y54" s="137" t="str">
        <f ca="1">IFERROR(__xludf.DUMMYFUNCTION("""COMPUTED_VALUE"""),"#N/A")</f>
        <v>#N/A</v>
      </c>
      <c r="Z54" s="138" t="str">
        <f ca="1">IFERROR(__xludf.DUMMYFUNCTION("""COMPUTED_VALUE"""),"#N/A")</f>
        <v>#N/A</v>
      </c>
      <c r="AA54" s="138" t="str">
        <f ca="1">IFERROR(__xludf.DUMMYFUNCTION("""COMPUTED_VALUE"""),"#N/A")</f>
        <v>#N/A</v>
      </c>
      <c r="AB54" s="138" t="str">
        <f ca="1">IFERROR(__xludf.DUMMYFUNCTION("""COMPUTED_VALUE"""),"#N/A")</f>
        <v>#N/A</v>
      </c>
      <c r="AC54" s="138" t="str">
        <f ca="1">IFERROR(__xludf.DUMMYFUNCTION("""COMPUTED_VALUE"""),"#N/A")</f>
        <v>#N/A</v>
      </c>
      <c r="AD54" s="138" t="str">
        <f ca="1">IFERROR(__xludf.DUMMYFUNCTION("""COMPUTED_VALUE"""),"#N/A")</f>
        <v>#N/A</v>
      </c>
      <c r="AE54" s="138" t="str">
        <f ca="1">IFERROR(__xludf.DUMMYFUNCTION("""COMPUTED_VALUE"""),"#N/A")</f>
        <v>#N/A</v>
      </c>
      <c r="AF54" s="138" t="str">
        <f ca="1">IFERROR(__xludf.DUMMYFUNCTION("""COMPUTED_VALUE"""),"#N/A")</f>
        <v>#N/A</v>
      </c>
      <c r="AG54" s="138" t="str">
        <f ca="1">IFERROR(__xludf.DUMMYFUNCTION("ArrayFormula(VLOOKUP(G54, IMPORTRANGE(""https://docs.google.com/spreadsheets/d/1Co934fvtviyaRiMsrIlT05Jaq7iiYq07aLvRr35KA48/edit?gid=173865642#gid=173865642"", ""'G10_Sci_Pri_LU'!G2:V2000""), {3, 4, 5, 6, 7, 8, 9, 10, 11, 12, 13, 14, 15, 16}, 0))"),"LU006490")</f>
        <v>LU006490</v>
      </c>
      <c r="AH54" s="138" t="str">
        <f ca="1">IFERROR(__xludf.DUMMYFUNCTION("""COMPUTED_VALUE"""),"Trophic levels in food chains and webs")</f>
        <v>Trophic levels in food chains and webs</v>
      </c>
      <c r="AI54" s="138" t="str">
        <f ca="1">IFERROR(__xludf.DUMMYFUNCTION("""COMPUTED_VALUE"""),"LU006489")</f>
        <v>LU006489</v>
      </c>
      <c r="AJ54" s="138" t="str">
        <f ca="1">IFERROR(__xludf.DUMMYFUNCTION("""COMPUTED_VALUE"""),"Definition of producers, consumers, and decomposers")</f>
        <v>Definition of producers, consumers, and decomposers</v>
      </c>
      <c r="AK54" s="138" t="str">
        <f ca="1">IFERROR(__xludf.DUMMYFUNCTION("""COMPUTED_VALUE"""),"LU005605")</f>
        <v>LU005605</v>
      </c>
      <c r="AL54" s="138" t="str">
        <f ca="1">IFERROR(__xludf.DUMMYFUNCTION("""COMPUTED_VALUE"""),"Definition of Ecosystem")</f>
        <v>Definition of Ecosystem</v>
      </c>
      <c r="AM54" s="138"/>
      <c r="AN54" s="138"/>
      <c r="AO54" s="138"/>
      <c r="AP54" s="138"/>
      <c r="AQ54" s="138"/>
      <c r="AR54" s="138"/>
      <c r="AS54" s="138"/>
      <c r="AT54" s="138"/>
    </row>
    <row r="55" spans="1:46">
      <c r="A55" s="54" t="s">
        <v>247</v>
      </c>
      <c r="B55" s="55" t="s">
        <v>47</v>
      </c>
      <c r="C55" s="55" t="s">
        <v>1172</v>
      </c>
      <c r="D55" s="55" t="s">
        <v>2463</v>
      </c>
      <c r="E55" s="55" t="s">
        <v>2541</v>
      </c>
      <c r="F55" s="55" t="s">
        <v>2547</v>
      </c>
      <c r="G55" s="55" t="s">
        <v>2548</v>
      </c>
      <c r="H55" s="54" t="str">
        <f ca="1">IFERROR(__xludf.DUMMYFUNCTION("VLOOKUP(G55, IMPORTRANGE(""https://docs.google.com/spreadsheets/d/14deopnvwcrKtEGCKuYXdUHJbeLDZlkiSSWWT0g7x2pM/edit#gid=849066331"", ""LU List Science (Filter)!A:B""), 2, FALSE)"),"Concept of ozone layer depletion")</f>
        <v>Concept of ozone layer depletion</v>
      </c>
      <c r="I55" s="55" t="str">
        <f t="shared" si="0"/>
        <v>LU006492.001</v>
      </c>
      <c r="J55" s="55" t="str">
        <f ca="1">IFERROR(__xludf.DUMMYFUNCTION("VLOOKUP(I55, IMPORTRANGE(""https://docs.google.com/spreadsheets/d/1yDAaXNsi4Mr5FtRQL4tbmSdIzhx6_m4wkOD7IG-k_eo/edit#gid=1336395716"", ""Science!M:N""), 2, FALSE)"),"(LU006492.001); Default - Remember")</f>
        <v>(LU006492.001); Default - Remember</v>
      </c>
      <c r="K55" s="55" t="str">
        <f t="shared" si="1"/>
        <v>LU006492.002</v>
      </c>
      <c r="L55" s="55" t="str">
        <f ca="1">IFERROR(__xludf.DUMMYFUNCTION("VLOOKUP(K55, IMPORTRANGE(""https://docs.google.com/spreadsheets/d/1yDAaXNsi4Mr5FtRQL4tbmSdIzhx6_m4wkOD7IG-k_eo/edit#gid=1336395716"", ""Science!M:N""), 2, FALSE)"),"(LU006492.002); Default - Understand")</f>
        <v>(LU006492.002); Default - Understand</v>
      </c>
      <c r="M55" s="55" t="str">
        <f t="shared" si="2"/>
        <v>LU006492.003</v>
      </c>
      <c r="N55" s="55" t="str">
        <f ca="1">IFERROR(__xludf.DUMMYFUNCTION("VLOOKUP(M55, IMPORTRANGE(""https://docs.google.com/spreadsheets/d/1yDAaXNsi4Mr5FtRQL4tbmSdIzhx6_m4wkOD7IG-k_eo/edit#gid=1336395716"", ""Science!M:N""), 2, FALSE)"),"(LU006492.003); Default - Apply")</f>
        <v>(LU006492.003); Default - Apply</v>
      </c>
      <c r="O55" s="55" t="str">
        <f t="shared" si="3"/>
        <v>LU006492.004</v>
      </c>
      <c r="P55" s="55" t="str">
        <f ca="1">IFERROR(__xludf.DUMMYFUNCTION("VLOOKUP(O55, IMPORTRANGE(""https://docs.google.com/spreadsheets/d/1yDAaXNsi4Mr5FtRQL4tbmSdIzhx6_m4wkOD7IG-k_eo/edit#gid=1336395716"", ""Science!M:N""), 2, FALSE)"),"(LU006492.004); Default - Analyse")</f>
        <v>(LU006492.004); Default - Analyse</v>
      </c>
      <c r="Q55" s="55" t="str">
        <f t="shared" si="4"/>
        <v>LU006492.005</v>
      </c>
      <c r="R55" s="55" t="str">
        <f ca="1">IFERROR(__xludf.DUMMYFUNCTION("VLOOKUP(Q55, IMPORTRANGE(""https://docs.google.com/spreadsheets/d/1yDAaXNsi4Mr5FtRQL4tbmSdIzhx6_m4wkOD7IG-k_eo/edit#gid=1336395716"", ""Science!M:N""), 2, FALSE)"),"(LU006492.005); Default - Evaluate")</f>
        <v>(LU006492.005); Default - Evaluate</v>
      </c>
      <c r="S55" s="55" t="str">
        <f t="shared" si="5"/>
        <v>LU006492.006</v>
      </c>
      <c r="T55" s="55" t="str">
        <f ca="1">IFERROR(__xludf.DUMMYFUNCTION("VLOOKUP(S55, IMPORTRANGE(""https://docs.google.com/spreadsheets/d/1yDAaXNsi4Mr5FtRQL4tbmSdIzhx6_m4wkOD7IG-k_eo/edit#gid=1336395716"", ""Science!M:N""), 2, FALSE)"),"(LU006492.006); Default - Create")</f>
        <v>(LU006492.006); Default - Create</v>
      </c>
      <c r="U55" s="137" t="str">
        <f ca="1">IFERROR(__xludf.DUMMYFUNCTION("ArrayFormula(VLOOKUP(G55, IMPORTRANGE(""https://docs.google.com/spreadsheets/d/1p7R4vtkWt5VOBim4ltsDG9KTzSjrtKXsMtQGXPHyND0/edit#gid=795171502"", ""'Filter 30_05_2024'!A1:M2000""), {2, 3, 4, 5,6,7,8,9,10,11,12,13}, 0))"),"#N/A")</f>
        <v>#N/A</v>
      </c>
      <c r="V55" s="137" t="str">
        <f ca="1">IFERROR(__xludf.DUMMYFUNCTION("""COMPUTED_VALUE"""),"#N/A")</f>
        <v>#N/A</v>
      </c>
      <c r="W55" s="137" t="str">
        <f ca="1">IFERROR(__xludf.DUMMYFUNCTION("""COMPUTED_VALUE"""),"#N/A")</f>
        <v>#N/A</v>
      </c>
      <c r="X55" s="137" t="str">
        <f ca="1">IFERROR(__xludf.DUMMYFUNCTION("""COMPUTED_VALUE"""),"#N/A")</f>
        <v>#N/A</v>
      </c>
      <c r="Y55" s="137" t="str">
        <f ca="1">IFERROR(__xludf.DUMMYFUNCTION("""COMPUTED_VALUE"""),"#N/A")</f>
        <v>#N/A</v>
      </c>
      <c r="Z55" s="138" t="str">
        <f ca="1">IFERROR(__xludf.DUMMYFUNCTION("""COMPUTED_VALUE"""),"#N/A")</f>
        <v>#N/A</v>
      </c>
      <c r="AA55" s="138" t="str">
        <f ca="1">IFERROR(__xludf.DUMMYFUNCTION("""COMPUTED_VALUE"""),"#N/A")</f>
        <v>#N/A</v>
      </c>
      <c r="AB55" s="138" t="str">
        <f ca="1">IFERROR(__xludf.DUMMYFUNCTION("""COMPUTED_VALUE"""),"#N/A")</f>
        <v>#N/A</v>
      </c>
      <c r="AC55" s="138" t="str">
        <f ca="1">IFERROR(__xludf.DUMMYFUNCTION("""COMPUTED_VALUE"""),"#N/A")</f>
        <v>#N/A</v>
      </c>
      <c r="AD55" s="138" t="str">
        <f ca="1">IFERROR(__xludf.DUMMYFUNCTION("""COMPUTED_VALUE"""),"#N/A")</f>
        <v>#N/A</v>
      </c>
      <c r="AE55" s="138" t="str">
        <f ca="1">IFERROR(__xludf.DUMMYFUNCTION("""COMPUTED_VALUE"""),"#N/A")</f>
        <v>#N/A</v>
      </c>
      <c r="AF55" s="138" t="str">
        <f ca="1">IFERROR(__xludf.DUMMYFUNCTION("""COMPUTED_VALUE"""),"#N/A")</f>
        <v>#N/A</v>
      </c>
      <c r="AG55" s="138" t="str">
        <f ca="1">IFERROR(__xludf.DUMMYFUNCTION("ArrayFormula(VLOOKUP(G55, IMPORTRANGE(""https://docs.google.com/spreadsheets/d/1Co934fvtviyaRiMsrIlT05Jaq7iiYq07aLvRr35KA48/edit?gid=173865642#gid=173865642"", ""'G10_Sci_Pri_LU'!G2:V2000""), {3, 4, 5, 6, 7, 8, 9, 10, 11, 12, 13, 14, 15, 16}, 0))"),"")</f>
        <v/>
      </c>
      <c r="AH55" s="138"/>
      <c r="AI55" s="138"/>
      <c r="AJ55" s="138"/>
      <c r="AK55" s="138"/>
      <c r="AL55" s="138"/>
      <c r="AM55" s="138"/>
      <c r="AN55" s="138"/>
      <c r="AO55" s="138"/>
      <c r="AP55" s="138"/>
      <c r="AQ55" s="138"/>
      <c r="AR55" s="138"/>
      <c r="AS55" s="138"/>
      <c r="AT55" s="138"/>
    </row>
    <row r="56" spans="1:46">
      <c r="A56" s="54" t="s">
        <v>247</v>
      </c>
      <c r="B56" s="55" t="s">
        <v>47</v>
      </c>
      <c r="C56" s="55" t="s">
        <v>1172</v>
      </c>
      <c r="D56" s="55" t="s">
        <v>2463</v>
      </c>
      <c r="E56" s="55" t="s">
        <v>2541</v>
      </c>
      <c r="F56" s="55" t="s">
        <v>2547</v>
      </c>
      <c r="G56" s="55" t="s">
        <v>2549</v>
      </c>
      <c r="H56" s="54" t="str">
        <f ca="1">IFERROR(__xludf.DUMMYFUNCTION("VLOOKUP(G56, IMPORTRANGE(""https://docs.google.com/spreadsheets/d/14deopnvwcrKtEGCKuYXdUHJbeLDZlkiSSWWT0g7x2pM/edit#gid=849066331"", ""LU List Science (Filter)!A:B""), 2, FALSE)"),"Impact of biodegradable and nonbiodegradable waste on environment")</f>
        <v>Impact of biodegradable and nonbiodegradable waste on environment</v>
      </c>
      <c r="I56" s="55" t="str">
        <f t="shared" si="0"/>
        <v>LU006493.001</v>
      </c>
      <c r="J56" s="55" t="str">
        <f ca="1">IFERROR(__xludf.DUMMYFUNCTION("VLOOKUP(I56, IMPORTRANGE(""https://docs.google.com/spreadsheets/d/1yDAaXNsi4Mr5FtRQL4tbmSdIzhx6_m4wkOD7IG-k_eo/edit#gid=1336395716"", ""Science!M:N""), 2, FALSE)"),"(LU006493.001); Default - Remember")</f>
        <v>(LU006493.001); Default - Remember</v>
      </c>
      <c r="K56" s="55" t="str">
        <f t="shared" si="1"/>
        <v>LU006493.002</v>
      </c>
      <c r="L56" s="55" t="str">
        <f ca="1">IFERROR(__xludf.DUMMYFUNCTION("VLOOKUP(K56, IMPORTRANGE(""https://docs.google.com/spreadsheets/d/1yDAaXNsi4Mr5FtRQL4tbmSdIzhx6_m4wkOD7IG-k_eo/edit#gid=1336395716"", ""Science!M:N""), 2, FALSE)"),"(LU006493.002); Default - Understand")</f>
        <v>(LU006493.002); Default - Understand</v>
      </c>
      <c r="M56" s="55" t="str">
        <f t="shared" si="2"/>
        <v>LU006493.003</v>
      </c>
      <c r="N56" s="55" t="str">
        <f ca="1">IFERROR(__xludf.DUMMYFUNCTION("VLOOKUP(M56, IMPORTRANGE(""https://docs.google.com/spreadsheets/d/1yDAaXNsi4Mr5FtRQL4tbmSdIzhx6_m4wkOD7IG-k_eo/edit#gid=1336395716"", ""Science!M:N""), 2, FALSE)"),"(LU006493.003); Default - Apply")</f>
        <v>(LU006493.003); Default - Apply</v>
      </c>
      <c r="O56" s="55" t="str">
        <f t="shared" si="3"/>
        <v>LU006493.004</v>
      </c>
      <c r="P56" s="55" t="str">
        <f ca="1">IFERROR(__xludf.DUMMYFUNCTION("VLOOKUP(O56, IMPORTRANGE(""https://docs.google.com/spreadsheets/d/1yDAaXNsi4Mr5FtRQL4tbmSdIzhx6_m4wkOD7IG-k_eo/edit#gid=1336395716"", ""Science!M:N""), 2, FALSE)"),"(LU006493.004); Default - Analyse")</f>
        <v>(LU006493.004); Default - Analyse</v>
      </c>
      <c r="Q56" s="55" t="str">
        <f t="shared" si="4"/>
        <v>LU006493.005</v>
      </c>
      <c r="R56" s="55" t="str">
        <f ca="1">IFERROR(__xludf.DUMMYFUNCTION("VLOOKUP(Q56, IMPORTRANGE(""https://docs.google.com/spreadsheets/d/1yDAaXNsi4Mr5FtRQL4tbmSdIzhx6_m4wkOD7IG-k_eo/edit#gid=1336395716"", ""Science!M:N""), 2, FALSE)"),"(LU006493.005); Default - Evaluate")</f>
        <v>(LU006493.005); Default - Evaluate</v>
      </c>
      <c r="S56" s="55" t="str">
        <f t="shared" si="5"/>
        <v>LU006493.006</v>
      </c>
      <c r="T56" s="55" t="str">
        <f ca="1">IFERROR(__xludf.DUMMYFUNCTION("VLOOKUP(S56, IMPORTRANGE(""https://docs.google.com/spreadsheets/d/1yDAaXNsi4Mr5FtRQL4tbmSdIzhx6_m4wkOD7IG-k_eo/edit#gid=1336395716"", ""Science!M:N""), 2, FALSE)"),"(LU006493.006); Default - Create")</f>
        <v>(LU006493.006); Default - Create</v>
      </c>
      <c r="U56" s="137" t="str">
        <f ca="1">IFERROR(__xludf.DUMMYFUNCTION("ArrayFormula(VLOOKUP(G56, IMPORTRANGE(""https://docs.google.com/spreadsheets/d/1p7R4vtkWt5VOBim4ltsDG9KTzSjrtKXsMtQGXPHyND0/edit#gid=795171502"", ""'Filter 30_05_2024'!A1:M2000""), {2, 3, 4, 5,6,7,8,9,10,11,12,13}, 0))"),"#N/A")</f>
        <v>#N/A</v>
      </c>
      <c r="V56" s="137" t="str">
        <f ca="1">IFERROR(__xludf.DUMMYFUNCTION("""COMPUTED_VALUE"""),"#N/A")</f>
        <v>#N/A</v>
      </c>
      <c r="W56" s="137" t="str">
        <f ca="1">IFERROR(__xludf.DUMMYFUNCTION("""COMPUTED_VALUE"""),"#N/A")</f>
        <v>#N/A</v>
      </c>
      <c r="X56" s="137" t="str">
        <f ca="1">IFERROR(__xludf.DUMMYFUNCTION("""COMPUTED_VALUE"""),"#N/A")</f>
        <v>#N/A</v>
      </c>
      <c r="Y56" s="137" t="str">
        <f ca="1">IFERROR(__xludf.DUMMYFUNCTION("""COMPUTED_VALUE"""),"#N/A")</f>
        <v>#N/A</v>
      </c>
      <c r="Z56" s="138" t="str">
        <f ca="1">IFERROR(__xludf.DUMMYFUNCTION("""COMPUTED_VALUE"""),"#N/A")</f>
        <v>#N/A</v>
      </c>
      <c r="AA56" s="138" t="str">
        <f ca="1">IFERROR(__xludf.DUMMYFUNCTION("""COMPUTED_VALUE"""),"#N/A")</f>
        <v>#N/A</v>
      </c>
      <c r="AB56" s="138" t="str">
        <f ca="1">IFERROR(__xludf.DUMMYFUNCTION("""COMPUTED_VALUE"""),"#N/A")</f>
        <v>#N/A</v>
      </c>
      <c r="AC56" s="138" t="str">
        <f ca="1">IFERROR(__xludf.DUMMYFUNCTION("""COMPUTED_VALUE"""),"#N/A")</f>
        <v>#N/A</v>
      </c>
      <c r="AD56" s="138" t="str">
        <f ca="1">IFERROR(__xludf.DUMMYFUNCTION("""COMPUTED_VALUE"""),"#N/A")</f>
        <v>#N/A</v>
      </c>
      <c r="AE56" s="138" t="str">
        <f ca="1">IFERROR(__xludf.DUMMYFUNCTION("""COMPUTED_VALUE"""),"#N/A")</f>
        <v>#N/A</v>
      </c>
      <c r="AF56" s="138" t="str">
        <f ca="1">IFERROR(__xludf.DUMMYFUNCTION("""COMPUTED_VALUE"""),"#N/A")</f>
        <v>#N/A</v>
      </c>
      <c r="AG56" s="138" t="str">
        <f ca="1">IFERROR(__xludf.DUMMYFUNCTION("ArrayFormula(VLOOKUP(G56, IMPORTRANGE(""https://docs.google.com/spreadsheets/d/1Co934fvtviyaRiMsrIlT05Jaq7iiYq07aLvRr35KA48/edit?gid=173865642#gid=173865642"", ""'G10_Sci_Pri_LU'!G2:V2000""), {3, 4, 5, 6, 7, 8, 9, 10, 11, 12, 13, 14, 15, 16}, 0))"),"LU005260")</f>
        <v>LU005260</v>
      </c>
      <c r="AH56" s="138" t="str">
        <f ca="1">IFERROR(__xludf.DUMMYFUNCTION("""COMPUTED_VALUE"""),"Definition of biodegradable and non-biodegradable substances")</f>
        <v>Definition of biodegradable and non-biodegradable substances</v>
      </c>
      <c r="AI56" s="138" t="str">
        <f ca="1">IFERROR(__xludf.DUMMYFUNCTION("""COMPUTED_VALUE"""),"LU005411")</f>
        <v>LU005411</v>
      </c>
      <c r="AJ56" s="138" t="str">
        <f ca="1">IFERROR(__xludf.DUMMYFUNCTION("""COMPUTED_VALUE"""),"Saprotrophic mode of nutrition")</f>
        <v>Saprotrophic mode of nutrition</v>
      </c>
      <c r="AK56" s="138" t="str">
        <f ca="1">IFERROR(__xludf.DUMMYFUNCTION("""COMPUTED_VALUE"""),"LU005964")</f>
        <v>LU005964</v>
      </c>
      <c r="AL56" s="138" t="str">
        <f ca="1">IFERROR(__xludf.DUMMYFUNCTION("""COMPUTED_VALUE"""),"Decomposers' Role in Forest Health")</f>
        <v>Decomposers' Role in Forest Health</v>
      </c>
      <c r="AM56" s="138"/>
      <c r="AN56" s="138"/>
      <c r="AO56" s="138"/>
      <c r="AP56" s="138"/>
      <c r="AQ56" s="138"/>
      <c r="AR56" s="138"/>
      <c r="AS56" s="138"/>
      <c r="AT56" s="138"/>
    </row>
    <row r="57" spans="1:46">
      <c r="A57" s="54" t="s">
        <v>247</v>
      </c>
      <c r="B57" s="139" t="s">
        <v>47</v>
      </c>
      <c r="C57" s="139" t="s">
        <v>1172</v>
      </c>
      <c r="D57" s="143" t="s">
        <v>1510</v>
      </c>
      <c r="E57" s="139" t="s">
        <v>2550</v>
      </c>
      <c r="F57" s="139" t="s">
        <v>2551</v>
      </c>
      <c r="G57" s="140" t="s">
        <v>2552</v>
      </c>
      <c r="H57" s="140" t="str">
        <f ca="1">IFERROR(__xludf.DUMMYFUNCTION("VLOOKUP(G57, IMPORTRANGE(""https://docs.google.com/spreadsheets/d/14deopnvwcrKtEGCKuYXdUHJbeLDZlkiSSWWT0g7x2pM/edit#gid=849066331"", ""LU List Science (Filter)!A:B""), 2, FALSE)"),"Types of spherical mirrors and terms related to it")</f>
        <v>Types of spherical mirrors and terms related to it</v>
      </c>
      <c r="I57" s="55" t="str">
        <f t="shared" si="0"/>
        <v>LU006582.001</v>
      </c>
      <c r="J57" s="55" t="str">
        <f ca="1">IFERROR(__xludf.DUMMYFUNCTION("VLOOKUP(I57, IMPORTRANGE(""https://docs.google.com/spreadsheets/d/1yDAaXNsi4Mr5FtRQL4tbmSdIzhx6_m4wkOD7IG-k_eo/edit#gid=1336395716"", ""Science!M:N""), 2, FALSE)"),"(LU006582.001); Default - Remember")</f>
        <v>(LU006582.001); Default - Remember</v>
      </c>
      <c r="K57" s="55" t="str">
        <f t="shared" si="1"/>
        <v>LU006582.002</v>
      </c>
      <c r="L57" s="55" t="str">
        <f ca="1">IFERROR(__xludf.DUMMYFUNCTION("VLOOKUP(K57, IMPORTRANGE(""https://docs.google.com/spreadsheets/d/1yDAaXNsi4Mr5FtRQL4tbmSdIzhx6_m4wkOD7IG-k_eo/edit#gid=1336395716"", ""Science!M:N""), 2, FALSE)"),"(LU006582.002); Default - Understand")</f>
        <v>(LU006582.002); Default - Understand</v>
      </c>
      <c r="M57" s="55" t="str">
        <f t="shared" si="2"/>
        <v>LU006582.003</v>
      </c>
      <c r="N57" s="55" t="str">
        <f ca="1">IFERROR(__xludf.DUMMYFUNCTION("VLOOKUP(M57, IMPORTRANGE(""https://docs.google.com/spreadsheets/d/1yDAaXNsi4Mr5FtRQL4tbmSdIzhx6_m4wkOD7IG-k_eo/edit#gid=1336395716"", ""Science!M:N""), 2, FALSE)"),"(LU006582.003); Default - Apply")</f>
        <v>(LU006582.003); Default - Apply</v>
      </c>
      <c r="O57" s="55" t="str">
        <f t="shared" si="3"/>
        <v>LU006582.004</v>
      </c>
      <c r="P57" s="55" t="str">
        <f ca="1">IFERROR(__xludf.DUMMYFUNCTION("VLOOKUP(O57, IMPORTRANGE(""https://docs.google.com/spreadsheets/d/1yDAaXNsi4Mr5FtRQL4tbmSdIzhx6_m4wkOD7IG-k_eo/edit#gid=1336395716"", ""Science!M:N""), 2, FALSE)"),"(LU006582.004); Default - Analyse")</f>
        <v>(LU006582.004); Default - Analyse</v>
      </c>
      <c r="Q57" s="55" t="str">
        <f t="shared" si="4"/>
        <v>LU006582.005</v>
      </c>
      <c r="R57" s="55" t="str">
        <f ca="1">IFERROR(__xludf.DUMMYFUNCTION("VLOOKUP(Q57, IMPORTRANGE(""https://docs.google.com/spreadsheets/d/1yDAaXNsi4Mr5FtRQL4tbmSdIzhx6_m4wkOD7IG-k_eo/edit#gid=1336395716"", ""Science!M:N""), 2, FALSE)"),"(LU006582.005); Default - Evaluate")</f>
        <v>(LU006582.005); Default - Evaluate</v>
      </c>
      <c r="S57" s="55" t="str">
        <f t="shared" si="5"/>
        <v>LU006582.006</v>
      </c>
      <c r="T57" s="55" t="str">
        <f ca="1">IFERROR(__xludf.DUMMYFUNCTION("VLOOKUP(S57, IMPORTRANGE(""https://docs.google.com/spreadsheets/d/1yDAaXNsi4Mr5FtRQL4tbmSdIzhx6_m4wkOD7IG-k_eo/edit#gid=1336395716"", ""Science!M:N""), 2, FALSE)"),"(LU006582.006); Default - Create")</f>
        <v>(LU006582.006); Default - Create</v>
      </c>
      <c r="U57" s="137" t="str">
        <f ca="1">IFERROR(__xludf.DUMMYFUNCTION("ArrayFormula(VLOOKUP(G57, IMPORTRANGE(""https://docs.google.com/spreadsheets/d/1p7R4vtkWt5VOBim4ltsDG9KTzSjrtKXsMtQGXPHyND0/edit#gid=795171502"", ""'Filter 30_05_2024'!A1:M2000""), {2, 3, 4, 5,6,7,8,9,10,11,12,13}, 0))"),"#N/A")</f>
        <v>#N/A</v>
      </c>
      <c r="V57" s="137" t="str">
        <f ca="1">IFERROR(__xludf.DUMMYFUNCTION("""COMPUTED_VALUE"""),"#N/A")</f>
        <v>#N/A</v>
      </c>
      <c r="W57" s="137" t="str">
        <f ca="1">IFERROR(__xludf.DUMMYFUNCTION("""COMPUTED_VALUE"""),"#N/A")</f>
        <v>#N/A</v>
      </c>
      <c r="X57" s="137" t="str">
        <f ca="1">IFERROR(__xludf.DUMMYFUNCTION("""COMPUTED_VALUE"""),"#N/A")</f>
        <v>#N/A</v>
      </c>
      <c r="Y57" s="137" t="str">
        <f ca="1">IFERROR(__xludf.DUMMYFUNCTION("""COMPUTED_VALUE"""),"#N/A")</f>
        <v>#N/A</v>
      </c>
      <c r="Z57" s="143" t="str">
        <f ca="1">IFERROR(__xludf.DUMMYFUNCTION("""COMPUTED_VALUE"""),"#N/A")</f>
        <v>#N/A</v>
      </c>
      <c r="AA57" s="143" t="str">
        <f ca="1">IFERROR(__xludf.DUMMYFUNCTION("""COMPUTED_VALUE"""),"#N/A")</f>
        <v>#N/A</v>
      </c>
      <c r="AB57" s="143" t="str">
        <f ca="1">IFERROR(__xludf.DUMMYFUNCTION("""COMPUTED_VALUE"""),"#N/A")</f>
        <v>#N/A</v>
      </c>
      <c r="AC57" s="143" t="str">
        <f ca="1">IFERROR(__xludf.DUMMYFUNCTION("""COMPUTED_VALUE"""),"#N/A")</f>
        <v>#N/A</v>
      </c>
      <c r="AD57" s="143" t="str">
        <f ca="1">IFERROR(__xludf.DUMMYFUNCTION("""COMPUTED_VALUE"""),"#N/A")</f>
        <v>#N/A</v>
      </c>
      <c r="AE57" s="143" t="str">
        <f ca="1">IFERROR(__xludf.DUMMYFUNCTION("""COMPUTED_VALUE"""),"#N/A")</f>
        <v>#N/A</v>
      </c>
      <c r="AF57" s="143" t="str">
        <f ca="1">IFERROR(__xludf.DUMMYFUNCTION("""COMPUTED_VALUE"""),"#N/A")</f>
        <v>#N/A</v>
      </c>
      <c r="AG57" s="138" t="str">
        <f ca="1">IFERROR(__xludf.DUMMYFUNCTION("ArrayFormula(VLOOKUP(G57, IMPORTRANGE(""https://docs.google.com/spreadsheets/d/1Co934fvtviyaRiMsrIlT05Jaq7iiYq07aLvRr35KA48/edit?gid=173865642#gid=173865642"", ""'G10_Sci_Pri_LU'!G2:V2000""), {3, 4, 5, 6, 7, 8, 9, 10, 11, 12, 13, 14, 15, 16}, 0))"),"LU005367")</f>
        <v>LU005367</v>
      </c>
      <c r="AH57" s="143" t="str">
        <f ca="1">IFERROR(__xludf.DUMMYFUNCTION("""COMPUTED_VALUE"""),"Characteristics of image formed by plane mirror")</f>
        <v>Characteristics of image formed by plane mirror</v>
      </c>
      <c r="AI57" s="143" t="str">
        <f ca="1">IFERROR(__xludf.DUMMYFUNCTION("""COMPUTED_VALUE"""),"LU005372")</f>
        <v>LU005372</v>
      </c>
      <c r="AJ57" s="143" t="str">
        <f ca="1">IFERROR(__xludf.DUMMYFUNCTION("""COMPUTED_VALUE"""),"Laws of reflection")</f>
        <v>Laws of reflection</v>
      </c>
      <c r="AK57" s="143" t="str">
        <f ca="1">IFERROR(__xludf.DUMMYFUNCTION("""COMPUTED_VALUE"""),"LU005369")</f>
        <v>LU005369</v>
      </c>
      <c r="AL57" s="143" t="str">
        <f ca="1">IFERROR(__xludf.DUMMYFUNCTION("""COMPUTED_VALUE"""),"Definition of mirrors")</f>
        <v>Definition of mirrors</v>
      </c>
      <c r="AM57" s="143"/>
      <c r="AN57" s="143"/>
      <c r="AO57" s="143"/>
      <c r="AP57" s="143"/>
      <c r="AQ57" s="143"/>
      <c r="AR57" s="143"/>
      <c r="AS57" s="143"/>
      <c r="AT57" s="143"/>
    </row>
    <row r="58" spans="1:46">
      <c r="A58" s="54" t="s">
        <v>247</v>
      </c>
      <c r="B58" s="55" t="s">
        <v>47</v>
      </c>
      <c r="C58" s="55" t="s">
        <v>1172</v>
      </c>
      <c r="D58" s="138" t="s">
        <v>1510</v>
      </c>
      <c r="E58" s="55" t="s">
        <v>2550</v>
      </c>
      <c r="F58" s="55" t="s">
        <v>2551</v>
      </c>
      <c r="G58" s="54" t="s">
        <v>2553</v>
      </c>
      <c r="H58" s="54" t="str">
        <f ca="1">IFERROR(__xludf.DUMMYFUNCTION("VLOOKUP(G58, IMPORTRANGE(""https://docs.google.com/spreadsheets/d/14deopnvwcrKtEGCKuYXdUHJbeLDZlkiSSWWT0g7x2pM/edit#gid=849066331"", ""LU List Science (Filter)!A:B""), 2, FALSE)"),"Representation of images formed by spherical mirrors using ray diagram")</f>
        <v>Representation of images formed by spherical mirrors using ray diagram</v>
      </c>
      <c r="I58" s="55" t="str">
        <f t="shared" si="0"/>
        <v>LU006494.001</v>
      </c>
      <c r="J58" s="55" t="str">
        <f ca="1">IFERROR(__xludf.DUMMYFUNCTION("VLOOKUP(I58, IMPORTRANGE(""https://docs.google.com/spreadsheets/d/1yDAaXNsi4Mr5FtRQL4tbmSdIzhx6_m4wkOD7IG-k_eo/edit#gid=1336395716"", ""Science!M:N""), 2, FALSE)"),"(LU006494.001); Default - Remember")</f>
        <v>(LU006494.001); Default - Remember</v>
      </c>
      <c r="K58" s="55" t="str">
        <f t="shared" si="1"/>
        <v>LU006494.002</v>
      </c>
      <c r="L58" s="55" t="str">
        <f ca="1">IFERROR(__xludf.DUMMYFUNCTION("VLOOKUP(K58, IMPORTRANGE(""https://docs.google.com/spreadsheets/d/1yDAaXNsi4Mr5FtRQL4tbmSdIzhx6_m4wkOD7IG-k_eo/edit#gid=1336395716"", ""Science!M:N""), 2, FALSE)"),"(LU006494.002); Default - Understand")</f>
        <v>(LU006494.002); Default - Understand</v>
      </c>
      <c r="M58" s="55" t="str">
        <f t="shared" si="2"/>
        <v>LU006494.003</v>
      </c>
      <c r="N58" s="55" t="str">
        <f ca="1">IFERROR(__xludf.DUMMYFUNCTION("VLOOKUP(M58, IMPORTRANGE(""https://docs.google.com/spreadsheets/d/1yDAaXNsi4Mr5FtRQL4tbmSdIzhx6_m4wkOD7IG-k_eo/edit#gid=1336395716"", ""Science!M:N""), 2, FALSE)"),"(LU006494.003); Default - Apply")</f>
        <v>(LU006494.003); Default - Apply</v>
      </c>
      <c r="O58" s="55" t="str">
        <f t="shared" si="3"/>
        <v>LU006494.004</v>
      </c>
      <c r="P58" s="55" t="str">
        <f ca="1">IFERROR(__xludf.DUMMYFUNCTION("VLOOKUP(O58, IMPORTRANGE(""https://docs.google.com/spreadsheets/d/1yDAaXNsi4Mr5FtRQL4tbmSdIzhx6_m4wkOD7IG-k_eo/edit#gid=1336395716"", ""Science!M:N""), 2, FALSE)"),"(LU006494.004); Default - Analyse")</f>
        <v>(LU006494.004); Default - Analyse</v>
      </c>
      <c r="Q58" s="55" t="str">
        <f t="shared" si="4"/>
        <v>LU006494.005</v>
      </c>
      <c r="R58" s="55" t="str">
        <f ca="1">IFERROR(__xludf.DUMMYFUNCTION("VLOOKUP(Q58, IMPORTRANGE(""https://docs.google.com/spreadsheets/d/1yDAaXNsi4Mr5FtRQL4tbmSdIzhx6_m4wkOD7IG-k_eo/edit#gid=1336395716"", ""Science!M:N""), 2, FALSE)"),"(LU006494.005); Default - Evaluate")</f>
        <v>(LU006494.005); Default - Evaluate</v>
      </c>
      <c r="S58" s="55" t="str">
        <f t="shared" si="5"/>
        <v>LU006494.006</v>
      </c>
      <c r="T58" s="55" t="str">
        <f ca="1">IFERROR(__xludf.DUMMYFUNCTION("VLOOKUP(S58, IMPORTRANGE(""https://docs.google.com/spreadsheets/d/1yDAaXNsi4Mr5FtRQL4tbmSdIzhx6_m4wkOD7IG-k_eo/edit#gid=1336395716"", ""Science!M:N""), 2, FALSE)"),"(LU006494.006); Default - Create")</f>
        <v>(LU006494.006); Default - Create</v>
      </c>
      <c r="U58" s="137" t="str">
        <f ca="1">IFERROR(__xludf.DUMMYFUNCTION("ArrayFormula(VLOOKUP(G58, IMPORTRANGE(""https://docs.google.com/spreadsheets/d/1p7R4vtkWt5VOBim4ltsDG9KTzSjrtKXsMtQGXPHyND0/edit#gid=795171502"", ""'Filter 30_05_2024'!A1:M2000""), {2, 3, 4, 5,6,7,8,9,10,11,12,13}, 0))"),"#N/A")</f>
        <v>#N/A</v>
      </c>
      <c r="V58" s="137" t="str">
        <f ca="1">IFERROR(__xludf.DUMMYFUNCTION("""COMPUTED_VALUE"""),"#N/A")</f>
        <v>#N/A</v>
      </c>
      <c r="W58" s="137" t="str">
        <f ca="1">IFERROR(__xludf.DUMMYFUNCTION("""COMPUTED_VALUE"""),"#N/A")</f>
        <v>#N/A</v>
      </c>
      <c r="X58" s="137" t="str">
        <f ca="1">IFERROR(__xludf.DUMMYFUNCTION("""COMPUTED_VALUE"""),"#N/A")</f>
        <v>#N/A</v>
      </c>
      <c r="Y58" s="137" t="str">
        <f ca="1">IFERROR(__xludf.DUMMYFUNCTION("""COMPUTED_VALUE"""),"#N/A")</f>
        <v>#N/A</v>
      </c>
      <c r="Z58" s="138" t="str">
        <f ca="1">IFERROR(__xludf.DUMMYFUNCTION("""COMPUTED_VALUE"""),"#N/A")</f>
        <v>#N/A</v>
      </c>
      <c r="AA58" s="138" t="str">
        <f ca="1">IFERROR(__xludf.DUMMYFUNCTION("""COMPUTED_VALUE"""),"#N/A")</f>
        <v>#N/A</v>
      </c>
      <c r="AB58" s="138" t="str">
        <f ca="1">IFERROR(__xludf.DUMMYFUNCTION("""COMPUTED_VALUE"""),"#N/A")</f>
        <v>#N/A</v>
      </c>
      <c r="AC58" s="138" t="str">
        <f ca="1">IFERROR(__xludf.DUMMYFUNCTION("""COMPUTED_VALUE"""),"#N/A")</f>
        <v>#N/A</v>
      </c>
      <c r="AD58" s="138" t="str">
        <f ca="1">IFERROR(__xludf.DUMMYFUNCTION("""COMPUTED_VALUE"""),"#N/A")</f>
        <v>#N/A</v>
      </c>
      <c r="AE58" s="138" t="str">
        <f ca="1">IFERROR(__xludf.DUMMYFUNCTION("""COMPUTED_VALUE"""),"#N/A")</f>
        <v>#N/A</v>
      </c>
      <c r="AF58" s="138" t="str">
        <f ca="1">IFERROR(__xludf.DUMMYFUNCTION("""COMPUTED_VALUE"""),"#N/A")</f>
        <v>#N/A</v>
      </c>
      <c r="AG58" s="138" t="str">
        <f ca="1">IFERROR(__xludf.DUMMYFUNCTION("ArrayFormula(VLOOKUP(G58, IMPORTRANGE(""https://docs.google.com/spreadsheets/d/1Co934fvtviyaRiMsrIlT05Jaq7iiYq07aLvRr35KA48/edit?gid=173865642#gid=173865642"", ""'G10_Sci_Pri_LU'!G2:V2000""), {3, 4, 5, 6, 7, 8, 9, 10, 11, 12, 13, 14, 15, 16}, 0))"),"LU006582")</f>
        <v>LU006582</v>
      </c>
      <c r="AH58" s="138" t="str">
        <f ca="1">IFERROR(__xludf.DUMMYFUNCTION("""COMPUTED_VALUE"""),"Types of spherical mirrors and terms related to it")</f>
        <v>Types of spherical mirrors and terms related to it</v>
      </c>
      <c r="AI58" s="138"/>
      <c r="AJ58" s="138"/>
      <c r="AK58" s="138"/>
      <c r="AL58" s="138"/>
      <c r="AM58" s="138"/>
      <c r="AN58" s="138"/>
      <c r="AO58" s="138"/>
      <c r="AP58" s="138"/>
      <c r="AQ58" s="138"/>
      <c r="AR58" s="138"/>
      <c r="AS58" s="138"/>
      <c r="AT58" s="138"/>
    </row>
    <row r="59" spans="1:46">
      <c r="A59" s="54" t="s">
        <v>247</v>
      </c>
      <c r="B59" s="55" t="s">
        <v>47</v>
      </c>
      <c r="C59" s="55" t="s">
        <v>1172</v>
      </c>
      <c r="D59" s="138" t="s">
        <v>1510</v>
      </c>
      <c r="E59" s="55" t="s">
        <v>2550</v>
      </c>
      <c r="F59" s="55" t="s">
        <v>2554</v>
      </c>
      <c r="G59" s="55" t="s">
        <v>2555</v>
      </c>
      <c r="H59" s="54" t="str">
        <f ca="1">IFERROR(__xludf.DUMMYFUNCTION("VLOOKUP(G59, IMPORTRANGE(""https://docs.google.com/spreadsheets/d/14deopnvwcrKtEGCKuYXdUHJbeLDZlkiSSWWT0g7x2pM/edit#gid=849066331"", ""LU List Science (Filter)!A:B""), 2, FALSE)"),"Image formation by concave mirror using ray diagram ")</f>
        <v xml:space="preserve">Image formation by concave mirror using ray diagram </v>
      </c>
      <c r="I59" s="55" t="str">
        <f t="shared" si="0"/>
        <v>LU005921.001</v>
      </c>
      <c r="J59" s="55" t="str">
        <f ca="1">IFERROR(__xludf.DUMMYFUNCTION("VLOOKUP(I59, IMPORTRANGE(""https://docs.google.com/spreadsheets/d/1yDAaXNsi4Mr5FtRQL4tbmSdIzhx6_m4wkOD7IG-k_eo/edit#gid=1336395716"", ""Science!M:N""), 2, FALSE)"),"Identify the rules for drawing ray diagrams for concave mirrors.")</f>
        <v>Identify the rules for drawing ray diagrams for concave mirrors.</v>
      </c>
      <c r="K59" s="55" t="str">
        <f t="shared" si="1"/>
        <v>LU005921.002</v>
      </c>
      <c r="L59" s="55" t="str">
        <f ca="1">IFERROR(__xludf.DUMMYFUNCTION("VLOOKUP(K59, IMPORTRANGE(""https://docs.google.com/spreadsheets/d/1yDAaXNsi4Mr5FtRQL4tbmSdIzhx6_m4wkOD7IG-k_eo/edit#gid=1336395716"", ""Science!M:N""), 2, FALSE)"),"Describe the process of image formation in concave mirrors using ray diagrams.")</f>
        <v>Describe the process of image formation in concave mirrors using ray diagrams.</v>
      </c>
      <c r="M59" s="55" t="str">
        <f t="shared" si="2"/>
        <v>LU005921.003</v>
      </c>
      <c r="N59" s="55" t="str">
        <f ca="1">IFERROR(__xludf.DUMMYFUNCTION("VLOOKUP(M59, IMPORTRANGE(""https://docs.google.com/spreadsheets/d/1yDAaXNsi4Mr5FtRQL4tbmSdIzhx6_m4wkOD7IG-k_eo/edit#gid=1336395716"", ""Science!M:N""), 2, FALSE)"),"Construct ray diagrams to find image properties for various object positions in concave mirrors.")</f>
        <v>Construct ray diagrams to find image properties for various object positions in concave mirrors.</v>
      </c>
      <c r="O59" s="55" t="str">
        <f t="shared" si="3"/>
        <v>LU005921.004</v>
      </c>
      <c r="P59" s="55" t="str">
        <f ca="1">IFERROR(__xludf.DUMMYFUNCTION("VLOOKUP(O59, IMPORTRANGE(""https://docs.google.com/spreadsheets/d/1yDAaXNsi4Mr5FtRQL4tbmSdIzhx6_m4wkOD7IG-k_eo/edit#gid=1336395716"", ""Science!M:N""), 2, FALSE)"),"Examine the correlation between ray diagrams and the mirror equation in determining image characteristics.")</f>
        <v>Examine the correlation between ray diagrams and the mirror equation in determining image characteristics.</v>
      </c>
      <c r="Q59" s="55" t="str">
        <f t="shared" si="4"/>
        <v>LU005921.005</v>
      </c>
      <c r="R59" s="55" t="str">
        <f ca="1">IFERROR(__xludf.DUMMYFUNCTION("VLOOKUP(Q59, IMPORTRANGE(""https://docs.google.com/spreadsheets/d/1yDAaXNsi4Mr5FtRQL4tbmSdIzhx6_m4wkOD7IG-k_eo/edit#gid=1336395716"", ""Science!M:N""), 2, FALSE)"),"Critique the effectiveness of ray diagrams in accurately predicting image formation in concave mirrors.")</f>
        <v>Critique the effectiveness of ray diagrams in accurately predicting image formation in concave mirrors.</v>
      </c>
      <c r="S59" s="55" t="str">
        <f t="shared" si="5"/>
        <v>LU005921.006</v>
      </c>
      <c r="T59" s="55" t="str">
        <f ca="1">IFERROR(__xludf.DUMMYFUNCTION("VLOOKUP(S59, IMPORTRANGE(""https://docs.google.com/spreadsheets/d/1yDAaXNsi4Mr5FtRQL4tbmSdIzhx6_m4wkOD7IG-k_eo/edit#gid=1336395716"", ""Science!M:N""), 2, FALSE)"),"(LU005921.006); Default - Create")</f>
        <v>(LU005921.006); Default - Create</v>
      </c>
      <c r="U59" s="137" t="str">
        <f ca="1">IFERROR(__xludf.DUMMYFUNCTION("ArrayFormula(VLOOKUP(G59, IMPORTRANGE(""https://docs.google.com/spreadsheets/d/1p7R4vtkWt5VOBim4ltsDG9KTzSjrtKXsMtQGXPHyND0/edit#gid=795171502"", ""'Filter 30_05_2024'!A1:M2000""), {2, 3, 4, 5,6,7,8,9,10,11,12,13}, 0))"),"#N/A")</f>
        <v>#N/A</v>
      </c>
      <c r="V59" s="137" t="str">
        <f ca="1">IFERROR(__xludf.DUMMYFUNCTION("""COMPUTED_VALUE"""),"#N/A")</f>
        <v>#N/A</v>
      </c>
      <c r="W59" s="137" t="str">
        <f ca="1">IFERROR(__xludf.DUMMYFUNCTION("""COMPUTED_VALUE"""),"#N/A")</f>
        <v>#N/A</v>
      </c>
      <c r="X59" s="137" t="str">
        <f ca="1">IFERROR(__xludf.DUMMYFUNCTION("""COMPUTED_VALUE"""),"#N/A")</f>
        <v>#N/A</v>
      </c>
      <c r="Y59" s="137" t="str">
        <f ca="1">IFERROR(__xludf.DUMMYFUNCTION("""COMPUTED_VALUE"""),"#N/A")</f>
        <v>#N/A</v>
      </c>
      <c r="Z59" s="138" t="str">
        <f ca="1">IFERROR(__xludf.DUMMYFUNCTION("""COMPUTED_VALUE"""),"#N/A")</f>
        <v>#N/A</v>
      </c>
      <c r="AA59" s="138" t="str">
        <f ca="1">IFERROR(__xludf.DUMMYFUNCTION("""COMPUTED_VALUE"""),"#N/A")</f>
        <v>#N/A</v>
      </c>
      <c r="AB59" s="138" t="str">
        <f ca="1">IFERROR(__xludf.DUMMYFUNCTION("""COMPUTED_VALUE"""),"#N/A")</f>
        <v>#N/A</v>
      </c>
      <c r="AC59" s="138" t="str">
        <f ca="1">IFERROR(__xludf.DUMMYFUNCTION("""COMPUTED_VALUE"""),"#N/A")</f>
        <v>#N/A</v>
      </c>
      <c r="AD59" s="138" t="str">
        <f ca="1">IFERROR(__xludf.DUMMYFUNCTION("""COMPUTED_VALUE"""),"#N/A")</f>
        <v>#N/A</v>
      </c>
      <c r="AE59" s="138" t="str">
        <f ca="1">IFERROR(__xludf.DUMMYFUNCTION("""COMPUTED_VALUE"""),"#N/A")</f>
        <v>#N/A</v>
      </c>
      <c r="AF59" s="138" t="str">
        <f ca="1">IFERROR(__xludf.DUMMYFUNCTION("""COMPUTED_VALUE"""),"#N/A")</f>
        <v>#N/A</v>
      </c>
      <c r="AG59" s="138" t="str">
        <f ca="1">IFERROR(__xludf.DUMMYFUNCTION("ArrayFormula(VLOOKUP(G59, IMPORTRANGE(""https://docs.google.com/spreadsheets/d/1Co934fvtviyaRiMsrIlT05Jaq7iiYq07aLvRr35KA48/edit?gid=173865642#gid=173865642"", ""'G10_Sci_Pri_LU'!G2:V2000""), {3, 4, 5, 6, 7, 8, 9, 10, 11, 12, 13, 14, 15, 16}, 0))"),"LU006494")</f>
        <v>LU006494</v>
      </c>
      <c r="AH59" s="138" t="str">
        <f ca="1">IFERROR(__xludf.DUMMYFUNCTION("""COMPUTED_VALUE"""),"Representation of images formed by spherical mirrors using ray diagram")</f>
        <v>Representation of images formed by spherical mirrors using ray diagram</v>
      </c>
      <c r="AI59" s="138" t="str">
        <f ca="1">IFERROR(__xludf.DUMMYFUNCTION("""COMPUTED_VALUE"""),"LU005920")</f>
        <v>LU005920</v>
      </c>
      <c r="AJ59" s="138" t="str">
        <f ca="1">IFERROR(__xludf.DUMMYFUNCTION("""COMPUTED_VALUE"""),"Characteristics of image formed by concave mirror")</f>
        <v>Characteristics of image formed by concave mirror</v>
      </c>
      <c r="AK59" s="138"/>
      <c r="AL59" s="138"/>
      <c r="AM59" s="138"/>
      <c r="AN59" s="138"/>
      <c r="AO59" s="138"/>
      <c r="AP59" s="138"/>
      <c r="AQ59" s="138"/>
      <c r="AR59" s="138"/>
      <c r="AS59" s="138"/>
      <c r="AT59" s="138"/>
    </row>
    <row r="60" spans="1:46">
      <c r="A60" s="54" t="s">
        <v>247</v>
      </c>
      <c r="B60" s="55" t="s">
        <v>47</v>
      </c>
      <c r="C60" s="55" t="s">
        <v>1172</v>
      </c>
      <c r="D60" s="138" t="s">
        <v>1510</v>
      </c>
      <c r="E60" s="55" t="s">
        <v>2550</v>
      </c>
      <c r="F60" s="55" t="s">
        <v>2554</v>
      </c>
      <c r="G60" s="55" t="s">
        <v>2556</v>
      </c>
      <c r="H60" s="54" t="str">
        <f ca="1">IFERROR(__xludf.DUMMYFUNCTION("VLOOKUP(G60, IMPORTRANGE(""https://docs.google.com/spreadsheets/d/14deopnvwcrKtEGCKuYXdUHJbeLDZlkiSSWWT0g7x2pM/edit#gid=849066331"", ""LU List Science (Filter)!A:B""), 2, FALSE)"),"Image formation by convex mirror using ray diagram ")</f>
        <v xml:space="preserve">Image formation by convex mirror using ray diagram </v>
      </c>
      <c r="I60" s="55" t="str">
        <f t="shared" si="0"/>
        <v>LU005923.001</v>
      </c>
      <c r="J60" s="55" t="str">
        <f ca="1">IFERROR(__xludf.DUMMYFUNCTION("VLOOKUP(I60, IMPORTRANGE(""https://docs.google.com/spreadsheets/d/1yDAaXNsi4Mr5FtRQL4tbmSdIzhx6_m4wkOD7IG-k_eo/edit#gid=1336395716"", ""Science!M:N""), 2, FALSE)"),"Recognize the basic principles of drawing ray diagrams for convex mirrors.")</f>
        <v>Recognize the basic principles of drawing ray diagrams for convex mirrors.</v>
      </c>
      <c r="K60" s="55" t="str">
        <f t="shared" si="1"/>
        <v>LU005923.002</v>
      </c>
      <c r="L60" s="55" t="str">
        <f ca="1">IFERROR(__xludf.DUMMYFUNCTION("VLOOKUP(K60, IMPORTRANGE(""https://docs.google.com/spreadsheets/d/1yDAaXNsi4Mr5FtRQL4tbmSdIzhx6_m4wkOD7IG-k_eo/edit#gid=1336395716"", ""Science!M:N""), 2, FALSE)"),"Interpret ray diagrams to explain image formation in convex mirrors.")</f>
        <v>Interpret ray diagrams to explain image formation in convex mirrors.</v>
      </c>
      <c r="M60" s="55" t="str">
        <f t="shared" si="2"/>
        <v>LU005923.003</v>
      </c>
      <c r="N60" s="55" t="str">
        <f ca="1">IFERROR(__xludf.DUMMYFUNCTION("VLOOKUP(M60, IMPORTRANGE(""https://docs.google.com/spreadsheets/d/1yDAaXNsi4Mr5FtRQL4tbmSdIzhx6_m4wkOD7IG-k_eo/edit#gid=1336395716"", ""Science!M:N""), 2, FALSE)"),"Draw and analyze ray diagrams for convex mirrors in different contexts.")</f>
        <v>Draw and analyze ray diagrams for convex mirrors in different contexts.</v>
      </c>
      <c r="O60" s="55" t="str">
        <f t="shared" si="3"/>
        <v>LU005923.004</v>
      </c>
      <c r="P60" s="55" t="str">
        <f ca="1">IFERROR(__xludf.DUMMYFUNCTION("VLOOKUP(O60, IMPORTRANGE(""https://docs.google.com/spreadsheets/d/1yDAaXNsi4Mr5FtRQL4tbmSdIzhx6_m4wkOD7IG-k_eo/edit#gid=1336395716"", ""Science!M:N""), 2, FALSE)"),"Link the outcomes of ray diagrams with theoretical principles for convex mirrors.")</f>
        <v>Link the outcomes of ray diagrams with theoretical principles for convex mirrors.</v>
      </c>
      <c r="Q60" s="55" t="str">
        <f t="shared" si="4"/>
        <v>LU005923.005</v>
      </c>
      <c r="R60" s="55" t="str">
        <f ca="1">IFERROR(__xludf.DUMMYFUNCTION("VLOOKUP(Q60, IMPORTRANGE(""https://docs.google.com/spreadsheets/d/1yDAaXNsi4Mr5FtRQL4tbmSdIzhx6_m4wkOD7IG-k_eo/edit#gid=1336395716"", ""Science!M:N""), 2, FALSE)"),"Evaluate the effectiveness of ray diagrams in teaching convex mirror image formation.")</f>
        <v>Evaluate the effectiveness of ray diagrams in teaching convex mirror image formation.</v>
      </c>
      <c r="S60" s="55" t="str">
        <f t="shared" si="5"/>
        <v>LU005923.006</v>
      </c>
      <c r="T60" s="55" t="str">
        <f ca="1">IFERROR(__xludf.DUMMYFUNCTION("VLOOKUP(S60, IMPORTRANGE(""https://docs.google.com/spreadsheets/d/1yDAaXNsi4Mr5FtRQL4tbmSdIzhx6_m4wkOD7IG-k_eo/edit#gid=1336395716"", ""Science!M:N""), 2, FALSE)"),"(LU005923.006); Default - Create")</f>
        <v>(LU005923.006); Default - Create</v>
      </c>
      <c r="U60" s="137" t="str">
        <f ca="1">IFERROR(__xludf.DUMMYFUNCTION("ArrayFormula(VLOOKUP(G60, IMPORTRANGE(""https://docs.google.com/spreadsheets/d/1p7R4vtkWt5VOBim4ltsDG9KTzSjrtKXsMtQGXPHyND0/edit#gid=795171502"", ""'Filter 30_05_2024'!A1:M2000""), {2, 3, 4, 5,6,7,8,9,10,11,12,13}, 0))"),"#N/A")</f>
        <v>#N/A</v>
      </c>
      <c r="V60" s="137" t="str">
        <f ca="1">IFERROR(__xludf.DUMMYFUNCTION("""COMPUTED_VALUE"""),"#N/A")</f>
        <v>#N/A</v>
      </c>
      <c r="W60" s="137" t="str">
        <f ca="1">IFERROR(__xludf.DUMMYFUNCTION("""COMPUTED_VALUE"""),"#N/A")</f>
        <v>#N/A</v>
      </c>
      <c r="X60" s="137" t="str">
        <f ca="1">IFERROR(__xludf.DUMMYFUNCTION("""COMPUTED_VALUE"""),"#N/A")</f>
        <v>#N/A</v>
      </c>
      <c r="Y60" s="137" t="str">
        <f ca="1">IFERROR(__xludf.DUMMYFUNCTION("""COMPUTED_VALUE"""),"#N/A")</f>
        <v>#N/A</v>
      </c>
      <c r="Z60" s="138" t="str">
        <f ca="1">IFERROR(__xludf.DUMMYFUNCTION("""COMPUTED_VALUE"""),"#N/A")</f>
        <v>#N/A</v>
      </c>
      <c r="AA60" s="138" t="str">
        <f ca="1">IFERROR(__xludf.DUMMYFUNCTION("""COMPUTED_VALUE"""),"#N/A")</f>
        <v>#N/A</v>
      </c>
      <c r="AB60" s="138" t="str">
        <f ca="1">IFERROR(__xludf.DUMMYFUNCTION("""COMPUTED_VALUE"""),"#N/A")</f>
        <v>#N/A</v>
      </c>
      <c r="AC60" s="138" t="str">
        <f ca="1">IFERROR(__xludf.DUMMYFUNCTION("""COMPUTED_VALUE"""),"#N/A")</f>
        <v>#N/A</v>
      </c>
      <c r="AD60" s="138" t="str">
        <f ca="1">IFERROR(__xludf.DUMMYFUNCTION("""COMPUTED_VALUE"""),"#N/A")</f>
        <v>#N/A</v>
      </c>
      <c r="AE60" s="138" t="str">
        <f ca="1">IFERROR(__xludf.DUMMYFUNCTION("""COMPUTED_VALUE"""),"#N/A")</f>
        <v>#N/A</v>
      </c>
      <c r="AF60" s="138" t="str">
        <f ca="1">IFERROR(__xludf.DUMMYFUNCTION("""COMPUTED_VALUE"""),"#N/A")</f>
        <v>#N/A</v>
      </c>
      <c r="AG60" s="138" t="str">
        <f ca="1">IFERROR(__xludf.DUMMYFUNCTION("ArrayFormula(VLOOKUP(G60, IMPORTRANGE(""https://docs.google.com/spreadsheets/d/1Co934fvtviyaRiMsrIlT05Jaq7iiYq07aLvRr35KA48/edit?gid=173865642#gid=173865642"", ""'G10_Sci_Pri_LU'!G2:V2000""), {3, 4, 5, 6, 7, 8, 9, 10, 11, 12, 13, 14, 15, 16}, 0))"),"LU006494")</f>
        <v>LU006494</v>
      </c>
      <c r="AH60" s="138" t="str">
        <f ca="1">IFERROR(__xludf.DUMMYFUNCTION("""COMPUTED_VALUE"""),"Representation of images formed by spherical mirrors using ray diagram")</f>
        <v>Representation of images formed by spherical mirrors using ray diagram</v>
      </c>
      <c r="AI60" s="138" t="str">
        <f ca="1">IFERROR(__xludf.DUMMYFUNCTION("""COMPUTED_VALUE"""),"LU005922")</f>
        <v>LU005922</v>
      </c>
      <c r="AJ60" s="138" t="str">
        <f ca="1">IFERROR(__xludf.DUMMYFUNCTION("""COMPUTED_VALUE"""),"Characteristics of image formed by convex mirror")</f>
        <v>Characteristics of image formed by convex mirror</v>
      </c>
      <c r="AK60" s="138"/>
      <c r="AL60" s="138"/>
      <c r="AM60" s="138"/>
      <c r="AN60" s="138"/>
      <c r="AO60" s="138"/>
      <c r="AP60" s="138"/>
      <c r="AQ60" s="138"/>
      <c r="AR60" s="138"/>
      <c r="AS60" s="138"/>
      <c r="AT60" s="138"/>
    </row>
    <row r="61" spans="1:46">
      <c r="A61" s="54" t="s">
        <v>247</v>
      </c>
      <c r="B61" s="55" t="s">
        <v>47</v>
      </c>
      <c r="C61" s="55" t="s">
        <v>1172</v>
      </c>
      <c r="D61" s="138" t="s">
        <v>1510</v>
      </c>
      <c r="E61" s="55" t="s">
        <v>2550</v>
      </c>
      <c r="F61" s="55" t="s">
        <v>2557</v>
      </c>
      <c r="G61" s="55" t="s">
        <v>2558</v>
      </c>
      <c r="H61" s="54" t="str">
        <f ca="1">IFERROR(__xludf.DUMMYFUNCTION("VLOOKUP(G61, IMPORTRANGE(""https://docs.google.com/spreadsheets/d/14deopnvwcrKtEGCKuYXdUHJbeLDZlkiSSWWT0g7x2pM/edit#gid=849066331"", ""LU List Science (Filter)!A:B""), 2, FALSE)"),"Sign Convention for Reflection by Spherical Mirrors")</f>
        <v>Sign Convention for Reflection by Spherical Mirrors</v>
      </c>
      <c r="I61" s="55" t="str">
        <f t="shared" si="0"/>
        <v>LU006495.001</v>
      </c>
      <c r="J61" s="55" t="str">
        <f ca="1">IFERROR(__xludf.DUMMYFUNCTION("VLOOKUP(I61, IMPORTRANGE(""https://docs.google.com/spreadsheets/d/1yDAaXNsi4Mr5FtRQL4tbmSdIzhx6_m4wkOD7IG-k_eo/edit#gid=1336395716"", ""Science!M:N""), 2, FALSE)"),"(LU006495.001); Default - Remember")</f>
        <v>(LU006495.001); Default - Remember</v>
      </c>
      <c r="K61" s="55" t="str">
        <f t="shared" si="1"/>
        <v>LU006495.002</v>
      </c>
      <c r="L61" s="55" t="str">
        <f ca="1">IFERROR(__xludf.DUMMYFUNCTION("VLOOKUP(K61, IMPORTRANGE(""https://docs.google.com/spreadsheets/d/1yDAaXNsi4Mr5FtRQL4tbmSdIzhx6_m4wkOD7IG-k_eo/edit#gid=1336395716"", ""Science!M:N""), 2, FALSE)"),"(LU006495.002); Default - Understand")</f>
        <v>(LU006495.002); Default - Understand</v>
      </c>
      <c r="M61" s="55" t="str">
        <f t="shared" si="2"/>
        <v>LU006495.003</v>
      </c>
      <c r="N61" s="55" t="str">
        <f ca="1">IFERROR(__xludf.DUMMYFUNCTION("VLOOKUP(M61, IMPORTRANGE(""https://docs.google.com/spreadsheets/d/1yDAaXNsi4Mr5FtRQL4tbmSdIzhx6_m4wkOD7IG-k_eo/edit#gid=1336395716"", ""Science!M:N""), 2, FALSE)"),"(LU006495.003); Default - Apply")</f>
        <v>(LU006495.003); Default - Apply</v>
      </c>
      <c r="O61" s="55" t="str">
        <f t="shared" si="3"/>
        <v>LU006495.004</v>
      </c>
      <c r="P61" s="55" t="str">
        <f ca="1">IFERROR(__xludf.DUMMYFUNCTION("VLOOKUP(O61, IMPORTRANGE(""https://docs.google.com/spreadsheets/d/1yDAaXNsi4Mr5FtRQL4tbmSdIzhx6_m4wkOD7IG-k_eo/edit#gid=1336395716"", ""Science!M:N""), 2, FALSE)"),"(LU006495.004); Default - Analyse")</f>
        <v>(LU006495.004); Default - Analyse</v>
      </c>
      <c r="Q61" s="55" t="str">
        <f t="shared" si="4"/>
        <v>LU006495.005</v>
      </c>
      <c r="R61" s="55" t="str">
        <f ca="1">IFERROR(__xludf.DUMMYFUNCTION("VLOOKUP(Q61, IMPORTRANGE(""https://docs.google.com/spreadsheets/d/1yDAaXNsi4Mr5FtRQL4tbmSdIzhx6_m4wkOD7IG-k_eo/edit#gid=1336395716"", ""Science!M:N""), 2, FALSE)"),"(LU006495.005); Default - Evaluate")</f>
        <v>(LU006495.005); Default - Evaluate</v>
      </c>
      <c r="S61" s="55" t="str">
        <f t="shared" si="5"/>
        <v>LU006495.006</v>
      </c>
      <c r="T61" s="55" t="str">
        <f ca="1">IFERROR(__xludf.DUMMYFUNCTION("VLOOKUP(S61, IMPORTRANGE(""https://docs.google.com/spreadsheets/d/1yDAaXNsi4Mr5FtRQL4tbmSdIzhx6_m4wkOD7IG-k_eo/edit#gid=1336395716"", ""Science!M:N""), 2, FALSE)"),"(LU006495.006); Default - Create")</f>
        <v>(LU006495.006); Default - Create</v>
      </c>
      <c r="U61" s="137" t="str">
        <f ca="1">IFERROR(__xludf.DUMMYFUNCTION("ArrayFormula(VLOOKUP(G61, IMPORTRANGE(""https://docs.google.com/spreadsheets/d/1p7R4vtkWt5VOBim4ltsDG9KTzSjrtKXsMtQGXPHyND0/edit#gid=795171502"", ""'Filter 30_05_2024'!A1:M2000""), {2, 3, 4, 5,6,7,8,9,10,11,12,13}, 0))"),"#N/A")</f>
        <v>#N/A</v>
      </c>
      <c r="V61" s="137" t="str">
        <f ca="1">IFERROR(__xludf.DUMMYFUNCTION("""COMPUTED_VALUE"""),"#N/A")</f>
        <v>#N/A</v>
      </c>
      <c r="W61" s="137" t="str">
        <f ca="1">IFERROR(__xludf.DUMMYFUNCTION("""COMPUTED_VALUE"""),"#N/A")</f>
        <v>#N/A</v>
      </c>
      <c r="X61" s="137" t="str">
        <f ca="1">IFERROR(__xludf.DUMMYFUNCTION("""COMPUTED_VALUE"""),"#N/A")</f>
        <v>#N/A</v>
      </c>
      <c r="Y61" s="137" t="str">
        <f ca="1">IFERROR(__xludf.DUMMYFUNCTION("""COMPUTED_VALUE"""),"#N/A")</f>
        <v>#N/A</v>
      </c>
      <c r="Z61" s="138" t="str">
        <f ca="1">IFERROR(__xludf.DUMMYFUNCTION("""COMPUTED_VALUE"""),"#N/A")</f>
        <v>#N/A</v>
      </c>
      <c r="AA61" s="138" t="str">
        <f ca="1">IFERROR(__xludf.DUMMYFUNCTION("""COMPUTED_VALUE"""),"#N/A")</f>
        <v>#N/A</v>
      </c>
      <c r="AB61" s="138" t="str">
        <f ca="1">IFERROR(__xludf.DUMMYFUNCTION("""COMPUTED_VALUE"""),"#N/A")</f>
        <v>#N/A</v>
      </c>
      <c r="AC61" s="138" t="str">
        <f ca="1">IFERROR(__xludf.DUMMYFUNCTION("""COMPUTED_VALUE"""),"#N/A")</f>
        <v>#N/A</v>
      </c>
      <c r="AD61" s="138" t="str">
        <f ca="1">IFERROR(__xludf.DUMMYFUNCTION("""COMPUTED_VALUE"""),"#N/A")</f>
        <v>#N/A</v>
      </c>
      <c r="AE61" s="138" t="str">
        <f ca="1">IFERROR(__xludf.DUMMYFUNCTION("""COMPUTED_VALUE"""),"#N/A")</f>
        <v>#N/A</v>
      </c>
      <c r="AF61" s="138" t="str">
        <f ca="1">IFERROR(__xludf.DUMMYFUNCTION("""COMPUTED_VALUE"""),"#N/A")</f>
        <v>#N/A</v>
      </c>
      <c r="AG61" s="138" t="str">
        <f ca="1">IFERROR(__xludf.DUMMYFUNCTION("ArrayFormula(VLOOKUP(G61, IMPORTRANGE(""https://docs.google.com/spreadsheets/d/1Co934fvtviyaRiMsrIlT05Jaq7iiYq07aLvRr35KA48/edit?gid=173865642#gid=173865642"", ""'G10_Sci_Pri_LU'!G2:V2000""), {3, 4, 5, 6, 7, 8, 9, 10, 11, 12, 13, 14, 15, 16}, 0))"),"LU006582")</f>
        <v>LU006582</v>
      </c>
      <c r="AH61" s="138" t="str">
        <f ca="1">IFERROR(__xludf.DUMMYFUNCTION("""COMPUTED_VALUE"""),"Types of spherical mirrors and terms related to it")</f>
        <v>Types of spherical mirrors and terms related to it</v>
      </c>
      <c r="AI61" s="138" t="str">
        <f ca="1">IFERROR(__xludf.DUMMYFUNCTION("""COMPUTED_VALUE"""),"LU006494")</f>
        <v>LU006494</v>
      </c>
      <c r="AJ61" s="138" t="str">
        <f ca="1">IFERROR(__xludf.DUMMYFUNCTION("""COMPUTED_VALUE"""),"Representation of images formed by spherical mirrors using ray diagram")</f>
        <v>Representation of images formed by spherical mirrors using ray diagram</v>
      </c>
      <c r="AK61" s="138"/>
      <c r="AL61" s="138"/>
      <c r="AM61" s="138"/>
      <c r="AN61" s="138"/>
      <c r="AO61" s="138"/>
      <c r="AP61" s="138"/>
      <c r="AQ61" s="138"/>
      <c r="AR61" s="138"/>
      <c r="AS61" s="138"/>
      <c r="AT61" s="138"/>
    </row>
    <row r="62" spans="1:46">
      <c r="A62" s="54" t="s">
        <v>247</v>
      </c>
      <c r="B62" s="55" t="s">
        <v>47</v>
      </c>
      <c r="C62" s="55" t="s">
        <v>1172</v>
      </c>
      <c r="D62" s="138" t="s">
        <v>1510</v>
      </c>
      <c r="E62" s="55" t="s">
        <v>2550</v>
      </c>
      <c r="F62" s="55" t="s">
        <v>2557</v>
      </c>
      <c r="G62" s="55" t="s">
        <v>2559</v>
      </c>
      <c r="H62" s="54" t="str">
        <f ca="1">IFERROR(__xludf.DUMMYFUNCTION("VLOOKUP(G62, IMPORTRANGE(""https://docs.google.com/spreadsheets/d/14deopnvwcrKtEGCKuYXdUHJbeLDZlkiSSWWT0g7x2pM/edit#gid=849066331"", ""LU List Science (Filter)!A:B""), 2, FALSE)"),"Mirror Formula and Magnification ")</f>
        <v xml:space="preserve">Mirror Formula and Magnification </v>
      </c>
      <c r="I62" s="55" t="str">
        <f t="shared" si="0"/>
        <v>LU006496.001</v>
      </c>
      <c r="J62" s="55" t="str">
        <f ca="1">IFERROR(__xludf.DUMMYFUNCTION("VLOOKUP(I62, IMPORTRANGE(""https://docs.google.com/spreadsheets/d/1yDAaXNsi4Mr5FtRQL4tbmSdIzhx6_m4wkOD7IG-k_eo/edit#gid=1336395716"", ""Science!M:N""), 2, FALSE)"),"(LU006496.001); Default - Remember")</f>
        <v>(LU006496.001); Default - Remember</v>
      </c>
      <c r="K62" s="55" t="str">
        <f t="shared" si="1"/>
        <v>LU006496.002</v>
      </c>
      <c r="L62" s="55" t="str">
        <f ca="1">IFERROR(__xludf.DUMMYFUNCTION("VLOOKUP(K62, IMPORTRANGE(""https://docs.google.com/spreadsheets/d/1yDAaXNsi4Mr5FtRQL4tbmSdIzhx6_m4wkOD7IG-k_eo/edit#gid=1336395716"", ""Science!M:N""), 2, FALSE)"),"(LU006496.002); Default - Understand")</f>
        <v>(LU006496.002); Default - Understand</v>
      </c>
      <c r="M62" s="55" t="str">
        <f t="shared" si="2"/>
        <v>LU006496.003</v>
      </c>
      <c r="N62" s="55" t="str">
        <f ca="1">IFERROR(__xludf.DUMMYFUNCTION("VLOOKUP(M62, IMPORTRANGE(""https://docs.google.com/spreadsheets/d/1yDAaXNsi4Mr5FtRQL4tbmSdIzhx6_m4wkOD7IG-k_eo/edit#gid=1336395716"", ""Science!M:N""), 2, FALSE)"),"(LU006496.003); Default - Apply")</f>
        <v>(LU006496.003); Default - Apply</v>
      </c>
      <c r="O62" s="55" t="str">
        <f t="shared" si="3"/>
        <v>LU006496.004</v>
      </c>
      <c r="P62" s="55" t="str">
        <f ca="1">IFERROR(__xludf.DUMMYFUNCTION("VLOOKUP(O62, IMPORTRANGE(""https://docs.google.com/spreadsheets/d/1yDAaXNsi4Mr5FtRQL4tbmSdIzhx6_m4wkOD7IG-k_eo/edit#gid=1336395716"", ""Science!M:N""), 2, FALSE)"),"(LU006496.004); Default - Analyse")</f>
        <v>(LU006496.004); Default - Analyse</v>
      </c>
      <c r="Q62" s="55" t="str">
        <f t="shared" si="4"/>
        <v>LU006496.005</v>
      </c>
      <c r="R62" s="55" t="str">
        <f ca="1">IFERROR(__xludf.DUMMYFUNCTION("VLOOKUP(Q62, IMPORTRANGE(""https://docs.google.com/spreadsheets/d/1yDAaXNsi4Mr5FtRQL4tbmSdIzhx6_m4wkOD7IG-k_eo/edit#gid=1336395716"", ""Science!M:N""), 2, FALSE)"),"(LU006496.005); Default - Evaluate")</f>
        <v>(LU006496.005); Default - Evaluate</v>
      </c>
      <c r="S62" s="55" t="str">
        <f t="shared" si="5"/>
        <v>LU006496.006</v>
      </c>
      <c r="T62" s="55" t="str">
        <f ca="1">IFERROR(__xludf.DUMMYFUNCTION("VLOOKUP(S62, IMPORTRANGE(""https://docs.google.com/spreadsheets/d/1yDAaXNsi4Mr5FtRQL4tbmSdIzhx6_m4wkOD7IG-k_eo/edit#gid=1336395716"", ""Science!M:N""), 2, FALSE)"),"(LU006496.006); Default - Create")</f>
        <v>(LU006496.006); Default - Create</v>
      </c>
      <c r="U62" s="137" t="str">
        <f ca="1">IFERROR(__xludf.DUMMYFUNCTION("ArrayFormula(VLOOKUP(G62, IMPORTRANGE(""https://docs.google.com/spreadsheets/d/1p7R4vtkWt5VOBim4ltsDG9KTzSjrtKXsMtQGXPHyND0/edit#gid=795171502"", ""'Filter 30_05_2024'!A1:M2000""), {2, 3, 4, 5,6,7,8,9,10,11,12,13}, 0))"),"#N/A")</f>
        <v>#N/A</v>
      </c>
      <c r="V62" s="137" t="str">
        <f ca="1">IFERROR(__xludf.DUMMYFUNCTION("""COMPUTED_VALUE"""),"#N/A")</f>
        <v>#N/A</v>
      </c>
      <c r="W62" s="137" t="str">
        <f ca="1">IFERROR(__xludf.DUMMYFUNCTION("""COMPUTED_VALUE"""),"#N/A")</f>
        <v>#N/A</v>
      </c>
      <c r="X62" s="137" t="str">
        <f ca="1">IFERROR(__xludf.DUMMYFUNCTION("""COMPUTED_VALUE"""),"#N/A")</f>
        <v>#N/A</v>
      </c>
      <c r="Y62" s="137" t="str">
        <f ca="1">IFERROR(__xludf.DUMMYFUNCTION("""COMPUTED_VALUE"""),"#N/A")</f>
        <v>#N/A</v>
      </c>
      <c r="Z62" s="138" t="str">
        <f ca="1">IFERROR(__xludf.DUMMYFUNCTION("""COMPUTED_VALUE"""),"#N/A")</f>
        <v>#N/A</v>
      </c>
      <c r="AA62" s="138" t="str">
        <f ca="1">IFERROR(__xludf.DUMMYFUNCTION("""COMPUTED_VALUE"""),"#N/A")</f>
        <v>#N/A</v>
      </c>
      <c r="AB62" s="138" t="str">
        <f ca="1">IFERROR(__xludf.DUMMYFUNCTION("""COMPUTED_VALUE"""),"#N/A")</f>
        <v>#N/A</v>
      </c>
      <c r="AC62" s="138" t="str">
        <f ca="1">IFERROR(__xludf.DUMMYFUNCTION("""COMPUTED_VALUE"""),"#N/A")</f>
        <v>#N/A</v>
      </c>
      <c r="AD62" s="138" t="str">
        <f ca="1">IFERROR(__xludf.DUMMYFUNCTION("""COMPUTED_VALUE"""),"#N/A")</f>
        <v>#N/A</v>
      </c>
      <c r="AE62" s="138" t="str">
        <f ca="1">IFERROR(__xludf.DUMMYFUNCTION("""COMPUTED_VALUE"""),"#N/A")</f>
        <v>#N/A</v>
      </c>
      <c r="AF62" s="138" t="str">
        <f ca="1">IFERROR(__xludf.DUMMYFUNCTION("""COMPUTED_VALUE"""),"#N/A")</f>
        <v>#N/A</v>
      </c>
      <c r="AG62" s="138" t="str">
        <f ca="1">IFERROR(__xludf.DUMMYFUNCTION("ArrayFormula(VLOOKUP(G62, IMPORTRANGE(""https://docs.google.com/spreadsheets/d/1Co934fvtviyaRiMsrIlT05Jaq7iiYq07aLvRr35KA48/edit?gid=173865642#gid=173865642"", ""'G10_Sci_Pri_LU'!G2:V2000""), {3, 4, 5, 6, 7, 8, 9, 10, 11, 12, 13, 14, 15, 16}, 0))"),"LU006495")</f>
        <v>LU006495</v>
      </c>
      <c r="AH62" s="138" t="str">
        <f ca="1">IFERROR(__xludf.DUMMYFUNCTION("""COMPUTED_VALUE"""),"Sign Convention for Reflection by Spherical Mirrors")</f>
        <v>Sign Convention for Reflection by Spherical Mirrors</v>
      </c>
      <c r="AI62" s="138"/>
      <c r="AJ62" s="138"/>
      <c r="AK62" s="138"/>
      <c r="AL62" s="138"/>
      <c r="AM62" s="138"/>
      <c r="AN62" s="138"/>
      <c r="AO62" s="138"/>
      <c r="AP62" s="138"/>
      <c r="AQ62" s="138"/>
      <c r="AR62" s="138"/>
      <c r="AS62" s="138"/>
      <c r="AT62" s="138"/>
    </row>
    <row r="63" spans="1:46">
      <c r="A63" s="54" t="s">
        <v>247</v>
      </c>
      <c r="B63" s="55" t="s">
        <v>47</v>
      </c>
      <c r="C63" s="55" t="s">
        <v>1172</v>
      </c>
      <c r="D63" s="138" t="s">
        <v>1510</v>
      </c>
      <c r="E63" s="55" t="s">
        <v>2550</v>
      </c>
      <c r="F63" s="55" t="s">
        <v>2560</v>
      </c>
      <c r="G63" s="55" t="s">
        <v>2561</v>
      </c>
      <c r="H63" s="54" t="str">
        <f ca="1">IFERROR(__xludf.DUMMYFUNCTION("VLOOKUP(G63, IMPORTRANGE(""https://docs.google.com/spreadsheets/d/14deopnvwcrKtEGCKuYXdUHJbeLDZlkiSSWWT0g7x2pM/edit#gid=849066331"", ""LU List Science (Filter)!A:B""), 2, FALSE)"),"Definition of Refraction of light")</f>
        <v>Definition of Refraction of light</v>
      </c>
      <c r="I63" s="55" t="str">
        <f t="shared" si="0"/>
        <v>LU005586.001</v>
      </c>
      <c r="J63" s="55" t="str">
        <f ca="1">IFERROR(__xludf.DUMMYFUNCTION("VLOOKUP(I63, IMPORTRANGE(""https://docs.google.com/spreadsheets/d/1yDAaXNsi4Mr5FtRQL4tbmSdIzhx6_m4wkOD7IG-k_eo/edit#gid=1336395716"", ""Science!M:N""), 2, FALSE)"),"Recall the definition of refraction.")</f>
        <v>Recall the definition of refraction.</v>
      </c>
      <c r="K63" s="55" t="str">
        <f t="shared" si="1"/>
        <v>LU005586.002</v>
      </c>
      <c r="L63" s="55" t="str">
        <f ca="1">IFERROR(__xludf.DUMMYFUNCTION("VLOOKUP(K63, IMPORTRANGE(""https://docs.google.com/spreadsheets/d/1yDAaXNsi4Mr5FtRQL4tbmSdIzhx6_m4wkOD7IG-k_eo/edit#gid=1336395716"", ""Science!M:N""), 2, FALSE)"),"Paraphrase the concept of refraction, detailing how it pertains to the change in direction of light when transitioning between different mediums.")</f>
        <v>Paraphrase the concept of refraction, detailing how it pertains to the change in direction of light when transitioning between different mediums.</v>
      </c>
      <c r="M63" s="55" t="str">
        <f t="shared" si="2"/>
        <v>LU005586.003</v>
      </c>
      <c r="N63" s="55" t="str">
        <f ca="1">IFERROR(__xludf.DUMMYFUNCTION("VLOOKUP(M63, IMPORTRANGE(""https://docs.google.com/spreadsheets/d/1yDAaXNsi4Mr5FtRQL4tbmSdIzhx6_m4wkOD7IG-k_eo/edit#gid=1336395716"", ""Science!M:N""), 2, FALSE)"),"Demonstrate the phenomenon of refraction using a simple classroom experiment.")</f>
        <v>Demonstrate the phenomenon of refraction using a simple classroom experiment.</v>
      </c>
      <c r="O63" s="55" t="str">
        <f t="shared" si="3"/>
        <v>LU005586.004</v>
      </c>
      <c r="P63" s="55" t="str">
        <f ca="1">IFERROR(__xludf.DUMMYFUNCTION("VLOOKUP(O63, IMPORTRANGE(""https://docs.google.com/spreadsheets/d/1yDAaXNsi4Mr5FtRQL4tbmSdIzhx6_m4wkOD7IG-k_eo/edit#gid=1336395716"", ""Science!M:N""), 2, FALSE)"),"(LU005586.004); Default - Analyse")</f>
        <v>(LU005586.004); Default - Analyse</v>
      </c>
      <c r="Q63" s="55" t="str">
        <f t="shared" si="4"/>
        <v>LU005586.005</v>
      </c>
      <c r="R63" s="55" t="str">
        <f ca="1">IFERROR(__xludf.DUMMYFUNCTION("VLOOKUP(Q63, IMPORTRANGE(""https://docs.google.com/spreadsheets/d/1yDAaXNsi4Mr5FtRQL4tbmSdIzhx6_m4wkOD7IG-k_eo/edit#gid=1336395716"", ""Science!M:N""), 2, FALSE)"),"(LU005586.005); Default - Evaluate")</f>
        <v>(LU005586.005); Default - Evaluate</v>
      </c>
      <c r="S63" s="55" t="str">
        <f t="shared" si="5"/>
        <v>LU005586.006</v>
      </c>
      <c r="T63" s="55" t="str">
        <f ca="1">IFERROR(__xludf.DUMMYFUNCTION("VLOOKUP(S63, IMPORTRANGE(""https://docs.google.com/spreadsheets/d/1yDAaXNsi4Mr5FtRQL4tbmSdIzhx6_m4wkOD7IG-k_eo/edit#gid=1336395716"", ""Science!M:N""), 2, FALSE)"),"(LU005586.006); Default - Create")</f>
        <v>(LU005586.006); Default - Create</v>
      </c>
      <c r="U63" s="137" t="str">
        <f ca="1">IFERROR(__xludf.DUMMYFUNCTION("ArrayFormula(VLOOKUP(G63, IMPORTRANGE(""https://docs.google.com/spreadsheets/d/1p7R4vtkWt5VOBim4ltsDG9KTzSjrtKXsMtQGXPHyND0/edit#gid=795171502"", ""'Filter 30_05_2024'!A1:M2000""), {2, 3, 4, 5,6,7,8,9,10,11,12,13}, 0))"),"#N/A")</f>
        <v>#N/A</v>
      </c>
      <c r="V63" s="137" t="str">
        <f ca="1">IFERROR(__xludf.DUMMYFUNCTION("""COMPUTED_VALUE"""),"#N/A")</f>
        <v>#N/A</v>
      </c>
      <c r="W63" s="137" t="str">
        <f ca="1">IFERROR(__xludf.DUMMYFUNCTION("""COMPUTED_VALUE"""),"#N/A")</f>
        <v>#N/A</v>
      </c>
      <c r="X63" s="137" t="str">
        <f ca="1">IFERROR(__xludf.DUMMYFUNCTION("""COMPUTED_VALUE"""),"#N/A")</f>
        <v>#N/A</v>
      </c>
      <c r="Y63" s="137" t="str">
        <f ca="1">IFERROR(__xludf.DUMMYFUNCTION("""COMPUTED_VALUE"""),"#N/A")</f>
        <v>#N/A</v>
      </c>
      <c r="Z63" s="138" t="str">
        <f ca="1">IFERROR(__xludf.DUMMYFUNCTION("""COMPUTED_VALUE"""),"#N/A")</f>
        <v>#N/A</v>
      </c>
      <c r="AA63" s="138" t="str">
        <f ca="1">IFERROR(__xludf.DUMMYFUNCTION("""COMPUTED_VALUE"""),"#N/A")</f>
        <v>#N/A</v>
      </c>
      <c r="AB63" s="138" t="str">
        <f ca="1">IFERROR(__xludf.DUMMYFUNCTION("""COMPUTED_VALUE"""),"#N/A")</f>
        <v>#N/A</v>
      </c>
      <c r="AC63" s="138" t="str">
        <f ca="1">IFERROR(__xludf.DUMMYFUNCTION("""COMPUTED_VALUE"""),"#N/A")</f>
        <v>#N/A</v>
      </c>
      <c r="AD63" s="138" t="str">
        <f ca="1">IFERROR(__xludf.DUMMYFUNCTION("""COMPUTED_VALUE"""),"#N/A")</f>
        <v>#N/A</v>
      </c>
      <c r="AE63" s="138" t="str">
        <f ca="1">IFERROR(__xludf.DUMMYFUNCTION("""COMPUTED_VALUE"""),"#N/A")</f>
        <v>#N/A</v>
      </c>
      <c r="AF63" s="138" t="str">
        <f ca="1">IFERROR(__xludf.DUMMYFUNCTION("""COMPUTED_VALUE"""),"#N/A")</f>
        <v>#N/A</v>
      </c>
      <c r="AG63" s="138" t="str">
        <f ca="1">IFERROR(__xludf.DUMMYFUNCTION("ArrayFormula(VLOOKUP(G63, IMPORTRANGE(""https://docs.google.com/spreadsheets/d/1Co934fvtviyaRiMsrIlT05Jaq7iiYq07aLvRr35KA48/edit?gid=173865642#gid=173865642"", ""'G10_Sci_Pri_LU'!G2:V2000""), {3, 4, 5, 6, 7, 8, 9, 10, 11, 12, 13, 14, 15, 16}, 0))"),"LU005166")</f>
        <v>LU005166</v>
      </c>
      <c r="AH63" s="138" t="str">
        <f ca="1">IFERROR(__xludf.DUMMYFUNCTION("""COMPUTED_VALUE"""),"Light travels in straight line")</f>
        <v>Light travels in straight line</v>
      </c>
      <c r="AI63" s="138"/>
      <c r="AJ63" s="138"/>
      <c r="AK63" s="138"/>
      <c r="AL63" s="138"/>
      <c r="AM63" s="138"/>
      <c r="AN63" s="138"/>
      <c r="AO63" s="138"/>
      <c r="AP63" s="138"/>
      <c r="AQ63" s="138"/>
      <c r="AR63" s="138"/>
      <c r="AS63" s="138"/>
      <c r="AT63" s="138"/>
    </row>
    <row r="64" spans="1:46">
      <c r="A64" s="54" t="s">
        <v>247</v>
      </c>
      <c r="B64" s="55" t="s">
        <v>47</v>
      </c>
      <c r="C64" s="55" t="s">
        <v>1172</v>
      </c>
      <c r="D64" s="138" t="s">
        <v>1510</v>
      </c>
      <c r="E64" s="55" t="s">
        <v>2550</v>
      </c>
      <c r="F64" s="55" t="s">
        <v>2560</v>
      </c>
      <c r="G64" s="54" t="s">
        <v>2562</v>
      </c>
      <c r="H64" s="54" t="str">
        <f ca="1">IFERROR(__xludf.DUMMYFUNCTION("VLOOKUP(G64, IMPORTRANGE(""https://docs.google.com/spreadsheets/d/14deopnvwcrKtEGCKuYXdUHJbeLDZlkiSSWWT0g7x2pM/edit#gid=849066331"", ""LU List Science (Filter)!A:B""), 2, FALSE)"),"Laws of Refraction of Light")</f>
        <v>Laws of Refraction of Light</v>
      </c>
      <c r="I64" s="55" t="str">
        <f t="shared" si="0"/>
        <v>LU006497.001</v>
      </c>
      <c r="J64" s="55" t="str">
        <f ca="1">IFERROR(__xludf.DUMMYFUNCTION("VLOOKUP(I64, IMPORTRANGE(""https://docs.google.com/spreadsheets/d/1yDAaXNsi4Mr5FtRQL4tbmSdIzhx6_m4wkOD7IG-k_eo/edit#gid=1336395716"", ""Science!M:N""), 2, FALSE)"),"(LU006497.001); Default - Remember")</f>
        <v>(LU006497.001); Default - Remember</v>
      </c>
      <c r="K64" s="55" t="str">
        <f t="shared" si="1"/>
        <v>LU006497.002</v>
      </c>
      <c r="L64" s="55" t="str">
        <f ca="1">IFERROR(__xludf.DUMMYFUNCTION("VLOOKUP(K64, IMPORTRANGE(""https://docs.google.com/spreadsheets/d/1yDAaXNsi4Mr5FtRQL4tbmSdIzhx6_m4wkOD7IG-k_eo/edit#gid=1336395716"", ""Science!M:N""), 2, FALSE)"),"(LU006497.002); Default - Understand")</f>
        <v>(LU006497.002); Default - Understand</v>
      </c>
      <c r="M64" s="55" t="str">
        <f t="shared" si="2"/>
        <v>LU006497.003</v>
      </c>
      <c r="N64" s="55" t="str">
        <f ca="1">IFERROR(__xludf.DUMMYFUNCTION("VLOOKUP(M64, IMPORTRANGE(""https://docs.google.com/spreadsheets/d/1yDAaXNsi4Mr5FtRQL4tbmSdIzhx6_m4wkOD7IG-k_eo/edit#gid=1336395716"", ""Science!M:N""), 2, FALSE)"),"(LU006497.003); Default - Apply")</f>
        <v>(LU006497.003); Default - Apply</v>
      </c>
      <c r="O64" s="55" t="str">
        <f t="shared" si="3"/>
        <v>LU006497.004</v>
      </c>
      <c r="P64" s="55" t="str">
        <f ca="1">IFERROR(__xludf.DUMMYFUNCTION("VLOOKUP(O64, IMPORTRANGE(""https://docs.google.com/spreadsheets/d/1yDAaXNsi4Mr5FtRQL4tbmSdIzhx6_m4wkOD7IG-k_eo/edit#gid=1336395716"", ""Science!M:N""), 2, FALSE)"),"(LU006497.004); Default - Analyse")</f>
        <v>(LU006497.004); Default - Analyse</v>
      </c>
      <c r="Q64" s="55" t="str">
        <f t="shared" si="4"/>
        <v>LU006497.005</v>
      </c>
      <c r="R64" s="55" t="str">
        <f ca="1">IFERROR(__xludf.DUMMYFUNCTION("VLOOKUP(Q64, IMPORTRANGE(""https://docs.google.com/spreadsheets/d/1yDAaXNsi4Mr5FtRQL4tbmSdIzhx6_m4wkOD7IG-k_eo/edit#gid=1336395716"", ""Science!M:N""), 2, FALSE)"),"(LU006497.005); Default - Evaluate")</f>
        <v>(LU006497.005); Default - Evaluate</v>
      </c>
      <c r="S64" s="55" t="str">
        <f t="shared" si="5"/>
        <v>LU006497.006</v>
      </c>
      <c r="T64" s="55" t="str">
        <f ca="1">IFERROR(__xludf.DUMMYFUNCTION("VLOOKUP(S64, IMPORTRANGE(""https://docs.google.com/spreadsheets/d/1yDAaXNsi4Mr5FtRQL4tbmSdIzhx6_m4wkOD7IG-k_eo/edit#gid=1336395716"", ""Science!M:N""), 2, FALSE)"),"(LU006497.006); Default - Create")</f>
        <v>(LU006497.006); Default - Create</v>
      </c>
      <c r="U64" s="137" t="str">
        <f ca="1">IFERROR(__xludf.DUMMYFUNCTION("ArrayFormula(VLOOKUP(G64, IMPORTRANGE(""https://docs.google.com/spreadsheets/d/1p7R4vtkWt5VOBim4ltsDG9KTzSjrtKXsMtQGXPHyND0/edit#gid=795171502"", ""'Filter 30_05_2024'!A1:M2000""), {2, 3, 4, 5,6,7,8,9,10,11,12,13}, 0))"),"#N/A")</f>
        <v>#N/A</v>
      </c>
      <c r="V64" s="137" t="str">
        <f ca="1">IFERROR(__xludf.DUMMYFUNCTION("""COMPUTED_VALUE"""),"#N/A")</f>
        <v>#N/A</v>
      </c>
      <c r="W64" s="137" t="str">
        <f ca="1">IFERROR(__xludf.DUMMYFUNCTION("""COMPUTED_VALUE"""),"#N/A")</f>
        <v>#N/A</v>
      </c>
      <c r="X64" s="137" t="str">
        <f ca="1">IFERROR(__xludf.DUMMYFUNCTION("""COMPUTED_VALUE"""),"#N/A")</f>
        <v>#N/A</v>
      </c>
      <c r="Y64" s="137" t="str">
        <f ca="1">IFERROR(__xludf.DUMMYFUNCTION("""COMPUTED_VALUE"""),"#N/A")</f>
        <v>#N/A</v>
      </c>
      <c r="Z64" s="138" t="str">
        <f ca="1">IFERROR(__xludf.DUMMYFUNCTION("""COMPUTED_VALUE"""),"#N/A")</f>
        <v>#N/A</v>
      </c>
      <c r="AA64" s="138" t="str">
        <f ca="1">IFERROR(__xludf.DUMMYFUNCTION("""COMPUTED_VALUE"""),"#N/A")</f>
        <v>#N/A</v>
      </c>
      <c r="AB64" s="138" t="str">
        <f ca="1">IFERROR(__xludf.DUMMYFUNCTION("""COMPUTED_VALUE"""),"#N/A")</f>
        <v>#N/A</v>
      </c>
      <c r="AC64" s="138" t="str">
        <f ca="1">IFERROR(__xludf.DUMMYFUNCTION("""COMPUTED_VALUE"""),"#N/A")</f>
        <v>#N/A</v>
      </c>
      <c r="AD64" s="138" t="str">
        <f ca="1">IFERROR(__xludf.DUMMYFUNCTION("""COMPUTED_VALUE"""),"#N/A")</f>
        <v>#N/A</v>
      </c>
      <c r="AE64" s="138" t="str">
        <f ca="1">IFERROR(__xludf.DUMMYFUNCTION("""COMPUTED_VALUE"""),"#N/A")</f>
        <v>#N/A</v>
      </c>
      <c r="AF64" s="138" t="str">
        <f ca="1">IFERROR(__xludf.DUMMYFUNCTION("""COMPUTED_VALUE"""),"#N/A")</f>
        <v>#N/A</v>
      </c>
      <c r="AG64" s="138" t="str">
        <f ca="1">IFERROR(__xludf.DUMMYFUNCTION("ArrayFormula(VLOOKUP(G64, IMPORTRANGE(""https://docs.google.com/spreadsheets/d/1Co934fvtviyaRiMsrIlT05Jaq7iiYq07aLvRr35KA48/edit?gid=173865642#gid=173865642"", ""'G10_Sci_Pri_LU'!G2:V2000""), {3, 4, 5, 6, 7, 8, 9, 10, 11, 12, 13, 14, 15, 16}, 0))"),"LU005586")</f>
        <v>LU005586</v>
      </c>
      <c r="AH64" s="138" t="str">
        <f ca="1">IFERROR(__xludf.DUMMYFUNCTION("""COMPUTED_VALUE"""),"Definition of Refraction of light")</f>
        <v>Definition of Refraction of light</v>
      </c>
      <c r="AI64" s="138"/>
      <c r="AJ64" s="138"/>
      <c r="AK64" s="138"/>
      <c r="AL64" s="138"/>
      <c r="AM64" s="138"/>
      <c r="AN64" s="138"/>
      <c r="AO64" s="138"/>
      <c r="AP64" s="138"/>
      <c r="AQ64" s="138"/>
      <c r="AR64" s="138"/>
      <c r="AS64" s="138"/>
      <c r="AT64" s="138"/>
    </row>
    <row r="65" spans="1:46">
      <c r="A65" s="54" t="s">
        <v>247</v>
      </c>
      <c r="B65" s="55" t="s">
        <v>47</v>
      </c>
      <c r="C65" s="55" t="s">
        <v>1172</v>
      </c>
      <c r="D65" s="138" t="s">
        <v>1510</v>
      </c>
      <c r="E65" s="55" t="s">
        <v>2550</v>
      </c>
      <c r="F65" s="55" t="s">
        <v>2560</v>
      </c>
      <c r="G65" s="55" t="s">
        <v>2563</v>
      </c>
      <c r="H65" s="54" t="str">
        <f ca="1">IFERROR(__xludf.DUMMYFUNCTION("VLOOKUP(G65, IMPORTRANGE(""https://docs.google.com/spreadsheets/d/14deopnvwcrKtEGCKuYXdUHJbeLDZlkiSSWWT0g7x2pM/edit#gid=849066331"", ""LU List Science (Filter)!A:B""), 2, FALSE)"),"Definition of Refractive index")</f>
        <v>Definition of Refractive index</v>
      </c>
      <c r="I65" s="55" t="str">
        <f t="shared" si="0"/>
        <v>LU005590.001</v>
      </c>
      <c r="J65" s="55" t="str">
        <f ca="1">IFERROR(__xludf.DUMMYFUNCTION("VLOOKUP(I65, IMPORTRANGE(""https://docs.google.com/spreadsheets/d/1yDAaXNsi4Mr5FtRQL4tbmSdIzhx6_m4wkOD7IG-k_eo/edit#gid=1336395716"", ""Science!M:N""), 2, FALSE)"),"Recall the precise definition of refractive index.")</f>
        <v>Recall the precise definition of refractive index.</v>
      </c>
      <c r="K65" s="55" t="str">
        <f t="shared" si="1"/>
        <v>LU005590.002</v>
      </c>
      <c r="L65" s="55" t="str">
        <f ca="1">IFERROR(__xludf.DUMMYFUNCTION("VLOOKUP(K65, IMPORTRANGE(""https://docs.google.com/spreadsheets/d/1yDAaXNsi4Mr5FtRQL4tbmSdIzhx6_m4wkOD7IG-k_eo/edit#gid=1336395716"", ""Science!M:N""), 2, FALSE)"),"Explain the definition of refractive index in the context of how much a material can bend or refract light.")</f>
        <v>Explain the definition of refractive index in the context of how much a material can bend or refract light.</v>
      </c>
      <c r="M65" s="55" t="str">
        <f t="shared" si="2"/>
        <v>LU005590.003</v>
      </c>
      <c r="N65" s="55" t="str">
        <f ca="1">IFERROR(__xludf.DUMMYFUNCTION("VLOOKUP(M65, IMPORTRANGE(""https://docs.google.com/spreadsheets/d/1yDAaXNsi4Mr5FtRQL4tbmSdIzhx6_m4wkOD7IG-k_eo/edit#gid=1336395716"", ""Science!M:N""), 2, FALSE)"),"Show how refractive index affects the speed and direction of light passing through different materials using simple experiments.")</f>
        <v>Show how refractive index affects the speed and direction of light passing through different materials using simple experiments.</v>
      </c>
      <c r="O65" s="55" t="str">
        <f t="shared" si="3"/>
        <v>LU005590.004</v>
      </c>
      <c r="P65" s="55" t="str">
        <f ca="1">IFERROR(__xludf.DUMMYFUNCTION("VLOOKUP(O65, IMPORTRANGE(""https://docs.google.com/spreadsheets/d/1yDAaXNsi4Mr5FtRQL4tbmSdIzhx6_m4wkOD7IG-k_eo/edit#gid=1336395716"", ""Science!M:N""), 2, FALSE)"),"#N/A")</f>
        <v>#N/A</v>
      </c>
      <c r="Q65" s="55" t="str">
        <f t="shared" si="4"/>
        <v>LU005590.005</v>
      </c>
      <c r="R65" s="55" t="str">
        <f ca="1">IFERROR(__xludf.DUMMYFUNCTION("VLOOKUP(Q65, IMPORTRANGE(""https://docs.google.com/spreadsheets/d/1yDAaXNsi4Mr5FtRQL4tbmSdIzhx6_m4wkOD7IG-k_eo/edit#gid=1336395716"", ""Science!M:N""), 2, FALSE)"),"Evaluate various materials, such as glass, water, and air, based on their refractive indices using data tables or charts.")</f>
        <v>Evaluate various materials, such as glass, water, and air, based on their refractive indices using data tables or charts.</v>
      </c>
      <c r="S65" s="55" t="str">
        <f t="shared" si="5"/>
        <v>LU005590.006</v>
      </c>
      <c r="T65" s="55" t="str">
        <f ca="1">IFERROR(__xludf.DUMMYFUNCTION("VLOOKUP(S65, IMPORTRANGE(""https://docs.google.com/spreadsheets/d/1yDAaXNsi4Mr5FtRQL4tbmSdIzhx6_m4wkOD7IG-k_eo/edit#gid=1336395716"", ""Science!M:N""), 2, FALSE)"),"#N/A")</f>
        <v>#N/A</v>
      </c>
      <c r="U65" s="137" t="str">
        <f ca="1">IFERROR(__xludf.DUMMYFUNCTION("ArrayFormula(VLOOKUP(G65, IMPORTRANGE(""https://docs.google.com/spreadsheets/d/1p7R4vtkWt5VOBim4ltsDG9KTzSjrtKXsMtQGXPHyND0/edit#gid=795171502"", ""'Filter 30_05_2024'!A1:M2000""), {2, 3, 4, 5,6,7,8,9,10,11,12,13}, 0))"),"#N/A")</f>
        <v>#N/A</v>
      </c>
      <c r="V65" s="137" t="str">
        <f ca="1">IFERROR(__xludf.DUMMYFUNCTION("""COMPUTED_VALUE"""),"#N/A")</f>
        <v>#N/A</v>
      </c>
      <c r="W65" s="137" t="str">
        <f ca="1">IFERROR(__xludf.DUMMYFUNCTION("""COMPUTED_VALUE"""),"#N/A")</f>
        <v>#N/A</v>
      </c>
      <c r="X65" s="137" t="str">
        <f ca="1">IFERROR(__xludf.DUMMYFUNCTION("""COMPUTED_VALUE"""),"#N/A")</f>
        <v>#N/A</v>
      </c>
      <c r="Y65" s="137" t="str">
        <f ca="1">IFERROR(__xludf.DUMMYFUNCTION("""COMPUTED_VALUE"""),"#N/A")</f>
        <v>#N/A</v>
      </c>
      <c r="Z65" s="138" t="str">
        <f ca="1">IFERROR(__xludf.DUMMYFUNCTION("""COMPUTED_VALUE"""),"#N/A")</f>
        <v>#N/A</v>
      </c>
      <c r="AA65" s="138" t="str">
        <f ca="1">IFERROR(__xludf.DUMMYFUNCTION("""COMPUTED_VALUE"""),"#N/A")</f>
        <v>#N/A</v>
      </c>
      <c r="AB65" s="138" t="str">
        <f ca="1">IFERROR(__xludf.DUMMYFUNCTION("""COMPUTED_VALUE"""),"#N/A")</f>
        <v>#N/A</v>
      </c>
      <c r="AC65" s="138" t="str">
        <f ca="1">IFERROR(__xludf.DUMMYFUNCTION("""COMPUTED_VALUE"""),"#N/A")</f>
        <v>#N/A</v>
      </c>
      <c r="AD65" s="138" t="str">
        <f ca="1">IFERROR(__xludf.DUMMYFUNCTION("""COMPUTED_VALUE"""),"#N/A")</f>
        <v>#N/A</v>
      </c>
      <c r="AE65" s="138" t="str">
        <f ca="1">IFERROR(__xludf.DUMMYFUNCTION("""COMPUTED_VALUE"""),"#N/A")</f>
        <v>#N/A</v>
      </c>
      <c r="AF65" s="138" t="str">
        <f ca="1">IFERROR(__xludf.DUMMYFUNCTION("""COMPUTED_VALUE"""),"#N/A")</f>
        <v>#N/A</v>
      </c>
      <c r="AG65" s="138" t="str">
        <f ca="1">IFERROR(__xludf.DUMMYFUNCTION("ArrayFormula(VLOOKUP(G65, IMPORTRANGE(""https://docs.google.com/spreadsheets/d/1Co934fvtviyaRiMsrIlT05Jaq7iiYq07aLvRr35KA48/edit?gid=173865642#gid=173865642"", ""'G10_Sci_Pri_LU'!G2:V2000""), {3, 4, 5, 6, 7, 8, 9, 10, 11, 12, 13, 14, 15, 16}, 0))"),"LU006497")</f>
        <v>LU006497</v>
      </c>
      <c r="AH65" s="138" t="str">
        <f ca="1">IFERROR(__xludf.DUMMYFUNCTION("""COMPUTED_VALUE"""),"Laws of Refraction of Light")</f>
        <v>Laws of Refraction of Light</v>
      </c>
      <c r="AI65" s="138" t="str">
        <f ca="1">IFERROR(__xludf.DUMMYFUNCTION("""COMPUTED_VALUE"""),"LU005586")</f>
        <v>LU005586</v>
      </c>
      <c r="AJ65" s="138" t="str">
        <f ca="1">IFERROR(__xludf.DUMMYFUNCTION("""COMPUTED_VALUE"""),"Definition of Refraction of light")</f>
        <v>Definition of Refraction of light</v>
      </c>
      <c r="AK65" s="138" t="str">
        <f ca="1">IFERROR(__xludf.DUMMYFUNCTION("""COMPUTED_VALUE"""),"LU006161")</f>
        <v>LU006161</v>
      </c>
      <c r="AL65" s="138" t="str">
        <f ca="1">IFERROR(__xludf.DUMMYFUNCTION("""COMPUTED_VALUE"""),"Exploring Speed of Light")</f>
        <v>Exploring Speed of Light</v>
      </c>
      <c r="AM65" s="138"/>
      <c r="AN65" s="138"/>
      <c r="AO65" s="138"/>
      <c r="AP65" s="138"/>
      <c r="AQ65" s="138"/>
      <c r="AR65" s="138"/>
      <c r="AS65" s="138"/>
      <c r="AT65" s="138"/>
    </row>
    <row r="66" spans="1:46">
      <c r="A66" s="54" t="s">
        <v>247</v>
      </c>
      <c r="B66" s="139" t="s">
        <v>47</v>
      </c>
      <c r="C66" s="139" t="s">
        <v>1172</v>
      </c>
      <c r="D66" s="143" t="s">
        <v>1510</v>
      </c>
      <c r="E66" s="139" t="s">
        <v>2550</v>
      </c>
      <c r="F66" s="139" t="s">
        <v>2564</v>
      </c>
      <c r="G66" s="140" t="s">
        <v>2565</v>
      </c>
      <c r="H66" s="140" t="str">
        <f ca="1">IFERROR(__xludf.DUMMYFUNCTION("VLOOKUP(G66, IMPORTRANGE(""https://docs.google.com/spreadsheets/d/14deopnvwcrKtEGCKuYXdUHJbeLDZlkiSSWWT0g7x2pM/edit#gid=849066331"", ""LU List Science (Filter)!A:B""), 2, FALSE)"),"Understanding refraction by spherical lenses and terms related to it")</f>
        <v>Understanding refraction by spherical lenses and terms related to it</v>
      </c>
      <c r="I66" s="55" t="str">
        <f t="shared" si="0"/>
        <v>LU006583.001</v>
      </c>
      <c r="J66" s="55" t="str">
        <f ca="1">IFERROR(__xludf.DUMMYFUNCTION("VLOOKUP(I66, IMPORTRANGE(""https://docs.google.com/spreadsheets/d/1yDAaXNsi4Mr5FtRQL4tbmSdIzhx6_m4wkOD7IG-k_eo/edit#gid=1336395716"", ""Science!M:N""), 2, FALSE)"),"(LU006583.001); Default - Remember")</f>
        <v>(LU006583.001); Default - Remember</v>
      </c>
      <c r="K66" s="55" t="str">
        <f t="shared" si="1"/>
        <v>LU006583.002</v>
      </c>
      <c r="L66" s="55" t="str">
        <f ca="1">IFERROR(__xludf.DUMMYFUNCTION("VLOOKUP(K66, IMPORTRANGE(""https://docs.google.com/spreadsheets/d/1yDAaXNsi4Mr5FtRQL4tbmSdIzhx6_m4wkOD7IG-k_eo/edit#gid=1336395716"", ""Science!M:N""), 2, FALSE)"),"(LU006583.002); Default - Understand")</f>
        <v>(LU006583.002); Default - Understand</v>
      </c>
      <c r="M66" s="55" t="str">
        <f t="shared" si="2"/>
        <v>LU006583.003</v>
      </c>
      <c r="N66" s="55" t="str">
        <f ca="1">IFERROR(__xludf.DUMMYFUNCTION("VLOOKUP(M66, IMPORTRANGE(""https://docs.google.com/spreadsheets/d/1yDAaXNsi4Mr5FtRQL4tbmSdIzhx6_m4wkOD7IG-k_eo/edit#gid=1336395716"", ""Science!M:N""), 2, FALSE)"),"(LU006583.003); Default - Apply")</f>
        <v>(LU006583.003); Default - Apply</v>
      </c>
      <c r="O66" s="55" t="str">
        <f t="shared" si="3"/>
        <v>LU006583.004</v>
      </c>
      <c r="P66" s="55" t="str">
        <f ca="1">IFERROR(__xludf.DUMMYFUNCTION("VLOOKUP(O66, IMPORTRANGE(""https://docs.google.com/spreadsheets/d/1yDAaXNsi4Mr5FtRQL4tbmSdIzhx6_m4wkOD7IG-k_eo/edit#gid=1336395716"", ""Science!M:N""), 2, FALSE)"),"(LU006583.004); Default - Analyse")</f>
        <v>(LU006583.004); Default - Analyse</v>
      </c>
      <c r="Q66" s="55" t="str">
        <f t="shared" si="4"/>
        <v>LU006583.005</v>
      </c>
      <c r="R66" s="55" t="str">
        <f ca="1">IFERROR(__xludf.DUMMYFUNCTION("VLOOKUP(Q66, IMPORTRANGE(""https://docs.google.com/spreadsheets/d/1yDAaXNsi4Mr5FtRQL4tbmSdIzhx6_m4wkOD7IG-k_eo/edit#gid=1336395716"", ""Science!M:N""), 2, FALSE)"),"(LU006583.005); Default - Evaluate")</f>
        <v>(LU006583.005); Default - Evaluate</v>
      </c>
      <c r="S66" s="55" t="str">
        <f t="shared" si="5"/>
        <v>LU006583.006</v>
      </c>
      <c r="T66" s="55" t="str">
        <f ca="1">IFERROR(__xludf.DUMMYFUNCTION("VLOOKUP(S66, IMPORTRANGE(""https://docs.google.com/spreadsheets/d/1yDAaXNsi4Mr5FtRQL4tbmSdIzhx6_m4wkOD7IG-k_eo/edit#gid=1336395716"", ""Science!M:N""), 2, FALSE)"),"(LU006583.006); Default - Create")</f>
        <v>(LU006583.006); Default - Create</v>
      </c>
      <c r="U66" s="142" t="str">
        <f ca="1">IFERROR(__xludf.DUMMYFUNCTION("ArrayFormula(VLOOKUP(G66, IMPORTRANGE(""https://docs.google.com/spreadsheets/d/1p7R4vtkWt5VOBim4ltsDG9KTzSjrtKXsMtQGXPHyND0/edit#gid=795171502"", ""'Filter 30_05_2024'!A1:M2000""), {2, 3, 4, 5,6,7,8,9,10,11,12,13}, 0))"),"#N/A")</f>
        <v>#N/A</v>
      </c>
      <c r="V66" s="142" t="str">
        <f ca="1">IFERROR(__xludf.DUMMYFUNCTION("""COMPUTED_VALUE"""),"#N/A")</f>
        <v>#N/A</v>
      </c>
      <c r="W66" s="142" t="str">
        <f ca="1">IFERROR(__xludf.DUMMYFUNCTION("""COMPUTED_VALUE"""),"#N/A")</f>
        <v>#N/A</v>
      </c>
      <c r="X66" s="142" t="str">
        <f ca="1">IFERROR(__xludf.DUMMYFUNCTION("""COMPUTED_VALUE"""),"#N/A")</f>
        <v>#N/A</v>
      </c>
      <c r="Y66" s="142" t="str">
        <f ca="1">IFERROR(__xludf.DUMMYFUNCTION("""COMPUTED_VALUE"""),"#N/A")</f>
        <v>#N/A</v>
      </c>
      <c r="Z66" s="143" t="str">
        <f ca="1">IFERROR(__xludf.DUMMYFUNCTION("""COMPUTED_VALUE"""),"#N/A")</f>
        <v>#N/A</v>
      </c>
      <c r="AA66" s="143" t="str">
        <f ca="1">IFERROR(__xludf.DUMMYFUNCTION("""COMPUTED_VALUE"""),"#N/A")</f>
        <v>#N/A</v>
      </c>
      <c r="AB66" s="143" t="str">
        <f ca="1">IFERROR(__xludf.DUMMYFUNCTION("""COMPUTED_VALUE"""),"#N/A")</f>
        <v>#N/A</v>
      </c>
      <c r="AC66" s="143" t="str">
        <f ca="1">IFERROR(__xludf.DUMMYFUNCTION("""COMPUTED_VALUE"""),"#N/A")</f>
        <v>#N/A</v>
      </c>
      <c r="AD66" s="143" t="str">
        <f ca="1">IFERROR(__xludf.DUMMYFUNCTION("""COMPUTED_VALUE"""),"#N/A")</f>
        <v>#N/A</v>
      </c>
      <c r="AE66" s="143" t="str">
        <f ca="1">IFERROR(__xludf.DUMMYFUNCTION("""COMPUTED_VALUE"""),"#N/A")</f>
        <v>#N/A</v>
      </c>
      <c r="AF66" s="143" t="str">
        <f ca="1">IFERROR(__xludf.DUMMYFUNCTION("""COMPUTED_VALUE"""),"#N/A")</f>
        <v>#N/A</v>
      </c>
      <c r="AG66" s="138" t="str">
        <f ca="1">IFERROR(__xludf.DUMMYFUNCTION("ArrayFormula(VLOOKUP(G66, IMPORTRANGE(""https://docs.google.com/spreadsheets/d/1Co934fvtviyaRiMsrIlT05Jaq7iiYq07aLvRr35KA48/edit?gid=173865642#gid=173865642"", ""'G10_Sci_Pri_LU'!G2:V2000""), {3, 4, 5, 6, 7, 8, 9, 10, 11, 12, 13, 14, 15, 16}, 0))"),"LU005368")</f>
        <v>LU005368</v>
      </c>
      <c r="AH66" s="143" t="str">
        <f ca="1">IFERROR(__xludf.DUMMYFUNCTION("""COMPUTED_VALUE"""),"Definition of lenses")</f>
        <v>Definition of lenses</v>
      </c>
      <c r="AI66" s="143" t="str">
        <f ca="1">IFERROR(__xludf.DUMMYFUNCTION("""COMPUTED_VALUE"""),"LU006582")</f>
        <v>LU006582</v>
      </c>
      <c r="AJ66" s="143" t="str">
        <f ca="1">IFERROR(__xludf.DUMMYFUNCTION("""COMPUTED_VALUE"""),"Types of spherical mirrors and terms related to it")</f>
        <v>Types of spherical mirrors and terms related to it</v>
      </c>
      <c r="AK66" s="143"/>
      <c r="AL66" s="143"/>
      <c r="AM66" s="143"/>
      <c r="AN66" s="143"/>
      <c r="AO66" s="143"/>
      <c r="AP66" s="143"/>
      <c r="AQ66" s="143"/>
      <c r="AR66" s="143"/>
      <c r="AS66" s="143"/>
      <c r="AT66" s="143"/>
    </row>
    <row r="67" spans="1:46">
      <c r="A67" s="54" t="s">
        <v>247</v>
      </c>
      <c r="B67" s="55" t="s">
        <v>47</v>
      </c>
      <c r="C67" s="55" t="s">
        <v>1172</v>
      </c>
      <c r="D67" s="138" t="s">
        <v>1510</v>
      </c>
      <c r="E67" s="55" t="s">
        <v>2550</v>
      </c>
      <c r="F67" s="55" t="s">
        <v>2566</v>
      </c>
      <c r="G67" s="55" t="s">
        <v>2567</v>
      </c>
      <c r="H67" s="54" t="str">
        <f ca="1">IFERROR(__xludf.DUMMYFUNCTION("VLOOKUP(G67, IMPORTRANGE(""https://docs.google.com/spreadsheets/d/14deopnvwcrKtEGCKuYXdUHJbeLDZlkiSSWWT0g7x2pM/edit#gid=849066331"", ""LU List Science (Filter)!A:B""), 2, FALSE)"),"Image formation by convex lens using ray diagram")</f>
        <v>Image formation by convex lens using ray diagram</v>
      </c>
      <c r="I67" s="55" t="str">
        <f t="shared" si="0"/>
        <v>LU005596.001</v>
      </c>
      <c r="J67" s="55" t="str">
        <f ca="1">IFERROR(__xludf.DUMMYFUNCTION("VLOOKUP(I67, IMPORTRANGE(""https://docs.google.com/spreadsheets/d/1yDAaXNsi4Mr5FtRQL4tbmSdIzhx6_m4wkOD7IG-k_eo/edit#gid=1336395716"", ""Science!M:N""), 2, FALSE)"),"(LU005596.001); Default - Remember")</f>
        <v>(LU005596.001); Default - Remember</v>
      </c>
      <c r="K67" s="55" t="str">
        <f t="shared" si="1"/>
        <v>LU005596.002</v>
      </c>
      <c r="L67" s="55" t="str">
        <f ca="1">IFERROR(__xludf.DUMMYFUNCTION("VLOOKUP(K67, IMPORTRANGE(""https://docs.google.com/spreadsheets/d/1yDAaXNsi4Mr5FtRQL4tbmSdIzhx6_m4wkOD7IG-k_eo/edit#gid=1336395716"", ""Science!M:N""), 2, FALSE)"),"Describe how the position of an object (beyond 2F, at 2F, between F and 2F, at F, and between F and the lens) influences the formation and nature of its image through a convex lens.")</f>
        <v>Describe how the position of an object (beyond 2F, at 2F, between F and 2F, at F, and between F and the lens) influences the formation and nature of its image through a convex lens.</v>
      </c>
      <c r="M67" s="55" t="str">
        <f t="shared" si="2"/>
        <v>LU005596.003</v>
      </c>
      <c r="N67" s="55" t="str">
        <f ca="1">IFERROR(__xludf.DUMMYFUNCTION("VLOOKUP(M67, IMPORTRANGE(""https://docs.google.com/spreadsheets/d/1yDAaXNsi4Mr5FtRQL4tbmSdIzhx6_m4wkOD7IG-k_eo/edit#gid=1336395716"", ""Science!M:N""), 2, FALSE)"),"Construct ray diagrams to show how images are formed for objects placed at various distances from a convex lens.")</f>
        <v>Construct ray diagrams to show how images are formed for objects placed at various distances from a convex lens.</v>
      </c>
      <c r="O67" s="55" t="str">
        <f t="shared" si="3"/>
        <v>LU005596.004</v>
      </c>
      <c r="P67" s="55" t="str">
        <f ca="1">IFERROR(__xludf.DUMMYFUNCTION("VLOOKUP(O67, IMPORTRANGE(""https://docs.google.com/spreadsheets/d/1yDAaXNsi4Mr5FtRQL4tbmSdIzhx6_m4wkOD7IG-k_eo/edit#gid=1336395716"", ""Science!M:N""), 2, FALSE)"),"Compare and contrast the characteristics (real vs. virtual, magnified vs. diminished, upright vs. inverted) of images formed by a convex lens for different object positions.")</f>
        <v>Compare and contrast the characteristics (real vs. virtual, magnified vs. diminished, upright vs. inverted) of images formed by a convex lens for different object positions.</v>
      </c>
      <c r="Q67" s="55" t="str">
        <f t="shared" si="4"/>
        <v>LU005596.005</v>
      </c>
      <c r="R67" s="55" t="str">
        <f ca="1">IFERROR(__xludf.DUMMYFUNCTION("VLOOKUP(Q67, IMPORTRANGE(""https://docs.google.com/spreadsheets/d/1yDAaXNsi4Mr5FtRQL4tbmSdIzhx6_m4wkOD7IG-k_eo/edit#gid=1336395716"", ""Science!M:N""), 2, FALSE)"),"Critique a set of ray diagrams for accuracy in representing image formation by a convex lens for various object positions, suggesting corrections where needed.")</f>
        <v>Critique a set of ray diagrams for accuracy in representing image formation by a convex lens for various object positions, suggesting corrections where needed.</v>
      </c>
      <c r="S67" s="55" t="str">
        <f t="shared" si="5"/>
        <v>LU005596.006</v>
      </c>
      <c r="T67" s="55" t="str">
        <f ca="1">IFERROR(__xludf.DUMMYFUNCTION("VLOOKUP(S67, IMPORTRANGE(""https://docs.google.com/spreadsheets/d/1yDAaXNsi4Mr5FtRQL4tbmSdIzhx6_m4wkOD7IG-k_eo/edit#gid=1336395716"", ""Science!M:N""), 2, FALSE)"),"Design a hands-on activity or simulation for classmates that visually demonstrates the varying image formations based on different object positions in front of a convex lens.")</f>
        <v>Design a hands-on activity or simulation for classmates that visually demonstrates the varying image formations based on different object positions in front of a convex lens.</v>
      </c>
      <c r="U67" s="137" t="str">
        <f ca="1">IFERROR(__xludf.DUMMYFUNCTION("ArrayFormula(VLOOKUP(G67, IMPORTRANGE(""https://docs.google.com/spreadsheets/d/1p7R4vtkWt5VOBim4ltsDG9KTzSjrtKXsMtQGXPHyND0/edit#gid=795171502"", ""'Filter 30_05_2024'!A1:M2000""), {2, 3, 4, 5,6,7,8,9,10,11,12,13}, 0))"),"#N/A")</f>
        <v>#N/A</v>
      </c>
      <c r="V67" s="137" t="str">
        <f ca="1">IFERROR(__xludf.DUMMYFUNCTION("""COMPUTED_VALUE"""),"#N/A")</f>
        <v>#N/A</v>
      </c>
      <c r="W67" s="137" t="str">
        <f ca="1">IFERROR(__xludf.DUMMYFUNCTION("""COMPUTED_VALUE"""),"#N/A")</f>
        <v>#N/A</v>
      </c>
      <c r="X67" s="137" t="str">
        <f ca="1">IFERROR(__xludf.DUMMYFUNCTION("""COMPUTED_VALUE"""),"#N/A")</f>
        <v>#N/A</v>
      </c>
      <c r="Y67" s="137" t="str">
        <f ca="1">IFERROR(__xludf.DUMMYFUNCTION("""COMPUTED_VALUE"""),"#N/A")</f>
        <v>#N/A</v>
      </c>
      <c r="Z67" s="138" t="str">
        <f ca="1">IFERROR(__xludf.DUMMYFUNCTION("""COMPUTED_VALUE"""),"#N/A")</f>
        <v>#N/A</v>
      </c>
      <c r="AA67" s="138" t="str">
        <f ca="1">IFERROR(__xludf.DUMMYFUNCTION("""COMPUTED_VALUE"""),"#N/A")</f>
        <v>#N/A</v>
      </c>
      <c r="AB67" s="138" t="str">
        <f ca="1">IFERROR(__xludf.DUMMYFUNCTION("""COMPUTED_VALUE"""),"#N/A")</f>
        <v>#N/A</v>
      </c>
      <c r="AC67" s="138" t="str">
        <f ca="1">IFERROR(__xludf.DUMMYFUNCTION("""COMPUTED_VALUE"""),"#N/A")</f>
        <v>#N/A</v>
      </c>
      <c r="AD67" s="138" t="str">
        <f ca="1">IFERROR(__xludf.DUMMYFUNCTION("""COMPUTED_VALUE"""),"#N/A")</f>
        <v>#N/A</v>
      </c>
      <c r="AE67" s="138" t="str">
        <f ca="1">IFERROR(__xludf.DUMMYFUNCTION("""COMPUTED_VALUE"""),"#N/A")</f>
        <v>#N/A</v>
      </c>
      <c r="AF67" s="138" t="str">
        <f ca="1">IFERROR(__xludf.DUMMYFUNCTION("""COMPUTED_VALUE"""),"#N/A")</f>
        <v>#N/A</v>
      </c>
      <c r="AG67" s="138" t="str">
        <f ca="1">IFERROR(__xludf.DUMMYFUNCTION("ArrayFormula(VLOOKUP(G67, IMPORTRANGE(""https://docs.google.com/spreadsheets/d/1Co934fvtviyaRiMsrIlT05Jaq7iiYq07aLvRr35KA48/edit?gid=173865642#gid=173865642"", ""'G10_Sci_Pri_LU'!G2:V2000""), {3, 4, 5, 6, 7, 8, 9, 10, 11, 12, 13, 14, 15, 16}, 0))"),"LU006583")</f>
        <v>LU006583</v>
      </c>
      <c r="AH67" s="138" t="str">
        <f ca="1">IFERROR(__xludf.DUMMYFUNCTION("""COMPUTED_VALUE"""),"Understanding refraction by spherical lenses and terms related to it")</f>
        <v>Understanding refraction by spherical lenses and terms related to it</v>
      </c>
      <c r="AI67" s="138" t="str">
        <f ca="1">IFERROR(__xludf.DUMMYFUNCTION("""COMPUTED_VALUE"""),"LU005366")</f>
        <v>LU005366</v>
      </c>
      <c r="AJ67" s="138" t="str">
        <f ca="1">IFERROR(__xludf.DUMMYFUNCTION("""COMPUTED_VALUE"""),"Characteristics of image formed by convex lens")</f>
        <v>Characteristics of image formed by convex lens</v>
      </c>
      <c r="AK67" s="138"/>
      <c r="AL67" s="138"/>
      <c r="AM67" s="138"/>
      <c r="AN67" s="138"/>
      <c r="AO67" s="138"/>
      <c r="AP67" s="138"/>
      <c r="AQ67" s="138"/>
      <c r="AR67" s="138"/>
      <c r="AS67" s="138"/>
      <c r="AT67" s="138"/>
    </row>
    <row r="68" spans="1:46">
      <c r="A68" s="54" t="s">
        <v>247</v>
      </c>
      <c r="B68" s="55" t="s">
        <v>47</v>
      </c>
      <c r="C68" s="55" t="s">
        <v>1172</v>
      </c>
      <c r="D68" s="138" t="s">
        <v>1510</v>
      </c>
      <c r="E68" s="55" t="s">
        <v>2550</v>
      </c>
      <c r="F68" s="55" t="s">
        <v>2566</v>
      </c>
      <c r="G68" s="55" t="s">
        <v>2568</v>
      </c>
      <c r="H68" s="54" t="str">
        <f ca="1">IFERROR(__xludf.DUMMYFUNCTION("VLOOKUP(G68, IMPORTRANGE(""https://docs.google.com/spreadsheets/d/14deopnvwcrKtEGCKuYXdUHJbeLDZlkiSSWWT0g7x2pM/edit#gid=849066331"", ""LU List Science (Filter)!A:B""), 2, FALSE)"),"Image formation by concave lens using ray diagram")</f>
        <v>Image formation by concave lens using ray diagram</v>
      </c>
      <c r="I68" s="55" t="str">
        <f t="shared" si="0"/>
        <v>LU005597.001</v>
      </c>
      <c r="J68" s="55" t="str">
        <f ca="1">IFERROR(__xludf.DUMMYFUNCTION("VLOOKUP(I68, IMPORTRANGE(""https://docs.google.com/spreadsheets/d/1yDAaXNsi4Mr5FtRQL4tbmSdIzhx6_m4wkOD7IG-k_eo/edit#gid=1336395716"", ""Science!M:N""), 2, FALSE)"),"(LU005597.001); Default - Remember")</f>
        <v>(LU005597.001); Default - Remember</v>
      </c>
      <c r="K68" s="55" t="str">
        <f t="shared" si="1"/>
        <v>LU005597.002</v>
      </c>
      <c r="L68" s="55" t="str">
        <f ca="1">IFERROR(__xludf.DUMMYFUNCTION("VLOOKUP(K68, IMPORTRANGE(""https://docs.google.com/spreadsheets/d/1yDAaXNsi4Mr5FtRQL4tbmSdIzhx6_m4wkOD7IG-k_eo/edit#gid=1336395716"", ""Science!M:N""), 2, FALSE)"),"Explain image formation by concave lenses based on object position.")</f>
        <v>Explain image formation by concave lenses based on object position.</v>
      </c>
      <c r="M68" s="55" t="str">
        <f t="shared" si="2"/>
        <v>LU005597.003</v>
      </c>
      <c r="N68" s="55" t="str">
        <f ca="1">IFERROR(__xludf.DUMMYFUNCTION("VLOOKUP(M68, IMPORTRANGE(""https://docs.google.com/spreadsheets/d/1yDAaXNsi4Mr5FtRQL4tbmSdIzhx6_m4wkOD7IG-k_eo/edit#gid=1336395716"", ""Science!M:N""), 2, FALSE)"),"Draw ray diagrams for objects at varying distances from a concave lens.")</f>
        <v>Draw ray diagrams for objects at varying distances from a concave lens.</v>
      </c>
      <c r="O68" s="55" t="str">
        <f t="shared" si="3"/>
        <v>LU005597.004</v>
      </c>
      <c r="P68" s="55" t="str">
        <f ca="1">IFERROR(__xludf.DUMMYFUNCTION("VLOOKUP(O68, IMPORTRANGE(""https://docs.google.com/spreadsheets/d/1yDAaXNsi4Mr5FtRQL4tbmSdIzhx6_m4wkOD7IG-k_eo/edit#gid=1336395716"", ""Science!M:N""), 2, FALSE)"),"Distinguish image characteristics (virtual, upright, diminished) formed by a concave lens.")</f>
        <v>Distinguish image characteristics (virtual, upright, diminished) formed by a concave lens.</v>
      </c>
      <c r="Q68" s="55" t="str">
        <f t="shared" si="4"/>
        <v>LU005597.005</v>
      </c>
      <c r="R68" s="55" t="str">
        <f ca="1">IFERROR(__xludf.DUMMYFUNCTION("VLOOKUP(Q68, IMPORTRANGE(""https://docs.google.com/spreadsheets/d/1yDAaXNsi4Mr5FtRQL4tbmSdIzhx6_m4wkOD7IG-k_eo/edit#gid=1336395716"", ""Science!M:N""), 2, FALSE)"),"Assess the accuracy of ray diagrams showing image formation with a concave lens.")</f>
        <v>Assess the accuracy of ray diagrams showing image formation with a concave lens.</v>
      </c>
      <c r="S68" s="55" t="str">
        <f t="shared" si="5"/>
        <v>LU005597.006</v>
      </c>
      <c r="T68" s="55" t="str">
        <f ca="1">IFERROR(__xludf.DUMMYFUNCTION("VLOOKUP(S68, IMPORTRANGE(""https://docs.google.com/spreadsheets/d/1yDAaXNsi4Mr5FtRQL4tbmSdIzhx6_m4wkOD7IG-k_eo/edit#gid=1336395716"", ""Science!M:N""), 2, FALSE)"),"Design a simple demonstration highlighting image formation using a concave lens.")</f>
        <v>Design a simple demonstration highlighting image formation using a concave lens.</v>
      </c>
      <c r="U68" s="137" t="str">
        <f ca="1">IFERROR(__xludf.DUMMYFUNCTION("ArrayFormula(VLOOKUP(G68, IMPORTRANGE(""https://docs.google.com/spreadsheets/d/1p7R4vtkWt5VOBim4ltsDG9KTzSjrtKXsMtQGXPHyND0/edit#gid=795171502"", ""'Filter 30_05_2024'!A1:M2000""), {2, 3, 4, 5,6,7,8,9,10,11,12,13}, 0))"),"#N/A")</f>
        <v>#N/A</v>
      </c>
      <c r="V68" s="137" t="str">
        <f ca="1">IFERROR(__xludf.DUMMYFUNCTION("""COMPUTED_VALUE"""),"#N/A")</f>
        <v>#N/A</v>
      </c>
      <c r="W68" s="137" t="str">
        <f ca="1">IFERROR(__xludf.DUMMYFUNCTION("""COMPUTED_VALUE"""),"#N/A")</f>
        <v>#N/A</v>
      </c>
      <c r="X68" s="137" t="str">
        <f ca="1">IFERROR(__xludf.DUMMYFUNCTION("""COMPUTED_VALUE"""),"#N/A")</f>
        <v>#N/A</v>
      </c>
      <c r="Y68" s="137" t="str">
        <f ca="1">IFERROR(__xludf.DUMMYFUNCTION("""COMPUTED_VALUE"""),"#N/A")</f>
        <v>#N/A</v>
      </c>
      <c r="Z68" s="138" t="str">
        <f ca="1">IFERROR(__xludf.DUMMYFUNCTION("""COMPUTED_VALUE"""),"#N/A")</f>
        <v>#N/A</v>
      </c>
      <c r="AA68" s="138" t="str">
        <f ca="1">IFERROR(__xludf.DUMMYFUNCTION("""COMPUTED_VALUE"""),"#N/A")</f>
        <v>#N/A</v>
      </c>
      <c r="AB68" s="138" t="str">
        <f ca="1">IFERROR(__xludf.DUMMYFUNCTION("""COMPUTED_VALUE"""),"#N/A")</f>
        <v>#N/A</v>
      </c>
      <c r="AC68" s="138" t="str">
        <f ca="1">IFERROR(__xludf.DUMMYFUNCTION("""COMPUTED_VALUE"""),"#N/A")</f>
        <v>#N/A</v>
      </c>
      <c r="AD68" s="138" t="str">
        <f ca="1">IFERROR(__xludf.DUMMYFUNCTION("""COMPUTED_VALUE"""),"#N/A")</f>
        <v>#N/A</v>
      </c>
      <c r="AE68" s="138" t="str">
        <f ca="1">IFERROR(__xludf.DUMMYFUNCTION("""COMPUTED_VALUE"""),"#N/A")</f>
        <v>#N/A</v>
      </c>
      <c r="AF68" s="138" t="str">
        <f ca="1">IFERROR(__xludf.DUMMYFUNCTION("""COMPUTED_VALUE"""),"#N/A")</f>
        <v>#N/A</v>
      </c>
      <c r="AG68" s="138" t="str">
        <f ca="1">IFERROR(__xludf.DUMMYFUNCTION("ArrayFormula(VLOOKUP(G68, IMPORTRANGE(""https://docs.google.com/spreadsheets/d/1Co934fvtviyaRiMsrIlT05Jaq7iiYq07aLvRr35KA48/edit?gid=173865642#gid=173865642"", ""'G10_Sci_Pri_LU'!G2:V2000""), {3, 4, 5, 6, 7, 8, 9, 10, 11, 12, 13, 14, 15, 16}, 0))"),"LU006583")</f>
        <v>LU006583</v>
      </c>
      <c r="AH68" s="138" t="str">
        <f ca="1">IFERROR(__xludf.DUMMYFUNCTION("""COMPUTED_VALUE"""),"Understanding refraction by spherical lenses and terms related to it")</f>
        <v>Understanding refraction by spherical lenses and terms related to it</v>
      </c>
      <c r="AI68" s="138" t="str">
        <f ca="1">IFERROR(__xludf.DUMMYFUNCTION("""COMPUTED_VALUE"""),"LU005365")</f>
        <v>LU005365</v>
      </c>
      <c r="AJ68" s="138" t="str">
        <f ca="1">IFERROR(__xludf.DUMMYFUNCTION("""COMPUTED_VALUE"""),"Characteristics of image formed by concave lens")</f>
        <v>Characteristics of image formed by concave lens</v>
      </c>
      <c r="AK68" s="138"/>
      <c r="AL68" s="138"/>
      <c r="AM68" s="138"/>
      <c r="AN68" s="138"/>
      <c r="AO68" s="138"/>
      <c r="AP68" s="138"/>
      <c r="AQ68" s="138"/>
      <c r="AR68" s="138"/>
      <c r="AS68" s="138"/>
      <c r="AT68" s="138"/>
    </row>
    <row r="69" spans="1:46">
      <c r="A69" s="54" t="s">
        <v>247</v>
      </c>
      <c r="B69" s="55" t="s">
        <v>47</v>
      </c>
      <c r="C69" s="55" t="s">
        <v>1172</v>
      </c>
      <c r="D69" s="138" t="s">
        <v>1510</v>
      </c>
      <c r="E69" s="55" t="s">
        <v>2550</v>
      </c>
      <c r="F69" s="55" t="s">
        <v>2569</v>
      </c>
      <c r="G69" s="55" t="s">
        <v>2570</v>
      </c>
      <c r="H69" s="54" t="str">
        <f ca="1">IFERROR(__xludf.DUMMYFUNCTION("VLOOKUP(G69, IMPORTRANGE(""https://docs.google.com/spreadsheets/d/14deopnvwcrKtEGCKuYXdUHJbeLDZlkiSSWWT0g7x2pM/edit#gid=849066331"", ""LU List Science (Filter)!A:B""), 2, FALSE)"),"Lens Formula and Magnification")</f>
        <v>Lens Formula and Magnification</v>
      </c>
      <c r="I69" s="55" t="str">
        <f t="shared" si="0"/>
        <v>LU006581.001</v>
      </c>
      <c r="J69" s="55" t="str">
        <f ca="1">IFERROR(__xludf.DUMMYFUNCTION("VLOOKUP(I69, IMPORTRANGE(""https://docs.google.com/spreadsheets/d/1yDAaXNsi4Mr5FtRQL4tbmSdIzhx6_m4wkOD7IG-k_eo/edit#gid=1336395716"", ""Science!M:N""), 2, FALSE)"),"(LU006581.001); Default - Remember")</f>
        <v>(LU006581.001); Default - Remember</v>
      </c>
      <c r="K69" s="55" t="str">
        <f t="shared" si="1"/>
        <v>LU006581.002</v>
      </c>
      <c r="L69" s="55" t="str">
        <f ca="1">IFERROR(__xludf.DUMMYFUNCTION("VLOOKUP(K69, IMPORTRANGE(""https://docs.google.com/spreadsheets/d/1yDAaXNsi4Mr5FtRQL4tbmSdIzhx6_m4wkOD7IG-k_eo/edit#gid=1336395716"", ""Science!M:N""), 2, FALSE)"),"(LU006581.002); Default - Understand")</f>
        <v>(LU006581.002); Default - Understand</v>
      </c>
      <c r="M69" s="55" t="str">
        <f t="shared" si="2"/>
        <v>LU006581.003</v>
      </c>
      <c r="N69" s="55" t="str">
        <f ca="1">IFERROR(__xludf.DUMMYFUNCTION("VLOOKUP(M69, IMPORTRANGE(""https://docs.google.com/spreadsheets/d/1yDAaXNsi4Mr5FtRQL4tbmSdIzhx6_m4wkOD7IG-k_eo/edit#gid=1336395716"", ""Science!M:N""), 2, FALSE)"),"(LU006581.003); Default - Apply")</f>
        <v>(LU006581.003); Default - Apply</v>
      </c>
      <c r="O69" s="55" t="str">
        <f t="shared" si="3"/>
        <v>LU006581.004</v>
      </c>
      <c r="P69" s="55" t="str">
        <f ca="1">IFERROR(__xludf.DUMMYFUNCTION("VLOOKUP(O69, IMPORTRANGE(""https://docs.google.com/spreadsheets/d/1yDAaXNsi4Mr5FtRQL4tbmSdIzhx6_m4wkOD7IG-k_eo/edit#gid=1336395716"", ""Science!M:N""), 2, FALSE)"),"(LU006581.004); Default - Analyse")</f>
        <v>(LU006581.004); Default - Analyse</v>
      </c>
      <c r="Q69" s="55" t="str">
        <f t="shared" si="4"/>
        <v>LU006581.005</v>
      </c>
      <c r="R69" s="55" t="str">
        <f ca="1">IFERROR(__xludf.DUMMYFUNCTION("VLOOKUP(Q69, IMPORTRANGE(""https://docs.google.com/spreadsheets/d/1yDAaXNsi4Mr5FtRQL4tbmSdIzhx6_m4wkOD7IG-k_eo/edit#gid=1336395716"", ""Science!M:N""), 2, FALSE)"),"(LU006581.005); Default - Evaluate")</f>
        <v>(LU006581.005); Default - Evaluate</v>
      </c>
      <c r="S69" s="55" t="str">
        <f t="shared" si="5"/>
        <v>LU006581.006</v>
      </c>
      <c r="T69" s="55" t="str">
        <f ca="1">IFERROR(__xludf.DUMMYFUNCTION("VLOOKUP(S69, IMPORTRANGE(""https://docs.google.com/spreadsheets/d/1yDAaXNsi4Mr5FtRQL4tbmSdIzhx6_m4wkOD7IG-k_eo/edit#gid=1336395716"", ""Science!M:N""), 2, FALSE)"),"(LU006581.006); Default - Create")</f>
        <v>(LU006581.006); Default - Create</v>
      </c>
      <c r="U69" s="137" t="str">
        <f ca="1">IFERROR(__xludf.DUMMYFUNCTION("ArrayFormula(VLOOKUP(G69, IMPORTRANGE(""https://docs.google.com/spreadsheets/d/1p7R4vtkWt5VOBim4ltsDG9KTzSjrtKXsMtQGXPHyND0/edit#gid=795171502"", ""'Filter 30_05_2024'!A1:M2000""), {2, 3, 4, 5,6,7,8,9,10,11,12,13}, 0))"),"#N/A")</f>
        <v>#N/A</v>
      </c>
      <c r="V69" s="137" t="str">
        <f ca="1">IFERROR(__xludf.DUMMYFUNCTION("""COMPUTED_VALUE"""),"#N/A")</f>
        <v>#N/A</v>
      </c>
      <c r="W69" s="137" t="str">
        <f ca="1">IFERROR(__xludf.DUMMYFUNCTION("""COMPUTED_VALUE"""),"#N/A")</f>
        <v>#N/A</v>
      </c>
      <c r="X69" s="137" t="str">
        <f ca="1">IFERROR(__xludf.DUMMYFUNCTION("""COMPUTED_VALUE"""),"#N/A")</f>
        <v>#N/A</v>
      </c>
      <c r="Y69" s="137" t="str">
        <f ca="1">IFERROR(__xludf.DUMMYFUNCTION("""COMPUTED_VALUE"""),"#N/A")</f>
        <v>#N/A</v>
      </c>
      <c r="Z69" s="138" t="str">
        <f ca="1">IFERROR(__xludf.DUMMYFUNCTION("""COMPUTED_VALUE"""),"#N/A")</f>
        <v>#N/A</v>
      </c>
      <c r="AA69" s="138" t="str">
        <f ca="1">IFERROR(__xludf.DUMMYFUNCTION("""COMPUTED_VALUE"""),"#N/A")</f>
        <v>#N/A</v>
      </c>
      <c r="AB69" s="138" t="str">
        <f ca="1">IFERROR(__xludf.DUMMYFUNCTION("""COMPUTED_VALUE"""),"#N/A")</f>
        <v>#N/A</v>
      </c>
      <c r="AC69" s="138" t="str">
        <f ca="1">IFERROR(__xludf.DUMMYFUNCTION("""COMPUTED_VALUE"""),"#N/A")</f>
        <v>#N/A</v>
      </c>
      <c r="AD69" s="138" t="str">
        <f ca="1">IFERROR(__xludf.DUMMYFUNCTION("""COMPUTED_VALUE"""),"#N/A")</f>
        <v>#N/A</v>
      </c>
      <c r="AE69" s="138" t="str">
        <f ca="1">IFERROR(__xludf.DUMMYFUNCTION("""COMPUTED_VALUE"""),"#N/A")</f>
        <v>#N/A</v>
      </c>
      <c r="AF69" s="138" t="str">
        <f ca="1">IFERROR(__xludf.DUMMYFUNCTION("""COMPUTED_VALUE"""),"#N/A")</f>
        <v>#N/A</v>
      </c>
      <c r="AG69" s="138" t="str">
        <f ca="1">IFERROR(__xludf.DUMMYFUNCTION("ArrayFormula(VLOOKUP(G69, IMPORTRANGE(""https://docs.google.com/spreadsheets/d/1Co934fvtviyaRiMsrIlT05Jaq7iiYq07aLvRr35KA48/edit?gid=173865642#gid=173865642"", ""'G10_Sci_Pri_LU'!G2:V2000""), {3, 4, 5, 6, 7, 8, 9, 10, 11, 12, 13, 14, 15, 16}, 0))"),"LU006495")</f>
        <v>LU006495</v>
      </c>
      <c r="AH69" s="138" t="str">
        <f ca="1">IFERROR(__xludf.DUMMYFUNCTION("""COMPUTED_VALUE"""),"Sign Convention for Reflection by Spherical Mirrors")</f>
        <v>Sign Convention for Reflection by Spherical Mirrors</v>
      </c>
      <c r="AI69" s="138" t="str">
        <f ca="1">IFERROR(__xludf.DUMMYFUNCTION("""COMPUTED_VALUE"""),"LU006583")</f>
        <v>LU006583</v>
      </c>
      <c r="AJ69" s="138" t="str">
        <f ca="1">IFERROR(__xludf.DUMMYFUNCTION("""COMPUTED_VALUE"""),"Understanding refraction by spherical lenses and terms related to it")</f>
        <v>Understanding refraction by spherical lenses and terms related to it</v>
      </c>
      <c r="AK69" s="138"/>
      <c r="AL69" s="138"/>
      <c r="AM69" s="138"/>
      <c r="AN69" s="138"/>
      <c r="AO69" s="138"/>
      <c r="AP69" s="138"/>
      <c r="AQ69" s="138"/>
      <c r="AR69" s="138"/>
      <c r="AS69" s="138"/>
      <c r="AT69" s="138"/>
    </row>
    <row r="70" spans="1:46">
      <c r="A70" s="54" t="s">
        <v>247</v>
      </c>
      <c r="B70" s="55" t="s">
        <v>47</v>
      </c>
      <c r="C70" s="55" t="s">
        <v>1172</v>
      </c>
      <c r="D70" s="138" t="s">
        <v>1510</v>
      </c>
      <c r="E70" s="55" t="s">
        <v>2550</v>
      </c>
      <c r="F70" s="55" t="s">
        <v>2569</v>
      </c>
      <c r="G70" s="55" t="s">
        <v>2571</v>
      </c>
      <c r="H70" s="54" t="str">
        <f ca="1">IFERROR(__xludf.DUMMYFUNCTION("VLOOKUP(G70, IMPORTRANGE(""https://docs.google.com/spreadsheets/d/14deopnvwcrKtEGCKuYXdUHJbeLDZlkiSSWWT0g7x2pM/edit#gid=849066331"", ""LU List Science (Filter)!A:B""), 2, FALSE)"),"Power of a Lens")</f>
        <v>Power of a Lens</v>
      </c>
      <c r="I70" s="55" t="str">
        <f t="shared" si="0"/>
        <v>LU006498.001</v>
      </c>
      <c r="J70" s="55" t="str">
        <f ca="1">IFERROR(__xludf.DUMMYFUNCTION("VLOOKUP(I70, IMPORTRANGE(""https://docs.google.com/spreadsheets/d/1yDAaXNsi4Mr5FtRQL4tbmSdIzhx6_m4wkOD7IG-k_eo/edit#gid=1336395716"", ""Science!M:N""), 2, FALSE)"),"(LU006498.001); Default - Remember")</f>
        <v>(LU006498.001); Default - Remember</v>
      </c>
      <c r="K70" s="55" t="str">
        <f t="shared" si="1"/>
        <v>LU006498.002</v>
      </c>
      <c r="L70" s="55" t="str">
        <f ca="1">IFERROR(__xludf.DUMMYFUNCTION("VLOOKUP(K70, IMPORTRANGE(""https://docs.google.com/spreadsheets/d/1yDAaXNsi4Mr5FtRQL4tbmSdIzhx6_m4wkOD7IG-k_eo/edit#gid=1336395716"", ""Science!M:N""), 2, FALSE)"),"(LU006498.002); Default - Understand")</f>
        <v>(LU006498.002); Default - Understand</v>
      </c>
      <c r="M70" s="55" t="str">
        <f t="shared" si="2"/>
        <v>LU006498.003</v>
      </c>
      <c r="N70" s="55" t="str">
        <f ca="1">IFERROR(__xludf.DUMMYFUNCTION("VLOOKUP(M70, IMPORTRANGE(""https://docs.google.com/spreadsheets/d/1yDAaXNsi4Mr5FtRQL4tbmSdIzhx6_m4wkOD7IG-k_eo/edit#gid=1336395716"", ""Science!M:N""), 2, FALSE)"),"(LU006498.003); Default - Apply")</f>
        <v>(LU006498.003); Default - Apply</v>
      </c>
      <c r="O70" s="55" t="str">
        <f t="shared" si="3"/>
        <v>LU006498.004</v>
      </c>
      <c r="P70" s="55" t="str">
        <f ca="1">IFERROR(__xludf.DUMMYFUNCTION("VLOOKUP(O70, IMPORTRANGE(""https://docs.google.com/spreadsheets/d/1yDAaXNsi4Mr5FtRQL4tbmSdIzhx6_m4wkOD7IG-k_eo/edit#gid=1336395716"", ""Science!M:N""), 2, FALSE)"),"(LU006498.004); Default - Analyse")</f>
        <v>(LU006498.004); Default - Analyse</v>
      </c>
      <c r="Q70" s="55" t="str">
        <f t="shared" si="4"/>
        <v>LU006498.005</v>
      </c>
      <c r="R70" s="55" t="str">
        <f ca="1">IFERROR(__xludf.DUMMYFUNCTION("VLOOKUP(Q70, IMPORTRANGE(""https://docs.google.com/spreadsheets/d/1yDAaXNsi4Mr5FtRQL4tbmSdIzhx6_m4wkOD7IG-k_eo/edit#gid=1336395716"", ""Science!M:N""), 2, FALSE)"),"(LU006498.005); Default - Evaluate")</f>
        <v>(LU006498.005); Default - Evaluate</v>
      </c>
      <c r="S70" s="55" t="str">
        <f t="shared" si="5"/>
        <v>LU006498.006</v>
      </c>
      <c r="T70" s="55" t="str">
        <f ca="1">IFERROR(__xludf.DUMMYFUNCTION("VLOOKUP(S70, IMPORTRANGE(""https://docs.google.com/spreadsheets/d/1yDAaXNsi4Mr5FtRQL4tbmSdIzhx6_m4wkOD7IG-k_eo/edit#gid=1336395716"", ""Science!M:N""), 2, FALSE)"),"(LU006498.006); Default - Create")</f>
        <v>(LU006498.006); Default - Create</v>
      </c>
      <c r="U70" s="137" t="str">
        <f ca="1">IFERROR(__xludf.DUMMYFUNCTION("ArrayFormula(VLOOKUP(G70, IMPORTRANGE(""https://docs.google.com/spreadsheets/d/1p7R4vtkWt5VOBim4ltsDG9KTzSjrtKXsMtQGXPHyND0/edit#gid=795171502"", ""'Filter 30_05_2024'!A1:M2000""), {2, 3, 4, 5,6,7,8,9,10,11,12,13}, 0))"),"#N/A")</f>
        <v>#N/A</v>
      </c>
      <c r="V70" s="137" t="str">
        <f ca="1">IFERROR(__xludf.DUMMYFUNCTION("""COMPUTED_VALUE"""),"#N/A")</f>
        <v>#N/A</v>
      </c>
      <c r="W70" s="137" t="str">
        <f ca="1">IFERROR(__xludf.DUMMYFUNCTION("""COMPUTED_VALUE"""),"#N/A")</f>
        <v>#N/A</v>
      </c>
      <c r="X70" s="137" t="str">
        <f ca="1">IFERROR(__xludf.DUMMYFUNCTION("""COMPUTED_VALUE"""),"#N/A")</f>
        <v>#N/A</v>
      </c>
      <c r="Y70" s="137" t="str">
        <f ca="1">IFERROR(__xludf.DUMMYFUNCTION("""COMPUTED_VALUE"""),"#N/A")</f>
        <v>#N/A</v>
      </c>
      <c r="Z70" s="138" t="str">
        <f ca="1">IFERROR(__xludf.DUMMYFUNCTION("""COMPUTED_VALUE"""),"#N/A")</f>
        <v>#N/A</v>
      </c>
      <c r="AA70" s="138" t="str">
        <f ca="1">IFERROR(__xludf.DUMMYFUNCTION("""COMPUTED_VALUE"""),"#N/A")</f>
        <v>#N/A</v>
      </c>
      <c r="AB70" s="138" t="str">
        <f ca="1">IFERROR(__xludf.DUMMYFUNCTION("""COMPUTED_VALUE"""),"#N/A")</f>
        <v>#N/A</v>
      </c>
      <c r="AC70" s="138" t="str">
        <f ca="1">IFERROR(__xludf.DUMMYFUNCTION("""COMPUTED_VALUE"""),"#N/A")</f>
        <v>#N/A</v>
      </c>
      <c r="AD70" s="138" t="str">
        <f ca="1">IFERROR(__xludf.DUMMYFUNCTION("""COMPUTED_VALUE"""),"#N/A")</f>
        <v>#N/A</v>
      </c>
      <c r="AE70" s="138" t="str">
        <f ca="1">IFERROR(__xludf.DUMMYFUNCTION("""COMPUTED_VALUE"""),"#N/A")</f>
        <v>#N/A</v>
      </c>
      <c r="AF70" s="138" t="str">
        <f ca="1">IFERROR(__xludf.DUMMYFUNCTION("""COMPUTED_VALUE"""),"#N/A")</f>
        <v>#N/A</v>
      </c>
      <c r="AG70" s="138" t="str">
        <f ca="1">IFERROR(__xludf.DUMMYFUNCTION("ArrayFormula(VLOOKUP(G70, IMPORTRANGE(""https://docs.google.com/spreadsheets/d/1Co934fvtviyaRiMsrIlT05Jaq7iiYq07aLvRr35KA48/edit?gid=173865642#gid=173865642"", ""'G10_Sci_Pri_LU'!G2:V2000""), {3, 4, 5, 6, 7, 8, 9, 10, 11, 12, 13, 14, 15, 16}, 0))"),"LU006581")</f>
        <v>LU006581</v>
      </c>
      <c r="AH70" s="138" t="str">
        <f ca="1">IFERROR(__xludf.DUMMYFUNCTION("""COMPUTED_VALUE"""),"Lens Formula and Magnification")</f>
        <v>Lens Formula and Magnification</v>
      </c>
      <c r="AI70" s="138"/>
      <c r="AJ70" s="138"/>
      <c r="AK70" s="138"/>
      <c r="AL70" s="138"/>
      <c r="AM70" s="138"/>
      <c r="AN70" s="138"/>
      <c r="AO70" s="138"/>
      <c r="AP70" s="138"/>
      <c r="AQ70" s="138"/>
      <c r="AR70" s="138"/>
      <c r="AS70" s="138"/>
      <c r="AT70" s="138"/>
    </row>
    <row r="71" spans="1:46">
      <c r="A71" s="54" t="s">
        <v>247</v>
      </c>
      <c r="B71" s="55" t="s">
        <v>47</v>
      </c>
      <c r="C71" s="55" t="s">
        <v>1172</v>
      </c>
      <c r="D71" s="138" t="s">
        <v>1510</v>
      </c>
      <c r="E71" s="55" t="s">
        <v>2572</v>
      </c>
      <c r="F71" s="55" t="s">
        <v>2573</v>
      </c>
      <c r="G71" s="55" t="s">
        <v>2574</v>
      </c>
      <c r="H71" s="54" t="str">
        <f ca="1">IFERROR(__xludf.DUMMYFUNCTION("VLOOKUP(G71, IMPORTRANGE(""https://docs.google.com/spreadsheets/d/14deopnvwcrKtEGCKuYXdUHJbeLDZlkiSSWWT0g7x2pM/edit#gid=849066331"", ""LU List Science (Filter)!A:B""), 2, FALSE)"),"Function of Each Part of the Human Eye")</f>
        <v>Function of Each Part of the Human Eye</v>
      </c>
      <c r="I71" s="55" t="str">
        <f t="shared" si="0"/>
        <v>LU006499.001</v>
      </c>
      <c r="J71" s="55" t="str">
        <f ca="1">IFERROR(__xludf.DUMMYFUNCTION("VLOOKUP(I71, IMPORTRANGE(""https://docs.google.com/spreadsheets/d/1yDAaXNsi4Mr5FtRQL4tbmSdIzhx6_m4wkOD7IG-k_eo/edit#gid=1336395716"", ""Science!M:N""), 2, FALSE)"),"(LU006499.001); Default - Remember")</f>
        <v>(LU006499.001); Default - Remember</v>
      </c>
      <c r="K71" s="55" t="str">
        <f t="shared" si="1"/>
        <v>LU006499.002</v>
      </c>
      <c r="L71" s="55" t="str">
        <f ca="1">IFERROR(__xludf.DUMMYFUNCTION("VLOOKUP(K71, IMPORTRANGE(""https://docs.google.com/spreadsheets/d/1yDAaXNsi4Mr5FtRQL4tbmSdIzhx6_m4wkOD7IG-k_eo/edit#gid=1336395716"", ""Science!M:N""), 2, FALSE)"),"(LU006499.002); Default - Understand")</f>
        <v>(LU006499.002); Default - Understand</v>
      </c>
      <c r="M71" s="55" t="str">
        <f t="shared" si="2"/>
        <v>LU006499.003</v>
      </c>
      <c r="N71" s="55" t="str">
        <f ca="1">IFERROR(__xludf.DUMMYFUNCTION("VLOOKUP(M71, IMPORTRANGE(""https://docs.google.com/spreadsheets/d/1yDAaXNsi4Mr5FtRQL4tbmSdIzhx6_m4wkOD7IG-k_eo/edit#gid=1336395716"", ""Science!M:N""), 2, FALSE)"),"(LU006499.003); Default - Apply")</f>
        <v>(LU006499.003); Default - Apply</v>
      </c>
      <c r="O71" s="55" t="str">
        <f t="shared" si="3"/>
        <v>LU006499.004</v>
      </c>
      <c r="P71" s="55" t="str">
        <f ca="1">IFERROR(__xludf.DUMMYFUNCTION("VLOOKUP(O71, IMPORTRANGE(""https://docs.google.com/spreadsheets/d/1yDAaXNsi4Mr5FtRQL4tbmSdIzhx6_m4wkOD7IG-k_eo/edit#gid=1336395716"", ""Science!M:N""), 2, FALSE)"),"(LU006499.004); Default - Analyse")</f>
        <v>(LU006499.004); Default - Analyse</v>
      </c>
      <c r="Q71" s="55" t="str">
        <f t="shared" si="4"/>
        <v>LU006499.005</v>
      </c>
      <c r="R71" s="55" t="str">
        <f ca="1">IFERROR(__xludf.DUMMYFUNCTION("VLOOKUP(Q71, IMPORTRANGE(""https://docs.google.com/spreadsheets/d/1yDAaXNsi4Mr5FtRQL4tbmSdIzhx6_m4wkOD7IG-k_eo/edit#gid=1336395716"", ""Science!M:N""), 2, FALSE)"),"(LU006499.005); Default - Evaluate")</f>
        <v>(LU006499.005); Default - Evaluate</v>
      </c>
      <c r="S71" s="55" t="str">
        <f t="shared" si="5"/>
        <v>LU006499.006</v>
      </c>
      <c r="T71" s="55" t="str">
        <f ca="1">IFERROR(__xludf.DUMMYFUNCTION("VLOOKUP(S71, IMPORTRANGE(""https://docs.google.com/spreadsheets/d/1yDAaXNsi4Mr5FtRQL4tbmSdIzhx6_m4wkOD7IG-k_eo/edit#gid=1336395716"", ""Science!M:N""), 2, FALSE)"),"(LU006499.006); Default - Create")</f>
        <v>(LU006499.006); Default - Create</v>
      </c>
      <c r="U71" s="137" t="str">
        <f ca="1">IFERROR(__xludf.DUMMYFUNCTION("ArrayFormula(VLOOKUP(G71, IMPORTRANGE(""https://docs.google.com/spreadsheets/d/1p7R4vtkWt5VOBim4ltsDG9KTzSjrtKXsMtQGXPHyND0/edit#gid=795171502"", ""'Filter 30_05_2024'!A1:M2000""), {2, 3, 4, 5,6,7,8,9,10,11,12,13}, 0))"),"#N/A")</f>
        <v>#N/A</v>
      </c>
      <c r="V71" s="137" t="str">
        <f ca="1">IFERROR(__xludf.DUMMYFUNCTION("""COMPUTED_VALUE"""),"#N/A")</f>
        <v>#N/A</v>
      </c>
      <c r="W71" s="137" t="str">
        <f ca="1">IFERROR(__xludf.DUMMYFUNCTION("""COMPUTED_VALUE"""),"#N/A")</f>
        <v>#N/A</v>
      </c>
      <c r="X71" s="137" t="str">
        <f ca="1">IFERROR(__xludf.DUMMYFUNCTION("""COMPUTED_VALUE"""),"#N/A")</f>
        <v>#N/A</v>
      </c>
      <c r="Y71" s="137" t="str">
        <f ca="1">IFERROR(__xludf.DUMMYFUNCTION("""COMPUTED_VALUE"""),"#N/A")</f>
        <v>#N/A</v>
      </c>
      <c r="Z71" s="138" t="str">
        <f ca="1">IFERROR(__xludf.DUMMYFUNCTION("""COMPUTED_VALUE"""),"#N/A")</f>
        <v>#N/A</v>
      </c>
      <c r="AA71" s="138" t="str">
        <f ca="1">IFERROR(__xludf.DUMMYFUNCTION("""COMPUTED_VALUE"""),"#N/A")</f>
        <v>#N/A</v>
      </c>
      <c r="AB71" s="138" t="str">
        <f ca="1">IFERROR(__xludf.DUMMYFUNCTION("""COMPUTED_VALUE"""),"#N/A")</f>
        <v>#N/A</v>
      </c>
      <c r="AC71" s="138" t="str">
        <f ca="1">IFERROR(__xludf.DUMMYFUNCTION("""COMPUTED_VALUE"""),"#N/A")</f>
        <v>#N/A</v>
      </c>
      <c r="AD71" s="138" t="str">
        <f ca="1">IFERROR(__xludf.DUMMYFUNCTION("""COMPUTED_VALUE"""),"#N/A")</f>
        <v>#N/A</v>
      </c>
      <c r="AE71" s="138" t="str">
        <f ca="1">IFERROR(__xludf.DUMMYFUNCTION("""COMPUTED_VALUE"""),"#N/A")</f>
        <v>#N/A</v>
      </c>
      <c r="AF71" s="138" t="str">
        <f ca="1">IFERROR(__xludf.DUMMYFUNCTION("""COMPUTED_VALUE"""),"#N/A")</f>
        <v>#N/A</v>
      </c>
      <c r="AG71" s="138" t="str">
        <f ca="1">IFERROR(__xludf.DUMMYFUNCTION("ArrayFormula(VLOOKUP(G71, IMPORTRANGE(""https://docs.google.com/spreadsheets/d/1Co934fvtviyaRiMsrIlT05Jaq7iiYq07aLvRr35KA48/edit?gid=173865642#gid=173865642"", ""'G10_Sci_Pri_LU'!G2:V2000""), {3, 4, 5, 6, 7, 8, 9, 10, 11, 12, 13, 14, 15, 16}, 0))"),"LU005368")</f>
        <v>LU005368</v>
      </c>
      <c r="AH71" s="138" t="str">
        <f ca="1">IFERROR(__xludf.DUMMYFUNCTION("""COMPUTED_VALUE"""),"Definition of lenses")</f>
        <v>Definition of lenses</v>
      </c>
      <c r="AI71" s="138" t="str">
        <f ca="1">IFERROR(__xludf.DUMMYFUNCTION("""COMPUTED_VALUE"""),"LU005374")</f>
        <v>LU005374</v>
      </c>
      <c r="AJ71" s="138" t="str">
        <f ca="1">IFERROR(__xludf.DUMMYFUNCTION("""COMPUTED_VALUE"""),"Types of images")</f>
        <v>Types of images</v>
      </c>
      <c r="AK71" s="138" t="str">
        <f ca="1">IFERROR(__xludf.DUMMYFUNCTION("""COMPUTED_VALUE"""),"LU005566")</f>
        <v>LU005566</v>
      </c>
      <c r="AL71" s="138" t="str">
        <f ca="1">IFERROR(__xludf.DUMMYFUNCTION("""COMPUTED_VALUE"""),"Structure of Human eye")</f>
        <v>Structure of Human eye</v>
      </c>
      <c r="AM71" s="138"/>
      <c r="AN71" s="138"/>
      <c r="AO71" s="138"/>
      <c r="AP71" s="138"/>
      <c r="AQ71" s="138"/>
      <c r="AR71" s="138"/>
      <c r="AS71" s="138"/>
      <c r="AT71" s="138"/>
    </row>
    <row r="72" spans="1:46">
      <c r="A72" s="54" t="s">
        <v>247</v>
      </c>
      <c r="B72" s="139" t="s">
        <v>47</v>
      </c>
      <c r="C72" s="139" t="s">
        <v>1172</v>
      </c>
      <c r="D72" s="143" t="s">
        <v>1510</v>
      </c>
      <c r="E72" s="139" t="s">
        <v>2572</v>
      </c>
      <c r="F72" s="139" t="s">
        <v>2573</v>
      </c>
      <c r="G72" s="140" t="s">
        <v>2575</v>
      </c>
      <c r="H72" s="140" t="s">
        <v>2576</v>
      </c>
      <c r="I72" s="55" t="str">
        <f t="shared" si="0"/>
        <v>LU006584.001</v>
      </c>
      <c r="J72" s="55" t="str">
        <f ca="1">IFERROR(__xludf.DUMMYFUNCTION("VLOOKUP(I72, IMPORTRANGE(""https://docs.google.com/spreadsheets/d/1yDAaXNsi4Mr5FtRQL4tbmSdIzhx6_m4wkOD7IG-k_eo/edit#gid=1336395716"", ""Science!M:N""), 2, FALSE)"),"(LU006584.001); Default - Remember")</f>
        <v>(LU006584.001); Default - Remember</v>
      </c>
      <c r="K72" s="55" t="str">
        <f t="shared" si="1"/>
        <v>LU006584.002</v>
      </c>
      <c r="L72" s="55" t="str">
        <f ca="1">IFERROR(__xludf.DUMMYFUNCTION("VLOOKUP(K72, IMPORTRANGE(""https://docs.google.com/spreadsheets/d/1yDAaXNsi4Mr5FtRQL4tbmSdIzhx6_m4wkOD7IG-k_eo/edit#gid=1336395716"", ""Science!M:N""), 2, FALSE)"),"(LU006584.002); Default - Understand")</f>
        <v>(LU006584.002); Default - Understand</v>
      </c>
      <c r="M72" s="55" t="str">
        <f t="shared" si="2"/>
        <v>LU006584.003</v>
      </c>
      <c r="N72" s="55" t="str">
        <f ca="1">IFERROR(__xludf.DUMMYFUNCTION("VLOOKUP(M72, IMPORTRANGE(""https://docs.google.com/spreadsheets/d/1yDAaXNsi4Mr5FtRQL4tbmSdIzhx6_m4wkOD7IG-k_eo/edit#gid=1336395716"", ""Science!M:N""), 2, FALSE)"),"(LU006584.003); Default - Apply")</f>
        <v>(LU006584.003); Default - Apply</v>
      </c>
      <c r="O72" s="55" t="str">
        <f t="shared" si="3"/>
        <v>LU006584.004</v>
      </c>
      <c r="P72" s="55" t="str">
        <f ca="1">IFERROR(__xludf.DUMMYFUNCTION("VLOOKUP(O72, IMPORTRANGE(""https://docs.google.com/spreadsheets/d/1yDAaXNsi4Mr5FtRQL4tbmSdIzhx6_m4wkOD7IG-k_eo/edit#gid=1336395716"", ""Science!M:N""), 2, FALSE)"),"(LU006584.004); Default - Analyse")</f>
        <v>(LU006584.004); Default - Analyse</v>
      </c>
      <c r="Q72" s="55" t="str">
        <f t="shared" si="4"/>
        <v>LU006584.005</v>
      </c>
      <c r="R72" s="55" t="str">
        <f ca="1">IFERROR(__xludf.DUMMYFUNCTION("VLOOKUP(Q72, IMPORTRANGE(""https://docs.google.com/spreadsheets/d/1yDAaXNsi4Mr5FtRQL4tbmSdIzhx6_m4wkOD7IG-k_eo/edit#gid=1336395716"", ""Science!M:N""), 2, FALSE)"),"(LU006584.005); Default - Evaluate")</f>
        <v>(LU006584.005); Default - Evaluate</v>
      </c>
      <c r="S72" s="55" t="str">
        <f t="shared" si="5"/>
        <v>LU006584.006</v>
      </c>
      <c r="T72" s="55" t="str">
        <f ca="1">IFERROR(__xludf.DUMMYFUNCTION("VLOOKUP(S72, IMPORTRANGE(""https://docs.google.com/spreadsheets/d/1yDAaXNsi4Mr5FtRQL4tbmSdIzhx6_m4wkOD7IG-k_eo/edit#gid=1336395716"", ""Science!M:N""), 2, FALSE)"),"(LU006584.006); Default - Create")</f>
        <v>(LU006584.006); Default - Create</v>
      </c>
      <c r="U72" s="142" t="str">
        <f ca="1">IFERROR(__xludf.DUMMYFUNCTION("ArrayFormula(VLOOKUP(G72, IMPORTRANGE(""https://docs.google.com/spreadsheets/d/1p7R4vtkWt5VOBim4ltsDG9KTzSjrtKXsMtQGXPHyND0/edit#gid=795171502"", ""'Filter 30_05_2024'!A1:M2000""), {2, 3, 4, 5,6,7,8,9,10,11,12,13}, 0))"),"#N/A")</f>
        <v>#N/A</v>
      </c>
      <c r="V72" s="142" t="str">
        <f ca="1">IFERROR(__xludf.DUMMYFUNCTION("""COMPUTED_VALUE"""),"#N/A")</f>
        <v>#N/A</v>
      </c>
      <c r="W72" s="142" t="str">
        <f ca="1">IFERROR(__xludf.DUMMYFUNCTION("""COMPUTED_VALUE"""),"#N/A")</f>
        <v>#N/A</v>
      </c>
      <c r="X72" s="142" t="str">
        <f ca="1">IFERROR(__xludf.DUMMYFUNCTION("""COMPUTED_VALUE"""),"#N/A")</f>
        <v>#N/A</v>
      </c>
      <c r="Y72" s="142" t="str">
        <f ca="1">IFERROR(__xludf.DUMMYFUNCTION("""COMPUTED_VALUE"""),"#N/A")</f>
        <v>#N/A</v>
      </c>
      <c r="Z72" s="143" t="str">
        <f ca="1">IFERROR(__xludf.DUMMYFUNCTION("""COMPUTED_VALUE"""),"#N/A")</f>
        <v>#N/A</v>
      </c>
      <c r="AA72" s="143" t="str">
        <f ca="1">IFERROR(__xludf.DUMMYFUNCTION("""COMPUTED_VALUE"""),"#N/A")</f>
        <v>#N/A</v>
      </c>
      <c r="AB72" s="143" t="str">
        <f ca="1">IFERROR(__xludf.DUMMYFUNCTION("""COMPUTED_VALUE"""),"#N/A")</f>
        <v>#N/A</v>
      </c>
      <c r="AC72" s="143" t="str">
        <f ca="1">IFERROR(__xludf.DUMMYFUNCTION("""COMPUTED_VALUE"""),"#N/A")</f>
        <v>#N/A</v>
      </c>
      <c r="AD72" s="143" t="str">
        <f ca="1">IFERROR(__xludf.DUMMYFUNCTION("""COMPUTED_VALUE"""),"#N/A")</f>
        <v>#N/A</v>
      </c>
      <c r="AE72" s="143" t="str">
        <f ca="1">IFERROR(__xludf.DUMMYFUNCTION("""COMPUTED_VALUE"""),"#N/A")</f>
        <v>#N/A</v>
      </c>
      <c r="AF72" s="143" t="str">
        <f ca="1">IFERROR(__xludf.DUMMYFUNCTION("""COMPUTED_VALUE"""),"#N/A")</f>
        <v>#N/A</v>
      </c>
      <c r="AG72" s="138" t="str">
        <f ca="1">IFERROR(__xludf.DUMMYFUNCTION("ArrayFormula(VLOOKUP(G72, IMPORTRANGE(""https://docs.google.com/spreadsheets/d/1Co934fvtviyaRiMsrIlT05Jaq7iiYq07aLvRr35KA48/edit?gid=173865642#gid=173865642"", ""'G10_Sci_Pri_LU'!G2:V2000""), {3, 4, 5, 6, 7, 8, 9, 10, 11, 12, 13, 14, 15, 16}, 0))"),"LU006499")</f>
        <v>LU006499</v>
      </c>
      <c r="AH72" s="143" t="str">
        <f ca="1">IFERROR(__xludf.DUMMYFUNCTION("""COMPUTED_VALUE"""),"Function of Each Part of the Human Eye")</f>
        <v>Function of Each Part of the Human Eye</v>
      </c>
      <c r="AI72" s="143"/>
      <c r="AJ72" s="143"/>
      <c r="AK72" s="143"/>
      <c r="AL72" s="143"/>
      <c r="AM72" s="143"/>
      <c r="AN72" s="143"/>
      <c r="AO72" s="143"/>
      <c r="AP72" s="143"/>
      <c r="AQ72" s="143"/>
      <c r="AR72" s="143"/>
      <c r="AS72" s="143"/>
      <c r="AT72" s="143"/>
    </row>
    <row r="73" spans="1:46">
      <c r="A73" s="54" t="s">
        <v>247</v>
      </c>
      <c r="B73" s="55" t="s">
        <v>47</v>
      </c>
      <c r="C73" s="55" t="s">
        <v>1172</v>
      </c>
      <c r="D73" s="138" t="s">
        <v>1510</v>
      </c>
      <c r="E73" s="55" t="s">
        <v>2572</v>
      </c>
      <c r="F73" s="55" t="s">
        <v>2577</v>
      </c>
      <c r="G73" s="55" t="s">
        <v>2578</v>
      </c>
      <c r="H73" s="54" t="str">
        <f ca="1">IFERROR(__xludf.DUMMYFUNCTION("VLOOKUP(G73, IMPORTRANGE(""https://docs.google.com/spreadsheets/d/14deopnvwcrKtEGCKuYXdUHJbeLDZlkiSSWWT0g7x2pM/edit#gid=849066331"", ""LU List Science (Filter)!A:B""), 2, FALSE)"),"Myopia, Hypermetropia, and Presbyopia, and Their Corrections")</f>
        <v>Myopia, Hypermetropia, and Presbyopia, and Their Corrections</v>
      </c>
      <c r="I73" s="55" t="str">
        <f t="shared" si="0"/>
        <v>LU006500.001</v>
      </c>
      <c r="J73" s="55" t="str">
        <f ca="1">IFERROR(__xludf.DUMMYFUNCTION("VLOOKUP(I73, IMPORTRANGE(""https://docs.google.com/spreadsheets/d/1yDAaXNsi4Mr5FtRQL4tbmSdIzhx6_m4wkOD7IG-k_eo/edit#gid=1336395716"", ""Science!M:N""), 2, FALSE)"),"(LU006500.001); Default - Remember")</f>
        <v>(LU006500.001); Default - Remember</v>
      </c>
      <c r="K73" s="55" t="str">
        <f t="shared" si="1"/>
        <v>LU006500.002</v>
      </c>
      <c r="L73" s="55" t="str">
        <f ca="1">IFERROR(__xludf.DUMMYFUNCTION("VLOOKUP(K73, IMPORTRANGE(""https://docs.google.com/spreadsheets/d/1yDAaXNsi4Mr5FtRQL4tbmSdIzhx6_m4wkOD7IG-k_eo/edit#gid=1336395716"", ""Science!M:N""), 2, FALSE)"),"(LU006500.002); Default - Understand")</f>
        <v>(LU006500.002); Default - Understand</v>
      </c>
      <c r="M73" s="55" t="str">
        <f t="shared" si="2"/>
        <v>LU006500.003</v>
      </c>
      <c r="N73" s="55" t="str">
        <f ca="1">IFERROR(__xludf.DUMMYFUNCTION("VLOOKUP(M73, IMPORTRANGE(""https://docs.google.com/spreadsheets/d/1yDAaXNsi4Mr5FtRQL4tbmSdIzhx6_m4wkOD7IG-k_eo/edit#gid=1336395716"", ""Science!M:N""), 2, FALSE)"),"(LU006500.003); Default - Apply")</f>
        <v>(LU006500.003); Default - Apply</v>
      </c>
      <c r="O73" s="55" t="str">
        <f t="shared" si="3"/>
        <v>LU006500.004</v>
      </c>
      <c r="P73" s="55" t="str">
        <f ca="1">IFERROR(__xludf.DUMMYFUNCTION("VLOOKUP(O73, IMPORTRANGE(""https://docs.google.com/spreadsheets/d/1yDAaXNsi4Mr5FtRQL4tbmSdIzhx6_m4wkOD7IG-k_eo/edit#gid=1336395716"", ""Science!M:N""), 2, FALSE)"),"(LU006500.004); Default - Analyse")</f>
        <v>(LU006500.004); Default - Analyse</v>
      </c>
      <c r="Q73" s="55" t="str">
        <f t="shared" si="4"/>
        <v>LU006500.005</v>
      </c>
      <c r="R73" s="55" t="str">
        <f ca="1">IFERROR(__xludf.DUMMYFUNCTION("VLOOKUP(Q73, IMPORTRANGE(""https://docs.google.com/spreadsheets/d/1yDAaXNsi4Mr5FtRQL4tbmSdIzhx6_m4wkOD7IG-k_eo/edit#gid=1336395716"", ""Science!M:N""), 2, FALSE)"),"(LU006500.005); Default - Evaluate")</f>
        <v>(LU006500.005); Default - Evaluate</v>
      </c>
      <c r="S73" s="55" t="str">
        <f t="shared" si="5"/>
        <v>LU006500.006</v>
      </c>
      <c r="T73" s="55" t="str">
        <f ca="1">IFERROR(__xludf.DUMMYFUNCTION("VLOOKUP(S73, IMPORTRANGE(""https://docs.google.com/spreadsheets/d/1yDAaXNsi4Mr5FtRQL4tbmSdIzhx6_m4wkOD7IG-k_eo/edit#gid=1336395716"", ""Science!M:N""), 2, FALSE)"),"(LU006500.006); Default - Create")</f>
        <v>(LU006500.006); Default - Create</v>
      </c>
      <c r="U73" s="137" t="str">
        <f ca="1">IFERROR(__xludf.DUMMYFUNCTION("ArrayFormula(VLOOKUP(G73, IMPORTRANGE(""https://docs.google.com/spreadsheets/d/1p7R4vtkWt5VOBim4ltsDG9KTzSjrtKXsMtQGXPHyND0/edit#gid=795171502"", ""'Filter 30_05_2024'!A1:M2000""), {2, 3, 4, 5,6,7,8,9,10,11,12,13}, 0))"),"#N/A")</f>
        <v>#N/A</v>
      </c>
      <c r="V73" s="137" t="str">
        <f ca="1">IFERROR(__xludf.DUMMYFUNCTION("""COMPUTED_VALUE"""),"#N/A")</f>
        <v>#N/A</v>
      </c>
      <c r="W73" s="137" t="str">
        <f ca="1">IFERROR(__xludf.DUMMYFUNCTION("""COMPUTED_VALUE"""),"#N/A")</f>
        <v>#N/A</v>
      </c>
      <c r="X73" s="137" t="str">
        <f ca="1">IFERROR(__xludf.DUMMYFUNCTION("""COMPUTED_VALUE"""),"#N/A")</f>
        <v>#N/A</v>
      </c>
      <c r="Y73" s="137" t="str">
        <f ca="1">IFERROR(__xludf.DUMMYFUNCTION("""COMPUTED_VALUE"""),"#N/A")</f>
        <v>#N/A</v>
      </c>
      <c r="Z73" s="138" t="str">
        <f ca="1">IFERROR(__xludf.DUMMYFUNCTION("""COMPUTED_VALUE"""),"#N/A")</f>
        <v>#N/A</v>
      </c>
      <c r="AA73" s="138" t="str">
        <f ca="1">IFERROR(__xludf.DUMMYFUNCTION("""COMPUTED_VALUE"""),"#N/A")</f>
        <v>#N/A</v>
      </c>
      <c r="AB73" s="138" t="str">
        <f ca="1">IFERROR(__xludf.DUMMYFUNCTION("""COMPUTED_VALUE"""),"#N/A")</f>
        <v>#N/A</v>
      </c>
      <c r="AC73" s="138" t="str">
        <f ca="1">IFERROR(__xludf.DUMMYFUNCTION("""COMPUTED_VALUE"""),"#N/A")</f>
        <v>#N/A</v>
      </c>
      <c r="AD73" s="138" t="str">
        <f ca="1">IFERROR(__xludf.DUMMYFUNCTION("""COMPUTED_VALUE"""),"#N/A")</f>
        <v>#N/A</v>
      </c>
      <c r="AE73" s="138" t="str">
        <f ca="1">IFERROR(__xludf.DUMMYFUNCTION("""COMPUTED_VALUE"""),"#N/A")</f>
        <v>#N/A</v>
      </c>
      <c r="AF73" s="138" t="str">
        <f ca="1">IFERROR(__xludf.DUMMYFUNCTION("""COMPUTED_VALUE"""),"#N/A")</f>
        <v>#N/A</v>
      </c>
      <c r="AG73" s="138" t="str">
        <f ca="1">IFERROR(__xludf.DUMMYFUNCTION("ArrayFormula(VLOOKUP(G73, IMPORTRANGE(""https://docs.google.com/spreadsheets/d/1Co934fvtviyaRiMsrIlT05Jaq7iiYq07aLvRr35KA48/edit?gid=173865642#gid=173865642"", ""'G10_Sci_Pri_LU'!G2:V2000""), {3, 4, 5, 6, 7, 8, 9, 10, 11, 12, 13, 14, 15, 16}, 0))"),"LU006584")</f>
        <v>LU006584</v>
      </c>
      <c r="AH73" s="138" t="str">
        <f ca="1">IFERROR(__xludf.DUMMYFUNCTION("""COMPUTED_VALUE"""),"Power of Accommodation of Eye lens")</f>
        <v>Power of Accommodation of Eye lens</v>
      </c>
      <c r="AI73" s="138" t="str">
        <f ca="1">IFERROR(__xludf.DUMMYFUNCTION("""COMPUTED_VALUE"""),"LU005596")</f>
        <v>LU005596</v>
      </c>
      <c r="AJ73" s="138" t="str">
        <f ca="1">IFERROR(__xludf.DUMMYFUNCTION("""COMPUTED_VALUE"""),"Image formation by convex lens using ray diagram")</f>
        <v>Image formation by convex lens using ray diagram</v>
      </c>
      <c r="AK73" s="138" t="str">
        <f ca="1">IFERROR(__xludf.DUMMYFUNCTION("""COMPUTED_VALUE"""),"LU005597")</f>
        <v>LU005597</v>
      </c>
      <c r="AL73" s="138" t="str">
        <f ca="1">IFERROR(__xludf.DUMMYFUNCTION("""COMPUTED_VALUE"""),"Image formation by concave lens using ray diagram")</f>
        <v>Image formation by concave lens using ray diagram</v>
      </c>
      <c r="AM73" s="138"/>
      <c r="AN73" s="138"/>
      <c r="AO73" s="138"/>
      <c r="AP73" s="138"/>
      <c r="AQ73" s="138"/>
      <c r="AR73" s="138"/>
      <c r="AS73" s="138"/>
      <c r="AT73" s="138"/>
    </row>
    <row r="74" spans="1:46">
      <c r="A74" s="54" t="s">
        <v>247</v>
      </c>
      <c r="B74" s="55" t="s">
        <v>47</v>
      </c>
      <c r="C74" s="55" t="s">
        <v>1172</v>
      </c>
      <c r="D74" s="138" t="s">
        <v>1510</v>
      </c>
      <c r="E74" s="55" t="s">
        <v>2572</v>
      </c>
      <c r="F74" s="55" t="s">
        <v>2579</v>
      </c>
      <c r="G74" s="55" t="s">
        <v>2580</v>
      </c>
      <c r="H74" s="54" t="str">
        <f ca="1">IFERROR(__xludf.DUMMYFUNCTION("VLOOKUP(G74, IMPORTRANGE(""https://docs.google.com/spreadsheets/d/14deopnvwcrKtEGCKuYXdUHJbeLDZlkiSSWWT0g7x2pM/edit#gid=849066331"", ""LU List Science (Filter)!A:B""), 2, FALSE)"),"Refraction of Light Through A Prism")</f>
        <v>Refraction of Light Through A Prism</v>
      </c>
      <c r="I74" s="55" t="str">
        <f t="shared" si="0"/>
        <v>LU006501.001</v>
      </c>
      <c r="J74" s="55" t="str">
        <f ca="1">IFERROR(__xludf.DUMMYFUNCTION("VLOOKUP(I74, IMPORTRANGE(""https://docs.google.com/spreadsheets/d/1yDAaXNsi4Mr5FtRQL4tbmSdIzhx6_m4wkOD7IG-k_eo/edit#gid=1336395716"", ""Science!M:N""), 2, FALSE)"),"#N/A")</f>
        <v>#N/A</v>
      </c>
      <c r="K74" s="55" t="str">
        <f t="shared" si="1"/>
        <v>LU006501.002</v>
      </c>
      <c r="L74" s="55" t="str">
        <f ca="1">IFERROR(__xludf.DUMMYFUNCTION("VLOOKUP(K74, IMPORTRANGE(""https://docs.google.com/spreadsheets/d/1yDAaXNsi4Mr5FtRQL4tbmSdIzhx6_m4wkOD7IG-k_eo/edit#gid=1336395716"", ""Science!M:N""), 2, FALSE)"),"#N/A")</f>
        <v>#N/A</v>
      </c>
      <c r="M74" s="55" t="str">
        <f t="shared" si="2"/>
        <v>LU006501.003</v>
      </c>
      <c r="N74" s="55" t="str">
        <f ca="1">IFERROR(__xludf.DUMMYFUNCTION("VLOOKUP(M74, IMPORTRANGE(""https://docs.google.com/spreadsheets/d/1yDAaXNsi4Mr5FtRQL4tbmSdIzhx6_m4wkOD7IG-k_eo/edit#gid=1336395716"", ""Science!M:N""), 2, FALSE)"),"#N/A")</f>
        <v>#N/A</v>
      </c>
      <c r="O74" s="55" t="str">
        <f t="shared" si="3"/>
        <v>LU006501.004</v>
      </c>
      <c r="P74" s="55" t="str">
        <f ca="1">IFERROR(__xludf.DUMMYFUNCTION("VLOOKUP(O74, IMPORTRANGE(""https://docs.google.com/spreadsheets/d/1yDAaXNsi4Mr5FtRQL4tbmSdIzhx6_m4wkOD7IG-k_eo/edit#gid=1336395716"", ""Science!M:N""), 2, FALSE)"),"#N/A")</f>
        <v>#N/A</v>
      </c>
      <c r="Q74" s="55" t="str">
        <f t="shared" si="4"/>
        <v>LU006501.005</v>
      </c>
      <c r="R74" s="55" t="str">
        <f ca="1">IFERROR(__xludf.DUMMYFUNCTION("VLOOKUP(Q74, IMPORTRANGE(""https://docs.google.com/spreadsheets/d/1yDAaXNsi4Mr5FtRQL4tbmSdIzhx6_m4wkOD7IG-k_eo/edit#gid=1336395716"", ""Science!M:N""), 2, FALSE)"),"#N/A")</f>
        <v>#N/A</v>
      </c>
      <c r="S74" s="55" t="str">
        <f t="shared" si="5"/>
        <v>LU006501.006</v>
      </c>
      <c r="T74" s="55" t="str">
        <f ca="1">IFERROR(__xludf.DUMMYFUNCTION("VLOOKUP(S74, IMPORTRANGE(""https://docs.google.com/spreadsheets/d/1yDAaXNsi4Mr5FtRQL4tbmSdIzhx6_m4wkOD7IG-k_eo/edit#gid=1336395716"", ""Science!M:N""), 2, FALSE)"),"#N/A")</f>
        <v>#N/A</v>
      </c>
      <c r="U74" s="137" t="str">
        <f ca="1">IFERROR(__xludf.DUMMYFUNCTION("ArrayFormula(VLOOKUP(G74, IMPORTRANGE(""https://docs.google.com/spreadsheets/d/1p7R4vtkWt5VOBim4ltsDG9KTzSjrtKXsMtQGXPHyND0/edit#gid=795171502"", ""'Filter 30_05_2024'!A1:M2000""), {2, 3, 4, 5,6,7,8,9,10,11,12,13}, 0))"),"#N/A")</f>
        <v>#N/A</v>
      </c>
      <c r="V74" s="137" t="str">
        <f ca="1">IFERROR(__xludf.DUMMYFUNCTION("""COMPUTED_VALUE"""),"#N/A")</f>
        <v>#N/A</v>
      </c>
      <c r="W74" s="137" t="str">
        <f ca="1">IFERROR(__xludf.DUMMYFUNCTION("""COMPUTED_VALUE"""),"#N/A")</f>
        <v>#N/A</v>
      </c>
      <c r="X74" s="137" t="str">
        <f ca="1">IFERROR(__xludf.DUMMYFUNCTION("""COMPUTED_VALUE"""),"#N/A")</f>
        <v>#N/A</v>
      </c>
      <c r="Y74" s="137" t="str">
        <f ca="1">IFERROR(__xludf.DUMMYFUNCTION("""COMPUTED_VALUE"""),"#N/A")</f>
        <v>#N/A</v>
      </c>
      <c r="Z74" s="138" t="str">
        <f ca="1">IFERROR(__xludf.DUMMYFUNCTION("""COMPUTED_VALUE"""),"#N/A")</f>
        <v>#N/A</v>
      </c>
      <c r="AA74" s="138" t="str">
        <f ca="1">IFERROR(__xludf.DUMMYFUNCTION("""COMPUTED_VALUE"""),"#N/A")</f>
        <v>#N/A</v>
      </c>
      <c r="AB74" s="138" t="str">
        <f ca="1">IFERROR(__xludf.DUMMYFUNCTION("""COMPUTED_VALUE"""),"#N/A")</f>
        <v>#N/A</v>
      </c>
      <c r="AC74" s="138" t="str">
        <f ca="1">IFERROR(__xludf.DUMMYFUNCTION("""COMPUTED_VALUE"""),"#N/A")</f>
        <v>#N/A</v>
      </c>
      <c r="AD74" s="138" t="str">
        <f ca="1">IFERROR(__xludf.DUMMYFUNCTION("""COMPUTED_VALUE"""),"#N/A")</f>
        <v>#N/A</v>
      </c>
      <c r="AE74" s="138" t="str">
        <f ca="1">IFERROR(__xludf.DUMMYFUNCTION("""COMPUTED_VALUE"""),"#N/A")</f>
        <v>#N/A</v>
      </c>
      <c r="AF74" s="138" t="str">
        <f ca="1">IFERROR(__xludf.DUMMYFUNCTION("""COMPUTED_VALUE"""),"#N/A")</f>
        <v>#N/A</v>
      </c>
      <c r="AG74" s="138" t="str">
        <f ca="1">IFERROR(__xludf.DUMMYFUNCTION("ArrayFormula(VLOOKUP(G74, IMPORTRANGE(""https://docs.google.com/spreadsheets/d/1Co934fvtviyaRiMsrIlT05Jaq7iiYq07aLvRr35KA48/edit?gid=173865642#gid=173865642"", ""'G10_Sci_Pri_LU'!G2:V2000""), {3, 4, 5, 6, 7, 8, 9, 10, 11, 12, 13, 14, 15, 16}, 0))"),"LU006497")</f>
        <v>LU006497</v>
      </c>
      <c r="AH74" s="138" t="str">
        <f ca="1">IFERROR(__xludf.DUMMYFUNCTION("""COMPUTED_VALUE"""),"Laws of Refraction of Light")</f>
        <v>Laws of Refraction of Light</v>
      </c>
      <c r="AI74" s="138" t="str">
        <f ca="1">IFERROR(__xludf.DUMMYFUNCTION("""COMPUTED_VALUE"""),"LU005586")</f>
        <v>LU005586</v>
      </c>
      <c r="AJ74" s="138" t="str">
        <f ca="1">IFERROR(__xludf.DUMMYFUNCTION("""COMPUTED_VALUE"""),"Definition of Refraction of light")</f>
        <v>Definition of Refraction of light</v>
      </c>
      <c r="AK74" s="138"/>
      <c r="AL74" s="138"/>
      <c r="AM74" s="138"/>
      <c r="AN74" s="138"/>
      <c r="AO74" s="138"/>
      <c r="AP74" s="138"/>
      <c r="AQ74" s="138"/>
      <c r="AR74" s="138"/>
      <c r="AS74" s="138"/>
      <c r="AT74" s="138"/>
    </row>
    <row r="75" spans="1:46">
      <c r="A75" s="54" t="s">
        <v>247</v>
      </c>
      <c r="B75" s="55" t="s">
        <v>47</v>
      </c>
      <c r="C75" s="55" t="s">
        <v>1172</v>
      </c>
      <c r="D75" s="138" t="s">
        <v>1510</v>
      </c>
      <c r="E75" s="55" t="s">
        <v>2572</v>
      </c>
      <c r="F75" s="55" t="s">
        <v>2579</v>
      </c>
      <c r="G75" s="55" t="s">
        <v>2581</v>
      </c>
      <c r="H75" s="54" t="str">
        <f ca="1">IFERROR(__xludf.DUMMYFUNCTION("VLOOKUP(G75, IMPORTRANGE(""https://docs.google.com/spreadsheets/d/14deopnvwcrKtEGCKuYXdUHJbeLDZlkiSSWWT0g7x2pM/edit#gid=849066331"", ""LU List Science (Filter)!A:B""), 2, FALSE)"),"Dispersion of White Light by the Glass Prism")</f>
        <v>Dispersion of White Light by the Glass Prism</v>
      </c>
      <c r="I75" s="55" t="str">
        <f t="shared" si="0"/>
        <v>LU006502.001</v>
      </c>
      <c r="J75" s="55" t="str">
        <f ca="1">IFERROR(__xludf.DUMMYFUNCTION("VLOOKUP(I75, IMPORTRANGE(""https://docs.google.com/spreadsheets/d/1yDAaXNsi4Mr5FtRQL4tbmSdIzhx6_m4wkOD7IG-k_eo/edit#gid=1336395716"", ""Science!M:N""), 2, FALSE)"),"(LU006502.001); Default - Remember")</f>
        <v>(LU006502.001); Default - Remember</v>
      </c>
      <c r="K75" s="55" t="str">
        <f t="shared" si="1"/>
        <v>LU006502.002</v>
      </c>
      <c r="L75" s="55" t="str">
        <f ca="1">IFERROR(__xludf.DUMMYFUNCTION("VLOOKUP(K75, IMPORTRANGE(""https://docs.google.com/spreadsheets/d/1yDAaXNsi4Mr5FtRQL4tbmSdIzhx6_m4wkOD7IG-k_eo/edit#gid=1336395716"", ""Science!M:N""), 2, FALSE)"),"(LU006502.002); Default - Understand")</f>
        <v>(LU006502.002); Default - Understand</v>
      </c>
      <c r="M75" s="55" t="str">
        <f t="shared" si="2"/>
        <v>LU006502.003</v>
      </c>
      <c r="N75" s="55" t="str">
        <f ca="1">IFERROR(__xludf.DUMMYFUNCTION("VLOOKUP(M75, IMPORTRANGE(""https://docs.google.com/spreadsheets/d/1yDAaXNsi4Mr5FtRQL4tbmSdIzhx6_m4wkOD7IG-k_eo/edit#gid=1336395716"", ""Science!M:N""), 2, FALSE)"),"(LU006502.003); Default - Apply")</f>
        <v>(LU006502.003); Default - Apply</v>
      </c>
      <c r="O75" s="55" t="str">
        <f t="shared" si="3"/>
        <v>LU006502.004</v>
      </c>
      <c r="P75" s="55" t="str">
        <f ca="1">IFERROR(__xludf.DUMMYFUNCTION("VLOOKUP(O75, IMPORTRANGE(""https://docs.google.com/spreadsheets/d/1yDAaXNsi4Mr5FtRQL4tbmSdIzhx6_m4wkOD7IG-k_eo/edit#gid=1336395716"", ""Science!M:N""), 2, FALSE)"),"(LU006502.004); Default - Analyse")</f>
        <v>(LU006502.004); Default - Analyse</v>
      </c>
      <c r="Q75" s="55" t="str">
        <f t="shared" si="4"/>
        <v>LU006502.005</v>
      </c>
      <c r="R75" s="55" t="str">
        <f ca="1">IFERROR(__xludf.DUMMYFUNCTION("VLOOKUP(Q75, IMPORTRANGE(""https://docs.google.com/spreadsheets/d/1yDAaXNsi4Mr5FtRQL4tbmSdIzhx6_m4wkOD7IG-k_eo/edit#gid=1336395716"", ""Science!M:N""), 2, FALSE)"),"(LU006502.005); Default - Evaluate")</f>
        <v>(LU006502.005); Default - Evaluate</v>
      </c>
      <c r="S75" s="55" t="str">
        <f t="shared" si="5"/>
        <v>LU006502.006</v>
      </c>
      <c r="T75" s="55" t="str">
        <f ca="1">IFERROR(__xludf.DUMMYFUNCTION("VLOOKUP(S75, IMPORTRANGE(""https://docs.google.com/spreadsheets/d/1yDAaXNsi4Mr5FtRQL4tbmSdIzhx6_m4wkOD7IG-k_eo/edit#gid=1336395716"", ""Science!M:N""), 2, FALSE)"),"(LU006502.006); Default - Create")</f>
        <v>(LU006502.006); Default - Create</v>
      </c>
      <c r="U75" s="137" t="str">
        <f ca="1">IFERROR(__xludf.DUMMYFUNCTION("ArrayFormula(VLOOKUP(G75, IMPORTRANGE(""https://docs.google.com/spreadsheets/d/1p7R4vtkWt5VOBim4ltsDG9KTzSjrtKXsMtQGXPHyND0/edit#gid=795171502"", ""'Filter 30_05_2024'!A1:M2000""), {2, 3, 4, 5,6,7,8,9,10,11,12,13}, 0))"),"#N/A")</f>
        <v>#N/A</v>
      </c>
      <c r="V75" s="137" t="str">
        <f ca="1">IFERROR(__xludf.DUMMYFUNCTION("""COMPUTED_VALUE"""),"#N/A")</f>
        <v>#N/A</v>
      </c>
      <c r="W75" s="137" t="str">
        <f ca="1">IFERROR(__xludf.DUMMYFUNCTION("""COMPUTED_VALUE"""),"#N/A")</f>
        <v>#N/A</v>
      </c>
      <c r="X75" s="137" t="str">
        <f ca="1">IFERROR(__xludf.DUMMYFUNCTION("""COMPUTED_VALUE"""),"#N/A")</f>
        <v>#N/A</v>
      </c>
      <c r="Y75" s="137" t="str">
        <f ca="1">IFERROR(__xludf.DUMMYFUNCTION("""COMPUTED_VALUE"""),"#N/A")</f>
        <v>#N/A</v>
      </c>
      <c r="Z75" s="138" t="str">
        <f ca="1">IFERROR(__xludf.DUMMYFUNCTION("""COMPUTED_VALUE"""),"#N/A")</f>
        <v>#N/A</v>
      </c>
      <c r="AA75" s="138" t="str">
        <f ca="1">IFERROR(__xludf.DUMMYFUNCTION("""COMPUTED_VALUE"""),"#N/A")</f>
        <v>#N/A</v>
      </c>
      <c r="AB75" s="138" t="str">
        <f ca="1">IFERROR(__xludf.DUMMYFUNCTION("""COMPUTED_VALUE"""),"#N/A")</f>
        <v>#N/A</v>
      </c>
      <c r="AC75" s="138" t="str">
        <f ca="1">IFERROR(__xludf.DUMMYFUNCTION("""COMPUTED_VALUE"""),"#N/A")</f>
        <v>#N/A</v>
      </c>
      <c r="AD75" s="138" t="str">
        <f ca="1">IFERROR(__xludf.DUMMYFUNCTION("""COMPUTED_VALUE"""),"#N/A")</f>
        <v>#N/A</v>
      </c>
      <c r="AE75" s="138" t="str">
        <f ca="1">IFERROR(__xludf.DUMMYFUNCTION("""COMPUTED_VALUE"""),"#N/A")</f>
        <v>#N/A</v>
      </c>
      <c r="AF75" s="138" t="str">
        <f ca="1">IFERROR(__xludf.DUMMYFUNCTION("""COMPUTED_VALUE"""),"#N/A")</f>
        <v>#N/A</v>
      </c>
      <c r="AG75" s="138" t="str">
        <f ca="1">IFERROR(__xludf.DUMMYFUNCTION("ArrayFormula(VLOOKUP(G75, IMPORTRANGE(""https://docs.google.com/spreadsheets/d/1Co934fvtviyaRiMsrIlT05Jaq7iiYq07aLvRr35KA48/edit?gid=173865642#gid=173865642"", ""'G10_Sci_Pri_LU'!G2:V2000""), {3, 4, 5, 6, 7, 8, 9, 10, 11, 12, 13, 14, 15, 16}, 0))"),"LU006501")</f>
        <v>LU006501</v>
      </c>
      <c r="AH75" s="138" t="str">
        <f ca="1">IFERROR(__xludf.DUMMYFUNCTION("""COMPUTED_VALUE"""),"Refraction of Light Through A Prism")</f>
        <v>Refraction of Light Through A Prism</v>
      </c>
      <c r="AI75" s="138" t="str">
        <f ca="1">IFERROR(__xludf.DUMMYFUNCTION("""COMPUTED_VALUE"""),"LU005565")</f>
        <v>LU005565</v>
      </c>
      <c r="AJ75" s="138" t="str">
        <f ca="1">IFERROR(__xludf.DUMMYFUNCTION("""COMPUTED_VALUE"""),"Definition of Dispersion of Light")</f>
        <v>Definition of Dispersion of Light</v>
      </c>
      <c r="AK75" s="138"/>
      <c r="AL75" s="138"/>
      <c r="AM75" s="138"/>
      <c r="AN75" s="138"/>
      <c r="AO75" s="138"/>
      <c r="AP75" s="138"/>
      <c r="AQ75" s="138"/>
      <c r="AR75" s="138"/>
      <c r="AS75" s="138"/>
      <c r="AT75" s="138"/>
    </row>
    <row r="76" spans="1:46">
      <c r="A76" s="54" t="s">
        <v>247</v>
      </c>
      <c r="B76" s="55" t="s">
        <v>47</v>
      </c>
      <c r="C76" s="55" t="s">
        <v>1172</v>
      </c>
      <c r="D76" s="138" t="s">
        <v>1510</v>
      </c>
      <c r="E76" s="55" t="s">
        <v>2572</v>
      </c>
      <c r="F76" s="55" t="s">
        <v>2579</v>
      </c>
      <c r="G76" s="55" t="s">
        <v>2582</v>
      </c>
      <c r="H76" s="54" t="str">
        <f ca="1">IFERROR(__xludf.DUMMYFUNCTION("VLOOKUP(G76, IMPORTRANGE(""https://docs.google.com/spreadsheets/d/14deopnvwcrKtEGCKuYXdUHJbeLDZlkiSSWWT0g7x2pM/edit#gid=849066331"", ""LU List Science (Filter)!A:B""), 2, FALSE)"),"Formation of Rainbow")</f>
        <v>Formation of Rainbow</v>
      </c>
      <c r="I76" s="55" t="str">
        <f t="shared" si="0"/>
        <v>LU006503.001</v>
      </c>
      <c r="J76" s="55" t="str">
        <f ca="1">IFERROR(__xludf.DUMMYFUNCTION("VLOOKUP(I76, IMPORTRANGE(""https://docs.google.com/spreadsheets/d/1yDAaXNsi4Mr5FtRQL4tbmSdIzhx6_m4wkOD7IG-k_eo/edit#gid=1336395716"", ""Science!M:N""), 2, FALSE)"),"(LU006503.001); Default - Remember")</f>
        <v>(LU006503.001); Default - Remember</v>
      </c>
      <c r="K76" s="55" t="str">
        <f t="shared" si="1"/>
        <v>LU006503.002</v>
      </c>
      <c r="L76" s="55" t="str">
        <f ca="1">IFERROR(__xludf.DUMMYFUNCTION("VLOOKUP(K76, IMPORTRANGE(""https://docs.google.com/spreadsheets/d/1yDAaXNsi4Mr5FtRQL4tbmSdIzhx6_m4wkOD7IG-k_eo/edit#gid=1336395716"", ""Science!M:N""), 2, FALSE)"),"(LU006503.002); Default - Understand")</f>
        <v>(LU006503.002); Default - Understand</v>
      </c>
      <c r="M76" s="55" t="str">
        <f t="shared" si="2"/>
        <v>LU006503.003</v>
      </c>
      <c r="N76" s="55" t="str">
        <f ca="1">IFERROR(__xludf.DUMMYFUNCTION("VLOOKUP(M76, IMPORTRANGE(""https://docs.google.com/spreadsheets/d/1yDAaXNsi4Mr5FtRQL4tbmSdIzhx6_m4wkOD7IG-k_eo/edit#gid=1336395716"", ""Science!M:N""), 2, FALSE)"),"(LU006503.003); Default - Apply")</f>
        <v>(LU006503.003); Default - Apply</v>
      </c>
      <c r="O76" s="55" t="str">
        <f t="shared" si="3"/>
        <v>LU006503.004</v>
      </c>
      <c r="P76" s="55" t="str">
        <f ca="1">IFERROR(__xludf.DUMMYFUNCTION("VLOOKUP(O76, IMPORTRANGE(""https://docs.google.com/spreadsheets/d/1yDAaXNsi4Mr5FtRQL4tbmSdIzhx6_m4wkOD7IG-k_eo/edit#gid=1336395716"", ""Science!M:N""), 2, FALSE)"),"(LU006503.004); Default - Analyse")</f>
        <v>(LU006503.004); Default - Analyse</v>
      </c>
      <c r="Q76" s="55" t="str">
        <f t="shared" si="4"/>
        <v>LU006503.005</v>
      </c>
      <c r="R76" s="55" t="str">
        <f ca="1">IFERROR(__xludf.DUMMYFUNCTION("VLOOKUP(Q76, IMPORTRANGE(""https://docs.google.com/spreadsheets/d/1yDAaXNsi4Mr5FtRQL4tbmSdIzhx6_m4wkOD7IG-k_eo/edit#gid=1336395716"", ""Science!M:N""), 2, FALSE)"),"(LU006503.005); Default - Evaluate")</f>
        <v>(LU006503.005); Default - Evaluate</v>
      </c>
      <c r="S76" s="55" t="str">
        <f t="shared" si="5"/>
        <v>LU006503.006</v>
      </c>
      <c r="T76" s="55" t="str">
        <f ca="1">IFERROR(__xludf.DUMMYFUNCTION("VLOOKUP(S76, IMPORTRANGE(""https://docs.google.com/spreadsheets/d/1yDAaXNsi4Mr5FtRQL4tbmSdIzhx6_m4wkOD7IG-k_eo/edit#gid=1336395716"", ""Science!M:N""), 2, FALSE)"),"(LU006503.006); Default - Create")</f>
        <v>(LU006503.006); Default - Create</v>
      </c>
      <c r="U76" s="137" t="str">
        <f ca="1">IFERROR(__xludf.DUMMYFUNCTION("ArrayFormula(VLOOKUP(G76, IMPORTRANGE(""https://docs.google.com/spreadsheets/d/1p7R4vtkWt5VOBim4ltsDG9KTzSjrtKXsMtQGXPHyND0/edit#gid=795171502"", ""'Filter 30_05_2024'!A1:M2000""), {2, 3, 4, 5,6,7,8,9,10,11,12,13}, 0))"),"#N/A")</f>
        <v>#N/A</v>
      </c>
      <c r="V76" s="137" t="str">
        <f ca="1">IFERROR(__xludf.DUMMYFUNCTION("""COMPUTED_VALUE"""),"#N/A")</f>
        <v>#N/A</v>
      </c>
      <c r="W76" s="137" t="str">
        <f ca="1">IFERROR(__xludf.DUMMYFUNCTION("""COMPUTED_VALUE"""),"#N/A")</f>
        <v>#N/A</v>
      </c>
      <c r="X76" s="137" t="str">
        <f ca="1">IFERROR(__xludf.DUMMYFUNCTION("""COMPUTED_VALUE"""),"#N/A")</f>
        <v>#N/A</v>
      </c>
      <c r="Y76" s="137" t="str">
        <f ca="1">IFERROR(__xludf.DUMMYFUNCTION("""COMPUTED_VALUE"""),"#N/A")</f>
        <v>#N/A</v>
      </c>
      <c r="Z76" s="138" t="str">
        <f ca="1">IFERROR(__xludf.DUMMYFUNCTION("""COMPUTED_VALUE"""),"#N/A")</f>
        <v>#N/A</v>
      </c>
      <c r="AA76" s="138" t="str">
        <f ca="1">IFERROR(__xludf.DUMMYFUNCTION("""COMPUTED_VALUE"""),"#N/A")</f>
        <v>#N/A</v>
      </c>
      <c r="AB76" s="138" t="str">
        <f ca="1">IFERROR(__xludf.DUMMYFUNCTION("""COMPUTED_VALUE"""),"#N/A")</f>
        <v>#N/A</v>
      </c>
      <c r="AC76" s="138" t="str">
        <f ca="1">IFERROR(__xludf.DUMMYFUNCTION("""COMPUTED_VALUE"""),"#N/A")</f>
        <v>#N/A</v>
      </c>
      <c r="AD76" s="138" t="str">
        <f ca="1">IFERROR(__xludf.DUMMYFUNCTION("""COMPUTED_VALUE"""),"#N/A")</f>
        <v>#N/A</v>
      </c>
      <c r="AE76" s="138" t="str">
        <f ca="1">IFERROR(__xludf.DUMMYFUNCTION("""COMPUTED_VALUE"""),"#N/A")</f>
        <v>#N/A</v>
      </c>
      <c r="AF76" s="138" t="str">
        <f ca="1">IFERROR(__xludf.DUMMYFUNCTION("""COMPUTED_VALUE"""),"#N/A")</f>
        <v>#N/A</v>
      </c>
      <c r="AG76" s="138" t="str">
        <f ca="1">IFERROR(__xludf.DUMMYFUNCTION("ArrayFormula(VLOOKUP(G76, IMPORTRANGE(""https://docs.google.com/spreadsheets/d/1Co934fvtviyaRiMsrIlT05Jaq7iiYq07aLvRr35KA48/edit?gid=173865642#gid=173865642"", ""'G10_Sci_Pri_LU'!G2:V2000""), {3, 4, 5, 6, 7, 8, 9, 10, 11, 12, 13, 14, 15, 16}, 0))"),"LU006502")</f>
        <v>LU006502</v>
      </c>
      <c r="AH76" s="138" t="str">
        <f ca="1">IFERROR(__xludf.DUMMYFUNCTION("""COMPUTED_VALUE"""),"Dispersion of White Light by the Glass Prism")</f>
        <v>Dispersion of White Light by the Glass Prism</v>
      </c>
      <c r="AI76" s="138"/>
      <c r="AJ76" s="138"/>
      <c r="AK76" s="138"/>
      <c r="AL76" s="138"/>
      <c r="AM76" s="138"/>
      <c r="AN76" s="138"/>
      <c r="AO76" s="138"/>
      <c r="AP76" s="138"/>
      <c r="AQ76" s="138"/>
      <c r="AR76" s="138"/>
      <c r="AS76" s="138"/>
      <c r="AT76" s="138"/>
    </row>
    <row r="77" spans="1:46">
      <c r="A77" s="54" t="s">
        <v>247</v>
      </c>
      <c r="B77" s="55" t="s">
        <v>47</v>
      </c>
      <c r="C77" s="55" t="s">
        <v>1172</v>
      </c>
      <c r="D77" s="138" t="s">
        <v>1510</v>
      </c>
      <c r="E77" s="55" t="s">
        <v>2572</v>
      </c>
      <c r="F77" s="55" t="s">
        <v>2583</v>
      </c>
      <c r="G77" s="55" t="s">
        <v>2584</v>
      </c>
      <c r="H77" s="54" t="str">
        <f ca="1">IFERROR(__xludf.DUMMYFUNCTION("VLOOKUP(G77, IMPORTRANGE(""https://docs.google.com/spreadsheets/d/14deopnvwcrKtEGCKuYXdUHJbeLDZlkiSSWWT0g7x2pM/edit#gid=849066331"", ""LU List Science (Filter)!A:B""), 2, FALSE)"),"Phenomenon related to atmospheric refraction")</f>
        <v>Phenomenon related to atmospheric refraction</v>
      </c>
      <c r="I77" s="55" t="str">
        <f t="shared" si="0"/>
        <v>LU006504.001</v>
      </c>
      <c r="J77" s="55" t="str">
        <f ca="1">IFERROR(__xludf.DUMMYFUNCTION("VLOOKUP(I77, IMPORTRANGE(""https://docs.google.com/spreadsheets/d/1yDAaXNsi4Mr5FtRQL4tbmSdIzhx6_m4wkOD7IG-k_eo/edit#gid=1336395716"", ""Science!M:N""), 2, FALSE)"),"(LU006504.001); Default - Remember")</f>
        <v>(LU006504.001); Default - Remember</v>
      </c>
      <c r="K77" s="55" t="str">
        <f t="shared" si="1"/>
        <v>LU006504.002</v>
      </c>
      <c r="L77" s="55" t="str">
        <f ca="1">IFERROR(__xludf.DUMMYFUNCTION("VLOOKUP(K77, IMPORTRANGE(""https://docs.google.com/spreadsheets/d/1yDAaXNsi4Mr5FtRQL4tbmSdIzhx6_m4wkOD7IG-k_eo/edit#gid=1336395716"", ""Science!M:N""), 2, FALSE)"),"(LU006504.002); Default - Understand")</f>
        <v>(LU006504.002); Default - Understand</v>
      </c>
      <c r="M77" s="55" t="str">
        <f t="shared" si="2"/>
        <v>LU006504.003</v>
      </c>
      <c r="N77" s="55" t="str">
        <f ca="1">IFERROR(__xludf.DUMMYFUNCTION("VLOOKUP(M77, IMPORTRANGE(""https://docs.google.com/spreadsheets/d/1yDAaXNsi4Mr5FtRQL4tbmSdIzhx6_m4wkOD7IG-k_eo/edit#gid=1336395716"", ""Science!M:N""), 2, FALSE)"),"(LU006504.003); Default - Apply")</f>
        <v>(LU006504.003); Default - Apply</v>
      </c>
      <c r="O77" s="55" t="str">
        <f t="shared" si="3"/>
        <v>LU006504.004</v>
      </c>
      <c r="P77" s="55" t="str">
        <f ca="1">IFERROR(__xludf.DUMMYFUNCTION("VLOOKUP(O77, IMPORTRANGE(""https://docs.google.com/spreadsheets/d/1yDAaXNsi4Mr5FtRQL4tbmSdIzhx6_m4wkOD7IG-k_eo/edit#gid=1336395716"", ""Science!M:N""), 2, FALSE)"),"(LU006504.004); Default - Analyse")</f>
        <v>(LU006504.004); Default - Analyse</v>
      </c>
      <c r="Q77" s="55" t="str">
        <f t="shared" si="4"/>
        <v>LU006504.005</v>
      </c>
      <c r="R77" s="55" t="str">
        <f ca="1">IFERROR(__xludf.DUMMYFUNCTION("VLOOKUP(Q77, IMPORTRANGE(""https://docs.google.com/spreadsheets/d/1yDAaXNsi4Mr5FtRQL4tbmSdIzhx6_m4wkOD7IG-k_eo/edit#gid=1336395716"", ""Science!M:N""), 2, FALSE)"),"(LU006504.005); Default - Evaluate")</f>
        <v>(LU006504.005); Default - Evaluate</v>
      </c>
      <c r="S77" s="55" t="str">
        <f t="shared" si="5"/>
        <v>LU006504.006</v>
      </c>
      <c r="T77" s="55" t="str">
        <f ca="1">IFERROR(__xludf.DUMMYFUNCTION("VLOOKUP(S77, IMPORTRANGE(""https://docs.google.com/spreadsheets/d/1yDAaXNsi4Mr5FtRQL4tbmSdIzhx6_m4wkOD7IG-k_eo/edit#gid=1336395716"", ""Science!M:N""), 2, FALSE)"),"(LU006504.006); Default - Create")</f>
        <v>(LU006504.006); Default - Create</v>
      </c>
      <c r="U77" s="137" t="str">
        <f ca="1">IFERROR(__xludf.DUMMYFUNCTION("ArrayFormula(VLOOKUP(G77, IMPORTRANGE(""https://docs.google.com/spreadsheets/d/1p7R4vtkWt5VOBim4ltsDG9KTzSjrtKXsMtQGXPHyND0/edit#gid=795171502"", ""'Filter 30_05_2024'!A1:M2000""), {2, 3, 4, 5,6,7,8,9,10,11,12,13}, 0))"),"#N/A")</f>
        <v>#N/A</v>
      </c>
      <c r="V77" s="137" t="str">
        <f ca="1">IFERROR(__xludf.DUMMYFUNCTION("""COMPUTED_VALUE"""),"#N/A")</f>
        <v>#N/A</v>
      </c>
      <c r="W77" s="137" t="str">
        <f ca="1">IFERROR(__xludf.DUMMYFUNCTION("""COMPUTED_VALUE"""),"#N/A")</f>
        <v>#N/A</v>
      </c>
      <c r="X77" s="137" t="str">
        <f ca="1">IFERROR(__xludf.DUMMYFUNCTION("""COMPUTED_VALUE"""),"#N/A")</f>
        <v>#N/A</v>
      </c>
      <c r="Y77" s="137" t="str">
        <f ca="1">IFERROR(__xludf.DUMMYFUNCTION("""COMPUTED_VALUE"""),"#N/A")</f>
        <v>#N/A</v>
      </c>
      <c r="Z77" s="138" t="str">
        <f ca="1">IFERROR(__xludf.DUMMYFUNCTION("""COMPUTED_VALUE"""),"#N/A")</f>
        <v>#N/A</v>
      </c>
      <c r="AA77" s="138" t="str">
        <f ca="1">IFERROR(__xludf.DUMMYFUNCTION("""COMPUTED_VALUE"""),"#N/A")</f>
        <v>#N/A</v>
      </c>
      <c r="AB77" s="138" t="str">
        <f ca="1">IFERROR(__xludf.DUMMYFUNCTION("""COMPUTED_VALUE"""),"#N/A")</f>
        <v>#N/A</v>
      </c>
      <c r="AC77" s="138" t="str">
        <f ca="1">IFERROR(__xludf.DUMMYFUNCTION("""COMPUTED_VALUE"""),"#N/A")</f>
        <v>#N/A</v>
      </c>
      <c r="AD77" s="138" t="str">
        <f ca="1">IFERROR(__xludf.DUMMYFUNCTION("""COMPUTED_VALUE"""),"#N/A")</f>
        <v>#N/A</v>
      </c>
      <c r="AE77" s="138" t="str">
        <f ca="1">IFERROR(__xludf.DUMMYFUNCTION("""COMPUTED_VALUE"""),"#N/A")</f>
        <v>#N/A</v>
      </c>
      <c r="AF77" s="138" t="str">
        <f ca="1">IFERROR(__xludf.DUMMYFUNCTION("""COMPUTED_VALUE"""),"#N/A")</f>
        <v>#N/A</v>
      </c>
      <c r="AG77" s="138" t="str">
        <f ca="1">IFERROR(__xludf.DUMMYFUNCTION("ArrayFormula(VLOOKUP(G77, IMPORTRANGE(""https://docs.google.com/spreadsheets/d/1Co934fvtviyaRiMsrIlT05Jaq7iiYq07aLvRr35KA48/edit?gid=173865642#gid=173865642"", ""'G10_Sci_Pri_LU'!G2:V2000""), {3, 4, 5, 6, 7, 8, 9, 10, 11, 12, 13, 14, 15, 16}, 0))"),"LU005586")</f>
        <v>LU005586</v>
      </c>
      <c r="AH77" s="138" t="str">
        <f ca="1">IFERROR(__xludf.DUMMYFUNCTION("""COMPUTED_VALUE"""),"Definition of Refraction of light")</f>
        <v>Definition of Refraction of light</v>
      </c>
      <c r="AI77" s="138"/>
      <c r="AJ77" s="138"/>
      <c r="AK77" s="138"/>
      <c r="AL77" s="138"/>
      <c r="AM77" s="138"/>
      <c r="AN77" s="138"/>
      <c r="AO77" s="138"/>
      <c r="AP77" s="138"/>
      <c r="AQ77" s="138"/>
      <c r="AR77" s="138"/>
      <c r="AS77" s="138"/>
      <c r="AT77" s="138"/>
    </row>
    <row r="78" spans="1:46">
      <c r="A78" s="54" t="s">
        <v>247</v>
      </c>
      <c r="B78" s="55" t="s">
        <v>47</v>
      </c>
      <c r="C78" s="55" t="s">
        <v>1172</v>
      </c>
      <c r="D78" s="138" t="s">
        <v>1510</v>
      </c>
      <c r="E78" s="55" t="s">
        <v>2572</v>
      </c>
      <c r="F78" s="55" t="s">
        <v>2583</v>
      </c>
      <c r="G78" s="55" t="s">
        <v>2585</v>
      </c>
      <c r="H78" s="54" t="str">
        <f ca="1">IFERROR(__xludf.DUMMYFUNCTION("VLOOKUP(G78, IMPORTRANGE(""https://docs.google.com/spreadsheets/d/14deopnvwcrKtEGCKuYXdUHJbeLDZlkiSSWWT0g7x2pM/edit#gid=849066331"", ""LU List Science (Filter)!A:B""), 2, FALSE)"),"Scattering of Light and Phenomenon related to it")</f>
        <v>Scattering of Light and Phenomenon related to it</v>
      </c>
      <c r="I78" s="55" t="str">
        <f t="shared" si="0"/>
        <v>LU006505.001</v>
      </c>
      <c r="J78" s="55" t="str">
        <f ca="1">IFERROR(__xludf.DUMMYFUNCTION("VLOOKUP(I78, IMPORTRANGE(""https://docs.google.com/spreadsheets/d/1yDAaXNsi4Mr5FtRQL4tbmSdIzhx6_m4wkOD7IG-k_eo/edit#gid=1336395716"", ""Science!M:N""), 2, FALSE)"),"(LU006505.001); Default - Remember")</f>
        <v>(LU006505.001); Default - Remember</v>
      </c>
      <c r="K78" s="55" t="str">
        <f t="shared" si="1"/>
        <v>LU006505.002</v>
      </c>
      <c r="L78" s="55" t="str">
        <f ca="1">IFERROR(__xludf.DUMMYFUNCTION("VLOOKUP(K78, IMPORTRANGE(""https://docs.google.com/spreadsheets/d/1yDAaXNsi4Mr5FtRQL4tbmSdIzhx6_m4wkOD7IG-k_eo/edit#gid=1336395716"", ""Science!M:N""), 2, FALSE)"),"(LU006505.002); Default - Understand")</f>
        <v>(LU006505.002); Default - Understand</v>
      </c>
      <c r="M78" s="55" t="str">
        <f t="shared" si="2"/>
        <v>LU006505.003</v>
      </c>
      <c r="N78" s="55" t="str">
        <f ca="1">IFERROR(__xludf.DUMMYFUNCTION("VLOOKUP(M78, IMPORTRANGE(""https://docs.google.com/spreadsheets/d/1yDAaXNsi4Mr5FtRQL4tbmSdIzhx6_m4wkOD7IG-k_eo/edit#gid=1336395716"", ""Science!M:N""), 2, FALSE)"),"(LU006505.003); Default - Apply")</f>
        <v>(LU006505.003); Default - Apply</v>
      </c>
      <c r="O78" s="55" t="str">
        <f t="shared" si="3"/>
        <v>LU006505.004</v>
      </c>
      <c r="P78" s="55" t="str">
        <f ca="1">IFERROR(__xludf.DUMMYFUNCTION("VLOOKUP(O78, IMPORTRANGE(""https://docs.google.com/spreadsheets/d/1yDAaXNsi4Mr5FtRQL4tbmSdIzhx6_m4wkOD7IG-k_eo/edit#gid=1336395716"", ""Science!M:N""), 2, FALSE)"),"(LU006505.004); Default - Analyse")</f>
        <v>(LU006505.004); Default - Analyse</v>
      </c>
      <c r="Q78" s="55" t="str">
        <f t="shared" si="4"/>
        <v>LU006505.005</v>
      </c>
      <c r="R78" s="55" t="str">
        <f ca="1">IFERROR(__xludf.DUMMYFUNCTION("VLOOKUP(Q78, IMPORTRANGE(""https://docs.google.com/spreadsheets/d/1yDAaXNsi4Mr5FtRQL4tbmSdIzhx6_m4wkOD7IG-k_eo/edit#gid=1336395716"", ""Science!M:N""), 2, FALSE)"),"(LU006505.005); Default - Evaluate")</f>
        <v>(LU006505.005); Default - Evaluate</v>
      </c>
      <c r="S78" s="55" t="str">
        <f t="shared" si="5"/>
        <v>LU006505.006</v>
      </c>
      <c r="T78" s="55" t="str">
        <f ca="1">IFERROR(__xludf.DUMMYFUNCTION("VLOOKUP(S78, IMPORTRANGE(""https://docs.google.com/spreadsheets/d/1yDAaXNsi4Mr5FtRQL4tbmSdIzhx6_m4wkOD7IG-k_eo/edit#gid=1336395716"", ""Science!M:N""), 2, FALSE)"),"(LU006505.006); Default - Create")</f>
        <v>(LU006505.006); Default - Create</v>
      </c>
      <c r="U78" s="137" t="str">
        <f ca="1">IFERROR(__xludf.DUMMYFUNCTION("ArrayFormula(VLOOKUP(G78, IMPORTRANGE(""https://docs.google.com/spreadsheets/d/1p7R4vtkWt5VOBim4ltsDG9KTzSjrtKXsMtQGXPHyND0/edit#gid=795171502"", ""'Filter 30_05_2024'!A1:M2000""), {2, 3, 4, 5,6,7,8,9,10,11,12,13}, 0))"),"#N/A")</f>
        <v>#N/A</v>
      </c>
      <c r="V78" s="137" t="str">
        <f ca="1">IFERROR(__xludf.DUMMYFUNCTION("""COMPUTED_VALUE"""),"#N/A")</f>
        <v>#N/A</v>
      </c>
      <c r="W78" s="137" t="str">
        <f ca="1">IFERROR(__xludf.DUMMYFUNCTION("""COMPUTED_VALUE"""),"#N/A")</f>
        <v>#N/A</v>
      </c>
      <c r="X78" s="137" t="str">
        <f ca="1">IFERROR(__xludf.DUMMYFUNCTION("""COMPUTED_VALUE"""),"#N/A")</f>
        <v>#N/A</v>
      </c>
      <c r="Y78" s="137" t="str">
        <f ca="1">IFERROR(__xludf.DUMMYFUNCTION("""COMPUTED_VALUE"""),"#N/A")</f>
        <v>#N/A</v>
      </c>
      <c r="Z78" s="138" t="str">
        <f ca="1">IFERROR(__xludf.DUMMYFUNCTION("""COMPUTED_VALUE"""),"#N/A")</f>
        <v>#N/A</v>
      </c>
      <c r="AA78" s="138" t="str">
        <f ca="1">IFERROR(__xludf.DUMMYFUNCTION("""COMPUTED_VALUE"""),"#N/A")</f>
        <v>#N/A</v>
      </c>
      <c r="AB78" s="138" t="str">
        <f ca="1">IFERROR(__xludf.DUMMYFUNCTION("""COMPUTED_VALUE"""),"#N/A")</f>
        <v>#N/A</v>
      </c>
      <c r="AC78" s="138" t="str">
        <f ca="1">IFERROR(__xludf.DUMMYFUNCTION("""COMPUTED_VALUE"""),"#N/A")</f>
        <v>#N/A</v>
      </c>
      <c r="AD78" s="138" t="str">
        <f ca="1">IFERROR(__xludf.DUMMYFUNCTION("""COMPUTED_VALUE"""),"#N/A")</f>
        <v>#N/A</v>
      </c>
      <c r="AE78" s="138" t="str">
        <f ca="1">IFERROR(__xludf.DUMMYFUNCTION("""COMPUTED_VALUE"""),"#N/A")</f>
        <v>#N/A</v>
      </c>
      <c r="AF78" s="138" t="str">
        <f ca="1">IFERROR(__xludf.DUMMYFUNCTION("""COMPUTED_VALUE"""),"#N/A")</f>
        <v>#N/A</v>
      </c>
      <c r="AG78" s="138" t="str">
        <f ca="1">IFERROR(__xludf.DUMMYFUNCTION("ArrayFormula(VLOOKUP(G78, IMPORTRANGE(""https://docs.google.com/spreadsheets/d/1Co934fvtviyaRiMsrIlT05Jaq7iiYq07aLvRr35KA48/edit?gid=173865642#gid=173865642"", ""'G10_Sci_Pri_LU'!G2:V2000""), {3, 4, 5, 6, 7, 8, 9, 10, 11, 12, 13, 14, 15, 16}, 0))"),"LU006216")</f>
        <v>LU006216</v>
      </c>
      <c r="AH78" s="138" t="str">
        <f ca="1">IFERROR(__xludf.DUMMYFUNCTION("""COMPUTED_VALUE"""),"Colloidal Solution and Their Types")</f>
        <v>Colloidal Solution and Their Types</v>
      </c>
      <c r="AI78" s="138" t="str">
        <f ca="1">IFERROR(__xludf.DUMMYFUNCTION("""COMPUTED_VALUE"""),"LU006219")</f>
        <v>LU006219</v>
      </c>
      <c r="AJ78" s="138" t="str">
        <f ca="1">IFERROR(__xludf.DUMMYFUNCTION("""COMPUTED_VALUE"""),"Comparison of Suspension, Solution, and Colloidal solution")</f>
        <v>Comparison of Suspension, Solution, and Colloidal solution</v>
      </c>
      <c r="AK78" s="138"/>
      <c r="AL78" s="138"/>
      <c r="AM78" s="138"/>
      <c r="AN78" s="138"/>
      <c r="AO78" s="138"/>
      <c r="AP78" s="138"/>
      <c r="AQ78" s="138"/>
      <c r="AR78" s="138"/>
      <c r="AS78" s="138"/>
      <c r="AT78" s="138"/>
    </row>
    <row r="79" spans="1:46">
      <c r="A79" s="54" t="s">
        <v>247</v>
      </c>
      <c r="B79" s="55" t="s">
        <v>47</v>
      </c>
      <c r="C79" s="55" t="s">
        <v>1172</v>
      </c>
      <c r="D79" s="138" t="s">
        <v>1510</v>
      </c>
      <c r="E79" s="55" t="s">
        <v>2586</v>
      </c>
      <c r="F79" s="55" t="s">
        <v>2587</v>
      </c>
      <c r="G79" s="55" t="s">
        <v>2588</v>
      </c>
      <c r="H79" s="54" t="str">
        <f ca="1">IFERROR(__xludf.DUMMYFUNCTION("VLOOKUP(G79, IMPORTRANGE(""https://docs.google.com/spreadsheets/d/14deopnvwcrKtEGCKuYXdUHJbeLDZlkiSSWWT0g7x2pM/edit#gid=849066331"", ""LU List Science (Filter)!A:B""), 2, FALSE)"),"Definition and SI unit of Electric Current ")</f>
        <v xml:space="preserve">Definition and SI unit of Electric Current </v>
      </c>
      <c r="I79" s="55" t="str">
        <f t="shared" si="0"/>
        <v>LU006147.001</v>
      </c>
      <c r="J79" s="55" t="str">
        <f ca="1">IFERROR(__xludf.DUMMYFUNCTION("VLOOKUP(I79, IMPORTRANGE(""https://docs.google.com/spreadsheets/d/1yDAaXNsi4Mr5FtRQL4tbmSdIzhx6_m4wkOD7IG-k_eo/edit#gid=1336395716"", ""Science!M:N""), 2, FALSE)"),"(LU006147.001); Default - Remember")</f>
        <v>(LU006147.001); Default - Remember</v>
      </c>
      <c r="K79" s="55" t="str">
        <f t="shared" si="1"/>
        <v>LU006147.002</v>
      </c>
      <c r="L79" s="55" t="str">
        <f ca="1">IFERROR(__xludf.DUMMYFUNCTION("VLOOKUP(K79, IMPORTRANGE(""https://docs.google.com/spreadsheets/d/1yDAaXNsi4Mr5FtRQL4tbmSdIzhx6_m4wkOD7IG-k_eo/edit#gid=1336395716"", ""Science!M:N""), 2, FALSE)"),"(LU006147.002); Default - Understand")</f>
        <v>(LU006147.002); Default - Understand</v>
      </c>
      <c r="M79" s="55" t="str">
        <f t="shared" si="2"/>
        <v>LU006147.003</v>
      </c>
      <c r="N79" s="55" t="str">
        <f ca="1">IFERROR(__xludf.DUMMYFUNCTION("VLOOKUP(M79, IMPORTRANGE(""https://docs.google.com/spreadsheets/d/1yDAaXNsi4Mr5FtRQL4tbmSdIzhx6_m4wkOD7IG-k_eo/edit#gid=1336395716"", ""Science!M:N""), 2, FALSE)"),"(LU006147.003); Default - Apply")</f>
        <v>(LU006147.003); Default - Apply</v>
      </c>
      <c r="O79" s="55" t="str">
        <f t="shared" si="3"/>
        <v>LU006147.004</v>
      </c>
      <c r="P79" s="55" t="str">
        <f ca="1">IFERROR(__xludf.DUMMYFUNCTION("VLOOKUP(O79, IMPORTRANGE(""https://docs.google.com/spreadsheets/d/1yDAaXNsi4Mr5FtRQL4tbmSdIzhx6_m4wkOD7IG-k_eo/edit#gid=1336395716"", ""Science!M:N""), 2, FALSE)"),"(LU006147.004); Default - Analyse")</f>
        <v>(LU006147.004); Default - Analyse</v>
      </c>
      <c r="Q79" s="55" t="str">
        <f t="shared" si="4"/>
        <v>LU006147.005</v>
      </c>
      <c r="R79" s="55" t="str">
        <f ca="1">IFERROR(__xludf.DUMMYFUNCTION("VLOOKUP(Q79, IMPORTRANGE(""https://docs.google.com/spreadsheets/d/1yDAaXNsi4Mr5FtRQL4tbmSdIzhx6_m4wkOD7IG-k_eo/edit#gid=1336395716"", ""Science!M:N""), 2, FALSE)"),"(LU006147.005); Default - Evaluate")</f>
        <v>(LU006147.005); Default - Evaluate</v>
      </c>
      <c r="S79" s="55" t="str">
        <f t="shared" si="5"/>
        <v>LU006147.006</v>
      </c>
      <c r="T79" s="55" t="str">
        <f ca="1">IFERROR(__xludf.DUMMYFUNCTION("VLOOKUP(S79, IMPORTRANGE(""https://docs.google.com/spreadsheets/d/1yDAaXNsi4Mr5FtRQL4tbmSdIzhx6_m4wkOD7IG-k_eo/edit#gid=1336395716"", ""Science!M:N""), 2, FALSE)"),"(LU006147.006); Default - Create")</f>
        <v>(LU006147.006); Default - Create</v>
      </c>
      <c r="U79" s="137" t="str">
        <f ca="1">IFERROR(__xludf.DUMMYFUNCTION("ArrayFormula(VLOOKUP(G79, IMPORTRANGE(""https://docs.google.com/spreadsheets/d/1p7R4vtkWt5VOBim4ltsDG9KTzSjrtKXsMtQGXPHyND0/edit#gid=795171502"", ""'Filter 30_05_2024'!A1:M2000""), {2, 3, 4, 5,6,7,8,9,10,11,12,13}, 0))"),"#N/A")</f>
        <v>#N/A</v>
      </c>
      <c r="V79" s="137" t="str">
        <f ca="1">IFERROR(__xludf.DUMMYFUNCTION("""COMPUTED_VALUE"""),"#N/A")</f>
        <v>#N/A</v>
      </c>
      <c r="W79" s="137" t="str">
        <f ca="1">IFERROR(__xludf.DUMMYFUNCTION("""COMPUTED_VALUE"""),"#N/A")</f>
        <v>#N/A</v>
      </c>
      <c r="X79" s="137" t="str">
        <f ca="1">IFERROR(__xludf.DUMMYFUNCTION("""COMPUTED_VALUE"""),"#N/A")</f>
        <v>#N/A</v>
      </c>
      <c r="Y79" s="137" t="str">
        <f ca="1">IFERROR(__xludf.DUMMYFUNCTION("""COMPUTED_VALUE"""),"#N/A")</f>
        <v>#N/A</v>
      </c>
      <c r="Z79" s="138" t="str">
        <f ca="1">IFERROR(__xludf.DUMMYFUNCTION("""COMPUTED_VALUE"""),"#N/A")</f>
        <v>#N/A</v>
      </c>
      <c r="AA79" s="138" t="str">
        <f ca="1">IFERROR(__xludf.DUMMYFUNCTION("""COMPUTED_VALUE"""),"#N/A")</f>
        <v>#N/A</v>
      </c>
      <c r="AB79" s="138" t="str">
        <f ca="1">IFERROR(__xludf.DUMMYFUNCTION("""COMPUTED_VALUE"""),"#N/A")</f>
        <v>#N/A</v>
      </c>
      <c r="AC79" s="138" t="str">
        <f ca="1">IFERROR(__xludf.DUMMYFUNCTION("""COMPUTED_VALUE"""),"#N/A")</f>
        <v>#N/A</v>
      </c>
      <c r="AD79" s="138" t="str">
        <f ca="1">IFERROR(__xludf.DUMMYFUNCTION("""COMPUTED_VALUE"""),"#N/A")</f>
        <v>#N/A</v>
      </c>
      <c r="AE79" s="138" t="str">
        <f ca="1">IFERROR(__xludf.DUMMYFUNCTION("""COMPUTED_VALUE"""),"#N/A")</f>
        <v>#N/A</v>
      </c>
      <c r="AF79" s="138" t="str">
        <f ca="1">IFERROR(__xludf.DUMMYFUNCTION("""COMPUTED_VALUE"""),"#N/A")</f>
        <v>#N/A</v>
      </c>
      <c r="AG79" s="138" t="str">
        <f ca="1">IFERROR(__xludf.DUMMYFUNCTION("ArrayFormula(VLOOKUP(G79, IMPORTRANGE(""https://docs.google.com/spreadsheets/d/1Co934fvtviyaRiMsrIlT05Jaq7iiYq07aLvRr35KA48/edit?gid=173865642#gid=173865642"", ""'G10_Sci_Pri_LU'!G2:V2000""), {3, 4, 5, 6, 7, 8, 9, 10, 11, 12, 13, 14, 15, 16}, 0))"),"LU006385")</f>
        <v>LU006385</v>
      </c>
      <c r="AH79" s="138" t="str">
        <f ca="1">IFERROR(__xludf.DUMMYFUNCTION("""COMPUTED_VALUE"""),"Subatomic particles of Atoms (Electron and Proton)")</f>
        <v>Subatomic particles of Atoms (Electron and Proton)</v>
      </c>
      <c r="AI79" s="138" t="str">
        <f ca="1">IFERROR(__xludf.DUMMYFUNCTION("""COMPUTED_VALUE"""),"LU005153")</f>
        <v>LU005153</v>
      </c>
      <c r="AJ79" s="138" t="str">
        <f ca="1">IFERROR(__xludf.DUMMYFUNCTION("""COMPUTED_VALUE"""),"Description of electric circuit and flow of current through it")</f>
        <v>Description of electric circuit and flow of current through it</v>
      </c>
      <c r="AK79" s="138"/>
      <c r="AL79" s="138"/>
      <c r="AM79" s="138"/>
      <c r="AN79" s="138"/>
      <c r="AO79" s="138"/>
      <c r="AP79" s="138"/>
      <c r="AQ79" s="138"/>
      <c r="AR79" s="138"/>
      <c r="AS79" s="138"/>
      <c r="AT79" s="138"/>
    </row>
    <row r="80" spans="1:46">
      <c r="A80" s="54" t="s">
        <v>247</v>
      </c>
      <c r="B80" s="55" t="s">
        <v>47</v>
      </c>
      <c r="C80" s="55" t="s">
        <v>1172</v>
      </c>
      <c r="D80" s="138" t="s">
        <v>1510</v>
      </c>
      <c r="E80" s="55" t="s">
        <v>2586</v>
      </c>
      <c r="F80" s="55" t="s">
        <v>2587</v>
      </c>
      <c r="G80" s="55" t="s">
        <v>2589</v>
      </c>
      <c r="H80" s="54" t="str">
        <f ca="1">IFERROR(__xludf.DUMMYFUNCTION("VLOOKUP(G80, IMPORTRANGE(""https://docs.google.com/spreadsheets/d/14deopnvwcrKtEGCKuYXdUHJbeLDZlkiSSWWT0g7x2pM/edit#gid=849066331"", ""LU List Science (Filter)!A:B""), 2, FALSE)"),"Definition and SI Unit of Electric Potential Difference")</f>
        <v>Definition and SI Unit of Electric Potential Difference</v>
      </c>
      <c r="I80" s="55" t="str">
        <f t="shared" si="0"/>
        <v>LU006507.001</v>
      </c>
      <c r="J80" s="55" t="str">
        <f ca="1">IFERROR(__xludf.DUMMYFUNCTION("VLOOKUP(I80, IMPORTRANGE(""https://docs.google.com/spreadsheets/d/1yDAaXNsi4Mr5FtRQL4tbmSdIzhx6_m4wkOD7IG-k_eo/edit#gid=1336395716"", ""Science!M:N""), 2, FALSE)"),"(LU006507.001); Default - Remember")</f>
        <v>(LU006507.001); Default - Remember</v>
      </c>
      <c r="K80" s="55" t="str">
        <f t="shared" si="1"/>
        <v>LU006507.002</v>
      </c>
      <c r="L80" s="55" t="str">
        <f ca="1">IFERROR(__xludf.DUMMYFUNCTION("VLOOKUP(K80, IMPORTRANGE(""https://docs.google.com/spreadsheets/d/1yDAaXNsi4Mr5FtRQL4tbmSdIzhx6_m4wkOD7IG-k_eo/edit#gid=1336395716"", ""Science!M:N""), 2, FALSE)"),"(LU006507.002); Default - Understand")</f>
        <v>(LU006507.002); Default - Understand</v>
      </c>
      <c r="M80" s="55" t="str">
        <f t="shared" si="2"/>
        <v>LU006507.003</v>
      </c>
      <c r="N80" s="55" t="str">
        <f ca="1">IFERROR(__xludf.DUMMYFUNCTION("VLOOKUP(M80, IMPORTRANGE(""https://docs.google.com/spreadsheets/d/1yDAaXNsi4Mr5FtRQL4tbmSdIzhx6_m4wkOD7IG-k_eo/edit#gid=1336395716"", ""Science!M:N""), 2, FALSE)"),"(LU006507.003); Default - Apply")</f>
        <v>(LU006507.003); Default - Apply</v>
      </c>
      <c r="O80" s="55" t="str">
        <f t="shared" si="3"/>
        <v>LU006507.004</v>
      </c>
      <c r="P80" s="55" t="str">
        <f ca="1">IFERROR(__xludf.DUMMYFUNCTION("VLOOKUP(O80, IMPORTRANGE(""https://docs.google.com/spreadsheets/d/1yDAaXNsi4Mr5FtRQL4tbmSdIzhx6_m4wkOD7IG-k_eo/edit#gid=1336395716"", ""Science!M:N""), 2, FALSE)"),"(LU006507.004); Default - Analyse")</f>
        <v>(LU006507.004); Default - Analyse</v>
      </c>
      <c r="Q80" s="55" t="str">
        <f t="shared" si="4"/>
        <v>LU006507.005</v>
      </c>
      <c r="R80" s="55" t="str">
        <f ca="1">IFERROR(__xludf.DUMMYFUNCTION("VLOOKUP(Q80, IMPORTRANGE(""https://docs.google.com/spreadsheets/d/1yDAaXNsi4Mr5FtRQL4tbmSdIzhx6_m4wkOD7IG-k_eo/edit#gid=1336395716"", ""Science!M:N""), 2, FALSE)"),"(LU006507.005); Default - Evaluate")</f>
        <v>(LU006507.005); Default - Evaluate</v>
      </c>
      <c r="S80" s="55" t="str">
        <f t="shared" si="5"/>
        <v>LU006507.006</v>
      </c>
      <c r="T80" s="55" t="str">
        <f ca="1">IFERROR(__xludf.DUMMYFUNCTION("VLOOKUP(S80, IMPORTRANGE(""https://docs.google.com/spreadsheets/d/1yDAaXNsi4Mr5FtRQL4tbmSdIzhx6_m4wkOD7IG-k_eo/edit#gid=1336395716"", ""Science!M:N""), 2, FALSE)"),"(LU006507.006); Default - Create")</f>
        <v>(LU006507.006); Default - Create</v>
      </c>
      <c r="U80" s="137" t="str">
        <f ca="1">IFERROR(__xludf.DUMMYFUNCTION("ArrayFormula(VLOOKUP(G80, IMPORTRANGE(""https://docs.google.com/spreadsheets/d/1p7R4vtkWt5VOBim4ltsDG9KTzSjrtKXsMtQGXPHyND0/edit#gid=795171502"", ""'Filter 30_05_2024'!A1:M2000""), {2, 3, 4, 5,6,7,8,9,10,11,12,13}, 0))"),"#N/A")</f>
        <v>#N/A</v>
      </c>
      <c r="V80" s="137" t="str">
        <f ca="1">IFERROR(__xludf.DUMMYFUNCTION("""COMPUTED_VALUE"""),"#N/A")</f>
        <v>#N/A</v>
      </c>
      <c r="W80" s="137" t="str">
        <f ca="1">IFERROR(__xludf.DUMMYFUNCTION("""COMPUTED_VALUE"""),"#N/A")</f>
        <v>#N/A</v>
      </c>
      <c r="X80" s="137" t="str">
        <f ca="1">IFERROR(__xludf.DUMMYFUNCTION("""COMPUTED_VALUE"""),"#N/A")</f>
        <v>#N/A</v>
      </c>
      <c r="Y80" s="137" t="str">
        <f ca="1">IFERROR(__xludf.DUMMYFUNCTION("""COMPUTED_VALUE"""),"#N/A")</f>
        <v>#N/A</v>
      </c>
      <c r="Z80" s="138" t="str">
        <f ca="1">IFERROR(__xludf.DUMMYFUNCTION("""COMPUTED_VALUE"""),"#N/A")</f>
        <v>#N/A</v>
      </c>
      <c r="AA80" s="138" t="str">
        <f ca="1">IFERROR(__xludf.DUMMYFUNCTION("""COMPUTED_VALUE"""),"#N/A")</f>
        <v>#N/A</v>
      </c>
      <c r="AB80" s="138" t="str">
        <f ca="1">IFERROR(__xludf.DUMMYFUNCTION("""COMPUTED_VALUE"""),"#N/A")</f>
        <v>#N/A</v>
      </c>
      <c r="AC80" s="138" t="str">
        <f ca="1">IFERROR(__xludf.DUMMYFUNCTION("""COMPUTED_VALUE"""),"#N/A")</f>
        <v>#N/A</v>
      </c>
      <c r="AD80" s="138" t="str">
        <f ca="1">IFERROR(__xludf.DUMMYFUNCTION("""COMPUTED_VALUE"""),"#N/A")</f>
        <v>#N/A</v>
      </c>
      <c r="AE80" s="138" t="str">
        <f ca="1">IFERROR(__xludf.DUMMYFUNCTION("""COMPUTED_VALUE"""),"#N/A")</f>
        <v>#N/A</v>
      </c>
      <c r="AF80" s="138" t="str">
        <f ca="1">IFERROR(__xludf.DUMMYFUNCTION("""COMPUTED_VALUE"""),"#N/A")</f>
        <v>#N/A</v>
      </c>
      <c r="AG80" s="138" t="str">
        <f ca="1">IFERROR(__xludf.DUMMYFUNCTION("ArrayFormula(VLOOKUP(G80, IMPORTRANGE(""https://docs.google.com/spreadsheets/d/1Co934fvtviyaRiMsrIlT05Jaq7iiYq07aLvRr35KA48/edit?gid=173865642#gid=173865642"", ""'G10_Sci_Pri_LU'!G2:V2000""), {3, 4, 5, 6, 7, 8, 9, 10, 11, 12, 13, 14, 15, 16}, 0))"),"LU005155")</f>
        <v>LU005155</v>
      </c>
      <c r="AH80" s="138" t="str">
        <f ca="1">IFERROR(__xludf.DUMMYFUNCTION("""COMPUTED_VALUE"""),"Structure and function of electric cell")</f>
        <v>Structure and function of electric cell</v>
      </c>
      <c r="AI80" s="138" t="str">
        <f ca="1">IFERROR(__xludf.DUMMYFUNCTION("""COMPUTED_VALUE"""),"LU005153")</f>
        <v>LU005153</v>
      </c>
      <c r="AJ80" s="138" t="str">
        <f ca="1">IFERROR(__xludf.DUMMYFUNCTION("""COMPUTED_VALUE"""),"Description of electric circuit and flow of current through it")</f>
        <v>Description of electric circuit and flow of current through it</v>
      </c>
      <c r="AK80" s="138" t="str">
        <f ca="1">IFERROR(__xludf.DUMMYFUNCTION("""COMPUTED_VALUE"""),"LU006353")</f>
        <v>LU006353</v>
      </c>
      <c r="AL80" s="138" t="str">
        <f ca="1">IFERROR(__xludf.DUMMYFUNCTION("""COMPUTED_VALUE"""),"Quantitative Nature of Work Done (Formula and Unit)")</f>
        <v>Quantitative Nature of Work Done (Formula and Unit)</v>
      </c>
      <c r="AM80" s="138"/>
      <c r="AN80" s="138"/>
      <c r="AO80" s="138"/>
      <c r="AP80" s="138"/>
      <c r="AQ80" s="138"/>
      <c r="AR80" s="138"/>
      <c r="AS80" s="138"/>
      <c r="AT80" s="138"/>
    </row>
    <row r="81" spans="1:46">
      <c r="A81" s="54" t="s">
        <v>247</v>
      </c>
      <c r="B81" s="55" t="s">
        <v>47</v>
      </c>
      <c r="C81" s="55" t="s">
        <v>1172</v>
      </c>
      <c r="D81" s="138" t="s">
        <v>1510</v>
      </c>
      <c r="E81" s="55" t="s">
        <v>2586</v>
      </c>
      <c r="F81" s="55" t="s">
        <v>2587</v>
      </c>
      <c r="G81" s="55" t="s">
        <v>2590</v>
      </c>
      <c r="H81" s="54" t="str">
        <f ca="1">IFERROR(__xludf.DUMMYFUNCTION("VLOOKUP(G81, IMPORTRANGE(""https://docs.google.com/spreadsheets/d/14deopnvwcrKtEGCKuYXdUHJbeLDZlkiSSWWT0g7x2pM/edit#gid=849066331"", ""LU List Science (Filter)!A:B""), 2, FALSE)"),"Ammeter and Voltmeter (Function, Symbol and Circuit Integration)")</f>
        <v>Ammeter and Voltmeter (Function, Symbol and Circuit Integration)</v>
      </c>
      <c r="I81" s="55" t="str">
        <f t="shared" si="0"/>
        <v>LU006508.001</v>
      </c>
      <c r="J81" s="55" t="str">
        <f ca="1">IFERROR(__xludf.DUMMYFUNCTION("VLOOKUP(I81, IMPORTRANGE(""https://docs.google.com/spreadsheets/d/1yDAaXNsi4Mr5FtRQL4tbmSdIzhx6_m4wkOD7IG-k_eo/edit#gid=1336395716"", ""Science!M:N""), 2, FALSE)"),"(LU006508.001); Default - Remember")</f>
        <v>(LU006508.001); Default - Remember</v>
      </c>
      <c r="K81" s="55" t="str">
        <f t="shared" si="1"/>
        <v>LU006508.002</v>
      </c>
      <c r="L81" s="55" t="str">
        <f ca="1">IFERROR(__xludf.DUMMYFUNCTION("VLOOKUP(K81, IMPORTRANGE(""https://docs.google.com/spreadsheets/d/1yDAaXNsi4Mr5FtRQL4tbmSdIzhx6_m4wkOD7IG-k_eo/edit#gid=1336395716"", ""Science!M:N""), 2, FALSE)"),"(LU006508.002); Default - Understand")</f>
        <v>(LU006508.002); Default - Understand</v>
      </c>
      <c r="M81" s="55" t="str">
        <f t="shared" si="2"/>
        <v>LU006508.003</v>
      </c>
      <c r="N81" s="55" t="str">
        <f ca="1">IFERROR(__xludf.DUMMYFUNCTION("VLOOKUP(M81, IMPORTRANGE(""https://docs.google.com/spreadsheets/d/1yDAaXNsi4Mr5FtRQL4tbmSdIzhx6_m4wkOD7IG-k_eo/edit#gid=1336395716"", ""Science!M:N""), 2, FALSE)"),"(LU006508.003); Default - Apply")</f>
        <v>(LU006508.003); Default - Apply</v>
      </c>
      <c r="O81" s="55" t="str">
        <f t="shared" si="3"/>
        <v>LU006508.004</v>
      </c>
      <c r="P81" s="55" t="str">
        <f ca="1">IFERROR(__xludf.DUMMYFUNCTION("VLOOKUP(O81, IMPORTRANGE(""https://docs.google.com/spreadsheets/d/1yDAaXNsi4Mr5FtRQL4tbmSdIzhx6_m4wkOD7IG-k_eo/edit#gid=1336395716"", ""Science!M:N""), 2, FALSE)"),"(LU006508.004); Default - Analyse")</f>
        <v>(LU006508.004); Default - Analyse</v>
      </c>
      <c r="Q81" s="55" t="str">
        <f t="shared" si="4"/>
        <v>LU006508.005</v>
      </c>
      <c r="R81" s="55" t="str">
        <f ca="1">IFERROR(__xludf.DUMMYFUNCTION("VLOOKUP(Q81, IMPORTRANGE(""https://docs.google.com/spreadsheets/d/1yDAaXNsi4Mr5FtRQL4tbmSdIzhx6_m4wkOD7IG-k_eo/edit#gid=1336395716"", ""Science!M:N""), 2, FALSE)"),"(LU006508.005); Default - Evaluate")</f>
        <v>(LU006508.005); Default - Evaluate</v>
      </c>
      <c r="S81" s="55" t="str">
        <f t="shared" si="5"/>
        <v>LU006508.006</v>
      </c>
      <c r="T81" s="55" t="str">
        <f ca="1">IFERROR(__xludf.DUMMYFUNCTION("VLOOKUP(S81, IMPORTRANGE(""https://docs.google.com/spreadsheets/d/1yDAaXNsi4Mr5FtRQL4tbmSdIzhx6_m4wkOD7IG-k_eo/edit#gid=1336395716"", ""Science!M:N""), 2, FALSE)"),"(LU006508.006); Default - Create")</f>
        <v>(LU006508.006); Default - Create</v>
      </c>
      <c r="U81" s="137" t="str">
        <f ca="1">IFERROR(__xludf.DUMMYFUNCTION("ArrayFormula(VLOOKUP(G81, IMPORTRANGE(""https://docs.google.com/spreadsheets/d/1p7R4vtkWt5VOBim4ltsDG9KTzSjrtKXsMtQGXPHyND0/edit#gid=795171502"", ""'Filter 30_05_2024'!A1:M2000""), {2, 3, 4, 5,6,7,8,9,10,11,12,13}, 0))"),"#N/A")</f>
        <v>#N/A</v>
      </c>
      <c r="V81" s="137" t="str">
        <f ca="1">IFERROR(__xludf.DUMMYFUNCTION("""COMPUTED_VALUE"""),"#N/A")</f>
        <v>#N/A</v>
      </c>
      <c r="W81" s="137" t="str">
        <f ca="1">IFERROR(__xludf.DUMMYFUNCTION("""COMPUTED_VALUE"""),"#N/A")</f>
        <v>#N/A</v>
      </c>
      <c r="X81" s="137" t="str">
        <f ca="1">IFERROR(__xludf.DUMMYFUNCTION("""COMPUTED_VALUE"""),"#N/A")</f>
        <v>#N/A</v>
      </c>
      <c r="Y81" s="137" t="str">
        <f ca="1">IFERROR(__xludf.DUMMYFUNCTION("""COMPUTED_VALUE"""),"#N/A")</f>
        <v>#N/A</v>
      </c>
      <c r="Z81" s="138" t="str">
        <f ca="1">IFERROR(__xludf.DUMMYFUNCTION("""COMPUTED_VALUE"""),"#N/A")</f>
        <v>#N/A</v>
      </c>
      <c r="AA81" s="138" t="str">
        <f ca="1">IFERROR(__xludf.DUMMYFUNCTION("""COMPUTED_VALUE"""),"#N/A")</f>
        <v>#N/A</v>
      </c>
      <c r="AB81" s="138" t="str">
        <f ca="1">IFERROR(__xludf.DUMMYFUNCTION("""COMPUTED_VALUE"""),"#N/A")</f>
        <v>#N/A</v>
      </c>
      <c r="AC81" s="138" t="str">
        <f ca="1">IFERROR(__xludf.DUMMYFUNCTION("""COMPUTED_VALUE"""),"#N/A")</f>
        <v>#N/A</v>
      </c>
      <c r="AD81" s="138" t="str">
        <f ca="1">IFERROR(__xludf.DUMMYFUNCTION("""COMPUTED_VALUE"""),"#N/A")</f>
        <v>#N/A</v>
      </c>
      <c r="AE81" s="138" t="str">
        <f ca="1">IFERROR(__xludf.DUMMYFUNCTION("""COMPUTED_VALUE"""),"#N/A")</f>
        <v>#N/A</v>
      </c>
      <c r="AF81" s="138" t="str">
        <f ca="1">IFERROR(__xludf.DUMMYFUNCTION("""COMPUTED_VALUE"""),"#N/A")</f>
        <v>#N/A</v>
      </c>
      <c r="AG81" s="138" t="str">
        <f ca="1">IFERROR(__xludf.DUMMYFUNCTION("ArrayFormula(VLOOKUP(G81, IMPORTRANGE(""https://docs.google.com/spreadsheets/d/1Co934fvtviyaRiMsrIlT05Jaq7iiYq07aLvRr35KA48/edit?gid=173865642#gid=173865642"", ""'G10_Sci_Pri_LU'!G2:V2000""), {3, 4, 5, 6, 7, 8, 9, 10, 11, 12, 13, 14, 15, 16}, 0))"),"LU006147")</f>
        <v>LU006147</v>
      </c>
      <c r="AH81" s="138" t="str">
        <f ca="1">IFERROR(__xludf.DUMMYFUNCTION("""COMPUTED_VALUE"""),"Definition and SI unit of Electric Current ")</f>
        <v xml:space="preserve">Definition and SI unit of Electric Current </v>
      </c>
      <c r="AI81" s="138" t="str">
        <f ca="1">IFERROR(__xludf.DUMMYFUNCTION("""COMPUTED_VALUE"""),"LU006507")</f>
        <v>LU006507</v>
      </c>
      <c r="AJ81" s="138" t="str">
        <f ca="1">IFERROR(__xludf.DUMMYFUNCTION("""COMPUTED_VALUE"""),"Definition and SI Unit of Electric Potential Difference")</f>
        <v>Definition and SI Unit of Electric Potential Difference</v>
      </c>
      <c r="AK81" s="138"/>
      <c r="AL81" s="138"/>
      <c r="AM81" s="138"/>
      <c r="AN81" s="138"/>
      <c r="AO81" s="138"/>
      <c r="AP81" s="138"/>
      <c r="AQ81" s="138"/>
      <c r="AR81" s="138"/>
      <c r="AS81" s="138"/>
      <c r="AT81" s="138"/>
    </row>
    <row r="82" spans="1:46">
      <c r="A82" s="54" t="s">
        <v>247</v>
      </c>
      <c r="B82" s="55" t="s">
        <v>47</v>
      </c>
      <c r="C82" s="55" t="s">
        <v>1172</v>
      </c>
      <c r="D82" s="138" t="s">
        <v>1510</v>
      </c>
      <c r="E82" s="55" t="s">
        <v>2586</v>
      </c>
      <c r="F82" s="55" t="s">
        <v>2591</v>
      </c>
      <c r="G82" s="55" t="s">
        <v>2592</v>
      </c>
      <c r="H82" s="54" t="str">
        <f ca="1">IFERROR(__xludf.DUMMYFUNCTION("VLOOKUP(G82, IMPORTRANGE(""https://docs.google.com/spreadsheets/d/14deopnvwcrKtEGCKuYXdUHJbeLDZlkiSSWWT0g7x2pM/edit#gid=849066331"", ""LU List Science (Filter)!A:B""), 2, FALSE)"),"Exploration of Ohm's Law")</f>
        <v>Exploration of Ohm's Law</v>
      </c>
      <c r="I82" s="55" t="str">
        <f t="shared" si="0"/>
        <v>LU006509.001</v>
      </c>
      <c r="J82" s="55" t="str">
        <f ca="1">IFERROR(__xludf.DUMMYFUNCTION("VLOOKUP(I82, IMPORTRANGE(""https://docs.google.com/spreadsheets/d/1yDAaXNsi4Mr5FtRQL4tbmSdIzhx6_m4wkOD7IG-k_eo/edit#gid=1336395716"", ""Science!M:N""), 2, FALSE)"),"(LU006509.001); Default - Remember")</f>
        <v>(LU006509.001); Default - Remember</v>
      </c>
      <c r="K82" s="55" t="str">
        <f t="shared" si="1"/>
        <v>LU006509.002</v>
      </c>
      <c r="L82" s="55" t="str">
        <f ca="1">IFERROR(__xludf.DUMMYFUNCTION("VLOOKUP(K82, IMPORTRANGE(""https://docs.google.com/spreadsheets/d/1yDAaXNsi4Mr5FtRQL4tbmSdIzhx6_m4wkOD7IG-k_eo/edit#gid=1336395716"", ""Science!M:N""), 2, FALSE)"),"(LU006509.002); Default - Understand")</f>
        <v>(LU006509.002); Default - Understand</v>
      </c>
      <c r="M82" s="55" t="str">
        <f t="shared" si="2"/>
        <v>LU006509.003</v>
      </c>
      <c r="N82" s="55" t="str">
        <f ca="1">IFERROR(__xludf.DUMMYFUNCTION("VLOOKUP(M82, IMPORTRANGE(""https://docs.google.com/spreadsheets/d/1yDAaXNsi4Mr5FtRQL4tbmSdIzhx6_m4wkOD7IG-k_eo/edit#gid=1336395716"", ""Science!M:N""), 2, FALSE)"),"(LU006509.003); Default - Apply")</f>
        <v>(LU006509.003); Default - Apply</v>
      </c>
      <c r="O82" s="55" t="str">
        <f t="shared" si="3"/>
        <v>LU006509.004</v>
      </c>
      <c r="P82" s="55" t="str">
        <f ca="1">IFERROR(__xludf.DUMMYFUNCTION("VLOOKUP(O82, IMPORTRANGE(""https://docs.google.com/spreadsheets/d/1yDAaXNsi4Mr5FtRQL4tbmSdIzhx6_m4wkOD7IG-k_eo/edit#gid=1336395716"", ""Science!M:N""), 2, FALSE)"),"(LU006509.004); Default - Analyse")</f>
        <v>(LU006509.004); Default - Analyse</v>
      </c>
      <c r="Q82" s="55" t="str">
        <f t="shared" si="4"/>
        <v>LU006509.005</v>
      </c>
      <c r="R82" s="55" t="str">
        <f ca="1">IFERROR(__xludf.DUMMYFUNCTION("VLOOKUP(Q82, IMPORTRANGE(""https://docs.google.com/spreadsheets/d/1yDAaXNsi4Mr5FtRQL4tbmSdIzhx6_m4wkOD7IG-k_eo/edit#gid=1336395716"", ""Science!M:N""), 2, FALSE)"),"(LU006509.005); Default - Evaluate")</f>
        <v>(LU006509.005); Default - Evaluate</v>
      </c>
      <c r="S82" s="55" t="str">
        <f t="shared" si="5"/>
        <v>LU006509.006</v>
      </c>
      <c r="T82" s="55" t="str">
        <f ca="1">IFERROR(__xludf.DUMMYFUNCTION("VLOOKUP(S82, IMPORTRANGE(""https://docs.google.com/spreadsheets/d/1yDAaXNsi4Mr5FtRQL4tbmSdIzhx6_m4wkOD7IG-k_eo/edit#gid=1336395716"", ""Science!M:N""), 2, FALSE)"),"(LU006509.006); Default - Create")</f>
        <v>(LU006509.006); Default - Create</v>
      </c>
      <c r="U82" s="137" t="str">
        <f ca="1">IFERROR(__xludf.DUMMYFUNCTION("ArrayFormula(VLOOKUP(G82, IMPORTRANGE(""https://docs.google.com/spreadsheets/d/1p7R4vtkWt5VOBim4ltsDG9KTzSjrtKXsMtQGXPHyND0/edit#gid=795171502"", ""'Filter 30_05_2024'!A1:M2000""), {2, 3, 4, 5,6,7,8,9,10,11,12,13}, 0))"),"#N/A")</f>
        <v>#N/A</v>
      </c>
      <c r="V82" s="137" t="str">
        <f ca="1">IFERROR(__xludf.DUMMYFUNCTION("""COMPUTED_VALUE"""),"#N/A")</f>
        <v>#N/A</v>
      </c>
      <c r="W82" s="137" t="str">
        <f ca="1">IFERROR(__xludf.DUMMYFUNCTION("""COMPUTED_VALUE"""),"#N/A")</f>
        <v>#N/A</v>
      </c>
      <c r="X82" s="137" t="str">
        <f ca="1">IFERROR(__xludf.DUMMYFUNCTION("""COMPUTED_VALUE"""),"#N/A")</f>
        <v>#N/A</v>
      </c>
      <c r="Y82" s="137" t="str">
        <f ca="1">IFERROR(__xludf.DUMMYFUNCTION("""COMPUTED_VALUE"""),"#N/A")</f>
        <v>#N/A</v>
      </c>
      <c r="Z82" s="138" t="str">
        <f ca="1">IFERROR(__xludf.DUMMYFUNCTION("""COMPUTED_VALUE"""),"#N/A")</f>
        <v>#N/A</v>
      </c>
      <c r="AA82" s="138" t="str">
        <f ca="1">IFERROR(__xludf.DUMMYFUNCTION("""COMPUTED_VALUE"""),"#N/A")</f>
        <v>#N/A</v>
      </c>
      <c r="AB82" s="138" t="str">
        <f ca="1">IFERROR(__xludf.DUMMYFUNCTION("""COMPUTED_VALUE"""),"#N/A")</f>
        <v>#N/A</v>
      </c>
      <c r="AC82" s="138" t="str">
        <f ca="1">IFERROR(__xludf.DUMMYFUNCTION("""COMPUTED_VALUE"""),"#N/A")</f>
        <v>#N/A</v>
      </c>
      <c r="AD82" s="138" t="str">
        <f ca="1">IFERROR(__xludf.DUMMYFUNCTION("""COMPUTED_VALUE"""),"#N/A")</f>
        <v>#N/A</v>
      </c>
      <c r="AE82" s="138" t="str">
        <f ca="1">IFERROR(__xludf.DUMMYFUNCTION("""COMPUTED_VALUE"""),"#N/A")</f>
        <v>#N/A</v>
      </c>
      <c r="AF82" s="138" t="str">
        <f ca="1">IFERROR(__xludf.DUMMYFUNCTION("""COMPUTED_VALUE"""),"#N/A")</f>
        <v>#N/A</v>
      </c>
      <c r="AG82" s="138" t="str">
        <f ca="1">IFERROR(__xludf.DUMMYFUNCTION("ArrayFormula(VLOOKUP(G82, IMPORTRANGE(""https://docs.google.com/spreadsheets/d/1Co934fvtviyaRiMsrIlT05Jaq7iiYq07aLvRr35KA48/edit?gid=173865642#gid=173865642"", ""'G10_Sci_Pri_LU'!G2:V2000""), {3, 4, 5, 6, 7, 8, 9, 10, 11, 12, 13, 14, 15, 16}, 0))"),"LU006147")</f>
        <v>LU006147</v>
      </c>
      <c r="AH82" s="138" t="str">
        <f ca="1">IFERROR(__xludf.DUMMYFUNCTION("""COMPUTED_VALUE"""),"Definition and SI unit of Electric Current ")</f>
        <v xml:space="preserve">Definition and SI unit of Electric Current </v>
      </c>
      <c r="AI82" s="138" t="str">
        <f ca="1">IFERROR(__xludf.DUMMYFUNCTION("""COMPUTED_VALUE"""),"LU006507")</f>
        <v>LU006507</v>
      </c>
      <c r="AJ82" s="138" t="str">
        <f ca="1">IFERROR(__xludf.DUMMYFUNCTION("""COMPUTED_VALUE"""),"Definition and SI Unit of Electric Potential Difference")</f>
        <v>Definition and SI Unit of Electric Potential Difference</v>
      </c>
      <c r="AK82" s="138"/>
      <c r="AL82" s="138"/>
      <c r="AM82" s="138"/>
      <c r="AN82" s="138"/>
      <c r="AO82" s="138"/>
      <c r="AP82" s="138"/>
      <c r="AQ82" s="138"/>
      <c r="AR82" s="138"/>
      <c r="AS82" s="138"/>
      <c r="AT82" s="138"/>
    </row>
    <row r="83" spans="1:46">
      <c r="A83" s="54" t="s">
        <v>247</v>
      </c>
      <c r="B83" s="55" t="s">
        <v>47</v>
      </c>
      <c r="C83" s="55" t="s">
        <v>1172</v>
      </c>
      <c r="D83" s="138" t="s">
        <v>1510</v>
      </c>
      <c r="E83" s="55" t="s">
        <v>2586</v>
      </c>
      <c r="F83" s="55" t="s">
        <v>2593</v>
      </c>
      <c r="G83" s="55" t="s">
        <v>2594</v>
      </c>
      <c r="H83" s="54" t="str">
        <f ca="1">IFERROR(__xludf.DUMMYFUNCTION("VLOOKUP(G83, IMPORTRANGE(""https://docs.google.com/spreadsheets/d/14deopnvwcrKtEGCKuYXdUHJbeLDZlkiSSWWT0g7x2pM/edit#gid=849066331"", ""LU List Science (Filter)!A:B""), 2, FALSE)"),"Resistor and Resistance (Types, Classification and Symbol)")</f>
        <v>Resistor and Resistance (Types, Classification and Symbol)</v>
      </c>
      <c r="I83" s="55" t="str">
        <f t="shared" si="0"/>
        <v>LU006510.001</v>
      </c>
      <c r="J83" s="55" t="str">
        <f ca="1">IFERROR(__xludf.DUMMYFUNCTION("VLOOKUP(I83, IMPORTRANGE(""https://docs.google.com/spreadsheets/d/1yDAaXNsi4Mr5FtRQL4tbmSdIzhx6_m4wkOD7IG-k_eo/edit#gid=1336395716"", ""Science!M:N""), 2, FALSE)"),"(LU006510.001); Default - Remember")</f>
        <v>(LU006510.001); Default - Remember</v>
      </c>
      <c r="K83" s="55" t="str">
        <f t="shared" si="1"/>
        <v>LU006510.002</v>
      </c>
      <c r="L83" s="55" t="str">
        <f ca="1">IFERROR(__xludf.DUMMYFUNCTION("VLOOKUP(K83, IMPORTRANGE(""https://docs.google.com/spreadsheets/d/1yDAaXNsi4Mr5FtRQL4tbmSdIzhx6_m4wkOD7IG-k_eo/edit#gid=1336395716"", ""Science!M:N""), 2, FALSE)"),"(LU006510.002); Default - Understand")</f>
        <v>(LU006510.002); Default - Understand</v>
      </c>
      <c r="M83" s="55" t="str">
        <f t="shared" si="2"/>
        <v>LU006510.003</v>
      </c>
      <c r="N83" s="55" t="str">
        <f ca="1">IFERROR(__xludf.DUMMYFUNCTION("VLOOKUP(M83, IMPORTRANGE(""https://docs.google.com/spreadsheets/d/1yDAaXNsi4Mr5FtRQL4tbmSdIzhx6_m4wkOD7IG-k_eo/edit#gid=1336395716"", ""Science!M:N""), 2, FALSE)"),"(LU006510.003); Default - Apply")</f>
        <v>(LU006510.003); Default - Apply</v>
      </c>
      <c r="O83" s="55" t="str">
        <f t="shared" si="3"/>
        <v>LU006510.004</v>
      </c>
      <c r="P83" s="55" t="str">
        <f ca="1">IFERROR(__xludf.DUMMYFUNCTION("VLOOKUP(O83, IMPORTRANGE(""https://docs.google.com/spreadsheets/d/1yDAaXNsi4Mr5FtRQL4tbmSdIzhx6_m4wkOD7IG-k_eo/edit#gid=1336395716"", ""Science!M:N""), 2, FALSE)"),"(LU006510.004); Default - Analyse")</f>
        <v>(LU006510.004); Default - Analyse</v>
      </c>
      <c r="Q83" s="55" t="str">
        <f t="shared" si="4"/>
        <v>LU006510.005</v>
      </c>
      <c r="R83" s="55" t="str">
        <f ca="1">IFERROR(__xludf.DUMMYFUNCTION("VLOOKUP(Q83, IMPORTRANGE(""https://docs.google.com/spreadsheets/d/1yDAaXNsi4Mr5FtRQL4tbmSdIzhx6_m4wkOD7IG-k_eo/edit#gid=1336395716"", ""Science!M:N""), 2, FALSE)"),"(LU006510.005); Default - Evaluate")</f>
        <v>(LU006510.005); Default - Evaluate</v>
      </c>
      <c r="S83" s="55" t="str">
        <f t="shared" si="5"/>
        <v>LU006510.006</v>
      </c>
      <c r="T83" s="55" t="str">
        <f ca="1">IFERROR(__xludf.DUMMYFUNCTION("VLOOKUP(S83, IMPORTRANGE(""https://docs.google.com/spreadsheets/d/1yDAaXNsi4Mr5FtRQL4tbmSdIzhx6_m4wkOD7IG-k_eo/edit#gid=1336395716"", ""Science!M:N""), 2, FALSE)"),"(LU006510.006); Default - Create")</f>
        <v>(LU006510.006); Default - Create</v>
      </c>
      <c r="U83" s="137" t="str">
        <f ca="1">IFERROR(__xludf.DUMMYFUNCTION("ArrayFormula(VLOOKUP(G83, IMPORTRANGE(""https://docs.google.com/spreadsheets/d/1p7R4vtkWt5VOBim4ltsDG9KTzSjrtKXsMtQGXPHyND0/edit#gid=795171502"", ""'Filter 30_05_2024'!A1:M2000""), {2, 3, 4, 5,6,7,8,9,10,11,12,13}, 0))"),"#N/A")</f>
        <v>#N/A</v>
      </c>
      <c r="V83" s="137" t="str">
        <f ca="1">IFERROR(__xludf.DUMMYFUNCTION("""COMPUTED_VALUE"""),"#N/A")</f>
        <v>#N/A</v>
      </c>
      <c r="W83" s="137" t="str">
        <f ca="1">IFERROR(__xludf.DUMMYFUNCTION("""COMPUTED_VALUE"""),"#N/A")</f>
        <v>#N/A</v>
      </c>
      <c r="X83" s="137" t="str">
        <f ca="1">IFERROR(__xludf.DUMMYFUNCTION("""COMPUTED_VALUE"""),"#N/A")</f>
        <v>#N/A</v>
      </c>
      <c r="Y83" s="137" t="str">
        <f ca="1">IFERROR(__xludf.DUMMYFUNCTION("""COMPUTED_VALUE"""),"#N/A")</f>
        <v>#N/A</v>
      </c>
      <c r="Z83" s="138" t="str">
        <f ca="1">IFERROR(__xludf.DUMMYFUNCTION("""COMPUTED_VALUE"""),"#N/A")</f>
        <v>#N/A</v>
      </c>
      <c r="AA83" s="138" t="str">
        <f ca="1">IFERROR(__xludf.DUMMYFUNCTION("""COMPUTED_VALUE"""),"#N/A")</f>
        <v>#N/A</v>
      </c>
      <c r="AB83" s="138" t="str">
        <f ca="1">IFERROR(__xludf.DUMMYFUNCTION("""COMPUTED_VALUE"""),"#N/A")</f>
        <v>#N/A</v>
      </c>
      <c r="AC83" s="138" t="str">
        <f ca="1">IFERROR(__xludf.DUMMYFUNCTION("""COMPUTED_VALUE"""),"#N/A")</f>
        <v>#N/A</v>
      </c>
      <c r="AD83" s="138" t="str">
        <f ca="1">IFERROR(__xludf.DUMMYFUNCTION("""COMPUTED_VALUE"""),"#N/A")</f>
        <v>#N/A</v>
      </c>
      <c r="AE83" s="138" t="str">
        <f ca="1">IFERROR(__xludf.DUMMYFUNCTION("""COMPUTED_VALUE"""),"#N/A")</f>
        <v>#N/A</v>
      </c>
      <c r="AF83" s="138" t="str">
        <f ca="1">IFERROR(__xludf.DUMMYFUNCTION("""COMPUTED_VALUE"""),"#N/A")</f>
        <v>#N/A</v>
      </c>
      <c r="AG83" s="138" t="str">
        <f ca="1">IFERROR(__xludf.DUMMYFUNCTION("ArrayFormula(VLOOKUP(G83, IMPORTRANGE(""https://docs.google.com/spreadsheets/d/1Co934fvtviyaRiMsrIlT05Jaq7iiYq07aLvRr35KA48/edit?gid=173865642#gid=173865642"", ""'G10_Sci_Pri_LU'!G2:V2000""), {3, 4, 5, 6, 7, 8, 9, 10, 11, 12, 13, 14, 15, 16}, 0))"),"LU006509")</f>
        <v>LU006509</v>
      </c>
      <c r="AH83" s="138" t="str">
        <f ca="1">IFERROR(__xludf.DUMMYFUNCTION("""COMPUTED_VALUE"""),"Exploration of Ohm's Law")</f>
        <v>Exploration of Ohm's Law</v>
      </c>
      <c r="AI83" s="138" t="str">
        <f ca="1">IFERROR(__xludf.DUMMYFUNCTION("""COMPUTED_VALUE"""),"LU006147")</f>
        <v>LU006147</v>
      </c>
      <c r="AJ83" s="138" t="str">
        <f ca="1">IFERROR(__xludf.DUMMYFUNCTION("""COMPUTED_VALUE"""),"Definition and SI unit of Electric Current ")</f>
        <v xml:space="preserve">Definition and SI unit of Electric Current </v>
      </c>
      <c r="AK83" s="138"/>
      <c r="AL83" s="138"/>
      <c r="AM83" s="138"/>
      <c r="AN83" s="138"/>
      <c r="AO83" s="138"/>
      <c r="AP83" s="138"/>
      <c r="AQ83" s="138"/>
      <c r="AR83" s="138"/>
      <c r="AS83" s="138"/>
      <c r="AT83" s="138"/>
    </row>
    <row r="84" spans="1:46">
      <c r="A84" s="54" t="s">
        <v>247</v>
      </c>
      <c r="B84" s="55" t="s">
        <v>47</v>
      </c>
      <c r="C84" s="55" t="s">
        <v>1172</v>
      </c>
      <c r="D84" s="138" t="s">
        <v>1510</v>
      </c>
      <c r="E84" s="55" t="s">
        <v>2586</v>
      </c>
      <c r="F84" s="55" t="s">
        <v>2593</v>
      </c>
      <c r="G84" s="55" t="s">
        <v>2595</v>
      </c>
      <c r="H84" s="54" t="str">
        <f ca="1">IFERROR(__xludf.DUMMYFUNCTION("VLOOKUP(G84, IMPORTRANGE(""https://docs.google.com/spreadsheets/d/14deopnvwcrKtEGCKuYXdUHJbeLDZlkiSSWWT0g7x2pM/edit#gid=849066331"", ""LU List Science (Filter)!A:B""), 2, FALSE)"),"Factors Affecting Resistance of a Conductor and Resistivity")</f>
        <v>Factors Affecting Resistance of a Conductor and Resistivity</v>
      </c>
      <c r="I84" s="55" t="str">
        <f t="shared" si="0"/>
        <v>LU006511.001</v>
      </c>
      <c r="J84" s="55" t="str">
        <f ca="1">IFERROR(__xludf.DUMMYFUNCTION("VLOOKUP(I84, IMPORTRANGE(""https://docs.google.com/spreadsheets/d/1yDAaXNsi4Mr5FtRQL4tbmSdIzhx6_m4wkOD7IG-k_eo/edit#gid=1336395716"", ""Science!M:N""), 2, FALSE)"),"#N/A")</f>
        <v>#N/A</v>
      </c>
      <c r="K84" s="55" t="str">
        <f t="shared" si="1"/>
        <v>LU006511.002</v>
      </c>
      <c r="L84" s="55" t="str">
        <f ca="1">IFERROR(__xludf.DUMMYFUNCTION("VLOOKUP(K84, IMPORTRANGE(""https://docs.google.com/spreadsheets/d/1yDAaXNsi4Mr5FtRQL4tbmSdIzhx6_m4wkOD7IG-k_eo/edit#gid=1336395716"", ""Science!M:N""), 2, FALSE)"),"#N/A")</f>
        <v>#N/A</v>
      </c>
      <c r="M84" s="55" t="str">
        <f t="shared" si="2"/>
        <v>LU006511.003</v>
      </c>
      <c r="N84" s="55" t="str">
        <f ca="1">IFERROR(__xludf.DUMMYFUNCTION("VLOOKUP(M84, IMPORTRANGE(""https://docs.google.com/spreadsheets/d/1yDAaXNsi4Mr5FtRQL4tbmSdIzhx6_m4wkOD7IG-k_eo/edit#gid=1336395716"", ""Science!M:N""), 2, FALSE)"),"#N/A")</f>
        <v>#N/A</v>
      </c>
      <c r="O84" s="55" t="str">
        <f t="shared" si="3"/>
        <v>LU006511.004</v>
      </c>
      <c r="P84" s="55" t="str">
        <f ca="1">IFERROR(__xludf.DUMMYFUNCTION("VLOOKUP(O84, IMPORTRANGE(""https://docs.google.com/spreadsheets/d/1yDAaXNsi4Mr5FtRQL4tbmSdIzhx6_m4wkOD7IG-k_eo/edit#gid=1336395716"", ""Science!M:N""), 2, FALSE)"),"#N/A")</f>
        <v>#N/A</v>
      </c>
      <c r="Q84" s="55" t="str">
        <f t="shared" si="4"/>
        <v>LU006511.005</v>
      </c>
      <c r="R84" s="55" t="str">
        <f ca="1">IFERROR(__xludf.DUMMYFUNCTION("VLOOKUP(Q84, IMPORTRANGE(""https://docs.google.com/spreadsheets/d/1yDAaXNsi4Mr5FtRQL4tbmSdIzhx6_m4wkOD7IG-k_eo/edit#gid=1336395716"", ""Science!M:N""), 2, FALSE)"),"#N/A")</f>
        <v>#N/A</v>
      </c>
      <c r="S84" s="55" t="str">
        <f t="shared" si="5"/>
        <v>LU006511.006</v>
      </c>
      <c r="T84" s="55" t="str">
        <f ca="1">IFERROR(__xludf.DUMMYFUNCTION("VLOOKUP(S84, IMPORTRANGE(""https://docs.google.com/spreadsheets/d/1yDAaXNsi4Mr5FtRQL4tbmSdIzhx6_m4wkOD7IG-k_eo/edit#gid=1336395716"", ""Science!M:N""), 2, FALSE)"),"#N/A")</f>
        <v>#N/A</v>
      </c>
      <c r="U84" s="137" t="str">
        <f ca="1">IFERROR(__xludf.DUMMYFUNCTION("ArrayFormula(VLOOKUP(G84, IMPORTRANGE(""https://docs.google.com/spreadsheets/d/1p7R4vtkWt5VOBim4ltsDG9KTzSjrtKXsMtQGXPHyND0/edit#gid=795171502"", ""'Filter 30_05_2024'!A1:M2000""), {2, 3, 4, 5,6,7,8,9,10,11,12,13}, 0))"),"#N/A")</f>
        <v>#N/A</v>
      </c>
      <c r="V84" s="137" t="str">
        <f ca="1">IFERROR(__xludf.DUMMYFUNCTION("""COMPUTED_VALUE"""),"#N/A")</f>
        <v>#N/A</v>
      </c>
      <c r="W84" s="137" t="str">
        <f ca="1">IFERROR(__xludf.DUMMYFUNCTION("""COMPUTED_VALUE"""),"#N/A")</f>
        <v>#N/A</v>
      </c>
      <c r="X84" s="137" t="str">
        <f ca="1">IFERROR(__xludf.DUMMYFUNCTION("""COMPUTED_VALUE"""),"#N/A")</f>
        <v>#N/A</v>
      </c>
      <c r="Y84" s="137" t="str">
        <f ca="1">IFERROR(__xludf.DUMMYFUNCTION("""COMPUTED_VALUE"""),"#N/A")</f>
        <v>#N/A</v>
      </c>
      <c r="Z84" s="138" t="str">
        <f ca="1">IFERROR(__xludf.DUMMYFUNCTION("""COMPUTED_VALUE"""),"#N/A")</f>
        <v>#N/A</v>
      </c>
      <c r="AA84" s="138" t="str">
        <f ca="1">IFERROR(__xludf.DUMMYFUNCTION("""COMPUTED_VALUE"""),"#N/A")</f>
        <v>#N/A</v>
      </c>
      <c r="AB84" s="138" t="str">
        <f ca="1">IFERROR(__xludf.DUMMYFUNCTION("""COMPUTED_VALUE"""),"#N/A")</f>
        <v>#N/A</v>
      </c>
      <c r="AC84" s="138" t="str">
        <f ca="1">IFERROR(__xludf.DUMMYFUNCTION("""COMPUTED_VALUE"""),"#N/A")</f>
        <v>#N/A</v>
      </c>
      <c r="AD84" s="138" t="str">
        <f ca="1">IFERROR(__xludf.DUMMYFUNCTION("""COMPUTED_VALUE"""),"#N/A")</f>
        <v>#N/A</v>
      </c>
      <c r="AE84" s="138" t="str">
        <f ca="1">IFERROR(__xludf.DUMMYFUNCTION("""COMPUTED_VALUE"""),"#N/A")</f>
        <v>#N/A</v>
      </c>
      <c r="AF84" s="138" t="str">
        <f ca="1">IFERROR(__xludf.DUMMYFUNCTION("""COMPUTED_VALUE"""),"#N/A")</f>
        <v>#N/A</v>
      </c>
      <c r="AG84" s="138" t="str">
        <f ca="1">IFERROR(__xludf.DUMMYFUNCTION("ArrayFormula(VLOOKUP(G84, IMPORTRANGE(""https://docs.google.com/spreadsheets/d/1Co934fvtviyaRiMsrIlT05Jaq7iiYq07aLvRr35KA48/edit?gid=173865642#gid=173865642"", ""'G10_Sci_Pri_LU'!G2:V2000""), {3, 4, 5, 6, 7, 8, 9, 10, 11, 12, 13, 14, 15, 16}, 0))"),"LU006510")</f>
        <v>LU006510</v>
      </c>
      <c r="AH84" s="138" t="str">
        <f ca="1">IFERROR(__xludf.DUMMYFUNCTION("""COMPUTED_VALUE"""),"Resistor and Resistance (Types, Classification and Symbol)")</f>
        <v>Resistor and Resistance (Types, Classification and Symbol)</v>
      </c>
      <c r="AI84" s="138"/>
      <c r="AJ84" s="138"/>
      <c r="AK84" s="138"/>
      <c r="AL84" s="138"/>
      <c r="AM84" s="138"/>
      <c r="AN84" s="138"/>
      <c r="AO84" s="138"/>
      <c r="AP84" s="138"/>
      <c r="AQ84" s="138"/>
      <c r="AR84" s="138"/>
      <c r="AS84" s="138"/>
      <c r="AT84" s="138"/>
    </row>
    <row r="85" spans="1:46">
      <c r="A85" s="54" t="s">
        <v>247</v>
      </c>
      <c r="B85" s="55" t="s">
        <v>47</v>
      </c>
      <c r="C85" s="55" t="s">
        <v>1172</v>
      </c>
      <c r="D85" s="138" t="s">
        <v>1510</v>
      </c>
      <c r="E85" s="55" t="s">
        <v>2586</v>
      </c>
      <c r="F85" s="55" t="s">
        <v>2596</v>
      </c>
      <c r="G85" s="55" t="s">
        <v>2597</v>
      </c>
      <c r="H85" s="54" t="str">
        <f ca="1">IFERROR(__xludf.DUMMYFUNCTION("VLOOKUP(G85, IMPORTRANGE(""https://docs.google.com/spreadsheets/d/14deopnvwcrKtEGCKuYXdUHJbeLDZlkiSSWWT0g7x2pM/edit#gid=849066331"", ""LU List Science (Filter)!A:B""), 2, FALSE)"),"Resistors in Series (Current flow, Voltage Distribution)")</f>
        <v>Resistors in Series (Current flow, Voltage Distribution)</v>
      </c>
      <c r="I85" s="55" t="str">
        <f t="shared" si="0"/>
        <v>LU006513.001</v>
      </c>
      <c r="J85" s="55" t="str">
        <f ca="1">IFERROR(__xludf.DUMMYFUNCTION("VLOOKUP(I85, IMPORTRANGE(""https://docs.google.com/spreadsheets/d/1yDAaXNsi4Mr5FtRQL4tbmSdIzhx6_m4wkOD7IG-k_eo/edit#gid=1336395716"", ""Science!M:N""), 2, FALSE)"),"(LU006513.001); Default - Remember")</f>
        <v>(LU006513.001); Default - Remember</v>
      </c>
      <c r="K85" s="55" t="str">
        <f t="shared" si="1"/>
        <v>LU006513.002</v>
      </c>
      <c r="L85" s="55" t="str">
        <f ca="1">IFERROR(__xludf.DUMMYFUNCTION("VLOOKUP(K85, IMPORTRANGE(""https://docs.google.com/spreadsheets/d/1yDAaXNsi4Mr5FtRQL4tbmSdIzhx6_m4wkOD7IG-k_eo/edit#gid=1336395716"", ""Science!M:N""), 2, FALSE)"),"(LU006513.002); Default - Understand")</f>
        <v>(LU006513.002); Default - Understand</v>
      </c>
      <c r="M85" s="55" t="str">
        <f t="shared" si="2"/>
        <v>LU006513.003</v>
      </c>
      <c r="N85" s="55" t="str">
        <f ca="1">IFERROR(__xludf.DUMMYFUNCTION("VLOOKUP(M85, IMPORTRANGE(""https://docs.google.com/spreadsheets/d/1yDAaXNsi4Mr5FtRQL4tbmSdIzhx6_m4wkOD7IG-k_eo/edit#gid=1336395716"", ""Science!M:N""), 2, FALSE)"),"(LU006513.003); Default - Apply")</f>
        <v>(LU006513.003); Default - Apply</v>
      </c>
      <c r="O85" s="55" t="str">
        <f t="shared" si="3"/>
        <v>LU006513.004</v>
      </c>
      <c r="P85" s="55" t="str">
        <f ca="1">IFERROR(__xludf.DUMMYFUNCTION("VLOOKUP(O85, IMPORTRANGE(""https://docs.google.com/spreadsheets/d/1yDAaXNsi4Mr5FtRQL4tbmSdIzhx6_m4wkOD7IG-k_eo/edit#gid=1336395716"", ""Science!M:N""), 2, FALSE)"),"(LU006513.004); Default - Analyse")</f>
        <v>(LU006513.004); Default - Analyse</v>
      </c>
      <c r="Q85" s="55" t="str">
        <f t="shared" si="4"/>
        <v>LU006513.005</v>
      </c>
      <c r="R85" s="55" t="str">
        <f ca="1">IFERROR(__xludf.DUMMYFUNCTION("VLOOKUP(Q85, IMPORTRANGE(""https://docs.google.com/spreadsheets/d/1yDAaXNsi4Mr5FtRQL4tbmSdIzhx6_m4wkOD7IG-k_eo/edit#gid=1336395716"", ""Science!M:N""), 2, FALSE)"),"(LU006513.005); Default - Evaluate")</f>
        <v>(LU006513.005); Default - Evaluate</v>
      </c>
      <c r="S85" s="55" t="str">
        <f t="shared" si="5"/>
        <v>LU006513.006</v>
      </c>
      <c r="T85" s="55" t="str">
        <f ca="1">IFERROR(__xludf.DUMMYFUNCTION("VLOOKUP(S85, IMPORTRANGE(""https://docs.google.com/spreadsheets/d/1yDAaXNsi4Mr5FtRQL4tbmSdIzhx6_m4wkOD7IG-k_eo/edit#gid=1336395716"", ""Science!M:N""), 2, FALSE)"),"(LU006513.006); Default - Create")</f>
        <v>(LU006513.006); Default - Create</v>
      </c>
      <c r="U85" s="137" t="str">
        <f ca="1">IFERROR(__xludf.DUMMYFUNCTION("ArrayFormula(VLOOKUP(G85, IMPORTRANGE(""https://docs.google.com/spreadsheets/d/1p7R4vtkWt5VOBim4ltsDG9KTzSjrtKXsMtQGXPHyND0/edit#gid=795171502"", ""'Filter 30_05_2024'!A1:M2000""), {2, 3, 4, 5,6,7,8,9,10,11,12,13}, 0))"),"#N/A")</f>
        <v>#N/A</v>
      </c>
      <c r="V85" s="137" t="str">
        <f ca="1">IFERROR(__xludf.DUMMYFUNCTION("""COMPUTED_VALUE"""),"#N/A")</f>
        <v>#N/A</v>
      </c>
      <c r="W85" s="137" t="str">
        <f ca="1">IFERROR(__xludf.DUMMYFUNCTION("""COMPUTED_VALUE"""),"#N/A")</f>
        <v>#N/A</v>
      </c>
      <c r="X85" s="137" t="str">
        <f ca="1">IFERROR(__xludf.DUMMYFUNCTION("""COMPUTED_VALUE"""),"#N/A")</f>
        <v>#N/A</v>
      </c>
      <c r="Y85" s="137" t="str">
        <f ca="1">IFERROR(__xludf.DUMMYFUNCTION("""COMPUTED_VALUE"""),"#N/A")</f>
        <v>#N/A</v>
      </c>
      <c r="Z85" s="138" t="str">
        <f ca="1">IFERROR(__xludf.DUMMYFUNCTION("""COMPUTED_VALUE"""),"#N/A")</f>
        <v>#N/A</v>
      </c>
      <c r="AA85" s="138" t="str">
        <f ca="1">IFERROR(__xludf.DUMMYFUNCTION("""COMPUTED_VALUE"""),"#N/A")</f>
        <v>#N/A</v>
      </c>
      <c r="AB85" s="138" t="str">
        <f ca="1">IFERROR(__xludf.DUMMYFUNCTION("""COMPUTED_VALUE"""),"#N/A")</f>
        <v>#N/A</v>
      </c>
      <c r="AC85" s="138" t="str">
        <f ca="1">IFERROR(__xludf.DUMMYFUNCTION("""COMPUTED_VALUE"""),"#N/A")</f>
        <v>#N/A</v>
      </c>
      <c r="AD85" s="138" t="str">
        <f ca="1">IFERROR(__xludf.DUMMYFUNCTION("""COMPUTED_VALUE"""),"#N/A")</f>
        <v>#N/A</v>
      </c>
      <c r="AE85" s="138" t="str">
        <f ca="1">IFERROR(__xludf.DUMMYFUNCTION("""COMPUTED_VALUE"""),"#N/A")</f>
        <v>#N/A</v>
      </c>
      <c r="AF85" s="138" t="str">
        <f ca="1">IFERROR(__xludf.DUMMYFUNCTION("""COMPUTED_VALUE"""),"#N/A")</f>
        <v>#N/A</v>
      </c>
      <c r="AG85" s="138" t="str">
        <f ca="1">IFERROR(__xludf.DUMMYFUNCTION("ArrayFormula(VLOOKUP(G85, IMPORTRANGE(""https://docs.google.com/spreadsheets/d/1Co934fvtviyaRiMsrIlT05Jaq7iiYq07aLvRr35KA48/edit?gid=173865642#gid=173865642"", ""'G10_Sci_Pri_LU'!G2:V2000""), {3, 4, 5, 6, 7, 8, 9, 10, 11, 12, 13, 14, 15, 16}, 0))"),"LU006509")</f>
        <v>LU006509</v>
      </c>
      <c r="AH85" s="138" t="str">
        <f ca="1">IFERROR(__xludf.DUMMYFUNCTION("""COMPUTED_VALUE"""),"Exploration of Ohm's Law")</f>
        <v>Exploration of Ohm's Law</v>
      </c>
      <c r="AI85" s="138" t="str">
        <f ca="1">IFERROR(__xludf.DUMMYFUNCTION("""COMPUTED_VALUE"""),"LU006824")</f>
        <v>LU006824</v>
      </c>
      <c r="AJ85" s="138" t="str">
        <f ca="1">IFERROR(__xludf.DUMMYFUNCTION("""COMPUTED_VALUE"""),"Symbols of electrical components (key, battery, bulb, conducting wire, resistor)")</f>
        <v>Symbols of electrical components (key, battery, bulb, conducting wire, resistor)</v>
      </c>
      <c r="AK85" s="138"/>
      <c r="AL85" s="138"/>
      <c r="AM85" s="138"/>
      <c r="AN85" s="138"/>
      <c r="AO85" s="138"/>
      <c r="AP85" s="138"/>
      <c r="AQ85" s="138"/>
      <c r="AR85" s="138"/>
      <c r="AS85" s="138"/>
      <c r="AT85" s="138"/>
    </row>
    <row r="86" spans="1:46">
      <c r="A86" s="54" t="s">
        <v>247</v>
      </c>
      <c r="B86" s="55" t="s">
        <v>47</v>
      </c>
      <c r="C86" s="55" t="s">
        <v>1172</v>
      </c>
      <c r="D86" s="138" t="s">
        <v>1510</v>
      </c>
      <c r="E86" s="55" t="s">
        <v>2586</v>
      </c>
      <c r="F86" s="55" t="s">
        <v>2596</v>
      </c>
      <c r="G86" s="55" t="s">
        <v>2598</v>
      </c>
      <c r="H86" s="54" t="str">
        <f ca="1">IFERROR(__xludf.DUMMYFUNCTION("VLOOKUP(G86, IMPORTRANGE(""https://docs.google.com/spreadsheets/d/14deopnvwcrKtEGCKuYXdUHJbeLDZlkiSSWWT0g7x2pM/edit#gid=849066331"", ""LU List Science (Filter)!A:B""), 2, FALSE)"),"Resistors in Parallel (Voltage uniformity, Current Distribution)")</f>
        <v>Resistors in Parallel (Voltage uniformity, Current Distribution)</v>
      </c>
      <c r="I86" s="55" t="str">
        <f t="shared" si="0"/>
        <v>LU006514.001</v>
      </c>
      <c r="J86" s="55" t="str">
        <f ca="1">IFERROR(__xludf.DUMMYFUNCTION("VLOOKUP(I86, IMPORTRANGE(""https://docs.google.com/spreadsheets/d/1yDAaXNsi4Mr5FtRQL4tbmSdIzhx6_m4wkOD7IG-k_eo/edit#gid=1336395716"", ""Science!M:N""), 2, FALSE)"),"(LU006514.001); Default - Remember")</f>
        <v>(LU006514.001); Default - Remember</v>
      </c>
      <c r="K86" s="55" t="str">
        <f t="shared" si="1"/>
        <v>LU006514.002</v>
      </c>
      <c r="L86" s="55" t="str">
        <f ca="1">IFERROR(__xludf.DUMMYFUNCTION("VLOOKUP(K86, IMPORTRANGE(""https://docs.google.com/spreadsheets/d/1yDAaXNsi4Mr5FtRQL4tbmSdIzhx6_m4wkOD7IG-k_eo/edit#gid=1336395716"", ""Science!M:N""), 2, FALSE)"),"(LU006514.002); Default - Understand")</f>
        <v>(LU006514.002); Default - Understand</v>
      </c>
      <c r="M86" s="55" t="str">
        <f t="shared" si="2"/>
        <v>LU006514.003</v>
      </c>
      <c r="N86" s="55" t="str">
        <f ca="1">IFERROR(__xludf.DUMMYFUNCTION("VLOOKUP(M86, IMPORTRANGE(""https://docs.google.com/spreadsheets/d/1yDAaXNsi4Mr5FtRQL4tbmSdIzhx6_m4wkOD7IG-k_eo/edit#gid=1336395716"", ""Science!M:N""), 2, FALSE)"),"(LU006514.003); Default - Apply")</f>
        <v>(LU006514.003); Default - Apply</v>
      </c>
      <c r="O86" s="55" t="str">
        <f t="shared" si="3"/>
        <v>LU006514.004</v>
      </c>
      <c r="P86" s="55" t="str">
        <f ca="1">IFERROR(__xludf.DUMMYFUNCTION("VLOOKUP(O86, IMPORTRANGE(""https://docs.google.com/spreadsheets/d/1yDAaXNsi4Mr5FtRQL4tbmSdIzhx6_m4wkOD7IG-k_eo/edit#gid=1336395716"", ""Science!M:N""), 2, FALSE)"),"(LU006514.004); Default - Analyse")</f>
        <v>(LU006514.004); Default - Analyse</v>
      </c>
      <c r="Q86" s="55" t="str">
        <f t="shared" si="4"/>
        <v>LU006514.005</v>
      </c>
      <c r="R86" s="55" t="str">
        <f ca="1">IFERROR(__xludf.DUMMYFUNCTION("VLOOKUP(Q86, IMPORTRANGE(""https://docs.google.com/spreadsheets/d/1yDAaXNsi4Mr5FtRQL4tbmSdIzhx6_m4wkOD7IG-k_eo/edit#gid=1336395716"", ""Science!M:N""), 2, FALSE)"),"(LU006514.005); Default - Evaluate")</f>
        <v>(LU006514.005); Default - Evaluate</v>
      </c>
      <c r="S86" s="55" t="str">
        <f t="shared" si="5"/>
        <v>LU006514.006</v>
      </c>
      <c r="T86" s="55" t="str">
        <f ca="1">IFERROR(__xludf.DUMMYFUNCTION("VLOOKUP(S86, IMPORTRANGE(""https://docs.google.com/spreadsheets/d/1yDAaXNsi4Mr5FtRQL4tbmSdIzhx6_m4wkOD7IG-k_eo/edit#gid=1336395716"", ""Science!M:N""), 2, FALSE)"),"(LU006514.006); Default - Create")</f>
        <v>(LU006514.006); Default - Create</v>
      </c>
      <c r="U86" s="137" t="str">
        <f ca="1">IFERROR(__xludf.DUMMYFUNCTION("ArrayFormula(VLOOKUP(G86, IMPORTRANGE(""https://docs.google.com/spreadsheets/d/1p7R4vtkWt5VOBim4ltsDG9KTzSjrtKXsMtQGXPHyND0/edit#gid=795171502"", ""'Filter 30_05_2024'!A1:M2000""), {2, 3, 4, 5,6,7,8,9,10,11,12,13}, 0))"),"#N/A")</f>
        <v>#N/A</v>
      </c>
      <c r="V86" s="137" t="str">
        <f ca="1">IFERROR(__xludf.DUMMYFUNCTION("""COMPUTED_VALUE"""),"#N/A")</f>
        <v>#N/A</v>
      </c>
      <c r="W86" s="137" t="str">
        <f ca="1">IFERROR(__xludf.DUMMYFUNCTION("""COMPUTED_VALUE"""),"#N/A")</f>
        <v>#N/A</v>
      </c>
      <c r="X86" s="137" t="str">
        <f ca="1">IFERROR(__xludf.DUMMYFUNCTION("""COMPUTED_VALUE"""),"#N/A")</f>
        <v>#N/A</v>
      </c>
      <c r="Y86" s="137" t="str">
        <f ca="1">IFERROR(__xludf.DUMMYFUNCTION("""COMPUTED_VALUE"""),"#N/A")</f>
        <v>#N/A</v>
      </c>
      <c r="Z86" s="138" t="str">
        <f ca="1">IFERROR(__xludf.DUMMYFUNCTION("""COMPUTED_VALUE"""),"#N/A")</f>
        <v>#N/A</v>
      </c>
      <c r="AA86" s="138" t="str">
        <f ca="1">IFERROR(__xludf.DUMMYFUNCTION("""COMPUTED_VALUE"""),"#N/A")</f>
        <v>#N/A</v>
      </c>
      <c r="AB86" s="138" t="str">
        <f ca="1">IFERROR(__xludf.DUMMYFUNCTION("""COMPUTED_VALUE"""),"#N/A")</f>
        <v>#N/A</v>
      </c>
      <c r="AC86" s="138" t="str">
        <f ca="1">IFERROR(__xludf.DUMMYFUNCTION("""COMPUTED_VALUE"""),"#N/A")</f>
        <v>#N/A</v>
      </c>
      <c r="AD86" s="138" t="str">
        <f ca="1">IFERROR(__xludf.DUMMYFUNCTION("""COMPUTED_VALUE"""),"#N/A")</f>
        <v>#N/A</v>
      </c>
      <c r="AE86" s="138" t="str">
        <f ca="1">IFERROR(__xludf.DUMMYFUNCTION("""COMPUTED_VALUE"""),"#N/A")</f>
        <v>#N/A</v>
      </c>
      <c r="AF86" s="138" t="str">
        <f ca="1">IFERROR(__xludf.DUMMYFUNCTION("""COMPUTED_VALUE"""),"#N/A")</f>
        <v>#N/A</v>
      </c>
      <c r="AG86" s="138" t="str">
        <f ca="1">IFERROR(__xludf.DUMMYFUNCTION("ArrayFormula(VLOOKUP(G86, IMPORTRANGE(""https://docs.google.com/spreadsheets/d/1Co934fvtviyaRiMsrIlT05Jaq7iiYq07aLvRr35KA48/edit?gid=173865642#gid=173865642"", ""'G10_Sci_Pri_LU'!G2:V2000""), {3, 4, 5, 6, 7, 8, 9, 10, 11, 12, 13, 14, 15, 16}, 0))"),"LU006509")</f>
        <v>LU006509</v>
      </c>
      <c r="AH86" s="138" t="str">
        <f ca="1">IFERROR(__xludf.DUMMYFUNCTION("""COMPUTED_VALUE"""),"Exploration of Ohm's Law")</f>
        <v>Exploration of Ohm's Law</v>
      </c>
      <c r="AI86" s="138" t="str">
        <f ca="1">IFERROR(__xludf.DUMMYFUNCTION("""COMPUTED_VALUE"""),"LU006824")</f>
        <v>LU006824</v>
      </c>
      <c r="AJ86" s="138" t="str">
        <f ca="1">IFERROR(__xludf.DUMMYFUNCTION("""COMPUTED_VALUE"""),"Symbols of electrical components (key, battery, bulb, conducting wire, resistor)")</f>
        <v>Symbols of electrical components (key, battery, bulb, conducting wire, resistor)</v>
      </c>
      <c r="AK86" s="138"/>
      <c r="AL86" s="138"/>
      <c r="AM86" s="138"/>
      <c r="AN86" s="138"/>
      <c r="AO86" s="138"/>
      <c r="AP86" s="138"/>
      <c r="AQ86" s="138"/>
      <c r="AR86" s="138"/>
      <c r="AS86" s="138"/>
      <c r="AT86" s="138"/>
    </row>
    <row r="87" spans="1:46">
      <c r="A87" s="54" t="s">
        <v>247</v>
      </c>
      <c r="B87" s="55" t="s">
        <v>47</v>
      </c>
      <c r="C87" s="55" t="s">
        <v>1172</v>
      </c>
      <c r="D87" s="138" t="s">
        <v>1510</v>
      </c>
      <c r="E87" s="55" t="s">
        <v>2586</v>
      </c>
      <c r="F87" s="55" t="s">
        <v>1964</v>
      </c>
      <c r="G87" s="55" t="s">
        <v>2599</v>
      </c>
      <c r="H87" s="54" t="str">
        <f ca="1">IFERROR(__xludf.DUMMYFUNCTION("VLOOKUP(G87, IMPORTRANGE(""https://docs.google.com/spreadsheets/d/14deopnvwcrKtEGCKuYXdUHJbeLDZlkiSSWWT0g7x2pM/edit#gid=849066331"", ""LU List Science (Filter)!A:B""), 2, FALSE)"),"Joule's Law of Heating ")</f>
        <v xml:space="preserve">Joule's Law of Heating </v>
      </c>
      <c r="I87" s="55" t="str">
        <f t="shared" si="0"/>
        <v>LU006515.001</v>
      </c>
      <c r="J87" s="55" t="str">
        <f ca="1">IFERROR(__xludf.DUMMYFUNCTION("VLOOKUP(I87, IMPORTRANGE(""https://docs.google.com/spreadsheets/d/1yDAaXNsi4Mr5FtRQL4tbmSdIzhx6_m4wkOD7IG-k_eo/edit#gid=1336395716"", ""Science!M:N""), 2, FALSE)"),"(LU006515.001); Default - Remember")</f>
        <v>(LU006515.001); Default - Remember</v>
      </c>
      <c r="K87" s="55" t="str">
        <f t="shared" si="1"/>
        <v>LU006515.002</v>
      </c>
      <c r="L87" s="55" t="str">
        <f ca="1">IFERROR(__xludf.DUMMYFUNCTION("VLOOKUP(K87, IMPORTRANGE(""https://docs.google.com/spreadsheets/d/1yDAaXNsi4Mr5FtRQL4tbmSdIzhx6_m4wkOD7IG-k_eo/edit#gid=1336395716"", ""Science!M:N""), 2, FALSE)"),"(LU006515.002); Default - Understand")</f>
        <v>(LU006515.002); Default - Understand</v>
      </c>
      <c r="M87" s="55" t="str">
        <f t="shared" si="2"/>
        <v>LU006515.003</v>
      </c>
      <c r="N87" s="55" t="str">
        <f ca="1">IFERROR(__xludf.DUMMYFUNCTION("VLOOKUP(M87, IMPORTRANGE(""https://docs.google.com/spreadsheets/d/1yDAaXNsi4Mr5FtRQL4tbmSdIzhx6_m4wkOD7IG-k_eo/edit#gid=1336395716"", ""Science!M:N""), 2, FALSE)"),"(LU006515.003); Default - Apply")</f>
        <v>(LU006515.003); Default - Apply</v>
      </c>
      <c r="O87" s="55" t="str">
        <f t="shared" si="3"/>
        <v>LU006515.004</v>
      </c>
      <c r="P87" s="55" t="str">
        <f ca="1">IFERROR(__xludf.DUMMYFUNCTION("VLOOKUP(O87, IMPORTRANGE(""https://docs.google.com/spreadsheets/d/1yDAaXNsi4Mr5FtRQL4tbmSdIzhx6_m4wkOD7IG-k_eo/edit#gid=1336395716"", ""Science!M:N""), 2, FALSE)"),"(LU006515.004); Default - Analyse")</f>
        <v>(LU006515.004); Default - Analyse</v>
      </c>
      <c r="Q87" s="55" t="str">
        <f t="shared" si="4"/>
        <v>LU006515.005</v>
      </c>
      <c r="R87" s="55" t="str">
        <f ca="1">IFERROR(__xludf.DUMMYFUNCTION("VLOOKUP(Q87, IMPORTRANGE(""https://docs.google.com/spreadsheets/d/1yDAaXNsi4Mr5FtRQL4tbmSdIzhx6_m4wkOD7IG-k_eo/edit#gid=1336395716"", ""Science!M:N""), 2, FALSE)"),"(LU006515.005); Default - Evaluate")</f>
        <v>(LU006515.005); Default - Evaluate</v>
      </c>
      <c r="S87" s="55" t="str">
        <f t="shared" si="5"/>
        <v>LU006515.006</v>
      </c>
      <c r="T87" s="55" t="str">
        <f ca="1">IFERROR(__xludf.DUMMYFUNCTION("VLOOKUP(S87, IMPORTRANGE(""https://docs.google.com/spreadsheets/d/1yDAaXNsi4Mr5FtRQL4tbmSdIzhx6_m4wkOD7IG-k_eo/edit#gid=1336395716"", ""Science!M:N""), 2, FALSE)"),"(LU006515.006); Default - Create")</f>
        <v>(LU006515.006); Default - Create</v>
      </c>
      <c r="U87" s="137" t="str">
        <f ca="1">IFERROR(__xludf.DUMMYFUNCTION("ArrayFormula(VLOOKUP(G87, IMPORTRANGE(""https://docs.google.com/spreadsheets/d/1p7R4vtkWt5VOBim4ltsDG9KTzSjrtKXsMtQGXPHyND0/edit#gid=795171502"", ""'Filter 30_05_2024'!A1:M2000""), {2, 3, 4, 5,6,7,8,9,10,11,12,13}, 0))"),"#N/A")</f>
        <v>#N/A</v>
      </c>
      <c r="V87" s="137" t="str">
        <f ca="1">IFERROR(__xludf.DUMMYFUNCTION("""COMPUTED_VALUE"""),"#N/A")</f>
        <v>#N/A</v>
      </c>
      <c r="W87" s="137" t="str">
        <f ca="1">IFERROR(__xludf.DUMMYFUNCTION("""COMPUTED_VALUE"""),"#N/A")</f>
        <v>#N/A</v>
      </c>
      <c r="X87" s="137" t="str">
        <f ca="1">IFERROR(__xludf.DUMMYFUNCTION("""COMPUTED_VALUE"""),"#N/A")</f>
        <v>#N/A</v>
      </c>
      <c r="Y87" s="137" t="str">
        <f ca="1">IFERROR(__xludf.DUMMYFUNCTION("""COMPUTED_VALUE"""),"#N/A")</f>
        <v>#N/A</v>
      </c>
      <c r="Z87" s="138" t="str">
        <f ca="1">IFERROR(__xludf.DUMMYFUNCTION("""COMPUTED_VALUE"""),"#N/A")</f>
        <v>#N/A</v>
      </c>
      <c r="AA87" s="138" t="str">
        <f ca="1">IFERROR(__xludf.DUMMYFUNCTION("""COMPUTED_VALUE"""),"#N/A")</f>
        <v>#N/A</v>
      </c>
      <c r="AB87" s="138" t="str">
        <f ca="1">IFERROR(__xludf.DUMMYFUNCTION("""COMPUTED_VALUE"""),"#N/A")</f>
        <v>#N/A</v>
      </c>
      <c r="AC87" s="138" t="str">
        <f ca="1">IFERROR(__xludf.DUMMYFUNCTION("""COMPUTED_VALUE"""),"#N/A")</f>
        <v>#N/A</v>
      </c>
      <c r="AD87" s="138" t="str">
        <f ca="1">IFERROR(__xludf.DUMMYFUNCTION("""COMPUTED_VALUE"""),"#N/A")</f>
        <v>#N/A</v>
      </c>
      <c r="AE87" s="138" t="str">
        <f ca="1">IFERROR(__xludf.DUMMYFUNCTION("""COMPUTED_VALUE"""),"#N/A")</f>
        <v>#N/A</v>
      </c>
      <c r="AF87" s="138" t="str">
        <f ca="1">IFERROR(__xludf.DUMMYFUNCTION("""COMPUTED_VALUE"""),"#N/A")</f>
        <v>#N/A</v>
      </c>
      <c r="AG87" s="138" t="str">
        <f ca="1">IFERROR(__xludf.DUMMYFUNCTION("ArrayFormula(VLOOKUP(G87, IMPORTRANGE(""https://docs.google.com/spreadsheets/d/1Co934fvtviyaRiMsrIlT05Jaq7iiYq07aLvRr35KA48/edit?gid=173865642#gid=173865642"", ""'G10_Sci_Pri_LU'!G2:V2000""), {3, 4, 5, 6, 7, 8, 9, 10, 11, 12, 13, 14, 15, 16}, 0))"),"LU005343")</f>
        <v>LU005343</v>
      </c>
      <c r="AH87" s="138" t="str">
        <f ca="1">IFERROR(__xludf.DUMMYFUNCTION("""COMPUTED_VALUE"""),"Basic concept of Heating effect of electric current")</f>
        <v>Basic concept of Heating effect of electric current</v>
      </c>
      <c r="AI87" s="138" t="str">
        <f ca="1">IFERROR(__xludf.DUMMYFUNCTION("""COMPUTED_VALUE"""),"LU006509")</f>
        <v>LU006509</v>
      </c>
      <c r="AJ87" s="138" t="str">
        <f ca="1">IFERROR(__xludf.DUMMYFUNCTION("""COMPUTED_VALUE"""),"Exploration of Ohm's Law")</f>
        <v>Exploration of Ohm's Law</v>
      </c>
      <c r="AK87" s="138"/>
      <c r="AL87" s="138"/>
      <c r="AM87" s="138"/>
      <c r="AN87" s="138"/>
      <c r="AO87" s="138"/>
      <c r="AP87" s="138"/>
      <c r="AQ87" s="138"/>
      <c r="AR87" s="138"/>
      <c r="AS87" s="138"/>
      <c r="AT87" s="138"/>
    </row>
    <row r="88" spans="1:46">
      <c r="A88" s="54" t="s">
        <v>247</v>
      </c>
      <c r="B88" s="55" t="s">
        <v>47</v>
      </c>
      <c r="C88" s="55" t="s">
        <v>1172</v>
      </c>
      <c r="D88" s="138" t="s">
        <v>1510</v>
      </c>
      <c r="E88" s="55" t="s">
        <v>2586</v>
      </c>
      <c r="F88" s="55" t="s">
        <v>1964</v>
      </c>
      <c r="G88" s="55" t="s">
        <v>2600</v>
      </c>
      <c r="H88" s="54" t="str">
        <f ca="1">IFERROR(__xludf.DUMMYFUNCTION("VLOOKUP(G88, IMPORTRANGE(""https://docs.google.com/spreadsheets/d/14deopnvwcrKtEGCKuYXdUHJbeLDZlkiSSWWT0g7x2pM/edit#gid=849066331"", ""LU List Science (Filter)!A:B""), 2, FALSE)"),"Useful Application of Joule's Heating ")</f>
        <v xml:space="preserve">Useful Application of Joule's Heating </v>
      </c>
      <c r="I88" s="55" t="str">
        <f t="shared" si="0"/>
        <v>LU006516.001</v>
      </c>
      <c r="J88" s="55" t="str">
        <f ca="1">IFERROR(__xludf.DUMMYFUNCTION("VLOOKUP(I88, IMPORTRANGE(""https://docs.google.com/spreadsheets/d/1yDAaXNsi4Mr5FtRQL4tbmSdIzhx6_m4wkOD7IG-k_eo/edit#gid=1336395716"", ""Science!M:N""), 2, FALSE)"),"(LU006516.001); Default - Remember")</f>
        <v>(LU006516.001); Default - Remember</v>
      </c>
      <c r="K88" s="55" t="str">
        <f t="shared" si="1"/>
        <v>LU006516.002</v>
      </c>
      <c r="L88" s="55" t="str">
        <f ca="1">IFERROR(__xludf.DUMMYFUNCTION("VLOOKUP(K88, IMPORTRANGE(""https://docs.google.com/spreadsheets/d/1yDAaXNsi4Mr5FtRQL4tbmSdIzhx6_m4wkOD7IG-k_eo/edit#gid=1336395716"", ""Science!M:N""), 2, FALSE)"),"(LU006516.002); Default - Understand")</f>
        <v>(LU006516.002); Default - Understand</v>
      </c>
      <c r="M88" s="55" t="str">
        <f t="shared" si="2"/>
        <v>LU006516.003</v>
      </c>
      <c r="N88" s="55" t="str">
        <f ca="1">IFERROR(__xludf.DUMMYFUNCTION("VLOOKUP(M88, IMPORTRANGE(""https://docs.google.com/spreadsheets/d/1yDAaXNsi4Mr5FtRQL4tbmSdIzhx6_m4wkOD7IG-k_eo/edit#gid=1336395716"", ""Science!M:N""), 2, FALSE)"),"(LU006516.003); Default - Apply")</f>
        <v>(LU006516.003); Default - Apply</v>
      </c>
      <c r="O88" s="55" t="str">
        <f t="shared" si="3"/>
        <v>LU006516.004</v>
      </c>
      <c r="P88" s="55" t="str">
        <f ca="1">IFERROR(__xludf.DUMMYFUNCTION("VLOOKUP(O88, IMPORTRANGE(""https://docs.google.com/spreadsheets/d/1yDAaXNsi4Mr5FtRQL4tbmSdIzhx6_m4wkOD7IG-k_eo/edit#gid=1336395716"", ""Science!M:N""), 2, FALSE)"),"(LU006516.004); Default - Analyse")</f>
        <v>(LU006516.004); Default - Analyse</v>
      </c>
      <c r="Q88" s="55" t="str">
        <f t="shared" si="4"/>
        <v>LU006516.005</v>
      </c>
      <c r="R88" s="55" t="str">
        <f ca="1">IFERROR(__xludf.DUMMYFUNCTION("VLOOKUP(Q88, IMPORTRANGE(""https://docs.google.com/spreadsheets/d/1yDAaXNsi4Mr5FtRQL4tbmSdIzhx6_m4wkOD7IG-k_eo/edit#gid=1336395716"", ""Science!M:N""), 2, FALSE)"),"(LU006516.005); Default - Evaluate")</f>
        <v>(LU006516.005); Default - Evaluate</v>
      </c>
      <c r="S88" s="55" t="str">
        <f t="shared" si="5"/>
        <v>LU006516.006</v>
      </c>
      <c r="T88" s="55" t="str">
        <f ca="1">IFERROR(__xludf.DUMMYFUNCTION("VLOOKUP(S88, IMPORTRANGE(""https://docs.google.com/spreadsheets/d/1yDAaXNsi4Mr5FtRQL4tbmSdIzhx6_m4wkOD7IG-k_eo/edit#gid=1336395716"", ""Science!M:N""), 2, FALSE)"),"(LU006516.006); Default - Create")</f>
        <v>(LU006516.006); Default - Create</v>
      </c>
      <c r="U88" s="137" t="str">
        <f ca="1">IFERROR(__xludf.DUMMYFUNCTION("ArrayFormula(VLOOKUP(G88, IMPORTRANGE(""https://docs.google.com/spreadsheets/d/1p7R4vtkWt5VOBim4ltsDG9KTzSjrtKXsMtQGXPHyND0/edit#gid=795171502"", ""'Filter 30_05_2024'!A1:M2000""), {2, 3, 4, 5,6,7,8,9,10,11,12,13}, 0))"),"#N/A")</f>
        <v>#N/A</v>
      </c>
      <c r="V88" s="137" t="str">
        <f ca="1">IFERROR(__xludf.DUMMYFUNCTION("""COMPUTED_VALUE"""),"#N/A")</f>
        <v>#N/A</v>
      </c>
      <c r="W88" s="137" t="str">
        <f ca="1">IFERROR(__xludf.DUMMYFUNCTION("""COMPUTED_VALUE"""),"#N/A")</f>
        <v>#N/A</v>
      </c>
      <c r="X88" s="137" t="str">
        <f ca="1">IFERROR(__xludf.DUMMYFUNCTION("""COMPUTED_VALUE"""),"#N/A")</f>
        <v>#N/A</v>
      </c>
      <c r="Y88" s="137" t="str">
        <f ca="1">IFERROR(__xludf.DUMMYFUNCTION("""COMPUTED_VALUE"""),"#N/A")</f>
        <v>#N/A</v>
      </c>
      <c r="Z88" s="138" t="str">
        <f ca="1">IFERROR(__xludf.DUMMYFUNCTION("""COMPUTED_VALUE"""),"#N/A")</f>
        <v>#N/A</v>
      </c>
      <c r="AA88" s="138" t="str">
        <f ca="1">IFERROR(__xludf.DUMMYFUNCTION("""COMPUTED_VALUE"""),"#N/A")</f>
        <v>#N/A</v>
      </c>
      <c r="AB88" s="138" t="str">
        <f ca="1">IFERROR(__xludf.DUMMYFUNCTION("""COMPUTED_VALUE"""),"#N/A")</f>
        <v>#N/A</v>
      </c>
      <c r="AC88" s="138" t="str">
        <f ca="1">IFERROR(__xludf.DUMMYFUNCTION("""COMPUTED_VALUE"""),"#N/A")</f>
        <v>#N/A</v>
      </c>
      <c r="AD88" s="138" t="str">
        <f ca="1">IFERROR(__xludf.DUMMYFUNCTION("""COMPUTED_VALUE"""),"#N/A")</f>
        <v>#N/A</v>
      </c>
      <c r="AE88" s="138" t="str">
        <f ca="1">IFERROR(__xludf.DUMMYFUNCTION("""COMPUTED_VALUE"""),"#N/A")</f>
        <v>#N/A</v>
      </c>
      <c r="AF88" s="138" t="str">
        <f ca="1">IFERROR(__xludf.DUMMYFUNCTION("""COMPUTED_VALUE"""),"#N/A")</f>
        <v>#N/A</v>
      </c>
      <c r="AG88" s="138" t="str">
        <f ca="1">IFERROR(__xludf.DUMMYFUNCTION("ArrayFormula(VLOOKUP(G88, IMPORTRANGE(""https://docs.google.com/spreadsheets/d/1Co934fvtviyaRiMsrIlT05Jaq7iiYq07aLvRr35KA48/edit?gid=173865642#gid=173865642"", ""'G10_Sci_Pri_LU'!G2:V2000""), {3, 4, 5, 6, 7, 8, 9, 10, 11, 12, 13, 14, 15, 16}, 0))"),"LU006515")</f>
        <v>LU006515</v>
      </c>
      <c r="AH88" s="138" t="str">
        <f ca="1">IFERROR(__xludf.DUMMYFUNCTION("""COMPUTED_VALUE"""),"Joule's Law of Heating ")</f>
        <v xml:space="preserve">Joule's Law of Heating </v>
      </c>
      <c r="AI88" s="138"/>
      <c r="AJ88" s="138"/>
      <c r="AK88" s="138"/>
      <c r="AL88" s="138"/>
      <c r="AM88" s="138"/>
      <c r="AN88" s="138"/>
      <c r="AO88" s="138"/>
      <c r="AP88" s="138"/>
      <c r="AQ88" s="138"/>
      <c r="AR88" s="138"/>
      <c r="AS88" s="138"/>
      <c r="AT88" s="138"/>
    </row>
    <row r="89" spans="1:46">
      <c r="A89" s="54" t="s">
        <v>247</v>
      </c>
      <c r="B89" s="55" t="s">
        <v>47</v>
      </c>
      <c r="C89" s="55" t="s">
        <v>1172</v>
      </c>
      <c r="D89" s="138" t="s">
        <v>1510</v>
      </c>
      <c r="E89" s="55" t="s">
        <v>2586</v>
      </c>
      <c r="F89" s="55" t="s">
        <v>2601</v>
      </c>
      <c r="G89" s="55" t="s">
        <v>2602</v>
      </c>
      <c r="H89" s="54" t="str">
        <f ca="1">IFERROR(__xludf.DUMMYFUNCTION("VLOOKUP(G89, IMPORTRANGE(""https://docs.google.com/spreadsheets/d/14deopnvwcrKtEGCKuYXdUHJbeLDZlkiSSWWT0g7x2pM/edit#gid=849066331"", ""LU List Science (Filter)!A:B""), 2, FALSE)"),"Defintion and Unit of Electric Power")</f>
        <v>Defintion and Unit of Electric Power</v>
      </c>
      <c r="I89" s="55" t="str">
        <f t="shared" si="0"/>
        <v>LU006517.001</v>
      </c>
      <c r="J89" s="55" t="str">
        <f ca="1">IFERROR(__xludf.DUMMYFUNCTION("VLOOKUP(I89, IMPORTRANGE(""https://docs.google.com/spreadsheets/d/1yDAaXNsi4Mr5FtRQL4tbmSdIzhx6_m4wkOD7IG-k_eo/edit#gid=1336395716"", ""Science!M:N""), 2, FALSE)"),"(LU006517.001); Default - Remember")</f>
        <v>(LU006517.001); Default - Remember</v>
      </c>
      <c r="K89" s="55" t="str">
        <f t="shared" si="1"/>
        <v>LU006517.002</v>
      </c>
      <c r="L89" s="55" t="str">
        <f ca="1">IFERROR(__xludf.DUMMYFUNCTION("VLOOKUP(K89, IMPORTRANGE(""https://docs.google.com/spreadsheets/d/1yDAaXNsi4Mr5FtRQL4tbmSdIzhx6_m4wkOD7IG-k_eo/edit#gid=1336395716"", ""Science!M:N""), 2, FALSE)"),"(LU006517.002); Default - Understand")</f>
        <v>(LU006517.002); Default - Understand</v>
      </c>
      <c r="M89" s="55" t="str">
        <f t="shared" si="2"/>
        <v>LU006517.003</v>
      </c>
      <c r="N89" s="55" t="str">
        <f ca="1">IFERROR(__xludf.DUMMYFUNCTION("VLOOKUP(M89, IMPORTRANGE(""https://docs.google.com/spreadsheets/d/1yDAaXNsi4Mr5FtRQL4tbmSdIzhx6_m4wkOD7IG-k_eo/edit#gid=1336395716"", ""Science!M:N""), 2, FALSE)"),"(LU006517.003); Default - Apply")</f>
        <v>(LU006517.003); Default - Apply</v>
      </c>
      <c r="O89" s="55" t="str">
        <f t="shared" si="3"/>
        <v>LU006517.004</v>
      </c>
      <c r="P89" s="55" t="str">
        <f ca="1">IFERROR(__xludf.DUMMYFUNCTION("VLOOKUP(O89, IMPORTRANGE(""https://docs.google.com/spreadsheets/d/1yDAaXNsi4Mr5FtRQL4tbmSdIzhx6_m4wkOD7IG-k_eo/edit#gid=1336395716"", ""Science!M:N""), 2, FALSE)"),"(LU006517.004); Default - Analyse")</f>
        <v>(LU006517.004); Default - Analyse</v>
      </c>
      <c r="Q89" s="55" t="str">
        <f t="shared" si="4"/>
        <v>LU006517.005</v>
      </c>
      <c r="R89" s="55" t="str">
        <f ca="1">IFERROR(__xludf.DUMMYFUNCTION("VLOOKUP(Q89, IMPORTRANGE(""https://docs.google.com/spreadsheets/d/1yDAaXNsi4Mr5FtRQL4tbmSdIzhx6_m4wkOD7IG-k_eo/edit#gid=1336395716"", ""Science!M:N""), 2, FALSE)"),"(LU006517.005); Default - Evaluate")</f>
        <v>(LU006517.005); Default - Evaluate</v>
      </c>
      <c r="S89" s="55" t="str">
        <f t="shared" si="5"/>
        <v>LU006517.006</v>
      </c>
      <c r="T89" s="55" t="str">
        <f ca="1">IFERROR(__xludf.DUMMYFUNCTION("VLOOKUP(S89, IMPORTRANGE(""https://docs.google.com/spreadsheets/d/1yDAaXNsi4Mr5FtRQL4tbmSdIzhx6_m4wkOD7IG-k_eo/edit#gid=1336395716"", ""Science!M:N""), 2, FALSE)"),"(LU006517.006); Default - Create")</f>
        <v>(LU006517.006); Default - Create</v>
      </c>
      <c r="U89" s="137" t="str">
        <f ca="1">IFERROR(__xludf.DUMMYFUNCTION("ArrayFormula(VLOOKUP(G89, IMPORTRANGE(""https://docs.google.com/spreadsheets/d/1p7R4vtkWt5VOBim4ltsDG9KTzSjrtKXsMtQGXPHyND0/edit#gid=795171502"", ""'Filter 30_05_2024'!A1:M2000""), {2, 3, 4, 5,6,7,8,9,10,11,12,13}, 0))"),"#N/A")</f>
        <v>#N/A</v>
      </c>
      <c r="V89" s="137" t="str">
        <f ca="1">IFERROR(__xludf.DUMMYFUNCTION("""COMPUTED_VALUE"""),"#N/A")</f>
        <v>#N/A</v>
      </c>
      <c r="W89" s="137" t="str">
        <f ca="1">IFERROR(__xludf.DUMMYFUNCTION("""COMPUTED_VALUE"""),"#N/A")</f>
        <v>#N/A</v>
      </c>
      <c r="X89" s="137" t="str">
        <f ca="1">IFERROR(__xludf.DUMMYFUNCTION("""COMPUTED_VALUE"""),"#N/A")</f>
        <v>#N/A</v>
      </c>
      <c r="Y89" s="137" t="str">
        <f ca="1">IFERROR(__xludf.DUMMYFUNCTION("""COMPUTED_VALUE"""),"#N/A")</f>
        <v>#N/A</v>
      </c>
      <c r="Z89" s="138" t="str">
        <f ca="1">IFERROR(__xludf.DUMMYFUNCTION("""COMPUTED_VALUE"""),"#N/A")</f>
        <v>#N/A</v>
      </c>
      <c r="AA89" s="138" t="str">
        <f ca="1">IFERROR(__xludf.DUMMYFUNCTION("""COMPUTED_VALUE"""),"#N/A")</f>
        <v>#N/A</v>
      </c>
      <c r="AB89" s="138" t="str">
        <f ca="1">IFERROR(__xludf.DUMMYFUNCTION("""COMPUTED_VALUE"""),"#N/A")</f>
        <v>#N/A</v>
      </c>
      <c r="AC89" s="138" t="str">
        <f ca="1">IFERROR(__xludf.DUMMYFUNCTION("""COMPUTED_VALUE"""),"#N/A")</f>
        <v>#N/A</v>
      </c>
      <c r="AD89" s="138" t="str">
        <f ca="1">IFERROR(__xludf.DUMMYFUNCTION("""COMPUTED_VALUE"""),"#N/A")</f>
        <v>#N/A</v>
      </c>
      <c r="AE89" s="138" t="str">
        <f ca="1">IFERROR(__xludf.DUMMYFUNCTION("""COMPUTED_VALUE"""),"#N/A")</f>
        <v>#N/A</v>
      </c>
      <c r="AF89" s="138" t="str">
        <f ca="1">IFERROR(__xludf.DUMMYFUNCTION("""COMPUTED_VALUE"""),"#N/A")</f>
        <v>#N/A</v>
      </c>
      <c r="AG89" s="138" t="str">
        <f ca="1">IFERROR(__xludf.DUMMYFUNCTION("ArrayFormula(VLOOKUP(G89, IMPORTRANGE(""https://docs.google.com/spreadsheets/d/1Co934fvtviyaRiMsrIlT05Jaq7iiYq07aLvRr35KA48/edit?gid=173865642#gid=173865642"", ""'G10_Sci_Pri_LU'!G2:V2000""), {3, 4, 5, 6, 7, 8, 9, 10, 11, 12, 13, 14, 15, 16}, 0))"),"LU006515")</f>
        <v>LU006515</v>
      </c>
      <c r="AH89" s="138" t="str">
        <f ca="1">IFERROR(__xludf.DUMMYFUNCTION("""COMPUTED_VALUE"""),"Joule's Law of Heating ")</f>
        <v xml:space="preserve">Joule's Law of Heating </v>
      </c>
      <c r="AI89" s="138" t="str">
        <f ca="1">IFERROR(__xludf.DUMMYFUNCTION("""COMPUTED_VALUE"""),"LU006360")</f>
        <v>LU006360</v>
      </c>
      <c r="AJ89" s="138" t="str">
        <f ca="1">IFERROR(__xludf.DUMMYFUNCTION("""COMPUTED_VALUE"""),"Definition of Power (Formula and Unit) ")</f>
        <v xml:space="preserve">Definition of Power (Formula and Unit) </v>
      </c>
      <c r="AK89" s="138"/>
      <c r="AL89" s="138"/>
      <c r="AM89" s="138"/>
      <c r="AN89" s="138"/>
      <c r="AO89" s="138"/>
      <c r="AP89" s="138"/>
      <c r="AQ89" s="138"/>
      <c r="AR89" s="138"/>
      <c r="AS89" s="138"/>
      <c r="AT89" s="138"/>
    </row>
    <row r="90" spans="1:46">
      <c r="A90" s="54" t="s">
        <v>247</v>
      </c>
      <c r="B90" s="55" t="s">
        <v>47</v>
      </c>
      <c r="C90" s="55" t="s">
        <v>1172</v>
      </c>
      <c r="D90" s="138" t="s">
        <v>1510</v>
      </c>
      <c r="E90" s="55" t="s">
        <v>2603</v>
      </c>
      <c r="F90" s="55" t="s">
        <v>2604</v>
      </c>
      <c r="G90" s="55" t="s">
        <v>2605</v>
      </c>
      <c r="H90" s="54" t="str">
        <f ca="1">IFERROR(__xludf.DUMMYFUNCTION("VLOOKUP(G90, IMPORTRANGE(""https://docs.google.com/spreadsheets/d/14deopnvwcrKtEGCKuYXdUHJbeLDZlkiSSWWT0g7x2pM/edit#gid=849066331"", ""LU List Science (Filter)!A:B""), 2, FALSE)"),"Definition and properties of magnetic field lines")</f>
        <v>Definition and properties of magnetic field lines</v>
      </c>
      <c r="I90" s="55" t="str">
        <f t="shared" si="0"/>
        <v>LU006518.001</v>
      </c>
      <c r="J90" s="55" t="str">
        <f ca="1">IFERROR(__xludf.DUMMYFUNCTION("VLOOKUP(I90, IMPORTRANGE(""https://docs.google.com/spreadsheets/d/1yDAaXNsi4Mr5FtRQL4tbmSdIzhx6_m4wkOD7IG-k_eo/edit#gid=1336395716"", ""Science!M:N""), 2, FALSE)"),"(LU006518.001); Default - Remember")</f>
        <v>(LU006518.001); Default - Remember</v>
      </c>
      <c r="K90" s="55" t="str">
        <f t="shared" si="1"/>
        <v>LU006518.002</v>
      </c>
      <c r="L90" s="55" t="str">
        <f ca="1">IFERROR(__xludf.DUMMYFUNCTION("VLOOKUP(K90, IMPORTRANGE(""https://docs.google.com/spreadsheets/d/1yDAaXNsi4Mr5FtRQL4tbmSdIzhx6_m4wkOD7IG-k_eo/edit#gid=1336395716"", ""Science!M:N""), 2, FALSE)"),"(LU006518.002); Default - Understand")</f>
        <v>(LU006518.002); Default - Understand</v>
      </c>
      <c r="M90" s="55" t="str">
        <f t="shared" si="2"/>
        <v>LU006518.003</v>
      </c>
      <c r="N90" s="55" t="str">
        <f ca="1">IFERROR(__xludf.DUMMYFUNCTION("VLOOKUP(M90, IMPORTRANGE(""https://docs.google.com/spreadsheets/d/1yDAaXNsi4Mr5FtRQL4tbmSdIzhx6_m4wkOD7IG-k_eo/edit#gid=1336395716"", ""Science!M:N""), 2, FALSE)"),"(LU006518.003); Default - Apply")</f>
        <v>(LU006518.003); Default - Apply</v>
      </c>
      <c r="O90" s="55" t="str">
        <f t="shared" si="3"/>
        <v>LU006518.004</v>
      </c>
      <c r="P90" s="55" t="str">
        <f ca="1">IFERROR(__xludf.DUMMYFUNCTION("VLOOKUP(O90, IMPORTRANGE(""https://docs.google.com/spreadsheets/d/1yDAaXNsi4Mr5FtRQL4tbmSdIzhx6_m4wkOD7IG-k_eo/edit#gid=1336395716"", ""Science!M:N""), 2, FALSE)"),"(LU006518.004); Default - Analyse")</f>
        <v>(LU006518.004); Default - Analyse</v>
      </c>
      <c r="Q90" s="55" t="str">
        <f t="shared" si="4"/>
        <v>LU006518.005</v>
      </c>
      <c r="R90" s="55" t="str">
        <f ca="1">IFERROR(__xludf.DUMMYFUNCTION("VLOOKUP(Q90, IMPORTRANGE(""https://docs.google.com/spreadsheets/d/1yDAaXNsi4Mr5FtRQL4tbmSdIzhx6_m4wkOD7IG-k_eo/edit#gid=1336395716"", ""Science!M:N""), 2, FALSE)"),"(LU006518.005); Default - Evaluate")</f>
        <v>(LU006518.005); Default - Evaluate</v>
      </c>
      <c r="S90" s="55" t="str">
        <f t="shared" si="5"/>
        <v>LU006518.006</v>
      </c>
      <c r="T90" s="55" t="str">
        <f ca="1">IFERROR(__xludf.DUMMYFUNCTION("VLOOKUP(S90, IMPORTRANGE(""https://docs.google.com/spreadsheets/d/1yDAaXNsi4Mr5FtRQL4tbmSdIzhx6_m4wkOD7IG-k_eo/edit#gid=1336395716"", ""Science!M:N""), 2, FALSE)"),"(LU006518.006); Default - Create")</f>
        <v>(LU006518.006); Default - Create</v>
      </c>
      <c r="U90" s="137" t="str">
        <f ca="1">IFERROR(__xludf.DUMMYFUNCTION("ArrayFormula(VLOOKUP(G90, IMPORTRANGE(""https://docs.google.com/spreadsheets/d/1p7R4vtkWt5VOBim4ltsDG9KTzSjrtKXsMtQGXPHyND0/edit#gid=795171502"", ""'Filter 30_05_2024'!A1:M2000""), {2, 3, 4, 5,6,7,8,9,10,11,12,13}, 0))"),"#N/A")</f>
        <v>#N/A</v>
      </c>
      <c r="V90" s="137" t="str">
        <f ca="1">IFERROR(__xludf.DUMMYFUNCTION("""COMPUTED_VALUE"""),"#N/A")</f>
        <v>#N/A</v>
      </c>
      <c r="W90" s="137" t="str">
        <f ca="1">IFERROR(__xludf.DUMMYFUNCTION("""COMPUTED_VALUE"""),"#N/A")</f>
        <v>#N/A</v>
      </c>
      <c r="X90" s="137" t="str">
        <f ca="1">IFERROR(__xludf.DUMMYFUNCTION("""COMPUTED_VALUE"""),"#N/A")</f>
        <v>#N/A</v>
      </c>
      <c r="Y90" s="137" t="str">
        <f ca="1">IFERROR(__xludf.DUMMYFUNCTION("""COMPUTED_VALUE"""),"#N/A")</f>
        <v>#N/A</v>
      </c>
      <c r="Z90" s="138" t="str">
        <f ca="1">IFERROR(__xludf.DUMMYFUNCTION("""COMPUTED_VALUE"""),"#N/A")</f>
        <v>#N/A</v>
      </c>
      <c r="AA90" s="138" t="str">
        <f ca="1">IFERROR(__xludf.DUMMYFUNCTION("""COMPUTED_VALUE"""),"#N/A")</f>
        <v>#N/A</v>
      </c>
      <c r="AB90" s="138" t="str">
        <f ca="1">IFERROR(__xludf.DUMMYFUNCTION("""COMPUTED_VALUE"""),"#N/A")</f>
        <v>#N/A</v>
      </c>
      <c r="AC90" s="138" t="str">
        <f ca="1">IFERROR(__xludf.DUMMYFUNCTION("""COMPUTED_VALUE"""),"#N/A")</f>
        <v>#N/A</v>
      </c>
      <c r="AD90" s="138" t="str">
        <f ca="1">IFERROR(__xludf.DUMMYFUNCTION("""COMPUTED_VALUE"""),"#N/A")</f>
        <v>#N/A</v>
      </c>
      <c r="AE90" s="138" t="str">
        <f ca="1">IFERROR(__xludf.DUMMYFUNCTION("""COMPUTED_VALUE"""),"#N/A")</f>
        <v>#N/A</v>
      </c>
      <c r="AF90" s="138" t="str">
        <f ca="1">IFERROR(__xludf.DUMMYFUNCTION("""COMPUTED_VALUE"""),"#N/A")</f>
        <v>#N/A</v>
      </c>
      <c r="AG90" s="138" t="str">
        <f ca="1">IFERROR(__xludf.DUMMYFUNCTION("ArrayFormula(VLOOKUP(G90, IMPORTRANGE(""https://docs.google.com/spreadsheets/d/1Co934fvtviyaRiMsrIlT05Jaq7iiYq07aLvRr35KA48/edit?gid=173865642#gid=173865642"", ""'G10_Sci_Pri_LU'!G2:V2000""), {3, 4, 5, 6, 7, 8, 9, 10, 11, 12, 13, 14, 15, 16}, 0))"),"LU005933")</f>
        <v>LU005933</v>
      </c>
      <c r="AH90" s="138" t="str">
        <f ca="1">IFERROR(__xludf.DUMMYFUNCTION("""COMPUTED_VALUE"""),"Identification of types of artificial magnets ")</f>
        <v xml:space="preserve">Identification of types of artificial magnets </v>
      </c>
      <c r="AI90" s="138" t="str">
        <f ca="1">IFERROR(__xludf.DUMMYFUNCTION("""COMPUTED_VALUE"""),"LU005934")</f>
        <v>LU005934</v>
      </c>
      <c r="AJ90" s="138" t="str">
        <f ca="1">IFERROR(__xludf.DUMMYFUNCTION("""COMPUTED_VALUE"""),"Identification of poles of different magnets")</f>
        <v>Identification of poles of different magnets</v>
      </c>
      <c r="AK90" s="138" t="str">
        <f ca="1">IFERROR(__xludf.DUMMYFUNCTION("""COMPUTED_VALUE"""),"LU005935")</f>
        <v>LU005935</v>
      </c>
      <c r="AL90" s="138" t="str">
        <f ca="1">IFERROR(__xludf.DUMMYFUNCTION("""COMPUTED_VALUE"""),"Distribution of magnetic strength in different magnets ")</f>
        <v xml:space="preserve">Distribution of magnetic strength in different magnets </v>
      </c>
      <c r="AM90" s="138"/>
      <c r="AN90" s="138"/>
      <c r="AO90" s="138"/>
      <c r="AP90" s="138"/>
      <c r="AQ90" s="138"/>
      <c r="AR90" s="138"/>
      <c r="AS90" s="138"/>
      <c r="AT90" s="138"/>
    </row>
    <row r="91" spans="1:46">
      <c r="A91" s="54" t="s">
        <v>247</v>
      </c>
      <c r="B91" s="55" t="s">
        <v>47</v>
      </c>
      <c r="C91" s="55" t="s">
        <v>1172</v>
      </c>
      <c r="D91" s="138" t="s">
        <v>1510</v>
      </c>
      <c r="E91" s="55" t="s">
        <v>2603</v>
      </c>
      <c r="F91" s="55" t="s">
        <v>2604</v>
      </c>
      <c r="G91" s="55" t="s">
        <v>2606</v>
      </c>
      <c r="H91" s="54" t="str">
        <f ca="1">IFERROR(__xludf.DUMMYFUNCTION("VLOOKUP(G91, IMPORTRANGE(""https://docs.google.com/spreadsheets/d/14deopnvwcrKtEGCKuYXdUHJbeLDZlkiSSWWT0g7x2pM/edit#gid=849066331"", ""LU List Science (Filter)!A:B""), 2, FALSE)"),"Magnetic field around a straight current carrying conductor")</f>
        <v>Magnetic field around a straight current carrying conductor</v>
      </c>
      <c r="I91" s="55" t="str">
        <f t="shared" si="0"/>
        <v>LU006519.001</v>
      </c>
      <c r="J91" s="55" t="str">
        <f ca="1">IFERROR(__xludf.DUMMYFUNCTION("VLOOKUP(I91, IMPORTRANGE(""https://docs.google.com/spreadsheets/d/1yDAaXNsi4Mr5FtRQL4tbmSdIzhx6_m4wkOD7IG-k_eo/edit#gid=1336395716"", ""Science!M:N""), 2, FALSE)"),"(LU006519.001); Default - Remember")</f>
        <v>(LU006519.001); Default - Remember</v>
      </c>
      <c r="K91" s="55" t="str">
        <f t="shared" si="1"/>
        <v>LU006519.002</v>
      </c>
      <c r="L91" s="55" t="str">
        <f ca="1">IFERROR(__xludf.DUMMYFUNCTION("VLOOKUP(K91, IMPORTRANGE(""https://docs.google.com/spreadsheets/d/1yDAaXNsi4Mr5FtRQL4tbmSdIzhx6_m4wkOD7IG-k_eo/edit#gid=1336395716"", ""Science!M:N""), 2, FALSE)"),"(LU006519.002); Default - Understand")</f>
        <v>(LU006519.002); Default - Understand</v>
      </c>
      <c r="M91" s="55" t="str">
        <f t="shared" si="2"/>
        <v>LU006519.003</v>
      </c>
      <c r="N91" s="55" t="str">
        <f ca="1">IFERROR(__xludf.DUMMYFUNCTION("VLOOKUP(M91, IMPORTRANGE(""https://docs.google.com/spreadsheets/d/1yDAaXNsi4Mr5FtRQL4tbmSdIzhx6_m4wkOD7IG-k_eo/edit#gid=1336395716"", ""Science!M:N""), 2, FALSE)"),"(LU006519.003); Default - Apply")</f>
        <v>(LU006519.003); Default - Apply</v>
      </c>
      <c r="O91" s="55" t="str">
        <f t="shared" si="3"/>
        <v>LU006519.004</v>
      </c>
      <c r="P91" s="55" t="str">
        <f ca="1">IFERROR(__xludf.DUMMYFUNCTION("VLOOKUP(O91, IMPORTRANGE(""https://docs.google.com/spreadsheets/d/1yDAaXNsi4Mr5FtRQL4tbmSdIzhx6_m4wkOD7IG-k_eo/edit#gid=1336395716"", ""Science!M:N""), 2, FALSE)"),"(LU006519.004); Default - Analyse")</f>
        <v>(LU006519.004); Default - Analyse</v>
      </c>
      <c r="Q91" s="55" t="str">
        <f t="shared" si="4"/>
        <v>LU006519.005</v>
      </c>
      <c r="R91" s="55" t="str">
        <f ca="1">IFERROR(__xludf.DUMMYFUNCTION("VLOOKUP(Q91, IMPORTRANGE(""https://docs.google.com/spreadsheets/d/1yDAaXNsi4Mr5FtRQL4tbmSdIzhx6_m4wkOD7IG-k_eo/edit#gid=1336395716"", ""Science!M:N""), 2, FALSE)"),"(LU006519.005); Default - Evaluate")</f>
        <v>(LU006519.005); Default - Evaluate</v>
      </c>
      <c r="S91" s="55" t="str">
        <f t="shared" si="5"/>
        <v>LU006519.006</v>
      </c>
      <c r="T91" s="55" t="str">
        <f ca="1">IFERROR(__xludf.DUMMYFUNCTION("VLOOKUP(S91, IMPORTRANGE(""https://docs.google.com/spreadsheets/d/1yDAaXNsi4Mr5FtRQL4tbmSdIzhx6_m4wkOD7IG-k_eo/edit#gid=1336395716"", ""Science!M:N""), 2, FALSE)"),"(LU006519.006); Default - Create")</f>
        <v>(LU006519.006); Default - Create</v>
      </c>
      <c r="U91" s="137" t="str">
        <f ca="1">IFERROR(__xludf.DUMMYFUNCTION("ArrayFormula(VLOOKUP(G91, IMPORTRANGE(""https://docs.google.com/spreadsheets/d/1p7R4vtkWt5VOBim4ltsDG9KTzSjrtKXsMtQGXPHyND0/edit#gid=795171502"", ""'Filter 30_05_2024'!A1:M2000""), {2, 3, 4, 5,6,7,8,9,10,11,12,13}, 0))"),"#N/A")</f>
        <v>#N/A</v>
      </c>
      <c r="V91" s="137" t="str">
        <f ca="1">IFERROR(__xludf.DUMMYFUNCTION("""COMPUTED_VALUE"""),"#N/A")</f>
        <v>#N/A</v>
      </c>
      <c r="W91" s="137" t="str">
        <f ca="1">IFERROR(__xludf.DUMMYFUNCTION("""COMPUTED_VALUE"""),"#N/A")</f>
        <v>#N/A</v>
      </c>
      <c r="X91" s="137" t="str">
        <f ca="1">IFERROR(__xludf.DUMMYFUNCTION("""COMPUTED_VALUE"""),"#N/A")</f>
        <v>#N/A</v>
      </c>
      <c r="Y91" s="137" t="str">
        <f ca="1">IFERROR(__xludf.DUMMYFUNCTION("""COMPUTED_VALUE"""),"#N/A")</f>
        <v>#N/A</v>
      </c>
      <c r="Z91" s="138" t="str">
        <f ca="1">IFERROR(__xludf.DUMMYFUNCTION("""COMPUTED_VALUE"""),"#N/A")</f>
        <v>#N/A</v>
      </c>
      <c r="AA91" s="138" t="str">
        <f ca="1">IFERROR(__xludf.DUMMYFUNCTION("""COMPUTED_VALUE"""),"#N/A")</f>
        <v>#N/A</v>
      </c>
      <c r="AB91" s="138" t="str">
        <f ca="1">IFERROR(__xludf.DUMMYFUNCTION("""COMPUTED_VALUE"""),"#N/A")</f>
        <v>#N/A</v>
      </c>
      <c r="AC91" s="138" t="str">
        <f ca="1">IFERROR(__xludf.DUMMYFUNCTION("""COMPUTED_VALUE"""),"#N/A")</f>
        <v>#N/A</v>
      </c>
      <c r="AD91" s="138" t="str">
        <f ca="1">IFERROR(__xludf.DUMMYFUNCTION("""COMPUTED_VALUE"""),"#N/A")</f>
        <v>#N/A</v>
      </c>
      <c r="AE91" s="138" t="str">
        <f ca="1">IFERROR(__xludf.DUMMYFUNCTION("""COMPUTED_VALUE"""),"#N/A")</f>
        <v>#N/A</v>
      </c>
      <c r="AF91" s="138" t="str">
        <f ca="1">IFERROR(__xludf.DUMMYFUNCTION("""COMPUTED_VALUE"""),"#N/A")</f>
        <v>#N/A</v>
      </c>
      <c r="AG91" s="138" t="str">
        <f ca="1">IFERROR(__xludf.DUMMYFUNCTION("ArrayFormula(VLOOKUP(G91, IMPORTRANGE(""https://docs.google.com/spreadsheets/d/1Co934fvtviyaRiMsrIlT05Jaq7iiYq07aLvRr35KA48/edit?gid=173865642#gid=173865642"", ""'G10_Sci_Pri_LU'!G2:V2000""), {3, 4, 5, 6, 7, 8, 9, 10, 11, 12, 13, 14, 15, 16}, 0))"),"LU005344")</f>
        <v>LU005344</v>
      </c>
      <c r="AH91" s="138" t="str">
        <f ca="1">IFERROR(__xludf.DUMMYFUNCTION("""COMPUTED_VALUE"""),"Basic concept of magnetic effect of electric current")</f>
        <v>Basic concept of magnetic effect of electric current</v>
      </c>
      <c r="AI91" s="138" t="str">
        <f ca="1">IFERROR(__xludf.DUMMYFUNCTION("""COMPUTED_VALUE"""),"LU006518")</f>
        <v>LU006518</v>
      </c>
      <c r="AJ91" s="138" t="str">
        <f ca="1">IFERROR(__xludf.DUMMYFUNCTION("""COMPUTED_VALUE"""),"Definition and properties of magnetic field lines")</f>
        <v>Definition and properties of magnetic field lines</v>
      </c>
      <c r="AK91" s="138"/>
      <c r="AL91" s="138"/>
      <c r="AM91" s="138"/>
      <c r="AN91" s="138"/>
      <c r="AO91" s="138"/>
      <c r="AP91" s="138"/>
      <c r="AQ91" s="138"/>
      <c r="AR91" s="138"/>
      <c r="AS91" s="138"/>
      <c r="AT91" s="138"/>
    </row>
    <row r="92" spans="1:46">
      <c r="A92" s="54" t="s">
        <v>247</v>
      </c>
      <c r="B92" s="55" t="s">
        <v>47</v>
      </c>
      <c r="C92" s="55" t="s">
        <v>1172</v>
      </c>
      <c r="D92" s="138" t="s">
        <v>1510</v>
      </c>
      <c r="E92" s="55" t="s">
        <v>2603</v>
      </c>
      <c r="F92" s="55" t="s">
        <v>2607</v>
      </c>
      <c r="G92" s="55" t="s">
        <v>2608</v>
      </c>
      <c r="H92" s="54" t="str">
        <f ca="1">IFERROR(__xludf.DUMMYFUNCTION("VLOOKUP(G92, IMPORTRANGE(""https://docs.google.com/spreadsheets/d/14deopnvwcrKtEGCKuYXdUHJbeLDZlkiSSWWT0g7x2pM/edit#gid=849066331"", ""LU List Science (Filter)!A:B""), 2, FALSE)"),"Right hand thumb rule and its application")</f>
        <v>Right hand thumb rule and its application</v>
      </c>
      <c r="I92" s="55" t="str">
        <f t="shared" si="0"/>
        <v>LU006520.001</v>
      </c>
      <c r="J92" s="55" t="str">
        <f ca="1">IFERROR(__xludf.DUMMYFUNCTION("VLOOKUP(I92, IMPORTRANGE(""https://docs.google.com/spreadsheets/d/1yDAaXNsi4Mr5FtRQL4tbmSdIzhx6_m4wkOD7IG-k_eo/edit#gid=1336395716"", ""Science!M:N""), 2, FALSE)"),"(LU006520.001); Default - Remember")</f>
        <v>(LU006520.001); Default - Remember</v>
      </c>
      <c r="K92" s="55" t="str">
        <f t="shared" si="1"/>
        <v>LU006520.002</v>
      </c>
      <c r="L92" s="55" t="str">
        <f ca="1">IFERROR(__xludf.DUMMYFUNCTION("VLOOKUP(K92, IMPORTRANGE(""https://docs.google.com/spreadsheets/d/1yDAaXNsi4Mr5FtRQL4tbmSdIzhx6_m4wkOD7IG-k_eo/edit#gid=1336395716"", ""Science!M:N""), 2, FALSE)"),"(LU006520.002); Default - Understand")</f>
        <v>(LU006520.002); Default - Understand</v>
      </c>
      <c r="M92" s="55" t="str">
        <f t="shared" si="2"/>
        <v>LU006520.003</v>
      </c>
      <c r="N92" s="55" t="str">
        <f ca="1">IFERROR(__xludf.DUMMYFUNCTION("VLOOKUP(M92, IMPORTRANGE(""https://docs.google.com/spreadsheets/d/1yDAaXNsi4Mr5FtRQL4tbmSdIzhx6_m4wkOD7IG-k_eo/edit#gid=1336395716"", ""Science!M:N""), 2, FALSE)"),"(LU006520.003); Default - Apply")</f>
        <v>(LU006520.003); Default - Apply</v>
      </c>
      <c r="O92" s="55" t="str">
        <f t="shared" si="3"/>
        <v>LU006520.004</v>
      </c>
      <c r="P92" s="55" t="str">
        <f ca="1">IFERROR(__xludf.DUMMYFUNCTION("VLOOKUP(O92, IMPORTRANGE(""https://docs.google.com/spreadsheets/d/1yDAaXNsi4Mr5FtRQL4tbmSdIzhx6_m4wkOD7IG-k_eo/edit#gid=1336395716"", ""Science!M:N""), 2, FALSE)"),"(LU006520.004); Default - Analyse")</f>
        <v>(LU006520.004); Default - Analyse</v>
      </c>
      <c r="Q92" s="55" t="str">
        <f t="shared" si="4"/>
        <v>LU006520.005</v>
      </c>
      <c r="R92" s="55" t="str">
        <f ca="1">IFERROR(__xludf.DUMMYFUNCTION("VLOOKUP(Q92, IMPORTRANGE(""https://docs.google.com/spreadsheets/d/1yDAaXNsi4Mr5FtRQL4tbmSdIzhx6_m4wkOD7IG-k_eo/edit#gid=1336395716"", ""Science!M:N""), 2, FALSE)"),"(LU006520.005); Default - Evaluate")</f>
        <v>(LU006520.005); Default - Evaluate</v>
      </c>
      <c r="S92" s="55" t="str">
        <f t="shared" si="5"/>
        <v>LU006520.006</v>
      </c>
      <c r="T92" s="55" t="str">
        <f ca="1">IFERROR(__xludf.DUMMYFUNCTION("VLOOKUP(S92, IMPORTRANGE(""https://docs.google.com/spreadsheets/d/1yDAaXNsi4Mr5FtRQL4tbmSdIzhx6_m4wkOD7IG-k_eo/edit#gid=1336395716"", ""Science!M:N""), 2, FALSE)"),"(LU006520.006); Default - Create")</f>
        <v>(LU006520.006); Default - Create</v>
      </c>
      <c r="U92" s="137" t="str">
        <f ca="1">IFERROR(__xludf.DUMMYFUNCTION("ArrayFormula(VLOOKUP(G92, IMPORTRANGE(""https://docs.google.com/spreadsheets/d/1p7R4vtkWt5VOBim4ltsDG9KTzSjrtKXsMtQGXPHyND0/edit#gid=795171502"", ""'Filter 30_05_2024'!A1:M2000""), {2, 3, 4, 5,6,7,8,9,10,11,12,13}, 0))"),"#N/A")</f>
        <v>#N/A</v>
      </c>
      <c r="V92" s="137" t="str">
        <f ca="1">IFERROR(__xludf.DUMMYFUNCTION("""COMPUTED_VALUE"""),"#N/A")</f>
        <v>#N/A</v>
      </c>
      <c r="W92" s="137" t="str">
        <f ca="1">IFERROR(__xludf.DUMMYFUNCTION("""COMPUTED_VALUE"""),"#N/A")</f>
        <v>#N/A</v>
      </c>
      <c r="X92" s="137" t="str">
        <f ca="1">IFERROR(__xludf.DUMMYFUNCTION("""COMPUTED_VALUE"""),"#N/A")</f>
        <v>#N/A</v>
      </c>
      <c r="Y92" s="137" t="str">
        <f ca="1">IFERROR(__xludf.DUMMYFUNCTION("""COMPUTED_VALUE"""),"#N/A")</f>
        <v>#N/A</v>
      </c>
      <c r="Z92" s="138" t="str">
        <f ca="1">IFERROR(__xludf.DUMMYFUNCTION("""COMPUTED_VALUE"""),"#N/A")</f>
        <v>#N/A</v>
      </c>
      <c r="AA92" s="138" t="str">
        <f ca="1">IFERROR(__xludf.DUMMYFUNCTION("""COMPUTED_VALUE"""),"#N/A")</f>
        <v>#N/A</v>
      </c>
      <c r="AB92" s="138" t="str">
        <f ca="1">IFERROR(__xludf.DUMMYFUNCTION("""COMPUTED_VALUE"""),"#N/A")</f>
        <v>#N/A</v>
      </c>
      <c r="AC92" s="138" t="str">
        <f ca="1">IFERROR(__xludf.DUMMYFUNCTION("""COMPUTED_VALUE"""),"#N/A")</f>
        <v>#N/A</v>
      </c>
      <c r="AD92" s="138" t="str">
        <f ca="1">IFERROR(__xludf.DUMMYFUNCTION("""COMPUTED_VALUE"""),"#N/A")</f>
        <v>#N/A</v>
      </c>
      <c r="AE92" s="138" t="str">
        <f ca="1">IFERROR(__xludf.DUMMYFUNCTION("""COMPUTED_VALUE"""),"#N/A")</f>
        <v>#N/A</v>
      </c>
      <c r="AF92" s="138" t="str">
        <f ca="1">IFERROR(__xludf.DUMMYFUNCTION("""COMPUTED_VALUE"""),"#N/A")</f>
        <v>#N/A</v>
      </c>
      <c r="AG92" s="138" t="str">
        <f ca="1">IFERROR(__xludf.DUMMYFUNCTION("ArrayFormula(VLOOKUP(G92, IMPORTRANGE(""https://docs.google.com/spreadsheets/d/1Co934fvtviyaRiMsrIlT05Jaq7iiYq07aLvRr35KA48/edit?gid=173865642#gid=173865642"", ""'G10_Sci_Pri_LU'!G2:V2000""), {3, 4, 5, 6, 7, 8, 9, 10, 11, 12, 13, 14, 15, 16}, 0))"),"LU006519")</f>
        <v>LU006519</v>
      </c>
      <c r="AH92" s="138" t="str">
        <f ca="1">IFERROR(__xludf.DUMMYFUNCTION("""COMPUTED_VALUE"""),"Magnetic field around a straight current carrying conductor")</f>
        <v>Magnetic field around a straight current carrying conductor</v>
      </c>
      <c r="AI92" s="138"/>
      <c r="AJ92" s="138"/>
      <c r="AK92" s="138"/>
      <c r="AL92" s="138"/>
      <c r="AM92" s="138"/>
      <c r="AN92" s="138"/>
      <c r="AO92" s="138"/>
      <c r="AP92" s="138"/>
      <c r="AQ92" s="138"/>
      <c r="AR92" s="138"/>
      <c r="AS92" s="138"/>
      <c r="AT92" s="138"/>
    </row>
    <row r="93" spans="1:46">
      <c r="A93" s="54" t="s">
        <v>247</v>
      </c>
      <c r="B93" s="55" t="s">
        <v>47</v>
      </c>
      <c r="C93" s="55" t="s">
        <v>1172</v>
      </c>
      <c r="D93" s="138" t="s">
        <v>1510</v>
      </c>
      <c r="E93" s="55" t="s">
        <v>2603</v>
      </c>
      <c r="F93" s="55" t="s">
        <v>2607</v>
      </c>
      <c r="G93" s="55" t="s">
        <v>2609</v>
      </c>
      <c r="H93" s="54" t="str">
        <f ca="1">IFERROR(__xludf.DUMMYFUNCTION("VLOOKUP(G93, IMPORTRANGE(""https://docs.google.com/spreadsheets/d/14deopnvwcrKtEGCKuYXdUHJbeLDZlkiSSWWT0g7x2pM/edit#gid=849066331"", ""LU List Science (Filter)!A:B""), 2, FALSE)"),"Magnetic field due to a current-carrying circular loop")</f>
        <v>Magnetic field due to a current-carrying circular loop</v>
      </c>
      <c r="I93" s="55" t="str">
        <f t="shared" si="0"/>
        <v>LU006521.001</v>
      </c>
      <c r="J93" s="55" t="str">
        <f ca="1">IFERROR(__xludf.DUMMYFUNCTION("VLOOKUP(I93, IMPORTRANGE(""https://docs.google.com/spreadsheets/d/1yDAaXNsi4Mr5FtRQL4tbmSdIzhx6_m4wkOD7IG-k_eo/edit#gid=1336395716"", ""Science!M:N""), 2, FALSE)"),"(LU006521.001); Default - Remember")</f>
        <v>(LU006521.001); Default - Remember</v>
      </c>
      <c r="K93" s="55" t="str">
        <f t="shared" si="1"/>
        <v>LU006521.002</v>
      </c>
      <c r="L93" s="55" t="str">
        <f ca="1">IFERROR(__xludf.DUMMYFUNCTION("VLOOKUP(K93, IMPORTRANGE(""https://docs.google.com/spreadsheets/d/1yDAaXNsi4Mr5FtRQL4tbmSdIzhx6_m4wkOD7IG-k_eo/edit#gid=1336395716"", ""Science!M:N""), 2, FALSE)"),"(LU006521.002); Default - Understand")</f>
        <v>(LU006521.002); Default - Understand</v>
      </c>
      <c r="M93" s="55" t="str">
        <f t="shared" si="2"/>
        <v>LU006521.003</v>
      </c>
      <c r="N93" s="55" t="str">
        <f ca="1">IFERROR(__xludf.DUMMYFUNCTION("VLOOKUP(M93, IMPORTRANGE(""https://docs.google.com/spreadsheets/d/1yDAaXNsi4Mr5FtRQL4tbmSdIzhx6_m4wkOD7IG-k_eo/edit#gid=1336395716"", ""Science!M:N""), 2, FALSE)"),"(LU006521.003); Default - Apply")</f>
        <v>(LU006521.003); Default - Apply</v>
      </c>
      <c r="O93" s="55" t="str">
        <f t="shared" si="3"/>
        <v>LU006521.004</v>
      </c>
      <c r="P93" s="55" t="str">
        <f ca="1">IFERROR(__xludf.DUMMYFUNCTION("VLOOKUP(O93, IMPORTRANGE(""https://docs.google.com/spreadsheets/d/1yDAaXNsi4Mr5FtRQL4tbmSdIzhx6_m4wkOD7IG-k_eo/edit#gid=1336395716"", ""Science!M:N""), 2, FALSE)"),"(LU006521.004); Default - Analyse")</f>
        <v>(LU006521.004); Default - Analyse</v>
      </c>
      <c r="Q93" s="55" t="str">
        <f t="shared" si="4"/>
        <v>LU006521.005</v>
      </c>
      <c r="R93" s="55" t="str">
        <f ca="1">IFERROR(__xludf.DUMMYFUNCTION("VLOOKUP(Q93, IMPORTRANGE(""https://docs.google.com/spreadsheets/d/1yDAaXNsi4Mr5FtRQL4tbmSdIzhx6_m4wkOD7IG-k_eo/edit#gid=1336395716"", ""Science!M:N""), 2, FALSE)"),"(LU006521.005); Default - Evaluate")</f>
        <v>(LU006521.005); Default - Evaluate</v>
      </c>
      <c r="S93" s="55" t="str">
        <f t="shared" si="5"/>
        <v>LU006521.006</v>
      </c>
      <c r="T93" s="55" t="str">
        <f ca="1">IFERROR(__xludf.DUMMYFUNCTION("VLOOKUP(S93, IMPORTRANGE(""https://docs.google.com/spreadsheets/d/1yDAaXNsi4Mr5FtRQL4tbmSdIzhx6_m4wkOD7IG-k_eo/edit#gid=1336395716"", ""Science!M:N""), 2, FALSE)"),"(LU006521.006); Default - Create")</f>
        <v>(LU006521.006); Default - Create</v>
      </c>
      <c r="U93" s="137" t="str">
        <f ca="1">IFERROR(__xludf.DUMMYFUNCTION("ArrayFormula(VLOOKUP(G93, IMPORTRANGE(""https://docs.google.com/spreadsheets/d/1p7R4vtkWt5VOBim4ltsDG9KTzSjrtKXsMtQGXPHyND0/edit#gid=795171502"", ""'Filter 30_05_2024'!A1:M2000""), {2, 3, 4, 5,6,7,8,9,10,11,12,13}, 0))"),"#N/A")</f>
        <v>#N/A</v>
      </c>
      <c r="V93" s="137" t="str">
        <f ca="1">IFERROR(__xludf.DUMMYFUNCTION("""COMPUTED_VALUE"""),"#N/A")</f>
        <v>#N/A</v>
      </c>
      <c r="W93" s="137" t="str">
        <f ca="1">IFERROR(__xludf.DUMMYFUNCTION("""COMPUTED_VALUE"""),"#N/A")</f>
        <v>#N/A</v>
      </c>
      <c r="X93" s="137" t="str">
        <f ca="1">IFERROR(__xludf.DUMMYFUNCTION("""COMPUTED_VALUE"""),"#N/A")</f>
        <v>#N/A</v>
      </c>
      <c r="Y93" s="137" t="str">
        <f ca="1">IFERROR(__xludf.DUMMYFUNCTION("""COMPUTED_VALUE"""),"#N/A")</f>
        <v>#N/A</v>
      </c>
      <c r="Z93" s="138" t="str">
        <f ca="1">IFERROR(__xludf.DUMMYFUNCTION("""COMPUTED_VALUE"""),"#N/A")</f>
        <v>#N/A</v>
      </c>
      <c r="AA93" s="138" t="str">
        <f ca="1">IFERROR(__xludf.DUMMYFUNCTION("""COMPUTED_VALUE"""),"#N/A")</f>
        <v>#N/A</v>
      </c>
      <c r="AB93" s="138" t="str">
        <f ca="1">IFERROR(__xludf.DUMMYFUNCTION("""COMPUTED_VALUE"""),"#N/A")</f>
        <v>#N/A</v>
      </c>
      <c r="AC93" s="138" t="str">
        <f ca="1">IFERROR(__xludf.DUMMYFUNCTION("""COMPUTED_VALUE"""),"#N/A")</f>
        <v>#N/A</v>
      </c>
      <c r="AD93" s="138" t="str">
        <f ca="1">IFERROR(__xludf.DUMMYFUNCTION("""COMPUTED_VALUE"""),"#N/A")</f>
        <v>#N/A</v>
      </c>
      <c r="AE93" s="138" t="str">
        <f ca="1">IFERROR(__xludf.DUMMYFUNCTION("""COMPUTED_VALUE"""),"#N/A")</f>
        <v>#N/A</v>
      </c>
      <c r="AF93" s="138" t="str">
        <f ca="1">IFERROR(__xludf.DUMMYFUNCTION("""COMPUTED_VALUE"""),"#N/A")</f>
        <v>#N/A</v>
      </c>
      <c r="AG93" s="138" t="str">
        <f ca="1">IFERROR(__xludf.DUMMYFUNCTION("ArrayFormula(VLOOKUP(G93, IMPORTRANGE(""https://docs.google.com/spreadsheets/d/1Co934fvtviyaRiMsrIlT05Jaq7iiYq07aLvRr35KA48/edit?gid=173865642#gid=173865642"", ""'G10_Sci_Pri_LU'!G2:V2000""), {3, 4, 5, 6, 7, 8, 9, 10, 11, 12, 13, 14, 15, 16}, 0))"),"LU006519")</f>
        <v>LU006519</v>
      </c>
      <c r="AH93" s="138" t="str">
        <f ca="1">IFERROR(__xludf.DUMMYFUNCTION("""COMPUTED_VALUE"""),"Magnetic field around a straight current carrying conductor")</f>
        <v>Magnetic field around a straight current carrying conductor</v>
      </c>
      <c r="AI93" s="138" t="str">
        <f ca="1">IFERROR(__xludf.DUMMYFUNCTION("""COMPUTED_VALUE"""),"LU006518")</f>
        <v>LU006518</v>
      </c>
      <c r="AJ93" s="138" t="str">
        <f ca="1">IFERROR(__xludf.DUMMYFUNCTION("""COMPUTED_VALUE"""),"Definition and properties of magnetic field lines")</f>
        <v>Definition and properties of magnetic field lines</v>
      </c>
      <c r="AK93" s="138" t="str">
        <f ca="1">IFERROR(__xludf.DUMMYFUNCTION("""COMPUTED_VALUE"""),"LU006520")</f>
        <v>LU006520</v>
      </c>
      <c r="AL93" s="138" t="str">
        <f ca="1">IFERROR(__xludf.DUMMYFUNCTION("""COMPUTED_VALUE"""),"Right hand thumb rule and its application")</f>
        <v>Right hand thumb rule and its application</v>
      </c>
      <c r="AM93" s="138"/>
      <c r="AN93" s="138"/>
      <c r="AO93" s="138"/>
      <c r="AP93" s="138"/>
      <c r="AQ93" s="138"/>
      <c r="AR93" s="138"/>
      <c r="AS93" s="138"/>
      <c r="AT93" s="138"/>
    </row>
    <row r="94" spans="1:46">
      <c r="A94" s="54" t="s">
        <v>247</v>
      </c>
      <c r="B94" s="55" t="s">
        <v>47</v>
      </c>
      <c r="C94" s="55" t="s">
        <v>1172</v>
      </c>
      <c r="D94" s="138" t="s">
        <v>1510</v>
      </c>
      <c r="E94" s="55" t="s">
        <v>2603</v>
      </c>
      <c r="F94" s="55" t="s">
        <v>2607</v>
      </c>
      <c r="G94" s="55" t="s">
        <v>2610</v>
      </c>
      <c r="H94" s="54" t="str">
        <f ca="1">IFERROR(__xludf.DUMMYFUNCTION("VLOOKUP(G94, IMPORTRANGE(""https://docs.google.com/spreadsheets/d/14deopnvwcrKtEGCKuYXdUHJbeLDZlkiSSWWT0g7x2pM/edit#gid=849066331"", ""LU List Science (Filter)!A:B""), 2, FALSE)"),"Magnetic field due to a current-carrying solenoid")</f>
        <v>Magnetic field due to a current-carrying solenoid</v>
      </c>
      <c r="I94" s="55" t="str">
        <f t="shared" si="0"/>
        <v>LU006522.001</v>
      </c>
      <c r="J94" s="55" t="str">
        <f ca="1">IFERROR(__xludf.DUMMYFUNCTION("VLOOKUP(I94, IMPORTRANGE(""https://docs.google.com/spreadsheets/d/1yDAaXNsi4Mr5FtRQL4tbmSdIzhx6_m4wkOD7IG-k_eo/edit#gid=1336395716"", ""Science!M:N""), 2, FALSE)"),"(LU006522.001); Default - Remember")</f>
        <v>(LU006522.001); Default - Remember</v>
      </c>
      <c r="K94" s="55" t="str">
        <f t="shared" si="1"/>
        <v>LU006522.002</v>
      </c>
      <c r="L94" s="55" t="str">
        <f ca="1">IFERROR(__xludf.DUMMYFUNCTION("VLOOKUP(K94, IMPORTRANGE(""https://docs.google.com/spreadsheets/d/1yDAaXNsi4Mr5FtRQL4tbmSdIzhx6_m4wkOD7IG-k_eo/edit#gid=1336395716"", ""Science!M:N""), 2, FALSE)"),"(LU006522.002); Default - Understand")</f>
        <v>(LU006522.002); Default - Understand</v>
      </c>
      <c r="M94" s="55" t="str">
        <f t="shared" si="2"/>
        <v>LU006522.003</v>
      </c>
      <c r="N94" s="55" t="str">
        <f ca="1">IFERROR(__xludf.DUMMYFUNCTION("VLOOKUP(M94, IMPORTRANGE(""https://docs.google.com/spreadsheets/d/1yDAaXNsi4Mr5FtRQL4tbmSdIzhx6_m4wkOD7IG-k_eo/edit#gid=1336395716"", ""Science!M:N""), 2, FALSE)"),"(LU006522.003); Default - Apply")</f>
        <v>(LU006522.003); Default - Apply</v>
      </c>
      <c r="O94" s="55" t="str">
        <f t="shared" si="3"/>
        <v>LU006522.004</v>
      </c>
      <c r="P94" s="55" t="str">
        <f ca="1">IFERROR(__xludf.DUMMYFUNCTION("VLOOKUP(O94, IMPORTRANGE(""https://docs.google.com/spreadsheets/d/1yDAaXNsi4Mr5FtRQL4tbmSdIzhx6_m4wkOD7IG-k_eo/edit#gid=1336395716"", ""Science!M:N""), 2, FALSE)"),"(LU006522.004); Default - Analyse")</f>
        <v>(LU006522.004); Default - Analyse</v>
      </c>
      <c r="Q94" s="55" t="str">
        <f t="shared" si="4"/>
        <v>LU006522.005</v>
      </c>
      <c r="R94" s="55" t="str">
        <f ca="1">IFERROR(__xludf.DUMMYFUNCTION("VLOOKUP(Q94, IMPORTRANGE(""https://docs.google.com/spreadsheets/d/1yDAaXNsi4Mr5FtRQL4tbmSdIzhx6_m4wkOD7IG-k_eo/edit#gid=1336395716"", ""Science!M:N""), 2, FALSE)"),"(LU006522.005); Default - Evaluate")</f>
        <v>(LU006522.005); Default - Evaluate</v>
      </c>
      <c r="S94" s="55" t="str">
        <f t="shared" si="5"/>
        <v>LU006522.006</v>
      </c>
      <c r="T94" s="55" t="str">
        <f ca="1">IFERROR(__xludf.DUMMYFUNCTION("VLOOKUP(S94, IMPORTRANGE(""https://docs.google.com/spreadsheets/d/1yDAaXNsi4Mr5FtRQL4tbmSdIzhx6_m4wkOD7IG-k_eo/edit#gid=1336395716"", ""Science!M:N""), 2, FALSE)"),"(LU006522.006); Default - Create")</f>
        <v>(LU006522.006); Default - Create</v>
      </c>
      <c r="U94" s="137" t="str">
        <f ca="1">IFERROR(__xludf.DUMMYFUNCTION("ArrayFormula(VLOOKUP(G94, IMPORTRANGE(""https://docs.google.com/spreadsheets/d/1p7R4vtkWt5VOBim4ltsDG9KTzSjrtKXsMtQGXPHyND0/edit#gid=795171502"", ""'Filter 30_05_2024'!A1:M2000""), {2, 3, 4, 5,6,7,8,9,10,11,12,13}, 0))"),"#N/A")</f>
        <v>#N/A</v>
      </c>
      <c r="V94" s="137" t="str">
        <f ca="1">IFERROR(__xludf.DUMMYFUNCTION("""COMPUTED_VALUE"""),"#N/A")</f>
        <v>#N/A</v>
      </c>
      <c r="W94" s="137" t="str">
        <f ca="1">IFERROR(__xludf.DUMMYFUNCTION("""COMPUTED_VALUE"""),"#N/A")</f>
        <v>#N/A</v>
      </c>
      <c r="X94" s="137" t="str">
        <f ca="1">IFERROR(__xludf.DUMMYFUNCTION("""COMPUTED_VALUE"""),"#N/A")</f>
        <v>#N/A</v>
      </c>
      <c r="Y94" s="137" t="str">
        <f ca="1">IFERROR(__xludf.DUMMYFUNCTION("""COMPUTED_VALUE"""),"#N/A")</f>
        <v>#N/A</v>
      </c>
      <c r="Z94" s="138" t="str">
        <f ca="1">IFERROR(__xludf.DUMMYFUNCTION("""COMPUTED_VALUE"""),"#N/A")</f>
        <v>#N/A</v>
      </c>
      <c r="AA94" s="138" t="str">
        <f ca="1">IFERROR(__xludf.DUMMYFUNCTION("""COMPUTED_VALUE"""),"#N/A")</f>
        <v>#N/A</v>
      </c>
      <c r="AB94" s="138" t="str">
        <f ca="1">IFERROR(__xludf.DUMMYFUNCTION("""COMPUTED_VALUE"""),"#N/A")</f>
        <v>#N/A</v>
      </c>
      <c r="AC94" s="138" t="str">
        <f ca="1">IFERROR(__xludf.DUMMYFUNCTION("""COMPUTED_VALUE"""),"#N/A")</f>
        <v>#N/A</v>
      </c>
      <c r="AD94" s="138" t="str">
        <f ca="1">IFERROR(__xludf.DUMMYFUNCTION("""COMPUTED_VALUE"""),"#N/A")</f>
        <v>#N/A</v>
      </c>
      <c r="AE94" s="138" t="str">
        <f ca="1">IFERROR(__xludf.DUMMYFUNCTION("""COMPUTED_VALUE"""),"#N/A")</f>
        <v>#N/A</v>
      </c>
      <c r="AF94" s="138" t="str">
        <f ca="1">IFERROR(__xludf.DUMMYFUNCTION("""COMPUTED_VALUE"""),"#N/A")</f>
        <v>#N/A</v>
      </c>
      <c r="AG94" s="138" t="str">
        <f ca="1">IFERROR(__xludf.DUMMYFUNCTION("ArrayFormula(VLOOKUP(G94, IMPORTRANGE(""https://docs.google.com/spreadsheets/d/1Co934fvtviyaRiMsrIlT05Jaq7iiYq07aLvRr35KA48/edit?gid=173865642#gid=173865642"", ""'G10_Sci_Pri_LU'!G2:V2000""), {3, 4, 5, 6, 7, 8, 9, 10, 11, 12, 13, 14, 15, 16}, 0))"),"LU006521")</f>
        <v>LU006521</v>
      </c>
      <c r="AH94" s="138" t="str">
        <f ca="1">IFERROR(__xludf.DUMMYFUNCTION("""COMPUTED_VALUE"""),"Magnetic field due to a current-carrying circular loop")</f>
        <v>Magnetic field due to a current-carrying circular loop</v>
      </c>
      <c r="AI94" s="138" t="str">
        <f ca="1">IFERROR(__xludf.DUMMYFUNCTION("""COMPUTED_VALUE"""),"LU005347")</f>
        <v>LU005347</v>
      </c>
      <c r="AJ94" s="138" t="str">
        <f ca="1">IFERROR(__xludf.DUMMYFUNCTION("""COMPUTED_VALUE"""),"Making an electromagnet")</f>
        <v>Making an electromagnet</v>
      </c>
      <c r="AK94" s="138"/>
      <c r="AL94" s="138"/>
      <c r="AM94" s="138"/>
      <c r="AN94" s="138"/>
      <c r="AO94" s="138"/>
      <c r="AP94" s="138"/>
      <c r="AQ94" s="138"/>
      <c r="AR94" s="138"/>
      <c r="AS94" s="138"/>
      <c r="AT94" s="138"/>
    </row>
    <row r="95" spans="1:46">
      <c r="A95" s="54" t="s">
        <v>247</v>
      </c>
      <c r="B95" s="55" t="s">
        <v>47</v>
      </c>
      <c r="C95" s="55" t="s">
        <v>1172</v>
      </c>
      <c r="D95" s="138" t="s">
        <v>1510</v>
      </c>
      <c r="E95" s="55" t="s">
        <v>2603</v>
      </c>
      <c r="F95" s="55" t="s">
        <v>2611</v>
      </c>
      <c r="G95" s="55" t="s">
        <v>2612</v>
      </c>
      <c r="H95" s="54" t="str">
        <f ca="1">IFERROR(__xludf.DUMMYFUNCTION("VLOOKUP(G95, IMPORTRANGE(""https://docs.google.com/spreadsheets/d/14deopnvwcrKtEGCKuYXdUHJbeLDZlkiSSWWT0g7x2pM/edit#gid=849066331"", ""LU List Science (Filter)!A:B""), 2, FALSE)"),"Force due to magnetic field and Fleming’s left-hand rule")</f>
        <v>Force due to magnetic field and Fleming’s left-hand rule</v>
      </c>
      <c r="I95" s="55" t="str">
        <f t="shared" si="0"/>
        <v>LU006523.001</v>
      </c>
      <c r="J95" s="55" t="str">
        <f ca="1">IFERROR(__xludf.DUMMYFUNCTION("VLOOKUP(I95, IMPORTRANGE(""https://docs.google.com/spreadsheets/d/1yDAaXNsi4Mr5FtRQL4tbmSdIzhx6_m4wkOD7IG-k_eo/edit#gid=1336395716"", ""Science!M:N""), 2, FALSE)"),"(LU006523.001); Default - Remember")</f>
        <v>(LU006523.001); Default - Remember</v>
      </c>
      <c r="K95" s="55" t="str">
        <f t="shared" si="1"/>
        <v>LU006523.002</v>
      </c>
      <c r="L95" s="55" t="str">
        <f ca="1">IFERROR(__xludf.DUMMYFUNCTION("VLOOKUP(K95, IMPORTRANGE(""https://docs.google.com/spreadsheets/d/1yDAaXNsi4Mr5FtRQL4tbmSdIzhx6_m4wkOD7IG-k_eo/edit#gid=1336395716"", ""Science!M:N""), 2, FALSE)"),"(LU006523.002); Default - Understand")</f>
        <v>(LU006523.002); Default - Understand</v>
      </c>
      <c r="M95" s="55" t="str">
        <f t="shared" si="2"/>
        <v>LU006523.003</v>
      </c>
      <c r="N95" s="55" t="str">
        <f ca="1">IFERROR(__xludf.DUMMYFUNCTION("VLOOKUP(M95, IMPORTRANGE(""https://docs.google.com/spreadsheets/d/1yDAaXNsi4Mr5FtRQL4tbmSdIzhx6_m4wkOD7IG-k_eo/edit#gid=1336395716"", ""Science!M:N""), 2, FALSE)"),"(LU006523.003); Default - Apply")</f>
        <v>(LU006523.003); Default - Apply</v>
      </c>
      <c r="O95" s="55" t="str">
        <f t="shared" si="3"/>
        <v>LU006523.004</v>
      </c>
      <c r="P95" s="55" t="str">
        <f ca="1">IFERROR(__xludf.DUMMYFUNCTION("VLOOKUP(O95, IMPORTRANGE(""https://docs.google.com/spreadsheets/d/1yDAaXNsi4Mr5FtRQL4tbmSdIzhx6_m4wkOD7IG-k_eo/edit#gid=1336395716"", ""Science!M:N""), 2, FALSE)"),"(LU006523.004); Default - Analyse")</f>
        <v>(LU006523.004); Default - Analyse</v>
      </c>
      <c r="Q95" s="55" t="str">
        <f t="shared" si="4"/>
        <v>LU006523.005</v>
      </c>
      <c r="R95" s="55" t="str">
        <f ca="1">IFERROR(__xludf.DUMMYFUNCTION("VLOOKUP(Q95, IMPORTRANGE(""https://docs.google.com/spreadsheets/d/1yDAaXNsi4Mr5FtRQL4tbmSdIzhx6_m4wkOD7IG-k_eo/edit#gid=1336395716"", ""Science!M:N""), 2, FALSE)"),"(LU006523.005); Default - Evaluate")</f>
        <v>(LU006523.005); Default - Evaluate</v>
      </c>
      <c r="S95" s="55" t="str">
        <f t="shared" si="5"/>
        <v>LU006523.006</v>
      </c>
      <c r="T95" s="55" t="str">
        <f ca="1">IFERROR(__xludf.DUMMYFUNCTION("VLOOKUP(S95, IMPORTRANGE(""https://docs.google.com/spreadsheets/d/1yDAaXNsi4Mr5FtRQL4tbmSdIzhx6_m4wkOD7IG-k_eo/edit#gid=1336395716"", ""Science!M:N""), 2, FALSE)"),"(LU006523.006); Default - Create")</f>
        <v>(LU006523.006); Default - Create</v>
      </c>
      <c r="U95" s="137" t="str">
        <f ca="1">IFERROR(__xludf.DUMMYFUNCTION("ArrayFormula(VLOOKUP(G95, IMPORTRANGE(""https://docs.google.com/spreadsheets/d/1p7R4vtkWt5VOBim4ltsDG9KTzSjrtKXsMtQGXPHyND0/edit#gid=795171502"", ""'Filter 30_05_2024'!A1:M2000""), {2, 3, 4, 5,6,7,8,9,10,11,12,13}, 0))"),"#N/A")</f>
        <v>#N/A</v>
      </c>
      <c r="V95" s="137" t="str">
        <f ca="1">IFERROR(__xludf.DUMMYFUNCTION("""COMPUTED_VALUE"""),"#N/A")</f>
        <v>#N/A</v>
      </c>
      <c r="W95" s="137" t="str">
        <f ca="1">IFERROR(__xludf.DUMMYFUNCTION("""COMPUTED_VALUE"""),"#N/A")</f>
        <v>#N/A</v>
      </c>
      <c r="X95" s="137" t="str">
        <f ca="1">IFERROR(__xludf.DUMMYFUNCTION("""COMPUTED_VALUE"""),"#N/A")</f>
        <v>#N/A</v>
      </c>
      <c r="Y95" s="137" t="str">
        <f ca="1">IFERROR(__xludf.DUMMYFUNCTION("""COMPUTED_VALUE"""),"#N/A")</f>
        <v>#N/A</v>
      </c>
      <c r="Z95" s="138" t="str">
        <f ca="1">IFERROR(__xludf.DUMMYFUNCTION("""COMPUTED_VALUE"""),"#N/A")</f>
        <v>#N/A</v>
      </c>
      <c r="AA95" s="138" t="str">
        <f ca="1">IFERROR(__xludf.DUMMYFUNCTION("""COMPUTED_VALUE"""),"#N/A")</f>
        <v>#N/A</v>
      </c>
      <c r="AB95" s="138" t="str">
        <f ca="1">IFERROR(__xludf.DUMMYFUNCTION("""COMPUTED_VALUE"""),"#N/A")</f>
        <v>#N/A</v>
      </c>
      <c r="AC95" s="138" t="str">
        <f ca="1">IFERROR(__xludf.DUMMYFUNCTION("""COMPUTED_VALUE"""),"#N/A")</f>
        <v>#N/A</v>
      </c>
      <c r="AD95" s="138" t="str">
        <f ca="1">IFERROR(__xludf.DUMMYFUNCTION("""COMPUTED_VALUE"""),"#N/A")</f>
        <v>#N/A</v>
      </c>
      <c r="AE95" s="138" t="str">
        <f ca="1">IFERROR(__xludf.DUMMYFUNCTION("""COMPUTED_VALUE"""),"#N/A")</f>
        <v>#N/A</v>
      </c>
      <c r="AF95" s="138" t="str">
        <f ca="1">IFERROR(__xludf.DUMMYFUNCTION("""COMPUTED_VALUE"""),"#N/A")</f>
        <v>#N/A</v>
      </c>
      <c r="AG95" s="138" t="str">
        <f ca="1">IFERROR(__xludf.DUMMYFUNCTION("ArrayFormula(VLOOKUP(G95, IMPORTRANGE(""https://docs.google.com/spreadsheets/d/1Co934fvtviyaRiMsrIlT05Jaq7iiYq07aLvRr35KA48/edit?gid=173865642#gid=173865642"", ""'G10_Sci_Pri_LU'!G2:V2000""), {3, 4, 5, 6, 7, 8, 9, 10, 11, 12, 13, 14, 15, 16}, 0))"),"LU006519")</f>
        <v>LU006519</v>
      </c>
      <c r="AH95" s="138" t="str">
        <f ca="1">IFERROR(__xludf.DUMMYFUNCTION("""COMPUTED_VALUE"""),"Magnetic field around a straight current carrying conductor")</f>
        <v>Magnetic field around a straight current carrying conductor</v>
      </c>
      <c r="AI95" s="138" t="str">
        <f ca="1">IFERROR(__xludf.DUMMYFUNCTION("""COMPUTED_VALUE"""),"LU005159")</f>
        <v>LU005159</v>
      </c>
      <c r="AJ95" s="138" t="str">
        <f ca="1">IFERROR(__xludf.DUMMYFUNCTION("""COMPUTED_VALUE"""),"Interaction between magnets")</f>
        <v>Interaction between magnets</v>
      </c>
      <c r="AK95" s="138"/>
      <c r="AL95" s="138"/>
      <c r="AM95" s="138"/>
      <c r="AN95" s="138"/>
      <c r="AO95" s="138"/>
      <c r="AP95" s="138"/>
      <c r="AQ95" s="138"/>
      <c r="AR95" s="138"/>
      <c r="AS95" s="138"/>
      <c r="AT95" s="138"/>
    </row>
    <row r="96" spans="1:46">
      <c r="A96" s="54" t="s">
        <v>247</v>
      </c>
      <c r="B96" s="55" t="s">
        <v>47</v>
      </c>
      <c r="C96" s="55" t="s">
        <v>1172</v>
      </c>
      <c r="D96" s="138" t="s">
        <v>1510</v>
      </c>
      <c r="E96" s="55" t="s">
        <v>2603</v>
      </c>
      <c r="F96" s="55" t="s">
        <v>2613</v>
      </c>
      <c r="G96" s="55" t="s">
        <v>2614</v>
      </c>
      <c r="H96" s="54" t="str">
        <f ca="1">IFERROR(__xludf.DUMMYFUNCTION("VLOOKUP(G96, IMPORTRANGE(""https://docs.google.com/spreadsheets/d/14deopnvwcrKtEGCKuYXdUHJbeLDZlkiSSWWT0g7x2pM/edit#gid=849066331"", ""LU List Science (Filter)!A:B""), 2, FALSE)"),"Description of domestic circuits and its safety features")</f>
        <v>Description of domestic circuits and its safety features</v>
      </c>
      <c r="I96" s="55" t="str">
        <f t="shared" si="0"/>
        <v>LU006524.001</v>
      </c>
      <c r="J96" s="55" t="str">
        <f ca="1">IFERROR(__xludf.DUMMYFUNCTION("VLOOKUP(I96, IMPORTRANGE(""https://docs.google.com/spreadsheets/d/1yDAaXNsi4Mr5FtRQL4tbmSdIzhx6_m4wkOD7IG-k_eo/edit#gid=1336395716"", ""Science!M:N""), 2, FALSE)"),"(LU006524.001); Default - Remember")</f>
        <v>(LU006524.001); Default - Remember</v>
      </c>
      <c r="K96" s="55" t="str">
        <f t="shared" si="1"/>
        <v>LU006524.002</v>
      </c>
      <c r="L96" s="55" t="str">
        <f ca="1">IFERROR(__xludf.DUMMYFUNCTION("VLOOKUP(K96, IMPORTRANGE(""https://docs.google.com/spreadsheets/d/1yDAaXNsi4Mr5FtRQL4tbmSdIzhx6_m4wkOD7IG-k_eo/edit#gid=1336395716"", ""Science!M:N""), 2, FALSE)"),"(LU006524.002); Default - Understand")</f>
        <v>(LU006524.002); Default - Understand</v>
      </c>
      <c r="M96" s="55" t="str">
        <f t="shared" si="2"/>
        <v>LU006524.003</v>
      </c>
      <c r="N96" s="55" t="str">
        <f ca="1">IFERROR(__xludf.DUMMYFUNCTION("VLOOKUP(M96, IMPORTRANGE(""https://docs.google.com/spreadsheets/d/1yDAaXNsi4Mr5FtRQL4tbmSdIzhx6_m4wkOD7IG-k_eo/edit#gid=1336395716"", ""Science!M:N""), 2, FALSE)"),"(LU006524.003); Default - Apply")</f>
        <v>(LU006524.003); Default - Apply</v>
      </c>
      <c r="O96" s="55" t="str">
        <f t="shared" si="3"/>
        <v>LU006524.004</v>
      </c>
      <c r="P96" s="55" t="str">
        <f ca="1">IFERROR(__xludf.DUMMYFUNCTION("VLOOKUP(O96, IMPORTRANGE(""https://docs.google.com/spreadsheets/d/1yDAaXNsi4Mr5FtRQL4tbmSdIzhx6_m4wkOD7IG-k_eo/edit#gid=1336395716"", ""Science!M:N""), 2, FALSE)"),"(LU006524.004); Default - Analyse")</f>
        <v>(LU006524.004); Default - Analyse</v>
      </c>
      <c r="Q96" s="55" t="str">
        <f t="shared" si="4"/>
        <v>LU006524.005</v>
      </c>
      <c r="R96" s="55" t="str">
        <f ca="1">IFERROR(__xludf.DUMMYFUNCTION("VLOOKUP(Q96, IMPORTRANGE(""https://docs.google.com/spreadsheets/d/1yDAaXNsi4Mr5FtRQL4tbmSdIzhx6_m4wkOD7IG-k_eo/edit#gid=1336395716"", ""Science!M:N""), 2, FALSE)"),"(LU006524.005); Default - Evaluate")</f>
        <v>(LU006524.005); Default - Evaluate</v>
      </c>
      <c r="S96" s="55" t="str">
        <f t="shared" si="5"/>
        <v>LU006524.006</v>
      </c>
      <c r="T96" s="55" t="str">
        <f ca="1">IFERROR(__xludf.DUMMYFUNCTION("VLOOKUP(S96, IMPORTRANGE(""https://docs.google.com/spreadsheets/d/1yDAaXNsi4Mr5FtRQL4tbmSdIzhx6_m4wkOD7IG-k_eo/edit#gid=1336395716"", ""Science!M:N""), 2, FALSE)"),"(LU006524.006); Default - Create")</f>
        <v>(LU006524.006); Default - Create</v>
      </c>
      <c r="U96" s="137" t="str">
        <f ca="1">IFERROR(__xludf.DUMMYFUNCTION("ArrayFormula(VLOOKUP(G96, IMPORTRANGE(""https://docs.google.com/spreadsheets/d/1p7R4vtkWt5VOBim4ltsDG9KTzSjrtKXsMtQGXPHyND0/edit#gid=795171502"", ""'Filter 30_05_2024'!A1:M2000""), {2, 3, 4, 5,6,7,8,9,10,11,12,13}, 0))"),"#N/A")</f>
        <v>#N/A</v>
      </c>
      <c r="V96" s="137" t="str">
        <f ca="1">IFERROR(__xludf.DUMMYFUNCTION("""COMPUTED_VALUE"""),"#N/A")</f>
        <v>#N/A</v>
      </c>
      <c r="W96" s="137" t="str">
        <f ca="1">IFERROR(__xludf.DUMMYFUNCTION("""COMPUTED_VALUE"""),"#N/A")</f>
        <v>#N/A</v>
      </c>
      <c r="X96" s="137" t="str">
        <f ca="1">IFERROR(__xludf.DUMMYFUNCTION("""COMPUTED_VALUE"""),"#N/A")</f>
        <v>#N/A</v>
      </c>
      <c r="Y96" s="137" t="str">
        <f ca="1">IFERROR(__xludf.DUMMYFUNCTION("""COMPUTED_VALUE"""),"#N/A")</f>
        <v>#N/A</v>
      </c>
      <c r="Z96" s="138" t="str">
        <f ca="1">IFERROR(__xludf.DUMMYFUNCTION("""COMPUTED_VALUE"""),"#N/A")</f>
        <v>#N/A</v>
      </c>
      <c r="AA96" s="138" t="str">
        <f ca="1">IFERROR(__xludf.DUMMYFUNCTION("""COMPUTED_VALUE"""),"#N/A")</f>
        <v>#N/A</v>
      </c>
      <c r="AB96" s="138" t="str">
        <f ca="1">IFERROR(__xludf.DUMMYFUNCTION("""COMPUTED_VALUE"""),"#N/A")</f>
        <v>#N/A</v>
      </c>
      <c r="AC96" s="138" t="str">
        <f ca="1">IFERROR(__xludf.DUMMYFUNCTION("""COMPUTED_VALUE"""),"#N/A")</f>
        <v>#N/A</v>
      </c>
      <c r="AD96" s="138" t="str">
        <f ca="1">IFERROR(__xludf.DUMMYFUNCTION("""COMPUTED_VALUE"""),"#N/A")</f>
        <v>#N/A</v>
      </c>
      <c r="AE96" s="138" t="str">
        <f ca="1">IFERROR(__xludf.DUMMYFUNCTION("""COMPUTED_VALUE"""),"#N/A")</f>
        <v>#N/A</v>
      </c>
      <c r="AF96" s="138" t="str">
        <f ca="1">IFERROR(__xludf.DUMMYFUNCTION("""COMPUTED_VALUE"""),"#N/A")</f>
        <v>#N/A</v>
      </c>
      <c r="AG96" s="138" t="str">
        <f ca="1">IFERROR(__xludf.DUMMYFUNCTION("ArrayFormula(VLOOKUP(G96, IMPORTRANGE(""https://docs.google.com/spreadsheets/d/1Co934fvtviyaRiMsrIlT05Jaq7iiYq07aLvRr35KA48/edit?gid=173865642#gid=173865642"", ""'G10_Sci_Pri_LU'!G2:V2000""), {3, 4, 5, 6, 7, 8, 9, 10, 11, 12, 13, 14, 15, 16}, 0))"),"LU005350")</f>
        <v>LU005350</v>
      </c>
      <c r="AH96" s="138" t="str">
        <f ca="1">IFERROR(__xludf.DUMMYFUNCTION("""COMPUTED_VALUE"""),"Working principle and purpose of Electric fuse and MCB")</f>
        <v>Working principle and purpose of Electric fuse and MCB</v>
      </c>
      <c r="AI96" s="138" t="str">
        <f ca="1">IFERROR(__xludf.DUMMYFUNCTION("""COMPUTED_VALUE"""),"LU005913")</f>
        <v>LU005913</v>
      </c>
      <c r="AJ96" s="138" t="str">
        <f ca="1">IFERROR(__xludf.DUMMYFUNCTION("""COMPUTED_VALUE"""),"Understanding and Preventing short circuit ")</f>
        <v xml:space="preserve">Understanding and Preventing short circuit </v>
      </c>
      <c r="AK96" s="138"/>
      <c r="AL96" s="138"/>
      <c r="AM96" s="138"/>
      <c r="AN96" s="138"/>
      <c r="AO96" s="138"/>
      <c r="AP96" s="138"/>
      <c r="AQ96" s="138"/>
      <c r="AR96" s="138"/>
      <c r="AS96" s="138"/>
      <c r="AT96" s="138"/>
    </row>
    <row r="97" spans="1:46">
      <c r="A97" s="54" t="s">
        <v>247</v>
      </c>
      <c r="B97" s="55" t="s">
        <v>47</v>
      </c>
      <c r="C97" s="55" t="s">
        <v>1172</v>
      </c>
      <c r="D97" s="138" t="s">
        <v>1441</v>
      </c>
      <c r="E97" s="54" t="s">
        <v>2615</v>
      </c>
      <c r="F97" s="55" t="s">
        <v>2616</v>
      </c>
      <c r="G97" s="55" t="s">
        <v>2617</v>
      </c>
      <c r="H97" s="54" t="str">
        <f ca="1">IFERROR(__xludf.DUMMYFUNCTION("VLOOKUP(G97, IMPORTRANGE(""https://docs.google.com/spreadsheets/d/14deopnvwcrKtEGCKuYXdUHJbeLDZlkiSSWWT0g7x2pM/edit#gid=849066331"", ""LU List Science (Filter)!A:B""), 2, FALSE)"),"Definition and Indicators of Chemical Reactions")</f>
        <v>Definition and Indicators of Chemical Reactions</v>
      </c>
      <c r="I97" s="55" t="str">
        <f t="shared" si="0"/>
        <v>LU006529.001</v>
      </c>
      <c r="J97" s="55" t="str">
        <f ca="1">IFERROR(__xludf.DUMMYFUNCTION("VLOOKUP(I97, IMPORTRANGE(""https://docs.google.com/spreadsheets/d/1yDAaXNsi4Mr5FtRQL4tbmSdIzhx6_m4wkOD7IG-k_eo/edit#gid=1336395716"", ""Science!M:N""), 2, FALSE)"),"(LU006529.001); Default - Remember")</f>
        <v>(LU006529.001); Default - Remember</v>
      </c>
      <c r="K97" s="55" t="str">
        <f t="shared" si="1"/>
        <v>LU006529.002</v>
      </c>
      <c r="L97" s="55" t="str">
        <f ca="1">IFERROR(__xludf.DUMMYFUNCTION("VLOOKUP(K97, IMPORTRANGE(""https://docs.google.com/spreadsheets/d/1yDAaXNsi4Mr5FtRQL4tbmSdIzhx6_m4wkOD7IG-k_eo/edit#gid=1336395716"", ""Science!M:N""), 2, FALSE)"),"(LU006529.002); Default - Understand")</f>
        <v>(LU006529.002); Default - Understand</v>
      </c>
      <c r="M97" s="55" t="str">
        <f t="shared" si="2"/>
        <v>LU006529.003</v>
      </c>
      <c r="N97" s="55" t="str">
        <f ca="1">IFERROR(__xludf.DUMMYFUNCTION("VLOOKUP(M97, IMPORTRANGE(""https://docs.google.com/spreadsheets/d/1yDAaXNsi4Mr5FtRQL4tbmSdIzhx6_m4wkOD7IG-k_eo/edit#gid=1336395716"", ""Science!M:N""), 2, FALSE)"),"(LU006529.003); Default - Apply")</f>
        <v>(LU006529.003); Default - Apply</v>
      </c>
      <c r="O97" s="55" t="str">
        <f t="shared" si="3"/>
        <v>LU006529.004</v>
      </c>
      <c r="P97" s="55" t="str">
        <f ca="1">IFERROR(__xludf.DUMMYFUNCTION("VLOOKUP(O97, IMPORTRANGE(""https://docs.google.com/spreadsheets/d/1yDAaXNsi4Mr5FtRQL4tbmSdIzhx6_m4wkOD7IG-k_eo/edit#gid=1336395716"", ""Science!M:N""), 2, FALSE)"),"(LU006529.004); Default - Analyse")</f>
        <v>(LU006529.004); Default - Analyse</v>
      </c>
      <c r="Q97" s="55" t="str">
        <f t="shared" si="4"/>
        <v>LU006529.005</v>
      </c>
      <c r="R97" s="55" t="str">
        <f ca="1">IFERROR(__xludf.DUMMYFUNCTION("VLOOKUP(Q97, IMPORTRANGE(""https://docs.google.com/spreadsheets/d/1yDAaXNsi4Mr5FtRQL4tbmSdIzhx6_m4wkOD7IG-k_eo/edit#gid=1336395716"", ""Science!M:N""), 2, FALSE)"),"(LU006529.005); Default - Evaluate")</f>
        <v>(LU006529.005); Default - Evaluate</v>
      </c>
      <c r="S97" s="55" t="str">
        <f t="shared" si="5"/>
        <v>LU006529.006</v>
      </c>
      <c r="T97" s="55" t="str">
        <f ca="1">IFERROR(__xludf.DUMMYFUNCTION("VLOOKUP(S97, IMPORTRANGE(""https://docs.google.com/spreadsheets/d/1yDAaXNsi4Mr5FtRQL4tbmSdIzhx6_m4wkOD7IG-k_eo/edit#gid=1336395716"", ""Science!M:N""), 2, FALSE)"),"(LU006529.006); Default - Create")</f>
        <v>(LU006529.006); Default - Create</v>
      </c>
      <c r="U97" s="137" t="str">
        <f ca="1">IFERROR(__xludf.DUMMYFUNCTION("ArrayFormula(VLOOKUP(G97, IMPORTRANGE(""https://docs.google.com/spreadsheets/d/1p7R4vtkWt5VOBim4ltsDG9KTzSjrtKXsMtQGXPHyND0/edit#gid=795171502"", ""'Filter 30_05_2024'!A1:M2000""), {2, 3, 4, 5,6,7,8,9,10,11,12,13}, 0))"),"#N/A")</f>
        <v>#N/A</v>
      </c>
      <c r="V97" s="137" t="str">
        <f ca="1">IFERROR(__xludf.DUMMYFUNCTION("""COMPUTED_VALUE"""),"#N/A")</f>
        <v>#N/A</v>
      </c>
      <c r="W97" s="137" t="str">
        <f ca="1">IFERROR(__xludf.DUMMYFUNCTION("""COMPUTED_VALUE"""),"#N/A")</f>
        <v>#N/A</v>
      </c>
      <c r="X97" s="137" t="str">
        <f ca="1">IFERROR(__xludf.DUMMYFUNCTION("""COMPUTED_VALUE"""),"#N/A")</f>
        <v>#N/A</v>
      </c>
      <c r="Y97" s="137" t="str">
        <f ca="1">IFERROR(__xludf.DUMMYFUNCTION("""COMPUTED_VALUE"""),"#N/A")</f>
        <v>#N/A</v>
      </c>
      <c r="Z97" s="138" t="str">
        <f ca="1">IFERROR(__xludf.DUMMYFUNCTION("""COMPUTED_VALUE"""),"#N/A")</f>
        <v>#N/A</v>
      </c>
      <c r="AA97" s="138" t="str">
        <f ca="1">IFERROR(__xludf.DUMMYFUNCTION("""COMPUTED_VALUE"""),"#N/A")</f>
        <v>#N/A</v>
      </c>
      <c r="AB97" s="138" t="str">
        <f ca="1">IFERROR(__xludf.DUMMYFUNCTION("""COMPUTED_VALUE"""),"#N/A")</f>
        <v>#N/A</v>
      </c>
      <c r="AC97" s="138" t="str">
        <f ca="1">IFERROR(__xludf.DUMMYFUNCTION("""COMPUTED_VALUE"""),"#N/A")</f>
        <v>#N/A</v>
      </c>
      <c r="AD97" s="138" t="str">
        <f ca="1">IFERROR(__xludf.DUMMYFUNCTION("""COMPUTED_VALUE"""),"#N/A")</f>
        <v>#N/A</v>
      </c>
      <c r="AE97" s="138" t="str">
        <f ca="1">IFERROR(__xludf.DUMMYFUNCTION("""COMPUTED_VALUE"""),"#N/A")</f>
        <v>#N/A</v>
      </c>
      <c r="AF97" s="138" t="str">
        <f ca="1">IFERROR(__xludf.DUMMYFUNCTION("""COMPUTED_VALUE"""),"#N/A")</f>
        <v>#N/A</v>
      </c>
      <c r="AG97" s="138" t="str">
        <f ca="1">IFERROR(__xludf.DUMMYFUNCTION("ArrayFormula(VLOOKUP(G97, IMPORTRANGE(""https://docs.google.com/spreadsheets/d/1Co934fvtviyaRiMsrIlT05Jaq7iiYq07aLvRr35KA48/edit?gid=173865642#gid=173865642"", ""'G10_Sci_Pri_LU'!G2:V2000""), {3, 4, 5, 6, 7, 8, 9, 10, 11, 12, 13, 14, 15, 16}, 0))"),"LU005488")</f>
        <v>LU005488</v>
      </c>
      <c r="AH97" s="138" t="str">
        <f ca="1">IFERROR(__xludf.DUMMYFUNCTION("""COMPUTED_VALUE"""),"Effects Indicating Chemical Changes")</f>
        <v>Effects Indicating Chemical Changes</v>
      </c>
      <c r="AI97" s="138"/>
      <c r="AJ97" s="138"/>
      <c r="AK97" s="138"/>
      <c r="AL97" s="138"/>
      <c r="AM97" s="138"/>
      <c r="AN97" s="138"/>
      <c r="AO97" s="138"/>
      <c r="AP97" s="138"/>
      <c r="AQ97" s="138"/>
      <c r="AR97" s="138"/>
      <c r="AS97" s="138"/>
      <c r="AT97" s="138"/>
    </row>
    <row r="98" spans="1:46">
      <c r="A98" s="54" t="s">
        <v>247</v>
      </c>
      <c r="B98" s="55" t="s">
        <v>47</v>
      </c>
      <c r="C98" s="55" t="s">
        <v>1172</v>
      </c>
      <c r="D98" s="138" t="s">
        <v>1441</v>
      </c>
      <c r="E98" s="54" t="s">
        <v>2615</v>
      </c>
      <c r="F98" s="55" t="s">
        <v>2616</v>
      </c>
      <c r="G98" s="55" t="s">
        <v>1879</v>
      </c>
      <c r="H98" s="54" t="str">
        <f ca="1">IFERROR(__xludf.DUMMYFUNCTION("VLOOKUP(G98, IMPORTRANGE(""https://docs.google.com/spreadsheets/d/14deopnvwcrKtEGCKuYXdUHJbeLDZlkiSSWWT0g7x2pM/edit#gid=849066331"", ""LU List Science (Filter)!A:B""), 2, FALSE)"),"Writing Chemical Equations")</f>
        <v>Writing Chemical Equations</v>
      </c>
      <c r="I98" s="55" t="str">
        <f t="shared" si="0"/>
        <v>LU005500.001</v>
      </c>
      <c r="J98" s="55" t="str">
        <f ca="1">IFERROR(__xludf.DUMMYFUNCTION("VLOOKUP(I98, IMPORTRANGE(""https://docs.google.com/spreadsheets/d/1yDAaXNsi4Mr5FtRQL4tbmSdIzhx6_m4wkOD7IG-k_eo/edit#gid=1336395716"", ""Science!M:N""), 2, FALSE)"),"Recall and list the basic components of a chemical equation, including reactants, products, and common symbols used in chemical reactions.")</f>
        <v>Recall and list the basic components of a chemical equation, including reactants, products, and common symbols used in chemical reactions.</v>
      </c>
      <c r="K98" s="55" t="str">
        <f t="shared" si="1"/>
        <v>LU005500.002</v>
      </c>
      <c r="L98" s="55" t="str">
        <f ca="1">IFERROR(__xludf.DUMMYFUNCTION("VLOOKUP(K98, IMPORTRANGE(""https://docs.google.com/spreadsheets/d/1yDAaXNsi4Mr5FtRQL4tbmSdIzhx6_m4wkOD7IG-k_eo/edit#gid=1336395716"", ""Science!M:N""), 2, FALSE)"),"Explain the meaning of reactants and products and interpret the symbolic and descriptive notations of simple chemical reactions.")</f>
        <v>Explain the meaning of reactants and products and interpret the symbolic and descriptive notations of simple chemical reactions.</v>
      </c>
      <c r="M98" s="55" t="str">
        <f t="shared" si="2"/>
        <v>LU005500.003</v>
      </c>
      <c r="N98" s="55" t="str">
        <f ca="1">IFERROR(__xludf.DUMMYFUNCTION("VLOOKUP(M98, IMPORTRANGE(""https://docs.google.com/spreadsheets/d/1yDAaXNsi4Mr5FtRQL4tbmSdIzhx6_m4wkOD7IG-k_eo/edit#gid=1336395716"", ""Science!M:N""), 2, FALSE)"),"Identify reactants and products in given symbolic and descriptive notations of various simple chemical reactions.")</f>
        <v>Identify reactants and products in given symbolic and descriptive notations of various simple chemical reactions.</v>
      </c>
      <c r="O98" s="55" t="str">
        <f t="shared" si="3"/>
        <v>LU005500.004</v>
      </c>
      <c r="P98" s="55" t="str">
        <f ca="1">IFERROR(__xludf.DUMMYFUNCTION("VLOOKUP(O98, IMPORTRANGE(""https://docs.google.com/spreadsheets/d/1yDAaXNsi4Mr5FtRQL4tbmSdIzhx6_m4wkOD7IG-k_eo/edit#gid=1336395716"", ""Science!M:N""), 2, FALSE)"),"Compare and contrast different chemical reactions, focusing on differences and similarities in reactants and products based on their symbolic and descriptive notations.")</f>
        <v>Compare and contrast different chemical reactions, focusing on differences and similarities in reactants and products based on their symbolic and descriptive notations.</v>
      </c>
      <c r="Q98" s="55" t="str">
        <f t="shared" si="4"/>
        <v>LU005500.005</v>
      </c>
      <c r="R98" s="55" t="str">
        <f ca="1">IFERROR(__xludf.DUMMYFUNCTION("VLOOKUP(Q98, IMPORTRANGE(""https://docs.google.com/spreadsheets/d/1yDAaXNsi4Mr5FtRQL4tbmSdIzhx6_m4wkOD7IG-k_eo/edit#gid=1336395716"", ""Science!M:N""), 2, FALSE)"),"Evaluate the accuracy of simple chemical equations by checking the correct identification and representation of reactants and products in both symbolic and descriptive forms.")</f>
        <v>Evaluate the accuracy of simple chemical equations by checking the correct identification and representation of reactants and products in both symbolic and descriptive forms.</v>
      </c>
      <c r="S98" s="55" t="str">
        <f t="shared" si="5"/>
        <v>LU005500.006</v>
      </c>
      <c r="T98" s="55" t="str">
        <f ca="1">IFERROR(__xludf.DUMMYFUNCTION("VLOOKUP(S98, IMPORTRANGE(""https://docs.google.com/spreadsheets/d/1yDAaXNsi4Mr5FtRQL4tbmSdIzhx6_m4wkOD7IG-k_eo/edit#gid=1336395716"", ""Science!M:N""), 2, FALSE)"),"(LU005500.006); Default - Create")</f>
        <v>(LU005500.006); Default - Create</v>
      </c>
      <c r="U98" s="137">
        <f ca="1">IFERROR(__xludf.DUMMYFUNCTION("ArrayFormula(VLOOKUP(G98, IMPORTRANGE(""https://docs.google.com/spreadsheets/d/1p7R4vtkWt5VOBim4ltsDG9KTzSjrtKXsMtQGXPHyND0/edit#gid=795171502"", ""'Filter 30_05_2024'!A1:M2000""), {2, 3, 4, 5,6,7,8,9,10,11,12,13}, 0))"),4)</f>
        <v>4</v>
      </c>
      <c r="V98" s="137">
        <f ca="1">IFERROR(__xludf.DUMMYFUNCTION("""COMPUTED_VALUE"""),10)</f>
        <v>10</v>
      </c>
      <c r="W98" s="137">
        <f ca="1">IFERROR(__xludf.DUMMYFUNCTION("""COMPUTED_VALUE"""),2)</f>
        <v>2</v>
      </c>
      <c r="X98" s="137">
        <f ca="1">IFERROR(__xludf.DUMMYFUNCTION("""COMPUTED_VALUE"""),16)</f>
        <v>16</v>
      </c>
      <c r="Y98" s="137">
        <f ca="1">IFERROR(__xludf.DUMMYFUNCTION("""COMPUTED_VALUE"""),4)</f>
        <v>4</v>
      </c>
      <c r="Z98" s="138">
        <f ca="1">IFERROR(__xludf.DUMMYFUNCTION("""COMPUTED_VALUE"""),6)</f>
        <v>6</v>
      </c>
      <c r="AA98" s="138">
        <f ca="1">IFERROR(__xludf.DUMMYFUNCTION("""COMPUTED_VALUE"""),1)</f>
        <v>1</v>
      </c>
      <c r="AB98" s="138">
        <f ca="1">IFERROR(__xludf.DUMMYFUNCTION("""COMPUTED_VALUE"""),11)</f>
        <v>11</v>
      </c>
      <c r="AC98" s="138"/>
      <c r="AD98" s="138"/>
      <c r="AE98" s="138"/>
      <c r="AF98" s="138"/>
      <c r="AG98" s="138" t="str">
        <f ca="1">IFERROR(__xludf.DUMMYFUNCTION("ArrayFormula(VLOOKUP(G98, IMPORTRANGE(""https://docs.google.com/spreadsheets/d/1Co934fvtviyaRiMsrIlT05Jaq7iiYq07aLvRr35KA48/edit?gid=173865642#gid=173865642"", ""'G10_Sci_Pri_LU'!G2:V2000""), {3, 4, 5, 6, 7, 8, 9, 10, 11, 12, 13, 14, 15, 16}, 0))"),"LU006529")</f>
        <v>LU006529</v>
      </c>
      <c r="AH98" s="138" t="str">
        <f ca="1">IFERROR(__xludf.DUMMYFUNCTION("""COMPUTED_VALUE"""),"Definition and Indicators of Chemical Reactions")</f>
        <v>Definition and Indicators of Chemical Reactions</v>
      </c>
      <c r="AI98" s="138"/>
      <c r="AJ98" s="138"/>
      <c r="AK98" s="138"/>
      <c r="AL98" s="138"/>
      <c r="AM98" s="138"/>
      <c r="AN98" s="138"/>
      <c r="AO98" s="138"/>
      <c r="AP98" s="138"/>
      <c r="AQ98" s="138"/>
      <c r="AR98" s="138"/>
      <c r="AS98" s="138"/>
      <c r="AT98" s="138"/>
    </row>
    <row r="99" spans="1:46">
      <c r="A99" s="54" t="s">
        <v>247</v>
      </c>
      <c r="B99" s="55" t="s">
        <v>47</v>
      </c>
      <c r="C99" s="55" t="s">
        <v>1172</v>
      </c>
      <c r="D99" s="138" t="s">
        <v>1441</v>
      </c>
      <c r="E99" s="54" t="s">
        <v>2615</v>
      </c>
      <c r="F99" s="55" t="s">
        <v>2618</v>
      </c>
      <c r="G99" s="55" t="s">
        <v>2619</v>
      </c>
      <c r="H99" s="54" t="str">
        <f ca="1">IFERROR(__xludf.DUMMYFUNCTION("VLOOKUP(G99, IMPORTRANGE(""https://docs.google.com/spreadsheets/d/14deopnvwcrKtEGCKuYXdUHJbeLDZlkiSSWWT0g7x2pM/edit#gid=849066331"", ""LU List Science (Filter)!A:B""), 2, FALSE)"),"Steps to balance a Chemical equation")</f>
        <v>Steps to balance a Chemical equation</v>
      </c>
      <c r="I99" s="55" t="str">
        <f t="shared" si="0"/>
        <v>LU005506.001</v>
      </c>
      <c r="J99" s="55" t="str">
        <f ca="1">IFERROR(__xludf.DUMMYFUNCTION("VLOOKUP(I99, IMPORTRANGE(""https://docs.google.com/spreadsheets/d/1yDAaXNsi4Mr5FtRQL4tbmSdIzhx6_m4wkOD7IG-k_eo/edit#gid=1336395716"", ""Science!M:N""), 2, FALSE)"),"Define a chemical equation.")</f>
        <v>Define a chemical equation.</v>
      </c>
      <c r="K99" s="55" t="str">
        <f t="shared" si="1"/>
        <v>LU005506.002</v>
      </c>
      <c r="L99" s="55" t="str">
        <f ca="1">IFERROR(__xludf.DUMMYFUNCTION("VLOOKUP(K99, IMPORTRANGE(""https://docs.google.com/spreadsheets/d/1yDAaXNsi4Mr5FtRQL4tbmSdIzhx6_m4wkOD7IG-k_eo/edit#gid=1336395716"", ""Science!M:N""), 2, FALSE)"),"Explain the purpose and significance of balancing a chemical equation.")</f>
        <v>Explain the purpose and significance of balancing a chemical equation.</v>
      </c>
      <c r="M99" s="55" t="str">
        <f t="shared" si="2"/>
        <v>LU005506.003</v>
      </c>
      <c r="N99" s="55" t="str">
        <f ca="1">IFERROR(__xludf.DUMMYFUNCTION("VLOOKUP(M99, IMPORTRANGE(""https://docs.google.com/spreadsheets/d/1yDAaXNsi4Mr5FtRQL4tbmSdIzhx6_m4wkOD7IG-k_eo/edit#gid=1336395716"", ""Science!M:N""), 2, FALSE)"),"Balance simple chemical equations using the law of conservation of mass.")</f>
        <v>Balance simple chemical equations using the law of conservation of mass.</v>
      </c>
      <c r="O99" s="55" t="str">
        <f t="shared" si="3"/>
        <v>LU005506.004</v>
      </c>
      <c r="P99" s="55" t="str">
        <f ca="1">IFERROR(__xludf.DUMMYFUNCTION("VLOOKUP(O99, IMPORTRANGE(""https://docs.google.com/spreadsheets/d/1yDAaXNsi4Mr5FtRQL4tbmSdIzhx6_m4wkOD7IG-k_eo/edit#gid=1336395716"", ""Science!M:N""), 2, FALSE)"),"Examine a chemical equation to identify reactants, products, and whether it is balanced or unbalanced.")</f>
        <v>Examine a chemical equation to identify reactants, products, and whether it is balanced or unbalanced.</v>
      </c>
      <c r="Q99" s="55" t="str">
        <f t="shared" si="4"/>
        <v>LU005506.005</v>
      </c>
      <c r="R99" s="55" t="str">
        <f ca="1">IFERROR(__xludf.DUMMYFUNCTION("VLOOKUP(Q99, IMPORTRANGE(""https://docs.google.com/spreadsheets/d/1yDAaXNsi4Mr5FtRQL4tbmSdIzhx6_m4wkOD7IG-k_eo/edit#gid=1336395716"", ""Science!M:N""), 2, FALSE)"),"Assess the correctness of a balanced equation and suggest corrections if necessary.")</f>
        <v>Assess the correctness of a balanced equation and suggest corrections if necessary.</v>
      </c>
      <c r="S99" s="55" t="str">
        <f t="shared" si="5"/>
        <v>LU005506.006</v>
      </c>
      <c r="T99" s="55" t="str">
        <f ca="1">IFERROR(__xludf.DUMMYFUNCTION("VLOOKUP(S99, IMPORTRANGE(""https://docs.google.com/spreadsheets/d/1yDAaXNsi4Mr5FtRQL4tbmSdIzhx6_m4wkOD7IG-k_eo/edit#gid=1336395716"", ""Science!M:N""), 2, FALSE)"),"(LU005506.006); Default - Create")</f>
        <v>(LU005506.006); Default - Create</v>
      </c>
      <c r="U99" s="137" t="str">
        <f ca="1">IFERROR(__xludf.DUMMYFUNCTION("ArrayFormula(VLOOKUP(G99, IMPORTRANGE(""https://docs.google.com/spreadsheets/d/1p7R4vtkWt5VOBim4ltsDG9KTzSjrtKXsMtQGXPHyND0/edit#gid=795171502"", ""'Filter 30_05_2024'!A1:M2000""), {2, 3, 4, 5,6,7,8,9,10,11,12,13}, 0))"),"#N/A")</f>
        <v>#N/A</v>
      </c>
      <c r="V99" s="137" t="str">
        <f ca="1">IFERROR(__xludf.DUMMYFUNCTION("""COMPUTED_VALUE"""),"#N/A")</f>
        <v>#N/A</v>
      </c>
      <c r="W99" s="137" t="str">
        <f ca="1">IFERROR(__xludf.DUMMYFUNCTION("""COMPUTED_VALUE"""),"#N/A")</f>
        <v>#N/A</v>
      </c>
      <c r="X99" s="137" t="str">
        <f ca="1">IFERROR(__xludf.DUMMYFUNCTION("""COMPUTED_VALUE"""),"#N/A")</f>
        <v>#N/A</v>
      </c>
      <c r="Y99" s="137" t="str">
        <f ca="1">IFERROR(__xludf.DUMMYFUNCTION("""COMPUTED_VALUE"""),"#N/A")</f>
        <v>#N/A</v>
      </c>
      <c r="Z99" s="138" t="str">
        <f ca="1">IFERROR(__xludf.DUMMYFUNCTION("""COMPUTED_VALUE"""),"#N/A")</f>
        <v>#N/A</v>
      </c>
      <c r="AA99" s="138" t="str">
        <f ca="1">IFERROR(__xludf.DUMMYFUNCTION("""COMPUTED_VALUE"""),"#N/A")</f>
        <v>#N/A</v>
      </c>
      <c r="AB99" s="138" t="str">
        <f ca="1">IFERROR(__xludf.DUMMYFUNCTION("""COMPUTED_VALUE"""),"#N/A")</f>
        <v>#N/A</v>
      </c>
      <c r="AC99" s="138" t="str">
        <f ca="1">IFERROR(__xludf.DUMMYFUNCTION("""COMPUTED_VALUE"""),"#N/A")</f>
        <v>#N/A</v>
      </c>
      <c r="AD99" s="138" t="str">
        <f ca="1">IFERROR(__xludf.DUMMYFUNCTION("""COMPUTED_VALUE"""),"#N/A")</f>
        <v>#N/A</v>
      </c>
      <c r="AE99" s="138" t="str">
        <f ca="1">IFERROR(__xludf.DUMMYFUNCTION("""COMPUTED_VALUE"""),"#N/A")</f>
        <v>#N/A</v>
      </c>
      <c r="AF99" s="138" t="str">
        <f ca="1">IFERROR(__xludf.DUMMYFUNCTION("""COMPUTED_VALUE"""),"#N/A")</f>
        <v>#N/A</v>
      </c>
      <c r="AG99" s="138" t="str">
        <f ca="1">IFERROR(__xludf.DUMMYFUNCTION("ArrayFormula(VLOOKUP(G99, IMPORTRANGE(""https://docs.google.com/spreadsheets/d/1Co934fvtviyaRiMsrIlT05Jaq7iiYq07aLvRr35KA48/edit?gid=173865642#gid=173865642"", ""'G10_Sci_Pri_LU'!G2:V2000""), {3, 4, 5, 6, 7, 8, 9, 10, 11, 12, 13, 14, 15, 16}, 0))"),"LU005500")</f>
        <v>LU005500</v>
      </c>
      <c r="AH99" s="138" t="str">
        <f ca="1">IFERROR(__xludf.DUMMYFUNCTION("""COMPUTED_VALUE"""),"Writing Chemical Equations")</f>
        <v>Writing Chemical Equations</v>
      </c>
      <c r="AI99" s="138"/>
      <c r="AJ99" s="138"/>
      <c r="AK99" s="138"/>
      <c r="AL99" s="138"/>
      <c r="AM99" s="138"/>
      <c r="AN99" s="138"/>
      <c r="AO99" s="138"/>
      <c r="AP99" s="138"/>
      <c r="AQ99" s="138"/>
      <c r="AR99" s="138"/>
      <c r="AS99" s="138"/>
      <c r="AT99" s="138"/>
    </row>
    <row r="100" spans="1:46">
      <c r="A100" s="54" t="s">
        <v>247</v>
      </c>
      <c r="B100" s="55" t="s">
        <v>47</v>
      </c>
      <c r="C100" s="55" t="s">
        <v>1172</v>
      </c>
      <c r="D100" s="138" t="s">
        <v>1441</v>
      </c>
      <c r="E100" s="54" t="s">
        <v>2615</v>
      </c>
      <c r="F100" s="55" t="s">
        <v>2618</v>
      </c>
      <c r="G100" s="55" t="s">
        <v>2620</v>
      </c>
      <c r="H100" s="54" t="str">
        <f ca="1">IFERROR(__xludf.DUMMYFUNCTION("VLOOKUP(G100, IMPORTRANGE(""https://docs.google.com/spreadsheets/d/14deopnvwcrKtEGCKuYXdUHJbeLDZlkiSSWWT0g7x2pM/edit#gid=849066331"", ""LU List Science (Filter)!A:B""), 2, FALSE)"),"Balancing the chemical equations ")</f>
        <v xml:space="preserve">Balancing the chemical equations </v>
      </c>
      <c r="I100" s="55" t="str">
        <f t="shared" si="0"/>
        <v>LU006530.001</v>
      </c>
      <c r="J100" s="55" t="str">
        <f ca="1">IFERROR(__xludf.DUMMYFUNCTION("VLOOKUP(I100, IMPORTRANGE(""https://docs.google.com/spreadsheets/d/1yDAaXNsi4Mr5FtRQL4tbmSdIzhx6_m4wkOD7IG-k_eo/edit#gid=1336395716"", ""Science!M:N""), 2, FALSE)"),"(LU006530.001); Default - Remember")</f>
        <v>(LU006530.001); Default - Remember</v>
      </c>
      <c r="K100" s="55" t="str">
        <f t="shared" si="1"/>
        <v>LU006530.002</v>
      </c>
      <c r="L100" s="55" t="str">
        <f ca="1">IFERROR(__xludf.DUMMYFUNCTION("VLOOKUP(K100, IMPORTRANGE(""https://docs.google.com/spreadsheets/d/1yDAaXNsi4Mr5FtRQL4tbmSdIzhx6_m4wkOD7IG-k_eo/edit#gid=1336395716"", ""Science!M:N""), 2, FALSE)"),"(LU006530.002); Default - Understand")</f>
        <v>(LU006530.002); Default - Understand</v>
      </c>
      <c r="M100" s="55" t="str">
        <f t="shared" si="2"/>
        <v>LU006530.003</v>
      </c>
      <c r="N100" s="55" t="str">
        <f ca="1">IFERROR(__xludf.DUMMYFUNCTION("VLOOKUP(M100, IMPORTRANGE(""https://docs.google.com/spreadsheets/d/1yDAaXNsi4Mr5FtRQL4tbmSdIzhx6_m4wkOD7IG-k_eo/edit#gid=1336395716"", ""Science!M:N""), 2, FALSE)"),"(LU006530.003); Default - Apply")</f>
        <v>(LU006530.003); Default - Apply</v>
      </c>
      <c r="O100" s="55" t="str">
        <f t="shared" si="3"/>
        <v>LU006530.004</v>
      </c>
      <c r="P100" s="55" t="str">
        <f ca="1">IFERROR(__xludf.DUMMYFUNCTION("VLOOKUP(O100, IMPORTRANGE(""https://docs.google.com/spreadsheets/d/1yDAaXNsi4Mr5FtRQL4tbmSdIzhx6_m4wkOD7IG-k_eo/edit#gid=1336395716"", ""Science!M:N""), 2, FALSE)"),"(LU006530.004); Default - Analyse")</f>
        <v>(LU006530.004); Default - Analyse</v>
      </c>
      <c r="Q100" s="55" t="str">
        <f t="shared" si="4"/>
        <v>LU006530.005</v>
      </c>
      <c r="R100" s="55" t="str">
        <f ca="1">IFERROR(__xludf.DUMMYFUNCTION("VLOOKUP(Q100, IMPORTRANGE(""https://docs.google.com/spreadsheets/d/1yDAaXNsi4Mr5FtRQL4tbmSdIzhx6_m4wkOD7IG-k_eo/edit#gid=1336395716"", ""Science!M:N""), 2, FALSE)"),"(LU006530.005); Default - Evaluate")</f>
        <v>(LU006530.005); Default - Evaluate</v>
      </c>
      <c r="S100" s="55" t="str">
        <f t="shared" si="5"/>
        <v>LU006530.006</v>
      </c>
      <c r="T100" s="55" t="str">
        <f ca="1">IFERROR(__xludf.DUMMYFUNCTION("VLOOKUP(S100, IMPORTRANGE(""https://docs.google.com/spreadsheets/d/1yDAaXNsi4Mr5FtRQL4tbmSdIzhx6_m4wkOD7IG-k_eo/edit#gid=1336395716"", ""Science!M:N""), 2, FALSE)"),"(LU006530.006); Default - Create")</f>
        <v>(LU006530.006); Default - Create</v>
      </c>
      <c r="U100" s="137" t="str">
        <f ca="1">IFERROR(__xludf.DUMMYFUNCTION("ArrayFormula(VLOOKUP(G100, IMPORTRANGE(""https://docs.google.com/spreadsheets/d/1p7R4vtkWt5VOBim4ltsDG9KTzSjrtKXsMtQGXPHyND0/edit#gid=795171502"", ""'Filter 30_05_2024'!A1:M2000""), {2, 3, 4, 5,6,7,8,9,10,11,12,13}, 0))"),"#N/A")</f>
        <v>#N/A</v>
      </c>
      <c r="V100" s="137" t="str">
        <f ca="1">IFERROR(__xludf.DUMMYFUNCTION("""COMPUTED_VALUE"""),"#N/A")</f>
        <v>#N/A</v>
      </c>
      <c r="W100" s="137" t="str">
        <f ca="1">IFERROR(__xludf.DUMMYFUNCTION("""COMPUTED_VALUE"""),"#N/A")</f>
        <v>#N/A</v>
      </c>
      <c r="X100" s="137" t="str">
        <f ca="1">IFERROR(__xludf.DUMMYFUNCTION("""COMPUTED_VALUE"""),"#N/A")</f>
        <v>#N/A</v>
      </c>
      <c r="Y100" s="137" t="str">
        <f ca="1">IFERROR(__xludf.DUMMYFUNCTION("""COMPUTED_VALUE"""),"#N/A")</f>
        <v>#N/A</v>
      </c>
      <c r="Z100" s="138" t="str">
        <f ca="1">IFERROR(__xludf.DUMMYFUNCTION("""COMPUTED_VALUE"""),"#N/A")</f>
        <v>#N/A</v>
      </c>
      <c r="AA100" s="138" t="str">
        <f ca="1">IFERROR(__xludf.DUMMYFUNCTION("""COMPUTED_VALUE"""),"#N/A")</f>
        <v>#N/A</v>
      </c>
      <c r="AB100" s="138" t="str">
        <f ca="1">IFERROR(__xludf.DUMMYFUNCTION("""COMPUTED_VALUE"""),"#N/A")</f>
        <v>#N/A</v>
      </c>
      <c r="AC100" s="138" t="str">
        <f ca="1">IFERROR(__xludf.DUMMYFUNCTION("""COMPUTED_VALUE"""),"#N/A")</f>
        <v>#N/A</v>
      </c>
      <c r="AD100" s="138" t="str">
        <f ca="1">IFERROR(__xludf.DUMMYFUNCTION("""COMPUTED_VALUE"""),"#N/A")</f>
        <v>#N/A</v>
      </c>
      <c r="AE100" s="138" t="str">
        <f ca="1">IFERROR(__xludf.DUMMYFUNCTION("""COMPUTED_VALUE"""),"#N/A")</f>
        <v>#N/A</v>
      </c>
      <c r="AF100" s="138" t="str">
        <f ca="1">IFERROR(__xludf.DUMMYFUNCTION("""COMPUTED_VALUE"""),"#N/A")</f>
        <v>#N/A</v>
      </c>
      <c r="AG100" s="138" t="str">
        <f ca="1">IFERROR(__xludf.DUMMYFUNCTION("ArrayFormula(VLOOKUP(G100, IMPORTRANGE(""https://docs.google.com/spreadsheets/d/1Co934fvtviyaRiMsrIlT05Jaq7iiYq07aLvRr35KA48/edit?gid=173865642#gid=173865642"", ""'G10_Sci_Pri_LU'!G2:V2000""), {3, 4, 5, 6, 7, 8, 9, 10, 11, 12, 13, 14, 15, 16}, 0))"),"LU005506")</f>
        <v>LU005506</v>
      </c>
      <c r="AH100" s="138" t="str">
        <f ca="1">IFERROR(__xludf.DUMMYFUNCTION("""COMPUTED_VALUE"""),"Steps to balance a Chemical equation")</f>
        <v>Steps to balance a Chemical equation</v>
      </c>
      <c r="AI100" s="138"/>
      <c r="AJ100" s="138"/>
      <c r="AK100" s="138"/>
      <c r="AL100" s="138"/>
      <c r="AM100" s="138"/>
      <c r="AN100" s="138"/>
      <c r="AO100" s="138"/>
      <c r="AP100" s="138"/>
      <c r="AQ100" s="138"/>
      <c r="AR100" s="138"/>
      <c r="AS100" s="138"/>
      <c r="AT100" s="138"/>
    </row>
    <row r="101" spans="1:46">
      <c r="A101" s="54" t="s">
        <v>247</v>
      </c>
      <c r="B101" s="55" t="s">
        <v>47</v>
      </c>
      <c r="C101" s="55" t="s">
        <v>1172</v>
      </c>
      <c r="D101" s="138" t="s">
        <v>1441</v>
      </c>
      <c r="E101" s="54" t="s">
        <v>2615</v>
      </c>
      <c r="F101" s="55" t="s">
        <v>2621</v>
      </c>
      <c r="G101" s="55" t="s">
        <v>2622</v>
      </c>
      <c r="H101" s="54" t="str">
        <f ca="1">IFERROR(__xludf.DUMMYFUNCTION("VLOOKUP(G101, IMPORTRANGE(""https://docs.google.com/spreadsheets/d/14deopnvwcrKtEGCKuYXdUHJbeLDZlkiSSWWT0g7x2pM/edit#gid=849066331"", ""LU List Science (Filter)!A:B""), 2, FALSE)"),"Combination Reactions ")</f>
        <v xml:space="preserve">Combination Reactions </v>
      </c>
      <c r="I101" s="55" t="str">
        <f t="shared" si="0"/>
        <v>LU006531.001</v>
      </c>
      <c r="J101" s="55" t="str">
        <f ca="1">IFERROR(__xludf.DUMMYFUNCTION("VLOOKUP(I101, IMPORTRANGE(""https://docs.google.com/spreadsheets/d/1yDAaXNsi4Mr5FtRQL4tbmSdIzhx6_m4wkOD7IG-k_eo/edit#gid=1336395716"", ""Science!M:N""), 2, FALSE)"),"(LU006531.001); Default - Remember")</f>
        <v>(LU006531.001); Default - Remember</v>
      </c>
      <c r="K101" s="55" t="str">
        <f t="shared" si="1"/>
        <v>LU006531.002</v>
      </c>
      <c r="L101" s="55" t="str">
        <f ca="1">IFERROR(__xludf.DUMMYFUNCTION("VLOOKUP(K101, IMPORTRANGE(""https://docs.google.com/spreadsheets/d/1yDAaXNsi4Mr5FtRQL4tbmSdIzhx6_m4wkOD7IG-k_eo/edit#gid=1336395716"", ""Science!M:N""), 2, FALSE)"),"(LU006531.002); Default - Understand")</f>
        <v>(LU006531.002); Default - Understand</v>
      </c>
      <c r="M101" s="55" t="str">
        <f t="shared" si="2"/>
        <v>LU006531.003</v>
      </c>
      <c r="N101" s="55" t="str">
        <f ca="1">IFERROR(__xludf.DUMMYFUNCTION("VLOOKUP(M101, IMPORTRANGE(""https://docs.google.com/spreadsheets/d/1yDAaXNsi4Mr5FtRQL4tbmSdIzhx6_m4wkOD7IG-k_eo/edit#gid=1336395716"", ""Science!M:N""), 2, FALSE)"),"(LU006531.003); Default - Apply")</f>
        <v>(LU006531.003); Default - Apply</v>
      </c>
      <c r="O101" s="55" t="str">
        <f t="shared" si="3"/>
        <v>LU006531.004</v>
      </c>
      <c r="P101" s="55" t="str">
        <f ca="1">IFERROR(__xludf.DUMMYFUNCTION("VLOOKUP(O101, IMPORTRANGE(""https://docs.google.com/spreadsheets/d/1yDAaXNsi4Mr5FtRQL4tbmSdIzhx6_m4wkOD7IG-k_eo/edit#gid=1336395716"", ""Science!M:N""), 2, FALSE)"),"(LU006531.004); Default - Analyse")</f>
        <v>(LU006531.004); Default - Analyse</v>
      </c>
      <c r="Q101" s="55" t="str">
        <f t="shared" si="4"/>
        <v>LU006531.005</v>
      </c>
      <c r="R101" s="55" t="str">
        <f ca="1">IFERROR(__xludf.DUMMYFUNCTION("VLOOKUP(Q101, IMPORTRANGE(""https://docs.google.com/spreadsheets/d/1yDAaXNsi4Mr5FtRQL4tbmSdIzhx6_m4wkOD7IG-k_eo/edit#gid=1336395716"", ""Science!M:N""), 2, FALSE)"),"(LU006531.005); Default - Evaluate")</f>
        <v>(LU006531.005); Default - Evaluate</v>
      </c>
      <c r="S101" s="55" t="str">
        <f t="shared" si="5"/>
        <v>LU006531.006</v>
      </c>
      <c r="T101" s="55" t="str">
        <f ca="1">IFERROR(__xludf.DUMMYFUNCTION("VLOOKUP(S101, IMPORTRANGE(""https://docs.google.com/spreadsheets/d/1yDAaXNsi4Mr5FtRQL4tbmSdIzhx6_m4wkOD7IG-k_eo/edit#gid=1336395716"", ""Science!M:N""), 2, FALSE)"),"(LU006531.006); Default - Create")</f>
        <v>(LU006531.006); Default - Create</v>
      </c>
      <c r="U101" s="137" t="str">
        <f ca="1">IFERROR(__xludf.DUMMYFUNCTION("ArrayFormula(VLOOKUP(G101, IMPORTRANGE(""https://docs.google.com/spreadsheets/d/1p7R4vtkWt5VOBim4ltsDG9KTzSjrtKXsMtQGXPHyND0/edit#gid=795171502"", ""'Filter 30_05_2024'!A1:M2000""), {2, 3, 4, 5,6,7,8,9,10,11,12,13}, 0))"),"#N/A")</f>
        <v>#N/A</v>
      </c>
      <c r="V101" s="137" t="str">
        <f ca="1">IFERROR(__xludf.DUMMYFUNCTION("""COMPUTED_VALUE"""),"#N/A")</f>
        <v>#N/A</v>
      </c>
      <c r="W101" s="137" t="str">
        <f ca="1">IFERROR(__xludf.DUMMYFUNCTION("""COMPUTED_VALUE"""),"#N/A")</f>
        <v>#N/A</v>
      </c>
      <c r="X101" s="137" t="str">
        <f ca="1">IFERROR(__xludf.DUMMYFUNCTION("""COMPUTED_VALUE"""),"#N/A")</f>
        <v>#N/A</v>
      </c>
      <c r="Y101" s="137" t="str">
        <f ca="1">IFERROR(__xludf.DUMMYFUNCTION("""COMPUTED_VALUE"""),"#N/A")</f>
        <v>#N/A</v>
      </c>
      <c r="Z101" s="138" t="str">
        <f ca="1">IFERROR(__xludf.DUMMYFUNCTION("""COMPUTED_VALUE"""),"#N/A")</f>
        <v>#N/A</v>
      </c>
      <c r="AA101" s="138" t="str">
        <f ca="1">IFERROR(__xludf.DUMMYFUNCTION("""COMPUTED_VALUE"""),"#N/A")</f>
        <v>#N/A</v>
      </c>
      <c r="AB101" s="138" t="str">
        <f ca="1">IFERROR(__xludf.DUMMYFUNCTION("""COMPUTED_VALUE"""),"#N/A")</f>
        <v>#N/A</v>
      </c>
      <c r="AC101" s="138" t="str">
        <f ca="1">IFERROR(__xludf.DUMMYFUNCTION("""COMPUTED_VALUE"""),"#N/A")</f>
        <v>#N/A</v>
      </c>
      <c r="AD101" s="138" t="str">
        <f ca="1">IFERROR(__xludf.DUMMYFUNCTION("""COMPUTED_VALUE"""),"#N/A")</f>
        <v>#N/A</v>
      </c>
      <c r="AE101" s="138" t="str">
        <f ca="1">IFERROR(__xludf.DUMMYFUNCTION("""COMPUTED_VALUE"""),"#N/A")</f>
        <v>#N/A</v>
      </c>
      <c r="AF101" s="138" t="str">
        <f ca="1">IFERROR(__xludf.DUMMYFUNCTION("""COMPUTED_VALUE"""),"#N/A")</f>
        <v>#N/A</v>
      </c>
      <c r="AG101" s="138" t="str">
        <f ca="1">IFERROR(__xludf.DUMMYFUNCTION("ArrayFormula(VLOOKUP(G101, IMPORTRANGE(""https://docs.google.com/spreadsheets/d/1Co934fvtviyaRiMsrIlT05Jaq7iiYq07aLvRr35KA48/edit?gid=173865642#gid=173865642"", ""'G10_Sci_Pri_LU'!G2:V2000""), {3, 4, 5, 6, 7, 8, 9, 10, 11, 12, 13, 14, 15, 16}, 0))"),"LU005500")</f>
        <v>LU005500</v>
      </c>
      <c r="AH101" s="138" t="str">
        <f ca="1">IFERROR(__xludf.DUMMYFUNCTION("""COMPUTED_VALUE"""),"Writing Chemical Equations")</f>
        <v>Writing Chemical Equations</v>
      </c>
      <c r="AI101" s="138"/>
      <c r="AJ101" s="138"/>
      <c r="AK101" s="138"/>
      <c r="AL101" s="138"/>
      <c r="AM101" s="138"/>
      <c r="AN101" s="138"/>
      <c r="AO101" s="138"/>
      <c r="AP101" s="138"/>
      <c r="AQ101" s="138"/>
      <c r="AR101" s="138"/>
      <c r="AS101" s="138"/>
      <c r="AT101" s="138"/>
    </row>
    <row r="102" spans="1:46">
      <c r="A102" s="54" t="s">
        <v>247</v>
      </c>
      <c r="B102" s="55" t="s">
        <v>47</v>
      </c>
      <c r="C102" s="55" t="s">
        <v>1172</v>
      </c>
      <c r="D102" s="138" t="s">
        <v>1441</v>
      </c>
      <c r="E102" s="54" t="s">
        <v>2615</v>
      </c>
      <c r="F102" s="55" t="s">
        <v>2621</v>
      </c>
      <c r="G102" s="55" t="s">
        <v>2623</v>
      </c>
      <c r="H102" s="54" t="str">
        <f ca="1">IFERROR(__xludf.DUMMYFUNCTION("VLOOKUP(G102, IMPORTRANGE(""https://docs.google.com/spreadsheets/d/14deopnvwcrKtEGCKuYXdUHJbeLDZlkiSSWWT0g7x2pM/edit#gid=849066331"", ""LU List Science (Filter)!A:B""), 2, FALSE)"),"Exothermic and Endothermic Reactions (Examples and Differences)")</f>
        <v>Exothermic and Endothermic Reactions (Examples and Differences)</v>
      </c>
      <c r="I102" s="55" t="str">
        <f t="shared" si="0"/>
        <v>LU006532.001</v>
      </c>
      <c r="J102" s="55" t="str">
        <f ca="1">IFERROR(__xludf.DUMMYFUNCTION("VLOOKUP(I102, IMPORTRANGE(""https://docs.google.com/spreadsheets/d/1yDAaXNsi4Mr5FtRQL4tbmSdIzhx6_m4wkOD7IG-k_eo/edit#gid=1336395716"", ""Science!M:N""), 2, FALSE)"),"(LU006532.001); Default - Remember")</f>
        <v>(LU006532.001); Default - Remember</v>
      </c>
      <c r="K102" s="55" t="str">
        <f t="shared" si="1"/>
        <v>LU006532.002</v>
      </c>
      <c r="L102" s="55" t="str">
        <f ca="1">IFERROR(__xludf.DUMMYFUNCTION("VLOOKUP(K102, IMPORTRANGE(""https://docs.google.com/spreadsheets/d/1yDAaXNsi4Mr5FtRQL4tbmSdIzhx6_m4wkOD7IG-k_eo/edit#gid=1336395716"", ""Science!M:N""), 2, FALSE)"),"(LU006532.002); Default - Understand")</f>
        <v>(LU006532.002); Default - Understand</v>
      </c>
      <c r="M102" s="55" t="str">
        <f t="shared" si="2"/>
        <v>LU006532.003</v>
      </c>
      <c r="N102" s="55" t="str">
        <f ca="1">IFERROR(__xludf.DUMMYFUNCTION("VLOOKUP(M102, IMPORTRANGE(""https://docs.google.com/spreadsheets/d/1yDAaXNsi4Mr5FtRQL4tbmSdIzhx6_m4wkOD7IG-k_eo/edit#gid=1336395716"", ""Science!M:N""), 2, FALSE)"),"(LU006532.003); Default - Apply")</f>
        <v>(LU006532.003); Default - Apply</v>
      </c>
      <c r="O102" s="55" t="str">
        <f t="shared" si="3"/>
        <v>LU006532.004</v>
      </c>
      <c r="P102" s="55" t="str">
        <f ca="1">IFERROR(__xludf.DUMMYFUNCTION("VLOOKUP(O102, IMPORTRANGE(""https://docs.google.com/spreadsheets/d/1yDAaXNsi4Mr5FtRQL4tbmSdIzhx6_m4wkOD7IG-k_eo/edit#gid=1336395716"", ""Science!M:N""), 2, FALSE)"),"(LU006532.004); Default - Analyse")</f>
        <v>(LU006532.004); Default - Analyse</v>
      </c>
      <c r="Q102" s="55" t="str">
        <f t="shared" si="4"/>
        <v>LU006532.005</v>
      </c>
      <c r="R102" s="55" t="str">
        <f ca="1">IFERROR(__xludf.DUMMYFUNCTION("VLOOKUP(Q102, IMPORTRANGE(""https://docs.google.com/spreadsheets/d/1yDAaXNsi4Mr5FtRQL4tbmSdIzhx6_m4wkOD7IG-k_eo/edit#gid=1336395716"", ""Science!M:N""), 2, FALSE)"),"(LU006532.005); Default - Evaluate")</f>
        <v>(LU006532.005); Default - Evaluate</v>
      </c>
      <c r="S102" s="55" t="str">
        <f t="shared" si="5"/>
        <v>LU006532.006</v>
      </c>
      <c r="T102" s="55" t="str">
        <f ca="1">IFERROR(__xludf.DUMMYFUNCTION("VLOOKUP(S102, IMPORTRANGE(""https://docs.google.com/spreadsheets/d/1yDAaXNsi4Mr5FtRQL4tbmSdIzhx6_m4wkOD7IG-k_eo/edit#gid=1336395716"", ""Science!M:N""), 2, FALSE)"),"(LU006532.006); Default - Create")</f>
        <v>(LU006532.006); Default - Create</v>
      </c>
      <c r="U102" s="137" t="str">
        <f ca="1">IFERROR(__xludf.DUMMYFUNCTION("ArrayFormula(VLOOKUP(G102, IMPORTRANGE(""https://docs.google.com/spreadsheets/d/1p7R4vtkWt5VOBim4ltsDG9KTzSjrtKXsMtQGXPHyND0/edit#gid=795171502"", ""'Filter 30_05_2024'!A1:M2000""), {2, 3, 4, 5,6,7,8,9,10,11,12,13}, 0))"),"#N/A")</f>
        <v>#N/A</v>
      </c>
      <c r="V102" s="137" t="str">
        <f ca="1">IFERROR(__xludf.DUMMYFUNCTION("""COMPUTED_VALUE"""),"#N/A")</f>
        <v>#N/A</v>
      </c>
      <c r="W102" s="137" t="str">
        <f ca="1">IFERROR(__xludf.DUMMYFUNCTION("""COMPUTED_VALUE"""),"#N/A")</f>
        <v>#N/A</v>
      </c>
      <c r="X102" s="137" t="str">
        <f ca="1">IFERROR(__xludf.DUMMYFUNCTION("""COMPUTED_VALUE"""),"#N/A")</f>
        <v>#N/A</v>
      </c>
      <c r="Y102" s="137" t="str">
        <f ca="1">IFERROR(__xludf.DUMMYFUNCTION("""COMPUTED_VALUE"""),"#N/A")</f>
        <v>#N/A</v>
      </c>
      <c r="Z102" s="138" t="str">
        <f ca="1">IFERROR(__xludf.DUMMYFUNCTION("""COMPUTED_VALUE"""),"#N/A")</f>
        <v>#N/A</v>
      </c>
      <c r="AA102" s="138" t="str">
        <f ca="1">IFERROR(__xludf.DUMMYFUNCTION("""COMPUTED_VALUE"""),"#N/A")</f>
        <v>#N/A</v>
      </c>
      <c r="AB102" s="138" t="str">
        <f ca="1">IFERROR(__xludf.DUMMYFUNCTION("""COMPUTED_VALUE"""),"#N/A")</f>
        <v>#N/A</v>
      </c>
      <c r="AC102" s="138" t="str">
        <f ca="1">IFERROR(__xludf.DUMMYFUNCTION("""COMPUTED_VALUE"""),"#N/A")</f>
        <v>#N/A</v>
      </c>
      <c r="AD102" s="138" t="str">
        <f ca="1">IFERROR(__xludf.DUMMYFUNCTION("""COMPUTED_VALUE"""),"#N/A")</f>
        <v>#N/A</v>
      </c>
      <c r="AE102" s="138" t="str">
        <f ca="1">IFERROR(__xludf.DUMMYFUNCTION("""COMPUTED_VALUE"""),"#N/A")</f>
        <v>#N/A</v>
      </c>
      <c r="AF102" s="138" t="str">
        <f ca="1">IFERROR(__xludf.DUMMYFUNCTION("""COMPUTED_VALUE"""),"#N/A")</f>
        <v>#N/A</v>
      </c>
      <c r="AG102" s="138" t="str">
        <f ca="1">IFERROR(__xludf.DUMMYFUNCTION("ArrayFormula(VLOOKUP(G102, IMPORTRANGE(""https://docs.google.com/spreadsheets/d/1Co934fvtviyaRiMsrIlT05Jaq7iiYq07aLvRr35KA48/edit?gid=173865642#gid=173865642"", ""'G10_Sci_Pri_LU'!G2:V2000""), {3, 4, 5, 6, 7, 8, 9, 10, 11, 12, 13, 14, 15, 16}, 0))"),"LU006531")</f>
        <v>LU006531</v>
      </c>
      <c r="AH102" s="138" t="str">
        <f ca="1">IFERROR(__xludf.DUMMYFUNCTION("""COMPUTED_VALUE"""),"Combination Reactions")</f>
        <v>Combination Reactions</v>
      </c>
      <c r="AI102" s="138" t="str">
        <f ca="1">IFERROR(__xludf.DUMMYFUNCTION("""COMPUTED_VALUE"""),"LU006530")</f>
        <v>LU006530</v>
      </c>
      <c r="AJ102" s="138" t="str">
        <f ca="1">IFERROR(__xludf.DUMMYFUNCTION("""COMPUTED_VALUE"""),"Balancing the chemical equations")</f>
        <v>Balancing the chemical equations</v>
      </c>
      <c r="AK102" s="138"/>
      <c r="AL102" s="138"/>
      <c r="AM102" s="138"/>
      <c r="AN102" s="138"/>
      <c r="AO102" s="138"/>
      <c r="AP102" s="138"/>
      <c r="AQ102" s="138"/>
      <c r="AR102" s="138"/>
      <c r="AS102" s="138"/>
      <c r="AT102" s="138"/>
    </row>
    <row r="103" spans="1:46">
      <c r="A103" s="54" t="s">
        <v>247</v>
      </c>
      <c r="B103" s="55" t="s">
        <v>47</v>
      </c>
      <c r="C103" s="55" t="s">
        <v>1172</v>
      </c>
      <c r="D103" s="138" t="s">
        <v>1441</v>
      </c>
      <c r="E103" s="54" t="s">
        <v>2615</v>
      </c>
      <c r="F103" s="55" t="s">
        <v>2621</v>
      </c>
      <c r="G103" s="55" t="s">
        <v>2624</v>
      </c>
      <c r="H103" s="54" t="str">
        <f ca="1">IFERROR(__xludf.DUMMYFUNCTION("VLOOKUP(G103, IMPORTRANGE(""https://docs.google.com/spreadsheets/d/14deopnvwcrKtEGCKuYXdUHJbeLDZlkiSSWWT0g7x2pM/edit#gid=849066331"", ""LU List Science (Filter)!A:B""), 2, FALSE)"),"Decomposition Reactions ")</f>
        <v xml:space="preserve">Decomposition Reactions </v>
      </c>
      <c r="I103" s="55" t="str">
        <f t="shared" si="0"/>
        <v>LU006533.001</v>
      </c>
      <c r="J103" s="55" t="str">
        <f ca="1">IFERROR(__xludf.DUMMYFUNCTION("VLOOKUP(I103, IMPORTRANGE(""https://docs.google.com/spreadsheets/d/1yDAaXNsi4Mr5FtRQL4tbmSdIzhx6_m4wkOD7IG-k_eo/edit#gid=1336395716"", ""Science!M:N""), 2, FALSE)"),"(LU006533.001); Default - Remember")</f>
        <v>(LU006533.001); Default - Remember</v>
      </c>
      <c r="K103" s="55" t="str">
        <f t="shared" si="1"/>
        <v>LU006533.002</v>
      </c>
      <c r="L103" s="55" t="str">
        <f ca="1">IFERROR(__xludf.DUMMYFUNCTION("VLOOKUP(K103, IMPORTRANGE(""https://docs.google.com/spreadsheets/d/1yDAaXNsi4Mr5FtRQL4tbmSdIzhx6_m4wkOD7IG-k_eo/edit#gid=1336395716"", ""Science!M:N""), 2, FALSE)"),"(LU006533.002); Default - Understand")</f>
        <v>(LU006533.002); Default - Understand</v>
      </c>
      <c r="M103" s="55" t="str">
        <f t="shared" si="2"/>
        <v>LU006533.003</v>
      </c>
      <c r="N103" s="55" t="str">
        <f ca="1">IFERROR(__xludf.DUMMYFUNCTION("VLOOKUP(M103, IMPORTRANGE(""https://docs.google.com/spreadsheets/d/1yDAaXNsi4Mr5FtRQL4tbmSdIzhx6_m4wkOD7IG-k_eo/edit#gid=1336395716"", ""Science!M:N""), 2, FALSE)"),"(LU006533.003); Default - Apply")</f>
        <v>(LU006533.003); Default - Apply</v>
      </c>
      <c r="O103" s="55" t="str">
        <f t="shared" si="3"/>
        <v>LU006533.004</v>
      </c>
      <c r="P103" s="55" t="str">
        <f ca="1">IFERROR(__xludf.DUMMYFUNCTION("VLOOKUP(O103, IMPORTRANGE(""https://docs.google.com/spreadsheets/d/1yDAaXNsi4Mr5FtRQL4tbmSdIzhx6_m4wkOD7IG-k_eo/edit#gid=1336395716"", ""Science!M:N""), 2, FALSE)"),"(LU006533.004); Default - Analyse")</f>
        <v>(LU006533.004); Default - Analyse</v>
      </c>
      <c r="Q103" s="55" t="str">
        <f t="shared" si="4"/>
        <v>LU006533.005</v>
      </c>
      <c r="R103" s="55" t="str">
        <f ca="1">IFERROR(__xludf.DUMMYFUNCTION("VLOOKUP(Q103, IMPORTRANGE(""https://docs.google.com/spreadsheets/d/1yDAaXNsi4Mr5FtRQL4tbmSdIzhx6_m4wkOD7IG-k_eo/edit#gid=1336395716"", ""Science!M:N""), 2, FALSE)"),"(LU006533.005); Default - Evaluate")</f>
        <v>(LU006533.005); Default - Evaluate</v>
      </c>
      <c r="S103" s="55" t="str">
        <f t="shared" si="5"/>
        <v>LU006533.006</v>
      </c>
      <c r="T103" s="55" t="str">
        <f ca="1">IFERROR(__xludf.DUMMYFUNCTION("VLOOKUP(S103, IMPORTRANGE(""https://docs.google.com/spreadsheets/d/1yDAaXNsi4Mr5FtRQL4tbmSdIzhx6_m4wkOD7IG-k_eo/edit#gid=1336395716"", ""Science!M:N""), 2, FALSE)"),"(LU006533.006); Default - Create")</f>
        <v>(LU006533.006); Default - Create</v>
      </c>
      <c r="U103" s="137" t="str">
        <f ca="1">IFERROR(__xludf.DUMMYFUNCTION("ArrayFormula(VLOOKUP(G103, IMPORTRANGE(""https://docs.google.com/spreadsheets/d/1p7R4vtkWt5VOBim4ltsDG9KTzSjrtKXsMtQGXPHyND0/edit#gid=795171502"", ""'Filter 30_05_2024'!A1:M2000""), {2, 3, 4, 5,6,7,8,9,10,11,12,13}, 0))"),"#N/A")</f>
        <v>#N/A</v>
      </c>
      <c r="V103" s="137" t="str">
        <f ca="1">IFERROR(__xludf.DUMMYFUNCTION("""COMPUTED_VALUE"""),"#N/A")</f>
        <v>#N/A</v>
      </c>
      <c r="W103" s="137" t="str">
        <f ca="1">IFERROR(__xludf.DUMMYFUNCTION("""COMPUTED_VALUE"""),"#N/A")</f>
        <v>#N/A</v>
      </c>
      <c r="X103" s="137" t="str">
        <f ca="1">IFERROR(__xludf.DUMMYFUNCTION("""COMPUTED_VALUE"""),"#N/A")</f>
        <v>#N/A</v>
      </c>
      <c r="Y103" s="137" t="str">
        <f ca="1">IFERROR(__xludf.DUMMYFUNCTION("""COMPUTED_VALUE"""),"#N/A")</f>
        <v>#N/A</v>
      </c>
      <c r="Z103" s="138" t="str">
        <f ca="1">IFERROR(__xludf.DUMMYFUNCTION("""COMPUTED_VALUE"""),"#N/A")</f>
        <v>#N/A</v>
      </c>
      <c r="AA103" s="138" t="str">
        <f ca="1">IFERROR(__xludf.DUMMYFUNCTION("""COMPUTED_VALUE"""),"#N/A")</f>
        <v>#N/A</v>
      </c>
      <c r="AB103" s="138" t="str">
        <f ca="1">IFERROR(__xludf.DUMMYFUNCTION("""COMPUTED_VALUE"""),"#N/A")</f>
        <v>#N/A</v>
      </c>
      <c r="AC103" s="138" t="str">
        <f ca="1">IFERROR(__xludf.DUMMYFUNCTION("""COMPUTED_VALUE"""),"#N/A")</f>
        <v>#N/A</v>
      </c>
      <c r="AD103" s="138" t="str">
        <f ca="1">IFERROR(__xludf.DUMMYFUNCTION("""COMPUTED_VALUE"""),"#N/A")</f>
        <v>#N/A</v>
      </c>
      <c r="AE103" s="138" t="str">
        <f ca="1">IFERROR(__xludf.DUMMYFUNCTION("""COMPUTED_VALUE"""),"#N/A")</f>
        <v>#N/A</v>
      </c>
      <c r="AF103" s="138" t="str">
        <f ca="1">IFERROR(__xludf.DUMMYFUNCTION("""COMPUTED_VALUE"""),"#N/A")</f>
        <v>#N/A</v>
      </c>
      <c r="AG103" s="138" t="str">
        <f ca="1">IFERROR(__xludf.DUMMYFUNCTION("ArrayFormula(VLOOKUP(G103, IMPORTRANGE(""https://docs.google.com/spreadsheets/d/1Co934fvtviyaRiMsrIlT05Jaq7iiYq07aLvRr35KA48/edit?gid=173865642#gid=173865642"", ""'G10_Sci_Pri_LU'!G2:V2000""), {3, 4, 5, 6, 7, 8, 9, 10, 11, 12, 13, 14, 15, 16}, 0))"),"LU006532")</f>
        <v>LU006532</v>
      </c>
      <c r="AH103" s="138" t="str">
        <f ca="1">IFERROR(__xludf.DUMMYFUNCTION("""COMPUTED_VALUE"""),"Exothermic and Endothermic Reactions (Examples and Differences)")</f>
        <v>Exothermic and Endothermic Reactions (Examples and Differences)</v>
      </c>
      <c r="AI103" s="138" t="str">
        <f ca="1">IFERROR(__xludf.DUMMYFUNCTION("""COMPUTED_VALUE"""),"LU006530")</f>
        <v>LU006530</v>
      </c>
      <c r="AJ103" s="138" t="str">
        <f ca="1">IFERROR(__xludf.DUMMYFUNCTION("""COMPUTED_VALUE"""),"Balancing the chemical equations")</f>
        <v>Balancing the chemical equations</v>
      </c>
      <c r="AK103" s="138"/>
      <c r="AL103" s="138"/>
      <c r="AM103" s="138"/>
      <c r="AN103" s="138"/>
      <c r="AO103" s="138"/>
      <c r="AP103" s="138"/>
      <c r="AQ103" s="138"/>
      <c r="AR103" s="138"/>
      <c r="AS103" s="138"/>
      <c r="AT103" s="138"/>
    </row>
    <row r="104" spans="1:46">
      <c r="A104" s="54" t="s">
        <v>247</v>
      </c>
      <c r="B104" s="55" t="s">
        <v>47</v>
      </c>
      <c r="C104" s="55" t="s">
        <v>1172</v>
      </c>
      <c r="D104" s="138" t="s">
        <v>1441</v>
      </c>
      <c r="E104" s="54" t="s">
        <v>2615</v>
      </c>
      <c r="F104" s="55" t="s">
        <v>2625</v>
      </c>
      <c r="G104" s="55" t="s">
        <v>2626</v>
      </c>
      <c r="H104" s="54" t="str">
        <f ca="1">IFERROR(__xludf.DUMMYFUNCTION("VLOOKUP(G104, IMPORTRANGE(""https://docs.google.com/spreadsheets/d/14deopnvwcrKtEGCKuYXdUHJbeLDZlkiSSWWT0g7x2pM/edit#gid=849066331"", ""LU List Science (Filter)!A:B""), 2, FALSE)"),"Displacement Reactions ")</f>
        <v xml:space="preserve">Displacement Reactions </v>
      </c>
      <c r="I104" s="55" t="str">
        <f t="shared" si="0"/>
        <v>LU006534.001</v>
      </c>
      <c r="J104" s="55" t="str">
        <f ca="1">IFERROR(__xludf.DUMMYFUNCTION("VLOOKUP(I104, IMPORTRANGE(""https://docs.google.com/spreadsheets/d/1yDAaXNsi4Mr5FtRQL4tbmSdIzhx6_m4wkOD7IG-k_eo/edit#gid=1336395716"", ""Science!M:N""), 2, FALSE)"),"(LU006534.001); Default - Remember")</f>
        <v>(LU006534.001); Default - Remember</v>
      </c>
      <c r="K104" s="55" t="str">
        <f t="shared" si="1"/>
        <v>LU006534.002</v>
      </c>
      <c r="L104" s="55" t="str">
        <f ca="1">IFERROR(__xludf.DUMMYFUNCTION("VLOOKUP(K104, IMPORTRANGE(""https://docs.google.com/spreadsheets/d/1yDAaXNsi4Mr5FtRQL4tbmSdIzhx6_m4wkOD7IG-k_eo/edit#gid=1336395716"", ""Science!M:N""), 2, FALSE)"),"(LU006534.002); Default - Understand")</f>
        <v>(LU006534.002); Default - Understand</v>
      </c>
      <c r="M104" s="55" t="str">
        <f t="shared" si="2"/>
        <v>LU006534.003</v>
      </c>
      <c r="N104" s="55" t="str">
        <f ca="1">IFERROR(__xludf.DUMMYFUNCTION("VLOOKUP(M104, IMPORTRANGE(""https://docs.google.com/spreadsheets/d/1yDAaXNsi4Mr5FtRQL4tbmSdIzhx6_m4wkOD7IG-k_eo/edit#gid=1336395716"", ""Science!M:N""), 2, FALSE)"),"(LU006534.003); Default - Apply")</f>
        <v>(LU006534.003); Default - Apply</v>
      </c>
      <c r="O104" s="55" t="str">
        <f t="shared" si="3"/>
        <v>LU006534.004</v>
      </c>
      <c r="P104" s="55" t="str">
        <f ca="1">IFERROR(__xludf.DUMMYFUNCTION("VLOOKUP(O104, IMPORTRANGE(""https://docs.google.com/spreadsheets/d/1yDAaXNsi4Mr5FtRQL4tbmSdIzhx6_m4wkOD7IG-k_eo/edit#gid=1336395716"", ""Science!M:N""), 2, FALSE)"),"(LU006534.004); Default - Analyse")</f>
        <v>(LU006534.004); Default - Analyse</v>
      </c>
      <c r="Q104" s="55" t="str">
        <f t="shared" si="4"/>
        <v>LU006534.005</v>
      </c>
      <c r="R104" s="55" t="str">
        <f ca="1">IFERROR(__xludf.DUMMYFUNCTION("VLOOKUP(Q104, IMPORTRANGE(""https://docs.google.com/spreadsheets/d/1yDAaXNsi4Mr5FtRQL4tbmSdIzhx6_m4wkOD7IG-k_eo/edit#gid=1336395716"", ""Science!M:N""), 2, FALSE)"),"(LU006534.005); Default - Evaluate")</f>
        <v>(LU006534.005); Default - Evaluate</v>
      </c>
      <c r="S104" s="55" t="str">
        <f t="shared" si="5"/>
        <v>LU006534.006</v>
      </c>
      <c r="T104" s="55" t="str">
        <f ca="1">IFERROR(__xludf.DUMMYFUNCTION("VLOOKUP(S104, IMPORTRANGE(""https://docs.google.com/spreadsheets/d/1yDAaXNsi4Mr5FtRQL4tbmSdIzhx6_m4wkOD7IG-k_eo/edit#gid=1336395716"", ""Science!M:N""), 2, FALSE)"),"(LU006534.006); Default - Create")</f>
        <v>(LU006534.006); Default - Create</v>
      </c>
      <c r="U104" s="137" t="str">
        <f ca="1">IFERROR(__xludf.DUMMYFUNCTION("ArrayFormula(VLOOKUP(G104, IMPORTRANGE(""https://docs.google.com/spreadsheets/d/1p7R4vtkWt5VOBim4ltsDG9KTzSjrtKXsMtQGXPHyND0/edit#gid=795171502"", ""'Filter 30_05_2024'!A1:M2000""), {2, 3, 4, 5,6,7,8,9,10,11,12,13}, 0))"),"#N/A")</f>
        <v>#N/A</v>
      </c>
      <c r="V104" s="137" t="str">
        <f ca="1">IFERROR(__xludf.DUMMYFUNCTION("""COMPUTED_VALUE"""),"#N/A")</f>
        <v>#N/A</v>
      </c>
      <c r="W104" s="137" t="str">
        <f ca="1">IFERROR(__xludf.DUMMYFUNCTION("""COMPUTED_VALUE"""),"#N/A")</f>
        <v>#N/A</v>
      </c>
      <c r="X104" s="137" t="str">
        <f ca="1">IFERROR(__xludf.DUMMYFUNCTION("""COMPUTED_VALUE"""),"#N/A")</f>
        <v>#N/A</v>
      </c>
      <c r="Y104" s="137" t="str">
        <f ca="1">IFERROR(__xludf.DUMMYFUNCTION("""COMPUTED_VALUE"""),"#N/A")</f>
        <v>#N/A</v>
      </c>
      <c r="Z104" s="138" t="str">
        <f ca="1">IFERROR(__xludf.DUMMYFUNCTION("""COMPUTED_VALUE"""),"#N/A")</f>
        <v>#N/A</v>
      </c>
      <c r="AA104" s="138" t="str">
        <f ca="1">IFERROR(__xludf.DUMMYFUNCTION("""COMPUTED_VALUE"""),"#N/A")</f>
        <v>#N/A</v>
      </c>
      <c r="AB104" s="138" t="str">
        <f ca="1">IFERROR(__xludf.DUMMYFUNCTION("""COMPUTED_VALUE"""),"#N/A")</f>
        <v>#N/A</v>
      </c>
      <c r="AC104" s="138" t="str">
        <f ca="1">IFERROR(__xludf.DUMMYFUNCTION("""COMPUTED_VALUE"""),"#N/A")</f>
        <v>#N/A</v>
      </c>
      <c r="AD104" s="138" t="str">
        <f ca="1">IFERROR(__xludf.DUMMYFUNCTION("""COMPUTED_VALUE"""),"#N/A")</f>
        <v>#N/A</v>
      </c>
      <c r="AE104" s="138" t="str">
        <f ca="1">IFERROR(__xludf.DUMMYFUNCTION("""COMPUTED_VALUE"""),"#N/A")</f>
        <v>#N/A</v>
      </c>
      <c r="AF104" s="138" t="str">
        <f ca="1">IFERROR(__xludf.DUMMYFUNCTION("""COMPUTED_VALUE"""),"#N/A")</f>
        <v>#N/A</v>
      </c>
      <c r="AG104" s="138" t="str">
        <f ca="1">IFERROR(__xludf.DUMMYFUNCTION("ArrayFormula(VLOOKUP(G104, IMPORTRANGE(""https://docs.google.com/spreadsheets/d/1Co934fvtviyaRiMsrIlT05Jaq7iiYq07aLvRr35KA48/edit?gid=173865642#gid=173865642"", ""'G10_Sci_Pri_LU'!G2:V2000""), {3, 4, 5, 6, 7, 8, 9, 10, 11, 12, 13, 14, 15, 16}, 0))"),"LU005500")</f>
        <v>LU005500</v>
      </c>
      <c r="AH104" s="138" t="str">
        <f ca="1">IFERROR(__xludf.DUMMYFUNCTION("""COMPUTED_VALUE"""),"Writing Chemical Equations")</f>
        <v>Writing Chemical Equations</v>
      </c>
      <c r="AI104" s="138" t="str">
        <f ca="1">IFERROR(__xludf.DUMMYFUNCTION("""COMPUTED_VALUE"""),"LU006530")</f>
        <v>LU006530</v>
      </c>
      <c r="AJ104" s="138" t="str">
        <f ca="1">IFERROR(__xludf.DUMMYFUNCTION("""COMPUTED_VALUE"""),"Balancing the chemical equations")</f>
        <v>Balancing the chemical equations</v>
      </c>
      <c r="AK104" s="138"/>
      <c r="AL104" s="138"/>
      <c r="AM104" s="138"/>
      <c r="AN104" s="138"/>
      <c r="AO104" s="138"/>
      <c r="AP104" s="138"/>
      <c r="AQ104" s="138"/>
      <c r="AR104" s="138"/>
      <c r="AS104" s="138"/>
      <c r="AT104" s="138"/>
    </row>
    <row r="105" spans="1:46">
      <c r="A105" s="54" t="s">
        <v>247</v>
      </c>
      <c r="B105" s="55" t="s">
        <v>47</v>
      </c>
      <c r="C105" s="55" t="s">
        <v>1172</v>
      </c>
      <c r="D105" s="138" t="s">
        <v>1441</v>
      </c>
      <c r="E105" s="54" t="s">
        <v>2615</v>
      </c>
      <c r="F105" s="55" t="s">
        <v>2625</v>
      </c>
      <c r="G105" s="55" t="s">
        <v>2627</v>
      </c>
      <c r="H105" s="54" t="str">
        <f ca="1">IFERROR(__xludf.DUMMYFUNCTION("VLOOKUP(G105, IMPORTRANGE(""https://docs.google.com/spreadsheets/d/14deopnvwcrKtEGCKuYXdUHJbeLDZlkiSSWWT0g7x2pM/edit#gid=849066331"", ""LU List Science (Filter)!A:B""), 2, FALSE)"),"Double Displacement Reactions (including precipitation reactions)")</f>
        <v>Double Displacement Reactions (including precipitation reactions)</v>
      </c>
      <c r="I105" s="55" t="str">
        <f t="shared" si="0"/>
        <v>LU006535.001</v>
      </c>
      <c r="J105" s="55" t="str">
        <f ca="1">IFERROR(__xludf.DUMMYFUNCTION("VLOOKUP(I105, IMPORTRANGE(""https://docs.google.com/spreadsheets/d/1yDAaXNsi4Mr5FtRQL4tbmSdIzhx6_m4wkOD7IG-k_eo/edit#gid=1336395716"", ""Science!M:N""), 2, FALSE)"),"(LU006535.001); Default - Remember")</f>
        <v>(LU006535.001); Default - Remember</v>
      </c>
      <c r="K105" s="55" t="str">
        <f t="shared" si="1"/>
        <v>LU006535.002</v>
      </c>
      <c r="L105" s="55" t="str">
        <f ca="1">IFERROR(__xludf.DUMMYFUNCTION("VLOOKUP(K105, IMPORTRANGE(""https://docs.google.com/spreadsheets/d/1yDAaXNsi4Mr5FtRQL4tbmSdIzhx6_m4wkOD7IG-k_eo/edit#gid=1336395716"", ""Science!M:N""), 2, FALSE)"),"(LU006535.002); Default - Understand")</f>
        <v>(LU006535.002); Default - Understand</v>
      </c>
      <c r="M105" s="55" t="str">
        <f t="shared" si="2"/>
        <v>LU006535.003</v>
      </c>
      <c r="N105" s="55" t="str">
        <f ca="1">IFERROR(__xludf.DUMMYFUNCTION("VLOOKUP(M105, IMPORTRANGE(""https://docs.google.com/spreadsheets/d/1yDAaXNsi4Mr5FtRQL4tbmSdIzhx6_m4wkOD7IG-k_eo/edit#gid=1336395716"", ""Science!M:N""), 2, FALSE)"),"(LU006535.003); Default - Apply")</f>
        <v>(LU006535.003); Default - Apply</v>
      </c>
      <c r="O105" s="55" t="str">
        <f t="shared" si="3"/>
        <v>LU006535.004</v>
      </c>
      <c r="P105" s="55" t="str">
        <f ca="1">IFERROR(__xludf.DUMMYFUNCTION("VLOOKUP(O105, IMPORTRANGE(""https://docs.google.com/spreadsheets/d/1yDAaXNsi4Mr5FtRQL4tbmSdIzhx6_m4wkOD7IG-k_eo/edit#gid=1336395716"", ""Science!M:N""), 2, FALSE)"),"(LU006535.004); Default - Analyse")</f>
        <v>(LU006535.004); Default - Analyse</v>
      </c>
      <c r="Q105" s="55" t="str">
        <f t="shared" si="4"/>
        <v>LU006535.005</v>
      </c>
      <c r="R105" s="55" t="str">
        <f ca="1">IFERROR(__xludf.DUMMYFUNCTION("VLOOKUP(Q105, IMPORTRANGE(""https://docs.google.com/spreadsheets/d/1yDAaXNsi4Mr5FtRQL4tbmSdIzhx6_m4wkOD7IG-k_eo/edit#gid=1336395716"", ""Science!M:N""), 2, FALSE)"),"(LU006535.005); Default - Evaluate")</f>
        <v>(LU006535.005); Default - Evaluate</v>
      </c>
      <c r="S105" s="55" t="str">
        <f t="shared" si="5"/>
        <v>LU006535.006</v>
      </c>
      <c r="T105" s="55" t="str">
        <f ca="1">IFERROR(__xludf.DUMMYFUNCTION("VLOOKUP(S105, IMPORTRANGE(""https://docs.google.com/spreadsheets/d/1yDAaXNsi4Mr5FtRQL4tbmSdIzhx6_m4wkOD7IG-k_eo/edit#gid=1336395716"", ""Science!M:N""), 2, FALSE)"),"(LU006535.006); Default - Create")</f>
        <v>(LU006535.006); Default - Create</v>
      </c>
      <c r="U105" s="137" t="str">
        <f ca="1">IFERROR(__xludf.DUMMYFUNCTION("ArrayFormula(VLOOKUP(G105, IMPORTRANGE(""https://docs.google.com/spreadsheets/d/1p7R4vtkWt5VOBim4ltsDG9KTzSjrtKXsMtQGXPHyND0/edit#gid=795171502"", ""'Filter 30_05_2024'!A1:M2000""), {2, 3, 4, 5,6,7,8,9,10,11,12,13}, 0))"),"#N/A")</f>
        <v>#N/A</v>
      </c>
      <c r="V105" s="137" t="str">
        <f ca="1">IFERROR(__xludf.DUMMYFUNCTION("""COMPUTED_VALUE"""),"#N/A")</f>
        <v>#N/A</v>
      </c>
      <c r="W105" s="137" t="str">
        <f ca="1">IFERROR(__xludf.DUMMYFUNCTION("""COMPUTED_VALUE"""),"#N/A")</f>
        <v>#N/A</v>
      </c>
      <c r="X105" s="137" t="str">
        <f ca="1">IFERROR(__xludf.DUMMYFUNCTION("""COMPUTED_VALUE"""),"#N/A")</f>
        <v>#N/A</v>
      </c>
      <c r="Y105" s="137" t="str">
        <f ca="1">IFERROR(__xludf.DUMMYFUNCTION("""COMPUTED_VALUE"""),"#N/A")</f>
        <v>#N/A</v>
      </c>
      <c r="Z105" s="138" t="str">
        <f ca="1">IFERROR(__xludf.DUMMYFUNCTION("""COMPUTED_VALUE"""),"#N/A")</f>
        <v>#N/A</v>
      </c>
      <c r="AA105" s="138" t="str">
        <f ca="1">IFERROR(__xludf.DUMMYFUNCTION("""COMPUTED_VALUE"""),"#N/A")</f>
        <v>#N/A</v>
      </c>
      <c r="AB105" s="138" t="str">
        <f ca="1">IFERROR(__xludf.DUMMYFUNCTION("""COMPUTED_VALUE"""),"#N/A")</f>
        <v>#N/A</v>
      </c>
      <c r="AC105" s="138" t="str">
        <f ca="1">IFERROR(__xludf.DUMMYFUNCTION("""COMPUTED_VALUE"""),"#N/A")</f>
        <v>#N/A</v>
      </c>
      <c r="AD105" s="138" t="str">
        <f ca="1">IFERROR(__xludf.DUMMYFUNCTION("""COMPUTED_VALUE"""),"#N/A")</f>
        <v>#N/A</v>
      </c>
      <c r="AE105" s="138" t="str">
        <f ca="1">IFERROR(__xludf.DUMMYFUNCTION("""COMPUTED_VALUE"""),"#N/A")</f>
        <v>#N/A</v>
      </c>
      <c r="AF105" s="138" t="str">
        <f ca="1">IFERROR(__xludf.DUMMYFUNCTION("""COMPUTED_VALUE"""),"#N/A")</f>
        <v>#N/A</v>
      </c>
      <c r="AG105" s="138" t="str">
        <f ca="1">IFERROR(__xludf.DUMMYFUNCTION("ArrayFormula(VLOOKUP(G105, IMPORTRANGE(""https://docs.google.com/spreadsheets/d/1Co934fvtviyaRiMsrIlT05Jaq7iiYq07aLvRr35KA48/edit?gid=173865642#gid=173865642"", ""'G10_Sci_Pri_LU'!G2:V2000""), {3, 4, 5, 6, 7, 8, 9, 10, 11, 12, 13, 14, 15, 16}, 0))"),"LU006534")</f>
        <v>LU006534</v>
      </c>
      <c r="AH105" s="138" t="str">
        <f ca="1">IFERROR(__xludf.DUMMYFUNCTION("""COMPUTED_VALUE"""),"Displacement Reactions")</f>
        <v>Displacement Reactions</v>
      </c>
      <c r="AI105" s="138" t="str">
        <f ca="1">IFERROR(__xludf.DUMMYFUNCTION("""COMPUTED_VALUE"""),"LU006530")</f>
        <v>LU006530</v>
      </c>
      <c r="AJ105" s="138" t="str">
        <f ca="1">IFERROR(__xludf.DUMMYFUNCTION("""COMPUTED_VALUE"""),"Balancing the chemical equations")</f>
        <v>Balancing the chemical equations</v>
      </c>
      <c r="AK105" s="138"/>
      <c r="AL105" s="138"/>
      <c r="AM105" s="138"/>
      <c r="AN105" s="138"/>
      <c r="AO105" s="138"/>
      <c r="AP105" s="138"/>
      <c r="AQ105" s="138"/>
      <c r="AR105" s="138"/>
      <c r="AS105" s="138"/>
      <c r="AT105" s="138"/>
    </row>
    <row r="106" spans="1:46">
      <c r="A106" s="54" t="s">
        <v>247</v>
      </c>
      <c r="B106" s="55" t="s">
        <v>47</v>
      </c>
      <c r="C106" s="55" t="s">
        <v>1172</v>
      </c>
      <c r="D106" s="138" t="s">
        <v>1441</v>
      </c>
      <c r="E106" s="54" t="s">
        <v>2615</v>
      </c>
      <c r="F106" s="55" t="s">
        <v>2628</v>
      </c>
      <c r="G106" s="55" t="s">
        <v>2629</v>
      </c>
      <c r="H106" s="54" t="str">
        <f ca="1">IFERROR(__xludf.DUMMYFUNCTION("VLOOKUP(G106, IMPORTRANGE(""https://docs.google.com/spreadsheets/d/14deopnvwcrKtEGCKuYXdUHJbeLDZlkiSSWWT0g7x2pM/edit#gid=849066331"", ""LU List Science (Filter)!A:B""), 2, FALSE)"),"Redox Reactions ")</f>
        <v xml:space="preserve">Redox Reactions </v>
      </c>
      <c r="I106" s="55" t="str">
        <f t="shared" si="0"/>
        <v>LU006536.001</v>
      </c>
      <c r="J106" s="55" t="str">
        <f ca="1">IFERROR(__xludf.DUMMYFUNCTION("VLOOKUP(I106, IMPORTRANGE(""https://docs.google.com/spreadsheets/d/1yDAaXNsi4Mr5FtRQL4tbmSdIzhx6_m4wkOD7IG-k_eo/edit#gid=1336395716"", ""Science!M:N""), 2, FALSE)"),"(LU006536.001); Default - Remember")</f>
        <v>(LU006536.001); Default - Remember</v>
      </c>
      <c r="K106" s="55" t="str">
        <f t="shared" si="1"/>
        <v>LU006536.002</v>
      </c>
      <c r="L106" s="55" t="str">
        <f ca="1">IFERROR(__xludf.DUMMYFUNCTION("VLOOKUP(K106, IMPORTRANGE(""https://docs.google.com/spreadsheets/d/1yDAaXNsi4Mr5FtRQL4tbmSdIzhx6_m4wkOD7IG-k_eo/edit#gid=1336395716"", ""Science!M:N""), 2, FALSE)"),"(LU006536.002); Default - Understand")</f>
        <v>(LU006536.002); Default - Understand</v>
      </c>
      <c r="M106" s="55" t="str">
        <f t="shared" si="2"/>
        <v>LU006536.003</v>
      </c>
      <c r="N106" s="55" t="str">
        <f ca="1">IFERROR(__xludf.DUMMYFUNCTION("VLOOKUP(M106, IMPORTRANGE(""https://docs.google.com/spreadsheets/d/1yDAaXNsi4Mr5FtRQL4tbmSdIzhx6_m4wkOD7IG-k_eo/edit#gid=1336395716"", ""Science!M:N""), 2, FALSE)"),"(LU006536.003); Default - Apply")</f>
        <v>(LU006536.003); Default - Apply</v>
      </c>
      <c r="O106" s="55" t="str">
        <f t="shared" si="3"/>
        <v>LU006536.004</v>
      </c>
      <c r="P106" s="55" t="str">
        <f ca="1">IFERROR(__xludf.DUMMYFUNCTION("VLOOKUP(O106, IMPORTRANGE(""https://docs.google.com/spreadsheets/d/1yDAaXNsi4Mr5FtRQL4tbmSdIzhx6_m4wkOD7IG-k_eo/edit#gid=1336395716"", ""Science!M:N""), 2, FALSE)"),"(LU006536.004); Default - Analyse")</f>
        <v>(LU006536.004); Default - Analyse</v>
      </c>
      <c r="Q106" s="55" t="str">
        <f t="shared" si="4"/>
        <v>LU006536.005</v>
      </c>
      <c r="R106" s="55" t="str">
        <f ca="1">IFERROR(__xludf.DUMMYFUNCTION("VLOOKUP(Q106, IMPORTRANGE(""https://docs.google.com/spreadsheets/d/1yDAaXNsi4Mr5FtRQL4tbmSdIzhx6_m4wkOD7IG-k_eo/edit#gid=1336395716"", ""Science!M:N""), 2, FALSE)"),"(LU006536.005); Default - Evaluate")</f>
        <v>(LU006536.005); Default - Evaluate</v>
      </c>
      <c r="S106" s="55" t="str">
        <f t="shared" si="5"/>
        <v>LU006536.006</v>
      </c>
      <c r="T106" s="55" t="str">
        <f ca="1">IFERROR(__xludf.DUMMYFUNCTION("VLOOKUP(S106, IMPORTRANGE(""https://docs.google.com/spreadsheets/d/1yDAaXNsi4Mr5FtRQL4tbmSdIzhx6_m4wkOD7IG-k_eo/edit#gid=1336395716"", ""Science!M:N""), 2, FALSE)"),"(LU006536.006); Default - Create")</f>
        <v>(LU006536.006); Default - Create</v>
      </c>
      <c r="U106" s="137" t="str">
        <f ca="1">IFERROR(__xludf.DUMMYFUNCTION("ArrayFormula(VLOOKUP(G106, IMPORTRANGE(""https://docs.google.com/spreadsheets/d/1p7R4vtkWt5VOBim4ltsDG9KTzSjrtKXsMtQGXPHyND0/edit#gid=795171502"", ""'Filter 30_05_2024'!A1:M2000""), {2, 3, 4, 5,6,7,8,9,10,11,12,13}, 0))"),"#N/A")</f>
        <v>#N/A</v>
      </c>
      <c r="V106" s="137" t="str">
        <f ca="1">IFERROR(__xludf.DUMMYFUNCTION("""COMPUTED_VALUE"""),"#N/A")</f>
        <v>#N/A</v>
      </c>
      <c r="W106" s="137" t="str">
        <f ca="1">IFERROR(__xludf.DUMMYFUNCTION("""COMPUTED_VALUE"""),"#N/A")</f>
        <v>#N/A</v>
      </c>
      <c r="X106" s="137" t="str">
        <f ca="1">IFERROR(__xludf.DUMMYFUNCTION("""COMPUTED_VALUE"""),"#N/A")</f>
        <v>#N/A</v>
      </c>
      <c r="Y106" s="137" t="str">
        <f ca="1">IFERROR(__xludf.DUMMYFUNCTION("""COMPUTED_VALUE"""),"#N/A")</f>
        <v>#N/A</v>
      </c>
      <c r="Z106" s="138" t="str">
        <f ca="1">IFERROR(__xludf.DUMMYFUNCTION("""COMPUTED_VALUE"""),"#N/A")</f>
        <v>#N/A</v>
      </c>
      <c r="AA106" s="138" t="str">
        <f ca="1">IFERROR(__xludf.DUMMYFUNCTION("""COMPUTED_VALUE"""),"#N/A")</f>
        <v>#N/A</v>
      </c>
      <c r="AB106" s="138" t="str">
        <f ca="1">IFERROR(__xludf.DUMMYFUNCTION("""COMPUTED_VALUE"""),"#N/A")</f>
        <v>#N/A</v>
      </c>
      <c r="AC106" s="138" t="str">
        <f ca="1">IFERROR(__xludf.DUMMYFUNCTION("""COMPUTED_VALUE"""),"#N/A")</f>
        <v>#N/A</v>
      </c>
      <c r="AD106" s="138" t="str">
        <f ca="1">IFERROR(__xludf.DUMMYFUNCTION("""COMPUTED_VALUE"""),"#N/A")</f>
        <v>#N/A</v>
      </c>
      <c r="AE106" s="138" t="str">
        <f ca="1">IFERROR(__xludf.DUMMYFUNCTION("""COMPUTED_VALUE"""),"#N/A")</f>
        <v>#N/A</v>
      </c>
      <c r="AF106" s="138" t="str">
        <f ca="1">IFERROR(__xludf.DUMMYFUNCTION("""COMPUTED_VALUE"""),"#N/A")</f>
        <v>#N/A</v>
      </c>
      <c r="AG106" s="138" t="str">
        <f ca="1">IFERROR(__xludf.DUMMYFUNCTION("ArrayFormula(VLOOKUP(G106, IMPORTRANGE(""https://docs.google.com/spreadsheets/d/1Co934fvtviyaRiMsrIlT05Jaq7iiYq07aLvRr35KA48/edit?gid=173865642#gid=173865642"", ""'G10_Sci_Pri_LU'!G2:V2000""), {3, 4, 5, 6, 7, 8, 9, 10, 11, 12, 13, 14, 15, 16}, 0))"),"LU006535")</f>
        <v>LU006535</v>
      </c>
      <c r="AH106" s="138" t="str">
        <f ca="1">IFERROR(__xludf.DUMMYFUNCTION("""COMPUTED_VALUE"""),"Double Displacement Reactions (including precipitation reactions)")</f>
        <v>Double Displacement Reactions (including precipitation reactions)</v>
      </c>
      <c r="AI106" s="138" t="str">
        <f ca="1">IFERROR(__xludf.DUMMYFUNCTION("""COMPUTED_VALUE"""),"LU006530")</f>
        <v>LU006530</v>
      </c>
      <c r="AJ106" s="138" t="str">
        <f ca="1">IFERROR(__xludf.DUMMYFUNCTION("""COMPUTED_VALUE"""),"Balancing the chemical equations")</f>
        <v>Balancing the chemical equations</v>
      </c>
      <c r="AK106" s="138"/>
      <c r="AL106" s="138"/>
      <c r="AM106" s="138"/>
      <c r="AN106" s="138"/>
      <c r="AO106" s="138"/>
      <c r="AP106" s="138"/>
      <c r="AQ106" s="138"/>
      <c r="AR106" s="138"/>
      <c r="AS106" s="138"/>
      <c r="AT106" s="138"/>
    </row>
    <row r="107" spans="1:46">
      <c r="A107" s="54" t="s">
        <v>247</v>
      </c>
      <c r="B107" s="55" t="s">
        <v>47</v>
      </c>
      <c r="C107" s="55" t="s">
        <v>1172</v>
      </c>
      <c r="D107" s="138" t="s">
        <v>1441</v>
      </c>
      <c r="E107" s="54" t="s">
        <v>2615</v>
      </c>
      <c r="F107" s="55" t="s">
        <v>2628</v>
      </c>
      <c r="G107" s="55" t="s">
        <v>2630</v>
      </c>
      <c r="H107" s="54" t="str">
        <f ca="1">IFERROR(__xludf.DUMMYFUNCTION("VLOOKUP(G107, IMPORTRANGE(""https://docs.google.com/spreadsheets/d/14deopnvwcrKtEGCKuYXdUHJbeLDZlkiSSWWT0g7x2pM/edit#gid=849066331"", ""LU List Science (Filter)!A:B""), 2, FALSE)"),"Effects of Oxidation Reactions")</f>
        <v>Effects of Oxidation Reactions</v>
      </c>
      <c r="I107" s="55" t="str">
        <f t="shared" si="0"/>
        <v>LU006537.001</v>
      </c>
      <c r="J107" s="55" t="str">
        <f ca="1">IFERROR(__xludf.DUMMYFUNCTION("VLOOKUP(I107, IMPORTRANGE(""https://docs.google.com/spreadsheets/d/1yDAaXNsi4Mr5FtRQL4tbmSdIzhx6_m4wkOD7IG-k_eo/edit#gid=1336395716"", ""Science!M:N""), 2, FALSE)"),"(LU006537.001); Default - Remember")</f>
        <v>(LU006537.001); Default - Remember</v>
      </c>
      <c r="K107" s="55" t="str">
        <f t="shared" si="1"/>
        <v>LU006537.002</v>
      </c>
      <c r="L107" s="55" t="str">
        <f ca="1">IFERROR(__xludf.DUMMYFUNCTION("VLOOKUP(K107, IMPORTRANGE(""https://docs.google.com/spreadsheets/d/1yDAaXNsi4Mr5FtRQL4tbmSdIzhx6_m4wkOD7IG-k_eo/edit#gid=1336395716"", ""Science!M:N""), 2, FALSE)"),"(LU006537.002); Default - Understand")</f>
        <v>(LU006537.002); Default - Understand</v>
      </c>
      <c r="M107" s="55" t="str">
        <f t="shared" si="2"/>
        <v>LU006537.003</v>
      </c>
      <c r="N107" s="55" t="str">
        <f ca="1">IFERROR(__xludf.DUMMYFUNCTION("VLOOKUP(M107, IMPORTRANGE(""https://docs.google.com/spreadsheets/d/1yDAaXNsi4Mr5FtRQL4tbmSdIzhx6_m4wkOD7IG-k_eo/edit#gid=1336395716"", ""Science!M:N""), 2, FALSE)"),"(LU006537.003); Default - Apply")</f>
        <v>(LU006537.003); Default - Apply</v>
      </c>
      <c r="O107" s="55" t="str">
        <f t="shared" si="3"/>
        <v>LU006537.004</v>
      </c>
      <c r="P107" s="55" t="str">
        <f ca="1">IFERROR(__xludf.DUMMYFUNCTION("VLOOKUP(O107, IMPORTRANGE(""https://docs.google.com/spreadsheets/d/1yDAaXNsi4Mr5FtRQL4tbmSdIzhx6_m4wkOD7IG-k_eo/edit#gid=1336395716"", ""Science!M:N""), 2, FALSE)"),"(LU006537.004); Default - Analyse")</f>
        <v>(LU006537.004); Default - Analyse</v>
      </c>
      <c r="Q107" s="55" t="str">
        <f t="shared" si="4"/>
        <v>LU006537.005</v>
      </c>
      <c r="R107" s="55" t="str">
        <f ca="1">IFERROR(__xludf.DUMMYFUNCTION("VLOOKUP(Q107, IMPORTRANGE(""https://docs.google.com/spreadsheets/d/1yDAaXNsi4Mr5FtRQL4tbmSdIzhx6_m4wkOD7IG-k_eo/edit#gid=1336395716"", ""Science!M:N""), 2, FALSE)"),"(LU006537.005); Default - Evaluate")</f>
        <v>(LU006537.005); Default - Evaluate</v>
      </c>
      <c r="S107" s="55" t="str">
        <f t="shared" si="5"/>
        <v>LU006537.006</v>
      </c>
      <c r="T107" s="55" t="str">
        <f ca="1">IFERROR(__xludf.DUMMYFUNCTION("VLOOKUP(S107, IMPORTRANGE(""https://docs.google.com/spreadsheets/d/1yDAaXNsi4Mr5FtRQL4tbmSdIzhx6_m4wkOD7IG-k_eo/edit#gid=1336395716"", ""Science!M:N""), 2, FALSE)"),"(LU006537.006); Default - Create")</f>
        <v>(LU006537.006); Default - Create</v>
      </c>
      <c r="U107" s="137" t="str">
        <f ca="1">IFERROR(__xludf.DUMMYFUNCTION("ArrayFormula(VLOOKUP(G107, IMPORTRANGE(""https://docs.google.com/spreadsheets/d/1p7R4vtkWt5VOBim4ltsDG9KTzSjrtKXsMtQGXPHyND0/edit#gid=795171502"", ""'Filter 30_05_2024'!A1:M2000""), {2, 3, 4, 5,6,7,8,9,10,11,12,13}, 0))"),"#N/A")</f>
        <v>#N/A</v>
      </c>
      <c r="V107" s="137" t="str">
        <f ca="1">IFERROR(__xludf.DUMMYFUNCTION("""COMPUTED_VALUE"""),"#N/A")</f>
        <v>#N/A</v>
      </c>
      <c r="W107" s="137" t="str">
        <f ca="1">IFERROR(__xludf.DUMMYFUNCTION("""COMPUTED_VALUE"""),"#N/A")</f>
        <v>#N/A</v>
      </c>
      <c r="X107" s="137" t="str">
        <f ca="1">IFERROR(__xludf.DUMMYFUNCTION("""COMPUTED_VALUE"""),"#N/A")</f>
        <v>#N/A</v>
      </c>
      <c r="Y107" s="137" t="str">
        <f ca="1">IFERROR(__xludf.DUMMYFUNCTION("""COMPUTED_VALUE"""),"#N/A")</f>
        <v>#N/A</v>
      </c>
      <c r="Z107" s="138" t="str">
        <f ca="1">IFERROR(__xludf.DUMMYFUNCTION("""COMPUTED_VALUE"""),"#N/A")</f>
        <v>#N/A</v>
      </c>
      <c r="AA107" s="138" t="str">
        <f ca="1">IFERROR(__xludf.DUMMYFUNCTION("""COMPUTED_VALUE"""),"#N/A")</f>
        <v>#N/A</v>
      </c>
      <c r="AB107" s="138" t="str">
        <f ca="1">IFERROR(__xludf.DUMMYFUNCTION("""COMPUTED_VALUE"""),"#N/A")</f>
        <v>#N/A</v>
      </c>
      <c r="AC107" s="138" t="str">
        <f ca="1">IFERROR(__xludf.DUMMYFUNCTION("""COMPUTED_VALUE"""),"#N/A")</f>
        <v>#N/A</v>
      </c>
      <c r="AD107" s="138" t="str">
        <f ca="1">IFERROR(__xludf.DUMMYFUNCTION("""COMPUTED_VALUE"""),"#N/A")</f>
        <v>#N/A</v>
      </c>
      <c r="AE107" s="138" t="str">
        <f ca="1">IFERROR(__xludf.DUMMYFUNCTION("""COMPUTED_VALUE"""),"#N/A")</f>
        <v>#N/A</v>
      </c>
      <c r="AF107" s="138" t="str">
        <f ca="1">IFERROR(__xludf.DUMMYFUNCTION("""COMPUTED_VALUE"""),"#N/A")</f>
        <v>#N/A</v>
      </c>
      <c r="AG107" s="138" t="str">
        <f ca="1">IFERROR(__xludf.DUMMYFUNCTION("ArrayFormula(VLOOKUP(G107, IMPORTRANGE(""https://docs.google.com/spreadsheets/d/1Co934fvtviyaRiMsrIlT05Jaq7iiYq07aLvRr35KA48/edit?gid=173865642#gid=173865642"", ""'G10_Sci_Pri_LU'!G2:V2000""), {3, 4, 5, 6, 7, 8, 9, 10, 11, 12, 13, 14, 15, 16}, 0))"),"LU006536")</f>
        <v>LU006536</v>
      </c>
      <c r="AH107" s="138" t="str">
        <f ca="1">IFERROR(__xludf.DUMMYFUNCTION("""COMPUTED_VALUE"""),"Redox Reactions")</f>
        <v>Redox Reactions</v>
      </c>
      <c r="AI107" s="138" t="str">
        <f ca="1">IFERROR(__xludf.DUMMYFUNCTION("""COMPUTED_VALUE"""),"LU006530")</f>
        <v>LU006530</v>
      </c>
      <c r="AJ107" s="138" t="str">
        <f ca="1">IFERROR(__xludf.DUMMYFUNCTION("""COMPUTED_VALUE"""),"Balancing the chemical equations")</f>
        <v>Balancing the chemical equations</v>
      </c>
      <c r="AK107" s="138"/>
      <c r="AL107" s="138"/>
      <c r="AM107" s="138"/>
      <c r="AN107" s="138"/>
      <c r="AO107" s="138"/>
      <c r="AP107" s="138"/>
      <c r="AQ107" s="138"/>
      <c r="AR107" s="138"/>
      <c r="AS107" s="138"/>
      <c r="AT107" s="138"/>
    </row>
    <row r="108" spans="1:46">
      <c r="A108" s="54" t="s">
        <v>247</v>
      </c>
      <c r="B108" s="55" t="s">
        <v>47</v>
      </c>
      <c r="C108" s="55" t="s">
        <v>1172</v>
      </c>
      <c r="D108" s="138" t="s">
        <v>1441</v>
      </c>
      <c r="E108" s="54" t="s">
        <v>2631</v>
      </c>
      <c r="F108" s="55" t="s">
        <v>2632</v>
      </c>
      <c r="G108" s="55" t="s">
        <v>1865</v>
      </c>
      <c r="H108" s="54" t="str">
        <f ca="1">IFERROR(__xludf.DUMMYFUNCTION("VLOOKUP(G108, IMPORTRANGE(""https://docs.google.com/spreadsheets/d/14deopnvwcrKtEGCKuYXdUHJbeLDZlkiSSWWT0g7x2pM/edit#gid=849066331"", ""LU List Science (Filter)!A:B""), 2, FALSE)"),"Litmus and Turmeric as Natural Indicators")</f>
        <v>Litmus and Turmeric as Natural Indicators</v>
      </c>
      <c r="I108" s="55" t="str">
        <f t="shared" si="0"/>
        <v>LU005478.001</v>
      </c>
      <c r="J108" s="55" t="str">
        <f ca="1">IFERROR(__xludf.DUMMYFUNCTION("VLOOKUP(I108, IMPORTRANGE(""https://docs.google.com/spreadsheets/d/1yDAaXNsi4Mr5FtRQL4tbmSdIzhx6_m4wkOD7IG-k_eo/edit#gid=1336395716"", ""Science!M:N""), 2, FALSE)"),"Define the term 'natural indicator' and name examples, including litmus and turmeric.")</f>
        <v>Define the term 'natural indicator' and name examples, including litmus and turmeric.</v>
      </c>
      <c r="K108" s="55" t="str">
        <f t="shared" si="1"/>
        <v>LU005478.002</v>
      </c>
      <c r="L108" s="55" t="str">
        <f ca="1">IFERROR(__xludf.DUMMYFUNCTION("VLOOKUP(K108, IMPORTRANGE(""https://docs.google.com/spreadsheets/d/1yDAaXNsi4Mr5FtRQL4tbmSdIzhx6_m4wkOD7IG-k_eo/edit#gid=1336395716"", ""Science!M:N""), 2, FALSE)"),"Describe how litmus and turmeric react with acids and bases.")</f>
        <v>Describe how litmus and turmeric react with acids and bases.</v>
      </c>
      <c r="M108" s="55" t="str">
        <f t="shared" si="2"/>
        <v>LU005478.003</v>
      </c>
      <c r="N108" s="55" t="str">
        <f ca="1">IFERROR(__xludf.DUMMYFUNCTION("VLOOKUP(M108, IMPORTRANGE(""https://docs.google.com/spreadsheets/d/1yDAaXNsi4Mr5FtRQL4tbmSdIzhx6_m4wkOD7IG-k_eo/edit#gid=1336395716"", ""Science!M:N""), 2, FALSE)"),"Interpret the color changes of these indicators in various solutions.")</f>
        <v>Interpret the color changes of these indicators in various solutions.</v>
      </c>
      <c r="O108" s="55" t="str">
        <f t="shared" si="3"/>
        <v>LU005478.004</v>
      </c>
      <c r="P108" s="55" t="str">
        <f ca="1">IFERROR(__xludf.DUMMYFUNCTION("VLOOKUP(O108, IMPORTRANGE(""https://docs.google.com/spreadsheets/d/1yDAaXNsi4Mr5FtRQL4tbmSdIzhx6_m4wkOD7IG-k_eo/edit#gid=1336395716"", ""Science!M:N""), 2, FALSE)"),"Analyze the effectiveness of litmus and turmeric in detecting the pH of various substances compared to other indicators.")</f>
        <v>Analyze the effectiveness of litmus and turmeric in detecting the pH of various substances compared to other indicators.</v>
      </c>
      <c r="Q108" s="55" t="str">
        <f t="shared" si="4"/>
        <v>LU005478.005</v>
      </c>
      <c r="R108" s="55" t="str">
        <f ca="1">IFERROR(__xludf.DUMMYFUNCTION("VLOOKUP(Q108, IMPORTRANGE(""https://docs.google.com/spreadsheets/d/1yDAaXNsi4Mr5FtRQL4tbmSdIzhx6_m4wkOD7IG-k_eo/edit#gid=1336395716"", ""Science!M:N""), 2, FALSE)"),"Justify the choice of using natural indicators like litmus and turmeric various acids and bases")</f>
        <v>Justify the choice of using natural indicators like litmus and turmeric various acids and bases</v>
      </c>
      <c r="S108" s="55" t="str">
        <f t="shared" si="5"/>
        <v>LU005478.006</v>
      </c>
      <c r="T108" s="55" t="str">
        <f ca="1">IFERROR(__xludf.DUMMYFUNCTION("VLOOKUP(S108, IMPORTRANGE(""https://docs.google.com/spreadsheets/d/1yDAaXNsi4Mr5FtRQL4tbmSdIzhx6_m4wkOD7IG-k_eo/edit#gid=1336395716"", ""Science!M:N""), 2, FALSE)"),"(LU005478.006); Default - Create")</f>
        <v>(LU005478.006); Default - Create</v>
      </c>
      <c r="U108" s="137">
        <f ca="1">IFERROR(__xludf.DUMMYFUNCTION("ArrayFormula(VLOOKUP(G108, IMPORTRANGE(""https://docs.google.com/spreadsheets/d/1p7R4vtkWt5VOBim4ltsDG9KTzSjrtKXsMtQGXPHyND0/edit#gid=795171502"", ""'Filter 30_05_2024'!A1:M2000""), {2, 3, 4, 5,6,7,8,9,10,11,12,13}, 0))"),4)</f>
        <v>4</v>
      </c>
      <c r="V108" s="137">
        <f ca="1">IFERROR(__xludf.DUMMYFUNCTION("""COMPUTED_VALUE"""),6)</f>
        <v>6</v>
      </c>
      <c r="W108" s="137">
        <f ca="1">IFERROR(__xludf.DUMMYFUNCTION("""COMPUTED_VALUE"""),2)</f>
        <v>2</v>
      </c>
      <c r="X108" s="137">
        <f ca="1">IFERROR(__xludf.DUMMYFUNCTION("""COMPUTED_VALUE"""),12)</f>
        <v>12</v>
      </c>
      <c r="Y108" s="137">
        <f ca="1">IFERROR(__xludf.DUMMYFUNCTION("""COMPUTED_VALUE"""),4)</f>
        <v>4</v>
      </c>
      <c r="Z108" s="138">
        <f ca="1">IFERROR(__xludf.DUMMYFUNCTION("""COMPUTED_VALUE"""),7)</f>
        <v>7</v>
      </c>
      <c r="AA108" s="138">
        <f ca="1">IFERROR(__xludf.DUMMYFUNCTION("""COMPUTED_VALUE"""),1)</f>
        <v>1</v>
      </c>
      <c r="AB108" s="138">
        <f ca="1">IFERROR(__xludf.DUMMYFUNCTION("""COMPUTED_VALUE"""),12)</f>
        <v>12</v>
      </c>
      <c r="AC108" s="138"/>
      <c r="AD108" s="138"/>
      <c r="AE108" s="138"/>
      <c r="AF108" s="138"/>
      <c r="AG108" s="138" t="str">
        <f ca="1">IFERROR(__xludf.DUMMYFUNCTION("ArrayFormula(VLOOKUP(G108, IMPORTRANGE(""https://docs.google.com/spreadsheets/d/1Co934fvtviyaRiMsrIlT05Jaq7iiYq07aLvRr35KA48/edit?gid=173865642#gid=173865642"", ""'G10_Sci_Pri_LU'!G2:V2000""), {3, 4, 5, 6, 7, 8, 9, 10, 11, 12, 13, 14, 15, 16}, 0))"),"LU005472")</f>
        <v>LU005472</v>
      </c>
      <c r="AH108" s="138" t="str">
        <f ca="1">IFERROR(__xludf.DUMMYFUNCTION("""COMPUTED_VALUE"""),"Definition of indicators")</f>
        <v>Definition of indicators</v>
      </c>
      <c r="AI108" s="138"/>
      <c r="AJ108" s="138"/>
      <c r="AK108" s="138"/>
      <c r="AL108" s="138"/>
      <c r="AM108" s="138"/>
      <c r="AN108" s="138"/>
      <c r="AO108" s="138"/>
      <c r="AP108" s="138"/>
      <c r="AQ108" s="138"/>
      <c r="AR108" s="138"/>
      <c r="AS108" s="138"/>
      <c r="AT108" s="138"/>
    </row>
    <row r="109" spans="1:46">
      <c r="A109" s="54" t="s">
        <v>247</v>
      </c>
      <c r="B109" s="55" t="s">
        <v>47</v>
      </c>
      <c r="C109" s="55" t="s">
        <v>1172</v>
      </c>
      <c r="D109" s="138" t="s">
        <v>1441</v>
      </c>
      <c r="E109" s="54" t="s">
        <v>2631</v>
      </c>
      <c r="F109" s="55" t="s">
        <v>2632</v>
      </c>
      <c r="G109" s="55" t="s">
        <v>2633</v>
      </c>
      <c r="H109" s="54" t="str">
        <f ca="1">IFERROR(__xludf.DUMMYFUNCTION("VLOOKUP(G109, IMPORTRANGE(""https://docs.google.com/spreadsheets/d/14deopnvwcrKtEGCKuYXdUHJbeLDZlkiSSWWT0g7x2pM/edit#gid=849066331"", ""LU List Science (Filter)!A:B""), 2, FALSE)"),"Phenolphthalein and Methyl orange as synthetic indicators")</f>
        <v>Phenolphthalein and Methyl orange as synthetic indicators</v>
      </c>
      <c r="I109" s="55" t="str">
        <f t="shared" si="0"/>
        <v>LU006538.001</v>
      </c>
      <c r="J109" s="55" t="str">
        <f ca="1">IFERROR(__xludf.DUMMYFUNCTION("VLOOKUP(I109, IMPORTRANGE(""https://docs.google.com/spreadsheets/d/1yDAaXNsi4Mr5FtRQL4tbmSdIzhx6_m4wkOD7IG-k_eo/edit#gid=1336395716"", ""Science!M:N""), 2, FALSE)"),"(LU006538.001); Default - Remember")</f>
        <v>(LU006538.001); Default - Remember</v>
      </c>
      <c r="K109" s="55" t="str">
        <f t="shared" si="1"/>
        <v>LU006538.002</v>
      </c>
      <c r="L109" s="55" t="str">
        <f ca="1">IFERROR(__xludf.DUMMYFUNCTION("VLOOKUP(K109, IMPORTRANGE(""https://docs.google.com/spreadsheets/d/1yDAaXNsi4Mr5FtRQL4tbmSdIzhx6_m4wkOD7IG-k_eo/edit#gid=1336395716"", ""Science!M:N""), 2, FALSE)"),"(LU006538.002); Default - Understand")</f>
        <v>(LU006538.002); Default - Understand</v>
      </c>
      <c r="M109" s="55" t="str">
        <f t="shared" si="2"/>
        <v>LU006538.003</v>
      </c>
      <c r="N109" s="55" t="str">
        <f ca="1">IFERROR(__xludf.DUMMYFUNCTION("VLOOKUP(M109, IMPORTRANGE(""https://docs.google.com/spreadsheets/d/1yDAaXNsi4Mr5FtRQL4tbmSdIzhx6_m4wkOD7IG-k_eo/edit#gid=1336395716"", ""Science!M:N""), 2, FALSE)"),"(LU006538.003); Default - Apply")</f>
        <v>(LU006538.003); Default - Apply</v>
      </c>
      <c r="O109" s="55" t="str">
        <f t="shared" si="3"/>
        <v>LU006538.004</v>
      </c>
      <c r="P109" s="55" t="str">
        <f ca="1">IFERROR(__xludf.DUMMYFUNCTION("VLOOKUP(O109, IMPORTRANGE(""https://docs.google.com/spreadsheets/d/1yDAaXNsi4Mr5FtRQL4tbmSdIzhx6_m4wkOD7IG-k_eo/edit#gid=1336395716"", ""Science!M:N""), 2, FALSE)"),"(LU006538.004); Default - Analyse")</f>
        <v>(LU006538.004); Default - Analyse</v>
      </c>
      <c r="Q109" s="55" t="str">
        <f t="shared" si="4"/>
        <v>LU006538.005</v>
      </c>
      <c r="R109" s="55" t="str">
        <f ca="1">IFERROR(__xludf.DUMMYFUNCTION("VLOOKUP(Q109, IMPORTRANGE(""https://docs.google.com/spreadsheets/d/1yDAaXNsi4Mr5FtRQL4tbmSdIzhx6_m4wkOD7IG-k_eo/edit#gid=1336395716"", ""Science!M:N""), 2, FALSE)"),"(LU006538.005); Default - Evaluate")</f>
        <v>(LU006538.005); Default - Evaluate</v>
      </c>
      <c r="S109" s="55" t="str">
        <f t="shared" si="5"/>
        <v>LU006538.006</v>
      </c>
      <c r="T109" s="55" t="str">
        <f ca="1">IFERROR(__xludf.DUMMYFUNCTION("VLOOKUP(S109, IMPORTRANGE(""https://docs.google.com/spreadsheets/d/1yDAaXNsi4Mr5FtRQL4tbmSdIzhx6_m4wkOD7IG-k_eo/edit#gid=1336395716"", ""Science!M:N""), 2, FALSE)"),"(LU006538.006); Default - Create")</f>
        <v>(LU006538.006); Default - Create</v>
      </c>
      <c r="U109" s="137" t="str">
        <f ca="1">IFERROR(__xludf.DUMMYFUNCTION("ArrayFormula(VLOOKUP(G109, IMPORTRANGE(""https://docs.google.com/spreadsheets/d/1p7R4vtkWt5VOBim4ltsDG9KTzSjrtKXsMtQGXPHyND0/edit#gid=795171502"", ""'Filter 30_05_2024'!A1:M2000""), {2, 3, 4, 5,6,7,8,9,10,11,12,13}, 0))"),"#N/A")</f>
        <v>#N/A</v>
      </c>
      <c r="V109" s="137" t="str">
        <f ca="1">IFERROR(__xludf.DUMMYFUNCTION("""COMPUTED_VALUE"""),"#N/A")</f>
        <v>#N/A</v>
      </c>
      <c r="W109" s="137" t="str">
        <f ca="1">IFERROR(__xludf.DUMMYFUNCTION("""COMPUTED_VALUE"""),"#N/A")</f>
        <v>#N/A</v>
      </c>
      <c r="X109" s="137" t="str">
        <f ca="1">IFERROR(__xludf.DUMMYFUNCTION("""COMPUTED_VALUE"""),"#N/A")</f>
        <v>#N/A</v>
      </c>
      <c r="Y109" s="137" t="str">
        <f ca="1">IFERROR(__xludf.DUMMYFUNCTION("""COMPUTED_VALUE"""),"#N/A")</f>
        <v>#N/A</v>
      </c>
      <c r="Z109" s="138" t="str">
        <f ca="1">IFERROR(__xludf.DUMMYFUNCTION("""COMPUTED_VALUE"""),"#N/A")</f>
        <v>#N/A</v>
      </c>
      <c r="AA109" s="138" t="str">
        <f ca="1">IFERROR(__xludf.DUMMYFUNCTION("""COMPUTED_VALUE"""),"#N/A")</f>
        <v>#N/A</v>
      </c>
      <c r="AB109" s="138" t="str">
        <f ca="1">IFERROR(__xludf.DUMMYFUNCTION("""COMPUTED_VALUE"""),"#N/A")</f>
        <v>#N/A</v>
      </c>
      <c r="AC109" s="138" t="str">
        <f ca="1">IFERROR(__xludf.DUMMYFUNCTION("""COMPUTED_VALUE"""),"#N/A")</f>
        <v>#N/A</v>
      </c>
      <c r="AD109" s="138" t="str">
        <f ca="1">IFERROR(__xludf.DUMMYFUNCTION("""COMPUTED_VALUE"""),"#N/A")</f>
        <v>#N/A</v>
      </c>
      <c r="AE109" s="138" t="str">
        <f ca="1">IFERROR(__xludf.DUMMYFUNCTION("""COMPUTED_VALUE"""),"#N/A")</f>
        <v>#N/A</v>
      </c>
      <c r="AF109" s="138" t="str">
        <f ca="1">IFERROR(__xludf.DUMMYFUNCTION("""COMPUTED_VALUE"""),"#N/A")</f>
        <v>#N/A</v>
      </c>
      <c r="AG109" s="138" t="str">
        <f ca="1">IFERROR(__xludf.DUMMYFUNCTION("ArrayFormula(VLOOKUP(G109, IMPORTRANGE(""https://docs.google.com/spreadsheets/d/1Co934fvtviyaRiMsrIlT05Jaq7iiYq07aLvRr35KA48/edit?gid=173865642#gid=173865642"", ""'G10_Sci_Pri_LU'!G2:V2000""), {3, 4, 5, 6, 7, 8, 9, 10, 11, 12, 13, 14, 15, 16}, 0))"),"LU005478")</f>
        <v>LU005478</v>
      </c>
      <c r="AH109" s="138" t="str">
        <f ca="1">IFERROR(__xludf.DUMMYFUNCTION("""COMPUTED_VALUE"""),"Litmus and Turmeric as Natural Indicators")</f>
        <v>Litmus and Turmeric as Natural Indicators</v>
      </c>
      <c r="AI109" s="138"/>
      <c r="AJ109" s="138"/>
      <c r="AK109" s="138"/>
      <c r="AL109" s="138"/>
      <c r="AM109" s="138"/>
      <c r="AN109" s="138"/>
      <c r="AO109" s="138"/>
      <c r="AP109" s="138"/>
      <c r="AQ109" s="138"/>
      <c r="AR109" s="138"/>
      <c r="AS109" s="138"/>
      <c r="AT109" s="138"/>
    </row>
    <row r="110" spans="1:46">
      <c r="A110" s="54" t="s">
        <v>247</v>
      </c>
      <c r="B110" s="55" t="s">
        <v>47</v>
      </c>
      <c r="C110" s="55" t="s">
        <v>1172</v>
      </c>
      <c r="D110" s="138" t="s">
        <v>1441</v>
      </c>
      <c r="E110" s="54" t="s">
        <v>2631</v>
      </c>
      <c r="F110" s="55" t="s">
        <v>2632</v>
      </c>
      <c r="G110" s="55" t="s">
        <v>2634</v>
      </c>
      <c r="H110" s="54" t="str">
        <f ca="1">IFERROR(__xludf.DUMMYFUNCTION("VLOOKUP(G110, IMPORTRANGE(""https://docs.google.com/spreadsheets/d/14deopnvwcrKtEGCKuYXdUHJbeLDZlkiSSWWT0g7x2pM/edit#gid=849066331"", ""LU List Science (Filter)!A:B""), 2, FALSE)"),"Use of Olfactory acid-base indicators (onion, clove, vanilla)")</f>
        <v>Use of Olfactory acid-base indicators (onion, clove, vanilla)</v>
      </c>
      <c r="I110" s="55" t="str">
        <f t="shared" si="0"/>
        <v>LU006539.001</v>
      </c>
      <c r="J110" s="55" t="str">
        <f ca="1">IFERROR(__xludf.DUMMYFUNCTION("VLOOKUP(I110, IMPORTRANGE(""https://docs.google.com/spreadsheets/d/1yDAaXNsi4Mr5FtRQL4tbmSdIzhx6_m4wkOD7IG-k_eo/edit#gid=1336395716"", ""Science!M:N""), 2, FALSE)"),"(LU006539.001); Default - Remember")</f>
        <v>(LU006539.001); Default - Remember</v>
      </c>
      <c r="K110" s="55" t="str">
        <f t="shared" si="1"/>
        <v>LU006539.002</v>
      </c>
      <c r="L110" s="55" t="str">
        <f ca="1">IFERROR(__xludf.DUMMYFUNCTION("VLOOKUP(K110, IMPORTRANGE(""https://docs.google.com/spreadsheets/d/1yDAaXNsi4Mr5FtRQL4tbmSdIzhx6_m4wkOD7IG-k_eo/edit#gid=1336395716"", ""Science!M:N""), 2, FALSE)"),"(LU006539.002); Default - Understand")</f>
        <v>(LU006539.002); Default - Understand</v>
      </c>
      <c r="M110" s="55" t="str">
        <f t="shared" si="2"/>
        <v>LU006539.003</v>
      </c>
      <c r="N110" s="55" t="str">
        <f ca="1">IFERROR(__xludf.DUMMYFUNCTION("VLOOKUP(M110, IMPORTRANGE(""https://docs.google.com/spreadsheets/d/1yDAaXNsi4Mr5FtRQL4tbmSdIzhx6_m4wkOD7IG-k_eo/edit#gid=1336395716"", ""Science!M:N""), 2, FALSE)"),"(LU006539.003); Default - Apply")</f>
        <v>(LU006539.003); Default - Apply</v>
      </c>
      <c r="O110" s="55" t="str">
        <f t="shared" si="3"/>
        <v>LU006539.004</v>
      </c>
      <c r="P110" s="55" t="str">
        <f ca="1">IFERROR(__xludf.DUMMYFUNCTION("VLOOKUP(O110, IMPORTRANGE(""https://docs.google.com/spreadsheets/d/1yDAaXNsi4Mr5FtRQL4tbmSdIzhx6_m4wkOD7IG-k_eo/edit#gid=1336395716"", ""Science!M:N""), 2, FALSE)"),"(LU006539.004); Default - Analyse")</f>
        <v>(LU006539.004); Default - Analyse</v>
      </c>
      <c r="Q110" s="55" t="str">
        <f t="shared" si="4"/>
        <v>LU006539.005</v>
      </c>
      <c r="R110" s="55" t="str">
        <f ca="1">IFERROR(__xludf.DUMMYFUNCTION("VLOOKUP(Q110, IMPORTRANGE(""https://docs.google.com/spreadsheets/d/1yDAaXNsi4Mr5FtRQL4tbmSdIzhx6_m4wkOD7IG-k_eo/edit#gid=1336395716"", ""Science!M:N""), 2, FALSE)"),"(LU006539.005); Default - Evaluate")</f>
        <v>(LU006539.005); Default - Evaluate</v>
      </c>
      <c r="S110" s="55" t="str">
        <f t="shared" si="5"/>
        <v>LU006539.006</v>
      </c>
      <c r="T110" s="55" t="str">
        <f ca="1">IFERROR(__xludf.DUMMYFUNCTION("VLOOKUP(S110, IMPORTRANGE(""https://docs.google.com/spreadsheets/d/1yDAaXNsi4Mr5FtRQL4tbmSdIzhx6_m4wkOD7IG-k_eo/edit#gid=1336395716"", ""Science!M:N""), 2, FALSE)"),"(LU006539.006); Default - Create")</f>
        <v>(LU006539.006); Default - Create</v>
      </c>
      <c r="U110" s="137" t="str">
        <f ca="1">IFERROR(__xludf.DUMMYFUNCTION("ArrayFormula(VLOOKUP(G110, IMPORTRANGE(""https://docs.google.com/spreadsheets/d/1p7R4vtkWt5VOBim4ltsDG9KTzSjrtKXsMtQGXPHyND0/edit#gid=795171502"", ""'Filter 30_05_2024'!A1:M2000""), {2, 3, 4, 5,6,7,8,9,10,11,12,13}, 0))"),"#N/A")</f>
        <v>#N/A</v>
      </c>
      <c r="V110" s="137" t="str">
        <f ca="1">IFERROR(__xludf.DUMMYFUNCTION("""COMPUTED_VALUE"""),"#N/A")</f>
        <v>#N/A</v>
      </c>
      <c r="W110" s="137" t="str">
        <f ca="1">IFERROR(__xludf.DUMMYFUNCTION("""COMPUTED_VALUE"""),"#N/A")</f>
        <v>#N/A</v>
      </c>
      <c r="X110" s="137" t="str">
        <f ca="1">IFERROR(__xludf.DUMMYFUNCTION("""COMPUTED_VALUE"""),"#N/A")</f>
        <v>#N/A</v>
      </c>
      <c r="Y110" s="137" t="str">
        <f ca="1">IFERROR(__xludf.DUMMYFUNCTION("""COMPUTED_VALUE"""),"#N/A")</f>
        <v>#N/A</v>
      </c>
      <c r="Z110" s="138" t="str">
        <f ca="1">IFERROR(__xludf.DUMMYFUNCTION("""COMPUTED_VALUE"""),"#N/A")</f>
        <v>#N/A</v>
      </c>
      <c r="AA110" s="138" t="str">
        <f ca="1">IFERROR(__xludf.DUMMYFUNCTION("""COMPUTED_VALUE"""),"#N/A")</f>
        <v>#N/A</v>
      </c>
      <c r="AB110" s="138" t="str">
        <f ca="1">IFERROR(__xludf.DUMMYFUNCTION("""COMPUTED_VALUE"""),"#N/A")</f>
        <v>#N/A</v>
      </c>
      <c r="AC110" s="138" t="str">
        <f ca="1">IFERROR(__xludf.DUMMYFUNCTION("""COMPUTED_VALUE"""),"#N/A")</f>
        <v>#N/A</v>
      </c>
      <c r="AD110" s="138" t="str">
        <f ca="1">IFERROR(__xludf.DUMMYFUNCTION("""COMPUTED_VALUE"""),"#N/A")</f>
        <v>#N/A</v>
      </c>
      <c r="AE110" s="138" t="str">
        <f ca="1">IFERROR(__xludf.DUMMYFUNCTION("""COMPUTED_VALUE"""),"#N/A")</f>
        <v>#N/A</v>
      </c>
      <c r="AF110" s="138" t="str">
        <f ca="1">IFERROR(__xludf.DUMMYFUNCTION("""COMPUTED_VALUE"""),"#N/A")</f>
        <v>#N/A</v>
      </c>
      <c r="AG110" s="138" t="str">
        <f ca="1">IFERROR(__xludf.DUMMYFUNCTION("ArrayFormula(VLOOKUP(G110, IMPORTRANGE(""https://docs.google.com/spreadsheets/d/1Co934fvtviyaRiMsrIlT05Jaq7iiYq07aLvRr35KA48/edit?gid=173865642#gid=173865642"", ""'G10_Sci_Pri_LU'!G2:V2000""), {3, 4, 5, 6, 7, 8, 9, 10, 11, 12, 13, 14, 15, 16}, 0))"),"LU006538")</f>
        <v>LU006538</v>
      </c>
      <c r="AH110" s="138" t="str">
        <f ca="1">IFERROR(__xludf.DUMMYFUNCTION("""COMPUTED_VALUE"""),"Phenolphthalein and Methyl orange as synthetic indicators")</f>
        <v>Phenolphthalein and Methyl orange as synthetic indicators</v>
      </c>
      <c r="AI110" s="138"/>
      <c r="AJ110" s="138"/>
      <c r="AK110" s="138"/>
      <c r="AL110" s="138"/>
      <c r="AM110" s="138"/>
      <c r="AN110" s="138"/>
      <c r="AO110" s="138"/>
      <c r="AP110" s="138"/>
      <c r="AQ110" s="138"/>
      <c r="AR110" s="138"/>
      <c r="AS110" s="138"/>
      <c r="AT110" s="138"/>
    </row>
    <row r="111" spans="1:46">
      <c r="A111" s="54" t="s">
        <v>247</v>
      </c>
      <c r="B111" s="55" t="s">
        <v>47</v>
      </c>
      <c r="C111" s="55" t="s">
        <v>1172</v>
      </c>
      <c r="D111" s="138" t="s">
        <v>1441</v>
      </c>
      <c r="E111" s="54" t="s">
        <v>2631</v>
      </c>
      <c r="F111" s="55" t="s">
        <v>2635</v>
      </c>
      <c r="G111" s="55" t="s">
        <v>2636</v>
      </c>
      <c r="H111" s="54" t="str">
        <f ca="1">IFERROR(__xludf.DUMMYFUNCTION("VLOOKUP(G111, IMPORTRANGE(""https://docs.google.com/spreadsheets/d/14deopnvwcrKtEGCKuYXdUHJbeLDZlkiSSWWT0g7x2pM/edit#gid=849066331"", ""LU List Science (Filter)!A:B""), 2, FALSE)"),"Reaction of acids and bases with metals")</f>
        <v>Reaction of acids and bases with metals</v>
      </c>
      <c r="I111" s="55" t="str">
        <f t="shared" si="0"/>
        <v>LU006540.001</v>
      </c>
      <c r="J111" s="55" t="str">
        <f ca="1">IFERROR(__xludf.DUMMYFUNCTION("VLOOKUP(I111, IMPORTRANGE(""https://docs.google.com/spreadsheets/d/1yDAaXNsi4Mr5FtRQL4tbmSdIzhx6_m4wkOD7IG-k_eo/edit#gid=1336395716"", ""Science!M:N""), 2, FALSE)"),"(LU006540.001); Default - Remember")</f>
        <v>(LU006540.001); Default - Remember</v>
      </c>
      <c r="K111" s="55" t="str">
        <f t="shared" si="1"/>
        <v>LU006540.002</v>
      </c>
      <c r="L111" s="55" t="str">
        <f ca="1">IFERROR(__xludf.DUMMYFUNCTION("VLOOKUP(K111, IMPORTRANGE(""https://docs.google.com/spreadsheets/d/1yDAaXNsi4Mr5FtRQL4tbmSdIzhx6_m4wkOD7IG-k_eo/edit#gid=1336395716"", ""Science!M:N""), 2, FALSE)"),"(LU006540.002); Default - Understand")</f>
        <v>(LU006540.002); Default - Understand</v>
      </c>
      <c r="M111" s="55" t="str">
        <f t="shared" si="2"/>
        <v>LU006540.003</v>
      </c>
      <c r="N111" s="55" t="str">
        <f ca="1">IFERROR(__xludf.DUMMYFUNCTION("VLOOKUP(M111, IMPORTRANGE(""https://docs.google.com/spreadsheets/d/1yDAaXNsi4Mr5FtRQL4tbmSdIzhx6_m4wkOD7IG-k_eo/edit#gid=1336395716"", ""Science!M:N""), 2, FALSE)"),"(LU006540.003); Default - Apply")</f>
        <v>(LU006540.003); Default - Apply</v>
      </c>
      <c r="O111" s="55" t="str">
        <f t="shared" si="3"/>
        <v>LU006540.004</v>
      </c>
      <c r="P111" s="55" t="str">
        <f ca="1">IFERROR(__xludf.DUMMYFUNCTION("VLOOKUP(O111, IMPORTRANGE(""https://docs.google.com/spreadsheets/d/1yDAaXNsi4Mr5FtRQL4tbmSdIzhx6_m4wkOD7IG-k_eo/edit#gid=1336395716"", ""Science!M:N""), 2, FALSE)"),"(LU006540.004); Default - Analyse")</f>
        <v>(LU006540.004); Default - Analyse</v>
      </c>
      <c r="Q111" s="55" t="str">
        <f t="shared" si="4"/>
        <v>LU006540.005</v>
      </c>
      <c r="R111" s="55" t="str">
        <f ca="1">IFERROR(__xludf.DUMMYFUNCTION("VLOOKUP(Q111, IMPORTRANGE(""https://docs.google.com/spreadsheets/d/1yDAaXNsi4Mr5FtRQL4tbmSdIzhx6_m4wkOD7IG-k_eo/edit#gid=1336395716"", ""Science!M:N""), 2, FALSE)"),"(LU006540.005); Default - Evaluate")</f>
        <v>(LU006540.005); Default - Evaluate</v>
      </c>
      <c r="S111" s="55" t="str">
        <f t="shared" si="5"/>
        <v>LU006540.006</v>
      </c>
      <c r="T111" s="55" t="str">
        <f ca="1">IFERROR(__xludf.DUMMYFUNCTION("VLOOKUP(S111, IMPORTRANGE(""https://docs.google.com/spreadsheets/d/1yDAaXNsi4Mr5FtRQL4tbmSdIzhx6_m4wkOD7IG-k_eo/edit#gid=1336395716"", ""Science!M:N""), 2, FALSE)"),"(LU006540.006); Default - Create")</f>
        <v>(LU006540.006); Default - Create</v>
      </c>
      <c r="U111" s="137" t="str">
        <f ca="1">IFERROR(__xludf.DUMMYFUNCTION("ArrayFormula(VLOOKUP(G111, IMPORTRANGE(""https://docs.google.com/spreadsheets/d/1p7R4vtkWt5VOBim4ltsDG9KTzSjrtKXsMtQGXPHyND0/edit#gid=795171502"", ""'Filter 30_05_2024'!A1:M2000""), {2, 3, 4, 5,6,7,8,9,10,11,12,13}, 0))"),"#N/A")</f>
        <v>#N/A</v>
      </c>
      <c r="V111" s="137" t="str">
        <f ca="1">IFERROR(__xludf.DUMMYFUNCTION("""COMPUTED_VALUE"""),"#N/A")</f>
        <v>#N/A</v>
      </c>
      <c r="W111" s="137" t="str">
        <f ca="1">IFERROR(__xludf.DUMMYFUNCTION("""COMPUTED_VALUE"""),"#N/A")</f>
        <v>#N/A</v>
      </c>
      <c r="X111" s="137" t="str">
        <f ca="1">IFERROR(__xludf.DUMMYFUNCTION("""COMPUTED_VALUE"""),"#N/A")</f>
        <v>#N/A</v>
      </c>
      <c r="Y111" s="137" t="str">
        <f ca="1">IFERROR(__xludf.DUMMYFUNCTION("""COMPUTED_VALUE"""),"#N/A")</f>
        <v>#N/A</v>
      </c>
      <c r="Z111" s="138" t="str">
        <f ca="1">IFERROR(__xludf.DUMMYFUNCTION("""COMPUTED_VALUE"""),"#N/A")</f>
        <v>#N/A</v>
      </c>
      <c r="AA111" s="138" t="str">
        <f ca="1">IFERROR(__xludf.DUMMYFUNCTION("""COMPUTED_VALUE"""),"#N/A")</f>
        <v>#N/A</v>
      </c>
      <c r="AB111" s="138" t="str">
        <f ca="1">IFERROR(__xludf.DUMMYFUNCTION("""COMPUTED_VALUE"""),"#N/A")</f>
        <v>#N/A</v>
      </c>
      <c r="AC111" s="138" t="str">
        <f ca="1">IFERROR(__xludf.DUMMYFUNCTION("""COMPUTED_VALUE"""),"#N/A")</f>
        <v>#N/A</v>
      </c>
      <c r="AD111" s="138" t="str">
        <f ca="1">IFERROR(__xludf.DUMMYFUNCTION("""COMPUTED_VALUE"""),"#N/A")</f>
        <v>#N/A</v>
      </c>
      <c r="AE111" s="138" t="str">
        <f ca="1">IFERROR(__xludf.DUMMYFUNCTION("""COMPUTED_VALUE"""),"#N/A")</f>
        <v>#N/A</v>
      </c>
      <c r="AF111" s="138" t="str">
        <f ca="1">IFERROR(__xludf.DUMMYFUNCTION("""COMPUTED_VALUE"""),"#N/A")</f>
        <v>#N/A</v>
      </c>
      <c r="AG111" s="138" t="str">
        <f ca="1">IFERROR(__xludf.DUMMYFUNCTION("ArrayFormula(VLOOKUP(G111, IMPORTRANGE(""https://docs.google.com/spreadsheets/d/1Co934fvtviyaRiMsrIlT05Jaq7iiYq07aLvRr35KA48/edit?gid=173865642#gid=173865642"", ""'G10_Sci_Pri_LU'!G2:V2000""), {3, 4, 5, 6, 7, 8, 9, 10, 11, 12, 13, 14, 15, 16}, 0))"),"LU005952")</f>
        <v>LU005952</v>
      </c>
      <c r="AH111" s="138" t="str">
        <f ca="1">IFERROR(__xludf.DUMMYFUNCTION("""COMPUTED_VALUE"""),"Comparison of acids and bases")</f>
        <v>Comparison of acids and bases</v>
      </c>
      <c r="AI111" s="138"/>
      <c r="AJ111" s="138"/>
      <c r="AK111" s="138"/>
      <c r="AL111" s="138"/>
      <c r="AM111" s="138"/>
      <c r="AN111" s="138"/>
      <c r="AO111" s="138"/>
      <c r="AP111" s="138"/>
      <c r="AQ111" s="138"/>
      <c r="AR111" s="138"/>
      <c r="AS111" s="138"/>
      <c r="AT111" s="138"/>
    </row>
    <row r="112" spans="1:46">
      <c r="A112" s="54" t="s">
        <v>247</v>
      </c>
      <c r="B112" s="55" t="s">
        <v>47</v>
      </c>
      <c r="C112" s="55" t="s">
        <v>1172</v>
      </c>
      <c r="D112" s="138" t="s">
        <v>1441</v>
      </c>
      <c r="E112" s="54" t="s">
        <v>2631</v>
      </c>
      <c r="F112" s="55" t="s">
        <v>2635</v>
      </c>
      <c r="G112" s="55" t="s">
        <v>2637</v>
      </c>
      <c r="H112" s="54" t="str">
        <f ca="1">IFERROR(__xludf.DUMMYFUNCTION("VLOOKUP(G112, IMPORTRANGE(""https://docs.google.com/spreadsheets/d/14deopnvwcrKtEGCKuYXdUHJbeLDZlkiSSWWT0g7x2pM/edit#gid=849066331"", ""LU List Science (Filter)!A:B""), 2, FALSE)"),"Reaction of metal carbonates and metal bicarbonates with acids")</f>
        <v>Reaction of metal carbonates and metal bicarbonates with acids</v>
      </c>
      <c r="I112" s="55" t="str">
        <f t="shared" si="0"/>
        <v>LU006541.001</v>
      </c>
      <c r="J112" s="55" t="str">
        <f ca="1">IFERROR(__xludf.DUMMYFUNCTION("VLOOKUP(I112, IMPORTRANGE(""https://docs.google.com/spreadsheets/d/1yDAaXNsi4Mr5FtRQL4tbmSdIzhx6_m4wkOD7IG-k_eo/edit#gid=1336395716"", ""Science!M:N""), 2, FALSE)"),"(LU006541.001); Default - Remember")</f>
        <v>(LU006541.001); Default - Remember</v>
      </c>
      <c r="K112" s="55" t="str">
        <f t="shared" si="1"/>
        <v>LU006541.002</v>
      </c>
      <c r="L112" s="55" t="str">
        <f ca="1">IFERROR(__xludf.DUMMYFUNCTION("VLOOKUP(K112, IMPORTRANGE(""https://docs.google.com/spreadsheets/d/1yDAaXNsi4Mr5FtRQL4tbmSdIzhx6_m4wkOD7IG-k_eo/edit#gid=1336395716"", ""Science!M:N""), 2, FALSE)"),"(LU006541.002); Default - Understand")</f>
        <v>(LU006541.002); Default - Understand</v>
      </c>
      <c r="M112" s="55" t="str">
        <f t="shared" si="2"/>
        <v>LU006541.003</v>
      </c>
      <c r="N112" s="55" t="str">
        <f ca="1">IFERROR(__xludf.DUMMYFUNCTION("VLOOKUP(M112, IMPORTRANGE(""https://docs.google.com/spreadsheets/d/1yDAaXNsi4Mr5FtRQL4tbmSdIzhx6_m4wkOD7IG-k_eo/edit#gid=1336395716"", ""Science!M:N""), 2, FALSE)"),"(LU006541.003); Default - Apply")</f>
        <v>(LU006541.003); Default - Apply</v>
      </c>
      <c r="O112" s="55" t="str">
        <f t="shared" si="3"/>
        <v>LU006541.004</v>
      </c>
      <c r="P112" s="55" t="str">
        <f ca="1">IFERROR(__xludf.DUMMYFUNCTION("VLOOKUP(O112, IMPORTRANGE(""https://docs.google.com/spreadsheets/d/1yDAaXNsi4Mr5FtRQL4tbmSdIzhx6_m4wkOD7IG-k_eo/edit#gid=1336395716"", ""Science!M:N""), 2, FALSE)"),"(LU006541.004); Default - Analyse")</f>
        <v>(LU006541.004); Default - Analyse</v>
      </c>
      <c r="Q112" s="55" t="str">
        <f t="shared" si="4"/>
        <v>LU006541.005</v>
      </c>
      <c r="R112" s="55" t="str">
        <f ca="1">IFERROR(__xludf.DUMMYFUNCTION("VLOOKUP(Q112, IMPORTRANGE(""https://docs.google.com/spreadsheets/d/1yDAaXNsi4Mr5FtRQL4tbmSdIzhx6_m4wkOD7IG-k_eo/edit#gid=1336395716"", ""Science!M:N""), 2, FALSE)"),"(LU006541.005); Default - Evaluate")</f>
        <v>(LU006541.005); Default - Evaluate</v>
      </c>
      <c r="S112" s="55" t="str">
        <f t="shared" si="5"/>
        <v>LU006541.006</v>
      </c>
      <c r="T112" s="55" t="str">
        <f ca="1">IFERROR(__xludf.DUMMYFUNCTION("VLOOKUP(S112, IMPORTRANGE(""https://docs.google.com/spreadsheets/d/1yDAaXNsi4Mr5FtRQL4tbmSdIzhx6_m4wkOD7IG-k_eo/edit#gid=1336395716"", ""Science!M:N""), 2, FALSE)"),"(LU006541.006); Default - Create")</f>
        <v>(LU006541.006); Default - Create</v>
      </c>
      <c r="U112" s="137" t="str">
        <f ca="1">IFERROR(__xludf.DUMMYFUNCTION("ArrayFormula(VLOOKUP(G112, IMPORTRANGE(""https://docs.google.com/spreadsheets/d/1p7R4vtkWt5VOBim4ltsDG9KTzSjrtKXsMtQGXPHyND0/edit#gid=795171502"", ""'Filter 30_05_2024'!A1:M2000""), {2, 3, 4, 5,6,7,8,9,10,11,12,13}, 0))"),"#N/A")</f>
        <v>#N/A</v>
      </c>
      <c r="V112" s="137" t="str">
        <f ca="1">IFERROR(__xludf.DUMMYFUNCTION("""COMPUTED_VALUE"""),"#N/A")</f>
        <v>#N/A</v>
      </c>
      <c r="W112" s="137" t="str">
        <f ca="1">IFERROR(__xludf.DUMMYFUNCTION("""COMPUTED_VALUE"""),"#N/A")</f>
        <v>#N/A</v>
      </c>
      <c r="X112" s="137" t="str">
        <f ca="1">IFERROR(__xludf.DUMMYFUNCTION("""COMPUTED_VALUE"""),"#N/A")</f>
        <v>#N/A</v>
      </c>
      <c r="Y112" s="137" t="str">
        <f ca="1">IFERROR(__xludf.DUMMYFUNCTION("""COMPUTED_VALUE"""),"#N/A")</f>
        <v>#N/A</v>
      </c>
      <c r="Z112" s="138" t="str">
        <f ca="1">IFERROR(__xludf.DUMMYFUNCTION("""COMPUTED_VALUE"""),"#N/A")</f>
        <v>#N/A</v>
      </c>
      <c r="AA112" s="138" t="str">
        <f ca="1">IFERROR(__xludf.DUMMYFUNCTION("""COMPUTED_VALUE"""),"#N/A")</f>
        <v>#N/A</v>
      </c>
      <c r="AB112" s="138" t="str">
        <f ca="1">IFERROR(__xludf.DUMMYFUNCTION("""COMPUTED_VALUE"""),"#N/A")</f>
        <v>#N/A</v>
      </c>
      <c r="AC112" s="138" t="str">
        <f ca="1">IFERROR(__xludf.DUMMYFUNCTION("""COMPUTED_VALUE"""),"#N/A")</f>
        <v>#N/A</v>
      </c>
      <c r="AD112" s="138" t="str">
        <f ca="1">IFERROR(__xludf.DUMMYFUNCTION("""COMPUTED_VALUE"""),"#N/A")</f>
        <v>#N/A</v>
      </c>
      <c r="AE112" s="138" t="str">
        <f ca="1">IFERROR(__xludf.DUMMYFUNCTION("""COMPUTED_VALUE"""),"#N/A")</f>
        <v>#N/A</v>
      </c>
      <c r="AF112" s="138" t="str">
        <f ca="1">IFERROR(__xludf.DUMMYFUNCTION("""COMPUTED_VALUE"""),"#N/A")</f>
        <v>#N/A</v>
      </c>
      <c r="AG112" s="138" t="str">
        <f ca="1">IFERROR(__xludf.DUMMYFUNCTION("ArrayFormula(VLOOKUP(G112, IMPORTRANGE(""https://docs.google.com/spreadsheets/d/1Co934fvtviyaRiMsrIlT05Jaq7iiYq07aLvRr35KA48/edit?gid=173865642#gid=173865642"", ""'G10_Sci_Pri_LU'!G2:V2000""), {3, 4, 5, 6, 7, 8, 9, 10, 11, 12, 13, 14, 15, 16}, 0))"),"LU006540")</f>
        <v>LU006540</v>
      </c>
      <c r="AH112" s="138" t="str">
        <f ca="1">IFERROR(__xludf.DUMMYFUNCTION("""COMPUTED_VALUE"""),"Reaction of acids and bases with metals")</f>
        <v>Reaction of acids and bases with metals</v>
      </c>
      <c r="AI112" s="138"/>
      <c r="AJ112" s="138"/>
      <c r="AK112" s="138"/>
      <c r="AL112" s="138"/>
      <c r="AM112" s="138"/>
      <c r="AN112" s="138"/>
      <c r="AO112" s="138"/>
      <c r="AP112" s="138"/>
      <c r="AQ112" s="138"/>
      <c r="AR112" s="138"/>
      <c r="AS112" s="138"/>
      <c r="AT112" s="138"/>
    </row>
    <row r="113" spans="1:46">
      <c r="A113" s="54" t="s">
        <v>247</v>
      </c>
      <c r="B113" s="55" t="s">
        <v>47</v>
      </c>
      <c r="C113" s="55" t="s">
        <v>1172</v>
      </c>
      <c r="D113" s="138" t="s">
        <v>1441</v>
      </c>
      <c r="E113" s="54" t="s">
        <v>2631</v>
      </c>
      <c r="F113" s="55" t="s">
        <v>2635</v>
      </c>
      <c r="G113" s="55" t="s">
        <v>2638</v>
      </c>
      <c r="H113" s="54" t="str">
        <f ca="1">IFERROR(__xludf.DUMMYFUNCTION("VLOOKUP(G113, IMPORTRANGE(""https://docs.google.com/spreadsheets/d/14deopnvwcrKtEGCKuYXdUHJbeLDZlkiSSWWT0g7x2pM/edit#gid=849066331"", ""LU List Science (Filter)!A:B""), 2, FALSE)"),"Reaction of metallic and non-metallic oxides with acids and bases")</f>
        <v>Reaction of metallic and non-metallic oxides with acids and bases</v>
      </c>
      <c r="I113" s="55" t="str">
        <f t="shared" si="0"/>
        <v>LU006542.001</v>
      </c>
      <c r="J113" s="55" t="str">
        <f ca="1">IFERROR(__xludf.DUMMYFUNCTION("VLOOKUP(I113, IMPORTRANGE(""https://docs.google.com/spreadsheets/d/1yDAaXNsi4Mr5FtRQL4tbmSdIzhx6_m4wkOD7IG-k_eo/edit#gid=1336395716"", ""Science!M:N""), 2, FALSE)"),"(LU006542.001); Default - Remember")</f>
        <v>(LU006542.001); Default - Remember</v>
      </c>
      <c r="K113" s="55" t="str">
        <f t="shared" si="1"/>
        <v>LU006542.002</v>
      </c>
      <c r="L113" s="55" t="str">
        <f ca="1">IFERROR(__xludf.DUMMYFUNCTION("VLOOKUP(K113, IMPORTRANGE(""https://docs.google.com/spreadsheets/d/1yDAaXNsi4Mr5FtRQL4tbmSdIzhx6_m4wkOD7IG-k_eo/edit#gid=1336395716"", ""Science!M:N""), 2, FALSE)"),"(LU006542.002); Default - Understand")</f>
        <v>(LU006542.002); Default - Understand</v>
      </c>
      <c r="M113" s="55" t="str">
        <f t="shared" si="2"/>
        <v>LU006542.003</v>
      </c>
      <c r="N113" s="55" t="str">
        <f ca="1">IFERROR(__xludf.DUMMYFUNCTION("VLOOKUP(M113, IMPORTRANGE(""https://docs.google.com/spreadsheets/d/1yDAaXNsi4Mr5FtRQL4tbmSdIzhx6_m4wkOD7IG-k_eo/edit#gid=1336395716"", ""Science!M:N""), 2, FALSE)"),"(LU006542.003); Default - Apply")</f>
        <v>(LU006542.003); Default - Apply</v>
      </c>
      <c r="O113" s="55" t="str">
        <f t="shared" si="3"/>
        <v>LU006542.004</v>
      </c>
      <c r="P113" s="55" t="str">
        <f ca="1">IFERROR(__xludf.DUMMYFUNCTION("VLOOKUP(O113, IMPORTRANGE(""https://docs.google.com/spreadsheets/d/1yDAaXNsi4Mr5FtRQL4tbmSdIzhx6_m4wkOD7IG-k_eo/edit#gid=1336395716"", ""Science!M:N""), 2, FALSE)"),"(LU006542.004); Default - Analyse")</f>
        <v>(LU006542.004); Default - Analyse</v>
      </c>
      <c r="Q113" s="55" t="str">
        <f t="shared" si="4"/>
        <v>LU006542.005</v>
      </c>
      <c r="R113" s="55" t="str">
        <f ca="1">IFERROR(__xludf.DUMMYFUNCTION("VLOOKUP(Q113, IMPORTRANGE(""https://docs.google.com/spreadsheets/d/1yDAaXNsi4Mr5FtRQL4tbmSdIzhx6_m4wkOD7IG-k_eo/edit#gid=1336395716"", ""Science!M:N""), 2, FALSE)"),"(LU006542.005); Default - Evaluate")</f>
        <v>(LU006542.005); Default - Evaluate</v>
      </c>
      <c r="S113" s="55" t="str">
        <f t="shared" si="5"/>
        <v>LU006542.006</v>
      </c>
      <c r="T113" s="55" t="str">
        <f ca="1">IFERROR(__xludf.DUMMYFUNCTION("VLOOKUP(S113, IMPORTRANGE(""https://docs.google.com/spreadsheets/d/1yDAaXNsi4Mr5FtRQL4tbmSdIzhx6_m4wkOD7IG-k_eo/edit#gid=1336395716"", ""Science!M:N""), 2, FALSE)"),"(LU006542.006); Default - Create")</f>
        <v>(LU006542.006); Default - Create</v>
      </c>
      <c r="U113" s="137" t="str">
        <f ca="1">IFERROR(__xludf.DUMMYFUNCTION("ArrayFormula(VLOOKUP(G113, IMPORTRANGE(""https://docs.google.com/spreadsheets/d/1p7R4vtkWt5VOBim4ltsDG9KTzSjrtKXsMtQGXPHyND0/edit#gid=795171502"", ""'Filter 30_05_2024'!A1:M2000""), {2, 3, 4, 5,6,7,8,9,10,11,12,13}, 0))"),"#N/A")</f>
        <v>#N/A</v>
      </c>
      <c r="V113" s="137" t="str">
        <f ca="1">IFERROR(__xludf.DUMMYFUNCTION("""COMPUTED_VALUE"""),"#N/A")</f>
        <v>#N/A</v>
      </c>
      <c r="W113" s="137" t="str">
        <f ca="1">IFERROR(__xludf.DUMMYFUNCTION("""COMPUTED_VALUE"""),"#N/A")</f>
        <v>#N/A</v>
      </c>
      <c r="X113" s="137" t="str">
        <f ca="1">IFERROR(__xludf.DUMMYFUNCTION("""COMPUTED_VALUE"""),"#N/A")</f>
        <v>#N/A</v>
      </c>
      <c r="Y113" s="137" t="str">
        <f ca="1">IFERROR(__xludf.DUMMYFUNCTION("""COMPUTED_VALUE"""),"#N/A")</f>
        <v>#N/A</v>
      </c>
      <c r="Z113" s="138" t="str">
        <f ca="1">IFERROR(__xludf.DUMMYFUNCTION("""COMPUTED_VALUE"""),"#N/A")</f>
        <v>#N/A</v>
      </c>
      <c r="AA113" s="138" t="str">
        <f ca="1">IFERROR(__xludf.DUMMYFUNCTION("""COMPUTED_VALUE"""),"#N/A")</f>
        <v>#N/A</v>
      </c>
      <c r="AB113" s="138" t="str">
        <f ca="1">IFERROR(__xludf.DUMMYFUNCTION("""COMPUTED_VALUE"""),"#N/A")</f>
        <v>#N/A</v>
      </c>
      <c r="AC113" s="138" t="str">
        <f ca="1">IFERROR(__xludf.DUMMYFUNCTION("""COMPUTED_VALUE"""),"#N/A")</f>
        <v>#N/A</v>
      </c>
      <c r="AD113" s="138" t="str">
        <f ca="1">IFERROR(__xludf.DUMMYFUNCTION("""COMPUTED_VALUE"""),"#N/A")</f>
        <v>#N/A</v>
      </c>
      <c r="AE113" s="138" t="str">
        <f ca="1">IFERROR(__xludf.DUMMYFUNCTION("""COMPUTED_VALUE"""),"#N/A")</f>
        <v>#N/A</v>
      </c>
      <c r="AF113" s="138" t="str">
        <f ca="1">IFERROR(__xludf.DUMMYFUNCTION("""COMPUTED_VALUE"""),"#N/A")</f>
        <v>#N/A</v>
      </c>
      <c r="AG113" s="138" t="str">
        <f ca="1">IFERROR(__xludf.DUMMYFUNCTION("ArrayFormula(VLOOKUP(G113, IMPORTRANGE(""https://docs.google.com/spreadsheets/d/1Co934fvtviyaRiMsrIlT05Jaq7iiYq07aLvRr35KA48/edit?gid=173865642#gid=173865642"", ""'G10_Sci_Pri_LU'!G2:V2000""), {3, 4, 5, 6, 7, 8, 9, 10, 11, 12, 13, 14, 15, 16}, 0))"),"LU006541")</f>
        <v>LU006541</v>
      </c>
      <c r="AH113" s="138" t="str">
        <f ca="1">IFERROR(__xludf.DUMMYFUNCTION("""COMPUTED_VALUE"""),"Reaction of metal carbonates and metal bicarbonates with acids")</f>
        <v>Reaction of metal carbonates and metal bicarbonates with acids</v>
      </c>
      <c r="AI113" s="138"/>
      <c r="AJ113" s="138"/>
      <c r="AK113" s="138"/>
      <c r="AL113" s="138"/>
      <c r="AM113" s="138"/>
      <c r="AN113" s="138"/>
      <c r="AO113" s="138"/>
      <c r="AP113" s="138"/>
      <c r="AQ113" s="138"/>
      <c r="AR113" s="138"/>
      <c r="AS113" s="138"/>
      <c r="AT113" s="138"/>
    </row>
    <row r="114" spans="1:46">
      <c r="A114" s="54" t="s">
        <v>247</v>
      </c>
      <c r="B114" s="55" t="s">
        <v>47</v>
      </c>
      <c r="C114" s="55" t="s">
        <v>1172</v>
      </c>
      <c r="D114" s="138" t="s">
        <v>1441</v>
      </c>
      <c r="E114" s="54" t="s">
        <v>2631</v>
      </c>
      <c r="F114" s="55" t="s">
        <v>2639</v>
      </c>
      <c r="G114" s="55" t="s">
        <v>2640</v>
      </c>
      <c r="H114" s="144" t="str">
        <f ca="1">IFERROR(__xludf.DUMMYFUNCTION("VLOOKUP(G114, IMPORTRANGE(""https://docs.google.com/spreadsheets/d/14deopnvwcrKtEGCKuYXdUHJbeLDZlkiSSWWT0g7x2pM/edit#gid=849066331"", ""LU List Science (Filter)!A:B""), 2, FALSE)"),"Acid or a Base in a Water Solution")</f>
        <v>Acid or a Base in a Water Solution</v>
      </c>
      <c r="I114" s="55" t="str">
        <f t="shared" si="0"/>
        <v>LU006543.001</v>
      </c>
      <c r="J114" s="55" t="str">
        <f ca="1">IFERROR(__xludf.DUMMYFUNCTION("VLOOKUP(I114, IMPORTRANGE(""https://docs.google.com/spreadsheets/d/1yDAaXNsi4Mr5FtRQL4tbmSdIzhx6_m4wkOD7IG-k_eo/edit#gid=1336395716"", ""Science!M:N""), 2, FALSE)"),"(LU006543.001); Default - Remember")</f>
        <v>(LU006543.001); Default - Remember</v>
      </c>
      <c r="K114" s="55" t="str">
        <f t="shared" si="1"/>
        <v>LU006543.002</v>
      </c>
      <c r="L114" s="55" t="str">
        <f ca="1">IFERROR(__xludf.DUMMYFUNCTION("VLOOKUP(K114, IMPORTRANGE(""https://docs.google.com/spreadsheets/d/1yDAaXNsi4Mr5FtRQL4tbmSdIzhx6_m4wkOD7IG-k_eo/edit#gid=1336395716"", ""Science!M:N""), 2, FALSE)"),"(LU006543.002); Default - Understand")</f>
        <v>(LU006543.002); Default - Understand</v>
      </c>
      <c r="M114" s="55" t="str">
        <f t="shared" si="2"/>
        <v>LU006543.003</v>
      </c>
      <c r="N114" s="55" t="str">
        <f ca="1">IFERROR(__xludf.DUMMYFUNCTION("VLOOKUP(M114, IMPORTRANGE(""https://docs.google.com/spreadsheets/d/1yDAaXNsi4Mr5FtRQL4tbmSdIzhx6_m4wkOD7IG-k_eo/edit#gid=1336395716"", ""Science!M:N""), 2, FALSE)"),"(LU006543.003); Default - Apply")</f>
        <v>(LU006543.003); Default - Apply</v>
      </c>
      <c r="O114" s="55" t="str">
        <f t="shared" si="3"/>
        <v>LU006543.004</v>
      </c>
      <c r="P114" s="55" t="str">
        <f ca="1">IFERROR(__xludf.DUMMYFUNCTION("VLOOKUP(O114, IMPORTRANGE(""https://docs.google.com/spreadsheets/d/1yDAaXNsi4Mr5FtRQL4tbmSdIzhx6_m4wkOD7IG-k_eo/edit#gid=1336395716"", ""Science!M:N""), 2, FALSE)"),"(LU006543.004); Default - Analyse")</f>
        <v>(LU006543.004); Default - Analyse</v>
      </c>
      <c r="Q114" s="55" t="str">
        <f t="shared" si="4"/>
        <v>LU006543.005</v>
      </c>
      <c r="R114" s="55" t="str">
        <f ca="1">IFERROR(__xludf.DUMMYFUNCTION("VLOOKUP(Q114, IMPORTRANGE(""https://docs.google.com/spreadsheets/d/1yDAaXNsi4Mr5FtRQL4tbmSdIzhx6_m4wkOD7IG-k_eo/edit#gid=1336395716"", ""Science!M:N""), 2, FALSE)"),"(LU006543.005); Default - Evaluate")</f>
        <v>(LU006543.005); Default - Evaluate</v>
      </c>
      <c r="S114" s="55" t="str">
        <f t="shared" si="5"/>
        <v>LU006543.006</v>
      </c>
      <c r="T114" s="55" t="str">
        <f ca="1">IFERROR(__xludf.DUMMYFUNCTION("VLOOKUP(S114, IMPORTRANGE(""https://docs.google.com/spreadsheets/d/1yDAaXNsi4Mr5FtRQL4tbmSdIzhx6_m4wkOD7IG-k_eo/edit#gid=1336395716"", ""Science!M:N""), 2, FALSE)"),"(LU006543.006); Default - Create")</f>
        <v>(LU006543.006); Default - Create</v>
      </c>
      <c r="U114" s="137" t="str">
        <f ca="1">IFERROR(__xludf.DUMMYFUNCTION("ArrayFormula(VLOOKUP(G114, IMPORTRANGE(""https://docs.google.com/spreadsheets/d/1p7R4vtkWt5VOBim4ltsDG9KTzSjrtKXsMtQGXPHyND0/edit#gid=795171502"", ""'Filter 30_05_2024'!A1:M2000""), {2, 3, 4, 5,6,7,8,9,10,11,12,13}, 0))"),"#N/A")</f>
        <v>#N/A</v>
      </c>
      <c r="V114" s="137" t="str">
        <f ca="1">IFERROR(__xludf.DUMMYFUNCTION("""COMPUTED_VALUE"""),"#N/A")</f>
        <v>#N/A</v>
      </c>
      <c r="W114" s="137" t="str">
        <f ca="1">IFERROR(__xludf.DUMMYFUNCTION("""COMPUTED_VALUE"""),"#N/A")</f>
        <v>#N/A</v>
      </c>
      <c r="X114" s="137" t="str">
        <f ca="1">IFERROR(__xludf.DUMMYFUNCTION("""COMPUTED_VALUE"""),"#N/A")</f>
        <v>#N/A</v>
      </c>
      <c r="Y114" s="137" t="str">
        <f ca="1">IFERROR(__xludf.DUMMYFUNCTION("""COMPUTED_VALUE"""),"#N/A")</f>
        <v>#N/A</v>
      </c>
      <c r="Z114" s="138" t="str">
        <f ca="1">IFERROR(__xludf.DUMMYFUNCTION("""COMPUTED_VALUE"""),"#N/A")</f>
        <v>#N/A</v>
      </c>
      <c r="AA114" s="138" t="str">
        <f ca="1">IFERROR(__xludf.DUMMYFUNCTION("""COMPUTED_VALUE"""),"#N/A")</f>
        <v>#N/A</v>
      </c>
      <c r="AB114" s="138" t="str">
        <f ca="1">IFERROR(__xludf.DUMMYFUNCTION("""COMPUTED_VALUE"""),"#N/A")</f>
        <v>#N/A</v>
      </c>
      <c r="AC114" s="138" t="str">
        <f ca="1">IFERROR(__xludf.DUMMYFUNCTION("""COMPUTED_VALUE"""),"#N/A")</f>
        <v>#N/A</v>
      </c>
      <c r="AD114" s="138" t="str">
        <f ca="1">IFERROR(__xludf.DUMMYFUNCTION("""COMPUTED_VALUE"""),"#N/A")</f>
        <v>#N/A</v>
      </c>
      <c r="AE114" s="138" t="str">
        <f ca="1">IFERROR(__xludf.DUMMYFUNCTION("""COMPUTED_VALUE"""),"#N/A")</f>
        <v>#N/A</v>
      </c>
      <c r="AF114" s="138" t="str">
        <f ca="1">IFERROR(__xludf.DUMMYFUNCTION("""COMPUTED_VALUE"""),"#N/A")</f>
        <v>#N/A</v>
      </c>
      <c r="AG114" s="138" t="str">
        <f ca="1">IFERROR(__xludf.DUMMYFUNCTION("ArrayFormula(VLOOKUP(G114, IMPORTRANGE(""https://docs.google.com/spreadsheets/d/1Co934fvtviyaRiMsrIlT05Jaq7iiYq07aLvRr35KA48/edit?gid=173865642#gid=173865642"", ""'G10_Sci_Pri_LU'!G2:V2000""), {3, 4, 5, 6, 7, 8, 9, 10, 11, 12, 13, 14, 15, 16}, 0))"),"")</f>
        <v/>
      </c>
      <c r="AH114" s="138" t="str">
        <f ca="1">IFERROR(__xludf.DUMMYFUNCTION("""COMPUTED_VALUE"""),"#N/A")</f>
        <v>#N/A</v>
      </c>
      <c r="AI114" s="138"/>
      <c r="AJ114" s="138"/>
      <c r="AK114" s="138"/>
      <c r="AL114" s="138"/>
      <c r="AM114" s="138"/>
      <c r="AN114" s="138"/>
      <c r="AO114" s="138"/>
      <c r="AP114" s="138"/>
      <c r="AQ114" s="138"/>
      <c r="AR114" s="138"/>
      <c r="AS114" s="138"/>
      <c r="AT114" s="138"/>
    </row>
    <row r="115" spans="1:46">
      <c r="A115" s="54" t="s">
        <v>247</v>
      </c>
      <c r="B115" s="55" t="s">
        <v>47</v>
      </c>
      <c r="C115" s="55" t="s">
        <v>1172</v>
      </c>
      <c r="D115" s="138" t="s">
        <v>1441</v>
      </c>
      <c r="E115" s="54" t="s">
        <v>2631</v>
      </c>
      <c r="F115" s="55" t="s">
        <v>2639</v>
      </c>
      <c r="G115" s="55" t="s">
        <v>2641</v>
      </c>
      <c r="H115" s="54" t="str">
        <f ca="1">IFERROR(__xludf.DUMMYFUNCTION("VLOOKUP(G115, IMPORTRANGE(""https://docs.google.com/spreadsheets/d/14deopnvwcrKtEGCKuYXdUHJbeLDZlkiSSWWT0g7x2pM/edit#gid=849066331"", ""LU List Science (Filter)!A:B""), 2, FALSE)"),"Strength of acids and bases")</f>
        <v>Strength of acids and bases</v>
      </c>
      <c r="I115" s="55" t="str">
        <f t="shared" si="0"/>
        <v>LU006544.001</v>
      </c>
      <c r="J115" s="55" t="str">
        <f ca="1">IFERROR(__xludf.DUMMYFUNCTION("VLOOKUP(I115, IMPORTRANGE(""https://docs.google.com/spreadsheets/d/1yDAaXNsi4Mr5FtRQL4tbmSdIzhx6_m4wkOD7IG-k_eo/edit#gid=1336395716"", ""Science!M:N""), 2, FALSE)"),"(LU006544.001); Default - Remember")</f>
        <v>(LU006544.001); Default - Remember</v>
      </c>
      <c r="K115" s="55" t="str">
        <f t="shared" si="1"/>
        <v>LU006544.002</v>
      </c>
      <c r="L115" s="55" t="str">
        <f ca="1">IFERROR(__xludf.DUMMYFUNCTION("VLOOKUP(K115, IMPORTRANGE(""https://docs.google.com/spreadsheets/d/1yDAaXNsi4Mr5FtRQL4tbmSdIzhx6_m4wkOD7IG-k_eo/edit#gid=1336395716"", ""Science!M:N""), 2, FALSE)"),"(LU006544.002); Default - Understand")</f>
        <v>(LU006544.002); Default - Understand</v>
      </c>
      <c r="M115" s="55" t="str">
        <f t="shared" si="2"/>
        <v>LU006544.003</v>
      </c>
      <c r="N115" s="55" t="str">
        <f ca="1">IFERROR(__xludf.DUMMYFUNCTION("VLOOKUP(M115, IMPORTRANGE(""https://docs.google.com/spreadsheets/d/1yDAaXNsi4Mr5FtRQL4tbmSdIzhx6_m4wkOD7IG-k_eo/edit#gid=1336395716"", ""Science!M:N""), 2, FALSE)"),"(LU006544.003); Default - Apply")</f>
        <v>(LU006544.003); Default - Apply</v>
      </c>
      <c r="O115" s="55" t="str">
        <f t="shared" si="3"/>
        <v>LU006544.004</v>
      </c>
      <c r="P115" s="55" t="str">
        <f ca="1">IFERROR(__xludf.DUMMYFUNCTION("VLOOKUP(O115, IMPORTRANGE(""https://docs.google.com/spreadsheets/d/1yDAaXNsi4Mr5FtRQL4tbmSdIzhx6_m4wkOD7IG-k_eo/edit#gid=1336395716"", ""Science!M:N""), 2, FALSE)"),"(LU006544.004); Default - Analyse")</f>
        <v>(LU006544.004); Default - Analyse</v>
      </c>
      <c r="Q115" s="55" t="str">
        <f t="shared" si="4"/>
        <v>LU006544.005</v>
      </c>
      <c r="R115" s="55" t="str">
        <f ca="1">IFERROR(__xludf.DUMMYFUNCTION("VLOOKUP(Q115, IMPORTRANGE(""https://docs.google.com/spreadsheets/d/1yDAaXNsi4Mr5FtRQL4tbmSdIzhx6_m4wkOD7IG-k_eo/edit#gid=1336395716"", ""Science!M:N""), 2, FALSE)"),"(LU006544.005); Default - Evaluate")</f>
        <v>(LU006544.005); Default - Evaluate</v>
      </c>
      <c r="S115" s="55" t="str">
        <f t="shared" si="5"/>
        <v>LU006544.006</v>
      </c>
      <c r="T115" s="55" t="str">
        <f ca="1">IFERROR(__xludf.DUMMYFUNCTION("VLOOKUP(S115, IMPORTRANGE(""https://docs.google.com/spreadsheets/d/1yDAaXNsi4Mr5FtRQL4tbmSdIzhx6_m4wkOD7IG-k_eo/edit#gid=1336395716"", ""Science!M:N""), 2, FALSE)"),"(LU006544.006); Default - Create")</f>
        <v>(LU006544.006); Default - Create</v>
      </c>
      <c r="U115" s="137" t="str">
        <f ca="1">IFERROR(__xludf.DUMMYFUNCTION("ArrayFormula(VLOOKUP(G115, IMPORTRANGE(""https://docs.google.com/spreadsheets/d/1p7R4vtkWt5VOBim4ltsDG9KTzSjrtKXsMtQGXPHyND0/edit#gid=795171502"", ""'Filter 30_05_2024'!A1:M2000""), {2, 3, 4, 5,6,7,8,9,10,11,12,13}, 0))"),"#N/A")</f>
        <v>#N/A</v>
      </c>
      <c r="V115" s="137" t="str">
        <f ca="1">IFERROR(__xludf.DUMMYFUNCTION("""COMPUTED_VALUE"""),"#N/A")</f>
        <v>#N/A</v>
      </c>
      <c r="W115" s="137" t="str">
        <f ca="1">IFERROR(__xludf.DUMMYFUNCTION("""COMPUTED_VALUE"""),"#N/A")</f>
        <v>#N/A</v>
      </c>
      <c r="X115" s="137" t="str">
        <f ca="1">IFERROR(__xludf.DUMMYFUNCTION("""COMPUTED_VALUE"""),"#N/A")</f>
        <v>#N/A</v>
      </c>
      <c r="Y115" s="137" t="str">
        <f ca="1">IFERROR(__xludf.DUMMYFUNCTION("""COMPUTED_VALUE"""),"#N/A")</f>
        <v>#N/A</v>
      </c>
      <c r="Z115" s="138" t="str">
        <f ca="1">IFERROR(__xludf.DUMMYFUNCTION("""COMPUTED_VALUE"""),"#N/A")</f>
        <v>#N/A</v>
      </c>
      <c r="AA115" s="138" t="str">
        <f ca="1">IFERROR(__xludf.DUMMYFUNCTION("""COMPUTED_VALUE"""),"#N/A")</f>
        <v>#N/A</v>
      </c>
      <c r="AB115" s="138" t="str">
        <f ca="1">IFERROR(__xludf.DUMMYFUNCTION("""COMPUTED_VALUE"""),"#N/A")</f>
        <v>#N/A</v>
      </c>
      <c r="AC115" s="138" t="str">
        <f ca="1">IFERROR(__xludf.DUMMYFUNCTION("""COMPUTED_VALUE"""),"#N/A")</f>
        <v>#N/A</v>
      </c>
      <c r="AD115" s="138" t="str">
        <f ca="1">IFERROR(__xludf.DUMMYFUNCTION("""COMPUTED_VALUE"""),"#N/A")</f>
        <v>#N/A</v>
      </c>
      <c r="AE115" s="138" t="str">
        <f ca="1">IFERROR(__xludf.DUMMYFUNCTION("""COMPUTED_VALUE"""),"#N/A")</f>
        <v>#N/A</v>
      </c>
      <c r="AF115" s="138" t="str">
        <f ca="1">IFERROR(__xludf.DUMMYFUNCTION("""COMPUTED_VALUE"""),"#N/A")</f>
        <v>#N/A</v>
      </c>
      <c r="AG115" s="138" t="str">
        <f ca="1">IFERROR(__xludf.DUMMYFUNCTION("ArrayFormula(VLOOKUP(G115, IMPORTRANGE(""https://docs.google.com/spreadsheets/d/1Co934fvtviyaRiMsrIlT05Jaq7iiYq07aLvRr35KA48/edit?gid=173865642#gid=173865642"", ""'G10_Sci_Pri_LU'!G2:V2000""), {3, 4, 5, 6, 7, 8, 9, 10, 11, 12, 13, 14, 15, 16}, 0))"),"LU006543")</f>
        <v>LU006543</v>
      </c>
      <c r="AH115" s="138" t="str">
        <f ca="1">IFERROR(__xludf.DUMMYFUNCTION("""COMPUTED_VALUE"""),"Acid or a Base in a Water Solution")</f>
        <v>Acid or a Base in a Water Solution</v>
      </c>
      <c r="AI115" s="138"/>
      <c r="AJ115" s="138"/>
      <c r="AK115" s="138"/>
      <c r="AL115" s="138"/>
      <c r="AM115" s="138"/>
      <c r="AN115" s="138"/>
      <c r="AO115" s="138"/>
      <c r="AP115" s="138"/>
      <c r="AQ115" s="138"/>
      <c r="AR115" s="138"/>
      <c r="AS115" s="138"/>
      <c r="AT115" s="138"/>
    </row>
    <row r="116" spans="1:46">
      <c r="A116" s="54" t="s">
        <v>247</v>
      </c>
      <c r="B116" s="55" t="s">
        <v>47</v>
      </c>
      <c r="C116" s="55" t="s">
        <v>1172</v>
      </c>
      <c r="D116" s="138" t="s">
        <v>1441</v>
      </c>
      <c r="E116" s="54" t="s">
        <v>2631</v>
      </c>
      <c r="F116" s="55" t="s">
        <v>2642</v>
      </c>
      <c r="G116" s="55" t="s">
        <v>2643</v>
      </c>
      <c r="H116" s="54" t="str">
        <f ca="1">IFERROR(__xludf.DUMMYFUNCTION("VLOOKUP(G116, IMPORTRANGE(""https://docs.google.com/spreadsheets/d/14deopnvwcrKtEGCKuYXdUHJbeLDZlkiSSWWT0g7x2pM/edit#gid=849066331"", ""LU List Science (Filter)!A:B""), 2, FALSE)"),"Importance of pH in everyday life")</f>
        <v>Importance of pH in everyday life</v>
      </c>
      <c r="I116" s="55" t="str">
        <f t="shared" si="0"/>
        <v>LU006545.001</v>
      </c>
      <c r="J116" s="55" t="str">
        <f ca="1">IFERROR(__xludf.DUMMYFUNCTION("VLOOKUP(I116, IMPORTRANGE(""https://docs.google.com/spreadsheets/d/1yDAaXNsi4Mr5FtRQL4tbmSdIzhx6_m4wkOD7IG-k_eo/edit#gid=1336395716"", ""Science!M:N""), 2, FALSE)"),"(LU006545.001); Default - Remember")</f>
        <v>(LU006545.001); Default - Remember</v>
      </c>
      <c r="K116" s="55" t="str">
        <f t="shared" si="1"/>
        <v>LU006545.002</v>
      </c>
      <c r="L116" s="55" t="str">
        <f ca="1">IFERROR(__xludf.DUMMYFUNCTION("VLOOKUP(K116, IMPORTRANGE(""https://docs.google.com/spreadsheets/d/1yDAaXNsi4Mr5FtRQL4tbmSdIzhx6_m4wkOD7IG-k_eo/edit#gid=1336395716"", ""Science!M:N""), 2, FALSE)"),"(LU006545.002); Default - Understand")</f>
        <v>(LU006545.002); Default - Understand</v>
      </c>
      <c r="M116" s="55" t="str">
        <f t="shared" si="2"/>
        <v>LU006545.003</v>
      </c>
      <c r="N116" s="55" t="str">
        <f ca="1">IFERROR(__xludf.DUMMYFUNCTION("VLOOKUP(M116, IMPORTRANGE(""https://docs.google.com/spreadsheets/d/1yDAaXNsi4Mr5FtRQL4tbmSdIzhx6_m4wkOD7IG-k_eo/edit#gid=1336395716"", ""Science!M:N""), 2, FALSE)"),"(LU006545.003); Default - Apply")</f>
        <v>(LU006545.003); Default - Apply</v>
      </c>
      <c r="O116" s="55" t="str">
        <f t="shared" si="3"/>
        <v>LU006545.004</v>
      </c>
      <c r="P116" s="55" t="str">
        <f ca="1">IFERROR(__xludf.DUMMYFUNCTION("VLOOKUP(O116, IMPORTRANGE(""https://docs.google.com/spreadsheets/d/1yDAaXNsi4Mr5FtRQL4tbmSdIzhx6_m4wkOD7IG-k_eo/edit#gid=1336395716"", ""Science!M:N""), 2, FALSE)"),"(LU006545.004); Default - Analyse")</f>
        <v>(LU006545.004); Default - Analyse</v>
      </c>
      <c r="Q116" s="55" t="str">
        <f t="shared" si="4"/>
        <v>LU006545.005</v>
      </c>
      <c r="R116" s="55" t="str">
        <f ca="1">IFERROR(__xludf.DUMMYFUNCTION("VLOOKUP(Q116, IMPORTRANGE(""https://docs.google.com/spreadsheets/d/1yDAaXNsi4Mr5FtRQL4tbmSdIzhx6_m4wkOD7IG-k_eo/edit#gid=1336395716"", ""Science!M:N""), 2, FALSE)"),"(LU006545.005); Default - Evaluate")</f>
        <v>(LU006545.005); Default - Evaluate</v>
      </c>
      <c r="S116" s="55" t="str">
        <f t="shared" si="5"/>
        <v>LU006545.006</v>
      </c>
      <c r="T116" s="55" t="str">
        <f ca="1">IFERROR(__xludf.DUMMYFUNCTION("VLOOKUP(S116, IMPORTRANGE(""https://docs.google.com/spreadsheets/d/1yDAaXNsi4Mr5FtRQL4tbmSdIzhx6_m4wkOD7IG-k_eo/edit#gid=1336395716"", ""Science!M:N""), 2, FALSE)"),"(LU006545.006); Default - Create")</f>
        <v>(LU006545.006); Default - Create</v>
      </c>
      <c r="U116" s="137" t="str">
        <f ca="1">IFERROR(__xludf.DUMMYFUNCTION("ArrayFormula(VLOOKUP(G116, IMPORTRANGE(""https://docs.google.com/spreadsheets/d/1p7R4vtkWt5VOBim4ltsDG9KTzSjrtKXsMtQGXPHyND0/edit#gid=795171502"", ""'Filter 30_05_2024'!A1:M2000""), {2, 3, 4, 5,6,7,8,9,10,11,12,13}, 0))"),"#N/A")</f>
        <v>#N/A</v>
      </c>
      <c r="V116" s="137" t="str">
        <f ca="1">IFERROR(__xludf.DUMMYFUNCTION("""COMPUTED_VALUE"""),"#N/A")</f>
        <v>#N/A</v>
      </c>
      <c r="W116" s="137" t="str">
        <f ca="1">IFERROR(__xludf.DUMMYFUNCTION("""COMPUTED_VALUE"""),"#N/A")</f>
        <v>#N/A</v>
      </c>
      <c r="X116" s="137" t="str">
        <f ca="1">IFERROR(__xludf.DUMMYFUNCTION("""COMPUTED_VALUE"""),"#N/A")</f>
        <v>#N/A</v>
      </c>
      <c r="Y116" s="137" t="str">
        <f ca="1">IFERROR(__xludf.DUMMYFUNCTION("""COMPUTED_VALUE"""),"#N/A")</f>
        <v>#N/A</v>
      </c>
      <c r="Z116" s="138" t="str">
        <f ca="1">IFERROR(__xludf.DUMMYFUNCTION("""COMPUTED_VALUE"""),"#N/A")</f>
        <v>#N/A</v>
      </c>
      <c r="AA116" s="138" t="str">
        <f ca="1">IFERROR(__xludf.DUMMYFUNCTION("""COMPUTED_VALUE"""),"#N/A")</f>
        <v>#N/A</v>
      </c>
      <c r="AB116" s="138" t="str">
        <f ca="1">IFERROR(__xludf.DUMMYFUNCTION("""COMPUTED_VALUE"""),"#N/A")</f>
        <v>#N/A</v>
      </c>
      <c r="AC116" s="138" t="str">
        <f ca="1">IFERROR(__xludf.DUMMYFUNCTION("""COMPUTED_VALUE"""),"#N/A")</f>
        <v>#N/A</v>
      </c>
      <c r="AD116" s="138" t="str">
        <f ca="1">IFERROR(__xludf.DUMMYFUNCTION("""COMPUTED_VALUE"""),"#N/A")</f>
        <v>#N/A</v>
      </c>
      <c r="AE116" s="138" t="str">
        <f ca="1">IFERROR(__xludf.DUMMYFUNCTION("""COMPUTED_VALUE"""),"#N/A")</f>
        <v>#N/A</v>
      </c>
      <c r="AF116" s="138" t="str">
        <f ca="1">IFERROR(__xludf.DUMMYFUNCTION("""COMPUTED_VALUE"""),"#N/A")</f>
        <v>#N/A</v>
      </c>
      <c r="AG116" s="138" t="str">
        <f ca="1">IFERROR(__xludf.DUMMYFUNCTION("ArrayFormula(VLOOKUP(G116, IMPORTRANGE(""https://docs.google.com/spreadsheets/d/1Co934fvtviyaRiMsrIlT05Jaq7iiYq07aLvRr35KA48/edit?gid=173865642#gid=173865642"", ""'G10_Sci_Pri_LU'!G2:V2000""), {3, 4, 5, 6, 7, 8, 9, 10, 11, 12, 13, 14, 15, 16}, 0))"),"LU006544")</f>
        <v>LU006544</v>
      </c>
      <c r="AH116" s="138" t="str">
        <f ca="1">IFERROR(__xludf.DUMMYFUNCTION("""COMPUTED_VALUE"""),"Strength of acids and bases")</f>
        <v>Strength of acids and bases</v>
      </c>
      <c r="AI116" s="138"/>
      <c r="AJ116" s="138"/>
      <c r="AK116" s="138"/>
      <c r="AL116" s="138"/>
      <c r="AM116" s="138"/>
      <c r="AN116" s="138"/>
      <c r="AO116" s="138"/>
      <c r="AP116" s="138"/>
      <c r="AQ116" s="138"/>
      <c r="AR116" s="138"/>
      <c r="AS116" s="138"/>
      <c r="AT116" s="138"/>
    </row>
    <row r="117" spans="1:46">
      <c r="A117" s="54" t="s">
        <v>247</v>
      </c>
      <c r="B117" s="55" t="s">
        <v>47</v>
      </c>
      <c r="C117" s="55" t="s">
        <v>1172</v>
      </c>
      <c r="D117" s="138" t="s">
        <v>1441</v>
      </c>
      <c r="E117" s="54" t="s">
        <v>2631</v>
      </c>
      <c r="F117" s="55" t="s">
        <v>2644</v>
      </c>
      <c r="G117" s="55" t="s">
        <v>2645</v>
      </c>
      <c r="H117" s="54" t="str">
        <f ca="1">IFERROR(__xludf.DUMMYFUNCTION("VLOOKUP(G117, IMPORTRANGE(""https://docs.google.com/spreadsheets/d/14deopnvwcrKtEGCKuYXdUHJbeLDZlkiSSWWT0g7x2pM/edit#gid=849066331"", ""LU List Science (Filter)!A:B""), 2, FALSE)"),"Nomenclature and Formation of Salts")</f>
        <v>Nomenclature and Formation of Salts</v>
      </c>
      <c r="I117" s="55" t="str">
        <f t="shared" si="0"/>
        <v>LU006546.001</v>
      </c>
      <c r="J117" s="55" t="str">
        <f ca="1">IFERROR(__xludf.DUMMYFUNCTION("VLOOKUP(I117, IMPORTRANGE(""https://docs.google.com/spreadsheets/d/1yDAaXNsi4Mr5FtRQL4tbmSdIzhx6_m4wkOD7IG-k_eo/edit#gid=1336395716"", ""Science!M:N""), 2, FALSE)"),"(LU006546.001); Default - Remember")</f>
        <v>(LU006546.001); Default - Remember</v>
      </c>
      <c r="K117" s="55" t="str">
        <f t="shared" si="1"/>
        <v>LU006546.002</v>
      </c>
      <c r="L117" s="55" t="str">
        <f ca="1">IFERROR(__xludf.DUMMYFUNCTION("VLOOKUP(K117, IMPORTRANGE(""https://docs.google.com/spreadsheets/d/1yDAaXNsi4Mr5FtRQL4tbmSdIzhx6_m4wkOD7IG-k_eo/edit#gid=1336395716"", ""Science!M:N""), 2, FALSE)"),"(LU006546.002); Default - Understand")</f>
        <v>(LU006546.002); Default - Understand</v>
      </c>
      <c r="M117" s="55" t="str">
        <f t="shared" si="2"/>
        <v>LU006546.003</v>
      </c>
      <c r="N117" s="55" t="str">
        <f ca="1">IFERROR(__xludf.DUMMYFUNCTION("VLOOKUP(M117, IMPORTRANGE(""https://docs.google.com/spreadsheets/d/1yDAaXNsi4Mr5FtRQL4tbmSdIzhx6_m4wkOD7IG-k_eo/edit#gid=1336395716"", ""Science!M:N""), 2, FALSE)"),"(LU006546.003); Default - Apply")</f>
        <v>(LU006546.003); Default - Apply</v>
      </c>
      <c r="O117" s="55" t="str">
        <f t="shared" si="3"/>
        <v>LU006546.004</v>
      </c>
      <c r="P117" s="55" t="str">
        <f ca="1">IFERROR(__xludf.DUMMYFUNCTION("VLOOKUP(O117, IMPORTRANGE(""https://docs.google.com/spreadsheets/d/1yDAaXNsi4Mr5FtRQL4tbmSdIzhx6_m4wkOD7IG-k_eo/edit#gid=1336395716"", ""Science!M:N""), 2, FALSE)"),"(LU006546.004); Default - Analyse")</f>
        <v>(LU006546.004); Default - Analyse</v>
      </c>
      <c r="Q117" s="55" t="str">
        <f t="shared" si="4"/>
        <v>LU006546.005</v>
      </c>
      <c r="R117" s="55" t="str">
        <f ca="1">IFERROR(__xludf.DUMMYFUNCTION("VLOOKUP(Q117, IMPORTRANGE(""https://docs.google.com/spreadsheets/d/1yDAaXNsi4Mr5FtRQL4tbmSdIzhx6_m4wkOD7IG-k_eo/edit#gid=1336395716"", ""Science!M:N""), 2, FALSE)"),"(LU006546.005); Default - Evaluate")</f>
        <v>(LU006546.005); Default - Evaluate</v>
      </c>
      <c r="S117" s="55" t="str">
        <f t="shared" si="5"/>
        <v>LU006546.006</v>
      </c>
      <c r="T117" s="55" t="str">
        <f ca="1">IFERROR(__xludf.DUMMYFUNCTION("VLOOKUP(S117, IMPORTRANGE(""https://docs.google.com/spreadsheets/d/1yDAaXNsi4Mr5FtRQL4tbmSdIzhx6_m4wkOD7IG-k_eo/edit#gid=1336395716"", ""Science!M:N""), 2, FALSE)"),"(LU006546.006); Default - Create")</f>
        <v>(LU006546.006); Default - Create</v>
      </c>
      <c r="U117" s="137" t="str">
        <f ca="1">IFERROR(__xludf.DUMMYFUNCTION("ArrayFormula(VLOOKUP(G117, IMPORTRANGE(""https://docs.google.com/spreadsheets/d/1p7R4vtkWt5VOBim4ltsDG9KTzSjrtKXsMtQGXPHyND0/edit#gid=795171502"", ""'Filter 30_05_2024'!A1:M2000""), {2, 3, 4, 5,6,7,8,9,10,11,12,13}, 0))"),"#N/A")</f>
        <v>#N/A</v>
      </c>
      <c r="V117" s="137" t="str">
        <f ca="1">IFERROR(__xludf.DUMMYFUNCTION("""COMPUTED_VALUE"""),"#N/A")</f>
        <v>#N/A</v>
      </c>
      <c r="W117" s="137" t="str">
        <f ca="1">IFERROR(__xludf.DUMMYFUNCTION("""COMPUTED_VALUE"""),"#N/A")</f>
        <v>#N/A</v>
      </c>
      <c r="X117" s="137" t="str">
        <f ca="1">IFERROR(__xludf.DUMMYFUNCTION("""COMPUTED_VALUE"""),"#N/A")</f>
        <v>#N/A</v>
      </c>
      <c r="Y117" s="137" t="str">
        <f ca="1">IFERROR(__xludf.DUMMYFUNCTION("""COMPUTED_VALUE"""),"#N/A")</f>
        <v>#N/A</v>
      </c>
      <c r="Z117" s="138" t="str">
        <f ca="1">IFERROR(__xludf.DUMMYFUNCTION("""COMPUTED_VALUE"""),"#N/A")</f>
        <v>#N/A</v>
      </c>
      <c r="AA117" s="138" t="str">
        <f ca="1">IFERROR(__xludf.DUMMYFUNCTION("""COMPUTED_VALUE"""),"#N/A")</f>
        <v>#N/A</v>
      </c>
      <c r="AB117" s="138" t="str">
        <f ca="1">IFERROR(__xludf.DUMMYFUNCTION("""COMPUTED_VALUE"""),"#N/A")</f>
        <v>#N/A</v>
      </c>
      <c r="AC117" s="138" t="str">
        <f ca="1">IFERROR(__xludf.DUMMYFUNCTION("""COMPUTED_VALUE"""),"#N/A")</f>
        <v>#N/A</v>
      </c>
      <c r="AD117" s="138" t="str">
        <f ca="1">IFERROR(__xludf.DUMMYFUNCTION("""COMPUTED_VALUE"""),"#N/A")</f>
        <v>#N/A</v>
      </c>
      <c r="AE117" s="138" t="str">
        <f ca="1">IFERROR(__xludf.DUMMYFUNCTION("""COMPUTED_VALUE"""),"#N/A")</f>
        <v>#N/A</v>
      </c>
      <c r="AF117" s="138" t="str">
        <f ca="1">IFERROR(__xludf.DUMMYFUNCTION("""COMPUTED_VALUE"""),"#N/A")</f>
        <v>#N/A</v>
      </c>
      <c r="AG117" s="138" t="str">
        <f ca="1">IFERROR(__xludf.DUMMYFUNCTION("ArrayFormula(VLOOKUP(G117, IMPORTRANGE(""https://docs.google.com/spreadsheets/d/1Co934fvtviyaRiMsrIlT05Jaq7iiYq07aLvRr35KA48/edit?gid=173865642#gid=173865642"", ""'G10_Sci_Pri_LU'!G2:V2000""), {3, 4, 5, 6, 7, 8, 9, 10, 11, 12, 13, 14, 15, 16}, 0))"),"LU005473")</f>
        <v>LU005473</v>
      </c>
      <c r="AH117" s="138" t="str">
        <f ca="1">IFERROR(__xludf.DUMMYFUNCTION("""COMPUTED_VALUE"""),"Definition of neutralisation reaction")</f>
        <v>Definition of neutralisation reaction</v>
      </c>
      <c r="AI117" s="138"/>
      <c r="AJ117" s="138"/>
      <c r="AK117" s="138"/>
      <c r="AL117" s="138"/>
      <c r="AM117" s="138"/>
      <c r="AN117" s="138"/>
      <c r="AO117" s="138"/>
      <c r="AP117" s="138"/>
      <c r="AQ117" s="138"/>
      <c r="AR117" s="138"/>
      <c r="AS117" s="138"/>
      <c r="AT117" s="138"/>
    </row>
    <row r="118" spans="1:46">
      <c r="A118" s="54" t="s">
        <v>247</v>
      </c>
      <c r="B118" s="55" t="s">
        <v>47</v>
      </c>
      <c r="C118" s="55" t="s">
        <v>1172</v>
      </c>
      <c r="D118" s="138" t="s">
        <v>1441</v>
      </c>
      <c r="E118" s="54" t="s">
        <v>2631</v>
      </c>
      <c r="F118" s="145" t="s">
        <v>2646</v>
      </c>
      <c r="G118" s="55" t="s">
        <v>2647</v>
      </c>
      <c r="H118" s="54" t="str">
        <f ca="1">IFERROR(__xludf.DUMMYFUNCTION("VLOOKUP(G118, IMPORTRANGE(""https://docs.google.com/spreadsheets/d/14deopnvwcrKtEGCKuYXdUHJbeLDZlkiSSWWT0g7x2pM/edit#gid=849066331"", ""LU List Science (Filter)!A:B""), 2, FALSE)"),"Common salt and Chlor-alkali process")</f>
        <v>Common salt and Chlor-alkali process</v>
      </c>
      <c r="I118" s="55" t="str">
        <f t="shared" si="0"/>
        <v>LU006547.001</v>
      </c>
      <c r="J118" s="55" t="str">
        <f ca="1">IFERROR(__xludf.DUMMYFUNCTION("VLOOKUP(I118, IMPORTRANGE(""https://docs.google.com/spreadsheets/d/1yDAaXNsi4Mr5FtRQL4tbmSdIzhx6_m4wkOD7IG-k_eo/edit#gid=1336395716"", ""Science!M:N""), 2, FALSE)"),"(LU006547.001); Default - Remember")</f>
        <v>(LU006547.001); Default - Remember</v>
      </c>
      <c r="K118" s="55" t="str">
        <f t="shared" si="1"/>
        <v>LU006547.002</v>
      </c>
      <c r="L118" s="55" t="str">
        <f ca="1">IFERROR(__xludf.DUMMYFUNCTION("VLOOKUP(K118, IMPORTRANGE(""https://docs.google.com/spreadsheets/d/1yDAaXNsi4Mr5FtRQL4tbmSdIzhx6_m4wkOD7IG-k_eo/edit#gid=1336395716"", ""Science!M:N""), 2, FALSE)"),"(LU006547.002); Default - Understand")</f>
        <v>(LU006547.002); Default - Understand</v>
      </c>
      <c r="M118" s="55" t="str">
        <f t="shared" si="2"/>
        <v>LU006547.003</v>
      </c>
      <c r="N118" s="55" t="str">
        <f ca="1">IFERROR(__xludf.DUMMYFUNCTION("VLOOKUP(M118, IMPORTRANGE(""https://docs.google.com/spreadsheets/d/1yDAaXNsi4Mr5FtRQL4tbmSdIzhx6_m4wkOD7IG-k_eo/edit#gid=1336395716"", ""Science!M:N""), 2, FALSE)"),"(LU006547.003); Default - Apply")</f>
        <v>(LU006547.003); Default - Apply</v>
      </c>
      <c r="O118" s="55" t="str">
        <f t="shared" si="3"/>
        <v>LU006547.004</v>
      </c>
      <c r="P118" s="55" t="str">
        <f ca="1">IFERROR(__xludf.DUMMYFUNCTION("VLOOKUP(O118, IMPORTRANGE(""https://docs.google.com/spreadsheets/d/1yDAaXNsi4Mr5FtRQL4tbmSdIzhx6_m4wkOD7IG-k_eo/edit#gid=1336395716"", ""Science!M:N""), 2, FALSE)"),"(LU006547.004); Default - Analyse")</f>
        <v>(LU006547.004); Default - Analyse</v>
      </c>
      <c r="Q118" s="55" t="str">
        <f t="shared" si="4"/>
        <v>LU006547.005</v>
      </c>
      <c r="R118" s="55" t="str">
        <f ca="1">IFERROR(__xludf.DUMMYFUNCTION("VLOOKUP(Q118, IMPORTRANGE(""https://docs.google.com/spreadsheets/d/1yDAaXNsi4Mr5FtRQL4tbmSdIzhx6_m4wkOD7IG-k_eo/edit#gid=1336395716"", ""Science!M:N""), 2, FALSE)"),"(LU006547.005); Default - Evaluate")</f>
        <v>(LU006547.005); Default - Evaluate</v>
      </c>
      <c r="S118" s="55" t="str">
        <f t="shared" si="5"/>
        <v>LU006547.006</v>
      </c>
      <c r="T118" s="55" t="str">
        <f ca="1">IFERROR(__xludf.DUMMYFUNCTION("VLOOKUP(S118, IMPORTRANGE(""https://docs.google.com/spreadsheets/d/1yDAaXNsi4Mr5FtRQL4tbmSdIzhx6_m4wkOD7IG-k_eo/edit#gid=1336395716"", ""Science!M:N""), 2, FALSE)"),"(LU006547.006); Default - Create")</f>
        <v>(LU006547.006); Default - Create</v>
      </c>
      <c r="U118" s="137" t="str">
        <f ca="1">IFERROR(__xludf.DUMMYFUNCTION("ArrayFormula(VLOOKUP(G118, IMPORTRANGE(""https://docs.google.com/spreadsheets/d/1p7R4vtkWt5VOBim4ltsDG9KTzSjrtKXsMtQGXPHyND0/edit#gid=795171502"", ""'Filter 30_05_2024'!A1:M2000""), {2, 3, 4, 5,6,7,8,9,10,11,12,13}, 0))"),"#N/A")</f>
        <v>#N/A</v>
      </c>
      <c r="V118" s="137" t="str">
        <f ca="1">IFERROR(__xludf.DUMMYFUNCTION("""COMPUTED_VALUE"""),"#N/A")</f>
        <v>#N/A</v>
      </c>
      <c r="W118" s="137" t="str">
        <f ca="1">IFERROR(__xludf.DUMMYFUNCTION("""COMPUTED_VALUE"""),"#N/A")</f>
        <v>#N/A</v>
      </c>
      <c r="X118" s="137" t="str">
        <f ca="1">IFERROR(__xludf.DUMMYFUNCTION("""COMPUTED_VALUE"""),"#N/A")</f>
        <v>#N/A</v>
      </c>
      <c r="Y118" s="137" t="str">
        <f ca="1">IFERROR(__xludf.DUMMYFUNCTION("""COMPUTED_VALUE"""),"#N/A")</f>
        <v>#N/A</v>
      </c>
      <c r="Z118" s="138" t="str">
        <f ca="1">IFERROR(__xludf.DUMMYFUNCTION("""COMPUTED_VALUE"""),"#N/A")</f>
        <v>#N/A</v>
      </c>
      <c r="AA118" s="138" t="str">
        <f ca="1">IFERROR(__xludf.DUMMYFUNCTION("""COMPUTED_VALUE"""),"#N/A")</f>
        <v>#N/A</v>
      </c>
      <c r="AB118" s="138" t="str">
        <f ca="1">IFERROR(__xludf.DUMMYFUNCTION("""COMPUTED_VALUE"""),"#N/A")</f>
        <v>#N/A</v>
      </c>
      <c r="AC118" s="138" t="str">
        <f ca="1">IFERROR(__xludf.DUMMYFUNCTION("""COMPUTED_VALUE"""),"#N/A")</f>
        <v>#N/A</v>
      </c>
      <c r="AD118" s="138" t="str">
        <f ca="1">IFERROR(__xludf.DUMMYFUNCTION("""COMPUTED_VALUE"""),"#N/A")</f>
        <v>#N/A</v>
      </c>
      <c r="AE118" s="138" t="str">
        <f ca="1">IFERROR(__xludf.DUMMYFUNCTION("""COMPUTED_VALUE"""),"#N/A")</f>
        <v>#N/A</v>
      </c>
      <c r="AF118" s="138" t="str">
        <f ca="1">IFERROR(__xludf.DUMMYFUNCTION("""COMPUTED_VALUE"""),"#N/A")</f>
        <v>#N/A</v>
      </c>
      <c r="AG118" s="138" t="str">
        <f ca="1">IFERROR(__xludf.DUMMYFUNCTION("ArrayFormula(VLOOKUP(G118, IMPORTRANGE(""https://docs.google.com/spreadsheets/d/1Co934fvtviyaRiMsrIlT05Jaq7iiYq07aLvRr35KA48/edit?gid=173865642#gid=173865642"", ""'G10_Sci_Pri_LU'!G2:V2000""), {3, 4, 5, 6, 7, 8, 9, 10, 11, 12, 13, 14, 15, 16}, 0))"),"LU006546")</f>
        <v>LU006546</v>
      </c>
      <c r="AH118" s="138" t="str">
        <f ca="1">IFERROR(__xludf.DUMMYFUNCTION("""COMPUTED_VALUE"""),"Nomenclature and Formation of Salts")</f>
        <v>Nomenclature and Formation of Salts</v>
      </c>
      <c r="AI118" s="138"/>
      <c r="AJ118" s="138"/>
      <c r="AK118" s="138"/>
      <c r="AL118" s="138"/>
      <c r="AM118" s="138"/>
      <c r="AN118" s="138"/>
      <c r="AO118" s="138"/>
      <c r="AP118" s="138"/>
      <c r="AQ118" s="138"/>
      <c r="AR118" s="138"/>
      <c r="AS118" s="138"/>
      <c r="AT118" s="138"/>
    </row>
    <row r="119" spans="1:46">
      <c r="A119" s="54" t="s">
        <v>247</v>
      </c>
      <c r="B119" s="55" t="s">
        <v>47</v>
      </c>
      <c r="C119" s="55" t="s">
        <v>1172</v>
      </c>
      <c r="D119" s="138" t="s">
        <v>1441</v>
      </c>
      <c r="E119" s="54" t="s">
        <v>2631</v>
      </c>
      <c r="F119" s="55" t="s">
        <v>2648</v>
      </c>
      <c r="G119" s="55" t="s">
        <v>2649</v>
      </c>
      <c r="H119" s="54" t="str">
        <f ca="1">IFERROR(__xludf.DUMMYFUNCTION("VLOOKUP(G119, IMPORTRANGE(""https://docs.google.com/spreadsheets/d/14deopnvwcrKtEGCKuYXdUHJbeLDZlkiSSWWT0g7x2pM/edit#gid=849066331"", ""LU List Science (Filter)!A:B""), 2, FALSE)"),"Production and uses of bleaching powder ")</f>
        <v xml:space="preserve">Production and uses of bleaching powder </v>
      </c>
      <c r="I119" s="55" t="str">
        <f t="shared" si="0"/>
        <v>LU006548.001</v>
      </c>
      <c r="J119" s="55" t="str">
        <f ca="1">IFERROR(__xludf.DUMMYFUNCTION("VLOOKUP(I119, IMPORTRANGE(""https://docs.google.com/spreadsheets/d/1yDAaXNsi4Mr5FtRQL4tbmSdIzhx6_m4wkOD7IG-k_eo/edit#gid=1336395716"", ""Science!M:N""), 2, FALSE)"),"(LU006548.001); Default - Remember")</f>
        <v>(LU006548.001); Default - Remember</v>
      </c>
      <c r="K119" s="55" t="str">
        <f t="shared" si="1"/>
        <v>LU006548.002</v>
      </c>
      <c r="L119" s="55" t="str">
        <f ca="1">IFERROR(__xludf.DUMMYFUNCTION("VLOOKUP(K119, IMPORTRANGE(""https://docs.google.com/spreadsheets/d/1yDAaXNsi4Mr5FtRQL4tbmSdIzhx6_m4wkOD7IG-k_eo/edit#gid=1336395716"", ""Science!M:N""), 2, FALSE)"),"(LU006548.002); Default - Understand")</f>
        <v>(LU006548.002); Default - Understand</v>
      </c>
      <c r="M119" s="55" t="str">
        <f t="shared" si="2"/>
        <v>LU006548.003</v>
      </c>
      <c r="N119" s="55" t="str">
        <f ca="1">IFERROR(__xludf.DUMMYFUNCTION("VLOOKUP(M119, IMPORTRANGE(""https://docs.google.com/spreadsheets/d/1yDAaXNsi4Mr5FtRQL4tbmSdIzhx6_m4wkOD7IG-k_eo/edit#gid=1336395716"", ""Science!M:N""), 2, FALSE)"),"(LU006548.003); Default - Apply")</f>
        <v>(LU006548.003); Default - Apply</v>
      </c>
      <c r="O119" s="55" t="str">
        <f t="shared" si="3"/>
        <v>LU006548.004</v>
      </c>
      <c r="P119" s="55" t="str">
        <f ca="1">IFERROR(__xludf.DUMMYFUNCTION("VLOOKUP(O119, IMPORTRANGE(""https://docs.google.com/spreadsheets/d/1yDAaXNsi4Mr5FtRQL4tbmSdIzhx6_m4wkOD7IG-k_eo/edit#gid=1336395716"", ""Science!M:N""), 2, FALSE)"),"(LU006548.004); Default - Analyse")</f>
        <v>(LU006548.004); Default - Analyse</v>
      </c>
      <c r="Q119" s="55" t="str">
        <f t="shared" si="4"/>
        <v>LU006548.005</v>
      </c>
      <c r="R119" s="55" t="str">
        <f ca="1">IFERROR(__xludf.DUMMYFUNCTION("VLOOKUP(Q119, IMPORTRANGE(""https://docs.google.com/spreadsheets/d/1yDAaXNsi4Mr5FtRQL4tbmSdIzhx6_m4wkOD7IG-k_eo/edit#gid=1336395716"", ""Science!M:N""), 2, FALSE)"),"(LU006548.005); Default - Evaluate")</f>
        <v>(LU006548.005); Default - Evaluate</v>
      </c>
      <c r="S119" s="55" t="str">
        <f t="shared" si="5"/>
        <v>LU006548.006</v>
      </c>
      <c r="T119" s="55" t="str">
        <f ca="1">IFERROR(__xludf.DUMMYFUNCTION("VLOOKUP(S119, IMPORTRANGE(""https://docs.google.com/spreadsheets/d/1yDAaXNsi4Mr5FtRQL4tbmSdIzhx6_m4wkOD7IG-k_eo/edit#gid=1336395716"", ""Science!M:N""), 2, FALSE)"),"(LU006548.006); Default - Create")</f>
        <v>(LU006548.006); Default - Create</v>
      </c>
      <c r="U119" s="137" t="str">
        <f ca="1">IFERROR(__xludf.DUMMYFUNCTION("ArrayFormula(VLOOKUP(G119, IMPORTRANGE(""https://docs.google.com/spreadsheets/d/1p7R4vtkWt5VOBim4ltsDG9KTzSjrtKXsMtQGXPHyND0/edit#gid=795171502"", ""'Filter 30_05_2024'!A1:M2000""), {2, 3, 4, 5,6,7,8,9,10,11,12,13}, 0))"),"#N/A")</f>
        <v>#N/A</v>
      </c>
      <c r="V119" s="137" t="str">
        <f ca="1">IFERROR(__xludf.DUMMYFUNCTION("""COMPUTED_VALUE"""),"#N/A")</f>
        <v>#N/A</v>
      </c>
      <c r="W119" s="137" t="str">
        <f ca="1">IFERROR(__xludf.DUMMYFUNCTION("""COMPUTED_VALUE"""),"#N/A")</f>
        <v>#N/A</v>
      </c>
      <c r="X119" s="137" t="str">
        <f ca="1">IFERROR(__xludf.DUMMYFUNCTION("""COMPUTED_VALUE"""),"#N/A")</f>
        <v>#N/A</v>
      </c>
      <c r="Y119" s="137" t="str">
        <f ca="1">IFERROR(__xludf.DUMMYFUNCTION("""COMPUTED_VALUE"""),"#N/A")</f>
        <v>#N/A</v>
      </c>
      <c r="Z119" s="138" t="str">
        <f ca="1">IFERROR(__xludf.DUMMYFUNCTION("""COMPUTED_VALUE"""),"#N/A")</f>
        <v>#N/A</v>
      </c>
      <c r="AA119" s="138" t="str">
        <f ca="1">IFERROR(__xludf.DUMMYFUNCTION("""COMPUTED_VALUE"""),"#N/A")</f>
        <v>#N/A</v>
      </c>
      <c r="AB119" s="138" t="str">
        <f ca="1">IFERROR(__xludf.DUMMYFUNCTION("""COMPUTED_VALUE"""),"#N/A")</f>
        <v>#N/A</v>
      </c>
      <c r="AC119" s="138" t="str">
        <f ca="1">IFERROR(__xludf.DUMMYFUNCTION("""COMPUTED_VALUE"""),"#N/A")</f>
        <v>#N/A</v>
      </c>
      <c r="AD119" s="138" t="str">
        <f ca="1">IFERROR(__xludf.DUMMYFUNCTION("""COMPUTED_VALUE"""),"#N/A")</f>
        <v>#N/A</v>
      </c>
      <c r="AE119" s="138" t="str">
        <f ca="1">IFERROR(__xludf.DUMMYFUNCTION("""COMPUTED_VALUE"""),"#N/A")</f>
        <v>#N/A</v>
      </c>
      <c r="AF119" s="138" t="str">
        <f ca="1">IFERROR(__xludf.DUMMYFUNCTION("""COMPUTED_VALUE"""),"#N/A")</f>
        <v>#N/A</v>
      </c>
      <c r="AG119" s="138" t="str">
        <f ca="1">IFERROR(__xludf.DUMMYFUNCTION("ArrayFormula(VLOOKUP(G119, IMPORTRANGE(""https://docs.google.com/spreadsheets/d/1Co934fvtviyaRiMsrIlT05Jaq7iiYq07aLvRr35KA48/edit?gid=173865642#gid=173865642"", ""'G10_Sci_Pri_LU'!G2:V2000""), {3, 4, 5, 6, 7, 8, 9, 10, 11, 12, 13, 14, 15, 16}, 0))"),"LU006547")</f>
        <v>LU006547</v>
      </c>
      <c r="AH119" s="138" t="str">
        <f ca="1">IFERROR(__xludf.DUMMYFUNCTION("""COMPUTED_VALUE"""),"Common salt and Chlor-alkali process")</f>
        <v>Common salt and Chlor-alkali process</v>
      </c>
      <c r="AI119" s="138"/>
      <c r="AJ119" s="138"/>
      <c r="AK119" s="138"/>
      <c r="AL119" s="138"/>
      <c r="AM119" s="138"/>
      <c r="AN119" s="138"/>
      <c r="AO119" s="138"/>
      <c r="AP119" s="138"/>
      <c r="AQ119" s="138"/>
      <c r="AR119" s="138"/>
      <c r="AS119" s="138"/>
      <c r="AT119" s="138"/>
    </row>
    <row r="120" spans="1:46">
      <c r="A120" s="54" t="s">
        <v>247</v>
      </c>
      <c r="B120" s="55" t="s">
        <v>47</v>
      </c>
      <c r="C120" s="55" t="s">
        <v>1172</v>
      </c>
      <c r="D120" s="138" t="s">
        <v>1441</v>
      </c>
      <c r="E120" s="54" t="s">
        <v>2631</v>
      </c>
      <c r="F120" s="55" t="s">
        <v>2648</v>
      </c>
      <c r="G120" s="55" t="s">
        <v>2650</v>
      </c>
      <c r="H120" s="54" t="str">
        <f ca="1">IFERROR(__xludf.DUMMYFUNCTION("VLOOKUP(G120, IMPORTRANGE(""https://docs.google.com/spreadsheets/d/14deopnvwcrKtEGCKuYXdUHJbeLDZlkiSSWWT0g7x2pM/edit#gid=849066331"", ""LU List Science (Filter)!A:B""), 2, FALSE)"),"Production and uses of baking soda")</f>
        <v>Production and uses of baking soda</v>
      </c>
      <c r="I120" s="55" t="str">
        <f t="shared" si="0"/>
        <v>LU006549.001</v>
      </c>
      <c r="J120" s="55" t="str">
        <f ca="1">IFERROR(__xludf.DUMMYFUNCTION("VLOOKUP(I120, IMPORTRANGE(""https://docs.google.com/spreadsheets/d/1yDAaXNsi4Mr5FtRQL4tbmSdIzhx6_m4wkOD7IG-k_eo/edit#gid=1336395716"", ""Science!M:N""), 2, FALSE)"),"(LU006549.001); Default - Remember")</f>
        <v>(LU006549.001); Default - Remember</v>
      </c>
      <c r="K120" s="55" t="str">
        <f t="shared" si="1"/>
        <v>LU006549.002</v>
      </c>
      <c r="L120" s="55" t="str">
        <f ca="1">IFERROR(__xludf.DUMMYFUNCTION("VLOOKUP(K120, IMPORTRANGE(""https://docs.google.com/spreadsheets/d/1yDAaXNsi4Mr5FtRQL4tbmSdIzhx6_m4wkOD7IG-k_eo/edit#gid=1336395716"", ""Science!M:N""), 2, FALSE)"),"(LU006549.002); Default - Understand")</f>
        <v>(LU006549.002); Default - Understand</v>
      </c>
      <c r="M120" s="55" t="str">
        <f t="shared" si="2"/>
        <v>LU006549.003</v>
      </c>
      <c r="N120" s="55" t="str">
        <f ca="1">IFERROR(__xludf.DUMMYFUNCTION("VLOOKUP(M120, IMPORTRANGE(""https://docs.google.com/spreadsheets/d/1yDAaXNsi4Mr5FtRQL4tbmSdIzhx6_m4wkOD7IG-k_eo/edit#gid=1336395716"", ""Science!M:N""), 2, FALSE)"),"(LU006549.003); Default - Apply")</f>
        <v>(LU006549.003); Default - Apply</v>
      </c>
      <c r="O120" s="55" t="str">
        <f t="shared" si="3"/>
        <v>LU006549.004</v>
      </c>
      <c r="P120" s="55" t="str">
        <f ca="1">IFERROR(__xludf.DUMMYFUNCTION("VLOOKUP(O120, IMPORTRANGE(""https://docs.google.com/spreadsheets/d/1yDAaXNsi4Mr5FtRQL4tbmSdIzhx6_m4wkOD7IG-k_eo/edit#gid=1336395716"", ""Science!M:N""), 2, FALSE)"),"(LU006549.004); Default - Analyse")</f>
        <v>(LU006549.004); Default - Analyse</v>
      </c>
      <c r="Q120" s="55" t="str">
        <f t="shared" si="4"/>
        <v>LU006549.005</v>
      </c>
      <c r="R120" s="55" t="str">
        <f ca="1">IFERROR(__xludf.DUMMYFUNCTION("VLOOKUP(Q120, IMPORTRANGE(""https://docs.google.com/spreadsheets/d/1yDAaXNsi4Mr5FtRQL4tbmSdIzhx6_m4wkOD7IG-k_eo/edit#gid=1336395716"", ""Science!M:N""), 2, FALSE)"),"(LU006549.005); Default - Evaluate")</f>
        <v>(LU006549.005); Default - Evaluate</v>
      </c>
      <c r="S120" s="55" t="str">
        <f t="shared" si="5"/>
        <v>LU006549.006</v>
      </c>
      <c r="T120" s="55" t="str">
        <f ca="1">IFERROR(__xludf.DUMMYFUNCTION("VLOOKUP(S120, IMPORTRANGE(""https://docs.google.com/spreadsheets/d/1yDAaXNsi4Mr5FtRQL4tbmSdIzhx6_m4wkOD7IG-k_eo/edit#gid=1336395716"", ""Science!M:N""), 2, FALSE)"),"(LU006549.006); Default - Create")</f>
        <v>(LU006549.006); Default - Create</v>
      </c>
      <c r="U120" s="137" t="str">
        <f ca="1">IFERROR(__xludf.DUMMYFUNCTION("ArrayFormula(VLOOKUP(G120, IMPORTRANGE(""https://docs.google.com/spreadsheets/d/1p7R4vtkWt5VOBim4ltsDG9KTzSjrtKXsMtQGXPHyND0/edit#gid=795171502"", ""'Filter 30_05_2024'!A1:M2000""), {2, 3, 4, 5,6,7,8,9,10,11,12,13}, 0))"),"#N/A")</f>
        <v>#N/A</v>
      </c>
      <c r="V120" s="137" t="str">
        <f ca="1">IFERROR(__xludf.DUMMYFUNCTION("""COMPUTED_VALUE"""),"#N/A")</f>
        <v>#N/A</v>
      </c>
      <c r="W120" s="137" t="str">
        <f ca="1">IFERROR(__xludf.DUMMYFUNCTION("""COMPUTED_VALUE"""),"#N/A")</f>
        <v>#N/A</v>
      </c>
      <c r="X120" s="137" t="str">
        <f ca="1">IFERROR(__xludf.DUMMYFUNCTION("""COMPUTED_VALUE"""),"#N/A")</f>
        <v>#N/A</v>
      </c>
      <c r="Y120" s="137" t="str">
        <f ca="1">IFERROR(__xludf.DUMMYFUNCTION("""COMPUTED_VALUE"""),"#N/A")</f>
        <v>#N/A</v>
      </c>
      <c r="Z120" s="138" t="str">
        <f ca="1">IFERROR(__xludf.DUMMYFUNCTION("""COMPUTED_VALUE"""),"#N/A")</f>
        <v>#N/A</v>
      </c>
      <c r="AA120" s="138" t="str">
        <f ca="1">IFERROR(__xludf.DUMMYFUNCTION("""COMPUTED_VALUE"""),"#N/A")</f>
        <v>#N/A</v>
      </c>
      <c r="AB120" s="138" t="str">
        <f ca="1">IFERROR(__xludf.DUMMYFUNCTION("""COMPUTED_VALUE"""),"#N/A")</f>
        <v>#N/A</v>
      </c>
      <c r="AC120" s="138" t="str">
        <f ca="1">IFERROR(__xludf.DUMMYFUNCTION("""COMPUTED_VALUE"""),"#N/A")</f>
        <v>#N/A</v>
      </c>
      <c r="AD120" s="138" t="str">
        <f ca="1">IFERROR(__xludf.DUMMYFUNCTION("""COMPUTED_VALUE"""),"#N/A")</f>
        <v>#N/A</v>
      </c>
      <c r="AE120" s="138" t="str">
        <f ca="1">IFERROR(__xludf.DUMMYFUNCTION("""COMPUTED_VALUE"""),"#N/A")</f>
        <v>#N/A</v>
      </c>
      <c r="AF120" s="138" t="str">
        <f ca="1">IFERROR(__xludf.DUMMYFUNCTION("""COMPUTED_VALUE"""),"#N/A")</f>
        <v>#N/A</v>
      </c>
      <c r="AG120" s="138" t="str">
        <f ca="1">IFERROR(__xludf.DUMMYFUNCTION("ArrayFormula(VLOOKUP(G120, IMPORTRANGE(""https://docs.google.com/spreadsheets/d/1Co934fvtviyaRiMsrIlT05Jaq7iiYq07aLvRr35KA48/edit?gid=173865642#gid=173865642"", ""'G10_Sci_Pri_LU'!G2:V2000""), {3, 4, 5, 6, 7, 8, 9, 10, 11, 12, 13, 14, 15, 16}, 0))"),"LU006547")</f>
        <v>LU006547</v>
      </c>
      <c r="AH120" s="138" t="str">
        <f ca="1">IFERROR(__xludf.DUMMYFUNCTION("""COMPUTED_VALUE"""),"Common salt and Chlor-alkali process")</f>
        <v>Common salt and Chlor-alkali process</v>
      </c>
      <c r="AI120" s="138"/>
      <c r="AJ120" s="138"/>
      <c r="AK120" s="138"/>
      <c r="AL120" s="138"/>
      <c r="AM120" s="138"/>
      <c r="AN120" s="138"/>
      <c r="AO120" s="138"/>
      <c r="AP120" s="138"/>
      <c r="AQ120" s="138"/>
      <c r="AR120" s="138"/>
      <c r="AS120" s="138"/>
      <c r="AT120" s="138"/>
    </row>
    <row r="121" spans="1:46">
      <c r="A121" s="54" t="s">
        <v>247</v>
      </c>
      <c r="B121" s="55" t="s">
        <v>47</v>
      </c>
      <c r="C121" s="55" t="s">
        <v>1172</v>
      </c>
      <c r="D121" s="138" t="s">
        <v>1441</v>
      </c>
      <c r="E121" s="54" t="s">
        <v>2631</v>
      </c>
      <c r="F121" s="55" t="s">
        <v>2648</v>
      </c>
      <c r="G121" s="55" t="s">
        <v>2651</v>
      </c>
      <c r="H121" s="54" t="str">
        <f ca="1">IFERROR(__xludf.DUMMYFUNCTION("VLOOKUP(G121, IMPORTRANGE(""https://docs.google.com/spreadsheets/d/14deopnvwcrKtEGCKuYXdUHJbeLDZlkiSSWWT0g7x2pM/edit#gid=849066331"", ""LU List Science (Filter)!A:B""), 2, FALSE)"),"Production and uses of washing soda")</f>
        <v>Production and uses of washing soda</v>
      </c>
      <c r="I121" s="55" t="str">
        <f t="shared" si="0"/>
        <v>LU006550.001</v>
      </c>
      <c r="J121" s="55" t="str">
        <f ca="1">IFERROR(__xludf.DUMMYFUNCTION("VLOOKUP(I121, IMPORTRANGE(""https://docs.google.com/spreadsheets/d/1yDAaXNsi4Mr5FtRQL4tbmSdIzhx6_m4wkOD7IG-k_eo/edit#gid=1336395716"", ""Science!M:N""), 2, FALSE)"),"(LU006550.001); Default - Remember")</f>
        <v>(LU006550.001); Default - Remember</v>
      </c>
      <c r="K121" s="55" t="str">
        <f t="shared" si="1"/>
        <v>LU006550.002</v>
      </c>
      <c r="L121" s="55" t="str">
        <f ca="1">IFERROR(__xludf.DUMMYFUNCTION("VLOOKUP(K121, IMPORTRANGE(""https://docs.google.com/spreadsheets/d/1yDAaXNsi4Mr5FtRQL4tbmSdIzhx6_m4wkOD7IG-k_eo/edit#gid=1336395716"", ""Science!M:N""), 2, FALSE)"),"(LU006550.002); Default - Understand")</f>
        <v>(LU006550.002); Default - Understand</v>
      </c>
      <c r="M121" s="55" t="str">
        <f t="shared" si="2"/>
        <v>LU006550.003</v>
      </c>
      <c r="N121" s="55" t="str">
        <f ca="1">IFERROR(__xludf.DUMMYFUNCTION("VLOOKUP(M121, IMPORTRANGE(""https://docs.google.com/spreadsheets/d/1yDAaXNsi4Mr5FtRQL4tbmSdIzhx6_m4wkOD7IG-k_eo/edit#gid=1336395716"", ""Science!M:N""), 2, FALSE)"),"(LU006550.003); Default - Apply")</f>
        <v>(LU006550.003); Default - Apply</v>
      </c>
      <c r="O121" s="55" t="str">
        <f t="shared" si="3"/>
        <v>LU006550.004</v>
      </c>
      <c r="P121" s="55" t="str">
        <f ca="1">IFERROR(__xludf.DUMMYFUNCTION("VLOOKUP(O121, IMPORTRANGE(""https://docs.google.com/spreadsheets/d/1yDAaXNsi4Mr5FtRQL4tbmSdIzhx6_m4wkOD7IG-k_eo/edit#gid=1336395716"", ""Science!M:N""), 2, FALSE)"),"(LU006550.004); Default - Analyse")</f>
        <v>(LU006550.004); Default - Analyse</v>
      </c>
      <c r="Q121" s="55" t="str">
        <f t="shared" si="4"/>
        <v>LU006550.005</v>
      </c>
      <c r="R121" s="55" t="str">
        <f ca="1">IFERROR(__xludf.DUMMYFUNCTION("VLOOKUP(Q121, IMPORTRANGE(""https://docs.google.com/spreadsheets/d/1yDAaXNsi4Mr5FtRQL4tbmSdIzhx6_m4wkOD7IG-k_eo/edit#gid=1336395716"", ""Science!M:N""), 2, FALSE)"),"(LU006550.005); Default - Evaluate")</f>
        <v>(LU006550.005); Default - Evaluate</v>
      </c>
      <c r="S121" s="55" t="str">
        <f t="shared" si="5"/>
        <v>LU006550.006</v>
      </c>
      <c r="T121" s="55" t="str">
        <f ca="1">IFERROR(__xludf.DUMMYFUNCTION("VLOOKUP(S121, IMPORTRANGE(""https://docs.google.com/spreadsheets/d/1yDAaXNsi4Mr5FtRQL4tbmSdIzhx6_m4wkOD7IG-k_eo/edit#gid=1336395716"", ""Science!M:N""), 2, FALSE)"),"(LU006550.006); Default - Create")</f>
        <v>(LU006550.006); Default - Create</v>
      </c>
      <c r="U121" s="137" t="str">
        <f ca="1">IFERROR(__xludf.DUMMYFUNCTION("ArrayFormula(VLOOKUP(G121, IMPORTRANGE(""https://docs.google.com/spreadsheets/d/1p7R4vtkWt5VOBim4ltsDG9KTzSjrtKXsMtQGXPHyND0/edit#gid=795171502"", ""'Filter 30_05_2024'!A1:M2000""), {2, 3, 4, 5,6,7,8,9,10,11,12,13}, 0))"),"#N/A")</f>
        <v>#N/A</v>
      </c>
      <c r="V121" s="137" t="str">
        <f ca="1">IFERROR(__xludf.DUMMYFUNCTION("""COMPUTED_VALUE"""),"#N/A")</f>
        <v>#N/A</v>
      </c>
      <c r="W121" s="137" t="str">
        <f ca="1">IFERROR(__xludf.DUMMYFUNCTION("""COMPUTED_VALUE"""),"#N/A")</f>
        <v>#N/A</v>
      </c>
      <c r="X121" s="137" t="str">
        <f ca="1">IFERROR(__xludf.DUMMYFUNCTION("""COMPUTED_VALUE"""),"#N/A")</f>
        <v>#N/A</v>
      </c>
      <c r="Y121" s="137" t="str">
        <f ca="1">IFERROR(__xludf.DUMMYFUNCTION("""COMPUTED_VALUE"""),"#N/A")</f>
        <v>#N/A</v>
      </c>
      <c r="Z121" s="138" t="str">
        <f ca="1">IFERROR(__xludf.DUMMYFUNCTION("""COMPUTED_VALUE"""),"#N/A")</f>
        <v>#N/A</v>
      </c>
      <c r="AA121" s="138" t="str">
        <f ca="1">IFERROR(__xludf.DUMMYFUNCTION("""COMPUTED_VALUE"""),"#N/A")</f>
        <v>#N/A</v>
      </c>
      <c r="AB121" s="138" t="str">
        <f ca="1">IFERROR(__xludf.DUMMYFUNCTION("""COMPUTED_VALUE"""),"#N/A")</f>
        <v>#N/A</v>
      </c>
      <c r="AC121" s="138" t="str">
        <f ca="1">IFERROR(__xludf.DUMMYFUNCTION("""COMPUTED_VALUE"""),"#N/A")</f>
        <v>#N/A</v>
      </c>
      <c r="AD121" s="138" t="str">
        <f ca="1">IFERROR(__xludf.DUMMYFUNCTION("""COMPUTED_VALUE"""),"#N/A")</f>
        <v>#N/A</v>
      </c>
      <c r="AE121" s="138" t="str">
        <f ca="1">IFERROR(__xludf.DUMMYFUNCTION("""COMPUTED_VALUE"""),"#N/A")</f>
        <v>#N/A</v>
      </c>
      <c r="AF121" s="138" t="str">
        <f ca="1">IFERROR(__xludf.DUMMYFUNCTION("""COMPUTED_VALUE"""),"#N/A")</f>
        <v>#N/A</v>
      </c>
      <c r="AG121" s="138" t="str">
        <f ca="1">IFERROR(__xludf.DUMMYFUNCTION("ArrayFormula(VLOOKUP(G121, IMPORTRANGE(""https://docs.google.com/spreadsheets/d/1Co934fvtviyaRiMsrIlT05Jaq7iiYq07aLvRr35KA48/edit?gid=173865642#gid=173865642"", ""'G10_Sci_Pri_LU'!G2:V2000""), {3, 4, 5, 6, 7, 8, 9, 10, 11, 12, 13, 14, 15, 16}, 0))"),"LU006547")</f>
        <v>LU006547</v>
      </c>
      <c r="AH121" s="138" t="str">
        <f ca="1">IFERROR(__xludf.DUMMYFUNCTION("""COMPUTED_VALUE"""),"Common salt and Chlor-alkali process")</f>
        <v>Common salt and Chlor-alkali process</v>
      </c>
      <c r="AI121" s="138"/>
      <c r="AJ121" s="138"/>
      <c r="AK121" s="138"/>
      <c r="AL121" s="138"/>
      <c r="AM121" s="138"/>
      <c r="AN121" s="138"/>
      <c r="AO121" s="138"/>
      <c r="AP121" s="138"/>
      <c r="AQ121" s="138"/>
      <c r="AR121" s="138"/>
      <c r="AS121" s="138"/>
      <c r="AT121" s="138"/>
    </row>
    <row r="122" spans="1:46">
      <c r="A122" s="54" t="s">
        <v>247</v>
      </c>
      <c r="B122" s="55" t="s">
        <v>47</v>
      </c>
      <c r="C122" s="55" t="s">
        <v>1172</v>
      </c>
      <c r="D122" s="138" t="s">
        <v>1441</v>
      </c>
      <c r="E122" s="54" t="s">
        <v>2631</v>
      </c>
      <c r="F122" s="55" t="s">
        <v>2652</v>
      </c>
      <c r="G122" s="55" t="s">
        <v>2653</v>
      </c>
      <c r="H122" s="54" t="str">
        <f ca="1">IFERROR(__xludf.DUMMYFUNCTION("VLOOKUP(G122, IMPORTRANGE(""https://docs.google.com/spreadsheets/d/14deopnvwcrKtEGCKuYXdUHJbeLDZlkiSSWWT0g7x2pM/edit#gid=849066331"", ""LU List Science (Filter)!A:B""), 2, FALSE)"),"Concept of water of crystallisation with examples")</f>
        <v>Concept of water of crystallisation with examples</v>
      </c>
      <c r="I122" s="55" t="str">
        <f t="shared" si="0"/>
        <v>LU006551.001</v>
      </c>
      <c r="J122" s="55" t="str">
        <f ca="1">IFERROR(__xludf.DUMMYFUNCTION("VLOOKUP(I122, IMPORTRANGE(""https://docs.google.com/spreadsheets/d/1yDAaXNsi4Mr5FtRQL4tbmSdIzhx6_m4wkOD7IG-k_eo/edit#gid=1336395716"", ""Science!M:N""), 2, FALSE)"),"(LU006551.001); Default - Remember")</f>
        <v>(LU006551.001); Default - Remember</v>
      </c>
      <c r="K122" s="55" t="str">
        <f t="shared" si="1"/>
        <v>LU006551.002</v>
      </c>
      <c r="L122" s="55" t="str">
        <f ca="1">IFERROR(__xludf.DUMMYFUNCTION("VLOOKUP(K122, IMPORTRANGE(""https://docs.google.com/spreadsheets/d/1yDAaXNsi4Mr5FtRQL4tbmSdIzhx6_m4wkOD7IG-k_eo/edit#gid=1336395716"", ""Science!M:N""), 2, FALSE)"),"(LU006551.002); Default - Understand")</f>
        <v>(LU006551.002); Default - Understand</v>
      </c>
      <c r="M122" s="55" t="str">
        <f t="shared" si="2"/>
        <v>LU006551.003</v>
      </c>
      <c r="N122" s="55" t="str">
        <f ca="1">IFERROR(__xludf.DUMMYFUNCTION("VLOOKUP(M122, IMPORTRANGE(""https://docs.google.com/spreadsheets/d/1yDAaXNsi4Mr5FtRQL4tbmSdIzhx6_m4wkOD7IG-k_eo/edit#gid=1336395716"", ""Science!M:N""), 2, FALSE)"),"(LU006551.003); Default - Apply")</f>
        <v>(LU006551.003); Default - Apply</v>
      </c>
      <c r="O122" s="55" t="str">
        <f t="shared" si="3"/>
        <v>LU006551.004</v>
      </c>
      <c r="P122" s="55" t="str">
        <f ca="1">IFERROR(__xludf.DUMMYFUNCTION("VLOOKUP(O122, IMPORTRANGE(""https://docs.google.com/spreadsheets/d/1yDAaXNsi4Mr5FtRQL4tbmSdIzhx6_m4wkOD7IG-k_eo/edit#gid=1336395716"", ""Science!M:N""), 2, FALSE)"),"(LU006551.004); Default - Analyse")</f>
        <v>(LU006551.004); Default - Analyse</v>
      </c>
      <c r="Q122" s="55" t="str">
        <f t="shared" si="4"/>
        <v>LU006551.005</v>
      </c>
      <c r="R122" s="55" t="str">
        <f ca="1">IFERROR(__xludf.DUMMYFUNCTION("VLOOKUP(Q122, IMPORTRANGE(""https://docs.google.com/spreadsheets/d/1yDAaXNsi4Mr5FtRQL4tbmSdIzhx6_m4wkOD7IG-k_eo/edit#gid=1336395716"", ""Science!M:N""), 2, FALSE)"),"(LU006551.005); Default - Evaluate")</f>
        <v>(LU006551.005); Default - Evaluate</v>
      </c>
      <c r="S122" s="55" t="str">
        <f t="shared" si="5"/>
        <v>LU006551.006</v>
      </c>
      <c r="T122" s="55" t="str">
        <f ca="1">IFERROR(__xludf.DUMMYFUNCTION("VLOOKUP(S122, IMPORTRANGE(""https://docs.google.com/spreadsheets/d/1yDAaXNsi4Mr5FtRQL4tbmSdIzhx6_m4wkOD7IG-k_eo/edit#gid=1336395716"", ""Science!M:N""), 2, FALSE)"),"(LU006551.006); Default - Create")</f>
        <v>(LU006551.006); Default - Create</v>
      </c>
      <c r="U122" s="137" t="str">
        <f ca="1">IFERROR(__xludf.DUMMYFUNCTION("ArrayFormula(VLOOKUP(G122, IMPORTRANGE(""https://docs.google.com/spreadsheets/d/1p7R4vtkWt5VOBim4ltsDG9KTzSjrtKXsMtQGXPHyND0/edit#gid=795171502"", ""'Filter 30_05_2024'!A1:M2000""), {2, 3, 4, 5,6,7,8,9,10,11,12,13}, 0))"),"#N/A")</f>
        <v>#N/A</v>
      </c>
      <c r="V122" s="137" t="str">
        <f ca="1">IFERROR(__xludf.DUMMYFUNCTION("""COMPUTED_VALUE"""),"#N/A")</f>
        <v>#N/A</v>
      </c>
      <c r="W122" s="137" t="str">
        <f ca="1">IFERROR(__xludf.DUMMYFUNCTION("""COMPUTED_VALUE"""),"#N/A")</f>
        <v>#N/A</v>
      </c>
      <c r="X122" s="137" t="str">
        <f ca="1">IFERROR(__xludf.DUMMYFUNCTION("""COMPUTED_VALUE"""),"#N/A")</f>
        <v>#N/A</v>
      </c>
      <c r="Y122" s="137" t="str">
        <f ca="1">IFERROR(__xludf.DUMMYFUNCTION("""COMPUTED_VALUE"""),"#N/A")</f>
        <v>#N/A</v>
      </c>
      <c r="Z122" s="138" t="str">
        <f ca="1">IFERROR(__xludf.DUMMYFUNCTION("""COMPUTED_VALUE"""),"#N/A")</f>
        <v>#N/A</v>
      </c>
      <c r="AA122" s="138" t="str">
        <f ca="1">IFERROR(__xludf.DUMMYFUNCTION("""COMPUTED_VALUE"""),"#N/A")</f>
        <v>#N/A</v>
      </c>
      <c r="AB122" s="138" t="str">
        <f ca="1">IFERROR(__xludf.DUMMYFUNCTION("""COMPUTED_VALUE"""),"#N/A")</f>
        <v>#N/A</v>
      </c>
      <c r="AC122" s="138" t="str">
        <f ca="1">IFERROR(__xludf.DUMMYFUNCTION("""COMPUTED_VALUE"""),"#N/A")</f>
        <v>#N/A</v>
      </c>
      <c r="AD122" s="138" t="str">
        <f ca="1">IFERROR(__xludf.DUMMYFUNCTION("""COMPUTED_VALUE"""),"#N/A")</f>
        <v>#N/A</v>
      </c>
      <c r="AE122" s="138" t="str">
        <f ca="1">IFERROR(__xludf.DUMMYFUNCTION("""COMPUTED_VALUE"""),"#N/A")</f>
        <v>#N/A</v>
      </c>
      <c r="AF122" s="138" t="str">
        <f ca="1">IFERROR(__xludf.DUMMYFUNCTION("""COMPUTED_VALUE"""),"#N/A")</f>
        <v>#N/A</v>
      </c>
      <c r="AG122" s="138" t="str">
        <f ca="1">IFERROR(__xludf.DUMMYFUNCTION("ArrayFormula(VLOOKUP(G122, IMPORTRANGE(""https://docs.google.com/spreadsheets/d/1Co934fvtviyaRiMsrIlT05Jaq7iiYq07aLvRr35KA48/edit?gid=173865642#gid=173865642"", ""'G10_Sci_Pri_LU'!G2:V2000""), {3, 4, 5, 6, 7, 8, 9, 10, 11, 12, 13, 14, 15, 16}, 0))"),"LU006546")</f>
        <v>LU006546</v>
      </c>
      <c r="AH122" s="138" t="str">
        <f ca="1">IFERROR(__xludf.DUMMYFUNCTION("""COMPUTED_VALUE"""),"Nomenclature and Formation of Salts")</f>
        <v>Nomenclature and Formation of Salts</v>
      </c>
      <c r="AI122" s="138"/>
      <c r="AJ122" s="138"/>
      <c r="AK122" s="138"/>
      <c r="AL122" s="138"/>
      <c r="AM122" s="138"/>
      <c r="AN122" s="138"/>
      <c r="AO122" s="138"/>
      <c r="AP122" s="138"/>
      <c r="AQ122" s="138"/>
      <c r="AR122" s="138"/>
      <c r="AS122" s="138"/>
      <c r="AT122" s="138"/>
    </row>
    <row r="123" spans="1:46">
      <c r="A123" s="54" t="s">
        <v>247</v>
      </c>
      <c r="B123" s="55" t="s">
        <v>47</v>
      </c>
      <c r="C123" s="55" t="s">
        <v>1172</v>
      </c>
      <c r="D123" s="138" t="s">
        <v>1441</v>
      </c>
      <c r="E123" s="54" t="s">
        <v>2654</v>
      </c>
      <c r="F123" s="55" t="s">
        <v>2655</v>
      </c>
      <c r="G123" s="55" t="s">
        <v>2656</v>
      </c>
      <c r="H123" s="54" t="str">
        <f ca="1">IFERROR(__xludf.DUMMYFUNCTION("VLOOKUP(G123, IMPORTRANGE(""https://docs.google.com/spreadsheets/d/14deopnvwcrKtEGCKuYXdUHJbeLDZlkiSSWWT0g7x2pM/edit#gid=849066331"", ""LU List Science (Filter)!A:B""), 2, FALSE)"),"Comparison of physical properties of metals and non-metals")</f>
        <v>Comparison of physical properties of metals and non-metals</v>
      </c>
      <c r="I123" s="55" t="str">
        <f t="shared" si="0"/>
        <v>LU005877.001</v>
      </c>
      <c r="J123" s="55" t="str">
        <f ca="1">IFERROR(__xludf.DUMMYFUNCTION("VLOOKUP(I123, IMPORTRANGE(""https://docs.google.com/spreadsheets/d/1yDAaXNsi4Mr5FtRQL4tbmSdIzhx6_m4wkOD7IG-k_eo/edit#gid=1336395716"", ""Science!M:N""), 2, FALSE)"),"Recall various physical properties of metals from non-metals, and  also use them to distinguish metals and non-metals.")</f>
        <v>Recall various physical properties of metals from non-metals, and  also use them to distinguish metals and non-metals.</v>
      </c>
      <c r="K123" s="55" t="str">
        <f t="shared" si="1"/>
        <v>LU005877.002</v>
      </c>
      <c r="L123" s="55" t="str">
        <f ca="1">IFERROR(__xludf.DUMMYFUNCTION("VLOOKUP(K123, IMPORTRANGE(""https://docs.google.com/spreadsheets/d/1yDAaXNsi4Mr5FtRQL4tbmSdIzhx6_m4wkOD7IG-k_eo/edit#gid=1336395716"", ""Science!M:N""), 2, FALSE)"),"Explain, in simple terms, why some materials look shiny and can be bent easily (metals) while others may not (non-metals).")</f>
        <v>Explain, in simple terms, why some materials look shiny and can be bent easily (metals) while others may not (non-metals).</v>
      </c>
      <c r="M123" s="55" t="str">
        <f t="shared" si="2"/>
        <v>LU005877.003</v>
      </c>
      <c r="N123" s="55" t="str">
        <f ca="1">IFERROR(__xludf.DUMMYFUNCTION("VLOOKUP(M123, IMPORTRANGE(""https://docs.google.com/spreadsheets/d/1yDAaXNsi4Mr5FtRQL4tbmSdIzhx6_m4wkOD7IG-k_eo/edit#gid=1336395716"", ""Science!M:N""), 2, FALSE)"),"Apply the basic knowledge of physical properties to sort common objects into categories of ""metal-like"" and ""non-metal-like"" based on their observable characteristics.")</f>
        <v>Apply the basic knowledge of physical properties to sort common objects into categories of "metal-like" and "non-metal-like" based on their observable characteristics.</v>
      </c>
      <c r="O123" s="55" t="str">
        <f t="shared" si="3"/>
        <v>LU005877.004</v>
      </c>
      <c r="P123" s="55" t="str">
        <f ca="1">IFERROR(__xludf.DUMMYFUNCTION("VLOOKUP(O123, IMPORTRANGE(""https://docs.google.com/spreadsheets/d/1yDAaXNsi4Mr5FtRQL4tbmSdIzhx6_m4wkOD7IG-k_eo/edit#gid=1336395716"", ""Science!M:N""), 2, FALSE)"),"Analyze how differences in the physical properties of metals and non-metals affect their use in everyday objects, like cooking utensils and electrical wiring.")</f>
        <v>Analyze how differences in the physical properties of metals and non-metals affect their use in everyday objects, like cooking utensils and electrical wiring.</v>
      </c>
      <c r="Q123" s="55" t="str">
        <f t="shared" si="4"/>
        <v>LU005877.005</v>
      </c>
      <c r="R123" s="55" t="str">
        <f ca="1">IFERROR(__xludf.DUMMYFUNCTION("VLOOKUP(Q123, IMPORTRANGE(""https://docs.google.com/spreadsheets/d/1yDAaXNsi4Mr5FtRQL4tbmSdIzhx6_m4wkOD7IG-k_eo/edit#gid=1336395716"", ""Science!M:N""), 2, FALSE)"),"Evaluate the usefulness of metals and non-metals for specific applications around the home or in industry, considering their observable physical properties.")</f>
        <v>Evaluate the usefulness of metals and non-metals for specific applications around the home or in industry, considering their observable physical properties.</v>
      </c>
      <c r="S123" s="55" t="str">
        <f t="shared" si="5"/>
        <v>LU005877.006</v>
      </c>
      <c r="T123" s="55" t="str">
        <f ca="1">IFERROR(__xludf.DUMMYFUNCTION("VLOOKUP(S123, IMPORTRANGE(""https://docs.google.com/spreadsheets/d/1yDAaXNsi4Mr5FtRQL4tbmSdIzhx6_m4wkOD7IG-k_eo/edit#gid=1336395716"", ""Science!M:N""), 2, FALSE)"),"(LU005877.006); Default - Create")</f>
        <v>(LU005877.006); Default - Create</v>
      </c>
      <c r="U123" s="137" t="str">
        <f ca="1">IFERROR(__xludf.DUMMYFUNCTION("ArrayFormula(VLOOKUP(G123, IMPORTRANGE(""https://docs.google.com/spreadsheets/d/1p7R4vtkWt5VOBim4ltsDG9KTzSjrtKXsMtQGXPHyND0/edit#gid=795171502"", ""'Filter 30_05_2024'!A1:M2000""), {2, 3, 4, 5,6,7,8,9,10,11,12,13}, 0))"),"#N/A")</f>
        <v>#N/A</v>
      </c>
      <c r="V123" s="137" t="str">
        <f ca="1">IFERROR(__xludf.DUMMYFUNCTION("""COMPUTED_VALUE"""),"#N/A")</f>
        <v>#N/A</v>
      </c>
      <c r="W123" s="137" t="str">
        <f ca="1">IFERROR(__xludf.DUMMYFUNCTION("""COMPUTED_VALUE"""),"#N/A")</f>
        <v>#N/A</v>
      </c>
      <c r="X123" s="137" t="str">
        <f ca="1">IFERROR(__xludf.DUMMYFUNCTION("""COMPUTED_VALUE"""),"#N/A")</f>
        <v>#N/A</v>
      </c>
      <c r="Y123" s="137" t="str">
        <f ca="1">IFERROR(__xludf.DUMMYFUNCTION("""COMPUTED_VALUE"""),"#N/A")</f>
        <v>#N/A</v>
      </c>
      <c r="Z123" s="138" t="str">
        <f ca="1">IFERROR(__xludf.DUMMYFUNCTION("""COMPUTED_VALUE"""),"#N/A")</f>
        <v>#N/A</v>
      </c>
      <c r="AA123" s="138" t="str">
        <f ca="1">IFERROR(__xludf.DUMMYFUNCTION("""COMPUTED_VALUE"""),"#N/A")</f>
        <v>#N/A</v>
      </c>
      <c r="AB123" s="138" t="str">
        <f ca="1">IFERROR(__xludf.DUMMYFUNCTION("""COMPUTED_VALUE"""),"#N/A")</f>
        <v>#N/A</v>
      </c>
      <c r="AC123" s="138" t="str">
        <f ca="1">IFERROR(__xludf.DUMMYFUNCTION("""COMPUTED_VALUE"""),"#N/A")</f>
        <v>#N/A</v>
      </c>
      <c r="AD123" s="138" t="str">
        <f ca="1">IFERROR(__xludf.DUMMYFUNCTION("""COMPUTED_VALUE"""),"#N/A")</f>
        <v>#N/A</v>
      </c>
      <c r="AE123" s="138" t="str">
        <f ca="1">IFERROR(__xludf.DUMMYFUNCTION("""COMPUTED_VALUE"""),"#N/A")</f>
        <v>#N/A</v>
      </c>
      <c r="AF123" s="138" t="str">
        <f ca="1">IFERROR(__xludf.DUMMYFUNCTION("""COMPUTED_VALUE"""),"#N/A")</f>
        <v>#N/A</v>
      </c>
      <c r="AG123" s="138" t="str">
        <f ca="1">IFERROR(__xludf.DUMMYFUNCTION("ArrayFormula(VLOOKUP(G123, IMPORTRANGE(""https://docs.google.com/spreadsheets/d/1Co934fvtviyaRiMsrIlT05Jaq7iiYq07aLvRr35KA48/edit?gid=173865642#gid=173865642"", ""'G10_Sci_Pri_LU'!G2:V2000""), {3, 4, 5, 6, 7, 8, 9, 10, 11, 12, 13, 14, 15, 16}, 0))"),"LU006226")</f>
        <v>LU006226</v>
      </c>
      <c r="AH123" s="138" t="str">
        <f ca="1">IFERROR(__xludf.DUMMYFUNCTION("""COMPUTED_VALUE"""),"Elements and Their Classification")</f>
        <v>Elements and Their Classification</v>
      </c>
      <c r="AI123" s="138"/>
      <c r="AJ123" s="138"/>
      <c r="AK123" s="138"/>
      <c r="AL123" s="138"/>
      <c r="AM123" s="138"/>
      <c r="AN123" s="138"/>
      <c r="AO123" s="138"/>
      <c r="AP123" s="138"/>
      <c r="AQ123" s="138"/>
      <c r="AR123" s="138"/>
      <c r="AS123" s="138"/>
      <c r="AT123" s="138"/>
    </row>
    <row r="124" spans="1:46">
      <c r="A124" s="54" t="s">
        <v>247</v>
      </c>
      <c r="B124" s="55" t="s">
        <v>47</v>
      </c>
      <c r="C124" s="55" t="s">
        <v>1172</v>
      </c>
      <c r="D124" s="138" t="s">
        <v>1441</v>
      </c>
      <c r="E124" s="54" t="s">
        <v>2654</v>
      </c>
      <c r="F124" s="55" t="s">
        <v>2655</v>
      </c>
      <c r="G124" s="55" t="s">
        <v>2657</v>
      </c>
      <c r="H124" s="54" t="str">
        <f ca="1">IFERROR(__xludf.DUMMYFUNCTION("VLOOKUP(G124, IMPORTRANGE(""https://docs.google.com/spreadsheets/d/14deopnvwcrKtEGCKuYXdUHJbeLDZlkiSSWWT0g7x2pM/edit#gid=849066331"", ""LU List Science (Filter)!A:B""), 2, FALSE)"),"Exceptions in the physical properties of metals and non-metals")</f>
        <v>Exceptions in the physical properties of metals and non-metals</v>
      </c>
      <c r="I124" s="55" t="str">
        <f t="shared" si="0"/>
        <v>LU006552.001</v>
      </c>
      <c r="J124" s="55" t="str">
        <f ca="1">IFERROR(__xludf.DUMMYFUNCTION("VLOOKUP(I124, IMPORTRANGE(""https://docs.google.com/spreadsheets/d/1yDAaXNsi4Mr5FtRQL4tbmSdIzhx6_m4wkOD7IG-k_eo/edit#gid=1336395716"", ""Science!M:N""), 2, FALSE)"),"(LU006552.001); Default - Remember")</f>
        <v>(LU006552.001); Default - Remember</v>
      </c>
      <c r="K124" s="55" t="str">
        <f t="shared" si="1"/>
        <v>LU006552.002</v>
      </c>
      <c r="L124" s="55" t="str">
        <f ca="1">IFERROR(__xludf.DUMMYFUNCTION("VLOOKUP(K124, IMPORTRANGE(""https://docs.google.com/spreadsheets/d/1yDAaXNsi4Mr5FtRQL4tbmSdIzhx6_m4wkOD7IG-k_eo/edit#gid=1336395716"", ""Science!M:N""), 2, FALSE)"),"(LU006552.002); Default - Understand")</f>
        <v>(LU006552.002); Default - Understand</v>
      </c>
      <c r="M124" s="55" t="str">
        <f t="shared" si="2"/>
        <v>LU006552.003</v>
      </c>
      <c r="N124" s="55" t="str">
        <f ca="1">IFERROR(__xludf.DUMMYFUNCTION("VLOOKUP(M124, IMPORTRANGE(""https://docs.google.com/spreadsheets/d/1yDAaXNsi4Mr5FtRQL4tbmSdIzhx6_m4wkOD7IG-k_eo/edit#gid=1336395716"", ""Science!M:N""), 2, FALSE)"),"(LU006552.003); Default - Apply")</f>
        <v>(LU006552.003); Default - Apply</v>
      </c>
      <c r="O124" s="55" t="str">
        <f t="shared" si="3"/>
        <v>LU006552.004</v>
      </c>
      <c r="P124" s="55" t="str">
        <f ca="1">IFERROR(__xludf.DUMMYFUNCTION("VLOOKUP(O124, IMPORTRANGE(""https://docs.google.com/spreadsheets/d/1yDAaXNsi4Mr5FtRQL4tbmSdIzhx6_m4wkOD7IG-k_eo/edit#gid=1336395716"", ""Science!M:N""), 2, FALSE)"),"(LU006552.004); Default - Analyse")</f>
        <v>(LU006552.004); Default - Analyse</v>
      </c>
      <c r="Q124" s="55" t="str">
        <f t="shared" si="4"/>
        <v>LU006552.005</v>
      </c>
      <c r="R124" s="55" t="str">
        <f ca="1">IFERROR(__xludf.DUMMYFUNCTION("VLOOKUP(Q124, IMPORTRANGE(""https://docs.google.com/spreadsheets/d/1yDAaXNsi4Mr5FtRQL4tbmSdIzhx6_m4wkOD7IG-k_eo/edit#gid=1336395716"", ""Science!M:N""), 2, FALSE)"),"(LU006552.005); Default - Evaluate")</f>
        <v>(LU006552.005); Default - Evaluate</v>
      </c>
      <c r="S124" s="55" t="str">
        <f t="shared" si="5"/>
        <v>LU006552.006</v>
      </c>
      <c r="T124" s="55" t="str">
        <f ca="1">IFERROR(__xludf.DUMMYFUNCTION("VLOOKUP(S124, IMPORTRANGE(""https://docs.google.com/spreadsheets/d/1yDAaXNsi4Mr5FtRQL4tbmSdIzhx6_m4wkOD7IG-k_eo/edit#gid=1336395716"", ""Science!M:N""), 2, FALSE)"),"(LU006552.006); Default - Create")</f>
        <v>(LU006552.006); Default - Create</v>
      </c>
      <c r="U124" s="137" t="str">
        <f ca="1">IFERROR(__xludf.DUMMYFUNCTION("ArrayFormula(VLOOKUP(G124, IMPORTRANGE(""https://docs.google.com/spreadsheets/d/1p7R4vtkWt5VOBim4ltsDG9KTzSjrtKXsMtQGXPHyND0/edit#gid=795171502"", ""'Filter 30_05_2024'!A1:M2000""), {2, 3, 4, 5,6,7,8,9,10,11,12,13}, 0))"),"#N/A")</f>
        <v>#N/A</v>
      </c>
      <c r="V124" s="137" t="str">
        <f ca="1">IFERROR(__xludf.DUMMYFUNCTION("""COMPUTED_VALUE"""),"#N/A")</f>
        <v>#N/A</v>
      </c>
      <c r="W124" s="137" t="str">
        <f ca="1">IFERROR(__xludf.DUMMYFUNCTION("""COMPUTED_VALUE"""),"#N/A")</f>
        <v>#N/A</v>
      </c>
      <c r="X124" s="137" t="str">
        <f ca="1">IFERROR(__xludf.DUMMYFUNCTION("""COMPUTED_VALUE"""),"#N/A")</f>
        <v>#N/A</v>
      </c>
      <c r="Y124" s="137" t="str">
        <f ca="1">IFERROR(__xludf.DUMMYFUNCTION("""COMPUTED_VALUE"""),"#N/A")</f>
        <v>#N/A</v>
      </c>
      <c r="Z124" s="138" t="str">
        <f ca="1">IFERROR(__xludf.DUMMYFUNCTION("""COMPUTED_VALUE"""),"#N/A")</f>
        <v>#N/A</v>
      </c>
      <c r="AA124" s="138" t="str">
        <f ca="1">IFERROR(__xludf.DUMMYFUNCTION("""COMPUTED_VALUE"""),"#N/A")</f>
        <v>#N/A</v>
      </c>
      <c r="AB124" s="138" t="str">
        <f ca="1">IFERROR(__xludf.DUMMYFUNCTION("""COMPUTED_VALUE"""),"#N/A")</f>
        <v>#N/A</v>
      </c>
      <c r="AC124" s="138" t="str">
        <f ca="1">IFERROR(__xludf.DUMMYFUNCTION("""COMPUTED_VALUE"""),"#N/A")</f>
        <v>#N/A</v>
      </c>
      <c r="AD124" s="138" t="str">
        <f ca="1">IFERROR(__xludf.DUMMYFUNCTION("""COMPUTED_VALUE"""),"#N/A")</f>
        <v>#N/A</v>
      </c>
      <c r="AE124" s="138" t="str">
        <f ca="1">IFERROR(__xludf.DUMMYFUNCTION("""COMPUTED_VALUE"""),"#N/A")</f>
        <v>#N/A</v>
      </c>
      <c r="AF124" s="138" t="str">
        <f ca="1">IFERROR(__xludf.DUMMYFUNCTION("""COMPUTED_VALUE"""),"#N/A")</f>
        <v>#N/A</v>
      </c>
      <c r="AG124" s="138" t="str">
        <f ca="1">IFERROR(__xludf.DUMMYFUNCTION("ArrayFormula(VLOOKUP(G124, IMPORTRANGE(""https://docs.google.com/spreadsheets/d/1Co934fvtviyaRiMsrIlT05Jaq7iiYq07aLvRr35KA48/edit?gid=173865642#gid=173865642"", ""'G10_Sci_Pri_LU'!G2:V2000""), {3, 4, 5, 6, 7, 8, 9, 10, 11, 12, 13, 14, 15, 16}, 0))"),"LU005877")</f>
        <v>LU005877</v>
      </c>
      <c r="AH124" s="138" t="str">
        <f ca="1">IFERROR(__xludf.DUMMYFUNCTION("""COMPUTED_VALUE"""),"Comparison of physical properties of metals and non-metals")</f>
        <v>Comparison of physical properties of metals and non-metals</v>
      </c>
      <c r="AI124" s="138"/>
      <c r="AJ124" s="138"/>
      <c r="AK124" s="138"/>
      <c r="AL124" s="138"/>
      <c r="AM124" s="138"/>
      <c r="AN124" s="138"/>
      <c r="AO124" s="138"/>
      <c r="AP124" s="138"/>
      <c r="AQ124" s="138"/>
      <c r="AR124" s="138"/>
      <c r="AS124" s="138"/>
      <c r="AT124" s="138"/>
    </row>
    <row r="125" spans="1:46">
      <c r="A125" s="54" t="s">
        <v>247</v>
      </c>
      <c r="B125" s="55" t="s">
        <v>47</v>
      </c>
      <c r="C125" s="55" t="s">
        <v>1172</v>
      </c>
      <c r="D125" s="138" t="s">
        <v>1441</v>
      </c>
      <c r="E125" s="54" t="s">
        <v>2654</v>
      </c>
      <c r="F125" s="55" t="s">
        <v>2658</v>
      </c>
      <c r="G125" s="55" t="s">
        <v>2659</v>
      </c>
      <c r="H125" s="54" t="str">
        <f ca="1">IFERROR(__xludf.DUMMYFUNCTION("VLOOKUP(G125, IMPORTRANGE(""https://docs.google.com/spreadsheets/d/14deopnvwcrKtEGCKuYXdUHJbeLDZlkiSSWWT0g7x2pM/edit#gid=849066331"", ""LU List Science (Filter)!A:B""), 2, FALSE)"),"Formation of metal oxides and process of anodisation")</f>
        <v>Formation of metal oxides and process of anodisation</v>
      </c>
      <c r="I125" s="55" t="str">
        <f t="shared" si="0"/>
        <v>LU006553.001</v>
      </c>
      <c r="J125" s="55" t="str">
        <f ca="1">IFERROR(__xludf.DUMMYFUNCTION("VLOOKUP(I125, IMPORTRANGE(""https://docs.google.com/spreadsheets/d/1yDAaXNsi4Mr5FtRQL4tbmSdIzhx6_m4wkOD7IG-k_eo/edit#gid=1336395716"", ""Science!M:N""), 2, FALSE)"),"(LU006553.001); Default - Remember")</f>
        <v>(LU006553.001); Default - Remember</v>
      </c>
      <c r="K125" s="55" t="str">
        <f t="shared" si="1"/>
        <v>LU006553.002</v>
      </c>
      <c r="L125" s="55" t="str">
        <f ca="1">IFERROR(__xludf.DUMMYFUNCTION("VLOOKUP(K125, IMPORTRANGE(""https://docs.google.com/spreadsheets/d/1yDAaXNsi4Mr5FtRQL4tbmSdIzhx6_m4wkOD7IG-k_eo/edit#gid=1336395716"", ""Science!M:N""), 2, FALSE)"),"(LU006553.002); Default - Understand")</f>
        <v>(LU006553.002); Default - Understand</v>
      </c>
      <c r="M125" s="55" t="str">
        <f t="shared" si="2"/>
        <v>LU006553.003</v>
      </c>
      <c r="N125" s="55" t="str">
        <f ca="1">IFERROR(__xludf.DUMMYFUNCTION("VLOOKUP(M125, IMPORTRANGE(""https://docs.google.com/spreadsheets/d/1yDAaXNsi4Mr5FtRQL4tbmSdIzhx6_m4wkOD7IG-k_eo/edit#gid=1336395716"", ""Science!M:N""), 2, FALSE)"),"(LU006553.003); Default - Apply")</f>
        <v>(LU006553.003); Default - Apply</v>
      </c>
      <c r="O125" s="55" t="str">
        <f t="shared" si="3"/>
        <v>LU006553.004</v>
      </c>
      <c r="P125" s="55" t="str">
        <f ca="1">IFERROR(__xludf.DUMMYFUNCTION("VLOOKUP(O125, IMPORTRANGE(""https://docs.google.com/spreadsheets/d/1yDAaXNsi4Mr5FtRQL4tbmSdIzhx6_m4wkOD7IG-k_eo/edit#gid=1336395716"", ""Science!M:N""), 2, FALSE)"),"(LU006553.004); Default - Analyse")</f>
        <v>(LU006553.004); Default - Analyse</v>
      </c>
      <c r="Q125" s="55" t="str">
        <f t="shared" si="4"/>
        <v>LU006553.005</v>
      </c>
      <c r="R125" s="55" t="str">
        <f ca="1">IFERROR(__xludf.DUMMYFUNCTION("VLOOKUP(Q125, IMPORTRANGE(""https://docs.google.com/spreadsheets/d/1yDAaXNsi4Mr5FtRQL4tbmSdIzhx6_m4wkOD7IG-k_eo/edit#gid=1336395716"", ""Science!M:N""), 2, FALSE)"),"(LU006553.005); Default - Evaluate")</f>
        <v>(LU006553.005); Default - Evaluate</v>
      </c>
      <c r="S125" s="55" t="str">
        <f t="shared" si="5"/>
        <v>LU006553.006</v>
      </c>
      <c r="T125" s="55" t="str">
        <f ca="1">IFERROR(__xludf.DUMMYFUNCTION("VLOOKUP(S125, IMPORTRANGE(""https://docs.google.com/spreadsheets/d/1yDAaXNsi4Mr5FtRQL4tbmSdIzhx6_m4wkOD7IG-k_eo/edit#gid=1336395716"", ""Science!M:N""), 2, FALSE)"),"(LU006553.006); Default - Create")</f>
        <v>(LU006553.006); Default - Create</v>
      </c>
      <c r="U125" s="137" t="str">
        <f ca="1">IFERROR(__xludf.DUMMYFUNCTION("ArrayFormula(VLOOKUP(G125, IMPORTRANGE(""https://docs.google.com/spreadsheets/d/1p7R4vtkWt5VOBim4ltsDG9KTzSjrtKXsMtQGXPHyND0/edit#gid=795171502"", ""'Filter 30_05_2024'!A1:M2000""), {2, 3, 4, 5,6,7,8,9,10,11,12,13}, 0))"),"#N/A")</f>
        <v>#N/A</v>
      </c>
      <c r="V125" s="137" t="str">
        <f ca="1">IFERROR(__xludf.DUMMYFUNCTION("""COMPUTED_VALUE"""),"#N/A")</f>
        <v>#N/A</v>
      </c>
      <c r="W125" s="137" t="str">
        <f ca="1">IFERROR(__xludf.DUMMYFUNCTION("""COMPUTED_VALUE"""),"#N/A")</f>
        <v>#N/A</v>
      </c>
      <c r="X125" s="137" t="str">
        <f ca="1">IFERROR(__xludf.DUMMYFUNCTION("""COMPUTED_VALUE"""),"#N/A")</f>
        <v>#N/A</v>
      </c>
      <c r="Y125" s="137" t="str">
        <f ca="1">IFERROR(__xludf.DUMMYFUNCTION("""COMPUTED_VALUE"""),"#N/A")</f>
        <v>#N/A</v>
      </c>
      <c r="Z125" s="138" t="str">
        <f ca="1">IFERROR(__xludf.DUMMYFUNCTION("""COMPUTED_VALUE"""),"#N/A")</f>
        <v>#N/A</v>
      </c>
      <c r="AA125" s="138" t="str">
        <f ca="1">IFERROR(__xludf.DUMMYFUNCTION("""COMPUTED_VALUE"""),"#N/A")</f>
        <v>#N/A</v>
      </c>
      <c r="AB125" s="138" t="str">
        <f ca="1">IFERROR(__xludf.DUMMYFUNCTION("""COMPUTED_VALUE"""),"#N/A")</f>
        <v>#N/A</v>
      </c>
      <c r="AC125" s="138" t="str">
        <f ca="1">IFERROR(__xludf.DUMMYFUNCTION("""COMPUTED_VALUE"""),"#N/A")</f>
        <v>#N/A</v>
      </c>
      <c r="AD125" s="138" t="str">
        <f ca="1">IFERROR(__xludf.DUMMYFUNCTION("""COMPUTED_VALUE"""),"#N/A")</f>
        <v>#N/A</v>
      </c>
      <c r="AE125" s="138" t="str">
        <f ca="1">IFERROR(__xludf.DUMMYFUNCTION("""COMPUTED_VALUE"""),"#N/A")</f>
        <v>#N/A</v>
      </c>
      <c r="AF125" s="138" t="str">
        <f ca="1">IFERROR(__xludf.DUMMYFUNCTION("""COMPUTED_VALUE"""),"#N/A")</f>
        <v>#N/A</v>
      </c>
      <c r="AG125" s="138" t="str">
        <f ca="1">IFERROR(__xludf.DUMMYFUNCTION("ArrayFormula(VLOOKUP(G125, IMPORTRANGE(""https://docs.google.com/spreadsheets/d/1Co934fvtviyaRiMsrIlT05Jaq7iiYq07aLvRr35KA48/edit?gid=173865642#gid=173865642"", ""'G10_Sci_Pri_LU'!G2:V2000""), {3, 4, 5, 6, 7, 8, 9, 10, 11, 12, 13, 14, 15, 16}, 0))"),"")</f>
        <v/>
      </c>
      <c r="AH125" s="138" t="str">
        <f ca="1">IFERROR(__xludf.DUMMYFUNCTION("""COMPUTED_VALUE"""),"#N/A")</f>
        <v>#N/A</v>
      </c>
      <c r="AI125" s="138"/>
      <c r="AJ125" s="138"/>
      <c r="AK125" s="138"/>
      <c r="AL125" s="138"/>
      <c r="AM125" s="138"/>
      <c r="AN125" s="138"/>
      <c r="AO125" s="138"/>
      <c r="AP125" s="138"/>
      <c r="AQ125" s="138"/>
      <c r="AR125" s="138"/>
      <c r="AS125" s="138"/>
      <c r="AT125" s="138"/>
    </row>
    <row r="126" spans="1:46">
      <c r="A126" s="54" t="s">
        <v>247</v>
      </c>
      <c r="B126" s="55" t="s">
        <v>47</v>
      </c>
      <c r="C126" s="55" t="s">
        <v>1172</v>
      </c>
      <c r="D126" s="138" t="s">
        <v>1441</v>
      </c>
      <c r="E126" s="54" t="s">
        <v>2654</v>
      </c>
      <c r="F126" s="55" t="s">
        <v>2658</v>
      </c>
      <c r="G126" s="55" t="s">
        <v>2660</v>
      </c>
      <c r="H126" s="54" t="str">
        <f ca="1">IFERROR(__xludf.DUMMYFUNCTION("VLOOKUP(G126, IMPORTRANGE(""https://docs.google.com/spreadsheets/d/14deopnvwcrKtEGCKuYXdUHJbeLDZlkiSSWWT0g7x2pM/edit#gid=849066331"", ""LU List Science (Filter)!A:B""), 2, FALSE)"),"Reaction of metal oxides with acids and bases")</f>
        <v>Reaction of metal oxides with acids and bases</v>
      </c>
      <c r="I126" s="55" t="str">
        <f t="shared" si="0"/>
        <v>LU006554.001</v>
      </c>
      <c r="J126" s="55" t="str">
        <f ca="1">IFERROR(__xludf.DUMMYFUNCTION("VLOOKUP(I126, IMPORTRANGE(""https://docs.google.com/spreadsheets/d/1yDAaXNsi4Mr5FtRQL4tbmSdIzhx6_m4wkOD7IG-k_eo/edit#gid=1336395716"", ""Science!M:N""), 2, FALSE)"),"(LU006554.001); Default - Remember")</f>
        <v>(LU006554.001); Default - Remember</v>
      </c>
      <c r="K126" s="55" t="str">
        <f t="shared" si="1"/>
        <v>LU006554.002</v>
      </c>
      <c r="L126" s="55" t="str">
        <f ca="1">IFERROR(__xludf.DUMMYFUNCTION("VLOOKUP(K126, IMPORTRANGE(""https://docs.google.com/spreadsheets/d/1yDAaXNsi4Mr5FtRQL4tbmSdIzhx6_m4wkOD7IG-k_eo/edit#gid=1336395716"", ""Science!M:N""), 2, FALSE)"),"(LU006554.002); Default - Understand")</f>
        <v>(LU006554.002); Default - Understand</v>
      </c>
      <c r="M126" s="55" t="str">
        <f t="shared" si="2"/>
        <v>LU006554.003</v>
      </c>
      <c r="N126" s="55" t="str">
        <f ca="1">IFERROR(__xludf.DUMMYFUNCTION("VLOOKUP(M126, IMPORTRANGE(""https://docs.google.com/spreadsheets/d/1yDAaXNsi4Mr5FtRQL4tbmSdIzhx6_m4wkOD7IG-k_eo/edit#gid=1336395716"", ""Science!M:N""), 2, FALSE)"),"(LU006554.003); Default - Apply")</f>
        <v>(LU006554.003); Default - Apply</v>
      </c>
      <c r="O126" s="55" t="str">
        <f t="shared" si="3"/>
        <v>LU006554.004</v>
      </c>
      <c r="P126" s="55" t="str">
        <f ca="1">IFERROR(__xludf.DUMMYFUNCTION("VLOOKUP(O126, IMPORTRANGE(""https://docs.google.com/spreadsheets/d/1yDAaXNsi4Mr5FtRQL4tbmSdIzhx6_m4wkOD7IG-k_eo/edit#gid=1336395716"", ""Science!M:N""), 2, FALSE)"),"(LU006554.004); Default - Analyse")</f>
        <v>(LU006554.004); Default - Analyse</v>
      </c>
      <c r="Q126" s="55" t="str">
        <f t="shared" si="4"/>
        <v>LU006554.005</v>
      </c>
      <c r="R126" s="55" t="str">
        <f ca="1">IFERROR(__xludf.DUMMYFUNCTION("VLOOKUP(Q126, IMPORTRANGE(""https://docs.google.com/spreadsheets/d/1yDAaXNsi4Mr5FtRQL4tbmSdIzhx6_m4wkOD7IG-k_eo/edit#gid=1336395716"", ""Science!M:N""), 2, FALSE)"),"(LU006554.005); Default - Evaluate")</f>
        <v>(LU006554.005); Default - Evaluate</v>
      </c>
      <c r="S126" s="55" t="str">
        <f t="shared" si="5"/>
        <v>LU006554.006</v>
      </c>
      <c r="T126" s="55" t="str">
        <f ca="1">IFERROR(__xludf.DUMMYFUNCTION("VLOOKUP(S126, IMPORTRANGE(""https://docs.google.com/spreadsheets/d/1yDAaXNsi4Mr5FtRQL4tbmSdIzhx6_m4wkOD7IG-k_eo/edit#gid=1336395716"", ""Science!M:N""), 2, FALSE)"),"(LU006554.006); Default - Create")</f>
        <v>(LU006554.006); Default - Create</v>
      </c>
      <c r="U126" s="137" t="str">
        <f ca="1">IFERROR(__xludf.DUMMYFUNCTION("ArrayFormula(VLOOKUP(G126, IMPORTRANGE(""https://docs.google.com/spreadsheets/d/1p7R4vtkWt5VOBim4ltsDG9KTzSjrtKXsMtQGXPHyND0/edit#gid=795171502"", ""'Filter 30_05_2024'!A1:M2000""), {2, 3, 4, 5,6,7,8,9,10,11,12,13}, 0))"),"#N/A")</f>
        <v>#N/A</v>
      </c>
      <c r="V126" s="137" t="str">
        <f ca="1">IFERROR(__xludf.DUMMYFUNCTION("""COMPUTED_VALUE"""),"#N/A")</f>
        <v>#N/A</v>
      </c>
      <c r="W126" s="137" t="str">
        <f ca="1">IFERROR(__xludf.DUMMYFUNCTION("""COMPUTED_VALUE"""),"#N/A")</f>
        <v>#N/A</v>
      </c>
      <c r="X126" s="137" t="str">
        <f ca="1">IFERROR(__xludf.DUMMYFUNCTION("""COMPUTED_VALUE"""),"#N/A")</f>
        <v>#N/A</v>
      </c>
      <c r="Y126" s="137" t="str">
        <f ca="1">IFERROR(__xludf.DUMMYFUNCTION("""COMPUTED_VALUE"""),"#N/A")</f>
        <v>#N/A</v>
      </c>
      <c r="Z126" s="138" t="str">
        <f ca="1">IFERROR(__xludf.DUMMYFUNCTION("""COMPUTED_VALUE"""),"#N/A")</f>
        <v>#N/A</v>
      </c>
      <c r="AA126" s="138" t="str">
        <f ca="1">IFERROR(__xludf.DUMMYFUNCTION("""COMPUTED_VALUE"""),"#N/A")</f>
        <v>#N/A</v>
      </c>
      <c r="AB126" s="138" t="str">
        <f ca="1">IFERROR(__xludf.DUMMYFUNCTION("""COMPUTED_VALUE"""),"#N/A")</f>
        <v>#N/A</v>
      </c>
      <c r="AC126" s="138" t="str">
        <f ca="1">IFERROR(__xludf.DUMMYFUNCTION("""COMPUTED_VALUE"""),"#N/A")</f>
        <v>#N/A</v>
      </c>
      <c r="AD126" s="138" t="str">
        <f ca="1">IFERROR(__xludf.DUMMYFUNCTION("""COMPUTED_VALUE"""),"#N/A")</f>
        <v>#N/A</v>
      </c>
      <c r="AE126" s="138" t="str">
        <f ca="1">IFERROR(__xludf.DUMMYFUNCTION("""COMPUTED_VALUE"""),"#N/A")</f>
        <v>#N/A</v>
      </c>
      <c r="AF126" s="138" t="str">
        <f ca="1">IFERROR(__xludf.DUMMYFUNCTION("""COMPUTED_VALUE"""),"#N/A")</f>
        <v>#N/A</v>
      </c>
      <c r="AG126" s="138" t="str">
        <f ca="1">IFERROR(__xludf.DUMMYFUNCTION("ArrayFormula(VLOOKUP(G126, IMPORTRANGE(""https://docs.google.com/spreadsheets/d/1Co934fvtviyaRiMsrIlT05Jaq7iiYq07aLvRr35KA48/edit?gid=173865642#gid=173865642"", ""'G10_Sci_Pri_LU'!G2:V2000""), {3, 4, 5, 6, 7, 8, 9, 10, 11, 12, 13, 14, 15, 16}, 0))"),"LU006553")</f>
        <v>LU006553</v>
      </c>
      <c r="AH126" s="138" t="str">
        <f ca="1">IFERROR(__xludf.DUMMYFUNCTION("""COMPUTED_VALUE"""),"Formation of metal oxides and process of anodisation")</f>
        <v>Formation of metal oxides and process of anodisation</v>
      </c>
      <c r="AI126" s="138"/>
      <c r="AJ126" s="138"/>
      <c r="AK126" s="138"/>
      <c r="AL126" s="138"/>
      <c r="AM126" s="138"/>
      <c r="AN126" s="138"/>
      <c r="AO126" s="138"/>
      <c r="AP126" s="138"/>
      <c r="AQ126" s="138"/>
      <c r="AR126" s="138"/>
      <c r="AS126" s="138"/>
      <c r="AT126" s="138"/>
    </row>
    <row r="127" spans="1:46">
      <c r="A127" s="54" t="s">
        <v>247</v>
      </c>
      <c r="B127" s="55" t="s">
        <v>47</v>
      </c>
      <c r="C127" s="55" t="s">
        <v>1172</v>
      </c>
      <c r="D127" s="138" t="s">
        <v>1441</v>
      </c>
      <c r="E127" s="54" t="s">
        <v>2654</v>
      </c>
      <c r="F127" s="55" t="s">
        <v>2661</v>
      </c>
      <c r="G127" s="55" t="s">
        <v>2662</v>
      </c>
      <c r="H127" s="54" t="str">
        <f ca="1">IFERROR(__xludf.DUMMYFUNCTION("VLOOKUP(G127, IMPORTRANGE(""https://docs.google.com/spreadsheets/d/14deopnvwcrKtEGCKuYXdUHJbeLDZlkiSSWWT0g7x2pM/edit#gid=849066331"", ""LU List Science (Filter)!A:B""), 2, FALSE)"),"Reaction of metal oxides with water")</f>
        <v>Reaction of metal oxides with water</v>
      </c>
      <c r="I127" s="55" t="str">
        <f t="shared" si="0"/>
        <v>LU006555.001</v>
      </c>
      <c r="J127" s="55" t="str">
        <f ca="1">IFERROR(__xludf.DUMMYFUNCTION("VLOOKUP(I127, IMPORTRANGE(""https://docs.google.com/spreadsheets/d/1yDAaXNsi4Mr5FtRQL4tbmSdIzhx6_m4wkOD7IG-k_eo/edit#gid=1336395716"", ""Science!M:N""), 2, FALSE)"),"(LU006555.001); Default - Remember")</f>
        <v>(LU006555.001); Default - Remember</v>
      </c>
      <c r="K127" s="55" t="str">
        <f t="shared" si="1"/>
        <v>LU006555.002</v>
      </c>
      <c r="L127" s="55" t="str">
        <f ca="1">IFERROR(__xludf.DUMMYFUNCTION("VLOOKUP(K127, IMPORTRANGE(""https://docs.google.com/spreadsheets/d/1yDAaXNsi4Mr5FtRQL4tbmSdIzhx6_m4wkOD7IG-k_eo/edit#gid=1336395716"", ""Science!M:N""), 2, FALSE)"),"(LU006555.002); Default - Understand")</f>
        <v>(LU006555.002); Default - Understand</v>
      </c>
      <c r="M127" s="55" t="str">
        <f t="shared" si="2"/>
        <v>LU006555.003</v>
      </c>
      <c r="N127" s="55" t="str">
        <f ca="1">IFERROR(__xludf.DUMMYFUNCTION("VLOOKUP(M127, IMPORTRANGE(""https://docs.google.com/spreadsheets/d/1yDAaXNsi4Mr5FtRQL4tbmSdIzhx6_m4wkOD7IG-k_eo/edit#gid=1336395716"", ""Science!M:N""), 2, FALSE)"),"(LU006555.003); Default - Apply")</f>
        <v>(LU006555.003); Default - Apply</v>
      </c>
      <c r="O127" s="55" t="str">
        <f t="shared" si="3"/>
        <v>LU006555.004</v>
      </c>
      <c r="P127" s="55" t="str">
        <f ca="1">IFERROR(__xludf.DUMMYFUNCTION("VLOOKUP(O127, IMPORTRANGE(""https://docs.google.com/spreadsheets/d/1yDAaXNsi4Mr5FtRQL4tbmSdIzhx6_m4wkOD7IG-k_eo/edit#gid=1336395716"", ""Science!M:N""), 2, FALSE)"),"(LU006555.004); Default - Analyse")</f>
        <v>(LU006555.004); Default - Analyse</v>
      </c>
      <c r="Q127" s="55" t="str">
        <f t="shared" si="4"/>
        <v>LU006555.005</v>
      </c>
      <c r="R127" s="55" t="str">
        <f ca="1">IFERROR(__xludf.DUMMYFUNCTION("VLOOKUP(Q127, IMPORTRANGE(""https://docs.google.com/spreadsheets/d/1yDAaXNsi4Mr5FtRQL4tbmSdIzhx6_m4wkOD7IG-k_eo/edit#gid=1336395716"", ""Science!M:N""), 2, FALSE)"),"(LU006555.005); Default - Evaluate")</f>
        <v>(LU006555.005); Default - Evaluate</v>
      </c>
      <c r="S127" s="55" t="str">
        <f t="shared" si="5"/>
        <v>LU006555.006</v>
      </c>
      <c r="T127" s="55" t="str">
        <f ca="1">IFERROR(__xludf.DUMMYFUNCTION("VLOOKUP(S127, IMPORTRANGE(""https://docs.google.com/spreadsheets/d/1yDAaXNsi4Mr5FtRQL4tbmSdIzhx6_m4wkOD7IG-k_eo/edit#gid=1336395716"", ""Science!M:N""), 2, FALSE)"),"(LU006555.006); Default - Create")</f>
        <v>(LU006555.006); Default - Create</v>
      </c>
      <c r="U127" s="137" t="str">
        <f ca="1">IFERROR(__xludf.DUMMYFUNCTION("ArrayFormula(VLOOKUP(G127, IMPORTRANGE(""https://docs.google.com/spreadsheets/d/1p7R4vtkWt5VOBim4ltsDG9KTzSjrtKXsMtQGXPHyND0/edit#gid=795171502"", ""'Filter 30_05_2024'!A1:M2000""), {2, 3, 4, 5,6,7,8,9,10,11,12,13}, 0))"),"#N/A")</f>
        <v>#N/A</v>
      </c>
      <c r="V127" s="137" t="str">
        <f ca="1">IFERROR(__xludf.DUMMYFUNCTION("""COMPUTED_VALUE"""),"#N/A")</f>
        <v>#N/A</v>
      </c>
      <c r="W127" s="137" t="str">
        <f ca="1">IFERROR(__xludf.DUMMYFUNCTION("""COMPUTED_VALUE"""),"#N/A")</f>
        <v>#N/A</v>
      </c>
      <c r="X127" s="137" t="str">
        <f ca="1">IFERROR(__xludf.DUMMYFUNCTION("""COMPUTED_VALUE"""),"#N/A")</f>
        <v>#N/A</v>
      </c>
      <c r="Y127" s="137" t="str">
        <f ca="1">IFERROR(__xludf.DUMMYFUNCTION("""COMPUTED_VALUE"""),"#N/A")</f>
        <v>#N/A</v>
      </c>
      <c r="Z127" s="138" t="str">
        <f ca="1">IFERROR(__xludf.DUMMYFUNCTION("""COMPUTED_VALUE"""),"#N/A")</f>
        <v>#N/A</v>
      </c>
      <c r="AA127" s="138" t="str">
        <f ca="1">IFERROR(__xludf.DUMMYFUNCTION("""COMPUTED_VALUE"""),"#N/A")</f>
        <v>#N/A</v>
      </c>
      <c r="AB127" s="138" t="str">
        <f ca="1">IFERROR(__xludf.DUMMYFUNCTION("""COMPUTED_VALUE"""),"#N/A")</f>
        <v>#N/A</v>
      </c>
      <c r="AC127" s="138" t="str">
        <f ca="1">IFERROR(__xludf.DUMMYFUNCTION("""COMPUTED_VALUE"""),"#N/A")</f>
        <v>#N/A</v>
      </c>
      <c r="AD127" s="138" t="str">
        <f ca="1">IFERROR(__xludf.DUMMYFUNCTION("""COMPUTED_VALUE"""),"#N/A")</f>
        <v>#N/A</v>
      </c>
      <c r="AE127" s="138" t="str">
        <f ca="1">IFERROR(__xludf.DUMMYFUNCTION("""COMPUTED_VALUE"""),"#N/A")</f>
        <v>#N/A</v>
      </c>
      <c r="AF127" s="138" t="str">
        <f ca="1">IFERROR(__xludf.DUMMYFUNCTION("""COMPUTED_VALUE"""),"#N/A")</f>
        <v>#N/A</v>
      </c>
      <c r="AG127" s="138" t="str">
        <f ca="1">IFERROR(__xludf.DUMMYFUNCTION("ArrayFormula(VLOOKUP(G127, IMPORTRANGE(""https://docs.google.com/spreadsheets/d/1Co934fvtviyaRiMsrIlT05Jaq7iiYq07aLvRr35KA48/edit?gid=173865642#gid=173865642"", ""'G10_Sci_Pri_LU'!G2:V2000""), {3, 4, 5, 6, 7, 8, 9, 10, 11, 12, 13, 14, 15, 16}, 0))"),"LU006554")</f>
        <v>LU006554</v>
      </c>
      <c r="AH127" s="138" t="str">
        <f ca="1">IFERROR(__xludf.DUMMYFUNCTION("""COMPUTED_VALUE"""),"Reaction of metal oxides with acids and bases")</f>
        <v>Reaction of metal oxides with acids and bases</v>
      </c>
      <c r="AI127" s="138"/>
      <c r="AJ127" s="138"/>
      <c r="AK127" s="138"/>
      <c r="AL127" s="138"/>
      <c r="AM127" s="138"/>
      <c r="AN127" s="138"/>
      <c r="AO127" s="138"/>
      <c r="AP127" s="138"/>
      <c r="AQ127" s="138"/>
      <c r="AR127" s="138"/>
      <c r="AS127" s="138"/>
      <c r="AT127" s="138"/>
    </row>
    <row r="128" spans="1:46">
      <c r="A128" s="54" t="s">
        <v>247</v>
      </c>
      <c r="B128" s="55" t="s">
        <v>47</v>
      </c>
      <c r="C128" s="55" t="s">
        <v>1172</v>
      </c>
      <c r="D128" s="138" t="s">
        <v>1441</v>
      </c>
      <c r="E128" s="54" t="s">
        <v>2654</v>
      </c>
      <c r="F128" s="55" t="s">
        <v>2661</v>
      </c>
      <c r="G128" s="55" t="s">
        <v>2663</v>
      </c>
      <c r="H128" s="54" t="str">
        <f ca="1">IFERROR(__xludf.DUMMYFUNCTION("VLOOKUP(G128, IMPORTRANGE(""https://docs.google.com/spreadsheets/d/14deopnvwcrKtEGCKuYXdUHJbeLDZlkiSSWWT0g7x2pM/edit#gid=849066331"", ""LU List Science (Filter)!A:B""), 2, FALSE)"),"Reaction of metal with water")</f>
        <v>Reaction of metal with water</v>
      </c>
      <c r="I128" s="55" t="str">
        <f t="shared" si="0"/>
        <v>LU006556.001</v>
      </c>
      <c r="J128" s="55" t="str">
        <f ca="1">IFERROR(__xludf.DUMMYFUNCTION("VLOOKUP(I128, IMPORTRANGE(""https://docs.google.com/spreadsheets/d/1yDAaXNsi4Mr5FtRQL4tbmSdIzhx6_m4wkOD7IG-k_eo/edit#gid=1336395716"", ""Science!M:N""), 2, FALSE)"),"(LU006556.001); Default - Remember")</f>
        <v>(LU006556.001); Default - Remember</v>
      </c>
      <c r="K128" s="55" t="str">
        <f t="shared" si="1"/>
        <v>LU006556.002</v>
      </c>
      <c r="L128" s="55" t="str">
        <f ca="1">IFERROR(__xludf.DUMMYFUNCTION("VLOOKUP(K128, IMPORTRANGE(""https://docs.google.com/spreadsheets/d/1yDAaXNsi4Mr5FtRQL4tbmSdIzhx6_m4wkOD7IG-k_eo/edit#gid=1336395716"", ""Science!M:N""), 2, FALSE)"),"(LU006556.002); Default - Understand")</f>
        <v>(LU006556.002); Default - Understand</v>
      </c>
      <c r="M128" s="55" t="str">
        <f t="shared" si="2"/>
        <v>LU006556.003</v>
      </c>
      <c r="N128" s="55" t="str">
        <f ca="1">IFERROR(__xludf.DUMMYFUNCTION("VLOOKUP(M128, IMPORTRANGE(""https://docs.google.com/spreadsheets/d/1yDAaXNsi4Mr5FtRQL4tbmSdIzhx6_m4wkOD7IG-k_eo/edit#gid=1336395716"", ""Science!M:N""), 2, FALSE)"),"(LU006556.003); Default - Apply")</f>
        <v>(LU006556.003); Default - Apply</v>
      </c>
      <c r="O128" s="55" t="str">
        <f t="shared" si="3"/>
        <v>LU006556.004</v>
      </c>
      <c r="P128" s="55" t="str">
        <f ca="1">IFERROR(__xludf.DUMMYFUNCTION("VLOOKUP(O128, IMPORTRANGE(""https://docs.google.com/spreadsheets/d/1yDAaXNsi4Mr5FtRQL4tbmSdIzhx6_m4wkOD7IG-k_eo/edit#gid=1336395716"", ""Science!M:N""), 2, FALSE)"),"(LU006556.004); Default - Analyse")</f>
        <v>(LU006556.004); Default - Analyse</v>
      </c>
      <c r="Q128" s="55" t="str">
        <f t="shared" si="4"/>
        <v>LU006556.005</v>
      </c>
      <c r="R128" s="55" t="str">
        <f ca="1">IFERROR(__xludf.DUMMYFUNCTION("VLOOKUP(Q128, IMPORTRANGE(""https://docs.google.com/spreadsheets/d/1yDAaXNsi4Mr5FtRQL4tbmSdIzhx6_m4wkOD7IG-k_eo/edit#gid=1336395716"", ""Science!M:N""), 2, FALSE)"),"(LU006556.005); Default - Evaluate")</f>
        <v>(LU006556.005); Default - Evaluate</v>
      </c>
      <c r="S128" s="55" t="str">
        <f t="shared" si="5"/>
        <v>LU006556.006</v>
      </c>
      <c r="T128" s="55" t="str">
        <f ca="1">IFERROR(__xludf.DUMMYFUNCTION("VLOOKUP(S128, IMPORTRANGE(""https://docs.google.com/spreadsheets/d/1yDAaXNsi4Mr5FtRQL4tbmSdIzhx6_m4wkOD7IG-k_eo/edit#gid=1336395716"", ""Science!M:N""), 2, FALSE)"),"(LU006556.006); Default - Create")</f>
        <v>(LU006556.006); Default - Create</v>
      </c>
      <c r="U128" s="137" t="str">
        <f ca="1">IFERROR(__xludf.DUMMYFUNCTION("ArrayFormula(VLOOKUP(G128, IMPORTRANGE(""https://docs.google.com/spreadsheets/d/1p7R4vtkWt5VOBim4ltsDG9KTzSjrtKXsMtQGXPHyND0/edit#gid=795171502"", ""'Filter 30_05_2024'!A1:M2000""), {2, 3, 4, 5,6,7,8,9,10,11,12,13}, 0))"),"#N/A")</f>
        <v>#N/A</v>
      </c>
      <c r="V128" s="137" t="str">
        <f ca="1">IFERROR(__xludf.DUMMYFUNCTION("""COMPUTED_VALUE"""),"#N/A")</f>
        <v>#N/A</v>
      </c>
      <c r="W128" s="137" t="str">
        <f ca="1">IFERROR(__xludf.DUMMYFUNCTION("""COMPUTED_VALUE"""),"#N/A")</f>
        <v>#N/A</v>
      </c>
      <c r="X128" s="137" t="str">
        <f ca="1">IFERROR(__xludf.DUMMYFUNCTION("""COMPUTED_VALUE"""),"#N/A")</f>
        <v>#N/A</v>
      </c>
      <c r="Y128" s="137" t="str">
        <f ca="1">IFERROR(__xludf.DUMMYFUNCTION("""COMPUTED_VALUE"""),"#N/A")</f>
        <v>#N/A</v>
      </c>
      <c r="Z128" s="138" t="str">
        <f ca="1">IFERROR(__xludf.DUMMYFUNCTION("""COMPUTED_VALUE"""),"#N/A")</f>
        <v>#N/A</v>
      </c>
      <c r="AA128" s="138" t="str">
        <f ca="1">IFERROR(__xludf.DUMMYFUNCTION("""COMPUTED_VALUE"""),"#N/A")</f>
        <v>#N/A</v>
      </c>
      <c r="AB128" s="138" t="str">
        <f ca="1">IFERROR(__xludf.DUMMYFUNCTION("""COMPUTED_VALUE"""),"#N/A")</f>
        <v>#N/A</v>
      </c>
      <c r="AC128" s="138" t="str">
        <f ca="1">IFERROR(__xludf.DUMMYFUNCTION("""COMPUTED_VALUE"""),"#N/A")</f>
        <v>#N/A</v>
      </c>
      <c r="AD128" s="138" t="str">
        <f ca="1">IFERROR(__xludf.DUMMYFUNCTION("""COMPUTED_VALUE"""),"#N/A")</f>
        <v>#N/A</v>
      </c>
      <c r="AE128" s="138" t="str">
        <f ca="1">IFERROR(__xludf.DUMMYFUNCTION("""COMPUTED_VALUE"""),"#N/A")</f>
        <v>#N/A</v>
      </c>
      <c r="AF128" s="138" t="str">
        <f ca="1">IFERROR(__xludf.DUMMYFUNCTION("""COMPUTED_VALUE"""),"#N/A")</f>
        <v>#N/A</v>
      </c>
      <c r="AG128" s="138" t="str">
        <f ca="1">IFERROR(__xludf.DUMMYFUNCTION("ArrayFormula(VLOOKUP(G128, IMPORTRANGE(""https://docs.google.com/spreadsheets/d/1Co934fvtviyaRiMsrIlT05Jaq7iiYq07aLvRr35KA48/edit?gid=173865642#gid=173865642"", ""'G10_Sci_Pri_LU'!G2:V2000""), {3, 4, 5, 6, 7, 8, 9, 10, 11, 12, 13, 14, 15, 16}, 0))"),"LU006555")</f>
        <v>LU006555</v>
      </c>
      <c r="AH128" s="138" t="str">
        <f ca="1">IFERROR(__xludf.DUMMYFUNCTION("""COMPUTED_VALUE"""),"Reaction of metal oxides with water")</f>
        <v>Reaction of metal oxides with water</v>
      </c>
      <c r="AI128" s="138"/>
      <c r="AJ128" s="138"/>
      <c r="AK128" s="138"/>
      <c r="AL128" s="138"/>
      <c r="AM128" s="138"/>
      <c r="AN128" s="138"/>
      <c r="AO128" s="138"/>
      <c r="AP128" s="138"/>
      <c r="AQ128" s="138"/>
      <c r="AR128" s="138"/>
      <c r="AS128" s="138"/>
      <c r="AT128" s="138"/>
    </row>
    <row r="129" spans="1:46">
      <c r="A129" s="54" t="s">
        <v>247</v>
      </c>
      <c r="B129" s="55" t="s">
        <v>47</v>
      </c>
      <c r="C129" s="55" t="s">
        <v>1172</v>
      </c>
      <c r="D129" s="138" t="s">
        <v>1441</v>
      </c>
      <c r="E129" s="54" t="s">
        <v>2654</v>
      </c>
      <c r="F129" s="55" t="s">
        <v>2664</v>
      </c>
      <c r="G129" s="55" t="s">
        <v>2665</v>
      </c>
      <c r="H129" s="54" t="str">
        <f ca="1">IFERROR(__xludf.DUMMYFUNCTION("VLOOKUP(G129, IMPORTRANGE(""https://docs.google.com/spreadsheets/d/14deopnvwcrKtEGCKuYXdUHJbeLDZlkiSSWWT0g7x2pM/edit#gid=849066331"", ""LU List Science (Filter)!A:B""), 2, FALSE)"),"Reaction of metal with acids and infer reactivity of metals")</f>
        <v>Reaction of metal with acids and infer reactivity of metals</v>
      </c>
      <c r="I129" s="55" t="str">
        <f t="shared" si="0"/>
        <v>LU006557.001</v>
      </c>
      <c r="J129" s="55" t="str">
        <f ca="1">IFERROR(__xludf.DUMMYFUNCTION("VLOOKUP(I129, IMPORTRANGE(""https://docs.google.com/spreadsheets/d/1yDAaXNsi4Mr5FtRQL4tbmSdIzhx6_m4wkOD7IG-k_eo/edit#gid=1336395716"", ""Science!M:N""), 2, FALSE)"),"(LU006557.001); Default - Remember")</f>
        <v>(LU006557.001); Default - Remember</v>
      </c>
      <c r="K129" s="55" t="str">
        <f t="shared" si="1"/>
        <v>LU006557.002</v>
      </c>
      <c r="L129" s="55" t="str">
        <f ca="1">IFERROR(__xludf.DUMMYFUNCTION("VLOOKUP(K129, IMPORTRANGE(""https://docs.google.com/spreadsheets/d/1yDAaXNsi4Mr5FtRQL4tbmSdIzhx6_m4wkOD7IG-k_eo/edit#gid=1336395716"", ""Science!M:N""), 2, FALSE)"),"(LU006557.002); Default - Understand")</f>
        <v>(LU006557.002); Default - Understand</v>
      </c>
      <c r="M129" s="55" t="str">
        <f t="shared" si="2"/>
        <v>LU006557.003</v>
      </c>
      <c r="N129" s="55" t="str">
        <f ca="1">IFERROR(__xludf.DUMMYFUNCTION("VLOOKUP(M129, IMPORTRANGE(""https://docs.google.com/spreadsheets/d/1yDAaXNsi4Mr5FtRQL4tbmSdIzhx6_m4wkOD7IG-k_eo/edit#gid=1336395716"", ""Science!M:N""), 2, FALSE)"),"(LU006557.003); Default - Apply")</f>
        <v>(LU006557.003); Default - Apply</v>
      </c>
      <c r="O129" s="55" t="str">
        <f t="shared" si="3"/>
        <v>LU006557.004</v>
      </c>
      <c r="P129" s="55" t="str">
        <f ca="1">IFERROR(__xludf.DUMMYFUNCTION("VLOOKUP(O129, IMPORTRANGE(""https://docs.google.com/spreadsheets/d/1yDAaXNsi4Mr5FtRQL4tbmSdIzhx6_m4wkOD7IG-k_eo/edit#gid=1336395716"", ""Science!M:N""), 2, FALSE)"),"(LU006557.004); Default - Analyse")</f>
        <v>(LU006557.004); Default - Analyse</v>
      </c>
      <c r="Q129" s="55" t="str">
        <f t="shared" si="4"/>
        <v>LU006557.005</v>
      </c>
      <c r="R129" s="55" t="str">
        <f ca="1">IFERROR(__xludf.DUMMYFUNCTION("VLOOKUP(Q129, IMPORTRANGE(""https://docs.google.com/spreadsheets/d/1yDAaXNsi4Mr5FtRQL4tbmSdIzhx6_m4wkOD7IG-k_eo/edit#gid=1336395716"", ""Science!M:N""), 2, FALSE)"),"(LU006557.005); Default - Evaluate")</f>
        <v>(LU006557.005); Default - Evaluate</v>
      </c>
      <c r="S129" s="55" t="str">
        <f t="shared" si="5"/>
        <v>LU006557.006</v>
      </c>
      <c r="T129" s="55" t="str">
        <f ca="1">IFERROR(__xludf.DUMMYFUNCTION("VLOOKUP(S129, IMPORTRANGE(""https://docs.google.com/spreadsheets/d/1yDAaXNsi4Mr5FtRQL4tbmSdIzhx6_m4wkOD7IG-k_eo/edit#gid=1336395716"", ""Science!M:N""), 2, FALSE)"),"(LU006557.006); Default - Create")</f>
        <v>(LU006557.006); Default - Create</v>
      </c>
      <c r="U129" s="137" t="str">
        <f ca="1">IFERROR(__xludf.DUMMYFUNCTION("ArrayFormula(VLOOKUP(G129, IMPORTRANGE(""https://docs.google.com/spreadsheets/d/1p7R4vtkWt5VOBim4ltsDG9KTzSjrtKXsMtQGXPHyND0/edit#gid=795171502"", ""'Filter 30_05_2024'!A1:M2000""), {2, 3, 4, 5,6,7,8,9,10,11,12,13}, 0))"),"#N/A")</f>
        <v>#N/A</v>
      </c>
      <c r="V129" s="137" t="str">
        <f ca="1">IFERROR(__xludf.DUMMYFUNCTION("""COMPUTED_VALUE"""),"#N/A")</f>
        <v>#N/A</v>
      </c>
      <c r="W129" s="137" t="str">
        <f ca="1">IFERROR(__xludf.DUMMYFUNCTION("""COMPUTED_VALUE"""),"#N/A")</f>
        <v>#N/A</v>
      </c>
      <c r="X129" s="137" t="str">
        <f ca="1">IFERROR(__xludf.DUMMYFUNCTION("""COMPUTED_VALUE"""),"#N/A")</f>
        <v>#N/A</v>
      </c>
      <c r="Y129" s="137" t="str">
        <f ca="1">IFERROR(__xludf.DUMMYFUNCTION("""COMPUTED_VALUE"""),"#N/A")</f>
        <v>#N/A</v>
      </c>
      <c r="Z129" s="138" t="str">
        <f ca="1">IFERROR(__xludf.DUMMYFUNCTION("""COMPUTED_VALUE"""),"#N/A")</f>
        <v>#N/A</v>
      </c>
      <c r="AA129" s="138" t="str">
        <f ca="1">IFERROR(__xludf.DUMMYFUNCTION("""COMPUTED_VALUE"""),"#N/A")</f>
        <v>#N/A</v>
      </c>
      <c r="AB129" s="138" t="str">
        <f ca="1">IFERROR(__xludf.DUMMYFUNCTION("""COMPUTED_VALUE"""),"#N/A")</f>
        <v>#N/A</v>
      </c>
      <c r="AC129" s="138" t="str">
        <f ca="1">IFERROR(__xludf.DUMMYFUNCTION("""COMPUTED_VALUE"""),"#N/A")</f>
        <v>#N/A</v>
      </c>
      <c r="AD129" s="138" t="str">
        <f ca="1">IFERROR(__xludf.DUMMYFUNCTION("""COMPUTED_VALUE"""),"#N/A")</f>
        <v>#N/A</v>
      </c>
      <c r="AE129" s="138" t="str">
        <f ca="1">IFERROR(__xludf.DUMMYFUNCTION("""COMPUTED_VALUE"""),"#N/A")</f>
        <v>#N/A</v>
      </c>
      <c r="AF129" s="138" t="str">
        <f ca="1">IFERROR(__xludf.DUMMYFUNCTION("""COMPUTED_VALUE"""),"#N/A")</f>
        <v>#N/A</v>
      </c>
      <c r="AG129" s="138" t="str">
        <f ca="1">IFERROR(__xludf.DUMMYFUNCTION("ArrayFormula(VLOOKUP(G129, IMPORTRANGE(""https://docs.google.com/spreadsheets/d/1Co934fvtviyaRiMsrIlT05Jaq7iiYq07aLvRr35KA48/edit?gid=173865642#gid=173865642"", ""'G10_Sci_Pri_LU'!G2:V2000""), {3, 4, 5, 6, 7, 8, 9, 10, 11, 12, 13, 14, 15, 16}, 0))"),"LU006534")</f>
        <v>LU006534</v>
      </c>
      <c r="AH129" s="138" t="str">
        <f ca="1">IFERROR(__xludf.DUMMYFUNCTION("""COMPUTED_VALUE"""),"Displacement Reactions ")</f>
        <v xml:space="preserve">Displacement Reactions </v>
      </c>
      <c r="AI129" s="138"/>
      <c r="AJ129" s="138"/>
      <c r="AK129" s="138"/>
      <c r="AL129" s="138"/>
      <c r="AM129" s="138"/>
      <c r="AN129" s="138"/>
      <c r="AO129" s="138"/>
      <c r="AP129" s="138"/>
      <c r="AQ129" s="138"/>
      <c r="AR129" s="138"/>
      <c r="AS129" s="138"/>
      <c r="AT129" s="138"/>
    </row>
    <row r="130" spans="1:46">
      <c r="A130" s="54" t="s">
        <v>247</v>
      </c>
      <c r="B130" s="55" t="s">
        <v>47</v>
      </c>
      <c r="C130" s="55" t="s">
        <v>1172</v>
      </c>
      <c r="D130" s="138" t="s">
        <v>1441</v>
      </c>
      <c r="E130" s="54" t="s">
        <v>2654</v>
      </c>
      <c r="F130" s="55" t="s">
        <v>2664</v>
      </c>
      <c r="G130" s="55" t="s">
        <v>2666</v>
      </c>
      <c r="H130" s="54" t="str">
        <f ca="1">IFERROR(__xludf.DUMMYFUNCTION("VLOOKUP(G130, IMPORTRANGE(""https://docs.google.com/spreadsheets/d/14deopnvwcrKtEGCKuYXdUHJbeLDZlkiSSWWT0g7x2pM/edit#gid=849066331"", ""LU List Science (Filter)!A:B""), 2, FALSE)"),"Displacement reaction of metals and their reactivity series")</f>
        <v>Displacement reaction of metals and their reactivity series</v>
      </c>
      <c r="I130" s="55" t="str">
        <f t="shared" si="0"/>
        <v>LU006558.001</v>
      </c>
      <c r="J130" s="55" t="str">
        <f ca="1">IFERROR(__xludf.DUMMYFUNCTION("VLOOKUP(I130, IMPORTRANGE(""https://docs.google.com/spreadsheets/d/1yDAaXNsi4Mr5FtRQL4tbmSdIzhx6_m4wkOD7IG-k_eo/edit#gid=1336395716"", ""Science!M:N""), 2, FALSE)"),"(LU006558.001); Default - Remember")</f>
        <v>(LU006558.001); Default - Remember</v>
      </c>
      <c r="K130" s="55" t="str">
        <f t="shared" si="1"/>
        <v>LU006558.002</v>
      </c>
      <c r="L130" s="55" t="str">
        <f ca="1">IFERROR(__xludf.DUMMYFUNCTION("VLOOKUP(K130, IMPORTRANGE(""https://docs.google.com/spreadsheets/d/1yDAaXNsi4Mr5FtRQL4tbmSdIzhx6_m4wkOD7IG-k_eo/edit#gid=1336395716"", ""Science!M:N""), 2, FALSE)"),"(LU006558.002); Default - Understand")</f>
        <v>(LU006558.002); Default - Understand</v>
      </c>
      <c r="M130" s="55" t="str">
        <f t="shared" si="2"/>
        <v>LU006558.003</v>
      </c>
      <c r="N130" s="55" t="str">
        <f ca="1">IFERROR(__xludf.DUMMYFUNCTION("VLOOKUP(M130, IMPORTRANGE(""https://docs.google.com/spreadsheets/d/1yDAaXNsi4Mr5FtRQL4tbmSdIzhx6_m4wkOD7IG-k_eo/edit#gid=1336395716"", ""Science!M:N""), 2, FALSE)"),"(LU006558.003); Default - Apply")</f>
        <v>(LU006558.003); Default - Apply</v>
      </c>
      <c r="O130" s="55" t="str">
        <f t="shared" si="3"/>
        <v>LU006558.004</v>
      </c>
      <c r="P130" s="55" t="str">
        <f ca="1">IFERROR(__xludf.DUMMYFUNCTION("VLOOKUP(O130, IMPORTRANGE(""https://docs.google.com/spreadsheets/d/1yDAaXNsi4Mr5FtRQL4tbmSdIzhx6_m4wkOD7IG-k_eo/edit#gid=1336395716"", ""Science!M:N""), 2, FALSE)"),"(LU006558.004); Default - Analyse")</f>
        <v>(LU006558.004); Default - Analyse</v>
      </c>
      <c r="Q130" s="55" t="str">
        <f t="shared" si="4"/>
        <v>LU006558.005</v>
      </c>
      <c r="R130" s="55" t="str">
        <f ca="1">IFERROR(__xludf.DUMMYFUNCTION("VLOOKUP(Q130, IMPORTRANGE(""https://docs.google.com/spreadsheets/d/1yDAaXNsi4Mr5FtRQL4tbmSdIzhx6_m4wkOD7IG-k_eo/edit#gid=1336395716"", ""Science!M:N""), 2, FALSE)"),"(LU006558.005); Default - Evaluate")</f>
        <v>(LU006558.005); Default - Evaluate</v>
      </c>
      <c r="S130" s="55" t="str">
        <f t="shared" si="5"/>
        <v>LU006558.006</v>
      </c>
      <c r="T130" s="55" t="str">
        <f ca="1">IFERROR(__xludf.DUMMYFUNCTION("VLOOKUP(S130, IMPORTRANGE(""https://docs.google.com/spreadsheets/d/1yDAaXNsi4Mr5FtRQL4tbmSdIzhx6_m4wkOD7IG-k_eo/edit#gid=1336395716"", ""Science!M:N""), 2, FALSE)"),"(LU006558.006); Default - Create")</f>
        <v>(LU006558.006); Default - Create</v>
      </c>
      <c r="U130" s="137" t="str">
        <f ca="1">IFERROR(__xludf.DUMMYFUNCTION("ArrayFormula(VLOOKUP(G130, IMPORTRANGE(""https://docs.google.com/spreadsheets/d/1p7R4vtkWt5VOBim4ltsDG9KTzSjrtKXsMtQGXPHyND0/edit#gid=795171502"", ""'Filter 30_05_2024'!A1:M2000""), {2, 3, 4, 5,6,7,8,9,10,11,12,13}, 0))"),"#N/A")</f>
        <v>#N/A</v>
      </c>
      <c r="V130" s="137" t="str">
        <f ca="1">IFERROR(__xludf.DUMMYFUNCTION("""COMPUTED_VALUE"""),"#N/A")</f>
        <v>#N/A</v>
      </c>
      <c r="W130" s="137" t="str">
        <f ca="1">IFERROR(__xludf.DUMMYFUNCTION("""COMPUTED_VALUE"""),"#N/A")</f>
        <v>#N/A</v>
      </c>
      <c r="X130" s="137" t="str">
        <f ca="1">IFERROR(__xludf.DUMMYFUNCTION("""COMPUTED_VALUE"""),"#N/A")</f>
        <v>#N/A</v>
      </c>
      <c r="Y130" s="137" t="str">
        <f ca="1">IFERROR(__xludf.DUMMYFUNCTION("""COMPUTED_VALUE"""),"#N/A")</f>
        <v>#N/A</v>
      </c>
      <c r="Z130" s="138" t="str">
        <f ca="1">IFERROR(__xludf.DUMMYFUNCTION("""COMPUTED_VALUE"""),"#N/A")</f>
        <v>#N/A</v>
      </c>
      <c r="AA130" s="138" t="str">
        <f ca="1">IFERROR(__xludf.DUMMYFUNCTION("""COMPUTED_VALUE"""),"#N/A")</f>
        <v>#N/A</v>
      </c>
      <c r="AB130" s="138" t="str">
        <f ca="1">IFERROR(__xludf.DUMMYFUNCTION("""COMPUTED_VALUE"""),"#N/A")</f>
        <v>#N/A</v>
      </c>
      <c r="AC130" s="138" t="str">
        <f ca="1">IFERROR(__xludf.DUMMYFUNCTION("""COMPUTED_VALUE"""),"#N/A")</f>
        <v>#N/A</v>
      </c>
      <c r="AD130" s="138" t="str">
        <f ca="1">IFERROR(__xludf.DUMMYFUNCTION("""COMPUTED_VALUE"""),"#N/A")</f>
        <v>#N/A</v>
      </c>
      <c r="AE130" s="138" t="str">
        <f ca="1">IFERROR(__xludf.DUMMYFUNCTION("""COMPUTED_VALUE"""),"#N/A")</f>
        <v>#N/A</v>
      </c>
      <c r="AF130" s="138" t="str">
        <f ca="1">IFERROR(__xludf.DUMMYFUNCTION("""COMPUTED_VALUE"""),"#N/A")</f>
        <v>#N/A</v>
      </c>
      <c r="AG130" s="138" t="str">
        <f ca="1">IFERROR(__xludf.DUMMYFUNCTION("ArrayFormula(VLOOKUP(G130, IMPORTRANGE(""https://docs.google.com/spreadsheets/d/1Co934fvtviyaRiMsrIlT05Jaq7iiYq07aLvRr35KA48/edit?gid=173865642#gid=173865642"", ""'G10_Sci_Pri_LU'!G2:V2000""), {3, 4, 5, 6, 7, 8, 9, 10, 11, 12, 13, 14, 15, 16}, 0))"),"LU006557")</f>
        <v>LU006557</v>
      </c>
      <c r="AH130" s="138" t="str">
        <f ca="1">IFERROR(__xludf.DUMMYFUNCTION("""COMPUTED_VALUE"""),"Reaction of metal with acids and infer reactivity of metals")</f>
        <v>Reaction of metal with acids and infer reactivity of metals</v>
      </c>
      <c r="AI130" s="138"/>
      <c r="AJ130" s="138"/>
      <c r="AK130" s="138"/>
      <c r="AL130" s="138"/>
      <c r="AM130" s="138"/>
      <c r="AN130" s="138"/>
      <c r="AO130" s="138"/>
      <c r="AP130" s="138"/>
      <c r="AQ130" s="138"/>
      <c r="AR130" s="138"/>
      <c r="AS130" s="138"/>
      <c r="AT130" s="138"/>
    </row>
    <row r="131" spans="1:46">
      <c r="A131" s="54" t="s">
        <v>247</v>
      </c>
      <c r="B131" s="55" t="s">
        <v>47</v>
      </c>
      <c r="C131" s="55" t="s">
        <v>1172</v>
      </c>
      <c r="D131" s="138" t="s">
        <v>1441</v>
      </c>
      <c r="E131" s="54" t="s">
        <v>2654</v>
      </c>
      <c r="F131" s="55" t="s">
        <v>2667</v>
      </c>
      <c r="G131" s="55" t="s">
        <v>2668</v>
      </c>
      <c r="H131" s="54" t="str">
        <f ca="1">IFERROR(__xludf.DUMMYFUNCTION("VLOOKUP(G131, IMPORTRANGE(""https://docs.google.com/spreadsheets/d/14deopnvwcrKtEGCKuYXdUHJbeLDZlkiSSWWT0g7x2pM/edit#gid=849066331"", ""LU List Science (Filter)!A:B""), 2, FALSE)"),"Reaction between metal and non-metals")</f>
        <v>Reaction between metal and non-metals</v>
      </c>
      <c r="I131" s="55" t="str">
        <f t="shared" si="0"/>
        <v>LU006559.001</v>
      </c>
      <c r="J131" s="55" t="str">
        <f ca="1">IFERROR(__xludf.DUMMYFUNCTION("VLOOKUP(I131, IMPORTRANGE(""https://docs.google.com/spreadsheets/d/1yDAaXNsi4Mr5FtRQL4tbmSdIzhx6_m4wkOD7IG-k_eo/edit#gid=1336395716"", ""Science!M:N""), 2, FALSE)"),"(LU006559.001); Default - Remember")</f>
        <v>(LU006559.001); Default - Remember</v>
      </c>
      <c r="K131" s="55" t="str">
        <f t="shared" si="1"/>
        <v>LU006559.002</v>
      </c>
      <c r="L131" s="55" t="str">
        <f ca="1">IFERROR(__xludf.DUMMYFUNCTION("VLOOKUP(K131, IMPORTRANGE(""https://docs.google.com/spreadsheets/d/1yDAaXNsi4Mr5FtRQL4tbmSdIzhx6_m4wkOD7IG-k_eo/edit#gid=1336395716"", ""Science!M:N""), 2, FALSE)"),"(LU006559.002); Default - Understand")</f>
        <v>(LU006559.002); Default - Understand</v>
      </c>
      <c r="M131" s="55" t="str">
        <f t="shared" si="2"/>
        <v>LU006559.003</v>
      </c>
      <c r="N131" s="55" t="str">
        <f ca="1">IFERROR(__xludf.DUMMYFUNCTION("VLOOKUP(M131, IMPORTRANGE(""https://docs.google.com/spreadsheets/d/1yDAaXNsi4Mr5FtRQL4tbmSdIzhx6_m4wkOD7IG-k_eo/edit#gid=1336395716"", ""Science!M:N""), 2, FALSE)"),"(LU006559.003); Default - Apply")</f>
        <v>(LU006559.003); Default - Apply</v>
      </c>
      <c r="O131" s="55" t="str">
        <f t="shared" si="3"/>
        <v>LU006559.004</v>
      </c>
      <c r="P131" s="55" t="str">
        <f ca="1">IFERROR(__xludf.DUMMYFUNCTION("VLOOKUP(O131, IMPORTRANGE(""https://docs.google.com/spreadsheets/d/1yDAaXNsi4Mr5FtRQL4tbmSdIzhx6_m4wkOD7IG-k_eo/edit#gid=1336395716"", ""Science!M:N""), 2, FALSE)"),"(LU006559.004); Default - Analyse")</f>
        <v>(LU006559.004); Default - Analyse</v>
      </c>
      <c r="Q131" s="55" t="str">
        <f t="shared" si="4"/>
        <v>LU006559.005</v>
      </c>
      <c r="R131" s="55" t="str">
        <f ca="1">IFERROR(__xludf.DUMMYFUNCTION("VLOOKUP(Q131, IMPORTRANGE(""https://docs.google.com/spreadsheets/d/1yDAaXNsi4Mr5FtRQL4tbmSdIzhx6_m4wkOD7IG-k_eo/edit#gid=1336395716"", ""Science!M:N""), 2, FALSE)"),"(LU006559.005); Default - Evaluate")</f>
        <v>(LU006559.005); Default - Evaluate</v>
      </c>
      <c r="S131" s="55" t="str">
        <f t="shared" si="5"/>
        <v>LU006559.006</v>
      </c>
      <c r="T131" s="55" t="str">
        <f ca="1">IFERROR(__xludf.DUMMYFUNCTION("VLOOKUP(S131, IMPORTRANGE(""https://docs.google.com/spreadsheets/d/1yDAaXNsi4Mr5FtRQL4tbmSdIzhx6_m4wkOD7IG-k_eo/edit#gid=1336395716"", ""Science!M:N""), 2, FALSE)"),"(LU006559.006); Default - Create")</f>
        <v>(LU006559.006); Default - Create</v>
      </c>
      <c r="U131" s="137" t="str">
        <f ca="1">IFERROR(__xludf.DUMMYFUNCTION("ArrayFormula(VLOOKUP(G131, IMPORTRANGE(""https://docs.google.com/spreadsheets/d/1p7R4vtkWt5VOBim4ltsDG9KTzSjrtKXsMtQGXPHyND0/edit#gid=795171502"", ""'Filter 30_05_2024'!A1:M2000""), {2, 3, 4, 5,6,7,8,9,10,11,12,13}, 0))"),"#N/A")</f>
        <v>#N/A</v>
      </c>
      <c r="V131" s="137" t="str">
        <f ca="1">IFERROR(__xludf.DUMMYFUNCTION("""COMPUTED_VALUE"""),"#N/A")</f>
        <v>#N/A</v>
      </c>
      <c r="W131" s="137" t="str">
        <f ca="1">IFERROR(__xludf.DUMMYFUNCTION("""COMPUTED_VALUE"""),"#N/A")</f>
        <v>#N/A</v>
      </c>
      <c r="X131" s="137" t="str">
        <f ca="1">IFERROR(__xludf.DUMMYFUNCTION("""COMPUTED_VALUE"""),"#N/A")</f>
        <v>#N/A</v>
      </c>
      <c r="Y131" s="137" t="str">
        <f ca="1">IFERROR(__xludf.DUMMYFUNCTION("""COMPUTED_VALUE"""),"#N/A")</f>
        <v>#N/A</v>
      </c>
      <c r="Z131" s="138" t="str">
        <f ca="1">IFERROR(__xludf.DUMMYFUNCTION("""COMPUTED_VALUE"""),"#N/A")</f>
        <v>#N/A</v>
      </c>
      <c r="AA131" s="138" t="str">
        <f ca="1">IFERROR(__xludf.DUMMYFUNCTION("""COMPUTED_VALUE"""),"#N/A")</f>
        <v>#N/A</v>
      </c>
      <c r="AB131" s="138" t="str">
        <f ca="1">IFERROR(__xludf.DUMMYFUNCTION("""COMPUTED_VALUE"""),"#N/A")</f>
        <v>#N/A</v>
      </c>
      <c r="AC131" s="138" t="str">
        <f ca="1">IFERROR(__xludf.DUMMYFUNCTION("""COMPUTED_VALUE"""),"#N/A")</f>
        <v>#N/A</v>
      </c>
      <c r="AD131" s="138" t="str">
        <f ca="1">IFERROR(__xludf.DUMMYFUNCTION("""COMPUTED_VALUE"""),"#N/A")</f>
        <v>#N/A</v>
      </c>
      <c r="AE131" s="138" t="str">
        <f ca="1">IFERROR(__xludf.DUMMYFUNCTION("""COMPUTED_VALUE"""),"#N/A")</f>
        <v>#N/A</v>
      </c>
      <c r="AF131" s="138" t="str">
        <f ca="1">IFERROR(__xludf.DUMMYFUNCTION("""COMPUTED_VALUE"""),"#N/A")</f>
        <v>#N/A</v>
      </c>
      <c r="AG131" s="138" t="str">
        <f ca="1">IFERROR(__xludf.DUMMYFUNCTION("ArrayFormula(VLOOKUP(G131, IMPORTRANGE(""https://docs.google.com/spreadsheets/d/1Co934fvtviyaRiMsrIlT05Jaq7iiYq07aLvRr35KA48/edit?gid=173865642#gid=173865642"", ""'G10_Sci_Pri_LU'!G2:V2000""), {3, 4, 5, 6, 7, 8, 9, 10, 11, 12, 13, 14, 15, 16}, 0))"),"LU006558")</f>
        <v>LU006558</v>
      </c>
      <c r="AH131" s="138" t="str">
        <f ca="1">IFERROR(__xludf.DUMMYFUNCTION("""COMPUTED_VALUE"""),"Displacement reaction of metals and their reactivity series")</f>
        <v>Displacement reaction of metals and their reactivity series</v>
      </c>
      <c r="AI131" s="138"/>
      <c r="AJ131" s="138"/>
      <c r="AK131" s="138"/>
      <c r="AL131" s="138"/>
      <c r="AM131" s="138"/>
      <c r="AN131" s="138"/>
      <c r="AO131" s="138"/>
      <c r="AP131" s="138"/>
      <c r="AQ131" s="138"/>
      <c r="AR131" s="138"/>
      <c r="AS131" s="138"/>
      <c r="AT131" s="138"/>
    </row>
    <row r="132" spans="1:46">
      <c r="A132" s="54" t="s">
        <v>247</v>
      </c>
      <c r="B132" s="55" t="s">
        <v>47</v>
      </c>
      <c r="C132" s="55" t="s">
        <v>1172</v>
      </c>
      <c r="D132" s="138" t="s">
        <v>1441</v>
      </c>
      <c r="E132" s="54" t="s">
        <v>2654</v>
      </c>
      <c r="F132" s="55" t="s">
        <v>2667</v>
      </c>
      <c r="G132" s="55" t="s">
        <v>2669</v>
      </c>
      <c r="H132" s="54" t="str">
        <f ca="1">IFERROR(__xludf.DUMMYFUNCTION("VLOOKUP(G132, IMPORTRANGE(""https://docs.google.com/spreadsheets/d/14deopnvwcrKtEGCKuYXdUHJbeLDZlkiSSWWT0g7x2pM/edit#gid=849066331"", ""LU List Science (Filter)!A:B""), 2, FALSE)"),"Properties of ionic compounds")</f>
        <v>Properties of ionic compounds</v>
      </c>
      <c r="I132" s="55" t="str">
        <f t="shared" si="0"/>
        <v>LU006560.001</v>
      </c>
      <c r="J132" s="55" t="str">
        <f ca="1">IFERROR(__xludf.DUMMYFUNCTION("VLOOKUP(I132, IMPORTRANGE(""https://docs.google.com/spreadsheets/d/1yDAaXNsi4Mr5FtRQL4tbmSdIzhx6_m4wkOD7IG-k_eo/edit#gid=1336395716"", ""Science!M:N""), 2, FALSE)"),"(LU006560.001); Default - Remember")</f>
        <v>(LU006560.001); Default - Remember</v>
      </c>
      <c r="K132" s="55" t="str">
        <f t="shared" si="1"/>
        <v>LU006560.002</v>
      </c>
      <c r="L132" s="55" t="str">
        <f ca="1">IFERROR(__xludf.DUMMYFUNCTION("VLOOKUP(K132, IMPORTRANGE(""https://docs.google.com/spreadsheets/d/1yDAaXNsi4Mr5FtRQL4tbmSdIzhx6_m4wkOD7IG-k_eo/edit#gid=1336395716"", ""Science!M:N""), 2, FALSE)"),"(LU006560.002); Default - Understand")</f>
        <v>(LU006560.002); Default - Understand</v>
      </c>
      <c r="M132" s="55" t="str">
        <f t="shared" si="2"/>
        <v>LU006560.003</v>
      </c>
      <c r="N132" s="55" t="str">
        <f ca="1">IFERROR(__xludf.DUMMYFUNCTION("VLOOKUP(M132, IMPORTRANGE(""https://docs.google.com/spreadsheets/d/1yDAaXNsi4Mr5FtRQL4tbmSdIzhx6_m4wkOD7IG-k_eo/edit#gid=1336395716"", ""Science!M:N""), 2, FALSE)"),"(LU006560.003); Default - Apply")</f>
        <v>(LU006560.003); Default - Apply</v>
      </c>
      <c r="O132" s="55" t="str">
        <f t="shared" si="3"/>
        <v>LU006560.004</v>
      </c>
      <c r="P132" s="55" t="str">
        <f ca="1">IFERROR(__xludf.DUMMYFUNCTION("VLOOKUP(O132, IMPORTRANGE(""https://docs.google.com/spreadsheets/d/1yDAaXNsi4Mr5FtRQL4tbmSdIzhx6_m4wkOD7IG-k_eo/edit#gid=1336395716"", ""Science!M:N""), 2, FALSE)"),"(LU006560.004); Default - Analyse")</f>
        <v>(LU006560.004); Default - Analyse</v>
      </c>
      <c r="Q132" s="55" t="str">
        <f t="shared" si="4"/>
        <v>LU006560.005</v>
      </c>
      <c r="R132" s="55" t="str">
        <f ca="1">IFERROR(__xludf.DUMMYFUNCTION("VLOOKUP(Q132, IMPORTRANGE(""https://docs.google.com/spreadsheets/d/1yDAaXNsi4Mr5FtRQL4tbmSdIzhx6_m4wkOD7IG-k_eo/edit#gid=1336395716"", ""Science!M:N""), 2, FALSE)"),"(LU006560.005); Default - Evaluate")</f>
        <v>(LU006560.005); Default - Evaluate</v>
      </c>
      <c r="S132" s="55" t="str">
        <f t="shared" si="5"/>
        <v>LU006560.006</v>
      </c>
      <c r="T132" s="55" t="str">
        <f ca="1">IFERROR(__xludf.DUMMYFUNCTION("VLOOKUP(S132, IMPORTRANGE(""https://docs.google.com/spreadsheets/d/1yDAaXNsi4Mr5FtRQL4tbmSdIzhx6_m4wkOD7IG-k_eo/edit#gid=1336395716"", ""Science!M:N""), 2, FALSE)"),"(LU006560.006); Default - Create")</f>
        <v>(LU006560.006); Default - Create</v>
      </c>
      <c r="U132" s="137" t="str">
        <f ca="1">IFERROR(__xludf.DUMMYFUNCTION("ArrayFormula(VLOOKUP(G132, IMPORTRANGE(""https://docs.google.com/spreadsheets/d/1p7R4vtkWt5VOBim4ltsDG9KTzSjrtKXsMtQGXPHyND0/edit#gid=795171502"", ""'Filter 30_05_2024'!A1:M2000""), {2, 3, 4, 5,6,7,8,9,10,11,12,13}, 0))"),"#N/A")</f>
        <v>#N/A</v>
      </c>
      <c r="V132" s="137" t="str">
        <f ca="1">IFERROR(__xludf.DUMMYFUNCTION("""COMPUTED_VALUE"""),"#N/A")</f>
        <v>#N/A</v>
      </c>
      <c r="W132" s="137" t="str">
        <f ca="1">IFERROR(__xludf.DUMMYFUNCTION("""COMPUTED_VALUE"""),"#N/A")</f>
        <v>#N/A</v>
      </c>
      <c r="X132" s="137" t="str">
        <f ca="1">IFERROR(__xludf.DUMMYFUNCTION("""COMPUTED_VALUE"""),"#N/A")</f>
        <v>#N/A</v>
      </c>
      <c r="Y132" s="137" t="str">
        <f ca="1">IFERROR(__xludf.DUMMYFUNCTION("""COMPUTED_VALUE"""),"#N/A")</f>
        <v>#N/A</v>
      </c>
      <c r="Z132" s="138" t="str">
        <f ca="1">IFERROR(__xludf.DUMMYFUNCTION("""COMPUTED_VALUE"""),"#N/A")</f>
        <v>#N/A</v>
      </c>
      <c r="AA132" s="138" t="str">
        <f ca="1">IFERROR(__xludf.DUMMYFUNCTION("""COMPUTED_VALUE"""),"#N/A")</f>
        <v>#N/A</v>
      </c>
      <c r="AB132" s="138" t="str">
        <f ca="1">IFERROR(__xludf.DUMMYFUNCTION("""COMPUTED_VALUE"""),"#N/A")</f>
        <v>#N/A</v>
      </c>
      <c r="AC132" s="138" t="str">
        <f ca="1">IFERROR(__xludf.DUMMYFUNCTION("""COMPUTED_VALUE"""),"#N/A")</f>
        <v>#N/A</v>
      </c>
      <c r="AD132" s="138" t="str">
        <f ca="1">IFERROR(__xludf.DUMMYFUNCTION("""COMPUTED_VALUE"""),"#N/A")</f>
        <v>#N/A</v>
      </c>
      <c r="AE132" s="138" t="str">
        <f ca="1">IFERROR(__xludf.DUMMYFUNCTION("""COMPUTED_VALUE"""),"#N/A")</f>
        <v>#N/A</v>
      </c>
      <c r="AF132" s="138" t="str">
        <f ca="1">IFERROR(__xludf.DUMMYFUNCTION("""COMPUTED_VALUE"""),"#N/A")</f>
        <v>#N/A</v>
      </c>
      <c r="AG132" s="138" t="str">
        <f ca="1">IFERROR(__xludf.DUMMYFUNCTION("ArrayFormula(VLOOKUP(G132, IMPORTRANGE(""https://docs.google.com/spreadsheets/d/1Co934fvtviyaRiMsrIlT05Jaq7iiYq07aLvRr35KA48/edit?gid=173865642#gid=173865642"", ""'G10_Sci_Pri_LU'!G2:V2000""), {3, 4, 5, 6, 7, 8, 9, 10, 11, 12, 13, 14, 15, 16}, 0))"),"LU006559")</f>
        <v>LU006559</v>
      </c>
      <c r="AH132" s="138" t="str">
        <f ca="1">IFERROR(__xludf.DUMMYFUNCTION("""COMPUTED_VALUE"""),"Reaction between metal and non-metals")</f>
        <v>Reaction between metal and non-metals</v>
      </c>
      <c r="AI132" s="138"/>
      <c r="AJ132" s="138"/>
      <c r="AK132" s="138"/>
      <c r="AL132" s="138"/>
      <c r="AM132" s="138"/>
      <c r="AN132" s="138"/>
      <c r="AO132" s="138"/>
      <c r="AP132" s="138"/>
      <c r="AQ132" s="138"/>
      <c r="AR132" s="138"/>
      <c r="AS132" s="138"/>
      <c r="AT132" s="138"/>
    </row>
    <row r="133" spans="1:46">
      <c r="A133" s="54" t="s">
        <v>247</v>
      </c>
      <c r="B133" s="55" t="s">
        <v>47</v>
      </c>
      <c r="C133" s="55" t="s">
        <v>1172</v>
      </c>
      <c r="D133" s="138" t="s">
        <v>1441</v>
      </c>
      <c r="E133" s="54" t="s">
        <v>2654</v>
      </c>
      <c r="F133" s="55" t="s">
        <v>2670</v>
      </c>
      <c r="G133" s="55" t="s">
        <v>2671</v>
      </c>
      <c r="H133" s="54" t="str">
        <f ca="1">IFERROR(__xludf.DUMMYFUNCTION("VLOOKUP(G133, IMPORTRANGE(""https://docs.google.com/spreadsheets/d/14deopnvwcrKtEGCKuYXdUHJbeLDZlkiSSWWT0g7x2pM/edit#gid=849066331"", ""LU List Science (Filter)!A:B""), 2, FALSE)"),"Occurence of metals based on reactivity")</f>
        <v>Occurence of metals based on reactivity</v>
      </c>
      <c r="I133" s="55" t="str">
        <f t="shared" si="0"/>
        <v>LU006561.001</v>
      </c>
      <c r="J133" s="55" t="str">
        <f ca="1">IFERROR(__xludf.DUMMYFUNCTION("VLOOKUP(I133, IMPORTRANGE(""https://docs.google.com/spreadsheets/d/1yDAaXNsi4Mr5FtRQL4tbmSdIzhx6_m4wkOD7IG-k_eo/edit#gid=1336395716"", ""Science!M:N""), 2, FALSE)"),"(LU006561.001); Default - Remember")</f>
        <v>(LU006561.001); Default - Remember</v>
      </c>
      <c r="K133" s="55" t="str">
        <f t="shared" si="1"/>
        <v>LU006561.002</v>
      </c>
      <c r="L133" s="55" t="str">
        <f ca="1">IFERROR(__xludf.DUMMYFUNCTION("VLOOKUP(K133, IMPORTRANGE(""https://docs.google.com/spreadsheets/d/1yDAaXNsi4Mr5FtRQL4tbmSdIzhx6_m4wkOD7IG-k_eo/edit#gid=1336395716"", ""Science!M:N""), 2, FALSE)"),"(LU006561.002); Default - Understand")</f>
        <v>(LU006561.002); Default - Understand</v>
      </c>
      <c r="M133" s="55" t="str">
        <f t="shared" si="2"/>
        <v>LU006561.003</v>
      </c>
      <c r="N133" s="55" t="str">
        <f ca="1">IFERROR(__xludf.DUMMYFUNCTION("VLOOKUP(M133, IMPORTRANGE(""https://docs.google.com/spreadsheets/d/1yDAaXNsi4Mr5FtRQL4tbmSdIzhx6_m4wkOD7IG-k_eo/edit#gid=1336395716"", ""Science!M:N""), 2, FALSE)"),"(LU006561.003); Default - Apply")</f>
        <v>(LU006561.003); Default - Apply</v>
      </c>
      <c r="O133" s="55" t="str">
        <f t="shared" si="3"/>
        <v>LU006561.004</v>
      </c>
      <c r="P133" s="55" t="str">
        <f ca="1">IFERROR(__xludf.DUMMYFUNCTION("VLOOKUP(O133, IMPORTRANGE(""https://docs.google.com/spreadsheets/d/1yDAaXNsi4Mr5FtRQL4tbmSdIzhx6_m4wkOD7IG-k_eo/edit#gid=1336395716"", ""Science!M:N""), 2, FALSE)"),"(LU006561.004); Default - Analyse")</f>
        <v>(LU006561.004); Default - Analyse</v>
      </c>
      <c r="Q133" s="55" t="str">
        <f t="shared" si="4"/>
        <v>LU006561.005</v>
      </c>
      <c r="R133" s="55" t="str">
        <f ca="1">IFERROR(__xludf.DUMMYFUNCTION("VLOOKUP(Q133, IMPORTRANGE(""https://docs.google.com/spreadsheets/d/1yDAaXNsi4Mr5FtRQL4tbmSdIzhx6_m4wkOD7IG-k_eo/edit#gid=1336395716"", ""Science!M:N""), 2, FALSE)"),"(LU006561.005); Default - Evaluate")</f>
        <v>(LU006561.005); Default - Evaluate</v>
      </c>
      <c r="S133" s="55" t="str">
        <f t="shared" si="5"/>
        <v>LU006561.006</v>
      </c>
      <c r="T133" s="55" t="str">
        <f ca="1">IFERROR(__xludf.DUMMYFUNCTION("VLOOKUP(S133, IMPORTRANGE(""https://docs.google.com/spreadsheets/d/1yDAaXNsi4Mr5FtRQL4tbmSdIzhx6_m4wkOD7IG-k_eo/edit#gid=1336395716"", ""Science!M:N""), 2, FALSE)"),"(LU006561.006); Default - Create")</f>
        <v>(LU006561.006); Default - Create</v>
      </c>
      <c r="U133" s="137" t="str">
        <f ca="1">IFERROR(__xludf.DUMMYFUNCTION("ArrayFormula(VLOOKUP(G133, IMPORTRANGE(""https://docs.google.com/spreadsheets/d/1p7R4vtkWt5VOBim4ltsDG9KTzSjrtKXsMtQGXPHyND0/edit#gid=795171502"", ""'Filter 30_05_2024'!A1:M2000""), {2, 3, 4, 5,6,7,8,9,10,11,12,13}, 0))"),"#N/A")</f>
        <v>#N/A</v>
      </c>
      <c r="V133" s="137" t="str">
        <f ca="1">IFERROR(__xludf.DUMMYFUNCTION("""COMPUTED_VALUE"""),"#N/A")</f>
        <v>#N/A</v>
      </c>
      <c r="W133" s="137" t="str">
        <f ca="1">IFERROR(__xludf.DUMMYFUNCTION("""COMPUTED_VALUE"""),"#N/A")</f>
        <v>#N/A</v>
      </c>
      <c r="X133" s="137" t="str">
        <f ca="1">IFERROR(__xludf.DUMMYFUNCTION("""COMPUTED_VALUE"""),"#N/A")</f>
        <v>#N/A</v>
      </c>
      <c r="Y133" s="137" t="str">
        <f ca="1">IFERROR(__xludf.DUMMYFUNCTION("""COMPUTED_VALUE"""),"#N/A")</f>
        <v>#N/A</v>
      </c>
      <c r="Z133" s="138" t="str">
        <f ca="1">IFERROR(__xludf.DUMMYFUNCTION("""COMPUTED_VALUE"""),"#N/A")</f>
        <v>#N/A</v>
      </c>
      <c r="AA133" s="138" t="str">
        <f ca="1">IFERROR(__xludf.DUMMYFUNCTION("""COMPUTED_VALUE"""),"#N/A")</f>
        <v>#N/A</v>
      </c>
      <c r="AB133" s="138" t="str">
        <f ca="1">IFERROR(__xludf.DUMMYFUNCTION("""COMPUTED_VALUE"""),"#N/A")</f>
        <v>#N/A</v>
      </c>
      <c r="AC133" s="138" t="str">
        <f ca="1">IFERROR(__xludf.DUMMYFUNCTION("""COMPUTED_VALUE"""),"#N/A")</f>
        <v>#N/A</v>
      </c>
      <c r="AD133" s="138" t="str">
        <f ca="1">IFERROR(__xludf.DUMMYFUNCTION("""COMPUTED_VALUE"""),"#N/A")</f>
        <v>#N/A</v>
      </c>
      <c r="AE133" s="138" t="str">
        <f ca="1">IFERROR(__xludf.DUMMYFUNCTION("""COMPUTED_VALUE"""),"#N/A")</f>
        <v>#N/A</v>
      </c>
      <c r="AF133" s="138" t="str">
        <f ca="1">IFERROR(__xludf.DUMMYFUNCTION("""COMPUTED_VALUE"""),"#N/A")</f>
        <v>#N/A</v>
      </c>
      <c r="AG133" s="138" t="str">
        <f ca="1">IFERROR(__xludf.DUMMYFUNCTION("ArrayFormula(VLOOKUP(G133, IMPORTRANGE(""https://docs.google.com/spreadsheets/d/1Co934fvtviyaRiMsrIlT05Jaq7iiYq07aLvRr35KA48/edit?gid=173865642#gid=173865642"", ""'G10_Sci_Pri_LU'!G2:V2000""), {3, 4, 5, 6, 7, 8, 9, 10, 11, 12, 13, 14, 15, 16}, 0))"),"LU006557")</f>
        <v>LU006557</v>
      </c>
      <c r="AH133" s="138" t="str">
        <f ca="1">IFERROR(__xludf.DUMMYFUNCTION("""COMPUTED_VALUE"""),"Reaction of metal with acids and infer reactivity of metals")</f>
        <v>Reaction of metal with acids and infer reactivity of metals</v>
      </c>
      <c r="AI133" s="138"/>
      <c r="AJ133" s="138"/>
      <c r="AK133" s="138"/>
      <c r="AL133" s="138"/>
      <c r="AM133" s="138"/>
      <c r="AN133" s="138"/>
      <c r="AO133" s="138"/>
      <c r="AP133" s="138"/>
      <c r="AQ133" s="138"/>
      <c r="AR133" s="138"/>
      <c r="AS133" s="138"/>
      <c r="AT133" s="138"/>
    </row>
    <row r="134" spans="1:46">
      <c r="A134" s="54" t="s">
        <v>247</v>
      </c>
      <c r="B134" s="55" t="s">
        <v>47</v>
      </c>
      <c r="C134" s="55" t="s">
        <v>1172</v>
      </c>
      <c r="D134" s="138" t="s">
        <v>1441</v>
      </c>
      <c r="E134" s="54" t="s">
        <v>2654</v>
      </c>
      <c r="F134" s="55" t="s">
        <v>2672</v>
      </c>
      <c r="G134" s="55" t="s">
        <v>2673</v>
      </c>
      <c r="H134" s="54" t="str">
        <f ca="1">IFERROR(__xludf.DUMMYFUNCTION("VLOOKUP(G134, IMPORTRANGE(""https://docs.google.com/spreadsheets/d/14deopnvwcrKtEGCKuYXdUHJbeLDZlkiSSWWT0g7x2pM/edit#gid=849066331"", ""LU List Science (Filter)!A:B""), 2, FALSE)"),"Extraction of metals low in the activity series")</f>
        <v>Extraction of metals low in the activity series</v>
      </c>
      <c r="I134" s="55" t="str">
        <f t="shared" si="0"/>
        <v>LU006562.001</v>
      </c>
      <c r="J134" s="55" t="str">
        <f ca="1">IFERROR(__xludf.DUMMYFUNCTION("VLOOKUP(I134, IMPORTRANGE(""https://docs.google.com/spreadsheets/d/1yDAaXNsi4Mr5FtRQL4tbmSdIzhx6_m4wkOD7IG-k_eo/edit#gid=1336395716"", ""Science!M:N""), 2, FALSE)"),"(LU006562.001); Default - Remember")</f>
        <v>(LU006562.001); Default - Remember</v>
      </c>
      <c r="K134" s="55" t="str">
        <f t="shared" si="1"/>
        <v>LU006562.002</v>
      </c>
      <c r="L134" s="55" t="str">
        <f ca="1">IFERROR(__xludf.DUMMYFUNCTION("VLOOKUP(K134, IMPORTRANGE(""https://docs.google.com/spreadsheets/d/1yDAaXNsi4Mr5FtRQL4tbmSdIzhx6_m4wkOD7IG-k_eo/edit#gid=1336395716"", ""Science!M:N""), 2, FALSE)"),"(LU006562.002); Default - Understand")</f>
        <v>(LU006562.002); Default - Understand</v>
      </c>
      <c r="M134" s="55" t="str">
        <f t="shared" si="2"/>
        <v>LU006562.003</v>
      </c>
      <c r="N134" s="55" t="str">
        <f ca="1">IFERROR(__xludf.DUMMYFUNCTION("VLOOKUP(M134, IMPORTRANGE(""https://docs.google.com/spreadsheets/d/1yDAaXNsi4Mr5FtRQL4tbmSdIzhx6_m4wkOD7IG-k_eo/edit#gid=1336395716"", ""Science!M:N""), 2, FALSE)"),"(LU006562.003); Default - Apply")</f>
        <v>(LU006562.003); Default - Apply</v>
      </c>
      <c r="O134" s="55" t="str">
        <f t="shared" si="3"/>
        <v>LU006562.004</v>
      </c>
      <c r="P134" s="55" t="str">
        <f ca="1">IFERROR(__xludf.DUMMYFUNCTION("VLOOKUP(O134, IMPORTRANGE(""https://docs.google.com/spreadsheets/d/1yDAaXNsi4Mr5FtRQL4tbmSdIzhx6_m4wkOD7IG-k_eo/edit#gid=1336395716"", ""Science!M:N""), 2, FALSE)"),"(LU006562.004); Default - Analyse")</f>
        <v>(LU006562.004); Default - Analyse</v>
      </c>
      <c r="Q134" s="55" t="str">
        <f t="shared" si="4"/>
        <v>LU006562.005</v>
      </c>
      <c r="R134" s="55" t="str">
        <f ca="1">IFERROR(__xludf.DUMMYFUNCTION("VLOOKUP(Q134, IMPORTRANGE(""https://docs.google.com/spreadsheets/d/1yDAaXNsi4Mr5FtRQL4tbmSdIzhx6_m4wkOD7IG-k_eo/edit#gid=1336395716"", ""Science!M:N""), 2, FALSE)"),"(LU006562.005); Default - Evaluate")</f>
        <v>(LU006562.005); Default - Evaluate</v>
      </c>
      <c r="S134" s="55" t="str">
        <f t="shared" si="5"/>
        <v>LU006562.006</v>
      </c>
      <c r="T134" s="55" t="str">
        <f ca="1">IFERROR(__xludf.DUMMYFUNCTION("VLOOKUP(S134, IMPORTRANGE(""https://docs.google.com/spreadsheets/d/1yDAaXNsi4Mr5FtRQL4tbmSdIzhx6_m4wkOD7IG-k_eo/edit#gid=1336395716"", ""Science!M:N""), 2, FALSE)"),"(LU006562.006); Default - Create")</f>
        <v>(LU006562.006); Default - Create</v>
      </c>
      <c r="U134" s="137" t="str">
        <f ca="1">IFERROR(__xludf.DUMMYFUNCTION("ArrayFormula(VLOOKUP(G134, IMPORTRANGE(""https://docs.google.com/spreadsheets/d/1p7R4vtkWt5VOBim4ltsDG9KTzSjrtKXsMtQGXPHyND0/edit#gid=795171502"", ""'Filter 30_05_2024'!A1:M2000""), {2, 3, 4, 5,6,7,8,9,10,11,12,13}, 0))"),"#N/A")</f>
        <v>#N/A</v>
      </c>
      <c r="V134" s="137" t="str">
        <f ca="1">IFERROR(__xludf.DUMMYFUNCTION("""COMPUTED_VALUE"""),"#N/A")</f>
        <v>#N/A</v>
      </c>
      <c r="W134" s="137" t="str">
        <f ca="1">IFERROR(__xludf.DUMMYFUNCTION("""COMPUTED_VALUE"""),"#N/A")</f>
        <v>#N/A</v>
      </c>
      <c r="X134" s="137" t="str">
        <f ca="1">IFERROR(__xludf.DUMMYFUNCTION("""COMPUTED_VALUE"""),"#N/A")</f>
        <v>#N/A</v>
      </c>
      <c r="Y134" s="137" t="str">
        <f ca="1">IFERROR(__xludf.DUMMYFUNCTION("""COMPUTED_VALUE"""),"#N/A")</f>
        <v>#N/A</v>
      </c>
      <c r="Z134" s="138" t="str">
        <f ca="1">IFERROR(__xludf.DUMMYFUNCTION("""COMPUTED_VALUE"""),"#N/A")</f>
        <v>#N/A</v>
      </c>
      <c r="AA134" s="138" t="str">
        <f ca="1">IFERROR(__xludf.DUMMYFUNCTION("""COMPUTED_VALUE"""),"#N/A")</f>
        <v>#N/A</v>
      </c>
      <c r="AB134" s="138" t="str">
        <f ca="1">IFERROR(__xludf.DUMMYFUNCTION("""COMPUTED_VALUE"""),"#N/A")</f>
        <v>#N/A</v>
      </c>
      <c r="AC134" s="138" t="str">
        <f ca="1">IFERROR(__xludf.DUMMYFUNCTION("""COMPUTED_VALUE"""),"#N/A")</f>
        <v>#N/A</v>
      </c>
      <c r="AD134" s="138" t="str">
        <f ca="1">IFERROR(__xludf.DUMMYFUNCTION("""COMPUTED_VALUE"""),"#N/A")</f>
        <v>#N/A</v>
      </c>
      <c r="AE134" s="138" t="str">
        <f ca="1">IFERROR(__xludf.DUMMYFUNCTION("""COMPUTED_VALUE"""),"#N/A")</f>
        <v>#N/A</v>
      </c>
      <c r="AF134" s="138" t="str">
        <f ca="1">IFERROR(__xludf.DUMMYFUNCTION("""COMPUTED_VALUE"""),"#N/A")</f>
        <v>#N/A</v>
      </c>
      <c r="AG134" s="138" t="str">
        <f ca="1">IFERROR(__xludf.DUMMYFUNCTION("ArrayFormula(VLOOKUP(G134, IMPORTRANGE(""https://docs.google.com/spreadsheets/d/1Co934fvtviyaRiMsrIlT05Jaq7iiYq07aLvRr35KA48/edit?gid=173865642#gid=173865642"", ""'G10_Sci_Pri_LU'!G2:V2000""), {3, 4, 5, 6, 7, 8, 9, 10, 11, 12, 13, 14, 15, 16}, 0))"),"LU006561")</f>
        <v>LU006561</v>
      </c>
      <c r="AH134" s="138" t="str">
        <f ca="1">IFERROR(__xludf.DUMMYFUNCTION("""COMPUTED_VALUE"""),"Occurence of metals based on reactivity")</f>
        <v>Occurence of metals based on reactivity</v>
      </c>
      <c r="AI134" s="138"/>
      <c r="AJ134" s="138"/>
      <c r="AK134" s="138"/>
      <c r="AL134" s="138"/>
      <c r="AM134" s="138"/>
      <c r="AN134" s="138"/>
      <c r="AO134" s="138"/>
      <c r="AP134" s="138"/>
      <c r="AQ134" s="138"/>
      <c r="AR134" s="138"/>
      <c r="AS134" s="138"/>
      <c r="AT134" s="138"/>
    </row>
    <row r="135" spans="1:46">
      <c r="A135" s="54" t="s">
        <v>247</v>
      </c>
      <c r="B135" s="55" t="s">
        <v>47</v>
      </c>
      <c r="C135" s="55" t="s">
        <v>1172</v>
      </c>
      <c r="D135" s="138" t="s">
        <v>1441</v>
      </c>
      <c r="E135" s="54" t="s">
        <v>2654</v>
      </c>
      <c r="F135" s="55" t="s">
        <v>2672</v>
      </c>
      <c r="G135" s="55" t="s">
        <v>2674</v>
      </c>
      <c r="H135" s="54" t="str">
        <f ca="1">IFERROR(__xludf.DUMMYFUNCTION("VLOOKUP(G135, IMPORTRANGE(""https://docs.google.com/spreadsheets/d/14deopnvwcrKtEGCKuYXdUHJbeLDZlkiSSWWT0g7x2pM/edit#gid=849066331"", ""LU List Science (Filter)!A:B""), 2, FALSE)"),"Extraction of metals in the middle of the activity series")</f>
        <v>Extraction of metals in the middle of the activity series</v>
      </c>
      <c r="I135" s="55" t="str">
        <f t="shared" si="0"/>
        <v>LU006563.001</v>
      </c>
      <c r="J135" s="55" t="str">
        <f ca="1">IFERROR(__xludf.DUMMYFUNCTION("VLOOKUP(I135, IMPORTRANGE(""https://docs.google.com/spreadsheets/d/1yDAaXNsi4Mr5FtRQL4tbmSdIzhx6_m4wkOD7IG-k_eo/edit#gid=1336395716"", ""Science!M:N""), 2, FALSE)"),"(LU006563.001); Default - Remember")</f>
        <v>(LU006563.001); Default - Remember</v>
      </c>
      <c r="K135" s="55" t="str">
        <f t="shared" si="1"/>
        <v>LU006563.002</v>
      </c>
      <c r="L135" s="55" t="str">
        <f ca="1">IFERROR(__xludf.DUMMYFUNCTION("VLOOKUP(K135, IMPORTRANGE(""https://docs.google.com/spreadsheets/d/1yDAaXNsi4Mr5FtRQL4tbmSdIzhx6_m4wkOD7IG-k_eo/edit#gid=1336395716"", ""Science!M:N""), 2, FALSE)"),"(LU006563.002); Default - Understand")</f>
        <v>(LU006563.002); Default - Understand</v>
      </c>
      <c r="M135" s="55" t="str">
        <f t="shared" si="2"/>
        <v>LU006563.003</v>
      </c>
      <c r="N135" s="55" t="str">
        <f ca="1">IFERROR(__xludf.DUMMYFUNCTION("VLOOKUP(M135, IMPORTRANGE(""https://docs.google.com/spreadsheets/d/1yDAaXNsi4Mr5FtRQL4tbmSdIzhx6_m4wkOD7IG-k_eo/edit#gid=1336395716"", ""Science!M:N""), 2, FALSE)"),"(LU006563.003); Default - Apply")</f>
        <v>(LU006563.003); Default - Apply</v>
      </c>
      <c r="O135" s="55" t="str">
        <f t="shared" si="3"/>
        <v>LU006563.004</v>
      </c>
      <c r="P135" s="55" t="str">
        <f ca="1">IFERROR(__xludf.DUMMYFUNCTION("VLOOKUP(O135, IMPORTRANGE(""https://docs.google.com/spreadsheets/d/1yDAaXNsi4Mr5FtRQL4tbmSdIzhx6_m4wkOD7IG-k_eo/edit#gid=1336395716"", ""Science!M:N""), 2, FALSE)"),"(LU006563.004); Default - Analyse")</f>
        <v>(LU006563.004); Default - Analyse</v>
      </c>
      <c r="Q135" s="55" t="str">
        <f t="shared" si="4"/>
        <v>LU006563.005</v>
      </c>
      <c r="R135" s="55" t="str">
        <f ca="1">IFERROR(__xludf.DUMMYFUNCTION("VLOOKUP(Q135, IMPORTRANGE(""https://docs.google.com/spreadsheets/d/1yDAaXNsi4Mr5FtRQL4tbmSdIzhx6_m4wkOD7IG-k_eo/edit#gid=1336395716"", ""Science!M:N""), 2, FALSE)"),"(LU006563.005); Default - Evaluate")</f>
        <v>(LU006563.005); Default - Evaluate</v>
      </c>
      <c r="S135" s="55" t="str">
        <f t="shared" si="5"/>
        <v>LU006563.006</v>
      </c>
      <c r="T135" s="55" t="str">
        <f ca="1">IFERROR(__xludf.DUMMYFUNCTION("VLOOKUP(S135, IMPORTRANGE(""https://docs.google.com/spreadsheets/d/1yDAaXNsi4Mr5FtRQL4tbmSdIzhx6_m4wkOD7IG-k_eo/edit#gid=1336395716"", ""Science!M:N""), 2, FALSE)"),"(LU006563.006); Default - Create")</f>
        <v>(LU006563.006); Default - Create</v>
      </c>
      <c r="U135" s="137" t="str">
        <f ca="1">IFERROR(__xludf.DUMMYFUNCTION("ArrayFormula(VLOOKUP(G135, IMPORTRANGE(""https://docs.google.com/spreadsheets/d/1p7R4vtkWt5VOBim4ltsDG9KTzSjrtKXsMtQGXPHyND0/edit#gid=795171502"", ""'Filter 30_05_2024'!A1:M2000""), {2, 3, 4, 5,6,7,8,9,10,11,12,13}, 0))"),"#N/A")</f>
        <v>#N/A</v>
      </c>
      <c r="V135" s="137" t="str">
        <f ca="1">IFERROR(__xludf.DUMMYFUNCTION("""COMPUTED_VALUE"""),"#N/A")</f>
        <v>#N/A</v>
      </c>
      <c r="W135" s="137" t="str">
        <f ca="1">IFERROR(__xludf.DUMMYFUNCTION("""COMPUTED_VALUE"""),"#N/A")</f>
        <v>#N/A</v>
      </c>
      <c r="X135" s="137" t="str">
        <f ca="1">IFERROR(__xludf.DUMMYFUNCTION("""COMPUTED_VALUE"""),"#N/A")</f>
        <v>#N/A</v>
      </c>
      <c r="Y135" s="137" t="str">
        <f ca="1">IFERROR(__xludf.DUMMYFUNCTION("""COMPUTED_VALUE"""),"#N/A")</f>
        <v>#N/A</v>
      </c>
      <c r="Z135" s="138" t="str">
        <f ca="1">IFERROR(__xludf.DUMMYFUNCTION("""COMPUTED_VALUE"""),"#N/A")</f>
        <v>#N/A</v>
      </c>
      <c r="AA135" s="138" t="str">
        <f ca="1">IFERROR(__xludf.DUMMYFUNCTION("""COMPUTED_VALUE"""),"#N/A")</f>
        <v>#N/A</v>
      </c>
      <c r="AB135" s="138" t="str">
        <f ca="1">IFERROR(__xludf.DUMMYFUNCTION("""COMPUTED_VALUE"""),"#N/A")</f>
        <v>#N/A</v>
      </c>
      <c r="AC135" s="138" t="str">
        <f ca="1">IFERROR(__xludf.DUMMYFUNCTION("""COMPUTED_VALUE"""),"#N/A")</f>
        <v>#N/A</v>
      </c>
      <c r="AD135" s="138" t="str">
        <f ca="1">IFERROR(__xludf.DUMMYFUNCTION("""COMPUTED_VALUE"""),"#N/A")</f>
        <v>#N/A</v>
      </c>
      <c r="AE135" s="138" t="str">
        <f ca="1">IFERROR(__xludf.DUMMYFUNCTION("""COMPUTED_VALUE"""),"#N/A")</f>
        <v>#N/A</v>
      </c>
      <c r="AF135" s="138" t="str">
        <f ca="1">IFERROR(__xludf.DUMMYFUNCTION("""COMPUTED_VALUE"""),"#N/A")</f>
        <v>#N/A</v>
      </c>
      <c r="AG135" s="138" t="str">
        <f ca="1">IFERROR(__xludf.DUMMYFUNCTION("ArrayFormula(VLOOKUP(G135, IMPORTRANGE(""https://docs.google.com/spreadsheets/d/1Co934fvtviyaRiMsrIlT05Jaq7iiYq07aLvRr35KA48/edit?gid=173865642#gid=173865642"", ""'G10_Sci_Pri_LU'!G2:V2000""), {3, 4, 5, 6, 7, 8, 9, 10, 11, 12, 13, 14, 15, 16}, 0))"),"LU006562")</f>
        <v>LU006562</v>
      </c>
      <c r="AH135" s="138" t="str">
        <f ca="1">IFERROR(__xludf.DUMMYFUNCTION("""COMPUTED_VALUE"""),"Extraction of metals low in the activity series")</f>
        <v>Extraction of metals low in the activity series</v>
      </c>
      <c r="AI135" s="138"/>
      <c r="AJ135" s="138"/>
      <c r="AK135" s="138"/>
      <c r="AL135" s="138"/>
      <c r="AM135" s="138"/>
      <c r="AN135" s="138"/>
      <c r="AO135" s="138"/>
      <c r="AP135" s="138"/>
      <c r="AQ135" s="138"/>
      <c r="AR135" s="138"/>
      <c r="AS135" s="138"/>
      <c r="AT135" s="138"/>
    </row>
    <row r="136" spans="1:46">
      <c r="A136" s="54" t="s">
        <v>247</v>
      </c>
      <c r="B136" s="55" t="s">
        <v>47</v>
      </c>
      <c r="C136" s="55" t="s">
        <v>1172</v>
      </c>
      <c r="D136" s="138" t="s">
        <v>1441</v>
      </c>
      <c r="E136" s="54" t="s">
        <v>2654</v>
      </c>
      <c r="F136" s="55" t="s">
        <v>2672</v>
      </c>
      <c r="G136" s="55" t="s">
        <v>2675</v>
      </c>
      <c r="H136" s="54" t="str">
        <f ca="1">IFERROR(__xludf.DUMMYFUNCTION("VLOOKUP(G136, IMPORTRANGE(""https://docs.google.com/spreadsheets/d/14deopnvwcrKtEGCKuYXdUHJbeLDZlkiSSWWT0g7x2pM/edit#gid=849066331"", ""LU List Science (Filter)!A:B""), 2, FALSE)"),"Extraction of metals towards the top of the activity series")</f>
        <v>Extraction of metals towards the top of the activity series</v>
      </c>
      <c r="I136" s="55" t="str">
        <f t="shared" si="0"/>
        <v>LU006564.001</v>
      </c>
      <c r="J136" s="55" t="str">
        <f ca="1">IFERROR(__xludf.DUMMYFUNCTION("VLOOKUP(I136, IMPORTRANGE(""https://docs.google.com/spreadsheets/d/1yDAaXNsi4Mr5FtRQL4tbmSdIzhx6_m4wkOD7IG-k_eo/edit#gid=1336395716"", ""Science!M:N""), 2, FALSE)"),"(LU006564.001); Default - Remember")</f>
        <v>(LU006564.001); Default - Remember</v>
      </c>
      <c r="K136" s="55" t="str">
        <f t="shared" si="1"/>
        <v>LU006564.002</v>
      </c>
      <c r="L136" s="55" t="str">
        <f ca="1">IFERROR(__xludf.DUMMYFUNCTION("VLOOKUP(K136, IMPORTRANGE(""https://docs.google.com/spreadsheets/d/1yDAaXNsi4Mr5FtRQL4tbmSdIzhx6_m4wkOD7IG-k_eo/edit#gid=1336395716"", ""Science!M:N""), 2, FALSE)"),"(LU006564.002); Default - Understand")</f>
        <v>(LU006564.002); Default - Understand</v>
      </c>
      <c r="M136" s="55" t="str">
        <f t="shared" si="2"/>
        <v>LU006564.003</v>
      </c>
      <c r="N136" s="55" t="str">
        <f ca="1">IFERROR(__xludf.DUMMYFUNCTION("VLOOKUP(M136, IMPORTRANGE(""https://docs.google.com/spreadsheets/d/1yDAaXNsi4Mr5FtRQL4tbmSdIzhx6_m4wkOD7IG-k_eo/edit#gid=1336395716"", ""Science!M:N""), 2, FALSE)"),"(LU006564.003); Default - Apply")</f>
        <v>(LU006564.003); Default - Apply</v>
      </c>
      <c r="O136" s="55" t="str">
        <f t="shared" si="3"/>
        <v>LU006564.004</v>
      </c>
      <c r="P136" s="55" t="str">
        <f ca="1">IFERROR(__xludf.DUMMYFUNCTION("VLOOKUP(O136, IMPORTRANGE(""https://docs.google.com/spreadsheets/d/1yDAaXNsi4Mr5FtRQL4tbmSdIzhx6_m4wkOD7IG-k_eo/edit#gid=1336395716"", ""Science!M:N""), 2, FALSE)"),"(LU006564.004); Default - Analyse")</f>
        <v>(LU006564.004); Default - Analyse</v>
      </c>
      <c r="Q136" s="55" t="str">
        <f t="shared" si="4"/>
        <v>LU006564.005</v>
      </c>
      <c r="R136" s="55" t="str">
        <f ca="1">IFERROR(__xludf.DUMMYFUNCTION("VLOOKUP(Q136, IMPORTRANGE(""https://docs.google.com/spreadsheets/d/1yDAaXNsi4Mr5FtRQL4tbmSdIzhx6_m4wkOD7IG-k_eo/edit#gid=1336395716"", ""Science!M:N""), 2, FALSE)"),"(LU006564.005); Default - Evaluate")</f>
        <v>(LU006564.005); Default - Evaluate</v>
      </c>
      <c r="S136" s="55" t="str">
        <f t="shared" si="5"/>
        <v>LU006564.006</v>
      </c>
      <c r="T136" s="55" t="str">
        <f ca="1">IFERROR(__xludf.DUMMYFUNCTION("VLOOKUP(S136, IMPORTRANGE(""https://docs.google.com/spreadsheets/d/1yDAaXNsi4Mr5FtRQL4tbmSdIzhx6_m4wkOD7IG-k_eo/edit#gid=1336395716"", ""Science!M:N""), 2, FALSE)"),"(LU006564.006); Default - Create")</f>
        <v>(LU006564.006); Default - Create</v>
      </c>
      <c r="U136" s="137" t="str">
        <f ca="1">IFERROR(__xludf.DUMMYFUNCTION("ArrayFormula(VLOOKUP(G136, IMPORTRANGE(""https://docs.google.com/spreadsheets/d/1p7R4vtkWt5VOBim4ltsDG9KTzSjrtKXsMtQGXPHyND0/edit#gid=795171502"", ""'Filter 30_05_2024'!A1:M2000""), {2, 3, 4, 5,6,7,8,9,10,11,12,13}, 0))"),"#N/A")</f>
        <v>#N/A</v>
      </c>
      <c r="V136" s="137" t="str">
        <f ca="1">IFERROR(__xludf.DUMMYFUNCTION("""COMPUTED_VALUE"""),"#N/A")</f>
        <v>#N/A</v>
      </c>
      <c r="W136" s="137" t="str">
        <f ca="1">IFERROR(__xludf.DUMMYFUNCTION("""COMPUTED_VALUE"""),"#N/A")</f>
        <v>#N/A</v>
      </c>
      <c r="X136" s="137" t="str">
        <f ca="1">IFERROR(__xludf.DUMMYFUNCTION("""COMPUTED_VALUE"""),"#N/A")</f>
        <v>#N/A</v>
      </c>
      <c r="Y136" s="137" t="str">
        <f ca="1">IFERROR(__xludf.DUMMYFUNCTION("""COMPUTED_VALUE"""),"#N/A")</f>
        <v>#N/A</v>
      </c>
      <c r="Z136" s="138" t="str">
        <f ca="1">IFERROR(__xludf.DUMMYFUNCTION("""COMPUTED_VALUE"""),"#N/A")</f>
        <v>#N/A</v>
      </c>
      <c r="AA136" s="138" t="str">
        <f ca="1">IFERROR(__xludf.DUMMYFUNCTION("""COMPUTED_VALUE"""),"#N/A")</f>
        <v>#N/A</v>
      </c>
      <c r="AB136" s="138" t="str">
        <f ca="1">IFERROR(__xludf.DUMMYFUNCTION("""COMPUTED_VALUE"""),"#N/A")</f>
        <v>#N/A</v>
      </c>
      <c r="AC136" s="138" t="str">
        <f ca="1">IFERROR(__xludf.DUMMYFUNCTION("""COMPUTED_VALUE"""),"#N/A")</f>
        <v>#N/A</v>
      </c>
      <c r="AD136" s="138" t="str">
        <f ca="1">IFERROR(__xludf.DUMMYFUNCTION("""COMPUTED_VALUE"""),"#N/A")</f>
        <v>#N/A</v>
      </c>
      <c r="AE136" s="138" t="str">
        <f ca="1">IFERROR(__xludf.DUMMYFUNCTION("""COMPUTED_VALUE"""),"#N/A")</f>
        <v>#N/A</v>
      </c>
      <c r="AF136" s="138" t="str">
        <f ca="1">IFERROR(__xludf.DUMMYFUNCTION("""COMPUTED_VALUE"""),"#N/A")</f>
        <v>#N/A</v>
      </c>
      <c r="AG136" s="138" t="str">
        <f ca="1">IFERROR(__xludf.DUMMYFUNCTION("ArrayFormula(VLOOKUP(G136, IMPORTRANGE(""https://docs.google.com/spreadsheets/d/1Co934fvtviyaRiMsrIlT05Jaq7iiYq07aLvRr35KA48/edit?gid=173865642#gid=173865642"", ""'G10_Sci_Pri_LU'!G2:V2000""), {3, 4, 5, 6, 7, 8, 9, 10, 11, 12, 13, 14, 15, 16}, 0))"),"LU006563")</f>
        <v>LU006563</v>
      </c>
      <c r="AH136" s="138" t="str">
        <f ca="1">IFERROR(__xludf.DUMMYFUNCTION("""COMPUTED_VALUE"""),"Extraction of metals in the middle of the activity series")</f>
        <v>Extraction of metals in the middle of the activity series</v>
      </c>
      <c r="AI136" s="138"/>
      <c r="AJ136" s="138"/>
      <c r="AK136" s="138"/>
      <c r="AL136" s="138"/>
      <c r="AM136" s="138"/>
      <c r="AN136" s="138"/>
      <c r="AO136" s="138"/>
      <c r="AP136" s="138"/>
      <c r="AQ136" s="138"/>
      <c r="AR136" s="138"/>
      <c r="AS136" s="138"/>
      <c r="AT136" s="138"/>
    </row>
    <row r="137" spans="1:46">
      <c r="A137" s="54" t="s">
        <v>247</v>
      </c>
      <c r="B137" s="55" t="s">
        <v>47</v>
      </c>
      <c r="C137" s="55" t="s">
        <v>1172</v>
      </c>
      <c r="D137" s="138" t="s">
        <v>1441</v>
      </c>
      <c r="E137" s="54" t="s">
        <v>2654</v>
      </c>
      <c r="F137" s="55" t="s">
        <v>2676</v>
      </c>
      <c r="G137" s="55" t="s">
        <v>2677</v>
      </c>
      <c r="H137" s="54" t="str">
        <f ca="1">IFERROR(__xludf.DUMMYFUNCTION("VLOOKUP(G137, IMPORTRANGE(""https://docs.google.com/spreadsheets/d/14deopnvwcrKtEGCKuYXdUHJbeLDZlkiSSWWT0g7x2pM/edit#gid=849066331"", ""LU List Science (Filter)!A:B""), 2, FALSE)"),"Electrolytic refining of metals")</f>
        <v>Electrolytic refining of metals</v>
      </c>
      <c r="I137" s="55" t="str">
        <f t="shared" si="0"/>
        <v>LU006565.001</v>
      </c>
      <c r="J137" s="55" t="str">
        <f ca="1">IFERROR(__xludf.DUMMYFUNCTION("VLOOKUP(I137, IMPORTRANGE(""https://docs.google.com/spreadsheets/d/1yDAaXNsi4Mr5FtRQL4tbmSdIzhx6_m4wkOD7IG-k_eo/edit#gid=1336395716"", ""Science!M:N""), 2, FALSE)"),"(LU006565.001); Default - Remember")</f>
        <v>(LU006565.001); Default - Remember</v>
      </c>
      <c r="K137" s="55" t="str">
        <f t="shared" si="1"/>
        <v>LU006565.002</v>
      </c>
      <c r="L137" s="55" t="str">
        <f ca="1">IFERROR(__xludf.DUMMYFUNCTION("VLOOKUP(K137, IMPORTRANGE(""https://docs.google.com/spreadsheets/d/1yDAaXNsi4Mr5FtRQL4tbmSdIzhx6_m4wkOD7IG-k_eo/edit#gid=1336395716"", ""Science!M:N""), 2, FALSE)"),"(LU006565.002); Default - Understand")</f>
        <v>(LU006565.002); Default - Understand</v>
      </c>
      <c r="M137" s="55" t="str">
        <f t="shared" si="2"/>
        <v>LU006565.003</v>
      </c>
      <c r="N137" s="55" t="str">
        <f ca="1">IFERROR(__xludf.DUMMYFUNCTION("VLOOKUP(M137, IMPORTRANGE(""https://docs.google.com/spreadsheets/d/1yDAaXNsi4Mr5FtRQL4tbmSdIzhx6_m4wkOD7IG-k_eo/edit#gid=1336395716"", ""Science!M:N""), 2, FALSE)"),"(LU006565.003); Default - Apply")</f>
        <v>(LU006565.003); Default - Apply</v>
      </c>
      <c r="O137" s="55" t="str">
        <f t="shared" si="3"/>
        <v>LU006565.004</v>
      </c>
      <c r="P137" s="55" t="str">
        <f ca="1">IFERROR(__xludf.DUMMYFUNCTION("VLOOKUP(O137, IMPORTRANGE(""https://docs.google.com/spreadsheets/d/1yDAaXNsi4Mr5FtRQL4tbmSdIzhx6_m4wkOD7IG-k_eo/edit#gid=1336395716"", ""Science!M:N""), 2, FALSE)"),"(LU006565.004); Default - Analyse")</f>
        <v>(LU006565.004); Default - Analyse</v>
      </c>
      <c r="Q137" s="55" t="str">
        <f t="shared" si="4"/>
        <v>LU006565.005</v>
      </c>
      <c r="R137" s="55" t="str">
        <f ca="1">IFERROR(__xludf.DUMMYFUNCTION("VLOOKUP(Q137, IMPORTRANGE(""https://docs.google.com/spreadsheets/d/1yDAaXNsi4Mr5FtRQL4tbmSdIzhx6_m4wkOD7IG-k_eo/edit#gid=1336395716"", ""Science!M:N""), 2, FALSE)"),"(LU006565.005); Default - Evaluate")</f>
        <v>(LU006565.005); Default - Evaluate</v>
      </c>
      <c r="S137" s="55" t="str">
        <f t="shared" si="5"/>
        <v>LU006565.006</v>
      </c>
      <c r="T137" s="55" t="str">
        <f ca="1">IFERROR(__xludf.DUMMYFUNCTION("VLOOKUP(S137, IMPORTRANGE(""https://docs.google.com/spreadsheets/d/1yDAaXNsi4Mr5FtRQL4tbmSdIzhx6_m4wkOD7IG-k_eo/edit#gid=1336395716"", ""Science!M:N""), 2, FALSE)"),"(LU006565.006); Default - Create")</f>
        <v>(LU006565.006); Default - Create</v>
      </c>
      <c r="U137" s="137" t="str">
        <f ca="1">IFERROR(__xludf.DUMMYFUNCTION("ArrayFormula(VLOOKUP(G137, IMPORTRANGE(""https://docs.google.com/spreadsheets/d/1p7R4vtkWt5VOBim4ltsDG9KTzSjrtKXsMtQGXPHyND0/edit#gid=795171502"", ""'Filter 30_05_2024'!A1:M2000""), {2, 3, 4, 5,6,7,8,9,10,11,12,13}, 0))"),"#N/A")</f>
        <v>#N/A</v>
      </c>
      <c r="V137" s="137" t="str">
        <f ca="1">IFERROR(__xludf.DUMMYFUNCTION("""COMPUTED_VALUE"""),"#N/A")</f>
        <v>#N/A</v>
      </c>
      <c r="W137" s="137" t="str">
        <f ca="1">IFERROR(__xludf.DUMMYFUNCTION("""COMPUTED_VALUE"""),"#N/A")</f>
        <v>#N/A</v>
      </c>
      <c r="X137" s="137" t="str">
        <f ca="1">IFERROR(__xludf.DUMMYFUNCTION("""COMPUTED_VALUE"""),"#N/A")</f>
        <v>#N/A</v>
      </c>
      <c r="Y137" s="137" t="str">
        <f ca="1">IFERROR(__xludf.DUMMYFUNCTION("""COMPUTED_VALUE"""),"#N/A")</f>
        <v>#N/A</v>
      </c>
      <c r="Z137" s="138" t="str">
        <f ca="1">IFERROR(__xludf.DUMMYFUNCTION("""COMPUTED_VALUE"""),"#N/A")</f>
        <v>#N/A</v>
      </c>
      <c r="AA137" s="138" t="str">
        <f ca="1">IFERROR(__xludf.DUMMYFUNCTION("""COMPUTED_VALUE"""),"#N/A")</f>
        <v>#N/A</v>
      </c>
      <c r="AB137" s="138" t="str">
        <f ca="1">IFERROR(__xludf.DUMMYFUNCTION("""COMPUTED_VALUE"""),"#N/A")</f>
        <v>#N/A</v>
      </c>
      <c r="AC137" s="138" t="str">
        <f ca="1">IFERROR(__xludf.DUMMYFUNCTION("""COMPUTED_VALUE"""),"#N/A")</f>
        <v>#N/A</v>
      </c>
      <c r="AD137" s="138" t="str">
        <f ca="1">IFERROR(__xludf.DUMMYFUNCTION("""COMPUTED_VALUE"""),"#N/A")</f>
        <v>#N/A</v>
      </c>
      <c r="AE137" s="138" t="str">
        <f ca="1">IFERROR(__xludf.DUMMYFUNCTION("""COMPUTED_VALUE"""),"#N/A")</f>
        <v>#N/A</v>
      </c>
      <c r="AF137" s="138" t="str">
        <f ca="1">IFERROR(__xludf.DUMMYFUNCTION("""COMPUTED_VALUE"""),"#N/A")</f>
        <v>#N/A</v>
      </c>
      <c r="AG137" s="138" t="str">
        <f ca="1">IFERROR(__xludf.DUMMYFUNCTION("ArrayFormula(VLOOKUP(G137, IMPORTRANGE(""https://docs.google.com/spreadsheets/d/1Co934fvtviyaRiMsrIlT05Jaq7iiYq07aLvRr35KA48/edit?gid=173865642#gid=173865642"", ""'G10_Sci_Pri_LU'!G2:V2000""), {3, 4, 5, 6, 7, 8, 9, 10, 11, 12, 13, 14, 15, 16}, 0))"),"LU006564")</f>
        <v>LU006564</v>
      </c>
      <c r="AH137" s="138" t="str">
        <f ca="1">IFERROR(__xludf.DUMMYFUNCTION("""COMPUTED_VALUE"""),"Extraction of metals towards the top of the activity series")</f>
        <v>Extraction of metals towards the top of the activity series</v>
      </c>
      <c r="AI137" s="138"/>
      <c r="AJ137" s="138"/>
      <c r="AK137" s="138"/>
      <c r="AL137" s="138"/>
      <c r="AM137" s="138"/>
      <c r="AN137" s="138"/>
      <c r="AO137" s="138"/>
      <c r="AP137" s="138"/>
      <c r="AQ137" s="138"/>
      <c r="AR137" s="138"/>
      <c r="AS137" s="138"/>
      <c r="AT137" s="138"/>
    </row>
    <row r="138" spans="1:46">
      <c r="A138" s="54" t="s">
        <v>247</v>
      </c>
      <c r="B138" s="55" t="s">
        <v>47</v>
      </c>
      <c r="C138" s="55" t="s">
        <v>1172</v>
      </c>
      <c r="D138" s="138" t="s">
        <v>1441</v>
      </c>
      <c r="E138" s="54" t="s">
        <v>2654</v>
      </c>
      <c r="F138" s="55" t="s">
        <v>2678</v>
      </c>
      <c r="G138" s="55" t="s">
        <v>2679</v>
      </c>
      <c r="H138" s="54" t="str">
        <f ca="1">IFERROR(__xludf.DUMMYFUNCTION("VLOOKUP(G138, IMPORTRANGE(""https://docs.google.com/spreadsheets/d/14deopnvwcrKtEGCKuYXdUHJbeLDZlkiSSWWT0g7x2pM/edit#gid=849066331"", ""LU List Science (Filter)!A:B""), 2, FALSE)"),"Prevention and Causes of Corrosion")</f>
        <v>Prevention and Causes of Corrosion</v>
      </c>
      <c r="I138" s="55" t="str">
        <f t="shared" si="0"/>
        <v>LU006566.001</v>
      </c>
      <c r="J138" s="55" t="str">
        <f ca="1">IFERROR(__xludf.DUMMYFUNCTION("VLOOKUP(I138, IMPORTRANGE(""https://docs.google.com/spreadsheets/d/1yDAaXNsi4Mr5FtRQL4tbmSdIzhx6_m4wkOD7IG-k_eo/edit#gid=1336395716"", ""Science!M:N""), 2, FALSE)"),"(LU006566.001); Default - Remember")</f>
        <v>(LU006566.001); Default - Remember</v>
      </c>
      <c r="K138" s="55" t="str">
        <f t="shared" si="1"/>
        <v>LU006566.002</v>
      </c>
      <c r="L138" s="55" t="str">
        <f ca="1">IFERROR(__xludf.DUMMYFUNCTION("VLOOKUP(K138, IMPORTRANGE(""https://docs.google.com/spreadsheets/d/1yDAaXNsi4Mr5FtRQL4tbmSdIzhx6_m4wkOD7IG-k_eo/edit#gid=1336395716"", ""Science!M:N""), 2, FALSE)"),"(LU006566.002); Default - Understand")</f>
        <v>(LU006566.002); Default - Understand</v>
      </c>
      <c r="M138" s="55" t="str">
        <f t="shared" si="2"/>
        <v>LU006566.003</v>
      </c>
      <c r="N138" s="55" t="str">
        <f ca="1">IFERROR(__xludf.DUMMYFUNCTION("VLOOKUP(M138, IMPORTRANGE(""https://docs.google.com/spreadsheets/d/1yDAaXNsi4Mr5FtRQL4tbmSdIzhx6_m4wkOD7IG-k_eo/edit#gid=1336395716"", ""Science!M:N""), 2, FALSE)"),"(LU006566.003); Default - Apply")</f>
        <v>(LU006566.003); Default - Apply</v>
      </c>
      <c r="O138" s="55" t="str">
        <f t="shared" si="3"/>
        <v>LU006566.004</v>
      </c>
      <c r="P138" s="55" t="str">
        <f ca="1">IFERROR(__xludf.DUMMYFUNCTION("VLOOKUP(O138, IMPORTRANGE(""https://docs.google.com/spreadsheets/d/1yDAaXNsi4Mr5FtRQL4tbmSdIzhx6_m4wkOD7IG-k_eo/edit#gid=1336395716"", ""Science!M:N""), 2, FALSE)"),"(LU006566.004); Default - Analyse")</f>
        <v>(LU006566.004); Default - Analyse</v>
      </c>
      <c r="Q138" s="55" t="str">
        <f t="shared" si="4"/>
        <v>LU006566.005</v>
      </c>
      <c r="R138" s="55" t="str">
        <f ca="1">IFERROR(__xludf.DUMMYFUNCTION("VLOOKUP(Q138, IMPORTRANGE(""https://docs.google.com/spreadsheets/d/1yDAaXNsi4Mr5FtRQL4tbmSdIzhx6_m4wkOD7IG-k_eo/edit#gid=1336395716"", ""Science!M:N""), 2, FALSE)"),"(LU006566.005); Default - Evaluate")</f>
        <v>(LU006566.005); Default - Evaluate</v>
      </c>
      <c r="S138" s="55" t="str">
        <f t="shared" si="5"/>
        <v>LU006566.006</v>
      </c>
      <c r="T138" s="55" t="str">
        <f ca="1">IFERROR(__xludf.DUMMYFUNCTION("VLOOKUP(S138, IMPORTRANGE(""https://docs.google.com/spreadsheets/d/1yDAaXNsi4Mr5FtRQL4tbmSdIzhx6_m4wkOD7IG-k_eo/edit#gid=1336395716"", ""Science!M:N""), 2, FALSE)"),"(LU006566.006); Default - Create")</f>
        <v>(LU006566.006); Default - Create</v>
      </c>
      <c r="U138" s="137" t="str">
        <f ca="1">IFERROR(__xludf.DUMMYFUNCTION("ArrayFormula(VLOOKUP(G138, IMPORTRANGE(""https://docs.google.com/spreadsheets/d/1p7R4vtkWt5VOBim4ltsDG9KTzSjrtKXsMtQGXPHyND0/edit#gid=795171502"", ""'Filter 30_05_2024'!A1:M2000""), {2, 3, 4, 5,6,7,8,9,10,11,12,13}, 0))"),"#N/A")</f>
        <v>#N/A</v>
      </c>
      <c r="V138" s="137" t="str">
        <f ca="1">IFERROR(__xludf.DUMMYFUNCTION("""COMPUTED_VALUE"""),"#N/A")</f>
        <v>#N/A</v>
      </c>
      <c r="W138" s="137" t="str">
        <f ca="1">IFERROR(__xludf.DUMMYFUNCTION("""COMPUTED_VALUE"""),"#N/A")</f>
        <v>#N/A</v>
      </c>
      <c r="X138" s="137" t="str">
        <f ca="1">IFERROR(__xludf.DUMMYFUNCTION("""COMPUTED_VALUE"""),"#N/A")</f>
        <v>#N/A</v>
      </c>
      <c r="Y138" s="137" t="str">
        <f ca="1">IFERROR(__xludf.DUMMYFUNCTION("""COMPUTED_VALUE"""),"#N/A")</f>
        <v>#N/A</v>
      </c>
      <c r="Z138" s="138" t="str">
        <f ca="1">IFERROR(__xludf.DUMMYFUNCTION("""COMPUTED_VALUE"""),"#N/A")</f>
        <v>#N/A</v>
      </c>
      <c r="AA138" s="138" t="str">
        <f ca="1">IFERROR(__xludf.DUMMYFUNCTION("""COMPUTED_VALUE"""),"#N/A")</f>
        <v>#N/A</v>
      </c>
      <c r="AB138" s="138" t="str">
        <f ca="1">IFERROR(__xludf.DUMMYFUNCTION("""COMPUTED_VALUE"""),"#N/A")</f>
        <v>#N/A</v>
      </c>
      <c r="AC138" s="138" t="str">
        <f ca="1">IFERROR(__xludf.DUMMYFUNCTION("""COMPUTED_VALUE"""),"#N/A")</f>
        <v>#N/A</v>
      </c>
      <c r="AD138" s="138" t="str">
        <f ca="1">IFERROR(__xludf.DUMMYFUNCTION("""COMPUTED_VALUE"""),"#N/A")</f>
        <v>#N/A</v>
      </c>
      <c r="AE138" s="138" t="str">
        <f ca="1">IFERROR(__xludf.DUMMYFUNCTION("""COMPUTED_VALUE"""),"#N/A")</f>
        <v>#N/A</v>
      </c>
      <c r="AF138" s="138" t="str">
        <f ca="1">IFERROR(__xludf.DUMMYFUNCTION("""COMPUTED_VALUE"""),"#N/A")</f>
        <v>#N/A</v>
      </c>
      <c r="AG138" s="138" t="str">
        <f ca="1">IFERROR(__xludf.DUMMYFUNCTION("ArrayFormula(VLOOKUP(G138, IMPORTRANGE(""https://docs.google.com/spreadsheets/d/1Co934fvtviyaRiMsrIlT05Jaq7iiYq07aLvRr35KA48/edit?gid=173865642#gid=173865642"", ""'G10_Sci_Pri_LU'!G2:V2000""), {3, 4, 5, 6, 7, 8, 9, 10, 11, 12, 13, 14, 15, 16}, 0))"),"LU006537")</f>
        <v>LU006537</v>
      </c>
      <c r="AH138" s="138" t="str">
        <f ca="1">IFERROR(__xludf.DUMMYFUNCTION("""COMPUTED_VALUE"""),"Effects of Oxidation Reactions")</f>
        <v>Effects of Oxidation Reactions</v>
      </c>
      <c r="AI138" s="138"/>
      <c r="AJ138" s="138"/>
      <c r="AK138" s="138"/>
      <c r="AL138" s="138"/>
      <c r="AM138" s="138"/>
      <c r="AN138" s="138"/>
      <c r="AO138" s="138"/>
      <c r="AP138" s="138"/>
      <c r="AQ138" s="138"/>
      <c r="AR138" s="138"/>
      <c r="AS138" s="138"/>
      <c r="AT138" s="138"/>
    </row>
    <row r="139" spans="1:46">
      <c r="A139" s="54" t="s">
        <v>247</v>
      </c>
      <c r="B139" s="55" t="s">
        <v>47</v>
      </c>
      <c r="C139" s="55" t="s">
        <v>1172</v>
      </c>
      <c r="D139" s="138" t="s">
        <v>1441</v>
      </c>
      <c r="E139" s="54" t="s">
        <v>2680</v>
      </c>
      <c r="F139" s="55" t="s">
        <v>2681</v>
      </c>
      <c r="G139" s="55" t="s">
        <v>2682</v>
      </c>
      <c r="H139" s="54" t="str">
        <f ca="1">IFERROR(__xludf.DUMMYFUNCTION("VLOOKUP(G139, IMPORTRANGE(""https://docs.google.com/spreadsheets/d/14deopnvwcrKtEGCKuYXdUHJbeLDZlkiSSWWT0g7x2pM/edit#gid=849066331"", ""LU List Science (Filter)!A:B""), 2, FALSE)"),"Covalent Bond Formation in Carbon")</f>
        <v>Covalent Bond Formation in Carbon</v>
      </c>
      <c r="I139" s="55" t="str">
        <f t="shared" si="0"/>
        <v>LU006567.001</v>
      </c>
      <c r="J139" s="55" t="str">
        <f ca="1">IFERROR(__xludf.DUMMYFUNCTION("VLOOKUP(I139, IMPORTRANGE(""https://docs.google.com/spreadsheets/d/1yDAaXNsi4Mr5FtRQL4tbmSdIzhx6_m4wkOD7IG-k_eo/edit#gid=1336395716"", ""Science!M:N""), 2, FALSE)"),"(LU006567.001); Default - Remember")</f>
        <v>(LU006567.001); Default - Remember</v>
      </c>
      <c r="K139" s="55" t="str">
        <f t="shared" si="1"/>
        <v>LU006567.002</v>
      </c>
      <c r="L139" s="55" t="str">
        <f ca="1">IFERROR(__xludf.DUMMYFUNCTION("VLOOKUP(K139, IMPORTRANGE(""https://docs.google.com/spreadsheets/d/1yDAaXNsi4Mr5FtRQL4tbmSdIzhx6_m4wkOD7IG-k_eo/edit#gid=1336395716"", ""Science!M:N""), 2, FALSE)"),"(LU006567.002); Default - Understand")</f>
        <v>(LU006567.002); Default - Understand</v>
      </c>
      <c r="M139" s="55" t="str">
        <f t="shared" si="2"/>
        <v>LU006567.003</v>
      </c>
      <c r="N139" s="55" t="str">
        <f ca="1">IFERROR(__xludf.DUMMYFUNCTION("VLOOKUP(M139, IMPORTRANGE(""https://docs.google.com/spreadsheets/d/1yDAaXNsi4Mr5FtRQL4tbmSdIzhx6_m4wkOD7IG-k_eo/edit#gid=1336395716"", ""Science!M:N""), 2, FALSE)"),"(LU006567.003); Default - Apply")</f>
        <v>(LU006567.003); Default - Apply</v>
      </c>
      <c r="O139" s="55" t="str">
        <f t="shared" si="3"/>
        <v>LU006567.004</v>
      </c>
      <c r="P139" s="55" t="str">
        <f ca="1">IFERROR(__xludf.DUMMYFUNCTION("VLOOKUP(O139, IMPORTRANGE(""https://docs.google.com/spreadsheets/d/1yDAaXNsi4Mr5FtRQL4tbmSdIzhx6_m4wkOD7IG-k_eo/edit#gid=1336395716"", ""Science!M:N""), 2, FALSE)"),"(LU006567.004); Default - Analyse")</f>
        <v>(LU006567.004); Default - Analyse</v>
      </c>
      <c r="Q139" s="55" t="str">
        <f t="shared" si="4"/>
        <v>LU006567.005</v>
      </c>
      <c r="R139" s="55" t="str">
        <f ca="1">IFERROR(__xludf.DUMMYFUNCTION("VLOOKUP(Q139, IMPORTRANGE(""https://docs.google.com/spreadsheets/d/1yDAaXNsi4Mr5FtRQL4tbmSdIzhx6_m4wkOD7IG-k_eo/edit#gid=1336395716"", ""Science!M:N""), 2, FALSE)"),"(LU006567.005); Default - Evaluate")</f>
        <v>(LU006567.005); Default - Evaluate</v>
      </c>
      <c r="S139" s="55" t="str">
        <f t="shared" si="5"/>
        <v>LU006567.006</v>
      </c>
      <c r="T139" s="55" t="str">
        <f ca="1">IFERROR(__xludf.DUMMYFUNCTION("VLOOKUP(S139, IMPORTRANGE(""https://docs.google.com/spreadsheets/d/1yDAaXNsi4Mr5FtRQL4tbmSdIzhx6_m4wkOD7IG-k_eo/edit#gid=1336395716"", ""Science!M:N""), 2, FALSE)"),"(LU006567.006); Default - Create")</f>
        <v>(LU006567.006); Default - Create</v>
      </c>
      <c r="U139" s="137" t="str">
        <f ca="1">IFERROR(__xludf.DUMMYFUNCTION("ArrayFormula(VLOOKUP(G139, IMPORTRANGE(""https://docs.google.com/spreadsheets/d/1p7R4vtkWt5VOBim4ltsDG9KTzSjrtKXsMtQGXPHyND0/edit#gid=795171502"", ""'Filter 30_05_2024'!A1:M2000""), {2, 3, 4, 5,6,7,8,9,10,11,12,13}, 0))"),"#N/A")</f>
        <v>#N/A</v>
      </c>
      <c r="V139" s="137" t="str">
        <f ca="1">IFERROR(__xludf.DUMMYFUNCTION("""COMPUTED_VALUE"""),"#N/A")</f>
        <v>#N/A</v>
      </c>
      <c r="W139" s="137" t="str">
        <f ca="1">IFERROR(__xludf.DUMMYFUNCTION("""COMPUTED_VALUE"""),"#N/A")</f>
        <v>#N/A</v>
      </c>
      <c r="X139" s="137" t="str">
        <f ca="1">IFERROR(__xludf.DUMMYFUNCTION("""COMPUTED_VALUE"""),"#N/A")</f>
        <v>#N/A</v>
      </c>
      <c r="Y139" s="137" t="str">
        <f ca="1">IFERROR(__xludf.DUMMYFUNCTION("""COMPUTED_VALUE"""),"#N/A")</f>
        <v>#N/A</v>
      </c>
      <c r="Z139" s="138" t="str">
        <f ca="1">IFERROR(__xludf.DUMMYFUNCTION("""COMPUTED_VALUE"""),"#N/A")</f>
        <v>#N/A</v>
      </c>
      <c r="AA139" s="138" t="str">
        <f ca="1">IFERROR(__xludf.DUMMYFUNCTION("""COMPUTED_VALUE"""),"#N/A")</f>
        <v>#N/A</v>
      </c>
      <c r="AB139" s="138" t="str">
        <f ca="1">IFERROR(__xludf.DUMMYFUNCTION("""COMPUTED_VALUE"""),"#N/A")</f>
        <v>#N/A</v>
      </c>
      <c r="AC139" s="138" t="str">
        <f ca="1">IFERROR(__xludf.DUMMYFUNCTION("""COMPUTED_VALUE"""),"#N/A")</f>
        <v>#N/A</v>
      </c>
      <c r="AD139" s="138" t="str">
        <f ca="1">IFERROR(__xludf.DUMMYFUNCTION("""COMPUTED_VALUE"""),"#N/A")</f>
        <v>#N/A</v>
      </c>
      <c r="AE139" s="138" t="str">
        <f ca="1">IFERROR(__xludf.DUMMYFUNCTION("""COMPUTED_VALUE"""),"#N/A")</f>
        <v>#N/A</v>
      </c>
      <c r="AF139" s="138" t="str">
        <f ca="1">IFERROR(__xludf.DUMMYFUNCTION("""COMPUTED_VALUE"""),"#N/A")</f>
        <v>#N/A</v>
      </c>
      <c r="AG139" s="138" t="str">
        <f ca="1">IFERROR(__xludf.DUMMYFUNCTION("ArrayFormula(VLOOKUP(G139, IMPORTRANGE(""https://docs.google.com/spreadsheets/d/1Co934fvtviyaRiMsrIlT05Jaq7iiYq07aLvRr35KA48/edit?gid=173865642#gid=173865642"", ""'G10_Sci_Pri_LU'!G2:V2000""), {3, 4, 5, 6, 7, 8, 9, 10, 11, 12, 13, 14, 15, 16}, 0))"),"LU006560")</f>
        <v>LU006560</v>
      </c>
      <c r="AH139" s="138" t="str">
        <f ca="1">IFERROR(__xludf.DUMMYFUNCTION("""COMPUTED_VALUE"""),"Properties of ionic compounds")</f>
        <v>Properties of ionic compounds</v>
      </c>
      <c r="AI139" s="138"/>
      <c r="AJ139" s="138"/>
      <c r="AK139" s="138"/>
      <c r="AL139" s="138"/>
      <c r="AM139" s="138"/>
      <c r="AN139" s="138"/>
      <c r="AO139" s="138"/>
      <c r="AP139" s="138"/>
      <c r="AQ139" s="138"/>
      <c r="AR139" s="138"/>
      <c r="AS139" s="138"/>
      <c r="AT139" s="138"/>
    </row>
    <row r="140" spans="1:46">
      <c r="A140" s="54" t="s">
        <v>247</v>
      </c>
      <c r="B140" s="55" t="s">
        <v>47</v>
      </c>
      <c r="C140" s="55" t="s">
        <v>1172</v>
      </c>
      <c r="D140" s="138" t="s">
        <v>1441</v>
      </c>
      <c r="E140" s="54" t="s">
        <v>2680</v>
      </c>
      <c r="F140" s="55" t="s">
        <v>2683</v>
      </c>
      <c r="G140" s="55" t="s">
        <v>2684</v>
      </c>
      <c r="H140" s="54" t="str">
        <f ca="1">IFERROR(__xludf.DUMMYFUNCTION("VLOOKUP(G140, IMPORTRANGE(""https://docs.google.com/spreadsheets/d/14deopnvwcrKtEGCKuYXdUHJbeLDZlkiSSWWT0g7x2pM/edit#gid=849066331"", ""LU List Science (Filter)!A:B""), 2, FALSE)"),"Allotropes of Carbon")</f>
        <v>Allotropes of Carbon</v>
      </c>
      <c r="I140" s="55" t="str">
        <f t="shared" si="0"/>
        <v>LU006568.001</v>
      </c>
      <c r="J140" s="55" t="str">
        <f ca="1">IFERROR(__xludf.DUMMYFUNCTION("VLOOKUP(I140, IMPORTRANGE(""https://docs.google.com/spreadsheets/d/1yDAaXNsi4Mr5FtRQL4tbmSdIzhx6_m4wkOD7IG-k_eo/edit#gid=1336395716"", ""Science!M:N""), 2, FALSE)"),"(LU006568.001); Default - Remember")</f>
        <v>(LU006568.001); Default - Remember</v>
      </c>
      <c r="K140" s="55" t="str">
        <f t="shared" si="1"/>
        <v>LU006568.002</v>
      </c>
      <c r="L140" s="55" t="str">
        <f ca="1">IFERROR(__xludf.DUMMYFUNCTION("VLOOKUP(K140, IMPORTRANGE(""https://docs.google.com/spreadsheets/d/1yDAaXNsi4Mr5FtRQL4tbmSdIzhx6_m4wkOD7IG-k_eo/edit#gid=1336395716"", ""Science!M:N""), 2, FALSE)"),"(LU006568.002); Default - Understand")</f>
        <v>(LU006568.002); Default - Understand</v>
      </c>
      <c r="M140" s="55" t="str">
        <f t="shared" si="2"/>
        <v>LU006568.003</v>
      </c>
      <c r="N140" s="55" t="str">
        <f ca="1">IFERROR(__xludf.DUMMYFUNCTION("VLOOKUP(M140, IMPORTRANGE(""https://docs.google.com/spreadsheets/d/1yDAaXNsi4Mr5FtRQL4tbmSdIzhx6_m4wkOD7IG-k_eo/edit#gid=1336395716"", ""Science!M:N""), 2, FALSE)"),"(LU006568.003); Default - Apply")</f>
        <v>(LU006568.003); Default - Apply</v>
      </c>
      <c r="O140" s="55" t="str">
        <f t="shared" si="3"/>
        <v>LU006568.004</v>
      </c>
      <c r="P140" s="55" t="str">
        <f ca="1">IFERROR(__xludf.DUMMYFUNCTION("VLOOKUP(O140, IMPORTRANGE(""https://docs.google.com/spreadsheets/d/1yDAaXNsi4Mr5FtRQL4tbmSdIzhx6_m4wkOD7IG-k_eo/edit#gid=1336395716"", ""Science!M:N""), 2, FALSE)"),"(LU006568.004); Default - Analyse")</f>
        <v>(LU006568.004); Default - Analyse</v>
      </c>
      <c r="Q140" s="55" t="str">
        <f t="shared" si="4"/>
        <v>LU006568.005</v>
      </c>
      <c r="R140" s="55" t="str">
        <f ca="1">IFERROR(__xludf.DUMMYFUNCTION("VLOOKUP(Q140, IMPORTRANGE(""https://docs.google.com/spreadsheets/d/1yDAaXNsi4Mr5FtRQL4tbmSdIzhx6_m4wkOD7IG-k_eo/edit#gid=1336395716"", ""Science!M:N""), 2, FALSE)"),"(LU006568.005); Default - Evaluate")</f>
        <v>(LU006568.005); Default - Evaluate</v>
      </c>
      <c r="S140" s="55" t="str">
        <f t="shared" si="5"/>
        <v>LU006568.006</v>
      </c>
      <c r="T140" s="55" t="str">
        <f ca="1">IFERROR(__xludf.DUMMYFUNCTION("VLOOKUP(S140, IMPORTRANGE(""https://docs.google.com/spreadsheets/d/1yDAaXNsi4Mr5FtRQL4tbmSdIzhx6_m4wkOD7IG-k_eo/edit#gid=1336395716"", ""Science!M:N""), 2, FALSE)"),"(LU006568.006); Default - Create")</f>
        <v>(LU006568.006); Default - Create</v>
      </c>
      <c r="U140" s="137" t="str">
        <f ca="1">IFERROR(__xludf.DUMMYFUNCTION("ArrayFormula(VLOOKUP(G140, IMPORTRANGE(""https://docs.google.com/spreadsheets/d/1p7R4vtkWt5VOBim4ltsDG9KTzSjrtKXsMtQGXPHyND0/edit#gid=795171502"", ""'Filter 30_05_2024'!A1:M2000""), {2, 3, 4, 5,6,7,8,9,10,11,12,13}, 0))"),"#N/A")</f>
        <v>#N/A</v>
      </c>
      <c r="V140" s="137" t="str">
        <f ca="1">IFERROR(__xludf.DUMMYFUNCTION("""COMPUTED_VALUE"""),"#N/A")</f>
        <v>#N/A</v>
      </c>
      <c r="W140" s="137" t="str">
        <f ca="1">IFERROR(__xludf.DUMMYFUNCTION("""COMPUTED_VALUE"""),"#N/A")</f>
        <v>#N/A</v>
      </c>
      <c r="X140" s="137" t="str">
        <f ca="1">IFERROR(__xludf.DUMMYFUNCTION("""COMPUTED_VALUE"""),"#N/A")</f>
        <v>#N/A</v>
      </c>
      <c r="Y140" s="137" t="str">
        <f ca="1">IFERROR(__xludf.DUMMYFUNCTION("""COMPUTED_VALUE"""),"#N/A")</f>
        <v>#N/A</v>
      </c>
      <c r="Z140" s="138" t="str">
        <f ca="1">IFERROR(__xludf.DUMMYFUNCTION("""COMPUTED_VALUE"""),"#N/A")</f>
        <v>#N/A</v>
      </c>
      <c r="AA140" s="138" t="str">
        <f ca="1">IFERROR(__xludf.DUMMYFUNCTION("""COMPUTED_VALUE"""),"#N/A")</f>
        <v>#N/A</v>
      </c>
      <c r="AB140" s="138" t="str">
        <f ca="1">IFERROR(__xludf.DUMMYFUNCTION("""COMPUTED_VALUE"""),"#N/A")</f>
        <v>#N/A</v>
      </c>
      <c r="AC140" s="138" t="str">
        <f ca="1">IFERROR(__xludf.DUMMYFUNCTION("""COMPUTED_VALUE"""),"#N/A")</f>
        <v>#N/A</v>
      </c>
      <c r="AD140" s="138" t="str">
        <f ca="1">IFERROR(__xludf.DUMMYFUNCTION("""COMPUTED_VALUE"""),"#N/A")</f>
        <v>#N/A</v>
      </c>
      <c r="AE140" s="138" t="str">
        <f ca="1">IFERROR(__xludf.DUMMYFUNCTION("""COMPUTED_VALUE"""),"#N/A")</f>
        <v>#N/A</v>
      </c>
      <c r="AF140" s="138" t="str">
        <f ca="1">IFERROR(__xludf.DUMMYFUNCTION("""COMPUTED_VALUE"""),"#N/A")</f>
        <v>#N/A</v>
      </c>
      <c r="AG140" s="138" t="str">
        <f ca="1">IFERROR(__xludf.DUMMYFUNCTION("ArrayFormula(VLOOKUP(G140, IMPORTRANGE(""https://docs.google.com/spreadsheets/d/1Co934fvtviyaRiMsrIlT05Jaq7iiYq07aLvRr35KA48/edit?gid=173865642#gid=173865642"", ""'G10_Sci_Pri_LU'!G2:V2000""), {3, 4, 5, 6, 7, 8, 9, 10, 11, 12, 13, 14, 15, 16}, 0))"),"LU006567")</f>
        <v>LU006567</v>
      </c>
      <c r="AH140" s="138" t="str">
        <f ca="1">IFERROR(__xludf.DUMMYFUNCTION("""COMPUTED_VALUE"""),"Covalent Bond Formation in Carbon")</f>
        <v>Covalent Bond Formation in Carbon</v>
      </c>
      <c r="AI140" s="138"/>
      <c r="AJ140" s="138"/>
      <c r="AK140" s="138"/>
      <c r="AL140" s="138"/>
      <c r="AM140" s="138"/>
      <c r="AN140" s="138"/>
      <c r="AO140" s="138"/>
      <c r="AP140" s="138"/>
      <c r="AQ140" s="138"/>
      <c r="AR140" s="138"/>
      <c r="AS140" s="138"/>
      <c r="AT140" s="138"/>
    </row>
    <row r="141" spans="1:46">
      <c r="A141" s="54" t="s">
        <v>247</v>
      </c>
      <c r="B141" s="55" t="s">
        <v>47</v>
      </c>
      <c r="C141" s="55" t="s">
        <v>1172</v>
      </c>
      <c r="D141" s="138" t="s">
        <v>1441</v>
      </c>
      <c r="E141" s="54" t="s">
        <v>2680</v>
      </c>
      <c r="F141" s="55" t="s">
        <v>2683</v>
      </c>
      <c r="G141" s="55" t="s">
        <v>2685</v>
      </c>
      <c r="H141" s="54" t="str">
        <f ca="1">IFERROR(__xludf.DUMMYFUNCTION("VLOOKUP(G141, IMPORTRANGE(""https://docs.google.com/spreadsheets/d/14deopnvwcrKtEGCKuYXdUHJbeLDZlkiSSWWT0g7x2pM/edit#gid=849066331"", ""LU List Science (Filter)!A:B""), 2, FALSE)"),"Versatile Nature of Carbon")</f>
        <v>Versatile Nature of Carbon</v>
      </c>
      <c r="I141" s="55" t="str">
        <f t="shared" si="0"/>
        <v>LU006569.001</v>
      </c>
      <c r="J141" s="55" t="str">
        <f ca="1">IFERROR(__xludf.DUMMYFUNCTION("VLOOKUP(I141, IMPORTRANGE(""https://docs.google.com/spreadsheets/d/1yDAaXNsi4Mr5FtRQL4tbmSdIzhx6_m4wkOD7IG-k_eo/edit#gid=1336395716"", ""Science!M:N""), 2, FALSE)"),"(LU006569.001); Default - Remember")</f>
        <v>(LU006569.001); Default - Remember</v>
      </c>
      <c r="K141" s="55" t="str">
        <f t="shared" si="1"/>
        <v>LU006569.002</v>
      </c>
      <c r="L141" s="55" t="str">
        <f ca="1">IFERROR(__xludf.DUMMYFUNCTION("VLOOKUP(K141, IMPORTRANGE(""https://docs.google.com/spreadsheets/d/1yDAaXNsi4Mr5FtRQL4tbmSdIzhx6_m4wkOD7IG-k_eo/edit#gid=1336395716"", ""Science!M:N""), 2, FALSE)"),"(LU006569.002); Default - Understand")</f>
        <v>(LU006569.002); Default - Understand</v>
      </c>
      <c r="M141" s="55" t="str">
        <f t="shared" si="2"/>
        <v>LU006569.003</v>
      </c>
      <c r="N141" s="55" t="str">
        <f ca="1">IFERROR(__xludf.DUMMYFUNCTION("VLOOKUP(M141, IMPORTRANGE(""https://docs.google.com/spreadsheets/d/1yDAaXNsi4Mr5FtRQL4tbmSdIzhx6_m4wkOD7IG-k_eo/edit#gid=1336395716"", ""Science!M:N""), 2, FALSE)"),"(LU006569.003); Default - Apply")</f>
        <v>(LU006569.003); Default - Apply</v>
      </c>
      <c r="O141" s="55" t="str">
        <f t="shared" si="3"/>
        <v>LU006569.004</v>
      </c>
      <c r="P141" s="55" t="str">
        <f ca="1">IFERROR(__xludf.DUMMYFUNCTION("VLOOKUP(O141, IMPORTRANGE(""https://docs.google.com/spreadsheets/d/1yDAaXNsi4Mr5FtRQL4tbmSdIzhx6_m4wkOD7IG-k_eo/edit#gid=1336395716"", ""Science!M:N""), 2, FALSE)"),"(LU006569.004); Default - Analyse")</f>
        <v>(LU006569.004); Default - Analyse</v>
      </c>
      <c r="Q141" s="55" t="str">
        <f t="shared" si="4"/>
        <v>LU006569.005</v>
      </c>
      <c r="R141" s="55" t="str">
        <f ca="1">IFERROR(__xludf.DUMMYFUNCTION("VLOOKUP(Q141, IMPORTRANGE(""https://docs.google.com/spreadsheets/d/1yDAaXNsi4Mr5FtRQL4tbmSdIzhx6_m4wkOD7IG-k_eo/edit#gid=1336395716"", ""Science!M:N""), 2, FALSE)"),"(LU006569.005); Default - Evaluate")</f>
        <v>(LU006569.005); Default - Evaluate</v>
      </c>
      <c r="S141" s="55" t="str">
        <f t="shared" si="5"/>
        <v>LU006569.006</v>
      </c>
      <c r="T141" s="55" t="str">
        <f ca="1">IFERROR(__xludf.DUMMYFUNCTION("VLOOKUP(S141, IMPORTRANGE(""https://docs.google.com/spreadsheets/d/1yDAaXNsi4Mr5FtRQL4tbmSdIzhx6_m4wkOD7IG-k_eo/edit#gid=1336395716"", ""Science!M:N""), 2, FALSE)"),"(LU006569.006); Default - Create")</f>
        <v>(LU006569.006); Default - Create</v>
      </c>
      <c r="U141" s="137" t="str">
        <f ca="1">IFERROR(__xludf.DUMMYFUNCTION("ArrayFormula(VLOOKUP(G141, IMPORTRANGE(""https://docs.google.com/spreadsheets/d/1p7R4vtkWt5VOBim4ltsDG9KTzSjrtKXsMtQGXPHyND0/edit#gid=795171502"", ""'Filter 30_05_2024'!A1:M2000""), {2, 3, 4, 5,6,7,8,9,10,11,12,13}, 0))"),"#N/A")</f>
        <v>#N/A</v>
      </c>
      <c r="V141" s="137" t="str">
        <f ca="1">IFERROR(__xludf.DUMMYFUNCTION("""COMPUTED_VALUE"""),"#N/A")</f>
        <v>#N/A</v>
      </c>
      <c r="W141" s="137" t="str">
        <f ca="1">IFERROR(__xludf.DUMMYFUNCTION("""COMPUTED_VALUE"""),"#N/A")</f>
        <v>#N/A</v>
      </c>
      <c r="X141" s="137" t="str">
        <f ca="1">IFERROR(__xludf.DUMMYFUNCTION("""COMPUTED_VALUE"""),"#N/A")</f>
        <v>#N/A</v>
      </c>
      <c r="Y141" s="137" t="str">
        <f ca="1">IFERROR(__xludf.DUMMYFUNCTION("""COMPUTED_VALUE"""),"#N/A")</f>
        <v>#N/A</v>
      </c>
      <c r="Z141" s="138" t="str">
        <f ca="1">IFERROR(__xludf.DUMMYFUNCTION("""COMPUTED_VALUE"""),"#N/A")</f>
        <v>#N/A</v>
      </c>
      <c r="AA141" s="138" t="str">
        <f ca="1">IFERROR(__xludf.DUMMYFUNCTION("""COMPUTED_VALUE"""),"#N/A")</f>
        <v>#N/A</v>
      </c>
      <c r="AB141" s="138" t="str">
        <f ca="1">IFERROR(__xludf.DUMMYFUNCTION("""COMPUTED_VALUE"""),"#N/A")</f>
        <v>#N/A</v>
      </c>
      <c r="AC141" s="138" t="str">
        <f ca="1">IFERROR(__xludf.DUMMYFUNCTION("""COMPUTED_VALUE"""),"#N/A")</f>
        <v>#N/A</v>
      </c>
      <c r="AD141" s="138" t="str">
        <f ca="1">IFERROR(__xludf.DUMMYFUNCTION("""COMPUTED_VALUE"""),"#N/A")</f>
        <v>#N/A</v>
      </c>
      <c r="AE141" s="138" t="str">
        <f ca="1">IFERROR(__xludf.DUMMYFUNCTION("""COMPUTED_VALUE"""),"#N/A")</f>
        <v>#N/A</v>
      </c>
      <c r="AF141" s="138" t="str">
        <f ca="1">IFERROR(__xludf.DUMMYFUNCTION("""COMPUTED_VALUE"""),"#N/A")</f>
        <v>#N/A</v>
      </c>
      <c r="AG141" s="138" t="str">
        <f ca="1">IFERROR(__xludf.DUMMYFUNCTION("ArrayFormula(VLOOKUP(G141, IMPORTRANGE(""https://docs.google.com/spreadsheets/d/1Co934fvtviyaRiMsrIlT05Jaq7iiYq07aLvRr35KA48/edit?gid=173865642#gid=173865642"", ""'G10_Sci_Pri_LU'!G2:V2000""), {3, 4, 5, 6, 7, 8, 9, 10, 11, 12, 13, 14, 15, 16}, 0))"),"LU006568")</f>
        <v>LU006568</v>
      </c>
      <c r="AH141" s="138" t="str">
        <f ca="1">IFERROR(__xludf.DUMMYFUNCTION("""COMPUTED_VALUE"""),"Allotropes of Carbon")</f>
        <v>Allotropes of Carbon</v>
      </c>
      <c r="AI141" s="138"/>
      <c r="AJ141" s="138"/>
      <c r="AK141" s="138"/>
      <c r="AL141" s="138"/>
      <c r="AM141" s="138"/>
      <c r="AN141" s="138"/>
      <c r="AO141" s="138"/>
      <c r="AP141" s="138"/>
      <c r="AQ141" s="138"/>
      <c r="AR141" s="138"/>
      <c r="AS141" s="138"/>
      <c r="AT141" s="138"/>
    </row>
    <row r="142" spans="1:46">
      <c r="A142" s="54" t="s">
        <v>247</v>
      </c>
      <c r="B142" s="55" t="s">
        <v>47</v>
      </c>
      <c r="C142" s="55" t="s">
        <v>1172</v>
      </c>
      <c r="D142" s="138" t="s">
        <v>1441</v>
      </c>
      <c r="E142" s="54" t="s">
        <v>2680</v>
      </c>
      <c r="F142" s="55" t="s">
        <v>2686</v>
      </c>
      <c r="G142" s="55" t="s">
        <v>2687</v>
      </c>
      <c r="H142" s="54" t="str">
        <f ca="1">IFERROR(__xludf.DUMMYFUNCTION("VLOOKUP(G142, IMPORTRANGE(""https://docs.google.com/spreadsheets/d/14deopnvwcrKtEGCKuYXdUHJbeLDZlkiSSWWT0g7x2pM/edit#gid=849066331"", ""LU List Science (Filter)!A:B""), 2, FALSE)"),"Saturated and Unsaturated Carbon Compounds")</f>
        <v>Saturated and Unsaturated Carbon Compounds</v>
      </c>
      <c r="I142" s="55" t="str">
        <f t="shared" si="0"/>
        <v>LU006570.001</v>
      </c>
      <c r="J142" s="55" t="str">
        <f ca="1">IFERROR(__xludf.DUMMYFUNCTION("VLOOKUP(I142, IMPORTRANGE(""https://docs.google.com/spreadsheets/d/1yDAaXNsi4Mr5FtRQL4tbmSdIzhx6_m4wkOD7IG-k_eo/edit#gid=1336395716"", ""Science!M:N""), 2, FALSE)"),"(LU006570.001); Default - Remember")</f>
        <v>(LU006570.001); Default - Remember</v>
      </c>
      <c r="K142" s="55" t="str">
        <f t="shared" si="1"/>
        <v>LU006570.002</v>
      </c>
      <c r="L142" s="55" t="str">
        <f ca="1">IFERROR(__xludf.DUMMYFUNCTION("VLOOKUP(K142, IMPORTRANGE(""https://docs.google.com/spreadsheets/d/1yDAaXNsi4Mr5FtRQL4tbmSdIzhx6_m4wkOD7IG-k_eo/edit#gid=1336395716"", ""Science!M:N""), 2, FALSE)"),"(LU006570.002); Default - Understand")</f>
        <v>(LU006570.002); Default - Understand</v>
      </c>
      <c r="M142" s="55" t="str">
        <f t="shared" si="2"/>
        <v>LU006570.003</v>
      </c>
      <c r="N142" s="55" t="str">
        <f ca="1">IFERROR(__xludf.DUMMYFUNCTION("VLOOKUP(M142, IMPORTRANGE(""https://docs.google.com/spreadsheets/d/1yDAaXNsi4Mr5FtRQL4tbmSdIzhx6_m4wkOD7IG-k_eo/edit#gid=1336395716"", ""Science!M:N""), 2, FALSE)"),"(LU006570.003); Default - Apply")</f>
        <v>(LU006570.003); Default - Apply</v>
      </c>
      <c r="O142" s="55" t="str">
        <f t="shared" si="3"/>
        <v>LU006570.004</v>
      </c>
      <c r="P142" s="55" t="str">
        <f ca="1">IFERROR(__xludf.DUMMYFUNCTION("VLOOKUP(O142, IMPORTRANGE(""https://docs.google.com/spreadsheets/d/1yDAaXNsi4Mr5FtRQL4tbmSdIzhx6_m4wkOD7IG-k_eo/edit#gid=1336395716"", ""Science!M:N""), 2, FALSE)"),"(LU006570.004); Default - Analyse")</f>
        <v>(LU006570.004); Default - Analyse</v>
      </c>
      <c r="Q142" s="55" t="str">
        <f t="shared" si="4"/>
        <v>LU006570.005</v>
      </c>
      <c r="R142" s="55" t="str">
        <f ca="1">IFERROR(__xludf.DUMMYFUNCTION("VLOOKUP(Q142, IMPORTRANGE(""https://docs.google.com/spreadsheets/d/1yDAaXNsi4Mr5FtRQL4tbmSdIzhx6_m4wkOD7IG-k_eo/edit#gid=1336395716"", ""Science!M:N""), 2, FALSE)"),"(LU006570.005); Default - Evaluate")</f>
        <v>(LU006570.005); Default - Evaluate</v>
      </c>
      <c r="S142" s="55" t="str">
        <f t="shared" si="5"/>
        <v>LU006570.006</v>
      </c>
      <c r="T142" s="55" t="str">
        <f ca="1">IFERROR(__xludf.DUMMYFUNCTION("VLOOKUP(S142, IMPORTRANGE(""https://docs.google.com/spreadsheets/d/1yDAaXNsi4Mr5FtRQL4tbmSdIzhx6_m4wkOD7IG-k_eo/edit#gid=1336395716"", ""Science!M:N""), 2, FALSE)"),"(LU006570.006); Default - Create")</f>
        <v>(LU006570.006); Default - Create</v>
      </c>
      <c r="U142" s="137" t="str">
        <f ca="1">IFERROR(__xludf.DUMMYFUNCTION("ArrayFormula(VLOOKUP(G142, IMPORTRANGE(""https://docs.google.com/spreadsheets/d/1p7R4vtkWt5VOBim4ltsDG9KTzSjrtKXsMtQGXPHyND0/edit#gid=795171502"", ""'Filter 30_05_2024'!A1:M2000""), {2, 3, 4, 5,6,7,8,9,10,11,12,13}, 0))"),"#N/A")</f>
        <v>#N/A</v>
      </c>
      <c r="V142" s="137" t="str">
        <f ca="1">IFERROR(__xludf.DUMMYFUNCTION("""COMPUTED_VALUE"""),"#N/A")</f>
        <v>#N/A</v>
      </c>
      <c r="W142" s="137" t="str">
        <f ca="1">IFERROR(__xludf.DUMMYFUNCTION("""COMPUTED_VALUE"""),"#N/A")</f>
        <v>#N/A</v>
      </c>
      <c r="X142" s="137" t="str">
        <f ca="1">IFERROR(__xludf.DUMMYFUNCTION("""COMPUTED_VALUE"""),"#N/A")</f>
        <v>#N/A</v>
      </c>
      <c r="Y142" s="137" t="str">
        <f ca="1">IFERROR(__xludf.DUMMYFUNCTION("""COMPUTED_VALUE"""),"#N/A")</f>
        <v>#N/A</v>
      </c>
      <c r="Z142" s="138" t="str">
        <f ca="1">IFERROR(__xludf.DUMMYFUNCTION("""COMPUTED_VALUE"""),"#N/A")</f>
        <v>#N/A</v>
      </c>
      <c r="AA142" s="138" t="str">
        <f ca="1">IFERROR(__xludf.DUMMYFUNCTION("""COMPUTED_VALUE"""),"#N/A")</f>
        <v>#N/A</v>
      </c>
      <c r="AB142" s="138" t="str">
        <f ca="1">IFERROR(__xludf.DUMMYFUNCTION("""COMPUTED_VALUE"""),"#N/A")</f>
        <v>#N/A</v>
      </c>
      <c r="AC142" s="138" t="str">
        <f ca="1">IFERROR(__xludf.DUMMYFUNCTION("""COMPUTED_VALUE"""),"#N/A")</f>
        <v>#N/A</v>
      </c>
      <c r="AD142" s="138" t="str">
        <f ca="1">IFERROR(__xludf.DUMMYFUNCTION("""COMPUTED_VALUE"""),"#N/A")</f>
        <v>#N/A</v>
      </c>
      <c r="AE142" s="138" t="str">
        <f ca="1">IFERROR(__xludf.DUMMYFUNCTION("""COMPUTED_VALUE"""),"#N/A")</f>
        <v>#N/A</v>
      </c>
      <c r="AF142" s="138" t="str">
        <f ca="1">IFERROR(__xludf.DUMMYFUNCTION("""COMPUTED_VALUE"""),"#N/A")</f>
        <v>#N/A</v>
      </c>
      <c r="AG142" s="138" t="str">
        <f ca="1">IFERROR(__xludf.DUMMYFUNCTION("ArrayFormula(VLOOKUP(G142, IMPORTRANGE(""https://docs.google.com/spreadsheets/d/1Co934fvtviyaRiMsrIlT05Jaq7iiYq07aLvRr35KA48/edit?gid=173865642#gid=173865642"", ""'G10_Sci_Pri_LU'!G2:V2000""), {3, 4, 5, 6, 7, 8, 9, 10, 11, 12, 13, 14, 15, 16}, 0))"),"LU006569")</f>
        <v>LU006569</v>
      </c>
      <c r="AH142" s="138" t="str">
        <f ca="1">IFERROR(__xludf.DUMMYFUNCTION("""COMPUTED_VALUE"""),"Versatile Nature of Carbon")</f>
        <v>Versatile Nature of Carbon</v>
      </c>
      <c r="AI142" s="138"/>
      <c r="AJ142" s="138"/>
      <c r="AK142" s="138"/>
      <c r="AL142" s="138"/>
      <c r="AM142" s="138"/>
      <c r="AN142" s="138"/>
      <c r="AO142" s="138"/>
      <c r="AP142" s="138"/>
      <c r="AQ142" s="138"/>
      <c r="AR142" s="138"/>
      <c r="AS142" s="138"/>
      <c r="AT142" s="138"/>
    </row>
    <row r="143" spans="1:46">
      <c r="A143" s="54" t="s">
        <v>247</v>
      </c>
      <c r="B143" s="55" t="s">
        <v>47</v>
      </c>
      <c r="C143" s="55" t="s">
        <v>1172</v>
      </c>
      <c r="D143" s="138" t="s">
        <v>1441</v>
      </c>
      <c r="E143" s="54" t="s">
        <v>2680</v>
      </c>
      <c r="F143" s="55" t="s">
        <v>2686</v>
      </c>
      <c r="G143" s="55" t="s">
        <v>2688</v>
      </c>
      <c r="H143" s="54" t="str">
        <f ca="1">IFERROR(__xludf.DUMMYFUNCTION("VLOOKUP(G143, IMPORTRANGE(""https://docs.google.com/spreadsheets/d/14deopnvwcrKtEGCKuYXdUHJbeLDZlkiSSWWT0g7x2pM/edit#gid=849066331"", ""LU List Science (Filter)!A:B""), 2, FALSE)"),"Chains, Branches and Rings")</f>
        <v>Chains, Branches and Rings</v>
      </c>
      <c r="I143" s="55" t="str">
        <f t="shared" si="0"/>
        <v>LU006571.001</v>
      </c>
      <c r="J143" s="55" t="str">
        <f ca="1">IFERROR(__xludf.DUMMYFUNCTION("VLOOKUP(I143, IMPORTRANGE(""https://docs.google.com/spreadsheets/d/1yDAaXNsi4Mr5FtRQL4tbmSdIzhx6_m4wkOD7IG-k_eo/edit#gid=1336395716"", ""Science!M:N""), 2, FALSE)"),"(LU006571.001); Default - Remember")</f>
        <v>(LU006571.001); Default - Remember</v>
      </c>
      <c r="K143" s="55" t="str">
        <f t="shared" si="1"/>
        <v>LU006571.002</v>
      </c>
      <c r="L143" s="55" t="str">
        <f ca="1">IFERROR(__xludf.DUMMYFUNCTION("VLOOKUP(K143, IMPORTRANGE(""https://docs.google.com/spreadsheets/d/1yDAaXNsi4Mr5FtRQL4tbmSdIzhx6_m4wkOD7IG-k_eo/edit#gid=1336395716"", ""Science!M:N""), 2, FALSE)"),"(LU006571.002); Default - Understand")</f>
        <v>(LU006571.002); Default - Understand</v>
      </c>
      <c r="M143" s="55" t="str">
        <f t="shared" si="2"/>
        <v>LU006571.003</v>
      </c>
      <c r="N143" s="55" t="str">
        <f ca="1">IFERROR(__xludf.DUMMYFUNCTION("VLOOKUP(M143, IMPORTRANGE(""https://docs.google.com/spreadsheets/d/1yDAaXNsi4Mr5FtRQL4tbmSdIzhx6_m4wkOD7IG-k_eo/edit#gid=1336395716"", ""Science!M:N""), 2, FALSE)"),"(LU006571.003); Default - Apply")</f>
        <v>(LU006571.003); Default - Apply</v>
      </c>
      <c r="O143" s="55" t="str">
        <f t="shared" si="3"/>
        <v>LU006571.004</v>
      </c>
      <c r="P143" s="55" t="str">
        <f ca="1">IFERROR(__xludf.DUMMYFUNCTION("VLOOKUP(O143, IMPORTRANGE(""https://docs.google.com/spreadsheets/d/1yDAaXNsi4Mr5FtRQL4tbmSdIzhx6_m4wkOD7IG-k_eo/edit#gid=1336395716"", ""Science!M:N""), 2, FALSE)"),"(LU006571.004); Default - Analyse")</f>
        <v>(LU006571.004); Default - Analyse</v>
      </c>
      <c r="Q143" s="55" t="str">
        <f t="shared" si="4"/>
        <v>LU006571.005</v>
      </c>
      <c r="R143" s="55" t="str">
        <f ca="1">IFERROR(__xludf.DUMMYFUNCTION("VLOOKUP(Q143, IMPORTRANGE(""https://docs.google.com/spreadsheets/d/1yDAaXNsi4Mr5FtRQL4tbmSdIzhx6_m4wkOD7IG-k_eo/edit#gid=1336395716"", ""Science!M:N""), 2, FALSE)"),"(LU006571.005); Default - Evaluate")</f>
        <v>(LU006571.005); Default - Evaluate</v>
      </c>
      <c r="S143" s="55" t="str">
        <f t="shared" si="5"/>
        <v>LU006571.006</v>
      </c>
      <c r="T143" s="55" t="str">
        <f ca="1">IFERROR(__xludf.DUMMYFUNCTION("VLOOKUP(S143, IMPORTRANGE(""https://docs.google.com/spreadsheets/d/1yDAaXNsi4Mr5FtRQL4tbmSdIzhx6_m4wkOD7IG-k_eo/edit#gid=1336395716"", ""Science!M:N""), 2, FALSE)"),"(LU006571.006); Default - Create")</f>
        <v>(LU006571.006); Default - Create</v>
      </c>
      <c r="U143" s="137" t="str">
        <f ca="1">IFERROR(__xludf.DUMMYFUNCTION("ArrayFormula(VLOOKUP(G143, IMPORTRANGE(""https://docs.google.com/spreadsheets/d/1p7R4vtkWt5VOBim4ltsDG9KTzSjrtKXsMtQGXPHyND0/edit#gid=795171502"", ""'Filter 30_05_2024'!A1:M2000""), {2, 3, 4, 5,6,7,8,9,10,11,12,13}, 0))"),"#N/A")</f>
        <v>#N/A</v>
      </c>
      <c r="V143" s="137" t="str">
        <f ca="1">IFERROR(__xludf.DUMMYFUNCTION("""COMPUTED_VALUE"""),"#N/A")</f>
        <v>#N/A</v>
      </c>
      <c r="W143" s="137" t="str">
        <f ca="1">IFERROR(__xludf.DUMMYFUNCTION("""COMPUTED_VALUE"""),"#N/A")</f>
        <v>#N/A</v>
      </c>
      <c r="X143" s="137" t="str">
        <f ca="1">IFERROR(__xludf.DUMMYFUNCTION("""COMPUTED_VALUE"""),"#N/A")</f>
        <v>#N/A</v>
      </c>
      <c r="Y143" s="137" t="str">
        <f ca="1">IFERROR(__xludf.DUMMYFUNCTION("""COMPUTED_VALUE"""),"#N/A")</f>
        <v>#N/A</v>
      </c>
      <c r="Z143" s="138" t="str">
        <f ca="1">IFERROR(__xludf.DUMMYFUNCTION("""COMPUTED_VALUE"""),"#N/A")</f>
        <v>#N/A</v>
      </c>
      <c r="AA143" s="138" t="str">
        <f ca="1">IFERROR(__xludf.DUMMYFUNCTION("""COMPUTED_VALUE"""),"#N/A")</f>
        <v>#N/A</v>
      </c>
      <c r="AB143" s="138" t="str">
        <f ca="1">IFERROR(__xludf.DUMMYFUNCTION("""COMPUTED_VALUE"""),"#N/A")</f>
        <v>#N/A</v>
      </c>
      <c r="AC143" s="138" t="str">
        <f ca="1">IFERROR(__xludf.DUMMYFUNCTION("""COMPUTED_VALUE"""),"#N/A")</f>
        <v>#N/A</v>
      </c>
      <c r="AD143" s="138" t="str">
        <f ca="1">IFERROR(__xludf.DUMMYFUNCTION("""COMPUTED_VALUE"""),"#N/A")</f>
        <v>#N/A</v>
      </c>
      <c r="AE143" s="138" t="str">
        <f ca="1">IFERROR(__xludf.DUMMYFUNCTION("""COMPUTED_VALUE"""),"#N/A")</f>
        <v>#N/A</v>
      </c>
      <c r="AF143" s="138" t="str">
        <f ca="1">IFERROR(__xludf.DUMMYFUNCTION("""COMPUTED_VALUE"""),"#N/A")</f>
        <v>#N/A</v>
      </c>
      <c r="AG143" s="138" t="str">
        <f ca="1">IFERROR(__xludf.DUMMYFUNCTION("ArrayFormula(VLOOKUP(G143, IMPORTRANGE(""https://docs.google.com/spreadsheets/d/1Co934fvtviyaRiMsrIlT05Jaq7iiYq07aLvRr35KA48/edit?gid=173865642#gid=173865642"", ""'G10_Sci_Pri_LU'!G2:V2000""), {3, 4, 5, 6, 7, 8, 9, 10, 11, 12, 13, 14, 15, 16}, 0))"),"LU006570")</f>
        <v>LU006570</v>
      </c>
      <c r="AH143" s="138" t="str">
        <f ca="1">IFERROR(__xludf.DUMMYFUNCTION("""COMPUTED_VALUE"""),"Saturated and Unsaturated Carbon Compounds")</f>
        <v>Saturated and Unsaturated Carbon Compounds</v>
      </c>
      <c r="AI143" s="138"/>
      <c r="AJ143" s="138"/>
      <c r="AK143" s="138"/>
      <c r="AL143" s="138"/>
      <c r="AM143" s="138"/>
      <c r="AN143" s="138"/>
      <c r="AO143" s="138"/>
      <c r="AP143" s="138"/>
      <c r="AQ143" s="138"/>
      <c r="AR143" s="138"/>
      <c r="AS143" s="138"/>
      <c r="AT143" s="138"/>
    </row>
    <row r="144" spans="1:46">
      <c r="A144" s="54" t="s">
        <v>247</v>
      </c>
      <c r="B144" s="55" t="s">
        <v>47</v>
      </c>
      <c r="C144" s="55" t="s">
        <v>1172</v>
      </c>
      <c r="D144" s="138" t="s">
        <v>1441</v>
      </c>
      <c r="E144" s="54" t="s">
        <v>2680</v>
      </c>
      <c r="F144" s="55" t="s">
        <v>2689</v>
      </c>
      <c r="G144" s="55" t="s">
        <v>2690</v>
      </c>
      <c r="H144" s="54" t="str">
        <f ca="1">IFERROR(__xludf.DUMMYFUNCTION("VLOOKUP(G144, IMPORTRANGE(""https://docs.google.com/spreadsheets/d/14deopnvwcrKtEGCKuYXdUHJbeLDZlkiSSWWT0g7x2pM/edit#gid=849066331"", ""LU List Science (Filter)!A:B""), 2, FALSE)"),"Heteroatoms and Functional Groups")</f>
        <v>Heteroatoms and Functional Groups</v>
      </c>
      <c r="I144" s="55" t="str">
        <f t="shared" si="0"/>
        <v>LU006572.001</v>
      </c>
      <c r="J144" s="55" t="str">
        <f ca="1">IFERROR(__xludf.DUMMYFUNCTION("VLOOKUP(I144, IMPORTRANGE(""https://docs.google.com/spreadsheets/d/1yDAaXNsi4Mr5FtRQL4tbmSdIzhx6_m4wkOD7IG-k_eo/edit#gid=1336395716"", ""Science!M:N""), 2, FALSE)"),"(LU006572.001); Default - Remember")</f>
        <v>(LU006572.001); Default - Remember</v>
      </c>
      <c r="K144" s="55" t="str">
        <f t="shared" si="1"/>
        <v>LU006572.002</v>
      </c>
      <c r="L144" s="55" t="str">
        <f ca="1">IFERROR(__xludf.DUMMYFUNCTION("VLOOKUP(K144, IMPORTRANGE(""https://docs.google.com/spreadsheets/d/1yDAaXNsi4Mr5FtRQL4tbmSdIzhx6_m4wkOD7IG-k_eo/edit#gid=1336395716"", ""Science!M:N""), 2, FALSE)"),"(LU006572.002); Default - Understand")</f>
        <v>(LU006572.002); Default - Understand</v>
      </c>
      <c r="M144" s="55" t="str">
        <f t="shared" si="2"/>
        <v>LU006572.003</v>
      </c>
      <c r="N144" s="55" t="str">
        <f ca="1">IFERROR(__xludf.DUMMYFUNCTION("VLOOKUP(M144, IMPORTRANGE(""https://docs.google.com/spreadsheets/d/1yDAaXNsi4Mr5FtRQL4tbmSdIzhx6_m4wkOD7IG-k_eo/edit#gid=1336395716"", ""Science!M:N""), 2, FALSE)"),"(LU006572.003); Default - Apply")</f>
        <v>(LU006572.003); Default - Apply</v>
      </c>
      <c r="O144" s="55" t="str">
        <f t="shared" si="3"/>
        <v>LU006572.004</v>
      </c>
      <c r="P144" s="55" t="str">
        <f ca="1">IFERROR(__xludf.DUMMYFUNCTION("VLOOKUP(O144, IMPORTRANGE(""https://docs.google.com/spreadsheets/d/1yDAaXNsi4Mr5FtRQL4tbmSdIzhx6_m4wkOD7IG-k_eo/edit#gid=1336395716"", ""Science!M:N""), 2, FALSE)"),"(LU006572.004); Default - Analyse")</f>
        <v>(LU006572.004); Default - Analyse</v>
      </c>
      <c r="Q144" s="55" t="str">
        <f t="shared" si="4"/>
        <v>LU006572.005</v>
      </c>
      <c r="R144" s="55" t="str">
        <f ca="1">IFERROR(__xludf.DUMMYFUNCTION("VLOOKUP(Q144, IMPORTRANGE(""https://docs.google.com/spreadsheets/d/1yDAaXNsi4Mr5FtRQL4tbmSdIzhx6_m4wkOD7IG-k_eo/edit#gid=1336395716"", ""Science!M:N""), 2, FALSE)"),"(LU006572.005); Default - Evaluate")</f>
        <v>(LU006572.005); Default - Evaluate</v>
      </c>
      <c r="S144" s="55" t="str">
        <f t="shared" si="5"/>
        <v>LU006572.006</v>
      </c>
      <c r="T144" s="55" t="str">
        <f ca="1">IFERROR(__xludf.DUMMYFUNCTION("VLOOKUP(S144, IMPORTRANGE(""https://docs.google.com/spreadsheets/d/1yDAaXNsi4Mr5FtRQL4tbmSdIzhx6_m4wkOD7IG-k_eo/edit#gid=1336395716"", ""Science!M:N""), 2, FALSE)"),"(LU006572.006); Default - Create")</f>
        <v>(LU006572.006); Default - Create</v>
      </c>
      <c r="U144" s="137" t="str">
        <f ca="1">IFERROR(__xludf.DUMMYFUNCTION("ArrayFormula(VLOOKUP(G144, IMPORTRANGE(""https://docs.google.com/spreadsheets/d/1p7R4vtkWt5VOBim4ltsDG9KTzSjrtKXsMtQGXPHyND0/edit#gid=795171502"", ""'Filter 30_05_2024'!A1:M2000""), {2, 3, 4, 5,6,7,8,9,10,11,12,13}, 0))"),"#N/A")</f>
        <v>#N/A</v>
      </c>
      <c r="V144" s="137" t="str">
        <f ca="1">IFERROR(__xludf.DUMMYFUNCTION("""COMPUTED_VALUE"""),"#N/A")</f>
        <v>#N/A</v>
      </c>
      <c r="W144" s="137" t="str">
        <f ca="1">IFERROR(__xludf.DUMMYFUNCTION("""COMPUTED_VALUE"""),"#N/A")</f>
        <v>#N/A</v>
      </c>
      <c r="X144" s="137" t="str">
        <f ca="1">IFERROR(__xludf.DUMMYFUNCTION("""COMPUTED_VALUE"""),"#N/A")</f>
        <v>#N/A</v>
      </c>
      <c r="Y144" s="137" t="str">
        <f ca="1">IFERROR(__xludf.DUMMYFUNCTION("""COMPUTED_VALUE"""),"#N/A")</f>
        <v>#N/A</v>
      </c>
      <c r="Z144" s="138" t="str">
        <f ca="1">IFERROR(__xludf.DUMMYFUNCTION("""COMPUTED_VALUE"""),"#N/A")</f>
        <v>#N/A</v>
      </c>
      <c r="AA144" s="138" t="str">
        <f ca="1">IFERROR(__xludf.DUMMYFUNCTION("""COMPUTED_VALUE"""),"#N/A")</f>
        <v>#N/A</v>
      </c>
      <c r="AB144" s="138" t="str">
        <f ca="1">IFERROR(__xludf.DUMMYFUNCTION("""COMPUTED_VALUE"""),"#N/A")</f>
        <v>#N/A</v>
      </c>
      <c r="AC144" s="138" t="str">
        <f ca="1">IFERROR(__xludf.DUMMYFUNCTION("""COMPUTED_VALUE"""),"#N/A")</f>
        <v>#N/A</v>
      </c>
      <c r="AD144" s="138" t="str">
        <f ca="1">IFERROR(__xludf.DUMMYFUNCTION("""COMPUTED_VALUE"""),"#N/A")</f>
        <v>#N/A</v>
      </c>
      <c r="AE144" s="138" t="str">
        <f ca="1">IFERROR(__xludf.DUMMYFUNCTION("""COMPUTED_VALUE"""),"#N/A")</f>
        <v>#N/A</v>
      </c>
      <c r="AF144" s="138" t="str">
        <f ca="1">IFERROR(__xludf.DUMMYFUNCTION("""COMPUTED_VALUE"""),"#N/A")</f>
        <v>#N/A</v>
      </c>
      <c r="AG144" s="138" t="str">
        <f ca="1">IFERROR(__xludf.DUMMYFUNCTION("ArrayFormula(VLOOKUP(G144, IMPORTRANGE(""https://docs.google.com/spreadsheets/d/1Co934fvtviyaRiMsrIlT05Jaq7iiYq07aLvRr35KA48/edit?gid=173865642#gid=173865642"", ""'G10_Sci_Pri_LU'!G2:V2000""), {3, 4, 5, 6, 7, 8, 9, 10, 11, 12, 13, 14, 15, 16}, 0))"),"LU006569")</f>
        <v>LU006569</v>
      </c>
      <c r="AH144" s="138" t="str">
        <f ca="1">IFERROR(__xludf.DUMMYFUNCTION("""COMPUTED_VALUE"""),"Versatile Nature of Carbon")</f>
        <v>Versatile Nature of Carbon</v>
      </c>
      <c r="AI144" s="138"/>
      <c r="AJ144" s="138"/>
      <c r="AK144" s="138"/>
      <c r="AL144" s="138"/>
      <c r="AM144" s="138"/>
      <c r="AN144" s="138"/>
      <c r="AO144" s="138"/>
      <c r="AP144" s="138"/>
      <c r="AQ144" s="138"/>
      <c r="AR144" s="138"/>
      <c r="AS144" s="138"/>
      <c r="AT144" s="138"/>
    </row>
    <row r="145" spans="1:46">
      <c r="A145" s="54" t="s">
        <v>247</v>
      </c>
      <c r="B145" s="55" t="s">
        <v>47</v>
      </c>
      <c r="C145" s="55" t="s">
        <v>1172</v>
      </c>
      <c r="D145" s="138" t="s">
        <v>1441</v>
      </c>
      <c r="E145" s="54" t="s">
        <v>2680</v>
      </c>
      <c r="F145" s="55" t="s">
        <v>2689</v>
      </c>
      <c r="G145" s="55" t="s">
        <v>2691</v>
      </c>
      <c r="H145" s="54" t="str">
        <f ca="1">IFERROR(__xludf.DUMMYFUNCTION("VLOOKUP(G145, IMPORTRANGE(""https://docs.google.com/spreadsheets/d/14deopnvwcrKtEGCKuYXdUHJbeLDZlkiSSWWT0g7x2pM/edit#gid=849066331"", ""LU List Science (Filter)!A:B""), 2, FALSE)"),"Homologous Series and Properties of Homologues")</f>
        <v>Homologous Series and Properties of Homologues</v>
      </c>
      <c r="I145" s="55" t="str">
        <f t="shared" si="0"/>
        <v>LU006573.001</v>
      </c>
      <c r="J145" s="55" t="str">
        <f ca="1">IFERROR(__xludf.DUMMYFUNCTION("VLOOKUP(I145, IMPORTRANGE(""https://docs.google.com/spreadsheets/d/1yDAaXNsi4Mr5FtRQL4tbmSdIzhx6_m4wkOD7IG-k_eo/edit#gid=1336395716"", ""Science!M:N""), 2, FALSE)"),"(LU006573.001); Default - Remember")</f>
        <v>(LU006573.001); Default - Remember</v>
      </c>
      <c r="K145" s="55" t="str">
        <f t="shared" si="1"/>
        <v>LU006573.002</v>
      </c>
      <c r="L145" s="55" t="str">
        <f ca="1">IFERROR(__xludf.DUMMYFUNCTION("VLOOKUP(K145, IMPORTRANGE(""https://docs.google.com/spreadsheets/d/1yDAaXNsi4Mr5FtRQL4tbmSdIzhx6_m4wkOD7IG-k_eo/edit#gid=1336395716"", ""Science!M:N""), 2, FALSE)"),"(LU006573.002); Default - Understand")</f>
        <v>(LU006573.002); Default - Understand</v>
      </c>
      <c r="M145" s="55" t="str">
        <f t="shared" si="2"/>
        <v>LU006573.003</v>
      </c>
      <c r="N145" s="55" t="str">
        <f ca="1">IFERROR(__xludf.DUMMYFUNCTION("VLOOKUP(M145, IMPORTRANGE(""https://docs.google.com/spreadsheets/d/1yDAaXNsi4Mr5FtRQL4tbmSdIzhx6_m4wkOD7IG-k_eo/edit#gid=1336395716"", ""Science!M:N""), 2, FALSE)"),"(LU006573.003); Default - Apply")</f>
        <v>(LU006573.003); Default - Apply</v>
      </c>
      <c r="O145" s="55" t="str">
        <f t="shared" si="3"/>
        <v>LU006573.004</v>
      </c>
      <c r="P145" s="55" t="str">
        <f ca="1">IFERROR(__xludf.DUMMYFUNCTION("VLOOKUP(O145, IMPORTRANGE(""https://docs.google.com/spreadsheets/d/1yDAaXNsi4Mr5FtRQL4tbmSdIzhx6_m4wkOD7IG-k_eo/edit#gid=1336395716"", ""Science!M:N""), 2, FALSE)"),"(LU006573.004); Default - Analyse")</f>
        <v>(LU006573.004); Default - Analyse</v>
      </c>
      <c r="Q145" s="55" t="str">
        <f t="shared" si="4"/>
        <v>LU006573.005</v>
      </c>
      <c r="R145" s="55" t="str">
        <f ca="1">IFERROR(__xludf.DUMMYFUNCTION("VLOOKUP(Q145, IMPORTRANGE(""https://docs.google.com/spreadsheets/d/1yDAaXNsi4Mr5FtRQL4tbmSdIzhx6_m4wkOD7IG-k_eo/edit#gid=1336395716"", ""Science!M:N""), 2, FALSE)"),"(LU006573.005); Default - Evaluate")</f>
        <v>(LU006573.005); Default - Evaluate</v>
      </c>
      <c r="S145" s="55" t="str">
        <f t="shared" si="5"/>
        <v>LU006573.006</v>
      </c>
      <c r="T145" s="55" t="str">
        <f ca="1">IFERROR(__xludf.DUMMYFUNCTION("VLOOKUP(S145, IMPORTRANGE(""https://docs.google.com/spreadsheets/d/1yDAaXNsi4Mr5FtRQL4tbmSdIzhx6_m4wkOD7IG-k_eo/edit#gid=1336395716"", ""Science!M:N""), 2, FALSE)"),"(LU006573.006); Default - Create")</f>
        <v>(LU006573.006); Default - Create</v>
      </c>
      <c r="U145" s="137" t="str">
        <f ca="1">IFERROR(__xludf.DUMMYFUNCTION("ArrayFormula(VLOOKUP(G145, IMPORTRANGE(""https://docs.google.com/spreadsheets/d/1p7R4vtkWt5VOBim4ltsDG9KTzSjrtKXsMtQGXPHyND0/edit#gid=795171502"", ""'Filter 30_05_2024'!A1:M2000""), {2, 3, 4, 5,6,7,8,9,10,11,12,13}, 0))"),"#N/A")</f>
        <v>#N/A</v>
      </c>
      <c r="V145" s="137" t="str">
        <f ca="1">IFERROR(__xludf.DUMMYFUNCTION("""COMPUTED_VALUE"""),"#N/A")</f>
        <v>#N/A</v>
      </c>
      <c r="W145" s="137" t="str">
        <f ca="1">IFERROR(__xludf.DUMMYFUNCTION("""COMPUTED_VALUE"""),"#N/A")</f>
        <v>#N/A</v>
      </c>
      <c r="X145" s="137" t="str">
        <f ca="1">IFERROR(__xludf.DUMMYFUNCTION("""COMPUTED_VALUE"""),"#N/A")</f>
        <v>#N/A</v>
      </c>
      <c r="Y145" s="137" t="str">
        <f ca="1">IFERROR(__xludf.DUMMYFUNCTION("""COMPUTED_VALUE"""),"#N/A")</f>
        <v>#N/A</v>
      </c>
      <c r="Z145" s="138" t="str">
        <f ca="1">IFERROR(__xludf.DUMMYFUNCTION("""COMPUTED_VALUE"""),"#N/A")</f>
        <v>#N/A</v>
      </c>
      <c r="AA145" s="138" t="str">
        <f ca="1">IFERROR(__xludf.DUMMYFUNCTION("""COMPUTED_VALUE"""),"#N/A")</f>
        <v>#N/A</v>
      </c>
      <c r="AB145" s="138" t="str">
        <f ca="1">IFERROR(__xludf.DUMMYFUNCTION("""COMPUTED_VALUE"""),"#N/A")</f>
        <v>#N/A</v>
      </c>
      <c r="AC145" s="138" t="str">
        <f ca="1">IFERROR(__xludf.DUMMYFUNCTION("""COMPUTED_VALUE"""),"#N/A")</f>
        <v>#N/A</v>
      </c>
      <c r="AD145" s="138" t="str">
        <f ca="1">IFERROR(__xludf.DUMMYFUNCTION("""COMPUTED_VALUE"""),"#N/A")</f>
        <v>#N/A</v>
      </c>
      <c r="AE145" s="138" t="str">
        <f ca="1">IFERROR(__xludf.DUMMYFUNCTION("""COMPUTED_VALUE"""),"#N/A")</f>
        <v>#N/A</v>
      </c>
      <c r="AF145" s="138" t="str">
        <f ca="1">IFERROR(__xludf.DUMMYFUNCTION("""COMPUTED_VALUE"""),"#N/A")</f>
        <v>#N/A</v>
      </c>
      <c r="AG145" s="138" t="str">
        <f ca="1">IFERROR(__xludf.DUMMYFUNCTION("ArrayFormula(VLOOKUP(G145, IMPORTRANGE(""https://docs.google.com/spreadsheets/d/1Co934fvtviyaRiMsrIlT05Jaq7iiYq07aLvRr35KA48/edit?gid=173865642#gid=173865642"", ""'G10_Sci_Pri_LU'!G2:V2000""), {3, 4, 5, 6, 7, 8, 9, 10, 11, 12, 13, 14, 15, 16}, 0))"),"LU006572")</f>
        <v>LU006572</v>
      </c>
      <c r="AH145" s="138" t="str">
        <f ca="1">IFERROR(__xludf.DUMMYFUNCTION("""COMPUTED_VALUE"""),"Heteroatoms and Functional Groups")</f>
        <v>Heteroatoms and Functional Groups</v>
      </c>
      <c r="AI145" s="138"/>
      <c r="AJ145" s="138"/>
      <c r="AK145" s="138"/>
      <c r="AL145" s="138"/>
      <c r="AM145" s="138"/>
      <c r="AN145" s="138"/>
      <c r="AO145" s="138"/>
      <c r="AP145" s="138"/>
      <c r="AQ145" s="138"/>
      <c r="AR145" s="138"/>
      <c r="AS145" s="138"/>
      <c r="AT145" s="138"/>
    </row>
    <row r="146" spans="1:46">
      <c r="A146" s="54" t="s">
        <v>247</v>
      </c>
      <c r="B146" s="55" t="s">
        <v>47</v>
      </c>
      <c r="C146" s="55" t="s">
        <v>1172</v>
      </c>
      <c r="D146" s="138" t="s">
        <v>1441</v>
      </c>
      <c r="E146" s="54" t="s">
        <v>2680</v>
      </c>
      <c r="F146" s="55" t="s">
        <v>2692</v>
      </c>
      <c r="G146" s="55" t="s">
        <v>2693</v>
      </c>
      <c r="H146" s="54" t="str">
        <f ca="1">IFERROR(__xludf.DUMMYFUNCTION("VLOOKUP(G146, IMPORTRANGE(""https://docs.google.com/spreadsheets/d/14deopnvwcrKtEGCKuYXdUHJbeLDZlkiSSWWT0g7x2pM/edit#gid=849066331"", ""LU List Science (Filter)!A:B""), 2, FALSE)"),"Nomenclature of Organic Compounds")</f>
        <v>Nomenclature of Organic Compounds</v>
      </c>
      <c r="I146" s="55" t="str">
        <f t="shared" si="0"/>
        <v>LU006574.001</v>
      </c>
      <c r="J146" s="55" t="str">
        <f ca="1">IFERROR(__xludf.DUMMYFUNCTION("VLOOKUP(I146, IMPORTRANGE(""https://docs.google.com/spreadsheets/d/1yDAaXNsi4Mr5FtRQL4tbmSdIzhx6_m4wkOD7IG-k_eo/edit#gid=1336395716"", ""Science!M:N""), 2, FALSE)"),"(LU006574.001); Default - Remember")</f>
        <v>(LU006574.001); Default - Remember</v>
      </c>
      <c r="K146" s="55" t="str">
        <f t="shared" si="1"/>
        <v>LU006574.002</v>
      </c>
      <c r="L146" s="55" t="str">
        <f ca="1">IFERROR(__xludf.DUMMYFUNCTION("VLOOKUP(K146, IMPORTRANGE(""https://docs.google.com/spreadsheets/d/1yDAaXNsi4Mr5FtRQL4tbmSdIzhx6_m4wkOD7IG-k_eo/edit#gid=1336395716"", ""Science!M:N""), 2, FALSE)"),"(LU006574.002); Default - Understand")</f>
        <v>(LU006574.002); Default - Understand</v>
      </c>
      <c r="M146" s="55" t="str">
        <f t="shared" si="2"/>
        <v>LU006574.003</v>
      </c>
      <c r="N146" s="55" t="str">
        <f ca="1">IFERROR(__xludf.DUMMYFUNCTION("VLOOKUP(M146, IMPORTRANGE(""https://docs.google.com/spreadsheets/d/1yDAaXNsi4Mr5FtRQL4tbmSdIzhx6_m4wkOD7IG-k_eo/edit#gid=1336395716"", ""Science!M:N""), 2, FALSE)"),"(LU006574.003); Default - Apply")</f>
        <v>(LU006574.003); Default - Apply</v>
      </c>
      <c r="O146" s="55" t="str">
        <f t="shared" si="3"/>
        <v>LU006574.004</v>
      </c>
      <c r="P146" s="55" t="str">
        <f ca="1">IFERROR(__xludf.DUMMYFUNCTION("VLOOKUP(O146, IMPORTRANGE(""https://docs.google.com/spreadsheets/d/1yDAaXNsi4Mr5FtRQL4tbmSdIzhx6_m4wkOD7IG-k_eo/edit#gid=1336395716"", ""Science!M:N""), 2, FALSE)"),"(LU006574.004); Default - Analyse")</f>
        <v>(LU006574.004); Default - Analyse</v>
      </c>
      <c r="Q146" s="55" t="str">
        <f t="shared" si="4"/>
        <v>LU006574.005</v>
      </c>
      <c r="R146" s="55" t="str">
        <f ca="1">IFERROR(__xludf.DUMMYFUNCTION("VLOOKUP(Q146, IMPORTRANGE(""https://docs.google.com/spreadsheets/d/1yDAaXNsi4Mr5FtRQL4tbmSdIzhx6_m4wkOD7IG-k_eo/edit#gid=1336395716"", ""Science!M:N""), 2, FALSE)"),"(LU006574.005); Default - Evaluate")</f>
        <v>(LU006574.005); Default - Evaluate</v>
      </c>
      <c r="S146" s="55" t="str">
        <f t="shared" si="5"/>
        <v>LU006574.006</v>
      </c>
      <c r="T146" s="55" t="str">
        <f ca="1">IFERROR(__xludf.DUMMYFUNCTION("VLOOKUP(S146, IMPORTRANGE(""https://docs.google.com/spreadsheets/d/1yDAaXNsi4Mr5FtRQL4tbmSdIzhx6_m4wkOD7IG-k_eo/edit#gid=1336395716"", ""Science!M:N""), 2, FALSE)"),"(LU006574.006); Default - Create")</f>
        <v>(LU006574.006); Default - Create</v>
      </c>
      <c r="U146" s="137" t="str">
        <f ca="1">IFERROR(__xludf.DUMMYFUNCTION("ArrayFormula(VLOOKUP(G146, IMPORTRANGE(""https://docs.google.com/spreadsheets/d/1p7R4vtkWt5VOBim4ltsDG9KTzSjrtKXsMtQGXPHyND0/edit#gid=795171502"", ""'Filter 30_05_2024'!A1:M2000""), {2, 3, 4, 5,6,7,8,9,10,11,12,13}, 0))"),"#N/A")</f>
        <v>#N/A</v>
      </c>
      <c r="V146" s="137" t="str">
        <f ca="1">IFERROR(__xludf.DUMMYFUNCTION("""COMPUTED_VALUE"""),"#N/A")</f>
        <v>#N/A</v>
      </c>
      <c r="W146" s="137" t="str">
        <f ca="1">IFERROR(__xludf.DUMMYFUNCTION("""COMPUTED_VALUE"""),"#N/A")</f>
        <v>#N/A</v>
      </c>
      <c r="X146" s="137" t="str">
        <f ca="1">IFERROR(__xludf.DUMMYFUNCTION("""COMPUTED_VALUE"""),"#N/A")</f>
        <v>#N/A</v>
      </c>
      <c r="Y146" s="137" t="str">
        <f ca="1">IFERROR(__xludf.DUMMYFUNCTION("""COMPUTED_VALUE"""),"#N/A")</f>
        <v>#N/A</v>
      </c>
      <c r="Z146" s="138" t="str">
        <f ca="1">IFERROR(__xludf.DUMMYFUNCTION("""COMPUTED_VALUE"""),"#N/A")</f>
        <v>#N/A</v>
      </c>
      <c r="AA146" s="138" t="str">
        <f ca="1">IFERROR(__xludf.DUMMYFUNCTION("""COMPUTED_VALUE"""),"#N/A")</f>
        <v>#N/A</v>
      </c>
      <c r="AB146" s="138" t="str">
        <f ca="1">IFERROR(__xludf.DUMMYFUNCTION("""COMPUTED_VALUE"""),"#N/A")</f>
        <v>#N/A</v>
      </c>
      <c r="AC146" s="138" t="str">
        <f ca="1">IFERROR(__xludf.DUMMYFUNCTION("""COMPUTED_VALUE"""),"#N/A")</f>
        <v>#N/A</v>
      </c>
      <c r="AD146" s="138" t="str">
        <f ca="1">IFERROR(__xludf.DUMMYFUNCTION("""COMPUTED_VALUE"""),"#N/A")</f>
        <v>#N/A</v>
      </c>
      <c r="AE146" s="138" t="str">
        <f ca="1">IFERROR(__xludf.DUMMYFUNCTION("""COMPUTED_VALUE"""),"#N/A")</f>
        <v>#N/A</v>
      </c>
      <c r="AF146" s="138" t="str">
        <f ca="1">IFERROR(__xludf.DUMMYFUNCTION("""COMPUTED_VALUE"""),"#N/A")</f>
        <v>#N/A</v>
      </c>
      <c r="AG146" s="138" t="str">
        <f ca="1">IFERROR(__xludf.DUMMYFUNCTION("ArrayFormula(VLOOKUP(G146, IMPORTRANGE(""https://docs.google.com/spreadsheets/d/1Co934fvtviyaRiMsrIlT05Jaq7iiYq07aLvRr35KA48/edit?gid=173865642#gid=173865642"", ""'G10_Sci_Pri_LU'!G2:V2000""), {3, 4, 5, 6, 7, 8, 9, 10, 11, 12, 13, 14, 15, 16}, 0))"),"LU006573")</f>
        <v>LU006573</v>
      </c>
      <c r="AH146" s="138" t="str">
        <f ca="1">IFERROR(__xludf.DUMMYFUNCTION("""COMPUTED_VALUE"""),"Homologous Series and Properties of Homologues")</f>
        <v>Homologous Series and Properties of Homologues</v>
      </c>
      <c r="AI146" s="138"/>
      <c r="AJ146" s="138"/>
      <c r="AK146" s="138"/>
      <c r="AL146" s="138"/>
      <c r="AM146" s="138"/>
      <c r="AN146" s="138"/>
      <c r="AO146" s="138"/>
      <c r="AP146" s="138"/>
      <c r="AQ146" s="138"/>
      <c r="AR146" s="138"/>
      <c r="AS146" s="138"/>
      <c r="AT146" s="138"/>
    </row>
    <row r="147" spans="1:46">
      <c r="A147" s="54" t="s">
        <v>247</v>
      </c>
      <c r="B147" s="55" t="s">
        <v>47</v>
      </c>
      <c r="C147" s="55" t="s">
        <v>1172</v>
      </c>
      <c r="D147" s="138" t="s">
        <v>1441</v>
      </c>
      <c r="E147" s="54" t="s">
        <v>2680</v>
      </c>
      <c r="F147" s="55" t="s">
        <v>2694</v>
      </c>
      <c r="G147" s="55" t="s">
        <v>2695</v>
      </c>
      <c r="H147" s="54" t="str">
        <f ca="1">IFERROR(__xludf.DUMMYFUNCTION("VLOOKUP(G147, IMPORTRANGE(""https://docs.google.com/spreadsheets/d/14deopnvwcrKtEGCKuYXdUHJbeLDZlkiSSWWT0g7x2pM/edit#gid=849066331"", ""LU List Science (Filter)!A:B""), 2, FALSE)"),"Complete and Incomplete Combustion of Hydrocarbons")</f>
        <v>Complete and Incomplete Combustion of Hydrocarbons</v>
      </c>
      <c r="I147" s="55" t="str">
        <f t="shared" si="0"/>
        <v>LU006575.001</v>
      </c>
      <c r="J147" s="55" t="str">
        <f ca="1">IFERROR(__xludf.DUMMYFUNCTION("VLOOKUP(I147, IMPORTRANGE(""https://docs.google.com/spreadsheets/d/1yDAaXNsi4Mr5FtRQL4tbmSdIzhx6_m4wkOD7IG-k_eo/edit#gid=1336395716"", ""Science!M:N""), 2, FALSE)"),"(LU006575.001); Default - Remember")</f>
        <v>(LU006575.001); Default - Remember</v>
      </c>
      <c r="K147" s="55" t="str">
        <f t="shared" si="1"/>
        <v>LU006575.002</v>
      </c>
      <c r="L147" s="55" t="str">
        <f ca="1">IFERROR(__xludf.DUMMYFUNCTION("VLOOKUP(K147, IMPORTRANGE(""https://docs.google.com/spreadsheets/d/1yDAaXNsi4Mr5FtRQL4tbmSdIzhx6_m4wkOD7IG-k_eo/edit#gid=1336395716"", ""Science!M:N""), 2, FALSE)"),"(LU006575.002); Default - Understand")</f>
        <v>(LU006575.002); Default - Understand</v>
      </c>
      <c r="M147" s="55" t="str">
        <f t="shared" si="2"/>
        <v>LU006575.003</v>
      </c>
      <c r="N147" s="55" t="str">
        <f ca="1">IFERROR(__xludf.DUMMYFUNCTION("VLOOKUP(M147, IMPORTRANGE(""https://docs.google.com/spreadsheets/d/1yDAaXNsi4Mr5FtRQL4tbmSdIzhx6_m4wkOD7IG-k_eo/edit#gid=1336395716"", ""Science!M:N""), 2, FALSE)"),"(LU006575.003); Default - Apply")</f>
        <v>(LU006575.003); Default - Apply</v>
      </c>
      <c r="O147" s="55" t="str">
        <f t="shared" si="3"/>
        <v>LU006575.004</v>
      </c>
      <c r="P147" s="55" t="str">
        <f ca="1">IFERROR(__xludf.DUMMYFUNCTION("VLOOKUP(O147, IMPORTRANGE(""https://docs.google.com/spreadsheets/d/1yDAaXNsi4Mr5FtRQL4tbmSdIzhx6_m4wkOD7IG-k_eo/edit#gid=1336395716"", ""Science!M:N""), 2, FALSE)"),"(LU006575.004); Default - Analyse")</f>
        <v>(LU006575.004); Default - Analyse</v>
      </c>
      <c r="Q147" s="55" t="str">
        <f t="shared" si="4"/>
        <v>LU006575.005</v>
      </c>
      <c r="R147" s="55" t="str">
        <f ca="1">IFERROR(__xludf.DUMMYFUNCTION("VLOOKUP(Q147, IMPORTRANGE(""https://docs.google.com/spreadsheets/d/1yDAaXNsi4Mr5FtRQL4tbmSdIzhx6_m4wkOD7IG-k_eo/edit#gid=1336395716"", ""Science!M:N""), 2, FALSE)"),"(LU006575.005); Default - Evaluate")</f>
        <v>(LU006575.005); Default - Evaluate</v>
      </c>
      <c r="S147" s="55" t="str">
        <f t="shared" si="5"/>
        <v>LU006575.006</v>
      </c>
      <c r="T147" s="55" t="str">
        <f ca="1">IFERROR(__xludf.DUMMYFUNCTION("VLOOKUP(S147, IMPORTRANGE(""https://docs.google.com/spreadsheets/d/1yDAaXNsi4Mr5FtRQL4tbmSdIzhx6_m4wkOD7IG-k_eo/edit#gid=1336395716"", ""Science!M:N""), 2, FALSE)"),"(LU006575.006); Default - Create")</f>
        <v>(LU006575.006); Default - Create</v>
      </c>
      <c r="U147" s="137" t="str">
        <f ca="1">IFERROR(__xludf.DUMMYFUNCTION("ArrayFormula(VLOOKUP(G147, IMPORTRANGE(""https://docs.google.com/spreadsheets/d/1p7R4vtkWt5VOBim4ltsDG9KTzSjrtKXsMtQGXPHyND0/edit#gid=795171502"", ""'Filter 30_05_2024'!A1:M2000""), {2, 3, 4, 5,6,7,8,9,10,11,12,13}, 0))"),"#N/A")</f>
        <v>#N/A</v>
      </c>
      <c r="V147" s="137" t="str">
        <f ca="1">IFERROR(__xludf.DUMMYFUNCTION("""COMPUTED_VALUE"""),"#N/A")</f>
        <v>#N/A</v>
      </c>
      <c r="W147" s="137" t="str">
        <f ca="1">IFERROR(__xludf.DUMMYFUNCTION("""COMPUTED_VALUE"""),"#N/A")</f>
        <v>#N/A</v>
      </c>
      <c r="X147" s="137" t="str">
        <f ca="1">IFERROR(__xludf.DUMMYFUNCTION("""COMPUTED_VALUE"""),"#N/A")</f>
        <v>#N/A</v>
      </c>
      <c r="Y147" s="137" t="str">
        <f ca="1">IFERROR(__xludf.DUMMYFUNCTION("""COMPUTED_VALUE"""),"#N/A")</f>
        <v>#N/A</v>
      </c>
      <c r="Z147" s="138" t="str">
        <f ca="1">IFERROR(__xludf.DUMMYFUNCTION("""COMPUTED_VALUE"""),"#N/A")</f>
        <v>#N/A</v>
      </c>
      <c r="AA147" s="138" t="str">
        <f ca="1">IFERROR(__xludf.DUMMYFUNCTION("""COMPUTED_VALUE"""),"#N/A")</f>
        <v>#N/A</v>
      </c>
      <c r="AB147" s="138" t="str">
        <f ca="1">IFERROR(__xludf.DUMMYFUNCTION("""COMPUTED_VALUE"""),"#N/A")</f>
        <v>#N/A</v>
      </c>
      <c r="AC147" s="138" t="str">
        <f ca="1">IFERROR(__xludf.DUMMYFUNCTION("""COMPUTED_VALUE"""),"#N/A")</f>
        <v>#N/A</v>
      </c>
      <c r="AD147" s="138" t="str">
        <f ca="1">IFERROR(__xludf.DUMMYFUNCTION("""COMPUTED_VALUE"""),"#N/A")</f>
        <v>#N/A</v>
      </c>
      <c r="AE147" s="138" t="str">
        <f ca="1">IFERROR(__xludf.DUMMYFUNCTION("""COMPUTED_VALUE"""),"#N/A")</f>
        <v>#N/A</v>
      </c>
      <c r="AF147" s="138" t="str">
        <f ca="1">IFERROR(__xludf.DUMMYFUNCTION("""COMPUTED_VALUE"""),"#N/A")</f>
        <v>#N/A</v>
      </c>
      <c r="AG147" s="138" t="str">
        <f ca="1">IFERROR(__xludf.DUMMYFUNCTION("ArrayFormula(VLOOKUP(G147, IMPORTRANGE(""https://docs.google.com/spreadsheets/d/1Co934fvtviyaRiMsrIlT05Jaq7iiYq07aLvRr35KA48/edit?gid=173865642#gid=173865642"", ""'G10_Sci_Pri_LU'!G2:V2000""), {3, 4, 5, 6, 7, 8, 9, 10, 11, 12, 13, 14, 15, 16}, 0))"),"LU006570")</f>
        <v>LU006570</v>
      </c>
      <c r="AH147" s="138" t="str">
        <f ca="1">IFERROR(__xludf.DUMMYFUNCTION("""COMPUTED_VALUE"""),"Saturated and Unsaturated Carbon Compounds")</f>
        <v>Saturated and Unsaturated Carbon Compounds</v>
      </c>
      <c r="AI147" s="138"/>
      <c r="AJ147" s="138"/>
      <c r="AK147" s="138"/>
      <c r="AL147" s="138"/>
      <c r="AM147" s="138"/>
      <c r="AN147" s="138"/>
      <c r="AO147" s="138"/>
      <c r="AP147" s="138"/>
      <c r="AQ147" s="138"/>
      <c r="AR147" s="138"/>
      <c r="AS147" s="138"/>
      <c r="AT147" s="138"/>
    </row>
    <row r="148" spans="1:46">
      <c r="A148" s="54" t="s">
        <v>247</v>
      </c>
      <c r="B148" s="55" t="s">
        <v>47</v>
      </c>
      <c r="C148" s="55" t="s">
        <v>1172</v>
      </c>
      <c r="D148" s="138" t="s">
        <v>1441</v>
      </c>
      <c r="E148" s="54" t="s">
        <v>2680</v>
      </c>
      <c r="F148" s="55" t="s">
        <v>2694</v>
      </c>
      <c r="G148" s="55" t="s">
        <v>2696</v>
      </c>
      <c r="H148" s="54" t="str">
        <f ca="1">IFERROR(__xludf.DUMMYFUNCTION("VLOOKUP(G148, IMPORTRANGE(""https://docs.google.com/spreadsheets/d/14deopnvwcrKtEGCKuYXdUHJbeLDZlkiSSWWT0g7x2pM/edit#gid=849066331"", ""LU List Science (Filter)!A:B""), 2, FALSE)"),"Oxidation Reaction of Hydrocarbons (Alcohols to Carboxylic Acid)")</f>
        <v>Oxidation Reaction of Hydrocarbons (Alcohols to Carboxylic Acid)</v>
      </c>
      <c r="I148" s="55" t="str">
        <f t="shared" si="0"/>
        <v>LU006576.001</v>
      </c>
      <c r="J148" s="55" t="str">
        <f ca="1">IFERROR(__xludf.DUMMYFUNCTION("VLOOKUP(I148, IMPORTRANGE(""https://docs.google.com/spreadsheets/d/1yDAaXNsi4Mr5FtRQL4tbmSdIzhx6_m4wkOD7IG-k_eo/edit#gid=1336395716"", ""Science!M:N""), 2, FALSE)"),"(LU006576.001); Default - Remember")</f>
        <v>(LU006576.001); Default - Remember</v>
      </c>
      <c r="K148" s="55" t="str">
        <f t="shared" si="1"/>
        <v>LU006576.002</v>
      </c>
      <c r="L148" s="55" t="str">
        <f ca="1">IFERROR(__xludf.DUMMYFUNCTION("VLOOKUP(K148, IMPORTRANGE(""https://docs.google.com/spreadsheets/d/1yDAaXNsi4Mr5FtRQL4tbmSdIzhx6_m4wkOD7IG-k_eo/edit#gid=1336395716"", ""Science!M:N""), 2, FALSE)"),"(LU006576.002); Default - Understand")</f>
        <v>(LU006576.002); Default - Understand</v>
      </c>
      <c r="M148" s="55" t="str">
        <f t="shared" si="2"/>
        <v>LU006576.003</v>
      </c>
      <c r="N148" s="55" t="str">
        <f ca="1">IFERROR(__xludf.DUMMYFUNCTION("VLOOKUP(M148, IMPORTRANGE(""https://docs.google.com/spreadsheets/d/1yDAaXNsi4Mr5FtRQL4tbmSdIzhx6_m4wkOD7IG-k_eo/edit#gid=1336395716"", ""Science!M:N""), 2, FALSE)"),"(LU006576.003); Default - Apply")</f>
        <v>(LU006576.003); Default - Apply</v>
      </c>
      <c r="O148" s="55" t="str">
        <f t="shared" si="3"/>
        <v>LU006576.004</v>
      </c>
      <c r="P148" s="55" t="str">
        <f ca="1">IFERROR(__xludf.DUMMYFUNCTION("VLOOKUP(O148, IMPORTRANGE(""https://docs.google.com/spreadsheets/d/1yDAaXNsi4Mr5FtRQL4tbmSdIzhx6_m4wkOD7IG-k_eo/edit#gid=1336395716"", ""Science!M:N""), 2, FALSE)"),"(LU006576.004); Default - Analyse")</f>
        <v>(LU006576.004); Default - Analyse</v>
      </c>
      <c r="Q148" s="55" t="str">
        <f t="shared" si="4"/>
        <v>LU006576.005</v>
      </c>
      <c r="R148" s="55" t="str">
        <f ca="1">IFERROR(__xludf.DUMMYFUNCTION("VLOOKUP(Q148, IMPORTRANGE(""https://docs.google.com/spreadsheets/d/1yDAaXNsi4Mr5FtRQL4tbmSdIzhx6_m4wkOD7IG-k_eo/edit#gid=1336395716"", ""Science!M:N""), 2, FALSE)"),"(LU006576.005); Default - Evaluate")</f>
        <v>(LU006576.005); Default - Evaluate</v>
      </c>
      <c r="S148" s="55" t="str">
        <f t="shared" si="5"/>
        <v>LU006576.006</v>
      </c>
      <c r="T148" s="55" t="str">
        <f ca="1">IFERROR(__xludf.DUMMYFUNCTION("VLOOKUP(S148, IMPORTRANGE(""https://docs.google.com/spreadsheets/d/1yDAaXNsi4Mr5FtRQL4tbmSdIzhx6_m4wkOD7IG-k_eo/edit#gid=1336395716"", ""Science!M:N""), 2, FALSE)"),"(LU006576.006); Default - Create")</f>
        <v>(LU006576.006); Default - Create</v>
      </c>
      <c r="U148" s="137" t="str">
        <f ca="1">IFERROR(__xludf.DUMMYFUNCTION("ArrayFormula(VLOOKUP(G148, IMPORTRANGE(""https://docs.google.com/spreadsheets/d/1p7R4vtkWt5VOBim4ltsDG9KTzSjrtKXsMtQGXPHyND0/edit#gid=795171502"", ""'Filter 30_05_2024'!A1:M2000""), {2, 3, 4, 5,6,7,8,9,10,11,12,13}, 0))"),"#N/A")</f>
        <v>#N/A</v>
      </c>
      <c r="V148" s="137" t="str">
        <f ca="1">IFERROR(__xludf.DUMMYFUNCTION("""COMPUTED_VALUE"""),"#N/A")</f>
        <v>#N/A</v>
      </c>
      <c r="W148" s="137" t="str">
        <f ca="1">IFERROR(__xludf.DUMMYFUNCTION("""COMPUTED_VALUE"""),"#N/A")</f>
        <v>#N/A</v>
      </c>
      <c r="X148" s="137" t="str">
        <f ca="1">IFERROR(__xludf.DUMMYFUNCTION("""COMPUTED_VALUE"""),"#N/A")</f>
        <v>#N/A</v>
      </c>
      <c r="Y148" s="137" t="str">
        <f ca="1">IFERROR(__xludf.DUMMYFUNCTION("""COMPUTED_VALUE"""),"#N/A")</f>
        <v>#N/A</v>
      </c>
      <c r="Z148" s="138" t="str">
        <f ca="1">IFERROR(__xludf.DUMMYFUNCTION("""COMPUTED_VALUE"""),"#N/A")</f>
        <v>#N/A</v>
      </c>
      <c r="AA148" s="138" t="str">
        <f ca="1">IFERROR(__xludf.DUMMYFUNCTION("""COMPUTED_VALUE"""),"#N/A")</f>
        <v>#N/A</v>
      </c>
      <c r="AB148" s="138" t="str">
        <f ca="1">IFERROR(__xludf.DUMMYFUNCTION("""COMPUTED_VALUE"""),"#N/A")</f>
        <v>#N/A</v>
      </c>
      <c r="AC148" s="138" t="str">
        <f ca="1">IFERROR(__xludf.DUMMYFUNCTION("""COMPUTED_VALUE"""),"#N/A")</f>
        <v>#N/A</v>
      </c>
      <c r="AD148" s="138" t="str">
        <f ca="1">IFERROR(__xludf.DUMMYFUNCTION("""COMPUTED_VALUE"""),"#N/A")</f>
        <v>#N/A</v>
      </c>
      <c r="AE148" s="138" t="str">
        <f ca="1">IFERROR(__xludf.DUMMYFUNCTION("""COMPUTED_VALUE"""),"#N/A")</f>
        <v>#N/A</v>
      </c>
      <c r="AF148" s="138" t="str">
        <f ca="1">IFERROR(__xludf.DUMMYFUNCTION("""COMPUTED_VALUE"""),"#N/A")</f>
        <v>#N/A</v>
      </c>
      <c r="AG148" s="138" t="str">
        <f ca="1">IFERROR(__xludf.DUMMYFUNCTION("ArrayFormula(VLOOKUP(G148, IMPORTRANGE(""https://docs.google.com/spreadsheets/d/1Co934fvtviyaRiMsrIlT05Jaq7iiYq07aLvRr35KA48/edit?gid=173865642#gid=173865642"", ""'G10_Sci_Pri_LU'!G2:V2000""), {3, 4, 5, 6, 7, 8, 9, 10, 11, 12, 13, 14, 15, 16}, 0))"),"LU006575")</f>
        <v>LU006575</v>
      </c>
      <c r="AH148" s="138" t="str">
        <f ca="1">IFERROR(__xludf.DUMMYFUNCTION("""COMPUTED_VALUE"""),"Complete and Incomplete Combustion of Hydrocarbons")</f>
        <v>Complete and Incomplete Combustion of Hydrocarbons</v>
      </c>
      <c r="AI148" s="138"/>
      <c r="AJ148" s="138"/>
      <c r="AK148" s="138"/>
      <c r="AL148" s="138"/>
      <c r="AM148" s="138"/>
      <c r="AN148" s="138"/>
      <c r="AO148" s="138"/>
      <c r="AP148" s="138"/>
      <c r="AQ148" s="138"/>
      <c r="AR148" s="138"/>
      <c r="AS148" s="138"/>
      <c r="AT148" s="138"/>
    </row>
    <row r="149" spans="1:46">
      <c r="A149" s="54" t="s">
        <v>247</v>
      </c>
      <c r="B149" s="55" t="s">
        <v>47</v>
      </c>
      <c r="C149" s="55" t="s">
        <v>1172</v>
      </c>
      <c r="D149" s="138" t="s">
        <v>1441</v>
      </c>
      <c r="E149" s="54" t="s">
        <v>2680</v>
      </c>
      <c r="F149" s="55" t="s">
        <v>2694</v>
      </c>
      <c r="G149" s="55" t="s">
        <v>2697</v>
      </c>
      <c r="H149" s="54" t="str">
        <f ca="1">IFERROR(__xludf.DUMMYFUNCTION("VLOOKUP(G149, IMPORTRANGE(""https://docs.google.com/spreadsheets/d/14deopnvwcrKtEGCKuYXdUHJbeLDZlkiSSWWT0g7x2pM/edit#gid=849066331"", ""LU List Science (Filter)!A:B""), 2, FALSE)"),"Addition Reaction and Substitution Reaction  ")</f>
        <v xml:space="preserve">Addition Reaction and Substitution Reaction  </v>
      </c>
      <c r="I149" s="55" t="str">
        <f t="shared" si="0"/>
        <v>LU006577.001</v>
      </c>
      <c r="J149" s="55" t="str">
        <f ca="1">IFERROR(__xludf.DUMMYFUNCTION("VLOOKUP(I149, IMPORTRANGE(""https://docs.google.com/spreadsheets/d/1yDAaXNsi4Mr5FtRQL4tbmSdIzhx6_m4wkOD7IG-k_eo/edit#gid=1336395716"", ""Science!M:N""), 2, FALSE)"),"(LU006577.001); Default - Remember")</f>
        <v>(LU006577.001); Default - Remember</v>
      </c>
      <c r="K149" s="55" t="str">
        <f t="shared" si="1"/>
        <v>LU006577.002</v>
      </c>
      <c r="L149" s="55" t="str">
        <f ca="1">IFERROR(__xludf.DUMMYFUNCTION("VLOOKUP(K149, IMPORTRANGE(""https://docs.google.com/spreadsheets/d/1yDAaXNsi4Mr5FtRQL4tbmSdIzhx6_m4wkOD7IG-k_eo/edit#gid=1336395716"", ""Science!M:N""), 2, FALSE)"),"(LU006577.002); Default - Understand")</f>
        <v>(LU006577.002); Default - Understand</v>
      </c>
      <c r="M149" s="55" t="str">
        <f t="shared" si="2"/>
        <v>LU006577.003</v>
      </c>
      <c r="N149" s="55" t="str">
        <f ca="1">IFERROR(__xludf.DUMMYFUNCTION("VLOOKUP(M149, IMPORTRANGE(""https://docs.google.com/spreadsheets/d/1yDAaXNsi4Mr5FtRQL4tbmSdIzhx6_m4wkOD7IG-k_eo/edit#gid=1336395716"", ""Science!M:N""), 2, FALSE)"),"(LU006577.003); Default - Apply")</f>
        <v>(LU006577.003); Default - Apply</v>
      </c>
      <c r="O149" s="55" t="str">
        <f t="shared" si="3"/>
        <v>LU006577.004</v>
      </c>
      <c r="P149" s="55" t="str">
        <f ca="1">IFERROR(__xludf.DUMMYFUNCTION("VLOOKUP(O149, IMPORTRANGE(""https://docs.google.com/spreadsheets/d/1yDAaXNsi4Mr5FtRQL4tbmSdIzhx6_m4wkOD7IG-k_eo/edit#gid=1336395716"", ""Science!M:N""), 2, FALSE)"),"(LU006577.004); Default - Analyse")</f>
        <v>(LU006577.004); Default - Analyse</v>
      </c>
      <c r="Q149" s="55" t="str">
        <f t="shared" si="4"/>
        <v>LU006577.005</v>
      </c>
      <c r="R149" s="55" t="str">
        <f ca="1">IFERROR(__xludf.DUMMYFUNCTION("VLOOKUP(Q149, IMPORTRANGE(""https://docs.google.com/spreadsheets/d/1yDAaXNsi4Mr5FtRQL4tbmSdIzhx6_m4wkOD7IG-k_eo/edit#gid=1336395716"", ""Science!M:N""), 2, FALSE)"),"(LU006577.005); Default - Evaluate")</f>
        <v>(LU006577.005); Default - Evaluate</v>
      </c>
      <c r="S149" s="55" t="str">
        <f t="shared" si="5"/>
        <v>LU006577.006</v>
      </c>
      <c r="T149" s="55" t="str">
        <f ca="1">IFERROR(__xludf.DUMMYFUNCTION("VLOOKUP(S149, IMPORTRANGE(""https://docs.google.com/spreadsheets/d/1yDAaXNsi4Mr5FtRQL4tbmSdIzhx6_m4wkOD7IG-k_eo/edit#gid=1336395716"", ""Science!M:N""), 2, FALSE)"),"(LU006577.006); Default - Create")</f>
        <v>(LU006577.006); Default - Create</v>
      </c>
      <c r="U149" s="137" t="str">
        <f ca="1">IFERROR(__xludf.DUMMYFUNCTION("ArrayFormula(VLOOKUP(G149, IMPORTRANGE(""https://docs.google.com/spreadsheets/d/1p7R4vtkWt5VOBim4ltsDG9KTzSjrtKXsMtQGXPHyND0/edit#gid=795171502"", ""'Filter 30_05_2024'!A1:M2000""), {2, 3, 4, 5,6,7,8,9,10,11,12,13}, 0))"),"#N/A")</f>
        <v>#N/A</v>
      </c>
      <c r="V149" s="137" t="str">
        <f ca="1">IFERROR(__xludf.DUMMYFUNCTION("""COMPUTED_VALUE"""),"#N/A")</f>
        <v>#N/A</v>
      </c>
      <c r="W149" s="137" t="str">
        <f ca="1">IFERROR(__xludf.DUMMYFUNCTION("""COMPUTED_VALUE"""),"#N/A")</f>
        <v>#N/A</v>
      </c>
      <c r="X149" s="137" t="str">
        <f ca="1">IFERROR(__xludf.DUMMYFUNCTION("""COMPUTED_VALUE"""),"#N/A")</f>
        <v>#N/A</v>
      </c>
      <c r="Y149" s="137" t="str">
        <f ca="1">IFERROR(__xludf.DUMMYFUNCTION("""COMPUTED_VALUE"""),"#N/A")</f>
        <v>#N/A</v>
      </c>
      <c r="Z149" s="138" t="str">
        <f ca="1">IFERROR(__xludf.DUMMYFUNCTION("""COMPUTED_VALUE"""),"#N/A")</f>
        <v>#N/A</v>
      </c>
      <c r="AA149" s="138" t="str">
        <f ca="1">IFERROR(__xludf.DUMMYFUNCTION("""COMPUTED_VALUE"""),"#N/A")</f>
        <v>#N/A</v>
      </c>
      <c r="AB149" s="138" t="str">
        <f ca="1">IFERROR(__xludf.DUMMYFUNCTION("""COMPUTED_VALUE"""),"#N/A")</f>
        <v>#N/A</v>
      </c>
      <c r="AC149" s="138" t="str">
        <f ca="1">IFERROR(__xludf.DUMMYFUNCTION("""COMPUTED_VALUE"""),"#N/A")</f>
        <v>#N/A</v>
      </c>
      <c r="AD149" s="138" t="str">
        <f ca="1">IFERROR(__xludf.DUMMYFUNCTION("""COMPUTED_VALUE"""),"#N/A")</f>
        <v>#N/A</v>
      </c>
      <c r="AE149" s="138" t="str">
        <f ca="1">IFERROR(__xludf.DUMMYFUNCTION("""COMPUTED_VALUE"""),"#N/A")</f>
        <v>#N/A</v>
      </c>
      <c r="AF149" s="138" t="str">
        <f ca="1">IFERROR(__xludf.DUMMYFUNCTION("""COMPUTED_VALUE"""),"#N/A")</f>
        <v>#N/A</v>
      </c>
      <c r="AG149" s="138" t="str">
        <f ca="1">IFERROR(__xludf.DUMMYFUNCTION("ArrayFormula(VLOOKUP(G149, IMPORTRANGE(""https://docs.google.com/spreadsheets/d/1Co934fvtviyaRiMsrIlT05Jaq7iiYq07aLvRr35KA48/edit?gid=173865642#gid=173865642"", ""'G10_Sci_Pri_LU'!G2:V2000""), {3, 4, 5, 6, 7, 8, 9, 10, 11, 12, 13, 14, 15, 16}, 0))"),"LU006576")</f>
        <v>LU006576</v>
      </c>
      <c r="AH149" s="138" t="str">
        <f ca="1">IFERROR(__xludf.DUMMYFUNCTION("""COMPUTED_VALUE"""),"Oxidation Reaction of Hydrocarbons (Alcohols to Carboxylic Acid)")</f>
        <v>Oxidation Reaction of Hydrocarbons (Alcohols to Carboxylic Acid)</v>
      </c>
      <c r="AI149" s="138"/>
      <c r="AJ149" s="138"/>
      <c r="AK149" s="138"/>
      <c r="AL149" s="138"/>
      <c r="AM149" s="138"/>
      <c r="AN149" s="138"/>
      <c r="AO149" s="138"/>
      <c r="AP149" s="138"/>
      <c r="AQ149" s="138"/>
      <c r="AR149" s="138"/>
      <c r="AS149" s="138"/>
      <c r="AT149" s="138"/>
    </row>
    <row r="150" spans="1:46">
      <c r="A150" s="54" t="s">
        <v>247</v>
      </c>
      <c r="B150" s="55" t="s">
        <v>47</v>
      </c>
      <c r="C150" s="55" t="s">
        <v>1172</v>
      </c>
      <c r="D150" s="138" t="s">
        <v>1441</v>
      </c>
      <c r="E150" s="54" t="s">
        <v>2680</v>
      </c>
      <c r="F150" s="55" t="s">
        <v>2698</v>
      </c>
      <c r="G150" s="55" t="s">
        <v>2699</v>
      </c>
      <c r="H150" s="54" t="str">
        <f ca="1">IFERROR(__xludf.DUMMYFUNCTION("VLOOKUP(G150, IMPORTRANGE(""https://docs.google.com/spreadsheets/d/14deopnvwcrKtEGCKuYXdUHJbeLDZlkiSSWWT0g7x2pM/edit#gid=849066331"", ""LU List Science (Filter)!A:B""), 2, FALSE)"),"Ethanol - Properties and Reactions ")</f>
        <v xml:space="preserve">Ethanol - Properties and Reactions </v>
      </c>
      <c r="I150" s="55" t="str">
        <f t="shared" si="0"/>
        <v>LU006578.001</v>
      </c>
      <c r="J150" s="55" t="str">
        <f ca="1">IFERROR(__xludf.DUMMYFUNCTION("VLOOKUP(I150, IMPORTRANGE(""https://docs.google.com/spreadsheets/d/1yDAaXNsi4Mr5FtRQL4tbmSdIzhx6_m4wkOD7IG-k_eo/edit#gid=1336395716"", ""Science!M:N""), 2, FALSE)"),"(LU006578.001); Default - Remember")</f>
        <v>(LU006578.001); Default - Remember</v>
      </c>
      <c r="K150" s="55" t="str">
        <f t="shared" si="1"/>
        <v>LU006578.002</v>
      </c>
      <c r="L150" s="55" t="str">
        <f ca="1">IFERROR(__xludf.DUMMYFUNCTION("VLOOKUP(K150, IMPORTRANGE(""https://docs.google.com/spreadsheets/d/1yDAaXNsi4Mr5FtRQL4tbmSdIzhx6_m4wkOD7IG-k_eo/edit#gid=1336395716"", ""Science!M:N""), 2, FALSE)"),"(LU006578.002); Default - Understand")</f>
        <v>(LU006578.002); Default - Understand</v>
      </c>
      <c r="M150" s="55" t="str">
        <f t="shared" si="2"/>
        <v>LU006578.003</v>
      </c>
      <c r="N150" s="55" t="str">
        <f ca="1">IFERROR(__xludf.DUMMYFUNCTION("VLOOKUP(M150, IMPORTRANGE(""https://docs.google.com/spreadsheets/d/1yDAaXNsi4Mr5FtRQL4tbmSdIzhx6_m4wkOD7IG-k_eo/edit#gid=1336395716"", ""Science!M:N""), 2, FALSE)"),"(LU006578.003); Default - Apply")</f>
        <v>(LU006578.003); Default - Apply</v>
      </c>
      <c r="O150" s="55" t="str">
        <f t="shared" si="3"/>
        <v>LU006578.004</v>
      </c>
      <c r="P150" s="55" t="str">
        <f ca="1">IFERROR(__xludf.DUMMYFUNCTION("VLOOKUP(O150, IMPORTRANGE(""https://docs.google.com/spreadsheets/d/1yDAaXNsi4Mr5FtRQL4tbmSdIzhx6_m4wkOD7IG-k_eo/edit#gid=1336395716"", ""Science!M:N""), 2, FALSE)"),"(LU006578.004); Default - Analyse")</f>
        <v>(LU006578.004); Default - Analyse</v>
      </c>
      <c r="Q150" s="55" t="str">
        <f t="shared" si="4"/>
        <v>LU006578.005</v>
      </c>
      <c r="R150" s="55" t="str">
        <f ca="1">IFERROR(__xludf.DUMMYFUNCTION("VLOOKUP(Q150, IMPORTRANGE(""https://docs.google.com/spreadsheets/d/1yDAaXNsi4Mr5FtRQL4tbmSdIzhx6_m4wkOD7IG-k_eo/edit#gid=1336395716"", ""Science!M:N""), 2, FALSE)"),"(LU006578.005); Default - Evaluate")</f>
        <v>(LU006578.005); Default - Evaluate</v>
      </c>
      <c r="S150" s="55" t="str">
        <f t="shared" si="5"/>
        <v>LU006578.006</v>
      </c>
      <c r="T150" s="55" t="str">
        <f ca="1">IFERROR(__xludf.DUMMYFUNCTION("VLOOKUP(S150, IMPORTRANGE(""https://docs.google.com/spreadsheets/d/1yDAaXNsi4Mr5FtRQL4tbmSdIzhx6_m4wkOD7IG-k_eo/edit#gid=1336395716"", ""Science!M:N""), 2, FALSE)"),"(LU006578.006); Default - Create")</f>
        <v>(LU006578.006); Default - Create</v>
      </c>
      <c r="U150" s="137" t="str">
        <f ca="1">IFERROR(__xludf.DUMMYFUNCTION("ArrayFormula(VLOOKUP(G150, IMPORTRANGE(""https://docs.google.com/spreadsheets/d/1p7R4vtkWt5VOBim4ltsDG9KTzSjrtKXsMtQGXPHyND0/edit#gid=795171502"", ""'Filter 30_05_2024'!A1:M2000""), {2, 3, 4, 5,6,7,8,9,10,11,12,13}, 0))"),"#N/A")</f>
        <v>#N/A</v>
      </c>
      <c r="V150" s="137" t="str">
        <f ca="1">IFERROR(__xludf.DUMMYFUNCTION("""COMPUTED_VALUE"""),"#N/A")</f>
        <v>#N/A</v>
      </c>
      <c r="W150" s="137" t="str">
        <f ca="1">IFERROR(__xludf.DUMMYFUNCTION("""COMPUTED_VALUE"""),"#N/A")</f>
        <v>#N/A</v>
      </c>
      <c r="X150" s="137" t="str">
        <f ca="1">IFERROR(__xludf.DUMMYFUNCTION("""COMPUTED_VALUE"""),"#N/A")</f>
        <v>#N/A</v>
      </c>
      <c r="Y150" s="137" t="str">
        <f ca="1">IFERROR(__xludf.DUMMYFUNCTION("""COMPUTED_VALUE"""),"#N/A")</f>
        <v>#N/A</v>
      </c>
      <c r="Z150" s="138" t="str">
        <f ca="1">IFERROR(__xludf.DUMMYFUNCTION("""COMPUTED_VALUE"""),"#N/A")</f>
        <v>#N/A</v>
      </c>
      <c r="AA150" s="138" t="str">
        <f ca="1">IFERROR(__xludf.DUMMYFUNCTION("""COMPUTED_VALUE"""),"#N/A")</f>
        <v>#N/A</v>
      </c>
      <c r="AB150" s="138" t="str">
        <f ca="1">IFERROR(__xludf.DUMMYFUNCTION("""COMPUTED_VALUE"""),"#N/A")</f>
        <v>#N/A</v>
      </c>
      <c r="AC150" s="138" t="str">
        <f ca="1">IFERROR(__xludf.DUMMYFUNCTION("""COMPUTED_VALUE"""),"#N/A")</f>
        <v>#N/A</v>
      </c>
      <c r="AD150" s="138" t="str">
        <f ca="1">IFERROR(__xludf.DUMMYFUNCTION("""COMPUTED_VALUE"""),"#N/A")</f>
        <v>#N/A</v>
      </c>
      <c r="AE150" s="138" t="str">
        <f ca="1">IFERROR(__xludf.DUMMYFUNCTION("""COMPUTED_VALUE"""),"#N/A")</f>
        <v>#N/A</v>
      </c>
      <c r="AF150" s="138" t="str">
        <f ca="1">IFERROR(__xludf.DUMMYFUNCTION("""COMPUTED_VALUE"""),"#N/A")</f>
        <v>#N/A</v>
      </c>
      <c r="AG150" s="138" t="str">
        <f ca="1">IFERROR(__xludf.DUMMYFUNCTION("ArrayFormula(VLOOKUP(G150, IMPORTRANGE(""https://docs.google.com/spreadsheets/d/1Co934fvtviyaRiMsrIlT05Jaq7iiYq07aLvRr35KA48/edit?gid=173865642#gid=173865642"", ""'G10_Sci_Pri_LU'!G2:V2000""), {3, 4, 5, 6, 7, 8, 9, 10, 11, 12, 13, 14, 15, 16}, 0))"),"LU006577")</f>
        <v>LU006577</v>
      </c>
      <c r="AH150" s="138" t="str">
        <f ca="1">IFERROR(__xludf.DUMMYFUNCTION("""COMPUTED_VALUE"""),"Addition Reaction and Substitution Reaction")</f>
        <v>Addition Reaction and Substitution Reaction</v>
      </c>
      <c r="AI150" s="138" t="str">
        <f ca="1">IFERROR(__xludf.DUMMYFUNCTION("""COMPUTED_VALUE"""),"LU006572")</f>
        <v>LU006572</v>
      </c>
      <c r="AJ150" s="138" t="str">
        <f ca="1">IFERROR(__xludf.DUMMYFUNCTION("""COMPUTED_VALUE"""),"Heteroatoms and Functional Groups")</f>
        <v>Heteroatoms and Functional Groups</v>
      </c>
      <c r="AK150" s="138"/>
      <c r="AL150" s="138"/>
      <c r="AM150" s="138"/>
      <c r="AN150" s="138"/>
      <c r="AO150" s="138"/>
      <c r="AP150" s="138"/>
      <c r="AQ150" s="138"/>
      <c r="AR150" s="138"/>
      <c r="AS150" s="138"/>
      <c r="AT150" s="138"/>
    </row>
    <row r="151" spans="1:46">
      <c r="A151" s="54" t="s">
        <v>247</v>
      </c>
      <c r="B151" s="55" t="s">
        <v>47</v>
      </c>
      <c r="C151" s="55" t="s">
        <v>1172</v>
      </c>
      <c r="D151" s="138" t="s">
        <v>1441</v>
      </c>
      <c r="E151" s="54" t="s">
        <v>2680</v>
      </c>
      <c r="F151" s="55" t="s">
        <v>2698</v>
      </c>
      <c r="G151" s="55" t="s">
        <v>2700</v>
      </c>
      <c r="H151" s="54" t="str">
        <f ca="1">IFERROR(__xludf.DUMMYFUNCTION("VLOOKUP(G151, IMPORTRANGE(""https://docs.google.com/spreadsheets/d/14deopnvwcrKtEGCKuYXdUHJbeLDZlkiSSWWT0g7x2pM/edit#gid=849066331"", ""LU List Science (Filter)!A:B""), 2, FALSE)"),"Ethanoic Acid - Properties and Reactions ")</f>
        <v xml:space="preserve">Ethanoic Acid - Properties and Reactions </v>
      </c>
      <c r="I151" s="55" t="str">
        <f t="shared" si="0"/>
        <v>LU006579.001</v>
      </c>
      <c r="J151" s="55" t="str">
        <f ca="1">IFERROR(__xludf.DUMMYFUNCTION("VLOOKUP(I151, IMPORTRANGE(""https://docs.google.com/spreadsheets/d/1yDAaXNsi4Mr5FtRQL4tbmSdIzhx6_m4wkOD7IG-k_eo/edit#gid=1336395716"", ""Science!M:N""), 2, FALSE)"),"(LU006579.001); Default - Remember")</f>
        <v>(LU006579.001); Default - Remember</v>
      </c>
      <c r="K151" s="55" t="str">
        <f t="shared" si="1"/>
        <v>LU006579.002</v>
      </c>
      <c r="L151" s="55" t="str">
        <f ca="1">IFERROR(__xludf.DUMMYFUNCTION("VLOOKUP(K151, IMPORTRANGE(""https://docs.google.com/spreadsheets/d/1yDAaXNsi4Mr5FtRQL4tbmSdIzhx6_m4wkOD7IG-k_eo/edit#gid=1336395716"", ""Science!M:N""), 2, FALSE)"),"(LU006579.002); Default - Understand")</f>
        <v>(LU006579.002); Default - Understand</v>
      </c>
      <c r="M151" s="55" t="str">
        <f t="shared" si="2"/>
        <v>LU006579.003</v>
      </c>
      <c r="N151" s="55" t="str">
        <f ca="1">IFERROR(__xludf.DUMMYFUNCTION("VLOOKUP(M151, IMPORTRANGE(""https://docs.google.com/spreadsheets/d/1yDAaXNsi4Mr5FtRQL4tbmSdIzhx6_m4wkOD7IG-k_eo/edit#gid=1336395716"", ""Science!M:N""), 2, FALSE)"),"(LU006579.003); Default - Apply")</f>
        <v>(LU006579.003); Default - Apply</v>
      </c>
      <c r="O151" s="55" t="str">
        <f t="shared" si="3"/>
        <v>LU006579.004</v>
      </c>
      <c r="P151" s="55" t="str">
        <f ca="1">IFERROR(__xludf.DUMMYFUNCTION("VLOOKUP(O151, IMPORTRANGE(""https://docs.google.com/spreadsheets/d/1yDAaXNsi4Mr5FtRQL4tbmSdIzhx6_m4wkOD7IG-k_eo/edit#gid=1336395716"", ""Science!M:N""), 2, FALSE)"),"(LU006579.004); Default - Analyse")</f>
        <v>(LU006579.004); Default - Analyse</v>
      </c>
      <c r="Q151" s="55" t="str">
        <f t="shared" si="4"/>
        <v>LU006579.005</v>
      </c>
      <c r="R151" s="55" t="str">
        <f ca="1">IFERROR(__xludf.DUMMYFUNCTION("VLOOKUP(Q151, IMPORTRANGE(""https://docs.google.com/spreadsheets/d/1yDAaXNsi4Mr5FtRQL4tbmSdIzhx6_m4wkOD7IG-k_eo/edit#gid=1336395716"", ""Science!M:N""), 2, FALSE)"),"(LU006579.005); Default - Evaluate")</f>
        <v>(LU006579.005); Default - Evaluate</v>
      </c>
      <c r="S151" s="55" t="str">
        <f t="shared" si="5"/>
        <v>LU006579.006</v>
      </c>
      <c r="T151" s="55" t="str">
        <f ca="1">IFERROR(__xludf.DUMMYFUNCTION("VLOOKUP(S151, IMPORTRANGE(""https://docs.google.com/spreadsheets/d/1yDAaXNsi4Mr5FtRQL4tbmSdIzhx6_m4wkOD7IG-k_eo/edit#gid=1336395716"", ""Science!M:N""), 2, FALSE)"),"(LU006579.006); Default - Create")</f>
        <v>(LU006579.006); Default - Create</v>
      </c>
      <c r="U151" s="137" t="str">
        <f ca="1">IFERROR(__xludf.DUMMYFUNCTION("ArrayFormula(VLOOKUP(G151, IMPORTRANGE(""https://docs.google.com/spreadsheets/d/1p7R4vtkWt5VOBim4ltsDG9KTzSjrtKXsMtQGXPHyND0/edit#gid=795171502"", ""'Filter 30_05_2024'!A1:M2000""), {2, 3, 4, 5,6,7,8,9,10,11,12,13}, 0))"),"#N/A")</f>
        <v>#N/A</v>
      </c>
      <c r="V151" s="137" t="str">
        <f ca="1">IFERROR(__xludf.DUMMYFUNCTION("""COMPUTED_VALUE"""),"#N/A")</f>
        <v>#N/A</v>
      </c>
      <c r="W151" s="137" t="str">
        <f ca="1">IFERROR(__xludf.DUMMYFUNCTION("""COMPUTED_VALUE"""),"#N/A")</f>
        <v>#N/A</v>
      </c>
      <c r="X151" s="137" t="str">
        <f ca="1">IFERROR(__xludf.DUMMYFUNCTION("""COMPUTED_VALUE"""),"#N/A")</f>
        <v>#N/A</v>
      </c>
      <c r="Y151" s="137" t="str">
        <f ca="1">IFERROR(__xludf.DUMMYFUNCTION("""COMPUTED_VALUE"""),"#N/A")</f>
        <v>#N/A</v>
      </c>
      <c r="Z151" s="138" t="str">
        <f ca="1">IFERROR(__xludf.DUMMYFUNCTION("""COMPUTED_VALUE"""),"#N/A")</f>
        <v>#N/A</v>
      </c>
      <c r="AA151" s="138" t="str">
        <f ca="1">IFERROR(__xludf.DUMMYFUNCTION("""COMPUTED_VALUE"""),"#N/A")</f>
        <v>#N/A</v>
      </c>
      <c r="AB151" s="138" t="str">
        <f ca="1">IFERROR(__xludf.DUMMYFUNCTION("""COMPUTED_VALUE"""),"#N/A")</f>
        <v>#N/A</v>
      </c>
      <c r="AC151" s="138" t="str">
        <f ca="1">IFERROR(__xludf.DUMMYFUNCTION("""COMPUTED_VALUE"""),"#N/A")</f>
        <v>#N/A</v>
      </c>
      <c r="AD151" s="138" t="str">
        <f ca="1">IFERROR(__xludf.DUMMYFUNCTION("""COMPUTED_VALUE"""),"#N/A")</f>
        <v>#N/A</v>
      </c>
      <c r="AE151" s="138" t="str">
        <f ca="1">IFERROR(__xludf.DUMMYFUNCTION("""COMPUTED_VALUE"""),"#N/A")</f>
        <v>#N/A</v>
      </c>
      <c r="AF151" s="138" t="str">
        <f ca="1">IFERROR(__xludf.DUMMYFUNCTION("""COMPUTED_VALUE"""),"#N/A")</f>
        <v>#N/A</v>
      </c>
      <c r="AG151" s="138" t="str">
        <f ca="1">IFERROR(__xludf.DUMMYFUNCTION("ArrayFormula(VLOOKUP(G151, IMPORTRANGE(""https://docs.google.com/spreadsheets/d/1Co934fvtviyaRiMsrIlT05Jaq7iiYq07aLvRr35KA48/edit?gid=173865642#gid=173865642"", ""'G10_Sci_Pri_LU'!G2:V2000""), {3, 4, 5, 6, 7, 8, 9, 10, 11, 12, 13, 14, 15, 16}, 0))"),"LU006578")</f>
        <v>LU006578</v>
      </c>
      <c r="AH151" s="138" t="str">
        <f ca="1">IFERROR(__xludf.DUMMYFUNCTION("""COMPUTED_VALUE"""),"Ethanol - Properties and Reactions")</f>
        <v>Ethanol - Properties and Reactions</v>
      </c>
      <c r="AI151" s="138" t="str">
        <f ca="1">IFERROR(__xludf.DUMMYFUNCTION("""COMPUTED_VALUE"""),"LU006572")</f>
        <v>LU006572</v>
      </c>
      <c r="AJ151" s="138" t="str">
        <f ca="1">IFERROR(__xludf.DUMMYFUNCTION("""COMPUTED_VALUE"""),"Heteroatoms and Functional Groups")</f>
        <v>Heteroatoms and Functional Groups</v>
      </c>
      <c r="AK151" s="138"/>
      <c r="AL151" s="138"/>
      <c r="AM151" s="138"/>
      <c r="AN151" s="138"/>
      <c r="AO151" s="138"/>
      <c r="AP151" s="138"/>
      <c r="AQ151" s="138"/>
      <c r="AR151" s="138"/>
      <c r="AS151" s="138"/>
      <c r="AT151" s="138"/>
    </row>
    <row r="152" spans="1:46">
      <c r="A152" s="54" t="s">
        <v>247</v>
      </c>
      <c r="B152" s="55" t="s">
        <v>47</v>
      </c>
      <c r="C152" s="55" t="s">
        <v>1172</v>
      </c>
      <c r="D152" s="138" t="s">
        <v>1441</v>
      </c>
      <c r="E152" s="54" t="s">
        <v>2680</v>
      </c>
      <c r="F152" s="55" t="s">
        <v>2701</v>
      </c>
      <c r="G152" s="55" t="s">
        <v>2702</v>
      </c>
      <c r="H152" s="54" t="str">
        <f ca="1">IFERROR(__xludf.DUMMYFUNCTION("VLOOKUP(G152, IMPORTRANGE(""https://docs.google.com/spreadsheets/d/14deopnvwcrKtEGCKuYXdUHJbeLDZlkiSSWWT0g7x2pM/edit#gid=849066331"", ""LU List Science (Filter)!A:B""), 2, FALSE)"),"Soaps and Detergents (Micelle formation)")</f>
        <v>Soaps and Detergents (Micelle formation)</v>
      </c>
      <c r="I152" s="55" t="str">
        <f t="shared" si="0"/>
        <v>LU006580.001</v>
      </c>
      <c r="J152" s="55" t="str">
        <f ca="1">IFERROR(__xludf.DUMMYFUNCTION("VLOOKUP(I152, IMPORTRANGE(""https://docs.google.com/spreadsheets/d/1yDAaXNsi4Mr5FtRQL4tbmSdIzhx6_m4wkOD7IG-k_eo/edit#gid=1336395716"", ""Science!M:N""), 2, FALSE)"),"(LU006580.001); Default - Remember")</f>
        <v>(LU006580.001); Default - Remember</v>
      </c>
      <c r="K152" s="55" t="str">
        <f t="shared" si="1"/>
        <v>LU006580.002</v>
      </c>
      <c r="L152" s="55" t="str">
        <f ca="1">IFERROR(__xludf.DUMMYFUNCTION("VLOOKUP(K152, IMPORTRANGE(""https://docs.google.com/spreadsheets/d/1yDAaXNsi4Mr5FtRQL4tbmSdIzhx6_m4wkOD7IG-k_eo/edit#gid=1336395716"", ""Science!M:N""), 2, FALSE)"),"(LU006580.002); Default - Understand")</f>
        <v>(LU006580.002); Default - Understand</v>
      </c>
      <c r="M152" s="55" t="str">
        <f t="shared" si="2"/>
        <v>LU006580.003</v>
      </c>
      <c r="N152" s="55" t="str">
        <f ca="1">IFERROR(__xludf.DUMMYFUNCTION("VLOOKUP(M152, IMPORTRANGE(""https://docs.google.com/spreadsheets/d/1yDAaXNsi4Mr5FtRQL4tbmSdIzhx6_m4wkOD7IG-k_eo/edit#gid=1336395716"", ""Science!M:N""), 2, FALSE)"),"(LU006580.003); Default - Apply")</f>
        <v>(LU006580.003); Default - Apply</v>
      </c>
      <c r="O152" s="55" t="str">
        <f t="shared" si="3"/>
        <v>LU006580.004</v>
      </c>
      <c r="P152" s="55" t="str">
        <f ca="1">IFERROR(__xludf.DUMMYFUNCTION("VLOOKUP(O152, IMPORTRANGE(""https://docs.google.com/spreadsheets/d/1yDAaXNsi4Mr5FtRQL4tbmSdIzhx6_m4wkOD7IG-k_eo/edit#gid=1336395716"", ""Science!M:N""), 2, FALSE)"),"(LU006580.004); Default - Analyse")</f>
        <v>(LU006580.004); Default - Analyse</v>
      </c>
      <c r="Q152" s="55" t="str">
        <f t="shared" si="4"/>
        <v>LU006580.005</v>
      </c>
      <c r="R152" s="55" t="str">
        <f ca="1">IFERROR(__xludf.DUMMYFUNCTION("VLOOKUP(Q152, IMPORTRANGE(""https://docs.google.com/spreadsheets/d/1yDAaXNsi4Mr5FtRQL4tbmSdIzhx6_m4wkOD7IG-k_eo/edit#gid=1336395716"", ""Science!M:N""), 2, FALSE)"),"(LU006580.005); Default - Evaluate")</f>
        <v>(LU006580.005); Default - Evaluate</v>
      </c>
      <c r="S152" s="55" t="str">
        <f t="shared" si="5"/>
        <v>LU006580.006</v>
      </c>
      <c r="T152" s="55" t="str">
        <f ca="1">IFERROR(__xludf.DUMMYFUNCTION("VLOOKUP(S152, IMPORTRANGE(""https://docs.google.com/spreadsheets/d/1yDAaXNsi4Mr5FtRQL4tbmSdIzhx6_m4wkOD7IG-k_eo/edit#gid=1336395716"", ""Science!M:N""), 2, FALSE)"),"(LU006580.006); Default - Create")</f>
        <v>(LU006580.006); Default - Create</v>
      </c>
      <c r="U152" s="137" t="str">
        <f ca="1">IFERROR(__xludf.DUMMYFUNCTION("ArrayFormula(VLOOKUP(G152, IMPORTRANGE(""https://docs.google.com/spreadsheets/d/1p7R4vtkWt5VOBim4ltsDG9KTzSjrtKXsMtQGXPHyND0/edit#gid=795171502"", ""'Filter 30_05_2024'!A1:M2000""), {2, 3, 4, 5,6,7,8,9,10,11,12,13}, 0))"),"#N/A")</f>
        <v>#N/A</v>
      </c>
      <c r="V152" s="137" t="str">
        <f ca="1">IFERROR(__xludf.DUMMYFUNCTION("""COMPUTED_VALUE"""),"#N/A")</f>
        <v>#N/A</v>
      </c>
      <c r="W152" s="137" t="str">
        <f ca="1">IFERROR(__xludf.DUMMYFUNCTION("""COMPUTED_VALUE"""),"#N/A")</f>
        <v>#N/A</v>
      </c>
      <c r="X152" s="137" t="str">
        <f ca="1">IFERROR(__xludf.DUMMYFUNCTION("""COMPUTED_VALUE"""),"#N/A")</f>
        <v>#N/A</v>
      </c>
      <c r="Y152" s="137" t="str">
        <f ca="1">IFERROR(__xludf.DUMMYFUNCTION("""COMPUTED_VALUE"""),"#N/A")</f>
        <v>#N/A</v>
      </c>
      <c r="Z152" s="138" t="str">
        <f ca="1">IFERROR(__xludf.DUMMYFUNCTION("""COMPUTED_VALUE"""),"#N/A")</f>
        <v>#N/A</v>
      </c>
      <c r="AA152" s="138" t="str">
        <f ca="1">IFERROR(__xludf.DUMMYFUNCTION("""COMPUTED_VALUE"""),"#N/A")</f>
        <v>#N/A</v>
      </c>
      <c r="AB152" s="138" t="str">
        <f ca="1">IFERROR(__xludf.DUMMYFUNCTION("""COMPUTED_VALUE"""),"#N/A")</f>
        <v>#N/A</v>
      </c>
      <c r="AC152" s="138" t="str">
        <f ca="1">IFERROR(__xludf.DUMMYFUNCTION("""COMPUTED_VALUE"""),"#N/A")</f>
        <v>#N/A</v>
      </c>
      <c r="AD152" s="138" t="str">
        <f ca="1">IFERROR(__xludf.DUMMYFUNCTION("""COMPUTED_VALUE"""),"#N/A")</f>
        <v>#N/A</v>
      </c>
      <c r="AE152" s="138" t="str">
        <f ca="1">IFERROR(__xludf.DUMMYFUNCTION("""COMPUTED_VALUE"""),"#N/A")</f>
        <v>#N/A</v>
      </c>
      <c r="AF152" s="138" t="str">
        <f ca="1">IFERROR(__xludf.DUMMYFUNCTION("""COMPUTED_VALUE"""),"#N/A")</f>
        <v>#N/A</v>
      </c>
      <c r="AG152" s="138" t="str">
        <f ca="1">IFERROR(__xludf.DUMMYFUNCTION("ArrayFormula(VLOOKUP(G152, IMPORTRANGE(""https://docs.google.com/spreadsheets/d/1Co934fvtviyaRiMsrIlT05Jaq7iiYq07aLvRr35KA48/edit?gid=173865642#gid=173865642"", ""'G10_Sci_Pri_LU'!G2:V2000""), {3, 4, 5, 6, 7, 8, 9, 10, 11, 12, 13, 14, 15, 16}, 0))"),"LU006579")</f>
        <v>LU006579</v>
      </c>
      <c r="AH152" s="138" t="str">
        <f ca="1">IFERROR(__xludf.DUMMYFUNCTION("""COMPUTED_VALUE"""),"Ethanoic Acid - Properties and Reactions ")</f>
        <v xml:space="preserve">Ethanoic Acid - Properties and Reactions </v>
      </c>
      <c r="AI152" s="138"/>
      <c r="AJ152" s="138"/>
      <c r="AK152" s="138"/>
      <c r="AL152" s="138"/>
      <c r="AM152" s="138"/>
      <c r="AN152" s="138"/>
      <c r="AO152" s="138"/>
      <c r="AP152" s="138"/>
      <c r="AQ152" s="138"/>
      <c r="AR152" s="138"/>
      <c r="AS152" s="138"/>
      <c r="AT152" s="138"/>
    </row>
    <row r="153" spans="1:46">
      <c r="A153" s="70"/>
      <c r="B153" s="70"/>
      <c r="C153" s="70"/>
      <c r="D153" s="70"/>
      <c r="E153" s="70"/>
      <c r="F153" s="70"/>
      <c r="G153" s="70"/>
      <c r="H153" s="54"/>
      <c r="I153" s="70"/>
      <c r="J153" s="70"/>
      <c r="K153" s="70"/>
      <c r="L153" s="70"/>
      <c r="M153" s="70"/>
      <c r="N153" s="70"/>
      <c r="O153" s="55"/>
      <c r="P153" s="70"/>
      <c r="Q153" s="70"/>
      <c r="R153" s="70"/>
      <c r="S153" s="70"/>
      <c r="T153" s="70"/>
      <c r="U153" s="70"/>
      <c r="V153" s="70"/>
      <c r="W153" s="70"/>
      <c r="X153" s="70"/>
      <c r="Y153" s="70"/>
      <c r="Z153" s="70"/>
      <c r="AA153" s="70"/>
      <c r="AB153" s="70"/>
      <c r="AC153" s="70"/>
      <c r="AD153" s="70"/>
      <c r="AE153" s="70"/>
      <c r="AF153" s="70"/>
      <c r="AG153" s="70"/>
      <c r="AH153" s="70"/>
      <c r="AI153" s="70"/>
      <c r="AJ153" s="70"/>
      <c r="AK153" s="70"/>
      <c r="AL153" s="70"/>
      <c r="AM153" s="70"/>
      <c r="AN153" s="70"/>
      <c r="AO153" s="70"/>
      <c r="AP153" s="70"/>
      <c r="AQ153" s="70"/>
      <c r="AR153" s="70"/>
      <c r="AS153" s="70"/>
      <c r="AT153" s="70"/>
    </row>
    <row r="154" spans="1:46">
      <c r="A154" s="70"/>
      <c r="B154" s="70"/>
      <c r="C154" s="70"/>
      <c r="D154" s="70"/>
      <c r="E154" s="70"/>
      <c r="F154" s="70"/>
      <c r="G154" s="70"/>
      <c r="H154" s="54"/>
      <c r="I154" s="70"/>
      <c r="J154" s="70"/>
      <c r="K154" s="70"/>
      <c r="L154" s="70"/>
      <c r="M154" s="70"/>
      <c r="N154" s="70"/>
      <c r="O154" s="55"/>
      <c r="P154" s="70"/>
      <c r="Q154" s="70"/>
      <c r="R154" s="70"/>
      <c r="S154" s="70"/>
      <c r="T154" s="70"/>
      <c r="U154" s="70"/>
      <c r="V154" s="70"/>
      <c r="W154" s="70"/>
      <c r="X154" s="70"/>
      <c r="Y154" s="70"/>
      <c r="Z154" s="70"/>
      <c r="AA154" s="70"/>
      <c r="AB154" s="70"/>
      <c r="AC154" s="70"/>
      <c r="AD154" s="70"/>
      <c r="AE154" s="70"/>
      <c r="AF154" s="70"/>
      <c r="AG154" s="70"/>
      <c r="AH154" s="70"/>
      <c r="AI154" s="70"/>
      <c r="AJ154" s="70"/>
      <c r="AK154" s="70"/>
      <c r="AL154" s="70"/>
      <c r="AM154" s="70"/>
      <c r="AN154" s="70"/>
      <c r="AO154" s="70"/>
      <c r="AP154" s="70"/>
      <c r="AQ154" s="70"/>
      <c r="AR154" s="70"/>
      <c r="AS154" s="70"/>
      <c r="AT154" s="70"/>
    </row>
    <row r="155" spans="1:46">
      <c r="A155" s="70"/>
      <c r="B155" s="70"/>
      <c r="C155" s="70"/>
      <c r="D155" s="70"/>
      <c r="E155" s="70"/>
      <c r="F155" s="70"/>
      <c r="G155" s="70"/>
      <c r="H155" s="54"/>
      <c r="I155" s="70"/>
      <c r="J155" s="70"/>
      <c r="K155" s="70"/>
      <c r="L155" s="70"/>
      <c r="M155" s="70"/>
      <c r="N155" s="70"/>
      <c r="O155" s="55"/>
      <c r="P155" s="70"/>
      <c r="Q155" s="70"/>
      <c r="R155" s="70"/>
      <c r="S155" s="70"/>
      <c r="T155" s="70"/>
      <c r="U155" s="70"/>
      <c r="V155" s="70"/>
      <c r="W155" s="70"/>
      <c r="X155" s="70"/>
      <c r="Y155" s="70"/>
      <c r="Z155" s="70"/>
      <c r="AA155" s="70"/>
      <c r="AB155" s="70"/>
      <c r="AC155" s="70"/>
      <c r="AD155" s="70"/>
      <c r="AE155" s="70"/>
      <c r="AF155" s="70"/>
      <c r="AG155" s="70"/>
      <c r="AH155" s="70"/>
      <c r="AI155" s="70"/>
      <c r="AJ155" s="70"/>
      <c r="AK155" s="70"/>
      <c r="AL155" s="70"/>
      <c r="AM155" s="70"/>
      <c r="AN155" s="70"/>
      <c r="AO155" s="70"/>
      <c r="AP155" s="70"/>
      <c r="AQ155" s="70"/>
      <c r="AR155" s="70"/>
      <c r="AS155" s="70"/>
      <c r="AT155" s="70"/>
    </row>
    <row r="156" spans="1:46">
      <c r="A156" s="70"/>
      <c r="B156" s="70"/>
      <c r="C156" s="70"/>
      <c r="D156" s="70"/>
      <c r="E156" s="70"/>
      <c r="F156" s="70"/>
      <c r="G156" s="70"/>
      <c r="H156" s="54"/>
      <c r="I156" s="70"/>
      <c r="J156" s="70"/>
      <c r="K156" s="70"/>
      <c r="L156" s="70"/>
      <c r="M156" s="70"/>
      <c r="N156" s="70"/>
      <c r="O156" s="55"/>
      <c r="P156" s="70"/>
      <c r="Q156" s="70"/>
      <c r="R156" s="70"/>
      <c r="S156" s="70"/>
      <c r="T156" s="70"/>
      <c r="U156" s="70"/>
      <c r="V156" s="70"/>
      <c r="W156" s="70"/>
      <c r="X156" s="70"/>
      <c r="Y156" s="70"/>
      <c r="Z156" s="70"/>
      <c r="AA156" s="70"/>
      <c r="AB156" s="70"/>
      <c r="AC156" s="70"/>
      <c r="AD156" s="70"/>
      <c r="AE156" s="70"/>
      <c r="AF156" s="70"/>
      <c r="AG156" s="70"/>
      <c r="AH156" s="70"/>
      <c r="AI156" s="70"/>
      <c r="AJ156" s="70"/>
      <c r="AK156" s="70"/>
      <c r="AL156" s="70"/>
      <c r="AM156" s="70"/>
      <c r="AN156" s="70"/>
      <c r="AO156" s="70"/>
      <c r="AP156" s="70"/>
      <c r="AQ156" s="70"/>
      <c r="AR156" s="70"/>
      <c r="AS156" s="70"/>
      <c r="AT156" s="70"/>
    </row>
    <row r="157" spans="1:46">
      <c r="A157" s="70"/>
      <c r="B157" s="70"/>
      <c r="C157" s="70"/>
      <c r="D157" s="70"/>
      <c r="E157" s="70"/>
      <c r="F157" s="70"/>
      <c r="G157" s="70"/>
      <c r="H157" s="54"/>
      <c r="I157" s="70"/>
      <c r="J157" s="70"/>
      <c r="K157" s="70"/>
      <c r="L157" s="70"/>
      <c r="M157" s="70"/>
      <c r="N157" s="70"/>
      <c r="O157" s="55"/>
      <c r="P157" s="70"/>
      <c r="Q157" s="70"/>
      <c r="R157" s="70"/>
      <c r="S157" s="70"/>
      <c r="T157" s="70"/>
      <c r="U157" s="70"/>
      <c r="V157" s="70"/>
      <c r="W157" s="70"/>
      <c r="X157" s="70"/>
      <c r="Y157" s="70"/>
      <c r="Z157" s="70"/>
      <c r="AA157" s="70"/>
      <c r="AB157" s="70"/>
      <c r="AC157" s="70"/>
      <c r="AD157" s="70"/>
      <c r="AE157" s="70"/>
      <c r="AF157" s="70"/>
      <c r="AG157" s="70"/>
      <c r="AH157" s="70"/>
      <c r="AI157" s="70"/>
      <c r="AJ157" s="70"/>
      <c r="AK157" s="70"/>
      <c r="AL157" s="70"/>
      <c r="AM157" s="70"/>
      <c r="AN157" s="70"/>
      <c r="AO157" s="70"/>
      <c r="AP157" s="70"/>
      <c r="AQ157" s="70"/>
      <c r="AR157" s="70"/>
      <c r="AS157" s="70"/>
      <c r="AT157" s="70"/>
    </row>
    <row r="158" spans="1:46">
      <c r="A158" s="70"/>
      <c r="B158" s="70"/>
      <c r="C158" s="70"/>
      <c r="D158" s="70"/>
      <c r="E158" s="70"/>
      <c r="F158" s="70"/>
      <c r="G158" s="70"/>
      <c r="H158" s="54"/>
      <c r="I158" s="70"/>
      <c r="J158" s="70"/>
      <c r="K158" s="70"/>
      <c r="L158" s="70"/>
      <c r="M158" s="70"/>
      <c r="N158" s="70"/>
      <c r="O158" s="55"/>
      <c r="P158" s="70"/>
      <c r="Q158" s="70"/>
      <c r="R158" s="70"/>
      <c r="S158" s="70"/>
      <c r="T158" s="70"/>
      <c r="U158" s="70"/>
      <c r="V158" s="70"/>
      <c r="W158" s="70"/>
      <c r="X158" s="70"/>
      <c r="Y158" s="70"/>
      <c r="Z158" s="70"/>
      <c r="AA158" s="70"/>
      <c r="AB158" s="70"/>
      <c r="AC158" s="70"/>
      <c r="AD158" s="70"/>
      <c r="AE158" s="70"/>
      <c r="AF158" s="70"/>
      <c r="AG158" s="70"/>
      <c r="AH158" s="70"/>
      <c r="AI158" s="70"/>
      <c r="AJ158" s="70"/>
      <c r="AK158" s="70"/>
      <c r="AL158" s="70"/>
      <c r="AM158" s="70"/>
      <c r="AN158" s="70"/>
      <c r="AO158" s="70"/>
      <c r="AP158" s="70"/>
      <c r="AQ158" s="70"/>
      <c r="AR158" s="70"/>
      <c r="AS158" s="70"/>
      <c r="AT158" s="70"/>
    </row>
    <row r="159" spans="1:46">
      <c r="A159" s="70"/>
      <c r="B159" s="70"/>
      <c r="C159" s="70"/>
      <c r="D159" s="70"/>
      <c r="E159" s="70"/>
      <c r="F159" s="70"/>
      <c r="G159" s="70"/>
      <c r="H159" s="54"/>
      <c r="I159" s="70"/>
      <c r="J159" s="70"/>
      <c r="K159" s="70"/>
      <c r="L159" s="70"/>
      <c r="M159" s="70"/>
      <c r="N159" s="70"/>
      <c r="O159" s="55"/>
      <c r="P159" s="70"/>
      <c r="Q159" s="70"/>
      <c r="R159" s="70"/>
      <c r="S159" s="70"/>
      <c r="T159" s="70"/>
      <c r="U159" s="70"/>
      <c r="V159" s="70"/>
      <c r="W159" s="70"/>
      <c r="X159" s="70"/>
      <c r="Y159" s="70"/>
      <c r="Z159" s="70"/>
      <c r="AA159" s="70"/>
      <c r="AB159" s="70"/>
      <c r="AC159" s="70"/>
      <c r="AD159" s="70"/>
      <c r="AE159" s="70"/>
      <c r="AF159" s="70"/>
      <c r="AG159" s="70"/>
      <c r="AH159" s="70"/>
      <c r="AI159" s="70"/>
      <c r="AJ159" s="70"/>
      <c r="AK159" s="70"/>
      <c r="AL159" s="70"/>
      <c r="AM159" s="70"/>
      <c r="AN159" s="70"/>
      <c r="AO159" s="70"/>
      <c r="AP159" s="70"/>
      <c r="AQ159" s="70"/>
      <c r="AR159" s="70"/>
      <c r="AS159" s="70"/>
      <c r="AT159" s="70"/>
    </row>
    <row r="160" spans="1:46">
      <c r="A160" s="70"/>
      <c r="B160" s="70"/>
      <c r="C160" s="70"/>
      <c r="D160" s="70"/>
      <c r="E160" s="70"/>
      <c r="F160" s="70"/>
      <c r="G160" s="70"/>
      <c r="H160" s="54"/>
      <c r="I160" s="70"/>
      <c r="J160" s="70"/>
      <c r="K160" s="70"/>
      <c r="L160" s="70"/>
      <c r="M160" s="70"/>
      <c r="N160" s="70"/>
      <c r="O160" s="55"/>
      <c r="P160" s="70"/>
      <c r="Q160" s="70"/>
      <c r="R160" s="70"/>
      <c r="S160" s="70"/>
      <c r="T160" s="70"/>
      <c r="U160" s="70"/>
      <c r="V160" s="70"/>
      <c r="W160" s="70"/>
      <c r="X160" s="70"/>
      <c r="Y160" s="70"/>
      <c r="Z160" s="70"/>
      <c r="AA160" s="70"/>
      <c r="AB160" s="70"/>
      <c r="AC160" s="70"/>
      <c r="AD160" s="70"/>
      <c r="AE160" s="70"/>
      <c r="AF160" s="70"/>
      <c r="AG160" s="70"/>
      <c r="AH160" s="70"/>
      <c r="AI160" s="70"/>
      <c r="AJ160" s="70"/>
      <c r="AK160" s="70"/>
      <c r="AL160" s="70"/>
      <c r="AM160" s="70"/>
      <c r="AN160" s="70"/>
      <c r="AO160" s="70"/>
      <c r="AP160" s="70"/>
      <c r="AQ160" s="70"/>
      <c r="AR160" s="70"/>
      <c r="AS160" s="70"/>
      <c r="AT160" s="70"/>
    </row>
    <row r="161" spans="1:46">
      <c r="A161" s="70"/>
      <c r="B161" s="70"/>
      <c r="C161" s="70"/>
      <c r="D161" s="70"/>
      <c r="E161" s="70"/>
      <c r="F161" s="70"/>
      <c r="G161" s="70"/>
      <c r="H161" s="54"/>
      <c r="I161" s="70"/>
      <c r="J161" s="70"/>
      <c r="K161" s="70"/>
      <c r="L161" s="70"/>
      <c r="M161" s="70"/>
      <c r="N161" s="70"/>
      <c r="O161" s="55"/>
      <c r="P161" s="70"/>
      <c r="Q161" s="70"/>
      <c r="R161" s="70"/>
      <c r="S161" s="70"/>
      <c r="T161" s="70"/>
      <c r="U161" s="70"/>
      <c r="V161" s="70"/>
      <c r="W161" s="70"/>
      <c r="X161" s="70"/>
      <c r="Y161" s="70"/>
      <c r="Z161" s="70"/>
      <c r="AA161" s="70"/>
      <c r="AB161" s="70"/>
      <c r="AC161" s="70"/>
      <c r="AD161" s="70"/>
      <c r="AE161" s="70"/>
      <c r="AF161" s="70"/>
      <c r="AG161" s="70"/>
      <c r="AH161" s="70"/>
      <c r="AI161" s="70"/>
      <c r="AJ161" s="70"/>
      <c r="AK161" s="70"/>
      <c r="AL161" s="70"/>
      <c r="AM161" s="70"/>
      <c r="AN161" s="70"/>
      <c r="AO161" s="70"/>
      <c r="AP161" s="70"/>
      <c r="AQ161" s="70"/>
      <c r="AR161" s="70"/>
      <c r="AS161" s="70"/>
      <c r="AT161" s="70"/>
    </row>
    <row r="162" spans="1:46">
      <c r="A162" s="70"/>
      <c r="B162" s="70"/>
      <c r="C162" s="70"/>
      <c r="D162" s="70"/>
      <c r="E162" s="70"/>
      <c r="F162" s="70"/>
      <c r="G162" s="70"/>
      <c r="H162" s="54"/>
      <c r="I162" s="70"/>
      <c r="J162" s="70"/>
      <c r="K162" s="70"/>
      <c r="L162" s="70"/>
      <c r="M162" s="70"/>
      <c r="N162" s="70"/>
      <c r="O162" s="55"/>
      <c r="P162" s="70"/>
      <c r="Q162" s="70"/>
      <c r="R162" s="70"/>
      <c r="S162" s="70"/>
      <c r="T162" s="70"/>
      <c r="U162" s="70"/>
      <c r="V162" s="70"/>
      <c r="W162" s="70"/>
      <c r="X162" s="70"/>
      <c r="Y162" s="70"/>
      <c r="Z162" s="70"/>
      <c r="AA162" s="70"/>
      <c r="AB162" s="70"/>
      <c r="AC162" s="70"/>
      <c r="AD162" s="70"/>
      <c r="AE162" s="70"/>
      <c r="AF162" s="70"/>
      <c r="AG162" s="70"/>
      <c r="AH162" s="70"/>
      <c r="AI162" s="70"/>
      <c r="AJ162" s="70"/>
      <c r="AK162" s="70"/>
      <c r="AL162" s="70"/>
      <c r="AM162" s="70"/>
      <c r="AN162" s="70"/>
      <c r="AO162" s="70"/>
      <c r="AP162" s="70"/>
      <c r="AQ162" s="70"/>
      <c r="AR162" s="70"/>
      <c r="AS162" s="70"/>
      <c r="AT162" s="70"/>
    </row>
    <row r="163" spans="1:46">
      <c r="A163" s="70"/>
      <c r="B163" s="70"/>
      <c r="C163" s="70"/>
      <c r="D163" s="70"/>
      <c r="E163" s="70"/>
      <c r="F163" s="70"/>
      <c r="G163" s="70"/>
      <c r="H163" s="54"/>
      <c r="I163" s="70"/>
      <c r="J163" s="70"/>
      <c r="K163" s="70"/>
      <c r="L163" s="70"/>
      <c r="M163" s="70"/>
      <c r="N163" s="70"/>
      <c r="O163" s="55"/>
      <c r="P163" s="70"/>
      <c r="Q163" s="70"/>
      <c r="R163" s="70"/>
      <c r="S163" s="70"/>
      <c r="T163" s="70"/>
      <c r="U163" s="70"/>
      <c r="V163" s="70"/>
      <c r="W163" s="70"/>
      <c r="X163" s="70"/>
      <c r="Y163" s="70"/>
      <c r="Z163" s="70"/>
      <c r="AA163" s="70"/>
      <c r="AB163" s="70"/>
      <c r="AC163" s="70"/>
      <c r="AD163" s="70"/>
      <c r="AE163" s="70"/>
      <c r="AF163" s="70"/>
      <c r="AG163" s="70"/>
      <c r="AH163" s="70"/>
      <c r="AI163" s="70"/>
      <c r="AJ163" s="70"/>
      <c r="AK163" s="70"/>
      <c r="AL163" s="70"/>
      <c r="AM163" s="70"/>
      <c r="AN163" s="70"/>
      <c r="AO163" s="70"/>
      <c r="AP163" s="70"/>
      <c r="AQ163" s="70"/>
      <c r="AR163" s="70"/>
      <c r="AS163" s="70"/>
      <c r="AT163" s="70"/>
    </row>
    <row r="164" spans="1:46">
      <c r="A164" s="70"/>
      <c r="B164" s="70"/>
      <c r="C164" s="70"/>
      <c r="D164" s="70"/>
      <c r="E164" s="70"/>
      <c r="F164" s="70"/>
      <c r="G164" s="70"/>
      <c r="H164" s="54"/>
      <c r="I164" s="70"/>
      <c r="J164" s="70"/>
      <c r="K164" s="70"/>
      <c r="L164" s="70"/>
      <c r="M164" s="70"/>
      <c r="N164" s="70"/>
      <c r="O164" s="70"/>
      <c r="P164" s="70"/>
      <c r="Q164" s="70"/>
      <c r="R164" s="70"/>
      <c r="S164" s="70"/>
      <c r="T164" s="70"/>
      <c r="U164" s="70"/>
      <c r="V164" s="70"/>
      <c r="W164" s="70"/>
      <c r="X164" s="70"/>
      <c r="Y164" s="70"/>
      <c r="Z164" s="70"/>
      <c r="AA164" s="70"/>
      <c r="AB164" s="70"/>
      <c r="AC164" s="70"/>
      <c r="AD164" s="70"/>
      <c r="AE164" s="70"/>
      <c r="AF164" s="70"/>
      <c r="AG164" s="70"/>
      <c r="AH164" s="70"/>
      <c r="AI164" s="70"/>
      <c r="AJ164" s="70"/>
      <c r="AK164" s="70"/>
      <c r="AL164" s="70"/>
      <c r="AM164" s="70"/>
      <c r="AN164" s="70"/>
      <c r="AO164" s="70"/>
      <c r="AP164" s="70"/>
      <c r="AQ164" s="70"/>
      <c r="AR164" s="70"/>
      <c r="AS164" s="70"/>
      <c r="AT164" s="70"/>
    </row>
    <row r="165" spans="1:46">
      <c r="A165" s="70"/>
      <c r="B165" s="70"/>
      <c r="C165" s="70"/>
      <c r="D165" s="70"/>
      <c r="E165" s="70"/>
      <c r="F165" s="70"/>
      <c r="G165" s="70"/>
      <c r="H165" s="54"/>
      <c r="I165" s="70"/>
      <c r="J165" s="70"/>
      <c r="K165" s="70"/>
      <c r="L165" s="70"/>
      <c r="M165" s="70"/>
      <c r="N165" s="70"/>
      <c r="O165" s="70"/>
      <c r="P165" s="70"/>
      <c r="Q165" s="70"/>
      <c r="R165" s="70"/>
      <c r="S165" s="70"/>
      <c r="T165" s="70"/>
      <c r="U165" s="70"/>
      <c r="V165" s="70"/>
      <c r="W165" s="70"/>
      <c r="X165" s="70"/>
      <c r="Y165" s="70"/>
      <c r="Z165" s="70"/>
      <c r="AA165" s="70"/>
      <c r="AB165" s="70"/>
      <c r="AC165" s="70"/>
      <c r="AD165" s="70"/>
      <c r="AE165" s="70"/>
      <c r="AF165" s="70"/>
      <c r="AG165" s="70"/>
      <c r="AH165" s="70"/>
      <c r="AI165" s="70"/>
      <c r="AJ165" s="70"/>
      <c r="AK165" s="70"/>
      <c r="AL165" s="70"/>
      <c r="AM165" s="70"/>
      <c r="AN165" s="70"/>
      <c r="AO165" s="70"/>
      <c r="AP165" s="70"/>
      <c r="AQ165" s="70"/>
      <c r="AR165" s="70"/>
      <c r="AS165" s="70"/>
      <c r="AT165" s="70"/>
    </row>
    <row r="166" spans="1:46">
      <c r="A166" s="70"/>
      <c r="B166" s="70"/>
      <c r="C166" s="70"/>
      <c r="D166" s="70"/>
      <c r="E166" s="70"/>
      <c r="F166" s="70"/>
      <c r="G166" s="70"/>
      <c r="H166" s="54"/>
      <c r="I166" s="70"/>
      <c r="J166" s="70"/>
      <c r="K166" s="70"/>
      <c r="L166" s="70"/>
      <c r="M166" s="70"/>
      <c r="N166" s="70"/>
      <c r="O166" s="70"/>
      <c r="P166" s="70"/>
      <c r="Q166" s="70"/>
      <c r="R166" s="70"/>
      <c r="S166" s="70"/>
      <c r="T166" s="70"/>
      <c r="U166" s="70"/>
      <c r="V166" s="70"/>
      <c r="W166" s="70"/>
      <c r="X166" s="70"/>
      <c r="Y166" s="70"/>
      <c r="Z166" s="70"/>
      <c r="AA166" s="70"/>
      <c r="AB166" s="70"/>
      <c r="AC166" s="70"/>
      <c r="AD166" s="70"/>
      <c r="AE166" s="70"/>
      <c r="AF166" s="70"/>
      <c r="AG166" s="70"/>
      <c r="AH166" s="70"/>
      <c r="AI166" s="70"/>
      <c r="AJ166" s="70"/>
      <c r="AK166" s="70"/>
      <c r="AL166" s="70"/>
      <c r="AM166" s="70"/>
      <c r="AN166" s="70"/>
      <c r="AO166" s="70"/>
      <c r="AP166" s="70"/>
      <c r="AQ166" s="70"/>
      <c r="AR166" s="70"/>
      <c r="AS166" s="70"/>
      <c r="AT166" s="70"/>
    </row>
    <row r="167" spans="1:46">
      <c r="A167" s="70"/>
      <c r="B167" s="70"/>
      <c r="C167" s="70"/>
      <c r="D167" s="70"/>
      <c r="E167" s="70"/>
      <c r="F167" s="70"/>
      <c r="G167" s="70"/>
      <c r="H167" s="54"/>
      <c r="I167" s="70"/>
      <c r="J167" s="70"/>
      <c r="K167" s="70"/>
      <c r="L167" s="70"/>
      <c r="M167" s="70"/>
      <c r="N167" s="70"/>
      <c r="O167" s="70"/>
      <c r="P167" s="70"/>
      <c r="Q167" s="70"/>
      <c r="R167" s="70"/>
      <c r="S167" s="70"/>
      <c r="T167" s="70"/>
      <c r="U167" s="70"/>
      <c r="V167" s="70"/>
      <c r="W167" s="70"/>
      <c r="X167" s="70"/>
      <c r="Y167" s="70"/>
      <c r="Z167" s="70"/>
      <c r="AA167" s="70"/>
      <c r="AB167" s="70"/>
      <c r="AC167" s="70"/>
      <c r="AD167" s="70"/>
      <c r="AE167" s="70"/>
      <c r="AF167" s="70"/>
      <c r="AG167" s="70"/>
      <c r="AH167" s="70"/>
      <c r="AI167" s="70"/>
      <c r="AJ167" s="70"/>
      <c r="AK167" s="70"/>
      <c r="AL167" s="70"/>
      <c r="AM167" s="70"/>
      <c r="AN167" s="70"/>
      <c r="AO167" s="70"/>
      <c r="AP167" s="70"/>
      <c r="AQ167" s="70"/>
      <c r="AR167" s="70"/>
      <c r="AS167" s="70"/>
      <c r="AT167" s="70"/>
    </row>
    <row r="168" spans="1:46">
      <c r="A168" s="70"/>
      <c r="B168" s="70"/>
      <c r="C168" s="70"/>
      <c r="D168" s="70"/>
      <c r="E168" s="70"/>
      <c r="F168" s="70"/>
      <c r="G168" s="70"/>
      <c r="H168" s="54"/>
      <c r="I168" s="70"/>
      <c r="J168" s="70"/>
      <c r="K168" s="70"/>
      <c r="L168" s="70"/>
      <c r="M168" s="70"/>
      <c r="N168" s="70"/>
      <c r="O168" s="70"/>
      <c r="P168" s="70"/>
      <c r="Q168" s="70"/>
      <c r="R168" s="70"/>
      <c r="S168" s="70"/>
      <c r="T168" s="70"/>
      <c r="U168" s="70"/>
      <c r="V168" s="70"/>
      <c r="W168" s="70"/>
      <c r="X168" s="70"/>
      <c r="Y168" s="70"/>
      <c r="Z168" s="70"/>
      <c r="AA168" s="70"/>
      <c r="AB168" s="70"/>
      <c r="AC168" s="70"/>
      <c r="AD168" s="70"/>
      <c r="AE168" s="70"/>
      <c r="AF168" s="70"/>
      <c r="AG168" s="70"/>
      <c r="AH168" s="70"/>
      <c r="AI168" s="70"/>
      <c r="AJ168" s="70"/>
      <c r="AK168" s="70"/>
      <c r="AL168" s="70"/>
      <c r="AM168" s="70"/>
      <c r="AN168" s="70"/>
      <c r="AO168" s="70"/>
      <c r="AP168" s="70"/>
      <c r="AQ168" s="70"/>
      <c r="AR168" s="70"/>
      <c r="AS168" s="70"/>
      <c r="AT168" s="70"/>
    </row>
    <row r="169" spans="1:46">
      <c r="A169" s="70"/>
      <c r="B169" s="70"/>
      <c r="C169" s="70"/>
      <c r="D169" s="70"/>
      <c r="E169" s="70"/>
      <c r="F169" s="70"/>
      <c r="G169" s="70"/>
      <c r="H169" s="54"/>
      <c r="I169" s="70"/>
      <c r="J169" s="70"/>
      <c r="K169" s="70"/>
      <c r="L169" s="70"/>
      <c r="M169" s="70"/>
      <c r="N169" s="70"/>
      <c r="O169" s="70"/>
      <c r="P169" s="70"/>
      <c r="Q169" s="70"/>
      <c r="R169" s="70"/>
      <c r="S169" s="70"/>
      <c r="T169" s="70"/>
      <c r="U169" s="70"/>
      <c r="V169" s="70"/>
      <c r="W169" s="70"/>
      <c r="X169" s="70"/>
      <c r="Y169" s="70"/>
      <c r="Z169" s="70"/>
      <c r="AA169" s="70"/>
      <c r="AB169" s="70"/>
      <c r="AC169" s="70"/>
      <c r="AD169" s="70"/>
      <c r="AE169" s="70"/>
      <c r="AF169" s="70"/>
      <c r="AG169" s="70"/>
      <c r="AH169" s="70"/>
      <c r="AI169" s="70"/>
      <c r="AJ169" s="70"/>
      <c r="AK169" s="70"/>
      <c r="AL169" s="70"/>
      <c r="AM169" s="70"/>
      <c r="AN169" s="70"/>
      <c r="AO169" s="70"/>
      <c r="AP169" s="70"/>
      <c r="AQ169" s="70"/>
      <c r="AR169" s="70"/>
      <c r="AS169" s="70"/>
      <c r="AT169" s="70"/>
    </row>
    <row r="170" spans="1:46">
      <c r="A170" s="70"/>
      <c r="B170" s="70"/>
      <c r="C170" s="70"/>
      <c r="D170" s="70"/>
      <c r="E170" s="70"/>
      <c r="F170" s="70"/>
      <c r="G170" s="70"/>
      <c r="H170" s="54"/>
      <c r="I170" s="70"/>
      <c r="J170" s="70"/>
      <c r="K170" s="70"/>
      <c r="L170" s="70"/>
      <c r="M170" s="70"/>
      <c r="N170" s="70"/>
      <c r="O170" s="70"/>
      <c r="P170" s="70"/>
      <c r="Q170" s="70"/>
      <c r="R170" s="70"/>
      <c r="S170" s="70"/>
      <c r="T170" s="70"/>
      <c r="U170" s="70"/>
      <c r="V170" s="70"/>
      <c r="W170" s="70"/>
      <c r="X170" s="70"/>
      <c r="Y170" s="70"/>
      <c r="Z170" s="70"/>
      <c r="AA170" s="70"/>
      <c r="AB170" s="70"/>
      <c r="AC170" s="70"/>
      <c r="AD170" s="70"/>
      <c r="AE170" s="70"/>
      <c r="AF170" s="70"/>
      <c r="AG170" s="70"/>
      <c r="AH170" s="70"/>
      <c r="AI170" s="70"/>
      <c r="AJ170" s="70"/>
      <c r="AK170" s="70"/>
      <c r="AL170" s="70"/>
      <c r="AM170" s="70"/>
      <c r="AN170" s="70"/>
      <c r="AO170" s="70"/>
      <c r="AP170" s="70"/>
      <c r="AQ170" s="70"/>
      <c r="AR170" s="70"/>
      <c r="AS170" s="70"/>
      <c r="AT170" s="70"/>
    </row>
    <row r="171" spans="1:46">
      <c r="A171" s="70"/>
      <c r="B171" s="70"/>
      <c r="C171" s="70"/>
      <c r="D171" s="70"/>
      <c r="E171" s="70"/>
      <c r="F171" s="70"/>
      <c r="G171" s="70"/>
      <c r="H171" s="54"/>
      <c r="I171" s="70"/>
      <c r="J171" s="70"/>
      <c r="K171" s="70"/>
      <c r="L171" s="70"/>
      <c r="M171" s="70"/>
      <c r="N171" s="70"/>
      <c r="O171" s="70"/>
      <c r="P171" s="70"/>
      <c r="Q171" s="70"/>
      <c r="R171" s="70"/>
      <c r="S171" s="70"/>
      <c r="T171" s="70"/>
      <c r="U171" s="70"/>
      <c r="V171" s="70"/>
      <c r="W171" s="70"/>
      <c r="X171" s="70"/>
      <c r="Y171" s="70"/>
      <c r="Z171" s="70"/>
      <c r="AA171" s="70"/>
      <c r="AB171" s="70"/>
      <c r="AC171" s="70"/>
      <c r="AD171" s="70"/>
      <c r="AE171" s="70"/>
      <c r="AF171" s="70"/>
      <c r="AG171" s="70"/>
      <c r="AH171" s="70"/>
      <c r="AI171" s="70"/>
      <c r="AJ171" s="70"/>
      <c r="AK171" s="70"/>
      <c r="AL171" s="70"/>
      <c r="AM171" s="70"/>
      <c r="AN171" s="70"/>
      <c r="AO171" s="70"/>
      <c r="AP171" s="70"/>
      <c r="AQ171" s="70"/>
      <c r="AR171" s="70"/>
      <c r="AS171" s="70"/>
      <c r="AT171" s="70"/>
    </row>
    <row r="172" spans="1:46">
      <c r="A172" s="70"/>
      <c r="B172" s="70"/>
      <c r="C172" s="70"/>
      <c r="D172" s="70"/>
      <c r="E172" s="70"/>
      <c r="F172" s="70"/>
      <c r="G172" s="70"/>
      <c r="H172" s="54"/>
      <c r="I172" s="70"/>
      <c r="J172" s="70"/>
      <c r="K172" s="70"/>
      <c r="L172" s="70"/>
      <c r="M172" s="70"/>
      <c r="N172" s="70"/>
      <c r="O172" s="70"/>
      <c r="P172" s="70"/>
      <c r="Q172" s="70"/>
      <c r="R172" s="70"/>
      <c r="S172" s="70"/>
      <c r="T172" s="70"/>
      <c r="U172" s="70"/>
      <c r="V172" s="70"/>
      <c r="W172" s="70"/>
      <c r="X172" s="70"/>
      <c r="Y172" s="70"/>
      <c r="Z172" s="70"/>
      <c r="AA172" s="70"/>
      <c r="AB172" s="70"/>
      <c r="AC172" s="70"/>
      <c r="AD172" s="70"/>
      <c r="AE172" s="70"/>
      <c r="AF172" s="70"/>
      <c r="AG172" s="70"/>
      <c r="AH172" s="70"/>
      <c r="AI172" s="70"/>
      <c r="AJ172" s="70"/>
      <c r="AK172" s="70"/>
      <c r="AL172" s="70"/>
      <c r="AM172" s="70"/>
      <c r="AN172" s="70"/>
      <c r="AO172" s="70"/>
      <c r="AP172" s="70"/>
      <c r="AQ172" s="70"/>
      <c r="AR172" s="70"/>
      <c r="AS172" s="70"/>
      <c r="AT172" s="70"/>
    </row>
    <row r="173" spans="1:46">
      <c r="A173" s="70"/>
      <c r="B173" s="70"/>
      <c r="C173" s="70"/>
      <c r="D173" s="70"/>
      <c r="E173" s="70"/>
      <c r="F173" s="70"/>
      <c r="G173" s="70"/>
      <c r="H173" s="54"/>
      <c r="I173" s="70"/>
      <c r="J173" s="70"/>
      <c r="K173" s="70"/>
      <c r="L173" s="70"/>
      <c r="M173" s="70"/>
      <c r="N173" s="70"/>
      <c r="O173" s="70"/>
      <c r="P173" s="70"/>
      <c r="Q173" s="70"/>
      <c r="R173" s="70"/>
      <c r="S173" s="70"/>
      <c r="T173" s="70"/>
      <c r="U173" s="70"/>
      <c r="V173" s="70"/>
      <c r="W173" s="70"/>
      <c r="X173" s="70"/>
      <c r="Y173" s="70"/>
      <c r="Z173" s="70"/>
      <c r="AA173" s="70"/>
      <c r="AB173" s="70"/>
      <c r="AC173" s="70"/>
      <c r="AD173" s="70"/>
      <c r="AE173" s="70"/>
      <c r="AF173" s="70"/>
      <c r="AG173" s="70"/>
      <c r="AH173" s="70"/>
      <c r="AI173" s="70"/>
      <c r="AJ173" s="70"/>
      <c r="AK173" s="70"/>
      <c r="AL173" s="70"/>
      <c r="AM173" s="70"/>
      <c r="AN173" s="70"/>
      <c r="AO173" s="70"/>
      <c r="AP173" s="70"/>
      <c r="AQ173" s="70"/>
      <c r="AR173" s="70"/>
      <c r="AS173" s="70"/>
      <c r="AT173" s="70"/>
    </row>
    <row r="174" spans="1:46">
      <c r="A174" s="70"/>
      <c r="B174" s="70"/>
      <c r="C174" s="70"/>
      <c r="D174" s="70"/>
      <c r="E174" s="70"/>
      <c r="F174" s="70"/>
      <c r="G174" s="70"/>
      <c r="H174" s="54"/>
      <c r="I174" s="70"/>
      <c r="J174" s="70"/>
      <c r="K174" s="70"/>
      <c r="L174" s="70"/>
      <c r="M174" s="70"/>
      <c r="N174" s="70"/>
      <c r="O174" s="70"/>
      <c r="P174" s="70"/>
      <c r="Q174" s="70"/>
      <c r="R174" s="70"/>
      <c r="S174" s="70"/>
      <c r="T174" s="70"/>
      <c r="U174" s="70"/>
      <c r="V174" s="70"/>
      <c r="W174" s="70"/>
      <c r="X174" s="70"/>
      <c r="Y174" s="70"/>
      <c r="Z174" s="70"/>
      <c r="AA174" s="70"/>
      <c r="AB174" s="70"/>
      <c r="AC174" s="70"/>
      <c r="AD174" s="70"/>
      <c r="AE174" s="70"/>
      <c r="AF174" s="70"/>
      <c r="AG174" s="70"/>
      <c r="AH174" s="70"/>
      <c r="AI174" s="70"/>
      <c r="AJ174" s="70"/>
      <c r="AK174" s="70"/>
      <c r="AL174" s="70"/>
      <c r="AM174" s="70"/>
      <c r="AN174" s="70"/>
      <c r="AO174" s="70"/>
      <c r="AP174" s="70"/>
      <c r="AQ174" s="70"/>
      <c r="AR174" s="70"/>
      <c r="AS174" s="70"/>
      <c r="AT174" s="70"/>
    </row>
    <row r="175" spans="1:46">
      <c r="A175" s="70"/>
      <c r="B175" s="70"/>
      <c r="C175" s="70"/>
      <c r="D175" s="70"/>
      <c r="E175" s="70"/>
      <c r="F175" s="70"/>
      <c r="G175" s="70"/>
      <c r="H175" s="54"/>
      <c r="I175" s="70"/>
      <c r="J175" s="70"/>
      <c r="K175" s="70"/>
      <c r="L175" s="70"/>
      <c r="M175" s="70"/>
      <c r="N175" s="70"/>
      <c r="O175" s="70"/>
      <c r="P175" s="70"/>
      <c r="Q175" s="70"/>
      <c r="R175" s="70"/>
      <c r="S175" s="70"/>
      <c r="T175" s="70"/>
      <c r="U175" s="70"/>
      <c r="V175" s="70"/>
      <c r="W175" s="70"/>
      <c r="X175" s="70"/>
      <c r="Y175" s="70"/>
      <c r="Z175" s="70"/>
      <c r="AA175" s="70"/>
      <c r="AB175" s="70"/>
      <c r="AC175" s="70"/>
      <c r="AD175" s="70"/>
      <c r="AE175" s="70"/>
      <c r="AF175" s="70"/>
      <c r="AG175" s="70"/>
      <c r="AH175" s="70"/>
      <c r="AI175" s="70"/>
      <c r="AJ175" s="70"/>
      <c r="AK175" s="70"/>
      <c r="AL175" s="70"/>
      <c r="AM175" s="70"/>
      <c r="AN175" s="70"/>
      <c r="AO175" s="70"/>
      <c r="AP175" s="70"/>
      <c r="AQ175" s="70"/>
      <c r="AR175" s="70"/>
      <c r="AS175" s="70"/>
      <c r="AT175" s="70"/>
    </row>
    <row r="176" spans="1:46">
      <c r="A176" s="70"/>
      <c r="B176" s="70"/>
      <c r="C176" s="70"/>
      <c r="D176" s="70"/>
      <c r="E176" s="70"/>
      <c r="F176" s="70"/>
      <c r="G176" s="70"/>
      <c r="H176" s="54"/>
      <c r="I176" s="70"/>
      <c r="J176" s="70"/>
      <c r="K176" s="70"/>
      <c r="L176" s="70"/>
      <c r="M176" s="70"/>
      <c r="N176" s="70"/>
      <c r="O176" s="70"/>
      <c r="P176" s="70"/>
      <c r="Q176" s="70"/>
      <c r="R176" s="70"/>
      <c r="S176" s="70"/>
      <c r="T176" s="70"/>
      <c r="U176" s="70"/>
      <c r="V176" s="70"/>
      <c r="W176" s="70"/>
      <c r="X176" s="70"/>
      <c r="Y176" s="70"/>
      <c r="Z176" s="70"/>
      <c r="AA176" s="70"/>
      <c r="AB176" s="70"/>
      <c r="AC176" s="70"/>
      <c r="AD176" s="70"/>
      <c r="AE176" s="70"/>
      <c r="AF176" s="70"/>
      <c r="AG176" s="70"/>
      <c r="AH176" s="70"/>
      <c r="AI176" s="70"/>
      <c r="AJ176" s="70"/>
      <c r="AK176" s="70"/>
      <c r="AL176" s="70"/>
      <c r="AM176" s="70"/>
      <c r="AN176" s="70"/>
      <c r="AO176" s="70"/>
      <c r="AP176" s="70"/>
      <c r="AQ176" s="70"/>
      <c r="AR176" s="70"/>
      <c r="AS176" s="70"/>
      <c r="AT176" s="70"/>
    </row>
    <row r="177" spans="1:46">
      <c r="A177" s="70"/>
      <c r="B177" s="70"/>
      <c r="C177" s="70"/>
      <c r="D177" s="70"/>
      <c r="E177" s="70"/>
      <c r="F177" s="70"/>
      <c r="G177" s="70"/>
      <c r="H177" s="54"/>
      <c r="I177" s="70"/>
      <c r="J177" s="70"/>
      <c r="K177" s="70"/>
      <c r="L177" s="70"/>
      <c r="M177" s="70"/>
      <c r="N177" s="70"/>
      <c r="O177" s="70"/>
      <c r="P177" s="70"/>
      <c r="Q177" s="70"/>
      <c r="R177" s="70"/>
      <c r="S177" s="70"/>
      <c r="T177" s="70"/>
      <c r="U177" s="70"/>
      <c r="V177" s="70"/>
      <c r="W177" s="70"/>
      <c r="X177" s="70"/>
      <c r="Y177" s="70"/>
      <c r="Z177" s="70"/>
      <c r="AA177" s="70"/>
      <c r="AB177" s="70"/>
      <c r="AC177" s="70"/>
      <c r="AD177" s="70"/>
      <c r="AE177" s="70"/>
      <c r="AF177" s="70"/>
      <c r="AG177" s="70"/>
      <c r="AH177" s="70"/>
      <c r="AI177" s="70"/>
      <c r="AJ177" s="70"/>
      <c r="AK177" s="70"/>
      <c r="AL177" s="70"/>
      <c r="AM177" s="70"/>
      <c r="AN177" s="70"/>
      <c r="AO177" s="70"/>
      <c r="AP177" s="70"/>
      <c r="AQ177" s="70"/>
      <c r="AR177" s="70"/>
      <c r="AS177" s="70"/>
      <c r="AT177" s="70"/>
    </row>
    <row r="178" spans="1:46">
      <c r="A178" s="70"/>
      <c r="B178" s="70"/>
      <c r="C178" s="70"/>
      <c r="D178" s="70"/>
      <c r="E178" s="70"/>
      <c r="F178" s="70"/>
      <c r="G178" s="70"/>
      <c r="H178" s="54"/>
      <c r="I178" s="70"/>
      <c r="J178" s="70"/>
      <c r="K178" s="70"/>
      <c r="L178" s="70"/>
      <c r="M178" s="70"/>
      <c r="N178" s="70"/>
      <c r="O178" s="70"/>
      <c r="P178" s="70"/>
      <c r="Q178" s="70"/>
      <c r="R178" s="70"/>
      <c r="S178" s="70"/>
      <c r="T178" s="70"/>
      <c r="U178" s="70"/>
      <c r="V178" s="70"/>
      <c r="W178" s="70"/>
      <c r="X178" s="70"/>
      <c r="Y178" s="70"/>
      <c r="Z178" s="70"/>
      <c r="AA178" s="70"/>
      <c r="AB178" s="70"/>
      <c r="AC178" s="70"/>
      <c r="AD178" s="70"/>
      <c r="AE178" s="70"/>
      <c r="AF178" s="70"/>
      <c r="AG178" s="70"/>
      <c r="AH178" s="70"/>
      <c r="AI178" s="70"/>
      <c r="AJ178" s="70"/>
      <c r="AK178" s="70"/>
      <c r="AL178" s="70"/>
      <c r="AM178" s="70"/>
      <c r="AN178" s="70"/>
      <c r="AO178" s="70"/>
      <c r="AP178" s="70"/>
      <c r="AQ178" s="70"/>
      <c r="AR178" s="70"/>
      <c r="AS178" s="70"/>
      <c r="AT178" s="70"/>
    </row>
    <row r="179" spans="1:46">
      <c r="A179" s="70"/>
      <c r="B179" s="70"/>
      <c r="C179" s="70"/>
      <c r="D179" s="70"/>
      <c r="E179" s="70"/>
      <c r="F179" s="70"/>
      <c r="G179" s="70"/>
      <c r="H179" s="54"/>
      <c r="I179" s="70"/>
      <c r="J179" s="70"/>
      <c r="K179" s="70"/>
      <c r="L179" s="70"/>
      <c r="M179" s="70"/>
      <c r="N179" s="70"/>
      <c r="O179" s="70"/>
      <c r="P179" s="70"/>
      <c r="Q179" s="70"/>
      <c r="R179" s="70"/>
      <c r="S179" s="70"/>
      <c r="T179" s="70"/>
      <c r="U179" s="70"/>
      <c r="V179" s="70"/>
      <c r="W179" s="70"/>
      <c r="X179" s="70"/>
      <c r="Y179" s="70"/>
      <c r="Z179" s="70"/>
      <c r="AA179" s="70"/>
      <c r="AB179" s="70"/>
      <c r="AC179" s="70"/>
      <c r="AD179" s="70"/>
      <c r="AE179" s="70"/>
      <c r="AF179" s="70"/>
      <c r="AG179" s="70"/>
      <c r="AH179" s="70"/>
      <c r="AI179" s="70"/>
      <c r="AJ179" s="70"/>
      <c r="AK179" s="70"/>
      <c r="AL179" s="70"/>
      <c r="AM179" s="70"/>
      <c r="AN179" s="70"/>
      <c r="AO179" s="70"/>
      <c r="AP179" s="70"/>
      <c r="AQ179" s="70"/>
      <c r="AR179" s="70"/>
      <c r="AS179" s="70"/>
      <c r="AT179" s="70"/>
    </row>
    <row r="180" spans="1:46">
      <c r="A180" s="70"/>
      <c r="B180" s="70"/>
      <c r="C180" s="70"/>
      <c r="D180" s="70"/>
      <c r="E180" s="70"/>
      <c r="F180" s="70"/>
      <c r="G180" s="70"/>
      <c r="H180" s="54"/>
      <c r="I180" s="70"/>
      <c r="J180" s="70"/>
      <c r="K180" s="70"/>
      <c r="L180" s="70"/>
      <c r="M180" s="70"/>
      <c r="N180" s="70"/>
      <c r="O180" s="70"/>
      <c r="P180" s="70"/>
      <c r="Q180" s="70"/>
      <c r="R180" s="70"/>
      <c r="S180" s="70"/>
      <c r="T180" s="70"/>
      <c r="U180" s="70"/>
      <c r="V180" s="70"/>
      <c r="W180" s="70"/>
      <c r="X180" s="70"/>
      <c r="Y180" s="70"/>
      <c r="Z180" s="70"/>
      <c r="AA180" s="70"/>
      <c r="AB180" s="70"/>
      <c r="AC180" s="70"/>
      <c r="AD180" s="70"/>
      <c r="AE180" s="70"/>
      <c r="AF180" s="70"/>
      <c r="AG180" s="70"/>
      <c r="AH180" s="70"/>
      <c r="AI180" s="70"/>
      <c r="AJ180" s="70"/>
      <c r="AK180" s="70"/>
      <c r="AL180" s="70"/>
      <c r="AM180" s="70"/>
      <c r="AN180" s="70"/>
      <c r="AO180" s="70"/>
      <c r="AP180" s="70"/>
      <c r="AQ180" s="70"/>
      <c r="AR180" s="70"/>
      <c r="AS180" s="70"/>
      <c r="AT180" s="70"/>
    </row>
    <row r="181" spans="1:46">
      <c r="A181" s="70"/>
      <c r="B181" s="70"/>
      <c r="C181" s="70"/>
      <c r="D181" s="70"/>
      <c r="E181" s="70"/>
      <c r="F181" s="70"/>
      <c r="G181" s="70"/>
      <c r="H181" s="54"/>
      <c r="I181" s="70"/>
      <c r="J181" s="70"/>
      <c r="K181" s="70"/>
      <c r="L181" s="70"/>
      <c r="M181" s="70"/>
      <c r="N181" s="70"/>
      <c r="O181" s="70"/>
      <c r="P181" s="70"/>
      <c r="Q181" s="70"/>
      <c r="R181" s="70"/>
      <c r="S181" s="70"/>
      <c r="T181" s="70"/>
      <c r="U181" s="70"/>
      <c r="V181" s="70"/>
      <c r="W181" s="70"/>
      <c r="X181" s="70"/>
      <c r="Y181" s="70"/>
      <c r="Z181" s="70"/>
      <c r="AA181" s="70"/>
      <c r="AB181" s="70"/>
      <c r="AC181" s="70"/>
      <c r="AD181" s="70"/>
      <c r="AE181" s="70"/>
      <c r="AF181" s="70"/>
      <c r="AG181" s="70"/>
      <c r="AH181" s="70"/>
      <c r="AI181" s="70"/>
      <c r="AJ181" s="70"/>
      <c r="AK181" s="70"/>
      <c r="AL181" s="70"/>
      <c r="AM181" s="70"/>
      <c r="AN181" s="70"/>
      <c r="AO181" s="70"/>
      <c r="AP181" s="70"/>
      <c r="AQ181" s="70"/>
      <c r="AR181" s="70"/>
      <c r="AS181" s="70"/>
      <c r="AT181" s="70"/>
    </row>
    <row r="182" spans="1:46">
      <c r="A182" s="70"/>
      <c r="B182" s="70"/>
      <c r="C182" s="70"/>
      <c r="D182" s="70"/>
      <c r="E182" s="70"/>
      <c r="F182" s="70"/>
      <c r="G182" s="70"/>
      <c r="H182" s="54"/>
      <c r="I182" s="70"/>
      <c r="J182" s="70"/>
      <c r="K182" s="70"/>
      <c r="L182" s="70"/>
      <c r="M182" s="70"/>
      <c r="N182" s="70"/>
      <c r="O182" s="70"/>
      <c r="P182" s="70"/>
      <c r="Q182" s="70"/>
      <c r="R182" s="70"/>
      <c r="S182" s="70"/>
      <c r="T182" s="70"/>
      <c r="U182" s="70"/>
      <c r="V182" s="70"/>
      <c r="W182" s="70"/>
      <c r="X182" s="70"/>
      <c r="Y182" s="70"/>
      <c r="Z182" s="70"/>
      <c r="AA182" s="70"/>
      <c r="AB182" s="70"/>
      <c r="AC182" s="70"/>
      <c r="AD182" s="70"/>
      <c r="AE182" s="70"/>
      <c r="AF182" s="70"/>
      <c r="AG182" s="70"/>
      <c r="AH182" s="70"/>
      <c r="AI182" s="70"/>
      <c r="AJ182" s="70"/>
      <c r="AK182" s="70"/>
      <c r="AL182" s="70"/>
      <c r="AM182" s="70"/>
      <c r="AN182" s="70"/>
      <c r="AO182" s="70"/>
      <c r="AP182" s="70"/>
      <c r="AQ182" s="70"/>
      <c r="AR182" s="70"/>
      <c r="AS182" s="70"/>
      <c r="AT182" s="70"/>
    </row>
    <row r="183" spans="1:46">
      <c r="A183" s="70"/>
      <c r="B183" s="70"/>
      <c r="C183" s="70"/>
      <c r="D183" s="70"/>
      <c r="E183" s="70"/>
      <c r="F183" s="70"/>
      <c r="G183" s="70"/>
      <c r="H183" s="54"/>
      <c r="I183" s="70"/>
      <c r="J183" s="70"/>
      <c r="K183" s="70"/>
      <c r="L183" s="70"/>
      <c r="M183" s="70"/>
      <c r="N183" s="70"/>
      <c r="O183" s="70"/>
      <c r="P183" s="70"/>
      <c r="Q183" s="70"/>
      <c r="R183" s="70"/>
      <c r="S183" s="70"/>
      <c r="T183" s="70"/>
      <c r="U183" s="70"/>
      <c r="V183" s="70"/>
      <c r="W183" s="70"/>
      <c r="X183" s="70"/>
      <c r="Y183" s="70"/>
      <c r="Z183" s="70"/>
      <c r="AA183" s="70"/>
      <c r="AB183" s="70"/>
      <c r="AC183" s="70"/>
      <c r="AD183" s="70"/>
      <c r="AE183" s="70"/>
      <c r="AF183" s="70"/>
      <c r="AG183" s="70"/>
      <c r="AH183" s="70"/>
      <c r="AI183" s="70"/>
      <c r="AJ183" s="70"/>
      <c r="AK183" s="70"/>
      <c r="AL183" s="70"/>
      <c r="AM183" s="70"/>
      <c r="AN183" s="70"/>
      <c r="AO183" s="70"/>
      <c r="AP183" s="70"/>
      <c r="AQ183" s="70"/>
      <c r="AR183" s="70"/>
      <c r="AS183" s="70"/>
      <c r="AT183" s="70"/>
    </row>
    <row r="184" spans="1:46">
      <c r="A184" s="70"/>
      <c r="B184" s="70"/>
      <c r="C184" s="70"/>
      <c r="D184" s="70"/>
      <c r="E184" s="70"/>
      <c r="F184" s="70"/>
      <c r="G184" s="70"/>
      <c r="H184" s="54"/>
      <c r="I184" s="70"/>
      <c r="J184" s="70"/>
      <c r="K184" s="70"/>
      <c r="L184" s="70"/>
      <c r="M184" s="70"/>
      <c r="N184" s="70"/>
      <c r="O184" s="70"/>
      <c r="P184" s="70"/>
      <c r="Q184" s="70"/>
      <c r="R184" s="70"/>
      <c r="S184" s="70"/>
      <c r="T184" s="70"/>
      <c r="U184" s="70"/>
      <c r="V184" s="70"/>
      <c r="W184" s="70"/>
      <c r="X184" s="70"/>
      <c r="Y184" s="70"/>
      <c r="Z184" s="70"/>
      <c r="AA184" s="70"/>
      <c r="AB184" s="70"/>
      <c r="AC184" s="70"/>
      <c r="AD184" s="70"/>
      <c r="AE184" s="70"/>
      <c r="AF184" s="70"/>
      <c r="AG184" s="70"/>
      <c r="AH184" s="70"/>
      <c r="AI184" s="70"/>
      <c r="AJ184" s="70"/>
      <c r="AK184" s="70"/>
      <c r="AL184" s="70"/>
      <c r="AM184" s="70"/>
      <c r="AN184" s="70"/>
      <c r="AO184" s="70"/>
      <c r="AP184" s="70"/>
      <c r="AQ184" s="70"/>
      <c r="AR184" s="70"/>
      <c r="AS184" s="70"/>
      <c r="AT184" s="70"/>
    </row>
    <row r="185" spans="1:46">
      <c r="A185" s="70"/>
      <c r="B185" s="70"/>
      <c r="C185" s="70"/>
      <c r="D185" s="70"/>
      <c r="E185" s="70"/>
      <c r="F185" s="70"/>
      <c r="G185" s="70"/>
      <c r="H185" s="54"/>
      <c r="I185" s="70"/>
      <c r="J185" s="70"/>
      <c r="K185" s="70"/>
      <c r="L185" s="70"/>
      <c r="M185" s="70"/>
      <c r="N185" s="70"/>
      <c r="O185" s="70"/>
      <c r="P185" s="70"/>
      <c r="Q185" s="70"/>
      <c r="R185" s="70"/>
      <c r="S185" s="70"/>
      <c r="T185" s="70"/>
      <c r="U185" s="70"/>
      <c r="V185" s="70"/>
      <c r="W185" s="70"/>
      <c r="X185" s="70"/>
      <c r="Y185" s="70"/>
      <c r="Z185" s="70"/>
      <c r="AA185" s="70"/>
      <c r="AB185" s="70"/>
      <c r="AC185" s="70"/>
      <c r="AD185" s="70"/>
      <c r="AE185" s="70"/>
      <c r="AF185" s="70"/>
      <c r="AG185" s="70"/>
      <c r="AH185" s="70"/>
      <c r="AI185" s="70"/>
      <c r="AJ185" s="70"/>
      <c r="AK185" s="70"/>
      <c r="AL185" s="70"/>
      <c r="AM185" s="70"/>
      <c r="AN185" s="70"/>
      <c r="AO185" s="70"/>
      <c r="AP185" s="70"/>
      <c r="AQ185" s="70"/>
      <c r="AR185" s="70"/>
      <c r="AS185" s="70"/>
      <c r="AT185" s="70"/>
    </row>
    <row r="186" spans="1:46">
      <c r="A186" s="70"/>
      <c r="B186" s="70"/>
      <c r="C186" s="70"/>
      <c r="D186" s="70"/>
      <c r="E186" s="70"/>
      <c r="F186" s="70"/>
      <c r="G186" s="70"/>
      <c r="H186" s="54"/>
      <c r="I186" s="70"/>
      <c r="J186" s="70"/>
      <c r="K186" s="70"/>
      <c r="L186" s="70"/>
      <c r="M186" s="70"/>
      <c r="N186" s="70"/>
      <c r="O186" s="70"/>
      <c r="P186" s="70"/>
      <c r="Q186" s="70"/>
      <c r="R186" s="70"/>
      <c r="S186" s="70"/>
      <c r="T186" s="70"/>
      <c r="U186" s="70"/>
      <c r="V186" s="70"/>
      <c r="W186" s="70"/>
      <c r="X186" s="70"/>
      <c r="Y186" s="70"/>
      <c r="Z186" s="70"/>
      <c r="AA186" s="70"/>
      <c r="AB186" s="70"/>
      <c r="AC186" s="70"/>
      <c r="AD186" s="70"/>
      <c r="AE186" s="70"/>
      <c r="AF186" s="70"/>
      <c r="AG186" s="70"/>
      <c r="AH186" s="70"/>
      <c r="AI186" s="70"/>
      <c r="AJ186" s="70"/>
      <c r="AK186" s="70"/>
      <c r="AL186" s="70"/>
      <c r="AM186" s="70"/>
      <c r="AN186" s="70"/>
      <c r="AO186" s="70"/>
      <c r="AP186" s="70"/>
      <c r="AQ186" s="70"/>
      <c r="AR186" s="70"/>
      <c r="AS186" s="70"/>
      <c r="AT186" s="70"/>
    </row>
    <row r="187" spans="1:46">
      <c r="A187" s="70"/>
      <c r="B187" s="70"/>
      <c r="C187" s="70"/>
      <c r="D187" s="70"/>
      <c r="E187" s="70"/>
      <c r="F187" s="70"/>
      <c r="G187" s="70"/>
      <c r="H187" s="54"/>
      <c r="I187" s="70"/>
      <c r="J187" s="70"/>
      <c r="K187" s="70"/>
      <c r="L187" s="70"/>
      <c r="M187" s="70"/>
      <c r="N187" s="70"/>
      <c r="O187" s="70"/>
      <c r="P187" s="70"/>
      <c r="Q187" s="70"/>
      <c r="R187" s="70"/>
      <c r="S187" s="70"/>
      <c r="T187" s="70"/>
      <c r="U187" s="70"/>
      <c r="V187" s="70"/>
      <c r="W187" s="70"/>
      <c r="X187" s="70"/>
      <c r="Y187" s="70"/>
      <c r="Z187" s="70"/>
      <c r="AA187" s="70"/>
      <c r="AB187" s="70"/>
      <c r="AC187" s="70"/>
      <c r="AD187" s="70"/>
      <c r="AE187" s="70"/>
      <c r="AF187" s="70"/>
      <c r="AG187" s="70"/>
      <c r="AH187" s="70"/>
      <c r="AI187" s="70"/>
      <c r="AJ187" s="70"/>
      <c r="AK187" s="70"/>
      <c r="AL187" s="70"/>
      <c r="AM187" s="70"/>
      <c r="AN187" s="70"/>
      <c r="AO187" s="70"/>
      <c r="AP187" s="70"/>
      <c r="AQ187" s="70"/>
      <c r="AR187" s="70"/>
      <c r="AS187" s="70"/>
      <c r="AT187" s="70"/>
    </row>
    <row r="188" spans="1:46">
      <c r="A188" s="70"/>
      <c r="B188" s="70"/>
      <c r="C188" s="70"/>
      <c r="D188" s="70"/>
      <c r="E188" s="70"/>
      <c r="F188" s="70"/>
      <c r="G188" s="70"/>
      <c r="H188" s="54"/>
      <c r="I188" s="70"/>
      <c r="J188" s="70"/>
      <c r="K188" s="70"/>
      <c r="L188" s="70"/>
      <c r="M188" s="70"/>
      <c r="N188" s="70"/>
      <c r="O188" s="70"/>
      <c r="P188" s="70"/>
      <c r="Q188" s="70"/>
      <c r="R188" s="70"/>
      <c r="S188" s="70"/>
      <c r="T188" s="70"/>
      <c r="U188" s="70"/>
      <c r="V188" s="70"/>
      <c r="W188" s="70"/>
      <c r="X188" s="70"/>
      <c r="Y188" s="70"/>
      <c r="Z188" s="70"/>
      <c r="AA188" s="70"/>
      <c r="AB188" s="70"/>
      <c r="AC188" s="70"/>
      <c r="AD188" s="70"/>
      <c r="AE188" s="70"/>
      <c r="AF188" s="70"/>
      <c r="AG188" s="70"/>
      <c r="AH188" s="70"/>
      <c r="AI188" s="70"/>
      <c r="AJ188" s="70"/>
      <c r="AK188" s="70"/>
      <c r="AL188" s="70"/>
      <c r="AM188" s="70"/>
      <c r="AN188" s="70"/>
      <c r="AO188" s="70"/>
      <c r="AP188" s="70"/>
      <c r="AQ188" s="70"/>
      <c r="AR188" s="70"/>
      <c r="AS188" s="70"/>
      <c r="AT188" s="70"/>
    </row>
    <row r="189" spans="1:46">
      <c r="A189" s="70"/>
      <c r="B189" s="70"/>
      <c r="C189" s="70"/>
      <c r="D189" s="70"/>
      <c r="E189" s="70"/>
      <c r="F189" s="70"/>
      <c r="G189" s="70"/>
      <c r="H189" s="54"/>
      <c r="I189" s="70"/>
      <c r="J189" s="70"/>
      <c r="K189" s="70"/>
      <c r="L189" s="70"/>
      <c r="M189" s="70"/>
      <c r="N189" s="70"/>
      <c r="O189" s="70"/>
      <c r="P189" s="70"/>
      <c r="Q189" s="70"/>
      <c r="R189" s="70"/>
      <c r="S189" s="70"/>
      <c r="T189" s="70"/>
      <c r="U189" s="70"/>
      <c r="V189" s="70"/>
      <c r="W189" s="70"/>
      <c r="X189" s="70"/>
      <c r="Y189" s="70"/>
      <c r="Z189" s="70"/>
      <c r="AA189" s="70"/>
      <c r="AB189" s="70"/>
      <c r="AC189" s="70"/>
      <c r="AD189" s="70"/>
      <c r="AE189" s="70"/>
      <c r="AF189" s="70"/>
      <c r="AG189" s="70"/>
      <c r="AH189" s="70"/>
      <c r="AI189" s="70"/>
      <c r="AJ189" s="70"/>
      <c r="AK189" s="70"/>
      <c r="AL189" s="70"/>
      <c r="AM189" s="70"/>
      <c r="AN189" s="70"/>
      <c r="AO189" s="70"/>
      <c r="AP189" s="70"/>
      <c r="AQ189" s="70"/>
      <c r="AR189" s="70"/>
      <c r="AS189" s="70"/>
      <c r="AT189" s="70"/>
    </row>
    <row r="190" spans="1:46">
      <c r="A190" s="70"/>
      <c r="B190" s="70"/>
      <c r="C190" s="70"/>
      <c r="D190" s="70"/>
      <c r="E190" s="70"/>
      <c r="F190" s="70"/>
      <c r="G190" s="70"/>
      <c r="H190" s="54"/>
      <c r="I190" s="70"/>
      <c r="J190" s="70"/>
      <c r="K190" s="70"/>
      <c r="L190" s="70"/>
      <c r="M190" s="70"/>
      <c r="N190" s="70"/>
      <c r="O190" s="70"/>
      <c r="P190" s="70"/>
      <c r="Q190" s="70"/>
      <c r="R190" s="70"/>
      <c r="S190" s="70"/>
      <c r="T190" s="70"/>
      <c r="U190" s="70"/>
      <c r="V190" s="70"/>
      <c r="W190" s="70"/>
      <c r="X190" s="70"/>
      <c r="Y190" s="70"/>
      <c r="Z190" s="70"/>
      <c r="AA190" s="70"/>
      <c r="AB190" s="70"/>
      <c r="AC190" s="70"/>
      <c r="AD190" s="70"/>
      <c r="AE190" s="70"/>
      <c r="AF190" s="70"/>
      <c r="AG190" s="70"/>
      <c r="AH190" s="70"/>
      <c r="AI190" s="70"/>
      <c r="AJ190" s="70"/>
      <c r="AK190" s="70"/>
      <c r="AL190" s="70"/>
      <c r="AM190" s="70"/>
      <c r="AN190" s="70"/>
      <c r="AO190" s="70"/>
      <c r="AP190" s="70"/>
      <c r="AQ190" s="70"/>
      <c r="AR190" s="70"/>
      <c r="AS190" s="70"/>
      <c r="AT190" s="70"/>
    </row>
    <row r="191" spans="1:46">
      <c r="A191" s="70"/>
      <c r="B191" s="70"/>
      <c r="C191" s="70"/>
      <c r="D191" s="70"/>
      <c r="E191" s="70"/>
      <c r="F191" s="70"/>
      <c r="G191" s="70"/>
      <c r="H191" s="54"/>
      <c r="I191" s="70"/>
      <c r="J191" s="70"/>
      <c r="K191" s="70"/>
      <c r="L191" s="70"/>
      <c r="M191" s="70"/>
      <c r="N191" s="70"/>
      <c r="O191" s="70"/>
      <c r="P191" s="70"/>
      <c r="Q191" s="70"/>
      <c r="R191" s="70"/>
      <c r="S191" s="70"/>
      <c r="T191" s="70"/>
      <c r="U191" s="70"/>
      <c r="V191" s="70"/>
      <c r="W191" s="70"/>
      <c r="X191" s="70"/>
      <c r="Y191" s="70"/>
      <c r="Z191" s="70"/>
      <c r="AA191" s="70"/>
      <c r="AB191" s="70"/>
      <c r="AC191" s="70"/>
      <c r="AD191" s="70"/>
      <c r="AE191" s="70"/>
      <c r="AF191" s="70"/>
      <c r="AG191" s="70"/>
      <c r="AH191" s="70"/>
      <c r="AI191" s="70"/>
      <c r="AJ191" s="70"/>
      <c r="AK191" s="70"/>
      <c r="AL191" s="70"/>
      <c r="AM191" s="70"/>
      <c r="AN191" s="70"/>
      <c r="AO191" s="70"/>
      <c r="AP191" s="70"/>
      <c r="AQ191" s="70"/>
      <c r="AR191" s="70"/>
      <c r="AS191" s="70"/>
      <c r="AT191" s="70"/>
    </row>
    <row r="192" spans="1:46">
      <c r="A192" s="70"/>
      <c r="B192" s="70"/>
      <c r="C192" s="70"/>
      <c r="D192" s="70"/>
      <c r="E192" s="70"/>
      <c r="F192" s="70"/>
      <c r="G192" s="70"/>
      <c r="H192" s="54"/>
      <c r="I192" s="70"/>
      <c r="J192" s="70"/>
      <c r="K192" s="70"/>
      <c r="L192" s="70"/>
      <c r="M192" s="70"/>
      <c r="N192" s="70"/>
      <c r="O192" s="70"/>
      <c r="P192" s="70"/>
      <c r="Q192" s="70"/>
      <c r="R192" s="70"/>
      <c r="S192" s="70"/>
      <c r="T192" s="70"/>
      <c r="U192" s="70"/>
      <c r="V192" s="70"/>
      <c r="W192" s="70"/>
      <c r="X192" s="70"/>
      <c r="Y192" s="70"/>
      <c r="Z192" s="70"/>
      <c r="AA192" s="70"/>
      <c r="AB192" s="70"/>
      <c r="AC192" s="70"/>
      <c r="AD192" s="70"/>
      <c r="AE192" s="70"/>
      <c r="AF192" s="70"/>
      <c r="AG192" s="70"/>
      <c r="AH192" s="70"/>
      <c r="AI192" s="70"/>
      <c r="AJ192" s="70"/>
      <c r="AK192" s="70"/>
      <c r="AL192" s="70"/>
      <c r="AM192" s="70"/>
      <c r="AN192" s="70"/>
      <c r="AO192" s="70"/>
      <c r="AP192" s="70"/>
      <c r="AQ192" s="70"/>
      <c r="AR192" s="70"/>
      <c r="AS192" s="70"/>
      <c r="AT192" s="70"/>
    </row>
    <row r="193" spans="1:46">
      <c r="A193" s="70"/>
      <c r="B193" s="70"/>
      <c r="C193" s="70"/>
      <c r="D193" s="70"/>
      <c r="E193" s="70"/>
      <c r="F193" s="70"/>
      <c r="G193" s="70"/>
      <c r="H193" s="54"/>
      <c r="I193" s="70"/>
      <c r="J193" s="70"/>
      <c r="K193" s="70"/>
      <c r="L193" s="70"/>
      <c r="M193" s="70"/>
      <c r="N193" s="70"/>
      <c r="O193" s="70"/>
      <c r="P193" s="70"/>
      <c r="Q193" s="70"/>
      <c r="R193" s="70"/>
      <c r="S193" s="70"/>
      <c r="T193" s="70"/>
      <c r="U193" s="70"/>
      <c r="V193" s="70"/>
      <c r="W193" s="70"/>
      <c r="X193" s="70"/>
      <c r="Y193" s="70"/>
      <c r="Z193" s="70"/>
      <c r="AA193" s="70"/>
      <c r="AB193" s="70"/>
      <c r="AC193" s="70"/>
      <c r="AD193" s="70"/>
      <c r="AE193" s="70"/>
      <c r="AF193" s="70"/>
      <c r="AG193" s="70"/>
      <c r="AH193" s="70"/>
      <c r="AI193" s="70"/>
      <c r="AJ193" s="70"/>
      <c r="AK193" s="70"/>
      <c r="AL193" s="70"/>
      <c r="AM193" s="70"/>
      <c r="AN193" s="70"/>
      <c r="AO193" s="70"/>
      <c r="AP193" s="70"/>
      <c r="AQ193" s="70"/>
      <c r="AR193" s="70"/>
      <c r="AS193" s="70"/>
      <c r="AT193" s="70"/>
    </row>
    <row r="194" spans="1:46">
      <c r="A194" s="70"/>
      <c r="B194" s="70"/>
      <c r="C194" s="70"/>
      <c r="D194" s="70"/>
      <c r="E194" s="70"/>
      <c r="F194" s="70"/>
      <c r="G194" s="70"/>
      <c r="H194" s="54"/>
      <c r="I194" s="70"/>
      <c r="J194" s="70"/>
      <c r="K194" s="70"/>
      <c r="L194" s="70"/>
      <c r="M194" s="70"/>
      <c r="N194" s="70"/>
      <c r="O194" s="70"/>
      <c r="P194" s="70"/>
      <c r="Q194" s="70"/>
      <c r="R194" s="70"/>
      <c r="S194" s="70"/>
      <c r="T194" s="70"/>
      <c r="U194" s="70"/>
      <c r="V194" s="70"/>
      <c r="W194" s="70"/>
      <c r="X194" s="70"/>
      <c r="Y194" s="70"/>
      <c r="Z194" s="70"/>
      <c r="AA194" s="70"/>
      <c r="AB194" s="70"/>
      <c r="AC194" s="70"/>
      <c r="AD194" s="70"/>
      <c r="AE194" s="70"/>
      <c r="AF194" s="70"/>
      <c r="AG194" s="70"/>
      <c r="AH194" s="70"/>
      <c r="AI194" s="70"/>
      <c r="AJ194" s="70"/>
      <c r="AK194" s="70"/>
      <c r="AL194" s="70"/>
      <c r="AM194" s="70"/>
      <c r="AN194" s="70"/>
      <c r="AO194" s="70"/>
      <c r="AP194" s="70"/>
      <c r="AQ194" s="70"/>
      <c r="AR194" s="70"/>
      <c r="AS194" s="70"/>
      <c r="AT194" s="70"/>
    </row>
    <row r="195" spans="1:46">
      <c r="A195" s="70"/>
      <c r="B195" s="70"/>
      <c r="C195" s="70"/>
      <c r="D195" s="70"/>
      <c r="E195" s="70"/>
      <c r="F195" s="70"/>
      <c r="G195" s="70"/>
      <c r="H195" s="54"/>
      <c r="I195" s="70"/>
      <c r="J195" s="70"/>
      <c r="K195" s="70"/>
      <c r="L195" s="70"/>
      <c r="M195" s="70"/>
      <c r="N195" s="70"/>
      <c r="O195" s="70"/>
      <c r="P195" s="70"/>
      <c r="Q195" s="70"/>
      <c r="R195" s="70"/>
      <c r="S195" s="70"/>
      <c r="T195" s="70"/>
      <c r="U195" s="70"/>
      <c r="V195" s="70"/>
      <c r="W195" s="70"/>
      <c r="X195" s="70"/>
      <c r="Y195" s="70"/>
      <c r="Z195" s="70"/>
      <c r="AA195" s="70"/>
      <c r="AB195" s="70"/>
      <c r="AC195" s="70"/>
      <c r="AD195" s="70"/>
      <c r="AE195" s="70"/>
      <c r="AF195" s="70"/>
      <c r="AG195" s="70"/>
      <c r="AH195" s="70"/>
      <c r="AI195" s="70"/>
      <c r="AJ195" s="70"/>
      <c r="AK195" s="70"/>
      <c r="AL195" s="70"/>
      <c r="AM195" s="70"/>
      <c r="AN195" s="70"/>
      <c r="AO195" s="70"/>
      <c r="AP195" s="70"/>
      <c r="AQ195" s="70"/>
      <c r="AR195" s="70"/>
      <c r="AS195" s="70"/>
      <c r="AT195" s="70"/>
    </row>
    <row r="196" spans="1:46">
      <c r="A196" s="70"/>
      <c r="B196" s="70"/>
      <c r="C196" s="70"/>
      <c r="D196" s="70"/>
      <c r="E196" s="70"/>
      <c r="F196" s="70"/>
      <c r="G196" s="70"/>
      <c r="H196" s="54"/>
      <c r="I196" s="70"/>
      <c r="J196" s="70"/>
      <c r="K196" s="70"/>
      <c r="L196" s="70"/>
      <c r="M196" s="70"/>
      <c r="N196" s="70"/>
      <c r="O196" s="70"/>
      <c r="P196" s="70"/>
      <c r="Q196" s="70"/>
      <c r="R196" s="70"/>
      <c r="S196" s="70"/>
      <c r="T196" s="70"/>
      <c r="U196" s="70"/>
      <c r="V196" s="70"/>
      <c r="W196" s="70"/>
      <c r="X196" s="70"/>
      <c r="Y196" s="70"/>
      <c r="Z196" s="70"/>
      <c r="AA196" s="70"/>
      <c r="AB196" s="70"/>
      <c r="AC196" s="70"/>
      <c r="AD196" s="70"/>
      <c r="AE196" s="70"/>
      <c r="AF196" s="70"/>
      <c r="AG196" s="70"/>
      <c r="AH196" s="70"/>
      <c r="AI196" s="70"/>
      <c r="AJ196" s="70"/>
      <c r="AK196" s="70"/>
      <c r="AL196" s="70"/>
      <c r="AM196" s="70"/>
      <c r="AN196" s="70"/>
      <c r="AO196" s="70"/>
      <c r="AP196" s="70"/>
      <c r="AQ196" s="70"/>
      <c r="AR196" s="70"/>
      <c r="AS196" s="70"/>
      <c r="AT196" s="70"/>
    </row>
    <row r="197" spans="1:46">
      <c r="A197" s="70"/>
      <c r="B197" s="70"/>
      <c r="C197" s="70"/>
      <c r="D197" s="70"/>
      <c r="E197" s="70"/>
      <c r="F197" s="70"/>
      <c r="G197" s="70"/>
      <c r="H197" s="54"/>
      <c r="I197" s="70"/>
      <c r="J197" s="70"/>
      <c r="K197" s="70"/>
      <c r="L197" s="70"/>
      <c r="M197" s="70"/>
      <c r="N197" s="70"/>
      <c r="O197" s="70"/>
      <c r="P197" s="70"/>
      <c r="Q197" s="70"/>
      <c r="R197" s="70"/>
      <c r="S197" s="70"/>
      <c r="T197" s="70"/>
      <c r="U197" s="70"/>
      <c r="V197" s="70"/>
      <c r="W197" s="70"/>
      <c r="X197" s="70"/>
      <c r="Y197" s="70"/>
      <c r="Z197" s="70"/>
      <c r="AA197" s="70"/>
      <c r="AB197" s="70"/>
      <c r="AC197" s="70"/>
      <c r="AD197" s="70"/>
      <c r="AE197" s="70"/>
      <c r="AF197" s="70"/>
      <c r="AG197" s="70"/>
      <c r="AH197" s="70"/>
      <c r="AI197" s="70"/>
      <c r="AJ197" s="70"/>
      <c r="AK197" s="70"/>
      <c r="AL197" s="70"/>
      <c r="AM197" s="70"/>
      <c r="AN197" s="70"/>
      <c r="AO197" s="70"/>
      <c r="AP197" s="70"/>
      <c r="AQ197" s="70"/>
      <c r="AR197" s="70"/>
      <c r="AS197" s="70"/>
      <c r="AT197" s="70"/>
    </row>
    <row r="198" spans="1:46">
      <c r="A198" s="70"/>
      <c r="B198" s="70"/>
      <c r="C198" s="70"/>
      <c r="D198" s="70"/>
      <c r="E198" s="70"/>
      <c r="F198" s="70"/>
      <c r="G198" s="70"/>
      <c r="H198" s="54"/>
      <c r="I198" s="70"/>
      <c r="J198" s="70"/>
      <c r="K198" s="70"/>
      <c r="L198" s="70"/>
      <c r="M198" s="70"/>
      <c r="N198" s="70"/>
      <c r="O198" s="70"/>
      <c r="P198" s="70"/>
      <c r="Q198" s="70"/>
      <c r="R198" s="70"/>
      <c r="S198" s="70"/>
      <c r="T198" s="70"/>
      <c r="U198" s="70"/>
      <c r="V198" s="70"/>
      <c r="W198" s="70"/>
      <c r="X198" s="70"/>
      <c r="Y198" s="70"/>
      <c r="Z198" s="70"/>
      <c r="AA198" s="70"/>
      <c r="AB198" s="70"/>
      <c r="AC198" s="70"/>
      <c r="AD198" s="70"/>
      <c r="AE198" s="70"/>
      <c r="AF198" s="70"/>
      <c r="AG198" s="70"/>
      <c r="AH198" s="70"/>
      <c r="AI198" s="70"/>
      <c r="AJ198" s="70"/>
      <c r="AK198" s="70"/>
      <c r="AL198" s="70"/>
      <c r="AM198" s="70"/>
      <c r="AN198" s="70"/>
      <c r="AO198" s="70"/>
      <c r="AP198" s="70"/>
      <c r="AQ198" s="70"/>
      <c r="AR198" s="70"/>
      <c r="AS198" s="70"/>
      <c r="AT198" s="70"/>
    </row>
    <row r="199" spans="1:46">
      <c r="A199" s="70"/>
      <c r="B199" s="70"/>
      <c r="C199" s="70"/>
      <c r="D199" s="70"/>
      <c r="E199" s="70"/>
      <c r="F199" s="70"/>
      <c r="G199" s="70"/>
      <c r="H199" s="54"/>
      <c r="I199" s="70"/>
      <c r="J199" s="70"/>
      <c r="K199" s="70"/>
      <c r="L199" s="70"/>
      <c r="M199" s="70"/>
      <c r="N199" s="70"/>
      <c r="O199" s="70"/>
      <c r="P199" s="70"/>
      <c r="Q199" s="70"/>
      <c r="R199" s="70"/>
      <c r="S199" s="70"/>
      <c r="T199" s="70"/>
      <c r="U199" s="70"/>
      <c r="V199" s="70"/>
      <c r="W199" s="70"/>
      <c r="X199" s="70"/>
      <c r="Y199" s="70"/>
      <c r="Z199" s="70"/>
      <c r="AA199" s="70"/>
      <c r="AB199" s="70"/>
      <c r="AC199" s="70"/>
      <c r="AD199" s="70"/>
      <c r="AE199" s="70"/>
      <c r="AF199" s="70"/>
      <c r="AG199" s="70"/>
      <c r="AH199" s="70"/>
      <c r="AI199" s="70"/>
      <c r="AJ199" s="70"/>
      <c r="AK199" s="70"/>
      <c r="AL199" s="70"/>
      <c r="AM199" s="70"/>
      <c r="AN199" s="70"/>
      <c r="AO199" s="70"/>
      <c r="AP199" s="70"/>
      <c r="AQ199" s="70"/>
      <c r="AR199" s="70"/>
      <c r="AS199" s="70"/>
      <c r="AT199" s="70"/>
    </row>
    <row r="200" spans="1:46">
      <c r="A200" s="70"/>
      <c r="B200" s="70"/>
      <c r="C200" s="70"/>
      <c r="D200" s="70"/>
      <c r="E200" s="70"/>
      <c r="F200" s="70"/>
      <c r="G200" s="70"/>
      <c r="H200" s="54"/>
      <c r="I200" s="70"/>
      <c r="J200" s="70"/>
      <c r="K200" s="70"/>
      <c r="L200" s="70"/>
      <c r="M200" s="70"/>
      <c r="N200" s="70"/>
      <c r="O200" s="70"/>
      <c r="P200" s="70"/>
      <c r="Q200" s="70"/>
      <c r="R200" s="70"/>
      <c r="S200" s="70"/>
      <c r="T200" s="70"/>
      <c r="U200" s="70"/>
      <c r="V200" s="70"/>
      <c r="W200" s="70"/>
      <c r="X200" s="70"/>
      <c r="Y200" s="70"/>
      <c r="Z200" s="70"/>
      <c r="AA200" s="70"/>
      <c r="AB200" s="70"/>
      <c r="AC200" s="70"/>
      <c r="AD200" s="70"/>
      <c r="AE200" s="70"/>
      <c r="AF200" s="70"/>
      <c r="AG200" s="70"/>
      <c r="AH200" s="70"/>
      <c r="AI200" s="70"/>
      <c r="AJ200" s="70"/>
      <c r="AK200" s="70"/>
      <c r="AL200" s="70"/>
      <c r="AM200" s="70"/>
      <c r="AN200" s="70"/>
      <c r="AO200" s="70"/>
      <c r="AP200" s="70"/>
      <c r="AQ200" s="70"/>
      <c r="AR200" s="70"/>
      <c r="AS200" s="70"/>
      <c r="AT200" s="70"/>
    </row>
    <row r="201" spans="1:46">
      <c r="A201" s="70"/>
      <c r="B201" s="70"/>
      <c r="C201" s="70"/>
      <c r="D201" s="70"/>
      <c r="E201" s="70"/>
      <c r="F201" s="70"/>
      <c r="G201" s="70"/>
      <c r="H201" s="54"/>
      <c r="I201" s="70"/>
      <c r="J201" s="70"/>
      <c r="K201" s="70"/>
      <c r="L201" s="70"/>
      <c r="M201" s="70"/>
      <c r="N201" s="70"/>
      <c r="O201" s="70"/>
      <c r="P201" s="70"/>
      <c r="Q201" s="70"/>
      <c r="R201" s="70"/>
      <c r="S201" s="70"/>
      <c r="T201" s="70"/>
      <c r="U201" s="70"/>
      <c r="V201" s="70"/>
      <c r="W201" s="70"/>
      <c r="X201" s="70"/>
      <c r="Y201" s="70"/>
      <c r="Z201" s="70"/>
      <c r="AA201" s="70"/>
      <c r="AB201" s="70"/>
      <c r="AC201" s="70"/>
      <c r="AD201" s="70"/>
      <c r="AE201" s="70"/>
      <c r="AF201" s="70"/>
      <c r="AG201" s="70"/>
      <c r="AH201" s="70"/>
      <c r="AI201" s="70"/>
      <c r="AJ201" s="70"/>
      <c r="AK201" s="70"/>
      <c r="AL201" s="70"/>
      <c r="AM201" s="70"/>
      <c r="AN201" s="70"/>
      <c r="AO201" s="70"/>
      <c r="AP201" s="70"/>
      <c r="AQ201" s="70"/>
      <c r="AR201" s="70"/>
      <c r="AS201" s="70"/>
      <c r="AT201" s="70"/>
    </row>
    <row r="202" spans="1:46">
      <c r="A202" s="70"/>
      <c r="B202" s="70"/>
      <c r="C202" s="70"/>
      <c r="D202" s="70"/>
      <c r="E202" s="70"/>
      <c r="F202" s="70"/>
      <c r="G202" s="70"/>
      <c r="H202" s="54"/>
      <c r="I202" s="70"/>
      <c r="J202" s="70"/>
      <c r="K202" s="70"/>
      <c r="L202" s="70"/>
      <c r="M202" s="70"/>
      <c r="N202" s="70"/>
      <c r="O202" s="70"/>
      <c r="P202" s="70"/>
      <c r="Q202" s="70"/>
      <c r="R202" s="70"/>
      <c r="S202" s="70"/>
      <c r="T202" s="70"/>
      <c r="U202" s="70"/>
      <c r="V202" s="70"/>
      <c r="W202" s="70"/>
      <c r="X202" s="70"/>
      <c r="Y202" s="70"/>
      <c r="Z202" s="70"/>
      <c r="AA202" s="70"/>
      <c r="AB202" s="70"/>
      <c r="AC202" s="70"/>
      <c r="AD202" s="70"/>
      <c r="AE202" s="70"/>
      <c r="AF202" s="70"/>
      <c r="AG202" s="70"/>
      <c r="AH202" s="70"/>
      <c r="AI202" s="70"/>
      <c r="AJ202" s="70"/>
      <c r="AK202" s="70"/>
      <c r="AL202" s="70"/>
      <c r="AM202" s="70"/>
      <c r="AN202" s="70"/>
      <c r="AO202" s="70"/>
      <c r="AP202" s="70"/>
      <c r="AQ202" s="70"/>
      <c r="AR202" s="70"/>
      <c r="AS202" s="70"/>
      <c r="AT202" s="70"/>
    </row>
    <row r="203" spans="1:46">
      <c r="A203" s="70"/>
      <c r="B203" s="70"/>
      <c r="C203" s="70"/>
      <c r="D203" s="70"/>
      <c r="E203" s="70"/>
      <c r="F203" s="70"/>
      <c r="G203" s="70"/>
      <c r="H203" s="54"/>
      <c r="I203" s="70"/>
      <c r="J203" s="70"/>
      <c r="K203" s="70"/>
      <c r="L203" s="70"/>
      <c r="M203" s="70"/>
      <c r="N203" s="70"/>
      <c r="O203" s="70"/>
      <c r="P203" s="70"/>
      <c r="Q203" s="70"/>
      <c r="R203" s="70"/>
      <c r="S203" s="70"/>
      <c r="T203" s="70"/>
      <c r="U203" s="70"/>
      <c r="V203" s="70"/>
      <c r="W203" s="70"/>
      <c r="X203" s="70"/>
      <c r="Y203" s="70"/>
      <c r="Z203" s="70"/>
      <c r="AA203" s="70"/>
      <c r="AB203" s="70"/>
      <c r="AC203" s="70"/>
      <c r="AD203" s="70"/>
      <c r="AE203" s="70"/>
      <c r="AF203" s="70"/>
      <c r="AG203" s="70"/>
      <c r="AH203" s="70"/>
      <c r="AI203" s="70"/>
      <c r="AJ203" s="70"/>
      <c r="AK203" s="70"/>
      <c r="AL203" s="70"/>
      <c r="AM203" s="70"/>
      <c r="AN203" s="70"/>
      <c r="AO203" s="70"/>
      <c r="AP203" s="70"/>
      <c r="AQ203" s="70"/>
      <c r="AR203" s="70"/>
      <c r="AS203" s="70"/>
      <c r="AT203" s="70"/>
    </row>
    <row r="204" spans="1:46">
      <c r="A204" s="70"/>
      <c r="B204" s="70"/>
      <c r="C204" s="70"/>
      <c r="D204" s="70"/>
      <c r="E204" s="70"/>
      <c r="F204" s="70"/>
      <c r="G204" s="70"/>
      <c r="H204" s="54"/>
      <c r="I204" s="70"/>
      <c r="J204" s="70"/>
      <c r="K204" s="70"/>
      <c r="L204" s="70"/>
      <c r="M204" s="70"/>
      <c r="N204" s="70"/>
      <c r="O204" s="70"/>
      <c r="P204" s="70"/>
      <c r="Q204" s="70"/>
      <c r="R204" s="70"/>
      <c r="S204" s="70"/>
      <c r="T204" s="70"/>
      <c r="U204" s="70"/>
      <c r="V204" s="70"/>
      <c r="W204" s="70"/>
      <c r="X204" s="70"/>
      <c r="Y204" s="70"/>
      <c r="Z204" s="70"/>
      <c r="AA204" s="70"/>
      <c r="AB204" s="70"/>
      <c r="AC204" s="70"/>
      <c r="AD204" s="70"/>
      <c r="AE204" s="70"/>
      <c r="AF204" s="70"/>
      <c r="AG204" s="70"/>
      <c r="AH204" s="70"/>
      <c r="AI204" s="70"/>
      <c r="AJ204" s="70"/>
      <c r="AK204" s="70"/>
      <c r="AL204" s="70"/>
      <c r="AM204" s="70"/>
      <c r="AN204" s="70"/>
      <c r="AO204" s="70"/>
      <c r="AP204" s="70"/>
      <c r="AQ204" s="70"/>
      <c r="AR204" s="70"/>
      <c r="AS204" s="70"/>
      <c r="AT204" s="70"/>
    </row>
    <row r="205" spans="1:46">
      <c r="A205" s="70"/>
      <c r="B205" s="70"/>
      <c r="C205" s="70"/>
      <c r="D205" s="70"/>
      <c r="E205" s="70"/>
      <c r="F205" s="70"/>
      <c r="G205" s="70"/>
      <c r="H205" s="54"/>
      <c r="I205" s="70"/>
      <c r="J205" s="70"/>
      <c r="K205" s="70"/>
      <c r="L205" s="70"/>
      <c r="M205" s="70"/>
      <c r="N205" s="70"/>
      <c r="O205" s="70"/>
      <c r="P205" s="70"/>
      <c r="Q205" s="70"/>
      <c r="R205" s="70"/>
      <c r="S205" s="70"/>
      <c r="T205" s="70"/>
      <c r="U205" s="70"/>
      <c r="V205" s="70"/>
      <c r="W205" s="70"/>
      <c r="X205" s="70"/>
      <c r="Y205" s="70"/>
      <c r="Z205" s="70"/>
      <c r="AA205" s="70"/>
      <c r="AB205" s="70"/>
      <c r="AC205" s="70"/>
      <c r="AD205" s="70"/>
      <c r="AE205" s="70"/>
      <c r="AF205" s="70"/>
      <c r="AG205" s="70"/>
      <c r="AH205" s="70"/>
      <c r="AI205" s="70"/>
      <c r="AJ205" s="70"/>
      <c r="AK205" s="70"/>
      <c r="AL205" s="70"/>
      <c r="AM205" s="70"/>
      <c r="AN205" s="70"/>
      <c r="AO205" s="70"/>
      <c r="AP205" s="70"/>
      <c r="AQ205" s="70"/>
      <c r="AR205" s="70"/>
      <c r="AS205" s="70"/>
      <c r="AT205" s="70"/>
    </row>
    <row r="206" spans="1:46">
      <c r="A206" s="70"/>
      <c r="B206" s="70"/>
      <c r="C206" s="70"/>
      <c r="D206" s="70"/>
      <c r="E206" s="70"/>
      <c r="F206" s="70"/>
      <c r="G206" s="70"/>
      <c r="H206" s="54"/>
      <c r="I206" s="70"/>
      <c r="J206" s="70"/>
      <c r="K206" s="70"/>
      <c r="L206" s="70"/>
      <c r="M206" s="70"/>
      <c r="N206" s="70"/>
      <c r="O206" s="70"/>
      <c r="P206" s="70"/>
      <c r="Q206" s="70"/>
      <c r="R206" s="70"/>
      <c r="S206" s="70"/>
      <c r="T206" s="70"/>
      <c r="U206" s="70"/>
      <c r="V206" s="70"/>
      <c r="W206" s="70"/>
      <c r="X206" s="70"/>
      <c r="Y206" s="70"/>
      <c r="Z206" s="70"/>
      <c r="AA206" s="70"/>
      <c r="AB206" s="70"/>
      <c r="AC206" s="70"/>
      <c r="AD206" s="70"/>
      <c r="AE206" s="70"/>
      <c r="AF206" s="70"/>
      <c r="AG206" s="70"/>
      <c r="AH206" s="70"/>
      <c r="AI206" s="70"/>
      <c r="AJ206" s="70"/>
      <c r="AK206" s="70"/>
      <c r="AL206" s="70"/>
      <c r="AM206" s="70"/>
      <c r="AN206" s="70"/>
      <c r="AO206" s="70"/>
      <c r="AP206" s="70"/>
      <c r="AQ206" s="70"/>
      <c r="AR206" s="70"/>
      <c r="AS206" s="70"/>
      <c r="AT206" s="70"/>
    </row>
    <row r="207" spans="1:46">
      <c r="A207" s="70"/>
      <c r="B207" s="70"/>
      <c r="C207" s="70"/>
      <c r="D207" s="70"/>
      <c r="E207" s="70"/>
      <c r="F207" s="70"/>
      <c r="G207" s="70"/>
      <c r="H207" s="54"/>
      <c r="I207" s="70"/>
      <c r="J207" s="70"/>
      <c r="K207" s="70"/>
      <c r="L207" s="70"/>
      <c r="M207" s="70"/>
      <c r="N207" s="70"/>
      <c r="O207" s="70"/>
      <c r="P207" s="70"/>
      <c r="Q207" s="70"/>
      <c r="R207" s="70"/>
      <c r="S207" s="70"/>
      <c r="T207" s="70"/>
      <c r="U207" s="70"/>
      <c r="V207" s="70"/>
      <c r="W207" s="70"/>
      <c r="X207" s="70"/>
      <c r="Y207" s="70"/>
      <c r="Z207" s="70"/>
      <c r="AA207" s="70"/>
      <c r="AB207" s="70"/>
      <c r="AC207" s="70"/>
      <c r="AD207" s="70"/>
      <c r="AE207" s="70"/>
      <c r="AF207" s="70"/>
      <c r="AG207" s="70"/>
      <c r="AH207" s="70"/>
      <c r="AI207" s="70"/>
      <c r="AJ207" s="70"/>
      <c r="AK207" s="70"/>
      <c r="AL207" s="70"/>
      <c r="AM207" s="70"/>
      <c r="AN207" s="70"/>
      <c r="AO207" s="70"/>
      <c r="AP207" s="70"/>
      <c r="AQ207" s="70"/>
      <c r="AR207" s="70"/>
      <c r="AS207" s="70"/>
      <c r="AT207" s="70"/>
    </row>
    <row r="208" spans="1:46">
      <c r="A208" s="70"/>
      <c r="B208" s="70"/>
      <c r="C208" s="70"/>
      <c r="D208" s="70"/>
      <c r="E208" s="70"/>
      <c r="F208" s="70"/>
      <c r="G208" s="70"/>
      <c r="H208" s="54"/>
      <c r="I208" s="70"/>
      <c r="J208" s="70"/>
      <c r="K208" s="70"/>
      <c r="L208" s="70"/>
      <c r="M208" s="70"/>
      <c r="N208" s="70"/>
      <c r="O208" s="70"/>
      <c r="P208" s="70"/>
      <c r="Q208" s="70"/>
      <c r="R208" s="70"/>
      <c r="S208" s="70"/>
      <c r="T208" s="70"/>
      <c r="U208" s="70"/>
      <c r="V208" s="70"/>
      <c r="W208" s="70"/>
      <c r="X208" s="70"/>
      <c r="Y208" s="70"/>
      <c r="Z208" s="70"/>
      <c r="AA208" s="70"/>
      <c r="AB208" s="70"/>
      <c r="AC208" s="70"/>
      <c r="AD208" s="70"/>
      <c r="AE208" s="70"/>
      <c r="AF208" s="70"/>
      <c r="AG208" s="70"/>
      <c r="AH208" s="70"/>
      <c r="AI208" s="70"/>
      <c r="AJ208" s="70"/>
      <c r="AK208" s="70"/>
      <c r="AL208" s="70"/>
      <c r="AM208" s="70"/>
      <c r="AN208" s="70"/>
      <c r="AO208" s="70"/>
      <c r="AP208" s="70"/>
      <c r="AQ208" s="70"/>
      <c r="AR208" s="70"/>
      <c r="AS208" s="70"/>
      <c r="AT208" s="70"/>
    </row>
    <row r="209" spans="1:46">
      <c r="A209" s="70"/>
      <c r="B209" s="70"/>
      <c r="C209" s="70"/>
      <c r="D209" s="70"/>
      <c r="E209" s="70"/>
      <c r="F209" s="70"/>
      <c r="G209" s="70"/>
      <c r="H209" s="54"/>
      <c r="I209" s="70"/>
      <c r="J209" s="70"/>
      <c r="K209" s="70"/>
      <c r="L209" s="70"/>
      <c r="M209" s="70"/>
      <c r="N209" s="70"/>
      <c r="O209" s="70"/>
      <c r="P209" s="70"/>
      <c r="Q209" s="70"/>
      <c r="R209" s="70"/>
      <c r="S209" s="70"/>
      <c r="T209" s="70"/>
      <c r="U209" s="70"/>
      <c r="V209" s="70"/>
      <c r="W209" s="70"/>
      <c r="X209" s="70"/>
      <c r="Y209" s="70"/>
      <c r="Z209" s="70"/>
      <c r="AA209" s="70"/>
      <c r="AB209" s="70"/>
      <c r="AC209" s="70"/>
      <c r="AD209" s="70"/>
      <c r="AE209" s="70"/>
      <c r="AF209" s="70"/>
      <c r="AG209" s="70"/>
      <c r="AH209" s="70"/>
      <c r="AI209" s="70"/>
      <c r="AJ209" s="70"/>
      <c r="AK209" s="70"/>
      <c r="AL209" s="70"/>
      <c r="AM209" s="70"/>
      <c r="AN209" s="70"/>
      <c r="AO209" s="70"/>
      <c r="AP209" s="70"/>
      <c r="AQ209" s="70"/>
      <c r="AR209" s="70"/>
      <c r="AS209" s="70"/>
      <c r="AT209" s="70"/>
    </row>
    <row r="210" spans="1:46">
      <c r="A210" s="70"/>
      <c r="B210" s="70"/>
      <c r="C210" s="70"/>
      <c r="D210" s="70"/>
      <c r="E210" s="70"/>
      <c r="F210" s="70"/>
      <c r="G210" s="70"/>
      <c r="H210" s="54"/>
      <c r="I210" s="70"/>
      <c r="J210" s="70"/>
      <c r="K210" s="70"/>
      <c r="L210" s="70"/>
      <c r="M210" s="70"/>
      <c r="N210" s="70"/>
      <c r="O210" s="70"/>
      <c r="P210" s="70"/>
      <c r="Q210" s="70"/>
      <c r="R210" s="70"/>
      <c r="S210" s="70"/>
      <c r="T210" s="70"/>
      <c r="U210" s="70"/>
      <c r="V210" s="70"/>
      <c r="W210" s="70"/>
      <c r="X210" s="70"/>
      <c r="Y210" s="70"/>
      <c r="Z210" s="70"/>
      <c r="AA210" s="70"/>
      <c r="AB210" s="70"/>
      <c r="AC210" s="70"/>
      <c r="AD210" s="70"/>
      <c r="AE210" s="70"/>
      <c r="AF210" s="70"/>
      <c r="AG210" s="70"/>
      <c r="AH210" s="70"/>
      <c r="AI210" s="70"/>
      <c r="AJ210" s="70"/>
      <c r="AK210" s="70"/>
      <c r="AL210" s="70"/>
      <c r="AM210" s="70"/>
      <c r="AN210" s="70"/>
      <c r="AO210" s="70"/>
      <c r="AP210" s="70"/>
      <c r="AQ210" s="70"/>
      <c r="AR210" s="70"/>
      <c r="AS210" s="70"/>
      <c r="AT210" s="70"/>
    </row>
    <row r="211" spans="1:46">
      <c r="A211" s="70"/>
      <c r="B211" s="70"/>
      <c r="C211" s="70"/>
      <c r="D211" s="70"/>
      <c r="E211" s="70"/>
      <c r="F211" s="70"/>
      <c r="G211" s="70"/>
      <c r="H211" s="54"/>
      <c r="I211" s="70"/>
      <c r="J211" s="70"/>
      <c r="K211" s="70"/>
      <c r="L211" s="70"/>
      <c r="M211" s="70"/>
      <c r="N211" s="70"/>
      <c r="O211" s="70"/>
      <c r="P211" s="70"/>
      <c r="Q211" s="70"/>
      <c r="R211" s="70"/>
      <c r="S211" s="70"/>
      <c r="T211" s="70"/>
      <c r="U211" s="70"/>
      <c r="V211" s="70"/>
      <c r="W211" s="70"/>
      <c r="X211" s="70"/>
      <c r="Y211" s="70"/>
      <c r="Z211" s="70"/>
      <c r="AA211" s="70"/>
      <c r="AB211" s="70"/>
      <c r="AC211" s="70"/>
      <c r="AD211" s="70"/>
      <c r="AE211" s="70"/>
      <c r="AF211" s="70"/>
      <c r="AG211" s="70"/>
      <c r="AH211" s="70"/>
      <c r="AI211" s="70"/>
      <c r="AJ211" s="70"/>
      <c r="AK211" s="70"/>
      <c r="AL211" s="70"/>
      <c r="AM211" s="70"/>
      <c r="AN211" s="70"/>
      <c r="AO211" s="70"/>
      <c r="AP211" s="70"/>
      <c r="AQ211" s="70"/>
      <c r="AR211" s="70"/>
      <c r="AS211" s="70"/>
      <c r="AT211" s="70"/>
    </row>
    <row r="212" spans="1:46">
      <c r="A212" s="70"/>
      <c r="B212" s="70"/>
      <c r="C212" s="70"/>
      <c r="D212" s="70"/>
      <c r="E212" s="70"/>
      <c r="F212" s="70"/>
      <c r="G212" s="70"/>
      <c r="H212" s="54"/>
      <c r="I212" s="70"/>
      <c r="J212" s="70"/>
      <c r="K212" s="70"/>
      <c r="L212" s="70"/>
      <c r="M212" s="70"/>
      <c r="N212" s="70"/>
      <c r="O212" s="70"/>
      <c r="P212" s="70"/>
      <c r="Q212" s="70"/>
      <c r="R212" s="70"/>
      <c r="S212" s="70"/>
      <c r="T212" s="70"/>
      <c r="U212" s="70"/>
      <c r="V212" s="70"/>
      <c r="W212" s="70"/>
      <c r="X212" s="70"/>
      <c r="Y212" s="70"/>
      <c r="Z212" s="70"/>
      <c r="AA212" s="70"/>
      <c r="AB212" s="70"/>
      <c r="AC212" s="70"/>
      <c r="AD212" s="70"/>
      <c r="AE212" s="70"/>
      <c r="AF212" s="70"/>
      <c r="AG212" s="70"/>
      <c r="AH212" s="70"/>
      <c r="AI212" s="70"/>
      <c r="AJ212" s="70"/>
      <c r="AK212" s="70"/>
      <c r="AL212" s="70"/>
      <c r="AM212" s="70"/>
      <c r="AN212" s="70"/>
      <c r="AO212" s="70"/>
      <c r="AP212" s="70"/>
      <c r="AQ212" s="70"/>
      <c r="AR212" s="70"/>
      <c r="AS212" s="70"/>
      <c r="AT212" s="70"/>
    </row>
    <row r="213" spans="1:46">
      <c r="A213" s="70"/>
      <c r="B213" s="70"/>
      <c r="C213" s="70"/>
      <c r="D213" s="70"/>
      <c r="E213" s="70"/>
      <c r="F213" s="70"/>
      <c r="G213" s="70"/>
      <c r="H213" s="54"/>
      <c r="I213" s="70"/>
      <c r="J213" s="70"/>
      <c r="K213" s="70"/>
      <c r="L213" s="70"/>
      <c r="M213" s="70"/>
      <c r="N213" s="70"/>
      <c r="O213" s="70"/>
      <c r="P213" s="70"/>
      <c r="Q213" s="70"/>
      <c r="R213" s="70"/>
      <c r="S213" s="70"/>
      <c r="T213" s="70"/>
      <c r="U213" s="70"/>
      <c r="V213" s="70"/>
      <c r="W213" s="70"/>
      <c r="X213" s="70"/>
      <c r="Y213" s="70"/>
      <c r="Z213" s="70"/>
      <c r="AA213" s="70"/>
      <c r="AB213" s="70"/>
      <c r="AC213" s="70"/>
      <c r="AD213" s="70"/>
      <c r="AE213" s="70"/>
      <c r="AF213" s="70"/>
      <c r="AG213" s="70"/>
      <c r="AH213" s="70"/>
      <c r="AI213" s="70"/>
      <c r="AJ213" s="70"/>
      <c r="AK213" s="70"/>
      <c r="AL213" s="70"/>
      <c r="AM213" s="70"/>
      <c r="AN213" s="70"/>
      <c r="AO213" s="70"/>
      <c r="AP213" s="70"/>
      <c r="AQ213" s="70"/>
      <c r="AR213" s="70"/>
      <c r="AS213" s="70"/>
      <c r="AT213" s="70"/>
    </row>
    <row r="214" spans="1:46">
      <c r="A214" s="70"/>
      <c r="B214" s="70"/>
      <c r="C214" s="70"/>
      <c r="D214" s="70"/>
      <c r="E214" s="70"/>
      <c r="F214" s="70"/>
      <c r="G214" s="70"/>
      <c r="H214" s="54"/>
      <c r="I214" s="70"/>
      <c r="J214" s="70"/>
      <c r="K214" s="70"/>
      <c r="L214" s="70"/>
      <c r="M214" s="70"/>
      <c r="N214" s="70"/>
      <c r="O214" s="70"/>
      <c r="P214" s="70"/>
      <c r="Q214" s="70"/>
      <c r="R214" s="70"/>
      <c r="S214" s="70"/>
      <c r="T214" s="70"/>
      <c r="U214" s="70"/>
      <c r="V214" s="70"/>
      <c r="W214" s="70"/>
      <c r="X214" s="70"/>
      <c r="Y214" s="70"/>
      <c r="Z214" s="70"/>
      <c r="AA214" s="70"/>
      <c r="AB214" s="70"/>
      <c r="AC214" s="70"/>
      <c r="AD214" s="70"/>
      <c r="AE214" s="70"/>
      <c r="AF214" s="70"/>
      <c r="AG214" s="70"/>
      <c r="AH214" s="70"/>
      <c r="AI214" s="70"/>
      <c r="AJ214" s="70"/>
      <c r="AK214" s="70"/>
      <c r="AL214" s="70"/>
      <c r="AM214" s="70"/>
      <c r="AN214" s="70"/>
      <c r="AO214" s="70"/>
      <c r="AP214" s="70"/>
      <c r="AQ214" s="70"/>
      <c r="AR214" s="70"/>
      <c r="AS214" s="70"/>
      <c r="AT214" s="70"/>
    </row>
    <row r="215" spans="1:46">
      <c r="A215" s="70"/>
      <c r="B215" s="70"/>
      <c r="C215" s="70"/>
      <c r="D215" s="70"/>
      <c r="E215" s="70"/>
      <c r="F215" s="70"/>
      <c r="G215" s="70"/>
      <c r="H215" s="54"/>
      <c r="I215" s="70"/>
      <c r="J215" s="70"/>
      <c r="K215" s="70"/>
      <c r="L215" s="70"/>
      <c r="M215" s="70"/>
      <c r="N215" s="70"/>
      <c r="O215" s="70"/>
      <c r="P215" s="70"/>
      <c r="Q215" s="70"/>
      <c r="R215" s="70"/>
      <c r="S215" s="70"/>
      <c r="T215" s="70"/>
      <c r="U215" s="70"/>
      <c r="V215" s="70"/>
      <c r="W215" s="70"/>
      <c r="X215" s="70"/>
      <c r="Y215" s="70"/>
      <c r="Z215" s="70"/>
      <c r="AA215" s="70"/>
      <c r="AB215" s="70"/>
      <c r="AC215" s="70"/>
      <c r="AD215" s="70"/>
      <c r="AE215" s="70"/>
      <c r="AF215" s="70"/>
      <c r="AG215" s="70"/>
      <c r="AH215" s="70"/>
      <c r="AI215" s="70"/>
      <c r="AJ215" s="70"/>
      <c r="AK215" s="70"/>
      <c r="AL215" s="70"/>
      <c r="AM215" s="70"/>
      <c r="AN215" s="70"/>
      <c r="AO215" s="70"/>
      <c r="AP215" s="70"/>
      <c r="AQ215" s="70"/>
      <c r="AR215" s="70"/>
      <c r="AS215" s="70"/>
      <c r="AT215" s="70"/>
    </row>
    <row r="216" spans="1:46">
      <c r="A216" s="70"/>
      <c r="B216" s="70"/>
      <c r="C216" s="70"/>
      <c r="D216" s="70"/>
      <c r="E216" s="70"/>
      <c r="F216" s="70"/>
      <c r="G216" s="70"/>
      <c r="H216" s="54"/>
      <c r="I216" s="70"/>
      <c r="J216" s="70"/>
      <c r="K216" s="70"/>
      <c r="L216" s="70"/>
      <c r="M216" s="70"/>
      <c r="N216" s="70"/>
      <c r="O216" s="70"/>
      <c r="P216" s="70"/>
      <c r="Q216" s="70"/>
      <c r="R216" s="70"/>
      <c r="S216" s="70"/>
      <c r="T216" s="70"/>
      <c r="U216" s="70"/>
      <c r="V216" s="70"/>
      <c r="W216" s="70"/>
      <c r="X216" s="70"/>
      <c r="Y216" s="70"/>
      <c r="Z216" s="70"/>
      <c r="AA216" s="70"/>
      <c r="AB216" s="70"/>
      <c r="AC216" s="70"/>
      <c r="AD216" s="70"/>
      <c r="AE216" s="70"/>
      <c r="AF216" s="70"/>
      <c r="AG216" s="70"/>
      <c r="AH216" s="70"/>
      <c r="AI216" s="70"/>
      <c r="AJ216" s="70"/>
      <c r="AK216" s="70"/>
      <c r="AL216" s="70"/>
      <c r="AM216" s="70"/>
      <c r="AN216" s="70"/>
      <c r="AO216" s="70"/>
      <c r="AP216" s="70"/>
      <c r="AQ216" s="70"/>
      <c r="AR216" s="70"/>
      <c r="AS216" s="70"/>
      <c r="AT216" s="70"/>
    </row>
    <row r="217" spans="1:46">
      <c r="A217" s="70"/>
      <c r="B217" s="70"/>
      <c r="C217" s="70"/>
      <c r="D217" s="70"/>
      <c r="E217" s="70"/>
      <c r="F217" s="70"/>
      <c r="G217" s="70"/>
      <c r="H217" s="54"/>
      <c r="I217" s="70"/>
      <c r="J217" s="70"/>
      <c r="K217" s="70"/>
      <c r="L217" s="70"/>
      <c r="M217" s="70"/>
      <c r="N217" s="70"/>
      <c r="O217" s="70"/>
      <c r="P217" s="70"/>
      <c r="Q217" s="70"/>
      <c r="R217" s="70"/>
      <c r="S217" s="70"/>
      <c r="T217" s="70"/>
      <c r="U217" s="70"/>
      <c r="V217" s="70"/>
      <c r="W217" s="70"/>
      <c r="X217" s="70"/>
      <c r="Y217" s="70"/>
      <c r="Z217" s="70"/>
      <c r="AA217" s="70"/>
      <c r="AB217" s="70"/>
      <c r="AC217" s="70"/>
      <c r="AD217" s="70"/>
      <c r="AE217" s="70"/>
      <c r="AF217" s="70"/>
      <c r="AG217" s="70"/>
      <c r="AH217" s="70"/>
      <c r="AI217" s="70"/>
      <c r="AJ217" s="70"/>
      <c r="AK217" s="70"/>
      <c r="AL217" s="70"/>
      <c r="AM217" s="70"/>
      <c r="AN217" s="70"/>
      <c r="AO217" s="70"/>
      <c r="AP217" s="70"/>
      <c r="AQ217" s="70"/>
      <c r="AR217" s="70"/>
      <c r="AS217" s="70"/>
      <c r="AT217" s="70"/>
    </row>
    <row r="218" spans="1:46">
      <c r="A218" s="70"/>
      <c r="B218" s="70"/>
      <c r="C218" s="70"/>
      <c r="D218" s="70"/>
      <c r="E218" s="70"/>
      <c r="F218" s="70"/>
      <c r="G218" s="70"/>
      <c r="H218" s="54"/>
      <c r="I218" s="70"/>
      <c r="J218" s="70"/>
      <c r="K218" s="70"/>
      <c r="L218" s="70"/>
      <c r="M218" s="70"/>
      <c r="N218" s="70"/>
      <c r="O218" s="70"/>
      <c r="P218" s="70"/>
      <c r="Q218" s="70"/>
      <c r="R218" s="70"/>
      <c r="S218" s="70"/>
      <c r="T218" s="70"/>
      <c r="U218" s="70"/>
      <c r="V218" s="70"/>
      <c r="W218" s="70"/>
      <c r="X218" s="70"/>
      <c r="Y218" s="70"/>
      <c r="Z218" s="70"/>
      <c r="AA218" s="70"/>
      <c r="AB218" s="70"/>
      <c r="AC218" s="70"/>
      <c r="AD218" s="70"/>
      <c r="AE218" s="70"/>
      <c r="AF218" s="70"/>
      <c r="AG218" s="70"/>
      <c r="AH218" s="70"/>
      <c r="AI218" s="70"/>
      <c r="AJ218" s="70"/>
      <c r="AK218" s="70"/>
      <c r="AL218" s="70"/>
      <c r="AM218" s="70"/>
      <c r="AN218" s="70"/>
      <c r="AO218" s="70"/>
      <c r="AP218" s="70"/>
      <c r="AQ218" s="70"/>
      <c r="AR218" s="70"/>
      <c r="AS218" s="70"/>
      <c r="AT218" s="70"/>
    </row>
    <row r="219" spans="1:46">
      <c r="A219" s="70"/>
      <c r="B219" s="70"/>
      <c r="C219" s="70"/>
      <c r="D219" s="70"/>
      <c r="E219" s="70"/>
      <c r="F219" s="70"/>
      <c r="G219" s="70"/>
      <c r="H219" s="54"/>
      <c r="I219" s="70"/>
      <c r="J219" s="70"/>
      <c r="K219" s="70"/>
      <c r="L219" s="70"/>
      <c r="M219" s="70"/>
      <c r="N219" s="70"/>
      <c r="O219" s="70"/>
      <c r="P219" s="70"/>
      <c r="Q219" s="70"/>
      <c r="R219" s="70"/>
      <c r="S219" s="70"/>
      <c r="T219" s="70"/>
      <c r="U219" s="70"/>
      <c r="V219" s="70"/>
      <c r="W219" s="70"/>
      <c r="X219" s="70"/>
      <c r="Y219" s="70"/>
      <c r="Z219" s="70"/>
      <c r="AA219" s="70"/>
      <c r="AB219" s="70"/>
      <c r="AC219" s="70"/>
      <c r="AD219" s="70"/>
      <c r="AE219" s="70"/>
      <c r="AF219" s="70"/>
      <c r="AG219" s="70"/>
      <c r="AH219" s="70"/>
      <c r="AI219" s="70"/>
      <c r="AJ219" s="70"/>
      <c r="AK219" s="70"/>
      <c r="AL219" s="70"/>
      <c r="AM219" s="70"/>
      <c r="AN219" s="70"/>
      <c r="AO219" s="70"/>
      <c r="AP219" s="70"/>
      <c r="AQ219" s="70"/>
      <c r="AR219" s="70"/>
      <c r="AS219" s="70"/>
      <c r="AT219" s="70"/>
    </row>
    <row r="220" spans="1:46">
      <c r="A220" s="70"/>
      <c r="B220" s="70"/>
      <c r="C220" s="70"/>
      <c r="D220" s="70"/>
      <c r="E220" s="70"/>
      <c r="F220" s="70"/>
      <c r="G220" s="70"/>
      <c r="H220" s="54"/>
      <c r="I220" s="70"/>
      <c r="J220" s="70"/>
      <c r="K220" s="70"/>
      <c r="L220" s="70"/>
      <c r="M220" s="70"/>
      <c r="N220" s="70"/>
      <c r="O220" s="70"/>
      <c r="P220" s="70"/>
      <c r="Q220" s="70"/>
      <c r="R220" s="70"/>
      <c r="S220" s="70"/>
      <c r="T220" s="70"/>
      <c r="U220" s="70"/>
      <c r="V220" s="70"/>
      <c r="W220" s="70"/>
      <c r="X220" s="70"/>
      <c r="Y220" s="70"/>
      <c r="Z220" s="70"/>
      <c r="AA220" s="70"/>
      <c r="AB220" s="70"/>
      <c r="AC220" s="70"/>
      <c r="AD220" s="70"/>
      <c r="AE220" s="70"/>
      <c r="AF220" s="70"/>
      <c r="AG220" s="70"/>
      <c r="AH220" s="70"/>
      <c r="AI220" s="70"/>
      <c r="AJ220" s="70"/>
      <c r="AK220" s="70"/>
      <c r="AL220" s="70"/>
      <c r="AM220" s="70"/>
      <c r="AN220" s="70"/>
      <c r="AO220" s="70"/>
      <c r="AP220" s="70"/>
      <c r="AQ220" s="70"/>
      <c r="AR220" s="70"/>
      <c r="AS220" s="70"/>
      <c r="AT220" s="70"/>
    </row>
    <row r="221" spans="1:46">
      <c r="A221" s="70"/>
      <c r="B221" s="70"/>
      <c r="C221" s="70"/>
      <c r="D221" s="70"/>
      <c r="E221" s="70"/>
      <c r="F221" s="70"/>
      <c r="G221" s="70"/>
      <c r="H221" s="54"/>
      <c r="I221" s="70"/>
      <c r="J221" s="70"/>
      <c r="K221" s="70"/>
      <c r="L221" s="70"/>
      <c r="M221" s="70"/>
      <c r="N221" s="70"/>
      <c r="O221" s="70"/>
      <c r="P221" s="70"/>
      <c r="Q221" s="70"/>
      <c r="R221" s="70"/>
      <c r="S221" s="70"/>
      <c r="T221" s="70"/>
      <c r="U221" s="70"/>
      <c r="V221" s="70"/>
      <c r="W221" s="70"/>
      <c r="X221" s="70"/>
      <c r="Y221" s="70"/>
      <c r="Z221" s="70"/>
      <c r="AA221" s="70"/>
      <c r="AB221" s="70"/>
      <c r="AC221" s="70"/>
      <c r="AD221" s="70"/>
      <c r="AE221" s="70"/>
      <c r="AF221" s="70"/>
      <c r="AG221" s="70"/>
      <c r="AH221" s="70"/>
      <c r="AI221" s="70"/>
      <c r="AJ221" s="70"/>
      <c r="AK221" s="70"/>
      <c r="AL221" s="70"/>
      <c r="AM221" s="70"/>
      <c r="AN221" s="70"/>
      <c r="AO221" s="70"/>
      <c r="AP221" s="70"/>
      <c r="AQ221" s="70"/>
      <c r="AR221" s="70"/>
      <c r="AS221" s="70"/>
      <c r="AT221" s="70"/>
    </row>
    <row r="222" spans="1:46">
      <c r="A222" s="70"/>
      <c r="B222" s="70"/>
      <c r="C222" s="70"/>
      <c r="D222" s="70"/>
      <c r="E222" s="70"/>
      <c r="F222" s="70"/>
      <c r="G222" s="70"/>
      <c r="H222" s="54"/>
      <c r="I222" s="70"/>
      <c r="J222" s="70"/>
      <c r="K222" s="70"/>
      <c r="L222" s="70"/>
      <c r="M222" s="70"/>
      <c r="N222" s="70"/>
      <c r="O222" s="70"/>
      <c r="P222" s="70"/>
      <c r="Q222" s="70"/>
      <c r="R222" s="70"/>
      <c r="S222" s="70"/>
      <c r="T222" s="70"/>
      <c r="U222" s="70"/>
      <c r="V222" s="70"/>
      <c r="W222" s="70"/>
      <c r="X222" s="70"/>
      <c r="Y222" s="70"/>
      <c r="Z222" s="70"/>
      <c r="AA222" s="70"/>
      <c r="AB222" s="70"/>
      <c r="AC222" s="70"/>
      <c r="AD222" s="70"/>
      <c r="AE222" s="70"/>
      <c r="AF222" s="70"/>
      <c r="AG222" s="70"/>
      <c r="AH222" s="70"/>
      <c r="AI222" s="70"/>
      <c r="AJ222" s="70"/>
      <c r="AK222" s="70"/>
      <c r="AL222" s="70"/>
      <c r="AM222" s="70"/>
      <c r="AN222" s="70"/>
      <c r="AO222" s="70"/>
      <c r="AP222" s="70"/>
      <c r="AQ222" s="70"/>
      <c r="AR222" s="70"/>
      <c r="AS222" s="70"/>
      <c r="AT222" s="70"/>
    </row>
    <row r="223" spans="1:46">
      <c r="A223" s="70"/>
      <c r="B223" s="70"/>
      <c r="C223" s="70"/>
      <c r="D223" s="70"/>
      <c r="E223" s="70"/>
      <c r="F223" s="70"/>
      <c r="G223" s="70"/>
      <c r="H223" s="54"/>
      <c r="I223" s="70"/>
      <c r="J223" s="70"/>
      <c r="K223" s="70"/>
      <c r="L223" s="70"/>
      <c r="M223" s="70"/>
      <c r="N223" s="70"/>
      <c r="O223" s="70"/>
      <c r="P223" s="70"/>
      <c r="Q223" s="70"/>
      <c r="R223" s="70"/>
      <c r="S223" s="70"/>
      <c r="T223" s="70"/>
      <c r="U223" s="70"/>
      <c r="V223" s="70"/>
      <c r="W223" s="70"/>
      <c r="X223" s="70"/>
      <c r="Y223" s="70"/>
      <c r="Z223" s="70"/>
      <c r="AA223" s="70"/>
      <c r="AB223" s="70"/>
      <c r="AC223" s="70"/>
      <c r="AD223" s="70"/>
      <c r="AE223" s="70"/>
      <c r="AF223" s="70"/>
      <c r="AG223" s="70"/>
      <c r="AH223" s="70"/>
      <c r="AI223" s="70"/>
      <c r="AJ223" s="70"/>
      <c r="AK223" s="70"/>
      <c r="AL223" s="70"/>
      <c r="AM223" s="70"/>
      <c r="AN223" s="70"/>
      <c r="AO223" s="70"/>
      <c r="AP223" s="70"/>
      <c r="AQ223" s="70"/>
      <c r="AR223" s="70"/>
      <c r="AS223" s="70"/>
      <c r="AT223" s="70"/>
    </row>
    <row r="224" spans="1:46">
      <c r="A224" s="70"/>
      <c r="B224" s="70"/>
      <c r="C224" s="70"/>
      <c r="D224" s="70"/>
      <c r="E224" s="70"/>
      <c r="F224" s="70"/>
      <c r="G224" s="70"/>
      <c r="H224" s="54"/>
      <c r="I224" s="70"/>
      <c r="J224" s="70"/>
      <c r="K224" s="70"/>
      <c r="L224" s="70"/>
      <c r="M224" s="70"/>
      <c r="N224" s="70"/>
      <c r="O224" s="70"/>
      <c r="P224" s="70"/>
      <c r="Q224" s="70"/>
      <c r="R224" s="70"/>
      <c r="S224" s="70"/>
      <c r="T224" s="70"/>
      <c r="U224" s="70"/>
      <c r="V224" s="70"/>
      <c r="W224" s="70"/>
      <c r="X224" s="70"/>
      <c r="Y224" s="70"/>
      <c r="Z224" s="70"/>
      <c r="AA224" s="70"/>
      <c r="AB224" s="70"/>
      <c r="AC224" s="70"/>
      <c r="AD224" s="70"/>
      <c r="AE224" s="70"/>
      <c r="AF224" s="70"/>
      <c r="AG224" s="70"/>
      <c r="AH224" s="70"/>
      <c r="AI224" s="70"/>
      <c r="AJ224" s="70"/>
      <c r="AK224" s="70"/>
      <c r="AL224" s="70"/>
      <c r="AM224" s="70"/>
      <c r="AN224" s="70"/>
      <c r="AO224" s="70"/>
      <c r="AP224" s="70"/>
      <c r="AQ224" s="70"/>
      <c r="AR224" s="70"/>
      <c r="AS224" s="70"/>
      <c r="AT224" s="70"/>
    </row>
    <row r="225" spans="1:46">
      <c r="A225" s="70"/>
      <c r="B225" s="70"/>
      <c r="C225" s="70"/>
      <c r="D225" s="70"/>
      <c r="E225" s="70"/>
      <c r="F225" s="70"/>
      <c r="G225" s="70"/>
      <c r="H225" s="54"/>
      <c r="I225" s="70"/>
      <c r="J225" s="70"/>
      <c r="K225" s="70"/>
      <c r="L225" s="70"/>
      <c r="M225" s="70"/>
      <c r="N225" s="70"/>
      <c r="O225" s="70"/>
      <c r="P225" s="70"/>
      <c r="Q225" s="70"/>
      <c r="R225" s="70"/>
      <c r="S225" s="70"/>
      <c r="T225" s="70"/>
      <c r="U225" s="70"/>
      <c r="V225" s="70"/>
      <c r="W225" s="70"/>
      <c r="X225" s="70"/>
      <c r="Y225" s="70"/>
      <c r="Z225" s="70"/>
      <c r="AA225" s="70"/>
      <c r="AB225" s="70"/>
      <c r="AC225" s="70"/>
      <c r="AD225" s="70"/>
      <c r="AE225" s="70"/>
      <c r="AF225" s="70"/>
      <c r="AG225" s="70"/>
      <c r="AH225" s="70"/>
      <c r="AI225" s="70"/>
      <c r="AJ225" s="70"/>
      <c r="AK225" s="70"/>
      <c r="AL225" s="70"/>
      <c r="AM225" s="70"/>
      <c r="AN225" s="70"/>
      <c r="AO225" s="70"/>
      <c r="AP225" s="70"/>
      <c r="AQ225" s="70"/>
      <c r="AR225" s="70"/>
      <c r="AS225" s="70"/>
      <c r="AT225" s="70"/>
    </row>
    <row r="226" spans="1:46">
      <c r="A226" s="70"/>
      <c r="B226" s="70"/>
      <c r="C226" s="70"/>
      <c r="D226" s="70"/>
      <c r="E226" s="70"/>
      <c r="F226" s="70"/>
      <c r="G226" s="70"/>
      <c r="H226" s="54"/>
      <c r="I226" s="70"/>
      <c r="J226" s="70"/>
      <c r="K226" s="70"/>
      <c r="L226" s="70"/>
      <c r="M226" s="70"/>
      <c r="N226" s="70"/>
      <c r="O226" s="70"/>
      <c r="P226" s="70"/>
      <c r="Q226" s="70"/>
      <c r="R226" s="70"/>
      <c r="S226" s="70"/>
      <c r="T226" s="70"/>
      <c r="U226" s="70"/>
      <c r="V226" s="70"/>
      <c r="W226" s="70"/>
      <c r="X226" s="70"/>
      <c r="Y226" s="70"/>
      <c r="Z226" s="70"/>
      <c r="AA226" s="70"/>
      <c r="AB226" s="70"/>
      <c r="AC226" s="70"/>
      <c r="AD226" s="70"/>
      <c r="AE226" s="70"/>
      <c r="AF226" s="70"/>
      <c r="AG226" s="70"/>
      <c r="AH226" s="70"/>
      <c r="AI226" s="70"/>
      <c r="AJ226" s="70"/>
      <c r="AK226" s="70"/>
      <c r="AL226" s="70"/>
      <c r="AM226" s="70"/>
      <c r="AN226" s="70"/>
      <c r="AO226" s="70"/>
      <c r="AP226" s="70"/>
      <c r="AQ226" s="70"/>
      <c r="AR226" s="70"/>
      <c r="AS226" s="70"/>
      <c r="AT226" s="70"/>
    </row>
    <row r="227" spans="1:46">
      <c r="A227" s="70"/>
      <c r="B227" s="70"/>
      <c r="C227" s="70"/>
      <c r="D227" s="70"/>
      <c r="E227" s="70"/>
      <c r="F227" s="70"/>
      <c r="G227" s="70"/>
      <c r="H227" s="54"/>
      <c r="I227" s="70"/>
      <c r="J227" s="70"/>
      <c r="K227" s="70"/>
      <c r="L227" s="70"/>
      <c r="M227" s="70"/>
      <c r="N227" s="70"/>
      <c r="O227" s="70"/>
      <c r="P227" s="70"/>
      <c r="Q227" s="70"/>
      <c r="R227" s="70"/>
      <c r="S227" s="70"/>
      <c r="T227" s="70"/>
      <c r="U227" s="70"/>
      <c r="V227" s="70"/>
      <c r="W227" s="70"/>
      <c r="X227" s="70"/>
      <c r="Y227" s="70"/>
      <c r="Z227" s="70"/>
      <c r="AA227" s="70"/>
      <c r="AB227" s="70"/>
      <c r="AC227" s="70"/>
      <c r="AD227" s="70"/>
      <c r="AE227" s="70"/>
      <c r="AF227" s="70"/>
      <c r="AG227" s="70"/>
      <c r="AH227" s="70"/>
      <c r="AI227" s="70"/>
      <c r="AJ227" s="70"/>
      <c r="AK227" s="70"/>
      <c r="AL227" s="70"/>
      <c r="AM227" s="70"/>
      <c r="AN227" s="70"/>
      <c r="AO227" s="70"/>
      <c r="AP227" s="70"/>
      <c r="AQ227" s="70"/>
      <c r="AR227" s="70"/>
      <c r="AS227" s="70"/>
      <c r="AT227" s="70"/>
    </row>
    <row r="228" spans="1:46">
      <c r="A228" s="70"/>
      <c r="B228" s="70"/>
      <c r="C228" s="70"/>
      <c r="D228" s="70"/>
      <c r="E228" s="70"/>
      <c r="F228" s="70"/>
      <c r="G228" s="70"/>
      <c r="H228" s="54"/>
      <c r="I228" s="70"/>
      <c r="J228" s="70"/>
      <c r="K228" s="70"/>
      <c r="L228" s="70"/>
      <c r="M228" s="70"/>
      <c r="N228" s="70"/>
      <c r="O228" s="70"/>
      <c r="P228" s="70"/>
      <c r="Q228" s="70"/>
      <c r="R228" s="70"/>
      <c r="S228" s="70"/>
      <c r="T228" s="70"/>
      <c r="U228" s="70"/>
      <c r="V228" s="70"/>
      <c r="W228" s="70"/>
      <c r="X228" s="70"/>
      <c r="Y228" s="70"/>
      <c r="Z228" s="70"/>
      <c r="AA228" s="70"/>
      <c r="AB228" s="70"/>
      <c r="AC228" s="70"/>
      <c r="AD228" s="70"/>
      <c r="AE228" s="70"/>
      <c r="AF228" s="70"/>
      <c r="AG228" s="70"/>
      <c r="AH228" s="70"/>
      <c r="AI228" s="70"/>
      <c r="AJ228" s="70"/>
      <c r="AK228" s="70"/>
      <c r="AL228" s="70"/>
      <c r="AM228" s="70"/>
      <c r="AN228" s="70"/>
      <c r="AO228" s="70"/>
      <c r="AP228" s="70"/>
      <c r="AQ228" s="70"/>
      <c r="AR228" s="70"/>
      <c r="AS228" s="70"/>
      <c r="AT228" s="70"/>
    </row>
    <row r="229" spans="1:46">
      <c r="A229" s="70"/>
      <c r="B229" s="70"/>
      <c r="C229" s="70"/>
      <c r="D229" s="70"/>
      <c r="E229" s="70"/>
      <c r="F229" s="70"/>
      <c r="G229" s="70"/>
      <c r="H229" s="54"/>
      <c r="I229" s="70"/>
      <c r="J229" s="70"/>
      <c r="K229" s="70"/>
      <c r="L229" s="70"/>
      <c r="M229" s="70"/>
      <c r="N229" s="70"/>
      <c r="O229" s="70"/>
      <c r="P229" s="70"/>
      <c r="Q229" s="70"/>
      <c r="R229" s="70"/>
      <c r="S229" s="70"/>
      <c r="T229" s="70"/>
      <c r="U229" s="70"/>
      <c r="V229" s="70"/>
      <c r="W229" s="70"/>
      <c r="X229" s="70"/>
      <c r="Y229" s="70"/>
      <c r="Z229" s="70"/>
      <c r="AA229" s="70"/>
      <c r="AB229" s="70"/>
      <c r="AC229" s="70"/>
      <c r="AD229" s="70"/>
      <c r="AE229" s="70"/>
      <c r="AF229" s="70"/>
      <c r="AG229" s="70"/>
      <c r="AH229" s="70"/>
      <c r="AI229" s="70"/>
      <c r="AJ229" s="70"/>
      <c r="AK229" s="70"/>
      <c r="AL229" s="70"/>
      <c r="AM229" s="70"/>
      <c r="AN229" s="70"/>
      <c r="AO229" s="70"/>
      <c r="AP229" s="70"/>
      <c r="AQ229" s="70"/>
      <c r="AR229" s="70"/>
      <c r="AS229" s="70"/>
      <c r="AT229" s="70"/>
    </row>
    <row r="230" spans="1:46">
      <c r="A230" s="70"/>
      <c r="B230" s="70"/>
      <c r="C230" s="70"/>
      <c r="D230" s="70"/>
      <c r="E230" s="70"/>
      <c r="F230" s="70"/>
      <c r="G230" s="70"/>
      <c r="H230" s="54"/>
      <c r="I230" s="70"/>
      <c r="J230" s="70"/>
      <c r="K230" s="70"/>
      <c r="L230" s="70"/>
      <c r="M230" s="70"/>
      <c r="N230" s="70"/>
      <c r="O230" s="70"/>
      <c r="P230" s="70"/>
      <c r="Q230" s="70"/>
      <c r="R230" s="70"/>
      <c r="S230" s="70"/>
      <c r="T230" s="70"/>
      <c r="U230" s="70"/>
      <c r="V230" s="70"/>
      <c r="W230" s="70"/>
      <c r="X230" s="70"/>
      <c r="Y230" s="70"/>
      <c r="Z230" s="70"/>
      <c r="AA230" s="70"/>
      <c r="AB230" s="70"/>
      <c r="AC230" s="70"/>
      <c r="AD230" s="70"/>
      <c r="AE230" s="70"/>
      <c r="AF230" s="70"/>
      <c r="AG230" s="70"/>
      <c r="AH230" s="70"/>
      <c r="AI230" s="70"/>
      <c r="AJ230" s="70"/>
      <c r="AK230" s="70"/>
      <c r="AL230" s="70"/>
      <c r="AM230" s="70"/>
      <c r="AN230" s="70"/>
      <c r="AO230" s="70"/>
      <c r="AP230" s="70"/>
      <c r="AQ230" s="70"/>
      <c r="AR230" s="70"/>
      <c r="AS230" s="70"/>
      <c r="AT230" s="70"/>
    </row>
    <row r="231" spans="1:46">
      <c r="A231" s="70"/>
      <c r="B231" s="70"/>
      <c r="C231" s="70"/>
      <c r="D231" s="70"/>
      <c r="E231" s="70"/>
      <c r="F231" s="70"/>
      <c r="G231" s="70"/>
      <c r="H231" s="54"/>
      <c r="I231" s="70"/>
      <c r="J231" s="70"/>
      <c r="K231" s="70"/>
      <c r="L231" s="70"/>
      <c r="M231" s="70"/>
      <c r="N231" s="70"/>
      <c r="O231" s="70"/>
      <c r="P231" s="70"/>
      <c r="Q231" s="70"/>
      <c r="R231" s="70"/>
      <c r="S231" s="70"/>
      <c r="T231" s="70"/>
      <c r="U231" s="70"/>
      <c r="V231" s="70"/>
      <c r="W231" s="70"/>
      <c r="X231" s="70"/>
      <c r="Y231" s="70"/>
      <c r="Z231" s="70"/>
      <c r="AA231" s="70"/>
      <c r="AB231" s="70"/>
      <c r="AC231" s="70"/>
      <c r="AD231" s="70"/>
      <c r="AE231" s="70"/>
      <c r="AF231" s="70"/>
      <c r="AG231" s="70"/>
      <c r="AH231" s="70"/>
      <c r="AI231" s="70"/>
      <c r="AJ231" s="70"/>
      <c r="AK231" s="70"/>
      <c r="AL231" s="70"/>
      <c r="AM231" s="70"/>
      <c r="AN231" s="70"/>
      <c r="AO231" s="70"/>
      <c r="AP231" s="70"/>
      <c r="AQ231" s="70"/>
      <c r="AR231" s="70"/>
      <c r="AS231" s="70"/>
      <c r="AT231" s="70"/>
    </row>
    <row r="232" spans="1:46">
      <c r="A232" s="70"/>
      <c r="B232" s="70"/>
      <c r="C232" s="70"/>
      <c r="D232" s="70"/>
      <c r="E232" s="70"/>
      <c r="F232" s="70"/>
      <c r="G232" s="70"/>
      <c r="H232" s="54"/>
      <c r="I232" s="70"/>
      <c r="J232" s="70"/>
      <c r="K232" s="70"/>
      <c r="L232" s="70"/>
      <c r="M232" s="70"/>
      <c r="N232" s="70"/>
      <c r="O232" s="70"/>
      <c r="P232" s="70"/>
      <c r="Q232" s="70"/>
      <c r="R232" s="70"/>
      <c r="S232" s="70"/>
      <c r="T232" s="70"/>
      <c r="U232" s="70"/>
      <c r="V232" s="70"/>
      <c r="W232" s="70"/>
      <c r="X232" s="70"/>
      <c r="Y232" s="70"/>
      <c r="Z232" s="70"/>
      <c r="AA232" s="70"/>
      <c r="AB232" s="70"/>
      <c r="AC232" s="70"/>
      <c r="AD232" s="70"/>
      <c r="AE232" s="70"/>
      <c r="AF232" s="70"/>
      <c r="AG232" s="70"/>
      <c r="AH232" s="70"/>
      <c r="AI232" s="70"/>
      <c r="AJ232" s="70"/>
      <c r="AK232" s="70"/>
      <c r="AL232" s="70"/>
      <c r="AM232" s="70"/>
      <c r="AN232" s="70"/>
      <c r="AO232" s="70"/>
      <c r="AP232" s="70"/>
      <c r="AQ232" s="70"/>
      <c r="AR232" s="70"/>
      <c r="AS232" s="70"/>
      <c r="AT232" s="70"/>
    </row>
    <row r="233" spans="1:46">
      <c r="A233" s="70"/>
      <c r="B233" s="70"/>
      <c r="C233" s="70"/>
      <c r="D233" s="70"/>
      <c r="E233" s="70"/>
      <c r="F233" s="70"/>
      <c r="G233" s="70"/>
      <c r="H233" s="54"/>
      <c r="I233" s="70"/>
      <c r="J233" s="70"/>
      <c r="K233" s="70"/>
      <c r="L233" s="70"/>
      <c r="M233" s="70"/>
      <c r="N233" s="70"/>
      <c r="O233" s="70"/>
      <c r="P233" s="70"/>
      <c r="Q233" s="70"/>
      <c r="R233" s="70"/>
      <c r="S233" s="70"/>
      <c r="T233" s="70"/>
      <c r="U233" s="70"/>
      <c r="V233" s="70"/>
      <c r="W233" s="70"/>
      <c r="X233" s="70"/>
      <c r="Y233" s="70"/>
      <c r="Z233" s="70"/>
      <c r="AA233" s="70"/>
      <c r="AB233" s="70"/>
      <c r="AC233" s="70"/>
      <c r="AD233" s="70"/>
      <c r="AE233" s="70"/>
      <c r="AF233" s="70"/>
      <c r="AG233" s="70"/>
      <c r="AH233" s="70"/>
      <c r="AI233" s="70"/>
      <c r="AJ233" s="70"/>
      <c r="AK233" s="70"/>
      <c r="AL233" s="70"/>
      <c r="AM233" s="70"/>
      <c r="AN233" s="70"/>
      <c r="AO233" s="70"/>
      <c r="AP233" s="70"/>
      <c r="AQ233" s="70"/>
      <c r="AR233" s="70"/>
      <c r="AS233" s="70"/>
      <c r="AT233" s="70"/>
    </row>
    <row r="234" spans="1:46">
      <c r="A234" s="70"/>
      <c r="B234" s="70"/>
      <c r="C234" s="70"/>
      <c r="D234" s="70"/>
      <c r="E234" s="70"/>
      <c r="F234" s="70"/>
      <c r="G234" s="70"/>
      <c r="H234" s="54"/>
      <c r="I234" s="70"/>
      <c r="J234" s="70"/>
      <c r="K234" s="70"/>
      <c r="L234" s="70"/>
      <c r="M234" s="70"/>
      <c r="N234" s="70"/>
      <c r="O234" s="70"/>
      <c r="P234" s="70"/>
      <c r="Q234" s="70"/>
      <c r="R234" s="70"/>
      <c r="S234" s="70"/>
      <c r="T234" s="70"/>
      <c r="U234" s="70"/>
      <c r="V234" s="70"/>
      <c r="W234" s="70"/>
      <c r="X234" s="70"/>
      <c r="Y234" s="70"/>
      <c r="Z234" s="70"/>
      <c r="AA234" s="70"/>
      <c r="AB234" s="70"/>
      <c r="AC234" s="70"/>
      <c r="AD234" s="70"/>
      <c r="AE234" s="70"/>
      <c r="AF234" s="70"/>
      <c r="AG234" s="70"/>
      <c r="AH234" s="70"/>
      <c r="AI234" s="70"/>
      <c r="AJ234" s="70"/>
      <c r="AK234" s="70"/>
      <c r="AL234" s="70"/>
      <c r="AM234" s="70"/>
      <c r="AN234" s="70"/>
      <c r="AO234" s="70"/>
      <c r="AP234" s="70"/>
      <c r="AQ234" s="70"/>
      <c r="AR234" s="70"/>
      <c r="AS234" s="70"/>
      <c r="AT234" s="70"/>
    </row>
    <row r="235" spans="1:46">
      <c r="A235" s="70"/>
      <c r="B235" s="70"/>
      <c r="C235" s="70"/>
      <c r="D235" s="70"/>
      <c r="E235" s="70"/>
      <c r="F235" s="70"/>
      <c r="G235" s="70"/>
      <c r="H235" s="54"/>
      <c r="I235" s="70"/>
      <c r="J235" s="70"/>
      <c r="K235" s="70"/>
      <c r="L235" s="70"/>
      <c r="M235" s="70"/>
      <c r="N235" s="70"/>
      <c r="O235" s="70"/>
      <c r="P235" s="70"/>
      <c r="Q235" s="70"/>
      <c r="R235" s="70"/>
      <c r="S235" s="70"/>
      <c r="T235" s="70"/>
      <c r="U235" s="70"/>
      <c r="V235" s="70"/>
      <c r="W235" s="70"/>
      <c r="X235" s="70"/>
      <c r="Y235" s="70"/>
      <c r="Z235" s="70"/>
      <c r="AA235" s="70"/>
      <c r="AB235" s="70"/>
      <c r="AC235" s="70"/>
      <c r="AD235" s="70"/>
      <c r="AE235" s="70"/>
      <c r="AF235" s="70"/>
      <c r="AG235" s="70"/>
      <c r="AH235" s="70"/>
      <c r="AI235" s="70"/>
      <c r="AJ235" s="70"/>
      <c r="AK235" s="70"/>
      <c r="AL235" s="70"/>
      <c r="AM235" s="70"/>
      <c r="AN235" s="70"/>
      <c r="AO235" s="70"/>
      <c r="AP235" s="70"/>
      <c r="AQ235" s="70"/>
      <c r="AR235" s="70"/>
      <c r="AS235" s="70"/>
      <c r="AT235" s="70"/>
    </row>
    <row r="236" spans="1:46">
      <c r="A236" s="70"/>
      <c r="B236" s="70"/>
      <c r="C236" s="70"/>
      <c r="D236" s="70"/>
      <c r="E236" s="70"/>
      <c r="F236" s="70"/>
      <c r="G236" s="70"/>
      <c r="H236" s="54"/>
      <c r="I236" s="70"/>
      <c r="J236" s="70"/>
      <c r="K236" s="70"/>
      <c r="L236" s="70"/>
      <c r="M236" s="70"/>
      <c r="N236" s="70"/>
      <c r="O236" s="70"/>
      <c r="P236" s="70"/>
      <c r="Q236" s="70"/>
      <c r="R236" s="70"/>
      <c r="S236" s="70"/>
      <c r="T236" s="70"/>
      <c r="U236" s="70"/>
      <c r="V236" s="70"/>
      <c r="W236" s="70"/>
      <c r="X236" s="70"/>
      <c r="Y236" s="70"/>
      <c r="Z236" s="70"/>
      <c r="AA236" s="70"/>
      <c r="AB236" s="70"/>
      <c r="AC236" s="70"/>
      <c r="AD236" s="70"/>
      <c r="AE236" s="70"/>
      <c r="AF236" s="70"/>
      <c r="AG236" s="70"/>
      <c r="AH236" s="70"/>
      <c r="AI236" s="70"/>
      <c r="AJ236" s="70"/>
      <c r="AK236" s="70"/>
      <c r="AL236" s="70"/>
      <c r="AM236" s="70"/>
      <c r="AN236" s="70"/>
      <c r="AO236" s="70"/>
      <c r="AP236" s="70"/>
      <c r="AQ236" s="70"/>
      <c r="AR236" s="70"/>
      <c r="AS236" s="70"/>
      <c r="AT236" s="70"/>
    </row>
    <row r="237" spans="1:46">
      <c r="A237" s="70"/>
      <c r="B237" s="70"/>
      <c r="C237" s="70"/>
      <c r="D237" s="70"/>
      <c r="E237" s="70"/>
      <c r="F237" s="70"/>
      <c r="G237" s="70"/>
      <c r="H237" s="54"/>
      <c r="I237" s="70"/>
      <c r="J237" s="70"/>
      <c r="K237" s="70"/>
      <c r="L237" s="70"/>
      <c r="M237" s="70"/>
      <c r="N237" s="70"/>
      <c r="O237" s="70"/>
      <c r="P237" s="70"/>
      <c r="Q237" s="70"/>
      <c r="R237" s="70"/>
      <c r="S237" s="70"/>
      <c r="T237" s="70"/>
      <c r="U237" s="70"/>
      <c r="V237" s="70"/>
      <c r="W237" s="70"/>
      <c r="X237" s="70"/>
      <c r="Y237" s="70"/>
      <c r="Z237" s="70"/>
      <c r="AA237" s="70"/>
      <c r="AB237" s="70"/>
      <c r="AC237" s="70"/>
      <c r="AD237" s="70"/>
      <c r="AE237" s="70"/>
      <c r="AF237" s="70"/>
      <c r="AG237" s="70"/>
      <c r="AH237" s="70"/>
      <c r="AI237" s="70"/>
      <c r="AJ237" s="70"/>
      <c r="AK237" s="70"/>
      <c r="AL237" s="70"/>
      <c r="AM237" s="70"/>
      <c r="AN237" s="70"/>
      <c r="AO237" s="70"/>
      <c r="AP237" s="70"/>
      <c r="AQ237" s="70"/>
      <c r="AR237" s="70"/>
      <c r="AS237" s="70"/>
      <c r="AT237" s="70"/>
    </row>
    <row r="238" spans="1:46">
      <c r="A238" s="70"/>
      <c r="B238" s="70"/>
      <c r="C238" s="70"/>
      <c r="D238" s="70"/>
      <c r="E238" s="70"/>
      <c r="F238" s="70"/>
      <c r="G238" s="70"/>
      <c r="H238" s="54"/>
      <c r="I238" s="70"/>
      <c r="J238" s="70"/>
      <c r="K238" s="70"/>
      <c r="L238" s="70"/>
      <c r="M238" s="70"/>
      <c r="N238" s="70"/>
      <c r="O238" s="70"/>
      <c r="P238" s="70"/>
      <c r="Q238" s="70"/>
      <c r="R238" s="70"/>
      <c r="S238" s="70"/>
      <c r="T238" s="70"/>
      <c r="U238" s="70"/>
      <c r="V238" s="70"/>
      <c r="W238" s="70"/>
      <c r="X238" s="70"/>
      <c r="Y238" s="70"/>
      <c r="Z238" s="70"/>
      <c r="AA238" s="70"/>
      <c r="AB238" s="70"/>
      <c r="AC238" s="70"/>
      <c r="AD238" s="70"/>
      <c r="AE238" s="70"/>
      <c r="AF238" s="70"/>
      <c r="AG238" s="70"/>
      <c r="AH238" s="70"/>
      <c r="AI238" s="70"/>
      <c r="AJ238" s="70"/>
      <c r="AK238" s="70"/>
      <c r="AL238" s="70"/>
      <c r="AM238" s="70"/>
      <c r="AN238" s="70"/>
      <c r="AO238" s="70"/>
      <c r="AP238" s="70"/>
      <c r="AQ238" s="70"/>
      <c r="AR238" s="70"/>
      <c r="AS238" s="70"/>
      <c r="AT238" s="70"/>
    </row>
    <row r="239" spans="1:46">
      <c r="A239" s="70"/>
      <c r="B239" s="70"/>
      <c r="C239" s="70"/>
      <c r="D239" s="70"/>
      <c r="E239" s="70"/>
      <c r="F239" s="70"/>
      <c r="G239" s="70"/>
      <c r="H239" s="54"/>
      <c r="I239" s="70"/>
      <c r="J239" s="70"/>
      <c r="K239" s="70"/>
      <c r="L239" s="70"/>
      <c r="M239" s="70"/>
      <c r="N239" s="70"/>
      <c r="O239" s="70"/>
      <c r="P239" s="70"/>
      <c r="Q239" s="70"/>
      <c r="R239" s="70"/>
      <c r="S239" s="70"/>
      <c r="T239" s="70"/>
      <c r="U239" s="70"/>
      <c r="V239" s="70"/>
      <c r="W239" s="70"/>
      <c r="X239" s="70"/>
      <c r="Y239" s="70"/>
      <c r="Z239" s="70"/>
      <c r="AA239" s="70"/>
      <c r="AB239" s="70"/>
      <c r="AC239" s="70"/>
      <c r="AD239" s="70"/>
      <c r="AE239" s="70"/>
      <c r="AF239" s="70"/>
      <c r="AG239" s="70"/>
      <c r="AH239" s="70"/>
      <c r="AI239" s="70"/>
      <c r="AJ239" s="70"/>
      <c r="AK239" s="70"/>
      <c r="AL239" s="70"/>
      <c r="AM239" s="70"/>
      <c r="AN239" s="70"/>
      <c r="AO239" s="70"/>
      <c r="AP239" s="70"/>
      <c r="AQ239" s="70"/>
      <c r="AR239" s="70"/>
      <c r="AS239" s="70"/>
      <c r="AT239" s="70"/>
    </row>
    <row r="240" spans="1:46">
      <c r="A240" s="70"/>
      <c r="B240" s="70"/>
      <c r="C240" s="70"/>
      <c r="D240" s="70"/>
      <c r="E240" s="70"/>
      <c r="F240" s="70"/>
      <c r="G240" s="70"/>
      <c r="H240" s="54"/>
      <c r="I240" s="70"/>
      <c r="J240" s="70"/>
      <c r="K240" s="70"/>
      <c r="L240" s="70"/>
      <c r="M240" s="70"/>
      <c r="N240" s="70"/>
      <c r="O240" s="70"/>
      <c r="P240" s="70"/>
      <c r="Q240" s="70"/>
      <c r="R240" s="70"/>
      <c r="S240" s="70"/>
      <c r="T240" s="70"/>
      <c r="U240" s="70"/>
      <c r="V240" s="70"/>
      <c r="W240" s="70"/>
      <c r="X240" s="70"/>
      <c r="Y240" s="70"/>
      <c r="Z240" s="70"/>
      <c r="AA240" s="70"/>
      <c r="AB240" s="70"/>
      <c r="AC240" s="70"/>
      <c r="AD240" s="70"/>
      <c r="AE240" s="70"/>
      <c r="AF240" s="70"/>
      <c r="AG240" s="70"/>
      <c r="AH240" s="70"/>
      <c r="AI240" s="70"/>
      <c r="AJ240" s="70"/>
      <c r="AK240" s="70"/>
      <c r="AL240" s="70"/>
      <c r="AM240" s="70"/>
      <c r="AN240" s="70"/>
      <c r="AO240" s="70"/>
      <c r="AP240" s="70"/>
      <c r="AQ240" s="70"/>
      <c r="AR240" s="70"/>
      <c r="AS240" s="70"/>
      <c r="AT240" s="70"/>
    </row>
    <row r="241" spans="1:46">
      <c r="A241" s="70"/>
      <c r="B241" s="70"/>
      <c r="C241" s="70"/>
      <c r="D241" s="70"/>
      <c r="E241" s="70"/>
      <c r="F241" s="70"/>
      <c r="G241" s="70"/>
      <c r="H241" s="54"/>
      <c r="I241" s="70"/>
      <c r="J241" s="70"/>
      <c r="K241" s="70"/>
      <c r="L241" s="70"/>
      <c r="M241" s="70"/>
      <c r="N241" s="70"/>
      <c r="O241" s="70"/>
      <c r="P241" s="70"/>
      <c r="Q241" s="70"/>
      <c r="R241" s="70"/>
      <c r="S241" s="70"/>
      <c r="T241" s="70"/>
      <c r="U241" s="70"/>
      <c r="V241" s="70"/>
      <c r="W241" s="70"/>
      <c r="X241" s="70"/>
      <c r="Y241" s="70"/>
      <c r="Z241" s="70"/>
      <c r="AA241" s="70"/>
      <c r="AB241" s="70"/>
      <c r="AC241" s="70"/>
      <c r="AD241" s="70"/>
      <c r="AE241" s="70"/>
      <c r="AF241" s="70"/>
      <c r="AG241" s="70"/>
      <c r="AH241" s="70"/>
      <c r="AI241" s="70"/>
      <c r="AJ241" s="70"/>
      <c r="AK241" s="70"/>
      <c r="AL241" s="70"/>
      <c r="AM241" s="70"/>
      <c r="AN241" s="70"/>
      <c r="AO241" s="70"/>
      <c r="AP241" s="70"/>
      <c r="AQ241" s="70"/>
      <c r="AR241" s="70"/>
      <c r="AS241" s="70"/>
      <c r="AT241" s="70"/>
    </row>
    <row r="242" spans="1:46">
      <c r="A242" s="70"/>
      <c r="B242" s="70"/>
      <c r="C242" s="70"/>
      <c r="D242" s="70"/>
      <c r="E242" s="70"/>
      <c r="F242" s="70"/>
      <c r="G242" s="70"/>
      <c r="H242" s="54"/>
      <c r="I242" s="70"/>
      <c r="J242" s="70"/>
      <c r="K242" s="70"/>
      <c r="L242" s="70"/>
      <c r="M242" s="70"/>
      <c r="N242" s="70"/>
      <c r="O242" s="70"/>
      <c r="P242" s="70"/>
      <c r="Q242" s="70"/>
      <c r="R242" s="70"/>
      <c r="S242" s="70"/>
      <c r="T242" s="70"/>
      <c r="U242" s="70"/>
      <c r="V242" s="70"/>
      <c r="W242" s="70"/>
      <c r="X242" s="70"/>
      <c r="Y242" s="70"/>
      <c r="Z242" s="70"/>
      <c r="AA242" s="70"/>
      <c r="AB242" s="70"/>
      <c r="AC242" s="70"/>
      <c r="AD242" s="70"/>
      <c r="AE242" s="70"/>
      <c r="AF242" s="70"/>
      <c r="AG242" s="70"/>
      <c r="AH242" s="70"/>
      <c r="AI242" s="70"/>
      <c r="AJ242" s="70"/>
      <c r="AK242" s="70"/>
      <c r="AL242" s="70"/>
      <c r="AM242" s="70"/>
      <c r="AN242" s="70"/>
      <c r="AO242" s="70"/>
      <c r="AP242" s="70"/>
      <c r="AQ242" s="70"/>
      <c r="AR242" s="70"/>
      <c r="AS242" s="70"/>
      <c r="AT242" s="70"/>
    </row>
    <row r="243" spans="1:46">
      <c r="A243" s="70"/>
      <c r="B243" s="70"/>
      <c r="C243" s="70"/>
      <c r="D243" s="70"/>
      <c r="E243" s="70"/>
      <c r="F243" s="70"/>
      <c r="G243" s="70"/>
      <c r="H243" s="54"/>
      <c r="I243" s="70"/>
      <c r="J243" s="70"/>
      <c r="K243" s="70"/>
      <c r="L243" s="70"/>
      <c r="M243" s="70"/>
      <c r="N243" s="70"/>
      <c r="O243" s="70"/>
      <c r="P243" s="70"/>
      <c r="Q243" s="70"/>
      <c r="R243" s="70"/>
      <c r="S243" s="70"/>
      <c r="T243" s="70"/>
      <c r="U243" s="70"/>
      <c r="V243" s="70"/>
      <c r="W243" s="70"/>
      <c r="X243" s="70"/>
      <c r="Y243" s="70"/>
      <c r="Z243" s="70"/>
      <c r="AA243" s="70"/>
      <c r="AB243" s="70"/>
      <c r="AC243" s="70"/>
      <c r="AD243" s="70"/>
      <c r="AE243" s="70"/>
      <c r="AF243" s="70"/>
      <c r="AG243" s="70"/>
      <c r="AH243" s="70"/>
      <c r="AI243" s="70"/>
      <c r="AJ243" s="70"/>
      <c r="AK243" s="70"/>
      <c r="AL243" s="70"/>
      <c r="AM243" s="70"/>
      <c r="AN243" s="70"/>
      <c r="AO243" s="70"/>
      <c r="AP243" s="70"/>
      <c r="AQ243" s="70"/>
      <c r="AR243" s="70"/>
      <c r="AS243" s="70"/>
      <c r="AT243" s="70"/>
    </row>
    <row r="244" spans="1:46">
      <c r="A244" s="70"/>
      <c r="B244" s="70"/>
      <c r="C244" s="70"/>
      <c r="D244" s="70"/>
      <c r="E244" s="70"/>
      <c r="F244" s="70"/>
      <c r="G244" s="70"/>
      <c r="H244" s="54"/>
      <c r="I244" s="70"/>
      <c r="J244" s="70"/>
      <c r="K244" s="70"/>
      <c r="L244" s="70"/>
      <c r="M244" s="70"/>
      <c r="N244" s="70"/>
      <c r="O244" s="70"/>
      <c r="P244" s="70"/>
      <c r="Q244" s="70"/>
      <c r="R244" s="70"/>
      <c r="S244" s="70"/>
      <c r="T244" s="70"/>
      <c r="U244" s="70"/>
      <c r="V244" s="70"/>
      <c r="W244" s="70"/>
      <c r="X244" s="70"/>
      <c r="Y244" s="70"/>
      <c r="Z244" s="70"/>
      <c r="AA244" s="70"/>
      <c r="AB244" s="70"/>
      <c r="AC244" s="70"/>
      <c r="AD244" s="70"/>
      <c r="AE244" s="70"/>
      <c r="AF244" s="70"/>
      <c r="AG244" s="70"/>
      <c r="AH244" s="70"/>
      <c r="AI244" s="70"/>
      <c r="AJ244" s="70"/>
      <c r="AK244" s="70"/>
      <c r="AL244" s="70"/>
      <c r="AM244" s="70"/>
      <c r="AN244" s="70"/>
      <c r="AO244" s="70"/>
      <c r="AP244" s="70"/>
      <c r="AQ244" s="70"/>
      <c r="AR244" s="70"/>
      <c r="AS244" s="70"/>
      <c r="AT244" s="70"/>
    </row>
    <row r="245" spans="1:46">
      <c r="A245" s="70"/>
      <c r="B245" s="70"/>
      <c r="C245" s="70"/>
      <c r="D245" s="70"/>
      <c r="E245" s="70"/>
      <c r="F245" s="70"/>
      <c r="G245" s="70"/>
      <c r="H245" s="54"/>
      <c r="I245" s="70"/>
      <c r="J245" s="70"/>
      <c r="K245" s="70"/>
      <c r="L245" s="70"/>
      <c r="M245" s="70"/>
      <c r="N245" s="70"/>
      <c r="O245" s="70"/>
      <c r="P245" s="70"/>
      <c r="Q245" s="70"/>
      <c r="R245" s="70"/>
      <c r="S245" s="70"/>
      <c r="T245" s="70"/>
      <c r="U245" s="70"/>
      <c r="V245" s="70"/>
      <c r="W245" s="70"/>
      <c r="X245" s="70"/>
      <c r="Y245" s="70"/>
      <c r="Z245" s="70"/>
      <c r="AA245" s="70"/>
      <c r="AB245" s="70"/>
      <c r="AC245" s="70"/>
      <c r="AD245" s="70"/>
      <c r="AE245" s="70"/>
      <c r="AF245" s="70"/>
      <c r="AG245" s="70"/>
      <c r="AH245" s="70"/>
      <c r="AI245" s="70"/>
      <c r="AJ245" s="70"/>
      <c r="AK245" s="70"/>
      <c r="AL245" s="70"/>
      <c r="AM245" s="70"/>
      <c r="AN245" s="70"/>
      <c r="AO245" s="70"/>
      <c r="AP245" s="70"/>
      <c r="AQ245" s="70"/>
      <c r="AR245" s="70"/>
      <c r="AS245" s="70"/>
      <c r="AT245" s="70"/>
    </row>
    <row r="246" spans="1:46">
      <c r="A246" s="70"/>
      <c r="B246" s="70"/>
      <c r="C246" s="70"/>
      <c r="D246" s="70"/>
      <c r="E246" s="70"/>
      <c r="F246" s="70"/>
      <c r="G246" s="70"/>
      <c r="H246" s="54"/>
      <c r="I246" s="70"/>
      <c r="J246" s="70"/>
      <c r="K246" s="70"/>
      <c r="L246" s="70"/>
      <c r="M246" s="70"/>
      <c r="N246" s="70"/>
      <c r="O246" s="70"/>
      <c r="P246" s="70"/>
      <c r="Q246" s="70"/>
      <c r="R246" s="70"/>
      <c r="S246" s="70"/>
      <c r="T246" s="70"/>
      <c r="U246" s="70"/>
      <c r="V246" s="70"/>
      <c r="W246" s="70"/>
      <c r="X246" s="70"/>
      <c r="Y246" s="70"/>
      <c r="Z246" s="70"/>
      <c r="AA246" s="70"/>
      <c r="AB246" s="70"/>
      <c r="AC246" s="70"/>
      <c r="AD246" s="70"/>
      <c r="AE246" s="70"/>
      <c r="AF246" s="70"/>
      <c r="AG246" s="70"/>
      <c r="AH246" s="70"/>
      <c r="AI246" s="70"/>
      <c r="AJ246" s="70"/>
      <c r="AK246" s="70"/>
      <c r="AL246" s="70"/>
      <c r="AM246" s="70"/>
      <c r="AN246" s="70"/>
      <c r="AO246" s="70"/>
      <c r="AP246" s="70"/>
      <c r="AQ246" s="70"/>
      <c r="AR246" s="70"/>
      <c r="AS246" s="70"/>
      <c r="AT246" s="70"/>
    </row>
    <row r="247" spans="1:46">
      <c r="A247" s="70"/>
      <c r="B247" s="70"/>
      <c r="C247" s="70"/>
      <c r="D247" s="70"/>
      <c r="E247" s="70"/>
      <c r="F247" s="70"/>
      <c r="G247" s="70"/>
      <c r="H247" s="54"/>
      <c r="I247" s="70"/>
      <c r="J247" s="70"/>
      <c r="K247" s="70"/>
      <c r="L247" s="70"/>
      <c r="M247" s="70"/>
      <c r="N247" s="70"/>
      <c r="O247" s="70"/>
      <c r="P247" s="70"/>
      <c r="Q247" s="70"/>
      <c r="R247" s="70"/>
      <c r="S247" s="70"/>
      <c r="T247" s="70"/>
      <c r="U247" s="70"/>
      <c r="V247" s="70"/>
      <c r="W247" s="70"/>
      <c r="X247" s="70"/>
      <c r="Y247" s="70"/>
      <c r="Z247" s="70"/>
      <c r="AA247" s="70"/>
      <c r="AB247" s="70"/>
      <c r="AC247" s="70"/>
      <c r="AD247" s="70"/>
      <c r="AE247" s="70"/>
      <c r="AF247" s="70"/>
      <c r="AG247" s="70"/>
      <c r="AH247" s="70"/>
      <c r="AI247" s="70"/>
      <c r="AJ247" s="70"/>
      <c r="AK247" s="70"/>
      <c r="AL247" s="70"/>
      <c r="AM247" s="70"/>
      <c r="AN247" s="70"/>
      <c r="AO247" s="70"/>
      <c r="AP247" s="70"/>
      <c r="AQ247" s="70"/>
      <c r="AR247" s="70"/>
      <c r="AS247" s="70"/>
      <c r="AT247" s="70"/>
    </row>
    <row r="248" spans="1:46">
      <c r="A248" s="70"/>
      <c r="B248" s="70"/>
      <c r="C248" s="70"/>
      <c r="D248" s="70"/>
      <c r="E248" s="70"/>
      <c r="F248" s="70"/>
      <c r="G248" s="70"/>
      <c r="H248" s="54"/>
      <c r="I248" s="70"/>
      <c r="J248" s="70"/>
      <c r="K248" s="70"/>
      <c r="L248" s="70"/>
      <c r="M248" s="70"/>
      <c r="N248" s="70"/>
      <c r="O248" s="70"/>
      <c r="P248" s="70"/>
      <c r="Q248" s="70"/>
      <c r="R248" s="70"/>
      <c r="S248" s="70"/>
      <c r="T248" s="70"/>
      <c r="U248" s="70"/>
      <c r="V248" s="70"/>
      <c r="W248" s="70"/>
      <c r="X248" s="70"/>
      <c r="Y248" s="70"/>
      <c r="Z248" s="70"/>
      <c r="AA248" s="70"/>
      <c r="AB248" s="70"/>
      <c r="AC248" s="70"/>
      <c r="AD248" s="70"/>
      <c r="AE248" s="70"/>
      <c r="AF248" s="70"/>
      <c r="AG248" s="70"/>
      <c r="AH248" s="70"/>
      <c r="AI248" s="70"/>
      <c r="AJ248" s="70"/>
      <c r="AK248" s="70"/>
      <c r="AL248" s="70"/>
      <c r="AM248" s="70"/>
      <c r="AN248" s="70"/>
      <c r="AO248" s="70"/>
      <c r="AP248" s="70"/>
      <c r="AQ248" s="70"/>
      <c r="AR248" s="70"/>
      <c r="AS248" s="70"/>
      <c r="AT248" s="70"/>
    </row>
    <row r="249" spans="1:46">
      <c r="A249" s="70"/>
      <c r="B249" s="70"/>
      <c r="C249" s="70"/>
      <c r="D249" s="70"/>
      <c r="E249" s="70"/>
      <c r="F249" s="70"/>
      <c r="G249" s="70"/>
      <c r="H249" s="54"/>
      <c r="I249" s="70"/>
      <c r="J249" s="70"/>
      <c r="K249" s="70"/>
      <c r="L249" s="70"/>
      <c r="M249" s="70"/>
      <c r="N249" s="70"/>
      <c r="O249" s="70"/>
      <c r="P249" s="70"/>
      <c r="Q249" s="70"/>
      <c r="R249" s="70"/>
      <c r="S249" s="70"/>
      <c r="T249" s="70"/>
      <c r="U249" s="70"/>
      <c r="V249" s="70"/>
      <c r="W249" s="70"/>
      <c r="X249" s="70"/>
      <c r="Y249" s="70"/>
      <c r="Z249" s="70"/>
      <c r="AA249" s="70"/>
      <c r="AB249" s="70"/>
      <c r="AC249" s="70"/>
      <c r="AD249" s="70"/>
      <c r="AE249" s="70"/>
      <c r="AF249" s="70"/>
      <c r="AG249" s="70"/>
      <c r="AH249" s="70"/>
      <c r="AI249" s="70"/>
      <c r="AJ249" s="70"/>
      <c r="AK249" s="70"/>
      <c r="AL249" s="70"/>
      <c r="AM249" s="70"/>
      <c r="AN249" s="70"/>
      <c r="AO249" s="70"/>
      <c r="AP249" s="70"/>
      <c r="AQ249" s="70"/>
      <c r="AR249" s="70"/>
      <c r="AS249" s="70"/>
      <c r="AT249" s="70"/>
    </row>
    <row r="250" spans="1:46">
      <c r="A250" s="70"/>
      <c r="B250" s="70"/>
      <c r="C250" s="70"/>
      <c r="D250" s="70"/>
      <c r="E250" s="70"/>
      <c r="F250" s="70"/>
      <c r="G250" s="70"/>
      <c r="H250" s="54"/>
      <c r="I250" s="70"/>
      <c r="J250" s="70"/>
      <c r="K250" s="70"/>
      <c r="L250" s="70"/>
      <c r="M250" s="70"/>
      <c r="N250" s="70"/>
      <c r="O250" s="70"/>
      <c r="P250" s="70"/>
      <c r="Q250" s="70"/>
      <c r="R250" s="70"/>
      <c r="S250" s="70"/>
      <c r="T250" s="70"/>
      <c r="U250" s="70"/>
      <c r="V250" s="70"/>
      <c r="W250" s="70"/>
      <c r="X250" s="70"/>
      <c r="Y250" s="70"/>
      <c r="Z250" s="70"/>
      <c r="AA250" s="70"/>
      <c r="AB250" s="70"/>
      <c r="AC250" s="70"/>
      <c r="AD250" s="70"/>
      <c r="AE250" s="70"/>
      <c r="AF250" s="70"/>
      <c r="AG250" s="70"/>
      <c r="AH250" s="70"/>
      <c r="AI250" s="70"/>
      <c r="AJ250" s="70"/>
      <c r="AK250" s="70"/>
      <c r="AL250" s="70"/>
      <c r="AM250" s="70"/>
      <c r="AN250" s="70"/>
      <c r="AO250" s="70"/>
      <c r="AP250" s="70"/>
      <c r="AQ250" s="70"/>
      <c r="AR250" s="70"/>
      <c r="AS250" s="70"/>
      <c r="AT250" s="70"/>
    </row>
    <row r="251" spans="1:46">
      <c r="A251" s="70"/>
      <c r="B251" s="70"/>
      <c r="C251" s="70"/>
      <c r="D251" s="70"/>
      <c r="E251" s="70"/>
      <c r="F251" s="70"/>
      <c r="G251" s="70"/>
      <c r="H251" s="54"/>
      <c r="I251" s="70"/>
      <c r="J251" s="70"/>
      <c r="K251" s="70"/>
      <c r="L251" s="70"/>
      <c r="M251" s="70"/>
      <c r="N251" s="70"/>
      <c r="O251" s="70"/>
      <c r="P251" s="70"/>
      <c r="Q251" s="70"/>
      <c r="R251" s="70"/>
      <c r="S251" s="70"/>
      <c r="T251" s="70"/>
      <c r="U251" s="70"/>
      <c r="V251" s="70"/>
      <c r="W251" s="70"/>
      <c r="X251" s="70"/>
      <c r="Y251" s="70"/>
      <c r="Z251" s="70"/>
      <c r="AA251" s="70"/>
      <c r="AB251" s="70"/>
      <c r="AC251" s="70"/>
      <c r="AD251" s="70"/>
      <c r="AE251" s="70"/>
      <c r="AF251" s="70"/>
      <c r="AG251" s="70"/>
      <c r="AH251" s="70"/>
      <c r="AI251" s="70"/>
      <c r="AJ251" s="70"/>
      <c r="AK251" s="70"/>
      <c r="AL251" s="70"/>
      <c r="AM251" s="70"/>
      <c r="AN251" s="70"/>
      <c r="AO251" s="70"/>
      <c r="AP251" s="70"/>
      <c r="AQ251" s="70"/>
      <c r="AR251" s="70"/>
      <c r="AS251" s="70"/>
      <c r="AT251" s="70"/>
    </row>
    <row r="252" spans="1:46">
      <c r="A252" s="70"/>
      <c r="B252" s="70"/>
      <c r="C252" s="70"/>
      <c r="D252" s="70"/>
      <c r="E252" s="70"/>
      <c r="F252" s="70"/>
      <c r="G252" s="70"/>
      <c r="H252" s="54"/>
      <c r="I252" s="70"/>
      <c r="J252" s="70"/>
      <c r="K252" s="70"/>
      <c r="L252" s="70"/>
      <c r="M252" s="70"/>
      <c r="N252" s="70"/>
      <c r="O252" s="70"/>
      <c r="P252" s="70"/>
      <c r="Q252" s="70"/>
      <c r="R252" s="70"/>
      <c r="S252" s="70"/>
      <c r="T252" s="70"/>
      <c r="U252" s="70"/>
      <c r="V252" s="70"/>
      <c r="W252" s="70"/>
      <c r="X252" s="70"/>
      <c r="Y252" s="70"/>
      <c r="Z252" s="70"/>
      <c r="AA252" s="70"/>
      <c r="AB252" s="70"/>
      <c r="AC252" s="70"/>
      <c r="AD252" s="70"/>
      <c r="AE252" s="70"/>
      <c r="AF252" s="70"/>
      <c r="AG252" s="70"/>
      <c r="AH252" s="70"/>
      <c r="AI252" s="70"/>
      <c r="AJ252" s="70"/>
      <c r="AK252" s="70"/>
      <c r="AL252" s="70"/>
      <c r="AM252" s="70"/>
      <c r="AN252" s="70"/>
      <c r="AO252" s="70"/>
      <c r="AP252" s="70"/>
      <c r="AQ252" s="70"/>
      <c r="AR252" s="70"/>
      <c r="AS252" s="70"/>
      <c r="AT252" s="70"/>
    </row>
    <row r="253" spans="1:46">
      <c r="A253" s="70"/>
      <c r="B253" s="70"/>
      <c r="C253" s="70"/>
      <c r="D253" s="70"/>
      <c r="E253" s="70"/>
      <c r="F253" s="70"/>
      <c r="G253" s="70"/>
      <c r="H253" s="54"/>
      <c r="I253" s="70"/>
      <c r="J253" s="70"/>
      <c r="K253" s="70"/>
      <c r="L253" s="70"/>
      <c r="M253" s="70"/>
      <c r="N253" s="70"/>
      <c r="O253" s="70"/>
      <c r="P253" s="70"/>
      <c r="Q253" s="70"/>
      <c r="R253" s="70"/>
      <c r="S253" s="70"/>
      <c r="T253" s="70"/>
      <c r="U253" s="70"/>
      <c r="V253" s="70"/>
      <c r="W253" s="70"/>
      <c r="X253" s="70"/>
      <c r="Y253" s="70"/>
      <c r="Z253" s="70"/>
      <c r="AA253" s="70"/>
      <c r="AB253" s="70"/>
      <c r="AC253" s="70"/>
      <c r="AD253" s="70"/>
      <c r="AE253" s="70"/>
      <c r="AF253" s="70"/>
      <c r="AG253" s="70"/>
      <c r="AH253" s="70"/>
      <c r="AI253" s="70"/>
      <c r="AJ253" s="70"/>
      <c r="AK253" s="70"/>
      <c r="AL253" s="70"/>
      <c r="AM253" s="70"/>
      <c r="AN253" s="70"/>
      <c r="AO253" s="70"/>
      <c r="AP253" s="70"/>
      <c r="AQ253" s="70"/>
      <c r="AR253" s="70"/>
      <c r="AS253" s="70"/>
      <c r="AT253" s="70"/>
    </row>
    <row r="254" spans="1:46">
      <c r="A254" s="70"/>
      <c r="B254" s="70"/>
      <c r="C254" s="70"/>
      <c r="D254" s="70"/>
      <c r="E254" s="70"/>
      <c r="F254" s="70"/>
      <c r="G254" s="70"/>
      <c r="H254" s="54"/>
      <c r="I254" s="70"/>
      <c r="J254" s="70"/>
      <c r="K254" s="70"/>
      <c r="L254" s="70"/>
      <c r="M254" s="70"/>
      <c r="N254" s="70"/>
      <c r="O254" s="70"/>
      <c r="P254" s="70"/>
      <c r="Q254" s="70"/>
      <c r="R254" s="70"/>
      <c r="S254" s="70"/>
      <c r="T254" s="70"/>
      <c r="U254" s="70"/>
      <c r="V254" s="70"/>
      <c r="W254" s="70"/>
      <c r="X254" s="70"/>
      <c r="Y254" s="70"/>
      <c r="Z254" s="70"/>
      <c r="AA254" s="70"/>
      <c r="AB254" s="70"/>
      <c r="AC254" s="70"/>
      <c r="AD254" s="70"/>
      <c r="AE254" s="70"/>
      <c r="AF254" s="70"/>
      <c r="AG254" s="70"/>
      <c r="AH254" s="70"/>
      <c r="AI254" s="70"/>
      <c r="AJ254" s="70"/>
      <c r="AK254" s="70"/>
      <c r="AL254" s="70"/>
      <c r="AM254" s="70"/>
      <c r="AN254" s="70"/>
      <c r="AO254" s="70"/>
      <c r="AP254" s="70"/>
      <c r="AQ254" s="70"/>
      <c r="AR254" s="70"/>
      <c r="AS254" s="70"/>
      <c r="AT254" s="70"/>
    </row>
    <row r="255" spans="1:46">
      <c r="A255" s="70"/>
      <c r="B255" s="70"/>
      <c r="C255" s="70"/>
      <c r="D255" s="70"/>
      <c r="E255" s="70"/>
      <c r="F255" s="70"/>
      <c r="G255" s="70"/>
      <c r="H255" s="54"/>
      <c r="I255" s="70"/>
      <c r="J255" s="70"/>
      <c r="K255" s="70"/>
      <c r="L255" s="70"/>
      <c r="M255" s="70"/>
      <c r="N255" s="70"/>
      <c r="O255" s="70"/>
      <c r="P255" s="70"/>
      <c r="Q255" s="70"/>
      <c r="R255" s="70"/>
      <c r="S255" s="70"/>
      <c r="T255" s="70"/>
      <c r="U255" s="70"/>
      <c r="V255" s="70"/>
      <c r="W255" s="70"/>
      <c r="X255" s="70"/>
      <c r="Y255" s="70"/>
      <c r="Z255" s="70"/>
      <c r="AA255" s="70"/>
      <c r="AB255" s="70"/>
      <c r="AC255" s="70"/>
      <c r="AD255" s="70"/>
      <c r="AE255" s="70"/>
      <c r="AF255" s="70"/>
      <c r="AG255" s="70"/>
      <c r="AH255" s="70"/>
      <c r="AI255" s="70"/>
      <c r="AJ255" s="70"/>
      <c r="AK255" s="70"/>
      <c r="AL255" s="70"/>
      <c r="AM255" s="70"/>
      <c r="AN255" s="70"/>
      <c r="AO255" s="70"/>
      <c r="AP255" s="70"/>
      <c r="AQ255" s="70"/>
      <c r="AR255" s="70"/>
      <c r="AS255" s="70"/>
      <c r="AT255" s="70"/>
    </row>
    <row r="256" spans="1:46">
      <c r="A256" s="70"/>
      <c r="B256" s="70"/>
      <c r="C256" s="70"/>
      <c r="D256" s="70"/>
      <c r="E256" s="70"/>
      <c r="F256" s="70"/>
      <c r="G256" s="70"/>
      <c r="H256" s="54"/>
      <c r="I256" s="70"/>
      <c r="J256" s="70"/>
      <c r="K256" s="70"/>
      <c r="L256" s="70"/>
      <c r="M256" s="70"/>
      <c r="N256" s="70"/>
      <c r="O256" s="70"/>
      <c r="P256" s="70"/>
      <c r="Q256" s="70"/>
      <c r="R256" s="70"/>
      <c r="S256" s="70"/>
      <c r="T256" s="70"/>
      <c r="U256" s="70"/>
      <c r="V256" s="70"/>
      <c r="W256" s="70"/>
      <c r="X256" s="70"/>
      <c r="Y256" s="70"/>
      <c r="Z256" s="70"/>
      <c r="AA256" s="70"/>
      <c r="AB256" s="70"/>
      <c r="AC256" s="70"/>
      <c r="AD256" s="70"/>
      <c r="AE256" s="70"/>
      <c r="AF256" s="70"/>
      <c r="AG256" s="70"/>
      <c r="AH256" s="70"/>
      <c r="AI256" s="70"/>
      <c r="AJ256" s="70"/>
      <c r="AK256" s="70"/>
      <c r="AL256" s="70"/>
      <c r="AM256" s="70"/>
      <c r="AN256" s="70"/>
      <c r="AO256" s="70"/>
      <c r="AP256" s="70"/>
      <c r="AQ256" s="70"/>
      <c r="AR256" s="70"/>
      <c r="AS256" s="70"/>
      <c r="AT256" s="70"/>
    </row>
    <row r="257" spans="1:46">
      <c r="A257" s="70"/>
      <c r="B257" s="70"/>
      <c r="C257" s="70"/>
      <c r="D257" s="70"/>
      <c r="E257" s="70"/>
      <c r="F257" s="70"/>
      <c r="G257" s="70"/>
      <c r="H257" s="54"/>
      <c r="I257" s="70"/>
      <c r="J257" s="70"/>
      <c r="K257" s="70"/>
      <c r="L257" s="70"/>
      <c r="M257" s="70"/>
      <c r="N257" s="70"/>
      <c r="O257" s="70"/>
      <c r="P257" s="70"/>
      <c r="Q257" s="70"/>
      <c r="R257" s="70"/>
      <c r="S257" s="70"/>
      <c r="T257" s="70"/>
      <c r="U257" s="70"/>
      <c r="V257" s="70"/>
      <c r="W257" s="70"/>
      <c r="X257" s="70"/>
      <c r="Y257" s="70"/>
      <c r="Z257" s="70"/>
      <c r="AA257" s="70"/>
      <c r="AB257" s="70"/>
      <c r="AC257" s="70"/>
      <c r="AD257" s="70"/>
      <c r="AE257" s="70"/>
      <c r="AF257" s="70"/>
      <c r="AG257" s="70"/>
      <c r="AH257" s="70"/>
      <c r="AI257" s="70"/>
      <c r="AJ257" s="70"/>
      <c r="AK257" s="70"/>
      <c r="AL257" s="70"/>
      <c r="AM257" s="70"/>
      <c r="AN257" s="70"/>
      <c r="AO257" s="70"/>
      <c r="AP257" s="70"/>
      <c r="AQ257" s="70"/>
      <c r="AR257" s="70"/>
      <c r="AS257" s="70"/>
      <c r="AT257" s="70"/>
    </row>
    <row r="258" spans="1:46">
      <c r="A258" s="70"/>
      <c r="B258" s="70"/>
      <c r="C258" s="70"/>
      <c r="D258" s="70"/>
      <c r="E258" s="70"/>
      <c r="F258" s="70"/>
      <c r="G258" s="70"/>
      <c r="H258" s="54"/>
      <c r="I258" s="70"/>
      <c r="J258" s="70"/>
      <c r="K258" s="70"/>
      <c r="L258" s="70"/>
      <c r="M258" s="70"/>
      <c r="N258" s="70"/>
      <c r="O258" s="70"/>
      <c r="P258" s="70"/>
      <c r="Q258" s="70"/>
      <c r="R258" s="70"/>
      <c r="S258" s="70"/>
      <c r="T258" s="70"/>
      <c r="U258" s="70"/>
      <c r="V258" s="70"/>
      <c r="W258" s="70"/>
      <c r="X258" s="70"/>
      <c r="Y258" s="70"/>
      <c r="Z258" s="70"/>
      <c r="AA258" s="70"/>
      <c r="AB258" s="70"/>
      <c r="AC258" s="70"/>
      <c r="AD258" s="70"/>
      <c r="AE258" s="70"/>
      <c r="AF258" s="70"/>
      <c r="AG258" s="70"/>
      <c r="AH258" s="70"/>
      <c r="AI258" s="70"/>
      <c r="AJ258" s="70"/>
      <c r="AK258" s="70"/>
      <c r="AL258" s="70"/>
      <c r="AM258" s="70"/>
      <c r="AN258" s="70"/>
      <c r="AO258" s="70"/>
      <c r="AP258" s="70"/>
      <c r="AQ258" s="70"/>
      <c r="AR258" s="70"/>
      <c r="AS258" s="70"/>
      <c r="AT258" s="70"/>
    </row>
    <row r="259" spans="1:46">
      <c r="A259" s="70"/>
      <c r="B259" s="70"/>
      <c r="C259" s="70"/>
      <c r="D259" s="70"/>
      <c r="E259" s="70"/>
      <c r="F259" s="70"/>
      <c r="G259" s="70"/>
      <c r="H259" s="54"/>
      <c r="I259" s="70"/>
      <c r="J259" s="70"/>
      <c r="K259" s="70"/>
      <c r="L259" s="70"/>
      <c r="M259" s="70"/>
      <c r="N259" s="70"/>
      <c r="O259" s="70"/>
      <c r="P259" s="70"/>
      <c r="Q259" s="70"/>
      <c r="R259" s="70"/>
      <c r="S259" s="70"/>
      <c r="T259" s="70"/>
      <c r="U259" s="70"/>
      <c r="V259" s="70"/>
      <c r="W259" s="70"/>
      <c r="X259" s="70"/>
      <c r="Y259" s="70"/>
      <c r="Z259" s="70"/>
      <c r="AA259" s="70"/>
      <c r="AB259" s="70"/>
      <c r="AC259" s="70"/>
      <c r="AD259" s="70"/>
      <c r="AE259" s="70"/>
      <c r="AF259" s="70"/>
      <c r="AG259" s="70"/>
      <c r="AH259" s="70"/>
      <c r="AI259" s="70"/>
      <c r="AJ259" s="70"/>
      <c r="AK259" s="70"/>
      <c r="AL259" s="70"/>
      <c r="AM259" s="70"/>
      <c r="AN259" s="70"/>
      <c r="AO259" s="70"/>
      <c r="AP259" s="70"/>
      <c r="AQ259" s="70"/>
      <c r="AR259" s="70"/>
      <c r="AS259" s="70"/>
      <c r="AT259" s="70"/>
    </row>
    <row r="260" spans="1:46">
      <c r="A260" s="70"/>
      <c r="B260" s="70"/>
      <c r="C260" s="70"/>
      <c r="D260" s="70"/>
      <c r="E260" s="70"/>
      <c r="F260" s="70"/>
      <c r="G260" s="70"/>
      <c r="H260" s="54"/>
      <c r="I260" s="70"/>
      <c r="J260" s="70"/>
      <c r="K260" s="70"/>
      <c r="L260" s="70"/>
      <c r="M260" s="70"/>
      <c r="N260" s="70"/>
      <c r="O260" s="70"/>
      <c r="P260" s="70"/>
      <c r="Q260" s="70"/>
      <c r="R260" s="70"/>
      <c r="S260" s="70"/>
      <c r="T260" s="70"/>
      <c r="U260" s="70"/>
      <c r="V260" s="70"/>
      <c r="W260" s="70"/>
      <c r="X260" s="70"/>
      <c r="Y260" s="70"/>
      <c r="Z260" s="70"/>
      <c r="AA260" s="70"/>
      <c r="AB260" s="70"/>
      <c r="AC260" s="70"/>
      <c r="AD260" s="70"/>
      <c r="AE260" s="70"/>
      <c r="AF260" s="70"/>
      <c r="AG260" s="70"/>
      <c r="AH260" s="70"/>
      <c r="AI260" s="70"/>
      <c r="AJ260" s="70"/>
      <c r="AK260" s="70"/>
      <c r="AL260" s="70"/>
      <c r="AM260" s="70"/>
      <c r="AN260" s="70"/>
      <c r="AO260" s="70"/>
      <c r="AP260" s="70"/>
      <c r="AQ260" s="70"/>
      <c r="AR260" s="70"/>
      <c r="AS260" s="70"/>
      <c r="AT260" s="70"/>
    </row>
    <row r="261" spans="1:46">
      <c r="A261" s="70"/>
      <c r="B261" s="70"/>
      <c r="C261" s="70"/>
      <c r="D261" s="70"/>
      <c r="E261" s="70"/>
      <c r="F261" s="70"/>
      <c r="G261" s="70"/>
      <c r="H261" s="54"/>
      <c r="I261" s="70"/>
      <c r="J261" s="70"/>
      <c r="K261" s="70"/>
      <c r="L261" s="70"/>
      <c r="M261" s="70"/>
      <c r="N261" s="70"/>
      <c r="O261" s="70"/>
      <c r="P261" s="70"/>
      <c r="Q261" s="70"/>
      <c r="R261" s="70"/>
      <c r="S261" s="70"/>
      <c r="T261" s="70"/>
      <c r="U261" s="70"/>
      <c r="V261" s="70"/>
      <c r="W261" s="70"/>
      <c r="X261" s="70"/>
      <c r="Y261" s="70"/>
      <c r="Z261" s="70"/>
      <c r="AA261" s="70"/>
      <c r="AB261" s="70"/>
      <c r="AC261" s="70"/>
      <c r="AD261" s="70"/>
      <c r="AE261" s="70"/>
      <c r="AF261" s="70"/>
      <c r="AG261" s="70"/>
      <c r="AH261" s="70"/>
      <c r="AI261" s="70"/>
      <c r="AJ261" s="70"/>
      <c r="AK261" s="70"/>
      <c r="AL261" s="70"/>
      <c r="AM261" s="70"/>
      <c r="AN261" s="70"/>
      <c r="AO261" s="70"/>
      <c r="AP261" s="70"/>
      <c r="AQ261" s="70"/>
      <c r="AR261" s="70"/>
      <c r="AS261" s="70"/>
      <c r="AT261" s="70"/>
    </row>
    <row r="262" spans="1:46">
      <c r="A262" s="70"/>
      <c r="B262" s="70"/>
      <c r="C262" s="70"/>
      <c r="D262" s="70"/>
      <c r="E262" s="70"/>
      <c r="F262" s="70"/>
      <c r="G262" s="70"/>
      <c r="H262" s="54"/>
      <c r="I262" s="70"/>
      <c r="J262" s="70"/>
      <c r="K262" s="70"/>
      <c r="L262" s="70"/>
      <c r="M262" s="70"/>
      <c r="N262" s="70"/>
      <c r="O262" s="70"/>
      <c r="P262" s="70"/>
      <c r="Q262" s="70"/>
      <c r="R262" s="70"/>
      <c r="S262" s="70"/>
      <c r="T262" s="70"/>
      <c r="U262" s="70"/>
      <c r="V262" s="70"/>
      <c r="W262" s="70"/>
      <c r="X262" s="70"/>
      <c r="Y262" s="70"/>
      <c r="Z262" s="70"/>
      <c r="AA262" s="70"/>
      <c r="AB262" s="70"/>
      <c r="AC262" s="70"/>
      <c r="AD262" s="70"/>
      <c r="AE262" s="70"/>
      <c r="AF262" s="70"/>
      <c r="AG262" s="70"/>
      <c r="AH262" s="70"/>
      <c r="AI262" s="70"/>
      <c r="AJ262" s="70"/>
      <c r="AK262" s="70"/>
      <c r="AL262" s="70"/>
      <c r="AM262" s="70"/>
      <c r="AN262" s="70"/>
      <c r="AO262" s="70"/>
      <c r="AP262" s="70"/>
      <c r="AQ262" s="70"/>
      <c r="AR262" s="70"/>
      <c r="AS262" s="70"/>
      <c r="AT262" s="70"/>
    </row>
    <row r="263" spans="1:46">
      <c r="A263" s="70"/>
      <c r="B263" s="70"/>
      <c r="C263" s="70"/>
      <c r="D263" s="70"/>
      <c r="E263" s="70"/>
      <c r="F263" s="70"/>
      <c r="G263" s="70"/>
      <c r="H263" s="54"/>
      <c r="I263" s="70"/>
      <c r="J263" s="70"/>
      <c r="K263" s="70"/>
      <c r="L263" s="70"/>
      <c r="M263" s="70"/>
      <c r="N263" s="70"/>
      <c r="O263" s="70"/>
      <c r="P263" s="70"/>
      <c r="Q263" s="70"/>
      <c r="R263" s="70"/>
      <c r="S263" s="70"/>
      <c r="T263" s="70"/>
      <c r="U263" s="70"/>
      <c r="V263" s="70"/>
      <c r="W263" s="70"/>
      <c r="X263" s="70"/>
      <c r="Y263" s="70"/>
      <c r="Z263" s="70"/>
      <c r="AA263" s="70"/>
      <c r="AB263" s="70"/>
      <c r="AC263" s="70"/>
      <c r="AD263" s="70"/>
      <c r="AE263" s="70"/>
      <c r="AF263" s="70"/>
      <c r="AG263" s="70"/>
      <c r="AH263" s="70"/>
      <c r="AI263" s="70"/>
      <c r="AJ263" s="70"/>
      <c r="AK263" s="70"/>
      <c r="AL263" s="70"/>
      <c r="AM263" s="70"/>
      <c r="AN263" s="70"/>
      <c r="AO263" s="70"/>
      <c r="AP263" s="70"/>
      <c r="AQ263" s="70"/>
      <c r="AR263" s="70"/>
      <c r="AS263" s="70"/>
      <c r="AT263" s="70"/>
    </row>
    <row r="264" spans="1:46">
      <c r="A264" s="70"/>
      <c r="B264" s="70"/>
      <c r="C264" s="70"/>
      <c r="D264" s="70"/>
      <c r="E264" s="70"/>
      <c r="F264" s="70"/>
      <c r="G264" s="70"/>
      <c r="H264" s="54"/>
      <c r="I264" s="70"/>
      <c r="J264" s="70"/>
      <c r="K264" s="70"/>
      <c r="L264" s="70"/>
      <c r="M264" s="70"/>
      <c r="N264" s="70"/>
      <c r="O264" s="70"/>
      <c r="P264" s="70"/>
      <c r="Q264" s="70"/>
      <c r="R264" s="70"/>
      <c r="S264" s="70"/>
      <c r="T264" s="70"/>
      <c r="U264" s="70"/>
      <c r="V264" s="70"/>
      <c r="W264" s="70"/>
      <c r="X264" s="70"/>
      <c r="Y264" s="70"/>
      <c r="Z264" s="70"/>
      <c r="AA264" s="70"/>
      <c r="AB264" s="70"/>
      <c r="AC264" s="70"/>
      <c r="AD264" s="70"/>
      <c r="AE264" s="70"/>
      <c r="AF264" s="70"/>
      <c r="AG264" s="70"/>
      <c r="AH264" s="70"/>
      <c r="AI264" s="70"/>
      <c r="AJ264" s="70"/>
      <c r="AK264" s="70"/>
      <c r="AL264" s="70"/>
      <c r="AM264" s="70"/>
      <c r="AN264" s="70"/>
      <c r="AO264" s="70"/>
      <c r="AP264" s="70"/>
      <c r="AQ264" s="70"/>
      <c r="AR264" s="70"/>
      <c r="AS264" s="70"/>
      <c r="AT264" s="70"/>
    </row>
    <row r="265" spans="1:46">
      <c r="A265" s="70"/>
      <c r="B265" s="70"/>
      <c r="C265" s="70"/>
      <c r="D265" s="70"/>
      <c r="E265" s="70"/>
      <c r="F265" s="70"/>
      <c r="G265" s="70"/>
      <c r="H265" s="54"/>
      <c r="I265" s="70"/>
      <c r="J265" s="70"/>
      <c r="K265" s="70"/>
      <c r="L265" s="70"/>
      <c r="M265" s="70"/>
      <c r="N265" s="70"/>
      <c r="O265" s="70"/>
      <c r="P265" s="70"/>
      <c r="Q265" s="70"/>
      <c r="R265" s="70"/>
      <c r="S265" s="70"/>
      <c r="T265" s="70"/>
      <c r="U265" s="70"/>
      <c r="V265" s="70"/>
      <c r="W265" s="70"/>
      <c r="X265" s="70"/>
      <c r="Y265" s="70"/>
      <c r="Z265" s="70"/>
      <c r="AA265" s="70"/>
      <c r="AB265" s="70"/>
      <c r="AC265" s="70"/>
      <c r="AD265" s="70"/>
      <c r="AE265" s="70"/>
      <c r="AF265" s="70"/>
      <c r="AG265" s="70"/>
      <c r="AH265" s="70"/>
      <c r="AI265" s="70"/>
      <c r="AJ265" s="70"/>
      <c r="AK265" s="70"/>
      <c r="AL265" s="70"/>
      <c r="AM265" s="70"/>
      <c r="AN265" s="70"/>
      <c r="AO265" s="70"/>
      <c r="AP265" s="70"/>
      <c r="AQ265" s="70"/>
      <c r="AR265" s="70"/>
      <c r="AS265" s="70"/>
      <c r="AT265" s="70"/>
    </row>
    <row r="266" spans="1:46">
      <c r="A266" s="70"/>
      <c r="B266" s="70"/>
      <c r="C266" s="70"/>
      <c r="D266" s="70"/>
      <c r="E266" s="70"/>
      <c r="F266" s="70"/>
      <c r="G266" s="70"/>
      <c r="H266" s="54"/>
      <c r="I266" s="70"/>
      <c r="J266" s="70"/>
      <c r="K266" s="70"/>
      <c r="L266" s="70"/>
      <c r="M266" s="70"/>
      <c r="N266" s="70"/>
      <c r="O266" s="70"/>
      <c r="P266" s="70"/>
      <c r="Q266" s="70"/>
      <c r="R266" s="70"/>
      <c r="S266" s="70"/>
      <c r="T266" s="70"/>
      <c r="U266" s="70"/>
      <c r="V266" s="70"/>
      <c r="W266" s="70"/>
      <c r="X266" s="70"/>
      <c r="Y266" s="70"/>
      <c r="Z266" s="70"/>
      <c r="AA266" s="70"/>
      <c r="AB266" s="70"/>
      <c r="AC266" s="70"/>
      <c r="AD266" s="70"/>
      <c r="AE266" s="70"/>
      <c r="AF266" s="70"/>
      <c r="AG266" s="70"/>
      <c r="AH266" s="70"/>
      <c r="AI266" s="70"/>
      <c r="AJ266" s="70"/>
      <c r="AK266" s="70"/>
      <c r="AL266" s="70"/>
      <c r="AM266" s="70"/>
      <c r="AN266" s="70"/>
      <c r="AO266" s="70"/>
      <c r="AP266" s="70"/>
      <c r="AQ266" s="70"/>
      <c r="AR266" s="70"/>
      <c r="AS266" s="70"/>
      <c r="AT266" s="70"/>
    </row>
    <row r="267" spans="1:46">
      <c r="A267" s="70"/>
      <c r="B267" s="70"/>
      <c r="C267" s="70"/>
      <c r="D267" s="70"/>
      <c r="E267" s="70"/>
      <c r="F267" s="70"/>
      <c r="G267" s="70"/>
      <c r="H267" s="54"/>
      <c r="I267" s="70"/>
      <c r="J267" s="70"/>
      <c r="K267" s="70"/>
      <c r="L267" s="70"/>
      <c r="M267" s="70"/>
      <c r="N267" s="70"/>
      <c r="O267" s="70"/>
      <c r="P267" s="70"/>
      <c r="Q267" s="70"/>
      <c r="R267" s="70"/>
      <c r="S267" s="70"/>
      <c r="T267" s="70"/>
      <c r="U267" s="70"/>
      <c r="V267" s="70"/>
      <c r="W267" s="70"/>
      <c r="X267" s="70"/>
      <c r="Y267" s="70"/>
      <c r="Z267" s="70"/>
      <c r="AA267" s="70"/>
      <c r="AB267" s="70"/>
      <c r="AC267" s="70"/>
      <c r="AD267" s="70"/>
      <c r="AE267" s="70"/>
      <c r="AF267" s="70"/>
      <c r="AG267" s="70"/>
      <c r="AH267" s="70"/>
      <c r="AI267" s="70"/>
      <c r="AJ267" s="70"/>
      <c r="AK267" s="70"/>
      <c r="AL267" s="70"/>
      <c r="AM267" s="70"/>
      <c r="AN267" s="70"/>
      <c r="AO267" s="70"/>
      <c r="AP267" s="70"/>
      <c r="AQ267" s="70"/>
      <c r="AR267" s="70"/>
      <c r="AS267" s="70"/>
      <c r="AT267" s="70"/>
    </row>
    <row r="268" spans="1:46">
      <c r="A268" s="70"/>
      <c r="B268" s="70"/>
      <c r="C268" s="70"/>
      <c r="D268" s="70"/>
      <c r="E268" s="70"/>
      <c r="F268" s="70"/>
      <c r="G268" s="70"/>
      <c r="H268" s="54"/>
      <c r="I268" s="70"/>
      <c r="J268" s="70"/>
      <c r="K268" s="70"/>
      <c r="L268" s="70"/>
      <c r="M268" s="70"/>
      <c r="N268" s="70"/>
      <c r="O268" s="70"/>
      <c r="P268" s="70"/>
      <c r="Q268" s="70"/>
      <c r="R268" s="70"/>
      <c r="S268" s="70"/>
      <c r="T268" s="70"/>
      <c r="U268" s="70"/>
      <c r="V268" s="70"/>
      <c r="W268" s="70"/>
      <c r="X268" s="70"/>
      <c r="Y268" s="70"/>
      <c r="Z268" s="70"/>
      <c r="AA268" s="70"/>
      <c r="AB268" s="70"/>
      <c r="AC268" s="70"/>
      <c r="AD268" s="70"/>
      <c r="AE268" s="70"/>
      <c r="AF268" s="70"/>
      <c r="AG268" s="70"/>
      <c r="AH268" s="70"/>
      <c r="AI268" s="70"/>
      <c r="AJ268" s="70"/>
      <c r="AK268" s="70"/>
      <c r="AL268" s="70"/>
      <c r="AM268" s="70"/>
      <c r="AN268" s="70"/>
      <c r="AO268" s="70"/>
      <c r="AP268" s="70"/>
      <c r="AQ268" s="70"/>
      <c r="AR268" s="70"/>
      <c r="AS268" s="70"/>
      <c r="AT268" s="70"/>
    </row>
    <row r="269" spans="1:46">
      <c r="A269" s="70"/>
      <c r="B269" s="70"/>
      <c r="C269" s="70"/>
      <c r="D269" s="70"/>
      <c r="E269" s="70"/>
      <c r="F269" s="70"/>
      <c r="G269" s="70"/>
      <c r="H269" s="54"/>
      <c r="I269" s="70"/>
      <c r="J269" s="70"/>
      <c r="K269" s="70"/>
      <c r="L269" s="70"/>
      <c r="M269" s="70"/>
      <c r="N269" s="70"/>
      <c r="O269" s="70"/>
      <c r="P269" s="70"/>
      <c r="Q269" s="70"/>
      <c r="R269" s="70"/>
      <c r="S269" s="70"/>
      <c r="T269" s="70"/>
      <c r="U269" s="70"/>
      <c r="V269" s="70"/>
      <c r="W269" s="70"/>
      <c r="X269" s="70"/>
      <c r="Y269" s="70"/>
      <c r="Z269" s="70"/>
      <c r="AA269" s="70"/>
      <c r="AB269" s="70"/>
      <c r="AC269" s="70"/>
      <c r="AD269" s="70"/>
      <c r="AE269" s="70"/>
      <c r="AF269" s="70"/>
      <c r="AG269" s="70"/>
      <c r="AH269" s="70"/>
      <c r="AI269" s="70"/>
      <c r="AJ269" s="70"/>
      <c r="AK269" s="70"/>
      <c r="AL269" s="70"/>
      <c r="AM269" s="70"/>
      <c r="AN269" s="70"/>
      <c r="AO269" s="70"/>
      <c r="AP269" s="70"/>
      <c r="AQ269" s="70"/>
      <c r="AR269" s="70"/>
      <c r="AS269" s="70"/>
      <c r="AT269" s="70"/>
    </row>
    <row r="270" spans="1:46">
      <c r="A270" s="70"/>
      <c r="B270" s="70"/>
      <c r="C270" s="70"/>
      <c r="D270" s="70"/>
      <c r="E270" s="70"/>
      <c r="F270" s="70"/>
      <c r="G270" s="70"/>
      <c r="H270" s="54"/>
      <c r="I270" s="70"/>
      <c r="J270" s="70"/>
      <c r="K270" s="70"/>
      <c r="L270" s="70"/>
      <c r="M270" s="70"/>
      <c r="N270" s="70"/>
      <c r="O270" s="70"/>
      <c r="P270" s="70"/>
      <c r="Q270" s="70"/>
      <c r="R270" s="70"/>
      <c r="S270" s="70"/>
      <c r="T270" s="70"/>
      <c r="U270" s="70"/>
      <c r="V270" s="70"/>
      <c r="W270" s="70"/>
      <c r="X270" s="70"/>
      <c r="Y270" s="70"/>
      <c r="Z270" s="70"/>
      <c r="AA270" s="70"/>
      <c r="AB270" s="70"/>
      <c r="AC270" s="70"/>
      <c r="AD270" s="70"/>
      <c r="AE270" s="70"/>
      <c r="AF270" s="70"/>
      <c r="AG270" s="70"/>
      <c r="AH270" s="70"/>
      <c r="AI270" s="70"/>
      <c r="AJ270" s="70"/>
      <c r="AK270" s="70"/>
      <c r="AL270" s="70"/>
      <c r="AM270" s="70"/>
      <c r="AN270" s="70"/>
      <c r="AO270" s="70"/>
      <c r="AP270" s="70"/>
      <c r="AQ270" s="70"/>
      <c r="AR270" s="70"/>
      <c r="AS270" s="70"/>
      <c r="AT270" s="70"/>
    </row>
    <row r="271" spans="1:46">
      <c r="A271" s="70"/>
      <c r="B271" s="70"/>
      <c r="C271" s="70"/>
      <c r="D271" s="70"/>
      <c r="E271" s="70"/>
      <c r="F271" s="70"/>
      <c r="G271" s="70"/>
      <c r="H271" s="54"/>
      <c r="I271" s="70"/>
      <c r="J271" s="70"/>
      <c r="K271" s="70"/>
      <c r="L271" s="70"/>
      <c r="M271" s="70"/>
      <c r="N271" s="70"/>
      <c r="O271" s="70"/>
      <c r="P271" s="70"/>
      <c r="Q271" s="70"/>
      <c r="R271" s="70"/>
      <c r="S271" s="70"/>
      <c r="T271" s="70"/>
      <c r="U271" s="70"/>
      <c r="V271" s="70"/>
      <c r="W271" s="70"/>
      <c r="X271" s="70"/>
      <c r="Y271" s="70"/>
      <c r="Z271" s="70"/>
      <c r="AA271" s="70"/>
      <c r="AB271" s="70"/>
      <c r="AC271" s="70"/>
      <c r="AD271" s="70"/>
      <c r="AE271" s="70"/>
      <c r="AF271" s="70"/>
      <c r="AG271" s="70"/>
      <c r="AH271" s="70"/>
      <c r="AI271" s="70"/>
      <c r="AJ271" s="70"/>
      <c r="AK271" s="70"/>
      <c r="AL271" s="70"/>
      <c r="AM271" s="70"/>
      <c r="AN271" s="70"/>
      <c r="AO271" s="70"/>
      <c r="AP271" s="70"/>
      <c r="AQ271" s="70"/>
      <c r="AR271" s="70"/>
      <c r="AS271" s="70"/>
      <c r="AT271" s="70"/>
    </row>
    <row r="272" spans="1:46">
      <c r="A272" s="70"/>
      <c r="B272" s="70"/>
      <c r="C272" s="70"/>
      <c r="D272" s="70"/>
      <c r="E272" s="70"/>
      <c r="F272" s="70"/>
      <c r="G272" s="70"/>
      <c r="H272" s="54"/>
      <c r="I272" s="70"/>
      <c r="J272" s="70"/>
      <c r="K272" s="70"/>
      <c r="L272" s="70"/>
      <c r="M272" s="70"/>
      <c r="N272" s="70"/>
      <c r="O272" s="70"/>
      <c r="P272" s="70"/>
      <c r="Q272" s="70"/>
      <c r="R272" s="70"/>
      <c r="S272" s="70"/>
      <c r="T272" s="70"/>
      <c r="U272" s="70"/>
      <c r="V272" s="70"/>
      <c r="W272" s="70"/>
      <c r="X272" s="70"/>
      <c r="Y272" s="70"/>
      <c r="Z272" s="70"/>
      <c r="AA272" s="70"/>
      <c r="AB272" s="70"/>
      <c r="AC272" s="70"/>
      <c r="AD272" s="70"/>
      <c r="AE272" s="70"/>
      <c r="AF272" s="70"/>
      <c r="AG272" s="70"/>
      <c r="AH272" s="70"/>
      <c r="AI272" s="70"/>
      <c r="AJ272" s="70"/>
      <c r="AK272" s="70"/>
      <c r="AL272" s="70"/>
      <c r="AM272" s="70"/>
      <c r="AN272" s="70"/>
      <c r="AO272" s="70"/>
      <c r="AP272" s="70"/>
      <c r="AQ272" s="70"/>
      <c r="AR272" s="70"/>
      <c r="AS272" s="70"/>
      <c r="AT272" s="70"/>
    </row>
    <row r="273" spans="1:46">
      <c r="A273" s="70"/>
      <c r="B273" s="70"/>
      <c r="C273" s="70"/>
      <c r="D273" s="70"/>
      <c r="E273" s="70"/>
      <c r="F273" s="70"/>
      <c r="G273" s="70"/>
      <c r="H273" s="54"/>
      <c r="I273" s="70"/>
      <c r="J273" s="70"/>
      <c r="K273" s="70"/>
      <c r="L273" s="70"/>
      <c r="M273" s="70"/>
      <c r="N273" s="70"/>
      <c r="O273" s="70"/>
      <c r="P273" s="70"/>
      <c r="Q273" s="70"/>
      <c r="R273" s="70"/>
      <c r="S273" s="70"/>
      <c r="T273" s="70"/>
      <c r="U273" s="70"/>
      <c r="V273" s="70"/>
      <c r="W273" s="70"/>
      <c r="X273" s="70"/>
      <c r="Y273" s="70"/>
      <c r="Z273" s="70"/>
      <c r="AA273" s="70"/>
      <c r="AB273" s="70"/>
      <c r="AC273" s="70"/>
      <c r="AD273" s="70"/>
      <c r="AE273" s="70"/>
      <c r="AF273" s="70"/>
      <c r="AG273" s="70"/>
      <c r="AH273" s="70"/>
      <c r="AI273" s="70"/>
      <c r="AJ273" s="70"/>
      <c r="AK273" s="70"/>
      <c r="AL273" s="70"/>
      <c r="AM273" s="70"/>
      <c r="AN273" s="70"/>
      <c r="AO273" s="70"/>
      <c r="AP273" s="70"/>
      <c r="AQ273" s="70"/>
      <c r="AR273" s="70"/>
      <c r="AS273" s="70"/>
      <c r="AT273" s="70"/>
    </row>
    <row r="274" spans="1:46">
      <c r="A274" s="70"/>
      <c r="B274" s="70"/>
      <c r="C274" s="70"/>
      <c r="D274" s="70"/>
      <c r="E274" s="70"/>
      <c r="F274" s="70"/>
      <c r="G274" s="70"/>
      <c r="H274" s="54"/>
      <c r="I274" s="70"/>
      <c r="J274" s="70"/>
      <c r="K274" s="70"/>
      <c r="L274" s="70"/>
      <c r="M274" s="70"/>
      <c r="N274" s="70"/>
      <c r="O274" s="70"/>
      <c r="P274" s="70"/>
      <c r="Q274" s="70"/>
      <c r="R274" s="70"/>
      <c r="S274" s="70"/>
      <c r="T274" s="70"/>
      <c r="U274" s="70"/>
      <c r="V274" s="70"/>
      <c r="W274" s="70"/>
      <c r="X274" s="70"/>
      <c r="Y274" s="70"/>
      <c r="Z274" s="70"/>
      <c r="AA274" s="70"/>
      <c r="AB274" s="70"/>
      <c r="AC274" s="70"/>
      <c r="AD274" s="70"/>
      <c r="AE274" s="70"/>
      <c r="AF274" s="70"/>
      <c r="AG274" s="70"/>
      <c r="AH274" s="70"/>
      <c r="AI274" s="70"/>
      <c r="AJ274" s="70"/>
      <c r="AK274" s="70"/>
      <c r="AL274" s="70"/>
      <c r="AM274" s="70"/>
      <c r="AN274" s="70"/>
      <c r="AO274" s="70"/>
      <c r="AP274" s="70"/>
      <c r="AQ274" s="70"/>
      <c r="AR274" s="70"/>
      <c r="AS274" s="70"/>
      <c r="AT274" s="70"/>
    </row>
    <row r="275" spans="1:46">
      <c r="A275" s="70"/>
      <c r="B275" s="70"/>
      <c r="C275" s="70"/>
      <c r="D275" s="70"/>
      <c r="E275" s="70"/>
      <c r="F275" s="70"/>
      <c r="G275" s="70"/>
      <c r="H275" s="54"/>
      <c r="I275" s="70"/>
      <c r="J275" s="70"/>
      <c r="K275" s="70"/>
      <c r="L275" s="70"/>
      <c r="M275" s="70"/>
      <c r="N275" s="70"/>
      <c r="O275" s="70"/>
      <c r="P275" s="70"/>
      <c r="Q275" s="70"/>
      <c r="R275" s="70"/>
      <c r="S275" s="70"/>
      <c r="T275" s="70"/>
      <c r="U275" s="70"/>
      <c r="V275" s="70"/>
      <c r="W275" s="70"/>
      <c r="X275" s="70"/>
      <c r="Y275" s="70"/>
      <c r="Z275" s="70"/>
      <c r="AA275" s="70"/>
      <c r="AB275" s="70"/>
      <c r="AC275" s="70"/>
      <c r="AD275" s="70"/>
      <c r="AE275" s="70"/>
      <c r="AF275" s="70"/>
      <c r="AG275" s="70"/>
      <c r="AH275" s="70"/>
      <c r="AI275" s="70"/>
      <c r="AJ275" s="70"/>
      <c r="AK275" s="70"/>
      <c r="AL275" s="70"/>
      <c r="AM275" s="70"/>
      <c r="AN275" s="70"/>
      <c r="AO275" s="70"/>
      <c r="AP275" s="70"/>
      <c r="AQ275" s="70"/>
      <c r="AR275" s="70"/>
      <c r="AS275" s="70"/>
      <c r="AT275" s="70"/>
    </row>
    <row r="276" spans="1:46">
      <c r="A276" s="70"/>
      <c r="B276" s="70"/>
      <c r="C276" s="70"/>
      <c r="D276" s="70"/>
      <c r="E276" s="70"/>
      <c r="F276" s="70"/>
      <c r="G276" s="70"/>
      <c r="H276" s="54"/>
      <c r="I276" s="70"/>
      <c r="J276" s="70"/>
      <c r="K276" s="70"/>
      <c r="L276" s="70"/>
      <c r="M276" s="70"/>
      <c r="N276" s="70"/>
      <c r="O276" s="70"/>
      <c r="P276" s="70"/>
      <c r="Q276" s="70"/>
      <c r="R276" s="70"/>
      <c r="S276" s="70"/>
      <c r="T276" s="70"/>
      <c r="U276" s="70"/>
      <c r="V276" s="70"/>
      <c r="W276" s="70"/>
      <c r="X276" s="70"/>
      <c r="Y276" s="70"/>
      <c r="Z276" s="70"/>
      <c r="AA276" s="70"/>
      <c r="AB276" s="70"/>
      <c r="AC276" s="70"/>
      <c r="AD276" s="70"/>
      <c r="AE276" s="70"/>
      <c r="AF276" s="70"/>
      <c r="AG276" s="70"/>
      <c r="AH276" s="70"/>
      <c r="AI276" s="70"/>
      <c r="AJ276" s="70"/>
      <c r="AK276" s="70"/>
      <c r="AL276" s="70"/>
      <c r="AM276" s="70"/>
      <c r="AN276" s="70"/>
      <c r="AO276" s="70"/>
      <c r="AP276" s="70"/>
      <c r="AQ276" s="70"/>
      <c r="AR276" s="70"/>
      <c r="AS276" s="70"/>
      <c r="AT276" s="70"/>
    </row>
    <row r="277" spans="1:46">
      <c r="A277" s="70"/>
      <c r="B277" s="70"/>
      <c r="C277" s="70"/>
      <c r="D277" s="70"/>
      <c r="E277" s="70"/>
      <c r="F277" s="70"/>
      <c r="G277" s="70"/>
      <c r="H277" s="54"/>
      <c r="I277" s="70"/>
      <c r="J277" s="70"/>
      <c r="K277" s="70"/>
      <c r="L277" s="70"/>
      <c r="M277" s="70"/>
      <c r="N277" s="70"/>
      <c r="O277" s="70"/>
      <c r="P277" s="70"/>
      <c r="Q277" s="70"/>
      <c r="R277" s="70"/>
      <c r="S277" s="70"/>
      <c r="T277" s="70"/>
      <c r="U277" s="70"/>
      <c r="V277" s="70"/>
      <c r="W277" s="70"/>
      <c r="X277" s="70"/>
      <c r="Y277" s="70"/>
      <c r="Z277" s="70"/>
      <c r="AA277" s="70"/>
      <c r="AB277" s="70"/>
      <c r="AC277" s="70"/>
      <c r="AD277" s="70"/>
      <c r="AE277" s="70"/>
      <c r="AF277" s="70"/>
      <c r="AG277" s="70"/>
      <c r="AH277" s="70"/>
      <c r="AI277" s="70"/>
      <c r="AJ277" s="70"/>
      <c r="AK277" s="70"/>
      <c r="AL277" s="70"/>
      <c r="AM277" s="70"/>
      <c r="AN277" s="70"/>
      <c r="AO277" s="70"/>
      <c r="AP277" s="70"/>
      <c r="AQ277" s="70"/>
      <c r="AR277" s="70"/>
      <c r="AS277" s="70"/>
      <c r="AT277" s="70"/>
    </row>
    <row r="278" spans="1:46">
      <c r="A278" s="70"/>
      <c r="B278" s="70"/>
      <c r="C278" s="70"/>
      <c r="D278" s="70"/>
      <c r="E278" s="70"/>
      <c r="F278" s="70"/>
      <c r="G278" s="70"/>
      <c r="H278" s="54"/>
      <c r="I278" s="70"/>
      <c r="J278" s="70"/>
      <c r="K278" s="70"/>
      <c r="L278" s="70"/>
      <c r="M278" s="70"/>
      <c r="N278" s="70"/>
      <c r="O278" s="70"/>
      <c r="P278" s="70"/>
      <c r="Q278" s="70"/>
      <c r="R278" s="70"/>
      <c r="S278" s="70"/>
      <c r="T278" s="70"/>
      <c r="U278" s="70"/>
      <c r="V278" s="70"/>
      <c r="W278" s="70"/>
      <c r="X278" s="70"/>
      <c r="Y278" s="70"/>
      <c r="Z278" s="70"/>
      <c r="AA278" s="70"/>
      <c r="AB278" s="70"/>
      <c r="AC278" s="70"/>
      <c r="AD278" s="70"/>
      <c r="AE278" s="70"/>
      <c r="AF278" s="70"/>
      <c r="AG278" s="70"/>
      <c r="AH278" s="70"/>
      <c r="AI278" s="70"/>
      <c r="AJ278" s="70"/>
      <c r="AK278" s="70"/>
      <c r="AL278" s="70"/>
      <c r="AM278" s="70"/>
      <c r="AN278" s="70"/>
      <c r="AO278" s="70"/>
      <c r="AP278" s="70"/>
      <c r="AQ278" s="70"/>
      <c r="AR278" s="70"/>
      <c r="AS278" s="70"/>
      <c r="AT278" s="70"/>
    </row>
    <row r="279" spans="1:46">
      <c r="A279" s="70"/>
      <c r="B279" s="70"/>
      <c r="C279" s="70"/>
      <c r="D279" s="70"/>
      <c r="E279" s="70"/>
      <c r="F279" s="70"/>
      <c r="G279" s="70"/>
      <c r="H279" s="54"/>
      <c r="I279" s="70"/>
      <c r="J279" s="70"/>
      <c r="K279" s="70"/>
      <c r="L279" s="70"/>
      <c r="M279" s="70"/>
      <c r="N279" s="70"/>
      <c r="O279" s="70"/>
      <c r="P279" s="70"/>
      <c r="Q279" s="70"/>
      <c r="R279" s="70"/>
      <c r="S279" s="70"/>
      <c r="T279" s="70"/>
      <c r="U279" s="70"/>
      <c r="V279" s="70"/>
      <c r="W279" s="70"/>
      <c r="X279" s="70"/>
      <c r="Y279" s="70"/>
      <c r="Z279" s="70"/>
      <c r="AA279" s="70"/>
      <c r="AB279" s="70"/>
      <c r="AC279" s="70"/>
      <c r="AD279" s="70"/>
      <c r="AE279" s="70"/>
      <c r="AF279" s="70"/>
      <c r="AG279" s="70"/>
      <c r="AH279" s="70"/>
      <c r="AI279" s="70"/>
      <c r="AJ279" s="70"/>
      <c r="AK279" s="70"/>
      <c r="AL279" s="70"/>
      <c r="AM279" s="70"/>
      <c r="AN279" s="70"/>
      <c r="AO279" s="70"/>
      <c r="AP279" s="70"/>
      <c r="AQ279" s="70"/>
      <c r="AR279" s="70"/>
      <c r="AS279" s="70"/>
      <c r="AT279" s="70"/>
    </row>
    <row r="280" spans="1:46">
      <c r="A280" s="70"/>
      <c r="B280" s="70"/>
      <c r="C280" s="70"/>
      <c r="D280" s="70"/>
      <c r="E280" s="70"/>
      <c r="F280" s="70"/>
      <c r="G280" s="70"/>
      <c r="H280" s="54"/>
      <c r="I280" s="70"/>
      <c r="J280" s="70"/>
      <c r="K280" s="70"/>
      <c r="L280" s="70"/>
      <c r="M280" s="70"/>
      <c r="N280" s="70"/>
      <c r="O280" s="70"/>
      <c r="P280" s="70"/>
      <c r="Q280" s="70"/>
      <c r="R280" s="70"/>
      <c r="S280" s="70"/>
      <c r="T280" s="70"/>
      <c r="U280" s="70"/>
      <c r="V280" s="70"/>
      <c r="W280" s="70"/>
      <c r="X280" s="70"/>
      <c r="Y280" s="70"/>
      <c r="Z280" s="70"/>
      <c r="AA280" s="70"/>
      <c r="AB280" s="70"/>
      <c r="AC280" s="70"/>
      <c r="AD280" s="70"/>
      <c r="AE280" s="70"/>
      <c r="AF280" s="70"/>
      <c r="AG280" s="70"/>
      <c r="AH280" s="70"/>
      <c r="AI280" s="70"/>
      <c r="AJ280" s="70"/>
      <c r="AK280" s="70"/>
      <c r="AL280" s="70"/>
      <c r="AM280" s="70"/>
      <c r="AN280" s="70"/>
      <c r="AO280" s="70"/>
      <c r="AP280" s="70"/>
      <c r="AQ280" s="70"/>
      <c r="AR280" s="70"/>
      <c r="AS280" s="70"/>
      <c r="AT280" s="70"/>
    </row>
    <row r="281" spans="1:46">
      <c r="A281" s="70"/>
      <c r="B281" s="70"/>
      <c r="C281" s="70"/>
      <c r="D281" s="70"/>
      <c r="E281" s="70"/>
      <c r="F281" s="70"/>
      <c r="G281" s="70"/>
      <c r="H281" s="54"/>
      <c r="I281" s="70"/>
      <c r="J281" s="70"/>
      <c r="K281" s="70"/>
      <c r="L281" s="70"/>
      <c r="M281" s="70"/>
      <c r="N281" s="70"/>
      <c r="O281" s="70"/>
      <c r="P281" s="70"/>
      <c r="Q281" s="70"/>
      <c r="R281" s="70"/>
      <c r="S281" s="70"/>
      <c r="T281" s="70"/>
      <c r="U281" s="70"/>
      <c r="V281" s="70"/>
      <c r="W281" s="70"/>
      <c r="X281" s="70"/>
      <c r="Y281" s="70"/>
      <c r="Z281" s="70"/>
      <c r="AA281" s="70"/>
      <c r="AB281" s="70"/>
      <c r="AC281" s="70"/>
      <c r="AD281" s="70"/>
      <c r="AE281" s="70"/>
      <c r="AF281" s="70"/>
      <c r="AG281" s="70"/>
      <c r="AH281" s="70"/>
      <c r="AI281" s="70"/>
      <c r="AJ281" s="70"/>
      <c r="AK281" s="70"/>
      <c r="AL281" s="70"/>
      <c r="AM281" s="70"/>
      <c r="AN281" s="70"/>
      <c r="AO281" s="70"/>
      <c r="AP281" s="70"/>
      <c r="AQ281" s="70"/>
      <c r="AR281" s="70"/>
      <c r="AS281" s="70"/>
      <c r="AT281" s="70"/>
    </row>
    <row r="282" spans="1:46">
      <c r="A282" s="70"/>
      <c r="B282" s="70"/>
      <c r="C282" s="70"/>
      <c r="D282" s="70"/>
      <c r="E282" s="70"/>
      <c r="F282" s="70"/>
      <c r="G282" s="70"/>
      <c r="H282" s="54"/>
      <c r="I282" s="70"/>
      <c r="J282" s="70"/>
      <c r="K282" s="70"/>
      <c r="L282" s="70"/>
      <c r="M282" s="70"/>
      <c r="N282" s="70"/>
      <c r="O282" s="70"/>
      <c r="P282" s="70"/>
      <c r="Q282" s="70"/>
      <c r="R282" s="70"/>
      <c r="S282" s="70"/>
      <c r="T282" s="70"/>
      <c r="U282" s="70"/>
      <c r="V282" s="70"/>
      <c r="W282" s="70"/>
      <c r="X282" s="70"/>
      <c r="Y282" s="70"/>
      <c r="Z282" s="70"/>
      <c r="AA282" s="70"/>
      <c r="AB282" s="70"/>
      <c r="AC282" s="70"/>
      <c r="AD282" s="70"/>
      <c r="AE282" s="70"/>
      <c r="AF282" s="70"/>
      <c r="AG282" s="70"/>
      <c r="AH282" s="70"/>
      <c r="AI282" s="70"/>
      <c r="AJ282" s="70"/>
      <c r="AK282" s="70"/>
      <c r="AL282" s="70"/>
      <c r="AM282" s="70"/>
      <c r="AN282" s="70"/>
      <c r="AO282" s="70"/>
      <c r="AP282" s="70"/>
      <c r="AQ282" s="70"/>
      <c r="AR282" s="70"/>
      <c r="AS282" s="70"/>
      <c r="AT282" s="70"/>
    </row>
    <row r="283" spans="1:46">
      <c r="A283" s="70"/>
      <c r="B283" s="70"/>
      <c r="C283" s="70"/>
      <c r="D283" s="70"/>
      <c r="E283" s="70"/>
      <c r="F283" s="70"/>
      <c r="G283" s="70"/>
      <c r="H283" s="54"/>
      <c r="I283" s="70"/>
      <c r="J283" s="70"/>
      <c r="K283" s="70"/>
      <c r="L283" s="70"/>
      <c r="M283" s="70"/>
      <c r="N283" s="70"/>
      <c r="O283" s="70"/>
      <c r="P283" s="70"/>
      <c r="Q283" s="70"/>
      <c r="R283" s="70"/>
      <c r="S283" s="70"/>
      <c r="T283" s="70"/>
      <c r="U283" s="70"/>
      <c r="V283" s="70"/>
      <c r="W283" s="70"/>
      <c r="X283" s="70"/>
      <c r="Y283" s="70"/>
      <c r="Z283" s="70"/>
      <c r="AA283" s="70"/>
      <c r="AB283" s="70"/>
      <c r="AC283" s="70"/>
      <c r="AD283" s="70"/>
      <c r="AE283" s="70"/>
      <c r="AF283" s="70"/>
      <c r="AG283" s="70"/>
      <c r="AH283" s="70"/>
      <c r="AI283" s="70"/>
      <c r="AJ283" s="70"/>
      <c r="AK283" s="70"/>
      <c r="AL283" s="70"/>
      <c r="AM283" s="70"/>
      <c r="AN283" s="70"/>
      <c r="AO283" s="70"/>
      <c r="AP283" s="70"/>
      <c r="AQ283" s="70"/>
      <c r="AR283" s="70"/>
      <c r="AS283" s="70"/>
      <c r="AT283" s="70"/>
    </row>
    <row r="284" spans="1:46">
      <c r="A284" s="70"/>
      <c r="B284" s="70"/>
      <c r="C284" s="70"/>
      <c r="D284" s="70"/>
      <c r="E284" s="70"/>
      <c r="F284" s="70"/>
      <c r="G284" s="70"/>
      <c r="H284" s="54"/>
      <c r="I284" s="70"/>
      <c r="J284" s="70"/>
      <c r="K284" s="70"/>
      <c r="L284" s="70"/>
      <c r="M284" s="70"/>
      <c r="N284" s="70"/>
      <c r="O284" s="70"/>
      <c r="P284" s="70"/>
      <c r="Q284" s="70"/>
      <c r="R284" s="70"/>
      <c r="S284" s="70"/>
      <c r="T284" s="70"/>
      <c r="U284" s="70"/>
      <c r="V284" s="70"/>
      <c r="W284" s="70"/>
      <c r="X284" s="70"/>
      <c r="Y284" s="70"/>
      <c r="Z284" s="70"/>
      <c r="AA284" s="70"/>
      <c r="AB284" s="70"/>
      <c r="AC284" s="70"/>
      <c r="AD284" s="70"/>
      <c r="AE284" s="70"/>
      <c r="AF284" s="70"/>
      <c r="AG284" s="70"/>
      <c r="AH284" s="70"/>
      <c r="AI284" s="70"/>
      <c r="AJ284" s="70"/>
      <c r="AK284" s="70"/>
      <c r="AL284" s="70"/>
      <c r="AM284" s="70"/>
      <c r="AN284" s="70"/>
      <c r="AO284" s="70"/>
      <c r="AP284" s="70"/>
      <c r="AQ284" s="70"/>
      <c r="AR284" s="70"/>
      <c r="AS284" s="70"/>
      <c r="AT284" s="70"/>
    </row>
    <row r="285" spans="1:46">
      <c r="A285" s="70"/>
      <c r="B285" s="70"/>
      <c r="C285" s="70"/>
      <c r="D285" s="70"/>
      <c r="E285" s="70"/>
      <c r="F285" s="70"/>
      <c r="G285" s="70"/>
      <c r="H285" s="54"/>
      <c r="I285" s="70"/>
      <c r="J285" s="70"/>
      <c r="K285" s="70"/>
      <c r="L285" s="70"/>
      <c r="M285" s="70"/>
      <c r="N285" s="70"/>
      <c r="O285" s="70"/>
      <c r="P285" s="70"/>
      <c r="Q285" s="70"/>
      <c r="R285" s="70"/>
      <c r="S285" s="70"/>
      <c r="T285" s="70"/>
      <c r="U285" s="70"/>
      <c r="V285" s="70"/>
      <c r="W285" s="70"/>
      <c r="X285" s="70"/>
      <c r="Y285" s="70"/>
      <c r="Z285" s="70"/>
      <c r="AA285" s="70"/>
      <c r="AB285" s="70"/>
      <c r="AC285" s="70"/>
      <c r="AD285" s="70"/>
      <c r="AE285" s="70"/>
      <c r="AF285" s="70"/>
      <c r="AG285" s="70"/>
      <c r="AH285" s="70"/>
      <c r="AI285" s="70"/>
      <c r="AJ285" s="70"/>
      <c r="AK285" s="70"/>
      <c r="AL285" s="70"/>
      <c r="AM285" s="70"/>
      <c r="AN285" s="70"/>
      <c r="AO285" s="70"/>
      <c r="AP285" s="70"/>
      <c r="AQ285" s="70"/>
      <c r="AR285" s="70"/>
      <c r="AS285" s="70"/>
      <c r="AT285" s="70"/>
    </row>
    <row r="286" spans="1:46">
      <c r="A286" s="70"/>
      <c r="B286" s="70"/>
      <c r="C286" s="70"/>
      <c r="D286" s="70"/>
      <c r="E286" s="70"/>
      <c r="F286" s="70"/>
      <c r="G286" s="70"/>
      <c r="H286" s="54"/>
      <c r="I286" s="70"/>
      <c r="J286" s="70"/>
      <c r="K286" s="70"/>
      <c r="L286" s="70"/>
      <c r="M286" s="70"/>
      <c r="N286" s="70"/>
      <c r="O286" s="70"/>
      <c r="P286" s="70"/>
      <c r="Q286" s="70"/>
      <c r="R286" s="70"/>
      <c r="S286" s="70"/>
      <c r="T286" s="70"/>
      <c r="U286" s="70"/>
      <c r="V286" s="70"/>
      <c r="W286" s="70"/>
      <c r="X286" s="70"/>
      <c r="Y286" s="70"/>
      <c r="Z286" s="70"/>
      <c r="AA286" s="70"/>
      <c r="AB286" s="70"/>
      <c r="AC286" s="70"/>
      <c r="AD286" s="70"/>
      <c r="AE286" s="70"/>
      <c r="AF286" s="70"/>
      <c r="AG286" s="70"/>
      <c r="AH286" s="70"/>
      <c r="AI286" s="70"/>
      <c r="AJ286" s="70"/>
      <c r="AK286" s="70"/>
      <c r="AL286" s="70"/>
      <c r="AM286" s="70"/>
      <c r="AN286" s="70"/>
      <c r="AO286" s="70"/>
      <c r="AP286" s="70"/>
      <c r="AQ286" s="70"/>
      <c r="AR286" s="70"/>
      <c r="AS286" s="70"/>
      <c r="AT286" s="70"/>
    </row>
    <row r="287" spans="1:46">
      <c r="A287" s="70"/>
      <c r="B287" s="70"/>
      <c r="C287" s="70"/>
      <c r="D287" s="70"/>
      <c r="E287" s="70"/>
      <c r="F287" s="70"/>
      <c r="G287" s="70"/>
      <c r="H287" s="54"/>
      <c r="I287" s="70"/>
      <c r="J287" s="70"/>
      <c r="K287" s="70"/>
      <c r="L287" s="70"/>
      <c r="M287" s="70"/>
      <c r="N287" s="70"/>
      <c r="O287" s="70"/>
      <c r="P287" s="70"/>
      <c r="Q287" s="70"/>
      <c r="R287" s="70"/>
      <c r="S287" s="70"/>
      <c r="T287" s="70"/>
      <c r="U287" s="70"/>
      <c r="V287" s="70"/>
      <c r="W287" s="70"/>
      <c r="X287" s="70"/>
      <c r="Y287" s="70"/>
      <c r="Z287" s="70"/>
      <c r="AA287" s="70"/>
      <c r="AB287" s="70"/>
      <c r="AC287" s="70"/>
      <c r="AD287" s="70"/>
      <c r="AE287" s="70"/>
      <c r="AF287" s="70"/>
      <c r="AG287" s="70"/>
      <c r="AH287" s="70"/>
      <c r="AI287" s="70"/>
      <c r="AJ287" s="70"/>
      <c r="AK287" s="70"/>
      <c r="AL287" s="70"/>
      <c r="AM287" s="70"/>
      <c r="AN287" s="70"/>
      <c r="AO287" s="70"/>
      <c r="AP287" s="70"/>
      <c r="AQ287" s="70"/>
      <c r="AR287" s="70"/>
      <c r="AS287" s="70"/>
      <c r="AT287" s="70"/>
    </row>
    <row r="288" spans="1:46">
      <c r="A288" s="70"/>
      <c r="B288" s="70"/>
      <c r="C288" s="70"/>
      <c r="D288" s="70"/>
      <c r="E288" s="70"/>
      <c r="F288" s="70"/>
      <c r="G288" s="70"/>
      <c r="H288" s="54"/>
      <c r="I288" s="70"/>
      <c r="J288" s="70"/>
      <c r="K288" s="70"/>
      <c r="L288" s="70"/>
      <c r="M288" s="70"/>
      <c r="N288" s="70"/>
      <c r="O288" s="70"/>
      <c r="P288" s="70"/>
      <c r="Q288" s="70"/>
      <c r="R288" s="70"/>
      <c r="S288" s="70"/>
      <c r="T288" s="70"/>
      <c r="U288" s="70"/>
      <c r="V288" s="70"/>
      <c r="W288" s="70"/>
      <c r="X288" s="70"/>
      <c r="Y288" s="70"/>
      <c r="Z288" s="70"/>
      <c r="AA288" s="70"/>
      <c r="AB288" s="70"/>
      <c r="AC288" s="70"/>
      <c r="AD288" s="70"/>
      <c r="AE288" s="70"/>
      <c r="AF288" s="70"/>
      <c r="AG288" s="70"/>
      <c r="AH288" s="70"/>
      <c r="AI288" s="70"/>
      <c r="AJ288" s="70"/>
      <c r="AK288" s="70"/>
      <c r="AL288" s="70"/>
      <c r="AM288" s="70"/>
      <c r="AN288" s="70"/>
      <c r="AO288" s="70"/>
      <c r="AP288" s="70"/>
      <c r="AQ288" s="70"/>
      <c r="AR288" s="70"/>
      <c r="AS288" s="70"/>
      <c r="AT288" s="70"/>
    </row>
    <row r="289" spans="1:46">
      <c r="A289" s="70"/>
      <c r="B289" s="70"/>
      <c r="C289" s="70"/>
      <c r="D289" s="70"/>
      <c r="E289" s="70"/>
      <c r="F289" s="70"/>
      <c r="G289" s="70"/>
      <c r="H289" s="54"/>
      <c r="I289" s="70"/>
      <c r="J289" s="70"/>
      <c r="K289" s="70"/>
      <c r="L289" s="70"/>
      <c r="M289" s="70"/>
      <c r="N289" s="70"/>
      <c r="O289" s="70"/>
      <c r="P289" s="70"/>
      <c r="Q289" s="70"/>
      <c r="R289" s="70"/>
      <c r="S289" s="70"/>
      <c r="T289" s="70"/>
      <c r="U289" s="70"/>
      <c r="V289" s="70"/>
      <c r="W289" s="70"/>
      <c r="X289" s="70"/>
      <c r="Y289" s="70"/>
      <c r="Z289" s="70"/>
      <c r="AA289" s="70"/>
      <c r="AB289" s="70"/>
      <c r="AC289" s="70"/>
      <c r="AD289" s="70"/>
      <c r="AE289" s="70"/>
      <c r="AF289" s="70"/>
      <c r="AG289" s="70"/>
      <c r="AH289" s="70"/>
      <c r="AI289" s="70"/>
      <c r="AJ289" s="70"/>
      <c r="AK289" s="70"/>
      <c r="AL289" s="70"/>
      <c r="AM289" s="70"/>
      <c r="AN289" s="70"/>
      <c r="AO289" s="70"/>
      <c r="AP289" s="70"/>
      <c r="AQ289" s="70"/>
      <c r="AR289" s="70"/>
      <c r="AS289" s="70"/>
      <c r="AT289" s="70"/>
    </row>
    <row r="290" spans="1:46">
      <c r="A290" s="70"/>
      <c r="B290" s="70"/>
      <c r="C290" s="70"/>
      <c r="D290" s="70"/>
      <c r="E290" s="70"/>
      <c r="F290" s="70"/>
      <c r="G290" s="70"/>
      <c r="H290" s="54"/>
      <c r="I290" s="70"/>
      <c r="J290" s="70"/>
      <c r="K290" s="70"/>
      <c r="L290" s="70"/>
      <c r="M290" s="70"/>
      <c r="N290" s="70"/>
      <c r="O290" s="70"/>
      <c r="P290" s="70"/>
      <c r="Q290" s="70"/>
      <c r="R290" s="70"/>
      <c r="S290" s="70"/>
      <c r="T290" s="70"/>
      <c r="U290" s="70"/>
      <c r="V290" s="70"/>
      <c r="W290" s="70"/>
      <c r="X290" s="70"/>
      <c r="Y290" s="70"/>
      <c r="Z290" s="70"/>
      <c r="AA290" s="70"/>
      <c r="AB290" s="70"/>
      <c r="AC290" s="70"/>
      <c r="AD290" s="70"/>
      <c r="AE290" s="70"/>
      <c r="AF290" s="70"/>
      <c r="AG290" s="70"/>
      <c r="AH290" s="70"/>
      <c r="AI290" s="70"/>
      <c r="AJ290" s="70"/>
      <c r="AK290" s="70"/>
      <c r="AL290" s="70"/>
      <c r="AM290" s="70"/>
      <c r="AN290" s="70"/>
      <c r="AO290" s="70"/>
      <c r="AP290" s="70"/>
      <c r="AQ290" s="70"/>
      <c r="AR290" s="70"/>
      <c r="AS290" s="70"/>
      <c r="AT290" s="70"/>
    </row>
    <row r="291" spans="1:46">
      <c r="A291" s="70"/>
      <c r="B291" s="70"/>
      <c r="C291" s="70"/>
      <c r="D291" s="70"/>
      <c r="E291" s="70"/>
      <c r="F291" s="70"/>
      <c r="G291" s="70"/>
      <c r="H291" s="54"/>
      <c r="I291" s="70"/>
      <c r="J291" s="70"/>
      <c r="K291" s="70"/>
      <c r="L291" s="70"/>
      <c r="M291" s="70"/>
      <c r="N291" s="70"/>
      <c r="O291" s="70"/>
      <c r="P291" s="70"/>
      <c r="Q291" s="70"/>
      <c r="R291" s="70"/>
      <c r="S291" s="70"/>
      <c r="T291" s="70"/>
      <c r="U291" s="70"/>
      <c r="V291" s="70"/>
      <c r="W291" s="70"/>
      <c r="X291" s="70"/>
      <c r="Y291" s="70"/>
      <c r="Z291" s="70"/>
      <c r="AA291" s="70"/>
      <c r="AB291" s="70"/>
      <c r="AC291" s="70"/>
      <c r="AD291" s="70"/>
      <c r="AE291" s="70"/>
      <c r="AF291" s="70"/>
      <c r="AG291" s="70"/>
      <c r="AH291" s="70"/>
      <c r="AI291" s="70"/>
      <c r="AJ291" s="70"/>
      <c r="AK291" s="70"/>
      <c r="AL291" s="70"/>
      <c r="AM291" s="70"/>
      <c r="AN291" s="70"/>
      <c r="AO291" s="70"/>
      <c r="AP291" s="70"/>
      <c r="AQ291" s="70"/>
      <c r="AR291" s="70"/>
      <c r="AS291" s="70"/>
      <c r="AT291" s="70"/>
    </row>
    <row r="292" spans="1:46">
      <c r="A292" s="70"/>
      <c r="B292" s="70"/>
      <c r="C292" s="70"/>
      <c r="D292" s="70"/>
      <c r="E292" s="70"/>
      <c r="F292" s="70"/>
      <c r="G292" s="70"/>
      <c r="H292" s="54"/>
      <c r="I292" s="70"/>
      <c r="J292" s="70"/>
      <c r="K292" s="70"/>
      <c r="L292" s="70"/>
      <c r="M292" s="70"/>
      <c r="N292" s="70"/>
      <c r="O292" s="70"/>
      <c r="P292" s="70"/>
      <c r="Q292" s="70"/>
      <c r="R292" s="70"/>
      <c r="S292" s="70"/>
      <c r="T292" s="70"/>
      <c r="U292" s="70"/>
      <c r="V292" s="70"/>
      <c r="W292" s="70"/>
      <c r="X292" s="70"/>
      <c r="Y292" s="70"/>
      <c r="Z292" s="70"/>
      <c r="AA292" s="70"/>
      <c r="AB292" s="70"/>
      <c r="AC292" s="70"/>
      <c r="AD292" s="70"/>
      <c r="AE292" s="70"/>
      <c r="AF292" s="70"/>
      <c r="AG292" s="70"/>
      <c r="AH292" s="70"/>
      <c r="AI292" s="70"/>
      <c r="AJ292" s="70"/>
      <c r="AK292" s="70"/>
      <c r="AL292" s="70"/>
      <c r="AM292" s="70"/>
      <c r="AN292" s="70"/>
      <c r="AO292" s="70"/>
      <c r="AP292" s="70"/>
      <c r="AQ292" s="70"/>
      <c r="AR292" s="70"/>
      <c r="AS292" s="70"/>
      <c r="AT292" s="70"/>
    </row>
    <row r="293" spans="1:46">
      <c r="A293" s="70"/>
      <c r="B293" s="70"/>
      <c r="C293" s="70"/>
      <c r="D293" s="70"/>
      <c r="E293" s="70"/>
      <c r="F293" s="70"/>
      <c r="G293" s="70"/>
      <c r="H293" s="54"/>
      <c r="I293" s="70"/>
      <c r="J293" s="70"/>
      <c r="K293" s="70"/>
      <c r="L293" s="70"/>
      <c r="M293" s="70"/>
      <c r="N293" s="70"/>
      <c r="O293" s="70"/>
      <c r="P293" s="70"/>
      <c r="Q293" s="70"/>
      <c r="R293" s="70"/>
      <c r="S293" s="70"/>
      <c r="T293" s="70"/>
      <c r="U293" s="70"/>
      <c r="V293" s="70"/>
      <c r="W293" s="70"/>
      <c r="X293" s="70"/>
      <c r="Y293" s="70"/>
      <c r="Z293" s="70"/>
      <c r="AA293" s="70"/>
      <c r="AB293" s="70"/>
      <c r="AC293" s="70"/>
      <c r="AD293" s="70"/>
      <c r="AE293" s="70"/>
      <c r="AF293" s="70"/>
      <c r="AG293" s="70"/>
      <c r="AH293" s="70"/>
      <c r="AI293" s="70"/>
      <c r="AJ293" s="70"/>
      <c r="AK293" s="70"/>
      <c r="AL293" s="70"/>
      <c r="AM293" s="70"/>
      <c r="AN293" s="70"/>
      <c r="AO293" s="70"/>
      <c r="AP293" s="70"/>
      <c r="AQ293" s="70"/>
      <c r="AR293" s="70"/>
      <c r="AS293" s="70"/>
      <c r="AT293" s="70"/>
    </row>
    <row r="294" spans="1:46">
      <c r="A294" s="70"/>
      <c r="B294" s="70"/>
      <c r="C294" s="70"/>
      <c r="D294" s="70"/>
      <c r="E294" s="70"/>
      <c r="F294" s="70"/>
      <c r="G294" s="70"/>
      <c r="H294" s="54"/>
      <c r="I294" s="70"/>
      <c r="J294" s="70"/>
      <c r="K294" s="70"/>
      <c r="L294" s="70"/>
      <c r="M294" s="70"/>
      <c r="N294" s="70"/>
      <c r="O294" s="70"/>
      <c r="P294" s="70"/>
      <c r="Q294" s="70"/>
      <c r="R294" s="70"/>
      <c r="S294" s="70"/>
      <c r="T294" s="70"/>
      <c r="U294" s="70"/>
      <c r="V294" s="70"/>
      <c r="W294" s="70"/>
      <c r="X294" s="70"/>
      <c r="Y294" s="70"/>
      <c r="Z294" s="70"/>
      <c r="AA294" s="70"/>
      <c r="AB294" s="70"/>
      <c r="AC294" s="70"/>
      <c r="AD294" s="70"/>
      <c r="AE294" s="70"/>
      <c r="AF294" s="70"/>
      <c r="AG294" s="70"/>
      <c r="AH294" s="70"/>
      <c r="AI294" s="70"/>
      <c r="AJ294" s="70"/>
      <c r="AK294" s="70"/>
      <c r="AL294" s="70"/>
      <c r="AM294" s="70"/>
      <c r="AN294" s="70"/>
      <c r="AO294" s="70"/>
      <c r="AP294" s="70"/>
      <c r="AQ294" s="70"/>
      <c r="AR294" s="70"/>
      <c r="AS294" s="70"/>
      <c r="AT294" s="70"/>
    </row>
    <row r="295" spans="1:46">
      <c r="A295" s="70"/>
      <c r="B295" s="70"/>
      <c r="C295" s="70"/>
      <c r="D295" s="70"/>
      <c r="E295" s="70"/>
      <c r="F295" s="70"/>
      <c r="G295" s="70"/>
      <c r="H295" s="54"/>
      <c r="I295" s="70"/>
      <c r="J295" s="70"/>
      <c r="K295" s="70"/>
      <c r="L295" s="70"/>
      <c r="M295" s="70"/>
      <c r="N295" s="70"/>
      <c r="O295" s="70"/>
      <c r="P295" s="70"/>
      <c r="Q295" s="70"/>
      <c r="R295" s="70"/>
      <c r="S295" s="70"/>
      <c r="T295" s="70"/>
      <c r="U295" s="70"/>
      <c r="V295" s="70"/>
      <c r="W295" s="70"/>
      <c r="X295" s="70"/>
      <c r="Y295" s="70"/>
      <c r="Z295" s="70"/>
      <c r="AA295" s="70"/>
      <c r="AB295" s="70"/>
      <c r="AC295" s="70"/>
      <c r="AD295" s="70"/>
      <c r="AE295" s="70"/>
      <c r="AF295" s="70"/>
      <c r="AG295" s="70"/>
      <c r="AH295" s="70"/>
      <c r="AI295" s="70"/>
      <c r="AJ295" s="70"/>
      <c r="AK295" s="70"/>
      <c r="AL295" s="70"/>
      <c r="AM295" s="70"/>
      <c r="AN295" s="70"/>
      <c r="AO295" s="70"/>
      <c r="AP295" s="70"/>
      <c r="AQ295" s="70"/>
      <c r="AR295" s="70"/>
      <c r="AS295" s="70"/>
      <c r="AT295" s="70"/>
    </row>
    <row r="296" spans="1:46">
      <c r="A296" s="70"/>
      <c r="B296" s="70"/>
      <c r="C296" s="70"/>
      <c r="D296" s="70"/>
      <c r="E296" s="70"/>
      <c r="F296" s="70"/>
      <c r="G296" s="70"/>
      <c r="H296" s="54"/>
      <c r="I296" s="70"/>
      <c r="J296" s="70"/>
      <c r="K296" s="70"/>
      <c r="L296" s="70"/>
      <c r="M296" s="70"/>
      <c r="N296" s="70"/>
      <c r="O296" s="70"/>
      <c r="P296" s="70"/>
      <c r="Q296" s="70"/>
      <c r="R296" s="70"/>
      <c r="S296" s="70"/>
      <c r="T296" s="70"/>
      <c r="U296" s="70"/>
      <c r="V296" s="70"/>
      <c r="W296" s="70"/>
      <c r="X296" s="70"/>
      <c r="Y296" s="70"/>
      <c r="Z296" s="70"/>
      <c r="AA296" s="70"/>
      <c r="AB296" s="70"/>
      <c r="AC296" s="70"/>
      <c r="AD296" s="70"/>
      <c r="AE296" s="70"/>
      <c r="AF296" s="70"/>
      <c r="AG296" s="70"/>
      <c r="AH296" s="70"/>
      <c r="AI296" s="70"/>
      <c r="AJ296" s="70"/>
      <c r="AK296" s="70"/>
      <c r="AL296" s="70"/>
      <c r="AM296" s="70"/>
      <c r="AN296" s="70"/>
      <c r="AO296" s="70"/>
      <c r="AP296" s="70"/>
      <c r="AQ296" s="70"/>
      <c r="AR296" s="70"/>
      <c r="AS296" s="70"/>
      <c r="AT296" s="70"/>
    </row>
    <row r="297" spans="1:46">
      <c r="A297" s="70"/>
      <c r="B297" s="70"/>
      <c r="C297" s="70"/>
      <c r="D297" s="70"/>
      <c r="E297" s="70"/>
      <c r="F297" s="70"/>
      <c r="G297" s="70"/>
      <c r="H297" s="54"/>
      <c r="I297" s="70"/>
      <c r="J297" s="70"/>
      <c r="K297" s="70"/>
      <c r="L297" s="70"/>
      <c r="M297" s="70"/>
      <c r="N297" s="70"/>
      <c r="O297" s="70"/>
      <c r="P297" s="70"/>
      <c r="Q297" s="70"/>
      <c r="R297" s="70"/>
      <c r="S297" s="70"/>
      <c r="T297" s="70"/>
      <c r="U297" s="70"/>
      <c r="V297" s="70"/>
      <c r="W297" s="70"/>
      <c r="X297" s="70"/>
      <c r="Y297" s="70"/>
      <c r="Z297" s="70"/>
      <c r="AA297" s="70"/>
      <c r="AB297" s="70"/>
      <c r="AC297" s="70"/>
      <c r="AD297" s="70"/>
      <c r="AE297" s="70"/>
      <c r="AF297" s="70"/>
      <c r="AG297" s="70"/>
      <c r="AH297" s="70"/>
      <c r="AI297" s="70"/>
      <c r="AJ297" s="70"/>
      <c r="AK297" s="70"/>
      <c r="AL297" s="70"/>
      <c r="AM297" s="70"/>
      <c r="AN297" s="70"/>
      <c r="AO297" s="70"/>
      <c r="AP297" s="70"/>
      <c r="AQ297" s="70"/>
      <c r="AR297" s="70"/>
      <c r="AS297" s="70"/>
      <c r="AT297" s="70"/>
    </row>
    <row r="298" spans="1:46">
      <c r="A298" s="70"/>
      <c r="B298" s="70"/>
      <c r="C298" s="70"/>
      <c r="D298" s="70"/>
      <c r="E298" s="70"/>
      <c r="F298" s="70"/>
      <c r="G298" s="70"/>
      <c r="H298" s="54"/>
      <c r="I298" s="70"/>
      <c r="J298" s="70"/>
      <c r="K298" s="70"/>
      <c r="L298" s="70"/>
      <c r="M298" s="70"/>
      <c r="N298" s="70"/>
      <c r="O298" s="70"/>
      <c r="P298" s="70"/>
      <c r="Q298" s="70"/>
      <c r="R298" s="70"/>
      <c r="S298" s="70"/>
      <c r="T298" s="70"/>
      <c r="U298" s="70"/>
      <c r="V298" s="70"/>
      <c r="W298" s="70"/>
      <c r="X298" s="70"/>
      <c r="Y298" s="70"/>
      <c r="Z298" s="70"/>
      <c r="AA298" s="70"/>
      <c r="AB298" s="70"/>
      <c r="AC298" s="70"/>
      <c r="AD298" s="70"/>
      <c r="AE298" s="70"/>
      <c r="AF298" s="70"/>
      <c r="AG298" s="70"/>
      <c r="AH298" s="70"/>
      <c r="AI298" s="70"/>
      <c r="AJ298" s="70"/>
      <c r="AK298" s="70"/>
      <c r="AL298" s="70"/>
      <c r="AM298" s="70"/>
      <c r="AN298" s="70"/>
      <c r="AO298" s="70"/>
      <c r="AP298" s="70"/>
      <c r="AQ298" s="70"/>
      <c r="AR298" s="70"/>
      <c r="AS298" s="70"/>
      <c r="AT298" s="70"/>
    </row>
    <row r="299" spans="1:46">
      <c r="A299" s="70"/>
      <c r="B299" s="70"/>
      <c r="C299" s="70"/>
      <c r="D299" s="70"/>
      <c r="E299" s="70"/>
      <c r="F299" s="70"/>
      <c r="G299" s="70"/>
      <c r="H299" s="54"/>
      <c r="I299" s="70"/>
      <c r="J299" s="70"/>
      <c r="K299" s="70"/>
      <c r="L299" s="70"/>
      <c r="M299" s="70"/>
      <c r="N299" s="70"/>
      <c r="O299" s="70"/>
      <c r="P299" s="70"/>
      <c r="Q299" s="70"/>
      <c r="R299" s="70"/>
      <c r="S299" s="70"/>
      <c r="T299" s="70"/>
      <c r="U299" s="70"/>
      <c r="V299" s="70"/>
      <c r="W299" s="70"/>
      <c r="X299" s="70"/>
      <c r="Y299" s="70"/>
      <c r="Z299" s="70"/>
      <c r="AA299" s="70"/>
      <c r="AB299" s="70"/>
      <c r="AC299" s="70"/>
      <c r="AD299" s="70"/>
      <c r="AE299" s="70"/>
      <c r="AF299" s="70"/>
      <c r="AG299" s="70"/>
      <c r="AH299" s="70"/>
      <c r="AI299" s="70"/>
      <c r="AJ299" s="70"/>
      <c r="AK299" s="70"/>
      <c r="AL299" s="70"/>
      <c r="AM299" s="70"/>
      <c r="AN299" s="70"/>
      <c r="AO299" s="70"/>
      <c r="AP299" s="70"/>
      <c r="AQ299" s="70"/>
      <c r="AR299" s="70"/>
      <c r="AS299" s="70"/>
      <c r="AT299" s="70"/>
    </row>
    <row r="300" spans="1:46">
      <c r="A300" s="70"/>
      <c r="B300" s="70"/>
      <c r="C300" s="70"/>
      <c r="D300" s="70"/>
      <c r="E300" s="70"/>
      <c r="F300" s="70"/>
      <c r="G300" s="70"/>
      <c r="H300" s="54"/>
      <c r="I300" s="70"/>
      <c r="J300" s="70"/>
      <c r="K300" s="70"/>
      <c r="L300" s="70"/>
      <c r="M300" s="70"/>
      <c r="N300" s="70"/>
      <c r="O300" s="70"/>
      <c r="P300" s="70"/>
      <c r="Q300" s="70"/>
      <c r="R300" s="70"/>
      <c r="S300" s="70"/>
      <c r="T300" s="70"/>
      <c r="U300" s="70"/>
      <c r="V300" s="70"/>
      <c r="W300" s="70"/>
      <c r="X300" s="70"/>
      <c r="Y300" s="70"/>
      <c r="Z300" s="70"/>
      <c r="AA300" s="70"/>
      <c r="AB300" s="70"/>
      <c r="AC300" s="70"/>
      <c r="AD300" s="70"/>
      <c r="AE300" s="70"/>
      <c r="AF300" s="70"/>
      <c r="AG300" s="70"/>
      <c r="AH300" s="70"/>
      <c r="AI300" s="70"/>
      <c r="AJ300" s="70"/>
      <c r="AK300" s="70"/>
      <c r="AL300" s="70"/>
      <c r="AM300" s="70"/>
      <c r="AN300" s="70"/>
      <c r="AO300" s="70"/>
      <c r="AP300" s="70"/>
      <c r="AQ300" s="70"/>
      <c r="AR300" s="70"/>
      <c r="AS300" s="70"/>
      <c r="AT300" s="70"/>
    </row>
    <row r="301" spans="1:46">
      <c r="A301" s="70"/>
      <c r="B301" s="70"/>
      <c r="C301" s="70"/>
      <c r="D301" s="70"/>
      <c r="E301" s="70"/>
      <c r="F301" s="70"/>
      <c r="G301" s="70"/>
      <c r="H301" s="54"/>
      <c r="I301" s="70"/>
      <c r="J301" s="70"/>
      <c r="K301" s="70"/>
      <c r="L301" s="70"/>
      <c r="M301" s="70"/>
      <c r="N301" s="70"/>
      <c r="O301" s="70"/>
      <c r="P301" s="70"/>
      <c r="Q301" s="70"/>
      <c r="R301" s="70"/>
      <c r="S301" s="70"/>
      <c r="T301" s="70"/>
      <c r="U301" s="70"/>
      <c r="V301" s="70"/>
      <c r="W301" s="70"/>
      <c r="X301" s="70"/>
      <c r="Y301" s="70"/>
      <c r="Z301" s="70"/>
      <c r="AA301" s="70"/>
      <c r="AB301" s="70"/>
      <c r="AC301" s="70"/>
      <c r="AD301" s="70"/>
      <c r="AE301" s="70"/>
      <c r="AF301" s="70"/>
      <c r="AG301" s="70"/>
      <c r="AH301" s="70"/>
      <c r="AI301" s="70"/>
      <c r="AJ301" s="70"/>
      <c r="AK301" s="70"/>
      <c r="AL301" s="70"/>
      <c r="AM301" s="70"/>
      <c r="AN301" s="70"/>
      <c r="AO301" s="70"/>
      <c r="AP301" s="70"/>
      <c r="AQ301" s="70"/>
      <c r="AR301" s="70"/>
      <c r="AS301" s="70"/>
      <c r="AT301" s="70"/>
    </row>
    <row r="302" spans="1:46">
      <c r="A302" s="70"/>
      <c r="B302" s="70"/>
      <c r="C302" s="70"/>
      <c r="D302" s="70"/>
      <c r="E302" s="70"/>
      <c r="F302" s="70"/>
      <c r="G302" s="70"/>
      <c r="H302" s="54"/>
      <c r="I302" s="70"/>
      <c r="J302" s="70"/>
      <c r="K302" s="70"/>
      <c r="L302" s="70"/>
      <c r="M302" s="70"/>
      <c r="N302" s="70"/>
      <c r="O302" s="70"/>
      <c r="P302" s="70"/>
      <c r="Q302" s="70"/>
      <c r="R302" s="70"/>
      <c r="S302" s="70"/>
      <c r="T302" s="70"/>
      <c r="U302" s="70"/>
      <c r="V302" s="70"/>
      <c r="W302" s="70"/>
      <c r="X302" s="70"/>
      <c r="Y302" s="70"/>
      <c r="Z302" s="70"/>
      <c r="AA302" s="70"/>
      <c r="AB302" s="70"/>
      <c r="AC302" s="70"/>
      <c r="AD302" s="70"/>
      <c r="AE302" s="70"/>
      <c r="AF302" s="70"/>
      <c r="AG302" s="70"/>
      <c r="AH302" s="70"/>
      <c r="AI302" s="70"/>
      <c r="AJ302" s="70"/>
      <c r="AK302" s="70"/>
      <c r="AL302" s="70"/>
      <c r="AM302" s="70"/>
      <c r="AN302" s="70"/>
      <c r="AO302" s="70"/>
      <c r="AP302" s="70"/>
      <c r="AQ302" s="70"/>
      <c r="AR302" s="70"/>
      <c r="AS302" s="70"/>
      <c r="AT302" s="70"/>
    </row>
    <row r="303" spans="1:46">
      <c r="A303" s="70"/>
      <c r="B303" s="70"/>
      <c r="C303" s="70"/>
      <c r="D303" s="70"/>
      <c r="E303" s="70"/>
      <c r="F303" s="70"/>
      <c r="G303" s="70"/>
      <c r="H303" s="54"/>
      <c r="I303" s="70"/>
      <c r="J303" s="70"/>
      <c r="K303" s="70"/>
      <c r="L303" s="70"/>
      <c r="M303" s="70"/>
      <c r="N303" s="70"/>
      <c r="O303" s="70"/>
      <c r="P303" s="70"/>
      <c r="Q303" s="70"/>
      <c r="R303" s="70"/>
      <c r="S303" s="70"/>
      <c r="T303" s="70"/>
      <c r="U303" s="70"/>
      <c r="V303" s="70"/>
      <c r="W303" s="70"/>
      <c r="X303" s="70"/>
      <c r="Y303" s="70"/>
      <c r="Z303" s="70"/>
      <c r="AA303" s="70"/>
      <c r="AB303" s="70"/>
      <c r="AC303" s="70"/>
      <c r="AD303" s="70"/>
      <c r="AE303" s="70"/>
      <c r="AF303" s="70"/>
      <c r="AG303" s="70"/>
      <c r="AH303" s="70"/>
      <c r="AI303" s="70"/>
      <c r="AJ303" s="70"/>
      <c r="AK303" s="70"/>
      <c r="AL303" s="70"/>
      <c r="AM303" s="70"/>
      <c r="AN303" s="70"/>
      <c r="AO303" s="70"/>
      <c r="AP303" s="70"/>
      <c r="AQ303" s="70"/>
      <c r="AR303" s="70"/>
      <c r="AS303" s="70"/>
      <c r="AT303" s="70"/>
    </row>
    <row r="304" spans="1:46">
      <c r="A304" s="70"/>
      <c r="B304" s="70"/>
      <c r="C304" s="70"/>
      <c r="D304" s="70"/>
      <c r="E304" s="70"/>
      <c r="F304" s="70"/>
      <c r="G304" s="70"/>
      <c r="H304" s="54"/>
      <c r="I304" s="70"/>
      <c r="J304" s="70"/>
      <c r="K304" s="70"/>
      <c r="L304" s="70"/>
      <c r="M304" s="70"/>
      <c r="N304" s="70"/>
      <c r="O304" s="70"/>
      <c r="P304" s="70"/>
      <c r="Q304" s="70"/>
      <c r="R304" s="70"/>
      <c r="S304" s="70"/>
      <c r="T304" s="70"/>
      <c r="U304" s="70"/>
      <c r="V304" s="70"/>
      <c r="W304" s="70"/>
      <c r="X304" s="70"/>
      <c r="Y304" s="70"/>
      <c r="Z304" s="70"/>
      <c r="AA304" s="70"/>
      <c r="AB304" s="70"/>
      <c r="AC304" s="70"/>
      <c r="AD304" s="70"/>
      <c r="AE304" s="70"/>
      <c r="AF304" s="70"/>
      <c r="AG304" s="70"/>
      <c r="AH304" s="70"/>
      <c r="AI304" s="70"/>
      <c r="AJ304" s="70"/>
      <c r="AK304" s="70"/>
      <c r="AL304" s="70"/>
      <c r="AM304" s="70"/>
      <c r="AN304" s="70"/>
      <c r="AO304" s="70"/>
      <c r="AP304" s="70"/>
      <c r="AQ304" s="70"/>
      <c r="AR304" s="70"/>
      <c r="AS304" s="70"/>
      <c r="AT304" s="70"/>
    </row>
    <row r="305" spans="1:46">
      <c r="A305" s="70"/>
      <c r="B305" s="70"/>
      <c r="C305" s="70"/>
      <c r="D305" s="70"/>
      <c r="E305" s="70"/>
      <c r="F305" s="70"/>
      <c r="G305" s="70"/>
      <c r="H305" s="54"/>
      <c r="I305" s="70"/>
      <c r="J305" s="70"/>
      <c r="K305" s="70"/>
      <c r="L305" s="70"/>
      <c r="M305" s="70"/>
      <c r="N305" s="70"/>
      <c r="O305" s="70"/>
      <c r="P305" s="70"/>
      <c r="Q305" s="70"/>
      <c r="R305" s="70"/>
      <c r="S305" s="70"/>
      <c r="T305" s="70"/>
      <c r="U305" s="70"/>
      <c r="V305" s="70"/>
      <c r="W305" s="70"/>
      <c r="X305" s="70"/>
      <c r="Y305" s="70"/>
      <c r="Z305" s="70"/>
      <c r="AA305" s="70"/>
      <c r="AB305" s="70"/>
      <c r="AC305" s="70"/>
      <c r="AD305" s="70"/>
      <c r="AE305" s="70"/>
      <c r="AF305" s="70"/>
      <c r="AG305" s="70"/>
      <c r="AH305" s="70"/>
      <c r="AI305" s="70"/>
      <c r="AJ305" s="70"/>
      <c r="AK305" s="70"/>
      <c r="AL305" s="70"/>
      <c r="AM305" s="70"/>
      <c r="AN305" s="70"/>
      <c r="AO305" s="70"/>
      <c r="AP305" s="70"/>
      <c r="AQ305" s="70"/>
      <c r="AR305" s="70"/>
      <c r="AS305" s="70"/>
      <c r="AT305" s="70"/>
    </row>
    <row r="306" spans="1:46">
      <c r="A306" s="70"/>
      <c r="B306" s="70"/>
      <c r="C306" s="70"/>
      <c r="D306" s="70"/>
      <c r="E306" s="70"/>
      <c r="F306" s="70"/>
      <c r="G306" s="70"/>
      <c r="H306" s="54"/>
      <c r="I306" s="70"/>
      <c r="J306" s="70"/>
      <c r="K306" s="70"/>
      <c r="L306" s="70"/>
      <c r="M306" s="70"/>
      <c r="N306" s="70"/>
      <c r="O306" s="70"/>
      <c r="P306" s="70"/>
      <c r="Q306" s="70"/>
      <c r="R306" s="70"/>
      <c r="S306" s="70"/>
      <c r="T306" s="70"/>
      <c r="U306" s="70"/>
      <c r="V306" s="70"/>
      <c r="W306" s="70"/>
      <c r="X306" s="70"/>
      <c r="Y306" s="70"/>
      <c r="Z306" s="70"/>
      <c r="AA306" s="70"/>
      <c r="AB306" s="70"/>
      <c r="AC306" s="70"/>
      <c r="AD306" s="70"/>
      <c r="AE306" s="70"/>
      <c r="AF306" s="70"/>
      <c r="AG306" s="70"/>
      <c r="AH306" s="70"/>
      <c r="AI306" s="70"/>
      <c r="AJ306" s="70"/>
      <c r="AK306" s="70"/>
      <c r="AL306" s="70"/>
      <c r="AM306" s="70"/>
      <c r="AN306" s="70"/>
      <c r="AO306" s="70"/>
      <c r="AP306" s="70"/>
      <c r="AQ306" s="70"/>
      <c r="AR306" s="70"/>
      <c r="AS306" s="70"/>
      <c r="AT306" s="70"/>
    </row>
    <row r="307" spans="1:46">
      <c r="A307" s="70"/>
      <c r="B307" s="70"/>
      <c r="C307" s="70"/>
      <c r="D307" s="70"/>
      <c r="E307" s="70"/>
      <c r="F307" s="70"/>
      <c r="G307" s="70"/>
      <c r="H307" s="54"/>
      <c r="I307" s="70"/>
      <c r="J307" s="70"/>
      <c r="K307" s="70"/>
      <c r="L307" s="70"/>
      <c r="M307" s="70"/>
      <c r="N307" s="70"/>
      <c r="O307" s="70"/>
      <c r="P307" s="70"/>
      <c r="Q307" s="70"/>
      <c r="R307" s="70"/>
      <c r="S307" s="70"/>
      <c r="T307" s="70"/>
      <c r="U307" s="70"/>
      <c r="V307" s="70"/>
      <c r="W307" s="70"/>
      <c r="X307" s="70"/>
      <c r="Y307" s="70"/>
      <c r="Z307" s="70"/>
      <c r="AA307" s="70"/>
      <c r="AB307" s="70"/>
      <c r="AC307" s="70"/>
      <c r="AD307" s="70"/>
      <c r="AE307" s="70"/>
      <c r="AF307" s="70"/>
      <c r="AG307" s="70"/>
      <c r="AH307" s="70"/>
      <c r="AI307" s="70"/>
      <c r="AJ307" s="70"/>
      <c r="AK307" s="70"/>
      <c r="AL307" s="70"/>
      <c r="AM307" s="70"/>
      <c r="AN307" s="70"/>
      <c r="AO307" s="70"/>
      <c r="AP307" s="70"/>
      <c r="AQ307" s="70"/>
      <c r="AR307" s="70"/>
      <c r="AS307" s="70"/>
      <c r="AT307" s="70"/>
    </row>
    <row r="308" spans="1:46">
      <c r="A308" s="70"/>
      <c r="B308" s="70"/>
      <c r="C308" s="70"/>
      <c r="D308" s="70"/>
      <c r="E308" s="70"/>
      <c r="F308" s="70"/>
      <c r="G308" s="70"/>
      <c r="H308" s="54"/>
      <c r="I308" s="70"/>
      <c r="J308" s="70"/>
      <c r="K308" s="70"/>
      <c r="L308" s="70"/>
      <c r="M308" s="70"/>
      <c r="N308" s="70"/>
      <c r="O308" s="70"/>
      <c r="P308" s="70"/>
      <c r="Q308" s="70"/>
      <c r="R308" s="70"/>
      <c r="S308" s="70"/>
      <c r="T308" s="70"/>
      <c r="U308" s="70"/>
      <c r="V308" s="70"/>
      <c r="W308" s="70"/>
      <c r="X308" s="70"/>
      <c r="Y308" s="70"/>
      <c r="Z308" s="70"/>
      <c r="AA308" s="70"/>
      <c r="AB308" s="70"/>
      <c r="AC308" s="70"/>
      <c r="AD308" s="70"/>
      <c r="AE308" s="70"/>
      <c r="AF308" s="70"/>
      <c r="AG308" s="70"/>
      <c r="AH308" s="70"/>
      <c r="AI308" s="70"/>
      <c r="AJ308" s="70"/>
      <c r="AK308" s="70"/>
      <c r="AL308" s="70"/>
      <c r="AM308" s="70"/>
      <c r="AN308" s="70"/>
      <c r="AO308" s="70"/>
      <c r="AP308" s="70"/>
      <c r="AQ308" s="70"/>
      <c r="AR308" s="70"/>
      <c r="AS308" s="70"/>
      <c r="AT308" s="70"/>
    </row>
    <row r="309" spans="1:46">
      <c r="A309" s="70"/>
      <c r="B309" s="70"/>
      <c r="C309" s="70"/>
      <c r="D309" s="70"/>
      <c r="E309" s="70"/>
      <c r="F309" s="70"/>
      <c r="G309" s="70"/>
      <c r="H309" s="54"/>
      <c r="I309" s="70"/>
      <c r="J309" s="70"/>
      <c r="K309" s="70"/>
      <c r="L309" s="70"/>
      <c r="M309" s="70"/>
      <c r="N309" s="70"/>
      <c r="O309" s="70"/>
      <c r="P309" s="70"/>
      <c r="Q309" s="70"/>
      <c r="R309" s="70"/>
      <c r="S309" s="70"/>
      <c r="T309" s="70"/>
      <c r="U309" s="70"/>
      <c r="V309" s="70"/>
      <c r="W309" s="70"/>
      <c r="X309" s="70"/>
      <c r="Y309" s="70"/>
      <c r="Z309" s="70"/>
      <c r="AA309" s="70"/>
      <c r="AB309" s="70"/>
      <c r="AC309" s="70"/>
      <c r="AD309" s="70"/>
      <c r="AE309" s="70"/>
      <c r="AF309" s="70"/>
      <c r="AG309" s="70"/>
      <c r="AH309" s="70"/>
      <c r="AI309" s="70"/>
      <c r="AJ309" s="70"/>
      <c r="AK309" s="70"/>
      <c r="AL309" s="70"/>
      <c r="AM309" s="70"/>
      <c r="AN309" s="70"/>
      <c r="AO309" s="70"/>
      <c r="AP309" s="70"/>
      <c r="AQ309" s="70"/>
      <c r="AR309" s="70"/>
      <c r="AS309" s="70"/>
      <c r="AT309" s="70"/>
    </row>
    <row r="310" spans="1:46">
      <c r="A310" s="70"/>
      <c r="B310" s="70"/>
      <c r="C310" s="70"/>
      <c r="D310" s="70"/>
      <c r="E310" s="70"/>
      <c r="F310" s="70"/>
      <c r="G310" s="70"/>
      <c r="H310" s="54"/>
      <c r="I310" s="70"/>
      <c r="J310" s="70"/>
      <c r="K310" s="70"/>
      <c r="L310" s="70"/>
      <c r="M310" s="70"/>
      <c r="N310" s="70"/>
      <c r="O310" s="70"/>
      <c r="P310" s="70"/>
      <c r="Q310" s="70"/>
      <c r="R310" s="70"/>
      <c r="S310" s="70"/>
      <c r="T310" s="70"/>
      <c r="U310" s="70"/>
      <c r="V310" s="70"/>
      <c r="W310" s="70"/>
      <c r="X310" s="70"/>
      <c r="Y310" s="70"/>
      <c r="Z310" s="70"/>
      <c r="AA310" s="70"/>
      <c r="AB310" s="70"/>
      <c r="AC310" s="70"/>
      <c r="AD310" s="70"/>
      <c r="AE310" s="70"/>
      <c r="AF310" s="70"/>
      <c r="AG310" s="70"/>
      <c r="AH310" s="70"/>
      <c r="AI310" s="70"/>
      <c r="AJ310" s="70"/>
      <c r="AK310" s="70"/>
      <c r="AL310" s="70"/>
      <c r="AM310" s="70"/>
      <c r="AN310" s="70"/>
      <c r="AO310" s="70"/>
      <c r="AP310" s="70"/>
      <c r="AQ310" s="70"/>
      <c r="AR310" s="70"/>
      <c r="AS310" s="70"/>
      <c r="AT310" s="70"/>
    </row>
    <row r="311" spans="1:46">
      <c r="A311" s="70"/>
      <c r="B311" s="70"/>
      <c r="C311" s="70"/>
      <c r="D311" s="70"/>
      <c r="E311" s="70"/>
      <c r="F311" s="70"/>
      <c r="G311" s="70"/>
      <c r="H311" s="54"/>
      <c r="I311" s="70"/>
      <c r="J311" s="70"/>
      <c r="K311" s="70"/>
      <c r="L311" s="70"/>
      <c r="M311" s="70"/>
      <c r="N311" s="70"/>
      <c r="O311" s="70"/>
      <c r="P311" s="70"/>
      <c r="Q311" s="70"/>
      <c r="R311" s="70"/>
      <c r="S311" s="70"/>
      <c r="T311" s="70"/>
      <c r="U311" s="70"/>
      <c r="V311" s="70"/>
      <c r="W311" s="70"/>
      <c r="X311" s="70"/>
      <c r="Y311" s="70"/>
      <c r="Z311" s="70"/>
      <c r="AA311" s="70"/>
      <c r="AB311" s="70"/>
      <c r="AC311" s="70"/>
      <c r="AD311" s="70"/>
      <c r="AE311" s="70"/>
      <c r="AF311" s="70"/>
      <c r="AG311" s="70"/>
      <c r="AH311" s="70"/>
      <c r="AI311" s="70"/>
      <c r="AJ311" s="70"/>
      <c r="AK311" s="70"/>
      <c r="AL311" s="70"/>
      <c r="AM311" s="70"/>
      <c r="AN311" s="70"/>
      <c r="AO311" s="70"/>
      <c r="AP311" s="70"/>
      <c r="AQ311" s="70"/>
      <c r="AR311" s="70"/>
      <c r="AS311" s="70"/>
      <c r="AT311" s="70"/>
    </row>
    <row r="312" spans="1:46">
      <c r="A312" s="70"/>
      <c r="B312" s="70"/>
      <c r="C312" s="70"/>
      <c r="D312" s="70"/>
      <c r="E312" s="70"/>
      <c r="F312" s="70"/>
      <c r="G312" s="70"/>
      <c r="H312" s="54"/>
      <c r="I312" s="70"/>
      <c r="J312" s="70"/>
      <c r="K312" s="70"/>
      <c r="L312" s="70"/>
      <c r="M312" s="70"/>
      <c r="N312" s="70"/>
      <c r="O312" s="70"/>
      <c r="P312" s="70"/>
      <c r="Q312" s="70"/>
      <c r="R312" s="70"/>
      <c r="S312" s="70"/>
      <c r="T312" s="70"/>
      <c r="U312" s="70"/>
      <c r="V312" s="70"/>
      <c r="W312" s="70"/>
      <c r="X312" s="70"/>
      <c r="Y312" s="70"/>
      <c r="Z312" s="70"/>
      <c r="AA312" s="70"/>
      <c r="AB312" s="70"/>
      <c r="AC312" s="70"/>
      <c r="AD312" s="70"/>
      <c r="AE312" s="70"/>
      <c r="AF312" s="70"/>
      <c r="AG312" s="70"/>
      <c r="AH312" s="70"/>
      <c r="AI312" s="70"/>
      <c r="AJ312" s="70"/>
      <c r="AK312" s="70"/>
      <c r="AL312" s="70"/>
      <c r="AM312" s="70"/>
      <c r="AN312" s="70"/>
      <c r="AO312" s="70"/>
      <c r="AP312" s="70"/>
      <c r="AQ312" s="70"/>
      <c r="AR312" s="70"/>
      <c r="AS312" s="70"/>
      <c r="AT312" s="70"/>
    </row>
    <row r="313" spans="1:46">
      <c r="A313" s="70"/>
      <c r="B313" s="70"/>
      <c r="C313" s="70"/>
      <c r="D313" s="70"/>
      <c r="E313" s="70"/>
      <c r="F313" s="70"/>
      <c r="G313" s="70"/>
      <c r="H313" s="54"/>
      <c r="I313" s="70"/>
      <c r="J313" s="70"/>
      <c r="K313" s="70"/>
      <c r="L313" s="70"/>
      <c r="M313" s="70"/>
      <c r="N313" s="70"/>
      <c r="O313" s="70"/>
      <c r="P313" s="70"/>
      <c r="Q313" s="70"/>
      <c r="R313" s="70"/>
      <c r="S313" s="70"/>
      <c r="T313" s="70"/>
      <c r="U313" s="70"/>
      <c r="V313" s="70"/>
      <c r="W313" s="70"/>
      <c r="X313" s="70"/>
      <c r="Y313" s="70"/>
      <c r="Z313" s="70"/>
      <c r="AA313" s="70"/>
      <c r="AB313" s="70"/>
      <c r="AC313" s="70"/>
      <c r="AD313" s="70"/>
      <c r="AE313" s="70"/>
      <c r="AF313" s="70"/>
      <c r="AG313" s="70"/>
      <c r="AH313" s="70"/>
      <c r="AI313" s="70"/>
      <c r="AJ313" s="70"/>
      <c r="AK313" s="70"/>
      <c r="AL313" s="70"/>
      <c r="AM313" s="70"/>
      <c r="AN313" s="70"/>
      <c r="AO313" s="70"/>
      <c r="AP313" s="70"/>
      <c r="AQ313" s="70"/>
      <c r="AR313" s="70"/>
      <c r="AS313" s="70"/>
      <c r="AT313" s="70"/>
    </row>
    <row r="314" spans="1:46">
      <c r="A314" s="70"/>
      <c r="B314" s="70"/>
      <c r="C314" s="70"/>
      <c r="D314" s="70"/>
      <c r="E314" s="70"/>
      <c r="F314" s="70"/>
      <c r="G314" s="70"/>
      <c r="H314" s="54"/>
      <c r="I314" s="70"/>
      <c r="J314" s="70"/>
      <c r="K314" s="70"/>
      <c r="L314" s="70"/>
      <c r="M314" s="70"/>
      <c r="N314" s="70"/>
      <c r="O314" s="70"/>
      <c r="P314" s="70"/>
      <c r="Q314" s="70"/>
      <c r="R314" s="70"/>
      <c r="S314" s="70"/>
      <c r="T314" s="70"/>
      <c r="U314" s="70"/>
      <c r="V314" s="70"/>
      <c r="W314" s="70"/>
      <c r="X314" s="70"/>
      <c r="Y314" s="70"/>
      <c r="Z314" s="70"/>
      <c r="AA314" s="70"/>
      <c r="AB314" s="70"/>
      <c r="AC314" s="70"/>
      <c r="AD314" s="70"/>
      <c r="AE314" s="70"/>
      <c r="AF314" s="70"/>
      <c r="AG314" s="70"/>
      <c r="AH314" s="70"/>
      <c r="AI314" s="70"/>
      <c r="AJ314" s="70"/>
      <c r="AK314" s="70"/>
      <c r="AL314" s="70"/>
      <c r="AM314" s="70"/>
      <c r="AN314" s="70"/>
      <c r="AO314" s="70"/>
      <c r="AP314" s="70"/>
      <c r="AQ314" s="70"/>
      <c r="AR314" s="70"/>
      <c r="AS314" s="70"/>
      <c r="AT314" s="70"/>
    </row>
    <row r="315" spans="1:46">
      <c r="A315" s="70"/>
      <c r="B315" s="70"/>
      <c r="C315" s="70"/>
      <c r="D315" s="70"/>
      <c r="E315" s="70"/>
      <c r="F315" s="70"/>
      <c r="G315" s="70"/>
      <c r="H315" s="54"/>
      <c r="I315" s="70"/>
      <c r="J315" s="70"/>
      <c r="K315" s="70"/>
      <c r="L315" s="70"/>
      <c r="M315" s="70"/>
      <c r="N315" s="70"/>
      <c r="O315" s="70"/>
      <c r="P315" s="70"/>
      <c r="Q315" s="70"/>
      <c r="R315" s="70"/>
      <c r="S315" s="70"/>
      <c r="T315" s="70"/>
      <c r="U315" s="70"/>
      <c r="V315" s="70"/>
      <c r="W315" s="70"/>
      <c r="X315" s="70"/>
      <c r="Y315" s="70"/>
      <c r="Z315" s="70"/>
      <c r="AA315" s="70"/>
      <c r="AB315" s="70"/>
      <c r="AC315" s="70"/>
      <c r="AD315" s="70"/>
      <c r="AE315" s="70"/>
      <c r="AF315" s="70"/>
      <c r="AG315" s="70"/>
      <c r="AH315" s="70"/>
      <c r="AI315" s="70"/>
      <c r="AJ315" s="70"/>
      <c r="AK315" s="70"/>
      <c r="AL315" s="70"/>
      <c r="AM315" s="70"/>
      <c r="AN315" s="70"/>
      <c r="AO315" s="70"/>
      <c r="AP315" s="70"/>
      <c r="AQ315" s="70"/>
      <c r="AR315" s="70"/>
      <c r="AS315" s="70"/>
      <c r="AT315" s="70"/>
    </row>
    <row r="316" spans="1:46">
      <c r="A316" s="70"/>
      <c r="B316" s="70"/>
      <c r="C316" s="70"/>
      <c r="D316" s="70"/>
      <c r="E316" s="70"/>
      <c r="F316" s="70"/>
      <c r="G316" s="70"/>
      <c r="H316" s="54"/>
      <c r="I316" s="70"/>
      <c r="J316" s="70"/>
      <c r="K316" s="70"/>
      <c r="L316" s="70"/>
      <c r="M316" s="70"/>
      <c r="N316" s="70"/>
      <c r="O316" s="70"/>
      <c r="P316" s="70"/>
      <c r="Q316" s="70"/>
      <c r="R316" s="70"/>
      <c r="S316" s="70"/>
      <c r="T316" s="70"/>
      <c r="U316" s="70"/>
      <c r="V316" s="70"/>
      <c r="W316" s="70"/>
      <c r="X316" s="70"/>
      <c r="Y316" s="70"/>
      <c r="Z316" s="70"/>
      <c r="AA316" s="70"/>
      <c r="AB316" s="70"/>
      <c r="AC316" s="70"/>
      <c r="AD316" s="70"/>
      <c r="AE316" s="70"/>
      <c r="AF316" s="70"/>
      <c r="AG316" s="70"/>
      <c r="AH316" s="70"/>
      <c r="AI316" s="70"/>
      <c r="AJ316" s="70"/>
      <c r="AK316" s="70"/>
      <c r="AL316" s="70"/>
      <c r="AM316" s="70"/>
      <c r="AN316" s="70"/>
      <c r="AO316" s="70"/>
      <c r="AP316" s="70"/>
      <c r="AQ316" s="70"/>
      <c r="AR316" s="70"/>
      <c r="AS316" s="70"/>
      <c r="AT316" s="70"/>
    </row>
    <row r="317" spans="1:46">
      <c r="A317" s="70"/>
      <c r="B317" s="70"/>
      <c r="C317" s="70"/>
      <c r="D317" s="70"/>
      <c r="E317" s="70"/>
      <c r="F317" s="70"/>
      <c r="G317" s="70"/>
      <c r="H317" s="54"/>
      <c r="I317" s="70"/>
      <c r="J317" s="70"/>
      <c r="K317" s="70"/>
      <c r="L317" s="70"/>
      <c r="M317" s="70"/>
      <c r="N317" s="70"/>
      <c r="O317" s="70"/>
      <c r="P317" s="70"/>
      <c r="Q317" s="70"/>
      <c r="R317" s="70"/>
      <c r="S317" s="70"/>
      <c r="T317" s="70"/>
      <c r="U317" s="70"/>
      <c r="V317" s="70"/>
      <c r="W317" s="70"/>
      <c r="X317" s="70"/>
      <c r="Y317" s="70"/>
      <c r="Z317" s="70"/>
      <c r="AA317" s="70"/>
      <c r="AB317" s="70"/>
      <c r="AC317" s="70"/>
      <c r="AD317" s="70"/>
      <c r="AE317" s="70"/>
      <c r="AF317" s="70"/>
      <c r="AG317" s="70"/>
      <c r="AH317" s="70"/>
      <c r="AI317" s="70"/>
      <c r="AJ317" s="70"/>
      <c r="AK317" s="70"/>
      <c r="AL317" s="70"/>
      <c r="AM317" s="70"/>
      <c r="AN317" s="70"/>
      <c r="AO317" s="70"/>
      <c r="AP317" s="70"/>
      <c r="AQ317" s="70"/>
      <c r="AR317" s="70"/>
      <c r="AS317" s="70"/>
      <c r="AT317" s="70"/>
    </row>
    <row r="318" spans="1:46">
      <c r="A318" s="70"/>
      <c r="B318" s="70"/>
      <c r="C318" s="70"/>
      <c r="D318" s="70"/>
      <c r="E318" s="70"/>
      <c r="F318" s="70"/>
      <c r="G318" s="70"/>
      <c r="H318" s="54"/>
      <c r="I318" s="70"/>
      <c r="J318" s="70"/>
      <c r="K318" s="70"/>
      <c r="L318" s="70"/>
      <c r="M318" s="70"/>
      <c r="N318" s="70"/>
      <c r="O318" s="70"/>
      <c r="P318" s="70"/>
      <c r="Q318" s="70"/>
      <c r="R318" s="70"/>
      <c r="S318" s="70"/>
      <c r="T318" s="70"/>
      <c r="U318" s="70"/>
      <c r="V318" s="70"/>
      <c r="W318" s="70"/>
      <c r="X318" s="70"/>
      <c r="Y318" s="70"/>
      <c r="Z318" s="70"/>
      <c r="AA318" s="70"/>
      <c r="AB318" s="70"/>
      <c r="AC318" s="70"/>
      <c r="AD318" s="70"/>
      <c r="AE318" s="70"/>
      <c r="AF318" s="70"/>
      <c r="AG318" s="70"/>
      <c r="AH318" s="70"/>
      <c r="AI318" s="70"/>
      <c r="AJ318" s="70"/>
      <c r="AK318" s="70"/>
      <c r="AL318" s="70"/>
      <c r="AM318" s="70"/>
      <c r="AN318" s="70"/>
      <c r="AO318" s="70"/>
      <c r="AP318" s="70"/>
      <c r="AQ318" s="70"/>
      <c r="AR318" s="70"/>
      <c r="AS318" s="70"/>
      <c r="AT318" s="70"/>
    </row>
    <row r="319" spans="1:46">
      <c r="A319" s="70"/>
      <c r="B319" s="70"/>
      <c r="C319" s="70"/>
      <c r="D319" s="70"/>
      <c r="E319" s="70"/>
      <c r="F319" s="70"/>
      <c r="G319" s="70"/>
      <c r="H319" s="54"/>
      <c r="I319" s="70"/>
      <c r="J319" s="70"/>
      <c r="K319" s="70"/>
      <c r="L319" s="70"/>
      <c r="M319" s="70"/>
      <c r="N319" s="70"/>
      <c r="O319" s="70"/>
      <c r="P319" s="70"/>
      <c r="Q319" s="70"/>
      <c r="R319" s="70"/>
      <c r="S319" s="70"/>
      <c r="T319" s="70"/>
      <c r="U319" s="70"/>
      <c r="V319" s="70"/>
      <c r="W319" s="70"/>
      <c r="X319" s="70"/>
      <c r="Y319" s="70"/>
      <c r="Z319" s="70"/>
      <c r="AA319" s="70"/>
      <c r="AB319" s="70"/>
      <c r="AC319" s="70"/>
      <c r="AD319" s="70"/>
      <c r="AE319" s="70"/>
      <c r="AF319" s="70"/>
      <c r="AG319" s="70"/>
      <c r="AH319" s="70"/>
      <c r="AI319" s="70"/>
      <c r="AJ319" s="70"/>
      <c r="AK319" s="70"/>
      <c r="AL319" s="70"/>
      <c r="AM319" s="70"/>
      <c r="AN319" s="70"/>
      <c r="AO319" s="70"/>
      <c r="AP319" s="70"/>
      <c r="AQ319" s="70"/>
      <c r="AR319" s="70"/>
      <c r="AS319" s="70"/>
      <c r="AT319" s="70"/>
    </row>
    <row r="320" spans="1:46">
      <c r="A320" s="70"/>
      <c r="B320" s="70"/>
      <c r="C320" s="70"/>
      <c r="D320" s="70"/>
      <c r="E320" s="70"/>
      <c r="F320" s="70"/>
      <c r="G320" s="70"/>
      <c r="H320" s="54"/>
      <c r="I320" s="70"/>
      <c r="J320" s="70"/>
      <c r="K320" s="70"/>
      <c r="L320" s="70"/>
      <c r="M320" s="70"/>
      <c r="N320" s="70"/>
      <c r="O320" s="70"/>
      <c r="P320" s="70"/>
      <c r="Q320" s="70"/>
      <c r="R320" s="70"/>
      <c r="S320" s="70"/>
      <c r="T320" s="70"/>
      <c r="U320" s="70"/>
      <c r="V320" s="70"/>
      <c r="W320" s="70"/>
      <c r="X320" s="70"/>
      <c r="Y320" s="70"/>
      <c r="Z320" s="70"/>
      <c r="AA320" s="70"/>
      <c r="AB320" s="70"/>
      <c r="AC320" s="70"/>
      <c r="AD320" s="70"/>
      <c r="AE320" s="70"/>
      <c r="AF320" s="70"/>
      <c r="AG320" s="70"/>
      <c r="AH320" s="70"/>
      <c r="AI320" s="70"/>
      <c r="AJ320" s="70"/>
      <c r="AK320" s="70"/>
      <c r="AL320" s="70"/>
      <c r="AM320" s="70"/>
      <c r="AN320" s="70"/>
      <c r="AO320" s="70"/>
      <c r="AP320" s="70"/>
      <c r="AQ320" s="70"/>
      <c r="AR320" s="70"/>
      <c r="AS320" s="70"/>
      <c r="AT320" s="70"/>
    </row>
    <row r="321" spans="1:46">
      <c r="A321" s="70"/>
      <c r="B321" s="70"/>
      <c r="C321" s="70"/>
      <c r="D321" s="70"/>
      <c r="E321" s="70"/>
      <c r="F321" s="70"/>
      <c r="G321" s="70"/>
      <c r="H321" s="54"/>
      <c r="I321" s="70"/>
      <c r="J321" s="70"/>
      <c r="K321" s="70"/>
      <c r="L321" s="70"/>
      <c r="M321" s="70"/>
      <c r="N321" s="70"/>
      <c r="O321" s="70"/>
      <c r="P321" s="70"/>
      <c r="Q321" s="70"/>
      <c r="R321" s="70"/>
      <c r="S321" s="70"/>
      <c r="T321" s="70"/>
      <c r="U321" s="70"/>
      <c r="V321" s="70"/>
      <c r="W321" s="70"/>
      <c r="X321" s="70"/>
      <c r="Y321" s="70"/>
      <c r="Z321" s="70"/>
      <c r="AA321" s="70"/>
      <c r="AB321" s="70"/>
      <c r="AC321" s="70"/>
      <c r="AD321" s="70"/>
      <c r="AE321" s="70"/>
      <c r="AF321" s="70"/>
      <c r="AG321" s="70"/>
      <c r="AH321" s="70"/>
      <c r="AI321" s="70"/>
      <c r="AJ321" s="70"/>
      <c r="AK321" s="70"/>
      <c r="AL321" s="70"/>
      <c r="AM321" s="70"/>
      <c r="AN321" s="70"/>
      <c r="AO321" s="70"/>
      <c r="AP321" s="70"/>
      <c r="AQ321" s="70"/>
      <c r="AR321" s="70"/>
      <c r="AS321" s="70"/>
      <c r="AT321" s="70"/>
    </row>
    <row r="322" spans="1:46">
      <c r="A322" s="70"/>
      <c r="B322" s="70"/>
      <c r="C322" s="70"/>
      <c r="D322" s="70"/>
      <c r="E322" s="70"/>
      <c r="F322" s="70"/>
      <c r="G322" s="70"/>
      <c r="H322" s="54"/>
      <c r="I322" s="70"/>
      <c r="J322" s="70"/>
      <c r="K322" s="70"/>
      <c r="L322" s="70"/>
      <c r="M322" s="70"/>
      <c r="N322" s="70"/>
      <c r="O322" s="70"/>
      <c r="P322" s="70"/>
      <c r="Q322" s="70"/>
      <c r="R322" s="70"/>
      <c r="S322" s="70"/>
      <c r="T322" s="70"/>
      <c r="U322" s="70"/>
      <c r="V322" s="70"/>
      <c r="W322" s="70"/>
      <c r="X322" s="70"/>
      <c r="Y322" s="70"/>
      <c r="Z322" s="70"/>
      <c r="AA322" s="70"/>
      <c r="AB322" s="70"/>
      <c r="AC322" s="70"/>
      <c r="AD322" s="70"/>
      <c r="AE322" s="70"/>
      <c r="AF322" s="70"/>
      <c r="AG322" s="70"/>
      <c r="AH322" s="70"/>
      <c r="AI322" s="70"/>
      <c r="AJ322" s="70"/>
      <c r="AK322" s="70"/>
      <c r="AL322" s="70"/>
      <c r="AM322" s="70"/>
      <c r="AN322" s="70"/>
      <c r="AO322" s="70"/>
      <c r="AP322" s="70"/>
      <c r="AQ322" s="70"/>
      <c r="AR322" s="70"/>
      <c r="AS322" s="70"/>
      <c r="AT322" s="70"/>
    </row>
    <row r="323" spans="1:46">
      <c r="A323" s="70"/>
      <c r="B323" s="70"/>
      <c r="C323" s="70"/>
      <c r="D323" s="70"/>
      <c r="E323" s="70"/>
      <c r="F323" s="70"/>
      <c r="G323" s="70"/>
      <c r="H323" s="54"/>
      <c r="I323" s="70"/>
      <c r="J323" s="70"/>
      <c r="K323" s="70"/>
      <c r="L323" s="70"/>
      <c r="M323" s="70"/>
      <c r="N323" s="70"/>
      <c r="O323" s="70"/>
      <c r="P323" s="70"/>
      <c r="Q323" s="70"/>
      <c r="R323" s="70"/>
      <c r="S323" s="70"/>
      <c r="T323" s="70"/>
      <c r="U323" s="70"/>
      <c r="V323" s="70"/>
      <c r="W323" s="70"/>
      <c r="X323" s="70"/>
      <c r="Y323" s="70"/>
      <c r="Z323" s="70"/>
      <c r="AA323" s="70"/>
      <c r="AB323" s="70"/>
      <c r="AC323" s="70"/>
      <c r="AD323" s="70"/>
      <c r="AE323" s="70"/>
      <c r="AF323" s="70"/>
      <c r="AG323" s="70"/>
      <c r="AH323" s="70"/>
      <c r="AI323" s="70"/>
      <c r="AJ323" s="70"/>
      <c r="AK323" s="70"/>
      <c r="AL323" s="70"/>
      <c r="AM323" s="70"/>
      <c r="AN323" s="70"/>
      <c r="AO323" s="70"/>
      <c r="AP323" s="70"/>
      <c r="AQ323" s="70"/>
      <c r="AR323" s="70"/>
      <c r="AS323" s="70"/>
      <c r="AT323" s="70"/>
    </row>
    <row r="324" spans="1:46">
      <c r="A324" s="70"/>
      <c r="B324" s="70"/>
      <c r="C324" s="70"/>
      <c r="D324" s="70"/>
      <c r="E324" s="70"/>
      <c r="F324" s="70"/>
      <c r="G324" s="70"/>
      <c r="H324" s="54"/>
      <c r="I324" s="70"/>
      <c r="J324" s="70"/>
      <c r="K324" s="70"/>
      <c r="L324" s="70"/>
      <c r="M324" s="70"/>
      <c r="N324" s="70"/>
      <c r="O324" s="70"/>
      <c r="P324" s="70"/>
      <c r="Q324" s="70"/>
      <c r="R324" s="70"/>
      <c r="S324" s="70"/>
      <c r="T324" s="70"/>
      <c r="U324" s="70"/>
      <c r="V324" s="70"/>
      <c r="W324" s="70"/>
      <c r="X324" s="70"/>
      <c r="Y324" s="70"/>
      <c r="Z324" s="70"/>
      <c r="AA324" s="70"/>
      <c r="AB324" s="70"/>
      <c r="AC324" s="70"/>
      <c r="AD324" s="70"/>
      <c r="AE324" s="70"/>
      <c r="AF324" s="70"/>
      <c r="AG324" s="70"/>
      <c r="AH324" s="70"/>
      <c r="AI324" s="70"/>
      <c r="AJ324" s="70"/>
      <c r="AK324" s="70"/>
      <c r="AL324" s="70"/>
      <c r="AM324" s="70"/>
      <c r="AN324" s="70"/>
      <c r="AO324" s="70"/>
      <c r="AP324" s="70"/>
      <c r="AQ324" s="70"/>
      <c r="AR324" s="70"/>
      <c r="AS324" s="70"/>
      <c r="AT324" s="70"/>
    </row>
    <row r="325" spans="1:46">
      <c r="A325" s="70"/>
      <c r="B325" s="70"/>
      <c r="C325" s="70"/>
      <c r="D325" s="70"/>
      <c r="E325" s="70"/>
      <c r="F325" s="70"/>
      <c r="G325" s="70"/>
      <c r="H325" s="54"/>
      <c r="I325" s="70"/>
      <c r="J325" s="70"/>
      <c r="K325" s="70"/>
      <c r="L325" s="70"/>
      <c r="M325" s="70"/>
      <c r="N325" s="70"/>
      <c r="O325" s="70"/>
      <c r="P325" s="70"/>
      <c r="Q325" s="70"/>
      <c r="R325" s="70"/>
      <c r="S325" s="70"/>
      <c r="T325" s="70"/>
      <c r="U325" s="70"/>
      <c r="V325" s="70"/>
      <c r="W325" s="70"/>
      <c r="X325" s="70"/>
      <c r="Y325" s="70"/>
      <c r="Z325" s="70"/>
      <c r="AA325" s="70"/>
      <c r="AB325" s="70"/>
      <c r="AC325" s="70"/>
      <c r="AD325" s="70"/>
      <c r="AE325" s="70"/>
      <c r="AF325" s="70"/>
      <c r="AG325" s="70"/>
      <c r="AH325" s="70"/>
      <c r="AI325" s="70"/>
      <c r="AJ325" s="70"/>
      <c r="AK325" s="70"/>
      <c r="AL325" s="70"/>
      <c r="AM325" s="70"/>
      <c r="AN325" s="70"/>
      <c r="AO325" s="70"/>
      <c r="AP325" s="70"/>
      <c r="AQ325" s="70"/>
      <c r="AR325" s="70"/>
      <c r="AS325" s="70"/>
      <c r="AT325" s="70"/>
    </row>
    <row r="326" spans="1:46">
      <c r="A326" s="70"/>
      <c r="B326" s="70"/>
      <c r="C326" s="70"/>
      <c r="D326" s="70"/>
      <c r="E326" s="70"/>
      <c r="F326" s="70"/>
      <c r="G326" s="70"/>
      <c r="H326" s="54"/>
      <c r="I326" s="70"/>
      <c r="J326" s="70"/>
      <c r="K326" s="70"/>
      <c r="L326" s="70"/>
      <c r="M326" s="70"/>
      <c r="N326" s="70"/>
      <c r="O326" s="70"/>
      <c r="P326" s="70"/>
      <c r="Q326" s="70"/>
      <c r="R326" s="70"/>
      <c r="S326" s="70"/>
      <c r="T326" s="70"/>
      <c r="U326" s="70"/>
      <c r="V326" s="70"/>
      <c r="W326" s="70"/>
      <c r="X326" s="70"/>
      <c r="Y326" s="70"/>
      <c r="Z326" s="70"/>
      <c r="AA326" s="70"/>
      <c r="AB326" s="70"/>
      <c r="AC326" s="70"/>
      <c r="AD326" s="70"/>
      <c r="AE326" s="70"/>
      <c r="AF326" s="70"/>
      <c r="AG326" s="70"/>
      <c r="AH326" s="70"/>
      <c r="AI326" s="70"/>
      <c r="AJ326" s="70"/>
      <c r="AK326" s="70"/>
      <c r="AL326" s="70"/>
      <c r="AM326" s="70"/>
      <c r="AN326" s="70"/>
      <c r="AO326" s="70"/>
      <c r="AP326" s="70"/>
      <c r="AQ326" s="70"/>
      <c r="AR326" s="70"/>
      <c r="AS326" s="70"/>
      <c r="AT326" s="70"/>
    </row>
    <row r="327" spans="1:46">
      <c r="A327" s="70"/>
      <c r="B327" s="70"/>
      <c r="C327" s="70"/>
      <c r="D327" s="70"/>
      <c r="E327" s="70"/>
      <c r="F327" s="70"/>
      <c r="G327" s="70"/>
      <c r="H327" s="54"/>
      <c r="I327" s="70"/>
      <c r="J327" s="70"/>
      <c r="K327" s="70"/>
      <c r="L327" s="70"/>
      <c r="M327" s="70"/>
      <c r="N327" s="70"/>
      <c r="O327" s="70"/>
      <c r="P327" s="70"/>
      <c r="Q327" s="70"/>
      <c r="R327" s="70"/>
      <c r="S327" s="70"/>
      <c r="T327" s="70"/>
      <c r="U327" s="70"/>
      <c r="V327" s="70"/>
      <c r="W327" s="70"/>
      <c r="X327" s="70"/>
      <c r="Y327" s="70"/>
      <c r="Z327" s="70"/>
      <c r="AA327" s="70"/>
      <c r="AB327" s="70"/>
      <c r="AC327" s="70"/>
      <c r="AD327" s="70"/>
      <c r="AE327" s="70"/>
      <c r="AF327" s="70"/>
      <c r="AG327" s="70"/>
      <c r="AH327" s="70"/>
      <c r="AI327" s="70"/>
      <c r="AJ327" s="70"/>
      <c r="AK327" s="70"/>
      <c r="AL327" s="70"/>
      <c r="AM327" s="70"/>
      <c r="AN327" s="70"/>
      <c r="AO327" s="70"/>
      <c r="AP327" s="70"/>
      <c r="AQ327" s="70"/>
      <c r="AR327" s="70"/>
      <c r="AS327" s="70"/>
      <c r="AT327" s="70"/>
    </row>
    <row r="328" spans="1:46">
      <c r="A328" s="70"/>
      <c r="B328" s="70"/>
      <c r="C328" s="70"/>
      <c r="D328" s="70"/>
      <c r="E328" s="70"/>
      <c r="F328" s="70"/>
      <c r="G328" s="70"/>
      <c r="H328" s="54"/>
      <c r="I328" s="70"/>
      <c r="J328" s="70"/>
      <c r="K328" s="70"/>
      <c r="L328" s="70"/>
      <c r="M328" s="70"/>
      <c r="N328" s="70"/>
      <c r="O328" s="70"/>
      <c r="P328" s="70"/>
      <c r="Q328" s="70"/>
      <c r="R328" s="70"/>
      <c r="S328" s="70"/>
      <c r="T328" s="70"/>
      <c r="U328" s="70"/>
      <c r="V328" s="70"/>
      <c r="W328" s="70"/>
      <c r="X328" s="70"/>
      <c r="Y328" s="70"/>
      <c r="Z328" s="70"/>
      <c r="AA328" s="70"/>
      <c r="AB328" s="70"/>
      <c r="AC328" s="70"/>
      <c r="AD328" s="70"/>
      <c r="AE328" s="70"/>
      <c r="AF328" s="70"/>
      <c r="AG328" s="70"/>
      <c r="AH328" s="70"/>
      <c r="AI328" s="70"/>
      <c r="AJ328" s="70"/>
      <c r="AK328" s="70"/>
      <c r="AL328" s="70"/>
      <c r="AM328" s="70"/>
      <c r="AN328" s="70"/>
      <c r="AO328" s="70"/>
      <c r="AP328" s="70"/>
      <c r="AQ328" s="70"/>
      <c r="AR328" s="70"/>
      <c r="AS328" s="70"/>
      <c r="AT328" s="70"/>
    </row>
    <row r="329" spans="1:46">
      <c r="A329" s="70"/>
      <c r="B329" s="70"/>
      <c r="C329" s="70"/>
      <c r="D329" s="70"/>
      <c r="E329" s="70"/>
      <c r="F329" s="70"/>
      <c r="G329" s="70"/>
      <c r="H329" s="54"/>
      <c r="I329" s="70"/>
      <c r="J329" s="70"/>
      <c r="K329" s="70"/>
      <c r="L329" s="70"/>
      <c r="M329" s="70"/>
      <c r="N329" s="70"/>
      <c r="O329" s="70"/>
      <c r="P329" s="70"/>
      <c r="Q329" s="70"/>
      <c r="R329" s="70"/>
      <c r="S329" s="70"/>
      <c r="T329" s="70"/>
      <c r="U329" s="70"/>
      <c r="V329" s="70"/>
      <c r="W329" s="70"/>
      <c r="X329" s="70"/>
      <c r="Y329" s="70"/>
      <c r="Z329" s="70"/>
      <c r="AA329" s="70"/>
      <c r="AB329" s="70"/>
      <c r="AC329" s="70"/>
      <c r="AD329" s="70"/>
      <c r="AE329" s="70"/>
      <c r="AF329" s="70"/>
      <c r="AG329" s="70"/>
      <c r="AH329" s="70"/>
      <c r="AI329" s="70"/>
      <c r="AJ329" s="70"/>
      <c r="AK329" s="70"/>
      <c r="AL329" s="70"/>
      <c r="AM329" s="70"/>
      <c r="AN329" s="70"/>
      <c r="AO329" s="70"/>
      <c r="AP329" s="70"/>
      <c r="AQ329" s="70"/>
      <c r="AR329" s="70"/>
      <c r="AS329" s="70"/>
      <c r="AT329" s="70"/>
    </row>
    <row r="330" spans="1:46">
      <c r="A330" s="70"/>
      <c r="B330" s="70"/>
      <c r="C330" s="70"/>
      <c r="D330" s="70"/>
      <c r="E330" s="70"/>
      <c r="F330" s="70"/>
      <c r="G330" s="70"/>
      <c r="H330" s="54"/>
      <c r="I330" s="70"/>
      <c r="J330" s="70"/>
      <c r="K330" s="70"/>
      <c r="L330" s="70"/>
      <c r="M330" s="70"/>
      <c r="N330" s="70"/>
      <c r="O330" s="70"/>
      <c r="P330" s="70"/>
      <c r="Q330" s="70"/>
      <c r="R330" s="70"/>
      <c r="S330" s="70"/>
      <c r="T330" s="70"/>
      <c r="U330" s="70"/>
      <c r="V330" s="70"/>
      <c r="W330" s="70"/>
      <c r="X330" s="70"/>
      <c r="Y330" s="70"/>
      <c r="Z330" s="70"/>
      <c r="AA330" s="70"/>
      <c r="AB330" s="70"/>
      <c r="AC330" s="70"/>
      <c r="AD330" s="70"/>
      <c r="AE330" s="70"/>
      <c r="AF330" s="70"/>
      <c r="AG330" s="70"/>
      <c r="AH330" s="70"/>
      <c r="AI330" s="70"/>
      <c r="AJ330" s="70"/>
      <c r="AK330" s="70"/>
      <c r="AL330" s="70"/>
      <c r="AM330" s="70"/>
      <c r="AN330" s="70"/>
      <c r="AO330" s="70"/>
      <c r="AP330" s="70"/>
      <c r="AQ330" s="70"/>
      <c r="AR330" s="70"/>
      <c r="AS330" s="70"/>
      <c r="AT330" s="70"/>
    </row>
    <row r="331" spans="1:46">
      <c r="A331" s="70"/>
      <c r="B331" s="70"/>
      <c r="C331" s="70"/>
      <c r="D331" s="70"/>
      <c r="E331" s="70"/>
      <c r="F331" s="70"/>
      <c r="G331" s="70"/>
      <c r="H331" s="54"/>
      <c r="I331" s="70"/>
      <c r="J331" s="70"/>
      <c r="K331" s="70"/>
      <c r="L331" s="70"/>
      <c r="M331" s="70"/>
      <c r="N331" s="70"/>
      <c r="O331" s="70"/>
      <c r="P331" s="70"/>
      <c r="Q331" s="70"/>
      <c r="R331" s="70"/>
      <c r="S331" s="70"/>
      <c r="T331" s="70"/>
      <c r="U331" s="70"/>
      <c r="V331" s="70"/>
      <c r="W331" s="70"/>
      <c r="X331" s="70"/>
      <c r="Y331" s="70"/>
      <c r="Z331" s="70"/>
      <c r="AA331" s="70"/>
      <c r="AB331" s="70"/>
      <c r="AC331" s="70"/>
      <c r="AD331" s="70"/>
      <c r="AE331" s="70"/>
      <c r="AF331" s="70"/>
      <c r="AG331" s="70"/>
      <c r="AH331" s="70"/>
      <c r="AI331" s="70"/>
      <c r="AJ331" s="70"/>
      <c r="AK331" s="70"/>
      <c r="AL331" s="70"/>
      <c r="AM331" s="70"/>
      <c r="AN331" s="70"/>
      <c r="AO331" s="70"/>
      <c r="AP331" s="70"/>
      <c r="AQ331" s="70"/>
      <c r="AR331" s="70"/>
      <c r="AS331" s="70"/>
      <c r="AT331" s="70"/>
    </row>
    <row r="332" spans="1:46">
      <c r="A332" s="70"/>
      <c r="B332" s="70"/>
      <c r="C332" s="70"/>
      <c r="D332" s="70"/>
      <c r="E332" s="70"/>
      <c r="F332" s="70"/>
      <c r="G332" s="70"/>
      <c r="H332" s="54"/>
      <c r="I332" s="70"/>
      <c r="J332" s="70"/>
      <c r="K332" s="70"/>
      <c r="L332" s="70"/>
      <c r="M332" s="70"/>
      <c r="N332" s="70"/>
      <c r="O332" s="70"/>
      <c r="P332" s="70"/>
      <c r="Q332" s="70"/>
      <c r="R332" s="70"/>
      <c r="S332" s="70"/>
      <c r="T332" s="70"/>
      <c r="U332" s="70"/>
      <c r="V332" s="70"/>
      <c r="W332" s="70"/>
      <c r="X332" s="70"/>
      <c r="Y332" s="70"/>
      <c r="Z332" s="70"/>
      <c r="AA332" s="70"/>
      <c r="AB332" s="70"/>
      <c r="AC332" s="70"/>
      <c r="AD332" s="70"/>
      <c r="AE332" s="70"/>
      <c r="AF332" s="70"/>
      <c r="AG332" s="70"/>
      <c r="AH332" s="70"/>
      <c r="AI332" s="70"/>
      <c r="AJ332" s="70"/>
      <c r="AK332" s="70"/>
      <c r="AL332" s="70"/>
      <c r="AM332" s="70"/>
      <c r="AN332" s="70"/>
      <c r="AO332" s="70"/>
      <c r="AP332" s="70"/>
      <c r="AQ332" s="70"/>
      <c r="AR332" s="70"/>
      <c r="AS332" s="70"/>
      <c r="AT332" s="70"/>
    </row>
    <row r="333" spans="1:46">
      <c r="A333" s="70"/>
      <c r="B333" s="70"/>
      <c r="C333" s="70"/>
      <c r="D333" s="70"/>
      <c r="E333" s="70"/>
      <c r="F333" s="70"/>
      <c r="G333" s="70"/>
      <c r="H333" s="54"/>
      <c r="I333" s="70"/>
      <c r="J333" s="70"/>
      <c r="K333" s="70"/>
      <c r="L333" s="70"/>
      <c r="M333" s="70"/>
      <c r="N333" s="70"/>
      <c r="O333" s="70"/>
      <c r="P333" s="70"/>
      <c r="Q333" s="70"/>
      <c r="R333" s="70"/>
      <c r="S333" s="70"/>
      <c r="T333" s="70"/>
      <c r="U333" s="70"/>
      <c r="V333" s="70"/>
      <c r="W333" s="70"/>
      <c r="X333" s="70"/>
      <c r="Y333" s="70"/>
      <c r="Z333" s="70"/>
      <c r="AA333" s="70"/>
      <c r="AB333" s="70"/>
      <c r="AC333" s="70"/>
      <c r="AD333" s="70"/>
      <c r="AE333" s="70"/>
      <c r="AF333" s="70"/>
      <c r="AG333" s="70"/>
      <c r="AH333" s="70"/>
      <c r="AI333" s="70"/>
      <c r="AJ333" s="70"/>
      <c r="AK333" s="70"/>
      <c r="AL333" s="70"/>
      <c r="AM333" s="70"/>
      <c r="AN333" s="70"/>
      <c r="AO333" s="70"/>
      <c r="AP333" s="70"/>
      <c r="AQ333" s="70"/>
      <c r="AR333" s="70"/>
      <c r="AS333" s="70"/>
      <c r="AT333" s="70"/>
    </row>
    <row r="334" spans="1:46">
      <c r="A334" s="70"/>
      <c r="B334" s="70"/>
      <c r="C334" s="70"/>
      <c r="D334" s="70"/>
      <c r="E334" s="70"/>
      <c r="F334" s="70"/>
      <c r="G334" s="70"/>
      <c r="H334" s="54"/>
      <c r="I334" s="70"/>
      <c r="J334" s="70"/>
      <c r="K334" s="70"/>
      <c r="L334" s="70"/>
      <c r="M334" s="70"/>
      <c r="N334" s="70"/>
      <c r="O334" s="70"/>
      <c r="P334" s="70"/>
      <c r="Q334" s="70"/>
      <c r="R334" s="70"/>
      <c r="S334" s="70"/>
      <c r="T334" s="70"/>
      <c r="U334" s="70"/>
      <c r="V334" s="70"/>
      <c r="W334" s="70"/>
      <c r="X334" s="70"/>
      <c r="Y334" s="70"/>
      <c r="Z334" s="70"/>
      <c r="AA334" s="70"/>
      <c r="AB334" s="70"/>
      <c r="AC334" s="70"/>
      <c r="AD334" s="70"/>
      <c r="AE334" s="70"/>
      <c r="AF334" s="70"/>
      <c r="AG334" s="70"/>
      <c r="AH334" s="70"/>
      <c r="AI334" s="70"/>
      <c r="AJ334" s="70"/>
      <c r="AK334" s="70"/>
      <c r="AL334" s="70"/>
      <c r="AM334" s="70"/>
      <c r="AN334" s="70"/>
      <c r="AO334" s="70"/>
      <c r="AP334" s="70"/>
      <c r="AQ334" s="70"/>
      <c r="AR334" s="70"/>
      <c r="AS334" s="70"/>
      <c r="AT334" s="70"/>
    </row>
    <row r="335" spans="1:46">
      <c r="A335" s="70"/>
      <c r="B335" s="70"/>
      <c r="C335" s="70"/>
      <c r="D335" s="70"/>
      <c r="E335" s="70"/>
      <c r="F335" s="70"/>
      <c r="G335" s="70"/>
      <c r="H335" s="54"/>
      <c r="I335" s="70"/>
      <c r="J335" s="70"/>
      <c r="K335" s="70"/>
      <c r="L335" s="70"/>
      <c r="M335" s="70"/>
      <c r="N335" s="70"/>
      <c r="O335" s="70"/>
      <c r="P335" s="70"/>
      <c r="Q335" s="70"/>
      <c r="R335" s="70"/>
      <c r="S335" s="70"/>
      <c r="T335" s="70"/>
      <c r="U335" s="70"/>
      <c r="V335" s="70"/>
      <c r="W335" s="70"/>
      <c r="X335" s="70"/>
      <c r="Y335" s="70"/>
      <c r="Z335" s="70"/>
      <c r="AA335" s="70"/>
      <c r="AB335" s="70"/>
      <c r="AC335" s="70"/>
      <c r="AD335" s="70"/>
      <c r="AE335" s="70"/>
      <c r="AF335" s="70"/>
      <c r="AG335" s="70"/>
      <c r="AH335" s="70"/>
      <c r="AI335" s="70"/>
      <c r="AJ335" s="70"/>
      <c r="AK335" s="70"/>
      <c r="AL335" s="70"/>
      <c r="AM335" s="70"/>
      <c r="AN335" s="70"/>
      <c r="AO335" s="70"/>
      <c r="AP335" s="70"/>
      <c r="AQ335" s="70"/>
      <c r="AR335" s="70"/>
      <c r="AS335" s="70"/>
      <c r="AT335" s="70"/>
    </row>
    <row r="336" spans="1:46">
      <c r="A336" s="70"/>
      <c r="B336" s="70"/>
      <c r="C336" s="70"/>
      <c r="D336" s="70"/>
      <c r="E336" s="70"/>
      <c r="F336" s="70"/>
      <c r="G336" s="70"/>
      <c r="H336" s="54"/>
      <c r="I336" s="70"/>
      <c r="J336" s="70"/>
      <c r="K336" s="70"/>
      <c r="L336" s="70"/>
      <c r="M336" s="70"/>
      <c r="N336" s="70"/>
      <c r="O336" s="70"/>
      <c r="P336" s="70"/>
      <c r="Q336" s="70"/>
      <c r="R336" s="70"/>
      <c r="S336" s="70"/>
      <c r="T336" s="70"/>
      <c r="U336" s="70"/>
      <c r="V336" s="70"/>
      <c r="W336" s="70"/>
      <c r="X336" s="70"/>
      <c r="Y336" s="70"/>
      <c r="Z336" s="70"/>
      <c r="AA336" s="70"/>
      <c r="AB336" s="70"/>
      <c r="AC336" s="70"/>
      <c r="AD336" s="70"/>
      <c r="AE336" s="70"/>
      <c r="AF336" s="70"/>
      <c r="AG336" s="70"/>
      <c r="AH336" s="70"/>
      <c r="AI336" s="70"/>
      <c r="AJ336" s="70"/>
      <c r="AK336" s="70"/>
      <c r="AL336" s="70"/>
      <c r="AM336" s="70"/>
      <c r="AN336" s="70"/>
      <c r="AO336" s="70"/>
      <c r="AP336" s="70"/>
      <c r="AQ336" s="70"/>
      <c r="AR336" s="70"/>
      <c r="AS336" s="70"/>
      <c r="AT336" s="70"/>
    </row>
    <row r="337" spans="1:46">
      <c r="A337" s="70"/>
      <c r="B337" s="70"/>
      <c r="C337" s="70"/>
      <c r="D337" s="70"/>
      <c r="E337" s="70"/>
      <c r="F337" s="70"/>
      <c r="G337" s="70"/>
      <c r="H337" s="54"/>
      <c r="I337" s="70"/>
      <c r="J337" s="70"/>
      <c r="K337" s="70"/>
      <c r="L337" s="70"/>
      <c r="M337" s="70"/>
      <c r="N337" s="70"/>
      <c r="O337" s="70"/>
      <c r="P337" s="70"/>
      <c r="Q337" s="70"/>
      <c r="R337" s="70"/>
      <c r="S337" s="70"/>
      <c r="T337" s="70"/>
      <c r="U337" s="70"/>
      <c r="V337" s="70"/>
      <c r="W337" s="70"/>
      <c r="X337" s="70"/>
      <c r="Y337" s="70"/>
      <c r="Z337" s="70"/>
      <c r="AA337" s="70"/>
      <c r="AB337" s="70"/>
      <c r="AC337" s="70"/>
      <c r="AD337" s="70"/>
      <c r="AE337" s="70"/>
      <c r="AF337" s="70"/>
      <c r="AG337" s="70"/>
      <c r="AH337" s="70"/>
      <c r="AI337" s="70"/>
      <c r="AJ337" s="70"/>
      <c r="AK337" s="70"/>
      <c r="AL337" s="70"/>
      <c r="AM337" s="70"/>
      <c r="AN337" s="70"/>
      <c r="AO337" s="70"/>
      <c r="AP337" s="70"/>
      <c r="AQ337" s="70"/>
      <c r="AR337" s="70"/>
      <c r="AS337" s="70"/>
      <c r="AT337" s="70"/>
    </row>
    <row r="338" spans="1:46">
      <c r="A338" s="70"/>
      <c r="B338" s="70"/>
      <c r="C338" s="70"/>
      <c r="D338" s="70"/>
      <c r="E338" s="70"/>
      <c r="F338" s="70"/>
      <c r="G338" s="70"/>
      <c r="H338" s="54"/>
      <c r="I338" s="70"/>
      <c r="J338" s="70"/>
      <c r="K338" s="70"/>
      <c r="L338" s="70"/>
      <c r="M338" s="70"/>
      <c r="N338" s="70"/>
      <c r="O338" s="70"/>
      <c r="P338" s="70"/>
      <c r="Q338" s="70"/>
      <c r="R338" s="70"/>
      <c r="S338" s="70"/>
      <c r="T338" s="70"/>
      <c r="U338" s="70"/>
      <c r="V338" s="70"/>
      <c r="W338" s="70"/>
      <c r="X338" s="70"/>
      <c r="Y338" s="70"/>
      <c r="Z338" s="70"/>
      <c r="AA338" s="70"/>
      <c r="AB338" s="70"/>
      <c r="AC338" s="70"/>
      <c r="AD338" s="70"/>
      <c r="AE338" s="70"/>
      <c r="AF338" s="70"/>
      <c r="AG338" s="70"/>
      <c r="AH338" s="70"/>
      <c r="AI338" s="70"/>
      <c r="AJ338" s="70"/>
      <c r="AK338" s="70"/>
      <c r="AL338" s="70"/>
      <c r="AM338" s="70"/>
      <c r="AN338" s="70"/>
      <c r="AO338" s="70"/>
      <c r="AP338" s="70"/>
      <c r="AQ338" s="70"/>
      <c r="AR338" s="70"/>
      <c r="AS338" s="70"/>
      <c r="AT338" s="70"/>
    </row>
    <row r="339" spans="1:46">
      <c r="A339" s="70"/>
      <c r="B339" s="70"/>
      <c r="C339" s="70"/>
      <c r="D339" s="70"/>
      <c r="E339" s="70"/>
      <c r="F339" s="70"/>
      <c r="G339" s="70"/>
      <c r="H339" s="54"/>
      <c r="I339" s="70"/>
      <c r="J339" s="70"/>
      <c r="K339" s="70"/>
      <c r="L339" s="70"/>
      <c r="M339" s="70"/>
      <c r="N339" s="70"/>
      <c r="O339" s="70"/>
      <c r="P339" s="70"/>
      <c r="Q339" s="70"/>
      <c r="R339" s="70"/>
      <c r="S339" s="70"/>
      <c r="T339" s="70"/>
      <c r="U339" s="70"/>
      <c r="V339" s="70"/>
      <c r="W339" s="70"/>
      <c r="X339" s="70"/>
      <c r="Y339" s="70"/>
      <c r="Z339" s="70"/>
      <c r="AA339" s="70"/>
      <c r="AB339" s="70"/>
      <c r="AC339" s="70"/>
      <c r="AD339" s="70"/>
      <c r="AE339" s="70"/>
      <c r="AF339" s="70"/>
      <c r="AG339" s="70"/>
      <c r="AH339" s="70"/>
      <c r="AI339" s="70"/>
      <c r="AJ339" s="70"/>
      <c r="AK339" s="70"/>
      <c r="AL339" s="70"/>
      <c r="AM339" s="70"/>
      <c r="AN339" s="70"/>
      <c r="AO339" s="70"/>
      <c r="AP339" s="70"/>
      <c r="AQ339" s="70"/>
      <c r="AR339" s="70"/>
      <c r="AS339" s="70"/>
      <c r="AT339" s="70"/>
    </row>
    <row r="340" spans="1:46">
      <c r="A340" s="70"/>
      <c r="B340" s="70"/>
      <c r="C340" s="70"/>
      <c r="D340" s="70"/>
      <c r="E340" s="70"/>
      <c r="F340" s="70"/>
      <c r="G340" s="70"/>
      <c r="H340" s="54"/>
      <c r="I340" s="70"/>
      <c r="J340" s="70"/>
      <c r="K340" s="70"/>
      <c r="L340" s="70"/>
      <c r="M340" s="70"/>
      <c r="N340" s="70"/>
      <c r="O340" s="70"/>
      <c r="P340" s="70"/>
      <c r="Q340" s="70"/>
      <c r="R340" s="70"/>
      <c r="S340" s="70"/>
      <c r="T340" s="70"/>
      <c r="U340" s="70"/>
      <c r="V340" s="70"/>
      <c r="W340" s="70"/>
      <c r="X340" s="70"/>
      <c r="Y340" s="70"/>
      <c r="Z340" s="70"/>
      <c r="AA340" s="70"/>
      <c r="AB340" s="70"/>
      <c r="AC340" s="70"/>
      <c r="AD340" s="70"/>
      <c r="AE340" s="70"/>
      <c r="AF340" s="70"/>
      <c r="AG340" s="70"/>
      <c r="AH340" s="70"/>
      <c r="AI340" s="70"/>
      <c r="AJ340" s="70"/>
      <c r="AK340" s="70"/>
      <c r="AL340" s="70"/>
      <c r="AM340" s="70"/>
      <c r="AN340" s="70"/>
      <c r="AO340" s="70"/>
      <c r="AP340" s="70"/>
      <c r="AQ340" s="70"/>
      <c r="AR340" s="70"/>
      <c r="AS340" s="70"/>
      <c r="AT340" s="70"/>
    </row>
    <row r="341" spans="1:46">
      <c r="A341" s="70"/>
      <c r="B341" s="70"/>
      <c r="C341" s="70"/>
      <c r="D341" s="70"/>
      <c r="E341" s="70"/>
      <c r="F341" s="70"/>
      <c r="G341" s="70"/>
      <c r="H341" s="54"/>
      <c r="I341" s="70"/>
      <c r="J341" s="70"/>
      <c r="K341" s="70"/>
      <c r="L341" s="70"/>
      <c r="M341" s="70"/>
      <c r="N341" s="70"/>
      <c r="O341" s="70"/>
      <c r="P341" s="70"/>
      <c r="Q341" s="70"/>
      <c r="R341" s="70"/>
      <c r="S341" s="70"/>
      <c r="T341" s="70"/>
      <c r="U341" s="70"/>
      <c r="V341" s="70"/>
      <c r="W341" s="70"/>
      <c r="X341" s="70"/>
      <c r="Y341" s="70"/>
      <c r="Z341" s="70"/>
      <c r="AA341" s="70"/>
      <c r="AB341" s="70"/>
      <c r="AC341" s="70"/>
      <c r="AD341" s="70"/>
      <c r="AE341" s="70"/>
      <c r="AF341" s="70"/>
      <c r="AG341" s="70"/>
      <c r="AH341" s="70"/>
      <c r="AI341" s="70"/>
      <c r="AJ341" s="70"/>
      <c r="AK341" s="70"/>
      <c r="AL341" s="70"/>
      <c r="AM341" s="70"/>
      <c r="AN341" s="70"/>
      <c r="AO341" s="70"/>
      <c r="AP341" s="70"/>
      <c r="AQ341" s="70"/>
      <c r="AR341" s="70"/>
      <c r="AS341" s="70"/>
      <c r="AT341" s="70"/>
    </row>
    <row r="342" spans="1:46">
      <c r="A342" s="70"/>
      <c r="B342" s="70"/>
      <c r="C342" s="70"/>
      <c r="D342" s="70"/>
      <c r="E342" s="70"/>
      <c r="F342" s="70"/>
      <c r="G342" s="70"/>
      <c r="H342" s="54"/>
      <c r="I342" s="70"/>
      <c r="J342" s="70"/>
      <c r="K342" s="70"/>
      <c r="L342" s="70"/>
      <c r="M342" s="70"/>
      <c r="N342" s="70"/>
      <c r="O342" s="70"/>
      <c r="P342" s="70"/>
      <c r="Q342" s="70"/>
      <c r="R342" s="70"/>
      <c r="S342" s="70"/>
      <c r="T342" s="70"/>
      <c r="U342" s="70"/>
      <c r="V342" s="70"/>
      <c r="W342" s="70"/>
      <c r="X342" s="70"/>
      <c r="Y342" s="70"/>
      <c r="Z342" s="70"/>
      <c r="AA342" s="70"/>
      <c r="AB342" s="70"/>
      <c r="AC342" s="70"/>
      <c r="AD342" s="70"/>
      <c r="AE342" s="70"/>
      <c r="AF342" s="70"/>
      <c r="AG342" s="70"/>
      <c r="AH342" s="70"/>
      <c r="AI342" s="70"/>
      <c r="AJ342" s="70"/>
      <c r="AK342" s="70"/>
      <c r="AL342" s="70"/>
      <c r="AM342" s="70"/>
      <c r="AN342" s="70"/>
      <c r="AO342" s="70"/>
      <c r="AP342" s="70"/>
      <c r="AQ342" s="70"/>
      <c r="AR342" s="70"/>
      <c r="AS342" s="70"/>
      <c r="AT342" s="70"/>
    </row>
    <row r="343" spans="1:46">
      <c r="A343" s="70"/>
      <c r="B343" s="70"/>
      <c r="C343" s="70"/>
      <c r="D343" s="70"/>
      <c r="E343" s="70"/>
      <c r="F343" s="70"/>
      <c r="G343" s="70"/>
      <c r="H343" s="54"/>
      <c r="I343" s="70"/>
      <c r="J343" s="70"/>
      <c r="K343" s="70"/>
      <c r="L343" s="70"/>
      <c r="M343" s="70"/>
      <c r="N343" s="70"/>
      <c r="O343" s="70"/>
      <c r="P343" s="70"/>
      <c r="Q343" s="70"/>
      <c r="R343" s="70"/>
      <c r="S343" s="70"/>
      <c r="T343" s="70"/>
      <c r="U343" s="70"/>
      <c r="V343" s="70"/>
      <c r="W343" s="70"/>
      <c r="X343" s="70"/>
      <c r="Y343" s="70"/>
      <c r="Z343" s="70"/>
      <c r="AA343" s="70"/>
      <c r="AB343" s="70"/>
      <c r="AC343" s="70"/>
      <c r="AD343" s="70"/>
      <c r="AE343" s="70"/>
      <c r="AF343" s="70"/>
      <c r="AG343" s="70"/>
      <c r="AH343" s="70"/>
      <c r="AI343" s="70"/>
      <c r="AJ343" s="70"/>
      <c r="AK343" s="70"/>
      <c r="AL343" s="70"/>
      <c r="AM343" s="70"/>
      <c r="AN343" s="70"/>
      <c r="AO343" s="70"/>
      <c r="AP343" s="70"/>
      <c r="AQ343" s="70"/>
      <c r="AR343" s="70"/>
      <c r="AS343" s="70"/>
      <c r="AT343" s="70"/>
    </row>
    <row r="344" spans="1:46">
      <c r="A344" s="70"/>
      <c r="B344" s="70"/>
      <c r="C344" s="70"/>
      <c r="D344" s="70"/>
      <c r="E344" s="70"/>
      <c r="F344" s="70"/>
      <c r="G344" s="70"/>
      <c r="H344" s="54"/>
      <c r="I344" s="70"/>
      <c r="J344" s="70"/>
      <c r="K344" s="70"/>
      <c r="L344" s="70"/>
      <c r="M344" s="70"/>
      <c r="N344" s="70"/>
      <c r="O344" s="70"/>
      <c r="P344" s="70"/>
      <c r="Q344" s="70"/>
      <c r="R344" s="70"/>
      <c r="S344" s="70"/>
      <c r="T344" s="70"/>
      <c r="U344" s="70"/>
      <c r="V344" s="70"/>
      <c r="W344" s="70"/>
      <c r="X344" s="70"/>
      <c r="Y344" s="70"/>
      <c r="Z344" s="70"/>
      <c r="AA344" s="70"/>
      <c r="AB344" s="70"/>
      <c r="AC344" s="70"/>
      <c r="AD344" s="70"/>
      <c r="AE344" s="70"/>
      <c r="AF344" s="70"/>
      <c r="AG344" s="70"/>
      <c r="AH344" s="70"/>
      <c r="AI344" s="70"/>
      <c r="AJ344" s="70"/>
      <c r="AK344" s="70"/>
      <c r="AL344" s="70"/>
      <c r="AM344" s="70"/>
      <c r="AN344" s="70"/>
      <c r="AO344" s="70"/>
      <c r="AP344" s="70"/>
      <c r="AQ344" s="70"/>
      <c r="AR344" s="70"/>
      <c r="AS344" s="70"/>
      <c r="AT344" s="70"/>
    </row>
    <row r="345" spans="1:46">
      <c r="A345" s="70"/>
      <c r="B345" s="70"/>
      <c r="C345" s="70"/>
      <c r="D345" s="70"/>
      <c r="E345" s="70"/>
      <c r="F345" s="70"/>
      <c r="G345" s="70"/>
      <c r="H345" s="54"/>
      <c r="I345" s="70"/>
      <c r="J345" s="70"/>
      <c r="K345" s="70"/>
      <c r="L345" s="70"/>
      <c r="M345" s="70"/>
      <c r="N345" s="70"/>
      <c r="O345" s="70"/>
      <c r="P345" s="70"/>
      <c r="Q345" s="70"/>
      <c r="R345" s="70"/>
      <c r="S345" s="70"/>
      <c r="T345" s="70"/>
      <c r="U345" s="70"/>
      <c r="V345" s="70"/>
      <c r="W345" s="70"/>
      <c r="X345" s="70"/>
      <c r="Y345" s="70"/>
      <c r="Z345" s="70"/>
      <c r="AA345" s="70"/>
      <c r="AB345" s="70"/>
      <c r="AC345" s="70"/>
      <c r="AD345" s="70"/>
      <c r="AE345" s="70"/>
      <c r="AF345" s="70"/>
      <c r="AG345" s="70"/>
      <c r="AH345" s="70"/>
      <c r="AI345" s="70"/>
      <c r="AJ345" s="70"/>
      <c r="AK345" s="70"/>
      <c r="AL345" s="70"/>
      <c r="AM345" s="70"/>
      <c r="AN345" s="70"/>
      <c r="AO345" s="70"/>
      <c r="AP345" s="70"/>
      <c r="AQ345" s="70"/>
      <c r="AR345" s="70"/>
      <c r="AS345" s="70"/>
      <c r="AT345" s="70"/>
    </row>
    <row r="346" spans="1:46">
      <c r="A346" s="70"/>
      <c r="B346" s="70"/>
      <c r="C346" s="70"/>
      <c r="D346" s="70"/>
      <c r="E346" s="70"/>
      <c r="F346" s="70"/>
      <c r="G346" s="70"/>
      <c r="H346" s="54"/>
      <c r="I346" s="70"/>
      <c r="J346" s="70"/>
      <c r="K346" s="70"/>
      <c r="L346" s="70"/>
      <c r="M346" s="70"/>
      <c r="N346" s="70"/>
      <c r="O346" s="70"/>
      <c r="P346" s="70"/>
      <c r="Q346" s="70"/>
      <c r="R346" s="70"/>
      <c r="S346" s="70"/>
      <c r="T346" s="70"/>
      <c r="U346" s="70"/>
      <c r="V346" s="70"/>
      <c r="W346" s="70"/>
      <c r="X346" s="70"/>
      <c r="Y346" s="70"/>
      <c r="Z346" s="70"/>
      <c r="AA346" s="70"/>
      <c r="AB346" s="70"/>
      <c r="AC346" s="70"/>
      <c r="AD346" s="70"/>
      <c r="AE346" s="70"/>
      <c r="AF346" s="70"/>
      <c r="AG346" s="70"/>
      <c r="AH346" s="70"/>
      <c r="AI346" s="70"/>
      <c r="AJ346" s="70"/>
      <c r="AK346" s="70"/>
      <c r="AL346" s="70"/>
      <c r="AM346" s="70"/>
      <c r="AN346" s="70"/>
      <c r="AO346" s="70"/>
      <c r="AP346" s="70"/>
      <c r="AQ346" s="70"/>
      <c r="AR346" s="70"/>
      <c r="AS346" s="70"/>
      <c r="AT346" s="70"/>
    </row>
    <row r="347" spans="1:46">
      <c r="A347" s="70"/>
      <c r="B347" s="70"/>
      <c r="C347" s="70"/>
      <c r="D347" s="70"/>
      <c r="E347" s="70"/>
      <c r="F347" s="70"/>
      <c r="G347" s="70"/>
      <c r="H347" s="54"/>
      <c r="I347" s="70"/>
      <c r="J347" s="70"/>
      <c r="K347" s="70"/>
      <c r="L347" s="70"/>
      <c r="M347" s="70"/>
      <c r="N347" s="70"/>
      <c r="O347" s="70"/>
      <c r="P347" s="70"/>
      <c r="Q347" s="70"/>
      <c r="R347" s="70"/>
      <c r="S347" s="70"/>
      <c r="T347" s="70"/>
      <c r="U347" s="70"/>
      <c r="V347" s="70"/>
      <c r="W347" s="70"/>
      <c r="X347" s="70"/>
      <c r="Y347" s="70"/>
      <c r="Z347" s="70"/>
      <c r="AA347" s="70"/>
      <c r="AB347" s="70"/>
      <c r="AC347" s="70"/>
      <c r="AD347" s="70"/>
      <c r="AE347" s="70"/>
      <c r="AF347" s="70"/>
      <c r="AG347" s="70"/>
      <c r="AH347" s="70"/>
      <c r="AI347" s="70"/>
      <c r="AJ347" s="70"/>
      <c r="AK347" s="70"/>
      <c r="AL347" s="70"/>
      <c r="AM347" s="70"/>
      <c r="AN347" s="70"/>
      <c r="AO347" s="70"/>
      <c r="AP347" s="70"/>
      <c r="AQ347" s="70"/>
      <c r="AR347" s="70"/>
      <c r="AS347" s="70"/>
      <c r="AT347" s="70"/>
    </row>
    <row r="348" spans="1:46">
      <c r="A348" s="70"/>
      <c r="B348" s="70"/>
      <c r="C348" s="70"/>
      <c r="D348" s="70"/>
      <c r="E348" s="70"/>
      <c r="F348" s="70"/>
      <c r="G348" s="70"/>
      <c r="H348" s="54"/>
      <c r="I348" s="70"/>
      <c r="J348" s="70"/>
      <c r="K348" s="70"/>
      <c r="L348" s="70"/>
      <c r="M348" s="70"/>
      <c r="N348" s="70"/>
      <c r="O348" s="70"/>
      <c r="P348" s="70"/>
      <c r="Q348" s="70"/>
      <c r="R348" s="70"/>
      <c r="S348" s="70"/>
      <c r="T348" s="70"/>
      <c r="U348" s="70"/>
      <c r="V348" s="70"/>
      <c r="W348" s="70"/>
      <c r="X348" s="70"/>
      <c r="Y348" s="70"/>
      <c r="Z348" s="70"/>
      <c r="AA348" s="70"/>
      <c r="AB348" s="70"/>
      <c r="AC348" s="70"/>
      <c r="AD348" s="70"/>
      <c r="AE348" s="70"/>
      <c r="AF348" s="70"/>
      <c r="AG348" s="70"/>
      <c r="AH348" s="70"/>
      <c r="AI348" s="70"/>
      <c r="AJ348" s="70"/>
      <c r="AK348" s="70"/>
      <c r="AL348" s="70"/>
      <c r="AM348" s="70"/>
      <c r="AN348" s="70"/>
      <c r="AO348" s="70"/>
      <c r="AP348" s="70"/>
      <c r="AQ348" s="70"/>
      <c r="AR348" s="70"/>
      <c r="AS348" s="70"/>
      <c r="AT348" s="70"/>
    </row>
    <row r="349" spans="1:46">
      <c r="A349" s="70"/>
      <c r="B349" s="70"/>
      <c r="C349" s="70"/>
      <c r="D349" s="70"/>
      <c r="E349" s="70"/>
      <c r="F349" s="70"/>
      <c r="G349" s="70"/>
      <c r="H349" s="54"/>
      <c r="I349" s="70"/>
      <c r="J349" s="70"/>
      <c r="K349" s="70"/>
      <c r="L349" s="70"/>
      <c r="M349" s="70"/>
      <c r="N349" s="70"/>
      <c r="O349" s="70"/>
      <c r="P349" s="70"/>
      <c r="Q349" s="70"/>
      <c r="R349" s="70"/>
      <c r="S349" s="70"/>
      <c r="T349" s="70"/>
      <c r="U349" s="70"/>
      <c r="V349" s="70"/>
      <c r="W349" s="70"/>
      <c r="X349" s="70"/>
      <c r="Y349" s="70"/>
      <c r="Z349" s="70"/>
      <c r="AA349" s="70"/>
      <c r="AB349" s="70"/>
      <c r="AC349" s="70"/>
      <c r="AD349" s="70"/>
      <c r="AE349" s="70"/>
      <c r="AF349" s="70"/>
      <c r="AG349" s="70"/>
      <c r="AH349" s="70"/>
      <c r="AI349" s="70"/>
      <c r="AJ349" s="70"/>
      <c r="AK349" s="70"/>
      <c r="AL349" s="70"/>
      <c r="AM349" s="70"/>
      <c r="AN349" s="70"/>
      <c r="AO349" s="70"/>
      <c r="AP349" s="70"/>
      <c r="AQ349" s="70"/>
      <c r="AR349" s="70"/>
      <c r="AS349" s="70"/>
      <c r="AT349" s="70"/>
    </row>
    <row r="350" spans="1:46">
      <c r="A350" s="70"/>
      <c r="B350" s="70"/>
      <c r="C350" s="70"/>
      <c r="D350" s="70"/>
      <c r="E350" s="70"/>
      <c r="F350" s="70"/>
      <c r="G350" s="70"/>
      <c r="H350" s="54"/>
      <c r="I350" s="70"/>
      <c r="J350" s="70"/>
      <c r="K350" s="70"/>
      <c r="L350" s="70"/>
      <c r="M350" s="70"/>
      <c r="N350" s="70"/>
      <c r="O350" s="70"/>
      <c r="P350" s="70"/>
      <c r="Q350" s="70"/>
      <c r="R350" s="70"/>
      <c r="S350" s="70"/>
      <c r="T350" s="70"/>
      <c r="U350" s="70"/>
      <c r="V350" s="70"/>
      <c r="W350" s="70"/>
      <c r="X350" s="70"/>
      <c r="Y350" s="70"/>
      <c r="Z350" s="70"/>
      <c r="AA350" s="70"/>
      <c r="AB350" s="70"/>
      <c r="AC350" s="70"/>
      <c r="AD350" s="70"/>
      <c r="AE350" s="70"/>
      <c r="AF350" s="70"/>
      <c r="AG350" s="70"/>
      <c r="AH350" s="70"/>
      <c r="AI350" s="70"/>
      <c r="AJ350" s="70"/>
      <c r="AK350" s="70"/>
      <c r="AL350" s="70"/>
      <c r="AM350" s="70"/>
      <c r="AN350" s="70"/>
      <c r="AO350" s="70"/>
      <c r="AP350" s="70"/>
      <c r="AQ350" s="70"/>
      <c r="AR350" s="70"/>
      <c r="AS350" s="70"/>
      <c r="AT350" s="70"/>
    </row>
    <row r="351" spans="1:46">
      <c r="A351" s="70"/>
      <c r="B351" s="70"/>
      <c r="C351" s="70"/>
      <c r="D351" s="70"/>
      <c r="E351" s="70"/>
      <c r="F351" s="70"/>
      <c r="G351" s="70"/>
      <c r="H351" s="54"/>
      <c r="I351" s="70"/>
      <c r="J351" s="70"/>
      <c r="K351" s="70"/>
      <c r="L351" s="70"/>
      <c r="M351" s="70"/>
      <c r="N351" s="70"/>
      <c r="O351" s="70"/>
      <c r="P351" s="70"/>
      <c r="Q351" s="70"/>
      <c r="R351" s="70"/>
      <c r="S351" s="70"/>
      <c r="T351" s="70"/>
      <c r="U351" s="70"/>
      <c r="V351" s="70"/>
      <c r="W351" s="70"/>
      <c r="X351" s="70"/>
      <c r="Y351" s="70"/>
      <c r="Z351" s="70"/>
      <c r="AA351" s="70"/>
      <c r="AB351" s="70"/>
      <c r="AC351" s="70"/>
      <c r="AD351" s="70"/>
      <c r="AE351" s="70"/>
      <c r="AF351" s="70"/>
      <c r="AG351" s="70"/>
      <c r="AH351" s="70"/>
      <c r="AI351" s="70"/>
      <c r="AJ351" s="70"/>
      <c r="AK351" s="70"/>
      <c r="AL351" s="70"/>
      <c r="AM351" s="70"/>
      <c r="AN351" s="70"/>
      <c r="AO351" s="70"/>
      <c r="AP351" s="70"/>
      <c r="AQ351" s="70"/>
      <c r="AR351" s="70"/>
      <c r="AS351" s="70"/>
      <c r="AT351" s="70"/>
    </row>
    <row r="352" spans="1:46">
      <c r="A352" s="70"/>
      <c r="B352" s="70"/>
      <c r="C352" s="70"/>
      <c r="D352" s="70"/>
      <c r="E352" s="70"/>
      <c r="F352" s="70"/>
      <c r="G352" s="70"/>
      <c r="H352" s="54"/>
      <c r="I352" s="70"/>
      <c r="J352" s="70"/>
      <c r="K352" s="70"/>
      <c r="L352" s="70"/>
      <c r="M352" s="70"/>
      <c r="N352" s="70"/>
      <c r="O352" s="70"/>
      <c r="P352" s="70"/>
      <c r="Q352" s="70"/>
      <c r="R352" s="70"/>
      <c r="S352" s="70"/>
      <c r="T352" s="70"/>
      <c r="U352" s="70"/>
      <c r="V352" s="70"/>
      <c r="W352" s="70"/>
      <c r="X352" s="70"/>
      <c r="Y352" s="70"/>
      <c r="Z352" s="70"/>
      <c r="AA352" s="70"/>
      <c r="AB352" s="70"/>
      <c r="AC352" s="70"/>
      <c r="AD352" s="70"/>
      <c r="AE352" s="70"/>
      <c r="AF352" s="70"/>
      <c r="AG352" s="70"/>
      <c r="AH352" s="70"/>
      <c r="AI352" s="70"/>
      <c r="AJ352" s="70"/>
      <c r="AK352" s="70"/>
      <c r="AL352" s="70"/>
      <c r="AM352" s="70"/>
      <c r="AN352" s="70"/>
      <c r="AO352" s="70"/>
      <c r="AP352" s="70"/>
      <c r="AQ352" s="70"/>
      <c r="AR352" s="70"/>
      <c r="AS352" s="70"/>
      <c r="AT352" s="70"/>
    </row>
    <row r="353" spans="1:46">
      <c r="A353" s="70"/>
      <c r="B353" s="70"/>
      <c r="C353" s="70"/>
      <c r="D353" s="70"/>
      <c r="E353" s="70"/>
      <c r="F353" s="70"/>
      <c r="G353" s="70"/>
      <c r="H353" s="54"/>
      <c r="I353" s="70"/>
      <c r="J353" s="70"/>
      <c r="K353" s="70"/>
      <c r="L353" s="70"/>
      <c r="M353" s="70"/>
      <c r="N353" s="70"/>
      <c r="O353" s="70"/>
      <c r="P353" s="70"/>
      <c r="Q353" s="70"/>
      <c r="R353" s="70"/>
      <c r="S353" s="70"/>
      <c r="T353" s="70"/>
      <c r="U353" s="70"/>
      <c r="V353" s="70"/>
      <c r="W353" s="70"/>
      <c r="X353" s="70"/>
      <c r="Y353" s="70"/>
      <c r="Z353" s="70"/>
      <c r="AA353" s="70"/>
      <c r="AB353" s="70"/>
      <c r="AC353" s="70"/>
      <c r="AD353" s="70"/>
      <c r="AE353" s="70"/>
      <c r="AF353" s="70"/>
      <c r="AG353" s="70"/>
      <c r="AH353" s="70"/>
      <c r="AI353" s="70"/>
      <c r="AJ353" s="70"/>
      <c r="AK353" s="70"/>
      <c r="AL353" s="70"/>
      <c r="AM353" s="70"/>
      <c r="AN353" s="70"/>
      <c r="AO353" s="70"/>
      <c r="AP353" s="70"/>
      <c r="AQ353" s="70"/>
      <c r="AR353" s="70"/>
      <c r="AS353" s="70"/>
      <c r="AT353" s="70"/>
    </row>
    <row r="354" spans="1:46">
      <c r="A354" s="70"/>
      <c r="B354" s="70"/>
      <c r="C354" s="70"/>
      <c r="D354" s="70"/>
      <c r="E354" s="70"/>
      <c r="F354" s="70"/>
      <c r="G354" s="70"/>
      <c r="H354" s="54"/>
      <c r="I354" s="70"/>
      <c r="J354" s="70"/>
      <c r="K354" s="70"/>
      <c r="L354" s="70"/>
      <c r="M354" s="70"/>
      <c r="N354" s="70"/>
      <c r="O354" s="70"/>
      <c r="P354" s="70"/>
      <c r="Q354" s="70"/>
      <c r="R354" s="70"/>
      <c r="S354" s="70"/>
      <c r="T354" s="70"/>
      <c r="U354" s="70"/>
      <c r="V354" s="70"/>
      <c r="W354" s="70"/>
      <c r="X354" s="70"/>
      <c r="Y354" s="70"/>
      <c r="Z354" s="70"/>
      <c r="AA354" s="70"/>
      <c r="AB354" s="70"/>
      <c r="AC354" s="70"/>
      <c r="AD354" s="70"/>
      <c r="AE354" s="70"/>
      <c r="AF354" s="70"/>
      <c r="AG354" s="70"/>
      <c r="AH354" s="70"/>
      <c r="AI354" s="70"/>
      <c r="AJ354" s="70"/>
      <c r="AK354" s="70"/>
      <c r="AL354" s="70"/>
      <c r="AM354" s="70"/>
      <c r="AN354" s="70"/>
      <c r="AO354" s="70"/>
      <c r="AP354" s="70"/>
      <c r="AQ354" s="70"/>
      <c r="AR354" s="70"/>
      <c r="AS354" s="70"/>
      <c r="AT354" s="70"/>
    </row>
    <row r="355" spans="1:46">
      <c r="A355" s="70"/>
      <c r="B355" s="70"/>
      <c r="C355" s="70"/>
      <c r="D355" s="70"/>
      <c r="E355" s="70"/>
      <c r="F355" s="70"/>
      <c r="G355" s="70"/>
      <c r="H355" s="54"/>
      <c r="I355" s="70"/>
      <c r="J355" s="70"/>
      <c r="K355" s="70"/>
      <c r="L355" s="70"/>
      <c r="M355" s="70"/>
      <c r="N355" s="70"/>
      <c r="O355" s="70"/>
      <c r="P355" s="70"/>
      <c r="Q355" s="70"/>
      <c r="R355" s="70"/>
      <c r="S355" s="70"/>
      <c r="T355" s="70"/>
      <c r="U355" s="70"/>
      <c r="V355" s="70"/>
      <c r="W355" s="70"/>
      <c r="X355" s="70"/>
      <c r="Y355" s="70"/>
      <c r="Z355" s="70"/>
      <c r="AA355" s="70"/>
      <c r="AB355" s="70"/>
      <c r="AC355" s="70"/>
      <c r="AD355" s="70"/>
      <c r="AE355" s="70"/>
      <c r="AF355" s="70"/>
      <c r="AG355" s="70"/>
      <c r="AH355" s="70"/>
      <c r="AI355" s="70"/>
      <c r="AJ355" s="70"/>
      <c r="AK355" s="70"/>
      <c r="AL355" s="70"/>
      <c r="AM355" s="70"/>
      <c r="AN355" s="70"/>
      <c r="AO355" s="70"/>
      <c r="AP355" s="70"/>
      <c r="AQ355" s="70"/>
      <c r="AR355" s="70"/>
      <c r="AS355" s="70"/>
      <c r="AT355" s="70"/>
    </row>
    <row r="356" spans="1:46">
      <c r="A356" s="70"/>
      <c r="B356" s="70"/>
      <c r="C356" s="70"/>
      <c r="D356" s="70"/>
      <c r="E356" s="70"/>
      <c r="F356" s="70"/>
      <c r="G356" s="70"/>
      <c r="H356" s="54"/>
      <c r="I356" s="70"/>
      <c r="J356" s="70"/>
      <c r="K356" s="70"/>
      <c r="L356" s="70"/>
      <c r="M356" s="70"/>
      <c r="N356" s="70"/>
      <c r="O356" s="70"/>
      <c r="P356" s="70"/>
      <c r="Q356" s="70"/>
      <c r="R356" s="70"/>
      <c r="S356" s="70"/>
      <c r="T356" s="70"/>
      <c r="U356" s="70"/>
      <c r="V356" s="70"/>
      <c r="W356" s="70"/>
      <c r="X356" s="70"/>
      <c r="Y356" s="70"/>
      <c r="Z356" s="70"/>
      <c r="AA356" s="70"/>
      <c r="AB356" s="70"/>
      <c r="AC356" s="70"/>
      <c r="AD356" s="70"/>
      <c r="AE356" s="70"/>
      <c r="AF356" s="70"/>
      <c r="AG356" s="70"/>
      <c r="AH356" s="70"/>
      <c r="AI356" s="70"/>
      <c r="AJ356" s="70"/>
      <c r="AK356" s="70"/>
      <c r="AL356" s="70"/>
      <c r="AM356" s="70"/>
      <c r="AN356" s="70"/>
      <c r="AO356" s="70"/>
      <c r="AP356" s="70"/>
      <c r="AQ356" s="70"/>
      <c r="AR356" s="70"/>
      <c r="AS356" s="70"/>
      <c r="AT356" s="70"/>
    </row>
    <row r="357" spans="1:46">
      <c r="A357" s="70"/>
      <c r="B357" s="70"/>
      <c r="C357" s="70"/>
      <c r="D357" s="70"/>
      <c r="E357" s="70"/>
      <c r="F357" s="70"/>
      <c r="G357" s="70"/>
      <c r="H357" s="54"/>
      <c r="I357" s="70"/>
      <c r="J357" s="70"/>
      <c r="K357" s="70"/>
      <c r="L357" s="70"/>
      <c r="M357" s="70"/>
      <c r="N357" s="70"/>
      <c r="O357" s="70"/>
      <c r="P357" s="70"/>
      <c r="Q357" s="70"/>
      <c r="R357" s="70"/>
      <c r="S357" s="70"/>
      <c r="T357" s="70"/>
      <c r="U357" s="70"/>
      <c r="V357" s="70"/>
      <c r="W357" s="70"/>
      <c r="X357" s="70"/>
      <c r="Y357" s="70"/>
      <c r="Z357" s="70"/>
      <c r="AA357" s="70"/>
      <c r="AB357" s="70"/>
      <c r="AC357" s="70"/>
      <c r="AD357" s="70"/>
      <c r="AE357" s="70"/>
      <c r="AF357" s="70"/>
      <c r="AG357" s="70"/>
      <c r="AH357" s="70"/>
      <c r="AI357" s="70"/>
      <c r="AJ357" s="70"/>
      <c r="AK357" s="70"/>
      <c r="AL357" s="70"/>
      <c r="AM357" s="70"/>
      <c r="AN357" s="70"/>
      <c r="AO357" s="70"/>
      <c r="AP357" s="70"/>
      <c r="AQ357" s="70"/>
      <c r="AR357" s="70"/>
      <c r="AS357" s="70"/>
      <c r="AT357" s="70"/>
    </row>
    <row r="358" spans="1:46">
      <c r="A358" s="70"/>
      <c r="B358" s="70"/>
      <c r="C358" s="70"/>
      <c r="D358" s="70"/>
      <c r="E358" s="70"/>
      <c r="F358" s="70"/>
      <c r="G358" s="70"/>
      <c r="H358" s="54"/>
      <c r="I358" s="70"/>
      <c r="J358" s="70"/>
      <c r="K358" s="70"/>
      <c r="L358" s="70"/>
      <c r="M358" s="70"/>
      <c r="N358" s="70"/>
      <c r="O358" s="70"/>
      <c r="P358" s="70"/>
      <c r="Q358" s="70"/>
      <c r="R358" s="70"/>
      <c r="S358" s="70"/>
      <c r="T358" s="70"/>
      <c r="U358" s="70"/>
      <c r="V358" s="70"/>
      <c r="W358" s="70"/>
      <c r="X358" s="70"/>
      <c r="Y358" s="70"/>
      <c r="Z358" s="70"/>
      <c r="AA358" s="70"/>
      <c r="AB358" s="70"/>
      <c r="AC358" s="70"/>
      <c r="AD358" s="70"/>
      <c r="AE358" s="70"/>
      <c r="AF358" s="70"/>
      <c r="AG358" s="70"/>
      <c r="AH358" s="70"/>
      <c r="AI358" s="70"/>
      <c r="AJ358" s="70"/>
      <c r="AK358" s="70"/>
      <c r="AL358" s="70"/>
      <c r="AM358" s="70"/>
      <c r="AN358" s="70"/>
      <c r="AO358" s="70"/>
      <c r="AP358" s="70"/>
      <c r="AQ358" s="70"/>
      <c r="AR358" s="70"/>
      <c r="AS358" s="70"/>
      <c r="AT358" s="70"/>
    </row>
    <row r="359" spans="1:46">
      <c r="A359" s="70"/>
      <c r="B359" s="70"/>
      <c r="C359" s="70"/>
      <c r="D359" s="70"/>
      <c r="E359" s="70"/>
      <c r="F359" s="70"/>
      <c r="G359" s="70"/>
      <c r="H359" s="54"/>
      <c r="I359" s="70"/>
      <c r="J359" s="70"/>
      <c r="K359" s="70"/>
      <c r="L359" s="70"/>
      <c r="M359" s="70"/>
      <c r="N359" s="70"/>
      <c r="O359" s="70"/>
      <c r="P359" s="70"/>
      <c r="Q359" s="70"/>
      <c r="R359" s="70"/>
      <c r="S359" s="70"/>
      <c r="T359" s="70"/>
      <c r="U359" s="70"/>
      <c r="V359" s="70"/>
      <c r="W359" s="70"/>
      <c r="X359" s="70"/>
      <c r="Y359" s="70"/>
      <c r="Z359" s="70"/>
      <c r="AA359" s="70"/>
      <c r="AB359" s="70"/>
      <c r="AC359" s="70"/>
      <c r="AD359" s="70"/>
      <c r="AE359" s="70"/>
      <c r="AF359" s="70"/>
      <c r="AG359" s="70"/>
      <c r="AH359" s="70"/>
      <c r="AI359" s="70"/>
      <c r="AJ359" s="70"/>
      <c r="AK359" s="70"/>
      <c r="AL359" s="70"/>
      <c r="AM359" s="70"/>
      <c r="AN359" s="70"/>
      <c r="AO359" s="70"/>
      <c r="AP359" s="70"/>
      <c r="AQ359" s="70"/>
      <c r="AR359" s="70"/>
      <c r="AS359" s="70"/>
      <c r="AT359" s="70"/>
    </row>
    <row r="360" spans="1:46">
      <c r="A360" s="70"/>
      <c r="B360" s="70"/>
      <c r="C360" s="70"/>
      <c r="D360" s="70"/>
      <c r="E360" s="70"/>
      <c r="F360" s="70"/>
      <c r="G360" s="70"/>
      <c r="H360" s="54"/>
      <c r="I360" s="70"/>
      <c r="J360" s="70"/>
      <c r="K360" s="70"/>
      <c r="L360" s="70"/>
      <c r="M360" s="70"/>
      <c r="N360" s="70"/>
      <c r="O360" s="70"/>
      <c r="P360" s="70"/>
      <c r="Q360" s="70"/>
      <c r="R360" s="70"/>
      <c r="S360" s="70"/>
      <c r="T360" s="70"/>
      <c r="U360" s="70"/>
      <c r="V360" s="70"/>
      <c r="W360" s="70"/>
      <c r="X360" s="70"/>
      <c r="Y360" s="70"/>
      <c r="Z360" s="70"/>
      <c r="AA360" s="70"/>
      <c r="AB360" s="70"/>
      <c r="AC360" s="70"/>
      <c r="AD360" s="70"/>
      <c r="AE360" s="70"/>
      <c r="AF360" s="70"/>
      <c r="AG360" s="70"/>
      <c r="AH360" s="70"/>
      <c r="AI360" s="70"/>
      <c r="AJ360" s="70"/>
      <c r="AK360" s="70"/>
      <c r="AL360" s="70"/>
      <c r="AM360" s="70"/>
      <c r="AN360" s="70"/>
      <c r="AO360" s="70"/>
      <c r="AP360" s="70"/>
      <c r="AQ360" s="70"/>
      <c r="AR360" s="70"/>
      <c r="AS360" s="70"/>
      <c r="AT360" s="70"/>
    </row>
    <row r="361" spans="1:46">
      <c r="A361" s="70"/>
      <c r="B361" s="70"/>
      <c r="C361" s="70"/>
      <c r="D361" s="70"/>
      <c r="E361" s="70"/>
      <c r="F361" s="70"/>
      <c r="G361" s="70"/>
      <c r="H361" s="54"/>
      <c r="I361" s="70"/>
      <c r="J361" s="70"/>
      <c r="K361" s="70"/>
      <c r="L361" s="70"/>
      <c r="M361" s="70"/>
      <c r="N361" s="70"/>
      <c r="O361" s="70"/>
      <c r="P361" s="70"/>
      <c r="Q361" s="70"/>
      <c r="R361" s="70"/>
      <c r="S361" s="70"/>
      <c r="T361" s="70"/>
      <c r="U361" s="70"/>
      <c r="V361" s="70"/>
      <c r="W361" s="70"/>
      <c r="X361" s="70"/>
      <c r="Y361" s="70"/>
      <c r="Z361" s="70"/>
      <c r="AA361" s="70"/>
      <c r="AB361" s="70"/>
      <c r="AC361" s="70"/>
      <c r="AD361" s="70"/>
      <c r="AE361" s="70"/>
      <c r="AF361" s="70"/>
      <c r="AG361" s="70"/>
      <c r="AH361" s="70"/>
      <c r="AI361" s="70"/>
      <c r="AJ361" s="70"/>
      <c r="AK361" s="70"/>
      <c r="AL361" s="70"/>
      <c r="AM361" s="70"/>
      <c r="AN361" s="70"/>
      <c r="AO361" s="70"/>
      <c r="AP361" s="70"/>
      <c r="AQ361" s="70"/>
      <c r="AR361" s="70"/>
      <c r="AS361" s="70"/>
      <c r="AT361" s="70"/>
    </row>
    <row r="362" spans="1:46">
      <c r="A362" s="70"/>
      <c r="B362" s="70"/>
      <c r="C362" s="70"/>
      <c r="D362" s="70"/>
      <c r="E362" s="70"/>
      <c r="F362" s="70"/>
      <c r="G362" s="70"/>
      <c r="H362" s="54"/>
      <c r="I362" s="70"/>
      <c r="J362" s="70"/>
      <c r="K362" s="70"/>
      <c r="L362" s="70"/>
      <c r="M362" s="70"/>
      <c r="N362" s="70"/>
      <c r="O362" s="70"/>
      <c r="P362" s="70"/>
      <c r="Q362" s="70"/>
      <c r="R362" s="70"/>
      <c r="S362" s="70"/>
      <c r="T362" s="70"/>
      <c r="U362" s="70"/>
      <c r="V362" s="70"/>
      <c r="W362" s="70"/>
      <c r="X362" s="70"/>
      <c r="Y362" s="70"/>
      <c r="Z362" s="70"/>
      <c r="AA362" s="70"/>
      <c r="AB362" s="70"/>
      <c r="AC362" s="70"/>
      <c r="AD362" s="70"/>
      <c r="AE362" s="70"/>
      <c r="AF362" s="70"/>
      <c r="AG362" s="70"/>
      <c r="AH362" s="70"/>
      <c r="AI362" s="70"/>
      <c r="AJ362" s="70"/>
      <c r="AK362" s="70"/>
      <c r="AL362" s="70"/>
      <c r="AM362" s="70"/>
      <c r="AN362" s="70"/>
      <c r="AO362" s="70"/>
      <c r="AP362" s="70"/>
      <c r="AQ362" s="70"/>
      <c r="AR362" s="70"/>
      <c r="AS362" s="70"/>
      <c r="AT362" s="70"/>
    </row>
    <row r="363" spans="1:46">
      <c r="A363" s="70"/>
      <c r="B363" s="70"/>
      <c r="C363" s="70"/>
      <c r="D363" s="70"/>
      <c r="E363" s="70"/>
      <c r="F363" s="70"/>
      <c r="G363" s="70"/>
      <c r="H363" s="54"/>
      <c r="I363" s="70"/>
      <c r="J363" s="70"/>
      <c r="K363" s="70"/>
      <c r="L363" s="70"/>
      <c r="M363" s="70"/>
      <c r="N363" s="70"/>
      <c r="O363" s="70"/>
      <c r="P363" s="70"/>
      <c r="Q363" s="70"/>
      <c r="R363" s="70"/>
      <c r="S363" s="70"/>
      <c r="T363" s="70"/>
      <c r="U363" s="70"/>
      <c r="V363" s="70"/>
      <c r="W363" s="70"/>
      <c r="X363" s="70"/>
      <c r="Y363" s="70"/>
      <c r="Z363" s="70"/>
      <c r="AA363" s="70"/>
      <c r="AB363" s="70"/>
      <c r="AC363" s="70"/>
      <c r="AD363" s="70"/>
      <c r="AE363" s="70"/>
      <c r="AF363" s="70"/>
      <c r="AG363" s="70"/>
      <c r="AH363" s="70"/>
      <c r="AI363" s="70"/>
      <c r="AJ363" s="70"/>
      <c r="AK363" s="70"/>
      <c r="AL363" s="70"/>
      <c r="AM363" s="70"/>
      <c r="AN363" s="70"/>
      <c r="AO363" s="70"/>
      <c r="AP363" s="70"/>
      <c r="AQ363" s="70"/>
      <c r="AR363" s="70"/>
      <c r="AS363" s="70"/>
      <c r="AT363" s="70"/>
    </row>
    <row r="364" spans="1:46">
      <c r="A364" s="70"/>
      <c r="B364" s="70"/>
      <c r="C364" s="70"/>
      <c r="D364" s="70"/>
      <c r="E364" s="70"/>
      <c r="F364" s="70"/>
      <c r="G364" s="70"/>
      <c r="H364" s="54"/>
      <c r="I364" s="70"/>
      <c r="J364" s="70"/>
      <c r="K364" s="70"/>
      <c r="L364" s="70"/>
      <c r="M364" s="70"/>
      <c r="N364" s="70"/>
      <c r="O364" s="70"/>
      <c r="P364" s="70"/>
      <c r="Q364" s="70"/>
      <c r="R364" s="70"/>
      <c r="S364" s="70"/>
      <c r="T364" s="70"/>
      <c r="U364" s="70"/>
      <c r="V364" s="70"/>
      <c r="W364" s="70"/>
      <c r="X364" s="70"/>
      <c r="Y364" s="70"/>
      <c r="Z364" s="70"/>
      <c r="AA364" s="70"/>
      <c r="AB364" s="70"/>
      <c r="AC364" s="70"/>
      <c r="AD364" s="70"/>
      <c r="AE364" s="70"/>
      <c r="AF364" s="70"/>
      <c r="AG364" s="70"/>
      <c r="AH364" s="70"/>
      <c r="AI364" s="70"/>
      <c r="AJ364" s="70"/>
      <c r="AK364" s="70"/>
      <c r="AL364" s="70"/>
      <c r="AM364" s="70"/>
      <c r="AN364" s="70"/>
      <c r="AO364" s="70"/>
      <c r="AP364" s="70"/>
      <c r="AQ364" s="70"/>
      <c r="AR364" s="70"/>
      <c r="AS364" s="70"/>
      <c r="AT364" s="70"/>
    </row>
    <row r="365" spans="1:46">
      <c r="A365" s="70"/>
      <c r="B365" s="70"/>
      <c r="C365" s="70"/>
      <c r="D365" s="70"/>
      <c r="E365" s="70"/>
      <c r="F365" s="70"/>
      <c r="G365" s="70"/>
      <c r="H365" s="54"/>
      <c r="I365" s="70"/>
      <c r="J365" s="70"/>
      <c r="K365" s="70"/>
      <c r="L365" s="70"/>
      <c r="M365" s="70"/>
      <c r="N365" s="70"/>
      <c r="O365" s="70"/>
      <c r="P365" s="70"/>
      <c r="Q365" s="70"/>
      <c r="R365" s="70"/>
      <c r="S365" s="70"/>
      <c r="T365" s="70"/>
      <c r="U365" s="70"/>
      <c r="V365" s="70"/>
      <c r="W365" s="70"/>
      <c r="X365" s="70"/>
      <c r="Y365" s="70"/>
      <c r="Z365" s="70"/>
      <c r="AA365" s="70"/>
      <c r="AB365" s="70"/>
      <c r="AC365" s="70"/>
      <c r="AD365" s="70"/>
      <c r="AE365" s="70"/>
      <c r="AF365" s="70"/>
      <c r="AG365" s="70"/>
      <c r="AH365" s="70"/>
      <c r="AI365" s="70"/>
      <c r="AJ365" s="70"/>
      <c r="AK365" s="70"/>
      <c r="AL365" s="70"/>
      <c r="AM365" s="70"/>
      <c r="AN365" s="70"/>
      <c r="AO365" s="70"/>
      <c r="AP365" s="70"/>
      <c r="AQ365" s="70"/>
      <c r="AR365" s="70"/>
      <c r="AS365" s="70"/>
      <c r="AT365" s="70"/>
    </row>
    <row r="366" spans="1:46">
      <c r="A366" s="70"/>
      <c r="B366" s="70"/>
      <c r="C366" s="70"/>
      <c r="D366" s="70"/>
      <c r="E366" s="70"/>
      <c r="F366" s="70"/>
      <c r="G366" s="70"/>
      <c r="H366" s="54"/>
      <c r="I366" s="70"/>
      <c r="J366" s="70"/>
      <c r="K366" s="70"/>
      <c r="L366" s="70"/>
      <c r="M366" s="70"/>
      <c r="N366" s="70"/>
      <c r="O366" s="70"/>
      <c r="P366" s="70"/>
      <c r="Q366" s="70"/>
      <c r="R366" s="70"/>
      <c r="S366" s="70"/>
      <c r="T366" s="70"/>
      <c r="U366" s="70"/>
      <c r="V366" s="70"/>
      <c r="W366" s="70"/>
      <c r="X366" s="70"/>
      <c r="Y366" s="70"/>
      <c r="Z366" s="70"/>
      <c r="AA366" s="70"/>
      <c r="AB366" s="70"/>
      <c r="AC366" s="70"/>
      <c r="AD366" s="70"/>
      <c r="AE366" s="70"/>
      <c r="AF366" s="70"/>
      <c r="AG366" s="70"/>
      <c r="AH366" s="70"/>
      <c r="AI366" s="70"/>
      <c r="AJ366" s="70"/>
      <c r="AK366" s="70"/>
      <c r="AL366" s="70"/>
      <c r="AM366" s="70"/>
      <c r="AN366" s="70"/>
      <c r="AO366" s="70"/>
      <c r="AP366" s="70"/>
      <c r="AQ366" s="70"/>
      <c r="AR366" s="70"/>
      <c r="AS366" s="70"/>
      <c r="AT366" s="70"/>
    </row>
    <row r="367" spans="1:46">
      <c r="A367" s="70"/>
      <c r="B367" s="70"/>
      <c r="C367" s="70"/>
      <c r="D367" s="70"/>
      <c r="E367" s="70"/>
      <c r="F367" s="70"/>
      <c r="G367" s="70"/>
      <c r="H367" s="54"/>
      <c r="I367" s="70"/>
      <c r="J367" s="70"/>
      <c r="K367" s="70"/>
      <c r="L367" s="70"/>
      <c r="M367" s="70"/>
      <c r="N367" s="70"/>
      <c r="O367" s="70"/>
      <c r="P367" s="70"/>
      <c r="Q367" s="70"/>
      <c r="R367" s="70"/>
      <c r="S367" s="70"/>
      <c r="T367" s="70"/>
      <c r="U367" s="70"/>
      <c r="V367" s="70"/>
      <c r="W367" s="70"/>
      <c r="X367" s="70"/>
      <c r="Y367" s="70"/>
      <c r="Z367" s="70"/>
      <c r="AA367" s="70"/>
      <c r="AB367" s="70"/>
      <c r="AC367" s="70"/>
      <c r="AD367" s="70"/>
      <c r="AE367" s="70"/>
      <c r="AF367" s="70"/>
      <c r="AG367" s="70"/>
      <c r="AH367" s="70"/>
      <c r="AI367" s="70"/>
      <c r="AJ367" s="70"/>
      <c r="AK367" s="70"/>
      <c r="AL367" s="70"/>
      <c r="AM367" s="70"/>
      <c r="AN367" s="70"/>
      <c r="AO367" s="70"/>
      <c r="AP367" s="70"/>
      <c r="AQ367" s="70"/>
      <c r="AR367" s="70"/>
      <c r="AS367" s="70"/>
      <c r="AT367" s="70"/>
    </row>
    <row r="368" spans="1:46">
      <c r="A368" s="70"/>
      <c r="B368" s="70"/>
      <c r="C368" s="70"/>
      <c r="D368" s="70"/>
      <c r="E368" s="70"/>
      <c r="F368" s="70"/>
      <c r="G368" s="70"/>
      <c r="H368" s="54"/>
      <c r="I368" s="70"/>
      <c r="J368" s="70"/>
      <c r="K368" s="70"/>
      <c r="L368" s="70"/>
      <c r="M368" s="70"/>
      <c r="N368" s="70"/>
      <c r="O368" s="70"/>
      <c r="P368" s="70"/>
      <c r="Q368" s="70"/>
      <c r="R368" s="70"/>
      <c r="S368" s="70"/>
      <c r="T368" s="70"/>
      <c r="U368" s="70"/>
      <c r="V368" s="70"/>
      <c r="W368" s="70"/>
      <c r="X368" s="70"/>
      <c r="Y368" s="70"/>
      <c r="Z368" s="70"/>
      <c r="AA368" s="70"/>
      <c r="AB368" s="70"/>
      <c r="AC368" s="70"/>
      <c r="AD368" s="70"/>
      <c r="AE368" s="70"/>
      <c r="AF368" s="70"/>
      <c r="AG368" s="70"/>
      <c r="AH368" s="70"/>
      <c r="AI368" s="70"/>
      <c r="AJ368" s="70"/>
      <c r="AK368" s="70"/>
      <c r="AL368" s="70"/>
      <c r="AM368" s="70"/>
      <c r="AN368" s="70"/>
      <c r="AO368" s="70"/>
      <c r="AP368" s="70"/>
      <c r="AQ368" s="70"/>
      <c r="AR368" s="70"/>
      <c r="AS368" s="70"/>
      <c r="AT368" s="70"/>
    </row>
    <row r="369" spans="1:46">
      <c r="A369" s="70"/>
      <c r="B369" s="70"/>
      <c r="C369" s="70"/>
      <c r="D369" s="70"/>
      <c r="E369" s="70"/>
      <c r="F369" s="70"/>
      <c r="G369" s="70"/>
      <c r="H369" s="54"/>
      <c r="I369" s="70"/>
      <c r="J369" s="70"/>
      <c r="K369" s="70"/>
      <c r="L369" s="70"/>
      <c r="M369" s="70"/>
      <c r="N369" s="70"/>
      <c r="O369" s="70"/>
      <c r="P369" s="70"/>
      <c r="Q369" s="70"/>
      <c r="R369" s="70"/>
      <c r="S369" s="70"/>
      <c r="T369" s="70"/>
      <c r="U369" s="70"/>
      <c r="V369" s="70"/>
      <c r="W369" s="70"/>
      <c r="X369" s="70"/>
      <c r="Y369" s="70"/>
      <c r="Z369" s="70"/>
      <c r="AA369" s="70"/>
      <c r="AB369" s="70"/>
      <c r="AC369" s="70"/>
      <c r="AD369" s="70"/>
      <c r="AE369" s="70"/>
      <c r="AF369" s="70"/>
      <c r="AG369" s="70"/>
      <c r="AH369" s="70"/>
      <c r="AI369" s="70"/>
      <c r="AJ369" s="70"/>
      <c r="AK369" s="70"/>
      <c r="AL369" s="70"/>
      <c r="AM369" s="70"/>
      <c r="AN369" s="70"/>
      <c r="AO369" s="70"/>
      <c r="AP369" s="70"/>
      <c r="AQ369" s="70"/>
      <c r="AR369" s="70"/>
      <c r="AS369" s="70"/>
      <c r="AT369" s="70"/>
    </row>
    <row r="370" spans="1:46">
      <c r="A370" s="70"/>
      <c r="B370" s="70"/>
      <c r="C370" s="70"/>
      <c r="D370" s="70"/>
      <c r="E370" s="70"/>
      <c r="F370" s="70"/>
      <c r="G370" s="70"/>
      <c r="H370" s="54"/>
      <c r="I370" s="70"/>
      <c r="J370" s="70"/>
      <c r="K370" s="70"/>
      <c r="L370" s="70"/>
      <c r="M370" s="70"/>
      <c r="N370" s="70"/>
      <c r="O370" s="70"/>
      <c r="P370" s="70"/>
      <c r="Q370" s="70"/>
      <c r="R370" s="70"/>
      <c r="S370" s="70"/>
      <c r="T370" s="70"/>
      <c r="U370" s="70"/>
      <c r="V370" s="70"/>
      <c r="W370" s="70"/>
      <c r="X370" s="70"/>
      <c r="Y370" s="70"/>
      <c r="Z370" s="70"/>
      <c r="AA370" s="70"/>
      <c r="AB370" s="70"/>
      <c r="AC370" s="70"/>
      <c r="AD370" s="70"/>
      <c r="AE370" s="70"/>
      <c r="AF370" s="70"/>
      <c r="AG370" s="70"/>
      <c r="AH370" s="70"/>
      <c r="AI370" s="70"/>
      <c r="AJ370" s="70"/>
      <c r="AK370" s="70"/>
      <c r="AL370" s="70"/>
      <c r="AM370" s="70"/>
      <c r="AN370" s="70"/>
      <c r="AO370" s="70"/>
      <c r="AP370" s="70"/>
      <c r="AQ370" s="70"/>
      <c r="AR370" s="70"/>
      <c r="AS370" s="70"/>
      <c r="AT370" s="70"/>
    </row>
    <row r="371" spans="1:46">
      <c r="A371" s="70"/>
      <c r="B371" s="70"/>
      <c r="C371" s="70"/>
      <c r="D371" s="70"/>
      <c r="E371" s="70"/>
      <c r="F371" s="70"/>
      <c r="G371" s="70"/>
      <c r="H371" s="54"/>
      <c r="I371" s="70"/>
      <c r="J371" s="70"/>
      <c r="K371" s="70"/>
      <c r="L371" s="70"/>
      <c r="M371" s="70"/>
      <c r="N371" s="70"/>
      <c r="O371" s="70"/>
      <c r="P371" s="70"/>
      <c r="Q371" s="70"/>
      <c r="R371" s="70"/>
      <c r="S371" s="70"/>
      <c r="T371" s="70"/>
      <c r="U371" s="70"/>
      <c r="V371" s="70"/>
      <c r="W371" s="70"/>
      <c r="X371" s="70"/>
      <c r="Y371" s="70"/>
      <c r="Z371" s="70"/>
      <c r="AA371" s="70"/>
      <c r="AB371" s="70"/>
      <c r="AC371" s="70"/>
      <c r="AD371" s="70"/>
      <c r="AE371" s="70"/>
      <c r="AF371" s="70"/>
      <c r="AG371" s="70"/>
      <c r="AH371" s="70"/>
      <c r="AI371" s="70"/>
      <c r="AJ371" s="70"/>
      <c r="AK371" s="70"/>
      <c r="AL371" s="70"/>
      <c r="AM371" s="70"/>
      <c r="AN371" s="70"/>
      <c r="AO371" s="70"/>
      <c r="AP371" s="70"/>
      <c r="AQ371" s="70"/>
      <c r="AR371" s="70"/>
      <c r="AS371" s="70"/>
      <c r="AT371" s="70"/>
    </row>
    <row r="372" spans="1:46">
      <c r="A372" s="70"/>
      <c r="B372" s="70"/>
      <c r="C372" s="70"/>
      <c r="D372" s="70"/>
      <c r="E372" s="70"/>
      <c r="F372" s="70"/>
      <c r="G372" s="70"/>
      <c r="H372" s="54"/>
      <c r="I372" s="70"/>
      <c r="J372" s="70"/>
      <c r="K372" s="70"/>
      <c r="L372" s="70"/>
      <c r="M372" s="70"/>
      <c r="N372" s="70"/>
      <c r="O372" s="70"/>
      <c r="P372" s="70"/>
      <c r="Q372" s="70"/>
      <c r="R372" s="70"/>
      <c r="S372" s="70"/>
      <c r="T372" s="70"/>
      <c r="U372" s="70"/>
      <c r="V372" s="70"/>
      <c r="W372" s="70"/>
      <c r="X372" s="70"/>
      <c r="Y372" s="70"/>
      <c r="Z372" s="70"/>
      <c r="AA372" s="70"/>
      <c r="AB372" s="70"/>
      <c r="AC372" s="70"/>
      <c r="AD372" s="70"/>
      <c r="AE372" s="70"/>
      <c r="AF372" s="70"/>
      <c r="AG372" s="70"/>
      <c r="AH372" s="70"/>
      <c r="AI372" s="70"/>
      <c r="AJ372" s="70"/>
      <c r="AK372" s="70"/>
      <c r="AL372" s="70"/>
      <c r="AM372" s="70"/>
      <c r="AN372" s="70"/>
      <c r="AO372" s="70"/>
      <c r="AP372" s="70"/>
      <c r="AQ372" s="70"/>
      <c r="AR372" s="70"/>
      <c r="AS372" s="70"/>
      <c r="AT372" s="70"/>
    </row>
    <row r="373" spans="1:46">
      <c r="A373" s="70"/>
      <c r="B373" s="70"/>
      <c r="C373" s="70"/>
      <c r="D373" s="70"/>
      <c r="E373" s="70"/>
      <c r="F373" s="70"/>
      <c r="G373" s="70"/>
      <c r="H373" s="54"/>
      <c r="I373" s="70"/>
      <c r="J373" s="70"/>
      <c r="K373" s="70"/>
      <c r="L373" s="70"/>
      <c r="M373" s="70"/>
      <c r="N373" s="70"/>
      <c r="O373" s="70"/>
      <c r="P373" s="70"/>
      <c r="Q373" s="70"/>
      <c r="R373" s="70"/>
      <c r="S373" s="70"/>
      <c r="T373" s="70"/>
      <c r="U373" s="70"/>
      <c r="V373" s="70"/>
      <c r="W373" s="70"/>
      <c r="X373" s="70"/>
      <c r="Y373" s="70"/>
      <c r="Z373" s="70"/>
      <c r="AA373" s="70"/>
      <c r="AB373" s="70"/>
      <c r="AC373" s="70"/>
      <c r="AD373" s="70"/>
      <c r="AE373" s="70"/>
      <c r="AF373" s="70"/>
      <c r="AG373" s="70"/>
      <c r="AH373" s="70"/>
      <c r="AI373" s="70"/>
      <c r="AJ373" s="70"/>
      <c r="AK373" s="70"/>
      <c r="AL373" s="70"/>
      <c r="AM373" s="70"/>
      <c r="AN373" s="70"/>
      <c r="AO373" s="70"/>
      <c r="AP373" s="70"/>
      <c r="AQ373" s="70"/>
      <c r="AR373" s="70"/>
      <c r="AS373" s="70"/>
      <c r="AT373" s="70"/>
    </row>
    <row r="374" spans="1:46">
      <c r="A374" s="70"/>
      <c r="B374" s="70"/>
      <c r="C374" s="70"/>
      <c r="D374" s="70"/>
      <c r="E374" s="70"/>
      <c r="F374" s="70"/>
      <c r="G374" s="70"/>
      <c r="H374" s="54"/>
      <c r="I374" s="70"/>
      <c r="J374" s="70"/>
      <c r="K374" s="70"/>
      <c r="L374" s="70"/>
      <c r="M374" s="70"/>
      <c r="N374" s="70"/>
      <c r="O374" s="70"/>
      <c r="P374" s="70"/>
      <c r="Q374" s="70"/>
      <c r="R374" s="70"/>
      <c r="S374" s="70"/>
      <c r="T374" s="70"/>
      <c r="U374" s="70"/>
      <c r="V374" s="70"/>
      <c r="W374" s="70"/>
      <c r="X374" s="70"/>
      <c r="Y374" s="70"/>
      <c r="Z374" s="70"/>
      <c r="AA374" s="70"/>
      <c r="AB374" s="70"/>
      <c r="AC374" s="70"/>
      <c r="AD374" s="70"/>
      <c r="AE374" s="70"/>
      <c r="AF374" s="70"/>
      <c r="AG374" s="70"/>
      <c r="AH374" s="70"/>
      <c r="AI374" s="70"/>
      <c r="AJ374" s="70"/>
      <c r="AK374" s="70"/>
      <c r="AL374" s="70"/>
      <c r="AM374" s="70"/>
      <c r="AN374" s="70"/>
      <c r="AO374" s="70"/>
      <c r="AP374" s="70"/>
      <c r="AQ374" s="70"/>
      <c r="AR374" s="70"/>
      <c r="AS374" s="70"/>
      <c r="AT374" s="70"/>
    </row>
    <row r="375" spans="1:46">
      <c r="A375" s="70"/>
      <c r="B375" s="70"/>
      <c r="C375" s="70"/>
      <c r="D375" s="70"/>
      <c r="E375" s="70"/>
      <c r="F375" s="70"/>
      <c r="G375" s="70"/>
      <c r="H375" s="54"/>
      <c r="I375" s="70"/>
      <c r="J375" s="70"/>
      <c r="K375" s="70"/>
      <c r="L375" s="70"/>
      <c r="M375" s="70"/>
      <c r="N375" s="70"/>
      <c r="O375" s="70"/>
      <c r="P375" s="70"/>
      <c r="Q375" s="70"/>
      <c r="R375" s="70"/>
      <c r="S375" s="70"/>
      <c r="T375" s="70"/>
      <c r="U375" s="70"/>
      <c r="V375" s="70"/>
      <c r="W375" s="70"/>
      <c r="X375" s="70"/>
      <c r="Y375" s="70"/>
      <c r="Z375" s="70"/>
      <c r="AA375" s="70"/>
      <c r="AB375" s="70"/>
      <c r="AC375" s="70"/>
      <c r="AD375" s="70"/>
      <c r="AE375" s="70"/>
      <c r="AF375" s="70"/>
      <c r="AG375" s="70"/>
      <c r="AH375" s="70"/>
      <c r="AI375" s="70"/>
      <c r="AJ375" s="70"/>
      <c r="AK375" s="70"/>
      <c r="AL375" s="70"/>
      <c r="AM375" s="70"/>
      <c r="AN375" s="70"/>
      <c r="AO375" s="70"/>
      <c r="AP375" s="70"/>
      <c r="AQ375" s="70"/>
      <c r="AR375" s="70"/>
      <c r="AS375" s="70"/>
      <c r="AT375" s="70"/>
    </row>
    <row r="376" spans="1:46">
      <c r="A376" s="70"/>
      <c r="B376" s="70"/>
      <c r="C376" s="70"/>
      <c r="D376" s="70"/>
      <c r="E376" s="70"/>
      <c r="F376" s="70"/>
      <c r="G376" s="70"/>
      <c r="H376" s="54"/>
      <c r="I376" s="70"/>
      <c r="J376" s="70"/>
      <c r="K376" s="70"/>
      <c r="L376" s="70"/>
      <c r="M376" s="70"/>
      <c r="N376" s="70"/>
      <c r="O376" s="70"/>
      <c r="P376" s="70"/>
      <c r="Q376" s="70"/>
      <c r="R376" s="70"/>
      <c r="S376" s="70"/>
      <c r="T376" s="70"/>
      <c r="U376" s="70"/>
      <c r="V376" s="70"/>
      <c r="W376" s="70"/>
      <c r="X376" s="70"/>
      <c r="Y376" s="70"/>
      <c r="Z376" s="70"/>
      <c r="AA376" s="70"/>
      <c r="AB376" s="70"/>
      <c r="AC376" s="70"/>
      <c r="AD376" s="70"/>
      <c r="AE376" s="70"/>
      <c r="AF376" s="70"/>
      <c r="AG376" s="70"/>
      <c r="AH376" s="70"/>
      <c r="AI376" s="70"/>
      <c r="AJ376" s="70"/>
      <c r="AK376" s="70"/>
      <c r="AL376" s="70"/>
      <c r="AM376" s="70"/>
      <c r="AN376" s="70"/>
      <c r="AO376" s="70"/>
      <c r="AP376" s="70"/>
      <c r="AQ376" s="70"/>
      <c r="AR376" s="70"/>
      <c r="AS376" s="70"/>
      <c r="AT376" s="70"/>
    </row>
    <row r="377" spans="1:46">
      <c r="A377" s="70"/>
      <c r="B377" s="70"/>
      <c r="C377" s="70"/>
      <c r="D377" s="70"/>
      <c r="E377" s="70"/>
      <c r="F377" s="70"/>
      <c r="G377" s="70"/>
      <c r="H377" s="54"/>
      <c r="I377" s="70"/>
      <c r="J377" s="70"/>
      <c r="K377" s="70"/>
      <c r="L377" s="70"/>
      <c r="M377" s="70"/>
      <c r="N377" s="70"/>
      <c r="O377" s="70"/>
      <c r="P377" s="70"/>
      <c r="Q377" s="70"/>
      <c r="R377" s="70"/>
      <c r="S377" s="70"/>
      <c r="T377" s="70"/>
      <c r="U377" s="70"/>
      <c r="V377" s="70"/>
      <c r="W377" s="70"/>
      <c r="X377" s="70"/>
      <c r="Y377" s="70"/>
      <c r="Z377" s="70"/>
      <c r="AA377" s="70"/>
      <c r="AB377" s="70"/>
      <c r="AC377" s="70"/>
      <c r="AD377" s="70"/>
      <c r="AE377" s="70"/>
      <c r="AF377" s="70"/>
      <c r="AG377" s="70"/>
      <c r="AH377" s="70"/>
      <c r="AI377" s="70"/>
      <c r="AJ377" s="70"/>
      <c r="AK377" s="70"/>
      <c r="AL377" s="70"/>
      <c r="AM377" s="70"/>
      <c r="AN377" s="70"/>
      <c r="AO377" s="70"/>
      <c r="AP377" s="70"/>
      <c r="AQ377" s="70"/>
      <c r="AR377" s="70"/>
      <c r="AS377" s="70"/>
      <c r="AT377" s="70"/>
    </row>
    <row r="378" spans="1:46">
      <c r="A378" s="70"/>
      <c r="B378" s="70"/>
      <c r="C378" s="70"/>
      <c r="D378" s="70"/>
      <c r="E378" s="70"/>
      <c r="F378" s="70"/>
      <c r="G378" s="70"/>
      <c r="H378" s="54"/>
      <c r="I378" s="70"/>
      <c r="J378" s="70"/>
      <c r="K378" s="70"/>
      <c r="L378" s="70"/>
      <c r="M378" s="70"/>
      <c r="N378" s="70"/>
      <c r="O378" s="70"/>
      <c r="P378" s="70"/>
      <c r="Q378" s="70"/>
      <c r="R378" s="70"/>
      <c r="S378" s="70"/>
      <c r="T378" s="70"/>
      <c r="U378" s="70"/>
      <c r="V378" s="70"/>
      <c r="W378" s="70"/>
      <c r="X378" s="70"/>
      <c r="Y378" s="70"/>
      <c r="Z378" s="70"/>
      <c r="AA378" s="70"/>
      <c r="AB378" s="70"/>
      <c r="AC378" s="70"/>
      <c r="AD378" s="70"/>
      <c r="AE378" s="70"/>
      <c r="AF378" s="70"/>
      <c r="AG378" s="70"/>
      <c r="AH378" s="70"/>
      <c r="AI378" s="70"/>
      <c r="AJ378" s="70"/>
      <c r="AK378" s="70"/>
      <c r="AL378" s="70"/>
      <c r="AM378" s="70"/>
      <c r="AN378" s="70"/>
      <c r="AO378" s="70"/>
      <c r="AP378" s="70"/>
      <c r="AQ378" s="70"/>
      <c r="AR378" s="70"/>
      <c r="AS378" s="70"/>
      <c r="AT378" s="70"/>
    </row>
    <row r="379" spans="1:46">
      <c r="A379" s="70"/>
      <c r="B379" s="70"/>
      <c r="C379" s="70"/>
      <c r="D379" s="70"/>
      <c r="E379" s="70"/>
      <c r="F379" s="70"/>
      <c r="G379" s="70"/>
      <c r="H379" s="54"/>
      <c r="I379" s="70"/>
      <c r="J379" s="70"/>
      <c r="K379" s="70"/>
      <c r="L379" s="70"/>
      <c r="M379" s="70"/>
      <c r="N379" s="70"/>
      <c r="O379" s="70"/>
      <c r="P379" s="70"/>
      <c r="Q379" s="70"/>
      <c r="R379" s="70"/>
      <c r="S379" s="70"/>
      <c r="T379" s="70"/>
      <c r="U379" s="70"/>
      <c r="V379" s="70"/>
      <c r="W379" s="70"/>
      <c r="X379" s="70"/>
      <c r="Y379" s="70"/>
      <c r="Z379" s="70"/>
      <c r="AA379" s="70"/>
      <c r="AB379" s="70"/>
      <c r="AC379" s="70"/>
      <c r="AD379" s="70"/>
      <c r="AE379" s="70"/>
      <c r="AF379" s="70"/>
      <c r="AG379" s="70"/>
      <c r="AH379" s="70"/>
      <c r="AI379" s="70"/>
      <c r="AJ379" s="70"/>
      <c r="AK379" s="70"/>
      <c r="AL379" s="70"/>
      <c r="AM379" s="70"/>
      <c r="AN379" s="70"/>
      <c r="AO379" s="70"/>
      <c r="AP379" s="70"/>
      <c r="AQ379" s="70"/>
      <c r="AR379" s="70"/>
      <c r="AS379" s="70"/>
      <c r="AT379" s="70"/>
    </row>
    <row r="380" spans="1:46">
      <c r="A380" s="70"/>
      <c r="B380" s="70"/>
      <c r="C380" s="70"/>
      <c r="D380" s="70"/>
      <c r="E380" s="70"/>
      <c r="F380" s="70"/>
      <c r="G380" s="70"/>
      <c r="H380" s="54"/>
      <c r="I380" s="70"/>
      <c r="J380" s="70"/>
      <c r="K380" s="70"/>
      <c r="L380" s="70"/>
      <c r="M380" s="70"/>
      <c r="N380" s="70"/>
      <c r="O380" s="70"/>
      <c r="P380" s="70"/>
      <c r="Q380" s="70"/>
      <c r="R380" s="70"/>
      <c r="S380" s="70"/>
      <c r="T380" s="70"/>
      <c r="U380" s="70"/>
      <c r="V380" s="70"/>
      <c r="W380" s="70"/>
      <c r="X380" s="70"/>
      <c r="Y380" s="70"/>
      <c r="Z380" s="70"/>
      <c r="AA380" s="70"/>
      <c r="AB380" s="70"/>
      <c r="AC380" s="70"/>
      <c r="AD380" s="70"/>
      <c r="AE380" s="70"/>
      <c r="AF380" s="70"/>
      <c r="AG380" s="70"/>
      <c r="AH380" s="70"/>
      <c r="AI380" s="70"/>
      <c r="AJ380" s="70"/>
      <c r="AK380" s="70"/>
      <c r="AL380" s="70"/>
      <c r="AM380" s="70"/>
      <c r="AN380" s="70"/>
      <c r="AO380" s="70"/>
      <c r="AP380" s="70"/>
      <c r="AQ380" s="70"/>
      <c r="AR380" s="70"/>
      <c r="AS380" s="70"/>
      <c r="AT380" s="70"/>
    </row>
    <row r="381" spans="1:46">
      <c r="A381" s="70"/>
      <c r="B381" s="70"/>
      <c r="C381" s="70"/>
      <c r="D381" s="70"/>
      <c r="E381" s="70"/>
      <c r="F381" s="70"/>
      <c r="G381" s="70"/>
      <c r="H381" s="54"/>
      <c r="I381" s="70"/>
      <c r="J381" s="70"/>
      <c r="K381" s="70"/>
      <c r="L381" s="70"/>
      <c r="M381" s="70"/>
      <c r="N381" s="70"/>
      <c r="O381" s="70"/>
      <c r="P381" s="70"/>
      <c r="Q381" s="70"/>
      <c r="R381" s="70"/>
      <c r="S381" s="70"/>
      <c r="T381" s="70"/>
      <c r="U381" s="70"/>
      <c r="V381" s="70"/>
      <c r="W381" s="70"/>
      <c r="X381" s="70"/>
      <c r="Y381" s="70"/>
      <c r="Z381" s="70"/>
      <c r="AA381" s="70"/>
      <c r="AB381" s="70"/>
      <c r="AC381" s="70"/>
      <c r="AD381" s="70"/>
      <c r="AE381" s="70"/>
      <c r="AF381" s="70"/>
      <c r="AG381" s="70"/>
      <c r="AH381" s="70"/>
      <c r="AI381" s="70"/>
      <c r="AJ381" s="70"/>
      <c r="AK381" s="70"/>
      <c r="AL381" s="70"/>
      <c r="AM381" s="70"/>
      <c r="AN381" s="70"/>
      <c r="AO381" s="70"/>
      <c r="AP381" s="70"/>
      <c r="AQ381" s="70"/>
      <c r="AR381" s="70"/>
      <c r="AS381" s="70"/>
      <c r="AT381" s="70"/>
    </row>
    <row r="382" spans="1:46">
      <c r="A382" s="70"/>
      <c r="B382" s="70"/>
      <c r="C382" s="70"/>
      <c r="D382" s="70"/>
      <c r="E382" s="70"/>
      <c r="F382" s="70"/>
      <c r="G382" s="70"/>
      <c r="H382" s="54"/>
      <c r="I382" s="70"/>
      <c r="J382" s="70"/>
      <c r="K382" s="70"/>
      <c r="L382" s="70"/>
      <c r="M382" s="70"/>
      <c r="N382" s="70"/>
      <c r="O382" s="70"/>
      <c r="P382" s="70"/>
      <c r="Q382" s="70"/>
      <c r="R382" s="70"/>
      <c r="S382" s="70"/>
      <c r="T382" s="70"/>
      <c r="U382" s="70"/>
      <c r="V382" s="70"/>
      <c r="W382" s="70"/>
      <c r="X382" s="70"/>
      <c r="Y382" s="70"/>
      <c r="Z382" s="70"/>
      <c r="AA382" s="70"/>
      <c r="AB382" s="70"/>
      <c r="AC382" s="70"/>
      <c r="AD382" s="70"/>
      <c r="AE382" s="70"/>
      <c r="AF382" s="70"/>
      <c r="AG382" s="70"/>
      <c r="AH382" s="70"/>
      <c r="AI382" s="70"/>
      <c r="AJ382" s="70"/>
      <c r="AK382" s="70"/>
      <c r="AL382" s="70"/>
      <c r="AM382" s="70"/>
      <c r="AN382" s="70"/>
      <c r="AO382" s="70"/>
      <c r="AP382" s="70"/>
      <c r="AQ382" s="70"/>
      <c r="AR382" s="70"/>
      <c r="AS382" s="70"/>
      <c r="AT382" s="70"/>
    </row>
    <row r="383" spans="1:46">
      <c r="A383" s="70"/>
      <c r="B383" s="70"/>
      <c r="C383" s="70"/>
      <c r="D383" s="70"/>
      <c r="E383" s="70"/>
      <c r="F383" s="70"/>
      <c r="G383" s="70"/>
      <c r="H383" s="54"/>
      <c r="I383" s="70"/>
      <c r="J383" s="70"/>
      <c r="K383" s="70"/>
      <c r="L383" s="70"/>
      <c r="M383" s="70"/>
      <c r="N383" s="70"/>
      <c r="O383" s="70"/>
      <c r="P383" s="70"/>
      <c r="Q383" s="70"/>
      <c r="R383" s="70"/>
      <c r="S383" s="70"/>
      <c r="T383" s="70"/>
      <c r="U383" s="70"/>
      <c r="V383" s="70"/>
      <c r="W383" s="70"/>
      <c r="X383" s="70"/>
      <c r="Y383" s="70"/>
      <c r="Z383" s="70"/>
      <c r="AA383" s="70"/>
      <c r="AB383" s="70"/>
      <c r="AC383" s="70"/>
      <c r="AD383" s="70"/>
      <c r="AE383" s="70"/>
      <c r="AF383" s="70"/>
      <c r="AG383" s="70"/>
      <c r="AH383" s="70"/>
      <c r="AI383" s="70"/>
      <c r="AJ383" s="70"/>
      <c r="AK383" s="70"/>
      <c r="AL383" s="70"/>
      <c r="AM383" s="70"/>
      <c r="AN383" s="70"/>
      <c r="AO383" s="70"/>
      <c r="AP383" s="70"/>
      <c r="AQ383" s="70"/>
      <c r="AR383" s="70"/>
      <c r="AS383" s="70"/>
      <c r="AT383" s="70"/>
    </row>
    <row r="384" spans="1:46">
      <c r="A384" s="70"/>
      <c r="B384" s="70"/>
      <c r="C384" s="70"/>
      <c r="D384" s="70"/>
      <c r="E384" s="70"/>
      <c r="F384" s="70"/>
      <c r="G384" s="70"/>
      <c r="H384" s="54"/>
      <c r="I384" s="70"/>
      <c r="J384" s="70"/>
      <c r="K384" s="70"/>
      <c r="L384" s="70"/>
      <c r="M384" s="70"/>
      <c r="N384" s="70"/>
      <c r="O384" s="70"/>
      <c r="P384" s="70"/>
      <c r="Q384" s="70"/>
      <c r="R384" s="70"/>
      <c r="S384" s="70"/>
      <c r="T384" s="70"/>
      <c r="U384" s="70"/>
      <c r="V384" s="70"/>
      <c r="W384" s="70"/>
      <c r="X384" s="70"/>
      <c r="Y384" s="70"/>
      <c r="Z384" s="70"/>
      <c r="AA384" s="70"/>
      <c r="AB384" s="70"/>
      <c r="AC384" s="70"/>
      <c r="AD384" s="70"/>
      <c r="AE384" s="70"/>
      <c r="AF384" s="70"/>
      <c r="AG384" s="70"/>
      <c r="AH384" s="70"/>
      <c r="AI384" s="70"/>
      <c r="AJ384" s="70"/>
      <c r="AK384" s="70"/>
      <c r="AL384" s="70"/>
      <c r="AM384" s="70"/>
      <c r="AN384" s="70"/>
      <c r="AO384" s="70"/>
      <c r="AP384" s="70"/>
      <c r="AQ384" s="70"/>
      <c r="AR384" s="70"/>
      <c r="AS384" s="70"/>
      <c r="AT384" s="70"/>
    </row>
    <row r="385" spans="1:46">
      <c r="A385" s="70"/>
      <c r="B385" s="70"/>
      <c r="C385" s="70"/>
      <c r="D385" s="70"/>
      <c r="E385" s="70"/>
      <c r="F385" s="70"/>
      <c r="G385" s="70"/>
      <c r="H385" s="54"/>
      <c r="I385" s="70"/>
      <c r="J385" s="70"/>
      <c r="K385" s="70"/>
      <c r="L385" s="70"/>
      <c r="M385" s="70"/>
      <c r="N385" s="70"/>
      <c r="O385" s="70"/>
      <c r="P385" s="70"/>
      <c r="Q385" s="70"/>
      <c r="R385" s="70"/>
      <c r="S385" s="70"/>
      <c r="T385" s="70"/>
      <c r="U385" s="70"/>
      <c r="V385" s="70"/>
      <c r="W385" s="70"/>
      <c r="X385" s="70"/>
      <c r="Y385" s="70"/>
      <c r="Z385" s="70"/>
      <c r="AA385" s="70"/>
      <c r="AB385" s="70"/>
      <c r="AC385" s="70"/>
      <c r="AD385" s="70"/>
      <c r="AE385" s="70"/>
      <c r="AF385" s="70"/>
      <c r="AG385" s="70"/>
      <c r="AH385" s="70"/>
      <c r="AI385" s="70"/>
      <c r="AJ385" s="70"/>
      <c r="AK385" s="70"/>
      <c r="AL385" s="70"/>
      <c r="AM385" s="70"/>
      <c r="AN385" s="70"/>
      <c r="AO385" s="70"/>
      <c r="AP385" s="70"/>
      <c r="AQ385" s="70"/>
      <c r="AR385" s="70"/>
      <c r="AS385" s="70"/>
      <c r="AT385" s="70"/>
    </row>
    <row r="386" spans="1:46">
      <c r="A386" s="70"/>
      <c r="B386" s="70"/>
      <c r="C386" s="70"/>
      <c r="D386" s="70"/>
      <c r="E386" s="70"/>
      <c r="F386" s="70"/>
      <c r="G386" s="70"/>
      <c r="H386" s="54"/>
      <c r="I386" s="70"/>
      <c r="J386" s="70"/>
      <c r="K386" s="70"/>
      <c r="L386" s="70"/>
      <c r="M386" s="70"/>
      <c r="N386" s="70"/>
      <c r="O386" s="70"/>
      <c r="P386" s="70"/>
      <c r="Q386" s="70"/>
      <c r="R386" s="70"/>
      <c r="S386" s="70"/>
      <c r="T386" s="70"/>
      <c r="U386" s="70"/>
      <c r="V386" s="70"/>
      <c r="W386" s="70"/>
      <c r="X386" s="70"/>
      <c r="Y386" s="70"/>
      <c r="Z386" s="70"/>
      <c r="AA386" s="70"/>
      <c r="AB386" s="70"/>
      <c r="AC386" s="70"/>
      <c r="AD386" s="70"/>
      <c r="AE386" s="70"/>
      <c r="AF386" s="70"/>
      <c r="AG386" s="70"/>
      <c r="AH386" s="70"/>
      <c r="AI386" s="70"/>
      <c r="AJ386" s="70"/>
      <c r="AK386" s="70"/>
      <c r="AL386" s="70"/>
      <c r="AM386" s="70"/>
      <c r="AN386" s="70"/>
      <c r="AO386" s="70"/>
      <c r="AP386" s="70"/>
      <c r="AQ386" s="70"/>
      <c r="AR386" s="70"/>
      <c r="AS386" s="70"/>
      <c r="AT386" s="70"/>
    </row>
    <row r="387" spans="1:46">
      <c r="A387" s="70"/>
      <c r="B387" s="70"/>
      <c r="C387" s="70"/>
      <c r="D387" s="70"/>
      <c r="E387" s="70"/>
      <c r="F387" s="70"/>
      <c r="G387" s="70"/>
      <c r="H387" s="54"/>
      <c r="I387" s="70"/>
      <c r="J387" s="70"/>
      <c r="K387" s="70"/>
      <c r="L387" s="70"/>
      <c r="M387" s="70"/>
      <c r="N387" s="70"/>
      <c r="O387" s="70"/>
      <c r="P387" s="70"/>
      <c r="Q387" s="70"/>
      <c r="R387" s="70"/>
      <c r="S387" s="70"/>
      <c r="T387" s="70"/>
      <c r="U387" s="70"/>
      <c r="V387" s="70"/>
      <c r="W387" s="70"/>
      <c r="X387" s="70"/>
      <c r="Y387" s="70"/>
      <c r="Z387" s="70"/>
      <c r="AA387" s="70"/>
      <c r="AB387" s="70"/>
      <c r="AC387" s="70"/>
      <c r="AD387" s="70"/>
      <c r="AE387" s="70"/>
      <c r="AF387" s="70"/>
      <c r="AG387" s="70"/>
      <c r="AH387" s="70"/>
      <c r="AI387" s="70"/>
      <c r="AJ387" s="70"/>
      <c r="AK387" s="70"/>
      <c r="AL387" s="70"/>
      <c r="AM387" s="70"/>
      <c r="AN387" s="70"/>
      <c r="AO387" s="70"/>
      <c r="AP387" s="70"/>
      <c r="AQ387" s="70"/>
      <c r="AR387" s="70"/>
      <c r="AS387" s="70"/>
      <c r="AT387" s="70"/>
    </row>
    <row r="388" spans="1:46">
      <c r="A388" s="70"/>
      <c r="B388" s="70"/>
      <c r="C388" s="70"/>
      <c r="D388" s="70"/>
      <c r="E388" s="70"/>
      <c r="F388" s="70"/>
      <c r="G388" s="70"/>
      <c r="H388" s="54"/>
      <c r="I388" s="70"/>
      <c r="J388" s="70"/>
      <c r="K388" s="70"/>
      <c r="L388" s="70"/>
      <c r="M388" s="70"/>
      <c r="N388" s="70"/>
      <c r="O388" s="70"/>
      <c r="P388" s="70"/>
      <c r="Q388" s="70"/>
      <c r="R388" s="70"/>
      <c r="S388" s="70"/>
      <c r="T388" s="70"/>
      <c r="U388" s="70"/>
      <c r="V388" s="70"/>
      <c r="W388" s="70"/>
      <c r="X388" s="70"/>
      <c r="Y388" s="70"/>
      <c r="Z388" s="70"/>
      <c r="AA388" s="70"/>
      <c r="AB388" s="70"/>
      <c r="AC388" s="70"/>
      <c r="AD388" s="70"/>
      <c r="AE388" s="70"/>
      <c r="AF388" s="70"/>
      <c r="AG388" s="70"/>
      <c r="AH388" s="70"/>
      <c r="AI388" s="70"/>
      <c r="AJ388" s="70"/>
      <c r="AK388" s="70"/>
      <c r="AL388" s="70"/>
      <c r="AM388" s="70"/>
      <c r="AN388" s="70"/>
      <c r="AO388" s="70"/>
      <c r="AP388" s="70"/>
      <c r="AQ388" s="70"/>
      <c r="AR388" s="70"/>
      <c r="AS388" s="70"/>
      <c r="AT388" s="70"/>
    </row>
    <row r="389" spans="1:46">
      <c r="A389" s="70"/>
      <c r="B389" s="70"/>
      <c r="C389" s="70"/>
      <c r="D389" s="70"/>
      <c r="E389" s="70"/>
      <c r="F389" s="70"/>
      <c r="G389" s="70"/>
      <c r="H389" s="54"/>
      <c r="I389" s="70"/>
      <c r="J389" s="70"/>
      <c r="K389" s="70"/>
      <c r="L389" s="70"/>
      <c r="M389" s="70"/>
      <c r="N389" s="70"/>
      <c r="O389" s="70"/>
      <c r="P389" s="70"/>
      <c r="Q389" s="70"/>
      <c r="R389" s="70"/>
      <c r="S389" s="70"/>
      <c r="T389" s="70"/>
      <c r="U389" s="70"/>
      <c r="V389" s="70"/>
      <c r="W389" s="70"/>
      <c r="X389" s="70"/>
      <c r="Y389" s="70"/>
      <c r="Z389" s="70"/>
      <c r="AA389" s="70"/>
      <c r="AB389" s="70"/>
      <c r="AC389" s="70"/>
      <c r="AD389" s="70"/>
      <c r="AE389" s="70"/>
      <c r="AF389" s="70"/>
      <c r="AG389" s="70"/>
      <c r="AH389" s="70"/>
      <c r="AI389" s="70"/>
      <c r="AJ389" s="70"/>
      <c r="AK389" s="70"/>
      <c r="AL389" s="70"/>
      <c r="AM389" s="70"/>
      <c r="AN389" s="70"/>
      <c r="AO389" s="70"/>
      <c r="AP389" s="70"/>
      <c r="AQ389" s="70"/>
      <c r="AR389" s="70"/>
      <c r="AS389" s="70"/>
      <c r="AT389" s="70"/>
    </row>
    <row r="390" spans="1:46">
      <c r="A390" s="70"/>
      <c r="B390" s="70"/>
      <c r="C390" s="70"/>
      <c r="D390" s="70"/>
      <c r="E390" s="70"/>
      <c r="F390" s="70"/>
      <c r="G390" s="70"/>
      <c r="H390" s="54"/>
      <c r="I390" s="70"/>
      <c r="J390" s="70"/>
      <c r="K390" s="70"/>
      <c r="L390" s="70"/>
      <c r="M390" s="70"/>
      <c r="N390" s="70"/>
      <c r="O390" s="70"/>
      <c r="P390" s="70"/>
      <c r="Q390" s="70"/>
      <c r="R390" s="70"/>
      <c r="S390" s="70"/>
      <c r="T390" s="70"/>
      <c r="U390" s="70"/>
      <c r="V390" s="70"/>
      <c r="W390" s="70"/>
      <c r="X390" s="70"/>
      <c r="Y390" s="70"/>
      <c r="Z390" s="70"/>
      <c r="AA390" s="70"/>
      <c r="AB390" s="70"/>
      <c r="AC390" s="70"/>
      <c r="AD390" s="70"/>
      <c r="AE390" s="70"/>
      <c r="AF390" s="70"/>
      <c r="AG390" s="70"/>
      <c r="AH390" s="70"/>
      <c r="AI390" s="70"/>
      <c r="AJ390" s="70"/>
      <c r="AK390" s="70"/>
      <c r="AL390" s="70"/>
      <c r="AM390" s="70"/>
      <c r="AN390" s="70"/>
      <c r="AO390" s="70"/>
      <c r="AP390" s="70"/>
      <c r="AQ390" s="70"/>
      <c r="AR390" s="70"/>
      <c r="AS390" s="70"/>
      <c r="AT390" s="70"/>
    </row>
    <row r="391" spans="1:46">
      <c r="A391" s="70"/>
      <c r="B391" s="70"/>
      <c r="C391" s="70"/>
      <c r="D391" s="70"/>
      <c r="E391" s="70"/>
      <c r="F391" s="70"/>
      <c r="G391" s="70"/>
      <c r="H391" s="54"/>
      <c r="I391" s="70"/>
      <c r="J391" s="70"/>
      <c r="K391" s="70"/>
      <c r="L391" s="70"/>
      <c r="M391" s="70"/>
      <c r="N391" s="70"/>
      <c r="O391" s="70"/>
      <c r="P391" s="70"/>
      <c r="Q391" s="70"/>
      <c r="R391" s="70"/>
      <c r="S391" s="70"/>
      <c r="T391" s="70"/>
      <c r="U391" s="70"/>
      <c r="V391" s="70"/>
      <c r="W391" s="70"/>
      <c r="X391" s="70"/>
      <c r="Y391" s="70"/>
      <c r="Z391" s="70"/>
      <c r="AA391" s="70"/>
      <c r="AB391" s="70"/>
      <c r="AC391" s="70"/>
      <c r="AD391" s="70"/>
      <c r="AE391" s="70"/>
      <c r="AF391" s="70"/>
      <c r="AG391" s="70"/>
      <c r="AH391" s="70"/>
      <c r="AI391" s="70"/>
      <c r="AJ391" s="70"/>
      <c r="AK391" s="70"/>
      <c r="AL391" s="70"/>
      <c r="AM391" s="70"/>
      <c r="AN391" s="70"/>
      <c r="AO391" s="70"/>
      <c r="AP391" s="70"/>
      <c r="AQ391" s="70"/>
      <c r="AR391" s="70"/>
      <c r="AS391" s="70"/>
      <c r="AT391" s="70"/>
    </row>
    <row r="392" spans="1:46">
      <c r="A392" s="70"/>
      <c r="B392" s="70"/>
      <c r="C392" s="70"/>
      <c r="D392" s="70"/>
      <c r="E392" s="70"/>
      <c r="F392" s="70"/>
      <c r="G392" s="70"/>
      <c r="H392" s="54"/>
      <c r="I392" s="70"/>
      <c r="J392" s="70"/>
      <c r="K392" s="70"/>
      <c r="L392" s="70"/>
      <c r="M392" s="70"/>
      <c r="N392" s="70"/>
      <c r="O392" s="70"/>
      <c r="P392" s="70"/>
      <c r="Q392" s="70"/>
      <c r="R392" s="70"/>
      <c r="S392" s="70"/>
      <c r="T392" s="70"/>
      <c r="U392" s="70"/>
      <c r="V392" s="70"/>
      <c r="W392" s="70"/>
      <c r="X392" s="70"/>
      <c r="Y392" s="70"/>
      <c r="Z392" s="70"/>
      <c r="AA392" s="70"/>
      <c r="AB392" s="70"/>
      <c r="AC392" s="70"/>
      <c r="AD392" s="70"/>
      <c r="AE392" s="70"/>
      <c r="AF392" s="70"/>
      <c r="AG392" s="70"/>
      <c r="AH392" s="70"/>
      <c r="AI392" s="70"/>
      <c r="AJ392" s="70"/>
      <c r="AK392" s="70"/>
      <c r="AL392" s="70"/>
      <c r="AM392" s="70"/>
      <c r="AN392" s="70"/>
      <c r="AO392" s="70"/>
      <c r="AP392" s="70"/>
      <c r="AQ392" s="70"/>
      <c r="AR392" s="70"/>
      <c r="AS392" s="70"/>
      <c r="AT392" s="70"/>
    </row>
    <row r="393" spans="1:46">
      <c r="A393" s="70"/>
      <c r="B393" s="70"/>
      <c r="C393" s="70"/>
      <c r="D393" s="70"/>
      <c r="E393" s="70"/>
      <c r="F393" s="70"/>
      <c r="G393" s="70"/>
      <c r="H393" s="54"/>
      <c r="I393" s="70"/>
      <c r="J393" s="70"/>
      <c r="K393" s="70"/>
      <c r="L393" s="70"/>
      <c r="M393" s="70"/>
      <c r="N393" s="70"/>
      <c r="O393" s="70"/>
      <c r="P393" s="70"/>
      <c r="Q393" s="70"/>
      <c r="R393" s="70"/>
      <c r="S393" s="70"/>
      <c r="T393" s="70"/>
      <c r="U393" s="70"/>
      <c r="V393" s="70"/>
      <c r="W393" s="70"/>
      <c r="X393" s="70"/>
      <c r="Y393" s="70"/>
      <c r="Z393" s="70"/>
      <c r="AA393" s="70"/>
      <c r="AB393" s="70"/>
      <c r="AC393" s="70"/>
      <c r="AD393" s="70"/>
      <c r="AE393" s="70"/>
      <c r="AF393" s="70"/>
      <c r="AG393" s="70"/>
      <c r="AH393" s="70"/>
      <c r="AI393" s="70"/>
      <c r="AJ393" s="70"/>
      <c r="AK393" s="70"/>
      <c r="AL393" s="70"/>
      <c r="AM393" s="70"/>
      <c r="AN393" s="70"/>
      <c r="AO393" s="70"/>
      <c r="AP393" s="70"/>
      <c r="AQ393" s="70"/>
      <c r="AR393" s="70"/>
      <c r="AS393" s="70"/>
      <c r="AT393" s="70"/>
    </row>
    <row r="394" spans="1:46">
      <c r="A394" s="70"/>
      <c r="B394" s="70"/>
      <c r="C394" s="70"/>
      <c r="D394" s="70"/>
      <c r="E394" s="70"/>
      <c r="F394" s="70"/>
      <c r="G394" s="70"/>
      <c r="H394" s="54"/>
      <c r="I394" s="70"/>
      <c r="J394" s="70"/>
      <c r="K394" s="70"/>
      <c r="L394" s="70"/>
      <c r="M394" s="70"/>
      <c r="N394" s="70"/>
      <c r="O394" s="70"/>
      <c r="P394" s="70"/>
      <c r="Q394" s="70"/>
      <c r="R394" s="70"/>
      <c r="S394" s="70"/>
      <c r="T394" s="70"/>
      <c r="U394" s="70"/>
      <c r="V394" s="70"/>
      <c r="W394" s="70"/>
      <c r="X394" s="70"/>
      <c r="Y394" s="70"/>
      <c r="Z394" s="70"/>
      <c r="AA394" s="70"/>
      <c r="AB394" s="70"/>
      <c r="AC394" s="70"/>
      <c r="AD394" s="70"/>
      <c r="AE394" s="70"/>
      <c r="AF394" s="70"/>
      <c r="AG394" s="70"/>
      <c r="AH394" s="70"/>
      <c r="AI394" s="70"/>
      <c r="AJ394" s="70"/>
      <c r="AK394" s="70"/>
      <c r="AL394" s="70"/>
      <c r="AM394" s="70"/>
      <c r="AN394" s="70"/>
      <c r="AO394" s="70"/>
      <c r="AP394" s="70"/>
      <c r="AQ394" s="70"/>
      <c r="AR394" s="70"/>
      <c r="AS394" s="70"/>
      <c r="AT394" s="70"/>
    </row>
    <row r="395" spans="1:46">
      <c r="A395" s="70"/>
      <c r="B395" s="70"/>
      <c r="C395" s="70"/>
      <c r="D395" s="70"/>
      <c r="E395" s="70"/>
      <c r="F395" s="70"/>
      <c r="G395" s="70"/>
      <c r="H395" s="54"/>
      <c r="I395" s="70"/>
      <c r="J395" s="70"/>
      <c r="K395" s="70"/>
      <c r="L395" s="70"/>
      <c r="M395" s="70"/>
      <c r="N395" s="70"/>
      <c r="O395" s="70"/>
      <c r="P395" s="70"/>
      <c r="Q395" s="70"/>
      <c r="R395" s="70"/>
      <c r="S395" s="70"/>
      <c r="T395" s="70"/>
      <c r="U395" s="70"/>
      <c r="V395" s="70"/>
      <c r="W395" s="70"/>
      <c r="X395" s="70"/>
      <c r="Y395" s="70"/>
      <c r="Z395" s="70"/>
      <c r="AA395" s="70"/>
      <c r="AB395" s="70"/>
      <c r="AC395" s="70"/>
      <c r="AD395" s="70"/>
      <c r="AE395" s="70"/>
      <c r="AF395" s="70"/>
      <c r="AG395" s="70"/>
      <c r="AH395" s="70"/>
      <c r="AI395" s="70"/>
      <c r="AJ395" s="70"/>
      <c r="AK395" s="70"/>
      <c r="AL395" s="70"/>
      <c r="AM395" s="70"/>
      <c r="AN395" s="70"/>
      <c r="AO395" s="70"/>
      <c r="AP395" s="70"/>
      <c r="AQ395" s="70"/>
      <c r="AR395" s="70"/>
      <c r="AS395" s="70"/>
      <c r="AT395" s="70"/>
    </row>
    <row r="396" spans="1:46">
      <c r="A396" s="70"/>
      <c r="B396" s="70"/>
      <c r="C396" s="70"/>
      <c r="D396" s="70"/>
      <c r="E396" s="70"/>
      <c r="F396" s="70"/>
      <c r="G396" s="70"/>
      <c r="H396" s="54"/>
      <c r="I396" s="70"/>
      <c r="J396" s="70"/>
      <c r="K396" s="70"/>
      <c r="L396" s="70"/>
      <c r="M396" s="70"/>
      <c r="N396" s="70"/>
      <c r="O396" s="70"/>
      <c r="P396" s="70"/>
      <c r="Q396" s="70"/>
      <c r="R396" s="70"/>
      <c r="S396" s="70"/>
      <c r="T396" s="70"/>
      <c r="U396" s="70"/>
      <c r="V396" s="70"/>
      <c r="W396" s="70"/>
      <c r="X396" s="70"/>
      <c r="Y396" s="70"/>
      <c r="Z396" s="70"/>
      <c r="AA396" s="70"/>
      <c r="AB396" s="70"/>
      <c r="AC396" s="70"/>
      <c r="AD396" s="70"/>
      <c r="AE396" s="70"/>
      <c r="AF396" s="70"/>
      <c r="AG396" s="70"/>
      <c r="AH396" s="70"/>
      <c r="AI396" s="70"/>
      <c r="AJ396" s="70"/>
      <c r="AK396" s="70"/>
      <c r="AL396" s="70"/>
      <c r="AM396" s="70"/>
      <c r="AN396" s="70"/>
      <c r="AO396" s="70"/>
      <c r="AP396" s="70"/>
      <c r="AQ396" s="70"/>
      <c r="AR396" s="70"/>
      <c r="AS396" s="70"/>
      <c r="AT396" s="70"/>
    </row>
    <row r="397" spans="1:46">
      <c r="A397" s="70"/>
      <c r="B397" s="70"/>
      <c r="C397" s="70"/>
      <c r="D397" s="70"/>
      <c r="E397" s="70"/>
      <c r="F397" s="70"/>
      <c r="G397" s="70"/>
      <c r="H397" s="54"/>
      <c r="I397" s="70"/>
      <c r="J397" s="70"/>
      <c r="K397" s="70"/>
      <c r="L397" s="70"/>
      <c r="M397" s="70"/>
      <c r="N397" s="70"/>
      <c r="O397" s="70"/>
      <c r="P397" s="70"/>
      <c r="Q397" s="70"/>
      <c r="R397" s="70"/>
      <c r="S397" s="70"/>
      <c r="T397" s="70"/>
      <c r="U397" s="70"/>
      <c r="V397" s="70"/>
      <c r="W397" s="70"/>
      <c r="X397" s="70"/>
      <c r="Y397" s="70"/>
      <c r="Z397" s="70"/>
      <c r="AA397" s="70"/>
      <c r="AB397" s="70"/>
      <c r="AC397" s="70"/>
      <c r="AD397" s="70"/>
      <c r="AE397" s="70"/>
      <c r="AF397" s="70"/>
      <c r="AG397" s="70"/>
      <c r="AH397" s="70"/>
      <c r="AI397" s="70"/>
      <c r="AJ397" s="70"/>
      <c r="AK397" s="70"/>
      <c r="AL397" s="70"/>
      <c r="AM397" s="70"/>
      <c r="AN397" s="70"/>
      <c r="AO397" s="70"/>
      <c r="AP397" s="70"/>
      <c r="AQ397" s="70"/>
      <c r="AR397" s="70"/>
      <c r="AS397" s="70"/>
      <c r="AT397" s="70"/>
    </row>
    <row r="398" spans="1:46">
      <c r="A398" s="70"/>
      <c r="B398" s="70"/>
      <c r="C398" s="70"/>
      <c r="D398" s="70"/>
      <c r="E398" s="70"/>
      <c r="F398" s="70"/>
      <c r="G398" s="70"/>
      <c r="H398" s="54"/>
      <c r="I398" s="70"/>
      <c r="J398" s="70"/>
      <c r="K398" s="70"/>
      <c r="L398" s="70"/>
      <c r="M398" s="70"/>
      <c r="N398" s="70"/>
      <c r="O398" s="70"/>
      <c r="P398" s="70"/>
      <c r="Q398" s="70"/>
      <c r="R398" s="70"/>
      <c r="S398" s="70"/>
      <c r="T398" s="70"/>
      <c r="U398" s="70"/>
      <c r="V398" s="70"/>
      <c r="W398" s="70"/>
      <c r="X398" s="70"/>
      <c r="Y398" s="70"/>
      <c r="Z398" s="70"/>
      <c r="AA398" s="70"/>
      <c r="AB398" s="70"/>
      <c r="AC398" s="70"/>
      <c r="AD398" s="70"/>
      <c r="AE398" s="70"/>
      <c r="AF398" s="70"/>
      <c r="AG398" s="70"/>
      <c r="AH398" s="70"/>
      <c r="AI398" s="70"/>
      <c r="AJ398" s="70"/>
      <c r="AK398" s="70"/>
      <c r="AL398" s="70"/>
      <c r="AM398" s="70"/>
      <c r="AN398" s="70"/>
      <c r="AO398" s="70"/>
      <c r="AP398" s="70"/>
      <c r="AQ398" s="70"/>
      <c r="AR398" s="70"/>
      <c r="AS398" s="70"/>
      <c r="AT398" s="70"/>
    </row>
    <row r="399" spans="1:46">
      <c r="A399" s="70"/>
      <c r="B399" s="70"/>
      <c r="C399" s="70"/>
      <c r="D399" s="70"/>
      <c r="E399" s="70"/>
      <c r="F399" s="70"/>
      <c r="G399" s="70"/>
      <c r="H399" s="54"/>
      <c r="I399" s="70"/>
      <c r="J399" s="70"/>
      <c r="K399" s="70"/>
      <c r="L399" s="70"/>
      <c r="M399" s="70"/>
      <c r="N399" s="70"/>
      <c r="O399" s="70"/>
      <c r="P399" s="70"/>
      <c r="Q399" s="70"/>
      <c r="R399" s="70"/>
      <c r="S399" s="70"/>
      <c r="T399" s="70"/>
      <c r="U399" s="70"/>
      <c r="V399" s="70"/>
      <c r="W399" s="70"/>
      <c r="X399" s="70"/>
      <c r="Y399" s="70"/>
      <c r="Z399" s="70"/>
      <c r="AA399" s="70"/>
      <c r="AB399" s="70"/>
      <c r="AC399" s="70"/>
      <c r="AD399" s="70"/>
      <c r="AE399" s="70"/>
      <c r="AF399" s="70"/>
      <c r="AG399" s="70"/>
      <c r="AH399" s="70"/>
      <c r="AI399" s="70"/>
      <c r="AJ399" s="70"/>
      <c r="AK399" s="70"/>
      <c r="AL399" s="70"/>
      <c r="AM399" s="70"/>
      <c r="AN399" s="70"/>
      <c r="AO399" s="70"/>
      <c r="AP399" s="70"/>
      <c r="AQ399" s="70"/>
      <c r="AR399" s="70"/>
      <c r="AS399" s="70"/>
      <c r="AT399" s="70"/>
    </row>
    <row r="400" spans="1:46">
      <c r="A400" s="70"/>
      <c r="B400" s="70"/>
      <c r="C400" s="70"/>
      <c r="D400" s="70"/>
      <c r="E400" s="70"/>
      <c r="F400" s="70"/>
      <c r="G400" s="70"/>
      <c r="H400" s="54"/>
      <c r="I400" s="70"/>
      <c r="J400" s="70"/>
      <c r="K400" s="70"/>
      <c r="L400" s="70"/>
      <c r="M400" s="70"/>
      <c r="N400" s="70"/>
      <c r="O400" s="70"/>
      <c r="P400" s="70"/>
      <c r="Q400" s="70"/>
      <c r="R400" s="70"/>
      <c r="S400" s="70"/>
      <c r="T400" s="70"/>
      <c r="U400" s="70"/>
      <c r="V400" s="70"/>
      <c r="W400" s="70"/>
      <c r="X400" s="70"/>
      <c r="Y400" s="70"/>
      <c r="Z400" s="70"/>
      <c r="AA400" s="70"/>
      <c r="AB400" s="70"/>
      <c r="AC400" s="70"/>
      <c r="AD400" s="70"/>
      <c r="AE400" s="70"/>
      <c r="AF400" s="70"/>
      <c r="AG400" s="70"/>
      <c r="AH400" s="70"/>
      <c r="AI400" s="70"/>
      <c r="AJ400" s="70"/>
      <c r="AK400" s="70"/>
      <c r="AL400" s="70"/>
      <c r="AM400" s="70"/>
      <c r="AN400" s="70"/>
      <c r="AO400" s="70"/>
      <c r="AP400" s="70"/>
      <c r="AQ400" s="70"/>
      <c r="AR400" s="70"/>
      <c r="AS400" s="70"/>
      <c r="AT400" s="70"/>
    </row>
    <row r="401" spans="1:46">
      <c r="A401" s="70"/>
      <c r="B401" s="70"/>
      <c r="C401" s="70"/>
      <c r="D401" s="70"/>
      <c r="E401" s="70"/>
      <c r="F401" s="70"/>
      <c r="G401" s="70"/>
      <c r="H401" s="54"/>
      <c r="I401" s="70"/>
      <c r="J401" s="70"/>
      <c r="K401" s="70"/>
      <c r="L401" s="70"/>
      <c r="M401" s="70"/>
      <c r="N401" s="70"/>
      <c r="O401" s="70"/>
      <c r="P401" s="70"/>
      <c r="Q401" s="70"/>
      <c r="R401" s="70"/>
      <c r="S401" s="70"/>
      <c r="T401" s="70"/>
      <c r="U401" s="70"/>
      <c r="V401" s="70"/>
      <c r="W401" s="70"/>
      <c r="X401" s="70"/>
      <c r="Y401" s="70"/>
      <c r="Z401" s="70"/>
      <c r="AA401" s="70"/>
      <c r="AB401" s="70"/>
      <c r="AC401" s="70"/>
      <c r="AD401" s="70"/>
      <c r="AE401" s="70"/>
      <c r="AF401" s="70"/>
      <c r="AG401" s="70"/>
      <c r="AH401" s="70"/>
      <c r="AI401" s="70"/>
      <c r="AJ401" s="70"/>
      <c r="AK401" s="70"/>
      <c r="AL401" s="70"/>
      <c r="AM401" s="70"/>
      <c r="AN401" s="70"/>
      <c r="AO401" s="70"/>
      <c r="AP401" s="70"/>
      <c r="AQ401" s="70"/>
      <c r="AR401" s="70"/>
      <c r="AS401" s="70"/>
      <c r="AT401" s="70"/>
    </row>
    <row r="402" spans="1:46">
      <c r="A402" s="70"/>
      <c r="B402" s="70"/>
      <c r="C402" s="70"/>
      <c r="D402" s="70"/>
      <c r="E402" s="70"/>
      <c r="F402" s="70"/>
      <c r="G402" s="70"/>
      <c r="H402" s="54"/>
      <c r="I402" s="70"/>
      <c r="J402" s="70"/>
      <c r="K402" s="70"/>
      <c r="L402" s="70"/>
      <c r="M402" s="70"/>
      <c r="N402" s="70"/>
      <c r="O402" s="70"/>
      <c r="P402" s="70"/>
      <c r="Q402" s="70"/>
      <c r="R402" s="70"/>
      <c r="S402" s="70"/>
      <c r="T402" s="70"/>
      <c r="U402" s="70"/>
      <c r="V402" s="70"/>
      <c r="W402" s="70"/>
      <c r="X402" s="70"/>
      <c r="Y402" s="70"/>
      <c r="Z402" s="70"/>
      <c r="AA402" s="70"/>
      <c r="AB402" s="70"/>
      <c r="AC402" s="70"/>
      <c r="AD402" s="70"/>
      <c r="AE402" s="70"/>
      <c r="AF402" s="70"/>
      <c r="AG402" s="70"/>
      <c r="AH402" s="70"/>
      <c r="AI402" s="70"/>
      <c r="AJ402" s="70"/>
      <c r="AK402" s="70"/>
      <c r="AL402" s="70"/>
      <c r="AM402" s="70"/>
      <c r="AN402" s="70"/>
      <c r="AO402" s="70"/>
      <c r="AP402" s="70"/>
      <c r="AQ402" s="70"/>
      <c r="AR402" s="70"/>
      <c r="AS402" s="70"/>
      <c r="AT402" s="70"/>
    </row>
    <row r="403" spans="1:46">
      <c r="A403" s="70"/>
      <c r="B403" s="70"/>
      <c r="C403" s="70"/>
      <c r="D403" s="70"/>
      <c r="E403" s="70"/>
      <c r="F403" s="70"/>
      <c r="G403" s="70"/>
      <c r="H403" s="54"/>
      <c r="I403" s="70"/>
      <c r="J403" s="70"/>
      <c r="K403" s="70"/>
      <c r="L403" s="70"/>
      <c r="M403" s="70"/>
      <c r="N403" s="70"/>
      <c r="O403" s="70"/>
      <c r="P403" s="70"/>
      <c r="Q403" s="70"/>
      <c r="R403" s="70"/>
      <c r="S403" s="70"/>
      <c r="T403" s="70"/>
      <c r="U403" s="70"/>
      <c r="V403" s="70"/>
      <c r="W403" s="70"/>
      <c r="X403" s="70"/>
      <c r="Y403" s="70"/>
      <c r="Z403" s="70"/>
      <c r="AA403" s="70"/>
      <c r="AB403" s="70"/>
      <c r="AC403" s="70"/>
      <c r="AD403" s="70"/>
      <c r="AE403" s="70"/>
      <c r="AF403" s="70"/>
      <c r="AG403" s="70"/>
      <c r="AH403" s="70"/>
      <c r="AI403" s="70"/>
      <c r="AJ403" s="70"/>
      <c r="AK403" s="70"/>
      <c r="AL403" s="70"/>
      <c r="AM403" s="70"/>
      <c r="AN403" s="70"/>
      <c r="AO403" s="70"/>
      <c r="AP403" s="70"/>
      <c r="AQ403" s="70"/>
      <c r="AR403" s="70"/>
      <c r="AS403" s="70"/>
      <c r="AT403" s="70"/>
    </row>
    <row r="404" spans="1:46">
      <c r="A404" s="70"/>
      <c r="B404" s="70"/>
      <c r="C404" s="70"/>
      <c r="D404" s="70"/>
      <c r="E404" s="70"/>
      <c r="F404" s="70"/>
      <c r="G404" s="70"/>
      <c r="H404" s="54"/>
      <c r="I404" s="70"/>
      <c r="J404" s="70"/>
      <c r="K404" s="70"/>
      <c r="L404" s="70"/>
      <c r="M404" s="70"/>
      <c r="N404" s="70"/>
      <c r="O404" s="70"/>
      <c r="P404" s="70"/>
      <c r="Q404" s="70"/>
      <c r="R404" s="70"/>
      <c r="S404" s="70"/>
      <c r="T404" s="70"/>
      <c r="U404" s="70"/>
      <c r="V404" s="70"/>
      <c r="W404" s="70"/>
      <c r="X404" s="70"/>
      <c r="Y404" s="70"/>
      <c r="Z404" s="70"/>
      <c r="AA404" s="70"/>
      <c r="AB404" s="70"/>
      <c r="AC404" s="70"/>
      <c r="AD404" s="70"/>
      <c r="AE404" s="70"/>
      <c r="AF404" s="70"/>
      <c r="AG404" s="70"/>
      <c r="AH404" s="70"/>
      <c r="AI404" s="70"/>
      <c r="AJ404" s="70"/>
      <c r="AK404" s="70"/>
      <c r="AL404" s="70"/>
      <c r="AM404" s="70"/>
      <c r="AN404" s="70"/>
      <c r="AO404" s="70"/>
      <c r="AP404" s="70"/>
      <c r="AQ404" s="70"/>
      <c r="AR404" s="70"/>
      <c r="AS404" s="70"/>
      <c r="AT404" s="70"/>
    </row>
    <row r="405" spans="1:46">
      <c r="A405" s="70"/>
      <c r="B405" s="70"/>
      <c r="C405" s="70"/>
      <c r="D405" s="70"/>
      <c r="E405" s="70"/>
      <c r="F405" s="70"/>
      <c r="G405" s="70"/>
      <c r="H405" s="54"/>
      <c r="I405" s="70"/>
      <c r="J405" s="70"/>
      <c r="K405" s="70"/>
      <c r="L405" s="70"/>
      <c r="M405" s="70"/>
      <c r="N405" s="70"/>
      <c r="O405" s="70"/>
      <c r="P405" s="70"/>
      <c r="Q405" s="70"/>
      <c r="R405" s="70"/>
      <c r="S405" s="70"/>
      <c r="T405" s="70"/>
      <c r="U405" s="70"/>
      <c r="V405" s="70"/>
      <c r="W405" s="70"/>
      <c r="X405" s="70"/>
      <c r="Y405" s="70"/>
      <c r="Z405" s="70"/>
      <c r="AA405" s="70"/>
      <c r="AB405" s="70"/>
      <c r="AC405" s="70"/>
      <c r="AD405" s="70"/>
      <c r="AE405" s="70"/>
      <c r="AF405" s="70"/>
      <c r="AG405" s="70"/>
      <c r="AH405" s="70"/>
      <c r="AI405" s="70"/>
      <c r="AJ405" s="70"/>
      <c r="AK405" s="70"/>
      <c r="AL405" s="70"/>
      <c r="AM405" s="70"/>
      <c r="AN405" s="70"/>
      <c r="AO405" s="70"/>
      <c r="AP405" s="70"/>
      <c r="AQ405" s="70"/>
      <c r="AR405" s="70"/>
      <c r="AS405" s="70"/>
      <c r="AT405" s="70"/>
    </row>
    <row r="406" spans="1:46">
      <c r="A406" s="70"/>
      <c r="B406" s="70"/>
      <c r="C406" s="70"/>
      <c r="D406" s="70"/>
      <c r="E406" s="70"/>
      <c r="F406" s="70"/>
      <c r="G406" s="70"/>
      <c r="H406" s="54"/>
      <c r="I406" s="70"/>
      <c r="J406" s="70"/>
      <c r="K406" s="70"/>
      <c r="L406" s="70"/>
      <c r="M406" s="70"/>
      <c r="N406" s="70"/>
      <c r="O406" s="70"/>
      <c r="P406" s="70"/>
      <c r="Q406" s="70"/>
      <c r="R406" s="70"/>
      <c r="S406" s="70"/>
      <c r="T406" s="70"/>
      <c r="U406" s="70"/>
      <c r="V406" s="70"/>
      <c r="W406" s="70"/>
      <c r="X406" s="70"/>
      <c r="Y406" s="70"/>
      <c r="Z406" s="70"/>
      <c r="AA406" s="70"/>
      <c r="AB406" s="70"/>
      <c r="AC406" s="70"/>
      <c r="AD406" s="70"/>
      <c r="AE406" s="70"/>
      <c r="AF406" s="70"/>
      <c r="AG406" s="70"/>
      <c r="AH406" s="70"/>
      <c r="AI406" s="70"/>
      <c r="AJ406" s="70"/>
      <c r="AK406" s="70"/>
      <c r="AL406" s="70"/>
      <c r="AM406" s="70"/>
      <c r="AN406" s="70"/>
      <c r="AO406" s="70"/>
      <c r="AP406" s="70"/>
      <c r="AQ406" s="70"/>
      <c r="AR406" s="70"/>
      <c r="AS406" s="70"/>
      <c r="AT406" s="70"/>
    </row>
    <row r="407" spans="1:46">
      <c r="A407" s="70"/>
      <c r="B407" s="70"/>
      <c r="C407" s="70"/>
      <c r="D407" s="70"/>
      <c r="E407" s="70"/>
      <c r="F407" s="70"/>
      <c r="G407" s="70"/>
      <c r="H407" s="54"/>
      <c r="I407" s="70"/>
      <c r="J407" s="70"/>
      <c r="K407" s="70"/>
      <c r="L407" s="70"/>
      <c r="M407" s="70"/>
      <c r="N407" s="70"/>
      <c r="O407" s="70"/>
      <c r="P407" s="70"/>
      <c r="Q407" s="70"/>
      <c r="R407" s="70"/>
      <c r="S407" s="70"/>
      <c r="T407" s="70"/>
      <c r="U407" s="70"/>
      <c r="V407" s="70"/>
      <c r="W407" s="70"/>
      <c r="X407" s="70"/>
      <c r="Y407" s="70"/>
      <c r="Z407" s="70"/>
      <c r="AA407" s="70"/>
      <c r="AB407" s="70"/>
      <c r="AC407" s="70"/>
      <c r="AD407" s="70"/>
      <c r="AE407" s="70"/>
      <c r="AF407" s="70"/>
      <c r="AG407" s="70"/>
      <c r="AH407" s="70"/>
      <c r="AI407" s="70"/>
      <c r="AJ407" s="70"/>
      <c r="AK407" s="70"/>
      <c r="AL407" s="70"/>
      <c r="AM407" s="70"/>
      <c r="AN407" s="70"/>
      <c r="AO407" s="70"/>
      <c r="AP407" s="70"/>
      <c r="AQ407" s="70"/>
      <c r="AR407" s="70"/>
      <c r="AS407" s="70"/>
      <c r="AT407" s="70"/>
    </row>
    <row r="408" spans="1:46">
      <c r="A408" s="70"/>
      <c r="B408" s="70"/>
      <c r="C408" s="70"/>
      <c r="D408" s="70"/>
      <c r="E408" s="70"/>
      <c r="F408" s="70"/>
      <c r="G408" s="70"/>
      <c r="H408" s="54"/>
      <c r="I408" s="70"/>
      <c r="J408" s="70"/>
      <c r="K408" s="70"/>
      <c r="L408" s="70"/>
      <c r="M408" s="70"/>
      <c r="N408" s="70"/>
      <c r="O408" s="70"/>
      <c r="P408" s="70"/>
      <c r="Q408" s="70"/>
      <c r="R408" s="70"/>
      <c r="S408" s="70"/>
      <c r="T408" s="70"/>
      <c r="U408" s="70"/>
      <c r="V408" s="70"/>
      <c r="W408" s="70"/>
      <c r="X408" s="70"/>
      <c r="Y408" s="70"/>
      <c r="Z408" s="70"/>
      <c r="AA408" s="70"/>
      <c r="AB408" s="70"/>
      <c r="AC408" s="70"/>
      <c r="AD408" s="70"/>
      <c r="AE408" s="70"/>
      <c r="AF408" s="70"/>
      <c r="AG408" s="70"/>
      <c r="AH408" s="70"/>
      <c r="AI408" s="70"/>
      <c r="AJ408" s="70"/>
      <c r="AK408" s="70"/>
      <c r="AL408" s="70"/>
      <c r="AM408" s="70"/>
      <c r="AN408" s="70"/>
      <c r="AO408" s="70"/>
      <c r="AP408" s="70"/>
      <c r="AQ408" s="70"/>
      <c r="AR408" s="70"/>
      <c r="AS408" s="70"/>
      <c r="AT408" s="70"/>
    </row>
    <row r="409" spans="1:46">
      <c r="A409" s="70"/>
      <c r="B409" s="70"/>
      <c r="C409" s="70"/>
      <c r="D409" s="70"/>
      <c r="E409" s="70"/>
      <c r="F409" s="70"/>
      <c r="G409" s="70"/>
      <c r="H409" s="54"/>
      <c r="I409" s="70"/>
      <c r="J409" s="70"/>
      <c r="K409" s="70"/>
      <c r="L409" s="70"/>
      <c r="M409" s="70"/>
      <c r="N409" s="70"/>
      <c r="O409" s="70"/>
      <c r="P409" s="70"/>
      <c r="Q409" s="70"/>
      <c r="R409" s="70"/>
      <c r="S409" s="70"/>
      <c r="T409" s="70"/>
      <c r="U409" s="70"/>
      <c r="V409" s="70"/>
      <c r="W409" s="70"/>
      <c r="X409" s="70"/>
      <c r="Y409" s="70"/>
      <c r="Z409" s="70"/>
      <c r="AA409" s="70"/>
      <c r="AB409" s="70"/>
      <c r="AC409" s="70"/>
      <c r="AD409" s="70"/>
      <c r="AE409" s="70"/>
      <c r="AF409" s="70"/>
      <c r="AG409" s="70"/>
      <c r="AH409" s="70"/>
      <c r="AI409" s="70"/>
      <c r="AJ409" s="70"/>
      <c r="AK409" s="70"/>
      <c r="AL409" s="70"/>
      <c r="AM409" s="70"/>
      <c r="AN409" s="70"/>
      <c r="AO409" s="70"/>
      <c r="AP409" s="70"/>
      <c r="AQ409" s="70"/>
      <c r="AR409" s="70"/>
      <c r="AS409" s="70"/>
      <c r="AT409" s="70"/>
    </row>
    <row r="410" spans="1:46">
      <c r="A410" s="70"/>
      <c r="B410" s="70"/>
      <c r="C410" s="70"/>
      <c r="D410" s="70"/>
      <c r="E410" s="70"/>
      <c r="F410" s="70"/>
      <c r="G410" s="70"/>
      <c r="H410" s="54"/>
      <c r="I410" s="70"/>
      <c r="J410" s="70"/>
      <c r="K410" s="70"/>
      <c r="L410" s="70"/>
      <c r="M410" s="70"/>
      <c r="N410" s="70"/>
      <c r="O410" s="70"/>
      <c r="P410" s="70"/>
      <c r="Q410" s="70"/>
      <c r="R410" s="70"/>
      <c r="S410" s="70"/>
      <c r="T410" s="70"/>
      <c r="U410" s="70"/>
      <c r="V410" s="70"/>
      <c r="W410" s="70"/>
      <c r="X410" s="70"/>
      <c r="Y410" s="70"/>
      <c r="Z410" s="70"/>
      <c r="AA410" s="70"/>
      <c r="AB410" s="70"/>
      <c r="AC410" s="70"/>
      <c r="AD410" s="70"/>
      <c r="AE410" s="70"/>
      <c r="AF410" s="70"/>
      <c r="AG410" s="70"/>
      <c r="AH410" s="70"/>
      <c r="AI410" s="70"/>
      <c r="AJ410" s="70"/>
      <c r="AK410" s="70"/>
      <c r="AL410" s="70"/>
      <c r="AM410" s="70"/>
      <c r="AN410" s="70"/>
      <c r="AO410" s="70"/>
      <c r="AP410" s="70"/>
      <c r="AQ410" s="70"/>
      <c r="AR410" s="70"/>
      <c r="AS410" s="70"/>
      <c r="AT410" s="70"/>
    </row>
    <row r="411" spans="1:46">
      <c r="A411" s="70"/>
      <c r="B411" s="70"/>
      <c r="C411" s="70"/>
      <c r="D411" s="70"/>
      <c r="E411" s="70"/>
      <c r="F411" s="70"/>
      <c r="G411" s="70"/>
      <c r="H411" s="54"/>
      <c r="I411" s="70"/>
      <c r="J411" s="70"/>
      <c r="K411" s="70"/>
      <c r="L411" s="70"/>
      <c r="M411" s="70"/>
      <c r="N411" s="70"/>
      <c r="O411" s="70"/>
      <c r="P411" s="70"/>
      <c r="Q411" s="70"/>
      <c r="R411" s="70"/>
      <c r="S411" s="70"/>
      <c r="T411" s="70"/>
      <c r="U411" s="70"/>
      <c r="V411" s="70"/>
      <c r="W411" s="70"/>
      <c r="X411" s="70"/>
      <c r="Y411" s="70"/>
      <c r="Z411" s="70"/>
      <c r="AA411" s="70"/>
      <c r="AB411" s="70"/>
      <c r="AC411" s="70"/>
      <c r="AD411" s="70"/>
      <c r="AE411" s="70"/>
      <c r="AF411" s="70"/>
      <c r="AG411" s="70"/>
      <c r="AH411" s="70"/>
      <c r="AI411" s="70"/>
      <c r="AJ411" s="70"/>
      <c r="AK411" s="70"/>
      <c r="AL411" s="70"/>
      <c r="AM411" s="70"/>
      <c r="AN411" s="70"/>
      <c r="AO411" s="70"/>
      <c r="AP411" s="70"/>
      <c r="AQ411" s="70"/>
      <c r="AR411" s="70"/>
      <c r="AS411" s="70"/>
      <c r="AT411" s="70"/>
    </row>
    <row r="412" spans="1:46">
      <c r="A412" s="70"/>
      <c r="B412" s="70"/>
      <c r="C412" s="70"/>
      <c r="D412" s="70"/>
      <c r="E412" s="70"/>
      <c r="F412" s="70"/>
      <c r="G412" s="70"/>
      <c r="H412" s="54"/>
      <c r="I412" s="70"/>
      <c r="J412" s="70"/>
      <c r="K412" s="70"/>
      <c r="L412" s="70"/>
      <c r="M412" s="70"/>
      <c r="N412" s="70"/>
      <c r="O412" s="70"/>
      <c r="P412" s="70"/>
      <c r="Q412" s="70"/>
      <c r="R412" s="70"/>
      <c r="S412" s="70"/>
      <c r="T412" s="70"/>
      <c r="U412" s="70"/>
      <c r="V412" s="70"/>
      <c r="W412" s="70"/>
      <c r="X412" s="70"/>
      <c r="Y412" s="70"/>
      <c r="Z412" s="70"/>
      <c r="AA412" s="70"/>
      <c r="AB412" s="70"/>
      <c r="AC412" s="70"/>
      <c r="AD412" s="70"/>
      <c r="AE412" s="70"/>
      <c r="AF412" s="70"/>
      <c r="AG412" s="70"/>
      <c r="AH412" s="70"/>
      <c r="AI412" s="70"/>
      <c r="AJ412" s="70"/>
      <c r="AK412" s="70"/>
      <c r="AL412" s="70"/>
      <c r="AM412" s="70"/>
      <c r="AN412" s="70"/>
      <c r="AO412" s="70"/>
      <c r="AP412" s="70"/>
      <c r="AQ412" s="70"/>
      <c r="AR412" s="70"/>
      <c r="AS412" s="70"/>
      <c r="AT412" s="70"/>
    </row>
    <row r="413" spans="1:46">
      <c r="A413" s="70"/>
      <c r="B413" s="70"/>
      <c r="C413" s="70"/>
      <c r="D413" s="70"/>
      <c r="E413" s="70"/>
      <c r="F413" s="70"/>
      <c r="G413" s="70"/>
      <c r="H413" s="54"/>
      <c r="I413" s="70"/>
      <c r="J413" s="70"/>
      <c r="K413" s="70"/>
      <c r="L413" s="70"/>
      <c r="M413" s="70"/>
      <c r="N413" s="70"/>
      <c r="O413" s="70"/>
      <c r="P413" s="70"/>
      <c r="Q413" s="70"/>
      <c r="R413" s="70"/>
      <c r="S413" s="70"/>
      <c r="T413" s="70"/>
      <c r="U413" s="70"/>
      <c r="V413" s="70"/>
      <c r="W413" s="70"/>
      <c r="X413" s="70"/>
      <c r="Y413" s="70"/>
      <c r="Z413" s="70"/>
      <c r="AA413" s="70"/>
      <c r="AB413" s="70"/>
      <c r="AC413" s="70"/>
      <c r="AD413" s="70"/>
      <c r="AE413" s="70"/>
      <c r="AF413" s="70"/>
      <c r="AG413" s="70"/>
      <c r="AH413" s="70"/>
      <c r="AI413" s="70"/>
      <c r="AJ413" s="70"/>
      <c r="AK413" s="70"/>
      <c r="AL413" s="70"/>
      <c r="AM413" s="70"/>
      <c r="AN413" s="70"/>
      <c r="AO413" s="70"/>
      <c r="AP413" s="70"/>
      <c r="AQ413" s="70"/>
      <c r="AR413" s="70"/>
      <c r="AS413" s="70"/>
      <c r="AT413" s="70"/>
    </row>
    <row r="414" spans="1:46">
      <c r="A414" s="70"/>
      <c r="B414" s="70"/>
      <c r="C414" s="70"/>
      <c r="D414" s="70"/>
      <c r="E414" s="70"/>
      <c r="F414" s="70"/>
      <c r="G414" s="70"/>
      <c r="H414" s="54"/>
      <c r="I414" s="70"/>
      <c r="J414" s="70"/>
      <c r="K414" s="70"/>
      <c r="L414" s="70"/>
      <c r="M414" s="70"/>
      <c r="N414" s="70"/>
      <c r="O414" s="70"/>
      <c r="P414" s="70"/>
      <c r="Q414" s="70"/>
      <c r="R414" s="70"/>
      <c r="S414" s="70"/>
      <c r="T414" s="70"/>
      <c r="U414" s="70"/>
      <c r="V414" s="70"/>
      <c r="W414" s="70"/>
      <c r="X414" s="70"/>
      <c r="Y414" s="70"/>
      <c r="Z414" s="70"/>
      <c r="AA414" s="70"/>
      <c r="AB414" s="70"/>
      <c r="AC414" s="70"/>
      <c r="AD414" s="70"/>
      <c r="AE414" s="70"/>
      <c r="AF414" s="70"/>
      <c r="AG414" s="70"/>
      <c r="AH414" s="70"/>
      <c r="AI414" s="70"/>
      <c r="AJ414" s="70"/>
      <c r="AK414" s="70"/>
      <c r="AL414" s="70"/>
      <c r="AM414" s="70"/>
      <c r="AN414" s="70"/>
      <c r="AO414" s="70"/>
      <c r="AP414" s="70"/>
      <c r="AQ414" s="70"/>
      <c r="AR414" s="70"/>
      <c r="AS414" s="70"/>
      <c r="AT414" s="70"/>
    </row>
    <row r="415" spans="1:46">
      <c r="A415" s="70"/>
      <c r="B415" s="70"/>
      <c r="C415" s="70"/>
      <c r="D415" s="70"/>
      <c r="E415" s="70"/>
      <c r="F415" s="70"/>
      <c r="G415" s="70"/>
      <c r="H415" s="54"/>
      <c r="I415" s="70"/>
      <c r="J415" s="70"/>
      <c r="K415" s="70"/>
      <c r="L415" s="70"/>
      <c r="M415" s="70"/>
      <c r="N415" s="70"/>
      <c r="O415" s="70"/>
      <c r="P415" s="70"/>
      <c r="Q415" s="70"/>
      <c r="R415" s="70"/>
      <c r="S415" s="70"/>
      <c r="T415" s="70"/>
      <c r="U415" s="70"/>
      <c r="V415" s="70"/>
      <c r="W415" s="70"/>
      <c r="X415" s="70"/>
      <c r="Y415" s="70"/>
      <c r="Z415" s="70"/>
      <c r="AA415" s="70"/>
      <c r="AB415" s="70"/>
      <c r="AC415" s="70"/>
      <c r="AD415" s="70"/>
      <c r="AE415" s="70"/>
      <c r="AF415" s="70"/>
      <c r="AG415" s="70"/>
      <c r="AH415" s="70"/>
      <c r="AI415" s="70"/>
      <c r="AJ415" s="70"/>
      <c r="AK415" s="70"/>
      <c r="AL415" s="70"/>
      <c r="AM415" s="70"/>
      <c r="AN415" s="70"/>
      <c r="AO415" s="70"/>
      <c r="AP415" s="70"/>
      <c r="AQ415" s="70"/>
      <c r="AR415" s="70"/>
      <c r="AS415" s="70"/>
      <c r="AT415" s="70"/>
    </row>
    <row r="416" spans="1:46">
      <c r="A416" s="70"/>
      <c r="B416" s="70"/>
      <c r="C416" s="70"/>
      <c r="D416" s="70"/>
      <c r="E416" s="70"/>
      <c r="F416" s="70"/>
      <c r="G416" s="70"/>
      <c r="H416" s="54"/>
      <c r="I416" s="70"/>
      <c r="J416" s="70"/>
      <c r="K416" s="70"/>
      <c r="L416" s="70"/>
      <c r="M416" s="70"/>
      <c r="N416" s="70"/>
      <c r="O416" s="70"/>
      <c r="P416" s="70"/>
      <c r="Q416" s="70"/>
      <c r="R416" s="70"/>
      <c r="S416" s="70"/>
      <c r="T416" s="70"/>
      <c r="U416" s="70"/>
      <c r="V416" s="70"/>
      <c r="W416" s="70"/>
      <c r="X416" s="70"/>
      <c r="Y416" s="70"/>
      <c r="Z416" s="70"/>
      <c r="AA416" s="70"/>
      <c r="AB416" s="70"/>
      <c r="AC416" s="70"/>
      <c r="AD416" s="70"/>
      <c r="AE416" s="70"/>
      <c r="AF416" s="70"/>
      <c r="AG416" s="70"/>
      <c r="AH416" s="70"/>
      <c r="AI416" s="70"/>
      <c r="AJ416" s="70"/>
      <c r="AK416" s="70"/>
      <c r="AL416" s="70"/>
      <c r="AM416" s="70"/>
      <c r="AN416" s="70"/>
      <c r="AO416" s="70"/>
      <c r="AP416" s="70"/>
      <c r="AQ416" s="70"/>
      <c r="AR416" s="70"/>
      <c r="AS416" s="70"/>
      <c r="AT416" s="70"/>
    </row>
    <row r="417" spans="1:46">
      <c r="A417" s="70"/>
      <c r="B417" s="70"/>
      <c r="C417" s="70"/>
      <c r="D417" s="70"/>
      <c r="E417" s="70"/>
      <c r="F417" s="70"/>
      <c r="G417" s="70"/>
      <c r="H417" s="54"/>
      <c r="I417" s="70"/>
      <c r="J417" s="70"/>
      <c r="K417" s="70"/>
      <c r="L417" s="70"/>
      <c r="M417" s="70"/>
      <c r="N417" s="70"/>
      <c r="O417" s="70"/>
      <c r="P417" s="70"/>
      <c r="Q417" s="70"/>
      <c r="R417" s="70"/>
      <c r="S417" s="70"/>
      <c r="T417" s="70"/>
      <c r="U417" s="70"/>
      <c r="V417" s="70"/>
      <c r="W417" s="70"/>
      <c r="X417" s="70"/>
      <c r="Y417" s="70"/>
      <c r="Z417" s="70"/>
      <c r="AA417" s="70"/>
      <c r="AB417" s="70"/>
      <c r="AC417" s="70"/>
      <c r="AD417" s="70"/>
      <c r="AE417" s="70"/>
      <c r="AF417" s="70"/>
      <c r="AG417" s="70"/>
      <c r="AH417" s="70"/>
      <c r="AI417" s="70"/>
      <c r="AJ417" s="70"/>
      <c r="AK417" s="70"/>
      <c r="AL417" s="70"/>
      <c r="AM417" s="70"/>
      <c r="AN417" s="70"/>
      <c r="AO417" s="70"/>
      <c r="AP417" s="70"/>
      <c r="AQ417" s="70"/>
      <c r="AR417" s="70"/>
      <c r="AS417" s="70"/>
      <c r="AT417" s="70"/>
    </row>
    <row r="418" spans="1:46">
      <c r="A418" s="70"/>
      <c r="B418" s="70"/>
      <c r="C418" s="70"/>
      <c r="D418" s="70"/>
      <c r="E418" s="70"/>
      <c r="F418" s="70"/>
      <c r="G418" s="70"/>
      <c r="H418" s="54"/>
      <c r="I418" s="70"/>
      <c r="J418" s="70"/>
      <c r="K418" s="70"/>
      <c r="L418" s="70"/>
      <c r="M418" s="70"/>
      <c r="N418" s="70"/>
      <c r="O418" s="70"/>
      <c r="P418" s="70"/>
      <c r="Q418" s="70"/>
      <c r="R418" s="70"/>
      <c r="S418" s="70"/>
      <c r="T418" s="70"/>
      <c r="U418" s="70"/>
      <c r="V418" s="70"/>
      <c r="W418" s="70"/>
      <c r="X418" s="70"/>
      <c r="Y418" s="70"/>
      <c r="Z418" s="70"/>
      <c r="AA418" s="70"/>
      <c r="AB418" s="70"/>
      <c r="AC418" s="70"/>
      <c r="AD418" s="70"/>
      <c r="AE418" s="70"/>
      <c r="AF418" s="70"/>
      <c r="AG418" s="70"/>
      <c r="AH418" s="70"/>
      <c r="AI418" s="70"/>
      <c r="AJ418" s="70"/>
      <c r="AK418" s="70"/>
      <c r="AL418" s="70"/>
      <c r="AM418" s="70"/>
      <c r="AN418" s="70"/>
      <c r="AO418" s="70"/>
      <c r="AP418" s="70"/>
      <c r="AQ418" s="70"/>
      <c r="AR418" s="70"/>
      <c r="AS418" s="70"/>
      <c r="AT418" s="70"/>
    </row>
    <row r="419" spans="1:46">
      <c r="A419" s="70"/>
      <c r="B419" s="70"/>
      <c r="C419" s="70"/>
      <c r="D419" s="70"/>
      <c r="E419" s="70"/>
      <c r="F419" s="70"/>
      <c r="G419" s="70"/>
      <c r="H419" s="54"/>
      <c r="I419" s="70"/>
      <c r="J419" s="70"/>
      <c r="K419" s="70"/>
      <c r="L419" s="70"/>
      <c r="M419" s="70"/>
      <c r="N419" s="70"/>
      <c r="O419" s="70"/>
      <c r="P419" s="70"/>
      <c r="Q419" s="70"/>
      <c r="R419" s="70"/>
      <c r="S419" s="70"/>
      <c r="T419" s="70"/>
      <c r="U419" s="70"/>
      <c r="V419" s="70"/>
      <c r="W419" s="70"/>
      <c r="X419" s="70"/>
      <c r="Y419" s="70"/>
      <c r="Z419" s="70"/>
      <c r="AA419" s="70"/>
      <c r="AB419" s="70"/>
      <c r="AC419" s="70"/>
      <c r="AD419" s="70"/>
      <c r="AE419" s="70"/>
      <c r="AF419" s="70"/>
      <c r="AG419" s="70"/>
      <c r="AH419" s="70"/>
      <c r="AI419" s="70"/>
      <c r="AJ419" s="70"/>
      <c r="AK419" s="70"/>
      <c r="AL419" s="70"/>
      <c r="AM419" s="70"/>
      <c r="AN419" s="70"/>
      <c r="AO419" s="70"/>
      <c r="AP419" s="70"/>
      <c r="AQ419" s="70"/>
      <c r="AR419" s="70"/>
      <c r="AS419" s="70"/>
      <c r="AT419" s="70"/>
    </row>
    <row r="420" spans="1:46">
      <c r="A420" s="70"/>
      <c r="B420" s="70"/>
      <c r="C420" s="70"/>
      <c r="D420" s="70"/>
      <c r="E420" s="70"/>
      <c r="F420" s="70"/>
      <c r="G420" s="70"/>
      <c r="H420" s="54"/>
      <c r="I420" s="70"/>
      <c r="J420" s="70"/>
      <c r="K420" s="70"/>
      <c r="L420" s="70"/>
      <c r="M420" s="70"/>
      <c r="N420" s="70"/>
      <c r="O420" s="70"/>
      <c r="P420" s="70"/>
      <c r="Q420" s="70"/>
      <c r="R420" s="70"/>
      <c r="S420" s="70"/>
      <c r="T420" s="70"/>
      <c r="U420" s="70"/>
      <c r="V420" s="70"/>
      <c r="W420" s="70"/>
      <c r="X420" s="70"/>
      <c r="Y420" s="70"/>
      <c r="Z420" s="70"/>
      <c r="AA420" s="70"/>
      <c r="AB420" s="70"/>
      <c r="AC420" s="70"/>
      <c r="AD420" s="70"/>
      <c r="AE420" s="70"/>
      <c r="AF420" s="70"/>
      <c r="AG420" s="70"/>
      <c r="AH420" s="70"/>
      <c r="AI420" s="70"/>
      <c r="AJ420" s="70"/>
      <c r="AK420" s="70"/>
      <c r="AL420" s="70"/>
      <c r="AM420" s="70"/>
      <c r="AN420" s="70"/>
      <c r="AO420" s="70"/>
      <c r="AP420" s="70"/>
      <c r="AQ420" s="70"/>
      <c r="AR420" s="70"/>
      <c r="AS420" s="70"/>
      <c r="AT420" s="70"/>
    </row>
    <row r="421" spans="1:46">
      <c r="A421" s="70"/>
      <c r="B421" s="70"/>
      <c r="C421" s="70"/>
      <c r="D421" s="70"/>
      <c r="E421" s="70"/>
      <c r="F421" s="70"/>
      <c r="G421" s="70"/>
      <c r="H421" s="54"/>
      <c r="I421" s="70"/>
      <c r="J421" s="70"/>
      <c r="K421" s="70"/>
      <c r="L421" s="70"/>
      <c r="M421" s="70"/>
      <c r="N421" s="70"/>
      <c r="O421" s="70"/>
      <c r="P421" s="70"/>
      <c r="Q421" s="70"/>
      <c r="R421" s="70"/>
      <c r="S421" s="70"/>
      <c r="T421" s="70"/>
      <c r="U421" s="70"/>
      <c r="V421" s="70"/>
      <c r="W421" s="70"/>
      <c r="X421" s="70"/>
      <c r="Y421" s="70"/>
      <c r="Z421" s="70"/>
      <c r="AA421" s="70"/>
      <c r="AB421" s="70"/>
      <c r="AC421" s="70"/>
      <c r="AD421" s="70"/>
      <c r="AE421" s="70"/>
      <c r="AF421" s="70"/>
      <c r="AG421" s="70"/>
      <c r="AH421" s="70"/>
      <c r="AI421" s="70"/>
      <c r="AJ421" s="70"/>
      <c r="AK421" s="70"/>
      <c r="AL421" s="70"/>
      <c r="AM421" s="70"/>
      <c r="AN421" s="70"/>
      <c r="AO421" s="70"/>
      <c r="AP421" s="70"/>
      <c r="AQ421" s="70"/>
      <c r="AR421" s="70"/>
      <c r="AS421" s="70"/>
      <c r="AT421" s="70"/>
    </row>
    <row r="422" spans="1:46">
      <c r="A422" s="70"/>
      <c r="B422" s="70"/>
      <c r="C422" s="70"/>
      <c r="D422" s="70"/>
      <c r="E422" s="70"/>
      <c r="F422" s="70"/>
      <c r="G422" s="70"/>
      <c r="H422" s="54"/>
      <c r="I422" s="70"/>
      <c r="J422" s="70"/>
      <c r="K422" s="70"/>
      <c r="L422" s="70"/>
      <c r="M422" s="70"/>
      <c r="N422" s="70"/>
      <c r="O422" s="70"/>
      <c r="P422" s="70"/>
      <c r="Q422" s="70"/>
      <c r="R422" s="70"/>
      <c r="S422" s="70"/>
      <c r="T422" s="70"/>
      <c r="U422" s="70"/>
      <c r="V422" s="70"/>
      <c r="W422" s="70"/>
      <c r="X422" s="70"/>
      <c r="Y422" s="70"/>
      <c r="Z422" s="70"/>
      <c r="AA422" s="70"/>
      <c r="AB422" s="70"/>
      <c r="AC422" s="70"/>
      <c r="AD422" s="70"/>
      <c r="AE422" s="70"/>
      <c r="AF422" s="70"/>
      <c r="AG422" s="70"/>
      <c r="AH422" s="70"/>
      <c r="AI422" s="70"/>
      <c r="AJ422" s="70"/>
      <c r="AK422" s="70"/>
      <c r="AL422" s="70"/>
      <c r="AM422" s="70"/>
      <c r="AN422" s="70"/>
      <c r="AO422" s="70"/>
      <c r="AP422" s="70"/>
      <c r="AQ422" s="70"/>
      <c r="AR422" s="70"/>
      <c r="AS422" s="70"/>
      <c r="AT422" s="70"/>
    </row>
    <row r="423" spans="1:46">
      <c r="A423" s="70"/>
      <c r="B423" s="70"/>
      <c r="C423" s="70"/>
      <c r="D423" s="70"/>
      <c r="E423" s="70"/>
      <c r="F423" s="70"/>
      <c r="G423" s="70"/>
      <c r="H423" s="54"/>
      <c r="I423" s="70"/>
      <c r="J423" s="70"/>
      <c r="K423" s="70"/>
      <c r="L423" s="70"/>
      <c r="M423" s="70"/>
      <c r="N423" s="70"/>
      <c r="O423" s="70"/>
      <c r="P423" s="70"/>
      <c r="Q423" s="70"/>
      <c r="R423" s="70"/>
      <c r="S423" s="70"/>
      <c r="T423" s="70"/>
      <c r="U423" s="70"/>
      <c r="V423" s="70"/>
      <c r="W423" s="70"/>
      <c r="X423" s="70"/>
      <c r="Y423" s="70"/>
      <c r="Z423" s="70"/>
      <c r="AA423" s="70"/>
      <c r="AB423" s="70"/>
      <c r="AC423" s="70"/>
      <c r="AD423" s="70"/>
      <c r="AE423" s="70"/>
      <c r="AF423" s="70"/>
      <c r="AG423" s="70"/>
      <c r="AH423" s="70"/>
      <c r="AI423" s="70"/>
      <c r="AJ423" s="70"/>
      <c r="AK423" s="70"/>
      <c r="AL423" s="70"/>
      <c r="AM423" s="70"/>
      <c r="AN423" s="70"/>
      <c r="AO423" s="70"/>
      <c r="AP423" s="70"/>
      <c r="AQ423" s="70"/>
      <c r="AR423" s="70"/>
      <c r="AS423" s="70"/>
      <c r="AT423" s="70"/>
    </row>
    <row r="424" spans="1:46">
      <c r="A424" s="70"/>
      <c r="B424" s="70"/>
      <c r="C424" s="70"/>
      <c r="D424" s="70"/>
      <c r="E424" s="70"/>
      <c r="F424" s="70"/>
      <c r="G424" s="70"/>
      <c r="H424" s="54"/>
      <c r="I424" s="70"/>
      <c r="J424" s="70"/>
      <c r="K424" s="70"/>
      <c r="L424" s="70"/>
      <c r="M424" s="70"/>
      <c r="N424" s="70"/>
      <c r="O424" s="70"/>
      <c r="P424" s="70"/>
      <c r="Q424" s="70"/>
      <c r="R424" s="70"/>
      <c r="S424" s="70"/>
      <c r="T424" s="70"/>
      <c r="U424" s="70"/>
      <c r="V424" s="70"/>
      <c r="W424" s="70"/>
      <c r="X424" s="70"/>
      <c r="Y424" s="70"/>
      <c r="Z424" s="70"/>
      <c r="AA424" s="70"/>
      <c r="AB424" s="70"/>
      <c r="AC424" s="70"/>
      <c r="AD424" s="70"/>
      <c r="AE424" s="70"/>
      <c r="AF424" s="70"/>
      <c r="AG424" s="70"/>
      <c r="AH424" s="70"/>
      <c r="AI424" s="70"/>
      <c r="AJ424" s="70"/>
      <c r="AK424" s="70"/>
      <c r="AL424" s="70"/>
      <c r="AM424" s="70"/>
      <c r="AN424" s="70"/>
      <c r="AO424" s="70"/>
      <c r="AP424" s="70"/>
      <c r="AQ424" s="70"/>
      <c r="AR424" s="70"/>
      <c r="AS424" s="70"/>
      <c r="AT424" s="70"/>
    </row>
    <row r="425" spans="1:46">
      <c r="A425" s="70"/>
      <c r="B425" s="70"/>
      <c r="C425" s="70"/>
      <c r="D425" s="70"/>
      <c r="E425" s="70"/>
      <c r="F425" s="70"/>
      <c r="G425" s="70"/>
      <c r="H425" s="54"/>
      <c r="I425" s="70"/>
      <c r="J425" s="70"/>
      <c r="K425" s="70"/>
      <c r="L425" s="70"/>
      <c r="M425" s="70"/>
      <c r="N425" s="70"/>
      <c r="O425" s="70"/>
      <c r="P425" s="70"/>
      <c r="Q425" s="70"/>
      <c r="R425" s="70"/>
      <c r="S425" s="70"/>
      <c r="T425" s="70"/>
      <c r="U425" s="70"/>
      <c r="V425" s="70"/>
      <c r="W425" s="70"/>
      <c r="X425" s="70"/>
      <c r="Y425" s="70"/>
      <c r="Z425" s="70"/>
      <c r="AA425" s="70"/>
      <c r="AB425" s="70"/>
      <c r="AC425" s="70"/>
      <c r="AD425" s="70"/>
      <c r="AE425" s="70"/>
      <c r="AF425" s="70"/>
      <c r="AG425" s="70"/>
      <c r="AH425" s="70"/>
      <c r="AI425" s="70"/>
      <c r="AJ425" s="70"/>
      <c r="AK425" s="70"/>
      <c r="AL425" s="70"/>
      <c r="AM425" s="70"/>
      <c r="AN425" s="70"/>
      <c r="AO425" s="70"/>
      <c r="AP425" s="70"/>
      <c r="AQ425" s="70"/>
      <c r="AR425" s="70"/>
      <c r="AS425" s="70"/>
      <c r="AT425" s="70"/>
    </row>
    <row r="426" spans="1:46">
      <c r="A426" s="70"/>
      <c r="B426" s="70"/>
      <c r="C426" s="70"/>
      <c r="D426" s="70"/>
      <c r="E426" s="70"/>
      <c r="F426" s="70"/>
      <c r="G426" s="70"/>
      <c r="H426" s="54"/>
      <c r="I426" s="70"/>
      <c r="J426" s="70"/>
      <c r="K426" s="70"/>
      <c r="L426" s="70"/>
      <c r="M426" s="70"/>
      <c r="N426" s="70"/>
      <c r="O426" s="70"/>
      <c r="P426" s="70"/>
      <c r="Q426" s="70"/>
      <c r="R426" s="70"/>
      <c r="S426" s="70"/>
      <c r="T426" s="70"/>
      <c r="U426" s="70"/>
      <c r="V426" s="70"/>
      <c r="W426" s="70"/>
      <c r="X426" s="70"/>
      <c r="Y426" s="70"/>
      <c r="Z426" s="70"/>
      <c r="AA426" s="70"/>
      <c r="AB426" s="70"/>
      <c r="AC426" s="70"/>
      <c r="AD426" s="70"/>
      <c r="AE426" s="70"/>
      <c r="AF426" s="70"/>
      <c r="AG426" s="70"/>
      <c r="AH426" s="70"/>
      <c r="AI426" s="70"/>
      <c r="AJ426" s="70"/>
      <c r="AK426" s="70"/>
      <c r="AL426" s="70"/>
      <c r="AM426" s="70"/>
      <c r="AN426" s="70"/>
      <c r="AO426" s="70"/>
      <c r="AP426" s="70"/>
      <c r="AQ426" s="70"/>
      <c r="AR426" s="70"/>
      <c r="AS426" s="70"/>
      <c r="AT426" s="70"/>
    </row>
    <row r="427" spans="1:46">
      <c r="A427" s="70"/>
      <c r="B427" s="70"/>
      <c r="C427" s="70"/>
      <c r="D427" s="70"/>
      <c r="E427" s="70"/>
      <c r="F427" s="70"/>
      <c r="G427" s="70"/>
      <c r="H427" s="54"/>
      <c r="I427" s="70"/>
      <c r="J427" s="70"/>
      <c r="K427" s="70"/>
      <c r="L427" s="70"/>
      <c r="M427" s="70"/>
      <c r="N427" s="70"/>
      <c r="O427" s="70"/>
      <c r="P427" s="70"/>
      <c r="Q427" s="70"/>
      <c r="R427" s="70"/>
      <c r="S427" s="70"/>
      <c r="T427" s="70"/>
      <c r="U427" s="70"/>
      <c r="V427" s="70"/>
      <c r="W427" s="70"/>
      <c r="X427" s="70"/>
      <c r="Y427" s="70"/>
      <c r="Z427" s="70"/>
      <c r="AA427" s="70"/>
      <c r="AB427" s="70"/>
      <c r="AC427" s="70"/>
      <c r="AD427" s="70"/>
      <c r="AE427" s="70"/>
      <c r="AF427" s="70"/>
      <c r="AG427" s="70"/>
      <c r="AH427" s="70"/>
      <c r="AI427" s="70"/>
      <c r="AJ427" s="70"/>
      <c r="AK427" s="70"/>
      <c r="AL427" s="70"/>
      <c r="AM427" s="70"/>
      <c r="AN427" s="70"/>
      <c r="AO427" s="70"/>
      <c r="AP427" s="70"/>
      <c r="AQ427" s="70"/>
      <c r="AR427" s="70"/>
      <c r="AS427" s="70"/>
      <c r="AT427" s="70"/>
    </row>
    <row r="428" spans="1:46">
      <c r="A428" s="70"/>
      <c r="B428" s="70"/>
      <c r="C428" s="70"/>
      <c r="D428" s="70"/>
      <c r="E428" s="70"/>
      <c r="F428" s="70"/>
      <c r="G428" s="70"/>
      <c r="H428" s="54"/>
      <c r="I428" s="70"/>
      <c r="J428" s="70"/>
      <c r="K428" s="70"/>
      <c r="L428" s="70"/>
      <c r="M428" s="70"/>
      <c r="N428" s="70"/>
      <c r="O428" s="70"/>
      <c r="P428" s="70"/>
      <c r="Q428" s="70"/>
      <c r="R428" s="70"/>
      <c r="S428" s="70"/>
      <c r="T428" s="70"/>
      <c r="U428" s="70"/>
      <c r="V428" s="70"/>
      <c r="W428" s="70"/>
      <c r="X428" s="70"/>
      <c r="Y428" s="70"/>
      <c r="Z428" s="70"/>
      <c r="AA428" s="70"/>
      <c r="AB428" s="70"/>
      <c r="AC428" s="70"/>
      <c r="AD428" s="70"/>
      <c r="AE428" s="70"/>
      <c r="AF428" s="70"/>
      <c r="AG428" s="70"/>
      <c r="AH428" s="70"/>
      <c r="AI428" s="70"/>
      <c r="AJ428" s="70"/>
      <c r="AK428" s="70"/>
      <c r="AL428" s="70"/>
      <c r="AM428" s="70"/>
      <c r="AN428" s="70"/>
      <c r="AO428" s="70"/>
      <c r="AP428" s="70"/>
      <c r="AQ428" s="70"/>
      <c r="AR428" s="70"/>
      <c r="AS428" s="70"/>
      <c r="AT428" s="70"/>
    </row>
    <row r="429" spans="1:46">
      <c r="A429" s="70"/>
      <c r="B429" s="70"/>
      <c r="C429" s="70"/>
      <c r="D429" s="70"/>
      <c r="E429" s="70"/>
      <c r="F429" s="70"/>
      <c r="G429" s="70"/>
      <c r="H429" s="54"/>
      <c r="I429" s="70"/>
      <c r="J429" s="70"/>
      <c r="K429" s="70"/>
      <c r="L429" s="70"/>
      <c r="M429" s="70"/>
      <c r="N429" s="70"/>
      <c r="O429" s="70"/>
      <c r="P429" s="70"/>
      <c r="Q429" s="70"/>
      <c r="R429" s="70"/>
      <c r="S429" s="70"/>
      <c r="T429" s="70"/>
      <c r="U429" s="70"/>
      <c r="V429" s="70"/>
      <c r="W429" s="70"/>
      <c r="X429" s="70"/>
      <c r="Y429" s="70"/>
      <c r="Z429" s="70"/>
      <c r="AA429" s="70"/>
      <c r="AB429" s="70"/>
      <c r="AC429" s="70"/>
      <c r="AD429" s="70"/>
      <c r="AE429" s="70"/>
      <c r="AF429" s="70"/>
      <c r="AG429" s="70"/>
      <c r="AH429" s="70"/>
      <c r="AI429" s="70"/>
      <c r="AJ429" s="70"/>
      <c r="AK429" s="70"/>
      <c r="AL429" s="70"/>
      <c r="AM429" s="70"/>
      <c r="AN429" s="70"/>
      <c r="AO429" s="70"/>
      <c r="AP429" s="70"/>
      <c r="AQ429" s="70"/>
      <c r="AR429" s="70"/>
      <c r="AS429" s="70"/>
      <c r="AT429" s="70"/>
    </row>
    <row r="430" spans="1:46">
      <c r="A430" s="70"/>
      <c r="B430" s="70"/>
      <c r="C430" s="70"/>
      <c r="D430" s="70"/>
      <c r="E430" s="70"/>
      <c r="F430" s="70"/>
      <c r="G430" s="70"/>
      <c r="H430" s="54"/>
      <c r="I430" s="70"/>
      <c r="J430" s="70"/>
      <c r="K430" s="70"/>
      <c r="L430" s="70"/>
      <c r="M430" s="70"/>
      <c r="N430" s="70"/>
      <c r="O430" s="70"/>
      <c r="P430" s="70"/>
      <c r="Q430" s="70"/>
      <c r="R430" s="70"/>
      <c r="S430" s="70"/>
      <c r="T430" s="70"/>
      <c r="U430" s="70"/>
      <c r="V430" s="70"/>
      <c r="W430" s="70"/>
      <c r="X430" s="70"/>
      <c r="Y430" s="70"/>
      <c r="Z430" s="70"/>
      <c r="AA430" s="70"/>
      <c r="AB430" s="70"/>
      <c r="AC430" s="70"/>
      <c r="AD430" s="70"/>
      <c r="AE430" s="70"/>
      <c r="AF430" s="70"/>
      <c r="AG430" s="70"/>
      <c r="AH430" s="70"/>
      <c r="AI430" s="70"/>
      <c r="AJ430" s="70"/>
      <c r="AK430" s="70"/>
      <c r="AL430" s="70"/>
      <c r="AM430" s="70"/>
      <c r="AN430" s="70"/>
      <c r="AO430" s="70"/>
      <c r="AP430" s="70"/>
      <c r="AQ430" s="70"/>
      <c r="AR430" s="70"/>
      <c r="AS430" s="70"/>
      <c r="AT430" s="70"/>
    </row>
    <row r="431" spans="1:46">
      <c r="A431" s="70"/>
      <c r="B431" s="70"/>
      <c r="C431" s="70"/>
      <c r="D431" s="70"/>
      <c r="E431" s="70"/>
      <c r="F431" s="70"/>
      <c r="G431" s="70"/>
      <c r="H431" s="54"/>
      <c r="I431" s="70"/>
      <c r="J431" s="70"/>
      <c r="K431" s="70"/>
      <c r="L431" s="70"/>
      <c r="M431" s="70"/>
      <c r="N431" s="70"/>
      <c r="O431" s="70"/>
      <c r="P431" s="70"/>
      <c r="Q431" s="70"/>
      <c r="R431" s="70"/>
      <c r="S431" s="70"/>
      <c r="T431" s="70"/>
      <c r="U431" s="70"/>
      <c r="V431" s="70"/>
      <c r="W431" s="70"/>
      <c r="X431" s="70"/>
      <c r="Y431" s="70"/>
      <c r="Z431" s="70"/>
      <c r="AA431" s="70"/>
      <c r="AB431" s="70"/>
      <c r="AC431" s="70"/>
      <c r="AD431" s="70"/>
      <c r="AE431" s="70"/>
      <c r="AF431" s="70"/>
      <c r="AG431" s="70"/>
      <c r="AH431" s="70"/>
      <c r="AI431" s="70"/>
      <c r="AJ431" s="70"/>
      <c r="AK431" s="70"/>
      <c r="AL431" s="70"/>
      <c r="AM431" s="70"/>
      <c r="AN431" s="70"/>
      <c r="AO431" s="70"/>
      <c r="AP431" s="70"/>
      <c r="AQ431" s="70"/>
      <c r="AR431" s="70"/>
      <c r="AS431" s="70"/>
      <c r="AT431" s="70"/>
    </row>
    <row r="432" spans="1:46">
      <c r="A432" s="70"/>
      <c r="B432" s="70"/>
      <c r="C432" s="70"/>
      <c r="D432" s="70"/>
      <c r="E432" s="70"/>
      <c r="F432" s="70"/>
      <c r="G432" s="70"/>
      <c r="H432" s="54"/>
      <c r="I432" s="70"/>
      <c r="J432" s="70"/>
      <c r="K432" s="70"/>
      <c r="L432" s="70"/>
      <c r="M432" s="70"/>
      <c r="N432" s="70"/>
      <c r="O432" s="70"/>
      <c r="P432" s="70"/>
      <c r="Q432" s="70"/>
      <c r="R432" s="70"/>
      <c r="S432" s="70"/>
      <c r="T432" s="70"/>
      <c r="U432" s="70"/>
      <c r="V432" s="70"/>
      <c r="W432" s="70"/>
      <c r="X432" s="70"/>
      <c r="Y432" s="70"/>
      <c r="Z432" s="70"/>
      <c r="AA432" s="70"/>
      <c r="AB432" s="70"/>
      <c r="AC432" s="70"/>
      <c r="AD432" s="70"/>
      <c r="AE432" s="70"/>
      <c r="AF432" s="70"/>
      <c r="AG432" s="70"/>
      <c r="AH432" s="70"/>
      <c r="AI432" s="70"/>
      <c r="AJ432" s="70"/>
      <c r="AK432" s="70"/>
      <c r="AL432" s="70"/>
      <c r="AM432" s="70"/>
      <c r="AN432" s="70"/>
      <c r="AO432" s="70"/>
      <c r="AP432" s="70"/>
      <c r="AQ432" s="70"/>
      <c r="AR432" s="70"/>
      <c r="AS432" s="70"/>
      <c r="AT432" s="70"/>
    </row>
    <row r="433" spans="1:46">
      <c r="A433" s="70"/>
      <c r="B433" s="70"/>
      <c r="C433" s="70"/>
      <c r="D433" s="70"/>
      <c r="E433" s="70"/>
      <c r="F433" s="70"/>
      <c r="G433" s="70"/>
      <c r="H433" s="54"/>
      <c r="I433" s="70"/>
      <c r="J433" s="70"/>
      <c r="K433" s="70"/>
      <c r="L433" s="70"/>
      <c r="M433" s="70"/>
      <c r="N433" s="70"/>
      <c r="O433" s="70"/>
      <c r="P433" s="70"/>
      <c r="Q433" s="70"/>
      <c r="R433" s="70"/>
      <c r="S433" s="70"/>
      <c r="T433" s="70"/>
      <c r="U433" s="70"/>
      <c r="V433" s="70"/>
      <c r="W433" s="70"/>
      <c r="X433" s="70"/>
      <c r="Y433" s="70"/>
      <c r="Z433" s="70"/>
      <c r="AA433" s="70"/>
      <c r="AB433" s="70"/>
      <c r="AC433" s="70"/>
      <c r="AD433" s="70"/>
      <c r="AE433" s="70"/>
      <c r="AF433" s="70"/>
      <c r="AG433" s="70"/>
      <c r="AH433" s="70"/>
      <c r="AI433" s="70"/>
      <c r="AJ433" s="70"/>
      <c r="AK433" s="70"/>
      <c r="AL433" s="70"/>
      <c r="AM433" s="70"/>
      <c r="AN433" s="70"/>
      <c r="AO433" s="70"/>
      <c r="AP433" s="70"/>
      <c r="AQ433" s="70"/>
      <c r="AR433" s="70"/>
      <c r="AS433" s="70"/>
      <c r="AT433" s="70"/>
    </row>
    <row r="434" spans="1:46">
      <c r="A434" s="70"/>
      <c r="B434" s="70"/>
      <c r="C434" s="70"/>
      <c r="D434" s="70"/>
      <c r="E434" s="70"/>
      <c r="F434" s="70"/>
      <c r="G434" s="70"/>
      <c r="H434" s="54"/>
      <c r="I434" s="70"/>
      <c r="J434" s="70"/>
      <c r="K434" s="70"/>
      <c r="L434" s="70"/>
      <c r="M434" s="70"/>
      <c r="N434" s="70"/>
      <c r="O434" s="70"/>
      <c r="P434" s="70"/>
      <c r="Q434" s="70"/>
      <c r="R434" s="70"/>
      <c r="S434" s="70"/>
      <c r="T434" s="70"/>
      <c r="U434" s="70"/>
      <c r="V434" s="70"/>
      <c r="W434" s="70"/>
      <c r="X434" s="70"/>
      <c r="Y434" s="70"/>
      <c r="Z434" s="70"/>
      <c r="AA434" s="70"/>
      <c r="AB434" s="70"/>
      <c r="AC434" s="70"/>
      <c r="AD434" s="70"/>
      <c r="AE434" s="70"/>
      <c r="AF434" s="70"/>
      <c r="AG434" s="70"/>
      <c r="AH434" s="70"/>
      <c r="AI434" s="70"/>
      <c r="AJ434" s="70"/>
      <c r="AK434" s="70"/>
      <c r="AL434" s="70"/>
      <c r="AM434" s="70"/>
      <c r="AN434" s="70"/>
      <c r="AO434" s="70"/>
      <c r="AP434" s="70"/>
      <c r="AQ434" s="70"/>
      <c r="AR434" s="70"/>
      <c r="AS434" s="70"/>
      <c r="AT434" s="70"/>
    </row>
    <row r="435" spans="1:46">
      <c r="A435" s="70"/>
      <c r="B435" s="70"/>
      <c r="C435" s="70"/>
      <c r="D435" s="70"/>
      <c r="E435" s="70"/>
      <c r="F435" s="70"/>
      <c r="G435" s="70"/>
      <c r="H435" s="54"/>
      <c r="I435" s="70"/>
      <c r="J435" s="70"/>
      <c r="K435" s="70"/>
      <c r="L435" s="70"/>
      <c r="M435" s="70"/>
      <c r="N435" s="70"/>
      <c r="O435" s="70"/>
      <c r="P435" s="70"/>
      <c r="Q435" s="70"/>
      <c r="R435" s="70"/>
      <c r="S435" s="70"/>
      <c r="T435" s="70"/>
      <c r="U435" s="70"/>
      <c r="V435" s="70"/>
      <c r="W435" s="70"/>
      <c r="X435" s="70"/>
      <c r="Y435" s="70"/>
      <c r="Z435" s="70"/>
      <c r="AA435" s="70"/>
      <c r="AB435" s="70"/>
      <c r="AC435" s="70"/>
      <c r="AD435" s="70"/>
      <c r="AE435" s="70"/>
      <c r="AF435" s="70"/>
      <c r="AG435" s="70"/>
      <c r="AH435" s="70"/>
      <c r="AI435" s="70"/>
      <c r="AJ435" s="70"/>
      <c r="AK435" s="70"/>
      <c r="AL435" s="70"/>
      <c r="AM435" s="70"/>
      <c r="AN435" s="70"/>
      <c r="AO435" s="70"/>
      <c r="AP435" s="70"/>
      <c r="AQ435" s="70"/>
      <c r="AR435" s="70"/>
      <c r="AS435" s="70"/>
      <c r="AT435" s="70"/>
    </row>
    <row r="436" spans="1:46">
      <c r="A436" s="70"/>
      <c r="B436" s="70"/>
      <c r="C436" s="70"/>
      <c r="D436" s="70"/>
      <c r="E436" s="70"/>
      <c r="F436" s="70"/>
      <c r="G436" s="70"/>
      <c r="H436" s="54"/>
      <c r="I436" s="70"/>
      <c r="J436" s="70"/>
      <c r="K436" s="70"/>
      <c r="L436" s="70"/>
      <c r="M436" s="70"/>
      <c r="N436" s="70"/>
      <c r="O436" s="70"/>
      <c r="P436" s="70"/>
      <c r="Q436" s="70"/>
      <c r="R436" s="70"/>
      <c r="S436" s="70"/>
      <c r="T436" s="70"/>
      <c r="U436" s="70"/>
      <c r="V436" s="70"/>
      <c r="W436" s="70"/>
      <c r="X436" s="70"/>
      <c r="Y436" s="70"/>
      <c r="Z436" s="70"/>
      <c r="AA436" s="70"/>
      <c r="AB436" s="70"/>
      <c r="AC436" s="70"/>
      <c r="AD436" s="70"/>
      <c r="AE436" s="70"/>
      <c r="AF436" s="70"/>
      <c r="AG436" s="70"/>
      <c r="AH436" s="70"/>
      <c r="AI436" s="70"/>
      <c r="AJ436" s="70"/>
      <c r="AK436" s="70"/>
      <c r="AL436" s="70"/>
      <c r="AM436" s="70"/>
      <c r="AN436" s="70"/>
      <c r="AO436" s="70"/>
      <c r="AP436" s="70"/>
      <c r="AQ436" s="70"/>
      <c r="AR436" s="70"/>
      <c r="AS436" s="70"/>
      <c r="AT436" s="70"/>
    </row>
    <row r="437" spans="1:46">
      <c r="A437" s="70"/>
      <c r="B437" s="70"/>
      <c r="C437" s="70"/>
      <c r="D437" s="70"/>
      <c r="E437" s="70"/>
      <c r="F437" s="70"/>
      <c r="G437" s="70"/>
      <c r="H437" s="54"/>
      <c r="I437" s="70"/>
      <c r="J437" s="70"/>
      <c r="K437" s="70"/>
      <c r="L437" s="70"/>
      <c r="M437" s="70"/>
      <c r="N437" s="70"/>
      <c r="O437" s="70"/>
      <c r="P437" s="70"/>
      <c r="Q437" s="70"/>
      <c r="R437" s="70"/>
      <c r="S437" s="70"/>
      <c r="T437" s="70"/>
      <c r="U437" s="70"/>
      <c r="V437" s="70"/>
      <c r="W437" s="70"/>
      <c r="X437" s="70"/>
      <c r="Y437" s="70"/>
      <c r="Z437" s="70"/>
      <c r="AA437" s="70"/>
      <c r="AB437" s="70"/>
      <c r="AC437" s="70"/>
      <c r="AD437" s="70"/>
      <c r="AE437" s="70"/>
      <c r="AF437" s="70"/>
      <c r="AG437" s="70"/>
      <c r="AH437" s="70"/>
      <c r="AI437" s="70"/>
      <c r="AJ437" s="70"/>
      <c r="AK437" s="70"/>
      <c r="AL437" s="70"/>
      <c r="AM437" s="70"/>
      <c r="AN437" s="70"/>
      <c r="AO437" s="70"/>
      <c r="AP437" s="70"/>
      <c r="AQ437" s="70"/>
      <c r="AR437" s="70"/>
      <c r="AS437" s="70"/>
      <c r="AT437" s="70"/>
    </row>
    <row r="438" spans="1:46">
      <c r="A438" s="70"/>
      <c r="B438" s="70"/>
      <c r="C438" s="70"/>
      <c r="D438" s="70"/>
      <c r="E438" s="70"/>
      <c r="F438" s="70"/>
      <c r="G438" s="70"/>
      <c r="H438" s="54"/>
      <c r="I438" s="70"/>
      <c r="J438" s="70"/>
      <c r="K438" s="70"/>
      <c r="L438" s="70"/>
      <c r="M438" s="70"/>
      <c r="N438" s="70"/>
      <c r="O438" s="70"/>
      <c r="P438" s="70"/>
      <c r="Q438" s="70"/>
      <c r="R438" s="70"/>
      <c r="S438" s="70"/>
      <c r="T438" s="70"/>
      <c r="U438" s="70"/>
      <c r="V438" s="70"/>
      <c r="W438" s="70"/>
      <c r="X438" s="70"/>
      <c r="Y438" s="70"/>
      <c r="Z438" s="70"/>
      <c r="AA438" s="70"/>
      <c r="AB438" s="70"/>
      <c r="AC438" s="70"/>
      <c r="AD438" s="70"/>
      <c r="AE438" s="70"/>
      <c r="AF438" s="70"/>
      <c r="AG438" s="70"/>
      <c r="AH438" s="70"/>
      <c r="AI438" s="70"/>
      <c r="AJ438" s="70"/>
      <c r="AK438" s="70"/>
      <c r="AL438" s="70"/>
      <c r="AM438" s="70"/>
      <c r="AN438" s="70"/>
      <c r="AO438" s="70"/>
      <c r="AP438" s="70"/>
      <c r="AQ438" s="70"/>
      <c r="AR438" s="70"/>
      <c r="AS438" s="70"/>
      <c r="AT438" s="70"/>
    </row>
    <row r="439" spans="1:46">
      <c r="A439" s="70"/>
      <c r="B439" s="70"/>
      <c r="C439" s="70"/>
      <c r="D439" s="70"/>
      <c r="E439" s="70"/>
      <c r="F439" s="70"/>
      <c r="G439" s="70"/>
      <c r="H439" s="54"/>
      <c r="I439" s="70"/>
      <c r="J439" s="70"/>
      <c r="K439" s="70"/>
      <c r="L439" s="70"/>
      <c r="M439" s="70"/>
      <c r="N439" s="70"/>
      <c r="O439" s="70"/>
      <c r="P439" s="70"/>
      <c r="Q439" s="70"/>
      <c r="R439" s="70"/>
      <c r="S439" s="70"/>
      <c r="T439" s="70"/>
      <c r="U439" s="70"/>
      <c r="V439" s="70"/>
      <c r="W439" s="70"/>
      <c r="X439" s="70"/>
      <c r="Y439" s="70"/>
      <c r="Z439" s="70"/>
      <c r="AA439" s="70"/>
      <c r="AB439" s="70"/>
      <c r="AC439" s="70"/>
      <c r="AD439" s="70"/>
      <c r="AE439" s="70"/>
      <c r="AF439" s="70"/>
      <c r="AG439" s="70"/>
      <c r="AH439" s="70"/>
      <c r="AI439" s="70"/>
      <c r="AJ439" s="70"/>
      <c r="AK439" s="70"/>
      <c r="AL439" s="70"/>
      <c r="AM439" s="70"/>
      <c r="AN439" s="70"/>
      <c r="AO439" s="70"/>
      <c r="AP439" s="70"/>
      <c r="AQ439" s="70"/>
      <c r="AR439" s="70"/>
      <c r="AS439" s="70"/>
      <c r="AT439" s="70"/>
    </row>
    <row r="440" spans="1:46">
      <c r="A440" s="70"/>
      <c r="B440" s="70"/>
      <c r="C440" s="70"/>
      <c r="D440" s="70"/>
      <c r="E440" s="70"/>
      <c r="F440" s="70"/>
      <c r="G440" s="70"/>
      <c r="H440" s="54"/>
      <c r="I440" s="70"/>
      <c r="J440" s="70"/>
      <c r="K440" s="70"/>
      <c r="L440" s="70"/>
      <c r="M440" s="70"/>
      <c r="N440" s="70"/>
      <c r="O440" s="70"/>
      <c r="P440" s="70"/>
      <c r="Q440" s="70"/>
      <c r="R440" s="70"/>
      <c r="S440" s="70"/>
      <c r="T440" s="70"/>
      <c r="U440" s="70"/>
      <c r="V440" s="70"/>
      <c r="W440" s="70"/>
      <c r="X440" s="70"/>
      <c r="Y440" s="70"/>
      <c r="Z440" s="70"/>
      <c r="AA440" s="70"/>
      <c r="AB440" s="70"/>
      <c r="AC440" s="70"/>
      <c r="AD440" s="70"/>
      <c r="AE440" s="70"/>
      <c r="AF440" s="70"/>
      <c r="AG440" s="70"/>
      <c r="AH440" s="70"/>
      <c r="AI440" s="70"/>
      <c r="AJ440" s="70"/>
      <c r="AK440" s="70"/>
      <c r="AL440" s="70"/>
      <c r="AM440" s="70"/>
      <c r="AN440" s="70"/>
      <c r="AO440" s="70"/>
      <c r="AP440" s="70"/>
      <c r="AQ440" s="70"/>
      <c r="AR440" s="70"/>
      <c r="AS440" s="70"/>
      <c r="AT440" s="70"/>
    </row>
    <row r="441" spans="1:46">
      <c r="A441" s="70"/>
      <c r="B441" s="70"/>
      <c r="C441" s="70"/>
      <c r="D441" s="70"/>
      <c r="E441" s="70"/>
      <c r="F441" s="70"/>
      <c r="G441" s="70"/>
      <c r="H441" s="54"/>
      <c r="I441" s="70"/>
      <c r="J441" s="70"/>
      <c r="K441" s="70"/>
      <c r="L441" s="70"/>
      <c r="M441" s="70"/>
      <c r="N441" s="70"/>
      <c r="O441" s="70"/>
      <c r="P441" s="70"/>
      <c r="Q441" s="70"/>
      <c r="R441" s="70"/>
      <c r="S441" s="70"/>
      <c r="T441" s="70"/>
      <c r="U441" s="70"/>
      <c r="V441" s="70"/>
      <c r="W441" s="70"/>
      <c r="X441" s="70"/>
      <c r="Y441" s="70"/>
      <c r="Z441" s="70"/>
      <c r="AA441" s="70"/>
      <c r="AB441" s="70"/>
      <c r="AC441" s="70"/>
      <c r="AD441" s="70"/>
      <c r="AE441" s="70"/>
      <c r="AF441" s="70"/>
      <c r="AG441" s="70"/>
      <c r="AH441" s="70"/>
      <c r="AI441" s="70"/>
      <c r="AJ441" s="70"/>
      <c r="AK441" s="70"/>
      <c r="AL441" s="70"/>
      <c r="AM441" s="70"/>
      <c r="AN441" s="70"/>
      <c r="AO441" s="70"/>
      <c r="AP441" s="70"/>
      <c r="AQ441" s="70"/>
      <c r="AR441" s="70"/>
      <c r="AS441" s="70"/>
      <c r="AT441" s="70"/>
    </row>
    <row r="442" spans="1:46">
      <c r="A442" s="70"/>
      <c r="B442" s="70"/>
      <c r="C442" s="70"/>
      <c r="D442" s="70"/>
      <c r="E442" s="70"/>
      <c r="F442" s="70"/>
      <c r="G442" s="70"/>
      <c r="H442" s="54"/>
      <c r="I442" s="70"/>
      <c r="J442" s="70"/>
      <c r="K442" s="70"/>
      <c r="L442" s="70"/>
      <c r="M442" s="70"/>
      <c r="N442" s="70"/>
      <c r="O442" s="70"/>
      <c r="P442" s="70"/>
      <c r="Q442" s="70"/>
      <c r="R442" s="70"/>
      <c r="S442" s="70"/>
      <c r="T442" s="70"/>
      <c r="U442" s="70"/>
      <c r="V442" s="70"/>
      <c r="W442" s="70"/>
      <c r="X442" s="70"/>
      <c r="Y442" s="70"/>
      <c r="Z442" s="70"/>
      <c r="AA442" s="70"/>
      <c r="AB442" s="70"/>
      <c r="AC442" s="70"/>
      <c r="AD442" s="70"/>
      <c r="AE442" s="70"/>
      <c r="AF442" s="70"/>
      <c r="AG442" s="70"/>
      <c r="AH442" s="70"/>
      <c r="AI442" s="70"/>
      <c r="AJ442" s="70"/>
      <c r="AK442" s="70"/>
      <c r="AL442" s="70"/>
      <c r="AM442" s="70"/>
      <c r="AN442" s="70"/>
      <c r="AO442" s="70"/>
      <c r="AP442" s="70"/>
      <c r="AQ442" s="70"/>
      <c r="AR442" s="70"/>
      <c r="AS442" s="70"/>
      <c r="AT442" s="70"/>
    </row>
    <row r="443" spans="1:46">
      <c r="A443" s="70"/>
      <c r="B443" s="70"/>
      <c r="C443" s="70"/>
      <c r="D443" s="70"/>
      <c r="E443" s="70"/>
      <c r="F443" s="70"/>
      <c r="G443" s="70"/>
      <c r="H443" s="54"/>
      <c r="I443" s="70"/>
      <c r="J443" s="70"/>
      <c r="K443" s="70"/>
      <c r="L443" s="70"/>
      <c r="M443" s="70"/>
      <c r="N443" s="70"/>
      <c r="O443" s="70"/>
      <c r="P443" s="70"/>
      <c r="Q443" s="70"/>
      <c r="R443" s="70"/>
      <c r="S443" s="70"/>
      <c r="T443" s="70"/>
      <c r="U443" s="70"/>
      <c r="V443" s="70"/>
      <c r="W443" s="70"/>
      <c r="X443" s="70"/>
      <c r="Y443" s="70"/>
      <c r="Z443" s="70"/>
      <c r="AA443" s="70"/>
      <c r="AB443" s="70"/>
      <c r="AC443" s="70"/>
      <c r="AD443" s="70"/>
      <c r="AE443" s="70"/>
      <c r="AF443" s="70"/>
      <c r="AG443" s="70"/>
      <c r="AH443" s="70"/>
      <c r="AI443" s="70"/>
      <c r="AJ443" s="70"/>
      <c r="AK443" s="70"/>
      <c r="AL443" s="70"/>
      <c r="AM443" s="70"/>
      <c r="AN443" s="70"/>
      <c r="AO443" s="70"/>
      <c r="AP443" s="70"/>
      <c r="AQ443" s="70"/>
      <c r="AR443" s="70"/>
      <c r="AS443" s="70"/>
      <c r="AT443" s="70"/>
    </row>
    <row r="444" spans="1:46">
      <c r="A444" s="70"/>
      <c r="B444" s="70"/>
      <c r="C444" s="70"/>
      <c r="D444" s="70"/>
      <c r="E444" s="70"/>
      <c r="F444" s="70"/>
      <c r="G444" s="70"/>
      <c r="H444" s="54"/>
      <c r="I444" s="70"/>
      <c r="J444" s="70"/>
      <c r="K444" s="70"/>
      <c r="L444" s="70"/>
      <c r="M444" s="70"/>
      <c r="N444" s="70"/>
      <c r="O444" s="70"/>
      <c r="P444" s="70"/>
      <c r="Q444" s="70"/>
      <c r="R444" s="70"/>
      <c r="S444" s="70"/>
      <c r="T444" s="70"/>
      <c r="U444" s="70"/>
      <c r="V444" s="70"/>
      <c r="W444" s="70"/>
      <c r="X444" s="70"/>
      <c r="Y444" s="70"/>
      <c r="Z444" s="70"/>
      <c r="AA444" s="70"/>
      <c r="AB444" s="70"/>
      <c r="AC444" s="70"/>
      <c r="AD444" s="70"/>
      <c r="AE444" s="70"/>
      <c r="AF444" s="70"/>
      <c r="AG444" s="70"/>
      <c r="AH444" s="70"/>
      <c r="AI444" s="70"/>
      <c r="AJ444" s="70"/>
      <c r="AK444" s="70"/>
      <c r="AL444" s="70"/>
      <c r="AM444" s="70"/>
      <c r="AN444" s="70"/>
      <c r="AO444" s="70"/>
      <c r="AP444" s="70"/>
      <c r="AQ444" s="70"/>
      <c r="AR444" s="70"/>
      <c r="AS444" s="70"/>
      <c r="AT444" s="70"/>
    </row>
    <row r="445" spans="1:46">
      <c r="A445" s="70"/>
      <c r="B445" s="70"/>
      <c r="C445" s="70"/>
      <c r="D445" s="70"/>
      <c r="E445" s="70"/>
      <c r="F445" s="70"/>
      <c r="G445" s="70"/>
      <c r="H445" s="54"/>
      <c r="I445" s="70"/>
      <c r="J445" s="70"/>
      <c r="K445" s="70"/>
      <c r="L445" s="70"/>
      <c r="M445" s="70"/>
      <c r="N445" s="70"/>
      <c r="O445" s="70"/>
      <c r="P445" s="70"/>
      <c r="Q445" s="70"/>
      <c r="R445" s="70"/>
      <c r="S445" s="70"/>
      <c r="T445" s="70"/>
      <c r="U445" s="70"/>
      <c r="V445" s="70"/>
      <c r="W445" s="70"/>
      <c r="X445" s="70"/>
      <c r="Y445" s="70"/>
      <c r="Z445" s="70"/>
      <c r="AA445" s="70"/>
      <c r="AB445" s="70"/>
      <c r="AC445" s="70"/>
      <c r="AD445" s="70"/>
      <c r="AE445" s="70"/>
      <c r="AF445" s="70"/>
      <c r="AG445" s="70"/>
      <c r="AH445" s="70"/>
      <c r="AI445" s="70"/>
      <c r="AJ445" s="70"/>
      <c r="AK445" s="70"/>
      <c r="AL445" s="70"/>
      <c r="AM445" s="70"/>
      <c r="AN445" s="70"/>
      <c r="AO445" s="70"/>
      <c r="AP445" s="70"/>
      <c r="AQ445" s="70"/>
      <c r="AR445" s="70"/>
      <c r="AS445" s="70"/>
      <c r="AT445" s="70"/>
    </row>
    <row r="446" spans="1:46">
      <c r="A446" s="70"/>
      <c r="B446" s="70"/>
      <c r="C446" s="70"/>
      <c r="D446" s="70"/>
      <c r="E446" s="70"/>
      <c r="F446" s="70"/>
      <c r="G446" s="70"/>
      <c r="H446" s="54"/>
      <c r="I446" s="70"/>
      <c r="J446" s="70"/>
      <c r="K446" s="70"/>
      <c r="L446" s="70"/>
      <c r="M446" s="70"/>
      <c r="N446" s="70"/>
      <c r="O446" s="70"/>
      <c r="P446" s="70"/>
      <c r="Q446" s="70"/>
      <c r="R446" s="70"/>
      <c r="S446" s="70"/>
      <c r="T446" s="70"/>
      <c r="U446" s="70"/>
      <c r="V446" s="70"/>
      <c r="W446" s="70"/>
      <c r="X446" s="70"/>
      <c r="Y446" s="70"/>
      <c r="Z446" s="70"/>
      <c r="AA446" s="70"/>
      <c r="AB446" s="70"/>
      <c r="AC446" s="70"/>
      <c r="AD446" s="70"/>
      <c r="AE446" s="70"/>
      <c r="AF446" s="70"/>
      <c r="AG446" s="70"/>
      <c r="AH446" s="70"/>
      <c r="AI446" s="70"/>
      <c r="AJ446" s="70"/>
      <c r="AK446" s="70"/>
      <c r="AL446" s="70"/>
      <c r="AM446" s="70"/>
      <c r="AN446" s="70"/>
      <c r="AO446" s="70"/>
      <c r="AP446" s="70"/>
      <c r="AQ446" s="70"/>
      <c r="AR446" s="70"/>
      <c r="AS446" s="70"/>
      <c r="AT446" s="70"/>
    </row>
    <row r="447" spans="1:46">
      <c r="A447" s="70"/>
      <c r="B447" s="70"/>
      <c r="C447" s="70"/>
      <c r="D447" s="70"/>
      <c r="E447" s="70"/>
      <c r="F447" s="70"/>
      <c r="G447" s="70"/>
      <c r="H447" s="54"/>
      <c r="I447" s="70"/>
      <c r="J447" s="70"/>
      <c r="K447" s="70"/>
      <c r="L447" s="70"/>
      <c r="M447" s="70"/>
      <c r="N447" s="70"/>
      <c r="O447" s="70"/>
      <c r="P447" s="70"/>
      <c r="Q447" s="70"/>
      <c r="R447" s="70"/>
      <c r="S447" s="70"/>
      <c r="T447" s="70"/>
      <c r="U447" s="70"/>
      <c r="V447" s="70"/>
      <c r="W447" s="70"/>
      <c r="X447" s="70"/>
      <c r="Y447" s="70"/>
      <c r="Z447" s="70"/>
      <c r="AA447" s="70"/>
      <c r="AB447" s="70"/>
      <c r="AC447" s="70"/>
      <c r="AD447" s="70"/>
      <c r="AE447" s="70"/>
      <c r="AF447" s="70"/>
      <c r="AG447" s="70"/>
      <c r="AH447" s="70"/>
      <c r="AI447" s="70"/>
      <c r="AJ447" s="70"/>
      <c r="AK447" s="70"/>
      <c r="AL447" s="70"/>
      <c r="AM447" s="70"/>
      <c r="AN447" s="70"/>
      <c r="AO447" s="70"/>
      <c r="AP447" s="70"/>
      <c r="AQ447" s="70"/>
      <c r="AR447" s="70"/>
      <c r="AS447" s="70"/>
      <c r="AT447" s="70"/>
    </row>
    <row r="448" spans="1:46">
      <c r="A448" s="70"/>
      <c r="B448" s="70"/>
      <c r="C448" s="70"/>
      <c r="D448" s="70"/>
      <c r="E448" s="70"/>
      <c r="F448" s="70"/>
      <c r="G448" s="70"/>
      <c r="H448" s="54"/>
      <c r="I448" s="70"/>
      <c r="J448" s="70"/>
      <c r="K448" s="70"/>
      <c r="L448" s="70"/>
      <c r="M448" s="70"/>
      <c r="N448" s="70"/>
      <c r="O448" s="70"/>
      <c r="P448" s="70"/>
      <c r="Q448" s="70"/>
      <c r="R448" s="70"/>
      <c r="S448" s="70"/>
      <c r="T448" s="70"/>
      <c r="U448" s="70"/>
      <c r="V448" s="70"/>
      <c r="W448" s="70"/>
      <c r="X448" s="70"/>
      <c r="Y448" s="70"/>
      <c r="Z448" s="70"/>
      <c r="AA448" s="70"/>
      <c r="AB448" s="70"/>
      <c r="AC448" s="70"/>
      <c r="AD448" s="70"/>
      <c r="AE448" s="70"/>
      <c r="AF448" s="70"/>
      <c r="AG448" s="70"/>
      <c r="AH448" s="70"/>
      <c r="AI448" s="70"/>
      <c r="AJ448" s="70"/>
      <c r="AK448" s="70"/>
      <c r="AL448" s="70"/>
      <c r="AM448" s="70"/>
      <c r="AN448" s="70"/>
      <c r="AO448" s="70"/>
      <c r="AP448" s="70"/>
      <c r="AQ448" s="70"/>
      <c r="AR448" s="70"/>
      <c r="AS448" s="70"/>
      <c r="AT448" s="70"/>
    </row>
    <row r="449" spans="1:46">
      <c r="A449" s="70"/>
      <c r="B449" s="70"/>
      <c r="C449" s="70"/>
      <c r="D449" s="70"/>
      <c r="E449" s="70"/>
      <c r="F449" s="70"/>
      <c r="G449" s="70"/>
      <c r="H449" s="54"/>
      <c r="I449" s="70"/>
      <c r="J449" s="70"/>
      <c r="K449" s="70"/>
      <c r="L449" s="70"/>
      <c r="M449" s="70"/>
      <c r="N449" s="70"/>
      <c r="O449" s="70"/>
      <c r="P449" s="70"/>
      <c r="Q449" s="70"/>
      <c r="R449" s="70"/>
      <c r="S449" s="70"/>
      <c r="T449" s="70"/>
      <c r="U449" s="70"/>
      <c r="V449" s="70"/>
      <c r="W449" s="70"/>
      <c r="X449" s="70"/>
      <c r="Y449" s="70"/>
      <c r="Z449" s="70"/>
      <c r="AA449" s="70"/>
      <c r="AB449" s="70"/>
      <c r="AC449" s="70"/>
      <c r="AD449" s="70"/>
      <c r="AE449" s="70"/>
      <c r="AF449" s="70"/>
      <c r="AG449" s="70"/>
      <c r="AH449" s="70"/>
      <c r="AI449" s="70"/>
      <c r="AJ449" s="70"/>
      <c r="AK449" s="70"/>
      <c r="AL449" s="70"/>
      <c r="AM449" s="70"/>
      <c r="AN449" s="70"/>
      <c r="AO449" s="70"/>
      <c r="AP449" s="70"/>
      <c r="AQ449" s="70"/>
      <c r="AR449" s="70"/>
      <c r="AS449" s="70"/>
      <c r="AT449" s="70"/>
    </row>
    <row r="450" spans="1:46">
      <c r="A450" s="70"/>
      <c r="B450" s="70"/>
      <c r="C450" s="70"/>
      <c r="D450" s="70"/>
      <c r="E450" s="70"/>
      <c r="F450" s="70"/>
      <c r="G450" s="70"/>
      <c r="H450" s="54"/>
      <c r="I450" s="70"/>
      <c r="J450" s="70"/>
      <c r="K450" s="70"/>
      <c r="L450" s="70"/>
      <c r="M450" s="70"/>
      <c r="N450" s="70"/>
      <c r="O450" s="70"/>
      <c r="P450" s="70"/>
      <c r="Q450" s="70"/>
      <c r="R450" s="70"/>
      <c r="S450" s="70"/>
      <c r="T450" s="70"/>
      <c r="U450" s="70"/>
      <c r="V450" s="70"/>
      <c r="W450" s="70"/>
      <c r="X450" s="70"/>
      <c r="Y450" s="70"/>
      <c r="Z450" s="70"/>
      <c r="AA450" s="70"/>
      <c r="AB450" s="70"/>
      <c r="AC450" s="70"/>
      <c r="AD450" s="70"/>
      <c r="AE450" s="70"/>
      <c r="AF450" s="70"/>
      <c r="AG450" s="70"/>
      <c r="AH450" s="70"/>
      <c r="AI450" s="70"/>
      <c r="AJ450" s="70"/>
      <c r="AK450" s="70"/>
      <c r="AL450" s="70"/>
      <c r="AM450" s="70"/>
      <c r="AN450" s="70"/>
      <c r="AO450" s="70"/>
      <c r="AP450" s="70"/>
      <c r="AQ450" s="70"/>
      <c r="AR450" s="70"/>
      <c r="AS450" s="70"/>
      <c r="AT450" s="70"/>
    </row>
    <row r="451" spans="1:46">
      <c r="A451" s="70"/>
      <c r="B451" s="70"/>
      <c r="C451" s="70"/>
      <c r="D451" s="70"/>
      <c r="E451" s="70"/>
      <c r="F451" s="70"/>
      <c r="G451" s="70"/>
      <c r="H451" s="54"/>
      <c r="I451" s="70"/>
      <c r="J451" s="70"/>
      <c r="K451" s="70"/>
      <c r="L451" s="70"/>
      <c r="M451" s="70"/>
      <c r="N451" s="70"/>
      <c r="O451" s="70"/>
      <c r="P451" s="70"/>
      <c r="Q451" s="70"/>
      <c r="R451" s="70"/>
      <c r="S451" s="70"/>
      <c r="T451" s="70"/>
      <c r="U451" s="70"/>
      <c r="V451" s="70"/>
      <c r="W451" s="70"/>
      <c r="X451" s="70"/>
      <c r="Y451" s="70"/>
      <c r="Z451" s="70"/>
      <c r="AA451" s="70"/>
      <c r="AB451" s="70"/>
      <c r="AC451" s="70"/>
      <c r="AD451" s="70"/>
      <c r="AE451" s="70"/>
      <c r="AF451" s="70"/>
      <c r="AG451" s="70"/>
      <c r="AH451" s="70"/>
      <c r="AI451" s="70"/>
      <c r="AJ451" s="70"/>
      <c r="AK451" s="70"/>
      <c r="AL451" s="70"/>
      <c r="AM451" s="70"/>
      <c r="AN451" s="70"/>
      <c r="AO451" s="70"/>
      <c r="AP451" s="70"/>
      <c r="AQ451" s="70"/>
      <c r="AR451" s="70"/>
      <c r="AS451" s="70"/>
      <c r="AT451" s="70"/>
    </row>
    <row r="452" spans="1:46">
      <c r="A452" s="70"/>
      <c r="B452" s="70"/>
      <c r="C452" s="70"/>
      <c r="D452" s="70"/>
      <c r="E452" s="70"/>
      <c r="F452" s="70"/>
      <c r="G452" s="70"/>
      <c r="H452" s="54"/>
      <c r="I452" s="70"/>
      <c r="J452" s="70"/>
      <c r="K452" s="70"/>
      <c r="L452" s="70"/>
      <c r="M452" s="70"/>
      <c r="N452" s="70"/>
      <c r="O452" s="70"/>
      <c r="P452" s="70"/>
      <c r="Q452" s="70"/>
      <c r="R452" s="70"/>
      <c r="S452" s="70"/>
      <c r="T452" s="70"/>
      <c r="U452" s="70"/>
      <c r="V452" s="70"/>
      <c r="W452" s="70"/>
      <c r="X452" s="70"/>
      <c r="Y452" s="70"/>
      <c r="Z452" s="70"/>
      <c r="AA452" s="70"/>
      <c r="AB452" s="70"/>
      <c r="AC452" s="70"/>
      <c r="AD452" s="70"/>
      <c r="AE452" s="70"/>
      <c r="AF452" s="70"/>
      <c r="AG452" s="70"/>
      <c r="AH452" s="70"/>
      <c r="AI452" s="70"/>
      <c r="AJ452" s="70"/>
      <c r="AK452" s="70"/>
      <c r="AL452" s="70"/>
      <c r="AM452" s="70"/>
      <c r="AN452" s="70"/>
      <c r="AO452" s="70"/>
      <c r="AP452" s="70"/>
      <c r="AQ452" s="70"/>
      <c r="AR452" s="70"/>
      <c r="AS452" s="70"/>
      <c r="AT452" s="70"/>
    </row>
    <row r="453" spans="1:46">
      <c r="A453" s="70"/>
      <c r="B453" s="70"/>
      <c r="C453" s="70"/>
      <c r="D453" s="70"/>
      <c r="E453" s="70"/>
      <c r="F453" s="70"/>
      <c r="G453" s="70"/>
      <c r="H453" s="54"/>
      <c r="I453" s="70"/>
      <c r="J453" s="70"/>
      <c r="K453" s="70"/>
      <c r="L453" s="70"/>
      <c r="M453" s="70"/>
      <c r="N453" s="70"/>
      <c r="O453" s="70"/>
      <c r="P453" s="70"/>
      <c r="Q453" s="70"/>
      <c r="R453" s="70"/>
      <c r="S453" s="70"/>
      <c r="T453" s="70"/>
      <c r="U453" s="70"/>
      <c r="V453" s="70"/>
      <c r="W453" s="70"/>
      <c r="X453" s="70"/>
      <c r="Y453" s="70"/>
      <c r="Z453" s="70"/>
      <c r="AA453" s="70"/>
      <c r="AB453" s="70"/>
      <c r="AC453" s="70"/>
      <c r="AD453" s="70"/>
      <c r="AE453" s="70"/>
      <c r="AF453" s="70"/>
      <c r="AG453" s="70"/>
      <c r="AH453" s="70"/>
      <c r="AI453" s="70"/>
      <c r="AJ453" s="70"/>
      <c r="AK453" s="70"/>
      <c r="AL453" s="70"/>
      <c r="AM453" s="70"/>
      <c r="AN453" s="70"/>
      <c r="AO453" s="70"/>
      <c r="AP453" s="70"/>
      <c r="AQ453" s="70"/>
      <c r="AR453" s="70"/>
      <c r="AS453" s="70"/>
      <c r="AT453" s="70"/>
    </row>
    <row r="454" spans="1:46">
      <c r="A454" s="70"/>
      <c r="B454" s="70"/>
      <c r="C454" s="70"/>
      <c r="D454" s="70"/>
      <c r="E454" s="70"/>
      <c r="F454" s="70"/>
      <c r="G454" s="70"/>
      <c r="H454" s="54"/>
      <c r="I454" s="70"/>
      <c r="J454" s="70"/>
      <c r="K454" s="70"/>
      <c r="L454" s="70"/>
      <c r="M454" s="70"/>
      <c r="N454" s="70"/>
      <c r="O454" s="70"/>
      <c r="P454" s="70"/>
      <c r="Q454" s="70"/>
      <c r="R454" s="70"/>
      <c r="S454" s="70"/>
      <c r="T454" s="70"/>
      <c r="U454" s="70"/>
      <c r="V454" s="70"/>
      <c r="W454" s="70"/>
      <c r="X454" s="70"/>
      <c r="Y454" s="70"/>
      <c r="Z454" s="70"/>
      <c r="AA454" s="70"/>
      <c r="AB454" s="70"/>
      <c r="AC454" s="70"/>
      <c r="AD454" s="70"/>
      <c r="AE454" s="70"/>
      <c r="AF454" s="70"/>
      <c r="AG454" s="70"/>
      <c r="AH454" s="70"/>
      <c r="AI454" s="70"/>
      <c r="AJ454" s="70"/>
      <c r="AK454" s="70"/>
      <c r="AL454" s="70"/>
      <c r="AM454" s="70"/>
      <c r="AN454" s="70"/>
      <c r="AO454" s="70"/>
      <c r="AP454" s="70"/>
      <c r="AQ454" s="70"/>
      <c r="AR454" s="70"/>
      <c r="AS454" s="70"/>
      <c r="AT454" s="70"/>
    </row>
    <row r="455" spans="1:46">
      <c r="A455" s="70"/>
      <c r="B455" s="70"/>
      <c r="C455" s="70"/>
      <c r="D455" s="70"/>
      <c r="E455" s="70"/>
      <c r="F455" s="70"/>
      <c r="G455" s="70"/>
      <c r="H455" s="54"/>
      <c r="I455" s="70"/>
      <c r="J455" s="70"/>
      <c r="K455" s="70"/>
      <c r="L455" s="70"/>
      <c r="M455" s="70"/>
      <c r="N455" s="70"/>
      <c r="O455" s="70"/>
      <c r="P455" s="70"/>
      <c r="Q455" s="70"/>
      <c r="R455" s="70"/>
      <c r="S455" s="70"/>
      <c r="T455" s="70"/>
      <c r="U455" s="70"/>
      <c r="V455" s="70"/>
      <c r="W455" s="70"/>
      <c r="X455" s="70"/>
      <c r="Y455" s="70"/>
      <c r="Z455" s="70"/>
      <c r="AA455" s="70"/>
      <c r="AB455" s="70"/>
      <c r="AC455" s="70"/>
      <c r="AD455" s="70"/>
      <c r="AE455" s="70"/>
      <c r="AF455" s="70"/>
      <c r="AG455" s="70"/>
      <c r="AH455" s="70"/>
      <c r="AI455" s="70"/>
      <c r="AJ455" s="70"/>
      <c r="AK455" s="70"/>
      <c r="AL455" s="70"/>
      <c r="AM455" s="70"/>
      <c r="AN455" s="70"/>
      <c r="AO455" s="70"/>
      <c r="AP455" s="70"/>
      <c r="AQ455" s="70"/>
      <c r="AR455" s="70"/>
      <c r="AS455" s="70"/>
      <c r="AT455" s="70"/>
    </row>
    <row r="456" spans="1:46">
      <c r="A456" s="70"/>
      <c r="B456" s="70"/>
      <c r="C456" s="70"/>
      <c r="D456" s="70"/>
      <c r="E456" s="70"/>
      <c r="F456" s="70"/>
      <c r="G456" s="70"/>
      <c r="H456" s="54"/>
      <c r="I456" s="70"/>
      <c r="J456" s="70"/>
      <c r="K456" s="70"/>
      <c r="L456" s="70"/>
      <c r="M456" s="70"/>
      <c r="N456" s="70"/>
      <c r="O456" s="70"/>
      <c r="P456" s="70"/>
      <c r="Q456" s="70"/>
      <c r="R456" s="70"/>
      <c r="S456" s="70"/>
      <c r="T456" s="70"/>
      <c r="U456" s="70"/>
      <c r="V456" s="70"/>
      <c r="W456" s="70"/>
      <c r="X456" s="70"/>
      <c r="Y456" s="70"/>
      <c r="Z456" s="70"/>
      <c r="AA456" s="70"/>
      <c r="AB456" s="70"/>
      <c r="AC456" s="70"/>
      <c r="AD456" s="70"/>
      <c r="AE456" s="70"/>
      <c r="AF456" s="70"/>
      <c r="AG456" s="70"/>
      <c r="AH456" s="70"/>
      <c r="AI456" s="70"/>
      <c r="AJ456" s="70"/>
      <c r="AK456" s="70"/>
      <c r="AL456" s="70"/>
      <c r="AM456" s="70"/>
      <c r="AN456" s="70"/>
      <c r="AO456" s="70"/>
      <c r="AP456" s="70"/>
      <c r="AQ456" s="70"/>
      <c r="AR456" s="70"/>
      <c r="AS456" s="70"/>
      <c r="AT456" s="70"/>
    </row>
    <row r="457" spans="1:46">
      <c r="A457" s="70"/>
      <c r="B457" s="70"/>
      <c r="C457" s="70"/>
      <c r="D457" s="70"/>
      <c r="E457" s="70"/>
      <c r="F457" s="70"/>
      <c r="G457" s="70"/>
      <c r="H457" s="54"/>
      <c r="I457" s="70"/>
      <c r="J457" s="70"/>
      <c r="K457" s="70"/>
      <c r="L457" s="70"/>
      <c r="M457" s="70"/>
      <c r="N457" s="70"/>
      <c r="O457" s="70"/>
      <c r="P457" s="70"/>
      <c r="Q457" s="70"/>
      <c r="R457" s="70"/>
      <c r="S457" s="70"/>
      <c r="T457" s="70"/>
      <c r="U457" s="70"/>
      <c r="V457" s="70"/>
      <c r="W457" s="70"/>
      <c r="X457" s="70"/>
      <c r="Y457" s="70"/>
      <c r="Z457" s="70"/>
      <c r="AA457" s="70"/>
      <c r="AB457" s="70"/>
      <c r="AC457" s="70"/>
      <c r="AD457" s="70"/>
      <c r="AE457" s="70"/>
      <c r="AF457" s="70"/>
      <c r="AG457" s="70"/>
      <c r="AH457" s="70"/>
      <c r="AI457" s="70"/>
      <c r="AJ457" s="70"/>
      <c r="AK457" s="70"/>
      <c r="AL457" s="70"/>
      <c r="AM457" s="70"/>
      <c r="AN457" s="70"/>
      <c r="AO457" s="70"/>
      <c r="AP457" s="70"/>
      <c r="AQ457" s="70"/>
      <c r="AR457" s="70"/>
      <c r="AS457" s="70"/>
      <c r="AT457" s="70"/>
    </row>
    <row r="458" spans="1:46">
      <c r="A458" s="70"/>
      <c r="B458" s="70"/>
      <c r="C458" s="70"/>
      <c r="D458" s="70"/>
      <c r="E458" s="70"/>
      <c r="F458" s="70"/>
      <c r="G458" s="70"/>
      <c r="H458" s="54"/>
      <c r="I458" s="70"/>
      <c r="J458" s="70"/>
      <c r="K458" s="70"/>
      <c r="L458" s="70"/>
      <c r="M458" s="70"/>
      <c r="N458" s="70"/>
      <c r="O458" s="70"/>
      <c r="P458" s="70"/>
      <c r="Q458" s="70"/>
      <c r="R458" s="70"/>
      <c r="S458" s="70"/>
      <c r="T458" s="70"/>
      <c r="U458" s="70"/>
      <c r="V458" s="70"/>
      <c r="W458" s="70"/>
      <c r="X458" s="70"/>
      <c r="Y458" s="70"/>
      <c r="Z458" s="70"/>
      <c r="AA458" s="70"/>
      <c r="AB458" s="70"/>
      <c r="AC458" s="70"/>
      <c r="AD458" s="70"/>
      <c r="AE458" s="70"/>
      <c r="AF458" s="70"/>
      <c r="AG458" s="70"/>
      <c r="AH458" s="70"/>
      <c r="AI458" s="70"/>
      <c r="AJ458" s="70"/>
      <c r="AK458" s="70"/>
      <c r="AL458" s="70"/>
      <c r="AM458" s="70"/>
      <c r="AN458" s="70"/>
      <c r="AO458" s="70"/>
      <c r="AP458" s="70"/>
      <c r="AQ458" s="70"/>
      <c r="AR458" s="70"/>
      <c r="AS458" s="70"/>
      <c r="AT458" s="70"/>
    </row>
    <row r="459" spans="1:46">
      <c r="A459" s="70"/>
      <c r="B459" s="70"/>
      <c r="C459" s="70"/>
      <c r="D459" s="70"/>
      <c r="E459" s="70"/>
      <c r="F459" s="70"/>
      <c r="G459" s="70"/>
      <c r="H459" s="54"/>
      <c r="I459" s="70"/>
      <c r="J459" s="70"/>
      <c r="K459" s="70"/>
      <c r="L459" s="70"/>
      <c r="M459" s="70"/>
      <c r="N459" s="70"/>
      <c r="O459" s="70"/>
      <c r="P459" s="70"/>
      <c r="Q459" s="70"/>
      <c r="R459" s="70"/>
      <c r="S459" s="70"/>
      <c r="T459" s="70"/>
      <c r="U459" s="70"/>
      <c r="V459" s="70"/>
      <c r="W459" s="70"/>
      <c r="X459" s="70"/>
      <c r="Y459" s="70"/>
      <c r="Z459" s="70"/>
      <c r="AA459" s="70"/>
      <c r="AB459" s="70"/>
      <c r="AC459" s="70"/>
      <c r="AD459" s="70"/>
      <c r="AE459" s="70"/>
      <c r="AF459" s="70"/>
      <c r="AG459" s="70"/>
      <c r="AH459" s="70"/>
      <c r="AI459" s="70"/>
      <c r="AJ459" s="70"/>
      <c r="AK459" s="70"/>
      <c r="AL459" s="70"/>
      <c r="AM459" s="70"/>
      <c r="AN459" s="70"/>
      <c r="AO459" s="70"/>
      <c r="AP459" s="70"/>
      <c r="AQ459" s="70"/>
      <c r="AR459" s="70"/>
      <c r="AS459" s="70"/>
      <c r="AT459" s="70"/>
    </row>
    <row r="460" spans="1:46">
      <c r="A460" s="70"/>
      <c r="B460" s="70"/>
      <c r="C460" s="70"/>
      <c r="D460" s="70"/>
      <c r="E460" s="70"/>
      <c r="F460" s="70"/>
      <c r="G460" s="70"/>
      <c r="H460" s="54"/>
      <c r="I460" s="70"/>
      <c r="J460" s="70"/>
      <c r="K460" s="70"/>
      <c r="L460" s="70"/>
      <c r="M460" s="70"/>
      <c r="N460" s="70"/>
      <c r="O460" s="70"/>
      <c r="P460" s="70"/>
      <c r="Q460" s="70"/>
      <c r="R460" s="70"/>
      <c r="S460" s="70"/>
      <c r="T460" s="70"/>
      <c r="U460" s="70"/>
      <c r="V460" s="70"/>
      <c r="W460" s="70"/>
      <c r="X460" s="70"/>
      <c r="Y460" s="70"/>
      <c r="Z460" s="70"/>
      <c r="AA460" s="70"/>
      <c r="AB460" s="70"/>
      <c r="AC460" s="70"/>
      <c r="AD460" s="70"/>
      <c r="AE460" s="70"/>
      <c r="AF460" s="70"/>
      <c r="AG460" s="70"/>
      <c r="AH460" s="70"/>
      <c r="AI460" s="70"/>
      <c r="AJ460" s="70"/>
      <c r="AK460" s="70"/>
      <c r="AL460" s="70"/>
      <c r="AM460" s="70"/>
      <c r="AN460" s="70"/>
      <c r="AO460" s="70"/>
      <c r="AP460" s="70"/>
      <c r="AQ460" s="70"/>
      <c r="AR460" s="70"/>
      <c r="AS460" s="70"/>
      <c r="AT460" s="70"/>
    </row>
    <row r="461" spans="1:46">
      <c r="A461" s="70"/>
      <c r="B461" s="70"/>
      <c r="C461" s="70"/>
      <c r="D461" s="70"/>
      <c r="E461" s="70"/>
      <c r="F461" s="70"/>
      <c r="G461" s="70"/>
      <c r="H461" s="54"/>
      <c r="I461" s="70"/>
      <c r="J461" s="70"/>
      <c r="K461" s="70"/>
      <c r="L461" s="70"/>
      <c r="M461" s="70"/>
      <c r="N461" s="70"/>
      <c r="O461" s="70"/>
      <c r="P461" s="70"/>
      <c r="Q461" s="70"/>
      <c r="R461" s="70"/>
      <c r="S461" s="70"/>
      <c r="T461" s="70"/>
      <c r="U461" s="70"/>
      <c r="V461" s="70"/>
      <c r="W461" s="70"/>
      <c r="X461" s="70"/>
      <c r="Y461" s="70"/>
      <c r="Z461" s="70"/>
      <c r="AA461" s="70"/>
      <c r="AB461" s="70"/>
      <c r="AC461" s="70"/>
      <c r="AD461" s="70"/>
      <c r="AE461" s="70"/>
      <c r="AF461" s="70"/>
      <c r="AG461" s="70"/>
      <c r="AH461" s="70"/>
      <c r="AI461" s="70"/>
      <c r="AJ461" s="70"/>
      <c r="AK461" s="70"/>
      <c r="AL461" s="70"/>
      <c r="AM461" s="70"/>
      <c r="AN461" s="70"/>
      <c r="AO461" s="70"/>
      <c r="AP461" s="70"/>
      <c r="AQ461" s="70"/>
      <c r="AR461" s="70"/>
      <c r="AS461" s="70"/>
      <c r="AT461" s="70"/>
    </row>
    <row r="462" spans="1:46">
      <c r="A462" s="70"/>
      <c r="B462" s="70"/>
      <c r="C462" s="70"/>
      <c r="D462" s="70"/>
      <c r="E462" s="70"/>
      <c r="F462" s="70"/>
      <c r="G462" s="70"/>
      <c r="H462" s="54"/>
      <c r="I462" s="70"/>
      <c r="J462" s="70"/>
      <c r="K462" s="70"/>
      <c r="L462" s="70"/>
      <c r="M462" s="70"/>
      <c r="N462" s="70"/>
      <c r="O462" s="70"/>
      <c r="P462" s="70"/>
      <c r="Q462" s="70"/>
      <c r="R462" s="70"/>
      <c r="S462" s="70"/>
      <c r="T462" s="70"/>
      <c r="U462" s="70"/>
      <c r="V462" s="70"/>
      <c r="W462" s="70"/>
      <c r="X462" s="70"/>
      <c r="Y462" s="70"/>
      <c r="Z462" s="70"/>
      <c r="AA462" s="70"/>
      <c r="AB462" s="70"/>
      <c r="AC462" s="70"/>
      <c r="AD462" s="70"/>
      <c r="AE462" s="70"/>
      <c r="AF462" s="70"/>
      <c r="AG462" s="70"/>
      <c r="AH462" s="70"/>
      <c r="AI462" s="70"/>
      <c r="AJ462" s="70"/>
      <c r="AK462" s="70"/>
      <c r="AL462" s="70"/>
      <c r="AM462" s="70"/>
      <c r="AN462" s="70"/>
      <c r="AO462" s="70"/>
      <c r="AP462" s="70"/>
      <c r="AQ462" s="70"/>
      <c r="AR462" s="70"/>
      <c r="AS462" s="70"/>
      <c r="AT462" s="70"/>
    </row>
    <row r="463" spans="1:46">
      <c r="A463" s="70"/>
      <c r="B463" s="70"/>
      <c r="C463" s="70"/>
      <c r="D463" s="70"/>
      <c r="E463" s="70"/>
      <c r="F463" s="70"/>
      <c r="G463" s="70"/>
      <c r="H463" s="54"/>
      <c r="I463" s="70"/>
      <c r="J463" s="70"/>
      <c r="K463" s="70"/>
      <c r="L463" s="70"/>
      <c r="M463" s="70"/>
      <c r="N463" s="70"/>
      <c r="O463" s="70"/>
      <c r="P463" s="70"/>
      <c r="Q463" s="70"/>
      <c r="R463" s="70"/>
      <c r="S463" s="70"/>
      <c r="T463" s="70"/>
      <c r="U463" s="70"/>
      <c r="V463" s="70"/>
      <c r="W463" s="70"/>
      <c r="X463" s="70"/>
      <c r="Y463" s="70"/>
      <c r="Z463" s="70"/>
      <c r="AA463" s="70"/>
      <c r="AB463" s="70"/>
      <c r="AC463" s="70"/>
      <c r="AD463" s="70"/>
      <c r="AE463" s="70"/>
      <c r="AF463" s="70"/>
      <c r="AG463" s="70"/>
      <c r="AH463" s="70"/>
      <c r="AI463" s="70"/>
      <c r="AJ463" s="70"/>
      <c r="AK463" s="70"/>
      <c r="AL463" s="70"/>
      <c r="AM463" s="70"/>
      <c r="AN463" s="70"/>
      <c r="AO463" s="70"/>
      <c r="AP463" s="70"/>
      <c r="AQ463" s="70"/>
      <c r="AR463" s="70"/>
      <c r="AS463" s="70"/>
      <c r="AT463" s="70"/>
    </row>
    <row r="464" spans="1:46">
      <c r="A464" s="70"/>
      <c r="B464" s="70"/>
      <c r="C464" s="70"/>
      <c r="D464" s="70"/>
      <c r="E464" s="70"/>
      <c r="F464" s="70"/>
      <c r="G464" s="70"/>
      <c r="H464" s="54"/>
      <c r="I464" s="70"/>
      <c r="J464" s="70"/>
      <c r="K464" s="70"/>
      <c r="L464" s="70"/>
      <c r="M464" s="70"/>
      <c r="N464" s="70"/>
      <c r="O464" s="70"/>
      <c r="P464" s="70"/>
      <c r="Q464" s="70"/>
      <c r="R464" s="70"/>
      <c r="S464" s="70"/>
      <c r="T464" s="70"/>
      <c r="U464" s="70"/>
      <c r="V464" s="70"/>
      <c r="W464" s="70"/>
      <c r="X464" s="70"/>
      <c r="Y464" s="70"/>
      <c r="Z464" s="70"/>
      <c r="AA464" s="70"/>
      <c r="AB464" s="70"/>
      <c r="AC464" s="70"/>
      <c r="AD464" s="70"/>
      <c r="AE464" s="70"/>
      <c r="AF464" s="70"/>
      <c r="AG464" s="70"/>
      <c r="AH464" s="70"/>
      <c r="AI464" s="70"/>
      <c r="AJ464" s="70"/>
      <c r="AK464" s="70"/>
      <c r="AL464" s="70"/>
      <c r="AM464" s="70"/>
      <c r="AN464" s="70"/>
      <c r="AO464" s="70"/>
      <c r="AP464" s="70"/>
      <c r="AQ464" s="70"/>
      <c r="AR464" s="70"/>
      <c r="AS464" s="70"/>
      <c r="AT464" s="70"/>
    </row>
    <row r="465" spans="1:46">
      <c r="A465" s="70"/>
      <c r="B465" s="70"/>
      <c r="C465" s="70"/>
      <c r="D465" s="70"/>
      <c r="E465" s="70"/>
      <c r="F465" s="70"/>
      <c r="G465" s="70"/>
      <c r="H465" s="54"/>
      <c r="I465" s="70"/>
      <c r="J465" s="70"/>
      <c r="K465" s="70"/>
      <c r="L465" s="70"/>
      <c r="M465" s="70"/>
      <c r="N465" s="70"/>
      <c r="O465" s="70"/>
      <c r="P465" s="70"/>
      <c r="Q465" s="70"/>
      <c r="R465" s="70"/>
      <c r="S465" s="70"/>
      <c r="T465" s="70"/>
      <c r="U465" s="70"/>
      <c r="V465" s="70"/>
      <c r="W465" s="70"/>
      <c r="X465" s="70"/>
      <c r="Y465" s="70"/>
      <c r="Z465" s="70"/>
      <c r="AA465" s="70"/>
      <c r="AB465" s="70"/>
      <c r="AC465" s="70"/>
      <c r="AD465" s="70"/>
      <c r="AE465" s="70"/>
      <c r="AF465" s="70"/>
      <c r="AG465" s="70"/>
      <c r="AH465" s="70"/>
      <c r="AI465" s="70"/>
      <c r="AJ465" s="70"/>
      <c r="AK465" s="70"/>
      <c r="AL465" s="70"/>
      <c r="AM465" s="70"/>
      <c r="AN465" s="70"/>
      <c r="AO465" s="70"/>
      <c r="AP465" s="70"/>
      <c r="AQ465" s="70"/>
      <c r="AR465" s="70"/>
      <c r="AS465" s="70"/>
      <c r="AT465" s="70"/>
    </row>
    <row r="466" spans="1:46">
      <c r="A466" s="70"/>
      <c r="B466" s="70"/>
      <c r="C466" s="70"/>
      <c r="D466" s="70"/>
      <c r="E466" s="70"/>
      <c r="F466" s="70"/>
      <c r="G466" s="70"/>
      <c r="H466" s="54"/>
      <c r="I466" s="70"/>
      <c r="J466" s="70"/>
      <c r="K466" s="70"/>
      <c r="L466" s="70"/>
      <c r="M466" s="70"/>
      <c r="N466" s="70"/>
      <c r="O466" s="70"/>
      <c r="P466" s="70"/>
      <c r="Q466" s="70"/>
      <c r="R466" s="70"/>
      <c r="S466" s="70"/>
      <c r="T466" s="70"/>
      <c r="U466" s="70"/>
      <c r="V466" s="70"/>
      <c r="W466" s="70"/>
      <c r="X466" s="70"/>
      <c r="Y466" s="70"/>
      <c r="Z466" s="70"/>
      <c r="AA466" s="70"/>
      <c r="AB466" s="70"/>
      <c r="AC466" s="70"/>
      <c r="AD466" s="70"/>
      <c r="AE466" s="70"/>
      <c r="AF466" s="70"/>
      <c r="AG466" s="70"/>
      <c r="AH466" s="70"/>
      <c r="AI466" s="70"/>
      <c r="AJ466" s="70"/>
      <c r="AK466" s="70"/>
      <c r="AL466" s="70"/>
      <c r="AM466" s="70"/>
      <c r="AN466" s="70"/>
      <c r="AO466" s="70"/>
      <c r="AP466" s="70"/>
      <c r="AQ466" s="70"/>
      <c r="AR466" s="70"/>
      <c r="AS466" s="70"/>
      <c r="AT466" s="70"/>
    </row>
    <row r="467" spans="1:46">
      <c r="A467" s="70"/>
      <c r="B467" s="70"/>
      <c r="C467" s="70"/>
      <c r="D467" s="70"/>
      <c r="E467" s="70"/>
      <c r="F467" s="70"/>
      <c r="G467" s="70"/>
      <c r="H467" s="54"/>
      <c r="I467" s="70"/>
      <c r="J467" s="70"/>
      <c r="K467" s="70"/>
      <c r="L467" s="70"/>
      <c r="M467" s="70"/>
      <c r="N467" s="70"/>
      <c r="O467" s="70"/>
      <c r="P467" s="70"/>
      <c r="Q467" s="70"/>
      <c r="R467" s="70"/>
      <c r="S467" s="70"/>
      <c r="T467" s="70"/>
      <c r="U467" s="70"/>
      <c r="V467" s="70"/>
      <c r="W467" s="70"/>
      <c r="X467" s="70"/>
      <c r="Y467" s="70"/>
      <c r="Z467" s="70"/>
      <c r="AA467" s="70"/>
      <c r="AB467" s="70"/>
      <c r="AC467" s="70"/>
      <c r="AD467" s="70"/>
      <c r="AE467" s="70"/>
      <c r="AF467" s="70"/>
      <c r="AG467" s="70"/>
      <c r="AH467" s="70"/>
      <c r="AI467" s="70"/>
      <c r="AJ467" s="70"/>
      <c r="AK467" s="70"/>
      <c r="AL467" s="70"/>
      <c r="AM467" s="70"/>
      <c r="AN467" s="70"/>
      <c r="AO467" s="70"/>
      <c r="AP467" s="70"/>
      <c r="AQ467" s="70"/>
      <c r="AR467" s="70"/>
      <c r="AS467" s="70"/>
      <c r="AT467" s="70"/>
    </row>
    <row r="468" spans="1:46">
      <c r="A468" s="70"/>
      <c r="B468" s="70"/>
      <c r="C468" s="70"/>
      <c r="D468" s="70"/>
      <c r="E468" s="70"/>
      <c r="F468" s="70"/>
      <c r="G468" s="70"/>
      <c r="H468" s="54"/>
      <c r="I468" s="70"/>
      <c r="J468" s="70"/>
      <c r="K468" s="70"/>
      <c r="L468" s="70"/>
      <c r="M468" s="70"/>
      <c r="N468" s="70"/>
      <c r="O468" s="70"/>
      <c r="P468" s="70"/>
      <c r="Q468" s="70"/>
      <c r="R468" s="70"/>
      <c r="S468" s="70"/>
      <c r="T468" s="70"/>
      <c r="U468" s="70"/>
      <c r="V468" s="70"/>
      <c r="W468" s="70"/>
      <c r="X468" s="70"/>
      <c r="Y468" s="70"/>
      <c r="Z468" s="70"/>
      <c r="AA468" s="70"/>
      <c r="AB468" s="70"/>
      <c r="AC468" s="70"/>
      <c r="AD468" s="70"/>
      <c r="AE468" s="70"/>
      <c r="AF468" s="70"/>
      <c r="AG468" s="70"/>
      <c r="AH468" s="70"/>
      <c r="AI468" s="70"/>
      <c r="AJ468" s="70"/>
      <c r="AK468" s="70"/>
      <c r="AL468" s="70"/>
      <c r="AM468" s="70"/>
      <c r="AN468" s="70"/>
      <c r="AO468" s="70"/>
      <c r="AP468" s="70"/>
      <c r="AQ468" s="70"/>
      <c r="AR468" s="70"/>
      <c r="AS468" s="70"/>
      <c r="AT468" s="70"/>
    </row>
    <row r="469" spans="1:46">
      <c r="A469" s="70"/>
      <c r="B469" s="70"/>
      <c r="C469" s="70"/>
      <c r="D469" s="70"/>
      <c r="E469" s="70"/>
      <c r="F469" s="70"/>
      <c r="G469" s="70"/>
      <c r="H469" s="54"/>
      <c r="I469" s="70"/>
      <c r="J469" s="70"/>
      <c r="K469" s="70"/>
      <c r="L469" s="70"/>
      <c r="M469" s="70"/>
      <c r="N469" s="70"/>
      <c r="O469" s="70"/>
      <c r="P469" s="70"/>
      <c r="Q469" s="70"/>
      <c r="R469" s="70"/>
      <c r="S469" s="70"/>
      <c r="T469" s="70"/>
      <c r="U469" s="70"/>
      <c r="V469" s="70"/>
      <c r="W469" s="70"/>
      <c r="X469" s="70"/>
      <c r="Y469" s="70"/>
      <c r="Z469" s="70"/>
      <c r="AA469" s="70"/>
      <c r="AB469" s="70"/>
      <c r="AC469" s="70"/>
      <c r="AD469" s="70"/>
      <c r="AE469" s="70"/>
      <c r="AF469" s="70"/>
      <c r="AG469" s="70"/>
      <c r="AH469" s="70"/>
      <c r="AI469" s="70"/>
      <c r="AJ469" s="70"/>
      <c r="AK469" s="70"/>
      <c r="AL469" s="70"/>
      <c r="AM469" s="70"/>
      <c r="AN469" s="70"/>
      <c r="AO469" s="70"/>
      <c r="AP469" s="70"/>
      <c r="AQ469" s="70"/>
      <c r="AR469" s="70"/>
      <c r="AS469" s="70"/>
      <c r="AT469" s="70"/>
    </row>
    <row r="470" spans="1:46">
      <c r="A470" s="70"/>
      <c r="B470" s="70"/>
      <c r="C470" s="70"/>
      <c r="D470" s="70"/>
      <c r="E470" s="70"/>
      <c r="F470" s="70"/>
      <c r="G470" s="70"/>
      <c r="H470" s="54"/>
      <c r="I470" s="70"/>
      <c r="J470" s="70"/>
      <c r="K470" s="70"/>
      <c r="L470" s="70"/>
      <c r="M470" s="70"/>
      <c r="N470" s="70"/>
      <c r="O470" s="70"/>
      <c r="P470" s="70"/>
      <c r="Q470" s="70"/>
      <c r="R470" s="70"/>
      <c r="S470" s="70"/>
      <c r="T470" s="70"/>
      <c r="U470" s="70"/>
      <c r="V470" s="70"/>
      <c r="W470" s="70"/>
      <c r="X470" s="70"/>
      <c r="Y470" s="70"/>
      <c r="Z470" s="70"/>
      <c r="AA470" s="70"/>
      <c r="AB470" s="70"/>
      <c r="AC470" s="70"/>
      <c r="AD470" s="70"/>
      <c r="AE470" s="70"/>
      <c r="AF470" s="70"/>
      <c r="AG470" s="70"/>
      <c r="AH470" s="70"/>
      <c r="AI470" s="70"/>
      <c r="AJ470" s="70"/>
      <c r="AK470" s="70"/>
      <c r="AL470" s="70"/>
      <c r="AM470" s="70"/>
      <c r="AN470" s="70"/>
      <c r="AO470" s="70"/>
      <c r="AP470" s="70"/>
      <c r="AQ470" s="70"/>
      <c r="AR470" s="70"/>
      <c r="AS470" s="70"/>
      <c r="AT470" s="70"/>
    </row>
    <row r="471" spans="1:46">
      <c r="A471" s="70"/>
      <c r="B471" s="70"/>
      <c r="C471" s="70"/>
      <c r="D471" s="70"/>
      <c r="E471" s="70"/>
      <c r="F471" s="70"/>
      <c r="G471" s="70"/>
      <c r="H471" s="54"/>
      <c r="I471" s="70"/>
      <c r="J471" s="70"/>
      <c r="K471" s="70"/>
      <c r="L471" s="70"/>
      <c r="M471" s="70"/>
      <c r="N471" s="70"/>
      <c r="O471" s="70"/>
      <c r="P471" s="70"/>
      <c r="Q471" s="70"/>
      <c r="R471" s="70"/>
      <c r="S471" s="70"/>
      <c r="T471" s="70"/>
      <c r="U471" s="70"/>
      <c r="V471" s="70"/>
      <c r="W471" s="70"/>
      <c r="X471" s="70"/>
      <c r="Y471" s="70"/>
      <c r="Z471" s="70"/>
      <c r="AA471" s="70"/>
      <c r="AB471" s="70"/>
      <c r="AC471" s="70"/>
      <c r="AD471" s="70"/>
      <c r="AE471" s="70"/>
      <c r="AF471" s="70"/>
      <c r="AG471" s="70"/>
      <c r="AH471" s="70"/>
      <c r="AI471" s="70"/>
      <c r="AJ471" s="70"/>
      <c r="AK471" s="70"/>
      <c r="AL471" s="70"/>
      <c r="AM471" s="70"/>
      <c r="AN471" s="70"/>
      <c r="AO471" s="70"/>
      <c r="AP471" s="70"/>
      <c r="AQ471" s="70"/>
      <c r="AR471" s="70"/>
      <c r="AS471" s="70"/>
      <c r="AT471" s="70"/>
    </row>
    <row r="472" spans="1:46">
      <c r="A472" s="70"/>
      <c r="B472" s="70"/>
      <c r="C472" s="70"/>
      <c r="D472" s="70"/>
      <c r="E472" s="70"/>
      <c r="F472" s="70"/>
      <c r="G472" s="70"/>
      <c r="H472" s="54"/>
      <c r="I472" s="70"/>
      <c r="J472" s="70"/>
      <c r="K472" s="70"/>
      <c r="L472" s="70"/>
      <c r="M472" s="70"/>
      <c r="N472" s="70"/>
      <c r="O472" s="70"/>
      <c r="P472" s="70"/>
      <c r="Q472" s="70"/>
      <c r="R472" s="70"/>
      <c r="S472" s="70"/>
      <c r="T472" s="70"/>
      <c r="U472" s="70"/>
      <c r="V472" s="70"/>
      <c r="W472" s="70"/>
      <c r="X472" s="70"/>
      <c r="Y472" s="70"/>
      <c r="Z472" s="70"/>
      <c r="AA472" s="70"/>
      <c r="AB472" s="70"/>
      <c r="AC472" s="70"/>
      <c r="AD472" s="70"/>
      <c r="AE472" s="70"/>
      <c r="AF472" s="70"/>
      <c r="AG472" s="70"/>
      <c r="AH472" s="70"/>
      <c r="AI472" s="70"/>
      <c r="AJ472" s="70"/>
      <c r="AK472" s="70"/>
      <c r="AL472" s="70"/>
      <c r="AM472" s="70"/>
      <c r="AN472" s="70"/>
      <c r="AO472" s="70"/>
      <c r="AP472" s="70"/>
      <c r="AQ472" s="70"/>
      <c r="AR472" s="70"/>
      <c r="AS472" s="70"/>
      <c r="AT472" s="70"/>
    </row>
    <row r="473" spans="1:46">
      <c r="A473" s="70"/>
      <c r="B473" s="70"/>
      <c r="C473" s="70"/>
      <c r="D473" s="70"/>
      <c r="E473" s="70"/>
      <c r="F473" s="70"/>
      <c r="G473" s="70"/>
      <c r="H473" s="54"/>
      <c r="I473" s="70"/>
      <c r="J473" s="70"/>
      <c r="K473" s="70"/>
      <c r="L473" s="70"/>
      <c r="M473" s="70"/>
      <c r="N473" s="70"/>
      <c r="O473" s="70"/>
      <c r="P473" s="70"/>
      <c r="Q473" s="70"/>
      <c r="R473" s="70"/>
      <c r="S473" s="70"/>
      <c r="T473" s="70"/>
      <c r="U473" s="70"/>
      <c r="V473" s="70"/>
      <c r="W473" s="70"/>
      <c r="X473" s="70"/>
      <c r="Y473" s="70"/>
      <c r="Z473" s="70"/>
      <c r="AA473" s="70"/>
      <c r="AB473" s="70"/>
      <c r="AC473" s="70"/>
      <c r="AD473" s="70"/>
      <c r="AE473" s="70"/>
      <c r="AF473" s="70"/>
      <c r="AG473" s="70"/>
      <c r="AH473" s="70"/>
      <c r="AI473" s="70"/>
      <c r="AJ473" s="70"/>
      <c r="AK473" s="70"/>
      <c r="AL473" s="70"/>
      <c r="AM473" s="70"/>
      <c r="AN473" s="70"/>
      <c r="AO473" s="70"/>
      <c r="AP473" s="70"/>
      <c r="AQ473" s="70"/>
      <c r="AR473" s="70"/>
      <c r="AS473" s="70"/>
      <c r="AT473" s="70"/>
    </row>
    <row r="474" spans="1:46">
      <c r="A474" s="70"/>
      <c r="B474" s="70"/>
      <c r="C474" s="70"/>
      <c r="D474" s="70"/>
      <c r="E474" s="70"/>
      <c r="F474" s="70"/>
      <c r="G474" s="70"/>
      <c r="H474" s="54"/>
      <c r="I474" s="70"/>
      <c r="J474" s="70"/>
      <c r="K474" s="70"/>
      <c r="L474" s="70"/>
      <c r="M474" s="70"/>
      <c r="N474" s="70"/>
      <c r="O474" s="70"/>
      <c r="P474" s="70"/>
      <c r="Q474" s="70"/>
      <c r="R474" s="70"/>
      <c r="S474" s="70"/>
      <c r="T474" s="70"/>
      <c r="U474" s="70"/>
      <c r="V474" s="70"/>
      <c r="W474" s="70"/>
      <c r="X474" s="70"/>
      <c r="Y474" s="70"/>
      <c r="Z474" s="70"/>
      <c r="AA474" s="70"/>
      <c r="AB474" s="70"/>
      <c r="AC474" s="70"/>
      <c r="AD474" s="70"/>
      <c r="AE474" s="70"/>
      <c r="AF474" s="70"/>
      <c r="AG474" s="70"/>
      <c r="AH474" s="70"/>
      <c r="AI474" s="70"/>
      <c r="AJ474" s="70"/>
      <c r="AK474" s="70"/>
      <c r="AL474" s="70"/>
      <c r="AM474" s="70"/>
      <c r="AN474" s="70"/>
      <c r="AO474" s="70"/>
      <c r="AP474" s="70"/>
      <c r="AQ474" s="70"/>
      <c r="AR474" s="70"/>
      <c r="AS474" s="70"/>
      <c r="AT474" s="70"/>
    </row>
    <row r="475" spans="1:46">
      <c r="A475" s="70"/>
      <c r="B475" s="70"/>
      <c r="C475" s="70"/>
      <c r="D475" s="70"/>
      <c r="E475" s="70"/>
      <c r="F475" s="70"/>
      <c r="G475" s="70"/>
      <c r="H475" s="54"/>
      <c r="I475" s="70"/>
      <c r="J475" s="70"/>
      <c r="K475" s="70"/>
      <c r="L475" s="70"/>
      <c r="M475" s="70"/>
      <c r="N475" s="70"/>
      <c r="O475" s="70"/>
      <c r="P475" s="70"/>
      <c r="Q475" s="70"/>
      <c r="R475" s="70"/>
      <c r="S475" s="70"/>
      <c r="T475" s="70"/>
      <c r="U475" s="70"/>
      <c r="V475" s="70"/>
      <c r="W475" s="70"/>
      <c r="X475" s="70"/>
      <c r="Y475" s="70"/>
      <c r="Z475" s="70"/>
      <c r="AA475" s="70"/>
      <c r="AB475" s="70"/>
      <c r="AC475" s="70"/>
      <c r="AD475" s="70"/>
      <c r="AE475" s="70"/>
      <c r="AF475" s="70"/>
      <c r="AG475" s="70"/>
      <c r="AH475" s="70"/>
      <c r="AI475" s="70"/>
      <c r="AJ475" s="70"/>
      <c r="AK475" s="70"/>
      <c r="AL475" s="70"/>
      <c r="AM475" s="70"/>
      <c r="AN475" s="70"/>
      <c r="AO475" s="70"/>
      <c r="AP475" s="70"/>
      <c r="AQ475" s="70"/>
      <c r="AR475" s="70"/>
      <c r="AS475" s="70"/>
      <c r="AT475" s="70"/>
    </row>
    <row r="476" spans="1:46">
      <c r="A476" s="70"/>
      <c r="B476" s="70"/>
      <c r="C476" s="70"/>
      <c r="D476" s="70"/>
      <c r="E476" s="70"/>
      <c r="F476" s="70"/>
      <c r="G476" s="70"/>
      <c r="H476" s="54"/>
      <c r="I476" s="70"/>
      <c r="J476" s="70"/>
      <c r="K476" s="70"/>
      <c r="L476" s="70"/>
      <c r="M476" s="70"/>
      <c r="N476" s="70"/>
      <c r="O476" s="70"/>
      <c r="P476" s="70"/>
      <c r="Q476" s="70"/>
      <c r="R476" s="70"/>
      <c r="S476" s="70"/>
      <c r="T476" s="70"/>
      <c r="U476" s="70"/>
      <c r="V476" s="70"/>
      <c r="W476" s="70"/>
      <c r="X476" s="70"/>
      <c r="Y476" s="70"/>
      <c r="Z476" s="70"/>
      <c r="AA476" s="70"/>
      <c r="AB476" s="70"/>
      <c r="AC476" s="70"/>
      <c r="AD476" s="70"/>
      <c r="AE476" s="70"/>
      <c r="AF476" s="70"/>
      <c r="AG476" s="70"/>
      <c r="AH476" s="70"/>
      <c r="AI476" s="70"/>
      <c r="AJ476" s="70"/>
      <c r="AK476" s="70"/>
      <c r="AL476" s="70"/>
      <c r="AM476" s="70"/>
      <c r="AN476" s="70"/>
      <c r="AO476" s="70"/>
      <c r="AP476" s="70"/>
      <c r="AQ476" s="70"/>
      <c r="AR476" s="70"/>
      <c r="AS476" s="70"/>
      <c r="AT476" s="70"/>
    </row>
    <row r="477" spans="1:46">
      <c r="A477" s="70"/>
      <c r="B477" s="70"/>
      <c r="C477" s="70"/>
      <c r="D477" s="70"/>
      <c r="E477" s="70"/>
      <c r="F477" s="70"/>
      <c r="G477" s="70"/>
      <c r="H477" s="54"/>
      <c r="I477" s="70"/>
      <c r="J477" s="70"/>
      <c r="K477" s="70"/>
      <c r="L477" s="70"/>
      <c r="M477" s="70"/>
      <c r="N477" s="70"/>
      <c r="O477" s="70"/>
      <c r="P477" s="70"/>
      <c r="Q477" s="70"/>
      <c r="R477" s="70"/>
      <c r="S477" s="70"/>
      <c r="T477" s="70"/>
      <c r="U477" s="70"/>
      <c r="V477" s="70"/>
      <c r="W477" s="70"/>
      <c r="X477" s="70"/>
      <c r="Y477" s="70"/>
      <c r="Z477" s="70"/>
      <c r="AA477" s="70"/>
      <c r="AB477" s="70"/>
      <c r="AC477" s="70"/>
      <c r="AD477" s="70"/>
      <c r="AE477" s="70"/>
      <c r="AF477" s="70"/>
      <c r="AG477" s="70"/>
      <c r="AH477" s="70"/>
      <c r="AI477" s="70"/>
      <c r="AJ477" s="70"/>
      <c r="AK477" s="70"/>
      <c r="AL477" s="70"/>
      <c r="AM477" s="70"/>
      <c r="AN477" s="70"/>
      <c r="AO477" s="70"/>
      <c r="AP477" s="70"/>
      <c r="AQ477" s="70"/>
      <c r="AR477" s="70"/>
      <c r="AS477" s="70"/>
      <c r="AT477" s="70"/>
    </row>
    <row r="478" spans="1:46">
      <c r="A478" s="70"/>
      <c r="B478" s="70"/>
      <c r="C478" s="70"/>
      <c r="D478" s="70"/>
      <c r="E478" s="70"/>
      <c r="F478" s="70"/>
      <c r="G478" s="70"/>
      <c r="H478" s="54"/>
      <c r="I478" s="70"/>
      <c r="J478" s="70"/>
      <c r="K478" s="70"/>
      <c r="L478" s="70"/>
      <c r="M478" s="70"/>
      <c r="N478" s="70"/>
      <c r="O478" s="70"/>
      <c r="P478" s="70"/>
      <c r="Q478" s="70"/>
      <c r="R478" s="70"/>
      <c r="S478" s="70"/>
      <c r="T478" s="70"/>
      <c r="U478" s="70"/>
      <c r="V478" s="70"/>
      <c r="W478" s="70"/>
      <c r="X478" s="70"/>
      <c r="Y478" s="70"/>
      <c r="Z478" s="70"/>
      <c r="AA478" s="70"/>
      <c r="AB478" s="70"/>
      <c r="AC478" s="70"/>
      <c r="AD478" s="70"/>
      <c r="AE478" s="70"/>
      <c r="AF478" s="70"/>
      <c r="AG478" s="70"/>
      <c r="AH478" s="70"/>
      <c r="AI478" s="70"/>
      <c r="AJ478" s="70"/>
      <c r="AK478" s="70"/>
      <c r="AL478" s="70"/>
      <c r="AM478" s="70"/>
      <c r="AN478" s="70"/>
      <c r="AO478" s="70"/>
      <c r="AP478" s="70"/>
      <c r="AQ478" s="70"/>
      <c r="AR478" s="70"/>
      <c r="AS478" s="70"/>
      <c r="AT478" s="70"/>
    </row>
    <row r="479" spans="1:46">
      <c r="A479" s="70"/>
      <c r="B479" s="70"/>
      <c r="C479" s="70"/>
      <c r="D479" s="70"/>
      <c r="E479" s="70"/>
      <c r="F479" s="70"/>
      <c r="G479" s="70"/>
      <c r="H479" s="54"/>
      <c r="I479" s="70"/>
      <c r="J479" s="70"/>
      <c r="K479" s="70"/>
      <c r="L479" s="70"/>
      <c r="M479" s="70"/>
      <c r="N479" s="70"/>
      <c r="O479" s="70"/>
      <c r="P479" s="70"/>
      <c r="Q479" s="70"/>
      <c r="R479" s="70"/>
      <c r="S479" s="70"/>
      <c r="T479" s="70"/>
      <c r="U479" s="70"/>
      <c r="V479" s="70"/>
      <c r="W479" s="70"/>
      <c r="X479" s="70"/>
      <c r="Y479" s="70"/>
      <c r="Z479" s="70"/>
      <c r="AA479" s="70"/>
      <c r="AB479" s="70"/>
      <c r="AC479" s="70"/>
      <c r="AD479" s="70"/>
      <c r="AE479" s="70"/>
      <c r="AF479" s="70"/>
      <c r="AG479" s="70"/>
      <c r="AH479" s="70"/>
      <c r="AI479" s="70"/>
      <c r="AJ479" s="70"/>
      <c r="AK479" s="70"/>
      <c r="AL479" s="70"/>
      <c r="AM479" s="70"/>
      <c r="AN479" s="70"/>
      <c r="AO479" s="70"/>
      <c r="AP479" s="70"/>
      <c r="AQ479" s="70"/>
      <c r="AR479" s="70"/>
      <c r="AS479" s="70"/>
      <c r="AT479" s="70"/>
    </row>
    <row r="480" spans="1:46">
      <c r="A480" s="70"/>
      <c r="B480" s="70"/>
      <c r="C480" s="70"/>
      <c r="D480" s="70"/>
      <c r="E480" s="70"/>
      <c r="F480" s="70"/>
      <c r="G480" s="70"/>
      <c r="H480" s="54"/>
      <c r="I480" s="70"/>
      <c r="J480" s="70"/>
      <c r="K480" s="70"/>
      <c r="L480" s="70"/>
      <c r="M480" s="70"/>
      <c r="N480" s="70"/>
      <c r="O480" s="70"/>
      <c r="P480" s="70"/>
      <c r="Q480" s="70"/>
      <c r="R480" s="70"/>
      <c r="S480" s="70"/>
      <c r="T480" s="70"/>
      <c r="U480" s="70"/>
      <c r="V480" s="70"/>
      <c r="W480" s="70"/>
      <c r="X480" s="70"/>
      <c r="Y480" s="70"/>
      <c r="Z480" s="70"/>
      <c r="AA480" s="70"/>
      <c r="AB480" s="70"/>
      <c r="AC480" s="70"/>
      <c r="AD480" s="70"/>
      <c r="AE480" s="70"/>
      <c r="AF480" s="70"/>
      <c r="AG480" s="70"/>
      <c r="AH480" s="70"/>
      <c r="AI480" s="70"/>
      <c r="AJ480" s="70"/>
      <c r="AK480" s="70"/>
      <c r="AL480" s="70"/>
      <c r="AM480" s="70"/>
      <c r="AN480" s="70"/>
      <c r="AO480" s="70"/>
      <c r="AP480" s="70"/>
      <c r="AQ480" s="70"/>
      <c r="AR480" s="70"/>
      <c r="AS480" s="70"/>
      <c r="AT480" s="70"/>
    </row>
    <row r="481" spans="1:46">
      <c r="A481" s="70"/>
      <c r="B481" s="70"/>
      <c r="C481" s="70"/>
      <c r="D481" s="70"/>
      <c r="E481" s="70"/>
      <c r="F481" s="70"/>
      <c r="G481" s="70"/>
      <c r="H481" s="54"/>
      <c r="I481" s="70"/>
      <c r="J481" s="70"/>
      <c r="K481" s="70"/>
      <c r="L481" s="70"/>
      <c r="M481" s="70"/>
      <c r="N481" s="70"/>
      <c r="O481" s="70"/>
      <c r="P481" s="70"/>
      <c r="Q481" s="70"/>
      <c r="R481" s="70"/>
      <c r="S481" s="70"/>
      <c r="T481" s="70"/>
      <c r="U481" s="70"/>
      <c r="V481" s="70"/>
      <c r="W481" s="70"/>
      <c r="X481" s="70"/>
      <c r="Y481" s="70"/>
      <c r="Z481" s="70"/>
      <c r="AA481" s="70"/>
      <c r="AB481" s="70"/>
      <c r="AC481" s="70"/>
      <c r="AD481" s="70"/>
      <c r="AE481" s="70"/>
      <c r="AF481" s="70"/>
      <c r="AG481" s="70"/>
      <c r="AH481" s="70"/>
      <c r="AI481" s="70"/>
      <c r="AJ481" s="70"/>
      <c r="AK481" s="70"/>
      <c r="AL481" s="70"/>
      <c r="AM481" s="70"/>
      <c r="AN481" s="70"/>
      <c r="AO481" s="70"/>
      <c r="AP481" s="70"/>
      <c r="AQ481" s="70"/>
      <c r="AR481" s="70"/>
      <c r="AS481" s="70"/>
      <c r="AT481" s="70"/>
    </row>
    <row r="482" spans="1:46">
      <c r="A482" s="70"/>
      <c r="B482" s="70"/>
      <c r="C482" s="70"/>
      <c r="D482" s="70"/>
      <c r="E482" s="70"/>
      <c r="F482" s="70"/>
      <c r="G482" s="70"/>
      <c r="H482" s="54"/>
      <c r="I482" s="70"/>
      <c r="J482" s="70"/>
      <c r="K482" s="70"/>
      <c r="L482" s="70"/>
      <c r="M482" s="70"/>
      <c r="N482" s="70"/>
      <c r="O482" s="70"/>
      <c r="P482" s="70"/>
      <c r="Q482" s="70"/>
      <c r="R482" s="70"/>
      <c r="S482" s="70"/>
      <c r="T482" s="70"/>
      <c r="U482" s="70"/>
      <c r="V482" s="70"/>
      <c r="W482" s="70"/>
      <c r="X482" s="70"/>
      <c r="Y482" s="70"/>
      <c r="Z482" s="70"/>
      <c r="AA482" s="70"/>
      <c r="AB482" s="70"/>
      <c r="AC482" s="70"/>
      <c r="AD482" s="70"/>
      <c r="AE482" s="70"/>
      <c r="AF482" s="70"/>
      <c r="AG482" s="70"/>
      <c r="AH482" s="70"/>
      <c r="AI482" s="70"/>
      <c r="AJ482" s="70"/>
      <c r="AK482" s="70"/>
      <c r="AL482" s="70"/>
      <c r="AM482" s="70"/>
      <c r="AN482" s="70"/>
      <c r="AO482" s="70"/>
      <c r="AP482" s="70"/>
      <c r="AQ482" s="70"/>
      <c r="AR482" s="70"/>
      <c r="AS482" s="70"/>
      <c r="AT482" s="70"/>
    </row>
    <row r="483" spans="1:46">
      <c r="A483" s="70"/>
      <c r="B483" s="70"/>
      <c r="C483" s="70"/>
      <c r="D483" s="70"/>
      <c r="E483" s="70"/>
      <c r="F483" s="70"/>
      <c r="G483" s="70"/>
      <c r="H483" s="54"/>
      <c r="I483" s="70"/>
      <c r="J483" s="70"/>
      <c r="K483" s="70"/>
      <c r="L483" s="70"/>
      <c r="M483" s="70"/>
      <c r="N483" s="70"/>
      <c r="O483" s="70"/>
      <c r="P483" s="70"/>
      <c r="Q483" s="70"/>
      <c r="R483" s="70"/>
      <c r="S483" s="70"/>
      <c r="T483" s="70"/>
      <c r="U483" s="70"/>
      <c r="V483" s="70"/>
      <c r="W483" s="70"/>
      <c r="X483" s="70"/>
      <c r="Y483" s="70"/>
      <c r="Z483" s="70"/>
      <c r="AA483" s="70"/>
      <c r="AB483" s="70"/>
      <c r="AC483" s="70"/>
      <c r="AD483" s="70"/>
      <c r="AE483" s="70"/>
      <c r="AF483" s="70"/>
      <c r="AG483" s="70"/>
      <c r="AH483" s="70"/>
      <c r="AI483" s="70"/>
      <c r="AJ483" s="70"/>
      <c r="AK483" s="70"/>
      <c r="AL483" s="70"/>
      <c r="AM483" s="70"/>
      <c r="AN483" s="70"/>
      <c r="AO483" s="70"/>
      <c r="AP483" s="70"/>
      <c r="AQ483" s="70"/>
      <c r="AR483" s="70"/>
      <c r="AS483" s="70"/>
      <c r="AT483" s="70"/>
    </row>
    <row r="484" spans="1:46">
      <c r="A484" s="70"/>
      <c r="B484" s="70"/>
      <c r="C484" s="70"/>
      <c r="D484" s="70"/>
      <c r="E484" s="70"/>
      <c r="F484" s="70"/>
      <c r="G484" s="70"/>
      <c r="H484" s="54"/>
      <c r="I484" s="70"/>
      <c r="J484" s="70"/>
      <c r="K484" s="70"/>
      <c r="L484" s="70"/>
      <c r="M484" s="70"/>
      <c r="N484" s="70"/>
      <c r="O484" s="70"/>
      <c r="P484" s="70"/>
      <c r="Q484" s="70"/>
      <c r="R484" s="70"/>
      <c r="S484" s="70"/>
      <c r="T484" s="70"/>
      <c r="U484" s="70"/>
      <c r="V484" s="70"/>
      <c r="W484" s="70"/>
      <c r="X484" s="70"/>
      <c r="Y484" s="70"/>
      <c r="Z484" s="70"/>
      <c r="AA484" s="70"/>
      <c r="AB484" s="70"/>
      <c r="AC484" s="70"/>
      <c r="AD484" s="70"/>
      <c r="AE484" s="70"/>
      <c r="AF484" s="70"/>
      <c r="AG484" s="70"/>
      <c r="AH484" s="70"/>
      <c r="AI484" s="70"/>
      <c r="AJ484" s="70"/>
      <c r="AK484" s="70"/>
      <c r="AL484" s="70"/>
      <c r="AM484" s="70"/>
      <c r="AN484" s="70"/>
      <c r="AO484" s="70"/>
      <c r="AP484" s="70"/>
      <c r="AQ484" s="70"/>
      <c r="AR484" s="70"/>
      <c r="AS484" s="70"/>
      <c r="AT484" s="70"/>
    </row>
    <row r="485" spans="1:46">
      <c r="A485" s="70"/>
      <c r="B485" s="70"/>
      <c r="C485" s="70"/>
      <c r="D485" s="70"/>
      <c r="E485" s="70"/>
      <c r="F485" s="70"/>
      <c r="G485" s="70"/>
      <c r="H485" s="54"/>
      <c r="I485" s="70"/>
      <c r="J485" s="70"/>
      <c r="K485" s="70"/>
      <c r="L485" s="70"/>
      <c r="M485" s="70"/>
      <c r="N485" s="70"/>
      <c r="O485" s="70"/>
      <c r="P485" s="70"/>
      <c r="Q485" s="70"/>
      <c r="R485" s="70"/>
      <c r="S485" s="70"/>
      <c r="T485" s="70"/>
      <c r="U485" s="70"/>
      <c r="V485" s="70"/>
      <c r="W485" s="70"/>
      <c r="X485" s="70"/>
      <c r="Y485" s="70"/>
      <c r="Z485" s="70"/>
      <c r="AA485" s="70"/>
      <c r="AB485" s="70"/>
      <c r="AC485" s="70"/>
      <c r="AD485" s="70"/>
      <c r="AE485" s="70"/>
      <c r="AF485" s="70"/>
      <c r="AG485" s="70"/>
      <c r="AH485" s="70"/>
      <c r="AI485" s="70"/>
      <c r="AJ485" s="70"/>
      <c r="AK485" s="70"/>
      <c r="AL485" s="70"/>
      <c r="AM485" s="70"/>
      <c r="AN485" s="70"/>
      <c r="AO485" s="70"/>
      <c r="AP485" s="70"/>
      <c r="AQ485" s="70"/>
      <c r="AR485" s="70"/>
      <c r="AS485" s="70"/>
      <c r="AT485" s="70"/>
    </row>
    <row r="486" spans="1:46">
      <c r="A486" s="70"/>
      <c r="B486" s="70"/>
      <c r="C486" s="70"/>
      <c r="D486" s="70"/>
      <c r="E486" s="70"/>
      <c r="F486" s="70"/>
      <c r="G486" s="70"/>
      <c r="H486" s="54"/>
      <c r="I486" s="70"/>
      <c r="J486" s="70"/>
      <c r="K486" s="70"/>
      <c r="L486" s="70"/>
      <c r="M486" s="70"/>
      <c r="N486" s="70"/>
      <c r="O486" s="70"/>
      <c r="P486" s="70"/>
      <c r="Q486" s="70"/>
      <c r="R486" s="70"/>
      <c r="S486" s="70"/>
      <c r="T486" s="70"/>
      <c r="U486" s="70"/>
      <c r="V486" s="70"/>
      <c r="W486" s="70"/>
      <c r="X486" s="70"/>
      <c r="Y486" s="70"/>
      <c r="Z486" s="70"/>
      <c r="AA486" s="70"/>
      <c r="AB486" s="70"/>
      <c r="AC486" s="70"/>
      <c r="AD486" s="70"/>
      <c r="AE486" s="70"/>
      <c r="AF486" s="70"/>
      <c r="AG486" s="70"/>
      <c r="AH486" s="70"/>
      <c r="AI486" s="70"/>
      <c r="AJ486" s="70"/>
      <c r="AK486" s="70"/>
      <c r="AL486" s="70"/>
      <c r="AM486" s="70"/>
      <c r="AN486" s="70"/>
      <c r="AO486" s="70"/>
      <c r="AP486" s="70"/>
      <c r="AQ486" s="70"/>
      <c r="AR486" s="70"/>
      <c r="AS486" s="70"/>
      <c r="AT486" s="70"/>
    </row>
    <row r="487" spans="1:46">
      <c r="A487" s="70"/>
      <c r="B487" s="70"/>
      <c r="C487" s="70"/>
      <c r="D487" s="70"/>
      <c r="E487" s="70"/>
      <c r="F487" s="70"/>
      <c r="G487" s="70"/>
      <c r="H487" s="54"/>
      <c r="I487" s="70"/>
      <c r="J487" s="70"/>
      <c r="K487" s="70"/>
      <c r="L487" s="70"/>
      <c r="M487" s="70"/>
      <c r="N487" s="70"/>
      <c r="O487" s="70"/>
      <c r="P487" s="70"/>
      <c r="Q487" s="70"/>
      <c r="R487" s="70"/>
      <c r="S487" s="70"/>
      <c r="T487" s="70"/>
      <c r="U487" s="70"/>
      <c r="V487" s="70"/>
      <c r="W487" s="70"/>
      <c r="X487" s="70"/>
      <c r="Y487" s="70"/>
      <c r="Z487" s="70"/>
      <c r="AA487" s="70"/>
      <c r="AB487" s="70"/>
      <c r="AC487" s="70"/>
      <c r="AD487" s="70"/>
      <c r="AE487" s="70"/>
      <c r="AF487" s="70"/>
      <c r="AG487" s="70"/>
      <c r="AH487" s="70"/>
      <c r="AI487" s="70"/>
      <c r="AJ487" s="70"/>
      <c r="AK487" s="70"/>
      <c r="AL487" s="70"/>
      <c r="AM487" s="70"/>
      <c r="AN487" s="70"/>
      <c r="AO487" s="70"/>
      <c r="AP487" s="70"/>
      <c r="AQ487" s="70"/>
      <c r="AR487" s="70"/>
      <c r="AS487" s="70"/>
      <c r="AT487" s="70"/>
    </row>
    <row r="488" spans="1:46">
      <c r="A488" s="70"/>
      <c r="B488" s="70"/>
      <c r="C488" s="70"/>
      <c r="D488" s="70"/>
      <c r="E488" s="70"/>
      <c r="F488" s="70"/>
      <c r="G488" s="70"/>
      <c r="H488" s="54"/>
      <c r="I488" s="70"/>
      <c r="J488" s="70"/>
      <c r="K488" s="70"/>
      <c r="L488" s="70"/>
      <c r="M488" s="70"/>
      <c r="N488" s="70"/>
      <c r="O488" s="70"/>
      <c r="P488" s="70"/>
      <c r="Q488" s="70"/>
      <c r="R488" s="70"/>
      <c r="S488" s="70"/>
      <c r="T488" s="70"/>
      <c r="U488" s="70"/>
      <c r="V488" s="70"/>
      <c r="W488" s="70"/>
      <c r="X488" s="70"/>
      <c r="Y488" s="70"/>
      <c r="Z488" s="70"/>
      <c r="AA488" s="70"/>
      <c r="AB488" s="70"/>
      <c r="AC488" s="70"/>
      <c r="AD488" s="70"/>
      <c r="AE488" s="70"/>
      <c r="AF488" s="70"/>
      <c r="AG488" s="70"/>
      <c r="AH488" s="70"/>
      <c r="AI488" s="70"/>
      <c r="AJ488" s="70"/>
      <c r="AK488" s="70"/>
      <c r="AL488" s="70"/>
      <c r="AM488" s="70"/>
      <c r="AN488" s="70"/>
      <c r="AO488" s="70"/>
      <c r="AP488" s="70"/>
      <c r="AQ488" s="70"/>
      <c r="AR488" s="70"/>
      <c r="AS488" s="70"/>
      <c r="AT488" s="70"/>
    </row>
    <row r="489" spans="1:46">
      <c r="A489" s="70"/>
      <c r="B489" s="70"/>
      <c r="C489" s="70"/>
      <c r="D489" s="70"/>
      <c r="E489" s="70"/>
      <c r="F489" s="70"/>
      <c r="G489" s="70"/>
      <c r="H489" s="54"/>
      <c r="I489" s="70"/>
      <c r="J489" s="70"/>
      <c r="K489" s="70"/>
      <c r="L489" s="70"/>
      <c r="M489" s="70"/>
      <c r="N489" s="70"/>
      <c r="O489" s="70"/>
      <c r="P489" s="70"/>
      <c r="Q489" s="70"/>
      <c r="R489" s="70"/>
      <c r="S489" s="70"/>
      <c r="T489" s="70"/>
      <c r="U489" s="70"/>
      <c r="V489" s="70"/>
      <c r="W489" s="70"/>
      <c r="X489" s="70"/>
      <c r="Y489" s="70"/>
      <c r="Z489" s="70"/>
      <c r="AA489" s="70"/>
      <c r="AB489" s="70"/>
      <c r="AC489" s="70"/>
      <c r="AD489" s="70"/>
      <c r="AE489" s="70"/>
      <c r="AF489" s="70"/>
      <c r="AG489" s="70"/>
      <c r="AH489" s="70"/>
      <c r="AI489" s="70"/>
      <c r="AJ489" s="70"/>
      <c r="AK489" s="70"/>
      <c r="AL489" s="70"/>
      <c r="AM489" s="70"/>
      <c r="AN489" s="70"/>
      <c r="AO489" s="70"/>
      <c r="AP489" s="70"/>
      <c r="AQ489" s="70"/>
      <c r="AR489" s="70"/>
      <c r="AS489" s="70"/>
      <c r="AT489" s="70"/>
    </row>
    <row r="490" spans="1:46">
      <c r="A490" s="70"/>
      <c r="B490" s="70"/>
      <c r="C490" s="70"/>
      <c r="D490" s="70"/>
      <c r="E490" s="70"/>
      <c r="F490" s="70"/>
      <c r="G490" s="70"/>
      <c r="H490" s="54"/>
      <c r="I490" s="70"/>
      <c r="J490" s="70"/>
      <c r="K490" s="70"/>
      <c r="L490" s="70"/>
      <c r="M490" s="70"/>
      <c r="N490" s="70"/>
      <c r="O490" s="70"/>
      <c r="P490" s="70"/>
      <c r="Q490" s="70"/>
      <c r="R490" s="70"/>
      <c r="S490" s="70"/>
      <c r="T490" s="70"/>
      <c r="U490" s="70"/>
      <c r="V490" s="70"/>
      <c r="W490" s="70"/>
      <c r="X490" s="70"/>
      <c r="Y490" s="70"/>
      <c r="Z490" s="70"/>
      <c r="AA490" s="70"/>
      <c r="AB490" s="70"/>
      <c r="AC490" s="70"/>
      <c r="AD490" s="70"/>
      <c r="AE490" s="70"/>
      <c r="AF490" s="70"/>
      <c r="AG490" s="70"/>
      <c r="AH490" s="70"/>
      <c r="AI490" s="70"/>
      <c r="AJ490" s="70"/>
      <c r="AK490" s="70"/>
      <c r="AL490" s="70"/>
      <c r="AM490" s="70"/>
      <c r="AN490" s="70"/>
      <c r="AO490" s="70"/>
      <c r="AP490" s="70"/>
      <c r="AQ490" s="70"/>
      <c r="AR490" s="70"/>
      <c r="AS490" s="70"/>
      <c r="AT490" s="70"/>
    </row>
    <row r="491" spans="1:46">
      <c r="A491" s="70"/>
      <c r="B491" s="70"/>
      <c r="C491" s="70"/>
      <c r="D491" s="70"/>
      <c r="E491" s="70"/>
      <c r="F491" s="70"/>
      <c r="G491" s="70"/>
      <c r="H491" s="54"/>
      <c r="I491" s="70"/>
      <c r="J491" s="70"/>
      <c r="K491" s="70"/>
      <c r="L491" s="70"/>
      <c r="M491" s="70"/>
      <c r="N491" s="70"/>
      <c r="O491" s="70"/>
      <c r="P491" s="70"/>
      <c r="Q491" s="70"/>
      <c r="R491" s="70"/>
      <c r="S491" s="70"/>
      <c r="T491" s="70"/>
      <c r="U491" s="70"/>
      <c r="V491" s="70"/>
      <c r="W491" s="70"/>
      <c r="X491" s="70"/>
      <c r="Y491" s="70"/>
      <c r="Z491" s="70"/>
      <c r="AA491" s="70"/>
      <c r="AB491" s="70"/>
      <c r="AC491" s="70"/>
      <c r="AD491" s="70"/>
      <c r="AE491" s="70"/>
      <c r="AF491" s="70"/>
      <c r="AG491" s="70"/>
      <c r="AH491" s="70"/>
      <c r="AI491" s="70"/>
      <c r="AJ491" s="70"/>
      <c r="AK491" s="70"/>
      <c r="AL491" s="70"/>
      <c r="AM491" s="70"/>
      <c r="AN491" s="70"/>
      <c r="AO491" s="70"/>
      <c r="AP491" s="70"/>
      <c r="AQ491" s="70"/>
      <c r="AR491" s="70"/>
      <c r="AS491" s="70"/>
      <c r="AT491" s="70"/>
    </row>
    <row r="492" spans="1:46">
      <c r="A492" s="70"/>
      <c r="B492" s="70"/>
      <c r="C492" s="70"/>
      <c r="D492" s="70"/>
      <c r="E492" s="70"/>
      <c r="F492" s="70"/>
      <c r="G492" s="70"/>
      <c r="H492" s="54"/>
      <c r="I492" s="70"/>
      <c r="J492" s="70"/>
      <c r="K492" s="70"/>
      <c r="L492" s="70"/>
      <c r="M492" s="70"/>
      <c r="N492" s="70"/>
      <c r="O492" s="70"/>
      <c r="P492" s="70"/>
      <c r="Q492" s="70"/>
      <c r="R492" s="70"/>
      <c r="S492" s="70"/>
      <c r="T492" s="70"/>
      <c r="U492" s="70"/>
      <c r="V492" s="70"/>
      <c r="W492" s="70"/>
      <c r="X492" s="70"/>
      <c r="Y492" s="70"/>
      <c r="Z492" s="70"/>
      <c r="AA492" s="70"/>
      <c r="AB492" s="70"/>
      <c r="AC492" s="70"/>
      <c r="AD492" s="70"/>
      <c r="AE492" s="70"/>
      <c r="AF492" s="70"/>
      <c r="AG492" s="70"/>
      <c r="AH492" s="70"/>
      <c r="AI492" s="70"/>
      <c r="AJ492" s="70"/>
      <c r="AK492" s="70"/>
      <c r="AL492" s="70"/>
      <c r="AM492" s="70"/>
      <c r="AN492" s="70"/>
      <c r="AO492" s="70"/>
      <c r="AP492" s="70"/>
      <c r="AQ492" s="70"/>
      <c r="AR492" s="70"/>
      <c r="AS492" s="70"/>
      <c r="AT492" s="70"/>
    </row>
    <row r="493" spans="1:46">
      <c r="A493" s="70"/>
      <c r="B493" s="70"/>
      <c r="C493" s="70"/>
      <c r="D493" s="70"/>
      <c r="E493" s="70"/>
      <c r="F493" s="70"/>
      <c r="G493" s="70"/>
      <c r="H493" s="54"/>
      <c r="I493" s="70"/>
      <c r="J493" s="70"/>
      <c r="K493" s="70"/>
      <c r="L493" s="70"/>
      <c r="M493" s="70"/>
      <c r="N493" s="70"/>
      <c r="O493" s="70"/>
      <c r="P493" s="70"/>
      <c r="Q493" s="70"/>
      <c r="R493" s="70"/>
      <c r="S493" s="70"/>
      <c r="T493" s="70"/>
      <c r="U493" s="70"/>
      <c r="V493" s="70"/>
      <c r="W493" s="70"/>
      <c r="X493" s="70"/>
      <c r="Y493" s="70"/>
      <c r="Z493" s="70"/>
      <c r="AA493" s="70"/>
      <c r="AB493" s="70"/>
      <c r="AC493" s="70"/>
      <c r="AD493" s="70"/>
      <c r="AE493" s="70"/>
      <c r="AF493" s="70"/>
      <c r="AG493" s="70"/>
      <c r="AH493" s="70"/>
      <c r="AI493" s="70"/>
      <c r="AJ493" s="70"/>
      <c r="AK493" s="70"/>
      <c r="AL493" s="70"/>
      <c r="AM493" s="70"/>
      <c r="AN493" s="70"/>
      <c r="AO493" s="70"/>
      <c r="AP493" s="70"/>
      <c r="AQ493" s="70"/>
      <c r="AR493" s="70"/>
      <c r="AS493" s="70"/>
      <c r="AT493" s="70"/>
    </row>
    <row r="494" spans="1:46">
      <c r="A494" s="70"/>
      <c r="B494" s="70"/>
      <c r="C494" s="70"/>
      <c r="D494" s="70"/>
      <c r="E494" s="70"/>
      <c r="F494" s="70"/>
      <c r="G494" s="70"/>
      <c r="H494" s="54"/>
      <c r="I494" s="70"/>
      <c r="J494" s="70"/>
      <c r="K494" s="70"/>
      <c r="L494" s="70"/>
      <c r="M494" s="70"/>
      <c r="N494" s="70"/>
      <c r="O494" s="70"/>
      <c r="P494" s="70"/>
      <c r="Q494" s="70"/>
      <c r="R494" s="70"/>
      <c r="S494" s="70"/>
      <c r="T494" s="70"/>
      <c r="U494" s="70"/>
      <c r="V494" s="70"/>
      <c r="W494" s="70"/>
      <c r="X494" s="70"/>
      <c r="Y494" s="70"/>
      <c r="Z494" s="70"/>
      <c r="AA494" s="70"/>
      <c r="AB494" s="70"/>
      <c r="AC494" s="70"/>
      <c r="AD494" s="70"/>
      <c r="AE494" s="70"/>
      <c r="AF494" s="70"/>
      <c r="AG494" s="70"/>
      <c r="AH494" s="70"/>
      <c r="AI494" s="70"/>
      <c r="AJ494" s="70"/>
      <c r="AK494" s="70"/>
      <c r="AL494" s="70"/>
      <c r="AM494" s="70"/>
      <c r="AN494" s="70"/>
      <c r="AO494" s="70"/>
      <c r="AP494" s="70"/>
      <c r="AQ494" s="70"/>
      <c r="AR494" s="70"/>
      <c r="AS494" s="70"/>
      <c r="AT494" s="70"/>
    </row>
    <row r="495" spans="1:46">
      <c r="A495" s="70"/>
      <c r="B495" s="70"/>
      <c r="C495" s="70"/>
      <c r="D495" s="70"/>
      <c r="E495" s="70"/>
      <c r="F495" s="70"/>
      <c r="G495" s="70"/>
      <c r="H495" s="54"/>
      <c r="I495" s="70"/>
      <c r="J495" s="70"/>
      <c r="K495" s="70"/>
      <c r="L495" s="70"/>
      <c r="M495" s="70"/>
      <c r="N495" s="70"/>
      <c r="O495" s="70"/>
      <c r="P495" s="70"/>
      <c r="Q495" s="70"/>
      <c r="R495" s="70"/>
      <c r="S495" s="70"/>
      <c r="T495" s="70"/>
      <c r="U495" s="70"/>
      <c r="V495" s="70"/>
      <c r="W495" s="70"/>
      <c r="X495" s="70"/>
      <c r="Y495" s="70"/>
      <c r="Z495" s="70"/>
      <c r="AA495" s="70"/>
      <c r="AB495" s="70"/>
      <c r="AC495" s="70"/>
      <c r="AD495" s="70"/>
      <c r="AE495" s="70"/>
      <c r="AF495" s="70"/>
      <c r="AG495" s="70"/>
      <c r="AH495" s="70"/>
      <c r="AI495" s="70"/>
      <c r="AJ495" s="70"/>
      <c r="AK495" s="70"/>
      <c r="AL495" s="70"/>
      <c r="AM495" s="70"/>
      <c r="AN495" s="70"/>
      <c r="AO495" s="70"/>
      <c r="AP495" s="70"/>
      <c r="AQ495" s="70"/>
      <c r="AR495" s="70"/>
      <c r="AS495" s="70"/>
      <c r="AT495" s="70"/>
    </row>
    <row r="496" spans="1:46">
      <c r="A496" s="70"/>
      <c r="B496" s="70"/>
      <c r="C496" s="70"/>
      <c r="D496" s="70"/>
      <c r="E496" s="70"/>
      <c r="F496" s="70"/>
      <c r="G496" s="70"/>
      <c r="H496" s="54"/>
      <c r="I496" s="70"/>
      <c r="J496" s="70"/>
      <c r="K496" s="70"/>
      <c r="L496" s="70"/>
      <c r="M496" s="70"/>
      <c r="N496" s="70"/>
      <c r="O496" s="70"/>
      <c r="P496" s="70"/>
      <c r="Q496" s="70"/>
      <c r="R496" s="70"/>
      <c r="S496" s="70"/>
      <c r="T496" s="70"/>
      <c r="U496" s="70"/>
      <c r="V496" s="70"/>
      <c r="W496" s="70"/>
      <c r="X496" s="70"/>
      <c r="Y496" s="70"/>
      <c r="Z496" s="70"/>
      <c r="AA496" s="70"/>
      <c r="AB496" s="70"/>
      <c r="AC496" s="70"/>
      <c r="AD496" s="70"/>
      <c r="AE496" s="70"/>
      <c r="AF496" s="70"/>
      <c r="AG496" s="70"/>
      <c r="AH496" s="70"/>
      <c r="AI496" s="70"/>
      <c r="AJ496" s="70"/>
      <c r="AK496" s="70"/>
      <c r="AL496" s="70"/>
      <c r="AM496" s="70"/>
      <c r="AN496" s="70"/>
      <c r="AO496" s="70"/>
      <c r="AP496" s="70"/>
      <c r="AQ496" s="70"/>
      <c r="AR496" s="70"/>
      <c r="AS496" s="70"/>
      <c r="AT496" s="70"/>
    </row>
    <row r="497" spans="1:46">
      <c r="A497" s="70"/>
      <c r="B497" s="70"/>
      <c r="C497" s="70"/>
      <c r="D497" s="70"/>
      <c r="E497" s="70"/>
      <c r="F497" s="70"/>
      <c r="G497" s="70"/>
      <c r="H497" s="54"/>
      <c r="I497" s="70"/>
      <c r="J497" s="70"/>
      <c r="K497" s="70"/>
      <c r="L497" s="70"/>
      <c r="M497" s="70"/>
      <c r="N497" s="70"/>
      <c r="O497" s="70"/>
      <c r="P497" s="70"/>
      <c r="Q497" s="70"/>
      <c r="R497" s="70"/>
      <c r="S497" s="70"/>
      <c r="T497" s="70"/>
      <c r="U497" s="70"/>
      <c r="V497" s="70"/>
      <c r="W497" s="70"/>
      <c r="X497" s="70"/>
      <c r="Y497" s="70"/>
      <c r="Z497" s="70"/>
      <c r="AA497" s="70"/>
      <c r="AB497" s="70"/>
      <c r="AC497" s="70"/>
      <c r="AD497" s="70"/>
      <c r="AE497" s="70"/>
      <c r="AF497" s="70"/>
      <c r="AG497" s="70"/>
      <c r="AH497" s="70"/>
      <c r="AI497" s="70"/>
      <c r="AJ497" s="70"/>
      <c r="AK497" s="70"/>
      <c r="AL497" s="70"/>
      <c r="AM497" s="70"/>
      <c r="AN497" s="70"/>
      <c r="AO497" s="70"/>
      <c r="AP497" s="70"/>
      <c r="AQ497" s="70"/>
      <c r="AR497" s="70"/>
      <c r="AS497" s="70"/>
      <c r="AT497" s="70"/>
    </row>
    <row r="498" spans="1:46">
      <c r="A498" s="70"/>
      <c r="B498" s="70"/>
      <c r="C498" s="70"/>
      <c r="D498" s="70"/>
      <c r="E498" s="70"/>
      <c r="F498" s="70"/>
      <c r="G498" s="70"/>
      <c r="H498" s="54"/>
      <c r="I498" s="70"/>
      <c r="J498" s="70"/>
      <c r="K498" s="70"/>
      <c r="L498" s="70"/>
      <c r="M498" s="70"/>
      <c r="N498" s="70"/>
      <c r="O498" s="70"/>
      <c r="P498" s="70"/>
      <c r="Q498" s="70"/>
      <c r="R498" s="70"/>
      <c r="S498" s="70"/>
      <c r="T498" s="70"/>
      <c r="U498" s="70"/>
      <c r="V498" s="70"/>
      <c r="W498" s="70"/>
      <c r="X498" s="70"/>
      <c r="Y498" s="70"/>
      <c r="Z498" s="70"/>
      <c r="AA498" s="70"/>
      <c r="AB498" s="70"/>
      <c r="AC498" s="70"/>
      <c r="AD498" s="70"/>
      <c r="AE498" s="70"/>
      <c r="AF498" s="70"/>
      <c r="AG498" s="70"/>
      <c r="AH498" s="70"/>
      <c r="AI498" s="70"/>
      <c r="AJ498" s="70"/>
      <c r="AK498" s="70"/>
      <c r="AL498" s="70"/>
      <c r="AM498" s="70"/>
      <c r="AN498" s="70"/>
      <c r="AO498" s="70"/>
      <c r="AP498" s="70"/>
      <c r="AQ498" s="70"/>
      <c r="AR498" s="70"/>
      <c r="AS498" s="70"/>
      <c r="AT498" s="70"/>
    </row>
    <row r="499" spans="1:46">
      <c r="A499" s="70"/>
      <c r="B499" s="70"/>
      <c r="C499" s="70"/>
      <c r="D499" s="70"/>
      <c r="E499" s="70"/>
      <c r="F499" s="70"/>
      <c r="G499" s="70"/>
      <c r="H499" s="54"/>
      <c r="I499" s="70"/>
      <c r="J499" s="70"/>
      <c r="K499" s="70"/>
      <c r="L499" s="70"/>
      <c r="M499" s="70"/>
      <c r="N499" s="70"/>
      <c r="O499" s="70"/>
      <c r="P499" s="70"/>
      <c r="Q499" s="70"/>
      <c r="R499" s="70"/>
      <c r="S499" s="70"/>
      <c r="T499" s="70"/>
      <c r="U499" s="70"/>
      <c r="V499" s="70"/>
      <c r="W499" s="70"/>
      <c r="X499" s="70"/>
      <c r="Y499" s="70"/>
      <c r="Z499" s="70"/>
      <c r="AA499" s="70"/>
      <c r="AB499" s="70"/>
      <c r="AC499" s="70"/>
      <c r="AD499" s="70"/>
      <c r="AE499" s="70"/>
      <c r="AF499" s="70"/>
      <c r="AG499" s="70"/>
      <c r="AH499" s="70"/>
      <c r="AI499" s="70"/>
      <c r="AJ499" s="70"/>
      <c r="AK499" s="70"/>
      <c r="AL499" s="70"/>
      <c r="AM499" s="70"/>
      <c r="AN499" s="70"/>
      <c r="AO499" s="70"/>
      <c r="AP499" s="70"/>
      <c r="AQ499" s="70"/>
      <c r="AR499" s="70"/>
      <c r="AS499" s="70"/>
      <c r="AT499" s="70"/>
    </row>
    <row r="500" spans="1:46">
      <c r="A500" s="70"/>
      <c r="B500" s="70"/>
      <c r="C500" s="70"/>
      <c r="D500" s="70"/>
      <c r="E500" s="70"/>
      <c r="F500" s="70"/>
      <c r="G500" s="70"/>
      <c r="H500" s="54"/>
      <c r="I500" s="70"/>
      <c r="J500" s="70"/>
      <c r="K500" s="70"/>
      <c r="L500" s="70"/>
      <c r="M500" s="70"/>
      <c r="N500" s="70"/>
      <c r="O500" s="70"/>
      <c r="P500" s="70"/>
      <c r="Q500" s="70"/>
      <c r="R500" s="70"/>
      <c r="S500" s="70"/>
      <c r="T500" s="70"/>
      <c r="U500" s="70"/>
      <c r="V500" s="70"/>
      <c r="W500" s="70"/>
      <c r="X500" s="70"/>
      <c r="Y500" s="70"/>
      <c r="Z500" s="70"/>
      <c r="AA500" s="70"/>
      <c r="AB500" s="70"/>
      <c r="AC500" s="70"/>
      <c r="AD500" s="70"/>
      <c r="AE500" s="70"/>
      <c r="AF500" s="70"/>
      <c r="AG500" s="70"/>
      <c r="AH500" s="70"/>
      <c r="AI500" s="70"/>
      <c r="AJ500" s="70"/>
      <c r="AK500" s="70"/>
      <c r="AL500" s="70"/>
      <c r="AM500" s="70"/>
      <c r="AN500" s="70"/>
      <c r="AO500" s="70"/>
      <c r="AP500" s="70"/>
      <c r="AQ500" s="70"/>
      <c r="AR500" s="70"/>
      <c r="AS500" s="70"/>
      <c r="AT500" s="70"/>
    </row>
    <row r="501" spans="1:46">
      <c r="A501" s="70"/>
      <c r="B501" s="70"/>
      <c r="C501" s="70"/>
      <c r="D501" s="70"/>
      <c r="E501" s="70"/>
      <c r="F501" s="70"/>
      <c r="G501" s="70"/>
      <c r="H501" s="54"/>
      <c r="I501" s="70"/>
      <c r="J501" s="70"/>
      <c r="K501" s="70"/>
      <c r="L501" s="70"/>
      <c r="M501" s="70"/>
      <c r="N501" s="70"/>
      <c r="O501" s="70"/>
      <c r="P501" s="70"/>
      <c r="Q501" s="70"/>
      <c r="R501" s="70"/>
      <c r="S501" s="70"/>
      <c r="T501" s="70"/>
      <c r="U501" s="70"/>
      <c r="V501" s="70"/>
      <c r="W501" s="70"/>
      <c r="X501" s="70"/>
      <c r="Y501" s="70"/>
      <c r="Z501" s="70"/>
      <c r="AA501" s="70"/>
      <c r="AB501" s="70"/>
      <c r="AC501" s="70"/>
      <c r="AD501" s="70"/>
      <c r="AE501" s="70"/>
      <c r="AF501" s="70"/>
      <c r="AG501" s="70"/>
      <c r="AH501" s="70"/>
      <c r="AI501" s="70"/>
      <c r="AJ501" s="70"/>
      <c r="AK501" s="70"/>
      <c r="AL501" s="70"/>
      <c r="AM501" s="70"/>
      <c r="AN501" s="70"/>
      <c r="AO501" s="70"/>
      <c r="AP501" s="70"/>
      <c r="AQ501" s="70"/>
      <c r="AR501" s="70"/>
      <c r="AS501" s="70"/>
      <c r="AT501" s="70"/>
    </row>
    <row r="502" spans="1:46">
      <c r="A502" s="70"/>
      <c r="B502" s="70"/>
      <c r="C502" s="70"/>
      <c r="D502" s="70"/>
      <c r="E502" s="70"/>
      <c r="F502" s="70"/>
      <c r="G502" s="70"/>
      <c r="H502" s="54"/>
      <c r="I502" s="70"/>
      <c r="J502" s="70"/>
      <c r="K502" s="70"/>
      <c r="L502" s="70"/>
      <c r="M502" s="70"/>
      <c r="N502" s="70"/>
      <c r="O502" s="70"/>
      <c r="P502" s="70"/>
      <c r="Q502" s="70"/>
      <c r="R502" s="70"/>
      <c r="S502" s="70"/>
      <c r="T502" s="70"/>
      <c r="U502" s="70"/>
      <c r="V502" s="70"/>
      <c r="W502" s="70"/>
      <c r="X502" s="70"/>
      <c r="Y502" s="70"/>
      <c r="Z502" s="70"/>
      <c r="AA502" s="70"/>
      <c r="AB502" s="70"/>
      <c r="AC502" s="70"/>
      <c r="AD502" s="70"/>
      <c r="AE502" s="70"/>
      <c r="AF502" s="70"/>
      <c r="AG502" s="70"/>
      <c r="AH502" s="70"/>
      <c r="AI502" s="70"/>
      <c r="AJ502" s="70"/>
      <c r="AK502" s="70"/>
      <c r="AL502" s="70"/>
      <c r="AM502" s="70"/>
      <c r="AN502" s="70"/>
      <c r="AO502" s="70"/>
      <c r="AP502" s="70"/>
      <c r="AQ502" s="70"/>
      <c r="AR502" s="70"/>
      <c r="AS502" s="70"/>
      <c r="AT502" s="70"/>
    </row>
    <row r="503" spans="1:46">
      <c r="A503" s="70"/>
      <c r="B503" s="70"/>
      <c r="C503" s="70"/>
      <c r="D503" s="70"/>
      <c r="E503" s="70"/>
      <c r="F503" s="70"/>
      <c r="G503" s="70"/>
      <c r="H503" s="54"/>
      <c r="I503" s="70"/>
      <c r="J503" s="70"/>
      <c r="K503" s="70"/>
      <c r="L503" s="70"/>
      <c r="M503" s="70"/>
      <c r="N503" s="70"/>
      <c r="O503" s="70"/>
      <c r="P503" s="70"/>
      <c r="Q503" s="70"/>
      <c r="R503" s="70"/>
      <c r="S503" s="70"/>
      <c r="T503" s="70"/>
      <c r="U503" s="70"/>
      <c r="V503" s="70"/>
      <c r="W503" s="70"/>
      <c r="X503" s="70"/>
      <c r="Y503" s="70"/>
      <c r="Z503" s="70"/>
      <c r="AA503" s="70"/>
      <c r="AB503" s="70"/>
      <c r="AC503" s="70"/>
      <c r="AD503" s="70"/>
      <c r="AE503" s="70"/>
      <c r="AF503" s="70"/>
      <c r="AG503" s="70"/>
      <c r="AH503" s="70"/>
      <c r="AI503" s="70"/>
      <c r="AJ503" s="70"/>
      <c r="AK503" s="70"/>
      <c r="AL503" s="70"/>
      <c r="AM503" s="70"/>
      <c r="AN503" s="70"/>
      <c r="AO503" s="70"/>
      <c r="AP503" s="70"/>
      <c r="AQ503" s="70"/>
      <c r="AR503" s="70"/>
      <c r="AS503" s="70"/>
      <c r="AT503" s="70"/>
    </row>
    <row r="504" spans="1:46">
      <c r="A504" s="70"/>
      <c r="B504" s="70"/>
      <c r="C504" s="70"/>
      <c r="D504" s="70"/>
      <c r="E504" s="70"/>
      <c r="F504" s="70"/>
      <c r="G504" s="70"/>
      <c r="H504" s="54"/>
      <c r="I504" s="70"/>
      <c r="J504" s="70"/>
      <c r="K504" s="70"/>
      <c r="L504" s="70"/>
      <c r="M504" s="70"/>
      <c r="N504" s="70"/>
      <c r="O504" s="70"/>
      <c r="P504" s="70"/>
      <c r="Q504" s="70"/>
      <c r="R504" s="70"/>
      <c r="S504" s="70"/>
      <c r="T504" s="70"/>
      <c r="U504" s="70"/>
      <c r="V504" s="70"/>
      <c r="W504" s="70"/>
      <c r="X504" s="70"/>
      <c r="Y504" s="70"/>
      <c r="Z504" s="70"/>
      <c r="AA504" s="70"/>
      <c r="AB504" s="70"/>
      <c r="AC504" s="70"/>
      <c r="AD504" s="70"/>
      <c r="AE504" s="70"/>
      <c r="AF504" s="70"/>
      <c r="AG504" s="70"/>
      <c r="AH504" s="70"/>
      <c r="AI504" s="70"/>
      <c r="AJ504" s="70"/>
      <c r="AK504" s="70"/>
      <c r="AL504" s="70"/>
      <c r="AM504" s="70"/>
      <c r="AN504" s="70"/>
      <c r="AO504" s="70"/>
      <c r="AP504" s="70"/>
      <c r="AQ504" s="70"/>
      <c r="AR504" s="70"/>
      <c r="AS504" s="70"/>
      <c r="AT504" s="70"/>
    </row>
    <row r="505" spans="1:46">
      <c r="A505" s="70"/>
      <c r="B505" s="70"/>
      <c r="C505" s="70"/>
      <c r="D505" s="70"/>
      <c r="E505" s="70"/>
      <c r="F505" s="70"/>
      <c r="G505" s="70"/>
      <c r="H505" s="54"/>
      <c r="I505" s="70"/>
      <c r="J505" s="70"/>
      <c r="K505" s="70"/>
      <c r="L505" s="70"/>
      <c r="M505" s="70"/>
      <c r="N505" s="70"/>
      <c r="O505" s="70"/>
      <c r="P505" s="70"/>
      <c r="Q505" s="70"/>
      <c r="R505" s="70"/>
      <c r="S505" s="70"/>
      <c r="T505" s="70"/>
      <c r="U505" s="70"/>
      <c r="V505" s="70"/>
      <c r="W505" s="70"/>
      <c r="X505" s="70"/>
      <c r="Y505" s="70"/>
      <c r="Z505" s="70"/>
      <c r="AA505" s="70"/>
      <c r="AB505" s="70"/>
      <c r="AC505" s="70"/>
      <c r="AD505" s="70"/>
      <c r="AE505" s="70"/>
      <c r="AF505" s="70"/>
      <c r="AG505" s="70"/>
      <c r="AH505" s="70"/>
      <c r="AI505" s="70"/>
      <c r="AJ505" s="70"/>
      <c r="AK505" s="70"/>
      <c r="AL505" s="70"/>
      <c r="AM505" s="70"/>
      <c r="AN505" s="70"/>
      <c r="AO505" s="70"/>
      <c r="AP505" s="70"/>
      <c r="AQ505" s="70"/>
      <c r="AR505" s="70"/>
      <c r="AS505" s="70"/>
      <c r="AT505" s="70"/>
    </row>
    <row r="506" spans="1:46">
      <c r="A506" s="70"/>
      <c r="B506" s="70"/>
      <c r="C506" s="70"/>
      <c r="D506" s="70"/>
      <c r="E506" s="70"/>
      <c r="F506" s="70"/>
      <c r="G506" s="70"/>
      <c r="H506" s="54"/>
      <c r="I506" s="70"/>
      <c r="J506" s="70"/>
      <c r="K506" s="70"/>
      <c r="L506" s="70"/>
      <c r="M506" s="70"/>
      <c r="N506" s="70"/>
      <c r="O506" s="70"/>
      <c r="P506" s="70"/>
      <c r="Q506" s="70"/>
      <c r="R506" s="70"/>
      <c r="S506" s="70"/>
      <c r="T506" s="70"/>
      <c r="U506" s="70"/>
      <c r="V506" s="70"/>
      <c r="W506" s="70"/>
      <c r="X506" s="70"/>
      <c r="Y506" s="70"/>
      <c r="Z506" s="70"/>
      <c r="AA506" s="70"/>
      <c r="AB506" s="70"/>
      <c r="AC506" s="70"/>
      <c r="AD506" s="70"/>
      <c r="AE506" s="70"/>
      <c r="AF506" s="70"/>
      <c r="AG506" s="70"/>
      <c r="AH506" s="70"/>
      <c r="AI506" s="70"/>
      <c r="AJ506" s="70"/>
      <c r="AK506" s="70"/>
      <c r="AL506" s="70"/>
      <c r="AM506" s="70"/>
      <c r="AN506" s="70"/>
      <c r="AO506" s="70"/>
      <c r="AP506" s="70"/>
      <c r="AQ506" s="70"/>
      <c r="AR506" s="70"/>
      <c r="AS506" s="70"/>
      <c r="AT506" s="70"/>
    </row>
    <row r="507" spans="1:46">
      <c r="A507" s="70"/>
      <c r="B507" s="70"/>
      <c r="C507" s="70"/>
      <c r="D507" s="70"/>
      <c r="E507" s="70"/>
      <c r="F507" s="70"/>
      <c r="G507" s="70"/>
      <c r="H507" s="54"/>
      <c r="I507" s="70"/>
      <c r="J507" s="70"/>
      <c r="K507" s="70"/>
      <c r="L507" s="70"/>
      <c r="M507" s="70"/>
      <c r="N507" s="70"/>
      <c r="O507" s="70"/>
      <c r="P507" s="70"/>
      <c r="Q507" s="70"/>
      <c r="R507" s="70"/>
      <c r="S507" s="70"/>
      <c r="T507" s="70"/>
      <c r="U507" s="70"/>
      <c r="V507" s="70"/>
      <c r="W507" s="70"/>
      <c r="X507" s="70"/>
      <c r="Y507" s="70"/>
      <c r="Z507" s="70"/>
      <c r="AA507" s="70"/>
      <c r="AB507" s="70"/>
      <c r="AC507" s="70"/>
      <c r="AD507" s="70"/>
      <c r="AE507" s="70"/>
      <c r="AF507" s="70"/>
      <c r="AG507" s="70"/>
      <c r="AH507" s="70"/>
      <c r="AI507" s="70"/>
      <c r="AJ507" s="70"/>
      <c r="AK507" s="70"/>
      <c r="AL507" s="70"/>
      <c r="AM507" s="70"/>
      <c r="AN507" s="70"/>
      <c r="AO507" s="70"/>
      <c r="AP507" s="70"/>
      <c r="AQ507" s="70"/>
      <c r="AR507" s="70"/>
      <c r="AS507" s="70"/>
      <c r="AT507" s="70"/>
    </row>
    <row r="508" spans="1:46">
      <c r="A508" s="70"/>
      <c r="B508" s="70"/>
      <c r="C508" s="70"/>
      <c r="D508" s="70"/>
      <c r="E508" s="70"/>
      <c r="F508" s="70"/>
      <c r="G508" s="70"/>
      <c r="H508" s="54"/>
      <c r="I508" s="70"/>
      <c r="J508" s="70"/>
      <c r="K508" s="70"/>
      <c r="L508" s="70"/>
      <c r="M508" s="70"/>
      <c r="N508" s="70"/>
      <c r="O508" s="70"/>
      <c r="P508" s="70"/>
      <c r="Q508" s="70"/>
      <c r="R508" s="70"/>
      <c r="S508" s="70"/>
      <c r="T508" s="70"/>
      <c r="U508" s="70"/>
      <c r="V508" s="70"/>
      <c r="W508" s="70"/>
      <c r="X508" s="70"/>
      <c r="Y508" s="70"/>
      <c r="Z508" s="70"/>
      <c r="AA508" s="70"/>
      <c r="AB508" s="70"/>
      <c r="AC508" s="70"/>
      <c r="AD508" s="70"/>
      <c r="AE508" s="70"/>
      <c r="AF508" s="70"/>
      <c r="AG508" s="70"/>
      <c r="AH508" s="70"/>
      <c r="AI508" s="70"/>
      <c r="AJ508" s="70"/>
      <c r="AK508" s="70"/>
      <c r="AL508" s="70"/>
      <c r="AM508" s="70"/>
      <c r="AN508" s="70"/>
      <c r="AO508" s="70"/>
      <c r="AP508" s="70"/>
      <c r="AQ508" s="70"/>
      <c r="AR508" s="70"/>
      <c r="AS508" s="70"/>
      <c r="AT508" s="70"/>
    </row>
    <row r="509" spans="1:46">
      <c r="A509" s="70"/>
      <c r="B509" s="70"/>
      <c r="C509" s="70"/>
      <c r="D509" s="70"/>
      <c r="E509" s="70"/>
      <c r="F509" s="70"/>
      <c r="G509" s="70"/>
      <c r="H509" s="54"/>
      <c r="I509" s="70"/>
      <c r="J509" s="70"/>
      <c r="K509" s="70"/>
      <c r="L509" s="70"/>
      <c r="M509" s="70"/>
      <c r="N509" s="70"/>
      <c r="O509" s="70"/>
      <c r="P509" s="70"/>
      <c r="Q509" s="70"/>
      <c r="R509" s="70"/>
      <c r="S509" s="70"/>
      <c r="T509" s="70"/>
      <c r="U509" s="70"/>
      <c r="V509" s="70"/>
      <c r="W509" s="70"/>
      <c r="X509" s="70"/>
      <c r="Y509" s="70"/>
      <c r="Z509" s="70"/>
      <c r="AA509" s="70"/>
      <c r="AB509" s="70"/>
      <c r="AC509" s="70"/>
      <c r="AD509" s="70"/>
      <c r="AE509" s="70"/>
      <c r="AF509" s="70"/>
      <c r="AG509" s="70"/>
      <c r="AH509" s="70"/>
      <c r="AI509" s="70"/>
      <c r="AJ509" s="70"/>
      <c r="AK509" s="70"/>
      <c r="AL509" s="70"/>
      <c r="AM509" s="70"/>
      <c r="AN509" s="70"/>
      <c r="AO509" s="70"/>
      <c r="AP509" s="70"/>
      <c r="AQ509" s="70"/>
      <c r="AR509" s="70"/>
      <c r="AS509" s="70"/>
      <c r="AT509" s="70"/>
    </row>
    <row r="510" spans="1:46">
      <c r="A510" s="70"/>
      <c r="B510" s="70"/>
      <c r="C510" s="70"/>
      <c r="D510" s="70"/>
      <c r="E510" s="70"/>
      <c r="F510" s="70"/>
      <c r="G510" s="70"/>
      <c r="H510" s="54"/>
      <c r="I510" s="70"/>
      <c r="J510" s="70"/>
      <c r="K510" s="70"/>
      <c r="L510" s="70"/>
      <c r="M510" s="70"/>
      <c r="N510" s="70"/>
      <c r="O510" s="70"/>
      <c r="P510" s="70"/>
      <c r="Q510" s="70"/>
      <c r="R510" s="70"/>
      <c r="S510" s="70"/>
      <c r="T510" s="70"/>
      <c r="U510" s="70"/>
      <c r="V510" s="70"/>
      <c r="W510" s="70"/>
      <c r="X510" s="70"/>
      <c r="Y510" s="70"/>
      <c r="Z510" s="70"/>
      <c r="AA510" s="70"/>
      <c r="AB510" s="70"/>
      <c r="AC510" s="70"/>
      <c r="AD510" s="70"/>
      <c r="AE510" s="70"/>
      <c r="AF510" s="70"/>
      <c r="AG510" s="70"/>
      <c r="AH510" s="70"/>
      <c r="AI510" s="70"/>
      <c r="AJ510" s="70"/>
      <c r="AK510" s="70"/>
      <c r="AL510" s="70"/>
      <c r="AM510" s="70"/>
      <c r="AN510" s="70"/>
      <c r="AO510" s="70"/>
      <c r="AP510" s="70"/>
      <c r="AQ510" s="70"/>
      <c r="AR510" s="70"/>
      <c r="AS510" s="70"/>
      <c r="AT510" s="70"/>
    </row>
    <row r="511" spans="1:46">
      <c r="A511" s="70"/>
      <c r="B511" s="70"/>
      <c r="C511" s="70"/>
      <c r="D511" s="70"/>
      <c r="E511" s="70"/>
      <c r="F511" s="70"/>
      <c r="G511" s="70"/>
      <c r="H511" s="54"/>
      <c r="I511" s="70"/>
      <c r="J511" s="70"/>
      <c r="K511" s="70"/>
      <c r="L511" s="70"/>
      <c r="M511" s="70"/>
      <c r="N511" s="70"/>
      <c r="O511" s="70"/>
      <c r="P511" s="70"/>
      <c r="Q511" s="70"/>
      <c r="R511" s="70"/>
      <c r="S511" s="70"/>
      <c r="T511" s="70"/>
      <c r="U511" s="70"/>
      <c r="V511" s="70"/>
      <c r="W511" s="70"/>
      <c r="X511" s="70"/>
      <c r="Y511" s="70"/>
      <c r="Z511" s="70"/>
      <c r="AA511" s="70"/>
      <c r="AB511" s="70"/>
      <c r="AC511" s="70"/>
      <c r="AD511" s="70"/>
      <c r="AE511" s="70"/>
      <c r="AF511" s="70"/>
      <c r="AG511" s="70"/>
      <c r="AH511" s="70"/>
      <c r="AI511" s="70"/>
      <c r="AJ511" s="70"/>
      <c r="AK511" s="70"/>
      <c r="AL511" s="70"/>
      <c r="AM511" s="70"/>
      <c r="AN511" s="70"/>
      <c r="AO511" s="70"/>
      <c r="AP511" s="70"/>
      <c r="AQ511" s="70"/>
      <c r="AR511" s="70"/>
      <c r="AS511" s="70"/>
      <c r="AT511" s="70"/>
    </row>
    <row r="512" spans="1:46">
      <c r="A512" s="70"/>
      <c r="B512" s="70"/>
      <c r="C512" s="70"/>
      <c r="D512" s="70"/>
      <c r="E512" s="70"/>
      <c r="F512" s="70"/>
      <c r="G512" s="70"/>
      <c r="H512" s="54"/>
      <c r="I512" s="70"/>
      <c r="J512" s="70"/>
      <c r="K512" s="70"/>
      <c r="L512" s="70"/>
      <c r="M512" s="70"/>
      <c r="N512" s="70"/>
      <c r="O512" s="70"/>
      <c r="P512" s="70"/>
      <c r="Q512" s="70"/>
      <c r="R512" s="70"/>
      <c r="S512" s="70"/>
      <c r="T512" s="70"/>
      <c r="U512" s="70"/>
      <c r="V512" s="70"/>
      <c r="W512" s="70"/>
      <c r="X512" s="70"/>
      <c r="Y512" s="70"/>
      <c r="Z512" s="70"/>
      <c r="AA512" s="70"/>
      <c r="AB512" s="70"/>
      <c r="AC512" s="70"/>
      <c r="AD512" s="70"/>
      <c r="AE512" s="70"/>
      <c r="AF512" s="70"/>
      <c r="AG512" s="70"/>
      <c r="AH512" s="70"/>
      <c r="AI512" s="70"/>
      <c r="AJ512" s="70"/>
      <c r="AK512" s="70"/>
      <c r="AL512" s="70"/>
      <c r="AM512" s="70"/>
      <c r="AN512" s="70"/>
      <c r="AO512" s="70"/>
      <c r="AP512" s="70"/>
      <c r="AQ512" s="70"/>
      <c r="AR512" s="70"/>
      <c r="AS512" s="70"/>
      <c r="AT512" s="70"/>
    </row>
    <row r="513" spans="1:46">
      <c r="A513" s="70"/>
      <c r="B513" s="70"/>
      <c r="C513" s="70"/>
      <c r="D513" s="70"/>
      <c r="E513" s="70"/>
      <c r="F513" s="70"/>
      <c r="G513" s="70"/>
      <c r="H513" s="54"/>
      <c r="I513" s="70"/>
      <c r="J513" s="70"/>
      <c r="K513" s="70"/>
      <c r="L513" s="70"/>
      <c r="M513" s="70"/>
      <c r="N513" s="70"/>
      <c r="O513" s="70"/>
      <c r="P513" s="70"/>
      <c r="Q513" s="70"/>
      <c r="R513" s="70"/>
      <c r="S513" s="70"/>
      <c r="T513" s="70"/>
      <c r="U513" s="70"/>
      <c r="V513" s="70"/>
      <c r="W513" s="70"/>
      <c r="X513" s="70"/>
      <c r="Y513" s="70"/>
      <c r="Z513" s="70"/>
      <c r="AA513" s="70"/>
      <c r="AB513" s="70"/>
      <c r="AC513" s="70"/>
      <c r="AD513" s="70"/>
      <c r="AE513" s="70"/>
      <c r="AF513" s="70"/>
      <c r="AG513" s="70"/>
      <c r="AH513" s="70"/>
      <c r="AI513" s="70"/>
      <c r="AJ513" s="70"/>
      <c r="AK513" s="70"/>
      <c r="AL513" s="70"/>
      <c r="AM513" s="70"/>
      <c r="AN513" s="70"/>
      <c r="AO513" s="70"/>
      <c r="AP513" s="70"/>
      <c r="AQ513" s="70"/>
      <c r="AR513" s="70"/>
      <c r="AS513" s="70"/>
      <c r="AT513" s="70"/>
    </row>
    <row r="514" spans="1:46">
      <c r="A514" s="70"/>
      <c r="B514" s="70"/>
      <c r="C514" s="70"/>
      <c r="D514" s="70"/>
      <c r="E514" s="70"/>
      <c r="F514" s="70"/>
      <c r="G514" s="70"/>
      <c r="H514" s="54"/>
      <c r="I514" s="70"/>
      <c r="J514" s="70"/>
      <c r="K514" s="70"/>
      <c r="L514" s="70"/>
      <c r="M514" s="70"/>
      <c r="N514" s="70"/>
      <c r="O514" s="70"/>
      <c r="P514" s="70"/>
      <c r="Q514" s="70"/>
      <c r="R514" s="70"/>
      <c r="S514" s="70"/>
      <c r="T514" s="70"/>
      <c r="U514" s="70"/>
      <c r="V514" s="70"/>
      <c r="W514" s="70"/>
      <c r="X514" s="70"/>
      <c r="Y514" s="70"/>
      <c r="Z514" s="70"/>
      <c r="AA514" s="70"/>
      <c r="AB514" s="70"/>
      <c r="AC514" s="70"/>
      <c r="AD514" s="70"/>
      <c r="AE514" s="70"/>
      <c r="AF514" s="70"/>
      <c r="AG514" s="70"/>
      <c r="AH514" s="70"/>
      <c r="AI514" s="70"/>
      <c r="AJ514" s="70"/>
      <c r="AK514" s="70"/>
      <c r="AL514" s="70"/>
      <c r="AM514" s="70"/>
      <c r="AN514" s="70"/>
      <c r="AO514" s="70"/>
      <c r="AP514" s="70"/>
      <c r="AQ514" s="70"/>
      <c r="AR514" s="70"/>
      <c r="AS514" s="70"/>
      <c r="AT514" s="70"/>
    </row>
    <row r="515" spans="1:46">
      <c r="A515" s="70"/>
      <c r="B515" s="70"/>
      <c r="C515" s="70"/>
      <c r="D515" s="70"/>
      <c r="E515" s="70"/>
      <c r="F515" s="70"/>
      <c r="G515" s="70"/>
      <c r="H515" s="54"/>
      <c r="I515" s="70"/>
      <c r="J515" s="70"/>
      <c r="K515" s="70"/>
      <c r="L515" s="70"/>
      <c r="M515" s="70"/>
      <c r="N515" s="70"/>
      <c r="O515" s="70"/>
      <c r="P515" s="70"/>
      <c r="Q515" s="70"/>
      <c r="R515" s="70"/>
      <c r="S515" s="70"/>
      <c r="T515" s="70"/>
      <c r="U515" s="70"/>
      <c r="V515" s="70"/>
      <c r="W515" s="70"/>
      <c r="X515" s="70"/>
      <c r="Y515" s="70"/>
      <c r="Z515" s="70"/>
      <c r="AA515" s="70"/>
      <c r="AB515" s="70"/>
      <c r="AC515" s="70"/>
      <c r="AD515" s="70"/>
      <c r="AE515" s="70"/>
      <c r="AF515" s="70"/>
      <c r="AG515" s="70"/>
      <c r="AH515" s="70"/>
      <c r="AI515" s="70"/>
      <c r="AJ515" s="70"/>
      <c r="AK515" s="70"/>
      <c r="AL515" s="70"/>
      <c r="AM515" s="70"/>
      <c r="AN515" s="70"/>
      <c r="AO515" s="70"/>
      <c r="AP515" s="70"/>
      <c r="AQ515" s="70"/>
      <c r="AR515" s="70"/>
      <c r="AS515" s="70"/>
      <c r="AT515" s="70"/>
    </row>
    <row r="516" spans="1:46">
      <c r="A516" s="70"/>
      <c r="B516" s="70"/>
      <c r="C516" s="70"/>
      <c r="D516" s="70"/>
      <c r="E516" s="70"/>
      <c r="F516" s="70"/>
      <c r="G516" s="70"/>
      <c r="H516" s="54"/>
      <c r="I516" s="70"/>
      <c r="J516" s="70"/>
      <c r="K516" s="70"/>
      <c r="L516" s="70"/>
      <c r="M516" s="70"/>
      <c r="N516" s="70"/>
      <c r="O516" s="70"/>
      <c r="P516" s="70"/>
      <c r="Q516" s="70"/>
      <c r="R516" s="70"/>
      <c r="S516" s="70"/>
      <c r="T516" s="70"/>
      <c r="U516" s="70"/>
      <c r="V516" s="70"/>
      <c r="W516" s="70"/>
      <c r="X516" s="70"/>
      <c r="Y516" s="70"/>
      <c r="Z516" s="70"/>
      <c r="AA516" s="70"/>
      <c r="AB516" s="70"/>
      <c r="AC516" s="70"/>
      <c r="AD516" s="70"/>
      <c r="AE516" s="70"/>
      <c r="AF516" s="70"/>
      <c r="AG516" s="70"/>
      <c r="AH516" s="70"/>
      <c r="AI516" s="70"/>
      <c r="AJ516" s="70"/>
      <c r="AK516" s="70"/>
      <c r="AL516" s="70"/>
      <c r="AM516" s="70"/>
      <c r="AN516" s="70"/>
      <c r="AO516" s="70"/>
      <c r="AP516" s="70"/>
      <c r="AQ516" s="70"/>
      <c r="AR516" s="70"/>
      <c r="AS516" s="70"/>
      <c r="AT516" s="70"/>
    </row>
    <row r="517" spans="1:46">
      <c r="A517" s="70"/>
      <c r="B517" s="70"/>
      <c r="C517" s="70"/>
      <c r="D517" s="70"/>
      <c r="E517" s="70"/>
      <c r="F517" s="70"/>
      <c r="G517" s="70"/>
      <c r="H517" s="54"/>
      <c r="I517" s="70"/>
      <c r="J517" s="70"/>
      <c r="K517" s="70"/>
      <c r="L517" s="70"/>
      <c r="M517" s="70"/>
      <c r="N517" s="70"/>
      <c r="O517" s="70"/>
      <c r="P517" s="70"/>
      <c r="Q517" s="70"/>
      <c r="R517" s="70"/>
      <c r="S517" s="70"/>
      <c r="T517" s="70"/>
      <c r="U517" s="70"/>
      <c r="V517" s="70"/>
      <c r="W517" s="70"/>
      <c r="X517" s="70"/>
      <c r="Y517" s="70"/>
      <c r="Z517" s="70"/>
      <c r="AA517" s="70"/>
      <c r="AB517" s="70"/>
      <c r="AC517" s="70"/>
      <c r="AD517" s="70"/>
      <c r="AE517" s="70"/>
      <c r="AF517" s="70"/>
      <c r="AG517" s="70"/>
      <c r="AH517" s="70"/>
      <c r="AI517" s="70"/>
      <c r="AJ517" s="70"/>
      <c r="AK517" s="70"/>
      <c r="AL517" s="70"/>
      <c r="AM517" s="70"/>
      <c r="AN517" s="70"/>
      <c r="AO517" s="70"/>
      <c r="AP517" s="70"/>
      <c r="AQ517" s="70"/>
      <c r="AR517" s="70"/>
      <c r="AS517" s="70"/>
      <c r="AT517" s="70"/>
    </row>
    <row r="518" spans="1:46">
      <c r="A518" s="70"/>
      <c r="B518" s="70"/>
      <c r="C518" s="70"/>
      <c r="D518" s="70"/>
      <c r="E518" s="70"/>
      <c r="F518" s="70"/>
      <c r="G518" s="70"/>
      <c r="H518" s="54"/>
      <c r="I518" s="70"/>
      <c r="J518" s="70"/>
      <c r="K518" s="70"/>
      <c r="L518" s="70"/>
      <c r="M518" s="70"/>
      <c r="N518" s="70"/>
      <c r="O518" s="70"/>
      <c r="P518" s="70"/>
      <c r="Q518" s="70"/>
      <c r="R518" s="70"/>
      <c r="S518" s="70"/>
      <c r="T518" s="70"/>
      <c r="U518" s="70"/>
      <c r="V518" s="70"/>
      <c r="W518" s="70"/>
      <c r="X518" s="70"/>
      <c r="Y518" s="70"/>
      <c r="Z518" s="70"/>
      <c r="AA518" s="70"/>
      <c r="AB518" s="70"/>
      <c r="AC518" s="70"/>
      <c r="AD518" s="70"/>
      <c r="AE518" s="70"/>
      <c r="AF518" s="70"/>
      <c r="AG518" s="70"/>
      <c r="AH518" s="70"/>
      <c r="AI518" s="70"/>
      <c r="AJ518" s="70"/>
      <c r="AK518" s="70"/>
      <c r="AL518" s="70"/>
      <c r="AM518" s="70"/>
      <c r="AN518" s="70"/>
      <c r="AO518" s="70"/>
      <c r="AP518" s="70"/>
      <c r="AQ518" s="70"/>
      <c r="AR518" s="70"/>
      <c r="AS518" s="70"/>
      <c r="AT518" s="70"/>
    </row>
    <row r="519" spans="1:46">
      <c r="A519" s="70"/>
      <c r="B519" s="70"/>
      <c r="C519" s="70"/>
      <c r="D519" s="70"/>
      <c r="E519" s="70"/>
      <c r="F519" s="70"/>
      <c r="G519" s="70"/>
      <c r="H519" s="54"/>
      <c r="I519" s="70"/>
      <c r="J519" s="70"/>
      <c r="K519" s="70"/>
      <c r="L519" s="70"/>
      <c r="M519" s="70"/>
      <c r="N519" s="70"/>
      <c r="O519" s="70"/>
      <c r="P519" s="70"/>
      <c r="Q519" s="70"/>
      <c r="R519" s="70"/>
      <c r="S519" s="70"/>
      <c r="T519" s="70"/>
      <c r="U519" s="70"/>
      <c r="V519" s="70"/>
      <c r="W519" s="70"/>
      <c r="X519" s="70"/>
      <c r="Y519" s="70"/>
      <c r="Z519" s="70"/>
      <c r="AA519" s="70"/>
      <c r="AB519" s="70"/>
      <c r="AC519" s="70"/>
      <c r="AD519" s="70"/>
      <c r="AE519" s="70"/>
      <c r="AF519" s="70"/>
      <c r="AG519" s="70"/>
      <c r="AH519" s="70"/>
      <c r="AI519" s="70"/>
      <c r="AJ519" s="70"/>
      <c r="AK519" s="70"/>
      <c r="AL519" s="70"/>
      <c r="AM519" s="70"/>
      <c r="AN519" s="70"/>
      <c r="AO519" s="70"/>
      <c r="AP519" s="70"/>
      <c r="AQ519" s="70"/>
      <c r="AR519" s="70"/>
      <c r="AS519" s="70"/>
      <c r="AT519" s="70"/>
    </row>
    <row r="520" spans="1:46">
      <c r="A520" s="70"/>
      <c r="B520" s="70"/>
      <c r="C520" s="70"/>
      <c r="D520" s="70"/>
      <c r="E520" s="70"/>
      <c r="F520" s="70"/>
      <c r="G520" s="70"/>
      <c r="H520" s="54"/>
      <c r="I520" s="70"/>
      <c r="J520" s="70"/>
      <c r="K520" s="70"/>
      <c r="L520" s="70"/>
      <c r="M520" s="70"/>
      <c r="N520" s="70"/>
      <c r="O520" s="70"/>
      <c r="P520" s="70"/>
      <c r="Q520" s="70"/>
      <c r="R520" s="70"/>
      <c r="S520" s="70"/>
      <c r="T520" s="70"/>
      <c r="U520" s="70"/>
      <c r="V520" s="70"/>
      <c r="W520" s="70"/>
      <c r="X520" s="70"/>
      <c r="Y520" s="70"/>
      <c r="Z520" s="70"/>
      <c r="AA520" s="70"/>
      <c r="AB520" s="70"/>
      <c r="AC520" s="70"/>
      <c r="AD520" s="70"/>
      <c r="AE520" s="70"/>
      <c r="AF520" s="70"/>
      <c r="AG520" s="70"/>
      <c r="AH520" s="70"/>
      <c r="AI520" s="70"/>
      <c r="AJ520" s="70"/>
      <c r="AK520" s="70"/>
      <c r="AL520" s="70"/>
      <c r="AM520" s="70"/>
      <c r="AN520" s="70"/>
      <c r="AO520" s="70"/>
      <c r="AP520" s="70"/>
      <c r="AQ520" s="70"/>
      <c r="AR520" s="70"/>
      <c r="AS520" s="70"/>
      <c r="AT520" s="70"/>
    </row>
    <row r="521" spans="1:46">
      <c r="A521" s="70"/>
      <c r="B521" s="70"/>
      <c r="C521" s="70"/>
      <c r="D521" s="70"/>
      <c r="E521" s="70"/>
      <c r="F521" s="70"/>
      <c r="G521" s="70"/>
      <c r="H521" s="54"/>
      <c r="I521" s="70"/>
      <c r="J521" s="70"/>
      <c r="K521" s="70"/>
      <c r="L521" s="70"/>
      <c r="M521" s="70"/>
      <c r="N521" s="70"/>
      <c r="O521" s="70"/>
      <c r="P521" s="70"/>
      <c r="Q521" s="70"/>
      <c r="R521" s="70"/>
      <c r="S521" s="70"/>
      <c r="T521" s="70"/>
      <c r="U521" s="70"/>
      <c r="V521" s="70"/>
      <c r="W521" s="70"/>
      <c r="X521" s="70"/>
      <c r="Y521" s="70"/>
      <c r="Z521" s="70"/>
      <c r="AA521" s="70"/>
      <c r="AB521" s="70"/>
      <c r="AC521" s="70"/>
      <c r="AD521" s="70"/>
      <c r="AE521" s="70"/>
      <c r="AF521" s="70"/>
      <c r="AG521" s="70"/>
      <c r="AH521" s="70"/>
      <c r="AI521" s="70"/>
      <c r="AJ521" s="70"/>
      <c r="AK521" s="70"/>
      <c r="AL521" s="70"/>
      <c r="AM521" s="70"/>
      <c r="AN521" s="70"/>
      <c r="AO521" s="70"/>
      <c r="AP521" s="70"/>
      <c r="AQ521" s="70"/>
      <c r="AR521" s="70"/>
      <c r="AS521" s="70"/>
      <c r="AT521" s="70"/>
    </row>
    <row r="522" spans="1:46">
      <c r="A522" s="70"/>
      <c r="B522" s="70"/>
      <c r="C522" s="70"/>
      <c r="D522" s="70"/>
      <c r="E522" s="70"/>
      <c r="F522" s="70"/>
      <c r="G522" s="70"/>
      <c r="H522" s="54"/>
      <c r="I522" s="70"/>
      <c r="J522" s="70"/>
      <c r="K522" s="70"/>
      <c r="L522" s="70"/>
      <c r="M522" s="70"/>
      <c r="N522" s="70"/>
      <c r="O522" s="70"/>
      <c r="P522" s="70"/>
      <c r="Q522" s="70"/>
      <c r="R522" s="70"/>
      <c r="S522" s="70"/>
      <c r="T522" s="70"/>
      <c r="U522" s="70"/>
      <c r="V522" s="70"/>
      <c r="W522" s="70"/>
      <c r="X522" s="70"/>
      <c r="Y522" s="70"/>
      <c r="Z522" s="70"/>
      <c r="AA522" s="70"/>
      <c r="AB522" s="70"/>
      <c r="AC522" s="70"/>
      <c r="AD522" s="70"/>
      <c r="AE522" s="70"/>
      <c r="AF522" s="70"/>
      <c r="AG522" s="70"/>
      <c r="AH522" s="70"/>
      <c r="AI522" s="70"/>
      <c r="AJ522" s="70"/>
      <c r="AK522" s="70"/>
      <c r="AL522" s="70"/>
      <c r="AM522" s="70"/>
      <c r="AN522" s="70"/>
      <c r="AO522" s="70"/>
      <c r="AP522" s="70"/>
      <c r="AQ522" s="70"/>
      <c r="AR522" s="70"/>
      <c r="AS522" s="70"/>
      <c r="AT522" s="70"/>
    </row>
    <row r="523" spans="1:46">
      <c r="A523" s="70"/>
      <c r="B523" s="70"/>
      <c r="C523" s="70"/>
      <c r="D523" s="70"/>
      <c r="E523" s="70"/>
      <c r="F523" s="70"/>
      <c r="G523" s="70"/>
      <c r="H523" s="54"/>
      <c r="I523" s="70"/>
      <c r="J523" s="70"/>
      <c r="K523" s="70"/>
      <c r="L523" s="70"/>
      <c r="M523" s="70"/>
      <c r="N523" s="70"/>
      <c r="O523" s="70"/>
      <c r="P523" s="70"/>
      <c r="Q523" s="70"/>
      <c r="R523" s="70"/>
      <c r="S523" s="70"/>
      <c r="T523" s="70"/>
      <c r="U523" s="70"/>
      <c r="V523" s="70"/>
      <c r="W523" s="70"/>
      <c r="X523" s="70"/>
      <c r="Y523" s="70"/>
      <c r="Z523" s="70"/>
      <c r="AA523" s="70"/>
      <c r="AB523" s="70"/>
      <c r="AC523" s="70"/>
      <c r="AD523" s="70"/>
      <c r="AE523" s="70"/>
      <c r="AF523" s="70"/>
      <c r="AG523" s="70"/>
      <c r="AH523" s="70"/>
      <c r="AI523" s="70"/>
      <c r="AJ523" s="70"/>
      <c r="AK523" s="70"/>
      <c r="AL523" s="70"/>
      <c r="AM523" s="70"/>
      <c r="AN523" s="70"/>
      <c r="AO523" s="70"/>
      <c r="AP523" s="70"/>
      <c r="AQ523" s="70"/>
      <c r="AR523" s="70"/>
      <c r="AS523" s="70"/>
      <c r="AT523" s="70"/>
    </row>
    <row r="524" spans="1:46">
      <c r="A524" s="70"/>
      <c r="B524" s="70"/>
      <c r="C524" s="70"/>
      <c r="D524" s="70"/>
      <c r="E524" s="70"/>
      <c r="F524" s="70"/>
      <c r="G524" s="70"/>
      <c r="H524" s="54"/>
      <c r="I524" s="70"/>
      <c r="J524" s="70"/>
      <c r="K524" s="70"/>
      <c r="L524" s="70"/>
      <c r="M524" s="70"/>
      <c r="N524" s="70"/>
      <c r="O524" s="70"/>
      <c r="P524" s="70"/>
      <c r="Q524" s="70"/>
      <c r="R524" s="70"/>
      <c r="S524" s="70"/>
      <c r="T524" s="70"/>
      <c r="U524" s="70"/>
      <c r="V524" s="70"/>
      <c r="W524" s="70"/>
      <c r="X524" s="70"/>
      <c r="Y524" s="70"/>
      <c r="Z524" s="70"/>
      <c r="AA524" s="70"/>
      <c r="AB524" s="70"/>
      <c r="AC524" s="70"/>
      <c r="AD524" s="70"/>
      <c r="AE524" s="70"/>
      <c r="AF524" s="70"/>
      <c r="AG524" s="70"/>
      <c r="AH524" s="70"/>
      <c r="AI524" s="70"/>
      <c r="AJ524" s="70"/>
      <c r="AK524" s="70"/>
      <c r="AL524" s="70"/>
      <c r="AM524" s="70"/>
      <c r="AN524" s="70"/>
      <c r="AO524" s="70"/>
      <c r="AP524" s="70"/>
      <c r="AQ524" s="70"/>
      <c r="AR524" s="70"/>
      <c r="AS524" s="70"/>
      <c r="AT524" s="70"/>
    </row>
    <row r="525" spans="1:46">
      <c r="A525" s="70"/>
      <c r="B525" s="70"/>
      <c r="C525" s="70"/>
      <c r="D525" s="70"/>
      <c r="E525" s="70"/>
      <c r="F525" s="70"/>
      <c r="G525" s="70"/>
      <c r="H525" s="54"/>
      <c r="I525" s="70"/>
      <c r="J525" s="70"/>
      <c r="K525" s="70"/>
      <c r="L525" s="70"/>
      <c r="M525" s="70"/>
      <c r="N525" s="70"/>
      <c r="O525" s="70"/>
      <c r="P525" s="70"/>
      <c r="Q525" s="70"/>
      <c r="R525" s="70"/>
      <c r="S525" s="70"/>
      <c r="T525" s="70"/>
      <c r="U525" s="70"/>
      <c r="V525" s="70"/>
      <c r="W525" s="70"/>
      <c r="X525" s="70"/>
      <c r="Y525" s="70"/>
      <c r="Z525" s="70"/>
      <c r="AA525" s="70"/>
      <c r="AB525" s="70"/>
      <c r="AC525" s="70"/>
      <c r="AD525" s="70"/>
      <c r="AE525" s="70"/>
      <c r="AF525" s="70"/>
      <c r="AG525" s="70"/>
      <c r="AH525" s="70"/>
      <c r="AI525" s="70"/>
      <c r="AJ525" s="70"/>
      <c r="AK525" s="70"/>
      <c r="AL525" s="70"/>
      <c r="AM525" s="70"/>
      <c r="AN525" s="70"/>
      <c r="AO525" s="70"/>
      <c r="AP525" s="70"/>
      <c r="AQ525" s="70"/>
      <c r="AR525" s="70"/>
      <c r="AS525" s="70"/>
      <c r="AT525" s="70"/>
    </row>
    <row r="526" spans="1:46">
      <c r="A526" s="70"/>
      <c r="B526" s="70"/>
      <c r="C526" s="70"/>
      <c r="D526" s="70"/>
      <c r="E526" s="70"/>
      <c r="F526" s="70"/>
      <c r="G526" s="70"/>
      <c r="H526" s="54"/>
      <c r="I526" s="70"/>
      <c r="J526" s="70"/>
      <c r="K526" s="70"/>
      <c r="L526" s="70"/>
      <c r="M526" s="70"/>
      <c r="N526" s="70"/>
      <c r="O526" s="70"/>
      <c r="P526" s="70"/>
      <c r="Q526" s="70"/>
      <c r="R526" s="70"/>
      <c r="S526" s="70"/>
      <c r="T526" s="70"/>
      <c r="U526" s="70"/>
      <c r="V526" s="70"/>
      <c r="W526" s="70"/>
      <c r="X526" s="70"/>
      <c r="Y526" s="70"/>
      <c r="Z526" s="70"/>
      <c r="AA526" s="70"/>
      <c r="AB526" s="70"/>
      <c r="AC526" s="70"/>
      <c r="AD526" s="70"/>
      <c r="AE526" s="70"/>
      <c r="AF526" s="70"/>
      <c r="AG526" s="70"/>
      <c r="AH526" s="70"/>
      <c r="AI526" s="70"/>
      <c r="AJ526" s="70"/>
      <c r="AK526" s="70"/>
      <c r="AL526" s="70"/>
      <c r="AM526" s="70"/>
      <c r="AN526" s="70"/>
      <c r="AO526" s="70"/>
      <c r="AP526" s="70"/>
      <c r="AQ526" s="70"/>
      <c r="AR526" s="70"/>
      <c r="AS526" s="70"/>
      <c r="AT526" s="70"/>
    </row>
    <row r="527" spans="1:46">
      <c r="A527" s="70"/>
      <c r="B527" s="70"/>
      <c r="C527" s="70"/>
      <c r="D527" s="70"/>
      <c r="E527" s="70"/>
      <c r="F527" s="70"/>
      <c r="G527" s="70"/>
      <c r="H527" s="54"/>
      <c r="I527" s="70"/>
      <c r="J527" s="70"/>
      <c r="K527" s="70"/>
      <c r="L527" s="70"/>
      <c r="M527" s="70"/>
      <c r="N527" s="70"/>
      <c r="O527" s="70"/>
      <c r="P527" s="70"/>
      <c r="Q527" s="70"/>
      <c r="R527" s="70"/>
      <c r="S527" s="70"/>
      <c r="T527" s="70"/>
      <c r="U527" s="70"/>
      <c r="V527" s="70"/>
      <c r="W527" s="70"/>
      <c r="X527" s="70"/>
      <c r="Y527" s="70"/>
      <c r="Z527" s="70"/>
      <c r="AA527" s="70"/>
      <c r="AB527" s="70"/>
      <c r="AC527" s="70"/>
      <c r="AD527" s="70"/>
      <c r="AE527" s="70"/>
      <c r="AF527" s="70"/>
      <c r="AG527" s="70"/>
      <c r="AH527" s="70"/>
      <c r="AI527" s="70"/>
      <c r="AJ527" s="70"/>
      <c r="AK527" s="70"/>
      <c r="AL527" s="70"/>
      <c r="AM527" s="70"/>
      <c r="AN527" s="70"/>
      <c r="AO527" s="70"/>
      <c r="AP527" s="70"/>
      <c r="AQ527" s="70"/>
      <c r="AR527" s="70"/>
      <c r="AS527" s="70"/>
      <c r="AT527" s="70"/>
    </row>
    <row r="528" spans="1:46">
      <c r="A528" s="70"/>
      <c r="B528" s="70"/>
      <c r="C528" s="70"/>
      <c r="D528" s="70"/>
      <c r="E528" s="70"/>
      <c r="F528" s="70"/>
      <c r="G528" s="70"/>
      <c r="H528" s="54"/>
      <c r="I528" s="70"/>
      <c r="J528" s="70"/>
      <c r="K528" s="70"/>
      <c r="L528" s="70"/>
      <c r="M528" s="70"/>
      <c r="N528" s="70"/>
      <c r="O528" s="70"/>
      <c r="P528" s="70"/>
      <c r="Q528" s="70"/>
      <c r="R528" s="70"/>
      <c r="S528" s="70"/>
      <c r="T528" s="70"/>
      <c r="U528" s="70"/>
      <c r="V528" s="70"/>
      <c r="W528" s="70"/>
      <c r="X528" s="70"/>
      <c r="Y528" s="70"/>
      <c r="Z528" s="70"/>
      <c r="AA528" s="70"/>
      <c r="AB528" s="70"/>
      <c r="AC528" s="70"/>
      <c r="AD528" s="70"/>
      <c r="AE528" s="70"/>
      <c r="AF528" s="70"/>
      <c r="AG528" s="70"/>
      <c r="AH528" s="70"/>
      <c r="AI528" s="70"/>
      <c r="AJ528" s="70"/>
      <c r="AK528" s="70"/>
      <c r="AL528" s="70"/>
      <c r="AM528" s="70"/>
      <c r="AN528" s="70"/>
      <c r="AO528" s="70"/>
      <c r="AP528" s="70"/>
      <c r="AQ528" s="70"/>
      <c r="AR528" s="70"/>
      <c r="AS528" s="70"/>
      <c r="AT528" s="70"/>
    </row>
    <row r="529" spans="1:46">
      <c r="A529" s="70"/>
      <c r="B529" s="70"/>
      <c r="C529" s="70"/>
      <c r="D529" s="70"/>
      <c r="E529" s="70"/>
      <c r="F529" s="70"/>
      <c r="G529" s="70"/>
      <c r="H529" s="54"/>
      <c r="I529" s="70"/>
      <c r="J529" s="70"/>
      <c r="K529" s="70"/>
      <c r="L529" s="70"/>
      <c r="M529" s="70"/>
      <c r="N529" s="70"/>
      <c r="O529" s="70"/>
      <c r="P529" s="70"/>
      <c r="Q529" s="70"/>
      <c r="R529" s="70"/>
      <c r="S529" s="70"/>
      <c r="T529" s="70"/>
      <c r="U529" s="70"/>
      <c r="V529" s="70"/>
      <c r="W529" s="70"/>
      <c r="X529" s="70"/>
      <c r="Y529" s="70"/>
      <c r="Z529" s="70"/>
      <c r="AA529" s="70"/>
      <c r="AB529" s="70"/>
      <c r="AC529" s="70"/>
      <c r="AD529" s="70"/>
      <c r="AE529" s="70"/>
      <c r="AF529" s="70"/>
      <c r="AG529" s="70"/>
      <c r="AH529" s="70"/>
      <c r="AI529" s="70"/>
      <c r="AJ529" s="70"/>
      <c r="AK529" s="70"/>
      <c r="AL529" s="70"/>
      <c r="AM529" s="70"/>
      <c r="AN529" s="70"/>
      <c r="AO529" s="70"/>
      <c r="AP529" s="70"/>
      <c r="AQ529" s="70"/>
      <c r="AR529" s="70"/>
      <c r="AS529" s="70"/>
      <c r="AT529" s="70"/>
    </row>
    <row r="530" spans="1:46">
      <c r="A530" s="70"/>
      <c r="B530" s="70"/>
      <c r="C530" s="70"/>
      <c r="D530" s="70"/>
      <c r="E530" s="70"/>
      <c r="F530" s="70"/>
      <c r="G530" s="70"/>
      <c r="H530" s="54"/>
      <c r="I530" s="70"/>
      <c r="J530" s="70"/>
      <c r="K530" s="70"/>
      <c r="L530" s="70"/>
      <c r="M530" s="70"/>
      <c r="N530" s="70"/>
      <c r="O530" s="70"/>
      <c r="P530" s="70"/>
      <c r="Q530" s="70"/>
      <c r="R530" s="70"/>
      <c r="S530" s="70"/>
      <c r="T530" s="70"/>
      <c r="U530" s="70"/>
      <c r="V530" s="70"/>
      <c r="W530" s="70"/>
      <c r="X530" s="70"/>
      <c r="Y530" s="70"/>
      <c r="Z530" s="70"/>
      <c r="AA530" s="70"/>
      <c r="AB530" s="70"/>
      <c r="AC530" s="70"/>
      <c r="AD530" s="70"/>
      <c r="AE530" s="70"/>
      <c r="AF530" s="70"/>
      <c r="AG530" s="70"/>
      <c r="AH530" s="70"/>
      <c r="AI530" s="70"/>
      <c r="AJ530" s="70"/>
      <c r="AK530" s="70"/>
      <c r="AL530" s="70"/>
      <c r="AM530" s="70"/>
      <c r="AN530" s="70"/>
      <c r="AO530" s="70"/>
      <c r="AP530" s="70"/>
      <c r="AQ530" s="70"/>
      <c r="AR530" s="70"/>
      <c r="AS530" s="70"/>
      <c r="AT530" s="70"/>
    </row>
    <row r="531" spans="1:46">
      <c r="A531" s="70"/>
      <c r="B531" s="70"/>
      <c r="C531" s="70"/>
      <c r="D531" s="70"/>
      <c r="E531" s="70"/>
      <c r="F531" s="70"/>
      <c r="G531" s="70"/>
      <c r="H531" s="54"/>
      <c r="I531" s="70"/>
      <c r="J531" s="70"/>
      <c r="K531" s="70"/>
      <c r="L531" s="70"/>
      <c r="M531" s="70"/>
      <c r="N531" s="70"/>
      <c r="O531" s="70"/>
      <c r="P531" s="70"/>
      <c r="Q531" s="70"/>
      <c r="R531" s="70"/>
      <c r="S531" s="70"/>
      <c r="T531" s="70"/>
      <c r="U531" s="70"/>
      <c r="V531" s="70"/>
      <c r="W531" s="70"/>
      <c r="X531" s="70"/>
      <c r="Y531" s="70"/>
      <c r="Z531" s="70"/>
      <c r="AA531" s="70"/>
      <c r="AB531" s="70"/>
      <c r="AC531" s="70"/>
      <c r="AD531" s="70"/>
      <c r="AE531" s="70"/>
      <c r="AF531" s="70"/>
      <c r="AG531" s="70"/>
      <c r="AH531" s="70"/>
      <c r="AI531" s="70"/>
      <c r="AJ531" s="70"/>
      <c r="AK531" s="70"/>
      <c r="AL531" s="70"/>
      <c r="AM531" s="70"/>
      <c r="AN531" s="70"/>
      <c r="AO531" s="70"/>
      <c r="AP531" s="70"/>
      <c r="AQ531" s="70"/>
      <c r="AR531" s="70"/>
      <c r="AS531" s="70"/>
      <c r="AT531" s="70"/>
    </row>
    <row r="532" spans="1:46">
      <c r="A532" s="70"/>
      <c r="B532" s="70"/>
      <c r="C532" s="70"/>
      <c r="D532" s="70"/>
      <c r="E532" s="70"/>
      <c r="F532" s="70"/>
      <c r="G532" s="70"/>
      <c r="H532" s="54"/>
      <c r="I532" s="70"/>
      <c r="J532" s="70"/>
      <c r="K532" s="70"/>
      <c r="L532" s="70"/>
      <c r="M532" s="70"/>
      <c r="N532" s="70"/>
      <c r="O532" s="70"/>
      <c r="P532" s="70"/>
      <c r="Q532" s="70"/>
      <c r="R532" s="70"/>
      <c r="S532" s="70"/>
      <c r="T532" s="70"/>
      <c r="U532" s="70"/>
      <c r="V532" s="70"/>
      <c r="W532" s="70"/>
      <c r="X532" s="70"/>
      <c r="Y532" s="70"/>
      <c r="Z532" s="70"/>
      <c r="AA532" s="70"/>
      <c r="AB532" s="70"/>
      <c r="AC532" s="70"/>
      <c r="AD532" s="70"/>
      <c r="AE532" s="70"/>
      <c r="AF532" s="70"/>
      <c r="AG532" s="70"/>
      <c r="AH532" s="70"/>
      <c r="AI532" s="70"/>
      <c r="AJ532" s="70"/>
      <c r="AK532" s="70"/>
      <c r="AL532" s="70"/>
      <c r="AM532" s="70"/>
      <c r="AN532" s="70"/>
      <c r="AO532" s="70"/>
      <c r="AP532" s="70"/>
      <c r="AQ532" s="70"/>
      <c r="AR532" s="70"/>
      <c r="AS532" s="70"/>
      <c r="AT532" s="70"/>
    </row>
    <row r="533" spans="1:46">
      <c r="A533" s="70"/>
      <c r="B533" s="70"/>
      <c r="C533" s="70"/>
      <c r="D533" s="70"/>
      <c r="E533" s="70"/>
      <c r="F533" s="70"/>
      <c r="G533" s="70"/>
      <c r="H533" s="54"/>
      <c r="I533" s="70"/>
      <c r="J533" s="70"/>
      <c r="K533" s="70"/>
      <c r="L533" s="70"/>
      <c r="M533" s="70"/>
      <c r="N533" s="70"/>
      <c r="O533" s="70"/>
      <c r="P533" s="70"/>
      <c r="Q533" s="70"/>
      <c r="R533" s="70"/>
      <c r="S533" s="70"/>
      <c r="T533" s="70"/>
      <c r="U533" s="70"/>
      <c r="V533" s="70"/>
      <c r="W533" s="70"/>
      <c r="X533" s="70"/>
      <c r="Y533" s="70"/>
      <c r="Z533" s="70"/>
      <c r="AA533" s="70"/>
      <c r="AB533" s="70"/>
      <c r="AC533" s="70"/>
      <c r="AD533" s="70"/>
      <c r="AE533" s="70"/>
      <c r="AF533" s="70"/>
      <c r="AG533" s="70"/>
      <c r="AH533" s="70"/>
      <c r="AI533" s="70"/>
      <c r="AJ533" s="70"/>
      <c r="AK533" s="70"/>
      <c r="AL533" s="70"/>
      <c r="AM533" s="70"/>
      <c r="AN533" s="70"/>
      <c r="AO533" s="70"/>
      <c r="AP533" s="70"/>
      <c r="AQ533" s="70"/>
      <c r="AR533" s="70"/>
      <c r="AS533" s="70"/>
      <c r="AT533" s="70"/>
    </row>
    <row r="534" spans="1:46">
      <c r="A534" s="70"/>
      <c r="B534" s="70"/>
      <c r="C534" s="70"/>
      <c r="D534" s="70"/>
      <c r="E534" s="70"/>
      <c r="F534" s="70"/>
      <c r="G534" s="70"/>
      <c r="H534" s="54"/>
      <c r="I534" s="70"/>
      <c r="J534" s="70"/>
      <c r="K534" s="70"/>
      <c r="L534" s="70"/>
      <c r="M534" s="70"/>
      <c r="N534" s="70"/>
      <c r="O534" s="70"/>
      <c r="P534" s="70"/>
      <c r="Q534" s="70"/>
      <c r="R534" s="70"/>
      <c r="S534" s="70"/>
      <c r="T534" s="70"/>
      <c r="U534" s="70"/>
      <c r="V534" s="70"/>
      <c r="W534" s="70"/>
      <c r="X534" s="70"/>
      <c r="Y534" s="70"/>
      <c r="Z534" s="70"/>
      <c r="AA534" s="70"/>
      <c r="AB534" s="70"/>
      <c r="AC534" s="70"/>
      <c r="AD534" s="70"/>
      <c r="AE534" s="70"/>
      <c r="AF534" s="70"/>
      <c r="AG534" s="70"/>
      <c r="AH534" s="70"/>
      <c r="AI534" s="70"/>
      <c r="AJ534" s="70"/>
      <c r="AK534" s="70"/>
      <c r="AL534" s="70"/>
      <c r="AM534" s="70"/>
      <c r="AN534" s="70"/>
      <c r="AO534" s="70"/>
      <c r="AP534" s="70"/>
      <c r="AQ534" s="70"/>
      <c r="AR534" s="70"/>
      <c r="AS534" s="70"/>
      <c r="AT534" s="70"/>
    </row>
    <row r="535" spans="1:46">
      <c r="A535" s="70"/>
      <c r="B535" s="70"/>
      <c r="C535" s="70"/>
      <c r="D535" s="70"/>
      <c r="E535" s="70"/>
      <c r="F535" s="70"/>
      <c r="G535" s="70"/>
      <c r="H535" s="54"/>
      <c r="I535" s="70"/>
      <c r="J535" s="70"/>
      <c r="K535" s="70"/>
      <c r="L535" s="70"/>
      <c r="M535" s="70"/>
      <c r="N535" s="70"/>
      <c r="O535" s="70"/>
      <c r="P535" s="70"/>
      <c r="Q535" s="70"/>
      <c r="R535" s="70"/>
      <c r="S535" s="70"/>
      <c r="T535" s="70"/>
      <c r="U535" s="70"/>
      <c r="V535" s="70"/>
      <c r="W535" s="70"/>
      <c r="X535" s="70"/>
      <c r="Y535" s="70"/>
      <c r="Z535" s="70"/>
      <c r="AA535" s="70"/>
      <c r="AB535" s="70"/>
      <c r="AC535" s="70"/>
      <c r="AD535" s="70"/>
      <c r="AE535" s="70"/>
      <c r="AF535" s="70"/>
      <c r="AG535" s="70"/>
      <c r="AH535" s="70"/>
      <c r="AI535" s="70"/>
      <c r="AJ535" s="70"/>
      <c r="AK535" s="70"/>
      <c r="AL535" s="70"/>
      <c r="AM535" s="70"/>
      <c r="AN535" s="70"/>
      <c r="AO535" s="70"/>
      <c r="AP535" s="70"/>
      <c r="AQ535" s="70"/>
      <c r="AR535" s="70"/>
      <c r="AS535" s="70"/>
      <c r="AT535" s="70"/>
    </row>
    <row r="536" spans="1:46">
      <c r="A536" s="70"/>
      <c r="B536" s="70"/>
      <c r="C536" s="70"/>
      <c r="D536" s="70"/>
      <c r="E536" s="70"/>
      <c r="F536" s="70"/>
      <c r="G536" s="70"/>
      <c r="H536" s="54"/>
      <c r="I536" s="70"/>
      <c r="J536" s="70"/>
      <c r="K536" s="70"/>
      <c r="L536" s="70"/>
      <c r="M536" s="70"/>
      <c r="N536" s="70"/>
      <c r="O536" s="70"/>
      <c r="P536" s="70"/>
      <c r="Q536" s="70"/>
      <c r="R536" s="70"/>
      <c r="S536" s="70"/>
      <c r="T536" s="70"/>
      <c r="U536" s="70"/>
      <c r="V536" s="70"/>
      <c r="W536" s="70"/>
      <c r="X536" s="70"/>
      <c r="Y536" s="70"/>
      <c r="Z536" s="70"/>
      <c r="AA536" s="70"/>
      <c r="AB536" s="70"/>
      <c r="AC536" s="70"/>
      <c r="AD536" s="70"/>
      <c r="AE536" s="70"/>
      <c r="AF536" s="70"/>
      <c r="AG536" s="70"/>
      <c r="AH536" s="70"/>
      <c r="AI536" s="70"/>
      <c r="AJ536" s="70"/>
      <c r="AK536" s="70"/>
      <c r="AL536" s="70"/>
      <c r="AM536" s="70"/>
      <c r="AN536" s="70"/>
      <c r="AO536" s="70"/>
      <c r="AP536" s="70"/>
      <c r="AQ536" s="70"/>
      <c r="AR536" s="70"/>
      <c r="AS536" s="70"/>
      <c r="AT536" s="70"/>
    </row>
    <row r="537" spans="1:46">
      <c r="A537" s="70"/>
      <c r="B537" s="70"/>
      <c r="C537" s="70"/>
      <c r="D537" s="70"/>
      <c r="E537" s="70"/>
      <c r="F537" s="70"/>
      <c r="G537" s="70"/>
      <c r="H537" s="54"/>
      <c r="I537" s="70"/>
      <c r="J537" s="70"/>
      <c r="K537" s="70"/>
      <c r="L537" s="70"/>
      <c r="M537" s="70"/>
      <c r="N537" s="70"/>
      <c r="O537" s="70"/>
      <c r="P537" s="70"/>
      <c r="Q537" s="70"/>
      <c r="R537" s="70"/>
      <c r="S537" s="70"/>
      <c r="T537" s="70"/>
      <c r="U537" s="70"/>
      <c r="V537" s="70"/>
      <c r="W537" s="70"/>
      <c r="X537" s="70"/>
      <c r="Y537" s="70"/>
      <c r="Z537" s="70"/>
      <c r="AA537" s="70"/>
      <c r="AB537" s="70"/>
      <c r="AC537" s="70"/>
      <c r="AD537" s="70"/>
      <c r="AE537" s="70"/>
      <c r="AF537" s="70"/>
      <c r="AG537" s="70"/>
      <c r="AH537" s="70"/>
      <c r="AI537" s="70"/>
      <c r="AJ537" s="70"/>
      <c r="AK537" s="70"/>
      <c r="AL537" s="70"/>
      <c r="AM537" s="70"/>
      <c r="AN537" s="70"/>
      <c r="AO537" s="70"/>
      <c r="AP537" s="70"/>
      <c r="AQ537" s="70"/>
      <c r="AR537" s="70"/>
      <c r="AS537" s="70"/>
      <c r="AT537" s="70"/>
    </row>
    <row r="538" spans="1:46">
      <c r="A538" s="70"/>
      <c r="B538" s="70"/>
      <c r="C538" s="70"/>
      <c r="D538" s="70"/>
      <c r="E538" s="70"/>
      <c r="F538" s="70"/>
      <c r="G538" s="70"/>
      <c r="H538" s="54"/>
      <c r="I538" s="70"/>
      <c r="J538" s="70"/>
      <c r="K538" s="70"/>
      <c r="L538" s="70"/>
      <c r="M538" s="70"/>
      <c r="N538" s="70"/>
      <c r="O538" s="70"/>
      <c r="P538" s="70"/>
      <c r="Q538" s="70"/>
      <c r="R538" s="70"/>
      <c r="S538" s="70"/>
      <c r="T538" s="70"/>
      <c r="U538" s="70"/>
      <c r="V538" s="70"/>
      <c r="W538" s="70"/>
      <c r="X538" s="70"/>
      <c r="Y538" s="70"/>
      <c r="Z538" s="70"/>
      <c r="AA538" s="70"/>
      <c r="AB538" s="70"/>
      <c r="AC538" s="70"/>
      <c r="AD538" s="70"/>
      <c r="AE538" s="70"/>
      <c r="AF538" s="70"/>
      <c r="AG538" s="70"/>
      <c r="AH538" s="70"/>
      <c r="AI538" s="70"/>
      <c r="AJ538" s="70"/>
      <c r="AK538" s="70"/>
      <c r="AL538" s="70"/>
      <c r="AM538" s="70"/>
      <c r="AN538" s="70"/>
      <c r="AO538" s="70"/>
      <c r="AP538" s="70"/>
      <c r="AQ538" s="70"/>
      <c r="AR538" s="70"/>
      <c r="AS538" s="70"/>
      <c r="AT538" s="70"/>
    </row>
    <row r="539" spans="1:46">
      <c r="A539" s="70"/>
      <c r="B539" s="70"/>
      <c r="C539" s="70"/>
      <c r="D539" s="70"/>
      <c r="E539" s="70"/>
      <c r="F539" s="70"/>
      <c r="G539" s="70"/>
      <c r="H539" s="54"/>
      <c r="I539" s="70"/>
      <c r="J539" s="70"/>
      <c r="K539" s="70"/>
      <c r="L539" s="70"/>
      <c r="M539" s="70"/>
      <c r="N539" s="70"/>
      <c r="O539" s="70"/>
      <c r="P539" s="70"/>
      <c r="Q539" s="70"/>
      <c r="R539" s="70"/>
      <c r="S539" s="70"/>
      <c r="T539" s="70"/>
      <c r="U539" s="70"/>
      <c r="V539" s="70"/>
      <c r="W539" s="70"/>
      <c r="X539" s="70"/>
      <c r="Y539" s="70"/>
      <c r="Z539" s="70"/>
      <c r="AA539" s="70"/>
      <c r="AB539" s="70"/>
      <c r="AC539" s="70"/>
      <c r="AD539" s="70"/>
      <c r="AE539" s="70"/>
      <c r="AF539" s="70"/>
      <c r="AG539" s="70"/>
      <c r="AH539" s="70"/>
      <c r="AI539" s="70"/>
      <c r="AJ539" s="70"/>
      <c r="AK539" s="70"/>
      <c r="AL539" s="70"/>
      <c r="AM539" s="70"/>
      <c r="AN539" s="70"/>
      <c r="AO539" s="70"/>
      <c r="AP539" s="70"/>
      <c r="AQ539" s="70"/>
      <c r="AR539" s="70"/>
      <c r="AS539" s="70"/>
      <c r="AT539" s="70"/>
    </row>
    <row r="540" spans="1:46">
      <c r="A540" s="70"/>
      <c r="B540" s="70"/>
      <c r="C540" s="70"/>
      <c r="D540" s="70"/>
      <c r="E540" s="70"/>
      <c r="F540" s="70"/>
      <c r="G540" s="70"/>
      <c r="H540" s="54"/>
      <c r="I540" s="70"/>
      <c r="J540" s="70"/>
      <c r="K540" s="70"/>
      <c r="L540" s="70"/>
      <c r="M540" s="70"/>
      <c r="N540" s="70"/>
      <c r="O540" s="70"/>
      <c r="P540" s="70"/>
      <c r="Q540" s="70"/>
      <c r="R540" s="70"/>
      <c r="S540" s="70"/>
      <c r="T540" s="70"/>
      <c r="U540" s="70"/>
      <c r="V540" s="70"/>
      <c r="W540" s="70"/>
      <c r="X540" s="70"/>
      <c r="Y540" s="70"/>
      <c r="Z540" s="70"/>
      <c r="AA540" s="70"/>
      <c r="AB540" s="70"/>
      <c r="AC540" s="70"/>
      <c r="AD540" s="70"/>
      <c r="AE540" s="70"/>
      <c r="AF540" s="70"/>
      <c r="AG540" s="70"/>
      <c r="AH540" s="70"/>
      <c r="AI540" s="70"/>
      <c r="AJ540" s="70"/>
      <c r="AK540" s="70"/>
      <c r="AL540" s="70"/>
      <c r="AM540" s="70"/>
      <c r="AN540" s="70"/>
      <c r="AO540" s="70"/>
      <c r="AP540" s="70"/>
      <c r="AQ540" s="70"/>
      <c r="AR540" s="70"/>
      <c r="AS540" s="70"/>
      <c r="AT540" s="70"/>
    </row>
    <row r="541" spans="1:46">
      <c r="A541" s="70"/>
      <c r="B541" s="70"/>
      <c r="C541" s="70"/>
      <c r="D541" s="70"/>
      <c r="E541" s="70"/>
      <c r="F541" s="70"/>
      <c r="G541" s="70"/>
      <c r="H541" s="54"/>
      <c r="I541" s="70"/>
      <c r="J541" s="70"/>
      <c r="K541" s="70"/>
      <c r="L541" s="70"/>
      <c r="M541" s="70"/>
      <c r="N541" s="70"/>
      <c r="O541" s="70"/>
      <c r="P541" s="70"/>
      <c r="Q541" s="70"/>
      <c r="R541" s="70"/>
      <c r="S541" s="70"/>
      <c r="T541" s="70"/>
      <c r="U541" s="70"/>
      <c r="V541" s="70"/>
      <c r="W541" s="70"/>
      <c r="X541" s="70"/>
      <c r="Y541" s="70"/>
      <c r="Z541" s="70"/>
      <c r="AA541" s="70"/>
      <c r="AB541" s="70"/>
      <c r="AC541" s="70"/>
      <c r="AD541" s="70"/>
      <c r="AE541" s="70"/>
      <c r="AF541" s="70"/>
      <c r="AG541" s="70"/>
      <c r="AH541" s="70"/>
      <c r="AI541" s="70"/>
      <c r="AJ541" s="70"/>
      <c r="AK541" s="70"/>
      <c r="AL541" s="70"/>
      <c r="AM541" s="70"/>
      <c r="AN541" s="70"/>
      <c r="AO541" s="70"/>
      <c r="AP541" s="70"/>
      <c r="AQ541" s="70"/>
      <c r="AR541" s="70"/>
      <c r="AS541" s="70"/>
      <c r="AT541" s="70"/>
    </row>
    <row r="542" spans="1:46">
      <c r="A542" s="70"/>
      <c r="B542" s="70"/>
      <c r="C542" s="70"/>
      <c r="D542" s="70"/>
      <c r="E542" s="70"/>
      <c r="F542" s="70"/>
      <c r="G542" s="70"/>
      <c r="H542" s="54"/>
      <c r="I542" s="70"/>
      <c r="J542" s="70"/>
      <c r="K542" s="70"/>
      <c r="L542" s="70"/>
      <c r="M542" s="70"/>
      <c r="N542" s="70"/>
      <c r="O542" s="70"/>
      <c r="P542" s="70"/>
      <c r="Q542" s="70"/>
      <c r="R542" s="70"/>
      <c r="S542" s="70"/>
      <c r="T542" s="70"/>
      <c r="U542" s="70"/>
      <c r="V542" s="70"/>
      <c r="W542" s="70"/>
      <c r="X542" s="70"/>
      <c r="Y542" s="70"/>
      <c r="Z542" s="70"/>
      <c r="AA542" s="70"/>
      <c r="AB542" s="70"/>
      <c r="AC542" s="70"/>
      <c r="AD542" s="70"/>
      <c r="AE542" s="70"/>
      <c r="AF542" s="70"/>
      <c r="AG542" s="70"/>
      <c r="AH542" s="70"/>
      <c r="AI542" s="70"/>
      <c r="AJ542" s="70"/>
      <c r="AK542" s="70"/>
      <c r="AL542" s="70"/>
      <c r="AM542" s="70"/>
      <c r="AN542" s="70"/>
      <c r="AO542" s="70"/>
      <c r="AP542" s="70"/>
      <c r="AQ542" s="70"/>
      <c r="AR542" s="70"/>
      <c r="AS542" s="70"/>
      <c r="AT542" s="70"/>
    </row>
    <row r="543" spans="1:46">
      <c r="A543" s="70"/>
      <c r="B543" s="70"/>
      <c r="C543" s="70"/>
      <c r="D543" s="70"/>
      <c r="E543" s="70"/>
      <c r="F543" s="70"/>
      <c r="G543" s="70"/>
      <c r="H543" s="54"/>
      <c r="I543" s="70"/>
      <c r="J543" s="70"/>
      <c r="K543" s="70"/>
      <c r="L543" s="70"/>
      <c r="M543" s="70"/>
      <c r="N543" s="70"/>
      <c r="O543" s="70"/>
      <c r="P543" s="70"/>
      <c r="Q543" s="70"/>
      <c r="R543" s="70"/>
      <c r="S543" s="70"/>
      <c r="T543" s="70"/>
      <c r="U543" s="70"/>
      <c r="V543" s="70"/>
      <c r="W543" s="70"/>
      <c r="X543" s="70"/>
      <c r="Y543" s="70"/>
      <c r="Z543" s="70"/>
      <c r="AA543" s="70"/>
      <c r="AB543" s="70"/>
      <c r="AC543" s="70"/>
      <c r="AD543" s="70"/>
      <c r="AE543" s="70"/>
      <c r="AF543" s="70"/>
      <c r="AG543" s="70"/>
      <c r="AH543" s="70"/>
      <c r="AI543" s="70"/>
      <c r="AJ543" s="70"/>
      <c r="AK543" s="70"/>
      <c r="AL543" s="70"/>
      <c r="AM543" s="70"/>
      <c r="AN543" s="70"/>
      <c r="AO543" s="70"/>
      <c r="AP543" s="70"/>
      <c r="AQ543" s="70"/>
      <c r="AR543" s="70"/>
      <c r="AS543" s="70"/>
      <c r="AT543" s="70"/>
    </row>
    <row r="544" spans="1:46">
      <c r="A544" s="70"/>
      <c r="B544" s="70"/>
      <c r="C544" s="70"/>
      <c r="D544" s="70"/>
      <c r="E544" s="70"/>
      <c r="F544" s="70"/>
      <c r="G544" s="70"/>
      <c r="H544" s="54"/>
      <c r="I544" s="70"/>
      <c r="J544" s="70"/>
      <c r="K544" s="70"/>
      <c r="L544" s="70"/>
      <c r="M544" s="70"/>
      <c r="N544" s="70"/>
      <c r="O544" s="70"/>
      <c r="P544" s="70"/>
      <c r="Q544" s="70"/>
      <c r="R544" s="70"/>
      <c r="S544" s="70"/>
      <c r="T544" s="70"/>
      <c r="U544" s="70"/>
      <c r="V544" s="70"/>
      <c r="W544" s="70"/>
      <c r="X544" s="70"/>
      <c r="Y544" s="70"/>
      <c r="Z544" s="70"/>
      <c r="AA544" s="70"/>
      <c r="AB544" s="70"/>
      <c r="AC544" s="70"/>
      <c r="AD544" s="70"/>
      <c r="AE544" s="70"/>
      <c r="AF544" s="70"/>
      <c r="AG544" s="70"/>
      <c r="AH544" s="70"/>
      <c r="AI544" s="70"/>
      <c r="AJ544" s="70"/>
      <c r="AK544" s="70"/>
      <c r="AL544" s="70"/>
      <c r="AM544" s="70"/>
      <c r="AN544" s="70"/>
      <c r="AO544" s="70"/>
      <c r="AP544" s="70"/>
      <c r="AQ544" s="70"/>
      <c r="AR544" s="70"/>
      <c r="AS544" s="70"/>
      <c r="AT544" s="70"/>
    </row>
    <row r="545" spans="1:46">
      <c r="A545" s="70"/>
      <c r="B545" s="70"/>
      <c r="C545" s="70"/>
      <c r="D545" s="70"/>
      <c r="E545" s="70"/>
      <c r="F545" s="70"/>
      <c r="G545" s="70"/>
      <c r="H545" s="54"/>
      <c r="I545" s="70"/>
      <c r="J545" s="70"/>
      <c r="K545" s="70"/>
      <c r="L545" s="70"/>
      <c r="M545" s="70"/>
      <c r="N545" s="70"/>
      <c r="O545" s="70"/>
      <c r="P545" s="70"/>
      <c r="Q545" s="70"/>
      <c r="R545" s="70"/>
      <c r="S545" s="70"/>
      <c r="T545" s="70"/>
      <c r="U545" s="70"/>
      <c r="V545" s="70"/>
      <c r="W545" s="70"/>
      <c r="X545" s="70"/>
      <c r="Y545" s="70"/>
      <c r="Z545" s="70"/>
      <c r="AA545" s="70"/>
      <c r="AB545" s="70"/>
      <c r="AC545" s="70"/>
      <c r="AD545" s="70"/>
      <c r="AE545" s="70"/>
      <c r="AF545" s="70"/>
      <c r="AG545" s="70"/>
      <c r="AH545" s="70"/>
      <c r="AI545" s="70"/>
      <c r="AJ545" s="70"/>
      <c r="AK545" s="70"/>
      <c r="AL545" s="70"/>
      <c r="AM545" s="70"/>
      <c r="AN545" s="70"/>
      <c r="AO545" s="70"/>
      <c r="AP545" s="70"/>
      <c r="AQ545" s="70"/>
      <c r="AR545" s="70"/>
      <c r="AS545" s="70"/>
      <c r="AT545" s="70"/>
    </row>
    <row r="546" spans="1:46">
      <c r="A546" s="70"/>
      <c r="B546" s="70"/>
      <c r="C546" s="70"/>
      <c r="D546" s="70"/>
      <c r="E546" s="70"/>
      <c r="F546" s="70"/>
      <c r="G546" s="70"/>
      <c r="H546" s="54"/>
      <c r="I546" s="70"/>
      <c r="J546" s="70"/>
      <c r="K546" s="70"/>
      <c r="L546" s="70"/>
      <c r="M546" s="70"/>
      <c r="N546" s="70"/>
      <c r="O546" s="70"/>
      <c r="P546" s="70"/>
      <c r="Q546" s="70"/>
      <c r="R546" s="70"/>
      <c r="S546" s="70"/>
      <c r="T546" s="70"/>
      <c r="U546" s="70"/>
      <c r="V546" s="70"/>
      <c r="W546" s="70"/>
      <c r="X546" s="70"/>
      <c r="Y546" s="70"/>
      <c r="Z546" s="70"/>
      <c r="AA546" s="70"/>
      <c r="AB546" s="70"/>
      <c r="AC546" s="70"/>
      <c r="AD546" s="70"/>
      <c r="AE546" s="70"/>
      <c r="AF546" s="70"/>
      <c r="AG546" s="70"/>
      <c r="AH546" s="70"/>
      <c r="AI546" s="70"/>
      <c r="AJ546" s="70"/>
      <c r="AK546" s="70"/>
      <c r="AL546" s="70"/>
      <c r="AM546" s="70"/>
      <c r="AN546" s="70"/>
      <c r="AO546" s="70"/>
      <c r="AP546" s="70"/>
      <c r="AQ546" s="70"/>
      <c r="AR546" s="70"/>
      <c r="AS546" s="70"/>
      <c r="AT546" s="70"/>
    </row>
    <row r="547" spans="1:46">
      <c r="A547" s="70"/>
      <c r="B547" s="70"/>
      <c r="C547" s="70"/>
      <c r="D547" s="70"/>
      <c r="E547" s="70"/>
      <c r="F547" s="70"/>
      <c r="G547" s="70"/>
      <c r="H547" s="54"/>
      <c r="I547" s="70"/>
      <c r="J547" s="70"/>
      <c r="K547" s="70"/>
      <c r="L547" s="70"/>
      <c r="M547" s="70"/>
      <c r="N547" s="70"/>
      <c r="O547" s="70"/>
      <c r="P547" s="70"/>
      <c r="Q547" s="70"/>
      <c r="R547" s="70"/>
      <c r="S547" s="70"/>
      <c r="T547" s="70"/>
      <c r="U547" s="70"/>
      <c r="V547" s="70"/>
      <c r="W547" s="70"/>
      <c r="X547" s="70"/>
      <c r="Y547" s="70"/>
      <c r="Z547" s="70"/>
      <c r="AA547" s="70"/>
      <c r="AB547" s="70"/>
      <c r="AC547" s="70"/>
      <c r="AD547" s="70"/>
      <c r="AE547" s="70"/>
      <c r="AF547" s="70"/>
      <c r="AG547" s="70"/>
      <c r="AH547" s="70"/>
      <c r="AI547" s="70"/>
      <c r="AJ547" s="70"/>
      <c r="AK547" s="70"/>
      <c r="AL547" s="70"/>
      <c r="AM547" s="70"/>
      <c r="AN547" s="70"/>
      <c r="AO547" s="70"/>
      <c r="AP547" s="70"/>
      <c r="AQ547" s="70"/>
      <c r="AR547" s="70"/>
      <c r="AS547" s="70"/>
      <c r="AT547" s="70"/>
    </row>
    <row r="548" spans="1:46">
      <c r="A548" s="70"/>
      <c r="B548" s="70"/>
      <c r="C548" s="70"/>
      <c r="D548" s="70"/>
      <c r="E548" s="70"/>
      <c r="F548" s="70"/>
      <c r="G548" s="70"/>
      <c r="H548" s="54"/>
      <c r="I548" s="70"/>
      <c r="J548" s="70"/>
      <c r="K548" s="70"/>
      <c r="L548" s="70"/>
      <c r="M548" s="70"/>
      <c r="N548" s="70"/>
      <c r="O548" s="70"/>
      <c r="P548" s="70"/>
      <c r="Q548" s="70"/>
      <c r="R548" s="70"/>
      <c r="S548" s="70"/>
      <c r="T548" s="70"/>
      <c r="U548" s="70"/>
      <c r="V548" s="70"/>
      <c r="W548" s="70"/>
      <c r="X548" s="70"/>
      <c r="Y548" s="70"/>
      <c r="Z548" s="70"/>
      <c r="AA548" s="70"/>
      <c r="AB548" s="70"/>
      <c r="AC548" s="70"/>
      <c r="AD548" s="70"/>
      <c r="AE548" s="70"/>
      <c r="AF548" s="70"/>
      <c r="AG548" s="70"/>
      <c r="AH548" s="70"/>
      <c r="AI548" s="70"/>
      <c r="AJ548" s="70"/>
      <c r="AK548" s="70"/>
      <c r="AL548" s="70"/>
      <c r="AM548" s="70"/>
      <c r="AN548" s="70"/>
      <c r="AO548" s="70"/>
      <c r="AP548" s="70"/>
      <c r="AQ548" s="70"/>
      <c r="AR548" s="70"/>
      <c r="AS548" s="70"/>
      <c r="AT548" s="70"/>
    </row>
    <row r="549" spans="1:46">
      <c r="A549" s="70"/>
      <c r="B549" s="70"/>
      <c r="C549" s="70"/>
      <c r="D549" s="70"/>
      <c r="E549" s="70"/>
      <c r="F549" s="70"/>
      <c r="G549" s="70"/>
      <c r="H549" s="54"/>
      <c r="I549" s="70"/>
      <c r="J549" s="70"/>
      <c r="K549" s="70"/>
      <c r="L549" s="70"/>
      <c r="M549" s="70"/>
      <c r="N549" s="70"/>
      <c r="O549" s="70"/>
      <c r="P549" s="70"/>
      <c r="Q549" s="70"/>
      <c r="R549" s="70"/>
      <c r="S549" s="70"/>
      <c r="T549" s="70"/>
      <c r="U549" s="70"/>
      <c r="V549" s="70"/>
      <c r="W549" s="70"/>
      <c r="X549" s="70"/>
      <c r="Y549" s="70"/>
      <c r="Z549" s="70"/>
      <c r="AA549" s="70"/>
      <c r="AB549" s="70"/>
      <c r="AC549" s="70"/>
      <c r="AD549" s="70"/>
      <c r="AE549" s="70"/>
      <c r="AF549" s="70"/>
      <c r="AG549" s="70"/>
      <c r="AH549" s="70"/>
      <c r="AI549" s="70"/>
      <c r="AJ549" s="70"/>
      <c r="AK549" s="70"/>
      <c r="AL549" s="70"/>
      <c r="AM549" s="70"/>
      <c r="AN549" s="70"/>
      <c r="AO549" s="70"/>
      <c r="AP549" s="70"/>
      <c r="AQ549" s="70"/>
      <c r="AR549" s="70"/>
      <c r="AS549" s="70"/>
      <c r="AT549" s="70"/>
    </row>
    <row r="550" spans="1:46">
      <c r="A550" s="70"/>
      <c r="B550" s="70"/>
      <c r="C550" s="70"/>
      <c r="D550" s="70"/>
      <c r="E550" s="70"/>
      <c r="F550" s="70"/>
      <c r="G550" s="70"/>
      <c r="H550" s="54"/>
      <c r="I550" s="70"/>
      <c r="J550" s="70"/>
      <c r="K550" s="70"/>
      <c r="L550" s="70"/>
      <c r="M550" s="70"/>
      <c r="N550" s="70"/>
      <c r="O550" s="70"/>
      <c r="P550" s="70"/>
      <c r="Q550" s="70"/>
      <c r="R550" s="70"/>
      <c r="S550" s="70"/>
      <c r="T550" s="70"/>
      <c r="U550" s="70"/>
      <c r="V550" s="70"/>
      <c r="W550" s="70"/>
      <c r="X550" s="70"/>
      <c r="Y550" s="70"/>
      <c r="Z550" s="70"/>
      <c r="AA550" s="70"/>
      <c r="AB550" s="70"/>
      <c r="AC550" s="70"/>
      <c r="AD550" s="70"/>
      <c r="AE550" s="70"/>
      <c r="AF550" s="70"/>
      <c r="AG550" s="70"/>
      <c r="AH550" s="70"/>
      <c r="AI550" s="70"/>
      <c r="AJ550" s="70"/>
      <c r="AK550" s="70"/>
      <c r="AL550" s="70"/>
      <c r="AM550" s="70"/>
      <c r="AN550" s="70"/>
      <c r="AO550" s="70"/>
      <c r="AP550" s="70"/>
      <c r="AQ550" s="70"/>
      <c r="AR550" s="70"/>
      <c r="AS550" s="70"/>
      <c r="AT550" s="70"/>
    </row>
    <row r="551" spans="1:46">
      <c r="A551" s="70"/>
      <c r="B551" s="70"/>
      <c r="C551" s="70"/>
      <c r="D551" s="70"/>
      <c r="E551" s="70"/>
      <c r="F551" s="70"/>
      <c r="G551" s="70"/>
      <c r="H551" s="54"/>
      <c r="I551" s="70"/>
      <c r="J551" s="70"/>
      <c r="K551" s="70"/>
      <c r="L551" s="70"/>
      <c r="M551" s="70"/>
      <c r="N551" s="70"/>
      <c r="O551" s="70"/>
      <c r="P551" s="70"/>
      <c r="Q551" s="70"/>
      <c r="R551" s="70"/>
      <c r="S551" s="70"/>
      <c r="T551" s="70"/>
      <c r="U551" s="70"/>
      <c r="V551" s="70"/>
      <c r="W551" s="70"/>
      <c r="X551" s="70"/>
      <c r="Y551" s="70"/>
      <c r="Z551" s="70"/>
      <c r="AA551" s="70"/>
      <c r="AB551" s="70"/>
      <c r="AC551" s="70"/>
      <c r="AD551" s="70"/>
      <c r="AE551" s="70"/>
      <c r="AF551" s="70"/>
      <c r="AG551" s="70"/>
      <c r="AH551" s="70"/>
      <c r="AI551" s="70"/>
      <c r="AJ551" s="70"/>
      <c r="AK551" s="70"/>
      <c r="AL551" s="70"/>
      <c r="AM551" s="70"/>
      <c r="AN551" s="70"/>
      <c r="AO551" s="70"/>
      <c r="AP551" s="70"/>
      <c r="AQ551" s="70"/>
      <c r="AR551" s="70"/>
      <c r="AS551" s="70"/>
      <c r="AT551" s="70"/>
    </row>
    <row r="552" spans="1:46">
      <c r="A552" s="70"/>
      <c r="B552" s="70"/>
      <c r="C552" s="70"/>
      <c r="D552" s="70"/>
      <c r="E552" s="70"/>
      <c r="F552" s="70"/>
      <c r="G552" s="70"/>
      <c r="H552" s="54"/>
      <c r="I552" s="70"/>
      <c r="J552" s="70"/>
      <c r="K552" s="70"/>
      <c r="L552" s="70"/>
      <c r="M552" s="70"/>
      <c r="N552" s="70"/>
      <c r="O552" s="70"/>
      <c r="P552" s="70"/>
      <c r="Q552" s="70"/>
      <c r="R552" s="70"/>
      <c r="S552" s="70"/>
      <c r="T552" s="70"/>
      <c r="U552" s="70"/>
      <c r="V552" s="70"/>
      <c r="W552" s="70"/>
      <c r="X552" s="70"/>
      <c r="Y552" s="70"/>
      <c r="Z552" s="70"/>
      <c r="AA552" s="70"/>
      <c r="AB552" s="70"/>
      <c r="AC552" s="70"/>
      <c r="AD552" s="70"/>
      <c r="AE552" s="70"/>
      <c r="AF552" s="70"/>
      <c r="AG552" s="70"/>
      <c r="AH552" s="70"/>
      <c r="AI552" s="70"/>
      <c r="AJ552" s="70"/>
      <c r="AK552" s="70"/>
      <c r="AL552" s="70"/>
      <c r="AM552" s="70"/>
      <c r="AN552" s="70"/>
      <c r="AO552" s="70"/>
      <c r="AP552" s="70"/>
      <c r="AQ552" s="70"/>
      <c r="AR552" s="70"/>
      <c r="AS552" s="70"/>
      <c r="AT552" s="70"/>
    </row>
    <row r="553" spans="1:46">
      <c r="A553" s="70"/>
      <c r="B553" s="70"/>
      <c r="C553" s="70"/>
      <c r="D553" s="70"/>
      <c r="E553" s="70"/>
      <c r="F553" s="70"/>
      <c r="G553" s="70"/>
      <c r="H553" s="54"/>
      <c r="I553" s="70"/>
      <c r="J553" s="70"/>
      <c r="K553" s="70"/>
      <c r="L553" s="70"/>
      <c r="M553" s="70"/>
      <c r="N553" s="70"/>
      <c r="O553" s="70"/>
      <c r="P553" s="70"/>
      <c r="Q553" s="70"/>
      <c r="R553" s="70"/>
      <c r="S553" s="70"/>
      <c r="T553" s="70"/>
      <c r="U553" s="70"/>
      <c r="V553" s="70"/>
      <c r="W553" s="70"/>
      <c r="X553" s="70"/>
      <c r="Y553" s="70"/>
      <c r="Z553" s="70"/>
      <c r="AA553" s="70"/>
      <c r="AB553" s="70"/>
      <c r="AC553" s="70"/>
      <c r="AD553" s="70"/>
      <c r="AE553" s="70"/>
      <c r="AF553" s="70"/>
      <c r="AG553" s="70"/>
      <c r="AH553" s="70"/>
      <c r="AI553" s="70"/>
      <c r="AJ553" s="70"/>
      <c r="AK553" s="70"/>
      <c r="AL553" s="70"/>
      <c r="AM553" s="70"/>
      <c r="AN553" s="70"/>
      <c r="AO553" s="70"/>
      <c r="AP553" s="70"/>
      <c r="AQ553" s="70"/>
      <c r="AR553" s="70"/>
      <c r="AS553" s="70"/>
      <c r="AT553" s="70"/>
    </row>
    <row r="554" spans="1:46">
      <c r="A554" s="70"/>
      <c r="B554" s="70"/>
      <c r="C554" s="70"/>
      <c r="D554" s="70"/>
      <c r="E554" s="70"/>
      <c r="F554" s="70"/>
      <c r="G554" s="70"/>
      <c r="H554" s="54"/>
      <c r="I554" s="70"/>
      <c r="J554" s="70"/>
      <c r="K554" s="70"/>
      <c r="L554" s="70"/>
      <c r="M554" s="70"/>
      <c r="N554" s="70"/>
      <c r="O554" s="70"/>
      <c r="P554" s="70"/>
      <c r="Q554" s="70"/>
      <c r="R554" s="70"/>
      <c r="S554" s="70"/>
      <c r="T554" s="70"/>
      <c r="U554" s="70"/>
      <c r="V554" s="70"/>
      <c r="W554" s="70"/>
      <c r="X554" s="70"/>
      <c r="Y554" s="70"/>
      <c r="Z554" s="70"/>
      <c r="AA554" s="70"/>
      <c r="AB554" s="70"/>
      <c r="AC554" s="70"/>
      <c r="AD554" s="70"/>
      <c r="AE554" s="70"/>
      <c r="AF554" s="70"/>
      <c r="AG554" s="70"/>
      <c r="AH554" s="70"/>
      <c r="AI554" s="70"/>
      <c r="AJ554" s="70"/>
      <c r="AK554" s="70"/>
      <c r="AL554" s="70"/>
      <c r="AM554" s="70"/>
      <c r="AN554" s="70"/>
      <c r="AO554" s="70"/>
      <c r="AP554" s="70"/>
      <c r="AQ554" s="70"/>
      <c r="AR554" s="70"/>
      <c r="AS554" s="70"/>
      <c r="AT554" s="70"/>
    </row>
    <row r="555" spans="1:46">
      <c r="A555" s="70"/>
      <c r="B555" s="70"/>
      <c r="C555" s="70"/>
      <c r="D555" s="70"/>
      <c r="E555" s="70"/>
      <c r="F555" s="70"/>
      <c r="G555" s="70"/>
      <c r="H555" s="54"/>
      <c r="I555" s="70"/>
      <c r="J555" s="70"/>
      <c r="K555" s="70"/>
      <c r="L555" s="70"/>
      <c r="M555" s="70"/>
      <c r="N555" s="70"/>
      <c r="O555" s="70"/>
      <c r="P555" s="70"/>
      <c r="Q555" s="70"/>
      <c r="R555" s="70"/>
      <c r="S555" s="70"/>
      <c r="T555" s="70"/>
      <c r="U555" s="70"/>
      <c r="V555" s="70"/>
      <c r="W555" s="70"/>
      <c r="X555" s="70"/>
      <c r="Y555" s="70"/>
      <c r="Z555" s="70"/>
      <c r="AA555" s="70"/>
      <c r="AB555" s="70"/>
      <c r="AC555" s="70"/>
      <c r="AD555" s="70"/>
      <c r="AE555" s="70"/>
      <c r="AF555" s="70"/>
      <c r="AG555" s="70"/>
      <c r="AH555" s="70"/>
      <c r="AI555" s="70"/>
      <c r="AJ555" s="70"/>
      <c r="AK555" s="70"/>
      <c r="AL555" s="70"/>
      <c r="AM555" s="70"/>
      <c r="AN555" s="70"/>
      <c r="AO555" s="70"/>
      <c r="AP555" s="70"/>
      <c r="AQ555" s="70"/>
      <c r="AR555" s="70"/>
      <c r="AS555" s="70"/>
      <c r="AT555" s="70"/>
    </row>
    <row r="556" spans="1:46">
      <c r="A556" s="70"/>
      <c r="B556" s="70"/>
      <c r="C556" s="70"/>
      <c r="D556" s="70"/>
      <c r="E556" s="70"/>
      <c r="F556" s="70"/>
      <c r="G556" s="70"/>
      <c r="H556" s="54"/>
      <c r="I556" s="70"/>
      <c r="J556" s="70"/>
      <c r="K556" s="70"/>
      <c r="L556" s="70"/>
      <c r="M556" s="70"/>
      <c r="N556" s="70"/>
      <c r="O556" s="70"/>
      <c r="P556" s="70"/>
      <c r="Q556" s="70"/>
      <c r="R556" s="70"/>
      <c r="S556" s="70"/>
      <c r="T556" s="70"/>
      <c r="U556" s="70"/>
      <c r="V556" s="70"/>
      <c r="W556" s="70"/>
      <c r="X556" s="70"/>
      <c r="Y556" s="70"/>
      <c r="Z556" s="70"/>
      <c r="AA556" s="70"/>
      <c r="AB556" s="70"/>
      <c r="AC556" s="70"/>
      <c r="AD556" s="70"/>
      <c r="AE556" s="70"/>
      <c r="AF556" s="70"/>
      <c r="AG556" s="70"/>
      <c r="AH556" s="70"/>
      <c r="AI556" s="70"/>
      <c r="AJ556" s="70"/>
      <c r="AK556" s="70"/>
      <c r="AL556" s="70"/>
      <c r="AM556" s="70"/>
      <c r="AN556" s="70"/>
      <c r="AO556" s="70"/>
      <c r="AP556" s="70"/>
      <c r="AQ556" s="70"/>
      <c r="AR556" s="70"/>
      <c r="AS556" s="70"/>
      <c r="AT556" s="70"/>
    </row>
    <row r="557" spans="1:46">
      <c r="A557" s="70"/>
      <c r="B557" s="70"/>
      <c r="C557" s="70"/>
      <c r="D557" s="70"/>
      <c r="E557" s="70"/>
      <c r="F557" s="70"/>
      <c r="G557" s="70"/>
      <c r="H557" s="54"/>
      <c r="I557" s="70"/>
      <c r="J557" s="70"/>
      <c r="K557" s="70"/>
      <c r="L557" s="70"/>
      <c r="M557" s="70"/>
      <c r="N557" s="70"/>
      <c r="O557" s="70"/>
      <c r="P557" s="70"/>
      <c r="Q557" s="70"/>
      <c r="R557" s="70"/>
      <c r="S557" s="70"/>
      <c r="T557" s="70"/>
      <c r="U557" s="70"/>
      <c r="V557" s="70"/>
      <c r="W557" s="70"/>
      <c r="X557" s="70"/>
      <c r="Y557" s="70"/>
      <c r="Z557" s="70"/>
      <c r="AA557" s="70"/>
      <c r="AB557" s="70"/>
      <c r="AC557" s="70"/>
      <c r="AD557" s="70"/>
      <c r="AE557" s="70"/>
      <c r="AF557" s="70"/>
      <c r="AG557" s="70"/>
      <c r="AH557" s="70"/>
      <c r="AI557" s="70"/>
      <c r="AJ557" s="70"/>
      <c r="AK557" s="70"/>
      <c r="AL557" s="70"/>
      <c r="AM557" s="70"/>
      <c r="AN557" s="70"/>
      <c r="AO557" s="70"/>
      <c r="AP557" s="70"/>
      <c r="AQ557" s="70"/>
      <c r="AR557" s="70"/>
      <c r="AS557" s="70"/>
      <c r="AT557" s="70"/>
    </row>
    <row r="558" spans="1:46">
      <c r="A558" s="70"/>
      <c r="B558" s="70"/>
      <c r="C558" s="70"/>
      <c r="D558" s="70"/>
      <c r="E558" s="70"/>
      <c r="F558" s="70"/>
      <c r="G558" s="70"/>
      <c r="H558" s="54"/>
      <c r="I558" s="70"/>
      <c r="J558" s="70"/>
      <c r="K558" s="70"/>
      <c r="L558" s="70"/>
      <c r="M558" s="70"/>
      <c r="N558" s="70"/>
      <c r="O558" s="70"/>
      <c r="P558" s="70"/>
      <c r="Q558" s="70"/>
      <c r="R558" s="70"/>
      <c r="S558" s="70"/>
      <c r="T558" s="70"/>
      <c r="U558" s="70"/>
      <c r="V558" s="70"/>
      <c r="W558" s="70"/>
      <c r="X558" s="70"/>
      <c r="Y558" s="70"/>
      <c r="Z558" s="70"/>
      <c r="AA558" s="70"/>
      <c r="AB558" s="70"/>
      <c r="AC558" s="70"/>
      <c r="AD558" s="70"/>
      <c r="AE558" s="70"/>
      <c r="AF558" s="70"/>
      <c r="AG558" s="70"/>
      <c r="AH558" s="70"/>
      <c r="AI558" s="70"/>
      <c r="AJ558" s="70"/>
      <c r="AK558" s="70"/>
      <c r="AL558" s="70"/>
      <c r="AM558" s="70"/>
      <c r="AN558" s="70"/>
      <c r="AO558" s="70"/>
      <c r="AP558" s="70"/>
      <c r="AQ558" s="70"/>
      <c r="AR558" s="70"/>
      <c r="AS558" s="70"/>
      <c r="AT558" s="70"/>
    </row>
    <row r="559" spans="1:46">
      <c r="A559" s="70"/>
      <c r="B559" s="70"/>
      <c r="C559" s="70"/>
      <c r="D559" s="70"/>
      <c r="E559" s="70"/>
      <c r="F559" s="70"/>
      <c r="G559" s="70"/>
      <c r="H559" s="54"/>
      <c r="I559" s="70"/>
      <c r="J559" s="70"/>
      <c r="K559" s="70"/>
      <c r="L559" s="70"/>
      <c r="M559" s="70"/>
      <c r="N559" s="70"/>
      <c r="O559" s="70"/>
      <c r="P559" s="70"/>
      <c r="Q559" s="70"/>
      <c r="R559" s="70"/>
      <c r="S559" s="70"/>
      <c r="T559" s="70"/>
      <c r="U559" s="70"/>
      <c r="V559" s="70"/>
      <c r="W559" s="70"/>
      <c r="X559" s="70"/>
      <c r="Y559" s="70"/>
      <c r="Z559" s="70"/>
      <c r="AA559" s="70"/>
      <c r="AB559" s="70"/>
      <c r="AC559" s="70"/>
      <c r="AD559" s="70"/>
      <c r="AE559" s="70"/>
      <c r="AF559" s="70"/>
      <c r="AG559" s="70"/>
      <c r="AH559" s="70"/>
      <c r="AI559" s="70"/>
      <c r="AJ559" s="70"/>
      <c r="AK559" s="70"/>
      <c r="AL559" s="70"/>
      <c r="AM559" s="70"/>
      <c r="AN559" s="70"/>
      <c r="AO559" s="70"/>
      <c r="AP559" s="70"/>
      <c r="AQ559" s="70"/>
      <c r="AR559" s="70"/>
      <c r="AS559" s="70"/>
      <c r="AT559" s="70"/>
    </row>
    <row r="560" spans="1:46">
      <c r="A560" s="70"/>
      <c r="B560" s="70"/>
      <c r="C560" s="70"/>
      <c r="D560" s="70"/>
      <c r="E560" s="70"/>
      <c r="F560" s="70"/>
      <c r="G560" s="70"/>
      <c r="H560" s="54"/>
      <c r="I560" s="70"/>
      <c r="J560" s="70"/>
      <c r="K560" s="70"/>
      <c r="L560" s="70"/>
      <c r="M560" s="70"/>
      <c r="N560" s="70"/>
      <c r="O560" s="70"/>
      <c r="P560" s="70"/>
      <c r="Q560" s="70"/>
      <c r="R560" s="70"/>
      <c r="S560" s="70"/>
      <c r="T560" s="70"/>
      <c r="U560" s="70"/>
      <c r="V560" s="70"/>
      <c r="W560" s="70"/>
      <c r="X560" s="70"/>
      <c r="Y560" s="70"/>
      <c r="Z560" s="70"/>
      <c r="AA560" s="70"/>
      <c r="AB560" s="70"/>
      <c r="AC560" s="70"/>
      <c r="AD560" s="70"/>
      <c r="AE560" s="70"/>
      <c r="AF560" s="70"/>
      <c r="AG560" s="70"/>
      <c r="AH560" s="70"/>
      <c r="AI560" s="70"/>
      <c r="AJ560" s="70"/>
      <c r="AK560" s="70"/>
      <c r="AL560" s="70"/>
      <c r="AM560" s="70"/>
      <c r="AN560" s="70"/>
      <c r="AO560" s="70"/>
      <c r="AP560" s="70"/>
      <c r="AQ560" s="70"/>
      <c r="AR560" s="70"/>
      <c r="AS560" s="70"/>
      <c r="AT560" s="70"/>
    </row>
    <row r="561" spans="1:46">
      <c r="A561" s="70"/>
      <c r="B561" s="70"/>
      <c r="C561" s="70"/>
      <c r="D561" s="70"/>
      <c r="E561" s="70"/>
      <c r="F561" s="70"/>
      <c r="G561" s="70"/>
      <c r="H561" s="54"/>
      <c r="I561" s="70"/>
      <c r="J561" s="70"/>
      <c r="K561" s="70"/>
      <c r="L561" s="70"/>
      <c r="M561" s="70"/>
      <c r="N561" s="70"/>
      <c r="O561" s="70"/>
      <c r="P561" s="70"/>
      <c r="Q561" s="70"/>
      <c r="R561" s="70"/>
      <c r="S561" s="70"/>
      <c r="T561" s="70"/>
      <c r="U561" s="70"/>
      <c r="V561" s="70"/>
      <c r="W561" s="70"/>
      <c r="X561" s="70"/>
      <c r="Y561" s="70"/>
      <c r="Z561" s="70"/>
      <c r="AA561" s="70"/>
      <c r="AB561" s="70"/>
      <c r="AC561" s="70"/>
      <c r="AD561" s="70"/>
      <c r="AE561" s="70"/>
      <c r="AF561" s="70"/>
      <c r="AG561" s="70"/>
      <c r="AH561" s="70"/>
      <c r="AI561" s="70"/>
      <c r="AJ561" s="70"/>
      <c r="AK561" s="70"/>
      <c r="AL561" s="70"/>
      <c r="AM561" s="70"/>
      <c r="AN561" s="70"/>
      <c r="AO561" s="70"/>
      <c r="AP561" s="70"/>
      <c r="AQ561" s="70"/>
      <c r="AR561" s="70"/>
      <c r="AS561" s="70"/>
      <c r="AT561" s="70"/>
    </row>
    <row r="562" spans="1:46">
      <c r="A562" s="70"/>
      <c r="B562" s="70"/>
      <c r="C562" s="70"/>
      <c r="D562" s="70"/>
      <c r="E562" s="70"/>
      <c r="F562" s="70"/>
      <c r="G562" s="70"/>
      <c r="H562" s="54"/>
      <c r="I562" s="70"/>
      <c r="J562" s="70"/>
      <c r="K562" s="70"/>
      <c r="L562" s="70"/>
      <c r="M562" s="70"/>
      <c r="N562" s="70"/>
      <c r="O562" s="70"/>
      <c r="P562" s="70"/>
      <c r="Q562" s="70"/>
      <c r="R562" s="70"/>
      <c r="S562" s="70"/>
      <c r="T562" s="70"/>
      <c r="U562" s="70"/>
      <c r="V562" s="70"/>
      <c r="W562" s="70"/>
      <c r="X562" s="70"/>
      <c r="Y562" s="70"/>
      <c r="Z562" s="70"/>
      <c r="AA562" s="70"/>
      <c r="AB562" s="70"/>
      <c r="AC562" s="70"/>
      <c r="AD562" s="70"/>
      <c r="AE562" s="70"/>
      <c r="AF562" s="70"/>
      <c r="AG562" s="70"/>
      <c r="AH562" s="70"/>
      <c r="AI562" s="70"/>
      <c r="AJ562" s="70"/>
      <c r="AK562" s="70"/>
      <c r="AL562" s="70"/>
      <c r="AM562" s="70"/>
      <c r="AN562" s="70"/>
      <c r="AO562" s="70"/>
      <c r="AP562" s="70"/>
      <c r="AQ562" s="70"/>
      <c r="AR562" s="70"/>
      <c r="AS562" s="70"/>
      <c r="AT562" s="70"/>
    </row>
    <row r="563" spans="1:46">
      <c r="A563" s="70"/>
      <c r="B563" s="70"/>
      <c r="C563" s="70"/>
      <c r="D563" s="70"/>
      <c r="E563" s="70"/>
      <c r="F563" s="70"/>
      <c r="G563" s="70"/>
      <c r="H563" s="54"/>
      <c r="I563" s="70"/>
      <c r="J563" s="70"/>
      <c r="K563" s="70"/>
      <c r="L563" s="70"/>
      <c r="M563" s="70"/>
      <c r="N563" s="70"/>
      <c r="O563" s="70"/>
      <c r="P563" s="70"/>
      <c r="Q563" s="70"/>
      <c r="R563" s="70"/>
      <c r="S563" s="70"/>
      <c r="T563" s="70"/>
      <c r="U563" s="70"/>
      <c r="V563" s="70"/>
      <c r="W563" s="70"/>
      <c r="X563" s="70"/>
      <c r="Y563" s="70"/>
      <c r="Z563" s="70"/>
      <c r="AA563" s="70"/>
      <c r="AB563" s="70"/>
      <c r="AC563" s="70"/>
      <c r="AD563" s="70"/>
      <c r="AE563" s="70"/>
      <c r="AF563" s="70"/>
      <c r="AG563" s="70"/>
      <c r="AH563" s="70"/>
      <c r="AI563" s="70"/>
      <c r="AJ563" s="70"/>
      <c r="AK563" s="70"/>
      <c r="AL563" s="70"/>
      <c r="AM563" s="70"/>
      <c r="AN563" s="70"/>
      <c r="AO563" s="70"/>
      <c r="AP563" s="70"/>
      <c r="AQ563" s="70"/>
      <c r="AR563" s="70"/>
      <c r="AS563" s="70"/>
      <c r="AT563" s="70"/>
    </row>
    <row r="564" spans="1:46">
      <c r="A564" s="70"/>
      <c r="B564" s="70"/>
      <c r="C564" s="70"/>
      <c r="D564" s="70"/>
      <c r="E564" s="70"/>
      <c r="F564" s="70"/>
      <c r="G564" s="70"/>
      <c r="H564" s="54"/>
      <c r="I564" s="70"/>
      <c r="J564" s="70"/>
      <c r="K564" s="70"/>
      <c r="L564" s="70"/>
      <c r="M564" s="70"/>
      <c r="N564" s="70"/>
      <c r="O564" s="70"/>
      <c r="P564" s="70"/>
      <c r="Q564" s="70"/>
      <c r="R564" s="70"/>
      <c r="S564" s="70"/>
      <c r="T564" s="70"/>
      <c r="U564" s="70"/>
      <c r="V564" s="70"/>
      <c r="W564" s="70"/>
      <c r="X564" s="70"/>
      <c r="Y564" s="70"/>
      <c r="Z564" s="70"/>
      <c r="AA564" s="70"/>
      <c r="AB564" s="70"/>
      <c r="AC564" s="70"/>
      <c r="AD564" s="70"/>
      <c r="AE564" s="70"/>
      <c r="AF564" s="70"/>
      <c r="AG564" s="70"/>
      <c r="AH564" s="70"/>
      <c r="AI564" s="70"/>
      <c r="AJ564" s="70"/>
      <c r="AK564" s="70"/>
      <c r="AL564" s="70"/>
      <c r="AM564" s="70"/>
      <c r="AN564" s="70"/>
      <c r="AO564" s="70"/>
      <c r="AP564" s="70"/>
      <c r="AQ564" s="70"/>
      <c r="AR564" s="70"/>
      <c r="AS564" s="70"/>
      <c r="AT564" s="70"/>
    </row>
    <row r="565" spans="1:46">
      <c r="A565" s="70"/>
      <c r="B565" s="70"/>
      <c r="C565" s="70"/>
      <c r="D565" s="70"/>
      <c r="E565" s="70"/>
      <c r="F565" s="70"/>
      <c r="G565" s="70"/>
      <c r="H565" s="54"/>
      <c r="I565" s="70"/>
      <c r="J565" s="70"/>
      <c r="K565" s="70"/>
      <c r="L565" s="70"/>
      <c r="M565" s="70"/>
      <c r="N565" s="70"/>
      <c r="O565" s="70"/>
      <c r="P565" s="70"/>
      <c r="Q565" s="70"/>
      <c r="R565" s="70"/>
      <c r="S565" s="70"/>
      <c r="T565" s="70"/>
      <c r="U565" s="70"/>
      <c r="V565" s="70"/>
      <c r="W565" s="70"/>
      <c r="X565" s="70"/>
      <c r="Y565" s="70"/>
      <c r="Z565" s="70"/>
      <c r="AA565" s="70"/>
      <c r="AB565" s="70"/>
      <c r="AC565" s="70"/>
      <c r="AD565" s="70"/>
      <c r="AE565" s="70"/>
      <c r="AF565" s="70"/>
      <c r="AG565" s="70"/>
      <c r="AH565" s="70"/>
      <c r="AI565" s="70"/>
      <c r="AJ565" s="70"/>
      <c r="AK565" s="70"/>
      <c r="AL565" s="70"/>
      <c r="AM565" s="70"/>
      <c r="AN565" s="70"/>
      <c r="AO565" s="70"/>
      <c r="AP565" s="70"/>
      <c r="AQ565" s="70"/>
      <c r="AR565" s="70"/>
      <c r="AS565" s="70"/>
      <c r="AT565" s="70"/>
    </row>
    <row r="566" spans="1:46">
      <c r="A566" s="70"/>
      <c r="B566" s="70"/>
      <c r="C566" s="70"/>
      <c r="D566" s="70"/>
      <c r="E566" s="70"/>
      <c r="F566" s="70"/>
      <c r="G566" s="70"/>
      <c r="H566" s="54"/>
      <c r="I566" s="70"/>
      <c r="J566" s="70"/>
      <c r="K566" s="70"/>
      <c r="L566" s="70"/>
      <c r="M566" s="70"/>
      <c r="N566" s="70"/>
      <c r="O566" s="70"/>
      <c r="P566" s="70"/>
      <c r="Q566" s="70"/>
      <c r="R566" s="70"/>
      <c r="S566" s="70"/>
      <c r="T566" s="70"/>
      <c r="U566" s="70"/>
      <c r="V566" s="70"/>
      <c r="W566" s="70"/>
      <c r="X566" s="70"/>
      <c r="Y566" s="70"/>
      <c r="Z566" s="70"/>
      <c r="AA566" s="70"/>
      <c r="AB566" s="70"/>
      <c r="AC566" s="70"/>
      <c r="AD566" s="70"/>
      <c r="AE566" s="70"/>
      <c r="AF566" s="70"/>
      <c r="AG566" s="70"/>
      <c r="AH566" s="70"/>
      <c r="AI566" s="70"/>
      <c r="AJ566" s="70"/>
      <c r="AK566" s="70"/>
      <c r="AL566" s="70"/>
      <c r="AM566" s="70"/>
      <c r="AN566" s="70"/>
      <c r="AO566" s="70"/>
      <c r="AP566" s="70"/>
      <c r="AQ566" s="70"/>
      <c r="AR566" s="70"/>
      <c r="AS566" s="70"/>
      <c r="AT566" s="70"/>
    </row>
    <row r="567" spans="1:46">
      <c r="A567" s="70"/>
      <c r="B567" s="70"/>
      <c r="C567" s="70"/>
      <c r="D567" s="70"/>
      <c r="E567" s="70"/>
      <c r="F567" s="70"/>
      <c r="G567" s="70"/>
      <c r="H567" s="54"/>
      <c r="I567" s="70"/>
      <c r="J567" s="70"/>
      <c r="K567" s="70"/>
      <c r="L567" s="70"/>
      <c r="M567" s="70"/>
      <c r="N567" s="70"/>
      <c r="O567" s="70"/>
      <c r="P567" s="70"/>
      <c r="Q567" s="70"/>
      <c r="R567" s="70"/>
      <c r="S567" s="70"/>
      <c r="T567" s="70"/>
      <c r="U567" s="70"/>
      <c r="V567" s="70"/>
      <c r="W567" s="70"/>
      <c r="X567" s="70"/>
      <c r="Y567" s="70"/>
      <c r="Z567" s="70"/>
      <c r="AA567" s="70"/>
      <c r="AB567" s="70"/>
      <c r="AC567" s="70"/>
      <c r="AD567" s="70"/>
      <c r="AE567" s="70"/>
      <c r="AF567" s="70"/>
      <c r="AG567" s="70"/>
      <c r="AH567" s="70"/>
      <c r="AI567" s="70"/>
      <c r="AJ567" s="70"/>
      <c r="AK567" s="70"/>
      <c r="AL567" s="70"/>
      <c r="AM567" s="70"/>
      <c r="AN567" s="70"/>
      <c r="AO567" s="70"/>
      <c r="AP567" s="70"/>
      <c r="AQ567" s="70"/>
      <c r="AR567" s="70"/>
      <c r="AS567" s="70"/>
      <c r="AT567" s="70"/>
    </row>
    <row r="568" spans="1:46">
      <c r="A568" s="70"/>
      <c r="B568" s="70"/>
      <c r="C568" s="70"/>
      <c r="D568" s="70"/>
      <c r="E568" s="70"/>
      <c r="F568" s="70"/>
      <c r="G568" s="70"/>
      <c r="H568" s="54"/>
      <c r="I568" s="70"/>
      <c r="J568" s="70"/>
      <c r="K568" s="70"/>
      <c r="L568" s="70"/>
      <c r="M568" s="70"/>
      <c r="N568" s="70"/>
      <c r="O568" s="70"/>
      <c r="P568" s="70"/>
      <c r="Q568" s="70"/>
      <c r="R568" s="70"/>
      <c r="S568" s="70"/>
      <c r="T568" s="70"/>
      <c r="U568" s="70"/>
      <c r="V568" s="70"/>
      <c r="W568" s="70"/>
      <c r="X568" s="70"/>
      <c r="Y568" s="70"/>
      <c r="Z568" s="70"/>
      <c r="AA568" s="70"/>
      <c r="AB568" s="70"/>
      <c r="AC568" s="70"/>
      <c r="AD568" s="70"/>
      <c r="AE568" s="70"/>
      <c r="AF568" s="70"/>
      <c r="AG568" s="70"/>
      <c r="AH568" s="70"/>
      <c r="AI568" s="70"/>
      <c r="AJ568" s="70"/>
      <c r="AK568" s="70"/>
      <c r="AL568" s="70"/>
      <c r="AM568" s="70"/>
      <c r="AN568" s="70"/>
      <c r="AO568" s="70"/>
      <c r="AP568" s="70"/>
      <c r="AQ568" s="70"/>
      <c r="AR568" s="70"/>
      <c r="AS568" s="70"/>
      <c r="AT568" s="70"/>
    </row>
    <row r="569" spans="1:46">
      <c r="A569" s="70"/>
      <c r="B569" s="70"/>
      <c r="C569" s="70"/>
      <c r="D569" s="70"/>
      <c r="E569" s="70"/>
      <c r="F569" s="70"/>
      <c r="G569" s="70"/>
      <c r="H569" s="54"/>
      <c r="I569" s="70"/>
      <c r="J569" s="70"/>
      <c r="K569" s="70"/>
      <c r="L569" s="70"/>
      <c r="M569" s="70"/>
      <c r="N569" s="70"/>
      <c r="O569" s="70"/>
      <c r="P569" s="70"/>
      <c r="Q569" s="70"/>
      <c r="R569" s="70"/>
      <c r="S569" s="70"/>
      <c r="T569" s="70"/>
      <c r="U569" s="70"/>
      <c r="V569" s="70"/>
      <c r="W569" s="70"/>
      <c r="X569" s="70"/>
      <c r="Y569" s="70"/>
      <c r="Z569" s="70"/>
      <c r="AA569" s="70"/>
      <c r="AB569" s="70"/>
      <c r="AC569" s="70"/>
      <c r="AD569" s="70"/>
      <c r="AE569" s="70"/>
      <c r="AF569" s="70"/>
      <c r="AG569" s="70"/>
      <c r="AH569" s="70"/>
      <c r="AI569" s="70"/>
      <c r="AJ569" s="70"/>
      <c r="AK569" s="70"/>
      <c r="AL569" s="70"/>
      <c r="AM569" s="70"/>
      <c r="AN569" s="70"/>
      <c r="AO569" s="70"/>
      <c r="AP569" s="70"/>
      <c r="AQ569" s="70"/>
      <c r="AR569" s="70"/>
      <c r="AS569" s="70"/>
      <c r="AT569" s="70"/>
    </row>
    <row r="570" spans="1:46">
      <c r="A570" s="70"/>
      <c r="B570" s="70"/>
      <c r="C570" s="70"/>
      <c r="D570" s="70"/>
      <c r="E570" s="70"/>
      <c r="F570" s="70"/>
      <c r="G570" s="70"/>
      <c r="H570" s="54"/>
      <c r="I570" s="70"/>
      <c r="J570" s="70"/>
      <c r="K570" s="70"/>
      <c r="L570" s="70"/>
      <c r="M570" s="70"/>
      <c r="N570" s="70"/>
      <c r="O570" s="70"/>
      <c r="P570" s="70"/>
      <c r="Q570" s="70"/>
      <c r="R570" s="70"/>
      <c r="S570" s="70"/>
      <c r="T570" s="70"/>
      <c r="U570" s="70"/>
      <c r="V570" s="70"/>
      <c r="W570" s="70"/>
      <c r="X570" s="70"/>
      <c r="Y570" s="70"/>
      <c r="Z570" s="70"/>
      <c r="AA570" s="70"/>
      <c r="AB570" s="70"/>
      <c r="AC570" s="70"/>
      <c r="AD570" s="70"/>
      <c r="AE570" s="70"/>
      <c r="AF570" s="70"/>
      <c r="AG570" s="70"/>
      <c r="AH570" s="70"/>
      <c r="AI570" s="70"/>
      <c r="AJ570" s="70"/>
      <c r="AK570" s="70"/>
      <c r="AL570" s="70"/>
      <c r="AM570" s="70"/>
      <c r="AN570" s="70"/>
      <c r="AO570" s="70"/>
      <c r="AP570" s="70"/>
      <c r="AQ570" s="70"/>
      <c r="AR570" s="70"/>
      <c r="AS570" s="70"/>
      <c r="AT570" s="70"/>
    </row>
    <row r="571" spans="1:46">
      <c r="A571" s="70"/>
      <c r="B571" s="70"/>
      <c r="C571" s="70"/>
      <c r="D571" s="70"/>
      <c r="E571" s="70"/>
      <c r="F571" s="70"/>
      <c r="G571" s="70"/>
      <c r="H571" s="54"/>
      <c r="I571" s="70"/>
      <c r="J571" s="70"/>
      <c r="K571" s="70"/>
      <c r="L571" s="70"/>
      <c r="M571" s="70"/>
      <c r="N571" s="70"/>
      <c r="O571" s="70"/>
      <c r="P571" s="70"/>
      <c r="Q571" s="70"/>
      <c r="R571" s="70"/>
      <c r="S571" s="70"/>
      <c r="T571" s="70"/>
      <c r="U571" s="70"/>
      <c r="V571" s="70"/>
      <c r="W571" s="70"/>
      <c r="X571" s="70"/>
      <c r="Y571" s="70"/>
      <c r="Z571" s="70"/>
      <c r="AA571" s="70"/>
      <c r="AB571" s="70"/>
      <c r="AC571" s="70"/>
      <c r="AD571" s="70"/>
      <c r="AE571" s="70"/>
      <c r="AF571" s="70"/>
      <c r="AG571" s="70"/>
      <c r="AH571" s="70"/>
      <c r="AI571" s="70"/>
      <c r="AJ571" s="70"/>
      <c r="AK571" s="70"/>
      <c r="AL571" s="70"/>
      <c r="AM571" s="70"/>
      <c r="AN571" s="70"/>
      <c r="AO571" s="70"/>
      <c r="AP571" s="70"/>
      <c r="AQ571" s="70"/>
      <c r="AR571" s="70"/>
      <c r="AS571" s="70"/>
      <c r="AT571" s="70"/>
    </row>
    <row r="572" spans="1:46">
      <c r="A572" s="70"/>
      <c r="B572" s="70"/>
      <c r="C572" s="70"/>
      <c r="D572" s="70"/>
      <c r="E572" s="70"/>
      <c r="F572" s="70"/>
      <c r="G572" s="70"/>
      <c r="H572" s="54"/>
      <c r="I572" s="70"/>
      <c r="J572" s="70"/>
      <c r="K572" s="70"/>
      <c r="L572" s="70"/>
      <c r="M572" s="70"/>
      <c r="N572" s="70"/>
      <c r="O572" s="70"/>
      <c r="P572" s="70"/>
      <c r="Q572" s="70"/>
      <c r="R572" s="70"/>
      <c r="S572" s="70"/>
      <c r="T572" s="70"/>
      <c r="U572" s="70"/>
      <c r="V572" s="70"/>
      <c r="W572" s="70"/>
      <c r="X572" s="70"/>
      <c r="Y572" s="70"/>
      <c r="Z572" s="70"/>
      <c r="AA572" s="70"/>
      <c r="AB572" s="70"/>
      <c r="AC572" s="70"/>
      <c r="AD572" s="70"/>
      <c r="AE572" s="70"/>
      <c r="AF572" s="70"/>
      <c r="AG572" s="70"/>
      <c r="AH572" s="70"/>
      <c r="AI572" s="70"/>
      <c r="AJ572" s="70"/>
      <c r="AK572" s="70"/>
      <c r="AL572" s="70"/>
      <c r="AM572" s="70"/>
      <c r="AN572" s="70"/>
      <c r="AO572" s="70"/>
      <c r="AP572" s="70"/>
      <c r="AQ572" s="70"/>
      <c r="AR572" s="70"/>
      <c r="AS572" s="70"/>
      <c r="AT572" s="70"/>
    </row>
    <row r="573" spans="1:46">
      <c r="A573" s="70"/>
      <c r="B573" s="70"/>
      <c r="C573" s="70"/>
      <c r="D573" s="70"/>
      <c r="E573" s="70"/>
      <c r="F573" s="70"/>
      <c r="G573" s="70"/>
      <c r="H573" s="54"/>
      <c r="I573" s="70"/>
      <c r="J573" s="70"/>
      <c r="K573" s="70"/>
      <c r="L573" s="70"/>
      <c r="M573" s="70"/>
      <c r="N573" s="70"/>
      <c r="O573" s="70"/>
      <c r="P573" s="70"/>
      <c r="Q573" s="70"/>
      <c r="R573" s="70"/>
      <c r="S573" s="70"/>
      <c r="T573" s="70"/>
      <c r="U573" s="70"/>
      <c r="V573" s="70"/>
      <c r="W573" s="70"/>
      <c r="X573" s="70"/>
      <c r="Y573" s="70"/>
      <c r="Z573" s="70"/>
      <c r="AA573" s="70"/>
      <c r="AB573" s="70"/>
      <c r="AC573" s="70"/>
      <c r="AD573" s="70"/>
      <c r="AE573" s="70"/>
      <c r="AF573" s="70"/>
      <c r="AG573" s="70"/>
      <c r="AH573" s="70"/>
      <c r="AI573" s="70"/>
      <c r="AJ573" s="70"/>
      <c r="AK573" s="70"/>
      <c r="AL573" s="70"/>
      <c r="AM573" s="70"/>
      <c r="AN573" s="70"/>
      <c r="AO573" s="70"/>
      <c r="AP573" s="70"/>
      <c r="AQ573" s="70"/>
      <c r="AR573" s="70"/>
      <c r="AS573" s="70"/>
      <c r="AT573" s="70"/>
    </row>
    <row r="574" spans="1:46">
      <c r="A574" s="70"/>
      <c r="B574" s="70"/>
      <c r="C574" s="70"/>
      <c r="D574" s="70"/>
      <c r="E574" s="70"/>
      <c r="F574" s="70"/>
      <c r="G574" s="70"/>
      <c r="H574" s="54"/>
      <c r="I574" s="70"/>
      <c r="J574" s="70"/>
      <c r="K574" s="70"/>
      <c r="L574" s="70"/>
      <c r="M574" s="70"/>
      <c r="N574" s="70"/>
      <c r="O574" s="70"/>
      <c r="P574" s="70"/>
      <c r="Q574" s="70"/>
      <c r="R574" s="70"/>
      <c r="S574" s="70"/>
      <c r="T574" s="70"/>
      <c r="U574" s="70"/>
      <c r="V574" s="70"/>
      <c r="W574" s="70"/>
      <c r="X574" s="70"/>
      <c r="Y574" s="70"/>
      <c r="Z574" s="70"/>
      <c r="AA574" s="70"/>
      <c r="AB574" s="70"/>
      <c r="AC574" s="70"/>
      <c r="AD574" s="70"/>
      <c r="AE574" s="70"/>
      <c r="AF574" s="70"/>
      <c r="AG574" s="70"/>
      <c r="AH574" s="70"/>
      <c r="AI574" s="70"/>
      <c r="AJ574" s="70"/>
      <c r="AK574" s="70"/>
      <c r="AL574" s="70"/>
      <c r="AM574" s="70"/>
      <c r="AN574" s="70"/>
      <c r="AO574" s="70"/>
      <c r="AP574" s="70"/>
      <c r="AQ574" s="70"/>
      <c r="AR574" s="70"/>
      <c r="AS574" s="70"/>
      <c r="AT574" s="70"/>
    </row>
    <row r="575" spans="1:46">
      <c r="A575" s="70"/>
      <c r="B575" s="70"/>
      <c r="C575" s="70"/>
      <c r="D575" s="70"/>
      <c r="E575" s="70"/>
      <c r="F575" s="70"/>
      <c r="G575" s="70"/>
      <c r="H575" s="54"/>
      <c r="I575" s="70"/>
      <c r="J575" s="70"/>
      <c r="K575" s="70"/>
      <c r="L575" s="70"/>
      <c r="M575" s="70"/>
      <c r="N575" s="70"/>
      <c r="O575" s="70"/>
      <c r="P575" s="70"/>
      <c r="Q575" s="70"/>
      <c r="R575" s="70"/>
      <c r="S575" s="70"/>
      <c r="T575" s="70"/>
      <c r="U575" s="70"/>
      <c r="V575" s="70"/>
      <c r="W575" s="70"/>
      <c r="X575" s="70"/>
      <c r="Y575" s="70"/>
      <c r="Z575" s="70"/>
      <c r="AA575" s="70"/>
      <c r="AB575" s="70"/>
      <c r="AC575" s="70"/>
      <c r="AD575" s="70"/>
      <c r="AE575" s="70"/>
      <c r="AF575" s="70"/>
      <c r="AG575" s="70"/>
      <c r="AH575" s="70"/>
      <c r="AI575" s="70"/>
      <c r="AJ575" s="70"/>
      <c r="AK575" s="70"/>
      <c r="AL575" s="70"/>
      <c r="AM575" s="70"/>
      <c r="AN575" s="70"/>
      <c r="AO575" s="70"/>
      <c r="AP575" s="70"/>
      <c r="AQ575" s="70"/>
      <c r="AR575" s="70"/>
      <c r="AS575" s="70"/>
      <c r="AT575" s="70"/>
    </row>
    <row r="576" spans="1:46">
      <c r="A576" s="70"/>
      <c r="B576" s="70"/>
      <c r="C576" s="70"/>
      <c r="D576" s="70"/>
      <c r="E576" s="70"/>
      <c r="F576" s="70"/>
      <c r="G576" s="70"/>
      <c r="H576" s="54"/>
      <c r="I576" s="70"/>
      <c r="J576" s="70"/>
      <c r="K576" s="70"/>
      <c r="L576" s="70"/>
      <c r="M576" s="70"/>
      <c r="N576" s="70"/>
      <c r="O576" s="70"/>
      <c r="P576" s="70"/>
      <c r="Q576" s="70"/>
      <c r="R576" s="70"/>
      <c r="S576" s="70"/>
      <c r="T576" s="70"/>
      <c r="U576" s="70"/>
      <c r="V576" s="70"/>
      <c r="W576" s="70"/>
      <c r="X576" s="70"/>
      <c r="Y576" s="70"/>
      <c r="Z576" s="70"/>
      <c r="AA576" s="70"/>
      <c r="AB576" s="70"/>
      <c r="AC576" s="70"/>
      <c r="AD576" s="70"/>
      <c r="AE576" s="70"/>
      <c r="AF576" s="70"/>
      <c r="AG576" s="70"/>
      <c r="AH576" s="70"/>
      <c r="AI576" s="70"/>
      <c r="AJ576" s="70"/>
      <c r="AK576" s="70"/>
      <c r="AL576" s="70"/>
      <c r="AM576" s="70"/>
      <c r="AN576" s="70"/>
      <c r="AO576" s="70"/>
      <c r="AP576" s="70"/>
      <c r="AQ576" s="70"/>
      <c r="AR576" s="70"/>
      <c r="AS576" s="70"/>
      <c r="AT576" s="70"/>
    </row>
    <row r="577" spans="1:46">
      <c r="A577" s="70"/>
      <c r="B577" s="70"/>
      <c r="C577" s="70"/>
      <c r="D577" s="70"/>
      <c r="E577" s="70"/>
      <c r="F577" s="70"/>
      <c r="G577" s="70"/>
      <c r="H577" s="54"/>
      <c r="I577" s="70"/>
      <c r="J577" s="70"/>
      <c r="K577" s="70"/>
      <c r="L577" s="70"/>
      <c r="M577" s="70"/>
      <c r="N577" s="70"/>
      <c r="O577" s="70"/>
      <c r="P577" s="70"/>
      <c r="Q577" s="70"/>
      <c r="R577" s="70"/>
      <c r="S577" s="70"/>
      <c r="T577" s="70"/>
      <c r="U577" s="70"/>
      <c r="V577" s="70"/>
      <c r="W577" s="70"/>
      <c r="X577" s="70"/>
      <c r="Y577" s="70"/>
      <c r="Z577" s="70"/>
      <c r="AA577" s="70"/>
      <c r="AB577" s="70"/>
      <c r="AC577" s="70"/>
      <c r="AD577" s="70"/>
      <c r="AE577" s="70"/>
      <c r="AF577" s="70"/>
      <c r="AG577" s="70"/>
      <c r="AH577" s="70"/>
      <c r="AI577" s="70"/>
      <c r="AJ577" s="70"/>
      <c r="AK577" s="70"/>
      <c r="AL577" s="70"/>
      <c r="AM577" s="70"/>
      <c r="AN577" s="70"/>
      <c r="AO577" s="70"/>
      <c r="AP577" s="70"/>
      <c r="AQ577" s="70"/>
      <c r="AR577" s="70"/>
      <c r="AS577" s="70"/>
      <c r="AT577" s="70"/>
    </row>
    <row r="578" spans="1:46">
      <c r="A578" s="70"/>
      <c r="B578" s="70"/>
      <c r="C578" s="70"/>
      <c r="D578" s="70"/>
      <c r="E578" s="70"/>
      <c r="F578" s="70"/>
      <c r="G578" s="70"/>
      <c r="H578" s="54"/>
      <c r="I578" s="70"/>
      <c r="J578" s="70"/>
      <c r="K578" s="70"/>
      <c r="L578" s="70"/>
      <c r="M578" s="70"/>
      <c r="N578" s="70"/>
      <c r="O578" s="70"/>
      <c r="P578" s="70"/>
      <c r="Q578" s="70"/>
      <c r="R578" s="70"/>
      <c r="S578" s="70"/>
      <c r="T578" s="70"/>
      <c r="U578" s="70"/>
      <c r="V578" s="70"/>
      <c r="W578" s="70"/>
      <c r="X578" s="70"/>
      <c r="Y578" s="70"/>
      <c r="Z578" s="70"/>
      <c r="AA578" s="70"/>
      <c r="AB578" s="70"/>
      <c r="AC578" s="70"/>
      <c r="AD578" s="70"/>
      <c r="AE578" s="70"/>
      <c r="AF578" s="70"/>
      <c r="AG578" s="70"/>
      <c r="AH578" s="70"/>
      <c r="AI578" s="70"/>
      <c r="AJ578" s="70"/>
      <c r="AK578" s="70"/>
      <c r="AL578" s="70"/>
      <c r="AM578" s="70"/>
      <c r="AN578" s="70"/>
      <c r="AO578" s="70"/>
      <c r="AP578" s="70"/>
      <c r="AQ578" s="70"/>
      <c r="AR578" s="70"/>
      <c r="AS578" s="70"/>
      <c r="AT578" s="70"/>
    </row>
    <row r="579" spans="1:46">
      <c r="A579" s="70"/>
      <c r="B579" s="70"/>
      <c r="C579" s="70"/>
      <c r="D579" s="70"/>
      <c r="E579" s="70"/>
      <c r="F579" s="70"/>
      <c r="G579" s="70"/>
      <c r="H579" s="54"/>
      <c r="I579" s="70"/>
      <c r="J579" s="70"/>
      <c r="K579" s="70"/>
      <c r="L579" s="70"/>
      <c r="M579" s="70"/>
      <c r="N579" s="70"/>
      <c r="O579" s="70"/>
      <c r="P579" s="70"/>
      <c r="Q579" s="70"/>
      <c r="R579" s="70"/>
      <c r="S579" s="70"/>
      <c r="T579" s="70"/>
      <c r="U579" s="70"/>
      <c r="V579" s="70"/>
      <c r="W579" s="70"/>
      <c r="X579" s="70"/>
      <c r="Y579" s="70"/>
      <c r="Z579" s="70"/>
      <c r="AA579" s="70"/>
      <c r="AB579" s="70"/>
      <c r="AC579" s="70"/>
      <c r="AD579" s="70"/>
      <c r="AE579" s="70"/>
      <c r="AF579" s="70"/>
      <c r="AG579" s="70"/>
      <c r="AH579" s="70"/>
      <c r="AI579" s="70"/>
      <c r="AJ579" s="70"/>
      <c r="AK579" s="70"/>
      <c r="AL579" s="70"/>
      <c r="AM579" s="70"/>
      <c r="AN579" s="70"/>
      <c r="AO579" s="70"/>
      <c r="AP579" s="70"/>
      <c r="AQ579" s="70"/>
      <c r="AR579" s="70"/>
      <c r="AS579" s="70"/>
      <c r="AT579" s="70"/>
    </row>
    <row r="580" spans="1:46">
      <c r="A580" s="70"/>
      <c r="B580" s="70"/>
      <c r="C580" s="70"/>
      <c r="D580" s="70"/>
      <c r="E580" s="70"/>
      <c r="F580" s="70"/>
      <c r="G580" s="70"/>
      <c r="H580" s="54"/>
      <c r="I580" s="70"/>
      <c r="J580" s="70"/>
      <c r="K580" s="70"/>
      <c r="L580" s="70"/>
      <c r="M580" s="70"/>
      <c r="N580" s="70"/>
      <c r="O580" s="70"/>
      <c r="P580" s="70"/>
      <c r="Q580" s="70"/>
      <c r="R580" s="70"/>
      <c r="S580" s="70"/>
      <c r="T580" s="70"/>
      <c r="U580" s="70"/>
      <c r="V580" s="70"/>
      <c r="W580" s="70"/>
      <c r="X580" s="70"/>
      <c r="Y580" s="70"/>
      <c r="Z580" s="70"/>
      <c r="AA580" s="70"/>
      <c r="AB580" s="70"/>
      <c r="AC580" s="70"/>
      <c r="AD580" s="70"/>
      <c r="AE580" s="70"/>
      <c r="AF580" s="70"/>
      <c r="AG580" s="70"/>
      <c r="AH580" s="70"/>
      <c r="AI580" s="70"/>
      <c r="AJ580" s="70"/>
      <c r="AK580" s="70"/>
      <c r="AL580" s="70"/>
      <c r="AM580" s="70"/>
      <c r="AN580" s="70"/>
      <c r="AO580" s="70"/>
      <c r="AP580" s="70"/>
      <c r="AQ580" s="70"/>
      <c r="AR580" s="70"/>
      <c r="AS580" s="70"/>
      <c r="AT580" s="70"/>
    </row>
    <row r="581" spans="1:46">
      <c r="A581" s="70"/>
      <c r="B581" s="70"/>
      <c r="C581" s="70"/>
      <c r="D581" s="70"/>
      <c r="E581" s="70"/>
      <c r="F581" s="70"/>
      <c r="G581" s="70"/>
      <c r="H581" s="54"/>
      <c r="I581" s="70"/>
      <c r="J581" s="70"/>
      <c r="K581" s="70"/>
      <c r="L581" s="70"/>
      <c r="M581" s="70"/>
      <c r="N581" s="70"/>
      <c r="O581" s="70"/>
      <c r="P581" s="70"/>
      <c r="Q581" s="70"/>
      <c r="R581" s="70"/>
      <c r="S581" s="70"/>
      <c r="T581" s="70"/>
      <c r="U581" s="70"/>
      <c r="V581" s="70"/>
      <c r="W581" s="70"/>
      <c r="X581" s="70"/>
      <c r="Y581" s="70"/>
      <c r="Z581" s="70"/>
      <c r="AA581" s="70"/>
      <c r="AB581" s="70"/>
      <c r="AC581" s="70"/>
      <c r="AD581" s="70"/>
      <c r="AE581" s="70"/>
      <c r="AF581" s="70"/>
      <c r="AG581" s="70"/>
      <c r="AH581" s="70"/>
      <c r="AI581" s="70"/>
      <c r="AJ581" s="70"/>
      <c r="AK581" s="70"/>
      <c r="AL581" s="70"/>
      <c r="AM581" s="70"/>
      <c r="AN581" s="70"/>
      <c r="AO581" s="70"/>
      <c r="AP581" s="70"/>
      <c r="AQ581" s="70"/>
      <c r="AR581" s="70"/>
      <c r="AS581" s="70"/>
      <c r="AT581" s="70"/>
    </row>
    <row r="582" spans="1:46">
      <c r="A582" s="70"/>
      <c r="B582" s="70"/>
      <c r="C582" s="70"/>
      <c r="D582" s="70"/>
      <c r="E582" s="70"/>
      <c r="F582" s="70"/>
      <c r="G582" s="70"/>
      <c r="H582" s="54"/>
      <c r="I582" s="70"/>
      <c r="J582" s="70"/>
      <c r="K582" s="70"/>
      <c r="L582" s="70"/>
      <c r="M582" s="70"/>
      <c r="N582" s="70"/>
      <c r="O582" s="70"/>
      <c r="P582" s="70"/>
      <c r="Q582" s="70"/>
      <c r="R582" s="70"/>
      <c r="S582" s="70"/>
      <c r="T582" s="70"/>
      <c r="U582" s="70"/>
      <c r="V582" s="70"/>
      <c r="W582" s="70"/>
      <c r="X582" s="70"/>
      <c r="Y582" s="70"/>
      <c r="Z582" s="70"/>
      <c r="AA582" s="70"/>
      <c r="AB582" s="70"/>
      <c r="AC582" s="70"/>
      <c r="AD582" s="70"/>
      <c r="AE582" s="70"/>
      <c r="AF582" s="70"/>
      <c r="AG582" s="70"/>
      <c r="AH582" s="70"/>
      <c r="AI582" s="70"/>
      <c r="AJ582" s="70"/>
      <c r="AK582" s="70"/>
      <c r="AL582" s="70"/>
      <c r="AM582" s="70"/>
      <c r="AN582" s="70"/>
      <c r="AO582" s="70"/>
      <c r="AP582" s="70"/>
      <c r="AQ582" s="70"/>
      <c r="AR582" s="70"/>
      <c r="AS582" s="70"/>
      <c r="AT582" s="70"/>
    </row>
    <row r="583" spans="1:46">
      <c r="A583" s="70"/>
      <c r="B583" s="70"/>
      <c r="C583" s="70"/>
      <c r="D583" s="70"/>
      <c r="E583" s="70"/>
      <c r="F583" s="70"/>
      <c r="G583" s="70"/>
      <c r="H583" s="54"/>
      <c r="I583" s="70"/>
      <c r="J583" s="70"/>
      <c r="K583" s="70"/>
      <c r="L583" s="70"/>
      <c r="M583" s="70"/>
      <c r="N583" s="70"/>
      <c r="O583" s="70"/>
      <c r="P583" s="70"/>
      <c r="Q583" s="70"/>
      <c r="R583" s="70"/>
      <c r="S583" s="70"/>
      <c r="T583" s="70"/>
      <c r="U583" s="70"/>
      <c r="V583" s="70"/>
      <c r="W583" s="70"/>
      <c r="X583" s="70"/>
      <c r="Y583" s="70"/>
      <c r="Z583" s="70"/>
      <c r="AA583" s="70"/>
      <c r="AB583" s="70"/>
      <c r="AC583" s="70"/>
      <c r="AD583" s="70"/>
      <c r="AE583" s="70"/>
      <c r="AF583" s="70"/>
      <c r="AG583" s="70"/>
      <c r="AH583" s="70"/>
      <c r="AI583" s="70"/>
      <c r="AJ583" s="70"/>
      <c r="AK583" s="70"/>
      <c r="AL583" s="70"/>
      <c r="AM583" s="70"/>
      <c r="AN583" s="70"/>
      <c r="AO583" s="70"/>
      <c r="AP583" s="70"/>
      <c r="AQ583" s="70"/>
      <c r="AR583" s="70"/>
      <c r="AS583" s="70"/>
      <c r="AT583" s="70"/>
    </row>
    <row r="584" spans="1:46">
      <c r="A584" s="70"/>
      <c r="B584" s="70"/>
      <c r="C584" s="70"/>
      <c r="D584" s="70"/>
      <c r="E584" s="70"/>
      <c r="F584" s="70"/>
      <c r="G584" s="70"/>
      <c r="H584" s="54"/>
      <c r="I584" s="70"/>
      <c r="J584" s="70"/>
      <c r="K584" s="70"/>
      <c r="L584" s="70"/>
      <c r="M584" s="70"/>
      <c r="N584" s="70"/>
      <c r="O584" s="70"/>
      <c r="P584" s="70"/>
      <c r="Q584" s="70"/>
      <c r="R584" s="70"/>
      <c r="S584" s="70"/>
      <c r="T584" s="70"/>
      <c r="U584" s="70"/>
      <c r="V584" s="70"/>
      <c r="W584" s="70"/>
      <c r="X584" s="70"/>
      <c r="Y584" s="70"/>
      <c r="Z584" s="70"/>
      <c r="AA584" s="70"/>
      <c r="AB584" s="70"/>
      <c r="AC584" s="70"/>
      <c r="AD584" s="70"/>
      <c r="AE584" s="70"/>
      <c r="AF584" s="70"/>
      <c r="AG584" s="70"/>
      <c r="AH584" s="70"/>
      <c r="AI584" s="70"/>
      <c r="AJ584" s="70"/>
      <c r="AK584" s="70"/>
      <c r="AL584" s="70"/>
      <c r="AM584" s="70"/>
      <c r="AN584" s="70"/>
      <c r="AO584" s="70"/>
      <c r="AP584" s="70"/>
      <c r="AQ584" s="70"/>
      <c r="AR584" s="70"/>
      <c r="AS584" s="70"/>
      <c r="AT584" s="70"/>
    </row>
    <row r="585" spans="1:46">
      <c r="A585" s="70"/>
      <c r="B585" s="70"/>
      <c r="C585" s="70"/>
      <c r="D585" s="70"/>
      <c r="E585" s="70"/>
      <c r="F585" s="70"/>
      <c r="G585" s="70"/>
      <c r="H585" s="54"/>
      <c r="I585" s="70"/>
      <c r="J585" s="70"/>
      <c r="K585" s="70"/>
      <c r="L585" s="70"/>
      <c r="M585" s="70"/>
      <c r="N585" s="70"/>
      <c r="O585" s="70"/>
      <c r="P585" s="70"/>
      <c r="Q585" s="70"/>
      <c r="R585" s="70"/>
      <c r="S585" s="70"/>
      <c r="T585" s="70"/>
      <c r="U585" s="70"/>
      <c r="V585" s="70"/>
      <c r="W585" s="70"/>
      <c r="X585" s="70"/>
      <c r="Y585" s="70"/>
      <c r="Z585" s="70"/>
      <c r="AA585" s="70"/>
      <c r="AB585" s="70"/>
      <c r="AC585" s="70"/>
      <c r="AD585" s="70"/>
      <c r="AE585" s="70"/>
      <c r="AF585" s="70"/>
      <c r="AG585" s="70"/>
      <c r="AH585" s="70"/>
      <c r="AI585" s="70"/>
      <c r="AJ585" s="70"/>
      <c r="AK585" s="70"/>
      <c r="AL585" s="70"/>
      <c r="AM585" s="70"/>
      <c r="AN585" s="70"/>
      <c r="AO585" s="70"/>
      <c r="AP585" s="70"/>
      <c r="AQ585" s="70"/>
      <c r="AR585" s="70"/>
      <c r="AS585" s="70"/>
      <c r="AT585" s="70"/>
    </row>
    <row r="586" spans="1:46">
      <c r="A586" s="70"/>
      <c r="B586" s="70"/>
      <c r="C586" s="70"/>
      <c r="D586" s="70"/>
      <c r="E586" s="70"/>
      <c r="F586" s="70"/>
      <c r="G586" s="70"/>
      <c r="H586" s="54"/>
      <c r="I586" s="70"/>
      <c r="J586" s="70"/>
      <c r="K586" s="70"/>
      <c r="L586" s="70"/>
      <c r="M586" s="70"/>
      <c r="N586" s="70"/>
      <c r="O586" s="70"/>
      <c r="P586" s="70"/>
      <c r="Q586" s="70"/>
      <c r="R586" s="70"/>
      <c r="S586" s="70"/>
      <c r="T586" s="70"/>
      <c r="U586" s="70"/>
      <c r="V586" s="70"/>
      <c r="W586" s="70"/>
      <c r="X586" s="70"/>
      <c r="Y586" s="70"/>
      <c r="Z586" s="70"/>
      <c r="AA586" s="70"/>
      <c r="AB586" s="70"/>
      <c r="AC586" s="70"/>
      <c r="AD586" s="70"/>
      <c r="AE586" s="70"/>
      <c r="AF586" s="70"/>
      <c r="AG586" s="70"/>
      <c r="AH586" s="70"/>
      <c r="AI586" s="70"/>
      <c r="AJ586" s="70"/>
      <c r="AK586" s="70"/>
      <c r="AL586" s="70"/>
      <c r="AM586" s="70"/>
      <c r="AN586" s="70"/>
      <c r="AO586" s="70"/>
      <c r="AP586" s="70"/>
      <c r="AQ586" s="70"/>
      <c r="AR586" s="70"/>
      <c r="AS586" s="70"/>
      <c r="AT586" s="70"/>
    </row>
    <row r="587" spans="1:46">
      <c r="A587" s="70"/>
      <c r="B587" s="70"/>
      <c r="C587" s="70"/>
      <c r="D587" s="70"/>
      <c r="E587" s="70"/>
      <c r="F587" s="70"/>
      <c r="G587" s="70"/>
      <c r="H587" s="54"/>
      <c r="I587" s="70"/>
      <c r="J587" s="70"/>
      <c r="K587" s="70"/>
      <c r="L587" s="70"/>
      <c r="M587" s="70"/>
      <c r="N587" s="70"/>
      <c r="O587" s="70"/>
      <c r="P587" s="70"/>
      <c r="Q587" s="70"/>
      <c r="R587" s="70"/>
      <c r="S587" s="70"/>
      <c r="T587" s="70"/>
      <c r="U587" s="70"/>
      <c r="V587" s="70"/>
      <c r="W587" s="70"/>
      <c r="X587" s="70"/>
      <c r="Y587" s="70"/>
      <c r="Z587" s="70"/>
      <c r="AA587" s="70"/>
      <c r="AB587" s="70"/>
      <c r="AC587" s="70"/>
      <c r="AD587" s="70"/>
      <c r="AE587" s="70"/>
      <c r="AF587" s="70"/>
      <c r="AG587" s="70"/>
      <c r="AH587" s="70"/>
      <c r="AI587" s="70"/>
      <c r="AJ587" s="70"/>
      <c r="AK587" s="70"/>
      <c r="AL587" s="70"/>
      <c r="AM587" s="70"/>
      <c r="AN587" s="70"/>
      <c r="AO587" s="70"/>
      <c r="AP587" s="70"/>
      <c r="AQ587" s="70"/>
      <c r="AR587" s="70"/>
      <c r="AS587" s="70"/>
      <c r="AT587" s="70"/>
    </row>
    <row r="588" spans="1:46">
      <c r="A588" s="70"/>
      <c r="B588" s="70"/>
      <c r="C588" s="70"/>
      <c r="D588" s="70"/>
      <c r="E588" s="70"/>
      <c r="F588" s="70"/>
      <c r="G588" s="70"/>
      <c r="H588" s="54"/>
      <c r="I588" s="70"/>
      <c r="J588" s="70"/>
      <c r="K588" s="70"/>
      <c r="L588" s="70"/>
      <c r="M588" s="70"/>
      <c r="N588" s="70"/>
      <c r="O588" s="70"/>
      <c r="P588" s="70"/>
      <c r="Q588" s="70"/>
      <c r="R588" s="70"/>
      <c r="S588" s="70"/>
      <c r="T588" s="70"/>
      <c r="U588" s="70"/>
      <c r="V588" s="70"/>
      <c r="W588" s="70"/>
      <c r="X588" s="70"/>
      <c r="Y588" s="70"/>
      <c r="Z588" s="70"/>
      <c r="AA588" s="70"/>
      <c r="AB588" s="70"/>
      <c r="AC588" s="70"/>
      <c r="AD588" s="70"/>
      <c r="AE588" s="70"/>
      <c r="AF588" s="70"/>
      <c r="AG588" s="70"/>
      <c r="AH588" s="70"/>
      <c r="AI588" s="70"/>
      <c r="AJ588" s="70"/>
      <c r="AK588" s="70"/>
      <c r="AL588" s="70"/>
      <c r="AM588" s="70"/>
      <c r="AN588" s="70"/>
      <c r="AO588" s="70"/>
      <c r="AP588" s="70"/>
      <c r="AQ588" s="70"/>
      <c r="AR588" s="70"/>
      <c r="AS588" s="70"/>
      <c r="AT588" s="70"/>
    </row>
    <row r="589" spans="1:46">
      <c r="A589" s="70"/>
      <c r="B589" s="70"/>
      <c r="C589" s="70"/>
      <c r="D589" s="70"/>
      <c r="E589" s="70"/>
      <c r="F589" s="70"/>
      <c r="G589" s="70"/>
      <c r="H589" s="54"/>
      <c r="I589" s="70"/>
      <c r="J589" s="70"/>
      <c r="K589" s="70"/>
      <c r="L589" s="70"/>
      <c r="M589" s="70"/>
      <c r="N589" s="70"/>
      <c r="O589" s="70"/>
      <c r="P589" s="70"/>
      <c r="Q589" s="70"/>
      <c r="R589" s="70"/>
      <c r="S589" s="70"/>
      <c r="T589" s="70"/>
      <c r="U589" s="70"/>
      <c r="V589" s="70"/>
      <c r="W589" s="70"/>
      <c r="X589" s="70"/>
      <c r="Y589" s="70"/>
      <c r="Z589" s="70"/>
      <c r="AA589" s="70"/>
      <c r="AB589" s="70"/>
      <c r="AC589" s="70"/>
      <c r="AD589" s="70"/>
      <c r="AE589" s="70"/>
      <c r="AF589" s="70"/>
      <c r="AG589" s="70"/>
      <c r="AH589" s="70"/>
      <c r="AI589" s="70"/>
      <c r="AJ589" s="70"/>
      <c r="AK589" s="70"/>
      <c r="AL589" s="70"/>
      <c r="AM589" s="70"/>
      <c r="AN589" s="70"/>
      <c r="AO589" s="70"/>
      <c r="AP589" s="70"/>
      <c r="AQ589" s="70"/>
      <c r="AR589" s="70"/>
      <c r="AS589" s="70"/>
      <c r="AT589" s="70"/>
    </row>
    <row r="590" spans="1:46">
      <c r="A590" s="70"/>
      <c r="B590" s="70"/>
      <c r="C590" s="70"/>
      <c r="D590" s="70"/>
      <c r="E590" s="70"/>
      <c r="F590" s="70"/>
      <c r="G590" s="70"/>
      <c r="H590" s="54"/>
      <c r="I590" s="70"/>
      <c r="J590" s="70"/>
      <c r="K590" s="70"/>
      <c r="L590" s="70"/>
      <c r="M590" s="70"/>
      <c r="N590" s="70"/>
      <c r="O590" s="70"/>
      <c r="P590" s="70"/>
      <c r="Q590" s="70"/>
      <c r="R590" s="70"/>
      <c r="S590" s="70"/>
      <c r="T590" s="70"/>
      <c r="U590" s="70"/>
      <c r="V590" s="70"/>
      <c r="W590" s="70"/>
      <c r="X590" s="70"/>
      <c r="Y590" s="70"/>
      <c r="Z590" s="70"/>
      <c r="AA590" s="70"/>
      <c r="AB590" s="70"/>
      <c r="AC590" s="70"/>
      <c r="AD590" s="70"/>
      <c r="AE590" s="70"/>
      <c r="AF590" s="70"/>
      <c r="AG590" s="70"/>
      <c r="AH590" s="70"/>
      <c r="AI590" s="70"/>
      <c r="AJ590" s="70"/>
      <c r="AK590" s="70"/>
      <c r="AL590" s="70"/>
      <c r="AM590" s="70"/>
      <c r="AN590" s="70"/>
      <c r="AO590" s="70"/>
      <c r="AP590" s="70"/>
      <c r="AQ590" s="70"/>
      <c r="AR590" s="70"/>
      <c r="AS590" s="70"/>
      <c r="AT590" s="70"/>
    </row>
    <row r="591" spans="1:46">
      <c r="A591" s="70"/>
      <c r="B591" s="70"/>
      <c r="C591" s="70"/>
      <c r="D591" s="70"/>
      <c r="E591" s="70"/>
      <c r="F591" s="70"/>
      <c r="G591" s="70"/>
      <c r="H591" s="54"/>
      <c r="I591" s="70"/>
      <c r="J591" s="70"/>
      <c r="K591" s="70"/>
      <c r="L591" s="70"/>
      <c r="M591" s="70"/>
      <c r="N591" s="70"/>
      <c r="O591" s="70"/>
      <c r="P591" s="70"/>
      <c r="Q591" s="70"/>
      <c r="R591" s="70"/>
      <c r="S591" s="70"/>
      <c r="T591" s="70"/>
      <c r="U591" s="70"/>
      <c r="V591" s="70"/>
      <c r="W591" s="70"/>
      <c r="X591" s="70"/>
      <c r="Y591" s="70"/>
      <c r="Z591" s="70"/>
      <c r="AA591" s="70"/>
      <c r="AB591" s="70"/>
      <c r="AC591" s="70"/>
      <c r="AD591" s="70"/>
      <c r="AE591" s="70"/>
      <c r="AF591" s="70"/>
      <c r="AG591" s="70"/>
      <c r="AH591" s="70"/>
      <c r="AI591" s="70"/>
      <c r="AJ591" s="70"/>
      <c r="AK591" s="70"/>
      <c r="AL591" s="70"/>
      <c r="AM591" s="70"/>
      <c r="AN591" s="70"/>
      <c r="AO591" s="70"/>
      <c r="AP591" s="70"/>
      <c r="AQ591" s="70"/>
      <c r="AR591" s="70"/>
      <c r="AS591" s="70"/>
      <c r="AT591" s="70"/>
    </row>
    <row r="592" spans="1:46">
      <c r="A592" s="70"/>
      <c r="B592" s="70"/>
      <c r="C592" s="70"/>
      <c r="D592" s="70"/>
      <c r="E592" s="70"/>
      <c r="F592" s="70"/>
      <c r="G592" s="70"/>
      <c r="H592" s="54"/>
      <c r="I592" s="70"/>
      <c r="J592" s="70"/>
      <c r="K592" s="70"/>
      <c r="L592" s="70"/>
      <c r="M592" s="70"/>
      <c r="N592" s="70"/>
      <c r="O592" s="70"/>
      <c r="P592" s="70"/>
      <c r="Q592" s="70"/>
      <c r="R592" s="70"/>
      <c r="S592" s="70"/>
      <c r="T592" s="70"/>
      <c r="U592" s="70"/>
      <c r="V592" s="70"/>
      <c r="W592" s="70"/>
      <c r="X592" s="70"/>
      <c r="Y592" s="70"/>
      <c r="Z592" s="70"/>
      <c r="AA592" s="70"/>
      <c r="AB592" s="70"/>
      <c r="AC592" s="70"/>
      <c r="AD592" s="70"/>
      <c r="AE592" s="70"/>
      <c r="AF592" s="70"/>
      <c r="AG592" s="70"/>
      <c r="AH592" s="70"/>
      <c r="AI592" s="70"/>
      <c r="AJ592" s="70"/>
      <c r="AK592" s="70"/>
      <c r="AL592" s="70"/>
      <c r="AM592" s="70"/>
      <c r="AN592" s="70"/>
      <c r="AO592" s="70"/>
      <c r="AP592" s="70"/>
      <c r="AQ592" s="70"/>
      <c r="AR592" s="70"/>
      <c r="AS592" s="70"/>
      <c r="AT592" s="70"/>
    </row>
    <row r="593" spans="1:46">
      <c r="A593" s="70"/>
      <c r="B593" s="70"/>
      <c r="C593" s="70"/>
      <c r="D593" s="70"/>
      <c r="E593" s="70"/>
      <c r="F593" s="70"/>
      <c r="G593" s="70"/>
      <c r="H593" s="54"/>
      <c r="I593" s="70"/>
      <c r="J593" s="70"/>
      <c r="K593" s="70"/>
      <c r="L593" s="70"/>
      <c r="M593" s="70"/>
      <c r="N593" s="70"/>
      <c r="O593" s="70"/>
      <c r="P593" s="70"/>
      <c r="Q593" s="70"/>
      <c r="R593" s="70"/>
      <c r="S593" s="70"/>
      <c r="T593" s="70"/>
      <c r="U593" s="70"/>
      <c r="V593" s="70"/>
      <c r="W593" s="70"/>
      <c r="X593" s="70"/>
      <c r="Y593" s="70"/>
      <c r="Z593" s="70"/>
      <c r="AA593" s="70"/>
      <c r="AB593" s="70"/>
      <c r="AC593" s="70"/>
      <c r="AD593" s="70"/>
      <c r="AE593" s="70"/>
      <c r="AF593" s="70"/>
      <c r="AG593" s="70"/>
      <c r="AH593" s="70"/>
      <c r="AI593" s="70"/>
      <c r="AJ593" s="70"/>
      <c r="AK593" s="70"/>
      <c r="AL593" s="70"/>
      <c r="AM593" s="70"/>
      <c r="AN593" s="70"/>
      <c r="AO593" s="70"/>
      <c r="AP593" s="70"/>
      <c r="AQ593" s="70"/>
      <c r="AR593" s="70"/>
      <c r="AS593" s="70"/>
      <c r="AT593" s="70"/>
    </row>
    <row r="594" spans="1:46">
      <c r="A594" s="70"/>
      <c r="B594" s="70"/>
      <c r="C594" s="70"/>
      <c r="D594" s="70"/>
      <c r="E594" s="70"/>
      <c r="F594" s="70"/>
      <c r="G594" s="70"/>
      <c r="H594" s="54"/>
      <c r="I594" s="70"/>
      <c r="J594" s="70"/>
      <c r="K594" s="70"/>
      <c r="L594" s="70"/>
      <c r="M594" s="70"/>
      <c r="N594" s="70"/>
      <c r="O594" s="70"/>
      <c r="P594" s="70"/>
      <c r="Q594" s="70"/>
      <c r="R594" s="70"/>
      <c r="S594" s="70"/>
      <c r="T594" s="70"/>
      <c r="U594" s="70"/>
      <c r="V594" s="70"/>
      <c r="W594" s="70"/>
      <c r="X594" s="70"/>
      <c r="Y594" s="70"/>
      <c r="Z594" s="70"/>
      <c r="AA594" s="70"/>
      <c r="AB594" s="70"/>
      <c r="AC594" s="70"/>
      <c r="AD594" s="70"/>
      <c r="AE594" s="70"/>
      <c r="AF594" s="70"/>
      <c r="AG594" s="70"/>
      <c r="AH594" s="70"/>
      <c r="AI594" s="70"/>
      <c r="AJ594" s="70"/>
      <c r="AK594" s="70"/>
      <c r="AL594" s="70"/>
      <c r="AM594" s="70"/>
      <c r="AN594" s="70"/>
      <c r="AO594" s="70"/>
      <c r="AP594" s="70"/>
      <c r="AQ594" s="70"/>
      <c r="AR594" s="70"/>
      <c r="AS594" s="70"/>
      <c r="AT594" s="70"/>
    </row>
    <row r="595" spans="1:46">
      <c r="A595" s="70"/>
      <c r="B595" s="70"/>
      <c r="C595" s="70"/>
      <c r="D595" s="70"/>
      <c r="E595" s="70"/>
      <c r="F595" s="70"/>
      <c r="G595" s="70"/>
      <c r="H595" s="54"/>
      <c r="I595" s="70"/>
      <c r="J595" s="70"/>
      <c r="K595" s="70"/>
      <c r="L595" s="70"/>
      <c r="M595" s="70"/>
      <c r="N595" s="70"/>
      <c r="O595" s="70"/>
      <c r="P595" s="70"/>
      <c r="Q595" s="70"/>
      <c r="R595" s="70"/>
      <c r="S595" s="70"/>
      <c r="T595" s="70"/>
      <c r="U595" s="70"/>
      <c r="V595" s="70"/>
      <c r="W595" s="70"/>
      <c r="X595" s="70"/>
      <c r="Y595" s="70"/>
      <c r="Z595" s="70"/>
      <c r="AA595" s="70"/>
      <c r="AB595" s="70"/>
      <c r="AC595" s="70"/>
      <c r="AD595" s="70"/>
      <c r="AE595" s="70"/>
      <c r="AF595" s="70"/>
      <c r="AG595" s="70"/>
      <c r="AH595" s="70"/>
      <c r="AI595" s="70"/>
      <c r="AJ595" s="70"/>
      <c r="AK595" s="70"/>
      <c r="AL595" s="70"/>
      <c r="AM595" s="70"/>
      <c r="AN595" s="70"/>
      <c r="AO595" s="70"/>
      <c r="AP595" s="70"/>
      <c r="AQ595" s="70"/>
      <c r="AR595" s="70"/>
      <c r="AS595" s="70"/>
      <c r="AT595" s="70"/>
    </row>
    <row r="596" spans="1:46">
      <c r="A596" s="70"/>
      <c r="B596" s="70"/>
      <c r="C596" s="70"/>
      <c r="D596" s="70"/>
      <c r="E596" s="70"/>
      <c r="F596" s="70"/>
      <c r="G596" s="70"/>
      <c r="H596" s="54"/>
      <c r="I596" s="70"/>
      <c r="J596" s="70"/>
      <c r="K596" s="70"/>
      <c r="L596" s="70"/>
      <c r="M596" s="70"/>
      <c r="N596" s="70"/>
      <c r="O596" s="70"/>
      <c r="P596" s="70"/>
      <c r="Q596" s="70"/>
      <c r="R596" s="70"/>
      <c r="S596" s="70"/>
      <c r="T596" s="70"/>
      <c r="U596" s="70"/>
      <c r="V596" s="70"/>
      <c r="W596" s="70"/>
      <c r="X596" s="70"/>
      <c r="Y596" s="70"/>
      <c r="Z596" s="70"/>
      <c r="AA596" s="70"/>
      <c r="AB596" s="70"/>
      <c r="AC596" s="70"/>
      <c r="AD596" s="70"/>
      <c r="AE596" s="70"/>
      <c r="AF596" s="70"/>
      <c r="AG596" s="70"/>
      <c r="AH596" s="70"/>
      <c r="AI596" s="70"/>
      <c r="AJ596" s="70"/>
      <c r="AK596" s="70"/>
      <c r="AL596" s="70"/>
      <c r="AM596" s="70"/>
      <c r="AN596" s="70"/>
      <c r="AO596" s="70"/>
      <c r="AP596" s="70"/>
      <c r="AQ596" s="70"/>
      <c r="AR596" s="70"/>
      <c r="AS596" s="70"/>
      <c r="AT596" s="70"/>
    </row>
    <row r="597" spans="1:46">
      <c r="A597" s="70"/>
      <c r="B597" s="70"/>
      <c r="C597" s="70"/>
      <c r="D597" s="70"/>
      <c r="E597" s="70"/>
      <c r="F597" s="70"/>
      <c r="G597" s="70"/>
      <c r="H597" s="54"/>
      <c r="I597" s="70"/>
      <c r="J597" s="70"/>
      <c r="K597" s="70"/>
      <c r="L597" s="70"/>
      <c r="M597" s="70"/>
      <c r="N597" s="70"/>
      <c r="O597" s="70"/>
      <c r="P597" s="70"/>
      <c r="Q597" s="70"/>
      <c r="R597" s="70"/>
      <c r="S597" s="70"/>
      <c r="T597" s="70"/>
      <c r="U597" s="70"/>
      <c r="V597" s="70"/>
      <c r="W597" s="70"/>
      <c r="X597" s="70"/>
      <c r="Y597" s="70"/>
      <c r="Z597" s="70"/>
      <c r="AA597" s="70"/>
      <c r="AB597" s="70"/>
      <c r="AC597" s="70"/>
      <c r="AD597" s="70"/>
      <c r="AE597" s="70"/>
      <c r="AF597" s="70"/>
      <c r="AG597" s="70"/>
      <c r="AH597" s="70"/>
      <c r="AI597" s="70"/>
      <c r="AJ597" s="70"/>
      <c r="AK597" s="70"/>
      <c r="AL597" s="70"/>
      <c r="AM597" s="70"/>
      <c r="AN597" s="70"/>
      <c r="AO597" s="70"/>
      <c r="AP597" s="70"/>
      <c r="AQ597" s="70"/>
      <c r="AR597" s="70"/>
      <c r="AS597" s="70"/>
      <c r="AT597" s="70"/>
    </row>
    <row r="598" spans="1:46">
      <c r="A598" s="70"/>
      <c r="B598" s="70"/>
      <c r="C598" s="70"/>
      <c r="D598" s="70"/>
      <c r="E598" s="70"/>
      <c r="F598" s="70"/>
      <c r="G598" s="70"/>
      <c r="H598" s="54"/>
      <c r="I598" s="70"/>
      <c r="J598" s="70"/>
      <c r="K598" s="70"/>
      <c r="L598" s="70"/>
      <c r="M598" s="70"/>
      <c r="N598" s="70"/>
      <c r="O598" s="70"/>
      <c r="P598" s="70"/>
      <c r="Q598" s="70"/>
      <c r="R598" s="70"/>
      <c r="S598" s="70"/>
      <c r="T598" s="70"/>
      <c r="U598" s="70"/>
      <c r="V598" s="70"/>
      <c r="W598" s="70"/>
      <c r="X598" s="70"/>
      <c r="Y598" s="70"/>
      <c r="Z598" s="70"/>
      <c r="AA598" s="70"/>
      <c r="AB598" s="70"/>
      <c r="AC598" s="70"/>
      <c r="AD598" s="70"/>
      <c r="AE598" s="70"/>
      <c r="AF598" s="70"/>
      <c r="AG598" s="70"/>
      <c r="AH598" s="70"/>
      <c r="AI598" s="70"/>
      <c r="AJ598" s="70"/>
      <c r="AK598" s="70"/>
      <c r="AL598" s="70"/>
      <c r="AM598" s="70"/>
      <c r="AN598" s="70"/>
      <c r="AO598" s="70"/>
      <c r="AP598" s="70"/>
      <c r="AQ598" s="70"/>
      <c r="AR598" s="70"/>
      <c r="AS598" s="70"/>
      <c r="AT598" s="70"/>
    </row>
    <row r="599" spans="1:46">
      <c r="A599" s="70"/>
      <c r="B599" s="70"/>
      <c r="C599" s="70"/>
      <c r="D599" s="70"/>
      <c r="E599" s="70"/>
      <c r="F599" s="70"/>
      <c r="G599" s="70"/>
      <c r="H599" s="54"/>
      <c r="I599" s="70"/>
      <c r="J599" s="70"/>
      <c r="K599" s="70"/>
      <c r="L599" s="70"/>
      <c r="M599" s="70"/>
      <c r="N599" s="70"/>
      <c r="O599" s="70"/>
      <c r="P599" s="70"/>
      <c r="Q599" s="70"/>
      <c r="R599" s="70"/>
      <c r="S599" s="70"/>
      <c r="T599" s="70"/>
      <c r="U599" s="70"/>
      <c r="V599" s="70"/>
      <c r="W599" s="70"/>
      <c r="X599" s="70"/>
      <c r="Y599" s="70"/>
      <c r="Z599" s="70"/>
      <c r="AA599" s="70"/>
      <c r="AB599" s="70"/>
      <c r="AC599" s="70"/>
      <c r="AD599" s="70"/>
      <c r="AE599" s="70"/>
      <c r="AF599" s="70"/>
      <c r="AG599" s="70"/>
      <c r="AH599" s="70"/>
      <c r="AI599" s="70"/>
      <c r="AJ599" s="70"/>
      <c r="AK599" s="70"/>
      <c r="AL599" s="70"/>
      <c r="AM599" s="70"/>
      <c r="AN599" s="70"/>
      <c r="AO599" s="70"/>
      <c r="AP599" s="70"/>
      <c r="AQ599" s="70"/>
      <c r="AR599" s="70"/>
      <c r="AS599" s="70"/>
      <c r="AT599" s="70"/>
    </row>
    <row r="600" spans="1:46">
      <c r="A600" s="70"/>
      <c r="B600" s="70"/>
      <c r="C600" s="70"/>
      <c r="D600" s="70"/>
      <c r="E600" s="70"/>
      <c r="F600" s="70"/>
      <c r="G600" s="70"/>
      <c r="H600" s="54"/>
      <c r="I600" s="70"/>
      <c r="J600" s="70"/>
      <c r="K600" s="70"/>
      <c r="L600" s="70"/>
      <c r="M600" s="70"/>
      <c r="N600" s="70"/>
      <c r="O600" s="70"/>
      <c r="P600" s="70"/>
      <c r="Q600" s="70"/>
      <c r="R600" s="70"/>
      <c r="S600" s="70"/>
      <c r="T600" s="70"/>
      <c r="U600" s="70"/>
      <c r="V600" s="70"/>
      <c r="W600" s="70"/>
      <c r="X600" s="70"/>
      <c r="Y600" s="70"/>
      <c r="Z600" s="70"/>
      <c r="AA600" s="70"/>
      <c r="AB600" s="70"/>
      <c r="AC600" s="70"/>
      <c r="AD600" s="70"/>
      <c r="AE600" s="70"/>
      <c r="AF600" s="70"/>
      <c r="AG600" s="70"/>
      <c r="AH600" s="70"/>
      <c r="AI600" s="70"/>
      <c r="AJ600" s="70"/>
      <c r="AK600" s="70"/>
      <c r="AL600" s="70"/>
      <c r="AM600" s="70"/>
      <c r="AN600" s="70"/>
      <c r="AO600" s="70"/>
      <c r="AP600" s="70"/>
      <c r="AQ600" s="70"/>
      <c r="AR600" s="70"/>
      <c r="AS600" s="70"/>
      <c r="AT600" s="70"/>
    </row>
    <row r="601" spans="1:46">
      <c r="A601" s="70"/>
      <c r="B601" s="70"/>
      <c r="C601" s="70"/>
      <c r="D601" s="70"/>
      <c r="E601" s="70"/>
      <c r="F601" s="70"/>
      <c r="G601" s="70"/>
      <c r="H601" s="54"/>
      <c r="I601" s="70"/>
      <c r="J601" s="70"/>
      <c r="K601" s="70"/>
      <c r="L601" s="70"/>
      <c r="M601" s="70"/>
      <c r="N601" s="70"/>
      <c r="O601" s="70"/>
      <c r="P601" s="70"/>
      <c r="Q601" s="70"/>
      <c r="R601" s="70"/>
      <c r="S601" s="70"/>
      <c r="T601" s="70"/>
      <c r="U601" s="70"/>
      <c r="V601" s="70"/>
      <c r="W601" s="70"/>
      <c r="X601" s="70"/>
      <c r="Y601" s="70"/>
      <c r="Z601" s="70"/>
      <c r="AA601" s="70"/>
      <c r="AB601" s="70"/>
      <c r="AC601" s="70"/>
      <c r="AD601" s="70"/>
      <c r="AE601" s="70"/>
      <c r="AF601" s="70"/>
      <c r="AG601" s="70"/>
      <c r="AH601" s="70"/>
      <c r="AI601" s="70"/>
      <c r="AJ601" s="70"/>
      <c r="AK601" s="70"/>
      <c r="AL601" s="70"/>
      <c r="AM601" s="70"/>
      <c r="AN601" s="70"/>
      <c r="AO601" s="70"/>
      <c r="AP601" s="70"/>
      <c r="AQ601" s="70"/>
      <c r="AR601" s="70"/>
      <c r="AS601" s="70"/>
      <c r="AT601" s="70"/>
    </row>
    <row r="602" spans="1:46">
      <c r="A602" s="70"/>
      <c r="B602" s="70"/>
      <c r="C602" s="70"/>
      <c r="D602" s="70"/>
      <c r="E602" s="70"/>
      <c r="F602" s="70"/>
      <c r="G602" s="70"/>
      <c r="H602" s="54"/>
      <c r="I602" s="70"/>
      <c r="J602" s="70"/>
      <c r="K602" s="70"/>
      <c r="L602" s="70"/>
      <c r="M602" s="70"/>
      <c r="N602" s="70"/>
      <c r="O602" s="70"/>
      <c r="P602" s="70"/>
      <c r="Q602" s="70"/>
      <c r="R602" s="70"/>
      <c r="S602" s="70"/>
      <c r="T602" s="70"/>
      <c r="U602" s="70"/>
      <c r="V602" s="70"/>
      <c r="W602" s="70"/>
      <c r="X602" s="70"/>
      <c r="Y602" s="70"/>
      <c r="Z602" s="70"/>
      <c r="AA602" s="70"/>
      <c r="AB602" s="70"/>
      <c r="AC602" s="70"/>
      <c r="AD602" s="70"/>
      <c r="AE602" s="70"/>
      <c r="AF602" s="70"/>
      <c r="AG602" s="70"/>
      <c r="AH602" s="70"/>
      <c r="AI602" s="70"/>
      <c r="AJ602" s="70"/>
      <c r="AK602" s="70"/>
      <c r="AL602" s="70"/>
      <c r="AM602" s="70"/>
      <c r="AN602" s="70"/>
      <c r="AO602" s="70"/>
      <c r="AP602" s="70"/>
      <c r="AQ602" s="70"/>
      <c r="AR602" s="70"/>
      <c r="AS602" s="70"/>
      <c r="AT602" s="70"/>
    </row>
    <row r="603" spans="1:46">
      <c r="A603" s="70"/>
      <c r="B603" s="70"/>
      <c r="C603" s="70"/>
      <c r="D603" s="70"/>
      <c r="E603" s="70"/>
      <c r="F603" s="70"/>
      <c r="G603" s="70"/>
      <c r="H603" s="54"/>
      <c r="I603" s="70"/>
      <c r="J603" s="70"/>
      <c r="K603" s="70"/>
      <c r="L603" s="70"/>
      <c r="M603" s="70"/>
      <c r="N603" s="70"/>
      <c r="O603" s="70"/>
      <c r="P603" s="70"/>
      <c r="Q603" s="70"/>
      <c r="R603" s="70"/>
      <c r="S603" s="70"/>
      <c r="T603" s="70"/>
      <c r="U603" s="70"/>
      <c r="V603" s="70"/>
      <c r="W603" s="70"/>
      <c r="X603" s="70"/>
      <c r="Y603" s="70"/>
      <c r="Z603" s="70"/>
      <c r="AA603" s="70"/>
      <c r="AB603" s="70"/>
      <c r="AC603" s="70"/>
      <c r="AD603" s="70"/>
      <c r="AE603" s="70"/>
      <c r="AF603" s="70"/>
      <c r="AG603" s="70"/>
      <c r="AH603" s="70"/>
      <c r="AI603" s="70"/>
      <c r="AJ603" s="70"/>
      <c r="AK603" s="70"/>
      <c r="AL603" s="70"/>
      <c r="AM603" s="70"/>
      <c r="AN603" s="70"/>
      <c r="AO603" s="70"/>
      <c r="AP603" s="70"/>
      <c r="AQ603" s="70"/>
      <c r="AR603" s="70"/>
      <c r="AS603" s="70"/>
      <c r="AT603" s="70"/>
    </row>
    <row r="604" spans="1:46">
      <c r="A604" s="70"/>
      <c r="B604" s="70"/>
      <c r="C604" s="70"/>
      <c r="D604" s="70"/>
      <c r="E604" s="70"/>
      <c r="F604" s="70"/>
      <c r="G604" s="70"/>
      <c r="H604" s="54"/>
      <c r="I604" s="70"/>
      <c r="J604" s="70"/>
      <c r="K604" s="70"/>
      <c r="L604" s="70"/>
      <c r="M604" s="70"/>
      <c r="N604" s="70"/>
      <c r="O604" s="70"/>
      <c r="P604" s="70"/>
      <c r="Q604" s="70"/>
      <c r="R604" s="70"/>
      <c r="S604" s="70"/>
      <c r="T604" s="70"/>
      <c r="U604" s="70"/>
      <c r="V604" s="70"/>
      <c r="W604" s="70"/>
      <c r="X604" s="70"/>
      <c r="Y604" s="70"/>
      <c r="Z604" s="70"/>
      <c r="AA604" s="70"/>
      <c r="AB604" s="70"/>
      <c r="AC604" s="70"/>
      <c r="AD604" s="70"/>
      <c r="AE604" s="70"/>
      <c r="AF604" s="70"/>
      <c r="AG604" s="70"/>
      <c r="AH604" s="70"/>
      <c r="AI604" s="70"/>
      <c r="AJ604" s="70"/>
      <c r="AK604" s="70"/>
      <c r="AL604" s="70"/>
      <c r="AM604" s="70"/>
      <c r="AN604" s="70"/>
      <c r="AO604" s="70"/>
      <c r="AP604" s="70"/>
      <c r="AQ604" s="70"/>
      <c r="AR604" s="70"/>
      <c r="AS604" s="70"/>
      <c r="AT604" s="70"/>
    </row>
    <row r="605" spans="1:46">
      <c r="A605" s="70"/>
      <c r="B605" s="70"/>
      <c r="C605" s="70"/>
      <c r="D605" s="70"/>
      <c r="E605" s="70"/>
      <c r="F605" s="70"/>
      <c r="G605" s="70"/>
      <c r="H605" s="54"/>
      <c r="I605" s="70"/>
      <c r="J605" s="70"/>
      <c r="K605" s="70"/>
      <c r="L605" s="70"/>
      <c r="M605" s="70"/>
      <c r="N605" s="70"/>
      <c r="O605" s="70"/>
      <c r="P605" s="70"/>
      <c r="Q605" s="70"/>
      <c r="R605" s="70"/>
      <c r="S605" s="70"/>
      <c r="T605" s="70"/>
      <c r="U605" s="70"/>
      <c r="V605" s="70"/>
      <c r="W605" s="70"/>
      <c r="X605" s="70"/>
      <c r="Y605" s="70"/>
      <c r="Z605" s="70"/>
      <c r="AA605" s="70"/>
      <c r="AB605" s="70"/>
      <c r="AC605" s="70"/>
      <c r="AD605" s="70"/>
      <c r="AE605" s="70"/>
      <c r="AF605" s="70"/>
      <c r="AG605" s="70"/>
      <c r="AH605" s="70"/>
      <c r="AI605" s="70"/>
      <c r="AJ605" s="70"/>
      <c r="AK605" s="70"/>
      <c r="AL605" s="70"/>
      <c r="AM605" s="70"/>
      <c r="AN605" s="70"/>
      <c r="AO605" s="70"/>
      <c r="AP605" s="70"/>
      <c r="AQ605" s="70"/>
      <c r="AR605" s="70"/>
      <c r="AS605" s="70"/>
      <c r="AT605" s="70"/>
    </row>
    <row r="606" spans="1:46">
      <c r="A606" s="70"/>
      <c r="B606" s="70"/>
      <c r="C606" s="70"/>
      <c r="D606" s="70"/>
      <c r="E606" s="70"/>
      <c r="F606" s="70"/>
      <c r="G606" s="70"/>
      <c r="H606" s="54"/>
      <c r="I606" s="70"/>
      <c r="J606" s="70"/>
      <c r="K606" s="70"/>
      <c r="L606" s="70"/>
      <c r="M606" s="70"/>
      <c r="N606" s="70"/>
      <c r="O606" s="70"/>
      <c r="P606" s="70"/>
      <c r="Q606" s="70"/>
      <c r="R606" s="70"/>
      <c r="S606" s="70"/>
      <c r="T606" s="70"/>
      <c r="U606" s="70"/>
      <c r="V606" s="70"/>
      <c r="W606" s="70"/>
      <c r="X606" s="70"/>
      <c r="Y606" s="70"/>
      <c r="Z606" s="70"/>
      <c r="AA606" s="70"/>
      <c r="AB606" s="70"/>
      <c r="AC606" s="70"/>
      <c r="AD606" s="70"/>
      <c r="AE606" s="70"/>
      <c r="AF606" s="70"/>
      <c r="AG606" s="70"/>
      <c r="AH606" s="70"/>
      <c r="AI606" s="70"/>
      <c r="AJ606" s="70"/>
      <c r="AK606" s="70"/>
      <c r="AL606" s="70"/>
      <c r="AM606" s="70"/>
      <c r="AN606" s="70"/>
      <c r="AO606" s="70"/>
      <c r="AP606" s="70"/>
      <c r="AQ606" s="70"/>
      <c r="AR606" s="70"/>
      <c r="AS606" s="70"/>
      <c r="AT606" s="70"/>
    </row>
    <row r="607" spans="1:46">
      <c r="A607" s="70"/>
      <c r="B607" s="70"/>
      <c r="C607" s="70"/>
      <c r="D607" s="70"/>
      <c r="E607" s="70"/>
      <c r="F607" s="70"/>
      <c r="G607" s="70"/>
      <c r="H607" s="54"/>
      <c r="I607" s="70"/>
      <c r="J607" s="70"/>
      <c r="K607" s="70"/>
      <c r="L607" s="70"/>
      <c r="M607" s="70"/>
      <c r="N607" s="70"/>
      <c r="O607" s="70"/>
      <c r="P607" s="70"/>
      <c r="Q607" s="70"/>
      <c r="R607" s="70"/>
      <c r="S607" s="70"/>
      <c r="T607" s="70"/>
      <c r="U607" s="70"/>
      <c r="V607" s="70"/>
      <c r="W607" s="70"/>
      <c r="X607" s="70"/>
      <c r="Y607" s="70"/>
      <c r="Z607" s="70"/>
      <c r="AA607" s="70"/>
      <c r="AB607" s="70"/>
      <c r="AC607" s="70"/>
      <c r="AD607" s="70"/>
      <c r="AE607" s="70"/>
      <c r="AF607" s="70"/>
      <c r="AG607" s="70"/>
      <c r="AH607" s="70"/>
      <c r="AI607" s="70"/>
      <c r="AJ607" s="70"/>
      <c r="AK607" s="70"/>
      <c r="AL607" s="70"/>
      <c r="AM607" s="70"/>
      <c r="AN607" s="70"/>
      <c r="AO607" s="70"/>
      <c r="AP607" s="70"/>
      <c r="AQ607" s="70"/>
      <c r="AR607" s="70"/>
      <c r="AS607" s="70"/>
      <c r="AT607" s="70"/>
    </row>
    <row r="608" spans="1:46">
      <c r="A608" s="70"/>
      <c r="B608" s="70"/>
      <c r="C608" s="70"/>
      <c r="D608" s="70"/>
      <c r="E608" s="70"/>
      <c r="F608" s="70"/>
      <c r="G608" s="70"/>
      <c r="H608" s="54"/>
      <c r="I608" s="70"/>
      <c r="J608" s="70"/>
      <c r="K608" s="70"/>
      <c r="L608" s="70"/>
      <c r="M608" s="70"/>
      <c r="N608" s="70"/>
      <c r="O608" s="70"/>
      <c r="P608" s="70"/>
      <c r="Q608" s="70"/>
      <c r="R608" s="70"/>
      <c r="S608" s="70"/>
      <c r="T608" s="70"/>
      <c r="U608" s="70"/>
      <c r="V608" s="70"/>
      <c r="W608" s="70"/>
      <c r="X608" s="70"/>
      <c r="Y608" s="70"/>
      <c r="Z608" s="70"/>
      <c r="AA608" s="70"/>
      <c r="AB608" s="70"/>
      <c r="AC608" s="70"/>
      <c r="AD608" s="70"/>
      <c r="AE608" s="70"/>
      <c r="AF608" s="70"/>
      <c r="AG608" s="70"/>
      <c r="AH608" s="70"/>
      <c r="AI608" s="70"/>
      <c r="AJ608" s="70"/>
      <c r="AK608" s="70"/>
      <c r="AL608" s="70"/>
      <c r="AM608" s="70"/>
      <c r="AN608" s="70"/>
      <c r="AO608" s="70"/>
      <c r="AP608" s="70"/>
      <c r="AQ608" s="70"/>
      <c r="AR608" s="70"/>
      <c r="AS608" s="70"/>
      <c r="AT608" s="70"/>
    </row>
    <row r="609" spans="1:46">
      <c r="A609" s="70"/>
      <c r="B609" s="70"/>
      <c r="C609" s="70"/>
      <c r="D609" s="70"/>
      <c r="E609" s="70"/>
      <c r="F609" s="70"/>
      <c r="G609" s="70"/>
      <c r="H609" s="54"/>
      <c r="I609" s="70"/>
      <c r="J609" s="70"/>
      <c r="K609" s="70"/>
      <c r="L609" s="70"/>
      <c r="M609" s="70"/>
      <c r="N609" s="70"/>
      <c r="O609" s="70"/>
      <c r="P609" s="70"/>
      <c r="Q609" s="70"/>
      <c r="R609" s="70"/>
      <c r="S609" s="70"/>
      <c r="T609" s="70"/>
      <c r="U609" s="70"/>
      <c r="V609" s="70"/>
      <c r="W609" s="70"/>
      <c r="X609" s="70"/>
      <c r="Y609" s="70"/>
      <c r="Z609" s="70"/>
      <c r="AA609" s="70"/>
      <c r="AB609" s="70"/>
      <c r="AC609" s="70"/>
      <c r="AD609" s="70"/>
      <c r="AE609" s="70"/>
      <c r="AF609" s="70"/>
      <c r="AG609" s="70"/>
      <c r="AH609" s="70"/>
      <c r="AI609" s="70"/>
      <c r="AJ609" s="70"/>
      <c r="AK609" s="70"/>
      <c r="AL609" s="70"/>
      <c r="AM609" s="70"/>
      <c r="AN609" s="70"/>
      <c r="AO609" s="70"/>
      <c r="AP609" s="70"/>
      <c r="AQ609" s="70"/>
      <c r="AR609" s="70"/>
      <c r="AS609" s="70"/>
      <c r="AT609" s="70"/>
    </row>
    <row r="610" spans="1:46">
      <c r="A610" s="70"/>
      <c r="B610" s="70"/>
      <c r="C610" s="70"/>
      <c r="D610" s="70"/>
      <c r="E610" s="70"/>
      <c r="F610" s="70"/>
      <c r="G610" s="70"/>
      <c r="H610" s="54"/>
      <c r="I610" s="70"/>
      <c r="J610" s="70"/>
      <c r="K610" s="70"/>
      <c r="L610" s="70"/>
      <c r="M610" s="70"/>
      <c r="N610" s="70"/>
      <c r="O610" s="70"/>
      <c r="P610" s="70"/>
      <c r="Q610" s="70"/>
      <c r="R610" s="70"/>
      <c r="S610" s="70"/>
      <c r="T610" s="70"/>
      <c r="U610" s="70"/>
      <c r="V610" s="70"/>
      <c r="W610" s="70"/>
      <c r="X610" s="70"/>
      <c r="Y610" s="70"/>
      <c r="Z610" s="70"/>
      <c r="AA610" s="70"/>
      <c r="AB610" s="70"/>
      <c r="AC610" s="70"/>
      <c r="AD610" s="70"/>
      <c r="AE610" s="70"/>
      <c r="AF610" s="70"/>
      <c r="AG610" s="70"/>
      <c r="AH610" s="70"/>
      <c r="AI610" s="70"/>
      <c r="AJ610" s="70"/>
      <c r="AK610" s="70"/>
      <c r="AL610" s="70"/>
      <c r="AM610" s="70"/>
      <c r="AN610" s="70"/>
      <c r="AO610" s="70"/>
      <c r="AP610" s="70"/>
      <c r="AQ610" s="70"/>
      <c r="AR610" s="70"/>
      <c r="AS610" s="70"/>
      <c r="AT610" s="70"/>
    </row>
    <row r="611" spans="1:46">
      <c r="A611" s="70"/>
      <c r="B611" s="70"/>
      <c r="C611" s="70"/>
      <c r="D611" s="70"/>
      <c r="E611" s="70"/>
      <c r="F611" s="70"/>
      <c r="G611" s="70"/>
      <c r="H611" s="54"/>
      <c r="I611" s="70"/>
      <c r="J611" s="70"/>
      <c r="K611" s="70"/>
      <c r="L611" s="70"/>
      <c r="M611" s="70"/>
      <c r="N611" s="70"/>
      <c r="O611" s="70"/>
      <c r="P611" s="70"/>
      <c r="Q611" s="70"/>
      <c r="R611" s="70"/>
      <c r="S611" s="70"/>
      <c r="T611" s="70"/>
      <c r="U611" s="70"/>
      <c r="V611" s="70"/>
      <c r="W611" s="70"/>
      <c r="X611" s="70"/>
      <c r="Y611" s="70"/>
      <c r="Z611" s="70"/>
      <c r="AA611" s="70"/>
      <c r="AB611" s="70"/>
      <c r="AC611" s="70"/>
      <c r="AD611" s="70"/>
      <c r="AE611" s="70"/>
      <c r="AF611" s="70"/>
      <c r="AG611" s="70"/>
      <c r="AH611" s="70"/>
      <c r="AI611" s="70"/>
      <c r="AJ611" s="70"/>
      <c r="AK611" s="70"/>
      <c r="AL611" s="70"/>
      <c r="AM611" s="70"/>
      <c r="AN611" s="70"/>
      <c r="AO611" s="70"/>
      <c r="AP611" s="70"/>
      <c r="AQ611" s="70"/>
      <c r="AR611" s="70"/>
      <c r="AS611" s="70"/>
      <c r="AT611" s="70"/>
    </row>
    <row r="612" spans="1:46">
      <c r="A612" s="70"/>
      <c r="B612" s="70"/>
      <c r="C612" s="70"/>
      <c r="D612" s="70"/>
      <c r="E612" s="70"/>
      <c r="F612" s="70"/>
      <c r="G612" s="70"/>
      <c r="H612" s="54"/>
      <c r="I612" s="70"/>
      <c r="J612" s="70"/>
      <c r="K612" s="70"/>
      <c r="L612" s="70"/>
      <c r="M612" s="70"/>
      <c r="N612" s="70"/>
      <c r="O612" s="70"/>
      <c r="P612" s="70"/>
      <c r="Q612" s="70"/>
      <c r="R612" s="70"/>
      <c r="S612" s="70"/>
      <c r="T612" s="70"/>
      <c r="U612" s="70"/>
      <c r="V612" s="70"/>
      <c r="W612" s="70"/>
      <c r="X612" s="70"/>
      <c r="Y612" s="70"/>
      <c r="Z612" s="70"/>
      <c r="AA612" s="70"/>
      <c r="AB612" s="70"/>
      <c r="AC612" s="70"/>
      <c r="AD612" s="70"/>
      <c r="AE612" s="70"/>
      <c r="AF612" s="70"/>
      <c r="AG612" s="70"/>
      <c r="AH612" s="70"/>
      <c r="AI612" s="70"/>
      <c r="AJ612" s="70"/>
      <c r="AK612" s="70"/>
      <c r="AL612" s="70"/>
      <c r="AM612" s="70"/>
      <c r="AN612" s="70"/>
      <c r="AO612" s="70"/>
      <c r="AP612" s="70"/>
      <c r="AQ612" s="70"/>
      <c r="AR612" s="70"/>
      <c r="AS612" s="70"/>
      <c r="AT612" s="70"/>
    </row>
    <row r="613" spans="1:46">
      <c r="A613" s="70"/>
      <c r="B613" s="70"/>
      <c r="C613" s="70"/>
      <c r="D613" s="70"/>
      <c r="E613" s="70"/>
      <c r="F613" s="70"/>
      <c r="G613" s="70"/>
      <c r="H613" s="54"/>
      <c r="I613" s="70"/>
      <c r="J613" s="70"/>
      <c r="K613" s="70"/>
      <c r="L613" s="70"/>
      <c r="M613" s="70"/>
      <c r="N613" s="70"/>
      <c r="O613" s="70"/>
      <c r="P613" s="70"/>
      <c r="Q613" s="70"/>
      <c r="R613" s="70"/>
      <c r="S613" s="70"/>
      <c r="T613" s="70"/>
      <c r="U613" s="70"/>
      <c r="V613" s="70"/>
      <c r="W613" s="70"/>
      <c r="X613" s="70"/>
      <c r="Y613" s="70"/>
      <c r="Z613" s="70"/>
      <c r="AA613" s="70"/>
      <c r="AB613" s="70"/>
      <c r="AC613" s="70"/>
      <c r="AD613" s="70"/>
      <c r="AE613" s="70"/>
      <c r="AF613" s="70"/>
      <c r="AG613" s="70"/>
      <c r="AH613" s="70"/>
      <c r="AI613" s="70"/>
      <c r="AJ613" s="70"/>
      <c r="AK613" s="70"/>
      <c r="AL613" s="70"/>
      <c r="AM613" s="70"/>
      <c r="AN613" s="70"/>
      <c r="AO613" s="70"/>
      <c r="AP613" s="70"/>
      <c r="AQ613" s="70"/>
      <c r="AR613" s="70"/>
      <c r="AS613" s="70"/>
      <c r="AT613" s="70"/>
    </row>
    <row r="614" spans="1:46">
      <c r="A614" s="70"/>
      <c r="B614" s="70"/>
      <c r="C614" s="70"/>
      <c r="D614" s="70"/>
      <c r="E614" s="70"/>
      <c r="F614" s="70"/>
      <c r="G614" s="70"/>
      <c r="H614" s="54"/>
      <c r="I614" s="70"/>
      <c r="J614" s="70"/>
      <c r="K614" s="70"/>
      <c r="L614" s="70"/>
      <c r="M614" s="70"/>
      <c r="N614" s="70"/>
      <c r="O614" s="70"/>
      <c r="P614" s="70"/>
      <c r="Q614" s="70"/>
      <c r="R614" s="70"/>
      <c r="S614" s="70"/>
      <c r="T614" s="70"/>
      <c r="U614" s="70"/>
      <c r="V614" s="70"/>
      <c r="W614" s="70"/>
      <c r="X614" s="70"/>
      <c r="Y614" s="70"/>
      <c r="Z614" s="70"/>
      <c r="AA614" s="70"/>
      <c r="AB614" s="70"/>
      <c r="AC614" s="70"/>
      <c r="AD614" s="70"/>
      <c r="AE614" s="70"/>
      <c r="AF614" s="70"/>
      <c r="AG614" s="70"/>
      <c r="AH614" s="70"/>
      <c r="AI614" s="70"/>
      <c r="AJ614" s="70"/>
      <c r="AK614" s="70"/>
      <c r="AL614" s="70"/>
      <c r="AM614" s="70"/>
      <c r="AN614" s="70"/>
      <c r="AO614" s="70"/>
      <c r="AP614" s="70"/>
      <c r="AQ614" s="70"/>
      <c r="AR614" s="70"/>
      <c r="AS614" s="70"/>
      <c r="AT614" s="70"/>
    </row>
    <row r="615" spans="1:46">
      <c r="A615" s="70"/>
      <c r="B615" s="70"/>
      <c r="C615" s="70"/>
      <c r="D615" s="70"/>
      <c r="E615" s="70"/>
      <c r="F615" s="70"/>
      <c r="G615" s="70"/>
      <c r="H615" s="54"/>
      <c r="I615" s="70"/>
      <c r="J615" s="70"/>
      <c r="K615" s="70"/>
      <c r="L615" s="70"/>
      <c r="M615" s="70"/>
      <c r="N615" s="70"/>
      <c r="O615" s="70"/>
      <c r="P615" s="70"/>
      <c r="Q615" s="70"/>
      <c r="R615" s="70"/>
      <c r="S615" s="70"/>
      <c r="T615" s="70"/>
      <c r="U615" s="70"/>
      <c r="V615" s="70"/>
      <c r="W615" s="70"/>
      <c r="X615" s="70"/>
      <c r="Y615" s="70"/>
      <c r="Z615" s="70"/>
      <c r="AA615" s="70"/>
      <c r="AB615" s="70"/>
      <c r="AC615" s="70"/>
      <c r="AD615" s="70"/>
      <c r="AE615" s="70"/>
      <c r="AF615" s="70"/>
      <c r="AG615" s="70"/>
      <c r="AH615" s="70"/>
      <c r="AI615" s="70"/>
      <c r="AJ615" s="70"/>
      <c r="AK615" s="70"/>
      <c r="AL615" s="70"/>
      <c r="AM615" s="70"/>
      <c r="AN615" s="70"/>
      <c r="AO615" s="70"/>
      <c r="AP615" s="70"/>
      <c r="AQ615" s="70"/>
      <c r="AR615" s="70"/>
      <c r="AS615" s="70"/>
      <c r="AT615" s="70"/>
    </row>
    <row r="616" spans="1:46">
      <c r="A616" s="70"/>
      <c r="B616" s="70"/>
      <c r="C616" s="70"/>
      <c r="D616" s="70"/>
      <c r="E616" s="70"/>
      <c r="F616" s="70"/>
      <c r="G616" s="70"/>
      <c r="H616" s="54"/>
      <c r="I616" s="70"/>
      <c r="J616" s="70"/>
      <c r="K616" s="70"/>
      <c r="L616" s="70"/>
      <c r="M616" s="70"/>
      <c r="N616" s="70"/>
      <c r="O616" s="70"/>
      <c r="P616" s="70"/>
      <c r="Q616" s="70"/>
      <c r="R616" s="70"/>
      <c r="S616" s="70"/>
      <c r="T616" s="70"/>
      <c r="U616" s="70"/>
      <c r="V616" s="70"/>
      <c r="W616" s="70"/>
      <c r="X616" s="70"/>
      <c r="Y616" s="70"/>
      <c r="Z616" s="70"/>
      <c r="AA616" s="70"/>
      <c r="AB616" s="70"/>
      <c r="AC616" s="70"/>
      <c r="AD616" s="70"/>
      <c r="AE616" s="70"/>
      <c r="AF616" s="70"/>
      <c r="AG616" s="70"/>
      <c r="AH616" s="70"/>
      <c r="AI616" s="70"/>
      <c r="AJ616" s="70"/>
      <c r="AK616" s="70"/>
      <c r="AL616" s="70"/>
      <c r="AM616" s="70"/>
      <c r="AN616" s="70"/>
      <c r="AO616" s="70"/>
      <c r="AP616" s="70"/>
      <c r="AQ616" s="70"/>
      <c r="AR616" s="70"/>
      <c r="AS616" s="70"/>
      <c r="AT616" s="70"/>
    </row>
    <row r="617" spans="1:46">
      <c r="A617" s="70"/>
      <c r="B617" s="70"/>
      <c r="C617" s="70"/>
      <c r="D617" s="70"/>
      <c r="E617" s="70"/>
      <c r="F617" s="70"/>
      <c r="G617" s="70"/>
      <c r="H617" s="54"/>
      <c r="I617" s="70"/>
      <c r="J617" s="70"/>
      <c r="K617" s="70"/>
      <c r="L617" s="70"/>
      <c r="M617" s="70"/>
      <c r="N617" s="70"/>
      <c r="O617" s="70"/>
      <c r="P617" s="70"/>
      <c r="Q617" s="70"/>
      <c r="R617" s="70"/>
      <c r="S617" s="70"/>
      <c r="T617" s="70"/>
      <c r="U617" s="70"/>
      <c r="V617" s="70"/>
      <c r="W617" s="70"/>
      <c r="X617" s="70"/>
      <c r="Y617" s="70"/>
      <c r="Z617" s="70"/>
      <c r="AA617" s="70"/>
      <c r="AB617" s="70"/>
      <c r="AC617" s="70"/>
      <c r="AD617" s="70"/>
      <c r="AE617" s="70"/>
      <c r="AF617" s="70"/>
      <c r="AG617" s="70"/>
      <c r="AH617" s="70"/>
      <c r="AI617" s="70"/>
      <c r="AJ617" s="70"/>
      <c r="AK617" s="70"/>
      <c r="AL617" s="70"/>
      <c r="AM617" s="70"/>
      <c r="AN617" s="70"/>
      <c r="AO617" s="70"/>
      <c r="AP617" s="70"/>
      <c r="AQ617" s="70"/>
      <c r="AR617" s="70"/>
      <c r="AS617" s="70"/>
      <c r="AT617" s="70"/>
    </row>
    <row r="618" spans="1:46">
      <c r="A618" s="70"/>
      <c r="B618" s="70"/>
      <c r="C618" s="70"/>
      <c r="D618" s="70"/>
      <c r="E618" s="70"/>
      <c r="F618" s="70"/>
      <c r="G618" s="70"/>
      <c r="H618" s="54"/>
      <c r="I618" s="70"/>
      <c r="J618" s="70"/>
      <c r="K618" s="70"/>
      <c r="L618" s="70"/>
      <c r="M618" s="70"/>
      <c r="N618" s="70"/>
      <c r="O618" s="70"/>
      <c r="P618" s="70"/>
      <c r="Q618" s="70"/>
      <c r="R618" s="70"/>
      <c r="S618" s="70"/>
      <c r="T618" s="70"/>
      <c r="U618" s="70"/>
      <c r="V618" s="70"/>
      <c r="W618" s="70"/>
      <c r="X618" s="70"/>
      <c r="Y618" s="70"/>
      <c r="Z618" s="70"/>
      <c r="AA618" s="70"/>
      <c r="AB618" s="70"/>
      <c r="AC618" s="70"/>
      <c r="AD618" s="70"/>
      <c r="AE618" s="70"/>
      <c r="AF618" s="70"/>
      <c r="AG618" s="70"/>
      <c r="AH618" s="70"/>
      <c r="AI618" s="70"/>
      <c r="AJ618" s="70"/>
      <c r="AK618" s="70"/>
      <c r="AL618" s="70"/>
      <c r="AM618" s="70"/>
      <c r="AN618" s="70"/>
      <c r="AO618" s="70"/>
      <c r="AP618" s="70"/>
      <c r="AQ618" s="70"/>
      <c r="AR618" s="70"/>
      <c r="AS618" s="70"/>
      <c r="AT618" s="70"/>
    </row>
    <row r="619" spans="1:46">
      <c r="A619" s="70"/>
      <c r="B619" s="70"/>
      <c r="C619" s="70"/>
      <c r="D619" s="70"/>
      <c r="E619" s="70"/>
      <c r="F619" s="70"/>
      <c r="G619" s="70"/>
      <c r="H619" s="54"/>
      <c r="I619" s="70"/>
      <c r="J619" s="70"/>
      <c r="K619" s="70"/>
      <c r="L619" s="70"/>
      <c r="M619" s="70"/>
      <c r="N619" s="70"/>
      <c r="O619" s="70"/>
      <c r="P619" s="70"/>
      <c r="Q619" s="70"/>
      <c r="R619" s="70"/>
      <c r="S619" s="70"/>
      <c r="T619" s="70"/>
      <c r="U619" s="70"/>
      <c r="V619" s="70"/>
      <c r="W619" s="70"/>
      <c r="X619" s="70"/>
      <c r="Y619" s="70"/>
      <c r="Z619" s="70"/>
      <c r="AA619" s="70"/>
      <c r="AB619" s="70"/>
      <c r="AC619" s="70"/>
      <c r="AD619" s="70"/>
      <c r="AE619" s="70"/>
      <c r="AF619" s="70"/>
      <c r="AG619" s="70"/>
      <c r="AH619" s="70"/>
      <c r="AI619" s="70"/>
      <c r="AJ619" s="70"/>
      <c r="AK619" s="70"/>
      <c r="AL619" s="70"/>
      <c r="AM619" s="70"/>
      <c r="AN619" s="70"/>
      <c r="AO619" s="70"/>
      <c r="AP619" s="70"/>
      <c r="AQ619" s="70"/>
      <c r="AR619" s="70"/>
      <c r="AS619" s="70"/>
      <c r="AT619" s="70"/>
    </row>
    <row r="620" spans="1:46">
      <c r="A620" s="70"/>
      <c r="B620" s="70"/>
      <c r="C620" s="70"/>
      <c r="D620" s="70"/>
      <c r="E620" s="70"/>
      <c r="F620" s="70"/>
      <c r="G620" s="70"/>
      <c r="H620" s="54"/>
      <c r="I620" s="70"/>
      <c r="J620" s="70"/>
      <c r="K620" s="70"/>
      <c r="L620" s="70"/>
      <c r="M620" s="70"/>
      <c r="N620" s="70"/>
      <c r="O620" s="70"/>
      <c r="P620" s="70"/>
      <c r="Q620" s="70"/>
      <c r="R620" s="70"/>
      <c r="S620" s="70"/>
      <c r="T620" s="70"/>
      <c r="U620" s="70"/>
      <c r="V620" s="70"/>
      <c r="W620" s="70"/>
      <c r="X620" s="70"/>
      <c r="Y620" s="70"/>
      <c r="Z620" s="70"/>
      <c r="AA620" s="70"/>
      <c r="AB620" s="70"/>
      <c r="AC620" s="70"/>
      <c r="AD620" s="70"/>
      <c r="AE620" s="70"/>
      <c r="AF620" s="70"/>
      <c r="AG620" s="70"/>
      <c r="AH620" s="70"/>
      <c r="AI620" s="70"/>
      <c r="AJ620" s="70"/>
      <c r="AK620" s="70"/>
      <c r="AL620" s="70"/>
      <c r="AM620" s="70"/>
      <c r="AN620" s="70"/>
      <c r="AO620" s="70"/>
      <c r="AP620" s="70"/>
      <c r="AQ620" s="70"/>
      <c r="AR620" s="70"/>
      <c r="AS620" s="70"/>
      <c r="AT620" s="70"/>
    </row>
    <row r="621" spans="1:46">
      <c r="A621" s="70"/>
      <c r="B621" s="70"/>
      <c r="C621" s="70"/>
      <c r="D621" s="70"/>
      <c r="E621" s="70"/>
      <c r="F621" s="70"/>
      <c r="G621" s="70"/>
      <c r="H621" s="54"/>
      <c r="I621" s="70"/>
      <c r="J621" s="70"/>
      <c r="K621" s="70"/>
      <c r="L621" s="70"/>
      <c r="M621" s="70"/>
      <c r="N621" s="70"/>
      <c r="O621" s="70"/>
      <c r="P621" s="70"/>
      <c r="Q621" s="70"/>
      <c r="R621" s="70"/>
      <c r="S621" s="70"/>
      <c r="T621" s="70"/>
      <c r="U621" s="70"/>
      <c r="V621" s="70"/>
      <c r="W621" s="70"/>
      <c r="X621" s="70"/>
      <c r="Y621" s="70"/>
      <c r="Z621" s="70"/>
      <c r="AA621" s="70"/>
      <c r="AB621" s="70"/>
      <c r="AC621" s="70"/>
      <c r="AD621" s="70"/>
      <c r="AE621" s="70"/>
      <c r="AF621" s="70"/>
      <c r="AG621" s="70"/>
      <c r="AH621" s="70"/>
      <c r="AI621" s="70"/>
      <c r="AJ621" s="70"/>
      <c r="AK621" s="70"/>
      <c r="AL621" s="70"/>
      <c r="AM621" s="70"/>
      <c r="AN621" s="70"/>
      <c r="AO621" s="70"/>
      <c r="AP621" s="70"/>
      <c r="AQ621" s="70"/>
      <c r="AR621" s="70"/>
      <c r="AS621" s="70"/>
      <c r="AT621" s="70"/>
    </row>
    <row r="622" spans="1:46">
      <c r="A622" s="70"/>
      <c r="B622" s="70"/>
      <c r="C622" s="70"/>
      <c r="D622" s="70"/>
      <c r="E622" s="70"/>
      <c r="F622" s="70"/>
      <c r="G622" s="70"/>
      <c r="H622" s="54"/>
      <c r="I622" s="70"/>
      <c r="J622" s="70"/>
      <c r="K622" s="70"/>
      <c r="L622" s="70"/>
      <c r="M622" s="70"/>
      <c r="N622" s="70"/>
      <c r="O622" s="70"/>
      <c r="P622" s="70"/>
      <c r="Q622" s="70"/>
      <c r="R622" s="70"/>
      <c r="S622" s="70"/>
      <c r="T622" s="70"/>
      <c r="U622" s="70"/>
      <c r="V622" s="70"/>
      <c r="W622" s="70"/>
      <c r="X622" s="70"/>
      <c r="Y622" s="70"/>
      <c r="Z622" s="70"/>
      <c r="AA622" s="70"/>
      <c r="AB622" s="70"/>
      <c r="AC622" s="70"/>
      <c r="AD622" s="70"/>
      <c r="AE622" s="70"/>
      <c r="AF622" s="70"/>
      <c r="AG622" s="70"/>
      <c r="AH622" s="70"/>
      <c r="AI622" s="70"/>
      <c r="AJ622" s="70"/>
      <c r="AK622" s="70"/>
      <c r="AL622" s="70"/>
      <c r="AM622" s="70"/>
      <c r="AN622" s="70"/>
      <c r="AO622" s="70"/>
      <c r="AP622" s="70"/>
      <c r="AQ622" s="70"/>
      <c r="AR622" s="70"/>
      <c r="AS622" s="70"/>
      <c r="AT622" s="70"/>
    </row>
    <row r="623" spans="1:46">
      <c r="A623" s="70"/>
      <c r="B623" s="70"/>
      <c r="C623" s="70"/>
      <c r="D623" s="70"/>
      <c r="E623" s="70"/>
      <c r="F623" s="70"/>
      <c r="G623" s="70"/>
      <c r="H623" s="54"/>
      <c r="I623" s="70"/>
      <c r="J623" s="70"/>
      <c r="K623" s="70"/>
      <c r="L623" s="70"/>
      <c r="M623" s="70"/>
      <c r="N623" s="70"/>
      <c r="O623" s="70"/>
      <c r="P623" s="70"/>
      <c r="Q623" s="70"/>
      <c r="R623" s="70"/>
      <c r="S623" s="70"/>
      <c r="T623" s="70"/>
      <c r="U623" s="70"/>
      <c r="V623" s="70"/>
      <c r="W623" s="70"/>
      <c r="X623" s="70"/>
      <c r="Y623" s="70"/>
      <c r="Z623" s="70"/>
      <c r="AA623" s="70"/>
      <c r="AB623" s="70"/>
      <c r="AC623" s="70"/>
      <c r="AD623" s="70"/>
      <c r="AE623" s="70"/>
      <c r="AF623" s="70"/>
      <c r="AG623" s="70"/>
      <c r="AH623" s="70"/>
      <c r="AI623" s="70"/>
      <c r="AJ623" s="70"/>
      <c r="AK623" s="70"/>
      <c r="AL623" s="70"/>
      <c r="AM623" s="70"/>
      <c r="AN623" s="70"/>
      <c r="AO623" s="70"/>
      <c r="AP623" s="70"/>
      <c r="AQ623" s="70"/>
      <c r="AR623" s="70"/>
      <c r="AS623" s="70"/>
      <c r="AT623" s="70"/>
    </row>
    <row r="624" spans="1:46">
      <c r="A624" s="70"/>
      <c r="B624" s="70"/>
      <c r="C624" s="70"/>
      <c r="D624" s="70"/>
      <c r="E624" s="70"/>
      <c r="F624" s="70"/>
      <c r="G624" s="70"/>
      <c r="H624" s="54"/>
      <c r="I624" s="70"/>
      <c r="J624" s="70"/>
      <c r="K624" s="70"/>
      <c r="L624" s="70"/>
      <c r="M624" s="70"/>
      <c r="N624" s="70"/>
      <c r="O624" s="70"/>
      <c r="P624" s="70"/>
      <c r="Q624" s="70"/>
      <c r="R624" s="70"/>
      <c r="S624" s="70"/>
      <c r="T624" s="70"/>
      <c r="U624" s="70"/>
      <c r="V624" s="70"/>
      <c r="W624" s="70"/>
      <c r="X624" s="70"/>
      <c r="Y624" s="70"/>
      <c r="Z624" s="70"/>
      <c r="AA624" s="70"/>
      <c r="AB624" s="70"/>
      <c r="AC624" s="70"/>
      <c r="AD624" s="70"/>
      <c r="AE624" s="70"/>
      <c r="AF624" s="70"/>
      <c r="AG624" s="70"/>
      <c r="AH624" s="70"/>
      <c r="AI624" s="70"/>
      <c r="AJ624" s="70"/>
      <c r="AK624" s="70"/>
      <c r="AL624" s="70"/>
      <c r="AM624" s="70"/>
      <c r="AN624" s="70"/>
      <c r="AO624" s="70"/>
      <c r="AP624" s="70"/>
      <c r="AQ624" s="70"/>
      <c r="AR624" s="70"/>
      <c r="AS624" s="70"/>
      <c r="AT624" s="70"/>
    </row>
    <row r="625" spans="1:46">
      <c r="A625" s="70"/>
      <c r="B625" s="70"/>
      <c r="C625" s="70"/>
      <c r="D625" s="70"/>
      <c r="E625" s="70"/>
      <c r="F625" s="70"/>
      <c r="G625" s="70"/>
      <c r="H625" s="54"/>
      <c r="I625" s="70"/>
      <c r="J625" s="70"/>
      <c r="K625" s="70"/>
      <c r="L625" s="70"/>
      <c r="M625" s="70"/>
      <c r="N625" s="70"/>
      <c r="O625" s="70"/>
      <c r="P625" s="70"/>
      <c r="Q625" s="70"/>
      <c r="R625" s="70"/>
      <c r="S625" s="70"/>
      <c r="T625" s="70"/>
      <c r="U625" s="70"/>
      <c r="V625" s="70"/>
      <c r="W625" s="70"/>
      <c r="X625" s="70"/>
      <c r="Y625" s="70"/>
      <c r="Z625" s="70"/>
      <c r="AA625" s="70"/>
      <c r="AB625" s="70"/>
      <c r="AC625" s="70"/>
      <c r="AD625" s="70"/>
      <c r="AE625" s="70"/>
      <c r="AF625" s="70"/>
      <c r="AG625" s="70"/>
      <c r="AH625" s="70"/>
      <c r="AI625" s="70"/>
      <c r="AJ625" s="70"/>
      <c r="AK625" s="70"/>
      <c r="AL625" s="70"/>
      <c r="AM625" s="70"/>
      <c r="AN625" s="70"/>
      <c r="AO625" s="70"/>
      <c r="AP625" s="70"/>
      <c r="AQ625" s="70"/>
      <c r="AR625" s="70"/>
      <c r="AS625" s="70"/>
      <c r="AT625" s="70"/>
    </row>
    <row r="626" spans="1:46">
      <c r="A626" s="70"/>
      <c r="B626" s="70"/>
      <c r="C626" s="70"/>
      <c r="D626" s="70"/>
      <c r="E626" s="70"/>
      <c r="F626" s="70"/>
      <c r="G626" s="70"/>
      <c r="H626" s="54"/>
      <c r="I626" s="70"/>
      <c r="J626" s="70"/>
      <c r="K626" s="70"/>
      <c r="L626" s="70"/>
      <c r="M626" s="70"/>
      <c r="N626" s="70"/>
      <c r="O626" s="70"/>
      <c r="P626" s="70"/>
      <c r="Q626" s="70"/>
      <c r="R626" s="70"/>
      <c r="S626" s="70"/>
      <c r="T626" s="70"/>
      <c r="U626" s="70"/>
      <c r="V626" s="70"/>
      <c r="W626" s="70"/>
      <c r="X626" s="70"/>
      <c r="Y626" s="70"/>
      <c r="Z626" s="70"/>
      <c r="AA626" s="70"/>
      <c r="AB626" s="70"/>
      <c r="AC626" s="70"/>
      <c r="AD626" s="70"/>
      <c r="AE626" s="70"/>
      <c r="AF626" s="70"/>
      <c r="AG626" s="70"/>
      <c r="AH626" s="70"/>
      <c r="AI626" s="70"/>
      <c r="AJ626" s="70"/>
      <c r="AK626" s="70"/>
      <c r="AL626" s="70"/>
      <c r="AM626" s="70"/>
      <c r="AN626" s="70"/>
      <c r="AO626" s="70"/>
      <c r="AP626" s="70"/>
      <c r="AQ626" s="70"/>
      <c r="AR626" s="70"/>
      <c r="AS626" s="70"/>
      <c r="AT626" s="70"/>
    </row>
    <row r="627" spans="1:46">
      <c r="A627" s="70"/>
      <c r="B627" s="70"/>
      <c r="C627" s="70"/>
      <c r="D627" s="70"/>
      <c r="E627" s="70"/>
      <c r="F627" s="70"/>
      <c r="G627" s="70"/>
      <c r="H627" s="54"/>
      <c r="I627" s="70"/>
      <c r="J627" s="70"/>
      <c r="K627" s="70"/>
      <c r="L627" s="70"/>
      <c r="M627" s="70"/>
      <c r="N627" s="70"/>
      <c r="O627" s="70"/>
      <c r="P627" s="70"/>
      <c r="Q627" s="70"/>
      <c r="R627" s="70"/>
      <c r="S627" s="70"/>
      <c r="T627" s="70"/>
      <c r="U627" s="70"/>
      <c r="V627" s="70"/>
      <c r="W627" s="70"/>
      <c r="X627" s="70"/>
      <c r="Y627" s="70"/>
      <c r="Z627" s="70"/>
      <c r="AA627" s="70"/>
      <c r="AB627" s="70"/>
      <c r="AC627" s="70"/>
      <c r="AD627" s="70"/>
      <c r="AE627" s="70"/>
      <c r="AF627" s="70"/>
      <c r="AG627" s="70"/>
      <c r="AH627" s="70"/>
      <c r="AI627" s="70"/>
      <c r="AJ627" s="70"/>
      <c r="AK627" s="70"/>
      <c r="AL627" s="70"/>
      <c r="AM627" s="70"/>
      <c r="AN627" s="70"/>
      <c r="AO627" s="70"/>
      <c r="AP627" s="70"/>
      <c r="AQ627" s="70"/>
      <c r="AR627" s="70"/>
      <c r="AS627" s="70"/>
      <c r="AT627" s="70"/>
    </row>
    <row r="628" spans="1:46">
      <c r="A628" s="70"/>
      <c r="B628" s="70"/>
      <c r="C628" s="70"/>
      <c r="D628" s="70"/>
      <c r="E628" s="70"/>
      <c r="F628" s="70"/>
      <c r="G628" s="70"/>
      <c r="H628" s="54"/>
      <c r="I628" s="70"/>
      <c r="J628" s="70"/>
      <c r="K628" s="70"/>
      <c r="L628" s="70"/>
      <c r="M628" s="70"/>
      <c r="N628" s="70"/>
      <c r="O628" s="70"/>
      <c r="P628" s="70"/>
      <c r="Q628" s="70"/>
      <c r="R628" s="70"/>
      <c r="S628" s="70"/>
      <c r="T628" s="70"/>
      <c r="U628" s="70"/>
      <c r="V628" s="70"/>
      <c r="W628" s="70"/>
      <c r="X628" s="70"/>
      <c r="Y628" s="70"/>
      <c r="Z628" s="70"/>
      <c r="AA628" s="70"/>
      <c r="AB628" s="70"/>
      <c r="AC628" s="70"/>
      <c r="AD628" s="70"/>
      <c r="AE628" s="70"/>
      <c r="AF628" s="70"/>
      <c r="AG628" s="70"/>
      <c r="AH628" s="70"/>
      <c r="AI628" s="70"/>
      <c r="AJ628" s="70"/>
      <c r="AK628" s="70"/>
      <c r="AL628" s="70"/>
      <c r="AM628" s="70"/>
      <c r="AN628" s="70"/>
      <c r="AO628" s="70"/>
      <c r="AP628" s="70"/>
      <c r="AQ628" s="70"/>
      <c r="AR628" s="70"/>
      <c r="AS628" s="70"/>
      <c r="AT628" s="70"/>
    </row>
    <row r="629" spans="1:46">
      <c r="A629" s="70"/>
      <c r="B629" s="70"/>
      <c r="C629" s="70"/>
      <c r="D629" s="70"/>
      <c r="E629" s="70"/>
      <c r="F629" s="70"/>
      <c r="G629" s="70"/>
      <c r="H629" s="54"/>
      <c r="I629" s="70"/>
      <c r="J629" s="70"/>
      <c r="K629" s="70"/>
      <c r="L629" s="70"/>
      <c r="M629" s="70"/>
      <c r="N629" s="70"/>
      <c r="O629" s="70"/>
      <c r="P629" s="70"/>
      <c r="Q629" s="70"/>
      <c r="R629" s="70"/>
      <c r="S629" s="70"/>
      <c r="T629" s="70"/>
      <c r="U629" s="70"/>
      <c r="V629" s="70"/>
      <c r="W629" s="70"/>
      <c r="X629" s="70"/>
      <c r="Y629" s="70"/>
      <c r="Z629" s="70"/>
      <c r="AA629" s="70"/>
      <c r="AB629" s="70"/>
      <c r="AC629" s="70"/>
      <c r="AD629" s="70"/>
      <c r="AE629" s="70"/>
      <c r="AF629" s="70"/>
      <c r="AG629" s="70"/>
      <c r="AH629" s="70"/>
      <c r="AI629" s="70"/>
      <c r="AJ629" s="70"/>
      <c r="AK629" s="70"/>
      <c r="AL629" s="70"/>
      <c r="AM629" s="70"/>
      <c r="AN629" s="70"/>
      <c r="AO629" s="70"/>
      <c r="AP629" s="70"/>
      <c r="AQ629" s="70"/>
      <c r="AR629" s="70"/>
      <c r="AS629" s="70"/>
      <c r="AT629" s="70"/>
    </row>
    <row r="630" spans="1:46">
      <c r="A630" s="70"/>
      <c r="B630" s="70"/>
      <c r="C630" s="70"/>
      <c r="D630" s="70"/>
      <c r="E630" s="70"/>
      <c r="F630" s="70"/>
      <c r="G630" s="70"/>
      <c r="H630" s="54"/>
      <c r="I630" s="70"/>
      <c r="J630" s="70"/>
      <c r="K630" s="70"/>
      <c r="L630" s="70"/>
      <c r="M630" s="70"/>
      <c r="N630" s="70"/>
      <c r="O630" s="70"/>
      <c r="P630" s="70"/>
      <c r="Q630" s="70"/>
      <c r="R630" s="70"/>
      <c r="S630" s="70"/>
      <c r="T630" s="70"/>
      <c r="U630" s="70"/>
      <c r="V630" s="70"/>
      <c r="W630" s="70"/>
      <c r="X630" s="70"/>
      <c r="Y630" s="70"/>
      <c r="Z630" s="70"/>
      <c r="AA630" s="70"/>
      <c r="AB630" s="70"/>
      <c r="AC630" s="70"/>
      <c r="AD630" s="70"/>
      <c r="AE630" s="70"/>
      <c r="AF630" s="70"/>
      <c r="AG630" s="70"/>
      <c r="AH630" s="70"/>
      <c r="AI630" s="70"/>
      <c r="AJ630" s="70"/>
      <c r="AK630" s="70"/>
      <c r="AL630" s="70"/>
      <c r="AM630" s="70"/>
      <c r="AN630" s="70"/>
      <c r="AO630" s="70"/>
      <c r="AP630" s="70"/>
      <c r="AQ630" s="70"/>
      <c r="AR630" s="70"/>
      <c r="AS630" s="70"/>
      <c r="AT630" s="70"/>
    </row>
    <row r="631" spans="1:46">
      <c r="A631" s="70"/>
      <c r="B631" s="70"/>
      <c r="C631" s="70"/>
      <c r="D631" s="70"/>
      <c r="E631" s="70"/>
      <c r="F631" s="70"/>
      <c r="G631" s="70"/>
      <c r="H631" s="54"/>
      <c r="I631" s="70"/>
      <c r="J631" s="70"/>
      <c r="K631" s="70"/>
      <c r="L631" s="70"/>
      <c r="M631" s="70"/>
      <c r="N631" s="70"/>
      <c r="O631" s="70"/>
      <c r="P631" s="70"/>
      <c r="Q631" s="70"/>
      <c r="R631" s="70"/>
      <c r="S631" s="70"/>
      <c r="T631" s="70"/>
      <c r="U631" s="70"/>
      <c r="V631" s="70"/>
      <c r="W631" s="70"/>
      <c r="X631" s="70"/>
      <c r="Y631" s="70"/>
      <c r="Z631" s="70"/>
      <c r="AA631" s="70"/>
      <c r="AB631" s="70"/>
      <c r="AC631" s="70"/>
      <c r="AD631" s="70"/>
      <c r="AE631" s="70"/>
      <c r="AF631" s="70"/>
      <c r="AG631" s="70"/>
      <c r="AH631" s="70"/>
      <c r="AI631" s="70"/>
      <c r="AJ631" s="70"/>
      <c r="AK631" s="70"/>
      <c r="AL631" s="70"/>
      <c r="AM631" s="70"/>
      <c r="AN631" s="70"/>
      <c r="AO631" s="70"/>
      <c r="AP631" s="70"/>
      <c r="AQ631" s="70"/>
      <c r="AR631" s="70"/>
      <c r="AS631" s="70"/>
      <c r="AT631" s="70"/>
    </row>
    <row r="632" spans="1:46">
      <c r="A632" s="70"/>
      <c r="B632" s="70"/>
      <c r="C632" s="70"/>
      <c r="D632" s="70"/>
      <c r="E632" s="70"/>
      <c r="F632" s="70"/>
      <c r="G632" s="70"/>
      <c r="H632" s="54"/>
      <c r="I632" s="70"/>
      <c r="J632" s="70"/>
      <c r="K632" s="70"/>
      <c r="L632" s="70"/>
      <c r="M632" s="70"/>
      <c r="N632" s="70"/>
      <c r="O632" s="70"/>
      <c r="P632" s="70"/>
      <c r="Q632" s="70"/>
      <c r="R632" s="70"/>
      <c r="S632" s="70"/>
      <c r="T632" s="70"/>
      <c r="U632" s="70"/>
      <c r="V632" s="70"/>
      <c r="W632" s="70"/>
      <c r="X632" s="70"/>
      <c r="Y632" s="70"/>
      <c r="Z632" s="70"/>
      <c r="AA632" s="70"/>
      <c r="AB632" s="70"/>
      <c r="AC632" s="70"/>
      <c r="AD632" s="70"/>
      <c r="AE632" s="70"/>
      <c r="AF632" s="70"/>
      <c r="AG632" s="70"/>
      <c r="AH632" s="70"/>
      <c r="AI632" s="70"/>
      <c r="AJ632" s="70"/>
      <c r="AK632" s="70"/>
      <c r="AL632" s="70"/>
      <c r="AM632" s="70"/>
      <c r="AN632" s="70"/>
      <c r="AO632" s="70"/>
      <c r="AP632" s="70"/>
      <c r="AQ632" s="70"/>
      <c r="AR632" s="70"/>
      <c r="AS632" s="70"/>
      <c r="AT632" s="70"/>
    </row>
    <row r="633" spans="1:46">
      <c r="A633" s="70"/>
      <c r="B633" s="70"/>
      <c r="C633" s="70"/>
      <c r="D633" s="70"/>
      <c r="E633" s="70"/>
      <c r="F633" s="70"/>
      <c r="G633" s="70"/>
      <c r="H633" s="54"/>
      <c r="I633" s="70"/>
      <c r="J633" s="70"/>
      <c r="K633" s="70"/>
      <c r="L633" s="70"/>
      <c r="M633" s="70"/>
      <c r="N633" s="70"/>
      <c r="O633" s="70"/>
      <c r="P633" s="70"/>
      <c r="Q633" s="70"/>
      <c r="R633" s="70"/>
      <c r="S633" s="70"/>
      <c r="T633" s="70"/>
      <c r="U633" s="70"/>
      <c r="V633" s="70"/>
      <c r="W633" s="70"/>
      <c r="X633" s="70"/>
      <c r="Y633" s="70"/>
      <c r="Z633" s="70"/>
      <c r="AA633" s="70"/>
      <c r="AB633" s="70"/>
      <c r="AC633" s="70"/>
      <c r="AD633" s="70"/>
      <c r="AE633" s="70"/>
      <c r="AF633" s="70"/>
      <c r="AG633" s="70"/>
      <c r="AH633" s="70"/>
      <c r="AI633" s="70"/>
      <c r="AJ633" s="70"/>
      <c r="AK633" s="70"/>
      <c r="AL633" s="70"/>
      <c r="AM633" s="70"/>
      <c r="AN633" s="70"/>
      <c r="AO633" s="70"/>
      <c r="AP633" s="70"/>
      <c r="AQ633" s="70"/>
      <c r="AR633" s="70"/>
      <c r="AS633" s="70"/>
      <c r="AT633" s="70"/>
    </row>
    <row r="634" spans="1:46">
      <c r="A634" s="70"/>
      <c r="B634" s="70"/>
      <c r="C634" s="70"/>
      <c r="D634" s="70"/>
      <c r="E634" s="70"/>
      <c r="F634" s="70"/>
      <c r="G634" s="70"/>
      <c r="H634" s="54"/>
      <c r="I634" s="70"/>
      <c r="J634" s="70"/>
      <c r="K634" s="70"/>
      <c r="L634" s="70"/>
      <c r="M634" s="70"/>
      <c r="N634" s="70"/>
      <c r="O634" s="70"/>
      <c r="P634" s="70"/>
      <c r="Q634" s="70"/>
      <c r="R634" s="70"/>
      <c r="S634" s="70"/>
      <c r="T634" s="70"/>
      <c r="U634" s="70"/>
      <c r="V634" s="70"/>
      <c r="W634" s="70"/>
      <c r="X634" s="70"/>
      <c r="Y634" s="70"/>
      <c r="Z634" s="70"/>
      <c r="AA634" s="70"/>
      <c r="AB634" s="70"/>
      <c r="AC634" s="70"/>
      <c r="AD634" s="70"/>
      <c r="AE634" s="70"/>
      <c r="AF634" s="70"/>
      <c r="AG634" s="70"/>
      <c r="AH634" s="70"/>
      <c r="AI634" s="70"/>
      <c r="AJ634" s="70"/>
      <c r="AK634" s="70"/>
      <c r="AL634" s="70"/>
      <c r="AM634" s="70"/>
      <c r="AN634" s="70"/>
      <c r="AO634" s="70"/>
      <c r="AP634" s="70"/>
      <c r="AQ634" s="70"/>
      <c r="AR634" s="70"/>
      <c r="AS634" s="70"/>
      <c r="AT634" s="70"/>
    </row>
    <row r="635" spans="1:46">
      <c r="A635" s="70"/>
      <c r="B635" s="70"/>
      <c r="C635" s="70"/>
      <c r="D635" s="70"/>
      <c r="E635" s="70"/>
      <c r="F635" s="70"/>
      <c r="G635" s="70"/>
      <c r="H635" s="54"/>
      <c r="I635" s="70"/>
      <c r="J635" s="70"/>
      <c r="K635" s="70"/>
      <c r="L635" s="70"/>
      <c r="M635" s="70"/>
      <c r="N635" s="70"/>
      <c r="O635" s="70"/>
      <c r="P635" s="70"/>
      <c r="Q635" s="70"/>
      <c r="R635" s="70"/>
      <c r="S635" s="70"/>
      <c r="T635" s="70"/>
      <c r="U635" s="70"/>
      <c r="V635" s="70"/>
      <c r="W635" s="70"/>
      <c r="X635" s="70"/>
      <c r="Y635" s="70"/>
      <c r="Z635" s="70"/>
      <c r="AA635" s="70"/>
      <c r="AB635" s="70"/>
      <c r="AC635" s="70"/>
      <c r="AD635" s="70"/>
      <c r="AE635" s="70"/>
      <c r="AF635" s="70"/>
      <c r="AG635" s="70"/>
      <c r="AH635" s="70"/>
      <c r="AI635" s="70"/>
      <c r="AJ635" s="70"/>
      <c r="AK635" s="70"/>
      <c r="AL635" s="70"/>
      <c r="AM635" s="70"/>
      <c r="AN635" s="70"/>
      <c r="AO635" s="70"/>
      <c r="AP635" s="70"/>
      <c r="AQ635" s="70"/>
      <c r="AR635" s="70"/>
      <c r="AS635" s="70"/>
      <c r="AT635" s="70"/>
    </row>
    <row r="636" spans="1:46">
      <c r="A636" s="70"/>
      <c r="B636" s="70"/>
      <c r="C636" s="70"/>
      <c r="D636" s="70"/>
      <c r="E636" s="70"/>
      <c r="F636" s="70"/>
      <c r="G636" s="70"/>
      <c r="H636" s="54"/>
      <c r="I636" s="70"/>
      <c r="J636" s="70"/>
      <c r="K636" s="70"/>
      <c r="L636" s="70"/>
      <c r="M636" s="70"/>
      <c r="N636" s="70"/>
      <c r="O636" s="70"/>
      <c r="P636" s="70"/>
      <c r="Q636" s="70"/>
      <c r="R636" s="70"/>
      <c r="S636" s="70"/>
      <c r="T636" s="70"/>
      <c r="U636" s="70"/>
      <c r="V636" s="70"/>
      <c r="W636" s="70"/>
      <c r="X636" s="70"/>
      <c r="Y636" s="70"/>
      <c r="Z636" s="70"/>
      <c r="AA636" s="70"/>
      <c r="AB636" s="70"/>
      <c r="AC636" s="70"/>
      <c r="AD636" s="70"/>
      <c r="AE636" s="70"/>
      <c r="AF636" s="70"/>
      <c r="AG636" s="70"/>
      <c r="AH636" s="70"/>
      <c r="AI636" s="70"/>
      <c r="AJ636" s="70"/>
      <c r="AK636" s="70"/>
      <c r="AL636" s="70"/>
      <c r="AM636" s="70"/>
      <c r="AN636" s="70"/>
      <c r="AO636" s="70"/>
      <c r="AP636" s="70"/>
      <c r="AQ636" s="70"/>
      <c r="AR636" s="70"/>
      <c r="AS636" s="70"/>
      <c r="AT636" s="70"/>
    </row>
    <row r="637" spans="1:46">
      <c r="A637" s="70"/>
      <c r="B637" s="70"/>
      <c r="C637" s="70"/>
      <c r="D637" s="70"/>
      <c r="E637" s="70"/>
      <c r="F637" s="70"/>
      <c r="G637" s="70"/>
      <c r="H637" s="54"/>
      <c r="I637" s="70"/>
      <c r="J637" s="70"/>
      <c r="K637" s="70"/>
      <c r="L637" s="70"/>
      <c r="M637" s="70"/>
      <c r="N637" s="70"/>
      <c r="O637" s="70"/>
      <c r="P637" s="70"/>
      <c r="Q637" s="70"/>
      <c r="R637" s="70"/>
      <c r="S637" s="70"/>
      <c r="T637" s="70"/>
      <c r="U637" s="70"/>
      <c r="V637" s="70"/>
      <c r="W637" s="70"/>
      <c r="X637" s="70"/>
      <c r="Y637" s="70"/>
      <c r="Z637" s="70"/>
      <c r="AA637" s="70"/>
      <c r="AB637" s="70"/>
      <c r="AC637" s="70"/>
      <c r="AD637" s="70"/>
      <c r="AE637" s="70"/>
      <c r="AF637" s="70"/>
      <c r="AG637" s="70"/>
      <c r="AH637" s="70"/>
      <c r="AI637" s="70"/>
      <c r="AJ637" s="70"/>
      <c r="AK637" s="70"/>
      <c r="AL637" s="70"/>
      <c r="AM637" s="70"/>
      <c r="AN637" s="70"/>
      <c r="AO637" s="70"/>
      <c r="AP637" s="70"/>
      <c r="AQ637" s="70"/>
      <c r="AR637" s="70"/>
      <c r="AS637" s="70"/>
      <c r="AT637" s="70"/>
    </row>
    <row r="638" spans="1:46">
      <c r="A638" s="70"/>
      <c r="B638" s="70"/>
      <c r="C638" s="70"/>
      <c r="D638" s="70"/>
      <c r="E638" s="70"/>
      <c r="F638" s="70"/>
      <c r="G638" s="70"/>
      <c r="H638" s="54"/>
      <c r="I638" s="70"/>
      <c r="J638" s="70"/>
      <c r="K638" s="70"/>
      <c r="L638" s="70"/>
      <c r="M638" s="70"/>
      <c r="N638" s="70"/>
      <c r="O638" s="70"/>
      <c r="P638" s="70"/>
      <c r="Q638" s="70"/>
      <c r="R638" s="70"/>
      <c r="S638" s="70"/>
      <c r="T638" s="70"/>
      <c r="U638" s="70"/>
      <c r="V638" s="70"/>
      <c r="W638" s="70"/>
      <c r="X638" s="70"/>
      <c r="Y638" s="70"/>
      <c r="Z638" s="70"/>
      <c r="AA638" s="70"/>
      <c r="AB638" s="70"/>
      <c r="AC638" s="70"/>
      <c r="AD638" s="70"/>
      <c r="AE638" s="70"/>
      <c r="AF638" s="70"/>
      <c r="AG638" s="70"/>
      <c r="AH638" s="70"/>
      <c r="AI638" s="70"/>
      <c r="AJ638" s="70"/>
      <c r="AK638" s="70"/>
      <c r="AL638" s="70"/>
      <c r="AM638" s="70"/>
      <c r="AN638" s="70"/>
      <c r="AO638" s="70"/>
      <c r="AP638" s="70"/>
      <c r="AQ638" s="70"/>
      <c r="AR638" s="70"/>
      <c r="AS638" s="70"/>
      <c r="AT638" s="70"/>
    </row>
    <row r="639" spans="1:46">
      <c r="A639" s="70"/>
      <c r="B639" s="70"/>
      <c r="C639" s="70"/>
      <c r="D639" s="70"/>
      <c r="E639" s="70"/>
      <c r="F639" s="70"/>
      <c r="G639" s="70"/>
      <c r="H639" s="54"/>
      <c r="I639" s="70"/>
      <c r="J639" s="70"/>
      <c r="K639" s="70"/>
      <c r="L639" s="70"/>
      <c r="M639" s="70"/>
      <c r="N639" s="70"/>
      <c r="O639" s="70"/>
      <c r="P639" s="70"/>
      <c r="Q639" s="70"/>
      <c r="R639" s="70"/>
      <c r="S639" s="70"/>
      <c r="T639" s="70"/>
      <c r="U639" s="70"/>
      <c r="V639" s="70"/>
      <c r="W639" s="70"/>
      <c r="X639" s="70"/>
      <c r="Y639" s="70"/>
      <c r="Z639" s="70"/>
      <c r="AA639" s="70"/>
      <c r="AB639" s="70"/>
      <c r="AC639" s="70"/>
      <c r="AD639" s="70"/>
      <c r="AE639" s="70"/>
      <c r="AF639" s="70"/>
      <c r="AG639" s="70"/>
      <c r="AH639" s="70"/>
      <c r="AI639" s="70"/>
      <c r="AJ639" s="70"/>
      <c r="AK639" s="70"/>
      <c r="AL639" s="70"/>
      <c r="AM639" s="70"/>
      <c r="AN639" s="70"/>
      <c r="AO639" s="70"/>
      <c r="AP639" s="70"/>
      <c r="AQ639" s="70"/>
      <c r="AR639" s="70"/>
      <c r="AS639" s="70"/>
      <c r="AT639" s="70"/>
    </row>
    <row r="640" spans="1:46">
      <c r="A640" s="70"/>
      <c r="B640" s="70"/>
      <c r="C640" s="70"/>
      <c r="D640" s="70"/>
      <c r="E640" s="70"/>
      <c r="F640" s="70"/>
      <c r="G640" s="70"/>
      <c r="H640" s="54"/>
      <c r="I640" s="70"/>
      <c r="J640" s="70"/>
      <c r="K640" s="70"/>
      <c r="L640" s="70"/>
      <c r="M640" s="70"/>
      <c r="N640" s="70"/>
      <c r="O640" s="70"/>
      <c r="P640" s="70"/>
      <c r="Q640" s="70"/>
      <c r="R640" s="70"/>
      <c r="S640" s="70"/>
      <c r="T640" s="70"/>
      <c r="U640" s="70"/>
      <c r="V640" s="70"/>
      <c r="W640" s="70"/>
      <c r="X640" s="70"/>
      <c r="Y640" s="70"/>
      <c r="Z640" s="70"/>
      <c r="AA640" s="70"/>
      <c r="AB640" s="70"/>
      <c r="AC640" s="70"/>
      <c r="AD640" s="70"/>
      <c r="AE640" s="70"/>
      <c r="AF640" s="70"/>
      <c r="AG640" s="70"/>
      <c r="AH640" s="70"/>
      <c r="AI640" s="70"/>
      <c r="AJ640" s="70"/>
      <c r="AK640" s="70"/>
      <c r="AL640" s="70"/>
      <c r="AM640" s="70"/>
      <c r="AN640" s="70"/>
      <c r="AO640" s="70"/>
      <c r="AP640" s="70"/>
      <c r="AQ640" s="70"/>
      <c r="AR640" s="70"/>
      <c r="AS640" s="70"/>
      <c r="AT640" s="70"/>
    </row>
    <row r="641" spans="1:46">
      <c r="A641" s="70"/>
      <c r="B641" s="70"/>
      <c r="C641" s="70"/>
      <c r="D641" s="70"/>
      <c r="E641" s="70"/>
      <c r="F641" s="70"/>
      <c r="G641" s="70"/>
      <c r="H641" s="54"/>
      <c r="I641" s="70"/>
      <c r="J641" s="70"/>
      <c r="K641" s="70"/>
      <c r="L641" s="70"/>
      <c r="M641" s="70"/>
      <c r="N641" s="70"/>
      <c r="O641" s="70"/>
      <c r="P641" s="70"/>
      <c r="Q641" s="70"/>
      <c r="R641" s="70"/>
      <c r="S641" s="70"/>
      <c r="T641" s="70"/>
      <c r="U641" s="70"/>
      <c r="V641" s="70"/>
      <c r="W641" s="70"/>
      <c r="X641" s="70"/>
      <c r="Y641" s="70"/>
      <c r="Z641" s="70"/>
      <c r="AA641" s="70"/>
      <c r="AB641" s="70"/>
      <c r="AC641" s="70"/>
      <c r="AD641" s="70"/>
      <c r="AE641" s="70"/>
      <c r="AF641" s="70"/>
      <c r="AG641" s="70"/>
      <c r="AH641" s="70"/>
      <c r="AI641" s="70"/>
      <c r="AJ641" s="70"/>
      <c r="AK641" s="70"/>
      <c r="AL641" s="70"/>
      <c r="AM641" s="70"/>
      <c r="AN641" s="70"/>
      <c r="AO641" s="70"/>
      <c r="AP641" s="70"/>
      <c r="AQ641" s="70"/>
      <c r="AR641" s="70"/>
      <c r="AS641" s="70"/>
      <c r="AT641" s="70"/>
    </row>
    <row r="642" spans="1:46">
      <c r="A642" s="70"/>
      <c r="B642" s="70"/>
      <c r="C642" s="70"/>
      <c r="D642" s="70"/>
      <c r="E642" s="70"/>
      <c r="F642" s="70"/>
      <c r="G642" s="70"/>
      <c r="H642" s="54"/>
      <c r="I642" s="70"/>
      <c r="J642" s="70"/>
      <c r="K642" s="70"/>
      <c r="L642" s="70"/>
      <c r="M642" s="70"/>
      <c r="N642" s="70"/>
      <c r="O642" s="70"/>
      <c r="P642" s="70"/>
      <c r="Q642" s="70"/>
      <c r="R642" s="70"/>
      <c r="S642" s="70"/>
      <c r="T642" s="70"/>
      <c r="U642" s="70"/>
      <c r="V642" s="70"/>
      <c r="W642" s="70"/>
      <c r="X642" s="70"/>
      <c r="Y642" s="70"/>
      <c r="Z642" s="70"/>
      <c r="AA642" s="70"/>
      <c r="AB642" s="70"/>
      <c r="AC642" s="70"/>
      <c r="AD642" s="70"/>
      <c r="AE642" s="70"/>
      <c r="AF642" s="70"/>
      <c r="AG642" s="70"/>
      <c r="AH642" s="70"/>
      <c r="AI642" s="70"/>
      <c r="AJ642" s="70"/>
      <c r="AK642" s="70"/>
      <c r="AL642" s="70"/>
      <c r="AM642" s="70"/>
      <c r="AN642" s="70"/>
      <c r="AO642" s="70"/>
      <c r="AP642" s="70"/>
      <c r="AQ642" s="70"/>
      <c r="AR642" s="70"/>
      <c r="AS642" s="70"/>
      <c r="AT642" s="70"/>
    </row>
    <row r="643" spans="1:46">
      <c r="A643" s="70"/>
      <c r="B643" s="70"/>
      <c r="C643" s="70"/>
      <c r="D643" s="70"/>
      <c r="E643" s="70"/>
      <c r="F643" s="70"/>
      <c r="G643" s="70"/>
      <c r="H643" s="54"/>
      <c r="I643" s="70"/>
      <c r="J643" s="70"/>
      <c r="K643" s="70"/>
      <c r="L643" s="70"/>
      <c r="M643" s="70"/>
      <c r="N643" s="70"/>
      <c r="O643" s="70"/>
      <c r="P643" s="70"/>
      <c r="Q643" s="70"/>
      <c r="R643" s="70"/>
      <c r="S643" s="70"/>
      <c r="T643" s="70"/>
      <c r="U643" s="70"/>
      <c r="V643" s="70"/>
      <c r="W643" s="70"/>
      <c r="X643" s="70"/>
      <c r="Y643" s="70"/>
      <c r="Z643" s="70"/>
      <c r="AA643" s="70"/>
      <c r="AB643" s="70"/>
      <c r="AC643" s="70"/>
      <c r="AD643" s="70"/>
      <c r="AE643" s="70"/>
      <c r="AF643" s="70"/>
      <c r="AG643" s="70"/>
      <c r="AH643" s="70"/>
      <c r="AI643" s="70"/>
      <c r="AJ643" s="70"/>
      <c r="AK643" s="70"/>
      <c r="AL643" s="70"/>
      <c r="AM643" s="70"/>
      <c r="AN643" s="70"/>
      <c r="AO643" s="70"/>
      <c r="AP643" s="70"/>
      <c r="AQ643" s="70"/>
      <c r="AR643" s="70"/>
      <c r="AS643" s="70"/>
      <c r="AT643" s="70"/>
    </row>
    <row r="644" spans="1:46">
      <c r="A644" s="70"/>
      <c r="B644" s="70"/>
      <c r="C644" s="70"/>
      <c r="D644" s="70"/>
      <c r="E644" s="70"/>
      <c r="F644" s="70"/>
      <c r="G644" s="70"/>
      <c r="H644" s="54"/>
      <c r="I644" s="70"/>
      <c r="J644" s="70"/>
      <c r="K644" s="70"/>
      <c r="L644" s="70"/>
      <c r="M644" s="70"/>
      <c r="N644" s="70"/>
      <c r="O644" s="70"/>
      <c r="P644" s="70"/>
      <c r="Q644" s="70"/>
      <c r="R644" s="70"/>
      <c r="S644" s="70"/>
      <c r="T644" s="70"/>
      <c r="U644" s="70"/>
      <c r="V644" s="70"/>
      <c r="W644" s="70"/>
      <c r="X644" s="70"/>
      <c r="Y644" s="70"/>
      <c r="Z644" s="70"/>
      <c r="AA644" s="70"/>
      <c r="AB644" s="70"/>
      <c r="AC644" s="70"/>
      <c r="AD644" s="70"/>
      <c r="AE644" s="70"/>
      <c r="AF644" s="70"/>
      <c r="AG644" s="70"/>
      <c r="AH644" s="70"/>
      <c r="AI644" s="70"/>
      <c r="AJ644" s="70"/>
      <c r="AK644" s="70"/>
      <c r="AL644" s="70"/>
      <c r="AM644" s="70"/>
      <c r="AN644" s="70"/>
      <c r="AO644" s="70"/>
      <c r="AP644" s="70"/>
      <c r="AQ644" s="70"/>
      <c r="AR644" s="70"/>
      <c r="AS644" s="70"/>
      <c r="AT644" s="70"/>
    </row>
    <row r="645" spans="1:46">
      <c r="A645" s="70"/>
      <c r="B645" s="70"/>
      <c r="C645" s="70"/>
      <c r="D645" s="70"/>
      <c r="E645" s="70"/>
      <c r="F645" s="70"/>
      <c r="G645" s="70"/>
      <c r="H645" s="54"/>
      <c r="I645" s="70"/>
      <c r="J645" s="70"/>
      <c r="K645" s="70"/>
      <c r="L645" s="70"/>
      <c r="M645" s="70"/>
      <c r="N645" s="70"/>
      <c r="O645" s="70"/>
      <c r="P645" s="70"/>
      <c r="Q645" s="70"/>
      <c r="R645" s="70"/>
      <c r="S645" s="70"/>
      <c r="T645" s="70"/>
      <c r="U645" s="70"/>
      <c r="V645" s="70"/>
      <c r="W645" s="70"/>
      <c r="X645" s="70"/>
      <c r="Y645" s="70"/>
      <c r="Z645" s="70"/>
      <c r="AA645" s="70"/>
      <c r="AB645" s="70"/>
      <c r="AC645" s="70"/>
      <c r="AD645" s="70"/>
      <c r="AE645" s="70"/>
      <c r="AF645" s="70"/>
      <c r="AG645" s="70"/>
      <c r="AH645" s="70"/>
      <c r="AI645" s="70"/>
      <c r="AJ645" s="70"/>
      <c r="AK645" s="70"/>
      <c r="AL645" s="70"/>
      <c r="AM645" s="70"/>
      <c r="AN645" s="70"/>
      <c r="AO645" s="70"/>
      <c r="AP645" s="70"/>
      <c r="AQ645" s="70"/>
      <c r="AR645" s="70"/>
      <c r="AS645" s="70"/>
      <c r="AT645" s="70"/>
    </row>
    <row r="646" spans="1:46">
      <c r="A646" s="70"/>
      <c r="B646" s="70"/>
      <c r="C646" s="70"/>
      <c r="D646" s="70"/>
      <c r="E646" s="70"/>
      <c r="F646" s="70"/>
      <c r="G646" s="70"/>
      <c r="H646" s="54"/>
      <c r="I646" s="70"/>
      <c r="J646" s="70"/>
      <c r="K646" s="70"/>
      <c r="L646" s="70"/>
      <c r="M646" s="70"/>
      <c r="N646" s="70"/>
      <c r="O646" s="70"/>
      <c r="P646" s="70"/>
      <c r="Q646" s="70"/>
      <c r="R646" s="70"/>
      <c r="S646" s="70"/>
      <c r="T646" s="70"/>
      <c r="U646" s="70"/>
      <c r="V646" s="70"/>
      <c r="W646" s="70"/>
      <c r="X646" s="70"/>
      <c r="Y646" s="70"/>
      <c r="Z646" s="70"/>
      <c r="AA646" s="70"/>
      <c r="AB646" s="70"/>
      <c r="AC646" s="70"/>
      <c r="AD646" s="70"/>
      <c r="AE646" s="70"/>
      <c r="AF646" s="70"/>
      <c r="AG646" s="70"/>
      <c r="AH646" s="70"/>
      <c r="AI646" s="70"/>
      <c r="AJ646" s="70"/>
      <c r="AK646" s="70"/>
      <c r="AL646" s="70"/>
      <c r="AM646" s="70"/>
      <c r="AN646" s="70"/>
      <c r="AO646" s="70"/>
      <c r="AP646" s="70"/>
      <c r="AQ646" s="70"/>
      <c r="AR646" s="70"/>
      <c r="AS646" s="70"/>
      <c r="AT646" s="70"/>
    </row>
    <row r="647" spans="1:46">
      <c r="A647" s="70"/>
      <c r="B647" s="70"/>
      <c r="C647" s="70"/>
      <c r="D647" s="70"/>
      <c r="E647" s="70"/>
      <c r="F647" s="70"/>
      <c r="G647" s="70"/>
      <c r="H647" s="54"/>
      <c r="I647" s="70"/>
      <c r="J647" s="70"/>
      <c r="K647" s="70"/>
      <c r="L647" s="70"/>
      <c r="M647" s="70"/>
      <c r="N647" s="70"/>
      <c r="O647" s="70"/>
      <c r="P647" s="70"/>
      <c r="Q647" s="70"/>
      <c r="R647" s="70"/>
      <c r="S647" s="70"/>
      <c r="T647" s="70"/>
      <c r="U647" s="70"/>
      <c r="V647" s="70"/>
      <c r="W647" s="70"/>
      <c r="X647" s="70"/>
      <c r="Y647" s="70"/>
      <c r="Z647" s="70"/>
      <c r="AA647" s="70"/>
      <c r="AB647" s="70"/>
      <c r="AC647" s="70"/>
      <c r="AD647" s="70"/>
      <c r="AE647" s="70"/>
      <c r="AF647" s="70"/>
      <c r="AG647" s="70"/>
      <c r="AH647" s="70"/>
      <c r="AI647" s="70"/>
      <c r="AJ647" s="70"/>
      <c r="AK647" s="70"/>
      <c r="AL647" s="70"/>
      <c r="AM647" s="70"/>
      <c r="AN647" s="70"/>
      <c r="AO647" s="70"/>
      <c r="AP647" s="70"/>
      <c r="AQ647" s="70"/>
      <c r="AR647" s="70"/>
      <c r="AS647" s="70"/>
      <c r="AT647" s="70"/>
    </row>
    <row r="648" spans="1:46">
      <c r="A648" s="70"/>
      <c r="B648" s="70"/>
      <c r="C648" s="70"/>
      <c r="D648" s="70"/>
      <c r="E648" s="70"/>
      <c r="F648" s="70"/>
      <c r="G648" s="70"/>
      <c r="H648" s="54"/>
      <c r="I648" s="70"/>
      <c r="J648" s="70"/>
      <c r="K648" s="70"/>
      <c r="L648" s="70"/>
      <c r="M648" s="70"/>
      <c r="N648" s="70"/>
      <c r="O648" s="70"/>
      <c r="P648" s="70"/>
      <c r="Q648" s="70"/>
      <c r="R648" s="70"/>
      <c r="S648" s="70"/>
      <c r="T648" s="70"/>
      <c r="U648" s="70"/>
      <c r="V648" s="70"/>
      <c r="W648" s="70"/>
      <c r="X648" s="70"/>
      <c r="Y648" s="70"/>
      <c r="Z648" s="70"/>
      <c r="AA648" s="70"/>
      <c r="AB648" s="70"/>
      <c r="AC648" s="70"/>
      <c r="AD648" s="70"/>
      <c r="AE648" s="70"/>
      <c r="AF648" s="70"/>
      <c r="AG648" s="70"/>
      <c r="AH648" s="70"/>
      <c r="AI648" s="70"/>
      <c r="AJ648" s="70"/>
      <c r="AK648" s="70"/>
      <c r="AL648" s="70"/>
      <c r="AM648" s="70"/>
      <c r="AN648" s="70"/>
      <c r="AO648" s="70"/>
      <c r="AP648" s="70"/>
      <c r="AQ648" s="70"/>
      <c r="AR648" s="70"/>
      <c r="AS648" s="70"/>
      <c r="AT648" s="70"/>
    </row>
    <row r="649" spans="1:46">
      <c r="A649" s="70"/>
      <c r="B649" s="70"/>
      <c r="C649" s="70"/>
      <c r="D649" s="70"/>
      <c r="E649" s="70"/>
      <c r="F649" s="70"/>
      <c r="G649" s="70"/>
      <c r="H649" s="54"/>
      <c r="I649" s="70"/>
      <c r="J649" s="70"/>
      <c r="K649" s="70"/>
      <c r="L649" s="70"/>
      <c r="M649" s="70"/>
      <c r="N649" s="70"/>
      <c r="O649" s="70"/>
      <c r="P649" s="70"/>
      <c r="Q649" s="70"/>
      <c r="R649" s="70"/>
      <c r="S649" s="70"/>
      <c r="T649" s="70"/>
      <c r="U649" s="70"/>
      <c r="V649" s="70"/>
      <c r="W649" s="70"/>
      <c r="X649" s="70"/>
      <c r="Y649" s="70"/>
      <c r="Z649" s="70"/>
      <c r="AA649" s="70"/>
      <c r="AB649" s="70"/>
      <c r="AC649" s="70"/>
      <c r="AD649" s="70"/>
      <c r="AE649" s="70"/>
      <c r="AF649" s="70"/>
      <c r="AG649" s="70"/>
      <c r="AH649" s="70"/>
      <c r="AI649" s="70"/>
      <c r="AJ649" s="70"/>
      <c r="AK649" s="70"/>
      <c r="AL649" s="70"/>
      <c r="AM649" s="70"/>
      <c r="AN649" s="70"/>
      <c r="AO649" s="70"/>
      <c r="AP649" s="70"/>
      <c r="AQ649" s="70"/>
      <c r="AR649" s="70"/>
      <c r="AS649" s="70"/>
      <c r="AT649" s="70"/>
    </row>
    <row r="650" spans="1:46">
      <c r="A650" s="70"/>
      <c r="B650" s="70"/>
      <c r="C650" s="70"/>
      <c r="D650" s="70"/>
      <c r="E650" s="70"/>
      <c r="F650" s="70"/>
      <c r="G650" s="70"/>
      <c r="H650" s="54"/>
      <c r="I650" s="70"/>
      <c r="J650" s="70"/>
      <c r="K650" s="70"/>
      <c r="L650" s="70"/>
      <c r="M650" s="70"/>
      <c r="N650" s="70"/>
      <c r="O650" s="70"/>
      <c r="P650" s="70"/>
      <c r="Q650" s="70"/>
      <c r="R650" s="70"/>
      <c r="S650" s="70"/>
      <c r="T650" s="70"/>
      <c r="U650" s="70"/>
      <c r="V650" s="70"/>
      <c r="W650" s="70"/>
      <c r="X650" s="70"/>
      <c r="Y650" s="70"/>
      <c r="Z650" s="70"/>
      <c r="AA650" s="70"/>
      <c r="AB650" s="70"/>
      <c r="AC650" s="70"/>
      <c r="AD650" s="70"/>
      <c r="AE650" s="70"/>
      <c r="AF650" s="70"/>
      <c r="AG650" s="70"/>
      <c r="AH650" s="70"/>
      <c r="AI650" s="70"/>
      <c r="AJ650" s="70"/>
      <c r="AK650" s="70"/>
      <c r="AL650" s="70"/>
      <c r="AM650" s="70"/>
      <c r="AN650" s="70"/>
      <c r="AO650" s="70"/>
      <c r="AP650" s="70"/>
      <c r="AQ650" s="70"/>
      <c r="AR650" s="70"/>
      <c r="AS650" s="70"/>
      <c r="AT650" s="70"/>
    </row>
    <row r="651" spans="1:46">
      <c r="A651" s="70"/>
      <c r="B651" s="70"/>
      <c r="C651" s="70"/>
      <c r="D651" s="70"/>
      <c r="E651" s="70"/>
      <c r="F651" s="70"/>
      <c r="G651" s="70"/>
      <c r="H651" s="54"/>
      <c r="I651" s="70"/>
      <c r="J651" s="70"/>
      <c r="K651" s="70"/>
      <c r="L651" s="70"/>
      <c r="M651" s="70"/>
      <c r="N651" s="70"/>
      <c r="O651" s="70"/>
      <c r="P651" s="70"/>
      <c r="Q651" s="70"/>
      <c r="R651" s="70"/>
      <c r="S651" s="70"/>
      <c r="T651" s="70"/>
      <c r="U651" s="70"/>
      <c r="V651" s="70"/>
      <c r="W651" s="70"/>
      <c r="X651" s="70"/>
      <c r="Y651" s="70"/>
      <c r="Z651" s="70"/>
      <c r="AA651" s="70"/>
      <c r="AB651" s="70"/>
      <c r="AC651" s="70"/>
      <c r="AD651" s="70"/>
      <c r="AE651" s="70"/>
      <c r="AF651" s="70"/>
      <c r="AG651" s="70"/>
      <c r="AH651" s="70"/>
      <c r="AI651" s="70"/>
      <c r="AJ651" s="70"/>
      <c r="AK651" s="70"/>
      <c r="AL651" s="70"/>
      <c r="AM651" s="70"/>
      <c r="AN651" s="70"/>
      <c r="AO651" s="70"/>
      <c r="AP651" s="70"/>
      <c r="AQ651" s="70"/>
      <c r="AR651" s="70"/>
      <c r="AS651" s="70"/>
      <c r="AT651" s="70"/>
    </row>
    <row r="652" spans="1:46">
      <c r="A652" s="70"/>
      <c r="B652" s="70"/>
      <c r="C652" s="70"/>
      <c r="D652" s="70"/>
      <c r="E652" s="70"/>
      <c r="F652" s="70"/>
      <c r="G652" s="70"/>
      <c r="H652" s="54"/>
      <c r="I652" s="70"/>
      <c r="J652" s="70"/>
      <c r="K652" s="70"/>
      <c r="L652" s="70"/>
      <c r="M652" s="70"/>
      <c r="N652" s="70"/>
      <c r="O652" s="70"/>
      <c r="P652" s="70"/>
      <c r="Q652" s="70"/>
      <c r="R652" s="70"/>
      <c r="S652" s="70"/>
      <c r="T652" s="70"/>
      <c r="U652" s="70"/>
      <c r="V652" s="70"/>
      <c r="W652" s="70"/>
      <c r="X652" s="70"/>
      <c r="Y652" s="70"/>
      <c r="Z652" s="70"/>
      <c r="AA652" s="70"/>
      <c r="AB652" s="70"/>
      <c r="AC652" s="70"/>
      <c r="AD652" s="70"/>
      <c r="AE652" s="70"/>
      <c r="AF652" s="70"/>
      <c r="AG652" s="70"/>
      <c r="AH652" s="70"/>
      <c r="AI652" s="70"/>
      <c r="AJ652" s="70"/>
      <c r="AK652" s="70"/>
      <c r="AL652" s="70"/>
      <c r="AM652" s="70"/>
      <c r="AN652" s="70"/>
      <c r="AO652" s="70"/>
      <c r="AP652" s="70"/>
      <c r="AQ652" s="70"/>
      <c r="AR652" s="70"/>
      <c r="AS652" s="70"/>
      <c r="AT652" s="70"/>
    </row>
    <row r="653" spans="1:46">
      <c r="A653" s="70"/>
      <c r="B653" s="70"/>
      <c r="C653" s="70"/>
      <c r="D653" s="70"/>
      <c r="E653" s="70"/>
      <c r="F653" s="70"/>
      <c r="G653" s="70"/>
      <c r="H653" s="54"/>
      <c r="I653" s="70"/>
      <c r="J653" s="70"/>
      <c r="K653" s="70"/>
      <c r="L653" s="70"/>
      <c r="M653" s="70"/>
      <c r="N653" s="70"/>
      <c r="O653" s="70"/>
      <c r="P653" s="70"/>
      <c r="Q653" s="70"/>
      <c r="R653" s="70"/>
      <c r="S653" s="70"/>
      <c r="T653" s="70"/>
      <c r="U653" s="70"/>
      <c r="V653" s="70"/>
      <c r="W653" s="70"/>
      <c r="X653" s="70"/>
      <c r="Y653" s="70"/>
      <c r="Z653" s="70"/>
      <c r="AA653" s="70"/>
      <c r="AB653" s="70"/>
      <c r="AC653" s="70"/>
      <c r="AD653" s="70"/>
      <c r="AE653" s="70"/>
      <c r="AF653" s="70"/>
      <c r="AG653" s="70"/>
      <c r="AH653" s="70"/>
      <c r="AI653" s="70"/>
      <c r="AJ653" s="70"/>
      <c r="AK653" s="70"/>
      <c r="AL653" s="70"/>
      <c r="AM653" s="70"/>
      <c r="AN653" s="70"/>
      <c r="AO653" s="70"/>
      <c r="AP653" s="70"/>
      <c r="AQ653" s="70"/>
      <c r="AR653" s="70"/>
      <c r="AS653" s="70"/>
      <c r="AT653" s="70"/>
    </row>
    <row r="654" spans="1:46">
      <c r="A654" s="70"/>
      <c r="B654" s="70"/>
      <c r="C654" s="70"/>
      <c r="D654" s="70"/>
      <c r="E654" s="70"/>
      <c r="F654" s="70"/>
      <c r="G654" s="70"/>
      <c r="H654" s="54"/>
      <c r="I654" s="70"/>
      <c r="J654" s="70"/>
      <c r="K654" s="70"/>
      <c r="L654" s="70"/>
      <c r="M654" s="70"/>
      <c r="N654" s="70"/>
      <c r="O654" s="70"/>
      <c r="P654" s="70"/>
      <c r="Q654" s="70"/>
      <c r="R654" s="70"/>
      <c r="S654" s="70"/>
      <c r="T654" s="70"/>
      <c r="U654" s="70"/>
      <c r="V654" s="70"/>
      <c r="W654" s="70"/>
      <c r="X654" s="70"/>
      <c r="Y654" s="70"/>
      <c r="Z654" s="70"/>
      <c r="AA654" s="70"/>
      <c r="AB654" s="70"/>
      <c r="AC654" s="70"/>
      <c r="AD654" s="70"/>
      <c r="AE654" s="70"/>
      <c r="AF654" s="70"/>
      <c r="AG654" s="70"/>
      <c r="AH654" s="70"/>
      <c r="AI654" s="70"/>
      <c r="AJ654" s="70"/>
      <c r="AK654" s="70"/>
      <c r="AL654" s="70"/>
      <c r="AM654" s="70"/>
      <c r="AN654" s="70"/>
      <c r="AO654" s="70"/>
      <c r="AP654" s="70"/>
      <c r="AQ654" s="70"/>
      <c r="AR654" s="70"/>
      <c r="AS654" s="70"/>
      <c r="AT654" s="70"/>
    </row>
    <row r="655" spans="1:46">
      <c r="A655" s="70"/>
      <c r="B655" s="70"/>
      <c r="C655" s="70"/>
      <c r="D655" s="70"/>
      <c r="E655" s="70"/>
      <c r="F655" s="70"/>
      <c r="G655" s="70"/>
      <c r="H655" s="54"/>
      <c r="I655" s="70"/>
      <c r="J655" s="70"/>
      <c r="K655" s="70"/>
      <c r="L655" s="70"/>
      <c r="M655" s="70"/>
      <c r="N655" s="70"/>
      <c r="O655" s="70"/>
      <c r="P655" s="70"/>
      <c r="Q655" s="70"/>
      <c r="R655" s="70"/>
      <c r="S655" s="70"/>
      <c r="T655" s="70"/>
      <c r="U655" s="70"/>
      <c r="V655" s="70"/>
      <c r="W655" s="70"/>
      <c r="X655" s="70"/>
      <c r="Y655" s="70"/>
      <c r="Z655" s="70"/>
      <c r="AA655" s="70"/>
      <c r="AB655" s="70"/>
      <c r="AC655" s="70"/>
      <c r="AD655" s="70"/>
      <c r="AE655" s="70"/>
      <c r="AF655" s="70"/>
      <c r="AG655" s="70"/>
      <c r="AH655" s="70"/>
      <c r="AI655" s="70"/>
      <c r="AJ655" s="70"/>
      <c r="AK655" s="70"/>
      <c r="AL655" s="70"/>
      <c r="AM655" s="70"/>
      <c r="AN655" s="70"/>
      <c r="AO655" s="70"/>
      <c r="AP655" s="70"/>
      <c r="AQ655" s="70"/>
      <c r="AR655" s="70"/>
      <c r="AS655" s="70"/>
      <c r="AT655" s="70"/>
    </row>
    <row r="656" spans="1:46">
      <c r="A656" s="70"/>
      <c r="B656" s="70"/>
      <c r="C656" s="70"/>
      <c r="D656" s="70"/>
      <c r="E656" s="70"/>
      <c r="F656" s="70"/>
      <c r="G656" s="70"/>
      <c r="H656" s="54"/>
      <c r="I656" s="70"/>
      <c r="J656" s="70"/>
      <c r="K656" s="70"/>
      <c r="L656" s="70"/>
      <c r="M656" s="70"/>
      <c r="N656" s="70"/>
      <c r="O656" s="70"/>
      <c r="P656" s="70"/>
      <c r="Q656" s="70"/>
      <c r="R656" s="70"/>
      <c r="S656" s="70"/>
      <c r="T656" s="70"/>
      <c r="U656" s="70"/>
      <c r="V656" s="70"/>
      <c r="W656" s="70"/>
      <c r="X656" s="70"/>
      <c r="Y656" s="70"/>
      <c r="Z656" s="70"/>
      <c r="AA656" s="70"/>
      <c r="AB656" s="70"/>
      <c r="AC656" s="70"/>
      <c r="AD656" s="70"/>
      <c r="AE656" s="70"/>
      <c r="AF656" s="70"/>
      <c r="AG656" s="70"/>
      <c r="AH656" s="70"/>
      <c r="AI656" s="70"/>
      <c r="AJ656" s="70"/>
      <c r="AK656" s="70"/>
      <c r="AL656" s="70"/>
      <c r="AM656" s="70"/>
      <c r="AN656" s="70"/>
      <c r="AO656" s="70"/>
      <c r="AP656" s="70"/>
      <c r="AQ656" s="70"/>
      <c r="AR656" s="70"/>
      <c r="AS656" s="70"/>
      <c r="AT656" s="70"/>
    </row>
    <row r="657" spans="1:46">
      <c r="A657" s="70"/>
      <c r="B657" s="70"/>
      <c r="C657" s="70"/>
      <c r="D657" s="70"/>
      <c r="E657" s="70"/>
      <c r="F657" s="70"/>
      <c r="G657" s="70"/>
      <c r="H657" s="54"/>
      <c r="I657" s="70"/>
      <c r="J657" s="70"/>
      <c r="K657" s="70"/>
      <c r="L657" s="70"/>
      <c r="M657" s="70"/>
      <c r="N657" s="70"/>
      <c r="O657" s="70"/>
      <c r="P657" s="70"/>
      <c r="Q657" s="70"/>
      <c r="R657" s="70"/>
      <c r="S657" s="70"/>
      <c r="T657" s="70"/>
      <c r="U657" s="70"/>
      <c r="V657" s="70"/>
      <c r="W657" s="70"/>
      <c r="X657" s="70"/>
      <c r="Y657" s="70"/>
      <c r="Z657" s="70"/>
      <c r="AA657" s="70"/>
      <c r="AB657" s="70"/>
      <c r="AC657" s="70"/>
      <c r="AD657" s="70"/>
      <c r="AE657" s="70"/>
      <c r="AF657" s="70"/>
      <c r="AG657" s="70"/>
      <c r="AH657" s="70"/>
      <c r="AI657" s="70"/>
      <c r="AJ657" s="70"/>
      <c r="AK657" s="70"/>
      <c r="AL657" s="70"/>
      <c r="AM657" s="70"/>
      <c r="AN657" s="70"/>
      <c r="AO657" s="70"/>
      <c r="AP657" s="70"/>
      <c r="AQ657" s="70"/>
      <c r="AR657" s="70"/>
      <c r="AS657" s="70"/>
      <c r="AT657" s="70"/>
    </row>
    <row r="658" spans="1:46">
      <c r="A658" s="70"/>
      <c r="B658" s="70"/>
      <c r="C658" s="70"/>
      <c r="D658" s="70"/>
      <c r="E658" s="70"/>
      <c r="F658" s="70"/>
      <c r="G658" s="70"/>
      <c r="H658" s="54"/>
      <c r="I658" s="70"/>
      <c r="J658" s="70"/>
      <c r="K658" s="70"/>
      <c r="L658" s="70"/>
      <c r="M658" s="70"/>
      <c r="N658" s="70"/>
      <c r="O658" s="70"/>
      <c r="P658" s="70"/>
      <c r="Q658" s="70"/>
      <c r="R658" s="70"/>
      <c r="S658" s="70"/>
      <c r="T658" s="70"/>
      <c r="U658" s="70"/>
      <c r="V658" s="70"/>
      <c r="W658" s="70"/>
      <c r="X658" s="70"/>
      <c r="Y658" s="70"/>
      <c r="Z658" s="70"/>
      <c r="AA658" s="70"/>
      <c r="AB658" s="70"/>
      <c r="AC658" s="70"/>
      <c r="AD658" s="70"/>
      <c r="AE658" s="70"/>
      <c r="AF658" s="70"/>
      <c r="AG658" s="70"/>
      <c r="AH658" s="70"/>
      <c r="AI658" s="70"/>
      <c r="AJ658" s="70"/>
      <c r="AK658" s="70"/>
      <c r="AL658" s="70"/>
      <c r="AM658" s="70"/>
      <c r="AN658" s="70"/>
      <c r="AO658" s="70"/>
      <c r="AP658" s="70"/>
      <c r="AQ658" s="70"/>
      <c r="AR658" s="70"/>
      <c r="AS658" s="70"/>
      <c r="AT658" s="70"/>
    </row>
    <row r="659" spans="1:46">
      <c r="A659" s="70"/>
      <c r="B659" s="70"/>
      <c r="C659" s="70"/>
      <c r="D659" s="70"/>
      <c r="E659" s="70"/>
      <c r="F659" s="70"/>
      <c r="G659" s="70"/>
      <c r="H659" s="54"/>
      <c r="I659" s="70"/>
      <c r="J659" s="70"/>
      <c r="K659" s="70"/>
      <c r="L659" s="70"/>
      <c r="M659" s="70"/>
      <c r="N659" s="70"/>
      <c r="O659" s="70"/>
      <c r="P659" s="70"/>
      <c r="Q659" s="70"/>
      <c r="R659" s="70"/>
      <c r="S659" s="70"/>
      <c r="T659" s="70"/>
      <c r="U659" s="70"/>
      <c r="V659" s="70"/>
      <c r="W659" s="70"/>
      <c r="X659" s="70"/>
      <c r="Y659" s="70"/>
      <c r="Z659" s="70"/>
      <c r="AA659" s="70"/>
      <c r="AB659" s="70"/>
      <c r="AC659" s="70"/>
      <c r="AD659" s="70"/>
      <c r="AE659" s="70"/>
      <c r="AF659" s="70"/>
      <c r="AG659" s="70"/>
      <c r="AH659" s="70"/>
      <c r="AI659" s="70"/>
      <c r="AJ659" s="70"/>
      <c r="AK659" s="70"/>
      <c r="AL659" s="70"/>
      <c r="AM659" s="70"/>
      <c r="AN659" s="70"/>
      <c r="AO659" s="70"/>
      <c r="AP659" s="70"/>
      <c r="AQ659" s="70"/>
      <c r="AR659" s="70"/>
      <c r="AS659" s="70"/>
      <c r="AT659" s="70"/>
    </row>
    <row r="660" spans="1:46">
      <c r="A660" s="70"/>
      <c r="B660" s="70"/>
      <c r="C660" s="70"/>
      <c r="D660" s="70"/>
      <c r="E660" s="70"/>
      <c r="F660" s="70"/>
      <c r="G660" s="70"/>
      <c r="H660" s="54"/>
      <c r="I660" s="70"/>
      <c r="J660" s="70"/>
      <c r="K660" s="70"/>
      <c r="L660" s="70"/>
      <c r="M660" s="70"/>
      <c r="N660" s="70"/>
      <c r="O660" s="70"/>
      <c r="P660" s="70"/>
      <c r="Q660" s="70"/>
      <c r="R660" s="70"/>
      <c r="S660" s="70"/>
      <c r="T660" s="70"/>
      <c r="U660" s="70"/>
      <c r="V660" s="70"/>
      <c r="W660" s="70"/>
      <c r="X660" s="70"/>
      <c r="Y660" s="70"/>
      <c r="Z660" s="70"/>
      <c r="AA660" s="70"/>
      <c r="AB660" s="70"/>
      <c r="AC660" s="70"/>
      <c r="AD660" s="70"/>
      <c r="AE660" s="70"/>
      <c r="AF660" s="70"/>
      <c r="AG660" s="70"/>
      <c r="AH660" s="70"/>
      <c r="AI660" s="70"/>
      <c r="AJ660" s="70"/>
      <c r="AK660" s="70"/>
      <c r="AL660" s="70"/>
      <c r="AM660" s="70"/>
      <c r="AN660" s="70"/>
      <c r="AO660" s="70"/>
      <c r="AP660" s="70"/>
      <c r="AQ660" s="70"/>
      <c r="AR660" s="70"/>
      <c r="AS660" s="70"/>
      <c r="AT660" s="70"/>
    </row>
    <row r="661" spans="1:46">
      <c r="A661" s="70"/>
      <c r="B661" s="70"/>
      <c r="C661" s="70"/>
      <c r="D661" s="70"/>
      <c r="E661" s="70"/>
      <c r="F661" s="70"/>
      <c r="G661" s="70"/>
      <c r="H661" s="54"/>
      <c r="I661" s="70"/>
      <c r="J661" s="70"/>
      <c r="K661" s="70"/>
      <c r="L661" s="70"/>
      <c r="M661" s="70"/>
      <c r="N661" s="70"/>
      <c r="O661" s="70"/>
      <c r="P661" s="70"/>
      <c r="Q661" s="70"/>
      <c r="R661" s="70"/>
      <c r="S661" s="70"/>
      <c r="T661" s="70"/>
      <c r="U661" s="70"/>
      <c r="V661" s="70"/>
      <c r="W661" s="70"/>
      <c r="X661" s="70"/>
      <c r="Y661" s="70"/>
      <c r="Z661" s="70"/>
      <c r="AA661" s="70"/>
      <c r="AB661" s="70"/>
      <c r="AC661" s="70"/>
      <c r="AD661" s="70"/>
      <c r="AE661" s="70"/>
      <c r="AF661" s="70"/>
      <c r="AG661" s="70"/>
      <c r="AH661" s="70"/>
      <c r="AI661" s="70"/>
      <c r="AJ661" s="70"/>
      <c r="AK661" s="70"/>
      <c r="AL661" s="70"/>
      <c r="AM661" s="70"/>
      <c r="AN661" s="70"/>
      <c r="AO661" s="70"/>
      <c r="AP661" s="70"/>
      <c r="AQ661" s="70"/>
      <c r="AR661" s="70"/>
      <c r="AS661" s="70"/>
      <c r="AT661" s="70"/>
    </row>
    <row r="662" spans="1:46">
      <c r="A662" s="70"/>
      <c r="B662" s="70"/>
      <c r="C662" s="70"/>
      <c r="D662" s="70"/>
      <c r="E662" s="70"/>
      <c r="F662" s="70"/>
      <c r="G662" s="70"/>
      <c r="H662" s="54"/>
      <c r="I662" s="70"/>
      <c r="J662" s="70"/>
      <c r="K662" s="70"/>
      <c r="L662" s="70"/>
      <c r="M662" s="70"/>
      <c r="N662" s="70"/>
      <c r="O662" s="70"/>
      <c r="P662" s="70"/>
      <c r="Q662" s="70"/>
      <c r="R662" s="70"/>
      <c r="S662" s="70"/>
      <c r="T662" s="70"/>
      <c r="U662" s="70"/>
      <c r="V662" s="70"/>
      <c r="W662" s="70"/>
      <c r="X662" s="70"/>
      <c r="Y662" s="70"/>
      <c r="Z662" s="70"/>
      <c r="AA662" s="70"/>
      <c r="AB662" s="70"/>
      <c r="AC662" s="70"/>
      <c r="AD662" s="70"/>
      <c r="AE662" s="70"/>
      <c r="AF662" s="70"/>
      <c r="AG662" s="70"/>
      <c r="AH662" s="70"/>
      <c r="AI662" s="70"/>
      <c r="AJ662" s="70"/>
      <c r="AK662" s="70"/>
      <c r="AL662" s="70"/>
      <c r="AM662" s="70"/>
      <c r="AN662" s="70"/>
      <c r="AO662" s="70"/>
      <c r="AP662" s="70"/>
      <c r="AQ662" s="70"/>
      <c r="AR662" s="70"/>
      <c r="AS662" s="70"/>
      <c r="AT662" s="70"/>
    </row>
    <row r="663" spans="1:46">
      <c r="A663" s="70"/>
      <c r="B663" s="70"/>
      <c r="C663" s="70"/>
      <c r="D663" s="70"/>
      <c r="E663" s="70"/>
      <c r="F663" s="70"/>
      <c r="G663" s="70"/>
      <c r="H663" s="54"/>
      <c r="I663" s="70"/>
      <c r="J663" s="70"/>
      <c r="K663" s="70"/>
      <c r="L663" s="70"/>
      <c r="M663" s="70"/>
      <c r="N663" s="70"/>
      <c r="O663" s="70"/>
      <c r="P663" s="70"/>
      <c r="Q663" s="70"/>
      <c r="R663" s="70"/>
      <c r="S663" s="70"/>
      <c r="T663" s="70"/>
      <c r="U663" s="70"/>
      <c r="V663" s="70"/>
      <c r="W663" s="70"/>
      <c r="X663" s="70"/>
      <c r="Y663" s="70"/>
      <c r="Z663" s="70"/>
      <c r="AA663" s="70"/>
      <c r="AB663" s="70"/>
      <c r="AC663" s="70"/>
      <c r="AD663" s="70"/>
      <c r="AE663" s="70"/>
      <c r="AF663" s="70"/>
      <c r="AG663" s="70"/>
      <c r="AH663" s="70"/>
      <c r="AI663" s="70"/>
      <c r="AJ663" s="70"/>
      <c r="AK663" s="70"/>
      <c r="AL663" s="70"/>
      <c r="AM663" s="70"/>
      <c r="AN663" s="70"/>
      <c r="AO663" s="70"/>
      <c r="AP663" s="70"/>
      <c r="AQ663" s="70"/>
      <c r="AR663" s="70"/>
      <c r="AS663" s="70"/>
      <c r="AT663" s="70"/>
    </row>
    <row r="664" spans="1:46">
      <c r="A664" s="70"/>
      <c r="B664" s="70"/>
      <c r="C664" s="70"/>
      <c r="D664" s="70"/>
      <c r="E664" s="70"/>
      <c r="F664" s="70"/>
      <c r="G664" s="70"/>
      <c r="H664" s="54"/>
      <c r="I664" s="70"/>
      <c r="J664" s="70"/>
      <c r="K664" s="70"/>
      <c r="L664" s="70"/>
      <c r="M664" s="70"/>
      <c r="N664" s="70"/>
      <c r="O664" s="70"/>
      <c r="P664" s="70"/>
      <c r="Q664" s="70"/>
      <c r="R664" s="70"/>
      <c r="S664" s="70"/>
      <c r="T664" s="70"/>
      <c r="U664" s="70"/>
      <c r="V664" s="70"/>
      <c r="W664" s="70"/>
      <c r="X664" s="70"/>
      <c r="Y664" s="70"/>
      <c r="Z664" s="70"/>
      <c r="AA664" s="70"/>
      <c r="AB664" s="70"/>
      <c r="AC664" s="70"/>
      <c r="AD664" s="70"/>
      <c r="AE664" s="70"/>
      <c r="AF664" s="70"/>
      <c r="AG664" s="70"/>
      <c r="AH664" s="70"/>
      <c r="AI664" s="70"/>
      <c r="AJ664" s="70"/>
      <c r="AK664" s="70"/>
      <c r="AL664" s="70"/>
      <c r="AM664" s="70"/>
      <c r="AN664" s="70"/>
      <c r="AO664" s="70"/>
      <c r="AP664" s="70"/>
      <c r="AQ664" s="70"/>
      <c r="AR664" s="70"/>
      <c r="AS664" s="70"/>
      <c r="AT664" s="70"/>
    </row>
    <row r="665" spans="1:46">
      <c r="A665" s="70"/>
      <c r="B665" s="70"/>
      <c r="C665" s="70"/>
      <c r="D665" s="70"/>
      <c r="E665" s="70"/>
      <c r="F665" s="70"/>
      <c r="G665" s="70"/>
      <c r="H665" s="54"/>
      <c r="I665" s="70"/>
      <c r="J665" s="70"/>
      <c r="K665" s="70"/>
      <c r="L665" s="70"/>
      <c r="M665" s="70"/>
      <c r="N665" s="70"/>
      <c r="O665" s="70"/>
      <c r="P665" s="70"/>
      <c r="Q665" s="70"/>
      <c r="R665" s="70"/>
      <c r="S665" s="70"/>
      <c r="T665" s="70"/>
      <c r="U665" s="70"/>
      <c r="V665" s="70"/>
      <c r="W665" s="70"/>
      <c r="X665" s="70"/>
      <c r="Y665" s="70"/>
      <c r="Z665" s="70"/>
      <c r="AA665" s="70"/>
      <c r="AB665" s="70"/>
      <c r="AC665" s="70"/>
      <c r="AD665" s="70"/>
      <c r="AE665" s="70"/>
      <c r="AF665" s="70"/>
      <c r="AG665" s="70"/>
      <c r="AH665" s="70"/>
      <c r="AI665" s="70"/>
      <c r="AJ665" s="70"/>
      <c r="AK665" s="70"/>
      <c r="AL665" s="70"/>
      <c r="AM665" s="70"/>
      <c r="AN665" s="70"/>
      <c r="AO665" s="70"/>
      <c r="AP665" s="70"/>
      <c r="AQ665" s="70"/>
      <c r="AR665" s="70"/>
      <c r="AS665" s="70"/>
      <c r="AT665" s="70"/>
    </row>
    <row r="666" spans="1:46">
      <c r="A666" s="70"/>
      <c r="B666" s="70"/>
      <c r="C666" s="70"/>
      <c r="D666" s="70"/>
      <c r="E666" s="70"/>
      <c r="F666" s="70"/>
      <c r="G666" s="70"/>
      <c r="H666" s="54"/>
      <c r="I666" s="70"/>
      <c r="J666" s="70"/>
      <c r="K666" s="70"/>
      <c r="L666" s="70"/>
      <c r="M666" s="70"/>
      <c r="N666" s="70"/>
      <c r="O666" s="70"/>
      <c r="P666" s="70"/>
      <c r="Q666" s="70"/>
      <c r="R666" s="70"/>
      <c r="S666" s="70"/>
      <c r="T666" s="70"/>
      <c r="U666" s="70"/>
      <c r="V666" s="70"/>
      <c r="W666" s="70"/>
      <c r="X666" s="70"/>
      <c r="Y666" s="70"/>
      <c r="Z666" s="70"/>
      <c r="AA666" s="70"/>
      <c r="AB666" s="70"/>
      <c r="AC666" s="70"/>
      <c r="AD666" s="70"/>
      <c r="AE666" s="70"/>
      <c r="AF666" s="70"/>
      <c r="AG666" s="70"/>
      <c r="AH666" s="70"/>
      <c r="AI666" s="70"/>
      <c r="AJ666" s="70"/>
      <c r="AK666" s="70"/>
      <c r="AL666" s="70"/>
      <c r="AM666" s="70"/>
      <c r="AN666" s="70"/>
      <c r="AO666" s="70"/>
      <c r="AP666" s="70"/>
      <c r="AQ666" s="70"/>
      <c r="AR666" s="70"/>
      <c r="AS666" s="70"/>
      <c r="AT666" s="70"/>
    </row>
    <row r="667" spans="1:46">
      <c r="A667" s="70"/>
      <c r="B667" s="70"/>
      <c r="C667" s="70"/>
      <c r="D667" s="70"/>
      <c r="E667" s="70"/>
      <c r="F667" s="70"/>
      <c r="G667" s="70"/>
      <c r="H667" s="54"/>
      <c r="I667" s="70"/>
      <c r="J667" s="70"/>
      <c r="K667" s="70"/>
      <c r="L667" s="70"/>
      <c r="M667" s="70"/>
      <c r="N667" s="70"/>
      <c r="O667" s="70"/>
      <c r="P667" s="70"/>
      <c r="Q667" s="70"/>
      <c r="R667" s="70"/>
      <c r="S667" s="70"/>
      <c r="T667" s="70"/>
      <c r="U667" s="70"/>
      <c r="V667" s="70"/>
      <c r="W667" s="70"/>
      <c r="X667" s="70"/>
      <c r="Y667" s="70"/>
      <c r="Z667" s="70"/>
      <c r="AA667" s="70"/>
      <c r="AB667" s="70"/>
      <c r="AC667" s="70"/>
      <c r="AD667" s="70"/>
      <c r="AE667" s="70"/>
      <c r="AF667" s="70"/>
      <c r="AG667" s="70"/>
      <c r="AH667" s="70"/>
      <c r="AI667" s="70"/>
      <c r="AJ667" s="70"/>
      <c r="AK667" s="70"/>
      <c r="AL667" s="70"/>
      <c r="AM667" s="70"/>
      <c r="AN667" s="70"/>
      <c r="AO667" s="70"/>
      <c r="AP667" s="70"/>
      <c r="AQ667" s="70"/>
      <c r="AR667" s="70"/>
      <c r="AS667" s="70"/>
      <c r="AT667" s="70"/>
    </row>
    <row r="668" spans="1:46">
      <c r="A668" s="70"/>
      <c r="B668" s="70"/>
      <c r="C668" s="70"/>
      <c r="D668" s="70"/>
      <c r="E668" s="70"/>
      <c r="F668" s="70"/>
      <c r="G668" s="70"/>
      <c r="H668" s="54"/>
      <c r="I668" s="70"/>
      <c r="J668" s="70"/>
      <c r="K668" s="70"/>
      <c r="L668" s="70"/>
      <c r="M668" s="70"/>
      <c r="N668" s="70"/>
      <c r="O668" s="70"/>
      <c r="P668" s="70"/>
      <c r="Q668" s="70"/>
      <c r="R668" s="70"/>
      <c r="S668" s="70"/>
      <c r="T668" s="70"/>
      <c r="U668" s="70"/>
      <c r="V668" s="70"/>
      <c r="W668" s="70"/>
      <c r="X668" s="70"/>
      <c r="Y668" s="70"/>
      <c r="Z668" s="70"/>
      <c r="AA668" s="70"/>
      <c r="AB668" s="70"/>
      <c r="AC668" s="70"/>
      <c r="AD668" s="70"/>
      <c r="AE668" s="70"/>
      <c r="AF668" s="70"/>
      <c r="AG668" s="70"/>
      <c r="AH668" s="70"/>
      <c r="AI668" s="70"/>
      <c r="AJ668" s="70"/>
      <c r="AK668" s="70"/>
      <c r="AL668" s="70"/>
      <c r="AM668" s="70"/>
      <c r="AN668" s="70"/>
      <c r="AO668" s="70"/>
      <c r="AP668" s="70"/>
      <c r="AQ668" s="70"/>
      <c r="AR668" s="70"/>
      <c r="AS668" s="70"/>
      <c r="AT668" s="70"/>
    </row>
    <row r="669" spans="1:46">
      <c r="A669" s="70"/>
      <c r="B669" s="70"/>
      <c r="C669" s="70"/>
      <c r="D669" s="70"/>
      <c r="E669" s="70"/>
      <c r="F669" s="70"/>
      <c r="G669" s="70"/>
      <c r="H669" s="54"/>
      <c r="I669" s="70"/>
      <c r="J669" s="70"/>
      <c r="K669" s="70"/>
      <c r="L669" s="70"/>
      <c r="M669" s="70"/>
      <c r="N669" s="70"/>
      <c r="O669" s="70"/>
      <c r="P669" s="70"/>
      <c r="Q669" s="70"/>
      <c r="R669" s="70"/>
      <c r="S669" s="70"/>
      <c r="T669" s="70"/>
      <c r="U669" s="70"/>
      <c r="V669" s="70"/>
      <c r="W669" s="70"/>
      <c r="X669" s="70"/>
      <c r="Y669" s="70"/>
      <c r="Z669" s="70"/>
      <c r="AA669" s="70"/>
      <c r="AB669" s="70"/>
      <c r="AC669" s="70"/>
      <c r="AD669" s="70"/>
      <c r="AE669" s="70"/>
      <c r="AF669" s="70"/>
      <c r="AG669" s="70"/>
      <c r="AH669" s="70"/>
      <c r="AI669" s="70"/>
      <c r="AJ669" s="70"/>
      <c r="AK669" s="70"/>
      <c r="AL669" s="70"/>
      <c r="AM669" s="70"/>
      <c r="AN669" s="70"/>
      <c r="AO669" s="70"/>
      <c r="AP669" s="70"/>
      <c r="AQ669" s="70"/>
      <c r="AR669" s="70"/>
      <c r="AS669" s="70"/>
      <c r="AT669" s="70"/>
    </row>
    <row r="670" spans="1:46">
      <c r="A670" s="70"/>
      <c r="B670" s="70"/>
      <c r="C670" s="70"/>
      <c r="D670" s="70"/>
      <c r="E670" s="70"/>
      <c r="F670" s="70"/>
      <c r="G670" s="70"/>
      <c r="H670" s="54"/>
      <c r="I670" s="70"/>
      <c r="J670" s="70"/>
      <c r="K670" s="70"/>
      <c r="L670" s="70"/>
      <c r="M670" s="70"/>
      <c r="N670" s="70"/>
      <c r="O670" s="70"/>
      <c r="P670" s="70"/>
      <c r="Q670" s="70"/>
      <c r="R670" s="70"/>
      <c r="S670" s="70"/>
      <c r="T670" s="70"/>
      <c r="U670" s="70"/>
      <c r="V670" s="70"/>
      <c r="W670" s="70"/>
      <c r="X670" s="70"/>
      <c r="Y670" s="70"/>
      <c r="Z670" s="70"/>
      <c r="AA670" s="70"/>
      <c r="AB670" s="70"/>
      <c r="AC670" s="70"/>
      <c r="AD670" s="70"/>
      <c r="AE670" s="70"/>
      <c r="AF670" s="70"/>
      <c r="AG670" s="70"/>
      <c r="AH670" s="70"/>
      <c r="AI670" s="70"/>
      <c r="AJ670" s="70"/>
      <c r="AK670" s="70"/>
      <c r="AL670" s="70"/>
      <c r="AM670" s="70"/>
      <c r="AN670" s="70"/>
      <c r="AO670" s="70"/>
      <c r="AP670" s="70"/>
      <c r="AQ670" s="70"/>
      <c r="AR670" s="70"/>
      <c r="AS670" s="70"/>
      <c r="AT670" s="70"/>
    </row>
    <row r="671" spans="1:46">
      <c r="A671" s="70"/>
      <c r="B671" s="70"/>
      <c r="C671" s="70"/>
      <c r="D671" s="70"/>
      <c r="E671" s="70"/>
      <c r="F671" s="70"/>
      <c r="G671" s="70"/>
      <c r="H671" s="54"/>
      <c r="I671" s="70"/>
      <c r="J671" s="70"/>
      <c r="K671" s="70"/>
      <c r="L671" s="70"/>
      <c r="M671" s="70"/>
      <c r="N671" s="70"/>
      <c r="O671" s="70"/>
      <c r="P671" s="70"/>
      <c r="Q671" s="70"/>
      <c r="R671" s="70"/>
      <c r="S671" s="70"/>
      <c r="T671" s="70"/>
      <c r="U671" s="70"/>
      <c r="V671" s="70"/>
      <c r="W671" s="70"/>
      <c r="X671" s="70"/>
      <c r="Y671" s="70"/>
      <c r="Z671" s="70"/>
      <c r="AA671" s="70"/>
      <c r="AB671" s="70"/>
      <c r="AC671" s="70"/>
      <c r="AD671" s="70"/>
      <c r="AE671" s="70"/>
      <c r="AF671" s="70"/>
      <c r="AG671" s="70"/>
      <c r="AH671" s="70"/>
      <c r="AI671" s="70"/>
      <c r="AJ671" s="70"/>
      <c r="AK671" s="70"/>
      <c r="AL671" s="70"/>
      <c r="AM671" s="70"/>
      <c r="AN671" s="70"/>
      <c r="AO671" s="70"/>
      <c r="AP671" s="70"/>
      <c r="AQ671" s="70"/>
      <c r="AR671" s="70"/>
      <c r="AS671" s="70"/>
      <c r="AT671" s="70"/>
    </row>
    <row r="672" spans="1:46">
      <c r="A672" s="70"/>
      <c r="B672" s="70"/>
      <c r="C672" s="70"/>
      <c r="D672" s="70"/>
      <c r="E672" s="70"/>
      <c r="F672" s="70"/>
      <c r="G672" s="70"/>
      <c r="H672" s="54"/>
      <c r="I672" s="70"/>
      <c r="J672" s="70"/>
      <c r="K672" s="70"/>
      <c r="L672" s="70"/>
      <c r="M672" s="70"/>
      <c r="N672" s="70"/>
      <c r="O672" s="70"/>
      <c r="P672" s="70"/>
      <c r="Q672" s="70"/>
      <c r="R672" s="70"/>
      <c r="S672" s="70"/>
      <c r="T672" s="70"/>
      <c r="U672" s="70"/>
      <c r="V672" s="70"/>
      <c r="W672" s="70"/>
      <c r="X672" s="70"/>
      <c r="Y672" s="70"/>
      <c r="Z672" s="70"/>
      <c r="AA672" s="70"/>
      <c r="AB672" s="70"/>
      <c r="AC672" s="70"/>
      <c r="AD672" s="70"/>
      <c r="AE672" s="70"/>
      <c r="AF672" s="70"/>
      <c r="AG672" s="70"/>
      <c r="AH672" s="70"/>
      <c r="AI672" s="70"/>
      <c r="AJ672" s="70"/>
      <c r="AK672" s="70"/>
      <c r="AL672" s="70"/>
      <c r="AM672" s="70"/>
      <c r="AN672" s="70"/>
      <c r="AO672" s="70"/>
      <c r="AP672" s="70"/>
      <c r="AQ672" s="70"/>
      <c r="AR672" s="70"/>
      <c r="AS672" s="70"/>
      <c r="AT672" s="70"/>
    </row>
    <row r="673" spans="1:46">
      <c r="A673" s="70"/>
      <c r="B673" s="70"/>
      <c r="C673" s="70"/>
      <c r="D673" s="70"/>
      <c r="E673" s="70"/>
      <c r="F673" s="70"/>
      <c r="G673" s="70"/>
      <c r="H673" s="54"/>
      <c r="I673" s="70"/>
      <c r="J673" s="70"/>
      <c r="K673" s="70"/>
      <c r="L673" s="70"/>
      <c r="M673" s="70"/>
      <c r="N673" s="70"/>
      <c r="O673" s="70"/>
      <c r="P673" s="70"/>
      <c r="Q673" s="70"/>
      <c r="R673" s="70"/>
      <c r="S673" s="70"/>
      <c r="T673" s="70"/>
      <c r="U673" s="70"/>
      <c r="V673" s="70"/>
      <c r="W673" s="70"/>
      <c r="X673" s="70"/>
      <c r="Y673" s="70"/>
      <c r="Z673" s="70"/>
      <c r="AA673" s="70"/>
      <c r="AB673" s="70"/>
      <c r="AC673" s="70"/>
      <c r="AD673" s="70"/>
      <c r="AE673" s="70"/>
      <c r="AF673" s="70"/>
      <c r="AG673" s="70"/>
      <c r="AH673" s="70"/>
      <c r="AI673" s="70"/>
      <c r="AJ673" s="70"/>
      <c r="AK673" s="70"/>
      <c r="AL673" s="70"/>
      <c r="AM673" s="70"/>
      <c r="AN673" s="70"/>
      <c r="AO673" s="70"/>
      <c r="AP673" s="70"/>
      <c r="AQ673" s="70"/>
      <c r="AR673" s="70"/>
      <c r="AS673" s="70"/>
      <c r="AT673" s="70"/>
    </row>
    <row r="674" spans="1:46">
      <c r="A674" s="70"/>
      <c r="B674" s="70"/>
      <c r="C674" s="70"/>
      <c r="D674" s="70"/>
      <c r="E674" s="70"/>
      <c r="F674" s="70"/>
      <c r="G674" s="70"/>
      <c r="H674" s="54"/>
      <c r="I674" s="70"/>
      <c r="J674" s="70"/>
      <c r="K674" s="70"/>
      <c r="L674" s="70"/>
      <c r="M674" s="70"/>
      <c r="N674" s="70"/>
      <c r="O674" s="70"/>
      <c r="P674" s="70"/>
      <c r="Q674" s="70"/>
      <c r="R674" s="70"/>
      <c r="S674" s="70"/>
      <c r="T674" s="70"/>
      <c r="U674" s="70"/>
      <c r="V674" s="70"/>
      <c r="W674" s="70"/>
      <c r="X674" s="70"/>
      <c r="Y674" s="70"/>
      <c r="Z674" s="70"/>
      <c r="AA674" s="70"/>
      <c r="AB674" s="70"/>
      <c r="AC674" s="70"/>
      <c r="AD674" s="70"/>
      <c r="AE674" s="70"/>
      <c r="AF674" s="70"/>
      <c r="AG674" s="70"/>
      <c r="AH674" s="70"/>
      <c r="AI674" s="70"/>
      <c r="AJ674" s="70"/>
      <c r="AK674" s="70"/>
      <c r="AL674" s="70"/>
      <c r="AM674" s="70"/>
      <c r="AN674" s="70"/>
      <c r="AO674" s="70"/>
      <c r="AP674" s="70"/>
      <c r="AQ674" s="70"/>
      <c r="AR674" s="70"/>
      <c r="AS674" s="70"/>
      <c r="AT674" s="70"/>
    </row>
    <row r="675" spans="1:46">
      <c r="A675" s="70"/>
      <c r="B675" s="70"/>
      <c r="C675" s="70"/>
      <c r="D675" s="70"/>
      <c r="E675" s="70"/>
      <c r="F675" s="70"/>
      <c r="G675" s="70"/>
      <c r="H675" s="54"/>
      <c r="I675" s="70"/>
      <c r="J675" s="70"/>
      <c r="K675" s="70"/>
      <c r="L675" s="70"/>
      <c r="M675" s="70"/>
      <c r="N675" s="70"/>
      <c r="O675" s="70"/>
      <c r="P675" s="70"/>
      <c r="Q675" s="70"/>
      <c r="R675" s="70"/>
      <c r="S675" s="70"/>
      <c r="T675" s="70"/>
      <c r="U675" s="70"/>
      <c r="V675" s="70"/>
      <c r="W675" s="70"/>
      <c r="X675" s="70"/>
      <c r="Y675" s="70"/>
      <c r="Z675" s="70"/>
      <c r="AA675" s="70"/>
      <c r="AB675" s="70"/>
      <c r="AC675" s="70"/>
      <c r="AD675" s="70"/>
      <c r="AE675" s="70"/>
      <c r="AF675" s="70"/>
      <c r="AG675" s="70"/>
      <c r="AH675" s="70"/>
      <c r="AI675" s="70"/>
      <c r="AJ675" s="70"/>
      <c r="AK675" s="70"/>
      <c r="AL675" s="70"/>
      <c r="AM675" s="70"/>
      <c r="AN675" s="70"/>
      <c r="AO675" s="70"/>
      <c r="AP675" s="70"/>
      <c r="AQ675" s="70"/>
      <c r="AR675" s="70"/>
      <c r="AS675" s="70"/>
      <c r="AT675" s="70"/>
    </row>
    <row r="676" spans="1:46">
      <c r="A676" s="70"/>
      <c r="B676" s="70"/>
      <c r="C676" s="70"/>
      <c r="D676" s="70"/>
      <c r="E676" s="70"/>
      <c r="F676" s="70"/>
      <c r="G676" s="70"/>
      <c r="H676" s="54"/>
      <c r="I676" s="70"/>
      <c r="J676" s="70"/>
      <c r="K676" s="70"/>
      <c r="L676" s="70"/>
      <c r="M676" s="70"/>
      <c r="N676" s="70"/>
      <c r="O676" s="70"/>
      <c r="P676" s="70"/>
      <c r="Q676" s="70"/>
      <c r="R676" s="70"/>
      <c r="S676" s="70"/>
      <c r="T676" s="70"/>
      <c r="U676" s="70"/>
      <c r="V676" s="70"/>
      <c r="W676" s="70"/>
      <c r="X676" s="70"/>
      <c r="Y676" s="70"/>
      <c r="Z676" s="70"/>
      <c r="AA676" s="70"/>
      <c r="AB676" s="70"/>
      <c r="AC676" s="70"/>
      <c r="AD676" s="70"/>
      <c r="AE676" s="70"/>
      <c r="AF676" s="70"/>
      <c r="AG676" s="70"/>
      <c r="AH676" s="70"/>
      <c r="AI676" s="70"/>
      <c r="AJ676" s="70"/>
      <c r="AK676" s="70"/>
      <c r="AL676" s="70"/>
      <c r="AM676" s="70"/>
      <c r="AN676" s="70"/>
      <c r="AO676" s="70"/>
      <c r="AP676" s="70"/>
      <c r="AQ676" s="70"/>
      <c r="AR676" s="70"/>
      <c r="AS676" s="70"/>
      <c r="AT676" s="70"/>
    </row>
    <row r="677" spans="1:46">
      <c r="A677" s="70"/>
      <c r="B677" s="70"/>
      <c r="C677" s="70"/>
      <c r="D677" s="70"/>
      <c r="E677" s="70"/>
      <c r="F677" s="70"/>
      <c r="G677" s="70"/>
      <c r="H677" s="54"/>
      <c r="I677" s="70"/>
      <c r="J677" s="70"/>
      <c r="K677" s="70"/>
      <c r="L677" s="70"/>
      <c r="M677" s="70"/>
      <c r="N677" s="70"/>
      <c r="O677" s="70"/>
      <c r="P677" s="70"/>
      <c r="Q677" s="70"/>
      <c r="R677" s="70"/>
      <c r="S677" s="70"/>
      <c r="T677" s="70"/>
      <c r="U677" s="70"/>
      <c r="V677" s="70"/>
      <c r="W677" s="70"/>
      <c r="X677" s="70"/>
      <c r="Y677" s="70"/>
      <c r="Z677" s="70"/>
      <c r="AA677" s="70"/>
      <c r="AB677" s="70"/>
      <c r="AC677" s="70"/>
      <c r="AD677" s="70"/>
      <c r="AE677" s="70"/>
      <c r="AF677" s="70"/>
      <c r="AG677" s="70"/>
      <c r="AH677" s="70"/>
      <c r="AI677" s="70"/>
      <c r="AJ677" s="70"/>
      <c r="AK677" s="70"/>
      <c r="AL677" s="70"/>
      <c r="AM677" s="70"/>
      <c r="AN677" s="70"/>
      <c r="AO677" s="70"/>
      <c r="AP677" s="70"/>
      <c r="AQ677" s="70"/>
      <c r="AR677" s="70"/>
      <c r="AS677" s="70"/>
      <c r="AT677" s="70"/>
    </row>
    <row r="678" spans="1:46">
      <c r="A678" s="70"/>
      <c r="B678" s="70"/>
      <c r="C678" s="70"/>
      <c r="D678" s="70"/>
      <c r="E678" s="70"/>
      <c r="F678" s="70"/>
      <c r="G678" s="70"/>
      <c r="H678" s="54"/>
      <c r="I678" s="70"/>
      <c r="J678" s="70"/>
      <c r="K678" s="70"/>
      <c r="L678" s="70"/>
      <c r="M678" s="70"/>
      <c r="N678" s="70"/>
      <c r="O678" s="70"/>
      <c r="P678" s="70"/>
      <c r="Q678" s="70"/>
      <c r="R678" s="70"/>
      <c r="S678" s="70"/>
      <c r="T678" s="70"/>
      <c r="U678" s="70"/>
      <c r="V678" s="70"/>
      <c r="W678" s="70"/>
      <c r="X678" s="70"/>
      <c r="Y678" s="70"/>
      <c r="Z678" s="70"/>
      <c r="AA678" s="70"/>
      <c r="AB678" s="70"/>
      <c r="AC678" s="70"/>
      <c r="AD678" s="70"/>
      <c r="AE678" s="70"/>
      <c r="AF678" s="70"/>
      <c r="AG678" s="70"/>
      <c r="AH678" s="70"/>
      <c r="AI678" s="70"/>
      <c r="AJ678" s="70"/>
      <c r="AK678" s="70"/>
      <c r="AL678" s="70"/>
      <c r="AM678" s="70"/>
      <c r="AN678" s="70"/>
      <c r="AO678" s="70"/>
      <c r="AP678" s="70"/>
      <c r="AQ678" s="70"/>
      <c r="AR678" s="70"/>
      <c r="AS678" s="70"/>
      <c r="AT678" s="70"/>
    </row>
    <row r="679" spans="1:46">
      <c r="A679" s="70"/>
      <c r="B679" s="70"/>
      <c r="C679" s="70"/>
      <c r="D679" s="70"/>
      <c r="E679" s="70"/>
      <c r="F679" s="70"/>
      <c r="G679" s="70"/>
      <c r="H679" s="54"/>
      <c r="I679" s="70"/>
      <c r="J679" s="70"/>
      <c r="K679" s="70"/>
      <c r="L679" s="70"/>
      <c r="M679" s="70"/>
      <c r="N679" s="70"/>
      <c r="O679" s="70"/>
      <c r="P679" s="70"/>
      <c r="Q679" s="70"/>
      <c r="R679" s="70"/>
      <c r="S679" s="70"/>
      <c r="T679" s="70"/>
      <c r="U679" s="70"/>
      <c r="V679" s="70"/>
      <c r="W679" s="70"/>
      <c r="X679" s="70"/>
      <c r="Y679" s="70"/>
      <c r="Z679" s="70"/>
      <c r="AA679" s="70"/>
      <c r="AB679" s="70"/>
      <c r="AC679" s="70"/>
      <c r="AD679" s="70"/>
      <c r="AE679" s="70"/>
      <c r="AF679" s="70"/>
      <c r="AG679" s="70"/>
      <c r="AH679" s="70"/>
      <c r="AI679" s="70"/>
      <c r="AJ679" s="70"/>
      <c r="AK679" s="70"/>
      <c r="AL679" s="70"/>
      <c r="AM679" s="70"/>
      <c r="AN679" s="70"/>
      <c r="AO679" s="70"/>
      <c r="AP679" s="70"/>
      <c r="AQ679" s="70"/>
      <c r="AR679" s="70"/>
      <c r="AS679" s="70"/>
      <c r="AT679" s="70"/>
    </row>
    <row r="680" spans="1:46">
      <c r="A680" s="70"/>
      <c r="B680" s="70"/>
      <c r="C680" s="70"/>
      <c r="D680" s="70"/>
      <c r="E680" s="70"/>
      <c r="F680" s="70"/>
      <c r="G680" s="70"/>
      <c r="H680" s="54"/>
      <c r="I680" s="70"/>
      <c r="J680" s="70"/>
      <c r="K680" s="70"/>
      <c r="L680" s="70"/>
      <c r="M680" s="70"/>
      <c r="N680" s="70"/>
      <c r="O680" s="70"/>
      <c r="P680" s="70"/>
      <c r="Q680" s="70"/>
      <c r="R680" s="70"/>
      <c r="S680" s="70"/>
      <c r="T680" s="70"/>
      <c r="U680" s="70"/>
      <c r="V680" s="70"/>
      <c r="W680" s="70"/>
      <c r="X680" s="70"/>
      <c r="Y680" s="70"/>
      <c r="Z680" s="70"/>
      <c r="AA680" s="70"/>
      <c r="AB680" s="70"/>
      <c r="AC680" s="70"/>
      <c r="AD680" s="70"/>
      <c r="AE680" s="70"/>
      <c r="AF680" s="70"/>
      <c r="AG680" s="70"/>
      <c r="AH680" s="70"/>
      <c r="AI680" s="70"/>
      <c r="AJ680" s="70"/>
      <c r="AK680" s="70"/>
      <c r="AL680" s="70"/>
      <c r="AM680" s="70"/>
      <c r="AN680" s="70"/>
      <c r="AO680" s="70"/>
      <c r="AP680" s="70"/>
      <c r="AQ680" s="70"/>
      <c r="AR680" s="70"/>
      <c r="AS680" s="70"/>
      <c r="AT680" s="70"/>
    </row>
    <row r="681" spans="1:46">
      <c r="A681" s="70"/>
      <c r="B681" s="70"/>
      <c r="C681" s="70"/>
      <c r="D681" s="70"/>
      <c r="E681" s="70"/>
      <c r="F681" s="70"/>
      <c r="G681" s="70"/>
      <c r="H681" s="54"/>
      <c r="I681" s="70"/>
      <c r="J681" s="70"/>
      <c r="K681" s="70"/>
      <c r="L681" s="70"/>
      <c r="M681" s="70"/>
      <c r="N681" s="70"/>
      <c r="O681" s="70"/>
      <c r="P681" s="70"/>
      <c r="Q681" s="70"/>
      <c r="R681" s="70"/>
      <c r="S681" s="70"/>
      <c r="T681" s="70"/>
      <c r="U681" s="70"/>
      <c r="V681" s="70"/>
      <c r="W681" s="70"/>
      <c r="X681" s="70"/>
      <c r="Y681" s="70"/>
      <c r="Z681" s="70"/>
      <c r="AA681" s="70"/>
      <c r="AB681" s="70"/>
      <c r="AC681" s="70"/>
      <c r="AD681" s="70"/>
      <c r="AE681" s="70"/>
      <c r="AF681" s="70"/>
      <c r="AG681" s="70"/>
      <c r="AH681" s="70"/>
      <c r="AI681" s="70"/>
      <c r="AJ681" s="70"/>
      <c r="AK681" s="70"/>
      <c r="AL681" s="70"/>
      <c r="AM681" s="70"/>
      <c r="AN681" s="70"/>
      <c r="AO681" s="70"/>
      <c r="AP681" s="70"/>
      <c r="AQ681" s="70"/>
      <c r="AR681" s="70"/>
      <c r="AS681" s="70"/>
      <c r="AT681" s="70"/>
    </row>
    <row r="682" spans="1:46">
      <c r="A682" s="70"/>
      <c r="B682" s="70"/>
      <c r="C682" s="70"/>
      <c r="D682" s="70"/>
      <c r="E682" s="70"/>
      <c r="F682" s="70"/>
      <c r="G682" s="70"/>
      <c r="H682" s="54"/>
      <c r="I682" s="70"/>
      <c r="J682" s="70"/>
      <c r="K682" s="70"/>
      <c r="L682" s="70"/>
      <c r="M682" s="70"/>
      <c r="N682" s="70"/>
      <c r="O682" s="70"/>
      <c r="P682" s="70"/>
      <c r="Q682" s="70"/>
      <c r="R682" s="70"/>
      <c r="S682" s="70"/>
      <c r="T682" s="70"/>
      <c r="U682" s="70"/>
      <c r="V682" s="70"/>
      <c r="W682" s="70"/>
      <c r="X682" s="70"/>
      <c r="Y682" s="70"/>
      <c r="Z682" s="70"/>
      <c r="AA682" s="70"/>
      <c r="AB682" s="70"/>
      <c r="AC682" s="70"/>
      <c r="AD682" s="70"/>
      <c r="AE682" s="70"/>
      <c r="AF682" s="70"/>
      <c r="AG682" s="70"/>
      <c r="AH682" s="70"/>
      <c r="AI682" s="70"/>
      <c r="AJ682" s="70"/>
      <c r="AK682" s="70"/>
      <c r="AL682" s="70"/>
      <c r="AM682" s="70"/>
      <c r="AN682" s="70"/>
      <c r="AO682" s="70"/>
      <c r="AP682" s="70"/>
      <c r="AQ682" s="70"/>
      <c r="AR682" s="70"/>
      <c r="AS682" s="70"/>
      <c r="AT682" s="70"/>
    </row>
    <row r="683" spans="1:46">
      <c r="A683" s="70"/>
      <c r="B683" s="70"/>
      <c r="C683" s="70"/>
      <c r="D683" s="70"/>
      <c r="E683" s="70"/>
      <c r="F683" s="70"/>
      <c r="G683" s="70"/>
      <c r="H683" s="54"/>
      <c r="I683" s="70"/>
      <c r="J683" s="70"/>
      <c r="K683" s="70"/>
      <c r="L683" s="70"/>
      <c r="M683" s="70"/>
      <c r="N683" s="70"/>
      <c r="O683" s="70"/>
      <c r="P683" s="70"/>
      <c r="Q683" s="70"/>
      <c r="R683" s="70"/>
      <c r="S683" s="70"/>
      <c r="T683" s="70"/>
      <c r="U683" s="70"/>
      <c r="V683" s="70"/>
      <c r="W683" s="70"/>
      <c r="X683" s="70"/>
      <c r="Y683" s="70"/>
      <c r="Z683" s="70"/>
      <c r="AA683" s="70"/>
      <c r="AB683" s="70"/>
      <c r="AC683" s="70"/>
      <c r="AD683" s="70"/>
      <c r="AE683" s="70"/>
      <c r="AF683" s="70"/>
      <c r="AG683" s="70"/>
      <c r="AH683" s="70"/>
      <c r="AI683" s="70"/>
      <c r="AJ683" s="70"/>
      <c r="AK683" s="70"/>
      <c r="AL683" s="70"/>
      <c r="AM683" s="70"/>
      <c r="AN683" s="70"/>
      <c r="AO683" s="70"/>
      <c r="AP683" s="70"/>
      <c r="AQ683" s="70"/>
      <c r="AR683" s="70"/>
      <c r="AS683" s="70"/>
      <c r="AT683" s="70"/>
    </row>
    <row r="684" spans="1:46">
      <c r="A684" s="70"/>
      <c r="B684" s="70"/>
      <c r="C684" s="70"/>
      <c r="D684" s="70"/>
      <c r="E684" s="70"/>
      <c r="F684" s="70"/>
      <c r="G684" s="70"/>
      <c r="H684" s="54"/>
      <c r="I684" s="70"/>
      <c r="J684" s="70"/>
      <c r="K684" s="70"/>
      <c r="L684" s="70"/>
      <c r="M684" s="70"/>
      <c r="N684" s="70"/>
      <c r="O684" s="70"/>
      <c r="P684" s="70"/>
      <c r="Q684" s="70"/>
      <c r="R684" s="70"/>
      <c r="S684" s="70"/>
      <c r="T684" s="70"/>
      <c r="U684" s="70"/>
      <c r="V684" s="70"/>
      <c r="W684" s="70"/>
      <c r="X684" s="70"/>
      <c r="Y684" s="70"/>
      <c r="Z684" s="70"/>
      <c r="AA684" s="70"/>
      <c r="AB684" s="70"/>
      <c r="AC684" s="70"/>
      <c r="AD684" s="70"/>
      <c r="AE684" s="70"/>
      <c r="AF684" s="70"/>
      <c r="AG684" s="70"/>
      <c r="AH684" s="70"/>
      <c r="AI684" s="70"/>
      <c r="AJ684" s="70"/>
      <c r="AK684" s="70"/>
      <c r="AL684" s="70"/>
      <c r="AM684" s="70"/>
      <c r="AN684" s="70"/>
      <c r="AO684" s="70"/>
      <c r="AP684" s="70"/>
      <c r="AQ684" s="70"/>
      <c r="AR684" s="70"/>
      <c r="AS684" s="70"/>
      <c r="AT684" s="70"/>
    </row>
    <row r="685" spans="1:46">
      <c r="A685" s="70"/>
      <c r="B685" s="70"/>
      <c r="C685" s="70"/>
      <c r="D685" s="70"/>
      <c r="E685" s="70"/>
      <c r="F685" s="70"/>
      <c r="G685" s="70"/>
      <c r="H685" s="54"/>
      <c r="I685" s="70"/>
      <c r="J685" s="70"/>
      <c r="K685" s="70"/>
      <c r="L685" s="70"/>
      <c r="M685" s="70"/>
      <c r="N685" s="70"/>
      <c r="O685" s="70"/>
      <c r="P685" s="70"/>
      <c r="Q685" s="70"/>
      <c r="R685" s="70"/>
      <c r="S685" s="70"/>
      <c r="T685" s="70"/>
      <c r="U685" s="70"/>
      <c r="V685" s="70"/>
      <c r="W685" s="70"/>
      <c r="X685" s="70"/>
      <c r="Y685" s="70"/>
      <c r="Z685" s="70"/>
      <c r="AA685" s="70"/>
      <c r="AB685" s="70"/>
      <c r="AC685" s="70"/>
      <c r="AD685" s="70"/>
      <c r="AE685" s="70"/>
      <c r="AF685" s="70"/>
      <c r="AG685" s="70"/>
      <c r="AH685" s="70"/>
      <c r="AI685" s="70"/>
      <c r="AJ685" s="70"/>
      <c r="AK685" s="70"/>
      <c r="AL685" s="70"/>
      <c r="AM685" s="70"/>
      <c r="AN685" s="70"/>
      <c r="AO685" s="70"/>
      <c r="AP685" s="70"/>
      <c r="AQ685" s="70"/>
      <c r="AR685" s="70"/>
      <c r="AS685" s="70"/>
      <c r="AT685" s="70"/>
    </row>
    <row r="686" spans="1:46">
      <c r="A686" s="70"/>
      <c r="B686" s="70"/>
      <c r="C686" s="70"/>
      <c r="D686" s="70"/>
      <c r="E686" s="70"/>
      <c r="F686" s="70"/>
      <c r="G686" s="70"/>
      <c r="H686" s="54"/>
      <c r="I686" s="70"/>
      <c r="J686" s="70"/>
      <c r="K686" s="70"/>
      <c r="L686" s="70"/>
      <c r="M686" s="70"/>
      <c r="N686" s="70"/>
      <c r="O686" s="70"/>
      <c r="P686" s="70"/>
      <c r="Q686" s="70"/>
      <c r="R686" s="70"/>
      <c r="S686" s="70"/>
      <c r="T686" s="70"/>
      <c r="U686" s="70"/>
      <c r="V686" s="70"/>
      <c r="W686" s="70"/>
      <c r="X686" s="70"/>
      <c r="Y686" s="70"/>
      <c r="Z686" s="70"/>
      <c r="AA686" s="70"/>
      <c r="AB686" s="70"/>
      <c r="AC686" s="70"/>
      <c r="AD686" s="70"/>
      <c r="AE686" s="70"/>
      <c r="AF686" s="70"/>
      <c r="AG686" s="70"/>
      <c r="AH686" s="70"/>
      <c r="AI686" s="70"/>
      <c r="AJ686" s="70"/>
      <c r="AK686" s="70"/>
      <c r="AL686" s="70"/>
      <c r="AM686" s="70"/>
      <c r="AN686" s="70"/>
      <c r="AO686" s="70"/>
      <c r="AP686" s="70"/>
      <c r="AQ686" s="70"/>
      <c r="AR686" s="70"/>
      <c r="AS686" s="70"/>
      <c r="AT686" s="70"/>
    </row>
    <row r="687" spans="1:46">
      <c r="A687" s="70"/>
      <c r="B687" s="70"/>
      <c r="C687" s="70"/>
      <c r="D687" s="70"/>
      <c r="E687" s="70"/>
      <c r="F687" s="70"/>
      <c r="G687" s="70"/>
      <c r="H687" s="54"/>
      <c r="I687" s="70"/>
      <c r="J687" s="70"/>
      <c r="K687" s="70"/>
      <c r="L687" s="70"/>
      <c r="M687" s="70"/>
      <c r="N687" s="70"/>
      <c r="O687" s="70"/>
      <c r="P687" s="70"/>
      <c r="Q687" s="70"/>
      <c r="R687" s="70"/>
      <c r="S687" s="70"/>
      <c r="T687" s="70"/>
      <c r="U687" s="70"/>
      <c r="V687" s="70"/>
      <c r="W687" s="70"/>
      <c r="X687" s="70"/>
      <c r="Y687" s="70"/>
      <c r="Z687" s="70"/>
      <c r="AA687" s="70"/>
      <c r="AB687" s="70"/>
      <c r="AC687" s="70"/>
      <c r="AD687" s="70"/>
      <c r="AE687" s="70"/>
      <c r="AF687" s="70"/>
      <c r="AG687" s="70"/>
      <c r="AH687" s="70"/>
      <c r="AI687" s="70"/>
      <c r="AJ687" s="70"/>
      <c r="AK687" s="70"/>
      <c r="AL687" s="70"/>
      <c r="AM687" s="70"/>
      <c r="AN687" s="70"/>
      <c r="AO687" s="70"/>
      <c r="AP687" s="70"/>
      <c r="AQ687" s="70"/>
      <c r="AR687" s="70"/>
      <c r="AS687" s="70"/>
      <c r="AT687" s="70"/>
    </row>
    <row r="688" spans="1:46">
      <c r="A688" s="70"/>
      <c r="B688" s="70"/>
      <c r="C688" s="70"/>
      <c r="D688" s="70"/>
      <c r="E688" s="70"/>
      <c r="F688" s="70"/>
      <c r="G688" s="70"/>
      <c r="H688" s="54"/>
      <c r="I688" s="70"/>
      <c r="J688" s="70"/>
      <c r="K688" s="70"/>
      <c r="L688" s="70"/>
      <c r="M688" s="70"/>
      <c r="N688" s="70"/>
      <c r="O688" s="70"/>
      <c r="P688" s="70"/>
      <c r="Q688" s="70"/>
      <c r="R688" s="70"/>
      <c r="S688" s="70"/>
      <c r="T688" s="70"/>
      <c r="U688" s="70"/>
      <c r="V688" s="70"/>
      <c r="W688" s="70"/>
      <c r="X688" s="70"/>
      <c r="Y688" s="70"/>
      <c r="Z688" s="70"/>
      <c r="AA688" s="70"/>
      <c r="AB688" s="70"/>
      <c r="AC688" s="70"/>
      <c r="AD688" s="70"/>
      <c r="AE688" s="70"/>
      <c r="AF688" s="70"/>
      <c r="AG688" s="70"/>
      <c r="AH688" s="70"/>
      <c r="AI688" s="70"/>
      <c r="AJ688" s="70"/>
      <c r="AK688" s="70"/>
      <c r="AL688" s="70"/>
      <c r="AM688" s="70"/>
      <c r="AN688" s="70"/>
      <c r="AO688" s="70"/>
      <c r="AP688" s="70"/>
      <c r="AQ688" s="70"/>
      <c r="AR688" s="70"/>
      <c r="AS688" s="70"/>
      <c r="AT688" s="70"/>
    </row>
    <row r="689" spans="1:46">
      <c r="A689" s="70"/>
      <c r="B689" s="70"/>
      <c r="C689" s="70"/>
      <c r="D689" s="70"/>
      <c r="E689" s="70"/>
      <c r="F689" s="70"/>
      <c r="G689" s="70"/>
      <c r="H689" s="54"/>
      <c r="I689" s="70"/>
      <c r="J689" s="70"/>
      <c r="K689" s="70"/>
      <c r="L689" s="70"/>
      <c r="M689" s="70"/>
      <c r="N689" s="70"/>
      <c r="O689" s="70"/>
      <c r="P689" s="70"/>
      <c r="Q689" s="70"/>
      <c r="R689" s="70"/>
      <c r="S689" s="70"/>
      <c r="T689" s="70"/>
      <c r="U689" s="70"/>
      <c r="V689" s="70"/>
      <c r="W689" s="70"/>
      <c r="X689" s="70"/>
      <c r="Y689" s="70"/>
      <c r="Z689" s="70"/>
      <c r="AA689" s="70"/>
      <c r="AB689" s="70"/>
      <c r="AC689" s="70"/>
      <c r="AD689" s="70"/>
      <c r="AE689" s="70"/>
      <c r="AF689" s="70"/>
      <c r="AG689" s="70"/>
      <c r="AH689" s="70"/>
      <c r="AI689" s="70"/>
      <c r="AJ689" s="70"/>
      <c r="AK689" s="70"/>
      <c r="AL689" s="70"/>
      <c r="AM689" s="70"/>
      <c r="AN689" s="70"/>
      <c r="AO689" s="70"/>
      <c r="AP689" s="70"/>
      <c r="AQ689" s="70"/>
      <c r="AR689" s="70"/>
      <c r="AS689" s="70"/>
      <c r="AT689" s="70"/>
    </row>
    <row r="690" spans="1:46">
      <c r="A690" s="70"/>
      <c r="B690" s="70"/>
      <c r="C690" s="70"/>
      <c r="D690" s="70"/>
      <c r="E690" s="70"/>
      <c r="F690" s="70"/>
      <c r="G690" s="70"/>
      <c r="H690" s="54"/>
      <c r="I690" s="70"/>
      <c r="J690" s="70"/>
      <c r="K690" s="70"/>
      <c r="L690" s="70"/>
      <c r="M690" s="70"/>
      <c r="N690" s="70"/>
      <c r="O690" s="70"/>
      <c r="P690" s="70"/>
      <c r="Q690" s="70"/>
      <c r="R690" s="70"/>
      <c r="S690" s="70"/>
      <c r="T690" s="70"/>
      <c r="U690" s="70"/>
      <c r="V690" s="70"/>
      <c r="W690" s="70"/>
      <c r="X690" s="70"/>
      <c r="Y690" s="70"/>
      <c r="Z690" s="70"/>
      <c r="AA690" s="70"/>
      <c r="AB690" s="70"/>
      <c r="AC690" s="70"/>
      <c r="AD690" s="70"/>
      <c r="AE690" s="70"/>
      <c r="AF690" s="70"/>
      <c r="AG690" s="70"/>
      <c r="AH690" s="70"/>
      <c r="AI690" s="70"/>
      <c r="AJ690" s="70"/>
      <c r="AK690" s="70"/>
      <c r="AL690" s="70"/>
      <c r="AM690" s="70"/>
      <c r="AN690" s="70"/>
      <c r="AO690" s="70"/>
      <c r="AP690" s="70"/>
      <c r="AQ690" s="70"/>
      <c r="AR690" s="70"/>
      <c r="AS690" s="70"/>
      <c r="AT690" s="70"/>
    </row>
    <row r="691" spans="1:46">
      <c r="A691" s="70"/>
      <c r="B691" s="70"/>
      <c r="C691" s="70"/>
      <c r="D691" s="70"/>
      <c r="E691" s="70"/>
      <c r="F691" s="70"/>
      <c r="G691" s="70"/>
      <c r="H691" s="54"/>
      <c r="I691" s="70"/>
      <c r="J691" s="70"/>
      <c r="K691" s="70"/>
      <c r="L691" s="70"/>
      <c r="M691" s="70"/>
      <c r="N691" s="70"/>
      <c r="O691" s="70"/>
      <c r="P691" s="70"/>
      <c r="Q691" s="70"/>
      <c r="R691" s="70"/>
      <c r="S691" s="70"/>
      <c r="T691" s="70"/>
      <c r="U691" s="70"/>
      <c r="V691" s="70"/>
      <c r="W691" s="70"/>
      <c r="X691" s="70"/>
      <c r="Y691" s="70"/>
      <c r="Z691" s="70"/>
      <c r="AA691" s="70"/>
      <c r="AB691" s="70"/>
      <c r="AC691" s="70"/>
      <c r="AD691" s="70"/>
      <c r="AE691" s="70"/>
      <c r="AF691" s="70"/>
      <c r="AG691" s="70"/>
      <c r="AH691" s="70"/>
      <c r="AI691" s="70"/>
      <c r="AJ691" s="70"/>
      <c r="AK691" s="70"/>
      <c r="AL691" s="70"/>
      <c r="AM691" s="70"/>
      <c r="AN691" s="70"/>
      <c r="AO691" s="70"/>
      <c r="AP691" s="70"/>
      <c r="AQ691" s="70"/>
      <c r="AR691" s="70"/>
      <c r="AS691" s="70"/>
      <c r="AT691" s="70"/>
    </row>
    <row r="692" spans="1:46">
      <c r="A692" s="70"/>
      <c r="B692" s="70"/>
      <c r="C692" s="70"/>
      <c r="D692" s="70"/>
      <c r="E692" s="70"/>
      <c r="F692" s="70"/>
      <c r="G692" s="70"/>
      <c r="H692" s="54"/>
      <c r="I692" s="70"/>
      <c r="J692" s="70"/>
      <c r="K692" s="70"/>
      <c r="L692" s="70"/>
      <c r="M692" s="70"/>
      <c r="N692" s="70"/>
      <c r="O692" s="70"/>
      <c r="P692" s="70"/>
      <c r="Q692" s="70"/>
      <c r="R692" s="70"/>
      <c r="S692" s="70"/>
      <c r="T692" s="70"/>
      <c r="U692" s="70"/>
      <c r="V692" s="70"/>
      <c r="W692" s="70"/>
      <c r="X692" s="70"/>
      <c r="Y692" s="70"/>
      <c r="Z692" s="70"/>
      <c r="AA692" s="70"/>
      <c r="AB692" s="70"/>
      <c r="AC692" s="70"/>
      <c r="AD692" s="70"/>
      <c r="AE692" s="70"/>
      <c r="AF692" s="70"/>
      <c r="AG692" s="70"/>
      <c r="AH692" s="70"/>
      <c r="AI692" s="70"/>
      <c r="AJ692" s="70"/>
      <c r="AK692" s="70"/>
      <c r="AL692" s="70"/>
      <c r="AM692" s="70"/>
      <c r="AN692" s="70"/>
      <c r="AO692" s="70"/>
      <c r="AP692" s="70"/>
      <c r="AQ692" s="70"/>
      <c r="AR692" s="70"/>
      <c r="AS692" s="70"/>
      <c r="AT692" s="70"/>
    </row>
    <row r="693" spans="1:46">
      <c r="A693" s="70"/>
      <c r="B693" s="70"/>
      <c r="C693" s="70"/>
      <c r="D693" s="70"/>
      <c r="E693" s="70"/>
      <c r="F693" s="70"/>
      <c r="G693" s="70"/>
      <c r="H693" s="54"/>
      <c r="I693" s="70"/>
      <c r="J693" s="70"/>
      <c r="K693" s="70"/>
      <c r="L693" s="70"/>
      <c r="M693" s="70"/>
      <c r="N693" s="70"/>
      <c r="O693" s="70"/>
      <c r="P693" s="70"/>
      <c r="Q693" s="70"/>
      <c r="R693" s="70"/>
      <c r="S693" s="70"/>
      <c r="T693" s="70"/>
      <c r="U693" s="70"/>
      <c r="V693" s="70"/>
      <c r="W693" s="70"/>
      <c r="X693" s="70"/>
      <c r="Y693" s="70"/>
      <c r="Z693" s="70"/>
      <c r="AA693" s="70"/>
      <c r="AB693" s="70"/>
      <c r="AC693" s="70"/>
      <c r="AD693" s="70"/>
      <c r="AE693" s="70"/>
      <c r="AF693" s="70"/>
      <c r="AG693" s="70"/>
      <c r="AH693" s="70"/>
      <c r="AI693" s="70"/>
      <c r="AJ693" s="70"/>
      <c r="AK693" s="70"/>
      <c r="AL693" s="70"/>
      <c r="AM693" s="70"/>
      <c r="AN693" s="70"/>
      <c r="AO693" s="70"/>
      <c r="AP693" s="70"/>
      <c r="AQ693" s="70"/>
      <c r="AR693" s="70"/>
      <c r="AS693" s="70"/>
      <c r="AT693" s="70"/>
    </row>
    <row r="694" spans="1:46">
      <c r="A694" s="70"/>
      <c r="B694" s="70"/>
      <c r="C694" s="70"/>
      <c r="D694" s="70"/>
      <c r="E694" s="70"/>
      <c r="F694" s="70"/>
      <c r="G694" s="70"/>
      <c r="H694" s="54"/>
      <c r="I694" s="70"/>
      <c r="J694" s="70"/>
      <c r="K694" s="70"/>
      <c r="L694" s="70"/>
      <c r="M694" s="70"/>
      <c r="N694" s="70"/>
      <c r="O694" s="70"/>
      <c r="P694" s="70"/>
      <c r="Q694" s="70"/>
      <c r="R694" s="70"/>
      <c r="S694" s="70"/>
      <c r="T694" s="70"/>
      <c r="U694" s="70"/>
      <c r="V694" s="70"/>
      <c r="W694" s="70"/>
      <c r="X694" s="70"/>
      <c r="Y694" s="70"/>
      <c r="Z694" s="70"/>
      <c r="AA694" s="70"/>
      <c r="AB694" s="70"/>
      <c r="AC694" s="70"/>
      <c r="AD694" s="70"/>
      <c r="AE694" s="70"/>
      <c r="AF694" s="70"/>
      <c r="AG694" s="70"/>
      <c r="AH694" s="70"/>
      <c r="AI694" s="70"/>
      <c r="AJ694" s="70"/>
      <c r="AK694" s="70"/>
      <c r="AL694" s="70"/>
      <c r="AM694" s="70"/>
      <c r="AN694" s="70"/>
      <c r="AO694" s="70"/>
      <c r="AP694" s="70"/>
      <c r="AQ694" s="70"/>
      <c r="AR694" s="70"/>
      <c r="AS694" s="70"/>
      <c r="AT694" s="70"/>
    </row>
    <row r="695" spans="1:46">
      <c r="A695" s="70"/>
      <c r="B695" s="70"/>
      <c r="C695" s="70"/>
      <c r="D695" s="70"/>
      <c r="E695" s="70"/>
      <c r="F695" s="70"/>
      <c r="G695" s="70"/>
      <c r="H695" s="54"/>
      <c r="I695" s="70"/>
      <c r="J695" s="70"/>
      <c r="K695" s="70"/>
      <c r="L695" s="70"/>
      <c r="M695" s="70"/>
      <c r="N695" s="70"/>
      <c r="O695" s="70"/>
      <c r="P695" s="70"/>
      <c r="Q695" s="70"/>
      <c r="R695" s="70"/>
      <c r="S695" s="70"/>
      <c r="T695" s="70"/>
      <c r="U695" s="70"/>
      <c r="V695" s="70"/>
      <c r="W695" s="70"/>
      <c r="X695" s="70"/>
      <c r="Y695" s="70"/>
      <c r="Z695" s="70"/>
      <c r="AA695" s="70"/>
      <c r="AB695" s="70"/>
      <c r="AC695" s="70"/>
      <c r="AD695" s="70"/>
      <c r="AE695" s="70"/>
      <c r="AF695" s="70"/>
      <c r="AG695" s="70"/>
      <c r="AH695" s="70"/>
      <c r="AI695" s="70"/>
      <c r="AJ695" s="70"/>
      <c r="AK695" s="70"/>
      <c r="AL695" s="70"/>
      <c r="AM695" s="70"/>
      <c r="AN695" s="70"/>
      <c r="AO695" s="70"/>
      <c r="AP695" s="70"/>
      <c r="AQ695" s="70"/>
      <c r="AR695" s="70"/>
      <c r="AS695" s="70"/>
      <c r="AT695" s="70"/>
    </row>
    <row r="696" spans="1:46">
      <c r="A696" s="70"/>
      <c r="B696" s="70"/>
      <c r="C696" s="70"/>
      <c r="D696" s="70"/>
      <c r="E696" s="70"/>
      <c r="F696" s="70"/>
      <c r="G696" s="70"/>
      <c r="H696" s="54"/>
      <c r="I696" s="70"/>
      <c r="J696" s="70"/>
      <c r="K696" s="70"/>
      <c r="L696" s="70"/>
      <c r="M696" s="70"/>
      <c r="N696" s="70"/>
      <c r="O696" s="70"/>
      <c r="P696" s="70"/>
      <c r="Q696" s="70"/>
      <c r="R696" s="70"/>
      <c r="S696" s="70"/>
      <c r="T696" s="70"/>
      <c r="U696" s="70"/>
      <c r="V696" s="70"/>
      <c r="W696" s="70"/>
      <c r="X696" s="70"/>
      <c r="Y696" s="70"/>
      <c r="Z696" s="70"/>
      <c r="AA696" s="70"/>
      <c r="AB696" s="70"/>
      <c r="AC696" s="70"/>
      <c r="AD696" s="70"/>
      <c r="AE696" s="70"/>
      <c r="AF696" s="70"/>
      <c r="AG696" s="70"/>
      <c r="AH696" s="70"/>
      <c r="AI696" s="70"/>
      <c r="AJ696" s="70"/>
      <c r="AK696" s="70"/>
      <c r="AL696" s="70"/>
      <c r="AM696" s="70"/>
      <c r="AN696" s="70"/>
      <c r="AO696" s="70"/>
      <c r="AP696" s="70"/>
      <c r="AQ696" s="70"/>
      <c r="AR696" s="70"/>
      <c r="AS696" s="70"/>
      <c r="AT696" s="70"/>
    </row>
    <row r="697" spans="1:46">
      <c r="A697" s="70"/>
      <c r="B697" s="70"/>
      <c r="C697" s="70"/>
      <c r="D697" s="70"/>
      <c r="E697" s="70"/>
      <c r="F697" s="70"/>
      <c r="G697" s="70"/>
      <c r="H697" s="54"/>
      <c r="I697" s="70"/>
      <c r="J697" s="70"/>
      <c r="K697" s="70"/>
      <c r="L697" s="70"/>
      <c r="M697" s="70"/>
      <c r="N697" s="70"/>
      <c r="O697" s="70"/>
      <c r="P697" s="70"/>
      <c r="Q697" s="70"/>
      <c r="R697" s="70"/>
      <c r="S697" s="70"/>
      <c r="T697" s="70"/>
      <c r="U697" s="70"/>
      <c r="V697" s="70"/>
      <c r="W697" s="70"/>
      <c r="X697" s="70"/>
      <c r="Y697" s="70"/>
      <c r="Z697" s="70"/>
      <c r="AA697" s="70"/>
      <c r="AB697" s="70"/>
      <c r="AC697" s="70"/>
      <c r="AD697" s="70"/>
      <c r="AE697" s="70"/>
      <c r="AF697" s="70"/>
      <c r="AG697" s="70"/>
      <c r="AH697" s="70"/>
      <c r="AI697" s="70"/>
      <c r="AJ697" s="70"/>
      <c r="AK697" s="70"/>
      <c r="AL697" s="70"/>
      <c r="AM697" s="70"/>
      <c r="AN697" s="70"/>
      <c r="AO697" s="70"/>
      <c r="AP697" s="70"/>
      <c r="AQ697" s="70"/>
      <c r="AR697" s="70"/>
      <c r="AS697" s="70"/>
      <c r="AT697" s="70"/>
    </row>
    <row r="698" spans="1:46">
      <c r="A698" s="70"/>
      <c r="B698" s="70"/>
      <c r="C698" s="70"/>
      <c r="D698" s="70"/>
      <c r="E698" s="70"/>
      <c r="F698" s="70"/>
      <c r="G698" s="70"/>
      <c r="H698" s="54"/>
      <c r="I698" s="70"/>
      <c r="J698" s="70"/>
      <c r="K698" s="70"/>
      <c r="L698" s="70"/>
      <c r="M698" s="70"/>
      <c r="N698" s="70"/>
      <c r="O698" s="70"/>
      <c r="P698" s="70"/>
      <c r="Q698" s="70"/>
      <c r="R698" s="70"/>
      <c r="S698" s="70"/>
      <c r="T698" s="70"/>
      <c r="U698" s="70"/>
      <c r="V698" s="70"/>
      <c r="W698" s="70"/>
      <c r="X698" s="70"/>
      <c r="Y698" s="70"/>
      <c r="Z698" s="70"/>
      <c r="AA698" s="70"/>
      <c r="AB698" s="70"/>
      <c r="AC698" s="70"/>
      <c r="AD698" s="70"/>
      <c r="AE698" s="70"/>
      <c r="AF698" s="70"/>
      <c r="AG698" s="70"/>
      <c r="AH698" s="70"/>
      <c r="AI698" s="70"/>
      <c r="AJ698" s="70"/>
      <c r="AK698" s="70"/>
      <c r="AL698" s="70"/>
      <c r="AM698" s="70"/>
      <c r="AN698" s="70"/>
      <c r="AO698" s="70"/>
      <c r="AP698" s="70"/>
      <c r="AQ698" s="70"/>
      <c r="AR698" s="70"/>
      <c r="AS698" s="70"/>
      <c r="AT698" s="70"/>
    </row>
    <row r="699" spans="1:46">
      <c r="A699" s="70"/>
      <c r="B699" s="70"/>
      <c r="C699" s="70"/>
      <c r="D699" s="70"/>
      <c r="E699" s="70"/>
      <c r="F699" s="70"/>
      <c r="G699" s="70"/>
      <c r="H699" s="54"/>
      <c r="I699" s="70"/>
      <c r="J699" s="70"/>
      <c r="K699" s="70"/>
      <c r="L699" s="70"/>
      <c r="M699" s="70"/>
      <c r="N699" s="70"/>
      <c r="O699" s="70"/>
      <c r="P699" s="70"/>
      <c r="Q699" s="70"/>
      <c r="R699" s="70"/>
      <c r="S699" s="70"/>
      <c r="T699" s="70"/>
      <c r="U699" s="70"/>
      <c r="V699" s="70"/>
      <c r="W699" s="70"/>
      <c r="X699" s="70"/>
      <c r="Y699" s="70"/>
      <c r="Z699" s="70"/>
      <c r="AA699" s="70"/>
      <c r="AB699" s="70"/>
      <c r="AC699" s="70"/>
      <c r="AD699" s="70"/>
      <c r="AE699" s="70"/>
      <c r="AF699" s="70"/>
      <c r="AG699" s="70"/>
      <c r="AH699" s="70"/>
      <c r="AI699" s="70"/>
      <c r="AJ699" s="70"/>
      <c r="AK699" s="70"/>
      <c r="AL699" s="70"/>
      <c r="AM699" s="70"/>
      <c r="AN699" s="70"/>
      <c r="AO699" s="70"/>
      <c r="AP699" s="70"/>
      <c r="AQ699" s="70"/>
      <c r="AR699" s="70"/>
      <c r="AS699" s="70"/>
      <c r="AT699" s="70"/>
    </row>
    <row r="700" spans="1:46">
      <c r="A700" s="70"/>
      <c r="B700" s="70"/>
      <c r="C700" s="70"/>
      <c r="D700" s="70"/>
      <c r="E700" s="70"/>
      <c r="F700" s="70"/>
      <c r="G700" s="70"/>
      <c r="H700" s="54"/>
      <c r="I700" s="70"/>
      <c r="J700" s="70"/>
      <c r="K700" s="70"/>
      <c r="L700" s="70"/>
      <c r="M700" s="70"/>
      <c r="N700" s="70"/>
      <c r="O700" s="70"/>
      <c r="P700" s="70"/>
      <c r="Q700" s="70"/>
      <c r="R700" s="70"/>
      <c r="S700" s="70"/>
      <c r="T700" s="70"/>
      <c r="U700" s="70"/>
      <c r="V700" s="70"/>
      <c r="W700" s="70"/>
      <c r="X700" s="70"/>
      <c r="Y700" s="70"/>
      <c r="Z700" s="70"/>
      <c r="AA700" s="70"/>
      <c r="AB700" s="70"/>
      <c r="AC700" s="70"/>
      <c r="AD700" s="70"/>
      <c r="AE700" s="70"/>
      <c r="AF700" s="70"/>
      <c r="AG700" s="70"/>
      <c r="AH700" s="70"/>
      <c r="AI700" s="70"/>
      <c r="AJ700" s="70"/>
      <c r="AK700" s="70"/>
      <c r="AL700" s="70"/>
      <c r="AM700" s="70"/>
      <c r="AN700" s="70"/>
      <c r="AO700" s="70"/>
      <c r="AP700" s="70"/>
      <c r="AQ700" s="70"/>
      <c r="AR700" s="70"/>
      <c r="AS700" s="70"/>
      <c r="AT700" s="70"/>
    </row>
    <row r="701" spans="1:46">
      <c r="A701" s="70"/>
      <c r="B701" s="70"/>
      <c r="C701" s="70"/>
      <c r="D701" s="70"/>
      <c r="E701" s="70"/>
      <c r="F701" s="70"/>
      <c r="G701" s="70"/>
      <c r="H701" s="54"/>
      <c r="I701" s="70"/>
      <c r="J701" s="70"/>
      <c r="K701" s="70"/>
      <c r="L701" s="70"/>
      <c r="M701" s="70"/>
      <c r="N701" s="70"/>
      <c r="O701" s="70"/>
      <c r="P701" s="70"/>
      <c r="Q701" s="70"/>
      <c r="R701" s="70"/>
      <c r="S701" s="70"/>
      <c r="T701" s="70"/>
      <c r="U701" s="70"/>
      <c r="V701" s="70"/>
      <c r="W701" s="70"/>
      <c r="X701" s="70"/>
      <c r="Y701" s="70"/>
      <c r="Z701" s="70"/>
      <c r="AA701" s="70"/>
      <c r="AB701" s="70"/>
      <c r="AC701" s="70"/>
      <c r="AD701" s="70"/>
      <c r="AE701" s="70"/>
      <c r="AF701" s="70"/>
      <c r="AG701" s="70"/>
      <c r="AH701" s="70"/>
      <c r="AI701" s="70"/>
      <c r="AJ701" s="70"/>
      <c r="AK701" s="70"/>
      <c r="AL701" s="70"/>
      <c r="AM701" s="70"/>
      <c r="AN701" s="70"/>
      <c r="AO701" s="70"/>
      <c r="AP701" s="70"/>
      <c r="AQ701" s="70"/>
      <c r="AR701" s="70"/>
      <c r="AS701" s="70"/>
      <c r="AT701" s="70"/>
    </row>
    <row r="702" spans="1:46">
      <c r="A702" s="70"/>
      <c r="B702" s="70"/>
      <c r="C702" s="70"/>
      <c r="D702" s="70"/>
      <c r="E702" s="70"/>
      <c r="F702" s="70"/>
      <c r="G702" s="70"/>
      <c r="H702" s="54"/>
      <c r="I702" s="70"/>
      <c r="J702" s="70"/>
      <c r="K702" s="70"/>
      <c r="L702" s="70"/>
      <c r="M702" s="70"/>
      <c r="N702" s="70"/>
      <c r="O702" s="70"/>
      <c r="P702" s="70"/>
      <c r="Q702" s="70"/>
      <c r="R702" s="70"/>
      <c r="S702" s="70"/>
      <c r="T702" s="70"/>
      <c r="U702" s="70"/>
      <c r="V702" s="70"/>
      <c r="W702" s="70"/>
      <c r="X702" s="70"/>
      <c r="Y702" s="70"/>
      <c r="Z702" s="70"/>
      <c r="AA702" s="70"/>
      <c r="AB702" s="70"/>
      <c r="AC702" s="70"/>
      <c r="AD702" s="70"/>
      <c r="AE702" s="70"/>
      <c r="AF702" s="70"/>
      <c r="AG702" s="70"/>
      <c r="AH702" s="70"/>
      <c r="AI702" s="70"/>
      <c r="AJ702" s="70"/>
      <c r="AK702" s="70"/>
      <c r="AL702" s="70"/>
      <c r="AM702" s="70"/>
      <c r="AN702" s="70"/>
      <c r="AO702" s="70"/>
      <c r="AP702" s="70"/>
      <c r="AQ702" s="70"/>
      <c r="AR702" s="70"/>
      <c r="AS702" s="70"/>
      <c r="AT702" s="70"/>
    </row>
    <row r="703" spans="1:46">
      <c r="A703" s="70"/>
      <c r="B703" s="70"/>
      <c r="C703" s="70"/>
      <c r="D703" s="70"/>
      <c r="E703" s="70"/>
      <c r="F703" s="70"/>
      <c r="G703" s="70"/>
      <c r="H703" s="54"/>
      <c r="I703" s="70"/>
      <c r="J703" s="70"/>
      <c r="K703" s="70"/>
      <c r="L703" s="70"/>
      <c r="M703" s="70"/>
      <c r="N703" s="70"/>
      <c r="O703" s="70"/>
      <c r="P703" s="70"/>
      <c r="Q703" s="70"/>
      <c r="R703" s="70"/>
      <c r="S703" s="70"/>
      <c r="T703" s="70"/>
      <c r="U703" s="70"/>
      <c r="V703" s="70"/>
      <c r="W703" s="70"/>
      <c r="X703" s="70"/>
      <c r="Y703" s="70"/>
      <c r="Z703" s="70"/>
      <c r="AA703" s="70"/>
      <c r="AB703" s="70"/>
      <c r="AC703" s="70"/>
      <c r="AD703" s="70"/>
      <c r="AE703" s="70"/>
      <c r="AF703" s="70"/>
      <c r="AG703" s="70"/>
      <c r="AH703" s="70"/>
      <c r="AI703" s="70"/>
      <c r="AJ703" s="70"/>
      <c r="AK703" s="70"/>
      <c r="AL703" s="70"/>
      <c r="AM703" s="70"/>
      <c r="AN703" s="70"/>
      <c r="AO703" s="70"/>
      <c r="AP703" s="70"/>
      <c r="AQ703" s="70"/>
      <c r="AR703" s="70"/>
      <c r="AS703" s="70"/>
      <c r="AT703" s="70"/>
    </row>
    <row r="704" spans="1:46">
      <c r="A704" s="70"/>
      <c r="B704" s="70"/>
      <c r="C704" s="70"/>
      <c r="D704" s="70"/>
      <c r="E704" s="70"/>
      <c r="F704" s="70"/>
      <c r="G704" s="70"/>
      <c r="H704" s="54"/>
      <c r="I704" s="70"/>
      <c r="J704" s="70"/>
      <c r="K704" s="70"/>
      <c r="L704" s="70"/>
      <c r="M704" s="70"/>
      <c r="N704" s="70"/>
      <c r="O704" s="70"/>
      <c r="P704" s="70"/>
      <c r="Q704" s="70"/>
      <c r="R704" s="70"/>
      <c r="S704" s="70"/>
      <c r="T704" s="70"/>
      <c r="U704" s="70"/>
      <c r="V704" s="70"/>
      <c r="W704" s="70"/>
      <c r="X704" s="70"/>
      <c r="Y704" s="70"/>
      <c r="Z704" s="70"/>
      <c r="AA704" s="70"/>
      <c r="AB704" s="70"/>
      <c r="AC704" s="70"/>
      <c r="AD704" s="70"/>
      <c r="AE704" s="70"/>
      <c r="AF704" s="70"/>
      <c r="AG704" s="70"/>
      <c r="AH704" s="70"/>
      <c r="AI704" s="70"/>
      <c r="AJ704" s="70"/>
      <c r="AK704" s="70"/>
      <c r="AL704" s="70"/>
      <c r="AM704" s="70"/>
      <c r="AN704" s="70"/>
      <c r="AO704" s="70"/>
      <c r="AP704" s="70"/>
      <c r="AQ704" s="70"/>
      <c r="AR704" s="70"/>
      <c r="AS704" s="70"/>
      <c r="AT704" s="70"/>
    </row>
    <row r="705" spans="1:46">
      <c r="A705" s="70"/>
      <c r="B705" s="70"/>
      <c r="C705" s="70"/>
      <c r="D705" s="70"/>
      <c r="E705" s="70"/>
      <c r="F705" s="70"/>
      <c r="G705" s="70"/>
      <c r="H705" s="54"/>
      <c r="I705" s="70"/>
      <c r="J705" s="70"/>
      <c r="K705" s="70"/>
      <c r="L705" s="70"/>
      <c r="M705" s="70"/>
      <c r="N705" s="70"/>
      <c r="O705" s="70"/>
      <c r="P705" s="70"/>
      <c r="Q705" s="70"/>
      <c r="R705" s="70"/>
      <c r="S705" s="70"/>
      <c r="T705" s="70"/>
      <c r="U705" s="70"/>
      <c r="V705" s="70"/>
      <c r="W705" s="70"/>
      <c r="X705" s="70"/>
      <c r="Y705" s="70"/>
      <c r="Z705" s="70"/>
      <c r="AA705" s="70"/>
      <c r="AB705" s="70"/>
      <c r="AC705" s="70"/>
      <c r="AD705" s="70"/>
      <c r="AE705" s="70"/>
      <c r="AF705" s="70"/>
      <c r="AG705" s="70"/>
      <c r="AH705" s="70"/>
      <c r="AI705" s="70"/>
      <c r="AJ705" s="70"/>
      <c r="AK705" s="70"/>
      <c r="AL705" s="70"/>
      <c r="AM705" s="70"/>
      <c r="AN705" s="70"/>
      <c r="AO705" s="70"/>
      <c r="AP705" s="70"/>
      <c r="AQ705" s="70"/>
      <c r="AR705" s="70"/>
      <c r="AS705" s="70"/>
      <c r="AT705" s="70"/>
    </row>
    <row r="706" spans="1:46">
      <c r="A706" s="70"/>
      <c r="B706" s="70"/>
      <c r="C706" s="70"/>
      <c r="D706" s="70"/>
      <c r="E706" s="70"/>
      <c r="F706" s="70"/>
      <c r="G706" s="70"/>
      <c r="H706" s="54"/>
      <c r="I706" s="70"/>
      <c r="J706" s="70"/>
      <c r="K706" s="70"/>
      <c r="L706" s="70"/>
      <c r="M706" s="70"/>
      <c r="N706" s="70"/>
      <c r="O706" s="70"/>
      <c r="P706" s="70"/>
      <c r="Q706" s="70"/>
      <c r="R706" s="70"/>
      <c r="S706" s="70"/>
      <c r="T706" s="70"/>
      <c r="U706" s="70"/>
      <c r="V706" s="70"/>
      <c r="W706" s="70"/>
      <c r="X706" s="70"/>
      <c r="Y706" s="70"/>
      <c r="Z706" s="70"/>
      <c r="AA706" s="70"/>
      <c r="AB706" s="70"/>
      <c r="AC706" s="70"/>
      <c r="AD706" s="70"/>
      <c r="AE706" s="70"/>
      <c r="AF706" s="70"/>
      <c r="AG706" s="70"/>
      <c r="AH706" s="70"/>
      <c r="AI706" s="70"/>
      <c r="AJ706" s="70"/>
      <c r="AK706" s="70"/>
      <c r="AL706" s="70"/>
      <c r="AM706" s="70"/>
      <c r="AN706" s="70"/>
      <c r="AO706" s="70"/>
      <c r="AP706" s="70"/>
      <c r="AQ706" s="70"/>
      <c r="AR706" s="70"/>
      <c r="AS706" s="70"/>
      <c r="AT706" s="70"/>
    </row>
    <row r="707" spans="1:46">
      <c r="A707" s="70"/>
      <c r="B707" s="70"/>
      <c r="C707" s="70"/>
      <c r="D707" s="70"/>
      <c r="E707" s="70"/>
      <c r="F707" s="70"/>
      <c r="G707" s="70"/>
      <c r="H707" s="54"/>
      <c r="I707" s="70"/>
      <c r="J707" s="70"/>
      <c r="K707" s="70"/>
      <c r="L707" s="70"/>
      <c r="M707" s="70"/>
      <c r="N707" s="70"/>
      <c r="O707" s="70"/>
      <c r="P707" s="70"/>
      <c r="Q707" s="70"/>
      <c r="R707" s="70"/>
      <c r="S707" s="70"/>
      <c r="T707" s="70"/>
      <c r="U707" s="70"/>
      <c r="V707" s="70"/>
      <c r="W707" s="70"/>
      <c r="X707" s="70"/>
      <c r="Y707" s="70"/>
      <c r="Z707" s="70"/>
      <c r="AA707" s="70"/>
      <c r="AB707" s="70"/>
      <c r="AC707" s="70"/>
      <c r="AD707" s="70"/>
      <c r="AE707" s="70"/>
      <c r="AF707" s="70"/>
      <c r="AG707" s="70"/>
      <c r="AH707" s="70"/>
      <c r="AI707" s="70"/>
      <c r="AJ707" s="70"/>
      <c r="AK707" s="70"/>
      <c r="AL707" s="70"/>
      <c r="AM707" s="70"/>
      <c r="AN707" s="70"/>
      <c r="AO707" s="70"/>
      <c r="AP707" s="70"/>
      <c r="AQ707" s="70"/>
      <c r="AR707" s="70"/>
      <c r="AS707" s="70"/>
      <c r="AT707" s="70"/>
    </row>
    <row r="708" spans="1:46">
      <c r="A708" s="70"/>
      <c r="B708" s="70"/>
      <c r="C708" s="70"/>
      <c r="D708" s="70"/>
      <c r="E708" s="70"/>
      <c r="F708" s="70"/>
      <c r="G708" s="70"/>
      <c r="H708" s="54"/>
      <c r="I708" s="70"/>
      <c r="J708" s="70"/>
      <c r="K708" s="70"/>
      <c r="L708" s="70"/>
      <c r="M708" s="70"/>
      <c r="N708" s="70"/>
      <c r="O708" s="70"/>
      <c r="P708" s="70"/>
      <c r="Q708" s="70"/>
      <c r="R708" s="70"/>
      <c r="S708" s="70"/>
      <c r="T708" s="70"/>
      <c r="U708" s="70"/>
      <c r="V708" s="70"/>
      <c r="W708" s="70"/>
      <c r="X708" s="70"/>
      <c r="Y708" s="70"/>
      <c r="Z708" s="70"/>
      <c r="AA708" s="70"/>
      <c r="AB708" s="70"/>
      <c r="AC708" s="70"/>
      <c r="AD708" s="70"/>
      <c r="AE708" s="70"/>
      <c r="AF708" s="70"/>
      <c r="AG708" s="70"/>
      <c r="AH708" s="70"/>
      <c r="AI708" s="70"/>
      <c r="AJ708" s="70"/>
      <c r="AK708" s="70"/>
      <c r="AL708" s="70"/>
      <c r="AM708" s="70"/>
      <c r="AN708" s="70"/>
      <c r="AO708" s="70"/>
      <c r="AP708" s="70"/>
      <c r="AQ708" s="70"/>
      <c r="AR708" s="70"/>
      <c r="AS708" s="70"/>
      <c r="AT708" s="70"/>
    </row>
    <row r="709" spans="1:46">
      <c r="A709" s="70"/>
      <c r="B709" s="70"/>
      <c r="C709" s="70"/>
      <c r="D709" s="70"/>
      <c r="E709" s="70"/>
      <c r="F709" s="70"/>
      <c r="G709" s="70"/>
      <c r="H709" s="54"/>
      <c r="I709" s="70"/>
      <c r="J709" s="70"/>
      <c r="K709" s="70"/>
      <c r="L709" s="70"/>
      <c r="M709" s="70"/>
      <c r="N709" s="70"/>
      <c r="O709" s="70"/>
      <c r="P709" s="70"/>
      <c r="Q709" s="70"/>
      <c r="R709" s="70"/>
      <c r="S709" s="70"/>
      <c r="T709" s="70"/>
      <c r="U709" s="70"/>
      <c r="V709" s="70"/>
      <c r="W709" s="70"/>
      <c r="X709" s="70"/>
      <c r="Y709" s="70"/>
      <c r="Z709" s="70"/>
      <c r="AA709" s="70"/>
      <c r="AB709" s="70"/>
      <c r="AC709" s="70"/>
      <c r="AD709" s="70"/>
      <c r="AE709" s="70"/>
      <c r="AF709" s="70"/>
      <c r="AG709" s="70"/>
      <c r="AH709" s="70"/>
      <c r="AI709" s="70"/>
      <c r="AJ709" s="70"/>
      <c r="AK709" s="70"/>
      <c r="AL709" s="70"/>
      <c r="AM709" s="70"/>
      <c r="AN709" s="70"/>
      <c r="AO709" s="70"/>
      <c r="AP709" s="70"/>
      <c r="AQ709" s="70"/>
      <c r="AR709" s="70"/>
      <c r="AS709" s="70"/>
      <c r="AT709" s="70"/>
    </row>
    <row r="710" spans="1:46">
      <c r="A710" s="70"/>
      <c r="B710" s="70"/>
      <c r="C710" s="70"/>
      <c r="D710" s="70"/>
      <c r="E710" s="70"/>
      <c r="F710" s="70"/>
      <c r="G710" s="70"/>
      <c r="H710" s="54"/>
      <c r="I710" s="70"/>
      <c r="J710" s="70"/>
      <c r="K710" s="70"/>
      <c r="L710" s="70"/>
      <c r="M710" s="70"/>
      <c r="N710" s="70"/>
      <c r="O710" s="70"/>
      <c r="P710" s="70"/>
      <c r="Q710" s="70"/>
      <c r="R710" s="70"/>
      <c r="S710" s="70"/>
      <c r="T710" s="70"/>
      <c r="U710" s="70"/>
      <c r="V710" s="70"/>
      <c r="W710" s="70"/>
      <c r="X710" s="70"/>
      <c r="Y710" s="70"/>
      <c r="Z710" s="70"/>
      <c r="AA710" s="70"/>
      <c r="AB710" s="70"/>
      <c r="AC710" s="70"/>
      <c r="AD710" s="70"/>
      <c r="AE710" s="70"/>
      <c r="AF710" s="70"/>
      <c r="AG710" s="70"/>
      <c r="AH710" s="70"/>
      <c r="AI710" s="70"/>
      <c r="AJ710" s="70"/>
      <c r="AK710" s="70"/>
      <c r="AL710" s="70"/>
      <c r="AM710" s="70"/>
      <c r="AN710" s="70"/>
      <c r="AO710" s="70"/>
      <c r="AP710" s="70"/>
      <c r="AQ710" s="70"/>
      <c r="AR710" s="70"/>
      <c r="AS710" s="70"/>
      <c r="AT710" s="70"/>
    </row>
    <row r="711" spans="1:46">
      <c r="A711" s="70"/>
      <c r="B711" s="70"/>
      <c r="C711" s="70"/>
      <c r="D711" s="70"/>
      <c r="E711" s="70"/>
      <c r="F711" s="70"/>
      <c r="G711" s="70"/>
      <c r="H711" s="54"/>
      <c r="I711" s="70"/>
      <c r="J711" s="70"/>
      <c r="K711" s="70"/>
      <c r="L711" s="70"/>
      <c r="M711" s="70"/>
      <c r="N711" s="70"/>
      <c r="O711" s="70"/>
      <c r="P711" s="70"/>
      <c r="Q711" s="70"/>
      <c r="R711" s="70"/>
      <c r="S711" s="70"/>
      <c r="T711" s="70"/>
      <c r="U711" s="70"/>
      <c r="V711" s="70"/>
      <c r="W711" s="70"/>
      <c r="X711" s="70"/>
      <c r="Y711" s="70"/>
      <c r="Z711" s="70"/>
      <c r="AA711" s="70"/>
      <c r="AB711" s="70"/>
      <c r="AC711" s="70"/>
      <c r="AD711" s="70"/>
      <c r="AE711" s="70"/>
      <c r="AF711" s="70"/>
      <c r="AG711" s="70"/>
      <c r="AH711" s="70"/>
      <c r="AI711" s="70"/>
      <c r="AJ711" s="70"/>
      <c r="AK711" s="70"/>
      <c r="AL711" s="70"/>
      <c r="AM711" s="70"/>
      <c r="AN711" s="70"/>
      <c r="AO711" s="70"/>
      <c r="AP711" s="70"/>
      <c r="AQ711" s="70"/>
      <c r="AR711" s="70"/>
      <c r="AS711" s="70"/>
      <c r="AT711" s="70"/>
    </row>
    <row r="712" spans="1:46">
      <c r="A712" s="70"/>
      <c r="B712" s="70"/>
      <c r="C712" s="70"/>
      <c r="D712" s="70"/>
      <c r="E712" s="70"/>
      <c r="F712" s="70"/>
      <c r="G712" s="70"/>
      <c r="H712" s="54"/>
      <c r="I712" s="70"/>
      <c r="J712" s="70"/>
      <c r="K712" s="70"/>
      <c r="L712" s="70"/>
      <c r="M712" s="70"/>
      <c r="N712" s="70"/>
      <c r="O712" s="70"/>
      <c r="P712" s="70"/>
      <c r="Q712" s="70"/>
      <c r="R712" s="70"/>
      <c r="S712" s="70"/>
      <c r="T712" s="70"/>
      <c r="U712" s="70"/>
      <c r="V712" s="70"/>
      <c r="W712" s="70"/>
      <c r="X712" s="70"/>
      <c r="Y712" s="70"/>
      <c r="Z712" s="70"/>
      <c r="AA712" s="70"/>
      <c r="AB712" s="70"/>
      <c r="AC712" s="70"/>
      <c r="AD712" s="70"/>
      <c r="AE712" s="70"/>
      <c r="AF712" s="70"/>
      <c r="AG712" s="70"/>
      <c r="AH712" s="70"/>
      <c r="AI712" s="70"/>
      <c r="AJ712" s="70"/>
      <c r="AK712" s="70"/>
      <c r="AL712" s="70"/>
      <c r="AM712" s="70"/>
      <c r="AN712" s="70"/>
      <c r="AO712" s="70"/>
      <c r="AP712" s="70"/>
      <c r="AQ712" s="70"/>
      <c r="AR712" s="70"/>
      <c r="AS712" s="70"/>
      <c r="AT712" s="70"/>
    </row>
    <row r="713" spans="1:46">
      <c r="A713" s="70"/>
      <c r="B713" s="70"/>
      <c r="C713" s="70"/>
      <c r="D713" s="70"/>
      <c r="E713" s="70"/>
      <c r="F713" s="70"/>
      <c r="G713" s="70"/>
      <c r="H713" s="54"/>
      <c r="I713" s="70"/>
      <c r="J713" s="70"/>
      <c r="K713" s="70"/>
      <c r="L713" s="70"/>
      <c r="M713" s="70"/>
      <c r="N713" s="70"/>
      <c r="O713" s="70"/>
      <c r="P713" s="70"/>
      <c r="Q713" s="70"/>
      <c r="R713" s="70"/>
      <c r="S713" s="70"/>
      <c r="T713" s="70"/>
      <c r="U713" s="70"/>
      <c r="V713" s="70"/>
      <c r="W713" s="70"/>
      <c r="X713" s="70"/>
      <c r="Y713" s="70"/>
      <c r="Z713" s="70"/>
      <c r="AA713" s="70"/>
      <c r="AB713" s="70"/>
      <c r="AC713" s="70"/>
      <c r="AD713" s="70"/>
      <c r="AE713" s="70"/>
      <c r="AF713" s="70"/>
      <c r="AG713" s="70"/>
      <c r="AH713" s="70"/>
      <c r="AI713" s="70"/>
      <c r="AJ713" s="70"/>
      <c r="AK713" s="70"/>
      <c r="AL713" s="70"/>
      <c r="AM713" s="70"/>
      <c r="AN713" s="70"/>
      <c r="AO713" s="70"/>
      <c r="AP713" s="70"/>
      <c r="AQ713" s="70"/>
      <c r="AR713" s="70"/>
      <c r="AS713" s="70"/>
      <c r="AT713" s="70"/>
    </row>
    <row r="714" spans="1:46">
      <c r="A714" s="70"/>
      <c r="B714" s="70"/>
      <c r="C714" s="70"/>
      <c r="D714" s="70"/>
      <c r="E714" s="70"/>
      <c r="F714" s="70"/>
      <c r="G714" s="70"/>
      <c r="H714" s="54"/>
      <c r="I714" s="70"/>
      <c r="J714" s="70"/>
      <c r="K714" s="70"/>
      <c r="L714" s="70"/>
      <c r="M714" s="70"/>
      <c r="N714" s="70"/>
      <c r="O714" s="70"/>
      <c r="P714" s="70"/>
      <c r="Q714" s="70"/>
      <c r="R714" s="70"/>
      <c r="S714" s="70"/>
      <c r="T714" s="70"/>
      <c r="U714" s="70"/>
      <c r="V714" s="70"/>
      <c r="W714" s="70"/>
      <c r="X714" s="70"/>
      <c r="Y714" s="70"/>
      <c r="Z714" s="70"/>
      <c r="AA714" s="70"/>
      <c r="AB714" s="70"/>
      <c r="AC714" s="70"/>
      <c r="AD714" s="70"/>
      <c r="AE714" s="70"/>
      <c r="AF714" s="70"/>
      <c r="AG714" s="70"/>
      <c r="AH714" s="70"/>
      <c r="AI714" s="70"/>
      <c r="AJ714" s="70"/>
      <c r="AK714" s="70"/>
      <c r="AL714" s="70"/>
      <c r="AM714" s="70"/>
      <c r="AN714" s="70"/>
      <c r="AO714" s="70"/>
      <c r="AP714" s="70"/>
      <c r="AQ714" s="70"/>
      <c r="AR714" s="70"/>
      <c r="AS714" s="70"/>
      <c r="AT714" s="70"/>
    </row>
    <row r="715" spans="1:46">
      <c r="A715" s="70"/>
      <c r="B715" s="70"/>
      <c r="C715" s="70"/>
      <c r="D715" s="70"/>
      <c r="E715" s="70"/>
      <c r="F715" s="70"/>
      <c r="G715" s="70"/>
      <c r="H715" s="54"/>
      <c r="I715" s="70"/>
      <c r="J715" s="70"/>
      <c r="K715" s="70"/>
      <c r="L715" s="70"/>
      <c r="M715" s="70"/>
      <c r="N715" s="70"/>
      <c r="O715" s="70"/>
      <c r="P715" s="70"/>
      <c r="Q715" s="70"/>
      <c r="R715" s="70"/>
      <c r="S715" s="70"/>
      <c r="T715" s="70"/>
      <c r="U715" s="70"/>
      <c r="V715" s="70"/>
      <c r="W715" s="70"/>
      <c r="X715" s="70"/>
      <c r="Y715" s="70"/>
      <c r="Z715" s="70"/>
      <c r="AA715" s="70"/>
      <c r="AB715" s="70"/>
      <c r="AC715" s="70"/>
      <c r="AD715" s="70"/>
      <c r="AE715" s="70"/>
      <c r="AF715" s="70"/>
      <c r="AG715" s="70"/>
      <c r="AH715" s="70"/>
      <c r="AI715" s="70"/>
      <c r="AJ715" s="70"/>
      <c r="AK715" s="70"/>
      <c r="AL715" s="70"/>
      <c r="AM715" s="70"/>
      <c r="AN715" s="70"/>
      <c r="AO715" s="70"/>
      <c r="AP715" s="70"/>
      <c r="AQ715" s="70"/>
      <c r="AR715" s="70"/>
      <c r="AS715" s="70"/>
      <c r="AT715" s="70"/>
    </row>
    <row r="716" spans="1:46">
      <c r="A716" s="70"/>
      <c r="B716" s="70"/>
      <c r="C716" s="70"/>
      <c r="D716" s="70"/>
      <c r="E716" s="70"/>
      <c r="F716" s="70"/>
      <c r="G716" s="70"/>
      <c r="H716" s="54"/>
      <c r="I716" s="70"/>
      <c r="J716" s="70"/>
      <c r="K716" s="70"/>
      <c r="L716" s="70"/>
      <c r="M716" s="70"/>
      <c r="N716" s="70"/>
      <c r="O716" s="70"/>
      <c r="P716" s="70"/>
      <c r="Q716" s="70"/>
      <c r="R716" s="70"/>
      <c r="S716" s="70"/>
      <c r="T716" s="70"/>
      <c r="U716" s="70"/>
      <c r="V716" s="70"/>
      <c r="W716" s="70"/>
      <c r="X716" s="70"/>
      <c r="Y716" s="70"/>
      <c r="Z716" s="70"/>
      <c r="AA716" s="70"/>
      <c r="AB716" s="70"/>
      <c r="AC716" s="70"/>
      <c r="AD716" s="70"/>
      <c r="AE716" s="70"/>
      <c r="AF716" s="70"/>
      <c r="AG716" s="70"/>
      <c r="AH716" s="70"/>
      <c r="AI716" s="70"/>
      <c r="AJ716" s="70"/>
      <c r="AK716" s="70"/>
      <c r="AL716" s="70"/>
      <c r="AM716" s="70"/>
      <c r="AN716" s="70"/>
      <c r="AO716" s="70"/>
      <c r="AP716" s="70"/>
      <c r="AQ716" s="70"/>
      <c r="AR716" s="70"/>
      <c r="AS716" s="70"/>
      <c r="AT716" s="70"/>
    </row>
    <row r="717" spans="1:46">
      <c r="A717" s="70"/>
      <c r="B717" s="70"/>
      <c r="C717" s="70"/>
      <c r="D717" s="70"/>
      <c r="E717" s="70"/>
      <c r="F717" s="70"/>
      <c r="G717" s="70"/>
      <c r="H717" s="54"/>
      <c r="I717" s="70"/>
      <c r="J717" s="70"/>
      <c r="K717" s="70"/>
      <c r="L717" s="70"/>
      <c r="M717" s="70"/>
      <c r="N717" s="70"/>
      <c r="O717" s="70"/>
      <c r="P717" s="70"/>
      <c r="Q717" s="70"/>
      <c r="R717" s="70"/>
      <c r="S717" s="70"/>
      <c r="T717" s="70"/>
      <c r="U717" s="70"/>
      <c r="V717" s="70"/>
      <c r="W717" s="70"/>
      <c r="X717" s="70"/>
      <c r="Y717" s="70"/>
      <c r="Z717" s="70"/>
      <c r="AA717" s="70"/>
      <c r="AB717" s="70"/>
      <c r="AC717" s="70"/>
      <c r="AD717" s="70"/>
      <c r="AE717" s="70"/>
      <c r="AF717" s="70"/>
      <c r="AG717" s="70"/>
      <c r="AH717" s="70"/>
      <c r="AI717" s="70"/>
      <c r="AJ717" s="70"/>
      <c r="AK717" s="70"/>
      <c r="AL717" s="70"/>
      <c r="AM717" s="70"/>
      <c r="AN717" s="70"/>
      <c r="AO717" s="70"/>
      <c r="AP717" s="70"/>
      <c r="AQ717" s="70"/>
      <c r="AR717" s="70"/>
      <c r="AS717" s="70"/>
      <c r="AT717" s="70"/>
    </row>
    <row r="718" spans="1:46">
      <c r="A718" s="70"/>
      <c r="B718" s="70"/>
      <c r="C718" s="70"/>
      <c r="D718" s="70"/>
      <c r="E718" s="70"/>
      <c r="F718" s="70"/>
      <c r="G718" s="70"/>
      <c r="H718" s="54"/>
      <c r="I718" s="70"/>
      <c r="J718" s="70"/>
      <c r="K718" s="70"/>
      <c r="L718" s="70"/>
      <c r="M718" s="70"/>
      <c r="N718" s="70"/>
      <c r="O718" s="70"/>
      <c r="P718" s="70"/>
      <c r="Q718" s="70"/>
      <c r="R718" s="70"/>
      <c r="S718" s="70"/>
      <c r="T718" s="70"/>
      <c r="U718" s="70"/>
      <c r="V718" s="70"/>
      <c r="W718" s="70"/>
      <c r="X718" s="70"/>
      <c r="Y718" s="70"/>
      <c r="Z718" s="70"/>
      <c r="AA718" s="70"/>
      <c r="AB718" s="70"/>
      <c r="AC718" s="70"/>
      <c r="AD718" s="70"/>
      <c r="AE718" s="70"/>
      <c r="AF718" s="70"/>
      <c r="AG718" s="70"/>
      <c r="AH718" s="70"/>
      <c r="AI718" s="70"/>
      <c r="AJ718" s="70"/>
      <c r="AK718" s="70"/>
      <c r="AL718" s="70"/>
      <c r="AM718" s="70"/>
      <c r="AN718" s="70"/>
      <c r="AO718" s="70"/>
      <c r="AP718" s="70"/>
      <c r="AQ718" s="70"/>
      <c r="AR718" s="70"/>
      <c r="AS718" s="70"/>
      <c r="AT718" s="70"/>
    </row>
    <row r="719" spans="1:46">
      <c r="A719" s="70"/>
      <c r="B719" s="70"/>
      <c r="C719" s="70"/>
      <c r="D719" s="70"/>
      <c r="E719" s="70"/>
      <c r="F719" s="70"/>
      <c r="G719" s="70"/>
      <c r="H719" s="54"/>
      <c r="I719" s="70"/>
      <c r="J719" s="70"/>
      <c r="K719" s="70"/>
      <c r="L719" s="70"/>
      <c r="M719" s="70"/>
      <c r="N719" s="70"/>
      <c r="O719" s="70"/>
      <c r="P719" s="70"/>
      <c r="Q719" s="70"/>
      <c r="R719" s="70"/>
      <c r="S719" s="70"/>
      <c r="T719" s="70"/>
      <c r="U719" s="70"/>
      <c r="V719" s="70"/>
      <c r="W719" s="70"/>
      <c r="X719" s="70"/>
      <c r="Y719" s="70"/>
      <c r="Z719" s="70"/>
      <c r="AA719" s="70"/>
      <c r="AB719" s="70"/>
      <c r="AC719" s="70"/>
      <c r="AD719" s="70"/>
      <c r="AE719" s="70"/>
      <c r="AF719" s="70"/>
      <c r="AG719" s="70"/>
      <c r="AH719" s="70"/>
      <c r="AI719" s="70"/>
      <c r="AJ719" s="70"/>
      <c r="AK719" s="70"/>
      <c r="AL719" s="70"/>
      <c r="AM719" s="70"/>
      <c r="AN719" s="70"/>
      <c r="AO719" s="70"/>
      <c r="AP719" s="70"/>
      <c r="AQ719" s="70"/>
      <c r="AR719" s="70"/>
      <c r="AS719" s="70"/>
      <c r="AT719" s="70"/>
    </row>
    <row r="720" spans="1:46">
      <c r="A720" s="70"/>
      <c r="B720" s="70"/>
      <c r="C720" s="70"/>
      <c r="D720" s="70"/>
      <c r="E720" s="70"/>
      <c r="F720" s="70"/>
      <c r="G720" s="70"/>
      <c r="H720" s="54"/>
      <c r="I720" s="70"/>
      <c r="J720" s="70"/>
      <c r="K720" s="70"/>
      <c r="L720" s="70"/>
      <c r="M720" s="70"/>
      <c r="N720" s="70"/>
      <c r="O720" s="70"/>
      <c r="P720" s="70"/>
      <c r="Q720" s="70"/>
      <c r="R720" s="70"/>
      <c r="S720" s="70"/>
      <c r="T720" s="70"/>
      <c r="U720" s="70"/>
      <c r="V720" s="70"/>
      <c r="W720" s="70"/>
      <c r="X720" s="70"/>
      <c r="Y720" s="70"/>
      <c r="Z720" s="70"/>
      <c r="AA720" s="70"/>
      <c r="AB720" s="70"/>
      <c r="AC720" s="70"/>
      <c r="AD720" s="70"/>
      <c r="AE720" s="70"/>
      <c r="AF720" s="70"/>
      <c r="AG720" s="70"/>
      <c r="AH720" s="70"/>
      <c r="AI720" s="70"/>
      <c r="AJ720" s="70"/>
      <c r="AK720" s="70"/>
      <c r="AL720" s="70"/>
      <c r="AM720" s="70"/>
      <c r="AN720" s="70"/>
      <c r="AO720" s="70"/>
      <c r="AP720" s="70"/>
      <c r="AQ720" s="70"/>
      <c r="AR720" s="70"/>
      <c r="AS720" s="70"/>
      <c r="AT720" s="70"/>
    </row>
    <row r="721" spans="1:46">
      <c r="A721" s="70"/>
      <c r="B721" s="70"/>
      <c r="C721" s="70"/>
      <c r="D721" s="70"/>
      <c r="E721" s="70"/>
      <c r="F721" s="70"/>
      <c r="G721" s="70"/>
      <c r="H721" s="54"/>
      <c r="I721" s="70"/>
      <c r="J721" s="70"/>
      <c r="K721" s="70"/>
      <c r="L721" s="70"/>
      <c r="M721" s="70"/>
      <c r="N721" s="70"/>
      <c r="O721" s="70"/>
      <c r="P721" s="70"/>
      <c r="Q721" s="70"/>
      <c r="R721" s="70"/>
      <c r="S721" s="70"/>
      <c r="T721" s="70"/>
      <c r="U721" s="70"/>
      <c r="V721" s="70"/>
      <c r="W721" s="70"/>
      <c r="X721" s="70"/>
      <c r="Y721" s="70"/>
      <c r="Z721" s="70"/>
      <c r="AA721" s="70"/>
      <c r="AB721" s="70"/>
      <c r="AC721" s="70"/>
      <c r="AD721" s="70"/>
      <c r="AE721" s="70"/>
      <c r="AF721" s="70"/>
      <c r="AG721" s="70"/>
      <c r="AH721" s="70"/>
      <c r="AI721" s="70"/>
      <c r="AJ721" s="70"/>
      <c r="AK721" s="70"/>
      <c r="AL721" s="70"/>
      <c r="AM721" s="70"/>
      <c r="AN721" s="70"/>
      <c r="AO721" s="70"/>
      <c r="AP721" s="70"/>
      <c r="AQ721" s="70"/>
      <c r="AR721" s="70"/>
      <c r="AS721" s="70"/>
      <c r="AT721" s="70"/>
    </row>
    <row r="722" spans="1:46">
      <c r="A722" s="70"/>
      <c r="B722" s="70"/>
      <c r="C722" s="70"/>
      <c r="D722" s="70"/>
      <c r="E722" s="70"/>
      <c r="F722" s="70"/>
      <c r="G722" s="70"/>
      <c r="H722" s="54"/>
      <c r="I722" s="70"/>
      <c r="J722" s="70"/>
      <c r="K722" s="70"/>
      <c r="L722" s="70"/>
      <c r="M722" s="70"/>
      <c r="N722" s="70"/>
      <c r="O722" s="70"/>
      <c r="P722" s="70"/>
      <c r="Q722" s="70"/>
      <c r="R722" s="70"/>
      <c r="S722" s="70"/>
      <c r="T722" s="70"/>
      <c r="U722" s="70"/>
      <c r="V722" s="70"/>
      <c r="W722" s="70"/>
      <c r="X722" s="70"/>
      <c r="Y722" s="70"/>
      <c r="Z722" s="70"/>
      <c r="AA722" s="70"/>
      <c r="AB722" s="70"/>
      <c r="AC722" s="70"/>
      <c r="AD722" s="70"/>
      <c r="AE722" s="70"/>
      <c r="AF722" s="70"/>
      <c r="AG722" s="70"/>
      <c r="AH722" s="70"/>
      <c r="AI722" s="70"/>
      <c r="AJ722" s="70"/>
      <c r="AK722" s="70"/>
      <c r="AL722" s="70"/>
      <c r="AM722" s="70"/>
      <c r="AN722" s="70"/>
      <c r="AO722" s="70"/>
      <c r="AP722" s="70"/>
      <c r="AQ722" s="70"/>
      <c r="AR722" s="70"/>
      <c r="AS722" s="70"/>
      <c r="AT722" s="70"/>
    </row>
    <row r="723" spans="1:46">
      <c r="A723" s="70"/>
      <c r="B723" s="70"/>
      <c r="C723" s="70"/>
      <c r="D723" s="70"/>
      <c r="E723" s="70"/>
      <c r="F723" s="70"/>
      <c r="G723" s="70"/>
      <c r="H723" s="54"/>
      <c r="I723" s="70"/>
      <c r="J723" s="70"/>
      <c r="K723" s="70"/>
      <c r="L723" s="70"/>
      <c r="M723" s="70"/>
      <c r="N723" s="70"/>
      <c r="O723" s="70"/>
      <c r="P723" s="70"/>
      <c r="Q723" s="70"/>
      <c r="R723" s="70"/>
      <c r="S723" s="70"/>
      <c r="T723" s="70"/>
      <c r="U723" s="70"/>
      <c r="V723" s="70"/>
      <c r="W723" s="70"/>
      <c r="X723" s="70"/>
      <c r="Y723" s="70"/>
      <c r="Z723" s="70"/>
      <c r="AA723" s="70"/>
      <c r="AB723" s="70"/>
      <c r="AC723" s="70"/>
      <c r="AD723" s="70"/>
      <c r="AE723" s="70"/>
      <c r="AF723" s="70"/>
      <c r="AG723" s="70"/>
      <c r="AH723" s="70"/>
      <c r="AI723" s="70"/>
      <c r="AJ723" s="70"/>
      <c r="AK723" s="70"/>
      <c r="AL723" s="70"/>
      <c r="AM723" s="70"/>
      <c r="AN723" s="70"/>
      <c r="AO723" s="70"/>
      <c r="AP723" s="70"/>
      <c r="AQ723" s="70"/>
      <c r="AR723" s="70"/>
      <c r="AS723" s="70"/>
      <c r="AT723" s="70"/>
    </row>
    <row r="724" spans="1:46">
      <c r="A724" s="70"/>
      <c r="B724" s="70"/>
      <c r="C724" s="70"/>
      <c r="D724" s="70"/>
      <c r="E724" s="70"/>
      <c r="F724" s="70"/>
      <c r="G724" s="70"/>
      <c r="H724" s="54"/>
      <c r="I724" s="70"/>
      <c r="J724" s="70"/>
      <c r="K724" s="70"/>
      <c r="L724" s="70"/>
      <c r="M724" s="70"/>
      <c r="N724" s="70"/>
      <c r="O724" s="70"/>
      <c r="P724" s="70"/>
      <c r="Q724" s="70"/>
      <c r="R724" s="70"/>
      <c r="S724" s="70"/>
      <c r="T724" s="70"/>
      <c r="U724" s="70"/>
      <c r="V724" s="70"/>
      <c r="W724" s="70"/>
      <c r="X724" s="70"/>
      <c r="Y724" s="70"/>
      <c r="Z724" s="70"/>
      <c r="AA724" s="70"/>
      <c r="AB724" s="70"/>
      <c r="AC724" s="70"/>
      <c r="AD724" s="70"/>
      <c r="AE724" s="70"/>
      <c r="AF724" s="70"/>
      <c r="AG724" s="70"/>
      <c r="AH724" s="70"/>
      <c r="AI724" s="70"/>
      <c r="AJ724" s="70"/>
      <c r="AK724" s="70"/>
      <c r="AL724" s="70"/>
      <c r="AM724" s="70"/>
      <c r="AN724" s="70"/>
      <c r="AO724" s="70"/>
      <c r="AP724" s="70"/>
      <c r="AQ724" s="70"/>
      <c r="AR724" s="70"/>
      <c r="AS724" s="70"/>
      <c r="AT724" s="70"/>
    </row>
    <row r="725" spans="1:46">
      <c r="A725" s="70"/>
      <c r="B725" s="70"/>
      <c r="C725" s="70"/>
      <c r="D725" s="70"/>
      <c r="E725" s="70"/>
      <c r="F725" s="70"/>
      <c r="G725" s="70"/>
      <c r="H725" s="54"/>
      <c r="I725" s="70"/>
      <c r="J725" s="70"/>
      <c r="K725" s="70"/>
      <c r="L725" s="70"/>
      <c r="M725" s="70"/>
      <c r="N725" s="70"/>
      <c r="O725" s="70"/>
      <c r="P725" s="70"/>
      <c r="Q725" s="70"/>
      <c r="R725" s="70"/>
      <c r="S725" s="70"/>
      <c r="T725" s="70"/>
      <c r="U725" s="70"/>
      <c r="V725" s="70"/>
      <c r="W725" s="70"/>
      <c r="X725" s="70"/>
      <c r="Y725" s="70"/>
      <c r="Z725" s="70"/>
      <c r="AA725" s="70"/>
      <c r="AB725" s="70"/>
      <c r="AC725" s="70"/>
      <c r="AD725" s="70"/>
      <c r="AE725" s="70"/>
      <c r="AF725" s="70"/>
      <c r="AG725" s="70"/>
      <c r="AH725" s="70"/>
      <c r="AI725" s="70"/>
      <c r="AJ725" s="70"/>
      <c r="AK725" s="70"/>
      <c r="AL725" s="70"/>
      <c r="AM725" s="70"/>
      <c r="AN725" s="70"/>
      <c r="AO725" s="70"/>
      <c r="AP725" s="70"/>
      <c r="AQ725" s="70"/>
      <c r="AR725" s="70"/>
      <c r="AS725" s="70"/>
      <c r="AT725" s="70"/>
    </row>
    <row r="726" spans="1:46">
      <c r="A726" s="70"/>
      <c r="B726" s="70"/>
      <c r="C726" s="70"/>
      <c r="D726" s="70"/>
      <c r="E726" s="70"/>
      <c r="F726" s="70"/>
      <c r="G726" s="70"/>
      <c r="H726" s="54"/>
      <c r="I726" s="70"/>
      <c r="J726" s="70"/>
      <c r="K726" s="70"/>
      <c r="L726" s="70"/>
      <c r="M726" s="70"/>
      <c r="N726" s="70"/>
      <c r="O726" s="70"/>
      <c r="P726" s="70"/>
      <c r="Q726" s="70"/>
      <c r="R726" s="70"/>
      <c r="S726" s="70"/>
      <c r="T726" s="70"/>
      <c r="U726" s="70"/>
      <c r="V726" s="70"/>
      <c r="W726" s="70"/>
      <c r="X726" s="70"/>
      <c r="Y726" s="70"/>
      <c r="Z726" s="70"/>
      <c r="AA726" s="70"/>
      <c r="AB726" s="70"/>
      <c r="AC726" s="70"/>
      <c r="AD726" s="70"/>
      <c r="AE726" s="70"/>
      <c r="AF726" s="70"/>
      <c r="AG726" s="70"/>
      <c r="AH726" s="70"/>
      <c r="AI726" s="70"/>
      <c r="AJ726" s="70"/>
      <c r="AK726" s="70"/>
      <c r="AL726" s="70"/>
      <c r="AM726" s="70"/>
      <c r="AN726" s="70"/>
      <c r="AO726" s="70"/>
      <c r="AP726" s="70"/>
      <c r="AQ726" s="70"/>
      <c r="AR726" s="70"/>
      <c r="AS726" s="70"/>
      <c r="AT726" s="70"/>
    </row>
    <row r="727" spans="1:46">
      <c r="A727" s="70"/>
      <c r="B727" s="70"/>
      <c r="C727" s="70"/>
      <c r="D727" s="70"/>
      <c r="E727" s="70"/>
      <c r="F727" s="70"/>
      <c r="G727" s="70"/>
      <c r="H727" s="54"/>
      <c r="I727" s="70"/>
      <c r="J727" s="70"/>
      <c r="K727" s="70"/>
      <c r="L727" s="70"/>
      <c r="M727" s="70"/>
      <c r="N727" s="70"/>
      <c r="O727" s="70"/>
      <c r="P727" s="70"/>
      <c r="Q727" s="70"/>
      <c r="R727" s="70"/>
      <c r="S727" s="70"/>
      <c r="T727" s="70"/>
      <c r="U727" s="70"/>
      <c r="V727" s="70"/>
      <c r="W727" s="70"/>
      <c r="X727" s="70"/>
      <c r="Y727" s="70"/>
      <c r="Z727" s="70"/>
      <c r="AA727" s="70"/>
      <c r="AB727" s="70"/>
      <c r="AC727" s="70"/>
      <c r="AD727" s="70"/>
      <c r="AE727" s="70"/>
      <c r="AF727" s="70"/>
      <c r="AG727" s="70"/>
      <c r="AH727" s="70"/>
      <c r="AI727" s="70"/>
      <c r="AJ727" s="70"/>
      <c r="AK727" s="70"/>
      <c r="AL727" s="70"/>
      <c r="AM727" s="70"/>
      <c r="AN727" s="70"/>
      <c r="AO727" s="70"/>
      <c r="AP727" s="70"/>
      <c r="AQ727" s="70"/>
      <c r="AR727" s="70"/>
      <c r="AS727" s="70"/>
      <c r="AT727" s="70"/>
    </row>
    <row r="728" spans="1:46">
      <c r="A728" s="70"/>
      <c r="B728" s="70"/>
      <c r="C728" s="70"/>
      <c r="D728" s="70"/>
      <c r="E728" s="70"/>
      <c r="F728" s="70"/>
      <c r="G728" s="70"/>
      <c r="H728" s="54"/>
      <c r="I728" s="70"/>
      <c r="J728" s="70"/>
      <c r="K728" s="70"/>
      <c r="L728" s="70"/>
      <c r="M728" s="70"/>
      <c r="N728" s="70"/>
      <c r="O728" s="70"/>
      <c r="P728" s="70"/>
      <c r="Q728" s="70"/>
      <c r="R728" s="70"/>
      <c r="S728" s="70"/>
      <c r="T728" s="70"/>
      <c r="U728" s="70"/>
      <c r="V728" s="70"/>
      <c r="W728" s="70"/>
      <c r="X728" s="70"/>
      <c r="Y728" s="70"/>
      <c r="Z728" s="70"/>
      <c r="AA728" s="70"/>
      <c r="AB728" s="70"/>
      <c r="AC728" s="70"/>
      <c r="AD728" s="70"/>
      <c r="AE728" s="70"/>
      <c r="AF728" s="70"/>
      <c r="AG728" s="70"/>
      <c r="AH728" s="70"/>
      <c r="AI728" s="70"/>
      <c r="AJ728" s="70"/>
      <c r="AK728" s="70"/>
      <c r="AL728" s="70"/>
      <c r="AM728" s="70"/>
      <c r="AN728" s="70"/>
      <c r="AO728" s="70"/>
      <c r="AP728" s="70"/>
      <c r="AQ728" s="70"/>
      <c r="AR728" s="70"/>
      <c r="AS728" s="70"/>
      <c r="AT728" s="70"/>
    </row>
    <row r="729" spans="1:46">
      <c r="A729" s="70"/>
      <c r="B729" s="70"/>
      <c r="C729" s="70"/>
      <c r="D729" s="70"/>
      <c r="E729" s="70"/>
      <c r="F729" s="70"/>
      <c r="G729" s="70"/>
      <c r="H729" s="54"/>
      <c r="I729" s="70"/>
      <c r="J729" s="70"/>
      <c r="K729" s="70"/>
      <c r="L729" s="70"/>
      <c r="M729" s="70"/>
      <c r="N729" s="70"/>
      <c r="O729" s="70"/>
      <c r="P729" s="70"/>
      <c r="Q729" s="70"/>
      <c r="R729" s="70"/>
      <c r="S729" s="70"/>
      <c r="T729" s="70"/>
      <c r="U729" s="70"/>
      <c r="V729" s="70"/>
      <c r="W729" s="70"/>
      <c r="X729" s="70"/>
      <c r="Y729" s="70"/>
      <c r="Z729" s="70"/>
      <c r="AA729" s="70"/>
      <c r="AB729" s="70"/>
      <c r="AC729" s="70"/>
      <c r="AD729" s="70"/>
      <c r="AE729" s="70"/>
      <c r="AF729" s="70"/>
      <c r="AG729" s="70"/>
      <c r="AH729" s="70"/>
      <c r="AI729" s="70"/>
      <c r="AJ729" s="70"/>
      <c r="AK729" s="70"/>
      <c r="AL729" s="70"/>
      <c r="AM729" s="70"/>
      <c r="AN729" s="70"/>
      <c r="AO729" s="70"/>
      <c r="AP729" s="70"/>
      <c r="AQ729" s="70"/>
      <c r="AR729" s="70"/>
      <c r="AS729" s="70"/>
      <c r="AT729" s="70"/>
    </row>
    <row r="730" spans="1:46">
      <c r="A730" s="70"/>
      <c r="B730" s="70"/>
      <c r="C730" s="70"/>
      <c r="D730" s="70"/>
      <c r="E730" s="70"/>
      <c r="F730" s="70"/>
      <c r="G730" s="70"/>
      <c r="H730" s="54"/>
      <c r="I730" s="70"/>
      <c r="J730" s="70"/>
      <c r="K730" s="70"/>
      <c r="L730" s="70"/>
      <c r="M730" s="70"/>
      <c r="N730" s="70"/>
      <c r="O730" s="70"/>
      <c r="P730" s="70"/>
      <c r="Q730" s="70"/>
      <c r="R730" s="70"/>
      <c r="S730" s="70"/>
      <c r="T730" s="70"/>
      <c r="U730" s="70"/>
      <c r="V730" s="70"/>
      <c r="W730" s="70"/>
      <c r="X730" s="70"/>
      <c r="Y730" s="70"/>
      <c r="Z730" s="70"/>
      <c r="AA730" s="70"/>
      <c r="AB730" s="70"/>
      <c r="AC730" s="70"/>
      <c r="AD730" s="70"/>
      <c r="AE730" s="70"/>
      <c r="AF730" s="70"/>
      <c r="AG730" s="70"/>
      <c r="AH730" s="70"/>
      <c r="AI730" s="70"/>
      <c r="AJ730" s="70"/>
      <c r="AK730" s="70"/>
      <c r="AL730" s="70"/>
      <c r="AM730" s="70"/>
      <c r="AN730" s="70"/>
      <c r="AO730" s="70"/>
      <c r="AP730" s="70"/>
      <c r="AQ730" s="70"/>
      <c r="AR730" s="70"/>
      <c r="AS730" s="70"/>
      <c r="AT730" s="70"/>
    </row>
    <row r="731" spans="1:46">
      <c r="A731" s="70"/>
      <c r="B731" s="70"/>
      <c r="C731" s="70"/>
      <c r="D731" s="70"/>
      <c r="E731" s="70"/>
      <c r="F731" s="70"/>
      <c r="G731" s="70"/>
      <c r="H731" s="54"/>
      <c r="I731" s="70"/>
      <c r="J731" s="70"/>
      <c r="K731" s="70"/>
      <c r="L731" s="70"/>
      <c r="M731" s="70"/>
      <c r="N731" s="70"/>
      <c r="O731" s="70"/>
      <c r="P731" s="70"/>
      <c r="Q731" s="70"/>
      <c r="R731" s="70"/>
      <c r="S731" s="70"/>
      <c r="T731" s="70"/>
      <c r="U731" s="70"/>
      <c r="V731" s="70"/>
      <c r="W731" s="70"/>
      <c r="X731" s="70"/>
      <c r="Y731" s="70"/>
      <c r="Z731" s="70"/>
      <c r="AA731" s="70"/>
      <c r="AB731" s="70"/>
      <c r="AC731" s="70"/>
      <c r="AD731" s="70"/>
      <c r="AE731" s="70"/>
      <c r="AF731" s="70"/>
      <c r="AG731" s="70"/>
      <c r="AH731" s="70"/>
      <c r="AI731" s="70"/>
      <c r="AJ731" s="70"/>
      <c r="AK731" s="70"/>
      <c r="AL731" s="70"/>
      <c r="AM731" s="70"/>
      <c r="AN731" s="70"/>
      <c r="AO731" s="70"/>
      <c r="AP731" s="70"/>
      <c r="AQ731" s="70"/>
      <c r="AR731" s="70"/>
      <c r="AS731" s="70"/>
      <c r="AT731" s="70"/>
    </row>
    <row r="732" spans="1:46">
      <c r="A732" s="70"/>
      <c r="B732" s="70"/>
      <c r="C732" s="70"/>
      <c r="D732" s="70"/>
      <c r="E732" s="70"/>
      <c r="F732" s="70"/>
      <c r="G732" s="70"/>
      <c r="H732" s="54"/>
      <c r="I732" s="70"/>
      <c r="J732" s="70"/>
      <c r="K732" s="70"/>
      <c r="L732" s="70"/>
      <c r="M732" s="70"/>
      <c r="N732" s="70"/>
      <c r="O732" s="70"/>
      <c r="P732" s="70"/>
      <c r="Q732" s="70"/>
      <c r="R732" s="70"/>
      <c r="S732" s="70"/>
      <c r="T732" s="70"/>
      <c r="U732" s="70"/>
      <c r="V732" s="70"/>
      <c r="W732" s="70"/>
      <c r="X732" s="70"/>
      <c r="Y732" s="70"/>
      <c r="Z732" s="70"/>
      <c r="AA732" s="70"/>
      <c r="AB732" s="70"/>
      <c r="AC732" s="70"/>
      <c r="AD732" s="70"/>
      <c r="AE732" s="70"/>
      <c r="AF732" s="70"/>
      <c r="AG732" s="70"/>
      <c r="AH732" s="70"/>
      <c r="AI732" s="70"/>
      <c r="AJ732" s="70"/>
      <c r="AK732" s="70"/>
      <c r="AL732" s="70"/>
      <c r="AM732" s="70"/>
      <c r="AN732" s="70"/>
      <c r="AO732" s="70"/>
      <c r="AP732" s="70"/>
      <c r="AQ732" s="70"/>
      <c r="AR732" s="70"/>
      <c r="AS732" s="70"/>
      <c r="AT732" s="70"/>
    </row>
    <row r="733" spans="1:46">
      <c r="A733" s="70"/>
      <c r="B733" s="70"/>
      <c r="C733" s="70"/>
      <c r="D733" s="70"/>
      <c r="E733" s="70"/>
      <c r="F733" s="70"/>
      <c r="G733" s="70"/>
      <c r="H733" s="54"/>
      <c r="I733" s="70"/>
      <c r="J733" s="70"/>
      <c r="K733" s="70"/>
      <c r="L733" s="70"/>
      <c r="M733" s="70"/>
      <c r="N733" s="70"/>
      <c r="O733" s="70"/>
      <c r="P733" s="70"/>
      <c r="Q733" s="70"/>
      <c r="R733" s="70"/>
      <c r="S733" s="70"/>
      <c r="T733" s="70"/>
      <c r="U733" s="70"/>
      <c r="V733" s="70"/>
      <c r="W733" s="70"/>
      <c r="X733" s="70"/>
      <c r="Y733" s="70"/>
      <c r="Z733" s="70"/>
      <c r="AA733" s="70"/>
      <c r="AB733" s="70"/>
      <c r="AC733" s="70"/>
      <c r="AD733" s="70"/>
      <c r="AE733" s="70"/>
      <c r="AF733" s="70"/>
      <c r="AG733" s="70"/>
      <c r="AH733" s="70"/>
      <c r="AI733" s="70"/>
      <c r="AJ733" s="70"/>
      <c r="AK733" s="70"/>
      <c r="AL733" s="70"/>
      <c r="AM733" s="70"/>
      <c r="AN733" s="70"/>
      <c r="AO733" s="70"/>
      <c r="AP733" s="70"/>
      <c r="AQ733" s="70"/>
      <c r="AR733" s="70"/>
      <c r="AS733" s="70"/>
      <c r="AT733" s="70"/>
    </row>
    <row r="734" spans="1:46">
      <c r="A734" s="70"/>
      <c r="B734" s="70"/>
      <c r="C734" s="70"/>
      <c r="D734" s="70"/>
      <c r="E734" s="70"/>
      <c r="F734" s="70"/>
      <c r="G734" s="70"/>
      <c r="H734" s="54"/>
      <c r="I734" s="70"/>
      <c r="J734" s="70"/>
      <c r="K734" s="70"/>
      <c r="L734" s="70"/>
      <c r="M734" s="70"/>
      <c r="N734" s="70"/>
      <c r="O734" s="70"/>
      <c r="P734" s="70"/>
      <c r="Q734" s="70"/>
      <c r="R734" s="70"/>
      <c r="S734" s="70"/>
      <c r="T734" s="70"/>
      <c r="U734" s="70"/>
      <c r="V734" s="70"/>
      <c r="W734" s="70"/>
      <c r="X734" s="70"/>
      <c r="Y734" s="70"/>
      <c r="Z734" s="70"/>
      <c r="AA734" s="70"/>
      <c r="AB734" s="70"/>
      <c r="AC734" s="70"/>
      <c r="AD734" s="70"/>
      <c r="AE734" s="70"/>
      <c r="AF734" s="70"/>
      <c r="AG734" s="70"/>
      <c r="AH734" s="70"/>
      <c r="AI734" s="70"/>
      <c r="AJ734" s="70"/>
      <c r="AK734" s="70"/>
      <c r="AL734" s="70"/>
      <c r="AM734" s="70"/>
      <c r="AN734" s="70"/>
      <c r="AO734" s="70"/>
      <c r="AP734" s="70"/>
      <c r="AQ734" s="70"/>
      <c r="AR734" s="70"/>
      <c r="AS734" s="70"/>
      <c r="AT734" s="70"/>
    </row>
    <row r="735" spans="1:46">
      <c r="A735" s="70"/>
      <c r="B735" s="70"/>
      <c r="C735" s="70"/>
      <c r="D735" s="70"/>
      <c r="E735" s="70"/>
      <c r="F735" s="70"/>
      <c r="G735" s="70"/>
      <c r="H735" s="54"/>
      <c r="I735" s="70"/>
      <c r="J735" s="70"/>
      <c r="K735" s="70"/>
      <c r="L735" s="70"/>
      <c r="M735" s="70"/>
      <c r="N735" s="70"/>
      <c r="O735" s="70"/>
      <c r="P735" s="70"/>
      <c r="Q735" s="70"/>
      <c r="R735" s="70"/>
      <c r="S735" s="70"/>
      <c r="T735" s="70"/>
      <c r="U735" s="70"/>
      <c r="V735" s="70"/>
      <c r="W735" s="70"/>
      <c r="X735" s="70"/>
      <c r="Y735" s="70"/>
      <c r="Z735" s="70"/>
      <c r="AA735" s="70"/>
      <c r="AB735" s="70"/>
      <c r="AC735" s="70"/>
      <c r="AD735" s="70"/>
      <c r="AE735" s="70"/>
      <c r="AF735" s="70"/>
      <c r="AG735" s="70"/>
      <c r="AH735" s="70"/>
      <c r="AI735" s="70"/>
      <c r="AJ735" s="70"/>
      <c r="AK735" s="70"/>
      <c r="AL735" s="70"/>
      <c r="AM735" s="70"/>
      <c r="AN735" s="70"/>
      <c r="AO735" s="70"/>
      <c r="AP735" s="70"/>
      <c r="AQ735" s="70"/>
      <c r="AR735" s="70"/>
      <c r="AS735" s="70"/>
      <c r="AT735" s="70"/>
    </row>
    <row r="736" spans="1:46">
      <c r="A736" s="70"/>
      <c r="B736" s="70"/>
      <c r="C736" s="70"/>
      <c r="D736" s="70"/>
      <c r="E736" s="70"/>
      <c r="F736" s="70"/>
      <c r="G736" s="70"/>
      <c r="H736" s="54"/>
      <c r="I736" s="70"/>
      <c r="J736" s="70"/>
      <c r="K736" s="70"/>
      <c r="L736" s="70"/>
      <c r="M736" s="70"/>
      <c r="N736" s="70"/>
      <c r="O736" s="70"/>
      <c r="P736" s="70"/>
      <c r="Q736" s="70"/>
      <c r="R736" s="70"/>
      <c r="S736" s="70"/>
      <c r="T736" s="70"/>
      <c r="U736" s="70"/>
      <c r="V736" s="70"/>
      <c r="W736" s="70"/>
      <c r="X736" s="70"/>
      <c r="Y736" s="70"/>
      <c r="Z736" s="70"/>
      <c r="AA736" s="70"/>
      <c r="AB736" s="70"/>
      <c r="AC736" s="70"/>
      <c r="AD736" s="70"/>
      <c r="AE736" s="70"/>
      <c r="AF736" s="70"/>
      <c r="AG736" s="70"/>
      <c r="AH736" s="70"/>
      <c r="AI736" s="70"/>
      <c r="AJ736" s="70"/>
      <c r="AK736" s="70"/>
      <c r="AL736" s="70"/>
      <c r="AM736" s="70"/>
      <c r="AN736" s="70"/>
      <c r="AO736" s="70"/>
      <c r="AP736" s="70"/>
      <c r="AQ736" s="70"/>
      <c r="AR736" s="70"/>
      <c r="AS736" s="70"/>
      <c r="AT736" s="70"/>
    </row>
    <row r="737" spans="1:46">
      <c r="A737" s="70"/>
      <c r="B737" s="70"/>
      <c r="C737" s="70"/>
      <c r="D737" s="70"/>
      <c r="E737" s="70"/>
      <c r="F737" s="70"/>
      <c r="G737" s="70"/>
      <c r="H737" s="54"/>
      <c r="I737" s="70"/>
      <c r="J737" s="70"/>
      <c r="K737" s="70"/>
      <c r="L737" s="70"/>
      <c r="M737" s="70"/>
      <c r="N737" s="70"/>
      <c r="O737" s="70"/>
      <c r="P737" s="70"/>
      <c r="Q737" s="70"/>
      <c r="R737" s="70"/>
      <c r="S737" s="70"/>
      <c r="T737" s="70"/>
      <c r="U737" s="70"/>
      <c r="V737" s="70"/>
      <c r="W737" s="70"/>
      <c r="X737" s="70"/>
      <c r="Y737" s="70"/>
      <c r="Z737" s="70"/>
      <c r="AA737" s="70"/>
      <c r="AB737" s="70"/>
      <c r="AC737" s="70"/>
      <c r="AD737" s="70"/>
      <c r="AE737" s="70"/>
      <c r="AF737" s="70"/>
      <c r="AG737" s="70"/>
      <c r="AH737" s="70"/>
      <c r="AI737" s="70"/>
      <c r="AJ737" s="70"/>
      <c r="AK737" s="70"/>
      <c r="AL737" s="70"/>
      <c r="AM737" s="70"/>
      <c r="AN737" s="70"/>
      <c r="AO737" s="70"/>
      <c r="AP737" s="70"/>
      <c r="AQ737" s="70"/>
      <c r="AR737" s="70"/>
      <c r="AS737" s="70"/>
      <c r="AT737" s="70"/>
    </row>
    <row r="738" spans="1:46">
      <c r="A738" s="70"/>
      <c r="B738" s="70"/>
      <c r="C738" s="70"/>
      <c r="D738" s="70"/>
      <c r="E738" s="70"/>
      <c r="F738" s="70"/>
      <c r="G738" s="70"/>
      <c r="H738" s="54"/>
      <c r="I738" s="70"/>
      <c r="J738" s="70"/>
      <c r="K738" s="70"/>
      <c r="L738" s="70"/>
      <c r="M738" s="70"/>
      <c r="N738" s="70"/>
      <c r="O738" s="70"/>
      <c r="P738" s="70"/>
      <c r="Q738" s="70"/>
      <c r="R738" s="70"/>
      <c r="S738" s="70"/>
      <c r="T738" s="70"/>
      <c r="U738" s="70"/>
      <c r="V738" s="70"/>
      <c r="W738" s="70"/>
      <c r="X738" s="70"/>
      <c r="Y738" s="70"/>
      <c r="Z738" s="70"/>
      <c r="AA738" s="70"/>
      <c r="AB738" s="70"/>
      <c r="AC738" s="70"/>
      <c r="AD738" s="70"/>
      <c r="AE738" s="70"/>
      <c r="AF738" s="70"/>
      <c r="AG738" s="70"/>
      <c r="AH738" s="70"/>
      <c r="AI738" s="70"/>
      <c r="AJ738" s="70"/>
      <c r="AK738" s="70"/>
      <c r="AL738" s="70"/>
      <c r="AM738" s="70"/>
      <c r="AN738" s="70"/>
      <c r="AO738" s="70"/>
      <c r="AP738" s="70"/>
      <c r="AQ738" s="70"/>
      <c r="AR738" s="70"/>
      <c r="AS738" s="70"/>
      <c r="AT738" s="70"/>
    </row>
    <row r="739" spans="1:46">
      <c r="A739" s="70"/>
      <c r="B739" s="70"/>
      <c r="C739" s="70"/>
      <c r="D739" s="70"/>
      <c r="E739" s="70"/>
      <c r="F739" s="70"/>
      <c r="G739" s="70"/>
      <c r="H739" s="54"/>
      <c r="I739" s="70"/>
      <c r="J739" s="70"/>
      <c r="K739" s="70"/>
      <c r="L739" s="70"/>
      <c r="M739" s="70"/>
      <c r="N739" s="70"/>
      <c r="O739" s="70"/>
      <c r="P739" s="70"/>
      <c r="Q739" s="70"/>
      <c r="R739" s="70"/>
      <c r="S739" s="70"/>
      <c r="T739" s="70"/>
      <c r="U739" s="70"/>
      <c r="V739" s="70"/>
      <c r="W739" s="70"/>
      <c r="X739" s="70"/>
      <c r="Y739" s="70"/>
      <c r="Z739" s="70"/>
      <c r="AA739" s="70"/>
      <c r="AB739" s="70"/>
      <c r="AC739" s="70"/>
      <c r="AD739" s="70"/>
      <c r="AE739" s="70"/>
      <c r="AF739" s="70"/>
      <c r="AG739" s="70"/>
      <c r="AH739" s="70"/>
      <c r="AI739" s="70"/>
      <c r="AJ739" s="70"/>
      <c r="AK739" s="70"/>
      <c r="AL739" s="70"/>
      <c r="AM739" s="70"/>
      <c r="AN739" s="70"/>
      <c r="AO739" s="70"/>
      <c r="AP739" s="70"/>
      <c r="AQ739" s="70"/>
      <c r="AR739" s="70"/>
      <c r="AS739" s="70"/>
      <c r="AT739" s="70"/>
    </row>
    <row r="740" spans="1:46">
      <c r="A740" s="70"/>
      <c r="B740" s="70"/>
      <c r="C740" s="70"/>
      <c r="D740" s="70"/>
      <c r="E740" s="70"/>
      <c r="F740" s="70"/>
      <c r="G740" s="70"/>
      <c r="H740" s="54"/>
      <c r="I740" s="70"/>
      <c r="J740" s="70"/>
      <c r="K740" s="70"/>
      <c r="L740" s="70"/>
      <c r="M740" s="70"/>
      <c r="N740" s="70"/>
      <c r="O740" s="70"/>
      <c r="P740" s="70"/>
      <c r="Q740" s="70"/>
      <c r="R740" s="70"/>
      <c r="S740" s="70"/>
      <c r="T740" s="70"/>
      <c r="U740" s="70"/>
      <c r="V740" s="70"/>
      <c r="W740" s="70"/>
      <c r="X740" s="70"/>
      <c r="Y740" s="70"/>
      <c r="Z740" s="70"/>
      <c r="AA740" s="70"/>
      <c r="AB740" s="70"/>
      <c r="AC740" s="70"/>
      <c r="AD740" s="70"/>
      <c r="AE740" s="70"/>
      <c r="AF740" s="70"/>
      <c r="AG740" s="70"/>
      <c r="AH740" s="70"/>
      <c r="AI740" s="70"/>
      <c r="AJ740" s="70"/>
      <c r="AK740" s="70"/>
      <c r="AL740" s="70"/>
      <c r="AM740" s="70"/>
      <c r="AN740" s="70"/>
      <c r="AO740" s="70"/>
      <c r="AP740" s="70"/>
      <c r="AQ740" s="70"/>
      <c r="AR740" s="70"/>
      <c r="AS740" s="70"/>
      <c r="AT740" s="70"/>
    </row>
    <row r="741" spans="1:46">
      <c r="A741" s="70"/>
      <c r="B741" s="70"/>
      <c r="C741" s="70"/>
      <c r="D741" s="70"/>
      <c r="E741" s="70"/>
      <c r="F741" s="70"/>
      <c r="G741" s="70"/>
      <c r="H741" s="54"/>
      <c r="I741" s="70"/>
      <c r="J741" s="70"/>
      <c r="K741" s="70"/>
      <c r="L741" s="70"/>
      <c r="M741" s="70"/>
      <c r="N741" s="70"/>
      <c r="O741" s="70"/>
      <c r="P741" s="70"/>
      <c r="Q741" s="70"/>
      <c r="R741" s="70"/>
      <c r="S741" s="70"/>
      <c r="T741" s="70"/>
      <c r="U741" s="70"/>
      <c r="V741" s="70"/>
      <c r="W741" s="70"/>
      <c r="X741" s="70"/>
      <c r="Y741" s="70"/>
      <c r="Z741" s="70"/>
      <c r="AA741" s="70"/>
      <c r="AB741" s="70"/>
      <c r="AC741" s="70"/>
      <c r="AD741" s="70"/>
      <c r="AE741" s="70"/>
      <c r="AF741" s="70"/>
      <c r="AG741" s="70"/>
      <c r="AH741" s="70"/>
      <c r="AI741" s="70"/>
      <c r="AJ741" s="70"/>
      <c r="AK741" s="70"/>
      <c r="AL741" s="70"/>
      <c r="AM741" s="70"/>
      <c r="AN741" s="70"/>
      <c r="AO741" s="70"/>
      <c r="AP741" s="70"/>
      <c r="AQ741" s="70"/>
      <c r="AR741" s="70"/>
      <c r="AS741" s="70"/>
      <c r="AT741" s="70"/>
    </row>
    <row r="742" spans="1:46">
      <c r="A742" s="70"/>
      <c r="B742" s="70"/>
      <c r="C742" s="70"/>
      <c r="D742" s="70"/>
      <c r="E742" s="70"/>
      <c r="F742" s="70"/>
      <c r="G742" s="70"/>
      <c r="H742" s="54"/>
      <c r="I742" s="70"/>
      <c r="J742" s="70"/>
      <c r="K742" s="70"/>
      <c r="L742" s="70"/>
      <c r="M742" s="70"/>
      <c r="N742" s="70"/>
      <c r="O742" s="70"/>
      <c r="P742" s="70"/>
      <c r="Q742" s="70"/>
      <c r="R742" s="70"/>
      <c r="S742" s="70"/>
      <c r="T742" s="70"/>
      <c r="U742" s="70"/>
      <c r="V742" s="70"/>
      <c r="W742" s="70"/>
      <c r="X742" s="70"/>
      <c r="Y742" s="70"/>
      <c r="Z742" s="70"/>
      <c r="AA742" s="70"/>
      <c r="AB742" s="70"/>
      <c r="AC742" s="70"/>
      <c r="AD742" s="70"/>
      <c r="AE742" s="70"/>
      <c r="AF742" s="70"/>
      <c r="AG742" s="70"/>
      <c r="AH742" s="70"/>
      <c r="AI742" s="70"/>
      <c r="AJ742" s="70"/>
      <c r="AK742" s="70"/>
      <c r="AL742" s="70"/>
      <c r="AM742" s="70"/>
      <c r="AN742" s="70"/>
      <c r="AO742" s="70"/>
      <c r="AP742" s="70"/>
      <c r="AQ742" s="70"/>
      <c r="AR742" s="70"/>
      <c r="AS742" s="70"/>
      <c r="AT742" s="70"/>
    </row>
    <row r="743" spans="1:46">
      <c r="A743" s="70"/>
      <c r="B743" s="70"/>
      <c r="C743" s="70"/>
      <c r="D743" s="70"/>
      <c r="E743" s="70"/>
      <c r="F743" s="70"/>
      <c r="G743" s="70"/>
      <c r="H743" s="54"/>
      <c r="I743" s="70"/>
      <c r="J743" s="70"/>
      <c r="K743" s="70"/>
      <c r="L743" s="70"/>
      <c r="M743" s="70"/>
      <c r="N743" s="70"/>
      <c r="O743" s="70"/>
      <c r="P743" s="70"/>
      <c r="Q743" s="70"/>
      <c r="R743" s="70"/>
      <c r="S743" s="70"/>
      <c r="T743" s="70"/>
      <c r="U743" s="70"/>
      <c r="V743" s="70"/>
      <c r="W743" s="70"/>
      <c r="X743" s="70"/>
      <c r="Y743" s="70"/>
      <c r="Z743" s="70"/>
      <c r="AA743" s="70"/>
      <c r="AB743" s="70"/>
      <c r="AC743" s="70"/>
      <c r="AD743" s="70"/>
      <c r="AE743" s="70"/>
      <c r="AF743" s="70"/>
      <c r="AG743" s="70"/>
      <c r="AH743" s="70"/>
      <c r="AI743" s="70"/>
      <c r="AJ743" s="70"/>
      <c r="AK743" s="70"/>
      <c r="AL743" s="70"/>
      <c r="AM743" s="70"/>
      <c r="AN743" s="70"/>
      <c r="AO743" s="70"/>
      <c r="AP743" s="70"/>
      <c r="AQ743" s="70"/>
      <c r="AR743" s="70"/>
      <c r="AS743" s="70"/>
      <c r="AT743" s="70"/>
    </row>
    <row r="744" spans="1:46">
      <c r="A744" s="70"/>
      <c r="B744" s="70"/>
      <c r="C744" s="70"/>
      <c r="D744" s="70"/>
      <c r="E744" s="70"/>
      <c r="F744" s="70"/>
      <c r="G744" s="70"/>
      <c r="H744" s="54"/>
      <c r="I744" s="70"/>
      <c r="J744" s="70"/>
      <c r="K744" s="70"/>
      <c r="L744" s="70"/>
      <c r="M744" s="70"/>
      <c r="N744" s="70"/>
      <c r="O744" s="70"/>
      <c r="P744" s="70"/>
      <c r="Q744" s="70"/>
      <c r="R744" s="70"/>
      <c r="S744" s="70"/>
      <c r="T744" s="70"/>
      <c r="U744" s="70"/>
      <c r="V744" s="70"/>
      <c r="W744" s="70"/>
      <c r="X744" s="70"/>
      <c r="Y744" s="70"/>
      <c r="Z744" s="70"/>
      <c r="AA744" s="70"/>
      <c r="AB744" s="70"/>
      <c r="AC744" s="70"/>
      <c r="AD744" s="70"/>
      <c r="AE744" s="70"/>
      <c r="AF744" s="70"/>
      <c r="AG744" s="70"/>
      <c r="AH744" s="70"/>
      <c r="AI744" s="70"/>
      <c r="AJ744" s="70"/>
      <c r="AK744" s="70"/>
      <c r="AL744" s="70"/>
      <c r="AM744" s="70"/>
      <c r="AN744" s="70"/>
      <c r="AO744" s="70"/>
      <c r="AP744" s="70"/>
      <c r="AQ744" s="70"/>
      <c r="AR744" s="70"/>
      <c r="AS744" s="70"/>
      <c r="AT744" s="70"/>
    </row>
    <row r="745" spans="1:46">
      <c r="A745" s="70"/>
      <c r="B745" s="70"/>
      <c r="C745" s="70"/>
      <c r="D745" s="70"/>
      <c r="E745" s="70"/>
      <c r="F745" s="70"/>
      <c r="G745" s="70"/>
      <c r="H745" s="54"/>
      <c r="I745" s="70"/>
      <c r="J745" s="70"/>
      <c r="K745" s="70"/>
      <c r="L745" s="70"/>
      <c r="M745" s="70"/>
      <c r="N745" s="70"/>
      <c r="O745" s="70"/>
      <c r="P745" s="70"/>
      <c r="Q745" s="70"/>
      <c r="R745" s="70"/>
      <c r="S745" s="70"/>
      <c r="T745" s="70"/>
      <c r="U745" s="70"/>
      <c r="V745" s="70"/>
      <c r="W745" s="70"/>
      <c r="X745" s="70"/>
      <c r="Y745" s="70"/>
      <c r="Z745" s="70"/>
      <c r="AA745" s="70"/>
      <c r="AB745" s="70"/>
      <c r="AC745" s="70"/>
      <c r="AD745" s="70"/>
      <c r="AE745" s="70"/>
      <c r="AF745" s="70"/>
      <c r="AG745" s="70"/>
      <c r="AH745" s="70"/>
      <c r="AI745" s="70"/>
      <c r="AJ745" s="70"/>
      <c r="AK745" s="70"/>
      <c r="AL745" s="70"/>
      <c r="AM745" s="70"/>
      <c r="AN745" s="70"/>
      <c r="AO745" s="70"/>
      <c r="AP745" s="70"/>
      <c r="AQ745" s="70"/>
      <c r="AR745" s="70"/>
      <c r="AS745" s="70"/>
      <c r="AT745" s="70"/>
    </row>
    <row r="746" spans="1:46">
      <c r="A746" s="70"/>
      <c r="B746" s="70"/>
      <c r="C746" s="70"/>
      <c r="D746" s="70"/>
      <c r="E746" s="70"/>
      <c r="F746" s="70"/>
      <c r="G746" s="70"/>
      <c r="H746" s="54"/>
      <c r="I746" s="70"/>
      <c r="J746" s="70"/>
      <c r="K746" s="70"/>
      <c r="L746" s="70"/>
      <c r="M746" s="70"/>
      <c r="N746" s="70"/>
      <c r="O746" s="70"/>
      <c r="P746" s="70"/>
      <c r="Q746" s="70"/>
      <c r="R746" s="70"/>
      <c r="S746" s="70"/>
      <c r="T746" s="70"/>
      <c r="U746" s="70"/>
      <c r="V746" s="70"/>
      <c r="W746" s="70"/>
      <c r="X746" s="70"/>
      <c r="Y746" s="70"/>
      <c r="Z746" s="70"/>
      <c r="AA746" s="70"/>
      <c r="AB746" s="70"/>
      <c r="AC746" s="70"/>
      <c r="AD746" s="70"/>
      <c r="AE746" s="70"/>
      <c r="AF746" s="70"/>
      <c r="AG746" s="70"/>
      <c r="AH746" s="70"/>
      <c r="AI746" s="70"/>
      <c r="AJ746" s="70"/>
      <c r="AK746" s="70"/>
      <c r="AL746" s="70"/>
      <c r="AM746" s="70"/>
      <c r="AN746" s="70"/>
      <c r="AO746" s="70"/>
      <c r="AP746" s="70"/>
      <c r="AQ746" s="70"/>
      <c r="AR746" s="70"/>
      <c r="AS746" s="70"/>
      <c r="AT746" s="70"/>
    </row>
    <row r="747" spans="1:46">
      <c r="A747" s="70"/>
      <c r="B747" s="70"/>
      <c r="C747" s="70"/>
      <c r="D747" s="70"/>
      <c r="E747" s="70"/>
      <c r="F747" s="70"/>
      <c r="G747" s="70"/>
      <c r="H747" s="54"/>
      <c r="I747" s="70"/>
      <c r="J747" s="70"/>
      <c r="K747" s="70"/>
      <c r="L747" s="70"/>
      <c r="M747" s="70"/>
      <c r="N747" s="70"/>
      <c r="O747" s="70"/>
      <c r="P747" s="70"/>
      <c r="Q747" s="70"/>
      <c r="R747" s="70"/>
      <c r="S747" s="70"/>
      <c r="T747" s="70"/>
      <c r="U747" s="70"/>
      <c r="V747" s="70"/>
      <c r="W747" s="70"/>
      <c r="X747" s="70"/>
      <c r="Y747" s="70"/>
      <c r="Z747" s="70"/>
      <c r="AA747" s="70"/>
      <c r="AB747" s="70"/>
      <c r="AC747" s="70"/>
      <c r="AD747" s="70"/>
      <c r="AE747" s="70"/>
      <c r="AF747" s="70"/>
      <c r="AG747" s="70"/>
      <c r="AH747" s="70"/>
      <c r="AI747" s="70"/>
      <c r="AJ747" s="70"/>
      <c r="AK747" s="70"/>
      <c r="AL747" s="70"/>
      <c r="AM747" s="70"/>
      <c r="AN747" s="70"/>
      <c r="AO747" s="70"/>
      <c r="AP747" s="70"/>
      <c r="AQ747" s="70"/>
      <c r="AR747" s="70"/>
      <c r="AS747" s="70"/>
      <c r="AT747" s="70"/>
    </row>
    <row r="748" spans="1:46">
      <c r="A748" s="70"/>
      <c r="B748" s="70"/>
      <c r="C748" s="70"/>
      <c r="D748" s="70"/>
      <c r="E748" s="70"/>
      <c r="F748" s="70"/>
      <c r="G748" s="70"/>
      <c r="H748" s="54"/>
      <c r="I748" s="70"/>
      <c r="J748" s="70"/>
      <c r="K748" s="70"/>
      <c r="L748" s="70"/>
      <c r="M748" s="70"/>
      <c r="N748" s="70"/>
      <c r="O748" s="70"/>
      <c r="P748" s="70"/>
      <c r="Q748" s="70"/>
      <c r="R748" s="70"/>
      <c r="S748" s="70"/>
      <c r="T748" s="70"/>
      <c r="U748" s="70"/>
      <c r="V748" s="70"/>
      <c r="W748" s="70"/>
      <c r="X748" s="70"/>
      <c r="Y748" s="70"/>
      <c r="Z748" s="70"/>
      <c r="AA748" s="70"/>
      <c r="AB748" s="70"/>
      <c r="AC748" s="70"/>
      <c r="AD748" s="70"/>
      <c r="AE748" s="70"/>
      <c r="AF748" s="70"/>
      <c r="AG748" s="70"/>
      <c r="AH748" s="70"/>
      <c r="AI748" s="70"/>
      <c r="AJ748" s="70"/>
      <c r="AK748" s="70"/>
      <c r="AL748" s="70"/>
      <c r="AM748" s="70"/>
      <c r="AN748" s="70"/>
      <c r="AO748" s="70"/>
      <c r="AP748" s="70"/>
      <c r="AQ748" s="70"/>
      <c r="AR748" s="70"/>
      <c r="AS748" s="70"/>
      <c r="AT748" s="70"/>
    </row>
    <row r="749" spans="1:46">
      <c r="A749" s="70"/>
      <c r="B749" s="70"/>
      <c r="C749" s="70"/>
      <c r="D749" s="70"/>
      <c r="E749" s="70"/>
      <c r="F749" s="70"/>
      <c r="G749" s="70"/>
      <c r="H749" s="54"/>
      <c r="I749" s="70"/>
      <c r="J749" s="70"/>
      <c r="K749" s="70"/>
      <c r="L749" s="70"/>
      <c r="M749" s="70"/>
      <c r="N749" s="70"/>
      <c r="O749" s="70"/>
      <c r="P749" s="70"/>
      <c r="Q749" s="70"/>
      <c r="R749" s="70"/>
      <c r="S749" s="70"/>
      <c r="T749" s="70"/>
      <c r="U749" s="70"/>
      <c r="V749" s="70"/>
      <c r="W749" s="70"/>
      <c r="X749" s="70"/>
      <c r="Y749" s="70"/>
      <c r="Z749" s="70"/>
      <c r="AA749" s="70"/>
      <c r="AB749" s="70"/>
      <c r="AC749" s="70"/>
      <c r="AD749" s="70"/>
      <c r="AE749" s="70"/>
      <c r="AF749" s="70"/>
      <c r="AG749" s="70"/>
      <c r="AH749" s="70"/>
      <c r="AI749" s="70"/>
      <c r="AJ749" s="70"/>
      <c r="AK749" s="70"/>
      <c r="AL749" s="70"/>
      <c r="AM749" s="70"/>
      <c r="AN749" s="70"/>
      <c r="AO749" s="70"/>
      <c r="AP749" s="70"/>
      <c r="AQ749" s="70"/>
      <c r="AR749" s="70"/>
      <c r="AS749" s="70"/>
      <c r="AT749" s="70"/>
    </row>
    <row r="750" spans="1:46">
      <c r="A750" s="70"/>
      <c r="B750" s="70"/>
      <c r="C750" s="70"/>
      <c r="D750" s="70"/>
      <c r="E750" s="70"/>
      <c r="F750" s="70"/>
      <c r="G750" s="70"/>
      <c r="H750" s="54"/>
      <c r="I750" s="70"/>
      <c r="J750" s="70"/>
      <c r="K750" s="70"/>
      <c r="L750" s="70"/>
      <c r="M750" s="70"/>
      <c r="N750" s="70"/>
      <c r="O750" s="70"/>
      <c r="P750" s="70"/>
      <c r="Q750" s="70"/>
      <c r="R750" s="70"/>
      <c r="S750" s="70"/>
      <c r="T750" s="70"/>
      <c r="U750" s="70"/>
      <c r="V750" s="70"/>
      <c r="W750" s="70"/>
      <c r="X750" s="70"/>
      <c r="Y750" s="70"/>
      <c r="Z750" s="70"/>
      <c r="AA750" s="70"/>
      <c r="AB750" s="70"/>
      <c r="AC750" s="70"/>
      <c r="AD750" s="70"/>
      <c r="AE750" s="70"/>
      <c r="AF750" s="70"/>
      <c r="AG750" s="70"/>
      <c r="AH750" s="70"/>
      <c r="AI750" s="70"/>
      <c r="AJ750" s="70"/>
      <c r="AK750" s="70"/>
      <c r="AL750" s="70"/>
      <c r="AM750" s="70"/>
      <c r="AN750" s="70"/>
      <c r="AO750" s="70"/>
      <c r="AP750" s="70"/>
      <c r="AQ750" s="70"/>
      <c r="AR750" s="70"/>
      <c r="AS750" s="70"/>
      <c r="AT750" s="70"/>
    </row>
    <row r="751" spans="1:46">
      <c r="A751" s="70"/>
      <c r="B751" s="70"/>
      <c r="C751" s="70"/>
      <c r="D751" s="70"/>
      <c r="E751" s="70"/>
      <c r="F751" s="70"/>
      <c r="G751" s="70"/>
      <c r="H751" s="54"/>
      <c r="I751" s="70"/>
      <c r="J751" s="70"/>
      <c r="K751" s="70"/>
      <c r="L751" s="70"/>
      <c r="M751" s="70"/>
      <c r="N751" s="70"/>
      <c r="O751" s="70"/>
      <c r="P751" s="70"/>
      <c r="Q751" s="70"/>
      <c r="R751" s="70"/>
      <c r="S751" s="70"/>
      <c r="T751" s="70"/>
      <c r="U751" s="70"/>
      <c r="V751" s="70"/>
      <c r="W751" s="70"/>
      <c r="X751" s="70"/>
      <c r="Y751" s="70"/>
      <c r="Z751" s="70"/>
      <c r="AA751" s="70"/>
      <c r="AB751" s="70"/>
      <c r="AC751" s="70"/>
      <c r="AD751" s="70"/>
      <c r="AE751" s="70"/>
      <c r="AF751" s="70"/>
      <c r="AG751" s="70"/>
      <c r="AH751" s="70"/>
      <c r="AI751" s="70"/>
      <c r="AJ751" s="70"/>
      <c r="AK751" s="70"/>
      <c r="AL751" s="70"/>
      <c r="AM751" s="70"/>
      <c r="AN751" s="70"/>
      <c r="AO751" s="70"/>
      <c r="AP751" s="70"/>
      <c r="AQ751" s="70"/>
      <c r="AR751" s="70"/>
      <c r="AS751" s="70"/>
      <c r="AT751" s="70"/>
    </row>
    <row r="752" spans="1:46">
      <c r="A752" s="70"/>
      <c r="B752" s="70"/>
      <c r="C752" s="70"/>
      <c r="D752" s="70"/>
      <c r="E752" s="70"/>
      <c r="F752" s="70"/>
      <c r="G752" s="70"/>
      <c r="H752" s="54"/>
      <c r="I752" s="70"/>
      <c r="J752" s="70"/>
      <c r="K752" s="70"/>
      <c r="L752" s="70"/>
      <c r="M752" s="70"/>
      <c r="N752" s="70"/>
      <c r="O752" s="70"/>
      <c r="P752" s="70"/>
      <c r="Q752" s="70"/>
      <c r="R752" s="70"/>
      <c r="S752" s="70"/>
      <c r="T752" s="70"/>
      <c r="U752" s="70"/>
      <c r="V752" s="70"/>
      <c r="W752" s="70"/>
      <c r="X752" s="70"/>
      <c r="Y752" s="70"/>
      <c r="Z752" s="70"/>
      <c r="AA752" s="70"/>
      <c r="AB752" s="70"/>
      <c r="AC752" s="70"/>
      <c r="AD752" s="70"/>
      <c r="AE752" s="70"/>
      <c r="AF752" s="70"/>
      <c r="AG752" s="70"/>
      <c r="AH752" s="70"/>
      <c r="AI752" s="70"/>
      <c r="AJ752" s="70"/>
      <c r="AK752" s="70"/>
      <c r="AL752" s="70"/>
      <c r="AM752" s="70"/>
      <c r="AN752" s="70"/>
      <c r="AO752" s="70"/>
      <c r="AP752" s="70"/>
      <c r="AQ752" s="70"/>
      <c r="AR752" s="70"/>
      <c r="AS752" s="70"/>
      <c r="AT752" s="70"/>
    </row>
    <row r="753" spans="1:46">
      <c r="A753" s="70"/>
      <c r="B753" s="70"/>
      <c r="C753" s="70"/>
      <c r="D753" s="70"/>
      <c r="E753" s="70"/>
      <c r="F753" s="70"/>
      <c r="G753" s="70"/>
      <c r="H753" s="54"/>
      <c r="I753" s="70"/>
      <c r="J753" s="70"/>
      <c r="K753" s="70"/>
      <c r="L753" s="70"/>
      <c r="M753" s="70"/>
      <c r="N753" s="70"/>
      <c r="O753" s="70"/>
      <c r="P753" s="70"/>
      <c r="Q753" s="70"/>
      <c r="R753" s="70"/>
      <c r="S753" s="70"/>
      <c r="T753" s="70"/>
      <c r="U753" s="70"/>
      <c r="V753" s="70"/>
      <c r="W753" s="70"/>
      <c r="X753" s="70"/>
      <c r="Y753" s="70"/>
      <c r="Z753" s="70"/>
      <c r="AA753" s="70"/>
      <c r="AB753" s="70"/>
      <c r="AC753" s="70"/>
      <c r="AD753" s="70"/>
      <c r="AE753" s="70"/>
      <c r="AF753" s="70"/>
      <c r="AG753" s="70"/>
      <c r="AH753" s="70"/>
      <c r="AI753" s="70"/>
      <c r="AJ753" s="70"/>
      <c r="AK753" s="70"/>
      <c r="AL753" s="70"/>
      <c r="AM753" s="70"/>
      <c r="AN753" s="70"/>
      <c r="AO753" s="70"/>
      <c r="AP753" s="70"/>
      <c r="AQ753" s="70"/>
      <c r="AR753" s="70"/>
      <c r="AS753" s="70"/>
      <c r="AT753" s="70"/>
    </row>
    <row r="754" spans="1:46">
      <c r="A754" s="70"/>
      <c r="B754" s="70"/>
      <c r="C754" s="70"/>
      <c r="D754" s="70"/>
      <c r="E754" s="70"/>
      <c r="F754" s="70"/>
      <c r="G754" s="70"/>
      <c r="H754" s="54"/>
      <c r="I754" s="70"/>
      <c r="J754" s="70"/>
      <c r="K754" s="70"/>
      <c r="L754" s="70"/>
      <c r="M754" s="70"/>
      <c r="N754" s="70"/>
      <c r="O754" s="70"/>
      <c r="P754" s="70"/>
      <c r="Q754" s="70"/>
      <c r="R754" s="70"/>
      <c r="S754" s="70"/>
      <c r="T754" s="70"/>
      <c r="U754" s="70"/>
      <c r="V754" s="70"/>
      <c r="W754" s="70"/>
      <c r="X754" s="70"/>
      <c r="Y754" s="70"/>
      <c r="Z754" s="70"/>
      <c r="AA754" s="70"/>
      <c r="AB754" s="70"/>
      <c r="AC754" s="70"/>
      <c r="AD754" s="70"/>
      <c r="AE754" s="70"/>
      <c r="AF754" s="70"/>
      <c r="AG754" s="70"/>
      <c r="AH754" s="70"/>
      <c r="AI754" s="70"/>
      <c r="AJ754" s="70"/>
      <c r="AK754" s="70"/>
      <c r="AL754" s="70"/>
      <c r="AM754" s="70"/>
      <c r="AN754" s="70"/>
      <c r="AO754" s="70"/>
      <c r="AP754" s="70"/>
      <c r="AQ754" s="70"/>
      <c r="AR754" s="70"/>
      <c r="AS754" s="70"/>
      <c r="AT754" s="70"/>
    </row>
    <row r="755" spans="1:46">
      <c r="A755" s="70"/>
      <c r="B755" s="70"/>
      <c r="C755" s="70"/>
      <c r="D755" s="70"/>
      <c r="E755" s="70"/>
      <c r="F755" s="70"/>
      <c r="G755" s="70"/>
      <c r="H755" s="54"/>
      <c r="I755" s="70"/>
      <c r="J755" s="70"/>
      <c r="K755" s="70"/>
      <c r="L755" s="70"/>
      <c r="M755" s="70"/>
      <c r="N755" s="70"/>
      <c r="O755" s="70"/>
      <c r="P755" s="70"/>
      <c r="Q755" s="70"/>
      <c r="R755" s="70"/>
      <c r="S755" s="70"/>
      <c r="T755" s="70"/>
      <c r="U755" s="70"/>
      <c r="V755" s="70"/>
      <c r="W755" s="70"/>
      <c r="X755" s="70"/>
      <c r="Y755" s="70"/>
      <c r="Z755" s="70"/>
      <c r="AA755" s="70"/>
      <c r="AB755" s="70"/>
      <c r="AC755" s="70"/>
      <c r="AD755" s="70"/>
      <c r="AE755" s="70"/>
      <c r="AF755" s="70"/>
      <c r="AG755" s="70"/>
      <c r="AH755" s="70"/>
      <c r="AI755" s="70"/>
      <c r="AJ755" s="70"/>
      <c r="AK755" s="70"/>
      <c r="AL755" s="70"/>
      <c r="AM755" s="70"/>
      <c r="AN755" s="70"/>
      <c r="AO755" s="70"/>
      <c r="AP755" s="70"/>
      <c r="AQ755" s="70"/>
      <c r="AR755" s="70"/>
      <c r="AS755" s="70"/>
      <c r="AT755" s="70"/>
    </row>
    <row r="756" spans="1:46">
      <c r="A756" s="70"/>
      <c r="B756" s="70"/>
      <c r="C756" s="70"/>
      <c r="D756" s="70"/>
      <c r="E756" s="70"/>
      <c r="F756" s="70"/>
      <c r="G756" s="70"/>
      <c r="H756" s="54"/>
      <c r="I756" s="70"/>
      <c r="J756" s="70"/>
      <c r="K756" s="70"/>
      <c r="L756" s="70"/>
      <c r="M756" s="70"/>
      <c r="N756" s="70"/>
      <c r="O756" s="70"/>
      <c r="P756" s="70"/>
      <c r="Q756" s="70"/>
      <c r="R756" s="70"/>
      <c r="S756" s="70"/>
      <c r="T756" s="70"/>
      <c r="U756" s="70"/>
      <c r="V756" s="70"/>
      <c r="W756" s="70"/>
      <c r="X756" s="70"/>
      <c r="Y756" s="70"/>
      <c r="Z756" s="70"/>
      <c r="AA756" s="70"/>
      <c r="AB756" s="70"/>
      <c r="AC756" s="70"/>
      <c r="AD756" s="70"/>
      <c r="AE756" s="70"/>
      <c r="AF756" s="70"/>
      <c r="AG756" s="70"/>
      <c r="AH756" s="70"/>
      <c r="AI756" s="70"/>
      <c r="AJ756" s="70"/>
      <c r="AK756" s="70"/>
      <c r="AL756" s="70"/>
      <c r="AM756" s="70"/>
      <c r="AN756" s="70"/>
      <c r="AO756" s="70"/>
      <c r="AP756" s="70"/>
      <c r="AQ756" s="70"/>
      <c r="AR756" s="70"/>
      <c r="AS756" s="70"/>
      <c r="AT756" s="70"/>
    </row>
    <row r="757" spans="1:46">
      <c r="A757" s="70"/>
      <c r="B757" s="70"/>
      <c r="C757" s="70"/>
      <c r="D757" s="70"/>
      <c r="E757" s="70"/>
      <c r="F757" s="70"/>
      <c r="G757" s="70"/>
      <c r="H757" s="54"/>
      <c r="I757" s="70"/>
      <c r="J757" s="70"/>
      <c r="K757" s="70"/>
      <c r="L757" s="70"/>
      <c r="M757" s="70"/>
      <c r="N757" s="70"/>
      <c r="O757" s="70"/>
      <c r="P757" s="70"/>
      <c r="Q757" s="70"/>
      <c r="R757" s="70"/>
      <c r="S757" s="70"/>
      <c r="T757" s="70"/>
      <c r="U757" s="70"/>
      <c r="V757" s="70"/>
      <c r="W757" s="70"/>
      <c r="X757" s="70"/>
      <c r="Y757" s="70"/>
      <c r="Z757" s="70"/>
      <c r="AA757" s="70"/>
      <c r="AB757" s="70"/>
      <c r="AC757" s="70"/>
      <c r="AD757" s="70"/>
      <c r="AE757" s="70"/>
      <c r="AF757" s="70"/>
      <c r="AG757" s="70"/>
      <c r="AH757" s="70"/>
      <c r="AI757" s="70"/>
      <c r="AJ757" s="70"/>
      <c r="AK757" s="70"/>
      <c r="AL757" s="70"/>
      <c r="AM757" s="70"/>
      <c r="AN757" s="70"/>
      <c r="AO757" s="70"/>
      <c r="AP757" s="70"/>
      <c r="AQ757" s="70"/>
      <c r="AR757" s="70"/>
      <c r="AS757" s="70"/>
      <c r="AT757" s="70"/>
    </row>
    <row r="758" spans="1:46">
      <c r="A758" s="70"/>
      <c r="B758" s="70"/>
      <c r="C758" s="70"/>
      <c r="D758" s="70"/>
      <c r="E758" s="70"/>
      <c r="F758" s="70"/>
      <c r="G758" s="70"/>
      <c r="H758" s="54"/>
      <c r="I758" s="70"/>
      <c r="J758" s="70"/>
      <c r="K758" s="70"/>
      <c r="L758" s="70"/>
      <c r="M758" s="70"/>
      <c r="N758" s="70"/>
      <c r="O758" s="70"/>
      <c r="P758" s="70"/>
      <c r="Q758" s="70"/>
      <c r="R758" s="70"/>
      <c r="S758" s="70"/>
      <c r="T758" s="70"/>
      <c r="U758" s="70"/>
      <c r="V758" s="70"/>
      <c r="W758" s="70"/>
      <c r="X758" s="70"/>
      <c r="Y758" s="70"/>
      <c r="Z758" s="70"/>
      <c r="AA758" s="70"/>
      <c r="AB758" s="70"/>
      <c r="AC758" s="70"/>
      <c r="AD758" s="70"/>
      <c r="AE758" s="70"/>
      <c r="AF758" s="70"/>
      <c r="AG758" s="70"/>
      <c r="AH758" s="70"/>
      <c r="AI758" s="70"/>
      <c r="AJ758" s="70"/>
      <c r="AK758" s="70"/>
      <c r="AL758" s="70"/>
      <c r="AM758" s="70"/>
      <c r="AN758" s="70"/>
      <c r="AO758" s="70"/>
      <c r="AP758" s="70"/>
      <c r="AQ758" s="70"/>
      <c r="AR758" s="70"/>
      <c r="AS758" s="70"/>
      <c r="AT758" s="70"/>
    </row>
    <row r="759" spans="1:46">
      <c r="A759" s="70"/>
      <c r="B759" s="70"/>
      <c r="C759" s="70"/>
      <c r="D759" s="70"/>
      <c r="E759" s="70"/>
      <c r="F759" s="70"/>
      <c r="G759" s="70"/>
      <c r="H759" s="54"/>
      <c r="I759" s="70"/>
      <c r="J759" s="70"/>
      <c r="K759" s="70"/>
      <c r="L759" s="70"/>
      <c r="M759" s="70"/>
      <c r="N759" s="70"/>
      <c r="O759" s="70"/>
      <c r="P759" s="70"/>
      <c r="Q759" s="70"/>
      <c r="R759" s="70"/>
      <c r="S759" s="70"/>
      <c r="T759" s="70"/>
      <c r="U759" s="70"/>
      <c r="V759" s="70"/>
      <c r="W759" s="70"/>
      <c r="X759" s="70"/>
      <c r="Y759" s="70"/>
      <c r="Z759" s="70"/>
      <c r="AA759" s="70"/>
      <c r="AB759" s="70"/>
      <c r="AC759" s="70"/>
      <c r="AD759" s="70"/>
      <c r="AE759" s="70"/>
      <c r="AF759" s="70"/>
      <c r="AG759" s="70"/>
      <c r="AH759" s="70"/>
      <c r="AI759" s="70"/>
      <c r="AJ759" s="70"/>
      <c r="AK759" s="70"/>
      <c r="AL759" s="70"/>
      <c r="AM759" s="70"/>
      <c r="AN759" s="70"/>
      <c r="AO759" s="70"/>
      <c r="AP759" s="70"/>
      <c r="AQ759" s="70"/>
      <c r="AR759" s="70"/>
      <c r="AS759" s="70"/>
      <c r="AT759" s="70"/>
    </row>
    <row r="760" spans="1:46">
      <c r="A760" s="70"/>
      <c r="B760" s="70"/>
      <c r="C760" s="70"/>
      <c r="D760" s="70"/>
      <c r="E760" s="70"/>
      <c r="F760" s="70"/>
      <c r="G760" s="70"/>
      <c r="H760" s="54"/>
      <c r="I760" s="70"/>
      <c r="J760" s="70"/>
      <c r="K760" s="70"/>
      <c r="L760" s="70"/>
      <c r="M760" s="70"/>
      <c r="N760" s="70"/>
      <c r="O760" s="70"/>
      <c r="P760" s="70"/>
      <c r="Q760" s="70"/>
      <c r="R760" s="70"/>
      <c r="S760" s="70"/>
      <c r="T760" s="70"/>
      <c r="U760" s="70"/>
      <c r="V760" s="70"/>
      <c r="W760" s="70"/>
      <c r="X760" s="70"/>
      <c r="Y760" s="70"/>
      <c r="Z760" s="70"/>
      <c r="AA760" s="70"/>
      <c r="AB760" s="70"/>
      <c r="AC760" s="70"/>
      <c r="AD760" s="70"/>
      <c r="AE760" s="70"/>
      <c r="AF760" s="70"/>
      <c r="AG760" s="70"/>
      <c r="AH760" s="70"/>
      <c r="AI760" s="70"/>
      <c r="AJ760" s="70"/>
      <c r="AK760" s="70"/>
      <c r="AL760" s="70"/>
      <c r="AM760" s="70"/>
      <c r="AN760" s="70"/>
      <c r="AO760" s="70"/>
      <c r="AP760" s="70"/>
      <c r="AQ760" s="70"/>
      <c r="AR760" s="70"/>
      <c r="AS760" s="70"/>
      <c r="AT760" s="70"/>
    </row>
    <row r="761" spans="1:46">
      <c r="A761" s="70"/>
      <c r="B761" s="70"/>
      <c r="C761" s="70"/>
      <c r="D761" s="70"/>
      <c r="E761" s="70"/>
      <c r="F761" s="70"/>
      <c r="G761" s="70"/>
      <c r="H761" s="54"/>
      <c r="I761" s="70"/>
      <c r="J761" s="70"/>
      <c r="K761" s="70"/>
      <c r="L761" s="70"/>
      <c r="M761" s="70"/>
      <c r="N761" s="70"/>
      <c r="O761" s="70"/>
      <c r="P761" s="70"/>
      <c r="Q761" s="70"/>
      <c r="R761" s="70"/>
      <c r="S761" s="70"/>
      <c r="T761" s="70"/>
      <c r="U761" s="70"/>
      <c r="V761" s="70"/>
      <c r="W761" s="70"/>
      <c r="X761" s="70"/>
      <c r="Y761" s="70"/>
      <c r="Z761" s="70"/>
      <c r="AA761" s="70"/>
      <c r="AB761" s="70"/>
      <c r="AC761" s="70"/>
      <c r="AD761" s="70"/>
      <c r="AE761" s="70"/>
      <c r="AF761" s="70"/>
      <c r="AG761" s="70"/>
      <c r="AH761" s="70"/>
      <c r="AI761" s="70"/>
      <c r="AJ761" s="70"/>
      <c r="AK761" s="70"/>
      <c r="AL761" s="70"/>
      <c r="AM761" s="70"/>
      <c r="AN761" s="70"/>
      <c r="AO761" s="70"/>
      <c r="AP761" s="70"/>
      <c r="AQ761" s="70"/>
      <c r="AR761" s="70"/>
      <c r="AS761" s="70"/>
      <c r="AT761" s="70"/>
    </row>
    <row r="762" spans="1:46">
      <c r="A762" s="70"/>
      <c r="B762" s="70"/>
      <c r="C762" s="70"/>
      <c r="D762" s="70"/>
      <c r="E762" s="70"/>
      <c r="F762" s="70"/>
      <c r="G762" s="70"/>
      <c r="H762" s="54"/>
      <c r="I762" s="70"/>
      <c r="J762" s="70"/>
      <c r="K762" s="70"/>
      <c r="L762" s="70"/>
      <c r="M762" s="70"/>
      <c r="N762" s="70"/>
      <c r="O762" s="70"/>
      <c r="P762" s="70"/>
      <c r="Q762" s="70"/>
      <c r="R762" s="70"/>
      <c r="S762" s="70"/>
      <c r="T762" s="70"/>
      <c r="U762" s="70"/>
      <c r="V762" s="70"/>
      <c r="W762" s="70"/>
      <c r="X762" s="70"/>
      <c r="Y762" s="70"/>
      <c r="Z762" s="70"/>
      <c r="AA762" s="70"/>
      <c r="AB762" s="70"/>
      <c r="AC762" s="70"/>
      <c r="AD762" s="70"/>
      <c r="AE762" s="70"/>
      <c r="AF762" s="70"/>
      <c r="AG762" s="70"/>
      <c r="AH762" s="70"/>
      <c r="AI762" s="70"/>
      <c r="AJ762" s="70"/>
      <c r="AK762" s="70"/>
      <c r="AL762" s="70"/>
      <c r="AM762" s="70"/>
      <c r="AN762" s="70"/>
      <c r="AO762" s="70"/>
      <c r="AP762" s="70"/>
      <c r="AQ762" s="70"/>
      <c r="AR762" s="70"/>
      <c r="AS762" s="70"/>
      <c r="AT762" s="70"/>
    </row>
    <row r="763" spans="1:46">
      <c r="A763" s="70"/>
      <c r="B763" s="70"/>
      <c r="C763" s="70"/>
      <c r="D763" s="70"/>
      <c r="E763" s="70"/>
      <c r="F763" s="70"/>
      <c r="G763" s="70"/>
      <c r="H763" s="54"/>
      <c r="I763" s="70"/>
      <c r="J763" s="70"/>
      <c r="K763" s="70"/>
      <c r="L763" s="70"/>
      <c r="M763" s="70"/>
      <c r="N763" s="70"/>
      <c r="O763" s="70"/>
      <c r="P763" s="70"/>
      <c r="Q763" s="70"/>
      <c r="R763" s="70"/>
      <c r="S763" s="70"/>
      <c r="T763" s="70"/>
      <c r="U763" s="70"/>
      <c r="V763" s="70"/>
      <c r="W763" s="70"/>
      <c r="X763" s="70"/>
      <c r="Y763" s="70"/>
      <c r="Z763" s="70"/>
      <c r="AA763" s="70"/>
      <c r="AB763" s="70"/>
      <c r="AC763" s="70"/>
      <c r="AD763" s="70"/>
      <c r="AE763" s="70"/>
      <c r="AF763" s="70"/>
      <c r="AG763" s="70"/>
      <c r="AH763" s="70"/>
      <c r="AI763" s="70"/>
      <c r="AJ763" s="70"/>
      <c r="AK763" s="70"/>
      <c r="AL763" s="70"/>
      <c r="AM763" s="70"/>
      <c r="AN763" s="70"/>
      <c r="AO763" s="70"/>
      <c r="AP763" s="70"/>
      <c r="AQ763" s="70"/>
      <c r="AR763" s="70"/>
      <c r="AS763" s="70"/>
      <c r="AT763" s="70"/>
    </row>
    <row r="764" spans="1:46">
      <c r="A764" s="70"/>
      <c r="B764" s="70"/>
      <c r="C764" s="70"/>
      <c r="D764" s="70"/>
      <c r="E764" s="70"/>
      <c r="F764" s="70"/>
      <c r="G764" s="70"/>
      <c r="H764" s="54"/>
      <c r="I764" s="70"/>
      <c r="J764" s="70"/>
      <c r="K764" s="70"/>
      <c r="L764" s="70"/>
      <c r="M764" s="70"/>
      <c r="N764" s="70"/>
      <c r="O764" s="70"/>
      <c r="P764" s="70"/>
      <c r="Q764" s="70"/>
      <c r="R764" s="70"/>
      <c r="S764" s="70"/>
      <c r="T764" s="70"/>
      <c r="U764" s="70"/>
      <c r="V764" s="70"/>
      <c r="W764" s="70"/>
      <c r="X764" s="70"/>
      <c r="Y764" s="70"/>
      <c r="Z764" s="70"/>
      <c r="AA764" s="70"/>
      <c r="AB764" s="70"/>
      <c r="AC764" s="70"/>
      <c r="AD764" s="70"/>
      <c r="AE764" s="70"/>
      <c r="AF764" s="70"/>
      <c r="AG764" s="70"/>
      <c r="AH764" s="70"/>
      <c r="AI764" s="70"/>
      <c r="AJ764" s="70"/>
      <c r="AK764" s="70"/>
      <c r="AL764" s="70"/>
      <c r="AM764" s="70"/>
      <c r="AN764" s="70"/>
      <c r="AO764" s="70"/>
      <c r="AP764" s="70"/>
      <c r="AQ764" s="70"/>
      <c r="AR764" s="70"/>
      <c r="AS764" s="70"/>
      <c r="AT764" s="70"/>
    </row>
    <row r="765" spans="1:46">
      <c r="A765" s="70"/>
      <c r="B765" s="70"/>
      <c r="C765" s="70"/>
      <c r="D765" s="70"/>
      <c r="E765" s="70"/>
      <c r="F765" s="70"/>
      <c r="G765" s="70"/>
      <c r="H765" s="54"/>
      <c r="I765" s="70"/>
      <c r="J765" s="70"/>
      <c r="K765" s="70"/>
      <c r="L765" s="70"/>
      <c r="M765" s="70"/>
      <c r="N765" s="70"/>
      <c r="O765" s="70"/>
      <c r="P765" s="70"/>
      <c r="Q765" s="70"/>
      <c r="R765" s="70"/>
      <c r="S765" s="70"/>
      <c r="T765" s="70"/>
      <c r="U765" s="70"/>
      <c r="V765" s="70"/>
      <c r="W765" s="70"/>
      <c r="X765" s="70"/>
      <c r="Y765" s="70"/>
      <c r="Z765" s="70"/>
      <c r="AA765" s="70"/>
      <c r="AB765" s="70"/>
      <c r="AC765" s="70"/>
      <c r="AD765" s="70"/>
      <c r="AE765" s="70"/>
      <c r="AF765" s="70"/>
      <c r="AG765" s="70"/>
      <c r="AH765" s="70"/>
      <c r="AI765" s="70"/>
      <c r="AJ765" s="70"/>
      <c r="AK765" s="70"/>
      <c r="AL765" s="70"/>
      <c r="AM765" s="70"/>
      <c r="AN765" s="70"/>
      <c r="AO765" s="70"/>
      <c r="AP765" s="70"/>
      <c r="AQ765" s="70"/>
      <c r="AR765" s="70"/>
      <c r="AS765" s="70"/>
      <c r="AT765" s="70"/>
    </row>
    <row r="766" spans="1:46">
      <c r="A766" s="70"/>
      <c r="B766" s="70"/>
      <c r="C766" s="70"/>
      <c r="D766" s="70"/>
      <c r="E766" s="70"/>
      <c r="F766" s="70"/>
      <c r="G766" s="70"/>
      <c r="H766" s="54"/>
      <c r="I766" s="70"/>
      <c r="J766" s="70"/>
      <c r="K766" s="70"/>
      <c r="L766" s="70"/>
      <c r="M766" s="70"/>
      <c r="N766" s="70"/>
      <c r="O766" s="70"/>
      <c r="P766" s="70"/>
      <c r="Q766" s="70"/>
      <c r="R766" s="70"/>
      <c r="S766" s="70"/>
      <c r="T766" s="70"/>
      <c r="U766" s="70"/>
      <c r="V766" s="70"/>
      <c r="W766" s="70"/>
      <c r="X766" s="70"/>
      <c r="Y766" s="70"/>
      <c r="Z766" s="70"/>
      <c r="AA766" s="70"/>
      <c r="AB766" s="70"/>
      <c r="AC766" s="70"/>
      <c r="AD766" s="70"/>
      <c r="AE766" s="70"/>
      <c r="AF766" s="70"/>
      <c r="AG766" s="70"/>
      <c r="AH766" s="70"/>
      <c r="AI766" s="70"/>
      <c r="AJ766" s="70"/>
      <c r="AK766" s="70"/>
      <c r="AL766" s="70"/>
      <c r="AM766" s="70"/>
      <c r="AN766" s="70"/>
      <c r="AO766" s="70"/>
      <c r="AP766" s="70"/>
      <c r="AQ766" s="70"/>
      <c r="AR766" s="70"/>
      <c r="AS766" s="70"/>
      <c r="AT766" s="70"/>
    </row>
    <row r="767" spans="1:46">
      <c r="A767" s="70"/>
      <c r="B767" s="70"/>
      <c r="C767" s="70"/>
      <c r="D767" s="70"/>
      <c r="E767" s="70"/>
      <c r="F767" s="70"/>
      <c r="G767" s="70"/>
      <c r="H767" s="54"/>
      <c r="I767" s="70"/>
      <c r="J767" s="70"/>
      <c r="K767" s="70"/>
      <c r="L767" s="70"/>
      <c r="M767" s="70"/>
      <c r="N767" s="70"/>
      <c r="O767" s="70"/>
      <c r="P767" s="70"/>
      <c r="Q767" s="70"/>
      <c r="R767" s="70"/>
      <c r="S767" s="70"/>
      <c r="T767" s="70"/>
      <c r="U767" s="70"/>
      <c r="V767" s="70"/>
      <c r="W767" s="70"/>
      <c r="X767" s="70"/>
      <c r="Y767" s="70"/>
      <c r="Z767" s="70"/>
      <c r="AA767" s="70"/>
      <c r="AB767" s="70"/>
      <c r="AC767" s="70"/>
      <c r="AD767" s="70"/>
      <c r="AE767" s="70"/>
      <c r="AF767" s="70"/>
      <c r="AG767" s="70"/>
      <c r="AH767" s="70"/>
      <c r="AI767" s="70"/>
      <c r="AJ767" s="70"/>
      <c r="AK767" s="70"/>
      <c r="AL767" s="70"/>
      <c r="AM767" s="70"/>
      <c r="AN767" s="70"/>
      <c r="AO767" s="70"/>
      <c r="AP767" s="70"/>
      <c r="AQ767" s="70"/>
      <c r="AR767" s="70"/>
      <c r="AS767" s="70"/>
      <c r="AT767" s="70"/>
    </row>
    <row r="768" spans="1:46">
      <c r="A768" s="70"/>
      <c r="B768" s="70"/>
      <c r="C768" s="70"/>
      <c r="D768" s="70"/>
      <c r="E768" s="70"/>
      <c r="F768" s="70"/>
      <c r="G768" s="70"/>
      <c r="H768" s="54"/>
      <c r="I768" s="70"/>
      <c r="J768" s="70"/>
      <c r="K768" s="70"/>
      <c r="L768" s="70"/>
      <c r="M768" s="70"/>
      <c r="N768" s="70"/>
      <c r="O768" s="70"/>
      <c r="P768" s="70"/>
      <c r="Q768" s="70"/>
      <c r="R768" s="70"/>
      <c r="S768" s="70"/>
      <c r="T768" s="70"/>
      <c r="U768" s="70"/>
      <c r="V768" s="70"/>
      <c r="W768" s="70"/>
      <c r="X768" s="70"/>
      <c r="Y768" s="70"/>
      <c r="Z768" s="70"/>
      <c r="AA768" s="70"/>
      <c r="AB768" s="70"/>
      <c r="AC768" s="70"/>
      <c r="AD768" s="70"/>
      <c r="AE768" s="70"/>
      <c r="AF768" s="70"/>
      <c r="AG768" s="70"/>
      <c r="AH768" s="70"/>
      <c r="AI768" s="70"/>
      <c r="AJ768" s="70"/>
      <c r="AK768" s="70"/>
      <c r="AL768" s="70"/>
      <c r="AM768" s="70"/>
      <c r="AN768" s="70"/>
      <c r="AO768" s="70"/>
      <c r="AP768" s="70"/>
      <c r="AQ768" s="70"/>
      <c r="AR768" s="70"/>
      <c r="AS768" s="70"/>
      <c r="AT768" s="70"/>
    </row>
    <row r="769" spans="1:46">
      <c r="A769" s="70"/>
      <c r="B769" s="70"/>
      <c r="C769" s="70"/>
      <c r="D769" s="70"/>
      <c r="E769" s="70"/>
      <c r="F769" s="70"/>
      <c r="G769" s="70"/>
      <c r="H769" s="54"/>
      <c r="I769" s="70"/>
      <c r="J769" s="70"/>
      <c r="K769" s="70"/>
      <c r="L769" s="70"/>
      <c r="M769" s="70"/>
      <c r="N769" s="70"/>
      <c r="O769" s="70"/>
      <c r="P769" s="70"/>
      <c r="Q769" s="70"/>
      <c r="R769" s="70"/>
      <c r="S769" s="70"/>
      <c r="T769" s="70"/>
      <c r="U769" s="70"/>
      <c r="V769" s="70"/>
      <c r="W769" s="70"/>
      <c r="X769" s="70"/>
      <c r="Y769" s="70"/>
      <c r="Z769" s="70"/>
      <c r="AA769" s="70"/>
      <c r="AB769" s="70"/>
      <c r="AC769" s="70"/>
      <c r="AD769" s="70"/>
      <c r="AE769" s="70"/>
      <c r="AF769" s="70"/>
      <c r="AG769" s="70"/>
      <c r="AH769" s="70"/>
      <c r="AI769" s="70"/>
      <c r="AJ769" s="70"/>
      <c r="AK769" s="70"/>
      <c r="AL769" s="70"/>
      <c r="AM769" s="70"/>
      <c r="AN769" s="70"/>
      <c r="AO769" s="70"/>
      <c r="AP769" s="70"/>
      <c r="AQ769" s="70"/>
      <c r="AR769" s="70"/>
      <c r="AS769" s="70"/>
      <c r="AT769" s="70"/>
    </row>
    <row r="770" spans="1:46">
      <c r="A770" s="70"/>
      <c r="B770" s="70"/>
      <c r="C770" s="70"/>
      <c r="D770" s="70"/>
      <c r="E770" s="70"/>
      <c r="F770" s="70"/>
      <c r="G770" s="70"/>
      <c r="H770" s="54"/>
      <c r="I770" s="70"/>
      <c r="J770" s="70"/>
      <c r="K770" s="70"/>
      <c r="L770" s="70"/>
      <c r="M770" s="70"/>
      <c r="N770" s="70"/>
      <c r="O770" s="70"/>
      <c r="P770" s="70"/>
      <c r="Q770" s="70"/>
      <c r="R770" s="70"/>
      <c r="S770" s="70"/>
      <c r="T770" s="70"/>
      <c r="U770" s="70"/>
      <c r="V770" s="70"/>
      <c r="W770" s="70"/>
      <c r="X770" s="70"/>
      <c r="Y770" s="70"/>
      <c r="Z770" s="70"/>
      <c r="AA770" s="70"/>
      <c r="AB770" s="70"/>
      <c r="AC770" s="70"/>
      <c r="AD770" s="70"/>
      <c r="AE770" s="70"/>
      <c r="AF770" s="70"/>
      <c r="AG770" s="70"/>
      <c r="AH770" s="70"/>
      <c r="AI770" s="70"/>
      <c r="AJ770" s="70"/>
      <c r="AK770" s="70"/>
      <c r="AL770" s="70"/>
      <c r="AM770" s="70"/>
      <c r="AN770" s="70"/>
      <c r="AO770" s="70"/>
      <c r="AP770" s="70"/>
      <c r="AQ770" s="70"/>
      <c r="AR770" s="70"/>
      <c r="AS770" s="70"/>
      <c r="AT770" s="70"/>
    </row>
    <row r="771" spans="1:46">
      <c r="A771" s="70"/>
      <c r="B771" s="70"/>
      <c r="C771" s="70"/>
      <c r="D771" s="70"/>
      <c r="E771" s="70"/>
      <c r="F771" s="70"/>
      <c r="G771" s="70"/>
      <c r="H771" s="54"/>
      <c r="I771" s="70"/>
      <c r="J771" s="70"/>
      <c r="K771" s="70"/>
      <c r="L771" s="70"/>
      <c r="M771" s="70"/>
      <c r="N771" s="70"/>
      <c r="O771" s="70"/>
      <c r="P771" s="70"/>
      <c r="Q771" s="70"/>
      <c r="R771" s="70"/>
      <c r="S771" s="70"/>
      <c r="T771" s="70"/>
      <c r="U771" s="70"/>
      <c r="V771" s="70"/>
      <c r="W771" s="70"/>
      <c r="X771" s="70"/>
      <c r="Y771" s="70"/>
      <c r="Z771" s="70"/>
      <c r="AA771" s="70"/>
      <c r="AB771" s="70"/>
      <c r="AC771" s="70"/>
      <c r="AD771" s="70"/>
      <c r="AE771" s="70"/>
      <c r="AF771" s="70"/>
      <c r="AG771" s="70"/>
      <c r="AH771" s="70"/>
      <c r="AI771" s="70"/>
      <c r="AJ771" s="70"/>
      <c r="AK771" s="70"/>
      <c r="AL771" s="70"/>
      <c r="AM771" s="70"/>
      <c r="AN771" s="70"/>
      <c r="AO771" s="70"/>
      <c r="AP771" s="70"/>
      <c r="AQ771" s="70"/>
      <c r="AR771" s="70"/>
      <c r="AS771" s="70"/>
      <c r="AT771" s="70"/>
    </row>
    <row r="772" spans="1:46">
      <c r="A772" s="70"/>
      <c r="B772" s="70"/>
      <c r="C772" s="70"/>
      <c r="D772" s="70"/>
      <c r="E772" s="70"/>
      <c r="F772" s="70"/>
      <c r="G772" s="70"/>
      <c r="H772" s="54"/>
      <c r="I772" s="70"/>
      <c r="J772" s="70"/>
      <c r="K772" s="70"/>
      <c r="L772" s="70"/>
      <c r="M772" s="70"/>
      <c r="N772" s="70"/>
      <c r="O772" s="70"/>
      <c r="P772" s="70"/>
      <c r="Q772" s="70"/>
      <c r="R772" s="70"/>
      <c r="S772" s="70"/>
      <c r="T772" s="70"/>
      <c r="U772" s="70"/>
      <c r="V772" s="70"/>
      <c r="W772" s="70"/>
      <c r="X772" s="70"/>
      <c r="Y772" s="70"/>
      <c r="Z772" s="70"/>
      <c r="AA772" s="70"/>
      <c r="AB772" s="70"/>
      <c r="AC772" s="70"/>
      <c r="AD772" s="70"/>
      <c r="AE772" s="70"/>
      <c r="AF772" s="70"/>
      <c r="AG772" s="70"/>
      <c r="AH772" s="70"/>
      <c r="AI772" s="70"/>
      <c r="AJ772" s="70"/>
      <c r="AK772" s="70"/>
      <c r="AL772" s="70"/>
      <c r="AM772" s="70"/>
      <c r="AN772" s="70"/>
      <c r="AO772" s="70"/>
      <c r="AP772" s="70"/>
      <c r="AQ772" s="70"/>
      <c r="AR772" s="70"/>
      <c r="AS772" s="70"/>
      <c r="AT772" s="70"/>
    </row>
    <row r="773" spans="1:46">
      <c r="A773" s="70"/>
      <c r="B773" s="70"/>
      <c r="C773" s="70"/>
      <c r="D773" s="70"/>
      <c r="E773" s="70"/>
      <c r="F773" s="70"/>
      <c r="G773" s="70"/>
      <c r="H773" s="54"/>
      <c r="I773" s="70"/>
      <c r="J773" s="70"/>
      <c r="K773" s="70"/>
      <c r="L773" s="70"/>
      <c r="M773" s="70"/>
      <c r="N773" s="70"/>
      <c r="O773" s="70"/>
      <c r="P773" s="70"/>
      <c r="Q773" s="70"/>
      <c r="R773" s="70"/>
      <c r="S773" s="70"/>
      <c r="T773" s="70"/>
      <c r="U773" s="70"/>
      <c r="V773" s="70"/>
      <c r="W773" s="70"/>
      <c r="X773" s="70"/>
      <c r="Y773" s="70"/>
      <c r="Z773" s="70"/>
      <c r="AA773" s="70"/>
      <c r="AB773" s="70"/>
      <c r="AC773" s="70"/>
      <c r="AD773" s="70"/>
      <c r="AE773" s="70"/>
      <c r="AF773" s="70"/>
      <c r="AG773" s="70"/>
      <c r="AH773" s="70"/>
      <c r="AI773" s="70"/>
      <c r="AJ773" s="70"/>
      <c r="AK773" s="70"/>
      <c r="AL773" s="70"/>
      <c r="AM773" s="70"/>
      <c r="AN773" s="70"/>
      <c r="AO773" s="70"/>
      <c r="AP773" s="70"/>
      <c r="AQ773" s="70"/>
      <c r="AR773" s="70"/>
      <c r="AS773" s="70"/>
      <c r="AT773" s="70"/>
    </row>
    <row r="774" spans="1:46">
      <c r="A774" s="70"/>
      <c r="B774" s="70"/>
      <c r="C774" s="70"/>
      <c r="D774" s="70"/>
      <c r="E774" s="70"/>
      <c r="F774" s="70"/>
      <c r="G774" s="70"/>
      <c r="H774" s="54"/>
      <c r="I774" s="70"/>
      <c r="J774" s="70"/>
      <c r="K774" s="70"/>
      <c r="L774" s="70"/>
      <c r="M774" s="70"/>
      <c r="N774" s="70"/>
      <c r="O774" s="70"/>
      <c r="P774" s="70"/>
      <c r="Q774" s="70"/>
      <c r="R774" s="70"/>
      <c r="S774" s="70"/>
      <c r="T774" s="70"/>
      <c r="U774" s="70"/>
      <c r="V774" s="70"/>
      <c r="W774" s="70"/>
      <c r="X774" s="70"/>
      <c r="Y774" s="70"/>
      <c r="Z774" s="70"/>
      <c r="AA774" s="70"/>
      <c r="AB774" s="70"/>
      <c r="AC774" s="70"/>
      <c r="AD774" s="70"/>
      <c r="AE774" s="70"/>
      <c r="AF774" s="70"/>
      <c r="AG774" s="70"/>
      <c r="AH774" s="70"/>
      <c r="AI774" s="70"/>
      <c r="AJ774" s="70"/>
      <c r="AK774" s="70"/>
      <c r="AL774" s="70"/>
      <c r="AM774" s="70"/>
      <c r="AN774" s="70"/>
      <c r="AO774" s="70"/>
      <c r="AP774" s="70"/>
      <c r="AQ774" s="70"/>
      <c r="AR774" s="70"/>
      <c r="AS774" s="70"/>
      <c r="AT774" s="70"/>
    </row>
    <row r="775" spans="1:46">
      <c r="A775" s="70"/>
      <c r="B775" s="70"/>
      <c r="C775" s="70"/>
      <c r="D775" s="70"/>
      <c r="E775" s="70"/>
      <c r="F775" s="70"/>
      <c r="G775" s="70"/>
      <c r="H775" s="54"/>
      <c r="I775" s="70"/>
      <c r="J775" s="70"/>
      <c r="K775" s="70"/>
      <c r="L775" s="70"/>
      <c r="M775" s="70"/>
      <c r="N775" s="70"/>
      <c r="O775" s="70"/>
      <c r="P775" s="70"/>
      <c r="Q775" s="70"/>
      <c r="R775" s="70"/>
      <c r="S775" s="70"/>
      <c r="T775" s="70"/>
      <c r="U775" s="70"/>
      <c r="V775" s="70"/>
      <c r="W775" s="70"/>
      <c r="X775" s="70"/>
      <c r="Y775" s="70"/>
      <c r="Z775" s="70"/>
      <c r="AA775" s="70"/>
      <c r="AB775" s="70"/>
      <c r="AC775" s="70"/>
      <c r="AD775" s="70"/>
      <c r="AE775" s="70"/>
      <c r="AF775" s="70"/>
      <c r="AG775" s="70"/>
      <c r="AH775" s="70"/>
      <c r="AI775" s="70"/>
      <c r="AJ775" s="70"/>
      <c r="AK775" s="70"/>
      <c r="AL775" s="70"/>
      <c r="AM775" s="70"/>
      <c r="AN775" s="70"/>
      <c r="AO775" s="70"/>
      <c r="AP775" s="70"/>
      <c r="AQ775" s="70"/>
      <c r="AR775" s="70"/>
      <c r="AS775" s="70"/>
      <c r="AT775" s="70"/>
    </row>
    <row r="776" spans="1:46">
      <c r="A776" s="70"/>
      <c r="B776" s="70"/>
      <c r="C776" s="70"/>
      <c r="D776" s="70"/>
      <c r="E776" s="70"/>
      <c r="F776" s="70"/>
      <c r="G776" s="70"/>
      <c r="H776" s="54"/>
      <c r="I776" s="70"/>
      <c r="J776" s="70"/>
      <c r="K776" s="70"/>
      <c r="L776" s="70"/>
      <c r="M776" s="70"/>
      <c r="N776" s="70"/>
      <c r="O776" s="70"/>
      <c r="P776" s="70"/>
      <c r="Q776" s="70"/>
      <c r="R776" s="70"/>
      <c r="S776" s="70"/>
      <c r="T776" s="70"/>
      <c r="U776" s="70"/>
      <c r="V776" s="70"/>
      <c r="W776" s="70"/>
      <c r="X776" s="70"/>
      <c r="Y776" s="70"/>
      <c r="Z776" s="70"/>
      <c r="AA776" s="70"/>
      <c r="AB776" s="70"/>
      <c r="AC776" s="70"/>
      <c r="AD776" s="70"/>
      <c r="AE776" s="70"/>
      <c r="AF776" s="70"/>
      <c r="AG776" s="70"/>
      <c r="AH776" s="70"/>
      <c r="AI776" s="70"/>
      <c r="AJ776" s="70"/>
      <c r="AK776" s="70"/>
      <c r="AL776" s="70"/>
      <c r="AM776" s="70"/>
      <c r="AN776" s="70"/>
      <c r="AO776" s="70"/>
      <c r="AP776" s="70"/>
      <c r="AQ776" s="70"/>
      <c r="AR776" s="70"/>
      <c r="AS776" s="70"/>
      <c r="AT776" s="70"/>
    </row>
    <row r="777" spans="1:46">
      <c r="A777" s="70"/>
      <c r="B777" s="70"/>
      <c r="C777" s="70"/>
      <c r="D777" s="70"/>
      <c r="E777" s="70"/>
      <c r="F777" s="70"/>
      <c r="G777" s="70"/>
      <c r="H777" s="54"/>
      <c r="I777" s="70"/>
      <c r="J777" s="70"/>
      <c r="K777" s="70"/>
      <c r="L777" s="70"/>
      <c r="M777" s="70"/>
      <c r="N777" s="70"/>
      <c r="O777" s="70"/>
      <c r="P777" s="70"/>
      <c r="Q777" s="70"/>
      <c r="R777" s="70"/>
      <c r="S777" s="70"/>
      <c r="T777" s="70"/>
      <c r="U777" s="70"/>
      <c r="V777" s="70"/>
      <c r="W777" s="70"/>
      <c r="X777" s="70"/>
      <c r="Y777" s="70"/>
      <c r="Z777" s="70"/>
      <c r="AA777" s="70"/>
      <c r="AB777" s="70"/>
      <c r="AC777" s="70"/>
      <c r="AD777" s="70"/>
      <c r="AE777" s="70"/>
      <c r="AF777" s="70"/>
      <c r="AG777" s="70"/>
      <c r="AH777" s="70"/>
      <c r="AI777" s="70"/>
      <c r="AJ777" s="70"/>
      <c r="AK777" s="70"/>
      <c r="AL777" s="70"/>
      <c r="AM777" s="70"/>
      <c r="AN777" s="70"/>
      <c r="AO777" s="70"/>
      <c r="AP777" s="70"/>
      <c r="AQ777" s="70"/>
      <c r="AR777" s="70"/>
      <c r="AS777" s="70"/>
      <c r="AT777" s="70"/>
    </row>
    <row r="778" spans="1:46">
      <c r="A778" s="70"/>
      <c r="B778" s="70"/>
      <c r="C778" s="70"/>
      <c r="D778" s="70"/>
      <c r="E778" s="70"/>
      <c r="F778" s="70"/>
      <c r="G778" s="70"/>
      <c r="H778" s="54"/>
      <c r="I778" s="70"/>
      <c r="J778" s="70"/>
      <c r="K778" s="70"/>
      <c r="L778" s="70"/>
      <c r="M778" s="70"/>
      <c r="N778" s="70"/>
      <c r="O778" s="70"/>
      <c r="P778" s="70"/>
      <c r="Q778" s="70"/>
      <c r="R778" s="70"/>
      <c r="S778" s="70"/>
      <c r="T778" s="70"/>
      <c r="U778" s="70"/>
      <c r="V778" s="70"/>
      <c r="W778" s="70"/>
      <c r="X778" s="70"/>
      <c r="Y778" s="70"/>
      <c r="Z778" s="70"/>
      <c r="AA778" s="70"/>
      <c r="AB778" s="70"/>
      <c r="AC778" s="70"/>
      <c r="AD778" s="70"/>
      <c r="AE778" s="70"/>
      <c r="AF778" s="70"/>
      <c r="AG778" s="70"/>
      <c r="AH778" s="70"/>
      <c r="AI778" s="70"/>
      <c r="AJ778" s="70"/>
      <c r="AK778" s="70"/>
      <c r="AL778" s="70"/>
      <c r="AM778" s="70"/>
      <c r="AN778" s="70"/>
      <c r="AO778" s="70"/>
      <c r="AP778" s="70"/>
      <c r="AQ778" s="70"/>
      <c r="AR778" s="70"/>
      <c r="AS778" s="70"/>
      <c r="AT778" s="70"/>
    </row>
    <row r="779" spans="1:46">
      <c r="A779" s="70"/>
      <c r="B779" s="70"/>
      <c r="C779" s="70"/>
      <c r="D779" s="70"/>
      <c r="E779" s="70"/>
      <c r="F779" s="70"/>
      <c r="G779" s="70"/>
      <c r="H779" s="54"/>
      <c r="I779" s="70"/>
      <c r="J779" s="70"/>
      <c r="K779" s="70"/>
      <c r="L779" s="70"/>
      <c r="M779" s="70"/>
      <c r="N779" s="70"/>
      <c r="O779" s="70"/>
      <c r="P779" s="70"/>
      <c r="Q779" s="70"/>
      <c r="R779" s="70"/>
      <c r="S779" s="70"/>
      <c r="T779" s="70"/>
      <c r="U779" s="70"/>
      <c r="V779" s="70"/>
      <c r="W779" s="70"/>
      <c r="X779" s="70"/>
      <c r="Y779" s="70"/>
      <c r="Z779" s="70"/>
      <c r="AA779" s="70"/>
      <c r="AB779" s="70"/>
      <c r="AC779" s="70"/>
      <c r="AD779" s="70"/>
      <c r="AE779" s="70"/>
      <c r="AF779" s="70"/>
      <c r="AG779" s="70"/>
      <c r="AH779" s="70"/>
      <c r="AI779" s="70"/>
      <c r="AJ779" s="70"/>
      <c r="AK779" s="70"/>
      <c r="AL779" s="70"/>
      <c r="AM779" s="70"/>
      <c r="AN779" s="70"/>
      <c r="AO779" s="70"/>
      <c r="AP779" s="70"/>
      <c r="AQ779" s="70"/>
      <c r="AR779" s="70"/>
      <c r="AS779" s="70"/>
      <c r="AT779" s="70"/>
    </row>
    <row r="780" spans="1:46">
      <c r="A780" s="70"/>
      <c r="B780" s="70"/>
      <c r="C780" s="70"/>
      <c r="D780" s="70"/>
      <c r="E780" s="70"/>
      <c r="F780" s="70"/>
      <c r="G780" s="70"/>
      <c r="H780" s="54"/>
      <c r="I780" s="70"/>
      <c r="J780" s="70"/>
      <c r="K780" s="70"/>
      <c r="L780" s="70"/>
      <c r="M780" s="70"/>
      <c r="N780" s="70"/>
      <c r="O780" s="70"/>
      <c r="P780" s="70"/>
      <c r="Q780" s="70"/>
      <c r="R780" s="70"/>
      <c r="S780" s="70"/>
      <c r="T780" s="70"/>
      <c r="U780" s="70"/>
      <c r="V780" s="70"/>
      <c r="W780" s="70"/>
      <c r="X780" s="70"/>
      <c r="Y780" s="70"/>
      <c r="Z780" s="70"/>
      <c r="AA780" s="70"/>
      <c r="AB780" s="70"/>
      <c r="AC780" s="70"/>
      <c r="AD780" s="70"/>
      <c r="AE780" s="70"/>
      <c r="AF780" s="70"/>
      <c r="AG780" s="70"/>
      <c r="AH780" s="70"/>
      <c r="AI780" s="70"/>
      <c r="AJ780" s="70"/>
      <c r="AK780" s="70"/>
      <c r="AL780" s="70"/>
      <c r="AM780" s="70"/>
      <c r="AN780" s="70"/>
      <c r="AO780" s="70"/>
      <c r="AP780" s="70"/>
      <c r="AQ780" s="70"/>
      <c r="AR780" s="70"/>
      <c r="AS780" s="70"/>
      <c r="AT780" s="70"/>
    </row>
    <row r="781" spans="1:46">
      <c r="A781" s="70"/>
      <c r="B781" s="70"/>
      <c r="C781" s="70"/>
      <c r="D781" s="70"/>
      <c r="E781" s="70"/>
      <c r="F781" s="70"/>
      <c r="G781" s="70"/>
      <c r="H781" s="54"/>
      <c r="I781" s="70"/>
      <c r="J781" s="70"/>
      <c r="K781" s="70"/>
      <c r="L781" s="70"/>
      <c r="M781" s="70"/>
      <c r="N781" s="70"/>
      <c r="O781" s="70"/>
      <c r="P781" s="70"/>
      <c r="Q781" s="70"/>
      <c r="R781" s="70"/>
      <c r="S781" s="70"/>
      <c r="T781" s="70"/>
      <c r="U781" s="70"/>
      <c r="V781" s="70"/>
      <c r="W781" s="70"/>
      <c r="X781" s="70"/>
      <c r="Y781" s="70"/>
      <c r="Z781" s="70"/>
      <c r="AA781" s="70"/>
      <c r="AB781" s="70"/>
      <c r="AC781" s="70"/>
      <c r="AD781" s="70"/>
      <c r="AE781" s="70"/>
      <c r="AF781" s="70"/>
      <c r="AG781" s="70"/>
      <c r="AH781" s="70"/>
      <c r="AI781" s="70"/>
      <c r="AJ781" s="70"/>
      <c r="AK781" s="70"/>
      <c r="AL781" s="70"/>
      <c r="AM781" s="70"/>
      <c r="AN781" s="70"/>
      <c r="AO781" s="70"/>
      <c r="AP781" s="70"/>
      <c r="AQ781" s="70"/>
      <c r="AR781" s="70"/>
      <c r="AS781" s="70"/>
      <c r="AT781" s="70"/>
    </row>
    <row r="782" spans="1:46">
      <c r="A782" s="70"/>
      <c r="B782" s="70"/>
      <c r="C782" s="70"/>
      <c r="D782" s="70"/>
      <c r="E782" s="70"/>
      <c r="F782" s="70"/>
      <c r="G782" s="70"/>
      <c r="H782" s="54"/>
      <c r="I782" s="70"/>
      <c r="J782" s="70"/>
      <c r="K782" s="70"/>
      <c r="L782" s="70"/>
      <c r="M782" s="70"/>
      <c r="N782" s="70"/>
      <c r="O782" s="70"/>
      <c r="P782" s="70"/>
      <c r="Q782" s="70"/>
      <c r="R782" s="70"/>
      <c r="S782" s="70"/>
      <c r="T782" s="70"/>
      <c r="U782" s="70"/>
      <c r="V782" s="70"/>
      <c r="W782" s="70"/>
      <c r="X782" s="70"/>
      <c r="Y782" s="70"/>
      <c r="Z782" s="70"/>
      <c r="AA782" s="70"/>
      <c r="AB782" s="70"/>
      <c r="AC782" s="70"/>
      <c r="AD782" s="70"/>
      <c r="AE782" s="70"/>
      <c r="AF782" s="70"/>
      <c r="AG782" s="70"/>
      <c r="AH782" s="70"/>
      <c r="AI782" s="70"/>
      <c r="AJ782" s="70"/>
      <c r="AK782" s="70"/>
      <c r="AL782" s="70"/>
      <c r="AM782" s="70"/>
      <c r="AN782" s="70"/>
      <c r="AO782" s="70"/>
      <c r="AP782" s="70"/>
      <c r="AQ782" s="70"/>
      <c r="AR782" s="70"/>
      <c r="AS782" s="70"/>
      <c r="AT782" s="70"/>
    </row>
    <row r="783" spans="1:46">
      <c r="A783" s="70"/>
      <c r="B783" s="70"/>
      <c r="C783" s="70"/>
      <c r="D783" s="70"/>
      <c r="E783" s="70"/>
      <c r="F783" s="70"/>
      <c r="G783" s="70"/>
      <c r="H783" s="54"/>
      <c r="I783" s="70"/>
      <c r="J783" s="70"/>
      <c r="K783" s="70"/>
      <c r="L783" s="70"/>
      <c r="M783" s="70"/>
      <c r="N783" s="70"/>
      <c r="O783" s="70"/>
      <c r="P783" s="70"/>
      <c r="Q783" s="70"/>
      <c r="R783" s="70"/>
      <c r="S783" s="70"/>
      <c r="T783" s="70"/>
      <c r="U783" s="70"/>
      <c r="V783" s="70"/>
      <c r="W783" s="70"/>
      <c r="X783" s="70"/>
      <c r="Y783" s="70"/>
      <c r="Z783" s="70"/>
      <c r="AA783" s="70"/>
      <c r="AB783" s="70"/>
      <c r="AC783" s="70"/>
      <c r="AD783" s="70"/>
      <c r="AE783" s="70"/>
      <c r="AF783" s="70"/>
      <c r="AG783" s="70"/>
      <c r="AH783" s="70"/>
      <c r="AI783" s="70"/>
      <c r="AJ783" s="70"/>
      <c r="AK783" s="70"/>
      <c r="AL783" s="70"/>
      <c r="AM783" s="70"/>
      <c r="AN783" s="70"/>
      <c r="AO783" s="70"/>
      <c r="AP783" s="70"/>
      <c r="AQ783" s="70"/>
      <c r="AR783" s="70"/>
      <c r="AS783" s="70"/>
      <c r="AT783" s="70"/>
    </row>
    <row r="784" spans="1:46">
      <c r="A784" s="70"/>
      <c r="B784" s="70"/>
      <c r="C784" s="70"/>
      <c r="D784" s="70"/>
      <c r="E784" s="70"/>
      <c r="F784" s="70"/>
      <c r="G784" s="70"/>
      <c r="H784" s="54"/>
      <c r="I784" s="70"/>
      <c r="J784" s="70"/>
      <c r="K784" s="70"/>
      <c r="L784" s="70"/>
      <c r="M784" s="70"/>
      <c r="N784" s="70"/>
      <c r="O784" s="70"/>
      <c r="P784" s="70"/>
      <c r="Q784" s="70"/>
      <c r="R784" s="70"/>
      <c r="S784" s="70"/>
      <c r="T784" s="70"/>
      <c r="U784" s="70"/>
      <c r="V784" s="70"/>
      <c r="W784" s="70"/>
      <c r="X784" s="70"/>
      <c r="Y784" s="70"/>
      <c r="Z784" s="70"/>
      <c r="AA784" s="70"/>
      <c r="AB784" s="70"/>
      <c r="AC784" s="70"/>
      <c r="AD784" s="70"/>
      <c r="AE784" s="70"/>
      <c r="AF784" s="70"/>
      <c r="AG784" s="70"/>
      <c r="AH784" s="70"/>
      <c r="AI784" s="70"/>
      <c r="AJ784" s="70"/>
      <c r="AK784" s="70"/>
      <c r="AL784" s="70"/>
      <c r="AM784" s="70"/>
      <c r="AN784" s="70"/>
      <c r="AO784" s="70"/>
      <c r="AP784" s="70"/>
      <c r="AQ784" s="70"/>
      <c r="AR784" s="70"/>
      <c r="AS784" s="70"/>
      <c r="AT784" s="70"/>
    </row>
    <row r="785" spans="1:46">
      <c r="A785" s="70"/>
      <c r="B785" s="70"/>
      <c r="C785" s="70"/>
      <c r="D785" s="70"/>
      <c r="E785" s="70"/>
      <c r="F785" s="70"/>
      <c r="G785" s="70"/>
      <c r="H785" s="54"/>
      <c r="I785" s="70"/>
      <c r="J785" s="70"/>
      <c r="K785" s="70"/>
      <c r="L785" s="70"/>
      <c r="M785" s="70"/>
      <c r="N785" s="70"/>
      <c r="O785" s="70"/>
      <c r="P785" s="70"/>
      <c r="Q785" s="70"/>
      <c r="R785" s="70"/>
      <c r="S785" s="70"/>
      <c r="T785" s="70"/>
      <c r="U785" s="70"/>
      <c r="V785" s="70"/>
      <c r="W785" s="70"/>
      <c r="X785" s="70"/>
      <c r="Y785" s="70"/>
      <c r="Z785" s="70"/>
      <c r="AA785" s="70"/>
      <c r="AB785" s="70"/>
      <c r="AC785" s="70"/>
      <c r="AD785" s="70"/>
      <c r="AE785" s="70"/>
      <c r="AF785" s="70"/>
      <c r="AG785" s="70"/>
      <c r="AH785" s="70"/>
      <c r="AI785" s="70"/>
      <c r="AJ785" s="70"/>
      <c r="AK785" s="70"/>
      <c r="AL785" s="70"/>
      <c r="AM785" s="70"/>
      <c r="AN785" s="70"/>
      <c r="AO785" s="70"/>
      <c r="AP785" s="70"/>
      <c r="AQ785" s="70"/>
      <c r="AR785" s="70"/>
      <c r="AS785" s="70"/>
      <c r="AT785" s="70"/>
    </row>
    <row r="786" spans="1:46">
      <c r="A786" s="70"/>
      <c r="B786" s="70"/>
      <c r="C786" s="70"/>
      <c r="D786" s="70"/>
      <c r="E786" s="70"/>
      <c r="F786" s="70"/>
      <c r="G786" s="70"/>
      <c r="H786" s="54"/>
      <c r="I786" s="70"/>
      <c r="J786" s="70"/>
      <c r="K786" s="70"/>
      <c r="L786" s="70"/>
      <c r="M786" s="70"/>
      <c r="N786" s="70"/>
      <c r="O786" s="70"/>
      <c r="P786" s="70"/>
      <c r="Q786" s="70"/>
      <c r="R786" s="70"/>
      <c r="S786" s="70"/>
      <c r="T786" s="70"/>
      <c r="U786" s="70"/>
      <c r="V786" s="70"/>
      <c r="W786" s="70"/>
      <c r="X786" s="70"/>
      <c r="Y786" s="70"/>
      <c r="Z786" s="70"/>
      <c r="AA786" s="70"/>
      <c r="AB786" s="70"/>
      <c r="AC786" s="70"/>
      <c r="AD786" s="70"/>
      <c r="AE786" s="70"/>
      <c r="AF786" s="70"/>
      <c r="AG786" s="70"/>
      <c r="AH786" s="70"/>
      <c r="AI786" s="70"/>
      <c r="AJ786" s="70"/>
      <c r="AK786" s="70"/>
      <c r="AL786" s="70"/>
      <c r="AM786" s="70"/>
      <c r="AN786" s="70"/>
      <c r="AO786" s="70"/>
      <c r="AP786" s="70"/>
      <c r="AQ786" s="70"/>
      <c r="AR786" s="70"/>
      <c r="AS786" s="70"/>
      <c r="AT786" s="70"/>
    </row>
    <row r="787" spans="1:46">
      <c r="A787" s="70"/>
      <c r="B787" s="70"/>
      <c r="C787" s="70"/>
      <c r="D787" s="70"/>
      <c r="E787" s="70"/>
      <c r="F787" s="70"/>
      <c r="G787" s="70"/>
      <c r="H787" s="54"/>
      <c r="I787" s="70"/>
      <c r="J787" s="70"/>
      <c r="K787" s="70"/>
      <c r="L787" s="70"/>
      <c r="M787" s="70"/>
      <c r="N787" s="70"/>
      <c r="O787" s="70"/>
      <c r="P787" s="70"/>
      <c r="Q787" s="70"/>
      <c r="R787" s="70"/>
      <c r="S787" s="70"/>
      <c r="T787" s="70"/>
      <c r="U787" s="70"/>
      <c r="V787" s="70"/>
      <c r="W787" s="70"/>
      <c r="X787" s="70"/>
      <c r="Y787" s="70"/>
      <c r="Z787" s="70"/>
      <c r="AA787" s="70"/>
      <c r="AB787" s="70"/>
      <c r="AC787" s="70"/>
      <c r="AD787" s="70"/>
      <c r="AE787" s="70"/>
      <c r="AF787" s="70"/>
      <c r="AG787" s="70"/>
      <c r="AH787" s="70"/>
      <c r="AI787" s="70"/>
      <c r="AJ787" s="70"/>
      <c r="AK787" s="70"/>
      <c r="AL787" s="70"/>
      <c r="AM787" s="70"/>
      <c r="AN787" s="70"/>
      <c r="AO787" s="70"/>
      <c r="AP787" s="70"/>
      <c r="AQ787" s="70"/>
      <c r="AR787" s="70"/>
      <c r="AS787" s="70"/>
      <c r="AT787" s="70"/>
    </row>
    <row r="788" spans="1:46">
      <c r="A788" s="70"/>
      <c r="B788" s="70"/>
      <c r="C788" s="70"/>
      <c r="D788" s="70"/>
      <c r="E788" s="70"/>
      <c r="F788" s="70"/>
      <c r="G788" s="70"/>
      <c r="H788" s="54"/>
      <c r="I788" s="70"/>
      <c r="J788" s="70"/>
      <c r="K788" s="70"/>
      <c r="L788" s="70"/>
      <c r="M788" s="70"/>
      <c r="N788" s="70"/>
      <c r="O788" s="70"/>
      <c r="P788" s="70"/>
      <c r="Q788" s="70"/>
      <c r="R788" s="70"/>
      <c r="S788" s="70"/>
      <c r="T788" s="70"/>
      <c r="U788" s="70"/>
      <c r="V788" s="70"/>
      <c r="W788" s="70"/>
      <c r="X788" s="70"/>
      <c r="Y788" s="70"/>
      <c r="Z788" s="70"/>
      <c r="AA788" s="70"/>
      <c r="AB788" s="70"/>
      <c r="AC788" s="70"/>
      <c r="AD788" s="70"/>
      <c r="AE788" s="70"/>
      <c r="AF788" s="70"/>
      <c r="AG788" s="70"/>
      <c r="AH788" s="70"/>
      <c r="AI788" s="70"/>
      <c r="AJ788" s="70"/>
      <c r="AK788" s="70"/>
      <c r="AL788" s="70"/>
      <c r="AM788" s="70"/>
      <c r="AN788" s="70"/>
      <c r="AO788" s="70"/>
      <c r="AP788" s="70"/>
      <c r="AQ788" s="70"/>
      <c r="AR788" s="70"/>
      <c r="AS788" s="70"/>
      <c r="AT788" s="70"/>
    </row>
    <row r="789" spans="1:46">
      <c r="A789" s="70"/>
      <c r="B789" s="70"/>
      <c r="C789" s="70"/>
      <c r="D789" s="70"/>
      <c r="E789" s="70"/>
      <c r="F789" s="70"/>
      <c r="G789" s="70"/>
      <c r="H789" s="54"/>
      <c r="I789" s="70"/>
      <c r="J789" s="70"/>
      <c r="K789" s="70"/>
      <c r="L789" s="70"/>
      <c r="M789" s="70"/>
      <c r="N789" s="70"/>
      <c r="O789" s="70"/>
      <c r="P789" s="70"/>
      <c r="Q789" s="70"/>
      <c r="R789" s="70"/>
      <c r="S789" s="70"/>
      <c r="T789" s="70"/>
      <c r="U789" s="70"/>
      <c r="V789" s="70"/>
      <c r="W789" s="70"/>
      <c r="X789" s="70"/>
      <c r="Y789" s="70"/>
      <c r="Z789" s="70"/>
      <c r="AA789" s="70"/>
      <c r="AB789" s="70"/>
      <c r="AC789" s="70"/>
      <c r="AD789" s="70"/>
      <c r="AE789" s="70"/>
      <c r="AF789" s="70"/>
      <c r="AG789" s="70"/>
      <c r="AH789" s="70"/>
      <c r="AI789" s="70"/>
      <c r="AJ789" s="70"/>
      <c r="AK789" s="70"/>
      <c r="AL789" s="70"/>
      <c r="AM789" s="70"/>
      <c r="AN789" s="70"/>
      <c r="AO789" s="70"/>
      <c r="AP789" s="70"/>
      <c r="AQ789" s="70"/>
      <c r="AR789" s="70"/>
      <c r="AS789" s="70"/>
      <c r="AT789" s="70"/>
    </row>
    <row r="790" spans="1:46">
      <c r="A790" s="70"/>
      <c r="B790" s="70"/>
      <c r="C790" s="70"/>
      <c r="D790" s="70"/>
      <c r="E790" s="70"/>
      <c r="F790" s="70"/>
      <c r="G790" s="70"/>
      <c r="H790" s="54"/>
      <c r="I790" s="70"/>
      <c r="J790" s="70"/>
      <c r="K790" s="70"/>
      <c r="L790" s="70"/>
      <c r="M790" s="70"/>
      <c r="N790" s="70"/>
      <c r="O790" s="70"/>
      <c r="P790" s="70"/>
      <c r="Q790" s="70"/>
      <c r="R790" s="70"/>
      <c r="S790" s="70"/>
      <c r="T790" s="70"/>
      <c r="U790" s="70"/>
      <c r="V790" s="70"/>
      <c r="W790" s="70"/>
      <c r="X790" s="70"/>
      <c r="Y790" s="70"/>
      <c r="Z790" s="70"/>
      <c r="AA790" s="70"/>
      <c r="AB790" s="70"/>
      <c r="AC790" s="70"/>
      <c r="AD790" s="70"/>
      <c r="AE790" s="70"/>
      <c r="AF790" s="70"/>
      <c r="AG790" s="70"/>
      <c r="AH790" s="70"/>
      <c r="AI790" s="70"/>
      <c r="AJ790" s="70"/>
      <c r="AK790" s="70"/>
      <c r="AL790" s="70"/>
      <c r="AM790" s="70"/>
      <c r="AN790" s="70"/>
      <c r="AO790" s="70"/>
      <c r="AP790" s="70"/>
      <c r="AQ790" s="70"/>
      <c r="AR790" s="70"/>
      <c r="AS790" s="70"/>
      <c r="AT790" s="70"/>
    </row>
    <row r="791" spans="1:46">
      <c r="A791" s="70"/>
      <c r="B791" s="70"/>
      <c r="C791" s="70"/>
      <c r="D791" s="70"/>
      <c r="E791" s="70"/>
      <c r="F791" s="70"/>
      <c r="G791" s="70"/>
      <c r="H791" s="54"/>
      <c r="I791" s="70"/>
      <c r="J791" s="70"/>
      <c r="K791" s="70"/>
      <c r="L791" s="70"/>
      <c r="M791" s="70"/>
      <c r="N791" s="70"/>
      <c r="O791" s="70"/>
      <c r="P791" s="70"/>
      <c r="Q791" s="70"/>
      <c r="R791" s="70"/>
      <c r="S791" s="70"/>
      <c r="T791" s="70"/>
      <c r="U791" s="70"/>
      <c r="V791" s="70"/>
      <c r="W791" s="70"/>
      <c r="X791" s="70"/>
      <c r="Y791" s="70"/>
      <c r="Z791" s="70"/>
      <c r="AA791" s="70"/>
      <c r="AB791" s="70"/>
      <c r="AC791" s="70"/>
      <c r="AD791" s="70"/>
      <c r="AE791" s="70"/>
      <c r="AF791" s="70"/>
      <c r="AG791" s="70"/>
      <c r="AH791" s="70"/>
      <c r="AI791" s="70"/>
      <c r="AJ791" s="70"/>
      <c r="AK791" s="70"/>
      <c r="AL791" s="70"/>
      <c r="AM791" s="70"/>
      <c r="AN791" s="70"/>
      <c r="AO791" s="70"/>
      <c r="AP791" s="70"/>
      <c r="AQ791" s="70"/>
      <c r="AR791" s="70"/>
      <c r="AS791" s="70"/>
      <c r="AT791" s="70"/>
    </row>
    <row r="792" spans="1:46">
      <c r="A792" s="70"/>
      <c r="B792" s="70"/>
      <c r="C792" s="70"/>
      <c r="D792" s="70"/>
      <c r="E792" s="70"/>
      <c r="F792" s="70"/>
      <c r="G792" s="70"/>
      <c r="H792" s="54"/>
      <c r="I792" s="70"/>
      <c r="J792" s="70"/>
      <c r="K792" s="70"/>
      <c r="L792" s="70"/>
      <c r="M792" s="70"/>
      <c r="N792" s="70"/>
      <c r="O792" s="70"/>
      <c r="P792" s="70"/>
      <c r="Q792" s="70"/>
      <c r="R792" s="70"/>
      <c r="S792" s="70"/>
      <c r="T792" s="70"/>
      <c r="U792" s="70"/>
      <c r="V792" s="70"/>
      <c r="W792" s="70"/>
      <c r="X792" s="70"/>
      <c r="Y792" s="70"/>
      <c r="Z792" s="70"/>
      <c r="AA792" s="70"/>
      <c r="AB792" s="70"/>
      <c r="AC792" s="70"/>
      <c r="AD792" s="70"/>
      <c r="AE792" s="70"/>
      <c r="AF792" s="70"/>
      <c r="AG792" s="70"/>
      <c r="AH792" s="70"/>
      <c r="AI792" s="70"/>
      <c r="AJ792" s="70"/>
      <c r="AK792" s="70"/>
      <c r="AL792" s="70"/>
      <c r="AM792" s="70"/>
      <c r="AN792" s="70"/>
      <c r="AO792" s="70"/>
      <c r="AP792" s="70"/>
      <c r="AQ792" s="70"/>
      <c r="AR792" s="70"/>
      <c r="AS792" s="70"/>
      <c r="AT792" s="70"/>
    </row>
    <row r="793" spans="1:46">
      <c r="A793" s="70"/>
      <c r="B793" s="70"/>
      <c r="C793" s="70"/>
      <c r="D793" s="70"/>
      <c r="E793" s="70"/>
      <c r="F793" s="70"/>
      <c r="G793" s="70"/>
      <c r="H793" s="54"/>
      <c r="I793" s="70"/>
      <c r="J793" s="70"/>
      <c r="K793" s="70"/>
      <c r="L793" s="70"/>
      <c r="M793" s="70"/>
      <c r="N793" s="70"/>
      <c r="O793" s="70"/>
      <c r="P793" s="70"/>
      <c r="Q793" s="70"/>
      <c r="R793" s="70"/>
      <c r="S793" s="70"/>
      <c r="T793" s="70"/>
      <c r="U793" s="70"/>
      <c r="V793" s="70"/>
      <c r="W793" s="70"/>
      <c r="X793" s="70"/>
      <c r="Y793" s="70"/>
      <c r="Z793" s="70"/>
      <c r="AA793" s="70"/>
      <c r="AB793" s="70"/>
      <c r="AC793" s="70"/>
      <c r="AD793" s="70"/>
      <c r="AE793" s="70"/>
      <c r="AF793" s="70"/>
      <c r="AG793" s="70"/>
      <c r="AH793" s="70"/>
      <c r="AI793" s="70"/>
      <c r="AJ793" s="70"/>
      <c r="AK793" s="70"/>
      <c r="AL793" s="70"/>
      <c r="AM793" s="70"/>
      <c r="AN793" s="70"/>
      <c r="AO793" s="70"/>
      <c r="AP793" s="70"/>
      <c r="AQ793" s="70"/>
      <c r="AR793" s="70"/>
      <c r="AS793" s="70"/>
      <c r="AT793" s="70"/>
    </row>
    <row r="794" spans="1:46">
      <c r="A794" s="70"/>
      <c r="B794" s="70"/>
      <c r="C794" s="70"/>
      <c r="D794" s="70"/>
      <c r="E794" s="70"/>
      <c r="F794" s="70"/>
      <c r="G794" s="70"/>
      <c r="H794" s="54"/>
      <c r="I794" s="70"/>
      <c r="J794" s="70"/>
      <c r="K794" s="70"/>
      <c r="L794" s="70"/>
      <c r="M794" s="70"/>
      <c r="N794" s="70"/>
      <c r="O794" s="70"/>
      <c r="P794" s="70"/>
      <c r="Q794" s="70"/>
      <c r="R794" s="70"/>
      <c r="S794" s="70"/>
      <c r="T794" s="70"/>
      <c r="U794" s="70"/>
      <c r="V794" s="70"/>
      <c r="W794" s="70"/>
      <c r="X794" s="70"/>
      <c r="Y794" s="70"/>
      <c r="Z794" s="70"/>
      <c r="AA794" s="70"/>
      <c r="AB794" s="70"/>
      <c r="AC794" s="70"/>
      <c r="AD794" s="70"/>
      <c r="AE794" s="70"/>
      <c r="AF794" s="70"/>
      <c r="AG794" s="70"/>
      <c r="AH794" s="70"/>
      <c r="AI794" s="70"/>
      <c r="AJ794" s="70"/>
      <c r="AK794" s="70"/>
      <c r="AL794" s="70"/>
      <c r="AM794" s="70"/>
      <c r="AN794" s="70"/>
      <c r="AO794" s="70"/>
      <c r="AP794" s="70"/>
      <c r="AQ794" s="70"/>
      <c r="AR794" s="70"/>
      <c r="AS794" s="70"/>
      <c r="AT794" s="70"/>
    </row>
    <row r="795" spans="1:46">
      <c r="A795" s="70"/>
      <c r="B795" s="70"/>
      <c r="C795" s="70"/>
      <c r="D795" s="70"/>
      <c r="E795" s="70"/>
      <c r="F795" s="70"/>
      <c r="G795" s="70"/>
      <c r="H795" s="54"/>
      <c r="I795" s="70"/>
      <c r="J795" s="70"/>
      <c r="K795" s="70"/>
      <c r="L795" s="70"/>
      <c r="M795" s="70"/>
      <c r="N795" s="70"/>
      <c r="O795" s="70"/>
      <c r="P795" s="70"/>
      <c r="Q795" s="70"/>
      <c r="R795" s="70"/>
      <c r="S795" s="70"/>
      <c r="T795" s="70"/>
      <c r="U795" s="70"/>
      <c r="V795" s="70"/>
      <c r="W795" s="70"/>
      <c r="X795" s="70"/>
      <c r="Y795" s="70"/>
      <c r="Z795" s="70"/>
      <c r="AA795" s="70"/>
      <c r="AB795" s="70"/>
      <c r="AC795" s="70"/>
      <c r="AD795" s="70"/>
      <c r="AE795" s="70"/>
      <c r="AF795" s="70"/>
      <c r="AG795" s="70"/>
      <c r="AH795" s="70"/>
      <c r="AI795" s="70"/>
      <c r="AJ795" s="70"/>
      <c r="AK795" s="70"/>
      <c r="AL795" s="70"/>
      <c r="AM795" s="70"/>
      <c r="AN795" s="70"/>
      <c r="AO795" s="70"/>
      <c r="AP795" s="70"/>
      <c r="AQ795" s="70"/>
      <c r="AR795" s="70"/>
      <c r="AS795" s="70"/>
      <c r="AT795" s="70"/>
    </row>
    <row r="796" spans="1:46">
      <c r="A796" s="70"/>
      <c r="B796" s="70"/>
      <c r="C796" s="70"/>
      <c r="D796" s="70"/>
      <c r="E796" s="70"/>
      <c r="F796" s="70"/>
      <c r="G796" s="70"/>
      <c r="H796" s="54"/>
      <c r="I796" s="70"/>
      <c r="J796" s="70"/>
      <c r="K796" s="70"/>
      <c r="L796" s="70"/>
      <c r="M796" s="70"/>
      <c r="N796" s="70"/>
      <c r="O796" s="70"/>
      <c r="P796" s="70"/>
      <c r="Q796" s="70"/>
      <c r="R796" s="70"/>
      <c r="S796" s="70"/>
      <c r="T796" s="70"/>
      <c r="U796" s="70"/>
      <c r="V796" s="70"/>
      <c r="W796" s="70"/>
      <c r="X796" s="70"/>
      <c r="Y796" s="70"/>
      <c r="Z796" s="70"/>
      <c r="AA796" s="70"/>
      <c r="AB796" s="70"/>
      <c r="AC796" s="70"/>
      <c r="AD796" s="70"/>
      <c r="AE796" s="70"/>
      <c r="AF796" s="70"/>
      <c r="AG796" s="70"/>
      <c r="AH796" s="70"/>
      <c r="AI796" s="70"/>
      <c r="AJ796" s="70"/>
      <c r="AK796" s="70"/>
      <c r="AL796" s="70"/>
      <c r="AM796" s="70"/>
      <c r="AN796" s="70"/>
      <c r="AO796" s="70"/>
      <c r="AP796" s="70"/>
      <c r="AQ796" s="70"/>
      <c r="AR796" s="70"/>
      <c r="AS796" s="70"/>
      <c r="AT796" s="70"/>
    </row>
    <row r="797" spans="1:46">
      <c r="A797" s="70"/>
      <c r="B797" s="70"/>
      <c r="C797" s="70"/>
      <c r="D797" s="70"/>
      <c r="E797" s="70"/>
      <c r="F797" s="70"/>
      <c r="G797" s="70"/>
      <c r="H797" s="54"/>
      <c r="I797" s="70"/>
      <c r="J797" s="70"/>
      <c r="K797" s="70"/>
      <c r="L797" s="70"/>
      <c r="M797" s="70"/>
      <c r="N797" s="70"/>
      <c r="O797" s="70"/>
      <c r="P797" s="70"/>
      <c r="Q797" s="70"/>
      <c r="R797" s="70"/>
      <c r="S797" s="70"/>
      <c r="T797" s="70"/>
      <c r="U797" s="70"/>
      <c r="V797" s="70"/>
      <c r="W797" s="70"/>
      <c r="X797" s="70"/>
      <c r="Y797" s="70"/>
      <c r="Z797" s="70"/>
      <c r="AA797" s="70"/>
      <c r="AB797" s="70"/>
      <c r="AC797" s="70"/>
      <c r="AD797" s="70"/>
      <c r="AE797" s="70"/>
      <c r="AF797" s="70"/>
      <c r="AG797" s="70"/>
      <c r="AH797" s="70"/>
      <c r="AI797" s="70"/>
      <c r="AJ797" s="70"/>
      <c r="AK797" s="70"/>
      <c r="AL797" s="70"/>
      <c r="AM797" s="70"/>
      <c r="AN797" s="70"/>
      <c r="AO797" s="70"/>
      <c r="AP797" s="70"/>
      <c r="AQ797" s="70"/>
      <c r="AR797" s="70"/>
      <c r="AS797" s="70"/>
      <c r="AT797" s="70"/>
    </row>
    <row r="798" spans="1:46">
      <c r="A798" s="70"/>
      <c r="B798" s="70"/>
      <c r="C798" s="70"/>
      <c r="D798" s="70"/>
      <c r="E798" s="70"/>
      <c r="F798" s="70"/>
      <c r="G798" s="70"/>
      <c r="H798" s="54"/>
      <c r="I798" s="70"/>
      <c r="J798" s="70"/>
      <c r="K798" s="70"/>
      <c r="L798" s="70"/>
      <c r="M798" s="70"/>
      <c r="N798" s="70"/>
      <c r="O798" s="70"/>
      <c r="P798" s="70"/>
      <c r="Q798" s="70"/>
      <c r="R798" s="70"/>
      <c r="S798" s="70"/>
      <c r="T798" s="70"/>
      <c r="U798" s="70"/>
      <c r="V798" s="70"/>
      <c r="W798" s="70"/>
      <c r="X798" s="70"/>
      <c r="Y798" s="70"/>
      <c r="Z798" s="70"/>
      <c r="AA798" s="70"/>
      <c r="AB798" s="70"/>
      <c r="AC798" s="70"/>
      <c r="AD798" s="70"/>
      <c r="AE798" s="70"/>
      <c r="AF798" s="70"/>
      <c r="AG798" s="70"/>
      <c r="AH798" s="70"/>
      <c r="AI798" s="70"/>
      <c r="AJ798" s="70"/>
      <c r="AK798" s="70"/>
      <c r="AL798" s="70"/>
      <c r="AM798" s="70"/>
      <c r="AN798" s="70"/>
      <c r="AO798" s="70"/>
      <c r="AP798" s="70"/>
      <c r="AQ798" s="70"/>
      <c r="AR798" s="70"/>
      <c r="AS798" s="70"/>
      <c r="AT798" s="70"/>
    </row>
    <row r="799" spans="1:46">
      <c r="A799" s="70"/>
      <c r="B799" s="70"/>
      <c r="C799" s="70"/>
      <c r="D799" s="70"/>
      <c r="E799" s="70"/>
      <c r="F799" s="70"/>
      <c r="G799" s="70"/>
      <c r="H799" s="54"/>
      <c r="I799" s="70"/>
      <c r="J799" s="70"/>
      <c r="K799" s="70"/>
      <c r="L799" s="70"/>
      <c r="M799" s="70"/>
      <c r="N799" s="70"/>
      <c r="O799" s="70"/>
      <c r="P799" s="70"/>
      <c r="Q799" s="70"/>
      <c r="R799" s="70"/>
      <c r="S799" s="70"/>
      <c r="T799" s="70"/>
      <c r="U799" s="70"/>
      <c r="V799" s="70"/>
      <c r="W799" s="70"/>
      <c r="X799" s="70"/>
      <c r="Y799" s="70"/>
      <c r="Z799" s="70"/>
      <c r="AA799" s="70"/>
      <c r="AB799" s="70"/>
      <c r="AC799" s="70"/>
      <c r="AD799" s="70"/>
      <c r="AE799" s="70"/>
      <c r="AF799" s="70"/>
      <c r="AG799" s="70"/>
      <c r="AH799" s="70"/>
      <c r="AI799" s="70"/>
      <c r="AJ799" s="70"/>
      <c r="AK799" s="70"/>
      <c r="AL799" s="70"/>
      <c r="AM799" s="70"/>
      <c r="AN799" s="70"/>
      <c r="AO799" s="70"/>
      <c r="AP799" s="70"/>
      <c r="AQ799" s="70"/>
      <c r="AR799" s="70"/>
      <c r="AS799" s="70"/>
      <c r="AT799" s="70"/>
    </row>
    <row r="800" spans="1:46">
      <c r="A800" s="70"/>
      <c r="B800" s="70"/>
      <c r="C800" s="70"/>
      <c r="D800" s="70"/>
      <c r="E800" s="70"/>
      <c r="F800" s="70"/>
      <c r="G800" s="70"/>
      <c r="H800" s="54"/>
      <c r="I800" s="70"/>
      <c r="J800" s="70"/>
      <c r="K800" s="70"/>
      <c r="L800" s="70"/>
      <c r="M800" s="70"/>
      <c r="N800" s="70"/>
      <c r="O800" s="70"/>
      <c r="P800" s="70"/>
      <c r="Q800" s="70"/>
      <c r="R800" s="70"/>
      <c r="S800" s="70"/>
      <c r="T800" s="70"/>
      <c r="U800" s="70"/>
      <c r="V800" s="70"/>
      <c r="W800" s="70"/>
      <c r="X800" s="70"/>
      <c r="Y800" s="70"/>
      <c r="Z800" s="70"/>
      <c r="AA800" s="70"/>
      <c r="AB800" s="70"/>
      <c r="AC800" s="70"/>
      <c r="AD800" s="70"/>
      <c r="AE800" s="70"/>
      <c r="AF800" s="70"/>
      <c r="AG800" s="70"/>
      <c r="AH800" s="70"/>
      <c r="AI800" s="70"/>
      <c r="AJ800" s="70"/>
      <c r="AK800" s="70"/>
      <c r="AL800" s="70"/>
      <c r="AM800" s="70"/>
      <c r="AN800" s="70"/>
      <c r="AO800" s="70"/>
      <c r="AP800" s="70"/>
      <c r="AQ800" s="70"/>
      <c r="AR800" s="70"/>
      <c r="AS800" s="70"/>
      <c r="AT800" s="70"/>
    </row>
    <row r="801" spans="1:46">
      <c r="A801" s="70"/>
      <c r="B801" s="70"/>
      <c r="C801" s="70"/>
      <c r="D801" s="70"/>
      <c r="E801" s="70"/>
      <c r="F801" s="70"/>
      <c r="G801" s="70"/>
      <c r="H801" s="54"/>
      <c r="I801" s="70"/>
      <c r="J801" s="70"/>
      <c r="K801" s="70"/>
      <c r="L801" s="70"/>
      <c r="M801" s="70"/>
      <c r="N801" s="70"/>
      <c r="O801" s="70"/>
      <c r="P801" s="70"/>
      <c r="Q801" s="70"/>
      <c r="R801" s="70"/>
      <c r="S801" s="70"/>
      <c r="T801" s="70"/>
      <c r="U801" s="70"/>
      <c r="V801" s="70"/>
      <c r="W801" s="70"/>
      <c r="X801" s="70"/>
      <c r="Y801" s="70"/>
      <c r="Z801" s="70"/>
      <c r="AA801" s="70"/>
      <c r="AB801" s="70"/>
      <c r="AC801" s="70"/>
      <c r="AD801" s="70"/>
      <c r="AE801" s="70"/>
      <c r="AF801" s="70"/>
      <c r="AG801" s="70"/>
      <c r="AH801" s="70"/>
      <c r="AI801" s="70"/>
      <c r="AJ801" s="70"/>
      <c r="AK801" s="70"/>
      <c r="AL801" s="70"/>
      <c r="AM801" s="70"/>
      <c r="AN801" s="70"/>
      <c r="AO801" s="70"/>
      <c r="AP801" s="70"/>
      <c r="AQ801" s="70"/>
      <c r="AR801" s="70"/>
      <c r="AS801" s="70"/>
      <c r="AT801" s="70"/>
    </row>
    <row r="802" spans="1:46">
      <c r="A802" s="70"/>
      <c r="B802" s="70"/>
      <c r="C802" s="70"/>
      <c r="D802" s="70"/>
      <c r="E802" s="70"/>
      <c r="F802" s="70"/>
      <c r="G802" s="70"/>
      <c r="H802" s="54"/>
      <c r="I802" s="70"/>
      <c r="J802" s="70"/>
      <c r="K802" s="70"/>
      <c r="L802" s="70"/>
      <c r="M802" s="70"/>
      <c r="N802" s="70"/>
      <c r="O802" s="70"/>
      <c r="P802" s="70"/>
      <c r="Q802" s="70"/>
      <c r="R802" s="70"/>
      <c r="S802" s="70"/>
      <c r="T802" s="70"/>
      <c r="U802" s="70"/>
      <c r="V802" s="70"/>
      <c r="W802" s="70"/>
      <c r="X802" s="70"/>
      <c r="Y802" s="70"/>
      <c r="Z802" s="70"/>
      <c r="AA802" s="70"/>
      <c r="AB802" s="70"/>
      <c r="AC802" s="70"/>
      <c r="AD802" s="70"/>
      <c r="AE802" s="70"/>
      <c r="AF802" s="70"/>
      <c r="AG802" s="70"/>
      <c r="AH802" s="70"/>
      <c r="AI802" s="70"/>
      <c r="AJ802" s="70"/>
      <c r="AK802" s="70"/>
      <c r="AL802" s="70"/>
      <c r="AM802" s="70"/>
      <c r="AN802" s="70"/>
      <c r="AO802" s="70"/>
      <c r="AP802" s="70"/>
      <c r="AQ802" s="70"/>
      <c r="AR802" s="70"/>
      <c r="AS802" s="70"/>
      <c r="AT802" s="70"/>
    </row>
    <row r="803" spans="1:46">
      <c r="A803" s="70"/>
      <c r="B803" s="70"/>
      <c r="C803" s="70"/>
      <c r="D803" s="70"/>
      <c r="E803" s="70"/>
      <c r="F803" s="70"/>
      <c r="G803" s="70"/>
      <c r="H803" s="54"/>
      <c r="I803" s="70"/>
      <c r="J803" s="70"/>
      <c r="K803" s="70"/>
      <c r="L803" s="70"/>
      <c r="M803" s="70"/>
      <c r="N803" s="70"/>
      <c r="O803" s="70"/>
      <c r="P803" s="70"/>
      <c r="Q803" s="70"/>
      <c r="R803" s="70"/>
      <c r="S803" s="70"/>
      <c r="T803" s="70"/>
      <c r="U803" s="70"/>
      <c r="V803" s="70"/>
      <c r="W803" s="70"/>
      <c r="X803" s="70"/>
      <c r="Y803" s="70"/>
      <c r="Z803" s="70"/>
      <c r="AA803" s="70"/>
      <c r="AB803" s="70"/>
      <c r="AC803" s="70"/>
      <c r="AD803" s="70"/>
      <c r="AE803" s="70"/>
      <c r="AF803" s="70"/>
      <c r="AG803" s="70"/>
      <c r="AH803" s="70"/>
      <c r="AI803" s="70"/>
      <c r="AJ803" s="70"/>
      <c r="AK803" s="70"/>
      <c r="AL803" s="70"/>
      <c r="AM803" s="70"/>
      <c r="AN803" s="70"/>
      <c r="AO803" s="70"/>
      <c r="AP803" s="70"/>
      <c r="AQ803" s="70"/>
      <c r="AR803" s="70"/>
      <c r="AS803" s="70"/>
      <c r="AT803" s="70"/>
    </row>
    <row r="804" spans="1:46">
      <c r="A804" s="70"/>
      <c r="B804" s="70"/>
      <c r="C804" s="70"/>
      <c r="D804" s="70"/>
      <c r="E804" s="70"/>
      <c r="F804" s="70"/>
      <c r="G804" s="70"/>
      <c r="H804" s="54"/>
      <c r="I804" s="70"/>
      <c r="J804" s="70"/>
      <c r="K804" s="70"/>
      <c r="L804" s="70"/>
      <c r="M804" s="70"/>
      <c r="N804" s="70"/>
      <c r="O804" s="70"/>
      <c r="P804" s="70"/>
      <c r="Q804" s="70"/>
      <c r="R804" s="70"/>
      <c r="S804" s="70"/>
      <c r="T804" s="70"/>
      <c r="U804" s="70"/>
      <c r="V804" s="70"/>
      <c r="W804" s="70"/>
      <c r="X804" s="70"/>
      <c r="Y804" s="70"/>
      <c r="Z804" s="70"/>
      <c r="AA804" s="70"/>
      <c r="AB804" s="70"/>
      <c r="AC804" s="70"/>
      <c r="AD804" s="70"/>
      <c r="AE804" s="70"/>
      <c r="AF804" s="70"/>
      <c r="AG804" s="70"/>
      <c r="AH804" s="70"/>
      <c r="AI804" s="70"/>
      <c r="AJ804" s="70"/>
      <c r="AK804" s="70"/>
      <c r="AL804" s="70"/>
      <c r="AM804" s="70"/>
      <c r="AN804" s="70"/>
      <c r="AO804" s="70"/>
      <c r="AP804" s="70"/>
      <c r="AQ804" s="70"/>
      <c r="AR804" s="70"/>
      <c r="AS804" s="70"/>
      <c r="AT804" s="70"/>
    </row>
    <row r="805" spans="1:46">
      <c r="A805" s="70"/>
      <c r="B805" s="70"/>
      <c r="C805" s="70"/>
      <c r="D805" s="70"/>
      <c r="E805" s="70"/>
      <c r="F805" s="70"/>
      <c r="G805" s="70"/>
      <c r="H805" s="54"/>
      <c r="I805" s="70"/>
      <c r="J805" s="70"/>
      <c r="K805" s="70"/>
      <c r="L805" s="70"/>
      <c r="M805" s="70"/>
      <c r="N805" s="70"/>
      <c r="O805" s="70"/>
      <c r="P805" s="70"/>
      <c r="Q805" s="70"/>
      <c r="R805" s="70"/>
      <c r="S805" s="70"/>
      <c r="T805" s="70"/>
      <c r="U805" s="70"/>
      <c r="V805" s="70"/>
      <c r="W805" s="70"/>
      <c r="X805" s="70"/>
      <c r="Y805" s="70"/>
      <c r="Z805" s="70"/>
      <c r="AA805" s="70"/>
      <c r="AB805" s="70"/>
      <c r="AC805" s="70"/>
      <c r="AD805" s="70"/>
      <c r="AE805" s="70"/>
      <c r="AF805" s="70"/>
      <c r="AG805" s="70"/>
      <c r="AH805" s="70"/>
      <c r="AI805" s="70"/>
      <c r="AJ805" s="70"/>
      <c r="AK805" s="70"/>
      <c r="AL805" s="70"/>
      <c r="AM805" s="70"/>
      <c r="AN805" s="70"/>
      <c r="AO805" s="70"/>
      <c r="AP805" s="70"/>
      <c r="AQ805" s="70"/>
      <c r="AR805" s="70"/>
      <c r="AS805" s="70"/>
      <c r="AT805" s="70"/>
    </row>
    <row r="806" spans="1:46">
      <c r="A806" s="70"/>
      <c r="B806" s="70"/>
      <c r="C806" s="70"/>
      <c r="D806" s="70"/>
      <c r="E806" s="70"/>
      <c r="F806" s="70"/>
      <c r="G806" s="70"/>
      <c r="H806" s="54"/>
      <c r="I806" s="70"/>
      <c r="J806" s="70"/>
      <c r="K806" s="70"/>
      <c r="L806" s="70"/>
      <c r="M806" s="70"/>
      <c r="N806" s="70"/>
      <c r="O806" s="70"/>
      <c r="P806" s="70"/>
      <c r="Q806" s="70"/>
      <c r="R806" s="70"/>
      <c r="S806" s="70"/>
      <c r="T806" s="70"/>
      <c r="U806" s="70"/>
      <c r="V806" s="70"/>
      <c r="W806" s="70"/>
      <c r="X806" s="70"/>
      <c r="Y806" s="70"/>
      <c r="Z806" s="70"/>
      <c r="AA806" s="70"/>
      <c r="AB806" s="70"/>
      <c r="AC806" s="70"/>
      <c r="AD806" s="70"/>
      <c r="AE806" s="70"/>
      <c r="AF806" s="70"/>
      <c r="AG806" s="70"/>
      <c r="AH806" s="70"/>
      <c r="AI806" s="70"/>
      <c r="AJ806" s="70"/>
      <c r="AK806" s="70"/>
      <c r="AL806" s="70"/>
      <c r="AM806" s="70"/>
      <c r="AN806" s="70"/>
      <c r="AO806" s="70"/>
      <c r="AP806" s="70"/>
      <c r="AQ806" s="70"/>
      <c r="AR806" s="70"/>
      <c r="AS806" s="70"/>
      <c r="AT806" s="70"/>
    </row>
    <row r="807" spans="1:46">
      <c r="A807" s="70"/>
      <c r="B807" s="70"/>
      <c r="C807" s="70"/>
      <c r="D807" s="70"/>
      <c r="E807" s="70"/>
      <c r="F807" s="70"/>
      <c r="G807" s="70"/>
      <c r="H807" s="54"/>
      <c r="I807" s="70"/>
      <c r="J807" s="70"/>
      <c r="K807" s="70"/>
      <c r="L807" s="70"/>
      <c r="M807" s="70"/>
      <c r="N807" s="70"/>
      <c r="O807" s="70"/>
      <c r="P807" s="70"/>
      <c r="Q807" s="70"/>
      <c r="R807" s="70"/>
      <c r="S807" s="70"/>
      <c r="T807" s="70"/>
      <c r="U807" s="70"/>
      <c r="V807" s="70"/>
      <c r="W807" s="70"/>
      <c r="X807" s="70"/>
      <c r="Y807" s="70"/>
      <c r="Z807" s="70"/>
      <c r="AA807" s="70"/>
      <c r="AB807" s="70"/>
      <c r="AC807" s="70"/>
      <c r="AD807" s="70"/>
      <c r="AE807" s="70"/>
      <c r="AF807" s="70"/>
      <c r="AG807" s="70"/>
      <c r="AH807" s="70"/>
      <c r="AI807" s="70"/>
      <c r="AJ807" s="70"/>
      <c r="AK807" s="70"/>
      <c r="AL807" s="70"/>
      <c r="AM807" s="70"/>
      <c r="AN807" s="70"/>
      <c r="AO807" s="70"/>
      <c r="AP807" s="70"/>
      <c r="AQ807" s="70"/>
      <c r="AR807" s="70"/>
      <c r="AS807" s="70"/>
      <c r="AT807" s="70"/>
    </row>
    <row r="808" spans="1:46">
      <c r="A808" s="70"/>
      <c r="B808" s="70"/>
      <c r="C808" s="70"/>
      <c r="D808" s="70"/>
      <c r="E808" s="70"/>
      <c r="F808" s="70"/>
      <c r="G808" s="70"/>
      <c r="H808" s="54"/>
      <c r="I808" s="70"/>
      <c r="J808" s="70"/>
      <c r="K808" s="70"/>
      <c r="L808" s="70"/>
      <c r="M808" s="70"/>
      <c r="N808" s="70"/>
      <c r="O808" s="70"/>
      <c r="P808" s="70"/>
      <c r="Q808" s="70"/>
      <c r="R808" s="70"/>
      <c r="S808" s="70"/>
      <c r="T808" s="70"/>
      <c r="U808" s="70"/>
      <c r="V808" s="70"/>
      <c r="W808" s="70"/>
      <c r="X808" s="70"/>
      <c r="Y808" s="70"/>
      <c r="Z808" s="70"/>
      <c r="AA808" s="70"/>
      <c r="AB808" s="70"/>
      <c r="AC808" s="70"/>
      <c r="AD808" s="70"/>
      <c r="AE808" s="70"/>
      <c r="AF808" s="70"/>
      <c r="AG808" s="70"/>
      <c r="AH808" s="70"/>
      <c r="AI808" s="70"/>
      <c r="AJ808" s="70"/>
      <c r="AK808" s="70"/>
      <c r="AL808" s="70"/>
      <c r="AM808" s="70"/>
      <c r="AN808" s="70"/>
      <c r="AO808" s="70"/>
      <c r="AP808" s="70"/>
      <c r="AQ808" s="70"/>
      <c r="AR808" s="70"/>
      <c r="AS808" s="70"/>
      <c r="AT808" s="70"/>
    </row>
    <row r="809" spans="1:46">
      <c r="A809" s="70"/>
      <c r="B809" s="70"/>
      <c r="C809" s="70"/>
      <c r="D809" s="70"/>
      <c r="E809" s="70"/>
      <c r="F809" s="70"/>
      <c r="G809" s="70"/>
      <c r="H809" s="54"/>
      <c r="I809" s="70"/>
      <c r="J809" s="70"/>
      <c r="K809" s="70"/>
      <c r="L809" s="70"/>
      <c r="M809" s="70"/>
      <c r="N809" s="70"/>
      <c r="O809" s="70"/>
      <c r="P809" s="70"/>
      <c r="Q809" s="70"/>
      <c r="R809" s="70"/>
      <c r="S809" s="70"/>
      <c r="T809" s="70"/>
      <c r="U809" s="70"/>
      <c r="V809" s="70"/>
      <c r="W809" s="70"/>
      <c r="X809" s="70"/>
      <c r="Y809" s="70"/>
      <c r="Z809" s="70"/>
      <c r="AA809" s="70"/>
      <c r="AB809" s="70"/>
      <c r="AC809" s="70"/>
      <c r="AD809" s="70"/>
      <c r="AE809" s="70"/>
      <c r="AF809" s="70"/>
      <c r="AG809" s="70"/>
      <c r="AH809" s="70"/>
      <c r="AI809" s="70"/>
      <c r="AJ809" s="70"/>
      <c r="AK809" s="70"/>
      <c r="AL809" s="70"/>
      <c r="AM809" s="70"/>
      <c r="AN809" s="70"/>
      <c r="AO809" s="70"/>
      <c r="AP809" s="70"/>
      <c r="AQ809" s="70"/>
      <c r="AR809" s="70"/>
      <c r="AS809" s="70"/>
      <c r="AT809" s="70"/>
    </row>
    <row r="810" spans="1:46">
      <c r="A810" s="70"/>
      <c r="B810" s="70"/>
      <c r="C810" s="70"/>
      <c r="D810" s="70"/>
      <c r="E810" s="70"/>
      <c r="F810" s="70"/>
      <c r="G810" s="70"/>
      <c r="H810" s="54"/>
      <c r="I810" s="70"/>
      <c r="J810" s="70"/>
      <c r="K810" s="70"/>
      <c r="L810" s="70"/>
      <c r="M810" s="70"/>
      <c r="N810" s="70"/>
      <c r="O810" s="70"/>
      <c r="P810" s="70"/>
      <c r="Q810" s="70"/>
      <c r="R810" s="70"/>
      <c r="S810" s="70"/>
      <c r="T810" s="70"/>
      <c r="U810" s="70"/>
      <c r="V810" s="70"/>
      <c r="W810" s="70"/>
      <c r="X810" s="70"/>
      <c r="Y810" s="70"/>
      <c r="Z810" s="70"/>
      <c r="AA810" s="70"/>
      <c r="AB810" s="70"/>
      <c r="AC810" s="70"/>
      <c r="AD810" s="70"/>
      <c r="AE810" s="70"/>
      <c r="AF810" s="70"/>
      <c r="AG810" s="70"/>
      <c r="AH810" s="70"/>
      <c r="AI810" s="70"/>
      <c r="AJ810" s="70"/>
      <c r="AK810" s="70"/>
      <c r="AL810" s="70"/>
      <c r="AM810" s="70"/>
      <c r="AN810" s="70"/>
      <c r="AO810" s="70"/>
      <c r="AP810" s="70"/>
      <c r="AQ810" s="70"/>
      <c r="AR810" s="70"/>
      <c r="AS810" s="70"/>
      <c r="AT810" s="70"/>
    </row>
    <row r="811" spans="1:46">
      <c r="A811" s="70"/>
      <c r="B811" s="70"/>
      <c r="C811" s="70"/>
      <c r="D811" s="70"/>
      <c r="E811" s="70"/>
      <c r="F811" s="70"/>
      <c r="G811" s="70"/>
      <c r="H811" s="54"/>
      <c r="I811" s="70"/>
      <c r="J811" s="70"/>
      <c r="K811" s="70"/>
      <c r="L811" s="70"/>
      <c r="M811" s="70"/>
      <c r="N811" s="70"/>
      <c r="O811" s="70"/>
      <c r="P811" s="70"/>
      <c r="Q811" s="70"/>
      <c r="R811" s="70"/>
      <c r="S811" s="70"/>
      <c r="T811" s="70"/>
      <c r="U811" s="70"/>
      <c r="V811" s="70"/>
      <c r="W811" s="70"/>
      <c r="X811" s="70"/>
      <c r="Y811" s="70"/>
      <c r="Z811" s="70"/>
      <c r="AA811" s="70"/>
      <c r="AB811" s="70"/>
      <c r="AC811" s="70"/>
      <c r="AD811" s="70"/>
      <c r="AE811" s="70"/>
      <c r="AF811" s="70"/>
      <c r="AG811" s="70"/>
      <c r="AH811" s="70"/>
      <c r="AI811" s="70"/>
      <c r="AJ811" s="70"/>
      <c r="AK811" s="70"/>
      <c r="AL811" s="70"/>
      <c r="AM811" s="70"/>
      <c r="AN811" s="70"/>
      <c r="AO811" s="70"/>
      <c r="AP811" s="70"/>
      <c r="AQ811" s="70"/>
      <c r="AR811" s="70"/>
      <c r="AS811" s="70"/>
      <c r="AT811" s="70"/>
    </row>
    <row r="812" spans="1:46">
      <c r="A812" s="70"/>
      <c r="B812" s="70"/>
      <c r="C812" s="70"/>
      <c r="D812" s="70"/>
      <c r="E812" s="70"/>
      <c r="F812" s="70"/>
      <c r="G812" s="70"/>
      <c r="H812" s="54"/>
      <c r="I812" s="70"/>
      <c r="J812" s="70"/>
      <c r="K812" s="70"/>
      <c r="L812" s="70"/>
      <c r="M812" s="70"/>
      <c r="N812" s="70"/>
      <c r="O812" s="70"/>
      <c r="P812" s="70"/>
      <c r="Q812" s="70"/>
      <c r="R812" s="70"/>
      <c r="S812" s="70"/>
      <c r="T812" s="70"/>
      <c r="U812" s="70"/>
      <c r="V812" s="70"/>
      <c r="W812" s="70"/>
      <c r="X812" s="70"/>
      <c r="Y812" s="70"/>
      <c r="Z812" s="70"/>
      <c r="AA812" s="70"/>
      <c r="AB812" s="70"/>
      <c r="AC812" s="70"/>
      <c r="AD812" s="70"/>
      <c r="AE812" s="70"/>
      <c r="AF812" s="70"/>
      <c r="AG812" s="70"/>
      <c r="AH812" s="70"/>
      <c r="AI812" s="70"/>
      <c r="AJ812" s="70"/>
      <c r="AK812" s="70"/>
      <c r="AL812" s="70"/>
      <c r="AM812" s="70"/>
      <c r="AN812" s="70"/>
      <c r="AO812" s="70"/>
      <c r="AP812" s="70"/>
      <c r="AQ812" s="70"/>
      <c r="AR812" s="70"/>
      <c r="AS812" s="70"/>
      <c r="AT812" s="70"/>
    </row>
    <row r="813" spans="1:46">
      <c r="A813" s="70"/>
      <c r="B813" s="70"/>
      <c r="C813" s="70"/>
      <c r="D813" s="70"/>
      <c r="E813" s="70"/>
      <c r="F813" s="70"/>
      <c r="G813" s="70"/>
      <c r="H813" s="54"/>
      <c r="I813" s="70"/>
      <c r="J813" s="70"/>
      <c r="K813" s="70"/>
      <c r="L813" s="70"/>
      <c r="M813" s="70"/>
      <c r="N813" s="70"/>
      <c r="O813" s="70"/>
      <c r="P813" s="70"/>
      <c r="Q813" s="70"/>
      <c r="R813" s="70"/>
      <c r="S813" s="70"/>
      <c r="T813" s="70"/>
      <c r="U813" s="70"/>
      <c r="V813" s="70"/>
      <c r="W813" s="70"/>
      <c r="X813" s="70"/>
      <c r="Y813" s="70"/>
      <c r="Z813" s="70"/>
      <c r="AA813" s="70"/>
      <c r="AB813" s="70"/>
      <c r="AC813" s="70"/>
      <c r="AD813" s="70"/>
      <c r="AE813" s="70"/>
      <c r="AF813" s="70"/>
      <c r="AG813" s="70"/>
      <c r="AH813" s="70"/>
      <c r="AI813" s="70"/>
      <c r="AJ813" s="70"/>
      <c r="AK813" s="70"/>
      <c r="AL813" s="70"/>
      <c r="AM813" s="70"/>
      <c r="AN813" s="70"/>
      <c r="AO813" s="70"/>
      <c r="AP813" s="70"/>
      <c r="AQ813" s="70"/>
      <c r="AR813" s="70"/>
      <c r="AS813" s="70"/>
      <c r="AT813" s="70"/>
    </row>
    <row r="814" spans="1:46">
      <c r="A814" s="70"/>
      <c r="B814" s="70"/>
      <c r="C814" s="70"/>
      <c r="D814" s="70"/>
      <c r="E814" s="70"/>
      <c r="F814" s="70"/>
      <c r="G814" s="70"/>
      <c r="H814" s="54"/>
      <c r="I814" s="70"/>
      <c r="J814" s="70"/>
      <c r="K814" s="70"/>
      <c r="L814" s="70"/>
      <c r="M814" s="70"/>
      <c r="N814" s="70"/>
      <c r="O814" s="70"/>
      <c r="P814" s="70"/>
      <c r="Q814" s="70"/>
      <c r="R814" s="70"/>
      <c r="S814" s="70"/>
      <c r="T814" s="70"/>
      <c r="U814" s="70"/>
      <c r="V814" s="70"/>
      <c r="W814" s="70"/>
      <c r="X814" s="70"/>
      <c r="Y814" s="70"/>
      <c r="Z814" s="70"/>
      <c r="AA814" s="70"/>
      <c r="AB814" s="70"/>
      <c r="AC814" s="70"/>
      <c r="AD814" s="70"/>
      <c r="AE814" s="70"/>
      <c r="AF814" s="70"/>
      <c r="AG814" s="70"/>
      <c r="AH814" s="70"/>
      <c r="AI814" s="70"/>
      <c r="AJ814" s="70"/>
      <c r="AK814" s="70"/>
      <c r="AL814" s="70"/>
      <c r="AM814" s="70"/>
      <c r="AN814" s="70"/>
      <c r="AO814" s="70"/>
      <c r="AP814" s="70"/>
      <c r="AQ814" s="70"/>
      <c r="AR814" s="70"/>
      <c r="AS814" s="70"/>
      <c r="AT814" s="70"/>
    </row>
    <row r="815" spans="1:46">
      <c r="A815" s="70"/>
      <c r="B815" s="70"/>
      <c r="C815" s="70"/>
      <c r="D815" s="70"/>
      <c r="E815" s="70"/>
      <c r="F815" s="70"/>
      <c r="G815" s="70"/>
      <c r="H815" s="54"/>
      <c r="I815" s="70"/>
      <c r="J815" s="70"/>
      <c r="K815" s="70"/>
      <c r="L815" s="70"/>
      <c r="M815" s="70"/>
      <c r="N815" s="70"/>
      <c r="O815" s="70"/>
      <c r="P815" s="70"/>
      <c r="Q815" s="70"/>
      <c r="R815" s="70"/>
      <c r="S815" s="70"/>
      <c r="T815" s="70"/>
      <c r="U815" s="70"/>
      <c r="V815" s="70"/>
      <c r="W815" s="70"/>
      <c r="X815" s="70"/>
      <c r="Y815" s="70"/>
      <c r="Z815" s="70"/>
      <c r="AA815" s="70"/>
      <c r="AB815" s="70"/>
      <c r="AC815" s="70"/>
      <c r="AD815" s="70"/>
      <c r="AE815" s="70"/>
      <c r="AF815" s="70"/>
      <c r="AG815" s="70"/>
      <c r="AH815" s="70"/>
      <c r="AI815" s="70"/>
      <c r="AJ815" s="70"/>
      <c r="AK815" s="70"/>
      <c r="AL815" s="70"/>
      <c r="AM815" s="70"/>
      <c r="AN815" s="70"/>
      <c r="AO815" s="70"/>
      <c r="AP815" s="70"/>
      <c r="AQ815" s="70"/>
      <c r="AR815" s="70"/>
      <c r="AS815" s="70"/>
      <c r="AT815" s="70"/>
    </row>
    <row r="816" spans="1:46">
      <c r="A816" s="70"/>
      <c r="B816" s="70"/>
      <c r="C816" s="70"/>
      <c r="D816" s="70"/>
      <c r="E816" s="70"/>
      <c r="F816" s="70"/>
      <c r="G816" s="70"/>
      <c r="H816" s="54"/>
      <c r="I816" s="70"/>
      <c r="J816" s="70"/>
      <c r="K816" s="70"/>
      <c r="L816" s="70"/>
      <c r="M816" s="70"/>
      <c r="N816" s="70"/>
      <c r="O816" s="70"/>
      <c r="P816" s="70"/>
      <c r="Q816" s="70"/>
      <c r="R816" s="70"/>
      <c r="S816" s="70"/>
      <c r="T816" s="70"/>
      <c r="U816" s="70"/>
      <c r="V816" s="70"/>
      <c r="W816" s="70"/>
      <c r="X816" s="70"/>
      <c r="Y816" s="70"/>
      <c r="Z816" s="70"/>
      <c r="AA816" s="70"/>
      <c r="AB816" s="70"/>
      <c r="AC816" s="70"/>
      <c r="AD816" s="70"/>
      <c r="AE816" s="70"/>
      <c r="AF816" s="70"/>
      <c r="AG816" s="70"/>
      <c r="AH816" s="70"/>
      <c r="AI816" s="70"/>
      <c r="AJ816" s="70"/>
      <c r="AK816" s="70"/>
      <c r="AL816" s="70"/>
      <c r="AM816" s="70"/>
      <c r="AN816" s="70"/>
      <c r="AO816" s="70"/>
      <c r="AP816" s="70"/>
      <c r="AQ816" s="70"/>
      <c r="AR816" s="70"/>
      <c r="AS816" s="70"/>
      <c r="AT816" s="70"/>
    </row>
    <row r="817" spans="1:46">
      <c r="A817" s="70"/>
      <c r="B817" s="70"/>
      <c r="C817" s="70"/>
      <c r="D817" s="70"/>
      <c r="E817" s="70"/>
      <c r="F817" s="70"/>
      <c r="G817" s="70"/>
      <c r="H817" s="54"/>
      <c r="I817" s="70"/>
      <c r="J817" s="70"/>
      <c r="K817" s="70"/>
      <c r="L817" s="70"/>
      <c r="M817" s="70"/>
      <c r="N817" s="70"/>
      <c r="O817" s="70"/>
      <c r="P817" s="70"/>
      <c r="Q817" s="70"/>
      <c r="R817" s="70"/>
      <c r="S817" s="70"/>
      <c r="T817" s="70"/>
      <c r="U817" s="70"/>
      <c r="V817" s="70"/>
      <c r="W817" s="70"/>
      <c r="X817" s="70"/>
      <c r="Y817" s="70"/>
      <c r="Z817" s="70"/>
      <c r="AA817" s="70"/>
      <c r="AB817" s="70"/>
      <c r="AC817" s="70"/>
      <c r="AD817" s="70"/>
      <c r="AE817" s="70"/>
      <c r="AF817" s="70"/>
      <c r="AG817" s="70"/>
      <c r="AH817" s="70"/>
      <c r="AI817" s="70"/>
      <c r="AJ817" s="70"/>
      <c r="AK817" s="70"/>
      <c r="AL817" s="70"/>
      <c r="AM817" s="70"/>
      <c r="AN817" s="70"/>
      <c r="AO817" s="70"/>
      <c r="AP817" s="70"/>
      <c r="AQ817" s="70"/>
      <c r="AR817" s="70"/>
      <c r="AS817" s="70"/>
      <c r="AT817" s="70"/>
    </row>
    <row r="818" spans="1:46">
      <c r="A818" s="70"/>
      <c r="B818" s="70"/>
      <c r="C818" s="70"/>
      <c r="D818" s="70"/>
      <c r="E818" s="70"/>
      <c r="F818" s="70"/>
      <c r="G818" s="70"/>
      <c r="H818" s="54"/>
      <c r="I818" s="70"/>
      <c r="J818" s="70"/>
      <c r="K818" s="70"/>
      <c r="L818" s="70"/>
      <c r="M818" s="70"/>
      <c r="N818" s="70"/>
      <c r="O818" s="70"/>
      <c r="P818" s="70"/>
      <c r="Q818" s="70"/>
      <c r="R818" s="70"/>
      <c r="S818" s="70"/>
      <c r="T818" s="70"/>
      <c r="U818" s="70"/>
      <c r="V818" s="70"/>
      <c r="W818" s="70"/>
      <c r="X818" s="70"/>
      <c r="Y818" s="70"/>
      <c r="Z818" s="70"/>
      <c r="AA818" s="70"/>
      <c r="AB818" s="70"/>
      <c r="AC818" s="70"/>
      <c r="AD818" s="70"/>
      <c r="AE818" s="70"/>
      <c r="AF818" s="70"/>
      <c r="AG818" s="70"/>
      <c r="AH818" s="70"/>
      <c r="AI818" s="70"/>
      <c r="AJ818" s="70"/>
      <c r="AK818" s="70"/>
      <c r="AL818" s="70"/>
      <c r="AM818" s="70"/>
      <c r="AN818" s="70"/>
      <c r="AO818" s="70"/>
      <c r="AP818" s="70"/>
      <c r="AQ818" s="70"/>
      <c r="AR818" s="70"/>
      <c r="AS818" s="70"/>
      <c r="AT818" s="70"/>
    </row>
    <row r="819" spans="1:46">
      <c r="A819" s="70"/>
      <c r="B819" s="70"/>
      <c r="C819" s="70"/>
      <c r="D819" s="70"/>
      <c r="E819" s="70"/>
      <c r="F819" s="70"/>
      <c r="G819" s="70"/>
      <c r="H819" s="54"/>
      <c r="I819" s="70"/>
      <c r="J819" s="70"/>
      <c r="K819" s="70"/>
      <c r="L819" s="70"/>
      <c r="M819" s="70"/>
      <c r="N819" s="70"/>
      <c r="O819" s="70"/>
      <c r="P819" s="70"/>
      <c r="Q819" s="70"/>
      <c r="R819" s="70"/>
      <c r="S819" s="70"/>
      <c r="T819" s="70"/>
      <c r="U819" s="70"/>
      <c r="V819" s="70"/>
      <c r="W819" s="70"/>
      <c r="X819" s="70"/>
      <c r="Y819" s="70"/>
      <c r="Z819" s="70"/>
      <c r="AA819" s="70"/>
      <c r="AB819" s="70"/>
      <c r="AC819" s="70"/>
      <c r="AD819" s="70"/>
      <c r="AE819" s="70"/>
      <c r="AF819" s="70"/>
      <c r="AG819" s="70"/>
      <c r="AH819" s="70"/>
      <c r="AI819" s="70"/>
      <c r="AJ819" s="70"/>
      <c r="AK819" s="70"/>
      <c r="AL819" s="70"/>
      <c r="AM819" s="70"/>
      <c r="AN819" s="70"/>
      <c r="AO819" s="70"/>
      <c r="AP819" s="70"/>
      <c r="AQ819" s="70"/>
      <c r="AR819" s="70"/>
      <c r="AS819" s="70"/>
      <c r="AT819" s="70"/>
    </row>
    <row r="820" spans="1:46">
      <c r="A820" s="70"/>
      <c r="B820" s="70"/>
      <c r="C820" s="70"/>
      <c r="D820" s="70"/>
      <c r="E820" s="70"/>
      <c r="F820" s="70"/>
      <c r="G820" s="70"/>
      <c r="H820" s="54"/>
      <c r="I820" s="70"/>
      <c r="J820" s="70"/>
      <c r="K820" s="70"/>
      <c r="L820" s="70"/>
      <c r="M820" s="70"/>
      <c r="N820" s="70"/>
      <c r="O820" s="70"/>
      <c r="P820" s="70"/>
      <c r="Q820" s="70"/>
      <c r="R820" s="70"/>
      <c r="S820" s="70"/>
      <c r="T820" s="70"/>
      <c r="U820" s="70"/>
      <c r="V820" s="70"/>
      <c r="W820" s="70"/>
      <c r="X820" s="70"/>
      <c r="Y820" s="70"/>
      <c r="Z820" s="70"/>
      <c r="AA820" s="70"/>
      <c r="AB820" s="70"/>
      <c r="AC820" s="70"/>
      <c r="AD820" s="70"/>
      <c r="AE820" s="70"/>
      <c r="AF820" s="70"/>
      <c r="AG820" s="70"/>
      <c r="AH820" s="70"/>
      <c r="AI820" s="70"/>
      <c r="AJ820" s="70"/>
      <c r="AK820" s="70"/>
      <c r="AL820" s="70"/>
      <c r="AM820" s="70"/>
      <c r="AN820" s="70"/>
      <c r="AO820" s="70"/>
      <c r="AP820" s="70"/>
      <c r="AQ820" s="70"/>
      <c r="AR820" s="70"/>
      <c r="AS820" s="70"/>
      <c r="AT820" s="70"/>
    </row>
    <row r="821" spans="1:46">
      <c r="A821" s="70"/>
      <c r="B821" s="70"/>
      <c r="C821" s="70"/>
      <c r="D821" s="70"/>
      <c r="E821" s="70"/>
      <c r="F821" s="70"/>
      <c r="G821" s="70"/>
      <c r="H821" s="54"/>
      <c r="I821" s="70"/>
      <c r="J821" s="70"/>
      <c r="K821" s="70"/>
      <c r="L821" s="70"/>
      <c r="M821" s="70"/>
      <c r="N821" s="70"/>
      <c r="O821" s="70"/>
      <c r="P821" s="70"/>
      <c r="Q821" s="70"/>
      <c r="R821" s="70"/>
      <c r="S821" s="70"/>
      <c r="T821" s="70"/>
      <c r="U821" s="70"/>
      <c r="V821" s="70"/>
      <c r="W821" s="70"/>
      <c r="X821" s="70"/>
      <c r="Y821" s="70"/>
      <c r="Z821" s="70"/>
      <c r="AA821" s="70"/>
      <c r="AB821" s="70"/>
      <c r="AC821" s="70"/>
      <c r="AD821" s="70"/>
      <c r="AE821" s="70"/>
      <c r="AF821" s="70"/>
      <c r="AG821" s="70"/>
      <c r="AH821" s="70"/>
      <c r="AI821" s="70"/>
      <c r="AJ821" s="70"/>
      <c r="AK821" s="70"/>
      <c r="AL821" s="70"/>
      <c r="AM821" s="70"/>
      <c r="AN821" s="70"/>
      <c r="AO821" s="70"/>
      <c r="AP821" s="70"/>
      <c r="AQ821" s="70"/>
      <c r="AR821" s="70"/>
      <c r="AS821" s="70"/>
      <c r="AT821" s="70"/>
    </row>
    <row r="822" spans="1:46">
      <c r="A822" s="70"/>
      <c r="B822" s="70"/>
      <c r="C822" s="70"/>
      <c r="D822" s="70"/>
      <c r="E822" s="70"/>
      <c r="F822" s="70"/>
      <c r="G822" s="70"/>
      <c r="H822" s="54"/>
      <c r="I822" s="70"/>
      <c r="J822" s="70"/>
      <c r="K822" s="70"/>
      <c r="L822" s="70"/>
      <c r="M822" s="70"/>
      <c r="N822" s="70"/>
      <c r="O822" s="70"/>
      <c r="P822" s="70"/>
      <c r="Q822" s="70"/>
      <c r="R822" s="70"/>
      <c r="S822" s="70"/>
      <c r="T822" s="70"/>
      <c r="U822" s="70"/>
      <c r="V822" s="70"/>
      <c r="W822" s="70"/>
      <c r="X822" s="70"/>
      <c r="Y822" s="70"/>
      <c r="Z822" s="70"/>
      <c r="AA822" s="70"/>
      <c r="AB822" s="70"/>
      <c r="AC822" s="70"/>
      <c r="AD822" s="70"/>
      <c r="AE822" s="70"/>
      <c r="AF822" s="70"/>
      <c r="AG822" s="70"/>
      <c r="AH822" s="70"/>
      <c r="AI822" s="70"/>
      <c r="AJ822" s="70"/>
      <c r="AK822" s="70"/>
      <c r="AL822" s="70"/>
      <c r="AM822" s="70"/>
      <c r="AN822" s="70"/>
      <c r="AO822" s="70"/>
      <c r="AP822" s="70"/>
      <c r="AQ822" s="70"/>
      <c r="AR822" s="70"/>
      <c r="AS822" s="70"/>
      <c r="AT822" s="70"/>
    </row>
    <row r="823" spans="1:46">
      <c r="A823" s="70"/>
      <c r="B823" s="70"/>
      <c r="C823" s="70"/>
      <c r="D823" s="70"/>
      <c r="E823" s="70"/>
      <c r="F823" s="70"/>
      <c r="G823" s="70"/>
      <c r="H823" s="54"/>
      <c r="I823" s="70"/>
      <c r="J823" s="70"/>
      <c r="K823" s="70"/>
      <c r="L823" s="70"/>
      <c r="M823" s="70"/>
      <c r="N823" s="70"/>
      <c r="O823" s="70"/>
      <c r="P823" s="70"/>
      <c r="Q823" s="70"/>
      <c r="R823" s="70"/>
      <c r="S823" s="70"/>
      <c r="T823" s="70"/>
      <c r="U823" s="70"/>
      <c r="V823" s="70"/>
      <c r="W823" s="70"/>
      <c r="X823" s="70"/>
      <c r="Y823" s="70"/>
      <c r="Z823" s="70"/>
      <c r="AA823" s="70"/>
      <c r="AB823" s="70"/>
      <c r="AC823" s="70"/>
      <c r="AD823" s="70"/>
      <c r="AE823" s="70"/>
      <c r="AF823" s="70"/>
      <c r="AG823" s="70"/>
      <c r="AH823" s="70"/>
      <c r="AI823" s="70"/>
      <c r="AJ823" s="70"/>
      <c r="AK823" s="70"/>
      <c r="AL823" s="70"/>
      <c r="AM823" s="70"/>
      <c r="AN823" s="70"/>
      <c r="AO823" s="70"/>
      <c r="AP823" s="70"/>
      <c r="AQ823" s="70"/>
      <c r="AR823" s="70"/>
      <c r="AS823" s="70"/>
      <c r="AT823" s="70"/>
    </row>
    <row r="824" spans="1:46">
      <c r="A824" s="70"/>
      <c r="B824" s="70"/>
      <c r="C824" s="70"/>
      <c r="D824" s="70"/>
      <c r="E824" s="70"/>
      <c r="F824" s="70"/>
      <c r="G824" s="70"/>
      <c r="H824" s="54"/>
      <c r="I824" s="70"/>
      <c r="J824" s="70"/>
      <c r="K824" s="70"/>
      <c r="L824" s="70"/>
      <c r="M824" s="70"/>
      <c r="N824" s="70"/>
      <c r="O824" s="70"/>
      <c r="P824" s="70"/>
      <c r="Q824" s="70"/>
      <c r="R824" s="70"/>
      <c r="S824" s="70"/>
      <c r="T824" s="70"/>
      <c r="U824" s="70"/>
      <c r="V824" s="70"/>
      <c r="W824" s="70"/>
      <c r="X824" s="70"/>
      <c r="Y824" s="70"/>
      <c r="Z824" s="70"/>
      <c r="AA824" s="70"/>
      <c r="AB824" s="70"/>
      <c r="AC824" s="70"/>
      <c r="AD824" s="70"/>
      <c r="AE824" s="70"/>
      <c r="AF824" s="70"/>
      <c r="AG824" s="70"/>
      <c r="AH824" s="70"/>
      <c r="AI824" s="70"/>
      <c r="AJ824" s="70"/>
      <c r="AK824" s="70"/>
      <c r="AL824" s="70"/>
      <c r="AM824" s="70"/>
      <c r="AN824" s="70"/>
      <c r="AO824" s="70"/>
      <c r="AP824" s="70"/>
      <c r="AQ824" s="70"/>
      <c r="AR824" s="70"/>
      <c r="AS824" s="70"/>
      <c r="AT824" s="70"/>
    </row>
    <row r="825" spans="1:46">
      <c r="A825" s="70"/>
      <c r="B825" s="70"/>
      <c r="C825" s="70"/>
      <c r="D825" s="70"/>
      <c r="E825" s="70"/>
      <c r="F825" s="70"/>
      <c r="G825" s="70"/>
      <c r="H825" s="54"/>
      <c r="I825" s="70"/>
      <c r="J825" s="70"/>
      <c r="K825" s="70"/>
      <c r="L825" s="70"/>
      <c r="M825" s="70"/>
      <c r="N825" s="70"/>
      <c r="O825" s="70"/>
      <c r="P825" s="70"/>
      <c r="Q825" s="70"/>
      <c r="R825" s="70"/>
      <c r="S825" s="70"/>
      <c r="T825" s="70"/>
      <c r="U825" s="70"/>
      <c r="V825" s="70"/>
      <c r="W825" s="70"/>
      <c r="X825" s="70"/>
      <c r="Y825" s="70"/>
      <c r="Z825" s="70"/>
      <c r="AA825" s="70"/>
      <c r="AB825" s="70"/>
      <c r="AC825" s="70"/>
      <c r="AD825" s="70"/>
      <c r="AE825" s="70"/>
      <c r="AF825" s="70"/>
      <c r="AG825" s="70"/>
      <c r="AH825" s="70"/>
      <c r="AI825" s="70"/>
      <c r="AJ825" s="70"/>
      <c r="AK825" s="70"/>
      <c r="AL825" s="70"/>
      <c r="AM825" s="70"/>
      <c r="AN825" s="70"/>
      <c r="AO825" s="70"/>
      <c r="AP825" s="70"/>
      <c r="AQ825" s="70"/>
      <c r="AR825" s="70"/>
      <c r="AS825" s="70"/>
      <c r="AT825" s="70"/>
    </row>
    <row r="826" spans="1:46">
      <c r="A826" s="70"/>
      <c r="B826" s="70"/>
      <c r="C826" s="70"/>
      <c r="D826" s="70"/>
      <c r="E826" s="70"/>
      <c r="F826" s="70"/>
      <c r="G826" s="70"/>
      <c r="H826" s="54"/>
      <c r="I826" s="70"/>
      <c r="J826" s="70"/>
      <c r="K826" s="70"/>
      <c r="L826" s="70"/>
      <c r="M826" s="70"/>
      <c r="N826" s="70"/>
      <c r="O826" s="70"/>
      <c r="P826" s="70"/>
      <c r="Q826" s="70"/>
      <c r="R826" s="70"/>
      <c r="S826" s="70"/>
      <c r="T826" s="70"/>
      <c r="U826" s="70"/>
      <c r="V826" s="70"/>
      <c r="W826" s="70"/>
      <c r="X826" s="70"/>
      <c r="Y826" s="70"/>
      <c r="Z826" s="70"/>
      <c r="AA826" s="70"/>
      <c r="AB826" s="70"/>
      <c r="AC826" s="70"/>
      <c r="AD826" s="70"/>
      <c r="AE826" s="70"/>
      <c r="AF826" s="70"/>
      <c r="AG826" s="70"/>
      <c r="AH826" s="70"/>
      <c r="AI826" s="70"/>
      <c r="AJ826" s="70"/>
      <c r="AK826" s="70"/>
      <c r="AL826" s="70"/>
      <c r="AM826" s="70"/>
      <c r="AN826" s="70"/>
      <c r="AO826" s="70"/>
      <c r="AP826" s="70"/>
      <c r="AQ826" s="70"/>
      <c r="AR826" s="70"/>
      <c r="AS826" s="70"/>
      <c r="AT826" s="70"/>
    </row>
    <row r="827" spans="1:46">
      <c r="A827" s="70"/>
      <c r="B827" s="70"/>
      <c r="C827" s="70"/>
      <c r="D827" s="70"/>
      <c r="E827" s="70"/>
      <c r="F827" s="70"/>
      <c r="G827" s="70"/>
      <c r="H827" s="54"/>
      <c r="I827" s="70"/>
      <c r="J827" s="70"/>
      <c r="K827" s="70"/>
      <c r="L827" s="70"/>
      <c r="M827" s="70"/>
      <c r="N827" s="70"/>
      <c r="O827" s="70"/>
      <c r="P827" s="70"/>
      <c r="Q827" s="70"/>
      <c r="R827" s="70"/>
      <c r="S827" s="70"/>
      <c r="T827" s="70"/>
      <c r="U827" s="70"/>
      <c r="V827" s="70"/>
      <c r="W827" s="70"/>
      <c r="X827" s="70"/>
      <c r="Y827" s="70"/>
      <c r="Z827" s="70"/>
      <c r="AA827" s="70"/>
      <c r="AB827" s="70"/>
      <c r="AC827" s="70"/>
      <c r="AD827" s="70"/>
      <c r="AE827" s="70"/>
      <c r="AF827" s="70"/>
      <c r="AG827" s="70"/>
      <c r="AH827" s="70"/>
      <c r="AI827" s="70"/>
      <c r="AJ827" s="70"/>
      <c r="AK827" s="70"/>
      <c r="AL827" s="70"/>
      <c r="AM827" s="70"/>
      <c r="AN827" s="70"/>
      <c r="AO827" s="70"/>
      <c r="AP827" s="70"/>
      <c r="AQ827" s="70"/>
      <c r="AR827" s="70"/>
      <c r="AS827" s="70"/>
      <c r="AT827" s="70"/>
    </row>
    <row r="828" spans="1:46">
      <c r="A828" s="70"/>
      <c r="B828" s="70"/>
      <c r="C828" s="70"/>
      <c r="D828" s="70"/>
      <c r="E828" s="70"/>
      <c r="F828" s="70"/>
      <c r="G828" s="70"/>
      <c r="H828" s="54"/>
      <c r="I828" s="70"/>
      <c r="J828" s="70"/>
      <c r="K828" s="70"/>
      <c r="L828" s="70"/>
      <c r="M828" s="70"/>
      <c r="N828" s="70"/>
      <c r="O828" s="70"/>
      <c r="P828" s="70"/>
      <c r="Q828" s="70"/>
      <c r="R828" s="70"/>
      <c r="S828" s="70"/>
      <c r="T828" s="70"/>
      <c r="U828" s="70"/>
      <c r="V828" s="70"/>
      <c r="W828" s="70"/>
      <c r="X828" s="70"/>
      <c r="Y828" s="70"/>
      <c r="Z828" s="70"/>
      <c r="AA828" s="70"/>
      <c r="AB828" s="70"/>
      <c r="AC828" s="70"/>
      <c r="AD828" s="70"/>
      <c r="AE828" s="70"/>
      <c r="AF828" s="70"/>
      <c r="AG828" s="70"/>
      <c r="AH828" s="70"/>
      <c r="AI828" s="70"/>
      <c r="AJ828" s="70"/>
      <c r="AK828" s="70"/>
      <c r="AL828" s="70"/>
      <c r="AM828" s="70"/>
      <c r="AN828" s="70"/>
      <c r="AO828" s="70"/>
      <c r="AP828" s="70"/>
      <c r="AQ828" s="70"/>
      <c r="AR828" s="70"/>
      <c r="AS828" s="70"/>
      <c r="AT828" s="70"/>
    </row>
    <row r="829" spans="1:46">
      <c r="A829" s="70"/>
      <c r="B829" s="70"/>
      <c r="C829" s="70"/>
      <c r="D829" s="70"/>
      <c r="E829" s="70"/>
      <c r="F829" s="70"/>
      <c r="G829" s="70"/>
      <c r="H829" s="54"/>
      <c r="I829" s="70"/>
      <c r="J829" s="70"/>
      <c r="K829" s="70"/>
      <c r="L829" s="70"/>
      <c r="M829" s="70"/>
      <c r="N829" s="70"/>
      <c r="O829" s="70"/>
      <c r="P829" s="70"/>
      <c r="Q829" s="70"/>
      <c r="R829" s="70"/>
      <c r="S829" s="70"/>
      <c r="T829" s="70"/>
      <c r="U829" s="70"/>
      <c r="V829" s="70"/>
      <c r="W829" s="70"/>
      <c r="X829" s="70"/>
      <c r="Y829" s="70"/>
      <c r="Z829" s="70"/>
      <c r="AA829" s="70"/>
      <c r="AB829" s="70"/>
      <c r="AC829" s="70"/>
      <c r="AD829" s="70"/>
      <c r="AE829" s="70"/>
      <c r="AF829" s="70"/>
      <c r="AG829" s="70"/>
      <c r="AH829" s="70"/>
      <c r="AI829" s="70"/>
      <c r="AJ829" s="70"/>
      <c r="AK829" s="70"/>
      <c r="AL829" s="70"/>
      <c r="AM829" s="70"/>
      <c r="AN829" s="70"/>
      <c r="AO829" s="70"/>
      <c r="AP829" s="70"/>
      <c r="AQ829" s="70"/>
      <c r="AR829" s="70"/>
      <c r="AS829" s="70"/>
      <c r="AT829" s="70"/>
    </row>
    <row r="830" spans="1:46">
      <c r="A830" s="70"/>
      <c r="B830" s="70"/>
      <c r="C830" s="70"/>
      <c r="D830" s="70"/>
      <c r="E830" s="70"/>
      <c r="F830" s="70"/>
      <c r="G830" s="70"/>
      <c r="H830" s="54"/>
      <c r="I830" s="70"/>
      <c r="J830" s="70"/>
      <c r="K830" s="70"/>
      <c r="L830" s="70"/>
      <c r="M830" s="70"/>
      <c r="N830" s="70"/>
      <c r="O830" s="70"/>
      <c r="P830" s="70"/>
      <c r="Q830" s="70"/>
      <c r="R830" s="70"/>
      <c r="S830" s="70"/>
      <c r="T830" s="70"/>
      <c r="U830" s="70"/>
      <c r="V830" s="70"/>
      <c r="W830" s="70"/>
      <c r="X830" s="70"/>
      <c r="Y830" s="70"/>
      <c r="Z830" s="70"/>
      <c r="AA830" s="70"/>
      <c r="AB830" s="70"/>
      <c r="AC830" s="70"/>
      <c r="AD830" s="70"/>
      <c r="AE830" s="70"/>
      <c r="AF830" s="70"/>
      <c r="AG830" s="70"/>
      <c r="AH830" s="70"/>
      <c r="AI830" s="70"/>
      <c r="AJ830" s="70"/>
      <c r="AK830" s="70"/>
      <c r="AL830" s="70"/>
      <c r="AM830" s="70"/>
      <c r="AN830" s="70"/>
      <c r="AO830" s="70"/>
      <c r="AP830" s="70"/>
      <c r="AQ830" s="70"/>
      <c r="AR830" s="70"/>
      <c r="AS830" s="70"/>
      <c r="AT830" s="70"/>
    </row>
    <row r="831" spans="1:46">
      <c r="A831" s="70"/>
      <c r="B831" s="70"/>
      <c r="C831" s="70"/>
      <c r="D831" s="70"/>
      <c r="E831" s="70"/>
      <c r="F831" s="70"/>
      <c r="G831" s="70"/>
      <c r="H831" s="54"/>
      <c r="I831" s="70"/>
      <c r="J831" s="70"/>
      <c r="K831" s="70"/>
      <c r="L831" s="70"/>
      <c r="M831" s="70"/>
      <c r="N831" s="70"/>
      <c r="O831" s="70"/>
      <c r="P831" s="70"/>
      <c r="Q831" s="70"/>
      <c r="R831" s="70"/>
      <c r="S831" s="70"/>
      <c r="T831" s="70"/>
      <c r="U831" s="70"/>
      <c r="V831" s="70"/>
      <c r="W831" s="70"/>
      <c r="X831" s="70"/>
      <c r="Y831" s="70"/>
      <c r="Z831" s="70"/>
      <c r="AA831" s="70"/>
      <c r="AB831" s="70"/>
      <c r="AC831" s="70"/>
      <c r="AD831" s="70"/>
      <c r="AE831" s="70"/>
      <c r="AF831" s="70"/>
      <c r="AG831" s="70"/>
      <c r="AH831" s="70"/>
      <c r="AI831" s="70"/>
      <c r="AJ831" s="70"/>
      <c r="AK831" s="70"/>
      <c r="AL831" s="70"/>
      <c r="AM831" s="70"/>
      <c r="AN831" s="70"/>
      <c r="AO831" s="70"/>
      <c r="AP831" s="70"/>
      <c r="AQ831" s="70"/>
      <c r="AR831" s="70"/>
      <c r="AS831" s="70"/>
      <c r="AT831" s="70"/>
    </row>
    <row r="832" spans="1:46">
      <c r="A832" s="70"/>
      <c r="B832" s="70"/>
      <c r="C832" s="70"/>
      <c r="D832" s="70"/>
      <c r="E832" s="70"/>
      <c r="F832" s="70"/>
      <c r="G832" s="70"/>
      <c r="H832" s="54"/>
      <c r="I832" s="70"/>
      <c r="J832" s="70"/>
      <c r="K832" s="70"/>
      <c r="L832" s="70"/>
      <c r="M832" s="70"/>
      <c r="N832" s="70"/>
      <c r="O832" s="70"/>
      <c r="P832" s="70"/>
      <c r="Q832" s="70"/>
      <c r="R832" s="70"/>
      <c r="S832" s="70"/>
      <c r="T832" s="70"/>
      <c r="U832" s="70"/>
      <c r="V832" s="70"/>
      <c r="W832" s="70"/>
      <c r="X832" s="70"/>
      <c r="Y832" s="70"/>
      <c r="Z832" s="70"/>
      <c r="AA832" s="70"/>
      <c r="AB832" s="70"/>
      <c r="AC832" s="70"/>
      <c r="AD832" s="70"/>
      <c r="AE832" s="70"/>
      <c r="AF832" s="70"/>
      <c r="AG832" s="70"/>
      <c r="AH832" s="70"/>
      <c r="AI832" s="70"/>
      <c r="AJ832" s="70"/>
      <c r="AK832" s="70"/>
      <c r="AL832" s="70"/>
      <c r="AM832" s="70"/>
      <c r="AN832" s="70"/>
      <c r="AO832" s="70"/>
      <c r="AP832" s="70"/>
      <c r="AQ832" s="70"/>
      <c r="AR832" s="70"/>
      <c r="AS832" s="70"/>
      <c r="AT832" s="70"/>
    </row>
    <row r="833" spans="1:46">
      <c r="A833" s="70"/>
      <c r="B833" s="70"/>
      <c r="C833" s="70"/>
      <c r="D833" s="70"/>
      <c r="E833" s="70"/>
      <c r="F833" s="70"/>
      <c r="G833" s="70"/>
      <c r="H833" s="54"/>
      <c r="I833" s="70"/>
      <c r="J833" s="70"/>
      <c r="K833" s="70"/>
      <c r="L833" s="70"/>
      <c r="M833" s="70"/>
      <c r="N833" s="70"/>
      <c r="O833" s="70"/>
      <c r="P833" s="70"/>
      <c r="Q833" s="70"/>
      <c r="R833" s="70"/>
      <c r="S833" s="70"/>
      <c r="T833" s="70"/>
      <c r="U833" s="70"/>
      <c r="V833" s="70"/>
      <c r="W833" s="70"/>
      <c r="X833" s="70"/>
      <c r="Y833" s="70"/>
      <c r="Z833" s="70"/>
      <c r="AA833" s="70"/>
      <c r="AB833" s="70"/>
      <c r="AC833" s="70"/>
      <c r="AD833" s="70"/>
      <c r="AE833" s="70"/>
      <c r="AF833" s="70"/>
      <c r="AG833" s="70"/>
      <c r="AH833" s="70"/>
      <c r="AI833" s="70"/>
      <c r="AJ833" s="70"/>
      <c r="AK833" s="70"/>
      <c r="AL833" s="70"/>
      <c r="AM833" s="70"/>
      <c r="AN833" s="70"/>
      <c r="AO833" s="70"/>
      <c r="AP833" s="70"/>
      <c r="AQ833" s="70"/>
      <c r="AR833" s="70"/>
      <c r="AS833" s="70"/>
      <c r="AT833" s="70"/>
    </row>
    <row r="834" spans="1:46">
      <c r="A834" s="70"/>
      <c r="B834" s="70"/>
      <c r="C834" s="70"/>
      <c r="D834" s="70"/>
      <c r="E834" s="70"/>
      <c r="F834" s="70"/>
      <c r="G834" s="70"/>
      <c r="H834" s="54"/>
      <c r="I834" s="70"/>
      <c r="J834" s="70"/>
      <c r="K834" s="70"/>
      <c r="L834" s="70"/>
      <c r="M834" s="70"/>
      <c r="N834" s="70"/>
      <c r="O834" s="70"/>
      <c r="P834" s="70"/>
      <c r="Q834" s="70"/>
      <c r="R834" s="70"/>
      <c r="S834" s="70"/>
      <c r="T834" s="70"/>
      <c r="U834" s="70"/>
      <c r="V834" s="70"/>
      <c r="W834" s="70"/>
      <c r="X834" s="70"/>
      <c r="Y834" s="70"/>
      <c r="Z834" s="70"/>
      <c r="AA834" s="70"/>
      <c r="AB834" s="70"/>
      <c r="AC834" s="70"/>
      <c r="AD834" s="70"/>
      <c r="AE834" s="70"/>
      <c r="AF834" s="70"/>
      <c r="AG834" s="70"/>
      <c r="AH834" s="70"/>
      <c r="AI834" s="70"/>
      <c r="AJ834" s="70"/>
      <c r="AK834" s="70"/>
      <c r="AL834" s="70"/>
      <c r="AM834" s="70"/>
      <c r="AN834" s="70"/>
      <c r="AO834" s="70"/>
      <c r="AP834" s="70"/>
      <c r="AQ834" s="70"/>
      <c r="AR834" s="70"/>
      <c r="AS834" s="70"/>
      <c r="AT834" s="70"/>
    </row>
    <row r="835" spans="1:46">
      <c r="A835" s="70"/>
      <c r="B835" s="70"/>
      <c r="C835" s="70"/>
      <c r="D835" s="70"/>
      <c r="E835" s="70"/>
      <c r="F835" s="70"/>
      <c r="G835" s="70"/>
      <c r="H835" s="54"/>
      <c r="I835" s="70"/>
      <c r="J835" s="70"/>
      <c r="K835" s="70"/>
      <c r="L835" s="70"/>
      <c r="M835" s="70"/>
      <c r="N835" s="70"/>
      <c r="O835" s="70"/>
      <c r="P835" s="70"/>
      <c r="Q835" s="70"/>
      <c r="R835" s="70"/>
      <c r="S835" s="70"/>
      <c r="T835" s="70"/>
      <c r="U835" s="70"/>
      <c r="V835" s="70"/>
      <c r="W835" s="70"/>
      <c r="X835" s="70"/>
      <c r="Y835" s="70"/>
      <c r="Z835" s="70"/>
      <c r="AA835" s="70"/>
      <c r="AB835" s="70"/>
      <c r="AC835" s="70"/>
      <c r="AD835" s="70"/>
      <c r="AE835" s="70"/>
      <c r="AF835" s="70"/>
      <c r="AG835" s="70"/>
      <c r="AH835" s="70"/>
      <c r="AI835" s="70"/>
      <c r="AJ835" s="70"/>
      <c r="AK835" s="70"/>
      <c r="AL835" s="70"/>
      <c r="AM835" s="70"/>
      <c r="AN835" s="70"/>
      <c r="AO835" s="70"/>
      <c r="AP835" s="70"/>
      <c r="AQ835" s="70"/>
      <c r="AR835" s="70"/>
      <c r="AS835" s="70"/>
      <c r="AT835" s="70"/>
    </row>
    <row r="836" spans="1:46">
      <c r="A836" s="70"/>
      <c r="B836" s="70"/>
      <c r="C836" s="70"/>
      <c r="D836" s="70"/>
      <c r="E836" s="70"/>
      <c r="F836" s="70"/>
      <c r="G836" s="70"/>
      <c r="H836" s="54"/>
      <c r="I836" s="70"/>
      <c r="J836" s="70"/>
      <c r="K836" s="70"/>
      <c r="L836" s="70"/>
      <c r="M836" s="70"/>
      <c r="N836" s="70"/>
      <c r="O836" s="70"/>
      <c r="P836" s="70"/>
      <c r="Q836" s="70"/>
      <c r="R836" s="70"/>
      <c r="S836" s="70"/>
      <c r="T836" s="70"/>
      <c r="U836" s="70"/>
      <c r="V836" s="70"/>
      <c r="W836" s="70"/>
      <c r="X836" s="70"/>
      <c r="Y836" s="70"/>
      <c r="Z836" s="70"/>
      <c r="AA836" s="70"/>
      <c r="AB836" s="70"/>
      <c r="AC836" s="70"/>
      <c r="AD836" s="70"/>
      <c r="AE836" s="70"/>
      <c r="AF836" s="70"/>
      <c r="AG836" s="70"/>
      <c r="AH836" s="70"/>
      <c r="AI836" s="70"/>
      <c r="AJ836" s="70"/>
      <c r="AK836" s="70"/>
      <c r="AL836" s="70"/>
      <c r="AM836" s="70"/>
      <c r="AN836" s="70"/>
      <c r="AO836" s="70"/>
      <c r="AP836" s="70"/>
      <c r="AQ836" s="70"/>
      <c r="AR836" s="70"/>
      <c r="AS836" s="70"/>
      <c r="AT836" s="70"/>
    </row>
    <row r="837" spans="1:46">
      <c r="A837" s="70"/>
      <c r="B837" s="70"/>
      <c r="C837" s="70"/>
      <c r="D837" s="70"/>
      <c r="E837" s="70"/>
      <c r="F837" s="70"/>
      <c r="G837" s="70"/>
      <c r="H837" s="54"/>
      <c r="I837" s="70"/>
      <c r="J837" s="70"/>
      <c r="K837" s="70"/>
      <c r="L837" s="70"/>
      <c r="M837" s="70"/>
      <c r="N837" s="70"/>
      <c r="O837" s="70"/>
      <c r="P837" s="70"/>
      <c r="Q837" s="70"/>
      <c r="R837" s="70"/>
      <c r="S837" s="70"/>
      <c r="T837" s="70"/>
      <c r="U837" s="70"/>
      <c r="V837" s="70"/>
      <c r="W837" s="70"/>
      <c r="X837" s="70"/>
      <c r="Y837" s="70"/>
      <c r="Z837" s="70"/>
      <c r="AA837" s="70"/>
      <c r="AB837" s="70"/>
      <c r="AC837" s="70"/>
      <c r="AD837" s="70"/>
      <c r="AE837" s="70"/>
      <c r="AF837" s="70"/>
      <c r="AG837" s="70"/>
      <c r="AH837" s="70"/>
      <c r="AI837" s="70"/>
      <c r="AJ837" s="70"/>
      <c r="AK837" s="70"/>
      <c r="AL837" s="70"/>
      <c r="AM837" s="70"/>
      <c r="AN837" s="70"/>
      <c r="AO837" s="70"/>
      <c r="AP837" s="70"/>
      <c r="AQ837" s="70"/>
      <c r="AR837" s="70"/>
      <c r="AS837" s="70"/>
      <c r="AT837" s="70"/>
    </row>
    <row r="838" spans="1:46">
      <c r="A838" s="70"/>
      <c r="B838" s="70"/>
      <c r="C838" s="70"/>
      <c r="D838" s="70"/>
      <c r="E838" s="70"/>
      <c r="F838" s="70"/>
      <c r="G838" s="70"/>
      <c r="H838" s="54"/>
      <c r="I838" s="70"/>
      <c r="J838" s="70"/>
      <c r="K838" s="70"/>
      <c r="L838" s="70"/>
      <c r="M838" s="70"/>
      <c r="N838" s="70"/>
      <c r="O838" s="70"/>
      <c r="P838" s="70"/>
      <c r="Q838" s="70"/>
      <c r="R838" s="70"/>
      <c r="S838" s="70"/>
      <c r="T838" s="70"/>
      <c r="U838" s="70"/>
      <c r="V838" s="70"/>
      <c r="W838" s="70"/>
      <c r="X838" s="70"/>
      <c r="Y838" s="70"/>
      <c r="Z838" s="70"/>
      <c r="AA838" s="70"/>
      <c r="AB838" s="70"/>
      <c r="AC838" s="70"/>
      <c r="AD838" s="70"/>
      <c r="AE838" s="70"/>
      <c r="AF838" s="70"/>
      <c r="AG838" s="70"/>
      <c r="AH838" s="70"/>
      <c r="AI838" s="70"/>
      <c r="AJ838" s="70"/>
      <c r="AK838" s="70"/>
      <c r="AL838" s="70"/>
      <c r="AM838" s="70"/>
      <c r="AN838" s="70"/>
      <c r="AO838" s="70"/>
      <c r="AP838" s="70"/>
      <c r="AQ838" s="70"/>
      <c r="AR838" s="70"/>
      <c r="AS838" s="70"/>
      <c r="AT838" s="70"/>
    </row>
    <row r="839" spans="1:46">
      <c r="A839" s="70"/>
      <c r="B839" s="70"/>
      <c r="C839" s="70"/>
      <c r="D839" s="70"/>
      <c r="E839" s="70"/>
      <c r="F839" s="70"/>
      <c r="G839" s="70"/>
      <c r="H839" s="54"/>
      <c r="I839" s="70"/>
      <c r="J839" s="70"/>
      <c r="K839" s="70"/>
      <c r="L839" s="70"/>
      <c r="M839" s="70"/>
      <c r="N839" s="70"/>
      <c r="O839" s="70"/>
      <c r="P839" s="70"/>
      <c r="Q839" s="70"/>
      <c r="R839" s="70"/>
      <c r="S839" s="70"/>
      <c r="T839" s="70"/>
      <c r="U839" s="70"/>
      <c r="V839" s="70"/>
      <c r="W839" s="70"/>
      <c r="X839" s="70"/>
      <c r="Y839" s="70"/>
      <c r="Z839" s="70"/>
      <c r="AA839" s="70"/>
      <c r="AB839" s="70"/>
      <c r="AC839" s="70"/>
      <c r="AD839" s="70"/>
      <c r="AE839" s="70"/>
      <c r="AF839" s="70"/>
      <c r="AG839" s="70"/>
      <c r="AH839" s="70"/>
      <c r="AI839" s="70"/>
      <c r="AJ839" s="70"/>
      <c r="AK839" s="70"/>
      <c r="AL839" s="70"/>
      <c r="AM839" s="70"/>
      <c r="AN839" s="70"/>
      <c r="AO839" s="70"/>
      <c r="AP839" s="70"/>
      <c r="AQ839" s="70"/>
      <c r="AR839" s="70"/>
      <c r="AS839" s="70"/>
      <c r="AT839" s="70"/>
    </row>
    <row r="840" spans="1:46">
      <c r="A840" s="70"/>
      <c r="B840" s="70"/>
      <c r="C840" s="70"/>
      <c r="D840" s="70"/>
      <c r="E840" s="70"/>
      <c r="F840" s="70"/>
      <c r="G840" s="70"/>
      <c r="H840" s="54"/>
      <c r="I840" s="70"/>
      <c r="J840" s="70"/>
      <c r="K840" s="70"/>
      <c r="L840" s="70"/>
      <c r="M840" s="70"/>
      <c r="N840" s="70"/>
      <c r="O840" s="70"/>
      <c r="P840" s="70"/>
      <c r="Q840" s="70"/>
      <c r="R840" s="70"/>
      <c r="S840" s="70"/>
      <c r="T840" s="70"/>
      <c r="U840" s="70"/>
      <c r="V840" s="70"/>
      <c r="W840" s="70"/>
      <c r="X840" s="70"/>
      <c r="Y840" s="70"/>
      <c r="Z840" s="70"/>
      <c r="AA840" s="70"/>
      <c r="AB840" s="70"/>
      <c r="AC840" s="70"/>
      <c r="AD840" s="70"/>
      <c r="AE840" s="70"/>
      <c r="AF840" s="70"/>
      <c r="AG840" s="70"/>
      <c r="AH840" s="70"/>
      <c r="AI840" s="70"/>
      <c r="AJ840" s="70"/>
      <c r="AK840" s="70"/>
      <c r="AL840" s="70"/>
      <c r="AM840" s="70"/>
      <c r="AN840" s="70"/>
      <c r="AO840" s="70"/>
      <c r="AP840" s="70"/>
      <c r="AQ840" s="70"/>
      <c r="AR840" s="70"/>
      <c r="AS840" s="70"/>
      <c r="AT840" s="70"/>
    </row>
    <row r="841" spans="1:46">
      <c r="A841" s="70"/>
      <c r="B841" s="70"/>
      <c r="C841" s="70"/>
      <c r="D841" s="70"/>
      <c r="E841" s="70"/>
      <c r="F841" s="70"/>
      <c r="G841" s="70"/>
      <c r="H841" s="54"/>
      <c r="I841" s="70"/>
      <c r="J841" s="70"/>
      <c r="K841" s="70"/>
      <c r="L841" s="70"/>
      <c r="M841" s="70"/>
      <c r="N841" s="70"/>
      <c r="O841" s="70"/>
      <c r="P841" s="70"/>
      <c r="Q841" s="70"/>
      <c r="R841" s="70"/>
      <c r="S841" s="70"/>
      <c r="T841" s="70"/>
      <c r="U841" s="70"/>
      <c r="V841" s="70"/>
      <c r="W841" s="70"/>
      <c r="X841" s="70"/>
      <c r="Y841" s="70"/>
      <c r="Z841" s="70"/>
      <c r="AA841" s="70"/>
      <c r="AB841" s="70"/>
      <c r="AC841" s="70"/>
      <c r="AD841" s="70"/>
      <c r="AE841" s="70"/>
      <c r="AF841" s="70"/>
      <c r="AG841" s="70"/>
      <c r="AH841" s="70"/>
      <c r="AI841" s="70"/>
      <c r="AJ841" s="70"/>
      <c r="AK841" s="70"/>
      <c r="AL841" s="70"/>
      <c r="AM841" s="70"/>
      <c r="AN841" s="70"/>
      <c r="AO841" s="70"/>
      <c r="AP841" s="70"/>
      <c r="AQ841" s="70"/>
      <c r="AR841" s="70"/>
      <c r="AS841" s="70"/>
      <c r="AT841" s="70"/>
    </row>
    <row r="842" spans="1:46">
      <c r="A842" s="70"/>
      <c r="B842" s="70"/>
      <c r="C842" s="70"/>
      <c r="D842" s="70"/>
      <c r="E842" s="70"/>
      <c r="F842" s="70"/>
      <c r="G842" s="70"/>
      <c r="H842" s="54"/>
      <c r="I842" s="70"/>
      <c r="J842" s="70"/>
      <c r="K842" s="70"/>
      <c r="L842" s="70"/>
      <c r="M842" s="70"/>
      <c r="N842" s="70"/>
      <c r="O842" s="70"/>
      <c r="P842" s="70"/>
      <c r="Q842" s="70"/>
      <c r="R842" s="70"/>
      <c r="S842" s="70"/>
      <c r="T842" s="70"/>
      <c r="U842" s="70"/>
      <c r="V842" s="70"/>
      <c r="W842" s="70"/>
      <c r="X842" s="70"/>
      <c r="Y842" s="70"/>
      <c r="Z842" s="70"/>
      <c r="AA842" s="70"/>
      <c r="AB842" s="70"/>
      <c r="AC842" s="70"/>
      <c r="AD842" s="70"/>
      <c r="AE842" s="70"/>
      <c r="AF842" s="70"/>
      <c r="AG842" s="70"/>
      <c r="AH842" s="70"/>
      <c r="AI842" s="70"/>
      <c r="AJ842" s="70"/>
      <c r="AK842" s="70"/>
      <c r="AL842" s="70"/>
      <c r="AM842" s="70"/>
      <c r="AN842" s="70"/>
      <c r="AO842" s="70"/>
      <c r="AP842" s="70"/>
      <c r="AQ842" s="70"/>
      <c r="AR842" s="70"/>
      <c r="AS842" s="70"/>
      <c r="AT842" s="70"/>
    </row>
    <row r="843" spans="1:46">
      <c r="A843" s="70"/>
      <c r="B843" s="70"/>
      <c r="C843" s="70"/>
      <c r="D843" s="70"/>
      <c r="E843" s="70"/>
      <c r="F843" s="70"/>
      <c r="G843" s="70"/>
      <c r="H843" s="54"/>
      <c r="I843" s="70"/>
      <c r="J843" s="70"/>
      <c r="K843" s="70"/>
      <c r="L843" s="70"/>
      <c r="M843" s="70"/>
      <c r="N843" s="70"/>
      <c r="O843" s="70"/>
      <c r="P843" s="70"/>
      <c r="Q843" s="70"/>
      <c r="R843" s="70"/>
      <c r="S843" s="70"/>
      <c r="T843" s="70"/>
      <c r="U843" s="70"/>
      <c r="V843" s="70"/>
      <c r="W843" s="70"/>
      <c r="X843" s="70"/>
      <c r="Y843" s="70"/>
      <c r="Z843" s="70"/>
      <c r="AA843" s="70"/>
      <c r="AB843" s="70"/>
      <c r="AC843" s="70"/>
      <c r="AD843" s="70"/>
      <c r="AE843" s="70"/>
      <c r="AF843" s="70"/>
      <c r="AG843" s="70"/>
      <c r="AH843" s="70"/>
      <c r="AI843" s="70"/>
      <c r="AJ843" s="70"/>
      <c r="AK843" s="70"/>
      <c r="AL843" s="70"/>
      <c r="AM843" s="70"/>
      <c r="AN843" s="70"/>
      <c r="AO843" s="70"/>
      <c r="AP843" s="70"/>
      <c r="AQ843" s="70"/>
      <c r="AR843" s="70"/>
      <c r="AS843" s="70"/>
      <c r="AT843" s="70"/>
    </row>
    <row r="844" spans="1:46">
      <c r="A844" s="70"/>
      <c r="B844" s="70"/>
      <c r="C844" s="70"/>
      <c r="D844" s="70"/>
      <c r="E844" s="70"/>
      <c r="F844" s="70"/>
      <c r="G844" s="70"/>
      <c r="H844" s="54"/>
      <c r="I844" s="70"/>
      <c r="J844" s="70"/>
      <c r="K844" s="70"/>
      <c r="L844" s="70"/>
      <c r="M844" s="70"/>
      <c r="N844" s="70"/>
      <c r="O844" s="70"/>
      <c r="P844" s="70"/>
      <c r="Q844" s="70"/>
      <c r="R844" s="70"/>
      <c r="S844" s="70"/>
      <c r="T844" s="70"/>
      <c r="U844" s="70"/>
      <c r="V844" s="70"/>
      <c r="W844" s="70"/>
      <c r="X844" s="70"/>
      <c r="Y844" s="70"/>
      <c r="Z844" s="70"/>
      <c r="AA844" s="70"/>
      <c r="AB844" s="70"/>
      <c r="AC844" s="70"/>
      <c r="AD844" s="70"/>
      <c r="AE844" s="70"/>
      <c r="AF844" s="70"/>
      <c r="AG844" s="70"/>
      <c r="AH844" s="70"/>
      <c r="AI844" s="70"/>
      <c r="AJ844" s="70"/>
      <c r="AK844" s="70"/>
      <c r="AL844" s="70"/>
      <c r="AM844" s="70"/>
      <c r="AN844" s="70"/>
      <c r="AO844" s="70"/>
      <c r="AP844" s="70"/>
      <c r="AQ844" s="70"/>
      <c r="AR844" s="70"/>
      <c r="AS844" s="70"/>
      <c r="AT844" s="70"/>
    </row>
    <row r="845" spans="1:46">
      <c r="A845" s="70"/>
      <c r="B845" s="70"/>
      <c r="C845" s="70"/>
      <c r="D845" s="70"/>
      <c r="E845" s="70"/>
      <c r="F845" s="70"/>
      <c r="G845" s="70"/>
      <c r="H845" s="54"/>
      <c r="I845" s="70"/>
      <c r="J845" s="70"/>
      <c r="K845" s="70"/>
      <c r="L845" s="70"/>
      <c r="M845" s="70"/>
      <c r="N845" s="70"/>
      <c r="O845" s="70"/>
      <c r="P845" s="70"/>
      <c r="Q845" s="70"/>
      <c r="R845" s="70"/>
      <c r="S845" s="70"/>
      <c r="T845" s="70"/>
      <c r="U845" s="70"/>
      <c r="V845" s="70"/>
      <c r="W845" s="70"/>
      <c r="X845" s="70"/>
      <c r="Y845" s="70"/>
      <c r="Z845" s="70"/>
      <c r="AA845" s="70"/>
      <c r="AB845" s="70"/>
      <c r="AC845" s="70"/>
      <c r="AD845" s="70"/>
      <c r="AE845" s="70"/>
      <c r="AF845" s="70"/>
      <c r="AG845" s="70"/>
      <c r="AH845" s="70"/>
      <c r="AI845" s="70"/>
      <c r="AJ845" s="70"/>
      <c r="AK845" s="70"/>
      <c r="AL845" s="70"/>
      <c r="AM845" s="70"/>
      <c r="AN845" s="70"/>
      <c r="AO845" s="70"/>
      <c r="AP845" s="70"/>
      <c r="AQ845" s="70"/>
      <c r="AR845" s="70"/>
      <c r="AS845" s="70"/>
      <c r="AT845" s="70"/>
    </row>
    <row r="846" spans="1:46">
      <c r="A846" s="70"/>
      <c r="B846" s="70"/>
      <c r="C846" s="70"/>
      <c r="D846" s="70"/>
      <c r="E846" s="70"/>
      <c r="F846" s="70"/>
      <c r="G846" s="70"/>
      <c r="H846" s="54"/>
      <c r="I846" s="70"/>
      <c r="J846" s="70"/>
      <c r="K846" s="70"/>
      <c r="L846" s="70"/>
      <c r="M846" s="70"/>
      <c r="N846" s="70"/>
      <c r="O846" s="70"/>
      <c r="P846" s="70"/>
      <c r="Q846" s="70"/>
      <c r="R846" s="70"/>
      <c r="S846" s="70"/>
      <c r="T846" s="70"/>
      <c r="U846" s="70"/>
      <c r="V846" s="70"/>
      <c r="W846" s="70"/>
      <c r="X846" s="70"/>
      <c r="Y846" s="70"/>
      <c r="Z846" s="70"/>
      <c r="AA846" s="70"/>
      <c r="AB846" s="70"/>
      <c r="AC846" s="70"/>
      <c r="AD846" s="70"/>
      <c r="AE846" s="70"/>
      <c r="AF846" s="70"/>
      <c r="AG846" s="70"/>
      <c r="AH846" s="70"/>
      <c r="AI846" s="70"/>
      <c r="AJ846" s="70"/>
      <c r="AK846" s="70"/>
      <c r="AL846" s="70"/>
      <c r="AM846" s="70"/>
      <c r="AN846" s="70"/>
      <c r="AO846" s="70"/>
      <c r="AP846" s="70"/>
      <c r="AQ846" s="70"/>
      <c r="AR846" s="70"/>
      <c r="AS846" s="70"/>
      <c r="AT846" s="70"/>
    </row>
    <row r="847" spans="1:46">
      <c r="A847" s="70"/>
      <c r="B847" s="70"/>
      <c r="C847" s="70"/>
      <c r="D847" s="70"/>
      <c r="E847" s="70"/>
      <c r="F847" s="70"/>
      <c r="G847" s="70"/>
      <c r="H847" s="54"/>
      <c r="I847" s="70"/>
      <c r="J847" s="70"/>
      <c r="K847" s="70"/>
      <c r="L847" s="70"/>
      <c r="M847" s="70"/>
      <c r="N847" s="70"/>
      <c r="O847" s="70"/>
      <c r="P847" s="70"/>
      <c r="Q847" s="70"/>
      <c r="R847" s="70"/>
      <c r="S847" s="70"/>
      <c r="T847" s="70"/>
      <c r="U847" s="70"/>
      <c r="V847" s="70"/>
      <c r="W847" s="70"/>
      <c r="X847" s="70"/>
      <c r="Y847" s="70"/>
      <c r="Z847" s="70"/>
      <c r="AA847" s="70"/>
      <c r="AB847" s="70"/>
      <c r="AC847" s="70"/>
      <c r="AD847" s="70"/>
      <c r="AE847" s="70"/>
      <c r="AF847" s="70"/>
      <c r="AG847" s="70"/>
      <c r="AH847" s="70"/>
      <c r="AI847" s="70"/>
      <c r="AJ847" s="70"/>
      <c r="AK847" s="70"/>
      <c r="AL847" s="70"/>
      <c r="AM847" s="70"/>
      <c r="AN847" s="70"/>
      <c r="AO847" s="70"/>
      <c r="AP847" s="70"/>
      <c r="AQ847" s="70"/>
      <c r="AR847" s="70"/>
      <c r="AS847" s="70"/>
      <c r="AT847" s="70"/>
    </row>
    <row r="848" spans="1:46">
      <c r="A848" s="70"/>
      <c r="B848" s="70"/>
      <c r="C848" s="70"/>
      <c r="D848" s="70"/>
      <c r="E848" s="70"/>
      <c r="F848" s="70"/>
      <c r="G848" s="70"/>
      <c r="H848" s="54"/>
      <c r="I848" s="70"/>
      <c r="J848" s="70"/>
      <c r="K848" s="70"/>
      <c r="L848" s="70"/>
      <c r="M848" s="70"/>
      <c r="N848" s="70"/>
      <c r="O848" s="70"/>
      <c r="P848" s="70"/>
      <c r="Q848" s="70"/>
      <c r="R848" s="70"/>
      <c r="S848" s="70"/>
      <c r="T848" s="70"/>
      <c r="U848" s="70"/>
      <c r="V848" s="70"/>
      <c r="W848" s="70"/>
      <c r="X848" s="70"/>
      <c r="Y848" s="70"/>
      <c r="Z848" s="70"/>
      <c r="AA848" s="70"/>
      <c r="AB848" s="70"/>
      <c r="AC848" s="70"/>
      <c r="AD848" s="70"/>
      <c r="AE848" s="70"/>
      <c r="AF848" s="70"/>
      <c r="AG848" s="70"/>
      <c r="AH848" s="70"/>
      <c r="AI848" s="70"/>
      <c r="AJ848" s="70"/>
      <c r="AK848" s="70"/>
      <c r="AL848" s="70"/>
      <c r="AM848" s="70"/>
      <c r="AN848" s="70"/>
      <c r="AO848" s="70"/>
      <c r="AP848" s="70"/>
      <c r="AQ848" s="70"/>
      <c r="AR848" s="70"/>
      <c r="AS848" s="70"/>
      <c r="AT848" s="70"/>
    </row>
    <row r="849" spans="1:46">
      <c r="A849" s="70"/>
      <c r="B849" s="70"/>
      <c r="C849" s="70"/>
      <c r="D849" s="70"/>
      <c r="E849" s="70"/>
      <c r="F849" s="70"/>
      <c r="G849" s="70"/>
      <c r="H849" s="54"/>
      <c r="I849" s="70"/>
      <c r="J849" s="70"/>
      <c r="K849" s="70"/>
      <c r="L849" s="70"/>
      <c r="M849" s="70"/>
      <c r="N849" s="70"/>
      <c r="O849" s="70"/>
      <c r="P849" s="70"/>
      <c r="Q849" s="70"/>
      <c r="R849" s="70"/>
      <c r="S849" s="70"/>
      <c r="T849" s="70"/>
      <c r="U849" s="70"/>
      <c r="V849" s="70"/>
      <c r="W849" s="70"/>
      <c r="X849" s="70"/>
      <c r="Y849" s="70"/>
      <c r="Z849" s="70"/>
      <c r="AA849" s="70"/>
      <c r="AB849" s="70"/>
      <c r="AC849" s="70"/>
      <c r="AD849" s="70"/>
      <c r="AE849" s="70"/>
      <c r="AF849" s="70"/>
      <c r="AG849" s="70"/>
      <c r="AH849" s="70"/>
      <c r="AI849" s="70"/>
      <c r="AJ849" s="70"/>
      <c r="AK849" s="70"/>
      <c r="AL849" s="70"/>
      <c r="AM849" s="70"/>
      <c r="AN849" s="70"/>
      <c r="AO849" s="70"/>
      <c r="AP849" s="70"/>
      <c r="AQ849" s="70"/>
      <c r="AR849" s="70"/>
      <c r="AS849" s="70"/>
      <c r="AT849" s="70"/>
    </row>
    <row r="850" spans="1:46">
      <c r="A850" s="70"/>
      <c r="B850" s="70"/>
      <c r="C850" s="70"/>
      <c r="D850" s="70"/>
      <c r="E850" s="70"/>
      <c r="F850" s="70"/>
      <c r="G850" s="70"/>
      <c r="H850" s="54"/>
      <c r="I850" s="70"/>
      <c r="J850" s="70"/>
      <c r="K850" s="70"/>
      <c r="L850" s="70"/>
      <c r="M850" s="70"/>
      <c r="N850" s="70"/>
      <c r="O850" s="70"/>
      <c r="P850" s="70"/>
      <c r="Q850" s="70"/>
      <c r="R850" s="70"/>
      <c r="S850" s="70"/>
      <c r="T850" s="70"/>
      <c r="U850" s="70"/>
      <c r="V850" s="70"/>
      <c r="W850" s="70"/>
      <c r="X850" s="70"/>
      <c r="Y850" s="70"/>
      <c r="Z850" s="70"/>
      <c r="AA850" s="70"/>
      <c r="AB850" s="70"/>
      <c r="AC850" s="70"/>
      <c r="AD850" s="70"/>
      <c r="AE850" s="70"/>
      <c r="AF850" s="70"/>
      <c r="AG850" s="70"/>
      <c r="AH850" s="70"/>
      <c r="AI850" s="70"/>
      <c r="AJ850" s="70"/>
      <c r="AK850" s="70"/>
      <c r="AL850" s="70"/>
      <c r="AM850" s="70"/>
      <c r="AN850" s="70"/>
      <c r="AO850" s="70"/>
      <c r="AP850" s="70"/>
      <c r="AQ850" s="70"/>
      <c r="AR850" s="70"/>
      <c r="AS850" s="70"/>
      <c r="AT850" s="70"/>
    </row>
    <row r="851" spans="1:46">
      <c r="A851" s="70"/>
      <c r="B851" s="70"/>
      <c r="C851" s="70"/>
      <c r="D851" s="70"/>
      <c r="E851" s="70"/>
      <c r="F851" s="70"/>
      <c r="G851" s="70"/>
      <c r="H851" s="54"/>
      <c r="I851" s="70"/>
      <c r="J851" s="70"/>
      <c r="K851" s="70"/>
      <c r="L851" s="70"/>
      <c r="M851" s="70"/>
      <c r="N851" s="70"/>
      <c r="O851" s="70"/>
      <c r="P851" s="70"/>
      <c r="Q851" s="70"/>
      <c r="R851" s="70"/>
      <c r="S851" s="70"/>
      <c r="T851" s="70"/>
      <c r="U851" s="70"/>
      <c r="V851" s="70"/>
      <c r="W851" s="70"/>
      <c r="X851" s="70"/>
      <c r="Y851" s="70"/>
      <c r="Z851" s="70"/>
      <c r="AA851" s="70"/>
      <c r="AB851" s="70"/>
      <c r="AC851" s="70"/>
      <c r="AD851" s="70"/>
      <c r="AE851" s="70"/>
      <c r="AF851" s="70"/>
      <c r="AG851" s="70"/>
      <c r="AH851" s="70"/>
      <c r="AI851" s="70"/>
      <c r="AJ851" s="70"/>
      <c r="AK851" s="70"/>
      <c r="AL851" s="70"/>
      <c r="AM851" s="70"/>
      <c r="AN851" s="70"/>
      <c r="AO851" s="70"/>
      <c r="AP851" s="70"/>
      <c r="AQ851" s="70"/>
      <c r="AR851" s="70"/>
      <c r="AS851" s="70"/>
      <c r="AT851" s="70"/>
    </row>
    <row r="852" spans="1:46">
      <c r="A852" s="70"/>
      <c r="B852" s="70"/>
      <c r="C852" s="70"/>
      <c r="D852" s="70"/>
      <c r="E852" s="70"/>
      <c r="F852" s="70"/>
      <c r="G852" s="70"/>
      <c r="H852" s="54"/>
      <c r="I852" s="70"/>
      <c r="J852" s="70"/>
      <c r="K852" s="70"/>
      <c r="L852" s="70"/>
      <c r="M852" s="70"/>
      <c r="N852" s="70"/>
      <c r="O852" s="70"/>
      <c r="P852" s="70"/>
      <c r="Q852" s="70"/>
      <c r="R852" s="70"/>
      <c r="S852" s="70"/>
      <c r="T852" s="70"/>
      <c r="U852" s="70"/>
      <c r="V852" s="70"/>
      <c r="W852" s="70"/>
      <c r="X852" s="70"/>
      <c r="Y852" s="70"/>
      <c r="Z852" s="70"/>
      <c r="AA852" s="70"/>
      <c r="AB852" s="70"/>
      <c r="AC852" s="70"/>
      <c r="AD852" s="70"/>
      <c r="AE852" s="70"/>
      <c r="AF852" s="70"/>
      <c r="AG852" s="70"/>
      <c r="AH852" s="70"/>
      <c r="AI852" s="70"/>
      <c r="AJ852" s="70"/>
      <c r="AK852" s="70"/>
      <c r="AL852" s="70"/>
      <c r="AM852" s="70"/>
      <c r="AN852" s="70"/>
      <c r="AO852" s="70"/>
      <c r="AP852" s="70"/>
      <c r="AQ852" s="70"/>
      <c r="AR852" s="70"/>
      <c r="AS852" s="70"/>
      <c r="AT852" s="70"/>
    </row>
    <row r="853" spans="1:46">
      <c r="A853" s="70"/>
      <c r="B853" s="70"/>
      <c r="C853" s="70"/>
      <c r="D853" s="70"/>
      <c r="E853" s="70"/>
      <c r="F853" s="70"/>
      <c r="G853" s="70"/>
      <c r="H853" s="54"/>
      <c r="I853" s="70"/>
      <c r="J853" s="70"/>
      <c r="K853" s="70"/>
      <c r="L853" s="70"/>
      <c r="M853" s="70"/>
      <c r="N853" s="70"/>
      <c r="O853" s="70"/>
      <c r="P853" s="70"/>
      <c r="Q853" s="70"/>
      <c r="R853" s="70"/>
      <c r="S853" s="70"/>
      <c r="T853" s="70"/>
      <c r="U853" s="70"/>
      <c r="V853" s="70"/>
      <c r="W853" s="70"/>
      <c r="X853" s="70"/>
      <c r="Y853" s="70"/>
      <c r="Z853" s="70"/>
      <c r="AA853" s="70"/>
      <c r="AB853" s="70"/>
      <c r="AC853" s="70"/>
      <c r="AD853" s="70"/>
      <c r="AE853" s="70"/>
      <c r="AF853" s="70"/>
      <c r="AG853" s="70"/>
      <c r="AH853" s="70"/>
      <c r="AI853" s="70"/>
      <c r="AJ853" s="70"/>
      <c r="AK853" s="70"/>
      <c r="AL853" s="70"/>
      <c r="AM853" s="70"/>
      <c r="AN853" s="70"/>
      <c r="AO853" s="70"/>
      <c r="AP853" s="70"/>
      <c r="AQ853" s="70"/>
      <c r="AR853" s="70"/>
      <c r="AS853" s="70"/>
      <c r="AT853" s="70"/>
    </row>
    <row r="854" spans="1:46">
      <c r="A854" s="70"/>
      <c r="B854" s="70"/>
      <c r="C854" s="70"/>
      <c r="D854" s="70"/>
      <c r="E854" s="70"/>
      <c r="F854" s="70"/>
      <c r="G854" s="70"/>
      <c r="H854" s="54"/>
      <c r="I854" s="70"/>
      <c r="J854" s="70"/>
      <c r="K854" s="70"/>
      <c r="L854" s="70"/>
      <c r="M854" s="70"/>
      <c r="N854" s="70"/>
      <c r="O854" s="70"/>
      <c r="P854" s="70"/>
      <c r="Q854" s="70"/>
      <c r="R854" s="70"/>
      <c r="S854" s="70"/>
      <c r="T854" s="70"/>
      <c r="U854" s="70"/>
      <c r="V854" s="70"/>
      <c r="W854" s="70"/>
      <c r="X854" s="70"/>
      <c r="Y854" s="70"/>
      <c r="Z854" s="70"/>
      <c r="AA854" s="70"/>
      <c r="AB854" s="70"/>
      <c r="AC854" s="70"/>
      <c r="AD854" s="70"/>
      <c r="AE854" s="70"/>
      <c r="AF854" s="70"/>
      <c r="AG854" s="70"/>
      <c r="AH854" s="70"/>
      <c r="AI854" s="70"/>
      <c r="AJ854" s="70"/>
      <c r="AK854" s="70"/>
      <c r="AL854" s="70"/>
      <c r="AM854" s="70"/>
      <c r="AN854" s="70"/>
      <c r="AO854" s="70"/>
      <c r="AP854" s="70"/>
      <c r="AQ854" s="70"/>
      <c r="AR854" s="70"/>
      <c r="AS854" s="70"/>
      <c r="AT854" s="70"/>
    </row>
    <row r="855" spans="1:46">
      <c r="A855" s="70"/>
      <c r="B855" s="70"/>
      <c r="C855" s="70"/>
      <c r="D855" s="70"/>
      <c r="E855" s="70"/>
      <c r="F855" s="70"/>
      <c r="G855" s="70"/>
      <c r="H855" s="54"/>
      <c r="I855" s="70"/>
      <c r="J855" s="70"/>
      <c r="K855" s="70"/>
      <c r="L855" s="70"/>
      <c r="M855" s="70"/>
      <c r="N855" s="70"/>
      <c r="O855" s="70"/>
      <c r="P855" s="70"/>
      <c r="Q855" s="70"/>
      <c r="R855" s="70"/>
      <c r="S855" s="70"/>
      <c r="T855" s="70"/>
      <c r="U855" s="70"/>
      <c r="V855" s="70"/>
      <c r="W855" s="70"/>
      <c r="X855" s="70"/>
      <c r="Y855" s="70"/>
      <c r="Z855" s="70"/>
      <c r="AA855" s="70"/>
      <c r="AB855" s="70"/>
      <c r="AC855" s="70"/>
      <c r="AD855" s="70"/>
      <c r="AE855" s="70"/>
      <c r="AF855" s="70"/>
      <c r="AG855" s="70"/>
      <c r="AH855" s="70"/>
      <c r="AI855" s="70"/>
      <c r="AJ855" s="70"/>
      <c r="AK855" s="70"/>
      <c r="AL855" s="70"/>
      <c r="AM855" s="70"/>
      <c r="AN855" s="70"/>
      <c r="AO855" s="70"/>
      <c r="AP855" s="70"/>
      <c r="AQ855" s="70"/>
      <c r="AR855" s="70"/>
      <c r="AS855" s="70"/>
      <c r="AT855" s="70"/>
    </row>
    <row r="856" spans="1:46">
      <c r="A856" s="70"/>
      <c r="B856" s="70"/>
      <c r="C856" s="70"/>
      <c r="D856" s="70"/>
      <c r="E856" s="70"/>
      <c r="F856" s="70"/>
      <c r="G856" s="70"/>
      <c r="H856" s="54"/>
      <c r="I856" s="70"/>
      <c r="J856" s="70"/>
      <c r="K856" s="70"/>
      <c r="L856" s="70"/>
      <c r="M856" s="70"/>
      <c r="N856" s="70"/>
      <c r="O856" s="70"/>
      <c r="P856" s="70"/>
      <c r="Q856" s="70"/>
      <c r="R856" s="70"/>
      <c r="S856" s="70"/>
      <c r="T856" s="70"/>
      <c r="U856" s="70"/>
      <c r="V856" s="70"/>
      <c r="W856" s="70"/>
      <c r="X856" s="70"/>
      <c r="Y856" s="70"/>
      <c r="Z856" s="70"/>
      <c r="AA856" s="70"/>
      <c r="AB856" s="70"/>
      <c r="AC856" s="70"/>
      <c r="AD856" s="70"/>
      <c r="AE856" s="70"/>
      <c r="AF856" s="70"/>
      <c r="AG856" s="70"/>
      <c r="AH856" s="70"/>
      <c r="AI856" s="70"/>
      <c r="AJ856" s="70"/>
      <c r="AK856" s="70"/>
      <c r="AL856" s="70"/>
      <c r="AM856" s="70"/>
      <c r="AN856" s="70"/>
      <c r="AO856" s="70"/>
      <c r="AP856" s="70"/>
      <c r="AQ856" s="70"/>
      <c r="AR856" s="70"/>
      <c r="AS856" s="70"/>
      <c r="AT856" s="70"/>
    </row>
    <row r="857" spans="1:46">
      <c r="A857" s="70"/>
      <c r="B857" s="70"/>
      <c r="C857" s="70"/>
      <c r="D857" s="70"/>
      <c r="E857" s="70"/>
      <c r="F857" s="70"/>
      <c r="G857" s="70"/>
      <c r="H857" s="54"/>
      <c r="I857" s="70"/>
      <c r="J857" s="70"/>
      <c r="K857" s="70"/>
      <c r="L857" s="70"/>
      <c r="M857" s="70"/>
      <c r="N857" s="70"/>
      <c r="O857" s="70"/>
      <c r="P857" s="70"/>
      <c r="Q857" s="70"/>
      <c r="R857" s="70"/>
      <c r="S857" s="70"/>
      <c r="T857" s="70"/>
      <c r="U857" s="70"/>
      <c r="V857" s="70"/>
      <c r="W857" s="70"/>
      <c r="X857" s="70"/>
      <c r="Y857" s="70"/>
      <c r="Z857" s="70"/>
      <c r="AA857" s="70"/>
      <c r="AB857" s="70"/>
      <c r="AC857" s="70"/>
      <c r="AD857" s="70"/>
      <c r="AE857" s="70"/>
      <c r="AF857" s="70"/>
      <c r="AG857" s="70"/>
      <c r="AH857" s="70"/>
      <c r="AI857" s="70"/>
      <c r="AJ857" s="70"/>
      <c r="AK857" s="70"/>
      <c r="AL857" s="70"/>
      <c r="AM857" s="70"/>
      <c r="AN857" s="70"/>
      <c r="AO857" s="70"/>
      <c r="AP857" s="70"/>
      <c r="AQ857" s="70"/>
      <c r="AR857" s="70"/>
      <c r="AS857" s="70"/>
      <c r="AT857" s="70"/>
    </row>
    <row r="858" spans="1:46">
      <c r="A858" s="70"/>
      <c r="B858" s="70"/>
      <c r="C858" s="70"/>
      <c r="D858" s="70"/>
      <c r="E858" s="70"/>
      <c r="F858" s="70"/>
      <c r="G858" s="70"/>
      <c r="H858" s="54"/>
      <c r="I858" s="70"/>
      <c r="J858" s="70"/>
      <c r="K858" s="70"/>
      <c r="L858" s="70"/>
      <c r="M858" s="70"/>
      <c r="N858" s="70"/>
      <c r="O858" s="70"/>
      <c r="P858" s="70"/>
      <c r="Q858" s="70"/>
      <c r="R858" s="70"/>
      <c r="S858" s="70"/>
      <c r="T858" s="70"/>
      <c r="U858" s="70"/>
      <c r="V858" s="70"/>
      <c r="W858" s="70"/>
      <c r="X858" s="70"/>
      <c r="Y858" s="70"/>
      <c r="Z858" s="70"/>
      <c r="AA858" s="70"/>
      <c r="AB858" s="70"/>
      <c r="AC858" s="70"/>
      <c r="AD858" s="70"/>
      <c r="AE858" s="70"/>
      <c r="AF858" s="70"/>
      <c r="AG858" s="70"/>
      <c r="AH858" s="70"/>
      <c r="AI858" s="70"/>
      <c r="AJ858" s="70"/>
      <c r="AK858" s="70"/>
      <c r="AL858" s="70"/>
      <c r="AM858" s="70"/>
      <c r="AN858" s="70"/>
      <c r="AO858" s="70"/>
      <c r="AP858" s="70"/>
      <c r="AQ858" s="70"/>
      <c r="AR858" s="70"/>
      <c r="AS858" s="70"/>
      <c r="AT858" s="70"/>
    </row>
    <row r="859" spans="1:46">
      <c r="A859" s="70"/>
      <c r="B859" s="70"/>
      <c r="C859" s="70"/>
      <c r="D859" s="70"/>
      <c r="E859" s="70"/>
      <c r="F859" s="70"/>
      <c r="G859" s="70"/>
      <c r="H859" s="54"/>
      <c r="I859" s="70"/>
      <c r="J859" s="70"/>
      <c r="K859" s="70"/>
      <c r="L859" s="70"/>
      <c r="M859" s="70"/>
      <c r="N859" s="70"/>
      <c r="O859" s="70"/>
      <c r="P859" s="70"/>
      <c r="Q859" s="70"/>
      <c r="R859" s="70"/>
      <c r="S859" s="70"/>
      <c r="T859" s="70"/>
      <c r="U859" s="70"/>
      <c r="V859" s="70"/>
      <c r="W859" s="70"/>
      <c r="X859" s="70"/>
      <c r="Y859" s="70"/>
      <c r="Z859" s="70"/>
      <c r="AA859" s="70"/>
      <c r="AB859" s="70"/>
      <c r="AC859" s="70"/>
      <c r="AD859" s="70"/>
      <c r="AE859" s="70"/>
      <c r="AF859" s="70"/>
      <c r="AG859" s="70"/>
      <c r="AH859" s="70"/>
      <c r="AI859" s="70"/>
      <c r="AJ859" s="70"/>
      <c r="AK859" s="70"/>
      <c r="AL859" s="70"/>
      <c r="AM859" s="70"/>
      <c r="AN859" s="70"/>
      <c r="AO859" s="70"/>
      <c r="AP859" s="70"/>
      <c r="AQ859" s="70"/>
      <c r="AR859" s="70"/>
      <c r="AS859" s="70"/>
      <c r="AT859" s="70"/>
    </row>
    <row r="860" spans="1:46">
      <c r="A860" s="70"/>
      <c r="B860" s="70"/>
      <c r="C860" s="70"/>
      <c r="D860" s="70"/>
      <c r="E860" s="70"/>
      <c r="F860" s="70"/>
      <c r="G860" s="70"/>
      <c r="H860" s="54"/>
      <c r="I860" s="70"/>
      <c r="J860" s="70"/>
      <c r="K860" s="70"/>
      <c r="L860" s="70"/>
      <c r="M860" s="70"/>
      <c r="N860" s="70"/>
      <c r="O860" s="70"/>
      <c r="P860" s="70"/>
      <c r="Q860" s="70"/>
      <c r="R860" s="70"/>
      <c r="S860" s="70"/>
      <c r="T860" s="70"/>
      <c r="U860" s="70"/>
      <c r="V860" s="70"/>
      <c r="W860" s="70"/>
      <c r="X860" s="70"/>
      <c r="Y860" s="70"/>
      <c r="Z860" s="70"/>
      <c r="AA860" s="70"/>
      <c r="AB860" s="70"/>
      <c r="AC860" s="70"/>
      <c r="AD860" s="70"/>
      <c r="AE860" s="70"/>
      <c r="AF860" s="70"/>
      <c r="AG860" s="70"/>
      <c r="AH860" s="70"/>
      <c r="AI860" s="70"/>
      <c r="AJ860" s="70"/>
      <c r="AK860" s="70"/>
      <c r="AL860" s="70"/>
      <c r="AM860" s="70"/>
      <c r="AN860" s="70"/>
      <c r="AO860" s="70"/>
      <c r="AP860" s="70"/>
      <c r="AQ860" s="70"/>
      <c r="AR860" s="70"/>
      <c r="AS860" s="70"/>
      <c r="AT860" s="70"/>
    </row>
    <row r="861" spans="1:46">
      <c r="A861" s="70"/>
      <c r="B861" s="70"/>
      <c r="C861" s="70"/>
      <c r="D861" s="70"/>
      <c r="E861" s="70"/>
      <c r="F861" s="70"/>
      <c r="G861" s="70"/>
      <c r="H861" s="54"/>
      <c r="I861" s="70"/>
      <c r="J861" s="70"/>
      <c r="K861" s="70"/>
      <c r="L861" s="70"/>
      <c r="M861" s="70"/>
      <c r="N861" s="70"/>
      <c r="O861" s="70"/>
      <c r="P861" s="70"/>
      <c r="Q861" s="70"/>
      <c r="R861" s="70"/>
      <c r="S861" s="70"/>
      <c r="T861" s="70"/>
      <c r="U861" s="70"/>
      <c r="V861" s="70"/>
      <c r="W861" s="70"/>
      <c r="X861" s="70"/>
      <c r="Y861" s="70"/>
      <c r="Z861" s="70"/>
      <c r="AA861" s="70"/>
      <c r="AB861" s="70"/>
      <c r="AC861" s="70"/>
      <c r="AD861" s="70"/>
      <c r="AE861" s="70"/>
      <c r="AF861" s="70"/>
      <c r="AG861" s="70"/>
      <c r="AH861" s="70"/>
      <c r="AI861" s="70"/>
      <c r="AJ861" s="70"/>
      <c r="AK861" s="70"/>
      <c r="AL861" s="70"/>
      <c r="AM861" s="70"/>
      <c r="AN861" s="70"/>
      <c r="AO861" s="70"/>
      <c r="AP861" s="70"/>
      <c r="AQ861" s="70"/>
      <c r="AR861" s="70"/>
      <c r="AS861" s="70"/>
      <c r="AT861" s="70"/>
    </row>
    <row r="862" spans="1:46">
      <c r="A862" s="70"/>
      <c r="B862" s="70"/>
      <c r="C862" s="70"/>
      <c r="D862" s="70"/>
      <c r="E862" s="70"/>
      <c r="F862" s="70"/>
      <c r="G862" s="70"/>
      <c r="H862" s="54"/>
      <c r="I862" s="70"/>
      <c r="J862" s="70"/>
      <c r="K862" s="70"/>
      <c r="L862" s="70"/>
      <c r="M862" s="70"/>
      <c r="N862" s="70"/>
      <c r="O862" s="70"/>
      <c r="P862" s="70"/>
      <c r="Q862" s="70"/>
      <c r="R862" s="70"/>
      <c r="S862" s="70"/>
      <c r="T862" s="70"/>
      <c r="U862" s="70"/>
      <c r="V862" s="70"/>
      <c r="W862" s="70"/>
      <c r="X862" s="70"/>
      <c r="Y862" s="70"/>
      <c r="Z862" s="70"/>
      <c r="AA862" s="70"/>
      <c r="AB862" s="70"/>
      <c r="AC862" s="70"/>
      <c r="AD862" s="70"/>
      <c r="AE862" s="70"/>
      <c r="AF862" s="70"/>
      <c r="AG862" s="70"/>
      <c r="AH862" s="70"/>
      <c r="AI862" s="70"/>
      <c r="AJ862" s="70"/>
      <c r="AK862" s="70"/>
      <c r="AL862" s="70"/>
      <c r="AM862" s="70"/>
      <c r="AN862" s="70"/>
      <c r="AO862" s="70"/>
      <c r="AP862" s="70"/>
      <c r="AQ862" s="70"/>
      <c r="AR862" s="70"/>
      <c r="AS862" s="70"/>
      <c r="AT862" s="70"/>
    </row>
    <row r="863" spans="1:46">
      <c r="A863" s="70"/>
      <c r="B863" s="70"/>
      <c r="C863" s="70"/>
      <c r="D863" s="70"/>
      <c r="E863" s="70"/>
      <c r="F863" s="70"/>
      <c r="G863" s="70"/>
      <c r="H863" s="54"/>
      <c r="I863" s="70"/>
      <c r="J863" s="70"/>
      <c r="K863" s="70"/>
      <c r="L863" s="70"/>
      <c r="M863" s="70"/>
      <c r="N863" s="70"/>
      <c r="O863" s="70"/>
      <c r="P863" s="70"/>
      <c r="Q863" s="70"/>
      <c r="R863" s="70"/>
      <c r="S863" s="70"/>
      <c r="T863" s="70"/>
      <c r="U863" s="70"/>
      <c r="V863" s="70"/>
      <c r="W863" s="70"/>
      <c r="X863" s="70"/>
      <c r="Y863" s="70"/>
      <c r="Z863" s="70"/>
      <c r="AA863" s="70"/>
      <c r="AB863" s="70"/>
      <c r="AC863" s="70"/>
      <c r="AD863" s="70"/>
      <c r="AE863" s="70"/>
      <c r="AF863" s="70"/>
      <c r="AG863" s="70"/>
      <c r="AH863" s="70"/>
      <c r="AI863" s="70"/>
      <c r="AJ863" s="70"/>
      <c r="AK863" s="70"/>
      <c r="AL863" s="70"/>
      <c r="AM863" s="70"/>
      <c r="AN863" s="70"/>
      <c r="AO863" s="70"/>
      <c r="AP863" s="70"/>
      <c r="AQ863" s="70"/>
      <c r="AR863" s="70"/>
      <c r="AS863" s="70"/>
      <c r="AT863" s="70"/>
    </row>
    <row r="864" spans="1:46">
      <c r="A864" s="70"/>
      <c r="B864" s="70"/>
      <c r="C864" s="70"/>
      <c r="D864" s="70"/>
      <c r="E864" s="70"/>
      <c r="F864" s="70"/>
      <c r="G864" s="70"/>
      <c r="H864" s="54"/>
      <c r="I864" s="70"/>
      <c r="J864" s="70"/>
      <c r="K864" s="70"/>
      <c r="L864" s="70"/>
      <c r="M864" s="70"/>
      <c r="N864" s="70"/>
      <c r="O864" s="70"/>
      <c r="P864" s="70"/>
      <c r="Q864" s="70"/>
      <c r="R864" s="70"/>
      <c r="S864" s="70"/>
      <c r="T864" s="70"/>
      <c r="U864" s="70"/>
      <c r="V864" s="70"/>
      <c r="W864" s="70"/>
      <c r="X864" s="70"/>
      <c r="Y864" s="70"/>
      <c r="Z864" s="70"/>
      <c r="AA864" s="70"/>
      <c r="AB864" s="70"/>
      <c r="AC864" s="70"/>
      <c r="AD864" s="70"/>
      <c r="AE864" s="70"/>
      <c r="AF864" s="70"/>
      <c r="AG864" s="70"/>
      <c r="AH864" s="70"/>
      <c r="AI864" s="70"/>
      <c r="AJ864" s="70"/>
      <c r="AK864" s="70"/>
      <c r="AL864" s="70"/>
      <c r="AM864" s="70"/>
      <c r="AN864" s="70"/>
      <c r="AO864" s="70"/>
      <c r="AP864" s="70"/>
      <c r="AQ864" s="70"/>
      <c r="AR864" s="70"/>
      <c r="AS864" s="70"/>
      <c r="AT864" s="70"/>
    </row>
    <row r="865" spans="1:46">
      <c r="A865" s="70"/>
      <c r="B865" s="70"/>
      <c r="C865" s="70"/>
      <c r="D865" s="70"/>
      <c r="E865" s="70"/>
      <c r="F865" s="70"/>
      <c r="G865" s="70"/>
      <c r="H865" s="54"/>
      <c r="I865" s="70"/>
      <c r="J865" s="70"/>
      <c r="K865" s="70"/>
      <c r="L865" s="70"/>
      <c r="M865" s="70"/>
      <c r="N865" s="70"/>
      <c r="O865" s="70"/>
      <c r="P865" s="70"/>
      <c r="Q865" s="70"/>
      <c r="R865" s="70"/>
      <c r="S865" s="70"/>
      <c r="T865" s="70"/>
      <c r="U865" s="70"/>
      <c r="V865" s="70"/>
      <c r="W865" s="70"/>
      <c r="X865" s="70"/>
      <c r="Y865" s="70"/>
      <c r="Z865" s="70"/>
      <c r="AA865" s="70"/>
      <c r="AB865" s="70"/>
      <c r="AC865" s="70"/>
      <c r="AD865" s="70"/>
      <c r="AE865" s="70"/>
      <c r="AF865" s="70"/>
      <c r="AG865" s="70"/>
      <c r="AH865" s="70"/>
      <c r="AI865" s="70"/>
      <c r="AJ865" s="70"/>
      <c r="AK865" s="70"/>
      <c r="AL865" s="70"/>
      <c r="AM865" s="70"/>
      <c r="AN865" s="70"/>
      <c r="AO865" s="70"/>
      <c r="AP865" s="70"/>
      <c r="AQ865" s="70"/>
      <c r="AR865" s="70"/>
      <c r="AS865" s="70"/>
      <c r="AT865" s="70"/>
    </row>
    <row r="866" spans="1:46">
      <c r="A866" s="70"/>
      <c r="B866" s="70"/>
      <c r="C866" s="70"/>
      <c r="D866" s="70"/>
      <c r="E866" s="70"/>
      <c r="F866" s="70"/>
      <c r="G866" s="70"/>
      <c r="H866" s="54"/>
      <c r="I866" s="70"/>
      <c r="J866" s="70"/>
      <c r="K866" s="70"/>
      <c r="L866" s="70"/>
      <c r="M866" s="70"/>
      <c r="N866" s="70"/>
      <c r="O866" s="70"/>
      <c r="P866" s="70"/>
      <c r="Q866" s="70"/>
      <c r="R866" s="70"/>
      <c r="S866" s="70"/>
      <c r="T866" s="70"/>
      <c r="U866" s="70"/>
      <c r="V866" s="70"/>
      <c r="W866" s="70"/>
      <c r="X866" s="70"/>
      <c r="Y866" s="70"/>
      <c r="Z866" s="70"/>
      <c r="AA866" s="70"/>
      <c r="AB866" s="70"/>
      <c r="AC866" s="70"/>
      <c r="AD866" s="70"/>
      <c r="AE866" s="70"/>
      <c r="AF866" s="70"/>
      <c r="AG866" s="70"/>
      <c r="AH866" s="70"/>
      <c r="AI866" s="70"/>
      <c r="AJ866" s="70"/>
      <c r="AK866" s="70"/>
      <c r="AL866" s="70"/>
      <c r="AM866" s="70"/>
      <c r="AN866" s="70"/>
      <c r="AO866" s="70"/>
      <c r="AP866" s="70"/>
      <c r="AQ866" s="70"/>
      <c r="AR866" s="70"/>
      <c r="AS866" s="70"/>
      <c r="AT866" s="70"/>
    </row>
    <row r="867" spans="1:46">
      <c r="A867" s="70"/>
      <c r="B867" s="70"/>
      <c r="C867" s="70"/>
      <c r="D867" s="70"/>
      <c r="E867" s="70"/>
      <c r="F867" s="70"/>
      <c r="G867" s="70"/>
      <c r="H867" s="54"/>
      <c r="I867" s="70"/>
      <c r="J867" s="70"/>
      <c r="K867" s="70"/>
      <c r="L867" s="70"/>
      <c r="M867" s="70"/>
      <c r="N867" s="70"/>
      <c r="O867" s="70"/>
      <c r="P867" s="70"/>
      <c r="Q867" s="70"/>
      <c r="R867" s="70"/>
      <c r="S867" s="70"/>
      <c r="T867" s="70"/>
      <c r="U867" s="70"/>
      <c r="V867" s="70"/>
      <c r="W867" s="70"/>
      <c r="X867" s="70"/>
      <c r="Y867" s="70"/>
      <c r="Z867" s="70"/>
      <c r="AA867" s="70"/>
      <c r="AB867" s="70"/>
      <c r="AC867" s="70"/>
      <c r="AD867" s="70"/>
      <c r="AE867" s="70"/>
      <c r="AF867" s="70"/>
      <c r="AG867" s="70"/>
      <c r="AH867" s="70"/>
      <c r="AI867" s="70"/>
      <c r="AJ867" s="70"/>
      <c r="AK867" s="70"/>
      <c r="AL867" s="70"/>
      <c r="AM867" s="70"/>
      <c r="AN867" s="70"/>
      <c r="AO867" s="70"/>
      <c r="AP867" s="70"/>
      <c r="AQ867" s="70"/>
      <c r="AR867" s="70"/>
      <c r="AS867" s="70"/>
      <c r="AT867" s="70"/>
    </row>
    <row r="868" spans="1:46">
      <c r="A868" s="70"/>
      <c r="B868" s="70"/>
      <c r="C868" s="70"/>
      <c r="D868" s="70"/>
      <c r="E868" s="70"/>
      <c r="F868" s="70"/>
      <c r="G868" s="70"/>
      <c r="H868" s="54"/>
      <c r="I868" s="70"/>
      <c r="J868" s="70"/>
      <c r="K868" s="70"/>
      <c r="L868" s="70"/>
      <c r="M868" s="70"/>
      <c r="N868" s="70"/>
      <c r="O868" s="70"/>
      <c r="P868" s="70"/>
      <c r="Q868" s="70"/>
      <c r="R868" s="70"/>
      <c r="S868" s="70"/>
      <c r="T868" s="70"/>
      <c r="U868" s="70"/>
      <c r="V868" s="70"/>
      <c r="W868" s="70"/>
      <c r="X868" s="70"/>
      <c r="Y868" s="70"/>
      <c r="Z868" s="70"/>
      <c r="AA868" s="70"/>
      <c r="AB868" s="70"/>
      <c r="AC868" s="70"/>
      <c r="AD868" s="70"/>
      <c r="AE868" s="70"/>
      <c r="AF868" s="70"/>
      <c r="AG868" s="70"/>
      <c r="AH868" s="70"/>
      <c r="AI868" s="70"/>
      <c r="AJ868" s="70"/>
      <c r="AK868" s="70"/>
      <c r="AL868" s="70"/>
      <c r="AM868" s="70"/>
      <c r="AN868" s="70"/>
      <c r="AO868" s="70"/>
      <c r="AP868" s="70"/>
      <c r="AQ868" s="70"/>
      <c r="AR868" s="70"/>
      <c r="AS868" s="70"/>
      <c r="AT868" s="70"/>
    </row>
    <row r="869" spans="1:46">
      <c r="A869" s="70"/>
      <c r="B869" s="70"/>
      <c r="C869" s="70"/>
      <c r="D869" s="70"/>
      <c r="E869" s="70"/>
      <c r="F869" s="70"/>
      <c r="G869" s="70"/>
      <c r="H869" s="54"/>
      <c r="I869" s="70"/>
      <c r="J869" s="70"/>
      <c r="K869" s="70"/>
      <c r="L869" s="70"/>
      <c r="M869" s="70"/>
      <c r="N869" s="70"/>
      <c r="O869" s="70"/>
      <c r="P869" s="70"/>
      <c r="Q869" s="70"/>
      <c r="R869" s="70"/>
      <c r="S869" s="70"/>
      <c r="T869" s="70"/>
      <c r="U869" s="70"/>
      <c r="V869" s="70"/>
      <c r="W869" s="70"/>
      <c r="X869" s="70"/>
      <c r="Y869" s="70"/>
      <c r="Z869" s="70"/>
      <c r="AA869" s="70"/>
      <c r="AB869" s="70"/>
      <c r="AC869" s="70"/>
      <c r="AD869" s="70"/>
      <c r="AE869" s="70"/>
      <c r="AF869" s="70"/>
      <c r="AG869" s="70"/>
      <c r="AH869" s="70"/>
      <c r="AI869" s="70"/>
      <c r="AJ869" s="70"/>
      <c r="AK869" s="70"/>
      <c r="AL869" s="70"/>
      <c r="AM869" s="70"/>
      <c r="AN869" s="70"/>
      <c r="AO869" s="70"/>
      <c r="AP869" s="70"/>
      <c r="AQ869" s="70"/>
      <c r="AR869" s="70"/>
      <c r="AS869" s="70"/>
      <c r="AT869" s="70"/>
    </row>
    <row r="870" spans="1:46">
      <c r="A870" s="70"/>
      <c r="B870" s="70"/>
      <c r="C870" s="70"/>
      <c r="D870" s="70"/>
      <c r="E870" s="70"/>
      <c r="F870" s="70"/>
      <c r="G870" s="70"/>
      <c r="H870" s="54"/>
      <c r="I870" s="70"/>
      <c r="J870" s="70"/>
      <c r="K870" s="70"/>
      <c r="L870" s="70"/>
      <c r="M870" s="70"/>
      <c r="N870" s="70"/>
      <c r="O870" s="70"/>
      <c r="P870" s="70"/>
      <c r="Q870" s="70"/>
      <c r="R870" s="70"/>
      <c r="S870" s="70"/>
      <c r="T870" s="70"/>
      <c r="U870" s="70"/>
      <c r="V870" s="70"/>
      <c r="W870" s="70"/>
      <c r="X870" s="70"/>
      <c r="Y870" s="70"/>
      <c r="Z870" s="70"/>
      <c r="AA870" s="70"/>
      <c r="AB870" s="70"/>
      <c r="AC870" s="70"/>
      <c r="AD870" s="70"/>
      <c r="AE870" s="70"/>
      <c r="AF870" s="70"/>
      <c r="AG870" s="70"/>
      <c r="AH870" s="70"/>
      <c r="AI870" s="70"/>
      <c r="AJ870" s="70"/>
      <c r="AK870" s="70"/>
      <c r="AL870" s="70"/>
      <c r="AM870" s="70"/>
      <c r="AN870" s="70"/>
      <c r="AO870" s="70"/>
      <c r="AP870" s="70"/>
      <c r="AQ870" s="70"/>
      <c r="AR870" s="70"/>
      <c r="AS870" s="70"/>
      <c r="AT870" s="70"/>
    </row>
    <row r="871" spans="1:46">
      <c r="A871" s="70"/>
      <c r="B871" s="70"/>
      <c r="C871" s="70"/>
      <c r="D871" s="70"/>
      <c r="E871" s="70"/>
      <c r="F871" s="70"/>
      <c r="G871" s="70"/>
      <c r="H871" s="54"/>
      <c r="I871" s="70"/>
      <c r="J871" s="70"/>
      <c r="K871" s="70"/>
      <c r="L871" s="70"/>
      <c r="M871" s="70"/>
      <c r="N871" s="70"/>
      <c r="O871" s="70"/>
      <c r="P871" s="70"/>
      <c r="Q871" s="70"/>
      <c r="R871" s="70"/>
      <c r="S871" s="70"/>
      <c r="T871" s="70"/>
      <c r="U871" s="70"/>
      <c r="V871" s="70"/>
      <c r="W871" s="70"/>
      <c r="X871" s="70"/>
      <c r="Y871" s="70"/>
      <c r="Z871" s="70"/>
      <c r="AA871" s="70"/>
      <c r="AB871" s="70"/>
      <c r="AC871" s="70"/>
      <c r="AD871" s="70"/>
      <c r="AE871" s="70"/>
      <c r="AF871" s="70"/>
      <c r="AG871" s="70"/>
      <c r="AH871" s="70"/>
      <c r="AI871" s="70"/>
      <c r="AJ871" s="70"/>
      <c r="AK871" s="70"/>
      <c r="AL871" s="70"/>
      <c r="AM871" s="70"/>
      <c r="AN871" s="70"/>
      <c r="AO871" s="70"/>
      <c r="AP871" s="70"/>
      <c r="AQ871" s="70"/>
      <c r="AR871" s="70"/>
      <c r="AS871" s="70"/>
      <c r="AT871" s="70"/>
    </row>
    <row r="872" spans="1:46">
      <c r="A872" s="70"/>
      <c r="B872" s="70"/>
      <c r="C872" s="70"/>
      <c r="D872" s="70"/>
      <c r="E872" s="70"/>
      <c r="F872" s="70"/>
      <c r="G872" s="70"/>
      <c r="H872" s="54"/>
      <c r="I872" s="70"/>
      <c r="J872" s="70"/>
      <c r="K872" s="70"/>
      <c r="L872" s="70"/>
      <c r="M872" s="70"/>
      <c r="N872" s="70"/>
      <c r="O872" s="70"/>
      <c r="P872" s="70"/>
      <c r="Q872" s="70"/>
      <c r="R872" s="70"/>
      <c r="S872" s="70"/>
      <c r="T872" s="70"/>
      <c r="U872" s="70"/>
      <c r="V872" s="70"/>
      <c r="W872" s="70"/>
      <c r="X872" s="70"/>
      <c r="Y872" s="70"/>
      <c r="Z872" s="70"/>
      <c r="AA872" s="70"/>
      <c r="AB872" s="70"/>
      <c r="AC872" s="70"/>
      <c r="AD872" s="70"/>
      <c r="AE872" s="70"/>
      <c r="AF872" s="70"/>
      <c r="AG872" s="70"/>
      <c r="AH872" s="70"/>
      <c r="AI872" s="70"/>
      <c r="AJ872" s="70"/>
      <c r="AK872" s="70"/>
      <c r="AL872" s="70"/>
      <c r="AM872" s="70"/>
      <c r="AN872" s="70"/>
      <c r="AO872" s="70"/>
      <c r="AP872" s="70"/>
      <c r="AQ872" s="70"/>
      <c r="AR872" s="70"/>
      <c r="AS872" s="70"/>
      <c r="AT872" s="70"/>
    </row>
    <row r="873" spans="1:46">
      <c r="A873" s="70"/>
      <c r="B873" s="70"/>
      <c r="C873" s="70"/>
      <c r="D873" s="70"/>
      <c r="E873" s="70"/>
      <c r="F873" s="70"/>
      <c r="G873" s="70"/>
      <c r="H873" s="54"/>
      <c r="I873" s="70"/>
      <c r="J873" s="70"/>
      <c r="K873" s="70"/>
      <c r="L873" s="70"/>
      <c r="M873" s="70"/>
      <c r="N873" s="70"/>
      <c r="O873" s="70"/>
      <c r="P873" s="70"/>
      <c r="Q873" s="70"/>
      <c r="R873" s="70"/>
      <c r="S873" s="70"/>
      <c r="T873" s="70"/>
      <c r="U873" s="70"/>
      <c r="V873" s="70"/>
      <c r="W873" s="70"/>
      <c r="X873" s="70"/>
      <c r="Y873" s="70"/>
      <c r="Z873" s="70"/>
      <c r="AA873" s="70"/>
      <c r="AB873" s="70"/>
      <c r="AC873" s="70"/>
      <c r="AD873" s="70"/>
      <c r="AE873" s="70"/>
      <c r="AF873" s="70"/>
      <c r="AG873" s="70"/>
      <c r="AH873" s="70"/>
      <c r="AI873" s="70"/>
      <c r="AJ873" s="70"/>
      <c r="AK873" s="70"/>
      <c r="AL873" s="70"/>
      <c r="AM873" s="70"/>
      <c r="AN873" s="70"/>
      <c r="AO873" s="70"/>
      <c r="AP873" s="70"/>
      <c r="AQ873" s="70"/>
      <c r="AR873" s="70"/>
      <c r="AS873" s="70"/>
      <c r="AT873" s="70"/>
    </row>
    <row r="874" spans="1:46">
      <c r="A874" s="70"/>
      <c r="B874" s="70"/>
      <c r="C874" s="70"/>
      <c r="D874" s="70"/>
      <c r="E874" s="70"/>
      <c r="F874" s="70"/>
      <c r="G874" s="70"/>
      <c r="H874" s="54"/>
      <c r="I874" s="70"/>
      <c r="J874" s="70"/>
      <c r="K874" s="70"/>
      <c r="L874" s="70"/>
      <c r="M874" s="70"/>
      <c r="N874" s="70"/>
      <c r="O874" s="70"/>
      <c r="P874" s="70"/>
      <c r="Q874" s="70"/>
      <c r="R874" s="70"/>
      <c r="S874" s="70"/>
      <c r="T874" s="70"/>
      <c r="U874" s="70"/>
      <c r="V874" s="70"/>
      <c r="W874" s="70"/>
      <c r="X874" s="70"/>
      <c r="Y874" s="70"/>
      <c r="Z874" s="70"/>
      <c r="AA874" s="70"/>
      <c r="AB874" s="70"/>
      <c r="AC874" s="70"/>
      <c r="AD874" s="70"/>
      <c r="AE874" s="70"/>
      <c r="AF874" s="70"/>
      <c r="AG874" s="70"/>
      <c r="AH874" s="70"/>
      <c r="AI874" s="70"/>
      <c r="AJ874" s="70"/>
      <c r="AK874" s="70"/>
      <c r="AL874" s="70"/>
      <c r="AM874" s="70"/>
      <c r="AN874" s="70"/>
      <c r="AO874" s="70"/>
      <c r="AP874" s="70"/>
      <c r="AQ874" s="70"/>
      <c r="AR874" s="70"/>
      <c r="AS874" s="70"/>
      <c r="AT874" s="70"/>
    </row>
    <row r="875" spans="1:46">
      <c r="A875" s="70"/>
      <c r="B875" s="70"/>
      <c r="C875" s="70"/>
      <c r="D875" s="70"/>
      <c r="E875" s="70"/>
      <c r="F875" s="70"/>
      <c r="G875" s="70"/>
      <c r="H875" s="54"/>
      <c r="I875" s="70"/>
      <c r="J875" s="70"/>
      <c r="K875" s="70"/>
      <c r="L875" s="70"/>
      <c r="M875" s="70"/>
      <c r="N875" s="70"/>
      <c r="O875" s="70"/>
      <c r="P875" s="70"/>
      <c r="Q875" s="70"/>
      <c r="R875" s="70"/>
      <c r="S875" s="70"/>
      <c r="T875" s="70"/>
      <c r="U875" s="70"/>
      <c r="V875" s="70"/>
      <c r="W875" s="70"/>
      <c r="X875" s="70"/>
      <c r="Y875" s="70"/>
      <c r="Z875" s="70"/>
      <c r="AA875" s="70"/>
      <c r="AB875" s="70"/>
      <c r="AC875" s="70"/>
      <c r="AD875" s="70"/>
      <c r="AE875" s="70"/>
      <c r="AF875" s="70"/>
      <c r="AG875" s="70"/>
      <c r="AH875" s="70"/>
      <c r="AI875" s="70"/>
      <c r="AJ875" s="70"/>
      <c r="AK875" s="70"/>
      <c r="AL875" s="70"/>
      <c r="AM875" s="70"/>
      <c r="AN875" s="70"/>
      <c r="AO875" s="70"/>
      <c r="AP875" s="70"/>
      <c r="AQ875" s="70"/>
      <c r="AR875" s="70"/>
      <c r="AS875" s="70"/>
      <c r="AT875" s="70"/>
    </row>
    <row r="876" spans="1:46">
      <c r="A876" s="70"/>
      <c r="B876" s="70"/>
      <c r="C876" s="70"/>
      <c r="D876" s="70"/>
      <c r="E876" s="70"/>
      <c r="F876" s="70"/>
      <c r="G876" s="70"/>
      <c r="H876" s="54"/>
      <c r="I876" s="70"/>
      <c r="J876" s="70"/>
      <c r="K876" s="70"/>
      <c r="L876" s="70"/>
      <c r="M876" s="70"/>
      <c r="N876" s="70"/>
      <c r="O876" s="70"/>
      <c r="P876" s="70"/>
      <c r="Q876" s="70"/>
      <c r="R876" s="70"/>
      <c r="S876" s="70"/>
      <c r="T876" s="70"/>
      <c r="U876" s="70"/>
      <c r="V876" s="70"/>
      <c r="W876" s="70"/>
      <c r="X876" s="70"/>
      <c r="Y876" s="70"/>
      <c r="Z876" s="70"/>
      <c r="AA876" s="70"/>
      <c r="AB876" s="70"/>
      <c r="AC876" s="70"/>
      <c r="AD876" s="70"/>
      <c r="AE876" s="70"/>
      <c r="AF876" s="70"/>
      <c r="AG876" s="70"/>
      <c r="AH876" s="70"/>
      <c r="AI876" s="70"/>
      <c r="AJ876" s="70"/>
      <c r="AK876" s="70"/>
      <c r="AL876" s="70"/>
      <c r="AM876" s="70"/>
      <c r="AN876" s="70"/>
      <c r="AO876" s="70"/>
      <c r="AP876" s="70"/>
      <c r="AQ876" s="70"/>
      <c r="AR876" s="70"/>
      <c r="AS876" s="70"/>
      <c r="AT876" s="70"/>
    </row>
    <row r="877" spans="1:46">
      <c r="A877" s="70"/>
      <c r="B877" s="70"/>
      <c r="C877" s="70"/>
      <c r="D877" s="70"/>
      <c r="E877" s="70"/>
      <c r="F877" s="70"/>
      <c r="G877" s="70"/>
      <c r="H877" s="54"/>
      <c r="I877" s="70"/>
      <c r="J877" s="70"/>
      <c r="K877" s="70"/>
      <c r="L877" s="70"/>
      <c r="M877" s="70"/>
      <c r="N877" s="70"/>
      <c r="O877" s="70"/>
      <c r="P877" s="70"/>
      <c r="Q877" s="70"/>
      <c r="R877" s="70"/>
      <c r="S877" s="70"/>
      <c r="T877" s="70"/>
      <c r="U877" s="70"/>
      <c r="V877" s="70"/>
      <c r="W877" s="70"/>
      <c r="X877" s="70"/>
      <c r="Y877" s="70"/>
      <c r="Z877" s="70"/>
      <c r="AA877" s="70"/>
      <c r="AB877" s="70"/>
      <c r="AC877" s="70"/>
      <c r="AD877" s="70"/>
      <c r="AE877" s="70"/>
      <c r="AF877" s="70"/>
      <c r="AG877" s="70"/>
      <c r="AH877" s="70"/>
      <c r="AI877" s="70"/>
      <c r="AJ877" s="70"/>
      <c r="AK877" s="70"/>
      <c r="AL877" s="70"/>
      <c r="AM877" s="70"/>
      <c r="AN877" s="70"/>
      <c r="AO877" s="70"/>
      <c r="AP877" s="70"/>
      <c r="AQ877" s="70"/>
      <c r="AR877" s="70"/>
      <c r="AS877" s="70"/>
      <c r="AT877" s="70"/>
    </row>
    <row r="878" spans="1:46">
      <c r="A878" s="70"/>
      <c r="B878" s="70"/>
      <c r="C878" s="70"/>
      <c r="D878" s="70"/>
      <c r="E878" s="70"/>
      <c r="F878" s="70"/>
      <c r="G878" s="70"/>
      <c r="H878" s="54"/>
      <c r="I878" s="70"/>
      <c r="J878" s="70"/>
      <c r="K878" s="70"/>
      <c r="L878" s="70"/>
      <c r="M878" s="70"/>
      <c r="N878" s="70"/>
      <c r="O878" s="70"/>
      <c r="P878" s="70"/>
      <c r="Q878" s="70"/>
      <c r="R878" s="70"/>
      <c r="S878" s="70"/>
      <c r="T878" s="70"/>
      <c r="U878" s="70"/>
      <c r="V878" s="70"/>
      <c r="W878" s="70"/>
      <c r="X878" s="70"/>
      <c r="Y878" s="70"/>
      <c r="Z878" s="70"/>
      <c r="AA878" s="70"/>
      <c r="AB878" s="70"/>
      <c r="AC878" s="70"/>
      <c r="AD878" s="70"/>
      <c r="AE878" s="70"/>
      <c r="AF878" s="70"/>
      <c r="AG878" s="70"/>
      <c r="AH878" s="70"/>
      <c r="AI878" s="70"/>
      <c r="AJ878" s="70"/>
      <c r="AK878" s="70"/>
      <c r="AL878" s="70"/>
      <c r="AM878" s="70"/>
      <c r="AN878" s="70"/>
      <c r="AO878" s="70"/>
      <c r="AP878" s="70"/>
      <c r="AQ878" s="70"/>
      <c r="AR878" s="70"/>
      <c r="AS878" s="70"/>
      <c r="AT878" s="70"/>
    </row>
    <row r="879" spans="1:46">
      <c r="A879" s="70"/>
      <c r="B879" s="70"/>
      <c r="C879" s="70"/>
      <c r="D879" s="70"/>
      <c r="E879" s="70"/>
      <c r="F879" s="70"/>
      <c r="G879" s="70"/>
      <c r="H879" s="54"/>
      <c r="I879" s="70"/>
      <c r="J879" s="70"/>
      <c r="K879" s="70"/>
      <c r="L879" s="70"/>
      <c r="M879" s="70"/>
      <c r="N879" s="70"/>
      <c r="O879" s="70"/>
      <c r="P879" s="70"/>
      <c r="Q879" s="70"/>
      <c r="R879" s="70"/>
      <c r="S879" s="70"/>
      <c r="T879" s="70"/>
      <c r="U879" s="70"/>
      <c r="V879" s="70"/>
      <c r="W879" s="70"/>
      <c r="X879" s="70"/>
      <c r="Y879" s="70"/>
      <c r="Z879" s="70"/>
      <c r="AA879" s="70"/>
      <c r="AB879" s="70"/>
      <c r="AC879" s="70"/>
      <c r="AD879" s="70"/>
      <c r="AE879" s="70"/>
      <c r="AF879" s="70"/>
      <c r="AG879" s="70"/>
      <c r="AH879" s="70"/>
      <c r="AI879" s="70"/>
      <c r="AJ879" s="70"/>
      <c r="AK879" s="70"/>
      <c r="AL879" s="70"/>
      <c r="AM879" s="70"/>
      <c r="AN879" s="70"/>
      <c r="AO879" s="70"/>
      <c r="AP879" s="70"/>
      <c r="AQ879" s="70"/>
      <c r="AR879" s="70"/>
      <c r="AS879" s="70"/>
      <c r="AT879" s="70"/>
    </row>
    <row r="880" spans="1:46">
      <c r="A880" s="70"/>
      <c r="B880" s="70"/>
      <c r="C880" s="70"/>
      <c r="D880" s="70"/>
      <c r="E880" s="70"/>
      <c r="F880" s="70"/>
      <c r="G880" s="70"/>
      <c r="H880" s="54"/>
      <c r="I880" s="70"/>
      <c r="J880" s="70"/>
      <c r="K880" s="70"/>
      <c r="L880" s="70"/>
      <c r="M880" s="70"/>
      <c r="N880" s="70"/>
      <c r="O880" s="70"/>
      <c r="P880" s="70"/>
      <c r="Q880" s="70"/>
      <c r="R880" s="70"/>
      <c r="S880" s="70"/>
      <c r="T880" s="70"/>
      <c r="U880" s="70"/>
      <c r="V880" s="70"/>
      <c r="W880" s="70"/>
      <c r="X880" s="70"/>
      <c r="Y880" s="70"/>
      <c r="Z880" s="70"/>
      <c r="AA880" s="70"/>
      <c r="AB880" s="70"/>
      <c r="AC880" s="70"/>
      <c r="AD880" s="70"/>
      <c r="AE880" s="70"/>
      <c r="AF880" s="70"/>
      <c r="AG880" s="70"/>
      <c r="AH880" s="70"/>
      <c r="AI880" s="70"/>
      <c r="AJ880" s="70"/>
      <c r="AK880" s="70"/>
      <c r="AL880" s="70"/>
      <c r="AM880" s="70"/>
      <c r="AN880" s="70"/>
      <c r="AO880" s="70"/>
      <c r="AP880" s="70"/>
      <c r="AQ880" s="70"/>
      <c r="AR880" s="70"/>
      <c r="AS880" s="70"/>
      <c r="AT880" s="70"/>
    </row>
    <row r="881" spans="1:46">
      <c r="A881" s="70"/>
      <c r="B881" s="70"/>
      <c r="C881" s="70"/>
      <c r="D881" s="70"/>
      <c r="E881" s="70"/>
      <c r="F881" s="70"/>
      <c r="G881" s="70"/>
      <c r="H881" s="54"/>
      <c r="I881" s="70"/>
      <c r="J881" s="70"/>
      <c r="K881" s="70"/>
      <c r="L881" s="70"/>
      <c r="M881" s="70"/>
      <c r="N881" s="70"/>
      <c r="O881" s="70"/>
      <c r="P881" s="70"/>
      <c r="Q881" s="70"/>
      <c r="R881" s="70"/>
      <c r="S881" s="70"/>
      <c r="T881" s="70"/>
      <c r="U881" s="70"/>
      <c r="V881" s="70"/>
      <c r="W881" s="70"/>
      <c r="X881" s="70"/>
      <c r="Y881" s="70"/>
      <c r="Z881" s="70"/>
      <c r="AA881" s="70"/>
      <c r="AB881" s="70"/>
      <c r="AC881" s="70"/>
      <c r="AD881" s="70"/>
      <c r="AE881" s="70"/>
      <c r="AF881" s="70"/>
      <c r="AG881" s="70"/>
      <c r="AH881" s="70"/>
      <c r="AI881" s="70"/>
      <c r="AJ881" s="70"/>
      <c r="AK881" s="70"/>
      <c r="AL881" s="70"/>
      <c r="AM881" s="70"/>
      <c r="AN881" s="70"/>
      <c r="AO881" s="70"/>
      <c r="AP881" s="70"/>
      <c r="AQ881" s="70"/>
      <c r="AR881" s="70"/>
      <c r="AS881" s="70"/>
      <c r="AT881" s="70"/>
    </row>
    <row r="882" spans="1:46">
      <c r="A882" s="70"/>
      <c r="B882" s="70"/>
      <c r="C882" s="70"/>
      <c r="D882" s="70"/>
      <c r="E882" s="70"/>
      <c r="F882" s="70"/>
      <c r="G882" s="70"/>
      <c r="H882" s="54"/>
      <c r="I882" s="70"/>
      <c r="J882" s="70"/>
      <c r="K882" s="70"/>
      <c r="L882" s="70"/>
      <c r="M882" s="70"/>
      <c r="N882" s="70"/>
      <c r="O882" s="70"/>
      <c r="P882" s="70"/>
      <c r="Q882" s="70"/>
      <c r="R882" s="70"/>
      <c r="S882" s="70"/>
      <c r="T882" s="70"/>
      <c r="U882" s="70"/>
      <c r="V882" s="70"/>
      <c r="W882" s="70"/>
      <c r="X882" s="70"/>
      <c r="Y882" s="70"/>
      <c r="Z882" s="70"/>
      <c r="AA882" s="70"/>
      <c r="AB882" s="70"/>
      <c r="AC882" s="70"/>
      <c r="AD882" s="70"/>
      <c r="AE882" s="70"/>
      <c r="AF882" s="70"/>
      <c r="AG882" s="70"/>
      <c r="AH882" s="70"/>
      <c r="AI882" s="70"/>
      <c r="AJ882" s="70"/>
      <c r="AK882" s="70"/>
      <c r="AL882" s="70"/>
      <c r="AM882" s="70"/>
      <c r="AN882" s="70"/>
      <c r="AO882" s="70"/>
      <c r="AP882" s="70"/>
      <c r="AQ882" s="70"/>
      <c r="AR882" s="70"/>
      <c r="AS882" s="70"/>
      <c r="AT882" s="70"/>
    </row>
    <row r="883" spans="1:46">
      <c r="A883" s="70"/>
      <c r="B883" s="70"/>
      <c r="C883" s="70"/>
      <c r="D883" s="70"/>
      <c r="E883" s="70"/>
      <c r="F883" s="70"/>
      <c r="G883" s="70"/>
      <c r="H883" s="54"/>
      <c r="I883" s="70"/>
      <c r="J883" s="70"/>
      <c r="K883" s="70"/>
      <c r="L883" s="70"/>
      <c r="M883" s="70"/>
      <c r="N883" s="70"/>
      <c r="O883" s="70"/>
      <c r="P883" s="70"/>
      <c r="Q883" s="70"/>
      <c r="R883" s="70"/>
      <c r="S883" s="70"/>
      <c r="T883" s="70"/>
      <c r="U883" s="70"/>
      <c r="V883" s="70"/>
      <c r="W883" s="70"/>
      <c r="X883" s="70"/>
      <c r="Y883" s="70"/>
      <c r="Z883" s="70"/>
      <c r="AA883" s="70"/>
      <c r="AB883" s="70"/>
      <c r="AC883" s="70"/>
      <c r="AD883" s="70"/>
      <c r="AE883" s="70"/>
      <c r="AF883" s="70"/>
      <c r="AG883" s="70"/>
      <c r="AH883" s="70"/>
      <c r="AI883" s="70"/>
      <c r="AJ883" s="70"/>
      <c r="AK883" s="70"/>
      <c r="AL883" s="70"/>
      <c r="AM883" s="70"/>
      <c r="AN883" s="70"/>
      <c r="AO883" s="70"/>
      <c r="AP883" s="70"/>
      <c r="AQ883" s="70"/>
      <c r="AR883" s="70"/>
      <c r="AS883" s="70"/>
      <c r="AT883" s="70"/>
    </row>
    <row r="884" spans="1:46">
      <c r="A884" s="70"/>
      <c r="B884" s="70"/>
      <c r="C884" s="70"/>
      <c r="D884" s="70"/>
      <c r="E884" s="70"/>
      <c r="F884" s="70"/>
      <c r="G884" s="70"/>
      <c r="H884" s="54"/>
      <c r="I884" s="70"/>
      <c r="J884" s="70"/>
      <c r="K884" s="70"/>
      <c r="L884" s="70"/>
      <c r="M884" s="70"/>
      <c r="N884" s="70"/>
      <c r="O884" s="70"/>
      <c r="P884" s="70"/>
      <c r="Q884" s="70"/>
      <c r="R884" s="70"/>
      <c r="S884" s="70"/>
      <c r="T884" s="70"/>
      <c r="U884" s="70"/>
      <c r="V884" s="70"/>
      <c r="W884" s="70"/>
      <c r="X884" s="70"/>
      <c r="Y884" s="70"/>
      <c r="Z884" s="70"/>
      <c r="AA884" s="70"/>
      <c r="AB884" s="70"/>
      <c r="AC884" s="70"/>
      <c r="AD884" s="70"/>
      <c r="AE884" s="70"/>
      <c r="AF884" s="70"/>
      <c r="AG884" s="70"/>
      <c r="AH884" s="70"/>
      <c r="AI884" s="70"/>
      <c r="AJ884" s="70"/>
      <c r="AK884" s="70"/>
      <c r="AL884" s="70"/>
      <c r="AM884" s="70"/>
      <c r="AN884" s="70"/>
      <c r="AO884" s="70"/>
      <c r="AP884" s="70"/>
      <c r="AQ884" s="70"/>
      <c r="AR884" s="70"/>
      <c r="AS884" s="70"/>
      <c r="AT884" s="70"/>
    </row>
    <row r="885" spans="1:46">
      <c r="A885" s="70"/>
      <c r="B885" s="70"/>
      <c r="C885" s="70"/>
      <c r="D885" s="70"/>
      <c r="E885" s="70"/>
      <c r="F885" s="70"/>
      <c r="G885" s="70"/>
      <c r="H885" s="54"/>
      <c r="I885" s="70"/>
      <c r="J885" s="70"/>
      <c r="K885" s="70"/>
      <c r="L885" s="70"/>
      <c r="M885" s="70"/>
      <c r="N885" s="70"/>
      <c r="O885" s="70"/>
      <c r="P885" s="70"/>
      <c r="Q885" s="70"/>
      <c r="R885" s="70"/>
      <c r="S885" s="70"/>
      <c r="T885" s="70"/>
      <c r="U885" s="70"/>
      <c r="V885" s="70"/>
      <c r="W885" s="70"/>
      <c r="X885" s="70"/>
      <c r="Y885" s="70"/>
      <c r="Z885" s="70"/>
      <c r="AA885" s="70"/>
      <c r="AB885" s="70"/>
      <c r="AC885" s="70"/>
      <c r="AD885" s="70"/>
      <c r="AE885" s="70"/>
      <c r="AF885" s="70"/>
      <c r="AG885" s="70"/>
      <c r="AH885" s="70"/>
      <c r="AI885" s="70"/>
      <c r="AJ885" s="70"/>
      <c r="AK885" s="70"/>
      <c r="AL885" s="70"/>
      <c r="AM885" s="70"/>
      <c r="AN885" s="70"/>
      <c r="AO885" s="70"/>
      <c r="AP885" s="70"/>
      <c r="AQ885" s="70"/>
      <c r="AR885" s="70"/>
      <c r="AS885" s="70"/>
      <c r="AT885" s="70"/>
    </row>
    <row r="886" spans="1:46">
      <c r="A886" s="70"/>
      <c r="B886" s="70"/>
      <c r="C886" s="70"/>
      <c r="D886" s="70"/>
      <c r="E886" s="70"/>
      <c r="F886" s="70"/>
      <c r="G886" s="70"/>
      <c r="H886" s="54"/>
      <c r="I886" s="70"/>
      <c r="J886" s="70"/>
      <c r="K886" s="70"/>
      <c r="L886" s="70"/>
      <c r="M886" s="70"/>
      <c r="N886" s="70"/>
      <c r="O886" s="70"/>
      <c r="P886" s="70"/>
      <c r="Q886" s="70"/>
      <c r="R886" s="70"/>
      <c r="S886" s="70"/>
      <c r="T886" s="70"/>
      <c r="U886" s="70"/>
      <c r="V886" s="70"/>
      <c r="W886" s="70"/>
      <c r="X886" s="70"/>
      <c r="Y886" s="70"/>
      <c r="Z886" s="70"/>
      <c r="AA886" s="70"/>
      <c r="AB886" s="70"/>
      <c r="AC886" s="70"/>
      <c r="AD886" s="70"/>
      <c r="AE886" s="70"/>
      <c r="AF886" s="70"/>
      <c r="AG886" s="70"/>
      <c r="AH886" s="70"/>
      <c r="AI886" s="70"/>
      <c r="AJ886" s="70"/>
      <c r="AK886" s="70"/>
      <c r="AL886" s="70"/>
      <c r="AM886" s="70"/>
      <c r="AN886" s="70"/>
      <c r="AO886" s="70"/>
      <c r="AP886" s="70"/>
      <c r="AQ886" s="70"/>
      <c r="AR886" s="70"/>
      <c r="AS886" s="70"/>
      <c r="AT886" s="70"/>
    </row>
    <row r="887" spans="1:46">
      <c r="A887" s="70"/>
      <c r="B887" s="70"/>
      <c r="C887" s="70"/>
      <c r="D887" s="70"/>
      <c r="E887" s="70"/>
      <c r="F887" s="70"/>
      <c r="G887" s="70"/>
      <c r="H887" s="54"/>
      <c r="I887" s="70"/>
      <c r="J887" s="70"/>
      <c r="K887" s="70"/>
      <c r="L887" s="70"/>
      <c r="M887" s="70"/>
      <c r="N887" s="70"/>
      <c r="O887" s="70"/>
      <c r="P887" s="70"/>
      <c r="Q887" s="70"/>
      <c r="R887" s="70"/>
      <c r="S887" s="70"/>
      <c r="T887" s="70"/>
      <c r="U887" s="70"/>
      <c r="V887" s="70"/>
      <c r="W887" s="70"/>
      <c r="X887" s="70"/>
      <c r="Y887" s="70"/>
      <c r="Z887" s="70"/>
      <c r="AA887" s="70"/>
      <c r="AB887" s="70"/>
      <c r="AC887" s="70"/>
      <c r="AD887" s="70"/>
      <c r="AE887" s="70"/>
      <c r="AF887" s="70"/>
      <c r="AG887" s="70"/>
      <c r="AH887" s="70"/>
      <c r="AI887" s="70"/>
      <c r="AJ887" s="70"/>
      <c r="AK887" s="70"/>
      <c r="AL887" s="70"/>
      <c r="AM887" s="70"/>
      <c r="AN887" s="70"/>
      <c r="AO887" s="70"/>
      <c r="AP887" s="70"/>
      <c r="AQ887" s="70"/>
      <c r="AR887" s="70"/>
      <c r="AS887" s="70"/>
      <c r="AT887" s="70"/>
    </row>
    <row r="888" spans="1:46">
      <c r="A888" s="70"/>
      <c r="B888" s="70"/>
      <c r="C888" s="70"/>
      <c r="D888" s="70"/>
      <c r="E888" s="70"/>
      <c r="F888" s="70"/>
      <c r="G888" s="70"/>
      <c r="H888" s="54"/>
      <c r="I888" s="70"/>
      <c r="J888" s="70"/>
      <c r="K888" s="70"/>
      <c r="L888" s="70"/>
      <c r="M888" s="70"/>
      <c r="N888" s="70"/>
      <c r="O888" s="70"/>
      <c r="P888" s="70"/>
      <c r="Q888" s="70"/>
      <c r="R888" s="70"/>
      <c r="S888" s="70"/>
      <c r="T888" s="70"/>
      <c r="U888" s="70"/>
      <c r="V888" s="70"/>
      <c r="W888" s="70"/>
      <c r="X888" s="70"/>
      <c r="Y888" s="70"/>
      <c r="Z888" s="70"/>
      <c r="AA888" s="70"/>
      <c r="AB888" s="70"/>
      <c r="AC888" s="70"/>
      <c r="AD888" s="70"/>
      <c r="AE888" s="70"/>
      <c r="AF888" s="70"/>
      <c r="AG888" s="70"/>
      <c r="AH888" s="70"/>
      <c r="AI888" s="70"/>
      <c r="AJ888" s="70"/>
      <c r="AK888" s="70"/>
      <c r="AL888" s="70"/>
      <c r="AM888" s="70"/>
      <c r="AN888" s="70"/>
      <c r="AO888" s="70"/>
      <c r="AP888" s="70"/>
      <c r="AQ888" s="70"/>
      <c r="AR888" s="70"/>
      <c r="AS888" s="70"/>
      <c r="AT888" s="70"/>
    </row>
    <row r="889" spans="1:46">
      <c r="A889" s="70"/>
      <c r="B889" s="70"/>
      <c r="C889" s="70"/>
      <c r="D889" s="70"/>
      <c r="E889" s="70"/>
      <c r="F889" s="70"/>
      <c r="G889" s="70"/>
      <c r="H889" s="54"/>
      <c r="I889" s="70"/>
      <c r="J889" s="70"/>
      <c r="K889" s="70"/>
      <c r="L889" s="70"/>
      <c r="M889" s="70"/>
      <c r="N889" s="70"/>
      <c r="O889" s="70"/>
      <c r="P889" s="70"/>
      <c r="Q889" s="70"/>
      <c r="R889" s="70"/>
      <c r="S889" s="70"/>
      <c r="T889" s="70"/>
      <c r="U889" s="70"/>
      <c r="V889" s="70"/>
      <c r="W889" s="70"/>
      <c r="X889" s="70"/>
      <c r="Y889" s="70"/>
      <c r="Z889" s="70"/>
      <c r="AA889" s="70"/>
      <c r="AB889" s="70"/>
      <c r="AC889" s="70"/>
      <c r="AD889" s="70"/>
      <c r="AE889" s="70"/>
      <c r="AF889" s="70"/>
      <c r="AG889" s="70"/>
      <c r="AH889" s="70"/>
      <c r="AI889" s="70"/>
      <c r="AJ889" s="70"/>
      <c r="AK889" s="70"/>
      <c r="AL889" s="70"/>
      <c r="AM889" s="70"/>
      <c r="AN889" s="70"/>
      <c r="AO889" s="70"/>
      <c r="AP889" s="70"/>
      <c r="AQ889" s="70"/>
      <c r="AR889" s="70"/>
      <c r="AS889" s="70"/>
      <c r="AT889" s="70"/>
    </row>
    <row r="890" spans="1:46">
      <c r="A890" s="70"/>
      <c r="B890" s="70"/>
      <c r="C890" s="70"/>
      <c r="D890" s="70"/>
      <c r="E890" s="70"/>
      <c r="F890" s="70"/>
      <c r="G890" s="70"/>
      <c r="H890" s="54"/>
      <c r="I890" s="70"/>
      <c r="J890" s="70"/>
      <c r="K890" s="70"/>
      <c r="L890" s="70"/>
      <c r="M890" s="70"/>
      <c r="N890" s="70"/>
      <c r="O890" s="70"/>
      <c r="P890" s="70"/>
      <c r="Q890" s="70"/>
      <c r="R890" s="70"/>
      <c r="S890" s="70"/>
      <c r="T890" s="70"/>
      <c r="U890" s="70"/>
      <c r="V890" s="70"/>
      <c r="W890" s="70"/>
      <c r="X890" s="70"/>
      <c r="Y890" s="70"/>
      <c r="Z890" s="70"/>
      <c r="AA890" s="70"/>
      <c r="AB890" s="70"/>
      <c r="AC890" s="70"/>
      <c r="AD890" s="70"/>
      <c r="AE890" s="70"/>
      <c r="AF890" s="70"/>
      <c r="AG890" s="70"/>
      <c r="AH890" s="70"/>
      <c r="AI890" s="70"/>
      <c r="AJ890" s="70"/>
      <c r="AK890" s="70"/>
      <c r="AL890" s="70"/>
      <c r="AM890" s="70"/>
      <c r="AN890" s="70"/>
      <c r="AO890" s="70"/>
      <c r="AP890" s="70"/>
      <c r="AQ890" s="70"/>
      <c r="AR890" s="70"/>
      <c r="AS890" s="70"/>
      <c r="AT890" s="70"/>
    </row>
    <row r="891" spans="1:46">
      <c r="A891" s="70"/>
      <c r="B891" s="70"/>
      <c r="C891" s="70"/>
      <c r="D891" s="70"/>
      <c r="E891" s="70"/>
      <c r="F891" s="70"/>
      <c r="G891" s="70"/>
      <c r="H891" s="54"/>
      <c r="I891" s="70"/>
      <c r="J891" s="70"/>
      <c r="K891" s="70"/>
      <c r="L891" s="70"/>
      <c r="M891" s="70"/>
      <c r="N891" s="70"/>
      <c r="O891" s="70"/>
      <c r="P891" s="70"/>
      <c r="Q891" s="70"/>
      <c r="R891" s="70"/>
      <c r="S891" s="70"/>
      <c r="T891" s="70"/>
      <c r="U891" s="70"/>
      <c r="V891" s="70"/>
      <c r="W891" s="70"/>
      <c r="X891" s="70"/>
      <c r="Y891" s="70"/>
      <c r="Z891" s="70"/>
      <c r="AA891" s="70"/>
      <c r="AB891" s="70"/>
      <c r="AC891" s="70"/>
      <c r="AD891" s="70"/>
      <c r="AE891" s="70"/>
      <c r="AF891" s="70"/>
      <c r="AG891" s="70"/>
      <c r="AH891" s="70"/>
      <c r="AI891" s="70"/>
      <c r="AJ891" s="70"/>
      <c r="AK891" s="70"/>
      <c r="AL891" s="70"/>
      <c r="AM891" s="70"/>
      <c r="AN891" s="70"/>
      <c r="AO891" s="70"/>
      <c r="AP891" s="70"/>
      <c r="AQ891" s="70"/>
      <c r="AR891" s="70"/>
      <c r="AS891" s="70"/>
      <c r="AT891" s="70"/>
    </row>
    <row r="892" spans="1:46">
      <c r="A892" s="70"/>
      <c r="B892" s="70"/>
      <c r="C892" s="70"/>
      <c r="D892" s="70"/>
      <c r="E892" s="70"/>
      <c r="F892" s="70"/>
      <c r="G892" s="70"/>
      <c r="H892" s="54"/>
      <c r="I892" s="70"/>
      <c r="J892" s="70"/>
      <c r="K892" s="70"/>
      <c r="L892" s="70"/>
      <c r="M892" s="70"/>
      <c r="N892" s="70"/>
      <c r="O892" s="70"/>
      <c r="P892" s="70"/>
      <c r="Q892" s="70"/>
      <c r="R892" s="70"/>
      <c r="S892" s="70"/>
      <c r="T892" s="70"/>
      <c r="U892" s="70"/>
      <c r="V892" s="70"/>
      <c r="W892" s="70"/>
      <c r="X892" s="70"/>
      <c r="Y892" s="70"/>
      <c r="Z892" s="70"/>
      <c r="AA892" s="70"/>
      <c r="AB892" s="70"/>
      <c r="AC892" s="70"/>
      <c r="AD892" s="70"/>
      <c r="AE892" s="70"/>
      <c r="AF892" s="70"/>
      <c r="AG892" s="70"/>
      <c r="AH892" s="70"/>
      <c r="AI892" s="70"/>
      <c r="AJ892" s="70"/>
      <c r="AK892" s="70"/>
      <c r="AL892" s="70"/>
      <c r="AM892" s="70"/>
      <c r="AN892" s="70"/>
      <c r="AO892" s="70"/>
      <c r="AP892" s="70"/>
      <c r="AQ892" s="70"/>
      <c r="AR892" s="70"/>
      <c r="AS892" s="70"/>
      <c r="AT892" s="70"/>
    </row>
    <row r="893" spans="1:46">
      <c r="A893" s="70"/>
      <c r="B893" s="70"/>
      <c r="C893" s="70"/>
      <c r="D893" s="70"/>
      <c r="E893" s="70"/>
      <c r="F893" s="70"/>
      <c r="G893" s="70"/>
      <c r="H893" s="54"/>
      <c r="I893" s="70"/>
      <c r="J893" s="70"/>
      <c r="K893" s="70"/>
      <c r="L893" s="70"/>
      <c r="M893" s="70"/>
      <c r="N893" s="70"/>
      <c r="O893" s="70"/>
      <c r="P893" s="70"/>
      <c r="Q893" s="70"/>
      <c r="R893" s="70"/>
      <c r="S893" s="70"/>
      <c r="T893" s="70"/>
      <c r="U893" s="70"/>
      <c r="V893" s="70"/>
      <c r="W893" s="70"/>
      <c r="X893" s="70"/>
      <c r="Y893" s="70"/>
      <c r="Z893" s="70"/>
      <c r="AA893" s="70"/>
      <c r="AB893" s="70"/>
      <c r="AC893" s="70"/>
      <c r="AD893" s="70"/>
      <c r="AE893" s="70"/>
      <c r="AF893" s="70"/>
      <c r="AG893" s="70"/>
      <c r="AH893" s="70"/>
      <c r="AI893" s="70"/>
      <c r="AJ893" s="70"/>
      <c r="AK893" s="70"/>
      <c r="AL893" s="70"/>
      <c r="AM893" s="70"/>
      <c r="AN893" s="70"/>
      <c r="AO893" s="70"/>
      <c r="AP893" s="70"/>
      <c r="AQ893" s="70"/>
      <c r="AR893" s="70"/>
      <c r="AS893" s="70"/>
      <c r="AT893" s="70"/>
    </row>
    <row r="894" spans="1:46">
      <c r="A894" s="70"/>
      <c r="B894" s="70"/>
      <c r="C894" s="70"/>
      <c r="D894" s="70"/>
      <c r="E894" s="70"/>
      <c r="F894" s="70"/>
      <c r="G894" s="70"/>
      <c r="H894" s="54"/>
      <c r="I894" s="70"/>
      <c r="J894" s="70"/>
      <c r="K894" s="70"/>
      <c r="L894" s="70"/>
      <c r="M894" s="70"/>
      <c r="N894" s="70"/>
      <c r="O894" s="70"/>
      <c r="P894" s="70"/>
      <c r="Q894" s="70"/>
      <c r="R894" s="70"/>
      <c r="S894" s="70"/>
      <c r="T894" s="70"/>
      <c r="U894" s="70"/>
      <c r="V894" s="70"/>
      <c r="W894" s="70"/>
      <c r="X894" s="70"/>
      <c r="Y894" s="70"/>
      <c r="Z894" s="70"/>
      <c r="AA894" s="70"/>
      <c r="AB894" s="70"/>
      <c r="AC894" s="70"/>
      <c r="AD894" s="70"/>
      <c r="AE894" s="70"/>
      <c r="AF894" s="70"/>
      <c r="AG894" s="70"/>
      <c r="AH894" s="70"/>
      <c r="AI894" s="70"/>
      <c r="AJ894" s="70"/>
      <c r="AK894" s="70"/>
      <c r="AL894" s="70"/>
      <c r="AM894" s="70"/>
      <c r="AN894" s="70"/>
      <c r="AO894" s="70"/>
      <c r="AP894" s="70"/>
      <c r="AQ894" s="70"/>
      <c r="AR894" s="70"/>
      <c r="AS894" s="70"/>
      <c r="AT894" s="70"/>
    </row>
    <row r="895" spans="1:46">
      <c r="A895" s="70"/>
      <c r="B895" s="70"/>
      <c r="C895" s="70"/>
      <c r="D895" s="70"/>
      <c r="E895" s="70"/>
      <c r="F895" s="70"/>
      <c r="G895" s="70"/>
      <c r="H895" s="54"/>
      <c r="I895" s="70"/>
      <c r="J895" s="70"/>
      <c r="K895" s="70"/>
      <c r="L895" s="70"/>
      <c r="M895" s="70"/>
      <c r="N895" s="70"/>
      <c r="O895" s="70"/>
      <c r="P895" s="70"/>
      <c r="Q895" s="70"/>
      <c r="R895" s="70"/>
      <c r="S895" s="70"/>
      <c r="T895" s="70"/>
      <c r="U895" s="70"/>
      <c r="V895" s="70"/>
      <c r="W895" s="70"/>
      <c r="X895" s="70"/>
      <c r="Y895" s="70"/>
      <c r="Z895" s="70"/>
      <c r="AA895" s="70"/>
      <c r="AB895" s="70"/>
      <c r="AC895" s="70"/>
      <c r="AD895" s="70"/>
      <c r="AE895" s="70"/>
      <c r="AF895" s="70"/>
      <c r="AG895" s="70"/>
      <c r="AH895" s="70"/>
      <c r="AI895" s="70"/>
      <c r="AJ895" s="70"/>
      <c r="AK895" s="70"/>
      <c r="AL895" s="70"/>
      <c r="AM895" s="70"/>
      <c r="AN895" s="70"/>
      <c r="AO895" s="70"/>
      <c r="AP895" s="70"/>
      <c r="AQ895" s="70"/>
      <c r="AR895" s="70"/>
      <c r="AS895" s="70"/>
      <c r="AT895" s="70"/>
    </row>
    <row r="896" spans="1:46">
      <c r="A896" s="70"/>
      <c r="B896" s="70"/>
      <c r="C896" s="70"/>
      <c r="D896" s="70"/>
      <c r="E896" s="70"/>
      <c r="F896" s="70"/>
      <c r="G896" s="70"/>
      <c r="H896" s="54"/>
      <c r="I896" s="70"/>
      <c r="J896" s="70"/>
      <c r="K896" s="70"/>
      <c r="L896" s="70"/>
      <c r="M896" s="70"/>
      <c r="N896" s="70"/>
      <c r="O896" s="70"/>
      <c r="P896" s="70"/>
      <c r="Q896" s="70"/>
      <c r="R896" s="70"/>
      <c r="S896" s="70"/>
      <c r="T896" s="70"/>
      <c r="U896" s="70"/>
      <c r="V896" s="70"/>
      <c r="W896" s="70"/>
      <c r="X896" s="70"/>
      <c r="Y896" s="70"/>
      <c r="Z896" s="70"/>
      <c r="AA896" s="70"/>
      <c r="AB896" s="70"/>
      <c r="AC896" s="70"/>
      <c r="AD896" s="70"/>
      <c r="AE896" s="70"/>
      <c r="AF896" s="70"/>
      <c r="AG896" s="70"/>
      <c r="AH896" s="70"/>
      <c r="AI896" s="70"/>
      <c r="AJ896" s="70"/>
      <c r="AK896" s="70"/>
      <c r="AL896" s="70"/>
      <c r="AM896" s="70"/>
      <c r="AN896" s="70"/>
      <c r="AO896" s="70"/>
      <c r="AP896" s="70"/>
      <c r="AQ896" s="70"/>
      <c r="AR896" s="70"/>
      <c r="AS896" s="70"/>
      <c r="AT896" s="70"/>
    </row>
    <row r="897" spans="1:46">
      <c r="A897" s="70"/>
      <c r="B897" s="70"/>
      <c r="C897" s="70"/>
      <c r="D897" s="70"/>
      <c r="E897" s="70"/>
      <c r="F897" s="70"/>
      <c r="G897" s="70"/>
      <c r="H897" s="54"/>
      <c r="I897" s="70"/>
      <c r="J897" s="70"/>
      <c r="K897" s="70"/>
      <c r="L897" s="70"/>
      <c r="M897" s="70"/>
      <c r="N897" s="70"/>
      <c r="O897" s="70"/>
      <c r="P897" s="70"/>
      <c r="Q897" s="70"/>
      <c r="R897" s="70"/>
      <c r="S897" s="70"/>
      <c r="T897" s="70"/>
      <c r="U897" s="70"/>
      <c r="V897" s="70"/>
      <c r="W897" s="70"/>
      <c r="X897" s="70"/>
      <c r="Y897" s="70"/>
      <c r="Z897" s="70"/>
      <c r="AA897" s="70"/>
      <c r="AB897" s="70"/>
      <c r="AC897" s="70"/>
      <c r="AD897" s="70"/>
      <c r="AE897" s="70"/>
      <c r="AF897" s="70"/>
      <c r="AG897" s="70"/>
      <c r="AH897" s="70"/>
      <c r="AI897" s="70"/>
      <c r="AJ897" s="70"/>
      <c r="AK897" s="70"/>
      <c r="AL897" s="70"/>
      <c r="AM897" s="70"/>
      <c r="AN897" s="70"/>
      <c r="AO897" s="70"/>
      <c r="AP897" s="70"/>
      <c r="AQ897" s="70"/>
      <c r="AR897" s="70"/>
      <c r="AS897" s="70"/>
      <c r="AT897" s="70"/>
    </row>
    <row r="898" spans="1:46">
      <c r="A898" s="70"/>
      <c r="B898" s="70"/>
      <c r="C898" s="70"/>
      <c r="D898" s="70"/>
      <c r="E898" s="70"/>
      <c r="F898" s="70"/>
      <c r="G898" s="70"/>
      <c r="H898" s="54"/>
      <c r="I898" s="70"/>
      <c r="J898" s="70"/>
      <c r="K898" s="70"/>
      <c r="L898" s="70"/>
      <c r="M898" s="70"/>
      <c r="N898" s="70"/>
      <c r="O898" s="70"/>
      <c r="P898" s="70"/>
      <c r="Q898" s="70"/>
      <c r="R898" s="70"/>
      <c r="S898" s="70"/>
      <c r="T898" s="70"/>
      <c r="U898" s="70"/>
      <c r="V898" s="70"/>
      <c r="W898" s="70"/>
      <c r="X898" s="70"/>
      <c r="Y898" s="70"/>
      <c r="Z898" s="70"/>
      <c r="AA898" s="70"/>
      <c r="AB898" s="70"/>
      <c r="AC898" s="70"/>
      <c r="AD898" s="70"/>
      <c r="AE898" s="70"/>
      <c r="AF898" s="70"/>
      <c r="AG898" s="70"/>
      <c r="AH898" s="70"/>
      <c r="AI898" s="70"/>
      <c r="AJ898" s="70"/>
      <c r="AK898" s="70"/>
      <c r="AL898" s="70"/>
      <c r="AM898" s="70"/>
      <c r="AN898" s="70"/>
      <c r="AO898" s="70"/>
      <c r="AP898" s="70"/>
      <c r="AQ898" s="70"/>
      <c r="AR898" s="70"/>
      <c r="AS898" s="70"/>
      <c r="AT898" s="70"/>
    </row>
    <row r="899" spans="1:46">
      <c r="A899" s="70"/>
      <c r="B899" s="70"/>
      <c r="C899" s="70"/>
      <c r="D899" s="70"/>
      <c r="E899" s="70"/>
      <c r="F899" s="70"/>
      <c r="G899" s="70"/>
      <c r="H899" s="54"/>
      <c r="I899" s="70"/>
      <c r="J899" s="70"/>
      <c r="K899" s="70"/>
      <c r="L899" s="70"/>
      <c r="M899" s="70"/>
      <c r="N899" s="70"/>
      <c r="O899" s="70"/>
      <c r="P899" s="70"/>
      <c r="Q899" s="70"/>
      <c r="R899" s="70"/>
      <c r="S899" s="70"/>
      <c r="T899" s="70"/>
      <c r="U899" s="70"/>
      <c r="V899" s="70"/>
      <c r="W899" s="70"/>
      <c r="X899" s="70"/>
      <c r="Y899" s="70"/>
      <c r="Z899" s="70"/>
      <c r="AA899" s="70"/>
      <c r="AB899" s="70"/>
      <c r="AC899" s="70"/>
      <c r="AD899" s="70"/>
      <c r="AE899" s="70"/>
      <c r="AF899" s="70"/>
      <c r="AG899" s="70"/>
      <c r="AH899" s="70"/>
      <c r="AI899" s="70"/>
      <c r="AJ899" s="70"/>
      <c r="AK899" s="70"/>
      <c r="AL899" s="70"/>
      <c r="AM899" s="70"/>
      <c r="AN899" s="70"/>
      <c r="AO899" s="70"/>
      <c r="AP899" s="70"/>
      <c r="AQ899" s="70"/>
      <c r="AR899" s="70"/>
      <c r="AS899" s="70"/>
      <c r="AT899" s="70"/>
    </row>
    <row r="900" spans="1:46">
      <c r="A900" s="70"/>
      <c r="B900" s="70"/>
      <c r="C900" s="70"/>
      <c r="D900" s="70"/>
      <c r="E900" s="70"/>
      <c r="F900" s="70"/>
      <c r="G900" s="70"/>
      <c r="H900" s="54"/>
      <c r="I900" s="70"/>
      <c r="J900" s="70"/>
      <c r="K900" s="70"/>
      <c r="L900" s="70"/>
      <c r="M900" s="70"/>
      <c r="N900" s="70"/>
      <c r="O900" s="70"/>
      <c r="P900" s="70"/>
      <c r="Q900" s="70"/>
      <c r="R900" s="70"/>
      <c r="S900" s="70"/>
      <c r="T900" s="70"/>
      <c r="U900" s="70"/>
      <c r="V900" s="70"/>
      <c r="W900" s="70"/>
      <c r="X900" s="70"/>
      <c r="Y900" s="70"/>
      <c r="Z900" s="70"/>
      <c r="AA900" s="70"/>
      <c r="AB900" s="70"/>
      <c r="AC900" s="70"/>
      <c r="AD900" s="70"/>
      <c r="AE900" s="70"/>
      <c r="AF900" s="70"/>
      <c r="AG900" s="70"/>
      <c r="AH900" s="70"/>
      <c r="AI900" s="70"/>
      <c r="AJ900" s="70"/>
      <c r="AK900" s="70"/>
      <c r="AL900" s="70"/>
      <c r="AM900" s="70"/>
      <c r="AN900" s="70"/>
      <c r="AO900" s="70"/>
      <c r="AP900" s="70"/>
      <c r="AQ900" s="70"/>
      <c r="AR900" s="70"/>
      <c r="AS900" s="70"/>
      <c r="AT900" s="70"/>
    </row>
    <row r="901" spans="1:46">
      <c r="A901" s="70"/>
      <c r="B901" s="70"/>
      <c r="C901" s="70"/>
      <c r="D901" s="70"/>
      <c r="E901" s="70"/>
      <c r="F901" s="70"/>
      <c r="G901" s="70"/>
      <c r="H901" s="54"/>
      <c r="I901" s="70"/>
      <c r="J901" s="70"/>
      <c r="K901" s="70"/>
      <c r="L901" s="70"/>
      <c r="M901" s="70"/>
      <c r="N901" s="70"/>
      <c r="O901" s="70"/>
      <c r="P901" s="70"/>
      <c r="Q901" s="70"/>
      <c r="R901" s="70"/>
      <c r="S901" s="70"/>
      <c r="T901" s="70"/>
      <c r="U901" s="70"/>
      <c r="V901" s="70"/>
      <c r="W901" s="70"/>
      <c r="X901" s="70"/>
      <c r="Y901" s="70"/>
      <c r="Z901" s="70"/>
      <c r="AA901" s="70"/>
      <c r="AB901" s="70"/>
      <c r="AC901" s="70"/>
      <c r="AD901" s="70"/>
      <c r="AE901" s="70"/>
      <c r="AF901" s="70"/>
      <c r="AG901" s="70"/>
      <c r="AH901" s="70"/>
      <c r="AI901" s="70"/>
      <c r="AJ901" s="70"/>
      <c r="AK901" s="70"/>
      <c r="AL901" s="70"/>
      <c r="AM901" s="70"/>
      <c r="AN901" s="70"/>
      <c r="AO901" s="70"/>
      <c r="AP901" s="70"/>
      <c r="AQ901" s="70"/>
      <c r="AR901" s="70"/>
      <c r="AS901" s="70"/>
      <c r="AT901" s="70"/>
    </row>
    <row r="902" spans="1:46">
      <c r="A902" s="70"/>
      <c r="B902" s="70"/>
      <c r="C902" s="70"/>
      <c r="D902" s="70"/>
      <c r="E902" s="70"/>
      <c r="F902" s="70"/>
      <c r="G902" s="70"/>
      <c r="H902" s="54"/>
      <c r="I902" s="70"/>
      <c r="J902" s="70"/>
      <c r="K902" s="70"/>
      <c r="L902" s="70"/>
      <c r="M902" s="70"/>
      <c r="N902" s="70"/>
      <c r="O902" s="70"/>
      <c r="P902" s="70"/>
      <c r="Q902" s="70"/>
      <c r="R902" s="70"/>
      <c r="S902" s="70"/>
      <c r="T902" s="70"/>
      <c r="U902" s="70"/>
      <c r="V902" s="70"/>
      <c r="W902" s="70"/>
      <c r="X902" s="70"/>
      <c r="Y902" s="70"/>
      <c r="Z902" s="70"/>
      <c r="AA902" s="70"/>
      <c r="AB902" s="70"/>
      <c r="AC902" s="70"/>
      <c r="AD902" s="70"/>
      <c r="AE902" s="70"/>
      <c r="AF902" s="70"/>
      <c r="AG902" s="70"/>
      <c r="AH902" s="70"/>
      <c r="AI902" s="70"/>
      <c r="AJ902" s="70"/>
      <c r="AK902" s="70"/>
      <c r="AL902" s="70"/>
      <c r="AM902" s="70"/>
      <c r="AN902" s="70"/>
      <c r="AO902" s="70"/>
      <c r="AP902" s="70"/>
      <c r="AQ902" s="70"/>
      <c r="AR902" s="70"/>
      <c r="AS902" s="70"/>
      <c r="AT902" s="70"/>
    </row>
    <row r="903" spans="1:46">
      <c r="A903" s="70"/>
      <c r="B903" s="70"/>
      <c r="C903" s="70"/>
      <c r="D903" s="70"/>
      <c r="E903" s="70"/>
      <c r="F903" s="70"/>
      <c r="G903" s="70"/>
      <c r="H903" s="54"/>
      <c r="I903" s="70"/>
      <c r="J903" s="70"/>
      <c r="K903" s="70"/>
      <c r="L903" s="70"/>
      <c r="M903" s="70"/>
      <c r="N903" s="70"/>
      <c r="O903" s="70"/>
      <c r="P903" s="70"/>
      <c r="Q903" s="70"/>
      <c r="R903" s="70"/>
      <c r="S903" s="70"/>
      <c r="T903" s="70"/>
      <c r="U903" s="70"/>
      <c r="V903" s="70"/>
      <c r="W903" s="70"/>
      <c r="X903" s="70"/>
      <c r="Y903" s="70"/>
      <c r="Z903" s="70"/>
      <c r="AA903" s="70"/>
      <c r="AB903" s="70"/>
      <c r="AC903" s="70"/>
      <c r="AD903" s="70"/>
      <c r="AE903" s="70"/>
      <c r="AF903" s="70"/>
      <c r="AG903" s="70"/>
      <c r="AH903" s="70"/>
      <c r="AI903" s="70"/>
      <c r="AJ903" s="70"/>
      <c r="AK903" s="70"/>
      <c r="AL903" s="70"/>
      <c r="AM903" s="70"/>
      <c r="AN903" s="70"/>
      <c r="AO903" s="70"/>
      <c r="AP903" s="70"/>
      <c r="AQ903" s="70"/>
      <c r="AR903" s="70"/>
      <c r="AS903" s="70"/>
      <c r="AT903" s="70"/>
    </row>
    <row r="904" spans="1:46">
      <c r="A904" s="70"/>
      <c r="B904" s="70"/>
      <c r="C904" s="70"/>
      <c r="D904" s="70"/>
      <c r="E904" s="70"/>
      <c r="F904" s="70"/>
      <c r="G904" s="70"/>
      <c r="H904" s="54"/>
      <c r="I904" s="70"/>
      <c r="J904" s="70"/>
      <c r="K904" s="70"/>
      <c r="L904" s="70"/>
      <c r="M904" s="70"/>
      <c r="N904" s="70"/>
      <c r="O904" s="70"/>
      <c r="P904" s="70"/>
      <c r="Q904" s="70"/>
      <c r="R904" s="70"/>
      <c r="S904" s="70"/>
      <c r="T904" s="70"/>
      <c r="U904" s="70"/>
      <c r="V904" s="70"/>
      <c r="W904" s="70"/>
      <c r="X904" s="70"/>
      <c r="Y904" s="70"/>
      <c r="Z904" s="70"/>
      <c r="AA904" s="70"/>
      <c r="AB904" s="70"/>
      <c r="AC904" s="70"/>
      <c r="AD904" s="70"/>
      <c r="AE904" s="70"/>
      <c r="AF904" s="70"/>
      <c r="AG904" s="70"/>
      <c r="AH904" s="70"/>
      <c r="AI904" s="70"/>
      <c r="AJ904" s="70"/>
      <c r="AK904" s="70"/>
      <c r="AL904" s="70"/>
      <c r="AM904" s="70"/>
      <c r="AN904" s="70"/>
      <c r="AO904" s="70"/>
      <c r="AP904" s="70"/>
      <c r="AQ904" s="70"/>
      <c r="AR904" s="70"/>
      <c r="AS904" s="70"/>
      <c r="AT904" s="70"/>
    </row>
    <row r="905" spans="1:46">
      <c r="A905" s="70"/>
      <c r="B905" s="70"/>
      <c r="C905" s="70"/>
      <c r="D905" s="70"/>
      <c r="E905" s="70"/>
      <c r="F905" s="70"/>
      <c r="G905" s="70"/>
      <c r="H905" s="54"/>
      <c r="I905" s="70"/>
      <c r="J905" s="70"/>
      <c r="K905" s="70"/>
      <c r="L905" s="70"/>
      <c r="M905" s="70"/>
      <c r="N905" s="70"/>
      <c r="O905" s="70"/>
      <c r="P905" s="70"/>
      <c r="Q905" s="70"/>
      <c r="R905" s="70"/>
      <c r="S905" s="70"/>
      <c r="T905" s="70"/>
      <c r="U905" s="70"/>
      <c r="V905" s="70"/>
      <c r="W905" s="70"/>
      <c r="X905" s="70"/>
      <c r="Y905" s="70"/>
      <c r="Z905" s="70"/>
      <c r="AA905" s="70"/>
      <c r="AB905" s="70"/>
      <c r="AC905" s="70"/>
      <c r="AD905" s="70"/>
      <c r="AE905" s="70"/>
      <c r="AF905" s="70"/>
      <c r="AG905" s="70"/>
      <c r="AH905" s="70"/>
      <c r="AI905" s="70"/>
      <c r="AJ905" s="70"/>
      <c r="AK905" s="70"/>
      <c r="AL905" s="70"/>
      <c r="AM905" s="70"/>
      <c r="AN905" s="70"/>
      <c r="AO905" s="70"/>
      <c r="AP905" s="70"/>
      <c r="AQ905" s="70"/>
      <c r="AR905" s="70"/>
      <c r="AS905" s="70"/>
      <c r="AT905" s="70"/>
    </row>
    <row r="906" spans="1:46">
      <c r="A906" s="70"/>
      <c r="B906" s="70"/>
      <c r="C906" s="70"/>
      <c r="D906" s="70"/>
      <c r="E906" s="70"/>
      <c r="F906" s="70"/>
      <c r="G906" s="70"/>
      <c r="H906" s="54"/>
      <c r="I906" s="70"/>
      <c r="J906" s="70"/>
      <c r="K906" s="70"/>
      <c r="L906" s="70"/>
      <c r="M906" s="70"/>
      <c r="N906" s="70"/>
      <c r="O906" s="70"/>
      <c r="P906" s="70"/>
      <c r="Q906" s="70"/>
      <c r="R906" s="70"/>
      <c r="S906" s="70"/>
      <c r="T906" s="70"/>
      <c r="U906" s="70"/>
      <c r="V906" s="70"/>
      <c r="W906" s="70"/>
      <c r="X906" s="70"/>
      <c r="Y906" s="70"/>
      <c r="Z906" s="70"/>
      <c r="AA906" s="70"/>
      <c r="AB906" s="70"/>
      <c r="AC906" s="70"/>
      <c r="AD906" s="70"/>
      <c r="AE906" s="70"/>
      <c r="AF906" s="70"/>
      <c r="AG906" s="70"/>
      <c r="AH906" s="70"/>
      <c r="AI906" s="70"/>
      <c r="AJ906" s="70"/>
      <c r="AK906" s="70"/>
      <c r="AL906" s="70"/>
      <c r="AM906" s="70"/>
      <c r="AN906" s="70"/>
      <c r="AO906" s="70"/>
      <c r="AP906" s="70"/>
      <c r="AQ906" s="70"/>
      <c r="AR906" s="70"/>
      <c r="AS906" s="70"/>
      <c r="AT906" s="70"/>
    </row>
    <row r="907" spans="1:46">
      <c r="A907" s="70"/>
      <c r="B907" s="70"/>
      <c r="C907" s="70"/>
      <c r="D907" s="70"/>
      <c r="E907" s="70"/>
      <c r="F907" s="70"/>
      <c r="G907" s="70"/>
      <c r="H907" s="54"/>
      <c r="I907" s="70"/>
      <c r="J907" s="70"/>
      <c r="K907" s="70"/>
      <c r="L907" s="70"/>
      <c r="M907" s="70"/>
      <c r="N907" s="70"/>
      <c r="O907" s="70"/>
      <c r="P907" s="70"/>
      <c r="Q907" s="70"/>
      <c r="R907" s="70"/>
      <c r="S907" s="70"/>
      <c r="T907" s="70"/>
      <c r="U907" s="70"/>
      <c r="V907" s="70"/>
      <c r="W907" s="70"/>
      <c r="X907" s="70"/>
      <c r="Y907" s="70"/>
      <c r="Z907" s="70"/>
      <c r="AA907" s="70"/>
      <c r="AB907" s="70"/>
      <c r="AC907" s="70"/>
      <c r="AD907" s="70"/>
      <c r="AE907" s="70"/>
      <c r="AF907" s="70"/>
      <c r="AG907" s="70"/>
      <c r="AH907" s="70"/>
      <c r="AI907" s="70"/>
      <c r="AJ907" s="70"/>
      <c r="AK907" s="70"/>
      <c r="AL907" s="70"/>
      <c r="AM907" s="70"/>
      <c r="AN907" s="70"/>
      <c r="AO907" s="70"/>
      <c r="AP907" s="70"/>
      <c r="AQ907" s="70"/>
      <c r="AR907" s="70"/>
      <c r="AS907" s="70"/>
      <c r="AT907" s="70"/>
    </row>
    <row r="908" spans="1:46">
      <c r="A908" s="70"/>
      <c r="B908" s="70"/>
      <c r="C908" s="70"/>
      <c r="D908" s="70"/>
      <c r="E908" s="70"/>
      <c r="F908" s="70"/>
      <c r="G908" s="70"/>
      <c r="H908" s="54"/>
      <c r="I908" s="70"/>
      <c r="J908" s="70"/>
      <c r="K908" s="70"/>
      <c r="L908" s="70"/>
      <c r="M908" s="70"/>
      <c r="N908" s="70"/>
      <c r="O908" s="70"/>
      <c r="P908" s="70"/>
      <c r="Q908" s="70"/>
      <c r="R908" s="70"/>
      <c r="S908" s="70"/>
      <c r="T908" s="70"/>
      <c r="U908" s="70"/>
      <c r="V908" s="70"/>
      <c r="W908" s="70"/>
      <c r="X908" s="70"/>
      <c r="Y908" s="70"/>
      <c r="Z908" s="70"/>
      <c r="AA908" s="70"/>
      <c r="AB908" s="70"/>
      <c r="AC908" s="70"/>
      <c r="AD908" s="70"/>
      <c r="AE908" s="70"/>
      <c r="AF908" s="70"/>
      <c r="AG908" s="70"/>
      <c r="AH908" s="70"/>
      <c r="AI908" s="70"/>
      <c r="AJ908" s="70"/>
      <c r="AK908" s="70"/>
      <c r="AL908" s="70"/>
      <c r="AM908" s="70"/>
      <c r="AN908" s="70"/>
      <c r="AO908" s="70"/>
      <c r="AP908" s="70"/>
      <c r="AQ908" s="70"/>
      <c r="AR908" s="70"/>
      <c r="AS908" s="70"/>
      <c r="AT908" s="70"/>
    </row>
    <row r="909" spans="1:46">
      <c r="A909" s="70"/>
      <c r="B909" s="70"/>
      <c r="C909" s="70"/>
      <c r="D909" s="70"/>
      <c r="E909" s="70"/>
      <c r="F909" s="70"/>
      <c r="G909" s="70"/>
      <c r="H909" s="54"/>
      <c r="I909" s="70"/>
      <c r="J909" s="70"/>
      <c r="K909" s="70"/>
      <c r="L909" s="70"/>
      <c r="M909" s="70"/>
      <c r="N909" s="70"/>
      <c r="O909" s="70"/>
      <c r="P909" s="70"/>
      <c r="Q909" s="70"/>
      <c r="R909" s="70"/>
      <c r="S909" s="70"/>
      <c r="T909" s="70"/>
      <c r="U909" s="70"/>
      <c r="V909" s="70"/>
      <c r="W909" s="70"/>
      <c r="X909" s="70"/>
      <c r="Y909" s="70"/>
      <c r="Z909" s="70"/>
      <c r="AA909" s="70"/>
      <c r="AB909" s="70"/>
      <c r="AC909" s="70"/>
      <c r="AD909" s="70"/>
      <c r="AE909" s="70"/>
      <c r="AF909" s="70"/>
      <c r="AG909" s="70"/>
      <c r="AH909" s="70"/>
      <c r="AI909" s="70"/>
      <c r="AJ909" s="70"/>
      <c r="AK909" s="70"/>
      <c r="AL909" s="70"/>
      <c r="AM909" s="70"/>
      <c r="AN909" s="70"/>
      <c r="AO909" s="70"/>
      <c r="AP909" s="70"/>
      <c r="AQ909" s="70"/>
      <c r="AR909" s="70"/>
      <c r="AS909" s="70"/>
      <c r="AT909" s="70"/>
    </row>
    <row r="910" spans="1:46">
      <c r="A910" s="70"/>
      <c r="B910" s="70"/>
      <c r="C910" s="70"/>
      <c r="D910" s="70"/>
      <c r="E910" s="70"/>
      <c r="F910" s="70"/>
      <c r="G910" s="70"/>
      <c r="H910" s="54"/>
      <c r="I910" s="70"/>
      <c r="J910" s="70"/>
      <c r="K910" s="70"/>
      <c r="L910" s="70"/>
      <c r="M910" s="70"/>
      <c r="N910" s="70"/>
      <c r="O910" s="70"/>
      <c r="P910" s="70"/>
      <c r="Q910" s="70"/>
      <c r="R910" s="70"/>
      <c r="S910" s="70"/>
      <c r="T910" s="70"/>
      <c r="U910" s="70"/>
      <c r="V910" s="70"/>
      <c r="W910" s="70"/>
      <c r="X910" s="70"/>
      <c r="Y910" s="70"/>
      <c r="Z910" s="70"/>
      <c r="AA910" s="70"/>
      <c r="AB910" s="70"/>
      <c r="AC910" s="70"/>
      <c r="AD910" s="70"/>
      <c r="AE910" s="70"/>
      <c r="AF910" s="70"/>
      <c r="AG910" s="70"/>
      <c r="AH910" s="70"/>
      <c r="AI910" s="70"/>
      <c r="AJ910" s="70"/>
      <c r="AK910" s="70"/>
      <c r="AL910" s="70"/>
      <c r="AM910" s="70"/>
      <c r="AN910" s="70"/>
      <c r="AO910" s="70"/>
      <c r="AP910" s="70"/>
      <c r="AQ910" s="70"/>
      <c r="AR910" s="70"/>
      <c r="AS910" s="70"/>
      <c r="AT910" s="70"/>
    </row>
    <row r="911" spans="1:46">
      <c r="A911" s="70"/>
      <c r="B911" s="70"/>
      <c r="C911" s="70"/>
      <c r="D911" s="70"/>
      <c r="E911" s="70"/>
      <c r="F911" s="70"/>
      <c r="G911" s="70"/>
      <c r="H911" s="54"/>
      <c r="I911" s="70"/>
      <c r="J911" s="70"/>
      <c r="K911" s="70"/>
      <c r="L911" s="70"/>
      <c r="M911" s="70"/>
      <c r="N911" s="70"/>
      <c r="O911" s="70"/>
      <c r="P911" s="70"/>
      <c r="Q911" s="70"/>
      <c r="R911" s="70"/>
      <c r="S911" s="70"/>
      <c r="T911" s="70"/>
      <c r="U911" s="70"/>
      <c r="V911" s="70"/>
      <c r="W911" s="70"/>
      <c r="X911" s="70"/>
      <c r="Y911" s="70"/>
      <c r="Z911" s="70"/>
      <c r="AA911" s="70"/>
      <c r="AB911" s="70"/>
      <c r="AC911" s="70"/>
      <c r="AD911" s="70"/>
      <c r="AE911" s="70"/>
      <c r="AF911" s="70"/>
      <c r="AG911" s="70"/>
      <c r="AH911" s="70"/>
      <c r="AI911" s="70"/>
      <c r="AJ911" s="70"/>
      <c r="AK911" s="70"/>
      <c r="AL911" s="70"/>
      <c r="AM911" s="70"/>
      <c r="AN911" s="70"/>
      <c r="AO911" s="70"/>
      <c r="AP911" s="70"/>
      <c r="AQ911" s="70"/>
      <c r="AR911" s="70"/>
      <c r="AS911" s="70"/>
      <c r="AT911" s="70"/>
    </row>
    <row r="912" spans="1:46">
      <c r="A912" s="70"/>
      <c r="B912" s="70"/>
      <c r="C912" s="70"/>
      <c r="D912" s="70"/>
      <c r="E912" s="70"/>
      <c r="F912" s="70"/>
      <c r="G912" s="70"/>
      <c r="H912" s="54"/>
      <c r="I912" s="70"/>
      <c r="J912" s="70"/>
      <c r="K912" s="70"/>
      <c r="L912" s="70"/>
      <c r="M912" s="70"/>
      <c r="N912" s="70"/>
      <c r="O912" s="70"/>
      <c r="P912" s="70"/>
      <c r="Q912" s="70"/>
      <c r="R912" s="70"/>
      <c r="S912" s="70"/>
      <c r="T912" s="70"/>
      <c r="U912" s="70"/>
      <c r="V912" s="70"/>
      <c r="W912" s="70"/>
      <c r="X912" s="70"/>
      <c r="Y912" s="70"/>
      <c r="Z912" s="70"/>
      <c r="AA912" s="70"/>
      <c r="AB912" s="70"/>
      <c r="AC912" s="70"/>
      <c r="AD912" s="70"/>
      <c r="AE912" s="70"/>
      <c r="AF912" s="70"/>
      <c r="AG912" s="70"/>
      <c r="AH912" s="70"/>
      <c r="AI912" s="70"/>
      <c r="AJ912" s="70"/>
      <c r="AK912" s="70"/>
      <c r="AL912" s="70"/>
      <c r="AM912" s="70"/>
      <c r="AN912" s="70"/>
      <c r="AO912" s="70"/>
      <c r="AP912" s="70"/>
      <c r="AQ912" s="70"/>
      <c r="AR912" s="70"/>
      <c r="AS912" s="70"/>
      <c r="AT912" s="70"/>
    </row>
    <row r="913" spans="1:46">
      <c r="A913" s="70"/>
      <c r="B913" s="70"/>
      <c r="C913" s="70"/>
      <c r="D913" s="70"/>
      <c r="E913" s="70"/>
      <c r="F913" s="70"/>
      <c r="G913" s="70"/>
      <c r="H913" s="54"/>
      <c r="I913" s="70"/>
      <c r="J913" s="70"/>
      <c r="K913" s="70"/>
      <c r="L913" s="70"/>
      <c r="M913" s="70"/>
      <c r="N913" s="70"/>
      <c r="O913" s="70"/>
      <c r="P913" s="70"/>
      <c r="Q913" s="70"/>
      <c r="R913" s="70"/>
      <c r="S913" s="70"/>
      <c r="T913" s="70"/>
      <c r="U913" s="70"/>
      <c r="V913" s="70"/>
      <c r="W913" s="70"/>
      <c r="X913" s="70"/>
      <c r="Y913" s="70"/>
      <c r="Z913" s="70"/>
      <c r="AA913" s="70"/>
      <c r="AB913" s="70"/>
      <c r="AC913" s="70"/>
      <c r="AD913" s="70"/>
      <c r="AE913" s="70"/>
      <c r="AF913" s="70"/>
      <c r="AG913" s="70"/>
      <c r="AH913" s="70"/>
      <c r="AI913" s="70"/>
      <c r="AJ913" s="70"/>
      <c r="AK913" s="70"/>
      <c r="AL913" s="70"/>
      <c r="AM913" s="70"/>
      <c r="AN913" s="70"/>
      <c r="AO913" s="70"/>
      <c r="AP913" s="70"/>
      <c r="AQ913" s="70"/>
      <c r="AR913" s="70"/>
      <c r="AS913" s="70"/>
      <c r="AT913" s="70"/>
    </row>
    <row r="914" spans="1:46">
      <c r="A914" s="70"/>
      <c r="B914" s="70"/>
      <c r="C914" s="70"/>
      <c r="D914" s="70"/>
      <c r="E914" s="70"/>
      <c r="F914" s="70"/>
      <c r="G914" s="70"/>
      <c r="H914" s="54"/>
      <c r="I914" s="70"/>
      <c r="J914" s="70"/>
      <c r="K914" s="70"/>
      <c r="L914" s="70"/>
      <c r="M914" s="70"/>
      <c r="N914" s="70"/>
      <c r="O914" s="70"/>
      <c r="P914" s="70"/>
      <c r="Q914" s="70"/>
      <c r="R914" s="70"/>
      <c r="S914" s="70"/>
      <c r="T914" s="70"/>
      <c r="U914" s="70"/>
      <c r="V914" s="70"/>
      <c r="W914" s="70"/>
      <c r="X914" s="70"/>
      <c r="Y914" s="70"/>
      <c r="Z914" s="70"/>
      <c r="AA914" s="70"/>
      <c r="AB914" s="70"/>
      <c r="AC914" s="70"/>
      <c r="AD914" s="70"/>
      <c r="AE914" s="70"/>
      <c r="AF914" s="70"/>
      <c r="AG914" s="70"/>
      <c r="AH914" s="70"/>
      <c r="AI914" s="70"/>
      <c r="AJ914" s="70"/>
      <c r="AK914" s="70"/>
      <c r="AL914" s="70"/>
      <c r="AM914" s="70"/>
      <c r="AN914" s="70"/>
      <c r="AO914" s="70"/>
      <c r="AP914" s="70"/>
      <c r="AQ914" s="70"/>
      <c r="AR914" s="70"/>
      <c r="AS914" s="70"/>
      <c r="AT914" s="70"/>
    </row>
    <row r="915" spans="1:46">
      <c r="A915" s="70"/>
      <c r="B915" s="70"/>
      <c r="C915" s="70"/>
      <c r="D915" s="70"/>
      <c r="E915" s="70"/>
      <c r="F915" s="70"/>
      <c r="G915" s="70"/>
      <c r="H915" s="54"/>
      <c r="I915" s="70"/>
      <c r="J915" s="70"/>
      <c r="K915" s="70"/>
      <c r="L915" s="70"/>
      <c r="M915" s="70"/>
      <c r="N915" s="70"/>
      <c r="O915" s="70"/>
      <c r="P915" s="70"/>
      <c r="Q915" s="70"/>
      <c r="R915" s="70"/>
      <c r="S915" s="70"/>
      <c r="T915" s="70"/>
      <c r="U915" s="70"/>
      <c r="V915" s="70"/>
      <c r="W915" s="70"/>
      <c r="X915" s="70"/>
      <c r="Y915" s="70"/>
      <c r="Z915" s="70"/>
      <c r="AA915" s="70"/>
      <c r="AB915" s="70"/>
      <c r="AC915" s="70"/>
      <c r="AD915" s="70"/>
      <c r="AE915" s="70"/>
      <c r="AF915" s="70"/>
      <c r="AG915" s="70"/>
      <c r="AH915" s="70"/>
      <c r="AI915" s="70"/>
      <c r="AJ915" s="70"/>
      <c r="AK915" s="70"/>
      <c r="AL915" s="70"/>
      <c r="AM915" s="70"/>
      <c r="AN915" s="70"/>
      <c r="AO915" s="70"/>
      <c r="AP915" s="70"/>
      <c r="AQ915" s="70"/>
      <c r="AR915" s="70"/>
      <c r="AS915" s="70"/>
      <c r="AT915" s="70"/>
    </row>
    <row r="916" spans="1:46">
      <c r="A916" s="70"/>
      <c r="B916" s="70"/>
      <c r="C916" s="70"/>
      <c r="D916" s="70"/>
      <c r="E916" s="70"/>
      <c r="F916" s="70"/>
      <c r="G916" s="70"/>
      <c r="H916" s="54"/>
      <c r="I916" s="70"/>
      <c r="J916" s="70"/>
      <c r="K916" s="70"/>
      <c r="L916" s="70"/>
      <c r="M916" s="70"/>
      <c r="N916" s="70"/>
      <c r="O916" s="70"/>
      <c r="P916" s="70"/>
      <c r="Q916" s="70"/>
      <c r="R916" s="70"/>
      <c r="S916" s="70"/>
      <c r="T916" s="70"/>
      <c r="U916" s="70"/>
      <c r="V916" s="70"/>
      <c r="W916" s="70"/>
      <c r="X916" s="70"/>
      <c r="Y916" s="70"/>
      <c r="Z916" s="70"/>
      <c r="AA916" s="70"/>
      <c r="AB916" s="70"/>
      <c r="AC916" s="70"/>
      <c r="AD916" s="70"/>
      <c r="AE916" s="70"/>
      <c r="AF916" s="70"/>
      <c r="AG916" s="70"/>
      <c r="AH916" s="70"/>
      <c r="AI916" s="70"/>
      <c r="AJ916" s="70"/>
      <c r="AK916" s="70"/>
      <c r="AL916" s="70"/>
      <c r="AM916" s="70"/>
      <c r="AN916" s="70"/>
      <c r="AO916" s="70"/>
      <c r="AP916" s="70"/>
      <c r="AQ916" s="70"/>
      <c r="AR916" s="70"/>
      <c r="AS916" s="70"/>
      <c r="AT916" s="70"/>
    </row>
    <row r="917" spans="1:46">
      <c r="A917" s="70"/>
      <c r="B917" s="70"/>
      <c r="C917" s="70"/>
      <c r="D917" s="70"/>
      <c r="E917" s="70"/>
      <c r="F917" s="70"/>
      <c r="G917" s="70"/>
      <c r="H917" s="54"/>
      <c r="I917" s="70"/>
      <c r="J917" s="70"/>
      <c r="K917" s="70"/>
      <c r="L917" s="70"/>
      <c r="M917" s="70"/>
      <c r="N917" s="70"/>
      <c r="O917" s="70"/>
      <c r="P917" s="70"/>
      <c r="Q917" s="70"/>
      <c r="R917" s="70"/>
      <c r="S917" s="70"/>
      <c r="T917" s="70"/>
      <c r="U917" s="70"/>
      <c r="V917" s="70"/>
      <c r="W917" s="70"/>
      <c r="X917" s="70"/>
      <c r="Y917" s="70"/>
      <c r="Z917" s="70"/>
      <c r="AA917" s="70"/>
      <c r="AB917" s="70"/>
      <c r="AC917" s="70"/>
      <c r="AD917" s="70"/>
      <c r="AE917" s="70"/>
      <c r="AF917" s="70"/>
      <c r="AG917" s="70"/>
      <c r="AH917" s="70"/>
      <c r="AI917" s="70"/>
      <c r="AJ917" s="70"/>
      <c r="AK917" s="70"/>
      <c r="AL917" s="70"/>
      <c r="AM917" s="70"/>
      <c r="AN917" s="70"/>
      <c r="AO917" s="70"/>
      <c r="AP917" s="70"/>
      <c r="AQ917" s="70"/>
      <c r="AR917" s="70"/>
      <c r="AS917" s="70"/>
      <c r="AT917" s="70"/>
    </row>
    <row r="918" spans="1:46">
      <c r="A918" s="70"/>
      <c r="B918" s="70"/>
      <c r="C918" s="70"/>
      <c r="D918" s="70"/>
      <c r="E918" s="70"/>
      <c r="F918" s="70"/>
      <c r="G918" s="70"/>
      <c r="H918" s="54"/>
      <c r="I918" s="70"/>
      <c r="J918" s="70"/>
      <c r="K918" s="70"/>
      <c r="L918" s="70"/>
      <c r="M918" s="70"/>
      <c r="N918" s="70"/>
      <c r="O918" s="70"/>
      <c r="P918" s="70"/>
      <c r="Q918" s="70"/>
      <c r="R918" s="70"/>
      <c r="S918" s="70"/>
      <c r="T918" s="70"/>
      <c r="U918" s="70"/>
      <c r="V918" s="70"/>
      <c r="W918" s="70"/>
      <c r="X918" s="70"/>
      <c r="Y918" s="70"/>
      <c r="Z918" s="70"/>
      <c r="AA918" s="70"/>
      <c r="AB918" s="70"/>
      <c r="AC918" s="70"/>
      <c r="AD918" s="70"/>
      <c r="AE918" s="70"/>
      <c r="AF918" s="70"/>
      <c r="AG918" s="70"/>
      <c r="AH918" s="70"/>
      <c r="AI918" s="70"/>
      <c r="AJ918" s="70"/>
      <c r="AK918" s="70"/>
      <c r="AL918" s="70"/>
      <c r="AM918" s="70"/>
      <c r="AN918" s="70"/>
      <c r="AO918" s="70"/>
      <c r="AP918" s="70"/>
      <c r="AQ918" s="70"/>
      <c r="AR918" s="70"/>
      <c r="AS918" s="70"/>
      <c r="AT918" s="70"/>
    </row>
    <row r="919" spans="1:46">
      <c r="A919" s="70"/>
      <c r="B919" s="70"/>
      <c r="C919" s="70"/>
      <c r="D919" s="70"/>
      <c r="E919" s="70"/>
      <c r="F919" s="70"/>
      <c r="G919" s="70"/>
      <c r="H919" s="54"/>
      <c r="I919" s="70"/>
      <c r="J919" s="70"/>
      <c r="K919" s="70"/>
      <c r="L919" s="70"/>
      <c r="M919" s="70"/>
      <c r="N919" s="70"/>
      <c r="O919" s="70"/>
      <c r="P919" s="70"/>
      <c r="Q919" s="70"/>
      <c r="R919" s="70"/>
      <c r="S919" s="70"/>
      <c r="T919" s="70"/>
      <c r="U919" s="70"/>
      <c r="V919" s="70"/>
      <c r="W919" s="70"/>
      <c r="X919" s="70"/>
      <c r="Y919" s="70"/>
      <c r="Z919" s="70"/>
      <c r="AA919" s="70"/>
      <c r="AB919" s="70"/>
      <c r="AC919" s="70"/>
      <c r="AD919" s="70"/>
      <c r="AE919" s="70"/>
      <c r="AF919" s="70"/>
      <c r="AG919" s="70"/>
      <c r="AH919" s="70"/>
      <c r="AI919" s="70"/>
      <c r="AJ919" s="70"/>
      <c r="AK919" s="70"/>
      <c r="AL919" s="70"/>
      <c r="AM919" s="70"/>
      <c r="AN919" s="70"/>
      <c r="AO919" s="70"/>
      <c r="AP919" s="70"/>
      <c r="AQ919" s="70"/>
      <c r="AR919" s="70"/>
      <c r="AS919" s="70"/>
      <c r="AT919" s="70"/>
    </row>
    <row r="920" spans="1:46">
      <c r="A920" s="70"/>
      <c r="B920" s="70"/>
      <c r="C920" s="70"/>
      <c r="D920" s="70"/>
      <c r="E920" s="70"/>
      <c r="F920" s="70"/>
      <c r="G920" s="70"/>
      <c r="H920" s="54"/>
      <c r="I920" s="70"/>
      <c r="J920" s="70"/>
      <c r="K920" s="70"/>
      <c r="L920" s="70"/>
      <c r="M920" s="70"/>
      <c r="N920" s="70"/>
      <c r="O920" s="70"/>
      <c r="P920" s="70"/>
      <c r="Q920" s="70"/>
      <c r="R920" s="70"/>
      <c r="S920" s="70"/>
      <c r="T920" s="70"/>
      <c r="U920" s="70"/>
      <c r="V920" s="70"/>
      <c r="W920" s="70"/>
      <c r="X920" s="70"/>
      <c r="Y920" s="70"/>
      <c r="Z920" s="70"/>
      <c r="AA920" s="70"/>
      <c r="AB920" s="70"/>
      <c r="AC920" s="70"/>
      <c r="AD920" s="70"/>
      <c r="AE920" s="70"/>
      <c r="AF920" s="70"/>
      <c r="AG920" s="70"/>
      <c r="AH920" s="70"/>
      <c r="AI920" s="70"/>
      <c r="AJ920" s="70"/>
      <c r="AK920" s="70"/>
      <c r="AL920" s="70"/>
      <c r="AM920" s="70"/>
      <c r="AN920" s="70"/>
      <c r="AO920" s="70"/>
      <c r="AP920" s="70"/>
      <c r="AQ920" s="70"/>
      <c r="AR920" s="70"/>
      <c r="AS920" s="70"/>
      <c r="AT920" s="70"/>
    </row>
    <row r="921" spans="1:46">
      <c r="A921" s="70"/>
      <c r="B921" s="70"/>
      <c r="C921" s="70"/>
      <c r="D921" s="70"/>
      <c r="E921" s="70"/>
      <c r="F921" s="70"/>
      <c r="G921" s="70"/>
      <c r="H921" s="54"/>
      <c r="I921" s="70"/>
      <c r="J921" s="70"/>
      <c r="K921" s="70"/>
      <c r="L921" s="70"/>
      <c r="M921" s="70"/>
      <c r="N921" s="70"/>
      <c r="O921" s="70"/>
      <c r="P921" s="70"/>
      <c r="Q921" s="70"/>
      <c r="R921" s="70"/>
      <c r="S921" s="70"/>
      <c r="T921" s="70"/>
      <c r="U921" s="70"/>
      <c r="V921" s="70"/>
      <c r="W921" s="70"/>
      <c r="X921" s="70"/>
      <c r="Y921" s="70"/>
      <c r="Z921" s="70"/>
      <c r="AA921" s="70"/>
      <c r="AB921" s="70"/>
      <c r="AC921" s="70"/>
      <c r="AD921" s="70"/>
      <c r="AE921" s="70"/>
      <c r="AF921" s="70"/>
      <c r="AG921" s="70"/>
      <c r="AH921" s="70"/>
      <c r="AI921" s="70"/>
      <c r="AJ921" s="70"/>
      <c r="AK921" s="70"/>
      <c r="AL921" s="70"/>
      <c r="AM921" s="70"/>
      <c r="AN921" s="70"/>
      <c r="AO921" s="70"/>
      <c r="AP921" s="70"/>
      <c r="AQ921" s="70"/>
      <c r="AR921" s="70"/>
      <c r="AS921" s="70"/>
      <c r="AT921" s="70"/>
    </row>
    <row r="922" spans="1:46">
      <c r="A922" s="70"/>
      <c r="B922" s="70"/>
      <c r="C922" s="70"/>
      <c r="D922" s="70"/>
      <c r="E922" s="70"/>
      <c r="F922" s="70"/>
      <c r="G922" s="70"/>
      <c r="H922" s="54"/>
      <c r="I922" s="70"/>
      <c r="J922" s="70"/>
      <c r="K922" s="70"/>
      <c r="L922" s="70"/>
      <c r="M922" s="70"/>
      <c r="N922" s="70"/>
      <c r="O922" s="70"/>
      <c r="P922" s="70"/>
      <c r="Q922" s="70"/>
      <c r="R922" s="70"/>
      <c r="S922" s="70"/>
      <c r="T922" s="70"/>
      <c r="U922" s="70"/>
      <c r="V922" s="70"/>
      <c r="W922" s="70"/>
      <c r="X922" s="70"/>
      <c r="Y922" s="70"/>
      <c r="Z922" s="70"/>
      <c r="AA922" s="70"/>
      <c r="AB922" s="70"/>
      <c r="AC922" s="70"/>
      <c r="AD922" s="70"/>
      <c r="AE922" s="70"/>
      <c r="AF922" s="70"/>
      <c r="AG922" s="70"/>
      <c r="AH922" s="70"/>
      <c r="AI922" s="70"/>
      <c r="AJ922" s="70"/>
      <c r="AK922" s="70"/>
      <c r="AL922" s="70"/>
      <c r="AM922" s="70"/>
      <c r="AN922" s="70"/>
      <c r="AO922" s="70"/>
      <c r="AP922" s="70"/>
      <c r="AQ922" s="70"/>
      <c r="AR922" s="70"/>
      <c r="AS922" s="70"/>
      <c r="AT922" s="70"/>
    </row>
    <row r="923" spans="1:46">
      <c r="A923" s="70"/>
      <c r="B923" s="70"/>
      <c r="C923" s="70"/>
      <c r="D923" s="70"/>
      <c r="E923" s="70"/>
      <c r="F923" s="70"/>
      <c r="G923" s="70"/>
      <c r="H923" s="54"/>
      <c r="I923" s="70"/>
      <c r="J923" s="70"/>
      <c r="K923" s="70"/>
      <c r="L923" s="70"/>
      <c r="M923" s="70"/>
      <c r="N923" s="70"/>
      <c r="O923" s="70"/>
      <c r="P923" s="70"/>
      <c r="Q923" s="70"/>
      <c r="R923" s="70"/>
      <c r="S923" s="70"/>
      <c r="T923" s="70"/>
      <c r="U923" s="70"/>
      <c r="V923" s="70"/>
      <c r="W923" s="70"/>
      <c r="X923" s="70"/>
      <c r="Y923" s="70"/>
      <c r="Z923" s="70"/>
      <c r="AA923" s="70"/>
      <c r="AB923" s="70"/>
      <c r="AC923" s="70"/>
      <c r="AD923" s="70"/>
      <c r="AE923" s="70"/>
      <c r="AF923" s="70"/>
      <c r="AG923" s="70"/>
      <c r="AH923" s="70"/>
      <c r="AI923" s="70"/>
      <c r="AJ923" s="70"/>
      <c r="AK923" s="70"/>
      <c r="AL923" s="70"/>
      <c r="AM923" s="70"/>
      <c r="AN923" s="70"/>
      <c r="AO923" s="70"/>
      <c r="AP923" s="70"/>
      <c r="AQ923" s="70"/>
      <c r="AR923" s="70"/>
      <c r="AS923" s="70"/>
      <c r="AT923" s="70"/>
    </row>
    <row r="924" spans="1:46">
      <c r="A924" s="70"/>
      <c r="B924" s="70"/>
      <c r="C924" s="70"/>
      <c r="D924" s="70"/>
      <c r="E924" s="70"/>
      <c r="F924" s="70"/>
      <c r="G924" s="70"/>
      <c r="H924" s="54"/>
      <c r="I924" s="70"/>
      <c r="J924" s="70"/>
      <c r="K924" s="70"/>
      <c r="L924" s="70"/>
      <c r="M924" s="70"/>
      <c r="N924" s="70"/>
      <c r="O924" s="70"/>
      <c r="P924" s="70"/>
      <c r="Q924" s="70"/>
      <c r="R924" s="70"/>
      <c r="S924" s="70"/>
      <c r="T924" s="70"/>
      <c r="U924" s="70"/>
      <c r="V924" s="70"/>
      <c r="W924" s="70"/>
      <c r="X924" s="70"/>
      <c r="Y924" s="70"/>
      <c r="Z924" s="70"/>
      <c r="AA924" s="70"/>
      <c r="AB924" s="70"/>
      <c r="AC924" s="70"/>
      <c r="AD924" s="70"/>
      <c r="AE924" s="70"/>
      <c r="AF924" s="70"/>
      <c r="AG924" s="70"/>
      <c r="AH924" s="70"/>
      <c r="AI924" s="70"/>
      <c r="AJ924" s="70"/>
      <c r="AK924" s="70"/>
      <c r="AL924" s="70"/>
      <c r="AM924" s="70"/>
      <c r="AN924" s="70"/>
      <c r="AO924" s="70"/>
      <c r="AP924" s="70"/>
      <c r="AQ924" s="70"/>
      <c r="AR924" s="70"/>
      <c r="AS924" s="70"/>
      <c r="AT924" s="70"/>
    </row>
    <row r="925" spans="1:46">
      <c r="A925" s="70"/>
      <c r="B925" s="70"/>
      <c r="C925" s="70"/>
      <c r="D925" s="70"/>
      <c r="E925" s="70"/>
      <c r="F925" s="70"/>
      <c r="G925" s="70"/>
      <c r="H925" s="54"/>
      <c r="I925" s="70"/>
      <c r="J925" s="70"/>
      <c r="K925" s="70"/>
      <c r="L925" s="70"/>
      <c r="M925" s="70"/>
      <c r="N925" s="70"/>
      <c r="O925" s="70"/>
      <c r="P925" s="70"/>
      <c r="Q925" s="70"/>
      <c r="R925" s="70"/>
      <c r="S925" s="70"/>
      <c r="T925" s="70"/>
      <c r="U925" s="70"/>
      <c r="V925" s="70"/>
      <c r="W925" s="70"/>
      <c r="X925" s="70"/>
      <c r="Y925" s="70"/>
      <c r="Z925" s="70"/>
      <c r="AA925" s="70"/>
      <c r="AB925" s="70"/>
      <c r="AC925" s="70"/>
      <c r="AD925" s="70"/>
      <c r="AE925" s="70"/>
      <c r="AF925" s="70"/>
      <c r="AG925" s="70"/>
      <c r="AH925" s="70"/>
      <c r="AI925" s="70"/>
      <c r="AJ925" s="70"/>
      <c r="AK925" s="70"/>
      <c r="AL925" s="70"/>
      <c r="AM925" s="70"/>
      <c r="AN925" s="70"/>
      <c r="AO925" s="70"/>
      <c r="AP925" s="70"/>
      <c r="AQ925" s="70"/>
      <c r="AR925" s="70"/>
      <c r="AS925" s="70"/>
      <c r="AT925" s="70"/>
    </row>
    <row r="926" spans="1:46">
      <c r="A926" s="70"/>
      <c r="B926" s="70"/>
      <c r="C926" s="70"/>
      <c r="D926" s="70"/>
      <c r="E926" s="70"/>
      <c r="F926" s="70"/>
      <c r="G926" s="70"/>
      <c r="H926" s="54"/>
      <c r="I926" s="70"/>
      <c r="J926" s="70"/>
      <c r="K926" s="70"/>
      <c r="L926" s="70"/>
      <c r="M926" s="70"/>
      <c r="N926" s="70"/>
      <c r="O926" s="70"/>
      <c r="P926" s="70"/>
      <c r="Q926" s="70"/>
      <c r="R926" s="70"/>
      <c r="S926" s="70"/>
      <c r="T926" s="70"/>
      <c r="U926" s="70"/>
      <c r="V926" s="70"/>
      <c r="W926" s="70"/>
      <c r="X926" s="70"/>
      <c r="Y926" s="70"/>
      <c r="Z926" s="70"/>
      <c r="AA926" s="70"/>
      <c r="AB926" s="70"/>
      <c r="AC926" s="70"/>
      <c r="AD926" s="70"/>
      <c r="AE926" s="70"/>
      <c r="AF926" s="70"/>
      <c r="AG926" s="70"/>
      <c r="AH926" s="70"/>
      <c r="AI926" s="70"/>
      <c r="AJ926" s="70"/>
      <c r="AK926" s="70"/>
      <c r="AL926" s="70"/>
      <c r="AM926" s="70"/>
      <c r="AN926" s="70"/>
      <c r="AO926" s="70"/>
      <c r="AP926" s="70"/>
      <c r="AQ926" s="70"/>
      <c r="AR926" s="70"/>
      <c r="AS926" s="70"/>
      <c r="AT926" s="70"/>
    </row>
    <row r="927" spans="1:46">
      <c r="A927" s="70"/>
      <c r="B927" s="70"/>
      <c r="C927" s="70"/>
      <c r="D927" s="70"/>
      <c r="E927" s="70"/>
      <c r="F927" s="70"/>
      <c r="G927" s="70"/>
      <c r="H927" s="54"/>
      <c r="I927" s="70"/>
      <c r="J927" s="70"/>
      <c r="K927" s="70"/>
      <c r="L927" s="70"/>
      <c r="M927" s="70"/>
      <c r="N927" s="70"/>
      <c r="O927" s="70"/>
      <c r="P927" s="70"/>
      <c r="Q927" s="70"/>
      <c r="R927" s="70"/>
      <c r="S927" s="70"/>
      <c r="T927" s="70"/>
      <c r="U927" s="70"/>
      <c r="V927" s="70"/>
      <c r="W927" s="70"/>
      <c r="X927" s="70"/>
      <c r="Y927" s="70"/>
      <c r="Z927" s="70"/>
      <c r="AA927" s="70"/>
      <c r="AB927" s="70"/>
      <c r="AC927" s="70"/>
      <c r="AD927" s="70"/>
      <c r="AE927" s="70"/>
      <c r="AF927" s="70"/>
      <c r="AG927" s="70"/>
      <c r="AH927" s="70"/>
      <c r="AI927" s="70"/>
      <c r="AJ927" s="70"/>
      <c r="AK927" s="70"/>
      <c r="AL927" s="70"/>
      <c r="AM927" s="70"/>
      <c r="AN927" s="70"/>
      <c r="AO927" s="70"/>
      <c r="AP927" s="70"/>
      <c r="AQ927" s="70"/>
      <c r="AR927" s="70"/>
      <c r="AS927" s="70"/>
      <c r="AT927" s="70"/>
    </row>
    <row r="928" spans="1:46">
      <c r="A928" s="70"/>
      <c r="B928" s="70"/>
      <c r="C928" s="70"/>
      <c r="D928" s="70"/>
      <c r="E928" s="70"/>
      <c r="F928" s="70"/>
      <c r="G928" s="70"/>
      <c r="H928" s="54"/>
      <c r="I928" s="70"/>
      <c r="J928" s="70"/>
      <c r="K928" s="70"/>
      <c r="L928" s="70"/>
      <c r="M928" s="70"/>
      <c r="N928" s="70"/>
      <c r="O928" s="70"/>
      <c r="P928" s="70"/>
      <c r="Q928" s="70"/>
      <c r="R928" s="70"/>
      <c r="S928" s="70"/>
      <c r="T928" s="70"/>
      <c r="U928" s="70"/>
      <c r="V928" s="70"/>
      <c r="W928" s="70"/>
      <c r="X928" s="70"/>
      <c r="Y928" s="70"/>
      <c r="Z928" s="70"/>
      <c r="AA928" s="70"/>
      <c r="AB928" s="70"/>
      <c r="AC928" s="70"/>
      <c r="AD928" s="70"/>
      <c r="AE928" s="70"/>
      <c r="AF928" s="70"/>
      <c r="AG928" s="70"/>
      <c r="AH928" s="70"/>
      <c r="AI928" s="70"/>
      <c r="AJ928" s="70"/>
      <c r="AK928" s="70"/>
      <c r="AL928" s="70"/>
      <c r="AM928" s="70"/>
      <c r="AN928" s="70"/>
      <c r="AO928" s="70"/>
      <c r="AP928" s="70"/>
      <c r="AQ928" s="70"/>
      <c r="AR928" s="70"/>
      <c r="AS928" s="70"/>
      <c r="AT928" s="70"/>
    </row>
    <row r="929" spans="1:46">
      <c r="A929" s="70"/>
      <c r="B929" s="70"/>
      <c r="C929" s="70"/>
      <c r="D929" s="70"/>
      <c r="E929" s="70"/>
      <c r="F929" s="70"/>
      <c r="G929" s="70"/>
      <c r="H929" s="54"/>
      <c r="I929" s="70"/>
      <c r="J929" s="70"/>
      <c r="K929" s="70"/>
      <c r="L929" s="70"/>
      <c r="M929" s="70"/>
      <c r="N929" s="70"/>
      <c r="O929" s="70"/>
      <c r="P929" s="70"/>
      <c r="Q929" s="70"/>
      <c r="R929" s="70"/>
      <c r="S929" s="70"/>
      <c r="T929" s="70"/>
      <c r="U929" s="70"/>
      <c r="V929" s="70"/>
      <c r="W929" s="70"/>
      <c r="X929" s="70"/>
      <c r="Y929" s="70"/>
      <c r="Z929" s="70"/>
      <c r="AA929" s="70"/>
      <c r="AB929" s="70"/>
      <c r="AC929" s="70"/>
      <c r="AD929" s="70"/>
      <c r="AE929" s="70"/>
      <c r="AF929" s="70"/>
      <c r="AG929" s="70"/>
      <c r="AH929" s="70"/>
      <c r="AI929" s="70"/>
      <c r="AJ929" s="70"/>
      <c r="AK929" s="70"/>
      <c r="AL929" s="70"/>
      <c r="AM929" s="70"/>
      <c r="AN929" s="70"/>
      <c r="AO929" s="70"/>
      <c r="AP929" s="70"/>
      <c r="AQ929" s="70"/>
      <c r="AR929" s="70"/>
      <c r="AS929" s="70"/>
      <c r="AT929" s="70"/>
    </row>
    <row r="930" spans="1:46">
      <c r="A930" s="70"/>
      <c r="B930" s="70"/>
      <c r="C930" s="70"/>
      <c r="D930" s="70"/>
      <c r="E930" s="70"/>
      <c r="F930" s="70"/>
      <c r="G930" s="70"/>
      <c r="H930" s="54"/>
      <c r="I930" s="70"/>
      <c r="J930" s="70"/>
      <c r="K930" s="70"/>
      <c r="L930" s="70"/>
      <c r="M930" s="70"/>
      <c r="N930" s="70"/>
      <c r="O930" s="70"/>
      <c r="P930" s="70"/>
      <c r="Q930" s="70"/>
      <c r="R930" s="70"/>
      <c r="S930" s="70"/>
      <c r="T930" s="70"/>
      <c r="U930" s="70"/>
      <c r="V930" s="70"/>
      <c r="W930" s="70"/>
      <c r="X930" s="70"/>
      <c r="Y930" s="70"/>
      <c r="Z930" s="70"/>
      <c r="AA930" s="70"/>
      <c r="AB930" s="70"/>
      <c r="AC930" s="70"/>
      <c r="AD930" s="70"/>
      <c r="AE930" s="70"/>
      <c r="AF930" s="70"/>
      <c r="AG930" s="70"/>
      <c r="AH930" s="70"/>
      <c r="AI930" s="70"/>
      <c r="AJ930" s="70"/>
      <c r="AK930" s="70"/>
      <c r="AL930" s="70"/>
      <c r="AM930" s="70"/>
      <c r="AN930" s="70"/>
      <c r="AO930" s="70"/>
      <c r="AP930" s="70"/>
      <c r="AQ930" s="70"/>
      <c r="AR930" s="70"/>
      <c r="AS930" s="70"/>
      <c r="AT930" s="70"/>
    </row>
    <row r="931" spans="1:46">
      <c r="A931" s="70"/>
      <c r="B931" s="70"/>
      <c r="C931" s="70"/>
      <c r="D931" s="70"/>
      <c r="E931" s="70"/>
      <c r="F931" s="70"/>
      <c r="G931" s="70"/>
      <c r="H931" s="54"/>
      <c r="I931" s="70"/>
      <c r="J931" s="70"/>
      <c r="K931" s="70"/>
      <c r="L931" s="70"/>
      <c r="M931" s="70"/>
      <c r="N931" s="70"/>
      <c r="O931" s="70"/>
      <c r="P931" s="70"/>
      <c r="Q931" s="70"/>
      <c r="R931" s="70"/>
      <c r="S931" s="70"/>
      <c r="T931" s="70"/>
      <c r="U931" s="70"/>
      <c r="V931" s="70"/>
      <c r="W931" s="70"/>
      <c r="X931" s="70"/>
      <c r="Y931" s="70"/>
      <c r="Z931" s="70"/>
      <c r="AA931" s="70"/>
      <c r="AB931" s="70"/>
      <c r="AC931" s="70"/>
      <c r="AD931" s="70"/>
      <c r="AE931" s="70"/>
      <c r="AF931" s="70"/>
      <c r="AG931" s="70"/>
      <c r="AH931" s="70"/>
      <c r="AI931" s="70"/>
      <c r="AJ931" s="70"/>
      <c r="AK931" s="70"/>
      <c r="AL931" s="70"/>
      <c r="AM931" s="70"/>
      <c r="AN931" s="70"/>
      <c r="AO931" s="70"/>
      <c r="AP931" s="70"/>
      <c r="AQ931" s="70"/>
      <c r="AR931" s="70"/>
      <c r="AS931" s="70"/>
      <c r="AT931" s="70"/>
    </row>
    <row r="932" spans="1:46">
      <c r="A932" s="70"/>
      <c r="B932" s="70"/>
      <c r="C932" s="70"/>
      <c r="D932" s="70"/>
      <c r="E932" s="70"/>
      <c r="F932" s="70"/>
      <c r="G932" s="70"/>
      <c r="H932" s="54"/>
      <c r="I932" s="70"/>
      <c r="J932" s="70"/>
      <c r="K932" s="70"/>
      <c r="L932" s="70"/>
      <c r="M932" s="70"/>
      <c r="N932" s="70"/>
      <c r="O932" s="70"/>
      <c r="P932" s="70"/>
      <c r="Q932" s="70"/>
      <c r="R932" s="70"/>
      <c r="S932" s="70"/>
      <c r="T932" s="70"/>
      <c r="U932" s="70"/>
      <c r="V932" s="70"/>
      <c r="W932" s="70"/>
      <c r="X932" s="70"/>
      <c r="Y932" s="70"/>
      <c r="Z932" s="70"/>
      <c r="AA932" s="70"/>
      <c r="AB932" s="70"/>
      <c r="AC932" s="70"/>
      <c r="AD932" s="70"/>
      <c r="AE932" s="70"/>
      <c r="AF932" s="70"/>
      <c r="AG932" s="70"/>
      <c r="AH932" s="70"/>
      <c r="AI932" s="70"/>
      <c r="AJ932" s="70"/>
      <c r="AK932" s="70"/>
      <c r="AL932" s="70"/>
      <c r="AM932" s="70"/>
      <c r="AN932" s="70"/>
      <c r="AO932" s="70"/>
      <c r="AP932" s="70"/>
      <c r="AQ932" s="70"/>
      <c r="AR932" s="70"/>
      <c r="AS932" s="70"/>
      <c r="AT932" s="70"/>
    </row>
    <row r="933" spans="1:46">
      <c r="A933" s="70"/>
      <c r="B933" s="70"/>
      <c r="C933" s="70"/>
      <c r="D933" s="70"/>
      <c r="E933" s="70"/>
      <c r="F933" s="70"/>
      <c r="G933" s="70"/>
      <c r="H933" s="54"/>
      <c r="I933" s="70"/>
      <c r="J933" s="70"/>
      <c r="K933" s="70"/>
      <c r="L933" s="70"/>
      <c r="M933" s="70"/>
      <c r="N933" s="70"/>
      <c r="O933" s="70"/>
      <c r="P933" s="70"/>
      <c r="Q933" s="70"/>
      <c r="R933" s="70"/>
      <c r="S933" s="70"/>
      <c r="T933" s="70"/>
      <c r="U933" s="70"/>
      <c r="V933" s="70"/>
      <c r="W933" s="70"/>
      <c r="X933" s="70"/>
      <c r="Y933" s="70"/>
      <c r="Z933" s="70"/>
      <c r="AA933" s="70"/>
      <c r="AB933" s="70"/>
      <c r="AC933" s="70"/>
      <c r="AD933" s="70"/>
      <c r="AE933" s="70"/>
      <c r="AF933" s="70"/>
      <c r="AG933" s="70"/>
      <c r="AH933" s="70"/>
      <c r="AI933" s="70"/>
      <c r="AJ933" s="70"/>
      <c r="AK933" s="70"/>
      <c r="AL933" s="70"/>
      <c r="AM933" s="70"/>
      <c r="AN933" s="70"/>
      <c r="AO933" s="70"/>
      <c r="AP933" s="70"/>
      <c r="AQ933" s="70"/>
      <c r="AR933" s="70"/>
      <c r="AS933" s="70"/>
      <c r="AT933" s="70"/>
    </row>
    <row r="934" spans="1:46">
      <c r="A934" s="70"/>
      <c r="B934" s="70"/>
      <c r="C934" s="70"/>
      <c r="D934" s="70"/>
      <c r="E934" s="70"/>
      <c r="F934" s="70"/>
      <c r="G934" s="70"/>
      <c r="H934" s="54"/>
      <c r="I934" s="70"/>
      <c r="J934" s="70"/>
      <c r="K934" s="70"/>
      <c r="L934" s="70"/>
      <c r="M934" s="70"/>
      <c r="N934" s="70"/>
      <c r="O934" s="70"/>
      <c r="P934" s="70"/>
      <c r="Q934" s="70"/>
      <c r="R934" s="70"/>
      <c r="S934" s="70"/>
      <c r="T934" s="70"/>
      <c r="U934" s="70"/>
      <c r="V934" s="70"/>
      <c r="W934" s="70"/>
      <c r="X934" s="70"/>
      <c r="Y934" s="70"/>
      <c r="Z934" s="70"/>
      <c r="AA934" s="70"/>
      <c r="AB934" s="70"/>
      <c r="AC934" s="70"/>
      <c r="AD934" s="70"/>
      <c r="AE934" s="70"/>
      <c r="AF934" s="70"/>
      <c r="AG934" s="70"/>
      <c r="AH934" s="70"/>
      <c r="AI934" s="70"/>
      <c r="AJ934" s="70"/>
      <c r="AK934" s="70"/>
      <c r="AL934" s="70"/>
      <c r="AM934" s="70"/>
      <c r="AN934" s="70"/>
      <c r="AO934" s="70"/>
      <c r="AP934" s="70"/>
      <c r="AQ934" s="70"/>
      <c r="AR934" s="70"/>
      <c r="AS934" s="70"/>
      <c r="AT934" s="70"/>
    </row>
    <row r="935" spans="1:46">
      <c r="A935" s="70"/>
      <c r="B935" s="70"/>
      <c r="C935" s="70"/>
      <c r="D935" s="70"/>
      <c r="E935" s="70"/>
      <c r="F935" s="70"/>
      <c r="G935" s="70"/>
      <c r="H935" s="54"/>
      <c r="I935" s="70"/>
      <c r="J935" s="70"/>
      <c r="K935" s="70"/>
      <c r="L935" s="70"/>
      <c r="M935" s="70"/>
      <c r="N935" s="70"/>
      <c r="O935" s="70"/>
      <c r="P935" s="70"/>
      <c r="Q935" s="70"/>
      <c r="R935" s="70"/>
      <c r="S935" s="70"/>
      <c r="T935" s="70"/>
      <c r="U935" s="70"/>
      <c r="V935" s="70"/>
      <c r="W935" s="70"/>
      <c r="X935" s="70"/>
      <c r="Y935" s="70"/>
      <c r="Z935" s="70"/>
      <c r="AA935" s="70"/>
      <c r="AB935" s="70"/>
      <c r="AC935" s="70"/>
      <c r="AD935" s="70"/>
      <c r="AE935" s="70"/>
      <c r="AF935" s="70"/>
      <c r="AG935" s="70"/>
      <c r="AH935" s="70"/>
      <c r="AI935" s="70"/>
      <c r="AJ935" s="70"/>
      <c r="AK935" s="70"/>
      <c r="AL935" s="70"/>
      <c r="AM935" s="70"/>
      <c r="AN935" s="70"/>
      <c r="AO935" s="70"/>
      <c r="AP935" s="70"/>
      <c r="AQ935" s="70"/>
      <c r="AR935" s="70"/>
      <c r="AS935" s="70"/>
      <c r="AT935" s="70"/>
    </row>
    <row r="936" spans="1:46">
      <c r="A936" s="70"/>
      <c r="B936" s="70"/>
      <c r="C936" s="70"/>
      <c r="D936" s="70"/>
      <c r="E936" s="70"/>
      <c r="F936" s="70"/>
      <c r="G936" s="70"/>
      <c r="H936" s="54"/>
      <c r="I936" s="70"/>
      <c r="J936" s="70"/>
      <c r="K936" s="70"/>
      <c r="L936" s="70"/>
      <c r="M936" s="70"/>
      <c r="N936" s="70"/>
      <c r="O936" s="70"/>
      <c r="P936" s="70"/>
      <c r="Q936" s="70"/>
      <c r="R936" s="70"/>
      <c r="S936" s="70"/>
      <c r="T936" s="70"/>
      <c r="U936" s="70"/>
      <c r="V936" s="70"/>
      <c r="W936" s="70"/>
      <c r="X936" s="70"/>
      <c r="Y936" s="70"/>
      <c r="Z936" s="70"/>
      <c r="AA936" s="70"/>
      <c r="AB936" s="70"/>
      <c r="AC936" s="70"/>
      <c r="AD936" s="70"/>
      <c r="AE936" s="70"/>
      <c r="AF936" s="70"/>
      <c r="AG936" s="70"/>
      <c r="AH936" s="70"/>
      <c r="AI936" s="70"/>
      <c r="AJ936" s="70"/>
      <c r="AK936" s="70"/>
      <c r="AL936" s="70"/>
      <c r="AM936" s="70"/>
      <c r="AN936" s="70"/>
      <c r="AO936" s="70"/>
      <c r="AP936" s="70"/>
      <c r="AQ936" s="70"/>
      <c r="AR936" s="70"/>
      <c r="AS936" s="70"/>
      <c r="AT936" s="70"/>
    </row>
    <row r="937" spans="1:46">
      <c r="A937" s="70"/>
      <c r="B937" s="70"/>
      <c r="C937" s="70"/>
      <c r="D937" s="70"/>
      <c r="E937" s="70"/>
      <c r="F937" s="70"/>
      <c r="G937" s="70"/>
      <c r="H937" s="54"/>
      <c r="I937" s="70"/>
      <c r="J937" s="70"/>
      <c r="K937" s="70"/>
      <c r="L937" s="70"/>
      <c r="M937" s="70"/>
      <c r="N937" s="70"/>
      <c r="O937" s="70"/>
      <c r="P937" s="70"/>
      <c r="Q937" s="70"/>
      <c r="R937" s="70"/>
      <c r="S937" s="70"/>
      <c r="T937" s="70"/>
      <c r="U937" s="70"/>
      <c r="V937" s="70"/>
      <c r="W937" s="70"/>
      <c r="X937" s="70"/>
      <c r="Y937" s="70"/>
      <c r="Z937" s="70"/>
      <c r="AA937" s="70"/>
      <c r="AB937" s="70"/>
      <c r="AC937" s="70"/>
      <c r="AD937" s="70"/>
      <c r="AE937" s="70"/>
      <c r="AF937" s="70"/>
      <c r="AG937" s="70"/>
      <c r="AH937" s="70"/>
      <c r="AI937" s="70"/>
      <c r="AJ937" s="70"/>
      <c r="AK937" s="70"/>
      <c r="AL937" s="70"/>
      <c r="AM937" s="70"/>
      <c r="AN937" s="70"/>
      <c r="AO937" s="70"/>
      <c r="AP937" s="70"/>
      <c r="AQ937" s="70"/>
      <c r="AR937" s="70"/>
      <c r="AS937" s="70"/>
      <c r="AT937" s="70"/>
    </row>
    <row r="938" spans="1:46">
      <c r="A938" s="70"/>
      <c r="B938" s="70"/>
      <c r="C938" s="70"/>
      <c r="D938" s="70"/>
      <c r="E938" s="70"/>
      <c r="F938" s="70"/>
      <c r="G938" s="70"/>
      <c r="H938" s="54"/>
      <c r="I938" s="70"/>
      <c r="J938" s="70"/>
      <c r="K938" s="70"/>
      <c r="L938" s="70"/>
      <c r="M938" s="70"/>
      <c r="N938" s="70"/>
      <c r="O938" s="70"/>
      <c r="P938" s="70"/>
      <c r="Q938" s="70"/>
      <c r="R938" s="70"/>
      <c r="S938" s="70"/>
      <c r="T938" s="70"/>
      <c r="U938" s="70"/>
      <c r="V938" s="70"/>
      <c r="W938" s="70"/>
      <c r="X938" s="70"/>
      <c r="Y938" s="70"/>
      <c r="Z938" s="70"/>
      <c r="AA938" s="70"/>
      <c r="AB938" s="70"/>
      <c r="AC938" s="70"/>
      <c r="AD938" s="70"/>
      <c r="AE938" s="70"/>
      <c r="AF938" s="70"/>
      <c r="AG938" s="70"/>
      <c r="AH938" s="70"/>
      <c r="AI938" s="70"/>
      <c r="AJ938" s="70"/>
      <c r="AK938" s="70"/>
      <c r="AL938" s="70"/>
      <c r="AM938" s="70"/>
      <c r="AN938" s="70"/>
      <c r="AO938" s="70"/>
      <c r="AP938" s="70"/>
      <c r="AQ938" s="70"/>
      <c r="AR938" s="70"/>
      <c r="AS938" s="70"/>
      <c r="AT938" s="70"/>
    </row>
    <row r="939" spans="1:46">
      <c r="A939" s="70"/>
      <c r="B939" s="70"/>
      <c r="C939" s="70"/>
      <c r="D939" s="70"/>
      <c r="E939" s="70"/>
      <c r="F939" s="70"/>
      <c r="G939" s="70"/>
      <c r="H939" s="54"/>
      <c r="I939" s="70"/>
      <c r="J939" s="70"/>
      <c r="K939" s="70"/>
      <c r="L939" s="70"/>
      <c r="M939" s="70"/>
      <c r="N939" s="70"/>
      <c r="O939" s="70"/>
      <c r="P939" s="70"/>
      <c r="Q939" s="70"/>
      <c r="R939" s="70"/>
      <c r="S939" s="70"/>
      <c r="T939" s="70"/>
      <c r="U939" s="70"/>
      <c r="V939" s="70"/>
      <c r="W939" s="70"/>
      <c r="X939" s="70"/>
      <c r="Y939" s="70"/>
      <c r="Z939" s="70"/>
      <c r="AA939" s="70"/>
      <c r="AB939" s="70"/>
      <c r="AC939" s="70"/>
      <c r="AD939" s="70"/>
      <c r="AE939" s="70"/>
      <c r="AF939" s="70"/>
      <c r="AG939" s="70"/>
      <c r="AH939" s="70"/>
      <c r="AI939" s="70"/>
      <c r="AJ939" s="70"/>
      <c r="AK939" s="70"/>
      <c r="AL939" s="70"/>
      <c r="AM939" s="70"/>
      <c r="AN939" s="70"/>
      <c r="AO939" s="70"/>
      <c r="AP939" s="70"/>
      <c r="AQ939" s="70"/>
      <c r="AR939" s="70"/>
      <c r="AS939" s="70"/>
      <c r="AT939" s="70"/>
    </row>
    <row r="940" spans="1:46">
      <c r="A940" s="70"/>
      <c r="B940" s="70"/>
      <c r="C940" s="70"/>
      <c r="D940" s="70"/>
      <c r="E940" s="70"/>
      <c r="F940" s="70"/>
      <c r="G940" s="70"/>
      <c r="H940" s="54"/>
      <c r="I940" s="70"/>
      <c r="J940" s="70"/>
      <c r="K940" s="70"/>
      <c r="L940" s="70"/>
      <c r="M940" s="70"/>
      <c r="N940" s="70"/>
      <c r="O940" s="70"/>
      <c r="P940" s="70"/>
      <c r="Q940" s="70"/>
      <c r="R940" s="70"/>
      <c r="S940" s="70"/>
      <c r="T940" s="70"/>
      <c r="U940" s="70"/>
      <c r="V940" s="70"/>
      <c r="W940" s="70"/>
      <c r="X940" s="70"/>
      <c r="Y940" s="70"/>
      <c r="Z940" s="70"/>
      <c r="AA940" s="70"/>
      <c r="AB940" s="70"/>
      <c r="AC940" s="70"/>
      <c r="AD940" s="70"/>
      <c r="AE940" s="70"/>
      <c r="AF940" s="70"/>
      <c r="AG940" s="70"/>
      <c r="AH940" s="70"/>
      <c r="AI940" s="70"/>
      <c r="AJ940" s="70"/>
      <c r="AK940" s="70"/>
      <c r="AL940" s="70"/>
      <c r="AM940" s="70"/>
      <c r="AN940" s="70"/>
      <c r="AO940" s="70"/>
      <c r="AP940" s="70"/>
      <c r="AQ940" s="70"/>
      <c r="AR940" s="70"/>
      <c r="AS940" s="70"/>
      <c r="AT940" s="70"/>
    </row>
    <row r="941" spans="1:46">
      <c r="A941" s="70"/>
      <c r="B941" s="70"/>
      <c r="C941" s="70"/>
      <c r="D941" s="70"/>
      <c r="E941" s="70"/>
      <c r="F941" s="70"/>
      <c r="G941" s="70"/>
      <c r="H941" s="54"/>
      <c r="I941" s="70"/>
      <c r="J941" s="70"/>
      <c r="K941" s="70"/>
      <c r="L941" s="70"/>
      <c r="M941" s="70"/>
      <c r="N941" s="70"/>
      <c r="O941" s="70"/>
      <c r="P941" s="70"/>
      <c r="Q941" s="70"/>
      <c r="R941" s="70"/>
      <c r="S941" s="70"/>
      <c r="T941" s="70"/>
      <c r="U941" s="70"/>
      <c r="V941" s="70"/>
      <c r="W941" s="70"/>
      <c r="X941" s="70"/>
      <c r="Y941" s="70"/>
      <c r="Z941" s="70"/>
      <c r="AA941" s="70"/>
      <c r="AB941" s="70"/>
      <c r="AC941" s="70"/>
      <c r="AD941" s="70"/>
      <c r="AE941" s="70"/>
      <c r="AF941" s="70"/>
      <c r="AG941" s="70"/>
      <c r="AH941" s="70"/>
      <c r="AI941" s="70"/>
      <c r="AJ941" s="70"/>
      <c r="AK941" s="70"/>
      <c r="AL941" s="70"/>
      <c r="AM941" s="70"/>
      <c r="AN941" s="70"/>
      <c r="AO941" s="70"/>
      <c r="AP941" s="70"/>
      <c r="AQ941" s="70"/>
      <c r="AR941" s="70"/>
      <c r="AS941" s="70"/>
      <c r="AT941" s="70"/>
    </row>
    <row r="942" spans="1:46">
      <c r="A942" s="70"/>
      <c r="B942" s="70"/>
      <c r="C942" s="70"/>
      <c r="D942" s="70"/>
      <c r="E942" s="70"/>
      <c r="F942" s="70"/>
      <c r="G942" s="70"/>
      <c r="H942" s="54"/>
      <c r="I942" s="70"/>
      <c r="J942" s="70"/>
      <c r="K942" s="70"/>
      <c r="L942" s="70"/>
      <c r="M942" s="70"/>
      <c r="N942" s="70"/>
      <c r="O942" s="70"/>
      <c r="P942" s="70"/>
      <c r="Q942" s="70"/>
      <c r="R942" s="70"/>
      <c r="S942" s="70"/>
      <c r="T942" s="70"/>
      <c r="U942" s="70"/>
      <c r="V942" s="70"/>
      <c r="W942" s="70"/>
      <c r="X942" s="70"/>
      <c r="Y942" s="70"/>
      <c r="Z942" s="70"/>
      <c r="AA942" s="70"/>
      <c r="AB942" s="70"/>
      <c r="AC942" s="70"/>
      <c r="AD942" s="70"/>
      <c r="AE942" s="70"/>
      <c r="AF942" s="70"/>
      <c r="AG942" s="70"/>
      <c r="AH942" s="70"/>
      <c r="AI942" s="70"/>
      <c r="AJ942" s="70"/>
      <c r="AK942" s="70"/>
      <c r="AL942" s="70"/>
      <c r="AM942" s="70"/>
      <c r="AN942" s="70"/>
      <c r="AO942" s="70"/>
      <c r="AP942" s="70"/>
      <c r="AQ942" s="70"/>
      <c r="AR942" s="70"/>
      <c r="AS942" s="70"/>
      <c r="AT942" s="70"/>
    </row>
    <row r="943" spans="1:46">
      <c r="A943" s="70"/>
      <c r="B943" s="70"/>
      <c r="C943" s="70"/>
      <c r="D943" s="70"/>
      <c r="E943" s="70"/>
      <c r="F943" s="70"/>
      <c r="G943" s="70"/>
      <c r="H943" s="54"/>
      <c r="I943" s="70"/>
      <c r="J943" s="70"/>
      <c r="K943" s="70"/>
      <c r="L943" s="70"/>
      <c r="M943" s="70"/>
      <c r="N943" s="70"/>
      <c r="O943" s="70"/>
      <c r="P943" s="70"/>
      <c r="Q943" s="70"/>
      <c r="R943" s="70"/>
      <c r="S943" s="70"/>
      <c r="T943" s="70"/>
      <c r="U943" s="70"/>
      <c r="V943" s="70"/>
      <c r="W943" s="70"/>
      <c r="X943" s="70"/>
      <c r="Y943" s="70"/>
      <c r="Z943" s="70"/>
      <c r="AA943" s="70"/>
      <c r="AB943" s="70"/>
      <c r="AC943" s="70"/>
      <c r="AD943" s="70"/>
      <c r="AE943" s="70"/>
      <c r="AF943" s="70"/>
      <c r="AG943" s="70"/>
      <c r="AH943" s="70"/>
      <c r="AI943" s="70"/>
      <c r="AJ943" s="70"/>
      <c r="AK943" s="70"/>
      <c r="AL943" s="70"/>
      <c r="AM943" s="70"/>
      <c r="AN943" s="70"/>
      <c r="AO943" s="70"/>
      <c r="AP943" s="70"/>
      <c r="AQ943" s="70"/>
      <c r="AR943" s="70"/>
      <c r="AS943" s="70"/>
      <c r="AT943" s="70"/>
    </row>
    <row r="944" spans="1:46">
      <c r="A944" s="70"/>
      <c r="B944" s="70"/>
      <c r="C944" s="70"/>
      <c r="D944" s="70"/>
      <c r="E944" s="70"/>
      <c r="F944" s="70"/>
      <c r="G944" s="70"/>
      <c r="H944" s="54"/>
      <c r="I944" s="70"/>
      <c r="J944" s="70"/>
      <c r="K944" s="70"/>
      <c r="L944" s="70"/>
      <c r="M944" s="70"/>
      <c r="N944" s="70"/>
      <c r="O944" s="70"/>
      <c r="P944" s="70"/>
      <c r="Q944" s="70"/>
      <c r="R944" s="70"/>
      <c r="S944" s="70"/>
      <c r="T944" s="70"/>
      <c r="U944" s="70"/>
      <c r="V944" s="70"/>
      <c r="W944" s="70"/>
      <c r="X944" s="70"/>
      <c r="Y944" s="70"/>
      <c r="Z944" s="70"/>
      <c r="AA944" s="70"/>
      <c r="AB944" s="70"/>
      <c r="AC944" s="70"/>
      <c r="AD944" s="70"/>
      <c r="AE944" s="70"/>
      <c r="AF944" s="70"/>
      <c r="AG944" s="70"/>
      <c r="AH944" s="70"/>
      <c r="AI944" s="70"/>
      <c r="AJ944" s="70"/>
      <c r="AK944" s="70"/>
      <c r="AL944" s="70"/>
      <c r="AM944" s="70"/>
      <c r="AN944" s="70"/>
      <c r="AO944" s="70"/>
      <c r="AP944" s="70"/>
      <c r="AQ944" s="70"/>
      <c r="AR944" s="70"/>
      <c r="AS944" s="70"/>
      <c r="AT944" s="70"/>
    </row>
    <row r="945" spans="1:46">
      <c r="A945" s="70"/>
      <c r="B945" s="70"/>
      <c r="C945" s="70"/>
      <c r="D945" s="70"/>
      <c r="E945" s="70"/>
      <c r="F945" s="70"/>
      <c r="G945" s="70"/>
      <c r="H945" s="54"/>
      <c r="I945" s="70"/>
      <c r="J945" s="70"/>
      <c r="K945" s="70"/>
      <c r="L945" s="70"/>
      <c r="M945" s="70"/>
      <c r="N945" s="70"/>
      <c r="O945" s="70"/>
      <c r="P945" s="70"/>
      <c r="Q945" s="70"/>
      <c r="R945" s="70"/>
      <c r="S945" s="70"/>
      <c r="T945" s="70"/>
      <c r="U945" s="70"/>
      <c r="V945" s="70"/>
      <c r="W945" s="70"/>
      <c r="X945" s="70"/>
      <c r="Y945" s="70"/>
      <c r="Z945" s="70"/>
      <c r="AA945" s="70"/>
      <c r="AB945" s="70"/>
      <c r="AC945" s="70"/>
      <c r="AD945" s="70"/>
      <c r="AE945" s="70"/>
      <c r="AF945" s="70"/>
      <c r="AG945" s="70"/>
      <c r="AH945" s="70"/>
      <c r="AI945" s="70"/>
      <c r="AJ945" s="70"/>
      <c r="AK945" s="70"/>
      <c r="AL945" s="70"/>
      <c r="AM945" s="70"/>
      <c r="AN945" s="70"/>
      <c r="AO945" s="70"/>
      <c r="AP945" s="70"/>
      <c r="AQ945" s="70"/>
      <c r="AR945" s="70"/>
      <c r="AS945" s="70"/>
      <c r="AT945" s="70"/>
    </row>
    <row r="946" spans="1:46">
      <c r="A946" s="70"/>
      <c r="B946" s="70"/>
      <c r="C946" s="70"/>
      <c r="D946" s="70"/>
      <c r="E946" s="70"/>
      <c r="F946" s="70"/>
      <c r="G946" s="70"/>
      <c r="H946" s="54"/>
      <c r="I946" s="70"/>
      <c r="J946" s="70"/>
      <c r="K946" s="70"/>
      <c r="L946" s="70"/>
      <c r="M946" s="70"/>
      <c r="N946" s="70"/>
      <c r="O946" s="70"/>
      <c r="P946" s="70"/>
      <c r="Q946" s="70"/>
      <c r="R946" s="70"/>
      <c r="S946" s="70"/>
      <c r="T946" s="70"/>
      <c r="U946" s="70"/>
      <c r="V946" s="70"/>
      <c r="W946" s="70"/>
      <c r="X946" s="70"/>
      <c r="Y946" s="70"/>
      <c r="Z946" s="70"/>
      <c r="AA946" s="70"/>
      <c r="AB946" s="70"/>
      <c r="AC946" s="70"/>
      <c r="AD946" s="70"/>
      <c r="AE946" s="70"/>
      <c r="AF946" s="70"/>
      <c r="AG946" s="70"/>
      <c r="AH946" s="70"/>
      <c r="AI946" s="70"/>
      <c r="AJ946" s="70"/>
      <c r="AK946" s="70"/>
      <c r="AL946" s="70"/>
      <c r="AM946" s="70"/>
      <c r="AN946" s="70"/>
      <c r="AO946" s="70"/>
      <c r="AP946" s="70"/>
      <c r="AQ946" s="70"/>
      <c r="AR946" s="70"/>
      <c r="AS946" s="70"/>
      <c r="AT946" s="70"/>
    </row>
    <row r="947" spans="1:46">
      <c r="A947" s="70"/>
      <c r="B947" s="70"/>
      <c r="C947" s="70"/>
      <c r="D947" s="70"/>
      <c r="E947" s="70"/>
      <c r="F947" s="70"/>
      <c r="G947" s="70"/>
      <c r="H947" s="54"/>
      <c r="I947" s="70"/>
      <c r="J947" s="70"/>
      <c r="K947" s="70"/>
      <c r="L947" s="70"/>
      <c r="M947" s="70"/>
      <c r="N947" s="70"/>
      <c r="O947" s="70"/>
      <c r="P947" s="70"/>
      <c r="Q947" s="70"/>
      <c r="R947" s="70"/>
      <c r="S947" s="70"/>
      <c r="T947" s="70"/>
      <c r="U947" s="70"/>
      <c r="V947" s="70"/>
      <c r="W947" s="70"/>
      <c r="X947" s="70"/>
      <c r="Y947" s="70"/>
      <c r="Z947" s="70"/>
      <c r="AA947" s="70"/>
      <c r="AB947" s="70"/>
      <c r="AC947" s="70"/>
      <c r="AD947" s="70"/>
      <c r="AE947" s="70"/>
      <c r="AF947" s="70"/>
      <c r="AG947" s="70"/>
      <c r="AH947" s="70"/>
      <c r="AI947" s="70"/>
      <c r="AJ947" s="70"/>
      <c r="AK947" s="70"/>
      <c r="AL947" s="70"/>
      <c r="AM947" s="70"/>
      <c r="AN947" s="70"/>
      <c r="AO947" s="70"/>
      <c r="AP947" s="70"/>
      <c r="AQ947" s="70"/>
      <c r="AR947" s="70"/>
      <c r="AS947" s="70"/>
      <c r="AT947" s="70"/>
    </row>
    <row r="948" spans="1:46">
      <c r="A948" s="70"/>
      <c r="B948" s="70"/>
      <c r="C948" s="70"/>
      <c r="D948" s="70"/>
      <c r="E948" s="70"/>
      <c r="F948" s="70"/>
      <c r="G948" s="70"/>
      <c r="H948" s="54"/>
      <c r="I948" s="70"/>
      <c r="J948" s="70"/>
      <c r="K948" s="70"/>
      <c r="L948" s="70"/>
      <c r="M948" s="70"/>
      <c r="N948" s="70"/>
      <c r="O948" s="70"/>
      <c r="P948" s="70"/>
      <c r="Q948" s="70"/>
      <c r="R948" s="70"/>
      <c r="S948" s="70"/>
      <c r="T948" s="70"/>
      <c r="U948" s="70"/>
      <c r="V948" s="70"/>
      <c r="W948" s="70"/>
      <c r="X948" s="70"/>
      <c r="Y948" s="70"/>
      <c r="Z948" s="70"/>
      <c r="AA948" s="70"/>
      <c r="AB948" s="70"/>
      <c r="AC948" s="70"/>
      <c r="AD948" s="70"/>
      <c r="AE948" s="70"/>
      <c r="AF948" s="70"/>
      <c r="AG948" s="70"/>
      <c r="AH948" s="70"/>
      <c r="AI948" s="70"/>
      <c r="AJ948" s="70"/>
      <c r="AK948" s="70"/>
      <c r="AL948" s="70"/>
      <c r="AM948" s="70"/>
      <c r="AN948" s="70"/>
      <c r="AO948" s="70"/>
      <c r="AP948" s="70"/>
      <c r="AQ948" s="70"/>
      <c r="AR948" s="70"/>
      <c r="AS948" s="70"/>
      <c r="AT948" s="70"/>
    </row>
    <row r="949" spans="1:46">
      <c r="A949" s="70"/>
      <c r="B949" s="70"/>
      <c r="C949" s="70"/>
      <c r="D949" s="70"/>
      <c r="E949" s="70"/>
      <c r="F949" s="70"/>
      <c r="G949" s="70"/>
      <c r="H949" s="54"/>
      <c r="I949" s="70"/>
      <c r="J949" s="70"/>
      <c r="K949" s="70"/>
      <c r="L949" s="70"/>
      <c r="M949" s="70"/>
      <c r="N949" s="70"/>
      <c r="O949" s="70"/>
      <c r="P949" s="70"/>
      <c r="Q949" s="70"/>
      <c r="R949" s="70"/>
      <c r="S949" s="70"/>
      <c r="T949" s="70"/>
      <c r="U949" s="70"/>
      <c r="V949" s="70"/>
      <c r="W949" s="70"/>
      <c r="X949" s="70"/>
      <c r="Y949" s="70"/>
      <c r="Z949" s="70"/>
      <c r="AA949" s="70"/>
      <c r="AB949" s="70"/>
      <c r="AC949" s="70"/>
      <c r="AD949" s="70"/>
      <c r="AE949" s="70"/>
      <c r="AF949" s="70"/>
      <c r="AG949" s="70"/>
      <c r="AH949" s="70"/>
      <c r="AI949" s="70"/>
      <c r="AJ949" s="70"/>
      <c r="AK949" s="70"/>
      <c r="AL949" s="70"/>
      <c r="AM949" s="70"/>
      <c r="AN949" s="70"/>
      <c r="AO949" s="70"/>
      <c r="AP949" s="70"/>
      <c r="AQ949" s="70"/>
      <c r="AR949" s="70"/>
      <c r="AS949" s="70"/>
      <c r="AT949" s="70"/>
    </row>
    <row r="950" spans="1:46">
      <c r="A950" s="70"/>
      <c r="B950" s="70"/>
      <c r="C950" s="70"/>
      <c r="D950" s="70"/>
      <c r="E950" s="70"/>
      <c r="F950" s="70"/>
      <c r="G950" s="70"/>
      <c r="H950" s="54"/>
      <c r="I950" s="70"/>
      <c r="J950" s="70"/>
      <c r="K950" s="70"/>
      <c r="L950" s="70"/>
      <c r="M950" s="70"/>
      <c r="N950" s="70"/>
      <c r="O950" s="70"/>
      <c r="P950" s="70"/>
      <c r="Q950" s="70"/>
      <c r="R950" s="70"/>
      <c r="S950" s="70"/>
      <c r="T950" s="70"/>
      <c r="U950" s="70"/>
      <c r="V950" s="70"/>
      <c r="W950" s="70"/>
      <c r="X950" s="70"/>
      <c r="Y950" s="70"/>
      <c r="Z950" s="70"/>
      <c r="AA950" s="70"/>
      <c r="AB950" s="70"/>
      <c r="AC950" s="70"/>
      <c r="AD950" s="70"/>
      <c r="AE950" s="70"/>
      <c r="AF950" s="70"/>
      <c r="AG950" s="70"/>
      <c r="AH950" s="70"/>
      <c r="AI950" s="70"/>
      <c r="AJ950" s="70"/>
      <c r="AK950" s="70"/>
      <c r="AL950" s="70"/>
      <c r="AM950" s="70"/>
      <c r="AN950" s="70"/>
      <c r="AO950" s="70"/>
      <c r="AP950" s="70"/>
      <c r="AQ950" s="70"/>
      <c r="AR950" s="70"/>
      <c r="AS950" s="70"/>
      <c r="AT950" s="70"/>
    </row>
    <row r="951" spans="1:46">
      <c r="A951" s="70"/>
      <c r="B951" s="70"/>
      <c r="C951" s="70"/>
      <c r="D951" s="70"/>
      <c r="E951" s="70"/>
      <c r="F951" s="70"/>
      <c r="G951" s="70"/>
      <c r="H951" s="54"/>
      <c r="I951" s="70"/>
      <c r="J951" s="70"/>
      <c r="K951" s="70"/>
      <c r="L951" s="70"/>
      <c r="M951" s="70"/>
      <c r="N951" s="70"/>
      <c r="O951" s="70"/>
      <c r="P951" s="70"/>
      <c r="Q951" s="70"/>
      <c r="R951" s="70"/>
      <c r="S951" s="70"/>
      <c r="T951" s="70"/>
      <c r="U951" s="70"/>
      <c r="V951" s="70"/>
      <c r="W951" s="70"/>
      <c r="X951" s="70"/>
      <c r="Y951" s="70"/>
      <c r="Z951" s="70"/>
      <c r="AA951" s="70"/>
      <c r="AB951" s="70"/>
      <c r="AC951" s="70"/>
      <c r="AD951" s="70"/>
      <c r="AE951" s="70"/>
      <c r="AF951" s="70"/>
      <c r="AG951" s="70"/>
      <c r="AH951" s="70"/>
      <c r="AI951" s="70"/>
      <c r="AJ951" s="70"/>
      <c r="AK951" s="70"/>
      <c r="AL951" s="70"/>
      <c r="AM951" s="70"/>
      <c r="AN951" s="70"/>
      <c r="AO951" s="70"/>
      <c r="AP951" s="70"/>
      <c r="AQ951" s="70"/>
      <c r="AR951" s="70"/>
      <c r="AS951" s="70"/>
      <c r="AT951" s="70"/>
    </row>
    <row r="952" spans="1:46">
      <c r="A952" s="70"/>
      <c r="B952" s="70"/>
      <c r="C952" s="70"/>
      <c r="D952" s="70"/>
      <c r="E952" s="70"/>
      <c r="F952" s="70"/>
      <c r="G952" s="70"/>
      <c r="H952" s="54"/>
      <c r="I952" s="70"/>
      <c r="J952" s="70"/>
      <c r="K952" s="70"/>
      <c r="L952" s="70"/>
      <c r="M952" s="70"/>
      <c r="N952" s="70"/>
      <c r="O952" s="70"/>
      <c r="P952" s="70"/>
      <c r="Q952" s="70"/>
      <c r="R952" s="70"/>
      <c r="S952" s="70"/>
      <c r="T952" s="70"/>
      <c r="U952" s="70"/>
      <c r="V952" s="70"/>
      <c r="W952" s="70"/>
      <c r="X952" s="70"/>
      <c r="Y952" s="70"/>
      <c r="Z952" s="70"/>
      <c r="AA952" s="70"/>
      <c r="AB952" s="70"/>
      <c r="AC952" s="70"/>
      <c r="AD952" s="70"/>
      <c r="AE952" s="70"/>
      <c r="AF952" s="70"/>
      <c r="AG952" s="70"/>
      <c r="AH952" s="70"/>
      <c r="AI952" s="70"/>
      <c r="AJ952" s="70"/>
      <c r="AK952" s="70"/>
      <c r="AL952" s="70"/>
      <c r="AM952" s="70"/>
      <c r="AN952" s="70"/>
      <c r="AO952" s="70"/>
      <c r="AP952" s="70"/>
      <c r="AQ952" s="70"/>
      <c r="AR952" s="70"/>
      <c r="AS952" s="70"/>
      <c r="AT952" s="70"/>
    </row>
    <row r="953" spans="1:46">
      <c r="A953" s="70"/>
      <c r="B953" s="70"/>
      <c r="C953" s="70"/>
      <c r="D953" s="70"/>
      <c r="E953" s="70"/>
      <c r="F953" s="70"/>
      <c r="G953" s="70"/>
      <c r="H953" s="54"/>
      <c r="I953" s="70"/>
      <c r="J953" s="70"/>
      <c r="K953" s="70"/>
      <c r="L953" s="70"/>
      <c r="M953" s="70"/>
      <c r="N953" s="70"/>
      <c r="O953" s="70"/>
      <c r="P953" s="70"/>
      <c r="Q953" s="70"/>
      <c r="R953" s="70"/>
      <c r="S953" s="70"/>
      <c r="T953" s="70"/>
      <c r="U953" s="70"/>
      <c r="V953" s="70"/>
      <c r="W953" s="70"/>
      <c r="X953" s="70"/>
      <c r="Y953" s="70"/>
      <c r="Z953" s="70"/>
      <c r="AA953" s="70"/>
      <c r="AB953" s="70"/>
      <c r="AC953" s="70"/>
      <c r="AD953" s="70"/>
      <c r="AE953" s="70"/>
      <c r="AF953" s="70"/>
      <c r="AG953" s="70"/>
      <c r="AH953" s="70"/>
      <c r="AI953" s="70"/>
      <c r="AJ953" s="70"/>
      <c r="AK953" s="70"/>
      <c r="AL953" s="70"/>
      <c r="AM953" s="70"/>
      <c r="AN953" s="70"/>
      <c r="AO953" s="70"/>
      <c r="AP953" s="70"/>
      <c r="AQ953" s="70"/>
      <c r="AR953" s="70"/>
      <c r="AS953" s="70"/>
      <c r="AT953" s="70"/>
    </row>
    <row r="954" spans="1:46">
      <c r="A954" s="70"/>
      <c r="B954" s="70"/>
      <c r="C954" s="70"/>
      <c r="D954" s="70"/>
      <c r="E954" s="70"/>
      <c r="F954" s="70"/>
      <c r="G954" s="70"/>
      <c r="H954" s="54"/>
      <c r="I954" s="70"/>
      <c r="J954" s="70"/>
      <c r="K954" s="70"/>
      <c r="L954" s="70"/>
      <c r="M954" s="70"/>
      <c r="N954" s="70"/>
      <c r="O954" s="70"/>
      <c r="P954" s="70"/>
      <c r="Q954" s="70"/>
      <c r="R954" s="70"/>
      <c r="S954" s="70"/>
      <c r="T954" s="70"/>
      <c r="U954" s="70"/>
      <c r="V954" s="70"/>
      <c r="W954" s="70"/>
      <c r="X954" s="70"/>
      <c r="Y954" s="70"/>
      <c r="Z954" s="70"/>
      <c r="AA954" s="70"/>
      <c r="AB954" s="70"/>
      <c r="AC954" s="70"/>
      <c r="AD954" s="70"/>
      <c r="AE954" s="70"/>
      <c r="AF954" s="70"/>
      <c r="AG954" s="70"/>
      <c r="AH954" s="70"/>
      <c r="AI954" s="70"/>
      <c r="AJ954" s="70"/>
      <c r="AK954" s="70"/>
      <c r="AL954" s="70"/>
      <c r="AM954" s="70"/>
      <c r="AN954" s="70"/>
      <c r="AO954" s="70"/>
      <c r="AP954" s="70"/>
      <c r="AQ954" s="70"/>
      <c r="AR954" s="70"/>
      <c r="AS954" s="70"/>
      <c r="AT954" s="70"/>
    </row>
    <row r="955" spans="1:46">
      <c r="A955" s="70"/>
      <c r="B955" s="70"/>
      <c r="C955" s="70"/>
      <c r="D955" s="70"/>
      <c r="E955" s="70"/>
      <c r="F955" s="70"/>
      <c r="G955" s="70"/>
      <c r="H955" s="54"/>
      <c r="I955" s="70"/>
      <c r="J955" s="70"/>
      <c r="K955" s="70"/>
      <c r="L955" s="70"/>
      <c r="M955" s="70"/>
      <c r="N955" s="70"/>
      <c r="O955" s="70"/>
      <c r="P955" s="70"/>
      <c r="Q955" s="70"/>
      <c r="R955" s="70"/>
      <c r="S955" s="70"/>
      <c r="T955" s="70"/>
      <c r="U955" s="70"/>
      <c r="V955" s="70"/>
      <c r="W955" s="70"/>
      <c r="X955" s="70"/>
      <c r="Y955" s="70"/>
      <c r="Z955" s="70"/>
      <c r="AA955" s="70"/>
      <c r="AB955" s="70"/>
      <c r="AC955" s="70"/>
      <c r="AD955" s="70"/>
      <c r="AE955" s="70"/>
      <c r="AF955" s="70"/>
      <c r="AG955" s="70"/>
      <c r="AH955" s="70"/>
      <c r="AI955" s="70"/>
      <c r="AJ955" s="70"/>
      <c r="AK955" s="70"/>
      <c r="AL955" s="70"/>
      <c r="AM955" s="70"/>
      <c r="AN955" s="70"/>
      <c r="AO955" s="70"/>
      <c r="AP955" s="70"/>
      <c r="AQ955" s="70"/>
      <c r="AR955" s="70"/>
      <c r="AS955" s="70"/>
      <c r="AT955" s="70"/>
    </row>
    <row r="956" spans="1:46">
      <c r="A956" s="70"/>
      <c r="B956" s="70"/>
      <c r="C956" s="70"/>
      <c r="D956" s="70"/>
      <c r="E956" s="70"/>
      <c r="F956" s="70"/>
      <c r="G956" s="70"/>
      <c r="H956" s="54"/>
      <c r="I956" s="70"/>
      <c r="J956" s="70"/>
      <c r="K956" s="70"/>
      <c r="L956" s="70"/>
      <c r="M956" s="70"/>
      <c r="N956" s="70"/>
      <c r="O956" s="70"/>
      <c r="P956" s="70"/>
      <c r="Q956" s="70"/>
      <c r="R956" s="70"/>
      <c r="S956" s="70"/>
      <c r="T956" s="70"/>
      <c r="U956" s="70"/>
      <c r="V956" s="70"/>
      <c r="W956" s="70"/>
      <c r="X956" s="70"/>
      <c r="Y956" s="70"/>
      <c r="Z956" s="70"/>
      <c r="AA956" s="70"/>
      <c r="AB956" s="70"/>
      <c r="AC956" s="70"/>
      <c r="AD956" s="70"/>
      <c r="AE956" s="70"/>
      <c r="AF956" s="70"/>
      <c r="AG956" s="70"/>
      <c r="AH956" s="70"/>
      <c r="AI956" s="70"/>
      <c r="AJ956" s="70"/>
      <c r="AK956" s="70"/>
      <c r="AL956" s="70"/>
      <c r="AM956" s="70"/>
      <c r="AN956" s="70"/>
      <c r="AO956" s="70"/>
      <c r="AP956" s="70"/>
      <c r="AQ956" s="70"/>
      <c r="AR956" s="70"/>
      <c r="AS956" s="70"/>
      <c r="AT956" s="70"/>
    </row>
    <row r="957" spans="1:46">
      <c r="A957" s="70"/>
      <c r="B957" s="70"/>
      <c r="C957" s="70"/>
      <c r="D957" s="70"/>
      <c r="E957" s="70"/>
      <c r="F957" s="70"/>
      <c r="G957" s="70"/>
      <c r="H957" s="54"/>
      <c r="I957" s="70"/>
      <c r="J957" s="70"/>
      <c r="K957" s="70"/>
      <c r="L957" s="70"/>
      <c r="M957" s="70"/>
      <c r="N957" s="70"/>
      <c r="O957" s="70"/>
      <c r="P957" s="70"/>
      <c r="Q957" s="70"/>
      <c r="R957" s="70"/>
      <c r="S957" s="70"/>
      <c r="T957" s="70"/>
      <c r="U957" s="70"/>
      <c r="V957" s="70"/>
      <c r="W957" s="70"/>
      <c r="X957" s="70"/>
      <c r="Y957" s="70"/>
      <c r="Z957" s="70"/>
      <c r="AA957" s="70"/>
      <c r="AB957" s="70"/>
      <c r="AC957" s="70"/>
      <c r="AD957" s="70"/>
      <c r="AE957" s="70"/>
      <c r="AF957" s="70"/>
      <c r="AG957" s="70"/>
      <c r="AH957" s="70"/>
      <c r="AI957" s="70"/>
      <c r="AJ957" s="70"/>
      <c r="AK957" s="70"/>
      <c r="AL957" s="70"/>
      <c r="AM957" s="70"/>
      <c r="AN957" s="70"/>
      <c r="AO957" s="70"/>
      <c r="AP957" s="70"/>
      <c r="AQ957" s="70"/>
      <c r="AR957" s="70"/>
      <c r="AS957" s="70"/>
      <c r="AT957" s="70"/>
    </row>
    <row r="958" spans="1:46">
      <c r="A958" s="70"/>
      <c r="B958" s="70"/>
      <c r="C958" s="70"/>
      <c r="D958" s="70"/>
      <c r="E958" s="70"/>
      <c r="F958" s="70"/>
      <c r="G958" s="70"/>
      <c r="H958" s="54"/>
      <c r="I958" s="70"/>
      <c r="J958" s="70"/>
      <c r="K958" s="70"/>
      <c r="L958" s="70"/>
      <c r="M958" s="70"/>
      <c r="N958" s="70"/>
      <c r="O958" s="70"/>
      <c r="P958" s="70"/>
      <c r="Q958" s="70"/>
      <c r="R958" s="70"/>
      <c r="S958" s="70"/>
      <c r="T958" s="70"/>
      <c r="U958" s="70"/>
      <c r="V958" s="70"/>
      <c r="W958" s="70"/>
      <c r="X958" s="70"/>
      <c r="Y958" s="70"/>
      <c r="Z958" s="70"/>
      <c r="AA958" s="70"/>
      <c r="AB958" s="70"/>
      <c r="AC958" s="70"/>
      <c r="AD958" s="70"/>
      <c r="AE958" s="70"/>
      <c r="AF958" s="70"/>
      <c r="AG958" s="70"/>
      <c r="AH958" s="70"/>
      <c r="AI958" s="70"/>
      <c r="AJ958" s="70"/>
      <c r="AK958" s="70"/>
      <c r="AL958" s="70"/>
      <c r="AM958" s="70"/>
      <c r="AN958" s="70"/>
      <c r="AO958" s="70"/>
      <c r="AP958" s="70"/>
      <c r="AQ958" s="70"/>
      <c r="AR958" s="70"/>
      <c r="AS958" s="70"/>
      <c r="AT958" s="70"/>
    </row>
    <row r="959" spans="1:46">
      <c r="A959" s="70"/>
      <c r="B959" s="70"/>
      <c r="C959" s="70"/>
      <c r="D959" s="70"/>
      <c r="E959" s="70"/>
      <c r="F959" s="70"/>
      <c r="G959" s="70"/>
      <c r="H959" s="54"/>
      <c r="I959" s="70"/>
      <c r="J959" s="70"/>
      <c r="K959" s="70"/>
      <c r="L959" s="70"/>
      <c r="M959" s="70"/>
      <c r="N959" s="70"/>
      <c r="O959" s="70"/>
      <c r="P959" s="70"/>
      <c r="Q959" s="70"/>
      <c r="R959" s="70"/>
      <c r="S959" s="70"/>
      <c r="T959" s="70"/>
      <c r="U959" s="70"/>
      <c r="V959" s="70"/>
      <c r="W959" s="70"/>
      <c r="X959" s="70"/>
      <c r="Y959" s="70"/>
      <c r="Z959" s="70"/>
      <c r="AA959" s="70"/>
      <c r="AB959" s="70"/>
      <c r="AC959" s="70"/>
      <c r="AD959" s="70"/>
      <c r="AE959" s="70"/>
      <c r="AF959" s="70"/>
      <c r="AG959" s="70"/>
      <c r="AH959" s="70"/>
      <c r="AI959" s="70"/>
      <c r="AJ959" s="70"/>
      <c r="AK959" s="70"/>
      <c r="AL959" s="70"/>
      <c r="AM959" s="70"/>
      <c r="AN959" s="70"/>
      <c r="AO959" s="70"/>
      <c r="AP959" s="70"/>
      <c r="AQ959" s="70"/>
      <c r="AR959" s="70"/>
      <c r="AS959" s="70"/>
      <c r="AT959" s="70"/>
    </row>
    <row r="960" spans="1:46">
      <c r="A960" s="70"/>
      <c r="B960" s="70"/>
      <c r="C960" s="70"/>
      <c r="D960" s="70"/>
      <c r="E960" s="70"/>
      <c r="F960" s="70"/>
      <c r="G960" s="70"/>
      <c r="H960" s="54"/>
      <c r="I960" s="70"/>
      <c r="J960" s="70"/>
      <c r="K960" s="70"/>
      <c r="L960" s="70"/>
      <c r="M960" s="70"/>
      <c r="N960" s="70"/>
      <c r="O960" s="70"/>
      <c r="P960" s="70"/>
      <c r="Q960" s="70"/>
      <c r="R960" s="70"/>
      <c r="S960" s="70"/>
      <c r="T960" s="70"/>
      <c r="U960" s="70"/>
      <c r="V960" s="70"/>
      <c r="W960" s="70"/>
      <c r="X960" s="70"/>
      <c r="Y960" s="70"/>
      <c r="Z960" s="70"/>
      <c r="AA960" s="70"/>
      <c r="AB960" s="70"/>
      <c r="AC960" s="70"/>
      <c r="AD960" s="70"/>
      <c r="AE960" s="70"/>
      <c r="AF960" s="70"/>
      <c r="AG960" s="70"/>
      <c r="AH960" s="70"/>
      <c r="AI960" s="70"/>
      <c r="AJ960" s="70"/>
      <c r="AK960" s="70"/>
      <c r="AL960" s="70"/>
      <c r="AM960" s="70"/>
      <c r="AN960" s="70"/>
      <c r="AO960" s="70"/>
      <c r="AP960" s="70"/>
      <c r="AQ960" s="70"/>
      <c r="AR960" s="70"/>
      <c r="AS960" s="70"/>
      <c r="AT960" s="70"/>
    </row>
    <row r="961" spans="1:46">
      <c r="A961" s="70"/>
      <c r="B961" s="70"/>
      <c r="C961" s="70"/>
      <c r="D961" s="70"/>
      <c r="E961" s="70"/>
      <c r="F961" s="70"/>
      <c r="G961" s="70"/>
      <c r="H961" s="54"/>
      <c r="I961" s="70"/>
      <c r="J961" s="70"/>
      <c r="K961" s="70"/>
      <c r="L961" s="70"/>
      <c r="M961" s="70"/>
      <c r="N961" s="70"/>
      <c r="O961" s="70"/>
      <c r="P961" s="70"/>
      <c r="Q961" s="70"/>
      <c r="R961" s="70"/>
      <c r="S961" s="70"/>
      <c r="T961" s="70"/>
      <c r="U961" s="70"/>
      <c r="V961" s="70"/>
      <c r="W961" s="70"/>
      <c r="X961" s="70"/>
      <c r="Y961" s="70"/>
      <c r="Z961" s="70"/>
      <c r="AA961" s="70"/>
      <c r="AB961" s="70"/>
      <c r="AC961" s="70"/>
      <c r="AD961" s="70"/>
      <c r="AE961" s="70"/>
      <c r="AF961" s="70"/>
      <c r="AG961" s="70"/>
      <c r="AH961" s="70"/>
      <c r="AI961" s="70"/>
      <c r="AJ961" s="70"/>
      <c r="AK961" s="70"/>
      <c r="AL961" s="70"/>
      <c r="AM961" s="70"/>
      <c r="AN961" s="70"/>
      <c r="AO961" s="70"/>
      <c r="AP961" s="70"/>
      <c r="AQ961" s="70"/>
      <c r="AR961" s="70"/>
      <c r="AS961" s="70"/>
      <c r="AT961" s="70"/>
    </row>
    <row r="962" spans="1:46">
      <c r="A962" s="70"/>
      <c r="B962" s="70"/>
      <c r="C962" s="70"/>
      <c r="D962" s="70"/>
      <c r="E962" s="70"/>
      <c r="F962" s="70"/>
      <c r="G962" s="70"/>
      <c r="H962" s="54"/>
      <c r="I962" s="70"/>
      <c r="J962" s="70"/>
      <c r="K962" s="70"/>
      <c r="L962" s="70"/>
      <c r="M962" s="70"/>
      <c r="N962" s="70"/>
      <c r="O962" s="70"/>
      <c r="P962" s="70"/>
      <c r="Q962" s="70"/>
      <c r="R962" s="70"/>
      <c r="S962" s="70"/>
      <c r="T962" s="70"/>
      <c r="U962" s="70"/>
      <c r="V962" s="70"/>
      <c r="W962" s="70"/>
      <c r="X962" s="70"/>
      <c r="Y962" s="70"/>
      <c r="Z962" s="70"/>
      <c r="AA962" s="70"/>
      <c r="AB962" s="70"/>
      <c r="AC962" s="70"/>
      <c r="AD962" s="70"/>
      <c r="AE962" s="70"/>
      <c r="AF962" s="70"/>
      <c r="AG962" s="70"/>
      <c r="AH962" s="70"/>
      <c r="AI962" s="70"/>
      <c r="AJ962" s="70"/>
      <c r="AK962" s="70"/>
      <c r="AL962" s="70"/>
      <c r="AM962" s="70"/>
      <c r="AN962" s="70"/>
      <c r="AO962" s="70"/>
      <c r="AP962" s="70"/>
      <c r="AQ962" s="70"/>
      <c r="AR962" s="70"/>
      <c r="AS962" s="70"/>
      <c r="AT962" s="70"/>
    </row>
    <row r="963" spans="1:46">
      <c r="A963" s="70"/>
      <c r="B963" s="70"/>
      <c r="C963" s="70"/>
      <c r="D963" s="70"/>
      <c r="E963" s="70"/>
      <c r="F963" s="70"/>
      <c r="G963" s="70"/>
      <c r="H963" s="54"/>
      <c r="I963" s="70"/>
      <c r="J963" s="70"/>
      <c r="K963" s="70"/>
      <c r="L963" s="70"/>
      <c r="M963" s="70"/>
      <c r="N963" s="70"/>
      <c r="O963" s="70"/>
      <c r="P963" s="70"/>
      <c r="Q963" s="70"/>
      <c r="R963" s="70"/>
      <c r="S963" s="70"/>
      <c r="T963" s="70"/>
      <c r="U963" s="70"/>
      <c r="V963" s="70"/>
      <c r="W963" s="70"/>
      <c r="X963" s="70"/>
      <c r="Y963" s="70"/>
      <c r="Z963" s="70"/>
      <c r="AA963" s="70"/>
      <c r="AB963" s="70"/>
      <c r="AC963" s="70"/>
      <c r="AD963" s="70"/>
      <c r="AE963" s="70"/>
      <c r="AF963" s="70"/>
      <c r="AG963" s="70"/>
      <c r="AH963" s="70"/>
      <c r="AI963" s="70"/>
      <c r="AJ963" s="70"/>
      <c r="AK963" s="70"/>
      <c r="AL963" s="70"/>
      <c r="AM963" s="70"/>
      <c r="AN963" s="70"/>
      <c r="AO963" s="70"/>
      <c r="AP963" s="70"/>
      <c r="AQ963" s="70"/>
      <c r="AR963" s="70"/>
      <c r="AS963" s="70"/>
      <c r="AT963" s="70"/>
    </row>
    <row r="964" spans="1:46">
      <c r="A964" s="70"/>
      <c r="B964" s="70"/>
      <c r="C964" s="70"/>
      <c r="D964" s="70"/>
      <c r="E964" s="70"/>
      <c r="F964" s="70"/>
      <c r="G964" s="70"/>
      <c r="H964" s="54"/>
      <c r="I964" s="70"/>
      <c r="J964" s="70"/>
      <c r="K964" s="70"/>
      <c r="L964" s="70"/>
      <c r="M964" s="70"/>
      <c r="N964" s="70"/>
      <c r="O964" s="70"/>
      <c r="P964" s="70"/>
      <c r="Q964" s="70"/>
      <c r="R964" s="70"/>
      <c r="S964" s="70"/>
      <c r="T964" s="70"/>
      <c r="U964" s="70"/>
      <c r="V964" s="70"/>
      <c r="W964" s="70"/>
      <c r="X964" s="70"/>
      <c r="Y964" s="70"/>
      <c r="Z964" s="70"/>
      <c r="AA964" s="70"/>
      <c r="AB964" s="70"/>
      <c r="AC964" s="70"/>
      <c r="AD964" s="70"/>
      <c r="AE964" s="70"/>
      <c r="AF964" s="70"/>
      <c r="AG964" s="70"/>
      <c r="AH964" s="70"/>
      <c r="AI964" s="70"/>
      <c r="AJ964" s="70"/>
      <c r="AK964" s="70"/>
      <c r="AL964" s="70"/>
      <c r="AM964" s="70"/>
      <c r="AN964" s="70"/>
      <c r="AO964" s="70"/>
      <c r="AP964" s="70"/>
      <c r="AQ964" s="70"/>
      <c r="AR964" s="70"/>
      <c r="AS964" s="70"/>
      <c r="AT964" s="70"/>
    </row>
    <row r="965" spans="1:46">
      <c r="A965" s="70"/>
      <c r="B965" s="70"/>
      <c r="C965" s="70"/>
      <c r="D965" s="70"/>
      <c r="E965" s="70"/>
      <c r="F965" s="70"/>
      <c r="G965" s="70"/>
      <c r="H965" s="54"/>
      <c r="I965" s="70"/>
      <c r="J965" s="70"/>
      <c r="K965" s="70"/>
      <c r="L965" s="70"/>
      <c r="M965" s="70"/>
      <c r="N965" s="70"/>
      <c r="O965" s="70"/>
      <c r="P965" s="70"/>
      <c r="Q965" s="70"/>
      <c r="R965" s="70"/>
      <c r="S965" s="70"/>
      <c r="T965" s="70"/>
      <c r="U965" s="70"/>
      <c r="V965" s="70"/>
      <c r="W965" s="70"/>
      <c r="X965" s="70"/>
      <c r="Y965" s="70"/>
      <c r="Z965" s="70"/>
      <c r="AA965" s="70"/>
      <c r="AB965" s="70"/>
      <c r="AC965" s="70"/>
      <c r="AD965" s="70"/>
      <c r="AE965" s="70"/>
      <c r="AF965" s="70"/>
      <c r="AG965" s="70"/>
      <c r="AH965" s="70"/>
      <c r="AI965" s="70"/>
      <c r="AJ965" s="70"/>
      <c r="AK965" s="70"/>
      <c r="AL965" s="70"/>
      <c r="AM965" s="70"/>
      <c r="AN965" s="70"/>
      <c r="AO965" s="70"/>
      <c r="AP965" s="70"/>
      <c r="AQ965" s="70"/>
      <c r="AR965" s="70"/>
      <c r="AS965" s="70"/>
      <c r="AT965" s="70"/>
    </row>
    <row r="966" spans="1:46">
      <c r="A966" s="70"/>
      <c r="B966" s="70"/>
      <c r="C966" s="70"/>
      <c r="D966" s="70"/>
      <c r="E966" s="70"/>
      <c r="F966" s="70"/>
      <c r="G966" s="70"/>
      <c r="H966" s="54"/>
      <c r="I966" s="70"/>
      <c r="J966" s="70"/>
      <c r="K966" s="70"/>
      <c r="L966" s="70"/>
      <c r="M966" s="70"/>
      <c r="N966" s="70"/>
      <c r="O966" s="70"/>
      <c r="P966" s="70"/>
      <c r="Q966" s="70"/>
      <c r="R966" s="70"/>
      <c r="S966" s="70"/>
      <c r="T966" s="70"/>
      <c r="U966" s="70"/>
      <c r="V966" s="70"/>
      <c r="W966" s="70"/>
      <c r="X966" s="70"/>
      <c r="Y966" s="70"/>
      <c r="Z966" s="70"/>
      <c r="AA966" s="70"/>
      <c r="AB966" s="70"/>
      <c r="AC966" s="70"/>
      <c r="AD966" s="70"/>
      <c r="AE966" s="70"/>
      <c r="AF966" s="70"/>
      <c r="AG966" s="70"/>
      <c r="AH966" s="70"/>
      <c r="AI966" s="70"/>
      <c r="AJ966" s="70"/>
      <c r="AK966" s="70"/>
      <c r="AL966" s="70"/>
      <c r="AM966" s="70"/>
      <c r="AN966" s="70"/>
      <c r="AO966" s="70"/>
      <c r="AP966" s="70"/>
      <c r="AQ966" s="70"/>
      <c r="AR966" s="70"/>
      <c r="AS966" s="70"/>
      <c r="AT966" s="70"/>
    </row>
    <row r="967" spans="1:46">
      <c r="A967" s="70"/>
      <c r="B967" s="70"/>
      <c r="C967" s="70"/>
      <c r="D967" s="70"/>
      <c r="E967" s="70"/>
      <c r="F967" s="70"/>
      <c r="G967" s="70"/>
      <c r="H967" s="54"/>
      <c r="I967" s="70"/>
      <c r="J967" s="70"/>
      <c r="K967" s="70"/>
      <c r="L967" s="70"/>
      <c r="M967" s="70"/>
      <c r="N967" s="70"/>
      <c r="O967" s="70"/>
      <c r="P967" s="70"/>
      <c r="Q967" s="70"/>
      <c r="R967" s="70"/>
      <c r="S967" s="70"/>
      <c r="T967" s="70"/>
      <c r="U967" s="70"/>
      <c r="V967" s="70"/>
      <c r="W967" s="70"/>
      <c r="X967" s="70"/>
      <c r="Y967" s="70"/>
      <c r="Z967" s="70"/>
      <c r="AA967" s="70"/>
      <c r="AB967" s="70"/>
      <c r="AC967" s="70"/>
      <c r="AD967" s="70"/>
      <c r="AE967" s="70"/>
      <c r="AF967" s="70"/>
      <c r="AG967" s="70"/>
      <c r="AH967" s="70"/>
      <c r="AI967" s="70"/>
      <c r="AJ967" s="70"/>
      <c r="AK967" s="70"/>
      <c r="AL967" s="70"/>
      <c r="AM967" s="70"/>
      <c r="AN967" s="70"/>
      <c r="AO967" s="70"/>
      <c r="AP967" s="70"/>
      <c r="AQ967" s="70"/>
      <c r="AR967" s="70"/>
      <c r="AS967" s="70"/>
      <c r="AT967" s="70"/>
    </row>
    <row r="968" spans="1:46">
      <c r="A968" s="70"/>
      <c r="B968" s="70"/>
      <c r="C968" s="70"/>
      <c r="D968" s="70"/>
      <c r="E968" s="70"/>
      <c r="F968" s="70"/>
      <c r="G968" s="70"/>
      <c r="H968" s="54"/>
      <c r="I968" s="70"/>
      <c r="J968" s="70"/>
      <c r="K968" s="70"/>
      <c r="L968" s="70"/>
      <c r="M968" s="70"/>
      <c r="N968" s="70"/>
      <c r="O968" s="70"/>
      <c r="P968" s="70"/>
      <c r="Q968" s="70"/>
      <c r="R968" s="70"/>
      <c r="S968" s="70"/>
      <c r="T968" s="70"/>
      <c r="U968" s="70"/>
      <c r="V968" s="70"/>
      <c r="W968" s="70"/>
      <c r="X968" s="70"/>
      <c r="Y968" s="70"/>
      <c r="Z968" s="70"/>
      <c r="AA968" s="70"/>
      <c r="AB968" s="70"/>
      <c r="AC968" s="70"/>
      <c r="AD968" s="70"/>
      <c r="AE968" s="70"/>
      <c r="AF968" s="70"/>
      <c r="AG968" s="70"/>
      <c r="AH968" s="70"/>
      <c r="AI968" s="70"/>
      <c r="AJ968" s="70"/>
      <c r="AK968" s="70"/>
      <c r="AL968" s="70"/>
      <c r="AM968" s="70"/>
      <c r="AN968" s="70"/>
      <c r="AO968" s="70"/>
      <c r="AP968" s="70"/>
      <c r="AQ968" s="70"/>
      <c r="AR968" s="70"/>
      <c r="AS968" s="70"/>
      <c r="AT968" s="70"/>
    </row>
    <row r="969" spans="1:46">
      <c r="A969" s="70"/>
      <c r="B969" s="70"/>
      <c r="C969" s="70"/>
      <c r="D969" s="70"/>
      <c r="E969" s="70"/>
      <c r="F969" s="70"/>
      <c r="G969" s="70"/>
      <c r="H969" s="54"/>
      <c r="I969" s="70"/>
      <c r="J969" s="70"/>
      <c r="K969" s="70"/>
      <c r="L969" s="70"/>
      <c r="M969" s="70"/>
      <c r="N969" s="70"/>
      <c r="O969" s="70"/>
      <c r="P969" s="70"/>
      <c r="Q969" s="70"/>
      <c r="R969" s="70"/>
      <c r="S969" s="70"/>
      <c r="T969" s="70"/>
      <c r="U969" s="70"/>
      <c r="V969" s="70"/>
      <c r="W969" s="70"/>
      <c r="X969" s="70"/>
      <c r="Y969" s="70"/>
      <c r="Z969" s="70"/>
      <c r="AA969" s="70"/>
      <c r="AB969" s="70"/>
      <c r="AC969" s="70"/>
      <c r="AD969" s="70"/>
      <c r="AE969" s="70"/>
      <c r="AF969" s="70"/>
      <c r="AG969" s="70"/>
      <c r="AH969" s="70"/>
      <c r="AI969" s="70"/>
      <c r="AJ969" s="70"/>
      <c r="AK969" s="70"/>
      <c r="AL969" s="70"/>
      <c r="AM969" s="70"/>
      <c r="AN969" s="70"/>
      <c r="AO969" s="70"/>
      <c r="AP969" s="70"/>
      <c r="AQ969" s="70"/>
      <c r="AR969" s="70"/>
      <c r="AS969" s="70"/>
      <c r="AT969" s="70"/>
    </row>
    <row r="970" spans="1:46">
      <c r="A970" s="70"/>
      <c r="B970" s="70"/>
      <c r="C970" s="70"/>
      <c r="D970" s="70"/>
      <c r="E970" s="70"/>
      <c r="F970" s="70"/>
      <c r="G970" s="70"/>
      <c r="H970" s="54"/>
      <c r="I970" s="70"/>
      <c r="J970" s="70"/>
      <c r="K970" s="70"/>
      <c r="L970" s="70"/>
      <c r="M970" s="70"/>
      <c r="N970" s="70"/>
      <c r="O970" s="70"/>
      <c r="P970" s="70"/>
      <c r="Q970" s="70"/>
      <c r="R970" s="70"/>
      <c r="S970" s="70"/>
      <c r="T970" s="70"/>
      <c r="U970" s="70"/>
      <c r="V970" s="70"/>
      <c r="W970" s="70"/>
      <c r="X970" s="70"/>
      <c r="Y970" s="70"/>
      <c r="Z970" s="70"/>
      <c r="AA970" s="70"/>
      <c r="AB970" s="70"/>
      <c r="AC970" s="70"/>
      <c r="AD970" s="70"/>
      <c r="AE970" s="70"/>
      <c r="AF970" s="70"/>
      <c r="AG970" s="70"/>
      <c r="AH970" s="70"/>
      <c r="AI970" s="70"/>
      <c r="AJ970" s="70"/>
      <c r="AK970" s="70"/>
      <c r="AL970" s="70"/>
      <c r="AM970" s="70"/>
      <c r="AN970" s="70"/>
      <c r="AO970" s="70"/>
      <c r="AP970" s="70"/>
      <c r="AQ970" s="70"/>
      <c r="AR970" s="70"/>
      <c r="AS970" s="70"/>
      <c r="AT970" s="70"/>
    </row>
    <row r="971" spans="1:46">
      <c r="A971" s="70"/>
      <c r="B971" s="70"/>
      <c r="C971" s="70"/>
      <c r="D971" s="70"/>
      <c r="E971" s="70"/>
      <c r="F971" s="70"/>
      <c r="G971" s="70"/>
      <c r="H971" s="54"/>
      <c r="I971" s="70"/>
      <c r="J971" s="70"/>
      <c r="K971" s="70"/>
      <c r="L971" s="70"/>
      <c r="M971" s="70"/>
      <c r="N971" s="70"/>
      <c r="O971" s="70"/>
      <c r="P971" s="70"/>
      <c r="Q971" s="70"/>
      <c r="R971" s="70"/>
      <c r="S971" s="70"/>
      <c r="T971" s="70"/>
      <c r="U971" s="70"/>
      <c r="V971" s="70"/>
      <c r="W971" s="70"/>
      <c r="X971" s="70"/>
      <c r="Y971" s="70"/>
      <c r="Z971" s="70"/>
      <c r="AA971" s="70"/>
      <c r="AB971" s="70"/>
      <c r="AC971" s="70"/>
      <c r="AD971" s="70"/>
      <c r="AE971" s="70"/>
      <c r="AF971" s="70"/>
      <c r="AG971" s="70"/>
      <c r="AH971" s="70"/>
      <c r="AI971" s="70"/>
      <c r="AJ971" s="70"/>
      <c r="AK971" s="70"/>
      <c r="AL971" s="70"/>
      <c r="AM971" s="70"/>
      <c r="AN971" s="70"/>
      <c r="AO971" s="70"/>
      <c r="AP971" s="70"/>
      <c r="AQ971" s="70"/>
      <c r="AR971" s="70"/>
      <c r="AS971" s="70"/>
      <c r="AT971" s="70"/>
    </row>
    <row r="972" spans="1:46">
      <c r="A972" s="70"/>
      <c r="B972" s="70"/>
      <c r="C972" s="70"/>
      <c r="D972" s="70"/>
      <c r="E972" s="70"/>
      <c r="F972" s="70"/>
      <c r="G972" s="70"/>
      <c r="H972" s="54"/>
      <c r="I972" s="70"/>
      <c r="J972" s="70"/>
      <c r="K972" s="70"/>
      <c r="L972" s="70"/>
      <c r="M972" s="70"/>
      <c r="N972" s="70"/>
      <c r="O972" s="70"/>
      <c r="P972" s="70"/>
      <c r="Q972" s="70"/>
      <c r="R972" s="70"/>
      <c r="S972" s="70"/>
      <c r="T972" s="70"/>
      <c r="U972" s="70"/>
      <c r="V972" s="70"/>
      <c r="W972" s="70"/>
      <c r="X972" s="70"/>
      <c r="Y972" s="70"/>
      <c r="Z972" s="70"/>
      <c r="AA972" s="70"/>
      <c r="AB972" s="70"/>
      <c r="AC972" s="70"/>
      <c r="AD972" s="70"/>
      <c r="AE972" s="70"/>
      <c r="AF972" s="70"/>
      <c r="AG972" s="70"/>
      <c r="AH972" s="70"/>
      <c r="AI972" s="70"/>
      <c r="AJ972" s="70"/>
      <c r="AK972" s="70"/>
      <c r="AL972" s="70"/>
      <c r="AM972" s="70"/>
      <c r="AN972" s="70"/>
      <c r="AO972" s="70"/>
      <c r="AP972" s="70"/>
      <c r="AQ972" s="70"/>
      <c r="AR972" s="70"/>
      <c r="AS972" s="70"/>
      <c r="AT972" s="70"/>
    </row>
    <row r="973" spans="1:46">
      <c r="A973" s="70"/>
      <c r="B973" s="70"/>
      <c r="C973" s="70"/>
      <c r="D973" s="70"/>
      <c r="E973" s="70"/>
      <c r="F973" s="70"/>
      <c r="G973" s="70"/>
      <c r="H973" s="54"/>
      <c r="I973" s="70"/>
      <c r="J973" s="70"/>
      <c r="K973" s="70"/>
      <c r="L973" s="70"/>
      <c r="M973" s="70"/>
      <c r="N973" s="70"/>
      <c r="O973" s="70"/>
      <c r="P973" s="70"/>
      <c r="Q973" s="70"/>
      <c r="R973" s="70"/>
      <c r="S973" s="70"/>
      <c r="T973" s="70"/>
      <c r="U973" s="70"/>
      <c r="V973" s="70"/>
      <c r="W973" s="70"/>
      <c r="X973" s="70"/>
      <c r="Y973" s="70"/>
      <c r="Z973" s="70"/>
      <c r="AA973" s="70"/>
      <c r="AB973" s="70"/>
      <c r="AC973" s="70"/>
      <c r="AD973" s="70"/>
      <c r="AE973" s="70"/>
      <c r="AF973" s="70"/>
      <c r="AG973" s="70"/>
      <c r="AH973" s="70"/>
      <c r="AI973" s="70"/>
      <c r="AJ973" s="70"/>
      <c r="AK973" s="70"/>
      <c r="AL973" s="70"/>
      <c r="AM973" s="70"/>
      <c r="AN973" s="70"/>
      <c r="AO973" s="70"/>
      <c r="AP973" s="70"/>
      <c r="AQ973" s="70"/>
      <c r="AR973" s="70"/>
      <c r="AS973" s="70"/>
      <c r="AT973" s="70"/>
    </row>
    <row r="974" spans="1:46">
      <c r="A974" s="70"/>
      <c r="B974" s="70"/>
      <c r="C974" s="70"/>
      <c r="D974" s="70"/>
      <c r="E974" s="70"/>
      <c r="F974" s="70"/>
      <c r="G974" s="70"/>
      <c r="H974" s="54"/>
      <c r="I974" s="70"/>
      <c r="J974" s="70"/>
      <c r="K974" s="70"/>
      <c r="L974" s="70"/>
      <c r="M974" s="70"/>
      <c r="N974" s="70"/>
      <c r="O974" s="70"/>
      <c r="P974" s="70"/>
      <c r="Q974" s="70"/>
      <c r="R974" s="70"/>
      <c r="S974" s="70"/>
      <c r="T974" s="70"/>
      <c r="U974" s="70"/>
      <c r="V974" s="70"/>
      <c r="W974" s="70"/>
      <c r="X974" s="70"/>
      <c r="Y974" s="70"/>
      <c r="Z974" s="70"/>
      <c r="AA974" s="70"/>
      <c r="AB974" s="70"/>
      <c r="AC974" s="70"/>
      <c r="AD974" s="70"/>
      <c r="AE974" s="70"/>
      <c r="AF974" s="70"/>
      <c r="AG974" s="70"/>
      <c r="AH974" s="70"/>
      <c r="AI974" s="70"/>
      <c r="AJ974" s="70"/>
      <c r="AK974" s="70"/>
      <c r="AL974" s="70"/>
      <c r="AM974" s="70"/>
      <c r="AN974" s="70"/>
      <c r="AO974" s="70"/>
      <c r="AP974" s="70"/>
      <c r="AQ974" s="70"/>
      <c r="AR974" s="70"/>
      <c r="AS974" s="70"/>
      <c r="AT974" s="70"/>
    </row>
    <row r="975" spans="1:46">
      <c r="A975" s="70"/>
      <c r="B975" s="70"/>
      <c r="C975" s="70"/>
      <c r="D975" s="70"/>
      <c r="E975" s="70"/>
      <c r="F975" s="70"/>
      <c r="G975" s="70"/>
      <c r="H975" s="54"/>
      <c r="I975" s="70"/>
      <c r="J975" s="70"/>
      <c r="K975" s="70"/>
      <c r="L975" s="70"/>
      <c r="M975" s="70"/>
      <c r="N975" s="70"/>
      <c r="O975" s="70"/>
      <c r="P975" s="70"/>
      <c r="Q975" s="70"/>
      <c r="R975" s="70"/>
      <c r="S975" s="70"/>
      <c r="T975" s="70"/>
      <c r="U975" s="70"/>
      <c r="V975" s="70"/>
      <c r="W975" s="70"/>
      <c r="X975" s="70"/>
      <c r="Y975" s="70"/>
      <c r="Z975" s="70"/>
      <c r="AA975" s="70"/>
      <c r="AB975" s="70"/>
      <c r="AC975" s="70"/>
      <c r="AD975" s="70"/>
      <c r="AE975" s="70"/>
      <c r="AF975" s="70"/>
      <c r="AG975" s="70"/>
      <c r="AH975" s="70"/>
      <c r="AI975" s="70"/>
      <c r="AJ975" s="70"/>
      <c r="AK975" s="70"/>
      <c r="AL975" s="70"/>
      <c r="AM975" s="70"/>
      <c r="AN975" s="70"/>
      <c r="AO975" s="70"/>
      <c r="AP975" s="70"/>
      <c r="AQ975" s="70"/>
      <c r="AR975" s="70"/>
      <c r="AS975" s="70"/>
      <c r="AT975" s="70"/>
    </row>
    <row r="976" spans="1:46">
      <c r="A976" s="70"/>
      <c r="B976" s="70"/>
      <c r="C976" s="70"/>
      <c r="D976" s="70"/>
      <c r="E976" s="70"/>
      <c r="F976" s="70"/>
      <c r="G976" s="70"/>
      <c r="H976" s="54"/>
      <c r="I976" s="70"/>
      <c r="J976" s="70"/>
      <c r="K976" s="70"/>
      <c r="L976" s="70"/>
      <c r="M976" s="70"/>
      <c r="N976" s="70"/>
      <c r="O976" s="70"/>
      <c r="P976" s="70"/>
      <c r="Q976" s="70"/>
      <c r="R976" s="70"/>
      <c r="S976" s="70"/>
      <c r="T976" s="70"/>
      <c r="U976" s="70"/>
      <c r="V976" s="70"/>
      <c r="W976" s="70"/>
      <c r="X976" s="70"/>
      <c r="Y976" s="70"/>
      <c r="Z976" s="70"/>
      <c r="AA976" s="70"/>
      <c r="AB976" s="70"/>
      <c r="AC976" s="70"/>
      <c r="AD976" s="70"/>
      <c r="AE976" s="70"/>
      <c r="AF976" s="70"/>
      <c r="AG976" s="70"/>
      <c r="AH976" s="70"/>
      <c r="AI976" s="70"/>
      <c r="AJ976" s="70"/>
      <c r="AK976" s="70"/>
      <c r="AL976" s="70"/>
      <c r="AM976" s="70"/>
      <c r="AN976" s="70"/>
      <c r="AO976" s="70"/>
      <c r="AP976" s="70"/>
      <c r="AQ976" s="70"/>
      <c r="AR976" s="70"/>
      <c r="AS976" s="70"/>
      <c r="AT976" s="70"/>
    </row>
    <row r="977" spans="1:46">
      <c r="A977" s="70"/>
      <c r="B977" s="70"/>
      <c r="C977" s="70"/>
      <c r="D977" s="70"/>
      <c r="E977" s="70"/>
      <c r="F977" s="70"/>
      <c r="G977" s="70"/>
      <c r="H977" s="54"/>
      <c r="I977" s="70"/>
      <c r="J977" s="70"/>
      <c r="K977" s="70"/>
      <c r="L977" s="70"/>
      <c r="M977" s="70"/>
      <c r="N977" s="70"/>
      <c r="O977" s="70"/>
      <c r="P977" s="70"/>
      <c r="Q977" s="70"/>
      <c r="R977" s="70"/>
      <c r="S977" s="70"/>
      <c r="T977" s="70"/>
      <c r="U977" s="70"/>
      <c r="V977" s="70"/>
      <c r="W977" s="70"/>
      <c r="X977" s="70"/>
      <c r="Y977" s="70"/>
      <c r="Z977" s="70"/>
      <c r="AA977" s="70"/>
      <c r="AB977" s="70"/>
      <c r="AC977" s="70"/>
      <c r="AD977" s="70"/>
      <c r="AE977" s="70"/>
      <c r="AF977" s="70"/>
      <c r="AG977" s="70"/>
      <c r="AH977" s="70"/>
      <c r="AI977" s="70"/>
      <c r="AJ977" s="70"/>
      <c r="AK977" s="70"/>
      <c r="AL977" s="70"/>
      <c r="AM977" s="70"/>
      <c r="AN977" s="70"/>
      <c r="AO977" s="70"/>
      <c r="AP977" s="70"/>
      <c r="AQ977" s="70"/>
      <c r="AR977" s="70"/>
      <c r="AS977" s="70"/>
      <c r="AT977" s="70"/>
    </row>
    <row r="978" spans="1:46">
      <c r="A978" s="70"/>
      <c r="B978" s="70"/>
      <c r="C978" s="70"/>
      <c r="D978" s="70"/>
      <c r="E978" s="70"/>
      <c r="F978" s="70"/>
      <c r="G978" s="70"/>
      <c r="H978" s="54"/>
      <c r="I978" s="70"/>
      <c r="J978" s="70"/>
      <c r="K978" s="70"/>
      <c r="L978" s="70"/>
      <c r="M978" s="70"/>
      <c r="N978" s="70"/>
      <c r="O978" s="70"/>
      <c r="P978" s="70"/>
      <c r="Q978" s="70"/>
      <c r="R978" s="70"/>
      <c r="S978" s="70"/>
      <c r="T978" s="70"/>
      <c r="U978" s="70"/>
      <c r="V978" s="70"/>
      <c r="W978" s="70"/>
      <c r="X978" s="70"/>
      <c r="Y978" s="70"/>
      <c r="Z978" s="70"/>
      <c r="AA978" s="70"/>
      <c r="AB978" s="70"/>
      <c r="AC978" s="70"/>
      <c r="AD978" s="70"/>
      <c r="AE978" s="70"/>
      <c r="AF978" s="70"/>
      <c r="AG978" s="70"/>
      <c r="AH978" s="70"/>
      <c r="AI978" s="70"/>
      <c r="AJ978" s="70"/>
      <c r="AK978" s="70"/>
      <c r="AL978" s="70"/>
      <c r="AM978" s="70"/>
      <c r="AN978" s="70"/>
      <c r="AO978" s="70"/>
      <c r="AP978" s="70"/>
      <c r="AQ978" s="70"/>
      <c r="AR978" s="70"/>
      <c r="AS978" s="70"/>
      <c r="AT978" s="70"/>
    </row>
    <row r="979" spans="1:46">
      <c r="A979" s="70"/>
      <c r="B979" s="70"/>
      <c r="C979" s="70"/>
      <c r="D979" s="70"/>
      <c r="E979" s="70"/>
      <c r="F979" s="70"/>
      <c r="G979" s="70"/>
      <c r="H979" s="54"/>
      <c r="I979" s="70"/>
      <c r="J979" s="70"/>
      <c r="K979" s="70"/>
      <c r="L979" s="70"/>
      <c r="M979" s="70"/>
      <c r="N979" s="70"/>
      <c r="O979" s="70"/>
      <c r="P979" s="70"/>
      <c r="Q979" s="70"/>
      <c r="R979" s="70"/>
      <c r="S979" s="70"/>
      <c r="T979" s="70"/>
      <c r="U979" s="70"/>
      <c r="V979" s="70"/>
      <c r="W979" s="70"/>
      <c r="X979" s="70"/>
      <c r="Y979" s="70"/>
      <c r="Z979" s="70"/>
      <c r="AA979" s="70"/>
      <c r="AB979" s="70"/>
      <c r="AC979" s="70"/>
      <c r="AD979" s="70"/>
      <c r="AE979" s="70"/>
      <c r="AF979" s="70"/>
      <c r="AG979" s="70"/>
      <c r="AH979" s="70"/>
      <c r="AI979" s="70"/>
      <c r="AJ979" s="70"/>
      <c r="AK979" s="70"/>
      <c r="AL979" s="70"/>
      <c r="AM979" s="70"/>
      <c r="AN979" s="70"/>
      <c r="AO979" s="70"/>
      <c r="AP979" s="70"/>
      <c r="AQ979" s="70"/>
      <c r="AR979" s="70"/>
      <c r="AS979" s="70"/>
      <c r="AT979" s="70"/>
    </row>
    <row r="980" spans="1:46">
      <c r="A980" s="70"/>
      <c r="B980" s="70"/>
      <c r="C980" s="70"/>
      <c r="D980" s="70"/>
      <c r="E980" s="70"/>
      <c r="F980" s="70"/>
      <c r="G980" s="70"/>
      <c r="H980" s="54"/>
      <c r="I980" s="70"/>
      <c r="J980" s="70"/>
      <c r="K980" s="70"/>
      <c r="L980" s="70"/>
      <c r="M980" s="70"/>
      <c r="N980" s="70"/>
      <c r="O980" s="70"/>
      <c r="P980" s="70"/>
      <c r="Q980" s="70"/>
      <c r="R980" s="70"/>
      <c r="S980" s="70"/>
      <c r="T980" s="70"/>
      <c r="U980" s="70"/>
      <c r="V980" s="70"/>
      <c r="W980" s="70"/>
      <c r="X980" s="70"/>
      <c r="Y980" s="70"/>
      <c r="Z980" s="70"/>
      <c r="AA980" s="70"/>
      <c r="AB980" s="70"/>
      <c r="AC980" s="70"/>
      <c r="AD980" s="70"/>
      <c r="AE980" s="70"/>
      <c r="AF980" s="70"/>
      <c r="AG980" s="70"/>
      <c r="AH980" s="70"/>
      <c r="AI980" s="70"/>
      <c r="AJ980" s="70"/>
      <c r="AK980" s="70"/>
      <c r="AL980" s="70"/>
      <c r="AM980" s="70"/>
      <c r="AN980" s="70"/>
      <c r="AO980" s="70"/>
      <c r="AP980" s="70"/>
      <c r="AQ980" s="70"/>
      <c r="AR980" s="70"/>
      <c r="AS980" s="70"/>
      <c r="AT980" s="70"/>
    </row>
    <row r="981" spans="1:46">
      <c r="A981" s="70"/>
      <c r="B981" s="70"/>
      <c r="C981" s="70"/>
      <c r="D981" s="70"/>
      <c r="E981" s="70"/>
      <c r="F981" s="70"/>
      <c r="G981" s="70"/>
      <c r="H981" s="54"/>
      <c r="I981" s="70"/>
      <c r="J981" s="70"/>
      <c r="K981" s="70"/>
      <c r="L981" s="70"/>
      <c r="M981" s="70"/>
      <c r="N981" s="70"/>
      <c r="O981" s="70"/>
      <c r="P981" s="70"/>
      <c r="Q981" s="70"/>
      <c r="R981" s="70"/>
      <c r="S981" s="70"/>
      <c r="T981" s="70"/>
      <c r="U981" s="70"/>
      <c r="V981" s="70"/>
      <c r="W981" s="70"/>
      <c r="X981" s="70"/>
      <c r="Y981" s="70"/>
      <c r="Z981" s="70"/>
      <c r="AA981" s="70"/>
      <c r="AB981" s="70"/>
      <c r="AC981" s="70"/>
      <c r="AD981" s="70"/>
      <c r="AE981" s="70"/>
      <c r="AF981" s="70"/>
      <c r="AG981" s="70"/>
      <c r="AH981" s="70"/>
      <c r="AI981" s="70"/>
      <c r="AJ981" s="70"/>
      <c r="AK981" s="70"/>
      <c r="AL981" s="70"/>
      <c r="AM981" s="70"/>
      <c r="AN981" s="70"/>
      <c r="AO981" s="70"/>
      <c r="AP981" s="70"/>
      <c r="AQ981" s="70"/>
      <c r="AR981" s="70"/>
      <c r="AS981" s="70"/>
      <c r="AT981" s="70"/>
    </row>
    <row r="982" spans="1:46">
      <c r="A982" s="70"/>
      <c r="B982" s="70"/>
      <c r="C982" s="70"/>
      <c r="D982" s="70"/>
      <c r="E982" s="70"/>
      <c r="F982" s="70"/>
      <c r="G982" s="70"/>
      <c r="H982" s="54"/>
      <c r="I982" s="70"/>
      <c r="J982" s="70"/>
      <c r="K982" s="70"/>
      <c r="L982" s="70"/>
      <c r="M982" s="70"/>
      <c r="N982" s="70"/>
      <c r="O982" s="70"/>
      <c r="P982" s="70"/>
      <c r="Q982" s="70"/>
      <c r="R982" s="70"/>
      <c r="S982" s="70"/>
      <c r="T982" s="70"/>
      <c r="U982" s="70"/>
      <c r="V982" s="70"/>
      <c r="W982" s="70"/>
      <c r="X982" s="70"/>
      <c r="Y982" s="70"/>
      <c r="Z982" s="70"/>
      <c r="AA982" s="70"/>
      <c r="AB982" s="70"/>
      <c r="AC982" s="70"/>
      <c r="AD982" s="70"/>
      <c r="AE982" s="70"/>
      <c r="AF982" s="70"/>
      <c r="AG982" s="70"/>
      <c r="AH982" s="70"/>
      <c r="AI982" s="70"/>
      <c r="AJ982" s="70"/>
      <c r="AK982" s="70"/>
      <c r="AL982" s="70"/>
      <c r="AM982" s="70"/>
      <c r="AN982" s="70"/>
      <c r="AO982" s="70"/>
      <c r="AP982" s="70"/>
      <c r="AQ982" s="70"/>
      <c r="AR982" s="70"/>
      <c r="AS982" s="70"/>
      <c r="AT982" s="70"/>
    </row>
    <row r="983" spans="1:46">
      <c r="A983" s="70"/>
      <c r="B983" s="70"/>
      <c r="C983" s="70"/>
      <c r="D983" s="70"/>
      <c r="E983" s="70"/>
      <c r="F983" s="70"/>
      <c r="G983" s="70"/>
      <c r="H983" s="54"/>
      <c r="I983" s="70"/>
      <c r="J983" s="70"/>
      <c r="K983" s="70"/>
      <c r="L983" s="70"/>
      <c r="M983" s="70"/>
      <c r="N983" s="70"/>
      <c r="O983" s="70"/>
      <c r="P983" s="70"/>
      <c r="Q983" s="70"/>
      <c r="R983" s="70"/>
      <c r="S983" s="70"/>
      <c r="T983" s="70"/>
      <c r="U983" s="70"/>
      <c r="V983" s="70"/>
      <c r="W983" s="70"/>
      <c r="X983" s="70"/>
      <c r="Y983" s="70"/>
      <c r="Z983" s="70"/>
      <c r="AA983" s="70"/>
      <c r="AB983" s="70"/>
      <c r="AC983" s="70"/>
      <c r="AD983" s="70"/>
      <c r="AE983" s="70"/>
      <c r="AF983" s="70"/>
      <c r="AG983" s="70"/>
      <c r="AH983" s="70"/>
      <c r="AI983" s="70"/>
      <c r="AJ983" s="70"/>
      <c r="AK983" s="70"/>
      <c r="AL983" s="70"/>
      <c r="AM983" s="70"/>
      <c r="AN983" s="70"/>
      <c r="AO983" s="70"/>
      <c r="AP983" s="70"/>
      <c r="AQ983" s="70"/>
      <c r="AR983" s="70"/>
      <c r="AS983" s="70"/>
      <c r="AT983" s="70"/>
    </row>
    <row r="984" spans="1:46">
      <c r="A984" s="70"/>
      <c r="B984" s="70"/>
      <c r="C984" s="70"/>
      <c r="D984" s="70"/>
      <c r="E984" s="70"/>
      <c r="F984" s="70"/>
      <c r="G984" s="70"/>
      <c r="H984" s="54"/>
      <c r="I984" s="70"/>
      <c r="J984" s="70"/>
      <c r="K984" s="70"/>
      <c r="L984" s="70"/>
      <c r="M984" s="70"/>
      <c r="N984" s="70"/>
      <c r="O984" s="70"/>
      <c r="P984" s="70"/>
      <c r="Q984" s="70"/>
      <c r="R984" s="70"/>
      <c r="S984" s="70"/>
      <c r="T984" s="70"/>
      <c r="U984" s="70"/>
      <c r="V984" s="70"/>
      <c r="W984" s="70"/>
      <c r="X984" s="70"/>
      <c r="Y984" s="70"/>
      <c r="Z984" s="70"/>
      <c r="AA984" s="70"/>
      <c r="AB984" s="70"/>
      <c r="AC984" s="70"/>
      <c r="AD984" s="70"/>
      <c r="AE984" s="70"/>
      <c r="AF984" s="70"/>
      <c r="AG984" s="70"/>
      <c r="AH984" s="70"/>
      <c r="AI984" s="70"/>
      <c r="AJ984" s="70"/>
      <c r="AK984" s="70"/>
      <c r="AL984" s="70"/>
      <c r="AM984" s="70"/>
      <c r="AN984" s="70"/>
      <c r="AO984" s="70"/>
      <c r="AP984" s="70"/>
      <c r="AQ984" s="70"/>
      <c r="AR984" s="70"/>
      <c r="AS984" s="70"/>
      <c r="AT984" s="70"/>
    </row>
    <row r="985" spans="1:46">
      <c r="A985" s="70"/>
      <c r="B985" s="70"/>
      <c r="C985" s="70"/>
      <c r="D985" s="70"/>
      <c r="E985" s="70"/>
      <c r="F985" s="70"/>
      <c r="G985" s="70"/>
      <c r="H985" s="54"/>
      <c r="I985" s="70"/>
      <c r="J985" s="70"/>
      <c r="K985" s="70"/>
      <c r="L985" s="70"/>
      <c r="M985" s="70"/>
      <c r="N985" s="70"/>
      <c r="O985" s="70"/>
      <c r="P985" s="70"/>
      <c r="Q985" s="70"/>
      <c r="R985" s="70"/>
      <c r="S985" s="70"/>
      <c r="T985" s="70"/>
      <c r="U985" s="70"/>
      <c r="V985" s="70"/>
      <c r="W985" s="70"/>
      <c r="X985" s="70"/>
      <c r="Y985" s="70"/>
      <c r="Z985" s="70"/>
      <c r="AA985" s="70"/>
      <c r="AB985" s="70"/>
      <c r="AC985" s="70"/>
      <c r="AD985" s="70"/>
      <c r="AE985" s="70"/>
      <c r="AF985" s="70"/>
      <c r="AG985" s="70"/>
      <c r="AH985" s="70"/>
      <c r="AI985" s="70"/>
      <c r="AJ985" s="70"/>
      <c r="AK985" s="70"/>
      <c r="AL985" s="70"/>
      <c r="AM985" s="70"/>
      <c r="AN985" s="70"/>
      <c r="AO985" s="70"/>
      <c r="AP985" s="70"/>
      <c r="AQ985" s="70"/>
      <c r="AR985" s="70"/>
      <c r="AS985" s="70"/>
      <c r="AT985" s="70"/>
    </row>
    <row r="986" spans="1:46">
      <c r="A986" s="70"/>
      <c r="B986" s="70"/>
      <c r="C986" s="70"/>
      <c r="D986" s="70"/>
      <c r="E986" s="70"/>
      <c r="F986" s="70"/>
      <c r="G986" s="70"/>
      <c r="H986" s="54"/>
      <c r="I986" s="70"/>
      <c r="J986" s="70"/>
      <c r="K986" s="70"/>
      <c r="L986" s="70"/>
      <c r="M986" s="70"/>
      <c r="N986" s="70"/>
      <c r="O986" s="70"/>
      <c r="P986" s="70"/>
      <c r="Q986" s="70"/>
      <c r="R986" s="70"/>
      <c r="S986" s="70"/>
      <c r="T986" s="70"/>
      <c r="U986" s="70"/>
      <c r="V986" s="70"/>
      <c r="W986" s="70"/>
      <c r="X986" s="70"/>
      <c r="Y986" s="70"/>
      <c r="Z986" s="70"/>
      <c r="AA986" s="70"/>
      <c r="AB986" s="70"/>
      <c r="AC986" s="70"/>
      <c r="AD986" s="70"/>
      <c r="AE986" s="70"/>
      <c r="AF986" s="70"/>
      <c r="AG986" s="70"/>
      <c r="AH986" s="70"/>
      <c r="AI986" s="70"/>
      <c r="AJ986" s="70"/>
      <c r="AK986" s="70"/>
      <c r="AL986" s="70"/>
      <c r="AM986" s="70"/>
      <c r="AN986" s="70"/>
      <c r="AO986" s="70"/>
      <c r="AP986" s="70"/>
      <c r="AQ986" s="70"/>
      <c r="AR986" s="70"/>
      <c r="AS986" s="70"/>
      <c r="AT986" s="70"/>
    </row>
    <row r="987" spans="1:46">
      <c r="A987" s="70"/>
      <c r="B987" s="70"/>
      <c r="C987" s="70"/>
      <c r="D987" s="70"/>
      <c r="E987" s="70"/>
      <c r="F987" s="70"/>
      <c r="G987" s="70"/>
      <c r="H987" s="54"/>
      <c r="I987" s="70"/>
      <c r="J987" s="70"/>
      <c r="K987" s="70"/>
      <c r="L987" s="70"/>
      <c r="M987" s="70"/>
      <c r="N987" s="70"/>
      <c r="O987" s="70"/>
      <c r="P987" s="70"/>
      <c r="Q987" s="70"/>
      <c r="R987" s="70"/>
      <c r="S987" s="70"/>
      <c r="T987" s="70"/>
      <c r="U987" s="70"/>
      <c r="V987" s="70"/>
      <c r="W987" s="70"/>
      <c r="X987" s="70"/>
      <c r="Y987" s="70"/>
      <c r="Z987" s="70"/>
      <c r="AA987" s="70"/>
      <c r="AB987" s="70"/>
      <c r="AC987" s="70"/>
      <c r="AD987" s="70"/>
      <c r="AE987" s="70"/>
      <c r="AF987" s="70"/>
      <c r="AG987" s="70"/>
      <c r="AH987" s="70"/>
      <c r="AI987" s="70"/>
      <c r="AJ987" s="70"/>
      <c r="AK987" s="70"/>
      <c r="AL987" s="70"/>
      <c r="AM987" s="70"/>
      <c r="AN987" s="70"/>
      <c r="AO987" s="70"/>
      <c r="AP987" s="70"/>
      <c r="AQ987" s="70"/>
      <c r="AR987" s="70"/>
      <c r="AS987" s="70"/>
      <c r="AT987" s="70"/>
    </row>
    <row r="988" spans="1:46">
      <c r="A988" s="70"/>
      <c r="B988" s="70"/>
      <c r="C988" s="70"/>
      <c r="D988" s="70"/>
      <c r="E988" s="70"/>
      <c r="F988" s="70"/>
      <c r="G988" s="70"/>
      <c r="H988" s="54"/>
      <c r="I988" s="70"/>
      <c r="J988" s="70"/>
      <c r="K988" s="70"/>
      <c r="L988" s="70"/>
      <c r="M988" s="70"/>
      <c r="N988" s="70"/>
      <c r="O988" s="70"/>
      <c r="P988" s="70"/>
      <c r="Q988" s="70"/>
      <c r="R988" s="70"/>
      <c r="S988" s="70"/>
      <c r="T988" s="70"/>
      <c r="U988" s="70"/>
      <c r="V988" s="70"/>
      <c r="W988" s="70"/>
      <c r="X988" s="70"/>
      <c r="Y988" s="70"/>
      <c r="Z988" s="70"/>
      <c r="AA988" s="70"/>
      <c r="AB988" s="70"/>
      <c r="AC988" s="70"/>
      <c r="AD988" s="70"/>
      <c r="AE988" s="70"/>
      <c r="AF988" s="70"/>
      <c r="AG988" s="70"/>
      <c r="AH988" s="70"/>
      <c r="AI988" s="70"/>
      <c r="AJ988" s="70"/>
      <c r="AK988" s="70"/>
      <c r="AL988" s="70"/>
      <c r="AM988" s="70"/>
      <c r="AN988" s="70"/>
      <c r="AO988" s="70"/>
      <c r="AP988" s="70"/>
      <c r="AQ988" s="70"/>
      <c r="AR988" s="70"/>
      <c r="AS988" s="70"/>
      <c r="AT988" s="70"/>
    </row>
    <row r="989" spans="1:46">
      <c r="A989" s="70"/>
      <c r="B989" s="70"/>
      <c r="C989" s="70"/>
      <c r="D989" s="70"/>
      <c r="E989" s="70"/>
      <c r="F989" s="70"/>
      <c r="G989" s="70"/>
      <c r="H989" s="54"/>
      <c r="I989" s="70"/>
      <c r="J989" s="70"/>
      <c r="K989" s="70"/>
      <c r="L989" s="70"/>
      <c r="M989" s="70"/>
      <c r="N989" s="70"/>
      <c r="O989" s="70"/>
      <c r="P989" s="70"/>
      <c r="Q989" s="70"/>
      <c r="R989" s="70"/>
      <c r="S989" s="70"/>
      <c r="T989" s="70"/>
      <c r="U989" s="70"/>
      <c r="V989" s="70"/>
      <c r="W989" s="70"/>
      <c r="X989" s="70"/>
      <c r="Y989" s="70"/>
      <c r="Z989" s="70"/>
      <c r="AA989" s="70"/>
      <c r="AB989" s="70"/>
      <c r="AC989" s="70"/>
      <c r="AD989" s="70"/>
      <c r="AE989" s="70"/>
      <c r="AF989" s="70"/>
      <c r="AG989" s="70"/>
      <c r="AH989" s="70"/>
      <c r="AI989" s="70"/>
      <c r="AJ989" s="70"/>
      <c r="AK989" s="70"/>
      <c r="AL989" s="70"/>
      <c r="AM989" s="70"/>
      <c r="AN989" s="70"/>
      <c r="AO989" s="70"/>
      <c r="AP989" s="70"/>
      <c r="AQ989" s="70"/>
      <c r="AR989" s="70"/>
      <c r="AS989" s="70"/>
      <c r="AT989" s="70"/>
    </row>
    <row r="990" spans="1:46">
      <c r="A990" s="70"/>
      <c r="B990" s="70"/>
      <c r="C990" s="70"/>
      <c r="D990" s="70"/>
      <c r="E990" s="70"/>
      <c r="F990" s="70"/>
      <c r="G990" s="70"/>
      <c r="H990" s="54"/>
      <c r="I990" s="70"/>
      <c r="J990" s="70"/>
      <c r="K990" s="70"/>
      <c r="L990" s="70"/>
      <c r="M990" s="70"/>
      <c r="N990" s="70"/>
      <c r="O990" s="70"/>
      <c r="P990" s="70"/>
      <c r="Q990" s="70"/>
      <c r="R990" s="70"/>
      <c r="S990" s="70"/>
      <c r="T990" s="70"/>
      <c r="U990" s="70"/>
      <c r="V990" s="70"/>
      <c r="W990" s="70"/>
      <c r="X990" s="70"/>
      <c r="Y990" s="70"/>
      <c r="Z990" s="70"/>
      <c r="AA990" s="70"/>
      <c r="AB990" s="70"/>
      <c r="AC990" s="70"/>
      <c r="AD990" s="70"/>
      <c r="AE990" s="70"/>
      <c r="AF990" s="70"/>
      <c r="AG990" s="70"/>
      <c r="AH990" s="70"/>
      <c r="AI990" s="70"/>
      <c r="AJ990" s="70"/>
      <c r="AK990" s="70"/>
      <c r="AL990" s="70"/>
      <c r="AM990" s="70"/>
      <c r="AN990" s="70"/>
      <c r="AO990" s="70"/>
      <c r="AP990" s="70"/>
      <c r="AQ990" s="70"/>
      <c r="AR990" s="70"/>
      <c r="AS990" s="70"/>
      <c r="AT990" s="70"/>
    </row>
    <row r="991" spans="1:46">
      <c r="A991" s="70"/>
      <c r="B991" s="70"/>
      <c r="C991" s="70"/>
      <c r="D991" s="70"/>
      <c r="E991" s="70"/>
      <c r="F991" s="70"/>
      <c r="G991" s="70"/>
      <c r="H991" s="54"/>
      <c r="I991" s="70"/>
      <c r="J991" s="70"/>
      <c r="K991" s="70"/>
      <c r="L991" s="70"/>
      <c r="M991" s="70"/>
      <c r="N991" s="70"/>
      <c r="O991" s="70"/>
      <c r="P991" s="70"/>
      <c r="Q991" s="70"/>
      <c r="R991" s="70"/>
      <c r="S991" s="70"/>
      <c r="T991" s="70"/>
      <c r="U991" s="70"/>
      <c r="V991" s="70"/>
      <c r="W991" s="70"/>
      <c r="X991" s="70"/>
      <c r="Y991" s="70"/>
      <c r="Z991" s="70"/>
      <c r="AA991" s="70"/>
      <c r="AB991" s="70"/>
      <c r="AC991" s="70"/>
      <c r="AD991" s="70"/>
      <c r="AE991" s="70"/>
      <c r="AF991" s="70"/>
      <c r="AG991" s="70"/>
      <c r="AH991" s="70"/>
      <c r="AI991" s="70"/>
      <c r="AJ991" s="70"/>
      <c r="AK991" s="70"/>
      <c r="AL991" s="70"/>
      <c r="AM991" s="70"/>
      <c r="AN991" s="70"/>
      <c r="AO991" s="70"/>
      <c r="AP991" s="70"/>
      <c r="AQ991" s="70"/>
      <c r="AR991" s="70"/>
      <c r="AS991" s="70"/>
      <c r="AT991" s="70"/>
    </row>
    <row r="992" spans="1:46">
      <c r="A992" s="70"/>
      <c r="B992" s="70"/>
      <c r="C992" s="70"/>
      <c r="D992" s="70"/>
      <c r="E992" s="70"/>
      <c r="F992" s="70"/>
      <c r="G992" s="70"/>
      <c r="H992" s="54"/>
      <c r="I992" s="70"/>
      <c r="J992" s="70"/>
      <c r="K992" s="70"/>
      <c r="L992" s="70"/>
      <c r="M992" s="70"/>
      <c r="N992" s="70"/>
      <c r="O992" s="70"/>
      <c r="P992" s="70"/>
      <c r="Q992" s="70"/>
      <c r="R992" s="70"/>
      <c r="S992" s="70"/>
      <c r="T992" s="70"/>
      <c r="U992" s="70"/>
      <c r="V992" s="70"/>
      <c r="W992" s="70"/>
      <c r="X992" s="70"/>
      <c r="Y992" s="70"/>
      <c r="Z992" s="70"/>
      <c r="AA992" s="70"/>
      <c r="AB992" s="70"/>
      <c r="AC992" s="70"/>
      <c r="AD992" s="70"/>
      <c r="AE992" s="70"/>
      <c r="AF992" s="70"/>
      <c r="AG992" s="70"/>
      <c r="AH992" s="70"/>
      <c r="AI992" s="70"/>
      <c r="AJ992" s="70"/>
      <c r="AK992" s="70"/>
      <c r="AL992" s="70"/>
      <c r="AM992" s="70"/>
      <c r="AN992" s="70"/>
      <c r="AO992" s="70"/>
      <c r="AP992" s="70"/>
      <c r="AQ992" s="70"/>
      <c r="AR992" s="70"/>
      <c r="AS992" s="70"/>
      <c r="AT992" s="70"/>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outlinePr summaryBelow="0" summaryRight="0"/>
  </sheetPr>
  <dimension ref="A2:C4"/>
  <sheetViews>
    <sheetView workbookViewId="0"/>
  </sheetViews>
  <sheetFormatPr defaultColWidth="12.6640625" defaultRowHeight="15.75" customHeight="1"/>
  <sheetData>
    <row r="2" spans="1:3">
      <c r="A2" s="13" t="s">
        <v>1710</v>
      </c>
      <c r="B2" s="13" t="s">
        <v>2703</v>
      </c>
      <c r="C2" s="13" t="s">
        <v>2704</v>
      </c>
    </row>
    <row r="3" spans="1:3">
      <c r="A3" s="13" t="s">
        <v>1828</v>
      </c>
      <c r="B3" s="13" t="s">
        <v>2705</v>
      </c>
      <c r="C3" s="13" t="s">
        <v>2706</v>
      </c>
    </row>
    <row r="4" spans="1:3">
      <c r="A4" s="13" t="s">
        <v>1835</v>
      </c>
      <c r="B4" s="13" t="s">
        <v>2707</v>
      </c>
      <c r="C4" s="13" t="s">
        <v>2706</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outlinePr summaryBelow="0" summaryRight="0"/>
  </sheetPr>
  <dimension ref="A1:K1000"/>
  <sheetViews>
    <sheetView workbookViewId="0"/>
  </sheetViews>
  <sheetFormatPr defaultColWidth="12.6640625" defaultRowHeight="15.75" customHeight="1"/>
  <cols>
    <col min="1" max="1" width="20.6640625" customWidth="1"/>
    <col min="3" max="3" width="33.6640625" customWidth="1"/>
    <col min="5" max="5" width="17.33203125" customWidth="1"/>
    <col min="6" max="6" width="24.109375" customWidth="1"/>
  </cols>
  <sheetData>
    <row r="1" spans="1:11" ht="15.75" customHeight="1">
      <c r="A1" s="146" t="s">
        <v>2708</v>
      </c>
      <c r="B1" s="146" t="s">
        <v>2709</v>
      </c>
      <c r="C1" s="146" t="s">
        <v>2710</v>
      </c>
      <c r="D1" s="146" t="s">
        <v>2711</v>
      </c>
      <c r="E1" s="146" t="s">
        <v>2712</v>
      </c>
      <c r="F1" s="146" t="s">
        <v>2713</v>
      </c>
      <c r="I1" s="13" t="s">
        <v>2714</v>
      </c>
    </row>
    <row r="2" spans="1:11" ht="26.4">
      <c r="A2" s="147" t="s">
        <v>1027</v>
      </c>
      <c r="B2" s="147" t="s">
        <v>2715</v>
      </c>
      <c r="C2" s="147" t="s">
        <v>2716</v>
      </c>
      <c r="D2" s="147" t="s">
        <v>2717</v>
      </c>
      <c r="E2" s="147" t="s">
        <v>2718</v>
      </c>
      <c r="F2" s="148"/>
      <c r="I2" s="13" t="s">
        <v>1510</v>
      </c>
      <c r="J2" s="13" t="s">
        <v>1948</v>
      </c>
      <c r="K2" s="13" t="s">
        <v>2719</v>
      </c>
    </row>
    <row r="3" spans="1:11" ht="27.6">
      <c r="A3" s="149" t="s">
        <v>1239</v>
      </c>
      <c r="B3" s="149" t="s">
        <v>1246</v>
      </c>
      <c r="C3" s="149" t="s">
        <v>1247</v>
      </c>
      <c r="D3" s="148"/>
      <c r="E3" s="148"/>
      <c r="F3" s="162" t="s">
        <v>2720</v>
      </c>
      <c r="J3" s="13" t="s">
        <v>1946</v>
      </c>
    </row>
    <row r="4" spans="1:11" ht="27.6">
      <c r="A4" s="149" t="s">
        <v>1239</v>
      </c>
      <c r="B4" s="149" t="s">
        <v>1248</v>
      </c>
      <c r="C4" s="149" t="s">
        <v>1249</v>
      </c>
      <c r="D4" s="148"/>
      <c r="E4" s="148"/>
      <c r="F4" s="163"/>
      <c r="J4" s="13" t="s">
        <v>2125</v>
      </c>
    </row>
    <row r="5" spans="1:11" ht="13.8">
      <c r="A5" s="149" t="s">
        <v>1094</v>
      </c>
      <c r="B5" s="147" t="s">
        <v>2721</v>
      </c>
      <c r="C5" s="147" t="s">
        <v>2722</v>
      </c>
      <c r="D5" s="147" t="s">
        <v>2717</v>
      </c>
      <c r="E5" s="147" t="s">
        <v>2718</v>
      </c>
      <c r="F5" s="148"/>
      <c r="J5" s="13" t="s">
        <v>2129</v>
      </c>
    </row>
    <row r="6" spans="1:11" ht="26.4">
      <c r="A6" s="147" t="s">
        <v>1061</v>
      </c>
      <c r="B6" s="147" t="s">
        <v>2723</v>
      </c>
      <c r="C6" s="147" t="s">
        <v>2724</v>
      </c>
      <c r="D6" s="147" t="s">
        <v>2717</v>
      </c>
      <c r="E6" s="147" t="s">
        <v>2718</v>
      </c>
      <c r="F6" s="148"/>
      <c r="J6" s="13" t="s">
        <v>2135</v>
      </c>
    </row>
    <row r="7" spans="1:11" ht="26.4">
      <c r="A7" s="147" t="s">
        <v>1302</v>
      </c>
      <c r="B7" s="147" t="s">
        <v>2725</v>
      </c>
      <c r="C7" s="147" t="s">
        <v>2726</v>
      </c>
      <c r="D7" s="147" t="s">
        <v>2717</v>
      </c>
      <c r="E7" s="147" t="s">
        <v>2718</v>
      </c>
      <c r="F7" s="148"/>
      <c r="J7" s="13" t="s">
        <v>2159</v>
      </c>
    </row>
    <row r="8" spans="1:11" ht="26.4">
      <c r="A8" s="147" t="s">
        <v>1302</v>
      </c>
      <c r="B8" s="147" t="s">
        <v>2727</v>
      </c>
      <c r="C8" s="147" t="s">
        <v>2728</v>
      </c>
      <c r="D8" s="147" t="s">
        <v>2717</v>
      </c>
      <c r="E8" s="147" t="s">
        <v>2718</v>
      </c>
      <c r="F8" s="148"/>
    </row>
    <row r="9" spans="1:11" ht="26.4">
      <c r="A9" s="147" t="s">
        <v>1302</v>
      </c>
      <c r="B9" s="147" t="s">
        <v>2729</v>
      </c>
      <c r="C9" s="147" t="s">
        <v>2730</v>
      </c>
      <c r="D9" s="147" t="s">
        <v>2717</v>
      </c>
      <c r="E9" s="147" t="s">
        <v>2718</v>
      </c>
      <c r="F9" s="148"/>
      <c r="I9" s="13" t="s">
        <v>1406</v>
      </c>
      <c r="J9" s="13" t="s">
        <v>2731</v>
      </c>
      <c r="K9" s="13" t="s">
        <v>2732</v>
      </c>
    </row>
    <row r="10" spans="1:11" ht="26.4">
      <c r="A10" s="147" t="s">
        <v>1302</v>
      </c>
      <c r="B10" s="147" t="s">
        <v>2733</v>
      </c>
      <c r="C10" s="147" t="s">
        <v>2734</v>
      </c>
      <c r="D10" s="147" t="s">
        <v>2717</v>
      </c>
      <c r="E10" s="147" t="s">
        <v>2718</v>
      </c>
      <c r="F10" s="148"/>
      <c r="J10" s="13" t="s">
        <v>1710</v>
      </c>
      <c r="K10" s="13" t="s">
        <v>2735</v>
      </c>
    </row>
    <row r="11" spans="1:11" ht="26.4">
      <c r="A11" s="147" t="s">
        <v>1302</v>
      </c>
      <c r="B11" s="147" t="s">
        <v>2736</v>
      </c>
      <c r="C11" s="147" t="s">
        <v>2737</v>
      </c>
      <c r="D11" s="147" t="s">
        <v>2717</v>
      </c>
      <c r="E11" s="147" t="s">
        <v>2718</v>
      </c>
      <c r="F11" s="148"/>
    </row>
    <row r="12" spans="1:11" ht="26.4">
      <c r="A12" s="147" t="s">
        <v>1302</v>
      </c>
      <c r="B12" s="147" t="s">
        <v>2738</v>
      </c>
      <c r="C12" s="147" t="s">
        <v>2739</v>
      </c>
      <c r="D12" s="147" t="s">
        <v>2717</v>
      </c>
      <c r="E12" s="147" t="s">
        <v>2718</v>
      </c>
      <c r="F12" s="148"/>
    </row>
    <row r="13" spans="1:11" ht="26.4">
      <c r="A13" s="147" t="s">
        <v>1332</v>
      </c>
      <c r="B13" s="147" t="s">
        <v>2740</v>
      </c>
      <c r="C13" s="147" t="s">
        <v>2741</v>
      </c>
      <c r="D13" s="147" t="s">
        <v>2717</v>
      </c>
      <c r="E13" s="147" t="s">
        <v>2718</v>
      </c>
      <c r="F13" s="148"/>
      <c r="I13" s="13" t="s">
        <v>1441</v>
      </c>
      <c r="J13" s="13" t="s">
        <v>2742</v>
      </c>
      <c r="K13" s="13" t="s">
        <v>2743</v>
      </c>
    </row>
    <row r="14" spans="1:11" ht="26.4">
      <c r="A14" s="147" t="s">
        <v>1332</v>
      </c>
      <c r="B14" s="147" t="s">
        <v>2744</v>
      </c>
      <c r="C14" s="147" t="s">
        <v>2745</v>
      </c>
      <c r="D14" s="147" t="s">
        <v>2717</v>
      </c>
      <c r="E14" s="147" t="s">
        <v>2718</v>
      </c>
      <c r="F14" s="148"/>
    </row>
    <row r="15" spans="1:11" ht="52.8">
      <c r="A15" s="147" t="s">
        <v>1162</v>
      </c>
      <c r="B15" s="147" t="s">
        <v>2746</v>
      </c>
      <c r="C15" s="147" t="s">
        <v>2747</v>
      </c>
      <c r="D15" s="147" t="s">
        <v>2717</v>
      </c>
      <c r="E15" s="147" t="s">
        <v>2718</v>
      </c>
      <c r="F15" s="148"/>
    </row>
    <row r="16" spans="1:11" ht="26.4">
      <c r="A16" s="147" t="s">
        <v>1162</v>
      </c>
      <c r="B16" s="147" t="s">
        <v>2748</v>
      </c>
      <c r="C16" s="147" t="s">
        <v>2749</v>
      </c>
      <c r="D16" s="147" t="s">
        <v>2717</v>
      </c>
      <c r="E16" s="147" t="s">
        <v>2718</v>
      </c>
      <c r="F16" s="148"/>
    </row>
    <row r="17" spans="1:6" ht="26.4">
      <c r="A17" s="147" t="s">
        <v>1162</v>
      </c>
      <c r="B17" s="147" t="s">
        <v>2750</v>
      </c>
      <c r="C17" s="147" t="s">
        <v>2751</v>
      </c>
      <c r="D17" s="147" t="s">
        <v>2717</v>
      </c>
      <c r="E17" s="147" t="s">
        <v>2718</v>
      </c>
      <c r="F17" s="148"/>
    </row>
    <row r="18" spans="1:6" ht="26.4">
      <c r="A18" s="147" t="s">
        <v>1162</v>
      </c>
      <c r="B18" s="147" t="s">
        <v>2752</v>
      </c>
      <c r="C18" s="147" t="s">
        <v>2753</v>
      </c>
      <c r="D18" s="147" t="s">
        <v>2717</v>
      </c>
      <c r="E18" s="147" t="s">
        <v>2718</v>
      </c>
      <c r="F18" s="148"/>
    </row>
    <row r="19" spans="1:6" ht="26.4">
      <c r="A19" s="147" t="s">
        <v>1162</v>
      </c>
      <c r="B19" s="147" t="s">
        <v>2754</v>
      </c>
      <c r="C19" s="147" t="s">
        <v>2755</v>
      </c>
      <c r="D19" s="147" t="s">
        <v>2717</v>
      </c>
      <c r="E19" s="147" t="s">
        <v>2718</v>
      </c>
      <c r="F19" s="148"/>
    </row>
    <row r="20" spans="1:6" ht="13.2">
      <c r="A20" s="70"/>
      <c r="B20" s="70"/>
      <c r="C20" s="70"/>
      <c r="D20" s="70"/>
      <c r="E20" s="70"/>
      <c r="F20" s="70"/>
    </row>
    <row r="21" spans="1:6" ht="13.2">
      <c r="A21" s="70"/>
      <c r="B21" s="70"/>
      <c r="C21" s="70"/>
      <c r="D21" s="70"/>
      <c r="E21" s="70"/>
      <c r="F21" s="70"/>
    </row>
    <row r="22" spans="1:6" ht="13.2">
      <c r="A22" s="70"/>
      <c r="B22" s="70"/>
      <c r="C22" s="70"/>
      <c r="D22" s="70"/>
      <c r="E22" s="70"/>
      <c r="F22" s="70"/>
    </row>
    <row r="23" spans="1:6" ht="13.2">
      <c r="A23" s="70"/>
      <c r="B23" s="70"/>
      <c r="C23" s="70"/>
      <c r="D23" s="70"/>
      <c r="E23" s="70"/>
      <c r="F23" s="70"/>
    </row>
    <row r="24" spans="1:6" ht="13.2">
      <c r="A24" s="70"/>
      <c r="B24" s="70"/>
      <c r="C24" s="70"/>
      <c r="D24" s="70"/>
      <c r="E24" s="70"/>
      <c r="F24" s="70"/>
    </row>
    <row r="25" spans="1:6" ht="13.2">
      <c r="A25" s="70"/>
      <c r="B25" s="70"/>
      <c r="C25" s="70"/>
      <c r="D25" s="70"/>
      <c r="E25" s="70"/>
      <c r="F25" s="70"/>
    </row>
    <row r="26" spans="1:6" ht="13.2">
      <c r="A26" s="70"/>
      <c r="B26" s="70"/>
      <c r="C26" s="70"/>
      <c r="D26" s="70"/>
      <c r="E26" s="70"/>
      <c r="F26" s="70"/>
    </row>
    <row r="27" spans="1:6" ht="13.2">
      <c r="A27" s="70"/>
      <c r="B27" s="70"/>
      <c r="C27" s="70"/>
      <c r="D27" s="70"/>
      <c r="E27" s="70"/>
      <c r="F27" s="70"/>
    </row>
    <row r="28" spans="1:6" ht="13.2">
      <c r="A28" s="70"/>
      <c r="B28" s="70"/>
      <c r="C28" s="70"/>
      <c r="D28" s="70"/>
      <c r="E28" s="70"/>
      <c r="F28" s="70"/>
    </row>
    <row r="29" spans="1:6" ht="13.2">
      <c r="A29" s="70"/>
      <c r="B29" s="70"/>
      <c r="C29" s="70"/>
      <c r="D29" s="70"/>
      <c r="E29" s="70"/>
      <c r="F29" s="70"/>
    </row>
    <row r="30" spans="1:6" ht="13.2">
      <c r="A30" s="70"/>
      <c r="B30" s="70"/>
      <c r="C30" s="70"/>
      <c r="D30" s="70"/>
      <c r="E30" s="70"/>
      <c r="F30" s="70"/>
    </row>
    <row r="31" spans="1:6" ht="13.2">
      <c r="A31" s="70"/>
      <c r="B31" s="70"/>
      <c r="C31" s="70"/>
      <c r="D31" s="70"/>
      <c r="E31" s="70"/>
      <c r="F31" s="70"/>
    </row>
    <row r="32" spans="1:6" ht="13.2">
      <c r="A32" s="70"/>
      <c r="B32" s="70"/>
      <c r="C32" s="70"/>
      <c r="D32" s="70"/>
      <c r="E32" s="70"/>
      <c r="F32" s="70"/>
    </row>
    <row r="33" spans="1:6" ht="13.2">
      <c r="A33" s="70"/>
      <c r="B33" s="70"/>
      <c r="C33" s="70"/>
      <c r="D33" s="70"/>
      <c r="E33" s="70"/>
      <c r="F33" s="70"/>
    </row>
    <row r="34" spans="1:6" ht="13.2">
      <c r="A34" s="70"/>
      <c r="B34" s="70"/>
      <c r="C34" s="70"/>
      <c r="D34" s="70"/>
      <c r="E34" s="70"/>
      <c r="F34" s="70"/>
    </row>
    <row r="35" spans="1:6" ht="13.2">
      <c r="A35" s="70"/>
      <c r="B35" s="70"/>
      <c r="C35" s="70"/>
      <c r="D35" s="70"/>
      <c r="E35" s="70"/>
      <c r="F35" s="70"/>
    </row>
    <row r="36" spans="1:6" ht="13.2">
      <c r="A36" s="70"/>
      <c r="B36" s="70"/>
      <c r="C36" s="70"/>
      <c r="D36" s="70"/>
      <c r="E36" s="70"/>
      <c r="F36" s="70"/>
    </row>
    <row r="37" spans="1:6" ht="13.2">
      <c r="A37" s="70"/>
      <c r="B37" s="70"/>
      <c r="C37" s="70"/>
      <c r="D37" s="70"/>
      <c r="E37" s="70"/>
      <c r="F37" s="70"/>
    </row>
    <row r="38" spans="1:6" ht="13.2">
      <c r="A38" s="70"/>
      <c r="B38" s="70"/>
      <c r="C38" s="70"/>
      <c r="D38" s="70"/>
      <c r="E38" s="70"/>
      <c r="F38" s="70"/>
    </row>
    <row r="39" spans="1:6" ht="13.2">
      <c r="A39" s="70"/>
      <c r="B39" s="70"/>
      <c r="C39" s="70"/>
      <c r="D39" s="70"/>
      <c r="E39" s="70"/>
      <c r="F39" s="70"/>
    </row>
    <row r="40" spans="1:6" ht="13.2">
      <c r="A40" s="70"/>
      <c r="B40" s="70"/>
      <c r="C40" s="70"/>
      <c r="D40" s="70"/>
      <c r="E40" s="70"/>
      <c r="F40" s="70"/>
    </row>
    <row r="41" spans="1:6" ht="13.2">
      <c r="A41" s="70"/>
      <c r="B41" s="70"/>
      <c r="C41" s="70"/>
      <c r="D41" s="70"/>
      <c r="E41" s="70"/>
      <c r="F41" s="70"/>
    </row>
    <row r="42" spans="1:6" ht="13.2">
      <c r="A42" s="70"/>
      <c r="B42" s="70"/>
      <c r="C42" s="70"/>
      <c r="D42" s="70"/>
      <c r="E42" s="70"/>
      <c r="F42" s="70"/>
    </row>
    <row r="43" spans="1:6" ht="13.2">
      <c r="A43" s="70"/>
      <c r="B43" s="70"/>
      <c r="C43" s="70"/>
      <c r="D43" s="70"/>
      <c r="E43" s="70"/>
      <c r="F43" s="70"/>
    </row>
    <row r="44" spans="1:6" ht="13.2">
      <c r="A44" s="70"/>
      <c r="B44" s="70"/>
      <c r="C44" s="70"/>
      <c r="D44" s="70"/>
      <c r="E44" s="70"/>
      <c r="F44" s="70"/>
    </row>
    <row r="45" spans="1:6" ht="13.2">
      <c r="A45" s="70"/>
      <c r="B45" s="70"/>
      <c r="C45" s="70"/>
      <c r="D45" s="70"/>
      <c r="E45" s="70"/>
      <c r="F45" s="70"/>
    </row>
    <row r="46" spans="1:6" ht="13.2">
      <c r="A46" s="70"/>
      <c r="B46" s="70"/>
      <c r="C46" s="70"/>
      <c r="D46" s="70"/>
      <c r="E46" s="70"/>
      <c r="F46" s="70"/>
    </row>
    <row r="47" spans="1:6" ht="13.2">
      <c r="A47" s="70"/>
      <c r="B47" s="70"/>
      <c r="C47" s="70"/>
      <c r="D47" s="70"/>
      <c r="E47" s="70"/>
      <c r="F47" s="70"/>
    </row>
    <row r="48" spans="1:6" ht="13.2">
      <c r="A48" s="70"/>
      <c r="B48" s="70"/>
      <c r="C48" s="70"/>
      <c r="D48" s="70"/>
      <c r="E48" s="70"/>
      <c r="F48" s="70"/>
    </row>
    <row r="49" spans="1:6" ht="13.2">
      <c r="A49" s="70"/>
      <c r="B49" s="70"/>
      <c r="C49" s="70"/>
      <c r="D49" s="70"/>
      <c r="E49" s="70"/>
      <c r="F49" s="70"/>
    </row>
    <row r="50" spans="1:6" ht="13.2">
      <c r="A50" s="70"/>
      <c r="B50" s="70"/>
      <c r="C50" s="70"/>
      <c r="D50" s="70"/>
      <c r="E50" s="70"/>
      <c r="F50" s="70"/>
    </row>
    <row r="51" spans="1:6" ht="13.2">
      <c r="A51" s="70"/>
      <c r="B51" s="70"/>
      <c r="C51" s="70"/>
      <c r="D51" s="70"/>
      <c r="E51" s="70"/>
      <c r="F51" s="70"/>
    </row>
    <row r="52" spans="1:6" ht="13.2">
      <c r="A52" s="70"/>
      <c r="B52" s="70"/>
      <c r="C52" s="70"/>
      <c r="D52" s="70"/>
      <c r="E52" s="70"/>
      <c r="F52" s="70"/>
    </row>
    <row r="53" spans="1:6" ht="13.2">
      <c r="A53" s="70"/>
      <c r="B53" s="70"/>
      <c r="C53" s="70"/>
      <c r="D53" s="70"/>
      <c r="E53" s="70"/>
      <c r="F53" s="70"/>
    </row>
    <row r="54" spans="1:6" ht="13.2">
      <c r="A54" s="70"/>
      <c r="B54" s="70"/>
      <c r="C54" s="70"/>
      <c r="D54" s="70"/>
      <c r="E54" s="70"/>
      <c r="F54" s="70"/>
    </row>
    <row r="55" spans="1:6" ht="13.2">
      <c r="A55" s="70"/>
      <c r="B55" s="70"/>
      <c r="C55" s="70"/>
      <c r="D55" s="70"/>
      <c r="E55" s="70"/>
      <c r="F55" s="70"/>
    </row>
    <row r="56" spans="1:6" ht="13.2">
      <c r="A56" s="70"/>
      <c r="B56" s="70"/>
      <c r="C56" s="70"/>
      <c r="D56" s="70"/>
      <c r="E56" s="70"/>
      <c r="F56" s="70"/>
    </row>
    <row r="57" spans="1:6" ht="13.2">
      <c r="A57" s="70"/>
      <c r="B57" s="70"/>
      <c r="C57" s="70"/>
      <c r="D57" s="70"/>
      <c r="E57" s="70"/>
      <c r="F57" s="70"/>
    </row>
    <row r="58" spans="1:6" ht="13.2">
      <c r="A58" s="70"/>
      <c r="B58" s="70"/>
      <c r="C58" s="70"/>
      <c r="D58" s="70"/>
      <c r="E58" s="70"/>
      <c r="F58" s="70"/>
    </row>
    <row r="59" spans="1:6" ht="13.2">
      <c r="A59" s="70"/>
      <c r="B59" s="70"/>
      <c r="C59" s="70"/>
      <c r="D59" s="70"/>
      <c r="E59" s="70"/>
      <c r="F59" s="70"/>
    </row>
    <row r="60" spans="1:6" ht="13.2">
      <c r="A60" s="70"/>
      <c r="B60" s="70"/>
      <c r="C60" s="70"/>
      <c r="D60" s="70"/>
      <c r="E60" s="70"/>
      <c r="F60" s="70"/>
    </row>
    <row r="61" spans="1:6" ht="13.2">
      <c r="A61" s="70"/>
      <c r="B61" s="70"/>
      <c r="C61" s="70"/>
      <c r="D61" s="70"/>
      <c r="E61" s="70"/>
      <c r="F61" s="70"/>
    </row>
    <row r="62" spans="1:6" ht="13.2">
      <c r="A62" s="70"/>
      <c r="B62" s="70"/>
      <c r="C62" s="70"/>
      <c r="D62" s="70"/>
      <c r="E62" s="70"/>
      <c r="F62" s="70"/>
    </row>
    <row r="63" spans="1:6" ht="13.2">
      <c r="A63" s="70"/>
      <c r="B63" s="70"/>
      <c r="C63" s="70"/>
      <c r="D63" s="70"/>
      <c r="E63" s="70"/>
      <c r="F63" s="70"/>
    </row>
    <row r="64" spans="1:6" ht="13.2">
      <c r="A64" s="70"/>
      <c r="B64" s="70"/>
      <c r="C64" s="70"/>
      <c r="D64" s="70"/>
      <c r="E64" s="70"/>
      <c r="F64" s="70"/>
    </row>
    <row r="65" spans="1:6" ht="13.2">
      <c r="A65" s="70"/>
      <c r="B65" s="70"/>
      <c r="C65" s="70"/>
      <c r="D65" s="70"/>
      <c r="E65" s="70"/>
      <c r="F65" s="70"/>
    </row>
    <row r="66" spans="1:6" ht="13.2">
      <c r="A66" s="70"/>
      <c r="B66" s="70"/>
      <c r="C66" s="70"/>
      <c r="D66" s="70"/>
      <c r="E66" s="70"/>
      <c r="F66" s="70"/>
    </row>
    <row r="67" spans="1:6" ht="13.2">
      <c r="A67" s="70"/>
      <c r="B67" s="70"/>
      <c r="C67" s="70"/>
      <c r="D67" s="70"/>
      <c r="E67" s="70"/>
      <c r="F67" s="70"/>
    </row>
    <row r="68" spans="1:6" ht="13.2">
      <c r="A68" s="70"/>
      <c r="B68" s="70"/>
      <c r="C68" s="70"/>
      <c r="D68" s="70"/>
      <c r="E68" s="70"/>
      <c r="F68" s="70"/>
    </row>
    <row r="69" spans="1:6" ht="13.2">
      <c r="A69" s="70"/>
      <c r="B69" s="70"/>
      <c r="C69" s="70"/>
      <c r="D69" s="70"/>
      <c r="E69" s="70"/>
      <c r="F69" s="70"/>
    </row>
    <row r="70" spans="1:6" ht="13.2">
      <c r="A70" s="70"/>
      <c r="B70" s="70"/>
      <c r="C70" s="70"/>
      <c r="D70" s="70"/>
      <c r="E70" s="70"/>
      <c r="F70" s="70"/>
    </row>
    <row r="71" spans="1:6" ht="13.2">
      <c r="A71" s="70"/>
      <c r="B71" s="70"/>
      <c r="C71" s="70"/>
      <c r="D71" s="70"/>
      <c r="E71" s="70"/>
      <c r="F71" s="70"/>
    </row>
    <row r="72" spans="1:6" ht="13.2">
      <c r="A72" s="70"/>
      <c r="B72" s="70"/>
      <c r="C72" s="70"/>
      <c r="D72" s="70"/>
      <c r="E72" s="70"/>
      <c r="F72" s="70"/>
    </row>
    <row r="73" spans="1:6" ht="13.2">
      <c r="A73" s="70"/>
      <c r="B73" s="70"/>
      <c r="C73" s="70"/>
      <c r="D73" s="70"/>
      <c r="E73" s="70"/>
      <c r="F73" s="70"/>
    </row>
    <row r="74" spans="1:6" ht="13.2">
      <c r="A74" s="70"/>
      <c r="B74" s="70"/>
      <c r="C74" s="70"/>
      <c r="D74" s="70"/>
      <c r="E74" s="70"/>
      <c r="F74" s="70"/>
    </row>
    <row r="75" spans="1:6" ht="13.2">
      <c r="A75" s="70"/>
      <c r="B75" s="70"/>
      <c r="C75" s="70"/>
      <c r="D75" s="70"/>
      <c r="E75" s="70"/>
      <c r="F75" s="70"/>
    </row>
    <row r="76" spans="1:6" ht="13.2">
      <c r="A76" s="70"/>
      <c r="B76" s="70"/>
      <c r="C76" s="70"/>
      <c r="D76" s="70"/>
      <c r="E76" s="70"/>
      <c r="F76" s="70"/>
    </row>
    <row r="77" spans="1:6" ht="13.2">
      <c r="A77" s="70"/>
      <c r="B77" s="70"/>
      <c r="C77" s="70"/>
      <c r="D77" s="70"/>
      <c r="E77" s="70"/>
      <c r="F77" s="70"/>
    </row>
    <row r="78" spans="1:6" ht="13.2">
      <c r="A78" s="70"/>
      <c r="B78" s="70"/>
      <c r="C78" s="70"/>
      <c r="D78" s="70"/>
      <c r="E78" s="70"/>
      <c r="F78" s="70"/>
    </row>
    <row r="79" spans="1:6" ht="13.2">
      <c r="A79" s="70"/>
      <c r="B79" s="70"/>
      <c r="C79" s="70"/>
      <c r="D79" s="70"/>
      <c r="E79" s="70"/>
      <c r="F79" s="70"/>
    </row>
    <row r="80" spans="1:6" ht="13.2">
      <c r="A80" s="70"/>
      <c r="B80" s="70"/>
      <c r="C80" s="70"/>
      <c r="D80" s="70"/>
      <c r="E80" s="70"/>
      <c r="F80" s="70"/>
    </row>
    <row r="81" spans="1:6" ht="13.2">
      <c r="A81" s="70"/>
      <c r="B81" s="70"/>
      <c r="C81" s="70"/>
      <c r="D81" s="70"/>
      <c r="E81" s="70"/>
      <c r="F81" s="70"/>
    </row>
    <row r="82" spans="1:6" ht="13.2">
      <c r="A82" s="70"/>
      <c r="B82" s="70"/>
      <c r="C82" s="70"/>
      <c r="D82" s="70"/>
      <c r="E82" s="70"/>
      <c r="F82" s="70"/>
    </row>
    <row r="83" spans="1:6" ht="13.2">
      <c r="A83" s="70"/>
      <c r="B83" s="70"/>
      <c r="C83" s="70"/>
      <c r="D83" s="70"/>
      <c r="E83" s="70"/>
      <c r="F83" s="70"/>
    </row>
    <row r="84" spans="1:6" ht="13.2">
      <c r="A84" s="70"/>
      <c r="B84" s="70"/>
      <c r="C84" s="70"/>
      <c r="D84" s="70"/>
      <c r="E84" s="70"/>
      <c r="F84" s="70"/>
    </row>
    <row r="85" spans="1:6" ht="13.2">
      <c r="A85" s="70"/>
      <c r="B85" s="70"/>
      <c r="C85" s="70"/>
      <c r="D85" s="70"/>
      <c r="E85" s="70"/>
      <c r="F85" s="70"/>
    </row>
    <row r="86" spans="1:6" ht="13.2">
      <c r="A86" s="70"/>
      <c r="B86" s="70"/>
      <c r="C86" s="70"/>
      <c r="D86" s="70"/>
      <c r="E86" s="70"/>
      <c r="F86" s="70"/>
    </row>
    <row r="87" spans="1:6" ht="13.2">
      <c r="A87" s="70"/>
      <c r="B87" s="70"/>
      <c r="C87" s="70"/>
      <c r="D87" s="70"/>
      <c r="E87" s="70"/>
      <c r="F87" s="70"/>
    </row>
    <row r="88" spans="1:6" ht="13.2">
      <c r="A88" s="70"/>
      <c r="B88" s="70"/>
      <c r="C88" s="70"/>
      <c r="D88" s="70"/>
      <c r="E88" s="70"/>
      <c r="F88" s="70"/>
    </row>
    <row r="89" spans="1:6" ht="13.2">
      <c r="A89" s="70"/>
      <c r="B89" s="70"/>
      <c r="C89" s="70"/>
      <c r="D89" s="70"/>
      <c r="E89" s="70"/>
      <c r="F89" s="70"/>
    </row>
    <row r="90" spans="1:6" ht="13.2">
      <c r="A90" s="70"/>
      <c r="B90" s="70"/>
      <c r="C90" s="70"/>
      <c r="D90" s="70"/>
      <c r="E90" s="70"/>
      <c r="F90" s="70"/>
    </row>
    <row r="91" spans="1:6" ht="13.2">
      <c r="A91" s="70"/>
      <c r="B91" s="70"/>
      <c r="C91" s="70"/>
      <c r="D91" s="70"/>
      <c r="E91" s="70"/>
      <c r="F91" s="70"/>
    </row>
    <row r="92" spans="1:6" ht="13.2">
      <c r="A92" s="70"/>
      <c r="B92" s="70"/>
      <c r="C92" s="70"/>
      <c r="D92" s="70"/>
      <c r="E92" s="70"/>
      <c r="F92" s="70"/>
    </row>
    <row r="93" spans="1:6" ht="13.2">
      <c r="A93" s="70"/>
      <c r="B93" s="70"/>
      <c r="C93" s="70"/>
      <c r="D93" s="70"/>
      <c r="E93" s="70"/>
      <c r="F93" s="70"/>
    </row>
    <row r="94" spans="1:6" ht="13.2">
      <c r="A94" s="70"/>
      <c r="B94" s="70"/>
      <c r="C94" s="70"/>
      <c r="D94" s="70"/>
      <c r="E94" s="70"/>
      <c r="F94" s="70"/>
    </row>
    <row r="95" spans="1:6" ht="13.2">
      <c r="A95" s="70"/>
      <c r="B95" s="70"/>
      <c r="C95" s="70"/>
      <c r="D95" s="70"/>
      <c r="E95" s="70"/>
      <c r="F95" s="70"/>
    </row>
    <row r="96" spans="1:6" ht="13.2">
      <c r="A96" s="70"/>
      <c r="B96" s="70"/>
      <c r="C96" s="70"/>
      <c r="D96" s="70"/>
      <c r="E96" s="70"/>
      <c r="F96" s="70"/>
    </row>
    <row r="97" spans="1:6" ht="13.2">
      <c r="A97" s="70"/>
      <c r="B97" s="70"/>
      <c r="C97" s="70"/>
      <c r="D97" s="70"/>
      <c r="E97" s="70"/>
      <c r="F97" s="70"/>
    </row>
    <row r="98" spans="1:6" ht="13.2">
      <c r="A98" s="70"/>
      <c r="B98" s="70"/>
      <c r="C98" s="70"/>
      <c r="D98" s="70"/>
      <c r="E98" s="70"/>
      <c r="F98" s="70"/>
    </row>
    <row r="99" spans="1:6" ht="13.2">
      <c r="A99" s="70"/>
      <c r="B99" s="70"/>
      <c r="C99" s="70"/>
      <c r="D99" s="70"/>
      <c r="E99" s="70"/>
      <c r="F99" s="70"/>
    </row>
    <row r="100" spans="1:6" ht="13.2">
      <c r="A100" s="70"/>
      <c r="B100" s="70"/>
      <c r="C100" s="70"/>
      <c r="D100" s="70"/>
      <c r="E100" s="70"/>
      <c r="F100" s="70"/>
    </row>
    <row r="101" spans="1:6" ht="13.2">
      <c r="A101" s="70"/>
      <c r="B101" s="70"/>
      <c r="C101" s="70"/>
      <c r="D101" s="70"/>
      <c r="E101" s="70"/>
      <c r="F101" s="70"/>
    </row>
    <row r="102" spans="1:6" ht="13.2">
      <c r="A102" s="70"/>
      <c r="B102" s="70"/>
      <c r="C102" s="70"/>
      <c r="D102" s="70"/>
      <c r="E102" s="70"/>
      <c r="F102" s="70"/>
    </row>
    <row r="103" spans="1:6" ht="13.2">
      <c r="A103" s="70"/>
      <c r="B103" s="70"/>
      <c r="C103" s="70"/>
      <c r="D103" s="70"/>
      <c r="E103" s="70"/>
      <c r="F103" s="70"/>
    </row>
    <row r="104" spans="1:6" ht="13.2">
      <c r="A104" s="70"/>
      <c r="B104" s="70"/>
      <c r="C104" s="70"/>
      <c r="D104" s="70"/>
      <c r="E104" s="70"/>
      <c r="F104" s="70"/>
    </row>
    <row r="105" spans="1:6" ht="13.2">
      <c r="A105" s="70"/>
      <c r="B105" s="70"/>
      <c r="C105" s="70"/>
      <c r="D105" s="70"/>
      <c r="E105" s="70"/>
      <c r="F105" s="70"/>
    </row>
    <row r="106" spans="1:6" ht="13.2">
      <c r="A106" s="70"/>
      <c r="B106" s="70"/>
      <c r="C106" s="70"/>
      <c r="D106" s="70"/>
      <c r="E106" s="70"/>
      <c r="F106" s="70"/>
    </row>
    <row r="107" spans="1:6" ht="13.2">
      <c r="A107" s="70"/>
      <c r="B107" s="70"/>
      <c r="C107" s="70"/>
      <c r="D107" s="70"/>
      <c r="E107" s="70"/>
      <c r="F107" s="70"/>
    </row>
    <row r="108" spans="1:6" ht="13.2">
      <c r="A108" s="70"/>
      <c r="B108" s="70"/>
      <c r="C108" s="70"/>
      <c r="D108" s="70"/>
      <c r="E108" s="70"/>
      <c r="F108" s="70"/>
    </row>
    <row r="109" spans="1:6" ht="13.2">
      <c r="A109" s="70"/>
      <c r="B109" s="70"/>
      <c r="C109" s="70"/>
      <c r="D109" s="70"/>
      <c r="E109" s="70"/>
      <c r="F109" s="70"/>
    </row>
    <row r="110" spans="1:6" ht="13.2">
      <c r="A110" s="70"/>
      <c r="B110" s="70"/>
      <c r="C110" s="70"/>
      <c r="D110" s="70"/>
      <c r="E110" s="70"/>
      <c r="F110" s="70"/>
    </row>
    <row r="111" spans="1:6" ht="13.2">
      <c r="A111" s="70"/>
      <c r="B111" s="70"/>
      <c r="C111" s="70"/>
      <c r="D111" s="70"/>
      <c r="E111" s="70"/>
      <c r="F111" s="70"/>
    </row>
    <row r="112" spans="1:6" ht="13.2">
      <c r="A112" s="70"/>
      <c r="B112" s="70"/>
      <c r="C112" s="70"/>
      <c r="D112" s="70"/>
      <c r="E112" s="70"/>
      <c r="F112" s="70"/>
    </row>
    <row r="113" spans="1:6" ht="13.2">
      <c r="A113" s="70"/>
      <c r="B113" s="70"/>
      <c r="C113" s="70"/>
      <c r="D113" s="70"/>
      <c r="E113" s="70"/>
      <c r="F113" s="70"/>
    </row>
    <row r="114" spans="1:6" ht="13.2">
      <c r="A114" s="70"/>
      <c r="B114" s="70"/>
      <c r="C114" s="70"/>
      <c r="D114" s="70"/>
      <c r="E114" s="70"/>
      <c r="F114" s="70"/>
    </row>
    <row r="115" spans="1:6" ht="13.2">
      <c r="A115" s="70"/>
      <c r="B115" s="70"/>
      <c r="C115" s="70"/>
      <c r="D115" s="70"/>
      <c r="E115" s="70"/>
      <c r="F115" s="70"/>
    </row>
    <row r="116" spans="1:6" ht="13.2">
      <c r="A116" s="70"/>
      <c r="B116" s="70"/>
      <c r="C116" s="70"/>
      <c r="D116" s="70"/>
      <c r="E116" s="70"/>
      <c r="F116" s="70"/>
    </row>
    <row r="117" spans="1:6" ht="13.2">
      <c r="A117" s="70"/>
      <c r="B117" s="70"/>
      <c r="C117" s="70"/>
      <c r="D117" s="70"/>
      <c r="E117" s="70"/>
      <c r="F117" s="70"/>
    </row>
    <row r="118" spans="1:6" ht="13.2">
      <c r="A118" s="70"/>
      <c r="B118" s="70"/>
      <c r="C118" s="70"/>
      <c r="D118" s="70"/>
      <c r="E118" s="70"/>
      <c r="F118" s="70"/>
    </row>
    <row r="119" spans="1:6" ht="13.2">
      <c r="A119" s="70"/>
      <c r="B119" s="70"/>
      <c r="C119" s="70"/>
      <c r="D119" s="70"/>
      <c r="E119" s="70"/>
      <c r="F119" s="70"/>
    </row>
    <row r="120" spans="1:6" ht="13.2">
      <c r="A120" s="70"/>
      <c r="B120" s="70"/>
      <c r="C120" s="70"/>
      <c r="D120" s="70"/>
      <c r="E120" s="70"/>
      <c r="F120" s="70"/>
    </row>
    <row r="121" spans="1:6" ht="13.2">
      <c r="A121" s="70"/>
      <c r="B121" s="70"/>
      <c r="C121" s="70"/>
      <c r="D121" s="70"/>
      <c r="E121" s="70"/>
      <c r="F121" s="70"/>
    </row>
    <row r="122" spans="1:6" ht="13.2">
      <c r="A122" s="70"/>
      <c r="B122" s="70"/>
      <c r="C122" s="70"/>
      <c r="D122" s="70"/>
      <c r="E122" s="70"/>
      <c r="F122" s="70"/>
    </row>
    <row r="123" spans="1:6" ht="13.2">
      <c r="A123" s="70"/>
      <c r="B123" s="70"/>
      <c r="C123" s="70"/>
      <c r="D123" s="70"/>
      <c r="E123" s="70"/>
      <c r="F123" s="70"/>
    </row>
    <row r="124" spans="1:6" ht="13.2">
      <c r="A124" s="70"/>
      <c r="B124" s="70"/>
      <c r="C124" s="70"/>
      <c r="D124" s="70"/>
      <c r="E124" s="70"/>
      <c r="F124" s="70"/>
    </row>
    <row r="125" spans="1:6" ht="13.2">
      <c r="A125" s="70"/>
      <c r="B125" s="70"/>
      <c r="C125" s="70"/>
      <c r="D125" s="70"/>
      <c r="E125" s="70"/>
      <c r="F125" s="70"/>
    </row>
    <row r="126" spans="1:6" ht="13.2">
      <c r="A126" s="70"/>
      <c r="B126" s="70"/>
      <c r="C126" s="70"/>
      <c r="D126" s="70"/>
      <c r="E126" s="70"/>
      <c r="F126" s="70"/>
    </row>
    <row r="127" spans="1:6" ht="13.2">
      <c r="A127" s="70"/>
      <c r="B127" s="70"/>
      <c r="C127" s="70"/>
      <c r="D127" s="70"/>
      <c r="E127" s="70"/>
      <c r="F127" s="70"/>
    </row>
    <row r="128" spans="1:6" ht="13.2">
      <c r="A128" s="70"/>
      <c r="B128" s="70"/>
      <c r="C128" s="70"/>
      <c r="D128" s="70"/>
      <c r="E128" s="70"/>
      <c r="F128" s="70"/>
    </row>
    <row r="129" spans="1:6" ht="13.2">
      <c r="A129" s="70"/>
      <c r="B129" s="70"/>
      <c r="C129" s="70"/>
      <c r="D129" s="70"/>
      <c r="E129" s="70"/>
      <c r="F129" s="70"/>
    </row>
    <row r="130" spans="1:6" ht="13.2">
      <c r="A130" s="70"/>
      <c r="B130" s="70"/>
      <c r="C130" s="70"/>
      <c r="D130" s="70"/>
      <c r="E130" s="70"/>
      <c r="F130" s="70"/>
    </row>
    <row r="131" spans="1:6" ht="13.2">
      <c r="A131" s="70"/>
      <c r="B131" s="70"/>
      <c r="C131" s="70"/>
      <c r="D131" s="70"/>
      <c r="E131" s="70"/>
      <c r="F131" s="70"/>
    </row>
    <row r="132" spans="1:6" ht="13.2">
      <c r="A132" s="70"/>
      <c r="B132" s="70"/>
      <c r="C132" s="70"/>
      <c r="D132" s="70"/>
      <c r="E132" s="70"/>
      <c r="F132" s="70"/>
    </row>
    <row r="133" spans="1:6" ht="13.2">
      <c r="A133" s="70"/>
      <c r="B133" s="70"/>
      <c r="C133" s="70"/>
      <c r="D133" s="70"/>
      <c r="E133" s="70"/>
      <c r="F133" s="70"/>
    </row>
    <row r="134" spans="1:6" ht="13.2">
      <c r="A134" s="70"/>
      <c r="B134" s="70"/>
      <c r="C134" s="70"/>
      <c r="D134" s="70"/>
      <c r="E134" s="70"/>
      <c r="F134" s="70"/>
    </row>
    <row r="135" spans="1:6" ht="13.2">
      <c r="A135" s="70"/>
      <c r="B135" s="70"/>
      <c r="C135" s="70"/>
      <c r="D135" s="70"/>
      <c r="E135" s="70"/>
      <c r="F135" s="70"/>
    </row>
    <row r="136" spans="1:6" ht="13.2">
      <c r="A136" s="70"/>
      <c r="B136" s="70"/>
      <c r="C136" s="70"/>
      <c r="D136" s="70"/>
      <c r="E136" s="70"/>
      <c r="F136" s="70"/>
    </row>
    <row r="137" spans="1:6" ht="13.2">
      <c r="A137" s="70"/>
      <c r="B137" s="70"/>
      <c r="C137" s="70"/>
      <c r="D137" s="70"/>
      <c r="E137" s="70"/>
      <c r="F137" s="70"/>
    </row>
    <row r="138" spans="1:6" ht="13.2">
      <c r="A138" s="70"/>
      <c r="B138" s="70"/>
      <c r="C138" s="70"/>
      <c r="D138" s="70"/>
      <c r="E138" s="70"/>
      <c r="F138" s="70"/>
    </row>
    <row r="139" spans="1:6" ht="13.2">
      <c r="A139" s="70"/>
      <c r="B139" s="70"/>
      <c r="C139" s="70"/>
      <c r="D139" s="70"/>
      <c r="E139" s="70"/>
      <c r="F139" s="70"/>
    </row>
    <row r="140" spans="1:6" ht="13.2">
      <c r="A140" s="70"/>
      <c r="B140" s="70"/>
      <c r="C140" s="70"/>
      <c r="D140" s="70"/>
      <c r="E140" s="70"/>
      <c r="F140" s="70"/>
    </row>
    <row r="141" spans="1:6" ht="13.2">
      <c r="A141" s="70"/>
      <c r="B141" s="70"/>
      <c r="C141" s="70"/>
      <c r="D141" s="70"/>
      <c r="E141" s="70"/>
      <c r="F141" s="70"/>
    </row>
    <row r="142" spans="1:6" ht="13.2">
      <c r="A142" s="70"/>
      <c r="B142" s="70"/>
      <c r="C142" s="70"/>
      <c r="D142" s="70"/>
      <c r="E142" s="70"/>
      <c r="F142" s="70"/>
    </row>
    <row r="143" spans="1:6" ht="13.2">
      <c r="A143" s="70"/>
      <c r="B143" s="70"/>
      <c r="C143" s="70"/>
      <c r="D143" s="70"/>
      <c r="E143" s="70"/>
      <c r="F143" s="70"/>
    </row>
    <row r="144" spans="1:6" ht="13.2">
      <c r="A144" s="70"/>
      <c r="B144" s="70"/>
      <c r="C144" s="70"/>
      <c r="D144" s="70"/>
      <c r="E144" s="70"/>
      <c r="F144" s="70"/>
    </row>
    <row r="145" spans="1:6" ht="13.2">
      <c r="A145" s="70"/>
      <c r="B145" s="70"/>
      <c r="C145" s="70"/>
      <c r="D145" s="70"/>
      <c r="E145" s="70"/>
      <c r="F145" s="70"/>
    </row>
    <row r="146" spans="1:6" ht="13.2">
      <c r="A146" s="70"/>
      <c r="B146" s="70"/>
      <c r="C146" s="70"/>
      <c r="D146" s="70"/>
      <c r="E146" s="70"/>
      <c r="F146" s="70"/>
    </row>
    <row r="147" spans="1:6" ht="13.2">
      <c r="A147" s="70"/>
      <c r="B147" s="70"/>
      <c r="C147" s="70"/>
      <c r="D147" s="70"/>
      <c r="E147" s="70"/>
      <c r="F147" s="70"/>
    </row>
    <row r="148" spans="1:6" ht="13.2">
      <c r="A148" s="70"/>
      <c r="B148" s="70"/>
      <c r="C148" s="70"/>
      <c r="D148" s="70"/>
      <c r="E148" s="70"/>
      <c r="F148" s="70"/>
    </row>
    <row r="149" spans="1:6" ht="13.2">
      <c r="A149" s="70"/>
      <c r="B149" s="70"/>
      <c r="C149" s="70"/>
      <c r="D149" s="70"/>
      <c r="E149" s="70"/>
      <c r="F149" s="70"/>
    </row>
    <row r="150" spans="1:6" ht="13.2">
      <c r="A150" s="70"/>
      <c r="B150" s="70"/>
      <c r="C150" s="70"/>
      <c r="D150" s="70"/>
      <c r="E150" s="70"/>
      <c r="F150" s="70"/>
    </row>
    <row r="151" spans="1:6" ht="13.2">
      <c r="A151" s="70"/>
      <c r="B151" s="70"/>
      <c r="C151" s="70"/>
      <c r="D151" s="70"/>
      <c r="E151" s="70"/>
      <c r="F151" s="70"/>
    </row>
    <row r="152" spans="1:6" ht="13.2">
      <c r="A152" s="70"/>
      <c r="B152" s="70"/>
      <c r="C152" s="70"/>
      <c r="D152" s="70"/>
      <c r="E152" s="70"/>
      <c r="F152" s="70"/>
    </row>
    <row r="153" spans="1:6" ht="13.2">
      <c r="A153" s="70"/>
      <c r="B153" s="70"/>
      <c r="C153" s="70"/>
      <c r="D153" s="70"/>
      <c r="E153" s="70"/>
      <c r="F153" s="70"/>
    </row>
    <row r="154" spans="1:6" ht="13.2">
      <c r="A154" s="70"/>
      <c r="B154" s="70"/>
      <c r="C154" s="70"/>
      <c r="D154" s="70"/>
      <c r="E154" s="70"/>
      <c r="F154" s="70"/>
    </row>
    <row r="155" spans="1:6" ht="13.2">
      <c r="A155" s="70"/>
      <c r="B155" s="70"/>
      <c r="C155" s="70"/>
      <c r="D155" s="70"/>
      <c r="E155" s="70"/>
      <c r="F155" s="70"/>
    </row>
    <row r="156" spans="1:6" ht="13.2">
      <c r="A156" s="70"/>
      <c r="B156" s="70"/>
      <c r="C156" s="70"/>
      <c r="D156" s="70"/>
      <c r="E156" s="70"/>
      <c r="F156" s="70"/>
    </row>
    <row r="157" spans="1:6" ht="13.2">
      <c r="A157" s="70"/>
      <c r="B157" s="70"/>
      <c r="C157" s="70"/>
      <c r="D157" s="70"/>
      <c r="E157" s="70"/>
      <c r="F157" s="70"/>
    </row>
    <row r="158" spans="1:6" ht="13.2">
      <c r="A158" s="70"/>
      <c r="B158" s="70"/>
      <c r="C158" s="70"/>
      <c r="D158" s="70"/>
      <c r="E158" s="70"/>
      <c r="F158" s="70"/>
    </row>
    <row r="159" spans="1:6" ht="13.2">
      <c r="A159" s="70"/>
      <c r="B159" s="70"/>
      <c r="C159" s="70"/>
      <c r="D159" s="70"/>
      <c r="E159" s="70"/>
      <c r="F159" s="70"/>
    </row>
    <row r="160" spans="1:6" ht="13.2">
      <c r="A160" s="70"/>
      <c r="B160" s="70"/>
      <c r="C160" s="70"/>
      <c r="D160" s="70"/>
      <c r="E160" s="70"/>
      <c r="F160" s="70"/>
    </row>
    <row r="161" spans="1:6" ht="13.2">
      <c r="A161" s="70"/>
      <c r="B161" s="70"/>
      <c r="C161" s="70"/>
      <c r="D161" s="70"/>
      <c r="E161" s="70"/>
      <c r="F161" s="70"/>
    </row>
    <row r="162" spans="1:6" ht="13.2">
      <c r="A162" s="70"/>
      <c r="B162" s="70"/>
      <c r="C162" s="70"/>
      <c r="D162" s="70"/>
      <c r="E162" s="70"/>
      <c r="F162" s="70"/>
    </row>
    <row r="163" spans="1:6" ht="13.2">
      <c r="A163" s="70"/>
      <c r="B163" s="70"/>
      <c r="C163" s="70"/>
      <c r="D163" s="70"/>
      <c r="E163" s="70"/>
      <c r="F163" s="70"/>
    </row>
    <row r="164" spans="1:6" ht="13.2">
      <c r="A164" s="70"/>
      <c r="B164" s="70"/>
      <c r="C164" s="70"/>
      <c r="D164" s="70"/>
      <c r="E164" s="70"/>
      <c r="F164" s="70"/>
    </row>
    <row r="165" spans="1:6" ht="13.2">
      <c r="A165" s="70"/>
      <c r="B165" s="70"/>
      <c r="C165" s="70"/>
      <c r="D165" s="70"/>
      <c r="E165" s="70"/>
      <c r="F165" s="70"/>
    </row>
    <row r="166" spans="1:6" ht="13.2">
      <c r="A166" s="70"/>
      <c r="B166" s="70"/>
      <c r="C166" s="70"/>
      <c r="D166" s="70"/>
      <c r="E166" s="70"/>
      <c r="F166" s="70"/>
    </row>
    <row r="167" spans="1:6" ht="13.2">
      <c r="A167" s="70"/>
      <c r="B167" s="70"/>
      <c r="C167" s="70"/>
      <c r="D167" s="70"/>
      <c r="E167" s="70"/>
      <c r="F167" s="70"/>
    </row>
    <row r="168" spans="1:6" ht="13.2">
      <c r="A168" s="70"/>
      <c r="B168" s="70"/>
      <c r="C168" s="70"/>
      <c r="D168" s="70"/>
      <c r="E168" s="70"/>
      <c r="F168" s="70"/>
    </row>
    <row r="169" spans="1:6" ht="13.2">
      <c r="A169" s="70"/>
      <c r="B169" s="70"/>
      <c r="C169" s="70"/>
      <c r="D169" s="70"/>
      <c r="E169" s="70"/>
      <c r="F169" s="70"/>
    </row>
    <row r="170" spans="1:6" ht="13.2">
      <c r="A170" s="70"/>
      <c r="B170" s="70"/>
      <c r="C170" s="70"/>
      <c r="D170" s="70"/>
      <c r="E170" s="70"/>
      <c r="F170" s="70"/>
    </row>
    <row r="171" spans="1:6" ht="13.2">
      <c r="A171" s="70"/>
      <c r="B171" s="70"/>
      <c r="C171" s="70"/>
      <c r="D171" s="70"/>
      <c r="E171" s="70"/>
      <c r="F171" s="70"/>
    </row>
    <row r="172" spans="1:6" ht="13.2">
      <c r="A172" s="70"/>
      <c r="B172" s="70"/>
      <c r="C172" s="70"/>
      <c r="D172" s="70"/>
      <c r="E172" s="70"/>
      <c r="F172" s="70"/>
    </row>
    <row r="173" spans="1:6" ht="13.2">
      <c r="A173" s="70"/>
      <c r="B173" s="70"/>
      <c r="C173" s="70"/>
      <c r="D173" s="70"/>
      <c r="E173" s="70"/>
      <c r="F173" s="70"/>
    </row>
    <row r="174" spans="1:6" ht="13.2">
      <c r="A174" s="70"/>
      <c r="B174" s="70"/>
      <c r="C174" s="70"/>
      <c r="D174" s="70"/>
      <c r="E174" s="70"/>
      <c r="F174" s="70"/>
    </row>
    <row r="175" spans="1:6" ht="13.2">
      <c r="A175" s="70"/>
      <c r="B175" s="70"/>
      <c r="C175" s="70"/>
      <c r="D175" s="70"/>
      <c r="E175" s="70"/>
      <c r="F175" s="70"/>
    </row>
    <row r="176" spans="1:6" ht="13.2">
      <c r="A176" s="70"/>
      <c r="B176" s="70"/>
      <c r="C176" s="70"/>
      <c r="D176" s="70"/>
      <c r="E176" s="70"/>
      <c r="F176" s="70"/>
    </row>
    <row r="177" spans="1:6" ht="13.2">
      <c r="A177" s="70"/>
      <c r="B177" s="70"/>
      <c r="C177" s="70"/>
      <c r="D177" s="70"/>
      <c r="E177" s="70"/>
      <c r="F177" s="70"/>
    </row>
    <row r="178" spans="1:6" ht="13.2">
      <c r="A178" s="70"/>
      <c r="B178" s="70"/>
      <c r="C178" s="70"/>
      <c r="D178" s="70"/>
      <c r="E178" s="70"/>
      <c r="F178" s="70"/>
    </row>
    <row r="179" spans="1:6" ht="13.2">
      <c r="A179" s="70"/>
      <c r="B179" s="70"/>
      <c r="C179" s="70"/>
      <c r="D179" s="70"/>
      <c r="E179" s="70"/>
      <c r="F179" s="70"/>
    </row>
    <row r="180" spans="1:6" ht="13.2">
      <c r="A180" s="70"/>
      <c r="B180" s="70"/>
      <c r="C180" s="70"/>
      <c r="D180" s="70"/>
      <c r="E180" s="70"/>
      <c r="F180" s="70"/>
    </row>
    <row r="181" spans="1:6" ht="13.2">
      <c r="A181" s="70"/>
      <c r="B181" s="70"/>
      <c r="C181" s="70"/>
      <c r="D181" s="70"/>
      <c r="E181" s="70"/>
      <c r="F181" s="70"/>
    </row>
    <row r="182" spans="1:6" ht="13.2">
      <c r="A182" s="70"/>
      <c r="B182" s="70"/>
      <c r="C182" s="70"/>
      <c r="D182" s="70"/>
      <c r="E182" s="70"/>
      <c r="F182" s="70"/>
    </row>
    <row r="183" spans="1:6" ht="13.2">
      <c r="A183" s="70"/>
      <c r="B183" s="70"/>
      <c r="C183" s="70"/>
      <c r="D183" s="70"/>
      <c r="E183" s="70"/>
      <c r="F183" s="70"/>
    </row>
    <row r="184" spans="1:6" ht="13.2">
      <c r="A184" s="70"/>
      <c r="B184" s="70"/>
      <c r="C184" s="70"/>
      <c r="D184" s="70"/>
      <c r="E184" s="70"/>
      <c r="F184" s="70"/>
    </row>
    <row r="185" spans="1:6" ht="13.2">
      <c r="A185" s="70"/>
      <c r="B185" s="70"/>
      <c r="C185" s="70"/>
      <c r="D185" s="70"/>
      <c r="E185" s="70"/>
      <c r="F185" s="70"/>
    </row>
    <row r="186" spans="1:6" ht="13.2">
      <c r="A186" s="70"/>
      <c r="B186" s="70"/>
      <c r="C186" s="70"/>
      <c r="D186" s="70"/>
      <c r="E186" s="70"/>
      <c r="F186" s="70"/>
    </row>
    <row r="187" spans="1:6" ht="13.2">
      <c r="A187" s="70"/>
      <c r="B187" s="70"/>
      <c r="C187" s="70"/>
      <c r="D187" s="70"/>
      <c r="E187" s="70"/>
      <c r="F187" s="70"/>
    </row>
    <row r="188" spans="1:6" ht="13.2">
      <c r="A188" s="70"/>
      <c r="B188" s="70"/>
      <c r="C188" s="70"/>
      <c r="D188" s="70"/>
      <c r="E188" s="70"/>
      <c r="F188" s="70"/>
    </row>
    <row r="189" spans="1:6" ht="13.2">
      <c r="A189" s="70"/>
      <c r="B189" s="70"/>
      <c r="C189" s="70"/>
      <c r="D189" s="70"/>
      <c r="E189" s="70"/>
      <c r="F189" s="70"/>
    </row>
    <row r="190" spans="1:6" ht="13.2">
      <c r="A190" s="70"/>
      <c r="B190" s="70"/>
      <c r="C190" s="70"/>
      <c r="D190" s="70"/>
      <c r="E190" s="70"/>
      <c r="F190" s="70"/>
    </row>
    <row r="191" spans="1:6" ht="13.2">
      <c r="A191" s="70"/>
      <c r="B191" s="70"/>
      <c r="C191" s="70"/>
      <c r="D191" s="70"/>
      <c r="E191" s="70"/>
      <c r="F191" s="70"/>
    </row>
    <row r="192" spans="1:6" ht="13.2">
      <c r="A192" s="70"/>
      <c r="B192" s="70"/>
      <c r="C192" s="70"/>
      <c r="D192" s="70"/>
      <c r="E192" s="70"/>
      <c r="F192" s="70"/>
    </row>
    <row r="193" spans="1:6" ht="13.2">
      <c r="A193" s="70"/>
      <c r="B193" s="70"/>
      <c r="C193" s="70"/>
      <c r="D193" s="70"/>
      <c r="E193" s="70"/>
      <c r="F193" s="70"/>
    </row>
    <row r="194" spans="1:6" ht="13.2">
      <c r="A194" s="70"/>
      <c r="B194" s="70"/>
      <c r="C194" s="70"/>
      <c r="D194" s="70"/>
      <c r="E194" s="70"/>
      <c r="F194" s="70"/>
    </row>
    <row r="195" spans="1:6" ht="13.2">
      <c r="A195" s="70"/>
      <c r="B195" s="70"/>
      <c r="C195" s="70"/>
      <c r="D195" s="70"/>
      <c r="E195" s="70"/>
      <c r="F195" s="70"/>
    </row>
    <row r="196" spans="1:6" ht="13.2">
      <c r="A196" s="70"/>
      <c r="B196" s="70"/>
      <c r="C196" s="70"/>
      <c r="D196" s="70"/>
      <c r="E196" s="70"/>
      <c r="F196" s="70"/>
    </row>
    <row r="197" spans="1:6" ht="13.2">
      <c r="A197" s="70"/>
      <c r="B197" s="70"/>
      <c r="C197" s="70"/>
      <c r="D197" s="70"/>
      <c r="E197" s="70"/>
      <c r="F197" s="70"/>
    </row>
    <row r="198" spans="1:6" ht="13.2">
      <c r="A198" s="70"/>
      <c r="B198" s="70"/>
      <c r="C198" s="70"/>
      <c r="D198" s="70"/>
      <c r="E198" s="70"/>
      <c r="F198" s="70"/>
    </row>
    <row r="199" spans="1:6" ht="13.2">
      <c r="A199" s="70"/>
      <c r="B199" s="70"/>
      <c r="C199" s="70"/>
      <c r="D199" s="70"/>
      <c r="E199" s="70"/>
      <c r="F199" s="70"/>
    </row>
    <row r="200" spans="1:6" ht="13.2">
      <c r="A200" s="70"/>
      <c r="B200" s="70"/>
      <c r="C200" s="70"/>
      <c r="D200" s="70"/>
      <c r="E200" s="70"/>
      <c r="F200" s="70"/>
    </row>
    <row r="201" spans="1:6" ht="13.2">
      <c r="A201" s="70"/>
      <c r="B201" s="70"/>
      <c r="C201" s="70"/>
      <c r="D201" s="70"/>
      <c r="E201" s="70"/>
      <c r="F201" s="70"/>
    </row>
    <row r="202" spans="1:6" ht="13.2">
      <c r="A202" s="70"/>
      <c r="B202" s="70"/>
      <c r="C202" s="70"/>
      <c r="D202" s="70"/>
      <c r="E202" s="70"/>
      <c r="F202" s="70"/>
    </row>
    <row r="203" spans="1:6" ht="13.2">
      <c r="A203" s="70"/>
      <c r="B203" s="70"/>
      <c r="C203" s="70"/>
      <c r="D203" s="70"/>
      <c r="E203" s="70"/>
      <c r="F203" s="70"/>
    </row>
    <row r="204" spans="1:6" ht="13.2">
      <c r="A204" s="70"/>
      <c r="B204" s="70"/>
      <c r="C204" s="70"/>
      <c r="D204" s="70"/>
      <c r="E204" s="70"/>
      <c r="F204" s="70"/>
    </row>
    <row r="205" spans="1:6" ht="13.2">
      <c r="A205" s="70"/>
      <c r="B205" s="70"/>
      <c r="C205" s="70"/>
      <c r="D205" s="70"/>
      <c r="E205" s="70"/>
      <c r="F205" s="70"/>
    </row>
    <row r="206" spans="1:6" ht="13.2">
      <c r="A206" s="70"/>
      <c r="B206" s="70"/>
      <c r="C206" s="70"/>
      <c r="D206" s="70"/>
      <c r="E206" s="70"/>
      <c r="F206" s="70"/>
    </row>
    <row r="207" spans="1:6" ht="13.2">
      <c r="A207" s="70"/>
      <c r="B207" s="70"/>
      <c r="C207" s="70"/>
      <c r="D207" s="70"/>
      <c r="E207" s="70"/>
      <c r="F207" s="70"/>
    </row>
    <row r="208" spans="1:6" ht="13.2">
      <c r="A208" s="70"/>
      <c r="B208" s="70"/>
      <c r="C208" s="70"/>
      <c r="D208" s="70"/>
      <c r="E208" s="70"/>
      <c r="F208" s="70"/>
    </row>
    <row r="209" spans="1:6" ht="13.2">
      <c r="A209" s="70"/>
      <c r="B209" s="70"/>
      <c r="C209" s="70"/>
      <c r="D209" s="70"/>
      <c r="E209" s="70"/>
      <c r="F209" s="70"/>
    </row>
    <row r="210" spans="1:6" ht="13.2">
      <c r="A210" s="70"/>
      <c r="B210" s="70"/>
      <c r="C210" s="70"/>
      <c r="D210" s="70"/>
      <c r="E210" s="70"/>
      <c r="F210" s="70"/>
    </row>
    <row r="211" spans="1:6" ht="13.2">
      <c r="A211" s="70"/>
      <c r="B211" s="70"/>
      <c r="C211" s="70"/>
      <c r="D211" s="70"/>
      <c r="E211" s="70"/>
      <c r="F211" s="70"/>
    </row>
    <row r="212" spans="1:6" ht="13.2">
      <c r="A212" s="70"/>
      <c r="B212" s="70"/>
      <c r="C212" s="70"/>
      <c r="D212" s="70"/>
      <c r="E212" s="70"/>
      <c r="F212" s="70"/>
    </row>
    <row r="213" spans="1:6" ht="13.2">
      <c r="A213" s="70"/>
      <c r="B213" s="70"/>
      <c r="C213" s="70"/>
      <c r="D213" s="70"/>
      <c r="E213" s="70"/>
      <c r="F213" s="70"/>
    </row>
    <row r="214" spans="1:6" ht="13.2">
      <c r="A214" s="70"/>
      <c r="B214" s="70"/>
      <c r="C214" s="70"/>
      <c r="D214" s="70"/>
      <c r="E214" s="70"/>
      <c r="F214" s="70"/>
    </row>
    <row r="215" spans="1:6" ht="13.2">
      <c r="A215" s="70"/>
      <c r="B215" s="70"/>
      <c r="C215" s="70"/>
      <c r="D215" s="70"/>
      <c r="E215" s="70"/>
      <c r="F215" s="70"/>
    </row>
    <row r="216" spans="1:6" ht="13.2">
      <c r="A216" s="70"/>
      <c r="B216" s="70"/>
      <c r="C216" s="70"/>
      <c r="D216" s="70"/>
      <c r="E216" s="70"/>
      <c r="F216" s="70"/>
    </row>
    <row r="217" spans="1:6" ht="13.2">
      <c r="A217" s="70"/>
      <c r="B217" s="70"/>
      <c r="C217" s="70"/>
      <c r="D217" s="70"/>
      <c r="E217" s="70"/>
      <c r="F217" s="70"/>
    </row>
    <row r="218" spans="1:6" ht="13.2">
      <c r="A218" s="70"/>
      <c r="B218" s="70"/>
      <c r="C218" s="70"/>
      <c r="D218" s="70"/>
      <c r="E218" s="70"/>
      <c r="F218" s="70"/>
    </row>
    <row r="219" spans="1:6" ht="13.2">
      <c r="A219" s="70"/>
      <c r="B219" s="70"/>
      <c r="C219" s="70"/>
      <c r="D219" s="70"/>
      <c r="E219" s="70"/>
      <c r="F219" s="70"/>
    </row>
    <row r="220" spans="1:6" ht="13.2">
      <c r="A220" s="70"/>
      <c r="B220" s="70"/>
      <c r="C220" s="70"/>
      <c r="D220" s="70"/>
      <c r="E220" s="70"/>
      <c r="F220" s="70"/>
    </row>
    <row r="221" spans="1:6" ht="13.2">
      <c r="A221" s="70"/>
      <c r="B221" s="70"/>
      <c r="C221" s="70"/>
      <c r="D221" s="70"/>
      <c r="E221" s="70"/>
      <c r="F221" s="70"/>
    </row>
    <row r="222" spans="1:6" ht="13.2">
      <c r="A222" s="70"/>
      <c r="B222" s="70"/>
      <c r="C222" s="70"/>
      <c r="D222" s="70"/>
      <c r="E222" s="70"/>
      <c r="F222" s="70"/>
    </row>
    <row r="223" spans="1:6" ht="13.2">
      <c r="A223" s="70"/>
      <c r="B223" s="70"/>
      <c r="C223" s="70"/>
      <c r="D223" s="70"/>
      <c r="E223" s="70"/>
      <c r="F223" s="70"/>
    </row>
    <row r="224" spans="1:6" ht="13.2">
      <c r="A224" s="70"/>
      <c r="B224" s="70"/>
      <c r="C224" s="70"/>
      <c r="D224" s="70"/>
      <c r="E224" s="70"/>
      <c r="F224" s="70"/>
    </row>
    <row r="225" spans="1:6" ht="13.2">
      <c r="A225" s="70"/>
      <c r="B225" s="70"/>
      <c r="C225" s="70"/>
      <c r="D225" s="70"/>
      <c r="E225" s="70"/>
      <c r="F225" s="70"/>
    </row>
    <row r="226" spans="1:6" ht="13.2">
      <c r="A226" s="70"/>
      <c r="B226" s="70"/>
      <c r="C226" s="70"/>
      <c r="D226" s="70"/>
      <c r="E226" s="70"/>
      <c r="F226" s="70"/>
    </row>
    <row r="227" spans="1:6" ht="13.2">
      <c r="A227" s="70"/>
      <c r="B227" s="70"/>
      <c r="C227" s="70"/>
      <c r="D227" s="70"/>
      <c r="E227" s="70"/>
      <c r="F227" s="70"/>
    </row>
    <row r="228" spans="1:6" ht="13.2">
      <c r="A228" s="70"/>
      <c r="B228" s="70"/>
      <c r="C228" s="70"/>
      <c r="D228" s="70"/>
      <c r="E228" s="70"/>
      <c r="F228" s="70"/>
    </row>
    <row r="229" spans="1:6" ht="13.2">
      <c r="A229" s="70"/>
      <c r="B229" s="70"/>
      <c r="C229" s="70"/>
      <c r="D229" s="70"/>
      <c r="E229" s="70"/>
      <c r="F229" s="70"/>
    </row>
    <row r="230" spans="1:6" ht="13.2">
      <c r="A230" s="70"/>
      <c r="B230" s="70"/>
      <c r="C230" s="70"/>
      <c r="D230" s="70"/>
      <c r="E230" s="70"/>
      <c r="F230" s="70"/>
    </row>
    <row r="231" spans="1:6" ht="13.2">
      <c r="A231" s="70"/>
      <c r="B231" s="70"/>
      <c r="C231" s="70"/>
      <c r="D231" s="70"/>
      <c r="E231" s="70"/>
      <c r="F231" s="70"/>
    </row>
    <row r="232" spans="1:6" ht="13.2">
      <c r="A232" s="70"/>
      <c r="B232" s="70"/>
      <c r="C232" s="70"/>
      <c r="D232" s="70"/>
      <c r="E232" s="70"/>
      <c r="F232" s="70"/>
    </row>
    <row r="233" spans="1:6" ht="13.2">
      <c r="A233" s="70"/>
      <c r="B233" s="70"/>
      <c r="C233" s="70"/>
      <c r="D233" s="70"/>
      <c r="E233" s="70"/>
      <c r="F233" s="70"/>
    </row>
    <row r="234" spans="1:6" ht="13.2">
      <c r="A234" s="70"/>
      <c r="B234" s="70"/>
      <c r="C234" s="70"/>
      <c r="D234" s="70"/>
      <c r="E234" s="70"/>
      <c r="F234" s="70"/>
    </row>
    <row r="235" spans="1:6" ht="13.2">
      <c r="A235" s="70"/>
      <c r="B235" s="70"/>
      <c r="C235" s="70"/>
      <c r="D235" s="70"/>
      <c r="E235" s="70"/>
      <c r="F235" s="70"/>
    </row>
    <row r="236" spans="1:6" ht="13.2">
      <c r="A236" s="70"/>
      <c r="B236" s="70"/>
      <c r="C236" s="70"/>
      <c r="D236" s="70"/>
      <c r="E236" s="70"/>
      <c r="F236" s="70"/>
    </row>
    <row r="237" spans="1:6" ht="13.2">
      <c r="A237" s="70"/>
      <c r="B237" s="70"/>
      <c r="C237" s="70"/>
      <c r="D237" s="70"/>
      <c r="E237" s="70"/>
      <c r="F237" s="70"/>
    </row>
    <row r="238" spans="1:6" ht="13.2">
      <c r="A238" s="70"/>
      <c r="B238" s="70"/>
      <c r="C238" s="70"/>
      <c r="D238" s="70"/>
      <c r="E238" s="70"/>
      <c r="F238" s="70"/>
    </row>
    <row r="239" spans="1:6" ht="13.2">
      <c r="A239" s="70"/>
      <c r="B239" s="70"/>
      <c r="C239" s="70"/>
      <c r="D239" s="70"/>
      <c r="E239" s="70"/>
      <c r="F239" s="70"/>
    </row>
    <row r="240" spans="1:6" ht="13.2">
      <c r="A240" s="70"/>
      <c r="B240" s="70"/>
      <c r="C240" s="70"/>
      <c r="D240" s="70"/>
      <c r="E240" s="70"/>
      <c r="F240" s="70"/>
    </row>
    <row r="241" spans="1:6" ht="13.2">
      <c r="A241" s="70"/>
      <c r="B241" s="70"/>
      <c r="C241" s="70"/>
      <c r="D241" s="70"/>
      <c r="E241" s="70"/>
      <c r="F241" s="70"/>
    </row>
    <row r="242" spans="1:6" ht="13.2">
      <c r="A242" s="70"/>
      <c r="B242" s="70"/>
      <c r="C242" s="70"/>
      <c r="D242" s="70"/>
      <c r="E242" s="70"/>
      <c r="F242" s="70"/>
    </row>
    <row r="243" spans="1:6" ht="13.2">
      <c r="A243" s="70"/>
      <c r="B243" s="70"/>
      <c r="C243" s="70"/>
      <c r="D243" s="70"/>
      <c r="E243" s="70"/>
      <c r="F243" s="70"/>
    </row>
    <row r="244" spans="1:6" ht="13.2">
      <c r="A244" s="70"/>
      <c r="B244" s="70"/>
      <c r="C244" s="70"/>
      <c r="D244" s="70"/>
      <c r="E244" s="70"/>
      <c r="F244" s="70"/>
    </row>
    <row r="245" spans="1:6" ht="13.2">
      <c r="A245" s="70"/>
      <c r="B245" s="70"/>
      <c r="C245" s="70"/>
      <c r="D245" s="70"/>
      <c r="E245" s="70"/>
      <c r="F245" s="70"/>
    </row>
    <row r="246" spans="1:6" ht="13.2">
      <c r="A246" s="70"/>
      <c r="B246" s="70"/>
      <c r="C246" s="70"/>
      <c r="D246" s="70"/>
      <c r="E246" s="70"/>
      <c r="F246" s="70"/>
    </row>
    <row r="247" spans="1:6" ht="13.2">
      <c r="A247" s="70"/>
      <c r="B247" s="70"/>
      <c r="C247" s="70"/>
      <c r="D247" s="70"/>
      <c r="E247" s="70"/>
      <c r="F247" s="70"/>
    </row>
    <row r="248" spans="1:6" ht="13.2">
      <c r="A248" s="70"/>
      <c r="B248" s="70"/>
      <c r="C248" s="70"/>
      <c r="D248" s="70"/>
      <c r="E248" s="70"/>
      <c r="F248" s="70"/>
    </row>
    <row r="249" spans="1:6" ht="13.2">
      <c r="A249" s="70"/>
      <c r="B249" s="70"/>
      <c r="C249" s="70"/>
      <c r="D249" s="70"/>
      <c r="E249" s="70"/>
      <c r="F249" s="70"/>
    </row>
    <row r="250" spans="1:6" ht="13.2">
      <c r="A250" s="70"/>
      <c r="B250" s="70"/>
      <c r="C250" s="70"/>
      <c r="D250" s="70"/>
      <c r="E250" s="70"/>
      <c r="F250" s="70"/>
    </row>
    <row r="251" spans="1:6" ht="13.2">
      <c r="A251" s="70"/>
      <c r="B251" s="70"/>
      <c r="C251" s="70"/>
      <c r="D251" s="70"/>
      <c r="E251" s="70"/>
      <c r="F251" s="70"/>
    </row>
    <row r="252" spans="1:6" ht="13.2">
      <c r="A252" s="70"/>
      <c r="B252" s="70"/>
      <c r="C252" s="70"/>
      <c r="D252" s="70"/>
      <c r="E252" s="70"/>
      <c r="F252" s="70"/>
    </row>
    <row r="253" spans="1:6" ht="13.2">
      <c r="A253" s="70"/>
      <c r="B253" s="70"/>
      <c r="C253" s="70"/>
      <c r="D253" s="70"/>
      <c r="E253" s="70"/>
      <c r="F253" s="70"/>
    </row>
    <row r="254" spans="1:6" ht="13.2">
      <c r="A254" s="70"/>
      <c r="B254" s="70"/>
      <c r="C254" s="70"/>
      <c r="D254" s="70"/>
      <c r="E254" s="70"/>
      <c r="F254" s="70"/>
    </row>
    <row r="255" spans="1:6" ht="13.2">
      <c r="A255" s="70"/>
      <c r="B255" s="70"/>
      <c r="C255" s="70"/>
      <c r="D255" s="70"/>
      <c r="E255" s="70"/>
      <c r="F255" s="70"/>
    </row>
    <row r="256" spans="1:6" ht="13.2">
      <c r="A256" s="70"/>
      <c r="B256" s="70"/>
      <c r="C256" s="70"/>
      <c r="D256" s="70"/>
      <c r="E256" s="70"/>
      <c r="F256" s="70"/>
    </row>
    <row r="257" spans="1:6" ht="13.2">
      <c r="A257" s="70"/>
      <c r="B257" s="70"/>
      <c r="C257" s="70"/>
      <c r="D257" s="70"/>
      <c r="E257" s="70"/>
      <c r="F257" s="70"/>
    </row>
    <row r="258" spans="1:6" ht="13.2">
      <c r="A258" s="70"/>
      <c r="B258" s="70"/>
      <c r="C258" s="70"/>
      <c r="D258" s="70"/>
      <c r="E258" s="70"/>
      <c r="F258" s="70"/>
    </row>
    <row r="259" spans="1:6" ht="13.2">
      <c r="A259" s="70"/>
      <c r="B259" s="70"/>
      <c r="C259" s="70"/>
      <c r="D259" s="70"/>
      <c r="E259" s="70"/>
      <c r="F259" s="70"/>
    </row>
    <row r="260" spans="1:6" ht="13.2">
      <c r="A260" s="70"/>
      <c r="B260" s="70"/>
      <c r="C260" s="70"/>
      <c r="D260" s="70"/>
      <c r="E260" s="70"/>
      <c r="F260" s="70"/>
    </row>
    <row r="261" spans="1:6" ht="13.2">
      <c r="A261" s="70"/>
      <c r="B261" s="70"/>
      <c r="C261" s="70"/>
      <c r="D261" s="70"/>
      <c r="E261" s="70"/>
      <c r="F261" s="70"/>
    </row>
    <row r="262" spans="1:6" ht="13.2">
      <c r="A262" s="70"/>
      <c r="B262" s="70"/>
      <c r="C262" s="70"/>
      <c r="D262" s="70"/>
      <c r="E262" s="70"/>
      <c r="F262" s="70"/>
    </row>
    <row r="263" spans="1:6" ht="13.2">
      <c r="A263" s="70"/>
      <c r="B263" s="70"/>
      <c r="C263" s="70"/>
      <c r="D263" s="70"/>
      <c r="E263" s="70"/>
      <c r="F263" s="70"/>
    </row>
    <row r="264" spans="1:6" ht="13.2">
      <c r="A264" s="70"/>
      <c r="B264" s="70"/>
      <c r="C264" s="70"/>
      <c r="D264" s="70"/>
      <c r="E264" s="70"/>
      <c r="F264" s="70"/>
    </row>
    <row r="265" spans="1:6" ht="13.2">
      <c r="A265" s="70"/>
      <c r="B265" s="70"/>
      <c r="C265" s="70"/>
      <c r="D265" s="70"/>
      <c r="E265" s="70"/>
      <c r="F265" s="70"/>
    </row>
    <row r="266" spans="1:6" ht="13.2">
      <c r="A266" s="70"/>
      <c r="B266" s="70"/>
      <c r="C266" s="70"/>
      <c r="D266" s="70"/>
      <c r="E266" s="70"/>
      <c r="F266" s="70"/>
    </row>
    <row r="267" spans="1:6" ht="13.2">
      <c r="A267" s="70"/>
      <c r="B267" s="70"/>
      <c r="C267" s="70"/>
      <c r="D267" s="70"/>
      <c r="E267" s="70"/>
      <c r="F267" s="70"/>
    </row>
    <row r="268" spans="1:6" ht="13.2">
      <c r="A268" s="70"/>
      <c r="B268" s="70"/>
      <c r="C268" s="70"/>
      <c r="D268" s="70"/>
      <c r="E268" s="70"/>
      <c r="F268" s="70"/>
    </row>
    <row r="269" spans="1:6" ht="13.2">
      <c r="A269" s="70"/>
      <c r="B269" s="70"/>
      <c r="C269" s="70"/>
      <c r="D269" s="70"/>
      <c r="E269" s="70"/>
      <c r="F269" s="70"/>
    </row>
    <row r="270" spans="1:6" ht="13.2">
      <c r="A270" s="70"/>
      <c r="B270" s="70"/>
      <c r="C270" s="70"/>
      <c r="D270" s="70"/>
      <c r="E270" s="70"/>
      <c r="F270" s="70"/>
    </row>
    <row r="271" spans="1:6" ht="13.2">
      <c r="A271" s="70"/>
      <c r="B271" s="70"/>
      <c r="C271" s="70"/>
      <c r="D271" s="70"/>
      <c r="E271" s="70"/>
      <c r="F271" s="70"/>
    </row>
    <row r="272" spans="1:6" ht="13.2">
      <c r="A272" s="70"/>
      <c r="B272" s="70"/>
      <c r="C272" s="70"/>
      <c r="D272" s="70"/>
      <c r="E272" s="70"/>
      <c r="F272" s="70"/>
    </row>
    <row r="273" spans="1:6" ht="13.2">
      <c r="A273" s="70"/>
      <c r="B273" s="70"/>
      <c r="C273" s="70"/>
      <c r="D273" s="70"/>
      <c r="E273" s="70"/>
      <c r="F273" s="70"/>
    </row>
    <row r="274" spans="1:6" ht="13.2">
      <c r="A274" s="70"/>
      <c r="B274" s="70"/>
      <c r="C274" s="70"/>
      <c r="D274" s="70"/>
      <c r="E274" s="70"/>
      <c r="F274" s="70"/>
    </row>
    <row r="275" spans="1:6" ht="13.2">
      <c r="A275" s="70"/>
      <c r="B275" s="70"/>
      <c r="C275" s="70"/>
      <c r="D275" s="70"/>
      <c r="E275" s="70"/>
      <c r="F275" s="70"/>
    </row>
    <row r="276" spans="1:6" ht="13.2">
      <c r="A276" s="70"/>
      <c r="B276" s="70"/>
      <c r="C276" s="70"/>
      <c r="D276" s="70"/>
      <c r="E276" s="70"/>
      <c r="F276" s="70"/>
    </row>
    <row r="277" spans="1:6" ht="13.2">
      <c r="A277" s="70"/>
      <c r="B277" s="70"/>
      <c r="C277" s="70"/>
      <c r="D277" s="70"/>
      <c r="E277" s="70"/>
      <c r="F277" s="70"/>
    </row>
    <row r="278" spans="1:6" ht="13.2">
      <c r="A278" s="70"/>
      <c r="B278" s="70"/>
      <c r="C278" s="70"/>
      <c r="D278" s="70"/>
      <c r="E278" s="70"/>
      <c r="F278" s="70"/>
    </row>
    <row r="279" spans="1:6" ht="13.2">
      <c r="A279" s="70"/>
      <c r="B279" s="70"/>
      <c r="C279" s="70"/>
      <c r="D279" s="70"/>
      <c r="E279" s="70"/>
      <c r="F279" s="70"/>
    </row>
    <row r="280" spans="1:6" ht="13.2">
      <c r="A280" s="70"/>
      <c r="B280" s="70"/>
      <c r="C280" s="70"/>
      <c r="D280" s="70"/>
      <c r="E280" s="70"/>
      <c r="F280" s="70"/>
    </row>
    <row r="281" spans="1:6" ht="13.2">
      <c r="A281" s="70"/>
      <c r="B281" s="70"/>
      <c r="C281" s="70"/>
      <c r="D281" s="70"/>
      <c r="E281" s="70"/>
      <c r="F281" s="70"/>
    </row>
    <row r="282" spans="1:6" ht="13.2">
      <c r="A282" s="70"/>
      <c r="B282" s="70"/>
      <c r="C282" s="70"/>
      <c r="D282" s="70"/>
      <c r="E282" s="70"/>
      <c r="F282" s="70"/>
    </row>
    <row r="283" spans="1:6" ht="13.2">
      <c r="A283" s="70"/>
      <c r="B283" s="70"/>
      <c r="C283" s="70"/>
      <c r="D283" s="70"/>
      <c r="E283" s="70"/>
      <c r="F283" s="70"/>
    </row>
    <row r="284" spans="1:6" ht="13.2">
      <c r="A284" s="70"/>
      <c r="B284" s="70"/>
      <c r="C284" s="70"/>
      <c r="D284" s="70"/>
      <c r="E284" s="70"/>
      <c r="F284" s="70"/>
    </row>
    <row r="285" spans="1:6" ht="13.2">
      <c r="A285" s="70"/>
      <c r="B285" s="70"/>
      <c r="C285" s="70"/>
      <c r="D285" s="70"/>
      <c r="E285" s="70"/>
      <c r="F285" s="70"/>
    </row>
    <row r="286" spans="1:6" ht="13.2">
      <c r="A286" s="70"/>
      <c r="B286" s="70"/>
      <c r="C286" s="70"/>
      <c r="D286" s="70"/>
      <c r="E286" s="70"/>
      <c r="F286" s="70"/>
    </row>
    <row r="287" spans="1:6" ht="13.2">
      <c r="A287" s="70"/>
      <c r="B287" s="70"/>
      <c r="C287" s="70"/>
      <c r="D287" s="70"/>
      <c r="E287" s="70"/>
      <c r="F287" s="70"/>
    </row>
    <row r="288" spans="1:6" ht="13.2">
      <c r="A288" s="70"/>
      <c r="B288" s="70"/>
      <c r="C288" s="70"/>
      <c r="D288" s="70"/>
      <c r="E288" s="70"/>
      <c r="F288" s="70"/>
    </row>
    <row r="289" spans="1:6" ht="13.2">
      <c r="A289" s="70"/>
      <c r="B289" s="70"/>
      <c r="C289" s="70"/>
      <c r="D289" s="70"/>
      <c r="E289" s="70"/>
      <c r="F289" s="70"/>
    </row>
    <row r="290" spans="1:6" ht="13.2">
      <c r="A290" s="70"/>
      <c r="B290" s="70"/>
      <c r="C290" s="70"/>
      <c r="D290" s="70"/>
      <c r="E290" s="70"/>
      <c r="F290" s="70"/>
    </row>
    <row r="291" spans="1:6" ht="13.2">
      <c r="A291" s="70"/>
      <c r="B291" s="70"/>
      <c r="C291" s="70"/>
      <c r="D291" s="70"/>
      <c r="E291" s="70"/>
      <c r="F291" s="70"/>
    </row>
    <row r="292" spans="1:6" ht="13.2">
      <c r="A292" s="70"/>
      <c r="B292" s="70"/>
      <c r="C292" s="70"/>
      <c r="D292" s="70"/>
      <c r="E292" s="70"/>
      <c r="F292" s="70"/>
    </row>
    <row r="293" spans="1:6" ht="13.2">
      <c r="A293" s="70"/>
      <c r="B293" s="70"/>
      <c r="C293" s="70"/>
      <c r="D293" s="70"/>
      <c r="E293" s="70"/>
      <c r="F293" s="70"/>
    </row>
    <row r="294" spans="1:6" ht="13.2">
      <c r="A294" s="70"/>
      <c r="B294" s="70"/>
      <c r="C294" s="70"/>
      <c r="D294" s="70"/>
      <c r="E294" s="70"/>
      <c r="F294" s="70"/>
    </row>
    <row r="295" spans="1:6" ht="13.2">
      <c r="A295" s="70"/>
      <c r="B295" s="70"/>
      <c r="C295" s="70"/>
      <c r="D295" s="70"/>
      <c r="E295" s="70"/>
      <c r="F295" s="70"/>
    </row>
    <row r="296" spans="1:6" ht="13.2">
      <c r="A296" s="70"/>
      <c r="B296" s="70"/>
      <c r="C296" s="70"/>
      <c r="D296" s="70"/>
      <c r="E296" s="70"/>
      <c r="F296" s="70"/>
    </row>
    <row r="297" spans="1:6" ht="13.2">
      <c r="A297" s="70"/>
      <c r="B297" s="70"/>
      <c r="C297" s="70"/>
      <c r="D297" s="70"/>
      <c r="E297" s="70"/>
      <c r="F297" s="70"/>
    </row>
    <row r="298" spans="1:6" ht="13.2">
      <c r="A298" s="70"/>
      <c r="B298" s="70"/>
      <c r="C298" s="70"/>
      <c r="D298" s="70"/>
      <c r="E298" s="70"/>
      <c r="F298" s="70"/>
    </row>
    <row r="299" spans="1:6" ht="13.2">
      <c r="A299" s="70"/>
      <c r="B299" s="70"/>
      <c r="C299" s="70"/>
      <c r="D299" s="70"/>
      <c r="E299" s="70"/>
      <c r="F299" s="70"/>
    </row>
    <row r="300" spans="1:6" ht="13.2">
      <c r="A300" s="70"/>
      <c r="B300" s="70"/>
      <c r="C300" s="70"/>
      <c r="D300" s="70"/>
      <c r="E300" s="70"/>
      <c r="F300" s="70"/>
    </row>
    <row r="301" spans="1:6" ht="13.2">
      <c r="A301" s="70"/>
      <c r="B301" s="70"/>
      <c r="C301" s="70"/>
      <c r="D301" s="70"/>
      <c r="E301" s="70"/>
      <c r="F301" s="70"/>
    </row>
    <row r="302" spans="1:6" ht="13.2">
      <c r="A302" s="70"/>
      <c r="B302" s="70"/>
      <c r="C302" s="70"/>
      <c r="D302" s="70"/>
      <c r="E302" s="70"/>
      <c r="F302" s="70"/>
    </row>
    <row r="303" spans="1:6" ht="13.2">
      <c r="A303" s="70"/>
      <c r="B303" s="70"/>
      <c r="C303" s="70"/>
      <c r="D303" s="70"/>
      <c r="E303" s="70"/>
      <c r="F303" s="70"/>
    </row>
    <row r="304" spans="1:6" ht="13.2">
      <c r="A304" s="70"/>
      <c r="B304" s="70"/>
      <c r="C304" s="70"/>
      <c r="D304" s="70"/>
      <c r="E304" s="70"/>
      <c r="F304" s="70"/>
    </row>
    <row r="305" spans="1:6" ht="13.2">
      <c r="A305" s="70"/>
      <c r="B305" s="70"/>
      <c r="C305" s="70"/>
      <c r="D305" s="70"/>
      <c r="E305" s="70"/>
      <c r="F305" s="70"/>
    </row>
    <row r="306" spans="1:6" ht="13.2">
      <c r="A306" s="70"/>
      <c r="B306" s="70"/>
      <c r="C306" s="70"/>
      <c r="D306" s="70"/>
      <c r="E306" s="70"/>
      <c r="F306" s="70"/>
    </row>
    <row r="307" spans="1:6" ht="13.2">
      <c r="A307" s="70"/>
      <c r="B307" s="70"/>
      <c r="C307" s="70"/>
      <c r="D307" s="70"/>
      <c r="E307" s="70"/>
      <c r="F307" s="70"/>
    </row>
    <row r="308" spans="1:6" ht="13.2">
      <c r="A308" s="70"/>
      <c r="B308" s="70"/>
      <c r="C308" s="70"/>
      <c r="D308" s="70"/>
      <c r="E308" s="70"/>
      <c r="F308" s="70"/>
    </row>
    <row r="309" spans="1:6" ht="13.2">
      <c r="A309" s="70"/>
      <c r="B309" s="70"/>
      <c r="C309" s="70"/>
      <c r="D309" s="70"/>
      <c r="E309" s="70"/>
      <c r="F309" s="70"/>
    </row>
    <row r="310" spans="1:6" ht="13.2">
      <c r="A310" s="70"/>
      <c r="B310" s="70"/>
      <c r="C310" s="70"/>
      <c r="D310" s="70"/>
      <c r="E310" s="70"/>
      <c r="F310" s="70"/>
    </row>
    <row r="311" spans="1:6" ht="13.2">
      <c r="A311" s="70"/>
      <c r="B311" s="70"/>
      <c r="C311" s="70"/>
      <c r="D311" s="70"/>
      <c r="E311" s="70"/>
      <c r="F311" s="70"/>
    </row>
    <row r="312" spans="1:6" ht="13.2">
      <c r="A312" s="70"/>
      <c r="B312" s="70"/>
      <c r="C312" s="70"/>
      <c r="D312" s="70"/>
      <c r="E312" s="70"/>
      <c r="F312" s="70"/>
    </row>
    <row r="313" spans="1:6" ht="13.2">
      <c r="A313" s="70"/>
      <c r="B313" s="70"/>
      <c r="C313" s="70"/>
      <c r="D313" s="70"/>
      <c r="E313" s="70"/>
      <c r="F313" s="70"/>
    </row>
    <row r="314" spans="1:6" ht="13.2">
      <c r="A314" s="70"/>
      <c r="B314" s="70"/>
      <c r="C314" s="70"/>
      <c r="D314" s="70"/>
      <c r="E314" s="70"/>
      <c r="F314" s="70"/>
    </row>
    <row r="315" spans="1:6" ht="13.2">
      <c r="A315" s="70"/>
      <c r="B315" s="70"/>
      <c r="C315" s="70"/>
      <c r="D315" s="70"/>
      <c r="E315" s="70"/>
      <c r="F315" s="70"/>
    </row>
    <row r="316" spans="1:6" ht="13.2">
      <c r="A316" s="70"/>
      <c r="B316" s="70"/>
      <c r="C316" s="70"/>
      <c r="D316" s="70"/>
      <c r="E316" s="70"/>
      <c r="F316" s="70"/>
    </row>
    <row r="317" spans="1:6" ht="13.2">
      <c r="A317" s="70"/>
      <c r="B317" s="70"/>
      <c r="C317" s="70"/>
      <c r="D317" s="70"/>
      <c r="E317" s="70"/>
      <c r="F317" s="70"/>
    </row>
    <row r="318" spans="1:6" ht="13.2">
      <c r="A318" s="70"/>
      <c r="B318" s="70"/>
      <c r="C318" s="70"/>
      <c r="D318" s="70"/>
      <c r="E318" s="70"/>
      <c r="F318" s="70"/>
    </row>
    <row r="319" spans="1:6" ht="13.2">
      <c r="A319" s="70"/>
      <c r="B319" s="70"/>
      <c r="C319" s="70"/>
      <c r="D319" s="70"/>
      <c r="E319" s="70"/>
      <c r="F319" s="70"/>
    </row>
    <row r="320" spans="1:6" ht="13.2">
      <c r="A320" s="70"/>
      <c r="B320" s="70"/>
      <c r="C320" s="70"/>
      <c r="D320" s="70"/>
      <c r="E320" s="70"/>
      <c r="F320" s="70"/>
    </row>
    <row r="321" spans="1:6" ht="13.2">
      <c r="A321" s="70"/>
      <c r="B321" s="70"/>
      <c r="C321" s="70"/>
      <c r="D321" s="70"/>
      <c r="E321" s="70"/>
      <c r="F321" s="70"/>
    </row>
    <row r="322" spans="1:6" ht="13.2">
      <c r="A322" s="70"/>
      <c r="B322" s="70"/>
      <c r="C322" s="70"/>
      <c r="D322" s="70"/>
      <c r="E322" s="70"/>
      <c r="F322" s="70"/>
    </row>
    <row r="323" spans="1:6" ht="13.2">
      <c r="A323" s="70"/>
      <c r="B323" s="70"/>
      <c r="C323" s="70"/>
      <c r="D323" s="70"/>
      <c r="E323" s="70"/>
      <c r="F323" s="70"/>
    </row>
    <row r="324" spans="1:6" ht="13.2">
      <c r="A324" s="70"/>
      <c r="B324" s="70"/>
      <c r="C324" s="70"/>
      <c r="D324" s="70"/>
      <c r="E324" s="70"/>
      <c r="F324" s="70"/>
    </row>
    <row r="325" spans="1:6" ht="13.2">
      <c r="A325" s="70"/>
      <c r="B325" s="70"/>
      <c r="C325" s="70"/>
      <c r="D325" s="70"/>
      <c r="E325" s="70"/>
      <c r="F325" s="70"/>
    </row>
    <row r="326" spans="1:6" ht="13.2">
      <c r="A326" s="70"/>
      <c r="B326" s="70"/>
      <c r="C326" s="70"/>
      <c r="D326" s="70"/>
      <c r="E326" s="70"/>
      <c r="F326" s="70"/>
    </row>
    <row r="327" spans="1:6" ht="13.2">
      <c r="A327" s="70"/>
      <c r="B327" s="70"/>
      <c r="C327" s="70"/>
      <c r="D327" s="70"/>
      <c r="E327" s="70"/>
      <c r="F327" s="70"/>
    </row>
    <row r="328" spans="1:6" ht="13.2">
      <c r="A328" s="70"/>
      <c r="B328" s="70"/>
      <c r="C328" s="70"/>
      <c r="D328" s="70"/>
      <c r="E328" s="70"/>
      <c r="F328" s="70"/>
    </row>
    <row r="329" spans="1:6" ht="13.2">
      <c r="A329" s="70"/>
      <c r="B329" s="70"/>
      <c r="C329" s="70"/>
      <c r="D329" s="70"/>
      <c r="E329" s="70"/>
      <c r="F329" s="70"/>
    </row>
    <row r="330" spans="1:6" ht="13.2">
      <c r="A330" s="70"/>
      <c r="B330" s="70"/>
      <c r="C330" s="70"/>
      <c r="D330" s="70"/>
      <c r="E330" s="70"/>
      <c r="F330" s="70"/>
    </row>
    <row r="331" spans="1:6" ht="13.2">
      <c r="A331" s="70"/>
      <c r="B331" s="70"/>
      <c r="C331" s="70"/>
      <c r="D331" s="70"/>
      <c r="E331" s="70"/>
      <c r="F331" s="70"/>
    </row>
    <row r="332" spans="1:6" ht="13.2">
      <c r="A332" s="70"/>
      <c r="B332" s="70"/>
      <c r="C332" s="70"/>
      <c r="D332" s="70"/>
      <c r="E332" s="70"/>
      <c r="F332" s="70"/>
    </row>
    <row r="333" spans="1:6" ht="13.2">
      <c r="A333" s="70"/>
      <c r="B333" s="70"/>
      <c r="C333" s="70"/>
      <c r="D333" s="70"/>
      <c r="E333" s="70"/>
      <c r="F333" s="70"/>
    </row>
    <row r="334" spans="1:6" ht="13.2">
      <c r="A334" s="70"/>
      <c r="B334" s="70"/>
      <c r="C334" s="70"/>
      <c r="D334" s="70"/>
      <c r="E334" s="70"/>
      <c r="F334" s="70"/>
    </row>
    <row r="335" spans="1:6" ht="13.2">
      <c r="A335" s="70"/>
      <c r="B335" s="70"/>
      <c r="C335" s="70"/>
      <c r="D335" s="70"/>
      <c r="E335" s="70"/>
      <c r="F335" s="70"/>
    </row>
    <row r="336" spans="1:6" ht="13.2">
      <c r="A336" s="70"/>
      <c r="B336" s="70"/>
      <c r="C336" s="70"/>
      <c r="D336" s="70"/>
      <c r="E336" s="70"/>
      <c r="F336" s="70"/>
    </row>
    <row r="337" spans="1:6" ht="13.2">
      <c r="A337" s="70"/>
      <c r="B337" s="70"/>
      <c r="C337" s="70"/>
      <c r="D337" s="70"/>
      <c r="E337" s="70"/>
      <c r="F337" s="70"/>
    </row>
    <row r="338" spans="1:6" ht="13.2">
      <c r="A338" s="70"/>
      <c r="B338" s="70"/>
      <c r="C338" s="70"/>
      <c r="D338" s="70"/>
      <c r="E338" s="70"/>
      <c r="F338" s="70"/>
    </row>
    <row r="339" spans="1:6" ht="13.2">
      <c r="A339" s="70"/>
      <c r="B339" s="70"/>
      <c r="C339" s="70"/>
      <c r="D339" s="70"/>
      <c r="E339" s="70"/>
      <c r="F339" s="70"/>
    </row>
    <row r="340" spans="1:6" ht="13.2">
      <c r="A340" s="70"/>
      <c r="B340" s="70"/>
      <c r="C340" s="70"/>
      <c r="D340" s="70"/>
      <c r="E340" s="70"/>
      <c r="F340" s="70"/>
    </row>
    <row r="341" spans="1:6" ht="13.2">
      <c r="A341" s="70"/>
      <c r="B341" s="70"/>
      <c r="C341" s="70"/>
      <c r="D341" s="70"/>
      <c r="E341" s="70"/>
      <c r="F341" s="70"/>
    </row>
    <row r="342" spans="1:6" ht="13.2">
      <c r="A342" s="70"/>
      <c r="B342" s="70"/>
      <c r="C342" s="70"/>
      <c r="D342" s="70"/>
      <c r="E342" s="70"/>
      <c r="F342" s="70"/>
    </row>
    <row r="343" spans="1:6" ht="13.2">
      <c r="A343" s="70"/>
      <c r="B343" s="70"/>
      <c r="C343" s="70"/>
      <c r="D343" s="70"/>
      <c r="E343" s="70"/>
      <c r="F343" s="70"/>
    </row>
    <row r="344" spans="1:6" ht="13.2">
      <c r="A344" s="70"/>
      <c r="B344" s="70"/>
      <c r="C344" s="70"/>
      <c r="D344" s="70"/>
      <c r="E344" s="70"/>
      <c r="F344" s="70"/>
    </row>
    <row r="345" spans="1:6" ht="13.2">
      <c r="A345" s="70"/>
      <c r="B345" s="70"/>
      <c r="C345" s="70"/>
      <c r="D345" s="70"/>
      <c r="E345" s="70"/>
      <c r="F345" s="70"/>
    </row>
    <row r="346" spans="1:6" ht="13.2">
      <c r="A346" s="70"/>
      <c r="B346" s="70"/>
      <c r="C346" s="70"/>
      <c r="D346" s="70"/>
      <c r="E346" s="70"/>
      <c r="F346" s="70"/>
    </row>
    <row r="347" spans="1:6" ht="13.2">
      <c r="A347" s="70"/>
      <c r="B347" s="70"/>
      <c r="C347" s="70"/>
      <c r="D347" s="70"/>
      <c r="E347" s="70"/>
      <c r="F347" s="70"/>
    </row>
    <row r="348" spans="1:6" ht="13.2">
      <c r="A348" s="70"/>
      <c r="B348" s="70"/>
      <c r="C348" s="70"/>
      <c r="D348" s="70"/>
      <c r="E348" s="70"/>
      <c r="F348" s="70"/>
    </row>
    <row r="349" spans="1:6" ht="13.2">
      <c r="A349" s="70"/>
      <c r="B349" s="70"/>
      <c r="C349" s="70"/>
      <c r="D349" s="70"/>
      <c r="E349" s="70"/>
      <c r="F349" s="70"/>
    </row>
    <row r="350" spans="1:6" ht="13.2">
      <c r="A350" s="70"/>
      <c r="B350" s="70"/>
      <c r="C350" s="70"/>
      <c r="D350" s="70"/>
      <c r="E350" s="70"/>
      <c r="F350" s="70"/>
    </row>
    <row r="351" spans="1:6" ht="13.2">
      <c r="A351" s="70"/>
      <c r="B351" s="70"/>
      <c r="C351" s="70"/>
      <c r="D351" s="70"/>
      <c r="E351" s="70"/>
      <c r="F351" s="70"/>
    </row>
    <row r="352" spans="1:6" ht="13.2">
      <c r="A352" s="70"/>
      <c r="B352" s="70"/>
      <c r="C352" s="70"/>
      <c r="D352" s="70"/>
      <c r="E352" s="70"/>
      <c r="F352" s="70"/>
    </row>
    <row r="353" spans="1:6" ht="13.2">
      <c r="A353" s="70"/>
      <c r="B353" s="70"/>
      <c r="C353" s="70"/>
      <c r="D353" s="70"/>
      <c r="E353" s="70"/>
      <c r="F353" s="70"/>
    </row>
    <row r="354" spans="1:6" ht="13.2">
      <c r="A354" s="70"/>
      <c r="B354" s="70"/>
      <c r="C354" s="70"/>
      <c r="D354" s="70"/>
      <c r="E354" s="70"/>
      <c r="F354" s="70"/>
    </row>
    <row r="355" spans="1:6" ht="13.2">
      <c r="A355" s="70"/>
      <c r="B355" s="70"/>
      <c r="C355" s="70"/>
      <c r="D355" s="70"/>
      <c r="E355" s="70"/>
      <c r="F355" s="70"/>
    </row>
    <row r="356" spans="1:6" ht="13.2">
      <c r="A356" s="70"/>
      <c r="B356" s="70"/>
      <c r="C356" s="70"/>
      <c r="D356" s="70"/>
      <c r="E356" s="70"/>
      <c r="F356" s="70"/>
    </row>
    <row r="357" spans="1:6" ht="13.2">
      <c r="A357" s="70"/>
      <c r="B357" s="70"/>
      <c r="C357" s="70"/>
      <c r="D357" s="70"/>
      <c r="E357" s="70"/>
      <c r="F357" s="70"/>
    </row>
    <row r="358" spans="1:6" ht="13.2">
      <c r="A358" s="70"/>
      <c r="B358" s="70"/>
      <c r="C358" s="70"/>
      <c r="D358" s="70"/>
      <c r="E358" s="70"/>
      <c r="F358" s="70"/>
    </row>
    <row r="359" spans="1:6" ht="13.2">
      <c r="A359" s="70"/>
      <c r="B359" s="70"/>
      <c r="C359" s="70"/>
      <c r="D359" s="70"/>
      <c r="E359" s="70"/>
      <c r="F359" s="70"/>
    </row>
    <row r="360" spans="1:6" ht="13.2">
      <c r="A360" s="70"/>
      <c r="B360" s="70"/>
      <c r="C360" s="70"/>
      <c r="D360" s="70"/>
      <c r="E360" s="70"/>
      <c r="F360" s="70"/>
    </row>
    <row r="361" spans="1:6" ht="13.2">
      <c r="A361" s="70"/>
      <c r="B361" s="70"/>
      <c r="C361" s="70"/>
      <c r="D361" s="70"/>
      <c r="E361" s="70"/>
      <c r="F361" s="70"/>
    </row>
    <row r="362" spans="1:6" ht="13.2">
      <c r="A362" s="70"/>
      <c r="B362" s="70"/>
      <c r="C362" s="70"/>
      <c r="D362" s="70"/>
      <c r="E362" s="70"/>
      <c r="F362" s="70"/>
    </row>
    <row r="363" spans="1:6" ht="13.2">
      <c r="A363" s="70"/>
      <c r="B363" s="70"/>
      <c r="C363" s="70"/>
      <c r="D363" s="70"/>
      <c r="E363" s="70"/>
      <c r="F363" s="70"/>
    </row>
    <row r="364" spans="1:6" ht="13.2">
      <c r="A364" s="70"/>
      <c r="B364" s="70"/>
      <c r="C364" s="70"/>
      <c r="D364" s="70"/>
      <c r="E364" s="70"/>
      <c r="F364" s="70"/>
    </row>
    <row r="365" spans="1:6" ht="13.2">
      <c r="A365" s="70"/>
      <c r="B365" s="70"/>
      <c r="C365" s="70"/>
      <c r="D365" s="70"/>
      <c r="E365" s="70"/>
      <c r="F365" s="70"/>
    </row>
    <row r="366" spans="1:6" ht="13.2">
      <c r="A366" s="70"/>
      <c r="B366" s="70"/>
      <c r="C366" s="70"/>
      <c r="D366" s="70"/>
      <c r="E366" s="70"/>
      <c r="F366" s="70"/>
    </row>
    <row r="367" spans="1:6" ht="13.2">
      <c r="A367" s="70"/>
      <c r="B367" s="70"/>
      <c r="C367" s="70"/>
      <c r="D367" s="70"/>
      <c r="E367" s="70"/>
      <c r="F367" s="70"/>
    </row>
    <row r="368" spans="1:6" ht="13.2">
      <c r="A368" s="70"/>
      <c r="B368" s="70"/>
      <c r="C368" s="70"/>
      <c r="D368" s="70"/>
      <c r="E368" s="70"/>
      <c r="F368" s="70"/>
    </row>
    <row r="369" spans="1:6" ht="13.2">
      <c r="A369" s="70"/>
      <c r="B369" s="70"/>
      <c r="C369" s="70"/>
      <c r="D369" s="70"/>
      <c r="E369" s="70"/>
      <c r="F369" s="70"/>
    </row>
    <row r="370" spans="1:6" ht="13.2">
      <c r="A370" s="70"/>
      <c r="B370" s="70"/>
      <c r="C370" s="70"/>
      <c r="D370" s="70"/>
      <c r="E370" s="70"/>
      <c r="F370" s="70"/>
    </row>
    <row r="371" spans="1:6" ht="13.2">
      <c r="A371" s="70"/>
      <c r="B371" s="70"/>
      <c r="C371" s="70"/>
      <c r="D371" s="70"/>
      <c r="E371" s="70"/>
      <c r="F371" s="70"/>
    </row>
    <row r="372" spans="1:6" ht="13.2">
      <c r="A372" s="70"/>
      <c r="B372" s="70"/>
      <c r="C372" s="70"/>
      <c r="D372" s="70"/>
      <c r="E372" s="70"/>
      <c r="F372" s="70"/>
    </row>
    <row r="373" spans="1:6" ht="13.2">
      <c r="A373" s="70"/>
      <c r="B373" s="70"/>
      <c r="C373" s="70"/>
      <c r="D373" s="70"/>
      <c r="E373" s="70"/>
      <c r="F373" s="70"/>
    </row>
    <row r="374" spans="1:6" ht="13.2">
      <c r="A374" s="70"/>
      <c r="B374" s="70"/>
      <c r="C374" s="70"/>
      <c r="D374" s="70"/>
      <c r="E374" s="70"/>
      <c r="F374" s="70"/>
    </row>
    <row r="375" spans="1:6" ht="13.2">
      <c r="A375" s="70"/>
      <c r="B375" s="70"/>
      <c r="C375" s="70"/>
      <c r="D375" s="70"/>
      <c r="E375" s="70"/>
      <c r="F375" s="70"/>
    </row>
    <row r="376" spans="1:6" ht="13.2">
      <c r="A376" s="70"/>
      <c r="B376" s="70"/>
      <c r="C376" s="70"/>
      <c r="D376" s="70"/>
      <c r="E376" s="70"/>
      <c r="F376" s="70"/>
    </row>
    <row r="377" spans="1:6" ht="13.2">
      <c r="A377" s="70"/>
      <c r="B377" s="70"/>
      <c r="C377" s="70"/>
      <c r="D377" s="70"/>
      <c r="E377" s="70"/>
      <c r="F377" s="70"/>
    </row>
    <row r="378" spans="1:6" ht="13.2">
      <c r="A378" s="70"/>
      <c r="B378" s="70"/>
      <c r="C378" s="70"/>
      <c r="D378" s="70"/>
      <c r="E378" s="70"/>
      <c r="F378" s="70"/>
    </row>
    <row r="379" spans="1:6" ht="13.2">
      <c r="A379" s="70"/>
      <c r="B379" s="70"/>
      <c r="C379" s="70"/>
      <c r="D379" s="70"/>
      <c r="E379" s="70"/>
      <c r="F379" s="70"/>
    </row>
    <row r="380" spans="1:6" ht="13.2">
      <c r="A380" s="70"/>
      <c r="B380" s="70"/>
      <c r="C380" s="70"/>
      <c r="D380" s="70"/>
      <c r="E380" s="70"/>
      <c r="F380" s="70"/>
    </row>
    <row r="381" spans="1:6" ht="13.2">
      <c r="A381" s="70"/>
      <c r="B381" s="70"/>
      <c r="C381" s="70"/>
      <c r="D381" s="70"/>
      <c r="E381" s="70"/>
      <c r="F381" s="70"/>
    </row>
    <row r="382" spans="1:6" ht="13.2">
      <c r="A382" s="70"/>
      <c r="B382" s="70"/>
      <c r="C382" s="70"/>
      <c r="D382" s="70"/>
      <c r="E382" s="70"/>
      <c r="F382" s="70"/>
    </row>
    <row r="383" spans="1:6" ht="13.2">
      <c r="A383" s="70"/>
      <c r="B383" s="70"/>
      <c r="C383" s="70"/>
      <c r="D383" s="70"/>
      <c r="E383" s="70"/>
      <c r="F383" s="70"/>
    </row>
    <row r="384" spans="1:6" ht="13.2">
      <c r="A384" s="70"/>
      <c r="B384" s="70"/>
      <c r="C384" s="70"/>
      <c r="D384" s="70"/>
      <c r="E384" s="70"/>
      <c r="F384" s="70"/>
    </row>
    <row r="385" spans="1:6" ht="13.2">
      <c r="A385" s="70"/>
      <c r="B385" s="70"/>
      <c r="C385" s="70"/>
      <c r="D385" s="70"/>
      <c r="E385" s="70"/>
      <c r="F385" s="70"/>
    </row>
    <row r="386" spans="1:6" ht="13.2">
      <c r="A386" s="70"/>
      <c r="B386" s="70"/>
      <c r="C386" s="70"/>
      <c r="D386" s="70"/>
      <c r="E386" s="70"/>
      <c r="F386" s="70"/>
    </row>
    <row r="387" spans="1:6" ht="13.2">
      <c r="A387" s="70"/>
      <c r="B387" s="70"/>
      <c r="C387" s="70"/>
      <c r="D387" s="70"/>
      <c r="E387" s="70"/>
      <c r="F387" s="70"/>
    </row>
    <row r="388" spans="1:6" ht="13.2">
      <c r="A388" s="70"/>
      <c r="B388" s="70"/>
      <c r="C388" s="70"/>
      <c r="D388" s="70"/>
      <c r="E388" s="70"/>
      <c r="F388" s="70"/>
    </row>
    <row r="389" spans="1:6" ht="13.2">
      <c r="A389" s="70"/>
      <c r="B389" s="70"/>
      <c r="C389" s="70"/>
      <c r="D389" s="70"/>
      <c r="E389" s="70"/>
      <c r="F389" s="70"/>
    </row>
    <row r="390" spans="1:6" ht="13.2">
      <c r="A390" s="70"/>
      <c r="B390" s="70"/>
      <c r="C390" s="70"/>
      <c r="D390" s="70"/>
      <c r="E390" s="70"/>
      <c r="F390" s="70"/>
    </row>
    <row r="391" spans="1:6" ht="13.2">
      <c r="A391" s="70"/>
      <c r="B391" s="70"/>
      <c r="C391" s="70"/>
      <c r="D391" s="70"/>
      <c r="E391" s="70"/>
      <c r="F391" s="70"/>
    </row>
    <row r="392" spans="1:6" ht="13.2">
      <c r="A392" s="70"/>
      <c r="B392" s="70"/>
      <c r="C392" s="70"/>
      <c r="D392" s="70"/>
      <c r="E392" s="70"/>
      <c r="F392" s="70"/>
    </row>
    <row r="393" spans="1:6" ht="13.2">
      <c r="A393" s="70"/>
      <c r="B393" s="70"/>
      <c r="C393" s="70"/>
      <c r="D393" s="70"/>
      <c r="E393" s="70"/>
      <c r="F393" s="70"/>
    </row>
    <row r="394" spans="1:6" ht="13.2">
      <c r="A394" s="70"/>
      <c r="B394" s="70"/>
      <c r="C394" s="70"/>
      <c r="D394" s="70"/>
      <c r="E394" s="70"/>
      <c r="F394" s="70"/>
    </row>
    <row r="395" spans="1:6" ht="13.2">
      <c r="A395" s="70"/>
      <c r="B395" s="70"/>
      <c r="C395" s="70"/>
      <c r="D395" s="70"/>
      <c r="E395" s="70"/>
      <c r="F395" s="70"/>
    </row>
    <row r="396" spans="1:6" ht="13.2">
      <c r="A396" s="70"/>
      <c r="B396" s="70"/>
      <c r="C396" s="70"/>
      <c r="D396" s="70"/>
      <c r="E396" s="70"/>
      <c r="F396" s="70"/>
    </row>
    <row r="397" spans="1:6" ht="13.2">
      <c r="A397" s="70"/>
      <c r="B397" s="70"/>
      <c r="C397" s="70"/>
      <c r="D397" s="70"/>
      <c r="E397" s="70"/>
      <c r="F397" s="70"/>
    </row>
    <row r="398" spans="1:6" ht="13.2">
      <c r="A398" s="70"/>
      <c r="B398" s="70"/>
      <c r="C398" s="70"/>
      <c r="D398" s="70"/>
      <c r="E398" s="70"/>
      <c r="F398" s="70"/>
    </row>
    <row r="399" spans="1:6" ht="13.2">
      <c r="A399" s="70"/>
      <c r="B399" s="70"/>
      <c r="C399" s="70"/>
      <c r="D399" s="70"/>
      <c r="E399" s="70"/>
      <c r="F399" s="70"/>
    </row>
    <row r="400" spans="1:6" ht="13.2">
      <c r="A400" s="70"/>
      <c r="B400" s="70"/>
      <c r="C400" s="70"/>
      <c r="D400" s="70"/>
      <c r="E400" s="70"/>
      <c r="F400" s="70"/>
    </row>
    <row r="401" spans="1:6" ht="13.2">
      <c r="A401" s="70"/>
      <c r="B401" s="70"/>
      <c r="C401" s="70"/>
      <c r="D401" s="70"/>
      <c r="E401" s="70"/>
      <c r="F401" s="70"/>
    </row>
    <row r="402" spans="1:6" ht="13.2">
      <c r="A402" s="70"/>
      <c r="B402" s="70"/>
      <c r="C402" s="70"/>
      <c r="D402" s="70"/>
      <c r="E402" s="70"/>
      <c r="F402" s="70"/>
    </row>
    <row r="403" spans="1:6" ht="13.2">
      <c r="A403" s="70"/>
      <c r="B403" s="70"/>
      <c r="C403" s="70"/>
      <c r="D403" s="70"/>
      <c r="E403" s="70"/>
      <c r="F403" s="70"/>
    </row>
    <row r="404" spans="1:6" ht="13.2">
      <c r="A404" s="70"/>
      <c r="B404" s="70"/>
      <c r="C404" s="70"/>
      <c r="D404" s="70"/>
      <c r="E404" s="70"/>
      <c r="F404" s="70"/>
    </row>
    <row r="405" spans="1:6" ht="13.2">
      <c r="A405" s="70"/>
      <c r="B405" s="70"/>
      <c r="C405" s="70"/>
      <c r="D405" s="70"/>
      <c r="E405" s="70"/>
      <c r="F405" s="70"/>
    </row>
    <row r="406" spans="1:6" ht="13.2">
      <c r="A406" s="70"/>
      <c r="B406" s="70"/>
      <c r="C406" s="70"/>
      <c r="D406" s="70"/>
      <c r="E406" s="70"/>
      <c r="F406" s="70"/>
    </row>
    <row r="407" spans="1:6" ht="13.2">
      <c r="A407" s="70"/>
      <c r="B407" s="70"/>
      <c r="C407" s="70"/>
      <c r="D407" s="70"/>
      <c r="E407" s="70"/>
      <c r="F407" s="70"/>
    </row>
    <row r="408" spans="1:6" ht="13.2">
      <c r="A408" s="70"/>
      <c r="B408" s="70"/>
      <c r="C408" s="70"/>
      <c r="D408" s="70"/>
      <c r="E408" s="70"/>
      <c r="F408" s="70"/>
    </row>
    <row r="409" spans="1:6" ht="13.2">
      <c r="A409" s="70"/>
      <c r="B409" s="70"/>
      <c r="C409" s="70"/>
      <c r="D409" s="70"/>
      <c r="E409" s="70"/>
      <c r="F409" s="70"/>
    </row>
    <row r="410" spans="1:6" ht="13.2">
      <c r="A410" s="70"/>
      <c r="B410" s="70"/>
      <c r="C410" s="70"/>
      <c r="D410" s="70"/>
      <c r="E410" s="70"/>
      <c r="F410" s="70"/>
    </row>
    <row r="411" spans="1:6" ht="13.2">
      <c r="A411" s="70"/>
      <c r="B411" s="70"/>
      <c r="C411" s="70"/>
      <c r="D411" s="70"/>
      <c r="E411" s="70"/>
      <c r="F411" s="70"/>
    </row>
    <row r="412" spans="1:6" ht="13.2">
      <c r="A412" s="70"/>
      <c r="B412" s="70"/>
      <c r="C412" s="70"/>
      <c r="D412" s="70"/>
      <c r="E412" s="70"/>
      <c r="F412" s="70"/>
    </row>
    <row r="413" spans="1:6" ht="13.2">
      <c r="A413" s="70"/>
      <c r="B413" s="70"/>
      <c r="C413" s="70"/>
      <c r="D413" s="70"/>
      <c r="E413" s="70"/>
      <c r="F413" s="70"/>
    </row>
    <row r="414" spans="1:6" ht="13.2">
      <c r="A414" s="70"/>
      <c r="B414" s="70"/>
      <c r="C414" s="70"/>
      <c r="D414" s="70"/>
      <c r="E414" s="70"/>
      <c r="F414" s="70"/>
    </row>
    <row r="415" spans="1:6" ht="13.2">
      <c r="A415" s="70"/>
      <c r="B415" s="70"/>
      <c r="C415" s="70"/>
      <c r="D415" s="70"/>
      <c r="E415" s="70"/>
      <c r="F415" s="70"/>
    </row>
    <row r="416" spans="1:6" ht="13.2">
      <c r="A416" s="70"/>
      <c r="B416" s="70"/>
      <c r="C416" s="70"/>
      <c r="D416" s="70"/>
      <c r="E416" s="70"/>
      <c r="F416" s="70"/>
    </row>
    <row r="417" spans="1:6" ht="13.2">
      <c r="A417" s="70"/>
      <c r="B417" s="70"/>
      <c r="C417" s="70"/>
      <c r="D417" s="70"/>
      <c r="E417" s="70"/>
      <c r="F417" s="70"/>
    </row>
    <row r="418" spans="1:6" ht="13.2">
      <c r="A418" s="70"/>
      <c r="B418" s="70"/>
      <c r="C418" s="70"/>
      <c r="D418" s="70"/>
      <c r="E418" s="70"/>
      <c r="F418" s="70"/>
    </row>
    <row r="419" spans="1:6" ht="13.2">
      <c r="A419" s="70"/>
      <c r="B419" s="70"/>
      <c r="C419" s="70"/>
      <c r="D419" s="70"/>
      <c r="E419" s="70"/>
      <c r="F419" s="70"/>
    </row>
    <row r="420" spans="1:6" ht="13.2">
      <c r="A420" s="70"/>
      <c r="B420" s="70"/>
      <c r="C420" s="70"/>
      <c r="D420" s="70"/>
      <c r="E420" s="70"/>
      <c r="F420" s="70"/>
    </row>
    <row r="421" spans="1:6" ht="13.2">
      <c r="A421" s="70"/>
      <c r="B421" s="70"/>
      <c r="C421" s="70"/>
      <c r="D421" s="70"/>
      <c r="E421" s="70"/>
      <c r="F421" s="70"/>
    </row>
    <row r="422" spans="1:6" ht="13.2">
      <c r="A422" s="70"/>
      <c r="B422" s="70"/>
      <c r="C422" s="70"/>
      <c r="D422" s="70"/>
      <c r="E422" s="70"/>
      <c r="F422" s="70"/>
    </row>
    <row r="423" spans="1:6" ht="13.2">
      <c r="A423" s="70"/>
      <c r="B423" s="70"/>
      <c r="C423" s="70"/>
      <c r="D423" s="70"/>
      <c r="E423" s="70"/>
      <c r="F423" s="70"/>
    </row>
    <row r="424" spans="1:6" ht="13.2">
      <c r="A424" s="70"/>
      <c r="B424" s="70"/>
      <c r="C424" s="70"/>
      <c r="D424" s="70"/>
      <c r="E424" s="70"/>
      <c r="F424" s="70"/>
    </row>
    <row r="425" spans="1:6" ht="13.2">
      <c r="A425" s="70"/>
      <c r="B425" s="70"/>
      <c r="C425" s="70"/>
      <c r="D425" s="70"/>
      <c r="E425" s="70"/>
      <c r="F425" s="70"/>
    </row>
    <row r="426" spans="1:6" ht="13.2">
      <c r="A426" s="70"/>
      <c r="B426" s="70"/>
      <c r="C426" s="70"/>
      <c r="D426" s="70"/>
      <c r="E426" s="70"/>
      <c r="F426" s="70"/>
    </row>
    <row r="427" spans="1:6" ht="13.2">
      <c r="A427" s="70"/>
      <c r="B427" s="70"/>
      <c r="C427" s="70"/>
      <c r="D427" s="70"/>
      <c r="E427" s="70"/>
      <c r="F427" s="70"/>
    </row>
    <row r="428" spans="1:6" ht="13.2">
      <c r="A428" s="70"/>
      <c r="B428" s="70"/>
      <c r="C428" s="70"/>
      <c r="D428" s="70"/>
      <c r="E428" s="70"/>
      <c r="F428" s="70"/>
    </row>
    <row r="429" spans="1:6" ht="13.2">
      <c r="A429" s="70"/>
      <c r="B429" s="70"/>
      <c r="C429" s="70"/>
      <c r="D429" s="70"/>
      <c r="E429" s="70"/>
      <c r="F429" s="70"/>
    </row>
    <row r="430" spans="1:6" ht="13.2">
      <c r="A430" s="70"/>
      <c r="B430" s="70"/>
      <c r="C430" s="70"/>
      <c r="D430" s="70"/>
      <c r="E430" s="70"/>
      <c r="F430" s="70"/>
    </row>
    <row r="431" spans="1:6" ht="13.2">
      <c r="A431" s="70"/>
      <c r="B431" s="70"/>
      <c r="C431" s="70"/>
      <c r="D431" s="70"/>
      <c r="E431" s="70"/>
      <c r="F431" s="70"/>
    </row>
    <row r="432" spans="1:6" ht="13.2">
      <c r="A432" s="70"/>
      <c r="B432" s="70"/>
      <c r="C432" s="70"/>
      <c r="D432" s="70"/>
      <c r="E432" s="70"/>
      <c r="F432" s="70"/>
    </row>
    <row r="433" spans="1:6" ht="13.2">
      <c r="A433" s="70"/>
      <c r="B433" s="70"/>
      <c r="C433" s="70"/>
      <c r="D433" s="70"/>
      <c r="E433" s="70"/>
      <c r="F433" s="70"/>
    </row>
    <row r="434" spans="1:6" ht="13.2">
      <c r="A434" s="70"/>
      <c r="B434" s="70"/>
      <c r="C434" s="70"/>
      <c r="D434" s="70"/>
      <c r="E434" s="70"/>
      <c r="F434" s="70"/>
    </row>
    <row r="435" spans="1:6" ht="13.2">
      <c r="A435" s="70"/>
      <c r="B435" s="70"/>
      <c r="C435" s="70"/>
      <c r="D435" s="70"/>
      <c r="E435" s="70"/>
      <c r="F435" s="70"/>
    </row>
    <row r="436" spans="1:6" ht="13.2">
      <c r="A436" s="70"/>
      <c r="B436" s="70"/>
      <c r="C436" s="70"/>
      <c r="D436" s="70"/>
      <c r="E436" s="70"/>
      <c r="F436" s="70"/>
    </row>
    <row r="437" spans="1:6" ht="13.2">
      <c r="A437" s="70"/>
      <c r="B437" s="70"/>
      <c r="C437" s="70"/>
      <c r="D437" s="70"/>
      <c r="E437" s="70"/>
      <c r="F437" s="70"/>
    </row>
    <row r="438" spans="1:6" ht="13.2">
      <c r="A438" s="70"/>
      <c r="B438" s="70"/>
      <c r="C438" s="70"/>
      <c r="D438" s="70"/>
      <c r="E438" s="70"/>
      <c r="F438" s="70"/>
    </row>
    <row r="439" spans="1:6" ht="13.2">
      <c r="A439" s="70"/>
      <c r="B439" s="70"/>
      <c r="C439" s="70"/>
      <c r="D439" s="70"/>
      <c r="E439" s="70"/>
      <c r="F439" s="70"/>
    </row>
    <row r="440" spans="1:6" ht="13.2">
      <c r="A440" s="70"/>
      <c r="B440" s="70"/>
      <c r="C440" s="70"/>
      <c r="D440" s="70"/>
      <c r="E440" s="70"/>
      <c r="F440" s="70"/>
    </row>
    <row r="441" spans="1:6" ht="13.2">
      <c r="A441" s="70"/>
      <c r="B441" s="70"/>
      <c r="C441" s="70"/>
      <c r="D441" s="70"/>
      <c r="E441" s="70"/>
      <c r="F441" s="70"/>
    </row>
    <row r="442" spans="1:6" ht="13.2">
      <c r="A442" s="70"/>
      <c r="B442" s="70"/>
      <c r="C442" s="70"/>
      <c r="D442" s="70"/>
      <c r="E442" s="70"/>
      <c r="F442" s="70"/>
    </row>
    <row r="443" spans="1:6" ht="13.2">
      <c r="A443" s="70"/>
      <c r="B443" s="70"/>
      <c r="C443" s="70"/>
      <c r="D443" s="70"/>
      <c r="E443" s="70"/>
      <c r="F443" s="70"/>
    </row>
    <row r="444" spans="1:6" ht="13.2">
      <c r="A444" s="70"/>
      <c r="B444" s="70"/>
      <c r="C444" s="70"/>
      <c r="D444" s="70"/>
      <c r="E444" s="70"/>
      <c r="F444" s="70"/>
    </row>
    <row r="445" spans="1:6" ht="13.2">
      <c r="A445" s="70"/>
      <c r="B445" s="70"/>
      <c r="C445" s="70"/>
      <c r="D445" s="70"/>
      <c r="E445" s="70"/>
      <c r="F445" s="70"/>
    </row>
    <row r="446" spans="1:6" ht="13.2">
      <c r="A446" s="70"/>
      <c r="B446" s="70"/>
      <c r="C446" s="70"/>
      <c r="D446" s="70"/>
      <c r="E446" s="70"/>
      <c r="F446" s="70"/>
    </row>
    <row r="447" spans="1:6" ht="13.2">
      <c r="A447" s="70"/>
      <c r="B447" s="70"/>
      <c r="C447" s="70"/>
      <c r="D447" s="70"/>
      <c r="E447" s="70"/>
      <c r="F447" s="70"/>
    </row>
    <row r="448" spans="1:6" ht="13.2">
      <c r="A448" s="70"/>
      <c r="B448" s="70"/>
      <c r="C448" s="70"/>
      <c r="D448" s="70"/>
      <c r="E448" s="70"/>
      <c r="F448" s="70"/>
    </row>
    <row r="449" spans="1:6" ht="13.2">
      <c r="A449" s="70"/>
      <c r="B449" s="70"/>
      <c r="C449" s="70"/>
      <c r="D449" s="70"/>
      <c r="E449" s="70"/>
      <c r="F449" s="70"/>
    </row>
    <row r="450" spans="1:6" ht="13.2">
      <c r="A450" s="70"/>
      <c r="B450" s="70"/>
      <c r="C450" s="70"/>
      <c r="D450" s="70"/>
      <c r="E450" s="70"/>
      <c r="F450" s="70"/>
    </row>
    <row r="451" spans="1:6" ht="13.2">
      <c r="A451" s="70"/>
      <c r="B451" s="70"/>
      <c r="C451" s="70"/>
      <c r="D451" s="70"/>
      <c r="E451" s="70"/>
      <c r="F451" s="70"/>
    </row>
    <row r="452" spans="1:6" ht="13.2">
      <c r="A452" s="70"/>
      <c r="B452" s="70"/>
      <c r="C452" s="70"/>
      <c r="D452" s="70"/>
      <c r="E452" s="70"/>
      <c r="F452" s="70"/>
    </row>
    <row r="453" spans="1:6" ht="13.2">
      <c r="A453" s="70"/>
      <c r="B453" s="70"/>
      <c r="C453" s="70"/>
      <c r="D453" s="70"/>
      <c r="E453" s="70"/>
      <c r="F453" s="70"/>
    </row>
    <row r="454" spans="1:6" ht="13.2">
      <c r="A454" s="70"/>
      <c r="B454" s="70"/>
      <c r="C454" s="70"/>
      <c r="D454" s="70"/>
      <c r="E454" s="70"/>
      <c r="F454" s="70"/>
    </row>
    <row r="455" spans="1:6" ht="13.2">
      <c r="A455" s="70"/>
      <c r="B455" s="70"/>
      <c r="C455" s="70"/>
      <c r="D455" s="70"/>
      <c r="E455" s="70"/>
      <c r="F455" s="70"/>
    </row>
    <row r="456" spans="1:6" ht="13.2">
      <c r="A456" s="70"/>
      <c r="B456" s="70"/>
      <c r="C456" s="70"/>
      <c r="D456" s="70"/>
      <c r="E456" s="70"/>
      <c r="F456" s="70"/>
    </row>
    <row r="457" spans="1:6" ht="13.2">
      <c r="A457" s="70"/>
      <c r="B457" s="70"/>
      <c r="C457" s="70"/>
      <c r="D457" s="70"/>
      <c r="E457" s="70"/>
      <c r="F457" s="70"/>
    </row>
    <row r="458" spans="1:6" ht="13.2">
      <c r="A458" s="70"/>
      <c r="B458" s="70"/>
      <c r="C458" s="70"/>
      <c r="D458" s="70"/>
      <c r="E458" s="70"/>
      <c r="F458" s="70"/>
    </row>
    <row r="459" spans="1:6" ht="13.2">
      <c r="A459" s="70"/>
      <c r="B459" s="70"/>
      <c r="C459" s="70"/>
      <c r="D459" s="70"/>
      <c r="E459" s="70"/>
      <c r="F459" s="70"/>
    </row>
    <row r="460" spans="1:6" ht="13.2">
      <c r="A460" s="70"/>
      <c r="B460" s="70"/>
      <c r="C460" s="70"/>
      <c r="D460" s="70"/>
      <c r="E460" s="70"/>
      <c r="F460" s="70"/>
    </row>
    <row r="461" spans="1:6" ht="13.2">
      <c r="A461" s="70"/>
      <c r="B461" s="70"/>
      <c r="C461" s="70"/>
      <c r="D461" s="70"/>
      <c r="E461" s="70"/>
      <c r="F461" s="70"/>
    </row>
    <row r="462" spans="1:6" ht="13.2">
      <c r="A462" s="70"/>
      <c r="B462" s="70"/>
      <c r="C462" s="70"/>
      <c r="D462" s="70"/>
      <c r="E462" s="70"/>
      <c r="F462" s="70"/>
    </row>
    <row r="463" spans="1:6" ht="13.2">
      <c r="A463" s="70"/>
      <c r="B463" s="70"/>
      <c r="C463" s="70"/>
      <c r="D463" s="70"/>
      <c r="E463" s="70"/>
      <c r="F463" s="70"/>
    </row>
    <row r="464" spans="1:6" ht="13.2">
      <c r="A464" s="70"/>
      <c r="B464" s="70"/>
      <c r="C464" s="70"/>
      <c r="D464" s="70"/>
      <c r="E464" s="70"/>
      <c r="F464" s="70"/>
    </row>
    <row r="465" spans="1:6" ht="13.2">
      <c r="A465" s="70"/>
      <c r="B465" s="70"/>
      <c r="C465" s="70"/>
      <c r="D465" s="70"/>
      <c r="E465" s="70"/>
      <c r="F465" s="70"/>
    </row>
    <row r="466" spans="1:6" ht="13.2">
      <c r="A466" s="70"/>
      <c r="B466" s="70"/>
      <c r="C466" s="70"/>
      <c r="D466" s="70"/>
      <c r="E466" s="70"/>
      <c r="F466" s="70"/>
    </row>
    <row r="467" spans="1:6" ht="13.2">
      <c r="A467" s="70"/>
      <c r="B467" s="70"/>
      <c r="C467" s="70"/>
      <c r="D467" s="70"/>
      <c r="E467" s="70"/>
      <c r="F467" s="70"/>
    </row>
    <row r="468" spans="1:6" ht="13.2">
      <c r="A468" s="70"/>
      <c r="B468" s="70"/>
      <c r="C468" s="70"/>
      <c r="D468" s="70"/>
      <c r="E468" s="70"/>
      <c r="F468" s="70"/>
    </row>
    <row r="469" spans="1:6" ht="13.2">
      <c r="A469" s="70"/>
      <c r="B469" s="70"/>
      <c r="C469" s="70"/>
      <c r="D469" s="70"/>
      <c r="E469" s="70"/>
      <c r="F469" s="70"/>
    </row>
    <row r="470" spans="1:6" ht="13.2">
      <c r="A470" s="70"/>
      <c r="B470" s="70"/>
      <c r="C470" s="70"/>
      <c r="D470" s="70"/>
      <c r="E470" s="70"/>
      <c r="F470" s="70"/>
    </row>
    <row r="471" spans="1:6" ht="13.2">
      <c r="A471" s="70"/>
      <c r="B471" s="70"/>
      <c r="C471" s="70"/>
      <c r="D471" s="70"/>
      <c r="E471" s="70"/>
      <c r="F471" s="70"/>
    </row>
    <row r="472" spans="1:6" ht="13.2">
      <c r="A472" s="70"/>
      <c r="B472" s="70"/>
      <c r="C472" s="70"/>
      <c r="D472" s="70"/>
      <c r="E472" s="70"/>
      <c r="F472" s="70"/>
    </row>
    <row r="473" spans="1:6" ht="13.2">
      <c r="A473" s="70"/>
      <c r="B473" s="70"/>
      <c r="C473" s="70"/>
      <c r="D473" s="70"/>
      <c r="E473" s="70"/>
      <c r="F473" s="70"/>
    </row>
    <row r="474" spans="1:6" ht="13.2">
      <c r="A474" s="70"/>
      <c r="B474" s="70"/>
      <c r="C474" s="70"/>
      <c r="D474" s="70"/>
      <c r="E474" s="70"/>
      <c r="F474" s="70"/>
    </row>
    <row r="475" spans="1:6" ht="13.2">
      <c r="A475" s="70"/>
      <c r="B475" s="70"/>
      <c r="C475" s="70"/>
      <c r="D475" s="70"/>
      <c r="E475" s="70"/>
      <c r="F475" s="70"/>
    </row>
    <row r="476" spans="1:6" ht="13.2">
      <c r="A476" s="70"/>
      <c r="B476" s="70"/>
      <c r="C476" s="70"/>
      <c r="D476" s="70"/>
      <c r="E476" s="70"/>
      <c r="F476" s="70"/>
    </row>
    <row r="477" spans="1:6" ht="13.2">
      <c r="A477" s="70"/>
      <c r="B477" s="70"/>
      <c r="C477" s="70"/>
      <c r="D477" s="70"/>
      <c r="E477" s="70"/>
      <c r="F477" s="70"/>
    </row>
    <row r="478" spans="1:6" ht="13.2">
      <c r="A478" s="70"/>
      <c r="B478" s="70"/>
      <c r="C478" s="70"/>
      <c r="D478" s="70"/>
      <c r="E478" s="70"/>
      <c r="F478" s="70"/>
    </row>
    <row r="479" spans="1:6" ht="13.2">
      <c r="A479" s="70"/>
      <c r="B479" s="70"/>
      <c r="C479" s="70"/>
      <c r="D479" s="70"/>
      <c r="E479" s="70"/>
      <c r="F479" s="70"/>
    </row>
    <row r="480" spans="1:6" ht="13.2">
      <c r="A480" s="70"/>
      <c r="B480" s="70"/>
      <c r="C480" s="70"/>
      <c r="D480" s="70"/>
      <c r="E480" s="70"/>
      <c r="F480" s="70"/>
    </row>
    <row r="481" spans="1:6" ht="13.2">
      <c r="A481" s="70"/>
      <c r="B481" s="70"/>
      <c r="C481" s="70"/>
      <c r="D481" s="70"/>
      <c r="E481" s="70"/>
      <c r="F481" s="70"/>
    </row>
    <row r="482" spans="1:6" ht="13.2">
      <c r="A482" s="70"/>
      <c r="B482" s="70"/>
      <c r="C482" s="70"/>
      <c r="D482" s="70"/>
      <c r="E482" s="70"/>
      <c r="F482" s="70"/>
    </row>
    <row r="483" spans="1:6" ht="13.2">
      <c r="A483" s="70"/>
      <c r="B483" s="70"/>
      <c r="C483" s="70"/>
      <c r="D483" s="70"/>
      <c r="E483" s="70"/>
      <c r="F483" s="70"/>
    </row>
    <row r="484" spans="1:6" ht="13.2">
      <c r="A484" s="70"/>
      <c r="B484" s="70"/>
      <c r="C484" s="70"/>
      <c r="D484" s="70"/>
      <c r="E484" s="70"/>
      <c r="F484" s="70"/>
    </row>
    <row r="485" spans="1:6" ht="13.2">
      <c r="A485" s="70"/>
      <c r="B485" s="70"/>
      <c r="C485" s="70"/>
      <c r="D485" s="70"/>
      <c r="E485" s="70"/>
      <c r="F485" s="70"/>
    </row>
    <row r="486" spans="1:6" ht="13.2">
      <c r="A486" s="70"/>
      <c r="B486" s="70"/>
      <c r="C486" s="70"/>
      <c r="D486" s="70"/>
      <c r="E486" s="70"/>
      <c r="F486" s="70"/>
    </row>
    <row r="487" spans="1:6" ht="13.2">
      <c r="A487" s="70"/>
      <c r="B487" s="70"/>
      <c r="C487" s="70"/>
      <c r="D487" s="70"/>
      <c r="E487" s="70"/>
      <c r="F487" s="70"/>
    </row>
    <row r="488" spans="1:6" ht="13.2">
      <c r="A488" s="70"/>
      <c r="B488" s="70"/>
      <c r="C488" s="70"/>
      <c r="D488" s="70"/>
      <c r="E488" s="70"/>
      <c r="F488" s="70"/>
    </row>
    <row r="489" spans="1:6" ht="13.2">
      <c r="A489" s="70"/>
      <c r="B489" s="70"/>
      <c r="C489" s="70"/>
      <c r="D489" s="70"/>
      <c r="E489" s="70"/>
      <c r="F489" s="70"/>
    </row>
    <row r="490" spans="1:6" ht="13.2">
      <c r="A490" s="70"/>
      <c r="B490" s="70"/>
      <c r="C490" s="70"/>
      <c r="D490" s="70"/>
      <c r="E490" s="70"/>
      <c r="F490" s="70"/>
    </row>
    <row r="491" spans="1:6" ht="13.2">
      <c r="A491" s="70"/>
      <c r="B491" s="70"/>
      <c r="C491" s="70"/>
      <c r="D491" s="70"/>
      <c r="E491" s="70"/>
      <c r="F491" s="70"/>
    </row>
    <row r="492" spans="1:6" ht="13.2">
      <c r="A492" s="70"/>
      <c r="B492" s="70"/>
      <c r="C492" s="70"/>
      <c r="D492" s="70"/>
      <c r="E492" s="70"/>
      <c r="F492" s="70"/>
    </row>
    <row r="493" spans="1:6" ht="13.2">
      <c r="A493" s="70"/>
      <c r="B493" s="70"/>
      <c r="C493" s="70"/>
      <c r="D493" s="70"/>
      <c r="E493" s="70"/>
      <c r="F493" s="70"/>
    </row>
    <row r="494" spans="1:6" ht="13.2">
      <c r="A494" s="70"/>
      <c r="B494" s="70"/>
      <c r="C494" s="70"/>
      <c r="D494" s="70"/>
      <c r="E494" s="70"/>
      <c r="F494" s="70"/>
    </row>
    <row r="495" spans="1:6" ht="13.2">
      <c r="A495" s="70"/>
      <c r="B495" s="70"/>
      <c r="C495" s="70"/>
      <c r="D495" s="70"/>
      <c r="E495" s="70"/>
      <c r="F495" s="70"/>
    </row>
    <row r="496" spans="1:6" ht="13.2">
      <c r="A496" s="70"/>
      <c r="B496" s="70"/>
      <c r="C496" s="70"/>
      <c r="D496" s="70"/>
      <c r="E496" s="70"/>
      <c r="F496" s="70"/>
    </row>
    <row r="497" spans="1:6" ht="13.2">
      <c r="A497" s="70"/>
      <c r="B497" s="70"/>
      <c r="C497" s="70"/>
      <c r="D497" s="70"/>
      <c r="E497" s="70"/>
      <c r="F497" s="70"/>
    </row>
    <row r="498" spans="1:6" ht="13.2">
      <c r="A498" s="70"/>
      <c r="B498" s="70"/>
      <c r="C498" s="70"/>
      <c r="D498" s="70"/>
      <c r="E498" s="70"/>
      <c r="F498" s="70"/>
    </row>
    <row r="499" spans="1:6" ht="13.2">
      <c r="A499" s="70"/>
      <c r="B499" s="70"/>
      <c r="C499" s="70"/>
      <c r="D499" s="70"/>
      <c r="E499" s="70"/>
      <c r="F499" s="70"/>
    </row>
    <row r="500" spans="1:6" ht="13.2">
      <c r="A500" s="70"/>
      <c r="B500" s="70"/>
      <c r="C500" s="70"/>
      <c r="D500" s="70"/>
      <c r="E500" s="70"/>
      <c r="F500" s="70"/>
    </row>
    <row r="501" spans="1:6" ht="13.2">
      <c r="A501" s="70"/>
      <c r="B501" s="70"/>
      <c r="C501" s="70"/>
      <c r="D501" s="70"/>
      <c r="E501" s="70"/>
      <c r="F501" s="70"/>
    </row>
    <row r="502" spans="1:6" ht="13.2">
      <c r="A502" s="70"/>
      <c r="B502" s="70"/>
      <c r="C502" s="70"/>
      <c r="D502" s="70"/>
      <c r="E502" s="70"/>
      <c r="F502" s="70"/>
    </row>
    <row r="503" spans="1:6" ht="13.2">
      <c r="A503" s="70"/>
      <c r="B503" s="70"/>
      <c r="C503" s="70"/>
      <c r="D503" s="70"/>
      <c r="E503" s="70"/>
      <c r="F503" s="70"/>
    </row>
    <row r="504" spans="1:6" ht="13.2">
      <c r="A504" s="70"/>
      <c r="B504" s="70"/>
      <c r="C504" s="70"/>
      <c r="D504" s="70"/>
      <c r="E504" s="70"/>
      <c r="F504" s="70"/>
    </row>
    <row r="505" spans="1:6" ht="13.2">
      <c r="A505" s="70"/>
      <c r="B505" s="70"/>
      <c r="C505" s="70"/>
      <c r="D505" s="70"/>
      <c r="E505" s="70"/>
      <c r="F505" s="70"/>
    </row>
    <row r="506" spans="1:6" ht="13.2">
      <c r="A506" s="70"/>
      <c r="B506" s="70"/>
      <c r="C506" s="70"/>
      <c r="D506" s="70"/>
      <c r="E506" s="70"/>
      <c r="F506" s="70"/>
    </row>
    <row r="507" spans="1:6" ht="13.2">
      <c r="A507" s="70"/>
      <c r="B507" s="70"/>
      <c r="C507" s="70"/>
      <c r="D507" s="70"/>
      <c r="E507" s="70"/>
      <c r="F507" s="70"/>
    </row>
    <row r="508" spans="1:6" ht="13.2">
      <c r="A508" s="70"/>
      <c r="B508" s="70"/>
      <c r="C508" s="70"/>
      <c r="D508" s="70"/>
      <c r="E508" s="70"/>
      <c r="F508" s="70"/>
    </row>
    <row r="509" spans="1:6" ht="13.2">
      <c r="A509" s="70"/>
      <c r="B509" s="70"/>
      <c r="C509" s="70"/>
      <c r="D509" s="70"/>
      <c r="E509" s="70"/>
      <c r="F509" s="70"/>
    </row>
    <row r="510" spans="1:6" ht="13.2">
      <c r="A510" s="70"/>
      <c r="B510" s="70"/>
      <c r="C510" s="70"/>
      <c r="D510" s="70"/>
      <c r="E510" s="70"/>
      <c r="F510" s="70"/>
    </row>
    <row r="511" spans="1:6" ht="13.2">
      <c r="A511" s="70"/>
      <c r="B511" s="70"/>
      <c r="C511" s="70"/>
      <c r="D511" s="70"/>
      <c r="E511" s="70"/>
      <c r="F511" s="70"/>
    </row>
    <row r="512" spans="1:6" ht="13.2">
      <c r="A512" s="70"/>
      <c r="B512" s="70"/>
      <c r="C512" s="70"/>
      <c r="D512" s="70"/>
      <c r="E512" s="70"/>
      <c r="F512" s="70"/>
    </row>
    <row r="513" spans="1:6" ht="13.2">
      <c r="A513" s="70"/>
      <c r="B513" s="70"/>
      <c r="C513" s="70"/>
      <c r="D513" s="70"/>
      <c r="E513" s="70"/>
      <c r="F513" s="70"/>
    </row>
    <row r="514" spans="1:6" ht="13.2">
      <c r="A514" s="70"/>
      <c r="B514" s="70"/>
      <c r="C514" s="70"/>
      <c r="D514" s="70"/>
      <c r="E514" s="70"/>
      <c r="F514" s="70"/>
    </row>
    <row r="515" spans="1:6" ht="13.2">
      <c r="A515" s="70"/>
      <c r="B515" s="70"/>
      <c r="C515" s="70"/>
      <c r="D515" s="70"/>
      <c r="E515" s="70"/>
      <c r="F515" s="70"/>
    </row>
    <row r="516" spans="1:6" ht="13.2">
      <c r="A516" s="70"/>
      <c r="B516" s="70"/>
      <c r="C516" s="70"/>
      <c r="D516" s="70"/>
      <c r="E516" s="70"/>
      <c r="F516" s="70"/>
    </row>
    <row r="517" spans="1:6" ht="13.2">
      <c r="A517" s="70"/>
      <c r="B517" s="70"/>
      <c r="C517" s="70"/>
      <c r="D517" s="70"/>
      <c r="E517" s="70"/>
      <c r="F517" s="70"/>
    </row>
    <row r="518" spans="1:6" ht="13.2">
      <c r="A518" s="70"/>
      <c r="B518" s="70"/>
      <c r="C518" s="70"/>
      <c r="D518" s="70"/>
      <c r="E518" s="70"/>
      <c r="F518" s="70"/>
    </row>
    <row r="519" spans="1:6" ht="13.2">
      <c r="A519" s="70"/>
      <c r="B519" s="70"/>
      <c r="C519" s="70"/>
      <c r="D519" s="70"/>
      <c r="E519" s="70"/>
      <c r="F519" s="70"/>
    </row>
    <row r="520" spans="1:6" ht="13.2">
      <c r="A520" s="70"/>
      <c r="B520" s="70"/>
      <c r="C520" s="70"/>
      <c r="D520" s="70"/>
      <c r="E520" s="70"/>
      <c r="F520" s="70"/>
    </row>
    <row r="521" spans="1:6" ht="13.2">
      <c r="A521" s="70"/>
      <c r="B521" s="70"/>
      <c r="C521" s="70"/>
      <c r="D521" s="70"/>
      <c r="E521" s="70"/>
      <c r="F521" s="70"/>
    </row>
    <row r="522" spans="1:6" ht="13.2">
      <c r="A522" s="70"/>
      <c r="B522" s="70"/>
      <c r="C522" s="70"/>
      <c r="D522" s="70"/>
      <c r="E522" s="70"/>
      <c r="F522" s="70"/>
    </row>
    <row r="523" spans="1:6" ht="13.2">
      <c r="A523" s="70"/>
      <c r="B523" s="70"/>
      <c r="C523" s="70"/>
      <c r="D523" s="70"/>
      <c r="E523" s="70"/>
      <c r="F523" s="70"/>
    </row>
    <row r="524" spans="1:6" ht="13.2">
      <c r="A524" s="70"/>
      <c r="B524" s="70"/>
      <c r="C524" s="70"/>
      <c r="D524" s="70"/>
      <c r="E524" s="70"/>
      <c r="F524" s="70"/>
    </row>
    <row r="525" spans="1:6" ht="13.2">
      <c r="A525" s="70"/>
      <c r="B525" s="70"/>
      <c r="C525" s="70"/>
      <c r="D525" s="70"/>
      <c r="E525" s="70"/>
      <c r="F525" s="70"/>
    </row>
    <row r="526" spans="1:6" ht="13.2">
      <c r="A526" s="70"/>
      <c r="B526" s="70"/>
      <c r="C526" s="70"/>
      <c r="D526" s="70"/>
      <c r="E526" s="70"/>
      <c r="F526" s="70"/>
    </row>
    <row r="527" spans="1:6" ht="13.2">
      <c r="A527" s="70"/>
      <c r="B527" s="70"/>
      <c r="C527" s="70"/>
      <c r="D527" s="70"/>
      <c r="E527" s="70"/>
      <c r="F527" s="70"/>
    </row>
    <row r="528" spans="1:6" ht="13.2">
      <c r="A528" s="70"/>
      <c r="B528" s="70"/>
      <c r="C528" s="70"/>
      <c r="D528" s="70"/>
      <c r="E528" s="70"/>
      <c r="F528" s="70"/>
    </row>
    <row r="529" spans="1:6" ht="13.2">
      <c r="A529" s="70"/>
      <c r="B529" s="70"/>
      <c r="C529" s="70"/>
      <c r="D529" s="70"/>
      <c r="E529" s="70"/>
      <c r="F529" s="70"/>
    </row>
    <row r="530" spans="1:6" ht="13.2">
      <c r="A530" s="70"/>
      <c r="B530" s="70"/>
      <c r="C530" s="70"/>
      <c r="D530" s="70"/>
      <c r="E530" s="70"/>
      <c r="F530" s="70"/>
    </row>
    <row r="531" spans="1:6" ht="13.2">
      <c r="A531" s="70"/>
      <c r="B531" s="70"/>
      <c r="C531" s="70"/>
      <c r="D531" s="70"/>
      <c r="E531" s="70"/>
      <c r="F531" s="70"/>
    </row>
    <row r="532" spans="1:6" ht="13.2">
      <c r="A532" s="70"/>
      <c r="B532" s="70"/>
      <c r="C532" s="70"/>
      <c r="D532" s="70"/>
      <c r="E532" s="70"/>
      <c r="F532" s="70"/>
    </row>
    <row r="533" spans="1:6" ht="13.2">
      <c r="A533" s="70"/>
      <c r="B533" s="70"/>
      <c r="C533" s="70"/>
      <c r="D533" s="70"/>
      <c r="E533" s="70"/>
      <c r="F533" s="70"/>
    </row>
    <row r="534" spans="1:6" ht="13.2">
      <c r="A534" s="70"/>
      <c r="B534" s="70"/>
      <c r="C534" s="70"/>
      <c r="D534" s="70"/>
      <c r="E534" s="70"/>
      <c r="F534" s="70"/>
    </row>
    <row r="535" spans="1:6" ht="13.2">
      <c r="A535" s="70"/>
      <c r="B535" s="70"/>
      <c r="C535" s="70"/>
      <c r="D535" s="70"/>
      <c r="E535" s="70"/>
      <c r="F535" s="70"/>
    </row>
    <row r="536" spans="1:6" ht="13.2">
      <c r="A536" s="70"/>
      <c r="B536" s="70"/>
      <c r="C536" s="70"/>
      <c r="D536" s="70"/>
      <c r="E536" s="70"/>
      <c r="F536" s="70"/>
    </row>
    <row r="537" spans="1:6" ht="13.2">
      <c r="A537" s="70"/>
      <c r="B537" s="70"/>
      <c r="C537" s="70"/>
      <c r="D537" s="70"/>
      <c r="E537" s="70"/>
      <c r="F537" s="70"/>
    </row>
    <row r="538" spans="1:6" ht="13.2">
      <c r="A538" s="70"/>
      <c r="B538" s="70"/>
      <c r="C538" s="70"/>
      <c r="D538" s="70"/>
      <c r="E538" s="70"/>
      <c r="F538" s="70"/>
    </row>
    <row r="539" spans="1:6" ht="13.2">
      <c r="A539" s="70"/>
      <c r="B539" s="70"/>
      <c r="C539" s="70"/>
      <c r="D539" s="70"/>
      <c r="E539" s="70"/>
      <c r="F539" s="70"/>
    </row>
    <row r="540" spans="1:6" ht="13.2">
      <c r="A540" s="70"/>
      <c r="B540" s="70"/>
      <c r="C540" s="70"/>
      <c r="D540" s="70"/>
      <c r="E540" s="70"/>
      <c r="F540" s="70"/>
    </row>
    <row r="541" spans="1:6" ht="13.2">
      <c r="A541" s="70"/>
      <c r="B541" s="70"/>
      <c r="C541" s="70"/>
      <c r="D541" s="70"/>
      <c r="E541" s="70"/>
      <c r="F541" s="70"/>
    </row>
    <row r="542" spans="1:6" ht="13.2">
      <c r="A542" s="70"/>
      <c r="B542" s="70"/>
      <c r="C542" s="70"/>
      <c r="D542" s="70"/>
      <c r="E542" s="70"/>
      <c r="F542" s="70"/>
    </row>
    <row r="543" spans="1:6" ht="13.2">
      <c r="A543" s="70"/>
      <c r="B543" s="70"/>
      <c r="C543" s="70"/>
      <c r="D543" s="70"/>
      <c r="E543" s="70"/>
      <c r="F543" s="70"/>
    </row>
    <row r="544" spans="1:6" ht="13.2">
      <c r="A544" s="70"/>
      <c r="B544" s="70"/>
      <c r="C544" s="70"/>
      <c r="D544" s="70"/>
      <c r="E544" s="70"/>
      <c r="F544" s="70"/>
    </row>
    <row r="545" spans="1:6" ht="13.2">
      <c r="A545" s="70"/>
      <c r="B545" s="70"/>
      <c r="C545" s="70"/>
      <c r="D545" s="70"/>
      <c r="E545" s="70"/>
      <c r="F545" s="70"/>
    </row>
    <row r="546" spans="1:6" ht="13.2">
      <c r="A546" s="70"/>
      <c r="B546" s="70"/>
      <c r="C546" s="70"/>
      <c r="D546" s="70"/>
      <c r="E546" s="70"/>
      <c r="F546" s="70"/>
    </row>
    <row r="547" spans="1:6" ht="13.2">
      <c r="A547" s="70"/>
      <c r="B547" s="70"/>
      <c r="C547" s="70"/>
      <c r="D547" s="70"/>
      <c r="E547" s="70"/>
      <c r="F547" s="70"/>
    </row>
    <row r="548" spans="1:6" ht="13.2">
      <c r="A548" s="70"/>
      <c r="B548" s="70"/>
      <c r="C548" s="70"/>
      <c r="D548" s="70"/>
      <c r="E548" s="70"/>
      <c r="F548" s="70"/>
    </row>
    <row r="549" spans="1:6" ht="13.2">
      <c r="A549" s="70"/>
      <c r="B549" s="70"/>
      <c r="C549" s="70"/>
      <c r="D549" s="70"/>
      <c r="E549" s="70"/>
      <c r="F549" s="70"/>
    </row>
    <row r="550" spans="1:6" ht="13.2">
      <c r="A550" s="70"/>
      <c r="B550" s="70"/>
      <c r="C550" s="70"/>
      <c r="D550" s="70"/>
      <c r="E550" s="70"/>
      <c r="F550" s="70"/>
    </row>
    <row r="551" spans="1:6" ht="13.2">
      <c r="A551" s="70"/>
      <c r="B551" s="70"/>
      <c r="C551" s="70"/>
      <c r="D551" s="70"/>
      <c r="E551" s="70"/>
      <c r="F551" s="70"/>
    </row>
    <row r="552" spans="1:6" ht="13.2">
      <c r="A552" s="70"/>
      <c r="B552" s="70"/>
      <c r="C552" s="70"/>
      <c r="D552" s="70"/>
      <c r="E552" s="70"/>
      <c r="F552" s="70"/>
    </row>
    <row r="553" spans="1:6" ht="13.2">
      <c r="A553" s="70"/>
      <c r="B553" s="70"/>
      <c r="C553" s="70"/>
      <c r="D553" s="70"/>
      <c r="E553" s="70"/>
      <c r="F553" s="70"/>
    </row>
    <row r="554" spans="1:6" ht="13.2">
      <c r="A554" s="70"/>
      <c r="B554" s="70"/>
      <c r="C554" s="70"/>
      <c r="D554" s="70"/>
      <c r="E554" s="70"/>
      <c r="F554" s="70"/>
    </row>
    <row r="555" spans="1:6" ht="13.2">
      <c r="A555" s="70"/>
      <c r="B555" s="70"/>
      <c r="C555" s="70"/>
      <c r="D555" s="70"/>
      <c r="E555" s="70"/>
      <c r="F555" s="70"/>
    </row>
    <row r="556" spans="1:6" ht="13.2">
      <c r="A556" s="70"/>
      <c r="B556" s="70"/>
      <c r="C556" s="70"/>
      <c r="D556" s="70"/>
      <c r="E556" s="70"/>
      <c r="F556" s="70"/>
    </row>
    <row r="557" spans="1:6" ht="13.2">
      <c r="A557" s="70"/>
      <c r="B557" s="70"/>
      <c r="C557" s="70"/>
      <c r="D557" s="70"/>
      <c r="E557" s="70"/>
      <c r="F557" s="70"/>
    </row>
    <row r="558" spans="1:6" ht="13.2">
      <c r="A558" s="70"/>
      <c r="B558" s="70"/>
      <c r="C558" s="70"/>
      <c r="D558" s="70"/>
      <c r="E558" s="70"/>
      <c r="F558" s="70"/>
    </row>
    <row r="559" spans="1:6" ht="13.2">
      <c r="A559" s="70"/>
      <c r="B559" s="70"/>
      <c r="C559" s="70"/>
      <c r="D559" s="70"/>
      <c r="E559" s="70"/>
      <c r="F559" s="70"/>
    </row>
    <row r="560" spans="1:6" ht="13.2">
      <c r="A560" s="70"/>
      <c r="B560" s="70"/>
      <c r="C560" s="70"/>
      <c r="D560" s="70"/>
      <c r="E560" s="70"/>
      <c r="F560" s="70"/>
    </row>
    <row r="561" spans="1:6" ht="13.2">
      <c r="A561" s="70"/>
      <c r="B561" s="70"/>
      <c r="C561" s="70"/>
      <c r="D561" s="70"/>
      <c r="E561" s="70"/>
      <c r="F561" s="70"/>
    </row>
    <row r="562" spans="1:6" ht="13.2">
      <c r="A562" s="70"/>
      <c r="B562" s="70"/>
      <c r="C562" s="70"/>
      <c r="D562" s="70"/>
      <c r="E562" s="70"/>
      <c r="F562" s="70"/>
    </row>
    <row r="563" spans="1:6" ht="13.2">
      <c r="A563" s="70"/>
      <c r="B563" s="70"/>
      <c r="C563" s="70"/>
      <c r="D563" s="70"/>
      <c r="E563" s="70"/>
      <c r="F563" s="70"/>
    </row>
    <row r="564" spans="1:6" ht="13.2">
      <c r="A564" s="70"/>
      <c r="B564" s="70"/>
      <c r="C564" s="70"/>
      <c r="D564" s="70"/>
      <c r="E564" s="70"/>
      <c r="F564" s="70"/>
    </row>
    <row r="565" spans="1:6" ht="13.2">
      <c r="A565" s="70"/>
      <c r="B565" s="70"/>
      <c r="C565" s="70"/>
      <c r="D565" s="70"/>
      <c r="E565" s="70"/>
      <c r="F565" s="70"/>
    </row>
    <row r="566" spans="1:6" ht="13.2">
      <c r="A566" s="70"/>
      <c r="B566" s="70"/>
      <c r="C566" s="70"/>
      <c r="D566" s="70"/>
      <c r="E566" s="70"/>
      <c r="F566" s="70"/>
    </row>
    <row r="567" spans="1:6" ht="13.2">
      <c r="A567" s="70"/>
      <c r="B567" s="70"/>
      <c r="C567" s="70"/>
      <c r="D567" s="70"/>
      <c r="E567" s="70"/>
      <c r="F567" s="70"/>
    </row>
    <row r="568" spans="1:6" ht="13.2">
      <c r="A568" s="70"/>
      <c r="B568" s="70"/>
      <c r="C568" s="70"/>
      <c r="D568" s="70"/>
      <c r="E568" s="70"/>
      <c r="F568" s="70"/>
    </row>
    <row r="569" spans="1:6" ht="13.2">
      <c r="A569" s="70"/>
      <c r="B569" s="70"/>
      <c r="C569" s="70"/>
      <c r="D569" s="70"/>
      <c r="E569" s="70"/>
      <c r="F569" s="70"/>
    </row>
    <row r="570" spans="1:6" ht="13.2">
      <c r="A570" s="70"/>
      <c r="B570" s="70"/>
      <c r="C570" s="70"/>
      <c r="D570" s="70"/>
      <c r="E570" s="70"/>
      <c r="F570" s="70"/>
    </row>
    <row r="571" spans="1:6" ht="13.2">
      <c r="A571" s="70"/>
      <c r="B571" s="70"/>
      <c r="C571" s="70"/>
      <c r="D571" s="70"/>
      <c r="E571" s="70"/>
      <c r="F571" s="70"/>
    </row>
    <row r="572" spans="1:6" ht="13.2">
      <c r="A572" s="70"/>
      <c r="B572" s="70"/>
      <c r="C572" s="70"/>
      <c r="D572" s="70"/>
      <c r="E572" s="70"/>
      <c r="F572" s="70"/>
    </row>
    <row r="573" spans="1:6" ht="13.2">
      <c r="A573" s="70"/>
      <c r="B573" s="70"/>
      <c r="C573" s="70"/>
      <c r="D573" s="70"/>
      <c r="E573" s="70"/>
      <c r="F573" s="70"/>
    </row>
    <row r="574" spans="1:6" ht="13.2">
      <c r="A574" s="70"/>
      <c r="B574" s="70"/>
      <c r="C574" s="70"/>
      <c r="D574" s="70"/>
      <c r="E574" s="70"/>
      <c r="F574" s="70"/>
    </row>
    <row r="575" spans="1:6" ht="13.2">
      <c r="A575" s="70"/>
      <c r="B575" s="70"/>
      <c r="C575" s="70"/>
      <c r="D575" s="70"/>
      <c r="E575" s="70"/>
      <c r="F575" s="70"/>
    </row>
    <row r="576" spans="1:6" ht="13.2">
      <c r="A576" s="70"/>
      <c r="B576" s="70"/>
      <c r="C576" s="70"/>
      <c r="D576" s="70"/>
      <c r="E576" s="70"/>
      <c r="F576" s="70"/>
    </row>
    <row r="577" spans="1:6" ht="13.2">
      <c r="A577" s="70"/>
      <c r="B577" s="70"/>
      <c r="C577" s="70"/>
      <c r="D577" s="70"/>
      <c r="E577" s="70"/>
      <c r="F577" s="70"/>
    </row>
    <row r="578" spans="1:6" ht="13.2">
      <c r="A578" s="70"/>
      <c r="B578" s="70"/>
      <c r="C578" s="70"/>
      <c r="D578" s="70"/>
      <c r="E578" s="70"/>
      <c r="F578" s="70"/>
    </row>
    <row r="579" spans="1:6" ht="13.2">
      <c r="A579" s="70"/>
      <c r="B579" s="70"/>
      <c r="C579" s="70"/>
      <c r="D579" s="70"/>
      <c r="E579" s="70"/>
      <c r="F579" s="70"/>
    </row>
    <row r="580" spans="1:6" ht="13.2">
      <c r="A580" s="70"/>
      <c r="B580" s="70"/>
      <c r="C580" s="70"/>
      <c r="D580" s="70"/>
      <c r="E580" s="70"/>
      <c r="F580" s="70"/>
    </row>
    <row r="581" spans="1:6" ht="13.2">
      <c r="A581" s="70"/>
      <c r="B581" s="70"/>
      <c r="C581" s="70"/>
      <c r="D581" s="70"/>
      <c r="E581" s="70"/>
      <c r="F581" s="70"/>
    </row>
    <row r="582" spans="1:6" ht="13.2">
      <c r="A582" s="70"/>
      <c r="B582" s="70"/>
      <c r="C582" s="70"/>
      <c r="D582" s="70"/>
      <c r="E582" s="70"/>
      <c r="F582" s="70"/>
    </row>
    <row r="583" spans="1:6" ht="13.2">
      <c r="A583" s="70"/>
      <c r="B583" s="70"/>
      <c r="C583" s="70"/>
      <c r="D583" s="70"/>
      <c r="E583" s="70"/>
      <c r="F583" s="70"/>
    </row>
    <row r="584" spans="1:6" ht="13.2">
      <c r="A584" s="70"/>
      <c r="B584" s="70"/>
      <c r="C584" s="70"/>
      <c r="D584" s="70"/>
      <c r="E584" s="70"/>
      <c r="F584" s="70"/>
    </row>
    <row r="585" spans="1:6" ht="13.2">
      <c r="A585" s="70"/>
      <c r="B585" s="70"/>
      <c r="C585" s="70"/>
      <c r="D585" s="70"/>
      <c r="E585" s="70"/>
      <c r="F585" s="70"/>
    </row>
    <row r="586" spans="1:6" ht="13.2">
      <c r="A586" s="70"/>
      <c r="B586" s="70"/>
      <c r="C586" s="70"/>
      <c r="D586" s="70"/>
      <c r="E586" s="70"/>
      <c r="F586" s="70"/>
    </row>
    <row r="587" spans="1:6" ht="13.2">
      <c r="A587" s="70"/>
      <c r="B587" s="70"/>
      <c r="C587" s="70"/>
      <c r="D587" s="70"/>
      <c r="E587" s="70"/>
      <c r="F587" s="70"/>
    </row>
    <row r="588" spans="1:6" ht="13.2">
      <c r="A588" s="70"/>
      <c r="B588" s="70"/>
      <c r="C588" s="70"/>
      <c r="D588" s="70"/>
      <c r="E588" s="70"/>
      <c r="F588" s="70"/>
    </row>
    <row r="589" spans="1:6" ht="13.2">
      <c r="A589" s="70"/>
      <c r="B589" s="70"/>
      <c r="C589" s="70"/>
      <c r="D589" s="70"/>
      <c r="E589" s="70"/>
      <c r="F589" s="70"/>
    </row>
    <row r="590" spans="1:6" ht="13.2">
      <c r="A590" s="70"/>
      <c r="B590" s="70"/>
      <c r="C590" s="70"/>
      <c r="D590" s="70"/>
      <c r="E590" s="70"/>
      <c r="F590" s="70"/>
    </row>
    <row r="591" spans="1:6" ht="13.2">
      <c r="A591" s="70"/>
      <c r="B591" s="70"/>
      <c r="C591" s="70"/>
      <c r="D591" s="70"/>
      <c r="E591" s="70"/>
      <c r="F591" s="70"/>
    </row>
    <row r="592" spans="1:6" ht="13.2">
      <c r="A592" s="70"/>
      <c r="B592" s="70"/>
      <c r="C592" s="70"/>
      <c r="D592" s="70"/>
      <c r="E592" s="70"/>
      <c r="F592" s="70"/>
    </row>
    <row r="593" spans="1:6" ht="13.2">
      <c r="A593" s="70"/>
      <c r="B593" s="70"/>
      <c r="C593" s="70"/>
      <c r="D593" s="70"/>
      <c r="E593" s="70"/>
      <c r="F593" s="70"/>
    </row>
    <row r="594" spans="1:6" ht="13.2">
      <c r="A594" s="70"/>
      <c r="B594" s="70"/>
      <c r="C594" s="70"/>
      <c r="D594" s="70"/>
      <c r="E594" s="70"/>
      <c r="F594" s="70"/>
    </row>
    <row r="595" spans="1:6" ht="13.2">
      <c r="A595" s="70"/>
      <c r="B595" s="70"/>
      <c r="C595" s="70"/>
      <c r="D595" s="70"/>
      <c r="E595" s="70"/>
      <c r="F595" s="70"/>
    </row>
    <row r="596" spans="1:6" ht="13.2">
      <c r="A596" s="70"/>
      <c r="B596" s="70"/>
      <c r="C596" s="70"/>
      <c r="D596" s="70"/>
      <c r="E596" s="70"/>
      <c r="F596" s="70"/>
    </row>
    <row r="597" spans="1:6" ht="13.2">
      <c r="A597" s="70"/>
      <c r="B597" s="70"/>
      <c r="C597" s="70"/>
      <c r="D597" s="70"/>
      <c r="E597" s="70"/>
      <c r="F597" s="70"/>
    </row>
    <row r="598" spans="1:6" ht="13.2">
      <c r="A598" s="70"/>
      <c r="B598" s="70"/>
      <c r="C598" s="70"/>
      <c r="D598" s="70"/>
      <c r="E598" s="70"/>
      <c r="F598" s="70"/>
    </row>
    <row r="599" spans="1:6" ht="13.2">
      <c r="A599" s="70"/>
      <c r="B599" s="70"/>
      <c r="C599" s="70"/>
      <c r="D599" s="70"/>
      <c r="E599" s="70"/>
      <c r="F599" s="70"/>
    </row>
    <row r="600" spans="1:6" ht="13.2">
      <c r="A600" s="70"/>
      <c r="B600" s="70"/>
      <c r="C600" s="70"/>
      <c r="D600" s="70"/>
      <c r="E600" s="70"/>
      <c r="F600" s="70"/>
    </row>
    <row r="601" spans="1:6" ht="13.2">
      <c r="A601" s="70"/>
      <c r="B601" s="70"/>
      <c r="C601" s="70"/>
      <c r="D601" s="70"/>
      <c r="E601" s="70"/>
      <c r="F601" s="70"/>
    </row>
    <row r="602" spans="1:6" ht="13.2">
      <c r="A602" s="70"/>
      <c r="B602" s="70"/>
      <c r="C602" s="70"/>
      <c r="D602" s="70"/>
      <c r="E602" s="70"/>
      <c r="F602" s="70"/>
    </row>
    <row r="603" spans="1:6" ht="13.2">
      <c r="A603" s="70"/>
      <c r="B603" s="70"/>
      <c r="C603" s="70"/>
      <c r="D603" s="70"/>
      <c r="E603" s="70"/>
      <c r="F603" s="70"/>
    </row>
    <row r="604" spans="1:6" ht="13.2">
      <c r="A604" s="70"/>
      <c r="B604" s="70"/>
      <c r="C604" s="70"/>
      <c r="D604" s="70"/>
      <c r="E604" s="70"/>
      <c r="F604" s="70"/>
    </row>
    <row r="605" spans="1:6" ht="13.2">
      <c r="A605" s="70"/>
      <c r="B605" s="70"/>
      <c r="C605" s="70"/>
      <c r="D605" s="70"/>
      <c r="E605" s="70"/>
      <c r="F605" s="70"/>
    </row>
    <row r="606" spans="1:6" ht="13.2">
      <c r="A606" s="70"/>
      <c r="B606" s="70"/>
      <c r="C606" s="70"/>
      <c r="D606" s="70"/>
      <c r="E606" s="70"/>
      <c r="F606" s="70"/>
    </row>
    <row r="607" spans="1:6" ht="13.2">
      <c r="A607" s="70"/>
      <c r="B607" s="70"/>
      <c r="C607" s="70"/>
      <c r="D607" s="70"/>
      <c r="E607" s="70"/>
      <c r="F607" s="70"/>
    </row>
    <row r="608" spans="1:6" ht="13.2">
      <c r="A608" s="70"/>
      <c r="B608" s="70"/>
      <c r="C608" s="70"/>
      <c r="D608" s="70"/>
      <c r="E608" s="70"/>
      <c r="F608" s="70"/>
    </row>
    <row r="609" spans="1:6" ht="13.2">
      <c r="A609" s="70"/>
      <c r="B609" s="70"/>
      <c r="C609" s="70"/>
      <c r="D609" s="70"/>
      <c r="E609" s="70"/>
      <c r="F609" s="70"/>
    </row>
    <row r="610" spans="1:6" ht="13.2">
      <c r="A610" s="70"/>
      <c r="B610" s="70"/>
      <c r="C610" s="70"/>
      <c r="D610" s="70"/>
      <c r="E610" s="70"/>
      <c r="F610" s="70"/>
    </row>
    <row r="611" spans="1:6" ht="13.2">
      <c r="A611" s="70"/>
      <c r="B611" s="70"/>
      <c r="C611" s="70"/>
      <c r="D611" s="70"/>
      <c r="E611" s="70"/>
      <c r="F611" s="70"/>
    </row>
    <row r="612" spans="1:6" ht="13.2">
      <c r="A612" s="70"/>
      <c r="B612" s="70"/>
      <c r="C612" s="70"/>
      <c r="D612" s="70"/>
      <c r="E612" s="70"/>
      <c r="F612" s="70"/>
    </row>
    <row r="613" spans="1:6" ht="13.2">
      <c r="A613" s="70"/>
      <c r="B613" s="70"/>
      <c r="C613" s="70"/>
      <c r="D613" s="70"/>
      <c r="E613" s="70"/>
      <c r="F613" s="70"/>
    </row>
    <row r="614" spans="1:6" ht="13.2">
      <c r="A614" s="70"/>
      <c r="B614" s="70"/>
      <c r="C614" s="70"/>
      <c r="D614" s="70"/>
      <c r="E614" s="70"/>
      <c r="F614" s="70"/>
    </row>
    <row r="615" spans="1:6" ht="13.2">
      <c r="A615" s="70"/>
      <c r="B615" s="70"/>
      <c r="C615" s="70"/>
      <c r="D615" s="70"/>
      <c r="E615" s="70"/>
      <c r="F615" s="70"/>
    </row>
    <row r="616" spans="1:6" ht="13.2">
      <c r="A616" s="70"/>
      <c r="B616" s="70"/>
      <c r="C616" s="70"/>
      <c r="D616" s="70"/>
      <c r="E616" s="70"/>
      <c r="F616" s="70"/>
    </row>
    <row r="617" spans="1:6" ht="13.2">
      <c r="A617" s="70"/>
      <c r="B617" s="70"/>
      <c r="C617" s="70"/>
      <c r="D617" s="70"/>
      <c r="E617" s="70"/>
      <c r="F617" s="70"/>
    </row>
    <row r="618" spans="1:6" ht="13.2">
      <c r="A618" s="70"/>
      <c r="B618" s="70"/>
      <c r="C618" s="70"/>
      <c r="D618" s="70"/>
      <c r="E618" s="70"/>
      <c r="F618" s="70"/>
    </row>
    <row r="619" spans="1:6" ht="13.2">
      <c r="A619" s="70"/>
      <c r="B619" s="70"/>
      <c r="C619" s="70"/>
      <c r="D619" s="70"/>
      <c r="E619" s="70"/>
      <c r="F619" s="70"/>
    </row>
    <row r="620" spans="1:6" ht="13.2">
      <c r="A620" s="70"/>
      <c r="B620" s="70"/>
      <c r="C620" s="70"/>
      <c r="D620" s="70"/>
      <c r="E620" s="70"/>
      <c r="F620" s="70"/>
    </row>
    <row r="621" spans="1:6" ht="13.2">
      <c r="A621" s="70"/>
      <c r="B621" s="70"/>
      <c r="C621" s="70"/>
      <c r="D621" s="70"/>
      <c r="E621" s="70"/>
      <c r="F621" s="70"/>
    </row>
    <row r="622" spans="1:6" ht="13.2">
      <c r="A622" s="70"/>
      <c r="B622" s="70"/>
      <c r="C622" s="70"/>
      <c r="D622" s="70"/>
      <c r="E622" s="70"/>
      <c r="F622" s="70"/>
    </row>
    <row r="623" spans="1:6" ht="13.2">
      <c r="A623" s="70"/>
      <c r="B623" s="70"/>
      <c r="C623" s="70"/>
      <c r="D623" s="70"/>
      <c r="E623" s="70"/>
      <c r="F623" s="70"/>
    </row>
    <row r="624" spans="1:6" ht="13.2">
      <c r="A624" s="70"/>
      <c r="B624" s="70"/>
      <c r="C624" s="70"/>
      <c r="D624" s="70"/>
      <c r="E624" s="70"/>
      <c r="F624" s="70"/>
    </row>
    <row r="625" spans="1:6" ht="13.2">
      <c r="A625" s="70"/>
      <c r="B625" s="70"/>
      <c r="C625" s="70"/>
      <c r="D625" s="70"/>
      <c r="E625" s="70"/>
      <c r="F625" s="70"/>
    </row>
    <row r="626" spans="1:6" ht="13.2">
      <c r="A626" s="70"/>
      <c r="B626" s="70"/>
      <c r="C626" s="70"/>
      <c r="D626" s="70"/>
      <c r="E626" s="70"/>
      <c r="F626" s="70"/>
    </row>
    <row r="627" spans="1:6" ht="13.2">
      <c r="A627" s="70"/>
      <c r="B627" s="70"/>
      <c r="C627" s="70"/>
      <c r="D627" s="70"/>
      <c r="E627" s="70"/>
      <c r="F627" s="70"/>
    </row>
    <row r="628" spans="1:6" ht="13.2">
      <c r="A628" s="70"/>
      <c r="B628" s="70"/>
      <c r="C628" s="70"/>
      <c r="D628" s="70"/>
      <c r="E628" s="70"/>
      <c r="F628" s="70"/>
    </row>
    <row r="629" spans="1:6" ht="13.2">
      <c r="A629" s="70"/>
      <c r="B629" s="70"/>
      <c r="C629" s="70"/>
      <c r="D629" s="70"/>
      <c r="E629" s="70"/>
      <c r="F629" s="70"/>
    </row>
    <row r="630" spans="1:6" ht="13.2">
      <c r="A630" s="70"/>
      <c r="B630" s="70"/>
      <c r="C630" s="70"/>
      <c r="D630" s="70"/>
      <c r="E630" s="70"/>
      <c r="F630" s="70"/>
    </row>
    <row r="631" spans="1:6" ht="13.2">
      <c r="A631" s="70"/>
      <c r="B631" s="70"/>
      <c r="C631" s="70"/>
      <c r="D631" s="70"/>
      <c r="E631" s="70"/>
      <c r="F631" s="70"/>
    </row>
    <row r="632" spans="1:6" ht="13.2">
      <c r="A632" s="70"/>
      <c r="B632" s="70"/>
      <c r="C632" s="70"/>
      <c r="D632" s="70"/>
      <c r="E632" s="70"/>
      <c r="F632" s="70"/>
    </row>
    <row r="633" spans="1:6" ht="13.2">
      <c r="A633" s="70"/>
      <c r="B633" s="70"/>
      <c r="C633" s="70"/>
      <c r="D633" s="70"/>
      <c r="E633" s="70"/>
      <c r="F633" s="70"/>
    </row>
    <row r="634" spans="1:6" ht="13.2">
      <c r="A634" s="70"/>
      <c r="B634" s="70"/>
      <c r="C634" s="70"/>
      <c r="D634" s="70"/>
      <c r="E634" s="70"/>
      <c r="F634" s="70"/>
    </row>
    <row r="635" spans="1:6" ht="13.2">
      <c r="A635" s="70"/>
      <c r="B635" s="70"/>
      <c r="C635" s="70"/>
      <c r="D635" s="70"/>
      <c r="E635" s="70"/>
      <c r="F635" s="70"/>
    </row>
    <row r="636" spans="1:6" ht="13.2">
      <c r="A636" s="70"/>
      <c r="B636" s="70"/>
      <c r="C636" s="70"/>
      <c r="D636" s="70"/>
      <c r="E636" s="70"/>
      <c r="F636" s="70"/>
    </row>
    <row r="637" spans="1:6" ht="13.2">
      <c r="A637" s="70"/>
      <c r="B637" s="70"/>
      <c r="C637" s="70"/>
      <c r="D637" s="70"/>
      <c r="E637" s="70"/>
      <c r="F637" s="70"/>
    </row>
    <row r="638" spans="1:6" ht="13.2">
      <c r="A638" s="70"/>
      <c r="B638" s="70"/>
      <c r="C638" s="70"/>
      <c r="D638" s="70"/>
      <c r="E638" s="70"/>
      <c r="F638" s="70"/>
    </row>
    <row r="639" spans="1:6" ht="13.2">
      <c r="A639" s="70"/>
      <c r="B639" s="70"/>
      <c r="C639" s="70"/>
      <c r="D639" s="70"/>
      <c r="E639" s="70"/>
      <c r="F639" s="70"/>
    </row>
    <row r="640" spans="1:6" ht="13.2">
      <c r="A640" s="70"/>
      <c r="B640" s="70"/>
      <c r="C640" s="70"/>
      <c r="D640" s="70"/>
      <c r="E640" s="70"/>
      <c r="F640" s="70"/>
    </row>
    <row r="641" spans="1:6" ht="13.2">
      <c r="A641" s="70"/>
      <c r="B641" s="70"/>
      <c r="C641" s="70"/>
      <c r="D641" s="70"/>
      <c r="E641" s="70"/>
      <c r="F641" s="70"/>
    </row>
    <row r="642" spans="1:6" ht="13.2">
      <c r="A642" s="70"/>
      <c r="B642" s="70"/>
      <c r="C642" s="70"/>
      <c r="D642" s="70"/>
      <c r="E642" s="70"/>
      <c r="F642" s="70"/>
    </row>
    <row r="643" spans="1:6" ht="13.2">
      <c r="A643" s="70"/>
      <c r="B643" s="70"/>
      <c r="C643" s="70"/>
      <c r="D643" s="70"/>
      <c r="E643" s="70"/>
      <c r="F643" s="70"/>
    </row>
    <row r="644" spans="1:6" ht="13.2">
      <c r="A644" s="70"/>
      <c r="B644" s="70"/>
      <c r="C644" s="70"/>
      <c r="D644" s="70"/>
      <c r="E644" s="70"/>
      <c r="F644" s="70"/>
    </row>
    <row r="645" spans="1:6" ht="13.2">
      <c r="A645" s="70"/>
      <c r="B645" s="70"/>
      <c r="C645" s="70"/>
      <c r="D645" s="70"/>
      <c r="E645" s="70"/>
      <c r="F645" s="70"/>
    </row>
    <row r="646" spans="1:6" ht="13.2">
      <c r="A646" s="70"/>
      <c r="B646" s="70"/>
      <c r="C646" s="70"/>
      <c r="D646" s="70"/>
      <c r="E646" s="70"/>
      <c r="F646" s="70"/>
    </row>
    <row r="647" spans="1:6" ht="13.2">
      <c r="A647" s="70"/>
      <c r="B647" s="70"/>
      <c r="C647" s="70"/>
      <c r="D647" s="70"/>
      <c r="E647" s="70"/>
      <c r="F647" s="70"/>
    </row>
    <row r="648" spans="1:6" ht="13.2">
      <c r="A648" s="70"/>
      <c r="B648" s="70"/>
      <c r="C648" s="70"/>
      <c r="D648" s="70"/>
      <c r="E648" s="70"/>
      <c r="F648" s="70"/>
    </row>
    <row r="649" spans="1:6" ht="13.2">
      <c r="A649" s="70"/>
      <c r="B649" s="70"/>
      <c r="C649" s="70"/>
      <c r="D649" s="70"/>
      <c r="E649" s="70"/>
      <c r="F649" s="70"/>
    </row>
    <row r="650" spans="1:6" ht="13.2">
      <c r="A650" s="70"/>
      <c r="B650" s="70"/>
      <c r="C650" s="70"/>
      <c r="D650" s="70"/>
      <c r="E650" s="70"/>
      <c r="F650" s="70"/>
    </row>
    <row r="651" spans="1:6" ht="13.2">
      <c r="A651" s="70"/>
      <c r="B651" s="70"/>
      <c r="C651" s="70"/>
      <c r="D651" s="70"/>
      <c r="E651" s="70"/>
      <c r="F651" s="70"/>
    </row>
    <row r="652" spans="1:6" ht="13.2">
      <c r="A652" s="70"/>
      <c r="B652" s="70"/>
      <c r="C652" s="70"/>
      <c r="D652" s="70"/>
      <c r="E652" s="70"/>
      <c r="F652" s="70"/>
    </row>
    <row r="653" spans="1:6" ht="13.2">
      <c r="A653" s="70"/>
      <c r="B653" s="70"/>
      <c r="C653" s="70"/>
      <c r="D653" s="70"/>
      <c r="E653" s="70"/>
      <c r="F653" s="70"/>
    </row>
    <row r="654" spans="1:6" ht="13.2">
      <c r="A654" s="70"/>
      <c r="B654" s="70"/>
      <c r="C654" s="70"/>
      <c r="D654" s="70"/>
      <c r="E654" s="70"/>
      <c r="F654" s="70"/>
    </row>
    <row r="655" spans="1:6" ht="13.2">
      <c r="A655" s="70"/>
      <c r="B655" s="70"/>
      <c r="C655" s="70"/>
      <c r="D655" s="70"/>
      <c r="E655" s="70"/>
      <c r="F655" s="70"/>
    </row>
    <row r="656" spans="1:6" ht="13.2">
      <c r="A656" s="70"/>
      <c r="B656" s="70"/>
      <c r="C656" s="70"/>
      <c r="D656" s="70"/>
      <c r="E656" s="70"/>
      <c r="F656" s="70"/>
    </row>
    <row r="657" spans="1:6" ht="13.2">
      <c r="A657" s="70"/>
      <c r="B657" s="70"/>
      <c r="C657" s="70"/>
      <c r="D657" s="70"/>
      <c r="E657" s="70"/>
      <c r="F657" s="70"/>
    </row>
    <row r="658" spans="1:6" ht="13.2">
      <c r="A658" s="70"/>
      <c r="B658" s="70"/>
      <c r="C658" s="70"/>
      <c r="D658" s="70"/>
      <c r="E658" s="70"/>
      <c r="F658" s="70"/>
    </row>
    <row r="659" spans="1:6" ht="13.2">
      <c r="A659" s="70"/>
      <c r="B659" s="70"/>
      <c r="C659" s="70"/>
      <c r="D659" s="70"/>
      <c r="E659" s="70"/>
      <c r="F659" s="70"/>
    </row>
    <row r="660" spans="1:6" ht="13.2">
      <c r="A660" s="70"/>
      <c r="B660" s="70"/>
      <c r="C660" s="70"/>
      <c r="D660" s="70"/>
      <c r="E660" s="70"/>
      <c r="F660" s="70"/>
    </row>
    <row r="661" spans="1:6" ht="13.2">
      <c r="A661" s="70"/>
      <c r="B661" s="70"/>
      <c r="C661" s="70"/>
      <c r="D661" s="70"/>
      <c r="E661" s="70"/>
      <c r="F661" s="70"/>
    </row>
    <row r="662" spans="1:6" ht="13.2">
      <c r="A662" s="70"/>
      <c r="B662" s="70"/>
      <c r="C662" s="70"/>
      <c r="D662" s="70"/>
      <c r="E662" s="70"/>
      <c r="F662" s="70"/>
    </row>
    <row r="663" spans="1:6" ht="13.2">
      <c r="A663" s="70"/>
      <c r="B663" s="70"/>
      <c r="C663" s="70"/>
      <c r="D663" s="70"/>
      <c r="E663" s="70"/>
      <c r="F663" s="70"/>
    </row>
    <row r="664" spans="1:6" ht="13.2">
      <c r="A664" s="70"/>
      <c r="B664" s="70"/>
      <c r="C664" s="70"/>
      <c r="D664" s="70"/>
      <c r="E664" s="70"/>
      <c r="F664" s="70"/>
    </row>
    <row r="665" spans="1:6" ht="13.2">
      <c r="A665" s="70"/>
      <c r="B665" s="70"/>
      <c r="C665" s="70"/>
      <c r="D665" s="70"/>
      <c r="E665" s="70"/>
      <c r="F665" s="70"/>
    </row>
    <row r="666" spans="1:6" ht="13.2">
      <c r="A666" s="70"/>
      <c r="B666" s="70"/>
      <c r="C666" s="70"/>
      <c r="D666" s="70"/>
      <c r="E666" s="70"/>
      <c r="F666" s="70"/>
    </row>
    <row r="667" spans="1:6" ht="13.2">
      <c r="A667" s="70"/>
      <c r="B667" s="70"/>
      <c r="C667" s="70"/>
      <c r="D667" s="70"/>
      <c r="E667" s="70"/>
      <c r="F667" s="70"/>
    </row>
    <row r="668" spans="1:6" ht="13.2">
      <c r="A668" s="70"/>
      <c r="B668" s="70"/>
      <c r="C668" s="70"/>
      <c r="D668" s="70"/>
      <c r="E668" s="70"/>
      <c r="F668" s="70"/>
    </row>
    <row r="669" spans="1:6" ht="13.2">
      <c r="A669" s="70"/>
      <c r="B669" s="70"/>
      <c r="C669" s="70"/>
      <c r="D669" s="70"/>
      <c r="E669" s="70"/>
      <c r="F669" s="70"/>
    </row>
    <row r="670" spans="1:6" ht="13.2">
      <c r="A670" s="70"/>
      <c r="B670" s="70"/>
      <c r="C670" s="70"/>
      <c r="D670" s="70"/>
      <c r="E670" s="70"/>
      <c r="F670" s="70"/>
    </row>
    <row r="671" spans="1:6" ht="13.2">
      <c r="A671" s="70"/>
      <c r="B671" s="70"/>
      <c r="C671" s="70"/>
      <c r="D671" s="70"/>
      <c r="E671" s="70"/>
      <c r="F671" s="70"/>
    </row>
    <row r="672" spans="1:6" ht="13.2">
      <c r="A672" s="70"/>
      <c r="B672" s="70"/>
      <c r="C672" s="70"/>
      <c r="D672" s="70"/>
      <c r="E672" s="70"/>
      <c r="F672" s="70"/>
    </row>
    <row r="673" spans="1:6" ht="13.2">
      <c r="A673" s="70"/>
      <c r="B673" s="70"/>
      <c r="C673" s="70"/>
      <c r="D673" s="70"/>
      <c r="E673" s="70"/>
      <c r="F673" s="70"/>
    </row>
    <row r="674" spans="1:6" ht="13.2">
      <c r="A674" s="70"/>
      <c r="B674" s="70"/>
      <c r="C674" s="70"/>
      <c r="D674" s="70"/>
      <c r="E674" s="70"/>
      <c r="F674" s="70"/>
    </row>
    <row r="675" spans="1:6" ht="13.2">
      <c r="A675" s="70"/>
      <c r="B675" s="70"/>
      <c r="C675" s="70"/>
      <c r="D675" s="70"/>
      <c r="E675" s="70"/>
      <c r="F675" s="70"/>
    </row>
    <row r="676" spans="1:6" ht="13.2">
      <c r="A676" s="70"/>
      <c r="B676" s="70"/>
      <c r="C676" s="70"/>
      <c r="D676" s="70"/>
      <c r="E676" s="70"/>
      <c r="F676" s="70"/>
    </row>
    <row r="677" spans="1:6" ht="13.2">
      <c r="A677" s="70"/>
      <c r="B677" s="70"/>
      <c r="C677" s="70"/>
      <c r="D677" s="70"/>
      <c r="E677" s="70"/>
      <c r="F677" s="70"/>
    </row>
    <row r="678" spans="1:6" ht="13.2">
      <c r="A678" s="70"/>
      <c r="B678" s="70"/>
      <c r="C678" s="70"/>
      <c r="D678" s="70"/>
      <c r="E678" s="70"/>
      <c r="F678" s="70"/>
    </row>
    <row r="679" spans="1:6" ht="13.2">
      <c r="A679" s="70"/>
      <c r="B679" s="70"/>
      <c r="C679" s="70"/>
      <c r="D679" s="70"/>
      <c r="E679" s="70"/>
      <c r="F679" s="70"/>
    </row>
    <row r="680" spans="1:6" ht="13.2">
      <c r="A680" s="70"/>
      <c r="B680" s="70"/>
      <c r="C680" s="70"/>
      <c r="D680" s="70"/>
      <c r="E680" s="70"/>
      <c r="F680" s="70"/>
    </row>
    <row r="681" spans="1:6" ht="13.2">
      <c r="A681" s="70"/>
      <c r="B681" s="70"/>
      <c r="C681" s="70"/>
      <c r="D681" s="70"/>
      <c r="E681" s="70"/>
      <c r="F681" s="70"/>
    </row>
    <row r="682" spans="1:6" ht="13.2">
      <c r="A682" s="70"/>
      <c r="B682" s="70"/>
      <c r="C682" s="70"/>
      <c r="D682" s="70"/>
      <c r="E682" s="70"/>
      <c r="F682" s="70"/>
    </row>
    <row r="683" spans="1:6" ht="13.2">
      <c r="A683" s="70"/>
      <c r="B683" s="70"/>
      <c r="C683" s="70"/>
      <c r="D683" s="70"/>
      <c r="E683" s="70"/>
      <c r="F683" s="70"/>
    </row>
    <row r="684" spans="1:6" ht="13.2">
      <c r="A684" s="70"/>
      <c r="B684" s="70"/>
      <c r="C684" s="70"/>
      <c r="D684" s="70"/>
      <c r="E684" s="70"/>
      <c r="F684" s="70"/>
    </row>
    <row r="685" spans="1:6" ht="13.2">
      <c r="A685" s="70"/>
      <c r="B685" s="70"/>
      <c r="C685" s="70"/>
      <c r="D685" s="70"/>
      <c r="E685" s="70"/>
      <c r="F685" s="70"/>
    </row>
    <row r="686" spans="1:6" ht="13.2">
      <c r="A686" s="70"/>
      <c r="B686" s="70"/>
      <c r="C686" s="70"/>
      <c r="D686" s="70"/>
      <c r="E686" s="70"/>
      <c r="F686" s="70"/>
    </row>
    <row r="687" spans="1:6" ht="13.2">
      <c r="A687" s="70"/>
      <c r="B687" s="70"/>
      <c r="C687" s="70"/>
      <c r="D687" s="70"/>
      <c r="E687" s="70"/>
      <c r="F687" s="70"/>
    </row>
    <row r="688" spans="1:6" ht="13.2">
      <c r="A688" s="70"/>
      <c r="B688" s="70"/>
      <c r="C688" s="70"/>
      <c r="D688" s="70"/>
      <c r="E688" s="70"/>
      <c r="F688" s="70"/>
    </row>
    <row r="689" spans="1:6" ht="13.2">
      <c r="A689" s="70"/>
      <c r="B689" s="70"/>
      <c r="C689" s="70"/>
      <c r="D689" s="70"/>
      <c r="E689" s="70"/>
      <c r="F689" s="70"/>
    </row>
    <row r="690" spans="1:6" ht="13.2">
      <c r="A690" s="70"/>
      <c r="B690" s="70"/>
      <c r="C690" s="70"/>
      <c r="D690" s="70"/>
      <c r="E690" s="70"/>
      <c r="F690" s="70"/>
    </row>
    <row r="691" spans="1:6" ht="13.2">
      <c r="A691" s="70"/>
      <c r="B691" s="70"/>
      <c r="C691" s="70"/>
      <c r="D691" s="70"/>
      <c r="E691" s="70"/>
      <c r="F691" s="70"/>
    </row>
    <row r="692" spans="1:6" ht="13.2">
      <c r="A692" s="70"/>
      <c r="B692" s="70"/>
      <c r="C692" s="70"/>
      <c r="D692" s="70"/>
      <c r="E692" s="70"/>
      <c r="F692" s="70"/>
    </row>
    <row r="693" spans="1:6" ht="13.2">
      <c r="A693" s="70"/>
      <c r="B693" s="70"/>
      <c r="C693" s="70"/>
      <c r="D693" s="70"/>
      <c r="E693" s="70"/>
      <c r="F693" s="70"/>
    </row>
    <row r="694" spans="1:6" ht="13.2">
      <c r="A694" s="70"/>
      <c r="B694" s="70"/>
      <c r="C694" s="70"/>
      <c r="D694" s="70"/>
      <c r="E694" s="70"/>
      <c r="F694" s="70"/>
    </row>
    <row r="695" spans="1:6" ht="13.2">
      <c r="A695" s="70"/>
      <c r="B695" s="70"/>
      <c r="C695" s="70"/>
      <c r="D695" s="70"/>
      <c r="E695" s="70"/>
      <c r="F695" s="70"/>
    </row>
    <row r="696" spans="1:6" ht="13.2">
      <c r="A696" s="70"/>
      <c r="B696" s="70"/>
      <c r="C696" s="70"/>
      <c r="D696" s="70"/>
      <c r="E696" s="70"/>
      <c r="F696" s="70"/>
    </row>
    <row r="697" spans="1:6" ht="13.2">
      <c r="A697" s="70"/>
      <c r="B697" s="70"/>
      <c r="C697" s="70"/>
      <c r="D697" s="70"/>
      <c r="E697" s="70"/>
      <c r="F697" s="70"/>
    </row>
    <row r="698" spans="1:6" ht="13.2">
      <c r="A698" s="70"/>
      <c r="B698" s="70"/>
      <c r="C698" s="70"/>
      <c r="D698" s="70"/>
      <c r="E698" s="70"/>
      <c r="F698" s="70"/>
    </row>
    <row r="699" spans="1:6" ht="13.2">
      <c r="A699" s="70"/>
      <c r="B699" s="70"/>
      <c r="C699" s="70"/>
      <c r="D699" s="70"/>
      <c r="E699" s="70"/>
      <c r="F699" s="70"/>
    </row>
    <row r="700" spans="1:6" ht="13.2">
      <c r="A700" s="70"/>
      <c r="B700" s="70"/>
      <c r="C700" s="70"/>
      <c r="D700" s="70"/>
      <c r="E700" s="70"/>
      <c r="F700" s="70"/>
    </row>
    <row r="701" spans="1:6" ht="13.2">
      <c r="A701" s="70"/>
      <c r="B701" s="70"/>
      <c r="C701" s="70"/>
      <c r="D701" s="70"/>
      <c r="E701" s="70"/>
      <c r="F701" s="70"/>
    </row>
    <row r="702" spans="1:6" ht="13.2">
      <c r="A702" s="70"/>
      <c r="B702" s="70"/>
      <c r="C702" s="70"/>
      <c r="D702" s="70"/>
      <c r="E702" s="70"/>
      <c r="F702" s="70"/>
    </row>
    <row r="703" spans="1:6" ht="13.2">
      <c r="A703" s="70"/>
      <c r="B703" s="70"/>
      <c r="C703" s="70"/>
      <c r="D703" s="70"/>
      <c r="E703" s="70"/>
      <c r="F703" s="70"/>
    </row>
    <row r="704" spans="1:6" ht="13.2">
      <c r="A704" s="70"/>
      <c r="B704" s="70"/>
      <c r="C704" s="70"/>
      <c r="D704" s="70"/>
      <c r="E704" s="70"/>
      <c r="F704" s="70"/>
    </row>
    <row r="705" spans="1:6" ht="13.2">
      <c r="A705" s="70"/>
      <c r="B705" s="70"/>
      <c r="C705" s="70"/>
      <c r="D705" s="70"/>
      <c r="E705" s="70"/>
      <c r="F705" s="70"/>
    </row>
    <row r="706" spans="1:6" ht="13.2">
      <c r="A706" s="70"/>
      <c r="B706" s="70"/>
      <c r="C706" s="70"/>
      <c r="D706" s="70"/>
      <c r="E706" s="70"/>
      <c r="F706" s="70"/>
    </row>
    <row r="707" spans="1:6" ht="13.2">
      <c r="A707" s="70"/>
      <c r="B707" s="70"/>
      <c r="C707" s="70"/>
      <c r="D707" s="70"/>
      <c r="E707" s="70"/>
      <c r="F707" s="70"/>
    </row>
    <row r="708" spans="1:6" ht="13.2">
      <c r="A708" s="70"/>
      <c r="B708" s="70"/>
      <c r="C708" s="70"/>
      <c r="D708" s="70"/>
      <c r="E708" s="70"/>
      <c r="F708" s="70"/>
    </row>
    <row r="709" spans="1:6" ht="13.2">
      <c r="A709" s="70"/>
      <c r="B709" s="70"/>
      <c r="C709" s="70"/>
      <c r="D709" s="70"/>
      <c r="E709" s="70"/>
      <c r="F709" s="70"/>
    </row>
    <row r="710" spans="1:6" ht="13.2">
      <c r="A710" s="70"/>
      <c r="B710" s="70"/>
      <c r="C710" s="70"/>
      <c r="D710" s="70"/>
      <c r="E710" s="70"/>
      <c r="F710" s="70"/>
    </row>
    <row r="711" spans="1:6" ht="13.2">
      <c r="A711" s="70"/>
      <c r="B711" s="70"/>
      <c r="C711" s="70"/>
      <c r="D711" s="70"/>
      <c r="E711" s="70"/>
      <c r="F711" s="70"/>
    </row>
    <row r="712" spans="1:6" ht="13.2">
      <c r="A712" s="70"/>
      <c r="B712" s="70"/>
      <c r="C712" s="70"/>
      <c r="D712" s="70"/>
      <c r="E712" s="70"/>
      <c r="F712" s="70"/>
    </row>
    <row r="713" spans="1:6" ht="13.2">
      <c r="A713" s="70"/>
      <c r="B713" s="70"/>
      <c r="C713" s="70"/>
      <c r="D713" s="70"/>
      <c r="E713" s="70"/>
      <c r="F713" s="70"/>
    </row>
    <row r="714" spans="1:6" ht="13.2">
      <c r="A714" s="70"/>
      <c r="B714" s="70"/>
      <c r="C714" s="70"/>
      <c r="D714" s="70"/>
      <c r="E714" s="70"/>
      <c r="F714" s="70"/>
    </row>
    <row r="715" spans="1:6" ht="13.2">
      <c r="A715" s="70"/>
      <c r="B715" s="70"/>
      <c r="C715" s="70"/>
      <c r="D715" s="70"/>
      <c r="E715" s="70"/>
      <c r="F715" s="70"/>
    </row>
    <row r="716" spans="1:6" ht="13.2">
      <c r="A716" s="70"/>
      <c r="B716" s="70"/>
      <c r="C716" s="70"/>
      <c r="D716" s="70"/>
      <c r="E716" s="70"/>
      <c r="F716" s="70"/>
    </row>
    <row r="717" spans="1:6" ht="13.2">
      <c r="A717" s="70"/>
      <c r="B717" s="70"/>
      <c r="C717" s="70"/>
      <c r="D717" s="70"/>
      <c r="E717" s="70"/>
      <c r="F717" s="70"/>
    </row>
    <row r="718" spans="1:6" ht="13.2">
      <c r="A718" s="70"/>
      <c r="B718" s="70"/>
      <c r="C718" s="70"/>
      <c r="D718" s="70"/>
      <c r="E718" s="70"/>
      <c r="F718" s="70"/>
    </row>
    <row r="719" spans="1:6" ht="13.2">
      <c r="A719" s="70"/>
      <c r="B719" s="70"/>
      <c r="C719" s="70"/>
      <c r="D719" s="70"/>
      <c r="E719" s="70"/>
      <c r="F719" s="70"/>
    </row>
    <row r="720" spans="1:6" ht="13.2">
      <c r="A720" s="70"/>
      <c r="B720" s="70"/>
      <c r="C720" s="70"/>
      <c r="D720" s="70"/>
      <c r="E720" s="70"/>
      <c r="F720" s="70"/>
    </row>
    <row r="721" spans="1:6" ht="13.2">
      <c r="A721" s="70"/>
      <c r="B721" s="70"/>
      <c r="C721" s="70"/>
      <c r="D721" s="70"/>
      <c r="E721" s="70"/>
      <c r="F721" s="70"/>
    </row>
    <row r="722" spans="1:6" ht="13.2">
      <c r="A722" s="70"/>
      <c r="B722" s="70"/>
      <c r="C722" s="70"/>
      <c r="D722" s="70"/>
      <c r="E722" s="70"/>
      <c r="F722" s="70"/>
    </row>
    <row r="723" spans="1:6" ht="13.2">
      <c r="A723" s="70"/>
      <c r="B723" s="70"/>
      <c r="C723" s="70"/>
      <c r="D723" s="70"/>
      <c r="E723" s="70"/>
      <c r="F723" s="70"/>
    </row>
    <row r="724" spans="1:6" ht="13.2">
      <c r="A724" s="70"/>
      <c r="B724" s="70"/>
      <c r="C724" s="70"/>
      <c r="D724" s="70"/>
      <c r="E724" s="70"/>
      <c r="F724" s="70"/>
    </row>
    <row r="725" spans="1:6" ht="13.2">
      <c r="A725" s="70"/>
      <c r="B725" s="70"/>
      <c r="C725" s="70"/>
      <c r="D725" s="70"/>
      <c r="E725" s="70"/>
      <c r="F725" s="70"/>
    </row>
    <row r="726" spans="1:6" ht="13.2">
      <c r="A726" s="70"/>
      <c r="B726" s="70"/>
      <c r="C726" s="70"/>
      <c r="D726" s="70"/>
      <c r="E726" s="70"/>
      <c r="F726" s="70"/>
    </row>
    <row r="727" spans="1:6" ht="13.2">
      <c r="A727" s="70"/>
      <c r="B727" s="70"/>
      <c r="C727" s="70"/>
      <c r="D727" s="70"/>
      <c r="E727" s="70"/>
      <c r="F727" s="70"/>
    </row>
    <row r="728" spans="1:6" ht="13.2">
      <c r="A728" s="70"/>
      <c r="B728" s="70"/>
      <c r="C728" s="70"/>
      <c r="D728" s="70"/>
      <c r="E728" s="70"/>
      <c r="F728" s="70"/>
    </row>
    <row r="729" spans="1:6" ht="13.2">
      <c r="A729" s="70"/>
      <c r="B729" s="70"/>
      <c r="C729" s="70"/>
      <c r="D729" s="70"/>
      <c r="E729" s="70"/>
      <c r="F729" s="70"/>
    </row>
    <row r="730" spans="1:6" ht="13.2">
      <c r="A730" s="70"/>
      <c r="B730" s="70"/>
      <c r="C730" s="70"/>
      <c r="D730" s="70"/>
      <c r="E730" s="70"/>
      <c r="F730" s="70"/>
    </row>
    <row r="731" spans="1:6" ht="13.2">
      <c r="A731" s="70"/>
      <c r="B731" s="70"/>
      <c r="C731" s="70"/>
      <c r="D731" s="70"/>
      <c r="E731" s="70"/>
      <c r="F731" s="70"/>
    </row>
    <row r="732" spans="1:6" ht="13.2">
      <c r="A732" s="70"/>
      <c r="B732" s="70"/>
      <c r="C732" s="70"/>
      <c r="D732" s="70"/>
      <c r="E732" s="70"/>
      <c r="F732" s="70"/>
    </row>
    <row r="733" spans="1:6" ht="13.2">
      <c r="A733" s="70"/>
      <c r="B733" s="70"/>
      <c r="C733" s="70"/>
      <c r="D733" s="70"/>
      <c r="E733" s="70"/>
      <c r="F733" s="70"/>
    </row>
    <row r="734" spans="1:6" ht="13.2">
      <c r="A734" s="70"/>
      <c r="B734" s="70"/>
      <c r="C734" s="70"/>
      <c r="D734" s="70"/>
      <c r="E734" s="70"/>
      <c r="F734" s="70"/>
    </row>
    <row r="735" spans="1:6" ht="13.2">
      <c r="A735" s="70"/>
      <c r="B735" s="70"/>
      <c r="C735" s="70"/>
      <c r="D735" s="70"/>
      <c r="E735" s="70"/>
      <c r="F735" s="70"/>
    </row>
    <row r="736" spans="1:6" ht="13.2">
      <c r="A736" s="70"/>
      <c r="B736" s="70"/>
      <c r="C736" s="70"/>
      <c r="D736" s="70"/>
      <c r="E736" s="70"/>
      <c r="F736" s="70"/>
    </row>
    <row r="737" spans="1:6" ht="13.2">
      <c r="A737" s="70"/>
      <c r="B737" s="70"/>
      <c r="C737" s="70"/>
      <c r="D737" s="70"/>
      <c r="E737" s="70"/>
      <c r="F737" s="70"/>
    </row>
    <row r="738" spans="1:6" ht="13.2">
      <c r="A738" s="70"/>
      <c r="B738" s="70"/>
      <c r="C738" s="70"/>
      <c r="D738" s="70"/>
      <c r="E738" s="70"/>
      <c r="F738" s="70"/>
    </row>
    <row r="739" spans="1:6" ht="13.2">
      <c r="A739" s="70"/>
      <c r="B739" s="70"/>
      <c r="C739" s="70"/>
      <c r="D739" s="70"/>
      <c r="E739" s="70"/>
      <c r="F739" s="70"/>
    </row>
    <row r="740" spans="1:6" ht="13.2">
      <c r="A740" s="70"/>
      <c r="B740" s="70"/>
      <c r="C740" s="70"/>
      <c r="D740" s="70"/>
      <c r="E740" s="70"/>
      <c r="F740" s="70"/>
    </row>
    <row r="741" spans="1:6" ht="13.2">
      <c r="A741" s="70"/>
      <c r="B741" s="70"/>
      <c r="C741" s="70"/>
      <c r="D741" s="70"/>
      <c r="E741" s="70"/>
      <c r="F741" s="70"/>
    </row>
    <row r="742" spans="1:6" ht="13.2">
      <c r="A742" s="70"/>
      <c r="B742" s="70"/>
      <c r="C742" s="70"/>
      <c r="D742" s="70"/>
      <c r="E742" s="70"/>
      <c r="F742" s="70"/>
    </row>
    <row r="743" spans="1:6" ht="13.2">
      <c r="A743" s="70"/>
      <c r="B743" s="70"/>
      <c r="C743" s="70"/>
      <c r="D743" s="70"/>
      <c r="E743" s="70"/>
      <c r="F743" s="70"/>
    </row>
    <row r="744" spans="1:6" ht="13.2">
      <c r="A744" s="70"/>
      <c r="B744" s="70"/>
      <c r="C744" s="70"/>
      <c r="D744" s="70"/>
      <c r="E744" s="70"/>
      <c r="F744" s="70"/>
    </row>
    <row r="745" spans="1:6" ht="13.2">
      <c r="A745" s="70"/>
      <c r="B745" s="70"/>
      <c r="C745" s="70"/>
      <c r="D745" s="70"/>
      <c r="E745" s="70"/>
      <c r="F745" s="70"/>
    </row>
    <row r="746" spans="1:6" ht="13.2">
      <c r="A746" s="70"/>
      <c r="B746" s="70"/>
      <c r="C746" s="70"/>
      <c r="D746" s="70"/>
      <c r="E746" s="70"/>
      <c r="F746" s="70"/>
    </row>
    <row r="747" spans="1:6" ht="13.2">
      <c r="A747" s="70"/>
      <c r="B747" s="70"/>
      <c r="C747" s="70"/>
      <c r="D747" s="70"/>
      <c r="E747" s="70"/>
      <c r="F747" s="70"/>
    </row>
    <row r="748" spans="1:6" ht="13.2">
      <c r="A748" s="70"/>
      <c r="B748" s="70"/>
      <c r="C748" s="70"/>
      <c r="D748" s="70"/>
      <c r="E748" s="70"/>
      <c r="F748" s="70"/>
    </row>
    <row r="749" spans="1:6" ht="13.2">
      <c r="A749" s="70"/>
      <c r="B749" s="70"/>
      <c r="C749" s="70"/>
      <c r="D749" s="70"/>
      <c r="E749" s="70"/>
      <c r="F749" s="70"/>
    </row>
    <row r="750" spans="1:6" ht="13.2">
      <c r="A750" s="70"/>
      <c r="B750" s="70"/>
      <c r="C750" s="70"/>
      <c r="D750" s="70"/>
      <c r="E750" s="70"/>
      <c r="F750" s="70"/>
    </row>
    <row r="751" spans="1:6" ht="13.2">
      <c r="A751" s="70"/>
      <c r="B751" s="70"/>
      <c r="C751" s="70"/>
      <c r="D751" s="70"/>
      <c r="E751" s="70"/>
      <c r="F751" s="70"/>
    </row>
    <row r="752" spans="1:6" ht="13.2">
      <c r="A752" s="70"/>
      <c r="B752" s="70"/>
      <c r="C752" s="70"/>
      <c r="D752" s="70"/>
      <c r="E752" s="70"/>
      <c r="F752" s="70"/>
    </row>
    <row r="753" spans="1:6" ht="13.2">
      <c r="A753" s="70"/>
      <c r="B753" s="70"/>
      <c r="C753" s="70"/>
      <c r="D753" s="70"/>
      <c r="E753" s="70"/>
      <c r="F753" s="70"/>
    </row>
    <row r="754" spans="1:6" ht="13.2">
      <c r="A754" s="70"/>
      <c r="B754" s="70"/>
      <c r="C754" s="70"/>
      <c r="D754" s="70"/>
      <c r="E754" s="70"/>
      <c r="F754" s="70"/>
    </row>
    <row r="755" spans="1:6" ht="13.2">
      <c r="A755" s="70"/>
      <c r="B755" s="70"/>
      <c r="C755" s="70"/>
      <c r="D755" s="70"/>
      <c r="E755" s="70"/>
      <c r="F755" s="70"/>
    </row>
    <row r="756" spans="1:6" ht="13.2">
      <c r="A756" s="70"/>
      <c r="B756" s="70"/>
      <c r="C756" s="70"/>
      <c r="D756" s="70"/>
      <c r="E756" s="70"/>
      <c r="F756" s="70"/>
    </row>
    <row r="757" spans="1:6" ht="13.2">
      <c r="A757" s="70"/>
      <c r="B757" s="70"/>
      <c r="C757" s="70"/>
      <c r="D757" s="70"/>
      <c r="E757" s="70"/>
      <c r="F757" s="70"/>
    </row>
    <row r="758" spans="1:6" ht="13.2">
      <c r="A758" s="70"/>
      <c r="B758" s="70"/>
      <c r="C758" s="70"/>
      <c r="D758" s="70"/>
      <c r="E758" s="70"/>
      <c r="F758" s="70"/>
    </row>
    <row r="759" spans="1:6" ht="13.2">
      <c r="A759" s="70"/>
      <c r="B759" s="70"/>
      <c r="C759" s="70"/>
      <c r="D759" s="70"/>
      <c r="E759" s="70"/>
      <c r="F759" s="70"/>
    </row>
    <row r="760" spans="1:6" ht="13.2">
      <c r="A760" s="70"/>
      <c r="B760" s="70"/>
      <c r="C760" s="70"/>
      <c r="D760" s="70"/>
      <c r="E760" s="70"/>
      <c r="F760" s="70"/>
    </row>
    <row r="761" spans="1:6" ht="13.2">
      <c r="A761" s="70"/>
      <c r="B761" s="70"/>
      <c r="C761" s="70"/>
      <c r="D761" s="70"/>
      <c r="E761" s="70"/>
      <c r="F761" s="70"/>
    </row>
    <row r="762" spans="1:6" ht="13.2">
      <c r="A762" s="70"/>
      <c r="B762" s="70"/>
      <c r="C762" s="70"/>
      <c r="D762" s="70"/>
      <c r="E762" s="70"/>
      <c r="F762" s="70"/>
    </row>
    <row r="763" spans="1:6" ht="13.2">
      <c r="A763" s="70"/>
      <c r="B763" s="70"/>
      <c r="C763" s="70"/>
      <c r="D763" s="70"/>
      <c r="E763" s="70"/>
      <c r="F763" s="70"/>
    </row>
    <row r="764" spans="1:6" ht="13.2">
      <c r="A764" s="70"/>
      <c r="B764" s="70"/>
      <c r="C764" s="70"/>
      <c r="D764" s="70"/>
      <c r="E764" s="70"/>
      <c r="F764" s="70"/>
    </row>
    <row r="765" spans="1:6" ht="13.2">
      <c r="A765" s="70"/>
      <c r="B765" s="70"/>
      <c r="C765" s="70"/>
      <c r="D765" s="70"/>
      <c r="E765" s="70"/>
      <c r="F765" s="70"/>
    </row>
    <row r="766" spans="1:6" ht="13.2">
      <c r="A766" s="70"/>
      <c r="B766" s="70"/>
      <c r="C766" s="70"/>
      <c r="D766" s="70"/>
      <c r="E766" s="70"/>
      <c r="F766" s="70"/>
    </row>
    <row r="767" spans="1:6" ht="13.2">
      <c r="A767" s="70"/>
      <c r="B767" s="70"/>
      <c r="C767" s="70"/>
      <c r="D767" s="70"/>
      <c r="E767" s="70"/>
      <c r="F767" s="70"/>
    </row>
    <row r="768" spans="1:6" ht="13.2">
      <c r="A768" s="70"/>
      <c r="B768" s="70"/>
      <c r="C768" s="70"/>
      <c r="D768" s="70"/>
      <c r="E768" s="70"/>
      <c r="F768" s="70"/>
    </row>
    <row r="769" spans="1:6" ht="13.2">
      <c r="A769" s="70"/>
      <c r="B769" s="70"/>
      <c r="C769" s="70"/>
      <c r="D769" s="70"/>
      <c r="E769" s="70"/>
      <c r="F769" s="70"/>
    </row>
    <row r="770" spans="1:6" ht="13.2">
      <c r="A770" s="70"/>
      <c r="B770" s="70"/>
      <c r="C770" s="70"/>
      <c r="D770" s="70"/>
      <c r="E770" s="70"/>
      <c r="F770" s="70"/>
    </row>
    <row r="771" spans="1:6" ht="13.2">
      <c r="A771" s="70"/>
      <c r="B771" s="70"/>
      <c r="C771" s="70"/>
      <c r="D771" s="70"/>
      <c r="E771" s="70"/>
      <c r="F771" s="70"/>
    </row>
    <row r="772" spans="1:6" ht="13.2">
      <c r="A772" s="70"/>
      <c r="B772" s="70"/>
      <c r="C772" s="70"/>
      <c r="D772" s="70"/>
      <c r="E772" s="70"/>
      <c r="F772" s="70"/>
    </row>
    <row r="773" spans="1:6" ht="13.2">
      <c r="A773" s="70"/>
      <c r="B773" s="70"/>
      <c r="C773" s="70"/>
      <c r="D773" s="70"/>
      <c r="E773" s="70"/>
      <c r="F773" s="70"/>
    </row>
    <row r="774" spans="1:6" ht="13.2">
      <c r="A774" s="70"/>
      <c r="B774" s="70"/>
      <c r="C774" s="70"/>
      <c r="D774" s="70"/>
      <c r="E774" s="70"/>
      <c r="F774" s="70"/>
    </row>
    <row r="775" spans="1:6" ht="13.2">
      <c r="A775" s="70"/>
      <c r="B775" s="70"/>
      <c r="C775" s="70"/>
      <c r="D775" s="70"/>
      <c r="E775" s="70"/>
      <c r="F775" s="70"/>
    </row>
    <row r="776" spans="1:6" ht="13.2">
      <c r="A776" s="70"/>
      <c r="B776" s="70"/>
      <c r="C776" s="70"/>
      <c r="D776" s="70"/>
      <c r="E776" s="70"/>
      <c r="F776" s="70"/>
    </row>
    <row r="777" spans="1:6" ht="13.2">
      <c r="A777" s="70"/>
      <c r="B777" s="70"/>
      <c r="C777" s="70"/>
      <c r="D777" s="70"/>
      <c r="E777" s="70"/>
      <c r="F777" s="70"/>
    </row>
    <row r="778" spans="1:6" ht="13.2">
      <c r="A778" s="70"/>
      <c r="B778" s="70"/>
      <c r="C778" s="70"/>
      <c r="D778" s="70"/>
      <c r="E778" s="70"/>
      <c r="F778" s="70"/>
    </row>
    <row r="779" spans="1:6" ht="13.2">
      <c r="A779" s="70"/>
      <c r="B779" s="70"/>
      <c r="C779" s="70"/>
      <c r="D779" s="70"/>
      <c r="E779" s="70"/>
      <c r="F779" s="70"/>
    </row>
    <row r="780" spans="1:6" ht="13.2">
      <c r="A780" s="70"/>
      <c r="B780" s="70"/>
      <c r="C780" s="70"/>
      <c r="D780" s="70"/>
      <c r="E780" s="70"/>
      <c r="F780" s="70"/>
    </row>
    <row r="781" spans="1:6" ht="13.2">
      <c r="A781" s="70"/>
      <c r="B781" s="70"/>
      <c r="C781" s="70"/>
      <c r="D781" s="70"/>
      <c r="E781" s="70"/>
      <c r="F781" s="70"/>
    </row>
    <row r="782" spans="1:6" ht="13.2">
      <c r="A782" s="70"/>
      <c r="B782" s="70"/>
      <c r="C782" s="70"/>
      <c r="D782" s="70"/>
      <c r="E782" s="70"/>
      <c r="F782" s="70"/>
    </row>
    <row r="783" spans="1:6" ht="13.2">
      <c r="A783" s="70"/>
      <c r="B783" s="70"/>
      <c r="C783" s="70"/>
      <c r="D783" s="70"/>
      <c r="E783" s="70"/>
      <c r="F783" s="70"/>
    </row>
    <row r="784" spans="1:6" ht="13.2">
      <c r="A784" s="70"/>
      <c r="B784" s="70"/>
      <c r="C784" s="70"/>
      <c r="D784" s="70"/>
      <c r="E784" s="70"/>
      <c r="F784" s="70"/>
    </row>
    <row r="785" spans="1:6" ht="13.2">
      <c r="A785" s="70"/>
      <c r="B785" s="70"/>
      <c r="C785" s="70"/>
      <c r="D785" s="70"/>
      <c r="E785" s="70"/>
      <c r="F785" s="70"/>
    </row>
    <row r="786" spans="1:6" ht="13.2">
      <c r="A786" s="70"/>
      <c r="B786" s="70"/>
      <c r="C786" s="70"/>
      <c r="D786" s="70"/>
      <c r="E786" s="70"/>
      <c r="F786" s="70"/>
    </row>
    <row r="787" spans="1:6" ht="13.2">
      <c r="A787" s="70"/>
      <c r="B787" s="70"/>
      <c r="C787" s="70"/>
      <c r="D787" s="70"/>
      <c r="E787" s="70"/>
      <c r="F787" s="70"/>
    </row>
    <row r="788" spans="1:6" ht="13.2">
      <c r="A788" s="70"/>
      <c r="B788" s="70"/>
      <c r="C788" s="70"/>
      <c r="D788" s="70"/>
      <c r="E788" s="70"/>
      <c r="F788" s="70"/>
    </row>
    <row r="789" spans="1:6" ht="13.2">
      <c r="A789" s="70"/>
      <c r="B789" s="70"/>
      <c r="C789" s="70"/>
      <c r="D789" s="70"/>
      <c r="E789" s="70"/>
      <c r="F789" s="70"/>
    </row>
    <row r="790" spans="1:6" ht="13.2">
      <c r="A790" s="70"/>
      <c r="B790" s="70"/>
      <c r="C790" s="70"/>
      <c r="D790" s="70"/>
      <c r="E790" s="70"/>
      <c r="F790" s="70"/>
    </row>
    <row r="791" spans="1:6" ht="13.2">
      <c r="A791" s="70"/>
      <c r="B791" s="70"/>
      <c r="C791" s="70"/>
      <c r="D791" s="70"/>
      <c r="E791" s="70"/>
      <c r="F791" s="70"/>
    </row>
    <row r="792" spans="1:6" ht="13.2">
      <c r="A792" s="70"/>
      <c r="B792" s="70"/>
      <c r="C792" s="70"/>
      <c r="D792" s="70"/>
      <c r="E792" s="70"/>
      <c r="F792" s="70"/>
    </row>
    <row r="793" spans="1:6" ht="13.2">
      <c r="A793" s="70"/>
      <c r="B793" s="70"/>
      <c r="C793" s="70"/>
      <c r="D793" s="70"/>
      <c r="E793" s="70"/>
      <c r="F793" s="70"/>
    </row>
    <row r="794" spans="1:6" ht="13.2">
      <c r="A794" s="70"/>
      <c r="B794" s="70"/>
      <c r="C794" s="70"/>
      <c r="D794" s="70"/>
      <c r="E794" s="70"/>
      <c r="F794" s="70"/>
    </row>
    <row r="795" spans="1:6" ht="13.2">
      <c r="A795" s="70"/>
      <c r="B795" s="70"/>
      <c r="C795" s="70"/>
      <c r="D795" s="70"/>
      <c r="E795" s="70"/>
      <c r="F795" s="70"/>
    </row>
    <row r="796" spans="1:6" ht="13.2">
      <c r="A796" s="70"/>
      <c r="B796" s="70"/>
      <c r="C796" s="70"/>
      <c r="D796" s="70"/>
      <c r="E796" s="70"/>
      <c r="F796" s="70"/>
    </row>
    <row r="797" spans="1:6" ht="13.2">
      <c r="A797" s="70"/>
      <c r="B797" s="70"/>
      <c r="C797" s="70"/>
      <c r="D797" s="70"/>
      <c r="E797" s="70"/>
      <c r="F797" s="70"/>
    </row>
    <row r="798" spans="1:6" ht="13.2">
      <c r="A798" s="70"/>
      <c r="B798" s="70"/>
      <c r="C798" s="70"/>
      <c r="D798" s="70"/>
      <c r="E798" s="70"/>
      <c r="F798" s="70"/>
    </row>
    <row r="799" spans="1:6" ht="13.2">
      <c r="A799" s="70"/>
      <c r="B799" s="70"/>
      <c r="C799" s="70"/>
      <c r="D799" s="70"/>
      <c r="E799" s="70"/>
      <c r="F799" s="70"/>
    </row>
    <row r="800" spans="1:6" ht="13.2">
      <c r="A800" s="70"/>
      <c r="B800" s="70"/>
      <c r="C800" s="70"/>
      <c r="D800" s="70"/>
      <c r="E800" s="70"/>
      <c r="F800" s="70"/>
    </row>
    <row r="801" spans="1:6" ht="13.2">
      <c r="A801" s="70"/>
      <c r="B801" s="70"/>
      <c r="C801" s="70"/>
      <c r="D801" s="70"/>
      <c r="E801" s="70"/>
      <c r="F801" s="70"/>
    </row>
    <row r="802" spans="1:6" ht="13.2">
      <c r="A802" s="70"/>
      <c r="B802" s="70"/>
      <c r="C802" s="70"/>
      <c r="D802" s="70"/>
      <c r="E802" s="70"/>
      <c r="F802" s="70"/>
    </row>
    <row r="803" spans="1:6" ht="13.2">
      <c r="A803" s="70"/>
      <c r="B803" s="70"/>
      <c r="C803" s="70"/>
      <c r="D803" s="70"/>
      <c r="E803" s="70"/>
      <c r="F803" s="70"/>
    </row>
    <row r="804" spans="1:6" ht="13.2">
      <c r="A804" s="70"/>
      <c r="B804" s="70"/>
      <c r="C804" s="70"/>
      <c r="D804" s="70"/>
      <c r="E804" s="70"/>
      <c r="F804" s="70"/>
    </row>
    <row r="805" spans="1:6" ht="13.2">
      <c r="A805" s="70"/>
      <c r="B805" s="70"/>
      <c r="C805" s="70"/>
      <c r="D805" s="70"/>
      <c r="E805" s="70"/>
      <c r="F805" s="70"/>
    </row>
    <row r="806" spans="1:6" ht="13.2">
      <c r="A806" s="70"/>
      <c r="B806" s="70"/>
      <c r="C806" s="70"/>
      <c r="D806" s="70"/>
      <c r="E806" s="70"/>
      <c r="F806" s="70"/>
    </row>
    <row r="807" spans="1:6" ht="13.2">
      <c r="A807" s="70"/>
      <c r="B807" s="70"/>
      <c r="C807" s="70"/>
      <c r="D807" s="70"/>
      <c r="E807" s="70"/>
      <c r="F807" s="70"/>
    </row>
    <row r="808" spans="1:6" ht="13.2">
      <c r="A808" s="70"/>
      <c r="B808" s="70"/>
      <c r="C808" s="70"/>
      <c r="D808" s="70"/>
      <c r="E808" s="70"/>
      <c r="F808" s="70"/>
    </row>
    <row r="809" spans="1:6" ht="13.2">
      <c r="A809" s="70"/>
      <c r="B809" s="70"/>
      <c r="C809" s="70"/>
      <c r="D809" s="70"/>
      <c r="E809" s="70"/>
      <c r="F809" s="70"/>
    </row>
    <row r="810" spans="1:6" ht="13.2">
      <c r="A810" s="70"/>
      <c r="B810" s="70"/>
      <c r="C810" s="70"/>
      <c r="D810" s="70"/>
      <c r="E810" s="70"/>
      <c r="F810" s="70"/>
    </row>
    <row r="811" spans="1:6" ht="13.2">
      <c r="A811" s="70"/>
      <c r="B811" s="70"/>
      <c r="C811" s="70"/>
      <c r="D811" s="70"/>
      <c r="E811" s="70"/>
      <c r="F811" s="70"/>
    </row>
    <row r="812" spans="1:6" ht="13.2">
      <c r="A812" s="70"/>
      <c r="B812" s="70"/>
      <c r="C812" s="70"/>
      <c r="D812" s="70"/>
      <c r="E812" s="70"/>
      <c r="F812" s="70"/>
    </row>
    <row r="813" spans="1:6" ht="13.2">
      <c r="A813" s="70"/>
      <c r="B813" s="70"/>
      <c r="C813" s="70"/>
      <c r="D813" s="70"/>
      <c r="E813" s="70"/>
      <c r="F813" s="70"/>
    </row>
    <row r="814" spans="1:6" ht="13.2">
      <c r="A814" s="70"/>
      <c r="B814" s="70"/>
      <c r="C814" s="70"/>
      <c r="D814" s="70"/>
      <c r="E814" s="70"/>
      <c r="F814" s="70"/>
    </row>
    <row r="815" spans="1:6" ht="13.2">
      <c r="A815" s="70"/>
      <c r="B815" s="70"/>
      <c r="C815" s="70"/>
      <c r="D815" s="70"/>
      <c r="E815" s="70"/>
      <c r="F815" s="70"/>
    </row>
    <row r="816" spans="1:6" ht="13.2">
      <c r="A816" s="70"/>
      <c r="B816" s="70"/>
      <c r="C816" s="70"/>
      <c r="D816" s="70"/>
      <c r="E816" s="70"/>
      <c r="F816" s="70"/>
    </row>
    <row r="817" spans="1:6" ht="13.2">
      <c r="A817" s="70"/>
      <c r="B817" s="70"/>
      <c r="C817" s="70"/>
      <c r="D817" s="70"/>
      <c r="E817" s="70"/>
      <c r="F817" s="70"/>
    </row>
    <row r="818" spans="1:6" ht="13.2">
      <c r="A818" s="70"/>
      <c r="B818" s="70"/>
      <c r="C818" s="70"/>
      <c r="D818" s="70"/>
      <c r="E818" s="70"/>
      <c r="F818" s="70"/>
    </row>
    <row r="819" spans="1:6" ht="13.2">
      <c r="A819" s="70"/>
      <c r="B819" s="70"/>
      <c r="C819" s="70"/>
      <c r="D819" s="70"/>
      <c r="E819" s="70"/>
      <c r="F819" s="70"/>
    </row>
    <row r="820" spans="1:6" ht="13.2">
      <c r="A820" s="70"/>
      <c r="B820" s="70"/>
      <c r="C820" s="70"/>
      <c r="D820" s="70"/>
      <c r="E820" s="70"/>
      <c r="F820" s="70"/>
    </row>
    <row r="821" spans="1:6" ht="13.2">
      <c r="A821" s="70"/>
      <c r="B821" s="70"/>
      <c r="C821" s="70"/>
      <c r="D821" s="70"/>
      <c r="E821" s="70"/>
      <c r="F821" s="70"/>
    </row>
    <row r="822" spans="1:6" ht="13.2">
      <c r="A822" s="70"/>
      <c r="B822" s="70"/>
      <c r="C822" s="70"/>
      <c r="D822" s="70"/>
      <c r="E822" s="70"/>
      <c r="F822" s="70"/>
    </row>
    <row r="823" spans="1:6" ht="13.2">
      <c r="A823" s="70"/>
      <c r="B823" s="70"/>
      <c r="C823" s="70"/>
      <c r="D823" s="70"/>
      <c r="E823" s="70"/>
      <c r="F823" s="70"/>
    </row>
    <row r="824" spans="1:6" ht="13.2">
      <c r="A824" s="70"/>
      <c r="B824" s="70"/>
      <c r="C824" s="70"/>
      <c r="D824" s="70"/>
      <c r="E824" s="70"/>
      <c r="F824" s="70"/>
    </row>
    <row r="825" spans="1:6" ht="13.2">
      <c r="A825" s="70"/>
      <c r="B825" s="70"/>
      <c r="C825" s="70"/>
      <c r="D825" s="70"/>
      <c r="E825" s="70"/>
      <c r="F825" s="70"/>
    </row>
    <row r="826" spans="1:6" ht="13.2">
      <c r="A826" s="70"/>
      <c r="B826" s="70"/>
      <c r="C826" s="70"/>
      <c r="D826" s="70"/>
      <c r="E826" s="70"/>
      <c r="F826" s="70"/>
    </row>
    <row r="827" spans="1:6" ht="13.2">
      <c r="A827" s="70"/>
      <c r="B827" s="70"/>
      <c r="C827" s="70"/>
      <c r="D827" s="70"/>
      <c r="E827" s="70"/>
      <c r="F827" s="70"/>
    </row>
    <row r="828" spans="1:6" ht="13.2">
      <c r="A828" s="70"/>
      <c r="B828" s="70"/>
      <c r="C828" s="70"/>
      <c r="D828" s="70"/>
      <c r="E828" s="70"/>
      <c r="F828" s="70"/>
    </row>
    <row r="829" spans="1:6" ht="13.2">
      <c r="A829" s="70"/>
      <c r="B829" s="70"/>
      <c r="C829" s="70"/>
      <c r="D829" s="70"/>
      <c r="E829" s="70"/>
      <c r="F829" s="70"/>
    </row>
    <row r="830" spans="1:6" ht="13.2">
      <c r="A830" s="70"/>
      <c r="B830" s="70"/>
      <c r="C830" s="70"/>
      <c r="D830" s="70"/>
      <c r="E830" s="70"/>
      <c r="F830" s="70"/>
    </row>
    <row r="831" spans="1:6" ht="13.2">
      <c r="A831" s="70"/>
      <c r="B831" s="70"/>
      <c r="C831" s="70"/>
      <c r="D831" s="70"/>
      <c r="E831" s="70"/>
      <c r="F831" s="70"/>
    </row>
    <row r="832" spans="1:6" ht="13.2">
      <c r="A832" s="70"/>
      <c r="B832" s="70"/>
      <c r="C832" s="70"/>
      <c r="D832" s="70"/>
      <c r="E832" s="70"/>
      <c r="F832" s="70"/>
    </row>
    <row r="833" spans="1:6" ht="13.2">
      <c r="A833" s="70"/>
      <c r="B833" s="70"/>
      <c r="C833" s="70"/>
      <c r="D833" s="70"/>
      <c r="E833" s="70"/>
      <c r="F833" s="70"/>
    </row>
    <row r="834" spans="1:6" ht="13.2">
      <c r="A834" s="70"/>
      <c r="B834" s="70"/>
      <c r="C834" s="70"/>
      <c r="D834" s="70"/>
      <c r="E834" s="70"/>
      <c r="F834" s="70"/>
    </row>
    <row r="835" spans="1:6" ht="13.2">
      <c r="A835" s="70"/>
      <c r="B835" s="70"/>
      <c r="C835" s="70"/>
      <c r="D835" s="70"/>
      <c r="E835" s="70"/>
      <c r="F835" s="70"/>
    </row>
    <row r="836" spans="1:6" ht="13.2">
      <c r="A836" s="70"/>
      <c r="B836" s="70"/>
      <c r="C836" s="70"/>
      <c r="D836" s="70"/>
      <c r="E836" s="70"/>
      <c r="F836" s="70"/>
    </row>
    <row r="837" spans="1:6" ht="13.2">
      <c r="A837" s="70"/>
      <c r="B837" s="70"/>
      <c r="C837" s="70"/>
      <c r="D837" s="70"/>
      <c r="E837" s="70"/>
      <c r="F837" s="70"/>
    </row>
    <row r="838" spans="1:6" ht="13.2">
      <c r="A838" s="70"/>
      <c r="B838" s="70"/>
      <c r="C838" s="70"/>
      <c r="D838" s="70"/>
      <c r="E838" s="70"/>
      <c r="F838" s="70"/>
    </row>
    <row r="839" spans="1:6" ht="13.2">
      <c r="A839" s="70"/>
      <c r="B839" s="70"/>
      <c r="C839" s="70"/>
      <c r="D839" s="70"/>
      <c r="E839" s="70"/>
      <c r="F839" s="70"/>
    </row>
    <row r="840" spans="1:6" ht="13.2">
      <c r="A840" s="70"/>
      <c r="B840" s="70"/>
      <c r="C840" s="70"/>
      <c r="D840" s="70"/>
      <c r="E840" s="70"/>
      <c r="F840" s="70"/>
    </row>
    <row r="841" spans="1:6" ht="13.2">
      <c r="A841" s="70"/>
      <c r="B841" s="70"/>
      <c r="C841" s="70"/>
      <c r="D841" s="70"/>
      <c r="E841" s="70"/>
      <c r="F841" s="70"/>
    </row>
    <row r="842" spans="1:6" ht="13.2">
      <c r="A842" s="70"/>
      <c r="B842" s="70"/>
      <c r="C842" s="70"/>
      <c r="D842" s="70"/>
      <c r="E842" s="70"/>
      <c r="F842" s="70"/>
    </row>
    <row r="843" spans="1:6" ht="13.2">
      <c r="A843" s="70"/>
      <c r="B843" s="70"/>
      <c r="C843" s="70"/>
      <c r="D843" s="70"/>
      <c r="E843" s="70"/>
      <c r="F843" s="70"/>
    </row>
    <row r="844" spans="1:6" ht="13.2">
      <c r="A844" s="70"/>
      <c r="B844" s="70"/>
      <c r="C844" s="70"/>
      <c r="D844" s="70"/>
      <c r="E844" s="70"/>
      <c r="F844" s="70"/>
    </row>
    <row r="845" spans="1:6" ht="13.2">
      <c r="A845" s="70"/>
      <c r="B845" s="70"/>
      <c r="C845" s="70"/>
      <c r="D845" s="70"/>
      <c r="E845" s="70"/>
      <c r="F845" s="70"/>
    </row>
    <row r="846" spans="1:6" ht="13.2">
      <c r="A846" s="70"/>
      <c r="B846" s="70"/>
      <c r="C846" s="70"/>
      <c r="D846" s="70"/>
      <c r="E846" s="70"/>
      <c r="F846" s="70"/>
    </row>
    <row r="847" spans="1:6" ht="13.2">
      <c r="A847" s="70"/>
      <c r="B847" s="70"/>
      <c r="C847" s="70"/>
      <c r="D847" s="70"/>
      <c r="E847" s="70"/>
      <c r="F847" s="70"/>
    </row>
    <row r="848" spans="1:6" ht="13.2">
      <c r="A848" s="70"/>
      <c r="B848" s="70"/>
      <c r="C848" s="70"/>
      <c r="D848" s="70"/>
      <c r="E848" s="70"/>
      <c r="F848" s="70"/>
    </row>
    <row r="849" spans="1:6" ht="13.2">
      <c r="A849" s="70"/>
      <c r="B849" s="70"/>
      <c r="C849" s="70"/>
      <c r="D849" s="70"/>
      <c r="E849" s="70"/>
      <c r="F849" s="70"/>
    </row>
    <row r="850" spans="1:6" ht="13.2">
      <c r="A850" s="70"/>
      <c r="B850" s="70"/>
      <c r="C850" s="70"/>
      <c r="D850" s="70"/>
      <c r="E850" s="70"/>
      <c r="F850" s="70"/>
    </row>
    <row r="851" spans="1:6" ht="13.2">
      <c r="A851" s="70"/>
      <c r="B851" s="70"/>
      <c r="C851" s="70"/>
      <c r="D851" s="70"/>
      <c r="E851" s="70"/>
      <c r="F851" s="70"/>
    </row>
    <row r="852" spans="1:6" ht="13.2">
      <c r="A852" s="70"/>
      <c r="B852" s="70"/>
      <c r="C852" s="70"/>
      <c r="D852" s="70"/>
      <c r="E852" s="70"/>
      <c r="F852" s="70"/>
    </row>
    <row r="853" spans="1:6" ht="13.2">
      <c r="A853" s="70"/>
      <c r="B853" s="70"/>
      <c r="C853" s="70"/>
      <c r="D853" s="70"/>
      <c r="E853" s="70"/>
      <c r="F853" s="70"/>
    </row>
    <row r="854" spans="1:6" ht="13.2">
      <c r="A854" s="70"/>
      <c r="B854" s="70"/>
      <c r="C854" s="70"/>
      <c r="D854" s="70"/>
      <c r="E854" s="70"/>
      <c r="F854" s="70"/>
    </row>
    <row r="855" spans="1:6" ht="13.2">
      <c r="A855" s="70"/>
      <c r="B855" s="70"/>
      <c r="C855" s="70"/>
      <c r="D855" s="70"/>
      <c r="E855" s="70"/>
      <c r="F855" s="70"/>
    </row>
    <row r="856" spans="1:6" ht="13.2">
      <c r="A856" s="70"/>
      <c r="B856" s="70"/>
      <c r="C856" s="70"/>
      <c r="D856" s="70"/>
      <c r="E856" s="70"/>
      <c r="F856" s="70"/>
    </row>
    <row r="857" spans="1:6" ht="13.2">
      <c r="A857" s="70"/>
      <c r="B857" s="70"/>
      <c r="C857" s="70"/>
      <c r="D857" s="70"/>
      <c r="E857" s="70"/>
      <c r="F857" s="70"/>
    </row>
    <row r="858" spans="1:6" ht="13.2">
      <c r="A858" s="70"/>
      <c r="B858" s="70"/>
      <c r="C858" s="70"/>
      <c r="D858" s="70"/>
      <c r="E858" s="70"/>
      <c r="F858" s="70"/>
    </row>
    <row r="859" spans="1:6" ht="13.2">
      <c r="A859" s="70"/>
      <c r="B859" s="70"/>
      <c r="C859" s="70"/>
      <c r="D859" s="70"/>
      <c r="E859" s="70"/>
      <c r="F859" s="70"/>
    </row>
    <row r="860" spans="1:6" ht="13.2">
      <c r="A860" s="70"/>
      <c r="B860" s="70"/>
      <c r="C860" s="70"/>
      <c r="D860" s="70"/>
      <c r="E860" s="70"/>
      <c r="F860" s="70"/>
    </row>
    <row r="861" spans="1:6" ht="13.2">
      <c r="A861" s="70"/>
      <c r="B861" s="70"/>
      <c r="C861" s="70"/>
      <c r="D861" s="70"/>
      <c r="E861" s="70"/>
      <c r="F861" s="70"/>
    </row>
    <row r="862" spans="1:6" ht="13.2">
      <c r="A862" s="70"/>
      <c r="B862" s="70"/>
      <c r="C862" s="70"/>
      <c r="D862" s="70"/>
      <c r="E862" s="70"/>
      <c r="F862" s="70"/>
    </row>
    <row r="863" spans="1:6" ht="13.2">
      <c r="A863" s="70"/>
      <c r="B863" s="70"/>
      <c r="C863" s="70"/>
      <c r="D863" s="70"/>
      <c r="E863" s="70"/>
      <c r="F863" s="70"/>
    </row>
    <row r="864" spans="1:6" ht="13.2">
      <c r="A864" s="70"/>
      <c r="B864" s="70"/>
      <c r="C864" s="70"/>
      <c r="D864" s="70"/>
      <c r="E864" s="70"/>
      <c r="F864" s="70"/>
    </row>
    <row r="865" spans="1:6" ht="13.2">
      <c r="A865" s="70"/>
      <c r="B865" s="70"/>
      <c r="C865" s="70"/>
      <c r="D865" s="70"/>
      <c r="E865" s="70"/>
      <c r="F865" s="70"/>
    </row>
    <row r="866" spans="1:6" ht="13.2">
      <c r="A866" s="70"/>
      <c r="B866" s="70"/>
      <c r="C866" s="70"/>
      <c r="D866" s="70"/>
      <c r="E866" s="70"/>
      <c r="F866" s="70"/>
    </row>
    <row r="867" spans="1:6" ht="13.2">
      <c r="A867" s="70"/>
      <c r="B867" s="70"/>
      <c r="C867" s="70"/>
      <c r="D867" s="70"/>
      <c r="E867" s="70"/>
      <c r="F867" s="70"/>
    </row>
    <row r="868" spans="1:6" ht="13.2">
      <c r="A868" s="70"/>
      <c r="B868" s="70"/>
      <c r="C868" s="70"/>
      <c r="D868" s="70"/>
      <c r="E868" s="70"/>
      <c r="F868" s="70"/>
    </row>
    <row r="869" spans="1:6" ht="13.2">
      <c r="A869" s="70"/>
      <c r="B869" s="70"/>
      <c r="C869" s="70"/>
      <c r="D869" s="70"/>
      <c r="E869" s="70"/>
      <c r="F869" s="70"/>
    </row>
    <row r="870" spans="1:6" ht="13.2">
      <c r="A870" s="70"/>
      <c r="B870" s="70"/>
      <c r="C870" s="70"/>
      <c r="D870" s="70"/>
      <c r="E870" s="70"/>
      <c r="F870" s="70"/>
    </row>
    <row r="871" spans="1:6" ht="13.2">
      <c r="A871" s="70"/>
      <c r="B871" s="70"/>
      <c r="C871" s="70"/>
      <c r="D871" s="70"/>
      <c r="E871" s="70"/>
      <c r="F871" s="70"/>
    </row>
    <row r="872" spans="1:6" ht="13.2">
      <c r="A872" s="70"/>
      <c r="B872" s="70"/>
      <c r="C872" s="70"/>
      <c r="D872" s="70"/>
      <c r="E872" s="70"/>
      <c r="F872" s="70"/>
    </row>
    <row r="873" spans="1:6" ht="13.2">
      <c r="A873" s="70"/>
      <c r="B873" s="70"/>
      <c r="C873" s="70"/>
      <c r="D873" s="70"/>
      <c r="E873" s="70"/>
      <c r="F873" s="70"/>
    </row>
    <row r="874" spans="1:6" ht="13.2">
      <c r="A874" s="70"/>
      <c r="B874" s="70"/>
      <c r="C874" s="70"/>
      <c r="D874" s="70"/>
      <c r="E874" s="70"/>
      <c r="F874" s="70"/>
    </row>
    <row r="875" spans="1:6" ht="13.2">
      <c r="A875" s="70"/>
      <c r="B875" s="70"/>
      <c r="C875" s="70"/>
      <c r="D875" s="70"/>
      <c r="E875" s="70"/>
      <c r="F875" s="70"/>
    </row>
    <row r="876" spans="1:6" ht="13.2">
      <c r="A876" s="70"/>
      <c r="B876" s="70"/>
      <c r="C876" s="70"/>
      <c r="D876" s="70"/>
      <c r="E876" s="70"/>
      <c r="F876" s="70"/>
    </row>
    <row r="877" spans="1:6" ht="13.2">
      <c r="A877" s="70"/>
      <c r="B877" s="70"/>
      <c r="C877" s="70"/>
      <c r="D877" s="70"/>
      <c r="E877" s="70"/>
      <c r="F877" s="70"/>
    </row>
    <row r="878" spans="1:6" ht="13.2">
      <c r="A878" s="70"/>
      <c r="B878" s="70"/>
      <c r="C878" s="70"/>
      <c r="D878" s="70"/>
      <c r="E878" s="70"/>
      <c r="F878" s="70"/>
    </row>
    <row r="879" spans="1:6" ht="13.2">
      <c r="A879" s="70"/>
      <c r="B879" s="70"/>
      <c r="C879" s="70"/>
      <c r="D879" s="70"/>
      <c r="E879" s="70"/>
      <c r="F879" s="70"/>
    </row>
    <row r="880" spans="1:6" ht="13.2">
      <c r="A880" s="70"/>
      <c r="B880" s="70"/>
      <c r="C880" s="70"/>
      <c r="D880" s="70"/>
      <c r="E880" s="70"/>
      <c r="F880" s="70"/>
    </row>
    <row r="881" spans="1:6" ht="13.2">
      <c r="A881" s="70"/>
      <c r="B881" s="70"/>
      <c r="C881" s="70"/>
      <c r="D881" s="70"/>
      <c r="E881" s="70"/>
      <c r="F881" s="70"/>
    </row>
    <row r="882" spans="1:6" ht="13.2">
      <c r="A882" s="70"/>
      <c r="B882" s="70"/>
      <c r="C882" s="70"/>
      <c r="D882" s="70"/>
      <c r="E882" s="70"/>
      <c r="F882" s="70"/>
    </row>
    <row r="883" spans="1:6" ht="13.2">
      <c r="A883" s="70"/>
      <c r="B883" s="70"/>
      <c r="C883" s="70"/>
      <c r="D883" s="70"/>
      <c r="E883" s="70"/>
      <c r="F883" s="70"/>
    </row>
    <row r="884" spans="1:6" ht="13.2">
      <c r="A884" s="70"/>
      <c r="B884" s="70"/>
      <c r="C884" s="70"/>
      <c r="D884" s="70"/>
      <c r="E884" s="70"/>
      <c r="F884" s="70"/>
    </row>
    <row r="885" spans="1:6" ht="13.2">
      <c r="A885" s="70"/>
      <c r="B885" s="70"/>
      <c r="C885" s="70"/>
      <c r="D885" s="70"/>
      <c r="E885" s="70"/>
      <c r="F885" s="70"/>
    </row>
    <row r="886" spans="1:6" ht="13.2">
      <c r="A886" s="70"/>
      <c r="B886" s="70"/>
      <c r="C886" s="70"/>
      <c r="D886" s="70"/>
      <c r="E886" s="70"/>
      <c r="F886" s="70"/>
    </row>
    <row r="887" spans="1:6" ht="13.2">
      <c r="A887" s="70"/>
      <c r="B887" s="70"/>
      <c r="C887" s="70"/>
      <c r="D887" s="70"/>
      <c r="E887" s="70"/>
      <c r="F887" s="70"/>
    </row>
    <row r="888" spans="1:6" ht="13.2">
      <c r="A888" s="70"/>
      <c r="B888" s="70"/>
      <c r="C888" s="70"/>
      <c r="D888" s="70"/>
      <c r="E888" s="70"/>
      <c r="F888" s="70"/>
    </row>
    <row r="889" spans="1:6" ht="13.2">
      <c r="A889" s="70"/>
      <c r="B889" s="70"/>
      <c r="C889" s="70"/>
      <c r="D889" s="70"/>
      <c r="E889" s="70"/>
      <c r="F889" s="70"/>
    </row>
    <row r="890" spans="1:6" ht="13.2">
      <c r="A890" s="70"/>
      <c r="B890" s="70"/>
      <c r="C890" s="70"/>
      <c r="D890" s="70"/>
      <c r="E890" s="70"/>
      <c r="F890" s="70"/>
    </row>
    <row r="891" spans="1:6" ht="13.2">
      <c r="A891" s="70"/>
      <c r="B891" s="70"/>
      <c r="C891" s="70"/>
      <c r="D891" s="70"/>
      <c r="E891" s="70"/>
      <c r="F891" s="70"/>
    </row>
    <row r="892" spans="1:6" ht="13.2">
      <c r="A892" s="70"/>
      <c r="B892" s="70"/>
      <c r="C892" s="70"/>
      <c r="D892" s="70"/>
      <c r="E892" s="70"/>
      <c r="F892" s="70"/>
    </row>
    <row r="893" spans="1:6" ht="13.2">
      <c r="A893" s="70"/>
      <c r="B893" s="70"/>
      <c r="C893" s="70"/>
      <c r="D893" s="70"/>
      <c r="E893" s="70"/>
      <c r="F893" s="70"/>
    </row>
    <row r="894" spans="1:6" ht="13.2">
      <c r="A894" s="70"/>
      <c r="B894" s="70"/>
      <c r="C894" s="70"/>
      <c r="D894" s="70"/>
      <c r="E894" s="70"/>
      <c r="F894" s="70"/>
    </row>
    <row r="895" spans="1:6" ht="13.2">
      <c r="A895" s="70"/>
      <c r="B895" s="70"/>
      <c r="C895" s="70"/>
      <c r="D895" s="70"/>
      <c r="E895" s="70"/>
      <c r="F895" s="70"/>
    </row>
    <row r="896" spans="1:6" ht="13.2">
      <c r="A896" s="70"/>
      <c r="B896" s="70"/>
      <c r="C896" s="70"/>
      <c r="D896" s="70"/>
      <c r="E896" s="70"/>
      <c r="F896" s="70"/>
    </row>
    <row r="897" spans="1:6" ht="13.2">
      <c r="A897" s="70"/>
      <c r="B897" s="70"/>
      <c r="C897" s="70"/>
      <c r="D897" s="70"/>
      <c r="E897" s="70"/>
      <c r="F897" s="70"/>
    </row>
    <row r="898" spans="1:6" ht="13.2">
      <c r="A898" s="70"/>
      <c r="B898" s="70"/>
      <c r="C898" s="70"/>
      <c r="D898" s="70"/>
      <c r="E898" s="70"/>
      <c r="F898" s="70"/>
    </row>
    <row r="899" spans="1:6" ht="13.2">
      <c r="A899" s="70"/>
      <c r="B899" s="70"/>
      <c r="C899" s="70"/>
      <c r="D899" s="70"/>
      <c r="E899" s="70"/>
      <c r="F899" s="70"/>
    </row>
    <row r="900" spans="1:6" ht="13.2">
      <c r="A900" s="70"/>
      <c r="B900" s="70"/>
      <c r="C900" s="70"/>
      <c r="D900" s="70"/>
      <c r="E900" s="70"/>
      <c r="F900" s="70"/>
    </row>
    <row r="901" spans="1:6" ht="13.2">
      <c r="A901" s="70"/>
      <c r="B901" s="70"/>
      <c r="C901" s="70"/>
      <c r="D901" s="70"/>
      <c r="E901" s="70"/>
      <c r="F901" s="70"/>
    </row>
    <row r="902" spans="1:6" ht="13.2">
      <c r="A902" s="70"/>
      <c r="B902" s="70"/>
      <c r="C902" s="70"/>
      <c r="D902" s="70"/>
      <c r="E902" s="70"/>
      <c r="F902" s="70"/>
    </row>
    <row r="903" spans="1:6" ht="13.2">
      <c r="A903" s="70"/>
      <c r="B903" s="70"/>
      <c r="C903" s="70"/>
      <c r="D903" s="70"/>
      <c r="E903" s="70"/>
      <c r="F903" s="70"/>
    </row>
    <row r="904" spans="1:6" ht="13.2">
      <c r="A904" s="70"/>
      <c r="B904" s="70"/>
      <c r="C904" s="70"/>
      <c r="D904" s="70"/>
      <c r="E904" s="70"/>
      <c r="F904" s="70"/>
    </row>
    <row r="905" spans="1:6" ht="13.2">
      <c r="A905" s="70"/>
      <c r="B905" s="70"/>
      <c r="C905" s="70"/>
      <c r="D905" s="70"/>
      <c r="E905" s="70"/>
      <c r="F905" s="70"/>
    </row>
    <row r="906" spans="1:6" ht="13.2">
      <c r="A906" s="70"/>
      <c r="B906" s="70"/>
      <c r="C906" s="70"/>
      <c r="D906" s="70"/>
      <c r="E906" s="70"/>
      <c r="F906" s="70"/>
    </row>
    <row r="907" spans="1:6" ht="13.2">
      <c r="A907" s="70"/>
      <c r="B907" s="70"/>
      <c r="C907" s="70"/>
      <c r="D907" s="70"/>
      <c r="E907" s="70"/>
      <c r="F907" s="70"/>
    </row>
    <row r="908" spans="1:6" ht="13.2">
      <c r="A908" s="70"/>
      <c r="B908" s="70"/>
      <c r="C908" s="70"/>
      <c r="D908" s="70"/>
      <c r="E908" s="70"/>
      <c r="F908" s="70"/>
    </row>
    <row r="909" spans="1:6" ht="13.2">
      <c r="A909" s="70"/>
      <c r="B909" s="70"/>
      <c r="C909" s="70"/>
      <c r="D909" s="70"/>
      <c r="E909" s="70"/>
      <c r="F909" s="70"/>
    </row>
    <row r="910" spans="1:6" ht="13.2">
      <c r="A910" s="70"/>
      <c r="B910" s="70"/>
      <c r="C910" s="70"/>
      <c r="D910" s="70"/>
      <c r="E910" s="70"/>
      <c r="F910" s="70"/>
    </row>
    <row r="911" spans="1:6" ht="13.2">
      <c r="A911" s="70"/>
      <c r="B911" s="70"/>
      <c r="C911" s="70"/>
      <c r="D911" s="70"/>
      <c r="E911" s="70"/>
      <c r="F911" s="70"/>
    </row>
    <row r="912" spans="1:6" ht="13.2">
      <c r="A912" s="70"/>
      <c r="B912" s="70"/>
      <c r="C912" s="70"/>
      <c r="D912" s="70"/>
      <c r="E912" s="70"/>
      <c r="F912" s="70"/>
    </row>
    <row r="913" spans="1:6" ht="13.2">
      <c r="A913" s="70"/>
      <c r="B913" s="70"/>
      <c r="C913" s="70"/>
      <c r="D913" s="70"/>
      <c r="E913" s="70"/>
      <c r="F913" s="70"/>
    </row>
    <row r="914" spans="1:6" ht="13.2">
      <c r="A914" s="70"/>
      <c r="B914" s="70"/>
      <c r="C914" s="70"/>
      <c r="D914" s="70"/>
      <c r="E914" s="70"/>
      <c r="F914" s="70"/>
    </row>
    <row r="915" spans="1:6" ht="13.2">
      <c r="A915" s="70"/>
      <c r="B915" s="70"/>
      <c r="C915" s="70"/>
      <c r="D915" s="70"/>
      <c r="E915" s="70"/>
      <c r="F915" s="70"/>
    </row>
    <row r="916" spans="1:6" ht="13.2">
      <c r="A916" s="70"/>
      <c r="B916" s="70"/>
      <c r="C916" s="70"/>
      <c r="D916" s="70"/>
      <c r="E916" s="70"/>
      <c r="F916" s="70"/>
    </row>
    <row r="917" spans="1:6" ht="13.2">
      <c r="A917" s="70"/>
      <c r="B917" s="70"/>
      <c r="C917" s="70"/>
      <c r="D917" s="70"/>
      <c r="E917" s="70"/>
      <c r="F917" s="70"/>
    </row>
    <row r="918" spans="1:6" ht="13.2">
      <c r="A918" s="70"/>
      <c r="B918" s="70"/>
      <c r="C918" s="70"/>
      <c r="D918" s="70"/>
      <c r="E918" s="70"/>
      <c r="F918" s="70"/>
    </row>
    <row r="919" spans="1:6" ht="13.2">
      <c r="A919" s="70"/>
      <c r="B919" s="70"/>
      <c r="C919" s="70"/>
      <c r="D919" s="70"/>
      <c r="E919" s="70"/>
      <c r="F919" s="70"/>
    </row>
    <row r="920" spans="1:6" ht="13.2">
      <c r="A920" s="70"/>
      <c r="B920" s="70"/>
      <c r="C920" s="70"/>
      <c r="D920" s="70"/>
      <c r="E920" s="70"/>
      <c r="F920" s="70"/>
    </row>
    <row r="921" spans="1:6" ht="13.2">
      <c r="A921" s="70"/>
      <c r="B921" s="70"/>
      <c r="C921" s="70"/>
      <c r="D921" s="70"/>
      <c r="E921" s="70"/>
      <c r="F921" s="70"/>
    </row>
    <row r="922" spans="1:6" ht="13.2">
      <c r="A922" s="70"/>
      <c r="B922" s="70"/>
      <c r="C922" s="70"/>
      <c r="D922" s="70"/>
      <c r="E922" s="70"/>
      <c r="F922" s="70"/>
    </row>
    <row r="923" spans="1:6" ht="13.2">
      <c r="A923" s="70"/>
      <c r="B923" s="70"/>
      <c r="C923" s="70"/>
      <c r="D923" s="70"/>
      <c r="E923" s="70"/>
      <c r="F923" s="70"/>
    </row>
    <row r="924" spans="1:6" ht="13.2">
      <c r="A924" s="70"/>
      <c r="B924" s="70"/>
      <c r="C924" s="70"/>
      <c r="D924" s="70"/>
      <c r="E924" s="70"/>
      <c r="F924" s="70"/>
    </row>
    <row r="925" spans="1:6" ht="13.2">
      <c r="A925" s="70"/>
      <c r="B925" s="70"/>
      <c r="C925" s="70"/>
      <c r="D925" s="70"/>
      <c r="E925" s="70"/>
      <c r="F925" s="70"/>
    </row>
    <row r="926" spans="1:6" ht="13.2">
      <c r="A926" s="70"/>
      <c r="B926" s="70"/>
      <c r="C926" s="70"/>
      <c r="D926" s="70"/>
      <c r="E926" s="70"/>
      <c r="F926" s="70"/>
    </row>
    <row r="927" spans="1:6" ht="13.2">
      <c r="A927" s="70"/>
      <c r="B927" s="70"/>
      <c r="C927" s="70"/>
      <c r="D927" s="70"/>
      <c r="E927" s="70"/>
      <c r="F927" s="70"/>
    </row>
    <row r="928" spans="1:6" ht="13.2">
      <c r="A928" s="70"/>
      <c r="B928" s="70"/>
      <c r="C928" s="70"/>
      <c r="D928" s="70"/>
      <c r="E928" s="70"/>
      <c r="F928" s="70"/>
    </row>
    <row r="929" spans="1:6" ht="13.2">
      <c r="A929" s="70"/>
      <c r="B929" s="70"/>
      <c r="C929" s="70"/>
      <c r="D929" s="70"/>
      <c r="E929" s="70"/>
      <c r="F929" s="70"/>
    </row>
    <row r="930" spans="1:6" ht="13.2">
      <c r="A930" s="70"/>
      <c r="B930" s="70"/>
      <c r="C930" s="70"/>
      <c r="D930" s="70"/>
      <c r="E930" s="70"/>
      <c r="F930" s="70"/>
    </row>
    <row r="931" spans="1:6" ht="13.2">
      <c r="A931" s="70"/>
      <c r="B931" s="70"/>
      <c r="C931" s="70"/>
      <c r="D931" s="70"/>
      <c r="E931" s="70"/>
      <c r="F931" s="70"/>
    </row>
    <row r="932" spans="1:6" ht="13.2">
      <c r="A932" s="70"/>
      <c r="B932" s="70"/>
      <c r="C932" s="70"/>
      <c r="D932" s="70"/>
      <c r="E932" s="70"/>
      <c r="F932" s="70"/>
    </row>
    <row r="933" spans="1:6" ht="13.2">
      <c r="A933" s="70"/>
      <c r="B933" s="70"/>
      <c r="C933" s="70"/>
      <c r="D933" s="70"/>
      <c r="E933" s="70"/>
      <c r="F933" s="70"/>
    </row>
    <row r="934" spans="1:6" ht="13.2">
      <c r="A934" s="70"/>
      <c r="B934" s="70"/>
      <c r="C934" s="70"/>
      <c r="D934" s="70"/>
      <c r="E934" s="70"/>
      <c r="F934" s="70"/>
    </row>
    <row r="935" spans="1:6" ht="13.2">
      <c r="A935" s="70"/>
      <c r="B935" s="70"/>
      <c r="C935" s="70"/>
      <c r="D935" s="70"/>
      <c r="E935" s="70"/>
      <c r="F935" s="70"/>
    </row>
    <row r="936" spans="1:6" ht="13.2">
      <c r="A936" s="70"/>
      <c r="B936" s="70"/>
      <c r="C936" s="70"/>
      <c r="D936" s="70"/>
      <c r="E936" s="70"/>
      <c r="F936" s="70"/>
    </row>
    <row r="937" spans="1:6" ht="13.2">
      <c r="A937" s="70"/>
      <c r="B937" s="70"/>
      <c r="C937" s="70"/>
      <c r="D937" s="70"/>
      <c r="E937" s="70"/>
      <c r="F937" s="70"/>
    </row>
    <row r="938" spans="1:6" ht="13.2">
      <c r="A938" s="70"/>
      <c r="B938" s="70"/>
      <c r="C938" s="70"/>
      <c r="D938" s="70"/>
      <c r="E938" s="70"/>
      <c r="F938" s="70"/>
    </row>
    <row r="939" spans="1:6" ht="13.2">
      <c r="A939" s="70"/>
      <c r="B939" s="70"/>
      <c r="C939" s="70"/>
      <c r="D939" s="70"/>
      <c r="E939" s="70"/>
      <c r="F939" s="70"/>
    </row>
    <row r="940" spans="1:6" ht="13.2">
      <c r="A940" s="70"/>
      <c r="B940" s="70"/>
      <c r="C940" s="70"/>
      <c r="D940" s="70"/>
      <c r="E940" s="70"/>
      <c r="F940" s="70"/>
    </row>
    <row r="941" spans="1:6" ht="13.2">
      <c r="A941" s="70"/>
      <c r="B941" s="70"/>
      <c r="C941" s="70"/>
      <c r="D941" s="70"/>
      <c r="E941" s="70"/>
      <c r="F941" s="70"/>
    </row>
    <row r="942" spans="1:6" ht="13.2">
      <c r="A942" s="70"/>
      <c r="B942" s="70"/>
      <c r="C942" s="70"/>
      <c r="D942" s="70"/>
      <c r="E942" s="70"/>
      <c r="F942" s="70"/>
    </row>
    <row r="943" spans="1:6" ht="13.2">
      <c r="A943" s="70"/>
      <c r="B943" s="70"/>
      <c r="C943" s="70"/>
      <c r="D943" s="70"/>
      <c r="E943" s="70"/>
      <c r="F943" s="70"/>
    </row>
    <row r="944" spans="1:6" ht="13.2">
      <c r="A944" s="70"/>
      <c r="B944" s="70"/>
      <c r="C944" s="70"/>
      <c r="D944" s="70"/>
      <c r="E944" s="70"/>
      <c r="F944" s="70"/>
    </row>
    <row r="945" spans="1:6" ht="13.2">
      <c r="A945" s="70"/>
      <c r="B945" s="70"/>
      <c r="C945" s="70"/>
      <c r="D945" s="70"/>
      <c r="E945" s="70"/>
      <c r="F945" s="70"/>
    </row>
    <row r="946" spans="1:6" ht="13.2">
      <c r="A946" s="70"/>
      <c r="B946" s="70"/>
      <c r="C946" s="70"/>
      <c r="D946" s="70"/>
      <c r="E946" s="70"/>
      <c r="F946" s="70"/>
    </row>
    <row r="947" spans="1:6" ht="13.2">
      <c r="A947" s="70"/>
      <c r="B947" s="70"/>
      <c r="C947" s="70"/>
      <c r="D947" s="70"/>
      <c r="E947" s="70"/>
      <c r="F947" s="70"/>
    </row>
    <row r="948" spans="1:6" ht="13.2">
      <c r="A948" s="70"/>
      <c r="B948" s="70"/>
      <c r="C948" s="70"/>
      <c r="D948" s="70"/>
      <c r="E948" s="70"/>
      <c r="F948" s="70"/>
    </row>
    <row r="949" spans="1:6" ht="13.2">
      <c r="A949" s="70"/>
      <c r="B949" s="70"/>
      <c r="C949" s="70"/>
      <c r="D949" s="70"/>
      <c r="E949" s="70"/>
      <c r="F949" s="70"/>
    </row>
    <row r="950" spans="1:6" ht="13.2">
      <c r="A950" s="70"/>
      <c r="B950" s="70"/>
      <c r="C950" s="70"/>
      <c r="D950" s="70"/>
      <c r="E950" s="70"/>
      <c r="F950" s="70"/>
    </row>
    <row r="951" spans="1:6" ht="13.2">
      <c r="A951" s="70"/>
      <c r="B951" s="70"/>
      <c r="C951" s="70"/>
      <c r="D951" s="70"/>
      <c r="E951" s="70"/>
      <c r="F951" s="70"/>
    </row>
    <row r="952" spans="1:6" ht="13.2">
      <c r="A952" s="70"/>
      <c r="B952" s="70"/>
      <c r="C952" s="70"/>
      <c r="D952" s="70"/>
      <c r="E952" s="70"/>
      <c r="F952" s="70"/>
    </row>
    <row r="953" spans="1:6" ht="13.2">
      <c r="A953" s="70"/>
      <c r="B953" s="70"/>
      <c r="C953" s="70"/>
      <c r="D953" s="70"/>
      <c r="E953" s="70"/>
      <c r="F953" s="70"/>
    </row>
    <row r="954" spans="1:6" ht="13.2">
      <c r="A954" s="70"/>
      <c r="B954" s="70"/>
      <c r="C954" s="70"/>
      <c r="D954" s="70"/>
      <c r="E954" s="70"/>
      <c r="F954" s="70"/>
    </row>
    <row r="955" spans="1:6" ht="13.2">
      <c r="A955" s="70"/>
      <c r="B955" s="70"/>
      <c r="C955" s="70"/>
      <c r="D955" s="70"/>
      <c r="E955" s="70"/>
      <c r="F955" s="70"/>
    </row>
    <row r="956" spans="1:6" ht="13.2">
      <c r="A956" s="70"/>
      <c r="B956" s="70"/>
      <c r="C956" s="70"/>
      <c r="D956" s="70"/>
      <c r="E956" s="70"/>
      <c r="F956" s="70"/>
    </row>
    <row r="957" spans="1:6" ht="13.2">
      <c r="A957" s="70"/>
      <c r="B957" s="70"/>
      <c r="C957" s="70"/>
      <c r="D957" s="70"/>
      <c r="E957" s="70"/>
      <c r="F957" s="70"/>
    </row>
    <row r="958" spans="1:6" ht="13.2">
      <c r="A958" s="70"/>
      <c r="B958" s="70"/>
      <c r="C958" s="70"/>
      <c r="D958" s="70"/>
      <c r="E958" s="70"/>
      <c r="F958" s="70"/>
    </row>
    <row r="959" spans="1:6" ht="13.2">
      <c r="A959" s="70"/>
      <c r="B959" s="70"/>
      <c r="C959" s="70"/>
      <c r="D959" s="70"/>
      <c r="E959" s="70"/>
      <c r="F959" s="70"/>
    </row>
    <row r="960" spans="1:6" ht="13.2">
      <c r="A960" s="70"/>
      <c r="B960" s="70"/>
      <c r="C960" s="70"/>
      <c r="D960" s="70"/>
      <c r="E960" s="70"/>
      <c r="F960" s="70"/>
    </row>
    <row r="961" spans="1:6" ht="13.2">
      <c r="A961" s="70"/>
      <c r="B961" s="70"/>
      <c r="C961" s="70"/>
      <c r="D961" s="70"/>
      <c r="E961" s="70"/>
      <c r="F961" s="70"/>
    </row>
    <row r="962" spans="1:6" ht="13.2">
      <c r="A962" s="70"/>
      <c r="B962" s="70"/>
      <c r="C962" s="70"/>
      <c r="D962" s="70"/>
      <c r="E962" s="70"/>
      <c r="F962" s="70"/>
    </row>
    <row r="963" spans="1:6" ht="13.2">
      <c r="A963" s="70"/>
      <c r="B963" s="70"/>
      <c r="C963" s="70"/>
      <c r="D963" s="70"/>
      <c r="E963" s="70"/>
      <c r="F963" s="70"/>
    </row>
    <row r="964" spans="1:6" ht="13.2">
      <c r="A964" s="70"/>
      <c r="B964" s="70"/>
      <c r="C964" s="70"/>
      <c r="D964" s="70"/>
      <c r="E964" s="70"/>
      <c r="F964" s="70"/>
    </row>
    <row r="965" spans="1:6" ht="13.2">
      <c r="A965" s="70"/>
      <c r="B965" s="70"/>
      <c r="C965" s="70"/>
      <c r="D965" s="70"/>
      <c r="E965" s="70"/>
      <c r="F965" s="70"/>
    </row>
    <row r="966" spans="1:6" ht="13.2">
      <c r="A966" s="70"/>
      <c r="B966" s="70"/>
      <c r="C966" s="70"/>
      <c r="D966" s="70"/>
      <c r="E966" s="70"/>
      <c r="F966" s="70"/>
    </row>
    <row r="967" spans="1:6" ht="13.2">
      <c r="A967" s="70"/>
      <c r="B967" s="70"/>
      <c r="C967" s="70"/>
      <c r="D967" s="70"/>
      <c r="E967" s="70"/>
      <c r="F967" s="70"/>
    </row>
    <row r="968" spans="1:6" ht="13.2">
      <c r="A968" s="70"/>
      <c r="B968" s="70"/>
      <c r="C968" s="70"/>
      <c r="D968" s="70"/>
      <c r="E968" s="70"/>
      <c r="F968" s="70"/>
    </row>
    <row r="969" spans="1:6" ht="13.2">
      <c r="A969" s="70"/>
      <c r="B969" s="70"/>
      <c r="C969" s="70"/>
      <c r="D969" s="70"/>
      <c r="E969" s="70"/>
      <c r="F969" s="70"/>
    </row>
    <row r="970" spans="1:6" ht="13.2">
      <c r="A970" s="70"/>
      <c r="B970" s="70"/>
      <c r="C970" s="70"/>
      <c r="D970" s="70"/>
      <c r="E970" s="70"/>
      <c r="F970" s="70"/>
    </row>
    <row r="971" spans="1:6" ht="13.2">
      <c r="A971" s="70"/>
      <c r="B971" s="70"/>
      <c r="C971" s="70"/>
      <c r="D971" s="70"/>
      <c r="E971" s="70"/>
      <c r="F971" s="70"/>
    </row>
    <row r="972" spans="1:6" ht="13.2">
      <c r="A972" s="70"/>
      <c r="B972" s="70"/>
      <c r="C972" s="70"/>
      <c r="D972" s="70"/>
      <c r="E972" s="70"/>
      <c r="F972" s="70"/>
    </row>
    <row r="973" spans="1:6" ht="13.2">
      <c r="A973" s="70"/>
      <c r="B973" s="70"/>
      <c r="C973" s="70"/>
      <c r="D973" s="70"/>
      <c r="E973" s="70"/>
      <c r="F973" s="70"/>
    </row>
    <row r="974" spans="1:6" ht="13.2">
      <c r="A974" s="70"/>
      <c r="B974" s="70"/>
      <c r="C974" s="70"/>
      <c r="D974" s="70"/>
      <c r="E974" s="70"/>
      <c r="F974" s="70"/>
    </row>
    <row r="975" spans="1:6" ht="13.2">
      <c r="A975" s="70"/>
      <c r="B975" s="70"/>
      <c r="C975" s="70"/>
      <c r="D975" s="70"/>
      <c r="E975" s="70"/>
      <c r="F975" s="70"/>
    </row>
    <row r="976" spans="1:6" ht="13.2">
      <c r="A976" s="70"/>
      <c r="B976" s="70"/>
      <c r="C976" s="70"/>
      <c r="D976" s="70"/>
      <c r="E976" s="70"/>
      <c r="F976" s="70"/>
    </row>
    <row r="977" spans="1:6" ht="13.2">
      <c r="A977" s="70"/>
      <c r="B977" s="70"/>
      <c r="C977" s="70"/>
      <c r="D977" s="70"/>
      <c r="E977" s="70"/>
      <c r="F977" s="70"/>
    </row>
    <row r="978" spans="1:6" ht="13.2">
      <c r="A978" s="70"/>
      <c r="B978" s="70"/>
      <c r="C978" s="70"/>
      <c r="D978" s="70"/>
      <c r="E978" s="70"/>
      <c r="F978" s="70"/>
    </row>
    <row r="979" spans="1:6" ht="13.2">
      <c r="A979" s="70"/>
      <c r="B979" s="70"/>
      <c r="C979" s="70"/>
      <c r="D979" s="70"/>
      <c r="E979" s="70"/>
      <c r="F979" s="70"/>
    </row>
    <row r="980" spans="1:6" ht="13.2">
      <c r="A980" s="70"/>
      <c r="B980" s="70"/>
      <c r="C980" s="70"/>
      <c r="D980" s="70"/>
      <c r="E980" s="70"/>
      <c r="F980" s="70"/>
    </row>
    <row r="981" spans="1:6" ht="13.2">
      <c r="A981" s="70"/>
      <c r="B981" s="70"/>
      <c r="C981" s="70"/>
      <c r="D981" s="70"/>
      <c r="E981" s="70"/>
      <c r="F981" s="70"/>
    </row>
    <row r="982" spans="1:6" ht="13.2">
      <c r="A982" s="70"/>
      <c r="B982" s="70"/>
      <c r="C982" s="70"/>
      <c r="D982" s="70"/>
      <c r="E982" s="70"/>
      <c r="F982" s="70"/>
    </row>
    <row r="983" spans="1:6" ht="13.2">
      <c r="A983" s="70"/>
      <c r="B983" s="70"/>
      <c r="C983" s="70"/>
      <c r="D983" s="70"/>
      <c r="E983" s="70"/>
      <c r="F983" s="70"/>
    </row>
    <row r="984" spans="1:6" ht="13.2">
      <c r="A984" s="70"/>
      <c r="B984" s="70"/>
      <c r="C984" s="70"/>
      <c r="D984" s="70"/>
      <c r="E984" s="70"/>
      <c r="F984" s="70"/>
    </row>
    <row r="985" spans="1:6" ht="13.2">
      <c r="A985" s="70"/>
      <c r="B985" s="70"/>
      <c r="C985" s="70"/>
      <c r="D985" s="70"/>
      <c r="E985" s="70"/>
      <c r="F985" s="70"/>
    </row>
    <row r="986" spans="1:6" ht="13.2">
      <c r="A986" s="70"/>
      <c r="B986" s="70"/>
      <c r="C986" s="70"/>
      <c r="D986" s="70"/>
      <c r="E986" s="70"/>
      <c r="F986" s="70"/>
    </row>
    <row r="987" spans="1:6" ht="13.2">
      <c r="A987" s="70"/>
      <c r="B987" s="70"/>
      <c r="C987" s="70"/>
      <c r="D987" s="70"/>
      <c r="E987" s="70"/>
      <c r="F987" s="70"/>
    </row>
    <row r="988" spans="1:6" ht="13.2">
      <c r="A988" s="70"/>
      <c r="B988" s="70"/>
      <c r="C988" s="70"/>
      <c r="D988" s="70"/>
      <c r="E988" s="70"/>
      <c r="F988" s="70"/>
    </row>
    <row r="989" spans="1:6" ht="13.2">
      <c r="A989" s="70"/>
      <c r="B989" s="70"/>
      <c r="C989" s="70"/>
      <c r="D989" s="70"/>
      <c r="E989" s="70"/>
      <c r="F989" s="70"/>
    </row>
    <row r="990" spans="1:6" ht="13.2">
      <c r="A990" s="70"/>
      <c r="B990" s="70"/>
      <c r="C990" s="70"/>
      <c r="D990" s="70"/>
      <c r="E990" s="70"/>
      <c r="F990" s="70"/>
    </row>
    <row r="991" spans="1:6" ht="13.2">
      <c r="A991" s="70"/>
      <c r="B991" s="70"/>
      <c r="C991" s="70"/>
      <c r="D991" s="70"/>
      <c r="E991" s="70"/>
      <c r="F991" s="70"/>
    </row>
    <row r="992" spans="1:6" ht="13.2">
      <c r="A992" s="70"/>
      <c r="B992" s="70"/>
      <c r="C992" s="70"/>
      <c r="D992" s="70"/>
      <c r="E992" s="70"/>
      <c r="F992" s="70"/>
    </row>
    <row r="993" spans="1:6" ht="13.2">
      <c r="A993" s="70"/>
      <c r="B993" s="70"/>
      <c r="C993" s="70"/>
      <c r="D993" s="70"/>
      <c r="E993" s="70"/>
      <c r="F993" s="70"/>
    </row>
    <row r="994" spans="1:6" ht="13.2">
      <c r="A994" s="70"/>
      <c r="B994" s="70"/>
      <c r="C994" s="70"/>
      <c r="D994" s="70"/>
      <c r="E994" s="70"/>
      <c r="F994" s="70"/>
    </row>
    <row r="995" spans="1:6" ht="13.2">
      <c r="A995" s="70"/>
      <c r="B995" s="70"/>
      <c r="C995" s="70"/>
      <c r="D995" s="70"/>
      <c r="E995" s="70"/>
      <c r="F995" s="70"/>
    </row>
    <row r="996" spans="1:6" ht="13.2">
      <c r="A996" s="70"/>
      <c r="B996" s="70"/>
      <c r="C996" s="70"/>
      <c r="D996" s="70"/>
      <c r="E996" s="70"/>
      <c r="F996" s="70"/>
    </row>
    <row r="997" spans="1:6" ht="13.2">
      <c r="A997" s="70"/>
      <c r="B997" s="70"/>
      <c r="C997" s="70"/>
      <c r="D997" s="70"/>
      <c r="E997" s="70"/>
      <c r="F997" s="70"/>
    </row>
    <row r="998" spans="1:6" ht="13.2">
      <c r="A998" s="70"/>
      <c r="B998" s="70"/>
      <c r="C998" s="70"/>
      <c r="D998" s="70"/>
      <c r="E998" s="70"/>
      <c r="F998" s="70"/>
    </row>
    <row r="999" spans="1:6" ht="13.2">
      <c r="A999" s="70"/>
      <c r="B999" s="70"/>
      <c r="C999" s="70"/>
      <c r="D999" s="70"/>
      <c r="E999" s="70"/>
      <c r="F999" s="70"/>
    </row>
    <row r="1000" spans="1:6" ht="13.2">
      <c r="A1000" s="70"/>
      <c r="B1000" s="70"/>
      <c r="C1000" s="70"/>
      <c r="D1000" s="70"/>
      <c r="E1000" s="70"/>
      <c r="F1000" s="70"/>
    </row>
  </sheetData>
  <mergeCells count="1">
    <mergeCell ref="F3:F4"/>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outlinePr summaryBelow="0" summaryRight="0"/>
  </sheetPr>
  <dimension ref="A1:CC1000"/>
  <sheetViews>
    <sheetView showGridLines="0" workbookViewId="0"/>
  </sheetViews>
  <sheetFormatPr defaultColWidth="12.6640625" defaultRowHeight="15.75" customHeight="1"/>
  <cols>
    <col min="1" max="1" width="12.88671875" customWidth="1"/>
    <col min="3" max="3" width="23.88671875" customWidth="1"/>
    <col min="10" max="10" width="27.44140625" customWidth="1"/>
    <col min="16" max="16" width="17.88671875" customWidth="1"/>
    <col min="23" max="23" width="25.77734375" customWidth="1"/>
    <col min="31" max="31" width="25.44140625" customWidth="1"/>
    <col min="39" max="39" width="32" customWidth="1"/>
  </cols>
  <sheetData>
    <row r="1" spans="1:81">
      <c r="A1" s="8" t="s">
        <v>2</v>
      </c>
      <c r="B1" s="8" t="s">
        <v>3</v>
      </c>
      <c r="C1" s="8" t="s">
        <v>4</v>
      </c>
      <c r="D1" s="8" t="s">
        <v>2756</v>
      </c>
      <c r="E1" s="8" t="s">
        <v>2757</v>
      </c>
      <c r="H1" s="13" t="s">
        <v>2</v>
      </c>
      <c r="I1" s="13" t="s">
        <v>3</v>
      </c>
      <c r="J1" s="13" t="s">
        <v>4</v>
      </c>
      <c r="K1" s="13" t="s">
        <v>2758</v>
      </c>
      <c r="L1" s="13" t="s">
        <v>2759</v>
      </c>
      <c r="N1" s="13" t="s">
        <v>2</v>
      </c>
      <c r="O1" s="13" t="s">
        <v>3</v>
      </c>
      <c r="P1" s="13" t="s">
        <v>4</v>
      </c>
      <c r="Q1" s="13" t="s">
        <v>2756</v>
      </c>
      <c r="R1" s="13" t="s">
        <v>2757</v>
      </c>
      <c r="U1" s="150" t="s">
        <v>2</v>
      </c>
      <c r="V1" s="150" t="s">
        <v>3</v>
      </c>
      <c r="W1" s="150" t="s">
        <v>4</v>
      </c>
      <c r="X1" s="150" t="s">
        <v>2756</v>
      </c>
      <c r="Y1" s="150" t="s">
        <v>2757</v>
      </c>
      <c r="AC1" s="150" t="s">
        <v>2</v>
      </c>
      <c r="AD1" s="150" t="s">
        <v>3</v>
      </c>
      <c r="AE1" s="150" t="s">
        <v>1808</v>
      </c>
      <c r="AF1" s="150" t="s">
        <v>2756</v>
      </c>
      <c r="AG1" s="150" t="s">
        <v>2757</v>
      </c>
      <c r="AK1" s="13" t="s">
        <v>2</v>
      </c>
      <c r="AL1" s="13" t="s">
        <v>3</v>
      </c>
      <c r="AM1" s="13" t="s">
        <v>4</v>
      </c>
      <c r="AN1" s="13" t="s">
        <v>2756</v>
      </c>
      <c r="AO1" s="13" t="s">
        <v>2757</v>
      </c>
      <c r="AR1" s="13" t="s">
        <v>2</v>
      </c>
      <c r="AS1" s="13" t="s">
        <v>3</v>
      </c>
      <c r="AT1" s="13" t="s">
        <v>4</v>
      </c>
      <c r="AU1" s="13" t="s">
        <v>2756</v>
      </c>
      <c r="AV1" s="13" t="s">
        <v>2760</v>
      </c>
      <c r="AY1" s="13" t="s">
        <v>2</v>
      </c>
      <c r="AZ1" s="13" t="s">
        <v>3</v>
      </c>
      <c r="BA1" s="13" t="s">
        <v>4</v>
      </c>
      <c r="BB1" s="13" t="s">
        <v>2756</v>
      </c>
      <c r="BC1" s="13" t="s">
        <v>2760</v>
      </c>
      <c r="BE1" s="151" t="s">
        <v>2761</v>
      </c>
      <c r="BK1" s="151" t="s">
        <v>2762</v>
      </c>
    </row>
    <row r="2" spans="1:81">
      <c r="A2" s="8" t="s">
        <v>48</v>
      </c>
      <c r="B2" s="8" t="s">
        <v>49</v>
      </c>
      <c r="C2" s="8" t="s">
        <v>390</v>
      </c>
      <c r="D2" s="8">
        <v>3</v>
      </c>
      <c r="E2" s="8">
        <v>5</v>
      </c>
      <c r="H2" s="13" t="s">
        <v>416</v>
      </c>
      <c r="I2" s="13" t="s">
        <v>49</v>
      </c>
      <c r="J2" s="13" t="s">
        <v>596</v>
      </c>
      <c r="K2" s="13">
        <v>5</v>
      </c>
      <c r="L2" s="13">
        <v>8</v>
      </c>
      <c r="N2" s="13" t="s">
        <v>731</v>
      </c>
      <c r="O2" s="13" t="s">
        <v>732</v>
      </c>
      <c r="P2" s="13" t="s">
        <v>863</v>
      </c>
      <c r="Q2" s="13">
        <v>7</v>
      </c>
      <c r="R2" s="13">
        <v>17</v>
      </c>
      <c r="U2" s="13" t="s">
        <v>48</v>
      </c>
      <c r="V2" s="13" t="s">
        <v>1406</v>
      </c>
      <c r="W2" s="13" t="s">
        <v>1774</v>
      </c>
      <c r="X2" s="13">
        <v>5</v>
      </c>
      <c r="Y2" s="13">
        <v>8</v>
      </c>
      <c r="AC2" s="13" t="s">
        <v>416</v>
      </c>
      <c r="AD2" s="13" t="s">
        <v>1406</v>
      </c>
      <c r="AE2" s="13" t="s">
        <v>1988</v>
      </c>
      <c r="AF2" s="13">
        <v>3</v>
      </c>
      <c r="AG2" s="13">
        <v>6</v>
      </c>
      <c r="AK2" s="13" t="s">
        <v>731</v>
      </c>
      <c r="AL2" s="13" t="s">
        <v>1406</v>
      </c>
      <c r="AM2" s="13" t="s">
        <v>2074</v>
      </c>
      <c r="AN2" s="13">
        <v>6</v>
      </c>
      <c r="AO2" s="13">
        <v>12</v>
      </c>
      <c r="AR2" s="13"/>
      <c r="AS2" s="13"/>
      <c r="AT2" s="13"/>
      <c r="AU2" s="13">
        <v>0</v>
      </c>
      <c r="AV2" s="13">
        <v>0</v>
      </c>
      <c r="AY2" s="13"/>
      <c r="AZ2" s="13"/>
      <c r="BA2" s="13"/>
      <c r="BB2" s="13">
        <v>0</v>
      </c>
      <c r="BC2" s="13">
        <v>0</v>
      </c>
      <c r="BE2" s="13" t="s">
        <v>2</v>
      </c>
      <c r="BF2" s="13" t="s">
        <v>3</v>
      </c>
      <c r="BG2" s="13" t="s">
        <v>4</v>
      </c>
      <c r="BH2" s="13" t="s">
        <v>2756</v>
      </c>
      <c r="BI2" s="13" t="s">
        <v>2757</v>
      </c>
      <c r="BK2" s="13" t="s">
        <v>2</v>
      </c>
      <c r="BL2" s="13" t="s">
        <v>3</v>
      </c>
      <c r="BM2" s="13" t="s">
        <v>4</v>
      </c>
      <c r="BN2" s="13" t="s">
        <v>2756</v>
      </c>
      <c r="BO2" s="13" t="s">
        <v>2757</v>
      </c>
      <c r="BR2" s="13" t="s">
        <v>2</v>
      </c>
      <c r="BS2" s="13" t="s">
        <v>3</v>
      </c>
      <c r="BT2" s="13" t="s">
        <v>4</v>
      </c>
      <c r="BU2" s="13" t="s">
        <v>2756</v>
      </c>
      <c r="BV2" s="13" t="s">
        <v>2757</v>
      </c>
      <c r="BY2" s="13" t="s">
        <v>2</v>
      </c>
      <c r="BZ2" s="13" t="s">
        <v>3</v>
      </c>
      <c r="CA2" s="13" t="s">
        <v>4</v>
      </c>
      <c r="CB2" s="13" t="s">
        <v>2756</v>
      </c>
      <c r="CC2" s="13" t="s">
        <v>2757</v>
      </c>
    </row>
    <row r="3" spans="1:81">
      <c r="A3" s="8" t="s">
        <v>48</v>
      </c>
      <c r="B3" s="8" t="s">
        <v>49</v>
      </c>
      <c r="C3" s="8" t="s">
        <v>303</v>
      </c>
      <c r="D3" s="8">
        <v>8</v>
      </c>
      <c r="E3" s="8">
        <v>16</v>
      </c>
      <c r="H3" s="13" t="s">
        <v>416</v>
      </c>
      <c r="I3" s="13" t="s">
        <v>49</v>
      </c>
      <c r="J3" s="13" t="s">
        <v>534</v>
      </c>
      <c r="K3" s="13">
        <v>11</v>
      </c>
      <c r="L3" s="13">
        <v>21</v>
      </c>
      <c r="N3" s="13" t="s">
        <v>731</v>
      </c>
      <c r="O3" s="13" t="s">
        <v>732</v>
      </c>
      <c r="P3" s="13" t="s">
        <v>534</v>
      </c>
      <c r="Q3" s="13">
        <v>7</v>
      </c>
      <c r="R3" s="13">
        <v>14</v>
      </c>
      <c r="U3" s="13" t="s">
        <v>48</v>
      </c>
      <c r="V3" s="13" t="s">
        <v>1406</v>
      </c>
      <c r="W3" s="13" t="s">
        <v>1685</v>
      </c>
      <c r="X3" s="13">
        <v>4</v>
      </c>
      <c r="Y3" s="13">
        <v>10</v>
      </c>
      <c r="AC3" s="13" t="s">
        <v>416</v>
      </c>
      <c r="AD3" s="13" t="s">
        <v>1406</v>
      </c>
      <c r="AE3" s="13" t="s">
        <v>1823</v>
      </c>
      <c r="AF3" s="13">
        <v>5</v>
      </c>
      <c r="AG3" s="13">
        <v>10</v>
      </c>
      <c r="AK3" s="13" t="s">
        <v>731</v>
      </c>
      <c r="AL3" s="13"/>
      <c r="AM3" s="13" t="s">
        <v>2013</v>
      </c>
      <c r="AN3" s="13">
        <v>5</v>
      </c>
      <c r="AO3" s="13">
        <v>8</v>
      </c>
      <c r="AR3" s="13" t="s">
        <v>979</v>
      </c>
      <c r="AS3" s="13" t="s">
        <v>732</v>
      </c>
      <c r="AT3" s="13" t="s">
        <v>1122</v>
      </c>
      <c r="AU3" s="13">
        <v>7</v>
      </c>
      <c r="AV3" s="13">
        <v>15</v>
      </c>
      <c r="AY3" s="13" t="s">
        <v>979</v>
      </c>
      <c r="AZ3" s="13" t="s">
        <v>1406</v>
      </c>
      <c r="BA3" s="13" t="s">
        <v>2442</v>
      </c>
      <c r="BB3" s="13">
        <v>8</v>
      </c>
      <c r="BC3" s="13">
        <v>12</v>
      </c>
      <c r="BE3" s="13"/>
      <c r="BF3" s="13"/>
      <c r="BG3" s="13"/>
      <c r="BH3" s="13">
        <v>0</v>
      </c>
      <c r="BI3" s="13">
        <v>0</v>
      </c>
      <c r="BK3" s="13"/>
      <c r="BL3" s="13"/>
      <c r="BM3" s="13"/>
      <c r="BN3" s="13">
        <v>0</v>
      </c>
      <c r="BO3" s="13">
        <v>0</v>
      </c>
      <c r="BR3" s="13"/>
      <c r="BS3" s="13"/>
      <c r="BT3" s="13"/>
      <c r="BU3" s="13">
        <v>0</v>
      </c>
      <c r="BV3" s="13">
        <v>0</v>
      </c>
      <c r="BY3" s="13"/>
      <c r="BZ3" s="13"/>
      <c r="CA3" s="13"/>
      <c r="CB3" s="13">
        <v>0</v>
      </c>
      <c r="CC3" s="13">
        <v>0</v>
      </c>
    </row>
    <row r="4" spans="1:81">
      <c r="A4" s="8" t="s">
        <v>48</v>
      </c>
      <c r="B4" s="8" t="s">
        <v>49</v>
      </c>
      <c r="C4" s="8" t="s">
        <v>385</v>
      </c>
      <c r="D4" s="8">
        <v>3</v>
      </c>
      <c r="E4" s="8">
        <v>8</v>
      </c>
      <c r="H4" s="13" t="s">
        <v>416</v>
      </c>
      <c r="I4" s="13" t="s">
        <v>49</v>
      </c>
      <c r="J4" s="13" t="s">
        <v>385</v>
      </c>
      <c r="K4" s="13">
        <v>6</v>
      </c>
      <c r="L4" s="13">
        <v>13</v>
      </c>
      <c r="N4" s="13" t="s">
        <v>731</v>
      </c>
      <c r="O4" s="13" t="s">
        <v>732</v>
      </c>
      <c r="P4" s="13" t="s">
        <v>830</v>
      </c>
      <c r="Q4" s="13">
        <v>4</v>
      </c>
      <c r="R4" s="13">
        <v>7</v>
      </c>
      <c r="U4" s="13" t="s">
        <v>48</v>
      </c>
      <c r="V4" s="13" t="s">
        <v>1406</v>
      </c>
      <c r="W4" s="13" t="s">
        <v>1800</v>
      </c>
      <c r="X4" s="13">
        <v>4</v>
      </c>
      <c r="Y4" s="13">
        <v>4</v>
      </c>
      <c r="AC4" s="13" t="s">
        <v>416</v>
      </c>
      <c r="AD4" s="13" t="s">
        <v>1406</v>
      </c>
      <c r="AE4" s="13" t="s">
        <v>1809</v>
      </c>
      <c r="AF4" s="13">
        <v>5</v>
      </c>
      <c r="AG4" s="13">
        <v>9</v>
      </c>
      <c r="AK4" s="13" t="s">
        <v>731</v>
      </c>
      <c r="AL4" s="13"/>
      <c r="AM4" s="13" t="s">
        <v>2029</v>
      </c>
      <c r="AN4" s="13">
        <v>5</v>
      </c>
      <c r="AO4" s="13">
        <v>9</v>
      </c>
      <c r="AR4" s="13" t="s">
        <v>979</v>
      </c>
      <c r="AS4" s="13" t="s">
        <v>732</v>
      </c>
      <c r="AT4" s="13" t="s">
        <v>1061</v>
      </c>
      <c r="AU4" s="13">
        <v>4</v>
      </c>
      <c r="AV4" s="13">
        <v>7</v>
      </c>
      <c r="AY4" s="13" t="s">
        <v>979</v>
      </c>
      <c r="AZ4" s="13" t="s">
        <v>1406</v>
      </c>
      <c r="BA4" s="13" t="s">
        <v>2309</v>
      </c>
      <c r="BB4" s="13">
        <v>8</v>
      </c>
      <c r="BC4" s="13">
        <v>15</v>
      </c>
      <c r="BE4" s="13" t="s">
        <v>48</v>
      </c>
      <c r="BF4" s="13" t="s">
        <v>49</v>
      </c>
      <c r="BG4" s="13" t="s">
        <v>107</v>
      </c>
      <c r="BH4" s="13">
        <v>5</v>
      </c>
      <c r="BI4" s="13">
        <v>13</v>
      </c>
      <c r="BK4" s="13" t="s">
        <v>48</v>
      </c>
      <c r="BL4" s="13" t="s">
        <v>1406</v>
      </c>
      <c r="BM4" s="13" t="s">
        <v>1483</v>
      </c>
      <c r="BN4" s="13">
        <v>6</v>
      </c>
      <c r="BO4" s="13">
        <v>10</v>
      </c>
      <c r="BR4" s="13" t="s">
        <v>1172</v>
      </c>
      <c r="BS4" s="13" t="s">
        <v>732</v>
      </c>
      <c r="BT4" s="13" t="s">
        <v>1353</v>
      </c>
      <c r="BU4" s="13">
        <v>3</v>
      </c>
      <c r="BV4" s="13">
        <v>3</v>
      </c>
      <c r="BY4" s="13" t="s">
        <v>1172</v>
      </c>
      <c r="BZ4" s="13" t="s">
        <v>2463</v>
      </c>
      <c r="CA4" s="13" t="s">
        <v>2499</v>
      </c>
      <c r="CB4" s="13">
        <v>4</v>
      </c>
      <c r="CC4" s="13">
        <v>8</v>
      </c>
    </row>
    <row r="5" spans="1:81">
      <c r="A5" s="8" t="s">
        <v>48</v>
      </c>
      <c r="B5" s="8" t="s">
        <v>49</v>
      </c>
      <c r="C5" s="8" t="s">
        <v>368</v>
      </c>
      <c r="D5" s="8">
        <v>5</v>
      </c>
      <c r="E5" s="8">
        <v>11</v>
      </c>
      <c r="H5" s="13" t="s">
        <v>416</v>
      </c>
      <c r="I5" s="13" t="s">
        <v>49</v>
      </c>
      <c r="J5" s="13" t="s">
        <v>631</v>
      </c>
      <c r="K5" s="13">
        <v>12</v>
      </c>
      <c r="L5" s="13">
        <v>23</v>
      </c>
      <c r="N5" s="13" t="s">
        <v>731</v>
      </c>
      <c r="O5" s="13" t="s">
        <v>732</v>
      </c>
      <c r="P5" s="13" t="s">
        <v>385</v>
      </c>
      <c r="Q5" s="13">
        <v>3</v>
      </c>
      <c r="R5" s="13">
        <v>7</v>
      </c>
      <c r="U5" s="13" t="s">
        <v>48</v>
      </c>
      <c r="V5" s="13" t="s">
        <v>1406</v>
      </c>
      <c r="W5" s="13" t="s">
        <v>1704</v>
      </c>
      <c r="X5" s="13">
        <v>5</v>
      </c>
      <c r="Y5" s="13">
        <v>9</v>
      </c>
      <c r="AC5" s="13" t="s">
        <v>416</v>
      </c>
      <c r="AD5" s="13" t="s">
        <v>1406</v>
      </c>
      <c r="AE5" s="13" t="s">
        <v>1921</v>
      </c>
      <c r="AF5" s="13">
        <v>5</v>
      </c>
      <c r="AG5" s="13">
        <v>9</v>
      </c>
      <c r="AK5" s="13" t="s">
        <v>731</v>
      </c>
      <c r="AL5" s="13"/>
      <c r="AM5" s="13" t="s">
        <v>2111</v>
      </c>
      <c r="AN5" s="13">
        <v>4</v>
      </c>
      <c r="AO5" s="13">
        <v>7</v>
      </c>
      <c r="AR5" s="13" t="s">
        <v>979</v>
      </c>
      <c r="AS5" s="13" t="s">
        <v>732</v>
      </c>
      <c r="AT5" s="13" t="s">
        <v>1145</v>
      </c>
      <c r="AU5" s="13">
        <v>1</v>
      </c>
      <c r="AV5" s="13">
        <v>1</v>
      </c>
      <c r="AY5" s="13" t="s">
        <v>979</v>
      </c>
      <c r="AZ5" s="13" t="s">
        <v>1406</v>
      </c>
      <c r="BA5" s="13" t="s">
        <v>2333</v>
      </c>
      <c r="BB5" s="13">
        <v>8</v>
      </c>
      <c r="BC5" s="13">
        <v>13</v>
      </c>
      <c r="BE5" s="13" t="s">
        <v>48</v>
      </c>
      <c r="BF5" s="13" t="s">
        <v>49</v>
      </c>
      <c r="BG5" s="13" t="s">
        <v>169</v>
      </c>
      <c r="BH5" s="13">
        <v>8</v>
      </c>
      <c r="BI5" s="13">
        <v>17</v>
      </c>
      <c r="BK5" s="13" t="s">
        <v>48</v>
      </c>
      <c r="BL5" s="13"/>
      <c r="BM5" s="13" t="s">
        <v>1668</v>
      </c>
      <c r="BN5" s="13">
        <v>5</v>
      </c>
      <c r="BO5" s="13">
        <v>6</v>
      </c>
      <c r="BR5" s="13" t="s">
        <v>1172</v>
      </c>
      <c r="BS5" s="13" t="s">
        <v>732</v>
      </c>
      <c r="BT5" s="13" t="s">
        <v>1239</v>
      </c>
      <c r="BU5" s="13">
        <v>5</v>
      </c>
      <c r="BV5" s="13">
        <v>8</v>
      </c>
      <c r="BY5" s="13"/>
      <c r="BZ5" s="13" t="s">
        <v>2463</v>
      </c>
      <c r="CA5" s="13" t="s">
        <v>2531</v>
      </c>
      <c r="CB5" s="13">
        <v>4</v>
      </c>
      <c r="CC5" s="13">
        <v>6</v>
      </c>
    </row>
    <row r="6" spans="1:81">
      <c r="A6" s="8" t="s">
        <v>48</v>
      </c>
      <c r="B6" s="8" t="s">
        <v>49</v>
      </c>
      <c r="C6" s="8" t="s">
        <v>169</v>
      </c>
      <c r="D6" s="8">
        <v>8</v>
      </c>
      <c r="E6" s="8">
        <v>18</v>
      </c>
      <c r="H6" s="13" t="s">
        <v>416</v>
      </c>
      <c r="I6" s="13" t="s">
        <v>49</v>
      </c>
      <c r="J6" s="13" t="s">
        <v>450</v>
      </c>
      <c r="K6" s="13">
        <v>10</v>
      </c>
      <c r="L6" s="13">
        <v>22</v>
      </c>
      <c r="N6" s="13" t="s">
        <v>731</v>
      </c>
      <c r="O6" s="13" t="s">
        <v>732</v>
      </c>
      <c r="P6" s="13" t="s">
        <v>933</v>
      </c>
      <c r="Q6" s="13">
        <v>3</v>
      </c>
      <c r="R6" s="13">
        <v>9</v>
      </c>
      <c r="U6" s="13" t="s">
        <v>48</v>
      </c>
      <c r="V6" s="13" t="s">
        <v>1406</v>
      </c>
      <c r="W6" s="13" t="s">
        <v>1788</v>
      </c>
      <c r="X6" s="13">
        <v>5</v>
      </c>
      <c r="Y6" s="13">
        <v>9</v>
      </c>
      <c r="AC6" s="13" t="s">
        <v>416</v>
      </c>
      <c r="AD6" s="13" t="s">
        <v>1406</v>
      </c>
      <c r="AE6" s="13" t="s">
        <v>1886</v>
      </c>
      <c r="AF6" s="13">
        <v>6</v>
      </c>
      <c r="AG6" s="13">
        <v>11</v>
      </c>
      <c r="AK6" s="13" t="s">
        <v>731</v>
      </c>
      <c r="AL6" s="13"/>
      <c r="AM6" s="13" t="s">
        <v>2093</v>
      </c>
      <c r="AN6" s="13">
        <v>6</v>
      </c>
      <c r="AO6" s="13">
        <v>11</v>
      </c>
      <c r="AR6" s="13" t="s">
        <v>979</v>
      </c>
      <c r="AS6" s="13" t="s">
        <v>732</v>
      </c>
      <c r="AT6" s="13" t="s">
        <v>1080</v>
      </c>
      <c r="AU6" s="13">
        <v>3</v>
      </c>
      <c r="AV6" s="13">
        <v>3</v>
      </c>
      <c r="AY6" s="13" t="s">
        <v>979</v>
      </c>
      <c r="AZ6" s="13" t="s">
        <v>1441</v>
      </c>
      <c r="BA6" s="13" t="s">
        <v>2273</v>
      </c>
      <c r="BB6" s="13">
        <v>6</v>
      </c>
      <c r="BC6" s="13">
        <v>12</v>
      </c>
      <c r="BE6" s="13" t="s">
        <v>48</v>
      </c>
      <c r="BF6" s="13" t="s">
        <v>49</v>
      </c>
      <c r="BG6" s="13" t="s">
        <v>58</v>
      </c>
      <c r="BH6" s="13">
        <v>8</v>
      </c>
      <c r="BI6" s="13">
        <v>16</v>
      </c>
      <c r="BK6" s="13" t="s">
        <v>48</v>
      </c>
      <c r="BL6" s="13"/>
      <c r="BM6" s="13" t="s">
        <v>1407</v>
      </c>
      <c r="BN6" s="13">
        <v>5</v>
      </c>
      <c r="BO6" s="13">
        <v>14</v>
      </c>
      <c r="BR6" s="13" t="s">
        <v>1172</v>
      </c>
      <c r="BS6" s="13" t="s">
        <v>732</v>
      </c>
      <c r="BT6" s="13" t="s">
        <v>1122</v>
      </c>
      <c r="BU6" s="13">
        <v>3</v>
      </c>
      <c r="BV6" s="13">
        <v>5</v>
      </c>
      <c r="BY6" s="13"/>
      <c r="BZ6" s="13" t="s">
        <v>2463</v>
      </c>
      <c r="CA6" s="13" t="s">
        <v>2512</v>
      </c>
      <c r="CB6" s="13">
        <v>8</v>
      </c>
      <c r="CC6" s="13">
        <v>12</v>
      </c>
    </row>
    <row r="7" spans="1:81">
      <c r="A7" s="8" t="s">
        <v>48</v>
      </c>
      <c r="B7" s="8" t="s">
        <v>49</v>
      </c>
      <c r="C7" s="8" t="s">
        <v>352</v>
      </c>
      <c r="D7" s="8">
        <v>7</v>
      </c>
      <c r="E7" s="8">
        <v>15</v>
      </c>
      <c r="H7" s="13" t="s">
        <v>416</v>
      </c>
      <c r="I7" s="13" t="s">
        <v>49</v>
      </c>
      <c r="J7" s="13" t="s">
        <v>352</v>
      </c>
      <c r="K7" s="13">
        <v>10</v>
      </c>
      <c r="L7" s="13">
        <v>23</v>
      </c>
      <c r="N7" s="13" t="s">
        <v>731</v>
      </c>
      <c r="O7" s="13" t="s">
        <v>732</v>
      </c>
      <c r="P7" s="13" t="s">
        <v>631</v>
      </c>
      <c r="Q7" s="13">
        <v>5</v>
      </c>
      <c r="R7" s="13">
        <v>10</v>
      </c>
      <c r="U7" s="13" t="s">
        <v>48</v>
      </c>
      <c r="V7" s="13" t="s">
        <v>1441</v>
      </c>
      <c r="W7" s="13" t="s">
        <v>1764</v>
      </c>
      <c r="X7" s="13">
        <v>4</v>
      </c>
      <c r="Y7" s="13">
        <v>5</v>
      </c>
      <c r="AC7" s="13" t="s">
        <v>416</v>
      </c>
      <c r="AD7" s="13" t="s">
        <v>1406</v>
      </c>
      <c r="AE7" s="13" t="s">
        <v>1904</v>
      </c>
      <c r="AF7" s="13">
        <v>5</v>
      </c>
      <c r="AG7" s="13">
        <v>11</v>
      </c>
      <c r="AK7" s="13" t="s">
        <v>731</v>
      </c>
      <c r="AL7" s="13" t="s">
        <v>1441</v>
      </c>
      <c r="AM7" s="13" t="s">
        <v>2178</v>
      </c>
      <c r="AN7" s="13">
        <v>4</v>
      </c>
      <c r="AO7" s="13">
        <v>6</v>
      </c>
      <c r="AR7" s="13" t="s">
        <v>979</v>
      </c>
      <c r="AS7" s="13" t="s">
        <v>732</v>
      </c>
      <c r="AT7" s="13" t="s">
        <v>1073</v>
      </c>
      <c r="AU7" s="13">
        <v>3</v>
      </c>
      <c r="AV7" s="13">
        <v>3</v>
      </c>
      <c r="AY7" s="13" t="s">
        <v>979</v>
      </c>
      <c r="AZ7" s="13" t="s">
        <v>1441</v>
      </c>
      <c r="BA7" s="13" t="s">
        <v>2254</v>
      </c>
      <c r="BB7" s="13">
        <v>7</v>
      </c>
      <c r="BC7" s="13">
        <v>13</v>
      </c>
      <c r="BE7" s="13" t="s">
        <v>48</v>
      </c>
      <c r="BF7" s="13" t="s">
        <v>49</v>
      </c>
      <c r="BG7" s="13" t="s">
        <v>83</v>
      </c>
      <c r="BH7" s="13">
        <v>7</v>
      </c>
      <c r="BI7" s="13">
        <v>14</v>
      </c>
      <c r="BK7" s="13" t="s">
        <v>48</v>
      </c>
      <c r="BL7" s="13" t="s">
        <v>1441</v>
      </c>
      <c r="BM7" s="13" t="s">
        <v>1542</v>
      </c>
      <c r="BN7" s="13">
        <v>4</v>
      </c>
      <c r="BO7" s="13">
        <v>8</v>
      </c>
      <c r="BR7" s="13" t="s">
        <v>1172</v>
      </c>
      <c r="BS7" s="13" t="s">
        <v>732</v>
      </c>
      <c r="BT7" s="13" t="s">
        <v>1061</v>
      </c>
      <c r="BU7" s="13">
        <v>6</v>
      </c>
      <c r="BV7" s="13">
        <v>9</v>
      </c>
      <c r="BY7" s="13"/>
      <c r="BZ7" s="13" t="s">
        <v>2463</v>
      </c>
      <c r="CA7" s="13" t="s">
        <v>2464</v>
      </c>
      <c r="CB7" s="13">
        <v>13</v>
      </c>
      <c r="CC7" s="13">
        <v>23</v>
      </c>
    </row>
    <row r="8" spans="1:81">
      <c r="A8" s="8" t="s">
        <v>48</v>
      </c>
      <c r="B8" s="8" t="s">
        <v>49</v>
      </c>
      <c r="C8" s="8" t="s">
        <v>248</v>
      </c>
      <c r="D8" s="8">
        <v>9</v>
      </c>
      <c r="E8" s="8">
        <v>19</v>
      </c>
      <c r="H8" s="13" t="s">
        <v>416</v>
      </c>
      <c r="I8" s="13" t="s">
        <v>49</v>
      </c>
      <c r="J8" s="13" t="s">
        <v>58</v>
      </c>
      <c r="K8" s="13">
        <v>8</v>
      </c>
      <c r="L8" s="13">
        <v>14</v>
      </c>
      <c r="N8" s="13" t="s">
        <v>731</v>
      </c>
      <c r="O8" s="13" t="s">
        <v>732</v>
      </c>
      <c r="P8" s="13" t="s">
        <v>946</v>
      </c>
      <c r="Q8" s="13">
        <v>6</v>
      </c>
      <c r="R8" s="13">
        <v>15</v>
      </c>
      <c r="U8" s="13" t="s">
        <v>48</v>
      </c>
      <c r="V8" s="13" t="s">
        <v>1441</v>
      </c>
      <c r="W8" s="13" t="s">
        <v>1697</v>
      </c>
      <c r="X8" s="13">
        <v>6</v>
      </c>
      <c r="Y8" s="13">
        <v>6</v>
      </c>
      <c r="AC8" s="13" t="s">
        <v>416</v>
      </c>
      <c r="AD8" s="13" t="s">
        <v>1441</v>
      </c>
      <c r="AE8" s="13" t="s">
        <v>1858</v>
      </c>
      <c r="AF8" s="13">
        <v>3</v>
      </c>
      <c r="AG8" s="13">
        <v>9</v>
      </c>
      <c r="AK8" s="13" t="s">
        <v>731</v>
      </c>
      <c r="AL8" s="13"/>
      <c r="AM8" s="13" t="s">
        <v>2044</v>
      </c>
      <c r="AN8" s="13">
        <v>4</v>
      </c>
      <c r="AO8" s="13">
        <v>8</v>
      </c>
      <c r="AR8" s="13" t="s">
        <v>979</v>
      </c>
      <c r="AS8" s="13" t="s">
        <v>732</v>
      </c>
      <c r="AT8" s="13" t="s">
        <v>58</v>
      </c>
      <c r="AU8" s="13">
        <v>3</v>
      </c>
      <c r="AV8" s="13">
        <v>4</v>
      </c>
      <c r="AY8" s="13" t="s">
        <v>979</v>
      </c>
      <c r="AZ8" s="13" t="s">
        <v>1441</v>
      </c>
      <c r="BA8" s="13" t="s">
        <v>2230</v>
      </c>
      <c r="BB8" s="13">
        <v>8</v>
      </c>
      <c r="BC8" s="13">
        <v>16</v>
      </c>
      <c r="BE8" s="13" t="s">
        <v>48</v>
      </c>
      <c r="BF8" s="13" t="s">
        <v>49</v>
      </c>
      <c r="BG8" s="13" t="s">
        <v>50</v>
      </c>
      <c r="BH8" s="13">
        <v>3</v>
      </c>
      <c r="BI8" s="13">
        <v>4</v>
      </c>
      <c r="BK8" s="13" t="s">
        <v>48</v>
      </c>
      <c r="BL8" s="13"/>
      <c r="BM8" s="13" t="s">
        <v>1442</v>
      </c>
      <c r="BN8" s="13">
        <v>4</v>
      </c>
      <c r="BO8" s="13">
        <v>9</v>
      </c>
      <c r="BR8" s="13" t="s">
        <v>1172</v>
      </c>
      <c r="BS8" s="13" t="s">
        <v>732</v>
      </c>
      <c r="BT8" s="13" t="s">
        <v>1302</v>
      </c>
      <c r="BU8" s="13">
        <v>7</v>
      </c>
      <c r="BV8" s="13">
        <v>11</v>
      </c>
      <c r="BY8" s="13"/>
      <c r="BZ8" s="13" t="s">
        <v>2463</v>
      </c>
      <c r="CA8" s="13" t="s">
        <v>2541</v>
      </c>
      <c r="CB8" s="13">
        <v>3</v>
      </c>
      <c r="CC8" s="13">
        <v>6</v>
      </c>
    </row>
    <row r="9" spans="1:81">
      <c r="A9" s="8" t="s">
        <v>48</v>
      </c>
      <c r="B9" s="8" t="s">
        <v>49</v>
      </c>
      <c r="C9" s="8" t="s">
        <v>386</v>
      </c>
      <c r="D9" s="8">
        <v>4</v>
      </c>
      <c r="E9" s="8">
        <v>7</v>
      </c>
      <c r="H9" s="13" t="s">
        <v>416</v>
      </c>
      <c r="I9" s="13" t="s">
        <v>49</v>
      </c>
      <c r="J9" s="13" t="s">
        <v>151</v>
      </c>
      <c r="K9" s="13">
        <v>7</v>
      </c>
      <c r="L9" s="13">
        <v>11</v>
      </c>
      <c r="N9" s="13" t="s">
        <v>731</v>
      </c>
      <c r="O9" s="13" t="s">
        <v>732</v>
      </c>
      <c r="P9" s="13" t="s">
        <v>968</v>
      </c>
      <c r="Q9" s="13">
        <v>3</v>
      </c>
      <c r="R9" s="13">
        <v>7</v>
      </c>
      <c r="U9" s="13" t="s">
        <v>48</v>
      </c>
      <c r="V9" s="13" t="s">
        <v>1441</v>
      </c>
      <c r="W9" s="13" t="s">
        <v>1691</v>
      </c>
      <c r="X9" s="13">
        <v>4</v>
      </c>
      <c r="Y9" s="13">
        <v>7</v>
      </c>
      <c r="AC9" s="13" t="s">
        <v>416</v>
      </c>
      <c r="AD9" s="13" t="s">
        <v>1441</v>
      </c>
      <c r="AE9" s="13" t="s">
        <v>1871</v>
      </c>
      <c r="AF9" s="13">
        <v>4</v>
      </c>
      <c r="AG9" s="13">
        <v>10</v>
      </c>
      <c r="AK9" s="13" t="s">
        <v>731</v>
      </c>
      <c r="AL9" s="13"/>
      <c r="AM9" s="13" t="s">
        <v>2057</v>
      </c>
      <c r="AN9" s="13">
        <v>7</v>
      </c>
      <c r="AO9" s="13">
        <v>9</v>
      </c>
      <c r="AR9" s="13" t="s">
        <v>979</v>
      </c>
      <c r="AS9" s="13" t="s">
        <v>732</v>
      </c>
      <c r="AT9" s="13" t="s">
        <v>980</v>
      </c>
      <c r="AU9" s="13">
        <v>15</v>
      </c>
      <c r="AV9" s="13">
        <v>31</v>
      </c>
      <c r="AY9" s="13" t="s">
        <v>979</v>
      </c>
      <c r="AZ9" s="13" t="s">
        <v>1441</v>
      </c>
      <c r="BA9" s="13" t="s">
        <v>2294</v>
      </c>
      <c r="BB9" s="13">
        <v>5</v>
      </c>
      <c r="BC9" s="13">
        <v>9</v>
      </c>
      <c r="BE9" s="13" t="s">
        <v>48</v>
      </c>
      <c r="BF9" s="13" t="s">
        <v>49</v>
      </c>
      <c r="BG9" s="13" t="s">
        <v>151</v>
      </c>
      <c r="BH9" s="13">
        <v>7</v>
      </c>
      <c r="BI9" s="13">
        <v>10</v>
      </c>
      <c r="BK9" s="13" t="s">
        <v>48</v>
      </c>
      <c r="BL9" s="13"/>
      <c r="BM9" s="13" t="s">
        <v>1465</v>
      </c>
      <c r="BN9" s="13">
        <v>5</v>
      </c>
      <c r="BO9" s="13">
        <v>6</v>
      </c>
      <c r="BR9" s="13" t="s">
        <v>1172</v>
      </c>
      <c r="BS9" s="13" t="s">
        <v>732</v>
      </c>
      <c r="BT9" s="13" t="s">
        <v>1204</v>
      </c>
      <c r="BU9" s="13">
        <v>4</v>
      </c>
      <c r="BV9" s="13">
        <v>8</v>
      </c>
      <c r="BY9" s="13"/>
      <c r="BZ9" s="13" t="s">
        <v>1441</v>
      </c>
      <c r="CA9" s="13" t="s">
        <v>2631</v>
      </c>
      <c r="CB9" s="13">
        <v>8</v>
      </c>
      <c r="CC9" s="13">
        <v>15</v>
      </c>
    </row>
    <row r="10" spans="1:81">
      <c r="A10" s="8" t="s">
        <v>48</v>
      </c>
      <c r="B10" s="8" t="s">
        <v>49</v>
      </c>
      <c r="C10" s="8" t="s">
        <v>286</v>
      </c>
      <c r="D10" s="8">
        <v>10</v>
      </c>
      <c r="E10" s="8">
        <v>24</v>
      </c>
      <c r="H10" s="13" t="s">
        <v>416</v>
      </c>
      <c r="I10" s="13" t="s">
        <v>49</v>
      </c>
      <c r="J10" s="13" t="s">
        <v>567</v>
      </c>
      <c r="K10" s="13">
        <v>11</v>
      </c>
      <c r="L10" s="13">
        <v>17</v>
      </c>
      <c r="N10" s="13" t="s">
        <v>731</v>
      </c>
      <c r="O10" s="13" t="s">
        <v>732</v>
      </c>
      <c r="P10" s="13" t="s">
        <v>757</v>
      </c>
      <c r="Q10" s="13">
        <v>3</v>
      </c>
      <c r="R10" s="13">
        <v>5</v>
      </c>
      <c r="U10" s="13" t="s">
        <v>48</v>
      </c>
      <c r="V10" s="13" t="s">
        <v>1510</v>
      </c>
      <c r="W10" s="13" t="s">
        <v>1751</v>
      </c>
      <c r="X10" s="13">
        <v>4</v>
      </c>
      <c r="Y10" s="13">
        <v>7</v>
      </c>
      <c r="AC10" s="13" t="s">
        <v>416</v>
      </c>
      <c r="AD10" s="13" t="s">
        <v>1441</v>
      </c>
      <c r="AE10" s="13" t="s">
        <v>1998</v>
      </c>
      <c r="AF10" s="13">
        <v>4</v>
      </c>
      <c r="AG10" s="13">
        <v>9</v>
      </c>
      <c r="AK10" s="13" t="s">
        <v>731</v>
      </c>
      <c r="AL10" s="13" t="s">
        <v>1510</v>
      </c>
      <c r="AM10" s="13" t="s">
        <v>2123</v>
      </c>
      <c r="AN10" s="13">
        <v>5</v>
      </c>
      <c r="AO10" s="13">
        <v>11</v>
      </c>
      <c r="AR10" s="13" t="s">
        <v>979</v>
      </c>
      <c r="AS10" s="13" t="s">
        <v>732</v>
      </c>
      <c r="AT10" s="13" t="s">
        <v>1027</v>
      </c>
      <c r="AU10" s="13">
        <v>11</v>
      </c>
      <c r="AV10" s="13">
        <v>22</v>
      </c>
      <c r="AY10" s="13" t="s">
        <v>979</v>
      </c>
      <c r="AZ10" s="13" t="s">
        <v>1510</v>
      </c>
      <c r="BA10" s="13" t="s">
        <v>2376</v>
      </c>
      <c r="BB10" s="13">
        <v>4</v>
      </c>
      <c r="BC10" s="13">
        <v>9</v>
      </c>
      <c r="BE10" s="13" t="s">
        <v>48</v>
      </c>
      <c r="BF10" s="13" t="s">
        <v>49</v>
      </c>
      <c r="BG10" s="13" t="s">
        <v>195</v>
      </c>
      <c r="BH10" s="13">
        <v>4</v>
      </c>
      <c r="BI10" s="13">
        <v>9</v>
      </c>
      <c r="BK10" s="13" t="s">
        <v>48</v>
      </c>
      <c r="BL10" s="13"/>
      <c r="BM10" s="13" t="s">
        <v>1616</v>
      </c>
      <c r="BN10" s="13">
        <v>6</v>
      </c>
      <c r="BO10" s="13">
        <v>12</v>
      </c>
      <c r="BR10" s="13" t="s">
        <v>1172</v>
      </c>
      <c r="BS10" s="13" t="s">
        <v>732</v>
      </c>
      <c r="BT10" s="13" t="s">
        <v>1027</v>
      </c>
      <c r="BU10" s="13">
        <v>4</v>
      </c>
      <c r="BV10" s="13">
        <v>8</v>
      </c>
      <c r="BY10" s="13"/>
      <c r="BZ10" s="13" t="s">
        <v>1441</v>
      </c>
      <c r="CA10" s="13" t="s">
        <v>2680</v>
      </c>
      <c r="CB10" s="13">
        <v>8</v>
      </c>
      <c r="CC10" s="13">
        <v>14</v>
      </c>
    </row>
    <row r="11" spans="1:81">
      <c r="A11" s="8" t="s">
        <v>48</v>
      </c>
      <c r="B11" s="8" t="s">
        <v>49</v>
      </c>
      <c r="C11" s="8" t="s">
        <v>399</v>
      </c>
      <c r="D11" s="8">
        <v>5</v>
      </c>
      <c r="E11" s="8">
        <v>10</v>
      </c>
      <c r="H11" s="13" t="s">
        <v>416</v>
      </c>
      <c r="I11" s="13" t="s">
        <v>49</v>
      </c>
      <c r="J11" s="13" t="s">
        <v>498</v>
      </c>
      <c r="K11" s="13">
        <v>5</v>
      </c>
      <c r="L11" s="13">
        <v>8</v>
      </c>
      <c r="N11" s="13" t="s">
        <v>731</v>
      </c>
      <c r="O11" s="13" t="s">
        <v>732</v>
      </c>
      <c r="P11" s="13" t="s">
        <v>386</v>
      </c>
      <c r="Q11" s="13">
        <v>10</v>
      </c>
      <c r="R11" s="13">
        <v>20</v>
      </c>
      <c r="U11" s="13" t="s">
        <v>48</v>
      </c>
      <c r="V11" s="13" t="s">
        <v>1510</v>
      </c>
      <c r="W11" s="13" t="s">
        <v>1763</v>
      </c>
      <c r="X11" s="13">
        <v>5</v>
      </c>
      <c r="Y11" s="13">
        <v>10</v>
      </c>
      <c r="AC11" s="13" t="s">
        <v>416</v>
      </c>
      <c r="AD11" s="13" t="s">
        <v>1510</v>
      </c>
      <c r="AE11" s="13" t="s">
        <v>1958</v>
      </c>
      <c r="AF11" s="13">
        <v>6</v>
      </c>
      <c r="AG11" s="13">
        <v>9</v>
      </c>
      <c r="AK11" s="13" t="s">
        <v>731</v>
      </c>
      <c r="AL11" s="13"/>
      <c r="AM11" s="13" t="s">
        <v>2140</v>
      </c>
      <c r="AN11" s="13">
        <v>5</v>
      </c>
      <c r="AO11" s="13">
        <v>11</v>
      </c>
      <c r="AR11" s="13" t="s">
        <v>979</v>
      </c>
      <c r="AS11" s="13" t="s">
        <v>732</v>
      </c>
      <c r="AT11" s="13" t="s">
        <v>1108</v>
      </c>
      <c r="AU11" s="13">
        <v>4</v>
      </c>
      <c r="AV11" s="13">
        <v>9</v>
      </c>
      <c r="AY11" s="13" t="s">
        <v>979</v>
      </c>
      <c r="AZ11" s="13" t="s">
        <v>1510</v>
      </c>
      <c r="BA11" s="13" t="s">
        <v>2388</v>
      </c>
      <c r="BB11" s="13">
        <v>7</v>
      </c>
      <c r="BC11" s="13">
        <v>15</v>
      </c>
      <c r="BE11" s="13" t="s">
        <v>48</v>
      </c>
      <c r="BF11" s="13" t="s">
        <v>49</v>
      </c>
      <c r="BG11" s="13" t="s">
        <v>126</v>
      </c>
      <c r="BH11" s="13">
        <v>7</v>
      </c>
      <c r="BI11" s="13">
        <v>17</v>
      </c>
      <c r="BK11" s="13" t="s">
        <v>48</v>
      </c>
      <c r="BL11" s="13" t="s">
        <v>1510</v>
      </c>
      <c r="BM11" s="13" t="s">
        <v>1647</v>
      </c>
      <c r="BN11" s="13">
        <v>6</v>
      </c>
      <c r="BO11" s="13">
        <v>7</v>
      </c>
      <c r="BR11" s="13" t="s">
        <v>1172</v>
      </c>
      <c r="BS11" s="13" t="s">
        <v>732</v>
      </c>
      <c r="BT11" s="13" t="s">
        <v>797</v>
      </c>
      <c r="BU11" s="13">
        <v>2</v>
      </c>
      <c r="BV11" s="13">
        <v>3</v>
      </c>
      <c r="BY11" s="13"/>
      <c r="BZ11" s="13" t="s">
        <v>1441</v>
      </c>
      <c r="CA11" s="13" t="s">
        <v>2615</v>
      </c>
      <c r="CB11" s="13">
        <v>5</v>
      </c>
      <c r="CC11" s="13">
        <v>11</v>
      </c>
    </row>
    <row r="12" spans="1:81">
      <c r="A12" s="8" t="s">
        <v>48</v>
      </c>
      <c r="B12" s="8" t="s">
        <v>49</v>
      </c>
      <c r="C12" s="8" t="s">
        <v>318</v>
      </c>
      <c r="D12" s="8">
        <v>13</v>
      </c>
      <c r="E12" s="8">
        <v>31</v>
      </c>
      <c r="H12" s="13" t="s">
        <v>416</v>
      </c>
      <c r="I12" s="13" t="s">
        <v>49</v>
      </c>
      <c r="J12" s="13" t="s">
        <v>209</v>
      </c>
      <c r="K12" s="13">
        <v>5</v>
      </c>
      <c r="L12" s="13">
        <v>12</v>
      </c>
      <c r="N12" s="13" t="s">
        <v>731</v>
      </c>
      <c r="O12" s="13" t="s">
        <v>732</v>
      </c>
      <c r="P12" s="13" t="s">
        <v>567</v>
      </c>
      <c r="Q12" s="13">
        <v>8</v>
      </c>
      <c r="R12" s="13">
        <v>17</v>
      </c>
      <c r="U12" s="13" t="s">
        <v>48</v>
      </c>
      <c r="V12" s="13" t="s">
        <v>1510</v>
      </c>
      <c r="W12" s="13" t="s">
        <v>1730</v>
      </c>
      <c r="X12" s="13">
        <v>6</v>
      </c>
      <c r="Y12" s="13">
        <v>13</v>
      </c>
      <c r="AC12" s="13" t="s">
        <v>416</v>
      </c>
      <c r="AD12" s="13" t="s">
        <v>1510</v>
      </c>
      <c r="AE12" s="13" t="s">
        <v>1839</v>
      </c>
      <c r="AF12" s="13">
        <v>7</v>
      </c>
      <c r="AG12" s="13">
        <v>16</v>
      </c>
      <c r="AK12" s="13" t="s">
        <v>731</v>
      </c>
      <c r="AL12" s="13"/>
      <c r="AM12" s="13" t="s">
        <v>1974</v>
      </c>
      <c r="AN12" s="13">
        <v>7</v>
      </c>
      <c r="AO12" s="13">
        <v>11</v>
      </c>
      <c r="AR12" s="13" t="s">
        <v>979</v>
      </c>
      <c r="AS12" s="13" t="s">
        <v>732</v>
      </c>
      <c r="AT12" s="13" t="s">
        <v>1162</v>
      </c>
      <c r="AU12" s="13">
        <v>3</v>
      </c>
      <c r="AV12" s="13">
        <v>6</v>
      </c>
      <c r="AY12" s="13" t="s">
        <v>979</v>
      </c>
      <c r="AZ12" s="13" t="s">
        <v>1510</v>
      </c>
      <c r="BA12" s="13" t="s">
        <v>2355</v>
      </c>
      <c r="BB12" s="13">
        <v>8</v>
      </c>
      <c r="BC12" s="13">
        <v>15</v>
      </c>
      <c r="BE12" s="13" t="s">
        <v>48</v>
      </c>
      <c r="BF12" s="13" t="s">
        <v>49</v>
      </c>
      <c r="BG12" s="13" t="s">
        <v>209</v>
      </c>
      <c r="BH12" s="13">
        <v>5</v>
      </c>
      <c r="BI12" s="13">
        <v>11</v>
      </c>
      <c r="BK12" s="13" t="s">
        <v>48</v>
      </c>
      <c r="BL12" s="13"/>
      <c r="BM12" s="13" t="s">
        <v>1588</v>
      </c>
      <c r="BN12" s="13">
        <v>6</v>
      </c>
      <c r="BO12" s="13">
        <v>11</v>
      </c>
      <c r="BR12" s="13" t="s">
        <v>1172</v>
      </c>
      <c r="BS12" s="13" t="s">
        <v>732</v>
      </c>
      <c r="BT12" s="13" t="s">
        <v>1225</v>
      </c>
      <c r="BU12" s="13">
        <v>3</v>
      </c>
      <c r="BV12" s="13">
        <v>5</v>
      </c>
      <c r="BY12" s="13"/>
      <c r="BZ12" s="13" t="s">
        <v>1441</v>
      </c>
      <c r="CA12" s="13" t="s">
        <v>2654</v>
      </c>
      <c r="CB12" s="13">
        <v>9</v>
      </c>
      <c r="CC12" s="13">
        <v>16</v>
      </c>
    </row>
    <row r="13" spans="1:81">
      <c r="A13" s="8" t="s">
        <v>48</v>
      </c>
      <c r="B13" s="8" t="s">
        <v>49</v>
      </c>
      <c r="C13" s="8" t="s">
        <v>272</v>
      </c>
      <c r="D13" s="8">
        <v>4</v>
      </c>
      <c r="E13" s="8">
        <v>10</v>
      </c>
      <c r="H13" s="13" t="s">
        <v>416</v>
      </c>
      <c r="I13" s="13" t="s">
        <v>49</v>
      </c>
      <c r="J13" s="13" t="s">
        <v>667</v>
      </c>
      <c r="K13" s="13">
        <v>7</v>
      </c>
      <c r="L13" s="13">
        <v>13</v>
      </c>
      <c r="N13" s="13" t="s">
        <v>731</v>
      </c>
      <c r="O13" s="13" t="s">
        <v>732</v>
      </c>
      <c r="P13" s="13" t="s">
        <v>800</v>
      </c>
      <c r="Q13" s="13">
        <v>9</v>
      </c>
      <c r="R13" s="13">
        <v>20</v>
      </c>
      <c r="U13" s="13" t="s">
        <v>48</v>
      </c>
      <c r="V13" s="13" t="s">
        <v>1510</v>
      </c>
      <c r="W13" s="13" t="s">
        <v>1716</v>
      </c>
      <c r="X13" s="13">
        <v>7</v>
      </c>
      <c r="Y13" s="13">
        <v>16</v>
      </c>
      <c r="AC13" s="13" t="s">
        <v>416</v>
      </c>
      <c r="AD13" s="13" t="s">
        <v>1510</v>
      </c>
      <c r="AE13" s="13" t="s">
        <v>1974</v>
      </c>
      <c r="AF13" s="13">
        <v>4</v>
      </c>
      <c r="AG13" s="13">
        <v>9</v>
      </c>
      <c r="AK13" s="13" t="s">
        <v>731</v>
      </c>
      <c r="AL13" s="13"/>
      <c r="AM13" s="13" t="s">
        <v>2189</v>
      </c>
      <c r="AN13" s="13">
        <v>7</v>
      </c>
      <c r="AO13" s="13">
        <v>13</v>
      </c>
      <c r="AR13" s="13" t="s">
        <v>979</v>
      </c>
      <c r="AS13" s="13" t="s">
        <v>732</v>
      </c>
      <c r="AT13" s="13" t="s">
        <v>1148</v>
      </c>
      <c r="AU13" s="13">
        <v>5</v>
      </c>
      <c r="AV13" s="13">
        <v>8</v>
      </c>
      <c r="AY13" s="13" t="s">
        <v>979</v>
      </c>
      <c r="AZ13" s="13" t="s">
        <v>1510</v>
      </c>
      <c r="BA13" s="13" t="s">
        <v>2157</v>
      </c>
      <c r="BB13" s="13">
        <v>6</v>
      </c>
      <c r="BC13" s="13">
        <v>14</v>
      </c>
      <c r="BE13" s="13" t="s">
        <v>48</v>
      </c>
      <c r="BF13" s="13" t="s">
        <v>49</v>
      </c>
      <c r="BG13" s="13" t="s">
        <v>226</v>
      </c>
      <c r="BH13" s="13">
        <v>6</v>
      </c>
      <c r="BI13" s="13">
        <v>14</v>
      </c>
      <c r="BK13" s="13" t="s">
        <v>48</v>
      </c>
      <c r="BL13" s="13"/>
      <c r="BM13" s="13" t="s">
        <v>1511</v>
      </c>
      <c r="BN13" s="13">
        <v>6</v>
      </c>
      <c r="BO13" s="13">
        <v>12</v>
      </c>
      <c r="BR13" s="13" t="s">
        <v>1172</v>
      </c>
      <c r="BS13" s="13" t="s">
        <v>732</v>
      </c>
      <c r="BT13" s="13" t="s">
        <v>1173</v>
      </c>
      <c r="BU13" s="13">
        <v>2</v>
      </c>
      <c r="BV13" s="13">
        <v>4</v>
      </c>
      <c r="BY13" s="13"/>
      <c r="BZ13" s="13" t="s">
        <v>1510</v>
      </c>
      <c r="CA13" s="13" t="s">
        <v>2586</v>
      </c>
      <c r="CB13" s="13">
        <v>6</v>
      </c>
      <c r="CC13" s="13">
        <v>11</v>
      </c>
    </row>
    <row r="14" spans="1:81">
      <c r="A14" s="8"/>
      <c r="B14" s="8" t="s">
        <v>2763</v>
      </c>
      <c r="C14" s="8"/>
      <c r="D14" s="8">
        <v>79</v>
      </c>
      <c r="E14" s="8">
        <v>174</v>
      </c>
      <c r="H14" s="13" t="s">
        <v>416</v>
      </c>
      <c r="I14" s="13" t="s">
        <v>49</v>
      </c>
      <c r="J14" s="13" t="s">
        <v>688</v>
      </c>
      <c r="K14" s="13">
        <v>13</v>
      </c>
      <c r="L14" s="13">
        <v>29</v>
      </c>
      <c r="N14" s="13" t="s">
        <v>731</v>
      </c>
      <c r="O14" s="13" t="s">
        <v>732</v>
      </c>
      <c r="P14" s="13" t="s">
        <v>766</v>
      </c>
      <c r="Q14" s="13">
        <v>9</v>
      </c>
      <c r="R14" s="13">
        <v>14</v>
      </c>
      <c r="U14" s="13" t="s">
        <v>2764</v>
      </c>
      <c r="V14" s="13"/>
      <c r="W14" s="13"/>
      <c r="X14" s="13">
        <v>59</v>
      </c>
      <c r="Y14" s="13">
        <v>104</v>
      </c>
      <c r="AC14" s="13" t="s">
        <v>416</v>
      </c>
      <c r="AD14" s="13" t="s">
        <v>1510</v>
      </c>
      <c r="AE14" s="13" t="s">
        <v>1936</v>
      </c>
      <c r="AF14" s="13">
        <v>7</v>
      </c>
      <c r="AG14" s="13">
        <v>15</v>
      </c>
      <c r="AK14" s="13" t="s">
        <v>731</v>
      </c>
      <c r="AL14" s="13"/>
      <c r="AM14" s="13" t="s">
        <v>2157</v>
      </c>
      <c r="AN14" s="13">
        <v>7</v>
      </c>
      <c r="AO14" s="13">
        <v>13</v>
      </c>
      <c r="AR14" s="13" t="s">
        <v>979</v>
      </c>
      <c r="AS14" s="13" t="s">
        <v>732</v>
      </c>
      <c r="AT14" s="13" t="s">
        <v>1094</v>
      </c>
      <c r="AU14" s="13">
        <v>4</v>
      </c>
      <c r="AV14" s="13">
        <v>9</v>
      </c>
      <c r="AY14" s="13" t="s">
        <v>979</v>
      </c>
      <c r="AZ14" s="13" t="s">
        <v>1510</v>
      </c>
      <c r="BA14" s="13" t="s">
        <v>2410</v>
      </c>
      <c r="BB14" s="13">
        <v>5</v>
      </c>
      <c r="BC14" s="13">
        <v>8</v>
      </c>
      <c r="BE14" s="13" t="s">
        <v>2764</v>
      </c>
      <c r="BF14" s="13"/>
      <c r="BG14" s="13"/>
      <c r="BH14" s="13">
        <v>60</v>
      </c>
      <c r="BI14" s="13">
        <v>125</v>
      </c>
      <c r="BK14" s="13" t="s">
        <v>48</v>
      </c>
      <c r="BL14" s="13"/>
      <c r="BM14" s="13" t="s">
        <v>1562</v>
      </c>
      <c r="BN14" s="13">
        <v>5</v>
      </c>
      <c r="BO14" s="13">
        <v>10</v>
      </c>
      <c r="BR14" s="13" t="s">
        <v>1172</v>
      </c>
      <c r="BS14" s="13" t="s">
        <v>732</v>
      </c>
      <c r="BT14" s="13" t="s">
        <v>1332</v>
      </c>
      <c r="BU14" s="13">
        <v>2</v>
      </c>
      <c r="BV14" s="13">
        <v>3</v>
      </c>
      <c r="BY14" s="13"/>
      <c r="BZ14" s="13" t="s">
        <v>1510</v>
      </c>
      <c r="CA14" s="13" t="s">
        <v>2550</v>
      </c>
      <c r="CB14" s="13">
        <v>7</v>
      </c>
      <c r="CC14" s="13">
        <v>14</v>
      </c>
    </row>
    <row r="15" spans="1:81">
      <c r="A15" s="8"/>
      <c r="B15" s="8"/>
      <c r="C15" s="8"/>
      <c r="D15" s="8"/>
      <c r="E15" s="8"/>
      <c r="H15" s="13"/>
      <c r="I15" s="13" t="s">
        <v>2763</v>
      </c>
      <c r="J15" s="13"/>
      <c r="K15" s="13">
        <v>110</v>
      </c>
      <c r="L15" s="13">
        <v>214</v>
      </c>
      <c r="N15" s="13"/>
      <c r="O15" s="13" t="s">
        <v>2765</v>
      </c>
      <c r="P15" s="13"/>
      <c r="Q15" s="13">
        <v>77</v>
      </c>
      <c r="R15" s="13">
        <v>162</v>
      </c>
      <c r="AC15" s="13" t="s">
        <v>2764</v>
      </c>
      <c r="AD15" s="13"/>
      <c r="AE15" s="13"/>
      <c r="AF15" s="13">
        <v>64</v>
      </c>
      <c r="AG15" s="13">
        <v>133</v>
      </c>
      <c r="AK15" s="13" t="s">
        <v>2766</v>
      </c>
      <c r="AL15" s="13"/>
      <c r="AM15" s="13"/>
      <c r="AN15" s="13">
        <v>72</v>
      </c>
      <c r="AO15" s="13">
        <v>129</v>
      </c>
      <c r="AR15" s="13" t="s">
        <v>2764</v>
      </c>
      <c r="AS15" s="13"/>
      <c r="AT15" s="13"/>
      <c r="AU15" s="13">
        <v>63</v>
      </c>
      <c r="AV15" s="13">
        <v>118</v>
      </c>
      <c r="AY15" s="13" t="s">
        <v>2764</v>
      </c>
      <c r="AZ15" s="13"/>
      <c r="BA15" s="13"/>
      <c r="BB15" s="13">
        <v>80</v>
      </c>
      <c r="BC15" s="13">
        <v>151</v>
      </c>
      <c r="BK15" s="13" t="s">
        <v>2764</v>
      </c>
      <c r="BL15" s="13"/>
      <c r="BM15" s="13"/>
      <c r="BN15" s="13">
        <v>58</v>
      </c>
      <c r="BO15" s="13">
        <v>105</v>
      </c>
      <c r="BR15" s="13" t="s">
        <v>1172</v>
      </c>
      <c r="BS15" s="13" t="s">
        <v>732</v>
      </c>
      <c r="BT15" s="13" t="s">
        <v>1162</v>
      </c>
      <c r="BU15" s="13">
        <v>7</v>
      </c>
      <c r="BV15" s="13">
        <v>11</v>
      </c>
      <c r="BY15" s="13"/>
      <c r="BZ15" s="13" t="s">
        <v>1510</v>
      </c>
      <c r="CA15" s="13" t="s">
        <v>2603</v>
      </c>
      <c r="CB15" s="13">
        <v>4</v>
      </c>
      <c r="CC15" s="13">
        <v>7</v>
      </c>
    </row>
    <row r="16" spans="1:81">
      <c r="A16" s="8"/>
      <c r="B16" s="8"/>
      <c r="C16" s="8"/>
      <c r="D16" s="8"/>
      <c r="E16" s="8"/>
      <c r="AK16" s="13" t="s">
        <v>2764</v>
      </c>
      <c r="AL16" s="13"/>
      <c r="AM16" s="13"/>
      <c r="AN16" s="13">
        <v>72</v>
      </c>
      <c r="AO16" s="13">
        <v>129</v>
      </c>
      <c r="BR16" s="13" t="s">
        <v>1172</v>
      </c>
      <c r="BS16" s="13" t="s">
        <v>732</v>
      </c>
      <c r="BT16" s="13" t="s">
        <v>1148</v>
      </c>
      <c r="BU16" s="13">
        <v>2</v>
      </c>
      <c r="BV16" s="13">
        <v>2</v>
      </c>
      <c r="BY16" s="13"/>
      <c r="BZ16" s="13" t="s">
        <v>1510</v>
      </c>
      <c r="CA16" s="13" t="s">
        <v>2572</v>
      </c>
      <c r="CB16" s="13">
        <v>4</v>
      </c>
      <c r="CC16" s="13">
        <v>8</v>
      </c>
    </row>
    <row r="17" spans="1:81">
      <c r="A17" s="8"/>
      <c r="B17" s="8"/>
      <c r="C17" s="8"/>
      <c r="D17" s="8"/>
      <c r="E17" s="8"/>
      <c r="BR17" s="13" t="s">
        <v>1172</v>
      </c>
      <c r="BS17" s="13" t="s">
        <v>732</v>
      </c>
      <c r="BT17" s="13" t="s">
        <v>1094</v>
      </c>
      <c r="BU17" s="13">
        <v>5</v>
      </c>
      <c r="BV17" s="13">
        <v>6</v>
      </c>
      <c r="BY17" s="13" t="s">
        <v>2764</v>
      </c>
      <c r="BZ17" s="13"/>
      <c r="CA17" s="13"/>
      <c r="CB17" s="13">
        <v>83</v>
      </c>
      <c r="CC17" s="13">
        <v>151</v>
      </c>
    </row>
    <row r="18" spans="1:81">
      <c r="A18" s="8"/>
      <c r="B18" s="8"/>
      <c r="C18" s="8"/>
      <c r="D18" s="8"/>
      <c r="E18" s="8"/>
      <c r="BR18" s="13" t="s">
        <v>2764</v>
      </c>
      <c r="BS18" s="13"/>
      <c r="BT18" s="13"/>
      <c r="BU18" s="13">
        <v>55</v>
      </c>
      <c r="BV18" s="13">
        <v>86</v>
      </c>
    </row>
    <row r="19" spans="1:81">
      <c r="A19" s="8"/>
      <c r="B19" s="8"/>
      <c r="C19" s="8"/>
      <c r="D19" s="8"/>
      <c r="E19" s="8"/>
    </row>
    <row r="20" spans="1:81">
      <c r="A20" s="152" t="s">
        <v>2767</v>
      </c>
      <c r="B20" s="152"/>
      <c r="C20" s="8"/>
      <c r="D20" s="8"/>
      <c r="E20" s="8"/>
    </row>
    <row r="21" spans="1:81">
      <c r="A21" s="153" t="s">
        <v>732</v>
      </c>
      <c r="B21" s="153">
        <f>SUM(D14,K15,Q15,AU15,BH14,BU18)</f>
        <v>444</v>
      </c>
      <c r="C21" s="8"/>
      <c r="D21" s="8"/>
      <c r="E21" s="8"/>
    </row>
    <row r="22" spans="1:81">
      <c r="A22" s="153" t="s">
        <v>2768</v>
      </c>
      <c r="B22" s="153">
        <f>SUM(X14,AF15,AN16,BB15,BN15,CB17)</f>
        <v>416</v>
      </c>
      <c r="C22" s="8"/>
      <c r="D22" s="8"/>
      <c r="E22" s="8"/>
    </row>
    <row r="23" spans="1:81">
      <c r="A23" s="8"/>
      <c r="B23" s="8"/>
      <c r="C23" s="8"/>
      <c r="D23" s="8"/>
      <c r="E23" s="8"/>
    </row>
    <row r="24" spans="1:81">
      <c r="A24" s="8"/>
      <c r="B24" s="8"/>
      <c r="C24" s="8"/>
      <c r="D24" s="8"/>
      <c r="E24" s="8"/>
    </row>
    <row r="25" spans="1:81">
      <c r="A25" s="8"/>
      <c r="B25" s="8"/>
      <c r="C25" s="8"/>
      <c r="D25" s="8"/>
      <c r="E25" s="8"/>
    </row>
    <row r="26" spans="1:81">
      <c r="A26" s="8"/>
      <c r="B26" s="8"/>
      <c r="C26" s="8"/>
      <c r="D26" s="8"/>
      <c r="E26" s="8"/>
    </row>
    <row r="27" spans="1:81">
      <c r="A27" s="8"/>
      <c r="B27" s="8"/>
      <c r="C27" s="8"/>
      <c r="D27" s="8"/>
      <c r="E27" s="8"/>
    </row>
    <row r="28" spans="1:81">
      <c r="A28" s="8"/>
      <c r="B28" s="8"/>
      <c r="C28" s="8"/>
      <c r="D28" s="8"/>
      <c r="E28" s="8"/>
    </row>
    <row r="29" spans="1:81">
      <c r="A29" s="8"/>
      <c r="B29" s="8"/>
      <c r="C29" s="8"/>
      <c r="D29" s="8"/>
      <c r="E29" s="8"/>
    </row>
    <row r="30" spans="1:81">
      <c r="A30" s="8"/>
      <c r="B30" s="8"/>
      <c r="C30" s="8"/>
      <c r="D30" s="8"/>
      <c r="E30" s="8"/>
    </row>
    <row r="31" spans="1:81">
      <c r="A31" s="8"/>
      <c r="B31" s="8"/>
      <c r="C31" s="8"/>
      <c r="D31" s="8"/>
      <c r="E31" s="8"/>
    </row>
    <row r="32" spans="1:81">
      <c r="A32" s="8"/>
      <c r="B32" s="8"/>
      <c r="C32" s="8"/>
      <c r="D32" s="8"/>
      <c r="E32" s="8"/>
    </row>
    <row r="33" spans="1:5">
      <c r="A33" s="8"/>
      <c r="B33" s="8"/>
      <c r="C33" s="8"/>
      <c r="D33" s="8"/>
      <c r="E33" s="8"/>
    </row>
    <row r="34" spans="1:5">
      <c r="A34" s="8"/>
      <c r="B34" s="8"/>
      <c r="C34" s="8"/>
      <c r="D34" s="8"/>
      <c r="E34" s="8"/>
    </row>
    <row r="35" spans="1:5">
      <c r="A35" s="8"/>
      <c r="B35" s="8"/>
      <c r="C35" s="8"/>
      <c r="D35" s="8"/>
      <c r="E35" s="8"/>
    </row>
    <row r="36" spans="1:5">
      <c r="A36" s="8"/>
      <c r="B36" s="8"/>
      <c r="C36" s="8"/>
      <c r="D36" s="8"/>
      <c r="E36" s="8"/>
    </row>
    <row r="37" spans="1:5">
      <c r="A37" s="8"/>
      <c r="B37" s="8"/>
      <c r="C37" s="8"/>
      <c r="D37" s="8"/>
      <c r="E37" s="8"/>
    </row>
    <row r="38" spans="1:5">
      <c r="A38" s="8"/>
      <c r="B38" s="8"/>
      <c r="C38" s="8"/>
      <c r="D38" s="8"/>
      <c r="E38" s="8"/>
    </row>
    <row r="39" spans="1:5">
      <c r="A39" s="8"/>
      <c r="B39" s="8"/>
      <c r="C39" s="8"/>
      <c r="D39" s="8"/>
      <c r="E39" s="8"/>
    </row>
    <row r="40" spans="1:5">
      <c r="A40" s="8"/>
      <c r="B40" s="8"/>
      <c r="C40" s="8"/>
      <c r="D40" s="8"/>
      <c r="E40" s="8"/>
    </row>
    <row r="41" spans="1:5">
      <c r="A41" s="8"/>
      <c r="B41" s="8"/>
      <c r="C41" s="8"/>
      <c r="D41" s="8"/>
      <c r="E41" s="8"/>
    </row>
    <row r="42" spans="1:5">
      <c r="A42" s="8"/>
      <c r="B42" s="8"/>
      <c r="C42" s="8"/>
      <c r="D42" s="8"/>
      <c r="E42" s="8"/>
    </row>
    <row r="43" spans="1:5">
      <c r="A43" s="8"/>
      <c r="B43" s="8"/>
      <c r="C43" s="8"/>
      <c r="D43" s="8"/>
      <c r="E43" s="8"/>
    </row>
    <row r="44" spans="1:5">
      <c r="A44" s="8"/>
      <c r="B44" s="8"/>
      <c r="C44" s="8"/>
      <c r="D44" s="8"/>
      <c r="E44" s="8"/>
    </row>
    <row r="45" spans="1:5">
      <c r="A45" s="8"/>
      <c r="B45" s="8"/>
      <c r="C45" s="8"/>
      <c r="D45" s="8"/>
      <c r="E45" s="8"/>
    </row>
    <row r="46" spans="1:5">
      <c r="A46" s="8"/>
      <c r="B46" s="8"/>
      <c r="C46" s="8"/>
      <c r="D46" s="8"/>
      <c r="E46" s="8"/>
    </row>
    <row r="47" spans="1:5">
      <c r="A47" s="8"/>
      <c r="B47" s="8"/>
      <c r="C47" s="8"/>
      <c r="D47" s="8"/>
      <c r="E47" s="8"/>
    </row>
    <row r="48" spans="1:5">
      <c r="A48" s="8"/>
      <c r="B48" s="8"/>
      <c r="C48" s="8"/>
      <c r="D48" s="8"/>
      <c r="E48" s="8"/>
    </row>
    <row r="49" spans="1:5">
      <c r="A49" s="8"/>
      <c r="B49" s="8"/>
      <c r="C49" s="8"/>
      <c r="D49" s="8"/>
      <c r="E49" s="8"/>
    </row>
    <row r="50" spans="1:5">
      <c r="A50" s="8"/>
      <c r="B50" s="8"/>
      <c r="C50" s="8"/>
      <c r="D50" s="8"/>
      <c r="E50" s="8"/>
    </row>
    <row r="51" spans="1:5">
      <c r="A51" s="8"/>
      <c r="B51" s="8"/>
      <c r="C51" s="8"/>
      <c r="D51" s="8"/>
      <c r="E51" s="8"/>
    </row>
    <row r="52" spans="1:5">
      <c r="A52" s="8"/>
      <c r="B52" s="8"/>
      <c r="C52" s="8"/>
      <c r="D52" s="8"/>
      <c r="E52" s="8"/>
    </row>
    <row r="53" spans="1:5">
      <c r="A53" s="8"/>
      <c r="B53" s="8"/>
      <c r="C53" s="8"/>
      <c r="D53" s="8"/>
      <c r="E53" s="8"/>
    </row>
    <row r="54" spans="1:5">
      <c r="A54" s="8"/>
      <c r="B54" s="8"/>
      <c r="C54" s="8"/>
      <c r="D54" s="8"/>
      <c r="E54" s="8"/>
    </row>
    <row r="55" spans="1:5">
      <c r="A55" s="8"/>
      <c r="B55" s="8"/>
      <c r="C55" s="8"/>
      <c r="D55" s="8"/>
      <c r="E55" s="8"/>
    </row>
    <row r="56" spans="1:5">
      <c r="A56" s="8"/>
      <c r="B56" s="8"/>
      <c r="C56" s="8"/>
      <c r="D56" s="8"/>
      <c r="E56" s="8"/>
    </row>
    <row r="57" spans="1:5">
      <c r="A57" s="8"/>
      <c r="B57" s="8"/>
      <c r="C57" s="8"/>
      <c r="D57" s="8"/>
      <c r="E57" s="8"/>
    </row>
    <row r="58" spans="1:5">
      <c r="A58" s="8"/>
      <c r="B58" s="8"/>
      <c r="C58" s="8"/>
      <c r="D58" s="8"/>
      <c r="E58" s="8"/>
    </row>
    <row r="59" spans="1:5">
      <c r="A59" s="8"/>
      <c r="B59" s="8"/>
      <c r="C59" s="8"/>
      <c r="D59" s="8"/>
      <c r="E59" s="8"/>
    </row>
    <row r="60" spans="1:5">
      <c r="A60" s="8"/>
      <c r="B60" s="8"/>
      <c r="C60" s="8"/>
      <c r="D60" s="8"/>
      <c r="E60" s="8"/>
    </row>
    <row r="61" spans="1:5">
      <c r="A61" s="8"/>
      <c r="B61" s="8"/>
      <c r="C61" s="8"/>
      <c r="D61" s="8"/>
      <c r="E61" s="8"/>
    </row>
    <row r="62" spans="1:5">
      <c r="A62" s="8"/>
      <c r="B62" s="8"/>
      <c r="C62" s="8"/>
      <c r="D62" s="8"/>
      <c r="E62" s="8"/>
    </row>
    <row r="63" spans="1:5">
      <c r="A63" s="8"/>
      <c r="B63" s="8"/>
      <c r="C63" s="8"/>
      <c r="D63" s="8"/>
      <c r="E63" s="8"/>
    </row>
    <row r="64" spans="1:5">
      <c r="A64" s="8"/>
      <c r="B64" s="8"/>
      <c r="C64" s="8"/>
      <c r="D64" s="8"/>
      <c r="E64" s="8"/>
    </row>
    <row r="65" spans="1:5">
      <c r="A65" s="8"/>
      <c r="B65" s="8"/>
      <c r="C65" s="8"/>
      <c r="D65" s="8"/>
      <c r="E65" s="8"/>
    </row>
    <row r="66" spans="1:5">
      <c r="A66" s="8"/>
      <c r="B66" s="8"/>
      <c r="C66" s="8"/>
      <c r="D66" s="8"/>
      <c r="E66" s="8"/>
    </row>
    <row r="67" spans="1:5">
      <c r="A67" s="8"/>
      <c r="B67" s="8"/>
      <c r="C67" s="8"/>
      <c r="D67" s="8"/>
      <c r="E67" s="8"/>
    </row>
    <row r="68" spans="1:5">
      <c r="A68" s="8"/>
      <c r="B68" s="8"/>
      <c r="C68" s="8"/>
      <c r="D68" s="8"/>
      <c r="E68" s="8"/>
    </row>
    <row r="69" spans="1:5">
      <c r="A69" s="8"/>
      <c r="B69" s="8"/>
      <c r="C69" s="8"/>
      <c r="D69" s="8"/>
      <c r="E69" s="8"/>
    </row>
    <row r="70" spans="1:5">
      <c r="A70" s="8"/>
      <c r="B70" s="8"/>
      <c r="C70" s="8"/>
      <c r="D70" s="8"/>
      <c r="E70" s="8"/>
    </row>
    <row r="71" spans="1:5">
      <c r="A71" s="8"/>
      <c r="B71" s="8"/>
      <c r="C71" s="8"/>
      <c r="D71" s="8"/>
      <c r="E71" s="8"/>
    </row>
    <row r="72" spans="1:5">
      <c r="A72" s="8"/>
      <c r="B72" s="8"/>
      <c r="C72" s="8"/>
      <c r="D72" s="8"/>
      <c r="E72" s="8"/>
    </row>
    <row r="73" spans="1:5">
      <c r="A73" s="8"/>
      <c r="B73" s="8"/>
      <c r="C73" s="8"/>
      <c r="D73" s="8"/>
      <c r="E73" s="8"/>
    </row>
    <row r="74" spans="1:5">
      <c r="A74" s="8"/>
      <c r="B74" s="8"/>
      <c r="C74" s="8"/>
      <c r="D74" s="8"/>
      <c r="E74" s="8"/>
    </row>
    <row r="75" spans="1:5">
      <c r="A75" s="8"/>
      <c r="B75" s="8"/>
      <c r="C75" s="8"/>
      <c r="D75" s="8"/>
      <c r="E75" s="8"/>
    </row>
    <row r="76" spans="1:5">
      <c r="A76" s="8"/>
      <c r="B76" s="8"/>
      <c r="C76" s="8"/>
      <c r="D76" s="8"/>
      <c r="E76" s="8"/>
    </row>
    <row r="77" spans="1:5">
      <c r="A77" s="8"/>
      <c r="B77" s="8"/>
      <c r="C77" s="8"/>
      <c r="D77" s="8"/>
      <c r="E77" s="8"/>
    </row>
    <row r="78" spans="1:5">
      <c r="A78" s="8"/>
      <c r="B78" s="8"/>
      <c r="C78" s="8"/>
      <c r="D78" s="8"/>
      <c r="E78" s="8"/>
    </row>
    <row r="79" spans="1:5">
      <c r="A79" s="8"/>
      <c r="B79" s="8"/>
      <c r="C79" s="8"/>
      <c r="D79" s="8"/>
      <c r="E79" s="8"/>
    </row>
    <row r="80" spans="1:5">
      <c r="A80" s="8"/>
      <c r="B80" s="8"/>
      <c r="C80" s="8"/>
      <c r="D80" s="8"/>
      <c r="E80" s="8"/>
    </row>
    <row r="81" spans="1:5">
      <c r="A81" s="8"/>
      <c r="B81" s="8"/>
      <c r="C81" s="8"/>
      <c r="D81" s="8"/>
      <c r="E81" s="8"/>
    </row>
    <row r="82" spans="1:5">
      <c r="A82" s="8"/>
      <c r="B82" s="8"/>
      <c r="C82" s="8"/>
      <c r="D82" s="8"/>
      <c r="E82" s="8"/>
    </row>
    <row r="83" spans="1:5">
      <c r="A83" s="8"/>
      <c r="B83" s="8"/>
      <c r="C83" s="8"/>
      <c r="D83" s="8"/>
      <c r="E83" s="8"/>
    </row>
    <row r="84" spans="1:5">
      <c r="A84" s="8"/>
      <c r="B84" s="8"/>
      <c r="C84" s="8"/>
      <c r="D84" s="8"/>
      <c r="E84" s="8"/>
    </row>
    <row r="85" spans="1:5">
      <c r="A85" s="8"/>
      <c r="B85" s="8"/>
      <c r="C85" s="8"/>
      <c r="D85" s="8"/>
      <c r="E85" s="8"/>
    </row>
    <row r="86" spans="1:5">
      <c r="A86" s="8"/>
      <c r="B86" s="8"/>
      <c r="C86" s="8"/>
      <c r="D86" s="8"/>
      <c r="E86" s="8"/>
    </row>
    <row r="87" spans="1:5">
      <c r="A87" s="8"/>
      <c r="B87" s="8"/>
      <c r="C87" s="8"/>
      <c r="D87" s="8"/>
      <c r="E87" s="8"/>
    </row>
    <row r="88" spans="1:5">
      <c r="A88" s="8"/>
      <c r="B88" s="8"/>
      <c r="C88" s="8"/>
      <c r="D88" s="8"/>
      <c r="E88" s="8"/>
    </row>
    <row r="89" spans="1:5">
      <c r="A89" s="8"/>
      <c r="B89" s="8"/>
      <c r="C89" s="8"/>
      <c r="D89" s="8"/>
      <c r="E89" s="8"/>
    </row>
    <row r="90" spans="1:5">
      <c r="A90" s="8"/>
      <c r="B90" s="8"/>
      <c r="C90" s="8"/>
      <c r="D90" s="8"/>
      <c r="E90" s="8"/>
    </row>
    <row r="91" spans="1:5">
      <c r="A91" s="8"/>
      <c r="B91" s="8"/>
      <c r="C91" s="8"/>
      <c r="D91" s="8"/>
      <c r="E91" s="8"/>
    </row>
    <row r="92" spans="1:5">
      <c r="A92" s="8"/>
      <c r="B92" s="8"/>
      <c r="C92" s="8"/>
      <c r="D92" s="8"/>
      <c r="E92" s="8"/>
    </row>
    <row r="93" spans="1:5">
      <c r="A93" s="8"/>
      <c r="B93" s="8"/>
      <c r="C93" s="8"/>
      <c r="D93" s="8"/>
      <c r="E93" s="8"/>
    </row>
    <row r="94" spans="1:5">
      <c r="A94" s="8"/>
      <c r="B94" s="8"/>
      <c r="C94" s="8"/>
      <c r="D94" s="8"/>
      <c r="E94" s="8"/>
    </row>
    <row r="95" spans="1:5">
      <c r="A95" s="8"/>
      <c r="B95" s="8"/>
      <c r="C95" s="8"/>
      <c r="D95" s="8"/>
      <c r="E95" s="8"/>
    </row>
    <row r="96" spans="1:5">
      <c r="A96" s="8"/>
      <c r="B96" s="8"/>
      <c r="C96" s="8"/>
      <c r="D96" s="8"/>
      <c r="E96" s="8"/>
    </row>
    <row r="97" spans="1:5">
      <c r="A97" s="8"/>
      <c r="B97" s="8"/>
      <c r="C97" s="8"/>
      <c r="D97" s="8"/>
      <c r="E97" s="8"/>
    </row>
    <row r="98" spans="1:5">
      <c r="A98" s="8"/>
      <c r="B98" s="8"/>
      <c r="C98" s="8"/>
      <c r="D98" s="8"/>
      <c r="E98" s="8"/>
    </row>
    <row r="99" spans="1:5">
      <c r="A99" s="8"/>
      <c r="B99" s="8"/>
      <c r="C99" s="8"/>
      <c r="D99" s="8"/>
      <c r="E99" s="8"/>
    </row>
    <row r="100" spans="1:5">
      <c r="A100" s="8"/>
      <c r="B100" s="8"/>
      <c r="C100" s="8"/>
      <c r="D100" s="8"/>
      <c r="E100" s="8"/>
    </row>
    <row r="101" spans="1:5">
      <c r="A101" s="8"/>
      <c r="B101" s="8"/>
      <c r="C101" s="8"/>
      <c r="D101" s="8"/>
      <c r="E101" s="8"/>
    </row>
    <row r="102" spans="1:5">
      <c r="A102" s="8"/>
      <c r="B102" s="8"/>
      <c r="C102" s="8"/>
      <c r="D102" s="8"/>
      <c r="E102" s="8"/>
    </row>
    <row r="103" spans="1:5">
      <c r="A103" s="8"/>
      <c r="B103" s="8"/>
      <c r="C103" s="8"/>
      <c r="D103" s="8"/>
      <c r="E103" s="8"/>
    </row>
    <row r="104" spans="1:5">
      <c r="A104" s="8"/>
      <c r="B104" s="8"/>
      <c r="C104" s="8"/>
      <c r="D104" s="8"/>
      <c r="E104" s="8"/>
    </row>
    <row r="105" spans="1:5">
      <c r="A105" s="8"/>
      <c r="B105" s="8"/>
      <c r="C105" s="8"/>
      <c r="D105" s="8"/>
      <c r="E105" s="8"/>
    </row>
    <row r="106" spans="1:5">
      <c r="A106" s="8"/>
      <c r="B106" s="8"/>
      <c r="C106" s="8"/>
      <c r="D106" s="8"/>
      <c r="E106" s="8"/>
    </row>
    <row r="107" spans="1:5">
      <c r="A107" s="8"/>
      <c r="B107" s="8"/>
      <c r="C107" s="8"/>
      <c r="D107" s="8"/>
      <c r="E107" s="8"/>
    </row>
    <row r="108" spans="1:5">
      <c r="A108" s="8"/>
      <c r="B108" s="8"/>
      <c r="C108" s="8"/>
      <c r="D108" s="8"/>
      <c r="E108" s="8"/>
    </row>
    <row r="109" spans="1:5">
      <c r="A109" s="8"/>
      <c r="B109" s="8"/>
      <c r="C109" s="8"/>
      <c r="D109" s="8"/>
      <c r="E109" s="8"/>
    </row>
    <row r="110" spans="1:5">
      <c r="A110" s="8"/>
      <c r="B110" s="8"/>
      <c r="C110" s="8"/>
      <c r="D110" s="8"/>
      <c r="E110" s="8"/>
    </row>
    <row r="111" spans="1:5">
      <c r="A111" s="8"/>
      <c r="B111" s="8"/>
      <c r="C111" s="8"/>
      <c r="D111" s="8"/>
      <c r="E111" s="8"/>
    </row>
    <row r="112" spans="1:5">
      <c r="A112" s="8"/>
      <c r="B112" s="8"/>
      <c r="C112" s="8"/>
      <c r="D112" s="8"/>
      <c r="E112" s="8"/>
    </row>
    <row r="113" spans="1:5">
      <c r="A113" s="8"/>
      <c r="B113" s="8"/>
      <c r="C113" s="8"/>
      <c r="D113" s="8"/>
      <c r="E113" s="8"/>
    </row>
    <row r="114" spans="1:5">
      <c r="A114" s="8"/>
      <c r="B114" s="8"/>
      <c r="C114" s="8"/>
      <c r="D114" s="8"/>
      <c r="E114" s="8"/>
    </row>
    <row r="115" spans="1:5">
      <c r="A115" s="8"/>
      <c r="B115" s="8"/>
      <c r="C115" s="8"/>
      <c r="D115" s="8"/>
      <c r="E115" s="8"/>
    </row>
    <row r="116" spans="1:5">
      <c r="A116" s="8"/>
      <c r="B116" s="8"/>
      <c r="C116" s="8"/>
      <c r="D116" s="8"/>
      <c r="E116" s="8"/>
    </row>
    <row r="117" spans="1:5">
      <c r="A117" s="8"/>
      <c r="B117" s="8"/>
      <c r="C117" s="8"/>
      <c r="D117" s="8"/>
      <c r="E117" s="8"/>
    </row>
    <row r="118" spans="1:5">
      <c r="A118" s="8"/>
      <c r="B118" s="8"/>
      <c r="C118" s="8"/>
      <c r="D118" s="8"/>
      <c r="E118" s="8"/>
    </row>
    <row r="119" spans="1:5">
      <c r="A119" s="8"/>
      <c r="B119" s="8"/>
      <c r="C119" s="8"/>
      <c r="D119" s="8"/>
      <c r="E119" s="8"/>
    </row>
    <row r="120" spans="1:5">
      <c r="A120" s="8"/>
      <c r="B120" s="8"/>
      <c r="C120" s="8"/>
      <c r="D120" s="8"/>
      <c r="E120" s="8"/>
    </row>
    <row r="121" spans="1:5">
      <c r="A121" s="8"/>
      <c r="B121" s="8"/>
      <c r="C121" s="8"/>
      <c r="D121" s="8"/>
      <c r="E121" s="8"/>
    </row>
    <row r="122" spans="1:5">
      <c r="A122" s="8"/>
      <c r="B122" s="8"/>
      <c r="C122" s="8"/>
      <c r="D122" s="8"/>
      <c r="E122" s="8"/>
    </row>
    <row r="123" spans="1:5">
      <c r="A123" s="8"/>
      <c r="B123" s="8"/>
      <c r="C123" s="8"/>
      <c r="D123" s="8"/>
      <c r="E123" s="8"/>
    </row>
    <row r="124" spans="1:5">
      <c r="A124" s="8"/>
      <c r="B124" s="8"/>
      <c r="C124" s="8"/>
      <c r="D124" s="8"/>
      <c r="E124" s="8"/>
    </row>
    <row r="125" spans="1:5">
      <c r="A125" s="8"/>
      <c r="B125" s="8"/>
      <c r="C125" s="8"/>
      <c r="D125" s="8"/>
      <c r="E125" s="8"/>
    </row>
    <row r="126" spans="1:5">
      <c r="A126" s="8"/>
      <c r="B126" s="8"/>
      <c r="C126" s="8"/>
      <c r="D126" s="8"/>
      <c r="E126" s="8"/>
    </row>
    <row r="127" spans="1:5">
      <c r="A127" s="8"/>
      <c r="B127" s="8"/>
      <c r="C127" s="8"/>
      <c r="D127" s="8"/>
      <c r="E127" s="8"/>
    </row>
    <row r="128" spans="1:5">
      <c r="A128" s="8"/>
      <c r="B128" s="8"/>
      <c r="C128" s="8"/>
      <c r="D128" s="8"/>
      <c r="E128" s="8"/>
    </row>
    <row r="129" spans="1:5">
      <c r="A129" s="8"/>
      <c r="B129" s="8"/>
      <c r="C129" s="8"/>
      <c r="D129" s="8"/>
      <c r="E129" s="8"/>
    </row>
    <row r="130" spans="1:5">
      <c r="A130" s="8"/>
      <c r="B130" s="8"/>
      <c r="C130" s="8"/>
      <c r="D130" s="8"/>
      <c r="E130" s="8"/>
    </row>
    <row r="131" spans="1:5">
      <c r="A131" s="8"/>
      <c r="B131" s="8"/>
      <c r="C131" s="8"/>
      <c r="D131" s="8"/>
      <c r="E131" s="8"/>
    </row>
    <row r="132" spans="1:5">
      <c r="A132" s="8"/>
      <c r="B132" s="8"/>
      <c r="C132" s="8"/>
      <c r="D132" s="8"/>
      <c r="E132" s="8"/>
    </row>
    <row r="133" spans="1:5">
      <c r="A133" s="8"/>
      <c r="B133" s="8"/>
      <c r="C133" s="8"/>
      <c r="D133" s="8"/>
      <c r="E133" s="8"/>
    </row>
    <row r="134" spans="1:5">
      <c r="A134" s="8"/>
      <c r="B134" s="8"/>
      <c r="C134" s="8"/>
      <c r="D134" s="8"/>
      <c r="E134" s="8"/>
    </row>
    <row r="135" spans="1:5">
      <c r="A135" s="8"/>
      <c r="B135" s="8"/>
      <c r="C135" s="8"/>
      <c r="D135" s="8"/>
      <c r="E135" s="8"/>
    </row>
    <row r="136" spans="1:5">
      <c r="A136" s="8"/>
      <c r="B136" s="8"/>
      <c r="C136" s="8"/>
      <c r="D136" s="8"/>
      <c r="E136" s="8"/>
    </row>
    <row r="137" spans="1:5">
      <c r="A137" s="8"/>
      <c r="B137" s="8"/>
      <c r="C137" s="8"/>
      <c r="D137" s="8"/>
      <c r="E137" s="8"/>
    </row>
    <row r="138" spans="1:5">
      <c r="A138" s="8"/>
      <c r="B138" s="8"/>
      <c r="C138" s="8"/>
      <c r="D138" s="8"/>
      <c r="E138" s="8"/>
    </row>
    <row r="139" spans="1:5">
      <c r="A139" s="8"/>
      <c r="B139" s="8"/>
      <c r="C139" s="8"/>
      <c r="D139" s="8"/>
      <c r="E139" s="8"/>
    </row>
    <row r="140" spans="1:5">
      <c r="A140" s="8"/>
      <c r="B140" s="8"/>
      <c r="C140" s="8"/>
      <c r="D140" s="8"/>
      <c r="E140" s="8"/>
    </row>
    <row r="141" spans="1:5">
      <c r="A141" s="8"/>
      <c r="B141" s="8"/>
      <c r="C141" s="8"/>
      <c r="D141" s="8"/>
      <c r="E141" s="8"/>
    </row>
    <row r="142" spans="1:5">
      <c r="A142" s="8"/>
      <c r="B142" s="8"/>
      <c r="C142" s="8"/>
      <c r="D142" s="8"/>
      <c r="E142" s="8"/>
    </row>
    <row r="143" spans="1:5">
      <c r="A143" s="8"/>
      <c r="B143" s="8"/>
      <c r="C143" s="8"/>
      <c r="D143" s="8"/>
      <c r="E143" s="8"/>
    </row>
    <row r="144" spans="1:5">
      <c r="A144" s="8"/>
      <c r="B144" s="8"/>
      <c r="C144" s="8"/>
      <c r="D144" s="8"/>
      <c r="E144" s="8"/>
    </row>
    <row r="145" spans="1:5">
      <c r="A145" s="8"/>
      <c r="B145" s="8"/>
      <c r="C145" s="8"/>
      <c r="D145" s="8"/>
      <c r="E145" s="8"/>
    </row>
    <row r="146" spans="1:5">
      <c r="A146" s="8"/>
      <c r="B146" s="8"/>
      <c r="C146" s="8"/>
      <c r="D146" s="8"/>
      <c r="E146" s="8"/>
    </row>
    <row r="147" spans="1:5">
      <c r="A147" s="8"/>
      <c r="B147" s="8"/>
      <c r="C147" s="8"/>
      <c r="D147" s="8"/>
      <c r="E147" s="8"/>
    </row>
    <row r="148" spans="1:5">
      <c r="A148" s="8"/>
      <c r="B148" s="8"/>
      <c r="C148" s="8"/>
      <c r="D148" s="8"/>
      <c r="E148" s="8"/>
    </row>
    <row r="149" spans="1:5">
      <c r="A149" s="8"/>
      <c r="B149" s="8"/>
      <c r="C149" s="8"/>
      <c r="D149" s="8"/>
      <c r="E149" s="8"/>
    </row>
    <row r="150" spans="1:5">
      <c r="A150" s="8"/>
      <c r="B150" s="8"/>
      <c r="C150" s="8"/>
      <c r="D150" s="8"/>
      <c r="E150" s="8"/>
    </row>
    <row r="151" spans="1:5">
      <c r="A151" s="8"/>
      <c r="B151" s="8"/>
      <c r="C151" s="8"/>
      <c r="D151" s="8"/>
      <c r="E151" s="8"/>
    </row>
    <row r="152" spans="1:5">
      <c r="A152" s="8"/>
      <c r="B152" s="8"/>
      <c r="C152" s="8"/>
      <c r="D152" s="8"/>
      <c r="E152" s="8"/>
    </row>
    <row r="153" spans="1:5">
      <c r="A153" s="8"/>
      <c r="B153" s="8"/>
      <c r="C153" s="8"/>
      <c r="D153" s="8"/>
      <c r="E153" s="8"/>
    </row>
    <row r="154" spans="1:5">
      <c r="A154" s="8"/>
      <c r="B154" s="8"/>
      <c r="C154" s="8"/>
      <c r="D154" s="8"/>
      <c r="E154" s="8"/>
    </row>
    <row r="155" spans="1:5">
      <c r="A155" s="8"/>
      <c r="B155" s="8"/>
      <c r="C155" s="8"/>
      <c r="D155" s="8"/>
      <c r="E155" s="8"/>
    </row>
    <row r="156" spans="1:5">
      <c r="A156" s="8"/>
      <c r="B156" s="8"/>
      <c r="C156" s="8"/>
      <c r="D156" s="8"/>
      <c r="E156" s="8"/>
    </row>
    <row r="157" spans="1:5">
      <c r="A157" s="8"/>
      <c r="B157" s="8"/>
      <c r="C157" s="8"/>
      <c r="D157" s="8"/>
      <c r="E157" s="8"/>
    </row>
    <row r="158" spans="1:5">
      <c r="A158" s="8"/>
      <c r="B158" s="8"/>
      <c r="C158" s="8"/>
      <c r="D158" s="8"/>
      <c r="E158" s="8"/>
    </row>
    <row r="159" spans="1:5">
      <c r="A159" s="8"/>
      <c r="B159" s="8"/>
      <c r="C159" s="8"/>
      <c r="D159" s="8"/>
      <c r="E159" s="8"/>
    </row>
    <row r="160" spans="1:5">
      <c r="A160" s="8"/>
      <c r="B160" s="8"/>
      <c r="C160" s="8"/>
      <c r="D160" s="8"/>
      <c r="E160" s="8"/>
    </row>
    <row r="161" spans="1:5">
      <c r="A161" s="8"/>
      <c r="B161" s="8"/>
      <c r="C161" s="8"/>
      <c r="D161" s="8"/>
      <c r="E161" s="8"/>
    </row>
    <row r="162" spans="1:5">
      <c r="A162" s="8"/>
      <c r="B162" s="8"/>
      <c r="C162" s="8"/>
      <c r="D162" s="8"/>
      <c r="E162" s="8"/>
    </row>
    <row r="163" spans="1:5">
      <c r="A163" s="8"/>
      <c r="B163" s="8"/>
      <c r="C163" s="8"/>
      <c r="D163" s="8"/>
      <c r="E163" s="8"/>
    </row>
    <row r="164" spans="1:5">
      <c r="A164" s="8"/>
      <c r="B164" s="8"/>
      <c r="C164" s="8"/>
      <c r="D164" s="8"/>
      <c r="E164" s="8"/>
    </row>
    <row r="165" spans="1:5">
      <c r="A165" s="8"/>
      <c r="B165" s="8"/>
      <c r="C165" s="8"/>
      <c r="D165" s="8"/>
      <c r="E165" s="8"/>
    </row>
    <row r="166" spans="1:5">
      <c r="A166" s="8"/>
      <c r="B166" s="8"/>
      <c r="C166" s="8"/>
      <c r="D166" s="8"/>
      <c r="E166" s="8"/>
    </row>
    <row r="167" spans="1:5">
      <c r="A167" s="8"/>
      <c r="B167" s="8"/>
      <c r="C167" s="8"/>
      <c r="D167" s="8"/>
      <c r="E167" s="8"/>
    </row>
    <row r="168" spans="1:5">
      <c r="A168" s="8"/>
      <c r="B168" s="8"/>
      <c r="C168" s="8"/>
      <c r="D168" s="8"/>
      <c r="E168" s="8"/>
    </row>
    <row r="169" spans="1:5">
      <c r="A169" s="8"/>
      <c r="B169" s="8"/>
      <c r="C169" s="8"/>
      <c r="D169" s="8"/>
      <c r="E169" s="8"/>
    </row>
    <row r="170" spans="1:5">
      <c r="A170" s="8"/>
      <c r="B170" s="8"/>
      <c r="C170" s="8"/>
      <c r="D170" s="8"/>
      <c r="E170" s="8"/>
    </row>
    <row r="171" spans="1:5">
      <c r="A171" s="8"/>
      <c r="B171" s="8"/>
      <c r="C171" s="8"/>
      <c r="D171" s="8"/>
      <c r="E171" s="8"/>
    </row>
    <row r="172" spans="1:5">
      <c r="A172" s="8"/>
      <c r="B172" s="8"/>
      <c r="C172" s="8"/>
      <c r="D172" s="8"/>
      <c r="E172" s="8"/>
    </row>
    <row r="173" spans="1:5">
      <c r="A173" s="8"/>
      <c r="B173" s="8"/>
      <c r="C173" s="8"/>
      <c r="D173" s="8"/>
      <c r="E173" s="8"/>
    </row>
    <row r="174" spans="1:5">
      <c r="A174" s="8"/>
      <c r="B174" s="8"/>
      <c r="C174" s="8"/>
      <c r="D174" s="8"/>
      <c r="E174" s="8"/>
    </row>
    <row r="175" spans="1:5">
      <c r="A175" s="8"/>
      <c r="B175" s="8"/>
      <c r="C175" s="8"/>
      <c r="D175" s="8"/>
      <c r="E175" s="8"/>
    </row>
    <row r="176" spans="1:5">
      <c r="A176" s="8"/>
      <c r="B176" s="8"/>
      <c r="C176" s="8"/>
      <c r="D176" s="8"/>
      <c r="E176" s="8"/>
    </row>
    <row r="177" spans="1:5">
      <c r="A177" s="8"/>
      <c r="B177" s="8"/>
      <c r="C177" s="8"/>
      <c r="D177" s="8"/>
      <c r="E177" s="8"/>
    </row>
    <row r="178" spans="1:5">
      <c r="A178" s="8"/>
      <c r="B178" s="8"/>
      <c r="C178" s="8"/>
      <c r="D178" s="8"/>
      <c r="E178" s="8"/>
    </row>
    <row r="179" spans="1:5">
      <c r="A179" s="8"/>
      <c r="B179" s="8"/>
      <c r="C179" s="8"/>
      <c r="D179" s="8"/>
      <c r="E179" s="8"/>
    </row>
    <row r="180" spans="1:5">
      <c r="A180" s="8"/>
      <c r="B180" s="8"/>
      <c r="C180" s="8"/>
      <c r="D180" s="8"/>
      <c r="E180" s="8"/>
    </row>
    <row r="181" spans="1:5">
      <c r="A181" s="8"/>
      <c r="B181" s="8"/>
      <c r="C181" s="8"/>
      <c r="D181" s="8"/>
      <c r="E181" s="8"/>
    </row>
    <row r="182" spans="1:5">
      <c r="A182" s="8"/>
      <c r="B182" s="8"/>
      <c r="C182" s="8"/>
      <c r="D182" s="8"/>
      <c r="E182" s="8"/>
    </row>
    <row r="183" spans="1:5">
      <c r="A183" s="8"/>
      <c r="B183" s="8"/>
      <c r="C183" s="8"/>
      <c r="D183" s="8"/>
      <c r="E183" s="8"/>
    </row>
    <row r="184" spans="1:5">
      <c r="A184" s="8"/>
      <c r="B184" s="8"/>
      <c r="C184" s="8"/>
      <c r="D184" s="8"/>
      <c r="E184" s="8"/>
    </row>
    <row r="185" spans="1:5">
      <c r="A185" s="8"/>
      <c r="B185" s="8"/>
      <c r="C185" s="8"/>
      <c r="D185" s="8"/>
      <c r="E185" s="8"/>
    </row>
    <row r="186" spans="1:5">
      <c r="A186" s="8"/>
      <c r="B186" s="8"/>
      <c r="C186" s="8"/>
      <c r="D186" s="8"/>
      <c r="E186" s="8"/>
    </row>
    <row r="187" spans="1:5">
      <c r="A187" s="8"/>
      <c r="B187" s="8"/>
      <c r="C187" s="8"/>
      <c r="D187" s="8"/>
      <c r="E187" s="8"/>
    </row>
    <row r="188" spans="1:5">
      <c r="A188" s="8"/>
      <c r="B188" s="8"/>
      <c r="C188" s="8"/>
      <c r="D188" s="8"/>
      <c r="E188" s="8"/>
    </row>
    <row r="189" spans="1:5">
      <c r="A189" s="8"/>
      <c r="B189" s="8"/>
      <c r="C189" s="8"/>
      <c r="D189" s="8"/>
      <c r="E189" s="8"/>
    </row>
    <row r="190" spans="1:5">
      <c r="A190" s="8"/>
      <c r="B190" s="8"/>
      <c r="C190" s="8"/>
      <c r="D190" s="8"/>
      <c r="E190" s="8"/>
    </row>
    <row r="191" spans="1:5">
      <c r="A191" s="8"/>
      <c r="B191" s="8"/>
      <c r="C191" s="8"/>
      <c r="D191" s="8"/>
      <c r="E191" s="8"/>
    </row>
    <row r="192" spans="1:5">
      <c r="A192" s="8"/>
      <c r="B192" s="8"/>
      <c r="C192" s="8"/>
      <c r="D192" s="8"/>
      <c r="E192" s="8"/>
    </row>
    <row r="193" spans="1:5">
      <c r="A193" s="8"/>
      <c r="B193" s="8"/>
      <c r="C193" s="8"/>
      <c r="D193" s="8"/>
      <c r="E193" s="8"/>
    </row>
    <row r="194" spans="1:5">
      <c r="A194" s="8"/>
      <c r="B194" s="8"/>
      <c r="C194" s="8"/>
      <c r="D194" s="8"/>
      <c r="E194" s="8"/>
    </row>
    <row r="195" spans="1:5">
      <c r="A195" s="8"/>
      <c r="B195" s="8"/>
      <c r="C195" s="8"/>
      <c r="D195" s="8"/>
      <c r="E195" s="8"/>
    </row>
    <row r="196" spans="1:5">
      <c r="A196" s="8"/>
      <c r="B196" s="8"/>
      <c r="C196" s="8"/>
      <c r="D196" s="8"/>
      <c r="E196" s="8"/>
    </row>
    <row r="197" spans="1:5">
      <c r="A197" s="8"/>
      <c r="B197" s="8"/>
      <c r="C197" s="8"/>
      <c r="D197" s="8"/>
      <c r="E197" s="8"/>
    </row>
    <row r="198" spans="1:5">
      <c r="A198" s="8"/>
      <c r="B198" s="8"/>
      <c r="C198" s="8"/>
      <c r="D198" s="8"/>
      <c r="E198" s="8"/>
    </row>
    <row r="199" spans="1:5">
      <c r="A199" s="8"/>
      <c r="B199" s="8"/>
      <c r="C199" s="8"/>
      <c r="D199" s="8"/>
      <c r="E199" s="8"/>
    </row>
    <row r="200" spans="1:5">
      <c r="A200" s="8"/>
      <c r="B200" s="8"/>
      <c r="C200" s="8"/>
      <c r="D200" s="8"/>
      <c r="E200" s="8"/>
    </row>
    <row r="201" spans="1:5">
      <c r="A201" s="8"/>
      <c r="B201" s="8"/>
      <c r="C201" s="8"/>
      <c r="D201" s="8"/>
      <c r="E201" s="8"/>
    </row>
    <row r="202" spans="1:5">
      <c r="A202" s="8"/>
      <c r="B202" s="8"/>
      <c r="C202" s="8"/>
      <c r="D202" s="8"/>
      <c r="E202" s="8"/>
    </row>
    <row r="203" spans="1:5">
      <c r="A203" s="8"/>
      <c r="B203" s="8"/>
      <c r="C203" s="8"/>
      <c r="D203" s="8"/>
      <c r="E203" s="8"/>
    </row>
    <row r="204" spans="1:5">
      <c r="A204" s="8"/>
      <c r="B204" s="8"/>
      <c r="C204" s="8"/>
      <c r="D204" s="8"/>
      <c r="E204" s="8"/>
    </row>
    <row r="205" spans="1:5">
      <c r="A205" s="8"/>
      <c r="B205" s="8"/>
      <c r="C205" s="8"/>
      <c r="D205" s="8"/>
      <c r="E205" s="8"/>
    </row>
    <row r="206" spans="1:5">
      <c r="A206" s="8"/>
      <c r="B206" s="8"/>
      <c r="C206" s="8"/>
      <c r="D206" s="8"/>
      <c r="E206" s="8"/>
    </row>
    <row r="207" spans="1:5">
      <c r="A207" s="8"/>
      <c r="B207" s="8"/>
      <c r="C207" s="8"/>
      <c r="D207" s="8"/>
      <c r="E207" s="8"/>
    </row>
    <row r="208" spans="1:5">
      <c r="A208" s="8"/>
      <c r="B208" s="8"/>
      <c r="C208" s="8"/>
      <c r="D208" s="8"/>
      <c r="E208" s="8"/>
    </row>
    <row r="209" spans="1:5">
      <c r="A209" s="8"/>
      <c r="B209" s="8"/>
      <c r="C209" s="8"/>
      <c r="D209" s="8"/>
      <c r="E209" s="8"/>
    </row>
    <row r="210" spans="1:5">
      <c r="A210" s="8"/>
      <c r="B210" s="8"/>
      <c r="C210" s="8"/>
      <c r="D210" s="8"/>
      <c r="E210" s="8"/>
    </row>
    <row r="211" spans="1:5">
      <c r="A211" s="8"/>
      <c r="B211" s="8"/>
      <c r="C211" s="8"/>
      <c r="D211" s="8"/>
      <c r="E211" s="8"/>
    </row>
    <row r="212" spans="1:5">
      <c r="A212" s="8"/>
      <c r="B212" s="8"/>
      <c r="C212" s="8"/>
      <c r="D212" s="8"/>
      <c r="E212" s="8"/>
    </row>
    <row r="213" spans="1:5">
      <c r="A213" s="8"/>
      <c r="B213" s="8"/>
      <c r="C213" s="8"/>
      <c r="D213" s="8"/>
      <c r="E213" s="8"/>
    </row>
    <row r="214" spans="1:5">
      <c r="A214" s="8"/>
      <c r="B214" s="8"/>
      <c r="C214" s="8"/>
      <c r="D214" s="8"/>
      <c r="E214" s="8"/>
    </row>
    <row r="215" spans="1:5">
      <c r="A215" s="8"/>
      <c r="B215" s="8"/>
      <c r="C215" s="8"/>
      <c r="D215" s="8"/>
      <c r="E215" s="8"/>
    </row>
    <row r="216" spans="1:5">
      <c r="A216" s="8"/>
      <c r="B216" s="8"/>
      <c r="C216" s="8"/>
      <c r="D216" s="8"/>
      <c r="E216" s="8"/>
    </row>
    <row r="217" spans="1:5">
      <c r="A217" s="8"/>
      <c r="B217" s="8"/>
      <c r="C217" s="8"/>
      <c r="D217" s="8"/>
      <c r="E217" s="8"/>
    </row>
    <row r="218" spans="1:5">
      <c r="A218" s="8"/>
      <c r="B218" s="8"/>
      <c r="C218" s="8"/>
      <c r="D218" s="8"/>
      <c r="E218" s="8"/>
    </row>
    <row r="219" spans="1:5">
      <c r="A219" s="8"/>
      <c r="B219" s="8"/>
      <c r="C219" s="8"/>
      <c r="D219" s="8"/>
      <c r="E219" s="8"/>
    </row>
    <row r="220" spans="1:5">
      <c r="A220" s="8"/>
      <c r="B220" s="8"/>
      <c r="C220" s="8"/>
      <c r="D220" s="8"/>
      <c r="E220" s="8"/>
    </row>
    <row r="221" spans="1:5">
      <c r="A221" s="8"/>
      <c r="B221" s="8"/>
      <c r="C221" s="8"/>
      <c r="D221" s="8"/>
      <c r="E221" s="8"/>
    </row>
    <row r="222" spans="1:5">
      <c r="A222" s="8"/>
      <c r="B222" s="8"/>
      <c r="C222" s="8"/>
      <c r="D222" s="8"/>
      <c r="E222" s="8"/>
    </row>
    <row r="223" spans="1:5">
      <c r="A223" s="8"/>
      <c r="B223" s="8"/>
      <c r="C223" s="8"/>
      <c r="D223" s="8"/>
      <c r="E223" s="8"/>
    </row>
    <row r="224" spans="1:5">
      <c r="A224" s="8"/>
      <c r="B224" s="8"/>
      <c r="C224" s="8"/>
      <c r="D224" s="8"/>
      <c r="E224" s="8"/>
    </row>
    <row r="225" spans="1:5">
      <c r="A225" s="8"/>
      <c r="B225" s="8"/>
      <c r="C225" s="8"/>
      <c r="D225" s="8"/>
      <c r="E225" s="8"/>
    </row>
    <row r="226" spans="1:5">
      <c r="A226" s="8"/>
      <c r="B226" s="8"/>
      <c r="C226" s="8"/>
      <c r="D226" s="8"/>
      <c r="E226" s="8"/>
    </row>
    <row r="227" spans="1:5">
      <c r="A227" s="8"/>
      <c r="B227" s="8"/>
      <c r="C227" s="8"/>
      <c r="D227" s="8"/>
      <c r="E227" s="8"/>
    </row>
    <row r="228" spans="1:5">
      <c r="A228" s="8"/>
      <c r="B228" s="8"/>
      <c r="C228" s="8"/>
      <c r="D228" s="8"/>
      <c r="E228" s="8"/>
    </row>
    <row r="229" spans="1:5">
      <c r="A229" s="8"/>
      <c r="B229" s="8"/>
      <c r="C229" s="8"/>
      <c r="D229" s="8"/>
      <c r="E229" s="8"/>
    </row>
    <row r="230" spans="1:5">
      <c r="A230" s="8"/>
      <c r="B230" s="8"/>
      <c r="C230" s="8"/>
      <c r="D230" s="8"/>
      <c r="E230" s="8"/>
    </row>
    <row r="231" spans="1:5">
      <c r="A231" s="8"/>
      <c r="B231" s="8"/>
      <c r="C231" s="8"/>
      <c r="D231" s="8"/>
      <c r="E231" s="8"/>
    </row>
    <row r="232" spans="1:5">
      <c r="A232" s="8"/>
      <c r="B232" s="8"/>
      <c r="C232" s="8"/>
      <c r="D232" s="8"/>
      <c r="E232" s="8"/>
    </row>
    <row r="233" spans="1:5">
      <c r="A233" s="8"/>
      <c r="B233" s="8"/>
      <c r="C233" s="8"/>
      <c r="D233" s="8"/>
      <c r="E233" s="8"/>
    </row>
    <row r="234" spans="1:5">
      <c r="A234" s="8"/>
      <c r="B234" s="8"/>
      <c r="C234" s="8"/>
      <c r="D234" s="8"/>
      <c r="E234" s="8"/>
    </row>
    <row r="235" spans="1:5">
      <c r="A235" s="8"/>
      <c r="B235" s="8"/>
      <c r="C235" s="8"/>
      <c r="D235" s="8"/>
      <c r="E235" s="8"/>
    </row>
    <row r="236" spans="1:5">
      <c r="A236" s="8"/>
      <c r="B236" s="8"/>
      <c r="C236" s="8"/>
      <c r="D236" s="8"/>
      <c r="E236" s="8"/>
    </row>
    <row r="237" spans="1:5">
      <c r="A237" s="8"/>
      <c r="B237" s="8"/>
      <c r="C237" s="8"/>
      <c r="D237" s="8"/>
      <c r="E237" s="8"/>
    </row>
    <row r="238" spans="1:5">
      <c r="A238" s="8"/>
      <c r="B238" s="8"/>
      <c r="C238" s="8"/>
      <c r="D238" s="8"/>
      <c r="E238" s="8"/>
    </row>
    <row r="239" spans="1:5">
      <c r="A239" s="8"/>
      <c r="B239" s="8"/>
      <c r="C239" s="8"/>
      <c r="D239" s="8"/>
      <c r="E239" s="8"/>
    </row>
    <row r="240" spans="1:5">
      <c r="A240" s="8"/>
      <c r="B240" s="8"/>
      <c r="C240" s="8"/>
      <c r="D240" s="8"/>
      <c r="E240" s="8"/>
    </row>
    <row r="241" spans="1:5">
      <c r="A241" s="8"/>
      <c r="B241" s="8"/>
      <c r="C241" s="8"/>
      <c r="D241" s="8"/>
      <c r="E241" s="8"/>
    </row>
    <row r="242" spans="1:5">
      <c r="A242" s="8"/>
      <c r="B242" s="8"/>
      <c r="C242" s="8"/>
      <c r="D242" s="8"/>
      <c r="E242" s="8"/>
    </row>
    <row r="243" spans="1:5">
      <c r="A243" s="8"/>
      <c r="B243" s="8"/>
      <c r="C243" s="8"/>
      <c r="D243" s="8"/>
      <c r="E243" s="8"/>
    </row>
    <row r="244" spans="1:5">
      <c r="A244" s="8"/>
      <c r="B244" s="8"/>
      <c r="C244" s="8"/>
      <c r="D244" s="8"/>
      <c r="E244" s="8"/>
    </row>
    <row r="245" spans="1:5">
      <c r="A245" s="8"/>
      <c r="B245" s="8"/>
      <c r="C245" s="8"/>
      <c r="D245" s="8"/>
      <c r="E245" s="8"/>
    </row>
    <row r="246" spans="1:5">
      <c r="A246" s="8"/>
      <c r="B246" s="8"/>
      <c r="C246" s="8"/>
      <c r="D246" s="8"/>
      <c r="E246" s="8"/>
    </row>
    <row r="247" spans="1:5">
      <c r="A247" s="8"/>
      <c r="B247" s="8"/>
      <c r="C247" s="8"/>
      <c r="D247" s="8"/>
      <c r="E247" s="8"/>
    </row>
    <row r="248" spans="1:5">
      <c r="A248" s="8"/>
      <c r="B248" s="8"/>
      <c r="C248" s="8"/>
      <c r="D248" s="8"/>
      <c r="E248" s="8"/>
    </row>
    <row r="249" spans="1:5">
      <c r="A249" s="8"/>
      <c r="B249" s="8"/>
      <c r="C249" s="8"/>
      <c r="D249" s="8"/>
      <c r="E249" s="8"/>
    </row>
    <row r="250" spans="1:5">
      <c r="A250" s="8"/>
      <c r="B250" s="8"/>
      <c r="C250" s="8"/>
      <c r="D250" s="8"/>
      <c r="E250" s="8"/>
    </row>
    <row r="251" spans="1:5">
      <c r="A251" s="8"/>
      <c r="B251" s="8"/>
      <c r="C251" s="8"/>
      <c r="D251" s="8"/>
      <c r="E251" s="8"/>
    </row>
    <row r="252" spans="1:5">
      <c r="A252" s="8"/>
      <c r="B252" s="8"/>
      <c r="C252" s="8"/>
      <c r="D252" s="8"/>
      <c r="E252" s="8"/>
    </row>
    <row r="253" spans="1:5">
      <c r="A253" s="8"/>
      <c r="B253" s="8"/>
      <c r="C253" s="8"/>
      <c r="D253" s="8"/>
      <c r="E253" s="8"/>
    </row>
    <row r="254" spans="1:5">
      <c r="A254" s="8"/>
      <c r="B254" s="8"/>
      <c r="C254" s="8"/>
      <c r="D254" s="8"/>
      <c r="E254" s="8"/>
    </row>
    <row r="255" spans="1:5">
      <c r="A255" s="8"/>
      <c r="B255" s="8"/>
      <c r="C255" s="8"/>
      <c r="D255" s="8"/>
      <c r="E255" s="8"/>
    </row>
    <row r="256" spans="1:5">
      <c r="A256" s="8"/>
      <c r="B256" s="8"/>
      <c r="C256" s="8"/>
      <c r="D256" s="8"/>
      <c r="E256" s="8"/>
    </row>
    <row r="257" spans="1:5">
      <c r="A257" s="8"/>
      <c r="B257" s="8"/>
      <c r="C257" s="8"/>
      <c r="D257" s="8"/>
      <c r="E257" s="8"/>
    </row>
    <row r="258" spans="1:5">
      <c r="A258" s="8"/>
      <c r="B258" s="8"/>
      <c r="C258" s="8"/>
      <c r="D258" s="8"/>
      <c r="E258" s="8"/>
    </row>
    <row r="259" spans="1:5">
      <c r="A259" s="8"/>
      <c r="B259" s="8"/>
      <c r="C259" s="8"/>
      <c r="D259" s="8"/>
      <c r="E259" s="8"/>
    </row>
    <row r="260" spans="1:5">
      <c r="A260" s="8"/>
      <c r="B260" s="8"/>
      <c r="C260" s="8"/>
      <c r="D260" s="8"/>
      <c r="E260" s="8"/>
    </row>
    <row r="261" spans="1:5">
      <c r="A261" s="8"/>
      <c r="B261" s="8"/>
      <c r="C261" s="8"/>
      <c r="D261" s="8"/>
      <c r="E261" s="8"/>
    </row>
    <row r="262" spans="1:5">
      <c r="A262" s="8"/>
      <c r="B262" s="8"/>
      <c r="C262" s="8"/>
      <c r="D262" s="8"/>
      <c r="E262" s="8"/>
    </row>
    <row r="263" spans="1:5">
      <c r="A263" s="8"/>
      <c r="B263" s="8"/>
      <c r="C263" s="8"/>
      <c r="D263" s="8"/>
      <c r="E263" s="8"/>
    </row>
    <row r="264" spans="1:5">
      <c r="A264" s="8"/>
      <c r="B264" s="8"/>
      <c r="C264" s="8"/>
      <c r="D264" s="8"/>
      <c r="E264" s="8"/>
    </row>
    <row r="265" spans="1:5">
      <c r="A265" s="8"/>
      <c r="B265" s="8"/>
      <c r="C265" s="8"/>
      <c r="D265" s="8"/>
      <c r="E265" s="8"/>
    </row>
    <row r="266" spans="1:5">
      <c r="A266" s="8"/>
      <c r="B266" s="8"/>
      <c r="C266" s="8"/>
      <c r="D266" s="8"/>
      <c r="E266" s="8"/>
    </row>
    <row r="267" spans="1:5">
      <c r="A267" s="8"/>
      <c r="B267" s="8"/>
      <c r="C267" s="8"/>
      <c r="D267" s="8"/>
      <c r="E267" s="8"/>
    </row>
    <row r="268" spans="1:5">
      <c r="A268" s="8"/>
      <c r="B268" s="8"/>
      <c r="C268" s="8"/>
      <c r="D268" s="8"/>
      <c r="E268" s="8"/>
    </row>
    <row r="269" spans="1:5">
      <c r="A269" s="8"/>
      <c r="B269" s="8"/>
      <c r="C269" s="8"/>
      <c r="D269" s="8"/>
      <c r="E269" s="8"/>
    </row>
    <row r="270" spans="1:5">
      <c r="A270" s="8"/>
      <c r="B270" s="8"/>
      <c r="C270" s="8"/>
      <c r="D270" s="8"/>
      <c r="E270" s="8"/>
    </row>
    <row r="271" spans="1:5">
      <c r="A271" s="8"/>
      <c r="B271" s="8"/>
      <c r="C271" s="8"/>
      <c r="D271" s="8"/>
      <c r="E271" s="8"/>
    </row>
    <row r="272" spans="1:5">
      <c r="A272" s="8"/>
      <c r="B272" s="8"/>
      <c r="C272" s="8"/>
      <c r="D272" s="8"/>
      <c r="E272" s="8"/>
    </row>
    <row r="273" spans="1:5">
      <c r="A273" s="8"/>
      <c r="B273" s="8"/>
      <c r="C273" s="8"/>
      <c r="D273" s="8"/>
      <c r="E273" s="8"/>
    </row>
    <row r="274" spans="1:5">
      <c r="A274" s="8"/>
      <c r="B274" s="8"/>
      <c r="C274" s="8"/>
      <c r="D274" s="8"/>
      <c r="E274" s="8"/>
    </row>
    <row r="275" spans="1:5">
      <c r="A275" s="8"/>
      <c r="B275" s="8"/>
      <c r="C275" s="8"/>
      <c r="D275" s="8"/>
      <c r="E275" s="8"/>
    </row>
    <row r="276" spans="1:5">
      <c r="A276" s="8"/>
      <c r="B276" s="8"/>
      <c r="C276" s="8"/>
      <c r="D276" s="8"/>
      <c r="E276" s="8"/>
    </row>
    <row r="277" spans="1:5">
      <c r="A277" s="8"/>
      <c r="B277" s="8"/>
      <c r="C277" s="8"/>
      <c r="D277" s="8"/>
      <c r="E277" s="8"/>
    </row>
    <row r="278" spans="1:5">
      <c r="A278" s="8"/>
      <c r="B278" s="8"/>
      <c r="C278" s="8"/>
      <c r="D278" s="8"/>
      <c r="E278" s="8"/>
    </row>
    <row r="279" spans="1:5">
      <c r="A279" s="8"/>
      <c r="B279" s="8"/>
      <c r="C279" s="8"/>
      <c r="D279" s="8"/>
      <c r="E279" s="8"/>
    </row>
    <row r="280" spans="1:5">
      <c r="A280" s="8"/>
      <c r="B280" s="8"/>
      <c r="C280" s="8"/>
      <c r="D280" s="8"/>
      <c r="E280" s="8"/>
    </row>
    <row r="281" spans="1:5">
      <c r="A281" s="8"/>
      <c r="B281" s="8"/>
      <c r="C281" s="8"/>
      <c r="D281" s="8"/>
      <c r="E281" s="8"/>
    </row>
    <row r="282" spans="1:5">
      <c r="A282" s="8"/>
      <c r="B282" s="8"/>
      <c r="C282" s="8"/>
      <c r="D282" s="8"/>
      <c r="E282" s="8"/>
    </row>
    <row r="283" spans="1:5">
      <c r="A283" s="8"/>
      <c r="B283" s="8"/>
      <c r="C283" s="8"/>
      <c r="D283" s="8"/>
      <c r="E283" s="8"/>
    </row>
    <row r="284" spans="1:5">
      <c r="A284" s="8"/>
      <c r="B284" s="8"/>
      <c r="C284" s="8"/>
      <c r="D284" s="8"/>
      <c r="E284" s="8"/>
    </row>
    <row r="285" spans="1:5">
      <c r="A285" s="8"/>
      <c r="B285" s="8"/>
      <c r="C285" s="8"/>
      <c r="D285" s="8"/>
      <c r="E285" s="8"/>
    </row>
    <row r="286" spans="1:5">
      <c r="A286" s="8"/>
      <c r="B286" s="8"/>
      <c r="C286" s="8"/>
      <c r="D286" s="8"/>
      <c r="E286" s="8"/>
    </row>
    <row r="287" spans="1:5">
      <c r="A287" s="8"/>
      <c r="B287" s="8"/>
      <c r="C287" s="8"/>
      <c r="D287" s="8"/>
      <c r="E287" s="8"/>
    </row>
    <row r="288" spans="1:5">
      <c r="A288" s="8"/>
      <c r="B288" s="8"/>
      <c r="C288" s="8"/>
      <c r="D288" s="8"/>
      <c r="E288" s="8"/>
    </row>
    <row r="289" spans="1:5">
      <c r="A289" s="8"/>
      <c r="B289" s="8"/>
      <c r="C289" s="8"/>
      <c r="D289" s="8"/>
      <c r="E289" s="8"/>
    </row>
    <row r="290" spans="1:5">
      <c r="A290" s="8"/>
      <c r="B290" s="8"/>
      <c r="C290" s="8"/>
      <c r="D290" s="8"/>
      <c r="E290" s="8"/>
    </row>
    <row r="291" spans="1:5">
      <c r="A291" s="8"/>
      <c r="B291" s="8"/>
      <c r="C291" s="8"/>
      <c r="D291" s="8"/>
      <c r="E291" s="8"/>
    </row>
    <row r="292" spans="1:5">
      <c r="A292" s="8"/>
      <c r="B292" s="8"/>
      <c r="C292" s="8"/>
      <c r="D292" s="8"/>
      <c r="E292" s="8"/>
    </row>
    <row r="293" spans="1:5">
      <c r="A293" s="8"/>
      <c r="B293" s="8"/>
      <c r="C293" s="8"/>
      <c r="D293" s="8"/>
      <c r="E293" s="8"/>
    </row>
    <row r="294" spans="1:5">
      <c r="A294" s="8"/>
      <c r="B294" s="8"/>
      <c r="C294" s="8"/>
      <c r="D294" s="8"/>
      <c r="E294" s="8"/>
    </row>
    <row r="295" spans="1:5">
      <c r="A295" s="8"/>
      <c r="B295" s="8"/>
      <c r="C295" s="8"/>
      <c r="D295" s="8"/>
      <c r="E295" s="8"/>
    </row>
    <row r="296" spans="1:5">
      <c r="A296" s="8"/>
      <c r="B296" s="8"/>
      <c r="C296" s="8"/>
      <c r="D296" s="8"/>
      <c r="E296" s="8"/>
    </row>
    <row r="297" spans="1:5">
      <c r="A297" s="8"/>
      <c r="B297" s="8"/>
      <c r="C297" s="8"/>
      <c r="D297" s="8"/>
      <c r="E297" s="8"/>
    </row>
    <row r="298" spans="1:5">
      <c r="A298" s="8"/>
      <c r="B298" s="8"/>
      <c r="C298" s="8"/>
      <c r="D298" s="8"/>
      <c r="E298" s="8"/>
    </row>
    <row r="299" spans="1:5">
      <c r="A299" s="8"/>
      <c r="B299" s="8"/>
      <c r="C299" s="8"/>
      <c r="D299" s="8"/>
      <c r="E299" s="8"/>
    </row>
    <row r="300" spans="1:5">
      <c r="A300" s="8"/>
      <c r="B300" s="8"/>
      <c r="C300" s="8"/>
      <c r="D300" s="8"/>
      <c r="E300" s="8"/>
    </row>
    <row r="301" spans="1:5">
      <c r="A301" s="8"/>
      <c r="B301" s="8"/>
      <c r="C301" s="8"/>
      <c r="D301" s="8"/>
      <c r="E301" s="8"/>
    </row>
    <row r="302" spans="1:5">
      <c r="A302" s="8"/>
      <c r="B302" s="8"/>
      <c r="C302" s="8"/>
      <c r="D302" s="8"/>
      <c r="E302" s="8"/>
    </row>
    <row r="303" spans="1:5">
      <c r="A303" s="8"/>
      <c r="B303" s="8"/>
      <c r="C303" s="8"/>
      <c r="D303" s="8"/>
      <c r="E303" s="8"/>
    </row>
    <row r="304" spans="1:5">
      <c r="A304" s="8"/>
      <c r="B304" s="8"/>
      <c r="C304" s="8"/>
      <c r="D304" s="8"/>
      <c r="E304" s="8"/>
    </row>
    <row r="305" spans="1:5">
      <c r="A305" s="8"/>
      <c r="B305" s="8"/>
      <c r="C305" s="8"/>
      <c r="D305" s="8"/>
      <c r="E305" s="8"/>
    </row>
    <row r="306" spans="1:5">
      <c r="A306" s="8"/>
      <c r="B306" s="8"/>
      <c r="C306" s="8"/>
      <c r="D306" s="8"/>
      <c r="E306" s="8"/>
    </row>
    <row r="307" spans="1:5">
      <c r="A307" s="8"/>
      <c r="B307" s="8"/>
      <c r="C307" s="8"/>
      <c r="D307" s="8"/>
      <c r="E307" s="8"/>
    </row>
    <row r="308" spans="1:5">
      <c r="A308" s="8"/>
      <c r="B308" s="8"/>
      <c r="C308" s="8"/>
      <c r="D308" s="8"/>
      <c r="E308" s="8"/>
    </row>
    <row r="309" spans="1:5">
      <c r="A309" s="8"/>
      <c r="B309" s="8"/>
      <c r="C309" s="8"/>
      <c r="D309" s="8"/>
      <c r="E309" s="8"/>
    </row>
    <row r="310" spans="1:5">
      <c r="A310" s="8"/>
      <c r="B310" s="8"/>
      <c r="C310" s="8"/>
      <c r="D310" s="8"/>
      <c r="E310" s="8"/>
    </row>
    <row r="311" spans="1:5">
      <c r="A311" s="8"/>
      <c r="B311" s="8"/>
      <c r="C311" s="8"/>
      <c r="D311" s="8"/>
      <c r="E311" s="8"/>
    </row>
    <row r="312" spans="1:5">
      <c r="A312" s="8"/>
      <c r="B312" s="8"/>
      <c r="C312" s="8"/>
      <c r="D312" s="8"/>
      <c r="E312" s="8"/>
    </row>
    <row r="313" spans="1:5">
      <c r="A313" s="8"/>
      <c r="B313" s="8"/>
      <c r="C313" s="8"/>
      <c r="D313" s="8"/>
      <c r="E313" s="8"/>
    </row>
    <row r="314" spans="1:5">
      <c r="A314" s="8"/>
      <c r="B314" s="8"/>
      <c r="C314" s="8"/>
      <c r="D314" s="8"/>
      <c r="E314" s="8"/>
    </row>
    <row r="315" spans="1:5">
      <c r="A315" s="8"/>
      <c r="B315" s="8"/>
      <c r="C315" s="8"/>
      <c r="D315" s="8"/>
      <c r="E315" s="8"/>
    </row>
    <row r="316" spans="1:5">
      <c r="A316" s="8"/>
      <c r="B316" s="8"/>
      <c r="C316" s="8"/>
      <c r="D316" s="8"/>
      <c r="E316" s="8"/>
    </row>
    <row r="317" spans="1:5">
      <c r="A317" s="8"/>
      <c r="B317" s="8"/>
      <c r="C317" s="8"/>
      <c r="D317" s="8"/>
      <c r="E317" s="8"/>
    </row>
    <row r="318" spans="1:5">
      <c r="A318" s="8"/>
      <c r="B318" s="8"/>
      <c r="C318" s="8"/>
      <c r="D318" s="8"/>
      <c r="E318" s="8"/>
    </row>
    <row r="319" spans="1:5">
      <c r="A319" s="8"/>
      <c r="B319" s="8"/>
      <c r="C319" s="8"/>
      <c r="D319" s="8"/>
      <c r="E319" s="8"/>
    </row>
    <row r="320" spans="1:5">
      <c r="A320" s="8"/>
      <c r="B320" s="8"/>
      <c r="C320" s="8"/>
      <c r="D320" s="8"/>
      <c r="E320" s="8"/>
    </row>
    <row r="321" spans="1:5">
      <c r="A321" s="8"/>
      <c r="B321" s="8"/>
      <c r="C321" s="8"/>
      <c r="D321" s="8"/>
      <c r="E321" s="8"/>
    </row>
    <row r="322" spans="1:5">
      <c r="A322" s="8"/>
      <c r="B322" s="8"/>
      <c r="C322" s="8"/>
      <c r="D322" s="8"/>
      <c r="E322" s="8"/>
    </row>
    <row r="323" spans="1:5">
      <c r="A323" s="8"/>
      <c r="B323" s="8"/>
      <c r="C323" s="8"/>
      <c r="D323" s="8"/>
      <c r="E323" s="8"/>
    </row>
    <row r="324" spans="1:5">
      <c r="A324" s="8"/>
      <c r="B324" s="8"/>
      <c r="C324" s="8"/>
      <c r="D324" s="8"/>
      <c r="E324" s="8"/>
    </row>
    <row r="325" spans="1:5">
      <c r="A325" s="8"/>
      <c r="B325" s="8"/>
      <c r="C325" s="8"/>
      <c r="D325" s="8"/>
      <c r="E325" s="8"/>
    </row>
    <row r="326" spans="1:5">
      <c r="A326" s="8"/>
      <c r="B326" s="8"/>
      <c r="C326" s="8"/>
      <c r="D326" s="8"/>
      <c r="E326" s="8"/>
    </row>
    <row r="327" spans="1:5">
      <c r="A327" s="8"/>
      <c r="B327" s="8"/>
      <c r="C327" s="8"/>
      <c r="D327" s="8"/>
      <c r="E327" s="8"/>
    </row>
    <row r="328" spans="1:5">
      <c r="A328" s="8"/>
      <c r="B328" s="8"/>
      <c r="C328" s="8"/>
      <c r="D328" s="8"/>
      <c r="E328" s="8"/>
    </row>
    <row r="329" spans="1:5">
      <c r="A329" s="8"/>
      <c r="B329" s="8"/>
      <c r="C329" s="8"/>
      <c r="D329" s="8"/>
      <c r="E329" s="8"/>
    </row>
    <row r="330" spans="1:5">
      <c r="A330" s="8"/>
      <c r="B330" s="8"/>
      <c r="C330" s="8"/>
      <c r="D330" s="8"/>
      <c r="E330" s="8"/>
    </row>
    <row r="331" spans="1:5">
      <c r="A331" s="8"/>
      <c r="B331" s="8"/>
      <c r="C331" s="8"/>
      <c r="D331" s="8"/>
      <c r="E331" s="8"/>
    </row>
    <row r="332" spans="1:5">
      <c r="A332" s="8"/>
      <c r="B332" s="8"/>
      <c r="C332" s="8"/>
      <c r="D332" s="8"/>
      <c r="E332" s="8"/>
    </row>
    <row r="333" spans="1:5">
      <c r="A333" s="8"/>
      <c r="B333" s="8"/>
      <c r="C333" s="8"/>
      <c r="D333" s="8"/>
      <c r="E333" s="8"/>
    </row>
    <row r="334" spans="1:5">
      <c r="A334" s="8"/>
      <c r="B334" s="8"/>
      <c r="C334" s="8"/>
      <c r="D334" s="8"/>
      <c r="E334" s="8"/>
    </row>
    <row r="335" spans="1:5">
      <c r="A335" s="8"/>
      <c r="B335" s="8"/>
      <c r="C335" s="8"/>
      <c r="D335" s="8"/>
      <c r="E335" s="8"/>
    </row>
    <row r="336" spans="1:5">
      <c r="A336" s="8"/>
      <c r="B336" s="8"/>
      <c r="C336" s="8"/>
      <c r="D336" s="8"/>
      <c r="E336" s="8"/>
    </row>
    <row r="337" spans="1:5">
      <c r="A337" s="8"/>
      <c r="B337" s="8"/>
      <c r="C337" s="8"/>
      <c r="D337" s="8"/>
      <c r="E337" s="8"/>
    </row>
    <row r="338" spans="1:5">
      <c r="A338" s="8"/>
      <c r="B338" s="8"/>
      <c r="C338" s="8"/>
      <c r="D338" s="8"/>
      <c r="E338" s="8"/>
    </row>
    <row r="339" spans="1:5">
      <c r="A339" s="8"/>
      <c r="B339" s="8"/>
      <c r="C339" s="8"/>
      <c r="D339" s="8"/>
      <c r="E339" s="8"/>
    </row>
    <row r="340" spans="1:5">
      <c r="A340" s="8"/>
      <c r="B340" s="8"/>
      <c r="C340" s="8"/>
      <c r="D340" s="8"/>
      <c r="E340" s="8"/>
    </row>
    <row r="341" spans="1:5">
      <c r="A341" s="8"/>
      <c r="B341" s="8"/>
      <c r="C341" s="8"/>
      <c r="D341" s="8"/>
      <c r="E341" s="8"/>
    </row>
    <row r="342" spans="1:5">
      <c r="A342" s="8"/>
      <c r="B342" s="8"/>
      <c r="C342" s="8"/>
      <c r="D342" s="8"/>
      <c r="E342" s="8"/>
    </row>
    <row r="343" spans="1:5">
      <c r="A343" s="8"/>
      <c r="B343" s="8"/>
      <c r="C343" s="8"/>
      <c r="D343" s="8"/>
      <c r="E343" s="8"/>
    </row>
    <row r="344" spans="1:5">
      <c r="A344" s="8"/>
      <c r="B344" s="8"/>
      <c r="C344" s="8"/>
      <c r="D344" s="8"/>
      <c r="E344" s="8"/>
    </row>
    <row r="345" spans="1:5">
      <c r="A345" s="8"/>
      <c r="B345" s="8"/>
      <c r="C345" s="8"/>
      <c r="D345" s="8"/>
      <c r="E345" s="8"/>
    </row>
    <row r="346" spans="1:5">
      <c r="A346" s="8"/>
      <c r="B346" s="8"/>
      <c r="C346" s="8"/>
      <c r="D346" s="8"/>
      <c r="E346" s="8"/>
    </row>
    <row r="347" spans="1:5">
      <c r="A347" s="8"/>
      <c r="B347" s="8"/>
      <c r="C347" s="8"/>
      <c r="D347" s="8"/>
      <c r="E347" s="8"/>
    </row>
    <row r="348" spans="1:5">
      <c r="A348" s="8"/>
      <c r="B348" s="8"/>
      <c r="C348" s="8"/>
      <c r="D348" s="8"/>
      <c r="E348" s="8"/>
    </row>
    <row r="349" spans="1:5">
      <c r="A349" s="8"/>
      <c r="B349" s="8"/>
      <c r="C349" s="8"/>
      <c r="D349" s="8"/>
      <c r="E349" s="8"/>
    </row>
    <row r="350" spans="1:5">
      <c r="A350" s="8"/>
      <c r="B350" s="8"/>
      <c r="C350" s="8"/>
      <c r="D350" s="8"/>
      <c r="E350" s="8"/>
    </row>
    <row r="351" spans="1:5">
      <c r="A351" s="8"/>
      <c r="B351" s="8"/>
      <c r="C351" s="8"/>
      <c r="D351" s="8"/>
      <c r="E351" s="8"/>
    </row>
    <row r="352" spans="1:5">
      <c r="A352" s="8"/>
      <c r="B352" s="8"/>
      <c r="C352" s="8"/>
      <c r="D352" s="8"/>
      <c r="E352" s="8"/>
    </row>
    <row r="353" spans="1:5">
      <c r="A353" s="8"/>
      <c r="B353" s="8"/>
      <c r="C353" s="8"/>
      <c r="D353" s="8"/>
      <c r="E353" s="8"/>
    </row>
    <row r="354" spans="1:5">
      <c r="A354" s="8"/>
      <c r="B354" s="8"/>
      <c r="C354" s="8"/>
      <c r="D354" s="8"/>
      <c r="E354" s="8"/>
    </row>
    <row r="355" spans="1:5">
      <c r="A355" s="8"/>
      <c r="B355" s="8"/>
      <c r="C355" s="8"/>
      <c r="D355" s="8"/>
      <c r="E355" s="8"/>
    </row>
    <row r="356" spans="1:5">
      <c r="A356" s="8"/>
      <c r="B356" s="8"/>
      <c r="C356" s="8"/>
      <c r="D356" s="8"/>
      <c r="E356" s="8"/>
    </row>
    <row r="357" spans="1:5">
      <c r="A357" s="8"/>
      <c r="B357" s="8"/>
      <c r="C357" s="8"/>
      <c r="D357" s="8"/>
      <c r="E357" s="8"/>
    </row>
    <row r="358" spans="1:5">
      <c r="A358" s="8"/>
      <c r="B358" s="8"/>
      <c r="C358" s="8"/>
      <c r="D358" s="8"/>
      <c r="E358" s="8"/>
    </row>
    <row r="359" spans="1:5">
      <c r="A359" s="8"/>
      <c r="B359" s="8"/>
      <c r="C359" s="8"/>
      <c r="D359" s="8"/>
      <c r="E359" s="8"/>
    </row>
    <row r="360" spans="1:5">
      <c r="A360" s="8"/>
      <c r="B360" s="8"/>
      <c r="C360" s="8"/>
      <c r="D360" s="8"/>
      <c r="E360" s="8"/>
    </row>
    <row r="361" spans="1:5">
      <c r="A361" s="8"/>
      <c r="B361" s="8"/>
      <c r="C361" s="8"/>
      <c r="D361" s="8"/>
      <c r="E361" s="8"/>
    </row>
    <row r="362" spans="1:5">
      <c r="A362" s="8"/>
      <c r="B362" s="8"/>
      <c r="C362" s="8"/>
      <c r="D362" s="8"/>
      <c r="E362" s="8"/>
    </row>
    <row r="363" spans="1:5">
      <c r="A363" s="8"/>
      <c r="B363" s="8"/>
      <c r="C363" s="8"/>
      <c r="D363" s="8"/>
      <c r="E363" s="8"/>
    </row>
    <row r="364" spans="1:5">
      <c r="A364" s="8"/>
      <c r="B364" s="8"/>
      <c r="C364" s="8"/>
      <c r="D364" s="8"/>
      <c r="E364" s="8"/>
    </row>
    <row r="365" spans="1:5">
      <c r="A365" s="8"/>
      <c r="B365" s="8"/>
      <c r="C365" s="8"/>
      <c r="D365" s="8"/>
      <c r="E365" s="8"/>
    </row>
    <row r="366" spans="1:5">
      <c r="A366" s="8"/>
      <c r="B366" s="8"/>
      <c r="C366" s="8"/>
      <c r="D366" s="8"/>
      <c r="E366" s="8"/>
    </row>
    <row r="367" spans="1:5">
      <c r="A367" s="8"/>
      <c r="B367" s="8"/>
      <c r="C367" s="8"/>
      <c r="D367" s="8"/>
      <c r="E367" s="8"/>
    </row>
    <row r="368" spans="1:5">
      <c r="A368" s="8"/>
      <c r="B368" s="8"/>
      <c r="C368" s="8"/>
      <c r="D368" s="8"/>
      <c r="E368" s="8"/>
    </row>
    <row r="369" spans="1:5">
      <c r="A369" s="8"/>
      <c r="B369" s="8"/>
      <c r="C369" s="8"/>
      <c r="D369" s="8"/>
      <c r="E369" s="8"/>
    </row>
    <row r="370" spans="1:5">
      <c r="A370" s="8"/>
      <c r="B370" s="8"/>
      <c r="C370" s="8"/>
      <c r="D370" s="8"/>
      <c r="E370" s="8"/>
    </row>
    <row r="371" spans="1:5">
      <c r="A371" s="8"/>
      <c r="B371" s="8"/>
      <c r="C371" s="8"/>
      <c r="D371" s="8"/>
      <c r="E371" s="8"/>
    </row>
    <row r="372" spans="1:5">
      <c r="A372" s="8"/>
      <c r="B372" s="8"/>
      <c r="C372" s="8"/>
      <c r="D372" s="8"/>
      <c r="E372" s="8"/>
    </row>
    <row r="373" spans="1:5">
      <c r="A373" s="8"/>
      <c r="B373" s="8"/>
      <c r="C373" s="8"/>
      <c r="D373" s="8"/>
      <c r="E373" s="8"/>
    </row>
    <row r="374" spans="1:5">
      <c r="A374" s="8"/>
      <c r="B374" s="8"/>
      <c r="C374" s="8"/>
      <c r="D374" s="8"/>
      <c r="E374" s="8"/>
    </row>
    <row r="375" spans="1:5">
      <c r="A375" s="8"/>
      <c r="B375" s="8"/>
      <c r="C375" s="8"/>
      <c r="D375" s="8"/>
      <c r="E375" s="8"/>
    </row>
    <row r="376" spans="1:5">
      <c r="A376" s="8"/>
      <c r="B376" s="8"/>
      <c r="C376" s="8"/>
      <c r="D376" s="8"/>
      <c r="E376" s="8"/>
    </row>
    <row r="377" spans="1:5">
      <c r="A377" s="8"/>
      <c r="B377" s="8"/>
      <c r="C377" s="8"/>
      <c r="D377" s="8"/>
      <c r="E377" s="8"/>
    </row>
    <row r="378" spans="1:5">
      <c r="A378" s="8"/>
      <c r="B378" s="8"/>
      <c r="C378" s="8"/>
      <c r="D378" s="8"/>
      <c r="E378" s="8"/>
    </row>
    <row r="379" spans="1:5">
      <c r="A379" s="8"/>
      <c r="B379" s="8"/>
      <c r="C379" s="8"/>
      <c r="D379" s="8"/>
      <c r="E379" s="8"/>
    </row>
    <row r="380" spans="1:5">
      <c r="A380" s="8"/>
      <c r="B380" s="8"/>
      <c r="C380" s="8"/>
      <c r="D380" s="8"/>
      <c r="E380" s="8"/>
    </row>
    <row r="381" spans="1:5">
      <c r="A381" s="8"/>
      <c r="B381" s="8"/>
      <c r="C381" s="8"/>
      <c r="D381" s="8"/>
      <c r="E381" s="8"/>
    </row>
    <row r="382" spans="1:5">
      <c r="A382" s="8"/>
      <c r="B382" s="8"/>
      <c r="C382" s="8"/>
      <c r="D382" s="8"/>
      <c r="E382" s="8"/>
    </row>
    <row r="383" spans="1:5">
      <c r="A383" s="8"/>
      <c r="B383" s="8"/>
      <c r="C383" s="8"/>
      <c r="D383" s="8"/>
      <c r="E383" s="8"/>
    </row>
    <row r="384" spans="1:5">
      <c r="A384" s="8"/>
      <c r="B384" s="8"/>
      <c r="C384" s="8"/>
      <c r="D384" s="8"/>
      <c r="E384" s="8"/>
    </row>
    <row r="385" spans="1:5">
      <c r="A385" s="8"/>
      <c r="B385" s="8"/>
      <c r="C385" s="8"/>
      <c r="D385" s="8"/>
      <c r="E385" s="8"/>
    </row>
    <row r="386" spans="1:5">
      <c r="A386" s="8"/>
      <c r="B386" s="8"/>
      <c r="C386" s="8"/>
      <c r="D386" s="8"/>
      <c r="E386" s="8"/>
    </row>
    <row r="387" spans="1:5">
      <c r="A387" s="8"/>
      <c r="B387" s="8"/>
      <c r="C387" s="8"/>
      <c r="D387" s="8"/>
      <c r="E387" s="8"/>
    </row>
    <row r="388" spans="1:5">
      <c r="A388" s="8"/>
      <c r="B388" s="8"/>
      <c r="C388" s="8"/>
      <c r="D388" s="8"/>
      <c r="E388" s="8"/>
    </row>
    <row r="389" spans="1:5">
      <c r="A389" s="8"/>
      <c r="B389" s="8"/>
      <c r="C389" s="8"/>
      <c r="D389" s="8"/>
      <c r="E389" s="8"/>
    </row>
    <row r="390" spans="1:5">
      <c r="A390" s="8"/>
      <c r="B390" s="8"/>
      <c r="C390" s="8"/>
      <c r="D390" s="8"/>
      <c r="E390" s="8"/>
    </row>
    <row r="391" spans="1:5">
      <c r="A391" s="8"/>
      <c r="B391" s="8"/>
      <c r="C391" s="8"/>
      <c r="D391" s="8"/>
      <c r="E391" s="8"/>
    </row>
    <row r="392" spans="1:5">
      <c r="A392" s="8"/>
      <c r="B392" s="8"/>
      <c r="C392" s="8"/>
      <c r="D392" s="8"/>
      <c r="E392" s="8"/>
    </row>
    <row r="393" spans="1:5">
      <c r="A393" s="8"/>
      <c r="B393" s="8"/>
      <c r="C393" s="8"/>
      <c r="D393" s="8"/>
      <c r="E393" s="8"/>
    </row>
    <row r="394" spans="1:5">
      <c r="A394" s="8"/>
      <c r="B394" s="8"/>
      <c r="C394" s="8"/>
      <c r="D394" s="8"/>
      <c r="E394" s="8"/>
    </row>
    <row r="395" spans="1:5">
      <c r="A395" s="8"/>
      <c r="B395" s="8"/>
      <c r="C395" s="8"/>
      <c r="D395" s="8"/>
      <c r="E395" s="8"/>
    </row>
    <row r="396" spans="1:5">
      <c r="A396" s="8"/>
      <c r="B396" s="8"/>
      <c r="C396" s="8"/>
      <c r="D396" s="8"/>
      <c r="E396" s="8"/>
    </row>
    <row r="397" spans="1:5">
      <c r="A397" s="8"/>
      <c r="B397" s="8"/>
      <c r="C397" s="8"/>
      <c r="D397" s="8"/>
      <c r="E397" s="8"/>
    </row>
    <row r="398" spans="1:5">
      <c r="A398" s="8"/>
      <c r="B398" s="8"/>
      <c r="C398" s="8"/>
      <c r="D398" s="8"/>
      <c r="E398" s="8"/>
    </row>
    <row r="399" spans="1:5">
      <c r="A399" s="8"/>
      <c r="B399" s="8"/>
      <c r="C399" s="8"/>
      <c r="D399" s="8"/>
      <c r="E399" s="8"/>
    </row>
    <row r="400" spans="1:5">
      <c r="A400" s="8"/>
      <c r="B400" s="8"/>
      <c r="C400" s="8"/>
      <c r="D400" s="8"/>
      <c r="E400" s="8"/>
    </row>
    <row r="401" spans="1:5">
      <c r="A401" s="8"/>
      <c r="B401" s="8"/>
      <c r="C401" s="8"/>
      <c r="D401" s="8"/>
      <c r="E401" s="8"/>
    </row>
    <row r="402" spans="1:5">
      <c r="A402" s="8"/>
      <c r="B402" s="8"/>
      <c r="C402" s="8"/>
      <c r="D402" s="8"/>
      <c r="E402" s="8"/>
    </row>
    <row r="403" spans="1:5">
      <c r="A403" s="8"/>
      <c r="B403" s="8"/>
      <c r="C403" s="8"/>
      <c r="D403" s="8"/>
      <c r="E403" s="8"/>
    </row>
    <row r="404" spans="1:5">
      <c r="A404" s="8"/>
      <c r="B404" s="8"/>
      <c r="C404" s="8"/>
      <c r="D404" s="8"/>
      <c r="E404" s="8"/>
    </row>
    <row r="405" spans="1:5">
      <c r="A405" s="8"/>
      <c r="B405" s="8"/>
      <c r="C405" s="8"/>
      <c r="D405" s="8"/>
      <c r="E405" s="8"/>
    </row>
    <row r="406" spans="1:5">
      <c r="A406" s="8"/>
      <c r="B406" s="8"/>
      <c r="C406" s="8"/>
      <c r="D406" s="8"/>
      <c r="E406" s="8"/>
    </row>
    <row r="407" spans="1:5">
      <c r="A407" s="8"/>
      <c r="B407" s="8"/>
      <c r="C407" s="8"/>
      <c r="D407" s="8"/>
      <c r="E407" s="8"/>
    </row>
    <row r="408" spans="1:5">
      <c r="A408" s="8"/>
      <c r="B408" s="8"/>
      <c r="C408" s="8"/>
      <c r="D408" s="8"/>
      <c r="E408" s="8"/>
    </row>
    <row r="409" spans="1:5">
      <c r="A409" s="8"/>
      <c r="B409" s="8"/>
      <c r="C409" s="8"/>
      <c r="D409" s="8"/>
      <c r="E409" s="8"/>
    </row>
    <row r="410" spans="1:5">
      <c r="A410" s="8"/>
      <c r="B410" s="8"/>
      <c r="C410" s="8"/>
      <c r="D410" s="8"/>
      <c r="E410" s="8"/>
    </row>
    <row r="411" spans="1:5">
      <c r="A411" s="8"/>
      <c r="B411" s="8"/>
      <c r="C411" s="8"/>
      <c r="D411" s="8"/>
      <c r="E411" s="8"/>
    </row>
    <row r="412" spans="1:5">
      <c r="A412" s="8"/>
      <c r="B412" s="8"/>
      <c r="C412" s="8"/>
      <c r="D412" s="8"/>
      <c r="E412" s="8"/>
    </row>
    <row r="413" spans="1:5">
      <c r="A413" s="8"/>
      <c r="B413" s="8"/>
      <c r="C413" s="8"/>
      <c r="D413" s="8"/>
      <c r="E413" s="8"/>
    </row>
    <row r="414" spans="1:5">
      <c r="A414" s="8"/>
      <c r="B414" s="8"/>
      <c r="C414" s="8"/>
      <c r="D414" s="8"/>
      <c r="E414" s="8"/>
    </row>
    <row r="415" spans="1:5">
      <c r="A415" s="8"/>
      <c r="B415" s="8"/>
      <c r="C415" s="8"/>
      <c r="D415" s="8"/>
      <c r="E415" s="8"/>
    </row>
    <row r="416" spans="1:5">
      <c r="A416" s="8"/>
      <c r="B416" s="8"/>
      <c r="C416" s="8"/>
      <c r="D416" s="8"/>
      <c r="E416" s="8"/>
    </row>
    <row r="417" spans="1:5">
      <c r="A417" s="8"/>
      <c r="B417" s="8"/>
      <c r="C417" s="8"/>
      <c r="D417" s="8"/>
      <c r="E417" s="8"/>
    </row>
    <row r="418" spans="1:5">
      <c r="A418" s="8"/>
      <c r="B418" s="8"/>
      <c r="C418" s="8"/>
      <c r="D418" s="8"/>
      <c r="E418" s="8"/>
    </row>
    <row r="419" spans="1:5">
      <c r="A419" s="8"/>
      <c r="B419" s="8"/>
      <c r="C419" s="8"/>
      <c r="D419" s="8"/>
      <c r="E419" s="8"/>
    </row>
    <row r="420" spans="1:5">
      <c r="A420" s="8"/>
      <c r="B420" s="8"/>
      <c r="C420" s="8"/>
      <c r="D420" s="8"/>
      <c r="E420" s="8"/>
    </row>
    <row r="421" spans="1:5">
      <c r="A421" s="8"/>
      <c r="B421" s="8"/>
      <c r="C421" s="8"/>
      <c r="D421" s="8"/>
      <c r="E421" s="8"/>
    </row>
    <row r="422" spans="1:5">
      <c r="A422" s="8"/>
      <c r="B422" s="8"/>
      <c r="C422" s="8"/>
      <c r="D422" s="8"/>
      <c r="E422" s="8"/>
    </row>
    <row r="423" spans="1:5">
      <c r="A423" s="8"/>
      <c r="B423" s="8"/>
      <c r="C423" s="8"/>
      <c r="D423" s="8"/>
      <c r="E423" s="8"/>
    </row>
    <row r="424" spans="1:5">
      <c r="A424" s="8"/>
      <c r="B424" s="8"/>
      <c r="C424" s="8"/>
      <c r="D424" s="8"/>
      <c r="E424" s="8"/>
    </row>
    <row r="425" spans="1:5">
      <c r="A425" s="8"/>
      <c r="B425" s="8"/>
      <c r="C425" s="8"/>
      <c r="D425" s="8"/>
      <c r="E425" s="8"/>
    </row>
    <row r="426" spans="1:5">
      <c r="A426" s="8"/>
      <c r="B426" s="8"/>
      <c r="C426" s="8"/>
      <c r="D426" s="8"/>
      <c r="E426" s="8"/>
    </row>
    <row r="427" spans="1:5">
      <c r="A427" s="8"/>
      <c r="B427" s="8"/>
      <c r="C427" s="8"/>
      <c r="D427" s="8"/>
      <c r="E427" s="8"/>
    </row>
    <row r="428" spans="1:5">
      <c r="A428" s="8"/>
      <c r="B428" s="8"/>
      <c r="C428" s="8"/>
      <c r="D428" s="8"/>
      <c r="E428" s="8"/>
    </row>
    <row r="429" spans="1:5">
      <c r="A429" s="8"/>
      <c r="B429" s="8"/>
      <c r="C429" s="8"/>
      <c r="D429" s="8"/>
      <c r="E429" s="8"/>
    </row>
    <row r="430" spans="1:5">
      <c r="A430" s="8"/>
      <c r="B430" s="8"/>
      <c r="C430" s="8"/>
      <c r="D430" s="8"/>
      <c r="E430" s="8"/>
    </row>
    <row r="431" spans="1:5">
      <c r="A431" s="8"/>
      <c r="B431" s="8"/>
      <c r="C431" s="8"/>
      <c r="D431" s="8"/>
      <c r="E431" s="8"/>
    </row>
    <row r="432" spans="1:5">
      <c r="A432" s="8"/>
      <c r="B432" s="8"/>
      <c r="C432" s="8"/>
      <c r="D432" s="8"/>
      <c r="E432" s="8"/>
    </row>
    <row r="433" spans="1:5">
      <c r="A433" s="8"/>
      <c r="B433" s="8"/>
      <c r="C433" s="8"/>
      <c r="D433" s="8"/>
      <c r="E433" s="8"/>
    </row>
    <row r="434" spans="1:5">
      <c r="A434" s="8"/>
      <c r="B434" s="8"/>
      <c r="C434" s="8"/>
      <c r="D434" s="8"/>
      <c r="E434" s="8"/>
    </row>
    <row r="435" spans="1:5">
      <c r="A435" s="8"/>
      <c r="B435" s="8"/>
      <c r="C435" s="8"/>
      <c r="D435" s="8"/>
      <c r="E435" s="8"/>
    </row>
    <row r="436" spans="1:5">
      <c r="A436" s="8"/>
      <c r="B436" s="8"/>
      <c r="C436" s="8"/>
      <c r="D436" s="8"/>
      <c r="E436" s="8"/>
    </row>
    <row r="437" spans="1:5">
      <c r="A437" s="8"/>
      <c r="B437" s="8"/>
      <c r="C437" s="8"/>
      <c r="D437" s="8"/>
      <c r="E437" s="8"/>
    </row>
    <row r="438" spans="1:5">
      <c r="A438" s="8"/>
      <c r="B438" s="8"/>
      <c r="C438" s="8"/>
      <c r="D438" s="8"/>
      <c r="E438" s="8"/>
    </row>
    <row r="439" spans="1:5">
      <c r="A439" s="8"/>
      <c r="B439" s="8"/>
      <c r="C439" s="8"/>
      <c r="D439" s="8"/>
      <c r="E439" s="8"/>
    </row>
    <row r="440" spans="1:5">
      <c r="A440" s="8"/>
      <c r="B440" s="8"/>
      <c r="C440" s="8"/>
      <c r="D440" s="8"/>
      <c r="E440" s="8"/>
    </row>
    <row r="441" spans="1:5">
      <c r="A441" s="8"/>
      <c r="B441" s="8"/>
      <c r="C441" s="8"/>
      <c r="D441" s="8"/>
      <c r="E441" s="8"/>
    </row>
    <row r="442" spans="1:5">
      <c r="A442" s="8"/>
      <c r="B442" s="8"/>
      <c r="C442" s="8"/>
      <c r="D442" s="8"/>
      <c r="E442" s="8"/>
    </row>
    <row r="443" spans="1:5">
      <c r="A443" s="8"/>
      <c r="B443" s="8"/>
      <c r="C443" s="8"/>
      <c r="D443" s="8"/>
      <c r="E443" s="8"/>
    </row>
    <row r="444" spans="1:5">
      <c r="A444" s="8"/>
      <c r="B444" s="8"/>
      <c r="C444" s="8"/>
      <c r="D444" s="8"/>
      <c r="E444" s="8"/>
    </row>
    <row r="445" spans="1:5">
      <c r="A445" s="8"/>
      <c r="B445" s="8"/>
      <c r="C445" s="8"/>
      <c r="D445" s="8"/>
      <c r="E445" s="8"/>
    </row>
    <row r="446" spans="1:5">
      <c r="A446" s="8"/>
      <c r="B446" s="8"/>
      <c r="C446" s="8"/>
      <c r="D446" s="8"/>
      <c r="E446" s="8"/>
    </row>
    <row r="447" spans="1:5">
      <c r="A447" s="8"/>
      <c r="B447" s="8"/>
      <c r="C447" s="8"/>
      <c r="D447" s="8"/>
      <c r="E447" s="8"/>
    </row>
    <row r="448" spans="1:5">
      <c r="A448" s="8"/>
      <c r="B448" s="8"/>
      <c r="C448" s="8"/>
      <c r="D448" s="8"/>
      <c r="E448" s="8"/>
    </row>
    <row r="449" spans="1:5">
      <c r="A449" s="8"/>
      <c r="B449" s="8"/>
      <c r="C449" s="8"/>
      <c r="D449" s="8"/>
      <c r="E449" s="8"/>
    </row>
    <row r="450" spans="1:5">
      <c r="A450" s="8"/>
      <c r="B450" s="8"/>
      <c r="C450" s="8"/>
      <c r="D450" s="8"/>
      <c r="E450" s="8"/>
    </row>
    <row r="451" spans="1:5">
      <c r="A451" s="8"/>
      <c r="B451" s="8"/>
      <c r="C451" s="8"/>
      <c r="D451" s="8"/>
      <c r="E451" s="8"/>
    </row>
    <row r="452" spans="1:5">
      <c r="A452" s="8"/>
      <c r="B452" s="8"/>
      <c r="C452" s="8"/>
      <c r="D452" s="8"/>
      <c r="E452" s="8"/>
    </row>
    <row r="453" spans="1:5">
      <c r="A453" s="8"/>
      <c r="B453" s="8"/>
      <c r="C453" s="8"/>
      <c r="D453" s="8"/>
      <c r="E453" s="8"/>
    </row>
    <row r="454" spans="1:5">
      <c r="A454" s="8"/>
      <c r="B454" s="8"/>
      <c r="C454" s="8"/>
      <c r="D454" s="8"/>
      <c r="E454" s="8"/>
    </row>
    <row r="455" spans="1:5">
      <c r="A455" s="8"/>
      <c r="B455" s="8"/>
      <c r="C455" s="8"/>
      <c r="D455" s="8"/>
      <c r="E455" s="8"/>
    </row>
    <row r="456" spans="1:5">
      <c r="A456" s="8"/>
      <c r="B456" s="8"/>
      <c r="C456" s="8"/>
      <c r="D456" s="8"/>
      <c r="E456" s="8"/>
    </row>
    <row r="457" spans="1:5">
      <c r="A457" s="8"/>
      <c r="B457" s="8"/>
      <c r="C457" s="8"/>
      <c r="D457" s="8"/>
      <c r="E457" s="8"/>
    </row>
    <row r="458" spans="1:5">
      <c r="A458" s="8"/>
      <c r="B458" s="8"/>
      <c r="C458" s="8"/>
      <c r="D458" s="8"/>
      <c r="E458" s="8"/>
    </row>
    <row r="459" spans="1:5">
      <c r="A459" s="8"/>
      <c r="B459" s="8"/>
      <c r="C459" s="8"/>
      <c r="D459" s="8"/>
      <c r="E459" s="8"/>
    </row>
    <row r="460" spans="1:5">
      <c r="A460" s="8"/>
      <c r="B460" s="8"/>
      <c r="C460" s="8"/>
      <c r="D460" s="8"/>
      <c r="E460" s="8"/>
    </row>
    <row r="461" spans="1:5">
      <c r="A461" s="8"/>
      <c r="B461" s="8"/>
      <c r="C461" s="8"/>
      <c r="D461" s="8"/>
      <c r="E461" s="8"/>
    </row>
    <row r="462" spans="1:5">
      <c r="A462" s="8"/>
      <c r="B462" s="8"/>
      <c r="C462" s="8"/>
      <c r="D462" s="8"/>
      <c r="E462" s="8"/>
    </row>
    <row r="463" spans="1:5">
      <c r="A463" s="8"/>
      <c r="B463" s="8"/>
      <c r="C463" s="8"/>
      <c r="D463" s="8"/>
      <c r="E463" s="8"/>
    </row>
    <row r="464" spans="1:5">
      <c r="A464" s="8"/>
      <c r="B464" s="8"/>
      <c r="C464" s="8"/>
      <c r="D464" s="8"/>
      <c r="E464" s="8"/>
    </row>
    <row r="465" spans="1:5">
      <c r="A465" s="8"/>
      <c r="B465" s="8"/>
      <c r="C465" s="8"/>
      <c r="D465" s="8"/>
      <c r="E465" s="8"/>
    </row>
    <row r="466" spans="1:5">
      <c r="A466" s="8"/>
      <c r="B466" s="8"/>
      <c r="C466" s="8"/>
      <c r="D466" s="8"/>
      <c r="E466" s="8"/>
    </row>
    <row r="467" spans="1:5">
      <c r="A467" s="8"/>
      <c r="B467" s="8"/>
      <c r="C467" s="8"/>
      <c r="D467" s="8"/>
      <c r="E467" s="8"/>
    </row>
    <row r="468" spans="1:5">
      <c r="A468" s="8"/>
      <c r="B468" s="8"/>
      <c r="C468" s="8"/>
      <c r="D468" s="8"/>
      <c r="E468" s="8"/>
    </row>
    <row r="469" spans="1:5">
      <c r="A469" s="8"/>
      <c r="B469" s="8"/>
      <c r="C469" s="8"/>
      <c r="D469" s="8"/>
      <c r="E469" s="8"/>
    </row>
    <row r="470" spans="1:5">
      <c r="A470" s="8"/>
      <c r="B470" s="8"/>
      <c r="C470" s="8"/>
      <c r="D470" s="8"/>
      <c r="E470" s="8"/>
    </row>
    <row r="471" spans="1:5">
      <c r="A471" s="8"/>
      <c r="B471" s="8"/>
      <c r="C471" s="8"/>
      <c r="D471" s="8"/>
      <c r="E471" s="8"/>
    </row>
    <row r="472" spans="1:5">
      <c r="A472" s="8"/>
      <c r="B472" s="8"/>
      <c r="C472" s="8"/>
      <c r="D472" s="8"/>
      <c r="E472" s="8"/>
    </row>
    <row r="473" spans="1:5">
      <c r="A473" s="8"/>
      <c r="B473" s="8"/>
      <c r="C473" s="8"/>
      <c r="D473" s="8"/>
      <c r="E473" s="8"/>
    </row>
    <row r="474" spans="1:5">
      <c r="A474" s="8"/>
      <c r="B474" s="8"/>
      <c r="C474" s="8"/>
      <c r="D474" s="8"/>
      <c r="E474" s="8"/>
    </row>
    <row r="475" spans="1:5">
      <c r="A475" s="8"/>
      <c r="B475" s="8"/>
      <c r="C475" s="8"/>
      <c r="D475" s="8"/>
      <c r="E475" s="8"/>
    </row>
    <row r="476" spans="1:5">
      <c r="A476" s="8"/>
      <c r="B476" s="8"/>
      <c r="C476" s="8"/>
      <c r="D476" s="8"/>
      <c r="E476" s="8"/>
    </row>
    <row r="477" spans="1:5">
      <c r="A477" s="8"/>
      <c r="B477" s="8"/>
      <c r="C477" s="8"/>
      <c r="D477" s="8"/>
      <c r="E477" s="8"/>
    </row>
    <row r="478" spans="1:5">
      <c r="A478" s="8"/>
      <c r="B478" s="8"/>
      <c r="C478" s="8"/>
      <c r="D478" s="8"/>
      <c r="E478" s="8"/>
    </row>
    <row r="479" spans="1:5">
      <c r="A479" s="8"/>
      <c r="B479" s="8"/>
      <c r="C479" s="8"/>
      <c r="D479" s="8"/>
      <c r="E479" s="8"/>
    </row>
    <row r="480" spans="1:5">
      <c r="A480" s="8"/>
      <c r="B480" s="8"/>
      <c r="C480" s="8"/>
      <c r="D480" s="8"/>
      <c r="E480" s="8"/>
    </row>
    <row r="481" spans="1:5">
      <c r="A481" s="8"/>
      <c r="B481" s="8"/>
      <c r="C481" s="8"/>
      <c r="D481" s="8"/>
      <c r="E481" s="8"/>
    </row>
    <row r="482" spans="1:5">
      <c r="A482" s="8"/>
      <c r="B482" s="8"/>
      <c r="C482" s="8"/>
      <c r="D482" s="8"/>
      <c r="E482" s="8"/>
    </row>
    <row r="483" spans="1:5">
      <c r="A483" s="8"/>
      <c r="B483" s="8"/>
      <c r="C483" s="8"/>
      <c r="D483" s="8"/>
      <c r="E483" s="8"/>
    </row>
    <row r="484" spans="1:5">
      <c r="A484" s="8"/>
      <c r="B484" s="8"/>
      <c r="C484" s="8"/>
      <c r="D484" s="8"/>
      <c r="E484" s="8"/>
    </row>
    <row r="485" spans="1:5">
      <c r="A485" s="8"/>
      <c r="B485" s="8"/>
      <c r="C485" s="8"/>
      <c r="D485" s="8"/>
      <c r="E485" s="8"/>
    </row>
    <row r="486" spans="1:5">
      <c r="A486" s="8"/>
      <c r="B486" s="8"/>
      <c r="C486" s="8"/>
      <c r="D486" s="8"/>
      <c r="E486" s="8"/>
    </row>
    <row r="487" spans="1:5">
      <c r="A487" s="8"/>
      <c r="B487" s="8"/>
      <c r="C487" s="8"/>
      <c r="D487" s="8"/>
      <c r="E487" s="8"/>
    </row>
    <row r="488" spans="1:5">
      <c r="A488" s="8"/>
      <c r="B488" s="8"/>
      <c r="C488" s="8"/>
      <c r="D488" s="8"/>
      <c r="E488" s="8"/>
    </row>
    <row r="489" spans="1:5">
      <c r="A489" s="8"/>
      <c r="B489" s="8"/>
      <c r="C489" s="8"/>
      <c r="D489" s="8"/>
      <c r="E489" s="8"/>
    </row>
    <row r="490" spans="1:5">
      <c r="A490" s="8"/>
      <c r="B490" s="8"/>
      <c r="C490" s="8"/>
      <c r="D490" s="8"/>
      <c r="E490" s="8"/>
    </row>
    <row r="491" spans="1:5">
      <c r="A491" s="8"/>
      <c r="B491" s="8"/>
      <c r="C491" s="8"/>
      <c r="D491" s="8"/>
      <c r="E491" s="8"/>
    </row>
    <row r="492" spans="1:5">
      <c r="A492" s="8"/>
      <c r="B492" s="8"/>
      <c r="C492" s="8"/>
      <c r="D492" s="8"/>
      <c r="E492" s="8"/>
    </row>
    <row r="493" spans="1:5">
      <c r="A493" s="8"/>
      <c r="B493" s="8"/>
      <c r="C493" s="8"/>
      <c r="D493" s="8"/>
      <c r="E493" s="8"/>
    </row>
    <row r="494" spans="1:5">
      <c r="A494" s="8"/>
      <c r="B494" s="8"/>
      <c r="C494" s="8"/>
      <c r="D494" s="8"/>
      <c r="E494" s="8"/>
    </row>
    <row r="495" spans="1:5">
      <c r="A495" s="8"/>
      <c r="B495" s="8"/>
      <c r="C495" s="8"/>
      <c r="D495" s="8"/>
      <c r="E495" s="8"/>
    </row>
    <row r="496" spans="1:5">
      <c r="A496" s="8"/>
      <c r="B496" s="8"/>
      <c r="C496" s="8"/>
      <c r="D496" s="8"/>
      <c r="E496" s="8"/>
    </row>
    <row r="497" spans="1:5">
      <c r="A497" s="8"/>
      <c r="B497" s="8"/>
      <c r="C497" s="8"/>
      <c r="D497" s="8"/>
      <c r="E497" s="8"/>
    </row>
    <row r="498" spans="1:5">
      <c r="A498" s="8"/>
      <c r="B498" s="8"/>
      <c r="C498" s="8"/>
      <c r="D498" s="8"/>
      <c r="E498" s="8"/>
    </row>
    <row r="499" spans="1:5">
      <c r="A499" s="8"/>
      <c r="B499" s="8"/>
      <c r="C499" s="8"/>
      <c r="D499" s="8"/>
      <c r="E499" s="8"/>
    </row>
    <row r="500" spans="1:5">
      <c r="A500" s="8"/>
      <c r="B500" s="8"/>
      <c r="C500" s="8"/>
      <c r="D500" s="8"/>
      <c r="E500" s="8"/>
    </row>
    <row r="501" spans="1:5">
      <c r="A501" s="8"/>
      <c r="B501" s="8"/>
      <c r="C501" s="8"/>
      <c r="D501" s="8"/>
      <c r="E501" s="8"/>
    </row>
    <row r="502" spans="1:5">
      <c r="A502" s="8"/>
      <c r="B502" s="8"/>
      <c r="C502" s="8"/>
      <c r="D502" s="8"/>
      <c r="E502" s="8"/>
    </row>
    <row r="503" spans="1:5">
      <c r="A503" s="8"/>
      <c r="B503" s="8"/>
      <c r="C503" s="8"/>
      <c r="D503" s="8"/>
      <c r="E503" s="8"/>
    </row>
    <row r="504" spans="1:5">
      <c r="A504" s="8"/>
      <c r="B504" s="8"/>
      <c r="C504" s="8"/>
      <c r="D504" s="8"/>
      <c r="E504" s="8"/>
    </row>
    <row r="505" spans="1:5">
      <c r="A505" s="8"/>
      <c r="B505" s="8"/>
      <c r="C505" s="8"/>
      <c r="D505" s="8"/>
      <c r="E505" s="8"/>
    </row>
    <row r="506" spans="1:5">
      <c r="A506" s="8"/>
      <c r="B506" s="8"/>
      <c r="C506" s="8"/>
      <c r="D506" s="8"/>
      <c r="E506" s="8"/>
    </row>
    <row r="507" spans="1:5">
      <c r="A507" s="8"/>
      <c r="B507" s="8"/>
      <c r="C507" s="8"/>
      <c r="D507" s="8"/>
      <c r="E507" s="8"/>
    </row>
    <row r="508" spans="1:5">
      <c r="A508" s="8"/>
      <c r="B508" s="8"/>
      <c r="C508" s="8"/>
      <c r="D508" s="8"/>
      <c r="E508" s="8"/>
    </row>
    <row r="509" spans="1:5">
      <c r="A509" s="8"/>
      <c r="B509" s="8"/>
      <c r="C509" s="8"/>
      <c r="D509" s="8"/>
      <c r="E509" s="8"/>
    </row>
    <row r="510" spans="1:5">
      <c r="A510" s="8"/>
      <c r="B510" s="8"/>
      <c r="C510" s="8"/>
      <c r="D510" s="8"/>
      <c r="E510" s="8"/>
    </row>
    <row r="511" spans="1:5">
      <c r="A511" s="8"/>
      <c r="B511" s="8"/>
      <c r="C511" s="8"/>
      <c r="D511" s="8"/>
      <c r="E511" s="8"/>
    </row>
    <row r="512" spans="1:5">
      <c r="A512" s="8"/>
      <c r="B512" s="8"/>
      <c r="C512" s="8"/>
      <c r="D512" s="8"/>
      <c r="E512" s="8"/>
    </row>
    <row r="513" spans="1:5">
      <c r="A513" s="8"/>
      <c r="B513" s="8"/>
      <c r="C513" s="8"/>
      <c r="D513" s="8"/>
      <c r="E513" s="8"/>
    </row>
    <row r="514" spans="1:5">
      <c r="A514" s="8"/>
      <c r="B514" s="8"/>
      <c r="C514" s="8"/>
      <c r="D514" s="8"/>
      <c r="E514" s="8"/>
    </row>
    <row r="515" spans="1:5">
      <c r="A515" s="8"/>
      <c r="B515" s="8"/>
      <c r="C515" s="8"/>
      <c r="D515" s="8"/>
      <c r="E515" s="8"/>
    </row>
    <row r="516" spans="1:5">
      <c r="A516" s="8"/>
      <c r="B516" s="8"/>
      <c r="C516" s="8"/>
      <c r="D516" s="8"/>
      <c r="E516" s="8"/>
    </row>
    <row r="517" spans="1:5">
      <c r="A517" s="8"/>
      <c r="B517" s="8"/>
      <c r="C517" s="8"/>
      <c r="D517" s="8"/>
      <c r="E517" s="8"/>
    </row>
    <row r="518" spans="1:5">
      <c r="A518" s="8"/>
      <c r="B518" s="8"/>
      <c r="C518" s="8"/>
      <c r="D518" s="8"/>
      <c r="E518" s="8"/>
    </row>
    <row r="519" spans="1:5">
      <c r="A519" s="8"/>
      <c r="B519" s="8"/>
      <c r="C519" s="8"/>
      <c r="D519" s="8"/>
      <c r="E519" s="8"/>
    </row>
    <row r="520" spans="1:5">
      <c r="A520" s="8"/>
      <c r="B520" s="8"/>
      <c r="C520" s="8"/>
      <c r="D520" s="8"/>
      <c r="E520" s="8"/>
    </row>
    <row r="521" spans="1:5">
      <c r="A521" s="8"/>
      <c r="B521" s="8"/>
      <c r="C521" s="8"/>
      <c r="D521" s="8"/>
      <c r="E521" s="8"/>
    </row>
    <row r="522" spans="1:5">
      <c r="A522" s="8"/>
      <c r="B522" s="8"/>
      <c r="C522" s="8"/>
      <c r="D522" s="8"/>
      <c r="E522" s="8"/>
    </row>
    <row r="523" spans="1:5">
      <c r="A523" s="8"/>
      <c r="B523" s="8"/>
      <c r="C523" s="8"/>
      <c r="D523" s="8"/>
      <c r="E523" s="8"/>
    </row>
    <row r="524" spans="1:5">
      <c r="A524" s="8"/>
      <c r="B524" s="8"/>
      <c r="C524" s="8"/>
      <c r="D524" s="8"/>
      <c r="E524" s="8"/>
    </row>
    <row r="525" spans="1:5">
      <c r="A525" s="8"/>
      <c r="B525" s="8"/>
      <c r="C525" s="8"/>
      <c r="D525" s="8"/>
      <c r="E525" s="8"/>
    </row>
    <row r="526" spans="1:5">
      <c r="A526" s="8"/>
      <c r="B526" s="8"/>
      <c r="C526" s="8"/>
      <c r="D526" s="8"/>
      <c r="E526" s="8"/>
    </row>
    <row r="527" spans="1:5">
      <c r="A527" s="8"/>
      <c r="B527" s="8"/>
      <c r="C527" s="8"/>
      <c r="D527" s="8"/>
      <c r="E527" s="8"/>
    </row>
    <row r="528" spans="1:5">
      <c r="A528" s="8"/>
      <c r="B528" s="8"/>
      <c r="C528" s="8"/>
      <c r="D528" s="8"/>
      <c r="E528" s="8"/>
    </row>
    <row r="529" spans="1:5">
      <c r="A529" s="8"/>
      <c r="B529" s="8"/>
      <c r="C529" s="8"/>
      <c r="D529" s="8"/>
      <c r="E529" s="8"/>
    </row>
    <row r="530" spans="1:5">
      <c r="A530" s="8"/>
      <c r="B530" s="8"/>
      <c r="C530" s="8"/>
      <c r="D530" s="8"/>
      <c r="E530" s="8"/>
    </row>
    <row r="531" spans="1:5">
      <c r="A531" s="8"/>
      <c r="B531" s="8"/>
      <c r="C531" s="8"/>
      <c r="D531" s="8"/>
      <c r="E531" s="8"/>
    </row>
    <row r="532" spans="1:5">
      <c r="A532" s="8"/>
      <c r="B532" s="8"/>
      <c r="C532" s="8"/>
      <c r="D532" s="8"/>
      <c r="E532" s="8"/>
    </row>
    <row r="533" spans="1:5">
      <c r="A533" s="8"/>
      <c r="B533" s="8"/>
      <c r="C533" s="8"/>
      <c r="D533" s="8"/>
      <c r="E533" s="8"/>
    </row>
    <row r="534" spans="1:5">
      <c r="A534" s="8"/>
      <c r="B534" s="8"/>
      <c r="C534" s="8"/>
      <c r="D534" s="8"/>
      <c r="E534" s="8"/>
    </row>
    <row r="535" spans="1:5">
      <c r="A535" s="8"/>
      <c r="B535" s="8"/>
      <c r="C535" s="8"/>
      <c r="D535" s="8"/>
      <c r="E535" s="8"/>
    </row>
    <row r="536" spans="1:5">
      <c r="A536" s="8"/>
      <c r="B536" s="8"/>
      <c r="C536" s="8"/>
      <c r="D536" s="8"/>
      <c r="E536" s="8"/>
    </row>
    <row r="537" spans="1:5">
      <c r="A537" s="8"/>
      <c r="B537" s="8"/>
      <c r="C537" s="8"/>
      <c r="D537" s="8"/>
      <c r="E537" s="8"/>
    </row>
    <row r="538" spans="1:5">
      <c r="A538" s="8"/>
      <c r="B538" s="8"/>
      <c r="C538" s="8"/>
      <c r="D538" s="8"/>
      <c r="E538" s="8"/>
    </row>
    <row r="539" spans="1:5">
      <c r="A539" s="8"/>
      <c r="B539" s="8"/>
      <c r="C539" s="8"/>
      <c r="D539" s="8"/>
      <c r="E539" s="8"/>
    </row>
    <row r="540" spans="1:5">
      <c r="A540" s="8"/>
      <c r="B540" s="8"/>
      <c r="C540" s="8"/>
      <c r="D540" s="8"/>
      <c r="E540" s="8"/>
    </row>
    <row r="541" spans="1:5">
      <c r="A541" s="8"/>
      <c r="B541" s="8"/>
      <c r="C541" s="8"/>
      <c r="D541" s="8"/>
      <c r="E541" s="8"/>
    </row>
    <row r="542" spans="1:5">
      <c r="A542" s="8"/>
      <c r="B542" s="8"/>
      <c r="C542" s="8"/>
      <c r="D542" s="8"/>
      <c r="E542" s="8"/>
    </row>
    <row r="543" spans="1:5">
      <c r="A543" s="8"/>
      <c r="B543" s="8"/>
      <c r="C543" s="8"/>
      <c r="D543" s="8"/>
      <c r="E543" s="8"/>
    </row>
    <row r="544" spans="1:5">
      <c r="A544" s="8"/>
      <c r="B544" s="8"/>
      <c r="C544" s="8"/>
      <c r="D544" s="8"/>
      <c r="E544" s="8"/>
    </row>
    <row r="545" spans="1:5">
      <c r="A545" s="8"/>
      <c r="B545" s="8"/>
      <c r="C545" s="8"/>
      <c r="D545" s="8"/>
      <c r="E545" s="8"/>
    </row>
    <row r="546" spans="1:5">
      <c r="A546" s="8"/>
      <c r="B546" s="8"/>
      <c r="C546" s="8"/>
      <c r="D546" s="8"/>
      <c r="E546" s="8"/>
    </row>
    <row r="547" spans="1:5">
      <c r="A547" s="8"/>
      <c r="B547" s="8"/>
      <c r="C547" s="8"/>
      <c r="D547" s="8"/>
      <c r="E547" s="8"/>
    </row>
    <row r="548" spans="1:5">
      <c r="A548" s="8"/>
      <c r="B548" s="8"/>
      <c r="C548" s="8"/>
      <c r="D548" s="8"/>
      <c r="E548" s="8"/>
    </row>
    <row r="549" spans="1:5">
      <c r="A549" s="8"/>
      <c r="B549" s="8"/>
      <c r="C549" s="8"/>
      <c r="D549" s="8"/>
      <c r="E549" s="8"/>
    </row>
    <row r="550" spans="1:5">
      <c r="A550" s="8"/>
      <c r="B550" s="8"/>
      <c r="C550" s="8"/>
      <c r="D550" s="8"/>
      <c r="E550" s="8"/>
    </row>
    <row r="551" spans="1:5">
      <c r="A551" s="8"/>
      <c r="B551" s="8"/>
      <c r="C551" s="8"/>
      <c r="D551" s="8"/>
      <c r="E551" s="8"/>
    </row>
    <row r="552" spans="1:5">
      <c r="A552" s="8"/>
      <c r="B552" s="8"/>
      <c r="C552" s="8"/>
      <c r="D552" s="8"/>
      <c r="E552" s="8"/>
    </row>
    <row r="553" spans="1:5">
      <c r="A553" s="8"/>
      <c r="B553" s="8"/>
      <c r="C553" s="8"/>
      <c r="D553" s="8"/>
      <c r="E553" s="8"/>
    </row>
    <row r="554" spans="1:5">
      <c r="A554" s="8"/>
      <c r="B554" s="8"/>
      <c r="C554" s="8"/>
      <c r="D554" s="8"/>
      <c r="E554" s="8"/>
    </row>
    <row r="555" spans="1:5">
      <c r="A555" s="8"/>
      <c r="B555" s="8"/>
      <c r="C555" s="8"/>
      <c r="D555" s="8"/>
      <c r="E555" s="8"/>
    </row>
    <row r="556" spans="1:5">
      <c r="A556" s="8"/>
      <c r="B556" s="8"/>
      <c r="C556" s="8"/>
      <c r="D556" s="8"/>
      <c r="E556" s="8"/>
    </row>
    <row r="557" spans="1:5">
      <c r="A557" s="8"/>
      <c r="B557" s="8"/>
      <c r="C557" s="8"/>
      <c r="D557" s="8"/>
      <c r="E557" s="8"/>
    </row>
    <row r="558" spans="1:5">
      <c r="A558" s="8"/>
      <c r="B558" s="8"/>
      <c r="C558" s="8"/>
      <c r="D558" s="8"/>
      <c r="E558" s="8"/>
    </row>
    <row r="559" spans="1:5">
      <c r="A559" s="8"/>
      <c r="B559" s="8"/>
      <c r="C559" s="8"/>
      <c r="D559" s="8"/>
      <c r="E559" s="8"/>
    </row>
    <row r="560" spans="1:5">
      <c r="A560" s="8"/>
      <c r="B560" s="8"/>
      <c r="C560" s="8"/>
      <c r="D560" s="8"/>
      <c r="E560" s="8"/>
    </row>
    <row r="561" spans="1:5">
      <c r="A561" s="8"/>
      <c r="B561" s="8"/>
      <c r="C561" s="8"/>
      <c r="D561" s="8"/>
      <c r="E561" s="8"/>
    </row>
    <row r="562" spans="1:5">
      <c r="A562" s="8"/>
      <c r="B562" s="8"/>
      <c r="C562" s="8"/>
      <c r="D562" s="8"/>
      <c r="E562" s="8"/>
    </row>
    <row r="563" spans="1:5">
      <c r="A563" s="8"/>
      <c r="B563" s="8"/>
      <c r="C563" s="8"/>
      <c r="D563" s="8"/>
      <c r="E563" s="8"/>
    </row>
    <row r="564" spans="1:5">
      <c r="A564" s="8"/>
      <c r="B564" s="8"/>
      <c r="C564" s="8"/>
      <c r="D564" s="8"/>
      <c r="E564" s="8"/>
    </row>
    <row r="565" spans="1:5">
      <c r="A565" s="8"/>
      <c r="B565" s="8"/>
      <c r="C565" s="8"/>
      <c r="D565" s="8"/>
      <c r="E565" s="8"/>
    </row>
    <row r="566" spans="1:5">
      <c r="A566" s="8"/>
      <c r="B566" s="8"/>
      <c r="C566" s="8"/>
      <c r="D566" s="8"/>
      <c r="E566" s="8"/>
    </row>
    <row r="567" spans="1:5">
      <c r="A567" s="8"/>
      <c r="B567" s="8"/>
      <c r="C567" s="8"/>
      <c r="D567" s="8"/>
      <c r="E567" s="8"/>
    </row>
    <row r="568" spans="1:5">
      <c r="A568" s="8"/>
      <c r="B568" s="8"/>
      <c r="C568" s="8"/>
      <c r="D568" s="8"/>
      <c r="E568" s="8"/>
    </row>
    <row r="569" spans="1:5">
      <c r="A569" s="8"/>
      <c r="B569" s="8"/>
      <c r="C569" s="8"/>
      <c r="D569" s="8"/>
      <c r="E569" s="8"/>
    </row>
    <row r="570" spans="1:5">
      <c r="A570" s="8"/>
      <c r="B570" s="8"/>
      <c r="C570" s="8"/>
      <c r="D570" s="8"/>
      <c r="E570" s="8"/>
    </row>
    <row r="571" spans="1:5">
      <c r="A571" s="8"/>
      <c r="B571" s="8"/>
      <c r="C571" s="8"/>
      <c r="D571" s="8"/>
      <c r="E571" s="8"/>
    </row>
    <row r="572" spans="1:5">
      <c r="A572" s="8"/>
      <c r="B572" s="8"/>
      <c r="C572" s="8"/>
      <c r="D572" s="8"/>
      <c r="E572" s="8"/>
    </row>
    <row r="573" spans="1:5">
      <c r="A573" s="8"/>
      <c r="B573" s="8"/>
      <c r="C573" s="8"/>
      <c r="D573" s="8"/>
      <c r="E573" s="8"/>
    </row>
    <row r="574" spans="1:5">
      <c r="A574" s="8"/>
      <c r="B574" s="8"/>
      <c r="C574" s="8"/>
      <c r="D574" s="8"/>
      <c r="E574" s="8"/>
    </row>
    <row r="575" spans="1:5">
      <c r="A575" s="8"/>
      <c r="B575" s="8"/>
      <c r="C575" s="8"/>
      <c r="D575" s="8"/>
      <c r="E575" s="8"/>
    </row>
    <row r="576" spans="1:5">
      <c r="A576" s="8"/>
      <c r="B576" s="8"/>
      <c r="C576" s="8"/>
      <c r="D576" s="8"/>
      <c r="E576" s="8"/>
    </row>
    <row r="577" spans="1:5">
      <c r="A577" s="8"/>
      <c r="B577" s="8"/>
      <c r="C577" s="8"/>
      <c r="D577" s="8"/>
      <c r="E577" s="8"/>
    </row>
    <row r="578" spans="1:5">
      <c r="A578" s="8"/>
      <c r="B578" s="8"/>
      <c r="C578" s="8"/>
      <c r="D578" s="8"/>
      <c r="E578" s="8"/>
    </row>
    <row r="579" spans="1:5">
      <c r="A579" s="8"/>
      <c r="B579" s="8"/>
      <c r="C579" s="8"/>
      <c r="D579" s="8"/>
      <c r="E579" s="8"/>
    </row>
    <row r="580" spans="1:5">
      <c r="A580" s="8"/>
      <c r="B580" s="8"/>
      <c r="C580" s="8"/>
      <c r="D580" s="8"/>
      <c r="E580" s="8"/>
    </row>
    <row r="581" spans="1:5">
      <c r="A581" s="8"/>
      <c r="B581" s="8"/>
      <c r="C581" s="8"/>
      <c r="D581" s="8"/>
      <c r="E581" s="8"/>
    </row>
    <row r="582" spans="1:5">
      <c r="A582" s="8"/>
      <c r="B582" s="8"/>
      <c r="C582" s="8"/>
      <c r="D582" s="8"/>
      <c r="E582" s="8"/>
    </row>
    <row r="583" spans="1:5">
      <c r="A583" s="8"/>
      <c r="B583" s="8"/>
      <c r="C583" s="8"/>
      <c r="D583" s="8"/>
      <c r="E583" s="8"/>
    </row>
    <row r="584" spans="1:5">
      <c r="A584" s="8"/>
      <c r="B584" s="8"/>
      <c r="C584" s="8"/>
      <c r="D584" s="8"/>
      <c r="E584" s="8"/>
    </row>
    <row r="585" spans="1:5">
      <c r="A585" s="8"/>
      <c r="B585" s="8"/>
      <c r="C585" s="8"/>
      <c r="D585" s="8"/>
      <c r="E585" s="8"/>
    </row>
    <row r="586" spans="1:5">
      <c r="A586" s="8"/>
      <c r="B586" s="8"/>
      <c r="C586" s="8"/>
      <c r="D586" s="8"/>
      <c r="E586" s="8"/>
    </row>
    <row r="587" spans="1:5">
      <c r="A587" s="8"/>
      <c r="B587" s="8"/>
      <c r="C587" s="8"/>
      <c r="D587" s="8"/>
      <c r="E587" s="8"/>
    </row>
    <row r="588" spans="1:5">
      <c r="A588" s="8"/>
      <c r="B588" s="8"/>
      <c r="C588" s="8"/>
      <c r="D588" s="8"/>
      <c r="E588" s="8"/>
    </row>
    <row r="589" spans="1:5">
      <c r="A589" s="8"/>
      <c r="B589" s="8"/>
      <c r="C589" s="8"/>
      <c r="D589" s="8"/>
      <c r="E589" s="8"/>
    </row>
    <row r="590" spans="1:5">
      <c r="A590" s="8"/>
      <c r="B590" s="8"/>
      <c r="C590" s="8"/>
      <c r="D590" s="8"/>
      <c r="E590" s="8"/>
    </row>
    <row r="591" spans="1:5">
      <c r="A591" s="8"/>
      <c r="B591" s="8"/>
      <c r="C591" s="8"/>
      <c r="D591" s="8"/>
      <c r="E591" s="8"/>
    </row>
    <row r="592" spans="1:5">
      <c r="A592" s="8"/>
      <c r="B592" s="8"/>
      <c r="C592" s="8"/>
      <c r="D592" s="8"/>
      <c r="E592" s="8"/>
    </row>
    <row r="593" spans="1:5">
      <c r="A593" s="8"/>
      <c r="B593" s="8"/>
      <c r="C593" s="8"/>
      <c r="D593" s="8"/>
      <c r="E593" s="8"/>
    </row>
    <row r="594" spans="1:5">
      <c r="A594" s="8"/>
      <c r="B594" s="8"/>
      <c r="C594" s="8"/>
      <c r="D594" s="8"/>
      <c r="E594" s="8"/>
    </row>
    <row r="595" spans="1:5">
      <c r="A595" s="8"/>
      <c r="B595" s="8"/>
      <c r="C595" s="8"/>
      <c r="D595" s="8"/>
      <c r="E595" s="8"/>
    </row>
    <row r="596" spans="1:5">
      <c r="A596" s="8"/>
      <c r="B596" s="8"/>
      <c r="C596" s="8"/>
      <c r="D596" s="8"/>
      <c r="E596" s="8"/>
    </row>
    <row r="597" spans="1:5">
      <c r="A597" s="8"/>
      <c r="B597" s="8"/>
      <c r="C597" s="8"/>
      <c r="D597" s="8"/>
      <c r="E597" s="8"/>
    </row>
    <row r="598" spans="1:5">
      <c r="A598" s="8"/>
      <c r="B598" s="8"/>
      <c r="C598" s="8"/>
      <c r="D598" s="8"/>
      <c r="E598" s="8"/>
    </row>
    <row r="599" spans="1:5">
      <c r="A599" s="8"/>
      <c r="B599" s="8"/>
      <c r="C599" s="8"/>
      <c r="D599" s="8"/>
      <c r="E599" s="8"/>
    </row>
    <row r="600" spans="1:5">
      <c r="A600" s="8"/>
      <c r="B600" s="8"/>
      <c r="C600" s="8"/>
      <c r="D600" s="8"/>
      <c r="E600" s="8"/>
    </row>
    <row r="601" spans="1:5">
      <c r="A601" s="8"/>
      <c r="B601" s="8"/>
      <c r="C601" s="8"/>
      <c r="D601" s="8"/>
      <c r="E601" s="8"/>
    </row>
    <row r="602" spans="1:5">
      <c r="A602" s="8"/>
      <c r="B602" s="8"/>
      <c r="C602" s="8"/>
      <c r="D602" s="8"/>
      <c r="E602" s="8"/>
    </row>
    <row r="603" spans="1:5">
      <c r="A603" s="8"/>
      <c r="B603" s="8"/>
      <c r="C603" s="8"/>
      <c r="D603" s="8"/>
      <c r="E603" s="8"/>
    </row>
    <row r="604" spans="1:5">
      <c r="A604" s="8"/>
      <c r="B604" s="8"/>
      <c r="C604" s="8"/>
      <c r="D604" s="8"/>
      <c r="E604" s="8"/>
    </row>
    <row r="605" spans="1:5">
      <c r="A605" s="8"/>
      <c r="B605" s="8"/>
      <c r="C605" s="8"/>
      <c r="D605" s="8"/>
      <c r="E605" s="8"/>
    </row>
    <row r="606" spans="1:5">
      <c r="A606" s="8"/>
      <c r="B606" s="8"/>
      <c r="C606" s="8"/>
      <c r="D606" s="8"/>
      <c r="E606" s="8"/>
    </row>
    <row r="607" spans="1:5">
      <c r="A607" s="8"/>
      <c r="B607" s="8"/>
      <c r="C607" s="8"/>
      <c r="D607" s="8"/>
      <c r="E607" s="8"/>
    </row>
    <row r="608" spans="1:5">
      <c r="A608" s="8"/>
      <c r="B608" s="8"/>
      <c r="C608" s="8"/>
      <c r="D608" s="8"/>
      <c r="E608" s="8"/>
    </row>
    <row r="609" spans="1:5">
      <c r="A609" s="8"/>
      <c r="B609" s="8"/>
      <c r="C609" s="8"/>
      <c r="D609" s="8"/>
      <c r="E609" s="8"/>
    </row>
    <row r="610" spans="1:5">
      <c r="A610" s="8"/>
      <c r="B610" s="8"/>
      <c r="C610" s="8"/>
      <c r="D610" s="8"/>
      <c r="E610" s="8"/>
    </row>
    <row r="611" spans="1:5">
      <c r="A611" s="8"/>
      <c r="B611" s="8"/>
      <c r="C611" s="8"/>
      <c r="D611" s="8"/>
      <c r="E611" s="8"/>
    </row>
    <row r="612" spans="1:5">
      <c r="A612" s="8"/>
      <c r="B612" s="8"/>
      <c r="C612" s="8"/>
      <c r="D612" s="8"/>
      <c r="E612" s="8"/>
    </row>
    <row r="613" spans="1:5">
      <c r="A613" s="8"/>
      <c r="B613" s="8"/>
      <c r="C613" s="8"/>
      <c r="D613" s="8"/>
      <c r="E613" s="8"/>
    </row>
    <row r="614" spans="1:5">
      <c r="A614" s="8"/>
      <c r="B614" s="8"/>
      <c r="C614" s="8"/>
      <c r="D614" s="8"/>
      <c r="E614" s="8"/>
    </row>
    <row r="615" spans="1:5">
      <c r="A615" s="8"/>
      <c r="B615" s="8"/>
      <c r="C615" s="8"/>
      <c r="D615" s="8"/>
      <c r="E615" s="8"/>
    </row>
    <row r="616" spans="1:5">
      <c r="A616" s="8"/>
      <c r="B616" s="8"/>
      <c r="C616" s="8"/>
      <c r="D616" s="8"/>
      <c r="E616" s="8"/>
    </row>
    <row r="617" spans="1:5">
      <c r="A617" s="8"/>
      <c r="B617" s="8"/>
      <c r="C617" s="8"/>
      <c r="D617" s="8"/>
      <c r="E617" s="8"/>
    </row>
    <row r="618" spans="1:5">
      <c r="A618" s="8"/>
      <c r="B618" s="8"/>
      <c r="C618" s="8"/>
      <c r="D618" s="8"/>
      <c r="E618" s="8"/>
    </row>
    <row r="619" spans="1:5">
      <c r="A619" s="8"/>
      <c r="B619" s="8"/>
      <c r="C619" s="8"/>
      <c r="D619" s="8"/>
      <c r="E619" s="8"/>
    </row>
    <row r="620" spans="1:5">
      <c r="A620" s="8"/>
      <c r="B620" s="8"/>
      <c r="C620" s="8"/>
      <c r="D620" s="8"/>
      <c r="E620" s="8"/>
    </row>
    <row r="621" spans="1:5">
      <c r="A621" s="8"/>
      <c r="B621" s="8"/>
      <c r="C621" s="8"/>
      <c r="D621" s="8"/>
      <c r="E621" s="8"/>
    </row>
    <row r="622" spans="1:5">
      <c r="A622" s="8"/>
      <c r="B622" s="8"/>
      <c r="C622" s="8"/>
      <c r="D622" s="8"/>
      <c r="E622" s="8"/>
    </row>
    <row r="623" spans="1:5">
      <c r="A623" s="8"/>
      <c r="B623" s="8"/>
      <c r="C623" s="8"/>
      <c r="D623" s="8"/>
      <c r="E623" s="8"/>
    </row>
    <row r="624" spans="1:5">
      <c r="A624" s="8"/>
      <c r="B624" s="8"/>
      <c r="C624" s="8"/>
      <c r="D624" s="8"/>
      <c r="E624" s="8"/>
    </row>
    <row r="625" spans="1:5">
      <c r="A625" s="8"/>
      <c r="B625" s="8"/>
      <c r="C625" s="8"/>
      <c r="D625" s="8"/>
      <c r="E625" s="8"/>
    </row>
    <row r="626" spans="1:5">
      <c r="A626" s="8"/>
      <c r="B626" s="8"/>
      <c r="C626" s="8"/>
      <c r="D626" s="8"/>
      <c r="E626" s="8"/>
    </row>
    <row r="627" spans="1:5">
      <c r="A627" s="8"/>
      <c r="B627" s="8"/>
      <c r="C627" s="8"/>
      <c r="D627" s="8"/>
      <c r="E627" s="8"/>
    </row>
    <row r="628" spans="1:5">
      <c r="A628" s="8"/>
      <c r="B628" s="8"/>
      <c r="C628" s="8"/>
      <c r="D628" s="8"/>
      <c r="E628" s="8"/>
    </row>
    <row r="629" spans="1:5">
      <c r="A629" s="8"/>
      <c r="B629" s="8"/>
      <c r="C629" s="8"/>
      <c r="D629" s="8"/>
      <c r="E629" s="8"/>
    </row>
    <row r="630" spans="1:5">
      <c r="A630" s="8"/>
      <c r="B630" s="8"/>
      <c r="C630" s="8"/>
      <c r="D630" s="8"/>
      <c r="E630" s="8"/>
    </row>
    <row r="631" spans="1:5">
      <c r="A631" s="8"/>
      <c r="B631" s="8"/>
      <c r="C631" s="8"/>
      <c r="D631" s="8"/>
      <c r="E631" s="8"/>
    </row>
    <row r="632" spans="1:5">
      <c r="A632" s="8"/>
      <c r="B632" s="8"/>
      <c r="C632" s="8"/>
      <c r="D632" s="8"/>
      <c r="E632" s="8"/>
    </row>
    <row r="633" spans="1:5">
      <c r="A633" s="8"/>
      <c r="B633" s="8"/>
      <c r="C633" s="8"/>
      <c r="D633" s="8"/>
      <c r="E633" s="8"/>
    </row>
    <row r="634" spans="1:5">
      <c r="A634" s="8"/>
      <c r="B634" s="8"/>
      <c r="C634" s="8"/>
      <c r="D634" s="8"/>
      <c r="E634" s="8"/>
    </row>
    <row r="635" spans="1:5">
      <c r="A635" s="8"/>
      <c r="B635" s="8"/>
      <c r="C635" s="8"/>
      <c r="D635" s="8"/>
      <c r="E635" s="8"/>
    </row>
    <row r="636" spans="1:5">
      <c r="A636" s="8"/>
      <c r="B636" s="8"/>
      <c r="C636" s="8"/>
      <c r="D636" s="8"/>
      <c r="E636" s="8"/>
    </row>
    <row r="637" spans="1:5">
      <c r="A637" s="8"/>
      <c r="B637" s="8"/>
      <c r="C637" s="8"/>
      <c r="D637" s="8"/>
      <c r="E637" s="8"/>
    </row>
    <row r="638" spans="1:5">
      <c r="A638" s="8"/>
      <c r="B638" s="8"/>
      <c r="C638" s="8"/>
      <c r="D638" s="8"/>
      <c r="E638" s="8"/>
    </row>
    <row r="639" spans="1:5">
      <c r="A639" s="8"/>
      <c r="B639" s="8"/>
      <c r="C639" s="8"/>
      <c r="D639" s="8"/>
      <c r="E639" s="8"/>
    </row>
    <row r="640" spans="1:5">
      <c r="A640" s="8"/>
      <c r="B640" s="8"/>
      <c r="C640" s="8"/>
      <c r="D640" s="8"/>
      <c r="E640" s="8"/>
    </row>
    <row r="641" spans="1:5">
      <c r="A641" s="8"/>
      <c r="B641" s="8"/>
      <c r="C641" s="8"/>
      <c r="D641" s="8"/>
      <c r="E641" s="8"/>
    </row>
    <row r="642" spans="1:5">
      <c r="A642" s="8"/>
      <c r="B642" s="8"/>
      <c r="C642" s="8"/>
      <c r="D642" s="8"/>
      <c r="E642" s="8"/>
    </row>
    <row r="643" spans="1:5">
      <c r="A643" s="8"/>
      <c r="B643" s="8"/>
      <c r="C643" s="8"/>
      <c r="D643" s="8"/>
      <c r="E643" s="8"/>
    </row>
    <row r="644" spans="1:5">
      <c r="A644" s="8"/>
      <c r="B644" s="8"/>
      <c r="C644" s="8"/>
      <c r="D644" s="8"/>
      <c r="E644" s="8"/>
    </row>
    <row r="645" spans="1:5">
      <c r="A645" s="8"/>
      <c r="B645" s="8"/>
      <c r="C645" s="8"/>
      <c r="D645" s="8"/>
      <c r="E645" s="8"/>
    </row>
    <row r="646" spans="1:5">
      <c r="A646" s="8"/>
      <c r="B646" s="8"/>
      <c r="C646" s="8"/>
      <c r="D646" s="8"/>
      <c r="E646" s="8"/>
    </row>
    <row r="647" spans="1:5">
      <c r="A647" s="8"/>
      <c r="B647" s="8"/>
      <c r="C647" s="8"/>
      <c r="D647" s="8"/>
      <c r="E647" s="8"/>
    </row>
    <row r="648" spans="1:5">
      <c r="A648" s="8"/>
      <c r="B648" s="8"/>
      <c r="C648" s="8"/>
      <c r="D648" s="8"/>
      <c r="E648" s="8"/>
    </row>
    <row r="649" spans="1:5">
      <c r="A649" s="8"/>
      <c r="B649" s="8"/>
      <c r="C649" s="8"/>
      <c r="D649" s="8"/>
      <c r="E649" s="8"/>
    </row>
    <row r="650" spans="1:5">
      <c r="A650" s="8"/>
      <c r="B650" s="8"/>
      <c r="C650" s="8"/>
      <c r="D650" s="8"/>
      <c r="E650" s="8"/>
    </row>
    <row r="651" spans="1:5">
      <c r="A651" s="8"/>
      <c r="B651" s="8"/>
      <c r="C651" s="8"/>
      <c r="D651" s="8"/>
      <c r="E651" s="8"/>
    </row>
    <row r="652" spans="1:5">
      <c r="A652" s="8"/>
      <c r="B652" s="8"/>
      <c r="C652" s="8"/>
      <c r="D652" s="8"/>
      <c r="E652" s="8"/>
    </row>
    <row r="653" spans="1:5">
      <c r="A653" s="8"/>
      <c r="B653" s="8"/>
      <c r="C653" s="8"/>
      <c r="D653" s="8"/>
      <c r="E653" s="8"/>
    </row>
    <row r="654" spans="1:5">
      <c r="A654" s="8"/>
      <c r="B654" s="8"/>
      <c r="C654" s="8"/>
      <c r="D654" s="8"/>
      <c r="E654" s="8"/>
    </row>
    <row r="655" spans="1:5">
      <c r="A655" s="8"/>
      <c r="B655" s="8"/>
      <c r="C655" s="8"/>
      <c r="D655" s="8"/>
      <c r="E655" s="8"/>
    </row>
    <row r="656" spans="1:5">
      <c r="A656" s="8"/>
      <c r="B656" s="8"/>
      <c r="C656" s="8"/>
      <c r="D656" s="8"/>
      <c r="E656" s="8"/>
    </row>
    <row r="657" spans="1:5">
      <c r="A657" s="8"/>
      <c r="B657" s="8"/>
      <c r="C657" s="8"/>
      <c r="D657" s="8"/>
      <c r="E657" s="8"/>
    </row>
    <row r="658" spans="1:5">
      <c r="A658" s="8"/>
      <c r="B658" s="8"/>
      <c r="C658" s="8"/>
      <c r="D658" s="8"/>
      <c r="E658" s="8"/>
    </row>
    <row r="659" spans="1:5">
      <c r="A659" s="8"/>
      <c r="B659" s="8"/>
      <c r="C659" s="8"/>
      <c r="D659" s="8"/>
      <c r="E659" s="8"/>
    </row>
    <row r="660" spans="1:5">
      <c r="A660" s="8"/>
      <c r="B660" s="8"/>
      <c r="C660" s="8"/>
      <c r="D660" s="8"/>
      <c r="E660" s="8"/>
    </row>
    <row r="661" spans="1:5">
      <c r="A661" s="8"/>
      <c r="B661" s="8"/>
      <c r="C661" s="8"/>
      <c r="D661" s="8"/>
      <c r="E661" s="8"/>
    </row>
    <row r="662" spans="1:5">
      <c r="A662" s="8"/>
      <c r="B662" s="8"/>
      <c r="C662" s="8"/>
      <c r="D662" s="8"/>
      <c r="E662" s="8"/>
    </row>
    <row r="663" spans="1:5">
      <c r="A663" s="8"/>
      <c r="B663" s="8"/>
      <c r="C663" s="8"/>
      <c r="D663" s="8"/>
      <c r="E663" s="8"/>
    </row>
    <row r="664" spans="1:5">
      <c r="A664" s="8"/>
      <c r="B664" s="8"/>
      <c r="C664" s="8"/>
      <c r="D664" s="8"/>
      <c r="E664" s="8"/>
    </row>
    <row r="665" spans="1:5">
      <c r="A665" s="8"/>
      <c r="B665" s="8"/>
      <c r="C665" s="8"/>
      <c r="D665" s="8"/>
      <c r="E665" s="8"/>
    </row>
    <row r="666" spans="1:5">
      <c r="A666" s="8"/>
      <c r="B666" s="8"/>
      <c r="C666" s="8"/>
      <c r="D666" s="8"/>
      <c r="E666" s="8"/>
    </row>
    <row r="667" spans="1:5">
      <c r="A667" s="8"/>
      <c r="B667" s="8"/>
      <c r="C667" s="8"/>
      <c r="D667" s="8"/>
      <c r="E667" s="8"/>
    </row>
    <row r="668" spans="1:5">
      <c r="A668" s="8"/>
      <c r="B668" s="8"/>
      <c r="C668" s="8"/>
      <c r="D668" s="8"/>
      <c r="E668" s="8"/>
    </row>
    <row r="669" spans="1:5">
      <c r="A669" s="8"/>
      <c r="B669" s="8"/>
      <c r="C669" s="8"/>
      <c r="D669" s="8"/>
      <c r="E669" s="8"/>
    </row>
    <row r="670" spans="1:5">
      <c r="A670" s="8"/>
      <c r="B670" s="8"/>
      <c r="C670" s="8"/>
      <c r="D670" s="8"/>
      <c r="E670" s="8"/>
    </row>
    <row r="671" spans="1:5">
      <c r="A671" s="8"/>
      <c r="B671" s="8"/>
      <c r="C671" s="8"/>
      <c r="D671" s="8"/>
      <c r="E671" s="8"/>
    </row>
    <row r="672" spans="1:5">
      <c r="A672" s="8"/>
      <c r="B672" s="8"/>
      <c r="C672" s="8"/>
      <c r="D672" s="8"/>
      <c r="E672" s="8"/>
    </row>
    <row r="673" spans="1:5">
      <c r="A673" s="8"/>
      <c r="B673" s="8"/>
      <c r="C673" s="8"/>
      <c r="D673" s="8"/>
      <c r="E673" s="8"/>
    </row>
    <row r="674" spans="1:5">
      <c r="A674" s="8"/>
      <c r="B674" s="8"/>
      <c r="C674" s="8"/>
      <c r="D674" s="8"/>
      <c r="E674" s="8"/>
    </row>
    <row r="675" spans="1:5">
      <c r="A675" s="8"/>
      <c r="B675" s="8"/>
      <c r="C675" s="8"/>
      <c r="D675" s="8"/>
      <c r="E675" s="8"/>
    </row>
    <row r="676" spans="1:5">
      <c r="A676" s="8"/>
      <c r="B676" s="8"/>
      <c r="C676" s="8"/>
      <c r="D676" s="8"/>
      <c r="E676" s="8"/>
    </row>
    <row r="677" spans="1:5">
      <c r="A677" s="8"/>
      <c r="B677" s="8"/>
      <c r="C677" s="8"/>
      <c r="D677" s="8"/>
      <c r="E677" s="8"/>
    </row>
    <row r="678" spans="1:5">
      <c r="A678" s="8"/>
      <c r="B678" s="8"/>
      <c r="C678" s="8"/>
      <c r="D678" s="8"/>
      <c r="E678" s="8"/>
    </row>
    <row r="679" spans="1:5">
      <c r="A679" s="8"/>
      <c r="B679" s="8"/>
      <c r="C679" s="8"/>
      <c r="D679" s="8"/>
      <c r="E679" s="8"/>
    </row>
    <row r="680" spans="1:5">
      <c r="A680" s="8"/>
      <c r="B680" s="8"/>
      <c r="C680" s="8"/>
      <c r="D680" s="8"/>
      <c r="E680" s="8"/>
    </row>
    <row r="681" spans="1:5">
      <c r="A681" s="8"/>
      <c r="B681" s="8"/>
      <c r="C681" s="8"/>
      <c r="D681" s="8"/>
      <c r="E681" s="8"/>
    </row>
    <row r="682" spans="1:5">
      <c r="A682" s="8"/>
      <c r="B682" s="8"/>
      <c r="C682" s="8"/>
      <c r="D682" s="8"/>
      <c r="E682" s="8"/>
    </row>
    <row r="683" spans="1:5">
      <c r="A683" s="8"/>
      <c r="B683" s="8"/>
      <c r="C683" s="8"/>
      <c r="D683" s="8"/>
      <c r="E683" s="8"/>
    </row>
    <row r="684" spans="1:5">
      <c r="A684" s="8"/>
      <c r="B684" s="8"/>
      <c r="C684" s="8"/>
      <c r="D684" s="8"/>
      <c r="E684" s="8"/>
    </row>
    <row r="685" spans="1:5">
      <c r="A685" s="8"/>
      <c r="B685" s="8"/>
      <c r="C685" s="8"/>
      <c r="D685" s="8"/>
      <c r="E685" s="8"/>
    </row>
    <row r="686" spans="1:5">
      <c r="A686" s="8"/>
      <c r="B686" s="8"/>
      <c r="C686" s="8"/>
      <c r="D686" s="8"/>
      <c r="E686" s="8"/>
    </row>
    <row r="687" spans="1:5">
      <c r="A687" s="8"/>
      <c r="B687" s="8"/>
      <c r="C687" s="8"/>
      <c r="D687" s="8"/>
      <c r="E687" s="8"/>
    </row>
    <row r="688" spans="1:5">
      <c r="A688" s="8"/>
      <c r="B688" s="8"/>
      <c r="C688" s="8"/>
      <c r="D688" s="8"/>
      <c r="E688" s="8"/>
    </row>
    <row r="689" spans="1:5">
      <c r="A689" s="8"/>
      <c r="B689" s="8"/>
      <c r="C689" s="8"/>
      <c r="D689" s="8"/>
      <c r="E689" s="8"/>
    </row>
    <row r="690" spans="1:5">
      <c r="A690" s="8"/>
      <c r="B690" s="8"/>
      <c r="C690" s="8"/>
      <c r="D690" s="8"/>
      <c r="E690" s="8"/>
    </row>
    <row r="691" spans="1:5">
      <c r="A691" s="8"/>
      <c r="B691" s="8"/>
      <c r="C691" s="8"/>
      <c r="D691" s="8"/>
      <c r="E691" s="8"/>
    </row>
    <row r="692" spans="1:5">
      <c r="A692" s="8"/>
      <c r="B692" s="8"/>
      <c r="C692" s="8"/>
      <c r="D692" s="8"/>
      <c r="E692" s="8"/>
    </row>
    <row r="693" spans="1:5">
      <c r="A693" s="8"/>
      <c r="B693" s="8"/>
      <c r="C693" s="8"/>
      <c r="D693" s="8"/>
      <c r="E693" s="8"/>
    </row>
    <row r="694" spans="1:5">
      <c r="A694" s="8"/>
      <c r="B694" s="8"/>
      <c r="C694" s="8"/>
      <c r="D694" s="8"/>
      <c r="E694" s="8"/>
    </row>
    <row r="695" spans="1:5">
      <c r="A695" s="8"/>
      <c r="B695" s="8"/>
      <c r="C695" s="8"/>
      <c r="D695" s="8"/>
      <c r="E695" s="8"/>
    </row>
    <row r="696" spans="1:5">
      <c r="A696" s="8"/>
      <c r="B696" s="8"/>
      <c r="C696" s="8"/>
      <c r="D696" s="8"/>
      <c r="E696" s="8"/>
    </row>
    <row r="697" spans="1:5">
      <c r="A697" s="8"/>
      <c r="B697" s="8"/>
      <c r="C697" s="8"/>
      <c r="D697" s="8"/>
      <c r="E697" s="8"/>
    </row>
    <row r="698" spans="1:5">
      <c r="A698" s="8"/>
      <c r="B698" s="8"/>
      <c r="C698" s="8"/>
      <c r="D698" s="8"/>
      <c r="E698" s="8"/>
    </row>
    <row r="699" spans="1:5">
      <c r="A699" s="8"/>
      <c r="B699" s="8"/>
      <c r="C699" s="8"/>
      <c r="D699" s="8"/>
      <c r="E699" s="8"/>
    </row>
    <row r="700" spans="1:5">
      <c r="A700" s="8"/>
      <c r="B700" s="8"/>
      <c r="C700" s="8"/>
      <c r="D700" s="8"/>
      <c r="E700" s="8"/>
    </row>
    <row r="701" spans="1:5">
      <c r="A701" s="8"/>
      <c r="B701" s="8"/>
      <c r="C701" s="8"/>
      <c r="D701" s="8"/>
      <c r="E701" s="8"/>
    </row>
    <row r="702" spans="1:5">
      <c r="A702" s="8"/>
      <c r="B702" s="8"/>
      <c r="C702" s="8"/>
      <c r="D702" s="8"/>
      <c r="E702" s="8"/>
    </row>
    <row r="703" spans="1:5">
      <c r="A703" s="8"/>
      <c r="B703" s="8"/>
      <c r="C703" s="8"/>
      <c r="D703" s="8"/>
      <c r="E703" s="8"/>
    </row>
    <row r="704" spans="1:5">
      <c r="A704" s="8"/>
      <c r="B704" s="8"/>
      <c r="C704" s="8"/>
      <c r="D704" s="8"/>
      <c r="E704" s="8"/>
    </row>
    <row r="705" spans="1:5">
      <c r="A705" s="8"/>
      <c r="B705" s="8"/>
      <c r="C705" s="8"/>
      <c r="D705" s="8"/>
      <c r="E705" s="8"/>
    </row>
    <row r="706" spans="1:5">
      <c r="A706" s="8"/>
      <c r="B706" s="8"/>
      <c r="C706" s="8"/>
      <c r="D706" s="8"/>
      <c r="E706" s="8"/>
    </row>
    <row r="707" spans="1:5">
      <c r="A707" s="8"/>
      <c r="B707" s="8"/>
      <c r="C707" s="8"/>
      <c r="D707" s="8"/>
      <c r="E707" s="8"/>
    </row>
    <row r="708" spans="1:5">
      <c r="A708" s="8"/>
      <c r="B708" s="8"/>
      <c r="C708" s="8"/>
      <c r="D708" s="8"/>
      <c r="E708" s="8"/>
    </row>
    <row r="709" spans="1:5">
      <c r="A709" s="8"/>
      <c r="B709" s="8"/>
      <c r="C709" s="8"/>
      <c r="D709" s="8"/>
      <c r="E709" s="8"/>
    </row>
    <row r="710" spans="1:5">
      <c r="A710" s="8"/>
      <c r="B710" s="8"/>
      <c r="C710" s="8"/>
      <c r="D710" s="8"/>
      <c r="E710" s="8"/>
    </row>
    <row r="711" spans="1:5">
      <c r="A711" s="8"/>
      <c r="B711" s="8"/>
      <c r="C711" s="8"/>
      <c r="D711" s="8"/>
      <c r="E711" s="8"/>
    </row>
    <row r="712" spans="1:5">
      <c r="A712" s="8"/>
      <c r="B712" s="8"/>
      <c r="C712" s="8"/>
      <c r="D712" s="8"/>
      <c r="E712" s="8"/>
    </row>
    <row r="713" spans="1:5">
      <c r="A713" s="8"/>
      <c r="B713" s="8"/>
      <c r="C713" s="8"/>
      <c r="D713" s="8"/>
      <c r="E713" s="8"/>
    </row>
    <row r="714" spans="1:5">
      <c r="A714" s="8"/>
      <c r="B714" s="8"/>
      <c r="C714" s="8"/>
      <c r="D714" s="8"/>
      <c r="E714" s="8"/>
    </row>
    <row r="715" spans="1:5">
      <c r="A715" s="8"/>
      <c r="B715" s="8"/>
      <c r="C715" s="8"/>
      <c r="D715" s="8"/>
      <c r="E715" s="8"/>
    </row>
    <row r="716" spans="1:5">
      <c r="A716" s="8"/>
      <c r="B716" s="8"/>
      <c r="C716" s="8"/>
      <c r="D716" s="8"/>
      <c r="E716" s="8"/>
    </row>
    <row r="717" spans="1:5">
      <c r="A717" s="8"/>
      <c r="B717" s="8"/>
      <c r="C717" s="8"/>
      <c r="D717" s="8"/>
      <c r="E717" s="8"/>
    </row>
    <row r="718" spans="1:5">
      <c r="A718" s="8"/>
      <c r="B718" s="8"/>
      <c r="C718" s="8"/>
      <c r="D718" s="8"/>
      <c r="E718" s="8"/>
    </row>
    <row r="719" spans="1:5">
      <c r="A719" s="8"/>
      <c r="B719" s="8"/>
      <c r="C719" s="8"/>
      <c r="D719" s="8"/>
      <c r="E719" s="8"/>
    </row>
    <row r="720" spans="1:5">
      <c r="A720" s="8"/>
      <c r="B720" s="8"/>
      <c r="C720" s="8"/>
      <c r="D720" s="8"/>
      <c r="E720" s="8"/>
    </row>
    <row r="721" spans="1:5">
      <c r="A721" s="8"/>
      <c r="B721" s="8"/>
      <c r="C721" s="8"/>
      <c r="D721" s="8"/>
      <c r="E721" s="8"/>
    </row>
    <row r="722" spans="1:5">
      <c r="A722" s="8"/>
      <c r="B722" s="8"/>
      <c r="C722" s="8"/>
      <c r="D722" s="8"/>
      <c r="E722" s="8"/>
    </row>
    <row r="723" spans="1:5">
      <c r="A723" s="8"/>
      <c r="B723" s="8"/>
      <c r="C723" s="8"/>
      <c r="D723" s="8"/>
      <c r="E723" s="8"/>
    </row>
    <row r="724" spans="1:5">
      <c r="A724" s="8"/>
      <c r="B724" s="8"/>
      <c r="C724" s="8"/>
      <c r="D724" s="8"/>
      <c r="E724" s="8"/>
    </row>
    <row r="725" spans="1:5">
      <c r="A725" s="8"/>
      <c r="B725" s="8"/>
      <c r="C725" s="8"/>
      <c r="D725" s="8"/>
      <c r="E725" s="8"/>
    </row>
    <row r="726" spans="1:5">
      <c r="A726" s="8"/>
      <c r="B726" s="8"/>
      <c r="C726" s="8"/>
      <c r="D726" s="8"/>
      <c r="E726" s="8"/>
    </row>
    <row r="727" spans="1:5">
      <c r="A727" s="8"/>
      <c r="B727" s="8"/>
      <c r="C727" s="8"/>
      <c r="D727" s="8"/>
      <c r="E727" s="8"/>
    </row>
    <row r="728" spans="1:5">
      <c r="A728" s="8"/>
      <c r="B728" s="8"/>
      <c r="C728" s="8"/>
      <c r="D728" s="8"/>
      <c r="E728" s="8"/>
    </row>
    <row r="729" spans="1:5">
      <c r="A729" s="8"/>
      <c r="B729" s="8"/>
      <c r="C729" s="8"/>
      <c r="D729" s="8"/>
      <c r="E729" s="8"/>
    </row>
    <row r="730" spans="1:5">
      <c r="A730" s="8"/>
      <c r="B730" s="8"/>
      <c r="C730" s="8"/>
      <c r="D730" s="8"/>
      <c r="E730" s="8"/>
    </row>
    <row r="731" spans="1:5">
      <c r="A731" s="8"/>
      <c r="B731" s="8"/>
      <c r="C731" s="8"/>
      <c r="D731" s="8"/>
      <c r="E731" s="8"/>
    </row>
    <row r="732" spans="1:5">
      <c r="A732" s="8"/>
      <c r="B732" s="8"/>
      <c r="C732" s="8"/>
      <c r="D732" s="8"/>
      <c r="E732" s="8"/>
    </row>
    <row r="733" spans="1:5">
      <c r="A733" s="8"/>
      <c r="B733" s="8"/>
      <c r="C733" s="8"/>
      <c r="D733" s="8"/>
      <c r="E733" s="8"/>
    </row>
    <row r="734" spans="1:5">
      <c r="A734" s="8"/>
      <c r="B734" s="8"/>
      <c r="C734" s="8"/>
      <c r="D734" s="8"/>
      <c r="E734" s="8"/>
    </row>
    <row r="735" spans="1:5">
      <c r="A735" s="8"/>
      <c r="B735" s="8"/>
      <c r="C735" s="8"/>
      <c r="D735" s="8"/>
      <c r="E735" s="8"/>
    </row>
    <row r="736" spans="1:5">
      <c r="A736" s="8"/>
      <c r="B736" s="8"/>
      <c r="C736" s="8"/>
      <c r="D736" s="8"/>
      <c r="E736" s="8"/>
    </row>
    <row r="737" spans="1:5">
      <c r="A737" s="8"/>
      <c r="B737" s="8"/>
      <c r="C737" s="8"/>
      <c r="D737" s="8"/>
      <c r="E737" s="8"/>
    </row>
    <row r="738" spans="1:5">
      <c r="A738" s="8"/>
      <c r="B738" s="8"/>
      <c r="C738" s="8"/>
      <c r="D738" s="8"/>
      <c r="E738" s="8"/>
    </row>
    <row r="739" spans="1:5">
      <c r="A739" s="8"/>
      <c r="B739" s="8"/>
      <c r="C739" s="8"/>
      <c r="D739" s="8"/>
      <c r="E739" s="8"/>
    </row>
    <row r="740" spans="1:5">
      <c r="A740" s="8"/>
      <c r="B740" s="8"/>
      <c r="C740" s="8"/>
      <c r="D740" s="8"/>
      <c r="E740" s="8"/>
    </row>
    <row r="741" spans="1:5">
      <c r="A741" s="8"/>
      <c r="B741" s="8"/>
      <c r="C741" s="8"/>
      <c r="D741" s="8"/>
      <c r="E741" s="8"/>
    </row>
    <row r="742" spans="1:5">
      <c r="A742" s="8"/>
      <c r="B742" s="8"/>
      <c r="C742" s="8"/>
      <c r="D742" s="8"/>
      <c r="E742" s="8"/>
    </row>
    <row r="743" spans="1:5">
      <c r="A743" s="8"/>
      <c r="B743" s="8"/>
      <c r="C743" s="8"/>
      <c r="D743" s="8"/>
      <c r="E743" s="8"/>
    </row>
    <row r="744" spans="1:5">
      <c r="A744" s="8"/>
      <c r="B744" s="8"/>
      <c r="C744" s="8"/>
      <c r="D744" s="8"/>
      <c r="E744" s="8"/>
    </row>
    <row r="745" spans="1:5">
      <c r="A745" s="8"/>
      <c r="B745" s="8"/>
      <c r="C745" s="8"/>
      <c r="D745" s="8"/>
      <c r="E745" s="8"/>
    </row>
    <row r="746" spans="1:5">
      <c r="A746" s="8"/>
      <c r="B746" s="8"/>
      <c r="C746" s="8"/>
      <c r="D746" s="8"/>
      <c r="E746" s="8"/>
    </row>
    <row r="747" spans="1:5">
      <c r="A747" s="8"/>
      <c r="B747" s="8"/>
      <c r="C747" s="8"/>
      <c r="D747" s="8"/>
      <c r="E747" s="8"/>
    </row>
    <row r="748" spans="1:5">
      <c r="A748" s="8"/>
      <c r="B748" s="8"/>
      <c r="C748" s="8"/>
      <c r="D748" s="8"/>
      <c r="E748" s="8"/>
    </row>
    <row r="749" spans="1:5">
      <c r="A749" s="8"/>
      <c r="B749" s="8"/>
      <c r="C749" s="8"/>
      <c r="D749" s="8"/>
      <c r="E749" s="8"/>
    </row>
    <row r="750" spans="1:5">
      <c r="A750" s="8"/>
      <c r="B750" s="8"/>
      <c r="C750" s="8"/>
      <c r="D750" s="8"/>
      <c r="E750" s="8"/>
    </row>
    <row r="751" spans="1:5">
      <c r="A751" s="8"/>
      <c r="B751" s="8"/>
      <c r="C751" s="8"/>
      <c r="D751" s="8"/>
      <c r="E751" s="8"/>
    </row>
    <row r="752" spans="1:5">
      <c r="A752" s="8"/>
      <c r="B752" s="8"/>
      <c r="C752" s="8"/>
      <c r="D752" s="8"/>
      <c r="E752" s="8"/>
    </row>
    <row r="753" spans="1:5">
      <c r="A753" s="8"/>
      <c r="B753" s="8"/>
      <c r="C753" s="8"/>
      <c r="D753" s="8"/>
      <c r="E753" s="8"/>
    </row>
    <row r="754" spans="1:5">
      <c r="A754" s="8"/>
      <c r="B754" s="8"/>
      <c r="C754" s="8"/>
      <c r="D754" s="8"/>
      <c r="E754" s="8"/>
    </row>
    <row r="755" spans="1:5">
      <c r="A755" s="8"/>
      <c r="B755" s="8"/>
      <c r="C755" s="8"/>
      <c r="D755" s="8"/>
      <c r="E755" s="8"/>
    </row>
    <row r="756" spans="1:5">
      <c r="A756" s="8"/>
      <c r="B756" s="8"/>
      <c r="C756" s="8"/>
      <c r="D756" s="8"/>
      <c r="E756" s="8"/>
    </row>
    <row r="757" spans="1:5">
      <c r="A757" s="8"/>
      <c r="B757" s="8"/>
      <c r="C757" s="8"/>
      <c r="D757" s="8"/>
      <c r="E757" s="8"/>
    </row>
    <row r="758" spans="1:5">
      <c r="A758" s="8"/>
      <c r="B758" s="8"/>
      <c r="C758" s="8"/>
      <c r="D758" s="8"/>
      <c r="E758" s="8"/>
    </row>
    <row r="759" spans="1:5">
      <c r="A759" s="8"/>
      <c r="B759" s="8"/>
      <c r="C759" s="8"/>
      <c r="D759" s="8"/>
      <c r="E759" s="8"/>
    </row>
    <row r="760" spans="1:5">
      <c r="A760" s="8"/>
      <c r="B760" s="8"/>
      <c r="C760" s="8"/>
      <c r="D760" s="8"/>
      <c r="E760" s="8"/>
    </row>
    <row r="761" spans="1:5">
      <c r="A761" s="8"/>
      <c r="B761" s="8"/>
      <c r="C761" s="8"/>
      <c r="D761" s="8"/>
      <c r="E761" s="8"/>
    </row>
    <row r="762" spans="1:5">
      <c r="A762" s="8"/>
      <c r="B762" s="8"/>
      <c r="C762" s="8"/>
      <c r="D762" s="8"/>
      <c r="E762" s="8"/>
    </row>
    <row r="763" spans="1:5">
      <c r="A763" s="8"/>
      <c r="B763" s="8"/>
      <c r="C763" s="8"/>
      <c r="D763" s="8"/>
      <c r="E763" s="8"/>
    </row>
    <row r="764" spans="1:5">
      <c r="A764" s="8"/>
      <c r="B764" s="8"/>
      <c r="C764" s="8"/>
      <c r="D764" s="8"/>
      <c r="E764" s="8"/>
    </row>
    <row r="765" spans="1:5">
      <c r="A765" s="8"/>
      <c r="B765" s="8"/>
      <c r="C765" s="8"/>
      <c r="D765" s="8"/>
      <c r="E765" s="8"/>
    </row>
    <row r="766" spans="1:5">
      <c r="A766" s="8"/>
      <c r="B766" s="8"/>
      <c r="C766" s="8"/>
      <c r="D766" s="8"/>
      <c r="E766" s="8"/>
    </row>
    <row r="767" spans="1:5">
      <c r="A767" s="8"/>
      <c r="B767" s="8"/>
      <c r="C767" s="8"/>
      <c r="D767" s="8"/>
      <c r="E767" s="8"/>
    </row>
    <row r="768" spans="1:5">
      <c r="A768" s="8"/>
      <c r="B768" s="8"/>
      <c r="C768" s="8"/>
      <c r="D768" s="8"/>
      <c r="E768" s="8"/>
    </row>
    <row r="769" spans="1:5">
      <c r="A769" s="8"/>
      <c r="B769" s="8"/>
      <c r="C769" s="8"/>
      <c r="D769" s="8"/>
      <c r="E769" s="8"/>
    </row>
    <row r="770" spans="1:5">
      <c r="A770" s="8"/>
      <c r="B770" s="8"/>
      <c r="C770" s="8"/>
      <c r="D770" s="8"/>
      <c r="E770" s="8"/>
    </row>
    <row r="771" spans="1:5">
      <c r="A771" s="8"/>
      <c r="B771" s="8"/>
      <c r="C771" s="8"/>
      <c r="D771" s="8"/>
      <c r="E771" s="8"/>
    </row>
    <row r="772" spans="1:5">
      <c r="A772" s="8"/>
      <c r="B772" s="8"/>
      <c r="C772" s="8"/>
      <c r="D772" s="8"/>
      <c r="E772" s="8"/>
    </row>
    <row r="773" spans="1:5">
      <c r="A773" s="8"/>
      <c r="B773" s="8"/>
      <c r="C773" s="8"/>
      <c r="D773" s="8"/>
      <c r="E773" s="8"/>
    </row>
    <row r="774" spans="1:5">
      <c r="A774" s="8"/>
      <c r="B774" s="8"/>
      <c r="C774" s="8"/>
      <c r="D774" s="8"/>
      <c r="E774" s="8"/>
    </row>
    <row r="775" spans="1:5">
      <c r="A775" s="8"/>
      <c r="B775" s="8"/>
      <c r="C775" s="8"/>
      <c r="D775" s="8"/>
      <c r="E775" s="8"/>
    </row>
    <row r="776" spans="1:5">
      <c r="A776" s="8"/>
      <c r="B776" s="8"/>
      <c r="C776" s="8"/>
      <c r="D776" s="8"/>
      <c r="E776" s="8"/>
    </row>
    <row r="777" spans="1:5">
      <c r="A777" s="8"/>
      <c r="B777" s="8"/>
      <c r="C777" s="8"/>
      <c r="D777" s="8"/>
      <c r="E777" s="8"/>
    </row>
    <row r="778" spans="1:5">
      <c r="A778" s="8"/>
      <c r="B778" s="8"/>
      <c r="C778" s="8"/>
      <c r="D778" s="8"/>
      <c r="E778" s="8"/>
    </row>
    <row r="779" spans="1:5">
      <c r="A779" s="8"/>
      <c r="B779" s="8"/>
      <c r="C779" s="8"/>
      <c r="D779" s="8"/>
      <c r="E779" s="8"/>
    </row>
    <row r="780" spans="1:5">
      <c r="A780" s="8"/>
      <c r="B780" s="8"/>
      <c r="C780" s="8"/>
      <c r="D780" s="8"/>
      <c r="E780" s="8"/>
    </row>
    <row r="781" spans="1:5">
      <c r="A781" s="8"/>
      <c r="B781" s="8"/>
      <c r="C781" s="8"/>
      <c r="D781" s="8"/>
      <c r="E781" s="8"/>
    </row>
    <row r="782" spans="1:5">
      <c r="A782" s="8"/>
      <c r="B782" s="8"/>
      <c r="C782" s="8"/>
      <c r="D782" s="8"/>
      <c r="E782" s="8"/>
    </row>
    <row r="783" spans="1:5">
      <c r="A783" s="8"/>
      <c r="B783" s="8"/>
      <c r="C783" s="8"/>
      <c r="D783" s="8"/>
      <c r="E783" s="8"/>
    </row>
    <row r="784" spans="1:5">
      <c r="A784" s="8"/>
      <c r="B784" s="8"/>
      <c r="C784" s="8"/>
      <c r="D784" s="8"/>
      <c r="E784" s="8"/>
    </row>
    <row r="785" spans="1:5">
      <c r="A785" s="8"/>
      <c r="B785" s="8"/>
      <c r="C785" s="8"/>
      <c r="D785" s="8"/>
      <c r="E785" s="8"/>
    </row>
    <row r="786" spans="1:5">
      <c r="A786" s="8"/>
      <c r="B786" s="8"/>
      <c r="C786" s="8"/>
      <c r="D786" s="8"/>
      <c r="E786" s="8"/>
    </row>
    <row r="787" spans="1:5">
      <c r="A787" s="8"/>
      <c r="B787" s="8"/>
      <c r="C787" s="8"/>
      <c r="D787" s="8"/>
      <c r="E787" s="8"/>
    </row>
    <row r="788" spans="1:5">
      <c r="A788" s="8"/>
      <c r="B788" s="8"/>
      <c r="C788" s="8"/>
      <c r="D788" s="8"/>
      <c r="E788" s="8"/>
    </row>
    <row r="789" spans="1:5">
      <c r="A789" s="8"/>
      <c r="B789" s="8"/>
      <c r="C789" s="8"/>
      <c r="D789" s="8"/>
      <c r="E789" s="8"/>
    </row>
    <row r="790" spans="1:5">
      <c r="A790" s="8"/>
      <c r="B790" s="8"/>
      <c r="C790" s="8"/>
      <c r="D790" s="8"/>
      <c r="E790" s="8"/>
    </row>
    <row r="791" spans="1:5">
      <c r="A791" s="8"/>
      <c r="B791" s="8"/>
      <c r="C791" s="8"/>
      <c r="D791" s="8"/>
      <c r="E791" s="8"/>
    </row>
    <row r="792" spans="1:5">
      <c r="A792" s="8"/>
      <c r="B792" s="8"/>
      <c r="C792" s="8"/>
      <c r="D792" s="8"/>
      <c r="E792" s="8"/>
    </row>
    <row r="793" spans="1:5">
      <c r="A793" s="8"/>
      <c r="B793" s="8"/>
      <c r="C793" s="8"/>
      <c r="D793" s="8"/>
      <c r="E793" s="8"/>
    </row>
    <row r="794" spans="1:5">
      <c r="A794" s="8"/>
      <c r="B794" s="8"/>
      <c r="C794" s="8"/>
      <c r="D794" s="8"/>
      <c r="E794" s="8"/>
    </row>
    <row r="795" spans="1:5">
      <c r="A795" s="8"/>
      <c r="B795" s="8"/>
      <c r="C795" s="8"/>
      <c r="D795" s="8"/>
      <c r="E795" s="8"/>
    </row>
    <row r="796" spans="1:5">
      <c r="A796" s="8"/>
      <c r="B796" s="8"/>
      <c r="C796" s="8"/>
      <c r="D796" s="8"/>
      <c r="E796" s="8"/>
    </row>
    <row r="797" spans="1:5">
      <c r="A797" s="8"/>
      <c r="B797" s="8"/>
      <c r="C797" s="8"/>
      <c r="D797" s="8"/>
      <c r="E797" s="8"/>
    </row>
    <row r="798" spans="1:5">
      <c r="A798" s="8"/>
      <c r="B798" s="8"/>
      <c r="C798" s="8"/>
      <c r="D798" s="8"/>
      <c r="E798" s="8"/>
    </row>
    <row r="799" spans="1:5">
      <c r="A799" s="8"/>
      <c r="B799" s="8"/>
      <c r="C799" s="8"/>
      <c r="D799" s="8"/>
      <c r="E799" s="8"/>
    </row>
    <row r="800" spans="1:5">
      <c r="A800" s="8"/>
      <c r="B800" s="8"/>
      <c r="C800" s="8"/>
      <c r="D800" s="8"/>
      <c r="E800" s="8"/>
    </row>
    <row r="801" spans="1:5">
      <c r="A801" s="8"/>
      <c r="B801" s="8"/>
      <c r="C801" s="8"/>
      <c r="D801" s="8"/>
      <c r="E801" s="8"/>
    </row>
    <row r="802" spans="1:5">
      <c r="A802" s="8"/>
      <c r="B802" s="8"/>
      <c r="C802" s="8"/>
      <c r="D802" s="8"/>
      <c r="E802" s="8"/>
    </row>
    <row r="803" spans="1:5">
      <c r="A803" s="8"/>
      <c r="B803" s="8"/>
      <c r="C803" s="8"/>
      <c r="D803" s="8"/>
      <c r="E803" s="8"/>
    </row>
    <row r="804" spans="1:5">
      <c r="A804" s="8"/>
      <c r="B804" s="8"/>
      <c r="C804" s="8"/>
      <c r="D804" s="8"/>
      <c r="E804" s="8"/>
    </row>
    <row r="805" spans="1:5">
      <c r="A805" s="8"/>
      <c r="B805" s="8"/>
      <c r="C805" s="8"/>
      <c r="D805" s="8"/>
      <c r="E805" s="8"/>
    </row>
    <row r="806" spans="1:5">
      <c r="A806" s="8"/>
      <c r="B806" s="8"/>
      <c r="C806" s="8"/>
      <c r="D806" s="8"/>
      <c r="E806" s="8"/>
    </row>
    <row r="807" spans="1:5">
      <c r="A807" s="8"/>
      <c r="B807" s="8"/>
      <c r="C807" s="8"/>
      <c r="D807" s="8"/>
      <c r="E807" s="8"/>
    </row>
    <row r="808" spans="1:5">
      <c r="A808" s="8"/>
      <c r="B808" s="8"/>
      <c r="C808" s="8"/>
      <c r="D808" s="8"/>
      <c r="E808" s="8"/>
    </row>
    <row r="809" spans="1:5">
      <c r="A809" s="8"/>
      <c r="B809" s="8"/>
      <c r="C809" s="8"/>
      <c r="D809" s="8"/>
      <c r="E809" s="8"/>
    </row>
    <row r="810" spans="1:5">
      <c r="A810" s="8"/>
      <c r="B810" s="8"/>
      <c r="C810" s="8"/>
      <c r="D810" s="8"/>
      <c r="E810" s="8"/>
    </row>
    <row r="811" spans="1:5">
      <c r="A811" s="8"/>
      <c r="B811" s="8"/>
      <c r="C811" s="8"/>
      <c r="D811" s="8"/>
      <c r="E811" s="8"/>
    </row>
    <row r="812" spans="1:5">
      <c r="A812" s="8"/>
      <c r="B812" s="8"/>
      <c r="C812" s="8"/>
      <c r="D812" s="8"/>
      <c r="E812" s="8"/>
    </row>
    <row r="813" spans="1:5">
      <c r="A813" s="8"/>
      <c r="B813" s="8"/>
      <c r="C813" s="8"/>
      <c r="D813" s="8"/>
      <c r="E813" s="8"/>
    </row>
    <row r="814" spans="1:5">
      <c r="A814" s="8"/>
      <c r="B814" s="8"/>
      <c r="C814" s="8"/>
      <c r="D814" s="8"/>
      <c r="E814" s="8"/>
    </row>
    <row r="815" spans="1:5">
      <c r="A815" s="8"/>
      <c r="B815" s="8"/>
      <c r="C815" s="8"/>
      <c r="D815" s="8"/>
      <c r="E815" s="8"/>
    </row>
    <row r="816" spans="1:5">
      <c r="A816" s="8"/>
      <c r="B816" s="8"/>
      <c r="C816" s="8"/>
      <c r="D816" s="8"/>
      <c r="E816" s="8"/>
    </row>
    <row r="817" spans="1:5">
      <c r="A817" s="8"/>
      <c r="B817" s="8"/>
      <c r="C817" s="8"/>
      <c r="D817" s="8"/>
      <c r="E817" s="8"/>
    </row>
    <row r="818" spans="1:5">
      <c r="A818" s="8"/>
      <c r="B818" s="8"/>
      <c r="C818" s="8"/>
      <c r="D818" s="8"/>
      <c r="E818" s="8"/>
    </row>
    <row r="819" spans="1:5">
      <c r="A819" s="8"/>
      <c r="B819" s="8"/>
      <c r="C819" s="8"/>
      <c r="D819" s="8"/>
      <c r="E819" s="8"/>
    </row>
    <row r="820" spans="1:5">
      <c r="A820" s="8"/>
      <c r="B820" s="8"/>
      <c r="C820" s="8"/>
      <c r="D820" s="8"/>
      <c r="E820" s="8"/>
    </row>
    <row r="821" spans="1:5">
      <c r="A821" s="8"/>
      <c r="B821" s="8"/>
      <c r="C821" s="8"/>
      <c r="D821" s="8"/>
      <c r="E821" s="8"/>
    </row>
    <row r="822" spans="1:5">
      <c r="A822" s="8"/>
      <c r="B822" s="8"/>
      <c r="C822" s="8"/>
      <c r="D822" s="8"/>
      <c r="E822" s="8"/>
    </row>
    <row r="823" spans="1:5">
      <c r="A823" s="8"/>
      <c r="B823" s="8"/>
      <c r="C823" s="8"/>
      <c r="D823" s="8"/>
      <c r="E823" s="8"/>
    </row>
    <row r="824" spans="1:5">
      <c r="A824" s="8"/>
      <c r="B824" s="8"/>
      <c r="C824" s="8"/>
      <c r="D824" s="8"/>
      <c r="E824" s="8"/>
    </row>
    <row r="825" spans="1:5">
      <c r="A825" s="8"/>
      <c r="B825" s="8"/>
      <c r="C825" s="8"/>
      <c r="D825" s="8"/>
      <c r="E825" s="8"/>
    </row>
    <row r="826" spans="1:5">
      <c r="A826" s="8"/>
      <c r="B826" s="8"/>
      <c r="C826" s="8"/>
      <c r="D826" s="8"/>
      <c r="E826" s="8"/>
    </row>
    <row r="827" spans="1:5">
      <c r="A827" s="8"/>
      <c r="B827" s="8"/>
      <c r="C827" s="8"/>
      <c r="D827" s="8"/>
      <c r="E827" s="8"/>
    </row>
    <row r="828" spans="1:5">
      <c r="A828" s="8"/>
      <c r="B828" s="8"/>
      <c r="C828" s="8"/>
      <c r="D828" s="8"/>
      <c r="E828" s="8"/>
    </row>
    <row r="829" spans="1:5">
      <c r="A829" s="8"/>
      <c r="B829" s="8"/>
      <c r="C829" s="8"/>
      <c r="D829" s="8"/>
      <c r="E829" s="8"/>
    </row>
    <row r="830" spans="1:5">
      <c r="A830" s="8"/>
      <c r="B830" s="8"/>
      <c r="C830" s="8"/>
      <c r="D830" s="8"/>
      <c r="E830" s="8"/>
    </row>
    <row r="831" spans="1:5">
      <c r="A831" s="8"/>
      <c r="B831" s="8"/>
      <c r="C831" s="8"/>
      <c r="D831" s="8"/>
      <c r="E831" s="8"/>
    </row>
    <row r="832" spans="1:5">
      <c r="A832" s="8"/>
      <c r="B832" s="8"/>
      <c r="C832" s="8"/>
      <c r="D832" s="8"/>
      <c r="E832" s="8"/>
    </row>
    <row r="833" spans="1:5">
      <c r="A833" s="8"/>
      <c r="B833" s="8"/>
      <c r="C833" s="8"/>
      <c r="D833" s="8"/>
      <c r="E833" s="8"/>
    </row>
    <row r="834" spans="1:5">
      <c r="A834" s="8"/>
      <c r="B834" s="8"/>
      <c r="C834" s="8"/>
      <c r="D834" s="8"/>
      <c r="E834" s="8"/>
    </row>
    <row r="835" spans="1:5">
      <c r="A835" s="8"/>
      <c r="B835" s="8"/>
      <c r="C835" s="8"/>
      <c r="D835" s="8"/>
      <c r="E835" s="8"/>
    </row>
    <row r="836" spans="1:5">
      <c r="A836" s="8"/>
      <c r="B836" s="8"/>
      <c r="C836" s="8"/>
      <c r="D836" s="8"/>
      <c r="E836" s="8"/>
    </row>
    <row r="837" spans="1:5">
      <c r="A837" s="8"/>
      <c r="B837" s="8"/>
      <c r="C837" s="8"/>
      <c r="D837" s="8"/>
      <c r="E837" s="8"/>
    </row>
    <row r="838" spans="1:5">
      <c r="A838" s="8"/>
      <c r="B838" s="8"/>
      <c r="C838" s="8"/>
      <c r="D838" s="8"/>
      <c r="E838" s="8"/>
    </row>
    <row r="839" spans="1:5">
      <c r="A839" s="8"/>
      <c r="B839" s="8"/>
      <c r="C839" s="8"/>
      <c r="D839" s="8"/>
      <c r="E839" s="8"/>
    </row>
    <row r="840" spans="1:5">
      <c r="A840" s="8"/>
      <c r="B840" s="8"/>
      <c r="C840" s="8"/>
      <c r="D840" s="8"/>
      <c r="E840" s="8"/>
    </row>
    <row r="841" spans="1:5">
      <c r="A841" s="8"/>
      <c r="B841" s="8"/>
      <c r="C841" s="8"/>
      <c r="D841" s="8"/>
      <c r="E841" s="8"/>
    </row>
    <row r="842" spans="1:5">
      <c r="A842" s="8"/>
      <c r="B842" s="8"/>
      <c r="C842" s="8"/>
      <c r="D842" s="8"/>
      <c r="E842" s="8"/>
    </row>
    <row r="843" spans="1:5">
      <c r="A843" s="8"/>
      <c r="B843" s="8"/>
      <c r="C843" s="8"/>
      <c r="D843" s="8"/>
      <c r="E843" s="8"/>
    </row>
    <row r="844" spans="1:5">
      <c r="A844" s="8"/>
      <c r="B844" s="8"/>
      <c r="C844" s="8"/>
      <c r="D844" s="8"/>
      <c r="E844" s="8"/>
    </row>
    <row r="845" spans="1:5">
      <c r="A845" s="8"/>
      <c r="B845" s="8"/>
      <c r="C845" s="8"/>
      <c r="D845" s="8"/>
      <c r="E845" s="8"/>
    </row>
    <row r="846" spans="1:5">
      <c r="A846" s="8"/>
      <c r="B846" s="8"/>
      <c r="C846" s="8"/>
      <c r="D846" s="8"/>
      <c r="E846" s="8"/>
    </row>
    <row r="847" spans="1:5">
      <c r="A847" s="8"/>
      <c r="B847" s="8"/>
      <c r="C847" s="8"/>
      <c r="D847" s="8"/>
      <c r="E847" s="8"/>
    </row>
    <row r="848" spans="1:5">
      <c r="A848" s="8"/>
      <c r="B848" s="8"/>
      <c r="C848" s="8"/>
      <c r="D848" s="8"/>
      <c r="E848" s="8"/>
    </row>
    <row r="849" spans="1:5">
      <c r="A849" s="8"/>
      <c r="B849" s="8"/>
      <c r="C849" s="8"/>
      <c r="D849" s="8"/>
      <c r="E849" s="8"/>
    </row>
    <row r="850" spans="1:5">
      <c r="A850" s="8"/>
      <c r="B850" s="8"/>
      <c r="C850" s="8"/>
      <c r="D850" s="8"/>
      <c r="E850" s="8"/>
    </row>
    <row r="851" spans="1:5">
      <c r="A851" s="8"/>
      <c r="B851" s="8"/>
      <c r="C851" s="8"/>
      <c r="D851" s="8"/>
      <c r="E851" s="8"/>
    </row>
    <row r="852" spans="1:5">
      <c r="A852" s="8"/>
      <c r="B852" s="8"/>
      <c r="C852" s="8"/>
      <c r="D852" s="8"/>
      <c r="E852" s="8"/>
    </row>
    <row r="853" spans="1:5">
      <c r="A853" s="8"/>
      <c r="B853" s="8"/>
      <c r="C853" s="8"/>
      <c r="D853" s="8"/>
      <c r="E853" s="8"/>
    </row>
    <row r="854" spans="1:5">
      <c r="A854" s="8"/>
      <c r="B854" s="8"/>
      <c r="C854" s="8"/>
      <c r="D854" s="8"/>
      <c r="E854" s="8"/>
    </row>
    <row r="855" spans="1:5">
      <c r="A855" s="8"/>
      <c r="B855" s="8"/>
      <c r="C855" s="8"/>
      <c r="D855" s="8"/>
      <c r="E855" s="8"/>
    </row>
    <row r="856" spans="1:5">
      <c r="A856" s="8"/>
      <c r="B856" s="8"/>
      <c r="C856" s="8"/>
      <c r="D856" s="8"/>
      <c r="E856" s="8"/>
    </row>
    <row r="857" spans="1:5">
      <c r="A857" s="8"/>
      <c r="B857" s="8"/>
      <c r="C857" s="8"/>
      <c r="D857" s="8"/>
      <c r="E857" s="8"/>
    </row>
    <row r="858" spans="1:5">
      <c r="A858" s="8"/>
      <c r="B858" s="8"/>
      <c r="C858" s="8"/>
      <c r="D858" s="8"/>
      <c r="E858" s="8"/>
    </row>
    <row r="859" spans="1:5">
      <c r="A859" s="8"/>
      <c r="B859" s="8"/>
      <c r="C859" s="8"/>
      <c r="D859" s="8"/>
      <c r="E859" s="8"/>
    </row>
    <row r="860" spans="1:5">
      <c r="A860" s="8"/>
      <c r="B860" s="8"/>
      <c r="C860" s="8"/>
      <c r="D860" s="8"/>
      <c r="E860" s="8"/>
    </row>
    <row r="861" spans="1:5">
      <c r="A861" s="8"/>
      <c r="B861" s="8"/>
      <c r="C861" s="8"/>
      <c r="D861" s="8"/>
      <c r="E861" s="8"/>
    </row>
    <row r="862" spans="1:5">
      <c r="A862" s="8"/>
      <c r="B862" s="8"/>
      <c r="C862" s="8"/>
      <c r="D862" s="8"/>
      <c r="E862" s="8"/>
    </row>
    <row r="863" spans="1:5">
      <c r="A863" s="8"/>
      <c r="B863" s="8"/>
      <c r="C863" s="8"/>
      <c r="D863" s="8"/>
      <c r="E863" s="8"/>
    </row>
    <row r="864" spans="1:5">
      <c r="A864" s="8"/>
      <c r="B864" s="8"/>
      <c r="C864" s="8"/>
      <c r="D864" s="8"/>
      <c r="E864" s="8"/>
    </row>
    <row r="865" spans="1:5">
      <c r="A865" s="8"/>
      <c r="B865" s="8"/>
      <c r="C865" s="8"/>
      <c r="D865" s="8"/>
      <c r="E865" s="8"/>
    </row>
    <row r="866" spans="1:5">
      <c r="A866" s="8"/>
      <c r="B866" s="8"/>
      <c r="C866" s="8"/>
      <c r="D866" s="8"/>
      <c r="E866" s="8"/>
    </row>
    <row r="867" spans="1:5">
      <c r="A867" s="8"/>
      <c r="B867" s="8"/>
      <c r="C867" s="8"/>
      <c r="D867" s="8"/>
      <c r="E867" s="8"/>
    </row>
    <row r="868" spans="1:5">
      <c r="A868" s="8"/>
      <c r="B868" s="8"/>
      <c r="C868" s="8"/>
      <c r="D868" s="8"/>
      <c r="E868" s="8"/>
    </row>
    <row r="869" spans="1:5">
      <c r="A869" s="8"/>
      <c r="B869" s="8"/>
      <c r="C869" s="8"/>
      <c r="D869" s="8"/>
      <c r="E869" s="8"/>
    </row>
    <row r="870" spans="1:5">
      <c r="A870" s="8"/>
      <c r="B870" s="8"/>
      <c r="C870" s="8"/>
      <c r="D870" s="8"/>
      <c r="E870" s="8"/>
    </row>
    <row r="871" spans="1:5">
      <c r="A871" s="8"/>
      <c r="B871" s="8"/>
      <c r="C871" s="8"/>
      <c r="D871" s="8"/>
      <c r="E871" s="8"/>
    </row>
    <row r="872" spans="1:5">
      <c r="A872" s="8"/>
      <c r="B872" s="8"/>
      <c r="C872" s="8"/>
      <c r="D872" s="8"/>
      <c r="E872" s="8"/>
    </row>
    <row r="873" spans="1:5">
      <c r="A873" s="8"/>
      <c r="B873" s="8"/>
      <c r="C873" s="8"/>
      <c r="D873" s="8"/>
      <c r="E873" s="8"/>
    </row>
    <row r="874" spans="1:5">
      <c r="A874" s="8"/>
      <c r="B874" s="8"/>
      <c r="C874" s="8"/>
      <c r="D874" s="8"/>
      <c r="E874" s="8"/>
    </row>
    <row r="875" spans="1:5">
      <c r="A875" s="8"/>
      <c r="B875" s="8"/>
      <c r="C875" s="8"/>
      <c r="D875" s="8"/>
      <c r="E875" s="8"/>
    </row>
    <row r="876" spans="1:5">
      <c r="A876" s="8"/>
      <c r="B876" s="8"/>
      <c r="C876" s="8"/>
      <c r="D876" s="8"/>
      <c r="E876" s="8"/>
    </row>
    <row r="877" spans="1:5">
      <c r="A877" s="8"/>
      <c r="B877" s="8"/>
      <c r="C877" s="8"/>
      <c r="D877" s="8"/>
      <c r="E877" s="8"/>
    </row>
    <row r="878" spans="1:5">
      <c r="A878" s="8"/>
      <c r="B878" s="8"/>
      <c r="C878" s="8"/>
      <c r="D878" s="8"/>
      <c r="E878" s="8"/>
    </row>
    <row r="879" spans="1:5">
      <c r="A879" s="8"/>
      <c r="B879" s="8"/>
      <c r="C879" s="8"/>
      <c r="D879" s="8"/>
      <c r="E879" s="8"/>
    </row>
    <row r="880" spans="1:5">
      <c r="A880" s="8"/>
      <c r="B880" s="8"/>
      <c r="C880" s="8"/>
      <c r="D880" s="8"/>
      <c r="E880" s="8"/>
    </row>
    <row r="881" spans="1:5">
      <c r="A881" s="8"/>
      <c r="B881" s="8"/>
      <c r="C881" s="8"/>
      <c r="D881" s="8"/>
      <c r="E881" s="8"/>
    </row>
    <row r="882" spans="1:5">
      <c r="A882" s="8"/>
      <c r="B882" s="8"/>
      <c r="C882" s="8"/>
      <c r="D882" s="8"/>
      <c r="E882" s="8"/>
    </row>
    <row r="883" spans="1:5">
      <c r="A883" s="8"/>
      <c r="B883" s="8"/>
      <c r="C883" s="8"/>
      <c r="D883" s="8"/>
      <c r="E883" s="8"/>
    </row>
    <row r="884" spans="1:5">
      <c r="A884" s="8"/>
      <c r="B884" s="8"/>
      <c r="C884" s="8"/>
      <c r="D884" s="8"/>
      <c r="E884" s="8"/>
    </row>
    <row r="885" spans="1:5">
      <c r="A885" s="8"/>
      <c r="B885" s="8"/>
      <c r="C885" s="8"/>
      <c r="D885" s="8"/>
      <c r="E885" s="8"/>
    </row>
    <row r="886" spans="1:5">
      <c r="A886" s="8"/>
      <c r="B886" s="8"/>
      <c r="C886" s="8"/>
      <c r="D886" s="8"/>
      <c r="E886" s="8"/>
    </row>
    <row r="887" spans="1:5">
      <c r="A887" s="8"/>
      <c r="B887" s="8"/>
      <c r="C887" s="8"/>
      <c r="D887" s="8"/>
      <c r="E887" s="8"/>
    </row>
    <row r="888" spans="1:5">
      <c r="A888" s="8"/>
      <c r="B888" s="8"/>
      <c r="C888" s="8"/>
      <c r="D888" s="8"/>
      <c r="E888" s="8"/>
    </row>
    <row r="889" spans="1:5">
      <c r="A889" s="8"/>
      <c r="B889" s="8"/>
      <c r="C889" s="8"/>
      <c r="D889" s="8"/>
      <c r="E889" s="8"/>
    </row>
    <row r="890" spans="1:5">
      <c r="A890" s="8"/>
      <c r="B890" s="8"/>
      <c r="C890" s="8"/>
      <c r="D890" s="8"/>
      <c r="E890" s="8"/>
    </row>
    <row r="891" spans="1:5">
      <c r="A891" s="8"/>
      <c r="B891" s="8"/>
      <c r="C891" s="8"/>
      <c r="D891" s="8"/>
      <c r="E891" s="8"/>
    </row>
    <row r="892" spans="1:5">
      <c r="A892" s="8"/>
      <c r="B892" s="8"/>
      <c r="C892" s="8"/>
      <c r="D892" s="8"/>
      <c r="E892" s="8"/>
    </row>
    <row r="893" spans="1:5">
      <c r="A893" s="8"/>
      <c r="B893" s="8"/>
      <c r="C893" s="8"/>
      <c r="D893" s="8"/>
      <c r="E893" s="8"/>
    </row>
    <row r="894" spans="1:5">
      <c r="A894" s="8"/>
      <c r="B894" s="8"/>
      <c r="C894" s="8"/>
      <c r="D894" s="8"/>
      <c r="E894" s="8"/>
    </row>
    <row r="895" spans="1:5">
      <c r="A895" s="8"/>
      <c r="B895" s="8"/>
      <c r="C895" s="8"/>
      <c r="D895" s="8"/>
      <c r="E895" s="8"/>
    </row>
    <row r="896" spans="1:5">
      <c r="A896" s="8"/>
      <c r="B896" s="8"/>
      <c r="C896" s="8"/>
      <c r="D896" s="8"/>
      <c r="E896" s="8"/>
    </row>
    <row r="897" spans="1:5">
      <c r="A897" s="8"/>
      <c r="B897" s="8"/>
      <c r="C897" s="8"/>
      <c r="D897" s="8"/>
      <c r="E897" s="8"/>
    </row>
    <row r="898" spans="1:5">
      <c r="A898" s="8"/>
      <c r="B898" s="8"/>
      <c r="C898" s="8"/>
      <c r="D898" s="8"/>
      <c r="E898" s="8"/>
    </row>
    <row r="899" spans="1:5">
      <c r="A899" s="8"/>
      <c r="B899" s="8"/>
      <c r="C899" s="8"/>
      <c r="D899" s="8"/>
      <c r="E899" s="8"/>
    </row>
    <row r="900" spans="1:5">
      <c r="A900" s="8"/>
      <c r="B900" s="8"/>
      <c r="C900" s="8"/>
      <c r="D900" s="8"/>
      <c r="E900" s="8"/>
    </row>
    <row r="901" spans="1:5">
      <c r="A901" s="8"/>
      <c r="B901" s="8"/>
      <c r="C901" s="8"/>
      <c r="D901" s="8"/>
      <c r="E901" s="8"/>
    </row>
    <row r="902" spans="1:5">
      <c r="A902" s="8"/>
      <c r="B902" s="8"/>
      <c r="C902" s="8"/>
      <c r="D902" s="8"/>
      <c r="E902" s="8"/>
    </row>
    <row r="903" spans="1:5">
      <c r="A903" s="8"/>
      <c r="B903" s="8"/>
      <c r="C903" s="8"/>
      <c r="D903" s="8"/>
      <c r="E903" s="8"/>
    </row>
    <row r="904" spans="1:5">
      <c r="A904" s="8"/>
      <c r="B904" s="8"/>
      <c r="C904" s="8"/>
      <c r="D904" s="8"/>
      <c r="E904" s="8"/>
    </row>
    <row r="905" spans="1:5">
      <c r="A905" s="8"/>
      <c r="B905" s="8"/>
      <c r="C905" s="8"/>
      <c r="D905" s="8"/>
      <c r="E905" s="8"/>
    </row>
    <row r="906" spans="1:5">
      <c r="A906" s="8"/>
      <c r="B906" s="8"/>
      <c r="C906" s="8"/>
      <c r="D906" s="8"/>
      <c r="E906" s="8"/>
    </row>
    <row r="907" spans="1:5">
      <c r="A907" s="8"/>
      <c r="B907" s="8"/>
      <c r="C907" s="8"/>
      <c r="D907" s="8"/>
      <c r="E907" s="8"/>
    </row>
    <row r="908" spans="1:5">
      <c r="A908" s="8"/>
      <c r="B908" s="8"/>
      <c r="C908" s="8"/>
      <c r="D908" s="8"/>
      <c r="E908" s="8"/>
    </row>
    <row r="909" spans="1:5">
      <c r="A909" s="8"/>
      <c r="B909" s="8"/>
      <c r="C909" s="8"/>
      <c r="D909" s="8"/>
      <c r="E909" s="8"/>
    </row>
    <row r="910" spans="1:5">
      <c r="A910" s="8"/>
      <c r="B910" s="8"/>
      <c r="C910" s="8"/>
      <c r="D910" s="8"/>
      <c r="E910" s="8"/>
    </row>
    <row r="911" spans="1:5">
      <c r="A911" s="8"/>
      <c r="B911" s="8"/>
      <c r="C911" s="8"/>
      <c r="D911" s="8"/>
      <c r="E911" s="8"/>
    </row>
    <row r="912" spans="1:5">
      <c r="A912" s="8"/>
      <c r="B912" s="8"/>
      <c r="C912" s="8"/>
      <c r="D912" s="8"/>
      <c r="E912" s="8"/>
    </row>
    <row r="913" spans="1:5">
      <c r="A913" s="8"/>
      <c r="B913" s="8"/>
      <c r="C913" s="8"/>
      <c r="D913" s="8"/>
      <c r="E913" s="8"/>
    </row>
    <row r="914" spans="1:5">
      <c r="A914" s="8"/>
      <c r="B914" s="8"/>
      <c r="C914" s="8"/>
      <c r="D914" s="8"/>
      <c r="E914" s="8"/>
    </row>
    <row r="915" spans="1:5">
      <c r="A915" s="8"/>
      <c r="B915" s="8"/>
      <c r="C915" s="8"/>
      <c r="D915" s="8"/>
      <c r="E915" s="8"/>
    </row>
    <row r="916" spans="1:5">
      <c r="A916" s="8"/>
      <c r="B916" s="8"/>
      <c r="C916" s="8"/>
      <c r="D916" s="8"/>
      <c r="E916" s="8"/>
    </row>
    <row r="917" spans="1:5">
      <c r="A917" s="8"/>
      <c r="B917" s="8"/>
      <c r="C917" s="8"/>
      <c r="D917" s="8"/>
      <c r="E917" s="8"/>
    </row>
    <row r="918" spans="1:5">
      <c r="A918" s="8"/>
      <c r="B918" s="8"/>
      <c r="C918" s="8"/>
      <c r="D918" s="8"/>
      <c r="E918" s="8"/>
    </row>
    <row r="919" spans="1:5">
      <c r="A919" s="8"/>
      <c r="B919" s="8"/>
      <c r="C919" s="8"/>
      <c r="D919" s="8"/>
      <c r="E919" s="8"/>
    </row>
    <row r="920" spans="1:5">
      <c r="A920" s="8"/>
      <c r="B920" s="8"/>
      <c r="C920" s="8"/>
      <c r="D920" s="8"/>
      <c r="E920" s="8"/>
    </row>
    <row r="921" spans="1:5">
      <c r="A921" s="8"/>
      <c r="B921" s="8"/>
      <c r="C921" s="8"/>
      <c r="D921" s="8"/>
      <c r="E921" s="8"/>
    </row>
    <row r="922" spans="1:5">
      <c r="A922" s="8"/>
      <c r="B922" s="8"/>
      <c r="C922" s="8"/>
      <c r="D922" s="8"/>
      <c r="E922" s="8"/>
    </row>
    <row r="923" spans="1:5">
      <c r="A923" s="8"/>
      <c r="B923" s="8"/>
      <c r="C923" s="8"/>
      <c r="D923" s="8"/>
      <c r="E923" s="8"/>
    </row>
    <row r="924" spans="1:5">
      <c r="A924" s="8"/>
      <c r="B924" s="8"/>
      <c r="C924" s="8"/>
      <c r="D924" s="8"/>
      <c r="E924" s="8"/>
    </row>
    <row r="925" spans="1:5">
      <c r="A925" s="8"/>
      <c r="B925" s="8"/>
      <c r="C925" s="8"/>
      <c r="D925" s="8"/>
      <c r="E925" s="8"/>
    </row>
    <row r="926" spans="1:5">
      <c r="A926" s="8"/>
      <c r="B926" s="8"/>
      <c r="C926" s="8"/>
      <c r="D926" s="8"/>
      <c r="E926" s="8"/>
    </row>
    <row r="927" spans="1:5">
      <c r="A927" s="8"/>
      <c r="B927" s="8"/>
      <c r="C927" s="8"/>
      <c r="D927" s="8"/>
      <c r="E927" s="8"/>
    </row>
    <row r="928" spans="1:5">
      <c r="A928" s="8"/>
      <c r="B928" s="8"/>
      <c r="C928" s="8"/>
      <c r="D928" s="8"/>
      <c r="E928" s="8"/>
    </row>
    <row r="929" spans="1:5">
      <c r="A929" s="8"/>
      <c r="B929" s="8"/>
      <c r="C929" s="8"/>
      <c r="D929" s="8"/>
      <c r="E929" s="8"/>
    </row>
    <row r="930" spans="1:5">
      <c r="A930" s="8"/>
      <c r="B930" s="8"/>
      <c r="C930" s="8"/>
      <c r="D930" s="8"/>
      <c r="E930" s="8"/>
    </row>
    <row r="931" spans="1:5">
      <c r="A931" s="8"/>
      <c r="B931" s="8"/>
      <c r="C931" s="8"/>
      <c r="D931" s="8"/>
      <c r="E931" s="8"/>
    </row>
    <row r="932" spans="1:5">
      <c r="A932" s="8"/>
      <c r="B932" s="8"/>
      <c r="C932" s="8"/>
      <c r="D932" s="8"/>
      <c r="E932" s="8"/>
    </row>
    <row r="933" spans="1:5">
      <c r="A933" s="8"/>
      <c r="B933" s="8"/>
      <c r="C933" s="8"/>
      <c r="D933" s="8"/>
      <c r="E933" s="8"/>
    </row>
    <row r="934" spans="1:5">
      <c r="A934" s="8"/>
      <c r="B934" s="8"/>
      <c r="C934" s="8"/>
      <c r="D934" s="8"/>
      <c r="E934" s="8"/>
    </row>
    <row r="935" spans="1:5">
      <c r="A935" s="8"/>
      <c r="B935" s="8"/>
      <c r="C935" s="8"/>
      <c r="D935" s="8"/>
      <c r="E935" s="8"/>
    </row>
    <row r="936" spans="1:5">
      <c r="A936" s="8"/>
      <c r="B936" s="8"/>
      <c r="C936" s="8"/>
      <c r="D936" s="8"/>
      <c r="E936" s="8"/>
    </row>
    <row r="937" spans="1:5">
      <c r="A937" s="8"/>
      <c r="B937" s="8"/>
      <c r="C937" s="8"/>
      <c r="D937" s="8"/>
      <c r="E937" s="8"/>
    </row>
    <row r="938" spans="1:5">
      <c r="A938" s="8"/>
      <c r="B938" s="8"/>
      <c r="C938" s="8"/>
      <c r="D938" s="8"/>
      <c r="E938" s="8"/>
    </row>
    <row r="939" spans="1:5">
      <c r="A939" s="8"/>
      <c r="B939" s="8"/>
      <c r="C939" s="8"/>
      <c r="D939" s="8"/>
      <c r="E939" s="8"/>
    </row>
    <row r="940" spans="1:5">
      <c r="A940" s="8"/>
      <c r="B940" s="8"/>
      <c r="C940" s="8"/>
      <c r="D940" s="8"/>
      <c r="E940" s="8"/>
    </row>
    <row r="941" spans="1:5">
      <c r="A941" s="8"/>
      <c r="B941" s="8"/>
      <c r="C941" s="8"/>
      <c r="D941" s="8"/>
      <c r="E941" s="8"/>
    </row>
    <row r="942" spans="1:5">
      <c r="A942" s="8"/>
      <c r="B942" s="8"/>
      <c r="C942" s="8"/>
      <c r="D942" s="8"/>
      <c r="E942" s="8"/>
    </row>
    <row r="943" spans="1:5">
      <c r="A943" s="8"/>
      <c r="B943" s="8"/>
      <c r="C943" s="8"/>
      <c r="D943" s="8"/>
      <c r="E943" s="8"/>
    </row>
    <row r="944" spans="1:5">
      <c r="A944" s="8"/>
      <c r="B944" s="8"/>
      <c r="C944" s="8"/>
      <c r="D944" s="8"/>
      <c r="E944" s="8"/>
    </row>
    <row r="945" spans="1:5">
      <c r="A945" s="8"/>
      <c r="B945" s="8"/>
      <c r="C945" s="8"/>
      <c r="D945" s="8"/>
      <c r="E945" s="8"/>
    </row>
    <row r="946" spans="1:5">
      <c r="A946" s="8"/>
      <c r="B946" s="8"/>
      <c r="C946" s="8"/>
      <c r="D946" s="8"/>
      <c r="E946" s="8"/>
    </row>
    <row r="947" spans="1:5">
      <c r="A947" s="8"/>
      <c r="B947" s="8"/>
      <c r="C947" s="8"/>
      <c r="D947" s="8"/>
      <c r="E947" s="8"/>
    </row>
    <row r="948" spans="1:5">
      <c r="A948" s="8"/>
      <c r="B948" s="8"/>
      <c r="C948" s="8"/>
      <c r="D948" s="8"/>
      <c r="E948" s="8"/>
    </row>
    <row r="949" spans="1:5">
      <c r="A949" s="8"/>
      <c r="B949" s="8"/>
      <c r="C949" s="8"/>
      <c r="D949" s="8"/>
      <c r="E949" s="8"/>
    </row>
    <row r="950" spans="1:5">
      <c r="A950" s="8"/>
      <c r="B950" s="8"/>
      <c r="C950" s="8"/>
      <c r="D950" s="8"/>
      <c r="E950" s="8"/>
    </row>
    <row r="951" spans="1:5">
      <c r="A951" s="8"/>
      <c r="B951" s="8"/>
      <c r="C951" s="8"/>
      <c r="D951" s="8"/>
      <c r="E951" s="8"/>
    </row>
    <row r="952" spans="1:5">
      <c r="A952" s="8"/>
      <c r="B952" s="8"/>
      <c r="C952" s="8"/>
      <c r="D952" s="8"/>
      <c r="E952" s="8"/>
    </row>
    <row r="953" spans="1:5">
      <c r="A953" s="8"/>
      <c r="B953" s="8"/>
      <c r="C953" s="8"/>
      <c r="D953" s="8"/>
      <c r="E953" s="8"/>
    </row>
    <row r="954" spans="1:5">
      <c r="A954" s="8"/>
      <c r="B954" s="8"/>
      <c r="C954" s="8"/>
      <c r="D954" s="8"/>
      <c r="E954" s="8"/>
    </row>
    <row r="955" spans="1:5">
      <c r="A955" s="8"/>
      <c r="B955" s="8"/>
      <c r="C955" s="8"/>
      <c r="D955" s="8"/>
      <c r="E955" s="8"/>
    </row>
    <row r="956" spans="1:5">
      <c r="A956" s="8"/>
      <c r="B956" s="8"/>
      <c r="C956" s="8"/>
      <c r="D956" s="8"/>
      <c r="E956" s="8"/>
    </row>
    <row r="957" spans="1:5">
      <c r="A957" s="8"/>
      <c r="B957" s="8"/>
      <c r="C957" s="8"/>
      <c r="D957" s="8"/>
      <c r="E957" s="8"/>
    </row>
    <row r="958" spans="1:5">
      <c r="A958" s="8"/>
      <c r="B958" s="8"/>
      <c r="C958" s="8"/>
      <c r="D958" s="8"/>
      <c r="E958" s="8"/>
    </row>
    <row r="959" spans="1:5">
      <c r="A959" s="8"/>
      <c r="B959" s="8"/>
      <c r="C959" s="8"/>
      <c r="D959" s="8"/>
      <c r="E959" s="8"/>
    </row>
    <row r="960" spans="1:5">
      <c r="A960" s="8"/>
      <c r="B960" s="8"/>
      <c r="C960" s="8"/>
      <c r="D960" s="8"/>
      <c r="E960" s="8"/>
    </row>
    <row r="961" spans="1:5">
      <c r="A961" s="8"/>
      <c r="B961" s="8"/>
      <c r="C961" s="8"/>
      <c r="D961" s="8"/>
      <c r="E961" s="8"/>
    </row>
    <row r="962" spans="1:5">
      <c r="A962" s="8"/>
      <c r="B962" s="8"/>
      <c r="C962" s="8"/>
      <c r="D962" s="8"/>
      <c r="E962" s="8"/>
    </row>
    <row r="963" spans="1:5">
      <c r="A963" s="8"/>
      <c r="B963" s="8"/>
      <c r="C963" s="8"/>
      <c r="D963" s="8"/>
      <c r="E963" s="8"/>
    </row>
    <row r="964" spans="1:5">
      <c r="A964" s="8"/>
      <c r="B964" s="8"/>
      <c r="C964" s="8"/>
      <c r="D964" s="8"/>
      <c r="E964" s="8"/>
    </row>
    <row r="965" spans="1:5">
      <c r="A965" s="8"/>
      <c r="B965" s="8"/>
      <c r="C965" s="8"/>
      <c r="D965" s="8"/>
      <c r="E965" s="8"/>
    </row>
    <row r="966" spans="1:5">
      <c r="A966" s="8"/>
      <c r="B966" s="8"/>
      <c r="C966" s="8"/>
      <c r="D966" s="8"/>
      <c r="E966" s="8"/>
    </row>
    <row r="967" spans="1:5">
      <c r="A967" s="8"/>
      <c r="B967" s="8"/>
      <c r="C967" s="8"/>
      <c r="D967" s="8"/>
      <c r="E967" s="8"/>
    </row>
    <row r="968" spans="1:5">
      <c r="A968" s="8"/>
      <c r="B968" s="8"/>
      <c r="C968" s="8"/>
      <c r="D968" s="8"/>
      <c r="E968" s="8"/>
    </row>
    <row r="969" spans="1:5">
      <c r="A969" s="8"/>
      <c r="B969" s="8"/>
      <c r="C969" s="8"/>
      <c r="D969" s="8"/>
      <c r="E969" s="8"/>
    </row>
    <row r="970" spans="1:5">
      <c r="A970" s="8"/>
      <c r="B970" s="8"/>
      <c r="C970" s="8"/>
      <c r="D970" s="8"/>
      <c r="E970" s="8"/>
    </row>
    <row r="971" spans="1:5">
      <c r="A971" s="8"/>
      <c r="B971" s="8"/>
      <c r="C971" s="8"/>
      <c r="D971" s="8"/>
      <c r="E971" s="8"/>
    </row>
    <row r="972" spans="1:5">
      <c r="A972" s="8"/>
      <c r="B972" s="8"/>
      <c r="C972" s="8"/>
      <c r="D972" s="8"/>
      <c r="E972" s="8"/>
    </row>
    <row r="973" spans="1:5">
      <c r="A973" s="8"/>
      <c r="B973" s="8"/>
      <c r="C973" s="8"/>
      <c r="D973" s="8"/>
      <c r="E973" s="8"/>
    </row>
    <row r="974" spans="1:5">
      <c r="A974" s="8"/>
      <c r="B974" s="8"/>
      <c r="C974" s="8"/>
      <c r="D974" s="8"/>
      <c r="E974" s="8"/>
    </row>
    <row r="975" spans="1:5">
      <c r="A975" s="8"/>
      <c r="B975" s="8"/>
      <c r="C975" s="8"/>
      <c r="D975" s="8"/>
      <c r="E975" s="8"/>
    </row>
    <row r="976" spans="1:5">
      <c r="A976" s="8"/>
      <c r="B976" s="8"/>
      <c r="C976" s="8"/>
      <c r="D976" s="8"/>
      <c r="E976" s="8"/>
    </row>
    <row r="977" spans="1:5">
      <c r="A977" s="8"/>
      <c r="B977" s="8"/>
      <c r="C977" s="8"/>
      <c r="D977" s="8"/>
      <c r="E977" s="8"/>
    </row>
    <row r="978" spans="1:5">
      <c r="A978" s="8"/>
      <c r="B978" s="8"/>
      <c r="C978" s="8"/>
      <c r="D978" s="8"/>
      <c r="E978" s="8"/>
    </row>
    <row r="979" spans="1:5">
      <c r="A979" s="8"/>
      <c r="B979" s="8"/>
      <c r="C979" s="8"/>
      <c r="D979" s="8"/>
      <c r="E979" s="8"/>
    </row>
    <row r="980" spans="1:5">
      <c r="A980" s="8"/>
      <c r="B980" s="8"/>
      <c r="C980" s="8"/>
      <c r="D980" s="8"/>
      <c r="E980" s="8"/>
    </row>
    <row r="981" spans="1:5">
      <c r="A981" s="8"/>
      <c r="B981" s="8"/>
      <c r="C981" s="8"/>
      <c r="D981" s="8"/>
      <c r="E981" s="8"/>
    </row>
    <row r="982" spans="1:5">
      <c r="A982" s="8"/>
      <c r="B982" s="8"/>
      <c r="C982" s="8"/>
      <c r="D982" s="8"/>
      <c r="E982" s="8"/>
    </row>
    <row r="983" spans="1:5">
      <c r="A983" s="8"/>
      <c r="B983" s="8"/>
      <c r="C983" s="8"/>
      <c r="D983" s="8"/>
      <c r="E983" s="8"/>
    </row>
    <row r="984" spans="1:5">
      <c r="A984" s="8"/>
      <c r="B984" s="8"/>
      <c r="C984" s="8"/>
      <c r="D984" s="8"/>
      <c r="E984" s="8"/>
    </row>
    <row r="985" spans="1:5">
      <c r="A985" s="8"/>
      <c r="B985" s="8"/>
      <c r="C985" s="8"/>
      <c r="D985" s="8"/>
      <c r="E985" s="8"/>
    </row>
    <row r="986" spans="1:5">
      <c r="A986" s="8"/>
      <c r="B986" s="8"/>
      <c r="C986" s="8"/>
      <c r="D986" s="8"/>
      <c r="E986" s="8"/>
    </row>
    <row r="987" spans="1:5">
      <c r="A987" s="8"/>
      <c r="B987" s="8"/>
      <c r="C987" s="8"/>
      <c r="D987" s="8"/>
      <c r="E987" s="8"/>
    </row>
    <row r="988" spans="1:5">
      <c r="A988" s="8"/>
      <c r="B988" s="8"/>
      <c r="C988" s="8"/>
      <c r="D988" s="8"/>
      <c r="E988" s="8"/>
    </row>
    <row r="989" spans="1:5">
      <c r="A989" s="8"/>
      <c r="B989" s="8"/>
      <c r="C989" s="8"/>
      <c r="D989" s="8"/>
      <c r="E989" s="8"/>
    </row>
    <row r="990" spans="1:5">
      <c r="A990" s="8"/>
      <c r="B990" s="8"/>
      <c r="C990" s="8"/>
      <c r="D990" s="8"/>
      <c r="E990" s="8"/>
    </row>
    <row r="991" spans="1:5">
      <c r="A991" s="8"/>
      <c r="B991" s="8"/>
      <c r="C991" s="8"/>
      <c r="D991" s="8"/>
      <c r="E991" s="8"/>
    </row>
    <row r="992" spans="1:5">
      <c r="A992" s="8"/>
      <c r="B992" s="8"/>
      <c r="C992" s="8"/>
      <c r="D992" s="8"/>
      <c r="E992" s="8"/>
    </row>
    <row r="993" spans="1:5">
      <c r="A993" s="8"/>
      <c r="B993" s="8"/>
      <c r="C993" s="8"/>
      <c r="D993" s="8"/>
      <c r="E993" s="8"/>
    </row>
    <row r="994" spans="1:5">
      <c r="A994" s="8"/>
      <c r="B994" s="8"/>
      <c r="C994" s="8"/>
      <c r="D994" s="8"/>
      <c r="E994" s="8"/>
    </row>
    <row r="995" spans="1:5">
      <c r="A995" s="8"/>
      <c r="B995" s="8"/>
      <c r="C995" s="8"/>
      <c r="D995" s="8"/>
      <c r="E995" s="8"/>
    </row>
    <row r="996" spans="1:5">
      <c r="A996" s="8"/>
      <c r="B996" s="8"/>
      <c r="C996" s="8"/>
      <c r="D996" s="8"/>
      <c r="E996" s="8"/>
    </row>
    <row r="997" spans="1:5">
      <c r="A997" s="8"/>
      <c r="B997" s="8"/>
      <c r="C997" s="8"/>
      <c r="D997" s="8"/>
      <c r="E997" s="8"/>
    </row>
    <row r="998" spans="1:5">
      <c r="A998" s="8"/>
      <c r="B998" s="8"/>
      <c r="C998" s="8"/>
      <c r="D998" s="8"/>
      <c r="E998" s="8"/>
    </row>
    <row r="999" spans="1:5">
      <c r="A999" s="8"/>
      <c r="B999" s="8"/>
      <c r="C999" s="8"/>
      <c r="D999" s="8"/>
      <c r="E999" s="8"/>
    </row>
    <row r="1000" spans="1:5">
      <c r="A1000" s="8"/>
      <c r="B1000" s="8"/>
      <c r="C1000" s="8"/>
      <c r="D1000" s="8"/>
      <c r="E1000" s="8"/>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outlinePr summaryBelow="0" summaryRight="0"/>
  </sheetPr>
  <dimension ref="A1:BT1000"/>
  <sheetViews>
    <sheetView showGridLines="0" workbookViewId="0"/>
  </sheetViews>
  <sheetFormatPr defaultColWidth="12.6640625" defaultRowHeight="15.75" customHeight="1"/>
  <cols>
    <col min="1" max="1" width="15.88671875" customWidth="1"/>
    <col min="7" max="10" width="9.77734375" customWidth="1"/>
    <col min="11" max="11" width="9.109375" customWidth="1"/>
    <col min="12" max="12" width="23.88671875" customWidth="1"/>
    <col min="13" max="13" width="26.77734375" customWidth="1"/>
    <col min="17" max="17" width="10.6640625" customWidth="1"/>
    <col min="18" max="18" width="8.88671875" customWidth="1"/>
    <col min="19" max="19" width="21.6640625" customWidth="1"/>
    <col min="20" max="20" width="29.88671875" customWidth="1"/>
    <col min="23" max="23" width="11.109375" customWidth="1"/>
    <col min="24" max="24" width="11.33203125" customWidth="1"/>
    <col min="25" max="25" width="26.21875" customWidth="1"/>
    <col min="26" max="26" width="31" customWidth="1"/>
    <col min="29" max="29" width="10.33203125" customWidth="1"/>
    <col min="30" max="30" width="11.44140625" customWidth="1"/>
    <col min="31" max="31" width="21.21875" customWidth="1"/>
    <col min="32" max="32" width="30" customWidth="1"/>
    <col min="35" max="35" width="10.77734375" customWidth="1"/>
    <col min="41" max="43" width="10.77734375" customWidth="1"/>
    <col min="44" max="44" width="10.44140625" customWidth="1"/>
    <col min="45" max="45" width="25.77734375" customWidth="1"/>
    <col min="46" max="46" width="29.77734375" customWidth="1"/>
    <col min="53" max="53" width="25.44140625" customWidth="1"/>
    <col min="61" max="61" width="32" customWidth="1"/>
  </cols>
  <sheetData>
    <row r="1" spans="1:72">
      <c r="G1" s="8"/>
      <c r="H1" s="8"/>
      <c r="I1" s="8"/>
      <c r="J1" s="8" t="s">
        <v>2</v>
      </c>
      <c r="K1" s="8" t="s">
        <v>3</v>
      </c>
      <c r="L1" s="8" t="s">
        <v>4</v>
      </c>
      <c r="M1" s="8" t="s">
        <v>5</v>
      </c>
      <c r="N1" s="8" t="s">
        <v>2757</v>
      </c>
      <c r="Q1" s="13" t="s">
        <v>2</v>
      </c>
      <c r="R1" s="13" t="s">
        <v>3</v>
      </c>
      <c r="S1" s="13" t="s">
        <v>4</v>
      </c>
      <c r="T1" s="13" t="s">
        <v>5</v>
      </c>
      <c r="U1" s="13" t="s">
        <v>2759</v>
      </c>
      <c r="W1" s="13" t="s">
        <v>2</v>
      </c>
      <c r="X1" s="13" t="s">
        <v>3</v>
      </c>
      <c r="Y1" s="13" t="s">
        <v>4</v>
      </c>
      <c r="Z1" s="13" t="s">
        <v>5</v>
      </c>
      <c r="AA1" s="13" t="s">
        <v>2757</v>
      </c>
      <c r="AC1" s="154" t="s">
        <v>2</v>
      </c>
      <c r="AD1" s="154" t="s">
        <v>3</v>
      </c>
      <c r="AE1" s="154" t="s">
        <v>4</v>
      </c>
      <c r="AF1" s="154" t="s">
        <v>5</v>
      </c>
      <c r="AG1" s="155" t="s">
        <v>2760</v>
      </c>
      <c r="AI1" s="150"/>
      <c r="AO1" s="150"/>
      <c r="AP1" s="150"/>
      <c r="AQ1" s="150" t="s">
        <v>2</v>
      </c>
      <c r="AR1" s="150" t="s">
        <v>3</v>
      </c>
      <c r="AS1" s="150" t="s">
        <v>4</v>
      </c>
      <c r="AT1" s="150" t="s">
        <v>5</v>
      </c>
      <c r="AU1" s="150" t="s">
        <v>2757</v>
      </c>
      <c r="AY1" s="150" t="s">
        <v>2</v>
      </c>
      <c r="AZ1" s="150" t="s">
        <v>3</v>
      </c>
      <c r="BA1" s="150" t="s">
        <v>1808</v>
      </c>
      <c r="BB1" s="150" t="s">
        <v>5</v>
      </c>
      <c r="BC1" s="150" t="s">
        <v>2757</v>
      </c>
      <c r="BG1" s="13" t="s">
        <v>2</v>
      </c>
      <c r="BH1" s="13" t="s">
        <v>3</v>
      </c>
      <c r="BI1" s="13" t="s">
        <v>4</v>
      </c>
      <c r="BJ1" s="13" t="s">
        <v>5</v>
      </c>
      <c r="BK1" s="13" t="s">
        <v>2757</v>
      </c>
      <c r="BP1" s="154" t="s">
        <v>2</v>
      </c>
      <c r="BQ1" s="154" t="s">
        <v>3</v>
      </c>
      <c r="BR1" s="154" t="s">
        <v>4</v>
      </c>
      <c r="BS1" s="154" t="s">
        <v>5</v>
      </c>
      <c r="BT1" s="155" t="s">
        <v>2760</v>
      </c>
    </row>
    <row r="2" spans="1:72">
      <c r="A2" s="154" t="s">
        <v>0</v>
      </c>
      <c r="B2" s="154" t="s">
        <v>2</v>
      </c>
      <c r="C2" s="154" t="s">
        <v>3</v>
      </c>
      <c r="D2" s="154" t="s">
        <v>4</v>
      </c>
      <c r="E2" s="154" t="s">
        <v>5</v>
      </c>
      <c r="F2" s="155" t="s">
        <v>2760</v>
      </c>
      <c r="G2" s="8"/>
      <c r="H2" s="8"/>
      <c r="I2" s="8"/>
      <c r="J2" s="8" t="s">
        <v>48</v>
      </c>
      <c r="K2" s="8" t="s">
        <v>49</v>
      </c>
      <c r="L2" s="8" t="s">
        <v>390</v>
      </c>
      <c r="M2" s="8" t="s">
        <v>391</v>
      </c>
      <c r="N2" s="8">
        <v>1</v>
      </c>
      <c r="Q2" s="13" t="s">
        <v>416</v>
      </c>
      <c r="R2" s="13" t="s">
        <v>49</v>
      </c>
      <c r="S2" s="13" t="s">
        <v>596</v>
      </c>
      <c r="T2" s="13" t="s">
        <v>606</v>
      </c>
      <c r="U2" s="13">
        <v>1</v>
      </c>
      <c r="W2" s="13" t="s">
        <v>731</v>
      </c>
      <c r="X2" s="13" t="s">
        <v>732</v>
      </c>
      <c r="Y2" s="13" t="s">
        <v>863</v>
      </c>
      <c r="Z2" s="13" t="s">
        <v>864</v>
      </c>
      <c r="AA2" s="13">
        <v>3</v>
      </c>
      <c r="AC2" s="156" t="s">
        <v>979</v>
      </c>
      <c r="AD2" s="156" t="s">
        <v>732</v>
      </c>
      <c r="AE2" s="156" t="s">
        <v>1122</v>
      </c>
      <c r="AF2" s="156" t="s">
        <v>1133</v>
      </c>
      <c r="AG2" s="164">
        <v>2</v>
      </c>
      <c r="AJ2" s="13" t="s">
        <v>0</v>
      </c>
      <c r="AK2" s="13" t="s">
        <v>2</v>
      </c>
      <c r="AL2" s="13" t="s">
        <v>4</v>
      </c>
      <c r="AM2" s="13" t="s">
        <v>5</v>
      </c>
      <c r="AN2" s="13" t="s">
        <v>2757</v>
      </c>
      <c r="AQ2" s="13" t="s">
        <v>48</v>
      </c>
      <c r="AR2" s="13" t="s">
        <v>1406</v>
      </c>
      <c r="AS2" s="13" t="s">
        <v>1774</v>
      </c>
      <c r="AT2" s="13" t="s">
        <v>1786</v>
      </c>
      <c r="AU2" s="13">
        <v>1</v>
      </c>
      <c r="AY2" s="13" t="s">
        <v>416</v>
      </c>
      <c r="AZ2" s="13" t="s">
        <v>1406</v>
      </c>
      <c r="BA2" s="13" t="s">
        <v>1988</v>
      </c>
      <c r="BB2" s="13" t="s">
        <v>1995</v>
      </c>
      <c r="BC2" s="13">
        <v>2</v>
      </c>
      <c r="BG2" s="13" t="s">
        <v>731</v>
      </c>
      <c r="BH2" s="13" t="s">
        <v>1406</v>
      </c>
      <c r="BI2" s="13" t="s">
        <v>2074</v>
      </c>
      <c r="BJ2" s="13" t="s">
        <v>2081</v>
      </c>
      <c r="BK2" s="13">
        <v>3</v>
      </c>
      <c r="BP2" s="156" t="s">
        <v>979</v>
      </c>
      <c r="BQ2" s="156" t="s">
        <v>1406</v>
      </c>
      <c r="BR2" s="156" t="s">
        <v>2442</v>
      </c>
      <c r="BS2" s="156" t="s">
        <v>2456</v>
      </c>
      <c r="BT2" s="164">
        <v>1</v>
      </c>
    </row>
    <row r="3" spans="1:72">
      <c r="A3" s="156" t="s">
        <v>46</v>
      </c>
      <c r="B3" s="156" t="s">
        <v>48</v>
      </c>
      <c r="C3" s="156" t="s">
        <v>49</v>
      </c>
      <c r="D3" s="156" t="s">
        <v>107</v>
      </c>
      <c r="E3" s="156" t="s">
        <v>120</v>
      </c>
      <c r="F3" s="164">
        <v>3</v>
      </c>
      <c r="G3" s="8"/>
      <c r="H3" s="8"/>
      <c r="I3" s="8"/>
      <c r="J3" s="8" t="s">
        <v>48</v>
      </c>
      <c r="K3" s="8" t="s">
        <v>49</v>
      </c>
      <c r="L3" s="8" t="s">
        <v>390</v>
      </c>
      <c r="M3" s="8" t="s">
        <v>393</v>
      </c>
      <c r="N3" s="8">
        <v>2</v>
      </c>
      <c r="Q3" s="13" t="s">
        <v>416</v>
      </c>
      <c r="R3" s="13" t="s">
        <v>49</v>
      </c>
      <c r="S3" s="13" t="s">
        <v>596</v>
      </c>
      <c r="T3" s="13" t="s">
        <v>608</v>
      </c>
      <c r="U3" s="13">
        <v>1</v>
      </c>
      <c r="W3" s="13" t="s">
        <v>731</v>
      </c>
      <c r="X3" s="13" t="s">
        <v>732</v>
      </c>
      <c r="Y3" s="13" t="s">
        <v>863</v>
      </c>
      <c r="Z3" s="13" t="s">
        <v>881</v>
      </c>
      <c r="AA3" s="13">
        <v>3</v>
      </c>
      <c r="AC3" s="157"/>
      <c r="AD3" s="157"/>
      <c r="AE3" s="157"/>
      <c r="AF3" s="158" t="s">
        <v>1139</v>
      </c>
      <c r="AG3" s="165">
        <v>2</v>
      </c>
      <c r="AJ3" s="13"/>
      <c r="AK3" s="13"/>
      <c r="AL3" s="13"/>
      <c r="AM3" s="13"/>
      <c r="AN3" s="13">
        <v>0</v>
      </c>
      <c r="AQ3" s="13" t="s">
        <v>48</v>
      </c>
      <c r="AR3" s="13" t="s">
        <v>1406</v>
      </c>
      <c r="AS3" s="13" t="s">
        <v>1774</v>
      </c>
      <c r="AT3" s="13" t="s">
        <v>1775</v>
      </c>
      <c r="AU3" s="13">
        <v>2</v>
      </c>
      <c r="AY3" s="13" t="s">
        <v>416</v>
      </c>
      <c r="AZ3" s="13" t="s">
        <v>1406</v>
      </c>
      <c r="BA3" s="13" t="s">
        <v>1988</v>
      </c>
      <c r="BB3" s="13" t="s">
        <v>1992</v>
      </c>
      <c r="BC3" s="13">
        <v>2</v>
      </c>
      <c r="BG3" s="13" t="s">
        <v>731</v>
      </c>
      <c r="BH3" s="13" t="s">
        <v>1406</v>
      </c>
      <c r="BI3" s="13" t="s">
        <v>2074</v>
      </c>
      <c r="BJ3" s="13" t="s">
        <v>2075</v>
      </c>
      <c r="BK3" s="13">
        <v>3</v>
      </c>
      <c r="BP3" s="157"/>
      <c r="BQ3" s="157"/>
      <c r="BR3" s="157"/>
      <c r="BS3" s="158" t="s">
        <v>2453</v>
      </c>
      <c r="BT3" s="165">
        <v>2</v>
      </c>
    </row>
    <row r="4" spans="1:72">
      <c r="A4" s="157"/>
      <c r="B4" s="157"/>
      <c r="C4" s="157"/>
      <c r="D4" s="157"/>
      <c r="E4" s="158" t="s">
        <v>124</v>
      </c>
      <c r="F4" s="165">
        <v>1</v>
      </c>
      <c r="G4" s="8"/>
      <c r="H4" s="8"/>
      <c r="I4" s="8"/>
      <c r="J4" s="8" t="s">
        <v>48</v>
      </c>
      <c r="K4" s="8" t="s">
        <v>49</v>
      </c>
      <c r="L4" s="8" t="s">
        <v>390</v>
      </c>
      <c r="M4" s="8" t="s">
        <v>396</v>
      </c>
      <c r="N4" s="8">
        <v>2</v>
      </c>
      <c r="Q4" s="13" t="s">
        <v>416</v>
      </c>
      <c r="R4" s="13" t="s">
        <v>49</v>
      </c>
      <c r="S4" s="13" t="s">
        <v>596</v>
      </c>
      <c r="T4" s="13" t="s">
        <v>597</v>
      </c>
      <c r="U4" s="13">
        <v>2</v>
      </c>
      <c r="W4" s="13" t="s">
        <v>731</v>
      </c>
      <c r="X4" s="13" t="s">
        <v>732</v>
      </c>
      <c r="Y4" s="13" t="s">
        <v>863</v>
      </c>
      <c r="Z4" s="13" t="s">
        <v>885</v>
      </c>
      <c r="AA4" s="13">
        <v>2</v>
      </c>
      <c r="AC4" s="157"/>
      <c r="AD4" s="157"/>
      <c r="AE4" s="157"/>
      <c r="AF4" s="158" t="s">
        <v>1142</v>
      </c>
      <c r="AG4" s="165">
        <v>2</v>
      </c>
      <c r="AJ4" s="13" t="s">
        <v>2769</v>
      </c>
      <c r="AK4" s="13"/>
      <c r="AL4" s="13"/>
      <c r="AM4" s="13"/>
      <c r="AN4" s="13">
        <v>0</v>
      </c>
      <c r="AQ4" s="13" t="s">
        <v>48</v>
      </c>
      <c r="AR4" s="13" t="s">
        <v>1406</v>
      </c>
      <c r="AS4" s="13" t="s">
        <v>1774</v>
      </c>
      <c r="AT4" s="13" t="s">
        <v>1780</v>
      </c>
      <c r="AU4" s="13">
        <v>2</v>
      </c>
      <c r="AY4" s="13" t="s">
        <v>416</v>
      </c>
      <c r="AZ4" s="13" t="s">
        <v>1406</v>
      </c>
      <c r="BA4" s="13" t="s">
        <v>1988</v>
      </c>
      <c r="BB4" s="13" t="s">
        <v>1989</v>
      </c>
      <c r="BC4" s="13">
        <v>2</v>
      </c>
      <c r="BG4" s="13" t="s">
        <v>731</v>
      </c>
      <c r="BH4" s="13" t="s">
        <v>1406</v>
      </c>
      <c r="BI4" s="13" t="s">
        <v>2074</v>
      </c>
      <c r="BJ4" s="13" t="s">
        <v>2087</v>
      </c>
      <c r="BK4" s="13">
        <v>2</v>
      </c>
      <c r="BP4" s="157"/>
      <c r="BQ4" s="157"/>
      <c r="BR4" s="157"/>
      <c r="BS4" s="158" t="s">
        <v>2460</v>
      </c>
      <c r="BT4" s="165">
        <v>2</v>
      </c>
    </row>
    <row r="5" spans="1:72">
      <c r="A5" s="157"/>
      <c r="B5" s="157"/>
      <c r="C5" s="157"/>
      <c r="D5" s="157"/>
      <c r="E5" s="158" t="s">
        <v>108</v>
      </c>
      <c r="F5" s="165">
        <v>3</v>
      </c>
      <c r="G5" s="8"/>
      <c r="H5" s="8"/>
      <c r="I5" s="8"/>
      <c r="J5" s="8" t="s">
        <v>48</v>
      </c>
      <c r="K5" s="8" t="s">
        <v>49</v>
      </c>
      <c r="L5" s="8" t="s">
        <v>303</v>
      </c>
      <c r="M5" s="8" t="s">
        <v>65</v>
      </c>
      <c r="N5" s="8">
        <v>1</v>
      </c>
      <c r="Q5" s="13" t="s">
        <v>416</v>
      </c>
      <c r="R5" s="13" t="s">
        <v>49</v>
      </c>
      <c r="S5" s="13" t="s">
        <v>596</v>
      </c>
      <c r="T5" s="13" t="s">
        <v>604</v>
      </c>
      <c r="U5" s="13">
        <v>1</v>
      </c>
      <c r="W5" s="13" t="s">
        <v>731</v>
      </c>
      <c r="X5" s="13" t="s">
        <v>732</v>
      </c>
      <c r="Y5" s="13" t="s">
        <v>863</v>
      </c>
      <c r="Z5" s="13" t="s">
        <v>875</v>
      </c>
      <c r="AA5" s="13">
        <v>3</v>
      </c>
      <c r="AC5" s="157"/>
      <c r="AD5" s="157"/>
      <c r="AE5" s="157"/>
      <c r="AF5" s="158" t="s">
        <v>1129</v>
      </c>
      <c r="AG5" s="165">
        <v>3</v>
      </c>
      <c r="AJ5" s="13" t="s">
        <v>1405</v>
      </c>
      <c r="AK5" s="13" t="s">
        <v>48</v>
      </c>
      <c r="AL5" s="13" t="s">
        <v>1542</v>
      </c>
      <c r="AM5" s="13" t="s">
        <v>1543</v>
      </c>
      <c r="AN5" s="13">
        <v>2</v>
      </c>
      <c r="AQ5" s="13" t="s">
        <v>48</v>
      </c>
      <c r="AR5" s="13" t="s">
        <v>1406</v>
      </c>
      <c r="AS5" s="13" t="s">
        <v>1774</v>
      </c>
      <c r="AT5" s="13" t="s">
        <v>1778</v>
      </c>
      <c r="AU5" s="13">
        <v>1</v>
      </c>
      <c r="AY5" s="13" t="s">
        <v>416</v>
      </c>
      <c r="AZ5" s="13" t="s">
        <v>1406</v>
      </c>
      <c r="BA5" s="13" t="s">
        <v>1823</v>
      </c>
      <c r="BB5" s="13" t="s">
        <v>1836</v>
      </c>
      <c r="BC5" s="13">
        <v>2</v>
      </c>
      <c r="BG5" s="13" t="s">
        <v>731</v>
      </c>
      <c r="BH5" s="13" t="s">
        <v>1406</v>
      </c>
      <c r="BI5" s="13" t="s">
        <v>2074</v>
      </c>
      <c r="BJ5" s="13" t="s">
        <v>2085</v>
      </c>
      <c r="BK5" s="13">
        <v>1</v>
      </c>
      <c r="BP5" s="157"/>
      <c r="BQ5" s="157"/>
      <c r="BR5" s="157"/>
      <c r="BS5" s="158" t="s">
        <v>2451</v>
      </c>
      <c r="BT5" s="165">
        <v>1</v>
      </c>
    </row>
    <row r="6" spans="1:72">
      <c r="A6" s="157"/>
      <c r="B6" s="157"/>
      <c r="C6" s="157"/>
      <c r="D6" s="157"/>
      <c r="E6" s="158" t="s">
        <v>116</v>
      </c>
      <c r="F6" s="165">
        <v>3</v>
      </c>
      <c r="G6" s="8"/>
      <c r="H6" s="8"/>
      <c r="I6" s="8"/>
      <c r="J6" s="8" t="s">
        <v>48</v>
      </c>
      <c r="K6" s="8" t="s">
        <v>49</v>
      </c>
      <c r="L6" s="8" t="s">
        <v>303</v>
      </c>
      <c r="M6" s="8" t="s">
        <v>307</v>
      </c>
      <c r="N6" s="8">
        <v>3</v>
      </c>
      <c r="Q6" s="13" t="s">
        <v>416</v>
      </c>
      <c r="R6" s="13" t="s">
        <v>49</v>
      </c>
      <c r="S6" s="13" t="s">
        <v>596</v>
      </c>
      <c r="T6" s="13" t="s">
        <v>600</v>
      </c>
      <c r="U6" s="13">
        <v>3</v>
      </c>
      <c r="W6" s="13" t="s">
        <v>731</v>
      </c>
      <c r="X6" s="13" t="s">
        <v>732</v>
      </c>
      <c r="Y6" s="13" t="s">
        <v>863</v>
      </c>
      <c r="Z6" s="13" t="s">
        <v>871</v>
      </c>
      <c r="AA6" s="13">
        <v>3</v>
      </c>
      <c r="AC6" s="157"/>
      <c r="AD6" s="157"/>
      <c r="AE6" s="157"/>
      <c r="AF6" s="158" t="s">
        <v>1136</v>
      </c>
      <c r="AG6" s="165">
        <v>2</v>
      </c>
      <c r="AJ6" s="13" t="s">
        <v>1405</v>
      </c>
      <c r="AK6" s="13" t="s">
        <v>48</v>
      </c>
      <c r="AL6" s="13" t="s">
        <v>1542</v>
      </c>
      <c r="AM6" s="13" t="s">
        <v>1553</v>
      </c>
      <c r="AN6" s="13">
        <v>2</v>
      </c>
      <c r="AQ6" s="13" t="s">
        <v>48</v>
      </c>
      <c r="AR6" s="13" t="s">
        <v>1406</v>
      </c>
      <c r="AS6" s="13" t="s">
        <v>1774</v>
      </c>
      <c r="AT6" s="13" t="s">
        <v>1783</v>
      </c>
      <c r="AU6" s="13">
        <v>2</v>
      </c>
      <c r="AY6" s="13" t="s">
        <v>416</v>
      </c>
      <c r="AZ6" s="13" t="s">
        <v>1406</v>
      </c>
      <c r="BA6" s="13" t="s">
        <v>1823</v>
      </c>
      <c r="BB6" s="13" t="s">
        <v>1826</v>
      </c>
      <c r="BC6" s="13">
        <v>2</v>
      </c>
      <c r="BG6" s="13" t="s">
        <v>731</v>
      </c>
      <c r="BH6" s="13" t="s">
        <v>1406</v>
      </c>
      <c r="BI6" s="13" t="s">
        <v>2074</v>
      </c>
      <c r="BJ6" s="13" t="s">
        <v>2079</v>
      </c>
      <c r="BK6" s="13">
        <v>1</v>
      </c>
      <c r="BP6" s="157"/>
      <c r="BQ6" s="157"/>
      <c r="BR6" s="157"/>
      <c r="BS6" s="158" t="s">
        <v>2443</v>
      </c>
      <c r="BT6" s="165">
        <v>2</v>
      </c>
    </row>
    <row r="7" spans="1:72">
      <c r="A7" s="157"/>
      <c r="B7" s="157"/>
      <c r="C7" s="157"/>
      <c r="D7" s="157"/>
      <c r="E7" s="158" t="s">
        <v>112</v>
      </c>
      <c r="F7" s="165">
        <v>3</v>
      </c>
      <c r="G7" s="8"/>
      <c r="H7" s="8"/>
      <c r="I7" s="8"/>
      <c r="J7" s="8" t="s">
        <v>48</v>
      </c>
      <c r="K7" s="8" t="s">
        <v>49</v>
      </c>
      <c r="L7" s="8" t="s">
        <v>303</v>
      </c>
      <c r="M7" s="8" t="s">
        <v>314</v>
      </c>
      <c r="N7" s="8">
        <v>2</v>
      </c>
      <c r="Q7" s="13" t="s">
        <v>416</v>
      </c>
      <c r="R7" s="13" t="s">
        <v>49</v>
      </c>
      <c r="S7" s="13" t="s">
        <v>534</v>
      </c>
      <c r="T7" s="13" t="s">
        <v>537</v>
      </c>
      <c r="U7" s="13">
        <v>2</v>
      </c>
      <c r="W7" s="13" t="s">
        <v>731</v>
      </c>
      <c r="X7" s="13" t="s">
        <v>732</v>
      </c>
      <c r="Y7" s="13" t="s">
        <v>863</v>
      </c>
      <c r="Z7" s="13" t="s">
        <v>868</v>
      </c>
      <c r="AA7" s="13">
        <v>2</v>
      </c>
      <c r="AC7" s="157"/>
      <c r="AD7" s="157"/>
      <c r="AE7" s="157"/>
      <c r="AF7" s="158" t="s">
        <v>1123</v>
      </c>
      <c r="AG7" s="165">
        <v>2</v>
      </c>
      <c r="AJ7" s="13" t="s">
        <v>1405</v>
      </c>
      <c r="AK7" s="13" t="s">
        <v>48</v>
      </c>
      <c r="AL7" s="13" t="s">
        <v>1542</v>
      </c>
      <c r="AM7" s="13" t="s">
        <v>1548</v>
      </c>
      <c r="AN7" s="13">
        <v>2</v>
      </c>
      <c r="AQ7" s="13" t="s">
        <v>48</v>
      </c>
      <c r="AR7" s="13" t="s">
        <v>1406</v>
      </c>
      <c r="AS7" s="13" t="s">
        <v>1685</v>
      </c>
      <c r="AT7" s="13" t="s">
        <v>1689</v>
      </c>
      <c r="AU7" s="13">
        <v>3</v>
      </c>
      <c r="AY7" s="13" t="s">
        <v>416</v>
      </c>
      <c r="AZ7" s="13" t="s">
        <v>1406</v>
      </c>
      <c r="BA7" s="13" t="s">
        <v>1823</v>
      </c>
      <c r="BB7" s="13" t="s">
        <v>1833</v>
      </c>
      <c r="BC7" s="13">
        <v>2</v>
      </c>
      <c r="BG7" s="13" t="s">
        <v>731</v>
      </c>
      <c r="BH7" s="13" t="s">
        <v>1406</v>
      </c>
      <c r="BI7" s="13" t="s">
        <v>2074</v>
      </c>
      <c r="BJ7" s="13" t="s">
        <v>2090</v>
      </c>
      <c r="BK7" s="13">
        <v>2</v>
      </c>
      <c r="BP7" s="157"/>
      <c r="BQ7" s="157"/>
      <c r="BR7" s="157"/>
      <c r="BS7" s="158" t="s">
        <v>2446</v>
      </c>
      <c r="BT7" s="165">
        <v>2</v>
      </c>
    </row>
    <row r="8" spans="1:72">
      <c r="A8" s="157"/>
      <c r="B8" s="157"/>
      <c r="C8" s="157"/>
      <c r="D8" s="156" t="s">
        <v>169</v>
      </c>
      <c r="E8" s="156" t="s">
        <v>188</v>
      </c>
      <c r="F8" s="164">
        <v>2</v>
      </c>
      <c r="G8" s="8"/>
      <c r="H8" s="8"/>
      <c r="I8" s="8"/>
      <c r="J8" s="8" t="s">
        <v>48</v>
      </c>
      <c r="K8" s="8" t="s">
        <v>49</v>
      </c>
      <c r="L8" s="8" t="s">
        <v>303</v>
      </c>
      <c r="M8" s="8" t="s">
        <v>59</v>
      </c>
      <c r="N8" s="8">
        <v>2</v>
      </c>
      <c r="Q8" s="13" t="s">
        <v>416</v>
      </c>
      <c r="R8" s="13" t="s">
        <v>49</v>
      </c>
      <c r="S8" s="13" t="s">
        <v>534</v>
      </c>
      <c r="T8" s="13" t="s">
        <v>540</v>
      </c>
      <c r="U8" s="13">
        <v>2</v>
      </c>
      <c r="W8" s="13" t="s">
        <v>731</v>
      </c>
      <c r="X8" s="13" t="s">
        <v>732</v>
      </c>
      <c r="Y8" s="13" t="s">
        <v>863</v>
      </c>
      <c r="Z8" s="13" t="s">
        <v>879</v>
      </c>
      <c r="AA8" s="13">
        <v>1</v>
      </c>
      <c r="AC8" s="157"/>
      <c r="AD8" s="157"/>
      <c r="AE8" s="157"/>
      <c r="AF8" s="158" t="s">
        <v>1126</v>
      </c>
      <c r="AG8" s="165">
        <v>2</v>
      </c>
      <c r="AJ8" s="13" t="s">
        <v>1405</v>
      </c>
      <c r="AK8" s="13" t="s">
        <v>48</v>
      </c>
      <c r="AL8" s="13" t="s">
        <v>1542</v>
      </c>
      <c r="AM8" s="13" t="s">
        <v>1557</v>
      </c>
      <c r="AN8" s="13">
        <v>2</v>
      </c>
      <c r="AQ8" s="13" t="s">
        <v>48</v>
      </c>
      <c r="AR8" s="13" t="s">
        <v>1406</v>
      </c>
      <c r="AS8" s="13" t="s">
        <v>1685</v>
      </c>
      <c r="AT8" s="13" t="s">
        <v>1687</v>
      </c>
      <c r="AU8" s="13">
        <v>3</v>
      </c>
      <c r="AY8" s="13" t="s">
        <v>416</v>
      </c>
      <c r="AZ8" s="13" t="s">
        <v>1406</v>
      </c>
      <c r="BA8" s="13" t="s">
        <v>1823</v>
      </c>
      <c r="BB8" s="13" t="s">
        <v>1824</v>
      </c>
      <c r="BC8" s="13">
        <v>1</v>
      </c>
      <c r="BG8" s="13" t="s">
        <v>731</v>
      </c>
      <c r="BH8" s="13" t="s">
        <v>1406</v>
      </c>
      <c r="BI8" s="13" t="s">
        <v>2013</v>
      </c>
      <c r="BJ8" s="13" t="s">
        <v>2014</v>
      </c>
      <c r="BK8" s="13">
        <v>2</v>
      </c>
      <c r="BP8" s="157"/>
      <c r="BQ8" s="157"/>
      <c r="BR8" s="157"/>
      <c r="BS8" s="158" t="s">
        <v>2449</v>
      </c>
      <c r="BT8" s="165">
        <v>1</v>
      </c>
    </row>
    <row r="9" spans="1:72">
      <c r="A9" s="157"/>
      <c r="B9" s="157"/>
      <c r="C9" s="157"/>
      <c r="D9" s="157"/>
      <c r="E9" s="158" t="s">
        <v>191</v>
      </c>
      <c r="F9" s="165">
        <v>3</v>
      </c>
      <c r="G9" s="8"/>
      <c r="H9" s="8"/>
      <c r="I9" s="8"/>
      <c r="J9" s="8" t="s">
        <v>48</v>
      </c>
      <c r="K9" s="8" t="s">
        <v>49</v>
      </c>
      <c r="L9" s="8" t="s">
        <v>303</v>
      </c>
      <c r="M9" s="8" t="s">
        <v>62</v>
      </c>
      <c r="N9" s="8">
        <v>2</v>
      </c>
      <c r="Q9" s="13" t="s">
        <v>416</v>
      </c>
      <c r="R9" s="13" t="s">
        <v>49</v>
      </c>
      <c r="S9" s="13" t="s">
        <v>534</v>
      </c>
      <c r="T9" s="13" t="s">
        <v>552</v>
      </c>
      <c r="U9" s="13">
        <v>2</v>
      </c>
      <c r="W9" s="13" t="s">
        <v>731</v>
      </c>
      <c r="X9" s="13" t="s">
        <v>732</v>
      </c>
      <c r="Y9" s="13" t="s">
        <v>534</v>
      </c>
      <c r="Z9" s="13" t="s">
        <v>860</v>
      </c>
      <c r="AA9" s="13">
        <v>2</v>
      </c>
      <c r="AC9" s="157"/>
      <c r="AD9" s="157"/>
      <c r="AE9" s="156" t="s">
        <v>1061</v>
      </c>
      <c r="AF9" s="156" t="s">
        <v>1065</v>
      </c>
      <c r="AG9" s="164">
        <v>2</v>
      </c>
      <c r="AJ9" s="13" t="s">
        <v>1405</v>
      </c>
      <c r="AK9" s="13" t="s">
        <v>48</v>
      </c>
      <c r="AL9" s="13" t="s">
        <v>1647</v>
      </c>
      <c r="AM9" s="13" t="s">
        <v>1648</v>
      </c>
      <c r="AN9" s="13">
        <v>2</v>
      </c>
      <c r="AQ9" s="13" t="s">
        <v>48</v>
      </c>
      <c r="AR9" s="13" t="s">
        <v>1406</v>
      </c>
      <c r="AS9" s="13" t="s">
        <v>1685</v>
      </c>
      <c r="AT9" s="13" t="s">
        <v>1688</v>
      </c>
      <c r="AU9" s="13">
        <v>3</v>
      </c>
      <c r="AY9" s="13" t="s">
        <v>416</v>
      </c>
      <c r="AZ9" s="13" t="s">
        <v>1406</v>
      </c>
      <c r="BA9" s="13" t="s">
        <v>1823</v>
      </c>
      <c r="BB9" s="13" t="s">
        <v>1829</v>
      </c>
      <c r="BC9" s="13">
        <v>3</v>
      </c>
      <c r="BG9" s="13" t="s">
        <v>731</v>
      </c>
      <c r="BH9" s="13" t="s">
        <v>1406</v>
      </c>
      <c r="BI9" s="13" t="s">
        <v>2013</v>
      </c>
      <c r="BJ9" s="13" t="s">
        <v>2026</v>
      </c>
      <c r="BK9" s="13">
        <v>2</v>
      </c>
      <c r="BP9" s="157"/>
      <c r="BQ9" s="157"/>
      <c r="BR9" s="157"/>
      <c r="BS9" s="158" t="s">
        <v>2458</v>
      </c>
      <c r="BT9" s="165">
        <v>1</v>
      </c>
    </row>
    <row r="10" spans="1:72">
      <c r="A10" s="157"/>
      <c r="B10" s="157"/>
      <c r="C10" s="157"/>
      <c r="D10" s="157"/>
      <c r="E10" s="158" t="s">
        <v>186</v>
      </c>
      <c r="F10" s="165">
        <v>1</v>
      </c>
      <c r="G10" s="8"/>
      <c r="H10" s="8"/>
      <c r="I10" s="8"/>
      <c r="J10" s="8" t="s">
        <v>48</v>
      </c>
      <c r="K10" s="8" t="s">
        <v>49</v>
      </c>
      <c r="L10" s="8" t="s">
        <v>303</v>
      </c>
      <c r="M10" s="8" t="s">
        <v>304</v>
      </c>
      <c r="N10" s="8">
        <v>2</v>
      </c>
      <c r="Q10" s="13" t="s">
        <v>416</v>
      </c>
      <c r="R10" s="13" t="s">
        <v>49</v>
      </c>
      <c r="S10" s="13" t="s">
        <v>534</v>
      </c>
      <c r="T10" s="13" t="s">
        <v>549</v>
      </c>
      <c r="U10" s="13">
        <v>2</v>
      </c>
      <c r="W10" s="13" t="s">
        <v>731</v>
      </c>
      <c r="X10" s="13" t="s">
        <v>732</v>
      </c>
      <c r="Y10" s="13" t="s">
        <v>534</v>
      </c>
      <c r="Z10" s="13" t="s">
        <v>857</v>
      </c>
      <c r="AA10" s="13">
        <v>2</v>
      </c>
      <c r="AC10" s="157"/>
      <c r="AD10" s="157"/>
      <c r="AE10" s="157"/>
      <c r="AF10" s="158" t="s">
        <v>1068</v>
      </c>
      <c r="AG10" s="165">
        <v>2</v>
      </c>
      <c r="AJ10" s="13" t="s">
        <v>1405</v>
      </c>
      <c r="AK10" s="13" t="s">
        <v>48</v>
      </c>
      <c r="AL10" s="13" t="s">
        <v>1647</v>
      </c>
      <c r="AM10" s="13" t="s">
        <v>1665</v>
      </c>
      <c r="AN10" s="13">
        <v>1</v>
      </c>
      <c r="AQ10" s="13" t="s">
        <v>48</v>
      </c>
      <c r="AR10" s="13" t="s">
        <v>1406</v>
      </c>
      <c r="AS10" s="13" t="s">
        <v>1685</v>
      </c>
      <c r="AT10" s="13" t="s">
        <v>1686</v>
      </c>
      <c r="AU10" s="13">
        <v>1</v>
      </c>
      <c r="AY10" s="13" t="s">
        <v>416</v>
      </c>
      <c r="AZ10" s="13" t="s">
        <v>1406</v>
      </c>
      <c r="BA10" s="13" t="s">
        <v>1809</v>
      </c>
      <c r="BB10" s="13" t="s">
        <v>1812</v>
      </c>
      <c r="BC10" s="13">
        <v>3</v>
      </c>
      <c r="BG10" s="13" t="s">
        <v>731</v>
      </c>
      <c r="BH10" s="13" t="s">
        <v>1406</v>
      </c>
      <c r="BI10" s="13" t="s">
        <v>2013</v>
      </c>
      <c r="BJ10" s="13" t="s">
        <v>2023</v>
      </c>
      <c r="BK10" s="13">
        <v>1</v>
      </c>
      <c r="BP10" s="157"/>
      <c r="BQ10" s="157"/>
      <c r="BR10" s="156" t="s">
        <v>2309</v>
      </c>
      <c r="BS10" s="156" t="s">
        <v>2327</v>
      </c>
      <c r="BT10" s="164">
        <v>3</v>
      </c>
    </row>
    <row r="11" spans="1:72">
      <c r="A11" s="157"/>
      <c r="B11" s="157"/>
      <c r="C11" s="157"/>
      <c r="D11" s="157"/>
      <c r="E11" s="158" t="s">
        <v>183</v>
      </c>
      <c r="F11" s="165">
        <v>2</v>
      </c>
      <c r="G11" s="8"/>
      <c r="H11" s="8"/>
      <c r="I11" s="8"/>
      <c r="J11" s="8" t="s">
        <v>48</v>
      </c>
      <c r="K11" s="8" t="s">
        <v>49</v>
      </c>
      <c r="L11" s="8" t="s">
        <v>303</v>
      </c>
      <c r="M11" s="8" t="s">
        <v>311</v>
      </c>
      <c r="N11" s="8">
        <v>2</v>
      </c>
      <c r="Q11" s="13" t="s">
        <v>416</v>
      </c>
      <c r="R11" s="13" t="s">
        <v>49</v>
      </c>
      <c r="S11" s="13" t="s">
        <v>534</v>
      </c>
      <c r="T11" s="13" t="s">
        <v>535</v>
      </c>
      <c r="U11" s="13">
        <v>1</v>
      </c>
      <c r="W11" s="13" t="s">
        <v>731</v>
      </c>
      <c r="X11" s="13" t="s">
        <v>732</v>
      </c>
      <c r="Y11" s="13" t="s">
        <v>534</v>
      </c>
      <c r="Z11" s="13" t="s">
        <v>846</v>
      </c>
      <c r="AA11" s="13">
        <v>2</v>
      </c>
      <c r="AC11" s="157"/>
      <c r="AD11" s="157"/>
      <c r="AE11" s="157"/>
      <c r="AF11" s="158" t="s">
        <v>1071</v>
      </c>
      <c r="AG11" s="165">
        <v>1</v>
      </c>
      <c r="AJ11" s="13" t="s">
        <v>1405</v>
      </c>
      <c r="AK11" s="13" t="s">
        <v>48</v>
      </c>
      <c r="AL11" s="13" t="s">
        <v>1647</v>
      </c>
      <c r="AM11" s="13" t="s">
        <v>1662</v>
      </c>
      <c r="AN11" s="13">
        <v>1</v>
      </c>
      <c r="AQ11" s="13" t="s">
        <v>48</v>
      </c>
      <c r="AR11" s="13" t="s">
        <v>1406</v>
      </c>
      <c r="AS11" s="13" t="s">
        <v>1800</v>
      </c>
      <c r="AT11" s="13" t="s">
        <v>1804</v>
      </c>
      <c r="AU11" s="13">
        <v>1</v>
      </c>
      <c r="AY11" s="13" t="s">
        <v>416</v>
      </c>
      <c r="AZ11" s="13" t="s">
        <v>1406</v>
      </c>
      <c r="BA11" s="13" t="s">
        <v>1809</v>
      </c>
      <c r="BB11" s="13" t="s">
        <v>1815</v>
      </c>
      <c r="BC11" s="13">
        <v>2</v>
      </c>
      <c r="BG11" s="13" t="s">
        <v>731</v>
      </c>
      <c r="BH11" s="13" t="s">
        <v>1406</v>
      </c>
      <c r="BI11" s="13" t="s">
        <v>2013</v>
      </c>
      <c r="BJ11" s="13" t="s">
        <v>2017</v>
      </c>
      <c r="BK11" s="13">
        <v>2</v>
      </c>
      <c r="BP11" s="157"/>
      <c r="BQ11" s="157"/>
      <c r="BR11" s="157"/>
      <c r="BS11" s="158" t="s">
        <v>2321</v>
      </c>
      <c r="BT11" s="165">
        <v>2</v>
      </c>
    </row>
    <row r="12" spans="1:72">
      <c r="A12" s="157"/>
      <c r="B12" s="157"/>
      <c r="C12" s="157"/>
      <c r="D12" s="157"/>
      <c r="E12" s="158" t="s">
        <v>170</v>
      </c>
      <c r="F12" s="165">
        <v>2</v>
      </c>
      <c r="G12" s="8"/>
      <c r="H12" s="8"/>
      <c r="I12" s="8"/>
      <c r="J12" s="8" t="s">
        <v>48</v>
      </c>
      <c r="K12" s="8" t="s">
        <v>49</v>
      </c>
      <c r="L12" s="8" t="s">
        <v>303</v>
      </c>
      <c r="M12" s="8" t="s">
        <v>315</v>
      </c>
      <c r="N12" s="8">
        <v>2</v>
      </c>
      <c r="Q12" s="13" t="s">
        <v>416</v>
      </c>
      <c r="R12" s="13" t="s">
        <v>49</v>
      </c>
      <c r="S12" s="13" t="s">
        <v>534</v>
      </c>
      <c r="T12" s="13" t="s">
        <v>555</v>
      </c>
      <c r="U12" s="13">
        <v>2</v>
      </c>
      <c r="W12" s="13" t="s">
        <v>731</v>
      </c>
      <c r="X12" s="13" t="s">
        <v>732</v>
      </c>
      <c r="Y12" s="13" t="s">
        <v>534</v>
      </c>
      <c r="Z12" s="13" t="s">
        <v>842</v>
      </c>
      <c r="AA12" s="13">
        <v>3</v>
      </c>
      <c r="AC12" s="157"/>
      <c r="AD12" s="157"/>
      <c r="AE12" s="157"/>
      <c r="AF12" s="158" t="s">
        <v>1062</v>
      </c>
      <c r="AG12" s="165">
        <v>2</v>
      </c>
      <c r="AJ12" s="13" t="s">
        <v>1405</v>
      </c>
      <c r="AK12" s="13" t="s">
        <v>48</v>
      </c>
      <c r="AL12" s="13" t="s">
        <v>1647</v>
      </c>
      <c r="AM12" s="13" t="s">
        <v>1659</v>
      </c>
      <c r="AN12" s="13">
        <v>1</v>
      </c>
      <c r="AQ12" s="13" t="s">
        <v>48</v>
      </c>
      <c r="AR12" s="13" t="s">
        <v>1406</v>
      </c>
      <c r="AS12" s="13" t="s">
        <v>1800</v>
      </c>
      <c r="AT12" s="13" t="s">
        <v>1806</v>
      </c>
      <c r="AU12" s="13">
        <v>1</v>
      </c>
      <c r="AY12" s="13" t="s">
        <v>416</v>
      </c>
      <c r="AZ12" s="13" t="s">
        <v>1406</v>
      </c>
      <c r="BA12" s="13" t="s">
        <v>1809</v>
      </c>
      <c r="BB12" s="13" t="s">
        <v>1810</v>
      </c>
      <c r="BC12" s="13">
        <v>1</v>
      </c>
      <c r="BG12" s="13" t="s">
        <v>731</v>
      </c>
      <c r="BH12" s="13" t="s">
        <v>1406</v>
      </c>
      <c r="BI12" s="13" t="s">
        <v>2013</v>
      </c>
      <c r="BJ12" s="13" t="s">
        <v>2020</v>
      </c>
      <c r="BK12" s="13">
        <v>1</v>
      </c>
      <c r="BP12" s="157"/>
      <c r="BQ12" s="157"/>
      <c r="BR12" s="157"/>
      <c r="BS12" s="158" t="s">
        <v>2316</v>
      </c>
      <c r="BT12" s="165">
        <v>1</v>
      </c>
    </row>
    <row r="13" spans="1:72">
      <c r="A13" s="157"/>
      <c r="B13" s="157"/>
      <c r="C13" s="157"/>
      <c r="D13" s="157"/>
      <c r="E13" s="158" t="s">
        <v>180</v>
      </c>
      <c r="F13" s="165">
        <v>2</v>
      </c>
      <c r="G13" s="8"/>
      <c r="H13" s="8"/>
      <c r="I13" s="8"/>
      <c r="J13" s="8" t="s">
        <v>48</v>
      </c>
      <c r="K13" s="8" t="s">
        <v>49</v>
      </c>
      <c r="L13" s="8" t="s">
        <v>385</v>
      </c>
      <c r="M13" s="8" t="s">
        <v>108</v>
      </c>
      <c r="N13" s="8">
        <v>2</v>
      </c>
      <c r="Q13" s="13" t="s">
        <v>416</v>
      </c>
      <c r="R13" s="13" t="s">
        <v>49</v>
      </c>
      <c r="S13" s="13" t="s">
        <v>534</v>
      </c>
      <c r="T13" s="13" t="s">
        <v>558</v>
      </c>
      <c r="U13" s="13">
        <v>2</v>
      </c>
      <c r="W13" s="13" t="s">
        <v>731</v>
      </c>
      <c r="X13" s="13" t="s">
        <v>732</v>
      </c>
      <c r="Y13" s="13" t="s">
        <v>534</v>
      </c>
      <c r="Z13" s="13" t="s">
        <v>851</v>
      </c>
      <c r="AA13" s="13">
        <v>2</v>
      </c>
      <c r="AC13" s="157"/>
      <c r="AD13" s="157"/>
      <c r="AE13" s="156" t="s">
        <v>1145</v>
      </c>
      <c r="AF13" s="156" t="s">
        <v>1146</v>
      </c>
      <c r="AG13" s="164">
        <v>1</v>
      </c>
      <c r="AJ13" s="13" t="s">
        <v>1405</v>
      </c>
      <c r="AK13" s="13" t="s">
        <v>48</v>
      </c>
      <c r="AL13" s="13" t="s">
        <v>1647</v>
      </c>
      <c r="AM13" s="13" t="s">
        <v>1656</v>
      </c>
      <c r="AN13" s="13">
        <v>1</v>
      </c>
      <c r="AQ13" s="13" t="s">
        <v>48</v>
      </c>
      <c r="AR13" s="13" t="s">
        <v>1406</v>
      </c>
      <c r="AS13" s="13" t="s">
        <v>1800</v>
      </c>
      <c r="AT13" s="13" t="s">
        <v>1801</v>
      </c>
      <c r="AU13" s="13">
        <v>1</v>
      </c>
      <c r="AY13" s="13" t="s">
        <v>416</v>
      </c>
      <c r="AZ13" s="13" t="s">
        <v>1406</v>
      </c>
      <c r="BA13" s="13" t="s">
        <v>1809</v>
      </c>
      <c r="BB13" s="13" t="s">
        <v>1818</v>
      </c>
      <c r="BC13" s="13">
        <v>1</v>
      </c>
      <c r="BG13" s="13" t="s">
        <v>731</v>
      </c>
      <c r="BH13" s="13" t="s">
        <v>1406</v>
      </c>
      <c r="BI13" s="13" t="s">
        <v>2029</v>
      </c>
      <c r="BJ13" s="13" t="s">
        <v>2039</v>
      </c>
      <c r="BK13" s="13">
        <v>2</v>
      </c>
      <c r="BP13" s="157"/>
      <c r="BQ13" s="157"/>
      <c r="BR13" s="157"/>
      <c r="BS13" s="158" t="s">
        <v>2313</v>
      </c>
      <c r="BT13" s="165">
        <v>2</v>
      </c>
    </row>
    <row r="14" spans="1:72">
      <c r="A14" s="157"/>
      <c r="B14" s="157"/>
      <c r="C14" s="157"/>
      <c r="D14" s="157"/>
      <c r="E14" s="158" t="s">
        <v>173</v>
      </c>
      <c r="F14" s="165">
        <v>2</v>
      </c>
      <c r="G14" s="8"/>
      <c r="H14" s="8"/>
      <c r="I14" s="8"/>
      <c r="J14" s="8" t="s">
        <v>48</v>
      </c>
      <c r="K14" s="8" t="s">
        <v>49</v>
      </c>
      <c r="L14" s="8" t="s">
        <v>385</v>
      </c>
      <c r="M14" s="8" t="s">
        <v>116</v>
      </c>
      <c r="N14" s="8">
        <v>3</v>
      </c>
      <c r="Q14" s="13" t="s">
        <v>416</v>
      </c>
      <c r="R14" s="13" t="s">
        <v>49</v>
      </c>
      <c r="S14" s="13" t="s">
        <v>534</v>
      </c>
      <c r="T14" s="13" t="s">
        <v>547</v>
      </c>
      <c r="U14" s="13">
        <v>1</v>
      </c>
      <c r="W14" s="13" t="s">
        <v>731</v>
      </c>
      <c r="X14" s="13" t="s">
        <v>732</v>
      </c>
      <c r="Y14" s="13" t="s">
        <v>534</v>
      </c>
      <c r="Z14" s="13" t="s">
        <v>849</v>
      </c>
      <c r="AA14" s="13">
        <v>1</v>
      </c>
      <c r="AC14" s="157"/>
      <c r="AD14" s="157"/>
      <c r="AE14" s="156" t="s">
        <v>1080</v>
      </c>
      <c r="AF14" s="156" t="s">
        <v>1083</v>
      </c>
      <c r="AG14" s="164">
        <v>1</v>
      </c>
      <c r="AJ14" s="13" t="s">
        <v>1405</v>
      </c>
      <c r="AK14" s="13" t="s">
        <v>48</v>
      </c>
      <c r="AL14" s="13" t="s">
        <v>1647</v>
      </c>
      <c r="AM14" s="13" t="s">
        <v>1653</v>
      </c>
      <c r="AN14" s="13">
        <v>1</v>
      </c>
      <c r="AQ14" s="13" t="s">
        <v>48</v>
      </c>
      <c r="AR14" s="13" t="s">
        <v>1406</v>
      </c>
      <c r="AS14" s="13" t="s">
        <v>1800</v>
      </c>
      <c r="AT14" s="13" t="s">
        <v>1802</v>
      </c>
      <c r="AU14" s="13">
        <v>1</v>
      </c>
      <c r="AY14" s="13" t="s">
        <v>416</v>
      </c>
      <c r="AZ14" s="13" t="s">
        <v>1406</v>
      </c>
      <c r="BA14" s="13" t="s">
        <v>1809</v>
      </c>
      <c r="BB14" s="13" t="s">
        <v>1820</v>
      </c>
      <c r="BC14" s="13">
        <v>2</v>
      </c>
      <c r="BG14" s="13" t="s">
        <v>731</v>
      </c>
      <c r="BH14" s="13" t="s">
        <v>1406</v>
      </c>
      <c r="BI14" s="13" t="s">
        <v>2029</v>
      </c>
      <c r="BJ14" s="13" t="s">
        <v>2036</v>
      </c>
      <c r="BK14" s="13">
        <v>2</v>
      </c>
      <c r="BP14" s="157"/>
      <c r="BQ14" s="157"/>
      <c r="BR14" s="157"/>
      <c r="BS14" s="158" t="s">
        <v>2324</v>
      </c>
      <c r="BT14" s="165">
        <v>2</v>
      </c>
    </row>
    <row r="15" spans="1:72">
      <c r="A15" s="157"/>
      <c r="B15" s="157"/>
      <c r="C15" s="157"/>
      <c r="D15" s="157"/>
      <c r="E15" s="158" t="s">
        <v>176</v>
      </c>
      <c r="F15" s="165">
        <v>3</v>
      </c>
      <c r="G15" s="8"/>
      <c r="H15" s="8"/>
      <c r="I15" s="8"/>
      <c r="J15" s="8" t="s">
        <v>48</v>
      </c>
      <c r="K15" s="8" t="s">
        <v>49</v>
      </c>
      <c r="L15" s="8" t="s">
        <v>385</v>
      </c>
      <c r="M15" s="8" t="s">
        <v>112</v>
      </c>
      <c r="N15" s="8">
        <v>3</v>
      </c>
      <c r="Q15" s="13" t="s">
        <v>416</v>
      </c>
      <c r="R15" s="13" t="s">
        <v>49</v>
      </c>
      <c r="S15" s="13" t="s">
        <v>534</v>
      </c>
      <c r="T15" s="13" t="s">
        <v>561</v>
      </c>
      <c r="U15" s="13">
        <v>2</v>
      </c>
      <c r="W15" s="13" t="s">
        <v>731</v>
      </c>
      <c r="X15" s="13" t="s">
        <v>732</v>
      </c>
      <c r="Y15" s="13" t="s">
        <v>534</v>
      </c>
      <c r="Z15" s="13" t="s">
        <v>854</v>
      </c>
      <c r="AA15" s="13">
        <v>2</v>
      </c>
      <c r="AC15" s="157"/>
      <c r="AD15" s="157"/>
      <c r="AE15" s="157"/>
      <c r="AF15" s="158" t="s">
        <v>1081</v>
      </c>
      <c r="AG15" s="165">
        <v>1</v>
      </c>
      <c r="AJ15" s="13" t="s">
        <v>1405</v>
      </c>
      <c r="AK15" s="13" t="s">
        <v>48</v>
      </c>
      <c r="AL15" s="13" t="s">
        <v>1483</v>
      </c>
      <c r="AM15" s="13" t="s">
        <v>1500</v>
      </c>
      <c r="AN15" s="13">
        <v>2</v>
      </c>
      <c r="AQ15" s="13" t="s">
        <v>48</v>
      </c>
      <c r="AR15" s="13" t="s">
        <v>1406</v>
      </c>
      <c r="AS15" s="13" t="s">
        <v>1704</v>
      </c>
      <c r="AT15" s="13" t="s">
        <v>1714</v>
      </c>
      <c r="AU15" s="13">
        <v>1</v>
      </c>
      <c r="AY15" s="13" t="s">
        <v>416</v>
      </c>
      <c r="AZ15" s="13" t="s">
        <v>1406</v>
      </c>
      <c r="BA15" s="13" t="s">
        <v>1921</v>
      </c>
      <c r="BB15" s="13" t="s">
        <v>1922</v>
      </c>
      <c r="BC15" s="13">
        <v>2</v>
      </c>
      <c r="BG15" s="13" t="s">
        <v>731</v>
      </c>
      <c r="BH15" s="13" t="s">
        <v>1406</v>
      </c>
      <c r="BI15" s="13" t="s">
        <v>2029</v>
      </c>
      <c r="BJ15" s="13" t="s">
        <v>2042</v>
      </c>
      <c r="BK15" s="13">
        <v>1</v>
      </c>
      <c r="BP15" s="157"/>
      <c r="BQ15" s="157"/>
      <c r="BR15" s="157"/>
      <c r="BS15" s="158" t="s">
        <v>2331</v>
      </c>
      <c r="BT15" s="165">
        <v>1</v>
      </c>
    </row>
    <row r="16" spans="1:72">
      <c r="A16" s="157"/>
      <c r="B16" s="157"/>
      <c r="C16" s="157"/>
      <c r="D16" s="156" t="s">
        <v>58</v>
      </c>
      <c r="E16" s="156" t="s">
        <v>65</v>
      </c>
      <c r="F16" s="164">
        <v>2</v>
      </c>
      <c r="G16" s="8"/>
      <c r="H16" s="8"/>
      <c r="I16" s="8"/>
      <c r="J16" s="8" t="s">
        <v>48</v>
      </c>
      <c r="K16" s="8" t="s">
        <v>49</v>
      </c>
      <c r="L16" s="8" t="s">
        <v>368</v>
      </c>
      <c r="M16" s="8" t="s">
        <v>380</v>
      </c>
      <c r="N16" s="8">
        <v>2</v>
      </c>
      <c r="Q16" s="13" t="s">
        <v>416</v>
      </c>
      <c r="R16" s="13" t="s">
        <v>49</v>
      </c>
      <c r="S16" s="13" t="s">
        <v>534</v>
      </c>
      <c r="T16" s="13" t="s">
        <v>564</v>
      </c>
      <c r="U16" s="13">
        <v>2</v>
      </c>
      <c r="W16" s="13" t="s">
        <v>731</v>
      </c>
      <c r="X16" s="13" t="s">
        <v>732</v>
      </c>
      <c r="Y16" s="13" t="s">
        <v>830</v>
      </c>
      <c r="Z16" s="13" t="s">
        <v>831</v>
      </c>
      <c r="AA16" s="13">
        <v>2</v>
      </c>
      <c r="AC16" s="157"/>
      <c r="AD16" s="157"/>
      <c r="AE16" s="157"/>
      <c r="AF16" s="158" t="s">
        <v>1085</v>
      </c>
      <c r="AG16" s="165">
        <v>1</v>
      </c>
      <c r="AJ16" s="13" t="s">
        <v>1405</v>
      </c>
      <c r="AK16" s="13" t="s">
        <v>48</v>
      </c>
      <c r="AL16" s="13" t="s">
        <v>1483</v>
      </c>
      <c r="AM16" s="13" t="s">
        <v>1505</v>
      </c>
      <c r="AN16" s="13">
        <v>2</v>
      </c>
      <c r="AQ16" s="13" t="s">
        <v>48</v>
      </c>
      <c r="AR16" s="13" t="s">
        <v>1406</v>
      </c>
      <c r="AS16" s="13" t="s">
        <v>1704</v>
      </c>
      <c r="AT16" s="13" t="s">
        <v>1709</v>
      </c>
      <c r="AU16" s="13">
        <v>3</v>
      </c>
      <c r="AY16" s="13" t="s">
        <v>416</v>
      </c>
      <c r="AZ16" s="13" t="s">
        <v>1406</v>
      </c>
      <c r="BA16" s="13" t="s">
        <v>1921</v>
      </c>
      <c r="BB16" s="13" t="s">
        <v>1933</v>
      </c>
      <c r="BC16" s="13">
        <v>2</v>
      </c>
      <c r="BG16" s="13" t="s">
        <v>731</v>
      </c>
      <c r="BH16" s="13" t="s">
        <v>1406</v>
      </c>
      <c r="BI16" s="13" t="s">
        <v>2029</v>
      </c>
      <c r="BJ16" s="13" t="s">
        <v>2033</v>
      </c>
      <c r="BK16" s="13">
        <v>2</v>
      </c>
      <c r="BP16" s="157"/>
      <c r="BQ16" s="157"/>
      <c r="BR16" s="157"/>
      <c r="BS16" s="158" t="s">
        <v>2318</v>
      </c>
      <c r="BT16" s="165">
        <v>2</v>
      </c>
    </row>
    <row r="17" spans="1:72">
      <c r="A17" s="157"/>
      <c r="B17" s="157"/>
      <c r="C17" s="157"/>
      <c r="D17" s="157"/>
      <c r="E17" s="158" t="s">
        <v>76</v>
      </c>
      <c r="F17" s="165">
        <v>2</v>
      </c>
      <c r="G17" s="8"/>
      <c r="H17" s="8"/>
      <c r="I17" s="8"/>
      <c r="J17" s="8" t="s">
        <v>48</v>
      </c>
      <c r="K17" s="8" t="s">
        <v>49</v>
      </c>
      <c r="L17" s="8" t="s">
        <v>368</v>
      </c>
      <c r="M17" s="8" t="s">
        <v>373</v>
      </c>
      <c r="N17" s="8">
        <v>2</v>
      </c>
      <c r="Q17" s="13" t="s">
        <v>416</v>
      </c>
      <c r="R17" s="13" t="s">
        <v>49</v>
      </c>
      <c r="S17" s="13" t="s">
        <v>534</v>
      </c>
      <c r="T17" s="13" t="s">
        <v>543</v>
      </c>
      <c r="U17" s="13">
        <v>3</v>
      </c>
      <c r="W17" s="13" t="s">
        <v>731</v>
      </c>
      <c r="X17" s="13" t="s">
        <v>732</v>
      </c>
      <c r="Y17" s="13" t="s">
        <v>830</v>
      </c>
      <c r="Z17" s="13" t="s">
        <v>839</v>
      </c>
      <c r="AA17" s="13">
        <v>2</v>
      </c>
      <c r="AC17" s="157"/>
      <c r="AD17" s="157"/>
      <c r="AE17" s="156" t="s">
        <v>1073</v>
      </c>
      <c r="AF17" s="156" t="s">
        <v>1076</v>
      </c>
      <c r="AG17" s="164">
        <v>1</v>
      </c>
      <c r="AJ17" s="13" t="s">
        <v>1405</v>
      </c>
      <c r="AK17" s="13" t="s">
        <v>48</v>
      </c>
      <c r="AL17" s="13" t="s">
        <v>1483</v>
      </c>
      <c r="AM17" s="13" t="s">
        <v>1489</v>
      </c>
      <c r="AN17" s="13">
        <v>1</v>
      </c>
      <c r="AQ17" s="13" t="s">
        <v>48</v>
      </c>
      <c r="AR17" s="13" t="s">
        <v>1406</v>
      </c>
      <c r="AS17" s="13" t="s">
        <v>1704</v>
      </c>
      <c r="AT17" s="13" t="s">
        <v>1712</v>
      </c>
      <c r="AU17" s="13">
        <v>2</v>
      </c>
      <c r="AY17" s="13" t="s">
        <v>416</v>
      </c>
      <c r="AZ17" s="13" t="s">
        <v>1406</v>
      </c>
      <c r="BA17" s="13" t="s">
        <v>1921</v>
      </c>
      <c r="BB17" s="13" t="s">
        <v>1927</v>
      </c>
      <c r="BC17" s="13">
        <v>3</v>
      </c>
      <c r="BG17" s="13" t="s">
        <v>731</v>
      </c>
      <c r="BH17" s="13" t="s">
        <v>1406</v>
      </c>
      <c r="BI17" s="13" t="s">
        <v>2029</v>
      </c>
      <c r="BJ17" s="13" t="s">
        <v>2030</v>
      </c>
      <c r="BK17" s="13">
        <v>2</v>
      </c>
      <c r="BP17" s="157"/>
      <c r="BQ17" s="157"/>
      <c r="BR17" s="157"/>
      <c r="BS17" s="158" t="s">
        <v>2310</v>
      </c>
      <c r="BT17" s="165">
        <v>2</v>
      </c>
    </row>
    <row r="18" spans="1:72">
      <c r="A18" s="157"/>
      <c r="B18" s="157"/>
      <c r="C18" s="157"/>
      <c r="D18" s="157"/>
      <c r="E18" s="158" t="s">
        <v>59</v>
      </c>
      <c r="F18" s="165">
        <v>2</v>
      </c>
      <c r="G18" s="8"/>
      <c r="H18" s="8"/>
      <c r="I18" s="8"/>
      <c r="J18" s="8" t="s">
        <v>48</v>
      </c>
      <c r="K18" s="8" t="s">
        <v>49</v>
      </c>
      <c r="L18" s="8" t="s">
        <v>368</v>
      </c>
      <c r="M18" s="8" t="s">
        <v>376</v>
      </c>
      <c r="N18" s="8">
        <v>3</v>
      </c>
      <c r="Q18" s="13" t="s">
        <v>416</v>
      </c>
      <c r="R18" s="13" t="s">
        <v>49</v>
      </c>
      <c r="S18" s="13" t="s">
        <v>385</v>
      </c>
      <c r="T18" s="13" t="s">
        <v>494</v>
      </c>
      <c r="U18" s="13">
        <v>3</v>
      </c>
      <c r="W18" s="13" t="s">
        <v>731</v>
      </c>
      <c r="X18" s="13" t="s">
        <v>732</v>
      </c>
      <c r="Y18" s="13" t="s">
        <v>830</v>
      </c>
      <c r="Z18" s="13" t="s">
        <v>836</v>
      </c>
      <c r="AA18" s="13">
        <v>2</v>
      </c>
      <c r="AC18" s="157"/>
      <c r="AD18" s="157"/>
      <c r="AE18" s="157"/>
      <c r="AF18" s="158" t="s">
        <v>1074</v>
      </c>
      <c r="AG18" s="165">
        <v>1</v>
      </c>
      <c r="AJ18" s="13" t="s">
        <v>1405</v>
      </c>
      <c r="AK18" s="13" t="s">
        <v>48</v>
      </c>
      <c r="AL18" s="13" t="s">
        <v>1483</v>
      </c>
      <c r="AM18" s="13" t="s">
        <v>1492</v>
      </c>
      <c r="AN18" s="13">
        <v>2</v>
      </c>
      <c r="AQ18" s="13" t="s">
        <v>48</v>
      </c>
      <c r="AR18" s="13" t="s">
        <v>1406</v>
      </c>
      <c r="AS18" s="13" t="s">
        <v>1704</v>
      </c>
      <c r="AT18" s="13" t="s">
        <v>1707</v>
      </c>
      <c r="AU18" s="13">
        <v>1</v>
      </c>
      <c r="AY18" s="13" t="s">
        <v>416</v>
      </c>
      <c r="AZ18" s="13" t="s">
        <v>1406</v>
      </c>
      <c r="BA18" s="13" t="s">
        <v>1921</v>
      </c>
      <c r="BB18" s="13" t="s">
        <v>1931</v>
      </c>
      <c r="BC18" s="13">
        <v>1</v>
      </c>
      <c r="BG18" s="13" t="s">
        <v>731</v>
      </c>
      <c r="BH18" s="13" t="s">
        <v>1406</v>
      </c>
      <c r="BI18" s="13" t="s">
        <v>2111</v>
      </c>
      <c r="BJ18" s="13" t="s">
        <v>2112</v>
      </c>
      <c r="BK18" s="13">
        <v>3</v>
      </c>
      <c r="BP18" s="157"/>
      <c r="BQ18" s="157"/>
      <c r="BR18" s="156" t="s">
        <v>2333</v>
      </c>
      <c r="BS18" s="156" t="s">
        <v>2349</v>
      </c>
      <c r="BT18" s="164">
        <v>2</v>
      </c>
    </row>
    <row r="19" spans="1:72">
      <c r="A19" s="157"/>
      <c r="B19" s="157"/>
      <c r="C19" s="157"/>
      <c r="D19" s="157"/>
      <c r="E19" s="158" t="s">
        <v>62</v>
      </c>
      <c r="F19" s="165">
        <v>2</v>
      </c>
      <c r="G19" s="8"/>
      <c r="H19" s="8"/>
      <c r="I19" s="8"/>
      <c r="J19" s="8" t="s">
        <v>48</v>
      </c>
      <c r="K19" s="8" t="s">
        <v>49</v>
      </c>
      <c r="L19" s="8" t="s">
        <v>368</v>
      </c>
      <c r="M19" s="8" t="s">
        <v>369</v>
      </c>
      <c r="N19" s="8">
        <v>3</v>
      </c>
      <c r="Q19" s="13" t="s">
        <v>416</v>
      </c>
      <c r="R19" s="13" t="s">
        <v>49</v>
      </c>
      <c r="S19" s="13" t="s">
        <v>385</v>
      </c>
      <c r="T19" s="13" t="s">
        <v>493</v>
      </c>
      <c r="U19" s="13">
        <v>2</v>
      </c>
      <c r="W19" s="13" t="s">
        <v>731</v>
      </c>
      <c r="X19" s="13" t="s">
        <v>732</v>
      </c>
      <c r="Y19" s="13" t="s">
        <v>830</v>
      </c>
      <c r="Z19" s="13" t="s">
        <v>834</v>
      </c>
      <c r="AA19" s="13">
        <v>1</v>
      </c>
      <c r="AC19" s="157"/>
      <c r="AD19" s="157"/>
      <c r="AE19" s="157"/>
      <c r="AF19" s="158" t="s">
        <v>1078</v>
      </c>
      <c r="AG19" s="165">
        <v>1</v>
      </c>
      <c r="AJ19" s="13" t="s">
        <v>1405</v>
      </c>
      <c r="AK19" s="13" t="s">
        <v>48</v>
      </c>
      <c r="AL19" s="13" t="s">
        <v>1483</v>
      </c>
      <c r="AM19" s="13" t="s">
        <v>1497</v>
      </c>
      <c r="AN19" s="13">
        <v>1</v>
      </c>
      <c r="AQ19" s="13" t="s">
        <v>48</v>
      </c>
      <c r="AR19" s="13" t="s">
        <v>1406</v>
      </c>
      <c r="AS19" s="13" t="s">
        <v>1704</v>
      </c>
      <c r="AT19" s="13" t="s">
        <v>1705</v>
      </c>
      <c r="AU19" s="13">
        <v>2</v>
      </c>
      <c r="AY19" s="13" t="s">
        <v>416</v>
      </c>
      <c r="AZ19" s="13" t="s">
        <v>1406</v>
      </c>
      <c r="BA19" s="13" t="s">
        <v>1921</v>
      </c>
      <c r="BB19" s="13" t="s">
        <v>1925</v>
      </c>
      <c r="BC19" s="13">
        <v>1</v>
      </c>
      <c r="BG19" s="13" t="s">
        <v>731</v>
      </c>
      <c r="BH19" s="13" t="s">
        <v>1406</v>
      </c>
      <c r="BI19" s="13" t="s">
        <v>2111</v>
      </c>
      <c r="BJ19" s="13" t="s">
        <v>2121</v>
      </c>
      <c r="BK19" s="13">
        <v>1</v>
      </c>
      <c r="BP19" s="157"/>
      <c r="BQ19" s="157"/>
      <c r="BR19" s="157"/>
      <c r="BS19" s="158" t="s">
        <v>2346</v>
      </c>
      <c r="BT19" s="165">
        <v>2</v>
      </c>
    </row>
    <row r="20" spans="1:72">
      <c r="A20" s="157"/>
      <c r="B20" s="157"/>
      <c r="C20" s="157"/>
      <c r="D20" s="157"/>
      <c r="E20" s="158" t="s">
        <v>74</v>
      </c>
      <c r="F20" s="165">
        <v>1</v>
      </c>
      <c r="G20" s="8"/>
      <c r="H20" s="8"/>
      <c r="I20" s="8"/>
      <c r="J20" s="8" t="s">
        <v>48</v>
      </c>
      <c r="K20" s="8" t="s">
        <v>49</v>
      </c>
      <c r="L20" s="8" t="s">
        <v>368</v>
      </c>
      <c r="M20" s="8" t="s">
        <v>383</v>
      </c>
      <c r="N20" s="8">
        <v>1</v>
      </c>
      <c r="Q20" s="13" t="s">
        <v>416</v>
      </c>
      <c r="R20" s="13" t="s">
        <v>49</v>
      </c>
      <c r="S20" s="13" t="s">
        <v>385</v>
      </c>
      <c r="T20" s="13" t="s">
        <v>491</v>
      </c>
      <c r="U20" s="13">
        <v>2</v>
      </c>
      <c r="W20" s="13" t="s">
        <v>731</v>
      </c>
      <c r="X20" s="13" t="s">
        <v>732</v>
      </c>
      <c r="Y20" s="13" t="s">
        <v>385</v>
      </c>
      <c r="Z20" s="13" t="s">
        <v>794</v>
      </c>
      <c r="AA20" s="13">
        <v>2</v>
      </c>
      <c r="AC20" s="157"/>
      <c r="AD20" s="157"/>
      <c r="AE20" s="156" t="s">
        <v>58</v>
      </c>
      <c r="AF20" s="156" t="s">
        <v>1092</v>
      </c>
      <c r="AG20" s="164">
        <v>1</v>
      </c>
      <c r="AJ20" s="13" t="s">
        <v>1405</v>
      </c>
      <c r="AK20" s="13" t="s">
        <v>48</v>
      </c>
      <c r="AL20" s="13" t="s">
        <v>1483</v>
      </c>
      <c r="AM20" s="13" t="s">
        <v>1484</v>
      </c>
      <c r="AN20" s="13">
        <v>2</v>
      </c>
      <c r="AQ20" s="13" t="s">
        <v>48</v>
      </c>
      <c r="AR20" s="13" t="s">
        <v>1406</v>
      </c>
      <c r="AS20" s="13" t="s">
        <v>1788</v>
      </c>
      <c r="AT20" s="13" t="s">
        <v>1797</v>
      </c>
      <c r="AU20" s="13">
        <v>1</v>
      </c>
      <c r="AY20" s="13" t="s">
        <v>416</v>
      </c>
      <c r="AZ20" s="13" t="s">
        <v>1406</v>
      </c>
      <c r="BA20" s="13" t="s">
        <v>1886</v>
      </c>
      <c r="BB20" s="13" t="s">
        <v>1899</v>
      </c>
      <c r="BC20" s="13">
        <v>1</v>
      </c>
      <c r="BG20" s="13" t="s">
        <v>731</v>
      </c>
      <c r="BH20" s="13" t="s">
        <v>1406</v>
      </c>
      <c r="BI20" s="13" t="s">
        <v>2111</v>
      </c>
      <c r="BJ20" s="13" t="s">
        <v>2116</v>
      </c>
      <c r="BK20" s="13">
        <v>2</v>
      </c>
      <c r="BP20" s="157"/>
      <c r="BQ20" s="157"/>
      <c r="BR20" s="157"/>
      <c r="BS20" s="158" t="s">
        <v>2352</v>
      </c>
      <c r="BT20" s="165">
        <v>2</v>
      </c>
    </row>
    <row r="21" spans="1:72">
      <c r="A21" s="157"/>
      <c r="B21" s="157"/>
      <c r="C21" s="157"/>
      <c r="D21" s="157"/>
      <c r="E21" s="158" t="s">
        <v>72</v>
      </c>
      <c r="F21" s="165">
        <v>1</v>
      </c>
      <c r="G21" s="8"/>
      <c r="H21" s="8"/>
      <c r="I21" s="8"/>
      <c r="J21" s="8" t="s">
        <v>48</v>
      </c>
      <c r="K21" s="8" t="s">
        <v>49</v>
      </c>
      <c r="L21" s="8" t="s">
        <v>169</v>
      </c>
      <c r="M21" s="8" t="s">
        <v>363</v>
      </c>
      <c r="N21" s="8">
        <v>2</v>
      </c>
      <c r="Q21" s="13" t="s">
        <v>416</v>
      </c>
      <c r="R21" s="13" t="s">
        <v>49</v>
      </c>
      <c r="S21" s="13" t="s">
        <v>385</v>
      </c>
      <c r="T21" s="13" t="s">
        <v>488</v>
      </c>
      <c r="U21" s="13">
        <v>2</v>
      </c>
      <c r="W21" s="13" t="s">
        <v>731</v>
      </c>
      <c r="X21" s="13" t="s">
        <v>732</v>
      </c>
      <c r="Y21" s="13" t="s">
        <v>385</v>
      </c>
      <c r="Z21" s="13" t="s">
        <v>790</v>
      </c>
      <c r="AA21" s="13">
        <v>3</v>
      </c>
      <c r="AC21" s="157"/>
      <c r="AD21" s="157"/>
      <c r="AE21" s="157"/>
      <c r="AF21" s="158" t="s">
        <v>1087</v>
      </c>
      <c r="AG21" s="165">
        <v>2</v>
      </c>
      <c r="AJ21" s="13" t="s">
        <v>1405</v>
      </c>
      <c r="AK21" s="13" t="s">
        <v>48</v>
      </c>
      <c r="AL21" s="13" t="s">
        <v>1588</v>
      </c>
      <c r="AM21" s="13" t="s">
        <v>1608</v>
      </c>
      <c r="AN21" s="13">
        <v>1</v>
      </c>
      <c r="AQ21" s="13" t="s">
        <v>48</v>
      </c>
      <c r="AR21" s="13" t="s">
        <v>1406</v>
      </c>
      <c r="AS21" s="13" t="s">
        <v>1788</v>
      </c>
      <c r="AT21" s="13" t="s">
        <v>1789</v>
      </c>
      <c r="AU21" s="13">
        <v>1</v>
      </c>
      <c r="AY21" s="13" t="s">
        <v>416</v>
      </c>
      <c r="AZ21" s="13" t="s">
        <v>1406</v>
      </c>
      <c r="BA21" s="13" t="s">
        <v>1886</v>
      </c>
      <c r="BB21" s="13" t="s">
        <v>1891</v>
      </c>
      <c r="BC21" s="13">
        <v>1</v>
      </c>
      <c r="BG21" s="13" t="s">
        <v>731</v>
      </c>
      <c r="BH21" s="13" t="s">
        <v>1406</v>
      </c>
      <c r="BI21" s="13" t="s">
        <v>2111</v>
      </c>
      <c r="BJ21" s="13" t="s">
        <v>2119</v>
      </c>
      <c r="BK21" s="13">
        <v>1</v>
      </c>
      <c r="BP21" s="157"/>
      <c r="BQ21" s="157"/>
      <c r="BR21" s="157"/>
      <c r="BS21" s="158" t="s">
        <v>2344</v>
      </c>
      <c r="BT21" s="165">
        <v>1</v>
      </c>
    </row>
    <row r="22" spans="1:72">
      <c r="A22" s="157"/>
      <c r="B22" s="157"/>
      <c r="C22" s="157"/>
      <c r="D22" s="157"/>
      <c r="E22" s="158" t="s">
        <v>79</v>
      </c>
      <c r="F22" s="165">
        <v>3</v>
      </c>
      <c r="G22" s="8"/>
      <c r="H22" s="8"/>
      <c r="I22" s="8"/>
      <c r="J22" s="8" t="s">
        <v>48</v>
      </c>
      <c r="K22" s="8" t="s">
        <v>49</v>
      </c>
      <c r="L22" s="8" t="s">
        <v>169</v>
      </c>
      <c r="M22" s="8" t="s">
        <v>365</v>
      </c>
      <c r="N22" s="8">
        <v>2</v>
      </c>
      <c r="Q22" s="13" t="s">
        <v>416</v>
      </c>
      <c r="R22" s="13" t="s">
        <v>49</v>
      </c>
      <c r="S22" s="13" t="s">
        <v>385</v>
      </c>
      <c r="T22" s="13" t="s">
        <v>486</v>
      </c>
      <c r="U22" s="13">
        <v>2</v>
      </c>
      <c r="W22" s="13" t="s">
        <v>731</v>
      </c>
      <c r="X22" s="13" t="s">
        <v>732</v>
      </c>
      <c r="Y22" s="13" t="s">
        <v>385</v>
      </c>
      <c r="Z22" s="13" t="s">
        <v>797</v>
      </c>
      <c r="AA22" s="13">
        <v>2</v>
      </c>
      <c r="AC22" s="157"/>
      <c r="AD22" s="157"/>
      <c r="AE22" s="157"/>
      <c r="AF22" s="158" t="s">
        <v>1090</v>
      </c>
      <c r="AG22" s="165">
        <v>1</v>
      </c>
      <c r="AJ22" s="13" t="s">
        <v>1405</v>
      </c>
      <c r="AK22" s="13" t="s">
        <v>48</v>
      </c>
      <c r="AL22" s="13" t="s">
        <v>1588</v>
      </c>
      <c r="AM22" s="13" t="s">
        <v>1601</v>
      </c>
      <c r="AN22" s="13">
        <v>2</v>
      </c>
      <c r="AQ22" s="13" t="s">
        <v>48</v>
      </c>
      <c r="AR22" s="13" t="s">
        <v>1406</v>
      </c>
      <c r="AS22" s="13" t="s">
        <v>1788</v>
      </c>
      <c r="AT22" s="13" t="s">
        <v>1790</v>
      </c>
      <c r="AU22" s="13">
        <v>3</v>
      </c>
      <c r="AY22" s="13" t="s">
        <v>416</v>
      </c>
      <c r="AZ22" s="13" t="s">
        <v>1406</v>
      </c>
      <c r="BA22" s="13" t="s">
        <v>1886</v>
      </c>
      <c r="BB22" s="13" t="s">
        <v>1893</v>
      </c>
      <c r="BC22" s="13">
        <v>3</v>
      </c>
      <c r="BG22" s="13" t="s">
        <v>731</v>
      </c>
      <c r="BH22" s="13" t="s">
        <v>1406</v>
      </c>
      <c r="BI22" s="13" t="s">
        <v>2093</v>
      </c>
      <c r="BJ22" s="13" t="s">
        <v>2103</v>
      </c>
      <c r="BK22" s="13">
        <v>1</v>
      </c>
      <c r="BP22" s="157"/>
      <c r="BQ22" s="157"/>
      <c r="BR22" s="157"/>
      <c r="BS22" s="158" t="s">
        <v>2342</v>
      </c>
      <c r="BT22" s="165">
        <v>1</v>
      </c>
    </row>
    <row r="23" spans="1:72">
      <c r="A23" s="157"/>
      <c r="B23" s="157"/>
      <c r="C23" s="157"/>
      <c r="D23" s="157"/>
      <c r="E23" s="158" t="s">
        <v>68</v>
      </c>
      <c r="F23" s="165">
        <v>3</v>
      </c>
      <c r="G23" s="8"/>
      <c r="H23" s="8"/>
      <c r="I23" s="8"/>
      <c r="J23" s="8" t="s">
        <v>48</v>
      </c>
      <c r="K23" s="8" t="s">
        <v>49</v>
      </c>
      <c r="L23" s="8" t="s">
        <v>169</v>
      </c>
      <c r="M23" s="8" t="s">
        <v>364</v>
      </c>
      <c r="N23" s="8">
        <v>2</v>
      </c>
      <c r="Q23" s="13" t="s">
        <v>416</v>
      </c>
      <c r="R23" s="13" t="s">
        <v>49</v>
      </c>
      <c r="S23" s="13" t="s">
        <v>385</v>
      </c>
      <c r="T23" s="13" t="s">
        <v>483</v>
      </c>
      <c r="U23" s="13">
        <v>2</v>
      </c>
      <c r="W23" s="13" t="s">
        <v>731</v>
      </c>
      <c r="X23" s="13" t="s">
        <v>732</v>
      </c>
      <c r="Y23" s="13" t="s">
        <v>933</v>
      </c>
      <c r="Z23" s="13" t="s">
        <v>942</v>
      </c>
      <c r="AA23" s="13">
        <v>3</v>
      </c>
      <c r="AC23" s="157"/>
      <c r="AD23" s="157"/>
      <c r="AE23" s="156" t="s">
        <v>980</v>
      </c>
      <c r="AF23" s="156" t="s">
        <v>1015</v>
      </c>
      <c r="AG23" s="164">
        <v>1</v>
      </c>
      <c r="AJ23" s="13" t="s">
        <v>1405</v>
      </c>
      <c r="AK23" s="13" t="s">
        <v>48</v>
      </c>
      <c r="AL23" s="13" t="s">
        <v>1588</v>
      </c>
      <c r="AM23" s="13" t="s">
        <v>1589</v>
      </c>
      <c r="AN23" s="13">
        <v>3</v>
      </c>
      <c r="AQ23" s="13" t="s">
        <v>48</v>
      </c>
      <c r="AR23" s="13" t="s">
        <v>1406</v>
      </c>
      <c r="AS23" s="13" t="s">
        <v>1788</v>
      </c>
      <c r="AT23" s="13" t="s">
        <v>1793</v>
      </c>
      <c r="AU23" s="13">
        <v>3</v>
      </c>
      <c r="AY23" s="13" t="s">
        <v>416</v>
      </c>
      <c r="AZ23" s="13" t="s">
        <v>1406</v>
      </c>
      <c r="BA23" s="13" t="s">
        <v>1886</v>
      </c>
      <c r="BB23" s="13" t="s">
        <v>1901</v>
      </c>
      <c r="BC23" s="13">
        <v>2</v>
      </c>
      <c r="BG23" s="13" t="s">
        <v>731</v>
      </c>
      <c r="BH23" s="13" t="s">
        <v>1406</v>
      </c>
      <c r="BI23" s="13" t="s">
        <v>2093</v>
      </c>
      <c r="BJ23" s="13" t="s">
        <v>2094</v>
      </c>
      <c r="BK23" s="13">
        <v>1</v>
      </c>
      <c r="BP23" s="157"/>
      <c r="BQ23" s="157"/>
      <c r="BR23" s="157"/>
      <c r="BS23" s="158" t="s">
        <v>2337</v>
      </c>
      <c r="BT23" s="165">
        <v>2</v>
      </c>
    </row>
    <row r="24" spans="1:72">
      <c r="A24" s="157"/>
      <c r="B24" s="157"/>
      <c r="C24" s="157"/>
      <c r="D24" s="156" t="s">
        <v>83</v>
      </c>
      <c r="E24" s="156" t="s">
        <v>98</v>
      </c>
      <c r="F24" s="164">
        <v>3</v>
      </c>
      <c r="G24" s="8"/>
      <c r="H24" s="8"/>
      <c r="I24" s="8"/>
      <c r="J24" s="8" t="s">
        <v>48</v>
      </c>
      <c r="K24" s="8" t="s">
        <v>49</v>
      </c>
      <c r="L24" s="8" t="s">
        <v>169</v>
      </c>
      <c r="M24" s="8" t="s">
        <v>183</v>
      </c>
      <c r="N24" s="8">
        <v>2</v>
      </c>
      <c r="Q24" s="13" t="s">
        <v>416</v>
      </c>
      <c r="R24" s="13" t="s">
        <v>49</v>
      </c>
      <c r="S24" s="13" t="s">
        <v>631</v>
      </c>
      <c r="T24" s="13" t="s">
        <v>641</v>
      </c>
      <c r="U24" s="13">
        <v>1</v>
      </c>
      <c r="W24" s="13" t="s">
        <v>731</v>
      </c>
      <c r="X24" s="13" t="s">
        <v>732</v>
      </c>
      <c r="Y24" s="13" t="s">
        <v>933</v>
      </c>
      <c r="Z24" s="13" t="s">
        <v>934</v>
      </c>
      <c r="AA24" s="13">
        <v>3</v>
      </c>
      <c r="AC24" s="157"/>
      <c r="AD24" s="157"/>
      <c r="AE24" s="157"/>
      <c r="AF24" s="158" t="s">
        <v>1021</v>
      </c>
      <c r="AG24" s="165">
        <v>2</v>
      </c>
      <c r="AJ24" s="13" t="s">
        <v>1405</v>
      </c>
      <c r="AK24" s="13" t="s">
        <v>48</v>
      </c>
      <c r="AL24" s="13" t="s">
        <v>1588</v>
      </c>
      <c r="AM24" s="13" t="s">
        <v>1611</v>
      </c>
      <c r="AN24" s="13">
        <v>2</v>
      </c>
      <c r="AQ24" s="13" t="s">
        <v>48</v>
      </c>
      <c r="AR24" s="13" t="s">
        <v>1406</v>
      </c>
      <c r="AS24" s="13" t="s">
        <v>1788</v>
      </c>
      <c r="AT24" s="13" t="s">
        <v>1799</v>
      </c>
      <c r="AU24" s="13">
        <v>1</v>
      </c>
      <c r="AY24" s="13" t="s">
        <v>416</v>
      </c>
      <c r="AZ24" s="13" t="s">
        <v>1406</v>
      </c>
      <c r="BA24" s="13" t="s">
        <v>1886</v>
      </c>
      <c r="BB24" s="13" t="s">
        <v>1897</v>
      </c>
      <c r="BC24" s="13">
        <v>1</v>
      </c>
      <c r="BG24" s="13" t="s">
        <v>731</v>
      </c>
      <c r="BH24" s="13" t="s">
        <v>1406</v>
      </c>
      <c r="BI24" s="13" t="s">
        <v>2093</v>
      </c>
      <c r="BJ24" s="13" t="s">
        <v>2105</v>
      </c>
      <c r="BK24" s="13">
        <v>3</v>
      </c>
      <c r="BP24" s="157"/>
      <c r="BQ24" s="157"/>
      <c r="BR24" s="157"/>
      <c r="BS24" s="158" t="s">
        <v>2340</v>
      </c>
      <c r="BT24" s="165">
        <v>1</v>
      </c>
    </row>
    <row r="25" spans="1:72">
      <c r="A25" s="157"/>
      <c r="B25" s="157"/>
      <c r="C25" s="157"/>
      <c r="D25" s="157"/>
      <c r="E25" s="158" t="s">
        <v>96</v>
      </c>
      <c r="F25" s="165">
        <v>1</v>
      </c>
      <c r="G25" s="8"/>
      <c r="H25" s="8"/>
      <c r="I25" s="8"/>
      <c r="J25" s="8" t="s">
        <v>48</v>
      </c>
      <c r="K25" s="8" t="s">
        <v>49</v>
      </c>
      <c r="L25" s="8" t="s">
        <v>169</v>
      </c>
      <c r="M25" s="8" t="s">
        <v>356</v>
      </c>
      <c r="N25" s="8">
        <v>3</v>
      </c>
      <c r="Q25" s="13" t="s">
        <v>416</v>
      </c>
      <c r="R25" s="13" t="s">
        <v>49</v>
      </c>
      <c r="S25" s="13" t="s">
        <v>631</v>
      </c>
      <c r="T25" s="13" t="s">
        <v>638</v>
      </c>
      <c r="U25" s="13">
        <v>2</v>
      </c>
      <c r="W25" s="13" t="s">
        <v>731</v>
      </c>
      <c r="X25" s="13" t="s">
        <v>732</v>
      </c>
      <c r="Y25" s="13" t="s">
        <v>933</v>
      </c>
      <c r="Z25" s="13" t="s">
        <v>938</v>
      </c>
      <c r="AA25" s="13">
        <v>3</v>
      </c>
      <c r="AC25" s="157"/>
      <c r="AD25" s="157"/>
      <c r="AE25" s="157"/>
      <c r="AF25" s="158" t="s">
        <v>1024</v>
      </c>
      <c r="AG25" s="165">
        <v>2</v>
      </c>
      <c r="AJ25" s="13" t="s">
        <v>1405</v>
      </c>
      <c r="AK25" s="13" t="s">
        <v>48</v>
      </c>
      <c r="AL25" s="13" t="s">
        <v>1588</v>
      </c>
      <c r="AM25" s="13" t="s">
        <v>1605</v>
      </c>
      <c r="AN25" s="13">
        <v>1</v>
      </c>
      <c r="AQ25" s="13" t="s">
        <v>48</v>
      </c>
      <c r="AR25" s="13" t="s">
        <v>1441</v>
      </c>
      <c r="AS25" s="13" t="s">
        <v>1764</v>
      </c>
      <c r="AT25" s="13" t="s">
        <v>1768</v>
      </c>
      <c r="AU25" s="13">
        <v>1</v>
      </c>
      <c r="AY25" s="13" t="s">
        <v>416</v>
      </c>
      <c r="AZ25" s="13" t="s">
        <v>1406</v>
      </c>
      <c r="BA25" s="13" t="s">
        <v>1886</v>
      </c>
      <c r="BB25" s="13" t="s">
        <v>1887</v>
      </c>
      <c r="BC25" s="13">
        <v>3</v>
      </c>
      <c r="BG25" s="13" t="s">
        <v>731</v>
      </c>
      <c r="BH25" s="13" t="s">
        <v>1406</v>
      </c>
      <c r="BI25" s="13" t="s">
        <v>2093</v>
      </c>
      <c r="BJ25" s="13" t="s">
        <v>2100</v>
      </c>
      <c r="BK25" s="13">
        <v>2</v>
      </c>
      <c r="BP25" s="157"/>
      <c r="BQ25" s="157"/>
      <c r="BR25" s="157"/>
      <c r="BS25" s="158" t="s">
        <v>2334</v>
      </c>
      <c r="BT25" s="165">
        <v>2</v>
      </c>
    </row>
    <row r="26" spans="1:72">
      <c r="A26" s="157"/>
      <c r="B26" s="157"/>
      <c r="C26" s="157"/>
      <c r="D26" s="157"/>
      <c r="E26" s="158" t="s">
        <v>104</v>
      </c>
      <c r="F26" s="165">
        <v>2</v>
      </c>
      <c r="G26" s="8"/>
      <c r="H26" s="8"/>
      <c r="I26" s="8"/>
      <c r="J26" s="8" t="s">
        <v>48</v>
      </c>
      <c r="K26" s="8" t="s">
        <v>49</v>
      </c>
      <c r="L26" s="8" t="s">
        <v>169</v>
      </c>
      <c r="M26" s="8" t="s">
        <v>360</v>
      </c>
      <c r="N26" s="8">
        <v>2</v>
      </c>
      <c r="Q26" s="13" t="s">
        <v>416</v>
      </c>
      <c r="R26" s="13" t="s">
        <v>49</v>
      </c>
      <c r="S26" s="13" t="s">
        <v>631</v>
      </c>
      <c r="T26" s="13" t="s">
        <v>635</v>
      </c>
      <c r="U26" s="13">
        <v>2</v>
      </c>
      <c r="W26" s="13" t="s">
        <v>731</v>
      </c>
      <c r="X26" s="13" t="s">
        <v>732</v>
      </c>
      <c r="Y26" s="13" t="s">
        <v>631</v>
      </c>
      <c r="Z26" s="13" t="s">
        <v>931</v>
      </c>
      <c r="AA26" s="13">
        <v>1</v>
      </c>
      <c r="AC26" s="157"/>
      <c r="AD26" s="157"/>
      <c r="AE26" s="157"/>
      <c r="AF26" s="158" t="s">
        <v>1003</v>
      </c>
      <c r="AG26" s="165">
        <v>2</v>
      </c>
      <c r="AJ26" s="13" t="s">
        <v>1405</v>
      </c>
      <c r="AK26" s="13" t="s">
        <v>48</v>
      </c>
      <c r="AL26" s="13" t="s">
        <v>1588</v>
      </c>
      <c r="AM26" s="13" t="s">
        <v>1596</v>
      </c>
      <c r="AN26" s="13">
        <v>2</v>
      </c>
      <c r="AQ26" s="13" t="s">
        <v>48</v>
      </c>
      <c r="AR26" s="13" t="s">
        <v>1441</v>
      </c>
      <c r="AS26" s="13" t="s">
        <v>1764</v>
      </c>
      <c r="AT26" s="13" t="s">
        <v>1772</v>
      </c>
      <c r="AU26" s="13">
        <v>1</v>
      </c>
      <c r="AY26" s="13" t="s">
        <v>416</v>
      </c>
      <c r="AZ26" s="13" t="s">
        <v>1406</v>
      </c>
      <c r="BA26" s="13" t="s">
        <v>1904</v>
      </c>
      <c r="BB26" s="13" t="s">
        <v>1909</v>
      </c>
      <c r="BC26" s="13">
        <v>2</v>
      </c>
      <c r="BG26" s="13" t="s">
        <v>731</v>
      </c>
      <c r="BH26" s="13" t="s">
        <v>1406</v>
      </c>
      <c r="BI26" s="13" t="s">
        <v>2093</v>
      </c>
      <c r="BJ26" s="13" t="s">
        <v>2096</v>
      </c>
      <c r="BK26" s="13">
        <v>3</v>
      </c>
      <c r="BP26" s="157"/>
      <c r="BQ26" s="156" t="s">
        <v>1441</v>
      </c>
      <c r="BR26" s="156" t="s">
        <v>2273</v>
      </c>
      <c r="BS26" s="156" t="s">
        <v>2278</v>
      </c>
      <c r="BT26" s="164">
        <v>2</v>
      </c>
    </row>
    <row r="27" spans="1:72">
      <c r="A27" s="157"/>
      <c r="B27" s="157"/>
      <c r="C27" s="157"/>
      <c r="D27" s="157"/>
      <c r="E27" s="158" t="s">
        <v>84</v>
      </c>
      <c r="F27" s="165">
        <v>3</v>
      </c>
      <c r="G27" s="8"/>
      <c r="H27" s="8"/>
      <c r="I27" s="8"/>
      <c r="J27" s="8" t="s">
        <v>48</v>
      </c>
      <c r="K27" s="8" t="s">
        <v>49</v>
      </c>
      <c r="L27" s="8" t="s">
        <v>169</v>
      </c>
      <c r="M27" s="8" t="s">
        <v>361</v>
      </c>
      <c r="N27" s="8">
        <v>2</v>
      </c>
      <c r="Q27" s="13" t="s">
        <v>416</v>
      </c>
      <c r="R27" s="13" t="s">
        <v>49</v>
      </c>
      <c r="S27" s="13" t="s">
        <v>631</v>
      </c>
      <c r="T27" s="13" t="s">
        <v>632</v>
      </c>
      <c r="U27" s="13">
        <v>2</v>
      </c>
      <c r="W27" s="13" t="s">
        <v>731</v>
      </c>
      <c r="X27" s="13" t="s">
        <v>732</v>
      </c>
      <c r="Y27" s="13" t="s">
        <v>631</v>
      </c>
      <c r="Z27" s="13" t="s">
        <v>922</v>
      </c>
      <c r="AA27" s="13">
        <v>2</v>
      </c>
      <c r="AC27" s="157"/>
      <c r="AD27" s="157"/>
      <c r="AE27" s="157"/>
      <c r="AF27" s="158" t="s">
        <v>997</v>
      </c>
      <c r="AG27" s="165">
        <v>2</v>
      </c>
      <c r="AJ27" s="13" t="s">
        <v>1405</v>
      </c>
      <c r="AK27" s="13" t="s">
        <v>48</v>
      </c>
      <c r="AL27" s="13" t="s">
        <v>1668</v>
      </c>
      <c r="AM27" s="13" t="s">
        <v>1672</v>
      </c>
      <c r="AN27" s="13">
        <v>1</v>
      </c>
      <c r="AQ27" s="13" t="s">
        <v>48</v>
      </c>
      <c r="AR27" s="13" t="s">
        <v>1441</v>
      </c>
      <c r="AS27" s="13" t="s">
        <v>1764</v>
      </c>
      <c r="AT27" s="13" t="s">
        <v>1770</v>
      </c>
      <c r="AU27" s="13">
        <v>1</v>
      </c>
      <c r="AY27" s="13" t="s">
        <v>416</v>
      </c>
      <c r="AZ27" s="13" t="s">
        <v>1406</v>
      </c>
      <c r="BA27" s="13" t="s">
        <v>1904</v>
      </c>
      <c r="BB27" s="13" t="s">
        <v>1915</v>
      </c>
      <c r="BC27" s="13">
        <v>2</v>
      </c>
      <c r="BG27" s="13" t="s">
        <v>731</v>
      </c>
      <c r="BH27" s="13" t="s">
        <v>1406</v>
      </c>
      <c r="BI27" s="13" t="s">
        <v>2093</v>
      </c>
      <c r="BJ27" s="13" t="s">
        <v>2109</v>
      </c>
      <c r="BK27" s="13">
        <v>1</v>
      </c>
      <c r="BP27" s="157"/>
      <c r="BQ27" s="157"/>
      <c r="BR27" s="157"/>
      <c r="BS27" s="158" t="s">
        <v>2284</v>
      </c>
      <c r="BT27" s="165">
        <v>2</v>
      </c>
    </row>
    <row r="28" spans="1:72">
      <c r="A28" s="157"/>
      <c r="B28" s="157"/>
      <c r="C28" s="157"/>
      <c r="D28" s="157"/>
      <c r="E28" s="158" t="s">
        <v>90</v>
      </c>
      <c r="F28" s="165">
        <v>2</v>
      </c>
      <c r="G28" s="8"/>
      <c r="H28" s="8"/>
      <c r="I28" s="8"/>
      <c r="J28" s="8" t="s">
        <v>48</v>
      </c>
      <c r="K28" s="8" t="s">
        <v>49</v>
      </c>
      <c r="L28" s="8" t="s">
        <v>169</v>
      </c>
      <c r="M28" s="8" t="s">
        <v>357</v>
      </c>
      <c r="N28" s="8">
        <v>3</v>
      </c>
      <c r="Q28" s="13" t="s">
        <v>416</v>
      </c>
      <c r="R28" s="13" t="s">
        <v>49</v>
      </c>
      <c r="S28" s="13" t="s">
        <v>631</v>
      </c>
      <c r="T28" s="13" t="s">
        <v>655</v>
      </c>
      <c r="U28" s="13">
        <v>2</v>
      </c>
      <c r="W28" s="13" t="s">
        <v>731</v>
      </c>
      <c r="X28" s="13" t="s">
        <v>732</v>
      </c>
      <c r="Y28" s="13" t="s">
        <v>631</v>
      </c>
      <c r="Z28" s="13" t="s">
        <v>928</v>
      </c>
      <c r="AA28" s="13">
        <v>2</v>
      </c>
      <c r="AC28" s="157"/>
      <c r="AD28" s="157"/>
      <c r="AE28" s="157"/>
      <c r="AF28" s="158" t="s">
        <v>1000</v>
      </c>
      <c r="AG28" s="165">
        <v>2</v>
      </c>
      <c r="AJ28" s="13" t="s">
        <v>1405</v>
      </c>
      <c r="AK28" s="13" t="s">
        <v>48</v>
      </c>
      <c r="AL28" s="13" t="s">
        <v>1668</v>
      </c>
      <c r="AM28" s="13" t="s">
        <v>1675</v>
      </c>
      <c r="AN28" s="13">
        <v>1</v>
      </c>
      <c r="AQ28" s="13" t="s">
        <v>48</v>
      </c>
      <c r="AR28" s="13" t="s">
        <v>1441</v>
      </c>
      <c r="AS28" s="13" t="s">
        <v>1764</v>
      </c>
      <c r="AT28" s="13" t="s">
        <v>1765</v>
      </c>
      <c r="AU28" s="13">
        <v>2</v>
      </c>
      <c r="AY28" s="13" t="s">
        <v>416</v>
      </c>
      <c r="AZ28" s="13" t="s">
        <v>1406</v>
      </c>
      <c r="BA28" s="13" t="s">
        <v>1904</v>
      </c>
      <c r="BB28" s="13" t="s">
        <v>1912</v>
      </c>
      <c r="BC28" s="13">
        <v>2</v>
      </c>
      <c r="BG28" s="13" t="s">
        <v>731</v>
      </c>
      <c r="BH28" s="13" t="s">
        <v>1441</v>
      </c>
      <c r="BI28" s="13" t="s">
        <v>2178</v>
      </c>
      <c r="BJ28" s="13" t="s">
        <v>2184</v>
      </c>
      <c r="BK28" s="13">
        <v>1</v>
      </c>
      <c r="BP28" s="157"/>
      <c r="BQ28" s="157"/>
      <c r="BR28" s="157"/>
      <c r="BS28" s="158" t="s">
        <v>2282</v>
      </c>
      <c r="BT28" s="165">
        <v>1</v>
      </c>
    </row>
    <row r="29" spans="1:72">
      <c r="A29" s="157"/>
      <c r="B29" s="157"/>
      <c r="C29" s="157"/>
      <c r="D29" s="157"/>
      <c r="E29" s="158" t="s">
        <v>93</v>
      </c>
      <c r="F29" s="165">
        <v>2</v>
      </c>
      <c r="G29" s="8"/>
      <c r="H29" s="8"/>
      <c r="I29" s="8"/>
      <c r="J29" s="8" t="s">
        <v>48</v>
      </c>
      <c r="K29" s="8" t="s">
        <v>49</v>
      </c>
      <c r="L29" s="8" t="s">
        <v>352</v>
      </c>
      <c r="M29" s="8" t="s">
        <v>229</v>
      </c>
      <c r="N29" s="8">
        <v>3</v>
      </c>
      <c r="Q29" s="13" t="s">
        <v>416</v>
      </c>
      <c r="R29" s="13" t="s">
        <v>49</v>
      </c>
      <c r="S29" s="13" t="s">
        <v>631</v>
      </c>
      <c r="T29" s="13" t="s">
        <v>658</v>
      </c>
      <c r="U29" s="13">
        <v>2</v>
      </c>
      <c r="W29" s="13" t="s">
        <v>731</v>
      </c>
      <c r="X29" s="13" t="s">
        <v>732</v>
      </c>
      <c r="Y29" s="13" t="s">
        <v>631</v>
      </c>
      <c r="Z29" s="13" t="s">
        <v>925</v>
      </c>
      <c r="AA29" s="13">
        <v>2</v>
      </c>
      <c r="AC29" s="157"/>
      <c r="AD29" s="157"/>
      <c r="AE29" s="157"/>
      <c r="AF29" s="158" t="s">
        <v>991</v>
      </c>
      <c r="AG29" s="165">
        <v>2</v>
      </c>
      <c r="AJ29" s="13" t="s">
        <v>1405</v>
      </c>
      <c r="AK29" s="13" t="s">
        <v>48</v>
      </c>
      <c r="AL29" s="13" t="s">
        <v>1668</v>
      </c>
      <c r="AM29" s="13" t="s">
        <v>1677</v>
      </c>
      <c r="AN29" s="13">
        <v>1</v>
      </c>
      <c r="AQ29" s="13" t="s">
        <v>48</v>
      </c>
      <c r="AR29" s="13" t="s">
        <v>1441</v>
      </c>
      <c r="AS29" s="13" t="s">
        <v>1697</v>
      </c>
      <c r="AT29" s="13" t="s">
        <v>1700</v>
      </c>
      <c r="AU29" s="13">
        <v>1</v>
      </c>
      <c r="AY29" s="13" t="s">
        <v>416</v>
      </c>
      <c r="AZ29" s="13" t="s">
        <v>1406</v>
      </c>
      <c r="BA29" s="13" t="s">
        <v>1904</v>
      </c>
      <c r="BB29" s="13" t="s">
        <v>1905</v>
      </c>
      <c r="BC29" s="13">
        <v>3</v>
      </c>
      <c r="BG29" s="13" t="s">
        <v>731</v>
      </c>
      <c r="BH29" s="13" t="s">
        <v>1441</v>
      </c>
      <c r="BI29" s="13" t="s">
        <v>2178</v>
      </c>
      <c r="BJ29" s="13" t="s">
        <v>2179</v>
      </c>
      <c r="BK29" s="13">
        <v>2</v>
      </c>
      <c r="BP29" s="157"/>
      <c r="BQ29" s="157"/>
      <c r="BR29" s="157"/>
      <c r="BS29" s="158" t="s">
        <v>2274</v>
      </c>
      <c r="BT29" s="165">
        <v>3</v>
      </c>
    </row>
    <row r="30" spans="1:72">
      <c r="A30" s="157"/>
      <c r="B30" s="157"/>
      <c r="C30" s="157"/>
      <c r="D30" s="157"/>
      <c r="E30" s="158" t="s">
        <v>102</v>
      </c>
      <c r="F30" s="165">
        <v>1</v>
      </c>
      <c r="G30" s="8"/>
      <c r="H30" s="8"/>
      <c r="I30" s="8"/>
      <c r="J30" s="8" t="s">
        <v>48</v>
      </c>
      <c r="K30" s="8" t="s">
        <v>49</v>
      </c>
      <c r="L30" s="8" t="s">
        <v>352</v>
      </c>
      <c r="M30" s="8" t="s">
        <v>227</v>
      </c>
      <c r="N30" s="8">
        <v>1</v>
      </c>
      <c r="Q30" s="13" t="s">
        <v>416</v>
      </c>
      <c r="R30" s="13" t="s">
        <v>49</v>
      </c>
      <c r="S30" s="13" t="s">
        <v>631</v>
      </c>
      <c r="T30" s="13" t="s">
        <v>661</v>
      </c>
      <c r="U30" s="13">
        <v>1</v>
      </c>
      <c r="W30" s="13" t="s">
        <v>731</v>
      </c>
      <c r="X30" s="13" t="s">
        <v>732</v>
      </c>
      <c r="Y30" s="13" t="s">
        <v>631</v>
      </c>
      <c r="Z30" s="13" t="s">
        <v>918</v>
      </c>
      <c r="AA30" s="13">
        <v>3</v>
      </c>
      <c r="AC30" s="157"/>
      <c r="AD30" s="157"/>
      <c r="AE30" s="157"/>
      <c r="AF30" s="158" t="s">
        <v>994</v>
      </c>
      <c r="AG30" s="165">
        <v>2</v>
      </c>
      <c r="AJ30" s="13" t="s">
        <v>1405</v>
      </c>
      <c r="AK30" s="13" t="s">
        <v>48</v>
      </c>
      <c r="AL30" s="13" t="s">
        <v>1668</v>
      </c>
      <c r="AM30" s="13" t="s">
        <v>1680</v>
      </c>
      <c r="AN30" s="13">
        <v>2</v>
      </c>
      <c r="AQ30" s="13" t="s">
        <v>48</v>
      </c>
      <c r="AR30" s="13" t="s">
        <v>1441</v>
      </c>
      <c r="AS30" s="13" t="s">
        <v>1697</v>
      </c>
      <c r="AT30" s="13" t="s">
        <v>1471</v>
      </c>
      <c r="AU30" s="13">
        <v>1</v>
      </c>
      <c r="AY30" s="13" t="s">
        <v>416</v>
      </c>
      <c r="AZ30" s="13" t="s">
        <v>1406</v>
      </c>
      <c r="BA30" s="13" t="s">
        <v>1904</v>
      </c>
      <c r="BB30" s="13" t="s">
        <v>1918</v>
      </c>
      <c r="BC30" s="13">
        <v>2</v>
      </c>
      <c r="BG30" s="13" t="s">
        <v>731</v>
      </c>
      <c r="BH30" s="13" t="s">
        <v>1441</v>
      </c>
      <c r="BI30" s="13" t="s">
        <v>2178</v>
      </c>
      <c r="BJ30" s="13" t="s">
        <v>2186</v>
      </c>
      <c r="BK30" s="13">
        <v>2</v>
      </c>
      <c r="BP30" s="157"/>
      <c r="BQ30" s="157"/>
      <c r="BR30" s="157"/>
      <c r="BS30" s="158" t="s">
        <v>2291</v>
      </c>
      <c r="BT30" s="165">
        <v>2</v>
      </c>
    </row>
    <row r="31" spans="1:72">
      <c r="A31" s="157"/>
      <c r="B31" s="157"/>
      <c r="C31" s="157"/>
      <c r="D31" s="156" t="s">
        <v>50</v>
      </c>
      <c r="E31" s="156" t="s">
        <v>51</v>
      </c>
      <c r="F31" s="164">
        <v>1</v>
      </c>
      <c r="G31" s="8"/>
      <c r="H31" s="8"/>
      <c r="I31" s="8"/>
      <c r="J31" s="8" t="s">
        <v>48</v>
      </c>
      <c r="K31" s="8" t="s">
        <v>49</v>
      </c>
      <c r="L31" s="8" t="s">
        <v>352</v>
      </c>
      <c r="M31" s="8" t="s">
        <v>244</v>
      </c>
      <c r="N31" s="8">
        <v>1</v>
      </c>
      <c r="Q31" s="13" t="s">
        <v>416</v>
      </c>
      <c r="R31" s="13" t="s">
        <v>49</v>
      </c>
      <c r="S31" s="13" t="s">
        <v>631</v>
      </c>
      <c r="T31" s="13" t="s">
        <v>643</v>
      </c>
      <c r="U31" s="13">
        <v>2</v>
      </c>
      <c r="W31" s="13" t="s">
        <v>731</v>
      </c>
      <c r="X31" s="13" t="s">
        <v>732</v>
      </c>
      <c r="Y31" s="13" t="s">
        <v>946</v>
      </c>
      <c r="Z31" s="13" t="s">
        <v>966</v>
      </c>
      <c r="AA31" s="13">
        <v>1</v>
      </c>
      <c r="AC31" s="157"/>
      <c r="AD31" s="157"/>
      <c r="AE31" s="157"/>
      <c r="AF31" s="158" t="s">
        <v>1017</v>
      </c>
      <c r="AG31" s="165">
        <v>3</v>
      </c>
      <c r="AJ31" s="13" t="s">
        <v>1405</v>
      </c>
      <c r="AK31" s="13" t="s">
        <v>48</v>
      </c>
      <c r="AL31" s="13" t="s">
        <v>1668</v>
      </c>
      <c r="AM31" s="13" t="s">
        <v>1669</v>
      </c>
      <c r="AN31" s="13">
        <v>1</v>
      </c>
      <c r="AQ31" s="13" t="s">
        <v>48</v>
      </c>
      <c r="AR31" s="13" t="s">
        <v>1441</v>
      </c>
      <c r="AS31" s="13" t="s">
        <v>1697</v>
      </c>
      <c r="AT31" s="13" t="s">
        <v>1698</v>
      </c>
      <c r="AU31" s="13">
        <v>1</v>
      </c>
      <c r="AY31" s="13" t="s">
        <v>416</v>
      </c>
      <c r="AZ31" s="13" t="s">
        <v>1441</v>
      </c>
      <c r="BA31" s="13" t="s">
        <v>1858</v>
      </c>
      <c r="BB31" s="13" t="s">
        <v>1859</v>
      </c>
      <c r="BC31" s="13">
        <v>3</v>
      </c>
      <c r="BG31" s="13" t="s">
        <v>731</v>
      </c>
      <c r="BH31" s="13" t="s">
        <v>1441</v>
      </c>
      <c r="BI31" s="13" t="s">
        <v>2178</v>
      </c>
      <c r="BJ31" s="13" t="s">
        <v>2182</v>
      </c>
      <c r="BK31" s="13">
        <v>1</v>
      </c>
      <c r="BP31" s="157"/>
      <c r="BQ31" s="157"/>
      <c r="BR31" s="157"/>
      <c r="BS31" s="158" t="s">
        <v>2288</v>
      </c>
      <c r="BT31" s="165">
        <v>2</v>
      </c>
    </row>
    <row r="32" spans="1:72">
      <c r="A32" s="157"/>
      <c r="B32" s="157"/>
      <c r="C32" s="157"/>
      <c r="D32" s="157"/>
      <c r="E32" s="158" t="s">
        <v>56</v>
      </c>
      <c r="F32" s="165">
        <v>1</v>
      </c>
      <c r="G32" s="8"/>
      <c r="H32" s="8"/>
      <c r="I32" s="8"/>
      <c r="J32" s="8" t="s">
        <v>48</v>
      </c>
      <c r="K32" s="8" t="s">
        <v>49</v>
      </c>
      <c r="L32" s="8" t="s">
        <v>352</v>
      </c>
      <c r="M32" s="8" t="s">
        <v>237</v>
      </c>
      <c r="N32" s="8">
        <v>3</v>
      </c>
      <c r="Q32" s="13" t="s">
        <v>416</v>
      </c>
      <c r="R32" s="13" t="s">
        <v>49</v>
      </c>
      <c r="S32" s="13" t="s">
        <v>631</v>
      </c>
      <c r="T32" s="13" t="s">
        <v>649</v>
      </c>
      <c r="U32" s="13">
        <v>2</v>
      </c>
      <c r="W32" s="13" t="s">
        <v>731</v>
      </c>
      <c r="X32" s="13" t="s">
        <v>732</v>
      </c>
      <c r="Y32" s="13" t="s">
        <v>946</v>
      </c>
      <c r="Z32" s="13" t="s">
        <v>962</v>
      </c>
      <c r="AA32" s="13">
        <v>3</v>
      </c>
      <c r="AC32" s="157"/>
      <c r="AD32" s="157"/>
      <c r="AE32" s="157"/>
      <c r="AF32" s="158" t="s">
        <v>985</v>
      </c>
      <c r="AG32" s="165">
        <v>2</v>
      </c>
      <c r="AJ32" s="13" t="s">
        <v>1405</v>
      </c>
      <c r="AK32" s="13" t="s">
        <v>48</v>
      </c>
      <c r="AL32" s="13" t="s">
        <v>1442</v>
      </c>
      <c r="AM32" s="13" t="s">
        <v>1446</v>
      </c>
      <c r="AN32" s="13">
        <v>3</v>
      </c>
      <c r="AQ32" s="13" t="s">
        <v>48</v>
      </c>
      <c r="AR32" s="13" t="s">
        <v>1441</v>
      </c>
      <c r="AS32" s="13" t="s">
        <v>1697</v>
      </c>
      <c r="AT32" s="13" t="s">
        <v>1699</v>
      </c>
      <c r="AU32" s="13">
        <v>1</v>
      </c>
      <c r="AY32" s="13" t="s">
        <v>416</v>
      </c>
      <c r="AZ32" s="13" t="s">
        <v>1441</v>
      </c>
      <c r="BA32" s="13" t="s">
        <v>1858</v>
      </c>
      <c r="BB32" s="13" t="s">
        <v>1863</v>
      </c>
      <c r="BC32" s="13">
        <v>3</v>
      </c>
      <c r="BG32" s="13" t="s">
        <v>731</v>
      </c>
      <c r="BH32" s="13" t="s">
        <v>1441</v>
      </c>
      <c r="BI32" s="13" t="s">
        <v>2044</v>
      </c>
      <c r="BJ32" s="13" t="s">
        <v>2047</v>
      </c>
      <c r="BK32" s="13">
        <v>2</v>
      </c>
      <c r="BP32" s="157"/>
      <c r="BQ32" s="157"/>
      <c r="BR32" s="156" t="s">
        <v>2254</v>
      </c>
      <c r="BS32" s="156" t="s">
        <v>2267</v>
      </c>
      <c r="BT32" s="164">
        <v>2</v>
      </c>
    </row>
    <row r="33" spans="1:72">
      <c r="A33" s="157"/>
      <c r="B33" s="157"/>
      <c r="C33" s="157"/>
      <c r="D33" s="157"/>
      <c r="E33" s="158" t="s">
        <v>53</v>
      </c>
      <c r="F33" s="165">
        <v>2</v>
      </c>
      <c r="G33" s="8"/>
      <c r="H33" s="8"/>
      <c r="I33" s="8"/>
      <c r="J33" s="8" t="s">
        <v>48</v>
      </c>
      <c r="K33" s="8" t="s">
        <v>49</v>
      </c>
      <c r="L33" s="8" t="s">
        <v>352</v>
      </c>
      <c r="M33" s="8" t="s">
        <v>241</v>
      </c>
      <c r="N33" s="8">
        <v>2</v>
      </c>
      <c r="Q33" s="13" t="s">
        <v>416</v>
      </c>
      <c r="R33" s="13" t="s">
        <v>49</v>
      </c>
      <c r="S33" s="13" t="s">
        <v>631</v>
      </c>
      <c r="T33" s="13" t="s">
        <v>646</v>
      </c>
      <c r="U33" s="13">
        <v>2</v>
      </c>
      <c r="W33" s="13" t="s">
        <v>731</v>
      </c>
      <c r="X33" s="13" t="s">
        <v>732</v>
      </c>
      <c r="Y33" s="13" t="s">
        <v>946</v>
      </c>
      <c r="Z33" s="13" t="s">
        <v>947</v>
      </c>
      <c r="AA33" s="13">
        <v>3</v>
      </c>
      <c r="AC33" s="157"/>
      <c r="AD33" s="157"/>
      <c r="AE33" s="157"/>
      <c r="AF33" s="158" t="s">
        <v>988</v>
      </c>
      <c r="AG33" s="165">
        <v>2</v>
      </c>
      <c r="AJ33" s="13" t="s">
        <v>1405</v>
      </c>
      <c r="AK33" s="13" t="s">
        <v>48</v>
      </c>
      <c r="AL33" s="13" t="s">
        <v>1442</v>
      </c>
      <c r="AM33" s="13" t="s">
        <v>1443</v>
      </c>
      <c r="AN33" s="13">
        <v>1</v>
      </c>
      <c r="AQ33" s="13" t="s">
        <v>48</v>
      </c>
      <c r="AR33" s="13" t="s">
        <v>1441</v>
      </c>
      <c r="AS33" s="13" t="s">
        <v>1697</v>
      </c>
      <c r="AT33" s="13" t="s">
        <v>1701</v>
      </c>
      <c r="AU33" s="13">
        <v>1</v>
      </c>
      <c r="AY33" s="13" t="s">
        <v>416</v>
      </c>
      <c r="AZ33" s="13" t="s">
        <v>1441</v>
      </c>
      <c r="BA33" s="13" t="s">
        <v>1858</v>
      </c>
      <c r="BB33" s="13" t="s">
        <v>1867</v>
      </c>
      <c r="BC33" s="13">
        <v>3</v>
      </c>
      <c r="BG33" s="13" t="s">
        <v>731</v>
      </c>
      <c r="BH33" s="13" t="s">
        <v>1441</v>
      </c>
      <c r="BI33" s="13" t="s">
        <v>2044</v>
      </c>
      <c r="BJ33" s="13" t="s">
        <v>2054</v>
      </c>
      <c r="BK33" s="13">
        <v>2</v>
      </c>
      <c r="BP33" s="157"/>
      <c r="BQ33" s="157"/>
      <c r="BR33" s="157"/>
      <c r="BS33" s="158" t="s">
        <v>2265</v>
      </c>
      <c r="BT33" s="165">
        <v>1</v>
      </c>
    </row>
    <row r="34" spans="1:72">
      <c r="A34" s="157"/>
      <c r="B34" s="157"/>
      <c r="C34" s="157"/>
      <c r="D34" s="156" t="s">
        <v>151</v>
      </c>
      <c r="E34" s="156" t="s">
        <v>161</v>
      </c>
      <c r="F34" s="164">
        <v>1</v>
      </c>
      <c r="G34" s="8"/>
      <c r="H34" s="8"/>
      <c r="I34" s="8"/>
      <c r="J34" s="8" t="s">
        <v>48</v>
      </c>
      <c r="K34" s="8" t="s">
        <v>49</v>
      </c>
      <c r="L34" s="8" t="s">
        <v>352</v>
      </c>
      <c r="M34" s="8" t="s">
        <v>233</v>
      </c>
      <c r="N34" s="8">
        <v>3</v>
      </c>
      <c r="Q34" s="13" t="s">
        <v>416</v>
      </c>
      <c r="R34" s="13" t="s">
        <v>49</v>
      </c>
      <c r="S34" s="13" t="s">
        <v>631</v>
      </c>
      <c r="T34" s="13" t="s">
        <v>652</v>
      </c>
      <c r="U34" s="13">
        <v>2</v>
      </c>
      <c r="W34" s="13" t="s">
        <v>731</v>
      </c>
      <c r="X34" s="13" t="s">
        <v>732</v>
      </c>
      <c r="Y34" s="13" t="s">
        <v>946</v>
      </c>
      <c r="Z34" s="13" t="s">
        <v>955</v>
      </c>
      <c r="AA34" s="13">
        <v>3</v>
      </c>
      <c r="AC34" s="157"/>
      <c r="AD34" s="157"/>
      <c r="AE34" s="157"/>
      <c r="AF34" s="158" t="s">
        <v>981</v>
      </c>
      <c r="AG34" s="165">
        <v>3</v>
      </c>
      <c r="AJ34" s="13" t="s">
        <v>1405</v>
      </c>
      <c r="AK34" s="13" t="s">
        <v>48</v>
      </c>
      <c r="AL34" s="13" t="s">
        <v>1442</v>
      </c>
      <c r="AM34" s="13" t="s">
        <v>1453</v>
      </c>
      <c r="AN34" s="13">
        <v>2</v>
      </c>
      <c r="AQ34" s="13" t="s">
        <v>48</v>
      </c>
      <c r="AR34" s="13" t="s">
        <v>1441</v>
      </c>
      <c r="AS34" s="13" t="s">
        <v>1697</v>
      </c>
      <c r="AT34" s="13" t="s">
        <v>1702</v>
      </c>
      <c r="AU34" s="13">
        <v>1</v>
      </c>
      <c r="AY34" s="13" t="s">
        <v>416</v>
      </c>
      <c r="AZ34" s="13" t="s">
        <v>1441</v>
      </c>
      <c r="BA34" s="13" t="s">
        <v>1871</v>
      </c>
      <c r="BB34" s="13" t="s">
        <v>1876</v>
      </c>
      <c r="BC34" s="13">
        <v>3</v>
      </c>
      <c r="BG34" s="13" t="s">
        <v>731</v>
      </c>
      <c r="BH34" s="13" t="s">
        <v>1441</v>
      </c>
      <c r="BI34" s="13" t="s">
        <v>2044</v>
      </c>
      <c r="BJ34" s="13" t="s">
        <v>2050</v>
      </c>
      <c r="BK34" s="13">
        <v>2</v>
      </c>
      <c r="BP34" s="157"/>
      <c r="BQ34" s="157"/>
      <c r="BR34" s="157"/>
      <c r="BS34" s="158" t="s">
        <v>2258</v>
      </c>
      <c r="BT34" s="165">
        <v>2</v>
      </c>
    </row>
    <row r="35" spans="1:72">
      <c r="A35" s="157"/>
      <c r="B35" s="157"/>
      <c r="C35" s="157"/>
      <c r="D35" s="157"/>
      <c r="E35" s="158" t="s">
        <v>158</v>
      </c>
      <c r="F35" s="165">
        <v>2</v>
      </c>
      <c r="G35" s="8"/>
      <c r="H35" s="8"/>
      <c r="I35" s="8"/>
      <c r="J35" s="8" t="s">
        <v>48</v>
      </c>
      <c r="K35" s="8" t="s">
        <v>49</v>
      </c>
      <c r="L35" s="8" t="s">
        <v>352</v>
      </c>
      <c r="M35" s="8" t="s">
        <v>353</v>
      </c>
      <c r="N35" s="8">
        <v>2</v>
      </c>
      <c r="Q35" s="13" t="s">
        <v>416</v>
      </c>
      <c r="R35" s="13" t="s">
        <v>49</v>
      </c>
      <c r="S35" s="13" t="s">
        <v>631</v>
      </c>
      <c r="T35" s="13" t="s">
        <v>663</v>
      </c>
      <c r="U35" s="13">
        <v>3</v>
      </c>
      <c r="W35" s="13" t="s">
        <v>731</v>
      </c>
      <c r="X35" s="13" t="s">
        <v>732</v>
      </c>
      <c r="Y35" s="13" t="s">
        <v>946</v>
      </c>
      <c r="Z35" s="13" t="s">
        <v>959</v>
      </c>
      <c r="AA35" s="13">
        <v>2</v>
      </c>
      <c r="AC35" s="157"/>
      <c r="AD35" s="157"/>
      <c r="AE35" s="157"/>
      <c r="AF35" s="158" t="s">
        <v>1006</v>
      </c>
      <c r="AG35" s="165">
        <v>2</v>
      </c>
      <c r="AJ35" s="13" t="s">
        <v>1405</v>
      </c>
      <c r="AK35" s="13" t="s">
        <v>48</v>
      </c>
      <c r="AL35" s="13" t="s">
        <v>1442</v>
      </c>
      <c r="AM35" s="13" t="s">
        <v>1458</v>
      </c>
      <c r="AN35" s="13">
        <v>3</v>
      </c>
      <c r="AQ35" s="13" t="s">
        <v>48</v>
      </c>
      <c r="AR35" s="13" t="s">
        <v>1441</v>
      </c>
      <c r="AS35" s="13" t="s">
        <v>1691</v>
      </c>
      <c r="AT35" s="13" t="s">
        <v>1693</v>
      </c>
      <c r="AU35" s="13">
        <v>2</v>
      </c>
      <c r="AY35" s="13" t="s">
        <v>416</v>
      </c>
      <c r="AZ35" s="13" t="s">
        <v>1441</v>
      </c>
      <c r="BA35" s="13" t="s">
        <v>1871</v>
      </c>
      <c r="BB35" s="13" t="s">
        <v>1882</v>
      </c>
      <c r="BC35" s="13">
        <v>3</v>
      </c>
      <c r="BG35" s="13" t="s">
        <v>731</v>
      </c>
      <c r="BH35" s="13" t="s">
        <v>1441</v>
      </c>
      <c r="BI35" s="13" t="s">
        <v>2044</v>
      </c>
      <c r="BJ35" s="13" t="s">
        <v>2045</v>
      </c>
      <c r="BK35" s="13">
        <v>2</v>
      </c>
      <c r="BP35" s="157"/>
      <c r="BQ35" s="157"/>
      <c r="BR35" s="157"/>
      <c r="BS35" s="158" t="s">
        <v>2268</v>
      </c>
      <c r="BT35" s="165">
        <v>2</v>
      </c>
    </row>
    <row r="36" spans="1:72">
      <c r="A36" s="157"/>
      <c r="B36" s="157"/>
      <c r="C36" s="157"/>
      <c r="D36" s="157"/>
      <c r="E36" s="158" t="s">
        <v>163</v>
      </c>
      <c r="F36" s="165">
        <v>1</v>
      </c>
      <c r="G36" s="8"/>
      <c r="H36" s="8"/>
      <c r="I36" s="8"/>
      <c r="J36" s="8" t="s">
        <v>48</v>
      </c>
      <c r="K36" s="8" t="s">
        <v>49</v>
      </c>
      <c r="L36" s="8" t="s">
        <v>248</v>
      </c>
      <c r="M36" s="8" t="s">
        <v>268</v>
      </c>
      <c r="N36" s="8">
        <v>2</v>
      </c>
      <c r="Q36" s="13" t="s">
        <v>416</v>
      </c>
      <c r="R36" s="13" t="s">
        <v>49</v>
      </c>
      <c r="S36" s="13" t="s">
        <v>450</v>
      </c>
      <c r="T36" s="13" t="s">
        <v>465</v>
      </c>
      <c r="U36" s="13">
        <v>3</v>
      </c>
      <c r="W36" s="13" t="s">
        <v>731</v>
      </c>
      <c r="X36" s="13" t="s">
        <v>732</v>
      </c>
      <c r="Y36" s="13" t="s">
        <v>946</v>
      </c>
      <c r="Z36" s="13" t="s">
        <v>951</v>
      </c>
      <c r="AA36" s="13">
        <v>3</v>
      </c>
      <c r="AC36" s="157"/>
      <c r="AD36" s="157"/>
      <c r="AE36" s="157"/>
      <c r="AF36" s="158" t="s">
        <v>1009</v>
      </c>
      <c r="AG36" s="165">
        <v>2</v>
      </c>
      <c r="AJ36" s="13" t="s">
        <v>1405</v>
      </c>
      <c r="AK36" s="13" t="s">
        <v>48</v>
      </c>
      <c r="AL36" s="13" t="s">
        <v>1511</v>
      </c>
      <c r="AM36" s="13" t="s">
        <v>1527</v>
      </c>
      <c r="AN36" s="13">
        <v>2</v>
      </c>
      <c r="AQ36" s="13" t="s">
        <v>48</v>
      </c>
      <c r="AR36" s="13" t="s">
        <v>1441</v>
      </c>
      <c r="AS36" s="13" t="s">
        <v>1691</v>
      </c>
      <c r="AT36" s="13" t="s">
        <v>1692</v>
      </c>
      <c r="AU36" s="13">
        <v>1</v>
      </c>
      <c r="AY36" s="13" t="s">
        <v>416</v>
      </c>
      <c r="AZ36" s="13" t="s">
        <v>1441</v>
      </c>
      <c r="BA36" s="13" t="s">
        <v>1871</v>
      </c>
      <c r="BB36" s="13" t="s">
        <v>1880</v>
      </c>
      <c r="BC36" s="13">
        <v>1</v>
      </c>
      <c r="BG36" s="13" t="s">
        <v>731</v>
      </c>
      <c r="BH36" s="13" t="s">
        <v>1441</v>
      </c>
      <c r="BI36" s="13" t="s">
        <v>2057</v>
      </c>
      <c r="BJ36" s="13" t="s">
        <v>2058</v>
      </c>
      <c r="BK36" s="13">
        <v>2</v>
      </c>
      <c r="BP36" s="157"/>
      <c r="BQ36" s="157"/>
      <c r="BR36" s="157"/>
      <c r="BS36" s="158" t="s">
        <v>2255</v>
      </c>
      <c r="BT36" s="165">
        <v>2</v>
      </c>
    </row>
    <row r="37" spans="1:72">
      <c r="A37" s="157"/>
      <c r="B37" s="157"/>
      <c r="C37" s="157"/>
      <c r="D37" s="157"/>
      <c r="E37" s="158" t="s">
        <v>167</v>
      </c>
      <c r="F37" s="165">
        <v>1</v>
      </c>
      <c r="G37" s="8"/>
      <c r="H37" s="8"/>
      <c r="I37" s="8"/>
      <c r="J37" s="8" t="s">
        <v>48</v>
      </c>
      <c r="K37" s="8" t="s">
        <v>49</v>
      </c>
      <c r="L37" s="8" t="s">
        <v>248</v>
      </c>
      <c r="M37" s="8" t="s">
        <v>255</v>
      </c>
      <c r="N37" s="8">
        <v>3</v>
      </c>
      <c r="Q37" s="13" t="s">
        <v>416</v>
      </c>
      <c r="R37" s="13" t="s">
        <v>49</v>
      </c>
      <c r="S37" s="13" t="s">
        <v>450</v>
      </c>
      <c r="T37" s="13" t="s">
        <v>469</v>
      </c>
      <c r="U37" s="13">
        <v>3</v>
      </c>
      <c r="W37" s="13" t="s">
        <v>731</v>
      </c>
      <c r="X37" s="13" t="s">
        <v>732</v>
      </c>
      <c r="Y37" s="13" t="s">
        <v>968</v>
      </c>
      <c r="Z37" s="13" t="s">
        <v>971</v>
      </c>
      <c r="AA37" s="13">
        <v>3</v>
      </c>
      <c r="AC37" s="157"/>
      <c r="AD37" s="157"/>
      <c r="AE37" s="157"/>
      <c r="AF37" s="158" t="s">
        <v>1012</v>
      </c>
      <c r="AG37" s="165">
        <v>2</v>
      </c>
      <c r="AJ37" s="13" t="s">
        <v>1405</v>
      </c>
      <c r="AK37" s="13" t="s">
        <v>48</v>
      </c>
      <c r="AL37" s="13" t="s">
        <v>1511</v>
      </c>
      <c r="AM37" s="13" t="s">
        <v>1532</v>
      </c>
      <c r="AN37" s="13">
        <v>2</v>
      </c>
      <c r="AQ37" s="13" t="s">
        <v>48</v>
      </c>
      <c r="AR37" s="13" t="s">
        <v>1441</v>
      </c>
      <c r="AS37" s="13" t="s">
        <v>1691</v>
      </c>
      <c r="AT37" s="13" t="s">
        <v>1694</v>
      </c>
      <c r="AU37" s="13">
        <v>3</v>
      </c>
      <c r="AY37" s="13" t="s">
        <v>416</v>
      </c>
      <c r="AZ37" s="13" t="s">
        <v>1441</v>
      </c>
      <c r="BA37" s="13" t="s">
        <v>1871</v>
      </c>
      <c r="BB37" s="13" t="s">
        <v>1872</v>
      </c>
      <c r="BC37" s="13">
        <v>3</v>
      </c>
      <c r="BG37" s="13" t="s">
        <v>731</v>
      </c>
      <c r="BH37" s="13" t="s">
        <v>1441</v>
      </c>
      <c r="BI37" s="13" t="s">
        <v>2057</v>
      </c>
      <c r="BJ37" s="13" t="s">
        <v>2068</v>
      </c>
      <c r="BK37" s="13">
        <v>1</v>
      </c>
      <c r="BP37" s="157"/>
      <c r="BQ37" s="157"/>
      <c r="BR37" s="157"/>
      <c r="BS37" s="158" t="s">
        <v>2271</v>
      </c>
      <c r="BT37" s="165">
        <v>1</v>
      </c>
    </row>
    <row r="38" spans="1:72">
      <c r="A38" s="157"/>
      <c r="B38" s="157"/>
      <c r="C38" s="157"/>
      <c r="D38" s="157"/>
      <c r="E38" s="158" t="s">
        <v>165</v>
      </c>
      <c r="F38" s="165">
        <v>1</v>
      </c>
      <c r="G38" s="8"/>
      <c r="H38" s="8"/>
      <c r="I38" s="8"/>
      <c r="J38" s="8" t="s">
        <v>48</v>
      </c>
      <c r="K38" s="8" t="s">
        <v>49</v>
      </c>
      <c r="L38" s="8" t="s">
        <v>248</v>
      </c>
      <c r="M38" s="8" t="s">
        <v>252</v>
      </c>
      <c r="N38" s="8">
        <v>2</v>
      </c>
      <c r="Q38" s="13" t="s">
        <v>416</v>
      </c>
      <c r="R38" s="13" t="s">
        <v>49</v>
      </c>
      <c r="S38" s="13" t="s">
        <v>450</v>
      </c>
      <c r="T38" s="13" t="s">
        <v>461</v>
      </c>
      <c r="U38" s="13">
        <v>3</v>
      </c>
      <c r="W38" s="13" t="s">
        <v>731</v>
      </c>
      <c r="X38" s="13" t="s">
        <v>732</v>
      </c>
      <c r="Y38" s="13" t="s">
        <v>968</v>
      </c>
      <c r="Z38" s="13" t="s">
        <v>975</v>
      </c>
      <c r="AA38" s="13">
        <v>3</v>
      </c>
      <c r="AC38" s="157"/>
      <c r="AD38" s="157"/>
      <c r="AE38" s="156" t="s">
        <v>1027</v>
      </c>
      <c r="AF38" s="156" t="s">
        <v>1030</v>
      </c>
      <c r="AG38" s="164">
        <v>3</v>
      </c>
      <c r="AJ38" s="13" t="s">
        <v>1405</v>
      </c>
      <c r="AK38" s="13" t="s">
        <v>48</v>
      </c>
      <c r="AL38" s="13" t="s">
        <v>1511</v>
      </c>
      <c r="AM38" s="13" t="s">
        <v>1512</v>
      </c>
      <c r="AN38" s="13">
        <v>2</v>
      </c>
      <c r="AQ38" s="13" t="s">
        <v>48</v>
      </c>
      <c r="AR38" s="13" t="s">
        <v>1441</v>
      </c>
      <c r="AS38" s="13" t="s">
        <v>1691</v>
      </c>
      <c r="AT38" s="13" t="s">
        <v>1696</v>
      </c>
      <c r="AU38" s="13">
        <v>1</v>
      </c>
      <c r="AY38" s="13" t="s">
        <v>416</v>
      </c>
      <c r="AZ38" s="13" t="s">
        <v>1441</v>
      </c>
      <c r="BA38" s="13" t="s">
        <v>1998</v>
      </c>
      <c r="BB38" s="13" t="s">
        <v>2008</v>
      </c>
      <c r="BC38" s="13">
        <v>3</v>
      </c>
      <c r="BG38" s="13" t="s">
        <v>731</v>
      </c>
      <c r="BH38" s="13" t="s">
        <v>1441</v>
      </c>
      <c r="BI38" s="13" t="s">
        <v>2057</v>
      </c>
      <c r="BJ38" s="13" t="s">
        <v>2070</v>
      </c>
      <c r="BK38" s="13">
        <v>1</v>
      </c>
      <c r="BP38" s="157"/>
      <c r="BQ38" s="157"/>
      <c r="BR38" s="157"/>
      <c r="BS38" s="158" t="s">
        <v>2261</v>
      </c>
      <c r="BT38" s="165">
        <v>3</v>
      </c>
    </row>
    <row r="39" spans="1:72">
      <c r="A39" s="157"/>
      <c r="B39" s="157"/>
      <c r="C39" s="157"/>
      <c r="D39" s="157"/>
      <c r="E39" s="158" t="s">
        <v>152</v>
      </c>
      <c r="F39" s="165">
        <v>3</v>
      </c>
      <c r="G39" s="8"/>
      <c r="H39" s="8"/>
      <c r="I39" s="8"/>
      <c r="J39" s="8" t="s">
        <v>48</v>
      </c>
      <c r="K39" s="8" t="s">
        <v>49</v>
      </c>
      <c r="L39" s="8" t="s">
        <v>248</v>
      </c>
      <c r="M39" s="8" t="s">
        <v>259</v>
      </c>
      <c r="N39" s="8">
        <v>2</v>
      </c>
      <c r="Q39" s="13" t="s">
        <v>416</v>
      </c>
      <c r="R39" s="13" t="s">
        <v>49</v>
      </c>
      <c r="S39" s="13" t="s">
        <v>450</v>
      </c>
      <c r="T39" s="13" t="s">
        <v>478</v>
      </c>
      <c r="U39" s="13">
        <v>2</v>
      </c>
      <c r="W39" s="13" t="s">
        <v>731</v>
      </c>
      <c r="X39" s="13" t="s">
        <v>732</v>
      </c>
      <c r="Y39" s="13" t="s">
        <v>968</v>
      </c>
      <c r="Z39" s="13" t="s">
        <v>969</v>
      </c>
      <c r="AA39" s="13">
        <v>1</v>
      </c>
      <c r="AC39" s="157"/>
      <c r="AD39" s="157"/>
      <c r="AE39" s="157"/>
      <c r="AF39" s="158" t="s">
        <v>1034</v>
      </c>
      <c r="AG39" s="165">
        <v>3</v>
      </c>
      <c r="AJ39" s="13" t="s">
        <v>1405</v>
      </c>
      <c r="AK39" s="13" t="s">
        <v>48</v>
      </c>
      <c r="AL39" s="13" t="s">
        <v>1511</v>
      </c>
      <c r="AM39" s="13" t="s">
        <v>1537</v>
      </c>
      <c r="AN39" s="13">
        <v>2</v>
      </c>
      <c r="AQ39" s="13" t="s">
        <v>48</v>
      </c>
      <c r="AR39" s="13" t="s">
        <v>1510</v>
      </c>
      <c r="AS39" s="13" t="s">
        <v>1751</v>
      </c>
      <c r="AT39" s="13" t="s">
        <v>1755</v>
      </c>
      <c r="AU39" s="13">
        <v>2</v>
      </c>
      <c r="AY39" s="13" t="s">
        <v>416</v>
      </c>
      <c r="AZ39" s="13" t="s">
        <v>1441</v>
      </c>
      <c r="BA39" s="13" t="s">
        <v>1998</v>
      </c>
      <c r="BB39" s="13" t="s">
        <v>2006</v>
      </c>
      <c r="BC39" s="13">
        <v>1</v>
      </c>
      <c r="BG39" s="13" t="s">
        <v>731</v>
      </c>
      <c r="BH39" s="13" t="s">
        <v>1441</v>
      </c>
      <c r="BI39" s="13" t="s">
        <v>2057</v>
      </c>
      <c r="BJ39" s="13" t="s">
        <v>2072</v>
      </c>
      <c r="BK39" s="13">
        <v>1</v>
      </c>
      <c r="BP39" s="157"/>
      <c r="BQ39" s="157"/>
      <c r="BR39" s="156" t="s">
        <v>2230</v>
      </c>
      <c r="BS39" s="156" t="s">
        <v>2241</v>
      </c>
      <c r="BT39" s="164">
        <v>1</v>
      </c>
    </row>
    <row r="40" spans="1:72">
      <c r="A40" s="157"/>
      <c r="B40" s="157"/>
      <c r="C40" s="157"/>
      <c r="D40" s="157"/>
      <c r="E40" s="158" t="s">
        <v>156</v>
      </c>
      <c r="F40" s="165">
        <v>1</v>
      </c>
      <c r="G40" s="8"/>
      <c r="H40" s="8"/>
      <c r="I40" s="8"/>
      <c r="J40" s="8" t="s">
        <v>48</v>
      </c>
      <c r="K40" s="8" t="s">
        <v>49</v>
      </c>
      <c r="L40" s="8" t="s">
        <v>248</v>
      </c>
      <c r="M40" s="8" t="s">
        <v>262</v>
      </c>
      <c r="N40" s="8">
        <v>2</v>
      </c>
      <c r="Q40" s="13" t="s">
        <v>416</v>
      </c>
      <c r="R40" s="13" t="s">
        <v>49</v>
      </c>
      <c r="S40" s="13" t="s">
        <v>450</v>
      </c>
      <c r="T40" s="13" t="s">
        <v>481</v>
      </c>
      <c r="U40" s="13">
        <v>1</v>
      </c>
      <c r="W40" s="13" t="s">
        <v>731</v>
      </c>
      <c r="X40" s="13" t="s">
        <v>732</v>
      </c>
      <c r="Y40" s="13" t="s">
        <v>757</v>
      </c>
      <c r="Z40" s="13" t="s">
        <v>764</v>
      </c>
      <c r="AA40" s="13">
        <v>1</v>
      </c>
      <c r="AC40" s="157"/>
      <c r="AD40" s="157"/>
      <c r="AE40" s="157"/>
      <c r="AF40" s="158" t="s">
        <v>1043</v>
      </c>
      <c r="AG40" s="165">
        <v>2</v>
      </c>
      <c r="AJ40" s="13" t="s">
        <v>1405</v>
      </c>
      <c r="AK40" s="13" t="s">
        <v>48</v>
      </c>
      <c r="AL40" s="13" t="s">
        <v>1511</v>
      </c>
      <c r="AM40" s="13" t="s">
        <v>1522</v>
      </c>
      <c r="AN40" s="13">
        <v>2</v>
      </c>
      <c r="AQ40" s="13" t="s">
        <v>48</v>
      </c>
      <c r="AR40" s="13" t="s">
        <v>1510</v>
      </c>
      <c r="AS40" s="13" t="s">
        <v>1751</v>
      </c>
      <c r="AT40" s="13" t="s">
        <v>1758</v>
      </c>
      <c r="AU40" s="13">
        <v>1</v>
      </c>
      <c r="AY40" s="13" t="s">
        <v>416</v>
      </c>
      <c r="AZ40" s="13" t="s">
        <v>1441</v>
      </c>
      <c r="BA40" s="13" t="s">
        <v>1998</v>
      </c>
      <c r="BB40" s="13" t="s">
        <v>2003</v>
      </c>
      <c r="BC40" s="13">
        <v>2</v>
      </c>
      <c r="BG40" s="13" t="s">
        <v>731</v>
      </c>
      <c r="BH40" s="13" t="s">
        <v>1441</v>
      </c>
      <c r="BI40" s="13" t="s">
        <v>2057</v>
      </c>
      <c r="BJ40" s="13" t="s">
        <v>2064</v>
      </c>
      <c r="BK40" s="13">
        <v>1</v>
      </c>
      <c r="BP40" s="157"/>
      <c r="BQ40" s="157"/>
      <c r="BR40" s="157"/>
      <c r="BS40" s="158" t="s">
        <v>2250</v>
      </c>
      <c r="BT40" s="165">
        <v>1</v>
      </c>
    </row>
    <row r="41" spans="1:72">
      <c r="A41" s="157"/>
      <c r="B41" s="157"/>
      <c r="C41" s="157"/>
      <c r="D41" s="156" t="s">
        <v>195</v>
      </c>
      <c r="E41" s="156" t="s">
        <v>200</v>
      </c>
      <c r="F41" s="164">
        <v>2</v>
      </c>
      <c r="G41" s="8"/>
      <c r="H41" s="8"/>
      <c r="I41" s="8"/>
      <c r="J41" s="8" t="s">
        <v>48</v>
      </c>
      <c r="K41" s="8" t="s">
        <v>49</v>
      </c>
      <c r="L41" s="8" t="s">
        <v>248</v>
      </c>
      <c r="M41" s="8" t="s">
        <v>265</v>
      </c>
      <c r="N41" s="8">
        <v>2</v>
      </c>
      <c r="Q41" s="13" t="s">
        <v>416</v>
      </c>
      <c r="R41" s="13" t="s">
        <v>49</v>
      </c>
      <c r="S41" s="13" t="s">
        <v>450</v>
      </c>
      <c r="T41" s="13" t="s">
        <v>473</v>
      </c>
      <c r="U41" s="13">
        <v>2</v>
      </c>
      <c r="W41" s="13" t="s">
        <v>731</v>
      </c>
      <c r="X41" s="13" t="s">
        <v>732</v>
      </c>
      <c r="Y41" s="13" t="s">
        <v>757</v>
      </c>
      <c r="Z41" s="13" t="s">
        <v>758</v>
      </c>
      <c r="AA41" s="13">
        <v>2</v>
      </c>
      <c r="AC41" s="157"/>
      <c r="AD41" s="157"/>
      <c r="AE41" s="157"/>
      <c r="AF41" s="158" t="s">
        <v>1046</v>
      </c>
      <c r="AG41" s="165">
        <v>2</v>
      </c>
      <c r="AJ41" s="13" t="s">
        <v>1405</v>
      </c>
      <c r="AK41" s="13" t="s">
        <v>48</v>
      </c>
      <c r="AL41" s="13" t="s">
        <v>1511</v>
      </c>
      <c r="AM41" s="13" t="s">
        <v>1517</v>
      </c>
      <c r="AN41" s="13">
        <v>2</v>
      </c>
      <c r="AQ41" s="13" t="s">
        <v>48</v>
      </c>
      <c r="AR41" s="13" t="s">
        <v>1510</v>
      </c>
      <c r="AS41" s="13" t="s">
        <v>1751</v>
      </c>
      <c r="AT41" s="13" t="s">
        <v>1760</v>
      </c>
      <c r="AU41" s="13">
        <v>2</v>
      </c>
      <c r="AY41" s="13" t="s">
        <v>416</v>
      </c>
      <c r="AZ41" s="13" t="s">
        <v>1441</v>
      </c>
      <c r="BA41" s="13" t="s">
        <v>1998</v>
      </c>
      <c r="BB41" s="13" t="s">
        <v>1999</v>
      </c>
      <c r="BC41" s="13">
        <v>3</v>
      </c>
      <c r="BG41" s="13" t="s">
        <v>731</v>
      </c>
      <c r="BH41" s="13" t="s">
        <v>1441</v>
      </c>
      <c r="BI41" s="13" t="s">
        <v>2057</v>
      </c>
      <c r="BJ41" s="13" t="s">
        <v>2061</v>
      </c>
      <c r="BK41" s="13">
        <v>2</v>
      </c>
      <c r="BP41" s="157"/>
      <c r="BQ41" s="157"/>
      <c r="BR41" s="157"/>
      <c r="BS41" s="158" t="s">
        <v>2246</v>
      </c>
      <c r="BT41" s="165">
        <v>3</v>
      </c>
    </row>
    <row r="42" spans="1:72">
      <c r="A42" s="157"/>
      <c r="B42" s="157"/>
      <c r="C42" s="157"/>
      <c r="D42" s="157"/>
      <c r="E42" s="158" t="s">
        <v>203</v>
      </c>
      <c r="F42" s="165">
        <v>3</v>
      </c>
      <c r="G42" s="8"/>
      <c r="H42" s="8"/>
      <c r="I42" s="8"/>
      <c r="J42" s="8" t="s">
        <v>48</v>
      </c>
      <c r="K42" s="8" t="s">
        <v>49</v>
      </c>
      <c r="L42" s="8" t="s">
        <v>248</v>
      </c>
      <c r="M42" s="8" t="s">
        <v>269</v>
      </c>
      <c r="N42" s="8">
        <v>2</v>
      </c>
      <c r="Q42" s="13" t="s">
        <v>416</v>
      </c>
      <c r="R42" s="13" t="s">
        <v>49</v>
      </c>
      <c r="S42" s="13" t="s">
        <v>450</v>
      </c>
      <c r="T42" s="13" t="s">
        <v>476</v>
      </c>
      <c r="U42" s="13">
        <v>1</v>
      </c>
      <c r="W42" s="13" t="s">
        <v>731</v>
      </c>
      <c r="X42" s="13" t="s">
        <v>732</v>
      </c>
      <c r="Y42" s="13" t="s">
        <v>757</v>
      </c>
      <c r="Z42" s="13" t="s">
        <v>761</v>
      </c>
      <c r="AA42" s="13">
        <v>2</v>
      </c>
      <c r="AC42" s="157"/>
      <c r="AD42" s="157"/>
      <c r="AE42" s="157"/>
      <c r="AF42" s="158" t="s">
        <v>1049</v>
      </c>
      <c r="AG42" s="165">
        <v>2</v>
      </c>
      <c r="AJ42" s="13" t="s">
        <v>1405</v>
      </c>
      <c r="AK42" s="13" t="s">
        <v>48</v>
      </c>
      <c r="AL42" s="13" t="s">
        <v>1465</v>
      </c>
      <c r="AM42" s="13" t="s">
        <v>1475</v>
      </c>
      <c r="AN42" s="13">
        <v>1</v>
      </c>
      <c r="AQ42" s="13" t="s">
        <v>48</v>
      </c>
      <c r="AR42" s="13" t="s">
        <v>1510</v>
      </c>
      <c r="AS42" s="13" t="s">
        <v>1751</v>
      </c>
      <c r="AT42" s="13" t="s">
        <v>1752</v>
      </c>
      <c r="AU42" s="13">
        <v>2</v>
      </c>
      <c r="AY42" s="13" t="s">
        <v>416</v>
      </c>
      <c r="AZ42" s="13" t="s">
        <v>1510</v>
      </c>
      <c r="BA42" s="13" t="s">
        <v>1958</v>
      </c>
      <c r="BB42" s="13" t="s">
        <v>1962</v>
      </c>
      <c r="BC42" s="13">
        <v>1</v>
      </c>
      <c r="BG42" s="13" t="s">
        <v>731</v>
      </c>
      <c r="BH42" s="13" t="s">
        <v>1441</v>
      </c>
      <c r="BI42" s="13" t="s">
        <v>2057</v>
      </c>
      <c r="BJ42" s="13" t="s">
        <v>2066</v>
      </c>
      <c r="BK42" s="13">
        <v>1</v>
      </c>
      <c r="BP42" s="157"/>
      <c r="BQ42" s="157"/>
      <c r="BR42" s="157"/>
      <c r="BS42" s="158" t="s">
        <v>2252</v>
      </c>
      <c r="BT42" s="165">
        <v>2</v>
      </c>
    </row>
    <row r="43" spans="1:72">
      <c r="A43" s="157"/>
      <c r="B43" s="157"/>
      <c r="C43" s="157"/>
      <c r="D43" s="157"/>
      <c r="E43" s="158" t="s">
        <v>196</v>
      </c>
      <c r="F43" s="165">
        <v>3</v>
      </c>
      <c r="G43" s="8"/>
      <c r="H43" s="8"/>
      <c r="I43" s="8"/>
      <c r="J43" s="8" t="s">
        <v>48</v>
      </c>
      <c r="K43" s="8" t="s">
        <v>49</v>
      </c>
      <c r="L43" s="8" t="s">
        <v>248</v>
      </c>
      <c r="M43" s="8" t="s">
        <v>249</v>
      </c>
      <c r="N43" s="8">
        <v>2</v>
      </c>
      <c r="Q43" s="13" t="s">
        <v>416</v>
      </c>
      <c r="R43" s="13" t="s">
        <v>49</v>
      </c>
      <c r="S43" s="13" t="s">
        <v>450</v>
      </c>
      <c r="T43" s="13" t="s">
        <v>455</v>
      </c>
      <c r="U43" s="13">
        <v>3</v>
      </c>
      <c r="W43" s="13" t="s">
        <v>731</v>
      </c>
      <c r="X43" s="13" t="s">
        <v>732</v>
      </c>
      <c r="Y43" s="13" t="s">
        <v>386</v>
      </c>
      <c r="Z43" s="13" t="s">
        <v>890</v>
      </c>
      <c r="AA43" s="13">
        <v>2</v>
      </c>
      <c r="AC43" s="157"/>
      <c r="AD43" s="157"/>
      <c r="AE43" s="157"/>
      <c r="AF43" s="158" t="s">
        <v>1052</v>
      </c>
      <c r="AG43" s="165">
        <v>2</v>
      </c>
      <c r="AJ43" s="13" t="s">
        <v>1405</v>
      </c>
      <c r="AK43" s="13" t="s">
        <v>48</v>
      </c>
      <c r="AL43" s="13" t="s">
        <v>1465</v>
      </c>
      <c r="AM43" s="13" t="s">
        <v>1469</v>
      </c>
      <c r="AN43" s="13">
        <v>1</v>
      </c>
      <c r="AQ43" s="13" t="s">
        <v>48</v>
      </c>
      <c r="AR43" s="13" t="s">
        <v>1510</v>
      </c>
      <c r="AS43" s="13" t="s">
        <v>1763</v>
      </c>
      <c r="AT43" s="13" t="s">
        <v>1608</v>
      </c>
      <c r="AU43" s="13">
        <v>2</v>
      </c>
      <c r="AY43" s="13" t="s">
        <v>416</v>
      </c>
      <c r="AZ43" s="13" t="s">
        <v>1510</v>
      </c>
      <c r="BA43" s="13" t="s">
        <v>1958</v>
      </c>
      <c r="BB43" s="13" t="s">
        <v>1966</v>
      </c>
      <c r="BC43" s="13">
        <v>2</v>
      </c>
      <c r="BG43" s="13" t="s">
        <v>731</v>
      </c>
      <c r="BH43" s="13" t="s">
        <v>1510</v>
      </c>
      <c r="BI43" s="13" t="s">
        <v>2123</v>
      </c>
      <c r="BJ43" s="13" t="s">
        <v>2128</v>
      </c>
      <c r="BK43" s="13">
        <v>2</v>
      </c>
      <c r="BP43" s="157"/>
      <c r="BQ43" s="157"/>
      <c r="BR43" s="157"/>
      <c r="BS43" s="158" t="s">
        <v>2243</v>
      </c>
      <c r="BT43" s="165">
        <v>2</v>
      </c>
    </row>
    <row r="44" spans="1:72">
      <c r="A44" s="157"/>
      <c r="B44" s="157"/>
      <c r="C44" s="157"/>
      <c r="D44" s="157"/>
      <c r="E44" s="158" t="s">
        <v>207</v>
      </c>
      <c r="F44" s="165">
        <v>1</v>
      </c>
      <c r="G44" s="8"/>
      <c r="H44" s="8"/>
      <c r="I44" s="8"/>
      <c r="J44" s="8" t="s">
        <v>48</v>
      </c>
      <c r="K44" s="8" t="s">
        <v>49</v>
      </c>
      <c r="L44" s="8" t="s">
        <v>248</v>
      </c>
      <c r="M44" s="8" t="s">
        <v>256</v>
      </c>
      <c r="N44" s="8">
        <v>2</v>
      </c>
      <c r="Q44" s="13" t="s">
        <v>416</v>
      </c>
      <c r="R44" s="13" t="s">
        <v>49</v>
      </c>
      <c r="S44" s="13" t="s">
        <v>450</v>
      </c>
      <c r="T44" s="13" t="s">
        <v>459</v>
      </c>
      <c r="U44" s="13">
        <v>1</v>
      </c>
      <c r="W44" s="13" t="s">
        <v>731</v>
      </c>
      <c r="X44" s="13" t="s">
        <v>732</v>
      </c>
      <c r="Y44" s="13" t="s">
        <v>386</v>
      </c>
      <c r="Z44" s="13" t="s">
        <v>888</v>
      </c>
      <c r="AA44" s="13">
        <v>1</v>
      </c>
      <c r="AC44" s="157"/>
      <c r="AD44" s="157"/>
      <c r="AE44" s="157"/>
      <c r="AF44" s="158" t="s">
        <v>1055</v>
      </c>
      <c r="AG44" s="165">
        <v>2</v>
      </c>
      <c r="AJ44" s="13" t="s">
        <v>1405</v>
      </c>
      <c r="AK44" s="13" t="s">
        <v>48</v>
      </c>
      <c r="AL44" s="13" t="s">
        <v>1465</v>
      </c>
      <c r="AM44" s="13" t="s">
        <v>1472</v>
      </c>
      <c r="AN44" s="13">
        <v>1</v>
      </c>
      <c r="AQ44" s="13" t="s">
        <v>48</v>
      </c>
      <c r="AR44" s="13" t="s">
        <v>1510</v>
      </c>
      <c r="AS44" s="13" t="s">
        <v>1763</v>
      </c>
      <c r="AT44" s="13" t="s">
        <v>1601</v>
      </c>
      <c r="AU44" s="13">
        <v>2</v>
      </c>
      <c r="AY44" s="13" t="s">
        <v>416</v>
      </c>
      <c r="AZ44" s="13" t="s">
        <v>1510</v>
      </c>
      <c r="BA44" s="13" t="s">
        <v>1958</v>
      </c>
      <c r="BB44" s="13" t="s">
        <v>1971</v>
      </c>
      <c r="BC44" s="13">
        <v>2</v>
      </c>
      <c r="BG44" s="13" t="s">
        <v>731</v>
      </c>
      <c r="BH44" s="13" t="s">
        <v>1510</v>
      </c>
      <c r="BI44" s="13" t="s">
        <v>2123</v>
      </c>
      <c r="BJ44" s="13" t="s">
        <v>2124</v>
      </c>
      <c r="BK44" s="13">
        <v>3</v>
      </c>
      <c r="BP44" s="157"/>
      <c r="BQ44" s="157"/>
      <c r="BR44" s="157"/>
      <c r="BS44" s="158" t="s">
        <v>2233</v>
      </c>
      <c r="BT44" s="165">
        <v>3</v>
      </c>
    </row>
    <row r="45" spans="1:72">
      <c r="A45" s="157"/>
      <c r="B45" s="157"/>
      <c r="C45" s="157"/>
      <c r="D45" s="156" t="s">
        <v>126</v>
      </c>
      <c r="E45" s="156" t="s">
        <v>130</v>
      </c>
      <c r="F45" s="164">
        <v>3</v>
      </c>
      <c r="G45" s="8"/>
      <c r="H45" s="8"/>
      <c r="I45" s="8"/>
      <c r="J45" s="8" t="s">
        <v>48</v>
      </c>
      <c r="K45" s="8" t="s">
        <v>49</v>
      </c>
      <c r="L45" s="8" t="s">
        <v>386</v>
      </c>
      <c r="M45" s="8" t="s">
        <v>161</v>
      </c>
      <c r="N45" s="8">
        <v>1</v>
      </c>
      <c r="Q45" s="13" t="s">
        <v>416</v>
      </c>
      <c r="R45" s="13" t="s">
        <v>49</v>
      </c>
      <c r="S45" s="13" t="s">
        <v>450</v>
      </c>
      <c r="T45" s="13" t="s">
        <v>451</v>
      </c>
      <c r="U45" s="13">
        <v>3</v>
      </c>
      <c r="W45" s="13" t="s">
        <v>731</v>
      </c>
      <c r="X45" s="13" t="s">
        <v>732</v>
      </c>
      <c r="Y45" s="13" t="s">
        <v>386</v>
      </c>
      <c r="Z45" s="13" t="s">
        <v>893</v>
      </c>
      <c r="AA45" s="13">
        <v>1</v>
      </c>
      <c r="AC45" s="157"/>
      <c r="AD45" s="157"/>
      <c r="AE45" s="157"/>
      <c r="AF45" s="158" t="s">
        <v>1058</v>
      </c>
      <c r="AG45" s="165">
        <v>2</v>
      </c>
      <c r="AJ45" s="13" t="s">
        <v>1405</v>
      </c>
      <c r="AK45" s="13" t="s">
        <v>48</v>
      </c>
      <c r="AL45" s="13" t="s">
        <v>1465</v>
      </c>
      <c r="AM45" s="13" t="s">
        <v>1478</v>
      </c>
      <c r="AN45" s="13">
        <v>2</v>
      </c>
      <c r="AQ45" s="13" t="s">
        <v>48</v>
      </c>
      <c r="AR45" s="13" t="s">
        <v>1510</v>
      </c>
      <c r="AS45" s="13" t="s">
        <v>1763</v>
      </c>
      <c r="AT45" s="13" t="s">
        <v>1589</v>
      </c>
      <c r="AU45" s="13">
        <v>3</v>
      </c>
      <c r="AY45" s="13" t="s">
        <v>416</v>
      </c>
      <c r="AZ45" s="13" t="s">
        <v>1510</v>
      </c>
      <c r="BA45" s="13" t="s">
        <v>1958</v>
      </c>
      <c r="BB45" s="13" t="s">
        <v>1964</v>
      </c>
      <c r="BC45" s="13">
        <v>1</v>
      </c>
      <c r="BG45" s="13" t="s">
        <v>731</v>
      </c>
      <c r="BH45" s="13" t="s">
        <v>1510</v>
      </c>
      <c r="BI45" s="13" t="s">
        <v>2123</v>
      </c>
      <c r="BJ45" s="13" t="s">
        <v>2134</v>
      </c>
      <c r="BK45" s="13">
        <v>2</v>
      </c>
      <c r="BP45" s="157"/>
      <c r="BQ45" s="157"/>
      <c r="BR45" s="157"/>
      <c r="BS45" s="158" t="s">
        <v>2231</v>
      </c>
      <c r="BT45" s="165">
        <v>1</v>
      </c>
    </row>
    <row r="46" spans="1:72">
      <c r="A46" s="157"/>
      <c r="B46" s="157"/>
      <c r="C46" s="157"/>
      <c r="D46" s="157"/>
      <c r="E46" s="158" t="s">
        <v>127</v>
      </c>
      <c r="F46" s="165">
        <v>2</v>
      </c>
      <c r="G46" s="8"/>
      <c r="H46" s="8"/>
      <c r="I46" s="8"/>
      <c r="J46" s="8" t="s">
        <v>48</v>
      </c>
      <c r="K46" s="8" t="s">
        <v>49</v>
      </c>
      <c r="L46" s="8" t="s">
        <v>386</v>
      </c>
      <c r="M46" s="8" t="s">
        <v>389</v>
      </c>
      <c r="N46" s="8">
        <v>2</v>
      </c>
      <c r="Q46" s="13" t="s">
        <v>416</v>
      </c>
      <c r="R46" s="13" t="s">
        <v>49</v>
      </c>
      <c r="S46" s="13" t="s">
        <v>352</v>
      </c>
      <c r="T46" s="13" t="s">
        <v>420</v>
      </c>
      <c r="U46" s="13">
        <v>2</v>
      </c>
      <c r="W46" s="13" t="s">
        <v>731</v>
      </c>
      <c r="X46" s="13" t="s">
        <v>732</v>
      </c>
      <c r="Y46" s="13" t="s">
        <v>386</v>
      </c>
      <c r="Z46" s="13" t="s">
        <v>895</v>
      </c>
      <c r="AA46" s="13">
        <v>2</v>
      </c>
      <c r="AC46" s="157"/>
      <c r="AD46" s="157"/>
      <c r="AE46" s="157"/>
      <c r="AF46" s="158" t="s">
        <v>1038</v>
      </c>
      <c r="AG46" s="165">
        <v>2</v>
      </c>
      <c r="AJ46" s="13" t="s">
        <v>1405</v>
      </c>
      <c r="AK46" s="13" t="s">
        <v>48</v>
      </c>
      <c r="AL46" s="13" t="s">
        <v>1465</v>
      </c>
      <c r="AM46" s="13" t="s">
        <v>1466</v>
      </c>
      <c r="AN46" s="13">
        <v>1</v>
      </c>
      <c r="AQ46" s="13" t="s">
        <v>48</v>
      </c>
      <c r="AR46" s="13" t="s">
        <v>1510</v>
      </c>
      <c r="AS46" s="13" t="s">
        <v>1763</v>
      </c>
      <c r="AT46" s="13" t="s">
        <v>1605</v>
      </c>
      <c r="AU46" s="13">
        <v>1</v>
      </c>
      <c r="AY46" s="13" t="s">
        <v>416</v>
      </c>
      <c r="AZ46" s="13" t="s">
        <v>1510</v>
      </c>
      <c r="BA46" s="13" t="s">
        <v>1958</v>
      </c>
      <c r="BB46" s="13" t="s">
        <v>1969</v>
      </c>
      <c r="BC46" s="13">
        <v>1</v>
      </c>
      <c r="BG46" s="13" t="s">
        <v>731</v>
      </c>
      <c r="BH46" s="13" t="s">
        <v>1510</v>
      </c>
      <c r="BI46" s="13" t="s">
        <v>2123</v>
      </c>
      <c r="BJ46" s="13" t="s">
        <v>2137</v>
      </c>
      <c r="BK46" s="13">
        <v>2</v>
      </c>
      <c r="BP46" s="157"/>
      <c r="BQ46" s="157"/>
      <c r="BR46" s="157"/>
      <c r="BS46" s="158" t="s">
        <v>2237</v>
      </c>
      <c r="BT46" s="165">
        <v>3</v>
      </c>
    </row>
    <row r="47" spans="1:72">
      <c r="A47" s="157"/>
      <c r="B47" s="157"/>
      <c r="C47" s="157"/>
      <c r="D47" s="157"/>
      <c r="E47" s="158" t="s">
        <v>134</v>
      </c>
      <c r="F47" s="165">
        <v>2</v>
      </c>
      <c r="G47" s="8"/>
      <c r="H47" s="8"/>
      <c r="I47" s="8"/>
      <c r="J47" s="8" t="s">
        <v>48</v>
      </c>
      <c r="K47" s="8" t="s">
        <v>49</v>
      </c>
      <c r="L47" s="8" t="s">
        <v>386</v>
      </c>
      <c r="M47" s="8" t="s">
        <v>388</v>
      </c>
      <c r="N47" s="8">
        <v>1</v>
      </c>
      <c r="Q47" s="13" t="s">
        <v>416</v>
      </c>
      <c r="R47" s="13" t="s">
        <v>49</v>
      </c>
      <c r="S47" s="13" t="s">
        <v>352</v>
      </c>
      <c r="T47" s="13" t="s">
        <v>417</v>
      </c>
      <c r="U47" s="13">
        <v>2</v>
      </c>
      <c r="W47" s="13" t="s">
        <v>731</v>
      </c>
      <c r="X47" s="13" t="s">
        <v>732</v>
      </c>
      <c r="Y47" s="13" t="s">
        <v>386</v>
      </c>
      <c r="Z47" s="13" t="s">
        <v>898</v>
      </c>
      <c r="AA47" s="13">
        <v>2</v>
      </c>
      <c r="AC47" s="157"/>
      <c r="AD47" s="157"/>
      <c r="AE47" s="157"/>
      <c r="AF47" s="158" t="s">
        <v>1028</v>
      </c>
      <c r="AG47" s="165">
        <v>1</v>
      </c>
      <c r="AJ47" s="13" t="s">
        <v>1405</v>
      </c>
      <c r="AK47" s="13" t="s">
        <v>48</v>
      </c>
      <c r="AL47" s="13" t="s">
        <v>1407</v>
      </c>
      <c r="AM47" s="13" t="s">
        <v>1429</v>
      </c>
      <c r="AN47" s="13">
        <v>3</v>
      </c>
      <c r="AQ47" s="13" t="s">
        <v>48</v>
      </c>
      <c r="AR47" s="13" t="s">
        <v>1510</v>
      </c>
      <c r="AS47" s="13" t="s">
        <v>1763</v>
      </c>
      <c r="AT47" s="13" t="s">
        <v>1596</v>
      </c>
      <c r="AU47" s="13">
        <v>2</v>
      </c>
      <c r="AY47" s="13" t="s">
        <v>416</v>
      </c>
      <c r="AZ47" s="13" t="s">
        <v>1510</v>
      </c>
      <c r="BA47" s="13" t="s">
        <v>1958</v>
      </c>
      <c r="BB47" s="13" t="s">
        <v>1959</v>
      </c>
      <c r="BC47" s="13">
        <v>2</v>
      </c>
      <c r="BG47" s="13" t="s">
        <v>731</v>
      </c>
      <c r="BH47" s="13" t="s">
        <v>1510</v>
      </c>
      <c r="BI47" s="13" t="s">
        <v>2123</v>
      </c>
      <c r="BJ47" s="13" t="s">
        <v>2131</v>
      </c>
      <c r="BK47" s="13">
        <v>2</v>
      </c>
      <c r="BP47" s="157"/>
      <c r="BQ47" s="157"/>
      <c r="BR47" s="156" t="s">
        <v>2294</v>
      </c>
      <c r="BS47" s="156" t="s">
        <v>2306</v>
      </c>
      <c r="BT47" s="164">
        <v>2</v>
      </c>
    </row>
    <row r="48" spans="1:72">
      <c r="A48" s="157"/>
      <c r="B48" s="157"/>
      <c r="C48" s="157"/>
      <c r="D48" s="157"/>
      <c r="E48" s="158" t="s">
        <v>140</v>
      </c>
      <c r="F48" s="165">
        <v>3</v>
      </c>
      <c r="G48" s="8"/>
      <c r="H48" s="8"/>
      <c r="I48" s="8"/>
      <c r="J48" s="8" t="s">
        <v>48</v>
      </c>
      <c r="K48" s="8" t="s">
        <v>49</v>
      </c>
      <c r="L48" s="8" t="s">
        <v>386</v>
      </c>
      <c r="M48" s="8" t="s">
        <v>152</v>
      </c>
      <c r="N48" s="8">
        <v>3</v>
      </c>
      <c r="Q48" s="13" t="s">
        <v>416</v>
      </c>
      <c r="R48" s="13" t="s">
        <v>49</v>
      </c>
      <c r="S48" s="13" t="s">
        <v>352</v>
      </c>
      <c r="T48" s="13" t="s">
        <v>431</v>
      </c>
      <c r="U48" s="13">
        <v>2</v>
      </c>
      <c r="W48" s="13" t="s">
        <v>731</v>
      </c>
      <c r="X48" s="13" t="s">
        <v>732</v>
      </c>
      <c r="Y48" s="13" t="s">
        <v>386</v>
      </c>
      <c r="Z48" s="13" t="s">
        <v>908</v>
      </c>
      <c r="AA48" s="13">
        <v>2</v>
      </c>
      <c r="AC48" s="157"/>
      <c r="AD48" s="157"/>
      <c r="AE48" s="157"/>
      <c r="AF48" s="158" t="s">
        <v>1041</v>
      </c>
      <c r="AG48" s="165">
        <v>1</v>
      </c>
      <c r="AJ48" s="13" t="s">
        <v>1405</v>
      </c>
      <c r="AK48" s="13" t="s">
        <v>48</v>
      </c>
      <c r="AL48" s="13" t="s">
        <v>1407</v>
      </c>
      <c r="AM48" s="13" t="s">
        <v>1422</v>
      </c>
      <c r="AN48" s="13">
        <v>3</v>
      </c>
      <c r="AQ48" s="13" t="s">
        <v>48</v>
      </c>
      <c r="AR48" s="13" t="s">
        <v>1510</v>
      </c>
      <c r="AS48" s="13" t="s">
        <v>1730</v>
      </c>
      <c r="AT48" s="13" t="s">
        <v>1738</v>
      </c>
      <c r="AU48" s="13">
        <v>3</v>
      </c>
      <c r="AY48" s="13" t="s">
        <v>416</v>
      </c>
      <c r="AZ48" s="13" t="s">
        <v>1510</v>
      </c>
      <c r="BA48" s="13" t="s">
        <v>1839</v>
      </c>
      <c r="BB48" s="13" t="s">
        <v>1843</v>
      </c>
      <c r="BC48" s="13">
        <v>2</v>
      </c>
      <c r="BG48" s="13" t="s">
        <v>731</v>
      </c>
      <c r="BH48" s="13" t="s">
        <v>1510</v>
      </c>
      <c r="BI48" s="13" t="s">
        <v>2140</v>
      </c>
      <c r="BJ48" s="13" t="s">
        <v>2148</v>
      </c>
      <c r="BK48" s="13">
        <v>2</v>
      </c>
      <c r="BP48" s="157"/>
      <c r="BQ48" s="157"/>
      <c r="BR48" s="157"/>
      <c r="BS48" s="158" t="s">
        <v>2300</v>
      </c>
      <c r="BT48" s="165">
        <v>2</v>
      </c>
    </row>
    <row r="49" spans="1:72">
      <c r="A49" s="157"/>
      <c r="B49" s="157"/>
      <c r="C49" s="157"/>
      <c r="D49" s="157"/>
      <c r="E49" s="158" t="s">
        <v>144</v>
      </c>
      <c r="F49" s="165">
        <v>3</v>
      </c>
      <c r="G49" s="8"/>
      <c r="H49" s="8"/>
      <c r="I49" s="8"/>
      <c r="J49" s="8" t="s">
        <v>48</v>
      </c>
      <c r="K49" s="8" t="s">
        <v>49</v>
      </c>
      <c r="L49" s="8" t="s">
        <v>286</v>
      </c>
      <c r="M49" s="8" t="s">
        <v>299</v>
      </c>
      <c r="N49" s="8">
        <v>3</v>
      </c>
      <c r="Q49" s="13" t="s">
        <v>416</v>
      </c>
      <c r="R49" s="13" t="s">
        <v>49</v>
      </c>
      <c r="S49" s="13" t="s">
        <v>352</v>
      </c>
      <c r="T49" s="13" t="s">
        <v>437</v>
      </c>
      <c r="U49" s="13">
        <v>2</v>
      </c>
      <c r="W49" s="13" t="s">
        <v>731</v>
      </c>
      <c r="X49" s="13" t="s">
        <v>732</v>
      </c>
      <c r="Y49" s="13" t="s">
        <v>386</v>
      </c>
      <c r="Z49" s="13" t="s">
        <v>905</v>
      </c>
      <c r="AA49" s="13">
        <v>2</v>
      </c>
      <c r="AC49" s="157"/>
      <c r="AD49" s="157"/>
      <c r="AE49" s="156" t="s">
        <v>1108</v>
      </c>
      <c r="AF49" s="156" t="s">
        <v>1119</v>
      </c>
      <c r="AG49" s="164">
        <v>2</v>
      </c>
      <c r="AJ49" s="13" t="s">
        <v>1405</v>
      </c>
      <c r="AK49" s="13" t="s">
        <v>48</v>
      </c>
      <c r="AL49" s="13" t="s">
        <v>1407</v>
      </c>
      <c r="AM49" s="13" t="s">
        <v>1408</v>
      </c>
      <c r="AN49" s="13">
        <v>3</v>
      </c>
      <c r="AQ49" s="13" t="s">
        <v>48</v>
      </c>
      <c r="AR49" s="13" t="s">
        <v>1510</v>
      </c>
      <c r="AS49" s="13" t="s">
        <v>1730</v>
      </c>
      <c r="AT49" s="13" t="s">
        <v>1742</v>
      </c>
      <c r="AU49" s="13">
        <v>1</v>
      </c>
      <c r="AY49" s="13" t="s">
        <v>416</v>
      </c>
      <c r="AZ49" s="13" t="s">
        <v>1510</v>
      </c>
      <c r="BA49" s="13" t="s">
        <v>1839</v>
      </c>
      <c r="BB49" s="13" t="s">
        <v>1847</v>
      </c>
      <c r="BC49" s="13">
        <v>3</v>
      </c>
      <c r="BG49" s="13" t="s">
        <v>731</v>
      </c>
      <c r="BH49" s="13" t="s">
        <v>1510</v>
      </c>
      <c r="BI49" s="13" t="s">
        <v>2140</v>
      </c>
      <c r="BJ49" s="13" t="s">
        <v>2151</v>
      </c>
      <c r="BK49" s="13">
        <v>2</v>
      </c>
      <c r="BP49" s="157"/>
      <c r="BQ49" s="157"/>
      <c r="BR49" s="157"/>
      <c r="BS49" s="158" t="s">
        <v>2303</v>
      </c>
      <c r="BT49" s="165">
        <v>2</v>
      </c>
    </row>
    <row r="50" spans="1:72">
      <c r="A50" s="157"/>
      <c r="B50" s="157"/>
      <c r="C50" s="157"/>
      <c r="D50" s="157"/>
      <c r="E50" s="158" t="s">
        <v>148</v>
      </c>
      <c r="F50" s="165">
        <v>2</v>
      </c>
      <c r="G50" s="8"/>
      <c r="H50" s="8"/>
      <c r="I50" s="8"/>
      <c r="J50" s="8" t="s">
        <v>48</v>
      </c>
      <c r="K50" s="8" t="s">
        <v>49</v>
      </c>
      <c r="L50" s="8" t="s">
        <v>286</v>
      </c>
      <c r="M50" s="8" t="s">
        <v>288</v>
      </c>
      <c r="N50" s="8">
        <v>2</v>
      </c>
      <c r="Q50" s="13" t="s">
        <v>416</v>
      </c>
      <c r="R50" s="13" t="s">
        <v>49</v>
      </c>
      <c r="S50" s="13" t="s">
        <v>352</v>
      </c>
      <c r="T50" s="13" t="s">
        <v>440</v>
      </c>
      <c r="U50" s="13">
        <v>2</v>
      </c>
      <c r="W50" s="13" t="s">
        <v>731</v>
      </c>
      <c r="X50" s="13" t="s">
        <v>732</v>
      </c>
      <c r="Y50" s="13" t="s">
        <v>386</v>
      </c>
      <c r="Z50" s="13" t="s">
        <v>901</v>
      </c>
      <c r="AA50" s="13">
        <v>3</v>
      </c>
      <c r="AC50" s="157"/>
      <c r="AD50" s="157"/>
      <c r="AE50" s="157"/>
      <c r="AF50" s="158" t="s">
        <v>1109</v>
      </c>
      <c r="AG50" s="165">
        <v>2</v>
      </c>
      <c r="AJ50" s="13" t="s">
        <v>1405</v>
      </c>
      <c r="AK50" s="13" t="s">
        <v>48</v>
      </c>
      <c r="AL50" s="13" t="s">
        <v>1407</v>
      </c>
      <c r="AM50" s="13" t="s">
        <v>1415</v>
      </c>
      <c r="AN50" s="13">
        <v>3</v>
      </c>
      <c r="AQ50" s="13" t="s">
        <v>48</v>
      </c>
      <c r="AR50" s="13" t="s">
        <v>1510</v>
      </c>
      <c r="AS50" s="13" t="s">
        <v>1730</v>
      </c>
      <c r="AT50" s="13" t="s">
        <v>1744</v>
      </c>
      <c r="AU50" s="13">
        <v>3</v>
      </c>
      <c r="AY50" s="13" t="s">
        <v>416</v>
      </c>
      <c r="AZ50" s="13" t="s">
        <v>1510</v>
      </c>
      <c r="BA50" s="13" t="s">
        <v>1839</v>
      </c>
      <c r="BB50" s="13" t="s">
        <v>1851</v>
      </c>
      <c r="BC50" s="13">
        <v>2</v>
      </c>
      <c r="BG50" s="13" t="s">
        <v>731</v>
      </c>
      <c r="BH50" s="13" t="s">
        <v>1510</v>
      </c>
      <c r="BI50" s="13" t="s">
        <v>2140</v>
      </c>
      <c r="BJ50" s="13" t="s">
        <v>2154</v>
      </c>
      <c r="BK50" s="13">
        <v>2</v>
      </c>
      <c r="BP50" s="157"/>
      <c r="BQ50" s="157"/>
      <c r="BR50" s="157"/>
      <c r="BS50" s="158" t="s">
        <v>2298</v>
      </c>
      <c r="BT50" s="165">
        <v>1</v>
      </c>
    </row>
    <row r="51" spans="1:72">
      <c r="A51" s="157"/>
      <c r="B51" s="157"/>
      <c r="C51" s="157"/>
      <c r="D51" s="157"/>
      <c r="E51" s="158" t="s">
        <v>137</v>
      </c>
      <c r="F51" s="165">
        <v>2</v>
      </c>
      <c r="G51" s="8"/>
      <c r="H51" s="8"/>
      <c r="I51" s="8"/>
      <c r="J51" s="8" t="s">
        <v>48</v>
      </c>
      <c r="K51" s="8" t="s">
        <v>49</v>
      </c>
      <c r="L51" s="8" t="s">
        <v>286</v>
      </c>
      <c r="M51" s="8" t="s">
        <v>287</v>
      </c>
      <c r="N51" s="8">
        <v>3</v>
      </c>
      <c r="Q51" s="13" t="s">
        <v>416</v>
      </c>
      <c r="R51" s="13" t="s">
        <v>49</v>
      </c>
      <c r="S51" s="13" t="s">
        <v>352</v>
      </c>
      <c r="T51" s="13" t="s">
        <v>443</v>
      </c>
      <c r="U51" s="13">
        <v>2</v>
      </c>
      <c r="W51" s="13" t="s">
        <v>731</v>
      </c>
      <c r="X51" s="13" t="s">
        <v>732</v>
      </c>
      <c r="Y51" s="13" t="s">
        <v>386</v>
      </c>
      <c r="Z51" s="13" t="s">
        <v>911</v>
      </c>
      <c r="AA51" s="13">
        <v>2</v>
      </c>
      <c r="AC51" s="157"/>
      <c r="AD51" s="157"/>
      <c r="AE51" s="157"/>
      <c r="AF51" s="158" t="s">
        <v>1112</v>
      </c>
      <c r="AG51" s="165">
        <v>3</v>
      </c>
      <c r="AJ51" s="13" t="s">
        <v>1405</v>
      </c>
      <c r="AK51" s="13" t="s">
        <v>48</v>
      </c>
      <c r="AL51" s="13" t="s">
        <v>1407</v>
      </c>
      <c r="AM51" s="13" t="s">
        <v>1436</v>
      </c>
      <c r="AN51" s="13">
        <v>2</v>
      </c>
      <c r="AQ51" s="13" t="s">
        <v>48</v>
      </c>
      <c r="AR51" s="13" t="s">
        <v>1510</v>
      </c>
      <c r="AS51" s="13" t="s">
        <v>1730</v>
      </c>
      <c r="AT51" s="13" t="s">
        <v>1748</v>
      </c>
      <c r="AU51" s="13">
        <v>2</v>
      </c>
      <c r="AY51" s="13" t="s">
        <v>416</v>
      </c>
      <c r="AZ51" s="13" t="s">
        <v>1510</v>
      </c>
      <c r="BA51" s="13" t="s">
        <v>1839</v>
      </c>
      <c r="BB51" s="13" t="s">
        <v>1842</v>
      </c>
      <c r="BC51" s="13">
        <v>2</v>
      </c>
      <c r="BG51" s="13" t="s">
        <v>731</v>
      </c>
      <c r="BH51" s="13" t="s">
        <v>1510</v>
      </c>
      <c r="BI51" s="13" t="s">
        <v>2140</v>
      </c>
      <c r="BJ51" s="13" t="s">
        <v>2141</v>
      </c>
      <c r="BK51" s="13">
        <v>3</v>
      </c>
      <c r="BP51" s="157"/>
      <c r="BQ51" s="157"/>
      <c r="BR51" s="157"/>
      <c r="BS51" s="158" t="s">
        <v>2295</v>
      </c>
      <c r="BT51" s="165">
        <v>2</v>
      </c>
    </row>
    <row r="52" spans="1:72">
      <c r="A52" s="157"/>
      <c r="B52" s="157"/>
      <c r="C52" s="157"/>
      <c r="D52" s="156" t="s">
        <v>209</v>
      </c>
      <c r="E52" s="156" t="s">
        <v>224</v>
      </c>
      <c r="F52" s="164">
        <v>1</v>
      </c>
      <c r="G52" s="8"/>
      <c r="H52" s="8"/>
      <c r="I52" s="8"/>
      <c r="J52" s="8" t="s">
        <v>48</v>
      </c>
      <c r="K52" s="8" t="s">
        <v>49</v>
      </c>
      <c r="L52" s="8" t="s">
        <v>286</v>
      </c>
      <c r="M52" s="8" t="s">
        <v>300</v>
      </c>
      <c r="N52" s="8">
        <v>2</v>
      </c>
      <c r="Q52" s="13" t="s">
        <v>416</v>
      </c>
      <c r="R52" s="13" t="s">
        <v>49</v>
      </c>
      <c r="S52" s="13" t="s">
        <v>352</v>
      </c>
      <c r="T52" s="13" t="s">
        <v>427</v>
      </c>
      <c r="U52" s="13">
        <v>3</v>
      </c>
      <c r="W52" s="13" t="s">
        <v>731</v>
      </c>
      <c r="X52" s="13" t="s">
        <v>732</v>
      </c>
      <c r="Y52" s="13" t="s">
        <v>386</v>
      </c>
      <c r="Z52" s="13" t="s">
        <v>914</v>
      </c>
      <c r="AA52" s="13">
        <v>3</v>
      </c>
      <c r="AC52" s="157"/>
      <c r="AD52" s="157"/>
      <c r="AE52" s="157"/>
      <c r="AF52" s="158" t="s">
        <v>1116</v>
      </c>
      <c r="AG52" s="165">
        <v>2</v>
      </c>
      <c r="AJ52" s="13" t="s">
        <v>1405</v>
      </c>
      <c r="AK52" s="13" t="s">
        <v>48</v>
      </c>
      <c r="AL52" s="13" t="s">
        <v>1616</v>
      </c>
      <c r="AM52" s="13" t="s">
        <v>1617</v>
      </c>
      <c r="AN52" s="13">
        <v>1</v>
      </c>
      <c r="AQ52" s="13" t="s">
        <v>48</v>
      </c>
      <c r="AR52" s="13" t="s">
        <v>1510</v>
      </c>
      <c r="AS52" s="13" t="s">
        <v>1730</v>
      </c>
      <c r="AT52" s="13" t="s">
        <v>1735</v>
      </c>
      <c r="AU52" s="13">
        <v>1</v>
      </c>
      <c r="AY52" s="13" t="s">
        <v>416</v>
      </c>
      <c r="AZ52" s="13" t="s">
        <v>1510</v>
      </c>
      <c r="BA52" s="13" t="s">
        <v>1839</v>
      </c>
      <c r="BB52" s="13" t="s">
        <v>1846</v>
      </c>
      <c r="BC52" s="13">
        <v>2</v>
      </c>
      <c r="BG52" s="13" t="s">
        <v>731</v>
      </c>
      <c r="BH52" s="13" t="s">
        <v>1510</v>
      </c>
      <c r="BI52" s="13" t="s">
        <v>2140</v>
      </c>
      <c r="BJ52" s="13" t="s">
        <v>2145</v>
      </c>
      <c r="BK52" s="13">
        <v>2</v>
      </c>
      <c r="BP52" s="157"/>
      <c r="BQ52" s="156" t="s">
        <v>1510</v>
      </c>
      <c r="BR52" s="156" t="s">
        <v>2376</v>
      </c>
      <c r="BS52" s="156" t="s">
        <v>2379</v>
      </c>
      <c r="BT52" s="164">
        <v>3</v>
      </c>
    </row>
    <row r="53" spans="1:72">
      <c r="A53" s="157"/>
      <c r="B53" s="157"/>
      <c r="C53" s="157"/>
      <c r="D53" s="157"/>
      <c r="E53" s="158" t="s">
        <v>214</v>
      </c>
      <c r="F53" s="165">
        <v>2</v>
      </c>
      <c r="G53" s="8"/>
      <c r="H53" s="8"/>
      <c r="I53" s="8"/>
      <c r="J53" s="8" t="s">
        <v>48</v>
      </c>
      <c r="K53" s="8" t="s">
        <v>49</v>
      </c>
      <c r="L53" s="8" t="s">
        <v>286</v>
      </c>
      <c r="M53" s="8" t="s">
        <v>134</v>
      </c>
      <c r="N53" s="8">
        <v>3</v>
      </c>
      <c r="Q53" s="13" t="s">
        <v>416</v>
      </c>
      <c r="R53" s="13" t="s">
        <v>49</v>
      </c>
      <c r="S53" s="13" t="s">
        <v>352</v>
      </c>
      <c r="T53" s="13" t="s">
        <v>434</v>
      </c>
      <c r="U53" s="13">
        <v>2</v>
      </c>
      <c r="W53" s="13" t="s">
        <v>731</v>
      </c>
      <c r="X53" s="13" t="s">
        <v>732</v>
      </c>
      <c r="Y53" s="13" t="s">
        <v>567</v>
      </c>
      <c r="Z53" s="13" t="s">
        <v>755</v>
      </c>
      <c r="AA53" s="13">
        <v>1</v>
      </c>
      <c r="AC53" s="157"/>
      <c r="AD53" s="157"/>
      <c r="AE53" s="156" t="s">
        <v>1162</v>
      </c>
      <c r="AF53" s="156" t="s">
        <v>1166</v>
      </c>
      <c r="AG53" s="164">
        <v>2</v>
      </c>
      <c r="AJ53" s="13" t="s">
        <v>1405</v>
      </c>
      <c r="AK53" s="13" t="s">
        <v>48</v>
      </c>
      <c r="AL53" s="13" t="s">
        <v>1616</v>
      </c>
      <c r="AM53" s="13" t="s">
        <v>1630</v>
      </c>
      <c r="AN53" s="13">
        <v>2</v>
      </c>
      <c r="AQ53" s="13" t="s">
        <v>48</v>
      </c>
      <c r="AR53" s="13" t="s">
        <v>1510</v>
      </c>
      <c r="AS53" s="13" t="s">
        <v>1730</v>
      </c>
      <c r="AT53" s="13" t="s">
        <v>1731</v>
      </c>
      <c r="AU53" s="13">
        <v>3</v>
      </c>
      <c r="AY53" s="13" t="s">
        <v>416</v>
      </c>
      <c r="AZ53" s="13" t="s">
        <v>1510</v>
      </c>
      <c r="BA53" s="13" t="s">
        <v>1839</v>
      </c>
      <c r="BB53" s="13" t="s">
        <v>1854</v>
      </c>
      <c r="BC53" s="13">
        <v>3</v>
      </c>
      <c r="BG53" s="13" t="s">
        <v>731</v>
      </c>
      <c r="BH53" s="13" t="s">
        <v>1510</v>
      </c>
      <c r="BI53" s="13" t="s">
        <v>1974</v>
      </c>
      <c r="BJ53" s="13" t="s">
        <v>2227</v>
      </c>
      <c r="BK53" s="13">
        <v>2</v>
      </c>
      <c r="BP53" s="157"/>
      <c r="BQ53" s="157"/>
      <c r="BR53" s="157"/>
      <c r="BS53" s="158" t="s">
        <v>2383</v>
      </c>
      <c r="BT53" s="165">
        <v>2</v>
      </c>
    </row>
    <row r="54" spans="1:72">
      <c r="A54" s="157"/>
      <c r="B54" s="157"/>
      <c r="C54" s="157"/>
      <c r="D54" s="157"/>
      <c r="E54" s="158" t="s">
        <v>217</v>
      </c>
      <c r="F54" s="165">
        <v>2</v>
      </c>
      <c r="G54" s="8"/>
      <c r="H54" s="8"/>
      <c r="I54" s="8"/>
      <c r="J54" s="8" t="s">
        <v>48</v>
      </c>
      <c r="K54" s="8" t="s">
        <v>49</v>
      </c>
      <c r="L54" s="8" t="s">
        <v>286</v>
      </c>
      <c r="M54" s="8" t="s">
        <v>140</v>
      </c>
      <c r="N54" s="8">
        <v>1</v>
      </c>
      <c r="Q54" s="13" t="s">
        <v>416</v>
      </c>
      <c r="R54" s="13" t="s">
        <v>49</v>
      </c>
      <c r="S54" s="13" t="s">
        <v>352</v>
      </c>
      <c r="T54" s="13" t="s">
        <v>446</v>
      </c>
      <c r="U54" s="13">
        <v>3</v>
      </c>
      <c r="W54" s="13" t="s">
        <v>731</v>
      </c>
      <c r="X54" s="13" t="s">
        <v>732</v>
      </c>
      <c r="Y54" s="13" t="s">
        <v>567</v>
      </c>
      <c r="Z54" s="13" t="s">
        <v>747</v>
      </c>
      <c r="AA54" s="13">
        <v>2</v>
      </c>
      <c r="AC54" s="157"/>
      <c r="AD54" s="157"/>
      <c r="AE54" s="157"/>
      <c r="AF54" s="158" t="s">
        <v>1163</v>
      </c>
      <c r="AG54" s="165">
        <v>2</v>
      </c>
      <c r="AJ54" s="13" t="s">
        <v>1405</v>
      </c>
      <c r="AK54" s="13" t="s">
        <v>48</v>
      </c>
      <c r="AL54" s="13" t="s">
        <v>1616</v>
      </c>
      <c r="AM54" s="13" t="s">
        <v>1635</v>
      </c>
      <c r="AN54" s="13">
        <v>3</v>
      </c>
      <c r="AQ54" s="13" t="s">
        <v>48</v>
      </c>
      <c r="AR54" s="13" t="s">
        <v>1510</v>
      </c>
      <c r="AS54" s="13" t="s">
        <v>1716</v>
      </c>
      <c r="AT54" s="13" t="s">
        <v>1723</v>
      </c>
      <c r="AU54" s="13">
        <v>2</v>
      </c>
      <c r="AY54" s="13" t="s">
        <v>416</v>
      </c>
      <c r="AZ54" s="13" t="s">
        <v>1510</v>
      </c>
      <c r="BA54" s="13" t="s">
        <v>1839</v>
      </c>
      <c r="BB54" s="13" t="s">
        <v>1840</v>
      </c>
      <c r="BC54" s="13">
        <v>2</v>
      </c>
      <c r="BG54" s="13" t="s">
        <v>731</v>
      </c>
      <c r="BH54" s="13" t="s">
        <v>1510</v>
      </c>
      <c r="BI54" s="13" t="s">
        <v>1974</v>
      </c>
      <c r="BJ54" s="13" t="s">
        <v>2220</v>
      </c>
      <c r="BK54" s="13">
        <v>1</v>
      </c>
      <c r="BP54" s="157"/>
      <c r="BQ54" s="157"/>
      <c r="BR54" s="157"/>
      <c r="BS54" s="158" t="s">
        <v>2386</v>
      </c>
      <c r="BT54" s="165">
        <v>1</v>
      </c>
    </row>
    <row r="55" spans="1:72">
      <c r="A55" s="157"/>
      <c r="B55" s="157"/>
      <c r="C55" s="157"/>
      <c r="D55" s="157"/>
      <c r="E55" s="158" t="s">
        <v>220</v>
      </c>
      <c r="F55" s="165">
        <v>3</v>
      </c>
      <c r="G55" s="8"/>
      <c r="H55" s="8"/>
      <c r="I55" s="8"/>
      <c r="J55" s="8" t="s">
        <v>48</v>
      </c>
      <c r="K55" s="8" t="s">
        <v>49</v>
      </c>
      <c r="L55" s="8" t="s">
        <v>286</v>
      </c>
      <c r="M55" s="8" t="s">
        <v>297</v>
      </c>
      <c r="N55" s="8">
        <v>1</v>
      </c>
      <c r="Q55" s="13" t="s">
        <v>416</v>
      </c>
      <c r="R55" s="13" t="s">
        <v>49</v>
      </c>
      <c r="S55" s="13" t="s">
        <v>352</v>
      </c>
      <c r="T55" s="13" t="s">
        <v>423</v>
      </c>
      <c r="U55" s="13">
        <v>3</v>
      </c>
      <c r="W55" s="13" t="s">
        <v>731</v>
      </c>
      <c r="X55" s="13" t="s">
        <v>732</v>
      </c>
      <c r="Y55" s="13" t="s">
        <v>567</v>
      </c>
      <c r="Z55" s="13" t="s">
        <v>750</v>
      </c>
      <c r="AA55" s="13">
        <v>2</v>
      </c>
      <c r="AC55" s="157"/>
      <c r="AD55" s="157"/>
      <c r="AE55" s="157"/>
      <c r="AF55" s="158" t="s">
        <v>1169</v>
      </c>
      <c r="AG55" s="165">
        <v>2</v>
      </c>
      <c r="AJ55" s="13" t="s">
        <v>1405</v>
      </c>
      <c r="AK55" s="13" t="s">
        <v>48</v>
      </c>
      <c r="AL55" s="13" t="s">
        <v>1616</v>
      </c>
      <c r="AM55" s="13" t="s">
        <v>1627</v>
      </c>
      <c r="AN55" s="13">
        <v>1</v>
      </c>
      <c r="AQ55" s="13" t="s">
        <v>48</v>
      </c>
      <c r="AR55" s="13" t="s">
        <v>1510</v>
      </c>
      <c r="AS55" s="13" t="s">
        <v>1716</v>
      </c>
      <c r="AT55" s="13" t="s">
        <v>1727</v>
      </c>
      <c r="AU55" s="13">
        <v>3</v>
      </c>
      <c r="AY55" s="13" t="s">
        <v>416</v>
      </c>
      <c r="AZ55" s="13" t="s">
        <v>1510</v>
      </c>
      <c r="BA55" s="13" t="s">
        <v>1974</v>
      </c>
      <c r="BB55" s="13" t="s">
        <v>1979</v>
      </c>
      <c r="BC55" s="13">
        <v>2</v>
      </c>
      <c r="BG55" s="13" t="s">
        <v>731</v>
      </c>
      <c r="BH55" s="13" t="s">
        <v>1510</v>
      </c>
      <c r="BI55" s="13" t="s">
        <v>1974</v>
      </c>
      <c r="BJ55" s="13" t="s">
        <v>2217</v>
      </c>
      <c r="BK55" s="13">
        <v>2</v>
      </c>
      <c r="BP55" s="157"/>
      <c r="BQ55" s="157"/>
      <c r="BR55" s="157"/>
      <c r="BS55" s="158" t="s">
        <v>2377</v>
      </c>
      <c r="BT55" s="165">
        <v>3</v>
      </c>
    </row>
    <row r="56" spans="1:72">
      <c r="A56" s="157"/>
      <c r="B56" s="157"/>
      <c r="C56" s="157"/>
      <c r="D56" s="157"/>
      <c r="E56" s="158" t="s">
        <v>210</v>
      </c>
      <c r="F56" s="165">
        <v>3</v>
      </c>
      <c r="G56" s="8"/>
      <c r="H56" s="8"/>
      <c r="I56" s="8"/>
      <c r="J56" s="8" t="s">
        <v>48</v>
      </c>
      <c r="K56" s="8" t="s">
        <v>49</v>
      </c>
      <c r="L56" s="8" t="s">
        <v>286</v>
      </c>
      <c r="M56" s="8" t="s">
        <v>144</v>
      </c>
      <c r="N56" s="8">
        <v>3</v>
      </c>
      <c r="Q56" s="13" t="s">
        <v>416</v>
      </c>
      <c r="R56" s="13" t="s">
        <v>49</v>
      </c>
      <c r="S56" s="13" t="s">
        <v>58</v>
      </c>
      <c r="T56" s="13" t="s">
        <v>515</v>
      </c>
      <c r="U56" s="13">
        <v>2</v>
      </c>
      <c r="W56" s="13" t="s">
        <v>731</v>
      </c>
      <c r="X56" s="13" t="s">
        <v>732</v>
      </c>
      <c r="Y56" s="13" t="s">
        <v>567</v>
      </c>
      <c r="Z56" s="13" t="s">
        <v>733</v>
      </c>
      <c r="AA56" s="13">
        <v>2</v>
      </c>
      <c r="AC56" s="157"/>
      <c r="AD56" s="157"/>
      <c r="AE56" s="156" t="s">
        <v>1148</v>
      </c>
      <c r="AF56" s="156" t="s">
        <v>1154</v>
      </c>
      <c r="AG56" s="164">
        <v>2</v>
      </c>
      <c r="AJ56" s="13" t="s">
        <v>1405</v>
      </c>
      <c r="AK56" s="13" t="s">
        <v>48</v>
      </c>
      <c r="AL56" s="13" t="s">
        <v>1616</v>
      </c>
      <c r="AM56" s="13" t="s">
        <v>1642</v>
      </c>
      <c r="AN56" s="13">
        <v>2</v>
      </c>
      <c r="AQ56" s="13" t="s">
        <v>48</v>
      </c>
      <c r="AR56" s="13" t="s">
        <v>1510</v>
      </c>
      <c r="AS56" s="13" t="s">
        <v>1716</v>
      </c>
      <c r="AT56" s="13" t="s">
        <v>1725</v>
      </c>
      <c r="AU56" s="13">
        <v>2</v>
      </c>
      <c r="AY56" s="13" t="s">
        <v>416</v>
      </c>
      <c r="AZ56" s="13" t="s">
        <v>1510</v>
      </c>
      <c r="BA56" s="13" t="s">
        <v>1974</v>
      </c>
      <c r="BB56" s="13" t="s">
        <v>1982</v>
      </c>
      <c r="BC56" s="13">
        <v>3</v>
      </c>
      <c r="BG56" s="13" t="s">
        <v>731</v>
      </c>
      <c r="BH56" s="13" t="s">
        <v>1510</v>
      </c>
      <c r="BI56" s="13" t="s">
        <v>1974</v>
      </c>
      <c r="BJ56" s="13" t="s">
        <v>2222</v>
      </c>
      <c r="BK56" s="13">
        <v>2</v>
      </c>
      <c r="BP56" s="157"/>
      <c r="BQ56" s="157"/>
      <c r="BR56" s="156" t="s">
        <v>2388</v>
      </c>
      <c r="BS56" s="156" t="s">
        <v>2395</v>
      </c>
      <c r="BT56" s="164">
        <v>3</v>
      </c>
    </row>
    <row r="57" spans="1:72">
      <c r="A57" s="157"/>
      <c r="B57" s="157"/>
      <c r="C57" s="157"/>
      <c r="D57" s="156" t="s">
        <v>226</v>
      </c>
      <c r="E57" s="156" t="s">
        <v>229</v>
      </c>
      <c r="F57" s="164">
        <v>3</v>
      </c>
      <c r="G57" s="8"/>
      <c r="H57" s="8"/>
      <c r="I57" s="8"/>
      <c r="J57" s="8" t="s">
        <v>48</v>
      </c>
      <c r="K57" s="8" t="s">
        <v>49</v>
      </c>
      <c r="L57" s="8" t="s">
        <v>286</v>
      </c>
      <c r="M57" s="8" t="s">
        <v>291</v>
      </c>
      <c r="N57" s="8">
        <v>3</v>
      </c>
      <c r="Q57" s="13" t="s">
        <v>416</v>
      </c>
      <c r="R57" s="13" t="s">
        <v>49</v>
      </c>
      <c r="S57" s="13" t="s">
        <v>58</v>
      </c>
      <c r="T57" s="13" t="s">
        <v>532</v>
      </c>
      <c r="U57" s="13">
        <v>1</v>
      </c>
      <c r="W57" s="13" t="s">
        <v>731</v>
      </c>
      <c r="X57" s="13" t="s">
        <v>732</v>
      </c>
      <c r="Y57" s="13" t="s">
        <v>567</v>
      </c>
      <c r="Z57" s="13" t="s">
        <v>736</v>
      </c>
      <c r="AA57" s="13">
        <v>2</v>
      </c>
      <c r="AC57" s="157"/>
      <c r="AD57" s="157"/>
      <c r="AE57" s="157"/>
      <c r="AF57" s="158" t="s">
        <v>1149</v>
      </c>
      <c r="AG57" s="165">
        <v>2</v>
      </c>
      <c r="AJ57" s="13" t="s">
        <v>1405</v>
      </c>
      <c r="AK57" s="13" t="s">
        <v>48</v>
      </c>
      <c r="AL57" s="13" t="s">
        <v>1616</v>
      </c>
      <c r="AM57" s="13" t="s">
        <v>1620</v>
      </c>
      <c r="AN57" s="13">
        <v>3</v>
      </c>
      <c r="AQ57" s="13" t="s">
        <v>48</v>
      </c>
      <c r="AR57" s="13" t="s">
        <v>1510</v>
      </c>
      <c r="AS57" s="13" t="s">
        <v>1716</v>
      </c>
      <c r="AT57" s="13" t="s">
        <v>1720</v>
      </c>
      <c r="AU57" s="13">
        <v>2</v>
      </c>
      <c r="AY57" s="13" t="s">
        <v>416</v>
      </c>
      <c r="AZ57" s="13" t="s">
        <v>1510</v>
      </c>
      <c r="BA57" s="13" t="s">
        <v>1974</v>
      </c>
      <c r="BB57" s="13" t="s">
        <v>1975</v>
      </c>
      <c r="BC57" s="13">
        <v>3</v>
      </c>
      <c r="BG57" s="13" t="s">
        <v>731</v>
      </c>
      <c r="BH57" s="13" t="s">
        <v>1510</v>
      </c>
      <c r="BI57" s="13" t="s">
        <v>1974</v>
      </c>
      <c r="BJ57" s="13" t="s">
        <v>2215</v>
      </c>
      <c r="BK57" s="13">
        <v>1</v>
      </c>
      <c r="BP57" s="157"/>
      <c r="BQ57" s="157"/>
      <c r="BR57" s="157"/>
      <c r="BS57" s="158" t="s">
        <v>2406</v>
      </c>
      <c r="BT57" s="165">
        <v>3</v>
      </c>
    </row>
    <row r="58" spans="1:72">
      <c r="A58" s="157"/>
      <c r="B58" s="157"/>
      <c r="C58" s="157"/>
      <c r="D58" s="157"/>
      <c r="E58" s="158" t="s">
        <v>227</v>
      </c>
      <c r="F58" s="165">
        <v>1</v>
      </c>
      <c r="G58" s="8"/>
      <c r="H58" s="8"/>
      <c r="I58" s="8"/>
      <c r="J58" s="8" t="s">
        <v>48</v>
      </c>
      <c r="K58" s="8" t="s">
        <v>49</v>
      </c>
      <c r="L58" s="8" t="s">
        <v>286</v>
      </c>
      <c r="M58" s="8" t="s">
        <v>295</v>
      </c>
      <c r="N58" s="8">
        <v>3</v>
      </c>
      <c r="Q58" s="13" t="s">
        <v>416</v>
      </c>
      <c r="R58" s="13" t="s">
        <v>49</v>
      </c>
      <c r="S58" s="13" t="s">
        <v>58</v>
      </c>
      <c r="T58" s="13" t="s">
        <v>512</v>
      </c>
      <c r="U58" s="13">
        <v>2</v>
      </c>
      <c r="W58" s="13" t="s">
        <v>731</v>
      </c>
      <c r="X58" s="13" t="s">
        <v>732</v>
      </c>
      <c r="Y58" s="13" t="s">
        <v>567</v>
      </c>
      <c r="Z58" s="13" t="s">
        <v>739</v>
      </c>
      <c r="AA58" s="13">
        <v>3</v>
      </c>
      <c r="AC58" s="157"/>
      <c r="AD58" s="157"/>
      <c r="AE58" s="157"/>
      <c r="AF58" s="158" t="s">
        <v>1152</v>
      </c>
      <c r="AG58" s="165">
        <v>1</v>
      </c>
      <c r="AJ58" s="13" t="s">
        <v>1405</v>
      </c>
      <c r="AK58" s="13" t="s">
        <v>48</v>
      </c>
      <c r="AL58" s="13" t="s">
        <v>1562</v>
      </c>
      <c r="AM58" s="13" t="s">
        <v>1573</v>
      </c>
      <c r="AN58" s="13">
        <v>2</v>
      </c>
      <c r="AQ58" s="13" t="s">
        <v>48</v>
      </c>
      <c r="AR58" s="13" t="s">
        <v>1510</v>
      </c>
      <c r="AS58" s="13" t="s">
        <v>1716</v>
      </c>
      <c r="AT58" s="13" t="s">
        <v>1721</v>
      </c>
      <c r="AU58" s="13">
        <v>3</v>
      </c>
      <c r="AY58" s="13" t="s">
        <v>416</v>
      </c>
      <c r="AZ58" s="13" t="s">
        <v>1510</v>
      </c>
      <c r="BA58" s="13" t="s">
        <v>1974</v>
      </c>
      <c r="BB58" s="13" t="s">
        <v>1986</v>
      </c>
      <c r="BC58" s="13">
        <v>1</v>
      </c>
      <c r="BG58" s="13" t="s">
        <v>731</v>
      </c>
      <c r="BH58" s="13" t="s">
        <v>1510</v>
      </c>
      <c r="BI58" s="13" t="s">
        <v>1974</v>
      </c>
      <c r="BJ58" s="13" t="s">
        <v>2212</v>
      </c>
      <c r="BK58" s="13">
        <v>2</v>
      </c>
      <c r="BP58" s="157"/>
      <c r="BQ58" s="157"/>
      <c r="BR58" s="157"/>
      <c r="BS58" s="158" t="s">
        <v>2389</v>
      </c>
      <c r="BT58" s="165">
        <v>2</v>
      </c>
    </row>
    <row r="59" spans="1:72">
      <c r="A59" s="157"/>
      <c r="B59" s="157"/>
      <c r="C59" s="157"/>
      <c r="D59" s="157"/>
      <c r="E59" s="158" t="s">
        <v>244</v>
      </c>
      <c r="F59" s="165">
        <v>2</v>
      </c>
      <c r="G59" s="8"/>
      <c r="H59" s="8"/>
      <c r="I59" s="8"/>
      <c r="J59" s="8" t="s">
        <v>48</v>
      </c>
      <c r="K59" s="8" t="s">
        <v>49</v>
      </c>
      <c r="L59" s="8" t="s">
        <v>399</v>
      </c>
      <c r="M59" s="8" t="s">
        <v>404</v>
      </c>
      <c r="N59" s="8">
        <v>2</v>
      </c>
      <c r="Q59" s="13" t="s">
        <v>416</v>
      </c>
      <c r="R59" s="13" t="s">
        <v>49</v>
      </c>
      <c r="S59" s="13" t="s">
        <v>58</v>
      </c>
      <c r="T59" s="13" t="s">
        <v>530</v>
      </c>
      <c r="U59" s="13">
        <v>1</v>
      </c>
      <c r="W59" s="13" t="s">
        <v>731</v>
      </c>
      <c r="X59" s="13" t="s">
        <v>732</v>
      </c>
      <c r="Y59" s="13" t="s">
        <v>567</v>
      </c>
      <c r="Z59" s="13" t="s">
        <v>743</v>
      </c>
      <c r="AA59" s="13">
        <v>3</v>
      </c>
      <c r="AC59" s="157"/>
      <c r="AD59" s="157"/>
      <c r="AE59" s="157"/>
      <c r="AF59" s="158" t="s">
        <v>1160</v>
      </c>
      <c r="AG59" s="165">
        <v>1</v>
      </c>
      <c r="AJ59" s="13" t="s">
        <v>1405</v>
      </c>
      <c r="AK59" s="13" t="s">
        <v>48</v>
      </c>
      <c r="AL59" s="13" t="s">
        <v>1562</v>
      </c>
      <c r="AM59" s="13" t="s">
        <v>1563</v>
      </c>
      <c r="AN59" s="13">
        <v>2</v>
      </c>
      <c r="AQ59" s="13" t="s">
        <v>48</v>
      </c>
      <c r="AR59" s="13" t="s">
        <v>1510</v>
      </c>
      <c r="AS59" s="13" t="s">
        <v>1716</v>
      </c>
      <c r="AT59" s="13" t="s">
        <v>1726</v>
      </c>
      <c r="AU59" s="13">
        <v>2</v>
      </c>
      <c r="AY59" s="13" t="s">
        <v>416</v>
      </c>
      <c r="AZ59" s="13" t="s">
        <v>1510</v>
      </c>
      <c r="BA59" s="13" t="s">
        <v>1936</v>
      </c>
      <c r="BB59" s="13" t="s">
        <v>1956</v>
      </c>
      <c r="BC59" s="13">
        <v>1</v>
      </c>
      <c r="BG59" s="13" t="s">
        <v>731</v>
      </c>
      <c r="BH59" s="13" t="s">
        <v>1510</v>
      </c>
      <c r="BI59" s="13" t="s">
        <v>1974</v>
      </c>
      <c r="BJ59" s="13" t="s">
        <v>2225</v>
      </c>
      <c r="BK59" s="13">
        <v>1</v>
      </c>
      <c r="BP59" s="157"/>
      <c r="BQ59" s="157"/>
      <c r="BR59" s="157"/>
      <c r="BS59" s="158" t="s">
        <v>2401</v>
      </c>
      <c r="BT59" s="165">
        <v>2</v>
      </c>
    </row>
    <row r="60" spans="1:72">
      <c r="A60" s="157"/>
      <c r="B60" s="157"/>
      <c r="C60" s="157"/>
      <c r="D60" s="157"/>
      <c r="E60" s="158" t="s">
        <v>237</v>
      </c>
      <c r="F60" s="165">
        <v>3</v>
      </c>
      <c r="G60" s="8"/>
      <c r="H60" s="8"/>
      <c r="I60" s="8"/>
      <c r="J60" s="8" t="s">
        <v>48</v>
      </c>
      <c r="K60" s="8" t="s">
        <v>49</v>
      </c>
      <c r="L60" s="8" t="s">
        <v>399</v>
      </c>
      <c r="M60" s="8" t="s">
        <v>400</v>
      </c>
      <c r="N60" s="8">
        <v>3</v>
      </c>
      <c r="Q60" s="13" t="s">
        <v>416</v>
      </c>
      <c r="R60" s="13" t="s">
        <v>49</v>
      </c>
      <c r="S60" s="13" t="s">
        <v>58</v>
      </c>
      <c r="T60" s="13" t="s">
        <v>526</v>
      </c>
      <c r="U60" s="13">
        <v>3</v>
      </c>
      <c r="W60" s="13" t="s">
        <v>731</v>
      </c>
      <c r="X60" s="13" t="s">
        <v>732</v>
      </c>
      <c r="Y60" s="13" t="s">
        <v>567</v>
      </c>
      <c r="Z60" s="13" t="s">
        <v>437</v>
      </c>
      <c r="AA60" s="13">
        <v>2</v>
      </c>
      <c r="AC60" s="157"/>
      <c r="AD60" s="157"/>
      <c r="AE60" s="157"/>
      <c r="AF60" s="158" t="s">
        <v>1157</v>
      </c>
      <c r="AG60" s="165">
        <v>2</v>
      </c>
      <c r="AJ60" s="13" t="s">
        <v>1405</v>
      </c>
      <c r="AK60" s="13" t="s">
        <v>48</v>
      </c>
      <c r="AL60" s="13" t="s">
        <v>1562</v>
      </c>
      <c r="AM60" s="13" t="s">
        <v>1578</v>
      </c>
      <c r="AN60" s="13">
        <v>2</v>
      </c>
      <c r="AQ60" s="13" t="s">
        <v>48</v>
      </c>
      <c r="AR60" s="13" t="s">
        <v>1510</v>
      </c>
      <c r="AS60" s="13" t="s">
        <v>1716</v>
      </c>
      <c r="AT60" s="13" t="s">
        <v>1717</v>
      </c>
      <c r="AU60" s="13">
        <v>2</v>
      </c>
      <c r="AY60" s="13" t="s">
        <v>416</v>
      </c>
      <c r="AZ60" s="13" t="s">
        <v>1510</v>
      </c>
      <c r="BA60" s="13" t="s">
        <v>1936</v>
      </c>
      <c r="BB60" s="13" t="s">
        <v>1943</v>
      </c>
      <c r="BC60" s="13">
        <v>1</v>
      </c>
      <c r="BG60" s="13" t="s">
        <v>731</v>
      </c>
      <c r="BH60" s="13" t="s">
        <v>1510</v>
      </c>
      <c r="BI60" s="13" t="s">
        <v>2189</v>
      </c>
      <c r="BJ60" s="13" t="s">
        <v>2190</v>
      </c>
      <c r="BK60" s="13">
        <v>2</v>
      </c>
      <c r="BP60" s="157"/>
      <c r="BQ60" s="157"/>
      <c r="BR60" s="157"/>
      <c r="BS60" s="158" t="s">
        <v>2399</v>
      </c>
      <c r="BT60" s="165">
        <v>1</v>
      </c>
    </row>
    <row r="61" spans="1:72">
      <c r="A61" s="157"/>
      <c r="B61" s="157"/>
      <c r="C61" s="157"/>
      <c r="D61" s="157"/>
      <c r="E61" s="158" t="s">
        <v>241</v>
      </c>
      <c r="F61" s="165">
        <v>2</v>
      </c>
      <c r="G61" s="8"/>
      <c r="H61" s="8"/>
      <c r="I61" s="8"/>
      <c r="J61" s="8" t="s">
        <v>48</v>
      </c>
      <c r="K61" s="8" t="s">
        <v>49</v>
      </c>
      <c r="L61" s="8" t="s">
        <v>399</v>
      </c>
      <c r="M61" s="8" t="s">
        <v>407</v>
      </c>
      <c r="N61" s="8">
        <v>2</v>
      </c>
      <c r="Q61" s="13" t="s">
        <v>416</v>
      </c>
      <c r="R61" s="13" t="s">
        <v>49</v>
      </c>
      <c r="S61" s="13" t="s">
        <v>58</v>
      </c>
      <c r="T61" s="13" t="s">
        <v>522</v>
      </c>
      <c r="U61" s="13">
        <v>3</v>
      </c>
      <c r="W61" s="13" t="s">
        <v>731</v>
      </c>
      <c r="X61" s="13" t="s">
        <v>732</v>
      </c>
      <c r="Y61" s="13" t="s">
        <v>800</v>
      </c>
      <c r="Z61" s="13" t="s">
        <v>807</v>
      </c>
      <c r="AA61" s="13">
        <v>2</v>
      </c>
      <c r="AC61" s="157"/>
      <c r="AD61" s="157"/>
      <c r="AE61" s="156" t="s">
        <v>1094</v>
      </c>
      <c r="AF61" s="156" t="s">
        <v>1099</v>
      </c>
      <c r="AG61" s="164">
        <v>2</v>
      </c>
      <c r="AJ61" s="13" t="s">
        <v>1405</v>
      </c>
      <c r="AK61" s="13" t="s">
        <v>48</v>
      </c>
      <c r="AL61" s="13" t="s">
        <v>1562</v>
      </c>
      <c r="AM61" s="13" t="s">
        <v>1583</v>
      </c>
      <c r="AN61" s="13">
        <v>2</v>
      </c>
      <c r="AQ61" s="13" t="s">
        <v>2764</v>
      </c>
      <c r="AR61" s="13"/>
      <c r="AS61" s="13"/>
      <c r="AT61" s="13"/>
      <c r="AU61" s="13">
        <v>104</v>
      </c>
      <c r="AY61" s="13" t="s">
        <v>416</v>
      </c>
      <c r="AZ61" s="13" t="s">
        <v>1510</v>
      </c>
      <c r="BA61" s="13" t="s">
        <v>1936</v>
      </c>
      <c r="BB61" s="13" t="s">
        <v>1952</v>
      </c>
      <c r="BC61" s="13">
        <v>3</v>
      </c>
      <c r="BG61" s="13" t="s">
        <v>731</v>
      </c>
      <c r="BH61" s="13" t="s">
        <v>1510</v>
      </c>
      <c r="BI61" s="13" t="s">
        <v>2189</v>
      </c>
      <c r="BJ61" s="13" t="s">
        <v>2201</v>
      </c>
      <c r="BK61" s="13">
        <v>2</v>
      </c>
      <c r="BP61" s="157"/>
      <c r="BQ61" s="157"/>
      <c r="BR61" s="157"/>
      <c r="BS61" s="158" t="s">
        <v>2404</v>
      </c>
      <c r="BT61" s="165">
        <v>2</v>
      </c>
    </row>
    <row r="62" spans="1:72">
      <c r="A62" s="157"/>
      <c r="B62" s="157"/>
      <c r="C62" s="157"/>
      <c r="D62" s="157"/>
      <c r="E62" s="158" t="s">
        <v>233</v>
      </c>
      <c r="F62" s="165">
        <v>3</v>
      </c>
      <c r="G62" s="8"/>
      <c r="H62" s="8"/>
      <c r="I62" s="8"/>
      <c r="J62" s="8" t="s">
        <v>48</v>
      </c>
      <c r="K62" s="8" t="s">
        <v>49</v>
      </c>
      <c r="L62" s="8" t="s">
        <v>399</v>
      </c>
      <c r="M62" s="8" t="s">
        <v>410</v>
      </c>
      <c r="N62" s="8">
        <v>2</v>
      </c>
      <c r="Q62" s="13" t="s">
        <v>416</v>
      </c>
      <c r="R62" s="13" t="s">
        <v>49</v>
      </c>
      <c r="S62" s="13" t="s">
        <v>58</v>
      </c>
      <c r="T62" s="13" t="s">
        <v>520</v>
      </c>
      <c r="U62" s="13">
        <v>1</v>
      </c>
      <c r="W62" s="13" t="s">
        <v>731</v>
      </c>
      <c r="X62" s="13" t="s">
        <v>732</v>
      </c>
      <c r="Y62" s="13" t="s">
        <v>800</v>
      </c>
      <c r="Z62" s="13" t="s">
        <v>817</v>
      </c>
      <c r="AA62" s="13">
        <v>2</v>
      </c>
      <c r="AC62" s="157"/>
      <c r="AD62" s="157"/>
      <c r="AE62" s="157"/>
      <c r="AF62" s="158" t="s">
        <v>1095</v>
      </c>
      <c r="AG62" s="165">
        <v>3</v>
      </c>
      <c r="AJ62" s="13" t="s">
        <v>1405</v>
      </c>
      <c r="AK62" s="13" t="s">
        <v>48</v>
      </c>
      <c r="AL62" s="13" t="s">
        <v>1562</v>
      </c>
      <c r="AM62" s="13" t="s">
        <v>1568</v>
      </c>
      <c r="AN62" s="13">
        <v>2</v>
      </c>
      <c r="AY62" s="13" t="s">
        <v>416</v>
      </c>
      <c r="AZ62" s="13" t="s">
        <v>1510</v>
      </c>
      <c r="BA62" s="13" t="s">
        <v>1936</v>
      </c>
      <c r="BB62" s="13" t="s">
        <v>1949</v>
      </c>
      <c r="BC62" s="13">
        <v>2</v>
      </c>
      <c r="BG62" s="13" t="s">
        <v>731</v>
      </c>
      <c r="BH62" s="13" t="s">
        <v>1510</v>
      </c>
      <c r="BI62" s="13" t="s">
        <v>2189</v>
      </c>
      <c r="BJ62" s="13" t="s">
        <v>2198</v>
      </c>
      <c r="BK62" s="13">
        <v>2</v>
      </c>
      <c r="BP62" s="157"/>
      <c r="BQ62" s="157"/>
      <c r="BR62" s="157"/>
      <c r="BS62" s="158" t="s">
        <v>2392</v>
      </c>
      <c r="BT62" s="165">
        <v>2</v>
      </c>
    </row>
    <row r="63" spans="1:72">
      <c r="A63" s="156" t="s">
        <v>2771</v>
      </c>
      <c r="B63" s="159"/>
      <c r="C63" s="159"/>
      <c r="D63" s="159"/>
      <c r="E63" s="159"/>
      <c r="F63" s="164">
        <v>125</v>
      </c>
      <c r="G63" s="8"/>
      <c r="H63" s="8"/>
      <c r="I63" s="8"/>
      <c r="J63" s="8" t="s">
        <v>48</v>
      </c>
      <c r="K63" s="8" t="s">
        <v>49</v>
      </c>
      <c r="L63" s="8" t="s">
        <v>399</v>
      </c>
      <c r="M63" s="8" t="s">
        <v>413</v>
      </c>
      <c r="N63" s="8">
        <v>1</v>
      </c>
      <c r="Q63" s="13" t="s">
        <v>416</v>
      </c>
      <c r="R63" s="13" t="s">
        <v>49</v>
      </c>
      <c r="S63" s="13" t="s">
        <v>58</v>
      </c>
      <c r="T63" s="13" t="s">
        <v>518</v>
      </c>
      <c r="U63" s="13">
        <v>1</v>
      </c>
      <c r="W63" s="13" t="s">
        <v>731</v>
      </c>
      <c r="X63" s="13" t="s">
        <v>732</v>
      </c>
      <c r="Y63" s="13" t="s">
        <v>800</v>
      </c>
      <c r="Z63" s="13" t="s">
        <v>823</v>
      </c>
      <c r="AA63" s="13">
        <v>3</v>
      </c>
      <c r="AC63" s="157"/>
      <c r="AD63" s="157"/>
      <c r="AE63" s="157"/>
      <c r="AF63" s="158" t="s">
        <v>1105</v>
      </c>
      <c r="AG63" s="165">
        <v>2</v>
      </c>
      <c r="AJ63" s="13" t="s">
        <v>2770</v>
      </c>
      <c r="AK63" s="13"/>
      <c r="AL63" s="13"/>
      <c r="AM63" s="13"/>
      <c r="AN63" s="13">
        <v>105</v>
      </c>
      <c r="AY63" s="13" t="s">
        <v>416</v>
      </c>
      <c r="AZ63" s="13" t="s">
        <v>1510</v>
      </c>
      <c r="BA63" s="13" t="s">
        <v>1936</v>
      </c>
      <c r="BB63" s="13" t="s">
        <v>1940</v>
      </c>
      <c r="BC63" s="13">
        <v>3</v>
      </c>
      <c r="BG63" s="13" t="s">
        <v>731</v>
      </c>
      <c r="BH63" s="13" t="s">
        <v>1510</v>
      </c>
      <c r="BI63" s="13" t="s">
        <v>2189</v>
      </c>
      <c r="BJ63" s="13" t="s">
        <v>2195</v>
      </c>
      <c r="BK63" s="13">
        <v>2</v>
      </c>
      <c r="BP63" s="157"/>
      <c r="BQ63" s="157"/>
      <c r="BR63" s="156" t="s">
        <v>2355</v>
      </c>
      <c r="BS63" s="156" t="s">
        <v>2372</v>
      </c>
      <c r="BT63" s="164">
        <v>1</v>
      </c>
    </row>
    <row r="64" spans="1:72">
      <c r="A64" s="156" t="s">
        <v>2772</v>
      </c>
      <c r="B64" s="156" t="s">
        <v>2772</v>
      </c>
      <c r="C64" s="156" t="s">
        <v>2772</v>
      </c>
      <c r="D64" s="156" t="s">
        <v>2772</v>
      </c>
      <c r="E64" s="156" t="s">
        <v>2772</v>
      </c>
      <c r="F64" s="164"/>
      <c r="G64" s="8"/>
      <c r="H64" s="8"/>
      <c r="I64" s="8"/>
      <c r="J64" s="8" t="s">
        <v>48</v>
      </c>
      <c r="K64" s="8" t="s">
        <v>49</v>
      </c>
      <c r="L64" s="8" t="s">
        <v>318</v>
      </c>
      <c r="M64" s="8" t="s">
        <v>349</v>
      </c>
      <c r="N64" s="8">
        <v>2</v>
      </c>
      <c r="Q64" s="13" t="s">
        <v>416</v>
      </c>
      <c r="R64" s="13" t="s">
        <v>49</v>
      </c>
      <c r="S64" s="13" t="s">
        <v>151</v>
      </c>
      <c r="T64" s="13" t="s">
        <v>623</v>
      </c>
      <c r="U64" s="13">
        <v>2</v>
      </c>
      <c r="W64" s="13" t="s">
        <v>731</v>
      </c>
      <c r="X64" s="13" t="s">
        <v>732</v>
      </c>
      <c r="Y64" s="13" t="s">
        <v>800</v>
      </c>
      <c r="Z64" s="13" t="s">
        <v>810</v>
      </c>
      <c r="AA64" s="13">
        <v>3</v>
      </c>
      <c r="AC64" s="157"/>
      <c r="AD64" s="157"/>
      <c r="AE64" s="157"/>
      <c r="AF64" s="158" t="s">
        <v>1102</v>
      </c>
      <c r="AG64" s="165">
        <v>2</v>
      </c>
      <c r="AY64" s="13" t="s">
        <v>416</v>
      </c>
      <c r="AZ64" s="13" t="s">
        <v>1510</v>
      </c>
      <c r="BA64" s="13" t="s">
        <v>1936</v>
      </c>
      <c r="BB64" s="13" t="s">
        <v>1945</v>
      </c>
      <c r="BC64" s="13">
        <v>3</v>
      </c>
      <c r="BG64" s="13" t="s">
        <v>731</v>
      </c>
      <c r="BH64" s="13" t="s">
        <v>1510</v>
      </c>
      <c r="BI64" s="13" t="s">
        <v>2189</v>
      </c>
      <c r="BJ64" s="13" t="s">
        <v>2204</v>
      </c>
      <c r="BK64" s="13">
        <v>2</v>
      </c>
      <c r="BP64" s="157"/>
      <c r="BQ64" s="157"/>
      <c r="BR64" s="157"/>
      <c r="BS64" s="158" t="s">
        <v>2358</v>
      </c>
      <c r="BT64" s="165">
        <v>2</v>
      </c>
    </row>
    <row r="65" spans="1:72">
      <c r="A65" s="160" t="s">
        <v>2773</v>
      </c>
      <c r="B65" s="161"/>
      <c r="C65" s="161"/>
      <c r="D65" s="161"/>
      <c r="E65" s="161"/>
      <c r="F65" s="166"/>
      <c r="G65" s="8"/>
      <c r="H65" s="8"/>
      <c r="I65" s="8"/>
      <c r="J65" s="8" t="s">
        <v>48</v>
      </c>
      <c r="K65" s="8" t="s">
        <v>49</v>
      </c>
      <c r="L65" s="8" t="s">
        <v>318</v>
      </c>
      <c r="M65" s="8" t="s">
        <v>334</v>
      </c>
      <c r="N65" s="8">
        <v>3</v>
      </c>
      <c r="Q65" s="13" t="s">
        <v>416</v>
      </c>
      <c r="R65" s="13" t="s">
        <v>49</v>
      </c>
      <c r="S65" s="13" t="s">
        <v>151</v>
      </c>
      <c r="T65" s="13" t="s">
        <v>613</v>
      </c>
      <c r="U65" s="13">
        <v>1</v>
      </c>
      <c r="W65" s="13" t="s">
        <v>731</v>
      </c>
      <c r="X65" s="13" t="s">
        <v>732</v>
      </c>
      <c r="Y65" s="13" t="s">
        <v>800</v>
      </c>
      <c r="Z65" s="13" t="s">
        <v>814</v>
      </c>
      <c r="AA65" s="13">
        <v>2</v>
      </c>
      <c r="AC65" s="156" t="s">
        <v>2772</v>
      </c>
      <c r="AD65" s="156" t="s">
        <v>2772</v>
      </c>
      <c r="AE65" s="156" t="s">
        <v>2772</v>
      </c>
      <c r="AF65" s="156" t="s">
        <v>2772</v>
      </c>
      <c r="AG65" s="164"/>
      <c r="AY65" s="13" t="s">
        <v>416</v>
      </c>
      <c r="AZ65" s="13" t="s">
        <v>1510</v>
      </c>
      <c r="BA65" s="13" t="s">
        <v>1936</v>
      </c>
      <c r="BB65" s="13" t="s">
        <v>1937</v>
      </c>
      <c r="BC65" s="13">
        <v>2</v>
      </c>
      <c r="BG65" s="13" t="s">
        <v>731</v>
      </c>
      <c r="BH65" s="13" t="s">
        <v>1510</v>
      </c>
      <c r="BI65" s="13" t="s">
        <v>2189</v>
      </c>
      <c r="BJ65" s="13" t="s">
        <v>2207</v>
      </c>
      <c r="BK65" s="13">
        <v>2</v>
      </c>
      <c r="BP65" s="157"/>
      <c r="BQ65" s="157"/>
      <c r="BR65" s="157"/>
      <c r="BS65" s="158" t="s">
        <v>2374</v>
      </c>
      <c r="BT65" s="165">
        <v>1</v>
      </c>
    </row>
    <row r="66" spans="1:72">
      <c r="G66" s="8"/>
      <c r="H66" s="8"/>
      <c r="I66" s="8"/>
      <c r="J66" s="8" t="s">
        <v>48</v>
      </c>
      <c r="K66" s="8" t="s">
        <v>49</v>
      </c>
      <c r="L66" s="8" t="s">
        <v>318</v>
      </c>
      <c r="M66" s="8" t="s">
        <v>330</v>
      </c>
      <c r="N66" s="8">
        <v>3</v>
      </c>
      <c r="Q66" s="13" t="s">
        <v>416</v>
      </c>
      <c r="R66" s="13" t="s">
        <v>49</v>
      </c>
      <c r="S66" s="13" t="s">
        <v>151</v>
      </c>
      <c r="T66" s="13" t="s">
        <v>615</v>
      </c>
      <c r="U66" s="13">
        <v>1</v>
      </c>
      <c r="W66" s="13" t="s">
        <v>731</v>
      </c>
      <c r="X66" s="13" t="s">
        <v>732</v>
      </c>
      <c r="Y66" s="13" t="s">
        <v>800</v>
      </c>
      <c r="Z66" s="13" t="s">
        <v>827</v>
      </c>
      <c r="AA66" s="13">
        <v>2</v>
      </c>
      <c r="AC66" s="160" t="s">
        <v>2764</v>
      </c>
      <c r="AD66" s="161"/>
      <c r="AE66" s="161"/>
      <c r="AF66" s="161"/>
      <c r="AG66" s="166">
        <v>118</v>
      </c>
      <c r="AY66" s="13" t="s">
        <v>2764</v>
      </c>
      <c r="AZ66" s="13"/>
      <c r="BA66" s="13"/>
      <c r="BB66" s="13"/>
      <c r="BC66" s="13">
        <v>133</v>
      </c>
      <c r="BG66" s="13" t="s">
        <v>731</v>
      </c>
      <c r="BH66" s="13" t="s">
        <v>1510</v>
      </c>
      <c r="BI66" s="13" t="s">
        <v>2189</v>
      </c>
      <c r="BJ66" s="13" t="s">
        <v>2193</v>
      </c>
      <c r="BK66" s="13">
        <v>1</v>
      </c>
      <c r="BP66" s="157"/>
      <c r="BQ66" s="157"/>
      <c r="BR66" s="157"/>
      <c r="BS66" s="158" t="s">
        <v>2368</v>
      </c>
      <c r="BT66" s="165">
        <v>3</v>
      </c>
    </row>
    <row r="67" spans="1:72">
      <c r="G67" s="8"/>
      <c r="H67" s="8"/>
      <c r="I67" s="8"/>
      <c r="J67" s="8" t="s">
        <v>48</v>
      </c>
      <c r="K67" s="8" t="s">
        <v>49</v>
      </c>
      <c r="L67" s="8" t="s">
        <v>318</v>
      </c>
      <c r="M67" s="8" t="s">
        <v>338</v>
      </c>
      <c r="N67" s="8">
        <v>2</v>
      </c>
      <c r="Q67" s="13" t="s">
        <v>416</v>
      </c>
      <c r="R67" s="13" t="s">
        <v>49</v>
      </c>
      <c r="S67" s="13" t="s">
        <v>151</v>
      </c>
      <c r="T67" s="13" t="s">
        <v>626</v>
      </c>
      <c r="U67" s="13">
        <v>1</v>
      </c>
      <c r="W67" s="13" t="s">
        <v>731</v>
      </c>
      <c r="X67" s="13" t="s">
        <v>732</v>
      </c>
      <c r="Y67" s="13" t="s">
        <v>800</v>
      </c>
      <c r="Z67" s="13" t="s">
        <v>801</v>
      </c>
      <c r="AA67" s="13">
        <v>2</v>
      </c>
      <c r="BG67" s="13" t="s">
        <v>731</v>
      </c>
      <c r="BH67" s="13" t="s">
        <v>1510</v>
      </c>
      <c r="BI67" s="13" t="s">
        <v>2157</v>
      </c>
      <c r="BJ67" s="13" t="s">
        <v>2167</v>
      </c>
      <c r="BK67" s="13">
        <v>3</v>
      </c>
      <c r="BP67" s="157"/>
      <c r="BQ67" s="157"/>
      <c r="BR67" s="157"/>
      <c r="BS67" s="158" t="s">
        <v>2365</v>
      </c>
      <c r="BT67" s="165">
        <v>2</v>
      </c>
    </row>
    <row r="68" spans="1:72">
      <c r="G68" s="8"/>
      <c r="H68" s="8"/>
      <c r="I68" s="8"/>
      <c r="J68" s="8" t="s">
        <v>48</v>
      </c>
      <c r="K68" s="8" t="s">
        <v>49</v>
      </c>
      <c r="L68" s="8" t="s">
        <v>318</v>
      </c>
      <c r="M68" s="8" t="s">
        <v>322</v>
      </c>
      <c r="N68" s="8">
        <v>3</v>
      </c>
      <c r="Q68" s="13" t="s">
        <v>416</v>
      </c>
      <c r="R68" s="13" t="s">
        <v>49</v>
      </c>
      <c r="S68" s="13" t="s">
        <v>151</v>
      </c>
      <c r="T68" s="13" t="s">
        <v>617</v>
      </c>
      <c r="U68" s="13">
        <v>3</v>
      </c>
      <c r="W68" s="13" t="s">
        <v>731</v>
      </c>
      <c r="X68" s="13" t="s">
        <v>732</v>
      </c>
      <c r="Y68" s="13" t="s">
        <v>800</v>
      </c>
      <c r="Z68" s="13" t="s">
        <v>820</v>
      </c>
      <c r="AA68" s="13">
        <v>2</v>
      </c>
      <c r="BG68" s="13" t="s">
        <v>731</v>
      </c>
      <c r="BH68" s="13" t="s">
        <v>1510</v>
      </c>
      <c r="BI68" s="13" t="s">
        <v>2157</v>
      </c>
      <c r="BJ68" s="13" t="s">
        <v>2171</v>
      </c>
      <c r="BK68" s="13">
        <v>2</v>
      </c>
      <c r="BP68" s="157"/>
      <c r="BQ68" s="157"/>
      <c r="BR68" s="157"/>
      <c r="BS68" s="158" t="s">
        <v>2363</v>
      </c>
      <c r="BT68" s="165">
        <v>1</v>
      </c>
    </row>
    <row r="69" spans="1:72">
      <c r="G69" s="8"/>
      <c r="H69" s="8"/>
      <c r="I69" s="8"/>
      <c r="J69" s="8" t="s">
        <v>48</v>
      </c>
      <c r="K69" s="8" t="s">
        <v>49</v>
      </c>
      <c r="L69" s="8" t="s">
        <v>318</v>
      </c>
      <c r="M69" s="8" t="s">
        <v>328</v>
      </c>
      <c r="N69" s="8">
        <v>1</v>
      </c>
      <c r="Q69" s="13" t="s">
        <v>416</v>
      </c>
      <c r="R69" s="13" t="s">
        <v>49</v>
      </c>
      <c r="S69" s="13" t="s">
        <v>151</v>
      </c>
      <c r="T69" s="13" t="s">
        <v>628</v>
      </c>
      <c r="U69" s="13">
        <v>2</v>
      </c>
      <c r="W69" s="13" t="s">
        <v>731</v>
      </c>
      <c r="X69" s="13" t="s">
        <v>732</v>
      </c>
      <c r="Y69" s="13" t="s">
        <v>800</v>
      </c>
      <c r="Z69" s="13" t="s">
        <v>804</v>
      </c>
      <c r="AA69" s="13">
        <v>2</v>
      </c>
      <c r="BG69" s="13" t="s">
        <v>731</v>
      </c>
      <c r="BH69" s="13" t="s">
        <v>1510</v>
      </c>
      <c r="BI69" s="13" t="s">
        <v>2157</v>
      </c>
      <c r="BJ69" s="13" t="s">
        <v>2165</v>
      </c>
      <c r="BK69" s="13">
        <v>1</v>
      </c>
      <c r="BP69" s="157"/>
      <c r="BQ69" s="157"/>
      <c r="BR69" s="157"/>
      <c r="BS69" s="158" t="s">
        <v>2360</v>
      </c>
      <c r="BT69" s="165">
        <v>3</v>
      </c>
    </row>
    <row r="70" spans="1:72">
      <c r="G70" s="8"/>
      <c r="H70" s="8"/>
      <c r="I70" s="8"/>
      <c r="J70" s="8" t="s">
        <v>48</v>
      </c>
      <c r="K70" s="8" t="s">
        <v>49</v>
      </c>
      <c r="L70" s="8" t="s">
        <v>318</v>
      </c>
      <c r="M70" s="8" t="s">
        <v>319</v>
      </c>
      <c r="N70" s="8">
        <v>2</v>
      </c>
      <c r="Q70" s="13" t="s">
        <v>416</v>
      </c>
      <c r="R70" s="13" t="s">
        <v>49</v>
      </c>
      <c r="S70" s="13" t="s">
        <v>151</v>
      </c>
      <c r="T70" s="13" t="s">
        <v>621</v>
      </c>
      <c r="U70" s="13">
        <v>1</v>
      </c>
      <c r="W70" s="13" t="s">
        <v>731</v>
      </c>
      <c r="X70" s="13" t="s">
        <v>732</v>
      </c>
      <c r="Y70" s="13" t="s">
        <v>766</v>
      </c>
      <c r="Z70" s="13" t="s">
        <v>767</v>
      </c>
      <c r="AA70" s="13">
        <v>2</v>
      </c>
      <c r="BG70" s="13" t="s">
        <v>731</v>
      </c>
      <c r="BH70" s="13" t="s">
        <v>1510</v>
      </c>
      <c r="BI70" s="13" t="s">
        <v>2157</v>
      </c>
      <c r="BJ70" s="13" t="s">
        <v>2174</v>
      </c>
      <c r="BK70" s="13">
        <v>3</v>
      </c>
      <c r="BP70" s="157"/>
      <c r="BQ70" s="157"/>
      <c r="BR70" s="157"/>
      <c r="BS70" s="158" t="s">
        <v>2356</v>
      </c>
      <c r="BT70" s="165">
        <v>2</v>
      </c>
    </row>
    <row r="71" spans="1:72">
      <c r="G71" s="8"/>
      <c r="H71" s="8"/>
      <c r="I71" s="8"/>
      <c r="J71" s="8" t="s">
        <v>48</v>
      </c>
      <c r="K71" s="8" t="s">
        <v>49</v>
      </c>
      <c r="L71" s="8" t="s">
        <v>318</v>
      </c>
      <c r="M71" s="8" t="s">
        <v>74</v>
      </c>
      <c r="N71" s="8">
        <v>2</v>
      </c>
      <c r="Q71" s="13" t="s">
        <v>416</v>
      </c>
      <c r="R71" s="13" t="s">
        <v>49</v>
      </c>
      <c r="S71" s="13" t="s">
        <v>567</v>
      </c>
      <c r="T71" s="13" t="s">
        <v>586</v>
      </c>
      <c r="U71" s="13">
        <v>1</v>
      </c>
      <c r="W71" s="13" t="s">
        <v>731</v>
      </c>
      <c r="X71" s="13" t="s">
        <v>732</v>
      </c>
      <c r="Y71" s="13" t="s">
        <v>766</v>
      </c>
      <c r="Z71" s="13" t="s">
        <v>779</v>
      </c>
      <c r="AA71" s="13">
        <v>2</v>
      </c>
      <c r="BG71" s="13" t="s">
        <v>731</v>
      </c>
      <c r="BH71" s="13" t="s">
        <v>1510</v>
      </c>
      <c r="BI71" s="13" t="s">
        <v>2157</v>
      </c>
      <c r="BJ71" s="13" t="s">
        <v>2161</v>
      </c>
      <c r="BK71" s="13">
        <v>1</v>
      </c>
      <c r="BP71" s="157"/>
      <c r="BQ71" s="157"/>
      <c r="BR71" s="156" t="s">
        <v>2157</v>
      </c>
      <c r="BS71" s="156" t="s">
        <v>2432</v>
      </c>
      <c r="BT71" s="164">
        <v>3</v>
      </c>
    </row>
    <row r="72" spans="1:72">
      <c r="G72" s="8"/>
      <c r="H72" s="8"/>
      <c r="I72" s="8"/>
      <c r="J72" s="8" t="s">
        <v>48</v>
      </c>
      <c r="K72" s="8" t="s">
        <v>49</v>
      </c>
      <c r="L72" s="8" t="s">
        <v>318</v>
      </c>
      <c r="M72" s="8" t="s">
        <v>72</v>
      </c>
      <c r="N72" s="8">
        <v>2</v>
      </c>
      <c r="Q72" s="13" t="s">
        <v>416</v>
      </c>
      <c r="R72" s="13" t="s">
        <v>49</v>
      </c>
      <c r="S72" s="13" t="s">
        <v>567</v>
      </c>
      <c r="T72" s="13" t="s">
        <v>581</v>
      </c>
      <c r="U72" s="13">
        <v>1</v>
      </c>
      <c r="W72" s="13" t="s">
        <v>731</v>
      </c>
      <c r="X72" s="13" t="s">
        <v>732</v>
      </c>
      <c r="Y72" s="13" t="s">
        <v>766</v>
      </c>
      <c r="Z72" s="13" t="s">
        <v>782</v>
      </c>
      <c r="AA72" s="13">
        <v>1</v>
      </c>
      <c r="BG72" s="13" t="s">
        <v>731</v>
      </c>
      <c r="BH72" s="13" t="s">
        <v>1510</v>
      </c>
      <c r="BI72" s="13" t="s">
        <v>2157</v>
      </c>
      <c r="BJ72" s="13" t="s">
        <v>2163</v>
      </c>
      <c r="BK72" s="13">
        <v>1</v>
      </c>
      <c r="BP72" s="157"/>
      <c r="BQ72" s="157"/>
      <c r="BR72" s="157"/>
      <c r="BS72" s="158" t="s">
        <v>2428</v>
      </c>
      <c r="BT72" s="165">
        <v>3</v>
      </c>
    </row>
    <row r="73" spans="1:72">
      <c r="G73" s="8"/>
      <c r="H73" s="8"/>
      <c r="I73" s="8"/>
      <c r="J73" s="8" t="s">
        <v>48</v>
      </c>
      <c r="K73" s="8" t="s">
        <v>49</v>
      </c>
      <c r="L73" s="8" t="s">
        <v>318</v>
      </c>
      <c r="M73" s="8" t="s">
        <v>79</v>
      </c>
      <c r="N73" s="8">
        <v>3</v>
      </c>
      <c r="Q73" s="13" t="s">
        <v>416</v>
      </c>
      <c r="R73" s="13" t="s">
        <v>49</v>
      </c>
      <c r="S73" s="13" t="s">
        <v>567</v>
      </c>
      <c r="T73" s="13" t="s">
        <v>593</v>
      </c>
      <c r="U73" s="13">
        <v>2</v>
      </c>
      <c r="W73" s="13" t="s">
        <v>731</v>
      </c>
      <c r="X73" s="13" t="s">
        <v>732</v>
      </c>
      <c r="Y73" s="13" t="s">
        <v>766</v>
      </c>
      <c r="Z73" s="13" t="s">
        <v>786</v>
      </c>
      <c r="AA73" s="13">
        <v>1</v>
      </c>
      <c r="BG73" s="13" t="s">
        <v>731</v>
      </c>
      <c r="BH73" s="13" t="s">
        <v>1510</v>
      </c>
      <c r="BI73" s="13" t="s">
        <v>2157</v>
      </c>
      <c r="BJ73" s="13" t="s">
        <v>2158</v>
      </c>
      <c r="BK73" s="13">
        <v>2</v>
      </c>
      <c r="BP73" s="157"/>
      <c r="BQ73" s="157"/>
      <c r="BR73" s="157"/>
      <c r="BS73" s="158" t="s">
        <v>2424</v>
      </c>
      <c r="BT73" s="165">
        <v>2</v>
      </c>
    </row>
    <row r="74" spans="1:72">
      <c r="G74" s="8"/>
      <c r="H74" s="8"/>
      <c r="I74" s="8"/>
      <c r="J74" s="8" t="s">
        <v>48</v>
      </c>
      <c r="K74" s="8" t="s">
        <v>49</v>
      </c>
      <c r="L74" s="8" t="s">
        <v>318</v>
      </c>
      <c r="M74" s="8" t="s">
        <v>326</v>
      </c>
      <c r="N74" s="8">
        <v>2</v>
      </c>
      <c r="Q74" s="13" t="s">
        <v>416</v>
      </c>
      <c r="R74" s="13" t="s">
        <v>49</v>
      </c>
      <c r="S74" s="13" t="s">
        <v>567</v>
      </c>
      <c r="T74" s="13" t="s">
        <v>572</v>
      </c>
      <c r="U74" s="13">
        <v>1</v>
      </c>
      <c r="W74" s="13" t="s">
        <v>731</v>
      </c>
      <c r="X74" s="13" t="s">
        <v>732</v>
      </c>
      <c r="Y74" s="13" t="s">
        <v>766</v>
      </c>
      <c r="Z74" s="13" t="s">
        <v>784</v>
      </c>
      <c r="AA74" s="13">
        <v>1</v>
      </c>
      <c r="BG74" s="13" t="s">
        <v>2764</v>
      </c>
      <c r="BH74" s="13"/>
      <c r="BI74" s="13"/>
      <c r="BJ74" s="13"/>
      <c r="BK74" s="13">
        <v>129</v>
      </c>
      <c r="BP74" s="157"/>
      <c r="BQ74" s="157"/>
      <c r="BR74" s="157"/>
      <c r="BS74" s="158" t="s">
        <v>2163</v>
      </c>
      <c r="BT74" s="165">
        <v>2</v>
      </c>
    </row>
    <row r="75" spans="1:72">
      <c r="G75" s="8"/>
      <c r="H75" s="8"/>
      <c r="I75" s="8"/>
      <c r="J75" s="8" t="s">
        <v>48</v>
      </c>
      <c r="K75" s="8" t="s">
        <v>49</v>
      </c>
      <c r="L75" s="8" t="s">
        <v>318</v>
      </c>
      <c r="M75" s="8" t="s">
        <v>345</v>
      </c>
      <c r="N75" s="8">
        <v>3</v>
      </c>
      <c r="Q75" s="13" t="s">
        <v>416</v>
      </c>
      <c r="R75" s="13" t="s">
        <v>49</v>
      </c>
      <c r="S75" s="13" t="s">
        <v>567</v>
      </c>
      <c r="T75" s="13" t="s">
        <v>568</v>
      </c>
      <c r="U75" s="13">
        <v>3</v>
      </c>
      <c r="W75" s="13" t="s">
        <v>731</v>
      </c>
      <c r="X75" s="13" t="s">
        <v>732</v>
      </c>
      <c r="Y75" s="13" t="s">
        <v>766</v>
      </c>
      <c r="Z75" s="13" t="s">
        <v>788</v>
      </c>
      <c r="AA75" s="13">
        <v>1</v>
      </c>
      <c r="BP75" s="157"/>
      <c r="BQ75" s="157"/>
      <c r="BR75" s="157"/>
      <c r="BS75" s="158" t="s">
        <v>2436</v>
      </c>
      <c r="BT75" s="165">
        <v>2</v>
      </c>
    </row>
    <row r="76" spans="1:72">
      <c r="G76" s="8"/>
      <c r="H76" s="8"/>
      <c r="I76" s="8"/>
      <c r="J76" s="8" t="s">
        <v>48</v>
      </c>
      <c r="K76" s="8" t="s">
        <v>49</v>
      </c>
      <c r="L76" s="8" t="s">
        <v>318</v>
      </c>
      <c r="M76" s="8" t="s">
        <v>341</v>
      </c>
      <c r="N76" s="8">
        <v>3</v>
      </c>
      <c r="Q76" s="13" t="s">
        <v>416</v>
      </c>
      <c r="R76" s="13" t="s">
        <v>49</v>
      </c>
      <c r="S76" s="13" t="s">
        <v>567</v>
      </c>
      <c r="T76" s="13" t="s">
        <v>591</v>
      </c>
      <c r="U76" s="13">
        <v>1</v>
      </c>
      <c r="W76" s="13" t="s">
        <v>731</v>
      </c>
      <c r="X76" s="13" t="s">
        <v>732</v>
      </c>
      <c r="Y76" s="13" t="s">
        <v>766</v>
      </c>
      <c r="Z76" s="13" t="s">
        <v>774</v>
      </c>
      <c r="AA76" s="13">
        <v>2</v>
      </c>
      <c r="BP76" s="157"/>
      <c r="BQ76" s="157"/>
      <c r="BR76" s="157"/>
      <c r="BS76" s="158" t="s">
        <v>2439</v>
      </c>
      <c r="BT76" s="165">
        <v>2</v>
      </c>
    </row>
    <row r="77" spans="1:72">
      <c r="G77" s="8"/>
      <c r="H77" s="8"/>
      <c r="I77" s="8"/>
      <c r="J77" s="8" t="s">
        <v>48</v>
      </c>
      <c r="K77" s="8" t="s">
        <v>49</v>
      </c>
      <c r="L77" s="8" t="s">
        <v>272</v>
      </c>
      <c r="M77" s="8" t="s">
        <v>273</v>
      </c>
      <c r="N77" s="8">
        <v>3</v>
      </c>
      <c r="Q77" s="13" t="s">
        <v>416</v>
      </c>
      <c r="R77" s="13" t="s">
        <v>49</v>
      </c>
      <c r="S77" s="13" t="s">
        <v>567</v>
      </c>
      <c r="T77" s="13" t="s">
        <v>574</v>
      </c>
      <c r="U77" s="13">
        <v>2</v>
      </c>
      <c r="W77" s="13" t="s">
        <v>731</v>
      </c>
      <c r="X77" s="13" t="s">
        <v>732</v>
      </c>
      <c r="Y77" s="13" t="s">
        <v>766</v>
      </c>
      <c r="Z77" s="13" t="s">
        <v>770</v>
      </c>
      <c r="AA77" s="13">
        <v>3</v>
      </c>
      <c r="BP77" s="157"/>
      <c r="BQ77" s="157"/>
      <c r="BR77" s="156" t="s">
        <v>2410</v>
      </c>
      <c r="BS77" s="156" t="s">
        <v>2420</v>
      </c>
      <c r="BT77" s="164">
        <v>1</v>
      </c>
    </row>
    <row r="78" spans="1:72">
      <c r="G78" s="8"/>
      <c r="H78" s="8"/>
      <c r="I78" s="8"/>
      <c r="J78" s="8" t="s">
        <v>48</v>
      </c>
      <c r="K78" s="8" t="s">
        <v>49</v>
      </c>
      <c r="L78" s="8" t="s">
        <v>272</v>
      </c>
      <c r="M78" s="8" t="s">
        <v>284</v>
      </c>
      <c r="N78" s="8">
        <v>2</v>
      </c>
      <c r="Q78" s="13" t="s">
        <v>416</v>
      </c>
      <c r="R78" s="13" t="s">
        <v>49</v>
      </c>
      <c r="S78" s="13" t="s">
        <v>567</v>
      </c>
      <c r="T78" s="13" t="s">
        <v>583</v>
      </c>
      <c r="U78" s="13">
        <v>2</v>
      </c>
      <c r="W78" s="13" t="s">
        <v>731</v>
      </c>
      <c r="X78" s="13" t="s">
        <v>732</v>
      </c>
      <c r="Y78" s="13" t="s">
        <v>766</v>
      </c>
      <c r="Z78" s="13" t="s">
        <v>777</v>
      </c>
      <c r="AA78" s="13">
        <v>1</v>
      </c>
      <c r="BP78" s="157"/>
      <c r="BQ78" s="157"/>
      <c r="BR78" s="157"/>
      <c r="BS78" s="158" t="s">
        <v>2422</v>
      </c>
      <c r="BT78" s="165">
        <v>1</v>
      </c>
    </row>
    <row r="79" spans="1:72">
      <c r="G79" s="8"/>
      <c r="H79" s="8"/>
      <c r="I79" s="8"/>
      <c r="J79" s="8" t="s">
        <v>48</v>
      </c>
      <c r="K79" s="8" t="s">
        <v>49</v>
      </c>
      <c r="L79" s="8" t="s">
        <v>272</v>
      </c>
      <c r="M79" s="8" t="s">
        <v>280</v>
      </c>
      <c r="N79" s="8">
        <v>3</v>
      </c>
      <c r="Q79" s="13" t="s">
        <v>416</v>
      </c>
      <c r="R79" s="13" t="s">
        <v>49</v>
      </c>
      <c r="S79" s="13" t="s">
        <v>567</v>
      </c>
      <c r="T79" s="13" t="s">
        <v>579</v>
      </c>
      <c r="U79" s="13">
        <v>1</v>
      </c>
      <c r="W79" s="13" t="s">
        <v>2764</v>
      </c>
      <c r="X79" s="13"/>
      <c r="Y79" s="13"/>
      <c r="Z79" s="13"/>
      <c r="AA79" s="13">
        <v>162</v>
      </c>
      <c r="BP79" s="157"/>
      <c r="BQ79" s="157"/>
      <c r="BR79" s="157"/>
      <c r="BS79" s="158" t="s">
        <v>2414</v>
      </c>
      <c r="BT79" s="165">
        <v>2</v>
      </c>
    </row>
    <row r="80" spans="1:72">
      <c r="G80" s="8"/>
      <c r="H80" s="8"/>
      <c r="I80" s="8"/>
      <c r="J80" s="8" t="s">
        <v>48</v>
      </c>
      <c r="K80" s="8" t="s">
        <v>49</v>
      </c>
      <c r="L80" s="8" t="s">
        <v>272</v>
      </c>
      <c r="M80" s="8" t="s">
        <v>277</v>
      </c>
      <c r="N80" s="8">
        <v>2</v>
      </c>
      <c r="Q80" s="13" t="s">
        <v>416</v>
      </c>
      <c r="R80" s="13" t="s">
        <v>49</v>
      </c>
      <c r="S80" s="13" t="s">
        <v>567</v>
      </c>
      <c r="T80" s="13" t="s">
        <v>577</v>
      </c>
      <c r="U80" s="13">
        <v>1</v>
      </c>
      <c r="BP80" s="157"/>
      <c r="BQ80" s="157"/>
      <c r="BR80" s="157"/>
      <c r="BS80" s="158" t="s">
        <v>2417</v>
      </c>
      <c r="BT80" s="165">
        <v>2</v>
      </c>
    </row>
    <row r="81" spans="7:72">
      <c r="G81" s="8"/>
      <c r="H81" s="8"/>
      <c r="I81" s="8"/>
      <c r="J81" s="8" t="s">
        <v>2764</v>
      </c>
      <c r="K81" s="8"/>
      <c r="L81" s="8"/>
      <c r="M81" s="8"/>
      <c r="N81" s="8">
        <v>174</v>
      </c>
      <c r="Q81" s="13" t="s">
        <v>416</v>
      </c>
      <c r="R81" s="13" t="s">
        <v>49</v>
      </c>
      <c r="S81" s="13" t="s">
        <v>567</v>
      </c>
      <c r="T81" s="13" t="s">
        <v>588</v>
      </c>
      <c r="U81" s="13">
        <v>2</v>
      </c>
      <c r="BP81" s="157"/>
      <c r="BQ81" s="157"/>
      <c r="BR81" s="157"/>
      <c r="BS81" s="158" t="s">
        <v>2411</v>
      </c>
      <c r="BT81" s="165">
        <v>2</v>
      </c>
    </row>
    <row r="82" spans="7:72">
      <c r="G82" s="8"/>
      <c r="H82" s="8"/>
      <c r="I82" s="8"/>
      <c r="J82" s="8"/>
      <c r="K82" s="8"/>
      <c r="L82" s="8"/>
      <c r="M82" s="8"/>
      <c r="N82" s="8"/>
      <c r="Q82" s="13" t="s">
        <v>416</v>
      </c>
      <c r="R82" s="13" t="s">
        <v>49</v>
      </c>
      <c r="S82" s="13" t="s">
        <v>498</v>
      </c>
      <c r="T82" s="13" t="s">
        <v>510</v>
      </c>
      <c r="U82" s="13">
        <v>1</v>
      </c>
      <c r="BP82" s="156" t="s">
        <v>2772</v>
      </c>
      <c r="BQ82" s="156" t="s">
        <v>2772</v>
      </c>
      <c r="BR82" s="156" t="s">
        <v>2772</v>
      </c>
      <c r="BS82" s="156" t="s">
        <v>2772</v>
      </c>
      <c r="BT82" s="164"/>
    </row>
    <row r="83" spans="7:72">
      <c r="G83" s="8"/>
      <c r="H83" s="8"/>
      <c r="I83" s="8"/>
      <c r="J83" s="8"/>
      <c r="K83" s="8"/>
      <c r="L83" s="8"/>
      <c r="M83" s="8"/>
      <c r="N83" s="8"/>
      <c r="Q83" s="13" t="s">
        <v>416</v>
      </c>
      <c r="R83" s="13" t="s">
        <v>49</v>
      </c>
      <c r="S83" s="13" t="s">
        <v>498</v>
      </c>
      <c r="T83" s="13" t="s">
        <v>499</v>
      </c>
      <c r="U83" s="13">
        <v>3</v>
      </c>
      <c r="BP83" s="160" t="s">
        <v>2764</v>
      </c>
      <c r="BQ83" s="161"/>
      <c r="BR83" s="161"/>
      <c r="BS83" s="161"/>
      <c r="BT83" s="166">
        <v>151</v>
      </c>
    </row>
    <row r="84" spans="7:72">
      <c r="G84" s="8"/>
      <c r="H84" s="8"/>
      <c r="I84" s="8"/>
      <c r="J84" s="8"/>
      <c r="K84" s="8"/>
      <c r="L84" s="8"/>
      <c r="M84" s="8"/>
      <c r="N84" s="8"/>
      <c r="Q84" s="13" t="s">
        <v>416</v>
      </c>
      <c r="R84" s="13" t="s">
        <v>49</v>
      </c>
      <c r="S84" s="13" t="s">
        <v>498</v>
      </c>
      <c r="T84" s="13" t="s">
        <v>506</v>
      </c>
      <c r="U84" s="13">
        <v>1</v>
      </c>
    </row>
    <row r="85" spans="7:72">
      <c r="G85" s="8"/>
      <c r="H85" s="8"/>
      <c r="I85" s="8"/>
      <c r="J85" s="8"/>
      <c r="K85" s="8"/>
      <c r="L85" s="8"/>
      <c r="M85" s="8"/>
      <c r="N85" s="8"/>
      <c r="Q85" s="13" t="s">
        <v>416</v>
      </c>
      <c r="R85" s="13" t="s">
        <v>49</v>
      </c>
      <c r="S85" s="13" t="s">
        <v>498</v>
      </c>
      <c r="T85" s="13" t="s">
        <v>508</v>
      </c>
      <c r="U85" s="13">
        <v>1</v>
      </c>
    </row>
    <row r="86" spans="7:72">
      <c r="G86" s="8"/>
      <c r="H86" s="8"/>
      <c r="I86" s="8"/>
      <c r="J86" s="8"/>
      <c r="K86" s="8"/>
      <c r="L86" s="8"/>
      <c r="M86" s="8"/>
      <c r="N86" s="8"/>
      <c r="Q86" s="13" t="s">
        <v>416</v>
      </c>
      <c r="R86" s="13" t="s">
        <v>49</v>
      </c>
      <c r="S86" s="13" t="s">
        <v>498</v>
      </c>
      <c r="T86" s="13" t="s">
        <v>503</v>
      </c>
      <c r="U86" s="13">
        <v>2</v>
      </c>
    </row>
    <row r="87" spans="7:72">
      <c r="G87" s="8"/>
      <c r="H87" s="8"/>
      <c r="I87" s="8"/>
      <c r="J87" s="8"/>
      <c r="K87" s="8"/>
      <c r="L87" s="8"/>
      <c r="M87" s="8"/>
      <c r="N87" s="8"/>
      <c r="Q87" s="13" t="s">
        <v>416</v>
      </c>
      <c r="R87" s="13" t="s">
        <v>49</v>
      </c>
      <c r="S87" s="13" t="s">
        <v>209</v>
      </c>
      <c r="T87" s="13" t="s">
        <v>224</v>
      </c>
      <c r="U87" s="13">
        <v>1</v>
      </c>
    </row>
    <row r="88" spans="7:72">
      <c r="G88" s="8"/>
      <c r="H88" s="8"/>
      <c r="I88" s="8"/>
      <c r="J88" s="8"/>
      <c r="K88" s="8"/>
      <c r="L88" s="8"/>
      <c r="M88" s="8"/>
      <c r="N88" s="8"/>
      <c r="Q88" s="13" t="s">
        <v>416</v>
      </c>
      <c r="R88" s="13" t="s">
        <v>49</v>
      </c>
      <c r="S88" s="13" t="s">
        <v>209</v>
      </c>
      <c r="T88" s="13" t="s">
        <v>214</v>
      </c>
      <c r="U88" s="13">
        <v>3</v>
      </c>
    </row>
    <row r="89" spans="7:72">
      <c r="G89" s="8"/>
      <c r="H89" s="8"/>
      <c r="I89" s="8"/>
      <c r="J89" s="8"/>
      <c r="K89" s="8"/>
      <c r="L89" s="8"/>
      <c r="M89" s="8"/>
      <c r="N89" s="8"/>
      <c r="Q89" s="13" t="s">
        <v>416</v>
      </c>
      <c r="R89" s="13" t="s">
        <v>49</v>
      </c>
      <c r="S89" s="13" t="s">
        <v>209</v>
      </c>
      <c r="T89" s="13" t="s">
        <v>217</v>
      </c>
      <c r="U89" s="13">
        <v>2</v>
      </c>
    </row>
    <row r="90" spans="7:72">
      <c r="G90" s="8"/>
      <c r="H90" s="8"/>
      <c r="I90" s="8"/>
      <c r="J90" s="8"/>
      <c r="K90" s="8"/>
      <c r="L90" s="8"/>
      <c r="M90" s="8"/>
      <c r="N90" s="8"/>
      <c r="Q90" s="13" t="s">
        <v>416</v>
      </c>
      <c r="R90" s="13" t="s">
        <v>49</v>
      </c>
      <c r="S90" s="13" t="s">
        <v>209</v>
      </c>
      <c r="T90" s="13" t="s">
        <v>611</v>
      </c>
      <c r="U90" s="13">
        <v>3</v>
      </c>
    </row>
    <row r="91" spans="7:72">
      <c r="G91" s="8"/>
      <c r="H91" s="8"/>
      <c r="I91" s="8"/>
      <c r="J91" s="8"/>
      <c r="K91" s="8"/>
      <c r="L91" s="8"/>
      <c r="M91" s="8"/>
      <c r="N91" s="8"/>
      <c r="Q91" s="13" t="s">
        <v>416</v>
      </c>
      <c r="R91" s="13" t="s">
        <v>49</v>
      </c>
      <c r="S91" s="13" t="s">
        <v>209</v>
      </c>
      <c r="T91" s="13" t="s">
        <v>210</v>
      </c>
      <c r="U91" s="13">
        <v>3</v>
      </c>
    </row>
    <row r="92" spans="7:72">
      <c r="G92" s="8"/>
      <c r="H92" s="8"/>
      <c r="I92" s="8"/>
      <c r="J92" s="8"/>
      <c r="K92" s="8"/>
      <c r="L92" s="8"/>
      <c r="M92" s="8"/>
      <c r="N92" s="8"/>
      <c r="Q92" s="13" t="s">
        <v>416</v>
      </c>
      <c r="R92" s="13" t="s">
        <v>49</v>
      </c>
      <c r="S92" s="13" t="s">
        <v>667</v>
      </c>
      <c r="T92" s="13" t="s">
        <v>675</v>
      </c>
      <c r="U92" s="13">
        <v>1</v>
      </c>
    </row>
    <row r="93" spans="7:72">
      <c r="G93" s="8"/>
      <c r="H93" s="8"/>
      <c r="I93" s="8"/>
      <c r="J93" s="8"/>
      <c r="K93" s="8"/>
      <c r="L93" s="8"/>
      <c r="M93" s="8"/>
      <c r="N93" s="8"/>
      <c r="Q93" s="13" t="s">
        <v>416</v>
      </c>
      <c r="R93" s="13" t="s">
        <v>49</v>
      </c>
      <c r="S93" s="13" t="s">
        <v>667</v>
      </c>
      <c r="T93" s="13" t="s">
        <v>671</v>
      </c>
      <c r="U93" s="13">
        <v>3</v>
      </c>
    </row>
    <row r="94" spans="7:72">
      <c r="G94" s="8"/>
      <c r="H94" s="8"/>
      <c r="I94" s="8"/>
      <c r="J94" s="8"/>
      <c r="K94" s="8"/>
      <c r="L94" s="8"/>
      <c r="M94" s="8"/>
      <c r="N94" s="8"/>
      <c r="Q94" s="13" t="s">
        <v>416</v>
      </c>
      <c r="R94" s="13" t="s">
        <v>49</v>
      </c>
      <c r="S94" s="13" t="s">
        <v>667</v>
      </c>
      <c r="T94" s="13" t="s">
        <v>668</v>
      </c>
      <c r="U94" s="13">
        <v>2</v>
      </c>
    </row>
    <row r="95" spans="7:72">
      <c r="G95" s="8"/>
      <c r="H95" s="8"/>
      <c r="I95" s="8"/>
      <c r="J95" s="8"/>
      <c r="K95" s="8"/>
      <c r="L95" s="8"/>
      <c r="M95" s="8"/>
      <c r="N95" s="8"/>
      <c r="Q95" s="13" t="s">
        <v>416</v>
      </c>
      <c r="R95" s="13" t="s">
        <v>49</v>
      </c>
      <c r="S95" s="13" t="s">
        <v>667</v>
      </c>
      <c r="T95" s="13" t="s">
        <v>685</v>
      </c>
      <c r="U95" s="13">
        <v>2</v>
      </c>
    </row>
    <row r="96" spans="7:72">
      <c r="G96" s="8"/>
      <c r="H96" s="8"/>
      <c r="I96" s="8"/>
      <c r="J96" s="8"/>
      <c r="K96" s="8"/>
      <c r="L96" s="8"/>
      <c r="M96" s="8"/>
      <c r="N96" s="8"/>
      <c r="Q96" s="13" t="s">
        <v>416</v>
      </c>
      <c r="R96" s="13" t="s">
        <v>49</v>
      </c>
      <c r="S96" s="13" t="s">
        <v>667</v>
      </c>
      <c r="T96" s="13" t="s">
        <v>682</v>
      </c>
      <c r="U96" s="13">
        <v>2</v>
      </c>
    </row>
    <row r="97" spans="7:21">
      <c r="G97" s="8"/>
      <c r="H97" s="8"/>
      <c r="I97" s="8"/>
      <c r="J97" s="8"/>
      <c r="K97" s="8"/>
      <c r="L97" s="8"/>
      <c r="M97" s="8"/>
      <c r="N97" s="8"/>
      <c r="Q97" s="13" t="s">
        <v>416</v>
      </c>
      <c r="R97" s="13" t="s">
        <v>49</v>
      </c>
      <c r="S97" s="13" t="s">
        <v>667</v>
      </c>
      <c r="T97" s="13" t="s">
        <v>680</v>
      </c>
      <c r="U97" s="13">
        <v>1</v>
      </c>
    </row>
    <row r="98" spans="7:21">
      <c r="G98" s="8"/>
      <c r="H98" s="8"/>
      <c r="I98" s="8"/>
      <c r="J98" s="8"/>
      <c r="K98" s="8"/>
      <c r="L98" s="8"/>
      <c r="M98" s="8"/>
      <c r="N98" s="8"/>
      <c r="Q98" s="13" t="s">
        <v>416</v>
      </c>
      <c r="R98" s="13" t="s">
        <v>49</v>
      </c>
      <c r="S98" s="13" t="s">
        <v>667</v>
      </c>
      <c r="T98" s="13" t="s">
        <v>677</v>
      </c>
      <c r="U98" s="13">
        <v>2</v>
      </c>
    </row>
    <row r="99" spans="7:21">
      <c r="G99" s="8"/>
      <c r="H99" s="8"/>
      <c r="I99" s="8"/>
      <c r="J99" s="8"/>
      <c r="K99" s="8"/>
      <c r="L99" s="8"/>
      <c r="M99" s="8"/>
      <c r="N99" s="8"/>
      <c r="Q99" s="13" t="s">
        <v>416</v>
      </c>
      <c r="R99" s="13" t="s">
        <v>49</v>
      </c>
      <c r="S99" s="13" t="s">
        <v>688</v>
      </c>
      <c r="T99" s="13" t="s">
        <v>697</v>
      </c>
      <c r="U99" s="13">
        <v>2</v>
      </c>
    </row>
    <row r="100" spans="7:21">
      <c r="G100" s="8"/>
      <c r="H100" s="8"/>
      <c r="I100" s="8"/>
      <c r="J100" s="8"/>
      <c r="K100" s="8"/>
      <c r="L100" s="8"/>
      <c r="M100" s="8"/>
      <c r="N100" s="8"/>
      <c r="Q100" s="13" t="s">
        <v>416</v>
      </c>
      <c r="R100" s="13" t="s">
        <v>49</v>
      </c>
      <c r="S100" s="13" t="s">
        <v>688</v>
      </c>
      <c r="T100" s="13" t="s">
        <v>693</v>
      </c>
      <c r="U100" s="13">
        <v>3</v>
      </c>
    </row>
    <row r="101" spans="7:21">
      <c r="G101" s="8"/>
      <c r="H101" s="8"/>
      <c r="I101" s="8"/>
      <c r="J101" s="8"/>
      <c r="K101" s="8"/>
      <c r="L101" s="8"/>
      <c r="M101" s="8"/>
      <c r="N101" s="8"/>
      <c r="Q101" s="13" t="s">
        <v>416</v>
      </c>
      <c r="R101" s="13" t="s">
        <v>49</v>
      </c>
      <c r="S101" s="13" t="s">
        <v>688</v>
      </c>
      <c r="T101" s="13" t="s">
        <v>700</v>
      </c>
      <c r="U101" s="13">
        <v>2</v>
      </c>
    </row>
    <row r="102" spans="7:21">
      <c r="G102" s="8"/>
      <c r="H102" s="8"/>
      <c r="I102" s="8"/>
      <c r="J102" s="8"/>
      <c r="K102" s="8"/>
      <c r="L102" s="8"/>
      <c r="M102" s="8"/>
      <c r="N102" s="8"/>
      <c r="Q102" s="13" t="s">
        <v>416</v>
      </c>
      <c r="R102" s="13" t="s">
        <v>49</v>
      </c>
      <c r="S102" s="13" t="s">
        <v>688</v>
      </c>
      <c r="T102" s="13" t="s">
        <v>689</v>
      </c>
      <c r="U102" s="13">
        <v>3</v>
      </c>
    </row>
    <row r="103" spans="7:21">
      <c r="G103" s="8"/>
      <c r="H103" s="8"/>
      <c r="I103" s="8"/>
      <c r="J103" s="8"/>
      <c r="K103" s="8"/>
      <c r="L103" s="8"/>
      <c r="M103" s="8"/>
      <c r="N103" s="8"/>
      <c r="Q103" s="13" t="s">
        <v>416</v>
      </c>
      <c r="R103" s="13" t="s">
        <v>49</v>
      </c>
      <c r="S103" s="13" t="s">
        <v>688</v>
      </c>
      <c r="T103" s="13" t="s">
        <v>714</v>
      </c>
      <c r="U103" s="13">
        <v>1</v>
      </c>
    </row>
    <row r="104" spans="7:21">
      <c r="G104" s="8"/>
      <c r="H104" s="8"/>
      <c r="I104" s="8"/>
      <c r="J104" s="8"/>
      <c r="K104" s="8"/>
      <c r="L104" s="8"/>
      <c r="M104" s="8"/>
      <c r="N104" s="8"/>
      <c r="Q104" s="13" t="s">
        <v>416</v>
      </c>
      <c r="R104" s="13" t="s">
        <v>49</v>
      </c>
      <c r="S104" s="13" t="s">
        <v>688</v>
      </c>
      <c r="T104" s="13" t="s">
        <v>707</v>
      </c>
      <c r="U104" s="13">
        <v>3</v>
      </c>
    </row>
    <row r="105" spans="7:21">
      <c r="G105" s="8"/>
      <c r="H105" s="8"/>
      <c r="I105" s="8"/>
      <c r="J105" s="8"/>
      <c r="K105" s="8"/>
      <c r="L105" s="8"/>
      <c r="M105" s="8"/>
      <c r="N105" s="8"/>
      <c r="Q105" s="13" t="s">
        <v>416</v>
      </c>
      <c r="R105" s="13" t="s">
        <v>49</v>
      </c>
      <c r="S105" s="13" t="s">
        <v>688</v>
      </c>
      <c r="T105" s="13" t="s">
        <v>703</v>
      </c>
      <c r="U105" s="13">
        <v>3</v>
      </c>
    </row>
    <row r="106" spans="7:21">
      <c r="G106" s="8"/>
      <c r="H106" s="8"/>
      <c r="I106" s="8"/>
      <c r="J106" s="8"/>
      <c r="K106" s="8"/>
      <c r="L106" s="8"/>
      <c r="M106" s="8"/>
      <c r="N106" s="8"/>
      <c r="Q106" s="13" t="s">
        <v>416</v>
      </c>
      <c r="R106" s="13" t="s">
        <v>49</v>
      </c>
      <c r="S106" s="13" t="s">
        <v>688</v>
      </c>
      <c r="T106" s="13" t="s">
        <v>711</v>
      </c>
      <c r="U106" s="13">
        <v>2</v>
      </c>
    </row>
    <row r="107" spans="7:21">
      <c r="G107" s="8"/>
      <c r="H107" s="8"/>
      <c r="I107" s="8"/>
      <c r="J107" s="8"/>
      <c r="K107" s="8"/>
      <c r="L107" s="8"/>
      <c r="M107" s="8"/>
      <c r="N107" s="8"/>
      <c r="Q107" s="13" t="s">
        <v>416</v>
      </c>
      <c r="R107" s="13" t="s">
        <v>49</v>
      </c>
      <c r="S107" s="13" t="s">
        <v>688</v>
      </c>
      <c r="T107" s="13" t="s">
        <v>728</v>
      </c>
      <c r="U107" s="13">
        <v>2</v>
      </c>
    </row>
    <row r="108" spans="7:21">
      <c r="G108" s="8"/>
      <c r="H108" s="8"/>
      <c r="I108" s="8"/>
      <c r="J108" s="8"/>
      <c r="K108" s="8"/>
      <c r="L108" s="8"/>
      <c r="M108" s="8"/>
      <c r="N108" s="8"/>
      <c r="Q108" s="13" t="s">
        <v>416</v>
      </c>
      <c r="R108" s="13" t="s">
        <v>49</v>
      </c>
      <c r="S108" s="13" t="s">
        <v>688</v>
      </c>
      <c r="T108" s="13" t="s">
        <v>720</v>
      </c>
      <c r="U108" s="13">
        <v>3</v>
      </c>
    </row>
    <row r="109" spans="7:21">
      <c r="G109" s="8"/>
      <c r="H109" s="8"/>
      <c r="I109" s="8"/>
      <c r="J109" s="8"/>
      <c r="K109" s="8"/>
      <c r="L109" s="8"/>
      <c r="M109" s="8"/>
      <c r="N109" s="8"/>
      <c r="Q109" s="13" t="s">
        <v>416</v>
      </c>
      <c r="R109" s="13" t="s">
        <v>49</v>
      </c>
      <c r="S109" s="13" t="s">
        <v>688</v>
      </c>
      <c r="T109" s="13" t="s">
        <v>716</v>
      </c>
      <c r="U109" s="13">
        <v>3</v>
      </c>
    </row>
    <row r="110" spans="7:21">
      <c r="G110" s="8"/>
      <c r="H110" s="8"/>
      <c r="I110" s="8"/>
      <c r="J110" s="8"/>
      <c r="K110" s="8"/>
      <c r="L110" s="8"/>
      <c r="M110" s="8"/>
      <c r="N110" s="8"/>
      <c r="Q110" s="13" t="s">
        <v>416</v>
      </c>
      <c r="R110" s="13" t="s">
        <v>49</v>
      </c>
      <c r="S110" s="13" t="s">
        <v>688</v>
      </c>
      <c r="T110" s="13" t="s">
        <v>724</v>
      </c>
      <c r="U110" s="13">
        <v>1</v>
      </c>
    </row>
    <row r="111" spans="7:21">
      <c r="G111" s="8"/>
      <c r="H111" s="8"/>
      <c r="I111" s="8"/>
      <c r="J111" s="8"/>
      <c r="K111" s="8"/>
      <c r="L111" s="8"/>
      <c r="M111" s="8"/>
      <c r="N111" s="8"/>
      <c r="Q111" s="13" t="s">
        <v>416</v>
      </c>
      <c r="R111" s="13" t="s">
        <v>49</v>
      </c>
      <c r="S111" s="13" t="s">
        <v>688</v>
      </c>
      <c r="T111" s="13" t="s">
        <v>726</v>
      </c>
      <c r="U111" s="13">
        <v>1</v>
      </c>
    </row>
    <row r="112" spans="7:21">
      <c r="G112" s="8"/>
      <c r="H112" s="8"/>
      <c r="I112" s="8"/>
      <c r="J112" s="8"/>
      <c r="K112" s="8"/>
      <c r="L112" s="8"/>
      <c r="M112" s="8"/>
      <c r="N112" s="8"/>
      <c r="Q112" s="13"/>
      <c r="R112" s="13" t="s">
        <v>2763</v>
      </c>
      <c r="S112" s="13"/>
      <c r="T112" s="13"/>
      <c r="U112" s="13">
        <v>214</v>
      </c>
    </row>
    <row r="113" spans="7:14">
      <c r="G113" s="8"/>
      <c r="H113" s="8"/>
      <c r="I113" s="8"/>
      <c r="J113" s="8"/>
      <c r="K113" s="8"/>
      <c r="L113" s="8"/>
      <c r="M113" s="8"/>
      <c r="N113" s="8"/>
    </row>
    <row r="114" spans="7:14">
      <c r="G114" s="8"/>
      <c r="H114" s="8"/>
      <c r="I114" s="8"/>
      <c r="J114" s="8"/>
      <c r="K114" s="8"/>
      <c r="L114" s="8"/>
      <c r="M114" s="8"/>
      <c r="N114" s="8"/>
    </row>
    <row r="115" spans="7:14">
      <c r="G115" s="8"/>
      <c r="H115" s="8"/>
      <c r="I115" s="8"/>
      <c r="J115" s="8"/>
      <c r="K115" s="8"/>
      <c r="L115" s="8"/>
      <c r="M115" s="8"/>
      <c r="N115" s="8"/>
    </row>
    <row r="116" spans="7:14">
      <c r="G116" s="8"/>
      <c r="H116" s="8"/>
      <c r="I116" s="8"/>
      <c r="J116" s="8"/>
      <c r="K116" s="8"/>
      <c r="L116" s="8"/>
      <c r="M116" s="8"/>
      <c r="N116" s="8"/>
    </row>
    <row r="117" spans="7:14">
      <c r="G117" s="8"/>
      <c r="H117" s="8"/>
      <c r="I117" s="8"/>
      <c r="J117" s="8"/>
      <c r="K117" s="8"/>
      <c r="L117" s="8"/>
      <c r="M117" s="8"/>
      <c r="N117" s="8"/>
    </row>
    <row r="118" spans="7:14">
      <c r="G118" s="8"/>
      <c r="H118" s="8"/>
      <c r="I118" s="8"/>
      <c r="J118" s="8"/>
      <c r="K118" s="8"/>
      <c r="L118" s="8"/>
      <c r="M118" s="8"/>
      <c r="N118" s="8"/>
    </row>
    <row r="119" spans="7:14">
      <c r="G119" s="8"/>
      <c r="H119" s="8"/>
      <c r="I119" s="8"/>
      <c r="J119" s="8"/>
      <c r="K119" s="8"/>
      <c r="L119" s="8"/>
      <c r="M119" s="8"/>
      <c r="N119" s="8"/>
    </row>
    <row r="120" spans="7:14">
      <c r="G120" s="8"/>
      <c r="H120" s="8"/>
      <c r="I120" s="8"/>
      <c r="J120" s="8"/>
      <c r="K120" s="8"/>
      <c r="L120" s="8"/>
      <c r="M120" s="8"/>
      <c r="N120" s="8"/>
    </row>
    <row r="121" spans="7:14">
      <c r="G121" s="8"/>
      <c r="H121" s="8"/>
      <c r="I121" s="8"/>
      <c r="J121" s="8"/>
      <c r="K121" s="8"/>
      <c r="L121" s="8"/>
      <c r="M121" s="8"/>
      <c r="N121" s="8"/>
    </row>
    <row r="122" spans="7:14">
      <c r="G122" s="8"/>
      <c r="H122" s="8"/>
      <c r="I122" s="8"/>
      <c r="J122" s="8"/>
      <c r="K122" s="8"/>
      <c r="L122" s="8"/>
      <c r="M122" s="8"/>
      <c r="N122" s="8"/>
    </row>
    <row r="123" spans="7:14">
      <c r="G123" s="8"/>
      <c r="H123" s="8"/>
      <c r="I123" s="8"/>
      <c r="J123" s="8"/>
      <c r="K123" s="8"/>
      <c r="L123" s="8"/>
      <c r="M123" s="8"/>
      <c r="N123" s="8"/>
    </row>
    <row r="124" spans="7:14">
      <c r="G124" s="8"/>
      <c r="H124" s="8"/>
      <c r="I124" s="8"/>
      <c r="J124" s="8"/>
      <c r="K124" s="8"/>
      <c r="L124" s="8"/>
      <c r="M124" s="8"/>
      <c r="N124" s="8"/>
    </row>
    <row r="125" spans="7:14">
      <c r="G125" s="8"/>
      <c r="H125" s="8"/>
      <c r="I125" s="8"/>
      <c r="J125" s="8"/>
      <c r="K125" s="8"/>
      <c r="L125" s="8"/>
      <c r="M125" s="8"/>
      <c r="N125" s="8"/>
    </row>
    <row r="126" spans="7:14">
      <c r="G126" s="8"/>
      <c r="H126" s="8"/>
      <c r="I126" s="8"/>
      <c r="J126" s="8"/>
      <c r="K126" s="8"/>
      <c r="L126" s="8"/>
      <c r="M126" s="8"/>
      <c r="N126" s="8"/>
    </row>
    <row r="127" spans="7:14">
      <c r="G127" s="8"/>
      <c r="H127" s="8"/>
      <c r="I127" s="8"/>
      <c r="J127" s="8"/>
      <c r="K127" s="8"/>
      <c r="L127" s="8"/>
      <c r="M127" s="8"/>
      <c r="N127" s="8"/>
    </row>
    <row r="128" spans="7:14">
      <c r="G128" s="8"/>
      <c r="H128" s="8"/>
      <c r="I128" s="8"/>
      <c r="J128" s="8"/>
      <c r="K128" s="8"/>
      <c r="L128" s="8"/>
      <c r="M128" s="8"/>
      <c r="N128" s="8"/>
    </row>
    <row r="129" spans="7:14">
      <c r="G129" s="8"/>
      <c r="H129" s="8"/>
      <c r="I129" s="8"/>
      <c r="J129" s="8"/>
      <c r="K129" s="8"/>
      <c r="L129" s="8"/>
      <c r="M129" s="8"/>
      <c r="N129" s="8"/>
    </row>
    <row r="130" spans="7:14">
      <c r="G130" s="8"/>
      <c r="H130" s="8"/>
      <c r="I130" s="8"/>
      <c r="J130" s="8"/>
      <c r="K130" s="8"/>
      <c r="L130" s="8"/>
      <c r="M130" s="8"/>
      <c r="N130" s="8"/>
    </row>
    <row r="131" spans="7:14">
      <c r="G131" s="8"/>
      <c r="H131" s="8"/>
      <c r="I131" s="8"/>
      <c r="J131" s="8"/>
      <c r="K131" s="8"/>
      <c r="L131" s="8"/>
      <c r="M131" s="8"/>
      <c r="N131" s="8"/>
    </row>
    <row r="132" spans="7:14">
      <c r="G132" s="8"/>
      <c r="H132" s="8"/>
      <c r="I132" s="8"/>
      <c r="J132" s="8"/>
      <c r="K132" s="8"/>
      <c r="L132" s="8"/>
      <c r="M132" s="8"/>
      <c r="N132" s="8"/>
    </row>
    <row r="133" spans="7:14">
      <c r="G133" s="8"/>
      <c r="H133" s="8"/>
      <c r="I133" s="8"/>
      <c r="J133" s="8"/>
      <c r="K133" s="8"/>
      <c r="L133" s="8"/>
      <c r="M133" s="8"/>
      <c r="N133" s="8"/>
    </row>
    <row r="134" spans="7:14">
      <c r="G134" s="8"/>
      <c r="H134" s="8"/>
      <c r="I134" s="8"/>
      <c r="J134" s="8"/>
      <c r="K134" s="8"/>
      <c r="L134" s="8"/>
      <c r="M134" s="8"/>
      <c r="N134" s="8"/>
    </row>
    <row r="135" spans="7:14">
      <c r="G135" s="8"/>
      <c r="H135" s="8"/>
      <c r="I135" s="8"/>
      <c r="J135" s="8"/>
      <c r="K135" s="8"/>
      <c r="L135" s="8"/>
      <c r="M135" s="8"/>
      <c r="N135" s="8"/>
    </row>
    <row r="136" spans="7:14">
      <c r="G136" s="8"/>
      <c r="H136" s="8"/>
      <c r="I136" s="8"/>
      <c r="J136" s="8"/>
      <c r="K136" s="8"/>
      <c r="L136" s="8"/>
      <c r="M136" s="8"/>
      <c r="N136" s="8"/>
    </row>
    <row r="137" spans="7:14">
      <c r="G137" s="8"/>
      <c r="H137" s="8"/>
      <c r="I137" s="8"/>
      <c r="J137" s="8"/>
      <c r="K137" s="8"/>
      <c r="L137" s="8"/>
      <c r="M137" s="8"/>
      <c r="N137" s="8"/>
    </row>
    <row r="138" spans="7:14">
      <c r="G138" s="8"/>
      <c r="H138" s="8"/>
      <c r="I138" s="8"/>
      <c r="J138" s="8"/>
      <c r="K138" s="8"/>
      <c r="L138" s="8"/>
      <c r="M138" s="8"/>
      <c r="N138" s="8"/>
    </row>
    <row r="139" spans="7:14">
      <c r="G139" s="8"/>
      <c r="H139" s="8"/>
      <c r="I139" s="8"/>
      <c r="J139" s="8"/>
      <c r="K139" s="8"/>
      <c r="L139" s="8"/>
      <c r="M139" s="8"/>
      <c r="N139" s="8"/>
    </row>
    <row r="140" spans="7:14">
      <c r="G140" s="8"/>
      <c r="H140" s="8"/>
      <c r="I140" s="8"/>
      <c r="J140" s="8"/>
      <c r="K140" s="8"/>
      <c r="L140" s="8"/>
      <c r="M140" s="8"/>
      <c r="N140" s="8"/>
    </row>
    <row r="141" spans="7:14">
      <c r="G141" s="8"/>
      <c r="H141" s="8"/>
      <c r="I141" s="8"/>
      <c r="J141" s="8"/>
      <c r="K141" s="8"/>
      <c r="L141" s="8"/>
      <c r="M141" s="8"/>
      <c r="N141" s="8"/>
    </row>
    <row r="142" spans="7:14">
      <c r="G142" s="8"/>
      <c r="H142" s="8"/>
      <c r="I142" s="8"/>
      <c r="J142" s="8"/>
      <c r="K142" s="8"/>
      <c r="L142" s="8"/>
      <c r="M142" s="8"/>
      <c r="N142" s="8"/>
    </row>
    <row r="143" spans="7:14">
      <c r="G143" s="8"/>
      <c r="H143" s="8"/>
      <c r="I143" s="8"/>
      <c r="J143" s="8"/>
      <c r="K143" s="8"/>
      <c r="L143" s="8"/>
      <c r="M143" s="8"/>
      <c r="N143" s="8"/>
    </row>
    <row r="144" spans="7:14">
      <c r="G144" s="8"/>
      <c r="H144" s="8"/>
      <c r="I144" s="8"/>
      <c r="J144" s="8"/>
      <c r="K144" s="8"/>
      <c r="L144" s="8"/>
      <c r="M144" s="8"/>
      <c r="N144" s="8"/>
    </row>
    <row r="145" spans="7:14">
      <c r="G145" s="8"/>
      <c r="H145" s="8"/>
      <c r="I145" s="8"/>
      <c r="J145" s="8"/>
      <c r="K145" s="8"/>
      <c r="L145" s="8"/>
      <c r="M145" s="8"/>
      <c r="N145" s="8"/>
    </row>
    <row r="146" spans="7:14">
      <c r="G146" s="8"/>
      <c r="H146" s="8"/>
      <c r="I146" s="8"/>
      <c r="J146" s="8"/>
      <c r="K146" s="8"/>
      <c r="L146" s="8"/>
      <c r="M146" s="8"/>
      <c r="N146" s="8"/>
    </row>
    <row r="147" spans="7:14">
      <c r="G147" s="8"/>
      <c r="H147" s="8"/>
      <c r="I147" s="8"/>
      <c r="J147" s="8"/>
      <c r="K147" s="8"/>
      <c r="L147" s="8"/>
      <c r="M147" s="8"/>
      <c r="N147" s="8"/>
    </row>
    <row r="148" spans="7:14">
      <c r="G148" s="8"/>
      <c r="H148" s="8"/>
      <c r="I148" s="8"/>
      <c r="J148" s="8"/>
      <c r="K148" s="8"/>
      <c r="L148" s="8"/>
      <c r="M148" s="8"/>
      <c r="N148" s="8"/>
    </row>
    <row r="149" spans="7:14">
      <c r="G149" s="8"/>
      <c r="H149" s="8"/>
      <c r="I149" s="8"/>
      <c r="J149" s="8"/>
      <c r="K149" s="8"/>
      <c r="L149" s="8"/>
      <c r="M149" s="8"/>
      <c r="N149" s="8"/>
    </row>
    <row r="150" spans="7:14">
      <c r="G150" s="8"/>
      <c r="H150" s="8"/>
      <c r="I150" s="8"/>
      <c r="J150" s="8"/>
      <c r="K150" s="8"/>
      <c r="L150" s="8"/>
      <c r="M150" s="8"/>
      <c r="N150" s="8"/>
    </row>
    <row r="151" spans="7:14">
      <c r="G151" s="8"/>
      <c r="H151" s="8"/>
      <c r="I151" s="8"/>
      <c r="J151" s="8"/>
      <c r="K151" s="8"/>
      <c r="L151" s="8"/>
      <c r="M151" s="8"/>
      <c r="N151" s="8"/>
    </row>
    <row r="152" spans="7:14">
      <c r="G152" s="8"/>
      <c r="H152" s="8"/>
      <c r="I152" s="8"/>
      <c r="J152" s="8"/>
      <c r="K152" s="8"/>
      <c r="L152" s="8"/>
      <c r="M152" s="8"/>
      <c r="N152" s="8"/>
    </row>
    <row r="153" spans="7:14">
      <c r="G153" s="8"/>
      <c r="H153" s="8"/>
      <c r="I153" s="8"/>
      <c r="J153" s="8"/>
      <c r="K153" s="8"/>
      <c r="L153" s="8"/>
      <c r="M153" s="8"/>
      <c r="N153" s="8"/>
    </row>
    <row r="154" spans="7:14">
      <c r="G154" s="8"/>
      <c r="H154" s="8"/>
      <c r="I154" s="8"/>
      <c r="J154" s="8"/>
      <c r="K154" s="8"/>
      <c r="L154" s="8"/>
      <c r="M154" s="8"/>
      <c r="N154" s="8"/>
    </row>
    <row r="155" spans="7:14">
      <c r="G155" s="8"/>
      <c r="H155" s="8"/>
      <c r="I155" s="8"/>
      <c r="J155" s="8"/>
      <c r="K155" s="8"/>
      <c r="L155" s="8"/>
      <c r="M155" s="8"/>
      <c r="N155" s="8"/>
    </row>
    <row r="156" spans="7:14">
      <c r="G156" s="8"/>
      <c r="H156" s="8"/>
      <c r="I156" s="8"/>
      <c r="J156" s="8"/>
      <c r="K156" s="8"/>
      <c r="L156" s="8"/>
      <c r="M156" s="8"/>
      <c r="N156" s="8"/>
    </row>
    <row r="157" spans="7:14">
      <c r="G157" s="8"/>
      <c r="H157" s="8"/>
      <c r="I157" s="8"/>
      <c r="J157" s="8"/>
      <c r="K157" s="8"/>
      <c r="L157" s="8"/>
      <c r="M157" s="8"/>
      <c r="N157" s="8"/>
    </row>
    <row r="158" spans="7:14">
      <c r="G158" s="8"/>
      <c r="H158" s="8"/>
      <c r="I158" s="8"/>
      <c r="J158" s="8"/>
      <c r="K158" s="8"/>
      <c r="L158" s="8"/>
      <c r="M158" s="8"/>
      <c r="N158" s="8"/>
    </row>
    <row r="159" spans="7:14">
      <c r="G159" s="8"/>
      <c r="H159" s="8"/>
      <c r="I159" s="8"/>
      <c r="J159" s="8"/>
      <c r="K159" s="8"/>
      <c r="L159" s="8"/>
      <c r="M159" s="8"/>
      <c r="N159" s="8"/>
    </row>
    <row r="160" spans="7:14">
      <c r="G160" s="8"/>
      <c r="H160" s="8"/>
      <c r="I160" s="8"/>
      <c r="J160" s="8"/>
      <c r="K160" s="8"/>
      <c r="L160" s="8"/>
      <c r="M160" s="8"/>
      <c r="N160" s="8"/>
    </row>
    <row r="161" spans="7:14">
      <c r="G161" s="8"/>
      <c r="H161" s="8"/>
      <c r="I161" s="8"/>
      <c r="J161" s="8"/>
      <c r="K161" s="8"/>
      <c r="L161" s="8"/>
      <c r="M161" s="8"/>
      <c r="N161" s="8"/>
    </row>
    <row r="162" spans="7:14">
      <c r="G162" s="8"/>
      <c r="H162" s="8"/>
      <c r="I162" s="8"/>
      <c r="J162" s="8"/>
      <c r="K162" s="8"/>
      <c r="L162" s="8"/>
      <c r="M162" s="8"/>
      <c r="N162" s="8"/>
    </row>
    <row r="163" spans="7:14">
      <c r="G163" s="8"/>
      <c r="H163" s="8"/>
      <c r="I163" s="8"/>
      <c r="J163" s="8"/>
      <c r="K163" s="8"/>
      <c r="L163" s="8"/>
      <c r="M163" s="8"/>
      <c r="N163" s="8"/>
    </row>
    <row r="164" spans="7:14">
      <c r="G164" s="8"/>
      <c r="H164" s="8"/>
      <c r="I164" s="8"/>
      <c r="J164" s="8"/>
      <c r="K164" s="8"/>
      <c r="L164" s="8"/>
      <c r="M164" s="8"/>
      <c r="N164" s="8"/>
    </row>
    <row r="165" spans="7:14">
      <c r="G165" s="8"/>
      <c r="H165" s="8"/>
      <c r="I165" s="8"/>
      <c r="J165" s="8"/>
      <c r="K165" s="8"/>
      <c r="L165" s="8"/>
      <c r="M165" s="8"/>
      <c r="N165" s="8"/>
    </row>
    <row r="166" spans="7:14">
      <c r="G166" s="8"/>
      <c r="H166" s="8"/>
      <c r="I166" s="8"/>
      <c r="J166" s="8"/>
      <c r="K166" s="8"/>
      <c r="L166" s="8"/>
      <c r="M166" s="8"/>
      <c r="N166" s="8"/>
    </row>
    <row r="167" spans="7:14">
      <c r="G167" s="8"/>
      <c r="H167" s="8"/>
      <c r="I167" s="8"/>
      <c r="J167" s="8"/>
      <c r="K167" s="8"/>
      <c r="L167" s="8"/>
      <c r="M167" s="8"/>
      <c r="N167" s="8"/>
    </row>
    <row r="168" spans="7:14">
      <c r="G168" s="8"/>
      <c r="H168" s="8"/>
      <c r="I168" s="8"/>
      <c r="J168" s="8"/>
      <c r="K168" s="8"/>
      <c r="L168" s="8"/>
      <c r="M168" s="8"/>
      <c r="N168" s="8"/>
    </row>
    <row r="169" spans="7:14">
      <c r="G169" s="8"/>
      <c r="H169" s="8"/>
      <c r="I169" s="8"/>
      <c r="J169" s="8"/>
      <c r="K169" s="8"/>
      <c r="L169" s="8"/>
      <c r="M169" s="8"/>
      <c r="N169" s="8"/>
    </row>
    <row r="170" spans="7:14">
      <c r="G170" s="8"/>
      <c r="H170" s="8"/>
      <c r="I170" s="8"/>
      <c r="J170" s="8"/>
      <c r="K170" s="8"/>
      <c r="L170" s="8"/>
      <c r="M170" s="8"/>
      <c r="N170" s="8"/>
    </row>
    <row r="171" spans="7:14">
      <c r="G171" s="8"/>
      <c r="H171" s="8"/>
      <c r="I171" s="8"/>
      <c r="J171" s="8"/>
      <c r="K171" s="8"/>
      <c r="L171" s="8"/>
      <c r="M171" s="8"/>
      <c r="N171" s="8"/>
    </row>
    <row r="172" spans="7:14">
      <c r="G172" s="8"/>
      <c r="H172" s="8"/>
      <c r="I172" s="8"/>
      <c r="J172" s="8"/>
      <c r="K172" s="8"/>
      <c r="L172" s="8"/>
      <c r="M172" s="8"/>
      <c r="N172" s="8"/>
    </row>
    <row r="173" spans="7:14">
      <c r="G173" s="8"/>
      <c r="H173" s="8"/>
      <c r="I173" s="8"/>
      <c r="J173" s="8"/>
      <c r="K173" s="8"/>
      <c r="L173" s="8"/>
      <c r="M173" s="8"/>
      <c r="N173" s="8"/>
    </row>
    <row r="174" spans="7:14">
      <c r="G174" s="8"/>
      <c r="H174" s="8"/>
      <c r="I174" s="8"/>
      <c r="J174" s="8"/>
      <c r="K174" s="8"/>
      <c r="L174" s="8"/>
      <c r="M174" s="8"/>
      <c r="N174" s="8"/>
    </row>
    <row r="175" spans="7:14">
      <c r="G175" s="8"/>
      <c r="H175" s="8"/>
      <c r="I175" s="8"/>
      <c r="J175" s="8"/>
      <c r="K175" s="8"/>
      <c r="L175" s="8"/>
      <c r="M175" s="8"/>
      <c r="N175" s="8"/>
    </row>
    <row r="176" spans="7:14">
      <c r="G176" s="8"/>
      <c r="H176" s="8"/>
      <c r="I176" s="8"/>
      <c r="J176" s="8"/>
      <c r="K176" s="8"/>
      <c r="L176" s="8"/>
      <c r="M176" s="8"/>
      <c r="N176" s="8"/>
    </row>
    <row r="177" spans="7:14">
      <c r="G177" s="8"/>
      <c r="H177" s="8"/>
      <c r="I177" s="8"/>
      <c r="J177" s="8"/>
      <c r="K177" s="8"/>
      <c r="L177" s="8"/>
      <c r="M177" s="8"/>
      <c r="N177" s="8"/>
    </row>
    <row r="178" spans="7:14">
      <c r="G178" s="8"/>
      <c r="H178" s="8"/>
      <c r="I178" s="8"/>
      <c r="J178" s="8"/>
      <c r="K178" s="8"/>
      <c r="L178" s="8"/>
      <c r="M178" s="8"/>
      <c r="N178" s="8"/>
    </row>
    <row r="179" spans="7:14">
      <c r="G179" s="8"/>
      <c r="H179" s="8"/>
      <c r="I179" s="8"/>
      <c r="J179" s="8"/>
      <c r="K179" s="8"/>
      <c r="L179" s="8"/>
      <c r="M179" s="8"/>
      <c r="N179" s="8"/>
    </row>
    <row r="180" spans="7:14">
      <c r="G180" s="8"/>
      <c r="H180" s="8"/>
      <c r="I180" s="8"/>
      <c r="J180" s="8"/>
      <c r="K180" s="8"/>
      <c r="L180" s="8"/>
      <c r="M180" s="8"/>
      <c r="N180" s="8"/>
    </row>
    <row r="181" spans="7:14">
      <c r="G181" s="8"/>
      <c r="H181" s="8"/>
      <c r="I181" s="8"/>
      <c r="J181" s="8"/>
      <c r="K181" s="8"/>
      <c r="L181" s="8"/>
      <c r="M181" s="8"/>
      <c r="N181" s="8"/>
    </row>
    <row r="182" spans="7:14">
      <c r="G182" s="8"/>
      <c r="H182" s="8"/>
      <c r="I182" s="8"/>
      <c r="J182" s="8"/>
      <c r="K182" s="8"/>
      <c r="L182" s="8"/>
      <c r="M182" s="8"/>
      <c r="N182" s="8"/>
    </row>
    <row r="183" spans="7:14">
      <c r="G183" s="8"/>
      <c r="H183" s="8"/>
      <c r="I183" s="8"/>
      <c r="J183" s="8"/>
      <c r="K183" s="8"/>
      <c r="L183" s="8"/>
      <c r="M183" s="8"/>
      <c r="N183" s="8"/>
    </row>
    <row r="184" spans="7:14">
      <c r="G184" s="8"/>
      <c r="H184" s="8"/>
      <c r="I184" s="8"/>
      <c r="J184" s="8"/>
      <c r="K184" s="8"/>
      <c r="L184" s="8"/>
      <c r="M184" s="8"/>
      <c r="N184" s="8"/>
    </row>
    <row r="185" spans="7:14">
      <c r="G185" s="8"/>
      <c r="H185" s="8"/>
      <c r="I185" s="8"/>
      <c r="J185" s="8"/>
      <c r="K185" s="8"/>
      <c r="L185" s="8"/>
      <c r="M185" s="8"/>
      <c r="N185" s="8"/>
    </row>
    <row r="186" spans="7:14">
      <c r="G186" s="8"/>
      <c r="H186" s="8"/>
      <c r="I186" s="8"/>
      <c r="J186" s="8"/>
      <c r="K186" s="8"/>
      <c r="L186" s="8"/>
      <c r="M186" s="8"/>
      <c r="N186" s="8"/>
    </row>
    <row r="187" spans="7:14">
      <c r="G187" s="8"/>
      <c r="H187" s="8"/>
      <c r="I187" s="8"/>
      <c r="J187" s="8"/>
      <c r="K187" s="8"/>
      <c r="L187" s="8"/>
      <c r="M187" s="8"/>
      <c r="N187" s="8"/>
    </row>
    <row r="188" spans="7:14">
      <c r="G188" s="8"/>
      <c r="H188" s="8"/>
      <c r="I188" s="8"/>
      <c r="J188" s="8"/>
      <c r="K188" s="8"/>
      <c r="L188" s="8"/>
      <c r="M188" s="8"/>
      <c r="N188" s="8"/>
    </row>
    <row r="189" spans="7:14">
      <c r="G189" s="8"/>
      <c r="H189" s="8"/>
      <c r="I189" s="8"/>
      <c r="J189" s="8"/>
      <c r="K189" s="8"/>
      <c r="L189" s="8"/>
      <c r="M189" s="8"/>
      <c r="N189" s="8"/>
    </row>
    <row r="190" spans="7:14">
      <c r="G190" s="8"/>
      <c r="H190" s="8"/>
      <c r="I190" s="8"/>
      <c r="J190" s="8"/>
      <c r="K190" s="8"/>
      <c r="L190" s="8"/>
      <c r="M190" s="8"/>
      <c r="N190" s="8"/>
    </row>
    <row r="191" spans="7:14">
      <c r="G191" s="8"/>
      <c r="H191" s="8"/>
      <c r="I191" s="8"/>
      <c r="J191" s="8"/>
      <c r="K191" s="8"/>
      <c r="L191" s="8"/>
      <c r="M191" s="8"/>
      <c r="N191" s="8"/>
    </row>
    <row r="192" spans="7:14">
      <c r="G192" s="8"/>
      <c r="H192" s="8"/>
      <c r="I192" s="8"/>
      <c r="J192" s="8"/>
      <c r="K192" s="8"/>
      <c r="L192" s="8"/>
      <c r="M192" s="8"/>
      <c r="N192" s="8"/>
    </row>
    <row r="193" spans="7:14">
      <c r="G193" s="8"/>
      <c r="H193" s="8"/>
      <c r="I193" s="8"/>
      <c r="J193" s="8"/>
      <c r="K193" s="8"/>
      <c r="L193" s="8"/>
      <c r="M193" s="8"/>
      <c r="N193" s="8"/>
    </row>
    <row r="194" spans="7:14">
      <c r="G194" s="8"/>
      <c r="H194" s="8"/>
      <c r="I194" s="8"/>
      <c r="J194" s="8"/>
      <c r="K194" s="8"/>
      <c r="L194" s="8"/>
      <c r="M194" s="8"/>
      <c r="N194" s="8"/>
    </row>
    <row r="195" spans="7:14">
      <c r="G195" s="8"/>
      <c r="H195" s="8"/>
      <c r="I195" s="8"/>
      <c r="J195" s="8"/>
      <c r="K195" s="8"/>
      <c r="L195" s="8"/>
      <c r="M195" s="8"/>
      <c r="N195" s="8"/>
    </row>
    <row r="196" spans="7:14">
      <c r="G196" s="8"/>
      <c r="H196" s="8"/>
      <c r="I196" s="8"/>
      <c r="J196" s="8"/>
      <c r="K196" s="8"/>
      <c r="L196" s="8"/>
      <c r="M196" s="8"/>
      <c r="N196" s="8"/>
    </row>
    <row r="197" spans="7:14">
      <c r="G197" s="8"/>
      <c r="H197" s="8"/>
      <c r="I197" s="8"/>
      <c r="J197" s="8"/>
      <c r="K197" s="8"/>
      <c r="L197" s="8"/>
      <c r="M197" s="8"/>
      <c r="N197" s="8"/>
    </row>
    <row r="198" spans="7:14">
      <c r="G198" s="8"/>
      <c r="H198" s="8"/>
      <c r="I198" s="8"/>
      <c r="J198" s="8"/>
      <c r="K198" s="8"/>
      <c r="L198" s="8"/>
      <c r="M198" s="8"/>
      <c r="N198" s="8"/>
    </row>
    <row r="199" spans="7:14">
      <c r="G199" s="8"/>
      <c r="H199" s="8"/>
      <c r="I199" s="8"/>
      <c r="J199" s="8"/>
      <c r="K199" s="8"/>
      <c r="L199" s="8"/>
      <c r="M199" s="8"/>
      <c r="N199" s="8"/>
    </row>
    <row r="200" spans="7:14">
      <c r="G200" s="8"/>
      <c r="H200" s="8"/>
      <c r="I200" s="8"/>
      <c r="J200" s="8"/>
      <c r="K200" s="8"/>
      <c r="L200" s="8"/>
      <c r="M200" s="8"/>
      <c r="N200" s="8"/>
    </row>
    <row r="201" spans="7:14">
      <c r="G201" s="8"/>
      <c r="H201" s="8"/>
      <c r="I201" s="8"/>
      <c r="J201" s="8"/>
      <c r="K201" s="8"/>
      <c r="L201" s="8"/>
      <c r="M201" s="8"/>
      <c r="N201" s="8"/>
    </row>
    <row r="202" spans="7:14">
      <c r="G202" s="8"/>
      <c r="H202" s="8"/>
      <c r="I202" s="8"/>
      <c r="J202" s="8"/>
      <c r="K202" s="8"/>
      <c r="L202" s="8"/>
      <c r="M202" s="8"/>
      <c r="N202" s="8"/>
    </row>
    <row r="203" spans="7:14">
      <c r="G203" s="8"/>
      <c r="H203" s="8"/>
      <c r="I203" s="8"/>
      <c r="J203" s="8"/>
      <c r="K203" s="8"/>
      <c r="L203" s="8"/>
      <c r="M203" s="8"/>
      <c r="N203" s="8"/>
    </row>
    <row r="204" spans="7:14">
      <c r="G204" s="8"/>
      <c r="H204" s="8"/>
      <c r="I204" s="8"/>
      <c r="J204" s="8"/>
      <c r="K204" s="8"/>
      <c r="L204" s="8"/>
      <c r="M204" s="8"/>
      <c r="N204" s="8"/>
    </row>
    <row r="205" spans="7:14">
      <c r="G205" s="8"/>
      <c r="H205" s="8"/>
      <c r="I205" s="8"/>
      <c r="J205" s="8"/>
      <c r="K205" s="8"/>
      <c r="L205" s="8"/>
      <c r="M205" s="8"/>
      <c r="N205" s="8"/>
    </row>
    <row r="206" spans="7:14">
      <c r="G206" s="8"/>
      <c r="H206" s="8"/>
      <c r="I206" s="8"/>
      <c r="J206" s="8"/>
      <c r="K206" s="8"/>
      <c r="L206" s="8"/>
      <c r="M206" s="8"/>
      <c r="N206" s="8"/>
    </row>
    <row r="207" spans="7:14">
      <c r="G207" s="8"/>
      <c r="H207" s="8"/>
      <c r="I207" s="8"/>
      <c r="J207" s="8"/>
      <c r="K207" s="8"/>
      <c r="L207" s="8"/>
      <c r="M207" s="8"/>
      <c r="N207" s="8"/>
    </row>
    <row r="208" spans="7:14">
      <c r="G208" s="8"/>
      <c r="H208" s="8"/>
      <c r="I208" s="8"/>
      <c r="J208" s="8"/>
      <c r="K208" s="8"/>
      <c r="L208" s="8"/>
      <c r="M208" s="8"/>
      <c r="N208" s="8"/>
    </row>
    <row r="209" spans="7:14">
      <c r="G209" s="8"/>
      <c r="H209" s="8"/>
      <c r="I209" s="8"/>
      <c r="J209" s="8"/>
      <c r="K209" s="8"/>
      <c r="L209" s="8"/>
      <c r="M209" s="8"/>
      <c r="N209" s="8"/>
    </row>
    <row r="210" spans="7:14">
      <c r="G210" s="8"/>
      <c r="H210" s="8"/>
      <c r="I210" s="8"/>
      <c r="J210" s="8"/>
      <c r="K210" s="8"/>
      <c r="L210" s="8"/>
      <c r="M210" s="8"/>
      <c r="N210" s="8"/>
    </row>
    <row r="211" spans="7:14">
      <c r="G211" s="8"/>
      <c r="H211" s="8"/>
      <c r="I211" s="8"/>
      <c r="J211" s="8"/>
      <c r="K211" s="8"/>
      <c r="L211" s="8"/>
      <c r="M211" s="8"/>
      <c r="N211" s="8"/>
    </row>
    <row r="212" spans="7:14">
      <c r="G212" s="8"/>
      <c r="H212" s="8"/>
      <c r="I212" s="8"/>
      <c r="J212" s="8"/>
      <c r="K212" s="8"/>
      <c r="L212" s="8"/>
      <c r="M212" s="8"/>
      <c r="N212" s="8"/>
    </row>
    <row r="213" spans="7:14">
      <c r="G213" s="8"/>
      <c r="H213" s="8"/>
      <c r="I213" s="8"/>
      <c r="J213" s="8"/>
      <c r="K213" s="8"/>
      <c r="L213" s="8"/>
      <c r="M213" s="8"/>
      <c r="N213" s="8"/>
    </row>
    <row r="214" spans="7:14">
      <c r="G214" s="8"/>
      <c r="H214" s="8"/>
      <c r="I214" s="8"/>
      <c r="J214" s="8"/>
      <c r="K214" s="8"/>
      <c r="L214" s="8"/>
      <c r="M214" s="8"/>
      <c r="N214" s="8"/>
    </row>
    <row r="215" spans="7:14">
      <c r="G215" s="8"/>
      <c r="H215" s="8"/>
      <c r="I215" s="8"/>
      <c r="J215" s="8"/>
      <c r="K215" s="8"/>
      <c r="L215" s="8"/>
      <c r="M215" s="8"/>
      <c r="N215" s="8"/>
    </row>
    <row r="216" spans="7:14">
      <c r="G216" s="8"/>
      <c r="H216" s="8"/>
      <c r="I216" s="8"/>
      <c r="J216" s="8"/>
      <c r="K216" s="8"/>
      <c r="L216" s="8"/>
      <c r="M216" s="8"/>
      <c r="N216" s="8"/>
    </row>
    <row r="217" spans="7:14">
      <c r="G217" s="8"/>
      <c r="H217" s="8"/>
      <c r="I217" s="8"/>
      <c r="J217" s="8"/>
      <c r="K217" s="8"/>
      <c r="L217" s="8"/>
      <c r="M217" s="8"/>
      <c r="N217" s="8"/>
    </row>
    <row r="218" spans="7:14">
      <c r="G218" s="8"/>
      <c r="H218" s="8"/>
      <c r="I218" s="8"/>
      <c r="J218" s="8"/>
      <c r="K218" s="8"/>
      <c r="L218" s="8"/>
      <c r="M218" s="8"/>
      <c r="N218" s="8"/>
    </row>
    <row r="219" spans="7:14">
      <c r="G219" s="8"/>
      <c r="H219" s="8"/>
      <c r="I219" s="8"/>
      <c r="J219" s="8"/>
      <c r="K219" s="8"/>
      <c r="L219" s="8"/>
      <c r="M219" s="8"/>
      <c r="N219" s="8"/>
    </row>
    <row r="220" spans="7:14">
      <c r="G220" s="8"/>
      <c r="H220" s="8"/>
      <c r="I220" s="8"/>
      <c r="J220" s="8"/>
      <c r="K220" s="8"/>
      <c r="L220" s="8"/>
      <c r="M220" s="8"/>
      <c r="N220" s="8"/>
    </row>
    <row r="221" spans="7:14">
      <c r="G221" s="8"/>
      <c r="H221" s="8"/>
      <c r="I221" s="8"/>
      <c r="J221" s="8"/>
      <c r="K221" s="8"/>
      <c r="L221" s="8"/>
      <c r="M221" s="8"/>
      <c r="N221" s="8"/>
    </row>
    <row r="222" spans="7:14">
      <c r="G222" s="8"/>
      <c r="H222" s="8"/>
      <c r="I222" s="8"/>
      <c r="J222" s="8"/>
      <c r="K222" s="8"/>
      <c r="L222" s="8"/>
      <c r="M222" s="8"/>
      <c r="N222" s="8"/>
    </row>
    <row r="223" spans="7:14">
      <c r="G223" s="8"/>
      <c r="H223" s="8"/>
      <c r="I223" s="8"/>
      <c r="J223" s="8"/>
      <c r="K223" s="8"/>
      <c r="L223" s="8"/>
      <c r="M223" s="8"/>
      <c r="N223" s="8"/>
    </row>
    <row r="224" spans="7:14">
      <c r="G224" s="8"/>
      <c r="H224" s="8"/>
      <c r="I224" s="8"/>
      <c r="J224" s="8"/>
      <c r="K224" s="8"/>
      <c r="L224" s="8"/>
      <c r="M224" s="8"/>
      <c r="N224" s="8"/>
    </row>
    <row r="225" spans="7:14">
      <c r="G225" s="8"/>
      <c r="H225" s="8"/>
      <c r="I225" s="8"/>
      <c r="J225" s="8"/>
      <c r="K225" s="8"/>
      <c r="L225" s="8"/>
      <c r="M225" s="8"/>
      <c r="N225" s="8"/>
    </row>
    <row r="226" spans="7:14">
      <c r="G226" s="8"/>
      <c r="H226" s="8"/>
      <c r="I226" s="8"/>
      <c r="J226" s="8"/>
      <c r="K226" s="8"/>
      <c r="L226" s="8"/>
      <c r="M226" s="8"/>
      <c r="N226" s="8"/>
    </row>
    <row r="227" spans="7:14">
      <c r="G227" s="8"/>
      <c r="H227" s="8"/>
      <c r="I227" s="8"/>
      <c r="J227" s="8"/>
      <c r="K227" s="8"/>
      <c r="L227" s="8"/>
      <c r="M227" s="8"/>
      <c r="N227" s="8"/>
    </row>
    <row r="228" spans="7:14">
      <c r="G228" s="8"/>
      <c r="H228" s="8"/>
      <c r="I228" s="8"/>
      <c r="J228" s="8"/>
      <c r="K228" s="8"/>
      <c r="L228" s="8"/>
      <c r="M228" s="8"/>
      <c r="N228" s="8"/>
    </row>
    <row r="229" spans="7:14">
      <c r="G229" s="8"/>
      <c r="H229" s="8"/>
      <c r="I229" s="8"/>
      <c r="J229" s="8"/>
      <c r="K229" s="8"/>
      <c r="L229" s="8"/>
      <c r="M229" s="8"/>
      <c r="N229" s="8"/>
    </row>
    <row r="230" spans="7:14">
      <c r="G230" s="8"/>
      <c r="H230" s="8"/>
      <c r="I230" s="8"/>
      <c r="J230" s="8"/>
      <c r="K230" s="8"/>
      <c r="L230" s="8"/>
      <c r="M230" s="8"/>
      <c r="N230" s="8"/>
    </row>
    <row r="231" spans="7:14">
      <c r="G231" s="8"/>
      <c r="H231" s="8"/>
      <c r="I231" s="8"/>
      <c r="J231" s="8"/>
      <c r="K231" s="8"/>
      <c r="L231" s="8"/>
      <c r="M231" s="8"/>
      <c r="N231" s="8"/>
    </row>
    <row r="232" spans="7:14">
      <c r="G232" s="8"/>
      <c r="H232" s="8"/>
      <c r="I232" s="8"/>
      <c r="J232" s="8"/>
      <c r="K232" s="8"/>
      <c r="L232" s="8"/>
      <c r="M232" s="8"/>
      <c r="N232" s="8"/>
    </row>
    <row r="233" spans="7:14">
      <c r="G233" s="8"/>
      <c r="H233" s="8"/>
      <c r="I233" s="8"/>
      <c r="J233" s="8"/>
      <c r="K233" s="8"/>
      <c r="L233" s="8"/>
      <c r="M233" s="8"/>
      <c r="N233" s="8"/>
    </row>
    <row r="234" spans="7:14">
      <c r="G234" s="8"/>
      <c r="H234" s="8"/>
      <c r="I234" s="8"/>
      <c r="J234" s="8"/>
      <c r="K234" s="8"/>
      <c r="L234" s="8"/>
      <c r="M234" s="8"/>
      <c r="N234" s="8"/>
    </row>
    <row r="235" spans="7:14">
      <c r="G235" s="8"/>
      <c r="H235" s="8"/>
      <c r="I235" s="8"/>
      <c r="J235" s="8"/>
      <c r="K235" s="8"/>
      <c r="L235" s="8"/>
      <c r="M235" s="8"/>
      <c r="N235" s="8"/>
    </row>
    <row r="236" spans="7:14">
      <c r="G236" s="8"/>
      <c r="H236" s="8"/>
      <c r="I236" s="8"/>
      <c r="J236" s="8"/>
      <c r="K236" s="8"/>
      <c r="L236" s="8"/>
      <c r="M236" s="8"/>
      <c r="N236" s="8"/>
    </row>
    <row r="237" spans="7:14">
      <c r="G237" s="8"/>
      <c r="H237" s="8"/>
      <c r="I237" s="8"/>
      <c r="J237" s="8"/>
      <c r="K237" s="8"/>
      <c r="L237" s="8"/>
      <c r="M237" s="8"/>
      <c r="N237" s="8"/>
    </row>
    <row r="238" spans="7:14">
      <c r="G238" s="8"/>
      <c r="H238" s="8"/>
      <c r="I238" s="8"/>
      <c r="J238" s="8"/>
      <c r="K238" s="8"/>
      <c r="L238" s="8"/>
      <c r="M238" s="8"/>
      <c r="N238" s="8"/>
    </row>
    <row r="239" spans="7:14">
      <c r="G239" s="8"/>
      <c r="H239" s="8"/>
      <c r="I239" s="8"/>
      <c r="J239" s="8"/>
      <c r="K239" s="8"/>
      <c r="L239" s="8"/>
      <c r="M239" s="8"/>
      <c r="N239" s="8"/>
    </row>
    <row r="240" spans="7:14">
      <c r="G240" s="8"/>
      <c r="H240" s="8"/>
      <c r="I240" s="8"/>
      <c r="J240" s="8"/>
      <c r="K240" s="8"/>
      <c r="L240" s="8"/>
      <c r="M240" s="8"/>
      <c r="N240" s="8"/>
    </row>
    <row r="241" spans="7:14">
      <c r="G241" s="8"/>
      <c r="H241" s="8"/>
      <c r="I241" s="8"/>
      <c r="J241" s="8"/>
      <c r="K241" s="8"/>
      <c r="L241" s="8"/>
      <c r="M241" s="8"/>
      <c r="N241" s="8"/>
    </row>
    <row r="242" spans="7:14">
      <c r="G242" s="8"/>
      <c r="H242" s="8"/>
      <c r="I242" s="8"/>
      <c r="J242" s="8"/>
      <c r="K242" s="8"/>
      <c r="L242" s="8"/>
      <c r="M242" s="8"/>
      <c r="N242" s="8"/>
    </row>
    <row r="243" spans="7:14">
      <c r="G243" s="8"/>
      <c r="H243" s="8"/>
      <c r="I243" s="8"/>
      <c r="J243" s="8"/>
      <c r="K243" s="8"/>
      <c r="L243" s="8"/>
      <c r="M243" s="8"/>
      <c r="N243" s="8"/>
    </row>
    <row r="244" spans="7:14">
      <c r="G244" s="8"/>
      <c r="H244" s="8"/>
      <c r="I244" s="8"/>
      <c r="J244" s="8"/>
      <c r="K244" s="8"/>
      <c r="L244" s="8"/>
      <c r="M244" s="8"/>
      <c r="N244" s="8"/>
    </row>
    <row r="245" spans="7:14">
      <c r="G245" s="8"/>
      <c r="H245" s="8"/>
      <c r="I245" s="8"/>
      <c r="J245" s="8"/>
      <c r="K245" s="8"/>
      <c r="L245" s="8"/>
      <c r="M245" s="8"/>
      <c r="N245" s="8"/>
    </row>
    <row r="246" spans="7:14">
      <c r="G246" s="8"/>
      <c r="H246" s="8"/>
      <c r="I246" s="8"/>
      <c r="J246" s="8"/>
      <c r="K246" s="8"/>
      <c r="L246" s="8"/>
      <c r="M246" s="8"/>
      <c r="N246" s="8"/>
    </row>
    <row r="247" spans="7:14">
      <c r="G247" s="8"/>
      <c r="H247" s="8"/>
      <c r="I247" s="8"/>
      <c r="J247" s="8"/>
      <c r="K247" s="8"/>
      <c r="L247" s="8"/>
      <c r="M247" s="8"/>
      <c r="N247" s="8"/>
    </row>
    <row r="248" spans="7:14">
      <c r="G248" s="8"/>
      <c r="H248" s="8"/>
      <c r="I248" s="8"/>
      <c r="J248" s="8"/>
      <c r="K248" s="8"/>
      <c r="L248" s="8"/>
      <c r="M248" s="8"/>
      <c r="N248" s="8"/>
    </row>
    <row r="249" spans="7:14">
      <c r="G249" s="8"/>
      <c r="H249" s="8"/>
      <c r="I249" s="8"/>
      <c r="J249" s="8"/>
      <c r="K249" s="8"/>
      <c r="L249" s="8"/>
      <c r="M249" s="8"/>
      <c r="N249" s="8"/>
    </row>
    <row r="250" spans="7:14">
      <c r="G250" s="8"/>
      <c r="H250" s="8"/>
      <c r="I250" s="8"/>
      <c r="J250" s="8"/>
      <c r="K250" s="8"/>
      <c r="L250" s="8"/>
      <c r="M250" s="8"/>
      <c r="N250" s="8"/>
    </row>
    <row r="251" spans="7:14">
      <c r="G251" s="8"/>
      <c r="H251" s="8"/>
      <c r="I251" s="8"/>
      <c r="J251" s="8"/>
      <c r="K251" s="8"/>
      <c r="L251" s="8"/>
      <c r="M251" s="8"/>
      <c r="N251" s="8"/>
    </row>
    <row r="252" spans="7:14">
      <c r="G252" s="8"/>
      <c r="H252" s="8"/>
      <c r="I252" s="8"/>
      <c r="J252" s="8"/>
      <c r="K252" s="8"/>
      <c r="L252" s="8"/>
      <c r="M252" s="8"/>
      <c r="N252" s="8"/>
    </row>
    <row r="253" spans="7:14">
      <c r="G253" s="8"/>
      <c r="H253" s="8"/>
      <c r="I253" s="8"/>
      <c r="J253" s="8"/>
      <c r="K253" s="8"/>
      <c r="L253" s="8"/>
      <c r="M253" s="8"/>
      <c r="N253" s="8"/>
    </row>
    <row r="254" spans="7:14">
      <c r="G254" s="8"/>
      <c r="H254" s="8"/>
      <c r="I254" s="8"/>
      <c r="J254" s="8"/>
      <c r="K254" s="8"/>
      <c r="L254" s="8"/>
      <c r="M254" s="8"/>
      <c r="N254" s="8"/>
    </row>
    <row r="255" spans="7:14">
      <c r="G255" s="8"/>
      <c r="H255" s="8"/>
      <c r="I255" s="8"/>
      <c r="J255" s="8"/>
      <c r="K255" s="8"/>
      <c r="L255" s="8"/>
      <c r="M255" s="8"/>
      <c r="N255" s="8"/>
    </row>
    <row r="256" spans="7:14">
      <c r="G256" s="8"/>
      <c r="H256" s="8"/>
      <c r="I256" s="8"/>
      <c r="J256" s="8"/>
      <c r="K256" s="8"/>
      <c r="L256" s="8"/>
      <c r="M256" s="8"/>
      <c r="N256" s="8"/>
    </row>
    <row r="257" spans="7:14">
      <c r="G257" s="8"/>
      <c r="H257" s="8"/>
      <c r="I257" s="8"/>
      <c r="J257" s="8"/>
      <c r="K257" s="8"/>
      <c r="L257" s="8"/>
      <c r="M257" s="8"/>
      <c r="N257" s="8"/>
    </row>
    <row r="258" spans="7:14">
      <c r="G258" s="8"/>
      <c r="H258" s="8"/>
      <c r="I258" s="8"/>
      <c r="J258" s="8"/>
      <c r="K258" s="8"/>
      <c r="L258" s="8"/>
      <c r="M258" s="8"/>
      <c r="N258" s="8"/>
    </row>
    <row r="259" spans="7:14">
      <c r="G259" s="8"/>
      <c r="H259" s="8"/>
      <c r="I259" s="8"/>
      <c r="J259" s="8"/>
      <c r="K259" s="8"/>
      <c r="L259" s="8"/>
      <c r="M259" s="8"/>
      <c r="N259" s="8"/>
    </row>
    <row r="260" spans="7:14">
      <c r="G260" s="8"/>
      <c r="H260" s="8"/>
      <c r="I260" s="8"/>
      <c r="J260" s="8"/>
      <c r="K260" s="8"/>
      <c r="L260" s="8"/>
      <c r="M260" s="8"/>
      <c r="N260" s="8"/>
    </row>
    <row r="261" spans="7:14">
      <c r="G261" s="8"/>
      <c r="H261" s="8"/>
      <c r="I261" s="8"/>
      <c r="J261" s="8"/>
      <c r="K261" s="8"/>
      <c r="L261" s="8"/>
      <c r="M261" s="8"/>
      <c r="N261" s="8"/>
    </row>
    <row r="262" spans="7:14">
      <c r="G262" s="8"/>
      <c r="H262" s="8"/>
      <c r="I262" s="8"/>
      <c r="J262" s="8"/>
      <c r="K262" s="8"/>
      <c r="L262" s="8"/>
      <c r="M262" s="8"/>
      <c r="N262" s="8"/>
    </row>
    <row r="263" spans="7:14">
      <c r="G263" s="8"/>
      <c r="H263" s="8"/>
      <c r="I263" s="8"/>
      <c r="J263" s="8"/>
      <c r="K263" s="8"/>
      <c r="L263" s="8"/>
      <c r="M263" s="8"/>
      <c r="N263" s="8"/>
    </row>
    <row r="264" spans="7:14">
      <c r="G264" s="8"/>
      <c r="H264" s="8"/>
      <c r="I264" s="8"/>
      <c r="J264" s="8"/>
      <c r="K264" s="8"/>
      <c r="L264" s="8"/>
      <c r="M264" s="8"/>
      <c r="N264" s="8"/>
    </row>
    <row r="265" spans="7:14">
      <c r="G265" s="8"/>
      <c r="H265" s="8"/>
      <c r="I265" s="8"/>
      <c r="J265" s="8"/>
      <c r="K265" s="8"/>
      <c r="L265" s="8"/>
      <c r="M265" s="8"/>
      <c r="N265" s="8"/>
    </row>
    <row r="266" spans="7:14">
      <c r="G266" s="8"/>
      <c r="H266" s="8"/>
      <c r="I266" s="8"/>
      <c r="J266" s="8"/>
      <c r="K266" s="8"/>
      <c r="L266" s="8"/>
      <c r="M266" s="8"/>
      <c r="N266" s="8"/>
    </row>
    <row r="267" spans="7:14">
      <c r="G267" s="8"/>
      <c r="H267" s="8"/>
      <c r="I267" s="8"/>
      <c r="J267" s="8"/>
      <c r="K267" s="8"/>
      <c r="L267" s="8"/>
      <c r="M267" s="8"/>
      <c r="N267" s="8"/>
    </row>
    <row r="268" spans="7:14">
      <c r="G268" s="8"/>
      <c r="H268" s="8"/>
      <c r="I268" s="8"/>
      <c r="J268" s="8"/>
      <c r="K268" s="8"/>
      <c r="L268" s="8"/>
      <c r="M268" s="8"/>
      <c r="N268" s="8"/>
    </row>
    <row r="269" spans="7:14">
      <c r="G269" s="8"/>
      <c r="H269" s="8"/>
      <c r="I269" s="8"/>
      <c r="J269" s="8"/>
      <c r="K269" s="8"/>
      <c r="L269" s="8"/>
      <c r="M269" s="8"/>
      <c r="N269" s="8"/>
    </row>
    <row r="270" spans="7:14">
      <c r="G270" s="8"/>
      <c r="H270" s="8"/>
      <c r="I270" s="8"/>
      <c r="J270" s="8"/>
      <c r="K270" s="8"/>
      <c r="L270" s="8"/>
      <c r="M270" s="8"/>
      <c r="N270" s="8"/>
    </row>
    <row r="271" spans="7:14">
      <c r="G271" s="8"/>
      <c r="H271" s="8"/>
      <c r="I271" s="8"/>
      <c r="J271" s="8"/>
      <c r="K271" s="8"/>
      <c r="L271" s="8"/>
      <c r="M271" s="8"/>
      <c r="N271" s="8"/>
    </row>
    <row r="272" spans="7:14">
      <c r="G272" s="8"/>
      <c r="H272" s="8"/>
      <c r="I272" s="8"/>
      <c r="J272" s="8"/>
      <c r="K272" s="8"/>
      <c r="L272" s="8"/>
      <c r="M272" s="8"/>
      <c r="N272" s="8"/>
    </row>
    <row r="273" spans="7:14">
      <c r="G273" s="8"/>
      <c r="H273" s="8"/>
      <c r="I273" s="8"/>
      <c r="J273" s="8"/>
      <c r="K273" s="8"/>
      <c r="L273" s="8"/>
      <c r="M273" s="8"/>
      <c r="N273" s="8"/>
    </row>
    <row r="274" spans="7:14">
      <c r="G274" s="8"/>
      <c r="H274" s="8"/>
      <c r="I274" s="8"/>
      <c r="J274" s="8"/>
      <c r="K274" s="8"/>
      <c r="L274" s="8"/>
      <c r="M274" s="8"/>
      <c r="N274" s="8"/>
    </row>
    <row r="275" spans="7:14">
      <c r="G275" s="8"/>
      <c r="H275" s="8"/>
      <c r="I275" s="8"/>
      <c r="J275" s="8"/>
      <c r="K275" s="8"/>
      <c r="L275" s="8"/>
      <c r="M275" s="8"/>
      <c r="N275" s="8"/>
    </row>
    <row r="276" spans="7:14">
      <c r="G276" s="8"/>
      <c r="H276" s="8"/>
      <c r="I276" s="8"/>
      <c r="J276" s="8"/>
      <c r="K276" s="8"/>
      <c r="L276" s="8"/>
      <c r="M276" s="8"/>
      <c r="N276" s="8"/>
    </row>
    <row r="277" spans="7:14">
      <c r="G277" s="8"/>
      <c r="H277" s="8"/>
      <c r="I277" s="8"/>
      <c r="J277" s="8"/>
      <c r="K277" s="8"/>
      <c r="L277" s="8"/>
      <c r="M277" s="8"/>
      <c r="N277" s="8"/>
    </row>
    <row r="278" spans="7:14">
      <c r="G278" s="8"/>
      <c r="H278" s="8"/>
      <c r="I278" s="8"/>
      <c r="J278" s="8"/>
      <c r="K278" s="8"/>
      <c r="L278" s="8"/>
      <c r="M278" s="8"/>
      <c r="N278" s="8"/>
    </row>
    <row r="279" spans="7:14">
      <c r="G279" s="8"/>
      <c r="H279" s="8"/>
      <c r="I279" s="8"/>
      <c r="J279" s="8"/>
      <c r="K279" s="8"/>
      <c r="L279" s="8"/>
      <c r="M279" s="8"/>
      <c r="N279" s="8"/>
    </row>
    <row r="280" spans="7:14">
      <c r="G280" s="8"/>
      <c r="H280" s="8"/>
      <c r="I280" s="8"/>
      <c r="J280" s="8"/>
      <c r="K280" s="8"/>
      <c r="L280" s="8"/>
      <c r="M280" s="8"/>
      <c r="N280" s="8"/>
    </row>
    <row r="281" spans="7:14">
      <c r="G281" s="8"/>
      <c r="H281" s="8"/>
      <c r="I281" s="8"/>
      <c r="J281" s="8"/>
      <c r="K281" s="8"/>
      <c r="L281" s="8"/>
      <c r="M281" s="8"/>
      <c r="N281" s="8"/>
    </row>
    <row r="282" spans="7:14">
      <c r="G282" s="8"/>
      <c r="H282" s="8"/>
      <c r="I282" s="8"/>
      <c r="J282" s="8"/>
      <c r="K282" s="8"/>
      <c r="L282" s="8"/>
      <c r="M282" s="8"/>
      <c r="N282" s="8"/>
    </row>
    <row r="283" spans="7:14">
      <c r="G283" s="8"/>
      <c r="H283" s="8"/>
      <c r="I283" s="8"/>
      <c r="J283" s="8"/>
      <c r="K283" s="8"/>
      <c r="L283" s="8"/>
      <c r="M283" s="8"/>
      <c r="N283" s="8"/>
    </row>
    <row r="284" spans="7:14">
      <c r="G284" s="8"/>
      <c r="H284" s="8"/>
      <c r="I284" s="8"/>
      <c r="J284" s="8"/>
      <c r="K284" s="8"/>
      <c r="L284" s="8"/>
      <c r="M284" s="8"/>
      <c r="N284" s="8"/>
    </row>
    <row r="285" spans="7:14">
      <c r="G285" s="8"/>
      <c r="H285" s="8"/>
      <c r="I285" s="8"/>
      <c r="J285" s="8"/>
      <c r="K285" s="8"/>
      <c r="L285" s="8"/>
      <c r="M285" s="8"/>
      <c r="N285" s="8"/>
    </row>
    <row r="286" spans="7:14">
      <c r="G286" s="8"/>
      <c r="H286" s="8"/>
      <c r="I286" s="8"/>
      <c r="J286" s="8"/>
      <c r="K286" s="8"/>
      <c r="L286" s="8"/>
      <c r="M286" s="8"/>
      <c r="N286" s="8"/>
    </row>
    <row r="287" spans="7:14">
      <c r="G287" s="8"/>
      <c r="H287" s="8"/>
      <c r="I287" s="8"/>
      <c r="J287" s="8"/>
      <c r="K287" s="8"/>
      <c r="L287" s="8"/>
      <c r="M287" s="8"/>
      <c r="N287" s="8"/>
    </row>
    <row r="288" spans="7:14">
      <c r="G288" s="8"/>
      <c r="H288" s="8"/>
      <c r="I288" s="8"/>
      <c r="J288" s="8"/>
      <c r="K288" s="8"/>
      <c r="L288" s="8"/>
      <c r="M288" s="8"/>
      <c r="N288" s="8"/>
    </row>
    <row r="289" spans="7:14">
      <c r="G289" s="8"/>
      <c r="H289" s="8"/>
      <c r="I289" s="8"/>
      <c r="J289" s="8"/>
      <c r="K289" s="8"/>
      <c r="L289" s="8"/>
      <c r="M289" s="8"/>
      <c r="N289" s="8"/>
    </row>
    <row r="290" spans="7:14">
      <c r="G290" s="8"/>
      <c r="H290" s="8"/>
      <c r="I290" s="8"/>
      <c r="J290" s="8"/>
      <c r="K290" s="8"/>
      <c r="L290" s="8"/>
      <c r="M290" s="8"/>
      <c r="N290" s="8"/>
    </row>
    <row r="291" spans="7:14">
      <c r="G291" s="8"/>
      <c r="H291" s="8"/>
      <c r="I291" s="8"/>
      <c r="J291" s="8"/>
      <c r="K291" s="8"/>
      <c r="L291" s="8"/>
      <c r="M291" s="8"/>
      <c r="N291" s="8"/>
    </row>
    <row r="292" spans="7:14">
      <c r="G292" s="8"/>
      <c r="H292" s="8"/>
      <c r="I292" s="8"/>
      <c r="J292" s="8"/>
      <c r="K292" s="8"/>
      <c r="L292" s="8"/>
      <c r="M292" s="8"/>
      <c r="N292" s="8"/>
    </row>
    <row r="293" spans="7:14">
      <c r="G293" s="8"/>
      <c r="H293" s="8"/>
      <c r="I293" s="8"/>
      <c r="J293" s="8"/>
      <c r="K293" s="8"/>
      <c r="L293" s="8"/>
      <c r="M293" s="8"/>
      <c r="N293" s="8"/>
    </row>
    <row r="294" spans="7:14">
      <c r="G294" s="8"/>
      <c r="H294" s="8"/>
      <c r="I294" s="8"/>
      <c r="J294" s="8"/>
      <c r="K294" s="8"/>
      <c r="L294" s="8"/>
      <c r="M294" s="8"/>
      <c r="N294" s="8"/>
    </row>
    <row r="295" spans="7:14">
      <c r="G295" s="8"/>
      <c r="H295" s="8"/>
      <c r="I295" s="8"/>
      <c r="J295" s="8"/>
      <c r="K295" s="8"/>
      <c r="L295" s="8"/>
      <c r="M295" s="8"/>
      <c r="N295" s="8"/>
    </row>
    <row r="296" spans="7:14">
      <c r="G296" s="8"/>
      <c r="H296" s="8"/>
      <c r="I296" s="8"/>
      <c r="J296" s="8"/>
      <c r="K296" s="8"/>
      <c r="L296" s="8"/>
      <c r="M296" s="8"/>
      <c r="N296" s="8"/>
    </row>
    <row r="297" spans="7:14">
      <c r="G297" s="8"/>
      <c r="H297" s="8"/>
      <c r="I297" s="8"/>
      <c r="J297" s="8"/>
      <c r="K297" s="8"/>
      <c r="L297" s="8"/>
      <c r="M297" s="8"/>
      <c r="N297" s="8"/>
    </row>
    <row r="298" spans="7:14">
      <c r="G298" s="8"/>
      <c r="H298" s="8"/>
      <c r="I298" s="8"/>
      <c r="J298" s="8"/>
      <c r="K298" s="8"/>
      <c r="L298" s="8"/>
      <c r="M298" s="8"/>
      <c r="N298" s="8"/>
    </row>
    <row r="299" spans="7:14">
      <c r="G299" s="8"/>
      <c r="H299" s="8"/>
      <c r="I299" s="8"/>
      <c r="J299" s="8"/>
      <c r="K299" s="8"/>
      <c r="L299" s="8"/>
      <c r="M299" s="8"/>
      <c r="N299" s="8"/>
    </row>
    <row r="300" spans="7:14">
      <c r="G300" s="8"/>
      <c r="H300" s="8"/>
      <c r="I300" s="8"/>
      <c r="J300" s="8"/>
      <c r="K300" s="8"/>
      <c r="L300" s="8"/>
      <c r="M300" s="8"/>
      <c r="N300" s="8"/>
    </row>
    <row r="301" spans="7:14">
      <c r="G301" s="8"/>
      <c r="H301" s="8"/>
      <c r="I301" s="8"/>
      <c r="J301" s="8"/>
      <c r="K301" s="8"/>
      <c r="L301" s="8"/>
      <c r="M301" s="8"/>
      <c r="N301" s="8"/>
    </row>
    <row r="302" spans="7:14">
      <c r="G302" s="8"/>
      <c r="H302" s="8"/>
      <c r="I302" s="8"/>
      <c r="J302" s="8"/>
      <c r="K302" s="8"/>
      <c r="L302" s="8"/>
      <c r="M302" s="8"/>
      <c r="N302" s="8"/>
    </row>
    <row r="303" spans="7:14">
      <c r="G303" s="8"/>
      <c r="H303" s="8"/>
      <c r="I303" s="8"/>
      <c r="J303" s="8"/>
      <c r="K303" s="8"/>
      <c r="L303" s="8"/>
      <c r="M303" s="8"/>
      <c r="N303" s="8"/>
    </row>
    <row r="304" spans="7:14">
      <c r="G304" s="8"/>
      <c r="H304" s="8"/>
      <c r="I304" s="8"/>
      <c r="J304" s="8"/>
      <c r="K304" s="8"/>
      <c r="L304" s="8"/>
      <c r="M304" s="8"/>
      <c r="N304" s="8"/>
    </row>
    <row r="305" spans="7:14">
      <c r="G305" s="8"/>
      <c r="H305" s="8"/>
      <c r="I305" s="8"/>
      <c r="J305" s="8"/>
      <c r="K305" s="8"/>
      <c r="L305" s="8"/>
      <c r="M305" s="8"/>
      <c r="N305" s="8"/>
    </row>
    <row r="306" spans="7:14">
      <c r="G306" s="8"/>
      <c r="H306" s="8"/>
      <c r="I306" s="8"/>
      <c r="J306" s="8"/>
      <c r="K306" s="8"/>
      <c r="L306" s="8"/>
      <c r="M306" s="8"/>
      <c r="N306" s="8"/>
    </row>
    <row r="307" spans="7:14">
      <c r="G307" s="8"/>
      <c r="H307" s="8"/>
      <c r="I307" s="8"/>
      <c r="J307" s="8"/>
      <c r="K307" s="8"/>
      <c r="L307" s="8"/>
      <c r="M307" s="8"/>
      <c r="N307" s="8"/>
    </row>
    <row r="308" spans="7:14">
      <c r="G308" s="8"/>
      <c r="H308" s="8"/>
      <c r="I308" s="8"/>
      <c r="J308" s="8"/>
      <c r="K308" s="8"/>
      <c r="L308" s="8"/>
      <c r="M308" s="8"/>
      <c r="N308" s="8"/>
    </row>
    <row r="309" spans="7:14">
      <c r="G309" s="8"/>
      <c r="H309" s="8"/>
      <c r="I309" s="8"/>
      <c r="J309" s="8"/>
      <c r="K309" s="8"/>
      <c r="L309" s="8"/>
      <c r="M309" s="8"/>
      <c r="N309" s="8"/>
    </row>
    <row r="310" spans="7:14">
      <c r="G310" s="8"/>
      <c r="H310" s="8"/>
      <c r="I310" s="8"/>
      <c r="J310" s="8"/>
      <c r="K310" s="8"/>
      <c r="L310" s="8"/>
      <c r="M310" s="8"/>
      <c r="N310" s="8"/>
    </row>
    <row r="311" spans="7:14">
      <c r="G311" s="8"/>
      <c r="H311" s="8"/>
      <c r="I311" s="8"/>
      <c r="J311" s="8"/>
      <c r="K311" s="8"/>
      <c r="L311" s="8"/>
      <c r="M311" s="8"/>
      <c r="N311" s="8"/>
    </row>
    <row r="312" spans="7:14">
      <c r="G312" s="8"/>
      <c r="H312" s="8"/>
      <c r="I312" s="8"/>
      <c r="J312" s="8"/>
      <c r="K312" s="8"/>
      <c r="L312" s="8"/>
      <c r="M312" s="8"/>
      <c r="N312" s="8"/>
    </row>
    <row r="313" spans="7:14">
      <c r="G313" s="8"/>
      <c r="H313" s="8"/>
      <c r="I313" s="8"/>
      <c r="J313" s="8"/>
      <c r="K313" s="8"/>
      <c r="L313" s="8"/>
      <c r="M313" s="8"/>
      <c r="N313" s="8"/>
    </row>
    <row r="314" spans="7:14">
      <c r="G314" s="8"/>
      <c r="H314" s="8"/>
      <c r="I314" s="8"/>
      <c r="J314" s="8"/>
      <c r="K314" s="8"/>
      <c r="L314" s="8"/>
      <c r="M314" s="8"/>
      <c r="N314" s="8"/>
    </row>
    <row r="315" spans="7:14">
      <c r="G315" s="8"/>
      <c r="H315" s="8"/>
      <c r="I315" s="8"/>
      <c r="J315" s="8"/>
      <c r="K315" s="8"/>
      <c r="L315" s="8"/>
      <c r="M315" s="8"/>
      <c r="N315" s="8"/>
    </row>
    <row r="316" spans="7:14">
      <c r="G316" s="8"/>
      <c r="H316" s="8"/>
      <c r="I316" s="8"/>
      <c r="J316" s="8"/>
      <c r="K316" s="8"/>
      <c r="L316" s="8"/>
      <c r="M316" s="8"/>
      <c r="N316" s="8"/>
    </row>
    <row r="317" spans="7:14">
      <c r="G317" s="8"/>
      <c r="H317" s="8"/>
      <c r="I317" s="8"/>
      <c r="J317" s="8"/>
      <c r="K317" s="8"/>
      <c r="L317" s="8"/>
      <c r="M317" s="8"/>
      <c r="N317" s="8"/>
    </row>
    <row r="318" spans="7:14">
      <c r="G318" s="8"/>
      <c r="H318" s="8"/>
      <c r="I318" s="8"/>
      <c r="J318" s="8"/>
      <c r="K318" s="8"/>
      <c r="L318" s="8"/>
      <c r="M318" s="8"/>
      <c r="N318" s="8"/>
    </row>
    <row r="319" spans="7:14">
      <c r="G319" s="8"/>
      <c r="H319" s="8"/>
      <c r="I319" s="8"/>
      <c r="J319" s="8"/>
      <c r="K319" s="8"/>
      <c r="L319" s="8"/>
      <c r="M319" s="8"/>
      <c r="N319" s="8"/>
    </row>
    <row r="320" spans="7:14">
      <c r="G320" s="8"/>
      <c r="H320" s="8"/>
      <c r="I320" s="8"/>
      <c r="J320" s="8"/>
      <c r="K320" s="8"/>
      <c r="L320" s="8"/>
      <c r="M320" s="8"/>
      <c r="N320" s="8"/>
    </row>
    <row r="321" spans="7:14">
      <c r="G321" s="8"/>
      <c r="H321" s="8"/>
      <c r="I321" s="8"/>
      <c r="J321" s="8"/>
      <c r="K321" s="8"/>
      <c r="L321" s="8"/>
      <c r="M321" s="8"/>
      <c r="N321" s="8"/>
    </row>
    <row r="322" spans="7:14">
      <c r="G322" s="8"/>
      <c r="H322" s="8"/>
      <c r="I322" s="8"/>
      <c r="J322" s="8"/>
      <c r="K322" s="8"/>
      <c r="L322" s="8"/>
      <c r="M322" s="8"/>
      <c r="N322" s="8"/>
    </row>
    <row r="323" spans="7:14">
      <c r="G323" s="8"/>
      <c r="H323" s="8"/>
      <c r="I323" s="8"/>
      <c r="J323" s="8"/>
      <c r="K323" s="8"/>
      <c r="L323" s="8"/>
      <c r="M323" s="8"/>
      <c r="N323" s="8"/>
    </row>
    <row r="324" spans="7:14">
      <c r="G324" s="8"/>
      <c r="H324" s="8"/>
      <c r="I324" s="8"/>
      <c r="J324" s="8"/>
      <c r="K324" s="8"/>
      <c r="L324" s="8"/>
      <c r="M324" s="8"/>
      <c r="N324" s="8"/>
    </row>
    <row r="325" spans="7:14">
      <c r="G325" s="8"/>
      <c r="H325" s="8"/>
      <c r="I325" s="8"/>
      <c r="J325" s="8"/>
      <c r="K325" s="8"/>
      <c r="L325" s="8"/>
      <c r="M325" s="8"/>
      <c r="N325" s="8"/>
    </row>
    <row r="326" spans="7:14">
      <c r="G326" s="8"/>
      <c r="H326" s="8"/>
      <c r="I326" s="8"/>
      <c r="J326" s="8"/>
      <c r="K326" s="8"/>
      <c r="L326" s="8"/>
      <c r="M326" s="8"/>
      <c r="N326" s="8"/>
    </row>
    <row r="327" spans="7:14">
      <c r="G327" s="8"/>
      <c r="H327" s="8"/>
      <c r="I327" s="8"/>
      <c r="J327" s="8"/>
      <c r="K327" s="8"/>
      <c r="L327" s="8"/>
      <c r="M327" s="8"/>
      <c r="N327" s="8"/>
    </row>
    <row r="328" spans="7:14">
      <c r="G328" s="8"/>
      <c r="H328" s="8"/>
      <c r="I328" s="8"/>
      <c r="J328" s="8"/>
      <c r="K328" s="8"/>
      <c r="L328" s="8"/>
      <c r="M328" s="8"/>
      <c r="N328" s="8"/>
    </row>
    <row r="329" spans="7:14">
      <c r="G329" s="8"/>
      <c r="H329" s="8"/>
      <c r="I329" s="8"/>
      <c r="J329" s="8"/>
      <c r="K329" s="8"/>
      <c r="L329" s="8"/>
      <c r="M329" s="8"/>
      <c r="N329" s="8"/>
    </row>
    <row r="330" spans="7:14">
      <c r="G330" s="8"/>
      <c r="H330" s="8"/>
      <c r="I330" s="8"/>
      <c r="J330" s="8"/>
      <c r="K330" s="8"/>
      <c r="L330" s="8"/>
      <c r="M330" s="8"/>
      <c r="N330" s="8"/>
    </row>
    <row r="331" spans="7:14">
      <c r="G331" s="8"/>
      <c r="H331" s="8"/>
      <c r="I331" s="8"/>
      <c r="J331" s="8"/>
      <c r="K331" s="8"/>
      <c r="L331" s="8"/>
      <c r="M331" s="8"/>
      <c r="N331" s="8"/>
    </row>
    <row r="332" spans="7:14">
      <c r="G332" s="8"/>
      <c r="H332" s="8"/>
      <c r="I332" s="8"/>
      <c r="J332" s="8"/>
      <c r="K332" s="8"/>
      <c r="L332" s="8"/>
      <c r="M332" s="8"/>
      <c r="N332" s="8"/>
    </row>
    <row r="333" spans="7:14">
      <c r="G333" s="8"/>
      <c r="H333" s="8"/>
      <c r="I333" s="8"/>
      <c r="J333" s="8"/>
      <c r="K333" s="8"/>
      <c r="L333" s="8"/>
      <c r="M333" s="8"/>
      <c r="N333" s="8"/>
    </row>
    <row r="334" spans="7:14">
      <c r="G334" s="8"/>
      <c r="H334" s="8"/>
      <c r="I334" s="8"/>
      <c r="J334" s="8"/>
      <c r="K334" s="8"/>
      <c r="L334" s="8"/>
      <c r="M334" s="8"/>
      <c r="N334" s="8"/>
    </row>
    <row r="335" spans="7:14">
      <c r="G335" s="8"/>
      <c r="H335" s="8"/>
      <c r="I335" s="8"/>
      <c r="J335" s="8"/>
      <c r="K335" s="8"/>
      <c r="L335" s="8"/>
      <c r="M335" s="8"/>
      <c r="N335" s="8"/>
    </row>
    <row r="336" spans="7:14">
      <c r="G336" s="8"/>
      <c r="H336" s="8"/>
      <c r="I336" s="8"/>
      <c r="J336" s="8"/>
      <c r="K336" s="8"/>
      <c r="L336" s="8"/>
      <c r="M336" s="8"/>
      <c r="N336" s="8"/>
    </row>
    <row r="337" spans="7:14">
      <c r="G337" s="8"/>
      <c r="H337" s="8"/>
      <c r="I337" s="8"/>
      <c r="J337" s="8"/>
      <c r="K337" s="8"/>
      <c r="L337" s="8"/>
      <c r="M337" s="8"/>
      <c r="N337" s="8"/>
    </row>
    <row r="338" spans="7:14">
      <c r="G338" s="8"/>
      <c r="H338" s="8"/>
      <c r="I338" s="8"/>
      <c r="J338" s="8"/>
      <c r="K338" s="8"/>
      <c r="L338" s="8"/>
      <c r="M338" s="8"/>
      <c r="N338" s="8"/>
    </row>
    <row r="339" spans="7:14">
      <c r="G339" s="8"/>
      <c r="H339" s="8"/>
      <c r="I339" s="8"/>
      <c r="J339" s="8"/>
      <c r="K339" s="8"/>
      <c r="L339" s="8"/>
      <c r="M339" s="8"/>
      <c r="N339" s="8"/>
    </row>
    <row r="340" spans="7:14">
      <c r="G340" s="8"/>
      <c r="H340" s="8"/>
      <c r="I340" s="8"/>
      <c r="J340" s="8"/>
      <c r="K340" s="8"/>
      <c r="L340" s="8"/>
      <c r="M340" s="8"/>
      <c r="N340" s="8"/>
    </row>
    <row r="341" spans="7:14">
      <c r="G341" s="8"/>
      <c r="H341" s="8"/>
      <c r="I341" s="8"/>
      <c r="J341" s="8"/>
      <c r="K341" s="8"/>
      <c r="L341" s="8"/>
      <c r="M341" s="8"/>
      <c r="N341" s="8"/>
    </row>
    <row r="342" spans="7:14">
      <c r="G342" s="8"/>
      <c r="H342" s="8"/>
      <c r="I342" s="8"/>
      <c r="J342" s="8"/>
      <c r="K342" s="8"/>
      <c r="L342" s="8"/>
      <c r="M342" s="8"/>
      <c r="N342" s="8"/>
    </row>
    <row r="343" spans="7:14">
      <c r="G343" s="8"/>
      <c r="H343" s="8"/>
      <c r="I343" s="8"/>
      <c r="J343" s="8"/>
      <c r="K343" s="8"/>
      <c r="L343" s="8"/>
      <c r="M343" s="8"/>
      <c r="N343" s="8"/>
    </row>
    <row r="344" spans="7:14">
      <c r="G344" s="8"/>
      <c r="H344" s="8"/>
      <c r="I344" s="8"/>
      <c r="J344" s="8"/>
      <c r="K344" s="8"/>
      <c r="L344" s="8"/>
      <c r="M344" s="8"/>
      <c r="N344" s="8"/>
    </row>
    <row r="345" spans="7:14">
      <c r="G345" s="8"/>
      <c r="H345" s="8"/>
      <c r="I345" s="8"/>
      <c r="J345" s="8"/>
      <c r="K345" s="8"/>
      <c r="L345" s="8"/>
      <c r="M345" s="8"/>
      <c r="N345" s="8"/>
    </row>
    <row r="346" spans="7:14">
      <c r="G346" s="8"/>
      <c r="H346" s="8"/>
      <c r="I346" s="8"/>
      <c r="J346" s="8"/>
      <c r="K346" s="8"/>
      <c r="L346" s="8"/>
      <c r="M346" s="8"/>
      <c r="N346" s="8"/>
    </row>
    <row r="347" spans="7:14">
      <c r="G347" s="8"/>
      <c r="H347" s="8"/>
      <c r="I347" s="8"/>
      <c r="J347" s="8"/>
      <c r="K347" s="8"/>
      <c r="L347" s="8"/>
      <c r="M347" s="8"/>
      <c r="N347" s="8"/>
    </row>
    <row r="348" spans="7:14">
      <c r="G348" s="8"/>
      <c r="H348" s="8"/>
      <c r="I348" s="8"/>
      <c r="J348" s="8"/>
      <c r="K348" s="8"/>
      <c r="L348" s="8"/>
      <c r="M348" s="8"/>
      <c r="N348" s="8"/>
    </row>
    <row r="349" spans="7:14">
      <c r="G349" s="8"/>
      <c r="H349" s="8"/>
      <c r="I349" s="8"/>
      <c r="J349" s="8"/>
      <c r="K349" s="8"/>
      <c r="L349" s="8"/>
      <c r="M349" s="8"/>
      <c r="N349" s="8"/>
    </row>
    <row r="350" spans="7:14">
      <c r="G350" s="8"/>
      <c r="H350" s="8"/>
      <c r="I350" s="8"/>
      <c r="J350" s="8"/>
      <c r="K350" s="8"/>
      <c r="L350" s="8"/>
      <c r="M350" s="8"/>
      <c r="N350" s="8"/>
    </row>
    <row r="351" spans="7:14">
      <c r="G351" s="8"/>
      <c r="H351" s="8"/>
      <c r="I351" s="8"/>
      <c r="J351" s="8"/>
      <c r="K351" s="8"/>
      <c r="L351" s="8"/>
      <c r="M351" s="8"/>
      <c r="N351" s="8"/>
    </row>
    <row r="352" spans="7:14">
      <c r="G352" s="8"/>
      <c r="H352" s="8"/>
      <c r="I352" s="8"/>
      <c r="J352" s="8"/>
      <c r="K352" s="8"/>
      <c r="L352" s="8"/>
      <c r="M352" s="8"/>
      <c r="N352" s="8"/>
    </row>
    <row r="353" spans="7:14">
      <c r="G353" s="8"/>
      <c r="H353" s="8"/>
      <c r="I353" s="8"/>
      <c r="J353" s="8"/>
      <c r="K353" s="8"/>
      <c r="L353" s="8"/>
      <c r="M353" s="8"/>
      <c r="N353" s="8"/>
    </row>
    <row r="354" spans="7:14">
      <c r="G354" s="8"/>
      <c r="H354" s="8"/>
      <c r="I354" s="8"/>
      <c r="J354" s="8"/>
      <c r="K354" s="8"/>
      <c r="L354" s="8"/>
      <c r="M354" s="8"/>
      <c r="N354" s="8"/>
    </row>
    <row r="355" spans="7:14">
      <c r="G355" s="8"/>
      <c r="H355" s="8"/>
      <c r="I355" s="8"/>
      <c r="J355" s="8"/>
      <c r="K355" s="8"/>
      <c r="L355" s="8"/>
      <c r="M355" s="8"/>
      <c r="N355" s="8"/>
    </row>
    <row r="356" spans="7:14">
      <c r="G356" s="8"/>
      <c r="H356" s="8"/>
      <c r="I356" s="8"/>
      <c r="J356" s="8"/>
      <c r="K356" s="8"/>
      <c r="L356" s="8"/>
      <c r="M356" s="8"/>
      <c r="N356" s="8"/>
    </row>
    <row r="357" spans="7:14">
      <c r="G357" s="8"/>
      <c r="H357" s="8"/>
      <c r="I357" s="8"/>
      <c r="J357" s="8"/>
      <c r="K357" s="8"/>
      <c r="L357" s="8"/>
      <c r="M357" s="8"/>
      <c r="N357" s="8"/>
    </row>
    <row r="358" spans="7:14">
      <c r="G358" s="8"/>
      <c r="H358" s="8"/>
      <c r="I358" s="8"/>
      <c r="J358" s="8"/>
      <c r="K358" s="8"/>
      <c r="L358" s="8"/>
      <c r="M358" s="8"/>
      <c r="N358" s="8"/>
    </row>
    <row r="359" spans="7:14">
      <c r="G359" s="8"/>
      <c r="H359" s="8"/>
      <c r="I359" s="8"/>
      <c r="J359" s="8"/>
      <c r="K359" s="8"/>
      <c r="L359" s="8"/>
      <c r="M359" s="8"/>
      <c r="N359" s="8"/>
    </row>
    <row r="360" spans="7:14">
      <c r="G360" s="8"/>
      <c r="H360" s="8"/>
      <c r="I360" s="8"/>
      <c r="J360" s="8"/>
      <c r="K360" s="8"/>
      <c r="L360" s="8"/>
      <c r="M360" s="8"/>
      <c r="N360" s="8"/>
    </row>
    <row r="361" spans="7:14">
      <c r="G361" s="8"/>
      <c r="H361" s="8"/>
      <c r="I361" s="8"/>
      <c r="J361" s="8"/>
      <c r="K361" s="8"/>
      <c r="L361" s="8"/>
      <c r="M361" s="8"/>
      <c r="N361" s="8"/>
    </row>
    <row r="362" spans="7:14">
      <c r="G362" s="8"/>
      <c r="H362" s="8"/>
      <c r="I362" s="8"/>
      <c r="J362" s="8"/>
      <c r="K362" s="8"/>
      <c r="L362" s="8"/>
      <c r="M362" s="8"/>
      <c r="N362" s="8"/>
    </row>
    <row r="363" spans="7:14">
      <c r="G363" s="8"/>
      <c r="H363" s="8"/>
      <c r="I363" s="8"/>
      <c r="J363" s="8"/>
      <c r="K363" s="8"/>
      <c r="L363" s="8"/>
      <c r="M363" s="8"/>
      <c r="N363" s="8"/>
    </row>
    <row r="364" spans="7:14">
      <c r="G364" s="8"/>
      <c r="H364" s="8"/>
      <c r="I364" s="8"/>
      <c r="J364" s="8"/>
      <c r="K364" s="8"/>
      <c r="L364" s="8"/>
      <c r="M364" s="8"/>
      <c r="N364" s="8"/>
    </row>
    <row r="365" spans="7:14">
      <c r="G365" s="8"/>
      <c r="H365" s="8"/>
      <c r="I365" s="8"/>
      <c r="J365" s="8"/>
      <c r="K365" s="8"/>
      <c r="L365" s="8"/>
      <c r="M365" s="8"/>
      <c r="N365" s="8"/>
    </row>
    <row r="366" spans="7:14">
      <c r="G366" s="8"/>
      <c r="H366" s="8"/>
      <c r="I366" s="8"/>
      <c r="J366" s="8"/>
      <c r="K366" s="8"/>
      <c r="L366" s="8"/>
      <c r="M366" s="8"/>
      <c r="N366" s="8"/>
    </row>
    <row r="367" spans="7:14">
      <c r="G367" s="8"/>
      <c r="H367" s="8"/>
      <c r="I367" s="8"/>
      <c r="J367" s="8"/>
      <c r="K367" s="8"/>
      <c r="L367" s="8"/>
      <c r="M367" s="8"/>
      <c r="N367" s="8"/>
    </row>
    <row r="368" spans="7:14">
      <c r="G368" s="8"/>
      <c r="H368" s="8"/>
      <c r="I368" s="8"/>
      <c r="J368" s="8"/>
      <c r="K368" s="8"/>
      <c r="L368" s="8"/>
      <c r="M368" s="8"/>
      <c r="N368" s="8"/>
    </row>
    <row r="369" spans="7:14">
      <c r="G369" s="8"/>
      <c r="H369" s="8"/>
      <c r="I369" s="8"/>
      <c r="J369" s="8"/>
      <c r="K369" s="8"/>
      <c r="L369" s="8"/>
      <c r="M369" s="8"/>
      <c r="N369" s="8"/>
    </row>
    <row r="370" spans="7:14">
      <c r="G370" s="8"/>
      <c r="H370" s="8"/>
      <c r="I370" s="8"/>
      <c r="J370" s="8"/>
      <c r="K370" s="8"/>
      <c r="L370" s="8"/>
      <c r="M370" s="8"/>
      <c r="N370" s="8"/>
    </row>
    <row r="371" spans="7:14">
      <c r="G371" s="8"/>
      <c r="H371" s="8"/>
      <c r="I371" s="8"/>
      <c r="J371" s="8"/>
      <c r="K371" s="8"/>
      <c r="L371" s="8"/>
      <c r="M371" s="8"/>
      <c r="N371" s="8"/>
    </row>
    <row r="372" spans="7:14">
      <c r="G372" s="8"/>
      <c r="H372" s="8"/>
      <c r="I372" s="8"/>
      <c r="J372" s="8"/>
      <c r="K372" s="8"/>
      <c r="L372" s="8"/>
      <c r="M372" s="8"/>
      <c r="N372" s="8"/>
    </row>
    <row r="373" spans="7:14">
      <c r="G373" s="8"/>
      <c r="H373" s="8"/>
      <c r="I373" s="8"/>
      <c r="J373" s="8"/>
      <c r="K373" s="8"/>
      <c r="L373" s="8"/>
      <c r="M373" s="8"/>
      <c r="N373" s="8"/>
    </row>
    <row r="374" spans="7:14">
      <c r="G374" s="8"/>
      <c r="H374" s="8"/>
      <c r="I374" s="8"/>
      <c r="J374" s="8"/>
      <c r="K374" s="8"/>
      <c r="L374" s="8"/>
      <c r="M374" s="8"/>
      <c r="N374" s="8"/>
    </row>
    <row r="375" spans="7:14">
      <c r="G375" s="8"/>
      <c r="H375" s="8"/>
      <c r="I375" s="8"/>
      <c r="J375" s="8"/>
      <c r="K375" s="8"/>
      <c r="L375" s="8"/>
      <c r="M375" s="8"/>
      <c r="N375" s="8"/>
    </row>
    <row r="376" spans="7:14">
      <c r="G376" s="8"/>
      <c r="H376" s="8"/>
      <c r="I376" s="8"/>
      <c r="J376" s="8"/>
      <c r="K376" s="8"/>
      <c r="L376" s="8"/>
      <c r="M376" s="8"/>
      <c r="N376" s="8"/>
    </row>
    <row r="377" spans="7:14">
      <c r="G377" s="8"/>
      <c r="H377" s="8"/>
      <c r="I377" s="8"/>
      <c r="J377" s="8"/>
      <c r="K377" s="8"/>
      <c r="L377" s="8"/>
      <c r="M377" s="8"/>
      <c r="N377" s="8"/>
    </row>
    <row r="378" spans="7:14">
      <c r="G378" s="8"/>
      <c r="H378" s="8"/>
      <c r="I378" s="8"/>
      <c r="J378" s="8"/>
      <c r="K378" s="8"/>
      <c r="L378" s="8"/>
      <c r="M378" s="8"/>
      <c r="N378" s="8"/>
    </row>
    <row r="379" spans="7:14">
      <c r="G379" s="8"/>
      <c r="H379" s="8"/>
      <c r="I379" s="8"/>
      <c r="J379" s="8"/>
      <c r="K379" s="8"/>
      <c r="L379" s="8"/>
      <c r="M379" s="8"/>
      <c r="N379" s="8"/>
    </row>
    <row r="380" spans="7:14">
      <c r="G380" s="8"/>
      <c r="H380" s="8"/>
      <c r="I380" s="8"/>
      <c r="J380" s="8"/>
      <c r="K380" s="8"/>
      <c r="L380" s="8"/>
      <c r="M380" s="8"/>
      <c r="N380" s="8"/>
    </row>
    <row r="381" spans="7:14">
      <c r="G381" s="8"/>
      <c r="H381" s="8"/>
      <c r="I381" s="8"/>
      <c r="J381" s="8"/>
      <c r="K381" s="8"/>
      <c r="L381" s="8"/>
      <c r="M381" s="8"/>
      <c r="N381" s="8"/>
    </row>
    <row r="382" spans="7:14">
      <c r="G382" s="8"/>
      <c r="H382" s="8"/>
      <c r="I382" s="8"/>
      <c r="J382" s="8"/>
      <c r="K382" s="8"/>
      <c r="L382" s="8"/>
      <c r="M382" s="8"/>
      <c r="N382" s="8"/>
    </row>
    <row r="383" spans="7:14">
      <c r="G383" s="8"/>
      <c r="H383" s="8"/>
      <c r="I383" s="8"/>
      <c r="J383" s="8"/>
      <c r="K383" s="8"/>
      <c r="L383" s="8"/>
      <c r="M383" s="8"/>
      <c r="N383" s="8"/>
    </row>
    <row r="384" spans="7:14">
      <c r="G384" s="8"/>
      <c r="H384" s="8"/>
      <c r="I384" s="8"/>
      <c r="J384" s="8"/>
      <c r="K384" s="8"/>
      <c r="L384" s="8"/>
      <c r="M384" s="8"/>
      <c r="N384" s="8"/>
    </row>
    <row r="385" spans="7:14">
      <c r="G385" s="8"/>
      <c r="H385" s="8"/>
      <c r="I385" s="8"/>
      <c r="J385" s="8"/>
      <c r="K385" s="8"/>
      <c r="L385" s="8"/>
      <c r="M385" s="8"/>
      <c r="N385" s="8"/>
    </row>
    <row r="386" spans="7:14">
      <c r="G386" s="8"/>
      <c r="H386" s="8"/>
      <c r="I386" s="8"/>
      <c r="J386" s="8"/>
      <c r="K386" s="8"/>
      <c r="L386" s="8"/>
      <c r="M386" s="8"/>
      <c r="N386" s="8"/>
    </row>
    <row r="387" spans="7:14">
      <c r="G387" s="8"/>
      <c r="H387" s="8"/>
      <c r="I387" s="8"/>
      <c r="J387" s="8"/>
      <c r="K387" s="8"/>
      <c r="L387" s="8"/>
      <c r="M387" s="8"/>
      <c r="N387" s="8"/>
    </row>
    <row r="388" spans="7:14">
      <c r="G388" s="8"/>
      <c r="H388" s="8"/>
      <c r="I388" s="8"/>
      <c r="J388" s="8"/>
      <c r="K388" s="8"/>
      <c r="L388" s="8"/>
      <c r="M388" s="8"/>
      <c r="N388" s="8"/>
    </row>
    <row r="389" spans="7:14">
      <c r="G389" s="8"/>
      <c r="H389" s="8"/>
      <c r="I389" s="8"/>
      <c r="J389" s="8"/>
      <c r="K389" s="8"/>
      <c r="L389" s="8"/>
      <c r="M389" s="8"/>
      <c r="N389" s="8"/>
    </row>
    <row r="390" spans="7:14">
      <c r="G390" s="8"/>
      <c r="H390" s="8"/>
      <c r="I390" s="8"/>
      <c r="J390" s="8"/>
      <c r="K390" s="8"/>
      <c r="L390" s="8"/>
      <c r="M390" s="8"/>
      <c r="N390" s="8"/>
    </row>
    <row r="391" spans="7:14">
      <c r="G391" s="8"/>
      <c r="H391" s="8"/>
      <c r="I391" s="8"/>
      <c r="J391" s="8"/>
      <c r="K391" s="8"/>
      <c r="L391" s="8"/>
      <c r="M391" s="8"/>
      <c r="N391" s="8"/>
    </row>
    <row r="392" spans="7:14">
      <c r="G392" s="8"/>
      <c r="H392" s="8"/>
      <c r="I392" s="8"/>
      <c r="J392" s="8"/>
      <c r="K392" s="8"/>
      <c r="L392" s="8"/>
      <c r="M392" s="8"/>
      <c r="N392" s="8"/>
    </row>
    <row r="393" spans="7:14">
      <c r="G393" s="8"/>
      <c r="H393" s="8"/>
      <c r="I393" s="8"/>
      <c r="J393" s="8"/>
      <c r="K393" s="8"/>
      <c r="L393" s="8"/>
      <c r="M393" s="8"/>
      <c r="N393" s="8"/>
    </row>
    <row r="394" spans="7:14">
      <c r="G394" s="8"/>
      <c r="H394" s="8"/>
      <c r="I394" s="8"/>
      <c r="J394" s="8"/>
      <c r="K394" s="8"/>
      <c r="L394" s="8"/>
      <c r="M394" s="8"/>
      <c r="N394" s="8"/>
    </row>
    <row r="395" spans="7:14">
      <c r="G395" s="8"/>
      <c r="H395" s="8"/>
      <c r="I395" s="8"/>
      <c r="J395" s="8"/>
      <c r="K395" s="8"/>
      <c r="L395" s="8"/>
      <c r="M395" s="8"/>
      <c r="N395" s="8"/>
    </row>
    <row r="396" spans="7:14">
      <c r="G396" s="8"/>
      <c r="H396" s="8"/>
      <c r="I396" s="8"/>
      <c r="J396" s="8"/>
      <c r="K396" s="8"/>
      <c r="L396" s="8"/>
      <c r="M396" s="8"/>
      <c r="N396" s="8"/>
    </row>
    <row r="397" spans="7:14">
      <c r="G397" s="8"/>
      <c r="H397" s="8"/>
      <c r="I397" s="8"/>
      <c r="J397" s="8"/>
      <c r="K397" s="8"/>
      <c r="L397" s="8"/>
      <c r="M397" s="8"/>
      <c r="N397" s="8"/>
    </row>
    <row r="398" spans="7:14">
      <c r="G398" s="8"/>
      <c r="H398" s="8"/>
      <c r="I398" s="8"/>
      <c r="J398" s="8"/>
      <c r="K398" s="8"/>
      <c r="L398" s="8"/>
      <c r="M398" s="8"/>
      <c r="N398" s="8"/>
    </row>
    <row r="399" spans="7:14">
      <c r="G399" s="8"/>
      <c r="H399" s="8"/>
      <c r="I399" s="8"/>
      <c r="J399" s="8"/>
      <c r="K399" s="8"/>
      <c r="L399" s="8"/>
      <c r="M399" s="8"/>
      <c r="N399" s="8"/>
    </row>
    <row r="400" spans="7:14">
      <c r="G400" s="8"/>
      <c r="H400" s="8"/>
      <c r="I400" s="8"/>
      <c r="J400" s="8"/>
      <c r="K400" s="8"/>
      <c r="L400" s="8"/>
      <c r="M400" s="8"/>
      <c r="N400" s="8"/>
    </row>
    <row r="401" spans="7:14">
      <c r="G401" s="8"/>
      <c r="H401" s="8"/>
      <c r="I401" s="8"/>
      <c r="J401" s="8"/>
      <c r="K401" s="8"/>
      <c r="L401" s="8"/>
      <c r="M401" s="8"/>
      <c r="N401" s="8"/>
    </row>
    <row r="402" spans="7:14">
      <c r="G402" s="8"/>
      <c r="H402" s="8"/>
      <c r="I402" s="8"/>
      <c r="J402" s="8"/>
      <c r="K402" s="8"/>
      <c r="L402" s="8"/>
      <c r="M402" s="8"/>
      <c r="N402" s="8"/>
    </row>
    <row r="403" spans="7:14">
      <c r="G403" s="8"/>
      <c r="H403" s="8"/>
      <c r="I403" s="8"/>
      <c r="J403" s="8"/>
      <c r="K403" s="8"/>
      <c r="L403" s="8"/>
      <c r="M403" s="8"/>
      <c r="N403" s="8"/>
    </row>
    <row r="404" spans="7:14">
      <c r="G404" s="8"/>
      <c r="H404" s="8"/>
      <c r="I404" s="8"/>
      <c r="J404" s="8"/>
      <c r="K404" s="8"/>
      <c r="L404" s="8"/>
      <c r="M404" s="8"/>
      <c r="N404" s="8"/>
    </row>
    <row r="405" spans="7:14">
      <c r="G405" s="8"/>
      <c r="H405" s="8"/>
      <c r="I405" s="8"/>
      <c r="J405" s="8"/>
      <c r="K405" s="8"/>
      <c r="L405" s="8"/>
      <c r="M405" s="8"/>
      <c r="N405" s="8"/>
    </row>
    <row r="406" spans="7:14">
      <c r="G406" s="8"/>
      <c r="H406" s="8"/>
      <c r="I406" s="8"/>
      <c r="J406" s="8"/>
      <c r="K406" s="8"/>
      <c r="L406" s="8"/>
      <c r="M406" s="8"/>
      <c r="N406" s="8"/>
    </row>
    <row r="407" spans="7:14">
      <c r="G407" s="8"/>
      <c r="H407" s="8"/>
      <c r="I407" s="8"/>
      <c r="J407" s="8"/>
      <c r="K407" s="8"/>
      <c r="L407" s="8"/>
      <c r="M407" s="8"/>
      <c r="N407" s="8"/>
    </row>
    <row r="408" spans="7:14">
      <c r="G408" s="8"/>
      <c r="H408" s="8"/>
      <c r="I408" s="8"/>
      <c r="J408" s="8"/>
      <c r="K408" s="8"/>
      <c r="L408" s="8"/>
      <c r="M408" s="8"/>
      <c r="N408" s="8"/>
    </row>
    <row r="409" spans="7:14">
      <c r="G409" s="8"/>
      <c r="H409" s="8"/>
      <c r="I409" s="8"/>
      <c r="J409" s="8"/>
      <c r="K409" s="8"/>
      <c r="L409" s="8"/>
      <c r="M409" s="8"/>
      <c r="N409" s="8"/>
    </row>
    <row r="410" spans="7:14">
      <c r="G410" s="8"/>
      <c r="H410" s="8"/>
      <c r="I410" s="8"/>
      <c r="J410" s="8"/>
      <c r="K410" s="8"/>
      <c r="L410" s="8"/>
      <c r="M410" s="8"/>
      <c r="N410" s="8"/>
    </row>
    <row r="411" spans="7:14">
      <c r="G411" s="8"/>
      <c r="H411" s="8"/>
      <c r="I411" s="8"/>
      <c r="J411" s="8"/>
      <c r="K411" s="8"/>
      <c r="L411" s="8"/>
      <c r="M411" s="8"/>
      <c r="N411" s="8"/>
    </row>
    <row r="412" spans="7:14">
      <c r="G412" s="8"/>
      <c r="H412" s="8"/>
      <c r="I412" s="8"/>
      <c r="J412" s="8"/>
      <c r="K412" s="8"/>
      <c r="L412" s="8"/>
      <c r="M412" s="8"/>
      <c r="N412" s="8"/>
    </row>
    <row r="413" spans="7:14">
      <c r="G413" s="8"/>
      <c r="H413" s="8"/>
      <c r="I413" s="8"/>
      <c r="J413" s="8"/>
      <c r="K413" s="8"/>
      <c r="L413" s="8"/>
      <c r="M413" s="8"/>
      <c r="N413" s="8"/>
    </row>
    <row r="414" spans="7:14">
      <c r="G414" s="8"/>
      <c r="H414" s="8"/>
      <c r="I414" s="8"/>
      <c r="J414" s="8"/>
      <c r="K414" s="8"/>
      <c r="L414" s="8"/>
      <c r="M414" s="8"/>
      <c r="N414" s="8"/>
    </row>
    <row r="415" spans="7:14">
      <c r="G415" s="8"/>
      <c r="H415" s="8"/>
      <c r="I415" s="8"/>
      <c r="J415" s="8"/>
      <c r="K415" s="8"/>
      <c r="L415" s="8"/>
      <c r="M415" s="8"/>
      <c r="N415" s="8"/>
    </row>
    <row r="416" spans="7:14">
      <c r="G416" s="8"/>
      <c r="H416" s="8"/>
      <c r="I416" s="8"/>
      <c r="J416" s="8"/>
      <c r="K416" s="8"/>
      <c r="L416" s="8"/>
      <c r="M416" s="8"/>
      <c r="N416" s="8"/>
    </row>
    <row r="417" spans="7:14">
      <c r="G417" s="8"/>
      <c r="H417" s="8"/>
      <c r="I417" s="8"/>
      <c r="J417" s="8"/>
      <c r="K417" s="8"/>
      <c r="L417" s="8"/>
      <c r="M417" s="8"/>
      <c r="N417" s="8"/>
    </row>
    <row r="418" spans="7:14">
      <c r="G418" s="8"/>
      <c r="H418" s="8"/>
      <c r="I418" s="8"/>
      <c r="J418" s="8"/>
      <c r="K418" s="8"/>
      <c r="L418" s="8"/>
      <c r="M418" s="8"/>
      <c r="N418" s="8"/>
    </row>
    <row r="419" spans="7:14">
      <c r="G419" s="8"/>
      <c r="H419" s="8"/>
      <c r="I419" s="8"/>
      <c r="J419" s="8"/>
      <c r="K419" s="8"/>
      <c r="L419" s="8"/>
      <c r="M419" s="8"/>
      <c r="N419" s="8"/>
    </row>
    <row r="420" spans="7:14">
      <c r="G420" s="8"/>
      <c r="H420" s="8"/>
      <c r="I420" s="8"/>
      <c r="J420" s="8"/>
      <c r="K420" s="8"/>
      <c r="L420" s="8"/>
      <c r="M420" s="8"/>
      <c r="N420" s="8"/>
    </row>
    <row r="421" spans="7:14">
      <c r="G421" s="8"/>
      <c r="H421" s="8"/>
      <c r="I421" s="8"/>
      <c r="J421" s="8"/>
      <c r="K421" s="8"/>
      <c r="L421" s="8"/>
      <c r="M421" s="8"/>
      <c r="N421" s="8"/>
    </row>
    <row r="422" spans="7:14">
      <c r="G422" s="8"/>
      <c r="H422" s="8"/>
      <c r="I422" s="8"/>
      <c r="J422" s="8"/>
      <c r="K422" s="8"/>
      <c r="L422" s="8"/>
      <c r="M422" s="8"/>
      <c r="N422" s="8"/>
    </row>
    <row r="423" spans="7:14">
      <c r="G423" s="8"/>
      <c r="H423" s="8"/>
      <c r="I423" s="8"/>
      <c r="J423" s="8"/>
      <c r="K423" s="8"/>
      <c r="L423" s="8"/>
      <c r="M423" s="8"/>
      <c r="N423" s="8"/>
    </row>
    <row r="424" spans="7:14">
      <c r="G424" s="8"/>
      <c r="H424" s="8"/>
      <c r="I424" s="8"/>
      <c r="J424" s="8"/>
      <c r="K424" s="8"/>
      <c r="L424" s="8"/>
      <c r="M424" s="8"/>
      <c r="N424" s="8"/>
    </row>
    <row r="425" spans="7:14">
      <c r="G425" s="8"/>
      <c r="H425" s="8"/>
      <c r="I425" s="8"/>
      <c r="J425" s="8"/>
      <c r="K425" s="8"/>
      <c r="L425" s="8"/>
      <c r="M425" s="8"/>
      <c r="N425" s="8"/>
    </row>
    <row r="426" spans="7:14">
      <c r="G426" s="8"/>
      <c r="H426" s="8"/>
      <c r="I426" s="8"/>
      <c r="J426" s="8"/>
      <c r="K426" s="8"/>
      <c r="L426" s="8"/>
      <c r="M426" s="8"/>
      <c r="N426" s="8"/>
    </row>
    <row r="427" spans="7:14">
      <c r="G427" s="8"/>
      <c r="H427" s="8"/>
      <c r="I427" s="8"/>
      <c r="J427" s="8"/>
      <c r="K427" s="8"/>
      <c r="L427" s="8"/>
      <c r="M427" s="8"/>
      <c r="N427" s="8"/>
    </row>
    <row r="428" spans="7:14">
      <c r="G428" s="8"/>
      <c r="H428" s="8"/>
      <c r="I428" s="8"/>
      <c r="J428" s="8"/>
      <c r="K428" s="8"/>
      <c r="L428" s="8"/>
      <c r="M428" s="8"/>
      <c r="N428" s="8"/>
    </row>
    <row r="429" spans="7:14">
      <c r="G429" s="8"/>
      <c r="H429" s="8"/>
      <c r="I429" s="8"/>
      <c r="J429" s="8"/>
      <c r="K429" s="8"/>
      <c r="L429" s="8"/>
      <c r="M429" s="8"/>
      <c r="N429" s="8"/>
    </row>
    <row r="430" spans="7:14">
      <c r="G430" s="8"/>
      <c r="H430" s="8"/>
      <c r="I430" s="8"/>
      <c r="J430" s="8"/>
      <c r="K430" s="8"/>
      <c r="L430" s="8"/>
      <c r="M430" s="8"/>
      <c r="N430" s="8"/>
    </row>
    <row r="431" spans="7:14">
      <c r="G431" s="8"/>
      <c r="H431" s="8"/>
      <c r="I431" s="8"/>
      <c r="J431" s="8"/>
      <c r="K431" s="8"/>
      <c r="L431" s="8"/>
      <c r="M431" s="8"/>
      <c r="N431" s="8"/>
    </row>
    <row r="432" spans="7:14">
      <c r="G432" s="8"/>
      <c r="H432" s="8"/>
      <c r="I432" s="8"/>
      <c r="J432" s="8"/>
      <c r="K432" s="8"/>
      <c r="L432" s="8"/>
      <c r="M432" s="8"/>
      <c r="N432" s="8"/>
    </row>
    <row r="433" spans="7:14">
      <c r="G433" s="8"/>
      <c r="H433" s="8"/>
      <c r="I433" s="8"/>
      <c r="J433" s="8"/>
      <c r="K433" s="8"/>
      <c r="L433" s="8"/>
      <c r="M433" s="8"/>
      <c r="N433" s="8"/>
    </row>
    <row r="434" spans="7:14">
      <c r="G434" s="8"/>
      <c r="H434" s="8"/>
      <c r="I434" s="8"/>
      <c r="J434" s="8"/>
      <c r="K434" s="8"/>
      <c r="L434" s="8"/>
      <c r="M434" s="8"/>
      <c r="N434" s="8"/>
    </row>
    <row r="435" spans="7:14">
      <c r="G435" s="8"/>
      <c r="H435" s="8"/>
      <c r="I435" s="8"/>
      <c r="J435" s="8"/>
      <c r="K435" s="8"/>
      <c r="L435" s="8"/>
      <c r="M435" s="8"/>
      <c r="N435" s="8"/>
    </row>
    <row r="436" spans="7:14">
      <c r="G436" s="8"/>
      <c r="H436" s="8"/>
      <c r="I436" s="8"/>
      <c r="J436" s="8"/>
      <c r="K436" s="8"/>
      <c r="L436" s="8"/>
      <c r="M436" s="8"/>
      <c r="N436" s="8"/>
    </row>
    <row r="437" spans="7:14">
      <c r="G437" s="8"/>
      <c r="H437" s="8"/>
      <c r="I437" s="8"/>
      <c r="J437" s="8"/>
      <c r="K437" s="8"/>
      <c r="L437" s="8"/>
      <c r="M437" s="8"/>
      <c r="N437" s="8"/>
    </row>
    <row r="438" spans="7:14">
      <c r="G438" s="8"/>
      <c r="H438" s="8"/>
      <c r="I438" s="8"/>
      <c r="J438" s="8"/>
      <c r="K438" s="8"/>
      <c r="L438" s="8"/>
      <c r="M438" s="8"/>
      <c r="N438" s="8"/>
    </row>
    <row r="439" spans="7:14">
      <c r="G439" s="8"/>
      <c r="H439" s="8"/>
      <c r="I439" s="8"/>
      <c r="J439" s="8"/>
      <c r="K439" s="8"/>
      <c r="L439" s="8"/>
      <c r="M439" s="8"/>
      <c r="N439" s="8"/>
    </row>
    <row r="440" spans="7:14">
      <c r="G440" s="8"/>
      <c r="H440" s="8"/>
      <c r="I440" s="8"/>
      <c r="J440" s="8"/>
      <c r="K440" s="8"/>
      <c r="L440" s="8"/>
      <c r="M440" s="8"/>
      <c r="N440" s="8"/>
    </row>
    <row r="441" spans="7:14">
      <c r="G441" s="8"/>
      <c r="H441" s="8"/>
      <c r="I441" s="8"/>
      <c r="J441" s="8"/>
      <c r="K441" s="8"/>
      <c r="L441" s="8"/>
      <c r="M441" s="8"/>
      <c r="N441" s="8"/>
    </row>
    <row r="442" spans="7:14">
      <c r="G442" s="8"/>
      <c r="H442" s="8"/>
      <c r="I442" s="8"/>
      <c r="J442" s="8"/>
      <c r="K442" s="8"/>
      <c r="L442" s="8"/>
      <c r="M442" s="8"/>
      <c r="N442" s="8"/>
    </row>
    <row r="443" spans="7:14">
      <c r="G443" s="8"/>
      <c r="H443" s="8"/>
      <c r="I443" s="8"/>
      <c r="J443" s="8"/>
      <c r="K443" s="8"/>
      <c r="L443" s="8"/>
      <c r="M443" s="8"/>
      <c r="N443" s="8"/>
    </row>
    <row r="444" spans="7:14">
      <c r="G444" s="8"/>
      <c r="H444" s="8"/>
      <c r="I444" s="8"/>
      <c r="J444" s="8"/>
      <c r="K444" s="8"/>
      <c r="L444" s="8"/>
      <c r="M444" s="8"/>
      <c r="N444" s="8"/>
    </row>
    <row r="445" spans="7:14">
      <c r="G445" s="8"/>
      <c r="H445" s="8"/>
      <c r="I445" s="8"/>
      <c r="J445" s="8"/>
      <c r="K445" s="8"/>
      <c r="L445" s="8"/>
      <c r="M445" s="8"/>
      <c r="N445" s="8"/>
    </row>
    <row r="446" spans="7:14">
      <c r="G446" s="8"/>
      <c r="H446" s="8"/>
      <c r="I446" s="8"/>
      <c r="J446" s="8"/>
      <c r="K446" s="8"/>
      <c r="L446" s="8"/>
      <c r="M446" s="8"/>
      <c r="N446" s="8"/>
    </row>
    <row r="447" spans="7:14">
      <c r="G447" s="8"/>
      <c r="H447" s="8"/>
      <c r="I447" s="8"/>
      <c r="J447" s="8"/>
      <c r="K447" s="8"/>
      <c r="L447" s="8"/>
      <c r="M447" s="8"/>
      <c r="N447" s="8"/>
    </row>
    <row r="448" spans="7:14">
      <c r="G448" s="8"/>
      <c r="H448" s="8"/>
      <c r="I448" s="8"/>
      <c r="J448" s="8"/>
      <c r="K448" s="8"/>
      <c r="L448" s="8"/>
      <c r="M448" s="8"/>
      <c r="N448" s="8"/>
    </row>
    <row r="449" spans="7:14">
      <c r="G449" s="8"/>
      <c r="H449" s="8"/>
      <c r="I449" s="8"/>
      <c r="J449" s="8"/>
      <c r="K449" s="8"/>
      <c r="L449" s="8"/>
      <c r="M449" s="8"/>
      <c r="N449" s="8"/>
    </row>
    <row r="450" spans="7:14">
      <c r="G450" s="8"/>
      <c r="H450" s="8"/>
      <c r="I450" s="8"/>
      <c r="J450" s="8"/>
      <c r="K450" s="8"/>
      <c r="L450" s="8"/>
      <c r="M450" s="8"/>
      <c r="N450" s="8"/>
    </row>
    <row r="451" spans="7:14">
      <c r="G451" s="8"/>
      <c r="H451" s="8"/>
      <c r="I451" s="8"/>
      <c r="J451" s="8"/>
      <c r="K451" s="8"/>
      <c r="L451" s="8"/>
      <c r="M451" s="8"/>
      <c r="N451" s="8"/>
    </row>
    <row r="452" spans="7:14">
      <c r="G452" s="8"/>
      <c r="H452" s="8"/>
      <c r="I452" s="8"/>
      <c r="J452" s="8"/>
      <c r="K452" s="8"/>
      <c r="L452" s="8"/>
      <c r="M452" s="8"/>
      <c r="N452" s="8"/>
    </row>
    <row r="453" spans="7:14">
      <c r="G453" s="8"/>
      <c r="H453" s="8"/>
      <c r="I453" s="8"/>
      <c r="J453" s="8"/>
      <c r="K453" s="8"/>
      <c r="L453" s="8"/>
      <c r="M453" s="8"/>
      <c r="N453" s="8"/>
    </row>
    <row r="454" spans="7:14">
      <c r="G454" s="8"/>
      <c r="H454" s="8"/>
      <c r="I454" s="8"/>
      <c r="J454" s="8"/>
      <c r="K454" s="8"/>
      <c r="L454" s="8"/>
      <c r="M454" s="8"/>
      <c r="N454" s="8"/>
    </row>
    <row r="455" spans="7:14">
      <c r="G455" s="8"/>
      <c r="H455" s="8"/>
      <c r="I455" s="8"/>
      <c r="J455" s="8"/>
      <c r="K455" s="8"/>
      <c r="L455" s="8"/>
      <c r="M455" s="8"/>
      <c r="N455" s="8"/>
    </row>
    <row r="456" spans="7:14">
      <c r="G456" s="8"/>
      <c r="H456" s="8"/>
      <c r="I456" s="8"/>
      <c r="J456" s="8"/>
      <c r="K456" s="8"/>
      <c r="L456" s="8"/>
      <c r="M456" s="8"/>
      <c r="N456" s="8"/>
    </row>
    <row r="457" spans="7:14">
      <c r="G457" s="8"/>
      <c r="H457" s="8"/>
      <c r="I457" s="8"/>
      <c r="J457" s="8"/>
      <c r="K457" s="8"/>
      <c r="L457" s="8"/>
      <c r="M457" s="8"/>
      <c r="N457" s="8"/>
    </row>
    <row r="458" spans="7:14">
      <c r="G458" s="8"/>
      <c r="H458" s="8"/>
      <c r="I458" s="8"/>
      <c r="J458" s="8"/>
      <c r="K458" s="8"/>
      <c r="L458" s="8"/>
      <c r="M458" s="8"/>
      <c r="N458" s="8"/>
    </row>
    <row r="459" spans="7:14">
      <c r="G459" s="8"/>
      <c r="H459" s="8"/>
      <c r="I459" s="8"/>
      <c r="J459" s="8"/>
      <c r="K459" s="8"/>
      <c r="L459" s="8"/>
      <c r="M459" s="8"/>
      <c r="N459" s="8"/>
    </row>
    <row r="460" spans="7:14">
      <c r="G460" s="8"/>
      <c r="H460" s="8"/>
      <c r="I460" s="8"/>
      <c r="J460" s="8"/>
      <c r="K460" s="8"/>
      <c r="L460" s="8"/>
      <c r="M460" s="8"/>
      <c r="N460" s="8"/>
    </row>
    <row r="461" spans="7:14">
      <c r="G461" s="8"/>
      <c r="H461" s="8"/>
      <c r="I461" s="8"/>
      <c r="J461" s="8"/>
      <c r="K461" s="8"/>
      <c r="L461" s="8"/>
      <c r="M461" s="8"/>
      <c r="N461" s="8"/>
    </row>
    <row r="462" spans="7:14">
      <c r="G462" s="8"/>
      <c r="H462" s="8"/>
      <c r="I462" s="8"/>
      <c r="J462" s="8"/>
      <c r="K462" s="8"/>
      <c r="L462" s="8"/>
      <c r="M462" s="8"/>
      <c r="N462" s="8"/>
    </row>
    <row r="463" spans="7:14">
      <c r="G463" s="8"/>
      <c r="H463" s="8"/>
      <c r="I463" s="8"/>
      <c r="J463" s="8"/>
      <c r="K463" s="8"/>
      <c r="L463" s="8"/>
      <c r="M463" s="8"/>
      <c r="N463" s="8"/>
    </row>
    <row r="464" spans="7:14">
      <c r="G464" s="8"/>
      <c r="H464" s="8"/>
      <c r="I464" s="8"/>
      <c r="J464" s="8"/>
      <c r="K464" s="8"/>
      <c r="L464" s="8"/>
      <c r="M464" s="8"/>
      <c r="N464" s="8"/>
    </row>
    <row r="465" spans="7:14">
      <c r="G465" s="8"/>
      <c r="H465" s="8"/>
      <c r="I465" s="8"/>
      <c r="J465" s="8"/>
      <c r="K465" s="8"/>
      <c r="L465" s="8"/>
      <c r="M465" s="8"/>
      <c r="N465" s="8"/>
    </row>
    <row r="466" spans="7:14">
      <c r="G466" s="8"/>
      <c r="H466" s="8"/>
      <c r="I466" s="8"/>
      <c r="J466" s="8"/>
      <c r="K466" s="8"/>
      <c r="L466" s="8"/>
      <c r="M466" s="8"/>
      <c r="N466" s="8"/>
    </row>
    <row r="467" spans="7:14">
      <c r="G467" s="8"/>
      <c r="H467" s="8"/>
      <c r="I467" s="8"/>
      <c r="J467" s="8"/>
      <c r="K467" s="8"/>
      <c r="L467" s="8"/>
      <c r="M467" s="8"/>
      <c r="N467" s="8"/>
    </row>
    <row r="468" spans="7:14">
      <c r="G468" s="8"/>
      <c r="H468" s="8"/>
      <c r="I468" s="8"/>
      <c r="J468" s="8"/>
      <c r="K468" s="8"/>
      <c r="L468" s="8"/>
      <c r="M468" s="8"/>
      <c r="N468" s="8"/>
    </row>
    <row r="469" spans="7:14">
      <c r="G469" s="8"/>
      <c r="H469" s="8"/>
      <c r="I469" s="8"/>
      <c r="J469" s="8"/>
      <c r="K469" s="8"/>
      <c r="L469" s="8"/>
      <c r="M469" s="8"/>
      <c r="N469" s="8"/>
    </row>
    <row r="470" spans="7:14">
      <c r="G470" s="8"/>
      <c r="H470" s="8"/>
      <c r="I470" s="8"/>
      <c r="J470" s="8"/>
      <c r="K470" s="8"/>
      <c r="L470" s="8"/>
      <c r="M470" s="8"/>
      <c r="N470" s="8"/>
    </row>
    <row r="471" spans="7:14">
      <c r="G471" s="8"/>
      <c r="H471" s="8"/>
      <c r="I471" s="8"/>
      <c r="J471" s="8"/>
      <c r="K471" s="8"/>
      <c r="L471" s="8"/>
      <c r="M471" s="8"/>
      <c r="N471" s="8"/>
    </row>
    <row r="472" spans="7:14">
      <c r="G472" s="8"/>
      <c r="H472" s="8"/>
      <c r="I472" s="8"/>
      <c r="J472" s="8"/>
      <c r="K472" s="8"/>
      <c r="L472" s="8"/>
      <c r="M472" s="8"/>
      <c r="N472" s="8"/>
    </row>
    <row r="473" spans="7:14">
      <c r="G473" s="8"/>
      <c r="H473" s="8"/>
      <c r="I473" s="8"/>
      <c r="J473" s="8"/>
      <c r="K473" s="8"/>
      <c r="L473" s="8"/>
      <c r="M473" s="8"/>
      <c r="N473" s="8"/>
    </row>
    <row r="474" spans="7:14">
      <c r="G474" s="8"/>
      <c r="H474" s="8"/>
      <c r="I474" s="8"/>
      <c r="J474" s="8"/>
      <c r="K474" s="8"/>
      <c r="L474" s="8"/>
      <c r="M474" s="8"/>
      <c r="N474" s="8"/>
    </row>
    <row r="475" spans="7:14">
      <c r="G475" s="8"/>
      <c r="H475" s="8"/>
      <c r="I475" s="8"/>
      <c r="J475" s="8"/>
      <c r="K475" s="8"/>
      <c r="L475" s="8"/>
      <c r="M475" s="8"/>
      <c r="N475" s="8"/>
    </row>
    <row r="476" spans="7:14">
      <c r="G476" s="8"/>
      <c r="H476" s="8"/>
      <c r="I476" s="8"/>
      <c r="J476" s="8"/>
      <c r="K476" s="8"/>
      <c r="L476" s="8"/>
      <c r="M476" s="8"/>
      <c r="N476" s="8"/>
    </row>
    <row r="477" spans="7:14">
      <c r="G477" s="8"/>
      <c r="H477" s="8"/>
      <c r="I477" s="8"/>
      <c r="J477" s="8"/>
      <c r="K477" s="8"/>
      <c r="L477" s="8"/>
      <c r="M477" s="8"/>
      <c r="N477" s="8"/>
    </row>
    <row r="478" spans="7:14">
      <c r="G478" s="8"/>
      <c r="H478" s="8"/>
      <c r="I478" s="8"/>
      <c r="J478" s="8"/>
      <c r="K478" s="8"/>
      <c r="L478" s="8"/>
      <c r="M478" s="8"/>
      <c r="N478" s="8"/>
    </row>
    <row r="479" spans="7:14">
      <c r="G479" s="8"/>
      <c r="H479" s="8"/>
      <c r="I479" s="8"/>
      <c r="J479" s="8"/>
      <c r="K479" s="8"/>
      <c r="L479" s="8"/>
      <c r="M479" s="8"/>
      <c r="N479" s="8"/>
    </row>
    <row r="480" spans="7:14">
      <c r="G480" s="8"/>
      <c r="H480" s="8"/>
      <c r="I480" s="8"/>
      <c r="J480" s="8"/>
      <c r="K480" s="8"/>
      <c r="L480" s="8"/>
      <c r="M480" s="8"/>
      <c r="N480" s="8"/>
    </row>
    <row r="481" spans="7:14">
      <c r="G481" s="8"/>
      <c r="H481" s="8"/>
      <c r="I481" s="8"/>
      <c r="J481" s="8"/>
      <c r="K481" s="8"/>
      <c r="L481" s="8"/>
      <c r="M481" s="8"/>
      <c r="N481" s="8"/>
    </row>
    <row r="482" spans="7:14">
      <c r="G482" s="8"/>
      <c r="H482" s="8"/>
      <c r="I482" s="8"/>
      <c r="J482" s="8"/>
      <c r="K482" s="8"/>
      <c r="L482" s="8"/>
      <c r="M482" s="8"/>
      <c r="N482" s="8"/>
    </row>
    <row r="483" spans="7:14">
      <c r="G483" s="8"/>
      <c r="H483" s="8"/>
      <c r="I483" s="8"/>
      <c r="J483" s="8"/>
      <c r="K483" s="8"/>
      <c r="L483" s="8"/>
      <c r="M483" s="8"/>
      <c r="N483" s="8"/>
    </row>
    <row r="484" spans="7:14">
      <c r="G484" s="8"/>
      <c r="H484" s="8"/>
      <c r="I484" s="8"/>
      <c r="J484" s="8"/>
      <c r="K484" s="8"/>
      <c r="L484" s="8"/>
      <c r="M484" s="8"/>
      <c r="N484" s="8"/>
    </row>
    <row r="485" spans="7:14">
      <c r="G485" s="8"/>
      <c r="H485" s="8"/>
      <c r="I485" s="8"/>
      <c r="J485" s="8"/>
      <c r="K485" s="8"/>
      <c r="L485" s="8"/>
      <c r="M485" s="8"/>
      <c r="N485" s="8"/>
    </row>
    <row r="486" spans="7:14">
      <c r="G486" s="8"/>
      <c r="H486" s="8"/>
      <c r="I486" s="8"/>
      <c r="J486" s="8"/>
      <c r="K486" s="8"/>
      <c r="L486" s="8"/>
      <c r="M486" s="8"/>
      <c r="N486" s="8"/>
    </row>
    <row r="487" spans="7:14">
      <c r="G487" s="8"/>
      <c r="H487" s="8"/>
      <c r="I487" s="8"/>
      <c r="J487" s="8"/>
      <c r="K487" s="8"/>
      <c r="L487" s="8"/>
      <c r="M487" s="8"/>
      <c r="N487" s="8"/>
    </row>
    <row r="488" spans="7:14">
      <c r="G488" s="8"/>
      <c r="H488" s="8"/>
      <c r="I488" s="8"/>
      <c r="J488" s="8"/>
      <c r="K488" s="8"/>
      <c r="L488" s="8"/>
      <c r="M488" s="8"/>
      <c r="N488" s="8"/>
    </row>
    <row r="489" spans="7:14">
      <c r="G489" s="8"/>
      <c r="H489" s="8"/>
      <c r="I489" s="8"/>
      <c r="J489" s="8"/>
      <c r="K489" s="8"/>
      <c r="L489" s="8"/>
      <c r="M489" s="8"/>
      <c r="N489" s="8"/>
    </row>
    <row r="490" spans="7:14">
      <c r="G490" s="8"/>
      <c r="H490" s="8"/>
      <c r="I490" s="8"/>
      <c r="J490" s="8"/>
      <c r="K490" s="8"/>
      <c r="L490" s="8"/>
      <c r="M490" s="8"/>
      <c r="N490" s="8"/>
    </row>
    <row r="491" spans="7:14">
      <c r="G491" s="8"/>
      <c r="H491" s="8"/>
      <c r="I491" s="8"/>
      <c r="J491" s="8"/>
      <c r="K491" s="8"/>
      <c r="L491" s="8"/>
      <c r="M491" s="8"/>
      <c r="N491" s="8"/>
    </row>
    <row r="492" spans="7:14">
      <c r="G492" s="8"/>
      <c r="H492" s="8"/>
      <c r="I492" s="8"/>
      <c r="J492" s="8"/>
      <c r="K492" s="8"/>
      <c r="L492" s="8"/>
      <c r="M492" s="8"/>
      <c r="N492" s="8"/>
    </row>
    <row r="493" spans="7:14">
      <c r="G493" s="8"/>
      <c r="H493" s="8"/>
      <c r="I493" s="8"/>
      <c r="J493" s="8"/>
      <c r="K493" s="8"/>
      <c r="L493" s="8"/>
      <c r="M493" s="8"/>
      <c r="N493" s="8"/>
    </row>
    <row r="494" spans="7:14">
      <c r="G494" s="8"/>
      <c r="H494" s="8"/>
      <c r="I494" s="8"/>
      <c r="J494" s="8"/>
      <c r="K494" s="8"/>
      <c r="L494" s="8"/>
      <c r="M494" s="8"/>
      <c r="N494" s="8"/>
    </row>
    <row r="495" spans="7:14">
      <c r="G495" s="8"/>
      <c r="H495" s="8"/>
      <c r="I495" s="8"/>
      <c r="J495" s="8"/>
      <c r="K495" s="8"/>
      <c r="L495" s="8"/>
      <c r="M495" s="8"/>
      <c r="N495" s="8"/>
    </row>
    <row r="496" spans="7:14">
      <c r="G496" s="8"/>
      <c r="H496" s="8"/>
      <c r="I496" s="8"/>
      <c r="J496" s="8"/>
      <c r="K496" s="8"/>
      <c r="L496" s="8"/>
      <c r="M496" s="8"/>
      <c r="N496" s="8"/>
    </row>
    <row r="497" spans="7:14">
      <c r="G497" s="8"/>
      <c r="H497" s="8"/>
      <c r="I497" s="8"/>
      <c r="J497" s="8"/>
      <c r="K497" s="8"/>
      <c r="L497" s="8"/>
      <c r="M497" s="8"/>
      <c r="N497" s="8"/>
    </row>
    <row r="498" spans="7:14">
      <c r="G498" s="8"/>
      <c r="H498" s="8"/>
      <c r="I498" s="8"/>
      <c r="J498" s="8"/>
      <c r="K498" s="8"/>
      <c r="L498" s="8"/>
      <c r="M498" s="8"/>
      <c r="N498" s="8"/>
    </row>
    <row r="499" spans="7:14">
      <c r="G499" s="8"/>
      <c r="H499" s="8"/>
      <c r="I499" s="8"/>
      <c r="J499" s="8"/>
      <c r="K499" s="8"/>
      <c r="L499" s="8"/>
      <c r="M499" s="8"/>
      <c r="N499" s="8"/>
    </row>
    <row r="500" spans="7:14">
      <c r="G500" s="8"/>
      <c r="H500" s="8"/>
      <c r="I500" s="8"/>
      <c r="J500" s="8"/>
      <c r="K500" s="8"/>
      <c r="L500" s="8"/>
      <c r="M500" s="8"/>
      <c r="N500" s="8"/>
    </row>
    <row r="501" spans="7:14">
      <c r="G501" s="8"/>
      <c r="H501" s="8"/>
      <c r="I501" s="8"/>
      <c r="J501" s="8"/>
      <c r="K501" s="8"/>
      <c r="L501" s="8"/>
      <c r="M501" s="8"/>
      <c r="N501" s="8"/>
    </row>
    <row r="502" spans="7:14">
      <c r="G502" s="8"/>
      <c r="H502" s="8"/>
      <c r="I502" s="8"/>
      <c r="J502" s="8"/>
      <c r="K502" s="8"/>
      <c r="L502" s="8"/>
      <c r="M502" s="8"/>
      <c r="N502" s="8"/>
    </row>
    <row r="503" spans="7:14">
      <c r="G503" s="8"/>
      <c r="H503" s="8"/>
      <c r="I503" s="8"/>
      <c r="J503" s="8"/>
      <c r="K503" s="8"/>
      <c r="L503" s="8"/>
      <c r="M503" s="8"/>
      <c r="N503" s="8"/>
    </row>
    <row r="504" spans="7:14">
      <c r="G504" s="8"/>
      <c r="H504" s="8"/>
      <c r="I504" s="8"/>
      <c r="J504" s="8"/>
      <c r="K504" s="8"/>
      <c r="L504" s="8"/>
      <c r="M504" s="8"/>
      <c r="N504" s="8"/>
    </row>
    <row r="505" spans="7:14">
      <c r="G505" s="8"/>
      <c r="H505" s="8"/>
      <c r="I505" s="8"/>
      <c r="J505" s="8"/>
      <c r="K505" s="8"/>
      <c r="L505" s="8"/>
      <c r="M505" s="8"/>
      <c r="N505" s="8"/>
    </row>
    <row r="506" spans="7:14">
      <c r="G506" s="8"/>
      <c r="H506" s="8"/>
      <c r="I506" s="8"/>
      <c r="J506" s="8"/>
      <c r="K506" s="8"/>
      <c r="L506" s="8"/>
      <c r="M506" s="8"/>
      <c r="N506" s="8"/>
    </row>
    <row r="507" spans="7:14">
      <c r="G507" s="8"/>
      <c r="H507" s="8"/>
      <c r="I507" s="8"/>
      <c r="J507" s="8"/>
      <c r="K507" s="8"/>
      <c r="L507" s="8"/>
      <c r="M507" s="8"/>
      <c r="N507" s="8"/>
    </row>
    <row r="508" spans="7:14">
      <c r="G508" s="8"/>
      <c r="H508" s="8"/>
      <c r="I508" s="8"/>
      <c r="J508" s="8"/>
      <c r="K508" s="8"/>
      <c r="L508" s="8"/>
      <c r="M508" s="8"/>
      <c r="N508" s="8"/>
    </row>
    <row r="509" spans="7:14">
      <c r="G509" s="8"/>
      <c r="H509" s="8"/>
      <c r="I509" s="8"/>
      <c r="J509" s="8"/>
      <c r="K509" s="8"/>
      <c r="L509" s="8"/>
      <c r="M509" s="8"/>
      <c r="N509" s="8"/>
    </row>
    <row r="510" spans="7:14">
      <c r="G510" s="8"/>
      <c r="H510" s="8"/>
      <c r="I510" s="8"/>
      <c r="J510" s="8"/>
      <c r="K510" s="8"/>
      <c r="L510" s="8"/>
      <c r="M510" s="8"/>
      <c r="N510" s="8"/>
    </row>
    <row r="511" spans="7:14">
      <c r="G511" s="8"/>
      <c r="H511" s="8"/>
      <c r="I511" s="8"/>
      <c r="J511" s="8"/>
      <c r="K511" s="8"/>
      <c r="L511" s="8"/>
      <c r="M511" s="8"/>
      <c r="N511" s="8"/>
    </row>
    <row r="512" spans="7:14">
      <c r="G512" s="8"/>
      <c r="H512" s="8"/>
      <c r="I512" s="8"/>
      <c r="J512" s="8"/>
      <c r="K512" s="8"/>
      <c r="L512" s="8"/>
      <c r="M512" s="8"/>
      <c r="N512" s="8"/>
    </row>
    <row r="513" spans="7:14">
      <c r="G513" s="8"/>
      <c r="H513" s="8"/>
      <c r="I513" s="8"/>
      <c r="J513" s="8"/>
      <c r="K513" s="8"/>
      <c r="L513" s="8"/>
      <c r="M513" s="8"/>
      <c r="N513" s="8"/>
    </row>
    <row r="514" spans="7:14">
      <c r="G514" s="8"/>
      <c r="H514" s="8"/>
      <c r="I514" s="8"/>
      <c r="J514" s="8"/>
      <c r="K514" s="8"/>
      <c r="L514" s="8"/>
      <c r="M514" s="8"/>
      <c r="N514" s="8"/>
    </row>
    <row r="515" spans="7:14">
      <c r="G515" s="8"/>
      <c r="H515" s="8"/>
      <c r="I515" s="8"/>
      <c r="J515" s="8"/>
      <c r="K515" s="8"/>
      <c r="L515" s="8"/>
      <c r="M515" s="8"/>
      <c r="N515" s="8"/>
    </row>
    <row r="516" spans="7:14">
      <c r="G516" s="8"/>
      <c r="H516" s="8"/>
      <c r="I516" s="8"/>
      <c r="J516" s="8"/>
      <c r="K516" s="8"/>
      <c r="L516" s="8"/>
      <c r="M516" s="8"/>
      <c r="N516" s="8"/>
    </row>
    <row r="517" spans="7:14">
      <c r="G517" s="8"/>
      <c r="H517" s="8"/>
      <c r="I517" s="8"/>
      <c r="J517" s="8"/>
      <c r="K517" s="8"/>
      <c r="L517" s="8"/>
      <c r="M517" s="8"/>
      <c r="N517" s="8"/>
    </row>
    <row r="518" spans="7:14">
      <c r="G518" s="8"/>
      <c r="H518" s="8"/>
      <c r="I518" s="8"/>
      <c r="J518" s="8"/>
      <c r="K518" s="8"/>
      <c r="L518" s="8"/>
      <c r="M518" s="8"/>
      <c r="N518" s="8"/>
    </row>
    <row r="519" spans="7:14">
      <c r="G519" s="8"/>
      <c r="H519" s="8"/>
      <c r="I519" s="8"/>
      <c r="J519" s="8"/>
      <c r="K519" s="8"/>
      <c r="L519" s="8"/>
      <c r="M519" s="8"/>
      <c r="N519" s="8"/>
    </row>
    <row r="520" spans="7:14">
      <c r="G520" s="8"/>
      <c r="H520" s="8"/>
      <c r="I520" s="8"/>
      <c r="J520" s="8"/>
      <c r="K520" s="8"/>
      <c r="L520" s="8"/>
      <c r="M520" s="8"/>
      <c r="N520" s="8"/>
    </row>
    <row r="521" spans="7:14">
      <c r="G521" s="8"/>
      <c r="H521" s="8"/>
      <c r="I521" s="8"/>
      <c r="J521" s="8"/>
      <c r="K521" s="8"/>
      <c r="L521" s="8"/>
      <c r="M521" s="8"/>
      <c r="N521" s="8"/>
    </row>
    <row r="522" spans="7:14">
      <c r="G522" s="8"/>
      <c r="H522" s="8"/>
      <c r="I522" s="8"/>
      <c r="J522" s="8"/>
      <c r="K522" s="8"/>
      <c r="L522" s="8"/>
      <c r="M522" s="8"/>
      <c r="N522" s="8"/>
    </row>
    <row r="523" spans="7:14">
      <c r="G523" s="8"/>
      <c r="H523" s="8"/>
      <c r="I523" s="8"/>
      <c r="J523" s="8"/>
      <c r="K523" s="8"/>
      <c r="L523" s="8"/>
      <c r="M523" s="8"/>
      <c r="N523" s="8"/>
    </row>
    <row r="524" spans="7:14">
      <c r="G524" s="8"/>
      <c r="H524" s="8"/>
      <c r="I524" s="8"/>
      <c r="J524" s="8"/>
      <c r="K524" s="8"/>
      <c r="L524" s="8"/>
      <c r="M524" s="8"/>
      <c r="N524" s="8"/>
    </row>
    <row r="525" spans="7:14">
      <c r="G525" s="8"/>
      <c r="H525" s="8"/>
      <c r="I525" s="8"/>
      <c r="J525" s="8"/>
      <c r="K525" s="8"/>
      <c r="L525" s="8"/>
      <c r="M525" s="8"/>
      <c r="N525" s="8"/>
    </row>
    <row r="526" spans="7:14">
      <c r="G526" s="8"/>
      <c r="H526" s="8"/>
      <c r="I526" s="8"/>
      <c r="J526" s="8"/>
      <c r="K526" s="8"/>
      <c r="L526" s="8"/>
      <c r="M526" s="8"/>
      <c r="N526" s="8"/>
    </row>
    <row r="527" spans="7:14">
      <c r="G527" s="8"/>
      <c r="H527" s="8"/>
      <c r="I527" s="8"/>
      <c r="J527" s="8"/>
      <c r="K527" s="8"/>
      <c r="L527" s="8"/>
      <c r="M527" s="8"/>
      <c r="N527" s="8"/>
    </row>
    <row r="528" spans="7:14">
      <c r="G528" s="8"/>
      <c r="H528" s="8"/>
      <c r="I528" s="8"/>
      <c r="J528" s="8"/>
      <c r="K528" s="8"/>
      <c r="L528" s="8"/>
      <c r="M528" s="8"/>
      <c r="N528" s="8"/>
    </row>
    <row r="529" spans="7:14">
      <c r="G529" s="8"/>
      <c r="H529" s="8"/>
      <c r="I529" s="8"/>
      <c r="J529" s="8"/>
      <c r="K529" s="8"/>
      <c r="L529" s="8"/>
      <c r="M529" s="8"/>
      <c r="N529" s="8"/>
    </row>
    <row r="530" spans="7:14">
      <c r="G530" s="8"/>
      <c r="H530" s="8"/>
      <c r="I530" s="8"/>
      <c r="J530" s="8"/>
      <c r="K530" s="8"/>
      <c r="L530" s="8"/>
      <c r="M530" s="8"/>
      <c r="N530" s="8"/>
    </row>
    <row r="531" spans="7:14">
      <c r="G531" s="8"/>
      <c r="H531" s="8"/>
      <c r="I531" s="8"/>
      <c r="J531" s="8"/>
      <c r="K531" s="8"/>
      <c r="L531" s="8"/>
      <c r="M531" s="8"/>
      <c r="N531" s="8"/>
    </row>
    <row r="532" spans="7:14">
      <c r="G532" s="8"/>
      <c r="H532" s="8"/>
      <c r="I532" s="8"/>
      <c r="J532" s="8"/>
      <c r="K532" s="8"/>
      <c r="L532" s="8"/>
      <c r="M532" s="8"/>
      <c r="N532" s="8"/>
    </row>
    <row r="533" spans="7:14">
      <c r="G533" s="8"/>
      <c r="H533" s="8"/>
      <c r="I533" s="8"/>
      <c r="J533" s="8"/>
      <c r="K533" s="8"/>
      <c r="L533" s="8"/>
      <c r="M533" s="8"/>
      <c r="N533" s="8"/>
    </row>
    <row r="534" spans="7:14">
      <c r="G534" s="8"/>
      <c r="H534" s="8"/>
      <c r="I534" s="8"/>
      <c r="J534" s="8"/>
      <c r="K534" s="8"/>
      <c r="L534" s="8"/>
      <c r="M534" s="8"/>
      <c r="N534" s="8"/>
    </row>
    <row r="535" spans="7:14">
      <c r="G535" s="8"/>
      <c r="H535" s="8"/>
      <c r="I535" s="8"/>
      <c r="J535" s="8"/>
      <c r="K535" s="8"/>
      <c r="L535" s="8"/>
      <c r="M535" s="8"/>
      <c r="N535" s="8"/>
    </row>
    <row r="536" spans="7:14">
      <c r="G536" s="8"/>
      <c r="H536" s="8"/>
      <c r="I536" s="8"/>
      <c r="J536" s="8"/>
      <c r="K536" s="8"/>
      <c r="L536" s="8"/>
      <c r="M536" s="8"/>
      <c r="N536" s="8"/>
    </row>
    <row r="537" spans="7:14">
      <c r="G537" s="8"/>
      <c r="H537" s="8"/>
      <c r="I537" s="8"/>
      <c r="J537" s="8"/>
      <c r="K537" s="8"/>
      <c r="L537" s="8"/>
      <c r="M537" s="8"/>
      <c r="N537" s="8"/>
    </row>
    <row r="538" spans="7:14">
      <c r="G538" s="8"/>
      <c r="H538" s="8"/>
      <c r="I538" s="8"/>
      <c r="J538" s="8"/>
      <c r="K538" s="8"/>
      <c r="L538" s="8"/>
      <c r="M538" s="8"/>
      <c r="N538" s="8"/>
    </row>
    <row r="539" spans="7:14">
      <c r="G539" s="8"/>
      <c r="H539" s="8"/>
      <c r="I539" s="8"/>
      <c r="J539" s="8"/>
      <c r="K539" s="8"/>
      <c r="L539" s="8"/>
      <c r="M539" s="8"/>
      <c r="N539" s="8"/>
    </row>
    <row r="540" spans="7:14">
      <c r="G540" s="8"/>
      <c r="H540" s="8"/>
      <c r="I540" s="8"/>
      <c r="J540" s="8"/>
      <c r="K540" s="8"/>
      <c r="L540" s="8"/>
      <c r="M540" s="8"/>
      <c r="N540" s="8"/>
    </row>
    <row r="541" spans="7:14">
      <c r="G541" s="8"/>
      <c r="H541" s="8"/>
      <c r="I541" s="8"/>
      <c r="J541" s="8"/>
      <c r="K541" s="8"/>
      <c r="L541" s="8"/>
      <c r="M541" s="8"/>
      <c r="N541" s="8"/>
    </row>
    <row r="542" spans="7:14">
      <c r="G542" s="8"/>
      <c r="H542" s="8"/>
      <c r="I542" s="8"/>
      <c r="J542" s="8"/>
      <c r="K542" s="8"/>
      <c r="L542" s="8"/>
      <c r="M542" s="8"/>
      <c r="N542" s="8"/>
    </row>
    <row r="543" spans="7:14">
      <c r="G543" s="8"/>
      <c r="H543" s="8"/>
      <c r="I543" s="8"/>
      <c r="J543" s="8"/>
      <c r="K543" s="8"/>
      <c r="L543" s="8"/>
      <c r="M543" s="8"/>
      <c r="N543" s="8"/>
    </row>
    <row r="544" spans="7:14">
      <c r="G544" s="8"/>
      <c r="H544" s="8"/>
      <c r="I544" s="8"/>
      <c r="J544" s="8"/>
      <c r="K544" s="8"/>
      <c r="L544" s="8"/>
      <c r="M544" s="8"/>
      <c r="N544" s="8"/>
    </row>
    <row r="545" spans="7:14">
      <c r="G545" s="8"/>
      <c r="H545" s="8"/>
      <c r="I545" s="8"/>
      <c r="J545" s="8"/>
      <c r="K545" s="8"/>
      <c r="L545" s="8"/>
      <c r="M545" s="8"/>
      <c r="N545" s="8"/>
    </row>
    <row r="546" spans="7:14">
      <c r="G546" s="8"/>
      <c r="H546" s="8"/>
      <c r="I546" s="8"/>
      <c r="J546" s="8"/>
      <c r="K546" s="8"/>
      <c r="L546" s="8"/>
      <c r="M546" s="8"/>
      <c r="N546" s="8"/>
    </row>
    <row r="547" spans="7:14">
      <c r="G547" s="8"/>
      <c r="H547" s="8"/>
      <c r="I547" s="8"/>
      <c r="J547" s="8"/>
      <c r="K547" s="8"/>
      <c r="L547" s="8"/>
      <c r="M547" s="8"/>
      <c r="N547" s="8"/>
    </row>
    <row r="548" spans="7:14">
      <c r="G548" s="8"/>
      <c r="H548" s="8"/>
      <c r="I548" s="8"/>
      <c r="J548" s="8"/>
      <c r="K548" s="8"/>
      <c r="L548" s="8"/>
      <c r="M548" s="8"/>
      <c r="N548" s="8"/>
    </row>
    <row r="549" spans="7:14">
      <c r="G549" s="8"/>
      <c r="H549" s="8"/>
      <c r="I549" s="8"/>
      <c r="J549" s="8"/>
      <c r="K549" s="8"/>
      <c r="L549" s="8"/>
      <c r="M549" s="8"/>
      <c r="N549" s="8"/>
    </row>
    <row r="550" spans="7:14">
      <c r="G550" s="8"/>
      <c r="H550" s="8"/>
      <c r="I550" s="8"/>
      <c r="J550" s="8"/>
      <c r="K550" s="8"/>
      <c r="L550" s="8"/>
      <c r="M550" s="8"/>
      <c r="N550" s="8"/>
    </row>
    <row r="551" spans="7:14">
      <c r="G551" s="8"/>
      <c r="H551" s="8"/>
      <c r="I551" s="8"/>
      <c r="J551" s="8"/>
      <c r="K551" s="8"/>
      <c r="L551" s="8"/>
      <c r="M551" s="8"/>
      <c r="N551" s="8"/>
    </row>
    <row r="552" spans="7:14">
      <c r="G552" s="8"/>
      <c r="H552" s="8"/>
      <c r="I552" s="8"/>
      <c r="J552" s="8"/>
      <c r="K552" s="8"/>
      <c r="L552" s="8"/>
      <c r="M552" s="8"/>
      <c r="N552" s="8"/>
    </row>
    <row r="553" spans="7:14">
      <c r="G553" s="8"/>
      <c r="H553" s="8"/>
      <c r="I553" s="8"/>
      <c r="J553" s="8"/>
      <c r="K553" s="8"/>
      <c r="L553" s="8"/>
      <c r="M553" s="8"/>
      <c r="N553" s="8"/>
    </row>
    <row r="554" spans="7:14">
      <c r="G554" s="8"/>
      <c r="H554" s="8"/>
      <c r="I554" s="8"/>
      <c r="J554" s="8"/>
      <c r="K554" s="8"/>
      <c r="L554" s="8"/>
      <c r="M554" s="8"/>
      <c r="N554" s="8"/>
    </row>
    <row r="555" spans="7:14">
      <c r="G555" s="8"/>
      <c r="H555" s="8"/>
      <c r="I555" s="8"/>
      <c r="J555" s="8"/>
      <c r="K555" s="8"/>
      <c r="L555" s="8"/>
      <c r="M555" s="8"/>
      <c r="N555" s="8"/>
    </row>
    <row r="556" spans="7:14">
      <c r="G556" s="8"/>
      <c r="H556" s="8"/>
      <c r="I556" s="8"/>
      <c r="J556" s="8"/>
      <c r="K556" s="8"/>
      <c r="L556" s="8"/>
      <c r="M556" s="8"/>
      <c r="N556" s="8"/>
    </row>
    <row r="557" spans="7:14">
      <c r="G557" s="8"/>
      <c r="H557" s="8"/>
      <c r="I557" s="8"/>
      <c r="J557" s="8"/>
      <c r="K557" s="8"/>
      <c r="L557" s="8"/>
      <c r="M557" s="8"/>
      <c r="N557" s="8"/>
    </row>
    <row r="558" spans="7:14">
      <c r="G558" s="8"/>
      <c r="H558" s="8"/>
      <c r="I558" s="8"/>
      <c r="J558" s="8"/>
      <c r="K558" s="8"/>
      <c r="L558" s="8"/>
      <c r="M558" s="8"/>
      <c r="N558" s="8"/>
    </row>
    <row r="559" spans="7:14">
      <c r="G559" s="8"/>
      <c r="H559" s="8"/>
      <c r="I559" s="8"/>
      <c r="J559" s="8"/>
      <c r="K559" s="8"/>
      <c r="L559" s="8"/>
      <c r="M559" s="8"/>
      <c r="N559" s="8"/>
    </row>
    <row r="560" spans="7:14">
      <c r="G560" s="8"/>
      <c r="H560" s="8"/>
      <c r="I560" s="8"/>
      <c r="J560" s="8"/>
      <c r="K560" s="8"/>
      <c r="L560" s="8"/>
      <c r="M560" s="8"/>
      <c r="N560" s="8"/>
    </row>
    <row r="561" spans="7:14">
      <c r="G561" s="8"/>
      <c r="H561" s="8"/>
      <c r="I561" s="8"/>
      <c r="J561" s="8"/>
      <c r="K561" s="8"/>
      <c r="L561" s="8"/>
      <c r="M561" s="8"/>
      <c r="N561" s="8"/>
    </row>
    <row r="562" spans="7:14">
      <c r="G562" s="8"/>
      <c r="H562" s="8"/>
      <c r="I562" s="8"/>
      <c r="J562" s="8"/>
      <c r="K562" s="8"/>
      <c r="L562" s="8"/>
      <c r="M562" s="8"/>
      <c r="N562" s="8"/>
    </row>
    <row r="563" spans="7:14">
      <c r="G563" s="8"/>
      <c r="H563" s="8"/>
      <c r="I563" s="8"/>
      <c r="J563" s="8"/>
      <c r="K563" s="8"/>
      <c r="L563" s="8"/>
      <c r="M563" s="8"/>
      <c r="N563" s="8"/>
    </row>
    <row r="564" spans="7:14">
      <c r="G564" s="8"/>
      <c r="H564" s="8"/>
      <c r="I564" s="8"/>
      <c r="J564" s="8"/>
      <c r="K564" s="8"/>
      <c r="L564" s="8"/>
      <c r="M564" s="8"/>
      <c r="N564" s="8"/>
    </row>
    <row r="565" spans="7:14">
      <c r="G565" s="8"/>
      <c r="H565" s="8"/>
      <c r="I565" s="8"/>
      <c r="J565" s="8"/>
      <c r="K565" s="8"/>
      <c r="L565" s="8"/>
      <c r="M565" s="8"/>
      <c r="N565" s="8"/>
    </row>
    <row r="566" spans="7:14">
      <c r="G566" s="8"/>
      <c r="H566" s="8"/>
      <c r="I566" s="8"/>
      <c r="J566" s="8"/>
      <c r="K566" s="8"/>
      <c r="L566" s="8"/>
      <c r="M566" s="8"/>
      <c r="N566" s="8"/>
    </row>
    <row r="567" spans="7:14">
      <c r="G567" s="8"/>
      <c r="H567" s="8"/>
      <c r="I567" s="8"/>
      <c r="J567" s="8"/>
      <c r="K567" s="8"/>
      <c r="L567" s="8"/>
      <c r="M567" s="8"/>
      <c r="N567" s="8"/>
    </row>
    <row r="568" spans="7:14">
      <c r="G568" s="8"/>
      <c r="H568" s="8"/>
      <c r="I568" s="8"/>
      <c r="J568" s="8"/>
      <c r="K568" s="8"/>
      <c r="L568" s="8"/>
      <c r="M568" s="8"/>
      <c r="N568" s="8"/>
    </row>
    <row r="569" spans="7:14">
      <c r="G569" s="8"/>
      <c r="H569" s="8"/>
      <c r="I569" s="8"/>
      <c r="J569" s="8"/>
      <c r="K569" s="8"/>
      <c r="L569" s="8"/>
      <c r="M569" s="8"/>
      <c r="N569" s="8"/>
    </row>
    <row r="570" spans="7:14">
      <c r="G570" s="8"/>
      <c r="H570" s="8"/>
      <c r="I570" s="8"/>
      <c r="J570" s="8"/>
      <c r="K570" s="8"/>
      <c r="L570" s="8"/>
      <c r="M570" s="8"/>
      <c r="N570" s="8"/>
    </row>
    <row r="571" spans="7:14">
      <c r="G571" s="8"/>
      <c r="H571" s="8"/>
      <c r="I571" s="8"/>
      <c r="J571" s="8"/>
      <c r="K571" s="8"/>
      <c r="L571" s="8"/>
      <c r="M571" s="8"/>
      <c r="N571" s="8"/>
    </row>
    <row r="572" spans="7:14">
      <c r="G572" s="8"/>
      <c r="H572" s="8"/>
      <c r="I572" s="8"/>
      <c r="J572" s="8"/>
      <c r="K572" s="8"/>
      <c r="L572" s="8"/>
      <c r="M572" s="8"/>
      <c r="N572" s="8"/>
    </row>
    <row r="573" spans="7:14">
      <c r="G573" s="8"/>
      <c r="H573" s="8"/>
      <c r="I573" s="8"/>
      <c r="J573" s="8"/>
      <c r="K573" s="8"/>
      <c r="L573" s="8"/>
      <c r="M573" s="8"/>
      <c r="N573" s="8"/>
    </row>
    <row r="574" spans="7:14">
      <c r="G574" s="8"/>
      <c r="H574" s="8"/>
      <c r="I574" s="8"/>
      <c r="J574" s="8"/>
      <c r="K574" s="8"/>
      <c r="L574" s="8"/>
      <c r="M574" s="8"/>
      <c r="N574" s="8"/>
    </row>
    <row r="575" spans="7:14">
      <c r="G575" s="8"/>
      <c r="H575" s="8"/>
      <c r="I575" s="8"/>
      <c r="J575" s="8"/>
      <c r="K575" s="8"/>
      <c r="L575" s="8"/>
      <c r="M575" s="8"/>
      <c r="N575" s="8"/>
    </row>
    <row r="576" spans="7:14">
      <c r="G576" s="8"/>
      <c r="H576" s="8"/>
      <c r="I576" s="8"/>
      <c r="J576" s="8"/>
      <c r="K576" s="8"/>
      <c r="L576" s="8"/>
      <c r="M576" s="8"/>
      <c r="N576" s="8"/>
    </row>
    <row r="577" spans="7:14">
      <c r="G577" s="8"/>
      <c r="H577" s="8"/>
      <c r="I577" s="8"/>
      <c r="J577" s="8"/>
      <c r="K577" s="8"/>
      <c r="L577" s="8"/>
      <c r="M577" s="8"/>
      <c r="N577" s="8"/>
    </row>
    <row r="578" spans="7:14">
      <c r="G578" s="8"/>
      <c r="H578" s="8"/>
      <c r="I578" s="8"/>
      <c r="J578" s="8"/>
      <c r="K578" s="8"/>
      <c r="L578" s="8"/>
      <c r="M578" s="8"/>
      <c r="N578" s="8"/>
    </row>
    <row r="579" spans="7:14">
      <c r="G579" s="8"/>
      <c r="H579" s="8"/>
      <c r="I579" s="8"/>
      <c r="J579" s="8"/>
      <c r="K579" s="8"/>
      <c r="L579" s="8"/>
      <c r="M579" s="8"/>
      <c r="N579" s="8"/>
    </row>
    <row r="580" spans="7:14">
      <c r="G580" s="8"/>
      <c r="H580" s="8"/>
      <c r="I580" s="8"/>
      <c r="J580" s="8"/>
      <c r="K580" s="8"/>
      <c r="L580" s="8"/>
      <c r="M580" s="8"/>
      <c r="N580" s="8"/>
    </row>
    <row r="581" spans="7:14">
      <c r="G581" s="8"/>
      <c r="H581" s="8"/>
      <c r="I581" s="8"/>
      <c r="J581" s="8"/>
      <c r="K581" s="8"/>
      <c r="L581" s="8"/>
      <c r="M581" s="8"/>
      <c r="N581" s="8"/>
    </row>
    <row r="582" spans="7:14">
      <c r="G582" s="8"/>
      <c r="H582" s="8"/>
      <c r="I582" s="8"/>
      <c r="J582" s="8"/>
      <c r="K582" s="8"/>
      <c r="L582" s="8"/>
      <c r="M582" s="8"/>
      <c r="N582" s="8"/>
    </row>
    <row r="583" spans="7:14">
      <c r="G583" s="8"/>
      <c r="H583" s="8"/>
      <c r="I583" s="8"/>
      <c r="J583" s="8"/>
      <c r="K583" s="8"/>
      <c r="L583" s="8"/>
      <c r="M583" s="8"/>
      <c r="N583" s="8"/>
    </row>
    <row r="584" spans="7:14">
      <c r="G584" s="8"/>
      <c r="H584" s="8"/>
      <c r="I584" s="8"/>
      <c r="J584" s="8"/>
      <c r="K584" s="8"/>
      <c r="L584" s="8"/>
      <c r="M584" s="8"/>
      <c r="N584" s="8"/>
    </row>
    <row r="585" spans="7:14">
      <c r="G585" s="8"/>
      <c r="H585" s="8"/>
      <c r="I585" s="8"/>
      <c r="J585" s="8"/>
      <c r="K585" s="8"/>
      <c r="L585" s="8"/>
      <c r="M585" s="8"/>
      <c r="N585" s="8"/>
    </row>
    <row r="586" spans="7:14">
      <c r="G586" s="8"/>
      <c r="H586" s="8"/>
      <c r="I586" s="8"/>
      <c r="J586" s="8"/>
      <c r="K586" s="8"/>
      <c r="L586" s="8"/>
      <c r="M586" s="8"/>
      <c r="N586" s="8"/>
    </row>
    <row r="587" spans="7:14">
      <c r="G587" s="8"/>
      <c r="H587" s="8"/>
      <c r="I587" s="8"/>
      <c r="J587" s="8"/>
      <c r="K587" s="8"/>
      <c r="L587" s="8"/>
      <c r="M587" s="8"/>
      <c r="N587" s="8"/>
    </row>
    <row r="588" spans="7:14">
      <c r="G588" s="8"/>
      <c r="H588" s="8"/>
      <c r="I588" s="8"/>
      <c r="J588" s="8"/>
      <c r="K588" s="8"/>
      <c r="L588" s="8"/>
      <c r="M588" s="8"/>
      <c r="N588" s="8"/>
    </row>
    <row r="589" spans="7:14">
      <c r="G589" s="8"/>
      <c r="H589" s="8"/>
      <c r="I589" s="8"/>
      <c r="J589" s="8"/>
      <c r="K589" s="8"/>
      <c r="L589" s="8"/>
      <c r="M589" s="8"/>
      <c r="N589" s="8"/>
    </row>
    <row r="590" spans="7:14">
      <c r="G590" s="8"/>
      <c r="H590" s="8"/>
      <c r="I590" s="8"/>
      <c r="J590" s="8"/>
      <c r="K590" s="8"/>
      <c r="L590" s="8"/>
      <c r="M590" s="8"/>
      <c r="N590" s="8"/>
    </row>
    <row r="591" spans="7:14">
      <c r="G591" s="8"/>
      <c r="H591" s="8"/>
      <c r="I591" s="8"/>
      <c r="J591" s="8"/>
      <c r="K591" s="8"/>
      <c r="L591" s="8"/>
      <c r="M591" s="8"/>
      <c r="N591" s="8"/>
    </row>
    <row r="592" spans="7:14">
      <c r="G592" s="8"/>
      <c r="H592" s="8"/>
      <c r="I592" s="8"/>
      <c r="J592" s="8"/>
      <c r="K592" s="8"/>
      <c r="L592" s="8"/>
      <c r="M592" s="8"/>
      <c r="N592" s="8"/>
    </row>
    <row r="593" spans="7:14">
      <c r="G593" s="8"/>
      <c r="H593" s="8"/>
      <c r="I593" s="8"/>
      <c r="J593" s="8"/>
      <c r="K593" s="8"/>
      <c r="L593" s="8"/>
      <c r="M593" s="8"/>
      <c r="N593" s="8"/>
    </row>
    <row r="594" spans="7:14">
      <c r="G594" s="8"/>
      <c r="H594" s="8"/>
      <c r="I594" s="8"/>
      <c r="J594" s="8"/>
      <c r="K594" s="8"/>
      <c r="L594" s="8"/>
      <c r="M594" s="8"/>
      <c r="N594" s="8"/>
    </row>
    <row r="595" spans="7:14">
      <c r="G595" s="8"/>
      <c r="H595" s="8"/>
      <c r="I595" s="8"/>
      <c r="J595" s="8"/>
      <c r="K595" s="8"/>
      <c r="L595" s="8"/>
      <c r="M595" s="8"/>
      <c r="N595" s="8"/>
    </row>
    <row r="596" spans="7:14">
      <c r="G596" s="8"/>
      <c r="H596" s="8"/>
      <c r="I596" s="8"/>
      <c r="J596" s="8"/>
      <c r="K596" s="8"/>
      <c r="L596" s="8"/>
      <c r="M596" s="8"/>
      <c r="N596" s="8"/>
    </row>
    <row r="597" spans="7:14">
      <c r="G597" s="8"/>
      <c r="H597" s="8"/>
      <c r="I597" s="8"/>
      <c r="J597" s="8"/>
      <c r="K597" s="8"/>
      <c r="L597" s="8"/>
      <c r="M597" s="8"/>
      <c r="N597" s="8"/>
    </row>
    <row r="598" spans="7:14">
      <c r="G598" s="8"/>
      <c r="H598" s="8"/>
      <c r="I598" s="8"/>
      <c r="J598" s="8"/>
      <c r="K598" s="8"/>
      <c r="L598" s="8"/>
      <c r="M598" s="8"/>
      <c r="N598" s="8"/>
    </row>
    <row r="599" spans="7:14">
      <c r="G599" s="8"/>
      <c r="H599" s="8"/>
      <c r="I599" s="8"/>
      <c r="J599" s="8"/>
      <c r="K599" s="8"/>
      <c r="L599" s="8"/>
      <c r="M599" s="8"/>
      <c r="N599" s="8"/>
    </row>
    <row r="600" spans="7:14">
      <c r="G600" s="8"/>
      <c r="H600" s="8"/>
      <c r="I600" s="8"/>
      <c r="J600" s="8"/>
      <c r="K600" s="8"/>
      <c r="L600" s="8"/>
      <c r="M600" s="8"/>
      <c r="N600" s="8"/>
    </row>
    <row r="601" spans="7:14">
      <c r="G601" s="8"/>
      <c r="H601" s="8"/>
      <c r="I601" s="8"/>
      <c r="J601" s="8"/>
      <c r="K601" s="8"/>
      <c r="L601" s="8"/>
      <c r="M601" s="8"/>
      <c r="N601" s="8"/>
    </row>
    <row r="602" spans="7:14">
      <c r="G602" s="8"/>
      <c r="H602" s="8"/>
      <c r="I602" s="8"/>
      <c r="J602" s="8"/>
      <c r="K602" s="8"/>
      <c r="L602" s="8"/>
      <c r="M602" s="8"/>
      <c r="N602" s="8"/>
    </row>
    <row r="603" spans="7:14">
      <c r="G603" s="8"/>
      <c r="H603" s="8"/>
      <c r="I603" s="8"/>
      <c r="J603" s="8"/>
      <c r="K603" s="8"/>
      <c r="L603" s="8"/>
      <c r="M603" s="8"/>
      <c r="N603" s="8"/>
    </row>
    <row r="604" spans="7:14">
      <c r="G604" s="8"/>
      <c r="H604" s="8"/>
      <c r="I604" s="8"/>
      <c r="J604" s="8"/>
      <c r="K604" s="8"/>
      <c r="L604" s="8"/>
      <c r="M604" s="8"/>
      <c r="N604" s="8"/>
    </row>
    <row r="605" spans="7:14">
      <c r="G605" s="8"/>
      <c r="H605" s="8"/>
      <c r="I605" s="8"/>
      <c r="J605" s="8"/>
      <c r="K605" s="8"/>
      <c r="L605" s="8"/>
      <c r="M605" s="8"/>
      <c r="N605" s="8"/>
    </row>
    <row r="606" spans="7:14">
      <c r="G606" s="8"/>
      <c r="H606" s="8"/>
      <c r="I606" s="8"/>
      <c r="J606" s="8"/>
      <c r="K606" s="8"/>
      <c r="L606" s="8"/>
      <c r="M606" s="8"/>
      <c r="N606" s="8"/>
    </row>
    <row r="607" spans="7:14">
      <c r="G607" s="8"/>
      <c r="H607" s="8"/>
      <c r="I607" s="8"/>
      <c r="J607" s="8"/>
      <c r="K607" s="8"/>
      <c r="L607" s="8"/>
      <c r="M607" s="8"/>
      <c r="N607" s="8"/>
    </row>
    <row r="608" spans="7:14">
      <c r="G608" s="8"/>
      <c r="H608" s="8"/>
      <c r="I608" s="8"/>
      <c r="J608" s="8"/>
      <c r="K608" s="8"/>
      <c r="L608" s="8"/>
      <c r="M608" s="8"/>
      <c r="N608" s="8"/>
    </row>
    <row r="609" spans="7:14">
      <c r="G609" s="8"/>
      <c r="H609" s="8"/>
      <c r="I609" s="8"/>
      <c r="J609" s="8"/>
      <c r="K609" s="8"/>
      <c r="L609" s="8"/>
      <c r="M609" s="8"/>
      <c r="N609" s="8"/>
    </row>
    <row r="610" spans="7:14">
      <c r="G610" s="8"/>
      <c r="H610" s="8"/>
      <c r="I610" s="8"/>
      <c r="J610" s="8"/>
      <c r="K610" s="8"/>
      <c r="L610" s="8"/>
      <c r="M610" s="8"/>
      <c r="N610" s="8"/>
    </row>
    <row r="611" spans="7:14">
      <c r="G611" s="8"/>
      <c r="H611" s="8"/>
      <c r="I611" s="8"/>
      <c r="J611" s="8"/>
      <c r="K611" s="8"/>
      <c r="L611" s="8"/>
      <c r="M611" s="8"/>
      <c r="N611" s="8"/>
    </row>
    <row r="612" spans="7:14">
      <c r="G612" s="8"/>
      <c r="H612" s="8"/>
      <c r="I612" s="8"/>
      <c r="J612" s="8"/>
      <c r="K612" s="8"/>
      <c r="L612" s="8"/>
      <c r="M612" s="8"/>
      <c r="N612" s="8"/>
    </row>
    <row r="613" spans="7:14">
      <c r="G613" s="8"/>
      <c r="H613" s="8"/>
      <c r="I613" s="8"/>
      <c r="J613" s="8"/>
      <c r="K613" s="8"/>
      <c r="L613" s="8"/>
      <c r="M613" s="8"/>
      <c r="N613" s="8"/>
    </row>
    <row r="614" spans="7:14">
      <c r="G614" s="8"/>
      <c r="H614" s="8"/>
      <c r="I614" s="8"/>
      <c r="J614" s="8"/>
      <c r="K614" s="8"/>
      <c r="L614" s="8"/>
      <c r="M614" s="8"/>
      <c r="N614" s="8"/>
    </row>
    <row r="615" spans="7:14">
      <c r="G615" s="8"/>
      <c r="H615" s="8"/>
      <c r="I615" s="8"/>
      <c r="J615" s="8"/>
      <c r="K615" s="8"/>
      <c r="L615" s="8"/>
      <c r="M615" s="8"/>
      <c r="N615" s="8"/>
    </row>
    <row r="616" spans="7:14">
      <c r="G616" s="8"/>
      <c r="H616" s="8"/>
      <c r="I616" s="8"/>
      <c r="J616" s="8"/>
      <c r="K616" s="8"/>
      <c r="L616" s="8"/>
      <c r="M616" s="8"/>
      <c r="N616" s="8"/>
    </row>
    <row r="617" spans="7:14">
      <c r="G617" s="8"/>
      <c r="H617" s="8"/>
      <c r="I617" s="8"/>
      <c r="J617" s="8"/>
      <c r="K617" s="8"/>
      <c r="L617" s="8"/>
      <c r="M617" s="8"/>
      <c r="N617" s="8"/>
    </row>
    <row r="618" spans="7:14">
      <c r="G618" s="8"/>
      <c r="H618" s="8"/>
      <c r="I618" s="8"/>
      <c r="J618" s="8"/>
      <c r="K618" s="8"/>
      <c r="L618" s="8"/>
      <c r="M618" s="8"/>
      <c r="N618" s="8"/>
    </row>
    <row r="619" spans="7:14">
      <c r="G619" s="8"/>
      <c r="H619" s="8"/>
      <c r="I619" s="8"/>
      <c r="J619" s="8"/>
      <c r="K619" s="8"/>
      <c r="L619" s="8"/>
      <c r="M619" s="8"/>
      <c r="N619" s="8"/>
    </row>
    <row r="620" spans="7:14">
      <c r="G620" s="8"/>
      <c r="H620" s="8"/>
      <c r="I620" s="8"/>
      <c r="J620" s="8"/>
      <c r="K620" s="8"/>
      <c r="L620" s="8"/>
      <c r="M620" s="8"/>
      <c r="N620" s="8"/>
    </row>
    <row r="621" spans="7:14">
      <c r="G621" s="8"/>
      <c r="H621" s="8"/>
      <c r="I621" s="8"/>
      <c r="J621" s="8"/>
      <c r="K621" s="8"/>
      <c r="L621" s="8"/>
      <c r="M621" s="8"/>
      <c r="N621" s="8"/>
    </row>
    <row r="622" spans="7:14">
      <c r="G622" s="8"/>
      <c r="H622" s="8"/>
      <c r="I622" s="8"/>
      <c r="J622" s="8"/>
      <c r="K622" s="8"/>
      <c r="L622" s="8"/>
      <c r="M622" s="8"/>
      <c r="N622" s="8"/>
    </row>
    <row r="623" spans="7:14">
      <c r="G623" s="8"/>
      <c r="H623" s="8"/>
      <c r="I623" s="8"/>
      <c r="J623" s="8"/>
      <c r="K623" s="8"/>
      <c r="L623" s="8"/>
      <c r="M623" s="8"/>
      <c r="N623" s="8"/>
    </row>
    <row r="624" spans="7:14">
      <c r="G624" s="8"/>
      <c r="H624" s="8"/>
      <c r="I624" s="8"/>
      <c r="J624" s="8"/>
      <c r="K624" s="8"/>
      <c r="L624" s="8"/>
      <c r="M624" s="8"/>
      <c r="N624" s="8"/>
    </row>
    <row r="625" spans="7:14">
      <c r="G625" s="8"/>
      <c r="H625" s="8"/>
      <c r="I625" s="8"/>
      <c r="J625" s="8"/>
      <c r="K625" s="8"/>
      <c r="L625" s="8"/>
      <c r="M625" s="8"/>
      <c r="N625" s="8"/>
    </row>
    <row r="626" spans="7:14">
      <c r="G626" s="8"/>
      <c r="H626" s="8"/>
      <c r="I626" s="8"/>
      <c r="J626" s="8"/>
      <c r="K626" s="8"/>
      <c r="L626" s="8"/>
      <c r="M626" s="8"/>
      <c r="N626" s="8"/>
    </row>
    <row r="627" spans="7:14">
      <c r="G627" s="8"/>
      <c r="H627" s="8"/>
      <c r="I627" s="8"/>
      <c r="J627" s="8"/>
      <c r="K627" s="8"/>
      <c r="L627" s="8"/>
      <c r="M627" s="8"/>
      <c r="N627" s="8"/>
    </row>
    <row r="628" spans="7:14">
      <c r="G628" s="8"/>
      <c r="H628" s="8"/>
      <c r="I628" s="8"/>
      <c r="J628" s="8"/>
      <c r="K628" s="8"/>
      <c r="L628" s="8"/>
      <c r="M628" s="8"/>
      <c r="N628" s="8"/>
    </row>
    <row r="629" spans="7:14">
      <c r="G629" s="8"/>
      <c r="H629" s="8"/>
      <c r="I629" s="8"/>
      <c r="J629" s="8"/>
      <c r="K629" s="8"/>
      <c r="L629" s="8"/>
      <c r="M629" s="8"/>
      <c r="N629" s="8"/>
    </row>
    <row r="630" spans="7:14">
      <c r="G630" s="8"/>
      <c r="H630" s="8"/>
      <c r="I630" s="8"/>
      <c r="J630" s="8"/>
      <c r="K630" s="8"/>
      <c r="L630" s="8"/>
      <c r="M630" s="8"/>
      <c r="N630" s="8"/>
    </row>
    <row r="631" spans="7:14">
      <c r="G631" s="8"/>
      <c r="H631" s="8"/>
      <c r="I631" s="8"/>
      <c r="J631" s="8"/>
      <c r="K631" s="8"/>
      <c r="L631" s="8"/>
      <c r="M631" s="8"/>
      <c r="N631" s="8"/>
    </row>
    <row r="632" spans="7:14">
      <c r="G632" s="8"/>
      <c r="H632" s="8"/>
      <c r="I632" s="8"/>
      <c r="J632" s="8"/>
      <c r="K632" s="8"/>
      <c r="L632" s="8"/>
      <c r="M632" s="8"/>
      <c r="N632" s="8"/>
    </row>
    <row r="633" spans="7:14">
      <c r="G633" s="8"/>
      <c r="H633" s="8"/>
      <c r="I633" s="8"/>
      <c r="J633" s="8"/>
      <c r="K633" s="8"/>
      <c r="L633" s="8"/>
      <c r="M633" s="8"/>
      <c r="N633" s="8"/>
    </row>
    <row r="634" spans="7:14">
      <c r="G634" s="8"/>
      <c r="H634" s="8"/>
      <c r="I634" s="8"/>
      <c r="J634" s="8"/>
      <c r="K634" s="8"/>
      <c r="L634" s="8"/>
      <c r="M634" s="8"/>
      <c r="N634" s="8"/>
    </row>
    <row r="635" spans="7:14">
      <c r="G635" s="8"/>
      <c r="H635" s="8"/>
      <c r="I635" s="8"/>
      <c r="J635" s="8"/>
      <c r="K635" s="8"/>
      <c r="L635" s="8"/>
      <c r="M635" s="8"/>
      <c r="N635" s="8"/>
    </row>
    <row r="636" spans="7:14">
      <c r="G636" s="8"/>
      <c r="H636" s="8"/>
      <c r="I636" s="8"/>
      <c r="J636" s="8"/>
      <c r="K636" s="8"/>
      <c r="L636" s="8"/>
      <c r="M636" s="8"/>
      <c r="N636" s="8"/>
    </row>
    <row r="637" spans="7:14">
      <c r="G637" s="8"/>
      <c r="H637" s="8"/>
      <c r="I637" s="8"/>
      <c r="J637" s="8"/>
      <c r="K637" s="8"/>
      <c r="L637" s="8"/>
      <c r="M637" s="8"/>
      <c r="N637" s="8"/>
    </row>
    <row r="638" spans="7:14">
      <c r="G638" s="8"/>
      <c r="H638" s="8"/>
      <c r="I638" s="8"/>
      <c r="J638" s="8"/>
      <c r="K638" s="8"/>
      <c r="L638" s="8"/>
      <c r="M638" s="8"/>
      <c r="N638" s="8"/>
    </row>
    <row r="639" spans="7:14">
      <c r="G639" s="8"/>
      <c r="H639" s="8"/>
      <c r="I639" s="8"/>
      <c r="J639" s="8"/>
      <c r="K639" s="8"/>
      <c r="L639" s="8"/>
      <c r="M639" s="8"/>
      <c r="N639" s="8"/>
    </row>
    <row r="640" spans="7:14">
      <c r="G640" s="8"/>
      <c r="H640" s="8"/>
      <c r="I640" s="8"/>
      <c r="J640" s="8"/>
      <c r="K640" s="8"/>
      <c r="L640" s="8"/>
      <c r="M640" s="8"/>
      <c r="N640" s="8"/>
    </row>
    <row r="641" spans="7:14">
      <c r="G641" s="8"/>
      <c r="H641" s="8"/>
      <c r="I641" s="8"/>
      <c r="J641" s="8"/>
      <c r="K641" s="8"/>
      <c r="L641" s="8"/>
      <c r="M641" s="8"/>
      <c r="N641" s="8"/>
    </row>
    <row r="642" spans="7:14">
      <c r="G642" s="8"/>
      <c r="H642" s="8"/>
      <c r="I642" s="8"/>
      <c r="J642" s="8"/>
      <c r="K642" s="8"/>
      <c r="L642" s="8"/>
      <c r="M642" s="8"/>
      <c r="N642" s="8"/>
    </row>
    <row r="643" spans="7:14">
      <c r="G643" s="8"/>
      <c r="H643" s="8"/>
      <c r="I643" s="8"/>
      <c r="J643" s="8"/>
      <c r="K643" s="8"/>
      <c r="L643" s="8"/>
      <c r="M643" s="8"/>
      <c r="N643" s="8"/>
    </row>
    <row r="644" spans="7:14">
      <c r="G644" s="8"/>
      <c r="H644" s="8"/>
      <c r="I644" s="8"/>
      <c r="J644" s="8"/>
      <c r="K644" s="8"/>
      <c r="L644" s="8"/>
      <c r="M644" s="8"/>
      <c r="N644" s="8"/>
    </row>
    <row r="645" spans="7:14">
      <c r="G645" s="8"/>
      <c r="H645" s="8"/>
      <c r="I645" s="8"/>
      <c r="J645" s="8"/>
      <c r="K645" s="8"/>
      <c r="L645" s="8"/>
      <c r="M645" s="8"/>
      <c r="N645" s="8"/>
    </row>
    <row r="646" spans="7:14">
      <c r="G646" s="8"/>
      <c r="H646" s="8"/>
      <c r="I646" s="8"/>
      <c r="J646" s="8"/>
      <c r="K646" s="8"/>
      <c r="L646" s="8"/>
      <c r="M646" s="8"/>
      <c r="N646" s="8"/>
    </row>
    <row r="647" spans="7:14">
      <c r="G647" s="8"/>
      <c r="H647" s="8"/>
      <c r="I647" s="8"/>
      <c r="J647" s="8"/>
      <c r="K647" s="8"/>
      <c r="L647" s="8"/>
      <c r="M647" s="8"/>
      <c r="N647" s="8"/>
    </row>
    <row r="648" spans="7:14">
      <c r="G648" s="8"/>
      <c r="H648" s="8"/>
      <c r="I648" s="8"/>
      <c r="J648" s="8"/>
      <c r="K648" s="8"/>
      <c r="L648" s="8"/>
      <c r="M648" s="8"/>
      <c r="N648" s="8"/>
    </row>
    <row r="649" spans="7:14">
      <c r="G649" s="8"/>
      <c r="H649" s="8"/>
      <c r="I649" s="8"/>
      <c r="J649" s="8"/>
      <c r="K649" s="8"/>
      <c r="L649" s="8"/>
      <c r="M649" s="8"/>
      <c r="N649" s="8"/>
    </row>
    <row r="650" spans="7:14">
      <c r="G650" s="8"/>
      <c r="H650" s="8"/>
      <c r="I650" s="8"/>
      <c r="J650" s="8"/>
      <c r="K650" s="8"/>
      <c r="L650" s="8"/>
      <c r="M650" s="8"/>
      <c r="N650" s="8"/>
    </row>
    <row r="651" spans="7:14">
      <c r="G651" s="8"/>
      <c r="H651" s="8"/>
      <c r="I651" s="8"/>
      <c r="J651" s="8"/>
      <c r="K651" s="8"/>
      <c r="L651" s="8"/>
      <c r="M651" s="8"/>
      <c r="N651" s="8"/>
    </row>
    <row r="652" spans="7:14">
      <c r="G652" s="8"/>
      <c r="H652" s="8"/>
      <c r="I652" s="8"/>
      <c r="J652" s="8"/>
      <c r="K652" s="8"/>
      <c r="L652" s="8"/>
      <c r="M652" s="8"/>
      <c r="N652" s="8"/>
    </row>
    <row r="653" spans="7:14">
      <c r="G653" s="8"/>
      <c r="H653" s="8"/>
      <c r="I653" s="8"/>
      <c r="J653" s="8"/>
      <c r="K653" s="8"/>
      <c r="L653" s="8"/>
      <c r="M653" s="8"/>
      <c r="N653" s="8"/>
    </row>
    <row r="654" spans="7:14">
      <c r="G654" s="8"/>
      <c r="H654" s="8"/>
      <c r="I654" s="8"/>
      <c r="J654" s="8"/>
      <c r="K654" s="8"/>
      <c r="L654" s="8"/>
      <c r="M654" s="8"/>
      <c r="N654" s="8"/>
    </row>
    <row r="655" spans="7:14">
      <c r="G655" s="8"/>
      <c r="H655" s="8"/>
      <c r="I655" s="8"/>
      <c r="J655" s="8"/>
      <c r="K655" s="8"/>
      <c r="L655" s="8"/>
      <c r="M655" s="8"/>
      <c r="N655" s="8"/>
    </row>
    <row r="656" spans="7:14">
      <c r="G656" s="8"/>
      <c r="H656" s="8"/>
      <c r="I656" s="8"/>
      <c r="J656" s="8"/>
      <c r="K656" s="8"/>
      <c r="L656" s="8"/>
      <c r="M656" s="8"/>
      <c r="N656" s="8"/>
    </row>
    <row r="657" spans="7:14">
      <c r="G657" s="8"/>
      <c r="H657" s="8"/>
      <c r="I657" s="8"/>
      <c r="J657" s="8"/>
      <c r="K657" s="8"/>
      <c r="L657" s="8"/>
      <c r="M657" s="8"/>
      <c r="N657" s="8"/>
    </row>
    <row r="658" spans="7:14">
      <c r="G658" s="8"/>
      <c r="H658" s="8"/>
      <c r="I658" s="8"/>
      <c r="J658" s="8"/>
      <c r="K658" s="8"/>
      <c r="L658" s="8"/>
      <c r="M658" s="8"/>
      <c r="N658" s="8"/>
    </row>
    <row r="659" spans="7:14">
      <c r="G659" s="8"/>
      <c r="H659" s="8"/>
      <c r="I659" s="8"/>
      <c r="J659" s="8"/>
      <c r="K659" s="8"/>
      <c r="L659" s="8"/>
      <c r="M659" s="8"/>
      <c r="N659" s="8"/>
    </row>
    <row r="660" spans="7:14">
      <c r="G660" s="8"/>
      <c r="H660" s="8"/>
      <c r="I660" s="8"/>
      <c r="J660" s="8"/>
      <c r="K660" s="8"/>
      <c r="L660" s="8"/>
      <c r="M660" s="8"/>
      <c r="N660" s="8"/>
    </row>
    <row r="661" spans="7:14">
      <c r="G661" s="8"/>
      <c r="H661" s="8"/>
      <c r="I661" s="8"/>
      <c r="J661" s="8"/>
      <c r="K661" s="8"/>
      <c r="L661" s="8"/>
      <c r="M661" s="8"/>
      <c r="N661" s="8"/>
    </row>
    <row r="662" spans="7:14">
      <c r="G662" s="8"/>
      <c r="H662" s="8"/>
      <c r="I662" s="8"/>
      <c r="J662" s="8"/>
      <c r="K662" s="8"/>
      <c r="L662" s="8"/>
      <c r="M662" s="8"/>
      <c r="N662" s="8"/>
    </row>
    <row r="663" spans="7:14">
      <c r="G663" s="8"/>
      <c r="H663" s="8"/>
      <c r="I663" s="8"/>
      <c r="J663" s="8"/>
      <c r="K663" s="8"/>
      <c r="L663" s="8"/>
      <c r="M663" s="8"/>
      <c r="N663" s="8"/>
    </row>
    <row r="664" spans="7:14">
      <c r="G664" s="8"/>
      <c r="H664" s="8"/>
      <c r="I664" s="8"/>
      <c r="J664" s="8"/>
      <c r="K664" s="8"/>
      <c r="L664" s="8"/>
      <c r="M664" s="8"/>
      <c r="N664" s="8"/>
    </row>
    <row r="665" spans="7:14">
      <c r="G665" s="8"/>
      <c r="H665" s="8"/>
      <c r="I665" s="8"/>
      <c r="J665" s="8"/>
      <c r="K665" s="8"/>
      <c r="L665" s="8"/>
      <c r="M665" s="8"/>
      <c r="N665" s="8"/>
    </row>
    <row r="666" spans="7:14">
      <c r="G666" s="8"/>
      <c r="H666" s="8"/>
      <c r="I666" s="8"/>
      <c r="J666" s="8"/>
      <c r="K666" s="8"/>
      <c r="L666" s="8"/>
      <c r="M666" s="8"/>
      <c r="N666" s="8"/>
    </row>
    <row r="667" spans="7:14">
      <c r="G667" s="8"/>
      <c r="H667" s="8"/>
      <c r="I667" s="8"/>
      <c r="J667" s="8"/>
      <c r="K667" s="8"/>
      <c r="L667" s="8"/>
      <c r="M667" s="8"/>
      <c r="N667" s="8"/>
    </row>
    <row r="668" spans="7:14">
      <c r="G668" s="8"/>
      <c r="H668" s="8"/>
      <c r="I668" s="8"/>
      <c r="J668" s="8"/>
      <c r="K668" s="8"/>
      <c r="L668" s="8"/>
      <c r="M668" s="8"/>
      <c r="N668" s="8"/>
    </row>
    <row r="669" spans="7:14">
      <c r="G669" s="8"/>
      <c r="H669" s="8"/>
      <c r="I669" s="8"/>
      <c r="J669" s="8"/>
      <c r="K669" s="8"/>
      <c r="L669" s="8"/>
      <c r="M669" s="8"/>
      <c r="N669" s="8"/>
    </row>
    <row r="670" spans="7:14">
      <c r="G670" s="8"/>
      <c r="H670" s="8"/>
      <c r="I670" s="8"/>
      <c r="J670" s="8"/>
      <c r="K670" s="8"/>
      <c r="L670" s="8"/>
      <c r="M670" s="8"/>
      <c r="N670" s="8"/>
    </row>
    <row r="671" spans="7:14">
      <c r="G671" s="8"/>
      <c r="H671" s="8"/>
      <c r="I671" s="8"/>
      <c r="J671" s="8"/>
      <c r="K671" s="8"/>
      <c r="L671" s="8"/>
      <c r="M671" s="8"/>
      <c r="N671" s="8"/>
    </row>
    <row r="672" spans="7:14">
      <c r="G672" s="8"/>
      <c r="H672" s="8"/>
      <c r="I672" s="8"/>
      <c r="J672" s="8"/>
      <c r="K672" s="8"/>
      <c r="L672" s="8"/>
      <c r="M672" s="8"/>
      <c r="N672" s="8"/>
    </row>
    <row r="673" spans="7:14">
      <c r="G673" s="8"/>
      <c r="H673" s="8"/>
      <c r="I673" s="8"/>
      <c r="J673" s="8"/>
      <c r="K673" s="8"/>
      <c r="L673" s="8"/>
      <c r="M673" s="8"/>
      <c r="N673" s="8"/>
    </row>
    <row r="674" spans="7:14">
      <c r="G674" s="8"/>
      <c r="H674" s="8"/>
      <c r="I674" s="8"/>
      <c r="J674" s="8"/>
      <c r="K674" s="8"/>
      <c r="L674" s="8"/>
      <c r="M674" s="8"/>
      <c r="N674" s="8"/>
    </row>
    <row r="675" spans="7:14">
      <c r="G675" s="8"/>
      <c r="H675" s="8"/>
      <c r="I675" s="8"/>
      <c r="J675" s="8"/>
      <c r="K675" s="8"/>
      <c r="L675" s="8"/>
      <c r="M675" s="8"/>
      <c r="N675" s="8"/>
    </row>
    <row r="676" spans="7:14">
      <c r="G676" s="8"/>
      <c r="H676" s="8"/>
      <c r="I676" s="8"/>
      <c r="J676" s="8"/>
      <c r="K676" s="8"/>
      <c r="L676" s="8"/>
      <c r="M676" s="8"/>
      <c r="N676" s="8"/>
    </row>
    <row r="677" spans="7:14">
      <c r="G677" s="8"/>
      <c r="H677" s="8"/>
      <c r="I677" s="8"/>
      <c r="J677" s="8"/>
      <c r="K677" s="8"/>
      <c r="L677" s="8"/>
      <c r="M677" s="8"/>
      <c r="N677" s="8"/>
    </row>
    <row r="678" spans="7:14">
      <c r="G678" s="8"/>
      <c r="H678" s="8"/>
      <c r="I678" s="8"/>
      <c r="J678" s="8"/>
      <c r="K678" s="8"/>
      <c r="L678" s="8"/>
      <c r="M678" s="8"/>
      <c r="N678" s="8"/>
    </row>
    <row r="679" spans="7:14">
      <c r="G679" s="8"/>
      <c r="H679" s="8"/>
      <c r="I679" s="8"/>
      <c r="J679" s="8"/>
      <c r="K679" s="8"/>
      <c r="L679" s="8"/>
      <c r="M679" s="8"/>
      <c r="N679" s="8"/>
    </row>
    <row r="680" spans="7:14">
      <c r="G680" s="8"/>
      <c r="H680" s="8"/>
      <c r="I680" s="8"/>
      <c r="J680" s="8"/>
      <c r="K680" s="8"/>
      <c r="L680" s="8"/>
      <c r="M680" s="8"/>
      <c r="N680" s="8"/>
    </row>
    <row r="681" spans="7:14">
      <c r="G681" s="8"/>
      <c r="H681" s="8"/>
      <c r="I681" s="8"/>
      <c r="J681" s="8"/>
      <c r="K681" s="8"/>
      <c r="L681" s="8"/>
      <c r="M681" s="8"/>
      <c r="N681" s="8"/>
    </row>
    <row r="682" spans="7:14">
      <c r="G682" s="8"/>
      <c r="H682" s="8"/>
      <c r="I682" s="8"/>
      <c r="J682" s="8"/>
      <c r="K682" s="8"/>
      <c r="L682" s="8"/>
      <c r="M682" s="8"/>
      <c r="N682" s="8"/>
    </row>
    <row r="683" spans="7:14">
      <c r="G683" s="8"/>
      <c r="H683" s="8"/>
      <c r="I683" s="8"/>
      <c r="J683" s="8"/>
      <c r="K683" s="8"/>
      <c r="L683" s="8"/>
      <c r="M683" s="8"/>
      <c r="N683" s="8"/>
    </row>
    <row r="684" spans="7:14">
      <c r="G684" s="8"/>
      <c r="H684" s="8"/>
      <c r="I684" s="8"/>
      <c r="J684" s="8"/>
      <c r="K684" s="8"/>
      <c r="L684" s="8"/>
      <c r="M684" s="8"/>
      <c r="N684" s="8"/>
    </row>
    <row r="685" spans="7:14">
      <c r="G685" s="8"/>
      <c r="H685" s="8"/>
      <c r="I685" s="8"/>
      <c r="J685" s="8"/>
      <c r="K685" s="8"/>
      <c r="L685" s="8"/>
      <c r="M685" s="8"/>
      <c r="N685" s="8"/>
    </row>
    <row r="686" spans="7:14">
      <c r="G686" s="8"/>
      <c r="H686" s="8"/>
      <c r="I686" s="8"/>
      <c r="J686" s="8"/>
      <c r="K686" s="8"/>
      <c r="L686" s="8"/>
      <c r="M686" s="8"/>
      <c r="N686" s="8"/>
    </row>
    <row r="687" spans="7:14">
      <c r="G687" s="8"/>
      <c r="H687" s="8"/>
      <c r="I687" s="8"/>
      <c r="J687" s="8"/>
      <c r="K687" s="8"/>
      <c r="L687" s="8"/>
      <c r="M687" s="8"/>
      <c r="N687" s="8"/>
    </row>
    <row r="688" spans="7:14">
      <c r="G688" s="8"/>
      <c r="H688" s="8"/>
      <c r="I688" s="8"/>
      <c r="J688" s="8"/>
      <c r="K688" s="8"/>
      <c r="L688" s="8"/>
      <c r="M688" s="8"/>
      <c r="N688" s="8"/>
    </row>
    <row r="689" spans="7:14">
      <c r="G689" s="8"/>
      <c r="H689" s="8"/>
      <c r="I689" s="8"/>
      <c r="J689" s="8"/>
      <c r="K689" s="8"/>
      <c r="L689" s="8"/>
      <c r="M689" s="8"/>
      <c r="N689" s="8"/>
    </row>
    <row r="690" spans="7:14">
      <c r="G690" s="8"/>
      <c r="H690" s="8"/>
      <c r="I690" s="8"/>
      <c r="J690" s="8"/>
      <c r="K690" s="8"/>
      <c r="L690" s="8"/>
      <c r="M690" s="8"/>
      <c r="N690" s="8"/>
    </row>
    <row r="691" spans="7:14">
      <c r="G691" s="8"/>
      <c r="H691" s="8"/>
      <c r="I691" s="8"/>
      <c r="J691" s="8"/>
      <c r="K691" s="8"/>
      <c r="L691" s="8"/>
      <c r="M691" s="8"/>
      <c r="N691" s="8"/>
    </row>
    <row r="692" spans="7:14">
      <c r="G692" s="8"/>
      <c r="H692" s="8"/>
      <c r="I692" s="8"/>
      <c r="J692" s="8"/>
      <c r="K692" s="8"/>
      <c r="L692" s="8"/>
      <c r="M692" s="8"/>
      <c r="N692" s="8"/>
    </row>
    <row r="693" spans="7:14">
      <c r="G693" s="8"/>
      <c r="H693" s="8"/>
      <c r="I693" s="8"/>
      <c r="J693" s="8"/>
      <c r="K693" s="8"/>
      <c r="L693" s="8"/>
      <c r="M693" s="8"/>
      <c r="N693" s="8"/>
    </row>
    <row r="694" spans="7:14">
      <c r="G694" s="8"/>
      <c r="H694" s="8"/>
      <c r="I694" s="8"/>
      <c r="J694" s="8"/>
      <c r="K694" s="8"/>
      <c r="L694" s="8"/>
      <c r="M694" s="8"/>
      <c r="N694" s="8"/>
    </row>
    <row r="695" spans="7:14">
      <c r="G695" s="8"/>
      <c r="H695" s="8"/>
      <c r="I695" s="8"/>
      <c r="J695" s="8"/>
      <c r="K695" s="8"/>
      <c r="L695" s="8"/>
      <c r="M695" s="8"/>
      <c r="N695" s="8"/>
    </row>
    <row r="696" spans="7:14">
      <c r="G696" s="8"/>
      <c r="H696" s="8"/>
      <c r="I696" s="8"/>
      <c r="J696" s="8"/>
      <c r="K696" s="8"/>
      <c r="L696" s="8"/>
      <c r="M696" s="8"/>
      <c r="N696" s="8"/>
    </row>
    <row r="697" spans="7:14">
      <c r="G697" s="8"/>
      <c r="H697" s="8"/>
      <c r="I697" s="8"/>
      <c r="J697" s="8"/>
      <c r="K697" s="8"/>
      <c r="L697" s="8"/>
      <c r="M697" s="8"/>
      <c r="N697" s="8"/>
    </row>
    <row r="698" spans="7:14">
      <c r="G698" s="8"/>
      <c r="H698" s="8"/>
      <c r="I698" s="8"/>
      <c r="J698" s="8"/>
      <c r="K698" s="8"/>
      <c r="L698" s="8"/>
      <c r="M698" s="8"/>
      <c r="N698" s="8"/>
    </row>
    <row r="699" spans="7:14">
      <c r="G699" s="8"/>
      <c r="H699" s="8"/>
      <c r="I699" s="8"/>
      <c r="J699" s="8"/>
      <c r="K699" s="8"/>
      <c r="L699" s="8"/>
      <c r="M699" s="8"/>
      <c r="N699" s="8"/>
    </row>
    <row r="700" spans="7:14">
      <c r="G700" s="8"/>
      <c r="H700" s="8"/>
      <c r="I700" s="8"/>
      <c r="J700" s="8"/>
      <c r="K700" s="8"/>
      <c r="L700" s="8"/>
      <c r="M700" s="8"/>
      <c r="N700" s="8"/>
    </row>
    <row r="701" spans="7:14">
      <c r="G701" s="8"/>
      <c r="H701" s="8"/>
      <c r="I701" s="8"/>
      <c r="J701" s="8"/>
      <c r="K701" s="8"/>
      <c r="L701" s="8"/>
      <c r="M701" s="8"/>
      <c r="N701" s="8"/>
    </row>
    <row r="702" spans="7:14">
      <c r="G702" s="8"/>
      <c r="H702" s="8"/>
      <c r="I702" s="8"/>
      <c r="J702" s="8"/>
      <c r="K702" s="8"/>
      <c r="L702" s="8"/>
      <c r="M702" s="8"/>
      <c r="N702" s="8"/>
    </row>
    <row r="703" spans="7:14">
      <c r="G703" s="8"/>
      <c r="H703" s="8"/>
      <c r="I703" s="8"/>
      <c r="J703" s="8"/>
      <c r="K703" s="8"/>
      <c r="L703" s="8"/>
      <c r="M703" s="8"/>
      <c r="N703" s="8"/>
    </row>
    <row r="704" spans="7:14">
      <c r="G704" s="8"/>
      <c r="H704" s="8"/>
      <c r="I704" s="8"/>
      <c r="J704" s="8"/>
      <c r="K704" s="8"/>
      <c r="L704" s="8"/>
      <c r="M704" s="8"/>
      <c r="N704" s="8"/>
    </row>
    <row r="705" spans="7:14">
      <c r="G705" s="8"/>
      <c r="H705" s="8"/>
      <c r="I705" s="8"/>
      <c r="J705" s="8"/>
      <c r="K705" s="8"/>
      <c r="L705" s="8"/>
      <c r="M705" s="8"/>
      <c r="N705" s="8"/>
    </row>
    <row r="706" spans="7:14">
      <c r="G706" s="8"/>
      <c r="H706" s="8"/>
      <c r="I706" s="8"/>
      <c r="J706" s="8"/>
      <c r="K706" s="8"/>
      <c r="L706" s="8"/>
      <c r="M706" s="8"/>
      <c r="N706" s="8"/>
    </row>
    <row r="707" spans="7:14">
      <c r="G707" s="8"/>
      <c r="H707" s="8"/>
      <c r="I707" s="8"/>
      <c r="J707" s="8"/>
      <c r="K707" s="8"/>
      <c r="L707" s="8"/>
      <c r="M707" s="8"/>
      <c r="N707" s="8"/>
    </row>
    <row r="708" spans="7:14">
      <c r="G708" s="8"/>
      <c r="H708" s="8"/>
      <c r="I708" s="8"/>
      <c r="J708" s="8"/>
      <c r="K708" s="8"/>
      <c r="L708" s="8"/>
      <c r="M708" s="8"/>
      <c r="N708" s="8"/>
    </row>
    <row r="709" spans="7:14">
      <c r="G709" s="8"/>
      <c r="H709" s="8"/>
      <c r="I709" s="8"/>
      <c r="J709" s="8"/>
      <c r="K709" s="8"/>
      <c r="L709" s="8"/>
      <c r="M709" s="8"/>
      <c r="N709" s="8"/>
    </row>
    <row r="710" spans="7:14">
      <c r="G710" s="8"/>
      <c r="H710" s="8"/>
      <c r="I710" s="8"/>
      <c r="J710" s="8"/>
      <c r="K710" s="8"/>
      <c r="L710" s="8"/>
      <c r="M710" s="8"/>
      <c r="N710" s="8"/>
    </row>
    <row r="711" spans="7:14">
      <c r="G711" s="8"/>
      <c r="H711" s="8"/>
      <c r="I711" s="8"/>
      <c r="J711" s="8"/>
      <c r="K711" s="8"/>
      <c r="L711" s="8"/>
      <c r="M711" s="8"/>
      <c r="N711" s="8"/>
    </row>
    <row r="712" spans="7:14">
      <c r="G712" s="8"/>
      <c r="H712" s="8"/>
      <c r="I712" s="8"/>
      <c r="J712" s="8"/>
      <c r="K712" s="8"/>
      <c r="L712" s="8"/>
      <c r="M712" s="8"/>
      <c r="N712" s="8"/>
    </row>
    <row r="713" spans="7:14">
      <c r="G713" s="8"/>
      <c r="H713" s="8"/>
      <c r="I713" s="8"/>
      <c r="J713" s="8"/>
      <c r="K713" s="8"/>
      <c r="L713" s="8"/>
      <c r="M713" s="8"/>
      <c r="N713" s="8"/>
    </row>
    <row r="714" spans="7:14">
      <c r="G714" s="8"/>
      <c r="H714" s="8"/>
      <c r="I714" s="8"/>
      <c r="J714" s="8"/>
      <c r="K714" s="8"/>
      <c r="L714" s="8"/>
      <c r="M714" s="8"/>
      <c r="N714" s="8"/>
    </row>
    <row r="715" spans="7:14">
      <c r="G715" s="8"/>
      <c r="H715" s="8"/>
      <c r="I715" s="8"/>
      <c r="J715" s="8"/>
      <c r="K715" s="8"/>
      <c r="L715" s="8"/>
      <c r="M715" s="8"/>
      <c r="N715" s="8"/>
    </row>
    <row r="716" spans="7:14">
      <c r="G716" s="8"/>
      <c r="H716" s="8"/>
      <c r="I716" s="8"/>
      <c r="J716" s="8"/>
      <c r="K716" s="8"/>
      <c r="L716" s="8"/>
      <c r="M716" s="8"/>
      <c r="N716" s="8"/>
    </row>
    <row r="717" spans="7:14">
      <c r="G717" s="8"/>
      <c r="H717" s="8"/>
      <c r="I717" s="8"/>
      <c r="J717" s="8"/>
      <c r="K717" s="8"/>
      <c r="L717" s="8"/>
      <c r="M717" s="8"/>
      <c r="N717" s="8"/>
    </row>
    <row r="718" spans="7:14">
      <c r="G718" s="8"/>
      <c r="H718" s="8"/>
      <c r="I718" s="8"/>
      <c r="J718" s="8"/>
      <c r="K718" s="8"/>
      <c r="L718" s="8"/>
      <c r="M718" s="8"/>
      <c r="N718" s="8"/>
    </row>
    <row r="719" spans="7:14">
      <c r="G719" s="8"/>
      <c r="H719" s="8"/>
      <c r="I719" s="8"/>
      <c r="J719" s="8"/>
      <c r="K719" s="8"/>
      <c r="L719" s="8"/>
      <c r="M719" s="8"/>
      <c r="N719" s="8"/>
    </row>
    <row r="720" spans="7:14">
      <c r="G720" s="8"/>
      <c r="H720" s="8"/>
      <c r="I720" s="8"/>
      <c r="J720" s="8"/>
      <c r="K720" s="8"/>
      <c r="L720" s="8"/>
      <c r="M720" s="8"/>
      <c r="N720" s="8"/>
    </row>
    <row r="721" spans="7:14">
      <c r="G721" s="8"/>
      <c r="H721" s="8"/>
      <c r="I721" s="8"/>
      <c r="J721" s="8"/>
      <c r="K721" s="8"/>
      <c r="L721" s="8"/>
      <c r="M721" s="8"/>
      <c r="N721" s="8"/>
    </row>
    <row r="722" spans="7:14">
      <c r="G722" s="8"/>
      <c r="H722" s="8"/>
      <c r="I722" s="8"/>
      <c r="J722" s="8"/>
      <c r="K722" s="8"/>
      <c r="L722" s="8"/>
      <c r="M722" s="8"/>
      <c r="N722" s="8"/>
    </row>
    <row r="723" spans="7:14">
      <c r="G723" s="8"/>
      <c r="H723" s="8"/>
      <c r="I723" s="8"/>
      <c r="J723" s="8"/>
      <c r="K723" s="8"/>
      <c r="L723" s="8"/>
      <c r="M723" s="8"/>
      <c r="N723" s="8"/>
    </row>
    <row r="724" spans="7:14">
      <c r="G724" s="8"/>
      <c r="H724" s="8"/>
      <c r="I724" s="8"/>
      <c r="J724" s="8"/>
      <c r="K724" s="8"/>
      <c r="L724" s="8"/>
      <c r="M724" s="8"/>
      <c r="N724" s="8"/>
    </row>
    <row r="725" spans="7:14">
      <c r="G725" s="8"/>
      <c r="H725" s="8"/>
      <c r="I725" s="8"/>
      <c r="J725" s="8"/>
      <c r="K725" s="8"/>
      <c r="L725" s="8"/>
      <c r="M725" s="8"/>
      <c r="N725" s="8"/>
    </row>
    <row r="726" spans="7:14">
      <c r="G726" s="8"/>
      <c r="H726" s="8"/>
      <c r="I726" s="8"/>
      <c r="J726" s="8"/>
      <c r="K726" s="8"/>
      <c r="L726" s="8"/>
      <c r="M726" s="8"/>
      <c r="N726" s="8"/>
    </row>
    <row r="727" spans="7:14">
      <c r="G727" s="8"/>
      <c r="H727" s="8"/>
      <c r="I727" s="8"/>
      <c r="J727" s="8"/>
      <c r="K727" s="8"/>
      <c r="L727" s="8"/>
      <c r="M727" s="8"/>
      <c r="N727" s="8"/>
    </row>
    <row r="728" spans="7:14">
      <c r="G728" s="8"/>
      <c r="H728" s="8"/>
      <c r="I728" s="8"/>
      <c r="J728" s="8"/>
      <c r="K728" s="8"/>
      <c r="L728" s="8"/>
      <c r="M728" s="8"/>
      <c r="N728" s="8"/>
    </row>
    <row r="729" spans="7:14">
      <c r="G729" s="8"/>
      <c r="H729" s="8"/>
      <c r="I729" s="8"/>
      <c r="J729" s="8"/>
      <c r="K729" s="8"/>
      <c r="L729" s="8"/>
      <c r="M729" s="8"/>
      <c r="N729" s="8"/>
    </row>
    <row r="730" spans="7:14">
      <c r="G730" s="8"/>
      <c r="H730" s="8"/>
      <c r="I730" s="8"/>
      <c r="J730" s="8"/>
      <c r="K730" s="8"/>
      <c r="L730" s="8"/>
      <c r="M730" s="8"/>
      <c r="N730" s="8"/>
    </row>
    <row r="731" spans="7:14">
      <c r="G731" s="8"/>
      <c r="H731" s="8"/>
      <c r="I731" s="8"/>
      <c r="J731" s="8"/>
      <c r="K731" s="8"/>
      <c r="L731" s="8"/>
      <c r="M731" s="8"/>
      <c r="N731" s="8"/>
    </row>
    <row r="732" spans="7:14">
      <c r="G732" s="8"/>
      <c r="H732" s="8"/>
      <c r="I732" s="8"/>
      <c r="J732" s="8"/>
      <c r="K732" s="8"/>
      <c r="L732" s="8"/>
      <c r="M732" s="8"/>
      <c r="N732" s="8"/>
    </row>
    <row r="733" spans="7:14">
      <c r="G733" s="8"/>
      <c r="H733" s="8"/>
      <c r="I733" s="8"/>
      <c r="J733" s="8"/>
      <c r="K733" s="8"/>
      <c r="L733" s="8"/>
      <c r="M733" s="8"/>
      <c r="N733" s="8"/>
    </row>
    <row r="734" spans="7:14">
      <c r="G734" s="8"/>
      <c r="H734" s="8"/>
      <c r="I734" s="8"/>
      <c r="J734" s="8"/>
      <c r="K734" s="8"/>
      <c r="L734" s="8"/>
      <c r="M734" s="8"/>
      <c r="N734" s="8"/>
    </row>
    <row r="735" spans="7:14">
      <c r="G735" s="8"/>
      <c r="H735" s="8"/>
      <c r="I735" s="8"/>
      <c r="J735" s="8"/>
      <c r="K735" s="8"/>
      <c r="L735" s="8"/>
      <c r="M735" s="8"/>
      <c r="N735" s="8"/>
    </row>
    <row r="736" spans="7:14">
      <c r="G736" s="8"/>
      <c r="H736" s="8"/>
      <c r="I736" s="8"/>
      <c r="J736" s="8"/>
      <c r="K736" s="8"/>
      <c r="L736" s="8"/>
      <c r="M736" s="8"/>
      <c r="N736" s="8"/>
    </row>
    <row r="737" spans="7:14">
      <c r="G737" s="8"/>
      <c r="H737" s="8"/>
      <c r="I737" s="8"/>
      <c r="J737" s="8"/>
      <c r="K737" s="8"/>
      <c r="L737" s="8"/>
      <c r="M737" s="8"/>
      <c r="N737" s="8"/>
    </row>
    <row r="738" spans="7:14">
      <c r="G738" s="8"/>
      <c r="H738" s="8"/>
      <c r="I738" s="8"/>
      <c r="J738" s="8"/>
      <c r="K738" s="8"/>
      <c r="L738" s="8"/>
      <c r="M738" s="8"/>
      <c r="N738" s="8"/>
    </row>
    <row r="739" spans="7:14">
      <c r="G739" s="8"/>
      <c r="H739" s="8"/>
      <c r="I739" s="8"/>
      <c r="J739" s="8"/>
      <c r="K739" s="8"/>
      <c r="L739" s="8"/>
      <c r="M739" s="8"/>
      <c r="N739" s="8"/>
    </row>
    <row r="740" spans="7:14">
      <c r="G740" s="8"/>
      <c r="H740" s="8"/>
      <c r="I740" s="8"/>
      <c r="J740" s="8"/>
      <c r="K740" s="8"/>
      <c r="L740" s="8"/>
      <c r="M740" s="8"/>
      <c r="N740" s="8"/>
    </row>
    <row r="741" spans="7:14">
      <c r="G741" s="8"/>
      <c r="H741" s="8"/>
      <c r="I741" s="8"/>
      <c r="J741" s="8"/>
      <c r="K741" s="8"/>
      <c r="L741" s="8"/>
      <c r="M741" s="8"/>
      <c r="N741" s="8"/>
    </row>
    <row r="742" spans="7:14">
      <c r="G742" s="8"/>
      <c r="H742" s="8"/>
      <c r="I742" s="8"/>
      <c r="J742" s="8"/>
      <c r="K742" s="8"/>
      <c r="L742" s="8"/>
      <c r="M742" s="8"/>
      <c r="N742" s="8"/>
    </row>
    <row r="743" spans="7:14">
      <c r="G743" s="8"/>
      <c r="H743" s="8"/>
      <c r="I743" s="8"/>
      <c r="J743" s="8"/>
      <c r="K743" s="8"/>
      <c r="L743" s="8"/>
      <c r="M743" s="8"/>
      <c r="N743" s="8"/>
    </row>
    <row r="744" spans="7:14">
      <c r="G744" s="8"/>
      <c r="H744" s="8"/>
      <c r="I744" s="8"/>
      <c r="J744" s="8"/>
      <c r="K744" s="8"/>
      <c r="L744" s="8"/>
      <c r="M744" s="8"/>
      <c r="N744" s="8"/>
    </row>
    <row r="745" spans="7:14">
      <c r="G745" s="8"/>
      <c r="H745" s="8"/>
      <c r="I745" s="8"/>
      <c r="J745" s="8"/>
      <c r="K745" s="8"/>
      <c r="L745" s="8"/>
      <c r="M745" s="8"/>
      <c r="N745" s="8"/>
    </row>
    <row r="746" spans="7:14">
      <c r="G746" s="8"/>
      <c r="H746" s="8"/>
      <c r="I746" s="8"/>
      <c r="J746" s="8"/>
      <c r="K746" s="8"/>
      <c r="L746" s="8"/>
      <c r="M746" s="8"/>
      <c r="N746" s="8"/>
    </row>
    <row r="747" spans="7:14">
      <c r="G747" s="8"/>
      <c r="H747" s="8"/>
      <c r="I747" s="8"/>
      <c r="J747" s="8"/>
      <c r="K747" s="8"/>
      <c r="L747" s="8"/>
      <c r="M747" s="8"/>
      <c r="N747" s="8"/>
    </row>
    <row r="748" spans="7:14">
      <c r="G748" s="8"/>
      <c r="H748" s="8"/>
      <c r="I748" s="8"/>
      <c r="J748" s="8"/>
      <c r="K748" s="8"/>
      <c r="L748" s="8"/>
      <c r="M748" s="8"/>
      <c r="N748" s="8"/>
    </row>
    <row r="749" spans="7:14">
      <c r="G749" s="8"/>
      <c r="H749" s="8"/>
      <c r="I749" s="8"/>
      <c r="J749" s="8"/>
      <c r="K749" s="8"/>
      <c r="L749" s="8"/>
      <c r="M749" s="8"/>
      <c r="N749" s="8"/>
    </row>
    <row r="750" spans="7:14">
      <c r="G750" s="8"/>
      <c r="H750" s="8"/>
      <c r="I750" s="8"/>
      <c r="J750" s="8"/>
      <c r="K750" s="8"/>
      <c r="L750" s="8"/>
      <c r="M750" s="8"/>
      <c r="N750" s="8"/>
    </row>
    <row r="751" spans="7:14">
      <c r="G751" s="8"/>
      <c r="H751" s="8"/>
      <c r="I751" s="8"/>
      <c r="J751" s="8"/>
      <c r="K751" s="8"/>
      <c r="L751" s="8"/>
      <c r="M751" s="8"/>
      <c r="N751" s="8"/>
    </row>
    <row r="752" spans="7:14">
      <c r="G752" s="8"/>
      <c r="H752" s="8"/>
      <c r="I752" s="8"/>
      <c r="J752" s="8"/>
      <c r="K752" s="8"/>
      <c r="L752" s="8"/>
      <c r="M752" s="8"/>
      <c r="N752" s="8"/>
    </row>
    <row r="753" spans="7:14">
      <c r="G753" s="8"/>
      <c r="H753" s="8"/>
      <c r="I753" s="8"/>
      <c r="J753" s="8"/>
      <c r="K753" s="8"/>
      <c r="L753" s="8"/>
      <c r="M753" s="8"/>
      <c r="N753" s="8"/>
    </row>
    <row r="754" spans="7:14">
      <c r="G754" s="8"/>
      <c r="H754" s="8"/>
      <c r="I754" s="8"/>
      <c r="J754" s="8"/>
      <c r="K754" s="8"/>
      <c r="L754" s="8"/>
      <c r="M754" s="8"/>
      <c r="N754" s="8"/>
    </row>
    <row r="755" spans="7:14">
      <c r="G755" s="8"/>
      <c r="H755" s="8"/>
      <c r="I755" s="8"/>
      <c r="J755" s="8"/>
      <c r="K755" s="8"/>
      <c r="L755" s="8"/>
      <c r="M755" s="8"/>
      <c r="N755" s="8"/>
    </row>
    <row r="756" spans="7:14">
      <c r="G756" s="8"/>
      <c r="H756" s="8"/>
      <c r="I756" s="8"/>
      <c r="J756" s="8"/>
      <c r="K756" s="8"/>
      <c r="L756" s="8"/>
      <c r="M756" s="8"/>
      <c r="N756" s="8"/>
    </row>
    <row r="757" spans="7:14">
      <c r="G757" s="8"/>
      <c r="H757" s="8"/>
      <c r="I757" s="8"/>
      <c r="J757" s="8"/>
      <c r="K757" s="8"/>
      <c r="L757" s="8"/>
      <c r="M757" s="8"/>
      <c r="N757" s="8"/>
    </row>
    <row r="758" spans="7:14">
      <c r="G758" s="8"/>
      <c r="H758" s="8"/>
      <c r="I758" s="8"/>
      <c r="J758" s="8"/>
      <c r="K758" s="8"/>
      <c r="L758" s="8"/>
      <c r="M758" s="8"/>
      <c r="N758" s="8"/>
    </row>
    <row r="759" spans="7:14">
      <c r="G759" s="8"/>
      <c r="H759" s="8"/>
      <c r="I759" s="8"/>
      <c r="J759" s="8"/>
      <c r="K759" s="8"/>
      <c r="L759" s="8"/>
      <c r="M759" s="8"/>
      <c r="N759" s="8"/>
    </row>
    <row r="760" spans="7:14">
      <c r="G760" s="8"/>
      <c r="H760" s="8"/>
      <c r="I760" s="8"/>
      <c r="J760" s="8"/>
      <c r="K760" s="8"/>
      <c r="L760" s="8"/>
      <c r="M760" s="8"/>
      <c r="N760" s="8"/>
    </row>
    <row r="761" spans="7:14">
      <c r="G761" s="8"/>
      <c r="H761" s="8"/>
      <c r="I761" s="8"/>
      <c r="J761" s="8"/>
      <c r="K761" s="8"/>
      <c r="L761" s="8"/>
      <c r="M761" s="8"/>
      <c r="N761" s="8"/>
    </row>
    <row r="762" spans="7:14">
      <c r="G762" s="8"/>
      <c r="H762" s="8"/>
      <c r="I762" s="8"/>
      <c r="J762" s="8"/>
      <c r="K762" s="8"/>
      <c r="L762" s="8"/>
      <c r="M762" s="8"/>
      <c r="N762" s="8"/>
    </row>
    <row r="763" spans="7:14">
      <c r="G763" s="8"/>
      <c r="H763" s="8"/>
      <c r="I763" s="8"/>
      <c r="J763" s="8"/>
      <c r="K763" s="8"/>
      <c r="L763" s="8"/>
      <c r="M763" s="8"/>
      <c r="N763" s="8"/>
    </row>
    <row r="764" spans="7:14">
      <c r="G764" s="8"/>
      <c r="H764" s="8"/>
      <c r="I764" s="8"/>
      <c r="J764" s="8"/>
      <c r="K764" s="8"/>
      <c r="L764" s="8"/>
      <c r="M764" s="8"/>
      <c r="N764" s="8"/>
    </row>
    <row r="765" spans="7:14">
      <c r="G765" s="8"/>
      <c r="H765" s="8"/>
      <c r="I765" s="8"/>
      <c r="J765" s="8"/>
      <c r="K765" s="8"/>
      <c r="L765" s="8"/>
      <c r="M765" s="8"/>
      <c r="N765" s="8"/>
    </row>
    <row r="766" spans="7:14">
      <c r="G766" s="8"/>
      <c r="H766" s="8"/>
      <c r="I766" s="8"/>
      <c r="J766" s="8"/>
      <c r="K766" s="8"/>
      <c r="L766" s="8"/>
      <c r="M766" s="8"/>
      <c r="N766" s="8"/>
    </row>
    <row r="767" spans="7:14">
      <c r="G767" s="8"/>
      <c r="H767" s="8"/>
      <c r="I767" s="8"/>
      <c r="J767" s="8"/>
      <c r="K767" s="8"/>
      <c r="L767" s="8"/>
      <c r="M767" s="8"/>
      <c r="N767" s="8"/>
    </row>
    <row r="768" spans="7:14">
      <c r="G768" s="8"/>
      <c r="H768" s="8"/>
      <c r="I768" s="8"/>
      <c r="J768" s="8"/>
      <c r="K768" s="8"/>
      <c r="L768" s="8"/>
      <c r="M768" s="8"/>
      <c r="N768" s="8"/>
    </row>
    <row r="769" spans="7:14">
      <c r="G769" s="8"/>
      <c r="H769" s="8"/>
      <c r="I769" s="8"/>
      <c r="J769" s="8"/>
      <c r="K769" s="8"/>
      <c r="L769" s="8"/>
      <c r="M769" s="8"/>
      <c r="N769" s="8"/>
    </row>
    <row r="770" spans="7:14">
      <c r="G770" s="8"/>
      <c r="H770" s="8"/>
      <c r="I770" s="8"/>
      <c r="J770" s="8"/>
      <c r="K770" s="8"/>
      <c r="L770" s="8"/>
      <c r="M770" s="8"/>
      <c r="N770" s="8"/>
    </row>
    <row r="771" spans="7:14">
      <c r="G771" s="8"/>
      <c r="H771" s="8"/>
      <c r="I771" s="8"/>
      <c r="J771" s="8"/>
      <c r="K771" s="8"/>
      <c r="L771" s="8"/>
      <c r="M771" s="8"/>
      <c r="N771" s="8"/>
    </row>
    <row r="772" spans="7:14">
      <c r="G772" s="8"/>
      <c r="H772" s="8"/>
      <c r="I772" s="8"/>
      <c r="J772" s="8"/>
      <c r="K772" s="8"/>
      <c r="L772" s="8"/>
      <c r="M772" s="8"/>
      <c r="N772" s="8"/>
    </row>
    <row r="773" spans="7:14">
      <c r="G773" s="8"/>
      <c r="H773" s="8"/>
      <c r="I773" s="8"/>
      <c r="J773" s="8"/>
      <c r="K773" s="8"/>
      <c r="L773" s="8"/>
      <c r="M773" s="8"/>
      <c r="N773" s="8"/>
    </row>
    <row r="774" spans="7:14">
      <c r="G774" s="8"/>
      <c r="H774" s="8"/>
      <c r="I774" s="8"/>
      <c r="J774" s="8"/>
      <c r="K774" s="8"/>
      <c r="L774" s="8"/>
      <c r="M774" s="8"/>
      <c r="N774" s="8"/>
    </row>
    <row r="775" spans="7:14">
      <c r="G775" s="8"/>
      <c r="H775" s="8"/>
      <c r="I775" s="8"/>
      <c r="J775" s="8"/>
      <c r="K775" s="8"/>
      <c r="L775" s="8"/>
      <c r="M775" s="8"/>
      <c r="N775" s="8"/>
    </row>
    <row r="776" spans="7:14">
      <c r="G776" s="8"/>
      <c r="H776" s="8"/>
      <c r="I776" s="8"/>
      <c r="J776" s="8"/>
      <c r="K776" s="8"/>
      <c r="L776" s="8"/>
      <c r="M776" s="8"/>
      <c r="N776" s="8"/>
    </row>
    <row r="777" spans="7:14">
      <c r="G777" s="8"/>
      <c r="H777" s="8"/>
      <c r="I777" s="8"/>
      <c r="J777" s="8"/>
      <c r="K777" s="8"/>
      <c r="L777" s="8"/>
      <c r="M777" s="8"/>
      <c r="N777" s="8"/>
    </row>
    <row r="778" spans="7:14">
      <c r="G778" s="8"/>
      <c r="H778" s="8"/>
      <c r="I778" s="8"/>
      <c r="J778" s="8"/>
      <c r="K778" s="8"/>
      <c r="L778" s="8"/>
      <c r="M778" s="8"/>
      <c r="N778" s="8"/>
    </row>
    <row r="779" spans="7:14">
      <c r="G779" s="8"/>
      <c r="H779" s="8"/>
      <c r="I779" s="8"/>
      <c r="J779" s="8"/>
      <c r="K779" s="8"/>
      <c r="L779" s="8"/>
      <c r="M779" s="8"/>
      <c r="N779" s="8"/>
    </row>
    <row r="780" spans="7:14">
      <c r="G780" s="8"/>
      <c r="H780" s="8"/>
      <c r="I780" s="8"/>
      <c r="J780" s="8"/>
      <c r="K780" s="8"/>
      <c r="L780" s="8"/>
      <c r="M780" s="8"/>
      <c r="N780" s="8"/>
    </row>
    <row r="781" spans="7:14">
      <c r="G781" s="8"/>
      <c r="H781" s="8"/>
      <c r="I781" s="8"/>
      <c r="J781" s="8"/>
      <c r="K781" s="8"/>
      <c r="L781" s="8"/>
      <c r="M781" s="8"/>
      <c r="N781" s="8"/>
    </row>
    <row r="782" spans="7:14">
      <c r="G782" s="8"/>
      <c r="H782" s="8"/>
      <c r="I782" s="8"/>
      <c r="J782" s="8"/>
      <c r="K782" s="8"/>
      <c r="L782" s="8"/>
      <c r="M782" s="8"/>
      <c r="N782" s="8"/>
    </row>
    <row r="783" spans="7:14">
      <c r="G783" s="8"/>
      <c r="H783" s="8"/>
      <c r="I783" s="8"/>
      <c r="J783" s="8"/>
      <c r="K783" s="8"/>
      <c r="L783" s="8"/>
      <c r="M783" s="8"/>
      <c r="N783" s="8"/>
    </row>
    <row r="784" spans="7:14">
      <c r="G784" s="8"/>
      <c r="H784" s="8"/>
      <c r="I784" s="8"/>
      <c r="J784" s="8"/>
      <c r="K784" s="8"/>
      <c r="L784" s="8"/>
      <c r="M784" s="8"/>
      <c r="N784" s="8"/>
    </row>
    <row r="785" spans="7:14">
      <c r="G785" s="8"/>
      <c r="H785" s="8"/>
      <c r="I785" s="8"/>
      <c r="J785" s="8"/>
      <c r="K785" s="8"/>
      <c r="L785" s="8"/>
      <c r="M785" s="8"/>
      <c r="N785" s="8"/>
    </row>
    <row r="786" spans="7:14">
      <c r="G786" s="8"/>
      <c r="H786" s="8"/>
      <c r="I786" s="8"/>
      <c r="J786" s="8"/>
      <c r="K786" s="8"/>
      <c r="L786" s="8"/>
      <c r="M786" s="8"/>
      <c r="N786" s="8"/>
    </row>
    <row r="787" spans="7:14">
      <c r="G787" s="8"/>
      <c r="H787" s="8"/>
      <c r="I787" s="8"/>
      <c r="J787" s="8"/>
      <c r="K787" s="8"/>
      <c r="L787" s="8"/>
      <c r="M787" s="8"/>
      <c r="N787" s="8"/>
    </row>
    <row r="788" spans="7:14">
      <c r="G788" s="8"/>
      <c r="H788" s="8"/>
      <c r="I788" s="8"/>
      <c r="J788" s="8"/>
      <c r="K788" s="8"/>
      <c r="L788" s="8"/>
      <c r="M788" s="8"/>
      <c r="N788" s="8"/>
    </row>
    <row r="789" spans="7:14">
      <c r="G789" s="8"/>
      <c r="H789" s="8"/>
      <c r="I789" s="8"/>
      <c r="J789" s="8"/>
      <c r="K789" s="8"/>
      <c r="L789" s="8"/>
      <c r="M789" s="8"/>
      <c r="N789" s="8"/>
    </row>
    <row r="790" spans="7:14">
      <c r="G790" s="8"/>
      <c r="H790" s="8"/>
      <c r="I790" s="8"/>
      <c r="J790" s="8"/>
      <c r="K790" s="8"/>
      <c r="L790" s="8"/>
      <c r="M790" s="8"/>
      <c r="N790" s="8"/>
    </row>
    <row r="791" spans="7:14">
      <c r="G791" s="8"/>
      <c r="H791" s="8"/>
      <c r="I791" s="8"/>
      <c r="J791" s="8"/>
      <c r="K791" s="8"/>
      <c r="L791" s="8"/>
      <c r="M791" s="8"/>
      <c r="N791" s="8"/>
    </row>
    <row r="792" spans="7:14">
      <c r="G792" s="8"/>
      <c r="H792" s="8"/>
      <c r="I792" s="8"/>
      <c r="J792" s="8"/>
      <c r="K792" s="8"/>
      <c r="L792" s="8"/>
      <c r="M792" s="8"/>
      <c r="N792" s="8"/>
    </row>
    <row r="793" spans="7:14">
      <c r="G793" s="8"/>
      <c r="H793" s="8"/>
      <c r="I793" s="8"/>
      <c r="J793" s="8"/>
      <c r="K793" s="8"/>
      <c r="L793" s="8"/>
      <c r="M793" s="8"/>
      <c r="N793" s="8"/>
    </row>
    <row r="794" spans="7:14">
      <c r="G794" s="8"/>
      <c r="H794" s="8"/>
      <c r="I794" s="8"/>
      <c r="J794" s="8"/>
      <c r="K794" s="8"/>
      <c r="L794" s="8"/>
      <c r="M794" s="8"/>
      <c r="N794" s="8"/>
    </row>
    <row r="795" spans="7:14">
      <c r="G795" s="8"/>
      <c r="H795" s="8"/>
      <c r="I795" s="8"/>
      <c r="J795" s="8"/>
      <c r="K795" s="8"/>
      <c r="L795" s="8"/>
      <c r="M795" s="8"/>
      <c r="N795" s="8"/>
    </row>
    <row r="796" spans="7:14">
      <c r="G796" s="8"/>
      <c r="H796" s="8"/>
      <c r="I796" s="8"/>
      <c r="J796" s="8"/>
      <c r="K796" s="8"/>
      <c r="L796" s="8"/>
      <c r="M796" s="8"/>
      <c r="N796" s="8"/>
    </row>
    <row r="797" spans="7:14">
      <c r="G797" s="8"/>
      <c r="H797" s="8"/>
      <c r="I797" s="8"/>
      <c r="J797" s="8"/>
      <c r="K797" s="8"/>
      <c r="L797" s="8"/>
      <c r="M797" s="8"/>
      <c r="N797" s="8"/>
    </row>
    <row r="798" spans="7:14">
      <c r="G798" s="8"/>
      <c r="H798" s="8"/>
      <c r="I798" s="8"/>
      <c r="J798" s="8"/>
      <c r="K798" s="8"/>
      <c r="L798" s="8"/>
      <c r="M798" s="8"/>
      <c r="N798" s="8"/>
    </row>
    <row r="799" spans="7:14">
      <c r="G799" s="8"/>
      <c r="H799" s="8"/>
      <c r="I799" s="8"/>
      <c r="J799" s="8"/>
      <c r="K799" s="8"/>
      <c r="L799" s="8"/>
      <c r="M799" s="8"/>
      <c r="N799" s="8"/>
    </row>
    <row r="800" spans="7:14">
      <c r="G800" s="8"/>
      <c r="H800" s="8"/>
      <c r="I800" s="8"/>
      <c r="J800" s="8"/>
      <c r="K800" s="8"/>
      <c r="L800" s="8"/>
      <c r="M800" s="8"/>
      <c r="N800" s="8"/>
    </row>
    <row r="801" spans="7:14">
      <c r="G801" s="8"/>
      <c r="H801" s="8"/>
      <c r="I801" s="8"/>
      <c r="J801" s="8"/>
      <c r="K801" s="8"/>
      <c r="L801" s="8"/>
      <c r="M801" s="8"/>
      <c r="N801" s="8"/>
    </row>
    <row r="802" spans="7:14">
      <c r="G802" s="8"/>
      <c r="H802" s="8"/>
      <c r="I802" s="8"/>
      <c r="J802" s="8"/>
      <c r="K802" s="8"/>
      <c r="L802" s="8"/>
      <c r="M802" s="8"/>
      <c r="N802" s="8"/>
    </row>
    <row r="803" spans="7:14">
      <c r="G803" s="8"/>
      <c r="H803" s="8"/>
      <c r="I803" s="8"/>
      <c r="J803" s="8"/>
      <c r="K803" s="8"/>
      <c r="L803" s="8"/>
      <c r="M803" s="8"/>
      <c r="N803" s="8"/>
    </row>
    <row r="804" spans="7:14">
      <c r="G804" s="8"/>
      <c r="H804" s="8"/>
      <c r="I804" s="8"/>
      <c r="J804" s="8"/>
      <c r="K804" s="8"/>
      <c r="L804" s="8"/>
      <c r="M804" s="8"/>
      <c r="N804" s="8"/>
    </row>
    <row r="805" spans="7:14">
      <c r="G805" s="8"/>
      <c r="H805" s="8"/>
      <c r="I805" s="8"/>
      <c r="J805" s="8"/>
      <c r="K805" s="8"/>
      <c r="L805" s="8"/>
      <c r="M805" s="8"/>
      <c r="N805" s="8"/>
    </row>
    <row r="806" spans="7:14">
      <c r="G806" s="8"/>
      <c r="H806" s="8"/>
      <c r="I806" s="8"/>
      <c r="J806" s="8"/>
      <c r="K806" s="8"/>
      <c r="L806" s="8"/>
      <c r="M806" s="8"/>
      <c r="N806" s="8"/>
    </row>
    <row r="807" spans="7:14">
      <c r="G807" s="8"/>
      <c r="H807" s="8"/>
      <c r="I807" s="8"/>
      <c r="J807" s="8"/>
      <c r="K807" s="8"/>
      <c r="L807" s="8"/>
      <c r="M807" s="8"/>
      <c r="N807" s="8"/>
    </row>
    <row r="808" spans="7:14">
      <c r="G808" s="8"/>
      <c r="H808" s="8"/>
      <c r="I808" s="8"/>
      <c r="J808" s="8"/>
      <c r="K808" s="8"/>
      <c r="L808" s="8"/>
      <c r="M808" s="8"/>
      <c r="N808" s="8"/>
    </row>
    <row r="809" spans="7:14">
      <c r="G809" s="8"/>
      <c r="H809" s="8"/>
      <c r="I809" s="8"/>
      <c r="J809" s="8"/>
      <c r="K809" s="8"/>
      <c r="L809" s="8"/>
      <c r="M809" s="8"/>
      <c r="N809" s="8"/>
    </row>
    <row r="810" spans="7:14">
      <c r="G810" s="8"/>
      <c r="H810" s="8"/>
      <c r="I810" s="8"/>
      <c r="J810" s="8"/>
      <c r="K810" s="8"/>
      <c r="L810" s="8"/>
      <c r="M810" s="8"/>
      <c r="N810" s="8"/>
    </row>
    <row r="811" spans="7:14">
      <c r="G811" s="8"/>
      <c r="H811" s="8"/>
      <c r="I811" s="8"/>
      <c r="J811" s="8"/>
      <c r="K811" s="8"/>
      <c r="L811" s="8"/>
      <c r="M811" s="8"/>
      <c r="N811" s="8"/>
    </row>
    <row r="812" spans="7:14">
      <c r="G812" s="8"/>
      <c r="H812" s="8"/>
      <c r="I812" s="8"/>
      <c r="J812" s="8"/>
      <c r="K812" s="8"/>
      <c r="L812" s="8"/>
      <c r="M812" s="8"/>
      <c r="N812" s="8"/>
    </row>
    <row r="813" spans="7:14">
      <c r="G813" s="8"/>
      <c r="H813" s="8"/>
      <c r="I813" s="8"/>
      <c r="J813" s="8"/>
      <c r="K813" s="8"/>
      <c r="L813" s="8"/>
      <c r="M813" s="8"/>
      <c r="N813" s="8"/>
    </row>
    <row r="814" spans="7:14">
      <c r="G814" s="8"/>
      <c r="H814" s="8"/>
      <c r="I814" s="8"/>
      <c r="J814" s="8"/>
      <c r="K814" s="8"/>
      <c r="L814" s="8"/>
      <c r="M814" s="8"/>
      <c r="N814" s="8"/>
    </row>
    <row r="815" spans="7:14">
      <c r="G815" s="8"/>
      <c r="H815" s="8"/>
      <c r="I815" s="8"/>
      <c r="J815" s="8"/>
      <c r="K815" s="8"/>
      <c r="L815" s="8"/>
      <c r="M815" s="8"/>
      <c r="N815" s="8"/>
    </row>
    <row r="816" spans="7:14">
      <c r="G816" s="8"/>
      <c r="H816" s="8"/>
      <c r="I816" s="8"/>
      <c r="J816" s="8"/>
      <c r="K816" s="8"/>
      <c r="L816" s="8"/>
      <c r="M816" s="8"/>
      <c r="N816" s="8"/>
    </row>
    <row r="817" spans="7:14">
      <c r="G817" s="8"/>
      <c r="H817" s="8"/>
      <c r="I817" s="8"/>
      <c r="J817" s="8"/>
      <c r="K817" s="8"/>
      <c r="L817" s="8"/>
      <c r="M817" s="8"/>
      <c r="N817" s="8"/>
    </row>
    <row r="818" spans="7:14">
      <c r="G818" s="8"/>
      <c r="H818" s="8"/>
      <c r="I818" s="8"/>
      <c r="J818" s="8"/>
      <c r="K818" s="8"/>
      <c r="L818" s="8"/>
      <c r="M818" s="8"/>
      <c r="N818" s="8"/>
    </row>
    <row r="819" spans="7:14">
      <c r="G819" s="8"/>
      <c r="H819" s="8"/>
      <c r="I819" s="8"/>
      <c r="J819" s="8"/>
      <c r="K819" s="8"/>
      <c r="L819" s="8"/>
      <c r="M819" s="8"/>
      <c r="N819" s="8"/>
    </row>
    <row r="820" spans="7:14">
      <c r="G820" s="8"/>
      <c r="H820" s="8"/>
      <c r="I820" s="8"/>
      <c r="J820" s="8"/>
      <c r="K820" s="8"/>
      <c r="L820" s="8"/>
      <c r="M820" s="8"/>
      <c r="N820" s="8"/>
    </row>
    <row r="821" spans="7:14">
      <c r="G821" s="8"/>
      <c r="H821" s="8"/>
      <c r="I821" s="8"/>
      <c r="J821" s="8"/>
      <c r="K821" s="8"/>
      <c r="L821" s="8"/>
      <c r="M821" s="8"/>
      <c r="N821" s="8"/>
    </row>
    <row r="822" spans="7:14">
      <c r="G822" s="8"/>
      <c r="H822" s="8"/>
      <c r="I822" s="8"/>
      <c r="J822" s="8"/>
      <c r="K822" s="8"/>
      <c r="L822" s="8"/>
      <c r="M822" s="8"/>
      <c r="N822" s="8"/>
    </row>
    <row r="823" spans="7:14">
      <c r="G823" s="8"/>
      <c r="H823" s="8"/>
      <c r="I823" s="8"/>
      <c r="J823" s="8"/>
      <c r="K823" s="8"/>
      <c r="L823" s="8"/>
      <c r="M823" s="8"/>
      <c r="N823" s="8"/>
    </row>
    <row r="824" spans="7:14">
      <c r="G824" s="8"/>
      <c r="H824" s="8"/>
      <c r="I824" s="8"/>
      <c r="J824" s="8"/>
      <c r="K824" s="8"/>
      <c r="L824" s="8"/>
      <c r="M824" s="8"/>
      <c r="N824" s="8"/>
    </row>
    <row r="825" spans="7:14">
      <c r="G825" s="8"/>
      <c r="H825" s="8"/>
      <c r="I825" s="8"/>
      <c r="J825" s="8"/>
      <c r="K825" s="8"/>
      <c r="L825" s="8"/>
      <c r="M825" s="8"/>
      <c r="N825" s="8"/>
    </row>
    <row r="826" spans="7:14">
      <c r="G826" s="8"/>
      <c r="H826" s="8"/>
      <c r="I826" s="8"/>
      <c r="J826" s="8"/>
      <c r="K826" s="8"/>
      <c r="L826" s="8"/>
      <c r="M826" s="8"/>
      <c r="N826" s="8"/>
    </row>
    <row r="827" spans="7:14">
      <c r="G827" s="8"/>
      <c r="H827" s="8"/>
      <c r="I827" s="8"/>
      <c r="J827" s="8"/>
      <c r="K827" s="8"/>
      <c r="L827" s="8"/>
      <c r="M827" s="8"/>
      <c r="N827" s="8"/>
    </row>
    <row r="828" spans="7:14">
      <c r="G828" s="8"/>
      <c r="H828" s="8"/>
      <c r="I828" s="8"/>
      <c r="J828" s="8"/>
      <c r="K828" s="8"/>
      <c r="L828" s="8"/>
      <c r="M828" s="8"/>
      <c r="N828" s="8"/>
    </row>
    <row r="829" spans="7:14">
      <c r="G829" s="8"/>
      <c r="H829" s="8"/>
      <c r="I829" s="8"/>
      <c r="J829" s="8"/>
      <c r="K829" s="8"/>
      <c r="L829" s="8"/>
      <c r="M829" s="8"/>
      <c r="N829" s="8"/>
    </row>
    <row r="830" spans="7:14">
      <c r="G830" s="8"/>
      <c r="H830" s="8"/>
      <c r="I830" s="8"/>
      <c r="J830" s="8"/>
      <c r="K830" s="8"/>
      <c r="L830" s="8"/>
      <c r="M830" s="8"/>
      <c r="N830" s="8"/>
    </row>
    <row r="831" spans="7:14">
      <c r="G831" s="8"/>
      <c r="H831" s="8"/>
      <c r="I831" s="8"/>
      <c r="J831" s="8"/>
      <c r="K831" s="8"/>
      <c r="L831" s="8"/>
      <c r="M831" s="8"/>
      <c r="N831" s="8"/>
    </row>
    <row r="832" spans="7:14">
      <c r="G832" s="8"/>
      <c r="H832" s="8"/>
      <c r="I832" s="8"/>
      <c r="J832" s="8"/>
      <c r="K832" s="8"/>
      <c r="L832" s="8"/>
      <c r="M832" s="8"/>
      <c r="N832" s="8"/>
    </row>
    <row r="833" spans="7:14">
      <c r="G833" s="8"/>
      <c r="H833" s="8"/>
      <c r="I833" s="8"/>
      <c r="J833" s="8"/>
      <c r="K833" s="8"/>
      <c r="L833" s="8"/>
      <c r="M833" s="8"/>
      <c r="N833" s="8"/>
    </row>
    <row r="834" spans="7:14">
      <c r="G834" s="8"/>
      <c r="H834" s="8"/>
      <c r="I834" s="8"/>
      <c r="J834" s="8"/>
      <c r="K834" s="8"/>
      <c r="L834" s="8"/>
      <c r="M834" s="8"/>
      <c r="N834" s="8"/>
    </row>
    <row r="835" spans="7:14">
      <c r="G835" s="8"/>
      <c r="H835" s="8"/>
      <c r="I835" s="8"/>
      <c r="J835" s="8"/>
      <c r="K835" s="8"/>
      <c r="L835" s="8"/>
      <c r="M835" s="8"/>
      <c r="N835" s="8"/>
    </row>
    <row r="836" spans="7:14">
      <c r="G836" s="8"/>
      <c r="H836" s="8"/>
      <c r="I836" s="8"/>
      <c r="J836" s="8"/>
      <c r="K836" s="8"/>
      <c r="L836" s="8"/>
      <c r="M836" s="8"/>
      <c r="N836" s="8"/>
    </row>
    <row r="837" spans="7:14">
      <c r="G837" s="8"/>
      <c r="H837" s="8"/>
      <c r="I837" s="8"/>
      <c r="J837" s="8"/>
      <c r="K837" s="8"/>
      <c r="L837" s="8"/>
      <c r="M837" s="8"/>
      <c r="N837" s="8"/>
    </row>
    <row r="838" spans="7:14">
      <c r="G838" s="8"/>
      <c r="H838" s="8"/>
      <c r="I838" s="8"/>
      <c r="J838" s="8"/>
      <c r="K838" s="8"/>
      <c r="L838" s="8"/>
      <c r="M838" s="8"/>
      <c r="N838" s="8"/>
    </row>
    <row r="839" spans="7:14">
      <c r="G839" s="8"/>
      <c r="H839" s="8"/>
      <c r="I839" s="8"/>
      <c r="J839" s="8"/>
      <c r="K839" s="8"/>
      <c r="L839" s="8"/>
      <c r="M839" s="8"/>
      <c r="N839" s="8"/>
    </row>
    <row r="840" spans="7:14">
      <c r="G840" s="8"/>
      <c r="H840" s="8"/>
      <c r="I840" s="8"/>
      <c r="J840" s="8"/>
      <c r="K840" s="8"/>
      <c r="L840" s="8"/>
      <c r="M840" s="8"/>
      <c r="N840" s="8"/>
    </row>
    <row r="841" spans="7:14">
      <c r="G841" s="8"/>
      <c r="H841" s="8"/>
      <c r="I841" s="8"/>
      <c r="J841" s="8"/>
      <c r="K841" s="8"/>
      <c r="L841" s="8"/>
      <c r="M841" s="8"/>
      <c r="N841" s="8"/>
    </row>
    <row r="842" spans="7:14">
      <c r="G842" s="8"/>
      <c r="H842" s="8"/>
      <c r="I842" s="8"/>
      <c r="J842" s="8"/>
      <c r="K842" s="8"/>
      <c r="L842" s="8"/>
      <c r="M842" s="8"/>
      <c r="N842" s="8"/>
    </row>
    <row r="843" spans="7:14">
      <c r="G843" s="8"/>
      <c r="H843" s="8"/>
      <c r="I843" s="8"/>
      <c r="J843" s="8"/>
      <c r="K843" s="8"/>
      <c r="L843" s="8"/>
      <c r="M843" s="8"/>
      <c r="N843" s="8"/>
    </row>
    <row r="844" spans="7:14">
      <c r="G844" s="8"/>
      <c r="H844" s="8"/>
      <c r="I844" s="8"/>
      <c r="J844" s="8"/>
      <c r="K844" s="8"/>
      <c r="L844" s="8"/>
      <c r="M844" s="8"/>
      <c r="N844" s="8"/>
    </row>
    <row r="845" spans="7:14">
      <c r="G845" s="8"/>
      <c r="H845" s="8"/>
      <c r="I845" s="8"/>
      <c r="J845" s="8"/>
      <c r="K845" s="8"/>
      <c r="L845" s="8"/>
      <c r="M845" s="8"/>
      <c r="N845" s="8"/>
    </row>
    <row r="846" spans="7:14">
      <c r="G846" s="8"/>
      <c r="H846" s="8"/>
      <c r="I846" s="8"/>
      <c r="J846" s="8"/>
      <c r="K846" s="8"/>
      <c r="L846" s="8"/>
      <c r="M846" s="8"/>
      <c r="N846" s="8"/>
    </row>
    <row r="847" spans="7:14">
      <c r="G847" s="8"/>
      <c r="H847" s="8"/>
      <c r="I847" s="8"/>
      <c r="J847" s="8"/>
      <c r="K847" s="8"/>
      <c r="L847" s="8"/>
      <c r="M847" s="8"/>
      <c r="N847" s="8"/>
    </row>
    <row r="848" spans="7:14">
      <c r="G848" s="8"/>
      <c r="H848" s="8"/>
      <c r="I848" s="8"/>
      <c r="J848" s="8"/>
      <c r="K848" s="8"/>
      <c r="L848" s="8"/>
      <c r="M848" s="8"/>
      <c r="N848" s="8"/>
    </row>
    <row r="849" spans="7:14">
      <c r="G849" s="8"/>
      <c r="H849" s="8"/>
      <c r="I849" s="8"/>
      <c r="J849" s="8"/>
      <c r="K849" s="8"/>
      <c r="L849" s="8"/>
      <c r="M849" s="8"/>
      <c r="N849" s="8"/>
    </row>
    <row r="850" spans="7:14">
      <c r="G850" s="8"/>
      <c r="H850" s="8"/>
      <c r="I850" s="8"/>
      <c r="J850" s="8"/>
      <c r="K850" s="8"/>
      <c r="L850" s="8"/>
      <c r="M850" s="8"/>
      <c r="N850" s="8"/>
    </row>
    <row r="851" spans="7:14">
      <c r="G851" s="8"/>
      <c r="H851" s="8"/>
      <c r="I851" s="8"/>
      <c r="J851" s="8"/>
      <c r="K851" s="8"/>
      <c r="L851" s="8"/>
      <c r="M851" s="8"/>
      <c r="N851" s="8"/>
    </row>
    <row r="852" spans="7:14">
      <c r="G852" s="8"/>
      <c r="H852" s="8"/>
      <c r="I852" s="8"/>
      <c r="J852" s="8"/>
      <c r="K852" s="8"/>
      <c r="L852" s="8"/>
      <c r="M852" s="8"/>
      <c r="N852" s="8"/>
    </row>
    <row r="853" spans="7:14">
      <c r="G853" s="8"/>
      <c r="H853" s="8"/>
      <c r="I853" s="8"/>
      <c r="J853" s="8"/>
      <c r="K853" s="8"/>
      <c r="L853" s="8"/>
      <c r="M853" s="8"/>
      <c r="N853" s="8"/>
    </row>
    <row r="854" spans="7:14">
      <c r="G854" s="8"/>
      <c r="H854" s="8"/>
      <c r="I854" s="8"/>
      <c r="J854" s="8"/>
      <c r="K854" s="8"/>
      <c r="L854" s="8"/>
      <c r="M854" s="8"/>
      <c r="N854" s="8"/>
    </row>
    <row r="855" spans="7:14">
      <c r="G855" s="8"/>
      <c r="H855" s="8"/>
      <c r="I855" s="8"/>
      <c r="J855" s="8"/>
      <c r="K855" s="8"/>
      <c r="L855" s="8"/>
      <c r="M855" s="8"/>
      <c r="N855" s="8"/>
    </row>
    <row r="856" spans="7:14">
      <c r="G856" s="8"/>
      <c r="H856" s="8"/>
      <c r="I856" s="8"/>
      <c r="J856" s="8"/>
      <c r="K856" s="8"/>
      <c r="L856" s="8"/>
      <c r="M856" s="8"/>
      <c r="N856" s="8"/>
    </row>
    <row r="857" spans="7:14">
      <c r="G857" s="8"/>
      <c r="H857" s="8"/>
      <c r="I857" s="8"/>
      <c r="J857" s="8"/>
      <c r="K857" s="8"/>
      <c r="L857" s="8"/>
      <c r="M857" s="8"/>
      <c r="N857" s="8"/>
    </row>
    <row r="858" spans="7:14">
      <c r="G858" s="8"/>
      <c r="H858" s="8"/>
      <c r="I858" s="8"/>
      <c r="J858" s="8"/>
      <c r="K858" s="8"/>
      <c r="L858" s="8"/>
      <c r="M858" s="8"/>
      <c r="N858" s="8"/>
    </row>
    <row r="859" spans="7:14">
      <c r="G859" s="8"/>
      <c r="H859" s="8"/>
      <c r="I859" s="8"/>
      <c r="J859" s="8"/>
      <c r="K859" s="8"/>
      <c r="L859" s="8"/>
      <c r="M859" s="8"/>
      <c r="N859" s="8"/>
    </row>
    <row r="860" spans="7:14">
      <c r="G860" s="8"/>
      <c r="H860" s="8"/>
      <c r="I860" s="8"/>
      <c r="J860" s="8"/>
      <c r="K860" s="8"/>
      <c r="L860" s="8"/>
      <c r="M860" s="8"/>
      <c r="N860" s="8"/>
    </row>
    <row r="861" spans="7:14">
      <c r="G861" s="8"/>
      <c r="H861" s="8"/>
      <c r="I861" s="8"/>
      <c r="J861" s="8"/>
      <c r="K861" s="8"/>
      <c r="L861" s="8"/>
      <c r="M861" s="8"/>
      <c r="N861" s="8"/>
    </row>
    <row r="862" spans="7:14">
      <c r="G862" s="8"/>
      <c r="H862" s="8"/>
      <c r="I862" s="8"/>
      <c r="J862" s="8"/>
      <c r="K862" s="8"/>
      <c r="L862" s="8"/>
      <c r="M862" s="8"/>
      <c r="N862" s="8"/>
    </row>
    <row r="863" spans="7:14">
      <c r="G863" s="8"/>
      <c r="H863" s="8"/>
      <c r="I863" s="8"/>
      <c r="J863" s="8"/>
      <c r="K863" s="8"/>
      <c r="L863" s="8"/>
      <c r="M863" s="8"/>
      <c r="N863" s="8"/>
    </row>
    <row r="864" spans="7:14">
      <c r="G864" s="8"/>
      <c r="H864" s="8"/>
      <c r="I864" s="8"/>
      <c r="J864" s="8"/>
      <c r="K864" s="8"/>
      <c r="L864" s="8"/>
      <c r="M864" s="8"/>
      <c r="N864" s="8"/>
    </row>
    <row r="865" spans="7:14">
      <c r="G865" s="8"/>
      <c r="H865" s="8"/>
      <c r="I865" s="8"/>
      <c r="J865" s="8"/>
      <c r="K865" s="8"/>
      <c r="L865" s="8"/>
      <c r="M865" s="8"/>
      <c r="N865" s="8"/>
    </row>
    <row r="866" spans="7:14">
      <c r="G866" s="8"/>
      <c r="H866" s="8"/>
      <c r="I866" s="8"/>
      <c r="J866" s="8"/>
      <c r="K866" s="8"/>
      <c r="L866" s="8"/>
      <c r="M866" s="8"/>
      <c r="N866" s="8"/>
    </row>
    <row r="867" spans="7:14">
      <c r="G867" s="8"/>
      <c r="H867" s="8"/>
      <c r="I867" s="8"/>
      <c r="J867" s="8"/>
      <c r="K867" s="8"/>
      <c r="L867" s="8"/>
      <c r="M867" s="8"/>
      <c r="N867" s="8"/>
    </row>
    <row r="868" spans="7:14">
      <c r="G868" s="8"/>
      <c r="H868" s="8"/>
      <c r="I868" s="8"/>
      <c r="J868" s="8"/>
      <c r="K868" s="8"/>
      <c r="L868" s="8"/>
      <c r="M868" s="8"/>
      <c r="N868" s="8"/>
    </row>
    <row r="869" spans="7:14">
      <c r="G869" s="8"/>
      <c r="H869" s="8"/>
      <c r="I869" s="8"/>
      <c r="J869" s="8"/>
      <c r="K869" s="8"/>
      <c r="L869" s="8"/>
      <c r="M869" s="8"/>
      <c r="N869" s="8"/>
    </row>
    <row r="870" spans="7:14">
      <c r="G870" s="8"/>
      <c r="H870" s="8"/>
      <c r="I870" s="8"/>
      <c r="J870" s="8"/>
      <c r="K870" s="8"/>
      <c r="L870" s="8"/>
      <c r="M870" s="8"/>
      <c r="N870" s="8"/>
    </row>
    <row r="871" spans="7:14">
      <c r="G871" s="8"/>
      <c r="H871" s="8"/>
      <c r="I871" s="8"/>
      <c r="J871" s="8"/>
      <c r="K871" s="8"/>
      <c r="L871" s="8"/>
      <c r="M871" s="8"/>
      <c r="N871" s="8"/>
    </row>
    <row r="872" spans="7:14">
      <c r="G872" s="8"/>
      <c r="H872" s="8"/>
      <c r="I872" s="8"/>
      <c r="J872" s="8"/>
      <c r="K872" s="8"/>
      <c r="L872" s="8"/>
      <c r="M872" s="8"/>
      <c r="N872" s="8"/>
    </row>
    <row r="873" spans="7:14">
      <c r="G873" s="8"/>
      <c r="H873" s="8"/>
      <c r="I873" s="8"/>
      <c r="J873" s="8"/>
      <c r="K873" s="8"/>
      <c r="L873" s="8"/>
      <c r="M873" s="8"/>
      <c r="N873" s="8"/>
    </row>
    <row r="874" spans="7:14">
      <c r="G874" s="8"/>
      <c r="H874" s="8"/>
      <c r="I874" s="8"/>
      <c r="J874" s="8"/>
      <c r="K874" s="8"/>
      <c r="L874" s="8"/>
      <c r="M874" s="8"/>
      <c r="N874" s="8"/>
    </row>
    <row r="875" spans="7:14">
      <c r="G875" s="8"/>
      <c r="H875" s="8"/>
      <c r="I875" s="8"/>
      <c r="J875" s="8"/>
      <c r="K875" s="8"/>
      <c r="L875" s="8"/>
      <c r="M875" s="8"/>
      <c r="N875" s="8"/>
    </row>
    <row r="876" spans="7:14">
      <c r="G876" s="8"/>
      <c r="H876" s="8"/>
      <c r="I876" s="8"/>
      <c r="J876" s="8"/>
      <c r="K876" s="8"/>
      <c r="L876" s="8"/>
      <c r="M876" s="8"/>
      <c r="N876" s="8"/>
    </row>
    <row r="877" spans="7:14">
      <c r="G877" s="8"/>
      <c r="H877" s="8"/>
      <c r="I877" s="8"/>
      <c r="J877" s="8"/>
      <c r="K877" s="8"/>
      <c r="L877" s="8"/>
      <c r="M877" s="8"/>
      <c r="N877" s="8"/>
    </row>
    <row r="878" spans="7:14">
      <c r="G878" s="8"/>
      <c r="H878" s="8"/>
      <c r="I878" s="8"/>
      <c r="J878" s="8"/>
      <c r="K878" s="8"/>
      <c r="L878" s="8"/>
      <c r="M878" s="8"/>
      <c r="N878" s="8"/>
    </row>
    <row r="879" spans="7:14">
      <c r="G879" s="8"/>
      <c r="H879" s="8"/>
      <c r="I879" s="8"/>
      <c r="J879" s="8"/>
      <c r="K879" s="8"/>
      <c r="L879" s="8"/>
      <c r="M879" s="8"/>
      <c r="N879" s="8"/>
    </row>
    <row r="880" spans="7:14">
      <c r="G880" s="8"/>
      <c r="H880" s="8"/>
      <c r="I880" s="8"/>
      <c r="J880" s="8"/>
      <c r="K880" s="8"/>
      <c r="L880" s="8"/>
      <c r="M880" s="8"/>
      <c r="N880" s="8"/>
    </row>
    <row r="881" spans="7:14">
      <c r="G881" s="8"/>
      <c r="H881" s="8"/>
      <c r="I881" s="8"/>
      <c r="J881" s="8"/>
      <c r="K881" s="8"/>
      <c r="L881" s="8"/>
      <c r="M881" s="8"/>
      <c r="N881" s="8"/>
    </row>
    <row r="882" spans="7:14">
      <c r="G882" s="8"/>
      <c r="H882" s="8"/>
      <c r="I882" s="8"/>
      <c r="J882" s="8"/>
      <c r="K882" s="8"/>
      <c r="L882" s="8"/>
      <c r="M882" s="8"/>
      <c r="N882" s="8"/>
    </row>
    <row r="883" spans="7:14">
      <c r="G883" s="8"/>
      <c r="H883" s="8"/>
      <c r="I883" s="8"/>
      <c r="J883" s="8"/>
      <c r="K883" s="8"/>
      <c r="L883" s="8"/>
      <c r="M883" s="8"/>
      <c r="N883" s="8"/>
    </row>
    <row r="884" spans="7:14">
      <c r="G884" s="8"/>
      <c r="H884" s="8"/>
      <c r="I884" s="8"/>
      <c r="J884" s="8"/>
      <c r="K884" s="8"/>
      <c r="L884" s="8"/>
      <c r="M884" s="8"/>
      <c r="N884" s="8"/>
    </row>
    <row r="885" spans="7:14">
      <c r="G885" s="8"/>
      <c r="H885" s="8"/>
      <c r="I885" s="8"/>
      <c r="J885" s="8"/>
      <c r="K885" s="8"/>
      <c r="L885" s="8"/>
      <c r="M885" s="8"/>
      <c r="N885" s="8"/>
    </row>
    <row r="886" spans="7:14">
      <c r="G886" s="8"/>
      <c r="H886" s="8"/>
      <c r="I886" s="8"/>
      <c r="J886" s="8"/>
      <c r="K886" s="8"/>
      <c r="L886" s="8"/>
      <c r="M886" s="8"/>
      <c r="N886" s="8"/>
    </row>
    <row r="887" spans="7:14">
      <c r="G887" s="8"/>
      <c r="H887" s="8"/>
      <c r="I887" s="8"/>
      <c r="J887" s="8"/>
      <c r="K887" s="8"/>
      <c r="L887" s="8"/>
      <c r="M887" s="8"/>
      <c r="N887" s="8"/>
    </row>
    <row r="888" spans="7:14">
      <c r="G888" s="8"/>
      <c r="H888" s="8"/>
      <c r="I888" s="8"/>
      <c r="J888" s="8"/>
      <c r="K888" s="8"/>
      <c r="L888" s="8"/>
      <c r="M888" s="8"/>
      <c r="N888" s="8"/>
    </row>
    <row r="889" spans="7:14">
      <c r="G889" s="8"/>
      <c r="H889" s="8"/>
      <c r="I889" s="8"/>
      <c r="J889" s="8"/>
      <c r="K889" s="8"/>
      <c r="L889" s="8"/>
      <c r="M889" s="8"/>
      <c r="N889" s="8"/>
    </row>
    <row r="890" spans="7:14">
      <c r="G890" s="8"/>
      <c r="H890" s="8"/>
      <c r="I890" s="8"/>
      <c r="J890" s="8"/>
      <c r="K890" s="8"/>
      <c r="L890" s="8"/>
      <c r="M890" s="8"/>
      <c r="N890" s="8"/>
    </row>
    <row r="891" spans="7:14">
      <c r="G891" s="8"/>
      <c r="H891" s="8"/>
      <c r="I891" s="8"/>
      <c r="J891" s="8"/>
      <c r="K891" s="8"/>
      <c r="L891" s="8"/>
      <c r="M891" s="8"/>
      <c r="N891" s="8"/>
    </row>
    <row r="892" spans="7:14">
      <c r="G892" s="8"/>
      <c r="H892" s="8"/>
      <c r="I892" s="8"/>
      <c r="J892" s="8"/>
      <c r="K892" s="8"/>
      <c r="L892" s="8"/>
      <c r="M892" s="8"/>
      <c r="N892" s="8"/>
    </row>
    <row r="893" spans="7:14">
      <c r="G893" s="8"/>
      <c r="H893" s="8"/>
      <c r="I893" s="8"/>
      <c r="J893" s="8"/>
      <c r="K893" s="8"/>
      <c r="L893" s="8"/>
      <c r="M893" s="8"/>
      <c r="N893" s="8"/>
    </row>
    <row r="894" spans="7:14">
      <c r="G894" s="8"/>
      <c r="H894" s="8"/>
      <c r="I894" s="8"/>
      <c r="J894" s="8"/>
      <c r="K894" s="8"/>
      <c r="L894" s="8"/>
      <c r="M894" s="8"/>
      <c r="N894" s="8"/>
    </row>
    <row r="895" spans="7:14">
      <c r="G895" s="8"/>
      <c r="H895" s="8"/>
      <c r="I895" s="8"/>
      <c r="J895" s="8"/>
      <c r="K895" s="8"/>
      <c r="L895" s="8"/>
      <c r="M895" s="8"/>
      <c r="N895" s="8"/>
    </row>
    <row r="896" spans="7:14">
      <c r="G896" s="8"/>
      <c r="H896" s="8"/>
      <c r="I896" s="8"/>
      <c r="J896" s="8"/>
      <c r="K896" s="8"/>
      <c r="L896" s="8"/>
      <c r="M896" s="8"/>
      <c r="N896" s="8"/>
    </row>
    <row r="897" spans="7:14">
      <c r="G897" s="8"/>
      <c r="H897" s="8"/>
      <c r="I897" s="8"/>
      <c r="J897" s="8"/>
      <c r="K897" s="8"/>
      <c r="L897" s="8"/>
      <c r="M897" s="8"/>
      <c r="N897" s="8"/>
    </row>
    <row r="898" spans="7:14">
      <c r="G898" s="8"/>
      <c r="H898" s="8"/>
      <c r="I898" s="8"/>
      <c r="J898" s="8"/>
      <c r="K898" s="8"/>
      <c r="L898" s="8"/>
      <c r="M898" s="8"/>
      <c r="N898" s="8"/>
    </row>
    <row r="899" spans="7:14">
      <c r="G899" s="8"/>
      <c r="H899" s="8"/>
      <c r="I899" s="8"/>
      <c r="J899" s="8"/>
      <c r="K899" s="8"/>
      <c r="L899" s="8"/>
      <c r="M899" s="8"/>
      <c r="N899" s="8"/>
    </row>
    <row r="900" spans="7:14">
      <c r="G900" s="8"/>
      <c r="H900" s="8"/>
      <c r="I900" s="8"/>
      <c r="J900" s="8"/>
      <c r="K900" s="8"/>
      <c r="L900" s="8"/>
      <c r="M900" s="8"/>
      <c r="N900" s="8"/>
    </row>
    <row r="901" spans="7:14">
      <c r="G901" s="8"/>
      <c r="H901" s="8"/>
      <c r="I901" s="8"/>
      <c r="J901" s="8"/>
      <c r="K901" s="8"/>
      <c r="L901" s="8"/>
      <c r="M901" s="8"/>
      <c r="N901" s="8"/>
    </row>
    <row r="902" spans="7:14">
      <c r="G902" s="8"/>
      <c r="H902" s="8"/>
      <c r="I902" s="8"/>
      <c r="J902" s="8"/>
      <c r="K902" s="8"/>
      <c r="L902" s="8"/>
      <c r="M902" s="8"/>
      <c r="N902" s="8"/>
    </row>
    <row r="903" spans="7:14">
      <c r="G903" s="8"/>
      <c r="H903" s="8"/>
      <c r="I903" s="8"/>
      <c r="J903" s="8"/>
      <c r="K903" s="8"/>
      <c r="L903" s="8"/>
      <c r="M903" s="8"/>
      <c r="N903" s="8"/>
    </row>
    <row r="904" spans="7:14">
      <c r="G904" s="8"/>
      <c r="H904" s="8"/>
      <c r="I904" s="8"/>
      <c r="J904" s="8"/>
      <c r="K904" s="8"/>
      <c r="L904" s="8"/>
      <c r="M904" s="8"/>
      <c r="N904" s="8"/>
    </row>
    <row r="905" spans="7:14">
      <c r="G905" s="8"/>
      <c r="H905" s="8"/>
      <c r="I905" s="8"/>
      <c r="J905" s="8"/>
      <c r="K905" s="8"/>
      <c r="L905" s="8"/>
      <c r="M905" s="8"/>
      <c r="N905" s="8"/>
    </row>
    <row r="906" spans="7:14">
      <c r="G906" s="8"/>
      <c r="H906" s="8"/>
      <c r="I906" s="8"/>
      <c r="J906" s="8"/>
      <c r="K906" s="8"/>
      <c r="L906" s="8"/>
      <c r="M906" s="8"/>
      <c r="N906" s="8"/>
    </row>
    <row r="907" spans="7:14">
      <c r="G907" s="8"/>
      <c r="H907" s="8"/>
      <c r="I907" s="8"/>
      <c r="J907" s="8"/>
      <c r="K907" s="8"/>
      <c r="L907" s="8"/>
      <c r="M907" s="8"/>
      <c r="N907" s="8"/>
    </row>
    <row r="908" spans="7:14">
      <c r="G908" s="8"/>
      <c r="H908" s="8"/>
      <c r="I908" s="8"/>
      <c r="J908" s="8"/>
      <c r="K908" s="8"/>
      <c r="L908" s="8"/>
      <c r="M908" s="8"/>
      <c r="N908" s="8"/>
    </row>
    <row r="909" spans="7:14">
      <c r="G909" s="8"/>
      <c r="H909" s="8"/>
      <c r="I909" s="8"/>
      <c r="J909" s="8"/>
      <c r="K909" s="8"/>
      <c r="L909" s="8"/>
      <c r="M909" s="8"/>
      <c r="N909" s="8"/>
    </row>
    <row r="910" spans="7:14">
      <c r="G910" s="8"/>
      <c r="H910" s="8"/>
      <c r="I910" s="8"/>
      <c r="J910" s="8"/>
      <c r="K910" s="8"/>
      <c r="L910" s="8"/>
      <c r="M910" s="8"/>
      <c r="N910" s="8"/>
    </row>
    <row r="911" spans="7:14">
      <c r="G911" s="8"/>
      <c r="H911" s="8"/>
      <c r="I911" s="8"/>
      <c r="J911" s="8"/>
      <c r="K911" s="8"/>
      <c r="L911" s="8"/>
      <c r="M911" s="8"/>
      <c r="N911" s="8"/>
    </row>
    <row r="912" spans="7:14">
      <c r="G912" s="8"/>
      <c r="H912" s="8"/>
      <c r="I912" s="8"/>
      <c r="J912" s="8"/>
      <c r="K912" s="8"/>
      <c r="L912" s="8"/>
      <c r="M912" s="8"/>
      <c r="N912" s="8"/>
    </row>
    <row r="913" spans="7:14">
      <c r="G913" s="8"/>
      <c r="H913" s="8"/>
      <c r="I913" s="8"/>
      <c r="J913" s="8"/>
      <c r="K913" s="8"/>
      <c r="L913" s="8"/>
      <c r="M913" s="8"/>
      <c r="N913" s="8"/>
    </row>
    <row r="914" spans="7:14">
      <c r="G914" s="8"/>
      <c r="H914" s="8"/>
      <c r="I914" s="8"/>
      <c r="J914" s="8"/>
      <c r="K914" s="8"/>
      <c r="L914" s="8"/>
      <c r="M914" s="8"/>
      <c r="N914" s="8"/>
    </row>
    <row r="915" spans="7:14">
      <c r="G915" s="8"/>
      <c r="H915" s="8"/>
      <c r="I915" s="8"/>
      <c r="J915" s="8"/>
      <c r="K915" s="8"/>
      <c r="L915" s="8"/>
      <c r="M915" s="8"/>
      <c r="N915" s="8"/>
    </row>
    <row r="916" spans="7:14">
      <c r="G916" s="8"/>
      <c r="H916" s="8"/>
      <c r="I916" s="8"/>
      <c r="J916" s="8"/>
      <c r="K916" s="8"/>
      <c r="L916" s="8"/>
      <c r="M916" s="8"/>
      <c r="N916" s="8"/>
    </row>
    <row r="917" spans="7:14">
      <c r="G917" s="8"/>
      <c r="H917" s="8"/>
      <c r="I917" s="8"/>
      <c r="J917" s="8"/>
      <c r="K917" s="8"/>
      <c r="L917" s="8"/>
      <c r="M917" s="8"/>
      <c r="N917" s="8"/>
    </row>
    <row r="918" spans="7:14">
      <c r="G918" s="8"/>
      <c r="H918" s="8"/>
      <c r="I918" s="8"/>
      <c r="J918" s="8"/>
      <c r="K918" s="8"/>
      <c r="L918" s="8"/>
      <c r="M918" s="8"/>
      <c r="N918" s="8"/>
    </row>
    <row r="919" spans="7:14">
      <c r="G919" s="8"/>
      <c r="H919" s="8"/>
      <c r="I919" s="8"/>
      <c r="J919" s="8"/>
      <c r="K919" s="8"/>
      <c r="L919" s="8"/>
      <c r="M919" s="8"/>
      <c r="N919" s="8"/>
    </row>
    <row r="920" spans="7:14">
      <c r="G920" s="8"/>
      <c r="H920" s="8"/>
      <c r="I920" s="8"/>
      <c r="J920" s="8"/>
      <c r="K920" s="8"/>
      <c r="L920" s="8"/>
      <c r="M920" s="8"/>
      <c r="N920" s="8"/>
    </row>
    <row r="921" spans="7:14">
      <c r="G921" s="8"/>
      <c r="H921" s="8"/>
      <c r="I921" s="8"/>
      <c r="J921" s="8"/>
      <c r="K921" s="8"/>
      <c r="L921" s="8"/>
      <c r="M921" s="8"/>
      <c r="N921" s="8"/>
    </row>
    <row r="922" spans="7:14">
      <c r="G922" s="8"/>
      <c r="H922" s="8"/>
      <c r="I922" s="8"/>
      <c r="J922" s="8"/>
      <c r="K922" s="8"/>
      <c r="L922" s="8"/>
      <c r="M922" s="8"/>
      <c r="N922" s="8"/>
    </row>
    <row r="923" spans="7:14">
      <c r="G923" s="8"/>
      <c r="H923" s="8"/>
      <c r="I923" s="8"/>
      <c r="J923" s="8"/>
      <c r="K923" s="8"/>
      <c r="L923" s="8"/>
      <c r="M923" s="8"/>
      <c r="N923" s="8"/>
    </row>
    <row r="924" spans="7:14">
      <c r="G924" s="8"/>
      <c r="H924" s="8"/>
      <c r="I924" s="8"/>
      <c r="J924" s="8"/>
      <c r="K924" s="8"/>
      <c r="L924" s="8"/>
      <c r="M924" s="8"/>
      <c r="N924" s="8"/>
    </row>
    <row r="925" spans="7:14">
      <c r="G925" s="8"/>
      <c r="H925" s="8"/>
      <c r="I925" s="8"/>
      <c r="J925" s="8"/>
      <c r="K925" s="8"/>
      <c r="L925" s="8"/>
      <c r="M925" s="8"/>
      <c r="N925" s="8"/>
    </row>
    <row r="926" spans="7:14">
      <c r="G926" s="8"/>
      <c r="H926" s="8"/>
      <c r="I926" s="8"/>
      <c r="J926" s="8"/>
      <c r="K926" s="8"/>
      <c r="L926" s="8"/>
      <c r="M926" s="8"/>
      <c r="N926" s="8"/>
    </row>
    <row r="927" spans="7:14">
      <c r="G927" s="8"/>
      <c r="H927" s="8"/>
      <c r="I927" s="8"/>
      <c r="J927" s="8"/>
      <c r="K927" s="8"/>
      <c r="L927" s="8"/>
      <c r="M927" s="8"/>
      <c r="N927" s="8"/>
    </row>
    <row r="928" spans="7:14">
      <c r="G928" s="8"/>
      <c r="H928" s="8"/>
      <c r="I928" s="8"/>
      <c r="J928" s="8"/>
      <c r="K928" s="8"/>
      <c r="L928" s="8"/>
      <c r="M928" s="8"/>
      <c r="N928" s="8"/>
    </row>
    <row r="929" spans="7:14">
      <c r="G929" s="8"/>
      <c r="H929" s="8"/>
      <c r="I929" s="8"/>
      <c r="J929" s="8"/>
      <c r="K929" s="8"/>
      <c r="L929" s="8"/>
      <c r="M929" s="8"/>
      <c r="N929" s="8"/>
    </row>
    <row r="930" spans="7:14">
      <c r="G930" s="8"/>
      <c r="H930" s="8"/>
      <c r="I930" s="8"/>
      <c r="J930" s="8"/>
      <c r="K930" s="8"/>
      <c r="L930" s="8"/>
      <c r="M930" s="8"/>
      <c r="N930" s="8"/>
    </row>
    <row r="931" spans="7:14">
      <c r="G931" s="8"/>
      <c r="H931" s="8"/>
      <c r="I931" s="8"/>
      <c r="J931" s="8"/>
      <c r="K931" s="8"/>
      <c r="L931" s="8"/>
      <c r="M931" s="8"/>
      <c r="N931" s="8"/>
    </row>
    <row r="932" spans="7:14">
      <c r="G932" s="8"/>
      <c r="H932" s="8"/>
      <c r="I932" s="8"/>
      <c r="J932" s="8"/>
      <c r="K932" s="8"/>
      <c r="L932" s="8"/>
      <c r="M932" s="8"/>
      <c r="N932" s="8"/>
    </row>
    <row r="933" spans="7:14">
      <c r="G933" s="8"/>
      <c r="H933" s="8"/>
      <c r="I933" s="8"/>
      <c r="J933" s="8"/>
      <c r="K933" s="8"/>
      <c r="L933" s="8"/>
      <c r="M933" s="8"/>
      <c r="N933" s="8"/>
    </row>
    <row r="934" spans="7:14">
      <c r="G934" s="8"/>
      <c r="H934" s="8"/>
      <c r="I934" s="8"/>
      <c r="J934" s="8"/>
      <c r="K934" s="8"/>
      <c r="L934" s="8"/>
      <c r="M934" s="8"/>
      <c r="N934" s="8"/>
    </row>
    <row r="935" spans="7:14">
      <c r="G935" s="8"/>
      <c r="H935" s="8"/>
      <c r="I935" s="8"/>
      <c r="J935" s="8"/>
      <c r="K935" s="8"/>
      <c r="L935" s="8"/>
      <c r="M935" s="8"/>
      <c r="N935" s="8"/>
    </row>
    <row r="936" spans="7:14">
      <c r="G936" s="8"/>
      <c r="H936" s="8"/>
      <c r="I936" s="8"/>
      <c r="J936" s="8"/>
      <c r="K936" s="8"/>
      <c r="L936" s="8"/>
      <c r="M936" s="8"/>
      <c r="N936" s="8"/>
    </row>
    <row r="937" spans="7:14">
      <c r="G937" s="8"/>
      <c r="H937" s="8"/>
      <c r="I937" s="8"/>
      <c r="J937" s="8"/>
      <c r="K937" s="8"/>
      <c r="L937" s="8"/>
      <c r="M937" s="8"/>
      <c r="N937" s="8"/>
    </row>
    <row r="938" spans="7:14">
      <c r="G938" s="8"/>
      <c r="H938" s="8"/>
      <c r="I938" s="8"/>
      <c r="J938" s="8"/>
      <c r="K938" s="8"/>
      <c r="L938" s="8"/>
      <c r="M938" s="8"/>
      <c r="N938" s="8"/>
    </row>
    <row r="939" spans="7:14">
      <c r="G939" s="8"/>
      <c r="H939" s="8"/>
      <c r="I939" s="8"/>
      <c r="J939" s="8"/>
      <c r="K939" s="8"/>
      <c r="L939" s="8"/>
      <c r="M939" s="8"/>
      <c r="N939" s="8"/>
    </row>
    <row r="940" spans="7:14">
      <c r="G940" s="8"/>
      <c r="H940" s="8"/>
      <c r="I940" s="8"/>
      <c r="J940" s="8"/>
      <c r="K940" s="8"/>
      <c r="L940" s="8"/>
      <c r="M940" s="8"/>
      <c r="N940" s="8"/>
    </row>
    <row r="941" spans="7:14">
      <c r="G941" s="8"/>
      <c r="H941" s="8"/>
      <c r="I941" s="8"/>
      <c r="J941" s="8"/>
      <c r="K941" s="8"/>
      <c r="L941" s="8"/>
      <c r="M941" s="8"/>
      <c r="N941" s="8"/>
    </row>
    <row r="942" spans="7:14">
      <c r="G942" s="8"/>
      <c r="H942" s="8"/>
      <c r="I942" s="8"/>
      <c r="J942" s="8"/>
      <c r="K942" s="8"/>
      <c r="L942" s="8"/>
      <c r="M942" s="8"/>
      <c r="N942" s="8"/>
    </row>
    <row r="943" spans="7:14">
      <c r="G943" s="8"/>
      <c r="H943" s="8"/>
      <c r="I943" s="8"/>
      <c r="J943" s="8"/>
      <c r="K943" s="8"/>
      <c r="L943" s="8"/>
      <c r="M943" s="8"/>
      <c r="N943" s="8"/>
    </row>
    <row r="944" spans="7:14">
      <c r="G944" s="8"/>
      <c r="H944" s="8"/>
      <c r="I944" s="8"/>
      <c r="J944" s="8"/>
      <c r="K944" s="8"/>
      <c r="L944" s="8"/>
      <c r="M944" s="8"/>
      <c r="N944" s="8"/>
    </row>
    <row r="945" spans="7:14">
      <c r="G945" s="8"/>
      <c r="H945" s="8"/>
      <c r="I945" s="8"/>
      <c r="J945" s="8"/>
      <c r="K945" s="8"/>
      <c r="L945" s="8"/>
      <c r="M945" s="8"/>
      <c r="N945" s="8"/>
    </row>
    <row r="946" spans="7:14">
      <c r="G946" s="8"/>
      <c r="H946" s="8"/>
      <c r="I946" s="8"/>
      <c r="J946" s="8"/>
      <c r="K946" s="8"/>
      <c r="L946" s="8"/>
      <c r="M946" s="8"/>
      <c r="N946" s="8"/>
    </row>
    <row r="947" spans="7:14">
      <c r="G947" s="8"/>
      <c r="H947" s="8"/>
      <c r="I947" s="8"/>
      <c r="J947" s="8"/>
      <c r="K947" s="8"/>
      <c r="L947" s="8"/>
      <c r="M947" s="8"/>
      <c r="N947" s="8"/>
    </row>
    <row r="948" spans="7:14">
      <c r="G948" s="8"/>
      <c r="H948" s="8"/>
      <c r="I948" s="8"/>
      <c r="J948" s="8"/>
      <c r="K948" s="8"/>
      <c r="L948" s="8"/>
      <c r="M948" s="8"/>
      <c r="N948" s="8"/>
    </row>
    <row r="949" spans="7:14">
      <c r="G949" s="8"/>
      <c r="H949" s="8"/>
      <c r="I949" s="8"/>
      <c r="J949" s="8"/>
      <c r="K949" s="8"/>
      <c r="L949" s="8"/>
      <c r="M949" s="8"/>
      <c r="N949" s="8"/>
    </row>
    <row r="950" spans="7:14">
      <c r="G950" s="8"/>
      <c r="H950" s="8"/>
      <c r="I950" s="8"/>
      <c r="J950" s="8"/>
      <c r="K950" s="8"/>
      <c r="L950" s="8"/>
      <c r="M950" s="8"/>
      <c r="N950" s="8"/>
    </row>
    <row r="951" spans="7:14">
      <c r="G951" s="8"/>
      <c r="H951" s="8"/>
      <c r="I951" s="8"/>
      <c r="J951" s="8"/>
      <c r="K951" s="8"/>
      <c r="L951" s="8"/>
      <c r="M951" s="8"/>
      <c r="N951" s="8"/>
    </row>
    <row r="952" spans="7:14">
      <c r="G952" s="8"/>
      <c r="H952" s="8"/>
      <c r="I952" s="8"/>
      <c r="J952" s="8"/>
      <c r="K952" s="8"/>
      <c r="L952" s="8"/>
      <c r="M952" s="8"/>
      <c r="N952" s="8"/>
    </row>
    <row r="953" spans="7:14">
      <c r="G953" s="8"/>
      <c r="H953" s="8"/>
      <c r="I953" s="8"/>
      <c r="J953" s="8"/>
      <c r="K953" s="8"/>
      <c r="L953" s="8"/>
      <c r="M953" s="8"/>
      <c r="N953" s="8"/>
    </row>
    <row r="954" spans="7:14">
      <c r="G954" s="8"/>
      <c r="H954" s="8"/>
      <c r="I954" s="8"/>
      <c r="J954" s="8"/>
      <c r="K954" s="8"/>
      <c r="L954" s="8"/>
      <c r="M954" s="8"/>
      <c r="N954" s="8"/>
    </row>
    <row r="955" spans="7:14">
      <c r="G955" s="8"/>
      <c r="H955" s="8"/>
      <c r="I955" s="8"/>
      <c r="J955" s="8"/>
      <c r="K955" s="8"/>
      <c r="L955" s="8"/>
      <c r="M955" s="8"/>
      <c r="N955" s="8"/>
    </row>
    <row r="956" spans="7:14">
      <c r="G956" s="8"/>
      <c r="H956" s="8"/>
      <c r="I956" s="8"/>
      <c r="J956" s="8"/>
      <c r="K956" s="8"/>
      <c r="L956" s="8"/>
      <c r="M956" s="8"/>
      <c r="N956" s="8"/>
    </row>
    <row r="957" spans="7:14">
      <c r="G957" s="8"/>
      <c r="H957" s="8"/>
      <c r="I957" s="8"/>
      <c r="J957" s="8"/>
      <c r="K957" s="8"/>
      <c r="L957" s="8"/>
      <c r="M957" s="8"/>
      <c r="N957" s="8"/>
    </row>
    <row r="958" spans="7:14">
      <c r="G958" s="8"/>
      <c r="H958" s="8"/>
      <c r="I958" s="8"/>
      <c r="J958" s="8"/>
      <c r="K958" s="8"/>
      <c r="L958" s="8"/>
      <c r="M958" s="8"/>
      <c r="N958" s="8"/>
    </row>
    <row r="959" spans="7:14">
      <c r="G959" s="8"/>
      <c r="H959" s="8"/>
      <c r="I959" s="8"/>
      <c r="J959" s="8"/>
      <c r="K959" s="8"/>
      <c r="L959" s="8"/>
      <c r="M959" s="8"/>
      <c r="N959" s="8"/>
    </row>
    <row r="960" spans="7:14">
      <c r="G960" s="8"/>
      <c r="H960" s="8"/>
      <c r="I960" s="8"/>
      <c r="J960" s="8"/>
      <c r="K960" s="8"/>
      <c r="L960" s="8"/>
      <c r="M960" s="8"/>
      <c r="N960" s="8"/>
    </row>
    <row r="961" spans="7:14">
      <c r="G961" s="8"/>
      <c r="H961" s="8"/>
      <c r="I961" s="8"/>
      <c r="J961" s="8"/>
      <c r="K961" s="8"/>
      <c r="L961" s="8"/>
      <c r="M961" s="8"/>
      <c r="N961" s="8"/>
    </row>
    <row r="962" spans="7:14">
      <c r="G962" s="8"/>
      <c r="H962" s="8"/>
      <c r="I962" s="8"/>
      <c r="J962" s="8"/>
      <c r="K962" s="8"/>
      <c r="L962" s="8"/>
      <c r="M962" s="8"/>
      <c r="N962" s="8"/>
    </row>
    <row r="963" spans="7:14">
      <c r="G963" s="8"/>
      <c r="H963" s="8"/>
      <c r="I963" s="8"/>
      <c r="J963" s="8"/>
      <c r="K963" s="8"/>
      <c r="L963" s="8"/>
      <c r="M963" s="8"/>
      <c r="N963" s="8"/>
    </row>
    <row r="964" spans="7:14">
      <c r="G964" s="8"/>
      <c r="H964" s="8"/>
      <c r="I964" s="8"/>
      <c r="J964" s="8"/>
      <c r="K964" s="8"/>
      <c r="L964" s="8"/>
      <c r="M964" s="8"/>
      <c r="N964" s="8"/>
    </row>
    <row r="965" spans="7:14">
      <c r="G965" s="8"/>
      <c r="H965" s="8"/>
      <c r="I965" s="8"/>
      <c r="J965" s="8"/>
      <c r="K965" s="8"/>
      <c r="L965" s="8"/>
      <c r="M965" s="8"/>
      <c r="N965" s="8"/>
    </row>
    <row r="966" spans="7:14">
      <c r="G966" s="8"/>
      <c r="H966" s="8"/>
      <c r="I966" s="8"/>
      <c r="J966" s="8"/>
      <c r="K966" s="8"/>
      <c r="L966" s="8"/>
      <c r="M966" s="8"/>
      <c r="N966" s="8"/>
    </row>
    <row r="967" spans="7:14">
      <c r="G967" s="8"/>
      <c r="H967" s="8"/>
      <c r="I967" s="8"/>
      <c r="J967" s="8"/>
      <c r="K967" s="8"/>
      <c r="L967" s="8"/>
      <c r="M967" s="8"/>
      <c r="N967" s="8"/>
    </row>
    <row r="968" spans="7:14">
      <c r="G968" s="8"/>
      <c r="H968" s="8"/>
      <c r="I968" s="8"/>
      <c r="J968" s="8"/>
      <c r="K968" s="8"/>
      <c r="L968" s="8"/>
      <c r="M968" s="8"/>
      <c r="N968" s="8"/>
    </row>
    <row r="969" spans="7:14">
      <c r="G969" s="8"/>
      <c r="H969" s="8"/>
      <c r="I969" s="8"/>
      <c r="J969" s="8"/>
      <c r="K969" s="8"/>
      <c r="L969" s="8"/>
      <c r="M969" s="8"/>
      <c r="N969" s="8"/>
    </row>
    <row r="970" spans="7:14">
      <c r="G970" s="8"/>
      <c r="H970" s="8"/>
      <c r="I970" s="8"/>
      <c r="J970" s="8"/>
      <c r="K970" s="8"/>
      <c r="L970" s="8"/>
      <c r="M970" s="8"/>
      <c r="N970" s="8"/>
    </row>
    <row r="971" spans="7:14">
      <c r="G971" s="8"/>
      <c r="H971" s="8"/>
      <c r="I971" s="8"/>
      <c r="J971" s="8"/>
      <c r="K971" s="8"/>
      <c r="L971" s="8"/>
      <c r="M971" s="8"/>
      <c r="N971" s="8"/>
    </row>
    <row r="972" spans="7:14">
      <c r="G972" s="8"/>
      <c r="H972" s="8"/>
      <c r="I972" s="8"/>
      <c r="J972" s="8"/>
      <c r="K972" s="8"/>
      <c r="L972" s="8"/>
      <c r="M972" s="8"/>
      <c r="N972" s="8"/>
    </row>
    <row r="973" spans="7:14">
      <c r="G973" s="8"/>
      <c r="H973" s="8"/>
      <c r="I973" s="8"/>
      <c r="J973" s="8"/>
      <c r="K973" s="8"/>
      <c r="L973" s="8"/>
      <c r="M973" s="8"/>
      <c r="N973" s="8"/>
    </row>
    <row r="974" spans="7:14">
      <c r="G974" s="8"/>
      <c r="H974" s="8"/>
      <c r="I974" s="8"/>
      <c r="J974" s="8"/>
      <c r="K974" s="8"/>
      <c r="L974" s="8"/>
      <c r="M974" s="8"/>
      <c r="N974" s="8"/>
    </row>
    <row r="975" spans="7:14">
      <c r="G975" s="8"/>
      <c r="H975" s="8"/>
      <c r="I975" s="8"/>
      <c r="J975" s="8"/>
      <c r="K975" s="8"/>
      <c r="L975" s="8"/>
      <c r="M975" s="8"/>
      <c r="N975" s="8"/>
    </row>
    <row r="976" spans="7:14">
      <c r="G976" s="8"/>
      <c r="H976" s="8"/>
      <c r="I976" s="8"/>
      <c r="J976" s="8"/>
      <c r="K976" s="8"/>
      <c r="L976" s="8"/>
      <c r="M976" s="8"/>
      <c r="N976" s="8"/>
    </row>
    <row r="977" spans="7:14">
      <c r="G977" s="8"/>
      <c r="H977" s="8"/>
      <c r="I977" s="8"/>
      <c r="J977" s="8"/>
      <c r="K977" s="8"/>
      <c r="L977" s="8"/>
      <c r="M977" s="8"/>
      <c r="N977" s="8"/>
    </row>
    <row r="978" spans="7:14">
      <c r="G978" s="8"/>
      <c r="H978" s="8"/>
      <c r="I978" s="8"/>
      <c r="J978" s="8"/>
      <c r="K978" s="8"/>
      <c r="L978" s="8"/>
      <c r="M978" s="8"/>
      <c r="N978" s="8"/>
    </row>
    <row r="979" spans="7:14">
      <c r="G979" s="8"/>
      <c r="H979" s="8"/>
      <c r="I979" s="8"/>
      <c r="J979" s="8"/>
      <c r="K979" s="8"/>
      <c r="L979" s="8"/>
      <c r="M979" s="8"/>
      <c r="N979" s="8"/>
    </row>
    <row r="980" spans="7:14">
      <c r="G980" s="8"/>
      <c r="H980" s="8"/>
      <c r="I980" s="8"/>
      <c r="J980" s="8"/>
      <c r="K980" s="8"/>
      <c r="L980" s="8"/>
      <c r="M980" s="8"/>
      <c r="N980" s="8"/>
    </row>
    <row r="981" spans="7:14">
      <c r="G981" s="8"/>
      <c r="H981" s="8"/>
      <c r="I981" s="8"/>
      <c r="J981" s="8"/>
      <c r="K981" s="8"/>
      <c r="L981" s="8"/>
      <c r="M981" s="8"/>
      <c r="N981" s="8"/>
    </row>
    <row r="982" spans="7:14">
      <c r="G982" s="8"/>
      <c r="H982" s="8"/>
      <c r="I982" s="8"/>
      <c r="J982" s="8"/>
      <c r="K982" s="8"/>
      <c r="L982" s="8"/>
      <c r="M982" s="8"/>
      <c r="N982" s="8"/>
    </row>
    <row r="983" spans="7:14">
      <c r="G983" s="8"/>
      <c r="H983" s="8"/>
      <c r="I983" s="8"/>
      <c r="J983" s="8"/>
      <c r="K983" s="8"/>
      <c r="L983" s="8"/>
      <c r="M983" s="8"/>
      <c r="N983" s="8"/>
    </row>
    <row r="984" spans="7:14">
      <c r="G984" s="8"/>
      <c r="H984" s="8"/>
      <c r="I984" s="8"/>
      <c r="J984" s="8"/>
      <c r="K984" s="8"/>
      <c r="L984" s="8"/>
      <c r="M984" s="8"/>
      <c r="N984" s="8"/>
    </row>
    <row r="985" spans="7:14">
      <c r="G985" s="8"/>
      <c r="H985" s="8"/>
      <c r="I985" s="8"/>
      <c r="J985" s="8"/>
      <c r="K985" s="8"/>
      <c r="L985" s="8"/>
      <c r="M985" s="8"/>
      <c r="N985" s="8"/>
    </row>
    <row r="986" spans="7:14">
      <c r="G986" s="8"/>
      <c r="H986" s="8"/>
      <c r="I986" s="8"/>
      <c r="J986" s="8"/>
      <c r="K986" s="8"/>
      <c r="L986" s="8"/>
      <c r="M986" s="8"/>
      <c r="N986" s="8"/>
    </row>
    <row r="987" spans="7:14">
      <c r="G987" s="8"/>
      <c r="H987" s="8"/>
      <c r="I987" s="8"/>
      <c r="J987" s="8"/>
      <c r="K987" s="8"/>
      <c r="L987" s="8"/>
      <c r="M987" s="8"/>
      <c r="N987" s="8"/>
    </row>
    <row r="988" spans="7:14">
      <c r="G988" s="8"/>
      <c r="H988" s="8"/>
      <c r="I988" s="8"/>
      <c r="J988" s="8"/>
      <c r="K988" s="8"/>
      <c r="L988" s="8"/>
      <c r="M988" s="8"/>
      <c r="N988" s="8"/>
    </row>
    <row r="989" spans="7:14">
      <c r="G989" s="8"/>
      <c r="H989" s="8"/>
      <c r="I989" s="8"/>
      <c r="J989" s="8"/>
      <c r="K989" s="8"/>
      <c r="L989" s="8"/>
      <c r="M989" s="8"/>
      <c r="N989" s="8"/>
    </row>
    <row r="990" spans="7:14">
      <c r="G990" s="8"/>
      <c r="H990" s="8"/>
      <c r="I990" s="8"/>
      <c r="J990" s="8"/>
      <c r="K990" s="8"/>
      <c r="L990" s="8"/>
      <c r="M990" s="8"/>
      <c r="N990" s="8"/>
    </row>
    <row r="991" spans="7:14">
      <c r="G991" s="8"/>
      <c r="H991" s="8"/>
      <c r="I991" s="8"/>
      <c r="J991" s="8"/>
      <c r="K991" s="8"/>
      <c r="L991" s="8"/>
      <c r="M991" s="8"/>
      <c r="N991" s="8"/>
    </row>
    <row r="992" spans="7:14">
      <c r="G992" s="8"/>
      <c r="H992" s="8"/>
      <c r="I992" s="8"/>
      <c r="J992" s="8"/>
      <c r="K992" s="8"/>
      <c r="L992" s="8"/>
      <c r="M992" s="8"/>
      <c r="N992" s="8"/>
    </row>
    <row r="993" spans="7:14">
      <c r="G993" s="8"/>
      <c r="H993" s="8"/>
      <c r="I993" s="8"/>
      <c r="J993" s="8"/>
      <c r="K993" s="8"/>
      <c r="L993" s="8"/>
      <c r="M993" s="8"/>
      <c r="N993" s="8"/>
    </row>
    <row r="994" spans="7:14">
      <c r="G994" s="8"/>
      <c r="H994" s="8"/>
      <c r="I994" s="8"/>
      <c r="J994" s="8"/>
      <c r="K994" s="8"/>
      <c r="L994" s="8"/>
      <c r="M994" s="8"/>
      <c r="N994" s="8"/>
    </row>
    <row r="995" spans="7:14">
      <c r="G995" s="8"/>
      <c r="H995" s="8"/>
      <c r="I995" s="8"/>
      <c r="J995" s="8"/>
      <c r="K995" s="8"/>
      <c r="L995" s="8"/>
      <c r="M995" s="8"/>
      <c r="N995" s="8"/>
    </row>
    <row r="996" spans="7:14">
      <c r="G996" s="8"/>
      <c r="H996" s="8"/>
      <c r="I996" s="8"/>
      <c r="J996" s="8"/>
      <c r="K996" s="8"/>
      <c r="L996" s="8"/>
      <c r="M996" s="8"/>
      <c r="N996" s="8"/>
    </row>
    <row r="997" spans="7:14">
      <c r="G997" s="8"/>
      <c r="H997" s="8"/>
      <c r="I997" s="8"/>
      <c r="J997" s="8"/>
      <c r="K997" s="8"/>
      <c r="L997" s="8"/>
      <c r="M997" s="8"/>
      <c r="N997" s="8"/>
    </row>
    <row r="998" spans="7:14">
      <c r="G998" s="8"/>
      <c r="H998" s="8"/>
      <c r="I998" s="8"/>
      <c r="J998" s="8"/>
      <c r="K998" s="8"/>
      <c r="L998" s="8"/>
      <c r="M998" s="8"/>
      <c r="N998" s="8"/>
    </row>
    <row r="999" spans="7:14">
      <c r="G999" s="8"/>
      <c r="H999" s="8"/>
      <c r="I999" s="8"/>
      <c r="J999" s="8"/>
      <c r="K999" s="8"/>
      <c r="L999" s="8"/>
      <c r="M999" s="8"/>
      <c r="N999" s="8"/>
    </row>
    <row r="1000" spans="7:14">
      <c r="G1000" s="8"/>
      <c r="H1000" s="8"/>
      <c r="I1000" s="8"/>
      <c r="J1000" s="8"/>
      <c r="K1000" s="8"/>
      <c r="L1000" s="8"/>
      <c r="M1000" s="8"/>
      <c r="N1000" s="8"/>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outlinePr summaryBelow="0" summaryRight="0"/>
  </sheetPr>
  <dimension ref="A1:B922"/>
  <sheetViews>
    <sheetView workbookViewId="0"/>
  </sheetViews>
  <sheetFormatPr defaultColWidth="12.6640625" defaultRowHeight="15.75" customHeight="1"/>
  <sheetData>
    <row r="1" spans="1:2">
      <c r="A1" s="13" t="str">
        <f ca="1">IFERROR(__xludf.DUMMYFUNCTION("QUERY({'G6 Maths'!G1:H1000;'G7 Maths'!G1:H1000;'G8 Maths'!G1:H1000;'G6 Science'!G1:H1000;'G7 Science'!G1:H1000;'G8 Science'!G1:H1000}, ""select * where Col1 is not null"")"),"LUID")</f>
        <v>LUID</v>
      </c>
      <c r="B1" s="13" t="str">
        <f ca="1">IFERROR(__xludf.DUMMYFUNCTION("""COMPUTED_VALUE"""),"LUs Covered")</f>
        <v>LUs Covered</v>
      </c>
    </row>
    <row r="2" spans="1:2">
      <c r="A2" s="13" t="str">
        <f ca="1">IFERROR(__xludf.DUMMYFUNCTION("""COMPUTED_VALUE"""),"LU000153")</f>
        <v>LU000153</v>
      </c>
      <c r="B2" s="13" t="str">
        <f ca="1">IFERROR(__xludf.DUMMYFUNCTION("""COMPUTED_VALUE"""),"Place value system in whole numbers (upto 9-digit numbers)")</f>
        <v>Place value system in whole numbers (upto 9-digit numbers)</v>
      </c>
    </row>
    <row r="3" spans="1:2">
      <c r="A3" s="13" t="str">
        <f ca="1">IFERROR(__xludf.DUMMYFUNCTION("""COMPUTED_VALUE"""),"LU000156")</f>
        <v>LU000156</v>
      </c>
      <c r="B3" s="13" t="str">
        <f ca="1">IFERROR(__xludf.DUMMYFUNCTION("""COMPUTED_VALUE"""),"Numerical expansion of whole numbers (upto 9-digit numbers)")</f>
        <v>Numerical expansion of whole numbers (upto 9-digit numbers)</v>
      </c>
    </row>
    <row r="4" spans="1:2">
      <c r="A4" s="13" t="str">
        <f ca="1">IFERROR(__xludf.DUMMYFUNCTION("""COMPUTED_VALUE"""),"LU000157")</f>
        <v>LU000157</v>
      </c>
      <c r="B4" s="13" t="str">
        <f ca="1">IFERROR(__xludf.DUMMYFUNCTION("""COMPUTED_VALUE"""),"Conversion of names of whole number (upto 9-digit numbers) into numerical form")</f>
        <v>Conversion of names of whole number (upto 9-digit numbers) into numerical form</v>
      </c>
    </row>
    <row r="5" spans="1:2">
      <c r="A5" s="13" t="str">
        <f ca="1">IFERROR(__xludf.DUMMYFUNCTION("""COMPUTED_VALUE"""),"LU000158")</f>
        <v>LU000158</v>
      </c>
      <c r="B5" s="13" t="str">
        <f ca="1">IFERROR(__xludf.DUMMYFUNCTION("""COMPUTED_VALUE"""),"Interpretation of whole number in numerical form (upto 9-digit numbers) into number names")</f>
        <v>Interpretation of whole number in numerical form (upto 9-digit numbers) into number names</v>
      </c>
    </row>
    <row r="6" spans="1:2">
      <c r="A6" s="13" t="str">
        <f ca="1">IFERROR(__xludf.DUMMYFUNCTION("""COMPUTED_VALUE"""),"LU000945")</f>
        <v>LU000945</v>
      </c>
      <c r="B6" s="13" t="str">
        <f ca="1">IFERROR(__xludf.DUMMYFUNCTION("""COMPUTED_VALUE"""),"Formation of number using given digits")</f>
        <v>Formation of number using given digits</v>
      </c>
    </row>
    <row r="7" spans="1:2">
      <c r="A7" s="13" t="str">
        <f ca="1">IFERROR(__xludf.DUMMYFUNCTION("""COMPUTED_VALUE"""),"LU000154")</f>
        <v>LU000154</v>
      </c>
      <c r="B7" s="13" t="str">
        <f ca="1">IFERROR(__xludf.DUMMYFUNCTION("""COMPUTED_VALUE"""),"Comparison of whole numbers (upto 9-digit numbers)")</f>
        <v>Comparison of whole numbers (upto 9-digit numbers)</v>
      </c>
    </row>
    <row r="8" spans="1:2">
      <c r="A8" s="13" t="str">
        <f ca="1">IFERROR(__xludf.DUMMYFUNCTION("""COMPUTED_VALUE"""),"LU000155")</f>
        <v>LU000155</v>
      </c>
      <c r="B8" s="13" t="str">
        <f ca="1">IFERROR(__xludf.DUMMYFUNCTION("""COMPUTED_VALUE"""),"Order of whole numbers (upto 9-digit numbers)")</f>
        <v>Order of whole numbers (upto 9-digit numbers)</v>
      </c>
    </row>
    <row r="9" spans="1:2">
      <c r="A9" s="13" t="str">
        <f ca="1">IFERROR(__xludf.DUMMYFUNCTION("""COMPUTED_VALUE"""),"LU000160")</f>
        <v>LU000160</v>
      </c>
      <c r="B9" s="13" t="str">
        <f ca="1">IFERROR(__xludf.DUMMYFUNCTION("""COMPUTED_VALUE"""),"Reading and writing large numbers in Indian System of Numeration")</f>
        <v>Reading and writing large numbers in Indian System of Numeration</v>
      </c>
    </row>
    <row r="10" spans="1:2">
      <c r="A10" s="13" t="str">
        <f ca="1">IFERROR(__xludf.DUMMYFUNCTION("""COMPUTED_VALUE"""),"LU000162")</f>
        <v>LU000162</v>
      </c>
      <c r="B10" s="13" t="str">
        <f ca="1">IFERROR(__xludf.DUMMYFUNCTION("""COMPUTED_VALUE"""),"Reading and writing large numbers in International System of Numeration")</f>
        <v>Reading and writing large numbers in International System of Numeration</v>
      </c>
    </row>
    <row r="11" spans="1:2">
      <c r="A11" s="13" t="str">
        <f ca="1">IFERROR(__xludf.DUMMYFUNCTION("""COMPUTED_VALUE"""),"LU000161")</f>
        <v>LU000161</v>
      </c>
      <c r="B11" s="13" t="str">
        <f ca="1">IFERROR(__xludf.DUMMYFUNCTION("""COMPUTED_VALUE"""),"Placement of commas in International System of Numeration")</f>
        <v>Placement of commas in International System of Numeration</v>
      </c>
    </row>
    <row r="12" spans="1:2">
      <c r="A12" s="13" t="str">
        <f ca="1">IFERROR(__xludf.DUMMYFUNCTION("""COMPUTED_VALUE"""),"LU000159")</f>
        <v>LU000159</v>
      </c>
      <c r="B12" s="13" t="str">
        <f ca="1">IFERROR(__xludf.DUMMYFUNCTION("""COMPUTED_VALUE"""),"Conversion of numbers between the Indian system of numeration and the International system of numeration")</f>
        <v>Conversion of numbers between the Indian system of numeration and the International system of numeration</v>
      </c>
    </row>
    <row r="13" spans="1:2">
      <c r="A13" s="13" t="str">
        <f ca="1">IFERROR(__xludf.DUMMYFUNCTION("""COMPUTED_VALUE"""),"LU000166")</f>
        <v>LU000166</v>
      </c>
      <c r="B13" s="13" t="str">
        <f ca="1">IFERROR(__xludf.DUMMYFUNCTION("""COMPUTED_VALUE"""),"Metric prefixes (centi, milli, kilo) for SI units")</f>
        <v>Metric prefixes (centi, milli, kilo) for SI units</v>
      </c>
    </row>
    <row r="14" spans="1:2">
      <c r="A14" s="13" t="str">
        <f ca="1">IFERROR(__xludf.DUMMYFUNCTION("""COMPUTED_VALUE"""),"LU000163")</f>
        <v>LU000163</v>
      </c>
      <c r="B14" s="13" t="str">
        <f ca="1">IFERROR(__xludf.DUMMYFUNCTION("""COMPUTED_VALUE"""),"Conversion between different units of length (in whole number)")</f>
        <v>Conversion between different units of length (in whole number)</v>
      </c>
    </row>
    <row r="15" spans="1:2">
      <c r="A15" s="13" t="str">
        <f ca="1">IFERROR(__xludf.DUMMYFUNCTION("""COMPUTED_VALUE"""),"LU000164")</f>
        <v>LU000164</v>
      </c>
      <c r="B15" s="13" t="str">
        <f ca="1">IFERROR(__xludf.DUMMYFUNCTION("""COMPUTED_VALUE"""),"Conversion between different units of mass (in whole number)")</f>
        <v>Conversion between different units of mass (in whole number)</v>
      </c>
    </row>
    <row r="16" spans="1:2">
      <c r="A16" s="13" t="str">
        <f ca="1">IFERROR(__xludf.DUMMYFUNCTION("""COMPUTED_VALUE"""),"LU000165")</f>
        <v>LU000165</v>
      </c>
      <c r="B16" s="13" t="str">
        <f ca="1">IFERROR(__xludf.DUMMYFUNCTION("""COMPUTED_VALUE"""),"Conversion between different units of capacity (in whole number)")</f>
        <v>Conversion between different units of capacity (in whole number)</v>
      </c>
    </row>
    <row r="17" spans="1:2">
      <c r="A17" s="13" t="str">
        <f ca="1">IFERROR(__xludf.DUMMYFUNCTION("""COMPUTED_VALUE"""),"LU000948")</f>
        <v>LU000948</v>
      </c>
      <c r="B17" s="13" t="str">
        <f ca="1">IFERROR(__xludf.DUMMYFUNCTION("""COMPUTED_VALUE"""),"Addition of large whole numbers (5-9 digit numbers)")</f>
        <v>Addition of large whole numbers (5-9 digit numbers)</v>
      </c>
    </row>
    <row r="18" spans="1:2">
      <c r="A18" s="13" t="str">
        <f ca="1">IFERROR(__xludf.DUMMYFUNCTION("""COMPUTED_VALUE"""),"LU000949")</f>
        <v>LU000949</v>
      </c>
      <c r="B18" s="13" t="str">
        <f ca="1">IFERROR(__xludf.DUMMYFUNCTION("""COMPUTED_VALUE"""),"Subtraction of large whole numbers (5-9 digit numbers)")</f>
        <v>Subtraction of large whole numbers (5-9 digit numbers)</v>
      </c>
    </row>
    <row r="19" spans="1:2">
      <c r="A19" s="13" t="str">
        <f ca="1">IFERROR(__xludf.DUMMYFUNCTION("""COMPUTED_VALUE"""),"LU000950")</f>
        <v>LU000950</v>
      </c>
      <c r="B19" s="13" t="str">
        <f ca="1">IFERROR(__xludf.DUMMYFUNCTION("""COMPUTED_VALUE"""),"Multiplication of large whole numbers (6-9 digit numbers)")</f>
        <v>Multiplication of large whole numbers (6-9 digit numbers)</v>
      </c>
    </row>
    <row r="20" spans="1:2">
      <c r="A20" s="13" t="str">
        <f ca="1">IFERROR(__xludf.DUMMYFUNCTION("""COMPUTED_VALUE"""),"LU000951")</f>
        <v>LU000951</v>
      </c>
      <c r="B20" s="13" t="str">
        <f ca="1">IFERROR(__xludf.DUMMYFUNCTION("""COMPUTED_VALUE"""),"Division of large whole numbers (6-9 digit numbers)")</f>
        <v>Division of large whole numbers (6-9 digit numbers)</v>
      </c>
    </row>
    <row r="21" spans="1:2">
      <c r="A21" s="13" t="str">
        <f ca="1">IFERROR(__xludf.DUMMYFUNCTION("""COMPUTED_VALUE"""),"LU000175")</f>
        <v>LU000175</v>
      </c>
      <c r="B21" s="13" t="str">
        <f ca="1">IFERROR(__xludf.DUMMYFUNCTION("""COMPUTED_VALUE"""),"Definition of natural number ")</f>
        <v xml:space="preserve">Definition of natural number </v>
      </c>
    </row>
    <row r="22" spans="1:2">
      <c r="A22" s="13" t="str">
        <f ca="1">IFERROR(__xludf.DUMMYFUNCTION("""COMPUTED_VALUE"""),"LU000176")</f>
        <v>LU000176</v>
      </c>
      <c r="B22" s="13" t="str">
        <f ca="1">IFERROR(__xludf.DUMMYFUNCTION("""COMPUTED_VALUE"""),"Definition of whole number")</f>
        <v>Definition of whole number</v>
      </c>
    </row>
    <row r="23" spans="1:2">
      <c r="A23" s="13" t="str">
        <f ca="1">IFERROR(__xludf.DUMMYFUNCTION("""COMPUTED_VALUE"""),"LU000179")</f>
        <v>LU000179</v>
      </c>
      <c r="B23" s="13" t="str">
        <f ca="1">IFERROR(__xludf.DUMMYFUNCTION("""COMPUTED_VALUE"""),"Representation of whole numbers on a number line")</f>
        <v>Representation of whole numbers on a number line</v>
      </c>
    </row>
    <row r="24" spans="1:2">
      <c r="A24" s="13" t="str">
        <f ca="1">IFERROR(__xludf.DUMMYFUNCTION("""COMPUTED_VALUE"""),"LU000177")</f>
        <v>LU000177</v>
      </c>
      <c r="B24" s="13" t="str">
        <f ca="1">IFERROR(__xludf.DUMMYFUNCTION("""COMPUTED_VALUE"""),"Predecessor of whole numbers")</f>
        <v>Predecessor of whole numbers</v>
      </c>
    </row>
    <row r="25" spans="1:2">
      <c r="A25" s="13" t="str">
        <f ca="1">IFERROR(__xludf.DUMMYFUNCTION("""COMPUTED_VALUE"""),"LU000178")</f>
        <v>LU000178</v>
      </c>
      <c r="B25" s="13" t="str">
        <f ca="1">IFERROR(__xludf.DUMMYFUNCTION("""COMPUTED_VALUE"""),"Successor of whole numbers")</f>
        <v>Successor of whole numbers</v>
      </c>
    </row>
    <row r="26" spans="1:2">
      <c r="A26" s="13" t="str">
        <f ca="1">IFERROR(__xludf.DUMMYFUNCTION("""COMPUTED_VALUE"""),"LU000180")</f>
        <v>LU000180</v>
      </c>
      <c r="B26" s="13" t="str">
        <f ca="1">IFERROR(__xludf.DUMMYFUNCTION("""COMPUTED_VALUE"""),"Addition of whole numbers on number line")</f>
        <v>Addition of whole numbers on number line</v>
      </c>
    </row>
    <row r="27" spans="1:2">
      <c r="A27" s="13" t="str">
        <f ca="1">IFERROR(__xludf.DUMMYFUNCTION("""COMPUTED_VALUE"""),"LU000181")</f>
        <v>LU000181</v>
      </c>
      <c r="B27" s="13" t="str">
        <f ca="1">IFERROR(__xludf.DUMMYFUNCTION("""COMPUTED_VALUE"""),"Subtraction of whole numbers on number line")</f>
        <v>Subtraction of whole numbers on number line</v>
      </c>
    </row>
    <row r="28" spans="1:2">
      <c r="A28" s="13" t="str">
        <f ca="1">IFERROR(__xludf.DUMMYFUNCTION("""COMPUTED_VALUE"""),"LU000182")</f>
        <v>LU000182</v>
      </c>
      <c r="B28" s="13" t="str">
        <f ca="1">IFERROR(__xludf.DUMMYFUNCTION("""COMPUTED_VALUE"""),"Multiplication of whole numbers on number line")</f>
        <v>Multiplication of whole numbers on number line</v>
      </c>
    </row>
    <row r="29" spans="1:2">
      <c r="A29" s="13" t="str">
        <f ca="1">IFERROR(__xludf.DUMMYFUNCTION("""COMPUTED_VALUE"""),"LU000968")</f>
        <v>LU000968</v>
      </c>
      <c r="B29" s="13" t="str">
        <f ca="1">IFERROR(__xludf.DUMMYFUNCTION("""COMPUTED_VALUE"""),"Mixed operation of addition and subtraction of three or more whole numbers with number line.")</f>
        <v>Mixed operation of addition and subtraction of three or more whole numbers with number line.</v>
      </c>
    </row>
    <row r="30" spans="1:2">
      <c r="A30" s="13" t="str">
        <f ca="1">IFERROR(__xludf.DUMMYFUNCTION("""COMPUTED_VALUE"""),"LU000969")</f>
        <v>LU000969</v>
      </c>
      <c r="B30" s="13" t="str">
        <f ca="1">IFERROR(__xludf.DUMMYFUNCTION("""COMPUTED_VALUE"""),"Mixed operation of addition and subtraction of three or more whole numbers without number line.")</f>
        <v>Mixed operation of addition and subtraction of three or more whole numbers without number line.</v>
      </c>
    </row>
    <row r="31" spans="1:2">
      <c r="A31" s="13" t="str">
        <f ca="1">IFERROR(__xludf.DUMMYFUNCTION("""COMPUTED_VALUE"""),"LU000192")</f>
        <v>LU000192</v>
      </c>
      <c r="B31" s="13" t="str">
        <f ca="1">IFERROR(__xludf.DUMMYFUNCTION("""COMPUTED_VALUE"""),"Factor of number")</f>
        <v>Factor of number</v>
      </c>
    </row>
    <row r="32" spans="1:2">
      <c r="A32" s="13" t="str">
        <f ca="1">IFERROR(__xludf.DUMMYFUNCTION("""COMPUTED_VALUE"""),"LU000193")</f>
        <v>LU000193</v>
      </c>
      <c r="B32" s="13" t="str">
        <f ca="1">IFERROR(__xludf.DUMMYFUNCTION("""COMPUTED_VALUE"""),"Multiple of number")</f>
        <v>Multiple of number</v>
      </c>
    </row>
    <row r="33" spans="1:2">
      <c r="A33" s="13" t="str">
        <f ca="1">IFERROR(__xludf.DUMMYFUNCTION("""COMPUTED_VALUE"""),"LU000194")</f>
        <v>LU000194</v>
      </c>
      <c r="B33" s="13" t="str">
        <f ca="1">IFERROR(__xludf.DUMMYFUNCTION("""COMPUTED_VALUE"""),"Perfect number")</f>
        <v>Perfect number</v>
      </c>
    </row>
    <row r="34" spans="1:2">
      <c r="A34" s="13" t="str">
        <f ca="1">IFERROR(__xludf.DUMMYFUNCTION("""COMPUTED_VALUE"""),"LU000195")</f>
        <v>LU000195</v>
      </c>
      <c r="B34" s="13" t="str">
        <f ca="1">IFERROR(__xludf.DUMMYFUNCTION("""COMPUTED_VALUE"""),"Prime number")</f>
        <v>Prime number</v>
      </c>
    </row>
    <row r="35" spans="1:2">
      <c r="A35" s="13" t="str">
        <f ca="1">IFERROR(__xludf.DUMMYFUNCTION("""COMPUTED_VALUE"""),"LU000196")</f>
        <v>LU000196</v>
      </c>
      <c r="B35" s="13" t="str">
        <f ca="1">IFERROR(__xludf.DUMMYFUNCTION("""COMPUTED_VALUE"""),"Composite number")</f>
        <v>Composite number</v>
      </c>
    </row>
    <row r="36" spans="1:2">
      <c r="A36" s="13" t="str">
        <f ca="1">IFERROR(__xludf.DUMMYFUNCTION("""COMPUTED_VALUE"""),"LU000213")</f>
        <v>LU000213</v>
      </c>
      <c r="B36" s="13" t="str">
        <f ca="1">IFERROR(__xludf.DUMMYFUNCTION("""COMPUTED_VALUE"""),"Twin prime numbers")</f>
        <v>Twin prime numbers</v>
      </c>
    </row>
    <row r="37" spans="1:2">
      <c r="A37" s="13" t="str">
        <f ca="1">IFERROR(__xludf.DUMMYFUNCTION("""COMPUTED_VALUE"""),"LU000197")</f>
        <v>LU000197</v>
      </c>
      <c r="B37" s="13" t="str">
        <f ca="1">IFERROR(__xludf.DUMMYFUNCTION("""COMPUTED_VALUE"""),"Even number")</f>
        <v>Even number</v>
      </c>
    </row>
    <row r="38" spans="1:2">
      <c r="A38" s="13" t="str">
        <f ca="1">IFERROR(__xludf.DUMMYFUNCTION("""COMPUTED_VALUE"""),"LU000198")</f>
        <v>LU000198</v>
      </c>
      <c r="B38" s="13" t="str">
        <f ca="1">IFERROR(__xludf.DUMMYFUNCTION("""COMPUTED_VALUE"""),"Odd number")</f>
        <v>Odd number</v>
      </c>
    </row>
    <row r="39" spans="1:2">
      <c r="A39" s="13" t="str">
        <f ca="1">IFERROR(__xludf.DUMMYFUNCTION("""COMPUTED_VALUE"""),"LU000199")</f>
        <v>LU000199</v>
      </c>
      <c r="B39" s="13" t="str">
        <f ca="1">IFERROR(__xludf.DUMMYFUNCTION("""COMPUTED_VALUE"""),"Test for divisibility by 2")</f>
        <v>Test for divisibility by 2</v>
      </c>
    </row>
    <row r="40" spans="1:2">
      <c r="A40" s="13" t="str">
        <f ca="1">IFERROR(__xludf.DUMMYFUNCTION("""COMPUTED_VALUE"""),"LU000202")</f>
        <v>LU000202</v>
      </c>
      <c r="B40" s="13" t="str">
        <f ca="1">IFERROR(__xludf.DUMMYFUNCTION("""COMPUTED_VALUE"""),"Test for divisibility by 5")</f>
        <v>Test for divisibility by 5</v>
      </c>
    </row>
    <row r="41" spans="1:2">
      <c r="A41" s="13" t="str">
        <f ca="1">IFERROR(__xludf.DUMMYFUNCTION("""COMPUTED_VALUE"""),"LU000207")</f>
        <v>LU000207</v>
      </c>
      <c r="B41" s="13" t="str">
        <f ca="1">IFERROR(__xludf.DUMMYFUNCTION("""COMPUTED_VALUE"""),"Test for divisibility by 10")</f>
        <v>Test for divisibility by 10</v>
      </c>
    </row>
    <row r="42" spans="1:2">
      <c r="A42" s="13" t="str">
        <f ca="1">IFERROR(__xludf.DUMMYFUNCTION("""COMPUTED_VALUE"""),"LU000200")</f>
        <v>LU000200</v>
      </c>
      <c r="B42" s="13" t="str">
        <f ca="1">IFERROR(__xludf.DUMMYFUNCTION("""COMPUTED_VALUE"""),"Test for divisibility by 3")</f>
        <v>Test for divisibility by 3</v>
      </c>
    </row>
    <row r="43" spans="1:2">
      <c r="A43" s="13" t="str">
        <f ca="1">IFERROR(__xludf.DUMMYFUNCTION("""COMPUTED_VALUE"""),"LU000203")</f>
        <v>LU000203</v>
      </c>
      <c r="B43" s="13" t="str">
        <f ca="1">IFERROR(__xludf.DUMMYFUNCTION("""COMPUTED_VALUE"""),"Test for divisibility by 6")</f>
        <v>Test for divisibility by 6</v>
      </c>
    </row>
    <row r="44" spans="1:2">
      <c r="A44" s="13" t="str">
        <f ca="1">IFERROR(__xludf.DUMMYFUNCTION("""COMPUTED_VALUE"""),"LU000206")</f>
        <v>LU000206</v>
      </c>
      <c r="B44" s="13" t="str">
        <f ca="1">IFERROR(__xludf.DUMMYFUNCTION("""COMPUTED_VALUE"""),"Test for divisibility by 9")</f>
        <v>Test for divisibility by 9</v>
      </c>
    </row>
    <row r="45" spans="1:2">
      <c r="A45" s="13" t="str">
        <f ca="1">IFERROR(__xludf.DUMMYFUNCTION("""COMPUTED_VALUE"""),"LU000201")</f>
        <v>LU000201</v>
      </c>
      <c r="B45" s="13" t="str">
        <f ca="1">IFERROR(__xludf.DUMMYFUNCTION("""COMPUTED_VALUE"""),"Test for divisibility by 4")</f>
        <v>Test for divisibility by 4</v>
      </c>
    </row>
    <row r="46" spans="1:2">
      <c r="A46" s="13" t="str">
        <f ca="1">IFERROR(__xludf.DUMMYFUNCTION("""COMPUTED_VALUE"""),"LU000205")</f>
        <v>LU000205</v>
      </c>
      <c r="B46" s="13" t="str">
        <f ca="1">IFERROR(__xludf.DUMMYFUNCTION("""COMPUTED_VALUE"""),"Test for divisibility by 8")</f>
        <v>Test for divisibility by 8</v>
      </c>
    </row>
    <row r="47" spans="1:2">
      <c r="A47" s="13" t="str">
        <f ca="1">IFERROR(__xludf.DUMMYFUNCTION("""COMPUTED_VALUE"""),"LU000208")</f>
        <v>LU000208</v>
      </c>
      <c r="B47" s="13" t="str">
        <f ca="1">IFERROR(__xludf.DUMMYFUNCTION("""COMPUTED_VALUE"""),"Test for divisibility by 11")</f>
        <v>Test for divisibility by 11</v>
      </c>
    </row>
    <row r="48" spans="1:2">
      <c r="A48" s="13" t="str">
        <f ca="1">IFERROR(__xludf.DUMMYFUNCTION("""COMPUTED_VALUE"""),"LU000921")</f>
        <v>LU000921</v>
      </c>
      <c r="B48" s="13" t="str">
        <f ca="1">IFERROR(__xludf.DUMMYFUNCTION("""COMPUTED_VALUE"""),"Divisibility rules of various numbers (2, 3, 4, 5, 6, 8, 9, 10 and 11)")</f>
        <v>Divisibility rules of various numbers (2, 3, 4, 5, 6, 8, 9, 10 and 11)</v>
      </c>
    </row>
    <row r="49" spans="1:2">
      <c r="A49" s="13" t="str">
        <f ca="1">IFERROR(__xludf.DUMMYFUNCTION("""COMPUTED_VALUE"""),"LU000060")</f>
        <v>LU000060</v>
      </c>
      <c r="B49" s="13" t="str">
        <f ca="1">IFERROR(__xludf.DUMMYFUNCTION("""COMPUTED_VALUE"""),"Common factors of numbers")</f>
        <v>Common factors of numbers</v>
      </c>
    </row>
    <row r="50" spans="1:2">
      <c r="A50" s="13" t="str">
        <f ca="1">IFERROR(__xludf.DUMMYFUNCTION("""COMPUTED_VALUE"""),"LU000058")</f>
        <v>LU000058</v>
      </c>
      <c r="B50" s="13" t="str">
        <f ca="1">IFERROR(__xludf.DUMMYFUNCTION("""COMPUTED_VALUE"""),"Definition of common multiples")</f>
        <v>Definition of common multiples</v>
      </c>
    </row>
    <row r="51" spans="1:2">
      <c r="A51" s="13" t="str">
        <f ca="1">IFERROR(__xludf.DUMMYFUNCTION("""COMPUTED_VALUE"""),"LU000209")</f>
        <v>LU000209</v>
      </c>
      <c r="B51" s="13" t="str">
        <f ca="1">IFERROR(__xludf.DUMMYFUNCTION("""COMPUTED_VALUE"""),"Co-prime numbers")</f>
        <v>Co-prime numbers</v>
      </c>
    </row>
    <row r="52" spans="1:2">
      <c r="A52" s="13" t="str">
        <f ca="1">IFERROR(__xludf.DUMMYFUNCTION("""COMPUTED_VALUE"""),"LU000210")</f>
        <v>LU000210</v>
      </c>
      <c r="B52" s="13" t="str">
        <f ca="1">IFERROR(__xludf.DUMMYFUNCTION("""COMPUTED_VALUE"""),"Methods of prime factorisation")</f>
        <v>Methods of prime factorisation</v>
      </c>
    </row>
    <row r="53" spans="1:2">
      <c r="A53" s="13" t="str">
        <f ca="1">IFERROR(__xludf.DUMMYFUNCTION("""COMPUTED_VALUE"""),"LU000211")</f>
        <v>LU000211</v>
      </c>
      <c r="B53" s="13" t="str">
        <f ca="1">IFERROR(__xludf.DUMMYFUNCTION("""COMPUTED_VALUE"""),"Highest Common Factor (HCF) of the numbers")</f>
        <v>Highest Common Factor (HCF) of the numbers</v>
      </c>
    </row>
    <row r="54" spans="1:2">
      <c r="A54" s="13" t="str">
        <f ca="1">IFERROR(__xludf.DUMMYFUNCTION("""COMPUTED_VALUE"""),"LU000212")</f>
        <v>LU000212</v>
      </c>
      <c r="B54" s="13" t="str">
        <f ca="1">IFERROR(__xludf.DUMMYFUNCTION("""COMPUTED_VALUE"""),"Least Common Multiple (LCM) of the numbers")</f>
        <v>Least Common Multiple (LCM) of the numbers</v>
      </c>
    </row>
    <row r="55" spans="1:2">
      <c r="A55" s="13" t="str">
        <f ca="1">IFERROR(__xludf.DUMMYFUNCTION("""COMPUTED_VALUE"""),"LU000218")</f>
        <v>LU000218</v>
      </c>
      <c r="B55" s="13" t="str">
        <f ca="1">IFERROR(__xludf.DUMMYFUNCTION("""COMPUTED_VALUE"""),"Definition of point")</f>
        <v>Definition of point</v>
      </c>
    </row>
    <row r="56" spans="1:2">
      <c r="A56" s="13" t="str">
        <f ca="1">IFERROR(__xludf.DUMMYFUNCTION("""COMPUTED_VALUE"""),"LU000219")</f>
        <v>LU000219</v>
      </c>
      <c r="B56" s="13" t="str">
        <f ca="1">IFERROR(__xludf.DUMMYFUNCTION("""COMPUTED_VALUE"""),"Definition of line segment")</f>
        <v>Definition of line segment</v>
      </c>
    </row>
    <row r="57" spans="1:2">
      <c r="A57" s="13" t="str">
        <f ca="1">IFERROR(__xludf.DUMMYFUNCTION("""COMPUTED_VALUE"""),"LU000220")</f>
        <v>LU000220</v>
      </c>
      <c r="B57" s="13" t="str">
        <f ca="1">IFERROR(__xludf.DUMMYFUNCTION("""COMPUTED_VALUE"""),"Definition of line")</f>
        <v>Definition of line</v>
      </c>
    </row>
    <row r="58" spans="1:2">
      <c r="A58" s="13" t="str">
        <f ca="1">IFERROR(__xludf.DUMMYFUNCTION("""COMPUTED_VALUE"""),"LU000223")</f>
        <v>LU000223</v>
      </c>
      <c r="B58" s="13" t="str">
        <f ca="1">IFERROR(__xludf.DUMMYFUNCTION("""COMPUTED_VALUE"""),"Definition of ray")</f>
        <v>Definition of ray</v>
      </c>
    </row>
    <row r="59" spans="1:2">
      <c r="A59" s="13" t="str">
        <f ca="1">IFERROR(__xludf.DUMMYFUNCTION("""COMPUTED_VALUE"""),"LU000221")</f>
        <v>LU000221</v>
      </c>
      <c r="B59" s="13" t="str">
        <f ca="1">IFERROR(__xludf.DUMMYFUNCTION("""COMPUTED_VALUE"""),"Definition and identification of intersecting lines")</f>
        <v>Definition and identification of intersecting lines</v>
      </c>
    </row>
    <row r="60" spans="1:2">
      <c r="A60" s="13" t="str">
        <f ca="1">IFERROR(__xludf.DUMMYFUNCTION("""COMPUTED_VALUE"""),"LU000222")</f>
        <v>LU000222</v>
      </c>
      <c r="B60" s="13" t="str">
        <f ca="1">IFERROR(__xludf.DUMMYFUNCTION("""COMPUTED_VALUE"""),"Definition and identification of parallel lines")</f>
        <v>Definition and identification of parallel lines</v>
      </c>
    </row>
    <row r="61" spans="1:2">
      <c r="A61" s="13" t="str">
        <f ca="1">IFERROR(__xludf.DUMMYFUNCTION("""COMPUTED_VALUE"""),"LU000224")</f>
        <v>LU000224</v>
      </c>
      <c r="B61" s="13" t="str">
        <f ca="1">IFERROR(__xludf.DUMMYFUNCTION("""COMPUTED_VALUE"""),"Definition of curve")</f>
        <v>Definition of curve</v>
      </c>
    </row>
    <row r="62" spans="1:2">
      <c r="A62" s="13" t="str">
        <f ca="1">IFERROR(__xludf.DUMMYFUNCTION("""COMPUTED_VALUE"""),"LU000225")</f>
        <v>LU000225</v>
      </c>
      <c r="B62" s="13" t="str">
        <f ca="1">IFERROR(__xludf.DUMMYFUNCTION("""COMPUTED_VALUE"""),"Classification of curves")</f>
        <v>Classification of curves</v>
      </c>
    </row>
    <row r="63" spans="1:2">
      <c r="A63" s="13" t="str">
        <f ca="1">IFERROR(__xludf.DUMMYFUNCTION("""COMPUTED_VALUE"""),"LU000226")</f>
        <v>LU000226</v>
      </c>
      <c r="B63" s="13" t="str">
        <f ca="1">IFERROR(__xludf.DUMMYFUNCTION("""COMPUTED_VALUE"""),"Region of a closed curve")</f>
        <v>Region of a closed curve</v>
      </c>
    </row>
    <row r="64" spans="1:2">
      <c r="A64" s="13" t="str">
        <f ca="1">IFERROR(__xludf.DUMMYFUNCTION("""COMPUTED_VALUE"""),"LU000227")</f>
        <v>LU000227</v>
      </c>
      <c r="B64" s="13" t="str">
        <f ca="1">IFERROR(__xludf.DUMMYFUNCTION("""COMPUTED_VALUE"""),"Definition and elements of a polygon")</f>
        <v>Definition and elements of a polygon</v>
      </c>
    </row>
    <row r="65" spans="1:2">
      <c r="A65" s="13" t="str">
        <f ca="1">IFERROR(__xludf.DUMMYFUNCTION("""COMPUTED_VALUE"""),"LU000229")</f>
        <v>LU000229</v>
      </c>
      <c r="B65" s="13" t="str">
        <f ca="1">IFERROR(__xludf.DUMMYFUNCTION("""COMPUTED_VALUE"""),"Lexical explanation of triangle")</f>
        <v>Lexical explanation of triangle</v>
      </c>
    </row>
    <row r="66" spans="1:2">
      <c r="A66" s="13" t="str">
        <f ca="1">IFERROR(__xludf.DUMMYFUNCTION("""COMPUTED_VALUE"""),"LU000228")</f>
        <v>LU000228</v>
      </c>
      <c r="B66" s="13" t="str">
        <f ca="1">IFERROR(__xludf.DUMMYFUNCTION("""COMPUTED_VALUE"""),"Parts of an angle")</f>
        <v>Parts of an angle</v>
      </c>
    </row>
    <row r="67" spans="1:2">
      <c r="A67" s="13" t="str">
        <f ca="1">IFERROR(__xludf.DUMMYFUNCTION("""COMPUTED_VALUE"""),"LU000231")</f>
        <v>LU000231</v>
      </c>
      <c r="B67" s="13" t="str">
        <f ca="1">IFERROR(__xludf.DUMMYFUNCTION("""COMPUTED_VALUE"""),"Definition of circle")</f>
        <v>Definition of circle</v>
      </c>
    </row>
    <row r="68" spans="1:2">
      <c r="A68" s="13" t="str">
        <f ca="1">IFERROR(__xludf.DUMMYFUNCTION("""COMPUTED_VALUE"""),"LU000232")</f>
        <v>LU000232</v>
      </c>
      <c r="B68" s="13" t="str">
        <f ca="1">IFERROR(__xludf.DUMMYFUNCTION("""COMPUTED_VALUE"""),"Elements of circle (Centre, radius, diameter)")</f>
        <v>Elements of circle (Centre, radius, diameter)</v>
      </c>
    </row>
    <row r="69" spans="1:2">
      <c r="A69" s="13" t="str">
        <f ca="1">IFERROR(__xludf.DUMMYFUNCTION("""COMPUTED_VALUE"""),"LU000966")</f>
        <v>LU000966</v>
      </c>
      <c r="B69" s="13" t="str">
        <f ca="1">IFERROR(__xludf.DUMMYFUNCTION("""COMPUTED_VALUE"""),"Sector of a circle")</f>
        <v>Sector of a circle</v>
      </c>
    </row>
    <row r="70" spans="1:2">
      <c r="A70" s="13" t="str">
        <f ca="1">IFERROR(__xludf.DUMMYFUNCTION("""COMPUTED_VALUE"""),"LU000967")</f>
        <v>LU000967</v>
      </c>
      <c r="B70" s="13" t="str">
        <f ca="1">IFERROR(__xludf.DUMMYFUNCTION("""COMPUTED_VALUE"""),"Segment of a circle")</f>
        <v>Segment of a circle</v>
      </c>
    </row>
    <row r="71" spans="1:2">
      <c r="A71" s="13" t="str">
        <f ca="1">IFERROR(__xludf.DUMMYFUNCTION("""COMPUTED_VALUE"""),"LU000970")</f>
        <v>LU000970</v>
      </c>
      <c r="B71" s="13" t="str">
        <f ca="1">IFERROR(__xludf.DUMMYFUNCTION("""COMPUTED_VALUE"""),"Measurement of length of line segments using ruler")</f>
        <v>Measurement of length of line segments using ruler</v>
      </c>
    </row>
    <row r="72" spans="1:2">
      <c r="A72" s="13" t="str">
        <f ca="1">IFERROR(__xludf.DUMMYFUNCTION("""COMPUTED_VALUE"""),"LU000971")</f>
        <v>LU000971</v>
      </c>
      <c r="B72" s="13" t="str">
        <f ca="1">IFERROR(__xludf.DUMMYFUNCTION("""COMPUTED_VALUE"""),"Measurement of length of line segments using ruler and divider")</f>
        <v>Measurement of length of line segments using ruler and divider</v>
      </c>
    </row>
    <row r="73" spans="1:2">
      <c r="A73" s="13" t="str">
        <f ca="1">IFERROR(__xludf.DUMMYFUNCTION("""COMPUTED_VALUE"""),"LU000972")</f>
        <v>LU000972</v>
      </c>
      <c r="B73" s="13" t="str">
        <f ca="1">IFERROR(__xludf.DUMMYFUNCTION("""COMPUTED_VALUE"""),"Comparison of line segments by observation method")</f>
        <v>Comparison of line segments by observation method</v>
      </c>
    </row>
    <row r="74" spans="1:2">
      <c r="A74" s="13" t="str">
        <f ca="1">IFERROR(__xludf.DUMMYFUNCTION("""COMPUTED_VALUE"""),"LU000973")</f>
        <v>LU000973</v>
      </c>
      <c r="B74" s="13" t="str">
        <f ca="1">IFERROR(__xludf.DUMMYFUNCTION("""COMPUTED_VALUE"""),"Comparison of line segments by tracing method")</f>
        <v>Comparison of line segments by tracing method</v>
      </c>
    </row>
    <row r="75" spans="1:2">
      <c r="A75" s="13" t="str">
        <f ca="1">IFERROR(__xludf.DUMMYFUNCTION("""COMPUTED_VALUE"""),"LU000974")</f>
        <v>LU000974</v>
      </c>
      <c r="B75" s="13" t="str">
        <f ca="1">IFERROR(__xludf.DUMMYFUNCTION("""COMPUTED_VALUE"""),"Comparison of line segments using ruler and divider")</f>
        <v>Comparison of line segments using ruler and divider</v>
      </c>
    </row>
    <row r="76" spans="1:2">
      <c r="A76" s="13" t="str">
        <f ca="1">IFERROR(__xludf.DUMMYFUNCTION("""COMPUTED_VALUE"""),"LU000259")</f>
        <v>LU000259</v>
      </c>
      <c r="B76" s="13" t="str">
        <f ca="1">IFERROR(__xludf.DUMMYFUNCTION("""COMPUTED_VALUE"""),"Definition of a straight angle")</f>
        <v>Definition of a straight angle</v>
      </c>
    </row>
    <row r="77" spans="1:2">
      <c r="A77" s="13" t="str">
        <f ca="1">IFERROR(__xludf.DUMMYFUNCTION("""COMPUTED_VALUE"""),"LU000260")</f>
        <v>LU000260</v>
      </c>
      <c r="B77" s="13" t="str">
        <f ca="1">IFERROR(__xludf.DUMMYFUNCTION("""COMPUTED_VALUE"""),"Definition of a complete angle")</f>
        <v>Definition of a complete angle</v>
      </c>
    </row>
    <row r="78" spans="1:2">
      <c r="A78" s="13" t="str">
        <f ca="1">IFERROR(__xludf.DUMMYFUNCTION("""COMPUTED_VALUE"""),"LU000240")</f>
        <v>LU000240</v>
      </c>
      <c r="B78" s="13" t="str">
        <f ca="1">IFERROR(__xludf.DUMMYFUNCTION("""COMPUTED_VALUE"""),"Relationship between revolution and right angles")</f>
        <v>Relationship between revolution and right angles</v>
      </c>
    </row>
    <row r="79" spans="1:2">
      <c r="A79" s="13" t="str">
        <f ca="1">IFERROR(__xludf.DUMMYFUNCTION("""COMPUTED_VALUE"""),"LU000241")</f>
        <v>LU000241</v>
      </c>
      <c r="B79" s="13" t="str">
        <f ca="1">IFERROR(__xludf.DUMMYFUNCTION("""COMPUTED_VALUE"""),"Relationship between right angles, straight angles, and complete angles")</f>
        <v>Relationship between right angles, straight angles, and complete angles</v>
      </c>
    </row>
    <row r="80" spans="1:2">
      <c r="A80" s="13" t="str">
        <f ca="1">IFERROR(__xludf.DUMMYFUNCTION("""COMPUTED_VALUE"""),"LU000242")</f>
        <v>LU000242</v>
      </c>
      <c r="B80" s="13" t="str">
        <f ca="1">IFERROR(__xludf.DUMMYFUNCTION("""COMPUTED_VALUE"""),"Definition of an acute angle")</f>
        <v>Definition of an acute angle</v>
      </c>
    </row>
    <row r="81" spans="1:2">
      <c r="A81" s="13" t="str">
        <f ca="1">IFERROR(__xludf.DUMMYFUNCTION("""COMPUTED_VALUE"""),"LU000257")</f>
        <v>LU000257</v>
      </c>
      <c r="B81" s="13" t="str">
        <f ca="1">IFERROR(__xludf.DUMMYFUNCTION("""COMPUTED_VALUE"""),"Definition of an obtuse angle")</f>
        <v>Definition of an obtuse angle</v>
      </c>
    </row>
    <row r="82" spans="1:2">
      <c r="A82" s="13" t="str">
        <f ca="1">IFERROR(__xludf.DUMMYFUNCTION("""COMPUTED_VALUE"""),"LU000258")</f>
        <v>LU000258</v>
      </c>
      <c r="B82" s="13" t="str">
        <f ca="1">IFERROR(__xludf.DUMMYFUNCTION("""COMPUTED_VALUE"""),"Definition of a reflex angle")</f>
        <v>Definition of a reflex angle</v>
      </c>
    </row>
    <row r="83" spans="1:2">
      <c r="A83" s="13" t="str">
        <f ca="1">IFERROR(__xludf.DUMMYFUNCTION("""COMPUTED_VALUE"""),"LU000243")</f>
        <v>LU000243</v>
      </c>
      <c r="B83" s="13" t="str">
        <f ca="1">IFERROR(__xludf.DUMMYFUNCTION("""COMPUTED_VALUE"""),"Measurement of angles using protractor")</f>
        <v>Measurement of angles using protractor</v>
      </c>
    </row>
    <row r="84" spans="1:2">
      <c r="A84" s="13" t="str">
        <f ca="1">IFERROR(__xludf.DUMMYFUNCTION("""COMPUTED_VALUE"""),"LU000244")</f>
        <v>LU000244</v>
      </c>
      <c r="B84" s="13" t="str">
        <f ca="1">IFERROR(__xludf.DUMMYFUNCTION("""COMPUTED_VALUE"""),"Definition of perpendicular lines")</f>
        <v>Definition of perpendicular lines</v>
      </c>
    </row>
    <row r="85" spans="1:2">
      <c r="A85" s="13" t="str">
        <f ca="1">IFERROR(__xludf.DUMMYFUNCTION("""COMPUTED_VALUE"""),"LU000250")</f>
        <v>LU000250</v>
      </c>
      <c r="B85" s="13" t="str">
        <f ca="1">IFERROR(__xludf.DUMMYFUNCTION("""COMPUTED_VALUE"""),"Definition of a perpendicular bisector")</f>
        <v>Definition of a perpendicular bisector</v>
      </c>
    </row>
    <row r="86" spans="1:2">
      <c r="A86" s="13" t="str">
        <f ca="1">IFERROR(__xludf.DUMMYFUNCTION("""COMPUTED_VALUE"""),"LU000246")</f>
        <v>LU000246</v>
      </c>
      <c r="B86" s="13" t="str">
        <f ca="1">IFERROR(__xludf.DUMMYFUNCTION("""COMPUTED_VALUE"""),"Definition of an equilateral triangle")</f>
        <v>Definition of an equilateral triangle</v>
      </c>
    </row>
    <row r="87" spans="1:2">
      <c r="A87" s="13" t="str">
        <f ca="1">IFERROR(__xludf.DUMMYFUNCTION("""COMPUTED_VALUE"""),"LU000263")</f>
        <v>LU000263</v>
      </c>
      <c r="B87" s="13" t="str">
        <f ca="1">IFERROR(__xludf.DUMMYFUNCTION("""COMPUTED_VALUE"""),"Definition of an isosceles triangle")</f>
        <v>Definition of an isosceles triangle</v>
      </c>
    </row>
    <row r="88" spans="1:2">
      <c r="A88" s="13" t="str">
        <f ca="1">IFERROR(__xludf.DUMMYFUNCTION("""COMPUTED_VALUE"""),"LU000264")</f>
        <v>LU000264</v>
      </c>
      <c r="B88" s="13" t="str">
        <f ca="1">IFERROR(__xludf.DUMMYFUNCTION("""COMPUTED_VALUE"""),"Definition of a scalene triangle")</f>
        <v>Definition of a scalene triangle</v>
      </c>
    </row>
    <row r="89" spans="1:2">
      <c r="A89" s="13" t="str">
        <f ca="1">IFERROR(__xludf.DUMMYFUNCTION("""COMPUTED_VALUE"""),"LU000247")</f>
        <v>LU000247</v>
      </c>
      <c r="B89" s="13" t="str">
        <f ca="1">IFERROR(__xludf.DUMMYFUNCTION("""COMPUTED_VALUE"""),"Definition of an acute angled triangle")</f>
        <v>Definition of an acute angled triangle</v>
      </c>
    </row>
    <row r="90" spans="1:2">
      <c r="A90" s="13" t="str">
        <f ca="1">IFERROR(__xludf.DUMMYFUNCTION("""COMPUTED_VALUE"""),"LU000261")</f>
        <v>LU000261</v>
      </c>
      <c r="B90" s="13" t="str">
        <f ca="1">IFERROR(__xludf.DUMMYFUNCTION("""COMPUTED_VALUE"""),"Definition of an obtuse angled triangle")</f>
        <v>Definition of an obtuse angled triangle</v>
      </c>
    </row>
    <row r="91" spans="1:2">
      <c r="A91" s="13" t="str">
        <f ca="1">IFERROR(__xludf.DUMMYFUNCTION("""COMPUTED_VALUE"""),"LU000262")</f>
        <v>LU000262</v>
      </c>
      <c r="B91" s="13" t="str">
        <f ca="1">IFERROR(__xludf.DUMMYFUNCTION("""COMPUTED_VALUE"""),"Definition of a right triangle")</f>
        <v>Definition of a right triangle</v>
      </c>
    </row>
    <row r="92" spans="1:2">
      <c r="A92" s="13" t="str">
        <f ca="1">IFERROR(__xludf.DUMMYFUNCTION("""COMPUTED_VALUE"""),"LU000923")</f>
        <v>LU000923</v>
      </c>
      <c r="B92" s="13" t="str">
        <f ca="1">IFERROR(__xludf.DUMMYFUNCTION("""COMPUTED_VALUE"""),"Classification of isosceles triangle based on the measure of angles")</f>
        <v>Classification of isosceles triangle based on the measure of angles</v>
      </c>
    </row>
    <row r="93" spans="1:2">
      <c r="A93" s="13" t="str">
        <f ca="1">IFERROR(__xludf.DUMMYFUNCTION("""COMPUTED_VALUE"""),"LU000924")</f>
        <v>LU000924</v>
      </c>
      <c r="B93" s="13" t="str">
        <f ca="1">IFERROR(__xludf.DUMMYFUNCTION("""COMPUTED_VALUE"""),"Classification of scalene triangle based on the measure of angles")</f>
        <v>Classification of scalene triangle based on the measure of angles</v>
      </c>
    </row>
    <row r="94" spans="1:2">
      <c r="A94" s="13" t="str">
        <f ca="1">IFERROR(__xludf.DUMMYFUNCTION("""COMPUTED_VALUE"""),"LU000230")</f>
        <v>LU000230</v>
      </c>
      <c r="B94" s="13" t="str">
        <f ca="1">IFERROR(__xludf.DUMMYFUNCTION("""COMPUTED_VALUE"""),"Lexical explanation of quadrilateral")</f>
        <v>Lexical explanation of quadrilateral</v>
      </c>
    </row>
    <row r="95" spans="1:2">
      <c r="A95" s="13" t="str">
        <f ca="1">IFERROR(__xludf.DUMMYFUNCTION("""COMPUTED_VALUE"""),"LU000593")</f>
        <v>LU000593</v>
      </c>
      <c r="B95" s="13" t="str">
        <f ca="1">IFERROR(__xludf.DUMMYFUNCTION("""COMPUTED_VALUE"""),"Definition of trapezium")</f>
        <v>Definition of trapezium</v>
      </c>
    </row>
    <row r="96" spans="1:2">
      <c r="A96" s="13" t="str">
        <f ca="1">IFERROR(__xludf.DUMMYFUNCTION("""COMPUTED_VALUE"""),"LU000595")</f>
        <v>LU000595</v>
      </c>
      <c r="B96" s="13" t="str">
        <f ca="1">IFERROR(__xludf.DUMMYFUNCTION("""COMPUTED_VALUE"""),"Definition of parallelogram")</f>
        <v>Definition of parallelogram</v>
      </c>
    </row>
    <row r="97" spans="1:2">
      <c r="A97" s="13" t="str">
        <f ca="1">IFERROR(__xludf.DUMMYFUNCTION("""COMPUTED_VALUE"""),"LU000596")</f>
        <v>LU000596</v>
      </c>
      <c r="B97" s="13" t="str">
        <f ca="1">IFERROR(__xludf.DUMMYFUNCTION("""COMPUTED_VALUE"""),"Definition of rhombus")</f>
        <v>Definition of rhombus</v>
      </c>
    </row>
    <row r="98" spans="1:2">
      <c r="A98" s="13" t="str">
        <f ca="1">IFERROR(__xludf.DUMMYFUNCTION("""COMPUTED_VALUE"""),"LU000597")</f>
        <v>LU000597</v>
      </c>
      <c r="B98" s="13" t="str">
        <f ca="1">IFERROR(__xludf.DUMMYFUNCTION("""COMPUTED_VALUE"""),"Definition of rectangle")</f>
        <v>Definition of rectangle</v>
      </c>
    </row>
    <row r="99" spans="1:2">
      <c r="A99" s="13" t="str">
        <f ca="1">IFERROR(__xludf.DUMMYFUNCTION("""COMPUTED_VALUE"""),"LU000598")</f>
        <v>LU000598</v>
      </c>
      <c r="B99" s="13" t="str">
        <f ca="1">IFERROR(__xludf.DUMMYFUNCTION("""COMPUTED_VALUE"""),"Definition of square")</f>
        <v>Definition of square</v>
      </c>
    </row>
    <row r="100" spans="1:2">
      <c r="A100" s="13" t="str">
        <f ca="1">IFERROR(__xludf.DUMMYFUNCTION("""COMPUTED_VALUE"""),"LU000905")</f>
        <v>LU000905</v>
      </c>
      <c r="B100" s="13" t="str">
        <f ca="1">IFERROR(__xludf.DUMMYFUNCTION("""COMPUTED_VALUE"""),"Definition of regular and irregular polygon")</f>
        <v>Definition of regular and irregular polygon</v>
      </c>
    </row>
    <row r="101" spans="1:2">
      <c r="A101" s="13" t="str">
        <f ca="1">IFERROR(__xludf.DUMMYFUNCTION("""COMPUTED_VALUE"""),"LU000245")</f>
        <v>LU000245</v>
      </c>
      <c r="B101" s="13" t="str">
        <f ca="1">IFERROR(__xludf.DUMMYFUNCTION("""COMPUTED_VALUE"""),"Classification of polygons based on the number of the sides")</f>
        <v>Classification of polygons based on the number of the sides</v>
      </c>
    </row>
    <row r="102" spans="1:2">
      <c r="A102" s="13" t="str">
        <f ca="1">IFERROR(__xludf.DUMMYFUNCTION("""COMPUTED_VALUE"""),"LU000907")</f>
        <v>LU000907</v>
      </c>
      <c r="B102" s="13" t="str">
        <f ca="1">IFERROR(__xludf.DUMMYFUNCTION("""COMPUTED_VALUE"""),"Definition of negative numbers")</f>
        <v>Definition of negative numbers</v>
      </c>
    </row>
    <row r="103" spans="1:2">
      <c r="A103" s="13" t="str">
        <f ca="1">IFERROR(__xludf.DUMMYFUNCTION("""COMPUTED_VALUE"""),"LU000265")</f>
        <v>LU000265</v>
      </c>
      <c r="B103" s="13" t="str">
        <f ca="1">IFERROR(__xludf.DUMMYFUNCTION("""COMPUTED_VALUE"""),"Definition of integers")</f>
        <v>Definition of integers</v>
      </c>
    </row>
    <row r="104" spans="1:2">
      <c r="A104" s="13" t="str">
        <f ca="1">IFERROR(__xludf.DUMMYFUNCTION("""COMPUTED_VALUE"""),"LU000266")</f>
        <v>LU000266</v>
      </c>
      <c r="B104" s="13" t="str">
        <f ca="1">IFERROR(__xludf.DUMMYFUNCTION("""COMPUTED_VALUE"""),"Definition of positive integers")</f>
        <v>Definition of positive integers</v>
      </c>
    </row>
    <row r="105" spans="1:2">
      <c r="A105" s="13" t="str">
        <f ca="1">IFERROR(__xludf.DUMMYFUNCTION("""COMPUTED_VALUE"""),"LU000267")</f>
        <v>LU000267</v>
      </c>
      <c r="B105" s="13" t="str">
        <f ca="1">IFERROR(__xludf.DUMMYFUNCTION("""COMPUTED_VALUE"""),"Definition of negative integers")</f>
        <v>Definition of negative integers</v>
      </c>
    </row>
    <row r="106" spans="1:2">
      <c r="A106" s="13" t="str">
        <f ca="1">IFERROR(__xludf.DUMMYFUNCTION("""COMPUTED_VALUE"""),"LU000268")</f>
        <v>LU000268</v>
      </c>
      <c r="B106" s="13" t="str">
        <f ca="1">IFERROR(__xludf.DUMMYFUNCTION("""COMPUTED_VALUE"""),"Successor of integers")</f>
        <v>Successor of integers</v>
      </c>
    </row>
    <row r="107" spans="1:2">
      <c r="A107" s="13" t="str">
        <f ca="1">IFERROR(__xludf.DUMMYFUNCTION("""COMPUTED_VALUE"""),"LU000269")</f>
        <v>LU000269</v>
      </c>
      <c r="B107" s="13" t="str">
        <f ca="1">IFERROR(__xludf.DUMMYFUNCTION("""COMPUTED_VALUE"""),"Predecessor of integers")</f>
        <v>Predecessor of integers</v>
      </c>
    </row>
    <row r="108" spans="1:2">
      <c r="A108" s="13" t="str">
        <f ca="1">IFERROR(__xludf.DUMMYFUNCTION("""COMPUTED_VALUE"""),"LU000270")</f>
        <v>LU000270</v>
      </c>
      <c r="B108" s="13" t="str">
        <f ca="1">IFERROR(__xludf.DUMMYFUNCTION("""COMPUTED_VALUE"""),"Representation of integers on number line")</f>
        <v>Representation of integers on number line</v>
      </c>
    </row>
    <row r="109" spans="1:2">
      <c r="A109" s="13" t="str">
        <f ca="1">IFERROR(__xludf.DUMMYFUNCTION("""COMPUTED_VALUE"""),"LU000908")</f>
        <v>LU000908</v>
      </c>
      <c r="B109" s="13" t="str">
        <f ca="1">IFERROR(__xludf.DUMMYFUNCTION("""COMPUTED_VALUE"""),"Comparison of integers")</f>
        <v>Comparison of integers</v>
      </c>
    </row>
    <row r="110" spans="1:2">
      <c r="A110" s="13" t="str">
        <f ca="1">IFERROR(__xludf.DUMMYFUNCTION("""COMPUTED_VALUE"""),"LU000273")</f>
        <v>LU000273</v>
      </c>
      <c r="B110" s="13" t="str">
        <f ca="1">IFERROR(__xludf.DUMMYFUNCTION("""COMPUTED_VALUE"""),"Order of integers")</f>
        <v>Order of integers</v>
      </c>
    </row>
    <row r="111" spans="1:2">
      <c r="A111" s="13" t="str">
        <f ca="1">IFERROR(__xludf.DUMMYFUNCTION("""COMPUTED_VALUE"""),"LU000271")</f>
        <v>LU000271</v>
      </c>
      <c r="B111" s="13" t="str">
        <f ca="1">IFERROR(__xludf.DUMMYFUNCTION("""COMPUTED_VALUE"""),"Addition of integers using rules of signs")</f>
        <v>Addition of integers using rules of signs</v>
      </c>
    </row>
    <row r="112" spans="1:2">
      <c r="A112" s="13" t="str">
        <f ca="1">IFERROR(__xludf.DUMMYFUNCTION("""COMPUTED_VALUE"""),"LU000276")</f>
        <v>LU000276</v>
      </c>
      <c r="B112" s="13" t="str">
        <f ca="1">IFERROR(__xludf.DUMMYFUNCTION("""COMPUTED_VALUE"""),"Addition of integers using number line")</f>
        <v>Addition of integers using number line</v>
      </c>
    </row>
    <row r="113" spans="1:2">
      <c r="A113" s="13" t="str">
        <f ca="1">IFERROR(__xludf.DUMMYFUNCTION("""COMPUTED_VALUE"""),"LU000274")</f>
        <v>LU000274</v>
      </c>
      <c r="B113" s="13" t="str">
        <f ca="1">IFERROR(__xludf.DUMMYFUNCTION("""COMPUTED_VALUE"""),"Additive inverse of integers")</f>
        <v>Additive inverse of integers</v>
      </c>
    </row>
    <row r="114" spans="1:2">
      <c r="A114" s="13" t="str">
        <f ca="1">IFERROR(__xludf.DUMMYFUNCTION("""COMPUTED_VALUE"""),"LU000272")</f>
        <v>LU000272</v>
      </c>
      <c r="B114" s="13" t="str">
        <f ca="1">IFERROR(__xludf.DUMMYFUNCTION("""COMPUTED_VALUE"""),"Subtraction of integers using rules of signs")</f>
        <v>Subtraction of integers using rules of signs</v>
      </c>
    </row>
    <row r="115" spans="1:2">
      <c r="A115" s="13" t="str">
        <f ca="1">IFERROR(__xludf.DUMMYFUNCTION("""COMPUTED_VALUE"""),"LU000277")</f>
        <v>LU000277</v>
      </c>
      <c r="B115" s="13" t="str">
        <f ca="1">IFERROR(__xludf.DUMMYFUNCTION("""COMPUTED_VALUE"""),"Subtraction of integers using number line")</f>
        <v>Subtraction of integers using number line</v>
      </c>
    </row>
    <row r="116" spans="1:2">
      <c r="A116" s="13" t="str">
        <f ca="1">IFERROR(__xludf.DUMMYFUNCTION("""COMPUTED_VALUE"""),"LU000914")</f>
        <v>LU000914</v>
      </c>
      <c r="B116" s="13" t="str">
        <f ca="1">IFERROR(__xludf.DUMMYFUNCTION("""COMPUTED_VALUE"""),"Mixed operation of addition and subtraction of three or more integers")</f>
        <v>Mixed operation of addition and subtraction of three or more integers</v>
      </c>
    </row>
    <row r="117" spans="1:2">
      <c r="A117" s="13" t="str">
        <f ca="1">IFERROR(__xludf.DUMMYFUNCTION("""COMPUTED_VALUE"""),"LU000278")</f>
        <v>LU000278</v>
      </c>
      <c r="B117" s="13" t="str">
        <f ca="1">IFERROR(__xludf.DUMMYFUNCTION("""COMPUTED_VALUE"""),"Definition of fraction")</f>
        <v>Definition of fraction</v>
      </c>
    </row>
    <row r="118" spans="1:2">
      <c r="A118" s="13" t="str">
        <f ca="1">IFERROR(__xludf.DUMMYFUNCTION("""COMPUTED_VALUE"""),"LU000279")</f>
        <v>LU000279</v>
      </c>
      <c r="B118" s="13" t="str">
        <f ca="1">IFERROR(__xludf.DUMMYFUNCTION("""COMPUTED_VALUE"""),"Represent fractions using numbers, figures or words")</f>
        <v>Represent fractions using numbers, figures or words</v>
      </c>
    </row>
    <row r="119" spans="1:2">
      <c r="A119" s="13" t="str">
        <f ca="1">IFERROR(__xludf.DUMMYFUNCTION("""COMPUTED_VALUE"""),"LU000280")</f>
        <v>LU000280</v>
      </c>
      <c r="B119" s="13" t="str">
        <f ca="1">IFERROR(__xludf.DUMMYFUNCTION("""COMPUTED_VALUE"""),"Representation of fractions on a number line")</f>
        <v>Representation of fractions on a number line</v>
      </c>
    </row>
    <row r="120" spans="1:2">
      <c r="A120" s="13" t="str">
        <f ca="1">IFERROR(__xludf.DUMMYFUNCTION("""COMPUTED_VALUE"""),"LU000281")</f>
        <v>LU000281</v>
      </c>
      <c r="B120" s="13" t="str">
        <f ca="1">IFERROR(__xludf.DUMMYFUNCTION("""COMPUTED_VALUE"""),"Definition of proper fractions")</f>
        <v>Definition of proper fractions</v>
      </c>
    </row>
    <row r="121" spans="1:2">
      <c r="A121" s="13" t="str">
        <f ca="1">IFERROR(__xludf.DUMMYFUNCTION("""COMPUTED_VALUE"""),"LU000282")</f>
        <v>LU000282</v>
      </c>
      <c r="B121" s="13" t="str">
        <f ca="1">IFERROR(__xludf.DUMMYFUNCTION("""COMPUTED_VALUE"""),"Definition of improper fractions")</f>
        <v>Definition of improper fractions</v>
      </c>
    </row>
    <row r="122" spans="1:2">
      <c r="A122" s="13" t="str">
        <f ca="1">IFERROR(__xludf.DUMMYFUNCTION("""COMPUTED_VALUE"""),"LU000283")</f>
        <v>LU000283</v>
      </c>
      <c r="B122" s="13" t="str">
        <f ca="1">IFERROR(__xludf.DUMMYFUNCTION("""COMPUTED_VALUE"""),"Definition of mixed fractions")</f>
        <v>Definition of mixed fractions</v>
      </c>
    </row>
    <row r="123" spans="1:2">
      <c r="A123" s="13" t="str">
        <f ca="1">IFERROR(__xludf.DUMMYFUNCTION("""COMPUTED_VALUE"""),"LU000975")</f>
        <v>LU000975</v>
      </c>
      <c r="B123" s="13" t="str">
        <f ca="1">IFERROR(__xludf.DUMMYFUNCTION("""COMPUTED_VALUE"""),"Conversion of improper fraction to mixed fraction ")</f>
        <v xml:space="preserve">Conversion of improper fraction to mixed fraction </v>
      </c>
    </row>
    <row r="124" spans="1:2">
      <c r="A124" s="13" t="str">
        <f ca="1">IFERROR(__xludf.DUMMYFUNCTION("""COMPUTED_VALUE"""),"LU000976")</f>
        <v>LU000976</v>
      </c>
      <c r="B124" s="13" t="str">
        <f ca="1">IFERROR(__xludf.DUMMYFUNCTION("""COMPUTED_VALUE"""),"Conversion of mixed fraction to improper fraction ")</f>
        <v xml:space="preserve">Conversion of mixed fraction to improper fraction </v>
      </c>
    </row>
    <row r="125" spans="1:2">
      <c r="A125" s="13" t="str">
        <f ca="1">IFERROR(__xludf.DUMMYFUNCTION("""COMPUTED_VALUE"""),"LU000285")</f>
        <v>LU000285</v>
      </c>
      <c r="B125" s="13" t="str">
        <f ca="1">IFERROR(__xludf.DUMMYFUNCTION("""COMPUTED_VALUE"""),"Definition of equivalent fractions")</f>
        <v>Definition of equivalent fractions</v>
      </c>
    </row>
    <row r="126" spans="1:2">
      <c r="A126" s="13" t="str">
        <f ca="1">IFERROR(__xludf.DUMMYFUNCTION("""COMPUTED_VALUE"""),"LU000291")</f>
        <v>LU000291</v>
      </c>
      <c r="B126" s="13" t="str">
        <f ca="1">IFERROR(__xludf.DUMMYFUNCTION("""COMPUTED_VALUE"""),"Simplest (or Lowest) form of a fraction")</f>
        <v>Simplest (or Lowest) form of a fraction</v>
      </c>
    </row>
    <row r="127" spans="1:2">
      <c r="A127" s="13" t="str">
        <f ca="1">IFERROR(__xludf.DUMMYFUNCTION("""COMPUTED_VALUE"""),"LU000286")</f>
        <v>LU000286</v>
      </c>
      <c r="B127" s="13" t="str">
        <f ca="1">IFERROR(__xludf.DUMMYFUNCTION("""COMPUTED_VALUE"""),"Definition of like and unlike fractions")</f>
        <v>Definition of like and unlike fractions</v>
      </c>
    </row>
    <row r="128" spans="1:2">
      <c r="A128" s="13" t="str">
        <f ca="1">IFERROR(__xludf.DUMMYFUNCTION("""COMPUTED_VALUE"""),"LU000287")</f>
        <v>LU000287</v>
      </c>
      <c r="B128" s="13" t="str">
        <f ca="1">IFERROR(__xludf.DUMMYFUNCTION("""COMPUTED_VALUE"""),"Comparison of fractions")</f>
        <v>Comparison of fractions</v>
      </c>
    </row>
    <row r="129" spans="1:2">
      <c r="A129" s="13" t="str">
        <f ca="1">IFERROR(__xludf.DUMMYFUNCTION("""COMPUTED_VALUE"""),"LU000977")</f>
        <v>LU000977</v>
      </c>
      <c r="B129" s="13" t="str">
        <f ca="1">IFERROR(__xludf.DUMMYFUNCTION("""COMPUTED_VALUE"""),"Addition of fractions with the same denominators")</f>
        <v>Addition of fractions with the same denominators</v>
      </c>
    </row>
    <row r="130" spans="1:2">
      <c r="A130" s="13" t="str">
        <f ca="1">IFERROR(__xludf.DUMMYFUNCTION("""COMPUTED_VALUE"""),"LU000978")</f>
        <v>LU000978</v>
      </c>
      <c r="B130" s="13" t="str">
        <f ca="1">IFERROR(__xludf.DUMMYFUNCTION("""COMPUTED_VALUE"""),"Subtraction of fractions with the same denominators")</f>
        <v>Subtraction of fractions with the same denominators</v>
      </c>
    </row>
    <row r="131" spans="1:2">
      <c r="A131" s="13" t="str">
        <f ca="1">IFERROR(__xludf.DUMMYFUNCTION("""COMPUTED_VALUE"""),"LU000979")</f>
        <v>LU000979</v>
      </c>
      <c r="B131" s="13" t="str">
        <f ca="1">IFERROR(__xludf.DUMMYFUNCTION("""COMPUTED_VALUE"""),"Addition of fractions with the different denominators")</f>
        <v>Addition of fractions with the different denominators</v>
      </c>
    </row>
    <row r="132" spans="1:2">
      <c r="A132" s="13" t="str">
        <f ca="1">IFERROR(__xludf.DUMMYFUNCTION("""COMPUTED_VALUE"""),"LU000980")</f>
        <v>LU000980</v>
      </c>
      <c r="B132" s="13" t="str">
        <f ca="1">IFERROR(__xludf.DUMMYFUNCTION("""COMPUTED_VALUE"""),"Subtraction of fractions with the different denominators")</f>
        <v>Subtraction of fractions with the different denominators</v>
      </c>
    </row>
    <row r="133" spans="1:2">
      <c r="A133" s="13" t="str">
        <f ca="1">IFERROR(__xludf.DUMMYFUNCTION("""COMPUTED_VALUE"""),"LU000981")</f>
        <v>LU000981</v>
      </c>
      <c r="B133" s="13" t="str">
        <f ca="1">IFERROR(__xludf.DUMMYFUNCTION("""COMPUTED_VALUE"""),"Addition of mixed fractions")</f>
        <v>Addition of mixed fractions</v>
      </c>
    </row>
    <row r="134" spans="1:2">
      <c r="A134" s="13" t="str">
        <f ca="1">IFERROR(__xludf.DUMMYFUNCTION("""COMPUTED_VALUE"""),"LU000982")</f>
        <v>LU000982</v>
      </c>
      <c r="B134" s="13" t="str">
        <f ca="1">IFERROR(__xludf.DUMMYFUNCTION("""COMPUTED_VALUE"""),"Subtraction of mixed fractions")</f>
        <v>Subtraction of mixed fractions</v>
      </c>
    </row>
    <row r="135" spans="1:2">
      <c r="A135" s="13" t="str">
        <f ca="1">IFERROR(__xludf.DUMMYFUNCTION("""COMPUTED_VALUE"""),"LU000292")</f>
        <v>LU000292</v>
      </c>
      <c r="B135" s="13" t="str">
        <f ca="1">IFERROR(__xludf.DUMMYFUNCTION("""COMPUTED_VALUE"""),"Definition of decimal number")</f>
        <v>Definition of decimal number</v>
      </c>
    </row>
    <row r="136" spans="1:2">
      <c r="A136" s="13" t="str">
        <f ca="1">IFERROR(__xludf.DUMMYFUNCTION("""COMPUTED_VALUE"""),"LU000293")</f>
        <v>LU000293</v>
      </c>
      <c r="B136" s="13" t="str">
        <f ca="1">IFERROR(__xludf.DUMMYFUNCTION("""COMPUTED_VALUE"""),"Place value system in decimal numbers")</f>
        <v>Place value system in decimal numbers</v>
      </c>
    </row>
    <row r="137" spans="1:2">
      <c r="A137" s="13" t="str">
        <f ca="1">IFERROR(__xludf.DUMMYFUNCTION("""COMPUTED_VALUE"""),"LU000294")</f>
        <v>LU000294</v>
      </c>
      <c r="B137" s="13" t="str">
        <f ca="1">IFERROR(__xludf.DUMMYFUNCTION("""COMPUTED_VALUE"""),"Expansion of decimal number upto thousandths")</f>
        <v>Expansion of decimal number upto thousandths</v>
      </c>
    </row>
    <row r="138" spans="1:2">
      <c r="A138" s="13" t="str">
        <f ca="1">IFERROR(__xludf.DUMMYFUNCTION("""COMPUTED_VALUE"""),"LU000295")</f>
        <v>LU000295</v>
      </c>
      <c r="B138" s="13" t="str">
        <f ca="1">IFERROR(__xludf.DUMMYFUNCTION("""COMPUTED_VALUE"""),"Representation of decimal numbers on number line")</f>
        <v>Representation of decimal numbers on number line</v>
      </c>
    </row>
    <row r="139" spans="1:2">
      <c r="A139" s="13" t="str">
        <f ca="1">IFERROR(__xludf.DUMMYFUNCTION("""COMPUTED_VALUE"""),"LU000297")</f>
        <v>LU000297</v>
      </c>
      <c r="B139" s="13" t="str">
        <f ca="1">IFERROR(__xludf.DUMMYFUNCTION("""COMPUTED_VALUE"""),"Comparison of decimal numbers")</f>
        <v>Comparison of decimal numbers</v>
      </c>
    </row>
    <row r="140" spans="1:2">
      <c r="A140" s="13" t="str">
        <f ca="1">IFERROR(__xludf.DUMMYFUNCTION("""COMPUTED_VALUE"""),"LU000298")</f>
        <v>LU000298</v>
      </c>
      <c r="B140" s="13" t="str">
        <f ca="1">IFERROR(__xludf.DUMMYFUNCTION("""COMPUTED_VALUE"""),"Conversion between mixed units of length into a single decimal representation and vice versa")</f>
        <v>Conversion between mixed units of length into a single decimal representation and vice versa</v>
      </c>
    </row>
    <row r="141" spans="1:2">
      <c r="A141" s="13" t="str">
        <f ca="1">IFERROR(__xludf.DUMMYFUNCTION("""COMPUTED_VALUE"""),"LU000299")</f>
        <v>LU000299</v>
      </c>
      <c r="B141" s="13" t="str">
        <f ca="1">IFERROR(__xludf.DUMMYFUNCTION("""COMPUTED_VALUE"""),"Conversion between mixed units of mass into a single decimal representation and vice versa")</f>
        <v>Conversion between mixed units of mass into a single decimal representation and vice versa</v>
      </c>
    </row>
    <row r="142" spans="1:2">
      <c r="A142" s="13" t="str">
        <f ca="1">IFERROR(__xludf.DUMMYFUNCTION("""COMPUTED_VALUE"""),"LU000300")</f>
        <v>LU000300</v>
      </c>
      <c r="B142" s="13" t="str">
        <f ca="1">IFERROR(__xludf.DUMMYFUNCTION("""COMPUTED_VALUE"""),"Conversion between mixed units of currency into a single decimal representation and vice versa")</f>
        <v>Conversion between mixed units of currency into a single decimal representation and vice versa</v>
      </c>
    </row>
    <row r="143" spans="1:2">
      <c r="A143" s="13" t="str">
        <f ca="1">IFERROR(__xludf.DUMMYFUNCTION("""COMPUTED_VALUE"""),"LU000302")</f>
        <v>LU000302</v>
      </c>
      <c r="B143" s="13" t="str">
        <f ca="1">IFERROR(__xludf.DUMMYFUNCTION("""COMPUTED_VALUE"""),"Addition of decimal numbers")</f>
        <v>Addition of decimal numbers</v>
      </c>
    </row>
    <row r="144" spans="1:2">
      <c r="A144" s="13" t="str">
        <f ca="1">IFERROR(__xludf.DUMMYFUNCTION("""COMPUTED_VALUE"""),"LU000303")</f>
        <v>LU000303</v>
      </c>
      <c r="B144" s="13" t="str">
        <f ca="1">IFERROR(__xludf.DUMMYFUNCTION("""COMPUTED_VALUE"""),"Subtraction of decimal numbers")</f>
        <v>Subtraction of decimal numbers</v>
      </c>
    </row>
    <row r="145" spans="1:2">
      <c r="A145" s="13" t="str">
        <f ca="1">IFERROR(__xludf.DUMMYFUNCTION("""COMPUTED_VALUE"""),"LU000925")</f>
        <v>LU000925</v>
      </c>
      <c r="B145" s="13" t="str">
        <f ca="1">IFERROR(__xludf.DUMMYFUNCTION("""COMPUTED_VALUE"""),"Mixed operation of addition and subtraction of three or more decimal numbers")</f>
        <v>Mixed operation of addition and subtraction of three or more decimal numbers</v>
      </c>
    </row>
    <row r="146" spans="1:2">
      <c r="A146" s="13" t="str">
        <f ca="1">IFERROR(__xludf.DUMMYFUNCTION("""COMPUTED_VALUE"""),"LU000308")</f>
        <v>LU000308</v>
      </c>
      <c r="B146" s="13" t="str">
        <f ca="1">IFERROR(__xludf.DUMMYFUNCTION("""COMPUTED_VALUE"""),"Definition of data and information")</f>
        <v>Definition of data and information</v>
      </c>
    </row>
    <row r="147" spans="1:2">
      <c r="A147" s="13" t="str">
        <f ca="1">IFERROR(__xludf.DUMMYFUNCTION("""COMPUTED_VALUE"""),"LU000309")</f>
        <v>LU000309</v>
      </c>
      <c r="B147" s="13" t="str">
        <f ca="1">IFERROR(__xludf.DUMMYFUNCTION("""COMPUTED_VALUE"""),"Organisation of data")</f>
        <v>Organisation of data</v>
      </c>
    </row>
    <row r="148" spans="1:2">
      <c r="A148" s="13" t="str">
        <f ca="1">IFERROR(__xludf.DUMMYFUNCTION("""COMPUTED_VALUE"""),"LU000310")</f>
        <v>LU000310</v>
      </c>
      <c r="B148" s="13" t="str">
        <f ca="1">IFERROR(__xludf.DUMMYFUNCTION("""COMPUTED_VALUE"""),"Definition of tally chart")</f>
        <v>Definition of tally chart</v>
      </c>
    </row>
    <row r="149" spans="1:2">
      <c r="A149" s="13" t="str">
        <f ca="1">IFERROR(__xludf.DUMMYFUNCTION("""COMPUTED_VALUE"""),"LU000311")</f>
        <v>LU000311</v>
      </c>
      <c r="B149" s="13" t="str">
        <f ca="1">IFERROR(__xludf.DUMMYFUNCTION("""COMPUTED_VALUE"""),"Interpretation of tally chart")</f>
        <v>Interpretation of tally chart</v>
      </c>
    </row>
    <row r="150" spans="1:2">
      <c r="A150" s="13" t="str">
        <f ca="1">IFERROR(__xludf.DUMMYFUNCTION("""COMPUTED_VALUE"""),"LU000312")</f>
        <v>LU000312</v>
      </c>
      <c r="B150" s="13" t="str">
        <f ca="1">IFERROR(__xludf.DUMMYFUNCTION("""COMPUTED_VALUE"""),"Construction of tally chart")</f>
        <v>Construction of tally chart</v>
      </c>
    </row>
    <row r="151" spans="1:2">
      <c r="A151" s="13" t="str">
        <f ca="1">IFERROR(__xludf.DUMMYFUNCTION("""COMPUTED_VALUE"""),"LU000313")</f>
        <v>LU000313</v>
      </c>
      <c r="B151" s="13" t="str">
        <f ca="1">IFERROR(__xludf.DUMMYFUNCTION("""COMPUTED_VALUE"""),"Definition of pictograph")</f>
        <v>Definition of pictograph</v>
      </c>
    </row>
    <row r="152" spans="1:2">
      <c r="A152" s="13" t="str">
        <f ca="1">IFERROR(__xludf.DUMMYFUNCTION("""COMPUTED_VALUE"""),"LU000314")</f>
        <v>LU000314</v>
      </c>
      <c r="B152" s="13" t="str">
        <f ca="1">IFERROR(__xludf.DUMMYFUNCTION("""COMPUTED_VALUE"""),"Interpretation of pictographs")</f>
        <v>Interpretation of pictographs</v>
      </c>
    </row>
    <row r="153" spans="1:2">
      <c r="A153" s="13" t="str">
        <f ca="1">IFERROR(__xludf.DUMMYFUNCTION("""COMPUTED_VALUE"""),"LU000315")</f>
        <v>LU000315</v>
      </c>
      <c r="B153" s="13" t="str">
        <f ca="1">IFERROR(__xludf.DUMMYFUNCTION("""COMPUTED_VALUE"""),"Construction of pictographs")</f>
        <v>Construction of pictographs</v>
      </c>
    </row>
    <row r="154" spans="1:2">
      <c r="A154" s="13" t="str">
        <f ca="1">IFERROR(__xludf.DUMMYFUNCTION("""COMPUTED_VALUE"""),"LU000323")</f>
        <v>LU000323</v>
      </c>
      <c r="B154" s="13" t="str">
        <f ca="1">IFERROR(__xludf.DUMMYFUNCTION("""COMPUTED_VALUE"""),"Perimeter of closed figures")</f>
        <v>Perimeter of closed figures</v>
      </c>
    </row>
    <row r="155" spans="1:2">
      <c r="A155" s="13" t="str">
        <f ca="1">IFERROR(__xludf.DUMMYFUNCTION("""COMPUTED_VALUE"""),"LU000324")</f>
        <v>LU000324</v>
      </c>
      <c r="B155" s="13" t="str">
        <f ca="1">IFERROR(__xludf.DUMMYFUNCTION("""COMPUTED_VALUE"""),"Perimeter of a rectangle using formula")</f>
        <v>Perimeter of a rectangle using formula</v>
      </c>
    </row>
    <row r="156" spans="1:2">
      <c r="A156" s="13" t="str">
        <f ca="1">IFERROR(__xludf.DUMMYFUNCTION("""COMPUTED_VALUE"""),"LU000325")</f>
        <v>LU000325</v>
      </c>
      <c r="B156" s="13" t="str">
        <f ca="1">IFERROR(__xludf.DUMMYFUNCTION("""COMPUTED_VALUE"""),"Perimeter of regular shapes (regular polygons)")</f>
        <v>Perimeter of regular shapes (regular polygons)</v>
      </c>
    </row>
    <row r="157" spans="1:2">
      <c r="A157" s="13" t="str">
        <f ca="1">IFERROR(__xludf.DUMMYFUNCTION("""COMPUTED_VALUE"""),"LU000326")</f>
        <v>LU000326</v>
      </c>
      <c r="B157" s="13" t="str">
        <f ca="1">IFERROR(__xludf.DUMMYFUNCTION("""COMPUTED_VALUE"""),"Area of closed figures using graph paper or square grid method")</f>
        <v>Area of closed figures using graph paper or square grid method</v>
      </c>
    </row>
    <row r="158" spans="1:2">
      <c r="A158" s="13" t="str">
        <f ca="1">IFERROR(__xludf.DUMMYFUNCTION("""COMPUTED_VALUE"""),"LU000327")</f>
        <v>LU000327</v>
      </c>
      <c r="B158" s="13" t="str">
        <f ca="1">IFERROR(__xludf.DUMMYFUNCTION("""COMPUTED_VALUE"""),"Area of a rectangle using formula")</f>
        <v>Area of a rectangle using formula</v>
      </c>
    </row>
    <row r="159" spans="1:2">
      <c r="A159" s="13" t="str">
        <f ca="1">IFERROR(__xludf.DUMMYFUNCTION("""COMPUTED_VALUE"""),"LU000328")</f>
        <v>LU000328</v>
      </c>
      <c r="B159" s="13" t="str">
        <f ca="1">IFERROR(__xludf.DUMMYFUNCTION("""COMPUTED_VALUE"""),"Area of a square using formula")</f>
        <v>Area of a square using formula</v>
      </c>
    </row>
    <row r="160" spans="1:2">
      <c r="A160" s="13" t="str">
        <f ca="1">IFERROR(__xludf.DUMMYFUNCTION("""COMPUTED_VALUE"""),"LU000926")</f>
        <v>LU000926</v>
      </c>
      <c r="B160" s="13" t="str">
        <f ca="1">IFERROR(__xludf.DUMMYFUNCTION("""COMPUTED_VALUE"""),"Area of a composite shape (made of more than one basic geometrical shapes)")</f>
        <v>Area of a composite shape (made of more than one basic geometrical shapes)</v>
      </c>
    </row>
    <row r="161" spans="1:2">
      <c r="A161" s="13" t="str">
        <f ca="1">IFERROR(__xludf.DUMMYFUNCTION("""COMPUTED_VALUE"""),"LU000330")</f>
        <v>LU000330</v>
      </c>
      <c r="B161" s="13" t="str">
        <f ca="1">IFERROR(__xludf.DUMMYFUNCTION("""COMPUTED_VALUE"""),"Definition of variable and constant")</f>
        <v>Definition of variable and constant</v>
      </c>
    </row>
    <row r="162" spans="1:2">
      <c r="A162" s="13" t="str">
        <f ca="1">IFERROR(__xludf.DUMMYFUNCTION("""COMPUTED_VALUE"""),"LU000936")</f>
        <v>LU000936</v>
      </c>
      <c r="B162" s="13" t="str">
        <f ca="1">IFERROR(__xludf.DUMMYFUNCTION("""COMPUTED_VALUE"""),"Generalization of number patterns using variables (e.g., 3n, 4m, 7z...)")</f>
        <v>Generalization of number patterns using variables (e.g., 3n, 4m, 7z...)</v>
      </c>
    </row>
    <row r="163" spans="1:2">
      <c r="A163" s="13" t="str">
        <f ca="1">IFERROR(__xludf.DUMMYFUNCTION("""COMPUTED_VALUE"""),"LU000516")</f>
        <v>LU000516</v>
      </c>
      <c r="B163" s="13" t="str">
        <f ca="1">IFERROR(__xludf.DUMMYFUNCTION("""COMPUTED_VALUE"""),"Generalization of number patterns using variables (e.g., 3n+1, 4m - 5...)")</f>
        <v>Generalization of number patterns using variables (e.g., 3n+1, 4m - 5...)</v>
      </c>
    </row>
    <row r="164" spans="1:2">
      <c r="A164" s="13" t="str">
        <f ca="1">IFERROR(__xludf.DUMMYFUNCTION("""COMPUTED_VALUE"""),"LU000937")</f>
        <v>LU000937</v>
      </c>
      <c r="B164" s="13" t="str">
        <f ca="1">IFERROR(__xludf.DUMMYFUNCTION("""COMPUTED_VALUE"""),"Generalization of rules of geometric patterns using variables (matchstick patterns, etc...)")</f>
        <v>Generalization of rules of geometric patterns using variables (matchstick patterns, etc...)</v>
      </c>
    </row>
    <row r="165" spans="1:2">
      <c r="A165" s="13" t="str">
        <f ca="1">IFERROR(__xludf.DUMMYFUNCTION("""COMPUTED_VALUE"""),"LU000938")</f>
        <v>LU000938</v>
      </c>
      <c r="B165" s="13" t="str">
        <f ca="1">IFERROR(__xludf.DUMMYFUNCTION("""COMPUTED_VALUE"""),"Generalization of practical situations using variables")</f>
        <v>Generalization of practical situations using variables</v>
      </c>
    </row>
    <row r="166" spans="1:2">
      <c r="A166" s="13" t="str">
        <f ca="1">IFERROR(__xludf.DUMMYFUNCTION("""COMPUTED_VALUE"""),"LU000342")</f>
        <v>LU000342</v>
      </c>
      <c r="B166" s="13" t="str">
        <f ca="1">IFERROR(__xludf.DUMMYFUNCTION("""COMPUTED_VALUE"""),"Definition of ratio")</f>
        <v>Definition of ratio</v>
      </c>
    </row>
    <row r="167" spans="1:2">
      <c r="A167" s="13" t="str">
        <f ca="1">IFERROR(__xludf.DUMMYFUNCTION("""COMPUTED_VALUE"""),"LU000343")</f>
        <v>LU000343</v>
      </c>
      <c r="B167" s="13" t="str">
        <f ca="1">IFERROR(__xludf.DUMMYFUNCTION("""COMPUTED_VALUE"""),"Calculate the ratio of two quantities")</f>
        <v>Calculate the ratio of two quantities</v>
      </c>
    </row>
    <row r="168" spans="1:2">
      <c r="A168" s="13" t="str">
        <f ca="1">IFERROR(__xludf.DUMMYFUNCTION("""COMPUTED_VALUE"""),"LU000348")</f>
        <v>LU000348</v>
      </c>
      <c r="B168" s="13" t="str">
        <f ca="1">IFERROR(__xludf.DUMMYFUNCTION("""COMPUTED_VALUE"""),"Representation of ratio as fraction")</f>
        <v>Representation of ratio as fraction</v>
      </c>
    </row>
    <row r="169" spans="1:2">
      <c r="A169" s="13" t="str">
        <f ca="1">IFERROR(__xludf.DUMMYFUNCTION("""COMPUTED_VALUE"""),"LU000344")</f>
        <v>LU000344</v>
      </c>
      <c r="B169" s="13" t="str">
        <f ca="1">IFERROR(__xludf.DUMMYFUNCTION("""COMPUTED_VALUE"""),"Definition of equivalent ratios")</f>
        <v>Definition of equivalent ratios</v>
      </c>
    </row>
    <row r="170" spans="1:2">
      <c r="A170" s="13" t="str">
        <f ca="1">IFERROR(__xludf.DUMMYFUNCTION("""COMPUTED_VALUE"""),"LU000349")</f>
        <v>LU000349</v>
      </c>
      <c r="B170" s="13" t="str">
        <f ca="1">IFERROR(__xludf.DUMMYFUNCTION("""COMPUTED_VALUE"""),"Lowest form of ratio")</f>
        <v>Lowest form of ratio</v>
      </c>
    </row>
    <row r="171" spans="1:2">
      <c r="A171" s="13" t="str">
        <f ca="1">IFERROR(__xludf.DUMMYFUNCTION("""COMPUTED_VALUE"""),"LU000350")</f>
        <v>LU000350</v>
      </c>
      <c r="B171" s="13" t="str">
        <f ca="1">IFERROR(__xludf.DUMMYFUNCTION("""COMPUTED_VALUE"""),"Use of same ratio in different situations")</f>
        <v>Use of same ratio in different situations</v>
      </c>
    </row>
    <row r="172" spans="1:2">
      <c r="A172" s="13" t="str">
        <f ca="1">IFERROR(__xludf.DUMMYFUNCTION("""COMPUTED_VALUE"""),"LU000351")</f>
        <v>LU000351</v>
      </c>
      <c r="B172" s="13" t="str">
        <f ca="1">IFERROR(__xludf.DUMMYFUNCTION("""COMPUTED_VALUE"""),"Use of ratio of part to whole in real life situations")</f>
        <v>Use of ratio of part to whole in real life situations</v>
      </c>
    </row>
    <row r="173" spans="1:2">
      <c r="A173" s="13" t="str">
        <f ca="1">IFERROR(__xludf.DUMMYFUNCTION("""COMPUTED_VALUE"""),"LU000345")</f>
        <v>LU000345</v>
      </c>
      <c r="B173" s="13" t="str">
        <f ca="1">IFERROR(__xludf.DUMMYFUNCTION("""COMPUTED_VALUE"""),"Definition of proportion")</f>
        <v>Definition of proportion</v>
      </c>
    </row>
    <row r="174" spans="1:2">
      <c r="A174" s="13" t="str">
        <f ca="1">IFERROR(__xludf.DUMMYFUNCTION("""COMPUTED_VALUE"""),"LU000346")</f>
        <v>LU000346</v>
      </c>
      <c r="B174" s="13" t="str">
        <f ca="1">IFERROR(__xludf.DUMMYFUNCTION("""COMPUTED_VALUE"""),"Procedure to check for proportion")</f>
        <v>Procedure to check for proportion</v>
      </c>
    </row>
    <row r="175" spans="1:2">
      <c r="A175" s="13" t="str">
        <f ca="1">IFERROR(__xludf.DUMMYFUNCTION("""COMPUTED_VALUE"""),"LU000347")</f>
        <v>LU000347</v>
      </c>
      <c r="B175" s="13" t="str">
        <f ca="1">IFERROR(__xludf.DUMMYFUNCTION("""COMPUTED_VALUE"""),"Lexical explanation of unitary method")</f>
        <v>Lexical explanation of unitary method</v>
      </c>
    </row>
    <row r="176" spans="1:2">
      <c r="A176" s="13" t="str">
        <f ca="1">IFERROR(__xludf.DUMMYFUNCTION("""COMPUTED_VALUE"""),"LUID")</f>
        <v>LUID</v>
      </c>
      <c r="B176" s="13" t="str">
        <f ca="1">IFERROR(__xludf.DUMMYFUNCTION("""COMPUTED_VALUE"""),"LUs Covered")</f>
        <v>LUs Covered</v>
      </c>
    </row>
    <row r="177" spans="1:2">
      <c r="A177" s="13" t="str">
        <f ca="1">IFERROR(__xludf.DUMMYFUNCTION("""COMPUTED_VALUE"""),"LU000991")</f>
        <v>LU000991</v>
      </c>
      <c r="B177" s="13" t="str">
        <f ca="1">IFERROR(__xludf.DUMMYFUNCTION("""COMPUTED_VALUE"""),"Closure property for addition of integers")</f>
        <v>Closure property for addition of integers</v>
      </c>
    </row>
    <row r="178" spans="1:2">
      <c r="A178" s="13" t="str">
        <f ca="1">IFERROR(__xludf.DUMMYFUNCTION("""COMPUTED_VALUE"""),"LU000995")</f>
        <v>LU000995</v>
      </c>
      <c r="B178" s="13" t="str">
        <f ca="1">IFERROR(__xludf.DUMMYFUNCTION("""COMPUTED_VALUE"""),"Commutative property for addition of integers")</f>
        <v>Commutative property for addition of integers</v>
      </c>
    </row>
    <row r="179" spans="1:2">
      <c r="A179" s="13" t="str">
        <f ca="1">IFERROR(__xludf.DUMMYFUNCTION("""COMPUTED_VALUE"""),"LU000354")</f>
        <v>LU000354</v>
      </c>
      <c r="B179" s="13" t="str">
        <f ca="1">IFERROR(__xludf.DUMMYFUNCTION("""COMPUTED_VALUE"""),"Additive identity of integers")</f>
        <v>Additive identity of integers</v>
      </c>
    </row>
    <row r="180" spans="1:2">
      <c r="A180" s="13" t="str">
        <f ca="1">IFERROR(__xludf.DUMMYFUNCTION("""COMPUTED_VALUE"""),"LU001001")</f>
        <v>LU001001</v>
      </c>
      <c r="B180" s="13" t="str">
        <f ca="1">IFERROR(__xludf.DUMMYFUNCTION("""COMPUTED_VALUE"""),"Associative property for addition of integers")</f>
        <v>Associative property for addition of integers</v>
      </c>
    </row>
    <row r="181" spans="1:2">
      <c r="A181" s="13" t="str">
        <f ca="1">IFERROR(__xludf.DUMMYFUNCTION("""COMPUTED_VALUE"""),"LU000992")</f>
        <v>LU000992</v>
      </c>
      <c r="B181" s="13" t="str">
        <f ca="1">IFERROR(__xludf.DUMMYFUNCTION("""COMPUTED_VALUE"""),"Closure property for subtraction of integers")</f>
        <v>Closure property for subtraction of integers</v>
      </c>
    </row>
    <row r="182" spans="1:2">
      <c r="A182" s="13" t="str">
        <f ca="1">IFERROR(__xludf.DUMMYFUNCTION("""COMPUTED_VALUE"""),"LU000996")</f>
        <v>LU000996</v>
      </c>
      <c r="B182" s="13" t="str">
        <f ca="1">IFERROR(__xludf.DUMMYFUNCTION("""COMPUTED_VALUE"""),"Examination of commutative property for subtraction of integers")</f>
        <v>Examination of commutative property for subtraction of integers</v>
      </c>
    </row>
    <row r="183" spans="1:2">
      <c r="A183" s="13" t="str">
        <f ca="1">IFERROR(__xludf.DUMMYFUNCTION("""COMPUTED_VALUE"""),"LU001002")</f>
        <v>LU001002</v>
      </c>
      <c r="B183" s="13" t="str">
        <f ca="1">IFERROR(__xludf.DUMMYFUNCTION("""COMPUTED_VALUE"""),"Examination of associative property for subtraction of integers")</f>
        <v>Examination of associative property for subtraction of integers</v>
      </c>
    </row>
    <row r="184" spans="1:2">
      <c r="A184" s="13" t="str">
        <f ca="1">IFERROR(__xludf.DUMMYFUNCTION("""COMPUTED_VALUE"""),"LU000355")</f>
        <v>LU000355</v>
      </c>
      <c r="B184" s="13" t="str">
        <f ca="1">IFERROR(__xludf.DUMMYFUNCTION("""COMPUTED_VALUE"""),"Multiplication of two integers")</f>
        <v>Multiplication of two integers</v>
      </c>
    </row>
    <row r="185" spans="1:2">
      <c r="A185" s="13" t="str">
        <f ca="1">IFERROR(__xludf.DUMMYFUNCTION("""COMPUTED_VALUE"""),"LU000358")</f>
        <v>LU000358</v>
      </c>
      <c r="B185" s="13" t="str">
        <f ca="1">IFERROR(__xludf.DUMMYFUNCTION("""COMPUTED_VALUE"""),"Multiplication by zero")</f>
        <v>Multiplication by zero</v>
      </c>
    </row>
    <row r="186" spans="1:2">
      <c r="A186" s="13" t="str">
        <f ca="1">IFERROR(__xludf.DUMMYFUNCTION("""COMPUTED_VALUE"""),"LU000356")</f>
        <v>LU000356</v>
      </c>
      <c r="B186" s="13" t="str">
        <f ca="1">IFERROR(__xludf.DUMMYFUNCTION("""COMPUTED_VALUE"""),"Multiplication of three or more negative integers")</f>
        <v>Multiplication of three or more negative integers</v>
      </c>
    </row>
    <row r="187" spans="1:2">
      <c r="A187" s="13" t="str">
        <f ca="1">IFERROR(__xludf.DUMMYFUNCTION("""COMPUTED_VALUE"""),"LU000993")</f>
        <v>LU000993</v>
      </c>
      <c r="B187" s="13" t="str">
        <f ca="1">IFERROR(__xludf.DUMMYFUNCTION("""COMPUTED_VALUE"""),"Closure property for multiplication of integers")</f>
        <v>Closure property for multiplication of integers</v>
      </c>
    </row>
    <row r="188" spans="1:2">
      <c r="A188" s="13" t="str">
        <f ca="1">IFERROR(__xludf.DUMMYFUNCTION("""COMPUTED_VALUE"""),"LU000997")</f>
        <v>LU000997</v>
      </c>
      <c r="B188" s="13" t="str">
        <f ca="1">IFERROR(__xludf.DUMMYFUNCTION("""COMPUTED_VALUE"""),"Commutative property for multiplication of integers")</f>
        <v>Commutative property for multiplication of integers</v>
      </c>
    </row>
    <row r="189" spans="1:2">
      <c r="A189" s="13" t="str">
        <f ca="1">IFERROR(__xludf.DUMMYFUNCTION("""COMPUTED_VALUE"""),"LU000359")</f>
        <v>LU000359</v>
      </c>
      <c r="B189" s="13" t="str">
        <f ca="1">IFERROR(__xludf.DUMMYFUNCTION("""COMPUTED_VALUE"""),"Multiplicative identity of integers")</f>
        <v>Multiplicative identity of integers</v>
      </c>
    </row>
    <row r="190" spans="1:2">
      <c r="A190" s="13" t="str">
        <f ca="1">IFERROR(__xludf.DUMMYFUNCTION("""COMPUTED_VALUE"""),"LU001003")</f>
        <v>LU001003</v>
      </c>
      <c r="B190" s="13" t="str">
        <f ca="1">IFERROR(__xludf.DUMMYFUNCTION("""COMPUTED_VALUE"""),"Associative property for multiplication of integers")</f>
        <v>Associative property for multiplication of integers</v>
      </c>
    </row>
    <row r="191" spans="1:2">
      <c r="A191" s="13" t="str">
        <f ca="1">IFERROR(__xludf.DUMMYFUNCTION("""COMPUTED_VALUE"""),"LU000999")</f>
        <v>LU000999</v>
      </c>
      <c r="B191" s="13" t="str">
        <f ca="1">IFERROR(__xludf.DUMMYFUNCTION("""COMPUTED_VALUE"""),"Distributive property of multiplication over addition of integers")</f>
        <v>Distributive property of multiplication over addition of integers</v>
      </c>
    </row>
    <row r="192" spans="1:2">
      <c r="A192" s="13" t="str">
        <f ca="1">IFERROR(__xludf.DUMMYFUNCTION("""COMPUTED_VALUE"""),"LU001000")</f>
        <v>LU001000</v>
      </c>
      <c r="B192" s="13" t="str">
        <f ca="1">IFERROR(__xludf.DUMMYFUNCTION("""COMPUTED_VALUE"""),"Distributive property of multiplication over subtraction of integers")</f>
        <v>Distributive property of multiplication over subtraction of integers</v>
      </c>
    </row>
    <row r="193" spans="1:2">
      <c r="A193" s="13" t="str">
        <f ca="1">IFERROR(__xludf.DUMMYFUNCTION("""COMPUTED_VALUE"""),"LU000361")</f>
        <v>LU000361</v>
      </c>
      <c r="B193" s="13" t="str">
        <f ca="1">IFERROR(__xludf.DUMMYFUNCTION("""COMPUTED_VALUE"""),"Division of integers by non zero integer")</f>
        <v>Division of integers by non zero integer</v>
      </c>
    </row>
    <row r="194" spans="1:2">
      <c r="A194" s="13" t="str">
        <f ca="1">IFERROR(__xludf.DUMMYFUNCTION("""COMPUTED_VALUE"""),"LU000363")</f>
        <v>LU000363</v>
      </c>
      <c r="B194" s="13" t="str">
        <f ca="1">IFERROR(__xludf.DUMMYFUNCTION("""COMPUTED_VALUE"""),"Division of integers by one")</f>
        <v>Division of integers by one</v>
      </c>
    </row>
    <row r="195" spans="1:2">
      <c r="A195" s="13" t="str">
        <f ca="1">IFERROR(__xludf.DUMMYFUNCTION("""COMPUTED_VALUE"""),"LU000364")</f>
        <v>LU000364</v>
      </c>
      <c r="B195" s="13" t="str">
        <f ca="1">IFERROR(__xludf.DUMMYFUNCTION("""COMPUTED_VALUE"""),"Division of integers by zero")</f>
        <v>Division of integers by zero</v>
      </c>
    </row>
    <row r="196" spans="1:2">
      <c r="A196" s="13" t="str">
        <f ca="1">IFERROR(__xludf.DUMMYFUNCTION("""COMPUTED_VALUE"""),"LU000365")</f>
        <v>LU000365</v>
      </c>
      <c r="B196" s="13" t="str">
        <f ca="1">IFERROR(__xludf.DUMMYFUNCTION("""COMPUTED_VALUE"""),"Division of zero by any non-zero integer")</f>
        <v>Division of zero by any non-zero integer</v>
      </c>
    </row>
    <row r="197" spans="1:2">
      <c r="A197" s="13" t="str">
        <f ca="1">IFERROR(__xludf.DUMMYFUNCTION("""COMPUTED_VALUE"""),"LU000994")</f>
        <v>LU000994</v>
      </c>
      <c r="B197" s="13" t="str">
        <f ca="1">IFERROR(__xludf.DUMMYFUNCTION("""COMPUTED_VALUE"""),"Examination of closure property for division of integers")</f>
        <v>Examination of closure property for division of integers</v>
      </c>
    </row>
    <row r="198" spans="1:2">
      <c r="A198" s="13" t="str">
        <f ca="1">IFERROR(__xludf.DUMMYFUNCTION("""COMPUTED_VALUE"""),"LU000998")</f>
        <v>LU000998</v>
      </c>
      <c r="B198" s="13" t="str">
        <f ca="1">IFERROR(__xludf.DUMMYFUNCTION("""COMPUTED_VALUE"""),"Examination of commutative property for division of integers")</f>
        <v>Examination of commutative property for division of integers</v>
      </c>
    </row>
    <row r="199" spans="1:2">
      <c r="A199" s="13" t="str">
        <f ca="1">IFERROR(__xludf.DUMMYFUNCTION("""COMPUTED_VALUE"""),"LU001004")</f>
        <v>LU001004</v>
      </c>
      <c r="B199" s="13" t="str">
        <f ca="1">IFERROR(__xludf.DUMMYFUNCTION("""COMPUTED_VALUE"""),"Examination of associative property for division of integers")</f>
        <v>Examination of associative property for division of integers</v>
      </c>
    </row>
    <row r="200" spans="1:2">
      <c r="A200" s="13" t="str">
        <f ca="1">IFERROR(__xludf.DUMMYFUNCTION("""COMPUTED_VALUE"""),"LU001005")</f>
        <v>LU001005</v>
      </c>
      <c r="B200" s="13" t="str">
        <f ca="1">IFERROR(__xludf.DUMMYFUNCTION("""COMPUTED_VALUE"""),"Multiplication of a proper fraction by a whole number")</f>
        <v>Multiplication of a proper fraction by a whole number</v>
      </c>
    </row>
    <row r="201" spans="1:2">
      <c r="A201" s="13" t="str">
        <f ca="1">IFERROR(__xludf.DUMMYFUNCTION("""COMPUTED_VALUE"""),"LU001006")</f>
        <v>LU001006</v>
      </c>
      <c r="B201" s="13" t="str">
        <f ca="1">IFERROR(__xludf.DUMMYFUNCTION("""COMPUTED_VALUE"""),"Multiplication of an improper fraction by a whole number")</f>
        <v>Multiplication of an improper fraction by a whole number</v>
      </c>
    </row>
    <row r="202" spans="1:2">
      <c r="A202" s="13" t="str">
        <f ca="1">IFERROR(__xludf.DUMMYFUNCTION("""COMPUTED_VALUE"""),"LU001007")</f>
        <v>LU001007</v>
      </c>
      <c r="B202" s="13" t="str">
        <f ca="1">IFERROR(__xludf.DUMMYFUNCTION("""COMPUTED_VALUE"""),"Multiplication of a mixed fraction by a whole number")</f>
        <v>Multiplication of a mixed fraction by a whole number</v>
      </c>
    </row>
    <row r="203" spans="1:2">
      <c r="A203" s="13" t="str">
        <f ca="1">IFERROR(__xludf.DUMMYFUNCTION("""COMPUTED_VALUE"""),"LU001008")</f>
        <v>LU001008</v>
      </c>
      <c r="B203" s="13" t="str">
        <f ca="1">IFERROR(__xludf.DUMMYFUNCTION("""COMPUTED_VALUE"""),"Multiplication of a proper fraction by another fraction(proper, improper and mixed)")</f>
        <v>Multiplication of a proper fraction by another fraction(proper, improper and mixed)</v>
      </c>
    </row>
    <row r="204" spans="1:2">
      <c r="A204" s="13" t="str">
        <f ca="1">IFERROR(__xludf.DUMMYFUNCTION("""COMPUTED_VALUE"""),"LU001009")</f>
        <v>LU001009</v>
      </c>
      <c r="B204" s="13" t="str">
        <f ca="1">IFERROR(__xludf.DUMMYFUNCTION("""COMPUTED_VALUE"""),"Multiplication of an improper fraction by another fraction(proper, improper and mixed)")</f>
        <v>Multiplication of an improper fraction by another fraction(proper, improper and mixed)</v>
      </c>
    </row>
    <row r="205" spans="1:2">
      <c r="A205" s="13" t="str">
        <f ca="1">IFERROR(__xludf.DUMMYFUNCTION("""COMPUTED_VALUE"""),"LU001010")</f>
        <v>LU001010</v>
      </c>
      <c r="B205" s="13" t="str">
        <f ca="1">IFERROR(__xludf.DUMMYFUNCTION("""COMPUTED_VALUE"""),"Multiplication of a mixed fraction by another fraction(proper, improper and mixed)")</f>
        <v>Multiplication of a mixed fraction by another fraction(proper, improper and mixed)</v>
      </c>
    </row>
    <row r="206" spans="1:2">
      <c r="A206" s="13" t="str">
        <f ca="1">IFERROR(__xludf.DUMMYFUNCTION("""COMPUTED_VALUE"""),"LU000368")</f>
        <v>LU000368</v>
      </c>
      <c r="B206" s="13" t="str">
        <f ca="1">IFERROR(__xludf.DUMMYFUNCTION("""COMPUTED_VALUE"""),"Comparison of the product value of the fractions with the original fractions")</f>
        <v>Comparison of the product value of the fractions with the original fractions</v>
      </c>
    </row>
    <row r="207" spans="1:2">
      <c r="A207" s="13" t="str">
        <f ca="1">IFERROR(__xludf.DUMMYFUNCTION("""COMPUTED_VALUE"""),"LU001011")</f>
        <v>LU001011</v>
      </c>
      <c r="B207" s="13" t="str">
        <f ca="1">IFERROR(__xludf.DUMMYFUNCTION("""COMPUTED_VALUE"""),"Division of a whole number by a proper fraction")</f>
        <v>Division of a whole number by a proper fraction</v>
      </c>
    </row>
    <row r="208" spans="1:2">
      <c r="A208" s="13" t="str">
        <f ca="1">IFERROR(__xludf.DUMMYFUNCTION("""COMPUTED_VALUE"""),"LU001012")</f>
        <v>LU001012</v>
      </c>
      <c r="B208" s="13" t="str">
        <f ca="1">IFERROR(__xludf.DUMMYFUNCTION("""COMPUTED_VALUE"""),"Division of a whole number by an improper fraction")</f>
        <v>Division of a whole number by an improper fraction</v>
      </c>
    </row>
    <row r="209" spans="1:2">
      <c r="A209" s="13" t="str">
        <f ca="1">IFERROR(__xludf.DUMMYFUNCTION("""COMPUTED_VALUE"""),"LU001013")</f>
        <v>LU001013</v>
      </c>
      <c r="B209" s="13" t="str">
        <f ca="1">IFERROR(__xludf.DUMMYFUNCTION("""COMPUTED_VALUE"""),"Division of a whole number by a mixed fraction")</f>
        <v>Division of a whole number by a mixed fraction</v>
      </c>
    </row>
    <row r="210" spans="1:2">
      <c r="A210" s="13" t="str">
        <f ca="1">IFERROR(__xludf.DUMMYFUNCTION("""COMPUTED_VALUE"""),"LU001014")</f>
        <v>LU001014</v>
      </c>
      <c r="B210" s="13" t="str">
        <f ca="1">IFERROR(__xludf.DUMMYFUNCTION("""COMPUTED_VALUE"""),"Division of a proper fraction by a whole number")</f>
        <v>Division of a proper fraction by a whole number</v>
      </c>
    </row>
    <row r="211" spans="1:2">
      <c r="A211" s="13" t="str">
        <f ca="1">IFERROR(__xludf.DUMMYFUNCTION("""COMPUTED_VALUE"""),"LU001015")</f>
        <v>LU001015</v>
      </c>
      <c r="B211" s="13" t="str">
        <f ca="1">IFERROR(__xludf.DUMMYFUNCTION("""COMPUTED_VALUE"""),"Division of an improper fraction by a whole number")</f>
        <v>Division of an improper fraction by a whole number</v>
      </c>
    </row>
    <row r="212" spans="1:2">
      <c r="A212" s="13" t="str">
        <f ca="1">IFERROR(__xludf.DUMMYFUNCTION("""COMPUTED_VALUE"""),"LU001016")</f>
        <v>LU001016</v>
      </c>
      <c r="B212" s="13" t="str">
        <f ca="1">IFERROR(__xludf.DUMMYFUNCTION("""COMPUTED_VALUE"""),"Division of a mixed fraction by a whole number")</f>
        <v>Division of a mixed fraction by a whole number</v>
      </c>
    </row>
    <row r="213" spans="1:2">
      <c r="A213" s="13" t="str">
        <f ca="1">IFERROR(__xludf.DUMMYFUNCTION("""COMPUTED_VALUE"""),"LU001017")</f>
        <v>LU001017</v>
      </c>
      <c r="B213" s="13" t="str">
        <f ca="1">IFERROR(__xludf.DUMMYFUNCTION("""COMPUTED_VALUE"""),"Division of a proper fraction by another fraction(proper, improper and mixed)")</f>
        <v>Division of a proper fraction by another fraction(proper, improper and mixed)</v>
      </c>
    </row>
    <row r="214" spans="1:2">
      <c r="A214" s="13" t="str">
        <f ca="1">IFERROR(__xludf.DUMMYFUNCTION("""COMPUTED_VALUE"""),"LU001018")</f>
        <v>LU001018</v>
      </c>
      <c r="B214" s="13" t="str">
        <f ca="1">IFERROR(__xludf.DUMMYFUNCTION("""COMPUTED_VALUE"""),"Division of an improper fraction by another fraction(proper, improper and mixed)")</f>
        <v>Division of an improper fraction by another fraction(proper, improper and mixed)</v>
      </c>
    </row>
    <row r="215" spans="1:2">
      <c r="A215" s="13" t="str">
        <f ca="1">IFERROR(__xludf.DUMMYFUNCTION("""COMPUTED_VALUE"""),"LU001019")</f>
        <v>LU001019</v>
      </c>
      <c r="B215" s="13" t="str">
        <f ca="1">IFERROR(__xludf.DUMMYFUNCTION("""COMPUTED_VALUE"""),"Division of a mixed fraction by another fraction(proper, improper and mixed)")</f>
        <v>Division of a mixed fraction by another fraction(proper, improper and mixed)</v>
      </c>
    </row>
    <row r="216" spans="1:2">
      <c r="A216" s="13" t="str">
        <f ca="1">IFERROR(__xludf.DUMMYFUNCTION("""COMPUTED_VALUE"""),"LU000375")</f>
        <v>LU000375</v>
      </c>
      <c r="B216" s="13" t="str">
        <f ca="1">IFERROR(__xludf.DUMMYFUNCTION("""COMPUTED_VALUE"""),"Multiplication of decimal number by a whole number")</f>
        <v>Multiplication of decimal number by a whole number</v>
      </c>
    </row>
    <row r="217" spans="1:2">
      <c r="A217" s="13" t="str">
        <f ca="1">IFERROR(__xludf.DUMMYFUNCTION("""COMPUTED_VALUE"""),"LU000376")</f>
        <v>LU000376</v>
      </c>
      <c r="B217" s="13" t="str">
        <f ca="1">IFERROR(__xludf.DUMMYFUNCTION("""COMPUTED_VALUE"""),"Multiplication of decimal number by multiples of 10")</f>
        <v>Multiplication of decimal number by multiples of 10</v>
      </c>
    </row>
    <row r="218" spans="1:2">
      <c r="A218" s="13" t="str">
        <f ca="1">IFERROR(__xludf.DUMMYFUNCTION("""COMPUTED_VALUE"""),"LU000377")</f>
        <v>LU000377</v>
      </c>
      <c r="B218" s="13" t="str">
        <f ca="1">IFERROR(__xludf.DUMMYFUNCTION("""COMPUTED_VALUE"""),"Multiplication of decimal numbers")</f>
        <v>Multiplication of decimal numbers</v>
      </c>
    </row>
    <row r="219" spans="1:2">
      <c r="A219" s="13" t="str">
        <f ca="1">IFERROR(__xludf.DUMMYFUNCTION("""COMPUTED_VALUE"""),"LU000379")</f>
        <v>LU000379</v>
      </c>
      <c r="B219" s="13" t="str">
        <f ca="1">IFERROR(__xludf.DUMMYFUNCTION("""COMPUTED_VALUE"""),"Division of a decimal number by a whole number")</f>
        <v>Division of a decimal number by a whole number</v>
      </c>
    </row>
    <row r="220" spans="1:2">
      <c r="A220" s="13" t="str">
        <f ca="1">IFERROR(__xludf.DUMMYFUNCTION("""COMPUTED_VALUE"""),"LU000380")</f>
        <v>LU000380</v>
      </c>
      <c r="B220" s="13" t="str">
        <f ca="1">IFERROR(__xludf.DUMMYFUNCTION("""COMPUTED_VALUE"""),"Division of a decimal number by multiples of 10")</f>
        <v>Division of a decimal number by multiples of 10</v>
      </c>
    </row>
    <row r="221" spans="1:2">
      <c r="A221" s="13" t="str">
        <f ca="1">IFERROR(__xludf.DUMMYFUNCTION("""COMPUTED_VALUE"""),"LU000381")</f>
        <v>LU000381</v>
      </c>
      <c r="B221" s="13" t="str">
        <f ca="1">IFERROR(__xludf.DUMMYFUNCTION("""COMPUTED_VALUE"""),"Division of a decimal number by another decimal number")</f>
        <v>Division of a decimal number by another decimal number</v>
      </c>
    </row>
    <row r="222" spans="1:2">
      <c r="A222" s="13" t="str">
        <f ca="1">IFERROR(__xludf.DUMMYFUNCTION("""COMPUTED_VALUE"""),"LU000386")</f>
        <v>LU000386</v>
      </c>
      <c r="B222" s="13" t="str">
        <f ca="1">IFERROR(__xludf.DUMMYFUNCTION("""COMPUTED_VALUE"""),"Definition of arithmetic mean/average of the observations")</f>
        <v>Definition of arithmetic mean/average of the observations</v>
      </c>
    </row>
    <row r="223" spans="1:2">
      <c r="A223" s="13" t="str">
        <f ca="1">IFERROR(__xludf.DUMMYFUNCTION("""COMPUTED_VALUE"""),"LU000387")</f>
        <v>LU000387</v>
      </c>
      <c r="B223" s="13" t="str">
        <f ca="1">IFERROR(__xludf.DUMMYFUNCTION("""COMPUTED_VALUE"""),"Definition of range of the observations")</f>
        <v>Definition of range of the observations</v>
      </c>
    </row>
    <row r="224" spans="1:2">
      <c r="A224" s="13" t="str">
        <f ca="1">IFERROR(__xludf.DUMMYFUNCTION("""COMPUTED_VALUE"""),"LU000400")</f>
        <v>LU000400</v>
      </c>
      <c r="B224" s="13" t="str">
        <f ca="1">IFERROR(__xludf.DUMMYFUNCTION("""COMPUTED_VALUE"""),"Definition of frequency in data")</f>
        <v>Definition of frequency in data</v>
      </c>
    </row>
    <row r="225" spans="1:2">
      <c r="A225" s="13" t="str">
        <f ca="1">IFERROR(__xludf.DUMMYFUNCTION("""COMPUTED_VALUE"""),"LU000388")</f>
        <v>LU000388</v>
      </c>
      <c r="B225" s="13" t="str">
        <f ca="1">IFERROR(__xludf.DUMMYFUNCTION("""COMPUTED_VALUE"""),"Definition of mode of the data")</f>
        <v>Definition of mode of the data</v>
      </c>
    </row>
    <row r="226" spans="1:2">
      <c r="A226" s="13" t="str">
        <f ca="1">IFERROR(__xludf.DUMMYFUNCTION("""COMPUTED_VALUE"""),"LU000389")</f>
        <v>LU000389</v>
      </c>
      <c r="B226" s="13" t="str">
        <f ca="1">IFERROR(__xludf.DUMMYFUNCTION("""COMPUTED_VALUE"""),"Definition of median of the data")</f>
        <v>Definition of median of the data</v>
      </c>
    </row>
    <row r="227" spans="1:2">
      <c r="A227" s="13" t="str">
        <f ca="1">IFERROR(__xludf.DUMMYFUNCTION("""COMPUTED_VALUE"""),"LU000920")</f>
        <v>LU000920</v>
      </c>
      <c r="B227" s="13" t="str">
        <f ca="1">IFERROR(__xludf.DUMMYFUNCTION("""COMPUTED_VALUE"""),"Comparison of mean, median, and mode for a set of data")</f>
        <v>Comparison of mean, median, and mode for a set of data</v>
      </c>
    </row>
    <row r="228" spans="1:2">
      <c r="A228" s="13" t="str">
        <f ca="1">IFERROR(__xludf.DUMMYFUNCTION("""COMPUTED_VALUE"""),"LU000319")</f>
        <v>LU000319</v>
      </c>
      <c r="B228" s="13" t="str">
        <f ca="1">IFERROR(__xludf.DUMMYFUNCTION("""COMPUTED_VALUE"""),"Definition of scale factor")</f>
        <v>Definition of scale factor</v>
      </c>
    </row>
    <row r="229" spans="1:2">
      <c r="A229" s="13" t="str">
        <f ca="1">IFERROR(__xludf.DUMMYFUNCTION("""COMPUTED_VALUE"""),"LU000316")</f>
        <v>LU000316</v>
      </c>
      <c r="B229" s="13" t="str">
        <f ca="1">IFERROR(__xludf.DUMMYFUNCTION("""COMPUTED_VALUE"""),"Definition of bar graph")</f>
        <v>Definition of bar graph</v>
      </c>
    </row>
    <row r="230" spans="1:2">
      <c r="A230" s="13" t="str">
        <f ca="1">IFERROR(__xludf.DUMMYFUNCTION("""COMPUTED_VALUE"""),"LU000317")</f>
        <v>LU000317</v>
      </c>
      <c r="B230" s="13" t="str">
        <f ca="1">IFERROR(__xludf.DUMMYFUNCTION("""COMPUTED_VALUE"""),"Interpretation of bar graphs (horizontal and vertical)")</f>
        <v>Interpretation of bar graphs (horizontal and vertical)</v>
      </c>
    </row>
    <row r="231" spans="1:2">
      <c r="A231" s="13" t="str">
        <f ca="1">IFERROR(__xludf.DUMMYFUNCTION("""COMPUTED_VALUE"""),"LU000318")</f>
        <v>LU000318</v>
      </c>
      <c r="B231" s="13" t="str">
        <f ca="1">IFERROR(__xludf.DUMMYFUNCTION("""COMPUTED_VALUE"""),"Construction of bar graphs (horizontal and vertical)")</f>
        <v>Construction of bar graphs (horizontal and vertical)</v>
      </c>
    </row>
    <row r="232" spans="1:2">
      <c r="A232" s="13" t="str">
        <f ca="1">IFERROR(__xludf.DUMMYFUNCTION("""COMPUTED_VALUE"""),"LU000390")</f>
        <v>LU000390</v>
      </c>
      <c r="B232" s="13" t="str">
        <f ca="1">IFERROR(__xludf.DUMMYFUNCTION("""COMPUTED_VALUE"""),"Definition of double bar graph")</f>
        <v>Definition of double bar graph</v>
      </c>
    </row>
    <row r="233" spans="1:2">
      <c r="A233" s="13" t="str">
        <f ca="1">IFERROR(__xludf.DUMMYFUNCTION("""COMPUTED_VALUE"""),"LU000391")</f>
        <v>LU000391</v>
      </c>
      <c r="B233" s="13" t="str">
        <f ca="1">IFERROR(__xludf.DUMMYFUNCTION("""COMPUTED_VALUE"""),"Interpretation of a double bar graph")</f>
        <v>Interpretation of a double bar graph</v>
      </c>
    </row>
    <row r="234" spans="1:2">
      <c r="A234" s="13" t="str">
        <f ca="1">IFERROR(__xludf.DUMMYFUNCTION("""COMPUTED_VALUE"""),"LU000392")</f>
        <v>LU000392</v>
      </c>
      <c r="B234" s="13" t="str">
        <f ca="1">IFERROR(__xludf.DUMMYFUNCTION("""COMPUTED_VALUE"""),"Construction of a double bar graph")</f>
        <v>Construction of a double bar graph</v>
      </c>
    </row>
    <row r="235" spans="1:2">
      <c r="A235" s="13" t="str">
        <f ca="1">IFERROR(__xludf.DUMMYFUNCTION("""COMPUTED_VALUE"""),"LU000404")</f>
        <v>LU000404</v>
      </c>
      <c r="B235" s="13" t="str">
        <f ca="1">IFERROR(__xludf.DUMMYFUNCTION("""COMPUTED_VALUE"""),"Definition of simple equation")</f>
        <v>Definition of simple equation</v>
      </c>
    </row>
    <row r="236" spans="1:2">
      <c r="A236" s="13" t="str">
        <f ca="1">IFERROR(__xludf.DUMMYFUNCTION("""COMPUTED_VALUE"""),"LU000405")</f>
        <v>LU000405</v>
      </c>
      <c r="B236" s="13" t="str">
        <f ca="1">IFERROR(__xludf.DUMMYFUNCTION("""COMPUTED_VALUE"""),"Conversion of statements into simple equations")</f>
        <v>Conversion of statements into simple equations</v>
      </c>
    </row>
    <row r="237" spans="1:2">
      <c r="A237" s="13" t="str">
        <f ca="1">IFERROR(__xludf.DUMMYFUNCTION("""COMPUTED_VALUE"""),"LU000411")</f>
        <v>LU000411</v>
      </c>
      <c r="B237" s="13" t="str">
        <f ca="1">IFERROR(__xludf.DUMMYFUNCTION("""COMPUTED_VALUE"""),"Conversion of simple equations into statements")</f>
        <v>Conversion of simple equations into statements</v>
      </c>
    </row>
    <row r="238" spans="1:2">
      <c r="A238" s="13" t="str">
        <f ca="1">IFERROR(__xludf.DUMMYFUNCTION("""COMPUTED_VALUE"""),"LU000336")</f>
        <v>LU000336</v>
      </c>
      <c r="B238" s="13" t="str">
        <f ca="1">IFERROR(__xludf.DUMMYFUNCTION("""COMPUTED_VALUE"""),"Define a solution of an equation")</f>
        <v>Define a solution of an equation</v>
      </c>
    </row>
    <row r="239" spans="1:2">
      <c r="A239" s="13" t="str">
        <f ca="1">IFERROR(__xludf.DUMMYFUNCTION("""COMPUTED_VALUE"""),"LU000408")</f>
        <v>LU000408</v>
      </c>
      <c r="B239" s="13" t="str">
        <f ca="1">IFERROR(__xludf.DUMMYFUNCTION("""COMPUTED_VALUE"""),"Solution of a simple equation by trial and error method")</f>
        <v>Solution of a simple equation by trial and error method</v>
      </c>
    </row>
    <row r="240" spans="1:2">
      <c r="A240" s="13" t="str">
        <f ca="1">IFERROR(__xludf.DUMMYFUNCTION("""COMPUTED_VALUE"""),"LU000409")</f>
        <v>LU000409</v>
      </c>
      <c r="B240" s="13" t="str">
        <f ca="1">IFERROR(__xludf.DUMMYFUNCTION("""COMPUTED_VALUE"""),"Solution of a simple equation by balancing method")</f>
        <v>Solution of a simple equation by balancing method</v>
      </c>
    </row>
    <row r="241" spans="1:2">
      <c r="A241" s="13" t="str">
        <f ca="1">IFERROR(__xludf.DUMMYFUNCTION("""COMPUTED_VALUE"""),"LU000410")</f>
        <v>LU000410</v>
      </c>
      <c r="B241" s="13" t="str">
        <f ca="1">IFERROR(__xludf.DUMMYFUNCTION("""COMPUTED_VALUE"""),"Solution of a simple equation by transpose method")</f>
        <v>Solution of a simple equation by transpose method</v>
      </c>
    </row>
    <row r="242" spans="1:2">
      <c r="A242" s="13" t="str">
        <f ca="1">IFERROR(__xludf.DUMMYFUNCTION("""COMPUTED_VALUE"""),"LU000413")</f>
        <v>LU000413</v>
      </c>
      <c r="B242" s="13" t="str">
        <f ca="1">IFERROR(__xludf.DUMMYFUNCTION("""COMPUTED_VALUE"""),"Real life application of solving simple equations")</f>
        <v>Real life application of solving simple equations</v>
      </c>
    </row>
    <row r="243" spans="1:2">
      <c r="A243" s="13" t="str">
        <f ca="1">IFERROR(__xludf.DUMMYFUNCTION("""COMPUTED_VALUE"""),"LU000414")</f>
        <v>LU000414</v>
      </c>
      <c r="B243" s="13" t="str">
        <f ca="1">IFERROR(__xludf.DUMMYFUNCTION("""COMPUTED_VALUE"""),"Definition of complementary angles")</f>
        <v>Definition of complementary angles</v>
      </c>
    </row>
    <row r="244" spans="1:2">
      <c r="A244" s="13" t="str">
        <f ca="1">IFERROR(__xludf.DUMMYFUNCTION("""COMPUTED_VALUE"""),"LU000415")</f>
        <v>LU000415</v>
      </c>
      <c r="B244" s="13" t="str">
        <f ca="1">IFERROR(__xludf.DUMMYFUNCTION("""COMPUTED_VALUE"""),"Definition of supplementary angles")</f>
        <v>Definition of supplementary angles</v>
      </c>
    </row>
    <row r="245" spans="1:2">
      <c r="A245" s="13" t="str">
        <f ca="1">IFERROR(__xludf.DUMMYFUNCTION("""COMPUTED_VALUE"""),"LU000416")</f>
        <v>LU000416</v>
      </c>
      <c r="B245" s="13" t="str">
        <f ca="1">IFERROR(__xludf.DUMMYFUNCTION("""COMPUTED_VALUE"""),"Definition of adjacent angles")</f>
        <v>Definition of adjacent angles</v>
      </c>
    </row>
    <row r="246" spans="1:2">
      <c r="A246" s="13" t="str">
        <f ca="1">IFERROR(__xludf.DUMMYFUNCTION("""COMPUTED_VALUE"""),"LU000417")</f>
        <v>LU000417</v>
      </c>
      <c r="B246" s="13" t="str">
        <f ca="1">IFERROR(__xludf.DUMMYFUNCTION("""COMPUTED_VALUE"""),"Definition of linear pair")</f>
        <v>Definition of linear pair</v>
      </c>
    </row>
    <row r="247" spans="1:2">
      <c r="A247" s="13" t="str">
        <f ca="1">IFERROR(__xludf.DUMMYFUNCTION("""COMPUTED_VALUE"""),"LU000418")</f>
        <v>LU000418</v>
      </c>
      <c r="B247" s="13" t="str">
        <f ca="1">IFERROR(__xludf.DUMMYFUNCTION("""COMPUTED_VALUE"""),"Definition of vertically opposite angles")</f>
        <v>Definition of vertically opposite angles</v>
      </c>
    </row>
    <row r="248" spans="1:2">
      <c r="A248" s="13" t="str">
        <f ca="1">IFERROR(__xludf.DUMMYFUNCTION("""COMPUTED_VALUE"""),"LU000419")</f>
        <v>LU000419</v>
      </c>
      <c r="B248" s="13" t="str">
        <f ca="1">IFERROR(__xludf.DUMMYFUNCTION("""COMPUTED_VALUE"""),"Definition of transversal")</f>
        <v>Definition of transversal</v>
      </c>
    </row>
    <row r="249" spans="1:2">
      <c r="A249" s="13" t="str">
        <f ca="1">IFERROR(__xludf.DUMMYFUNCTION("""COMPUTED_VALUE"""),"LU001020")</f>
        <v>LU001020</v>
      </c>
      <c r="B249" s="13" t="str">
        <f ca="1">IFERROR(__xludf.DUMMYFUNCTION("""COMPUTED_VALUE"""),"Angles made by transversal - Interior angles
")</f>
        <v xml:space="preserve">Angles made by transversal - Interior angles
</v>
      </c>
    </row>
    <row r="250" spans="1:2">
      <c r="A250" s="13" t="str">
        <f ca="1">IFERROR(__xludf.DUMMYFUNCTION("""COMPUTED_VALUE"""),"LU001022")</f>
        <v>LU001022</v>
      </c>
      <c r="B250" s="13" t="str">
        <f ca="1">IFERROR(__xludf.DUMMYFUNCTION("""COMPUTED_VALUE"""),"Angles made by transversal - Alternate interior angles")</f>
        <v>Angles made by transversal - Alternate interior angles</v>
      </c>
    </row>
    <row r="251" spans="1:2">
      <c r="A251" s="13" t="str">
        <f ca="1">IFERROR(__xludf.DUMMYFUNCTION("""COMPUTED_VALUE"""),"LU001025")</f>
        <v>LU001025</v>
      </c>
      <c r="B251" s="13" t="str">
        <f ca="1">IFERROR(__xludf.DUMMYFUNCTION("""COMPUTED_VALUE"""),"Angles made by transversal - Interior angles on the same side of the transversal")</f>
        <v>Angles made by transversal - Interior angles on the same side of the transversal</v>
      </c>
    </row>
    <row r="252" spans="1:2">
      <c r="A252" s="13" t="str">
        <f ca="1">IFERROR(__xludf.DUMMYFUNCTION("""COMPUTED_VALUE"""),"LU001021")</f>
        <v>LU001021</v>
      </c>
      <c r="B252" s="13" t="str">
        <f ca="1">IFERROR(__xludf.DUMMYFUNCTION("""COMPUTED_VALUE"""),"Angles made by transversal - Exterior angles")</f>
        <v>Angles made by transversal - Exterior angles</v>
      </c>
    </row>
    <row r="253" spans="1:2">
      <c r="A253" s="13" t="str">
        <f ca="1">IFERROR(__xludf.DUMMYFUNCTION("""COMPUTED_VALUE"""),"LU001023")</f>
        <v>LU001023</v>
      </c>
      <c r="B253" s="13" t="str">
        <f ca="1">IFERROR(__xludf.DUMMYFUNCTION("""COMPUTED_VALUE"""),"Angles made by transversal - Alternate exterior angles")</f>
        <v>Angles made by transversal - Alternate exterior angles</v>
      </c>
    </row>
    <row r="254" spans="1:2">
      <c r="A254" s="13" t="str">
        <f ca="1">IFERROR(__xludf.DUMMYFUNCTION("""COMPUTED_VALUE"""),"LU001026")</f>
        <v>LU001026</v>
      </c>
      <c r="B254" s="13" t="str">
        <f ca="1">IFERROR(__xludf.DUMMYFUNCTION("""COMPUTED_VALUE"""),"Angles made by transversal - Exterior angles on the same side of the transversal")</f>
        <v>Angles made by transversal - Exterior angles on the same side of the transversal</v>
      </c>
    </row>
    <row r="255" spans="1:2">
      <c r="A255" s="13" t="str">
        <f ca="1">IFERROR(__xludf.DUMMYFUNCTION("""COMPUTED_VALUE"""),"LU001024")</f>
        <v>LU001024</v>
      </c>
      <c r="B255" s="13" t="str">
        <f ca="1">IFERROR(__xludf.DUMMYFUNCTION("""COMPUTED_VALUE"""),"Angles made by transversal - Corresponding angles")</f>
        <v>Angles made by transversal - Corresponding angles</v>
      </c>
    </row>
    <row r="256" spans="1:2">
      <c r="A256" s="13" t="str">
        <f ca="1">IFERROR(__xludf.DUMMYFUNCTION("""COMPUTED_VALUE"""),"LU000422")</f>
        <v>LU000422</v>
      </c>
      <c r="B256" s="13" t="str">
        <f ca="1">IFERROR(__xludf.DUMMYFUNCTION("""COMPUTED_VALUE"""),"Check for lines parallel to a given line")</f>
        <v>Check for lines parallel to a given line</v>
      </c>
    </row>
    <row r="257" spans="1:2">
      <c r="A257" s="13" t="str">
        <f ca="1">IFERROR(__xludf.DUMMYFUNCTION("""COMPUTED_VALUE"""),"LU000444")</f>
        <v>LU000444</v>
      </c>
      <c r="B257" s="13" t="str">
        <f ca="1">IFERROR(__xludf.DUMMYFUNCTION("""COMPUTED_VALUE"""),"Definition of percentage")</f>
        <v>Definition of percentage</v>
      </c>
    </row>
    <row r="258" spans="1:2">
      <c r="A258" s="13" t="str">
        <f ca="1">IFERROR(__xludf.DUMMYFUNCTION("""COMPUTED_VALUE"""),"LU000445")</f>
        <v>LU000445</v>
      </c>
      <c r="B258" s="13" t="str">
        <f ca="1">IFERROR(__xludf.DUMMYFUNCTION("""COMPUTED_VALUE"""),"Conversion of fractional numbers to percentage")</f>
        <v>Conversion of fractional numbers to percentage</v>
      </c>
    </row>
    <row r="259" spans="1:2">
      <c r="A259" s="13" t="str">
        <f ca="1">IFERROR(__xludf.DUMMYFUNCTION("""COMPUTED_VALUE"""),"LU000446")</f>
        <v>LU000446</v>
      </c>
      <c r="B259" s="13" t="str">
        <f ca="1">IFERROR(__xludf.DUMMYFUNCTION("""COMPUTED_VALUE"""),"Conversion of decimal number to percentage")</f>
        <v>Conversion of decimal number to percentage</v>
      </c>
    </row>
    <row r="260" spans="1:2">
      <c r="A260" s="13" t="str">
        <f ca="1">IFERROR(__xludf.DUMMYFUNCTION("""COMPUTED_VALUE"""),"LU000447")</f>
        <v>LU000447</v>
      </c>
      <c r="B260" s="13" t="str">
        <f ca="1">IFERROR(__xludf.DUMMYFUNCTION("""COMPUTED_VALUE"""),"Conversion of percentage to fraction")</f>
        <v>Conversion of percentage to fraction</v>
      </c>
    </row>
    <row r="261" spans="1:2">
      <c r="A261" s="13" t="str">
        <f ca="1">IFERROR(__xludf.DUMMYFUNCTION("""COMPUTED_VALUE"""),"LU000448")</f>
        <v>LU000448</v>
      </c>
      <c r="B261" s="13" t="str">
        <f ca="1">IFERROR(__xludf.DUMMYFUNCTION("""COMPUTED_VALUE"""),"Conversion of percentages to decimal")</f>
        <v>Conversion of percentages to decimal</v>
      </c>
    </row>
    <row r="262" spans="1:2">
      <c r="A262" s="13" t="str">
        <f ca="1">IFERROR(__xludf.DUMMYFUNCTION("""COMPUTED_VALUE"""),"LU000449")</f>
        <v>LU000449</v>
      </c>
      <c r="B262" s="13" t="str">
        <f ca="1">IFERROR(__xludf.DUMMYFUNCTION("""COMPUTED_VALUE"""),"Estimation of shaded part of an area in percentage")</f>
        <v>Estimation of shaded part of an area in percentage</v>
      </c>
    </row>
    <row r="263" spans="1:2">
      <c r="A263" s="13" t="str">
        <f ca="1">IFERROR(__xludf.DUMMYFUNCTION("""COMPUTED_VALUE"""),"LU000450")</f>
        <v>LU000450</v>
      </c>
      <c r="B263" s="13" t="str">
        <f ca="1">IFERROR(__xludf.DUMMYFUNCTION("""COMPUTED_VALUE"""),"Interpretation of percentages")</f>
        <v>Interpretation of percentages</v>
      </c>
    </row>
    <row r="264" spans="1:2">
      <c r="A264" s="13" t="str">
        <f ca="1">IFERROR(__xludf.DUMMYFUNCTION("""COMPUTED_VALUE"""),"LU000451")</f>
        <v>LU000451</v>
      </c>
      <c r="B264" s="13" t="str">
        <f ca="1">IFERROR(__xludf.DUMMYFUNCTION("""COMPUTED_VALUE"""),"Calculation of percentage of amount")</f>
        <v>Calculation of percentage of amount</v>
      </c>
    </row>
    <row r="265" spans="1:2">
      <c r="A265" s="13" t="str">
        <f ca="1">IFERROR(__xludf.DUMMYFUNCTION("""COMPUTED_VALUE"""),"LU000452")</f>
        <v>LU000452</v>
      </c>
      <c r="B265" s="13" t="str">
        <f ca="1">IFERROR(__xludf.DUMMYFUNCTION("""COMPUTED_VALUE"""),"Conversion of ratios to percentage")</f>
        <v>Conversion of ratios to percentage</v>
      </c>
    </row>
    <row r="266" spans="1:2">
      <c r="A266" s="13" t="str">
        <f ca="1">IFERROR(__xludf.DUMMYFUNCTION("""COMPUTED_VALUE"""),"LU001027")</f>
        <v>LU001027</v>
      </c>
      <c r="B266" s="13" t="str">
        <f ca="1">IFERROR(__xludf.DUMMYFUNCTION("""COMPUTED_VALUE"""),"Increase in a quantity as percentage
")</f>
        <v xml:space="preserve">Increase in a quantity as percentage
</v>
      </c>
    </row>
    <row r="267" spans="1:2">
      <c r="A267" s="13" t="str">
        <f ca="1">IFERROR(__xludf.DUMMYFUNCTION("""COMPUTED_VALUE"""),"LU001028")</f>
        <v>LU001028</v>
      </c>
      <c r="B267" s="13" t="str">
        <f ca="1">IFERROR(__xludf.DUMMYFUNCTION("""COMPUTED_VALUE"""),"Decrease in a quantity as percentage")</f>
        <v>Decrease in a quantity as percentage</v>
      </c>
    </row>
    <row r="268" spans="1:2">
      <c r="A268" s="13" t="str">
        <f ca="1">IFERROR(__xludf.DUMMYFUNCTION("""COMPUTED_VALUE"""),"LU000454")</f>
        <v>LU000454</v>
      </c>
      <c r="B268" s="13" t="str">
        <f ca="1">IFERROR(__xludf.DUMMYFUNCTION("""COMPUTED_VALUE"""),"Definition of cost price")</f>
        <v>Definition of cost price</v>
      </c>
    </row>
    <row r="269" spans="1:2">
      <c r="A269" s="13" t="str">
        <f ca="1">IFERROR(__xludf.DUMMYFUNCTION("""COMPUTED_VALUE"""),"LU000455")</f>
        <v>LU000455</v>
      </c>
      <c r="B269" s="13" t="str">
        <f ca="1">IFERROR(__xludf.DUMMYFUNCTION("""COMPUTED_VALUE"""),"Definition of selling price")</f>
        <v>Definition of selling price</v>
      </c>
    </row>
    <row r="270" spans="1:2">
      <c r="A270" s="13" t="str">
        <f ca="1">IFERROR(__xludf.DUMMYFUNCTION("""COMPUTED_VALUE"""),"LU000456")</f>
        <v>LU000456</v>
      </c>
      <c r="B270" s="13" t="str">
        <f ca="1">IFERROR(__xludf.DUMMYFUNCTION("""COMPUTED_VALUE"""),"Definition of profit")</f>
        <v>Definition of profit</v>
      </c>
    </row>
    <row r="271" spans="1:2">
      <c r="A271" s="13" t="str">
        <f ca="1">IFERROR(__xludf.DUMMYFUNCTION("""COMPUTED_VALUE"""),"LU000457")</f>
        <v>LU000457</v>
      </c>
      <c r="B271" s="13" t="str">
        <f ca="1">IFERROR(__xludf.DUMMYFUNCTION("""COMPUTED_VALUE"""),"Definition of loss")</f>
        <v>Definition of loss</v>
      </c>
    </row>
    <row r="272" spans="1:2">
      <c r="A272" s="13" t="str">
        <f ca="1">IFERROR(__xludf.DUMMYFUNCTION("""COMPUTED_VALUE"""),"LU000458")</f>
        <v>LU000458</v>
      </c>
      <c r="B272" s="13" t="str">
        <f ca="1">IFERROR(__xludf.DUMMYFUNCTION("""COMPUTED_VALUE"""),"Calculation of profit as percentage")</f>
        <v>Calculation of profit as percentage</v>
      </c>
    </row>
    <row r="273" spans="1:2">
      <c r="A273" s="13" t="str">
        <f ca="1">IFERROR(__xludf.DUMMYFUNCTION("""COMPUTED_VALUE"""),"LU000459")</f>
        <v>LU000459</v>
      </c>
      <c r="B273" s="13" t="str">
        <f ca="1">IFERROR(__xludf.DUMMYFUNCTION("""COMPUTED_VALUE"""),"Calculation of loss as percentage")</f>
        <v>Calculation of loss as percentage</v>
      </c>
    </row>
    <row r="274" spans="1:2">
      <c r="A274" s="13" t="str">
        <f ca="1">IFERROR(__xludf.DUMMYFUNCTION("""COMPUTED_VALUE"""),"LU000460")</f>
        <v>LU000460</v>
      </c>
      <c r="B274" s="13" t="str">
        <f ca="1">IFERROR(__xludf.DUMMYFUNCTION("""COMPUTED_VALUE"""),"Definition of simple interest")</f>
        <v>Definition of simple interest</v>
      </c>
    </row>
    <row r="275" spans="1:2">
      <c r="A275" s="13" t="str">
        <f ca="1">IFERROR(__xludf.DUMMYFUNCTION("""COMPUTED_VALUE"""),"LU000461")</f>
        <v>LU000461</v>
      </c>
      <c r="B275" s="13" t="str">
        <f ca="1">IFERROR(__xludf.DUMMYFUNCTION("""COMPUTED_VALUE"""),"Definition of principal")</f>
        <v>Definition of principal</v>
      </c>
    </row>
    <row r="276" spans="1:2">
      <c r="A276" s="13" t="str">
        <f ca="1">IFERROR(__xludf.DUMMYFUNCTION("""COMPUTED_VALUE"""),"LU000462")</f>
        <v>LU000462</v>
      </c>
      <c r="B276" s="13" t="str">
        <f ca="1">IFERROR(__xludf.DUMMYFUNCTION("""COMPUTED_VALUE"""),"Definition of amount in simple interest")</f>
        <v>Definition of amount in simple interest</v>
      </c>
    </row>
    <row r="277" spans="1:2">
      <c r="A277" s="13" t="str">
        <f ca="1">IFERROR(__xludf.DUMMYFUNCTION("""COMPUTED_VALUE"""),"LU000463")</f>
        <v>LU000463</v>
      </c>
      <c r="B277" s="13" t="str">
        <f ca="1">IFERROR(__xludf.DUMMYFUNCTION("""COMPUTED_VALUE"""),"Definition of rate of interest")</f>
        <v>Definition of rate of interest</v>
      </c>
    </row>
    <row r="278" spans="1:2">
      <c r="A278" s="13" t="str">
        <f ca="1">IFERROR(__xludf.DUMMYFUNCTION("""COMPUTED_VALUE"""),"LU000464")</f>
        <v>LU000464</v>
      </c>
      <c r="B278" s="13" t="str">
        <f ca="1">IFERROR(__xludf.DUMMYFUNCTION("""COMPUTED_VALUE"""),"Definition of rational numbers")</f>
        <v>Definition of rational numbers</v>
      </c>
    </row>
    <row r="279" spans="1:2">
      <c r="A279" s="13" t="str">
        <f ca="1">IFERROR(__xludf.DUMMYFUNCTION("""COMPUTED_VALUE"""),"LU000465")</f>
        <v>LU000465</v>
      </c>
      <c r="B279" s="13" t="str">
        <f ca="1">IFERROR(__xludf.DUMMYFUNCTION("""COMPUTED_VALUE"""),"Relation between fractional numbers and rational numbers")</f>
        <v>Relation between fractional numbers and rational numbers</v>
      </c>
    </row>
    <row r="280" spans="1:2">
      <c r="A280" s="13" t="str">
        <f ca="1">IFERROR(__xludf.DUMMYFUNCTION("""COMPUTED_VALUE"""),"LU000466")</f>
        <v>LU000466</v>
      </c>
      <c r="B280" s="13" t="str">
        <f ca="1">IFERROR(__xludf.DUMMYFUNCTION("""COMPUTED_VALUE"""),"Relation between integers and rational numbers")</f>
        <v>Relation between integers and rational numbers</v>
      </c>
    </row>
    <row r="281" spans="1:2">
      <c r="A281" s="13" t="str">
        <f ca="1">IFERROR(__xludf.DUMMYFUNCTION("""COMPUTED_VALUE"""),"LU000467")</f>
        <v>LU000467</v>
      </c>
      <c r="B281" s="13" t="str">
        <f ca="1">IFERROR(__xludf.DUMMYFUNCTION("""COMPUTED_VALUE"""),"Definition of equivalent rational number")</f>
        <v>Definition of equivalent rational number</v>
      </c>
    </row>
    <row r="282" spans="1:2">
      <c r="A282" s="13" t="str">
        <f ca="1">IFERROR(__xludf.DUMMYFUNCTION("""COMPUTED_VALUE"""),"LU000468")</f>
        <v>LU000468</v>
      </c>
      <c r="B282" s="13" t="str">
        <f ca="1">IFERROR(__xludf.DUMMYFUNCTION("""COMPUTED_VALUE"""),"Definition of positive rational number")</f>
        <v>Definition of positive rational number</v>
      </c>
    </row>
    <row r="283" spans="1:2">
      <c r="A283" s="13" t="str">
        <f ca="1">IFERROR(__xludf.DUMMYFUNCTION("""COMPUTED_VALUE"""),"LU000469")</f>
        <v>LU000469</v>
      </c>
      <c r="B283" s="13" t="str">
        <f ca="1">IFERROR(__xludf.DUMMYFUNCTION("""COMPUTED_VALUE"""),"Definition of negative rational number")</f>
        <v>Definition of negative rational number</v>
      </c>
    </row>
    <row r="284" spans="1:2">
      <c r="A284" s="13" t="str">
        <f ca="1">IFERROR(__xludf.DUMMYFUNCTION("""COMPUTED_VALUE"""),"LU000470")</f>
        <v>LU000470</v>
      </c>
      <c r="B284" s="13" t="str">
        <f ca="1">IFERROR(__xludf.DUMMYFUNCTION("""COMPUTED_VALUE"""),"Representation of rational numbers on a number line")</f>
        <v>Representation of rational numbers on a number line</v>
      </c>
    </row>
    <row r="285" spans="1:2">
      <c r="A285" s="13" t="str">
        <f ca="1">IFERROR(__xludf.DUMMYFUNCTION("""COMPUTED_VALUE"""),"LU000471")</f>
        <v>LU000471</v>
      </c>
      <c r="B285" s="13" t="str">
        <f ca="1">IFERROR(__xludf.DUMMYFUNCTION("""COMPUTED_VALUE"""),"Standard form of rational number")</f>
        <v>Standard form of rational number</v>
      </c>
    </row>
    <row r="286" spans="1:2">
      <c r="A286" s="13" t="str">
        <f ca="1">IFERROR(__xludf.DUMMYFUNCTION("""COMPUTED_VALUE"""),"LU000472")</f>
        <v>LU000472</v>
      </c>
      <c r="B286" s="13" t="str">
        <f ca="1">IFERROR(__xludf.DUMMYFUNCTION("""COMPUTED_VALUE"""),"Comparison of rational numbers")</f>
        <v>Comparison of rational numbers</v>
      </c>
    </row>
    <row r="287" spans="1:2">
      <c r="A287" s="13" t="str">
        <f ca="1">IFERROR(__xludf.DUMMYFUNCTION("""COMPUTED_VALUE"""),"LU000473")</f>
        <v>LU000473</v>
      </c>
      <c r="B287" s="13" t="str">
        <f ca="1">IFERROR(__xludf.DUMMYFUNCTION("""COMPUTED_VALUE"""),"Rational numbers between two rational numbers")</f>
        <v>Rational numbers between two rational numbers</v>
      </c>
    </row>
    <row r="288" spans="1:2">
      <c r="A288" s="13" t="str">
        <f ca="1">IFERROR(__xludf.DUMMYFUNCTION("""COMPUTED_VALUE"""),"LU000939")</f>
        <v>LU000939</v>
      </c>
      <c r="B288" s="13" t="str">
        <f ca="1">IFERROR(__xludf.DUMMYFUNCTION("""COMPUTED_VALUE"""),"Pattern involving rational numbers")</f>
        <v>Pattern involving rational numbers</v>
      </c>
    </row>
    <row r="289" spans="1:2">
      <c r="A289" s="13" t="str">
        <f ca="1">IFERROR(__xludf.DUMMYFUNCTION("""COMPUTED_VALUE"""),"LU000474")</f>
        <v>LU000474</v>
      </c>
      <c r="B289" s="13" t="str">
        <f ca="1">IFERROR(__xludf.DUMMYFUNCTION("""COMPUTED_VALUE"""),"Addition of rational numbers")</f>
        <v>Addition of rational numbers</v>
      </c>
    </row>
    <row r="290" spans="1:2">
      <c r="A290" s="13" t="str">
        <f ca="1">IFERROR(__xludf.DUMMYFUNCTION("""COMPUTED_VALUE"""),"LU000475")</f>
        <v>LU000475</v>
      </c>
      <c r="B290" s="13" t="str">
        <f ca="1">IFERROR(__xludf.DUMMYFUNCTION("""COMPUTED_VALUE"""),"Subtraction of rational numbers")</f>
        <v>Subtraction of rational numbers</v>
      </c>
    </row>
    <row r="291" spans="1:2">
      <c r="A291" s="13" t="str">
        <f ca="1">IFERROR(__xludf.DUMMYFUNCTION("""COMPUTED_VALUE"""),"LU000479")</f>
        <v>LU000479</v>
      </c>
      <c r="B291" s="13" t="str">
        <f ca="1">IFERROR(__xludf.DUMMYFUNCTION("""COMPUTED_VALUE"""),"Additive inverse of rational number")</f>
        <v>Additive inverse of rational number</v>
      </c>
    </row>
    <row r="292" spans="1:2">
      <c r="A292" s="13" t="str">
        <f ca="1">IFERROR(__xludf.DUMMYFUNCTION("""COMPUTED_VALUE"""),"LU000476")</f>
        <v>LU000476</v>
      </c>
      <c r="B292" s="13" t="str">
        <f ca="1">IFERROR(__xludf.DUMMYFUNCTION("""COMPUTED_VALUE"""),"Multiplication of rational numbers")</f>
        <v>Multiplication of rational numbers</v>
      </c>
    </row>
    <row r="293" spans="1:2">
      <c r="A293" s="13" t="str">
        <f ca="1">IFERROR(__xludf.DUMMYFUNCTION("""COMPUTED_VALUE"""),"LU000477")</f>
        <v>LU000477</v>
      </c>
      <c r="B293" s="13" t="str">
        <f ca="1">IFERROR(__xludf.DUMMYFUNCTION("""COMPUTED_VALUE"""),"Division of rational numbers")</f>
        <v>Division of rational numbers</v>
      </c>
    </row>
    <row r="294" spans="1:2">
      <c r="A294" s="13" t="str">
        <f ca="1">IFERROR(__xludf.DUMMYFUNCTION("""COMPUTED_VALUE"""),"LU000478")</f>
        <v>LU000478</v>
      </c>
      <c r="B294" s="13" t="str">
        <f ca="1">IFERROR(__xludf.DUMMYFUNCTION("""COMPUTED_VALUE"""),"Multiplicative inverse or reciprocal of rational number")</f>
        <v>Multiplicative inverse or reciprocal of rational number</v>
      </c>
    </row>
    <row r="295" spans="1:2">
      <c r="A295" s="13" t="str">
        <f ca="1">IFERROR(__xludf.DUMMYFUNCTION("""COMPUTED_VALUE"""),"LU000935")</f>
        <v>LU000935</v>
      </c>
      <c r="B295" s="13" t="str">
        <f ca="1">IFERROR(__xludf.DUMMYFUNCTION("""COMPUTED_VALUE"""),"Definition of algebraic expression")</f>
        <v>Definition of algebraic expression</v>
      </c>
    </row>
    <row r="296" spans="1:2">
      <c r="A296" s="13" t="str">
        <f ca="1">IFERROR(__xludf.DUMMYFUNCTION("""COMPUTED_VALUE"""),"LU000504")</f>
        <v>LU000504</v>
      </c>
      <c r="B296" s="13" t="str">
        <f ca="1">IFERROR(__xludf.DUMMYFUNCTION("""COMPUTED_VALUE"""),"Formation of algebraic expressions")</f>
        <v>Formation of algebraic expressions</v>
      </c>
    </row>
    <row r="297" spans="1:2">
      <c r="A297" s="13" t="str">
        <f ca="1">IFERROR(__xludf.DUMMYFUNCTION("""COMPUTED_VALUE"""),"LU000505")</f>
        <v>LU000505</v>
      </c>
      <c r="B297" s="13" t="str">
        <f ca="1">IFERROR(__xludf.DUMMYFUNCTION("""COMPUTED_VALUE"""),"Definition of a term of an algebraic expression")</f>
        <v>Definition of a term of an algebraic expression</v>
      </c>
    </row>
    <row r="298" spans="1:2">
      <c r="A298" s="13" t="str">
        <f ca="1">IFERROR(__xludf.DUMMYFUNCTION("""COMPUTED_VALUE"""),"LU000507")</f>
        <v>LU000507</v>
      </c>
      <c r="B298" s="13" t="str">
        <f ca="1">IFERROR(__xludf.DUMMYFUNCTION("""COMPUTED_VALUE"""),"Definition of the coefficient of a term")</f>
        <v>Definition of the coefficient of a term</v>
      </c>
    </row>
    <row r="299" spans="1:2">
      <c r="A299" s="13" t="str">
        <f ca="1">IFERROR(__xludf.DUMMYFUNCTION("""COMPUTED_VALUE"""),"LU000506")</f>
        <v>LU000506</v>
      </c>
      <c r="B299" s="13" t="str">
        <f ca="1">IFERROR(__xludf.DUMMYFUNCTION("""COMPUTED_VALUE"""),"Factors of a term of an algebraic expression")</f>
        <v>Factors of a term of an algebraic expression</v>
      </c>
    </row>
    <row r="300" spans="1:2">
      <c r="A300" s="13" t="str">
        <f ca="1">IFERROR(__xludf.DUMMYFUNCTION("""COMPUTED_VALUE"""),"LU000508")</f>
        <v>LU000508</v>
      </c>
      <c r="B300" s="13" t="str">
        <f ca="1">IFERROR(__xludf.DUMMYFUNCTION("""COMPUTED_VALUE"""),"Definition of like and unlike terms of algebraic expression")</f>
        <v>Definition of like and unlike terms of algebraic expression</v>
      </c>
    </row>
    <row r="301" spans="1:2">
      <c r="A301" s="13" t="str">
        <f ca="1">IFERROR(__xludf.DUMMYFUNCTION("""COMPUTED_VALUE"""),"LU000510")</f>
        <v>LU000510</v>
      </c>
      <c r="B301" s="13" t="str">
        <f ca="1">IFERROR(__xludf.DUMMYFUNCTION("""COMPUTED_VALUE"""),"Classification of polynomials based on the number of terms")</f>
        <v>Classification of polynomials based on the number of terms</v>
      </c>
    </row>
    <row r="302" spans="1:2">
      <c r="A302" s="13" t="str">
        <f ca="1">IFERROR(__xludf.DUMMYFUNCTION("""COMPUTED_VALUE"""),"LU000514")</f>
        <v>LU000514</v>
      </c>
      <c r="B302" s="13" t="str">
        <f ca="1">IFERROR(__xludf.DUMMYFUNCTION("""COMPUTED_VALUE"""),"Evaluation of algebraic expressions")</f>
        <v>Evaluation of algebraic expressions</v>
      </c>
    </row>
    <row r="303" spans="1:2">
      <c r="A303" s="13" t="str">
        <f ca="1">IFERROR(__xludf.DUMMYFUNCTION("""COMPUTED_VALUE"""),"LU000789")</f>
        <v>LU000789</v>
      </c>
      <c r="B303" s="13" t="str">
        <f ca="1">IFERROR(__xludf.DUMMYFUNCTION("""COMPUTED_VALUE"""),"Definition of symmetry")</f>
        <v>Definition of symmetry</v>
      </c>
    </row>
    <row r="304" spans="1:2">
      <c r="A304" s="13" t="str">
        <f ca="1">IFERROR(__xludf.DUMMYFUNCTION("""COMPUTED_VALUE"""),"LU000900")</f>
        <v>LU000900</v>
      </c>
      <c r="B304" s="13" t="str">
        <f ca="1">IFERROR(__xludf.DUMMYFUNCTION("""COMPUTED_VALUE"""),"Relationship between mirror reflection and line symmetry")</f>
        <v>Relationship between mirror reflection and line symmetry</v>
      </c>
    </row>
    <row r="305" spans="1:2">
      <c r="A305" s="13" t="str">
        <f ca="1">IFERROR(__xludf.DUMMYFUNCTION("""COMPUTED_VALUE"""),"LU000790")</f>
        <v>LU000790</v>
      </c>
      <c r="B305" s="13" t="str">
        <f ca="1">IFERROR(__xludf.DUMMYFUNCTION("""COMPUTED_VALUE"""),"Lexical explanation of line symmetry")</f>
        <v>Lexical explanation of line symmetry</v>
      </c>
    </row>
    <row r="306" spans="1:2">
      <c r="A306" s="13" t="str">
        <f ca="1">IFERROR(__xludf.DUMMYFUNCTION("""COMPUTED_VALUE"""),"LU000791")</f>
        <v>LU000791</v>
      </c>
      <c r="B306" s="13" t="str">
        <f ca="1">IFERROR(__xludf.DUMMYFUNCTION("""COMPUTED_VALUE"""),"Line of symmetry for regular polygons")</f>
        <v>Line of symmetry for regular polygons</v>
      </c>
    </row>
    <row r="307" spans="1:2">
      <c r="A307" s="13" t="str">
        <f ca="1">IFERROR(__xludf.DUMMYFUNCTION("""COMPUTED_VALUE"""),"LU000796")</f>
        <v>LU000796</v>
      </c>
      <c r="B307" s="13" t="str">
        <f ca="1">IFERROR(__xludf.DUMMYFUNCTION("""COMPUTED_VALUE"""),"Line of symmetry for figures")</f>
        <v>Line of symmetry for figures</v>
      </c>
    </row>
    <row r="308" spans="1:2">
      <c r="A308" s="13" t="str">
        <f ca="1">IFERROR(__xludf.DUMMYFUNCTION("""COMPUTED_VALUE"""),"LU001176")</f>
        <v>LU001176</v>
      </c>
      <c r="B308" s="13" t="str">
        <f ca="1">IFERROR(__xludf.DUMMYFUNCTION("""COMPUTED_VALUE"""),"Reflectional symmetry in types of triangles")</f>
        <v>Reflectional symmetry in types of triangles</v>
      </c>
    </row>
    <row r="309" spans="1:2">
      <c r="A309" s="13" t="str">
        <f ca="1">IFERROR(__xludf.DUMMYFUNCTION("""COMPUTED_VALUE"""),"LU000800")</f>
        <v>LU000800</v>
      </c>
      <c r="B309" s="13" t="str">
        <f ca="1">IFERROR(__xludf.DUMMYFUNCTION("""COMPUTED_VALUE"""),"Lines of symmetry of types of quadrilaterals")</f>
        <v>Lines of symmetry of types of quadrilaterals</v>
      </c>
    </row>
    <row r="310" spans="1:2">
      <c r="A310" s="13" t="str">
        <f ca="1">IFERROR(__xludf.DUMMYFUNCTION("""COMPUTED_VALUE"""),"LU000896")</f>
        <v>LU000896</v>
      </c>
      <c r="B310" s="13" t="str">
        <f ca="1">IFERROR(__xludf.DUMMYFUNCTION("""COMPUTED_VALUE"""),"Symmetry in letters")</f>
        <v>Symmetry in letters</v>
      </c>
    </row>
    <row r="311" spans="1:2">
      <c r="A311" s="13" t="str">
        <f ca="1">IFERROR(__xludf.DUMMYFUNCTION("""COMPUTED_VALUE"""),"LU000792")</f>
        <v>LU000792</v>
      </c>
      <c r="B311" s="13" t="str">
        <f ca="1">IFERROR(__xludf.DUMMYFUNCTION("""COMPUTED_VALUE"""),"Definition of rotational symmetry")</f>
        <v>Definition of rotational symmetry</v>
      </c>
    </row>
    <row r="312" spans="1:2">
      <c r="A312" s="13" t="str">
        <f ca="1">IFERROR(__xludf.DUMMYFUNCTION("""COMPUTED_VALUE"""),"LU000794")</f>
        <v>LU000794</v>
      </c>
      <c r="B312" s="13" t="str">
        <f ca="1">IFERROR(__xludf.DUMMYFUNCTION("""COMPUTED_VALUE"""),"Definition of angle of rotation")</f>
        <v>Definition of angle of rotation</v>
      </c>
    </row>
    <row r="313" spans="1:2">
      <c r="A313" s="13" t="str">
        <f ca="1">IFERROR(__xludf.DUMMYFUNCTION("""COMPUTED_VALUE"""),"LU000795")</f>
        <v>LU000795</v>
      </c>
      <c r="B313" s="13" t="str">
        <f ca="1">IFERROR(__xludf.DUMMYFUNCTION("""COMPUTED_VALUE"""),"Definition of order of rotational symmetry")</f>
        <v>Definition of order of rotational symmetry</v>
      </c>
    </row>
    <row r="314" spans="1:2">
      <c r="A314" s="13" t="str">
        <f ca="1">IFERROR(__xludf.DUMMYFUNCTION("""COMPUTED_VALUE"""),"LU000799")</f>
        <v>LU000799</v>
      </c>
      <c r="B314" s="13" t="str">
        <f ca="1">IFERROR(__xludf.DUMMYFUNCTION("""COMPUTED_VALUE"""),"Figures with line and rotational symmetry")</f>
        <v>Figures with line and rotational symmetry</v>
      </c>
    </row>
    <row r="315" spans="1:2">
      <c r="A315" s="13" t="str">
        <f ca="1">IFERROR(__xludf.DUMMYFUNCTION("""COMPUTED_VALUE"""),"LU000490")</f>
        <v>LU000490</v>
      </c>
      <c r="B315" s="13" t="str">
        <f ca="1">IFERROR(__xludf.DUMMYFUNCTION("""COMPUTED_VALUE"""),"Area of a parallelogram using the formula")</f>
        <v>Area of a parallelogram using the formula</v>
      </c>
    </row>
    <row r="316" spans="1:2">
      <c r="A316" s="13" t="str">
        <f ca="1">IFERROR(__xludf.DUMMYFUNCTION("""COMPUTED_VALUE"""),"LU000492")</f>
        <v>LU000492</v>
      </c>
      <c r="B316" s="13" t="str">
        <f ca="1">IFERROR(__xludf.DUMMYFUNCTION("""COMPUTED_VALUE"""),"Area of a triangle using the formula")</f>
        <v>Area of a triangle using the formula</v>
      </c>
    </row>
    <row r="317" spans="1:2">
      <c r="A317" s="13" t="str">
        <f ca="1">IFERROR(__xludf.DUMMYFUNCTION("""COMPUTED_VALUE"""),"LU000493")</f>
        <v>LU000493</v>
      </c>
      <c r="B317" s="13" t="str">
        <f ca="1">IFERROR(__xludf.DUMMYFUNCTION("""COMPUTED_VALUE"""),"Relationship between the diameter and the circumference of the circle")</f>
        <v>Relationship between the diameter and the circumference of the circle</v>
      </c>
    </row>
    <row r="318" spans="1:2">
      <c r="A318" s="13" t="str">
        <f ca="1">IFERROR(__xludf.DUMMYFUNCTION("""COMPUTED_VALUE"""),"LU000494")</f>
        <v>LU000494</v>
      </c>
      <c r="B318" s="13" t="str">
        <f ca="1">IFERROR(__xludf.DUMMYFUNCTION("""COMPUTED_VALUE"""),"Circumference of a circle")</f>
        <v>Circumference of a circle</v>
      </c>
    </row>
    <row r="319" spans="1:2">
      <c r="A319" s="13" t="str">
        <f ca="1">IFERROR(__xludf.DUMMYFUNCTION("""COMPUTED_VALUE"""),"LU000496")</f>
        <v>LU000496</v>
      </c>
      <c r="B319" s="13" t="str">
        <f ca="1">IFERROR(__xludf.DUMMYFUNCTION("""COMPUTED_VALUE"""),"Perimeter of a semicircle")</f>
        <v>Perimeter of a semicircle</v>
      </c>
    </row>
    <row r="320" spans="1:2">
      <c r="A320" s="13" t="str">
        <f ca="1">IFERROR(__xludf.DUMMYFUNCTION("""COMPUTED_VALUE"""),"LU000931")</f>
        <v>LU000931</v>
      </c>
      <c r="B320" s="13" t="str">
        <f ca="1">IFERROR(__xludf.DUMMYFUNCTION("""COMPUTED_VALUE"""),"Perimeter of combination of 2D shapes (rectangle, square, triangle, parallelogram, circle, semicircle)")</f>
        <v>Perimeter of combination of 2D shapes (rectangle, square, triangle, parallelogram, circle, semicircle)</v>
      </c>
    </row>
    <row r="321" spans="1:2">
      <c r="A321" s="13" t="str">
        <f ca="1">IFERROR(__xludf.DUMMYFUNCTION("""COMPUTED_VALUE"""),"LU000495")</f>
        <v>LU000495</v>
      </c>
      <c r="B321" s="13" t="str">
        <f ca="1">IFERROR(__xludf.DUMMYFUNCTION("""COMPUTED_VALUE"""),"Area of a circle")</f>
        <v>Area of a circle</v>
      </c>
    </row>
    <row r="322" spans="1:2">
      <c r="A322" s="13" t="str">
        <f ca="1">IFERROR(__xludf.DUMMYFUNCTION("""COMPUTED_VALUE"""),"LU000497")</f>
        <v>LU000497</v>
      </c>
      <c r="B322" s="13" t="str">
        <f ca="1">IFERROR(__xludf.DUMMYFUNCTION("""COMPUTED_VALUE"""),"Area of a semicircle")</f>
        <v>Area of a semicircle</v>
      </c>
    </row>
    <row r="323" spans="1:2">
      <c r="A323" s="13" t="str">
        <f ca="1">IFERROR(__xludf.DUMMYFUNCTION("""COMPUTED_VALUE"""),"LU000501")</f>
        <v>LU000501</v>
      </c>
      <c r="B323" s="13" t="str">
        <f ca="1">IFERROR(__xludf.DUMMYFUNCTION("""COMPUTED_VALUE"""),"Area of combination of 2D shapes (rectangle, square, triangle, parallelogram, circle, semicircle)")</f>
        <v>Area of combination of 2D shapes (rectangle, square, triangle, parallelogram, circle, semicircle)</v>
      </c>
    </row>
    <row r="324" spans="1:2">
      <c r="A324" s="13" t="str">
        <f ca="1">IFERROR(__xludf.DUMMYFUNCTION("""COMPUTED_VALUE"""),"LU000498")</f>
        <v>LU000498</v>
      </c>
      <c r="B324" s="13" t="str">
        <f ca="1">IFERROR(__xludf.DUMMYFUNCTION("""COMPUTED_VALUE"""),"Definition of concentric circles")</f>
        <v>Definition of concentric circles</v>
      </c>
    </row>
    <row r="325" spans="1:2">
      <c r="A325" s="13" t="str">
        <f ca="1">IFERROR(__xludf.DUMMYFUNCTION("""COMPUTED_VALUE"""),"LU000499")</f>
        <v>LU000499</v>
      </c>
      <c r="B325" s="13" t="str">
        <f ca="1">IFERROR(__xludf.DUMMYFUNCTION("""COMPUTED_VALUE"""),"Area between two concentric circles")</f>
        <v>Area between two concentric circles</v>
      </c>
    </row>
    <row r="326" spans="1:2">
      <c r="A326" s="13" t="str">
        <f ca="1">IFERROR(__xludf.DUMMYFUNCTION("""COMPUTED_VALUE"""),"LU000517")</f>
        <v>LU000517</v>
      </c>
      <c r="B326" s="13" t="str">
        <f ca="1">IFERROR(__xludf.DUMMYFUNCTION("""COMPUTED_VALUE"""),"Definition of exponent of a number")</f>
        <v>Definition of exponent of a number</v>
      </c>
    </row>
    <row r="327" spans="1:2">
      <c r="A327" s="13" t="str">
        <f ca="1">IFERROR(__xludf.DUMMYFUNCTION("""COMPUTED_VALUE"""),"LU000518")</f>
        <v>LU000518</v>
      </c>
      <c r="B327" s="13" t="str">
        <f ca="1">IFERROR(__xludf.DUMMYFUNCTION("""COMPUTED_VALUE"""),"Definition of base of a number")</f>
        <v>Definition of base of a number</v>
      </c>
    </row>
    <row r="328" spans="1:2">
      <c r="A328" s="13" t="str">
        <f ca="1">IFERROR(__xludf.DUMMYFUNCTION("""COMPUTED_VALUE"""),"LU000519")</f>
        <v>LU000519</v>
      </c>
      <c r="B328" s="13" t="str">
        <f ca="1">IFERROR(__xludf.DUMMYFUNCTION("""COMPUTED_VALUE"""),"Write whole numbers in exponential form")</f>
        <v>Write whole numbers in exponential form</v>
      </c>
    </row>
    <row r="329" spans="1:2">
      <c r="A329" s="13" t="str">
        <f ca="1">IFERROR(__xludf.DUMMYFUNCTION("""COMPUTED_VALUE"""),"LU000934")</f>
        <v>LU000934</v>
      </c>
      <c r="B329" s="13" t="str">
        <f ca="1">IFERROR(__xludf.DUMMYFUNCTION("""COMPUTED_VALUE"""),"Convert negative integer numbers to exponential form")</f>
        <v>Convert negative integer numbers to exponential form</v>
      </c>
    </row>
    <row r="330" spans="1:2">
      <c r="A330" s="13" t="str">
        <f ca="1">IFERROR(__xludf.DUMMYFUNCTION("""COMPUTED_VALUE"""),"LU000547")</f>
        <v>LU000547</v>
      </c>
      <c r="B330" s="13" t="str">
        <f ca="1">IFERROR(__xludf.DUMMYFUNCTION("""COMPUTED_VALUE"""),"Convert positive rational numbers to exponential form")</f>
        <v>Convert positive rational numbers to exponential form</v>
      </c>
    </row>
    <row r="331" spans="1:2">
      <c r="A331" s="13" t="str">
        <f ca="1">IFERROR(__xludf.DUMMYFUNCTION("""COMPUTED_VALUE"""),"LU000553")</f>
        <v>LU000553</v>
      </c>
      <c r="B331" s="13" t="str">
        <f ca="1">IFERROR(__xludf.DUMMYFUNCTION("""COMPUTED_VALUE"""),"Convert negative rational numbers to exponential form")</f>
        <v>Convert negative rational numbers to exponential form</v>
      </c>
    </row>
    <row r="332" spans="1:2">
      <c r="A332" s="13" t="str">
        <f ca="1">IFERROR(__xludf.DUMMYFUNCTION("""COMPUTED_VALUE"""),"LU001053")</f>
        <v>LU001053</v>
      </c>
      <c r="B332" s="13" t="str">
        <f ca="1">IFERROR(__xludf.DUMMYFUNCTION("""COMPUTED_VALUE"""),"Comparison of numbers in exponential form (a^b)")</f>
        <v>Comparison of numbers in exponential form (a^b)</v>
      </c>
    </row>
    <row r="333" spans="1:2">
      <c r="A333" s="13" t="str">
        <f ca="1">IFERROR(__xludf.DUMMYFUNCTION("""COMPUTED_VALUE"""),"LU000520")</f>
        <v>LU000520</v>
      </c>
      <c r="B333" s="13" t="str">
        <f ca="1">IFERROR(__xludf.DUMMYFUNCTION("""COMPUTED_VALUE"""),"Law of product of power with the same base for whole numbers")</f>
        <v>Law of product of power with the same base for whole numbers</v>
      </c>
    </row>
    <row r="334" spans="1:2">
      <c r="A334" s="13" t="str">
        <f ca="1">IFERROR(__xludf.DUMMYFUNCTION("""COMPUTED_VALUE"""),"LU000521")</f>
        <v>LU000521</v>
      </c>
      <c r="B334" s="13" t="str">
        <f ca="1">IFERROR(__xludf.DUMMYFUNCTION("""COMPUTED_VALUE"""),"Law of product of power with the same base for integers")</f>
        <v>Law of product of power with the same base for integers</v>
      </c>
    </row>
    <row r="335" spans="1:2">
      <c r="A335" s="13" t="str">
        <f ca="1">IFERROR(__xludf.DUMMYFUNCTION("""COMPUTED_VALUE"""),"LU000523")</f>
        <v>LU000523</v>
      </c>
      <c r="B335" s="13" t="str">
        <f ca="1">IFERROR(__xludf.DUMMYFUNCTION("""COMPUTED_VALUE"""),"Law of quotient of powers with the same base for whole numbers")</f>
        <v>Law of quotient of powers with the same base for whole numbers</v>
      </c>
    </row>
    <row r="336" spans="1:2">
      <c r="A336" s="13" t="str">
        <f ca="1">IFERROR(__xludf.DUMMYFUNCTION("""COMPUTED_VALUE"""),"LU000524")</f>
        <v>LU000524</v>
      </c>
      <c r="B336" s="13" t="str">
        <f ca="1">IFERROR(__xludf.DUMMYFUNCTION("""COMPUTED_VALUE"""),"Law of quotient of power with the same base for integers")</f>
        <v>Law of quotient of power with the same base for integers</v>
      </c>
    </row>
    <row r="337" spans="1:2">
      <c r="A337" s="13" t="str">
        <f ca="1">IFERROR(__xludf.DUMMYFUNCTION("""COMPUTED_VALUE"""),"LU000529")</f>
        <v>LU000529</v>
      </c>
      <c r="B337" s="13" t="str">
        <f ca="1">IFERROR(__xludf.DUMMYFUNCTION("""COMPUTED_VALUE"""),"Law of product of power with the same exponent for whole numbers")</f>
        <v>Law of product of power with the same exponent for whole numbers</v>
      </c>
    </row>
    <row r="338" spans="1:2">
      <c r="A338" s="13" t="str">
        <f ca="1">IFERROR(__xludf.DUMMYFUNCTION("""COMPUTED_VALUE"""),"LU000530")</f>
        <v>LU000530</v>
      </c>
      <c r="B338" s="13" t="str">
        <f ca="1">IFERROR(__xludf.DUMMYFUNCTION("""COMPUTED_VALUE"""),"Law of product of power with the same exponent for integers")</f>
        <v>Law of product of power with the same exponent for integers</v>
      </c>
    </row>
    <row r="339" spans="1:2">
      <c r="A339" s="13" t="str">
        <f ca="1">IFERROR(__xludf.DUMMYFUNCTION("""COMPUTED_VALUE"""),"LU000532")</f>
        <v>LU000532</v>
      </c>
      <c r="B339" s="13" t="str">
        <f ca="1">IFERROR(__xludf.DUMMYFUNCTION("""COMPUTED_VALUE"""),"Law of quotient of powers with the same exponent for whole numbers")</f>
        <v>Law of quotient of powers with the same exponent for whole numbers</v>
      </c>
    </row>
    <row r="340" spans="1:2">
      <c r="A340" s="13" t="str">
        <f ca="1">IFERROR(__xludf.DUMMYFUNCTION("""COMPUTED_VALUE"""),"LU000533")</f>
        <v>LU000533</v>
      </c>
      <c r="B340" s="13" t="str">
        <f ca="1">IFERROR(__xludf.DUMMYFUNCTION("""COMPUTED_VALUE"""),"Law of quotient of power with the same exponent for integers")</f>
        <v>Law of quotient of power with the same exponent for integers</v>
      </c>
    </row>
    <row r="341" spans="1:2">
      <c r="A341" s="13" t="str">
        <f ca="1">IFERROR(__xludf.DUMMYFUNCTION("""COMPUTED_VALUE"""),"LU000526")</f>
        <v>LU000526</v>
      </c>
      <c r="B341" s="13" t="str">
        <f ca="1">IFERROR(__xludf.DUMMYFUNCTION("""COMPUTED_VALUE"""),"Law of power of a power for whole numbers")</f>
        <v>Law of power of a power for whole numbers</v>
      </c>
    </row>
    <row r="342" spans="1:2">
      <c r="A342" s="13" t="str">
        <f ca="1">IFERROR(__xludf.DUMMYFUNCTION("""COMPUTED_VALUE"""),"LU000527")</f>
        <v>LU000527</v>
      </c>
      <c r="B342" s="13" t="str">
        <f ca="1">IFERROR(__xludf.DUMMYFUNCTION("""COMPUTED_VALUE"""),"Law of power of a power for integers")</f>
        <v>Law of power of a power for integers</v>
      </c>
    </row>
    <row r="343" spans="1:2">
      <c r="A343" s="13" t="str">
        <f ca="1">IFERROR(__xludf.DUMMYFUNCTION("""COMPUTED_VALUE"""),"LU000538")</f>
        <v>LU000538</v>
      </c>
      <c r="B343" s="13" t="str">
        <f ca="1">IFERROR(__xludf.DUMMYFUNCTION("""COMPUTED_VALUE"""),"Law of zero power for whole numbers")</f>
        <v>Law of zero power for whole numbers</v>
      </c>
    </row>
    <row r="344" spans="1:2">
      <c r="A344" s="13" t="str">
        <f ca="1">IFERROR(__xludf.DUMMYFUNCTION("""COMPUTED_VALUE"""),"LU000539")</f>
        <v>LU000539</v>
      </c>
      <c r="B344" s="13" t="str">
        <f ca="1">IFERROR(__xludf.DUMMYFUNCTION("""COMPUTED_VALUE"""),"Law of zero power for integers")</f>
        <v>Law of zero power for integers</v>
      </c>
    </row>
    <row r="345" spans="1:2">
      <c r="A345" s="13" t="str">
        <f ca="1">IFERROR(__xludf.DUMMYFUNCTION("""COMPUTED_VALUE"""),"LU000541")</f>
        <v>LU000541</v>
      </c>
      <c r="B345" s="13" t="str">
        <f ca="1">IFERROR(__xludf.DUMMYFUNCTION("""COMPUTED_VALUE"""),"Application of multiple laws of exponent (exponent is whole number)")</f>
        <v>Application of multiple laws of exponent (exponent is whole number)</v>
      </c>
    </row>
    <row r="346" spans="1:2">
      <c r="A346" s="13" t="str">
        <f ca="1">IFERROR(__xludf.DUMMYFUNCTION("""COMPUTED_VALUE"""),"LU000542")</f>
        <v>LU000542</v>
      </c>
      <c r="B346" s="13" t="str">
        <f ca="1">IFERROR(__xludf.DUMMYFUNCTION("""COMPUTED_VALUE"""),"Definition of standard form of a number")</f>
        <v>Definition of standard form of a number</v>
      </c>
    </row>
    <row r="347" spans="1:2">
      <c r="A347" s="13" t="str">
        <f ca="1">IFERROR(__xludf.DUMMYFUNCTION("""COMPUTED_VALUE"""),"LU000544")</f>
        <v>LU000544</v>
      </c>
      <c r="B347" s="13" t="str">
        <f ca="1">IFERROR(__xludf.DUMMYFUNCTION("""COMPUTED_VALUE"""),"Conversion of large numbers into standard form")</f>
        <v>Conversion of large numbers into standard form</v>
      </c>
    </row>
    <row r="348" spans="1:2">
      <c r="A348" s="13" t="str">
        <f ca="1">IFERROR(__xludf.DUMMYFUNCTION("""COMPUTED_VALUE"""),"LU000548")</f>
        <v>LU000548</v>
      </c>
      <c r="B348" s="13" t="str">
        <f ca="1">IFERROR(__xludf.DUMMYFUNCTION("""COMPUTED_VALUE"""),"Conversion of numbers in standard form to normal form")</f>
        <v>Conversion of numbers in standard form to normal form</v>
      </c>
    </row>
    <row r="349" spans="1:2">
      <c r="A349" s="13" t="str">
        <f ca="1">IFERROR(__xludf.DUMMYFUNCTION("""COMPUTED_VALUE"""),"LU000423")</f>
        <v>LU000423</v>
      </c>
      <c r="B349" s="13" t="str">
        <f ca="1">IFERROR(__xludf.DUMMYFUNCTION("""COMPUTED_VALUE"""),"Medians of a triangle")</f>
        <v>Medians of a triangle</v>
      </c>
    </row>
    <row r="350" spans="1:2">
      <c r="A350" s="13" t="str">
        <f ca="1">IFERROR(__xludf.DUMMYFUNCTION("""COMPUTED_VALUE"""),"LU000424")</f>
        <v>LU000424</v>
      </c>
      <c r="B350" s="13" t="str">
        <f ca="1">IFERROR(__xludf.DUMMYFUNCTION("""COMPUTED_VALUE"""),"Altitudes of a triangle")</f>
        <v>Altitudes of a triangle</v>
      </c>
    </row>
    <row r="351" spans="1:2">
      <c r="A351" s="13" t="str">
        <f ca="1">IFERROR(__xludf.DUMMYFUNCTION("""COMPUTED_VALUE"""),"LU000425")</f>
        <v>LU000425</v>
      </c>
      <c r="B351" s="13" t="str">
        <f ca="1">IFERROR(__xludf.DUMMYFUNCTION("""COMPUTED_VALUE"""),"Exterior and interior angles of a polygon")</f>
        <v>Exterior and interior angles of a polygon</v>
      </c>
    </row>
    <row r="352" spans="1:2">
      <c r="A352" s="13" t="str">
        <f ca="1">IFERROR(__xludf.DUMMYFUNCTION("""COMPUTED_VALUE"""),"LU000426")</f>
        <v>LU000426</v>
      </c>
      <c r="B352" s="13" t="str">
        <f ca="1">IFERROR(__xludf.DUMMYFUNCTION("""COMPUTED_VALUE"""),"Interior opposite angles corresponding to any exterior angle of a triangle")</f>
        <v>Interior opposite angles corresponding to any exterior angle of a triangle</v>
      </c>
    </row>
    <row r="353" spans="1:2">
      <c r="A353" s="13" t="str">
        <f ca="1">IFERROR(__xludf.DUMMYFUNCTION("""COMPUTED_VALUE"""),"LU000429")</f>
        <v>LU000429</v>
      </c>
      <c r="B353" s="13" t="str">
        <f ca="1">IFERROR(__xludf.DUMMYFUNCTION("""COMPUTED_VALUE"""),"Exterior angle property of a triangle")</f>
        <v>Exterior angle property of a triangle</v>
      </c>
    </row>
    <row r="354" spans="1:2">
      <c r="A354" s="13" t="str">
        <f ca="1">IFERROR(__xludf.DUMMYFUNCTION("""COMPUTED_VALUE"""),"LU000430")</f>
        <v>LU000430</v>
      </c>
      <c r="B354" s="13" t="str">
        <f ca="1">IFERROR(__xludf.DUMMYFUNCTION("""COMPUTED_VALUE"""),"Angle sum property of a triangle")</f>
        <v>Angle sum property of a triangle</v>
      </c>
    </row>
    <row r="355" spans="1:2">
      <c r="A355" s="13" t="str">
        <f ca="1">IFERROR(__xludf.DUMMYFUNCTION("""COMPUTED_VALUE"""),"LU000427")</f>
        <v>LU000427</v>
      </c>
      <c r="B355" s="13" t="str">
        <f ca="1">IFERROR(__xludf.DUMMYFUNCTION("""COMPUTED_VALUE"""),"Properties of an isosceles triangle")</f>
        <v>Properties of an isosceles triangle</v>
      </c>
    </row>
    <row r="356" spans="1:2">
      <c r="A356" s="13" t="str">
        <f ca="1">IFERROR(__xludf.DUMMYFUNCTION("""COMPUTED_VALUE"""),"LU000428")</f>
        <v>LU000428</v>
      </c>
      <c r="B356" s="13" t="str">
        <f ca="1">IFERROR(__xludf.DUMMYFUNCTION("""COMPUTED_VALUE"""),"Properties of an equilateral triangle")</f>
        <v>Properties of an equilateral triangle</v>
      </c>
    </row>
    <row r="357" spans="1:2">
      <c r="A357" s="13" t="str">
        <f ca="1">IFERROR(__xludf.DUMMYFUNCTION("""COMPUTED_VALUE"""),"LU000431")</f>
        <v>LU000431</v>
      </c>
      <c r="B357" s="13" t="str">
        <f ca="1">IFERROR(__xludf.DUMMYFUNCTION("""COMPUTED_VALUE"""),"Triangle inequality (Relationship between sides of a triangle)")</f>
        <v>Triangle inequality (Relationship between sides of a triangle)</v>
      </c>
    </row>
    <row r="358" spans="1:2">
      <c r="A358" s="13" t="str">
        <f ca="1">IFERROR(__xludf.DUMMYFUNCTION("""COMPUTED_VALUE"""),"LU000432")</f>
        <v>LU000432</v>
      </c>
      <c r="B358" s="13" t="str">
        <f ca="1">IFERROR(__xludf.DUMMYFUNCTION("""COMPUTED_VALUE"""),"Pythagorean triplets")</f>
        <v>Pythagorean triplets</v>
      </c>
    </row>
    <row r="359" spans="1:2">
      <c r="A359" s="13" t="str">
        <f ca="1">IFERROR(__xludf.DUMMYFUNCTION("""COMPUTED_VALUE"""),"LU000433")</f>
        <v>LU000433</v>
      </c>
      <c r="B359" s="13" t="str">
        <f ca="1">IFERROR(__xludf.DUMMYFUNCTION("""COMPUTED_VALUE"""),"Parts of a right-angled triangle")</f>
        <v>Parts of a right-angled triangle</v>
      </c>
    </row>
    <row r="360" spans="1:2">
      <c r="A360" s="13" t="str">
        <f ca="1">IFERROR(__xludf.DUMMYFUNCTION("""COMPUTED_VALUE"""),"LU000434")</f>
        <v>LU000434</v>
      </c>
      <c r="B360" s="13" t="str">
        <f ca="1">IFERROR(__xludf.DUMMYFUNCTION("""COMPUTED_VALUE"""),"Pythagoras property")</f>
        <v>Pythagoras property</v>
      </c>
    </row>
    <row r="361" spans="1:2">
      <c r="A361" s="13" t="str">
        <f ca="1">IFERROR(__xludf.DUMMYFUNCTION("""COMPUTED_VALUE"""),"LU000435")</f>
        <v>LU000435</v>
      </c>
      <c r="B361" s="13" t="str">
        <f ca="1">IFERROR(__xludf.DUMMYFUNCTION("""COMPUTED_VALUE"""),"Converse of Pythagoras property")</f>
        <v>Converse of Pythagoras property</v>
      </c>
    </row>
    <row r="362" spans="1:2">
      <c r="A362" s="13" t="str">
        <f ca="1">IFERROR(__xludf.DUMMYFUNCTION("""COMPUTED_VALUE"""),"LU000554")</f>
        <v>LU000554</v>
      </c>
      <c r="B362" s="13" t="str">
        <f ca="1">IFERROR(__xludf.DUMMYFUNCTION("""COMPUTED_VALUE"""),"Definition of plane figures")</f>
        <v>Definition of plane figures</v>
      </c>
    </row>
    <row r="363" spans="1:2">
      <c r="A363" s="13" t="str">
        <f ca="1">IFERROR(__xludf.DUMMYFUNCTION("""COMPUTED_VALUE"""),"LU000248")</f>
        <v>LU000248</v>
      </c>
      <c r="B363" s="13" t="str">
        <f ca="1">IFERROR(__xludf.DUMMYFUNCTION("""COMPUTED_VALUE"""),"Identify three dimensional shapes(Cube/cuboids/spheres/cylinders/cones/prisms/pyramids)")</f>
        <v>Identify three dimensional shapes(Cube/cuboids/spheres/cylinders/cones/prisms/pyramids)</v>
      </c>
    </row>
    <row r="364" spans="1:2">
      <c r="A364" s="13" t="str">
        <f ca="1">IFERROR(__xludf.DUMMYFUNCTION("""COMPUTED_VALUE"""),"LU000570")</f>
        <v>LU000570</v>
      </c>
      <c r="B364" s="13" t="str">
        <f ca="1">IFERROR(__xludf.DUMMYFUNCTION("""COMPUTED_VALUE"""),"Definition of three dimensional shape - tetrahedron")</f>
        <v>Definition of three dimensional shape - tetrahedron</v>
      </c>
    </row>
    <row r="365" spans="1:2">
      <c r="A365" s="13" t="str">
        <f ca="1">IFERROR(__xludf.DUMMYFUNCTION("""COMPUTED_VALUE"""),"LU000249")</f>
        <v>LU000249</v>
      </c>
      <c r="B365" s="13" t="str">
        <f ca="1">IFERROR(__xludf.DUMMYFUNCTION("""COMPUTED_VALUE"""),"Lexical explanation of three dimensional shapes-Cube")</f>
        <v>Lexical explanation of three dimensional shapes-Cube</v>
      </c>
    </row>
    <row r="366" spans="1:2">
      <c r="A366" s="13" t="str">
        <f ca="1">IFERROR(__xludf.DUMMYFUNCTION("""COMPUTED_VALUE"""),"LU000251")</f>
        <v>LU000251</v>
      </c>
      <c r="B366" s="13" t="str">
        <f ca="1">IFERROR(__xludf.DUMMYFUNCTION("""COMPUTED_VALUE"""),"Lexical explanation of three dimensional shapes-cuboids")</f>
        <v>Lexical explanation of three dimensional shapes-cuboids</v>
      </c>
    </row>
    <row r="367" spans="1:2">
      <c r="A367" s="13" t="str">
        <f ca="1">IFERROR(__xludf.DUMMYFUNCTION("""COMPUTED_VALUE"""),"LU000255")</f>
        <v>LU000255</v>
      </c>
      <c r="B367" s="13" t="str">
        <f ca="1">IFERROR(__xludf.DUMMYFUNCTION("""COMPUTED_VALUE"""),"Lexical explanation of three dimensional shapes-prisms")</f>
        <v>Lexical explanation of three dimensional shapes-prisms</v>
      </c>
    </row>
    <row r="368" spans="1:2">
      <c r="A368" s="13" t="str">
        <f ca="1">IFERROR(__xludf.DUMMYFUNCTION("""COMPUTED_VALUE"""),"LU000254")</f>
        <v>LU000254</v>
      </c>
      <c r="B368" s="13" t="str">
        <f ca="1">IFERROR(__xludf.DUMMYFUNCTION("""COMPUTED_VALUE"""),"Lexical explanation of three dimensional shapes-cones")</f>
        <v>Lexical explanation of three dimensional shapes-cones</v>
      </c>
    </row>
    <row r="369" spans="1:2">
      <c r="A369" s="13" t="str">
        <f ca="1">IFERROR(__xludf.DUMMYFUNCTION("""COMPUTED_VALUE"""),"LU000253")</f>
        <v>LU000253</v>
      </c>
      <c r="B369" s="13" t="str">
        <f ca="1">IFERROR(__xludf.DUMMYFUNCTION("""COMPUTED_VALUE"""),"Lexical explanation of three dimensional shapes-cylinders")</f>
        <v>Lexical explanation of three dimensional shapes-cylinders</v>
      </c>
    </row>
    <row r="370" spans="1:2">
      <c r="A370" s="13" t="str">
        <f ca="1">IFERROR(__xludf.DUMMYFUNCTION("""COMPUTED_VALUE"""),"LU000256")</f>
        <v>LU000256</v>
      </c>
      <c r="B370" s="13" t="str">
        <f ca="1">IFERROR(__xludf.DUMMYFUNCTION("""COMPUTED_VALUE"""),"Lexical explanation of three dimensional shapes-pyramids")</f>
        <v>Lexical explanation of three dimensional shapes-pyramids</v>
      </c>
    </row>
    <row r="371" spans="1:2">
      <c r="A371" s="13" t="str">
        <f ca="1">IFERROR(__xludf.DUMMYFUNCTION("""COMPUTED_VALUE"""),"LU000555")</f>
        <v>LU000555</v>
      </c>
      <c r="B371" s="13" t="str">
        <f ca="1">IFERROR(__xludf.DUMMYFUNCTION("""COMPUTED_VALUE"""),"Lexical explanation of composite three dimensional shapes (made of cube/cuboids/spheres/cylinders/cones/prisms/triangular pyramids/square pyramids)")</f>
        <v>Lexical explanation of composite three dimensional shapes (made of cube/cuboids/spheres/cylinders/cones/prisms/triangular pyramids/square pyramids)</v>
      </c>
    </row>
    <row r="372" spans="1:2">
      <c r="A372" s="13" t="str">
        <f ca="1">IFERROR(__xludf.DUMMYFUNCTION("""COMPUTED_VALUE"""),"LU000080")</f>
        <v>LU000080</v>
      </c>
      <c r="B372" s="13" t="str">
        <f ca="1">IFERROR(__xludf.DUMMYFUNCTION("""COMPUTED_VALUE"""),"2D representation (drawing of the nets) of a cube")</f>
        <v>2D representation (drawing of the nets) of a cube</v>
      </c>
    </row>
    <row r="373" spans="1:2">
      <c r="A373" s="13" t="str">
        <f ca="1">IFERROR(__xludf.DUMMYFUNCTION("""COMPUTED_VALUE"""),"LU000081")</f>
        <v>LU000081</v>
      </c>
      <c r="B373" s="13" t="str">
        <f ca="1">IFERROR(__xludf.DUMMYFUNCTION("""COMPUTED_VALUE"""),"2D representation (drawing of the nets) of a cuboid")</f>
        <v>2D representation (drawing of the nets) of a cuboid</v>
      </c>
    </row>
    <row r="374" spans="1:2">
      <c r="A374" s="13" t="str">
        <f ca="1">IFERROR(__xludf.DUMMYFUNCTION("""COMPUTED_VALUE"""),"LU000082")</f>
        <v>LU000082</v>
      </c>
      <c r="B374" s="13" t="str">
        <f ca="1">IFERROR(__xludf.DUMMYFUNCTION("""COMPUTED_VALUE"""),"2D representation (drawing of the nets) of a triangular prism")</f>
        <v>2D representation (drawing of the nets) of a triangular prism</v>
      </c>
    </row>
    <row r="375" spans="1:2">
      <c r="A375" s="13" t="str">
        <f ca="1">IFERROR(__xludf.DUMMYFUNCTION("""COMPUTED_VALUE"""),"LU000083")</f>
        <v>LU000083</v>
      </c>
      <c r="B375" s="13" t="str">
        <f ca="1">IFERROR(__xludf.DUMMYFUNCTION("""COMPUTED_VALUE"""),"2D representation (drawing of the nets) of a cylinder")</f>
        <v>2D representation (drawing of the nets) of a cylinder</v>
      </c>
    </row>
    <row r="376" spans="1:2">
      <c r="A376" s="13" t="str">
        <f ca="1">IFERROR(__xludf.DUMMYFUNCTION("""COMPUTED_VALUE"""),"LU000087")</f>
        <v>LU000087</v>
      </c>
      <c r="B376" s="13" t="str">
        <f ca="1">IFERROR(__xludf.DUMMYFUNCTION("""COMPUTED_VALUE"""),"2D representation (drawing of the nets) of a cone")</f>
        <v>2D representation (drawing of the nets) of a cone</v>
      </c>
    </row>
    <row r="377" spans="1:2">
      <c r="A377" s="13" t="str">
        <f ca="1">IFERROR(__xludf.DUMMYFUNCTION("""COMPUTED_VALUE"""),"LU000091")</f>
        <v>LU000091</v>
      </c>
      <c r="B377" s="13" t="str">
        <f ca="1">IFERROR(__xludf.DUMMYFUNCTION("""COMPUTED_VALUE"""),"2D representation (drawing of the nets) of a pyramid")</f>
        <v>2D representation (drawing of the nets) of a pyramid</v>
      </c>
    </row>
    <row r="378" spans="1:2">
      <c r="A378" s="13" t="str">
        <f ca="1">IFERROR(__xludf.DUMMYFUNCTION("""COMPUTED_VALUE"""),"LU001029")</f>
        <v>LU001029</v>
      </c>
      <c r="B378" s="13" t="str">
        <f ca="1">IFERROR(__xludf.DUMMYFUNCTION("""COMPUTED_VALUE"""),"Oblique sketches of a cube")</f>
        <v>Oblique sketches of a cube</v>
      </c>
    </row>
    <row r="379" spans="1:2">
      <c r="A379" s="13" t="str">
        <f ca="1">IFERROR(__xludf.DUMMYFUNCTION("""COMPUTED_VALUE"""),"LU001030")</f>
        <v>LU001030</v>
      </c>
      <c r="B379" s="13" t="str">
        <f ca="1">IFERROR(__xludf.DUMMYFUNCTION("""COMPUTED_VALUE"""),"Oblique sketches of a cuboid")</f>
        <v>Oblique sketches of a cuboid</v>
      </c>
    </row>
    <row r="380" spans="1:2">
      <c r="A380" s="13" t="str">
        <f ca="1">IFERROR(__xludf.DUMMYFUNCTION("""COMPUTED_VALUE"""),"LU000558")</f>
        <v>LU000558</v>
      </c>
      <c r="B380" s="13" t="str">
        <f ca="1">IFERROR(__xludf.DUMMYFUNCTION("""COMPUTED_VALUE"""),"Isometric sketches of solid shapes")</f>
        <v>Isometric sketches of solid shapes</v>
      </c>
    </row>
    <row r="381" spans="1:2">
      <c r="A381" s="13" t="str">
        <f ca="1">IFERROR(__xludf.DUMMYFUNCTION("""COMPUTED_VALUE"""),"LU001031")</f>
        <v>LU001031</v>
      </c>
      <c r="B381" s="13" t="str">
        <f ca="1">IFERROR(__xludf.DUMMYFUNCTION("""COMPUTED_VALUE"""),"View of a cube by cutting or slicing")</f>
        <v>View of a cube by cutting or slicing</v>
      </c>
    </row>
    <row r="382" spans="1:2">
      <c r="A382" s="13" t="str">
        <f ca="1">IFERROR(__xludf.DUMMYFUNCTION("""COMPUTED_VALUE"""),"LU001032")</f>
        <v>LU001032</v>
      </c>
      <c r="B382" s="13" t="str">
        <f ca="1">IFERROR(__xludf.DUMMYFUNCTION("""COMPUTED_VALUE"""),"View of a cuboid by cutting or slicing")</f>
        <v>View of a cuboid by cutting or slicing</v>
      </c>
    </row>
    <row r="383" spans="1:2">
      <c r="A383" s="13" t="str">
        <f ca="1">IFERROR(__xludf.DUMMYFUNCTION("""COMPUTED_VALUE"""),"LU001036")</f>
        <v>LU001036</v>
      </c>
      <c r="B383" s="13" t="str">
        <f ca="1">IFERROR(__xludf.DUMMYFUNCTION("""COMPUTED_VALUE"""),"View of a pyramid by cutting or slicing")</f>
        <v>View of a pyramid by cutting or slicing</v>
      </c>
    </row>
    <row r="384" spans="1:2">
      <c r="A384" s="13" t="str">
        <f ca="1">IFERROR(__xludf.DUMMYFUNCTION("""COMPUTED_VALUE"""),"LU001033")</f>
        <v>LU001033</v>
      </c>
      <c r="B384" s="13" t="str">
        <f ca="1">IFERROR(__xludf.DUMMYFUNCTION("""COMPUTED_VALUE"""),"View of a cone by cutting or slicing")</f>
        <v>View of a cone by cutting or slicing</v>
      </c>
    </row>
    <row r="385" spans="1:2">
      <c r="A385" s="13" t="str">
        <f ca="1">IFERROR(__xludf.DUMMYFUNCTION("""COMPUTED_VALUE"""),"LU001034")</f>
        <v>LU001034</v>
      </c>
      <c r="B385" s="13" t="str">
        <f ca="1">IFERROR(__xludf.DUMMYFUNCTION("""COMPUTED_VALUE"""),"View of a sphere by cutting or slicing")</f>
        <v>View of a sphere by cutting or slicing</v>
      </c>
    </row>
    <row r="386" spans="1:2">
      <c r="A386" s="13" t="str">
        <f ca="1">IFERROR(__xludf.DUMMYFUNCTION("""COMPUTED_VALUE"""),"LU001035")</f>
        <v>LU001035</v>
      </c>
      <c r="B386" s="13" t="str">
        <f ca="1">IFERROR(__xludf.DUMMYFUNCTION("""COMPUTED_VALUE"""),"View of a cylinder by cutting or slicing")</f>
        <v>View of a cylinder by cutting or slicing</v>
      </c>
    </row>
    <row r="387" spans="1:2">
      <c r="A387" s="13" t="str">
        <f ca="1">IFERROR(__xludf.DUMMYFUNCTION("""COMPUTED_VALUE"""),"LU000561")</f>
        <v>LU000561</v>
      </c>
      <c r="B387" s="13" t="str">
        <f ca="1">IFERROR(__xludf.DUMMYFUNCTION("""COMPUTED_VALUE"""),"View of an object (cube, cuboid, cylinder, sphere, cone) by shadow play")</f>
        <v>View of an object (cube, cuboid, cylinder, sphere, cone) by shadow play</v>
      </c>
    </row>
    <row r="388" spans="1:2">
      <c r="A388" s="13" t="str">
        <f ca="1">IFERROR(__xludf.DUMMYFUNCTION("""COMPUTED_VALUE"""),"LU000562")</f>
        <v>LU000562</v>
      </c>
      <c r="B388" s="13" t="str">
        <f ca="1">IFERROR(__xludf.DUMMYFUNCTION("""COMPUTED_VALUE"""),"View(side, front and top) of an object from certain angles")</f>
        <v>View(side, front and top) of an object from certain angles</v>
      </c>
    </row>
    <row r="389" spans="1:2">
      <c r="A389" s="13" t="str">
        <f ca="1">IFERROR(__xludf.DUMMYFUNCTION("""COMPUTED_VALUE"""),"LU000559")</f>
        <v>LU000559</v>
      </c>
      <c r="B389" s="13" t="str">
        <f ca="1">IFERROR(__xludf.DUMMYFUNCTION("""COMPUTED_VALUE"""),"View of different sections of a solid")</f>
        <v>View of different sections of a solid</v>
      </c>
    </row>
    <row r="390" spans="1:2">
      <c r="A390" s="13" t="str">
        <f ca="1">IFERROR(__xludf.DUMMYFUNCTION("""COMPUTED_VALUE"""),"LU000563")</f>
        <v>LU000563</v>
      </c>
      <c r="B390" s="13" t="str">
        <f ca="1">IFERROR(__xludf.DUMMYFUNCTION("""COMPUTED_VALUE"""),"Visualisation of three dimensional shapes by viewing the smallest unit")</f>
        <v>Visualisation of three dimensional shapes by viewing the smallest unit</v>
      </c>
    </row>
    <row r="391" spans="1:2">
      <c r="A391" s="13" t="str">
        <f ca="1">IFERROR(__xludf.DUMMYFUNCTION("""COMPUTED_VALUE"""),"LUID")</f>
        <v>LUID</v>
      </c>
      <c r="B391" s="13" t="str">
        <f ca="1">IFERROR(__xludf.DUMMYFUNCTION("""COMPUTED_VALUE"""),"LUs Covered")</f>
        <v>LUs Covered</v>
      </c>
    </row>
    <row r="392" spans="1:2">
      <c r="A392" s="13" t="str">
        <f ca="1">IFERROR(__xludf.DUMMYFUNCTION("""COMPUTED_VALUE"""),"LU001037")</f>
        <v>LU001037</v>
      </c>
      <c r="B392" s="13" t="str">
        <f ca="1">IFERROR(__xludf.DUMMYFUNCTION("""COMPUTED_VALUE"""),"Closure property for addition of rational numbers")</f>
        <v>Closure property for addition of rational numbers</v>
      </c>
    </row>
    <row r="393" spans="1:2">
      <c r="A393" s="13" t="str">
        <f ca="1">IFERROR(__xludf.DUMMYFUNCTION("""COMPUTED_VALUE"""),"LU001038")</f>
        <v>LU001038</v>
      </c>
      <c r="B393" s="13" t="str">
        <f ca="1">IFERROR(__xludf.DUMMYFUNCTION("""COMPUTED_VALUE"""),"Closure property for subtraction of rational numbers")</f>
        <v>Closure property for subtraction of rational numbers</v>
      </c>
    </row>
    <row r="394" spans="1:2">
      <c r="A394" s="13" t="str">
        <f ca="1">IFERROR(__xludf.DUMMYFUNCTION("""COMPUTED_VALUE"""),"LU001039")</f>
        <v>LU001039</v>
      </c>
      <c r="B394" s="13" t="str">
        <f ca="1">IFERROR(__xludf.DUMMYFUNCTION("""COMPUTED_VALUE"""),"Closure property for multiplication of rational numbers")</f>
        <v>Closure property for multiplication of rational numbers</v>
      </c>
    </row>
    <row r="395" spans="1:2">
      <c r="A395" s="13" t="str">
        <f ca="1">IFERROR(__xludf.DUMMYFUNCTION("""COMPUTED_VALUE"""),"LU001040")</f>
        <v>LU001040</v>
      </c>
      <c r="B395" s="13" t="str">
        <f ca="1">IFERROR(__xludf.DUMMYFUNCTION("""COMPUTED_VALUE"""),"Examination of closure property for division of rational numbers")</f>
        <v>Examination of closure property for division of rational numbers</v>
      </c>
    </row>
    <row r="396" spans="1:2">
      <c r="A396" s="13" t="str">
        <f ca="1">IFERROR(__xludf.DUMMYFUNCTION("""COMPUTED_VALUE"""),"LU001041")</f>
        <v>LU001041</v>
      </c>
      <c r="B396" s="13" t="str">
        <f ca="1">IFERROR(__xludf.DUMMYFUNCTION("""COMPUTED_VALUE"""),"Commutative property for addition of rational numbers")</f>
        <v>Commutative property for addition of rational numbers</v>
      </c>
    </row>
    <row r="397" spans="1:2">
      <c r="A397" s="13" t="str">
        <f ca="1">IFERROR(__xludf.DUMMYFUNCTION("""COMPUTED_VALUE"""),"LU001042")</f>
        <v>LU001042</v>
      </c>
      <c r="B397" s="13" t="str">
        <f ca="1">IFERROR(__xludf.DUMMYFUNCTION("""COMPUTED_VALUE"""),"Examination of commutative property for subtraction of rational numbers")</f>
        <v>Examination of commutative property for subtraction of rational numbers</v>
      </c>
    </row>
    <row r="398" spans="1:2">
      <c r="A398" s="13" t="str">
        <f ca="1">IFERROR(__xludf.DUMMYFUNCTION("""COMPUTED_VALUE"""),"LU000578")</f>
        <v>LU000578</v>
      </c>
      <c r="B398" s="13" t="str">
        <f ca="1">IFERROR(__xludf.DUMMYFUNCTION("""COMPUTED_VALUE"""),"Additive identity of rational numbers")</f>
        <v>Additive identity of rational numbers</v>
      </c>
    </row>
    <row r="399" spans="1:2">
      <c r="A399" s="13" t="str">
        <f ca="1">IFERROR(__xludf.DUMMYFUNCTION("""COMPUTED_VALUE"""),"LU001043")</f>
        <v>LU001043</v>
      </c>
      <c r="B399" s="13" t="str">
        <f ca="1">IFERROR(__xludf.DUMMYFUNCTION("""COMPUTED_VALUE"""),"Commutative property for multiplication of rational numbers")</f>
        <v>Commutative property for multiplication of rational numbers</v>
      </c>
    </row>
    <row r="400" spans="1:2">
      <c r="A400" s="13" t="str">
        <f ca="1">IFERROR(__xludf.DUMMYFUNCTION("""COMPUTED_VALUE"""),"LU001044")</f>
        <v>LU001044</v>
      </c>
      <c r="B400" s="13" t="str">
        <f ca="1">IFERROR(__xludf.DUMMYFUNCTION("""COMPUTED_VALUE"""),"Examination of commutative property for division of rational numbers")</f>
        <v>Examination of commutative property for division of rational numbers</v>
      </c>
    </row>
    <row r="401" spans="1:2">
      <c r="A401" s="13" t="str">
        <f ca="1">IFERROR(__xludf.DUMMYFUNCTION("""COMPUTED_VALUE"""),"LU000579")</f>
        <v>LU000579</v>
      </c>
      <c r="B401" s="13" t="str">
        <f ca="1">IFERROR(__xludf.DUMMYFUNCTION("""COMPUTED_VALUE"""),"Multiplicative identity of rational numbers")</f>
        <v>Multiplicative identity of rational numbers</v>
      </c>
    </row>
    <row r="402" spans="1:2">
      <c r="A402" s="13" t="str">
        <f ca="1">IFERROR(__xludf.DUMMYFUNCTION("""COMPUTED_VALUE"""),"LU001045")</f>
        <v>LU001045</v>
      </c>
      <c r="B402" s="13" t="str">
        <f ca="1">IFERROR(__xludf.DUMMYFUNCTION("""COMPUTED_VALUE"""),"Associative property for addition of rational numbers")</f>
        <v>Associative property for addition of rational numbers</v>
      </c>
    </row>
    <row r="403" spans="1:2">
      <c r="A403" s="13" t="str">
        <f ca="1">IFERROR(__xludf.DUMMYFUNCTION("""COMPUTED_VALUE"""),"LU001046")</f>
        <v>LU001046</v>
      </c>
      <c r="B403" s="13" t="str">
        <f ca="1">IFERROR(__xludf.DUMMYFUNCTION("""COMPUTED_VALUE"""),"Examination of associative property for subtraction of rational numbers")</f>
        <v>Examination of associative property for subtraction of rational numbers</v>
      </c>
    </row>
    <row r="404" spans="1:2">
      <c r="A404" s="13" t="str">
        <f ca="1">IFERROR(__xludf.DUMMYFUNCTION("""COMPUTED_VALUE"""),"LU001047")</f>
        <v>LU001047</v>
      </c>
      <c r="B404" s="13" t="str">
        <f ca="1">IFERROR(__xludf.DUMMYFUNCTION("""COMPUTED_VALUE"""),"Associative property for multiplication of rational numbers")</f>
        <v>Associative property for multiplication of rational numbers</v>
      </c>
    </row>
    <row r="405" spans="1:2">
      <c r="A405" s="13" t="str">
        <f ca="1">IFERROR(__xludf.DUMMYFUNCTION("""COMPUTED_VALUE"""),"LU001048")</f>
        <v>LU001048</v>
      </c>
      <c r="B405" s="13" t="str">
        <f ca="1">IFERROR(__xludf.DUMMYFUNCTION("""COMPUTED_VALUE"""),"Examination of associative property for division of rational numbers")</f>
        <v>Examination of associative property for division of rational numbers</v>
      </c>
    </row>
    <row r="406" spans="1:2">
      <c r="A406" s="13" t="str">
        <f ca="1">IFERROR(__xludf.DUMMYFUNCTION("""COMPUTED_VALUE"""),"LU000580")</f>
        <v>LU000580</v>
      </c>
      <c r="B406" s="13" t="str">
        <f ca="1">IFERROR(__xludf.DUMMYFUNCTION("""COMPUTED_VALUE"""),"Distributive property of multiplication over addition of rational numbers")</f>
        <v>Distributive property of multiplication over addition of rational numbers</v>
      </c>
    </row>
    <row r="407" spans="1:2">
      <c r="A407" s="13" t="str">
        <f ca="1">IFERROR(__xludf.DUMMYFUNCTION("""COMPUTED_VALUE"""),"LU000901")</f>
        <v>LU000901</v>
      </c>
      <c r="B407" s="13" t="str">
        <f ca="1">IFERROR(__xludf.DUMMYFUNCTION("""COMPUTED_VALUE"""),"Distributive property of multiplication over subtraction of rational numbers")</f>
        <v>Distributive property of multiplication over subtraction of rational numbers</v>
      </c>
    </row>
    <row r="408" spans="1:2">
      <c r="A408" s="13" t="str">
        <f ca="1">IFERROR(__xludf.DUMMYFUNCTION("""COMPUTED_VALUE"""),"LU000910")</f>
        <v>LU000910</v>
      </c>
      <c r="B408" s="13" t="str">
        <f ca="1">IFERROR(__xludf.DUMMYFUNCTION("""COMPUTED_VALUE"""),"Application of combination of properties of rational numbers")</f>
        <v>Application of combination of properties of rational numbers</v>
      </c>
    </row>
    <row r="409" spans="1:2">
      <c r="A409" s="13" t="str">
        <f ca="1">IFERROR(__xludf.DUMMYFUNCTION("""COMPUTED_VALUE"""),"LU000584")</f>
        <v>LU000584</v>
      </c>
      <c r="B409" s="13" t="str">
        <f ca="1">IFERROR(__xludf.DUMMYFUNCTION("""COMPUTED_VALUE"""),"Reduction of equation to simpler form")</f>
        <v>Reduction of equation to simpler form</v>
      </c>
    </row>
    <row r="410" spans="1:2">
      <c r="A410" s="13" t="str">
        <f ca="1">IFERROR(__xludf.DUMMYFUNCTION("""COMPUTED_VALUE"""),"LU000588")</f>
        <v>LU000588</v>
      </c>
      <c r="B410" s="13" t="str">
        <f ca="1">IFERROR(__xludf.DUMMYFUNCTION("""COMPUTED_VALUE"""),"Application of cross multiplication method to reduce equation of form ax+b/cx+d = k, where cx+d ≠ 0 to linear equation in one variable")</f>
        <v>Application of cross multiplication method to reduce equation of form ax+b/cx+d = k, where cx+d ≠ 0 to linear equation in one variable</v>
      </c>
    </row>
    <row r="411" spans="1:2">
      <c r="A411" s="13" t="str">
        <f ca="1">IFERROR(__xludf.DUMMYFUNCTION("""COMPUTED_VALUE"""),"LU000582")</f>
        <v>LU000582</v>
      </c>
      <c r="B411" s="13" t="str">
        <f ca="1">IFERROR(__xludf.DUMMYFUNCTION("""COMPUTED_VALUE"""),"Definition of linear equation in one variable")</f>
        <v>Definition of linear equation in one variable</v>
      </c>
    </row>
    <row r="412" spans="1:2">
      <c r="A412" s="13" t="str">
        <f ca="1">IFERROR(__xludf.DUMMYFUNCTION("""COMPUTED_VALUE"""),"LU000583")</f>
        <v>LU000583</v>
      </c>
      <c r="B412" s="13" t="str">
        <f ca="1">IFERROR(__xludf.DUMMYFUNCTION("""COMPUTED_VALUE"""),"Solution of equation having variable on both sides")</f>
        <v>Solution of equation having variable on both sides</v>
      </c>
    </row>
    <row r="413" spans="1:2">
      <c r="A413" s="13" t="str">
        <f ca="1">IFERROR(__xludf.DUMMYFUNCTION("""COMPUTED_VALUE"""),"LU000587")</f>
        <v>LU000587</v>
      </c>
      <c r="B413" s="13" t="str">
        <f ca="1">IFERROR(__xludf.DUMMYFUNCTION("""COMPUTED_VALUE"""),"Solve problems (age, number formation, perimeter, currency notes) based on application of linear equation in one variable")</f>
        <v>Solve problems (age, number formation, perimeter, currency notes) based on application of linear equation in one variable</v>
      </c>
    </row>
    <row r="414" spans="1:2">
      <c r="A414" s="13" t="str">
        <f ca="1">IFERROR(__xludf.DUMMYFUNCTION("""COMPUTED_VALUE"""),"LU000903")</f>
        <v>LU000903</v>
      </c>
      <c r="B414" s="13" t="str">
        <f ca="1">IFERROR(__xludf.DUMMYFUNCTION("""COMPUTED_VALUE"""),"Definition of convex polygon")</f>
        <v>Definition of convex polygon</v>
      </c>
    </row>
    <row r="415" spans="1:2">
      <c r="A415" s="13" t="str">
        <f ca="1">IFERROR(__xludf.DUMMYFUNCTION("""COMPUTED_VALUE"""),"LU000904")</f>
        <v>LU000904</v>
      </c>
      <c r="B415" s="13" t="str">
        <f ca="1">IFERROR(__xludf.DUMMYFUNCTION("""COMPUTED_VALUE"""),"Definition of concave polygon")</f>
        <v>Definition of concave polygon</v>
      </c>
    </row>
    <row r="416" spans="1:2">
      <c r="A416" s="13" t="str">
        <f ca="1">IFERROR(__xludf.DUMMYFUNCTION("""COMPUTED_VALUE"""),"LU000592")</f>
        <v>LU000592</v>
      </c>
      <c r="B416" s="13" t="str">
        <f ca="1">IFERROR(__xludf.DUMMYFUNCTION("""COMPUTED_VALUE"""),"Angle sum property of a quadrilateral")</f>
        <v>Angle sum property of a quadrilateral</v>
      </c>
    </row>
    <row r="417" spans="1:2">
      <c r="A417" s="13" t="str">
        <f ca="1">IFERROR(__xludf.DUMMYFUNCTION("""COMPUTED_VALUE"""),"LU000599")</f>
        <v>LU000599</v>
      </c>
      <c r="B417" s="13" t="str">
        <f ca="1">IFERROR(__xludf.DUMMYFUNCTION("""COMPUTED_VALUE"""),"Angle sum property of a pentagon")</f>
        <v>Angle sum property of a pentagon</v>
      </c>
    </row>
    <row r="418" spans="1:2">
      <c r="A418" s="13" t="str">
        <f ca="1">IFERROR(__xludf.DUMMYFUNCTION("""COMPUTED_VALUE"""),"LU000608")</f>
        <v>LU000608</v>
      </c>
      <c r="B418" s="13" t="str">
        <f ca="1">IFERROR(__xludf.DUMMYFUNCTION("""COMPUTED_VALUE"""),"Angle sum property of a polygon")</f>
        <v>Angle sum property of a polygon</v>
      </c>
    </row>
    <row r="419" spans="1:2">
      <c r="A419" s="13" t="str">
        <f ca="1">IFERROR(__xludf.DUMMYFUNCTION("""COMPUTED_VALUE"""),"LU000591")</f>
        <v>LU000591</v>
      </c>
      <c r="B419" s="13" t="str">
        <f ca="1">IFERROR(__xludf.DUMMYFUNCTION("""COMPUTED_VALUE"""),"Sum of the measures of the exterior angles of a polygon")</f>
        <v>Sum of the measures of the exterior angles of a polygon</v>
      </c>
    </row>
    <row r="420" spans="1:2">
      <c r="A420" s="13" t="str">
        <f ca="1">IFERROR(__xludf.DUMMYFUNCTION("""COMPUTED_VALUE"""),"LU000590")</f>
        <v>LU000590</v>
      </c>
      <c r="B420" s="13" t="str">
        <f ca="1">IFERROR(__xludf.DUMMYFUNCTION("""COMPUTED_VALUE"""),"Measure of each angle of a regular polygon of 'n' sides")</f>
        <v>Measure of each angle of a regular polygon of 'n' sides</v>
      </c>
    </row>
    <row r="421" spans="1:2">
      <c r="A421" s="13" t="str">
        <f ca="1">IFERROR(__xludf.DUMMYFUNCTION("""COMPUTED_VALUE"""),"LU000911")</f>
        <v>LU000911</v>
      </c>
      <c r="B421" s="13" t="str">
        <f ca="1">IFERROR(__xludf.DUMMYFUNCTION("""COMPUTED_VALUE"""),"Properties of trapezium")</f>
        <v>Properties of trapezium</v>
      </c>
    </row>
    <row r="422" spans="1:2">
      <c r="A422" s="13" t="str">
        <f ca="1">IFERROR(__xludf.DUMMYFUNCTION("""COMPUTED_VALUE"""),"LU000594")</f>
        <v>LU000594</v>
      </c>
      <c r="B422" s="13" t="str">
        <f ca="1">IFERROR(__xludf.DUMMYFUNCTION("""COMPUTED_VALUE"""),"Definition of kite")</f>
        <v>Definition of kite</v>
      </c>
    </row>
    <row r="423" spans="1:2">
      <c r="A423" s="13" t="str">
        <f ca="1">IFERROR(__xludf.DUMMYFUNCTION("""COMPUTED_VALUE"""),"LU000601")</f>
        <v>LU000601</v>
      </c>
      <c r="B423" s="13" t="str">
        <f ca="1">IFERROR(__xludf.DUMMYFUNCTION("""COMPUTED_VALUE"""),"Properties of a kite (related to its angles, sides and diagonals)")</f>
        <v>Properties of a kite (related to its angles, sides and diagonals)</v>
      </c>
    </row>
    <row r="424" spans="1:2">
      <c r="A424" s="13" t="str">
        <f ca="1">IFERROR(__xludf.DUMMYFUNCTION("""COMPUTED_VALUE"""),"LU000600")</f>
        <v>LU000600</v>
      </c>
      <c r="B424" s="13" t="str">
        <f ca="1">IFERROR(__xludf.DUMMYFUNCTION("""COMPUTED_VALUE"""),"Properties of a parallelogram (related to its angles, sides and diagonals)")</f>
        <v>Properties of a parallelogram (related to its angles, sides and diagonals)</v>
      </c>
    </row>
    <row r="425" spans="1:2">
      <c r="A425" s="13" t="str">
        <f ca="1">IFERROR(__xludf.DUMMYFUNCTION("""COMPUTED_VALUE"""),"LU000604")</f>
        <v>LU000604</v>
      </c>
      <c r="B425" s="13" t="str">
        <f ca="1">IFERROR(__xludf.DUMMYFUNCTION("""COMPUTED_VALUE"""),"Properties of a rhombus (related to its diagonals, sides and angles)")</f>
        <v>Properties of a rhombus (related to its diagonals, sides and angles)</v>
      </c>
    </row>
    <row r="426" spans="1:2">
      <c r="A426" s="13" t="str">
        <f ca="1">IFERROR(__xludf.DUMMYFUNCTION("""COMPUTED_VALUE"""),"LU000610")</f>
        <v>LU000610</v>
      </c>
      <c r="B426" s="13" t="str">
        <f ca="1">IFERROR(__xludf.DUMMYFUNCTION("""COMPUTED_VALUE"""),"Properties of a rectangle (related to its sides, angles and diagonals)")</f>
        <v>Properties of a rectangle (related to its sides, angles and diagonals)</v>
      </c>
    </row>
    <row r="427" spans="1:2">
      <c r="A427" s="13" t="str">
        <f ca="1">IFERROR(__xludf.DUMMYFUNCTION("""COMPUTED_VALUE"""),"LU000607")</f>
        <v>LU000607</v>
      </c>
      <c r="B427" s="13" t="str">
        <f ca="1">IFERROR(__xludf.DUMMYFUNCTION("""COMPUTED_VALUE"""),"Properties of a square (related to its angles, sides and diagonals)")</f>
        <v>Properties of a square (related to its angles, sides and diagonals)</v>
      </c>
    </row>
    <row r="428" spans="1:2">
      <c r="A428" s="13" t="str">
        <f ca="1">IFERROR(__xludf.DUMMYFUNCTION("""COMPUTED_VALUE"""),"LU000622")</f>
        <v>LU000622</v>
      </c>
      <c r="B428" s="13" t="str">
        <f ca="1">IFERROR(__xludf.DUMMYFUNCTION("""COMPUTED_VALUE"""),"Definition of circle graph/pie chart")</f>
        <v>Definition of circle graph/pie chart</v>
      </c>
    </row>
    <row r="429" spans="1:2">
      <c r="A429" s="13" t="str">
        <f ca="1">IFERROR(__xludf.DUMMYFUNCTION("""COMPUTED_VALUE"""),"LU000909")</f>
        <v>LU000909</v>
      </c>
      <c r="B429" s="13" t="str">
        <f ca="1">IFERROR(__xludf.DUMMYFUNCTION("""COMPUTED_VALUE"""),"Interpretation of circle graph/pie chart")</f>
        <v>Interpretation of circle graph/pie chart</v>
      </c>
    </row>
    <row r="430" spans="1:2">
      <c r="A430" s="13" t="str">
        <f ca="1">IFERROR(__xludf.DUMMYFUNCTION("""COMPUTED_VALUE"""),"LU000633")</f>
        <v>LU000633</v>
      </c>
      <c r="B430" s="13" t="str">
        <f ca="1">IFERROR(__xludf.DUMMYFUNCTION("""COMPUTED_VALUE"""),"Construction of circle graph/pie chart")</f>
        <v>Construction of circle graph/pie chart</v>
      </c>
    </row>
    <row r="431" spans="1:2">
      <c r="A431" s="13" t="str">
        <f ca="1">IFERROR(__xludf.DUMMYFUNCTION("""COMPUTED_VALUE"""),"LU000624")</f>
        <v>LU000624</v>
      </c>
      <c r="B431" s="13" t="str">
        <f ca="1">IFERROR(__xludf.DUMMYFUNCTION("""COMPUTED_VALUE"""),"Definition of random experiment")</f>
        <v>Definition of random experiment</v>
      </c>
    </row>
    <row r="432" spans="1:2">
      <c r="A432" s="13" t="str">
        <f ca="1">IFERROR(__xludf.DUMMYFUNCTION("""COMPUTED_VALUE"""),"LU000394")</f>
        <v>LU000394</v>
      </c>
      <c r="B432" s="13" t="str">
        <f ca="1">IFERROR(__xludf.DUMMYFUNCTION("""COMPUTED_VALUE"""),"List of possible outcomes of an event")</f>
        <v>List of possible outcomes of an event</v>
      </c>
    </row>
    <row r="433" spans="1:2">
      <c r="A433" s="13" t="str">
        <f ca="1">IFERROR(__xludf.DUMMYFUNCTION("""COMPUTED_VALUE"""),"LU000393")</f>
        <v>LU000393</v>
      </c>
      <c r="B433" s="13" t="str">
        <f ca="1">IFERROR(__xludf.DUMMYFUNCTION("""COMPUTED_VALUE"""),"Definition of probability")</f>
        <v>Definition of probability</v>
      </c>
    </row>
    <row r="434" spans="1:2">
      <c r="A434" s="13" t="str">
        <f ca="1">IFERROR(__xludf.DUMMYFUNCTION("""COMPUTED_VALUE"""),"LU000626")</f>
        <v>LU000626</v>
      </c>
      <c r="B434" s="13" t="str">
        <f ca="1">IFERROR(__xludf.DUMMYFUNCTION("""COMPUTED_VALUE"""),"Probability of a simple event")</f>
        <v>Probability of a simple event</v>
      </c>
    </row>
    <row r="435" spans="1:2">
      <c r="A435" s="13" t="str">
        <f ca="1">IFERROR(__xludf.DUMMYFUNCTION("""COMPUTED_VALUE"""),"LU000636")</f>
        <v>LU000636</v>
      </c>
      <c r="B435" s="13" t="str">
        <f ca="1">IFERROR(__xludf.DUMMYFUNCTION("""COMPUTED_VALUE"""),"Definition and representation of square numbers/perfect square numbers")</f>
        <v>Definition and representation of square numbers/perfect square numbers</v>
      </c>
    </row>
    <row r="436" spans="1:2">
      <c r="A436" s="13" t="str">
        <f ca="1">IFERROR(__xludf.DUMMYFUNCTION("""COMPUTED_VALUE"""),"LU000933")</f>
        <v>LU000933</v>
      </c>
      <c r="B436" s="13" t="str">
        <f ca="1">IFERROR(__xludf.DUMMYFUNCTION("""COMPUTED_VALUE"""),"Properties of square numbers ")</f>
        <v xml:space="preserve">Properties of square numbers </v>
      </c>
    </row>
    <row r="437" spans="1:2">
      <c r="A437" s="13" t="str">
        <f ca="1">IFERROR(__xludf.DUMMYFUNCTION("""COMPUTED_VALUE"""),"LU000637")</f>
        <v>LU000637</v>
      </c>
      <c r="B437" s="13" t="str">
        <f ca="1">IFERROR(__xludf.DUMMYFUNCTION("""COMPUTED_VALUE"""),"Definition of triangular numbers")</f>
        <v>Definition of triangular numbers</v>
      </c>
    </row>
    <row r="438" spans="1:2">
      <c r="A438" s="13" t="str">
        <f ca="1">IFERROR(__xludf.DUMMYFUNCTION("""COMPUTED_VALUE"""),"LU000638")</f>
        <v>LU000638</v>
      </c>
      <c r="B438" s="13" t="str">
        <f ca="1">IFERROR(__xludf.DUMMYFUNCTION("""COMPUTED_VALUE"""),"Addition of consecutive triangular numbers resulting to square number")</f>
        <v>Addition of consecutive triangular numbers resulting to square number</v>
      </c>
    </row>
    <row r="439" spans="1:2">
      <c r="A439" s="13" t="str">
        <f ca="1">IFERROR(__xludf.DUMMYFUNCTION("""COMPUTED_VALUE"""),"LU000639")</f>
        <v>LU000639</v>
      </c>
      <c r="B439" s="13" t="str">
        <f ca="1">IFERROR(__xludf.DUMMYFUNCTION("""COMPUTED_VALUE"""),"Non square numbers between any two consecutive square numbers")</f>
        <v>Non square numbers between any two consecutive square numbers</v>
      </c>
    </row>
    <row r="440" spans="1:2">
      <c r="A440" s="13" t="str">
        <f ca="1">IFERROR(__xludf.DUMMYFUNCTION("""COMPUTED_VALUE"""),"LU000915")</f>
        <v>LU000915</v>
      </c>
      <c r="B440" s="13" t="str">
        <f ca="1">IFERROR(__xludf.DUMMYFUNCTION("""COMPUTED_VALUE"""),"Difference between two consecutive square numbers")</f>
        <v>Difference between two consecutive square numbers</v>
      </c>
    </row>
    <row r="441" spans="1:2">
      <c r="A441" s="13" t="str">
        <f ca="1">IFERROR(__xludf.DUMMYFUNCTION("""COMPUTED_VALUE"""),"LU000640")</f>
        <v>LU000640</v>
      </c>
      <c r="B441" s="13" t="str">
        <f ca="1">IFERROR(__xludf.DUMMYFUNCTION("""COMPUTED_VALUE"""),"Addition of first n odd numbers result to square number n^2")</f>
        <v>Addition of first n odd numbers result to square number n^2</v>
      </c>
    </row>
    <row r="442" spans="1:2">
      <c r="A442" s="13" t="str">
        <f ca="1">IFERROR(__xludf.DUMMYFUNCTION("""COMPUTED_VALUE"""),"LU000641")</f>
        <v>LU000641</v>
      </c>
      <c r="B442" s="13" t="str">
        <f ca="1">IFERROR(__xludf.DUMMYFUNCTION("""COMPUTED_VALUE"""),"Square of any odd number can be expressed as the sum of two consecutive positive integers")</f>
        <v>Square of any odd number can be expressed as the sum of two consecutive positive integers</v>
      </c>
    </row>
    <row r="443" spans="1:2">
      <c r="A443" s="13" t="str">
        <f ca="1">IFERROR(__xludf.DUMMYFUNCTION("""COMPUTED_VALUE"""),"LU000642")</f>
        <v>LU000642</v>
      </c>
      <c r="B443" s="13" t="str">
        <f ca="1">IFERROR(__xludf.DUMMYFUNCTION("""COMPUTED_VALUE"""),"Product of two consecutive even or odd natural numbers (n+1) and (n-1) result to n^2-1")</f>
        <v>Product of two consecutive even or odd natural numbers (n+1) and (n-1) result to n^2-1</v>
      </c>
    </row>
    <row r="444" spans="1:2">
      <c r="A444" s="13" t="str">
        <f ca="1">IFERROR(__xludf.DUMMYFUNCTION("""COMPUTED_VALUE"""),"LU000643")</f>
        <v>LU000643</v>
      </c>
      <c r="B444" s="13" t="str">
        <f ca="1">IFERROR(__xludf.DUMMYFUNCTION("""COMPUTED_VALUE"""),"Patterns in square numbers with certain digit at place value(s)")</f>
        <v>Patterns in square numbers with certain digit at place value(s)</v>
      </c>
    </row>
    <row r="445" spans="1:2">
      <c r="A445" s="13" t="str">
        <f ca="1">IFERROR(__xludf.DUMMYFUNCTION("""COMPUTED_VALUE"""),"LU000644")</f>
        <v>LU000644</v>
      </c>
      <c r="B445" s="13" t="str">
        <f ca="1">IFERROR(__xludf.DUMMYFUNCTION("""COMPUTED_VALUE"""),"Pattern associated with addition of square of numbers")</f>
        <v>Pattern associated with addition of square of numbers</v>
      </c>
    </row>
    <row r="446" spans="1:2">
      <c r="A446" s="13" t="str">
        <f ca="1">IFERROR(__xludf.DUMMYFUNCTION("""COMPUTED_VALUE"""),"LU000645")</f>
        <v>LU000645</v>
      </c>
      <c r="B446" s="13" t="str">
        <f ca="1">IFERROR(__xludf.DUMMYFUNCTION("""COMPUTED_VALUE"""),"Methods to find square of number without actual multiplication")</f>
        <v>Methods to find square of number without actual multiplication</v>
      </c>
    </row>
    <row r="447" spans="1:2">
      <c r="A447" s="13" t="str">
        <f ca="1">IFERROR(__xludf.DUMMYFUNCTION("""COMPUTED_VALUE"""),"LU000916")</f>
        <v>LU000916</v>
      </c>
      <c r="B447" s="13" t="str">
        <f ca="1">IFERROR(__xludf.DUMMYFUNCTION("""COMPUTED_VALUE"""),"Pythagorean triplet if one member of triplet is given (even number is given)")</f>
        <v>Pythagorean triplet if one member of triplet is given (even number is given)</v>
      </c>
    </row>
    <row r="448" spans="1:2">
      <c r="A448" s="13" t="str">
        <f ca="1">IFERROR(__xludf.DUMMYFUNCTION("""COMPUTED_VALUE"""),"LU000647")</f>
        <v>LU000647</v>
      </c>
      <c r="B448" s="13" t="str">
        <f ca="1">IFERROR(__xludf.DUMMYFUNCTION("""COMPUTED_VALUE"""),"Definition of square root")</f>
        <v>Definition of square root</v>
      </c>
    </row>
    <row r="449" spans="1:2">
      <c r="A449" s="13" t="str">
        <f ca="1">IFERROR(__xludf.DUMMYFUNCTION("""COMPUTED_VALUE"""),"LU000652")</f>
        <v>LU000652</v>
      </c>
      <c r="B449" s="13" t="str">
        <f ca="1">IFERROR(__xludf.DUMMYFUNCTION("""COMPUTED_VALUE"""),"Relationship between number of digits in perfect square and its square root")</f>
        <v>Relationship between number of digits in perfect square and its square root</v>
      </c>
    </row>
    <row r="450" spans="1:2">
      <c r="A450" s="13" t="str">
        <f ca="1">IFERROR(__xludf.DUMMYFUNCTION("""COMPUTED_VALUE"""),"LU000648")</f>
        <v>LU000648</v>
      </c>
      <c r="B450" s="13" t="str">
        <f ca="1">IFERROR(__xludf.DUMMYFUNCTION("""COMPUTED_VALUE"""),"Square root of perfect square number through repeated subtraction")</f>
        <v>Square root of perfect square number through repeated subtraction</v>
      </c>
    </row>
    <row r="451" spans="1:2">
      <c r="A451" s="13" t="str">
        <f ca="1">IFERROR(__xludf.DUMMYFUNCTION("""COMPUTED_VALUE"""),"LU000649")</f>
        <v>LU000649</v>
      </c>
      <c r="B451" s="13" t="str">
        <f ca="1">IFERROR(__xludf.DUMMYFUNCTION("""COMPUTED_VALUE"""),"Square root of perfect square numbers through prime factorisation")</f>
        <v>Square root of perfect square numbers through prime factorisation</v>
      </c>
    </row>
    <row r="452" spans="1:2">
      <c r="A452" s="13" t="str">
        <f ca="1">IFERROR(__xludf.DUMMYFUNCTION("""COMPUTED_VALUE"""),"LU000650")</f>
        <v>LU000650</v>
      </c>
      <c r="B452" s="13" t="str">
        <f ca="1">IFERROR(__xludf.DUMMYFUNCTION("""COMPUTED_VALUE"""),"Square root of perfect square number (whole number) by division method")</f>
        <v>Square root of perfect square number (whole number) by division method</v>
      </c>
    </row>
    <row r="453" spans="1:2">
      <c r="A453" s="13" t="str">
        <f ca="1">IFERROR(__xludf.DUMMYFUNCTION("""COMPUTED_VALUE"""),"LU000655")</f>
        <v>LU000655</v>
      </c>
      <c r="B453" s="13" t="str">
        <f ca="1">IFERROR(__xludf.DUMMYFUNCTION("""COMPUTED_VALUE"""),"Square of terminating decimals")</f>
        <v>Square of terminating decimals</v>
      </c>
    </row>
    <row r="454" spans="1:2">
      <c r="A454" s="13" t="str">
        <f ca="1">IFERROR(__xludf.DUMMYFUNCTION("""COMPUTED_VALUE"""),"LU000651")</f>
        <v>LU000651</v>
      </c>
      <c r="B454" s="13" t="str">
        <f ca="1">IFERROR(__xludf.DUMMYFUNCTION("""COMPUTED_VALUE"""),"Square root of perfect square number (decimals) by division method")</f>
        <v>Square root of perfect square number (decimals) by division method</v>
      </c>
    </row>
    <row r="455" spans="1:2">
      <c r="A455" s="13" t="str">
        <f ca="1">IFERROR(__xludf.DUMMYFUNCTION("""COMPUTED_VALUE"""),"LU000658")</f>
        <v>LU000658</v>
      </c>
      <c r="B455" s="13" t="str">
        <f ca="1">IFERROR(__xludf.DUMMYFUNCTION("""COMPUTED_VALUE"""),"Definition and representation of perfect cubes or cube numbers")</f>
        <v>Definition and representation of perfect cubes or cube numbers</v>
      </c>
    </row>
    <row r="456" spans="1:2">
      <c r="A456" s="13" t="str">
        <f ca="1">IFERROR(__xludf.DUMMYFUNCTION("""COMPUTED_VALUE"""),"LU000661")</f>
        <v>LU000661</v>
      </c>
      <c r="B456" s="13" t="str">
        <f ca="1">IFERROR(__xludf.DUMMYFUNCTION("""COMPUTED_VALUE"""),"Properties of cube of a number")</f>
        <v>Properties of cube of a number</v>
      </c>
    </row>
    <row r="457" spans="1:2">
      <c r="A457" s="13" t="str">
        <f ca="1">IFERROR(__xludf.DUMMYFUNCTION("""COMPUTED_VALUE"""),"LU000675")</f>
        <v>LU000675</v>
      </c>
      <c r="B457" s="13" t="str">
        <f ca="1">IFERROR(__xludf.DUMMYFUNCTION("""COMPUTED_VALUE"""),"Patterns involving cubic numbers")</f>
        <v>Patterns involving cubic numbers</v>
      </c>
    </row>
    <row r="458" spans="1:2">
      <c r="A458" s="13" t="str">
        <f ca="1">IFERROR(__xludf.DUMMYFUNCTION("""COMPUTED_VALUE"""),"LU000663")</f>
        <v>LU000663</v>
      </c>
      <c r="B458" s="13" t="str">
        <f ca="1">IFERROR(__xludf.DUMMYFUNCTION("""COMPUTED_VALUE"""),"Prime factorisation of cube numbers")</f>
        <v>Prime factorisation of cube numbers</v>
      </c>
    </row>
    <row r="459" spans="1:2">
      <c r="A459" s="13" t="str">
        <f ca="1">IFERROR(__xludf.DUMMYFUNCTION("""COMPUTED_VALUE"""),"LU000664")</f>
        <v>LU000664</v>
      </c>
      <c r="B459" s="13" t="str">
        <f ca="1">IFERROR(__xludf.DUMMYFUNCTION("""COMPUTED_VALUE"""),"Use of prime factorisation to make a perfect cube")</f>
        <v>Use of prime factorisation to make a perfect cube</v>
      </c>
    </row>
    <row r="460" spans="1:2">
      <c r="A460" s="13" t="str">
        <f ca="1">IFERROR(__xludf.DUMMYFUNCTION("""COMPUTED_VALUE"""),"LU000659")</f>
        <v>LU000659</v>
      </c>
      <c r="B460" s="13" t="str">
        <f ca="1">IFERROR(__xludf.DUMMYFUNCTION("""COMPUTED_VALUE"""),"Definition and representation of cube root of a number")</f>
        <v>Definition and representation of cube root of a number</v>
      </c>
    </row>
    <row r="461" spans="1:2">
      <c r="A461" s="13" t="str">
        <f ca="1">IFERROR(__xludf.DUMMYFUNCTION("""COMPUTED_VALUE"""),"LU000666")</f>
        <v>LU000666</v>
      </c>
      <c r="B461" s="13" t="str">
        <f ca="1">IFERROR(__xludf.DUMMYFUNCTION("""COMPUTED_VALUE"""),"Cube root through prime factorisation")</f>
        <v>Cube root through prime factorisation</v>
      </c>
    </row>
    <row r="462" spans="1:2">
      <c r="A462" s="13" t="str">
        <f ca="1">IFERROR(__xludf.DUMMYFUNCTION("""COMPUTED_VALUE"""),"LU000677")</f>
        <v>LU000677</v>
      </c>
      <c r="B462" s="13" t="str">
        <f ca="1">IFERROR(__xludf.DUMMYFUNCTION("""COMPUTED_VALUE"""),"Definition of discount")</f>
        <v>Definition of discount</v>
      </c>
    </row>
    <row r="463" spans="1:2">
      <c r="A463" s="13" t="str">
        <f ca="1">IFERROR(__xludf.DUMMYFUNCTION("""COMPUTED_VALUE"""),"LU000678")</f>
        <v>LU000678</v>
      </c>
      <c r="B463" s="13" t="str">
        <f ca="1">IFERROR(__xludf.DUMMYFUNCTION("""COMPUTED_VALUE"""),"Definition of marked/list price")</f>
        <v>Definition of marked/list price</v>
      </c>
    </row>
    <row r="464" spans="1:2">
      <c r="A464" s="13" t="str">
        <f ca="1">IFERROR(__xludf.DUMMYFUNCTION("""COMPUTED_VALUE"""),"LU000679")</f>
        <v>LU000679</v>
      </c>
      <c r="B464" s="13" t="str">
        <f ca="1">IFERROR(__xludf.DUMMYFUNCTION("""COMPUTED_VALUE"""),"Definition of sale price")</f>
        <v>Definition of sale price</v>
      </c>
    </row>
    <row r="465" spans="1:2">
      <c r="A465" s="13" t="str">
        <f ca="1">IFERROR(__xludf.DUMMYFUNCTION("""COMPUTED_VALUE"""),"LU000693")</f>
        <v>LU000693</v>
      </c>
      <c r="B465" s="13" t="str">
        <f ca="1">IFERROR(__xludf.DUMMYFUNCTION("""COMPUTED_VALUE"""),"Calculation of discount percent")</f>
        <v>Calculation of discount percent</v>
      </c>
    </row>
    <row r="466" spans="1:2">
      <c r="A466" s="13" t="str">
        <f ca="1">IFERROR(__xludf.DUMMYFUNCTION("""COMPUTED_VALUE"""),"LU000680")</f>
        <v>LU000680</v>
      </c>
      <c r="B466" s="13" t="str">
        <f ca="1">IFERROR(__xludf.DUMMYFUNCTION("""COMPUTED_VALUE"""),"Estimation in percentages")</f>
        <v>Estimation in percentages</v>
      </c>
    </row>
    <row r="467" spans="1:2">
      <c r="A467" s="13" t="str">
        <f ca="1">IFERROR(__xludf.DUMMYFUNCTION("""COMPUTED_VALUE"""),"LU000932")</f>
        <v>LU000932</v>
      </c>
      <c r="B467" s="13" t="str">
        <f ca="1">IFERROR(__xludf.DUMMYFUNCTION("""COMPUTED_VALUE"""),"Contextual problems relating to combination of marked price, rate of discount, profit, loss, cost price and selling price")</f>
        <v>Contextual problems relating to combination of marked price, rate of discount, profit, loss, cost price and selling price</v>
      </c>
    </row>
    <row r="468" spans="1:2">
      <c r="A468" s="13" t="str">
        <f ca="1">IFERROR(__xludf.DUMMYFUNCTION("""COMPUTED_VALUE"""),"LU000681")</f>
        <v>LU000681</v>
      </c>
      <c r="B468" s="13" t="str">
        <f ca="1">IFERROR(__xludf.DUMMYFUNCTION("""COMPUTED_VALUE"""),"Definition of overhead charges")</f>
        <v>Definition of overhead charges</v>
      </c>
    </row>
    <row r="469" spans="1:2">
      <c r="A469" s="13" t="str">
        <f ca="1">IFERROR(__xludf.DUMMYFUNCTION("""COMPUTED_VALUE"""),"LU000682")</f>
        <v>LU000682</v>
      </c>
      <c r="B469" s="13" t="str">
        <f ca="1">IFERROR(__xludf.DUMMYFUNCTION("""COMPUTED_VALUE"""),"Definition of sales tax")</f>
        <v>Definition of sales tax</v>
      </c>
    </row>
    <row r="470" spans="1:2">
      <c r="A470" s="13" t="str">
        <f ca="1">IFERROR(__xludf.DUMMYFUNCTION("""COMPUTED_VALUE"""),"LU000683")</f>
        <v>LU000683</v>
      </c>
      <c r="B470" s="13" t="str">
        <f ca="1">IFERROR(__xludf.DUMMYFUNCTION("""COMPUTED_VALUE"""),"Definition of value-added tax")</f>
        <v>Definition of value-added tax</v>
      </c>
    </row>
    <row r="471" spans="1:2">
      <c r="A471" s="13" t="str">
        <f ca="1">IFERROR(__xludf.DUMMYFUNCTION("""COMPUTED_VALUE"""),"LU000684")</f>
        <v>LU000684</v>
      </c>
      <c r="B471" s="13" t="str">
        <f ca="1">IFERROR(__xludf.DUMMYFUNCTION("""COMPUTED_VALUE"""),"Definition of goods and services tax")</f>
        <v>Definition of goods and services tax</v>
      </c>
    </row>
    <row r="472" spans="1:2">
      <c r="A472" s="13" t="str">
        <f ca="1">IFERROR(__xludf.DUMMYFUNCTION("""COMPUTED_VALUE"""),"LU000685")</f>
        <v>LU000685</v>
      </c>
      <c r="B472" s="13" t="str">
        <f ca="1">IFERROR(__xludf.DUMMYFUNCTION("""COMPUTED_VALUE"""),"Definition of compound interest")</f>
        <v>Definition of compound interest</v>
      </c>
    </row>
    <row r="473" spans="1:2">
      <c r="A473" s="13" t="str">
        <f ca="1">IFERROR(__xludf.DUMMYFUNCTION("""COMPUTED_VALUE"""),"LU000687")</f>
        <v>LU000687</v>
      </c>
      <c r="B473" s="13" t="str">
        <f ca="1">IFERROR(__xludf.DUMMYFUNCTION("""COMPUTED_VALUE"""),"Rate compounded annually")</f>
        <v>Rate compounded annually</v>
      </c>
    </row>
    <row r="474" spans="1:2">
      <c r="A474" s="13" t="str">
        <f ca="1">IFERROR(__xludf.DUMMYFUNCTION("""COMPUTED_VALUE"""),"LU000692")</f>
        <v>LU000692</v>
      </c>
      <c r="B474" s="13" t="str">
        <f ca="1">IFERROR(__xludf.DUMMYFUNCTION("""COMPUTED_VALUE"""),"Definition of rate of growth")</f>
        <v>Definition of rate of growth</v>
      </c>
    </row>
    <row r="475" spans="1:2">
      <c r="A475" s="13" t="str">
        <f ca="1">IFERROR(__xludf.DUMMYFUNCTION("""COMPUTED_VALUE"""),"LU000690")</f>
        <v>LU000690</v>
      </c>
      <c r="B475" s="13" t="str">
        <f ca="1">IFERROR(__xludf.DUMMYFUNCTION("""COMPUTED_VALUE"""),"Definition of rate of depreciation")</f>
        <v>Definition of rate of depreciation</v>
      </c>
    </row>
    <row r="476" spans="1:2">
      <c r="A476" s="13" t="str">
        <f ca="1">IFERROR(__xludf.DUMMYFUNCTION("""COMPUTED_VALUE"""),"LU000511")</f>
        <v>LU000511</v>
      </c>
      <c r="B476" s="13" t="str">
        <f ca="1">IFERROR(__xludf.DUMMYFUNCTION("""COMPUTED_VALUE"""),"Addition of like terms")</f>
        <v>Addition of like terms</v>
      </c>
    </row>
    <row r="477" spans="1:2">
      <c r="A477" s="13" t="str">
        <f ca="1">IFERROR(__xludf.DUMMYFUNCTION("""COMPUTED_VALUE"""),"LU000512")</f>
        <v>LU000512</v>
      </c>
      <c r="B477" s="13" t="str">
        <f ca="1">IFERROR(__xludf.DUMMYFUNCTION("""COMPUTED_VALUE"""),"Addition of algebraic expressions")</f>
        <v>Addition of algebraic expressions</v>
      </c>
    </row>
    <row r="478" spans="1:2">
      <c r="A478" s="13" t="str">
        <f ca="1">IFERROR(__xludf.DUMMYFUNCTION("""COMPUTED_VALUE"""),"LU000513")</f>
        <v>LU000513</v>
      </c>
      <c r="B478" s="13" t="str">
        <f ca="1">IFERROR(__xludf.DUMMYFUNCTION("""COMPUTED_VALUE"""),"Subtraction of algebraic expressions")</f>
        <v>Subtraction of algebraic expressions</v>
      </c>
    </row>
    <row r="479" spans="1:2">
      <c r="A479" s="13" t="str">
        <f ca="1">IFERROR(__xludf.DUMMYFUNCTION("""COMPUTED_VALUE"""),"LU000694")</f>
        <v>LU000694</v>
      </c>
      <c r="B479" s="13" t="str">
        <f ca="1">IFERROR(__xludf.DUMMYFUNCTION("""COMPUTED_VALUE"""),"Multiplication of monomial by monomial")</f>
        <v>Multiplication of monomial by monomial</v>
      </c>
    </row>
    <row r="480" spans="1:2">
      <c r="A480" s="13" t="str">
        <f ca="1">IFERROR(__xludf.DUMMYFUNCTION("""COMPUTED_VALUE"""),"LU000695")</f>
        <v>LU000695</v>
      </c>
      <c r="B480" s="13" t="str">
        <f ca="1">IFERROR(__xludf.DUMMYFUNCTION("""COMPUTED_VALUE"""),"Multiplication of three or more monomials")</f>
        <v>Multiplication of three or more monomials</v>
      </c>
    </row>
    <row r="481" spans="1:2">
      <c r="A481" s="13" t="str">
        <f ca="1">IFERROR(__xludf.DUMMYFUNCTION("""COMPUTED_VALUE"""),"LU000697")</f>
        <v>LU000697</v>
      </c>
      <c r="B481" s="13" t="str">
        <f ca="1">IFERROR(__xludf.DUMMYFUNCTION("""COMPUTED_VALUE"""),"Multiplication of monomial by binomial")</f>
        <v>Multiplication of monomial by binomial</v>
      </c>
    </row>
    <row r="482" spans="1:2">
      <c r="A482" s="13" t="str">
        <f ca="1">IFERROR(__xludf.DUMMYFUNCTION("""COMPUTED_VALUE"""),"LU000698")</f>
        <v>LU000698</v>
      </c>
      <c r="B482" s="13" t="str">
        <f ca="1">IFERROR(__xludf.DUMMYFUNCTION("""COMPUTED_VALUE"""),"Multiplication of monomial by trinomial")</f>
        <v>Multiplication of monomial by trinomial</v>
      </c>
    </row>
    <row r="483" spans="1:2">
      <c r="A483" s="13" t="str">
        <f ca="1">IFERROR(__xludf.DUMMYFUNCTION("""COMPUTED_VALUE"""),"LU000696")</f>
        <v>LU000696</v>
      </c>
      <c r="B483" s="13" t="str">
        <f ca="1">IFERROR(__xludf.DUMMYFUNCTION("""COMPUTED_VALUE"""),"Multiplication of monomial by polynomial")</f>
        <v>Multiplication of monomial by polynomial</v>
      </c>
    </row>
    <row r="484" spans="1:2">
      <c r="A484" s="13" t="str">
        <f ca="1">IFERROR(__xludf.DUMMYFUNCTION("""COMPUTED_VALUE"""),"LU000700")</f>
        <v>LU000700</v>
      </c>
      <c r="B484" s="13" t="str">
        <f ca="1">IFERROR(__xludf.DUMMYFUNCTION("""COMPUTED_VALUE"""),"Multiplication of binomial by binomial")</f>
        <v>Multiplication of binomial by binomial</v>
      </c>
    </row>
    <row r="485" spans="1:2">
      <c r="A485" s="13" t="str">
        <f ca="1">IFERROR(__xludf.DUMMYFUNCTION("""COMPUTED_VALUE"""),"LU000779")</f>
        <v>LU000779</v>
      </c>
      <c r="B485" s="13" t="str">
        <f ca="1">IFERROR(__xludf.DUMMYFUNCTION("""COMPUTED_VALUE"""),"Visual representation of multiplication of algebraic expressions")</f>
        <v>Visual representation of multiplication of algebraic expressions</v>
      </c>
    </row>
    <row r="486" spans="1:2">
      <c r="A486" s="13" t="str">
        <f ca="1">IFERROR(__xludf.DUMMYFUNCTION("""COMPUTED_VALUE"""),"LU000701")</f>
        <v>LU000701</v>
      </c>
      <c r="B486" s="13" t="str">
        <f ca="1">IFERROR(__xludf.DUMMYFUNCTION("""COMPUTED_VALUE"""),"Multiplication of binomial by trinomial")</f>
        <v>Multiplication of binomial by trinomial</v>
      </c>
    </row>
    <row r="487" spans="1:2">
      <c r="A487" s="13" t="str">
        <f ca="1">IFERROR(__xludf.DUMMYFUNCTION("""COMPUTED_VALUE"""),"LU000699")</f>
        <v>LU000699</v>
      </c>
      <c r="B487" s="13" t="str">
        <f ca="1">IFERROR(__xludf.DUMMYFUNCTION("""COMPUTED_VALUE"""),"Multiplication of polynomial by polynomial")</f>
        <v>Multiplication of polynomial by polynomial</v>
      </c>
    </row>
    <row r="488" spans="1:2">
      <c r="A488" s="13" t="str">
        <f ca="1">IFERROR(__xludf.DUMMYFUNCTION("""COMPUTED_VALUE"""),"LU000702")</f>
        <v>LU000702</v>
      </c>
      <c r="B488" s="13" t="str">
        <f ca="1">IFERROR(__xludf.DUMMYFUNCTION("""COMPUTED_VALUE"""),"Definition of algebraic identity")</f>
        <v>Definition of algebraic identity</v>
      </c>
    </row>
    <row r="489" spans="1:2">
      <c r="A489" s="13" t="str">
        <f ca="1">IFERROR(__xludf.DUMMYFUNCTION("""COMPUTED_VALUE"""),"LU000705")</f>
        <v>LU000705</v>
      </c>
      <c r="B489" s="13" t="str">
        <f ca="1">IFERROR(__xludf.DUMMYFUNCTION("""COMPUTED_VALUE"""),"Algebraic identity for (a+b)^2")</f>
        <v>Algebraic identity for (a+b)^2</v>
      </c>
    </row>
    <row r="490" spans="1:2">
      <c r="A490" s="13" t="str">
        <f ca="1">IFERROR(__xludf.DUMMYFUNCTION("""COMPUTED_VALUE"""),"LU000704")</f>
        <v>LU000704</v>
      </c>
      <c r="B490" s="13" t="str">
        <f ca="1">IFERROR(__xludf.DUMMYFUNCTION("""COMPUTED_VALUE"""),"Algebraic identity for (a-b)^2")</f>
        <v>Algebraic identity for (a-b)^2</v>
      </c>
    </row>
    <row r="491" spans="1:2">
      <c r="A491" s="13" t="str">
        <f ca="1">IFERROR(__xludf.DUMMYFUNCTION("""COMPUTED_VALUE"""),"LU000703")</f>
        <v>LU000703</v>
      </c>
      <c r="B491" s="13" t="str">
        <f ca="1">IFERROR(__xludf.DUMMYFUNCTION("""COMPUTED_VALUE"""),"Algebraic identity for (a+b)(a-b)")</f>
        <v>Algebraic identity for (a+b)(a-b)</v>
      </c>
    </row>
    <row r="492" spans="1:2">
      <c r="A492" s="13" t="str">
        <f ca="1">IFERROR(__xludf.DUMMYFUNCTION("""COMPUTED_VALUE"""),"LU000706")</f>
        <v>LU000706</v>
      </c>
      <c r="B492" s="13" t="str">
        <f ca="1">IFERROR(__xludf.DUMMYFUNCTION("""COMPUTED_VALUE"""),"Algebraic identity for (x+a)(x+b)")</f>
        <v>Algebraic identity for (x+a)(x+b)</v>
      </c>
    </row>
    <row r="493" spans="1:2">
      <c r="A493" s="13" t="str">
        <f ca="1">IFERROR(__xludf.DUMMYFUNCTION("""COMPUTED_VALUE"""),"LU000715")</f>
        <v>LU000715</v>
      </c>
      <c r="B493" s="13" t="str">
        <f ca="1">IFERROR(__xludf.DUMMYFUNCTION("""COMPUTED_VALUE"""),"Area of a trapezium using formula")</f>
        <v>Area of a trapezium using formula</v>
      </c>
    </row>
    <row r="494" spans="1:2">
      <c r="A494" s="13" t="str">
        <f ca="1">IFERROR(__xludf.DUMMYFUNCTION("""COMPUTED_VALUE"""),"LU000491")</f>
        <v>LU000491</v>
      </c>
      <c r="B494" s="13" t="str">
        <f ca="1">IFERROR(__xludf.DUMMYFUNCTION("""COMPUTED_VALUE"""),"Area of a rhombus using formula in terms of base and height")</f>
        <v>Area of a rhombus using formula in terms of base and height</v>
      </c>
    </row>
    <row r="495" spans="1:2">
      <c r="A495" s="13" t="str">
        <f ca="1">IFERROR(__xludf.DUMMYFUNCTION("""COMPUTED_VALUE"""),"LU000717")</f>
        <v>LU000717</v>
      </c>
      <c r="B495" s="13" t="str">
        <f ca="1">IFERROR(__xludf.DUMMYFUNCTION("""COMPUTED_VALUE"""),"Area of a rhombus using formula in terms of lengths of diagonals")</f>
        <v>Area of a rhombus using formula in terms of lengths of diagonals</v>
      </c>
    </row>
    <row r="496" spans="1:2">
      <c r="A496" s="13" t="str">
        <f ca="1">IFERROR(__xludf.DUMMYFUNCTION("""COMPUTED_VALUE"""),"LU000716")</f>
        <v>LU000716</v>
      </c>
      <c r="B496" s="13" t="str">
        <f ca="1">IFERROR(__xludf.DUMMYFUNCTION("""COMPUTED_VALUE"""),"Area of a general quadrilateral using triangulation method")</f>
        <v>Area of a general quadrilateral using triangulation method</v>
      </c>
    </row>
    <row r="497" spans="1:2">
      <c r="A497" s="13" t="str">
        <f ca="1">IFERROR(__xludf.DUMMYFUNCTION("""COMPUTED_VALUE"""),"LU000728")</f>
        <v>LU000728</v>
      </c>
      <c r="B497" s="13" t="str">
        <f ca="1">IFERROR(__xludf.DUMMYFUNCTION("""COMPUTED_VALUE"""),"Area of a pentagon by dividing into parts (triangles and quadrilaterals)")</f>
        <v>Area of a pentagon by dividing into parts (triangles and quadrilaterals)</v>
      </c>
    </row>
    <row r="498" spans="1:2">
      <c r="A498" s="13" t="str">
        <f ca="1">IFERROR(__xludf.DUMMYFUNCTION("""COMPUTED_VALUE"""),"LU000731")</f>
        <v>LU000731</v>
      </c>
      <c r="B498" s="13" t="str">
        <f ca="1">IFERROR(__xludf.DUMMYFUNCTION("""COMPUTED_VALUE"""),"Area of a hexagon by dividing into parts (triangles and quadrilaterals)")</f>
        <v>Area of a hexagon by dividing into parts (triangles and quadrilaterals)</v>
      </c>
    </row>
    <row r="499" spans="1:2">
      <c r="A499" s="13" t="str">
        <f ca="1">IFERROR(__xludf.DUMMYFUNCTION("""COMPUTED_VALUE"""),"LU000732")</f>
        <v>LU000732</v>
      </c>
      <c r="B499" s="13" t="str">
        <f ca="1">IFERROR(__xludf.DUMMYFUNCTION("""COMPUTED_VALUE"""),"Area of a heptagon by dividing into parts (triangles and quadrilaterals)")</f>
        <v>Area of a heptagon by dividing into parts (triangles and quadrilaterals)</v>
      </c>
    </row>
    <row r="500" spans="1:2">
      <c r="A500" s="13" t="str">
        <f ca="1">IFERROR(__xludf.DUMMYFUNCTION("""COMPUTED_VALUE"""),"LU000733")</f>
        <v>LU000733</v>
      </c>
      <c r="B500" s="13" t="str">
        <f ca="1">IFERROR(__xludf.DUMMYFUNCTION("""COMPUTED_VALUE"""),"Area of a octagon by dividing into parts (triangles and quadrilaterals)")</f>
        <v>Area of a octagon by dividing into parts (triangles and quadrilaterals)</v>
      </c>
    </row>
    <row r="501" spans="1:2">
      <c r="A501" s="13" t="str">
        <f ca="1">IFERROR(__xludf.DUMMYFUNCTION("""COMPUTED_VALUE"""),"LU000718")</f>
        <v>LU000718</v>
      </c>
      <c r="B501" s="13" t="str">
        <f ca="1">IFERROR(__xludf.DUMMYFUNCTION("""COMPUTED_VALUE"""),"Lateral surface area of a cuboid")</f>
        <v>Lateral surface area of a cuboid</v>
      </c>
    </row>
    <row r="502" spans="1:2">
      <c r="A502" s="13" t="str">
        <f ca="1">IFERROR(__xludf.DUMMYFUNCTION("""COMPUTED_VALUE"""),"LU000722")</f>
        <v>LU000722</v>
      </c>
      <c r="B502" s="13" t="str">
        <f ca="1">IFERROR(__xludf.DUMMYFUNCTION("""COMPUTED_VALUE"""),"Total surface area of a cuboid")</f>
        <v>Total surface area of a cuboid</v>
      </c>
    </row>
    <row r="503" spans="1:2">
      <c r="A503" s="13" t="str">
        <f ca="1">IFERROR(__xludf.DUMMYFUNCTION("""COMPUTED_VALUE"""),"LU000734")</f>
        <v>LU000734</v>
      </c>
      <c r="B503" s="13" t="str">
        <f ca="1">IFERROR(__xludf.DUMMYFUNCTION("""COMPUTED_VALUE"""),"Surface area of the cuboid formed by joining the cubes")</f>
        <v>Surface area of the cuboid formed by joining the cubes</v>
      </c>
    </row>
    <row r="504" spans="1:2">
      <c r="A504" s="13" t="str">
        <f ca="1">IFERROR(__xludf.DUMMYFUNCTION("""COMPUTED_VALUE"""),"LU000720")</f>
        <v>LU000720</v>
      </c>
      <c r="B504" s="13" t="str">
        <f ca="1">IFERROR(__xludf.DUMMYFUNCTION("""COMPUTED_VALUE"""),"Lateral surface area of a cube")</f>
        <v>Lateral surface area of a cube</v>
      </c>
    </row>
    <row r="505" spans="1:2">
      <c r="A505" s="13" t="str">
        <f ca="1">IFERROR(__xludf.DUMMYFUNCTION("""COMPUTED_VALUE"""),"LU000721")</f>
        <v>LU000721</v>
      </c>
      <c r="B505" s="13" t="str">
        <f ca="1">IFERROR(__xludf.DUMMYFUNCTION("""COMPUTED_VALUE"""),"Total surface area of a cube")</f>
        <v>Total surface area of a cube</v>
      </c>
    </row>
    <row r="506" spans="1:2">
      <c r="A506" s="13" t="str">
        <f ca="1">IFERROR(__xludf.DUMMYFUNCTION("""COMPUTED_VALUE"""),"LU000729")</f>
        <v>LU000729</v>
      </c>
      <c r="B506" s="13" t="str">
        <f ca="1">IFERROR(__xludf.DUMMYFUNCTION("""COMPUTED_VALUE"""),"Curved surface area (Lateral surface area) of a right circular cylinder")</f>
        <v>Curved surface area (Lateral surface area) of a right circular cylinder</v>
      </c>
    </row>
    <row r="507" spans="1:2">
      <c r="A507" s="13" t="str">
        <f ca="1">IFERROR(__xludf.DUMMYFUNCTION("""COMPUTED_VALUE"""),"LU000723")</f>
        <v>LU000723</v>
      </c>
      <c r="B507" s="13" t="str">
        <f ca="1">IFERROR(__xludf.DUMMYFUNCTION("""COMPUTED_VALUE"""),"Total surface area of a right circular cylinder")</f>
        <v>Total surface area of a right circular cylinder</v>
      </c>
    </row>
    <row r="508" spans="1:2">
      <c r="A508" s="13" t="str">
        <f ca="1">IFERROR(__xludf.DUMMYFUNCTION("""COMPUTED_VALUE"""),"LU000724")</f>
        <v>LU000724</v>
      </c>
      <c r="B508" s="13" t="str">
        <f ca="1">IFERROR(__xludf.DUMMYFUNCTION("""COMPUTED_VALUE"""),"Volume of a cube")</f>
        <v>Volume of a cube</v>
      </c>
    </row>
    <row r="509" spans="1:2">
      <c r="A509" s="13" t="str">
        <f ca="1">IFERROR(__xludf.DUMMYFUNCTION("""COMPUTED_VALUE"""),"LU000725")</f>
        <v>LU000725</v>
      </c>
      <c r="B509" s="13" t="str">
        <f ca="1">IFERROR(__xludf.DUMMYFUNCTION("""COMPUTED_VALUE"""),"Volume of a cuboid")</f>
        <v>Volume of a cuboid</v>
      </c>
    </row>
    <row r="510" spans="1:2">
      <c r="A510" s="13" t="str">
        <f ca="1">IFERROR(__xludf.DUMMYFUNCTION("""COMPUTED_VALUE"""),"LU000726")</f>
        <v>LU000726</v>
      </c>
      <c r="B510" s="13" t="str">
        <f ca="1">IFERROR(__xludf.DUMMYFUNCTION("""COMPUTED_VALUE"""),"Volume of a right circular cylinder")</f>
        <v>Volume of a right circular cylinder</v>
      </c>
    </row>
    <row r="511" spans="1:2">
      <c r="A511" s="13" t="str">
        <f ca="1">IFERROR(__xludf.DUMMYFUNCTION("""COMPUTED_VALUE"""),"LU000727")</f>
        <v>LU000727</v>
      </c>
      <c r="B511" s="13" t="str">
        <f ca="1">IFERROR(__xludf.DUMMYFUNCTION("""COMPUTED_VALUE"""),"Capacity of a container")</f>
        <v>Capacity of a container</v>
      </c>
    </row>
    <row r="512" spans="1:2">
      <c r="A512" s="13" t="str">
        <f ca="1">IFERROR(__xludf.DUMMYFUNCTION("""COMPUTED_VALUE"""),"LU000942")</f>
        <v>LU000942</v>
      </c>
      <c r="B512" s="13" t="str">
        <f ca="1">IFERROR(__xludf.DUMMYFUNCTION("""COMPUTED_VALUE"""),"Volume of a hollow cylinder")</f>
        <v>Volume of a hollow cylinder</v>
      </c>
    </row>
    <row r="513" spans="1:2">
      <c r="A513" s="13" t="str">
        <f ca="1">IFERROR(__xludf.DUMMYFUNCTION("""COMPUTED_VALUE"""),"LU000535")</f>
        <v>LU000535</v>
      </c>
      <c r="B513" s="13" t="str">
        <f ca="1">IFERROR(__xludf.DUMMYFUNCTION("""COMPUTED_VALUE"""),"Law of power with negative exponent for whole numbers")</f>
        <v>Law of power with negative exponent for whole numbers</v>
      </c>
    </row>
    <row r="514" spans="1:2">
      <c r="A514" s="13" t="str">
        <f ca="1">IFERROR(__xludf.DUMMYFUNCTION("""COMPUTED_VALUE"""),"LU000536")</f>
        <v>LU000536</v>
      </c>
      <c r="B514" s="13" t="str">
        <f ca="1">IFERROR(__xludf.DUMMYFUNCTION("""COMPUTED_VALUE"""),"Law of power with negative exponent for integers")</f>
        <v>Law of power with negative exponent for integers</v>
      </c>
    </row>
    <row r="515" spans="1:2">
      <c r="A515" s="13" t="str">
        <f ca="1">IFERROR(__xludf.DUMMYFUNCTION("""COMPUTED_VALUE"""),"LU000736")</f>
        <v>LU000736</v>
      </c>
      <c r="B515" s="13" t="str">
        <f ca="1">IFERROR(__xludf.DUMMYFUNCTION("""COMPUTED_VALUE"""),"Multiplicative inverse of numbers in exponential form")</f>
        <v>Multiplicative inverse of numbers in exponential form</v>
      </c>
    </row>
    <row r="516" spans="1:2">
      <c r="A516" s="13" t="str">
        <f ca="1">IFERROR(__xludf.DUMMYFUNCTION("""COMPUTED_VALUE"""),"LU000928")</f>
        <v>LU000928</v>
      </c>
      <c r="B516" s="13" t="str">
        <f ca="1">IFERROR(__xludf.DUMMYFUNCTION("""COMPUTED_VALUE"""),"Application of multiple laws of exponent (exponent is integer)")</f>
        <v>Application of multiple laws of exponent (exponent is integer)</v>
      </c>
    </row>
    <row r="517" spans="1:2">
      <c r="A517" s="13" t="str">
        <f ca="1">IFERROR(__xludf.DUMMYFUNCTION("""COMPUTED_VALUE"""),"LU000929")</f>
        <v>LU000929</v>
      </c>
      <c r="B517" s="13" t="str">
        <f ca="1">IFERROR(__xludf.DUMMYFUNCTION("""COMPUTED_VALUE"""),"Application of multiple laws of exponent (exponent is rational number)")</f>
        <v>Application of multiple laws of exponent (exponent is rational number)</v>
      </c>
    </row>
    <row r="518" spans="1:2">
      <c r="A518" s="13" t="str">
        <f ca="1">IFERROR(__xludf.DUMMYFUNCTION("""COMPUTED_VALUE"""),"LU000543")</f>
        <v>LU000543</v>
      </c>
      <c r="B518" s="13" t="str">
        <f ca="1">IFERROR(__xludf.DUMMYFUNCTION("""COMPUTED_VALUE"""),"Conversion of decimal number into standard form")</f>
        <v>Conversion of decimal number into standard form</v>
      </c>
    </row>
    <row r="519" spans="1:2">
      <c r="A519" s="13" t="str">
        <f ca="1">IFERROR(__xludf.DUMMYFUNCTION("""COMPUTED_VALUE"""),"LU000545")</f>
        <v>LU000545</v>
      </c>
      <c r="B519" s="13" t="str">
        <f ca="1">IFERROR(__xludf.DUMMYFUNCTION("""COMPUTED_VALUE"""),"Conversion of small numbers into standard form")</f>
        <v>Conversion of small numbers into standard form</v>
      </c>
    </row>
    <row r="520" spans="1:2">
      <c r="A520" s="13" t="str">
        <f ca="1">IFERROR(__xludf.DUMMYFUNCTION("""COMPUTED_VALUE"""),"LU000744")</f>
        <v>LU000744</v>
      </c>
      <c r="B520" s="13" t="str">
        <f ca="1">IFERROR(__xludf.DUMMYFUNCTION("""COMPUTED_VALUE"""),"Comparison of very small number involving exponents")</f>
        <v>Comparison of very small number involving exponents</v>
      </c>
    </row>
    <row r="521" spans="1:2">
      <c r="A521" s="13" t="str">
        <f ca="1">IFERROR(__xludf.DUMMYFUNCTION("""COMPUTED_VALUE"""),"LU000735")</f>
        <v>LU000735</v>
      </c>
      <c r="B521" s="13" t="str">
        <f ca="1">IFERROR(__xludf.DUMMYFUNCTION("""COMPUTED_VALUE"""),"Comparison of very large number involving exponents")</f>
        <v>Comparison of very large number involving exponents</v>
      </c>
    </row>
    <row r="522" spans="1:2">
      <c r="A522" s="13" t="str">
        <f ca="1">IFERROR(__xludf.DUMMYFUNCTION("""COMPUTED_VALUE"""),"LU000740")</f>
        <v>LU000740</v>
      </c>
      <c r="B522" s="13" t="str">
        <f ca="1">IFERROR(__xludf.DUMMYFUNCTION("""COMPUTED_VALUE"""),"Perform addition of large numbers using exponents")</f>
        <v>Perform addition of large numbers using exponents</v>
      </c>
    </row>
    <row r="523" spans="1:2">
      <c r="A523" s="13" t="str">
        <f ca="1">IFERROR(__xludf.DUMMYFUNCTION("""COMPUTED_VALUE"""),"LU000748")</f>
        <v>LU000748</v>
      </c>
      <c r="B523" s="13" t="str">
        <f ca="1">IFERROR(__xludf.DUMMYFUNCTION("""COMPUTED_VALUE"""),"Definition of direct proportion")</f>
        <v>Definition of direct proportion</v>
      </c>
    </row>
    <row r="524" spans="1:2">
      <c r="A524" s="13" t="str">
        <f ca="1">IFERROR(__xludf.DUMMYFUNCTION("""COMPUTED_VALUE"""),"LU000750")</f>
        <v>LU000750</v>
      </c>
      <c r="B524" s="13" t="str">
        <f ca="1">IFERROR(__xludf.DUMMYFUNCTION("""COMPUTED_VALUE"""),"Constant of proportionality for direct proportional relationships")</f>
        <v>Constant of proportionality for direct proportional relationships</v>
      </c>
    </row>
    <row r="525" spans="1:2">
      <c r="A525" s="13" t="str">
        <f ca="1">IFERROR(__xludf.DUMMYFUNCTION("""COMPUTED_VALUE"""),"LU000754")</f>
        <v>LU000754</v>
      </c>
      <c r="B525" s="13" t="str">
        <f ca="1">IFERROR(__xludf.DUMMYFUNCTION("""COMPUTED_VALUE"""),"Interpret tables of direct proportional relationships")</f>
        <v>Interpret tables of direct proportional relationships</v>
      </c>
    </row>
    <row r="526" spans="1:2">
      <c r="A526" s="13" t="str">
        <f ca="1">IFERROR(__xludf.DUMMYFUNCTION("""COMPUTED_VALUE"""),"LU000749")</f>
        <v>LU000749</v>
      </c>
      <c r="B526" s="13" t="str">
        <f ca="1">IFERROR(__xludf.DUMMYFUNCTION("""COMPUTED_VALUE"""),"Definition of inverse proportion")</f>
        <v>Definition of inverse proportion</v>
      </c>
    </row>
    <row r="527" spans="1:2">
      <c r="A527" s="13" t="str">
        <f ca="1">IFERROR(__xludf.DUMMYFUNCTION("""COMPUTED_VALUE"""),"LU000753")</f>
        <v>LU000753</v>
      </c>
      <c r="B527" s="13" t="str">
        <f ca="1">IFERROR(__xludf.DUMMYFUNCTION("""COMPUTED_VALUE"""),"Constant of proportionality for inverse proportional relationships")</f>
        <v>Constant of proportionality for inverse proportional relationships</v>
      </c>
    </row>
    <row r="528" spans="1:2">
      <c r="A528" s="13" t="str">
        <f ca="1">IFERROR(__xludf.DUMMYFUNCTION("""COMPUTED_VALUE"""),"LU000755")</f>
        <v>LU000755</v>
      </c>
      <c r="B528" s="13" t="str">
        <f ca="1">IFERROR(__xludf.DUMMYFUNCTION("""COMPUTED_VALUE"""),"Interpret tables of inverse proportional relationships")</f>
        <v>Interpret tables of inverse proportional relationships</v>
      </c>
    </row>
    <row r="529" spans="1:2">
      <c r="A529" s="13" t="str">
        <f ca="1">IFERROR(__xludf.DUMMYFUNCTION("""COMPUTED_VALUE"""),"LU000752")</f>
        <v>LU000752</v>
      </c>
      <c r="B529" s="13" t="str">
        <f ca="1">IFERROR(__xludf.DUMMYFUNCTION("""COMPUTED_VALUE"""),"Applications of inverse proportional relationships in real-life scenarios")</f>
        <v>Applications of inverse proportional relationships in real-life scenarios</v>
      </c>
    </row>
    <row r="530" spans="1:2">
      <c r="A530" s="13" t="str">
        <f ca="1">IFERROR(__xludf.DUMMYFUNCTION("""COMPUTED_VALUE"""),"LU000751")</f>
        <v>LU000751</v>
      </c>
      <c r="B530" s="13" t="str">
        <f ca="1">IFERROR(__xludf.DUMMYFUNCTION("""COMPUTED_VALUE"""),"Applications of direct proportional relationships in real-life scenarios")</f>
        <v>Applications of direct proportional relationships in real-life scenarios</v>
      </c>
    </row>
    <row r="531" spans="1:2">
      <c r="A531" s="13" t="str">
        <f ca="1">IFERROR(__xludf.DUMMYFUNCTION("""COMPUTED_VALUE"""),"LU000756")</f>
        <v>LU000756</v>
      </c>
      <c r="B531" s="13" t="str">
        <f ca="1">IFERROR(__xludf.DUMMYFUNCTION("""COMPUTED_VALUE"""),"Proportional scaling in map and model interpretation")</f>
        <v>Proportional scaling in map and model interpretation</v>
      </c>
    </row>
    <row r="532" spans="1:2">
      <c r="A532" s="13" t="str">
        <f ca="1">IFERROR(__xludf.DUMMYFUNCTION("""COMPUTED_VALUE"""),"LU000770")</f>
        <v>LU000770</v>
      </c>
      <c r="B532" s="13" t="str">
        <f ca="1">IFERROR(__xludf.DUMMYFUNCTION("""COMPUTED_VALUE"""),"Common factors of a monomial")</f>
        <v>Common factors of a monomial</v>
      </c>
    </row>
    <row r="533" spans="1:2">
      <c r="A533" s="13" t="str">
        <f ca="1">IFERROR(__xludf.DUMMYFUNCTION("""COMPUTED_VALUE"""),"LU000771")</f>
        <v>LU000771</v>
      </c>
      <c r="B533" s="13" t="str">
        <f ca="1">IFERROR(__xludf.DUMMYFUNCTION("""COMPUTED_VALUE"""),"Highest common factor of monomials")</f>
        <v>Highest common factor of monomials</v>
      </c>
    </row>
    <row r="534" spans="1:2">
      <c r="A534" s="13" t="str">
        <f ca="1">IFERROR(__xludf.DUMMYFUNCTION("""COMPUTED_VALUE"""),"LU000757")</f>
        <v>LU000757</v>
      </c>
      <c r="B534" s="13" t="str">
        <f ca="1">IFERROR(__xludf.DUMMYFUNCTION("""COMPUTED_VALUE"""),"Definition of factorisation of algebraic expressions")</f>
        <v>Definition of factorisation of algebraic expressions</v>
      </c>
    </row>
    <row r="535" spans="1:2">
      <c r="A535" s="13" t="str">
        <f ca="1">IFERROR(__xludf.DUMMYFUNCTION("""COMPUTED_VALUE"""),"LU000758")</f>
        <v>LU000758</v>
      </c>
      <c r="B535" s="13" t="str">
        <f ca="1">IFERROR(__xludf.DUMMYFUNCTION("""COMPUTED_VALUE"""),"Factorisation of algebraic expressions by taking out monomial as common factors")</f>
        <v>Factorisation of algebraic expressions by taking out monomial as common factors</v>
      </c>
    </row>
    <row r="536" spans="1:2">
      <c r="A536" s="13" t="str">
        <f ca="1">IFERROR(__xludf.DUMMYFUNCTION("""COMPUTED_VALUE"""),"LU000940")</f>
        <v>LU000940</v>
      </c>
      <c r="B536" s="13" t="str">
        <f ca="1">IFERROR(__xludf.DUMMYFUNCTION("""COMPUTED_VALUE"""),"Factorisation of algebraic expressions by taking out binomial as a common factor")</f>
        <v>Factorisation of algebraic expressions by taking out binomial as a common factor</v>
      </c>
    </row>
    <row r="537" spans="1:2">
      <c r="A537" s="13" t="str">
        <f ca="1">IFERROR(__xludf.DUMMYFUNCTION("""COMPUTED_VALUE"""),"LU000759")</f>
        <v>LU000759</v>
      </c>
      <c r="B537" s="13" t="str">
        <f ca="1">IFERROR(__xludf.DUMMYFUNCTION("""COMPUTED_VALUE"""),"Factorisation of algebraic expressions by method of regrouping terms")</f>
        <v>Factorisation of algebraic expressions by method of regrouping terms</v>
      </c>
    </row>
    <row r="538" spans="1:2">
      <c r="A538" s="13" t="str">
        <f ca="1">IFERROR(__xludf.DUMMYFUNCTION("""COMPUTED_VALUE"""),"LU000768")</f>
        <v>LU000768</v>
      </c>
      <c r="B538" s="13" t="str">
        <f ca="1">IFERROR(__xludf.DUMMYFUNCTION("""COMPUTED_VALUE"""),"Factorisation of algebraic expressions using identity (a-b)^2")</f>
        <v>Factorisation of algebraic expressions using identity (a-b)^2</v>
      </c>
    </row>
    <row r="539" spans="1:2">
      <c r="A539" s="13" t="str">
        <f ca="1">IFERROR(__xludf.DUMMYFUNCTION("""COMPUTED_VALUE"""),"LU000767")</f>
        <v>LU000767</v>
      </c>
      <c r="B539" s="13" t="str">
        <f ca="1">IFERROR(__xludf.DUMMYFUNCTION("""COMPUTED_VALUE"""),"Factorisation of algebraic expressions using identity (a+b)^2")</f>
        <v>Factorisation of algebraic expressions using identity (a+b)^2</v>
      </c>
    </row>
    <row r="540" spans="1:2">
      <c r="A540" s="13" t="str">
        <f ca="1">IFERROR(__xludf.DUMMYFUNCTION("""COMPUTED_VALUE"""),"LU000769")</f>
        <v>LU000769</v>
      </c>
      <c r="B540" s="13" t="str">
        <f ca="1">IFERROR(__xludf.DUMMYFUNCTION("""COMPUTED_VALUE"""),"Factorisation of algebraic expressions using identity (a+b)(a-b)")</f>
        <v>Factorisation of algebraic expressions using identity (a+b)(a-b)</v>
      </c>
    </row>
    <row r="541" spans="1:2">
      <c r="A541" s="13" t="str">
        <f ca="1">IFERROR(__xludf.DUMMYFUNCTION("""COMPUTED_VALUE"""),"LU000760")</f>
        <v>LU000760</v>
      </c>
      <c r="B541" s="13" t="str">
        <f ca="1">IFERROR(__xludf.DUMMYFUNCTION("""COMPUTED_VALUE"""),"Factorisation of algebraic expressions using combination of identities [(a + b + c)^2 , (a + b )^2, (a - b )^2, a^2 - b^2)]")</f>
        <v>Factorisation of algebraic expressions using combination of identities [(a + b + c)^2 , (a + b )^2, (a - b )^2, a^2 - b^2)]</v>
      </c>
    </row>
    <row r="542" spans="1:2">
      <c r="A542" s="13" t="str">
        <f ca="1">IFERROR(__xludf.DUMMYFUNCTION("""COMPUTED_VALUE"""),"LU000761")</f>
        <v>LU000761</v>
      </c>
      <c r="B542" s="13" t="str">
        <f ca="1">IFERROR(__xludf.DUMMYFUNCTION("""COMPUTED_VALUE"""),"Factorisation of algebraic expressions of the form x^2 + px + q")</f>
        <v>Factorisation of algebraic expressions of the form x^2 + px + q</v>
      </c>
    </row>
    <row r="543" spans="1:2">
      <c r="A543" s="13" t="str">
        <f ca="1">IFERROR(__xludf.DUMMYFUNCTION("""COMPUTED_VALUE"""),"LU000711")</f>
        <v>LU000711</v>
      </c>
      <c r="B543" s="13" t="str">
        <f ca="1">IFERROR(__xludf.DUMMYFUNCTION("""COMPUTED_VALUE"""),"Terms (dividend, divisor, quotient and remainder) related to division algorithm in terms of algebraic expressions")</f>
        <v>Terms (dividend, divisor, quotient and remainder) related to division algorithm in terms of algebraic expressions</v>
      </c>
    </row>
    <row r="544" spans="1:2">
      <c r="A544" s="13" t="str">
        <f ca="1">IFERROR(__xludf.DUMMYFUNCTION("""COMPUTED_VALUE"""),"LU000708")</f>
        <v>LU000708</v>
      </c>
      <c r="B544" s="13" t="str">
        <f ca="1">IFERROR(__xludf.DUMMYFUNCTION("""COMPUTED_VALUE"""),"Division of monomial by monomial")</f>
        <v>Division of monomial by monomial</v>
      </c>
    </row>
    <row r="545" spans="1:2">
      <c r="A545" s="13" t="str">
        <f ca="1">IFERROR(__xludf.DUMMYFUNCTION("""COMPUTED_VALUE"""),"LU000709")</f>
        <v>LU000709</v>
      </c>
      <c r="B545" s="13" t="str">
        <f ca="1">IFERROR(__xludf.DUMMYFUNCTION("""COMPUTED_VALUE"""),"Division of polynomial by monomial")</f>
        <v>Division of polynomial by monomial</v>
      </c>
    </row>
    <row r="546" spans="1:2">
      <c r="A546" s="13" t="str">
        <f ca="1">IFERROR(__xludf.DUMMYFUNCTION("""COMPUTED_VALUE"""),"LU000710")</f>
        <v>LU000710</v>
      </c>
      <c r="B546" s="13" t="str">
        <f ca="1">IFERROR(__xludf.DUMMYFUNCTION("""COMPUTED_VALUE"""),"Division of a polynomial by a binomial using factorisation")</f>
        <v>Division of a polynomial by a binomial using factorisation</v>
      </c>
    </row>
    <row r="547" spans="1:2">
      <c r="A547" s="13" t="str">
        <f ca="1">IFERROR(__xludf.DUMMYFUNCTION("""COMPUTED_VALUE"""),"LU000776")</f>
        <v>LU000776</v>
      </c>
      <c r="B547" s="13" t="str">
        <f ca="1">IFERROR(__xludf.DUMMYFUNCTION("""COMPUTED_VALUE"""),"Coordinates of a point on a graph")</f>
        <v>Coordinates of a point on a graph</v>
      </c>
    </row>
    <row r="548" spans="1:2">
      <c r="A548" s="13" t="str">
        <f ca="1">IFERROR(__xludf.DUMMYFUNCTION("""COMPUTED_VALUE"""),"LU000772")</f>
        <v>LU000772</v>
      </c>
      <c r="B548" s="13" t="str">
        <f ca="1">IFERROR(__xludf.DUMMYFUNCTION("""COMPUTED_VALUE"""),"Definition of line graph")</f>
        <v>Definition of line graph</v>
      </c>
    </row>
    <row r="549" spans="1:2">
      <c r="A549" s="13" t="str">
        <f ca="1">IFERROR(__xludf.DUMMYFUNCTION("""COMPUTED_VALUE"""),"LU000781")</f>
        <v>LU000781</v>
      </c>
      <c r="B549" s="13" t="str">
        <f ca="1">IFERROR(__xludf.DUMMYFUNCTION("""COMPUTED_VALUE"""),"Interpretation of line graph")</f>
        <v>Interpretation of line graph</v>
      </c>
    </row>
    <row r="550" spans="1:2">
      <c r="A550" s="13" t="str">
        <f ca="1">IFERROR(__xludf.DUMMYFUNCTION("""COMPUTED_VALUE"""),"LU000773")</f>
        <v>LU000773</v>
      </c>
      <c r="B550" s="13" t="str">
        <f ca="1">IFERROR(__xludf.DUMMYFUNCTION("""COMPUTED_VALUE"""),"Construction of a line graph using tabular information")</f>
        <v>Construction of a line graph using tabular information</v>
      </c>
    </row>
    <row r="551" spans="1:2">
      <c r="A551" s="13" t="str">
        <f ca="1">IFERROR(__xludf.DUMMYFUNCTION("""COMPUTED_VALUE"""),"LU000775")</f>
        <v>LU000775</v>
      </c>
      <c r="B551" s="13" t="str">
        <f ca="1">IFERROR(__xludf.DUMMYFUNCTION("""COMPUTED_VALUE"""),"Definition of linear graphs")</f>
        <v>Definition of linear graphs</v>
      </c>
    </row>
    <row r="552" spans="1:2">
      <c r="A552" s="13" t="str">
        <f ca="1">IFERROR(__xludf.DUMMYFUNCTION("""COMPUTED_VALUE"""),"LU000780")</f>
        <v>LU000780</v>
      </c>
      <c r="B552" s="13" t="str">
        <f ca="1">IFERROR(__xludf.DUMMYFUNCTION("""COMPUTED_VALUE"""),"Interpretation of linear graph")</f>
        <v>Interpretation of linear graph</v>
      </c>
    </row>
    <row r="553" spans="1:2">
      <c r="A553" s="13" t="str">
        <f ca="1">IFERROR(__xludf.DUMMYFUNCTION("""COMPUTED_VALUE"""),"LU000784")</f>
        <v>LU000784</v>
      </c>
      <c r="B553" s="13" t="str">
        <f ca="1">IFERROR(__xludf.DUMMYFUNCTION("""COMPUTED_VALUE"""),"Construction of a linear graph")</f>
        <v>Construction of a linear graph</v>
      </c>
    </row>
    <row r="554" spans="1:2">
      <c r="A554" s="13" t="str">
        <f ca="1">IFERROR(__xludf.DUMMYFUNCTION("""COMPUTED_VALUE"""),"LUID")</f>
        <v>LUID</v>
      </c>
      <c r="B554" s="13" t="str">
        <f ca="1">IFERROR(__xludf.DUMMYFUNCTION("""COMPUTED_VALUE"""),"LUs Covered")</f>
        <v>LUs Covered</v>
      </c>
    </row>
    <row r="555" spans="1:2">
      <c r="A555" s="13" t="str">
        <f ca="1">IFERROR(__xludf.DUMMYFUNCTION("""COMPUTED_VALUE"""),"LU005214")</f>
        <v>LU005214</v>
      </c>
      <c r="B555" s="13" t="str">
        <f ca="1">IFERROR(__xludf.DUMMYFUNCTION("""COMPUTED_VALUE"""),"Definition of nutrients, types, and their sources.")</f>
        <v>Definition of nutrients, types, and their sources.</v>
      </c>
    </row>
    <row r="556" spans="1:2">
      <c r="A556" s="13" t="str">
        <f ca="1">IFERROR(__xludf.DUMMYFUNCTION("""COMPUTED_VALUE"""),"LU005938")</f>
        <v>LU005938</v>
      </c>
      <c r="B556" s="13" t="str">
        <f ca="1">IFERROR(__xludf.DUMMYFUNCTION("""COMPUTED_VALUE"""),"Definition of carbohydrates and its qualitative tests.")</f>
        <v>Definition of carbohydrates and its qualitative tests.</v>
      </c>
    </row>
    <row r="557" spans="1:2">
      <c r="A557" s="13" t="str">
        <f ca="1">IFERROR(__xludf.DUMMYFUNCTION("""COMPUTED_VALUE"""),"LU005939")</f>
        <v>LU005939</v>
      </c>
      <c r="B557" s="13" t="str">
        <f ca="1">IFERROR(__xludf.DUMMYFUNCTION("""COMPUTED_VALUE"""),"Definition of fats and its qualitative tests.")</f>
        <v>Definition of fats and its qualitative tests.</v>
      </c>
    </row>
    <row r="558" spans="1:2">
      <c r="A558" s="13" t="str">
        <f ca="1">IFERROR(__xludf.DUMMYFUNCTION("""COMPUTED_VALUE"""),"LU005940")</f>
        <v>LU005940</v>
      </c>
      <c r="B558" s="13" t="str">
        <f ca="1">IFERROR(__xludf.DUMMYFUNCTION("""COMPUTED_VALUE"""),"Definition of proteins and its qualitative tests.")</f>
        <v>Definition of proteins and its qualitative tests.</v>
      </c>
    </row>
    <row r="559" spans="1:2">
      <c r="A559" s="13" t="str">
        <f ca="1">IFERROR(__xludf.DUMMYFUNCTION("""COMPUTED_VALUE"""),"LU005216")</f>
        <v>LU005216</v>
      </c>
      <c r="B559" s="13" t="str">
        <f ca="1">IFERROR(__xludf.DUMMYFUNCTION("""COMPUTED_VALUE"""),"Definition of vitamins, types, functions and sources")</f>
        <v>Definition of vitamins, types, functions and sources</v>
      </c>
    </row>
    <row r="560" spans="1:2">
      <c r="A560" s="13" t="str">
        <f ca="1">IFERROR(__xludf.DUMMYFUNCTION("""COMPUTED_VALUE"""),"LU005941")</f>
        <v>LU005941</v>
      </c>
      <c r="B560" s="13" t="str">
        <f ca="1">IFERROR(__xludf.DUMMYFUNCTION("""COMPUTED_VALUE"""),"Roughage and water's function and source for human body")</f>
        <v>Roughage and water's function and source for human body</v>
      </c>
    </row>
    <row r="561" spans="1:2">
      <c r="A561" s="13" t="str">
        <f ca="1">IFERROR(__xludf.DUMMYFUNCTION("""COMPUTED_VALUE"""),"LU005942")</f>
        <v>LU005942</v>
      </c>
      <c r="B561" s="13" t="str">
        <f ca="1">IFERROR(__xludf.DUMMYFUNCTION("""COMPUTED_VALUE"""),"Minerals' functions and sources for human body")</f>
        <v>Minerals' functions and sources for human body</v>
      </c>
    </row>
    <row r="562" spans="1:2">
      <c r="A562" s="13" t="str">
        <f ca="1">IFERROR(__xludf.DUMMYFUNCTION("""COMPUTED_VALUE"""),"LU005218")</f>
        <v>LU005218</v>
      </c>
      <c r="B562" s="13" t="str">
        <f ca="1">IFERROR(__xludf.DUMMYFUNCTION("""COMPUTED_VALUE"""),"Concept and constituents of balanced diet")</f>
        <v>Concept and constituents of balanced diet</v>
      </c>
    </row>
    <row r="563" spans="1:2">
      <c r="A563" s="13" t="str">
        <f ca="1">IFERROR(__xludf.DUMMYFUNCTION("""COMPUTED_VALUE"""),"LU005220")</f>
        <v>LU005220</v>
      </c>
      <c r="B563" s="13" t="str">
        <f ca="1">IFERROR(__xludf.DUMMYFUNCTION("""COMPUTED_VALUE"""),"Definition of malnutrition and obesity")</f>
        <v>Definition of malnutrition and obesity</v>
      </c>
    </row>
    <row r="564" spans="1:2">
      <c r="A564" s="13" t="str">
        <f ca="1">IFERROR(__xludf.DUMMYFUNCTION("""COMPUTED_VALUE"""),"LU005219")</f>
        <v>LU005219</v>
      </c>
      <c r="B564" s="13" t="str">
        <f ca="1">IFERROR(__xludf.DUMMYFUNCTION("""COMPUTED_VALUE"""),"Definition of deficiency diseases")</f>
        <v>Definition of deficiency diseases</v>
      </c>
    </row>
    <row r="565" spans="1:2">
      <c r="A565" s="13" t="str">
        <f ca="1">IFERROR(__xludf.DUMMYFUNCTION("""COMPUTED_VALUE"""),"LU005313")</f>
        <v>LU005313</v>
      </c>
      <c r="B565" s="13" t="str">
        <f ca="1">IFERROR(__xludf.DUMMYFUNCTION("""COMPUTED_VALUE"""),"Nature of objects around us at material level and grouping of materials")</f>
        <v>Nature of objects around us at material level and grouping of materials</v>
      </c>
    </row>
    <row r="566" spans="1:2">
      <c r="A566" s="13" t="str">
        <f ca="1">IFERROR(__xludf.DUMMYFUNCTION("""COMPUTED_VALUE"""),"LU005314")</f>
        <v>LU005314</v>
      </c>
      <c r="B566" s="13" t="str">
        <f ca="1">IFERROR(__xludf.DUMMYFUNCTION("""COMPUTED_VALUE"""),"Properties of materials-Appearance and Feel")</f>
        <v>Properties of materials-Appearance and Feel</v>
      </c>
    </row>
    <row r="567" spans="1:2">
      <c r="A567" s="13" t="str">
        <f ca="1">IFERROR(__xludf.DUMMYFUNCTION("""COMPUTED_VALUE"""),"LU005316")</f>
        <v>LU005316</v>
      </c>
      <c r="B567" s="13" t="str">
        <f ca="1">IFERROR(__xludf.DUMMYFUNCTION("""COMPUTED_VALUE"""),"Properties of materials-Hardness")</f>
        <v>Properties of materials-Hardness</v>
      </c>
    </row>
    <row r="568" spans="1:2">
      <c r="A568" s="13" t="str">
        <f ca="1">IFERROR(__xludf.DUMMYFUNCTION("""COMPUTED_VALUE"""),"LU005317")</f>
        <v>LU005317</v>
      </c>
      <c r="B568" s="13" t="str">
        <f ca="1">IFERROR(__xludf.DUMMYFUNCTION("""COMPUTED_VALUE"""),"Properties of materials-Solubility in water")</f>
        <v>Properties of materials-Solubility in water</v>
      </c>
    </row>
    <row r="569" spans="1:2">
      <c r="A569" s="13" t="str">
        <f ca="1">IFERROR(__xludf.DUMMYFUNCTION("""COMPUTED_VALUE"""),"LU005319")</f>
        <v>LU005319</v>
      </c>
      <c r="B569" s="13" t="str">
        <f ca="1">IFERROR(__xludf.DUMMYFUNCTION("""COMPUTED_VALUE"""),"Significance of Solubility of Gases in Water")</f>
        <v>Significance of Solubility of Gases in Water</v>
      </c>
    </row>
    <row r="570" spans="1:2">
      <c r="A570" s="13" t="str">
        <f ca="1">IFERROR(__xludf.DUMMYFUNCTION("""COMPUTED_VALUE"""),"LU005315")</f>
        <v>LU005315</v>
      </c>
      <c r="B570" s="13" t="str">
        <f ca="1">IFERROR(__xludf.DUMMYFUNCTION("""COMPUTED_VALUE"""),"Properties of materials-Floats or sinks in water")</f>
        <v>Properties of materials-Floats or sinks in water</v>
      </c>
    </row>
    <row r="571" spans="1:2">
      <c r="A571" s="13" t="str">
        <f ca="1">IFERROR(__xludf.DUMMYFUNCTION("""COMPUTED_VALUE"""),"LU005318")</f>
        <v>LU005318</v>
      </c>
      <c r="B571" s="13" t="str">
        <f ca="1">IFERROR(__xludf.DUMMYFUNCTION("""COMPUTED_VALUE"""),"Properties of materials-Transparency")</f>
        <v>Properties of materials-Transparency</v>
      </c>
    </row>
    <row r="572" spans="1:2">
      <c r="A572" s="13" t="str">
        <f ca="1">IFERROR(__xludf.DUMMYFUNCTION("""COMPUTED_VALUE"""),"LU005293")</f>
        <v>LU005293</v>
      </c>
      <c r="B572" s="13" t="str">
        <f ca="1">IFERROR(__xludf.DUMMYFUNCTION("""COMPUTED_VALUE"""),"Purpose for the separation of substances")</f>
        <v>Purpose for the separation of substances</v>
      </c>
    </row>
    <row r="573" spans="1:2">
      <c r="A573" s="13" t="str">
        <f ca="1">IFERROR(__xludf.DUMMYFUNCTION("""COMPUTED_VALUE"""),"LU005294")</f>
        <v>LU005294</v>
      </c>
      <c r="B573" s="13" t="str">
        <f ca="1">IFERROR(__xludf.DUMMYFUNCTION("""COMPUTED_VALUE"""),"Handpicking, threshing, winnowing, and sieving")</f>
        <v>Handpicking, threshing, winnowing, and sieving</v>
      </c>
    </row>
    <row r="574" spans="1:2">
      <c r="A574" s="13" t="str">
        <f ca="1">IFERROR(__xludf.DUMMYFUNCTION("""COMPUTED_VALUE"""),"LU005295")</f>
        <v>LU005295</v>
      </c>
      <c r="B574" s="13" t="str">
        <f ca="1">IFERROR(__xludf.DUMMYFUNCTION("""COMPUTED_VALUE"""),"Sedimentation, decantation and filtration")</f>
        <v>Sedimentation, decantation and filtration</v>
      </c>
    </row>
    <row r="575" spans="1:2">
      <c r="A575" s="13" t="str">
        <f ca="1">IFERROR(__xludf.DUMMYFUNCTION("""COMPUTED_VALUE"""),"LU005296")</f>
        <v>LU005296</v>
      </c>
      <c r="B575" s="13" t="str">
        <f ca="1">IFERROR(__xludf.DUMMYFUNCTION("""COMPUTED_VALUE"""),"Evaporation and condensation as the methods of separation")</f>
        <v>Evaporation and condensation as the methods of separation</v>
      </c>
    </row>
    <row r="576" spans="1:2">
      <c r="A576" s="13" t="str">
        <f ca="1">IFERROR(__xludf.DUMMYFUNCTION("""COMPUTED_VALUE"""),"LU005297")</f>
        <v>LU005297</v>
      </c>
      <c r="B576" s="13" t="str">
        <f ca="1">IFERROR(__xludf.DUMMYFUNCTION("""COMPUTED_VALUE"""),"Using more than one method of separation")</f>
        <v>Using more than one method of separation</v>
      </c>
    </row>
    <row r="577" spans="1:2">
      <c r="A577" s="13" t="str">
        <f ca="1">IFERROR(__xludf.DUMMYFUNCTION("""COMPUTED_VALUE"""),"LU005298")</f>
        <v>LU005298</v>
      </c>
      <c r="B577" s="13" t="str">
        <f ca="1">IFERROR(__xludf.DUMMYFUNCTION("""COMPUTED_VALUE"""),"Definition of saturated and unsaturated solutions.")</f>
        <v>Definition of saturated and unsaturated solutions.</v>
      </c>
    </row>
    <row r="578" spans="1:2">
      <c r="A578" s="13" t="str">
        <f ca="1">IFERROR(__xludf.DUMMYFUNCTION("""COMPUTED_VALUE"""),"LU005237")</f>
        <v>LU005237</v>
      </c>
      <c r="B578" s="13" t="str">
        <f ca="1">IFERROR(__xludf.DUMMYFUNCTION("""COMPUTED_VALUE"""),"Parts of a typical plant")</f>
        <v>Parts of a typical plant</v>
      </c>
    </row>
    <row r="579" spans="1:2">
      <c r="A579" s="13" t="str">
        <f ca="1">IFERROR(__xludf.DUMMYFUNCTION("""COMPUTED_VALUE"""),"LU005238")</f>
        <v>LU005238</v>
      </c>
      <c r="B579" s="13" t="str">
        <f ca="1">IFERROR(__xludf.DUMMYFUNCTION("""COMPUTED_VALUE"""),"Herbs, shrubs, trees, and creepers and climbers.")</f>
        <v>Herbs, shrubs, trees, and creepers and climbers.</v>
      </c>
    </row>
    <row r="580" spans="1:2">
      <c r="A580" s="13" t="str">
        <f ca="1">IFERROR(__xludf.DUMMYFUNCTION("""COMPUTED_VALUE"""),"LU005239")</f>
        <v>LU005239</v>
      </c>
      <c r="B580" s="13" t="str">
        <f ca="1">IFERROR(__xludf.DUMMYFUNCTION("""COMPUTED_VALUE"""),"Plant's stem structure and functions")</f>
        <v>Plant's stem structure and functions</v>
      </c>
    </row>
    <row r="581" spans="1:2">
      <c r="A581" s="13" t="str">
        <f ca="1">IFERROR(__xludf.DUMMYFUNCTION("""COMPUTED_VALUE"""),"LU005943")</f>
        <v>LU005943</v>
      </c>
      <c r="B581" s="13" t="str">
        <f ca="1">IFERROR(__xludf.DUMMYFUNCTION("""COMPUTED_VALUE"""),"Plant's leaf structure and venation pattern")</f>
        <v>Plant's leaf structure and venation pattern</v>
      </c>
    </row>
    <row r="582" spans="1:2">
      <c r="A582" s="13" t="str">
        <f ca="1">IFERROR(__xludf.DUMMYFUNCTION("""COMPUTED_VALUE"""),"LU005944")</f>
        <v>LU005944</v>
      </c>
      <c r="B582" s="13" t="str">
        <f ca="1">IFERROR(__xludf.DUMMYFUNCTION("""COMPUTED_VALUE"""),"Introduction to photosynthesis process in plants")</f>
        <v>Introduction to photosynthesis process in plants</v>
      </c>
    </row>
    <row r="583" spans="1:2">
      <c r="A583" s="13" t="str">
        <f ca="1">IFERROR(__xludf.DUMMYFUNCTION("""COMPUTED_VALUE"""),"LU005945")</f>
        <v>LU005945</v>
      </c>
      <c r="B583" s="13" t="str">
        <f ca="1">IFERROR(__xludf.DUMMYFUNCTION("""COMPUTED_VALUE"""),"Introduction to transpiration process in plants")</f>
        <v>Introduction to transpiration process in plants</v>
      </c>
    </row>
    <row r="584" spans="1:2">
      <c r="A584" s="13" t="str">
        <f ca="1">IFERROR(__xludf.DUMMYFUNCTION("""COMPUTED_VALUE"""),"LU005946")</f>
        <v>LU005946</v>
      </c>
      <c r="B584" s="13" t="str">
        <f ca="1">IFERROR(__xludf.DUMMYFUNCTION("""COMPUTED_VALUE"""),"A typical plant root's function")</f>
        <v>A typical plant root's function</v>
      </c>
    </row>
    <row r="585" spans="1:2">
      <c r="A585" s="13" t="str">
        <f ca="1">IFERROR(__xludf.DUMMYFUNCTION("""COMPUTED_VALUE"""),"LU005947")</f>
        <v>LU005947</v>
      </c>
      <c r="B585" s="13" t="str">
        <f ca="1">IFERROR(__xludf.DUMMYFUNCTION("""COMPUTED_VALUE"""),"Types of plant's root")</f>
        <v>Types of plant's root</v>
      </c>
    </row>
    <row r="586" spans="1:2">
      <c r="A586" s="13" t="str">
        <f ca="1">IFERROR(__xludf.DUMMYFUNCTION("""COMPUTED_VALUE"""),"LU005242")</f>
        <v>LU005242</v>
      </c>
      <c r="B586" s="13" t="str">
        <f ca="1">IFERROR(__xludf.DUMMYFUNCTION("""COMPUTED_VALUE"""),"A typical plant's flower-structure and function")</f>
        <v>A typical plant's flower-structure and function</v>
      </c>
    </row>
    <row r="587" spans="1:2">
      <c r="A587" s="13" t="str">
        <f ca="1">IFERROR(__xludf.DUMMYFUNCTION("""COMPUTED_VALUE"""),"LU005171")</f>
        <v>LU005171</v>
      </c>
      <c r="B587" s="13" t="str">
        <f ca="1">IFERROR(__xludf.DUMMYFUNCTION("""COMPUTED_VALUE"""),"Evolution of Transportation")</f>
        <v>Evolution of Transportation</v>
      </c>
    </row>
    <row r="588" spans="1:2">
      <c r="A588" s="13" t="str">
        <f ca="1">IFERROR(__xludf.DUMMYFUNCTION("""COMPUTED_VALUE"""),"LU005181")</f>
        <v>LU005181</v>
      </c>
      <c r="B588" s="13" t="str">
        <f ca="1">IFERROR(__xludf.DUMMYFUNCTION("""COMPUTED_VALUE"""),"Importance of Distance and Measurement")</f>
        <v>Importance of Distance and Measurement</v>
      </c>
    </row>
    <row r="589" spans="1:2">
      <c r="A589" s="13" t="str">
        <f ca="1">IFERROR(__xludf.DUMMYFUNCTION("""COMPUTED_VALUE"""),"LU005928")</f>
        <v>LU005928</v>
      </c>
      <c r="B589" s="13" t="str">
        <f ca="1">IFERROR(__xludf.DUMMYFUNCTION("""COMPUTED_VALUE"""),"Measurement of length using non-standard devices")</f>
        <v>Measurement of length using non-standard devices</v>
      </c>
    </row>
    <row r="590" spans="1:2">
      <c r="A590" s="13" t="str">
        <f ca="1">IFERROR(__xludf.DUMMYFUNCTION("""COMPUTED_VALUE"""),"LU005929")</f>
        <v>LU005929</v>
      </c>
      <c r="B590" s="13" t="str">
        <f ca="1">IFERROR(__xludf.DUMMYFUNCTION("""COMPUTED_VALUE"""),"Limitation of Measuring length using non-standard devices")</f>
        <v>Limitation of Measuring length using non-standard devices</v>
      </c>
    </row>
    <row r="591" spans="1:2">
      <c r="A591" s="13" t="str">
        <f ca="1">IFERROR(__xludf.DUMMYFUNCTION("""COMPUTED_VALUE"""),"LU005930")</f>
        <v>LU005930</v>
      </c>
      <c r="B591" s="13" t="str">
        <f ca="1">IFERROR(__xludf.DUMMYFUNCTION("""COMPUTED_VALUE"""),"Purpose of standard mode of measurement")</f>
        <v>Purpose of standard mode of measurement</v>
      </c>
    </row>
    <row r="592" spans="1:2">
      <c r="A592" s="13" t="str">
        <f ca="1">IFERROR(__xludf.DUMMYFUNCTION("""COMPUTED_VALUE"""),"LU005182")</f>
        <v>LU005182</v>
      </c>
      <c r="B592" s="13" t="str">
        <f ca="1">IFERROR(__xludf.DUMMYFUNCTION("""COMPUTED_VALUE"""),"Definition and Importance of Unit in Measurement")</f>
        <v>Definition and Importance of Unit in Measurement</v>
      </c>
    </row>
    <row r="593" spans="1:2">
      <c r="A593" s="13" t="str">
        <f ca="1">IFERROR(__xludf.DUMMYFUNCTION("""COMPUTED_VALUE"""),"LU005174")</f>
        <v>LU005174</v>
      </c>
      <c r="B593" s="13" t="str">
        <f ca="1">IFERROR(__xludf.DUMMYFUNCTION("""COMPUTED_VALUE"""),"Units of length")</f>
        <v>Units of length</v>
      </c>
    </row>
    <row r="594" spans="1:2">
      <c r="A594" s="13" t="str">
        <f ca="1">IFERROR(__xludf.DUMMYFUNCTION("""COMPUTED_VALUE"""),"LU005175")</f>
        <v>LU005175</v>
      </c>
      <c r="B594" s="13" t="str">
        <f ca="1">IFERROR(__xludf.DUMMYFUNCTION("""COMPUTED_VALUE"""),"Measurement of length using ruler")</f>
        <v>Measurement of length using ruler</v>
      </c>
    </row>
    <row r="595" spans="1:2">
      <c r="A595" s="13" t="str">
        <f ca="1">IFERROR(__xludf.DUMMYFUNCTION("""COMPUTED_VALUE"""),"LU005931")</f>
        <v>LU005931</v>
      </c>
      <c r="B595" s="13" t="str">
        <f ca="1">IFERROR(__xludf.DUMMYFUNCTION("""COMPUTED_VALUE"""),"Comparison between standard and non-standard measurement device")</f>
        <v>Comparison between standard and non-standard measurement device</v>
      </c>
    </row>
    <row r="596" spans="1:2">
      <c r="A596" s="13" t="str">
        <f ca="1">IFERROR(__xludf.DUMMYFUNCTION("""COMPUTED_VALUE"""),"LU005176")</f>
        <v>LU005176</v>
      </c>
      <c r="B596" s="13" t="str">
        <f ca="1">IFERROR(__xludf.DUMMYFUNCTION("""COMPUTED_VALUE"""),"Measurement of curved line")</f>
        <v>Measurement of curved line</v>
      </c>
    </row>
    <row r="597" spans="1:2">
      <c r="A597" s="13" t="str">
        <f ca="1">IFERROR(__xludf.DUMMYFUNCTION("""COMPUTED_VALUE"""),"LU005177")</f>
        <v>LU005177</v>
      </c>
      <c r="B597" s="13" t="str">
        <f ca="1">IFERROR(__xludf.DUMMYFUNCTION("""COMPUTED_VALUE"""),"Comparison of object in the State of rest vs State of Motion")</f>
        <v>Comparison of object in the State of rest vs State of Motion</v>
      </c>
    </row>
    <row r="598" spans="1:2">
      <c r="A598" s="13" t="str">
        <f ca="1">IFERROR(__xludf.DUMMYFUNCTION("""COMPUTED_VALUE"""),"LU005186")</f>
        <v>LU005186</v>
      </c>
      <c r="B598" s="13" t="str">
        <f ca="1">IFERROR(__xludf.DUMMYFUNCTION("""COMPUTED_VALUE"""),"Motion in Straight Line")</f>
        <v>Motion in Straight Line</v>
      </c>
    </row>
    <row r="599" spans="1:2">
      <c r="A599" s="13" t="str">
        <f ca="1">IFERROR(__xludf.DUMMYFUNCTION("""COMPUTED_VALUE"""),"LU005187")</f>
        <v>LU005187</v>
      </c>
      <c r="B599" s="13" t="str">
        <f ca="1">IFERROR(__xludf.DUMMYFUNCTION("""COMPUTED_VALUE"""),"Understanding the Basics of Circular Motion")</f>
        <v>Understanding the Basics of Circular Motion</v>
      </c>
    </row>
    <row r="600" spans="1:2">
      <c r="A600" s="13" t="str">
        <f ca="1">IFERROR(__xludf.DUMMYFUNCTION("""COMPUTED_VALUE"""),"LU005188")</f>
        <v>LU005188</v>
      </c>
      <c r="B600" s="13" t="str">
        <f ca="1">IFERROR(__xludf.DUMMYFUNCTION("""COMPUTED_VALUE"""),"Understanding the Basics of Rotational Motion")</f>
        <v>Understanding the Basics of Rotational Motion</v>
      </c>
    </row>
    <row r="601" spans="1:2">
      <c r="A601" s="13" t="str">
        <f ca="1">IFERROR(__xludf.DUMMYFUNCTION("""COMPUTED_VALUE"""),"LU005189")</f>
        <v>LU005189</v>
      </c>
      <c r="B601" s="13" t="str">
        <f ca="1">IFERROR(__xludf.DUMMYFUNCTION("""COMPUTED_VALUE"""),"Understanding the Basics of Periodic and Non-Periodic Motion")</f>
        <v>Understanding the Basics of Periodic and Non-Periodic Motion</v>
      </c>
    </row>
    <row r="602" spans="1:2">
      <c r="A602" s="13" t="str">
        <f ca="1">IFERROR(__xludf.DUMMYFUNCTION("""COMPUTED_VALUE"""),"LU005178")</f>
        <v>LU005178</v>
      </c>
      <c r="B602" s="13" t="str">
        <f ca="1">IFERROR(__xludf.DUMMYFUNCTION("""COMPUTED_VALUE"""),"Observing Combination of Motion in Everyday Life")</f>
        <v>Observing Combination of Motion in Everyday Life</v>
      </c>
    </row>
    <row r="603" spans="1:2">
      <c r="A603" s="13" t="str">
        <f ca="1">IFERROR(__xludf.DUMMYFUNCTION("""COMPUTED_VALUE"""),"LU005170")</f>
        <v>LU005170</v>
      </c>
      <c r="B603" s="13" t="str">
        <f ca="1">IFERROR(__xludf.DUMMYFUNCTION("""COMPUTED_VALUE"""),"Definition and examples of transparent objects")</f>
        <v>Definition and examples of transparent objects</v>
      </c>
    </row>
    <row r="604" spans="1:2">
      <c r="A604" s="13" t="str">
        <f ca="1">IFERROR(__xludf.DUMMYFUNCTION("""COMPUTED_VALUE"""),"LU005831")</f>
        <v>LU005831</v>
      </c>
      <c r="B604" s="13" t="str">
        <f ca="1">IFERROR(__xludf.DUMMYFUNCTION("""COMPUTED_VALUE"""),"Definition and examples of translucent objects")</f>
        <v>Definition and examples of translucent objects</v>
      </c>
    </row>
    <row r="605" spans="1:2">
      <c r="A605" s="13" t="str">
        <f ca="1">IFERROR(__xludf.DUMMYFUNCTION("""COMPUTED_VALUE"""),"LU005832")</f>
        <v>LU005832</v>
      </c>
      <c r="B605" s="13" t="str">
        <f ca="1">IFERROR(__xludf.DUMMYFUNCTION("""COMPUTED_VALUE"""),"Definition and examples of opaque objects")</f>
        <v>Definition and examples of opaque objects</v>
      </c>
    </row>
    <row r="606" spans="1:2">
      <c r="A606" s="13" t="str">
        <f ca="1">IFERROR(__xludf.DUMMYFUNCTION("""COMPUTED_VALUE"""),"LU005836")</f>
        <v>LU005836</v>
      </c>
      <c r="B606" s="13" t="str">
        <f ca="1">IFERROR(__xludf.DUMMYFUNCTION("""COMPUTED_VALUE"""),"Light and its sources (natural, artificial, luminous and non luminous)")</f>
        <v>Light and its sources (natural, artificial, luminous and non luminous)</v>
      </c>
    </row>
    <row r="607" spans="1:2">
      <c r="A607" s="13" t="str">
        <f ca="1">IFERROR(__xludf.DUMMYFUNCTION("""COMPUTED_VALUE"""),"LU005169")</f>
        <v>LU005169</v>
      </c>
      <c r="B607" s="13" t="str">
        <f ca="1">IFERROR(__xludf.DUMMYFUNCTION("""COMPUTED_VALUE"""),"Definition of shadow")</f>
        <v>Definition of shadow</v>
      </c>
    </row>
    <row r="608" spans="1:2">
      <c r="A608" s="13" t="str">
        <f ca="1">IFERROR(__xludf.DUMMYFUNCTION("""COMPUTED_VALUE"""),"LU005833")</f>
        <v>LU005833</v>
      </c>
      <c r="B608" s="13" t="str">
        <f ca="1">IFERROR(__xludf.DUMMYFUNCTION("""COMPUTED_VALUE"""),"Factors Required for a Shadow to Form")</f>
        <v>Factors Required for a Shadow to Form</v>
      </c>
    </row>
    <row r="609" spans="1:2">
      <c r="A609" s="13" t="str">
        <f ca="1">IFERROR(__xludf.DUMMYFUNCTION("""COMPUTED_VALUE"""),"LU005837")</f>
        <v>LU005837</v>
      </c>
      <c r="B609" s="13" t="str">
        <f ca="1">IFERROR(__xludf.DUMMYFUNCTION("""COMPUTED_VALUE"""),"Characteristics of Shadows")</f>
        <v>Characteristics of Shadows</v>
      </c>
    </row>
    <row r="610" spans="1:2">
      <c r="A610" s="13" t="str">
        <f ca="1">IFERROR(__xludf.DUMMYFUNCTION("""COMPUTED_VALUE"""),"LU005166")</f>
        <v>LU005166</v>
      </c>
      <c r="B610" s="13" t="str">
        <f ca="1">IFERROR(__xludf.DUMMYFUNCTION("""COMPUTED_VALUE"""),"Light travels in straight line")</f>
        <v>Light travels in straight line</v>
      </c>
    </row>
    <row r="611" spans="1:2">
      <c r="A611" s="13" t="str">
        <f ca="1">IFERROR(__xludf.DUMMYFUNCTION("""COMPUTED_VALUE"""),"LU005167")</f>
        <v>LU005167</v>
      </c>
      <c r="B611" s="13" t="str">
        <f ca="1">IFERROR(__xludf.DUMMYFUNCTION("""COMPUTED_VALUE"""),"Construction of Pinhole camera")</f>
        <v>Construction of Pinhole camera</v>
      </c>
    </row>
    <row r="612" spans="1:2">
      <c r="A612" s="13" t="str">
        <f ca="1">IFERROR(__xludf.DUMMYFUNCTION("""COMPUTED_VALUE"""),"LU005834")</f>
        <v>LU005834</v>
      </c>
      <c r="B612" s="13" t="str">
        <f ca="1">IFERROR(__xludf.DUMMYFUNCTION("""COMPUTED_VALUE"""),"Characteristics of Pinhole Images")</f>
        <v>Characteristics of Pinhole Images</v>
      </c>
    </row>
    <row r="613" spans="1:2">
      <c r="A613" s="13" t="str">
        <f ca="1">IFERROR(__xludf.DUMMYFUNCTION("""COMPUTED_VALUE"""),"LU005835")</f>
        <v>LU005835</v>
      </c>
      <c r="B613" s="13" t="str">
        <f ca="1">IFERROR(__xludf.DUMMYFUNCTION("""COMPUTED_VALUE"""),"Natural Pinhole camera")</f>
        <v>Natural Pinhole camera</v>
      </c>
    </row>
    <row r="614" spans="1:2">
      <c r="A614" s="13" t="str">
        <f ca="1">IFERROR(__xludf.DUMMYFUNCTION("""COMPUTED_VALUE"""),"LU005838")</f>
        <v>LU005838</v>
      </c>
      <c r="B614" s="13" t="str">
        <f ca="1">IFERROR(__xludf.DUMMYFUNCTION("""COMPUTED_VALUE"""),"Definition of Reflection of Light")</f>
        <v>Definition of Reflection of Light</v>
      </c>
    </row>
    <row r="615" spans="1:2">
      <c r="A615" s="13" t="str">
        <f ca="1">IFERROR(__xludf.DUMMYFUNCTION("""COMPUTED_VALUE"""),"LU005164")</f>
        <v>LU005164</v>
      </c>
      <c r="B615" s="13" t="str">
        <f ca="1">IFERROR(__xludf.DUMMYFUNCTION("""COMPUTED_VALUE"""),"Demonstration of reflection of light")</f>
        <v>Demonstration of reflection of light</v>
      </c>
    </row>
    <row r="616" spans="1:2">
      <c r="A616" s="13" t="str">
        <f ca="1">IFERROR(__xludf.DUMMYFUNCTION("""COMPUTED_VALUE"""),"LU005156")</f>
        <v>LU005156</v>
      </c>
      <c r="B616" s="13" t="str">
        <f ca="1">IFERROR(__xludf.DUMMYFUNCTION("""COMPUTED_VALUE"""),"Usage of electricity in daily life")</f>
        <v>Usage of electricity in daily life</v>
      </c>
    </row>
    <row r="617" spans="1:2">
      <c r="A617" s="13" t="str">
        <f ca="1">IFERROR(__xludf.DUMMYFUNCTION("""COMPUTED_VALUE"""),"LU005914")</f>
        <v>LU005914</v>
      </c>
      <c r="B617" s="13" t="str">
        <f ca="1">IFERROR(__xludf.DUMMYFUNCTION("""COMPUTED_VALUE"""),"Electrical Safety and Hazard Awareness")</f>
        <v>Electrical Safety and Hazard Awareness</v>
      </c>
    </row>
    <row r="618" spans="1:2">
      <c r="A618" s="13" t="str">
        <f ca="1">IFERROR(__xludf.DUMMYFUNCTION("""COMPUTED_VALUE"""),"LU005155")</f>
        <v>LU005155</v>
      </c>
      <c r="B618" s="13" t="str">
        <f ca="1">IFERROR(__xludf.DUMMYFUNCTION("""COMPUTED_VALUE"""),"Structure and function of electric cell")</f>
        <v>Structure and function of electric cell</v>
      </c>
    </row>
    <row r="619" spans="1:2">
      <c r="A619" s="13" t="str">
        <f ca="1">IFERROR(__xludf.DUMMYFUNCTION("""COMPUTED_VALUE"""),"LU005154")</f>
        <v>LU005154</v>
      </c>
      <c r="B619" s="13" t="str">
        <f ca="1">IFERROR(__xludf.DUMMYFUNCTION("""COMPUTED_VALUE"""),"Structure and function of electric bulb")</f>
        <v>Structure and function of electric bulb</v>
      </c>
    </row>
    <row r="620" spans="1:2">
      <c r="A620" s="13" t="str">
        <f ca="1">IFERROR(__xludf.DUMMYFUNCTION("""COMPUTED_VALUE"""),"LU005153")</f>
        <v>LU005153</v>
      </c>
      <c r="B620" s="13" t="str">
        <f ca="1">IFERROR(__xludf.DUMMYFUNCTION("""COMPUTED_VALUE"""),"Description of electric circuit and flow of current through it")</f>
        <v>Description of electric circuit and flow of current through it</v>
      </c>
    </row>
    <row r="621" spans="1:2">
      <c r="A621" s="13" t="str">
        <f ca="1">IFERROR(__xludf.DUMMYFUNCTION("""COMPUTED_VALUE"""),"LU005151")</f>
        <v>LU005151</v>
      </c>
      <c r="B621" s="13" t="str">
        <f ca="1">IFERROR(__xludf.DUMMYFUNCTION("""COMPUTED_VALUE"""),"Basic Circuit Design with Switches")</f>
        <v>Basic Circuit Design with Switches</v>
      </c>
    </row>
    <row r="622" spans="1:2">
      <c r="A622" s="13" t="str">
        <f ca="1">IFERROR(__xludf.DUMMYFUNCTION("""COMPUTED_VALUE"""),"LU005152")</f>
        <v>LU005152</v>
      </c>
      <c r="B622" s="13" t="str">
        <f ca="1">IFERROR(__xludf.DUMMYFUNCTION("""COMPUTED_VALUE"""),"Electric Conductors and Insulators: Definition and Application")</f>
        <v>Electric Conductors and Insulators: Definition and Application</v>
      </c>
    </row>
    <row r="623" spans="1:2">
      <c r="A623" s="13" t="str">
        <f ca="1">IFERROR(__xludf.DUMMYFUNCTION("""COMPUTED_VALUE"""),"LU005932")</f>
        <v>LU005932</v>
      </c>
      <c r="B623" s="13" t="str">
        <f ca="1">IFERROR(__xludf.DUMMYFUNCTION("""COMPUTED_VALUE"""),"Classification of magnets as natural and artificial magnets ")</f>
        <v xml:space="preserve">Classification of magnets as natural and artificial magnets </v>
      </c>
    </row>
    <row r="624" spans="1:2">
      <c r="A624" s="13" t="str">
        <f ca="1">IFERROR(__xludf.DUMMYFUNCTION("""COMPUTED_VALUE"""),"LU005933")</f>
        <v>LU005933</v>
      </c>
      <c r="B624" s="13" t="str">
        <f ca="1">IFERROR(__xludf.DUMMYFUNCTION("""COMPUTED_VALUE"""),"Identification of types of artificial magnets ")</f>
        <v xml:space="preserve">Identification of types of artificial magnets </v>
      </c>
    </row>
    <row r="625" spans="1:2">
      <c r="A625" s="13" t="str">
        <f ca="1">IFERROR(__xludf.DUMMYFUNCTION("""COMPUTED_VALUE"""),"LU005161")</f>
        <v>LU005161</v>
      </c>
      <c r="B625" s="13" t="str">
        <f ca="1">IFERROR(__xludf.DUMMYFUNCTION("""COMPUTED_VALUE"""),"Magnetic and Non-magnetic material")</f>
        <v>Magnetic and Non-magnetic material</v>
      </c>
    </row>
    <row r="626" spans="1:2">
      <c r="A626" s="13" t="str">
        <f ca="1">IFERROR(__xludf.DUMMYFUNCTION("""COMPUTED_VALUE"""),"LU005934")</f>
        <v>LU005934</v>
      </c>
      <c r="B626" s="13" t="str">
        <f ca="1">IFERROR(__xludf.DUMMYFUNCTION("""COMPUTED_VALUE"""),"Identification of poles of different magnets")</f>
        <v>Identification of poles of different magnets</v>
      </c>
    </row>
    <row r="627" spans="1:2">
      <c r="A627" s="13" t="str">
        <f ca="1">IFERROR(__xludf.DUMMYFUNCTION("""COMPUTED_VALUE"""),"LU005935")</f>
        <v>LU005935</v>
      </c>
      <c r="B627" s="13" t="str">
        <f ca="1">IFERROR(__xludf.DUMMYFUNCTION("""COMPUTED_VALUE"""),"Distribution of magnetic strength in different magnets ")</f>
        <v xml:space="preserve">Distribution of magnetic strength in different magnets </v>
      </c>
    </row>
    <row r="628" spans="1:2">
      <c r="A628" s="13" t="str">
        <f ca="1">IFERROR(__xludf.DUMMYFUNCTION("""COMPUTED_VALUE"""),"LU005936")</f>
        <v>LU005936</v>
      </c>
      <c r="B628" s="13" t="str">
        <f ca="1">IFERROR(__xludf.DUMMYFUNCTION("""COMPUTED_VALUE"""),"Directive Property of a Bar Magnet")</f>
        <v>Directive Property of a Bar Magnet</v>
      </c>
    </row>
    <row r="629" spans="1:2">
      <c r="A629" s="13" t="str">
        <f ca="1">IFERROR(__xludf.DUMMYFUNCTION("""COMPUTED_VALUE"""),"LU005937")</f>
        <v>LU005937</v>
      </c>
      <c r="B629" s="13" t="str">
        <f ca="1">IFERROR(__xludf.DUMMYFUNCTION("""COMPUTED_VALUE"""),"Magnetic compass and its uses")</f>
        <v>Magnetic compass and its uses</v>
      </c>
    </row>
    <row r="630" spans="1:2">
      <c r="A630" s="13" t="str">
        <f ca="1">IFERROR(__xludf.DUMMYFUNCTION("""COMPUTED_VALUE"""),"LU005160")</f>
        <v>LU005160</v>
      </c>
      <c r="B630" s="13" t="str">
        <f ca="1">IFERROR(__xludf.DUMMYFUNCTION("""COMPUTED_VALUE"""),"Lexical explanation of Permanent and temporary magnet")</f>
        <v>Lexical explanation of Permanent and temporary magnet</v>
      </c>
    </row>
    <row r="631" spans="1:2">
      <c r="A631" s="13" t="str">
        <f ca="1">IFERROR(__xludf.DUMMYFUNCTION("""COMPUTED_VALUE"""),"LU005159")</f>
        <v>LU005159</v>
      </c>
      <c r="B631" s="13" t="str">
        <f ca="1">IFERROR(__xludf.DUMMYFUNCTION("""COMPUTED_VALUE"""),"Interaction between magnets")</f>
        <v>Interaction between magnets</v>
      </c>
    </row>
    <row r="632" spans="1:2">
      <c r="A632" s="13" t="str">
        <f ca="1">IFERROR(__xludf.DUMMYFUNCTION("""COMPUTED_VALUE"""),"LU005157")</f>
        <v>LU005157</v>
      </c>
      <c r="B632" s="13" t="str">
        <f ca="1">IFERROR(__xludf.DUMMYFUNCTION("""COMPUTED_VALUE"""),"Correct way of storing and handling magnets")</f>
        <v>Correct way of storing and handling magnets</v>
      </c>
    </row>
    <row r="633" spans="1:2">
      <c r="A633" s="13" t="str">
        <f ca="1">IFERROR(__xludf.DUMMYFUNCTION("""COMPUTED_VALUE"""),"LU005891")</f>
        <v>LU005891</v>
      </c>
      <c r="B633" s="13" t="str">
        <f ca="1">IFERROR(__xludf.DUMMYFUNCTION("""COMPUTED_VALUE"""),"Moving air and Atmosphere")</f>
        <v>Moving air and Atmosphere</v>
      </c>
    </row>
    <row r="634" spans="1:2">
      <c r="A634" s="13" t="str">
        <f ca="1">IFERROR(__xludf.DUMMYFUNCTION("""COMPUTED_VALUE"""),"LU005892")</f>
        <v>LU005892</v>
      </c>
      <c r="B634" s="13" t="str">
        <f ca="1">IFERROR(__xludf.DUMMYFUNCTION("""COMPUTED_VALUE"""),"Properties of air")</f>
        <v>Properties of air</v>
      </c>
    </row>
    <row r="635" spans="1:2">
      <c r="A635" s="13" t="str">
        <f ca="1">IFERROR(__xludf.DUMMYFUNCTION("""COMPUTED_VALUE"""),"LU005881")</f>
        <v>LU005881</v>
      </c>
      <c r="B635" s="13" t="str">
        <f ca="1">IFERROR(__xludf.DUMMYFUNCTION("""COMPUTED_VALUE"""),"Understanding What Makes Up the Air (Nitrogen, oxygen, other gases)")</f>
        <v>Understanding What Makes Up the Air (Nitrogen, oxygen, other gases)</v>
      </c>
    </row>
    <row r="636" spans="1:2">
      <c r="A636" s="13" t="str">
        <f ca="1">IFERROR(__xludf.DUMMYFUNCTION("""COMPUTED_VALUE"""),"LU005894")</f>
        <v>LU005894</v>
      </c>
      <c r="B636" s="13" t="str">
        <f ca="1">IFERROR(__xludf.DUMMYFUNCTION("""COMPUTED_VALUE"""),"Presence of oxygen in water and soil")</f>
        <v>Presence of oxygen in water and soil</v>
      </c>
    </row>
    <row r="637" spans="1:2">
      <c r="A637" s="13" t="str">
        <f ca="1">IFERROR(__xludf.DUMMYFUNCTION("""COMPUTED_VALUE"""),"LU005893")</f>
        <v>LU005893</v>
      </c>
      <c r="B637" s="13" t="str">
        <f ca="1">IFERROR(__xludf.DUMMYFUNCTION("""COMPUTED_VALUE"""),"Replacement of oxygen in air")</f>
        <v>Replacement of oxygen in air</v>
      </c>
    </row>
    <row r="638" spans="1:2">
      <c r="A638" s="13" t="str">
        <f ca="1">IFERROR(__xludf.DUMMYFUNCTION("""COMPUTED_VALUE"""),"LU005102")</f>
        <v>LU005102</v>
      </c>
      <c r="B638" s="13" t="str">
        <f ca="1">IFERROR(__xludf.DUMMYFUNCTION("""COMPUTED_VALUE"""),"Definition of Joints in Humans")</f>
        <v>Definition of Joints in Humans</v>
      </c>
    </row>
    <row r="639" spans="1:2">
      <c r="A639" s="13" t="str">
        <f ca="1">IFERROR(__xludf.DUMMYFUNCTION("""COMPUTED_VALUE"""),"LU005193")</f>
        <v>LU005193</v>
      </c>
      <c r="B639" s="13" t="str">
        <f ca="1">IFERROR(__xludf.DUMMYFUNCTION("""COMPUTED_VALUE"""),"Mobility in joints")</f>
        <v>Mobility in joints</v>
      </c>
    </row>
    <row r="640" spans="1:2">
      <c r="A640" s="13" t="str">
        <f ca="1">IFERROR(__xludf.DUMMYFUNCTION("""COMPUTED_VALUE"""),"LU005194")</f>
        <v>LU005194</v>
      </c>
      <c r="B640" s="13" t="str">
        <f ca="1">IFERROR(__xludf.DUMMYFUNCTION("""COMPUTED_VALUE"""),"Hinge, pivotal, fixed, gliding, and ball and socket.")</f>
        <v>Hinge, pivotal, fixed, gliding, and ball and socket.</v>
      </c>
    </row>
    <row r="641" spans="1:2">
      <c r="A641" s="13" t="str">
        <f ca="1">IFERROR(__xludf.DUMMYFUNCTION("""COMPUTED_VALUE"""),"LU005965")</f>
        <v>LU005965</v>
      </c>
      <c r="B641" s="13" t="str">
        <f ca="1">IFERROR(__xludf.DUMMYFUNCTION("""COMPUTED_VALUE"""),"Human skeleton(bones and cartilage)")</f>
        <v>Human skeleton(bones and cartilage)</v>
      </c>
    </row>
    <row r="642" spans="1:2">
      <c r="A642" s="13" t="str">
        <f ca="1">IFERROR(__xludf.DUMMYFUNCTION("""COMPUTED_VALUE"""),"LU005196")</f>
        <v>LU005196</v>
      </c>
      <c r="B642" s="13" t="str">
        <f ca="1">IFERROR(__xludf.DUMMYFUNCTION("""COMPUTED_VALUE"""),"Human bones (carpel, shoulder, pelvic, rib cage, back, skull)")</f>
        <v>Human bones (carpel, shoulder, pelvic, rib cage, back, skull)</v>
      </c>
    </row>
    <row r="643" spans="1:2">
      <c r="A643" s="13" t="str">
        <f ca="1">IFERROR(__xludf.DUMMYFUNCTION("""COMPUTED_VALUE"""),"LU005195")</f>
        <v>LU005195</v>
      </c>
      <c r="B643" s="13" t="str">
        <f ca="1">IFERROR(__xludf.DUMMYFUNCTION("""COMPUTED_VALUE"""),"Usage of X-ray images to study human bones and joints")</f>
        <v>Usage of X-ray images to study human bones and joints</v>
      </c>
    </row>
    <row r="644" spans="1:2">
      <c r="A644" s="13" t="str">
        <f ca="1">IFERROR(__xludf.DUMMYFUNCTION("""COMPUTED_VALUE"""),"LU005197")</f>
        <v>LU005197</v>
      </c>
      <c r="B644" s="13" t="str">
        <f ca="1">IFERROR(__xludf.DUMMYFUNCTION("""COMPUTED_VALUE"""),"Muscles(skeletal muscles)-definition, function, characteristics")</f>
        <v>Muscles(skeletal muscles)-definition, function, characteristics</v>
      </c>
    </row>
    <row r="645" spans="1:2">
      <c r="A645" s="13" t="str">
        <f ca="1">IFERROR(__xludf.DUMMYFUNCTION("""COMPUTED_VALUE"""),"LU005192")</f>
        <v>LU005192</v>
      </c>
      <c r="B645" s="13" t="str">
        <f ca="1">IFERROR(__xludf.DUMMYFUNCTION("""COMPUTED_VALUE"""),"Gait of different animals")</f>
        <v>Gait of different animals</v>
      </c>
    </row>
    <row r="646" spans="1:2">
      <c r="A646" s="13" t="str">
        <f ca="1">IFERROR(__xludf.DUMMYFUNCTION("""COMPUTED_VALUE"""),"LU005252")</f>
        <v>LU005252</v>
      </c>
      <c r="B646" s="13" t="str">
        <f ca="1">IFERROR(__xludf.DUMMYFUNCTION("""COMPUTED_VALUE"""),"Animals, plants, and natural objects in different surroundings")</f>
        <v>Animals, plants, and natural objects in different surroundings</v>
      </c>
    </row>
    <row r="647" spans="1:2">
      <c r="A647" s="13" t="str">
        <f ca="1">IFERROR(__xludf.DUMMYFUNCTION("""COMPUTED_VALUE"""),"LU005258")</f>
        <v>LU005258</v>
      </c>
      <c r="B647" s="13" t="str">
        <f ca="1">IFERROR(__xludf.DUMMYFUNCTION("""COMPUTED_VALUE"""),"Definition of habitats and adaptations.")</f>
        <v>Definition of habitats and adaptations.</v>
      </c>
    </row>
    <row r="648" spans="1:2">
      <c r="A648" s="13" t="str">
        <f ca="1">IFERROR(__xludf.DUMMYFUNCTION("""COMPUTED_VALUE"""),"LU005259")</f>
        <v>LU005259</v>
      </c>
      <c r="B648" s="13" t="str">
        <f ca="1">IFERROR(__xludf.DUMMYFUNCTION("""COMPUTED_VALUE"""),"Definition of biotic components")</f>
        <v>Definition of biotic components</v>
      </c>
    </row>
    <row r="649" spans="1:2">
      <c r="A649" s="13" t="str">
        <f ca="1">IFERROR(__xludf.DUMMYFUNCTION("""COMPUTED_VALUE"""),"LU005253")</f>
        <v>LU005253</v>
      </c>
      <c r="B649" s="13" t="str">
        <f ca="1">IFERROR(__xludf.DUMMYFUNCTION("""COMPUTED_VALUE"""),"Definition of abiotic components")</f>
        <v>Definition of abiotic components</v>
      </c>
    </row>
    <row r="650" spans="1:2">
      <c r="A650" s="13" t="str">
        <f ca="1">IFERROR(__xludf.DUMMYFUNCTION("""COMPUTED_VALUE"""),"LU005254")</f>
        <v>LU005254</v>
      </c>
      <c r="B650" s="13" t="str">
        <f ca="1">IFERROR(__xludf.DUMMYFUNCTION("""COMPUTED_VALUE"""),"Adaptations found in various desert animals and plants.")</f>
        <v>Adaptations found in various desert animals and plants.</v>
      </c>
    </row>
    <row r="651" spans="1:2">
      <c r="A651" s="13" t="str">
        <f ca="1">IFERROR(__xludf.DUMMYFUNCTION("""COMPUTED_VALUE"""),"LU005255")</f>
        <v>LU005255</v>
      </c>
      <c r="B651" s="13" t="str">
        <f ca="1">IFERROR(__xludf.DUMMYFUNCTION("""COMPUTED_VALUE"""),"Adaptations found in various mountain region animals and plants.")</f>
        <v>Adaptations found in various mountain region animals and plants.</v>
      </c>
    </row>
    <row r="652" spans="1:2">
      <c r="A652" s="13" t="str">
        <f ca="1">IFERROR(__xludf.DUMMYFUNCTION("""COMPUTED_VALUE"""),"LU005256")</f>
        <v>LU005256</v>
      </c>
      <c r="B652" s="13" t="str">
        <f ca="1">IFERROR(__xludf.DUMMYFUNCTION("""COMPUTED_VALUE"""),"Adaptations in grassland prey and predators.")</f>
        <v>Adaptations in grassland prey and predators.</v>
      </c>
    </row>
    <row r="653" spans="1:2">
      <c r="A653" s="13" t="str">
        <f ca="1">IFERROR(__xludf.DUMMYFUNCTION("""COMPUTED_VALUE"""),"LU005257")</f>
        <v>LU005257</v>
      </c>
      <c r="B653" s="13" t="str">
        <f ca="1">IFERROR(__xludf.DUMMYFUNCTION("""COMPUTED_VALUE"""),"Adaptations in various aquatic plants and animals, and frogs.")</f>
        <v>Adaptations in various aquatic plants and animals, and frogs.</v>
      </c>
    </row>
    <row r="654" spans="1:2">
      <c r="A654" s="13" t="str">
        <f ca="1">IFERROR(__xludf.DUMMYFUNCTION("""COMPUTED_VALUE"""),"LU005265")</f>
        <v>LU005265</v>
      </c>
      <c r="B654" s="13" t="str">
        <f ca="1">IFERROR(__xludf.DUMMYFUNCTION("""COMPUTED_VALUE"""),"Fundamental Characteristics of Living Organisms")</f>
        <v>Fundamental Characteristics of Living Organisms</v>
      </c>
    </row>
    <row r="655" spans="1:2">
      <c r="A655" s="13" t="str">
        <f ca="1">IFERROR(__xludf.DUMMYFUNCTION("""COMPUTED_VALUE"""),"LU005236")</f>
        <v>LU005236</v>
      </c>
      <c r="B655" s="13" t="str">
        <f ca="1">IFERROR(__xludf.DUMMYFUNCTION("""COMPUTED_VALUE"""),"Variety of Food and Ingredients")</f>
        <v>Variety of Food and Ingredients</v>
      </c>
    </row>
    <row r="656" spans="1:2">
      <c r="A656" s="13" t="str">
        <f ca="1">IFERROR(__xludf.DUMMYFUNCTION("""COMPUTED_VALUE"""),"LU005235")</f>
        <v>LU005235</v>
      </c>
      <c r="B656" s="13" t="str">
        <f ca="1">IFERROR(__xludf.DUMMYFUNCTION("""COMPUTED_VALUE"""),"Plants and animals-based food sources")</f>
        <v>Plants and animals-based food sources</v>
      </c>
    </row>
    <row r="657" spans="1:2">
      <c r="A657" s="13" t="str">
        <f ca="1">IFERROR(__xludf.DUMMYFUNCTION("""COMPUTED_VALUE"""),"LU005951")</f>
        <v>LU005951</v>
      </c>
      <c r="B657" s="13" t="str">
        <f ca="1">IFERROR(__xludf.DUMMYFUNCTION("""COMPUTED_VALUE"""),"Edible parts of the plants")</f>
        <v>Edible parts of the plants</v>
      </c>
    </row>
    <row r="658" spans="1:2">
      <c r="A658" s="13" t="str">
        <f ca="1">IFERROR(__xludf.DUMMYFUNCTION("""COMPUTED_VALUE"""),"LU005963")</f>
        <v>LU005963</v>
      </c>
      <c r="B658" s="13" t="str">
        <f ca="1">IFERROR(__xludf.DUMMYFUNCTION("""COMPUTED_VALUE"""),"Food habits of various animals")</f>
        <v>Food habits of various animals</v>
      </c>
    </row>
    <row r="659" spans="1:2">
      <c r="A659" s="13" t="str">
        <f ca="1">IFERROR(__xludf.DUMMYFUNCTION("""COMPUTED_VALUE"""),"LUID")</f>
        <v>LUID</v>
      </c>
      <c r="B659" s="13" t="str">
        <f ca="1">IFERROR(__xludf.DUMMYFUNCTION("""COMPUTED_VALUE"""),"LUs Covered")</f>
        <v>LUs Covered</v>
      </c>
    </row>
    <row r="660" spans="1:2">
      <c r="A660" s="13" t="str">
        <f ca="1">IFERROR(__xludf.DUMMYFUNCTION("""COMPUTED_VALUE"""),"LU005407")</f>
        <v>LU005407</v>
      </c>
      <c r="B660" s="13" t="str">
        <f ca="1">IFERROR(__xludf.DUMMYFUNCTION("""COMPUTED_VALUE"""),"Definition of Nutrition.")</f>
        <v>Definition of Nutrition.</v>
      </c>
    </row>
    <row r="661" spans="1:2">
      <c r="A661" s="13" t="str">
        <f ca="1">IFERROR(__xludf.DUMMYFUNCTION("""COMPUTED_VALUE"""),"LU005944")</f>
        <v>LU005944</v>
      </c>
      <c r="B661" s="13" t="str">
        <f ca="1">IFERROR(__xludf.DUMMYFUNCTION("""COMPUTED_VALUE"""),"Introduction to photosynthesis process in plants")</f>
        <v>Introduction to photosynthesis process in plants</v>
      </c>
    </row>
    <row r="662" spans="1:2">
      <c r="A662" s="13" t="str">
        <f ca="1">IFERROR(__xludf.DUMMYFUNCTION("""COMPUTED_VALUE"""),"LU005408")</f>
        <v>LU005408</v>
      </c>
      <c r="B662" s="13" t="str">
        <f ca="1">IFERROR(__xludf.DUMMYFUNCTION("""COMPUTED_VALUE"""),"Elements in the Photosynthesis(stomata, vessels, pigments)")</f>
        <v>Elements in the Photosynthesis(stomata, vessels, pigments)</v>
      </c>
    </row>
    <row r="663" spans="1:2">
      <c r="A663" s="13" t="str">
        <f ca="1">IFERROR(__xludf.DUMMYFUNCTION("""COMPUTED_VALUE"""),"LU005845")</f>
        <v>LU005845</v>
      </c>
      <c r="B663" s="13" t="str">
        <f ca="1">IFERROR(__xludf.DUMMYFUNCTION("""COMPUTED_VALUE"""),"Parts of a cell (cell wall, cell membrane, nucleus, cytoplasm)")</f>
        <v>Parts of a cell (cell wall, cell membrane, nucleus, cytoplasm)</v>
      </c>
    </row>
    <row r="664" spans="1:2">
      <c r="A664" s="13" t="str">
        <f ca="1">IFERROR(__xludf.DUMMYFUNCTION("""COMPUTED_VALUE"""),"LU005409")</f>
        <v>LU005409</v>
      </c>
      <c r="B664" s="13" t="str">
        <f ca="1">IFERROR(__xludf.DUMMYFUNCTION("""COMPUTED_VALUE"""),"Nitrogen Source and Fate in Plants")</f>
        <v>Nitrogen Source and Fate in Plants</v>
      </c>
    </row>
    <row r="665" spans="1:2">
      <c r="A665" s="13" t="str">
        <f ca="1">IFERROR(__xludf.DUMMYFUNCTION("""COMPUTED_VALUE"""),"LU005410")</f>
        <v>LU005410</v>
      </c>
      <c r="B665" s="13" t="str">
        <f ca="1">IFERROR(__xludf.DUMMYFUNCTION("""COMPUTED_VALUE"""),"Autotrophic, Heterotrophic, Parasitic, and Insectivorous plants
")</f>
        <v xml:space="preserve">Autotrophic, Heterotrophic, Parasitic, and Insectivorous plants
</v>
      </c>
    </row>
    <row r="666" spans="1:2">
      <c r="A666" s="13" t="str">
        <f ca="1">IFERROR(__xludf.DUMMYFUNCTION("""COMPUTED_VALUE"""),"LU005411")</f>
        <v>LU005411</v>
      </c>
      <c r="B666" s="13" t="str">
        <f ca="1">IFERROR(__xludf.DUMMYFUNCTION("""COMPUTED_VALUE"""),"Saprotrophic mode of nutrition")</f>
        <v>Saprotrophic mode of nutrition</v>
      </c>
    </row>
    <row r="667" spans="1:2">
      <c r="A667" s="13" t="str">
        <f ca="1">IFERROR(__xludf.DUMMYFUNCTION("""COMPUTED_VALUE"""),"LU005412")</f>
        <v>LU005412</v>
      </c>
      <c r="B667" s="13" t="str">
        <f ca="1">IFERROR(__xludf.DUMMYFUNCTION("""COMPUTED_VALUE"""),"Symbiotic Relationship between plants and bacteria")</f>
        <v>Symbiotic Relationship between plants and bacteria</v>
      </c>
    </row>
    <row r="668" spans="1:2">
      <c r="A668" s="13" t="str">
        <f ca="1">IFERROR(__xludf.DUMMYFUNCTION("""COMPUTED_VALUE"""),"LU005413")</f>
        <v>LU005413</v>
      </c>
      <c r="B668" s="13" t="str">
        <f ca="1">IFERROR(__xludf.DUMMYFUNCTION("""COMPUTED_VALUE"""),"Different types of soil replenishment methods")</f>
        <v>Different types of soil replenishment methods</v>
      </c>
    </row>
    <row r="669" spans="1:2">
      <c r="A669" s="13" t="str">
        <f ca="1">IFERROR(__xludf.DUMMYFUNCTION("""COMPUTED_VALUE"""),"LU005390")</f>
        <v>LU005390</v>
      </c>
      <c r="B669" s="13" t="str">
        <f ca="1">IFERROR(__xludf.DUMMYFUNCTION("""COMPUTED_VALUE"""),"Ingestion, filter feeding, suction feeding, and phagocytosis")</f>
        <v>Ingestion, filter feeding, suction feeding, and phagocytosis</v>
      </c>
    </row>
    <row r="670" spans="1:2">
      <c r="A670" s="13" t="str">
        <f ca="1">IFERROR(__xludf.DUMMYFUNCTION("""COMPUTED_VALUE"""),"LU005389")</f>
        <v>LU005389</v>
      </c>
      <c r="B670" s="13" t="str">
        <f ca="1">IFERROR(__xludf.DUMMYFUNCTION("""COMPUTED_VALUE"""),"Ingestion, Digestion, Absorption, Assimilation, and Egestion")</f>
        <v>Ingestion, Digestion, Absorption, Assimilation, and Egestion</v>
      </c>
    </row>
    <row r="671" spans="1:2">
      <c r="A671" s="13" t="str">
        <f ca="1">IFERROR(__xludf.DUMMYFUNCTION("""COMPUTED_VALUE"""),"LU005391")</f>
        <v>LU005391</v>
      </c>
      <c r="B671" s="13" t="str">
        <f ca="1">IFERROR(__xludf.DUMMYFUNCTION("""COMPUTED_VALUE"""),"Definition of human digestive system")</f>
        <v>Definition of human digestive system</v>
      </c>
    </row>
    <row r="672" spans="1:2">
      <c r="A672" s="13" t="str">
        <f ca="1">IFERROR(__xludf.DUMMYFUNCTION("""COMPUTED_VALUE"""),"LU005948")</f>
        <v>LU005948</v>
      </c>
      <c r="B672" s="13" t="str">
        <f ca="1">IFERROR(__xludf.DUMMYFUNCTION("""COMPUTED_VALUE"""),"Role of salivary glands in digestion")</f>
        <v>Role of salivary glands in digestion</v>
      </c>
    </row>
    <row r="673" spans="1:2">
      <c r="A673" s="13" t="str">
        <f ca="1">IFERROR(__xludf.DUMMYFUNCTION("""COMPUTED_VALUE"""),"LU005949")</f>
        <v>LU005949</v>
      </c>
      <c r="B673" s="13" t="str">
        <f ca="1">IFERROR(__xludf.DUMMYFUNCTION("""COMPUTED_VALUE"""),"Role of human teeth and tongue in digestion")</f>
        <v>Role of human teeth and tongue in digestion</v>
      </c>
    </row>
    <row r="674" spans="1:2">
      <c r="A674" s="13" t="str">
        <f ca="1">IFERROR(__xludf.DUMMYFUNCTION("""COMPUTED_VALUE"""),"LU005950")</f>
        <v>LU005950</v>
      </c>
      <c r="B674" s="13" t="str">
        <f ca="1">IFERROR(__xludf.DUMMYFUNCTION("""COMPUTED_VALUE"""),"Role of human oesophagus and stomach in digestion")</f>
        <v>Role of human oesophagus and stomach in digestion</v>
      </c>
    </row>
    <row r="675" spans="1:2">
      <c r="A675" s="13" t="str">
        <f ca="1">IFERROR(__xludf.DUMMYFUNCTION("""COMPUTED_VALUE"""),"LU005393")</f>
        <v>LU005393</v>
      </c>
      <c r="B675" s="13" t="str">
        <f ca="1">IFERROR(__xludf.DUMMYFUNCTION("""COMPUTED_VALUE"""),"Function of Secretions from Liver, Pancreas, and Small Intestine")</f>
        <v>Function of Secretions from Liver, Pancreas, and Small Intestine</v>
      </c>
    </row>
    <row r="676" spans="1:2">
      <c r="A676" s="13" t="str">
        <f ca="1">IFERROR(__xludf.DUMMYFUNCTION("""COMPUTED_VALUE"""),"LU005394")</f>
        <v>LU005394</v>
      </c>
      <c r="B676" s="13" t="str">
        <f ca="1">IFERROR(__xludf.DUMMYFUNCTION("""COMPUTED_VALUE"""),"Absorption in the Small Intestine and large intestine")</f>
        <v>Absorption in the Small Intestine and large intestine</v>
      </c>
    </row>
    <row r="677" spans="1:2">
      <c r="A677" s="13" t="str">
        <f ca="1">IFERROR(__xludf.DUMMYFUNCTION("""COMPUTED_VALUE"""),"LU005395")</f>
        <v>LU005395</v>
      </c>
      <c r="B677" s="13" t="str">
        <f ca="1">IFERROR(__xludf.DUMMYFUNCTION("""COMPUTED_VALUE"""),"Digestion in Cud-Chewing Herbivore Animals")</f>
        <v>Digestion in Cud-Chewing Herbivore Animals</v>
      </c>
    </row>
    <row r="678" spans="1:2">
      <c r="A678" s="13" t="str">
        <f ca="1">IFERROR(__xludf.DUMMYFUNCTION("""COMPUTED_VALUE"""),"LU005396")</f>
        <v>LU005396</v>
      </c>
      <c r="B678" s="13" t="str">
        <f ca="1">IFERROR(__xludf.DUMMYFUNCTION("""COMPUTED_VALUE"""),"Feeding, Digestion and Egestion in Amoeba")</f>
        <v>Feeding, Digestion and Egestion in Amoeba</v>
      </c>
    </row>
    <row r="679" spans="1:2">
      <c r="A679" s="13" t="str">
        <f ca="1">IFERROR(__xludf.DUMMYFUNCTION("""COMPUTED_VALUE"""),"LU005361")</f>
        <v>LU005361</v>
      </c>
      <c r="B679" s="13" t="str">
        <f ca="1">IFERROR(__xludf.DUMMYFUNCTION("""COMPUTED_VALUE"""),"Sense of touch as temperature sensor")</f>
        <v>Sense of touch as temperature sensor</v>
      </c>
    </row>
    <row r="680" spans="1:2">
      <c r="A680" s="13" t="str">
        <f ca="1">IFERROR(__xludf.DUMMYFUNCTION("""COMPUTED_VALUE"""),"LU005354")</f>
        <v>LU005354</v>
      </c>
      <c r="B680" s="13" t="str">
        <f ca="1">IFERROR(__xludf.DUMMYFUNCTION("""COMPUTED_VALUE"""),"Definition and units of temperature")</f>
        <v>Definition and units of temperature</v>
      </c>
    </row>
    <row r="681" spans="1:2">
      <c r="A681" s="13" t="str">
        <f ca="1">IFERROR(__xludf.DUMMYFUNCTION("""COMPUTED_VALUE"""),"LU005918")</f>
        <v>LU005918</v>
      </c>
      <c r="B681" s="13" t="str">
        <f ca="1">IFERROR(__xludf.DUMMYFUNCTION("""COMPUTED_VALUE"""),"Definition of Thermometers")</f>
        <v>Definition of Thermometers</v>
      </c>
    </row>
    <row r="682" spans="1:2">
      <c r="A682" s="13" t="str">
        <f ca="1">IFERROR(__xludf.DUMMYFUNCTION("""COMPUTED_VALUE"""),"LU005919")</f>
        <v>LU005919</v>
      </c>
      <c r="B682" s="13" t="str">
        <f ca="1">IFERROR(__xludf.DUMMYFUNCTION("""COMPUTED_VALUE"""),"Types of Thermometers")</f>
        <v>Types of Thermometers</v>
      </c>
    </row>
    <row r="683" spans="1:2">
      <c r="A683" s="13" t="str">
        <f ca="1">IFERROR(__xludf.DUMMYFUNCTION("""COMPUTED_VALUE"""),"LU005924")</f>
        <v>LU005924</v>
      </c>
      <c r="B683" s="13" t="str">
        <f ca="1">IFERROR(__xludf.DUMMYFUNCTION("""COMPUTED_VALUE"""),"Physical Components of a Clinical thermometer")</f>
        <v>Physical Components of a Clinical thermometer</v>
      </c>
    </row>
    <row r="684" spans="1:2">
      <c r="A684" s="13" t="str">
        <f ca="1">IFERROR(__xludf.DUMMYFUNCTION("""COMPUTED_VALUE"""),"LU005925")</f>
        <v>LU005925</v>
      </c>
      <c r="B684" s="13" t="str">
        <f ca="1">IFERROR(__xludf.DUMMYFUNCTION("""COMPUTED_VALUE"""),"Temperature Measurement of Human Body using clinical thermometer")</f>
        <v>Temperature Measurement of Human Body using clinical thermometer</v>
      </c>
    </row>
    <row r="685" spans="1:2">
      <c r="A685" s="13" t="str">
        <f ca="1">IFERROR(__xludf.DUMMYFUNCTION("""COMPUTED_VALUE"""),"LU005926")</f>
        <v>LU005926</v>
      </c>
      <c r="B685" s="13" t="str">
        <f ca="1">IFERROR(__xludf.DUMMYFUNCTION("""COMPUTED_VALUE"""),"Physical Components of Laboratory thermometer")</f>
        <v>Physical Components of Laboratory thermometer</v>
      </c>
    </row>
    <row r="686" spans="1:2">
      <c r="A686" s="13" t="str">
        <f ca="1">IFERROR(__xludf.DUMMYFUNCTION("""COMPUTED_VALUE"""),"LU005927")</f>
        <v>LU005927</v>
      </c>
      <c r="B686" s="13" t="str">
        <f ca="1">IFERROR(__xludf.DUMMYFUNCTION("""COMPUTED_VALUE"""),"Correct Way of using Laboratory thermometer")</f>
        <v>Correct Way of using Laboratory thermometer</v>
      </c>
    </row>
    <row r="687" spans="1:2">
      <c r="A687" s="13" t="str">
        <f ca="1">IFERROR(__xludf.DUMMYFUNCTION("""COMPUTED_VALUE"""),"LU005355")</f>
        <v>LU005355</v>
      </c>
      <c r="B687" s="13" t="str">
        <f ca="1">IFERROR(__xludf.DUMMYFUNCTION("""COMPUTED_VALUE"""),"Definition of transfer of heat")</f>
        <v>Definition of transfer of heat</v>
      </c>
    </row>
    <row r="688" spans="1:2">
      <c r="A688" s="13" t="str">
        <f ca="1">IFERROR(__xludf.DUMMYFUNCTION("""COMPUTED_VALUE"""),"LU005359")</f>
        <v>LU005359</v>
      </c>
      <c r="B688" s="13" t="str">
        <f ca="1">IFERROR(__xludf.DUMMYFUNCTION("""COMPUTED_VALUE"""),"Process of heat conduction")</f>
        <v>Process of heat conduction</v>
      </c>
    </row>
    <row r="689" spans="1:2">
      <c r="A689" s="13" t="str">
        <f ca="1">IFERROR(__xludf.DUMMYFUNCTION("""COMPUTED_VALUE"""),"LU005352")</f>
        <v>LU005352</v>
      </c>
      <c r="B689" s="13" t="str">
        <f ca="1">IFERROR(__xludf.DUMMYFUNCTION("""COMPUTED_VALUE"""),"Application of heat conduction")</f>
        <v>Application of heat conduction</v>
      </c>
    </row>
    <row r="690" spans="1:2">
      <c r="A690" s="13" t="str">
        <f ca="1">IFERROR(__xludf.DUMMYFUNCTION("""COMPUTED_VALUE"""),"LU005358")</f>
        <v>LU005358</v>
      </c>
      <c r="B690" s="13" t="str">
        <f ca="1">IFERROR(__xludf.DUMMYFUNCTION("""COMPUTED_VALUE"""),"Process of convection")</f>
        <v>Process of convection</v>
      </c>
    </row>
    <row r="691" spans="1:2">
      <c r="A691" s="13" t="str">
        <f ca="1">IFERROR(__xludf.DUMMYFUNCTION("""COMPUTED_VALUE"""),"LU005351")</f>
        <v>LU005351</v>
      </c>
      <c r="B691" s="13" t="str">
        <f ca="1">IFERROR(__xludf.DUMMYFUNCTION("""COMPUTED_VALUE"""),"Application of convection")</f>
        <v>Application of convection</v>
      </c>
    </row>
    <row r="692" spans="1:2">
      <c r="A692" s="13" t="str">
        <f ca="1">IFERROR(__xludf.DUMMYFUNCTION("""COMPUTED_VALUE"""),"LU005360")</f>
        <v>LU005360</v>
      </c>
      <c r="B692" s="13" t="str">
        <f ca="1">IFERROR(__xludf.DUMMYFUNCTION("""COMPUTED_VALUE"""),"Process of radiation")</f>
        <v>Process of radiation</v>
      </c>
    </row>
    <row r="693" spans="1:2">
      <c r="A693" s="13" t="str">
        <f ca="1">IFERROR(__xludf.DUMMYFUNCTION("""COMPUTED_VALUE"""),"LU005353")</f>
        <v>LU005353</v>
      </c>
      <c r="B693" s="13" t="str">
        <f ca="1">IFERROR(__xludf.DUMMYFUNCTION("""COMPUTED_VALUE"""),"Application of radiation")</f>
        <v>Application of radiation</v>
      </c>
    </row>
    <row r="694" spans="1:2">
      <c r="A694" s="13" t="str">
        <f ca="1">IFERROR(__xludf.DUMMYFUNCTION("""COMPUTED_VALUE"""),"LU005357")</f>
        <v>LU005357</v>
      </c>
      <c r="B694" s="13" t="str">
        <f ca="1">IFERROR(__xludf.DUMMYFUNCTION("""COMPUTED_VALUE"""),"Phenomenon with multiple mode of heat transfer")</f>
        <v>Phenomenon with multiple mode of heat transfer</v>
      </c>
    </row>
    <row r="695" spans="1:2">
      <c r="A695" s="13" t="str">
        <f ca="1">IFERROR(__xludf.DUMMYFUNCTION("""COMPUTED_VALUE"""),"LU005475")</f>
        <v>LU005475</v>
      </c>
      <c r="B695" s="13" t="str">
        <f ca="1">IFERROR(__xludf.DUMMYFUNCTION("""COMPUTED_VALUE"""),"Definition of acids")</f>
        <v>Definition of acids</v>
      </c>
    </row>
    <row r="696" spans="1:2">
      <c r="A696" s="13" t="str">
        <f ca="1">IFERROR(__xludf.DUMMYFUNCTION("""COMPUTED_VALUE"""),"LU005471")</f>
        <v>LU005471</v>
      </c>
      <c r="B696" s="13" t="str">
        <f ca="1">IFERROR(__xludf.DUMMYFUNCTION("""COMPUTED_VALUE"""),"Definition of bases")</f>
        <v>Definition of bases</v>
      </c>
    </row>
    <row r="697" spans="1:2">
      <c r="A697" s="13" t="str">
        <f ca="1">IFERROR(__xludf.DUMMYFUNCTION("""COMPUTED_VALUE"""),"LU005952")</f>
        <v>LU005952</v>
      </c>
      <c r="B697" s="13" t="str">
        <f ca="1">IFERROR(__xludf.DUMMYFUNCTION("""COMPUTED_VALUE"""),"Comparison of acids and bases")</f>
        <v>Comparison of acids and bases</v>
      </c>
    </row>
    <row r="698" spans="1:2">
      <c r="A698" s="13" t="str">
        <f ca="1">IFERROR(__xludf.DUMMYFUNCTION("""COMPUTED_VALUE"""),"LU005472")</f>
        <v>LU005472</v>
      </c>
      <c r="B698" s="13" t="str">
        <f ca="1">IFERROR(__xludf.DUMMYFUNCTION("""COMPUTED_VALUE"""),"Definition of indicators")</f>
        <v>Definition of indicators</v>
      </c>
    </row>
    <row r="699" spans="1:2">
      <c r="A699" s="13" t="str">
        <f ca="1">IFERROR(__xludf.DUMMYFUNCTION("""COMPUTED_VALUE"""),"LU005478")</f>
        <v>LU005478</v>
      </c>
      <c r="B699" s="13" t="str">
        <f ca="1">IFERROR(__xludf.DUMMYFUNCTION("""COMPUTED_VALUE"""),"Litmus and Turmeric as Natural Indicators")</f>
        <v>Litmus and Turmeric as Natural Indicators</v>
      </c>
    </row>
    <row r="700" spans="1:2">
      <c r="A700" s="13" t="str">
        <f ca="1">IFERROR(__xludf.DUMMYFUNCTION("""COMPUTED_VALUE"""),"LU005953")</f>
        <v>LU005953</v>
      </c>
      <c r="B700" s="13" t="str">
        <f ca="1">IFERROR(__xludf.DUMMYFUNCTION("""COMPUTED_VALUE"""),"China rose as natural indicator")</f>
        <v>China rose as natural indicator</v>
      </c>
    </row>
    <row r="701" spans="1:2">
      <c r="A701" s="13" t="str">
        <f ca="1">IFERROR(__xludf.DUMMYFUNCTION("""COMPUTED_VALUE"""),"LU005483")</f>
        <v>LU005483</v>
      </c>
      <c r="B701" s="13" t="str">
        <f ca="1">IFERROR(__xludf.DUMMYFUNCTION("""COMPUTED_VALUE"""),"Using Phenolphthalein as an Indicator")</f>
        <v>Using Phenolphthalein as an Indicator</v>
      </c>
    </row>
    <row r="702" spans="1:2">
      <c r="A702" s="13" t="str">
        <f ca="1">IFERROR(__xludf.DUMMYFUNCTION("""COMPUTED_VALUE"""),"LU005473")</f>
        <v>LU005473</v>
      </c>
      <c r="B702" s="13" t="str">
        <f ca="1">IFERROR(__xludf.DUMMYFUNCTION("""COMPUTED_VALUE"""),"Definition of neutralisation reaction")</f>
        <v>Definition of neutralisation reaction</v>
      </c>
    </row>
    <row r="703" spans="1:2">
      <c r="A703" s="13" t="str">
        <f ca="1">IFERROR(__xludf.DUMMYFUNCTION("""COMPUTED_VALUE"""),"LU005481")</f>
        <v>LU005481</v>
      </c>
      <c r="B703" s="13" t="str">
        <f ca="1">IFERROR(__xludf.DUMMYFUNCTION("""COMPUTED_VALUE"""),"Practical applications of neutralisation")</f>
        <v>Practical applications of neutralisation</v>
      </c>
    </row>
    <row r="704" spans="1:2">
      <c r="A704" s="13" t="str">
        <f ca="1">IFERROR(__xludf.DUMMYFUNCTION("""COMPUTED_VALUE"""),"LU005954")</f>
        <v>LU005954</v>
      </c>
      <c r="B704" s="13" t="str">
        <f ca="1">IFERROR(__xludf.DUMMYFUNCTION("""COMPUTED_VALUE"""),"Recognition of various changes in our surroundings")</f>
        <v>Recognition of various changes in our surroundings</v>
      </c>
    </row>
    <row r="705" spans="1:2">
      <c r="A705" s="13" t="str">
        <f ca="1">IFERROR(__xludf.DUMMYFUNCTION("""COMPUTED_VALUE"""),"LU005494")</f>
        <v>LU005494</v>
      </c>
      <c r="B705" s="13" t="str">
        <f ca="1">IFERROR(__xludf.DUMMYFUNCTION("""COMPUTED_VALUE"""),"Introduction to Physical Changes")</f>
        <v>Introduction to Physical Changes</v>
      </c>
    </row>
    <row r="706" spans="1:2">
      <c r="A706" s="13" t="str">
        <f ca="1">IFERROR(__xludf.DUMMYFUNCTION("""COMPUTED_VALUE"""),"LU005489")</f>
        <v>LU005489</v>
      </c>
      <c r="B706" s="13" t="str">
        <f ca="1">IFERROR(__xludf.DUMMYFUNCTION("""COMPUTED_VALUE"""),"Effects Indicating Physical Changes")</f>
        <v>Effects Indicating Physical Changes</v>
      </c>
    </row>
    <row r="707" spans="1:2">
      <c r="A707" s="13" t="str">
        <f ca="1">IFERROR(__xludf.DUMMYFUNCTION("""COMPUTED_VALUE"""),"LU005493")</f>
        <v>LU005493</v>
      </c>
      <c r="B707" s="13" t="str">
        <f ca="1">IFERROR(__xludf.DUMMYFUNCTION("""COMPUTED_VALUE"""),"Introduction to Chemical Changes")</f>
        <v>Introduction to Chemical Changes</v>
      </c>
    </row>
    <row r="708" spans="1:2">
      <c r="A708" s="13" t="str">
        <f ca="1">IFERROR(__xludf.DUMMYFUNCTION("""COMPUTED_VALUE"""),"LU005488")</f>
        <v>LU005488</v>
      </c>
      <c r="B708" s="13" t="str">
        <f ca="1">IFERROR(__xludf.DUMMYFUNCTION("""COMPUTED_VALUE"""),"Effects Indicating Chemical Changes")</f>
        <v>Effects Indicating Chemical Changes</v>
      </c>
    </row>
    <row r="709" spans="1:2">
      <c r="A709" s="13" t="str">
        <f ca="1">IFERROR(__xludf.DUMMYFUNCTION("""COMPUTED_VALUE"""),"LU005500")</f>
        <v>LU005500</v>
      </c>
      <c r="B709" s="13" t="str">
        <f ca="1">IFERROR(__xludf.DUMMYFUNCTION("""COMPUTED_VALUE"""),"Writing Chemical Equations")</f>
        <v>Writing Chemical Equations</v>
      </c>
    </row>
    <row r="710" spans="1:2">
      <c r="A710" s="13" t="str">
        <f ca="1">IFERROR(__xludf.DUMMYFUNCTION("""COMPUTED_VALUE"""),"LU005486")</f>
        <v>LU005486</v>
      </c>
      <c r="B710" s="13" t="str">
        <f ca="1">IFERROR(__xludf.DUMMYFUNCTION("""COMPUTED_VALUE"""),"Distinguishing Physical and Chemical Changes")</f>
        <v>Distinguishing Physical and Chemical Changes</v>
      </c>
    </row>
    <row r="711" spans="1:2">
      <c r="A711" s="13" t="str">
        <f ca="1">IFERROR(__xludf.DUMMYFUNCTION("""COMPUTED_VALUE"""),"LU005496")</f>
        <v>LU005496</v>
      </c>
      <c r="B711" s="13" t="str">
        <f ca="1">IFERROR(__xludf.DUMMYFUNCTION("""COMPUTED_VALUE"""),"Rusting of Iron as a Chemical Change")</f>
        <v>Rusting of Iron as a Chemical Change</v>
      </c>
    </row>
    <row r="712" spans="1:2">
      <c r="A712" s="13" t="str">
        <f ca="1">IFERROR(__xludf.DUMMYFUNCTION("""COMPUTED_VALUE"""),"LU005495")</f>
        <v>LU005495</v>
      </c>
      <c r="B712" s="13" t="str">
        <f ca="1">IFERROR(__xludf.DUMMYFUNCTION("""COMPUTED_VALUE"""),"Methods to Prevent Rusting of Iron")</f>
        <v>Methods to Prevent Rusting of Iron</v>
      </c>
    </row>
    <row r="713" spans="1:2">
      <c r="A713" s="13" t="str">
        <f ca="1">IFERROR(__xludf.DUMMYFUNCTION("""COMPUTED_VALUE"""),"LU005485")</f>
        <v>LU005485</v>
      </c>
      <c r="B713" s="13" t="str">
        <f ca="1">IFERROR(__xludf.DUMMYFUNCTION("""COMPUTED_VALUE"""),"Crystallisation as a Physical Process")</f>
        <v>Crystallisation as a Physical Process</v>
      </c>
    </row>
    <row r="714" spans="1:2">
      <c r="A714" s="13" t="str">
        <f ca="1">IFERROR(__xludf.DUMMYFUNCTION("""COMPUTED_VALUE"""),"LU005435")</f>
        <v>LU005435</v>
      </c>
      <c r="B714" s="13" t="str">
        <f ca="1">IFERROR(__xludf.DUMMYFUNCTION("""COMPUTED_VALUE"""),"Introduction to cellular, aerobic and anaerobic respiration")</f>
        <v>Introduction to cellular, aerobic and anaerobic respiration</v>
      </c>
    </row>
    <row r="715" spans="1:2">
      <c r="A715" s="13" t="str">
        <f ca="1">IFERROR(__xludf.DUMMYFUNCTION("""COMPUTED_VALUE"""),"LU005436")</f>
        <v>LU005436</v>
      </c>
      <c r="B715" s="13" t="str">
        <f ca="1">IFERROR(__xludf.DUMMYFUNCTION("""COMPUTED_VALUE"""),"Anaerobic Respiration in Yeast")</f>
        <v>Anaerobic Respiration in Yeast</v>
      </c>
    </row>
    <row r="716" spans="1:2">
      <c r="A716" s="13" t="str">
        <f ca="1">IFERROR(__xludf.DUMMYFUNCTION("""COMPUTED_VALUE"""),"LU005437")</f>
        <v>LU005437</v>
      </c>
      <c r="B716" s="13" t="str">
        <f ca="1">IFERROR(__xludf.DUMMYFUNCTION("""COMPUTED_VALUE"""),"Anaerobic Respiration in Human Skeletal Muscles")</f>
        <v>Anaerobic Respiration in Human Skeletal Muscles</v>
      </c>
    </row>
    <row r="717" spans="1:2">
      <c r="A717" s="13" t="str">
        <f ca="1">IFERROR(__xludf.DUMMYFUNCTION("""COMPUTED_VALUE"""),"LU005438")</f>
        <v>LU005438</v>
      </c>
      <c r="B717" s="13" t="str">
        <f ca="1">IFERROR(__xludf.DUMMYFUNCTION("""COMPUTED_VALUE"""),"Definition of Breathing and Breathing Rate")</f>
        <v>Definition of Breathing and Breathing Rate</v>
      </c>
    </row>
    <row r="718" spans="1:2">
      <c r="A718" s="13" t="str">
        <f ca="1">IFERROR(__xludf.DUMMYFUNCTION("""COMPUTED_VALUE"""),"LU005439")</f>
        <v>LU005439</v>
      </c>
      <c r="B718" s="13" t="str">
        <f ca="1">IFERROR(__xludf.DUMMYFUNCTION("""COMPUTED_VALUE"""),"Definition of Human Respiratory System")</f>
        <v>Definition of Human Respiratory System</v>
      </c>
    </row>
    <row r="719" spans="1:2">
      <c r="A719" s="13" t="str">
        <f ca="1">IFERROR(__xludf.DUMMYFUNCTION("""COMPUTED_VALUE"""),"LU005440")</f>
        <v>LU005440</v>
      </c>
      <c r="B719" s="13" t="str">
        <f ca="1">IFERROR(__xludf.DUMMYFUNCTION("""COMPUTED_VALUE"""),"Mechanism of Breathing in Humans")</f>
        <v>Mechanism of Breathing in Humans</v>
      </c>
    </row>
    <row r="720" spans="1:2">
      <c r="A720" s="13" t="str">
        <f ca="1">IFERROR(__xludf.DUMMYFUNCTION("""COMPUTED_VALUE"""),"LU005441")</f>
        <v>LU005441</v>
      </c>
      <c r="B720" s="13" t="str">
        <f ca="1">IFERROR(__xludf.DUMMYFUNCTION("""COMPUTED_VALUE"""),"Significance of Sneezing during breathing")</f>
        <v>Significance of Sneezing during breathing</v>
      </c>
    </row>
    <row r="721" spans="1:2">
      <c r="A721" s="13" t="str">
        <f ca="1">IFERROR(__xludf.DUMMYFUNCTION("""COMPUTED_VALUE"""),"LU005955")</f>
        <v>LU005955</v>
      </c>
      <c r="B721" s="13" t="str">
        <f ca="1">IFERROR(__xludf.DUMMYFUNCTION("""COMPUTED_VALUE"""),"Comparison of the composition of inhaled and exhaled air")</f>
        <v>Comparison of the composition of inhaled and exhaled air</v>
      </c>
    </row>
    <row r="722" spans="1:2">
      <c r="A722" s="13" t="str">
        <f ca="1">IFERROR(__xludf.DUMMYFUNCTION("""COMPUTED_VALUE"""),"LU005442")</f>
        <v>LU005442</v>
      </c>
      <c r="B722" s="13" t="str">
        <f ca="1">IFERROR(__xludf.DUMMYFUNCTION("""COMPUTED_VALUE"""),"General Mechanism of Breathing in other animals(non-humans)")</f>
        <v>General Mechanism of Breathing in other animals(non-humans)</v>
      </c>
    </row>
    <row r="723" spans="1:2">
      <c r="A723" s="13" t="str">
        <f ca="1">IFERROR(__xludf.DUMMYFUNCTION("""COMPUTED_VALUE"""),"LU005443")</f>
        <v>LU005443</v>
      </c>
      <c r="B723" s="13" t="str">
        <f ca="1">IFERROR(__xludf.DUMMYFUNCTION("""COMPUTED_VALUE"""),"Introduction to respiration in Plants")</f>
        <v>Introduction to respiration in Plants</v>
      </c>
    </row>
    <row r="724" spans="1:2">
      <c r="A724" s="13" t="str">
        <f ca="1">IFERROR(__xludf.DUMMYFUNCTION("""COMPUTED_VALUE"""),"LU005444")</f>
        <v>LU005444</v>
      </c>
      <c r="B724" s="13" t="str">
        <f ca="1">IFERROR(__xludf.DUMMYFUNCTION("""COMPUTED_VALUE"""),"Compare Photosynthesis and Respiration in Plants")</f>
        <v>Compare Photosynthesis and Respiration in Plants</v>
      </c>
    </row>
    <row r="725" spans="1:2">
      <c r="A725" s="13" t="str">
        <f ca="1">IFERROR(__xludf.DUMMYFUNCTION("""COMPUTED_VALUE"""),"LU005454")</f>
        <v>LU005454</v>
      </c>
      <c r="B725" s="13" t="str">
        <f ca="1">IFERROR(__xludf.DUMMYFUNCTION("""COMPUTED_VALUE"""),"Body Parts in Human Circulatory System")</f>
        <v>Body Parts in Human Circulatory System</v>
      </c>
    </row>
    <row r="726" spans="1:2">
      <c r="A726" s="13" t="str">
        <f ca="1">IFERROR(__xludf.DUMMYFUNCTION("""COMPUTED_VALUE"""),"LU005455")</f>
        <v>LU005455</v>
      </c>
      <c r="B726" s="13" t="str">
        <f ca="1">IFERROR(__xludf.DUMMYFUNCTION("""COMPUTED_VALUE"""),"Definition of human blood")</f>
        <v>Definition of human blood</v>
      </c>
    </row>
    <row r="727" spans="1:2">
      <c r="A727" s="13" t="str">
        <f ca="1">IFERROR(__xludf.DUMMYFUNCTION("""COMPUTED_VALUE"""),"LU005956")</f>
        <v>LU005956</v>
      </c>
      <c r="B727" s="13" t="str">
        <f ca="1">IFERROR(__xludf.DUMMYFUNCTION("""COMPUTED_VALUE"""),"Types of human blood vessels")</f>
        <v>Types of human blood vessels</v>
      </c>
    </row>
    <row r="728" spans="1:2">
      <c r="A728" s="13" t="str">
        <f ca="1">IFERROR(__xludf.DUMMYFUNCTION("""COMPUTED_VALUE"""),"LU005957")</f>
        <v>LU005957</v>
      </c>
      <c r="B728" s="13" t="str">
        <f ca="1">IFERROR(__xludf.DUMMYFUNCTION("""COMPUTED_VALUE"""),"Structure and function of human heart")</f>
        <v>Structure and function of human heart</v>
      </c>
    </row>
    <row r="729" spans="1:2">
      <c r="A729" s="13" t="str">
        <f ca="1">IFERROR(__xludf.DUMMYFUNCTION("""COMPUTED_VALUE"""),"LU005958")</f>
        <v>LU005958</v>
      </c>
      <c r="B729" s="13" t="str">
        <f ca="1">IFERROR(__xludf.DUMMYFUNCTION("""COMPUTED_VALUE"""),"Schematics of human circulatory system")</f>
        <v>Schematics of human circulatory system</v>
      </c>
    </row>
    <row r="730" spans="1:2">
      <c r="A730" s="13" t="str">
        <f ca="1">IFERROR(__xludf.DUMMYFUNCTION("""COMPUTED_VALUE"""),"LU005456")</f>
        <v>LU005456</v>
      </c>
      <c r="B730" s="13" t="str">
        <f ca="1">IFERROR(__xludf.DUMMYFUNCTION("""COMPUTED_VALUE"""),"Definition of heartbeat, pulse and pulse rate in humans")</f>
        <v>Definition of heartbeat, pulse and pulse rate in humans</v>
      </c>
    </row>
    <row r="731" spans="1:2">
      <c r="A731" s="13" t="str">
        <f ca="1">IFERROR(__xludf.DUMMYFUNCTION("""COMPUTED_VALUE"""),"LU005459")</f>
        <v>LU005459</v>
      </c>
      <c r="B731" s="13" t="str">
        <f ca="1">IFERROR(__xludf.DUMMYFUNCTION("""COMPUTED_VALUE"""),"Stethoscope's Structure, Working, and Model")</f>
        <v>Stethoscope's Structure, Working, and Model</v>
      </c>
    </row>
    <row r="732" spans="1:2">
      <c r="A732" s="13" t="str">
        <f ca="1">IFERROR(__xludf.DUMMYFUNCTION("""COMPUTED_VALUE"""),"LU005457")</f>
        <v>LU005457</v>
      </c>
      <c r="B732" s="13" t="str">
        <f ca="1">IFERROR(__xludf.DUMMYFUNCTION("""COMPUTED_VALUE"""),"Transportation in Hydra and Sponges")</f>
        <v>Transportation in Hydra and Sponges</v>
      </c>
    </row>
    <row r="733" spans="1:2">
      <c r="A733" s="13" t="str">
        <f ca="1">IFERROR(__xludf.DUMMYFUNCTION("""COMPUTED_VALUE"""),"LU005458")</f>
        <v>LU005458</v>
      </c>
      <c r="B733" s="13" t="str">
        <f ca="1">IFERROR(__xludf.DUMMYFUNCTION("""COMPUTED_VALUE"""),"Excretion in various types of organisms")</f>
        <v>Excretion in various types of organisms</v>
      </c>
    </row>
    <row r="734" spans="1:2">
      <c r="A734" s="13" t="str">
        <f ca="1">IFERROR(__xludf.DUMMYFUNCTION("""COMPUTED_VALUE"""),"LU005452")</f>
        <v>LU005452</v>
      </c>
      <c r="B734" s="13" t="str">
        <f ca="1">IFERROR(__xludf.DUMMYFUNCTION("""COMPUTED_VALUE"""),"Substances transported to and within Plants")</f>
        <v>Substances transported to and within Plants</v>
      </c>
    </row>
    <row r="735" spans="1:2">
      <c r="A735" s="13" t="str">
        <f ca="1">IFERROR(__xludf.DUMMYFUNCTION("""COMPUTED_VALUE"""),"LU005463")</f>
        <v>LU005463</v>
      </c>
      <c r="B735" s="13" t="str">
        <f ca="1">IFERROR(__xludf.DUMMYFUNCTION("""COMPUTED_VALUE"""),"Transpiration in Plants - Necessary Evil and its Mechanism")</f>
        <v>Transpiration in Plants - Necessary Evil and its Mechanism</v>
      </c>
    </row>
    <row r="736" spans="1:2">
      <c r="A736" s="13" t="str">
        <f ca="1">IFERROR(__xludf.DUMMYFUNCTION("""COMPUTED_VALUE"""),"LU005419")</f>
        <v>LU005419</v>
      </c>
      <c r="B736" s="13" t="str">
        <f ca="1">IFERROR(__xludf.DUMMYFUNCTION("""COMPUTED_VALUE"""),"Definition of reproduction in plants")</f>
        <v>Definition of reproduction in plants</v>
      </c>
    </row>
    <row r="737" spans="1:2">
      <c r="A737" s="13" t="str">
        <f ca="1">IFERROR(__xludf.DUMMYFUNCTION("""COMPUTED_VALUE"""),"LU005421")</f>
        <v>LU005421</v>
      </c>
      <c r="B737" s="13" t="str">
        <f ca="1">IFERROR(__xludf.DUMMYFUNCTION("""COMPUTED_VALUE"""),"Vegetative Propagation from stem, leaves, and roots of the plant.")</f>
        <v>Vegetative Propagation from stem, leaves, and roots of the plant.</v>
      </c>
    </row>
    <row r="738" spans="1:2">
      <c r="A738" s="13" t="str">
        <f ca="1">IFERROR(__xludf.DUMMYFUNCTION("""COMPUTED_VALUE"""),"LU005420")</f>
        <v>LU005420</v>
      </c>
      <c r="B738" s="13" t="str">
        <f ca="1">IFERROR(__xludf.DUMMYFUNCTION("""COMPUTED_VALUE"""),"Budding, fragmentation, sporulation and vegetative propagation")</f>
        <v>Budding, fragmentation, sporulation and vegetative propagation</v>
      </c>
    </row>
    <row r="739" spans="1:2">
      <c r="A739" s="13" t="str">
        <f ca="1">IFERROR(__xludf.DUMMYFUNCTION("""COMPUTED_VALUE"""),"LU005959")</f>
        <v>LU005959</v>
      </c>
      <c r="B739" s="13" t="str">
        <f ca="1">IFERROR(__xludf.DUMMYFUNCTION("""COMPUTED_VALUE"""),"Understanding budding in yeast")</f>
        <v>Understanding budding in yeast</v>
      </c>
    </row>
    <row r="740" spans="1:2">
      <c r="A740" s="13" t="str">
        <f ca="1">IFERROR(__xludf.DUMMYFUNCTION("""COMPUTED_VALUE"""),"LU005960")</f>
        <v>LU005960</v>
      </c>
      <c r="B740" s="13" t="str">
        <f ca="1">IFERROR(__xludf.DUMMYFUNCTION("""COMPUTED_VALUE"""),"Understanding fragmentation in algae")</f>
        <v>Understanding fragmentation in algae</v>
      </c>
    </row>
    <row r="741" spans="1:2">
      <c r="A741" s="13" t="str">
        <f ca="1">IFERROR(__xludf.DUMMYFUNCTION("""COMPUTED_VALUE"""),"LU005961")</f>
        <v>LU005961</v>
      </c>
      <c r="B741" s="13" t="str">
        <f ca="1">IFERROR(__xludf.DUMMYFUNCTION("""COMPUTED_VALUE"""),"Understanding spore formation in fungi")</f>
        <v>Understanding spore formation in fungi</v>
      </c>
    </row>
    <row r="742" spans="1:2">
      <c r="A742" s="13" t="str">
        <f ca="1">IFERROR(__xludf.DUMMYFUNCTION("""COMPUTED_VALUE"""),"LU005422")</f>
        <v>LU005422</v>
      </c>
      <c r="B742" s="13" t="str">
        <f ca="1">IFERROR(__xludf.DUMMYFUNCTION("""COMPUTED_VALUE"""),"Flowers, pollination and life cycle of a flowering plant")</f>
        <v>Flowers, pollination and life cycle of a flowering plant</v>
      </c>
    </row>
    <row r="743" spans="1:2">
      <c r="A743" s="13" t="str">
        <f ca="1">IFERROR(__xludf.DUMMYFUNCTION("""COMPUTED_VALUE"""),"LU005962")</f>
        <v>LU005962</v>
      </c>
      <c r="B743" s="13" t="str">
        <f ca="1">IFERROR(__xludf.DUMMYFUNCTION("""COMPUTED_VALUE"""),"Fertilization and post-fertilisation events in a flowering plant")</f>
        <v>Fertilization and post-fertilisation events in a flowering plant</v>
      </c>
    </row>
    <row r="744" spans="1:2">
      <c r="A744" s="13" t="str">
        <f ca="1">IFERROR(__xludf.DUMMYFUNCTION("""COMPUTED_VALUE"""),"LU005423")</f>
        <v>LU005423</v>
      </c>
      <c r="B744" s="13" t="str">
        <f ca="1">IFERROR(__xludf.DUMMYFUNCTION("""COMPUTED_VALUE"""),"Seed Dispersal (Definition and Purpose)")</f>
        <v>Seed Dispersal (Definition and Purpose)</v>
      </c>
    </row>
    <row r="745" spans="1:2">
      <c r="A745" s="13" t="str">
        <f ca="1">IFERROR(__xludf.DUMMYFUNCTION("""COMPUTED_VALUE"""),"LU005384")</f>
        <v>LU005384</v>
      </c>
      <c r="B745" s="13" t="str">
        <f ca="1">IFERROR(__xludf.DUMMYFUNCTION("""COMPUTED_VALUE"""),"Units of Time")</f>
        <v>Units of Time</v>
      </c>
    </row>
    <row r="746" spans="1:2">
      <c r="A746" s="13" t="str">
        <f ca="1">IFERROR(__xludf.DUMMYFUNCTION("""COMPUTED_VALUE"""),"LU005383")</f>
        <v>LU005383</v>
      </c>
      <c r="B746" s="13" t="str">
        <f ca="1">IFERROR(__xludf.DUMMYFUNCTION("""COMPUTED_VALUE"""),"Time Measurement Devices: Ancient Vs Modern")</f>
        <v>Time Measurement Devices: Ancient Vs Modern</v>
      </c>
    </row>
    <row r="747" spans="1:2">
      <c r="A747" s="13" t="str">
        <f ca="1">IFERROR(__xludf.DUMMYFUNCTION("""COMPUTED_VALUE"""),"LU005190")</f>
        <v>LU005190</v>
      </c>
      <c r="B747" s="13" t="str">
        <f ca="1">IFERROR(__xludf.DUMMYFUNCTION("""COMPUTED_VALUE"""),"Understanding the Basics of Oscillatory Motion")</f>
        <v>Understanding the Basics of Oscillatory Motion</v>
      </c>
    </row>
    <row r="748" spans="1:2">
      <c r="A748" s="13" t="str">
        <f ca="1">IFERROR(__xludf.DUMMYFUNCTION("""COMPUTED_VALUE"""),"LU005379")</f>
        <v>LU005379</v>
      </c>
      <c r="B748" s="13" t="str">
        <f ca="1">IFERROR(__xludf.DUMMYFUNCTION("""COMPUTED_VALUE"""),"Definition and Parts of a Simple Pendulum")</f>
        <v>Definition and Parts of a Simple Pendulum</v>
      </c>
    </row>
    <row r="749" spans="1:2">
      <c r="A749" s="13" t="str">
        <f ca="1">IFERROR(__xludf.DUMMYFUNCTION("""COMPUTED_VALUE"""),"LU005380")</f>
        <v>LU005380</v>
      </c>
      <c r="B749" s="13" t="str">
        <f ca="1">IFERROR(__xludf.DUMMYFUNCTION("""COMPUTED_VALUE"""),"Determining the Time Period of a Pendulum's Oscillation")</f>
        <v>Determining the Time Period of a Pendulum's Oscillation</v>
      </c>
    </row>
    <row r="750" spans="1:2">
      <c r="A750" s="13" t="str">
        <f ca="1">IFERROR(__xludf.DUMMYFUNCTION("""COMPUTED_VALUE"""),"LU005378")</f>
        <v>LU005378</v>
      </c>
      <c r="B750" s="13" t="str">
        <f ca="1">IFERROR(__xludf.DUMMYFUNCTION("""COMPUTED_VALUE"""),"Differentiating Objects as Moving Slow or Fast")</f>
        <v>Differentiating Objects as Moving Slow or Fast</v>
      </c>
    </row>
    <row r="751" spans="1:2">
      <c r="A751" s="13" t="str">
        <f ca="1">IFERROR(__xludf.DUMMYFUNCTION("""COMPUTED_VALUE"""),"LU005375")</f>
        <v>LU005375</v>
      </c>
      <c r="B751" s="13" t="str">
        <f ca="1">IFERROR(__xludf.DUMMYFUNCTION("""COMPUTED_VALUE"""),"Definition of Speed")</f>
        <v>Definition of Speed</v>
      </c>
    </row>
    <row r="752" spans="1:2">
      <c r="A752" s="13" t="str">
        <f ca="1">IFERROR(__xludf.DUMMYFUNCTION("""COMPUTED_VALUE"""),"LU005376")</f>
        <v>LU005376</v>
      </c>
      <c r="B752" s="13" t="str">
        <f ca="1">IFERROR(__xludf.DUMMYFUNCTION("""COMPUTED_VALUE"""),"Units of Speed")</f>
        <v>Units of Speed</v>
      </c>
    </row>
    <row r="753" spans="1:2">
      <c r="A753" s="13" t="str">
        <f ca="1">IFERROR(__xludf.DUMMYFUNCTION("""COMPUTED_VALUE"""),"LU005386")</f>
        <v>LU005386</v>
      </c>
      <c r="B753" s="13" t="str">
        <f ca="1">IFERROR(__xludf.DUMMYFUNCTION("""COMPUTED_VALUE"""),"Understanding Uniform and Non-Uniform Motion")</f>
        <v>Understanding Uniform and Non-Uniform Motion</v>
      </c>
    </row>
    <row r="754" spans="1:2">
      <c r="A754" s="13" t="str">
        <f ca="1">IFERROR(__xludf.DUMMYFUNCTION("""COMPUTED_VALUE"""),"LU005388")</f>
        <v>LU005388</v>
      </c>
      <c r="B754" s="13" t="str">
        <f ca="1">IFERROR(__xludf.DUMMYFUNCTION("""COMPUTED_VALUE"""),"Determining Speed of a Rolling Object using Ruler and Stopwatch")</f>
        <v>Determining Speed of a Rolling Object using Ruler and Stopwatch</v>
      </c>
    </row>
    <row r="755" spans="1:2">
      <c r="A755" s="13" t="str">
        <f ca="1">IFERROR(__xludf.DUMMYFUNCTION("""COMPUTED_VALUE"""),"LU005387")</f>
        <v>LU005387</v>
      </c>
      <c r="B755" s="13" t="str">
        <f ca="1">IFERROR(__xludf.DUMMYFUNCTION("""COMPUTED_VALUE"""),"Speed Measuring Devices in Vehicles")</f>
        <v>Speed Measuring Devices in Vehicles</v>
      </c>
    </row>
    <row r="756" spans="1:2">
      <c r="A756" s="13" t="str">
        <f ca="1">IFERROR(__xludf.DUMMYFUNCTION("""COMPUTED_VALUE"""),"LU005381")</f>
        <v>LU005381</v>
      </c>
      <c r="B756" s="13" t="str">
        <f ca="1">IFERROR(__xludf.DUMMYFUNCTION("""COMPUTED_VALUE"""),"Calculation of Distance using Formula of Speed")</f>
        <v>Calculation of Distance using Formula of Speed</v>
      </c>
    </row>
    <row r="757" spans="1:2">
      <c r="A757" s="13" t="str">
        <f ca="1">IFERROR(__xludf.DUMMYFUNCTION("""COMPUTED_VALUE"""),"LU005382")</f>
        <v>LU005382</v>
      </c>
      <c r="B757" s="13" t="str">
        <f ca="1">IFERROR(__xludf.DUMMYFUNCTION("""COMPUTED_VALUE"""),"Calculation of Time using Formula of Speed")</f>
        <v>Calculation of Time using Formula of Speed</v>
      </c>
    </row>
    <row r="758" spans="1:2">
      <c r="A758" s="13" t="str">
        <f ca="1">IFERROR(__xludf.DUMMYFUNCTION("""COMPUTED_VALUE"""),"LU005377")</f>
        <v>LU005377</v>
      </c>
      <c r="B758" s="13" t="str">
        <f ca="1">IFERROR(__xludf.DUMMYFUNCTION("""COMPUTED_VALUE"""),"Calculation of Speed Using its Formula")</f>
        <v>Calculation of Speed Using its Formula</v>
      </c>
    </row>
    <row r="759" spans="1:2">
      <c r="A759" s="13" t="str">
        <f ca="1">IFERROR(__xludf.DUMMYFUNCTION("""COMPUTED_VALUE"""),"LU005385")</f>
        <v>LU005385</v>
      </c>
      <c r="B759" s="13" t="str">
        <f ca="1">IFERROR(__xludf.DUMMYFUNCTION("""COMPUTED_VALUE"""),"Steps of Drawing a Distance-Time Graph")</f>
        <v>Steps of Drawing a Distance-Time Graph</v>
      </c>
    </row>
    <row r="760" spans="1:2">
      <c r="A760" s="13" t="str">
        <f ca="1">IFERROR(__xludf.DUMMYFUNCTION("""COMPUTED_VALUE"""),"LU005348")</f>
        <v>LU005348</v>
      </c>
      <c r="B760" s="13" t="str">
        <f ca="1">IFERROR(__xludf.DUMMYFUNCTION("""COMPUTED_VALUE"""),"Symbols of electric components")</f>
        <v>Symbols of electric components</v>
      </c>
    </row>
    <row r="761" spans="1:2">
      <c r="A761" s="13" t="str">
        <f ca="1">IFERROR(__xludf.DUMMYFUNCTION("""COMPUTED_VALUE"""),"LU005346")</f>
        <v>LU005346</v>
      </c>
      <c r="B761" s="13" t="str">
        <f ca="1">IFERROR(__xludf.DUMMYFUNCTION("""COMPUTED_VALUE"""),"Construction of battery from two or more cell")</f>
        <v>Construction of battery from two or more cell</v>
      </c>
    </row>
    <row r="762" spans="1:2">
      <c r="A762" s="13" t="str">
        <f ca="1">IFERROR(__xludf.DUMMYFUNCTION("""COMPUTED_VALUE"""),"LU005345")</f>
        <v>LU005345</v>
      </c>
      <c r="B762" s="13" t="str">
        <f ca="1">IFERROR(__xludf.DUMMYFUNCTION("""COMPUTED_VALUE"""),"Categorizing Electric Circuits into open and closed circuits")</f>
        <v>Categorizing Electric Circuits into open and closed circuits</v>
      </c>
    </row>
    <row r="763" spans="1:2">
      <c r="A763" s="13" t="str">
        <f ca="1">IFERROR(__xludf.DUMMYFUNCTION("""COMPUTED_VALUE"""),"LU005343")</f>
        <v>LU005343</v>
      </c>
      <c r="B763" s="13" t="str">
        <f ca="1">IFERROR(__xludf.DUMMYFUNCTION("""COMPUTED_VALUE"""),"Basic concept of Heating effect of electric current")</f>
        <v>Basic concept of Heating effect of electric current</v>
      </c>
    </row>
    <row r="764" spans="1:2">
      <c r="A764" s="13" t="str">
        <f ca="1">IFERROR(__xludf.DUMMYFUNCTION("""COMPUTED_VALUE"""),"LU005350")</f>
        <v>LU005350</v>
      </c>
      <c r="B764" s="13" t="str">
        <f ca="1">IFERROR(__xludf.DUMMYFUNCTION("""COMPUTED_VALUE"""),"Working principle and purpose of Electric fuse and MCB")</f>
        <v>Working principle and purpose of Electric fuse and MCB</v>
      </c>
    </row>
    <row r="765" spans="1:2">
      <c r="A765" s="13" t="str">
        <f ca="1">IFERROR(__xludf.DUMMYFUNCTION("""COMPUTED_VALUE"""),"LU005913")</f>
        <v>LU005913</v>
      </c>
      <c r="B765" s="13" t="str">
        <f ca="1">IFERROR(__xludf.DUMMYFUNCTION("""COMPUTED_VALUE"""),"Understanding and Preventing short circuit ")</f>
        <v xml:space="preserve">Understanding and Preventing short circuit </v>
      </c>
    </row>
    <row r="766" spans="1:2">
      <c r="A766" s="13" t="str">
        <f ca="1">IFERROR(__xludf.DUMMYFUNCTION("""COMPUTED_VALUE"""),"LU005344")</f>
        <v>LU005344</v>
      </c>
      <c r="B766" s="13" t="str">
        <f ca="1">IFERROR(__xludf.DUMMYFUNCTION("""COMPUTED_VALUE"""),"Basic concept of magnetic effect of electric current")</f>
        <v>Basic concept of magnetic effect of electric current</v>
      </c>
    </row>
    <row r="767" spans="1:2">
      <c r="A767" s="13" t="str">
        <f ca="1">IFERROR(__xludf.DUMMYFUNCTION("""COMPUTED_VALUE"""),"LU005347")</f>
        <v>LU005347</v>
      </c>
      <c r="B767" s="13" t="str">
        <f ca="1">IFERROR(__xludf.DUMMYFUNCTION("""COMPUTED_VALUE"""),"Making an electromagnet")</f>
        <v>Making an electromagnet</v>
      </c>
    </row>
    <row r="768" spans="1:2">
      <c r="A768" s="13" t="str">
        <f ca="1">IFERROR(__xludf.DUMMYFUNCTION("""COMPUTED_VALUE"""),"LU005349")</f>
        <v>LU005349</v>
      </c>
      <c r="B768" s="13" t="str">
        <f ca="1">IFERROR(__xludf.DUMMYFUNCTION("""COMPUTED_VALUE"""),"Working of Electric bell")</f>
        <v>Working of Electric bell</v>
      </c>
    </row>
    <row r="769" spans="1:2">
      <c r="A769" s="13" t="str">
        <f ca="1">IFERROR(__xludf.DUMMYFUNCTION("""COMPUTED_VALUE"""),"LU005369")</f>
        <v>LU005369</v>
      </c>
      <c r="B769" s="13" t="str">
        <f ca="1">IFERROR(__xludf.DUMMYFUNCTION("""COMPUTED_VALUE"""),"Definition of mirrors")</f>
        <v>Definition of mirrors</v>
      </c>
    </row>
    <row r="770" spans="1:2">
      <c r="A770" s="13" t="str">
        <f ca="1">IFERROR(__xludf.DUMMYFUNCTION("""COMPUTED_VALUE"""),"LU005374")</f>
        <v>LU005374</v>
      </c>
      <c r="B770" s="13" t="str">
        <f ca="1">IFERROR(__xludf.DUMMYFUNCTION("""COMPUTED_VALUE"""),"Types of images")</f>
        <v>Types of images</v>
      </c>
    </row>
    <row r="771" spans="1:2">
      <c r="A771" s="13" t="str">
        <f ca="1">IFERROR(__xludf.DUMMYFUNCTION("""COMPUTED_VALUE"""),"LU005367")</f>
        <v>LU005367</v>
      </c>
      <c r="B771" s="13" t="str">
        <f ca="1">IFERROR(__xludf.DUMMYFUNCTION("""COMPUTED_VALUE"""),"Characteristics of image formed by plane mirror")</f>
        <v>Characteristics of image formed by plane mirror</v>
      </c>
    </row>
    <row r="772" spans="1:2">
      <c r="A772" s="13" t="str">
        <f ca="1">IFERROR(__xludf.DUMMYFUNCTION("""COMPUTED_VALUE"""),"LU005920")</f>
        <v>LU005920</v>
      </c>
      <c r="B772" s="13" t="str">
        <f ca="1">IFERROR(__xludf.DUMMYFUNCTION("""COMPUTED_VALUE"""),"Characteristics of image formed by concave mirror")</f>
        <v>Characteristics of image formed by concave mirror</v>
      </c>
    </row>
    <row r="773" spans="1:2">
      <c r="A773" s="13" t="str">
        <f ca="1">IFERROR(__xludf.DUMMYFUNCTION("""COMPUTED_VALUE"""),"LU005922")</f>
        <v>LU005922</v>
      </c>
      <c r="B773" s="13" t="str">
        <f ca="1">IFERROR(__xludf.DUMMYFUNCTION("""COMPUTED_VALUE"""),"Characteristics of image formed by convex mirror")</f>
        <v>Characteristics of image formed by convex mirror</v>
      </c>
    </row>
    <row r="774" spans="1:2">
      <c r="A774" s="13" t="str">
        <f ca="1">IFERROR(__xludf.DUMMYFUNCTION("""COMPUTED_VALUE"""),"LU005368")</f>
        <v>LU005368</v>
      </c>
      <c r="B774" s="13" t="str">
        <f ca="1">IFERROR(__xludf.DUMMYFUNCTION("""COMPUTED_VALUE"""),"Definition of lenses")</f>
        <v>Definition of lenses</v>
      </c>
    </row>
    <row r="775" spans="1:2">
      <c r="A775" s="13" t="str">
        <f ca="1">IFERROR(__xludf.DUMMYFUNCTION("""COMPUTED_VALUE"""),"LU005366")</f>
        <v>LU005366</v>
      </c>
      <c r="B775" s="13" t="str">
        <f ca="1">IFERROR(__xludf.DUMMYFUNCTION("""COMPUTED_VALUE"""),"Characteristics of image formed by convex lens")</f>
        <v>Characteristics of image formed by convex lens</v>
      </c>
    </row>
    <row r="776" spans="1:2">
      <c r="A776" s="13" t="str">
        <f ca="1">IFERROR(__xludf.DUMMYFUNCTION("""COMPUTED_VALUE"""),"LU005365")</f>
        <v>LU005365</v>
      </c>
      <c r="B776" s="13" t="str">
        <f ca="1">IFERROR(__xludf.DUMMYFUNCTION("""COMPUTED_VALUE"""),"Characteristics of image formed by concave lens")</f>
        <v>Characteristics of image formed by concave lens</v>
      </c>
    </row>
    <row r="777" spans="1:2">
      <c r="A777" s="13" t="str">
        <f ca="1">IFERROR(__xludf.DUMMYFUNCTION("""COMPUTED_VALUE"""),"LU005373")</f>
        <v>LU005373</v>
      </c>
      <c r="B777" s="13" t="str">
        <f ca="1">IFERROR(__xludf.DUMMYFUNCTION("""COMPUTED_VALUE"""),"Light and its colours")</f>
        <v>Light and its colours</v>
      </c>
    </row>
    <row r="778" spans="1:2">
      <c r="A778" s="13" t="str">
        <f ca="1">IFERROR(__xludf.DUMMYFUNCTION("""COMPUTED_VALUE"""),"LU005321")</f>
        <v>LU005321</v>
      </c>
      <c r="B778" s="13" t="str">
        <f ca="1">IFERROR(__xludf.DUMMYFUNCTION("""COMPUTED_VALUE"""),"Forest-animals and plants, habitat, food chains and food web")</f>
        <v>Forest-animals and plants, habitat, food chains and food web</v>
      </c>
    </row>
    <row r="779" spans="1:2">
      <c r="A779" s="13" t="str">
        <f ca="1">IFERROR(__xludf.DUMMYFUNCTION("""COMPUTED_VALUE"""),"LU005322")</f>
        <v>LU005322</v>
      </c>
      <c r="B779" s="13" t="str">
        <f ca="1">IFERROR(__xludf.DUMMYFUNCTION("""COMPUTED_VALUE"""),"Definition of various forest layers")</f>
        <v>Definition of various forest layers</v>
      </c>
    </row>
    <row r="780" spans="1:2">
      <c r="A780" s="13" t="str">
        <f ca="1">IFERROR(__xludf.DUMMYFUNCTION("""COMPUTED_VALUE"""),"LU005964")</f>
        <v>LU005964</v>
      </c>
      <c r="B780" s="13" t="str">
        <f ca="1">IFERROR(__xludf.DUMMYFUNCTION("""COMPUTED_VALUE"""),"Decomposers' Role in Forest Health")</f>
        <v>Decomposers' Role in Forest Health</v>
      </c>
    </row>
    <row r="781" spans="1:2">
      <c r="A781" s="13" t="str">
        <f ca="1">IFERROR(__xludf.DUMMYFUNCTION("""COMPUTED_VALUE"""),"LU005323")</f>
        <v>LU005323</v>
      </c>
      <c r="B781" s="13" t="str">
        <f ca="1">IFERROR(__xludf.DUMMYFUNCTION("""COMPUTED_VALUE"""),"Forest an independent and dynamic entity, and lungs of Earth.")</f>
        <v>Forest an independent and dynamic entity, and lungs of Earth.</v>
      </c>
    </row>
    <row r="782" spans="1:2">
      <c r="A782" s="13" t="str">
        <f ca="1">IFERROR(__xludf.DUMMYFUNCTION("""COMPUTED_VALUE"""),"LU005324")</f>
        <v>LU005324</v>
      </c>
      <c r="B782" s="13" t="str">
        <f ca="1">IFERROR(__xludf.DUMMYFUNCTION("""COMPUTED_VALUE"""),"Definition of deforestation and its consequences")</f>
        <v>Definition of deforestation and its consequences</v>
      </c>
    </row>
    <row r="783" spans="1:2">
      <c r="A783" s="13" t="str">
        <f ca="1">IFERROR(__xludf.DUMMYFUNCTION("""COMPUTED_VALUE"""),"LU005325")</f>
        <v>LU005325</v>
      </c>
      <c r="B783" s="13" t="str">
        <f ca="1">IFERROR(__xludf.DUMMYFUNCTION("""COMPUTED_VALUE"""),"Importance of Forests")</f>
        <v>Importance of Forests</v>
      </c>
    </row>
    <row r="784" spans="1:2">
      <c r="A784" s="13" t="str">
        <f ca="1">IFERROR(__xludf.DUMMYFUNCTION("""COMPUTED_VALUE"""),"LU005339")</f>
        <v>LU005339</v>
      </c>
      <c r="B784" s="13" t="str">
        <f ca="1">IFERROR(__xludf.DUMMYFUNCTION("""COMPUTED_VALUE"""),"Definition and composition of Sewage")</f>
        <v>Definition and composition of Sewage</v>
      </c>
    </row>
    <row r="785" spans="1:2">
      <c r="A785" s="13" t="str">
        <f ca="1">IFERROR(__xludf.DUMMYFUNCTION("""COMPUTED_VALUE"""),"LU005865")</f>
        <v>LU005865</v>
      </c>
      <c r="B785" s="13" t="str">
        <f ca="1">IFERROR(__xludf.DUMMYFUNCTION("""COMPUTED_VALUE"""),"Various uses of clean water")</f>
        <v>Various uses of clean water</v>
      </c>
    </row>
    <row r="786" spans="1:2">
      <c r="A786" s="13" t="str">
        <f ca="1">IFERROR(__xludf.DUMMYFUNCTION("""COMPUTED_VALUE"""),"LU005866")</f>
        <v>LU005866</v>
      </c>
      <c r="B786" s="13" t="str">
        <f ca="1">IFERROR(__xludf.DUMMYFUNCTION("""COMPUTED_VALUE"""),"Effects of Water Scarcity on Human Life")</f>
        <v>Effects of Water Scarcity on Human Life</v>
      </c>
    </row>
    <row r="787" spans="1:2">
      <c r="A787" s="13" t="str">
        <f ca="1">IFERROR(__xludf.DUMMYFUNCTION("""COMPUTED_VALUE"""),"LU005338")</f>
        <v>LU005338</v>
      </c>
      <c r="B787" s="13" t="str">
        <f ca="1">IFERROR(__xludf.DUMMYFUNCTION("""COMPUTED_VALUE"""),"Components of sewage transport system")</f>
        <v>Components of sewage transport system</v>
      </c>
    </row>
    <row r="788" spans="1:2">
      <c r="A788" s="13" t="str">
        <f ca="1">IFERROR(__xludf.DUMMYFUNCTION("""COMPUTED_VALUE"""),"LU005342")</f>
        <v>LU005342</v>
      </c>
      <c r="B788" s="13" t="str">
        <f ca="1">IFERROR(__xludf.DUMMYFUNCTION("""COMPUTED_VALUE"""),"Stages in waste water treatment plant")</f>
        <v>Stages in waste water treatment plant</v>
      </c>
    </row>
    <row r="789" spans="1:2">
      <c r="A789" s="13" t="str">
        <f ca="1">IFERROR(__xludf.DUMMYFUNCTION("""COMPUTED_VALUE"""),"LU005340")</f>
        <v>LU005340</v>
      </c>
      <c r="B789" s="13" t="str">
        <f ca="1">IFERROR(__xludf.DUMMYFUNCTION("""COMPUTED_VALUE"""),"Demonstration treatment of polluted water")</f>
        <v>Demonstration treatment of polluted water</v>
      </c>
    </row>
    <row r="790" spans="1:2">
      <c r="A790" s="13" t="str">
        <f ca="1">IFERROR(__xludf.DUMMYFUNCTION("""COMPUTED_VALUE"""),"LU005336")</f>
        <v>LU005336</v>
      </c>
      <c r="B790" s="13" t="str">
        <f ca="1">IFERROR(__xludf.DUMMYFUNCTION("""COMPUTED_VALUE"""),"Alternative Arrangement for sewage disposal")</f>
        <v>Alternative Arrangement for sewage disposal</v>
      </c>
    </row>
    <row r="791" spans="1:2">
      <c r="A791" s="13" t="str">
        <f ca="1">IFERROR(__xludf.DUMMYFUNCTION("""COMPUTED_VALUE"""),"LU005337")</f>
        <v>LU005337</v>
      </c>
      <c r="B791" s="13" t="str">
        <f ca="1">IFERROR(__xludf.DUMMYFUNCTION("""COMPUTED_VALUE"""),"Better house keeping practices")</f>
        <v>Better house keeping practices</v>
      </c>
    </row>
    <row r="792" spans="1:2">
      <c r="A792" s="13" t="str">
        <f ca="1">IFERROR(__xludf.DUMMYFUNCTION("""COMPUTED_VALUE"""),"LU005341")</f>
        <v>LU005341</v>
      </c>
      <c r="B792" s="13" t="str">
        <f ca="1">IFERROR(__xludf.DUMMYFUNCTION("""COMPUTED_VALUE"""),"Importance of drainage system and sanitization")</f>
        <v>Importance of drainage system and sanitization</v>
      </c>
    </row>
    <row r="793" spans="1:2">
      <c r="A793" s="13" t="str">
        <f ca="1">IFERROR(__xludf.DUMMYFUNCTION("""COMPUTED_VALUE"""),"LUID")</f>
        <v>LUID</v>
      </c>
      <c r="B793" s="13" t="str">
        <f ca="1">IFERROR(__xludf.DUMMYFUNCTION("""COMPUTED_VALUE"""),"LUs Covered")</f>
        <v>LUs Covered</v>
      </c>
    </row>
    <row r="794" spans="1:2">
      <c r="A794" s="13" t="str">
        <f ca="1">IFERROR(__xludf.DUMMYFUNCTION("""COMPUTED_VALUE"""),"LU005614")</f>
        <v>LU005614</v>
      </c>
      <c r="B794" s="13" t="str">
        <f ca="1">IFERROR(__xludf.DUMMYFUNCTION("""COMPUTED_VALUE"""),"Definition of Crop, Crop Production, and Agriculture")</f>
        <v>Definition of Crop, Crop Production, and Agriculture</v>
      </c>
    </row>
    <row r="795" spans="1:2">
      <c r="A795" s="13" t="str">
        <f ca="1">IFERROR(__xludf.DUMMYFUNCTION("""COMPUTED_VALUE"""),"LU005615")</f>
        <v>LU005615</v>
      </c>
      <c r="B795" s="13" t="str">
        <f ca="1">IFERROR(__xludf.DUMMYFUNCTION("""COMPUTED_VALUE"""),"Definition of Broad Cropping Patterns in India
")</f>
        <v xml:space="preserve">Definition of Broad Cropping Patterns in India
</v>
      </c>
    </row>
    <row r="796" spans="1:2">
      <c r="A796" s="13" t="str">
        <f ca="1">IFERROR(__xludf.DUMMYFUNCTION("""COMPUTED_VALUE"""),"LU005616")</f>
        <v>LU005616</v>
      </c>
      <c r="B796" s="13" t="str">
        <f ca="1">IFERROR(__xludf.DUMMYFUNCTION("""COMPUTED_VALUE"""),"Soil preparation for crop production")</f>
        <v>Soil preparation for crop production</v>
      </c>
    </row>
    <row r="797" spans="1:2">
      <c r="A797" s="13" t="str">
        <f ca="1">IFERROR(__xludf.DUMMYFUNCTION("""COMPUTED_VALUE"""),"LU005617")</f>
        <v>LU005617</v>
      </c>
      <c r="B797" s="13" t="str">
        <f ca="1">IFERROR(__xludf.DUMMYFUNCTION("""COMPUTED_VALUE"""),"Sowing and selecting seeds for crop production")</f>
        <v>Sowing and selecting seeds for crop production</v>
      </c>
    </row>
    <row r="798" spans="1:2">
      <c r="A798" s="13" t="str">
        <f ca="1">IFERROR(__xludf.DUMMYFUNCTION("""COMPUTED_VALUE"""),"LU005618")</f>
        <v>LU005618</v>
      </c>
      <c r="B798" s="13" t="str">
        <f ca="1">IFERROR(__xludf.DUMMYFUNCTION("""COMPUTED_VALUE"""),"Different Ways of Soil Replenishment for Crop Production")</f>
        <v>Different Ways of Soil Replenishment for Crop Production</v>
      </c>
    </row>
    <row r="799" spans="1:2">
      <c r="A799" s="13" t="str">
        <f ca="1">IFERROR(__xludf.DUMMYFUNCTION("""COMPUTED_VALUE"""),"LU005619")</f>
        <v>LU005619</v>
      </c>
      <c r="B799" s="13" t="str">
        <f ca="1">IFERROR(__xludf.DUMMYFUNCTION("""COMPUTED_VALUE"""),"Irrigation for crop production")</f>
        <v>Irrigation for crop production</v>
      </c>
    </row>
    <row r="800" spans="1:2">
      <c r="A800" s="13" t="str">
        <f ca="1">IFERROR(__xludf.DUMMYFUNCTION("""COMPUTED_VALUE"""),"LU005620")</f>
        <v>LU005620</v>
      </c>
      <c r="B800" s="13" t="str">
        <f ca="1">IFERROR(__xludf.DUMMYFUNCTION("""COMPUTED_VALUE"""),"Methods of Crop Protection in agricultural practices")</f>
        <v>Methods of Crop Protection in agricultural practices</v>
      </c>
    </row>
    <row r="801" spans="1:2">
      <c r="A801" s="13" t="str">
        <f ca="1">IFERROR(__xludf.DUMMYFUNCTION("""COMPUTED_VALUE"""),"LU005621")</f>
        <v>LU005621</v>
      </c>
      <c r="B801" s="13" t="str">
        <f ca="1">IFERROR(__xludf.DUMMYFUNCTION("""COMPUTED_VALUE"""),"Harvesting and storage in crop production")</f>
        <v>Harvesting and storage in crop production</v>
      </c>
    </row>
    <row r="802" spans="1:2">
      <c r="A802" s="13" t="str">
        <f ca="1">IFERROR(__xludf.DUMMYFUNCTION("""COMPUTED_VALUE"""),"LU005635")</f>
        <v>LU005635</v>
      </c>
      <c r="B802" s="13" t="str">
        <f ca="1">IFERROR(__xludf.DUMMYFUNCTION("""COMPUTED_VALUE"""),"Introduction to Microorganisms")</f>
        <v>Introduction to Microorganisms</v>
      </c>
    </row>
    <row r="803" spans="1:2">
      <c r="A803" s="13" t="str">
        <f ca="1">IFERROR(__xludf.DUMMYFUNCTION("""COMPUTED_VALUE"""),"LU005645")</f>
        <v>LU005645</v>
      </c>
      <c r="B803" s="13" t="str">
        <f ca="1">IFERROR(__xludf.DUMMYFUNCTION("""COMPUTED_VALUE"""),"Using Microbes for Curd, Bread and Alcohol Formation ")</f>
        <v xml:space="preserve">Using Microbes for Curd, Bread and Alcohol Formation </v>
      </c>
    </row>
    <row r="804" spans="1:2">
      <c r="A804" s="13" t="str">
        <f ca="1">IFERROR(__xludf.DUMMYFUNCTION("""COMPUTED_VALUE"""),"LU005649")</f>
        <v>LU005649</v>
      </c>
      <c r="B804" s="13" t="str">
        <f ca="1">IFERROR(__xludf.DUMMYFUNCTION("""COMPUTED_VALUE"""),"Role of Microbes in Soil Health")</f>
        <v>Role of Microbes in Soil Health</v>
      </c>
    </row>
    <row r="805" spans="1:2">
      <c r="A805" s="13" t="str">
        <f ca="1">IFERROR(__xludf.DUMMYFUNCTION("""COMPUTED_VALUE"""),"LU005646")</f>
        <v>LU005646</v>
      </c>
      <c r="B805" s="13" t="str">
        <f ca="1">IFERROR(__xludf.DUMMYFUNCTION("""COMPUTED_VALUE"""),"Using Microbes for cleaning the environment")</f>
        <v>Using Microbes for cleaning the environment</v>
      </c>
    </row>
    <row r="806" spans="1:2">
      <c r="A806" s="13" t="str">
        <f ca="1">IFERROR(__xludf.DUMMYFUNCTION("""COMPUTED_VALUE"""),"LU005643")</f>
        <v>LU005643</v>
      </c>
      <c r="B806" s="13" t="str">
        <f ca="1">IFERROR(__xludf.DUMMYFUNCTION("""COMPUTED_VALUE"""),"Usage of microbes for making antibiotics")</f>
        <v>Usage of microbes for making antibiotics</v>
      </c>
    </row>
    <row r="807" spans="1:2">
      <c r="A807" s="13" t="str">
        <f ca="1">IFERROR(__xludf.DUMMYFUNCTION("""COMPUTED_VALUE"""),"LU005647")</f>
        <v>LU005647</v>
      </c>
      <c r="B807" s="13" t="str">
        <f ca="1">IFERROR(__xludf.DUMMYFUNCTION("""COMPUTED_VALUE"""),"Usage of Microbes in Vaccination")</f>
        <v>Usage of Microbes in Vaccination</v>
      </c>
    </row>
    <row r="808" spans="1:2">
      <c r="A808" s="13" t="str">
        <f ca="1">IFERROR(__xludf.DUMMYFUNCTION("""COMPUTED_VALUE"""),"LU005637")</f>
        <v>LU005637</v>
      </c>
      <c r="B808" s="13" t="str">
        <f ca="1">IFERROR(__xludf.DUMMYFUNCTION("""COMPUTED_VALUE"""),"Harmful microbes to humans, animals and plants")</f>
        <v>Harmful microbes to humans, animals and plants</v>
      </c>
    </row>
    <row r="809" spans="1:2">
      <c r="A809" s="13" t="str">
        <f ca="1">IFERROR(__xludf.DUMMYFUNCTION("""COMPUTED_VALUE"""),"LU005640")</f>
        <v>LU005640</v>
      </c>
      <c r="B809" s="13" t="str">
        <f ca="1">IFERROR(__xludf.DUMMYFUNCTION("""COMPUTED_VALUE"""),"Food poisoning and various methods of food preservation")</f>
        <v>Food poisoning and various methods of food preservation</v>
      </c>
    </row>
    <row r="810" spans="1:2">
      <c r="A810" s="13" t="str">
        <f ca="1">IFERROR(__xludf.DUMMYFUNCTION("""COMPUTED_VALUE"""),"LU005642")</f>
        <v>LU005642</v>
      </c>
      <c r="B810" s="13" t="str">
        <f ca="1">IFERROR(__xludf.DUMMYFUNCTION("""COMPUTED_VALUE"""),"Nitrogen Cycle")</f>
        <v>Nitrogen Cycle</v>
      </c>
    </row>
    <row r="811" spans="1:2">
      <c r="A811" s="13" t="str">
        <f ca="1">IFERROR(__xludf.DUMMYFUNCTION("""COMPUTED_VALUE"""),"LU005700")</f>
        <v>LU005700</v>
      </c>
      <c r="B811" s="13" t="str">
        <f ca="1">IFERROR(__xludf.DUMMYFUNCTION("""COMPUTED_VALUE"""),"Definition and Types of Natural Resources")</f>
        <v>Definition and Types of Natural Resources</v>
      </c>
    </row>
    <row r="812" spans="1:2">
      <c r="A812" s="13" t="str">
        <f ca="1">IFERROR(__xludf.DUMMYFUNCTION("""COMPUTED_VALUE"""),"LU005708")</f>
        <v>LU005708</v>
      </c>
      <c r="B812" s="13" t="str">
        <f ca="1">IFERROR(__xludf.DUMMYFUNCTION("""COMPUTED_VALUE"""),"Overview of Fossil Fuels (Coal, Petroleum, Natural Gas)")</f>
        <v>Overview of Fossil Fuels (Coal, Petroleum, Natural Gas)</v>
      </c>
    </row>
    <row r="813" spans="1:2">
      <c r="A813" s="13" t="str">
        <f ca="1">IFERROR(__xludf.DUMMYFUNCTION("""COMPUTED_VALUE"""),"LU005696")</f>
        <v>LU005696</v>
      </c>
      <c r="B813" s="13" t="str">
        <f ca="1">IFERROR(__xludf.DUMMYFUNCTION("""COMPUTED_VALUE"""),"Coal Formation Process (Coalification)")</f>
        <v>Coal Formation Process (Coalification)</v>
      </c>
    </row>
    <row r="814" spans="1:2">
      <c r="A814" s="13" t="str">
        <f ca="1">IFERROR(__xludf.DUMMYFUNCTION("""COMPUTED_VALUE"""),"LU005710")</f>
        <v>LU005710</v>
      </c>
      <c r="B814" s="13" t="str">
        <f ca="1">IFERROR(__xludf.DUMMYFUNCTION("""COMPUTED_VALUE"""),"Process and Products Obtained from Coal")</f>
        <v>Process and Products Obtained from Coal</v>
      </c>
    </row>
    <row r="815" spans="1:2">
      <c r="A815" s="13" t="str">
        <f ca="1">IFERROR(__xludf.DUMMYFUNCTION("""COMPUTED_VALUE"""),"LU005707")</f>
        <v>LU005707</v>
      </c>
      <c r="B815" s="13" t="str">
        <f ca="1">IFERROR(__xludf.DUMMYFUNCTION("""COMPUTED_VALUE"""),"Formation of petroleum and its deposits")</f>
        <v>Formation of petroleum and its deposits</v>
      </c>
    </row>
    <row r="816" spans="1:2">
      <c r="A816" s="13" t="str">
        <f ca="1">IFERROR(__xludf.DUMMYFUNCTION("""COMPUTED_VALUE"""),"LU005702")</f>
        <v>LU005702</v>
      </c>
      <c r="B816" s="13" t="str">
        <f ca="1">IFERROR(__xludf.DUMMYFUNCTION("""COMPUTED_VALUE"""),"Refining of Petroleum")</f>
        <v>Refining of Petroleum</v>
      </c>
    </row>
    <row r="817" spans="1:2">
      <c r="A817" s="13" t="str">
        <f ca="1">IFERROR(__xludf.DUMMYFUNCTION("""COMPUTED_VALUE"""),"LU005697")</f>
        <v>LU005697</v>
      </c>
      <c r="B817" s="13" t="str">
        <f ca="1">IFERROR(__xludf.DUMMYFUNCTION("""COMPUTED_VALUE"""),"Natural gas and its applications")</f>
        <v>Natural gas and its applications</v>
      </c>
    </row>
    <row r="818" spans="1:2">
      <c r="A818" s="13" t="str">
        <f ca="1">IFERROR(__xludf.DUMMYFUNCTION("""COMPUTED_VALUE"""),"LU005705")</f>
        <v>LU005705</v>
      </c>
      <c r="B818" s="13" t="str">
        <f ca="1">IFERROR(__xludf.DUMMYFUNCTION("""COMPUTED_VALUE"""),"Conservation of resources")</f>
        <v>Conservation of resources</v>
      </c>
    </row>
    <row r="819" spans="1:2">
      <c r="A819" s="13" t="str">
        <f ca="1">IFERROR(__xludf.DUMMYFUNCTION("""COMPUTED_VALUE"""),"LU005683")</f>
        <v>LU005683</v>
      </c>
      <c r="B819" s="13" t="str">
        <f ca="1">IFERROR(__xludf.DUMMYFUNCTION("""COMPUTED_VALUE"""),"Definition and Explanation of Combustion")</f>
        <v>Definition and Explanation of Combustion</v>
      </c>
    </row>
    <row r="820" spans="1:2">
      <c r="A820" s="13" t="str">
        <f ca="1">IFERROR(__xludf.DUMMYFUNCTION("""COMPUTED_VALUE"""),"LU005694")</f>
        <v>LU005694</v>
      </c>
      <c r="B820" s="13" t="str">
        <f ca="1">IFERROR(__xludf.DUMMYFUNCTION("""COMPUTED_VALUE"""),"Combustible and Non-combustible substances")</f>
        <v>Combustible and Non-combustible substances</v>
      </c>
    </row>
    <row r="821" spans="1:2">
      <c r="A821" s="13" t="str">
        <f ca="1">IFERROR(__xludf.DUMMYFUNCTION("""COMPUTED_VALUE"""),"LU005692")</f>
        <v>LU005692</v>
      </c>
      <c r="B821" s="13" t="str">
        <f ca="1">IFERROR(__xludf.DUMMYFUNCTION("""COMPUTED_VALUE"""),"Ignition temperature and categorisation of inflammable substances")</f>
        <v>Ignition temperature and categorisation of inflammable substances</v>
      </c>
    </row>
    <row r="822" spans="1:2">
      <c r="A822" s="13" t="str">
        <f ca="1">IFERROR(__xludf.DUMMYFUNCTION("""COMPUTED_VALUE"""),"LU005691")</f>
        <v>LU005691</v>
      </c>
      <c r="B822" s="13" t="str">
        <f ca="1">IFERROR(__xludf.DUMMYFUNCTION("""COMPUTED_VALUE"""),"Conditions required for combustion")</f>
        <v>Conditions required for combustion</v>
      </c>
    </row>
    <row r="823" spans="1:2">
      <c r="A823" s="13" t="str">
        <f ca="1">IFERROR(__xludf.DUMMYFUNCTION("""COMPUTED_VALUE"""),"LU005685")</f>
        <v>LU005685</v>
      </c>
      <c r="B823" s="13" t="str">
        <f ca="1">IFERROR(__xludf.DUMMYFUNCTION("""COMPUTED_VALUE"""),"Different ways to control various fire hazards")</f>
        <v>Different ways to control various fire hazards</v>
      </c>
    </row>
    <row r="824" spans="1:2">
      <c r="A824" s="13" t="str">
        <f ca="1">IFERROR(__xludf.DUMMYFUNCTION("""COMPUTED_VALUE"""),"LU005687")</f>
        <v>LU005687</v>
      </c>
      <c r="B824" s="13" t="str">
        <f ca="1">IFERROR(__xludf.DUMMYFUNCTION("""COMPUTED_VALUE"""),"Types of Combustion (e.g., Rapid, Spontaneous)")</f>
        <v>Types of Combustion (e.g., Rapid, Spontaneous)</v>
      </c>
    </row>
    <row r="825" spans="1:2">
      <c r="A825" s="13" t="str">
        <f ca="1">IFERROR(__xludf.DUMMYFUNCTION("""COMPUTED_VALUE"""),"LU005678")</f>
        <v>LU005678</v>
      </c>
      <c r="B825" s="13" t="str">
        <f ca="1">IFERROR(__xludf.DUMMYFUNCTION("""COMPUTED_VALUE"""),"Flame and its anatomy")</f>
        <v>Flame and its anatomy</v>
      </c>
    </row>
    <row r="826" spans="1:2">
      <c r="A826" s="13" t="str">
        <f ca="1">IFERROR(__xludf.DUMMYFUNCTION("""COMPUTED_VALUE"""),"LU005681")</f>
        <v>LU005681</v>
      </c>
      <c r="B826" s="13" t="str">
        <f ca="1">IFERROR(__xludf.DUMMYFUNCTION("""COMPUTED_VALUE"""),"Definition, Types, and Characteristics of Fuel")</f>
        <v>Definition, Types, and Characteristics of Fuel</v>
      </c>
    </row>
    <row r="827" spans="1:2">
      <c r="A827" s="13" t="str">
        <f ca="1">IFERROR(__xludf.DUMMYFUNCTION("""COMPUTED_VALUE"""),"LU005703")</f>
        <v>LU005703</v>
      </c>
      <c r="B827" s="13" t="str">
        <f ca="1">IFERROR(__xludf.DUMMYFUNCTION("""COMPUTED_VALUE"""),"Implications of harmful products formed by burning of fuels")</f>
        <v>Implications of harmful products formed by burning of fuels</v>
      </c>
    </row>
    <row r="828" spans="1:2">
      <c r="A828" s="13" t="str">
        <f ca="1">IFERROR(__xludf.DUMMYFUNCTION("""COMPUTED_VALUE"""),"LU005910")</f>
        <v>LU005910</v>
      </c>
      <c r="B828" s="13" t="str">
        <f ca="1">IFERROR(__xludf.DUMMYFUNCTION("""COMPUTED_VALUE"""),"Causes of Deforestation (Natural and Man-Made Causes)")</f>
        <v>Causes of Deforestation (Natural and Man-Made Causes)</v>
      </c>
    </row>
    <row r="829" spans="1:2">
      <c r="A829" s="13" t="str">
        <f ca="1">IFERROR(__xludf.DUMMYFUNCTION("""COMPUTED_VALUE"""),"LU005602")</f>
        <v>LU005602</v>
      </c>
      <c r="B829" s="13" t="str">
        <f ca="1">IFERROR(__xludf.DUMMYFUNCTION("""COMPUTED_VALUE"""),"Domestic Consequences of Deforestation")</f>
        <v>Domestic Consequences of Deforestation</v>
      </c>
    </row>
    <row r="830" spans="1:2">
      <c r="A830" s="13" t="str">
        <f ca="1">IFERROR(__xludf.DUMMYFUNCTION("""COMPUTED_VALUE"""),"LU005601")</f>
        <v>LU005601</v>
      </c>
      <c r="B830" s="13" t="str">
        <f ca="1">IFERROR(__xludf.DUMMYFUNCTION("""COMPUTED_VALUE"""),"Global Consequences of Deforestation")</f>
        <v>Global Consequences of Deforestation</v>
      </c>
    </row>
    <row r="831" spans="1:2">
      <c r="A831" s="13" t="str">
        <f ca="1">IFERROR(__xludf.DUMMYFUNCTION("""COMPUTED_VALUE"""),"LU005598")</f>
        <v>LU005598</v>
      </c>
      <c r="B831" s="13" t="str">
        <f ca="1">IFERROR(__xludf.DUMMYFUNCTION("""COMPUTED_VALUE"""),"Definition of conservation, biosphere, protected areas, etc.")</f>
        <v>Definition of conservation, biosphere, protected areas, etc.</v>
      </c>
    </row>
    <row r="832" spans="1:2">
      <c r="A832" s="13" t="str">
        <f ca="1">IFERROR(__xludf.DUMMYFUNCTION("""COMPUTED_VALUE"""),"LU005599")</f>
        <v>LU005599</v>
      </c>
      <c r="B832" s="13" t="str">
        <f ca="1">IFERROR(__xludf.DUMMYFUNCTION("""COMPUTED_VALUE"""),"Definition of flora, fauna, and species.")</f>
        <v>Definition of flora, fauna, and species.</v>
      </c>
    </row>
    <row r="833" spans="1:2">
      <c r="A833" s="13" t="str">
        <f ca="1">IFERROR(__xludf.DUMMYFUNCTION("""COMPUTED_VALUE"""),"LU005605")</f>
        <v>LU005605</v>
      </c>
      <c r="B833" s="13" t="str">
        <f ca="1">IFERROR(__xludf.DUMMYFUNCTION("""COMPUTED_VALUE"""),"Definition of Ecosystem")</f>
        <v>Definition of Ecosystem</v>
      </c>
    </row>
    <row r="834" spans="1:2">
      <c r="A834" s="13" t="str">
        <f ca="1">IFERROR(__xludf.DUMMYFUNCTION("""COMPUTED_VALUE"""),"LU005600")</f>
        <v>LU005600</v>
      </c>
      <c r="B834" s="13" t="str">
        <f ca="1">IFERROR(__xludf.DUMMYFUNCTION("""COMPUTED_VALUE"""),"Definition of endemic species and its causes of extinction.")</f>
        <v>Definition of endemic species and its causes of extinction.</v>
      </c>
    </row>
    <row r="835" spans="1:2">
      <c r="A835" s="13" t="str">
        <f ca="1">IFERROR(__xludf.DUMMYFUNCTION("""COMPUTED_VALUE"""),"LU005603")</f>
        <v>LU005603</v>
      </c>
      <c r="B835" s="13" t="str">
        <f ca="1">IFERROR(__xludf.DUMMYFUNCTION("""COMPUTED_VALUE"""),"Satpura National Park and Project Tiger")</f>
        <v>Satpura National Park and Project Tiger</v>
      </c>
    </row>
    <row r="836" spans="1:2">
      <c r="A836" s="13" t="str">
        <f ca="1">IFERROR(__xludf.DUMMYFUNCTION("""COMPUTED_VALUE"""),"LU005604")</f>
        <v>LU005604</v>
      </c>
      <c r="B836" s="13" t="str">
        <f ca="1">IFERROR(__xludf.DUMMYFUNCTION("""COMPUTED_VALUE"""),"Red Data Book and its various species classification system")</f>
        <v>Red Data Book and its various species classification system</v>
      </c>
    </row>
    <row r="837" spans="1:2">
      <c r="A837" s="13" t="str">
        <f ca="1">IFERROR(__xludf.DUMMYFUNCTION("""COMPUTED_VALUE"""),"LU005606")</f>
        <v>LU005606</v>
      </c>
      <c r="B837" s="13" t="str">
        <f ca="1">IFERROR(__xludf.DUMMYFUNCTION("""COMPUTED_VALUE"""),"Migration in Animals")</f>
        <v>Migration in Animals</v>
      </c>
    </row>
    <row r="838" spans="1:2">
      <c r="A838" s="13" t="str">
        <f ca="1">IFERROR(__xludf.DUMMYFUNCTION("""COMPUTED_VALUE"""),"LU005608")</f>
        <v>LU005608</v>
      </c>
      <c r="B838" s="13" t="str">
        <f ca="1">IFERROR(__xludf.DUMMYFUNCTION("""COMPUTED_VALUE"""),"Reasons for Recycling of Paper")</f>
        <v>Reasons for Recycling of Paper</v>
      </c>
    </row>
    <row r="839" spans="1:2">
      <c r="A839" s="13" t="str">
        <f ca="1">IFERROR(__xludf.DUMMYFUNCTION("""COMPUTED_VALUE"""),"LU005607")</f>
        <v>LU005607</v>
      </c>
      <c r="B839" s="13" t="str">
        <f ca="1">IFERROR(__xludf.DUMMYFUNCTION("""COMPUTED_VALUE"""),"Definition of Reforestation and its advantages")</f>
        <v>Definition of Reforestation and its advantages</v>
      </c>
    </row>
    <row r="840" spans="1:2">
      <c r="A840" s="13" t="str">
        <f ca="1">IFERROR(__xludf.DUMMYFUNCTION("""COMPUTED_VALUE"""),"LU005911")</f>
        <v>LU005911</v>
      </c>
      <c r="B840" s="13" t="str">
        <f ca="1">IFERROR(__xludf.DUMMYFUNCTION("""COMPUTED_VALUE"""),"Reproduction in organisms(types and significance)")</f>
        <v>Reproduction in organisms(types and significance)</v>
      </c>
    </row>
    <row r="841" spans="1:2">
      <c r="A841" s="13" t="str">
        <f ca="1">IFERROR(__xludf.DUMMYFUNCTION("""COMPUTED_VALUE"""),"LU005966")</f>
        <v>LU005966</v>
      </c>
      <c r="B841" s="13" t="str">
        <f ca="1">IFERROR(__xludf.DUMMYFUNCTION("""COMPUTED_VALUE"""),"Binary fission as an asexual mode of reproduction in animals.")</f>
        <v>Binary fission as an asexual mode of reproduction in animals.</v>
      </c>
    </row>
    <row r="842" spans="1:2">
      <c r="A842" s="13" t="str">
        <f ca="1">IFERROR(__xludf.DUMMYFUNCTION("""COMPUTED_VALUE"""),"LU005968")</f>
        <v>LU005968</v>
      </c>
      <c r="B842" s="13" t="str">
        <f ca="1">IFERROR(__xludf.DUMMYFUNCTION("""COMPUTED_VALUE"""),"Budding as an asexual mode of reproduction in animals")</f>
        <v>Budding as an asexual mode of reproduction in animals</v>
      </c>
    </row>
    <row r="843" spans="1:2">
      <c r="A843" s="13" t="str">
        <f ca="1">IFERROR(__xludf.DUMMYFUNCTION("""COMPUTED_VALUE"""),"LU005661")</f>
        <v>LU005661</v>
      </c>
      <c r="B843" s="13" t="str">
        <f ca="1">IFERROR(__xludf.DUMMYFUNCTION("""COMPUTED_VALUE"""),"Binary fission and budding in animals
")</f>
        <v xml:space="preserve">Binary fission and budding in animals
</v>
      </c>
    </row>
    <row r="844" spans="1:2">
      <c r="A844" s="13" t="str">
        <f ca="1">IFERROR(__xludf.DUMMYFUNCTION("""COMPUTED_VALUE"""),"LU005659")</f>
        <v>LU005659</v>
      </c>
      <c r="B844" s="13" t="str">
        <f ca="1">IFERROR(__xludf.DUMMYFUNCTION("""COMPUTED_VALUE"""),"Male reproductive system in humans")</f>
        <v>Male reproductive system in humans</v>
      </c>
    </row>
    <row r="845" spans="1:2">
      <c r="A845" s="13" t="str">
        <f ca="1">IFERROR(__xludf.DUMMYFUNCTION("""COMPUTED_VALUE"""),"LU005658")</f>
        <v>LU005658</v>
      </c>
      <c r="B845" s="13" t="str">
        <f ca="1">IFERROR(__xludf.DUMMYFUNCTION("""COMPUTED_VALUE"""),"Female reproductive system in humans")</f>
        <v>Female reproductive system in humans</v>
      </c>
    </row>
    <row r="846" spans="1:2">
      <c r="A846" s="13" t="str">
        <f ca="1">IFERROR(__xludf.DUMMYFUNCTION("""COMPUTED_VALUE"""),"LU005660")</f>
        <v>LU005660</v>
      </c>
      <c r="B846" s="13" t="str">
        <f ca="1">IFERROR(__xludf.DUMMYFUNCTION("""COMPUTED_VALUE"""),"Basics of fertilisation and post-fertilisation events in humans")</f>
        <v>Basics of fertilisation and post-fertilisation events in humans</v>
      </c>
    </row>
    <row r="847" spans="1:2">
      <c r="A847" s="13" t="str">
        <f ca="1">IFERROR(__xludf.DUMMYFUNCTION("""COMPUTED_VALUE"""),"LU005662")</f>
        <v>LU005662</v>
      </c>
      <c r="B847" s="13" t="str">
        <f ca="1">IFERROR(__xludf.DUMMYFUNCTION("""COMPUTED_VALUE"""),"Types of Reproductive Patterns in animals
")</f>
        <v xml:space="preserve">Types of Reproductive Patterns in animals
</v>
      </c>
    </row>
    <row r="848" spans="1:2">
      <c r="A848" s="13" t="str">
        <f ca="1">IFERROR(__xludf.DUMMYFUNCTION("""COMPUTED_VALUE"""),"LU005666")</f>
        <v>LU005666</v>
      </c>
      <c r="B848" s="13" t="str">
        <f ca="1">IFERROR(__xludf.DUMMYFUNCTION("""COMPUTED_VALUE"""),"Basics of oviparous and viviparous animals")</f>
        <v>Basics of oviparous and viviparous animals</v>
      </c>
    </row>
    <row r="849" spans="1:2">
      <c r="A849" s="13" t="str">
        <f ca="1">IFERROR(__xludf.DUMMYFUNCTION("""COMPUTED_VALUE"""),"LU005663")</f>
        <v>LU005663</v>
      </c>
      <c r="B849" s="13" t="str">
        <f ca="1">IFERROR(__xludf.DUMMYFUNCTION("""COMPUTED_VALUE"""),"Hens' Egg Laying Process (Till Hatching)")</f>
        <v>Hens' Egg Laying Process (Till Hatching)</v>
      </c>
    </row>
    <row r="850" spans="1:2">
      <c r="A850" s="13" t="str">
        <f ca="1">IFERROR(__xludf.DUMMYFUNCTION("""COMPUTED_VALUE"""),"LU005665")</f>
        <v>LU005665</v>
      </c>
      <c r="B850" s="13" t="str">
        <f ca="1">IFERROR(__xludf.DUMMYFUNCTION("""COMPUTED_VALUE"""),"Life Cycle of a Frog")</f>
        <v>Life Cycle of a Frog</v>
      </c>
    </row>
    <row r="851" spans="1:2">
      <c r="A851" s="13" t="str">
        <f ca="1">IFERROR(__xludf.DUMMYFUNCTION("""COMPUTED_VALUE"""),"LU005654")</f>
        <v>LU005654</v>
      </c>
      <c r="B851" s="13" t="str">
        <f ca="1">IFERROR(__xludf.DUMMYFUNCTION("""COMPUTED_VALUE"""),"Introduction to adolescence and puberty")</f>
        <v>Introduction to adolescence and puberty</v>
      </c>
    </row>
    <row r="852" spans="1:2">
      <c r="A852" s="13" t="str">
        <f ca="1">IFERROR(__xludf.DUMMYFUNCTION("""COMPUTED_VALUE"""),"LU005653")</f>
        <v>LU005653</v>
      </c>
      <c r="B852" s="13" t="str">
        <f ca="1">IFERROR(__xludf.DUMMYFUNCTION("""COMPUTED_VALUE"""),"Changes at Puberty")</f>
        <v>Changes at Puberty</v>
      </c>
    </row>
    <row r="853" spans="1:2">
      <c r="A853" s="13" t="str">
        <f ca="1">IFERROR(__xludf.DUMMYFUNCTION("""COMPUTED_VALUE"""),"LU005656")</f>
        <v>LU005656</v>
      </c>
      <c r="B853" s="13" t="str">
        <f ca="1">IFERROR(__xludf.DUMMYFUNCTION("""COMPUTED_VALUE"""),"Secondary Sexual Characteristics and Role of Hormones ")</f>
        <v xml:space="preserve">Secondary Sexual Characteristics and Role of Hormones </v>
      </c>
    </row>
    <row r="854" spans="1:2">
      <c r="A854" s="13" t="str">
        <f ca="1">IFERROR(__xludf.DUMMYFUNCTION("""COMPUTED_VALUE"""),"LU005655")</f>
        <v>LU005655</v>
      </c>
      <c r="B854" s="13" t="str">
        <f ca="1">IFERROR(__xludf.DUMMYFUNCTION("""COMPUTED_VALUE"""),"Reproductive Phase of Life in Humans")</f>
        <v>Reproductive Phase of Life in Humans</v>
      </c>
    </row>
    <row r="855" spans="1:2">
      <c r="A855" s="13" t="str">
        <f ca="1">IFERROR(__xludf.DUMMYFUNCTION("""COMPUTED_VALUE"""),"LU005652")</f>
        <v>LU005652</v>
      </c>
      <c r="B855" s="13" t="str">
        <f ca="1">IFERROR(__xludf.DUMMYFUNCTION("""COMPUTED_VALUE"""),"Basic Mechanism of Sex Determination in Humans")</f>
        <v>Basic Mechanism of Sex Determination in Humans</v>
      </c>
    </row>
    <row r="856" spans="1:2">
      <c r="A856" s="13" t="str">
        <f ca="1">IFERROR(__xludf.DUMMYFUNCTION("""COMPUTED_VALUE"""),"LU005651")</f>
        <v>LU005651</v>
      </c>
      <c r="B856" s="13" t="str">
        <f ca="1">IFERROR(__xludf.DUMMYFUNCTION("""COMPUTED_VALUE"""),"Adrenaline, Insulin, Thyroxine, and Growth Hormones")</f>
        <v>Adrenaline, Insulin, Thyroxine, and Growth Hormones</v>
      </c>
    </row>
    <row r="857" spans="1:2">
      <c r="A857" s="13" t="str">
        <f ca="1">IFERROR(__xludf.DUMMYFUNCTION("""COMPUTED_VALUE"""),"LU005650")</f>
        <v>LU005650</v>
      </c>
      <c r="B857" s="13" t="str">
        <f ca="1">IFERROR(__xludf.DUMMYFUNCTION("""COMPUTED_VALUE"""),"Adolescent Reproductive health")</f>
        <v>Adolescent Reproductive health</v>
      </c>
    </row>
    <row r="858" spans="1:2">
      <c r="A858" s="13" t="str">
        <f ca="1">IFERROR(__xludf.DUMMYFUNCTION("""COMPUTED_VALUE"""),"LU005179")</f>
        <v>LU005179</v>
      </c>
      <c r="B858" s="13" t="str">
        <f ca="1">IFERROR(__xludf.DUMMYFUNCTION("""COMPUTED_VALUE"""),"Force - a push or pull")</f>
        <v>Force - a push or pull</v>
      </c>
    </row>
    <row r="859" spans="1:2">
      <c r="A859" s="13" t="str">
        <f ca="1">IFERROR(__xludf.DUMMYFUNCTION("""COMPUTED_VALUE"""),"LU005548")</f>
        <v>LU005548</v>
      </c>
      <c r="B859" s="13" t="str">
        <f ca="1">IFERROR(__xludf.DUMMYFUNCTION("""COMPUTED_VALUE"""),"Magnitude and direction of force")</f>
        <v>Magnitude and direction of force</v>
      </c>
    </row>
    <row r="860" spans="1:2">
      <c r="A860" s="13" t="str">
        <f ca="1">IFERROR(__xludf.DUMMYFUNCTION("""COMPUTED_VALUE"""),"LU005537")</f>
        <v>LU005537</v>
      </c>
      <c r="B860" s="13" t="str">
        <f ca="1">IFERROR(__xludf.DUMMYFUNCTION("""COMPUTED_VALUE"""),"Force due to the interaction between two objects")</f>
        <v>Force due to the interaction between two objects</v>
      </c>
    </row>
    <row r="861" spans="1:2">
      <c r="A861" s="13" t="str">
        <f ca="1">IFERROR(__xludf.DUMMYFUNCTION("""COMPUTED_VALUE"""),"LU005540")</f>
        <v>LU005540</v>
      </c>
      <c r="B861" s="13" t="str">
        <f ca="1">IFERROR(__xludf.DUMMYFUNCTION("""COMPUTED_VALUE"""),"Effects of force on the shape, motion and direction of motion of objects")</f>
        <v>Effects of force on the shape, motion and direction of motion of objects</v>
      </c>
    </row>
    <row r="862" spans="1:2">
      <c r="A862" s="13" t="str">
        <f ca="1">IFERROR(__xludf.DUMMYFUNCTION("""COMPUTED_VALUE"""),"LU005541")</f>
        <v>LU005541</v>
      </c>
      <c r="B862" s="13" t="str">
        <f ca="1">IFERROR(__xludf.DUMMYFUNCTION("""COMPUTED_VALUE"""),"Definition of balanced and unbalanced force")</f>
        <v>Definition of balanced and unbalanced force</v>
      </c>
    </row>
    <row r="863" spans="1:2">
      <c r="A863" s="13" t="str">
        <f ca="1">IFERROR(__xludf.DUMMYFUNCTION("""COMPUTED_VALUE"""),"LU005538")</f>
        <v>LU005538</v>
      </c>
      <c r="B863" s="13" t="str">
        <f ca="1">IFERROR(__xludf.DUMMYFUNCTION("""COMPUTED_VALUE"""),"Types of contact force (Muscular and frictional)")</f>
        <v>Types of contact force (Muscular and frictional)</v>
      </c>
    </row>
    <row r="864" spans="1:2">
      <c r="A864" s="13" t="str">
        <f ca="1">IFERROR(__xludf.DUMMYFUNCTION("""COMPUTED_VALUE"""),"LU005539")</f>
        <v>LU005539</v>
      </c>
      <c r="B864" s="13" t="str">
        <f ca="1">IFERROR(__xludf.DUMMYFUNCTION("""COMPUTED_VALUE"""),"Types of non contact force (Magnetic, Electrostatic and Gravitational force)")</f>
        <v>Types of non contact force (Magnetic, Electrostatic and Gravitational force)</v>
      </c>
    </row>
    <row r="865" spans="1:2">
      <c r="A865" s="13" t="str">
        <f ca="1">IFERROR(__xludf.DUMMYFUNCTION("""COMPUTED_VALUE"""),"LU005543")</f>
        <v>LU005543</v>
      </c>
      <c r="B865" s="13" t="str">
        <f ca="1">IFERROR(__xludf.DUMMYFUNCTION("""COMPUTED_VALUE"""),"Definition of pressure")</f>
        <v>Definition of pressure</v>
      </c>
    </row>
    <row r="866" spans="1:2">
      <c r="A866" s="13" t="str">
        <f ca="1">IFERROR(__xludf.DUMMYFUNCTION("""COMPUTED_VALUE"""),"LU005544")</f>
        <v>LU005544</v>
      </c>
      <c r="B866" s="13" t="str">
        <f ca="1">IFERROR(__xludf.DUMMYFUNCTION("""COMPUTED_VALUE"""),"Definition of liquid pressure/hydrostatic pressure")</f>
        <v>Definition of liquid pressure/hydrostatic pressure</v>
      </c>
    </row>
    <row r="867" spans="1:2">
      <c r="A867" s="13" t="str">
        <f ca="1">IFERROR(__xludf.DUMMYFUNCTION("""COMPUTED_VALUE"""),"LU005915")</f>
        <v>LU005915</v>
      </c>
      <c r="B867" s="13" t="str">
        <f ca="1">IFERROR(__xludf.DUMMYFUNCTION("""COMPUTED_VALUE"""),"Understanding Gaseous Pressure through Real-Life Examples")</f>
        <v>Understanding Gaseous Pressure through Real-Life Examples</v>
      </c>
    </row>
    <row r="868" spans="1:2">
      <c r="A868" s="13" t="str">
        <f ca="1">IFERROR(__xludf.DUMMYFUNCTION("""COMPUTED_VALUE"""),"LU005546")</f>
        <v>LU005546</v>
      </c>
      <c r="B868" s="13" t="str">
        <f ca="1">IFERROR(__xludf.DUMMYFUNCTION("""COMPUTED_VALUE"""),"Definition of atmospheric pressure")</f>
        <v>Definition of atmospheric pressure</v>
      </c>
    </row>
    <row r="869" spans="1:2">
      <c r="A869" s="13" t="str">
        <f ca="1">IFERROR(__xludf.DUMMYFUNCTION("""COMPUTED_VALUE"""),"LU005551")</f>
        <v>LU005551</v>
      </c>
      <c r="B869" s="13" t="str">
        <f ca="1">IFERROR(__xludf.DUMMYFUNCTION("""COMPUTED_VALUE"""),"Definition and direction of frictional force")</f>
        <v>Definition and direction of frictional force</v>
      </c>
    </row>
    <row r="870" spans="1:2">
      <c r="A870" s="13" t="str">
        <f ca="1">IFERROR(__xludf.DUMMYFUNCTION("""COMPUTED_VALUE"""),"LU005562")</f>
        <v>LU005562</v>
      </c>
      <c r="B870" s="13" t="str">
        <f ca="1">IFERROR(__xludf.DUMMYFUNCTION("""COMPUTED_VALUE"""),"Interlocking between two surfaces as a cause of friction")</f>
        <v>Interlocking between two surfaces as a cause of friction</v>
      </c>
    </row>
    <row r="871" spans="1:2">
      <c r="A871" s="13" t="str">
        <f ca="1">IFERROR(__xludf.DUMMYFUNCTION("""COMPUTED_VALUE"""),"LU005552")</f>
        <v>LU005552</v>
      </c>
      <c r="B871" s="13" t="str">
        <f ca="1">IFERROR(__xludf.DUMMYFUNCTION("""COMPUTED_VALUE"""),"Factors affecting Friction")</f>
        <v>Factors affecting Friction</v>
      </c>
    </row>
    <row r="872" spans="1:2">
      <c r="A872" s="13" t="str">
        <f ca="1">IFERROR(__xludf.DUMMYFUNCTION("""COMPUTED_VALUE"""),"LU005557")</f>
        <v>LU005557</v>
      </c>
      <c r="B872" s="13" t="str">
        <f ca="1">IFERROR(__xludf.DUMMYFUNCTION("""COMPUTED_VALUE"""),"Definition of Static and Sliding friction")</f>
        <v>Definition of Static and Sliding friction</v>
      </c>
    </row>
    <row r="873" spans="1:2">
      <c r="A873" s="13" t="str">
        <f ca="1">IFERROR(__xludf.DUMMYFUNCTION("""COMPUTED_VALUE"""),"LU005558")</f>
        <v>LU005558</v>
      </c>
      <c r="B873" s="13" t="str">
        <f ca="1">IFERROR(__xludf.DUMMYFUNCTION("""COMPUTED_VALUE"""),"Definition and Significance of Rolling Friction")</f>
        <v>Definition and Significance of Rolling Friction</v>
      </c>
    </row>
    <row r="874" spans="1:2">
      <c r="A874" s="13" t="str">
        <f ca="1">IFERROR(__xludf.DUMMYFUNCTION("""COMPUTED_VALUE"""),"LU005553")</f>
        <v>LU005553</v>
      </c>
      <c r="B874" s="13" t="str">
        <f ca="1">IFERROR(__xludf.DUMMYFUNCTION("""COMPUTED_VALUE"""),"Advantages of Friction in Real World")</f>
        <v>Advantages of Friction in Real World</v>
      </c>
    </row>
    <row r="875" spans="1:2">
      <c r="A875" s="13" t="str">
        <f ca="1">IFERROR(__xludf.DUMMYFUNCTION("""COMPUTED_VALUE"""),"LU005554")</f>
        <v>LU005554</v>
      </c>
      <c r="B875" s="13" t="str">
        <f ca="1">IFERROR(__xludf.DUMMYFUNCTION("""COMPUTED_VALUE"""),"Ways to Increase Friction")</f>
        <v>Ways to Increase Friction</v>
      </c>
    </row>
    <row r="876" spans="1:2">
      <c r="A876" s="13" t="str">
        <f ca="1">IFERROR(__xludf.DUMMYFUNCTION("""COMPUTED_VALUE"""),"LU005555")</f>
        <v>LU005555</v>
      </c>
      <c r="B876" s="13" t="str">
        <f ca="1">IFERROR(__xludf.DUMMYFUNCTION("""COMPUTED_VALUE"""),"Disadvantages of Friction")</f>
        <v>Disadvantages of Friction</v>
      </c>
    </row>
    <row r="877" spans="1:2">
      <c r="A877" s="13" t="str">
        <f ca="1">IFERROR(__xludf.DUMMYFUNCTION("""COMPUTED_VALUE"""),"LU005556")</f>
        <v>LU005556</v>
      </c>
      <c r="B877" s="13" t="str">
        <f ca="1">IFERROR(__xludf.DUMMYFUNCTION("""COMPUTED_VALUE"""),"Ways to Reduce Friction")</f>
        <v>Ways to Reduce Friction</v>
      </c>
    </row>
    <row r="878" spans="1:2">
      <c r="A878" s="13" t="str">
        <f ca="1">IFERROR(__xludf.DUMMYFUNCTION("""COMPUTED_VALUE"""),"LU005559")</f>
        <v>LU005559</v>
      </c>
      <c r="B878" s="13" t="str">
        <f ca="1">IFERROR(__xludf.DUMMYFUNCTION("""COMPUTED_VALUE"""),"Definition of fluid friction")</f>
        <v>Definition of fluid friction</v>
      </c>
    </row>
    <row r="879" spans="1:2">
      <c r="A879" s="13" t="str">
        <f ca="1">IFERROR(__xludf.DUMMYFUNCTION("""COMPUTED_VALUE"""),"LU005561")</f>
        <v>LU005561</v>
      </c>
      <c r="B879" s="13" t="str">
        <f ca="1">IFERROR(__xludf.DUMMYFUNCTION("""COMPUTED_VALUE"""),"Ways to reduce fluid friction")</f>
        <v>Ways to reduce fluid friction</v>
      </c>
    </row>
    <row r="880" spans="1:2">
      <c r="A880" s="13" t="str">
        <f ca="1">IFERROR(__xludf.DUMMYFUNCTION("""COMPUTED_VALUE"""),"LU005572")</f>
        <v>LU005572</v>
      </c>
      <c r="B880" s="13" t="str">
        <f ca="1">IFERROR(__xludf.DUMMYFUNCTION("""COMPUTED_VALUE"""),"Cause of generation of sound")</f>
        <v>Cause of generation of sound</v>
      </c>
    </row>
    <row r="881" spans="1:2">
      <c r="A881" s="13" t="str">
        <f ca="1">IFERROR(__xludf.DUMMYFUNCTION("""COMPUTED_VALUE"""),"LU005573")</f>
        <v>LU005573</v>
      </c>
      <c r="B881" s="13" t="str">
        <f ca="1">IFERROR(__xludf.DUMMYFUNCTION("""COMPUTED_VALUE"""),"Musical Instruments and their Vibrating Parts (string, wind, and percussion)")</f>
        <v>Musical Instruments and their Vibrating Parts (string, wind, and percussion)</v>
      </c>
    </row>
    <row r="882" spans="1:2">
      <c r="A882" s="13" t="str">
        <f ca="1">IFERROR(__xludf.DUMMYFUNCTION("""COMPUTED_VALUE"""),"LU005574")</f>
        <v>LU005574</v>
      </c>
      <c r="B882" s="13" t="str">
        <f ca="1">IFERROR(__xludf.DUMMYFUNCTION("""COMPUTED_VALUE"""),"Mechanism of production of sound in humans")</f>
        <v>Mechanism of production of sound in humans</v>
      </c>
    </row>
    <row r="883" spans="1:2">
      <c r="A883" s="13" t="str">
        <f ca="1">IFERROR(__xludf.DUMMYFUNCTION("""COMPUTED_VALUE"""),"LU005575")</f>
        <v>LU005575</v>
      </c>
      <c r="B883" s="13" t="str">
        <f ca="1">IFERROR(__xludf.DUMMYFUNCTION("""COMPUTED_VALUE"""),"Propagation of sound through different mediums")</f>
        <v>Propagation of sound through different mediums</v>
      </c>
    </row>
    <row r="884" spans="1:2">
      <c r="A884" s="13" t="str">
        <f ca="1">IFERROR(__xludf.DUMMYFUNCTION("""COMPUTED_VALUE"""),"LU005576")</f>
        <v>LU005576</v>
      </c>
      <c r="B884" s="13" t="str">
        <f ca="1">IFERROR(__xludf.DUMMYFUNCTION("""COMPUTED_VALUE"""),"Function of the Eardrum in Hearing")</f>
        <v>Function of the Eardrum in Hearing</v>
      </c>
    </row>
    <row r="885" spans="1:2">
      <c r="A885" s="13" t="str">
        <f ca="1">IFERROR(__xludf.DUMMYFUNCTION("""COMPUTED_VALUE"""),"LU005577")</f>
        <v>LU005577</v>
      </c>
      <c r="B885" s="13" t="str">
        <f ca="1">IFERROR(__xludf.DUMMYFUNCTION("""COMPUTED_VALUE"""),"Definition of Amplitude of Vibration")</f>
        <v>Definition of Amplitude of Vibration</v>
      </c>
    </row>
    <row r="886" spans="1:2">
      <c r="A886" s="13" t="str">
        <f ca="1">IFERROR(__xludf.DUMMYFUNCTION("""COMPUTED_VALUE"""),"LU005585")</f>
        <v>LU005585</v>
      </c>
      <c r="B886" s="13" t="str">
        <f ca="1">IFERROR(__xludf.DUMMYFUNCTION("""COMPUTED_VALUE"""),"Definition of frequency of vibration and its relationship with time period")</f>
        <v>Definition of frequency of vibration and its relationship with time period</v>
      </c>
    </row>
    <row r="887" spans="1:2">
      <c r="A887" s="13" t="str">
        <f ca="1">IFERROR(__xludf.DUMMYFUNCTION("""COMPUTED_VALUE"""),"LU005578")</f>
        <v>LU005578</v>
      </c>
      <c r="B887" s="13" t="str">
        <f ca="1">IFERROR(__xludf.DUMMYFUNCTION("""COMPUTED_VALUE"""),"Loudness and pitch of sound")</f>
        <v>Loudness and pitch of sound</v>
      </c>
    </row>
    <row r="888" spans="1:2">
      <c r="A888" s="13" t="str">
        <f ca="1">IFERROR(__xludf.DUMMYFUNCTION("""COMPUTED_VALUE"""),"LU005579")</f>
        <v>LU005579</v>
      </c>
      <c r="B888" s="13" t="str">
        <f ca="1">IFERROR(__xludf.DUMMYFUNCTION("""COMPUTED_VALUE"""),"Frequency range of Human Hearing")</f>
        <v>Frequency range of Human Hearing</v>
      </c>
    </row>
    <row r="889" spans="1:2">
      <c r="A889" s="13" t="str">
        <f ca="1">IFERROR(__xludf.DUMMYFUNCTION("""COMPUTED_VALUE"""),"LU005580")</f>
        <v>LU005580</v>
      </c>
      <c r="B889" s="13" t="str">
        <f ca="1">IFERROR(__xludf.DUMMYFUNCTION("""COMPUTED_VALUE"""),"Distinguish Noise from Music")</f>
        <v>Distinguish Noise from Music</v>
      </c>
    </row>
    <row r="890" spans="1:2">
      <c r="A890" s="13" t="str">
        <f ca="1">IFERROR(__xludf.DUMMYFUNCTION("""COMPUTED_VALUE"""),"LU005581")</f>
        <v>LU005581</v>
      </c>
      <c r="B890" s="13" t="str">
        <f ca="1">IFERROR(__xludf.DUMMYFUNCTION("""COMPUTED_VALUE"""),"Sources of noise pollution")</f>
        <v>Sources of noise pollution</v>
      </c>
    </row>
    <row r="891" spans="1:2">
      <c r="A891" s="13" t="str">
        <f ca="1">IFERROR(__xludf.DUMMYFUNCTION("""COMPUTED_VALUE"""),"LU005582")</f>
        <v>LU005582</v>
      </c>
      <c r="B891" s="13" t="str">
        <f ca="1">IFERROR(__xludf.DUMMYFUNCTION("""COMPUTED_VALUE"""),"Effects of noise pollution on human health")</f>
        <v>Effects of noise pollution on human health</v>
      </c>
    </row>
    <row r="892" spans="1:2">
      <c r="A892" s="13" t="str">
        <f ca="1">IFERROR(__xludf.DUMMYFUNCTION("""COMPUTED_VALUE"""),"LU005583")</f>
        <v>LU005583</v>
      </c>
      <c r="B892" s="13" t="str">
        <f ca="1">IFERROR(__xludf.DUMMYFUNCTION("""COMPUTED_VALUE"""),"Measures to Limit Noise Pollution")</f>
        <v>Measures to Limit Noise Pollution</v>
      </c>
    </row>
    <row r="893" spans="1:2">
      <c r="A893" s="13" t="str">
        <f ca="1">IFERROR(__xludf.DUMMYFUNCTION("""COMPUTED_VALUE"""),"LU005528")</f>
        <v>LU005528</v>
      </c>
      <c r="B893" s="13" t="str">
        <f ca="1">IFERROR(__xludf.DUMMYFUNCTION("""COMPUTED_VALUE"""),"Exploring the electrical conduction in liquids")</f>
        <v>Exploring the electrical conduction in liquids</v>
      </c>
    </row>
    <row r="894" spans="1:2">
      <c r="A894" s="13" t="str">
        <f ca="1">IFERROR(__xludf.DUMMYFUNCTION("""COMPUTED_VALUE"""),"LU005529")</f>
        <v>LU005529</v>
      </c>
      <c r="B894" s="13" t="str">
        <f ca="1">IFERROR(__xludf.DUMMYFUNCTION("""COMPUTED_VALUE"""),"Electrical conductivity of Distilled water vs tap water")</f>
        <v>Electrical conductivity of Distilled water vs tap water</v>
      </c>
    </row>
    <row r="895" spans="1:2">
      <c r="A895" s="13" t="str">
        <f ca="1">IFERROR(__xludf.DUMMYFUNCTION("""COMPUTED_VALUE"""),"LU005530")</f>
        <v>LU005530</v>
      </c>
      <c r="B895" s="13" t="str">
        <f ca="1">IFERROR(__xludf.DUMMYFUNCTION("""COMPUTED_VALUE"""),"Cause of Conductivity of Liquids")</f>
        <v>Cause of Conductivity of Liquids</v>
      </c>
    </row>
    <row r="896" spans="1:2">
      <c r="A896" s="13" t="str">
        <f ca="1">IFERROR(__xludf.DUMMYFUNCTION("""COMPUTED_VALUE"""),"LU005531")</f>
        <v>LU005531</v>
      </c>
      <c r="B896" s="13" t="str">
        <f ca="1">IFERROR(__xludf.DUMMYFUNCTION("""COMPUTED_VALUE"""),"Chemical effects of electric current in liquids")</f>
        <v>Chemical effects of electric current in liquids</v>
      </c>
    </row>
    <row r="897" spans="1:2">
      <c r="A897" s="13" t="str">
        <f ca="1">IFERROR(__xludf.DUMMYFUNCTION("""COMPUTED_VALUE"""),"LU005533")</f>
        <v>LU005533</v>
      </c>
      <c r="B897" s="13" t="str">
        <f ca="1">IFERROR(__xludf.DUMMYFUNCTION("""COMPUTED_VALUE"""),"Purpose of Electroplating")</f>
        <v>Purpose of Electroplating</v>
      </c>
    </row>
    <row r="898" spans="1:2">
      <c r="A898" s="13" t="str">
        <f ca="1">IFERROR(__xludf.DUMMYFUNCTION("""COMPUTED_VALUE"""),"LU005532")</f>
        <v>LU005532</v>
      </c>
      <c r="B898" s="13" t="str">
        <f ca="1">IFERROR(__xludf.DUMMYFUNCTION("""COMPUTED_VALUE"""),"Process of Electroplating")</f>
        <v>Process of Electroplating</v>
      </c>
    </row>
    <row r="899" spans="1:2">
      <c r="A899" s="13" t="str">
        <f ca="1">IFERROR(__xludf.DUMMYFUNCTION("""COMPUTED_VALUE"""),"LU005511")</f>
        <v>LU005511</v>
      </c>
      <c r="B899" s="13" t="str">
        <f ca="1">IFERROR(__xludf.DUMMYFUNCTION("""COMPUTED_VALUE"""),"Attraction and Repulsion Between Electric Charges")</f>
        <v>Attraction and Repulsion Between Electric Charges</v>
      </c>
    </row>
    <row r="900" spans="1:2">
      <c r="A900" s="13" t="str">
        <f ca="1">IFERROR(__xludf.DUMMYFUNCTION("""COMPUTED_VALUE"""),"LU005512")</f>
        <v>LU005512</v>
      </c>
      <c r="B900" s="13" t="str">
        <f ca="1">IFERROR(__xludf.DUMMYFUNCTION("""COMPUTED_VALUE"""),"Charging Objects by Rubbing on Another Surface")</f>
        <v>Charging Objects by Rubbing on Another Surface</v>
      </c>
    </row>
    <row r="901" spans="1:2">
      <c r="A901" s="13" t="str">
        <f ca="1">IFERROR(__xludf.DUMMYFUNCTION("""COMPUTED_VALUE"""),"LU005513")</f>
        <v>LU005513</v>
      </c>
      <c r="B901" s="13" t="str">
        <f ca="1">IFERROR(__xludf.DUMMYFUNCTION("""COMPUTED_VALUE"""),"Definition and function of electroscope")</f>
        <v>Definition and function of electroscope</v>
      </c>
    </row>
    <row r="902" spans="1:2">
      <c r="A902" s="13" t="str">
        <f ca="1">IFERROR(__xludf.DUMMYFUNCTION("""COMPUTED_VALUE"""),"LU005515")</f>
        <v>LU005515</v>
      </c>
      <c r="B902" s="13" t="str">
        <f ca="1">IFERROR(__xludf.DUMMYFUNCTION("""COMPUTED_VALUE"""),"Definition and Phenomenon of Lightning")</f>
        <v>Definition and Phenomenon of Lightning</v>
      </c>
    </row>
    <row r="903" spans="1:2">
      <c r="A903" s="13" t="str">
        <f ca="1">IFERROR(__xludf.DUMMYFUNCTION("""COMPUTED_VALUE"""),"LU005521")</f>
        <v>LU005521</v>
      </c>
      <c r="B903" s="13" t="str">
        <f ca="1">IFERROR(__xludf.DUMMYFUNCTION("""COMPUTED_VALUE"""),"Lightning as natural electric discharge event.")</f>
        <v>Lightning as natural electric discharge event.</v>
      </c>
    </row>
    <row r="904" spans="1:2">
      <c r="A904" s="13" t="str">
        <f ca="1">IFERROR(__xludf.DUMMYFUNCTION("""COMPUTED_VALUE"""),"LU005520")</f>
        <v>LU005520</v>
      </c>
      <c r="B904" s="13" t="str">
        <f ca="1">IFERROR(__xludf.DUMMYFUNCTION("""COMPUTED_VALUE"""),"Indoor and Outdoor Safety Measures for Thunderstorm")</f>
        <v>Indoor and Outdoor Safety Measures for Thunderstorm</v>
      </c>
    </row>
    <row r="905" spans="1:2">
      <c r="A905" s="13" t="str">
        <f ca="1">IFERROR(__xludf.DUMMYFUNCTION("""COMPUTED_VALUE"""),"LU005524")</f>
        <v>LU005524</v>
      </c>
      <c r="B905" s="13" t="str">
        <f ca="1">IFERROR(__xludf.DUMMYFUNCTION("""COMPUTED_VALUE"""),"Role and Function of Lightning Conductors")</f>
        <v>Role and Function of Lightning Conductors</v>
      </c>
    </row>
    <row r="906" spans="1:2">
      <c r="A906" s="13" t="str">
        <f ca="1">IFERROR(__xludf.DUMMYFUNCTION("""COMPUTED_VALUE"""),"LU005516")</f>
        <v>LU005516</v>
      </c>
      <c r="B906" s="13" t="str">
        <f ca="1">IFERROR(__xludf.DUMMYFUNCTION("""COMPUTED_VALUE"""),"Definition, Characteristics and causes of Earthquakes")</f>
        <v>Definition, Characteristics and causes of Earthquakes</v>
      </c>
    </row>
    <row r="907" spans="1:2">
      <c r="A907" s="13" t="str">
        <f ca="1">IFERROR(__xludf.DUMMYFUNCTION("""COMPUTED_VALUE"""),"LU005522")</f>
        <v>LU005522</v>
      </c>
      <c r="B907" s="13" t="str">
        <f ca="1">IFERROR(__xludf.DUMMYFUNCTION("""COMPUTED_VALUE"""),"Movement of Tectonic Plates")</f>
        <v>Movement of Tectonic Plates</v>
      </c>
    </row>
    <row r="908" spans="1:2">
      <c r="A908" s="13" t="str">
        <f ca="1">IFERROR(__xludf.DUMMYFUNCTION("""COMPUTED_VALUE"""),"LU005518")</f>
        <v>LU005518</v>
      </c>
      <c r="B908" s="13" t="str">
        <f ca="1">IFERROR(__xludf.DUMMYFUNCTION("""COMPUTED_VALUE"""),"Explanation of Earthquake Magnitude Measurement using richter scale")</f>
        <v>Explanation of Earthquake Magnitude Measurement using richter scale</v>
      </c>
    </row>
    <row r="909" spans="1:2">
      <c r="A909" s="13" t="str">
        <f ca="1">IFERROR(__xludf.DUMMYFUNCTION("""COMPUTED_VALUE"""),"LU005514")</f>
        <v>LU005514</v>
      </c>
      <c r="B909" s="13" t="str">
        <f ca="1">IFERROR(__xludf.DUMMYFUNCTION("""COMPUTED_VALUE"""),"Seismograph and its significance")</f>
        <v>Seismograph and its significance</v>
      </c>
    </row>
    <row r="910" spans="1:2">
      <c r="A910" s="13" t="str">
        <f ca="1">IFERROR(__xludf.DUMMYFUNCTION("""COMPUTED_VALUE"""),"LU005523")</f>
        <v>LU005523</v>
      </c>
      <c r="B910" s="13" t="str">
        <f ca="1">IFERROR(__xludf.DUMMYFUNCTION("""COMPUTED_VALUE"""),"Overview of Earthquake Effects (e.g., Ground Shaking, Tsunamis)")</f>
        <v>Overview of Earthquake Effects (e.g., Ground Shaking, Tsunamis)</v>
      </c>
    </row>
    <row r="911" spans="1:2">
      <c r="A911" s="13" t="str">
        <f ca="1">IFERROR(__xludf.DUMMYFUNCTION("""COMPUTED_VALUE"""),"LU005525")</f>
        <v>LU005525</v>
      </c>
      <c r="B911" s="13" t="str">
        <f ca="1">IFERROR(__xludf.DUMMYFUNCTION("""COMPUTED_VALUE"""),"Earthquake Preparedness and Safety Measures
")</f>
        <v xml:space="preserve">Earthquake Preparedness and Safety Measures
</v>
      </c>
    </row>
    <row r="912" spans="1:2">
      <c r="A912" s="13" t="str">
        <f ca="1">IFERROR(__xludf.DUMMYFUNCTION("""COMPUTED_VALUE"""),"LU005917")</f>
        <v>LU005917</v>
      </c>
      <c r="B912" s="13" t="str">
        <f ca="1">IFERROR(__xludf.DUMMYFUNCTION("""COMPUTED_VALUE"""),"Definition of types of angles and rays used in reflection of light")</f>
        <v>Definition of types of angles and rays used in reflection of light</v>
      </c>
    </row>
    <row r="913" spans="1:2">
      <c r="A913" s="13" t="str">
        <f ca="1">IFERROR(__xludf.DUMMYFUNCTION("""COMPUTED_VALUE"""),"LU005372")</f>
        <v>LU005372</v>
      </c>
      <c r="B913" s="13" t="str">
        <f ca="1">IFERROR(__xludf.DUMMYFUNCTION("""COMPUTED_VALUE"""),"Laws of reflection")</f>
        <v>Laws of reflection</v>
      </c>
    </row>
    <row r="914" spans="1:2">
      <c r="A914" s="13" t="str">
        <f ca="1">IFERROR(__xludf.DUMMYFUNCTION("""COMPUTED_VALUE"""),"LU005168")</f>
        <v>LU005168</v>
      </c>
      <c r="B914" s="13" t="str">
        <f ca="1">IFERROR(__xludf.DUMMYFUNCTION("""COMPUTED_VALUE"""),"Reflection of light from different surface")</f>
        <v>Reflection of light from different surface</v>
      </c>
    </row>
    <row r="915" spans="1:2">
      <c r="A915" s="13" t="str">
        <f ca="1">IFERROR(__xludf.DUMMYFUNCTION("""COMPUTED_VALUE"""),"LU005563")</f>
        <v>LU005563</v>
      </c>
      <c r="B915" s="13" t="str">
        <f ca="1">IFERROR(__xludf.DUMMYFUNCTION("""COMPUTED_VALUE"""),"Principle of Multiple Reflection of Light")</f>
        <v>Principle of Multiple Reflection of Light</v>
      </c>
    </row>
    <row r="916" spans="1:2">
      <c r="A916" s="13" t="str">
        <f ca="1">IFERROR(__xludf.DUMMYFUNCTION("""COMPUTED_VALUE"""),"LU005564")</f>
        <v>LU005564</v>
      </c>
      <c r="B916" s="13" t="str">
        <f ca="1">IFERROR(__xludf.DUMMYFUNCTION("""COMPUTED_VALUE"""),"Applications of Multiple Reflection")</f>
        <v>Applications of Multiple Reflection</v>
      </c>
    </row>
    <row r="917" spans="1:2">
      <c r="A917" s="13" t="str">
        <f ca="1">IFERROR(__xludf.DUMMYFUNCTION("""COMPUTED_VALUE"""),"LU005565")</f>
        <v>LU005565</v>
      </c>
      <c r="B917" s="13" t="str">
        <f ca="1">IFERROR(__xludf.DUMMYFUNCTION("""COMPUTED_VALUE"""),"Definition of Dispersion of Light")</f>
        <v>Definition of Dispersion of Light</v>
      </c>
    </row>
    <row r="918" spans="1:2">
      <c r="A918" s="13" t="str">
        <f ca="1">IFERROR(__xludf.DUMMYFUNCTION("""COMPUTED_VALUE"""),"LU005566")</f>
        <v>LU005566</v>
      </c>
      <c r="B918" s="13" t="str">
        <f ca="1">IFERROR(__xludf.DUMMYFUNCTION("""COMPUTED_VALUE"""),"Structure of Human eye")</f>
        <v>Structure of Human eye</v>
      </c>
    </row>
    <row r="919" spans="1:2">
      <c r="A919" s="13" t="str">
        <f ca="1">IFERROR(__xludf.DUMMYFUNCTION("""COMPUTED_VALUE"""),"LU005567")</f>
        <v>LU005567</v>
      </c>
      <c r="B919" s="13" t="str">
        <f ca="1">IFERROR(__xludf.DUMMYFUNCTION("""COMPUTED_VALUE"""),"Demonstration of Blind spot")</f>
        <v>Demonstration of Blind spot</v>
      </c>
    </row>
    <row r="920" spans="1:2">
      <c r="A920" s="13" t="str">
        <f ca="1">IFERROR(__xludf.DUMMYFUNCTION("""COMPUTED_VALUE"""),"LU005568")</f>
        <v>LU005568</v>
      </c>
      <c r="B920" s="13" t="str">
        <f ca="1">IFERROR(__xludf.DUMMYFUNCTION("""COMPUTED_VALUE"""),"Understanding Motion Perception")</f>
        <v>Understanding Motion Perception</v>
      </c>
    </row>
    <row r="921" spans="1:2">
      <c r="A921" s="13" t="str">
        <f ca="1">IFERROR(__xludf.DUMMYFUNCTION("""COMPUTED_VALUE"""),"LU005570")</f>
        <v>LU005570</v>
      </c>
      <c r="B921" s="13" t="str">
        <f ca="1">IFERROR(__xludf.DUMMYFUNCTION("""COMPUTED_VALUE"""),"Taking care of eyes")</f>
        <v>Taking care of eyes</v>
      </c>
    </row>
    <row r="922" spans="1:2">
      <c r="A922" s="13" t="str">
        <f ca="1">IFERROR(__xludf.DUMMYFUNCTION("""COMPUTED_VALUE"""),"LU005571")</f>
        <v>LU005571</v>
      </c>
      <c r="B922" s="13" t="str">
        <f ca="1">IFERROR(__xludf.DUMMYFUNCTION("""COMPUTED_VALUE"""),"Types of aids for visually impaired people")</f>
        <v>Types of aids for visually impaired people</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G6 Maths Ganita Prakash</vt:lpstr>
      <vt:lpstr>G6 Maths</vt:lpstr>
      <vt:lpstr>G7 Maths</vt:lpstr>
      <vt:lpstr>G8 Maths</vt:lpstr>
      <vt:lpstr>G9 Maths</vt:lpstr>
      <vt:lpstr>G10 Maths</vt:lpstr>
      <vt:lpstr>G6 Sci_Curiosity</vt:lpstr>
      <vt:lpstr>G6 Science</vt:lpstr>
      <vt:lpstr>G7 Science</vt:lpstr>
      <vt:lpstr>G8 Science</vt:lpstr>
      <vt:lpstr>G9 Science</vt:lpstr>
      <vt:lpstr>G10 Science</vt:lpstr>
      <vt:lpstr>List of repeated LUs </vt:lpstr>
      <vt:lpstr>G10 Maths Course conclusions</vt:lpstr>
      <vt:lpstr>Topic-LU Count</vt:lpstr>
      <vt:lpstr>Topic Name-LU Count</vt:lpstr>
      <vt:lpstr>Cumulative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aniket singh</cp:lastModifiedBy>
  <dcterms:modified xsi:type="dcterms:W3CDTF">2025-02-11T03:39:28Z</dcterms:modified>
</cp:coreProperties>
</file>